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7.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DE92" lockStructure="1"/>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FY Summary" sheetId="4" state="visible" r:id="rId4"/>
    <sheet name="Onsite" sheetId="5" state="visible" r:id="rId5"/>
    <sheet name="Production" sheetId="6" state="visible" r:id="rId6"/>
    <sheet name="Consulting" sheetId="7" state="visible" r:id="rId7"/>
    <sheet name="WIP Movements" sheetId="8" state="visible" r:id="rId8"/>
    <sheet name="WIP Summary" sheetId="9" state="visible" r:id="rId9"/>
    <sheet name="Work Won" sheetId="10" state="visible" r:id="rId10"/>
    <sheet name="Lists" sheetId="11" state="visible" r:id="rId11"/>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CCforGL">Lists!$V$5:$V$10</definedName>
    <definedName name="lst_CCtoGL">Lists!$W$5:$W$10</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lst_FY27Months">Lists!$Y$5:$Y$16</definedName>
    <definedName name="set_FYFirstMonth">Lists!$U$12</definedName>
    <definedName name="_xlnm._FilterDatabase" localSheetId="8" hidden="1">'WIP Summary'!$A$13:$H$1509</definedName>
  </definedNames>
  <calcPr calcId="124519" fullCalcOnLoad="1"/>
</workbook>
</file>

<file path=xl/styles.xml><?xml version="1.0" encoding="utf-8"?>
<styleSheet xmlns="http://schemas.openxmlformats.org/spreadsheetml/2006/main">
  <numFmts count="5">
    <numFmt numFmtId="164" formatCode="yyyy-mm-dd h:mm:ss"/>
    <numFmt numFmtId="165" formatCode="0.0%"/>
    <numFmt numFmtId="166" formatCode="dd-mmm-yy"/>
    <numFmt numFmtId="167" formatCode="$#,##0.00;[Red]-$#,##0.00"/>
    <numFmt numFmtId="168" formatCode="mmmm yyyy"/>
  </numFmts>
  <fonts count="15">
    <font>
      <name val="Calibri"/>
      <family val="2"/>
      <color theme="1"/>
      <sz val="11"/>
      <scheme val="minor"/>
    </font>
    <font>
      <name val="Arial"/>
      <b val="1"/>
      <color rgb="003E5066"/>
      <sz val="10"/>
    </font>
    <font>
      <name val="Arial"/>
      <color rgb="00595959"/>
      <sz val="10"/>
    </font>
    <font>
      <name val="Arial"/>
      <b val="1"/>
      <color rgb="00FFFFFF"/>
      <sz val="10"/>
    </font>
    <font>
      <name val="Arial"/>
      <sz val="10"/>
    </font>
    <font>
      <name val="Arial"/>
      <b val="1"/>
      <sz val="10"/>
    </font>
    <font>
      <name val="Arial"/>
      <color rgb="00808080"/>
      <sz val="10"/>
    </font>
    <font>
      <name val="Arial"/>
      <b val="1"/>
      <color rgb="003E5066"/>
      <sz val="16"/>
    </font>
    <font>
      <name val="Arial"/>
      <b val="1"/>
      <color rgb="003E5066"/>
      <sz val="11"/>
    </font>
    <font>
      <name val="Arial"/>
      <color rgb="00000000"/>
      <sz val="10"/>
    </font>
    <font>
      <name val="Arial"/>
      <i val="1"/>
      <color rgb="00595959"/>
      <sz val="9"/>
    </font>
    <font>
      <name val="Arial"/>
      <b val="1"/>
      <color rgb="00FFFFFF"/>
      <sz val="11"/>
    </font>
    <font>
      <name val="Arial"/>
      <b val="1"/>
      <color rgb="003E5066"/>
      <sz val="12"/>
    </font>
    <font>
      <name val="Arial"/>
      <b val="1"/>
      <color rgb="009C0006"/>
      <sz val="10"/>
    </font>
    <font>
      <name val="Arial"/>
      <sz val="11"/>
    </font>
  </fonts>
  <fills count="9">
    <fill>
      <patternFill/>
    </fill>
    <fill>
      <patternFill patternType="gray125"/>
    </fill>
    <fill>
      <patternFill patternType="solid">
        <fgColor rgb="005B708A"/>
      </patternFill>
    </fill>
    <fill>
      <patternFill patternType="solid">
        <fgColor rgb="00FFF9E6"/>
      </patternFill>
    </fill>
    <fill>
      <patternFill patternType="solid">
        <fgColor rgb="003E5066"/>
      </patternFill>
    </fill>
    <fill>
      <patternFill patternType="solid">
        <fgColor rgb="00EDF1F6"/>
      </patternFill>
    </fill>
    <fill>
      <patternFill patternType="solid">
        <fgColor rgb="00F2F2F2"/>
      </patternFill>
    </fill>
    <fill>
      <patternFill patternType="solid">
        <fgColor rgb="00FFFFFF"/>
      </patternFill>
    </fill>
    <fill>
      <patternFill patternType="solid">
        <fgColor rgb="00B779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7" fillId="0" borderId="0" pivotButton="0" quotePrefix="0" xfId="0"/>
    <xf numFmtId="0" fontId="14" fillId="0" borderId="0" applyAlignment="1" pivotButton="0" quotePrefix="0" xfId="0">
      <alignment vertical="top" wrapText="1"/>
    </xf>
    <xf numFmtId="0" fontId="11" fillId="4" borderId="0" pivotButton="0" quotePrefix="0" xfId="0"/>
    <xf numFmtId="0" fontId="2" fillId="0" borderId="0" applyAlignment="1" pivotButton="0" quotePrefix="0" xfId="0">
      <alignment vertical="top"/>
    </xf>
    <xf numFmtId="0" fontId="8" fillId="5" borderId="0" pivotButton="0" quotePrefix="0" xfId="0"/>
    <xf numFmtId="0" fontId="10" fillId="0" borderId="0" pivotButton="0" quotePrefix="0" xfId="0"/>
    <xf numFmtId="168" fontId="3" fillId="8" borderId="0" applyAlignment="1" pivotButton="0" quotePrefix="0" xfId="0">
      <alignment horizontal="center" vertical="center" wrapText="1"/>
    </xf>
    <xf numFmtId="0" fontId="3" fillId="2" borderId="1" applyAlignment="1" pivotButton="0" quotePrefix="0" xfId="0">
      <alignment horizontal="center" vertical="center" wrapText="1"/>
    </xf>
    <xf numFmtId="0" fontId="3" fillId="8" borderId="1" applyAlignment="1" pivotButton="0" quotePrefix="0" xfId="0">
      <alignment horizontal="center" vertical="center" wrapText="1"/>
    </xf>
    <xf numFmtId="49" fontId="2" fillId="6" borderId="1" pivotButton="0" quotePrefix="0" xfId="0"/>
    <xf numFmtId="167" fontId="2" fillId="6" borderId="1" pivotButton="0" quotePrefix="0" xfId="0"/>
    <xf numFmtId="49" fontId="9" fillId="3" borderId="1" applyProtection="1" pivotButton="0" quotePrefix="0" xfId="0">
      <protection locked="0" hidden="0"/>
    </xf>
    <xf numFmtId="166" fontId="9" fillId="3" borderId="1" applyProtection="1" pivotButton="0" quotePrefix="0" xfId="0">
      <protection locked="0" hidden="0"/>
    </xf>
    <xf numFmtId="167" fontId="9" fillId="3" borderId="1" applyProtection="1" pivotButton="0" quotePrefix="0" xfId="0">
      <protection locked="0" hidden="0"/>
    </xf>
    <xf numFmtId="1" fontId="2" fillId="6" borderId="1" pivotButton="0" quotePrefix="0" xfId="0"/>
    <xf numFmtId="166" fontId="2" fillId="6" borderId="1" pivotButton="0" quotePrefix="0" xfId="0"/>
    <xf numFmtId="0" fontId="5" fillId="0" borderId="0" pivotButton="0" quotePrefix="0" xfId="0"/>
    <xf numFmtId="17" fontId="12" fillId="3" borderId="0" applyProtection="1" pivotButton="0" quotePrefix="0" xfId="0">
      <protection locked="0" hidden="0"/>
    </xf>
    <xf numFmtId="0" fontId="13" fillId="0" borderId="0" pivotButton="0" quotePrefix="0" xfId="0"/>
    <xf numFmtId="0" fontId="4" fillId="0" borderId="0" pivotButton="0" quotePrefix="0" xfId="0"/>
    <xf numFmtId="167" fontId="4" fillId="0" borderId="0" pivotButton="0" quotePrefix="0" xfId="0"/>
    <xf numFmtId="167" fontId="4" fillId="3" borderId="1" applyProtection="1" pivotButton="0" quotePrefix="0" xfId="0">
      <protection locked="0" hidden="0"/>
    </xf>
    <xf numFmtId="167" fontId="5" fillId="0" borderId="0" pivotButton="0" quotePrefix="0" xfId="0"/>
    <xf numFmtId="0" fontId="4" fillId="3" borderId="1" applyProtection="1" pivotButton="0" quotePrefix="0" xfId="0">
      <protection locked="0" hidden="0"/>
    </xf>
    <xf numFmtId="166" fontId="4" fillId="3" borderId="1" applyProtection="1" pivotButton="0" quotePrefix="0" xfId="0">
      <protection locked="0" hidden="0"/>
    </xf>
    <xf numFmtId="0" fontId="0" fillId="4" borderId="0" pivotButton="0" quotePrefix="0" xfId="0"/>
    <xf numFmtId="17" fontId="3" fillId="2" borderId="1" applyAlignment="1" pivotButton="0" quotePrefix="0" xfId="0">
      <alignment horizontal="center" vertical="center" wrapText="1"/>
    </xf>
    <xf numFmtId="0" fontId="4" fillId="0" borderId="1" pivotButton="0" quotePrefix="0" xfId="0"/>
    <xf numFmtId="167" fontId="4" fillId="0" borderId="1" pivotButton="0" quotePrefix="0" xfId="0"/>
    <xf numFmtId="0" fontId="5" fillId="5" borderId="1" pivotButton="0" quotePrefix="0" xfId="0"/>
    <xf numFmtId="167" fontId="5" fillId="5" borderId="1" pivotButton="0" quotePrefix="0" xfId="0"/>
    <xf numFmtId="0" fontId="5" fillId="0" borderId="1" pivotButton="0" quotePrefix="0" xfId="0"/>
    <xf numFmtId="1" fontId="4" fillId="0" borderId="1" pivotButton="0" quotePrefix="0" xfId="0"/>
    <xf numFmtId="1" fontId="5" fillId="5" borderId="1" pivotButton="0" quotePrefix="0" xfId="0"/>
    <xf numFmtId="167" fontId="5" fillId="0" borderId="1" pivotButton="0" quotePrefix="0" xfId="0"/>
    <xf numFmtId="0" fontId="3" fillId="4" borderId="1" applyAlignment="1" pivotButton="0" quotePrefix="0" xfId="0">
      <alignment horizontal="center" vertical="center" wrapText="1"/>
    </xf>
    <xf numFmtId="49" fontId="9" fillId="7" borderId="1" applyProtection="1" pivotButton="0" quotePrefix="0" xfId="0">
      <protection locked="0" hidden="0"/>
    </xf>
    <xf numFmtId="3" fontId="2" fillId="6" borderId="1" pivotButton="0" quotePrefix="0" xfId="0"/>
    <xf numFmtId="167" fontId="9" fillId="7" borderId="1" applyProtection="1" pivotButton="0" quotePrefix="0" xfId="0">
      <protection locked="0" hidden="0"/>
    </xf>
    <xf numFmtId="0" fontId="2" fillId="6" borderId="1" pivotButton="0" quotePrefix="0" xfId="0"/>
    <xf numFmtId="4" fontId="9" fillId="7" borderId="1" applyProtection="1" pivotButton="0" quotePrefix="0" xfId="0">
      <protection locked="0" hidden="0"/>
    </xf>
    <xf numFmtId="166" fontId="9" fillId="7" borderId="1" applyProtection="1" pivotButton="0" quotePrefix="0" xfId="0">
      <protection locked="0" hidden="0"/>
    </xf>
    <xf numFmtId="165" fontId="2" fillId="6" borderId="1" pivotButton="0" quotePrefix="0" xfId="0"/>
    <xf numFmtId="17" fontId="9" fillId="7" borderId="1" applyProtection="1" pivotButton="0" quotePrefix="0" xfId="0">
      <protection locked="0" hidden="0"/>
    </xf>
    <xf numFmtId="17" fontId="0" fillId="0" borderId="0" pivotButton="0" quotePrefix="0" xfId="0"/>
    <xf numFmtId="167"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4" borderId="0" pivotButton="0" quotePrefix="0" xfId="0"/>
    <xf numFmtId="49" fontId="4" fillId="0" borderId="0" applyProtection="1" pivotButton="0" quotePrefix="0" xfId="0">
      <protection locked="0" hidden="0"/>
    </xf>
    <xf numFmtId="17" fontId="4" fillId="0" borderId="0" applyProtection="1" pivotButton="0" quotePrefix="0" xfId="0">
      <protection locked="0" hidden="0"/>
    </xf>
    <xf numFmtId="49" fontId="4" fillId="3" borderId="0" applyProtection="1" pivotButton="0" quotePrefix="0" xfId="0">
      <protection locked="0" hidden="0"/>
    </xf>
    <xf numFmtId="17" fontId="2" fillId="0" borderId="0" pivotButton="0" quotePrefix="0" xfId="0"/>
    <xf numFmtId="0" fontId="0" fillId="0" borderId="0" applyProtection="1" pivotButton="0" quotePrefix="0" xfId="0">
      <protection locked="0" hidden="0"/>
    </xf>
    <xf numFmtId="0" fontId="6" fillId="0" borderId="0" pivotButton="0" quotePrefix="0" xfId="0"/>
    <xf numFmtId="165" fontId="4" fillId="3" borderId="0" applyProtection="1" pivotButton="0" quotePrefix="0" xfId="0">
      <protection locked="0" hidden="0"/>
    </xf>
    <xf numFmtId="0" fontId="4" fillId="3" borderId="0" applyProtection="1" pivotButton="0" quotePrefix="0" xfId="0">
      <protection locked="0" hidden="0"/>
    </xf>
    <xf numFmtId="49" fontId="0" fillId="0" borderId="0" applyProtection="1" pivotButton="0" quotePrefix="0" xfId="0">
      <protection locked="0" hidden="0"/>
    </xf>
    <xf numFmtId="166" fontId="0" fillId="3" borderId="0" applyProtection="1" pivotButton="0" quotePrefix="0" xfId="0">
      <protection locked="0" hidden="0"/>
    </xf>
  </cellXfs>
  <cellStyles count="1">
    <cellStyle name="Normal" xfId="0" builtinId="0" hidden="0"/>
  </cellStyles>
  <dxfs count="4">
    <dxf>
      <font>
        <name val="Arial"/>
        <color rgb="00155724"/>
      </font>
      <fill>
        <patternFill patternType="solid">
          <fgColor rgb="00D4EDDA"/>
        </patternFill>
      </fill>
    </dxf>
    <dxf>
      <font>
        <name val="Arial"/>
        <color rgb="009C0006"/>
      </font>
      <fill>
        <patternFill patternType="solid">
          <fgColor rgb="00F8D7DA"/>
        </patternFill>
      </fill>
    </dxf>
    <dxf>
      <font>
        <name val="Arial"/>
        <color rgb="00856404"/>
      </font>
      <fill>
        <patternFill patternType="solid">
          <fgColor rgb="00FFF3CD"/>
        </patternFill>
      </fill>
    </dxf>
    <dxf>
      <font>
        <name val="Arial"/>
        <b val="1"/>
        <color rgb="00856404"/>
      </font>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Tracker</author>
  </authors>
  <commentList>
    <comment ref="A6" authorId="0" shapeId="0">
      <text>
        <t>Fixed key to the department row. Never change it.</t>
      </text>
    </comment>
    <comment ref="B6" authorId="0" shapeId="0">
      <text>
        <t>Which department sheet this row belongs to. Fixed.</t>
      </text>
    </comment>
    <comment ref="C6" authorId="0" shapeId="0">
      <text>
        <t>From the department sheet. Finance never types it.</t>
      </text>
    </comment>
    <comment ref="N6" authorId="0" shapeId="0">
      <text>
        <t>What the department says the whole job is worth (Expected Revenue Ex GST).</t>
      </text>
    </comment>
    <comment ref="O6" authorId="0" shapeId="0">
      <text>
        <t>Sum of the twelve monthly Ex GST cells Finance entered from Xero.</t>
      </text>
    </comment>
    <comment ref="P6" authorId="0" shapeId="0">
      <text>
        <t>Dept Expected less Xero Invoiced. Positive = still to invoice. Negative = Xero is higher than the department expected.</t>
      </text>
    </comment>
    <comment ref="Q6" authorId="0" shapeId="0">
      <text>
        <t>Agrees / Dept higher - to invoice / Not invoiced - to invoice / Xero higher - check dept / No dept value.</t>
      </text>
    </comment>
    <comment ref="R6" authorId="0" shapeId="0">
      <text>
        <t>Anything wrong on this row. Filter this column to non-blanks and fix each one.</t>
      </text>
    </comment>
    <comment ref="BH6" authorId="0" shapeId="0">
      <text>
        <t>Finance's own notes. Shown only here.</t>
      </text>
    </comment>
    <comment ref="BI6" authorId="0" shapeId="0">
      <text>
        <t>Helper: the row on the department sheet this Finance row reads from.</t>
      </text>
    </comment>
  </commentList>
</comments>
</file>

<file path=xl/comments/comment2.xml><?xml version="1.0" encoding="utf-8"?>
<comments xmlns="http://schemas.openxmlformats.org/spreadsheetml/2006/main">
  <authors>
    <author>Tracker</author>
  </authors>
  <commentList>
    <comment ref="A4" authorId="0" shapeId="0">
      <text>
        <t>From Finance: the latest Xero invoice date on this job.</t>
      </text>
    </comment>
    <comment ref="B4" authorId="0" shapeId="0">
      <text>
        <t>From Finance: every Xero invoice number raised on this job.</t>
      </text>
    </comment>
    <comment ref="K4" authorId="0" shapeId="0">
      <text>
        <t>From Finance: how many invoices have been entered against this job.</t>
      </text>
    </comment>
    <comment ref="L4" authorId="0" shapeId="0">
      <text>
        <t>From Finance: total ex GST invoiced in Xero for this job (FY27).</t>
      </text>
    </comment>
    <comment ref="M4" authorId="0" shapeId="0">
      <text>
        <t>From Finance: Not invoiced / Dept higher - to invoice / Agrees / Xero higher - check dept.</t>
      </text>
    </comment>
    <comment ref="N4" authorId="0" shapeId="0">
      <text>
        <t>Expected Revenue Ex GST less what Xero has invoiced. This is what is still to be billed.</t>
      </text>
    </comment>
    <comment ref="O4" authorId="0" shapeId="0">
      <text>
        <t>YOU TYPE: what the whole job is worth ex GST. Finance compares Xero to this number.</t>
      </text>
    </comment>
    <comment ref="P4" authorId="0" shapeId="0">
      <text>
        <t>Checks the information Finance needs. Reads Complete, or Fix: and what is missing or wrong.</t>
      </text>
    </comment>
    <comment ref="Q4" authorId="0" shapeId="0">
      <text>
        <t>Your cost centre and the revenue GL it posts to.</t>
      </text>
    </comment>
    <comment ref="X4" authorId="0" shapeId="0">
      <text>
        <t>Fixed link to this job's row on the Finance sheet. Never type over it, never delete the row.</t>
      </text>
    </comment>
  </commentList>
</comments>
</file>

<file path=xl/comments/comment3.xml><?xml version="1.0" encoding="utf-8"?>
<comments xmlns="http://schemas.openxmlformats.org/spreadsheetml/2006/main">
  <authors>
    <author>Tracker</author>
  </authors>
  <commentList>
    <comment ref="A4" authorId="0" shapeId="0">
      <text>
        <t>From Finance: the latest Xero invoice date on this job.</t>
      </text>
    </comment>
    <comment ref="B4" authorId="0" shapeId="0">
      <text>
        <t>From Finance: every Xero invoice number raised on this job.</t>
      </text>
    </comment>
    <comment ref="K4" authorId="0" shapeId="0">
      <text>
        <t>From Finance: how many invoices have been entered against this job.</t>
      </text>
    </comment>
    <comment ref="L4" authorId="0" shapeId="0">
      <text>
        <t>From Finance: total ex GST invoiced in Xero for this job (FY27).</t>
      </text>
    </comment>
    <comment ref="M4" authorId="0" shapeId="0">
      <text>
        <t>From Finance: Not invoiced / Dept higher - to invoice / Agrees / Xero higher - check dept.</t>
      </text>
    </comment>
    <comment ref="N4" authorId="0" shapeId="0">
      <text>
        <t>Expected Revenue Ex GST less what Xero has invoiced. This is what is still to be billed.</t>
      </text>
    </comment>
    <comment ref="O4" authorId="0" shapeId="0">
      <text>
        <t>YOU TYPE: what the whole job is worth ex GST. Finance compares Xero to this number.</t>
      </text>
    </comment>
    <comment ref="P4" authorId="0" shapeId="0">
      <text>
        <t>Checks the information Finance needs. Reads Complete, or Fix: and what is missing or wrong.</t>
      </text>
    </comment>
    <comment ref="Q4" authorId="0" shapeId="0">
      <text>
        <t>Your cost centre and the revenue GL it posts to.</t>
      </text>
    </comment>
    <comment ref="AU4" authorId="0" shapeId="0">
      <text>
        <t>Fixed link to this job's row on the Finance sheet. Never type over it, never delete the row.</t>
      </text>
    </comment>
  </commentList>
</comments>
</file>

<file path=xl/comments/comment4.xml><?xml version="1.0" encoding="utf-8"?>
<comments xmlns="http://schemas.openxmlformats.org/spreadsheetml/2006/main">
  <authors>
    <author>Tracker</author>
  </authors>
  <commentList>
    <comment ref="A4" authorId="0" shapeId="0">
      <text>
        <t>From Finance: the latest Xero invoice date on this job.</t>
      </text>
    </comment>
    <comment ref="B4" authorId="0" shapeId="0">
      <text>
        <t>From Finance: every Xero invoice number raised on this job.</t>
      </text>
    </comment>
    <comment ref="K4" authorId="0" shapeId="0">
      <text>
        <t>From Finance: how many invoices have been entered against this job.</t>
      </text>
    </comment>
    <comment ref="L4" authorId="0" shapeId="0">
      <text>
        <t>From Finance: total ex GST invoiced in Xero for this job (FY27).</t>
      </text>
    </comment>
    <comment ref="M4" authorId="0" shapeId="0">
      <text>
        <t>From Finance: Not invoiced / Dept higher - to invoice / Agrees / Xero higher - check dept.</t>
      </text>
    </comment>
    <comment ref="N4" authorId="0" shapeId="0">
      <text>
        <t>Expected Revenue Ex GST less what Xero has invoiced. This is what is still to be billed.</t>
      </text>
    </comment>
    <comment ref="O4" authorId="0" shapeId="0">
      <text>
        <t>YOU TYPE: what the whole job is worth ex GST. Finance compares Xero to this number.</t>
      </text>
    </comment>
    <comment ref="P4" authorId="0" shapeId="0">
      <text>
        <t>Checks the information Finance needs. Reads Complete, or Fix: and what is missing or wrong.</t>
      </text>
    </comment>
    <comment ref="Q4" authorId="0" shapeId="0">
      <text>
        <t>Your cost centre and the revenue GL it posts to.</t>
      </text>
    </comment>
    <comment ref="AE4" authorId="0" shapeId="0">
      <text>
        <t>Fixed link to this job's row on the Finance sheet. Never type over it, never delete the row.</t>
      </text>
    </comment>
  </commentList>
</comments>
</file>

<file path=xl/tables/table1.xml><?xml version="1.0" encoding="utf-8"?>
<table xmlns="http://schemas.openxmlformats.org/spreadsheetml/2006/main" id="1" name="tbl_Finance" displayName="tbl_Finance" ref="A6:BI1506" headerRowCount="1">
  <autoFilter ref="A6:BI1506"/>
  <tableColumns count="61">
    <tableColumn id="1" name="Row ID"/>
    <tableColumn id="2" name="Department"/>
    <tableColumn id="3" name="Job Number"/>
    <tableColumn id="4" name="Client"/>
    <tableColumn id="5" name="Job in Xero?"/>
    <tableColumn id="6" name="Job Name (Xero)"/>
    <tableColumn id="7" name="Job Description"/>
    <tableColumn id="8" name="Cost Centre"/>
    <tableColumn id="9" name="Invoice Type"/>
    <tableColumn id="10" name="Tax Code"/>
    <tableColumn id="11" name="Revenue GL"/>
    <tableColumn id="12" name="PO or Quote Ref"/>
    <tableColumn id="13" name="Dept Notes"/>
    <tableColumn id="14" name="Dept Expected Ex GST"/>
    <tableColumn id="15" name="Xero Invoiced Ex GST"/>
    <tableColumn id="16" name="Variance Dept vs Xero"/>
    <tableColumn id="17" name="Compare"/>
    <tableColumn id="18" name="Issue"/>
    <tableColumn id="19" name="Jul Invoice No"/>
    <tableColumn id="20" name="Jul Invoice Date"/>
    <tableColumn id="21" name="Jul Ex GST"/>
    <tableColumn id="22" name="Aug Invoice No"/>
    <tableColumn id="23" name="Aug Invoice Date"/>
    <tableColumn id="24" name="Aug Ex GST"/>
    <tableColumn id="25" name="Sep Invoice No"/>
    <tableColumn id="26" name="Sep Invoice Date"/>
    <tableColumn id="27" name="Sep Ex GST"/>
    <tableColumn id="28" name="Oct Invoice No"/>
    <tableColumn id="29" name="Oct Invoice Date"/>
    <tableColumn id="30" name="Oct Ex GST"/>
    <tableColumn id="31" name="Nov Invoice No"/>
    <tableColumn id="32" name="Nov Invoice Date"/>
    <tableColumn id="33" name="Nov Ex GST"/>
    <tableColumn id="34" name="Dec Invoice No"/>
    <tableColumn id="35" name="Dec Invoice Date"/>
    <tableColumn id="36" name="Dec Ex GST"/>
    <tableColumn id="37" name="Jan Invoice No"/>
    <tableColumn id="38" name="Jan Invoice Date"/>
    <tableColumn id="39" name="Jan Ex GST"/>
    <tableColumn id="40" name="Feb Invoice No"/>
    <tableColumn id="41" name="Feb Invoice Date"/>
    <tableColumn id="42" name="Feb Ex GST"/>
    <tableColumn id="43" name="Mar Invoice No"/>
    <tableColumn id="44" name="Mar Invoice Date"/>
    <tableColumn id="45" name="Mar Ex GST"/>
    <tableColumn id="46" name="Apr Invoice No"/>
    <tableColumn id="47" name="Apr Invoice Date"/>
    <tableColumn id="48" name="Apr Ex GST"/>
    <tableColumn id="49" name="May Invoice No"/>
    <tableColumn id="50" name="May Invoice Date"/>
    <tableColumn id="51" name="May Ex GST"/>
    <tableColumn id="52" name="Jun Invoice No"/>
    <tableColumn id="53" name="Jun Invoice Date"/>
    <tableColumn id="54" name="Jun Ex GST"/>
    <tableColumn id="55" name="GST"/>
    <tableColumn id="56" name="Inc GST"/>
    <tableColumn id="57" name="Invoice Count"/>
    <tableColumn id="58" name="Latest Invoice Date"/>
    <tableColumn id="59" name="Invoice Numbers"/>
    <tableColumn id="60" name="Finance Notes"/>
    <tableColumn id="61" name="Dept Row"/>
  </tableColumns>
  <tableStyleInfo name="TableStyleLight1" showRowStripes="0"/>
</table>
</file>

<file path=xl/tables/table2.xml><?xml version="1.0" encoding="utf-8"?>
<table xmlns="http://schemas.openxmlformats.org/spreadsheetml/2006/main" id="2" name="tbl_Onsite" displayName="tbl_Onsite" ref="A4:X504" headerRowCount="1">
  <autoFilter ref="A4:X504"/>
  <tableColumns count="24">
    <tableColumn id="1" name="Invoice Date"/>
    <tableColumn id="2" name="Invoice No"/>
    <tableColumn id="3" name="Job Number"/>
    <tableColumn id="4" name="Job in Xero?"/>
    <tableColumn id="5" name="Job Name (Xero)"/>
    <tableColumn id="6" name="Client"/>
    <tableColumn id="7" name="Job Description"/>
    <tableColumn id="8" name="Cost Centre"/>
    <tableColumn id="9" name="Invoice Type"/>
    <tableColumn id="10" name="Tax Code"/>
    <tableColumn id="11" name="Lines on Job"/>
    <tableColumn id="12" name="Revenue Ex GST"/>
    <tableColumn id="13" name="Invoiced"/>
    <tableColumn id="14" name="To Invoice"/>
    <tableColumn id="15" name="Expected Revenue Ex GST"/>
    <tableColumn id="16" name="Not Yet on Finance"/>
    <tableColumn id="17" name="Cost Centres"/>
    <tableColumn id="18" name="PO / Reference"/>
    <tableColumn id="19" name="Qwilr Quote"/>
    <tableColumn id="20" name="Open Qwilr"/>
    <tableColumn id="21" name="Billable Hours"/>
    <tableColumn id="22" name="Approved By"/>
    <tableColumn id="23" name="Notes"/>
    <tableColumn id="24" name="Row ID"/>
  </tableColumns>
  <tableStyleInfo name="TableStyleLight1" showRowStripes="0"/>
</table>
</file>

<file path=xl/tables/table3.xml><?xml version="1.0" encoding="utf-8"?>
<table xmlns="http://schemas.openxmlformats.org/spreadsheetml/2006/main" id="3" name="tbl_Production" displayName="tbl_Production" ref="A4:AU504" headerRowCount="1">
  <autoFilter ref="A4:AU504"/>
  <tableColumns count="47">
    <tableColumn id="1" name="Invoice Date"/>
    <tableColumn id="2" name="Invoice No"/>
    <tableColumn id="3" name="Job Number"/>
    <tableColumn id="4" name="Job in Xero?"/>
    <tableColumn id="5" name="Job Name (Xero)"/>
    <tableColumn id="6" name="Client"/>
    <tableColumn id="7" name="Job Description"/>
    <tableColumn id="8" name="Cost Centre"/>
    <tableColumn id="9" name="Invoice Type"/>
    <tableColumn id="10" name="Tax Code"/>
    <tableColumn id="11" name="Lines on Job"/>
    <tableColumn id="12" name="Revenue Ex GST"/>
    <tableColumn id="13" name="Invoiced"/>
    <tableColumn id="14" name="To Invoice"/>
    <tableColumn id="15" name="Expected Revenue Ex GST"/>
    <tableColumn id="16" name="Not Yet on Finance"/>
    <tableColumn id="17" name="Cost Centres"/>
    <tableColumn id="18" name="Total Inc GST"/>
    <tableColumn id="19" name="Company"/>
    <tableColumn id="20" name="Client Email"/>
    <tableColumn id="21" name="Event Grouping"/>
    <tableColumn id="22" name="Event Date"/>
    <tableColumn id="23" name="Current RMS No"/>
    <tableColumn id="24" name="Open in Current RMS"/>
    <tableColumn id="25" name="Qwilr Quote"/>
    <tableColumn id="26" name="Open Qwilr"/>
    <tableColumn id="27" name="Zoho Number"/>
    <tableColumn id="28" name="Job Closed"/>
    <tableColumn id="29" name="Discounts Given"/>
    <tableColumn id="30" name="Value Before Discount"/>
    <tableColumn id="31" name="Discount %"/>
    <tableColumn id="32" name="Cross Hire Expense"/>
    <tableColumn id="33" name="Conf. Call Costs"/>
    <tableColumn id="34" name="Transcription Costs"/>
    <tableColumn id="35" name="Labour Expense (Internal)"/>
    <tableColumn id="36" name="Video Revenue"/>
    <tableColumn id="37" name="Video % of Revenue"/>
    <tableColumn id="38" name="Total Expense"/>
    <tableColumn id="39" name="Margin"/>
    <tableColumn id="40" name="Margin %"/>
    <tableColumn id="41" name="Video Filming Hrs"/>
    <tableColumn id="42" name="Video Editing Hrs"/>
    <tableColumn id="43" name="Project Mgmt Hrs"/>
    <tableColumn id="44" name="Video Project Mgmt Hrs"/>
    <tableColumn id="45" name="Production Labour Hrs"/>
    <tableColumn id="46" name="Notes"/>
    <tableColumn id="47" name="Row ID"/>
  </tableColumns>
  <tableStyleInfo name="TableStyleLight1" showRowStripes="0"/>
</table>
</file>

<file path=xl/tables/table4.xml><?xml version="1.0" encoding="utf-8"?>
<table xmlns="http://schemas.openxmlformats.org/spreadsheetml/2006/main" id="4" name="tbl_Consulting" displayName="tbl_Consulting" ref="A4:AE504" headerRowCount="1">
  <autoFilter ref="A4:AE504"/>
  <tableColumns count="31">
    <tableColumn id="1" name="Invoice Date"/>
    <tableColumn id="2" name="Invoice No"/>
    <tableColumn id="3" name="Job Number"/>
    <tableColumn id="4" name="Job in Xero?"/>
    <tableColumn id="5" name="Job Name (Xero)"/>
    <tableColumn id="6" name="Client"/>
    <tableColumn id="7" name="Job Description"/>
    <tableColumn id="8" name="Cost Centre"/>
    <tableColumn id="9" name="Invoice Type"/>
    <tableColumn id="10" name="Tax Code"/>
    <tableColumn id="11" name="Lines on Job"/>
    <tableColumn id="12" name="Revenue Ex GST"/>
    <tableColumn id="13" name="Invoiced"/>
    <tableColumn id="14" name="To Invoice"/>
    <tableColumn id="15" name="Expected Revenue Ex GST"/>
    <tableColumn id="16" name="Not Yet on Finance"/>
    <tableColumn id="17" name="Cost Centres"/>
    <tableColumn id="18" name="Qwilr Quote"/>
    <tableColumn id="19" name="Open Qwilr"/>
    <tableColumn id="20" name="Labour Revenue"/>
    <tableColumn id="21" name="Equipment Revenue"/>
    <tableColumn id="22" name="Subscription Revenue"/>
    <tableColumn id="23" name="Revenue Split Check"/>
    <tableColumn id="24" name="Labour Expense (External)"/>
    <tableColumn id="25" name="Equipment Expense (Internal)"/>
    <tableColumn id="26" name="Subscription &amp; Licences Expense"/>
    <tableColumn id="27" name="Total Expense"/>
    <tableColumn id="28" name="Margin"/>
    <tableColumn id="29" name="Margin %"/>
    <tableColumn id="30" name="Notes"/>
    <tableColumn id="31" name="Row ID"/>
  </tableColumns>
  <tableStyleInfo name="TableStyleLight1" showRowStripes="0"/>
</table>
</file>

<file path=xl/tables/table5.xml><?xml version="1.0" encoding="utf-8"?>
<table xmlns="http://schemas.openxmlformats.org/spreadsheetml/2006/main" id="5" name="tbl_WIP" displayName="tbl_WIP" ref="A4:R304" headerRowCount="1">
  <autoFilter ref="A4:R304"/>
  <tableColumns count="18">
    <tableColumn id="1" name="Month"/>
    <tableColumn id="2" name="Job Number"/>
    <tableColumn id="3" name="Job in Xero?"/>
    <tableColumn id="4" name="Client"/>
    <tableColumn id="5" name="Cost Centre"/>
    <tableColumn id="6" name="Xero Invoice No"/>
    <tableColumn id="7" name="Description"/>
    <tableColumn id="8" name="Type"/>
    <tableColumn id="9" name="Revenue or Cost"/>
    <tableColumn id="10" name="Amount"/>
    <tableColumn id="11" name="P&amp;L Account"/>
    <tableColumn id="12" name="Debit Account"/>
    <tableColumn id="13" name="Credit Account"/>
    <tableColumn id="14" name="Journal Amount"/>
    <tableColumn id="15" name="Journal Narration"/>
    <tableColumn id="16" name="Journal Ref"/>
    <tableColumn id="17" name="Posted to Xero"/>
    <tableColumn id="18" name="Notes"/>
  </tableColumns>
  <tableStyleInfo name="TableStyleLight1" showRow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On the Finance Sheet"/>
    <tableColumn id="14" name="Still to Invoice"/>
    <tableColumn id="15" name="Not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table" Target="/xl/tables/table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B2:B66"/>
  <sheetViews>
    <sheetView workbookViewId="0">
      <selection activeCell="A1" sqref="A1"/>
    </sheetView>
  </sheetViews>
  <sheetFormatPr baseColWidth="8" defaultRowHeight="15"/>
  <cols>
    <col width="3" customWidth="1" min="1" max="1"/>
    <col width="120" customWidth="1" min="2" max="2"/>
  </cols>
  <sheetData>
    <row r="2">
      <c r="B2" s="1" t="inlineStr">
        <is>
          <t>FY27 Revenue Tracker - v4</t>
        </is>
      </c>
    </row>
    <row r="3">
      <c r="B3" s="2" t="inlineStr">
        <is>
          <t>Corporate Technology Services Pty Ltd. Replaces FY27_Revenue_Tracker_v3.</t>
        </is>
      </c>
    </row>
    <row r="4">
      <c r="B4" s="2" t="inlineStr"/>
    </row>
    <row r="5">
      <c r="B5" s="3" t="inlineStr">
        <is>
          <t>THE RULE</t>
        </is>
      </c>
    </row>
    <row r="6">
      <c r="B6" s="2" t="inlineStr">
        <is>
          <t>The job number and the department are the source of truth.</t>
        </is>
      </c>
    </row>
    <row r="7">
      <c r="B7" s="2" t="inlineStr">
        <is>
          <t>The department sets the job up. Finance never types a job number.</t>
        </is>
      </c>
    </row>
    <row r="8">
      <c r="B8" s="2" t="inlineStr">
        <is>
          <t>Finance types three things per invoice, straight off Xero: the invoice number, the invoice date and the amount excluding GST.</t>
        </is>
      </c>
    </row>
    <row r="9">
      <c r="B9" s="2" t="inlineStr">
        <is>
          <t>Everything else flows by itself, both ways.</t>
        </is>
      </c>
    </row>
    <row r="10">
      <c r="B10" s="2" t="inlineStr"/>
    </row>
    <row r="11">
      <c r="B11" s="3" t="inlineStr">
        <is>
          <t>WHO TYPES WHERE</t>
        </is>
      </c>
    </row>
    <row r="12">
      <c r="B12" s="2" t="inlineStr">
        <is>
          <t>Department managers (Onsite, Production, Consulting): fill in every white cell on your own sheet. One row per job number. Start at the top and use the next empty row.</t>
        </is>
      </c>
    </row>
    <row r="13">
      <c r="B13" s="2" t="inlineStr">
        <is>
          <t>The cells Finance needs before it can invoice are: Job Number, Client, Job Description, Cost Centre, Invoice Type, Tax Code and Expected Revenue Ex GST.</t>
        </is>
      </c>
    </row>
    <row r="14">
      <c r="B14" s="2" t="inlineStr">
        <is>
          <t>The Not Yet on Finance column checks those for you. It reads Complete, or Fix: followed by what is missing or wrong.</t>
        </is>
      </c>
    </row>
    <row r="15">
      <c r="B15" s="2" t="inlineStr">
        <is>
          <t>Finance: on the Finance sheet, type only in the yellow cells. Find the job, go to the month the invoice is dated, and type the Invoice No, Invoice Date and Ex GST.</t>
        </is>
      </c>
    </row>
    <row r="16">
      <c r="B16" s="2" t="inlineStr">
        <is>
          <t>Grey cells are formulas. They are locked so nobody can wipe them by accident.</t>
        </is>
      </c>
    </row>
    <row r="17">
      <c r="B17" s="2" t="inlineStr"/>
    </row>
    <row r="18">
      <c r="B18" s="3" t="inlineStr">
        <is>
          <t>HOW THE INFORMATION FLOWS</t>
        </is>
      </c>
    </row>
    <row r="19">
      <c r="B19" s="2" t="inlineStr">
        <is>
          <t>Department to Finance: every department row has a fixed Row ID (last column). The Finance sheet has a matching row for every Row ID, so as soon as a department types a job, the job number, client, description, cost centre, invoice type, tax code, revenue GL, PO or quote reference, notes and the expected value appear on Finance.</t>
        </is>
      </c>
    </row>
    <row r="20">
      <c r="B20" s="2" t="inlineStr">
        <is>
          <t>Finance to department: once Finance types an invoice, the department sheet shows the Invoice Date (latest), every Invoice No, the number of invoices, Revenue Ex GST (what Xero has invoiced), Invoiced (the status) and To Invoice (what is left).</t>
        </is>
      </c>
    </row>
    <row r="21">
      <c r="B21" s="2" t="inlineStr">
        <is>
          <t>So department managers can see what has been invoiced without asking Finance.</t>
        </is>
      </c>
    </row>
    <row r="22">
      <c r="B22" s="2" t="inlineStr"/>
    </row>
    <row r="23">
      <c r="B23" s="3" t="inlineStr">
        <is>
          <t>THE VARIANCE</t>
        </is>
      </c>
    </row>
    <row r="24">
      <c r="B24" s="2" t="inlineStr">
        <is>
          <t>On Finance, Dept Expected Ex GST sits next to Xero Invoiced Ex GST, then Variance Dept vs Xero, then Compare.</t>
        </is>
      </c>
    </row>
    <row r="25">
      <c r="B25" s="2" t="inlineStr">
        <is>
          <t>Variance = Dept Expected less Xero Invoiced.</t>
        </is>
      </c>
    </row>
    <row r="26">
      <c r="B26" s="2" t="inlineStr">
        <is>
          <t>Positive means the department expects more than Xero has invoiced. That is revenue still to invoice, and the row reads Dept higher - to invoice.</t>
        </is>
      </c>
    </row>
    <row r="27">
      <c r="B27" s="2" t="inlineStr">
        <is>
          <t>Zero reads Agrees. Negative reads Xero higher - check dept, which means either the department value is out of date or the job was over-billed.</t>
        </is>
      </c>
    </row>
    <row r="28">
      <c r="B28" s="2" t="inlineStr">
        <is>
          <t>Nothing invoiced yet reads Not invoiced - to invoice.</t>
        </is>
      </c>
    </row>
    <row r="29">
      <c r="B29" s="2" t="inlineStr">
        <is>
          <t>Worked example: Production sets up job 26073110 at $12,000. In August Finance types INV-5001, 20-Aug-26, $5,000 under August. Variance is $7,000 and Compare reads Dept higher - to invoice. In September Finance types INV-5090, 15-Sep-26, $7,000 under September. Variance is nil and Compare reads Agrees. The Production sheet shows Invoice No INV-5001, INV-5090 and Invoice Date 15-Sep-26.</t>
        </is>
      </c>
    </row>
    <row r="30">
      <c r="B30" s="2" t="inlineStr"/>
    </row>
    <row r="31">
      <c r="B31" s="3" t="inlineStr">
        <is>
          <t>MAKING SURE NO REVENUE IS MISSED</t>
        </is>
      </c>
    </row>
    <row r="32">
      <c r="B32" s="2" t="inlineStr">
        <is>
          <t>Month-End section 3 counts and values every job that is Not invoiced, Dept higher, or Xero higher.</t>
        </is>
      </c>
    </row>
    <row r="33">
      <c r="B33" s="2" t="inlineStr">
        <is>
          <t>FY Summary section 3 shows the same thing by department, and the total still to invoice.</t>
        </is>
      </c>
    </row>
    <row r="34">
      <c r="B34" s="2" t="inlineStr">
        <is>
          <t>On Finance, filter the Compare column to Not invoiced or Dept higher to get the list to chase.</t>
        </is>
      </c>
    </row>
    <row r="35">
      <c r="B35" s="2" t="inlineStr">
        <is>
          <t>The Issue column on Finance lists everything wrong on a row: job not in Xero, job number used twice, department information missing, an incomplete invoice, a date typed under the wrong month, or a deleted department row.</t>
        </is>
      </c>
    </row>
    <row r="36">
      <c r="B36" s="2" t="inlineStr"/>
    </row>
    <row r="37">
      <c r="B37" s="3" t="inlineStr">
        <is>
          <t>RULES THAT KEEP IT ACCURATE</t>
        </is>
      </c>
    </row>
    <row r="38">
      <c r="B38" s="2" t="inlineStr">
        <is>
          <t>Never delete a job row on a department sheet. If a job is cancelled, set Expected Revenue Ex GST to 0 and say so in Notes.</t>
        </is>
      </c>
    </row>
    <row r="39">
      <c r="B39" s="2" t="inlineStr">
        <is>
          <t>Never type over a Row ID.</t>
        </is>
      </c>
    </row>
    <row r="40">
      <c r="B40" s="2" t="inlineStr">
        <is>
          <t>Sorting is switched off on the department sheets and Finance so rows cannot be shuffled. Filtering works as normal.</t>
        </is>
      </c>
    </row>
    <row r="41">
      <c r="B41" s="2" t="inlineStr">
        <is>
          <t>If someone unprotects a sheet and sorts it anyway, nothing breaks - the Row ID travels with the row and Finance follows it. If a row is deleted, the Issue column on Finance says so.</t>
        </is>
      </c>
    </row>
    <row r="42">
      <c r="B42" s="2" t="inlineStr">
        <is>
          <t>Two invoices for one job in the same month: type both numbers in the one Invoice No cell (INV-1001, INV-1002), the later date, and the combined Ex GST.</t>
        </is>
      </c>
    </row>
    <row r="43">
      <c r="B43" s="2" t="inlineStr">
        <is>
          <t>A credit note: type it in the month it is dated, as a negative Ex GST. If that month already has an invoice for the job, net them in the one cell and list both numbers.</t>
        </is>
      </c>
    </row>
    <row r="44">
      <c r="B44" s="2" t="inlineStr">
        <is>
          <t>A video part of a production job that Xero holds on its own V job number (for example 26073110V) goes on its own Production row with cost centre VIDEO.</t>
        </is>
      </c>
    </row>
    <row r="45">
      <c r="B45" s="2" t="inlineStr"/>
    </row>
    <row r="46">
      <c r="B46" s="3" t="inlineStr">
        <is>
          <t>THE SHEETS</t>
        </is>
      </c>
    </row>
    <row r="47">
      <c r="B47" s="2" t="inlineStr">
        <is>
          <t>Finance: one row per job, all departments. Finance types the yellow invoice cells only.</t>
        </is>
      </c>
    </row>
    <row r="48">
      <c r="B48" s="2" t="inlineStr">
        <is>
          <t>Month-End: pick the month. Revenue by cost centre against the Xero P&amp;L, WIP, the missed revenue check, data checks, the WIP journal, work won and sign-off.</t>
        </is>
      </c>
    </row>
    <row r="49">
      <c r="B49" s="2" t="inlineStr">
        <is>
          <t>FY Summary: invoiced revenue by month, by cost centre and by department, and expected vs invoiced by department.</t>
        </is>
      </c>
    </row>
    <row r="50">
      <c r="B50" s="2" t="inlineStr">
        <is>
          <t>Onsite, Production, Consulting: the department sheets. Headings are unchanged from v3.</t>
        </is>
      </c>
    </row>
    <row r="51">
      <c r="B51" s="2" t="inlineStr">
        <is>
          <t>WIP Movements: manual journals between the P&amp;L and GL 11300.</t>
        </is>
      </c>
    </row>
    <row r="52">
      <c r="B52" s="2" t="inlineStr">
        <is>
          <t>WIP Summary: WIP balance job by job, to tie back to the WIP Schedule file.</t>
        </is>
      </c>
    </row>
    <row r="53">
      <c r="B53" s="2" t="inlineStr">
        <is>
          <t>Work Won: the month's won opportunities, compared against what was invoiced.</t>
        </is>
      </c>
    </row>
    <row r="54">
      <c r="B54" s="2" t="inlineStr">
        <is>
          <t>Lists: every dropdown, the Xero job list, GST rate, WIP accounts and the first month of the financial year.</t>
        </is>
      </c>
    </row>
    <row r="55">
      <c r="B55" s="2" t="inlineStr"/>
    </row>
    <row r="56">
      <c r="B56" s="3" t="inlineStr">
        <is>
          <t>LOCKS, SIZE AND NEXT YEAR</t>
        </is>
      </c>
    </row>
    <row r="57">
      <c r="B57" s="2" t="inlineStr">
        <is>
          <t>Every sheet is protected with the password CTS1234, the same as v3. The workbook structure is protected with the same password.</t>
        </is>
      </c>
    </row>
    <row r="58">
      <c r="B58" s="2" t="inlineStr">
        <is>
          <t>Each department sheet has 500 job rows. When a department gets near 500, unprotect its sheet and the Finance sheet and ask whoever maintains the file to extend both together (new Row IDs on the department sheet and matching rows on Finance).</t>
        </is>
      </c>
    </row>
    <row r="59">
      <c r="B59" s="2" t="inlineStr">
        <is>
          <t>To roll to FY28: save a copy, clear the white and yellow cells, and change Lists cell U12 to 31-Jul-27. Every month heading follows.</t>
        </is>
      </c>
    </row>
    <row r="60">
      <c r="B60" s="2" t="inlineStr"/>
    </row>
    <row r="61">
      <c r="B61" s="3" t="inlineStr">
        <is>
          <t>WHAT CHANGED FROM v3</t>
        </is>
      </c>
    </row>
    <row r="62">
      <c r="B62" s="2" t="inlineStr">
        <is>
          <t>Finance used to type the job number and cost centre on every invoice line. Now the job and cost centre come from the department, and Finance types only Invoice No, Invoice Date and Ex GST.</t>
        </is>
      </c>
    </row>
    <row r="63">
      <c r="B63" s="2" t="inlineStr">
        <is>
          <t>The Finance sheet is now one row per job with twelve monthly invoice slots, instead of one row per invoice line.</t>
        </is>
      </c>
    </row>
    <row r="64">
      <c r="B64" s="2" t="inlineStr">
        <is>
          <t>Department headings are unchanged. A Row ID column was added at the end of each department sheet to link the row to Finance.</t>
        </is>
      </c>
    </row>
    <row r="65">
      <c r="B65" s="2" t="inlineStr">
        <is>
          <t>On the department sheets: Invoiced now shows the status text from Finance. To Invoice is Expected Revenue less Revenue Ex GST. Not Yet on Finance is now the completeness check. Cost Centres shows your cost centre and its revenue GL.</t>
        </is>
      </c>
    </row>
    <row r="66">
      <c r="B66" s="2" t="inlineStr">
        <is>
          <t>Automatic deferrals (Defer Start and Defer End on an invoice line) and the Deferred Revenue sheet are gone, because Finance no longer types defer dates. Put deferral journals on WIP Movements as one row per month instead.</t>
        </is>
      </c>
    </row>
  </sheetData>
  <sheetProtection selectLockedCells="0" selectUnlockedCells="0" sheet="1" objects="0" insertRows="1" insertHyperlinks="1" autoFilter="0" scenarios="0" formatColumns="0" deleteColumns="1" insertColumns="1" pivotTables="1" deleteRows="1" formatCells="1" formatRows="0" sort="1" password="DE9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150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3" customWidth="1" min="3" max="3"/>
    <col width="24" customWidth="1" min="4" max="4"/>
    <col width="9" customWidth="1" min="5" max="5"/>
    <col width="26" customWidth="1" min="6" max="6"/>
    <col width="28" customWidth="1" min="7" max="7"/>
    <col width="13" customWidth="1" min="8" max="8"/>
    <col width="13" customWidth="1" min="9" max="9"/>
    <col width="11" customWidth="1" min="10" max="10"/>
    <col width="10" customWidth="1" min="11" max="11"/>
    <col width="16" customWidth="1" min="12" max="12"/>
    <col width="26" customWidth="1" min="13" max="13"/>
    <col width="15" customWidth="1" min="14" max="14"/>
    <col width="15" customWidth="1" min="15" max="15"/>
    <col width="15" customWidth="1" min="16" max="16"/>
    <col width="22" customWidth="1" min="17" max="17"/>
    <col width="34" customWidth="1" min="18" max="18"/>
    <col width="12" customWidth="1" min="19" max="19"/>
    <col width="11" customWidth="1" min="20" max="20"/>
    <col width="13" customWidth="1" min="21" max="21"/>
    <col width="12" customWidth="1" min="22" max="22"/>
    <col width="11" customWidth="1" min="23" max="23"/>
    <col width="13" customWidth="1" min="24" max="24"/>
    <col width="12" customWidth="1" min="25" max="25"/>
    <col width="11" customWidth="1" min="26" max="26"/>
    <col width="13" customWidth="1" min="27" max="27"/>
    <col width="12" customWidth="1" min="28" max="28"/>
    <col width="11" customWidth="1" min="29" max="29"/>
    <col width="13" customWidth="1" min="30" max="30"/>
    <col width="12" customWidth="1" min="31" max="31"/>
    <col width="11" customWidth="1" min="32" max="32"/>
    <col width="13" customWidth="1" min="33" max="33"/>
    <col width="12" customWidth="1" min="34" max="34"/>
    <col width="11" customWidth="1" min="35" max="35"/>
    <col width="13" customWidth="1" min="36" max="36"/>
    <col width="12" customWidth="1" min="37" max="37"/>
    <col width="11" customWidth="1" min="38" max="38"/>
    <col width="13" customWidth="1" min="39" max="39"/>
    <col width="12" customWidth="1" min="40" max="40"/>
    <col width="11" customWidth="1" min="41" max="41"/>
    <col width="13" customWidth="1" min="42" max="42"/>
    <col width="12" customWidth="1" min="43" max="43"/>
    <col width="11" customWidth="1" min="44" max="44"/>
    <col width="13" customWidth="1" min="45" max="45"/>
    <col width="12" customWidth="1" min="46" max="46"/>
    <col width="11" customWidth="1" min="47" max="47"/>
    <col width="13" customWidth="1" min="48" max="48"/>
    <col width="12" customWidth="1" min="49" max="49"/>
    <col width="11" customWidth="1" min="50" max="50"/>
    <col width="13" customWidth="1" min="51" max="51"/>
    <col width="12" customWidth="1" min="52" max="52"/>
    <col width="11" customWidth="1" min="53" max="53"/>
    <col width="13" customWidth="1" min="54" max="54"/>
    <col width="12" customWidth="1" min="55" max="55"/>
    <col width="13" customWidth="1" min="56" max="56"/>
    <col width="9" customWidth="1" min="57" max="57"/>
    <col width="11" customWidth="1" min="58" max="58"/>
    <col width="26" customWidth="1" min="59" max="59"/>
    <col width="30" customWidth="1" min="60" max="60"/>
    <col hidden="1" width="8" customWidth="1" min="61" max="61"/>
  </cols>
  <sheetData>
    <row r="1">
      <c r="A1" s="1" t="inlineStr">
        <is>
          <t>Finance - Job &amp; Invoice Register</t>
        </is>
      </c>
    </row>
    <row r="2" ht="30" customHeight="1">
      <c r="A2" s="4" t="inlineStr">
        <is>
          <t>Every job the departments set up appears here by itself. Finance types three things per invoice, straight off Xero, in the month the invoice is dated: Invoice No, Invoice Date and Ex GST (yellow). Everything else reads itself.</t>
        </is>
      </c>
    </row>
    <row r="3">
      <c r="A3" s="5">
        <f>"Dept Expected  "&amp;TEXT(SUBTOTAL(109,tbl_Finance[Dept Expected Ex GST]),"$#,##0.00")&amp;"      Xero Invoiced  "&amp;TEXT(SUBTOTAL(109,tbl_Finance[Xero Invoiced Ex GST]),"$#,##0.00")&amp;"      Variance  "&amp;TEXT(SUBTOTAL(109,tbl_Finance[Variance Dept vs Xero]),"$#,##0.00")&amp;"      Rows with an issue  "&amp;COUNTIF(tbl_Finance[Issue],"?*")</f>
        <v/>
      </c>
    </row>
    <row r="4">
      <c r="A4" s="6" t="inlineStr">
        <is>
          <t>YELLOW = Finance types (Invoice No, Invoice Date, Ex GST).  GREY = pulled from the department sheets or calculated.  Tip: filter Job Number and untick (Blanks) to see only live jobs.  Two invoices on one job in the same month: type both numbers in one cell (INV-1001, INV-1002), the later date and the combined Ex GST.</t>
        </is>
      </c>
    </row>
    <row r="5">
      <c r="S5" s="7">
        <f>INDEX(lst_FY27Months,1)</f>
        <v/>
      </c>
      <c r="V5" s="7">
        <f>INDEX(lst_FY27Months,2)</f>
        <v/>
      </c>
      <c r="Y5" s="7">
        <f>INDEX(lst_FY27Months,3)</f>
        <v/>
      </c>
      <c r="AB5" s="7">
        <f>INDEX(lst_FY27Months,4)</f>
        <v/>
      </c>
      <c r="AE5" s="7">
        <f>INDEX(lst_FY27Months,5)</f>
        <v/>
      </c>
      <c r="AH5" s="7">
        <f>INDEX(lst_FY27Months,6)</f>
        <v/>
      </c>
      <c r="AK5" s="7">
        <f>INDEX(lst_FY27Months,7)</f>
        <v/>
      </c>
      <c r="AN5" s="7">
        <f>INDEX(lst_FY27Months,8)</f>
        <v/>
      </c>
      <c r="AQ5" s="7">
        <f>INDEX(lst_FY27Months,9)</f>
        <v/>
      </c>
      <c r="AT5" s="7">
        <f>INDEX(lst_FY27Months,10)</f>
        <v/>
      </c>
      <c r="AW5" s="7">
        <f>INDEX(lst_FY27Months,11)</f>
        <v/>
      </c>
      <c r="AZ5" s="7">
        <f>INDEX(lst_FY27Months,12)</f>
        <v/>
      </c>
    </row>
    <row r="6" ht="34" customHeight="1">
      <c r="A6" s="8" t="inlineStr">
        <is>
          <t>Row ID</t>
        </is>
      </c>
      <c r="B6" s="8" t="inlineStr">
        <is>
          <t>Department</t>
        </is>
      </c>
      <c r="C6" s="8" t="inlineStr">
        <is>
          <t>Job Number</t>
        </is>
      </c>
      <c r="D6" s="8" t="inlineStr">
        <is>
          <t>Client</t>
        </is>
      </c>
      <c r="E6" s="8" t="inlineStr">
        <is>
          <t>Job in Xero?</t>
        </is>
      </c>
      <c r="F6" s="8" t="inlineStr">
        <is>
          <t>Job Name (Xero)</t>
        </is>
      </c>
      <c r="G6" s="8" t="inlineStr">
        <is>
          <t>Job Description</t>
        </is>
      </c>
      <c r="H6" s="8" t="inlineStr">
        <is>
          <t>Cost Centre</t>
        </is>
      </c>
      <c r="I6" s="8" t="inlineStr">
        <is>
          <t>Invoice Type</t>
        </is>
      </c>
      <c r="J6" s="8" t="inlineStr">
        <is>
          <t>Tax Code</t>
        </is>
      </c>
      <c r="K6" s="8" t="inlineStr">
        <is>
          <t>Revenue GL</t>
        </is>
      </c>
      <c r="L6" s="8" t="inlineStr">
        <is>
          <t>PO or Quote Ref</t>
        </is>
      </c>
      <c r="M6" s="8" t="inlineStr">
        <is>
          <t>Dept Notes</t>
        </is>
      </c>
      <c r="N6" s="8" t="inlineStr">
        <is>
          <t>Dept Expected Ex GST</t>
        </is>
      </c>
      <c r="O6" s="8" t="inlineStr">
        <is>
          <t>Xero Invoiced Ex GST</t>
        </is>
      </c>
      <c r="P6" s="8" t="inlineStr">
        <is>
          <t>Variance Dept vs Xero</t>
        </is>
      </c>
      <c r="Q6" s="8" t="inlineStr">
        <is>
          <t>Compare</t>
        </is>
      </c>
      <c r="R6" s="8" t="inlineStr">
        <is>
          <t>Issue</t>
        </is>
      </c>
      <c r="S6" s="9" t="inlineStr">
        <is>
          <t>Jul Invoice No</t>
        </is>
      </c>
      <c r="T6" s="9" t="inlineStr">
        <is>
          <t>Jul Invoice Date</t>
        </is>
      </c>
      <c r="U6" s="9" t="inlineStr">
        <is>
          <t>Jul Ex GST</t>
        </is>
      </c>
      <c r="V6" s="9" t="inlineStr">
        <is>
          <t>Aug Invoice No</t>
        </is>
      </c>
      <c r="W6" s="9" t="inlineStr">
        <is>
          <t>Aug Invoice Date</t>
        </is>
      </c>
      <c r="X6" s="9" t="inlineStr">
        <is>
          <t>Aug Ex GST</t>
        </is>
      </c>
      <c r="Y6" s="9" t="inlineStr">
        <is>
          <t>Sep Invoice No</t>
        </is>
      </c>
      <c r="Z6" s="9" t="inlineStr">
        <is>
          <t>Sep Invoice Date</t>
        </is>
      </c>
      <c r="AA6" s="9" t="inlineStr">
        <is>
          <t>Sep Ex GST</t>
        </is>
      </c>
      <c r="AB6" s="9" t="inlineStr">
        <is>
          <t>Oct Invoice No</t>
        </is>
      </c>
      <c r="AC6" s="9" t="inlineStr">
        <is>
          <t>Oct Invoice Date</t>
        </is>
      </c>
      <c r="AD6" s="9" t="inlineStr">
        <is>
          <t>Oct Ex GST</t>
        </is>
      </c>
      <c r="AE6" s="9" t="inlineStr">
        <is>
          <t>Nov Invoice No</t>
        </is>
      </c>
      <c r="AF6" s="9" t="inlineStr">
        <is>
          <t>Nov Invoice Date</t>
        </is>
      </c>
      <c r="AG6" s="9" t="inlineStr">
        <is>
          <t>Nov Ex GST</t>
        </is>
      </c>
      <c r="AH6" s="9" t="inlineStr">
        <is>
          <t>Dec Invoice No</t>
        </is>
      </c>
      <c r="AI6" s="9" t="inlineStr">
        <is>
          <t>Dec Invoice Date</t>
        </is>
      </c>
      <c r="AJ6" s="9" t="inlineStr">
        <is>
          <t>Dec Ex GST</t>
        </is>
      </c>
      <c r="AK6" s="9" t="inlineStr">
        <is>
          <t>Jan Invoice No</t>
        </is>
      </c>
      <c r="AL6" s="9" t="inlineStr">
        <is>
          <t>Jan Invoice Date</t>
        </is>
      </c>
      <c r="AM6" s="9" t="inlineStr">
        <is>
          <t>Jan Ex GST</t>
        </is>
      </c>
      <c r="AN6" s="9" t="inlineStr">
        <is>
          <t>Feb Invoice No</t>
        </is>
      </c>
      <c r="AO6" s="9" t="inlineStr">
        <is>
          <t>Feb Invoice Date</t>
        </is>
      </c>
      <c r="AP6" s="9" t="inlineStr">
        <is>
          <t>Feb Ex GST</t>
        </is>
      </c>
      <c r="AQ6" s="9" t="inlineStr">
        <is>
          <t>Mar Invoice No</t>
        </is>
      </c>
      <c r="AR6" s="9" t="inlineStr">
        <is>
          <t>Mar Invoice Date</t>
        </is>
      </c>
      <c r="AS6" s="9" t="inlineStr">
        <is>
          <t>Mar Ex GST</t>
        </is>
      </c>
      <c r="AT6" s="9" t="inlineStr">
        <is>
          <t>Apr Invoice No</t>
        </is>
      </c>
      <c r="AU6" s="9" t="inlineStr">
        <is>
          <t>Apr Invoice Date</t>
        </is>
      </c>
      <c r="AV6" s="9" t="inlineStr">
        <is>
          <t>Apr Ex GST</t>
        </is>
      </c>
      <c r="AW6" s="9" t="inlineStr">
        <is>
          <t>May Invoice No</t>
        </is>
      </c>
      <c r="AX6" s="9" t="inlineStr">
        <is>
          <t>May Invoice Date</t>
        </is>
      </c>
      <c r="AY6" s="9" t="inlineStr">
        <is>
          <t>May Ex GST</t>
        </is>
      </c>
      <c r="AZ6" s="9" t="inlineStr">
        <is>
          <t>Jun Invoice No</t>
        </is>
      </c>
      <c r="BA6" s="9" t="inlineStr">
        <is>
          <t>Jun Invoice Date</t>
        </is>
      </c>
      <c r="BB6" s="9" t="inlineStr">
        <is>
          <t>Jun Ex GST</t>
        </is>
      </c>
      <c r="BC6" s="8" t="inlineStr">
        <is>
          <t>GST</t>
        </is>
      </c>
      <c r="BD6" s="8" t="inlineStr">
        <is>
          <t>Inc GST</t>
        </is>
      </c>
      <c r="BE6" s="8" t="inlineStr">
        <is>
          <t>Invoice Count</t>
        </is>
      </c>
      <c r="BF6" s="8" t="inlineStr">
        <is>
          <t>Latest Invoice Date</t>
        </is>
      </c>
      <c r="BG6" s="8" t="inlineStr">
        <is>
          <t>Invoice Numbers</t>
        </is>
      </c>
      <c r="BH6" s="9" t="inlineStr">
        <is>
          <t>Finance Notes</t>
        </is>
      </c>
      <c r="BI6" s="8" t="inlineStr">
        <is>
          <t>Dept Row</t>
        </is>
      </c>
    </row>
    <row r="7">
      <c r="A7" s="10" t="inlineStr">
        <is>
          <t>ONS-0001</t>
        </is>
      </c>
      <c r="B7" s="10" t="inlineStr">
        <is>
          <t>Onsite</t>
        </is>
      </c>
      <c r="C7" s="10">
        <f>IF($BI7="","",IF($B7="Onsite",INDEX(tbl_Onsite[Job Number],$BI7),IF($B7="Production",INDEX(tbl_Production[Job Number],$BI7),INDEX(tbl_Consulting[Job Number],$BI7)))&amp;"")</f>
        <v/>
      </c>
      <c r="D7" s="10">
        <f>IF($BI7="","",IF($B7="Onsite",INDEX(tbl_Onsite[Client],$BI7),IF($B7="Production",INDEX(tbl_Production[Client],$BI7),INDEX(tbl_Consulting[Client],$BI7)))&amp;"")</f>
        <v/>
      </c>
      <c r="E7" s="10">
        <f>IF($C7="","",IF(COUNTIF(lst_Jobs,$C7)&gt;0,"OK","CHECK"))</f>
        <v/>
      </c>
      <c r="F7" s="10">
        <f>IF($C7="","",IFERROR(INDEX(lst_JobName,MATCH($C7,lst_Jobs,0)),""))</f>
        <v/>
      </c>
      <c r="G7" s="10">
        <f>IF($BI7="","",IF($B7="Onsite",INDEX(tbl_Onsite[Job Description],$BI7),IF($B7="Production",INDEX(tbl_Production[Job Description],$BI7),INDEX(tbl_Consulting[Job Description],$BI7)))&amp;"")</f>
        <v/>
      </c>
      <c r="H7" s="10">
        <f>IF($BI7="","",IF($B7="Onsite",INDEX(tbl_Onsite[Cost Centre],$BI7),IF($B7="Production",INDEX(tbl_Production[Cost Centre],$BI7),INDEX(tbl_Consulting[Cost Centre],$BI7)))&amp;"")</f>
        <v/>
      </c>
      <c r="I7" s="10">
        <f>IF($BI7="","",IF($B7="Onsite",INDEX(tbl_Onsite[Invoice Type],$BI7),IF($B7="Production",INDEX(tbl_Production[Invoice Type],$BI7),INDEX(tbl_Consulting[Invoice Type],$BI7)))&amp;"")</f>
        <v/>
      </c>
      <c r="J7" s="10">
        <f>IF($BI7="","",IF($B7="Onsite",INDEX(tbl_Onsite[Tax Code],$BI7),IF($B7="Production",INDEX(tbl_Production[Tax Code],$BI7),INDEX(tbl_Consulting[Tax Code],$BI7)))&amp;"")</f>
        <v/>
      </c>
      <c r="K7" s="10">
        <f>IF(H7="","",IFERROR(INDEX(lst_CCtoGL,MATCH(H7,lst_CCforGL,0)),""))</f>
        <v/>
      </c>
      <c r="L7" s="10">
        <f>IF($BI7="","",IF($B7="Onsite",INDEX(tbl_Onsite[PO / Reference],$BI7),IF($B7="Production",INDEX(tbl_Production[Current RMS No],$BI7),INDEX(tbl_Consulting[Qwilr Quote],$BI7)))&amp;"")</f>
        <v/>
      </c>
      <c r="M7" s="10">
        <f>IF($BI7="","",IF($B7="Onsite",INDEX(tbl_Onsite[Notes],$BI7),IF($B7="Production",INDEX(tbl_Production[Notes],$BI7),INDEX(tbl_Consulting[Notes],$BI7)))&amp;"")</f>
        <v/>
      </c>
      <c r="N7" s="11">
        <f>IF($BI7="","",IF(IF($B7="Onsite",INDEX(tbl_Onsite[Expected Revenue Ex GST],$BI7),IF($B7="Production",INDEX(tbl_Production[Expected Revenue Ex GST],$BI7),INDEX(tbl_Consulting[Expected Revenue Ex GST],$BI7)))="","",IF($B7="Onsite",INDEX(tbl_Onsite[Expected Revenue Ex GST],$BI7),IF($B7="Production",INDEX(tbl_Production[Expected Revenue Ex GST],$BI7),INDEX(tbl_Consulting[Expected Revenue Ex GST],$BI7)))))</f>
        <v/>
      </c>
      <c r="O7" s="11">
        <f>IF(AND($C7="",NOT(COUNTA($S7:$BB7)&gt;0)),"",SUM(U7,X7,AA7,AD7,AG7,AJ7,AM7,AP7,AS7,AV7,AY7,BB7))</f>
        <v/>
      </c>
      <c r="P7" s="11">
        <f>IF(O7="","",N(N7)-O7)</f>
        <v/>
      </c>
      <c r="Q7" s="10">
        <f>IF(O7="","",IF($C7="","Invoice on empty job row",IF(N7="",IF(ROUND(O7,2)=0,"No dept value","Invoiced - no dept value"),IF(ROUND(O7,2)=0,"Not invoiced - to invoice",IF(ROUND(P7,2)=0,"Agrees",IF(P7&gt;0,"Dept higher - to invoice","Xero higher - check dept"))))))</f>
        <v/>
      </c>
      <c r="R7" s="10">
        <f>IF(AND($C7="",NOT(COUNTA($S7:$BB7)&gt;0),$BI7&lt;&gt;""),"",MID(IF($BI7="","; Row ID not found on the department sheet - a row was deleted","")&amp;IF(AND($C7="",COUNTA($S7:$BB7)&gt;0),"; Invoice entered but the department row has no job number","")&amp;IF(E7="CHECK","; Job number not in the Xero job list","")&amp;IF(AND($C7&lt;&gt;"",COUNTIF($C$7:$C$1506,$C7)&gt;1),"; Job number on more than one row","")&amp;IF(AND($C7&lt;&gt;"",H7=""),"; Dept has not set a cost centre","")&amp;IF(AND($C7&lt;&gt;"",J7=""),"; Dept has not set a tax code","")&amp;IF(AND($C7&lt;&gt;"",N7=""),"; Dept has not entered an expected value","")&amp;IF((IF(OR(COUNTA(S7:U7)=0,AND(COUNTA(S7:U7)=3,ISNUMBER(U7))),0,1)+IF(OR(COUNTA(V7:X7)=0,AND(COUNTA(V7:X7)=3,ISNUMBER(X7))),0,1)+IF(OR(COUNTA(Y7:AA7)=0,AND(COUNTA(Y7:AA7)=3,ISNUMBER(AA7))),0,1)+IF(OR(COUNTA(AB7:AD7)=0,AND(COUNTA(AB7:AD7)=3,ISNUMBER(AD7))),0,1)+IF(OR(COUNTA(AE7:AG7)=0,AND(COUNTA(AE7:AG7)=3,ISNUMBER(AG7))),0,1)+IF(OR(COUNTA(AH7:AJ7)=0,AND(COUNTA(AH7:AJ7)=3,ISNUMBER(AJ7))),0,1)+IF(OR(COUNTA(AK7:AM7)=0,AND(COUNTA(AK7:AM7)=3,ISNUMBER(AM7))),0,1)+IF(OR(COUNTA(AN7:AP7)=0,AND(COUNTA(AN7:AP7)=3,ISNUMBER(AP7))),0,1)+IF(OR(COUNTA(AQ7:AS7)=0,AND(COUNTA(AQ7:AS7)=3,ISNUMBER(AS7))),0,1)+IF(OR(COUNTA(AT7:AV7)=0,AND(COUNTA(AT7:AV7)=3,ISNUMBER(AV7))),0,1)+IF(OR(COUNTA(AW7:AY7)=0,AND(COUNTA(AW7:AY7)=3,ISNUMBER(AY7))),0,1)+IF(OR(COUNTA(AZ7:BB7)=0,AND(COUNTA(AZ7:BB7)=3,ISNUMBER(BB7))),0,1))&gt;0,"; An invoice is incomplete (needs No, Date and a number in Ex GST)","")&amp;IF((IF(T7="",0,IFERROR(--(EOMONTH(T7,0)&lt;&gt;S$5),1))+IF(W7="",0,IFERROR(--(EOMONTH(W7,0)&lt;&gt;V$5),1))+IF(Z7="",0,IFERROR(--(EOMONTH(Z7,0)&lt;&gt;Y$5),1))+IF(AC7="",0,IFERROR(--(EOMONTH(AC7,0)&lt;&gt;AB$5),1))+IF(AF7="",0,IFERROR(--(EOMONTH(AF7,0)&lt;&gt;AE$5),1))+IF(AI7="",0,IFERROR(--(EOMONTH(AI7,0)&lt;&gt;AH$5),1))+IF(AL7="",0,IFERROR(--(EOMONTH(AL7,0)&lt;&gt;AK$5),1))+IF(AO7="",0,IFERROR(--(EOMONTH(AO7,0)&lt;&gt;AN$5),1))+IF(AR7="",0,IFERROR(--(EOMONTH(AR7,0)&lt;&gt;AQ$5),1))+IF(AU7="",0,IFERROR(--(EOMONTH(AU7,0)&lt;&gt;AT$5),1))+IF(AX7="",0,IFERROR(--(EOMONTH(AX7,0)&lt;&gt;AW$5),1))+IF(BA7="",0,IFERROR(--(EOMONTH(BA7,0)&lt;&gt;AZ$5),1)))&gt;0,"; An invoice date is not in the month it is typed under",""),3,500))</f>
        <v/>
      </c>
      <c r="S7" s="12" t="n"/>
      <c r="T7" s="13" t="n"/>
      <c r="U7" s="14" t="n"/>
      <c r="V7" s="12" t="n"/>
      <c r="W7" s="13" t="n"/>
      <c r="X7" s="14" t="n"/>
      <c r="Y7" s="12" t="n"/>
      <c r="Z7" s="13" t="n"/>
      <c r="AA7" s="14" t="n"/>
      <c r="AB7" s="12" t="n"/>
      <c r="AC7" s="13" t="n"/>
      <c r="AD7" s="14" t="n"/>
      <c r="AE7" s="12" t="n"/>
      <c r="AF7" s="13" t="n"/>
      <c r="AG7" s="14" t="n"/>
      <c r="AH7" s="12" t="n"/>
      <c r="AI7" s="13" t="n"/>
      <c r="AJ7" s="14" t="n"/>
      <c r="AK7" s="12" t="n"/>
      <c r="AL7" s="13" t="n"/>
      <c r="AM7" s="14" t="n"/>
      <c r="AN7" s="12" t="n"/>
      <c r="AO7" s="13" t="n"/>
      <c r="AP7" s="14" t="n"/>
      <c r="AQ7" s="12" t="n"/>
      <c r="AR7" s="13" t="n"/>
      <c r="AS7" s="14" t="n"/>
      <c r="AT7" s="12" t="n"/>
      <c r="AU7" s="13" t="n"/>
      <c r="AV7" s="14" t="n"/>
      <c r="AW7" s="12" t="n"/>
      <c r="AX7" s="13" t="n"/>
      <c r="AY7" s="14" t="n"/>
      <c r="AZ7" s="12" t="n"/>
      <c r="BA7" s="13" t="n"/>
      <c r="BB7" s="14" t="n"/>
      <c r="BC7" s="11">
        <f>IF(O7="","",IF(J7="GST 10%",ROUND(O7*set_GSTRate,2),0))</f>
        <v/>
      </c>
      <c r="BD7" s="11">
        <f>IF(O7="","",O7+BC7)</f>
        <v/>
      </c>
      <c r="BE7" s="15">
        <f>IF(O7="","",COUNTA(S7,V7,Y7,AB7,AE7,AH7,AK7,AN7,AQ7,AT7,AW7,AZ7))</f>
        <v/>
      </c>
      <c r="BF7" s="16">
        <f>IF(COUNT(T7,W7,Z7,AC7,AF7,AI7,AL7,AO7,AR7,AU7,AX7,BA7)=0,"",MAX(T7,W7,Z7,AC7,AF7,AI7,AL7,AO7,AR7,AU7,AX7,BA7))</f>
        <v/>
      </c>
      <c r="BG7" s="10">
        <f>MID(IF(S7="","",", "&amp;S7)&amp;IF(V7="","",", "&amp;V7)&amp;IF(Y7="","",", "&amp;Y7)&amp;IF(AB7="","",", "&amp;AB7)&amp;IF(AE7="","",", "&amp;AE7)&amp;IF(AH7="","",", "&amp;AH7)&amp;IF(AK7="","",", "&amp;AK7)&amp;IF(AN7="","",", "&amp;AN7)&amp;IF(AQ7="","",", "&amp;AQ7)&amp;IF(AT7="","",", "&amp;AT7)&amp;IF(AW7="","",", "&amp;AW7)&amp;IF(AZ7="","",", "&amp;AZ7),3,500)</f>
        <v/>
      </c>
      <c r="BH7" s="12" t="n"/>
      <c r="BI7" s="15">
        <f>IFERROR(MATCH($A7,IF($B7="Onsite",tbl_Onsite[Row ID],IF($B7="Production",tbl_Production[Row ID],tbl_Consulting[Row ID])),0),"")</f>
        <v/>
      </c>
    </row>
    <row r="8">
      <c r="A8" s="10" t="inlineStr">
        <is>
          <t>ONS-0002</t>
        </is>
      </c>
      <c r="B8" s="10" t="inlineStr">
        <is>
          <t>Onsite</t>
        </is>
      </c>
      <c r="C8" s="10">
        <f>IF($BI8="","",IF($B8="Onsite",INDEX(tbl_Onsite[Job Number],$BI8),IF($B8="Production",INDEX(tbl_Production[Job Number],$BI8),INDEX(tbl_Consulting[Job Number],$BI8)))&amp;"")</f>
        <v/>
      </c>
      <c r="D8" s="10">
        <f>IF($BI8="","",IF($B8="Onsite",INDEX(tbl_Onsite[Client],$BI8),IF($B8="Production",INDEX(tbl_Production[Client],$BI8),INDEX(tbl_Consulting[Client],$BI8)))&amp;"")</f>
        <v/>
      </c>
      <c r="E8" s="10">
        <f>IF($C8="","",IF(COUNTIF(lst_Jobs,$C8)&gt;0,"OK","CHECK"))</f>
        <v/>
      </c>
      <c r="F8" s="10">
        <f>IF($C8="","",IFERROR(INDEX(lst_JobName,MATCH($C8,lst_Jobs,0)),""))</f>
        <v/>
      </c>
      <c r="G8" s="10">
        <f>IF($BI8="","",IF($B8="Onsite",INDEX(tbl_Onsite[Job Description],$BI8),IF($B8="Production",INDEX(tbl_Production[Job Description],$BI8),INDEX(tbl_Consulting[Job Description],$BI8)))&amp;"")</f>
        <v/>
      </c>
      <c r="H8" s="10">
        <f>IF($BI8="","",IF($B8="Onsite",INDEX(tbl_Onsite[Cost Centre],$BI8),IF($B8="Production",INDEX(tbl_Production[Cost Centre],$BI8),INDEX(tbl_Consulting[Cost Centre],$BI8)))&amp;"")</f>
        <v/>
      </c>
      <c r="I8" s="10">
        <f>IF($BI8="","",IF($B8="Onsite",INDEX(tbl_Onsite[Invoice Type],$BI8),IF($B8="Production",INDEX(tbl_Production[Invoice Type],$BI8),INDEX(tbl_Consulting[Invoice Type],$BI8)))&amp;"")</f>
        <v/>
      </c>
      <c r="J8" s="10">
        <f>IF($BI8="","",IF($B8="Onsite",INDEX(tbl_Onsite[Tax Code],$BI8),IF($B8="Production",INDEX(tbl_Production[Tax Code],$BI8),INDEX(tbl_Consulting[Tax Code],$BI8)))&amp;"")</f>
        <v/>
      </c>
      <c r="K8" s="10">
        <f>IF(H8="","",IFERROR(INDEX(lst_CCtoGL,MATCH(H8,lst_CCforGL,0)),""))</f>
        <v/>
      </c>
      <c r="L8" s="10">
        <f>IF($BI8="","",IF($B8="Onsite",INDEX(tbl_Onsite[PO / Reference],$BI8),IF($B8="Production",INDEX(tbl_Production[Current RMS No],$BI8),INDEX(tbl_Consulting[Qwilr Quote],$BI8)))&amp;"")</f>
        <v/>
      </c>
      <c r="M8" s="10">
        <f>IF($BI8="","",IF($B8="Onsite",INDEX(tbl_Onsite[Notes],$BI8),IF($B8="Production",INDEX(tbl_Production[Notes],$BI8),INDEX(tbl_Consulting[Notes],$BI8)))&amp;"")</f>
        <v/>
      </c>
      <c r="N8" s="11">
        <f>IF($BI8="","",IF(IF($B8="Onsite",INDEX(tbl_Onsite[Expected Revenue Ex GST],$BI8),IF($B8="Production",INDEX(tbl_Production[Expected Revenue Ex GST],$BI8),INDEX(tbl_Consulting[Expected Revenue Ex GST],$BI8)))="","",IF($B8="Onsite",INDEX(tbl_Onsite[Expected Revenue Ex GST],$BI8),IF($B8="Production",INDEX(tbl_Production[Expected Revenue Ex GST],$BI8),INDEX(tbl_Consulting[Expected Revenue Ex GST],$BI8)))))</f>
        <v/>
      </c>
      <c r="O8" s="11">
        <f>IF(AND($C8="",NOT(COUNTA($S8:$BB8)&gt;0)),"",SUM(U8,X8,AA8,AD8,AG8,AJ8,AM8,AP8,AS8,AV8,AY8,BB8))</f>
        <v/>
      </c>
      <c r="P8" s="11">
        <f>IF(O8="","",N(N8)-O8)</f>
        <v/>
      </c>
      <c r="Q8" s="10">
        <f>IF(O8="","",IF($C8="","Invoice on empty job row",IF(N8="",IF(ROUND(O8,2)=0,"No dept value","Invoiced - no dept value"),IF(ROUND(O8,2)=0,"Not invoiced - to invoice",IF(ROUND(P8,2)=0,"Agrees",IF(P8&gt;0,"Dept higher - to invoice","Xero higher - check dept"))))))</f>
        <v/>
      </c>
      <c r="R8" s="10">
        <f>IF(AND($C8="",NOT(COUNTA($S8:$BB8)&gt;0),$BI8&lt;&gt;""),"",MID(IF($BI8="","; Row ID not found on the department sheet - a row was deleted","")&amp;IF(AND($C8="",COUNTA($S8:$BB8)&gt;0),"; Invoice entered but the department row has no job number","")&amp;IF(E8="CHECK","; Job number not in the Xero job list","")&amp;IF(AND($C8&lt;&gt;"",COUNTIF($C$7:$C$1506,$C8)&gt;1),"; Job number on more than one row","")&amp;IF(AND($C8&lt;&gt;"",H8=""),"; Dept has not set a cost centre","")&amp;IF(AND($C8&lt;&gt;"",J8=""),"; Dept has not set a tax code","")&amp;IF(AND($C8&lt;&gt;"",N8=""),"; Dept has not entered an expected value","")&amp;IF((IF(OR(COUNTA(S8:U8)=0,AND(COUNTA(S8:U8)=3,ISNUMBER(U8))),0,1)+IF(OR(COUNTA(V8:X8)=0,AND(COUNTA(V8:X8)=3,ISNUMBER(X8))),0,1)+IF(OR(COUNTA(Y8:AA8)=0,AND(COUNTA(Y8:AA8)=3,ISNUMBER(AA8))),0,1)+IF(OR(COUNTA(AB8:AD8)=0,AND(COUNTA(AB8:AD8)=3,ISNUMBER(AD8))),0,1)+IF(OR(COUNTA(AE8:AG8)=0,AND(COUNTA(AE8:AG8)=3,ISNUMBER(AG8))),0,1)+IF(OR(COUNTA(AH8:AJ8)=0,AND(COUNTA(AH8:AJ8)=3,ISNUMBER(AJ8))),0,1)+IF(OR(COUNTA(AK8:AM8)=0,AND(COUNTA(AK8:AM8)=3,ISNUMBER(AM8))),0,1)+IF(OR(COUNTA(AN8:AP8)=0,AND(COUNTA(AN8:AP8)=3,ISNUMBER(AP8))),0,1)+IF(OR(COUNTA(AQ8:AS8)=0,AND(COUNTA(AQ8:AS8)=3,ISNUMBER(AS8))),0,1)+IF(OR(COUNTA(AT8:AV8)=0,AND(COUNTA(AT8:AV8)=3,ISNUMBER(AV8))),0,1)+IF(OR(COUNTA(AW8:AY8)=0,AND(COUNTA(AW8:AY8)=3,ISNUMBER(AY8))),0,1)+IF(OR(COUNTA(AZ8:BB8)=0,AND(COUNTA(AZ8:BB8)=3,ISNUMBER(BB8))),0,1))&gt;0,"; An invoice is incomplete (needs No, Date and a number in Ex GST)","")&amp;IF((IF(T8="",0,IFERROR(--(EOMONTH(T8,0)&lt;&gt;S$5),1))+IF(W8="",0,IFERROR(--(EOMONTH(W8,0)&lt;&gt;V$5),1))+IF(Z8="",0,IFERROR(--(EOMONTH(Z8,0)&lt;&gt;Y$5),1))+IF(AC8="",0,IFERROR(--(EOMONTH(AC8,0)&lt;&gt;AB$5),1))+IF(AF8="",0,IFERROR(--(EOMONTH(AF8,0)&lt;&gt;AE$5),1))+IF(AI8="",0,IFERROR(--(EOMONTH(AI8,0)&lt;&gt;AH$5),1))+IF(AL8="",0,IFERROR(--(EOMONTH(AL8,0)&lt;&gt;AK$5),1))+IF(AO8="",0,IFERROR(--(EOMONTH(AO8,0)&lt;&gt;AN$5),1))+IF(AR8="",0,IFERROR(--(EOMONTH(AR8,0)&lt;&gt;AQ$5),1))+IF(AU8="",0,IFERROR(--(EOMONTH(AU8,0)&lt;&gt;AT$5),1))+IF(AX8="",0,IFERROR(--(EOMONTH(AX8,0)&lt;&gt;AW$5),1))+IF(BA8="",0,IFERROR(--(EOMONTH(BA8,0)&lt;&gt;AZ$5),1)))&gt;0,"; An invoice date is not in the month it is typed under",""),3,500))</f>
        <v/>
      </c>
      <c r="S8" s="12" t="n"/>
      <c r="T8" s="13" t="n"/>
      <c r="U8" s="14" t="n"/>
      <c r="V8" s="12" t="n"/>
      <c r="W8" s="13" t="n"/>
      <c r="X8" s="14" t="n"/>
      <c r="Y8" s="12" t="n"/>
      <c r="Z8" s="13" t="n"/>
      <c r="AA8" s="14" t="n"/>
      <c r="AB8" s="12" t="n"/>
      <c r="AC8" s="13" t="n"/>
      <c r="AD8" s="14" t="n"/>
      <c r="AE8" s="12" t="n"/>
      <c r="AF8" s="13" t="n"/>
      <c r="AG8" s="14" t="n"/>
      <c r="AH8" s="12" t="n"/>
      <c r="AI8" s="13" t="n"/>
      <c r="AJ8" s="14" t="n"/>
      <c r="AK8" s="12" t="n"/>
      <c r="AL8" s="13" t="n"/>
      <c r="AM8" s="14" t="n"/>
      <c r="AN8" s="12" t="n"/>
      <c r="AO8" s="13" t="n"/>
      <c r="AP8" s="14" t="n"/>
      <c r="AQ8" s="12" t="n"/>
      <c r="AR8" s="13" t="n"/>
      <c r="AS8" s="14" t="n"/>
      <c r="AT8" s="12" t="n"/>
      <c r="AU8" s="13" t="n"/>
      <c r="AV8" s="14" t="n"/>
      <c r="AW8" s="12" t="n"/>
      <c r="AX8" s="13" t="n"/>
      <c r="AY8" s="14" t="n"/>
      <c r="AZ8" s="12" t="n"/>
      <c r="BA8" s="13" t="n"/>
      <c r="BB8" s="14" t="n"/>
      <c r="BC8" s="11">
        <f>IF(O8="","",IF(J8="GST 10%",ROUND(O8*set_GSTRate,2),0))</f>
        <v/>
      </c>
      <c r="BD8" s="11">
        <f>IF(O8="","",O8+BC8)</f>
        <v/>
      </c>
      <c r="BE8" s="15">
        <f>IF(O8="","",COUNTA(S8,V8,Y8,AB8,AE8,AH8,AK8,AN8,AQ8,AT8,AW8,AZ8))</f>
        <v/>
      </c>
      <c r="BF8" s="16">
        <f>IF(COUNT(T8,W8,Z8,AC8,AF8,AI8,AL8,AO8,AR8,AU8,AX8,BA8)=0,"",MAX(T8,W8,Z8,AC8,AF8,AI8,AL8,AO8,AR8,AU8,AX8,BA8))</f>
        <v/>
      </c>
      <c r="BG8" s="10">
        <f>MID(IF(S8="","",", "&amp;S8)&amp;IF(V8="","",", "&amp;V8)&amp;IF(Y8="","",", "&amp;Y8)&amp;IF(AB8="","",", "&amp;AB8)&amp;IF(AE8="","",", "&amp;AE8)&amp;IF(AH8="","",", "&amp;AH8)&amp;IF(AK8="","",", "&amp;AK8)&amp;IF(AN8="","",", "&amp;AN8)&amp;IF(AQ8="","",", "&amp;AQ8)&amp;IF(AT8="","",", "&amp;AT8)&amp;IF(AW8="","",", "&amp;AW8)&amp;IF(AZ8="","",", "&amp;AZ8),3,500)</f>
        <v/>
      </c>
      <c r="BH8" s="12" t="n"/>
      <c r="BI8" s="15">
        <f>IFERROR(MATCH($A8,IF($B8="Onsite",tbl_Onsite[Row ID],IF($B8="Production",tbl_Production[Row ID],tbl_Consulting[Row ID])),0),"")</f>
        <v/>
      </c>
    </row>
    <row r="9">
      <c r="A9" s="10" t="inlineStr">
        <is>
          <t>ONS-0003</t>
        </is>
      </c>
      <c r="B9" s="10" t="inlineStr">
        <is>
          <t>Onsite</t>
        </is>
      </c>
      <c r="C9" s="10">
        <f>IF($BI9="","",IF($B9="Onsite",INDEX(tbl_Onsite[Job Number],$BI9),IF($B9="Production",INDEX(tbl_Production[Job Number],$BI9),INDEX(tbl_Consulting[Job Number],$BI9)))&amp;"")</f>
        <v/>
      </c>
      <c r="D9" s="10">
        <f>IF($BI9="","",IF($B9="Onsite",INDEX(tbl_Onsite[Client],$BI9),IF($B9="Production",INDEX(tbl_Production[Client],$BI9),INDEX(tbl_Consulting[Client],$BI9)))&amp;"")</f>
        <v/>
      </c>
      <c r="E9" s="10">
        <f>IF($C9="","",IF(COUNTIF(lst_Jobs,$C9)&gt;0,"OK","CHECK"))</f>
        <v/>
      </c>
      <c r="F9" s="10">
        <f>IF($C9="","",IFERROR(INDEX(lst_JobName,MATCH($C9,lst_Jobs,0)),""))</f>
        <v/>
      </c>
      <c r="G9" s="10">
        <f>IF($BI9="","",IF($B9="Onsite",INDEX(tbl_Onsite[Job Description],$BI9),IF($B9="Production",INDEX(tbl_Production[Job Description],$BI9),INDEX(tbl_Consulting[Job Description],$BI9)))&amp;"")</f>
        <v/>
      </c>
      <c r="H9" s="10">
        <f>IF($BI9="","",IF($B9="Onsite",INDEX(tbl_Onsite[Cost Centre],$BI9),IF($B9="Production",INDEX(tbl_Production[Cost Centre],$BI9),INDEX(tbl_Consulting[Cost Centre],$BI9)))&amp;"")</f>
        <v/>
      </c>
      <c r="I9" s="10">
        <f>IF($BI9="","",IF($B9="Onsite",INDEX(tbl_Onsite[Invoice Type],$BI9),IF($B9="Production",INDEX(tbl_Production[Invoice Type],$BI9),INDEX(tbl_Consulting[Invoice Type],$BI9)))&amp;"")</f>
        <v/>
      </c>
      <c r="J9" s="10">
        <f>IF($BI9="","",IF($B9="Onsite",INDEX(tbl_Onsite[Tax Code],$BI9),IF($B9="Production",INDEX(tbl_Production[Tax Code],$BI9),INDEX(tbl_Consulting[Tax Code],$BI9)))&amp;"")</f>
        <v/>
      </c>
      <c r="K9" s="10">
        <f>IF(H9="","",IFERROR(INDEX(lst_CCtoGL,MATCH(H9,lst_CCforGL,0)),""))</f>
        <v/>
      </c>
      <c r="L9" s="10">
        <f>IF($BI9="","",IF($B9="Onsite",INDEX(tbl_Onsite[PO / Reference],$BI9),IF($B9="Production",INDEX(tbl_Production[Current RMS No],$BI9),INDEX(tbl_Consulting[Qwilr Quote],$BI9)))&amp;"")</f>
        <v/>
      </c>
      <c r="M9" s="10">
        <f>IF($BI9="","",IF($B9="Onsite",INDEX(tbl_Onsite[Notes],$BI9),IF($B9="Production",INDEX(tbl_Production[Notes],$BI9),INDEX(tbl_Consulting[Notes],$BI9)))&amp;"")</f>
        <v/>
      </c>
      <c r="N9" s="11">
        <f>IF($BI9="","",IF(IF($B9="Onsite",INDEX(tbl_Onsite[Expected Revenue Ex GST],$BI9),IF($B9="Production",INDEX(tbl_Production[Expected Revenue Ex GST],$BI9),INDEX(tbl_Consulting[Expected Revenue Ex GST],$BI9)))="","",IF($B9="Onsite",INDEX(tbl_Onsite[Expected Revenue Ex GST],$BI9),IF($B9="Production",INDEX(tbl_Production[Expected Revenue Ex GST],$BI9),INDEX(tbl_Consulting[Expected Revenue Ex GST],$BI9)))))</f>
        <v/>
      </c>
      <c r="O9" s="11">
        <f>IF(AND($C9="",NOT(COUNTA($S9:$BB9)&gt;0)),"",SUM(U9,X9,AA9,AD9,AG9,AJ9,AM9,AP9,AS9,AV9,AY9,BB9))</f>
        <v/>
      </c>
      <c r="P9" s="11">
        <f>IF(O9="","",N(N9)-O9)</f>
        <v/>
      </c>
      <c r="Q9" s="10">
        <f>IF(O9="","",IF($C9="","Invoice on empty job row",IF(N9="",IF(ROUND(O9,2)=0,"No dept value","Invoiced - no dept value"),IF(ROUND(O9,2)=0,"Not invoiced - to invoice",IF(ROUND(P9,2)=0,"Agrees",IF(P9&gt;0,"Dept higher - to invoice","Xero higher - check dept"))))))</f>
        <v/>
      </c>
      <c r="R9" s="10">
        <f>IF(AND($C9="",NOT(COUNTA($S9:$BB9)&gt;0),$BI9&lt;&gt;""),"",MID(IF($BI9="","; Row ID not found on the department sheet - a row was deleted","")&amp;IF(AND($C9="",COUNTA($S9:$BB9)&gt;0),"; Invoice entered but the department row has no job number","")&amp;IF(E9="CHECK","; Job number not in the Xero job list","")&amp;IF(AND($C9&lt;&gt;"",COUNTIF($C$7:$C$1506,$C9)&gt;1),"; Job number on more than one row","")&amp;IF(AND($C9&lt;&gt;"",H9=""),"; Dept has not set a cost centre","")&amp;IF(AND($C9&lt;&gt;"",J9=""),"; Dept has not set a tax code","")&amp;IF(AND($C9&lt;&gt;"",N9=""),"; Dept has not entered an expected value","")&amp;IF((IF(OR(COUNTA(S9:U9)=0,AND(COUNTA(S9:U9)=3,ISNUMBER(U9))),0,1)+IF(OR(COUNTA(V9:X9)=0,AND(COUNTA(V9:X9)=3,ISNUMBER(X9))),0,1)+IF(OR(COUNTA(Y9:AA9)=0,AND(COUNTA(Y9:AA9)=3,ISNUMBER(AA9))),0,1)+IF(OR(COUNTA(AB9:AD9)=0,AND(COUNTA(AB9:AD9)=3,ISNUMBER(AD9))),0,1)+IF(OR(COUNTA(AE9:AG9)=0,AND(COUNTA(AE9:AG9)=3,ISNUMBER(AG9))),0,1)+IF(OR(COUNTA(AH9:AJ9)=0,AND(COUNTA(AH9:AJ9)=3,ISNUMBER(AJ9))),0,1)+IF(OR(COUNTA(AK9:AM9)=0,AND(COUNTA(AK9:AM9)=3,ISNUMBER(AM9))),0,1)+IF(OR(COUNTA(AN9:AP9)=0,AND(COUNTA(AN9:AP9)=3,ISNUMBER(AP9))),0,1)+IF(OR(COUNTA(AQ9:AS9)=0,AND(COUNTA(AQ9:AS9)=3,ISNUMBER(AS9))),0,1)+IF(OR(COUNTA(AT9:AV9)=0,AND(COUNTA(AT9:AV9)=3,ISNUMBER(AV9))),0,1)+IF(OR(COUNTA(AW9:AY9)=0,AND(COUNTA(AW9:AY9)=3,ISNUMBER(AY9))),0,1)+IF(OR(COUNTA(AZ9:BB9)=0,AND(COUNTA(AZ9:BB9)=3,ISNUMBER(BB9))),0,1))&gt;0,"; An invoice is incomplete (needs No, Date and a number in Ex GST)","")&amp;IF((IF(T9="",0,IFERROR(--(EOMONTH(T9,0)&lt;&gt;S$5),1))+IF(W9="",0,IFERROR(--(EOMONTH(W9,0)&lt;&gt;V$5),1))+IF(Z9="",0,IFERROR(--(EOMONTH(Z9,0)&lt;&gt;Y$5),1))+IF(AC9="",0,IFERROR(--(EOMONTH(AC9,0)&lt;&gt;AB$5),1))+IF(AF9="",0,IFERROR(--(EOMONTH(AF9,0)&lt;&gt;AE$5),1))+IF(AI9="",0,IFERROR(--(EOMONTH(AI9,0)&lt;&gt;AH$5),1))+IF(AL9="",0,IFERROR(--(EOMONTH(AL9,0)&lt;&gt;AK$5),1))+IF(AO9="",0,IFERROR(--(EOMONTH(AO9,0)&lt;&gt;AN$5),1))+IF(AR9="",0,IFERROR(--(EOMONTH(AR9,0)&lt;&gt;AQ$5),1))+IF(AU9="",0,IFERROR(--(EOMONTH(AU9,0)&lt;&gt;AT$5),1))+IF(AX9="",0,IFERROR(--(EOMONTH(AX9,0)&lt;&gt;AW$5),1))+IF(BA9="",0,IFERROR(--(EOMONTH(BA9,0)&lt;&gt;AZ$5),1)))&gt;0,"; An invoice date is not in the month it is typed under",""),3,500))</f>
        <v/>
      </c>
      <c r="S9" s="12" t="n"/>
      <c r="T9" s="13" t="n"/>
      <c r="U9" s="14" t="n"/>
      <c r="V9" s="12" t="n"/>
      <c r="W9" s="13" t="n"/>
      <c r="X9" s="14" t="n"/>
      <c r="Y9" s="12" t="n"/>
      <c r="Z9" s="13" t="n"/>
      <c r="AA9" s="14" t="n"/>
      <c r="AB9" s="12" t="n"/>
      <c r="AC9" s="13" t="n"/>
      <c r="AD9" s="14" t="n"/>
      <c r="AE9" s="12" t="n"/>
      <c r="AF9" s="13" t="n"/>
      <c r="AG9" s="14" t="n"/>
      <c r="AH9" s="12" t="n"/>
      <c r="AI9" s="13" t="n"/>
      <c r="AJ9" s="14" t="n"/>
      <c r="AK9" s="12" t="n"/>
      <c r="AL9" s="13" t="n"/>
      <c r="AM9" s="14" t="n"/>
      <c r="AN9" s="12" t="n"/>
      <c r="AO9" s="13" t="n"/>
      <c r="AP9" s="14" t="n"/>
      <c r="AQ9" s="12" t="n"/>
      <c r="AR9" s="13" t="n"/>
      <c r="AS9" s="14" t="n"/>
      <c r="AT9" s="12" t="n"/>
      <c r="AU9" s="13" t="n"/>
      <c r="AV9" s="14" t="n"/>
      <c r="AW9" s="12" t="n"/>
      <c r="AX9" s="13" t="n"/>
      <c r="AY9" s="14" t="n"/>
      <c r="AZ9" s="12" t="n"/>
      <c r="BA9" s="13" t="n"/>
      <c r="BB9" s="14" t="n"/>
      <c r="BC9" s="11">
        <f>IF(O9="","",IF(J9="GST 10%",ROUND(O9*set_GSTRate,2),0))</f>
        <v/>
      </c>
      <c r="BD9" s="11">
        <f>IF(O9="","",O9+BC9)</f>
        <v/>
      </c>
      <c r="BE9" s="15">
        <f>IF(O9="","",COUNTA(S9,V9,Y9,AB9,AE9,AH9,AK9,AN9,AQ9,AT9,AW9,AZ9))</f>
        <v/>
      </c>
      <c r="BF9" s="16">
        <f>IF(COUNT(T9,W9,Z9,AC9,AF9,AI9,AL9,AO9,AR9,AU9,AX9,BA9)=0,"",MAX(T9,W9,Z9,AC9,AF9,AI9,AL9,AO9,AR9,AU9,AX9,BA9))</f>
        <v/>
      </c>
      <c r="BG9" s="10">
        <f>MID(IF(S9="","",", "&amp;S9)&amp;IF(V9="","",", "&amp;V9)&amp;IF(Y9="","",", "&amp;Y9)&amp;IF(AB9="","",", "&amp;AB9)&amp;IF(AE9="","",", "&amp;AE9)&amp;IF(AH9="","",", "&amp;AH9)&amp;IF(AK9="","",", "&amp;AK9)&amp;IF(AN9="","",", "&amp;AN9)&amp;IF(AQ9="","",", "&amp;AQ9)&amp;IF(AT9="","",", "&amp;AT9)&amp;IF(AW9="","",", "&amp;AW9)&amp;IF(AZ9="","",", "&amp;AZ9),3,500)</f>
        <v/>
      </c>
      <c r="BH9" s="12" t="n"/>
      <c r="BI9" s="15">
        <f>IFERROR(MATCH($A9,IF($B9="Onsite",tbl_Onsite[Row ID],IF($B9="Production",tbl_Production[Row ID],tbl_Consulting[Row ID])),0),"")</f>
        <v/>
      </c>
    </row>
    <row r="10">
      <c r="A10" s="10" t="inlineStr">
        <is>
          <t>ONS-0004</t>
        </is>
      </c>
      <c r="B10" s="10" t="inlineStr">
        <is>
          <t>Onsite</t>
        </is>
      </c>
      <c r="C10" s="10">
        <f>IF($BI10="","",IF($B10="Onsite",INDEX(tbl_Onsite[Job Number],$BI10),IF($B10="Production",INDEX(tbl_Production[Job Number],$BI10),INDEX(tbl_Consulting[Job Number],$BI10)))&amp;"")</f>
        <v/>
      </c>
      <c r="D10" s="10">
        <f>IF($BI10="","",IF($B10="Onsite",INDEX(tbl_Onsite[Client],$BI10),IF($B10="Production",INDEX(tbl_Production[Client],$BI10),INDEX(tbl_Consulting[Client],$BI10)))&amp;"")</f>
        <v/>
      </c>
      <c r="E10" s="10">
        <f>IF($C10="","",IF(COUNTIF(lst_Jobs,$C10)&gt;0,"OK","CHECK"))</f>
        <v/>
      </c>
      <c r="F10" s="10">
        <f>IF($C10="","",IFERROR(INDEX(lst_JobName,MATCH($C10,lst_Jobs,0)),""))</f>
        <v/>
      </c>
      <c r="G10" s="10">
        <f>IF($BI10="","",IF($B10="Onsite",INDEX(tbl_Onsite[Job Description],$BI10),IF($B10="Production",INDEX(tbl_Production[Job Description],$BI10),INDEX(tbl_Consulting[Job Description],$BI10)))&amp;"")</f>
        <v/>
      </c>
      <c r="H10" s="10">
        <f>IF($BI10="","",IF($B10="Onsite",INDEX(tbl_Onsite[Cost Centre],$BI10),IF($B10="Production",INDEX(tbl_Production[Cost Centre],$BI10),INDEX(tbl_Consulting[Cost Centre],$BI10)))&amp;"")</f>
        <v/>
      </c>
      <c r="I10" s="10">
        <f>IF($BI10="","",IF($B10="Onsite",INDEX(tbl_Onsite[Invoice Type],$BI10),IF($B10="Production",INDEX(tbl_Production[Invoice Type],$BI10),INDEX(tbl_Consulting[Invoice Type],$BI10)))&amp;"")</f>
        <v/>
      </c>
      <c r="J10" s="10">
        <f>IF($BI10="","",IF($B10="Onsite",INDEX(tbl_Onsite[Tax Code],$BI10),IF($B10="Production",INDEX(tbl_Production[Tax Code],$BI10),INDEX(tbl_Consulting[Tax Code],$BI10)))&amp;"")</f>
        <v/>
      </c>
      <c r="K10" s="10">
        <f>IF(H10="","",IFERROR(INDEX(lst_CCtoGL,MATCH(H10,lst_CCforGL,0)),""))</f>
        <v/>
      </c>
      <c r="L10" s="10">
        <f>IF($BI10="","",IF($B10="Onsite",INDEX(tbl_Onsite[PO / Reference],$BI10),IF($B10="Production",INDEX(tbl_Production[Current RMS No],$BI10),INDEX(tbl_Consulting[Qwilr Quote],$BI10)))&amp;"")</f>
        <v/>
      </c>
      <c r="M10" s="10">
        <f>IF($BI10="","",IF($B10="Onsite",INDEX(tbl_Onsite[Notes],$BI10),IF($B10="Production",INDEX(tbl_Production[Notes],$BI10),INDEX(tbl_Consulting[Notes],$BI10)))&amp;"")</f>
        <v/>
      </c>
      <c r="N10" s="11">
        <f>IF($BI10="","",IF(IF($B10="Onsite",INDEX(tbl_Onsite[Expected Revenue Ex GST],$BI10),IF($B10="Production",INDEX(tbl_Production[Expected Revenue Ex GST],$BI10),INDEX(tbl_Consulting[Expected Revenue Ex GST],$BI10)))="","",IF($B10="Onsite",INDEX(tbl_Onsite[Expected Revenue Ex GST],$BI10),IF($B10="Production",INDEX(tbl_Production[Expected Revenue Ex GST],$BI10),INDEX(tbl_Consulting[Expected Revenue Ex GST],$BI10)))))</f>
        <v/>
      </c>
      <c r="O10" s="11">
        <f>IF(AND($C10="",NOT(COUNTA($S10:$BB10)&gt;0)),"",SUM(U10,X10,AA10,AD10,AG10,AJ10,AM10,AP10,AS10,AV10,AY10,BB10))</f>
        <v/>
      </c>
      <c r="P10" s="11">
        <f>IF(O10="","",N(N10)-O10)</f>
        <v/>
      </c>
      <c r="Q10" s="10">
        <f>IF(O10="","",IF($C10="","Invoice on empty job row",IF(N10="",IF(ROUND(O10,2)=0,"No dept value","Invoiced - no dept value"),IF(ROUND(O10,2)=0,"Not invoiced - to invoice",IF(ROUND(P10,2)=0,"Agrees",IF(P10&gt;0,"Dept higher - to invoice","Xero higher - check dept"))))))</f>
        <v/>
      </c>
      <c r="R10" s="10">
        <f>IF(AND($C10="",NOT(COUNTA($S10:$BB10)&gt;0),$BI10&lt;&gt;""),"",MID(IF($BI10="","; Row ID not found on the department sheet - a row was deleted","")&amp;IF(AND($C10="",COUNTA($S10:$BB10)&gt;0),"; Invoice entered but the department row has no job number","")&amp;IF(E10="CHECK","; Job number not in the Xero job list","")&amp;IF(AND($C10&lt;&gt;"",COUNTIF($C$7:$C$1506,$C10)&gt;1),"; Job number on more than one row","")&amp;IF(AND($C10&lt;&gt;"",H10=""),"; Dept has not set a cost centre","")&amp;IF(AND($C10&lt;&gt;"",J10=""),"; Dept has not set a tax code","")&amp;IF(AND($C10&lt;&gt;"",N10=""),"; Dept has not entered an expected value","")&amp;IF((IF(OR(COUNTA(S10:U10)=0,AND(COUNTA(S10:U10)=3,ISNUMBER(U10))),0,1)+IF(OR(COUNTA(V10:X10)=0,AND(COUNTA(V10:X10)=3,ISNUMBER(X10))),0,1)+IF(OR(COUNTA(Y10:AA10)=0,AND(COUNTA(Y10:AA10)=3,ISNUMBER(AA10))),0,1)+IF(OR(COUNTA(AB10:AD10)=0,AND(COUNTA(AB10:AD10)=3,ISNUMBER(AD10))),0,1)+IF(OR(COUNTA(AE10:AG10)=0,AND(COUNTA(AE10:AG10)=3,ISNUMBER(AG10))),0,1)+IF(OR(COUNTA(AH10:AJ10)=0,AND(COUNTA(AH10:AJ10)=3,ISNUMBER(AJ10))),0,1)+IF(OR(COUNTA(AK10:AM10)=0,AND(COUNTA(AK10:AM10)=3,ISNUMBER(AM10))),0,1)+IF(OR(COUNTA(AN10:AP10)=0,AND(COUNTA(AN10:AP10)=3,ISNUMBER(AP10))),0,1)+IF(OR(COUNTA(AQ10:AS10)=0,AND(COUNTA(AQ10:AS10)=3,ISNUMBER(AS10))),0,1)+IF(OR(COUNTA(AT10:AV10)=0,AND(COUNTA(AT10:AV10)=3,ISNUMBER(AV10))),0,1)+IF(OR(COUNTA(AW10:AY10)=0,AND(COUNTA(AW10:AY10)=3,ISNUMBER(AY10))),0,1)+IF(OR(COUNTA(AZ10:BB10)=0,AND(COUNTA(AZ10:BB10)=3,ISNUMBER(BB10))),0,1))&gt;0,"; An invoice is incomplete (needs No, Date and a number in Ex GST)","")&amp;IF((IF(T10="",0,IFERROR(--(EOMONTH(T10,0)&lt;&gt;S$5),1))+IF(W10="",0,IFERROR(--(EOMONTH(W10,0)&lt;&gt;V$5),1))+IF(Z10="",0,IFERROR(--(EOMONTH(Z10,0)&lt;&gt;Y$5),1))+IF(AC10="",0,IFERROR(--(EOMONTH(AC10,0)&lt;&gt;AB$5),1))+IF(AF10="",0,IFERROR(--(EOMONTH(AF10,0)&lt;&gt;AE$5),1))+IF(AI10="",0,IFERROR(--(EOMONTH(AI10,0)&lt;&gt;AH$5),1))+IF(AL10="",0,IFERROR(--(EOMONTH(AL10,0)&lt;&gt;AK$5),1))+IF(AO10="",0,IFERROR(--(EOMONTH(AO10,0)&lt;&gt;AN$5),1))+IF(AR10="",0,IFERROR(--(EOMONTH(AR10,0)&lt;&gt;AQ$5),1))+IF(AU10="",0,IFERROR(--(EOMONTH(AU10,0)&lt;&gt;AT$5),1))+IF(AX10="",0,IFERROR(--(EOMONTH(AX10,0)&lt;&gt;AW$5),1))+IF(BA10="",0,IFERROR(--(EOMONTH(BA10,0)&lt;&gt;AZ$5),1)))&gt;0,"; An invoice date is not in the month it is typed under",""),3,500))</f>
        <v/>
      </c>
      <c r="S10" s="12" t="n"/>
      <c r="T10" s="13" t="n"/>
      <c r="U10" s="14" t="n"/>
      <c r="V10" s="12" t="n"/>
      <c r="W10" s="13" t="n"/>
      <c r="X10" s="14" t="n"/>
      <c r="Y10" s="12" t="n"/>
      <c r="Z10" s="13" t="n"/>
      <c r="AA10" s="14" t="n"/>
      <c r="AB10" s="12" t="n"/>
      <c r="AC10" s="13" t="n"/>
      <c r="AD10" s="14" t="n"/>
      <c r="AE10" s="12" t="n"/>
      <c r="AF10" s="13" t="n"/>
      <c r="AG10" s="14" t="n"/>
      <c r="AH10" s="12" t="n"/>
      <c r="AI10" s="13" t="n"/>
      <c r="AJ10" s="14" t="n"/>
      <c r="AK10" s="12" t="n"/>
      <c r="AL10" s="13" t="n"/>
      <c r="AM10" s="14" t="n"/>
      <c r="AN10" s="12" t="n"/>
      <c r="AO10" s="13" t="n"/>
      <c r="AP10" s="14" t="n"/>
      <c r="AQ10" s="12" t="n"/>
      <c r="AR10" s="13" t="n"/>
      <c r="AS10" s="14" t="n"/>
      <c r="AT10" s="12" t="n"/>
      <c r="AU10" s="13" t="n"/>
      <c r="AV10" s="14" t="n"/>
      <c r="AW10" s="12" t="n"/>
      <c r="AX10" s="13" t="n"/>
      <c r="AY10" s="14" t="n"/>
      <c r="AZ10" s="12" t="n"/>
      <c r="BA10" s="13" t="n"/>
      <c r="BB10" s="14" t="n"/>
      <c r="BC10" s="11">
        <f>IF(O10="","",IF(J10="GST 10%",ROUND(O10*set_GSTRate,2),0))</f>
        <v/>
      </c>
      <c r="BD10" s="11">
        <f>IF(O10="","",O10+BC10)</f>
        <v/>
      </c>
      <c r="BE10" s="15">
        <f>IF(O10="","",COUNTA(S10,V10,Y10,AB10,AE10,AH10,AK10,AN10,AQ10,AT10,AW10,AZ10))</f>
        <v/>
      </c>
      <c r="BF10" s="16">
        <f>IF(COUNT(T10,W10,Z10,AC10,AF10,AI10,AL10,AO10,AR10,AU10,AX10,BA10)=0,"",MAX(T10,W10,Z10,AC10,AF10,AI10,AL10,AO10,AR10,AU10,AX10,BA10))</f>
        <v/>
      </c>
      <c r="BG10" s="10">
        <f>MID(IF(S10="","",", "&amp;S10)&amp;IF(V10="","",", "&amp;V10)&amp;IF(Y10="","",", "&amp;Y10)&amp;IF(AB10="","",", "&amp;AB10)&amp;IF(AE10="","",", "&amp;AE10)&amp;IF(AH10="","",", "&amp;AH10)&amp;IF(AK10="","",", "&amp;AK10)&amp;IF(AN10="","",", "&amp;AN10)&amp;IF(AQ10="","",", "&amp;AQ10)&amp;IF(AT10="","",", "&amp;AT10)&amp;IF(AW10="","",", "&amp;AW10)&amp;IF(AZ10="","",", "&amp;AZ10),3,500)</f>
        <v/>
      </c>
      <c r="BH10" s="12" t="n"/>
      <c r="BI10" s="15">
        <f>IFERROR(MATCH($A10,IF($B10="Onsite",tbl_Onsite[Row ID],IF($B10="Production",tbl_Production[Row ID],tbl_Consulting[Row ID])),0),"")</f>
        <v/>
      </c>
    </row>
    <row r="11">
      <c r="A11" s="10" t="inlineStr">
        <is>
          <t>ONS-0005</t>
        </is>
      </c>
      <c r="B11" s="10" t="inlineStr">
        <is>
          <t>Onsite</t>
        </is>
      </c>
      <c r="C11" s="10">
        <f>IF($BI11="","",IF($B11="Onsite",INDEX(tbl_Onsite[Job Number],$BI11),IF($B11="Production",INDEX(tbl_Production[Job Number],$BI11),INDEX(tbl_Consulting[Job Number],$BI11)))&amp;"")</f>
        <v/>
      </c>
      <c r="D11" s="10">
        <f>IF($BI11="","",IF($B11="Onsite",INDEX(tbl_Onsite[Client],$BI11),IF($B11="Production",INDEX(tbl_Production[Client],$BI11),INDEX(tbl_Consulting[Client],$BI11)))&amp;"")</f>
        <v/>
      </c>
      <c r="E11" s="10">
        <f>IF($C11="","",IF(COUNTIF(lst_Jobs,$C11)&gt;0,"OK","CHECK"))</f>
        <v/>
      </c>
      <c r="F11" s="10">
        <f>IF($C11="","",IFERROR(INDEX(lst_JobName,MATCH($C11,lst_Jobs,0)),""))</f>
        <v/>
      </c>
      <c r="G11" s="10">
        <f>IF($BI11="","",IF($B11="Onsite",INDEX(tbl_Onsite[Job Description],$BI11),IF($B11="Production",INDEX(tbl_Production[Job Description],$BI11),INDEX(tbl_Consulting[Job Description],$BI11)))&amp;"")</f>
        <v/>
      </c>
      <c r="H11" s="10">
        <f>IF($BI11="","",IF($B11="Onsite",INDEX(tbl_Onsite[Cost Centre],$BI11),IF($B11="Production",INDEX(tbl_Production[Cost Centre],$BI11),INDEX(tbl_Consulting[Cost Centre],$BI11)))&amp;"")</f>
        <v/>
      </c>
      <c r="I11" s="10">
        <f>IF($BI11="","",IF($B11="Onsite",INDEX(tbl_Onsite[Invoice Type],$BI11),IF($B11="Production",INDEX(tbl_Production[Invoice Type],$BI11),INDEX(tbl_Consulting[Invoice Type],$BI11)))&amp;"")</f>
        <v/>
      </c>
      <c r="J11" s="10">
        <f>IF($BI11="","",IF($B11="Onsite",INDEX(tbl_Onsite[Tax Code],$BI11),IF($B11="Production",INDEX(tbl_Production[Tax Code],$BI11),INDEX(tbl_Consulting[Tax Code],$BI11)))&amp;"")</f>
        <v/>
      </c>
      <c r="K11" s="10">
        <f>IF(H11="","",IFERROR(INDEX(lst_CCtoGL,MATCH(H11,lst_CCforGL,0)),""))</f>
        <v/>
      </c>
      <c r="L11" s="10">
        <f>IF($BI11="","",IF($B11="Onsite",INDEX(tbl_Onsite[PO / Reference],$BI11),IF($B11="Production",INDEX(tbl_Production[Current RMS No],$BI11),INDEX(tbl_Consulting[Qwilr Quote],$BI11)))&amp;"")</f>
        <v/>
      </c>
      <c r="M11" s="10">
        <f>IF($BI11="","",IF($B11="Onsite",INDEX(tbl_Onsite[Notes],$BI11),IF($B11="Production",INDEX(tbl_Production[Notes],$BI11),INDEX(tbl_Consulting[Notes],$BI11)))&amp;"")</f>
        <v/>
      </c>
      <c r="N11" s="11">
        <f>IF($BI11="","",IF(IF($B11="Onsite",INDEX(tbl_Onsite[Expected Revenue Ex GST],$BI11),IF($B11="Production",INDEX(tbl_Production[Expected Revenue Ex GST],$BI11),INDEX(tbl_Consulting[Expected Revenue Ex GST],$BI11)))="","",IF($B11="Onsite",INDEX(tbl_Onsite[Expected Revenue Ex GST],$BI11),IF($B11="Production",INDEX(tbl_Production[Expected Revenue Ex GST],$BI11),INDEX(tbl_Consulting[Expected Revenue Ex GST],$BI11)))))</f>
        <v/>
      </c>
      <c r="O11" s="11">
        <f>IF(AND($C11="",NOT(COUNTA($S11:$BB11)&gt;0)),"",SUM(U11,X11,AA11,AD11,AG11,AJ11,AM11,AP11,AS11,AV11,AY11,BB11))</f>
        <v/>
      </c>
      <c r="P11" s="11">
        <f>IF(O11="","",N(N11)-O11)</f>
        <v/>
      </c>
      <c r="Q11" s="10">
        <f>IF(O11="","",IF($C11="","Invoice on empty job row",IF(N11="",IF(ROUND(O11,2)=0,"No dept value","Invoiced - no dept value"),IF(ROUND(O11,2)=0,"Not invoiced - to invoice",IF(ROUND(P11,2)=0,"Agrees",IF(P11&gt;0,"Dept higher - to invoice","Xero higher - check dept"))))))</f>
        <v/>
      </c>
      <c r="R11" s="10">
        <f>IF(AND($C11="",NOT(COUNTA($S11:$BB11)&gt;0),$BI11&lt;&gt;""),"",MID(IF($BI11="","; Row ID not found on the department sheet - a row was deleted","")&amp;IF(AND($C11="",COUNTA($S11:$BB11)&gt;0),"; Invoice entered but the department row has no job number","")&amp;IF(E11="CHECK","; Job number not in the Xero job list","")&amp;IF(AND($C11&lt;&gt;"",COUNTIF($C$7:$C$1506,$C11)&gt;1),"; Job number on more than one row","")&amp;IF(AND($C11&lt;&gt;"",H11=""),"; Dept has not set a cost centre","")&amp;IF(AND($C11&lt;&gt;"",J11=""),"; Dept has not set a tax code","")&amp;IF(AND($C11&lt;&gt;"",N11=""),"; Dept has not entered an expected value","")&amp;IF((IF(OR(COUNTA(S11:U11)=0,AND(COUNTA(S11:U11)=3,ISNUMBER(U11))),0,1)+IF(OR(COUNTA(V11:X11)=0,AND(COUNTA(V11:X11)=3,ISNUMBER(X11))),0,1)+IF(OR(COUNTA(Y11:AA11)=0,AND(COUNTA(Y11:AA11)=3,ISNUMBER(AA11))),0,1)+IF(OR(COUNTA(AB11:AD11)=0,AND(COUNTA(AB11:AD11)=3,ISNUMBER(AD11))),0,1)+IF(OR(COUNTA(AE11:AG11)=0,AND(COUNTA(AE11:AG11)=3,ISNUMBER(AG11))),0,1)+IF(OR(COUNTA(AH11:AJ11)=0,AND(COUNTA(AH11:AJ11)=3,ISNUMBER(AJ11))),0,1)+IF(OR(COUNTA(AK11:AM11)=0,AND(COUNTA(AK11:AM11)=3,ISNUMBER(AM11))),0,1)+IF(OR(COUNTA(AN11:AP11)=0,AND(COUNTA(AN11:AP11)=3,ISNUMBER(AP11))),0,1)+IF(OR(COUNTA(AQ11:AS11)=0,AND(COUNTA(AQ11:AS11)=3,ISNUMBER(AS11))),0,1)+IF(OR(COUNTA(AT11:AV11)=0,AND(COUNTA(AT11:AV11)=3,ISNUMBER(AV11))),0,1)+IF(OR(COUNTA(AW11:AY11)=0,AND(COUNTA(AW11:AY11)=3,ISNUMBER(AY11))),0,1)+IF(OR(COUNTA(AZ11:BB11)=0,AND(COUNTA(AZ11:BB11)=3,ISNUMBER(BB11))),0,1))&gt;0,"; An invoice is incomplete (needs No, Date and a number in Ex GST)","")&amp;IF((IF(T11="",0,IFERROR(--(EOMONTH(T11,0)&lt;&gt;S$5),1))+IF(W11="",0,IFERROR(--(EOMONTH(W11,0)&lt;&gt;V$5),1))+IF(Z11="",0,IFERROR(--(EOMONTH(Z11,0)&lt;&gt;Y$5),1))+IF(AC11="",0,IFERROR(--(EOMONTH(AC11,0)&lt;&gt;AB$5),1))+IF(AF11="",0,IFERROR(--(EOMONTH(AF11,0)&lt;&gt;AE$5),1))+IF(AI11="",0,IFERROR(--(EOMONTH(AI11,0)&lt;&gt;AH$5),1))+IF(AL11="",0,IFERROR(--(EOMONTH(AL11,0)&lt;&gt;AK$5),1))+IF(AO11="",0,IFERROR(--(EOMONTH(AO11,0)&lt;&gt;AN$5),1))+IF(AR11="",0,IFERROR(--(EOMONTH(AR11,0)&lt;&gt;AQ$5),1))+IF(AU11="",0,IFERROR(--(EOMONTH(AU11,0)&lt;&gt;AT$5),1))+IF(AX11="",0,IFERROR(--(EOMONTH(AX11,0)&lt;&gt;AW$5),1))+IF(BA11="",0,IFERROR(--(EOMONTH(BA11,0)&lt;&gt;AZ$5),1)))&gt;0,"; An invoice date is not in the month it is typed under",""),3,500))</f>
        <v/>
      </c>
      <c r="S11" s="12" t="n"/>
      <c r="T11" s="13" t="n"/>
      <c r="U11" s="14" t="n"/>
      <c r="V11" s="12" t="n"/>
      <c r="W11" s="13" t="n"/>
      <c r="X11" s="14" t="n"/>
      <c r="Y11" s="12" t="n"/>
      <c r="Z11" s="13" t="n"/>
      <c r="AA11" s="14" t="n"/>
      <c r="AB11" s="12" t="n"/>
      <c r="AC11" s="13" t="n"/>
      <c r="AD11" s="14" t="n"/>
      <c r="AE11" s="12" t="n"/>
      <c r="AF11" s="13" t="n"/>
      <c r="AG11" s="14" t="n"/>
      <c r="AH11" s="12" t="n"/>
      <c r="AI11" s="13" t="n"/>
      <c r="AJ11" s="14" t="n"/>
      <c r="AK11" s="12" t="n"/>
      <c r="AL11" s="13" t="n"/>
      <c r="AM11" s="14" t="n"/>
      <c r="AN11" s="12" t="n"/>
      <c r="AO11" s="13" t="n"/>
      <c r="AP11" s="14" t="n"/>
      <c r="AQ11" s="12" t="n"/>
      <c r="AR11" s="13" t="n"/>
      <c r="AS11" s="14" t="n"/>
      <c r="AT11" s="12" t="n"/>
      <c r="AU11" s="13" t="n"/>
      <c r="AV11" s="14" t="n"/>
      <c r="AW11" s="12" t="n"/>
      <c r="AX11" s="13" t="n"/>
      <c r="AY11" s="14" t="n"/>
      <c r="AZ11" s="12" t="n"/>
      <c r="BA11" s="13" t="n"/>
      <c r="BB11" s="14" t="n"/>
      <c r="BC11" s="11">
        <f>IF(O11="","",IF(J11="GST 10%",ROUND(O11*set_GSTRate,2),0))</f>
        <v/>
      </c>
      <c r="BD11" s="11">
        <f>IF(O11="","",O11+BC11)</f>
        <v/>
      </c>
      <c r="BE11" s="15">
        <f>IF(O11="","",COUNTA(S11,V11,Y11,AB11,AE11,AH11,AK11,AN11,AQ11,AT11,AW11,AZ11))</f>
        <v/>
      </c>
      <c r="BF11" s="16">
        <f>IF(COUNT(T11,W11,Z11,AC11,AF11,AI11,AL11,AO11,AR11,AU11,AX11,BA11)=0,"",MAX(T11,W11,Z11,AC11,AF11,AI11,AL11,AO11,AR11,AU11,AX11,BA11))</f>
        <v/>
      </c>
      <c r="BG11" s="10">
        <f>MID(IF(S11="","",", "&amp;S11)&amp;IF(V11="","",", "&amp;V11)&amp;IF(Y11="","",", "&amp;Y11)&amp;IF(AB11="","",", "&amp;AB11)&amp;IF(AE11="","",", "&amp;AE11)&amp;IF(AH11="","",", "&amp;AH11)&amp;IF(AK11="","",", "&amp;AK11)&amp;IF(AN11="","",", "&amp;AN11)&amp;IF(AQ11="","",", "&amp;AQ11)&amp;IF(AT11="","",", "&amp;AT11)&amp;IF(AW11="","",", "&amp;AW11)&amp;IF(AZ11="","",", "&amp;AZ11),3,500)</f>
        <v/>
      </c>
      <c r="BH11" s="12" t="n"/>
      <c r="BI11" s="15">
        <f>IFERROR(MATCH($A11,IF($B11="Onsite",tbl_Onsite[Row ID],IF($B11="Production",tbl_Production[Row ID],tbl_Consulting[Row ID])),0),"")</f>
        <v/>
      </c>
    </row>
    <row r="12">
      <c r="A12" s="10" t="inlineStr">
        <is>
          <t>ONS-0006</t>
        </is>
      </c>
      <c r="B12" s="10" t="inlineStr">
        <is>
          <t>Onsite</t>
        </is>
      </c>
      <c r="C12" s="10">
        <f>IF($BI12="","",IF($B12="Onsite",INDEX(tbl_Onsite[Job Number],$BI12),IF($B12="Production",INDEX(tbl_Production[Job Number],$BI12),INDEX(tbl_Consulting[Job Number],$BI12)))&amp;"")</f>
        <v/>
      </c>
      <c r="D12" s="10">
        <f>IF($BI12="","",IF($B12="Onsite",INDEX(tbl_Onsite[Client],$BI12),IF($B12="Production",INDEX(tbl_Production[Client],$BI12),INDEX(tbl_Consulting[Client],$BI12)))&amp;"")</f>
        <v/>
      </c>
      <c r="E12" s="10">
        <f>IF($C12="","",IF(COUNTIF(lst_Jobs,$C12)&gt;0,"OK","CHECK"))</f>
        <v/>
      </c>
      <c r="F12" s="10">
        <f>IF($C12="","",IFERROR(INDEX(lst_JobName,MATCH($C12,lst_Jobs,0)),""))</f>
        <v/>
      </c>
      <c r="G12" s="10">
        <f>IF($BI12="","",IF($B12="Onsite",INDEX(tbl_Onsite[Job Description],$BI12),IF($B12="Production",INDEX(tbl_Production[Job Description],$BI12),INDEX(tbl_Consulting[Job Description],$BI12)))&amp;"")</f>
        <v/>
      </c>
      <c r="H12" s="10">
        <f>IF($BI12="","",IF($B12="Onsite",INDEX(tbl_Onsite[Cost Centre],$BI12),IF($B12="Production",INDEX(tbl_Production[Cost Centre],$BI12),INDEX(tbl_Consulting[Cost Centre],$BI12)))&amp;"")</f>
        <v/>
      </c>
      <c r="I12" s="10">
        <f>IF($BI12="","",IF($B12="Onsite",INDEX(tbl_Onsite[Invoice Type],$BI12),IF($B12="Production",INDEX(tbl_Production[Invoice Type],$BI12),INDEX(tbl_Consulting[Invoice Type],$BI12)))&amp;"")</f>
        <v/>
      </c>
      <c r="J12" s="10">
        <f>IF($BI12="","",IF($B12="Onsite",INDEX(tbl_Onsite[Tax Code],$BI12),IF($B12="Production",INDEX(tbl_Production[Tax Code],$BI12),INDEX(tbl_Consulting[Tax Code],$BI12)))&amp;"")</f>
        <v/>
      </c>
      <c r="K12" s="10">
        <f>IF(H12="","",IFERROR(INDEX(lst_CCtoGL,MATCH(H12,lst_CCforGL,0)),""))</f>
        <v/>
      </c>
      <c r="L12" s="10">
        <f>IF($BI12="","",IF($B12="Onsite",INDEX(tbl_Onsite[PO / Reference],$BI12),IF($B12="Production",INDEX(tbl_Production[Current RMS No],$BI12),INDEX(tbl_Consulting[Qwilr Quote],$BI12)))&amp;"")</f>
        <v/>
      </c>
      <c r="M12" s="10">
        <f>IF($BI12="","",IF($B12="Onsite",INDEX(tbl_Onsite[Notes],$BI12),IF($B12="Production",INDEX(tbl_Production[Notes],$BI12),INDEX(tbl_Consulting[Notes],$BI12)))&amp;"")</f>
        <v/>
      </c>
      <c r="N12" s="11">
        <f>IF($BI12="","",IF(IF($B12="Onsite",INDEX(tbl_Onsite[Expected Revenue Ex GST],$BI12),IF($B12="Production",INDEX(tbl_Production[Expected Revenue Ex GST],$BI12),INDEX(tbl_Consulting[Expected Revenue Ex GST],$BI12)))="","",IF($B12="Onsite",INDEX(tbl_Onsite[Expected Revenue Ex GST],$BI12),IF($B12="Production",INDEX(tbl_Production[Expected Revenue Ex GST],$BI12),INDEX(tbl_Consulting[Expected Revenue Ex GST],$BI12)))))</f>
        <v/>
      </c>
      <c r="O12" s="11">
        <f>IF(AND($C12="",NOT(COUNTA($S12:$BB12)&gt;0)),"",SUM(U12,X12,AA12,AD12,AG12,AJ12,AM12,AP12,AS12,AV12,AY12,BB12))</f>
        <v/>
      </c>
      <c r="P12" s="11">
        <f>IF(O12="","",N(N12)-O12)</f>
        <v/>
      </c>
      <c r="Q12" s="10">
        <f>IF(O12="","",IF($C12="","Invoice on empty job row",IF(N12="",IF(ROUND(O12,2)=0,"No dept value","Invoiced - no dept value"),IF(ROUND(O12,2)=0,"Not invoiced - to invoice",IF(ROUND(P12,2)=0,"Agrees",IF(P12&gt;0,"Dept higher - to invoice","Xero higher - check dept"))))))</f>
        <v/>
      </c>
      <c r="R12" s="10">
        <f>IF(AND($C12="",NOT(COUNTA($S12:$BB12)&gt;0),$BI12&lt;&gt;""),"",MID(IF($BI12="","; Row ID not found on the department sheet - a row was deleted","")&amp;IF(AND($C12="",COUNTA($S12:$BB12)&gt;0),"; Invoice entered but the department row has no job number","")&amp;IF(E12="CHECK","; Job number not in the Xero job list","")&amp;IF(AND($C12&lt;&gt;"",COUNTIF($C$7:$C$1506,$C12)&gt;1),"; Job number on more than one row","")&amp;IF(AND($C12&lt;&gt;"",H12=""),"; Dept has not set a cost centre","")&amp;IF(AND($C12&lt;&gt;"",J12=""),"; Dept has not set a tax code","")&amp;IF(AND($C12&lt;&gt;"",N12=""),"; Dept has not entered an expected value","")&amp;IF((IF(OR(COUNTA(S12:U12)=0,AND(COUNTA(S12:U12)=3,ISNUMBER(U12))),0,1)+IF(OR(COUNTA(V12:X12)=0,AND(COUNTA(V12:X12)=3,ISNUMBER(X12))),0,1)+IF(OR(COUNTA(Y12:AA12)=0,AND(COUNTA(Y12:AA12)=3,ISNUMBER(AA12))),0,1)+IF(OR(COUNTA(AB12:AD12)=0,AND(COUNTA(AB12:AD12)=3,ISNUMBER(AD12))),0,1)+IF(OR(COUNTA(AE12:AG12)=0,AND(COUNTA(AE12:AG12)=3,ISNUMBER(AG12))),0,1)+IF(OR(COUNTA(AH12:AJ12)=0,AND(COUNTA(AH12:AJ12)=3,ISNUMBER(AJ12))),0,1)+IF(OR(COUNTA(AK12:AM12)=0,AND(COUNTA(AK12:AM12)=3,ISNUMBER(AM12))),0,1)+IF(OR(COUNTA(AN12:AP12)=0,AND(COUNTA(AN12:AP12)=3,ISNUMBER(AP12))),0,1)+IF(OR(COUNTA(AQ12:AS12)=0,AND(COUNTA(AQ12:AS12)=3,ISNUMBER(AS12))),0,1)+IF(OR(COUNTA(AT12:AV12)=0,AND(COUNTA(AT12:AV12)=3,ISNUMBER(AV12))),0,1)+IF(OR(COUNTA(AW12:AY12)=0,AND(COUNTA(AW12:AY12)=3,ISNUMBER(AY12))),0,1)+IF(OR(COUNTA(AZ12:BB12)=0,AND(COUNTA(AZ12:BB12)=3,ISNUMBER(BB12))),0,1))&gt;0,"; An invoice is incomplete (needs No, Date and a number in Ex GST)","")&amp;IF((IF(T12="",0,IFERROR(--(EOMONTH(T12,0)&lt;&gt;S$5),1))+IF(W12="",0,IFERROR(--(EOMONTH(W12,0)&lt;&gt;V$5),1))+IF(Z12="",0,IFERROR(--(EOMONTH(Z12,0)&lt;&gt;Y$5),1))+IF(AC12="",0,IFERROR(--(EOMONTH(AC12,0)&lt;&gt;AB$5),1))+IF(AF12="",0,IFERROR(--(EOMONTH(AF12,0)&lt;&gt;AE$5),1))+IF(AI12="",0,IFERROR(--(EOMONTH(AI12,0)&lt;&gt;AH$5),1))+IF(AL12="",0,IFERROR(--(EOMONTH(AL12,0)&lt;&gt;AK$5),1))+IF(AO12="",0,IFERROR(--(EOMONTH(AO12,0)&lt;&gt;AN$5),1))+IF(AR12="",0,IFERROR(--(EOMONTH(AR12,0)&lt;&gt;AQ$5),1))+IF(AU12="",0,IFERROR(--(EOMONTH(AU12,0)&lt;&gt;AT$5),1))+IF(AX12="",0,IFERROR(--(EOMONTH(AX12,0)&lt;&gt;AW$5),1))+IF(BA12="",0,IFERROR(--(EOMONTH(BA12,0)&lt;&gt;AZ$5),1)))&gt;0,"; An invoice date is not in the month it is typed under",""),3,500))</f>
        <v/>
      </c>
      <c r="S12" s="12" t="n"/>
      <c r="T12" s="13" t="n"/>
      <c r="U12" s="14" t="n"/>
      <c r="V12" s="12" t="n"/>
      <c r="W12" s="13" t="n"/>
      <c r="X12" s="14" t="n"/>
      <c r="Y12" s="12" t="n"/>
      <c r="Z12" s="13" t="n"/>
      <c r="AA12" s="14" t="n"/>
      <c r="AB12" s="12" t="n"/>
      <c r="AC12" s="13" t="n"/>
      <c r="AD12" s="14" t="n"/>
      <c r="AE12" s="12" t="n"/>
      <c r="AF12" s="13" t="n"/>
      <c r="AG12" s="14" t="n"/>
      <c r="AH12" s="12" t="n"/>
      <c r="AI12" s="13" t="n"/>
      <c r="AJ12" s="14" t="n"/>
      <c r="AK12" s="12" t="n"/>
      <c r="AL12" s="13" t="n"/>
      <c r="AM12" s="14" t="n"/>
      <c r="AN12" s="12" t="n"/>
      <c r="AO12" s="13" t="n"/>
      <c r="AP12" s="14" t="n"/>
      <c r="AQ12" s="12" t="n"/>
      <c r="AR12" s="13" t="n"/>
      <c r="AS12" s="14" t="n"/>
      <c r="AT12" s="12" t="n"/>
      <c r="AU12" s="13" t="n"/>
      <c r="AV12" s="14" t="n"/>
      <c r="AW12" s="12" t="n"/>
      <c r="AX12" s="13" t="n"/>
      <c r="AY12" s="14" t="n"/>
      <c r="AZ12" s="12" t="n"/>
      <c r="BA12" s="13" t="n"/>
      <c r="BB12" s="14" t="n"/>
      <c r="BC12" s="11">
        <f>IF(O12="","",IF(J12="GST 10%",ROUND(O12*set_GSTRate,2),0))</f>
        <v/>
      </c>
      <c r="BD12" s="11">
        <f>IF(O12="","",O12+BC12)</f>
        <v/>
      </c>
      <c r="BE12" s="15">
        <f>IF(O12="","",COUNTA(S12,V12,Y12,AB12,AE12,AH12,AK12,AN12,AQ12,AT12,AW12,AZ12))</f>
        <v/>
      </c>
      <c r="BF12" s="16">
        <f>IF(COUNT(T12,W12,Z12,AC12,AF12,AI12,AL12,AO12,AR12,AU12,AX12,BA12)=0,"",MAX(T12,W12,Z12,AC12,AF12,AI12,AL12,AO12,AR12,AU12,AX12,BA12))</f>
        <v/>
      </c>
      <c r="BG12" s="10">
        <f>MID(IF(S12="","",", "&amp;S12)&amp;IF(V12="","",", "&amp;V12)&amp;IF(Y12="","",", "&amp;Y12)&amp;IF(AB12="","",", "&amp;AB12)&amp;IF(AE12="","",", "&amp;AE12)&amp;IF(AH12="","",", "&amp;AH12)&amp;IF(AK12="","",", "&amp;AK12)&amp;IF(AN12="","",", "&amp;AN12)&amp;IF(AQ12="","",", "&amp;AQ12)&amp;IF(AT12="","",", "&amp;AT12)&amp;IF(AW12="","",", "&amp;AW12)&amp;IF(AZ12="","",", "&amp;AZ12),3,500)</f>
        <v/>
      </c>
      <c r="BH12" s="12" t="n"/>
      <c r="BI12" s="15">
        <f>IFERROR(MATCH($A12,IF($B12="Onsite",tbl_Onsite[Row ID],IF($B12="Production",tbl_Production[Row ID],tbl_Consulting[Row ID])),0),"")</f>
        <v/>
      </c>
    </row>
    <row r="13">
      <c r="A13" s="10" t="inlineStr">
        <is>
          <t>ONS-0007</t>
        </is>
      </c>
      <c r="B13" s="10" t="inlineStr">
        <is>
          <t>Onsite</t>
        </is>
      </c>
      <c r="C13" s="10">
        <f>IF($BI13="","",IF($B13="Onsite",INDEX(tbl_Onsite[Job Number],$BI13),IF($B13="Production",INDEX(tbl_Production[Job Number],$BI13),INDEX(tbl_Consulting[Job Number],$BI13)))&amp;"")</f>
        <v/>
      </c>
      <c r="D13" s="10">
        <f>IF($BI13="","",IF($B13="Onsite",INDEX(tbl_Onsite[Client],$BI13),IF($B13="Production",INDEX(tbl_Production[Client],$BI13),INDEX(tbl_Consulting[Client],$BI13)))&amp;"")</f>
        <v/>
      </c>
      <c r="E13" s="10">
        <f>IF($C13="","",IF(COUNTIF(lst_Jobs,$C13)&gt;0,"OK","CHECK"))</f>
        <v/>
      </c>
      <c r="F13" s="10">
        <f>IF($C13="","",IFERROR(INDEX(lst_JobName,MATCH($C13,lst_Jobs,0)),""))</f>
        <v/>
      </c>
      <c r="G13" s="10">
        <f>IF($BI13="","",IF($B13="Onsite",INDEX(tbl_Onsite[Job Description],$BI13),IF($B13="Production",INDEX(tbl_Production[Job Description],$BI13),INDEX(tbl_Consulting[Job Description],$BI13)))&amp;"")</f>
        <v/>
      </c>
      <c r="H13" s="10">
        <f>IF($BI13="","",IF($B13="Onsite",INDEX(tbl_Onsite[Cost Centre],$BI13),IF($B13="Production",INDEX(tbl_Production[Cost Centre],$BI13),INDEX(tbl_Consulting[Cost Centre],$BI13)))&amp;"")</f>
        <v/>
      </c>
      <c r="I13" s="10">
        <f>IF($BI13="","",IF($B13="Onsite",INDEX(tbl_Onsite[Invoice Type],$BI13),IF($B13="Production",INDEX(tbl_Production[Invoice Type],$BI13),INDEX(tbl_Consulting[Invoice Type],$BI13)))&amp;"")</f>
        <v/>
      </c>
      <c r="J13" s="10">
        <f>IF($BI13="","",IF($B13="Onsite",INDEX(tbl_Onsite[Tax Code],$BI13),IF($B13="Production",INDEX(tbl_Production[Tax Code],$BI13),INDEX(tbl_Consulting[Tax Code],$BI13)))&amp;"")</f>
        <v/>
      </c>
      <c r="K13" s="10">
        <f>IF(H13="","",IFERROR(INDEX(lst_CCtoGL,MATCH(H13,lst_CCforGL,0)),""))</f>
        <v/>
      </c>
      <c r="L13" s="10">
        <f>IF($BI13="","",IF($B13="Onsite",INDEX(tbl_Onsite[PO / Reference],$BI13),IF($B13="Production",INDEX(tbl_Production[Current RMS No],$BI13),INDEX(tbl_Consulting[Qwilr Quote],$BI13)))&amp;"")</f>
        <v/>
      </c>
      <c r="M13" s="10">
        <f>IF($BI13="","",IF($B13="Onsite",INDEX(tbl_Onsite[Notes],$BI13),IF($B13="Production",INDEX(tbl_Production[Notes],$BI13),INDEX(tbl_Consulting[Notes],$BI13)))&amp;"")</f>
        <v/>
      </c>
      <c r="N13" s="11">
        <f>IF($BI13="","",IF(IF($B13="Onsite",INDEX(tbl_Onsite[Expected Revenue Ex GST],$BI13),IF($B13="Production",INDEX(tbl_Production[Expected Revenue Ex GST],$BI13),INDEX(tbl_Consulting[Expected Revenue Ex GST],$BI13)))="","",IF($B13="Onsite",INDEX(tbl_Onsite[Expected Revenue Ex GST],$BI13),IF($B13="Production",INDEX(tbl_Production[Expected Revenue Ex GST],$BI13),INDEX(tbl_Consulting[Expected Revenue Ex GST],$BI13)))))</f>
        <v/>
      </c>
      <c r="O13" s="11">
        <f>IF(AND($C13="",NOT(COUNTA($S13:$BB13)&gt;0)),"",SUM(U13,X13,AA13,AD13,AG13,AJ13,AM13,AP13,AS13,AV13,AY13,BB13))</f>
        <v/>
      </c>
      <c r="P13" s="11">
        <f>IF(O13="","",N(N13)-O13)</f>
        <v/>
      </c>
      <c r="Q13" s="10">
        <f>IF(O13="","",IF($C13="","Invoice on empty job row",IF(N13="",IF(ROUND(O13,2)=0,"No dept value","Invoiced - no dept value"),IF(ROUND(O13,2)=0,"Not invoiced - to invoice",IF(ROUND(P13,2)=0,"Agrees",IF(P13&gt;0,"Dept higher - to invoice","Xero higher - check dept"))))))</f>
        <v/>
      </c>
      <c r="R13" s="10">
        <f>IF(AND($C13="",NOT(COUNTA($S13:$BB13)&gt;0),$BI13&lt;&gt;""),"",MID(IF($BI13="","; Row ID not found on the department sheet - a row was deleted","")&amp;IF(AND($C13="",COUNTA($S13:$BB13)&gt;0),"; Invoice entered but the department row has no job number","")&amp;IF(E13="CHECK","; Job number not in the Xero job list","")&amp;IF(AND($C13&lt;&gt;"",COUNTIF($C$7:$C$1506,$C13)&gt;1),"; Job number on more than one row","")&amp;IF(AND($C13&lt;&gt;"",H13=""),"; Dept has not set a cost centre","")&amp;IF(AND($C13&lt;&gt;"",J13=""),"; Dept has not set a tax code","")&amp;IF(AND($C13&lt;&gt;"",N13=""),"; Dept has not entered an expected value","")&amp;IF((IF(OR(COUNTA(S13:U13)=0,AND(COUNTA(S13:U13)=3,ISNUMBER(U13))),0,1)+IF(OR(COUNTA(V13:X13)=0,AND(COUNTA(V13:X13)=3,ISNUMBER(X13))),0,1)+IF(OR(COUNTA(Y13:AA13)=0,AND(COUNTA(Y13:AA13)=3,ISNUMBER(AA13))),0,1)+IF(OR(COUNTA(AB13:AD13)=0,AND(COUNTA(AB13:AD13)=3,ISNUMBER(AD13))),0,1)+IF(OR(COUNTA(AE13:AG13)=0,AND(COUNTA(AE13:AG13)=3,ISNUMBER(AG13))),0,1)+IF(OR(COUNTA(AH13:AJ13)=0,AND(COUNTA(AH13:AJ13)=3,ISNUMBER(AJ13))),0,1)+IF(OR(COUNTA(AK13:AM13)=0,AND(COUNTA(AK13:AM13)=3,ISNUMBER(AM13))),0,1)+IF(OR(COUNTA(AN13:AP13)=0,AND(COUNTA(AN13:AP13)=3,ISNUMBER(AP13))),0,1)+IF(OR(COUNTA(AQ13:AS13)=0,AND(COUNTA(AQ13:AS13)=3,ISNUMBER(AS13))),0,1)+IF(OR(COUNTA(AT13:AV13)=0,AND(COUNTA(AT13:AV13)=3,ISNUMBER(AV13))),0,1)+IF(OR(COUNTA(AW13:AY13)=0,AND(COUNTA(AW13:AY13)=3,ISNUMBER(AY13))),0,1)+IF(OR(COUNTA(AZ13:BB13)=0,AND(COUNTA(AZ13:BB13)=3,ISNUMBER(BB13))),0,1))&gt;0,"; An invoice is incomplete (needs No, Date and a number in Ex GST)","")&amp;IF((IF(T13="",0,IFERROR(--(EOMONTH(T13,0)&lt;&gt;S$5),1))+IF(W13="",0,IFERROR(--(EOMONTH(W13,0)&lt;&gt;V$5),1))+IF(Z13="",0,IFERROR(--(EOMONTH(Z13,0)&lt;&gt;Y$5),1))+IF(AC13="",0,IFERROR(--(EOMONTH(AC13,0)&lt;&gt;AB$5),1))+IF(AF13="",0,IFERROR(--(EOMONTH(AF13,0)&lt;&gt;AE$5),1))+IF(AI13="",0,IFERROR(--(EOMONTH(AI13,0)&lt;&gt;AH$5),1))+IF(AL13="",0,IFERROR(--(EOMONTH(AL13,0)&lt;&gt;AK$5),1))+IF(AO13="",0,IFERROR(--(EOMONTH(AO13,0)&lt;&gt;AN$5),1))+IF(AR13="",0,IFERROR(--(EOMONTH(AR13,0)&lt;&gt;AQ$5),1))+IF(AU13="",0,IFERROR(--(EOMONTH(AU13,0)&lt;&gt;AT$5),1))+IF(AX13="",0,IFERROR(--(EOMONTH(AX13,0)&lt;&gt;AW$5),1))+IF(BA13="",0,IFERROR(--(EOMONTH(BA13,0)&lt;&gt;AZ$5),1)))&gt;0,"; An invoice date is not in the month it is typed under",""),3,500))</f>
        <v/>
      </c>
      <c r="S13" s="12" t="n"/>
      <c r="T13" s="13" t="n"/>
      <c r="U13" s="14" t="n"/>
      <c r="V13" s="12" t="n"/>
      <c r="W13" s="13" t="n"/>
      <c r="X13" s="14" t="n"/>
      <c r="Y13" s="12" t="n"/>
      <c r="Z13" s="13" t="n"/>
      <c r="AA13" s="14" t="n"/>
      <c r="AB13" s="12" t="n"/>
      <c r="AC13" s="13" t="n"/>
      <c r="AD13" s="14" t="n"/>
      <c r="AE13" s="12" t="n"/>
      <c r="AF13" s="13" t="n"/>
      <c r="AG13" s="14" t="n"/>
      <c r="AH13" s="12" t="n"/>
      <c r="AI13" s="13" t="n"/>
      <c r="AJ13" s="14" t="n"/>
      <c r="AK13" s="12" t="n"/>
      <c r="AL13" s="13" t="n"/>
      <c r="AM13" s="14" t="n"/>
      <c r="AN13" s="12" t="n"/>
      <c r="AO13" s="13" t="n"/>
      <c r="AP13" s="14" t="n"/>
      <c r="AQ13" s="12" t="n"/>
      <c r="AR13" s="13" t="n"/>
      <c r="AS13" s="14" t="n"/>
      <c r="AT13" s="12" t="n"/>
      <c r="AU13" s="13" t="n"/>
      <c r="AV13" s="14" t="n"/>
      <c r="AW13" s="12" t="n"/>
      <c r="AX13" s="13" t="n"/>
      <c r="AY13" s="14" t="n"/>
      <c r="AZ13" s="12" t="n"/>
      <c r="BA13" s="13" t="n"/>
      <c r="BB13" s="14" t="n"/>
      <c r="BC13" s="11">
        <f>IF(O13="","",IF(J13="GST 10%",ROUND(O13*set_GSTRate,2),0))</f>
        <v/>
      </c>
      <c r="BD13" s="11">
        <f>IF(O13="","",O13+BC13)</f>
        <v/>
      </c>
      <c r="BE13" s="15">
        <f>IF(O13="","",COUNTA(S13,V13,Y13,AB13,AE13,AH13,AK13,AN13,AQ13,AT13,AW13,AZ13))</f>
        <v/>
      </c>
      <c r="BF13" s="16">
        <f>IF(COUNT(T13,W13,Z13,AC13,AF13,AI13,AL13,AO13,AR13,AU13,AX13,BA13)=0,"",MAX(T13,W13,Z13,AC13,AF13,AI13,AL13,AO13,AR13,AU13,AX13,BA13))</f>
        <v/>
      </c>
      <c r="BG13" s="10">
        <f>MID(IF(S13="","",", "&amp;S13)&amp;IF(V13="","",", "&amp;V13)&amp;IF(Y13="","",", "&amp;Y13)&amp;IF(AB13="","",", "&amp;AB13)&amp;IF(AE13="","",", "&amp;AE13)&amp;IF(AH13="","",", "&amp;AH13)&amp;IF(AK13="","",", "&amp;AK13)&amp;IF(AN13="","",", "&amp;AN13)&amp;IF(AQ13="","",", "&amp;AQ13)&amp;IF(AT13="","",", "&amp;AT13)&amp;IF(AW13="","",", "&amp;AW13)&amp;IF(AZ13="","",", "&amp;AZ13),3,500)</f>
        <v/>
      </c>
      <c r="BH13" s="12" t="n"/>
      <c r="BI13" s="15">
        <f>IFERROR(MATCH($A13,IF($B13="Onsite",tbl_Onsite[Row ID],IF($B13="Production",tbl_Production[Row ID],tbl_Consulting[Row ID])),0),"")</f>
        <v/>
      </c>
    </row>
    <row r="14">
      <c r="A14" s="10" t="inlineStr">
        <is>
          <t>ONS-0008</t>
        </is>
      </c>
      <c r="B14" s="10" t="inlineStr">
        <is>
          <t>Onsite</t>
        </is>
      </c>
      <c r="C14" s="10">
        <f>IF($BI14="","",IF($B14="Onsite",INDEX(tbl_Onsite[Job Number],$BI14),IF($B14="Production",INDEX(tbl_Production[Job Number],$BI14),INDEX(tbl_Consulting[Job Number],$BI14)))&amp;"")</f>
        <v/>
      </c>
      <c r="D14" s="10">
        <f>IF($BI14="","",IF($B14="Onsite",INDEX(tbl_Onsite[Client],$BI14),IF($B14="Production",INDEX(tbl_Production[Client],$BI14),INDEX(tbl_Consulting[Client],$BI14)))&amp;"")</f>
        <v/>
      </c>
      <c r="E14" s="10">
        <f>IF($C14="","",IF(COUNTIF(lst_Jobs,$C14)&gt;0,"OK","CHECK"))</f>
        <v/>
      </c>
      <c r="F14" s="10">
        <f>IF($C14="","",IFERROR(INDEX(lst_JobName,MATCH($C14,lst_Jobs,0)),""))</f>
        <v/>
      </c>
      <c r="G14" s="10">
        <f>IF($BI14="","",IF($B14="Onsite",INDEX(tbl_Onsite[Job Description],$BI14),IF($B14="Production",INDEX(tbl_Production[Job Description],$BI14),INDEX(tbl_Consulting[Job Description],$BI14)))&amp;"")</f>
        <v/>
      </c>
      <c r="H14" s="10">
        <f>IF($BI14="","",IF($B14="Onsite",INDEX(tbl_Onsite[Cost Centre],$BI14),IF($B14="Production",INDEX(tbl_Production[Cost Centre],$BI14),INDEX(tbl_Consulting[Cost Centre],$BI14)))&amp;"")</f>
        <v/>
      </c>
      <c r="I14" s="10">
        <f>IF($BI14="","",IF($B14="Onsite",INDEX(tbl_Onsite[Invoice Type],$BI14),IF($B14="Production",INDEX(tbl_Production[Invoice Type],$BI14),INDEX(tbl_Consulting[Invoice Type],$BI14)))&amp;"")</f>
        <v/>
      </c>
      <c r="J14" s="10">
        <f>IF($BI14="","",IF($B14="Onsite",INDEX(tbl_Onsite[Tax Code],$BI14),IF($B14="Production",INDEX(tbl_Production[Tax Code],$BI14),INDEX(tbl_Consulting[Tax Code],$BI14)))&amp;"")</f>
        <v/>
      </c>
      <c r="K14" s="10">
        <f>IF(H14="","",IFERROR(INDEX(lst_CCtoGL,MATCH(H14,lst_CCforGL,0)),""))</f>
        <v/>
      </c>
      <c r="L14" s="10">
        <f>IF($BI14="","",IF($B14="Onsite",INDEX(tbl_Onsite[PO / Reference],$BI14),IF($B14="Production",INDEX(tbl_Production[Current RMS No],$BI14),INDEX(tbl_Consulting[Qwilr Quote],$BI14)))&amp;"")</f>
        <v/>
      </c>
      <c r="M14" s="10">
        <f>IF($BI14="","",IF($B14="Onsite",INDEX(tbl_Onsite[Notes],$BI14),IF($B14="Production",INDEX(tbl_Production[Notes],$BI14),INDEX(tbl_Consulting[Notes],$BI14)))&amp;"")</f>
        <v/>
      </c>
      <c r="N14" s="11">
        <f>IF($BI14="","",IF(IF($B14="Onsite",INDEX(tbl_Onsite[Expected Revenue Ex GST],$BI14),IF($B14="Production",INDEX(tbl_Production[Expected Revenue Ex GST],$BI14),INDEX(tbl_Consulting[Expected Revenue Ex GST],$BI14)))="","",IF($B14="Onsite",INDEX(tbl_Onsite[Expected Revenue Ex GST],$BI14),IF($B14="Production",INDEX(tbl_Production[Expected Revenue Ex GST],$BI14),INDEX(tbl_Consulting[Expected Revenue Ex GST],$BI14)))))</f>
        <v/>
      </c>
      <c r="O14" s="11">
        <f>IF(AND($C14="",NOT(COUNTA($S14:$BB14)&gt;0)),"",SUM(U14,X14,AA14,AD14,AG14,AJ14,AM14,AP14,AS14,AV14,AY14,BB14))</f>
        <v/>
      </c>
      <c r="P14" s="11">
        <f>IF(O14="","",N(N14)-O14)</f>
        <v/>
      </c>
      <c r="Q14" s="10">
        <f>IF(O14="","",IF($C14="","Invoice on empty job row",IF(N14="",IF(ROUND(O14,2)=0,"No dept value","Invoiced - no dept value"),IF(ROUND(O14,2)=0,"Not invoiced - to invoice",IF(ROUND(P14,2)=0,"Agrees",IF(P14&gt;0,"Dept higher - to invoice","Xero higher - check dept"))))))</f>
        <v/>
      </c>
      <c r="R14" s="10">
        <f>IF(AND($C14="",NOT(COUNTA($S14:$BB14)&gt;0),$BI14&lt;&gt;""),"",MID(IF($BI14="","; Row ID not found on the department sheet - a row was deleted","")&amp;IF(AND($C14="",COUNTA($S14:$BB14)&gt;0),"; Invoice entered but the department row has no job number","")&amp;IF(E14="CHECK","; Job number not in the Xero job list","")&amp;IF(AND($C14&lt;&gt;"",COUNTIF($C$7:$C$1506,$C14)&gt;1),"; Job number on more than one row","")&amp;IF(AND($C14&lt;&gt;"",H14=""),"; Dept has not set a cost centre","")&amp;IF(AND($C14&lt;&gt;"",J14=""),"; Dept has not set a tax code","")&amp;IF(AND($C14&lt;&gt;"",N14=""),"; Dept has not entered an expected value","")&amp;IF((IF(OR(COUNTA(S14:U14)=0,AND(COUNTA(S14:U14)=3,ISNUMBER(U14))),0,1)+IF(OR(COUNTA(V14:X14)=0,AND(COUNTA(V14:X14)=3,ISNUMBER(X14))),0,1)+IF(OR(COUNTA(Y14:AA14)=0,AND(COUNTA(Y14:AA14)=3,ISNUMBER(AA14))),0,1)+IF(OR(COUNTA(AB14:AD14)=0,AND(COUNTA(AB14:AD14)=3,ISNUMBER(AD14))),0,1)+IF(OR(COUNTA(AE14:AG14)=0,AND(COUNTA(AE14:AG14)=3,ISNUMBER(AG14))),0,1)+IF(OR(COUNTA(AH14:AJ14)=0,AND(COUNTA(AH14:AJ14)=3,ISNUMBER(AJ14))),0,1)+IF(OR(COUNTA(AK14:AM14)=0,AND(COUNTA(AK14:AM14)=3,ISNUMBER(AM14))),0,1)+IF(OR(COUNTA(AN14:AP14)=0,AND(COUNTA(AN14:AP14)=3,ISNUMBER(AP14))),0,1)+IF(OR(COUNTA(AQ14:AS14)=0,AND(COUNTA(AQ14:AS14)=3,ISNUMBER(AS14))),0,1)+IF(OR(COUNTA(AT14:AV14)=0,AND(COUNTA(AT14:AV14)=3,ISNUMBER(AV14))),0,1)+IF(OR(COUNTA(AW14:AY14)=0,AND(COUNTA(AW14:AY14)=3,ISNUMBER(AY14))),0,1)+IF(OR(COUNTA(AZ14:BB14)=0,AND(COUNTA(AZ14:BB14)=3,ISNUMBER(BB14))),0,1))&gt;0,"; An invoice is incomplete (needs No, Date and a number in Ex GST)","")&amp;IF((IF(T14="",0,IFERROR(--(EOMONTH(T14,0)&lt;&gt;S$5),1))+IF(W14="",0,IFERROR(--(EOMONTH(W14,0)&lt;&gt;V$5),1))+IF(Z14="",0,IFERROR(--(EOMONTH(Z14,0)&lt;&gt;Y$5),1))+IF(AC14="",0,IFERROR(--(EOMONTH(AC14,0)&lt;&gt;AB$5),1))+IF(AF14="",0,IFERROR(--(EOMONTH(AF14,0)&lt;&gt;AE$5),1))+IF(AI14="",0,IFERROR(--(EOMONTH(AI14,0)&lt;&gt;AH$5),1))+IF(AL14="",0,IFERROR(--(EOMONTH(AL14,0)&lt;&gt;AK$5),1))+IF(AO14="",0,IFERROR(--(EOMONTH(AO14,0)&lt;&gt;AN$5),1))+IF(AR14="",0,IFERROR(--(EOMONTH(AR14,0)&lt;&gt;AQ$5),1))+IF(AU14="",0,IFERROR(--(EOMONTH(AU14,0)&lt;&gt;AT$5),1))+IF(AX14="",0,IFERROR(--(EOMONTH(AX14,0)&lt;&gt;AW$5),1))+IF(BA14="",0,IFERROR(--(EOMONTH(BA14,0)&lt;&gt;AZ$5),1)))&gt;0,"; An invoice date is not in the month it is typed under",""),3,500))</f>
        <v/>
      </c>
      <c r="S14" s="12" t="n"/>
      <c r="T14" s="13" t="n"/>
      <c r="U14" s="14" t="n"/>
      <c r="V14" s="12" t="n"/>
      <c r="W14" s="13" t="n"/>
      <c r="X14" s="14" t="n"/>
      <c r="Y14" s="12" t="n"/>
      <c r="Z14" s="13" t="n"/>
      <c r="AA14" s="14" t="n"/>
      <c r="AB14" s="12" t="n"/>
      <c r="AC14" s="13" t="n"/>
      <c r="AD14" s="14" t="n"/>
      <c r="AE14" s="12" t="n"/>
      <c r="AF14" s="13" t="n"/>
      <c r="AG14" s="14" t="n"/>
      <c r="AH14" s="12" t="n"/>
      <c r="AI14" s="13" t="n"/>
      <c r="AJ14" s="14" t="n"/>
      <c r="AK14" s="12" t="n"/>
      <c r="AL14" s="13" t="n"/>
      <c r="AM14" s="14" t="n"/>
      <c r="AN14" s="12" t="n"/>
      <c r="AO14" s="13" t="n"/>
      <c r="AP14" s="14" t="n"/>
      <c r="AQ14" s="12" t="n"/>
      <c r="AR14" s="13" t="n"/>
      <c r="AS14" s="14" t="n"/>
      <c r="AT14" s="12" t="n"/>
      <c r="AU14" s="13" t="n"/>
      <c r="AV14" s="14" t="n"/>
      <c r="AW14" s="12" t="n"/>
      <c r="AX14" s="13" t="n"/>
      <c r="AY14" s="14" t="n"/>
      <c r="AZ14" s="12" t="n"/>
      <c r="BA14" s="13" t="n"/>
      <c r="BB14" s="14" t="n"/>
      <c r="BC14" s="11">
        <f>IF(O14="","",IF(J14="GST 10%",ROUND(O14*set_GSTRate,2),0))</f>
        <v/>
      </c>
      <c r="BD14" s="11">
        <f>IF(O14="","",O14+BC14)</f>
        <v/>
      </c>
      <c r="BE14" s="15">
        <f>IF(O14="","",COUNTA(S14,V14,Y14,AB14,AE14,AH14,AK14,AN14,AQ14,AT14,AW14,AZ14))</f>
        <v/>
      </c>
      <c r="BF14" s="16">
        <f>IF(COUNT(T14,W14,Z14,AC14,AF14,AI14,AL14,AO14,AR14,AU14,AX14,BA14)=0,"",MAX(T14,W14,Z14,AC14,AF14,AI14,AL14,AO14,AR14,AU14,AX14,BA14))</f>
        <v/>
      </c>
      <c r="BG14" s="10">
        <f>MID(IF(S14="","",", "&amp;S14)&amp;IF(V14="","",", "&amp;V14)&amp;IF(Y14="","",", "&amp;Y14)&amp;IF(AB14="","",", "&amp;AB14)&amp;IF(AE14="","",", "&amp;AE14)&amp;IF(AH14="","",", "&amp;AH14)&amp;IF(AK14="","",", "&amp;AK14)&amp;IF(AN14="","",", "&amp;AN14)&amp;IF(AQ14="","",", "&amp;AQ14)&amp;IF(AT14="","",", "&amp;AT14)&amp;IF(AW14="","",", "&amp;AW14)&amp;IF(AZ14="","",", "&amp;AZ14),3,500)</f>
        <v/>
      </c>
      <c r="BH14" s="12" t="n"/>
      <c r="BI14" s="15">
        <f>IFERROR(MATCH($A14,IF($B14="Onsite",tbl_Onsite[Row ID],IF($B14="Production",tbl_Production[Row ID],tbl_Consulting[Row ID])),0),"")</f>
        <v/>
      </c>
    </row>
    <row r="15">
      <c r="A15" s="10" t="inlineStr">
        <is>
          <t>ONS-0009</t>
        </is>
      </c>
      <c r="B15" s="10" t="inlineStr">
        <is>
          <t>Onsite</t>
        </is>
      </c>
      <c r="C15" s="10">
        <f>IF($BI15="","",IF($B15="Onsite",INDEX(tbl_Onsite[Job Number],$BI15),IF($B15="Production",INDEX(tbl_Production[Job Number],$BI15),INDEX(tbl_Consulting[Job Number],$BI15)))&amp;"")</f>
        <v/>
      </c>
      <c r="D15" s="10">
        <f>IF($BI15="","",IF($B15="Onsite",INDEX(tbl_Onsite[Client],$BI15),IF($B15="Production",INDEX(tbl_Production[Client],$BI15),INDEX(tbl_Consulting[Client],$BI15)))&amp;"")</f>
        <v/>
      </c>
      <c r="E15" s="10">
        <f>IF($C15="","",IF(COUNTIF(lst_Jobs,$C15)&gt;0,"OK","CHECK"))</f>
        <v/>
      </c>
      <c r="F15" s="10">
        <f>IF($C15="","",IFERROR(INDEX(lst_JobName,MATCH($C15,lst_Jobs,0)),""))</f>
        <v/>
      </c>
      <c r="G15" s="10">
        <f>IF($BI15="","",IF($B15="Onsite",INDEX(tbl_Onsite[Job Description],$BI15),IF($B15="Production",INDEX(tbl_Production[Job Description],$BI15),INDEX(tbl_Consulting[Job Description],$BI15)))&amp;"")</f>
        <v/>
      </c>
      <c r="H15" s="10">
        <f>IF($BI15="","",IF($B15="Onsite",INDEX(tbl_Onsite[Cost Centre],$BI15),IF($B15="Production",INDEX(tbl_Production[Cost Centre],$BI15),INDEX(tbl_Consulting[Cost Centre],$BI15)))&amp;"")</f>
        <v/>
      </c>
      <c r="I15" s="10">
        <f>IF($BI15="","",IF($B15="Onsite",INDEX(tbl_Onsite[Invoice Type],$BI15),IF($B15="Production",INDEX(tbl_Production[Invoice Type],$BI15),INDEX(tbl_Consulting[Invoice Type],$BI15)))&amp;"")</f>
        <v/>
      </c>
      <c r="J15" s="10">
        <f>IF($BI15="","",IF($B15="Onsite",INDEX(tbl_Onsite[Tax Code],$BI15),IF($B15="Production",INDEX(tbl_Production[Tax Code],$BI15),INDEX(tbl_Consulting[Tax Code],$BI15)))&amp;"")</f>
        <v/>
      </c>
      <c r="K15" s="10">
        <f>IF(H15="","",IFERROR(INDEX(lst_CCtoGL,MATCH(H15,lst_CCforGL,0)),""))</f>
        <v/>
      </c>
      <c r="L15" s="10">
        <f>IF($BI15="","",IF($B15="Onsite",INDEX(tbl_Onsite[PO / Reference],$BI15),IF($B15="Production",INDEX(tbl_Production[Current RMS No],$BI15),INDEX(tbl_Consulting[Qwilr Quote],$BI15)))&amp;"")</f>
        <v/>
      </c>
      <c r="M15" s="10">
        <f>IF($BI15="","",IF($B15="Onsite",INDEX(tbl_Onsite[Notes],$BI15),IF($B15="Production",INDEX(tbl_Production[Notes],$BI15),INDEX(tbl_Consulting[Notes],$BI15)))&amp;"")</f>
        <v/>
      </c>
      <c r="N15" s="11">
        <f>IF($BI15="","",IF(IF($B15="Onsite",INDEX(tbl_Onsite[Expected Revenue Ex GST],$BI15),IF($B15="Production",INDEX(tbl_Production[Expected Revenue Ex GST],$BI15),INDEX(tbl_Consulting[Expected Revenue Ex GST],$BI15)))="","",IF($B15="Onsite",INDEX(tbl_Onsite[Expected Revenue Ex GST],$BI15),IF($B15="Production",INDEX(tbl_Production[Expected Revenue Ex GST],$BI15),INDEX(tbl_Consulting[Expected Revenue Ex GST],$BI15)))))</f>
        <v/>
      </c>
      <c r="O15" s="11">
        <f>IF(AND($C15="",NOT(COUNTA($S15:$BB15)&gt;0)),"",SUM(U15,X15,AA15,AD15,AG15,AJ15,AM15,AP15,AS15,AV15,AY15,BB15))</f>
        <v/>
      </c>
      <c r="P15" s="11">
        <f>IF(O15="","",N(N15)-O15)</f>
        <v/>
      </c>
      <c r="Q15" s="10">
        <f>IF(O15="","",IF($C15="","Invoice on empty job row",IF(N15="",IF(ROUND(O15,2)=0,"No dept value","Invoiced - no dept value"),IF(ROUND(O15,2)=0,"Not invoiced - to invoice",IF(ROUND(P15,2)=0,"Agrees",IF(P15&gt;0,"Dept higher - to invoice","Xero higher - check dept"))))))</f>
        <v/>
      </c>
      <c r="R15" s="10">
        <f>IF(AND($C15="",NOT(COUNTA($S15:$BB15)&gt;0),$BI15&lt;&gt;""),"",MID(IF($BI15="","; Row ID not found on the department sheet - a row was deleted","")&amp;IF(AND($C15="",COUNTA($S15:$BB15)&gt;0),"; Invoice entered but the department row has no job number","")&amp;IF(E15="CHECK","; Job number not in the Xero job list","")&amp;IF(AND($C15&lt;&gt;"",COUNTIF($C$7:$C$1506,$C15)&gt;1),"; Job number on more than one row","")&amp;IF(AND($C15&lt;&gt;"",H15=""),"; Dept has not set a cost centre","")&amp;IF(AND($C15&lt;&gt;"",J15=""),"; Dept has not set a tax code","")&amp;IF(AND($C15&lt;&gt;"",N15=""),"; Dept has not entered an expected value","")&amp;IF((IF(OR(COUNTA(S15:U15)=0,AND(COUNTA(S15:U15)=3,ISNUMBER(U15))),0,1)+IF(OR(COUNTA(V15:X15)=0,AND(COUNTA(V15:X15)=3,ISNUMBER(X15))),0,1)+IF(OR(COUNTA(Y15:AA15)=0,AND(COUNTA(Y15:AA15)=3,ISNUMBER(AA15))),0,1)+IF(OR(COUNTA(AB15:AD15)=0,AND(COUNTA(AB15:AD15)=3,ISNUMBER(AD15))),0,1)+IF(OR(COUNTA(AE15:AG15)=0,AND(COUNTA(AE15:AG15)=3,ISNUMBER(AG15))),0,1)+IF(OR(COUNTA(AH15:AJ15)=0,AND(COUNTA(AH15:AJ15)=3,ISNUMBER(AJ15))),0,1)+IF(OR(COUNTA(AK15:AM15)=0,AND(COUNTA(AK15:AM15)=3,ISNUMBER(AM15))),0,1)+IF(OR(COUNTA(AN15:AP15)=0,AND(COUNTA(AN15:AP15)=3,ISNUMBER(AP15))),0,1)+IF(OR(COUNTA(AQ15:AS15)=0,AND(COUNTA(AQ15:AS15)=3,ISNUMBER(AS15))),0,1)+IF(OR(COUNTA(AT15:AV15)=0,AND(COUNTA(AT15:AV15)=3,ISNUMBER(AV15))),0,1)+IF(OR(COUNTA(AW15:AY15)=0,AND(COUNTA(AW15:AY15)=3,ISNUMBER(AY15))),0,1)+IF(OR(COUNTA(AZ15:BB15)=0,AND(COUNTA(AZ15:BB15)=3,ISNUMBER(BB15))),0,1))&gt;0,"; An invoice is incomplete (needs No, Date and a number in Ex GST)","")&amp;IF((IF(T15="",0,IFERROR(--(EOMONTH(T15,0)&lt;&gt;S$5),1))+IF(W15="",0,IFERROR(--(EOMONTH(W15,0)&lt;&gt;V$5),1))+IF(Z15="",0,IFERROR(--(EOMONTH(Z15,0)&lt;&gt;Y$5),1))+IF(AC15="",0,IFERROR(--(EOMONTH(AC15,0)&lt;&gt;AB$5),1))+IF(AF15="",0,IFERROR(--(EOMONTH(AF15,0)&lt;&gt;AE$5),1))+IF(AI15="",0,IFERROR(--(EOMONTH(AI15,0)&lt;&gt;AH$5),1))+IF(AL15="",0,IFERROR(--(EOMONTH(AL15,0)&lt;&gt;AK$5),1))+IF(AO15="",0,IFERROR(--(EOMONTH(AO15,0)&lt;&gt;AN$5),1))+IF(AR15="",0,IFERROR(--(EOMONTH(AR15,0)&lt;&gt;AQ$5),1))+IF(AU15="",0,IFERROR(--(EOMONTH(AU15,0)&lt;&gt;AT$5),1))+IF(AX15="",0,IFERROR(--(EOMONTH(AX15,0)&lt;&gt;AW$5),1))+IF(BA15="",0,IFERROR(--(EOMONTH(BA15,0)&lt;&gt;AZ$5),1)))&gt;0,"; An invoice date is not in the month it is typed under",""),3,500))</f>
        <v/>
      </c>
      <c r="S15" s="12" t="n"/>
      <c r="T15" s="13" t="n"/>
      <c r="U15" s="14" t="n"/>
      <c r="V15" s="12" t="n"/>
      <c r="W15" s="13" t="n"/>
      <c r="X15" s="14" t="n"/>
      <c r="Y15" s="12" t="n"/>
      <c r="Z15" s="13" t="n"/>
      <c r="AA15" s="14" t="n"/>
      <c r="AB15" s="12" t="n"/>
      <c r="AC15" s="13" t="n"/>
      <c r="AD15" s="14" t="n"/>
      <c r="AE15" s="12" t="n"/>
      <c r="AF15" s="13" t="n"/>
      <c r="AG15" s="14" t="n"/>
      <c r="AH15" s="12" t="n"/>
      <c r="AI15" s="13" t="n"/>
      <c r="AJ15" s="14" t="n"/>
      <c r="AK15" s="12" t="n"/>
      <c r="AL15" s="13" t="n"/>
      <c r="AM15" s="14" t="n"/>
      <c r="AN15" s="12" t="n"/>
      <c r="AO15" s="13" t="n"/>
      <c r="AP15" s="14" t="n"/>
      <c r="AQ15" s="12" t="n"/>
      <c r="AR15" s="13" t="n"/>
      <c r="AS15" s="14" t="n"/>
      <c r="AT15" s="12" t="n"/>
      <c r="AU15" s="13" t="n"/>
      <c r="AV15" s="14" t="n"/>
      <c r="AW15" s="12" t="n"/>
      <c r="AX15" s="13" t="n"/>
      <c r="AY15" s="14" t="n"/>
      <c r="AZ15" s="12" t="n"/>
      <c r="BA15" s="13" t="n"/>
      <c r="BB15" s="14" t="n"/>
      <c r="BC15" s="11">
        <f>IF(O15="","",IF(J15="GST 10%",ROUND(O15*set_GSTRate,2),0))</f>
        <v/>
      </c>
      <c r="BD15" s="11">
        <f>IF(O15="","",O15+BC15)</f>
        <v/>
      </c>
      <c r="BE15" s="15">
        <f>IF(O15="","",COUNTA(S15,V15,Y15,AB15,AE15,AH15,AK15,AN15,AQ15,AT15,AW15,AZ15))</f>
        <v/>
      </c>
      <c r="BF15" s="16">
        <f>IF(COUNT(T15,W15,Z15,AC15,AF15,AI15,AL15,AO15,AR15,AU15,AX15,BA15)=0,"",MAX(T15,W15,Z15,AC15,AF15,AI15,AL15,AO15,AR15,AU15,AX15,BA15))</f>
        <v/>
      </c>
      <c r="BG15" s="10">
        <f>MID(IF(S15="","",", "&amp;S15)&amp;IF(V15="","",", "&amp;V15)&amp;IF(Y15="","",", "&amp;Y15)&amp;IF(AB15="","",", "&amp;AB15)&amp;IF(AE15="","",", "&amp;AE15)&amp;IF(AH15="","",", "&amp;AH15)&amp;IF(AK15="","",", "&amp;AK15)&amp;IF(AN15="","",", "&amp;AN15)&amp;IF(AQ15="","",", "&amp;AQ15)&amp;IF(AT15="","",", "&amp;AT15)&amp;IF(AW15="","",", "&amp;AW15)&amp;IF(AZ15="","",", "&amp;AZ15),3,500)</f>
        <v/>
      </c>
      <c r="BH15" s="12" t="n"/>
      <c r="BI15" s="15">
        <f>IFERROR(MATCH($A15,IF($B15="Onsite",tbl_Onsite[Row ID],IF($B15="Production",tbl_Production[Row ID],tbl_Consulting[Row ID])),0),"")</f>
        <v/>
      </c>
    </row>
    <row r="16">
      <c r="A16" s="10" t="inlineStr">
        <is>
          <t>ONS-0010</t>
        </is>
      </c>
      <c r="B16" s="10" t="inlineStr">
        <is>
          <t>Onsite</t>
        </is>
      </c>
      <c r="C16" s="10">
        <f>IF($BI16="","",IF($B16="Onsite",INDEX(tbl_Onsite[Job Number],$BI16),IF($B16="Production",INDEX(tbl_Production[Job Number],$BI16),INDEX(tbl_Consulting[Job Number],$BI16)))&amp;"")</f>
        <v/>
      </c>
      <c r="D16" s="10">
        <f>IF($BI16="","",IF($B16="Onsite",INDEX(tbl_Onsite[Client],$BI16),IF($B16="Production",INDEX(tbl_Production[Client],$BI16),INDEX(tbl_Consulting[Client],$BI16)))&amp;"")</f>
        <v/>
      </c>
      <c r="E16" s="10">
        <f>IF($C16="","",IF(COUNTIF(lst_Jobs,$C16)&gt;0,"OK","CHECK"))</f>
        <v/>
      </c>
      <c r="F16" s="10">
        <f>IF($C16="","",IFERROR(INDEX(lst_JobName,MATCH($C16,lst_Jobs,0)),""))</f>
        <v/>
      </c>
      <c r="G16" s="10">
        <f>IF($BI16="","",IF($B16="Onsite",INDEX(tbl_Onsite[Job Description],$BI16),IF($B16="Production",INDEX(tbl_Production[Job Description],$BI16),INDEX(tbl_Consulting[Job Description],$BI16)))&amp;"")</f>
        <v/>
      </c>
      <c r="H16" s="10">
        <f>IF($BI16="","",IF($B16="Onsite",INDEX(tbl_Onsite[Cost Centre],$BI16),IF($B16="Production",INDEX(tbl_Production[Cost Centre],$BI16),INDEX(tbl_Consulting[Cost Centre],$BI16)))&amp;"")</f>
        <v/>
      </c>
      <c r="I16" s="10">
        <f>IF($BI16="","",IF($B16="Onsite",INDEX(tbl_Onsite[Invoice Type],$BI16),IF($B16="Production",INDEX(tbl_Production[Invoice Type],$BI16),INDEX(tbl_Consulting[Invoice Type],$BI16)))&amp;"")</f>
        <v/>
      </c>
      <c r="J16" s="10">
        <f>IF($BI16="","",IF($B16="Onsite",INDEX(tbl_Onsite[Tax Code],$BI16),IF($B16="Production",INDEX(tbl_Production[Tax Code],$BI16),INDEX(tbl_Consulting[Tax Code],$BI16)))&amp;"")</f>
        <v/>
      </c>
      <c r="K16" s="10">
        <f>IF(H16="","",IFERROR(INDEX(lst_CCtoGL,MATCH(H16,lst_CCforGL,0)),""))</f>
        <v/>
      </c>
      <c r="L16" s="10">
        <f>IF($BI16="","",IF($B16="Onsite",INDEX(tbl_Onsite[PO / Reference],$BI16),IF($B16="Production",INDEX(tbl_Production[Current RMS No],$BI16),INDEX(tbl_Consulting[Qwilr Quote],$BI16)))&amp;"")</f>
        <v/>
      </c>
      <c r="M16" s="10">
        <f>IF($BI16="","",IF($B16="Onsite",INDEX(tbl_Onsite[Notes],$BI16),IF($B16="Production",INDEX(tbl_Production[Notes],$BI16),INDEX(tbl_Consulting[Notes],$BI16)))&amp;"")</f>
        <v/>
      </c>
      <c r="N16" s="11">
        <f>IF($BI16="","",IF(IF($B16="Onsite",INDEX(tbl_Onsite[Expected Revenue Ex GST],$BI16),IF($B16="Production",INDEX(tbl_Production[Expected Revenue Ex GST],$BI16),INDEX(tbl_Consulting[Expected Revenue Ex GST],$BI16)))="","",IF($B16="Onsite",INDEX(tbl_Onsite[Expected Revenue Ex GST],$BI16),IF($B16="Production",INDEX(tbl_Production[Expected Revenue Ex GST],$BI16),INDEX(tbl_Consulting[Expected Revenue Ex GST],$BI16)))))</f>
        <v/>
      </c>
      <c r="O16" s="11">
        <f>IF(AND($C16="",NOT(COUNTA($S16:$BB16)&gt;0)),"",SUM(U16,X16,AA16,AD16,AG16,AJ16,AM16,AP16,AS16,AV16,AY16,BB16))</f>
        <v/>
      </c>
      <c r="P16" s="11">
        <f>IF(O16="","",N(N16)-O16)</f>
        <v/>
      </c>
      <c r="Q16" s="10">
        <f>IF(O16="","",IF($C16="","Invoice on empty job row",IF(N16="",IF(ROUND(O16,2)=0,"No dept value","Invoiced - no dept value"),IF(ROUND(O16,2)=0,"Not invoiced - to invoice",IF(ROUND(P16,2)=0,"Agrees",IF(P16&gt;0,"Dept higher - to invoice","Xero higher - check dept"))))))</f>
        <v/>
      </c>
      <c r="R16" s="10">
        <f>IF(AND($C16="",NOT(COUNTA($S16:$BB16)&gt;0),$BI16&lt;&gt;""),"",MID(IF($BI16="","; Row ID not found on the department sheet - a row was deleted","")&amp;IF(AND($C16="",COUNTA($S16:$BB16)&gt;0),"; Invoice entered but the department row has no job number","")&amp;IF(E16="CHECK","; Job number not in the Xero job list","")&amp;IF(AND($C16&lt;&gt;"",COUNTIF($C$7:$C$1506,$C16)&gt;1),"; Job number on more than one row","")&amp;IF(AND($C16&lt;&gt;"",H16=""),"; Dept has not set a cost centre","")&amp;IF(AND($C16&lt;&gt;"",J16=""),"; Dept has not set a tax code","")&amp;IF(AND($C16&lt;&gt;"",N16=""),"; Dept has not entered an expected value","")&amp;IF((IF(OR(COUNTA(S16:U16)=0,AND(COUNTA(S16:U16)=3,ISNUMBER(U16))),0,1)+IF(OR(COUNTA(V16:X16)=0,AND(COUNTA(V16:X16)=3,ISNUMBER(X16))),0,1)+IF(OR(COUNTA(Y16:AA16)=0,AND(COUNTA(Y16:AA16)=3,ISNUMBER(AA16))),0,1)+IF(OR(COUNTA(AB16:AD16)=0,AND(COUNTA(AB16:AD16)=3,ISNUMBER(AD16))),0,1)+IF(OR(COUNTA(AE16:AG16)=0,AND(COUNTA(AE16:AG16)=3,ISNUMBER(AG16))),0,1)+IF(OR(COUNTA(AH16:AJ16)=0,AND(COUNTA(AH16:AJ16)=3,ISNUMBER(AJ16))),0,1)+IF(OR(COUNTA(AK16:AM16)=0,AND(COUNTA(AK16:AM16)=3,ISNUMBER(AM16))),0,1)+IF(OR(COUNTA(AN16:AP16)=0,AND(COUNTA(AN16:AP16)=3,ISNUMBER(AP16))),0,1)+IF(OR(COUNTA(AQ16:AS16)=0,AND(COUNTA(AQ16:AS16)=3,ISNUMBER(AS16))),0,1)+IF(OR(COUNTA(AT16:AV16)=0,AND(COUNTA(AT16:AV16)=3,ISNUMBER(AV16))),0,1)+IF(OR(COUNTA(AW16:AY16)=0,AND(COUNTA(AW16:AY16)=3,ISNUMBER(AY16))),0,1)+IF(OR(COUNTA(AZ16:BB16)=0,AND(COUNTA(AZ16:BB16)=3,ISNUMBER(BB16))),0,1))&gt;0,"; An invoice is incomplete (needs No, Date and a number in Ex GST)","")&amp;IF((IF(T16="",0,IFERROR(--(EOMONTH(T16,0)&lt;&gt;S$5),1))+IF(W16="",0,IFERROR(--(EOMONTH(W16,0)&lt;&gt;V$5),1))+IF(Z16="",0,IFERROR(--(EOMONTH(Z16,0)&lt;&gt;Y$5),1))+IF(AC16="",0,IFERROR(--(EOMONTH(AC16,0)&lt;&gt;AB$5),1))+IF(AF16="",0,IFERROR(--(EOMONTH(AF16,0)&lt;&gt;AE$5),1))+IF(AI16="",0,IFERROR(--(EOMONTH(AI16,0)&lt;&gt;AH$5),1))+IF(AL16="",0,IFERROR(--(EOMONTH(AL16,0)&lt;&gt;AK$5),1))+IF(AO16="",0,IFERROR(--(EOMONTH(AO16,0)&lt;&gt;AN$5),1))+IF(AR16="",0,IFERROR(--(EOMONTH(AR16,0)&lt;&gt;AQ$5),1))+IF(AU16="",0,IFERROR(--(EOMONTH(AU16,0)&lt;&gt;AT$5),1))+IF(AX16="",0,IFERROR(--(EOMONTH(AX16,0)&lt;&gt;AW$5),1))+IF(BA16="",0,IFERROR(--(EOMONTH(BA16,0)&lt;&gt;AZ$5),1)))&gt;0,"; An invoice date is not in the month it is typed under",""),3,500))</f>
        <v/>
      </c>
      <c r="S16" s="12" t="n"/>
      <c r="T16" s="13" t="n"/>
      <c r="U16" s="14" t="n"/>
      <c r="V16" s="12" t="n"/>
      <c r="W16" s="13" t="n"/>
      <c r="X16" s="14" t="n"/>
      <c r="Y16" s="12" t="n"/>
      <c r="Z16" s="13" t="n"/>
      <c r="AA16" s="14" t="n"/>
      <c r="AB16" s="12" t="n"/>
      <c r="AC16" s="13" t="n"/>
      <c r="AD16" s="14" t="n"/>
      <c r="AE16" s="12" t="n"/>
      <c r="AF16" s="13" t="n"/>
      <c r="AG16" s="14" t="n"/>
      <c r="AH16" s="12" t="n"/>
      <c r="AI16" s="13" t="n"/>
      <c r="AJ16" s="14" t="n"/>
      <c r="AK16" s="12" t="n"/>
      <c r="AL16" s="13" t="n"/>
      <c r="AM16" s="14" t="n"/>
      <c r="AN16" s="12" t="n"/>
      <c r="AO16" s="13" t="n"/>
      <c r="AP16" s="14" t="n"/>
      <c r="AQ16" s="12" t="n"/>
      <c r="AR16" s="13" t="n"/>
      <c r="AS16" s="14" t="n"/>
      <c r="AT16" s="12" t="n"/>
      <c r="AU16" s="13" t="n"/>
      <c r="AV16" s="14" t="n"/>
      <c r="AW16" s="12" t="n"/>
      <c r="AX16" s="13" t="n"/>
      <c r="AY16" s="14" t="n"/>
      <c r="AZ16" s="12" t="n"/>
      <c r="BA16" s="13" t="n"/>
      <c r="BB16" s="14" t="n"/>
      <c r="BC16" s="11">
        <f>IF(O16="","",IF(J16="GST 10%",ROUND(O16*set_GSTRate,2),0))</f>
        <v/>
      </c>
      <c r="BD16" s="11">
        <f>IF(O16="","",O16+BC16)</f>
        <v/>
      </c>
      <c r="BE16" s="15">
        <f>IF(O16="","",COUNTA(S16,V16,Y16,AB16,AE16,AH16,AK16,AN16,AQ16,AT16,AW16,AZ16))</f>
        <v/>
      </c>
      <c r="BF16" s="16">
        <f>IF(COUNT(T16,W16,Z16,AC16,AF16,AI16,AL16,AO16,AR16,AU16,AX16,BA16)=0,"",MAX(T16,W16,Z16,AC16,AF16,AI16,AL16,AO16,AR16,AU16,AX16,BA16))</f>
        <v/>
      </c>
      <c r="BG16" s="10">
        <f>MID(IF(S16="","",", "&amp;S16)&amp;IF(V16="","",", "&amp;V16)&amp;IF(Y16="","",", "&amp;Y16)&amp;IF(AB16="","",", "&amp;AB16)&amp;IF(AE16="","",", "&amp;AE16)&amp;IF(AH16="","",", "&amp;AH16)&amp;IF(AK16="","",", "&amp;AK16)&amp;IF(AN16="","",", "&amp;AN16)&amp;IF(AQ16="","",", "&amp;AQ16)&amp;IF(AT16="","",", "&amp;AT16)&amp;IF(AW16="","",", "&amp;AW16)&amp;IF(AZ16="","",", "&amp;AZ16),3,500)</f>
        <v/>
      </c>
      <c r="BH16" s="12" t="n"/>
      <c r="BI16" s="15">
        <f>IFERROR(MATCH($A16,IF($B16="Onsite",tbl_Onsite[Row ID],IF($B16="Production",tbl_Production[Row ID],tbl_Consulting[Row ID])),0),"")</f>
        <v/>
      </c>
    </row>
    <row r="17">
      <c r="A17" s="10" t="inlineStr">
        <is>
          <t>ONS-0011</t>
        </is>
      </c>
      <c r="B17" s="10" t="inlineStr">
        <is>
          <t>Onsite</t>
        </is>
      </c>
      <c r="C17" s="10">
        <f>IF($BI17="","",IF($B17="Onsite",INDEX(tbl_Onsite[Job Number],$BI17),IF($B17="Production",INDEX(tbl_Production[Job Number],$BI17),INDEX(tbl_Consulting[Job Number],$BI17)))&amp;"")</f>
        <v/>
      </c>
      <c r="D17" s="10">
        <f>IF($BI17="","",IF($B17="Onsite",INDEX(tbl_Onsite[Client],$BI17),IF($B17="Production",INDEX(tbl_Production[Client],$BI17),INDEX(tbl_Consulting[Client],$BI17)))&amp;"")</f>
        <v/>
      </c>
      <c r="E17" s="10">
        <f>IF($C17="","",IF(COUNTIF(lst_Jobs,$C17)&gt;0,"OK","CHECK"))</f>
        <v/>
      </c>
      <c r="F17" s="10">
        <f>IF($C17="","",IFERROR(INDEX(lst_JobName,MATCH($C17,lst_Jobs,0)),""))</f>
        <v/>
      </c>
      <c r="G17" s="10">
        <f>IF($BI17="","",IF($B17="Onsite",INDEX(tbl_Onsite[Job Description],$BI17),IF($B17="Production",INDEX(tbl_Production[Job Description],$BI17),INDEX(tbl_Consulting[Job Description],$BI17)))&amp;"")</f>
        <v/>
      </c>
      <c r="H17" s="10">
        <f>IF($BI17="","",IF($B17="Onsite",INDEX(tbl_Onsite[Cost Centre],$BI17),IF($B17="Production",INDEX(tbl_Production[Cost Centre],$BI17),INDEX(tbl_Consulting[Cost Centre],$BI17)))&amp;"")</f>
        <v/>
      </c>
      <c r="I17" s="10">
        <f>IF($BI17="","",IF($B17="Onsite",INDEX(tbl_Onsite[Invoice Type],$BI17),IF($B17="Production",INDEX(tbl_Production[Invoice Type],$BI17),INDEX(tbl_Consulting[Invoice Type],$BI17)))&amp;"")</f>
        <v/>
      </c>
      <c r="J17" s="10">
        <f>IF($BI17="","",IF($B17="Onsite",INDEX(tbl_Onsite[Tax Code],$BI17),IF($B17="Production",INDEX(tbl_Production[Tax Code],$BI17),INDEX(tbl_Consulting[Tax Code],$BI17)))&amp;"")</f>
        <v/>
      </c>
      <c r="K17" s="10">
        <f>IF(H17="","",IFERROR(INDEX(lst_CCtoGL,MATCH(H17,lst_CCforGL,0)),""))</f>
        <v/>
      </c>
      <c r="L17" s="10">
        <f>IF($BI17="","",IF($B17="Onsite",INDEX(tbl_Onsite[PO / Reference],$BI17),IF($B17="Production",INDEX(tbl_Production[Current RMS No],$BI17),INDEX(tbl_Consulting[Qwilr Quote],$BI17)))&amp;"")</f>
        <v/>
      </c>
      <c r="M17" s="10">
        <f>IF($BI17="","",IF($B17="Onsite",INDEX(tbl_Onsite[Notes],$BI17),IF($B17="Production",INDEX(tbl_Production[Notes],$BI17),INDEX(tbl_Consulting[Notes],$BI17)))&amp;"")</f>
        <v/>
      </c>
      <c r="N17" s="11">
        <f>IF($BI17="","",IF(IF($B17="Onsite",INDEX(tbl_Onsite[Expected Revenue Ex GST],$BI17),IF($B17="Production",INDEX(tbl_Production[Expected Revenue Ex GST],$BI17),INDEX(tbl_Consulting[Expected Revenue Ex GST],$BI17)))="","",IF($B17="Onsite",INDEX(tbl_Onsite[Expected Revenue Ex GST],$BI17),IF($B17="Production",INDEX(tbl_Production[Expected Revenue Ex GST],$BI17),INDEX(tbl_Consulting[Expected Revenue Ex GST],$BI17)))))</f>
        <v/>
      </c>
      <c r="O17" s="11">
        <f>IF(AND($C17="",NOT(COUNTA($S17:$BB17)&gt;0)),"",SUM(U17,X17,AA17,AD17,AG17,AJ17,AM17,AP17,AS17,AV17,AY17,BB17))</f>
        <v/>
      </c>
      <c r="P17" s="11">
        <f>IF(O17="","",N(N17)-O17)</f>
        <v/>
      </c>
      <c r="Q17" s="10">
        <f>IF(O17="","",IF($C17="","Invoice on empty job row",IF(N17="",IF(ROUND(O17,2)=0,"No dept value","Invoiced - no dept value"),IF(ROUND(O17,2)=0,"Not invoiced - to invoice",IF(ROUND(P17,2)=0,"Agrees",IF(P17&gt;0,"Dept higher - to invoice","Xero higher - check dept"))))))</f>
        <v/>
      </c>
      <c r="R17" s="10">
        <f>IF(AND($C17="",NOT(COUNTA($S17:$BB17)&gt;0),$BI17&lt;&gt;""),"",MID(IF($BI17="","; Row ID not found on the department sheet - a row was deleted","")&amp;IF(AND($C17="",COUNTA($S17:$BB17)&gt;0),"; Invoice entered but the department row has no job number","")&amp;IF(E17="CHECK","; Job number not in the Xero job list","")&amp;IF(AND($C17&lt;&gt;"",COUNTIF($C$7:$C$1506,$C17)&gt;1),"; Job number on more than one row","")&amp;IF(AND($C17&lt;&gt;"",H17=""),"; Dept has not set a cost centre","")&amp;IF(AND($C17&lt;&gt;"",J17=""),"; Dept has not set a tax code","")&amp;IF(AND($C17&lt;&gt;"",N17=""),"; Dept has not entered an expected value","")&amp;IF((IF(OR(COUNTA(S17:U17)=0,AND(COUNTA(S17:U17)=3,ISNUMBER(U17))),0,1)+IF(OR(COUNTA(V17:X17)=0,AND(COUNTA(V17:X17)=3,ISNUMBER(X17))),0,1)+IF(OR(COUNTA(Y17:AA17)=0,AND(COUNTA(Y17:AA17)=3,ISNUMBER(AA17))),0,1)+IF(OR(COUNTA(AB17:AD17)=0,AND(COUNTA(AB17:AD17)=3,ISNUMBER(AD17))),0,1)+IF(OR(COUNTA(AE17:AG17)=0,AND(COUNTA(AE17:AG17)=3,ISNUMBER(AG17))),0,1)+IF(OR(COUNTA(AH17:AJ17)=0,AND(COUNTA(AH17:AJ17)=3,ISNUMBER(AJ17))),0,1)+IF(OR(COUNTA(AK17:AM17)=0,AND(COUNTA(AK17:AM17)=3,ISNUMBER(AM17))),0,1)+IF(OR(COUNTA(AN17:AP17)=0,AND(COUNTA(AN17:AP17)=3,ISNUMBER(AP17))),0,1)+IF(OR(COUNTA(AQ17:AS17)=0,AND(COUNTA(AQ17:AS17)=3,ISNUMBER(AS17))),0,1)+IF(OR(COUNTA(AT17:AV17)=0,AND(COUNTA(AT17:AV17)=3,ISNUMBER(AV17))),0,1)+IF(OR(COUNTA(AW17:AY17)=0,AND(COUNTA(AW17:AY17)=3,ISNUMBER(AY17))),0,1)+IF(OR(COUNTA(AZ17:BB17)=0,AND(COUNTA(AZ17:BB17)=3,ISNUMBER(BB17))),0,1))&gt;0,"; An invoice is incomplete (needs No, Date and a number in Ex GST)","")&amp;IF((IF(T17="",0,IFERROR(--(EOMONTH(T17,0)&lt;&gt;S$5),1))+IF(W17="",0,IFERROR(--(EOMONTH(W17,0)&lt;&gt;V$5),1))+IF(Z17="",0,IFERROR(--(EOMONTH(Z17,0)&lt;&gt;Y$5),1))+IF(AC17="",0,IFERROR(--(EOMONTH(AC17,0)&lt;&gt;AB$5),1))+IF(AF17="",0,IFERROR(--(EOMONTH(AF17,0)&lt;&gt;AE$5),1))+IF(AI17="",0,IFERROR(--(EOMONTH(AI17,0)&lt;&gt;AH$5),1))+IF(AL17="",0,IFERROR(--(EOMONTH(AL17,0)&lt;&gt;AK$5),1))+IF(AO17="",0,IFERROR(--(EOMONTH(AO17,0)&lt;&gt;AN$5),1))+IF(AR17="",0,IFERROR(--(EOMONTH(AR17,0)&lt;&gt;AQ$5),1))+IF(AU17="",0,IFERROR(--(EOMONTH(AU17,0)&lt;&gt;AT$5),1))+IF(AX17="",0,IFERROR(--(EOMONTH(AX17,0)&lt;&gt;AW$5),1))+IF(BA17="",0,IFERROR(--(EOMONTH(BA17,0)&lt;&gt;AZ$5),1)))&gt;0,"; An invoice date is not in the month it is typed under",""),3,500))</f>
        <v/>
      </c>
      <c r="S17" s="12" t="n"/>
      <c r="T17" s="13" t="n"/>
      <c r="U17" s="14" t="n"/>
      <c r="V17" s="12" t="n"/>
      <c r="W17" s="13" t="n"/>
      <c r="X17" s="14" t="n"/>
      <c r="Y17" s="12" t="n"/>
      <c r="Z17" s="13" t="n"/>
      <c r="AA17" s="14" t="n"/>
      <c r="AB17" s="12" t="n"/>
      <c r="AC17" s="13" t="n"/>
      <c r="AD17" s="14" t="n"/>
      <c r="AE17" s="12" t="n"/>
      <c r="AF17" s="13" t="n"/>
      <c r="AG17" s="14" t="n"/>
      <c r="AH17" s="12" t="n"/>
      <c r="AI17" s="13" t="n"/>
      <c r="AJ17" s="14" t="n"/>
      <c r="AK17" s="12" t="n"/>
      <c r="AL17" s="13" t="n"/>
      <c r="AM17" s="14" t="n"/>
      <c r="AN17" s="12" t="n"/>
      <c r="AO17" s="13" t="n"/>
      <c r="AP17" s="14" t="n"/>
      <c r="AQ17" s="12" t="n"/>
      <c r="AR17" s="13" t="n"/>
      <c r="AS17" s="14" t="n"/>
      <c r="AT17" s="12" t="n"/>
      <c r="AU17" s="13" t="n"/>
      <c r="AV17" s="14" t="n"/>
      <c r="AW17" s="12" t="n"/>
      <c r="AX17" s="13" t="n"/>
      <c r="AY17" s="14" t="n"/>
      <c r="AZ17" s="12" t="n"/>
      <c r="BA17" s="13" t="n"/>
      <c r="BB17" s="14" t="n"/>
      <c r="BC17" s="11">
        <f>IF(O17="","",IF(J17="GST 10%",ROUND(O17*set_GSTRate,2),0))</f>
        <v/>
      </c>
      <c r="BD17" s="11">
        <f>IF(O17="","",O17+BC17)</f>
        <v/>
      </c>
      <c r="BE17" s="15">
        <f>IF(O17="","",COUNTA(S17,V17,Y17,AB17,AE17,AH17,AK17,AN17,AQ17,AT17,AW17,AZ17))</f>
        <v/>
      </c>
      <c r="BF17" s="16">
        <f>IF(COUNT(T17,W17,Z17,AC17,AF17,AI17,AL17,AO17,AR17,AU17,AX17,BA17)=0,"",MAX(T17,W17,Z17,AC17,AF17,AI17,AL17,AO17,AR17,AU17,AX17,BA17))</f>
        <v/>
      </c>
      <c r="BG17" s="10">
        <f>MID(IF(S17="","",", "&amp;S17)&amp;IF(V17="","",", "&amp;V17)&amp;IF(Y17="","",", "&amp;Y17)&amp;IF(AB17="","",", "&amp;AB17)&amp;IF(AE17="","",", "&amp;AE17)&amp;IF(AH17="","",", "&amp;AH17)&amp;IF(AK17="","",", "&amp;AK17)&amp;IF(AN17="","",", "&amp;AN17)&amp;IF(AQ17="","",", "&amp;AQ17)&amp;IF(AT17="","",", "&amp;AT17)&amp;IF(AW17="","",", "&amp;AW17)&amp;IF(AZ17="","",", "&amp;AZ17),3,500)</f>
        <v/>
      </c>
      <c r="BH17" s="12" t="n"/>
      <c r="BI17" s="15">
        <f>IFERROR(MATCH($A17,IF($B17="Onsite",tbl_Onsite[Row ID],IF($B17="Production",tbl_Production[Row ID],tbl_Consulting[Row ID])),0),"")</f>
        <v/>
      </c>
    </row>
    <row r="18">
      <c r="A18" s="10" t="inlineStr">
        <is>
          <t>ONS-0012</t>
        </is>
      </c>
      <c r="B18" s="10" t="inlineStr">
        <is>
          <t>Onsite</t>
        </is>
      </c>
      <c r="C18" s="10">
        <f>IF($BI18="","",IF($B18="Onsite",INDEX(tbl_Onsite[Job Number],$BI18),IF($B18="Production",INDEX(tbl_Production[Job Number],$BI18),INDEX(tbl_Consulting[Job Number],$BI18)))&amp;"")</f>
        <v/>
      </c>
      <c r="D18" s="10">
        <f>IF($BI18="","",IF($B18="Onsite",INDEX(tbl_Onsite[Client],$BI18),IF($B18="Production",INDEX(tbl_Production[Client],$BI18),INDEX(tbl_Consulting[Client],$BI18)))&amp;"")</f>
        <v/>
      </c>
      <c r="E18" s="10">
        <f>IF($C18="","",IF(COUNTIF(lst_Jobs,$C18)&gt;0,"OK","CHECK"))</f>
        <v/>
      </c>
      <c r="F18" s="10">
        <f>IF($C18="","",IFERROR(INDEX(lst_JobName,MATCH($C18,lst_Jobs,0)),""))</f>
        <v/>
      </c>
      <c r="G18" s="10">
        <f>IF($BI18="","",IF($B18="Onsite",INDEX(tbl_Onsite[Job Description],$BI18),IF($B18="Production",INDEX(tbl_Production[Job Description],$BI18),INDEX(tbl_Consulting[Job Description],$BI18)))&amp;"")</f>
        <v/>
      </c>
      <c r="H18" s="10">
        <f>IF($BI18="","",IF($B18="Onsite",INDEX(tbl_Onsite[Cost Centre],$BI18),IF($B18="Production",INDEX(tbl_Production[Cost Centre],$BI18),INDEX(tbl_Consulting[Cost Centre],$BI18)))&amp;"")</f>
        <v/>
      </c>
      <c r="I18" s="10">
        <f>IF($BI18="","",IF($B18="Onsite",INDEX(tbl_Onsite[Invoice Type],$BI18),IF($B18="Production",INDEX(tbl_Production[Invoice Type],$BI18),INDEX(tbl_Consulting[Invoice Type],$BI18)))&amp;"")</f>
        <v/>
      </c>
      <c r="J18" s="10">
        <f>IF($BI18="","",IF($B18="Onsite",INDEX(tbl_Onsite[Tax Code],$BI18),IF($B18="Production",INDEX(tbl_Production[Tax Code],$BI18),INDEX(tbl_Consulting[Tax Code],$BI18)))&amp;"")</f>
        <v/>
      </c>
      <c r="K18" s="10">
        <f>IF(H18="","",IFERROR(INDEX(lst_CCtoGL,MATCH(H18,lst_CCforGL,0)),""))</f>
        <v/>
      </c>
      <c r="L18" s="10">
        <f>IF($BI18="","",IF($B18="Onsite",INDEX(tbl_Onsite[PO / Reference],$BI18),IF($B18="Production",INDEX(tbl_Production[Current RMS No],$BI18),INDEX(tbl_Consulting[Qwilr Quote],$BI18)))&amp;"")</f>
        <v/>
      </c>
      <c r="M18" s="10">
        <f>IF($BI18="","",IF($B18="Onsite",INDEX(tbl_Onsite[Notes],$BI18),IF($B18="Production",INDEX(tbl_Production[Notes],$BI18),INDEX(tbl_Consulting[Notes],$BI18)))&amp;"")</f>
        <v/>
      </c>
      <c r="N18" s="11">
        <f>IF($BI18="","",IF(IF($B18="Onsite",INDEX(tbl_Onsite[Expected Revenue Ex GST],$BI18),IF($B18="Production",INDEX(tbl_Production[Expected Revenue Ex GST],$BI18),INDEX(tbl_Consulting[Expected Revenue Ex GST],$BI18)))="","",IF($B18="Onsite",INDEX(tbl_Onsite[Expected Revenue Ex GST],$BI18),IF($B18="Production",INDEX(tbl_Production[Expected Revenue Ex GST],$BI18),INDEX(tbl_Consulting[Expected Revenue Ex GST],$BI18)))))</f>
        <v/>
      </c>
      <c r="O18" s="11">
        <f>IF(AND($C18="",NOT(COUNTA($S18:$BB18)&gt;0)),"",SUM(U18,X18,AA18,AD18,AG18,AJ18,AM18,AP18,AS18,AV18,AY18,BB18))</f>
        <v/>
      </c>
      <c r="P18" s="11">
        <f>IF(O18="","",N(N18)-O18)</f>
        <v/>
      </c>
      <c r="Q18" s="10">
        <f>IF(O18="","",IF($C18="","Invoice on empty job row",IF(N18="",IF(ROUND(O18,2)=0,"No dept value","Invoiced - no dept value"),IF(ROUND(O18,2)=0,"Not invoiced - to invoice",IF(ROUND(P18,2)=0,"Agrees",IF(P18&gt;0,"Dept higher - to invoice","Xero higher - check dept"))))))</f>
        <v/>
      </c>
      <c r="R18" s="10">
        <f>IF(AND($C18="",NOT(COUNTA($S18:$BB18)&gt;0),$BI18&lt;&gt;""),"",MID(IF($BI18="","; Row ID not found on the department sheet - a row was deleted","")&amp;IF(AND($C18="",COUNTA($S18:$BB18)&gt;0),"; Invoice entered but the department row has no job number","")&amp;IF(E18="CHECK","; Job number not in the Xero job list","")&amp;IF(AND($C18&lt;&gt;"",COUNTIF($C$7:$C$1506,$C18)&gt;1),"; Job number on more than one row","")&amp;IF(AND($C18&lt;&gt;"",H18=""),"; Dept has not set a cost centre","")&amp;IF(AND($C18&lt;&gt;"",J18=""),"; Dept has not set a tax code","")&amp;IF(AND($C18&lt;&gt;"",N18=""),"; Dept has not entered an expected value","")&amp;IF((IF(OR(COUNTA(S18:U18)=0,AND(COUNTA(S18:U18)=3,ISNUMBER(U18))),0,1)+IF(OR(COUNTA(V18:X18)=0,AND(COUNTA(V18:X18)=3,ISNUMBER(X18))),0,1)+IF(OR(COUNTA(Y18:AA18)=0,AND(COUNTA(Y18:AA18)=3,ISNUMBER(AA18))),0,1)+IF(OR(COUNTA(AB18:AD18)=0,AND(COUNTA(AB18:AD18)=3,ISNUMBER(AD18))),0,1)+IF(OR(COUNTA(AE18:AG18)=0,AND(COUNTA(AE18:AG18)=3,ISNUMBER(AG18))),0,1)+IF(OR(COUNTA(AH18:AJ18)=0,AND(COUNTA(AH18:AJ18)=3,ISNUMBER(AJ18))),0,1)+IF(OR(COUNTA(AK18:AM18)=0,AND(COUNTA(AK18:AM18)=3,ISNUMBER(AM18))),0,1)+IF(OR(COUNTA(AN18:AP18)=0,AND(COUNTA(AN18:AP18)=3,ISNUMBER(AP18))),0,1)+IF(OR(COUNTA(AQ18:AS18)=0,AND(COUNTA(AQ18:AS18)=3,ISNUMBER(AS18))),0,1)+IF(OR(COUNTA(AT18:AV18)=0,AND(COUNTA(AT18:AV18)=3,ISNUMBER(AV18))),0,1)+IF(OR(COUNTA(AW18:AY18)=0,AND(COUNTA(AW18:AY18)=3,ISNUMBER(AY18))),0,1)+IF(OR(COUNTA(AZ18:BB18)=0,AND(COUNTA(AZ18:BB18)=3,ISNUMBER(BB18))),0,1))&gt;0,"; An invoice is incomplete (needs No, Date and a number in Ex GST)","")&amp;IF((IF(T18="",0,IFERROR(--(EOMONTH(T18,0)&lt;&gt;S$5),1))+IF(W18="",0,IFERROR(--(EOMONTH(W18,0)&lt;&gt;V$5),1))+IF(Z18="",0,IFERROR(--(EOMONTH(Z18,0)&lt;&gt;Y$5),1))+IF(AC18="",0,IFERROR(--(EOMONTH(AC18,0)&lt;&gt;AB$5),1))+IF(AF18="",0,IFERROR(--(EOMONTH(AF18,0)&lt;&gt;AE$5),1))+IF(AI18="",0,IFERROR(--(EOMONTH(AI18,0)&lt;&gt;AH$5),1))+IF(AL18="",0,IFERROR(--(EOMONTH(AL18,0)&lt;&gt;AK$5),1))+IF(AO18="",0,IFERROR(--(EOMONTH(AO18,0)&lt;&gt;AN$5),1))+IF(AR18="",0,IFERROR(--(EOMONTH(AR18,0)&lt;&gt;AQ$5),1))+IF(AU18="",0,IFERROR(--(EOMONTH(AU18,0)&lt;&gt;AT$5),1))+IF(AX18="",0,IFERROR(--(EOMONTH(AX18,0)&lt;&gt;AW$5),1))+IF(BA18="",0,IFERROR(--(EOMONTH(BA18,0)&lt;&gt;AZ$5),1)))&gt;0,"; An invoice date is not in the month it is typed under",""),3,500))</f>
        <v/>
      </c>
      <c r="S18" s="12" t="n"/>
      <c r="T18" s="13" t="n"/>
      <c r="U18" s="14" t="n"/>
      <c r="V18" s="12" t="n"/>
      <c r="W18" s="13" t="n"/>
      <c r="X18" s="14" t="n"/>
      <c r="Y18" s="12" t="n"/>
      <c r="Z18" s="13" t="n"/>
      <c r="AA18" s="14" t="n"/>
      <c r="AB18" s="12" t="n"/>
      <c r="AC18" s="13" t="n"/>
      <c r="AD18" s="14" t="n"/>
      <c r="AE18" s="12" t="n"/>
      <c r="AF18" s="13" t="n"/>
      <c r="AG18" s="14" t="n"/>
      <c r="AH18" s="12" t="n"/>
      <c r="AI18" s="13" t="n"/>
      <c r="AJ18" s="14" t="n"/>
      <c r="AK18" s="12" t="n"/>
      <c r="AL18" s="13" t="n"/>
      <c r="AM18" s="14" t="n"/>
      <c r="AN18" s="12" t="n"/>
      <c r="AO18" s="13" t="n"/>
      <c r="AP18" s="14" t="n"/>
      <c r="AQ18" s="12" t="n"/>
      <c r="AR18" s="13" t="n"/>
      <c r="AS18" s="14" t="n"/>
      <c r="AT18" s="12" t="n"/>
      <c r="AU18" s="13" t="n"/>
      <c r="AV18" s="14" t="n"/>
      <c r="AW18" s="12" t="n"/>
      <c r="AX18" s="13" t="n"/>
      <c r="AY18" s="14" t="n"/>
      <c r="AZ18" s="12" t="n"/>
      <c r="BA18" s="13" t="n"/>
      <c r="BB18" s="14" t="n"/>
      <c r="BC18" s="11">
        <f>IF(O18="","",IF(J18="GST 10%",ROUND(O18*set_GSTRate,2),0))</f>
        <v/>
      </c>
      <c r="BD18" s="11">
        <f>IF(O18="","",O18+BC18)</f>
        <v/>
      </c>
      <c r="BE18" s="15">
        <f>IF(O18="","",COUNTA(S18,V18,Y18,AB18,AE18,AH18,AK18,AN18,AQ18,AT18,AW18,AZ18))</f>
        <v/>
      </c>
      <c r="BF18" s="16">
        <f>IF(COUNT(T18,W18,Z18,AC18,AF18,AI18,AL18,AO18,AR18,AU18,AX18,BA18)=0,"",MAX(T18,W18,Z18,AC18,AF18,AI18,AL18,AO18,AR18,AU18,AX18,BA18))</f>
        <v/>
      </c>
      <c r="BG18" s="10">
        <f>MID(IF(S18="","",", "&amp;S18)&amp;IF(V18="","",", "&amp;V18)&amp;IF(Y18="","",", "&amp;Y18)&amp;IF(AB18="","",", "&amp;AB18)&amp;IF(AE18="","",", "&amp;AE18)&amp;IF(AH18="","",", "&amp;AH18)&amp;IF(AK18="","",", "&amp;AK18)&amp;IF(AN18="","",", "&amp;AN18)&amp;IF(AQ18="","",", "&amp;AQ18)&amp;IF(AT18="","",", "&amp;AT18)&amp;IF(AW18="","",", "&amp;AW18)&amp;IF(AZ18="","",", "&amp;AZ18),3,500)</f>
        <v/>
      </c>
      <c r="BH18" s="12" t="n"/>
      <c r="BI18" s="15">
        <f>IFERROR(MATCH($A18,IF($B18="Onsite",tbl_Onsite[Row ID],IF($B18="Production",tbl_Production[Row ID],tbl_Consulting[Row ID])),0),"")</f>
        <v/>
      </c>
    </row>
    <row r="19">
      <c r="A19" s="10" t="inlineStr">
        <is>
          <t>ONS-0013</t>
        </is>
      </c>
      <c r="B19" s="10" t="inlineStr">
        <is>
          <t>Onsite</t>
        </is>
      </c>
      <c r="C19" s="10">
        <f>IF($BI19="","",IF($B19="Onsite",INDEX(tbl_Onsite[Job Number],$BI19),IF($B19="Production",INDEX(tbl_Production[Job Number],$BI19),INDEX(tbl_Consulting[Job Number],$BI19)))&amp;"")</f>
        <v/>
      </c>
      <c r="D19" s="10">
        <f>IF($BI19="","",IF($B19="Onsite",INDEX(tbl_Onsite[Client],$BI19),IF($B19="Production",INDEX(tbl_Production[Client],$BI19),INDEX(tbl_Consulting[Client],$BI19)))&amp;"")</f>
        <v/>
      </c>
      <c r="E19" s="10">
        <f>IF($C19="","",IF(COUNTIF(lst_Jobs,$C19)&gt;0,"OK","CHECK"))</f>
        <v/>
      </c>
      <c r="F19" s="10">
        <f>IF($C19="","",IFERROR(INDEX(lst_JobName,MATCH($C19,lst_Jobs,0)),""))</f>
        <v/>
      </c>
      <c r="G19" s="10">
        <f>IF($BI19="","",IF($B19="Onsite",INDEX(tbl_Onsite[Job Description],$BI19),IF($B19="Production",INDEX(tbl_Production[Job Description],$BI19),INDEX(tbl_Consulting[Job Description],$BI19)))&amp;"")</f>
        <v/>
      </c>
      <c r="H19" s="10">
        <f>IF($BI19="","",IF($B19="Onsite",INDEX(tbl_Onsite[Cost Centre],$BI19),IF($B19="Production",INDEX(tbl_Production[Cost Centre],$BI19),INDEX(tbl_Consulting[Cost Centre],$BI19)))&amp;"")</f>
        <v/>
      </c>
      <c r="I19" s="10">
        <f>IF($BI19="","",IF($B19="Onsite",INDEX(tbl_Onsite[Invoice Type],$BI19),IF($B19="Production",INDEX(tbl_Production[Invoice Type],$BI19),INDEX(tbl_Consulting[Invoice Type],$BI19)))&amp;"")</f>
        <v/>
      </c>
      <c r="J19" s="10">
        <f>IF($BI19="","",IF($B19="Onsite",INDEX(tbl_Onsite[Tax Code],$BI19),IF($B19="Production",INDEX(tbl_Production[Tax Code],$BI19),INDEX(tbl_Consulting[Tax Code],$BI19)))&amp;"")</f>
        <v/>
      </c>
      <c r="K19" s="10">
        <f>IF(H19="","",IFERROR(INDEX(lst_CCtoGL,MATCH(H19,lst_CCforGL,0)),""))</f>
        <v/>
      </c>
      <c r="L19" s="10">
        <f>IF($BI19="","",IF($B19="Onsite",INDEX(tbl_Onsite[PO / Reference],$BI19),IF($B19="Production",INDEX(tbl_Production[Current RMS No],$BI19),INDEX(tbl_Consulting[Qwilr Quote],$BI19)))&amp;"")</f>
        <v/>
      </c>
      <c r="M19" s="10">
        <f>IF($BI19="","",IF($B19="Onsite",INDEX(tbl_Onsite[Notes],$BI19),IF($B19="Production",INDEX(tbl_Production[Notes],$BI19),INDEX(tbl_Consulting[Notes],$BI19)))&amp;"")</f>
        <v/>
      </c>
      <c r="N19" s="11">
        <f>IF($BI19="","",IF(IF($B19="Onsite",INDEX(tbl_Onsite[Expected Revenue Ex GST],$BI19),IF($B19="Production",INDEX(tbl_Production[Expected Revenue Ex GST],$BI19),INDEX(tbl_Consulting[Expected Revenue Ex GST],$BI19)))="","",IF($B19="Onsite",INDEX(tbl_Onsite[Expected Revenue Ex GST],$BI19),IF($B19="Production",INDEX(tbl_Production[Expected Revenue Ex GST],$BI19),INDEX(tbl_Consulting[Expected Revenue Ex GST],$BI19)))))</f>
        <v/>
      </c>
      <c r="O19" s="11">
        <f>IF(AND($C19="",NOT(COUNTA($S19:$BB19)&gt;0)),"",SUM(U19,X19,AA19,AD19,AG19,AJ19,AM19,AP19,AS19,AV19,AY19,BB19))</f>
        <v/>
      </c>
      <c r="P19" s="11">
        <f>IF(O19="","",N(N19)-O19)</f>
        <v/>
      </c>
      <c r="Q19" s="10">
        <f>IF(O19="","",IF($C19="","Invoice on empty job row",IF(N19="",IF(ROUND(O19,2)=0,"No dept value","Invoiced - no dept value"),IF(ROUND(O19,2)=0,"Not invoiced - to invoice",IF(ROUND(P19,2)=0,"Agrees",IF(P19&gt;0,"Dept higher - to invoice","Xero higher - check dept"))))))</f>
        <v/>
      </c>
      <c r="R19" s="10">
        <f>IF(AND($C19="",NOT(COUNTA($S19:$BB19)&gt;0),$BI19&lt;&gt;""),"",MID(IF($BI19="","; Row ID not found on the department sheet - a row was deleted","")&amp;IF(AND($C19="",COUNTA($S19:$BB19)&gt;0),"; Invoice entered but the department row has no job number","")&amp;IF(E19="CHECK","; Job number not in the Xero job list","")&amp;IF(AND($C19&lt;&gt;"",COUNTIF($C$7:$C$1506,$C19)&gt;1),"; Job number on more than one row","")&amp;IF(AND($C19&lt;&gt;"",H19=""),"; Dept has not set a cost centre","")&amp;IF(AND($C19&lt;&gt;"",J19=""),"; Dept has not set a tax code","")&amp;IF(AND($C19&lt;&gt;"",N19=""),"; Dept has not entered an expected value","")&amp;IF((IF(OR(COUNTA(S19:U19)=0,AND(COUNTA(S19:U19)=3,ISNUMBER(U19))),0,1)+IF(OR(COUNTA(V19:X19)=0,AND(COUNTA(V19:X19)=3,ISNUMBER(X19))),0,1)+IF(OR(COUNTA(Y19:AA19)=0,AND(COUNTA(Y19:AA19)=3,ISNUMBER(AA19))),0,1)+IF(OR(COUNTA(AB19:AD19)=0,AND(COUNTA(AB19:AD19)=3,ISNUMBER(AD19))),0,1)+IF(OR(COUNTA(AE19:AG19)=0,AND(COUNTA(AE19:AG19)=3,ISNUMBER(AG19))),0,1)+IF(OR(COUNTA(AH19:AJ19)=0,AND(COUNTA(AH19:AJ19)=3,ISNUMBER(AJ19))),0,1)+IF(OR(COUNTA(AK19:AM19)=0,AND(COUNTA(AK19:AM19)=3,ISNUMBER(AM19))),0,1)+IF(OR(COUNTA(AN19:AP19)=0,AND(COUNTA(AN19:AP19)=3,ISNUMBER(AP19))),0,1)+IF(OR(COUNTA(AQ19:AS19)=0,AND(COUNTA(AQ19:AS19)=3,ISNUMBER(AS19))),0,1)+IF(OR(COUNTA(AT19:AV19)=0,AND(COUNTA(AT19:AV19)=3,ISNUMBER(AV19))),0,1)+IF(OR(COUNTA(AW19:AY19)=0,AND(COUNTA(AW19:AY19)=3,ISNUMBER(AY19))),0,1)+IF(OR(COUNTA(AZ19:BB19)=0,AND(COUNTA(AZ19:BB19)=3,ISNUMBER(BB19))),0,1))&gt;0,"; An invoice is incomplete (needs No, Date and a number in Ex GST)","")&amp;IF((IF(T19="",0,IFERROR(--(EOMONTH(T19,0)&lt;&gt;S$5),1))+IF(W19="",0,IFERROR(--(EOMONTH(W19,0)&lt;&gt;V$5),1))+IF(Z19="",0,IFERROR(--(EOMONTH(Z19,0)&lt;&gt;Y$5),1))+IF(AC19="",0,IFERROR(--(EOMONTH(AC19,0)&lt;&gt;AB$5),1))+IF(AF19="",0,IFERROR(--(EOMONTH(AF19,0)&lt;&gt;AE$5),1))+IF(AI19="",0,IFERROR(--(EOMONTH(AI19,0)&lt;&gt;AH$5),1))+IF(AL19="",0,IFERROR(--(EOMONTH(AL19,0)&lt;&gt;AK$5),1))+IF(AO19="",0,IFERROR(--(EOMONTH(AO19,0)&lt;&gt;AN$5),1))+IF(AR19="",0,IFERROR(--(EOMONTH(AR19,0)&lt;&gt;AQ$5),1))+IF(AU19="",0,IFERROR(--(EOMONTH(AU19,0)&lt;&gt;AT$5),1))+IF(AX19="",0,IFERROR(--(EOMONTH(AX19,0)&lt;&gt;AW$5),1))+IF(BA19="",0,IFERROR(--(EOMONTH(BA19,0)&lt;&gt;AZ$5),1)))&gt;0,"; An invoice date is not in the month it is typed under",""),3,500))</f>
        <v/>
      </c>
      <c r="S19" s="12" t="n"/>
      <c r="T19" s="13" t="n"/>
      <c r="U19" s="14" t="n"/>
      <c r="V19" s="12" t="n"/>
      <c r="W19" s="13" t="n"/>
      <c r="X19" s="14" t="n"/>
      <c r="Y19" s="12" t="n"/>
      <c r="Z19" s="13" t="n"/>
      <c r="AA19" s="14" t="n"/>
      <c r="AB19" s="12" t="n"/>
      <c r="AC19" s="13" t="n"/>
      <c r="AD19" s="14" t="n"/>
      <c r="AE19" s="12" t="n"/>
      <c r="AF19" s="13" t="n"/>
      <c r="AG19" s="14" t="n"/>
      <c r="AH19" s="12" t="n"/>
      <c r="AI19" s="13" t="n"/>
      <c r="AJ19" s="14" t="n"/>
      <c r="AK19" s="12" t="n"/>
      <c r="AL19" s="13" t="n"/>
      <c r="AM19" s="14" t="n"/>
      <c r="AN19" s="12" t="n"/>
      <c r="AO19" s="13" t="n"/>
      <c r="AP19" s="14" t="n"/>
      <c r="AQ19" s="12" t="n"/>
      <c r="AR19" s="13" t="n"/>
      <c r="AS19" s="14" t="n"/>
      <c r="AT19" s="12" t="n"/>
      <c r="AU19" s="13" t="n"/>
      <c r="AV19" s="14" t="n"/>
      <c r="AW19" s="12" t="n"/>
      <c r="AX19" s="13" t="n"/>
      <c r="AY19" s="14" t="n"/>
      <c r="AZ19" s="12" t="n"/>
      <c r="BA19" s="13" t="n"/>
      <c r="BB19" s="14" t="n"/>
      <c r="BC19" s="11">
        <f>IF(O19="","",IF(J19="GST 10%",ROUND(O19*set_GSTRate,2),0))</f>
        <v/>
      </c>
      <c r="BD19" s="11">
        <f>IF(O19="","",O19+BC19)</f>
        <v/>
      </c>
      <c r="BE19" s="15">
        <f>IF(O19="","",COUNTA(S19,V19,Y19,AB19,AE19,AH19,AK19,AN19,AQ19,AT19,AW19,AZ19))</f>
        <v/>
      </c>
      <c r="BF19" s="16">
        <f>IF(COUNT(T19,W19,Z19,AC19,AF19,AI19,AL19,AO19,AR19,AU19,AX19,BA19)=0,"",MAX(T19,W19,Z19,AC19,AF19,AI19,AL19,AO19,AR19,AU19,AX19,BA19))</f>
        <v/>
      </c>
      <c r="BG19" s="10">
        <f>MID(IF(S19="","",", "&amp;S19)&amp;IF(V19="","",", "&amp;V19)&amp;IF(Y19="","",", "&amp;Y19)&amp;IF(AB19="","",", "&amp;AB19)&amp;IF(AE19="","",", "&amp;AE19)&amp;IF(AH19="","",", "&amp;AH19)&amp;IF(AK19="","",", "&amp;AK19)&amp;IF(AN19="","",", "&amp;AN19)&amp;IF(AQ19="","",", "&amp;AQ19)&amp;IF(AT19="","",", "&amp;AT19)&amp;IF(AW19="","",", "&amp;AW19)&amp;IF(AZ19="","",", "&amp;AZ19),3,500)</f>
        <v/>
      </c>
      <c r="BH19" s="12" t="n"/>
      <c r="BI19" s="15">
        <f>IFERROR(MATCH($A19,IF($B19="Onsite",tbl_Onsite[Row ID],IF($B19="Production",tbl_Production[Row ID],tbl_Consulting[Row ID])),0),"")</f>
        <v/>
      </c>
    </row>
    <row r="20">
      <c r="A20" s="10" t="inlineStr">
        <is>
          <t>ONS-0014</t>
        </is>
      </c>
      <c r="B20" s="10" t="inlineStr">
        <is>
          <t>Onsite</t>
        </is>
      </c>
      <c r="C20" s="10">
        <f>IF($BI20="","",IF($B20="Onsite",INDEX(tbl_Onsite[Job Number],$BI20),IF($B20="Production",INDEX(tbl_Production[Job Number],$BI20),INDEX(tbl_Consulting[Job Number],$BI20)))&amp;"")</f>
        <v/>
      </c>
      <c r="D20" s="10">
        <f>IF($BI20="","",IF($B20="Onsite",INDEX(tbl_Onsite[Client],$BI20),IF($B20="Production",INDEX(tbl_Production[Client],$BI20),INDEX(tbl_Consulting[Client],$BI20)))&amp;"")</f>
        <v/>
      </c>
      <c r="E20" s="10">
        <f>IF($C20="","",IF(COUNTIF(lst_Jobs,$C20)&gt;0,"OK","CHECK"))</f>
        <v/>
      </c>
      <c r="F20" s="10">
        <f>IF($C20="","",IFERROR(INDEX(lst_JobName,MATCH($C20,lst_Jobs,0)),""))</f>
        <v/>
      </c>
      <c r="G20" s="10">
        <f>IF($BI20="","",IF($B20="Onsite",INDEX(tbl_Onsite[Job Description],$BI20),IF($B20="Production",INDEX(tbl_Production[Job Description],$BI20),INDEX(tbl_Consulting[Job Description],$BI20)))&amp;"")</f>
        <v/>
      </c>
      <c r="H20" s="10">
        <f>IF($BI20="","",IF($B20="Onsite",INDEX(tbl_Onsite[Cost Centre],$BI20),IF($B20="Production",INDEX(tbl_Production[Cost Centre],$BI20),INDEX(tbl_Consulting[Cost Centre],$BI20)))&amp;"")</f>
        <v/>
      </c>
      <c r="I20" s="10">
        <f>IF($BI20="","",IF($B20="Onsite",INDEX(tbl_Onsite[Invoice Type],$BI20),IF($B20="Production",INDEX(tbl_Production[Invoice Type],$BI20),INDEX(tbl_Consulting[Invoice Type],$BI20)))&amp;"")</f>
        <v/>
      </c>
      <c r="J20" s="10">
        <f>IF($BI20="","",IF($B20="Onsite",INDEX(tbl_Onsite[Tax Code],$BI20),IF($B20="Production",INDEX(tbl_Production[Tax Code],$BI20),INDEX(tbl_Consulting[Tax Code],$BI20)))&amp;"")</f>
        <v/>
      </c>
      <c r="K20" s="10">
        <f>IF(H20="","",IFERROR(INDEX(lst_CCtoGL,MATCH(H20,lst_CCforGL,0)),""))</f>
        <v/>
      </c>
      <c r="L20" s="10">
        <f>IF($BI20="","",IF($B20="Onsite",INDEX(tbl_Onsite[PO / Reference],$BI20),IF($B20="Production",INDEX(tbl_Production[Current RMS No],$BI20),INDEX(tbl_Consulting[Qwilr Quote],$BI20)))&amp;"")</f>
        <v/>
      </c>
      <c r="M20" s="10">
        <f>IF($BI20="","",IF($B20="Onsite",INDEX(tbl_Onsite[Notes],$BI20),IF($B20="Production",INDEX(tbl_Production[Notes],$BI20),INDEX(tbl_Consulting[Notes],$BI20)))&amp;"")</f>
        <v/>
      </c>
      <c r="N20" s="11">
        <f>IF($BI20="","",IF(IF($B20="Onsite",INDEX(tbl_Onsite[Expected Revenue Ex GST],$BI20),IF($B20="Production",INDEX(tbl_Production[Expected Revenue Ex GST],$BI20),INDEX(tbl_Consulting[Expected Revenue Ex GST],$BI20)))="","",IF($B20="Onsite",INDEX(tbl_Onsite[Expected Revenue Ex GST],$BI20),IF($B20="Production",INDEX(tbl_Production[Expected Revenue Ex GST],$BI20),INDEX(tbl_Consulting[Expected Revenue Ex GST],$BI20)))))</f>
        <v/>
      </c>
      <c r="O20" s="11">
        <f>IF(AND($C20="",NOT(COUNTA($S20:$BB20)&gt;0)),"",SUM(U20,X20,AA20,AD20,AG20,AJ20,AM20,AP20,AS20,AV20,AY20,BB20))</f>
        <v/>
      </c>
      <c r="P20" s="11">
        <f>IF(O20="","",N(N20)-O20)</f>
        <v/>
      </c>
      <c r="Q20" s="10">
        <f>IF(O20="","",IF($C20="","Invoice on empty job row",IF(N20="",IF(ROUND(O20,2)=0,"No dept value","Invoiced - no dept value"),IF(ROUND(O20,2)=0,"Not invoiced - to invoice",IF(ROUND(P20,2)=0,"Agrees",IF(P20&gt;0,"Dept higher - to invoice","Xero higher - check dept"))))))</f>
        <v/>
      </c>
      <c r="R20" s="10">
        <f>IF(AND($C20="",NOT(COUNTA($S20:$BB20)&gt;0),$BI20&lt;&gt;""),"",MID(IF($BI20="","; Row ID not found on the department sheet - a row was deleted","")&amp;IF(AND($C20="",COUNTA($S20:$BB20)&gt;0),"; Invoice entered but the department row has no job number","")&amp;IF(E20="CHECK","; Job number not in the Xero job list","")&amp;IF(AND($C20&lt;&gt;"",COUNTIF($C$7:$C$1506,$C20)&gt;1),"; Job number on more than one row","")&amp;IF(AND($C20&lt;&gt;"",H20=""),"; Dept has not set a cost centre","")&amp;IF(AND($C20&lt;&gt;"",J20=""),"; Dept has not set a tax code","")&amp;IF(AND($C20&lt;&gt;"",N20=""),"; Dept has not entered an expected value","")&amp;IF((IF(OR(COUNTA(S20:U20)=0,AND(COUNTA(S20:U20)=3,ISNUMBER(U20))),0,1)+IF(OR(COUNTA(V20:X20)=0,AND(COUNTA(V20:X20)=3,ISNUMBER(X20))),0,1)+IF(OR(COUNTA(Y20:AA20)=0,AND(COUNTA(Y20:AA20)=3,ISNUMBER(AA20))),0,1)+IF(OR(COUNTA(AB20:AD20)=0,AND(COUNTA(AB20:AD20)=3,ISNUMBER(AD20))),0,1)+IF(OR(COUNTA(AE20:AG20)=0,AND(COUNTA(AE20:AG20)=3,ISNUMBER(AG20))),0,1)+IF(OR(COUNTA(AH20:AJ20)=0,AND(COUNTA(AH20:AJ20)=3,ISNUMBER(AJ20))),0,1)+IF(OR(COUNTA(AK20:AM20)=0,AND(COUNTA(AK20:AM20)=3,ISNUMBER(AM20))),0,1)+IF(OR(COUNTA(AN20:AP20)=0,AND(COUNTA(AN20:AP20)=3,ISNUMBER(AP20))),0,1)+IF(OR(COUNTA(AQ20:AS20)=0,AND(COUNTA(AQ20:AS20)=3,ISNUMBER(AS20))),0,1)+IF(OR(COUNTA(AT20:AV20)=0,AND(COUNTA(AT20:AV20)=3,ISNUMBER(AV20))),0,1)+IF(OR(COUNTA(AW20:AY20)=0,AND(COUNTA(AW20:AY20)=3,ISNUMBER(AY20))),0,1)+IF(OR(COUNTA(AZ20:BB20)=0,AND(COUNTA(AZ20:BB20)=3,ISNUMBER(BB20))),0,1))&gt;0,"; An invoice is incomplete (needs No, Date and a number in Ex GST)","")&amp;IF((IF(T20="",0,IFERROR(--(EOMONTH(T20,0)&lt;&gt;S$5),1))+IF(W20="",0,IFERROR(--(EOMONTH(W20,0)&lt;&gt;V$5),1))+IF(Z20="",0,IFERROR(--(EOMONTH(Z20,0)&lt;&gt;Y$5),1))+IF(AC20="",0,IFERROR(--(EOMONTH(AC20,0)&lt;&gt;AB$5),1))+IF(AF20="",0,IFERROR(--(EOMONTH(AF20,0)&lt;&gt;AE$5),1))+IF(AI20="",0,IFERROR(--(EOMONTH(AI20,0)&lt;&gt;AH$5),1))+IF(AL20="",0,IFERROR(--(EOMONTH(AL20,0)&lt;&gt;AK$5),1))+IF(AO20="",0,IFERROR(--(EOMONTH(AO20,0)&lt;&gt;AN$5),1))+IF(AR20="",0,IFERROR(--(EOMONTH(AR20,0)&lt;&gt;AQ$5),1))+IF(AU20="",0,IFERROR(--(EOMONTH(AU20,0)&lt;&gt;AT$5),1))+IF(AX20="",0,IFERROR(--(EOMONTH(AX20,0)&lt;&gt;AW$5),1))+IF(BA20="",0,IFERROR(--(EOMONTH(BA20,0)&lt;&gt;AZ$5),1)))&gt;0,"; An invoice date is not in the month it is typed under",""),3,500))</f>
        <v/>
      </c>
      <c r="S20" s="12" t="n"/>
      <c r="T20" s="13" t="n"/>
      <c r="U20" s="14" t="n"/>
      <c r="V20" s="12" t="n"/>
      <c r="W20" s="13" t="n"/>
      <c r="X20" s="14" t="n"/>
      <c r="Y20" s="12" t="n"/>
      <c r="Z20" s="13" t="n"/>
      <c r="AA20" s="14" t="n"/>
      <c r="AB20" s="12" t="n"/>
      <c r="AC20" s="13" t="n"/>
      <c r="AD20" s="14" t="n"/>
      <c r="AE20" s="12" t="n"/>
      <c r="AF20" s="13" t="n"/>
      <c r="AG20" s="14" t="n"/>
      <c r="AH20" s="12" t="n"/>
      <c r="AI20" s="13" t="n"/>
      <c r="AJ20" s="14" t="n"/>
      <c r="AK20" s="12" t="n"/>
      <c r="AL20" s="13" t="n"/>
      <c r="AM20" s="14" t="n"/>
      <c r="AN20" s="12" t="n"/>
      <c r="AO20" s="13" t="n"/>
      <c r="AP20" s="14" t="n"/>
      <c r="AQ20" s="12" t="n"/>
      <c r="AR20" s="13" t="n"/>
      <c r="AS20" s="14" t="n"/>
      <c r="AT20" s="12" t="n"/>
      <c r="AU20" s="13" t="n"/>
      <c r="AV20" s="14" t="n"/>
      <c r="AW20" s="12" t="n"/>
      <c r="AX20" s="13" t="n"/>
      <c r="AY20" s="14" t="n"/>
      <c r="AZ20" s="12" t="n"/>
      <c r="BA20" s="13" t="n"/>
      <c r="BB20" s="14" t="n"/>
      <c r="BC20" s="11">
        <f>IF(O20="","",IF(J20="GST 10%",ROUND(O20*set_GSTRate,2),0))</f>
        <v/>
      </c>
      <c r="BD20" s="11">
        <f>IF(O20="","",O20+BC20)</f>
        <v/>
      </c>
      <c r="BE20" s="15">
        <f>IF(O20="","",COUNTA(S20,V20,Y20,AB20,AE20,AH20,AK20,AN20,AQ20,AT20,AW20,AZ20))</f>
        <v/>
      </c>
      <c r="BF20" s="16">
        <f>IF(COUNT(T20,W20,Z20,AC20,AF20,AI20,AL20,AO20,AR20,AU20,AX20,BA20)=0,"",MAX(T20,W20,Z20,AC20,AF20,AI20,AL20,AO20,AR20,AU20,AX20,BA20))</f>
        <v/>
      </c>
      <c r="BG20" s="10">
        <f>MID(IF(S20="","",", "&amp;S20)&amp;IF(V20="","",", "&amp;V20)&amp;IF(Y20="","",", "&amp;Y20)&amp;IF(AB20="","",", "&amp;AB20)&amp;IF(AE20="","",", "&amp;AE20)&amp;IF(AH20="","",", "&amp;AH20)&amp;IF(AK20="","",", "&amp;AK20)&amp;IF(AN20="","",", "&amp;AN20)&amp;IF(AQ20="","",", "&amp;AQ20)&amp;IF(AT20="","",", "&amp;AT20)&amp;IF(AW20="","",", "&amp;AW20)&amp;IF(AZ20="","",", "&amp;AZ20),3,500)</f>
        <v/>
      </c>
      <c r="BH20" s="12" t="n"/>
      <c r="BI20" s="15">
        <f>IFERROR(MATCH($A20,IF($B20="Onsite",tbl_Onsite[Row ID],IF($B20="Production",tbl_Production[Row ID],tbl_Consulting[Row ID])),0),"")</f>
        <v/>
      </c>
    </row>
    <row r="21">
      <c r="A21" s="10" t="inlineStr">
        <is>
          <t>ONS-0015</t>
        </is>
      </c>
      <c r="B21" s="10" t="inlineStr">
        <is>
          <t>Onsite</t>
        </is>
      </c>
      <c r="C21" s="10">
        <f>IF($BI21="","",IF($B21="Onsite",INDEX(tbl_Onsite[Job Number],$BI21),IF($B21="Production",INDEX(tbl_Production[Job Number],$BI21),INDEX(tbl_Consulting[Job Number],$BI21)))&amp;"")</f>
        <v/>
      </c>
      <c r="D21" s="10">
        <f>IF($BI21="","",IF($B21="Onsite",INDEX(tbl_Onsite[Client],$BI21),IF($B21="Production",INDEX(tbl_Production[Client],$BI21),INDEX(tbl_Consulting[Client],$BI21)))&amp;"")</f>
        <v/>
      </c>
      <c r="E21" s="10">
        <f>IF($C21="","",IF(COUNTIF(lst_Jobs,$C21)&gt;0,"OK","CHECK"))</f>
        <v/>
      </c>
      <c r="F21" s="10">
        <f>IF($C21="","",IFERROR(INDEX(lst_JobName,MATCH($C21,lst_Jobs,0)),""))</f>
        <v/>
      </c>
      <c r="G21" s="10">
        <f>IF($BI21="","",IF($B21="Onsite",INDEX(tbl_Onsite[Job Description],$BI21),IF($B21="Production",INDEX(tbl_Production[Job Description],$BI21),INDEX(tbl_Consulting[Job Description],$BI21)))&amp;"")</f>
        <v/>
      </c>
      <c r="H21" s="10">
        <f>IF($BI21="","",IF($B21="Onsite",INDEX(tbl_Onsite[Cost Centre],$BI21),IF($B21="Production",INDEX(tbl_Production[Cost Centre],$BI21),INDEX(tbl_Consulting[Cost Centre],$BI21)))&amp;"")</f>
        <v/>
      </c>
      <c r="I21" s="10">
        <f>IF($BI21="","",IF($B21="Onsite",INDEX(tbl_Onsite[Invoice Type],$BI21),IF($B21="Production",INDEX(tbl_Production[Invoice Type],$BI21),INDEX(tbl_Consulting[Invoice Type],$BI21)))&amp;"")</f>
        <v/>
      </c>
      <c r="J21" s="10">
        <f>IF($BI21="","",IF($B21="Onsite",INDEX(tbl_Onsite[Tax Code],$BI21),IF($B21="Production",INDEX(tbl_Production[Tax Code],$BI21),INDEX(tbl_Consulting[Tax Code],$BI21)))&amp;"")</f>
        <v/>
      </c>
      <c r="K21" s="10">
        <f>IF(H21="","",IFERROR(INDEX(lst_CCtoGL,MATCH(H21,lst_CCforGL,0)),""))</f>
        <v/>
      </c>
      <c r="L21" s="10">
        <f>IF($BI21="","",IF($B21="Onsite",INDEX(tbl_Onsite[PO / Reference],$BI21),IF($B21="Production",INDEX(tbl_Production[Current RMS No],$BI21),INDEX(tbl_Consulting[Qwilr Quote],$BI21)))&amp;"")</f>
        <v/>
      </c>
      <c r="M21" s="10">
        <f>IF($BI21="","",IF($B21="Onsite",INDEX(tbl_Onsite[Notes],$BI21),IF($B21="Production",INDEX(tbl_Production[Notes],$BI21),INDEX(tbl_Consulting[Notes],$BI21)))&amp;"")</f>
        <v/>
      </c>
      <c r="N21" s="11">
        <f>IF($BI21="","",IF(IF($B21="Onsite",INDEX(tbl_Onsite[Expected Revenue Ex GST],$BI21),IF($B21="Production",INDEX(tbl_Production[Expected Revenue Ex GST],$BI21),INDEX(tbl_Consulting[Expected Revenue Ex GST],$BI21)))="","",IF($B21="Onsite",INDEX(tbl_Onsite[Expected Revenue Ex GST],$BI21),IF($B21="Production",INDEX(tbl_Production[Expected Revenue Ex GST],$BI21),INDEX(tbl_Consulting[Expected Revenue Ex GST],$BI21)))))</f>
        <v/>
      </c>
      <c r="O21" s="11">
        <f>IF(AND($C21="",NOT(COUNTA($S21:$BB21)&gt;0)),"",SUM(U21,X21,AA21,AD21,AG21,AJ21,AM21,AP21,AS21,AV21,AY21,BB21))</f>
        <v/>
      </c>
      <c r="P21" s="11">
        <f>IF(O21="","",N(N21)-O21)</f>
        <v/>
      </c>
      <c r="Q21" s="10">
        <f>IF(O21="","",IF($C21="","Invoice on empty job row",IF(N21="",IF(ROUND(O21,2)=0,"No dept value","Invoiced - no dept value"),IF(ROUND(O21,2)=0,"Not invoiced - to invoice",IF(ROUND(P21,2)=0,"Agrees",IF(P21&gt;0,"Dept higher - to invoice","Xero higher - check dept"))))))</f>
        <v/>
      </c>
      <c r="R21" s="10">
        <f>IF(AND($C21="",NOT(COUNTA($S21:$BB21)&gt;0),$BI21&lt;&gt;""),"",MID(IF($BI21="","; Row ID not found on the department sheet - a row was deleted","")&amp;IF(AND($C21="",COUNTA($S21:$BB21)&gt;0),"; Invoice entered but the department row has no job number","")&amp;IF(E21="CHECK","; Job number not in the Xero job list","")&amp;IF(AND($C21&lt;&gt;"",COUNTIF($C$7:$C$1506,$C21)&gt;1),"; Job number on more than one row","")&amp;IF(AND($C21&lt;&gt;"",H21=""),"; Dept has not set a cost centre","")&amp;IF(AND($C21&lt;&gt;"",J21=""),"; Dept has not set a tax code","")&amp;IF(AND($C21&lt;&gt;"",N21=""),"; Dept has not entered an expected value","")&amp;IF((IF(OR(COUNTA(S21:U21)=0,AND(COUNTA(S21:U21)=3,ISNUMBER(U21))),0,1)+IF(OR(COUNTA(V21:X21)=0,AND(COUNTA(V21:X21)=3,ISNUMBER(X21))),0,1)+IF(OR(COUNTA(Y21:AA21)=0,AND(COUNTA(Y21:AA21)=3,ISNUMBER(AA21))),0,1)+IF(OR(COUNTA(AB21:AD21)=0,AND(COUNTA(AB21:AD21)=3,ISNUMBER(AD21))),0,1)+IF(OR(COUNTA(AE21:AG21)=0,AND(COUNTA(AE21:AG21)=3,ISNUMBER(AG21))),0,1)+IF(OR(COUNTA(AH21:AJ21)=0,AND(COUNTA(AH21:AJ21)=3,ISNUMBER(AJ21))),0,1)+IF(OR(COUNTA(AK21:AM21)=0,AND(COUNTA(AK21:AM21)=3,ISNUMBER(AM21))),0,1)+IF(OR(COUNTA(AN21:AP21)=0,AND(COUNTA(AN21:AP21)=3,ISNUMBER(AP21))),0,1)+IF(OR(COUNTA(AQ21:AS21)=0,AND(COUNTA(AQ21:AS21)=3,ISNUMBER(AS21))),0,1)+IF(OR(COUNTA(AT21:AV21)=0,AND(COUNTA(AT21:AV21)=3,ISNUMBER(AV21))),0,1)+IF(OR(COUNTA(AW21:AY21)=0,AND(COUNTA(AW21:AY21)=3,ISNUMBER(AY21))),0,1)+IF(OR(COUNTA(AZ21:BB21)=0,AND(COUNTA(AZ21:BB21)=3,ISNUMBER(BB21))),0,1))&gt;0,"; An invoice is incomplete (needs No, Date and a number in Ex GST)","")&amp;IF((IF(T21="",0,IFERROR(--(EOMONTH(T21,0)&lt;&gt;S$5),1))+IF(W21="",0,IFERROR(--(EOMONTH(W21,0)&lt;&gt;V$5),1))+IF(Z21="",0,IFERROR(--(EOMONTH(Z21,0)&lt;&gt;Y$5),1))+IF(AC21="",0,IFERROR(--(EOMONTH(AC21,0)&lt;&gt;AB$5),1))+IF(AF21="",0,IFERROR(--(EOMONTH(AF21,0)&lt;&gt;AE$5),1))+IF(AI21="",0,IFERROR(--(EOMONTH(AI21,0)&lt;&gt;AH$5),1))+IF(AL21="",0,IFERROR(--(EOMONTH(AL21,0)&lt;&gt;AK$5),1))+IF(AO21="",0,IFERROR(--(EOMONTH(AO21,0)&lt;&gt;AN$5),1))+IF(AR21="",0,IFERROR(--(EOMONTH(AR21,0)&lt;&gt;AQ$5),1))+IF(AU21="",0,IFERROR(--(EOMONTH(AU21,0)&lt;&gt;AT$5),1))+IF(AX21="",0,IFERROR(--(EOMONTH(AX21,0)&lt;&gt;AW$5),1))+IF(BA21="",0,IFERROR(--(EOMONTH(BA21,0)&lt;&gt;AZ$5),1)))&gt;0,"; An invoice date is not in the month it is typed under",""),3,500))</f>
        <v/>
      </c>
      <c r="S21" s="12" t="n"/>
      <c r="T21" s="13" t="n"/>
      <c r="U21" s="14" t="n"/>
      <c r="V21" s="12" t="n"/>
      <c r="W21" s="13" t="n"/>
      <c r="X21" s="14" t="n"/>
      <c r="Y21" s="12" t="n"/>
      <c r="Z21" s="13" t="n"/>
      <c r="AA21" s="14" t="n"/>
      <c r="AB21" s="12" t="n"/>
      <c r="AC21" s="13" t="n"/>
      <c r="AD21" s="14" t="n"/>
      <c r="AE21" s="12" t="n"/>
      <c r="AF21" s="13" t="n"/>
      <c r="AG21" s="14" t="n"/>
      <c r="AH21" s="12" t="n"/>
      <c r="AI21" s="13" t="n"/>
      <c r="AJ21" s="14" t="n"/>
      <c r="AK21" s="12" t="n"/>
      <c r="AL21" s="13" t="n"/>
      <c r="AM21" s="14" t="n"/>
      <c r="AN21" s="12" t="n"/>
      <c r="AO21" s="13" t="n"/>
      <c r="AP21" s="14" t="n"/>
      <c r="AQ21" s="12" t="n"/>
      <c r="AR21" s="13" t="n"/>
      <c r="AS21" s="14" t="n"/>
      <c r="AT21" s="12" t="n"/>
      <c r="AU21" s="13" t="n"/>
      <c r="AV21" s="14" t="n"/>
      <c r="AW21" s="12" t="n"/>
      <c r="AX21" s="13" t="n"/>
      <c r="AY21" s="14" t="n"/>
      <c r="AZ21" s="12" t="n"/>
      <c r="BA21" s="13" t="n"/>
      <c r="BB21" s="14" t="n"/>
      <c r="BC21" s="11">
        <f>IF(O21="","",IF(J21="GST 10%",ROUND(O21*set_GSTRate,2),0))</f>
        <v/>
      </c>
      <c r="BD21" s="11">
        <f>IF(O21="","",O21+BC21)</f>
        <v/>
      </c>
      <c r="BE21" s="15">
        <f>IF(O21="","",COUNTA(S21,V21,Y21,AB21,AE21,AH21,AK21,AN21,AQ21,AT21,AW21,AZ21))</f>
        <v/>
      </c>
      <c r="BF21" s="16">
        <f>IF(COUNT(T21,W21,Z21,AC21,AF21,AI21,AL21,AO21,AR21,AU21,AX21,BA21)=0,"",MAX(T21,W21,Z21,AC21,AF21,AI21,AL21,AO21,AR21,AU21,AX21,BA21))</f>
        <v/>
      </c>
      <c r="BG21" s="10">
        <f>MID(IF(S21="","",", "&amp;S21)&amp;IF(V21="","",", "&amp;V21)&amp;IF(Y21="","",", "&amp;Y21)&amp;IF(AB21="","",", "&amp;AB21)&amp;IF(AE21="","",", "&amp;AE21)&amp;IF(AH21="","",", "&amp;AH21)&amp;IF(AK21="","",", "&amp;AK21)&amp;IF(AN21="","",", "&amp;AN21)&amp;IF(AQ21="","",", "&amp;AQ21)&amp;IF(AT21="","",", "&amp;AT21)&amp;IF(AW21="","",", "&amp;AW21)&amp;IF(AZ21="","",", "&amp;AZ21),3,500)</f>
        <v/>
      </c>
      <c r="BH21" s="12" t="n"/>
      <c r="BI21" s="15">
        <f>IFERROR(MATCH($A21,IF($B21="Onsite",tbl_Onsite[Row ID],IF($B21="Production",tbl_Production[Row ID],tbl_Consulting[Row ID])),0),"")</f>
        <v/>
      </c>
    </row>
    <row r="22">
      <c r="A22" s="10" t="inlineStr">
        <is>
          <t>ONS-0016</t>
        </is>
      </c>
      <c r="B22" s="10" t="inlineStr">
        <is>
          <t>Onsite</t>
        </is>
      </c>
      <c r="C22" s="10">
        <f>IF($BI22="","",IF($B22="Onsite",INDEX(tbl_Onsite[Job Number],$BI22),IF($B22="Production",INDEX(tbl_Production[Job Number],$BI22),INDEX(tbl_Consulting[Job Number],$BI22)))&amp;"")</f>
        <v/>
      </c>
      <c r="D22" s="10">
        <f>IF($BI22="","",IF($B22="Onsite",INDEX(tbl_Onsite[Client],$BI22),IF($B22="Production",INDEX(tbl_Production[Client],$BI22),INDEX(tbl_Consulting[Client],$BI22)))&amp;"")</f>
        <v/>
      </c>
      <c r="E22" s="10">
        <f>IF($C22="","",IF(COUNTIF(lst_Jobs,$C22)&gt;0,"OK","CHECK"))</f>
        <v/>
      </c>
      <c r="F22" s="10">
        <f>IF($C22="","",IFERROR(INDEX(lst_JobName,MATCH($C22,lst_Jobs,0)),""))</f>
        <v/>
      </c>
      <c r="G22" s="10">
        <f>IF($BI22="","",IF($B22="Onsite",INDEX(tbl_Onsite[Job Description],$BI22),IF($B22="Production",INDEX(tbl_Production[Job Description],$BI22),INDEX(tbl_Consulting[Job Description],$BI22)))&amp;"")</f>
        <v/>
      </c>
      <c r="H22" s="10">
        <f>IF($BI22="","",IF($B22="Onsite",INDEX(tbl_Onsite[Cost Centre],$BI22),IF($B22="Production",INDEX(tbl_Production[Cost Centre],$BI22),INDEX(tbl_Consulting[Cost Centre],$BI22)))&amp;"")</f>
        <v/>
      </c>
      <c r="I22" s="10">
        <f>IF($BI22="","",IF($B22="Onsite",INDEX(tbl_Onsite[Invoice Type],$BI22),IF($B22="Production",INDEX(tbl_Production[Invoice Type],$BI22),INDEX(tbl_Consulting[Invoice Type],$BI22)))&amp;"")</f>
        <v/>
      </c>
      <c r="J22" s="10">
        <f>IF($BI22="","",IF($B22="Onsite",INDEX(tbl_Onsite[Tax Code],$BI22),IF($B22="Production",INDEX(tbl_Production[Tax Code],$BI22),INDEX(tbl_Consulting[Tax Code],$BI22)))&amp;"")</f>
        <v/>
      </c>
      <c r="K22" s="10">
        <f>IF(H22="","",IFERROR(INDEX(lst_CCtoGL,MATCH(H22,lst_CCforGL,0)),""))</f>
        <v/>
      </c>
      <c r="L22" s="10">
        <f>IF($BI22="","",IF($B22="Onsite",INDEX(tbl_Onsite[PO / Reference],$BI22),IF($B22="Production",INDEX(tbl_Production[Current RMS No],$BI22),INDEX(tbl_Consulting[Qwilr Quote],$BI22)))&amp;"")</f>
        <v/>
      </c>
      <c r="M22" s="10">
        <f>IF($BI22="","",IF($B22="Onsite",INDEX(tbl_Onsite[Notes],$BI22),IF($B22="Production",INDEX(tbl_Production[Notes],$BI22),INDEX(tbl_Consulting[Notes],$BI22)))&amp;"")</f>
        <v/>
      </c>
      <c r="N22" s="11">
        <f>IF($BI22="","",IF(IF($B22="Onsite",INDEX(tbl_Onsite[Expected Revenue Ex GST],$BI22),IF($B22="Production",INDEX(tbl_Production[Expected Revenue Ex GST],$BI22),INDEX(tbl_Consulting[Expected Revenue Ex GST],$BI22)))="","",IF($B22="Onsite",INDEX(tbl_Onsite[Expected Revenue Ex GST],$BI22),IF($B22="Production",INDEX(tbl_Production[Expected Revenue Ex GST],$BI22),INDEX(tbl_Consulting[Expected Revenue Ex GST],$BI22)))))</f>
        <v/>
      </c>
      <c r="O22" s="11">
        <f>IF(AND($C22="",NOT(COUNTA($S22:$BB22)&gt;0)),"",SUM(U22,X22,AA22,AD22,AG22,AJ22,AM22,AP22,AS22,AV22,AY22,BB22))</f>
        <v/>
      </c>
      <c r="P22" s="11">
        <f>IF(O22="","",N(N22)-O22)</f>
        <v/>
      </c>
      <c r="Q22" s="10">
        <f>IF(O22="","",IF($C22="","Invoice on empty job row",IF(N22="",IF(ROUND(O22,2)=0,"No dept value","Invoiced - no dept value"),IF(ROUND(O22,2)=0,"Not invoiced - to invoice",IF(ROUND(P22,2)=0,"Agrees",IF(P22&gt;0,"Dept higher - to invoice","Xero higher - check dept"))))))</f>
        <v/>
      </c>
      <c r="R22" s="10">
        <f>IF(AND($C22="",NOT(COUNTA($S22:$BB22)&gt;0),$BI22&lt;&gt;""),"",MID(IF($BI22="","; Row ID not found on the department sheet - a row was deleted","")&amp;IF(AND($C22="",COUNTA($S22:$BB22)&gt;0),"; Invoice entered but the department row has no job number","")&amp;IF(E22="CHECK","; Job number not in the Xero job list","")&amp;IF(AND($C22&lt;&gt;"",COUNTIF($C$7:$C$1506,$C22)&gt;1),"; Job number on more than one row","")&amp;IF(AND($C22&lt;&gt;"",H22=""),"; Dept has not set a cost centre","")&amp;IF(AND($C22&lt;&gt;"",J22=""),"; Dept has not set a tax code","")&amp;IF(AND($C22&lt;&gt;"",N22=""),"; Dept has not entered an expected value","")&amp;IF((IF(OR(COUNTA(S22:U22)=0,AND(COUNTA(S22:U22)=3,ISNUMBER(U22))),0,1)+IF(OR(COUNTA(V22:X22)=0,AND(COUNTA(V22:X22)=3,ISNUMBER(X22))),0,1)+IF(OR(COUNTA(Y22:AA22)=0,AND(COUNTA(Y22:AA22)=3,ISNUMBER(AA22))),0,1)+IF(OR(COUNTA(AB22:AD22)=0,AND(COUNTA(AB22:AD22)=3,ISNUMBER(AD22))),0,1)+IF(OR(COUNTA(AE22:AG22)=0,AND(COUNTA(AE22:AG22)=3,ISNUMBER(AG22))),0,1)+IF(OR(COUNTA(AH22:AJ22)=0,AND(COUNTA(AH22:AJ22)=3,ISNUMBER(AJ22))),0,1)+IF(OR(COUNTA(AK22:AM22)=0,AND(COUNTA(AK22:AM22)=3,ISNUMBER(AM22))),0,1)+IF(OR(COUNTA(AN22:AP22)=0,AND(COUNTA(AN22:AP22)=3,ISNUMBER(AP22))),0,1)+IF(OR(COUNTA(AQ22:AS22)=0,AND(COUNTA(AQ22:AS22)=3,ISNUMBER(AS22))),0,1)+IF(OR(COUNTA(AT22:AV22)=0,AND(COUNTA(AT22:AV22)=3,ISNUMBER(AV22))),0,1)+IF(OR(COUNTA(AW22:AY22)=0,AND(COUNTA(AW22:AY22)=3,ISNUMBER(AY22))),0,1)+IF(OR(COUNTA(AZ22:BB22)=0,AND(COUNTA(AZ22:BB22)=3,ISNUMBER(BB22))),0,1))&gt;0,"; An invoice is incomplete (needs No, Date and a number in Ex GST)","")&amp;IF((IF(T22="",0,IFERROR(--(EOMONTH(T22,0)&lt;&gt;S$5),1))+IF(W22="",0,IFERROR(--(EOMONTH(W22,0)&lt;&gt;V$5),1))+IF(Z22="",0,IFERROR(--(EOMONTH(Z22,0)&lt;&gt;Y$5),1))+IF(AC22="",0,IFERROR(--(EOMONTH(AC22,0)&lt;&gt;AB$5),1))+IF(AF22="",0,IFERROR(--(EOMONTH(AF22,0)&lt;&gt;AE$5),1))+IF(AI22="",0,IFERROR(--(EOMONTH(AI22,0)&lt;&gt;AH$5),1))+IF(AL22="",0,IFERROR(--(EOMONTH(AL22,0)&lt;&gt;AK$5),1))+IF(AO22="",0,IFERROR(--(EOMONTH(AO22,0)&lt;&gt;AN$5),1))+IF(AR22="",0,IFERROR(--(EOMONTH(AR22,0)&lt;&gt;AQ$5),1))+IF(AU22="",0,IFERROR(--(EOMONTH(AU22,0)&lt;&gt;AT$5),1))+IF(AX22="",0,IFERROR(--(EOMONTH(AX22,0)&lt;&gt;AW$5),1))+IF(BA22="",0,IFERROR(--(EOMONTH(BA22,0)&lt;&gt;AZ$5),1)))&gt;0,"; An invoice date is not in the month it is typed under",""),3,500))</f>
        <v/>
      </c>
      <c r="S22" s="12" t="n"/>
      <c r="T22" s="13" t="n"/>
      <c r="U22" s="14" t="n"/>
      <c r="V22" s="12" t="n"/>
      <c r="W22" s="13" t="n"/>
      <c r="X22" s="14" t="n"/>
      <c r="Y22" s="12" t="n"/>
      <c r="Z22" s="13" t="n"/>
      <c r="AA22" s="14" t="n"/>
      <c r="AB22" s="12" t="n"/>
      <c r="AC22" s="13" t="n"/>
      <c r="AD22" s="14" t="n"/>
      <c r="AE22" s="12" t="n"/>
      <c r="AF22" s="13" t="n"/>
      <c r="AG22" s="14" t="n"/>
      <c r="AH22" s="12" t="n"/>
      <c r="AI22" s="13" t="n"/>
      <c r="AJ22" s="14" t="n"/>
      <c r="AK22" s="12" t="n"/>
      <c r="AL22" s="13" t="n"/>
      <c r="AM22" s="14" t="n"/>
      <c r="AN22" s="12" t="n"/>
      <c r="AO22" s="13" t="n"/>
      <c r="AP22" s="14" t="n"/>
      <c r="AQ22" s="12" t="n"/>
      <c r="AR22" s="13" t="n"/>
      <c r="AS22" s="14" t="n"/>
      <c r="AT22" s="12" t="n"/>
      <c r="AU22" s="13" t="n"/>
      <c r="AV22" s="14" t="n"/>
      <c r="AW22" s="12" t="n"/>
      <c r="AX22" s="13" t="n"/>
      <c r="AY22" s="14" t="n"/>
      <c r="AZ22" s="12" t="n"/>
      <c r="BA22" s="13" t="n"/>
      <c r="BB22" s="14" t="n"/>
      <c r="BC22" s="11">
        <f>IF(O22="","",IF(J22="GST 10%",ROUND(O22*set_GSTRate,2),0))</f>
        <v/>
      </c>
      <c r="BD22" s="11">
        <f>IF(O22="","",O22+BC22)</f>
        <v/>
      </c>
      <c r="BE22" s="15">
        <f>IF(O22="","",COUNTA(S22,V22,Y22,AB22,AE22,AH22,AK22,AN22,AQ22,AT22,AW22,AZ22))</f>
        <v/>
      </c>
      <c r="BF22" s="16">
        <f>IF(COUNT(T22,W22,Z22,AC22,AF22,AI22,AL22,AO22,AR22,AU22,AX22,BA22)=0,"",MAX(T22,W22,Z22,AC22,AF22,AI22,AL22,AO22,AR22,AU22,AX22,BA22))</f>
        <v/>
      </c>
      <c r="BG22" s="10">
        <f>MID(IF(S22="","",", "&amp;S22)&amp;IF(V22="","",", "&amp;V22)&amp;IF(Y22="","",", "&amp;Y22)&amp;IF(AB22="","",", "&amp;AB22)&amp;IF(AE22="","",", "&amp;AE22)&amp;IF(AH22="","",", "&amp;AH22)&amp;IF(AK22="","",", "&amp;AK22)&amp;IF(AN22="","",", "&amp;AN22)&amp;IF(AQ22="","",", "&amp;AQ22)&amp;IF(AT22="","",", "&amp;AT22)&amp;IF(AW22="","",", "&amp;AW22)&amp;IF(AZ22="","",", "&amp;AZ22),3,500)</f>
        <v/>
      </c>
      <c r="BH22" s="12" t="n"/>
      <c r="BI22" s="15">
        <f>IFERROR(MATCH($A22,IF($B22="Onsite",tbl_Onsite[Row ID],IF($B22="Production",tbl_Production[Row ID],tbl_Consulting[Row ID])),0),"")</f>
        <v/>
      </c>
    </row>
    <row r="23">
      <c r="A23" s="10" t="inlineStr">
        <is>
          <t>ONS-0017</t>
        </is>
      </c>
      <c r="B23" s="10" t="inlineStr">
        <is>
          <t>Onsite</t>
        </is>
      </c>
      <c r="C23" s="10">
        <f>IF($BI23="","",IF($B23="Onsite",INDEX(tbl_Onsite[Job Number],$BI23),IF($B23="Production",INDEX(tbl_Production[Job Number],$BI23),INDEX(tbl_Consulting[Job Number],$BI23)))&amp;"")</f>
        <v/>
      </c>
      <c r="D23" s="10">
        <f>IF($BI23="","",IF($B23="Onsite",INDEX(tbl_Onsite[Client],$BI23),IF($B23="Production",INDEX(tbl_Production[Client],$BI23),INDEX(tbl_Consulting[Client],$BI23)))&amp;"")</f>
        <v/>
      </c>
      <c r="E23" s="10">
        <f>IF($C23="","",IF(COUNTIF(lst_Jobs,$C23)&gt;0,"OK","CHECK"))</f>
        <v/>
      </c>
      <c r="F23" s="10">
        <f>IF($C23="","",IFERROR(INDEX(lst_JobName,MATCH($C23,lst_Jobs,0)),""))</f>
        <v/>
      </c>
      <c r="G23" s="10">
        <f>IF($BI23="","",IF($B23="Onsite",INDEX(tbl_Onsite[Job Description],$BI23),IF($B23="Production",INDEX(tbl_Production[Job Description],$BI23),INDEX(tbl_Consulting[Job Description],$BI23)))&amp;"")</f>
        <v/>
      </c>
      <c r="H23" s="10">
        <f>IF($BI23="","",IF($B23="Onsite",INDEX(tbl_Onsite[Cost Centre],$BI23),IF($B23="Production",INDEX(tbl_Production[Cost Centre],$BI23),INDEX(tbl_Consulting[Cost Centre],$BI23)))&amp;"")</f>
        <v/>
      </c>
      <c r="I23" s="10">
        <f>IF($BI23="","",IF($B23="Onsite",INDEX(tbl_Onsite[Invoice Type],$BI23),IF($B23="Production",INDEX(tbl_Production[Invoice Type],$BI23),INDEX(tbl_Consulting[Invoice Type],$BI23)))&amp;"")</f>
        <v/>
      </c>
      <c r="J23" s="10">
        <f>IF($BI23="","",IF($B23="Onsite",INDEX(tbl_Onsite[Tax Code],$BI23),IF($B23="Production",INDEX(tbl_Production[Tax Code],$BI23),INDEX(tbl_Consulting[Tax Code],$BI23)))&amp;"")</f>
        <v/>
      </c>
      <c r="K23" s="10">
        <f>IF(H23="","",IFERROR(INDEX(lst_CCtoGL,MATCH(H23,lst_CCforGL,0)),""))</f>
        <v/>
      </c>
      <c r="L23" s="10">
        <f>IF($BI23="","",IF($B23="Onsite",INDEX(tbl_Onsite[PO / Reference],$BI23),IF($B23="Production",INDEX(tbl_Production[Current RMS No],$BI23),INDEX(tbl_Consulting[Qwilr Quote],$BI23)))&amp;"")</f>
        <v/>
      </c>
      <c r="M23" s="10">
        <f>IF($BI23="","",IF($B23="Onsite",INDEX(tbl_Onsite[Notes],$BI23),IF($B23="Production",INDEX(tbl_Production[Notes],$BI23),INDEX(tbl_Consulting[Notes],$BI23)))&amp;"")</f>
        <v/>
      </c>
      <c r="N23" s="11">
        <f>IF($BI23="","",IF(IF($B23="Onsite",INDEX(tbl_Onsite[Expected Revenue Ex GST],$BI23),IF($B23="Production",INDEX(tbl_Production[Expected Revenue Ex GST],$BI23),INDEX(tbl_Consulting[Expected Revenue Ex GST],$BI23)))="","",IF($B23="Onsite",INDEX(tbl_Onsite[Expected Revenue Ex GST],$BI23),IF($B23="Production",INDEX(tbl_Production[Expected Revenue Ex GST],$BI23),INDEX(tbl_Consulting[Expected Revenue Ex GST],$BI23)))))</f>
        <v/>
      </c>
      <c r="O23" s="11">
        <f>IF(AND($C23="",NOT(COUNTA($S23:$BB23)&gt;0)),"",SUM(U23,X23,AA23,AD23,AG23,AJ23,AM23,AP23,AS23,AV23,AY23,BB23))</f>
        <v/>
      </c>
      <c r="P23" s="11">
        <f>IF(O23="","",N(N23)-O23)</f>
        <v/>
      </c>
      <c r="Q23" s="10">
        <f>IF(O23="","",IF($C23="","Invoice on empty job row",IF(N23="",IF(ROUND(O23,2)=0,"No dept value","Invoiced - no dept value"),IF(ROUND(O23,2)=0,"Not invoiced - to invoice",IF(ROUND(P23,2)=0,"Agrees",IF(P23&gt;0,"Dept higher - to invoice","Xero higher - check dept"))))))</f>
        <v/>
      </c>
      <c r="R23" s="10">
        <f>IF(AND($C23="",NOT(COUNTA($S23:$BB23)&gt;0),$BI23&lt;&gt;""),"",MID(IF($BI23="","; Row ID not found on the department sheet - a row was deleted","")&amp;IF(AND($C23="",COUNTA($S23:$BB23)&gt;0),"; Invoice entered but the department row has no job number","")&amp;IF(E23="CHECK","; Job number not in the Xero job list","")&amp;IF(AND($C23&lt;&gt;"",COUNTIF($C$7:$C$1506,$C23)&gt;1),"; Job number on more than one row","")&amp;IF(AND($C23&lt;&gt;"",H23=""),"; Dept has not set a cost centre","")&amp;IF(AND($C23&lt;&gt;"",J23=""),"; Dept has not set a tax code","")&amp;IF(AND($C23&lt;&gt;"",N23=""),"; Dept has not entered an expected value","")&amp;IF((IF(OR(COUNTA(S23:U23)=0,AND(COUNTA(S23:U23)=3,ISNUMBER(U23))),0,1)+IF(OR(COUNTA(V23:X23)=0,AND(COUNTA(V23:X23)=3,ISNUMBER(X23))),0,1)+IF(OR(COUNTA(Y23:AA23)=0,AND(COUNTA(Y23:AA23)=3,ISNUMBER(AA23))),0,1)+IF(OR(COUNTA(AB23:AD23)=0,AND(COUNTA(AB23:AD23)=3,ISNUMBER(AD23))),0,1)+IF(OR(COUNTA(AE23:AG23)=0,AND(COUNTA(AE23:AG23)=3,ISNUMBER(AG23))),0,1)+IF(OR(COUNTA(AH23:AJ23)=0,AND(COUNTA(AH23:AJ23)=3,ISNUMBER(AJ23))),0,1)+IF(OR(COUNTA(AK23:AM23)=0,AND(COUNTA(AK23:AM23)=3,ISNUMBER(AM23))),0,1)+IF(OR(COUNTA(AN23:AP23)=0,AND(COUNTA(AN23:AP23)=3,ISNUMBER(AP23))),0,1)+IF(OR(COUNTA(AQ23:AS23)=0,AND(COUNTA(AQ23:AS23)=3,ISNUMBER(AS23))),0,1)+IF(OR(COUNTA(AT23:AV23)=0,AND(COUNTA(AT23:AV23)=3,ISNUMBER(AV23))),0,1)+IF(OR(COUNTA(AW23:AY23)=0,AND(COUNTA(AW23:AY23)=3,ISNUMBER(AY23))),0,1)+IF(OR(COUNTA(AZ23:BB23)=0,AND(COUNTA(AZ23:BB23)=3,ISNUMBER(BB23))),0,1))&gt;0,"; An invoice is incomplete (needs No, Date and a number in Ex GST)","")&amp;IF((IF(T23="",0,IFERROR(--(EOMONTH(T23,0)&lt;&gt;S$5),1))+IF(W23="",0,IFERROR(--(EOMONTH(W23,0)&lt;&gt;V$5),1))+IF(Z23="",0,IFERROR(--(EOMONTH(Z23,0)&lt;&gt;Y$5),1))+IF(AC23="",0,IFERROR(--(EOMONTH(AC23,0)&lt;&gt;AB$5),1))+IF(AF23="",0,IFERROR(--(EOMONTH(AF23,0)&lt;&gt;AE$5),1))+IF(AI23="",0,IFERROR(--(EOMONTH(AI23,0)&lt;&gt;AH$5),1))+IF(AL23="",0,IFERROR(--(EOMONTH(AL23,0)&lt;&gt;AK$5),1))+IF(AO23="",0,IFERROR(--(EOMONTH(AO23,0)&lt;&gt;AN$5),1))+IF(AR23="",0,IFERROR(--(EOMONTH(AR23,0)&lt;&gt;AQ$5),1))+IF(AU23="",0,IFERROR(--(EOMONTH(AU23,0)&lt;&gt;AT$5),1))+IF(AX23="",0,IFERROR(--(EOMONTH(AX23,0)&lt;&gt;AW$5),1))+IF(BA23="",0,IFERROR(--(EOMONTH(BA23,0)&lt;&gt;AZ$5),1)))&gt;0,"; An invoice date is not in the month it is typed under",""),3,500))</f>
        <v/>
      </c>
      <c r="S23" s="12" t="n"/>
      <c r="T23" s="13" t="n"/>
      <c r="U23" s="14" t="n"/>
      <c r="V23" s="12" t="n"/>
      <c r="W23" s="13" t="n"/>
      <c r="X23" s="14" t="n"/>
      <c r="Y23" s="12" t="n"/>
      <c r="Z23" s="13" t="n"/>
      <c r="AA23" s="14" t="n"/>
      <c r="AB23" s="12" t="n"/>
      <c r="AC23" s="13" t="n"/>
      <c r="AD23" s="14" t="n"/>
      <c r="AE23" s="12" t="n"/>
      <c r="AF23" s="13" t="n"/>
      <c r="AG23" s="14" t="n"/>
      <c r="AH23" s="12" t="n"/>
      <c r="AI23" s="13" t="n"/>
      <c r="AJ23" s="14" t="n"/>
      <c r="AK23" s="12" t="n"/>
      <c r="AL23" s="13" t="n"/>
      <c r="AM23" s="14" t="n"/>
      <c r="AN23" s="12" t="n"/>
      <c r="AO23" s="13" t="n"/>
      <c r="AP23" s="14" t="n"/>
      <c r="AQ23" s="12" t="n"/>
      <c r="AR23" s="13" t="n"/>
      <c r="AS23" s="14" t="n"/>
      <c r="AT23" s="12" t="n"/>
      <c r="AU23" s="13" t="n"/>
      <c r="AV23" s="14" t="n"/>
      <c r="AW23" s="12" t="n"/>
      <c r="AX23" s="13" t="n"/>
      <c r="AY23" s="14" t="n"/>
      <c r="AZ23" s="12" t="n"/>
      <c r="BA23" s="13" t="n"/>
      <c r="BB23" s="14" t="n"/>
      <c r="BC23" s="11">
        <f>IF(O23="","",IF(J23="GST 10%",ROUND(O23*set_GSTRate,2),0))</f>
        <v/>
      </c>
      <c r="BD23" s="11">
        <f>IF(O23="","",O23+BC23)</f>
        <v/>
      </c>
      <c r="BE23" s="15">
        <f>IF(O23="","",COUNTA(S23,V23,Y23,AB23,AE23,AH23,AK23,AN23,AQ23,AT23,AW23,AZ23))</f>
        <v/>
      </c>
      <c r="BF23" s="16">
        <f>IF(COUNT(T23,W23,Z23,AC23,AF23,AI23,AL23,AO23,AR23,AU23,AX23,BA23)=0,"",MAX(T23,W23,Z23,AC23,AF23,AI23,AL23,AO23,AR23,AU23,AX23,BA23))</f>
        <v/>
      </c>
      <c r="BG23" s="10">
        <f>MID(IF(S23="","",", "&amp;S23)&amp;IF(V23="","",", "&amp;V23)&amp;IF(Y23="","",", "&amp;Y23)&amp;IF(AB23="","",", "&amp;AB23)&amp;IF(AE23="","",", "&amp;AE23)&amp;IF(AH23="","",", "&amp;AH23)&amp;IF(AK23="","",", "&amp;AK23)&amp;IF(AN23="","",", "&amp;AN23)&amp;IF(AQ23="","",", "&amp;AQ23)&amp;IF(AT23="","",", "&amp;AT23)&amp;IF(AW23="","",", "&amp;AW23)&amp;IF(AZ23="","",", "&amp;AZ23),3,500)</f>
        <v/>
      </c>
      <c r="BH23" s="12" t="n"/>
      <c r="BI23" s="15">
        <f>IFERROR(MATCH($A23,IF($B23="Onsite",tbl_Onsite[Row ID],IF($B23="Production",tbl_Production[Row ID],tbl_Consulting[Row ID])),0),"")</f>
        <v/>
      </c>
    </row>
    <row r="24">
      <c r="A24" s="10" t="inlineStr">
        <is>
          <t>ONS-0018</t>
        </is>
      </c>
      <c r="B24" s="10" t="inlineStr">
        <is>
          <t>Onsite</t>
        </is>
      </c>
      <c r="C24" s="10">
        <f>IF($BI24="","",IF($B24="Onsite",INDEX(tbl_Onsite[Job Number],$BI24),IF($B24="Production",INDEX(tbl_Production[Job Number],$BI24),INDEX(tbl_Consulting[Job Number],$BI24)))&amp;"")</f>
        <v/>
      </c>
      <c r="D24" s="10">
        <f>IF($BI24="","",IF($B24="Onsite",INDEX(tbl_Onsite[Client],$BI24),IF($B24="Production",INDEX(tbl_Production[Client],$BI24),INDEX(tbl_Consulting[Client],$BI24)))&amp;"")</f>
        <v/>
      </c>
      <c r="E24" s="10">
        <f>IF($C24="","",IF(COUNTIF(lst_Jobs,$C24)&gt;0,"OK","CHECK"))</f>
        <v/>
      </c>
      <c r="F24" s="10">
        <f>IF($C24="","",IFERROR(INDEX(lst_JobName,MATCH($C24,lst_Jobs,0)),""))</f>
        <v/>
      </c>
      <c r="G24" s="10">
        <f>IF($BI24="","",IF($B24="Onsite",INDEX(tbl_Onsite[Job Description],$BI24),IF($B24="Production",INDEX(tbl_Production[Job Description],$BI24),INDEX(tbl_Consulting[Job Description],$BI24)))&amp;"")</f>
        <v/>
      </c>
      <c r="H24" s="10">
        <f>IF($BI24="","",IF($B24="Onsite",INDEX(tbl_Onsite[Cost Centre],$BI24),IF($B24="Production",INDEX(tbl_Production[Cost Centre],$BI24),INDEX(tbl_Consulting[Cost Centre],$BI24)))&amp;"")</f>
        <v/>
      </c>
      <c r="I24" s="10">
        <f>IF($BI24="","",IF($B24="Onsite",INDEX(tbl_Onsite[Invoice Type],$BI24),IF($B24="Production",INDEX(tbl_Production[Invoice Type],$BI24),INDEX(tbl_Consulting[Invoice Type],$BI24)))&amp;"")</f>
        <v/>
      </c>
      <c r="J24" s="10">
        <f>IF($BI24="","",IF($B24="Onsite",INDEX(tbl_Onsite[Tax Code],$BI24),IF($B24="Production",INDEX(tbl_Production[Tax Code],$BI24),INDEX(tbl_Consulting[Tax Code],$BI24)))&amp;"")</f>
        <v/>
      </c>
      <c r="K24" s="10">
        <f>IF(H24="","",IFERROR(INDEX(lst_CCtoGL,MATCH(H24,lst_CCforGL,0)),""))</f>
        <v/>
      </c>
      <c r="L24" s="10">
        <f>IF($BI24="","",IF($B24="Onsite",INDEX(tbl_Onsite[PO / Reference],$BI24),IF($B24="Production",INDEX(tbl_Production[Current RMS No],$BI24),INDEX(tbl_Consulting[Qwilr Quote],$BI24)))&amp;"")</f>
        <v/>
      </c>
      <c r="M24" s="10">
        <f>IF($BI24="","",IF($B24="Onsite",INDEX(tbl_Onsite[Notes],$BI24),IF($B24="Production",INDEX(tbl_Production[Notes],$BI24),INDEX(tbl_Consulting[Notes],$BI24)))&amp;"")</f>
        <v/>
      </c>
      <c r="N24" s="11">
        <f>IF($BI24="","",IF(IF($B24="Onsite",INDEX(tbl_Onsite[Expected Revenue Ex GST],$BI24),IF($B24="Production",INDEX(tbl_Production[Expected Revenue Ex GST],$BI24),INDEX(tbl_Consulting[Expected Revenue Ex GST],$BI24)))="","",IF($B24="Onsite",INDEX(tbl_Onsite[Expected Revenue Ex GST],$BI24),IF($B24="Production",INDEX(tbl_Production[Expected Revenue Ex GST],$BI24),INDEX(tbl_Consulting[Expected Revenue Ex GST],$BI24)))))</f>
        <v/>
      </c>
      <c r="O24" s="11">
        <f>IF(AND($C24="",NOT(COUNTA($S24:$BB24)&gt;0)),"",SUM(U24,X24,AA24,AD24,AG24,AJ24,AM24,AP24,AS24,AV24,AY24,BB24))</f>
        <v/>
      </c>
      <c r="P24" s="11">
        <f>IF(O24="","",N(N24)-O24)</f>
        <v/>
      </c>
      <c r="Q24" s="10">
        <f>IF(O24="","",IF($C24="","Invoice on empty job row",IF(N24="",IF(ROUND(O24,2)=0,"No dept value","Invoiced - no dept value"),IF(ROUND(O24,2)=0,"Not invoiced - to invoice",IF(ROUND(P24,2)=0,"Agrees",IF(P24&gt;0,"Dept higher - to invoice","Xero higher - check dept"))))))</f>
        <v/>
      </c>
      <c r="R24" s="10">
        <f>IF(AND($C24="",NOT(COUNTA($S24:$BB24)&gt;0),$BI24&lt;&gt;""),"",MID(IF($BI24="","; Row ID not found on the department sheet - a row was deleted","")&amp;IF(AND($C24="",COUNTA($S24:$BB24)&gt;0),"; Invoice entered but the department row has no job number","")&amp;IF(E24="CHECK","; Job number not in the Xero job list","")&amp;IF(AND($C24&lt;&gt;"",COUNTIF($C$7:$C$1506,$C24)&gt;1),"; Job number on more than one row","")&amp;IF(AND($C24&lt;&gt;"",H24=""),"; Dept has not set a cost centre","")&amp;IF(AND($C24&lt;&gt;"",J24=""),"; Dept has not set a tax code","")&amp;IF(AND($C24&lt;&gt;"",N24=""),"; Dept has not entered an expected value","")&amp;IF((IF(OR(COUNTA(S24:U24)=0,AND(COUNTA(S24:U24)=3,ISNUMBER(U24))),0,1)+IF(OR(COUNTA(V24:X24)=0,AND(COUNTA(V24:X24)=3,ISNUMBER(X24))),0,1)+IF(OR(COUNTA(Y24:AA24)=0,AND(COUNTA(Y24:AA24)=3,ISNUMBER(AA24))),0,1)+IF(OR(COUNTA(AB24:AD24)=0,AND(COUNTA(AB24:AD24)=3,ISNUMBER(AD24))),0,1)+IF(OR(COUNTA(AE24:AG24)=0,AND(COUNTA(AE24:AG24)=3,ISNUMBER(AG24))),0,1)+IF(OR(COUNTA(AH24:AJ24)=0,AND(COUNTA(AH24:AJ24)=3,ISNUMBER(AJ24))),0,1)+IF(OR(COUNTA(AK24:AM24)=0,AND(COUNTA(AK24:AM24)=3,ISNUMBER(AM24))),0,1)+IF(OR(COUNTA(AN24:AP24)=0,AND(COUNTA(AN24:AP24)=3,ISNUMBER(AP24))),0,1)+IF(OR(COUNTA(AQ24:AS24)=0,AND(COUNTA(AQ24:AS24)=3,ISNUMBER(AS24))),0,1)+IF(OR(COUNTA(AT24:AV24)=0,AND(COUNTA(AT24:AV24)=3,ISNUMBER(AV24))),0,1)+IF(OR(COUNTA(AW24:AY24)=0,AND(COUNTA(AW24:AY24)=3,ISNUMBER(AY24))),0,1)+IF(OR(COUNTA(AZ24:BB24)=0,AND(COUNTA(AZ24:BB24)=3,ISNUMBER(BB24))),0,1))&gt;0,"; An invoice is incomplete (needs No, Date and a number in Ex GST)","")&amp;IF((IF(T24="",0,IFERROR(--(EOMONTH(T24,0)&lt;&gt;S$5),1))+IF(W24="",0,IFERROR(--(EOMONTH(W24,0)&lt;&gt;V$5),1))+IF(Z24="",0,IFERROR(--(EOMONTH(Z24,0)&lt;&gt;Y$5),1))+IF(AC24="",0,IFERROR(--(EOMONTH(AC24,0)&lt;&gt;AB$5),1))+IF(AF24="",0,IFERROR(--(EOMONTH(AF24,0)&lt;&gt;AE$5),1))+IF(AI24="",0,IFERROR(--(EOMONTH(AI24,0)&lt;&gt;AH$5),1))+IF(AL24="",0,IFERROR(--(EOMONTH(AL24,0)&lt;&gt;AK$5),1))+IF(AO24="",0,IFERROR(--(EOMONTH(AO24,0)&lt;&gt;AN$5),1))+IF(AR24="",0,IFERROR(--(EOMONTH(AR24,0)&lt;&gt;AQ$5),1))+IF(AU24="",0,IFERROR(--(EOMONTH(AU24,0)&lt;&gt;AT$5),1))+IF(AX24="",0,IFERROR(--(EOMONTH(AX24,0)&lt;&gt;AW$5),1))+IF(BA24="",0,IFERROR(--(EOMONTH(BA24,0)&lt;&gt;AZ$5),1)))&gt;0,"; An invoice date is not in the month it is typed under",""),3,500))</f>
        <v/>
      </c>
      <c r="S24" s="12" t="n"/>
      <c r="T24" s="13" t="n"/>
      <c r="U24" s="14" t="n"/>
      <c r="V24" s="12" t="n"/>
      <c r="W24" s="13" t="n"/>
      <c r="X24" s="14" t="n"/>
      <c r="Y24" s="12" t="n"/>
      <c r="Z24" s="13" t="n"/>
      <c r="AA24" s="14" t="n"/>
      <c r="AB24" s="12" t="n"/>
      <c r="AC24" s="13" t="n"/>
      <c r="AD24" s="14" t="n"/>
      <c r="AE24" s="12" t="n"/>
      <c r="AF24" s="13" t="n"/>
      <c r="AG24" s="14" t="n"/>
      <c r="AH24" s="12" t="n"/>
      <c r="AI24" s="13" t="n"/>
      <c r="AJ24" s="14" t="n"/>
      <c r="AK24" s="12" t="n"/>
      <c r="AL24" s="13" t="n"/>
      <c r="AM24" s="14" t="n"/>
      <c r="AN24" s="12" t="n"/>
      <c r="AO24" s="13" t="n"/>
      <c r="AP24" s="14" t="n"/>
      <c r="AQ24" s="12" t="n"/>
      <c r="AR24" s="13" t="n"/>
      <c r="AS24" s="14" t="n"/>
      <c r="AT24" s="12" t="n"/>
      <c r="AU24" s="13" t="n"/>
      <c r="AV24" s="14" t="n"/>
      <c r="AW24" s="12" t="n"/>
      <c r="AX24" s="13" t="n"/>
      <c r="AY24" s="14" t="n"/>
      <c r="AZ24" s="12" t="n"/>
      <c r="BA24" s="13" t="n"/>
      <c r="BB24" s="14" t="n"/>
      <c r="BC24" s="11">
        <f>IF(O24="","",IF(J24="GST 10%",ROUND(O24*set_GSTRate,2),0))</f>
        <v/>
      </c>
      <c r="BD24" s="11">
        <f>IF(O24="","",O24+BC24)</f>
        <v/>
      </c>
      <c r="BE24" s="15">
        <f>IF(O24="","",COUNTA(S24,V24,Y24,AB24,AE24,AH24,AK24,AN24,AQ24,AT24,AW24,AZ24))</f>
        <v/>
      </c>
      <c r="BF24" s="16">
        <f>IF(COUNT(T24,W24,Z24,AC24,AF24,AI24,AL24,AO24,AR24,AU24,AX24,BA24)=0,"",MAX(T24,W24,Z24,AC24,AF24,AI24,AL24,AO24,AR24,AU24,AX24,BA24))</f>
        <v/>
      </c>
      <c r="BG24" s="10">
        <f>MID(IF(S24="","",", "&amp;S24)&amp;IF(V24="","",", "&amp;V24)&amp;IF(Y24="","",", "&amp;Y24)&amp;IF(AB24="","",", "&amp;AB24)&amp;IF(AE24="","",", "&amp;AE24)&amp;IF(AH24="","",", "&amp;AH24)&amp;IF(AK24="","",", "&amp;AK24)&amp;IF(AN24="","",", "&amp;AN24)&amp;IF(AQ24="","",", "&amp;AQ24)&amp;IF(AT24="","",", "&amp;AT24)&amp;IF(AW24="","",", "&amp;AW24)&amp;IF(AZ24="","",", "&amp;AZ24),3,500)</f>
        <v/>
      </c>
      <c r="BH24" s="12" t="n"/>
      <c r="BI24" s="15">
        <f>IFERROR(MATCH($A24,IF($B24="Onsite",tbl_Onsite[Row ID],IF($B24="Production",tbl_Production[Row ID],tbl_Consulting[Row ID])),0),"")</f>
        <v/>
      </c>
    </row>
    <row r="25">
      <c r="A25" s="10" t="inlineStr">
        <is>
          <t>ONS-0019</t>
        </is>
      </c>
      <c r="B25" s="10" t="inlineStr">
        <is>
          <t>Onsite</t>
        </is>
      </c>
      <c r="C25" s="10">
        <f>IF($BI25="","",IF($B25="Onsite",INDEX(tbl_Onsite[Job Number],$BI25),IF($B25="Production",INDEX(tbl_Production[Job Number],$BI25),INDEX(tbl_Consulting[Job Number],$BI25)))&amp;"")</f>
        <v/>
      </c>
      <c r="D25" s="10">
        <f>IF($BI25="","",IF($B25="Onsite",INDEX(tbl_Onsite[Client],$BI25),IF($B25="Production",INDEX(tbl_Production[Client],$BI25),INDEX(tbl_Consulting[Client],$BI25)))&amp;"")</f>
        <v/>
      </c>
      <c r="E25" s="10">
        <f>IF($C25="","",IF(COUNTIF(lst_Jobs,$C25)&gt;0,"OK","CHECK"))</f>
        <v/>
      </c>
      <c r="F25" s="10">
        <f>IF($C25="","",IFERROR(INDEX(lst_JobName,MATCH($C25,lst_Jobs,0)),""))</f>
        <v/>
      </c>
      <c r="G25" s="10">
        <f>IF($BI25="","",IF($B25="Onsite",INDEX(tbl_Onsite[Job Description],$BI25),IF($B25="Production",INDEX(tbl_Production[Job Description],$BI25),INDEX(tbl_Consulting[Job Description],$BI25)))&amp;"")</f>
        <v/>
      </c>
      <c r="H25" s="10">
        <f>IF($BI25="","",IF($B25="Onsite",INDEX(tbl_Onsite[Cost Centre],$BI25),IF($B25="Production",INDEX(tbl_Production[Cost Centre],$BI25),INDEX(tbl_Consulting[Cost Centre],$BI25)))&amp;"")</f>
        <v/>
      </c>
      <c r="I25" s="10">
        <f>IF($BI25="","",IF($B25="Onsite",INDEX(tbl_Onsite[Invoice Type],$BI25),IF($B25="Production",INDEX(tbl_Production[Invoice Type],$BI25),INDEX(tbl_Consulting[Invoice Type],$BI25)))&amp;"")</f>
        <v/>
      </c>
      <c r="J25" s="10">
        <f>IF($BI25="","",IF($B25="Onsite",INDEX(tbl_Onsite[Tax Code],$BI25),IF($B25="Production",INDEX(tbl_Production[Tax Code],$BI25),INDEX(tbl_Consulting[Tax Code],$BI25)))&amp;"")</f>
        <v/>
      </c>
      <c r="K25" s="10">
        <f>IF(H25="","",IFERROR(INDEX(lst_CCtoGL,MATCH(H25,lst_CCforGL,0)),""))</f>
        <v/>
      </c>
      <c r="L25" s="10">
        <f>IF($BI25="","",IF($B25="Onsite",INDEX(tbl_Onsite[PO / Reference],$BI25),IF($B25="Production",INDEX(tbl_Production[Current RMS No],$BI25),INDEX(tbl_Consulting[Qwilr Quote],$BI25)))&amp;"")</f>
        <v/>
      </c>
      <c r="M25" s="10">
        <f>IF($BI25="","",IF($B25="Onsite",INDEX(tbl_Onsite[Notes],$BI25),IF($B25="Production",INDEX(tbl_Production[Notes],$BI25),INDEX(tbl_Consulting[Notes],$BI25)))&amp;"")</f>
        <v/>
      </c>
      <c r="N25" s="11">
        <f>IF($BI25="","",IF(IF($B25="Onsite",INDEX(tbl_Onsite[Expected Revenue Ex GST],$BI25),IF($B25="Production",INDEX(tbl_Production[Expected Revenue Ex GST],$BI25),INDEX(tbl_Consulting[Expected Revenue Ex GST],$BI25)))="","",IF($B25="Onsite",INDEX(tbl_Onsite[Expected Revenue Ex GST],$BI25),IF($B25="Production",INDEX(tbl_Production[Expected Revenue Ex GST],$BI25),INDEX(tbl_Consulting[Expected Revenue Ex GST],$BI25)))))</f>
        <v/>
      </c>
      <c r="O25" s="11">
        <f>IF(AND($C25="",NOT(COUNTA($S25:$BB25)&gt;0)),"",SUM(U25,X25,AA25,AD25,AG25,AJ25,AM25,AP25,AS25,AV25,AY25,BB25))</f>
        <v/>
      </c>
      <c r="P25" s="11">
        <f>IF(O25="","",N(N25)-O25)</f>
        <v/>
      </c>
      <c r="Q25" s="10">
        <f>IF(O25="","",IF($C25="","Invoice on empty job row",IF(N25="",IF(ROUND(O25,2)=0,"No dept value","Invoiced - no dept value"),IF(ROUND(O25,2)=0,"Not invoiced - to invoice",IF(ROUND(P25,2)=0,"Agrees",IF(P25&gt;0,"Dept higher - to invoice","Xero higher - check dept"))))))</f>
        <v/>
      </c>
      <c r="R25" s="10">
        <f>IF(AND($C25="",NOT(COUNTA($S25:$BB25)&gt;0),$BI25&lt;&gt;""),"",MID(IF($BI25="","; Row ID not found on the department sheet - a row was deleted","")&amp;IF(AND($C25="",COUNTA($S25:$BB25)&gt;0),"; Invoice entered but the department row has no job number","")&amp;IF(E25="CHECK","; Job number not in the Xero job list","")&amp;IF(AND($C25&lt;&gt;"",COUNTIF($C$7:$C$1506,$C25)&gt;1),"; Job number on more than one row","")&amp;IF(AND($C25&lt;&gt;"",H25=""),"; Dept has not set a cost centre","")&amp;IF(AND($C25&lt;&gt;"",J25=""),"; Dept has not set a tax code","")&amp;IF(AND($C25&lt;&gt;"",N25=""),"; Dept has not entered an expected value","")&amp;IF((IF(OR(COUNTA(S25:U25)=0,AND(COUNTA(S25:U25)=3,ISNUMBER(U25))),0,1)+IF(OR(COUNTA(V25:X25)=0,AND(COUNTA(V25:X25)=3,ISNUMBER(X25))),0,1)+IF(OR(COUNTA(Y25:AA25)=0,AND(COUNTA(Y25:AA25)=3,ISNUMBER(AA25))),0,1)+IF(OR(COUNTA(AB25:AD25)=0,AND(COUNTA(AB25:AD25)=3,ISNUMBER(AD25))),0,1)+IF(OR(COUNTA(AE25:AG25)=0,AND(COUNTA(AE25:AG25)=3,ISNUMBER(AG25))),0,1)+IF(OR(COUNTA(AH25:AJ25)=0,AND(COUNTA(AH25:AJ25)=3,ISNUMBER(AJ25))),0,1)+IF(OR(COUNTA(AK25:AM25)=0,AND(COUNTA(AK25:AM25)=3,ISNUMBER(AM25))),0,1)+IF(OR(COUNTA(AN25:AP25)=0,AND(COUNTA(AN25:AP25)=3,ISNUMBER(AP25))),0,1)+IF(OR(COUNTA(AQ25:AS25)=0,AND(COUNTA(AQ25:AS25)=3,ISNUMBER(AS25))),0,1)+IF(OR(COUNTA(AT25:AV25)=0,AND(COUNTA(AT25:AV25)=3,ISNUMBER(AV25))),0,1)+IF(OR(COUNTA(AW25:AY25)=0,AND(COUNTA(AW25:AY25)=3,ISNUMBER(AY25))),0,1)+IF(OR(COUNTA(AZ25:BB25)=0,AND(COUNTA(AZ25:BB25)=3,ISNUMBER(BB25))),0,1))&gt;0,"; An invoice is incomplete (needs No, Date and a number in Ex GST)","")&amp;IF((IF(T25="",0,IFERROR(--(EOMONTH(T25,0)&lt;&gt;S$5),1))+IF(W25="",0,IFERROR(--(EOMONTH(W25,0)&lt;&gt;V$5),1))+IF(Z25="",0,IFERROR(--(EOMONTH(Z25,0)&lt;&gt;Y$5),1))+IF(AC25="",0,IFERROR(--(EOMONTH(AC25,0)&lt;&gt;AB$5),1))+IF(AF25="",0,IFERROR(--(EOMONTH(AF25,0)&lt;&gt;AE$5),1))+IF(AI25="",0,IFERROR(--(EOMONTH(AI25,0)&lt;&gt;AH$5),1))+IF(AL25="",0,IFERROR(--(EOMONTH(AL25,0)&lt;&gt;AK$5),1))+IF(AO25="",0,IFERROR(--(EOMONTH(AO25,0)&lt;&gt;AN$5),1))+IF(AR25="",0,IFERROR(--(EOMONTH(AR25,0)&lt;&gt;AQ$5),1))+IF(AU25="",0,IFERROR(--(EOMONTH(AU25,0)&lt;&gt;AT$5),1))+IF(AX25="",0,IFERROR(--(EOMONTH(AX25,0)&lt;&gt;AW$5),1))+IF(BA25="",0,IFERROR(--(EOMONTH(BA25,0)&lt;&gt;AZ$5),1)))&gt;0,"; An invoice date is not in the month it is typed under",""),3,500))</f>
        <v/>
      </c>
      <c r="S25" s="12" t="n"/>
      <c r="T25" s="13" t="n"/>
      <c r="U25" s="14" t="n"/>
      <c r="V25" s="12" t="n"/>
      <c r="W25" s="13" t="n"/>
      <c r="X25" s="14" t="n"/>
      <c r="Y25" s="12" t="n"/>
      <c r="Z25" s="13" t="n"/>
      <c r="AA25" s="14" t="n"/>
      <c r="AB25" s="12" t="n"/>
      <c r="AC25" s="13" t="n"/>
      <c r="AD25" s="14" t="n"/>
      <c r="AE25" s="12" t="n"/>
      <c r="AF25" s="13" t="n"/>
      <c r="AG25" s="14" t="n"/>
      <c r="AH25" s="12" t="n"/>
      <c r="AI25" s="13" t="n"/>
      <c r="AJ25" s="14" t="n"/>
      <c r="AK25" s="12" t="n"/>
      <c r="AL25" s="13" t="n"/>
      <c r="AM25" s="14" t="n"/>
      <c r="AN25" s="12" t="n"/>
      <c r="AO25" s="13" t="n"/>
      <c r="AP25" s="14" t="n"/>
      <c r="AQ25" s="12" t="n"/>
      <c r="AR25" s="13" t="n"/>
      <c r="AS25" s="14" t="n"/>
      <c r="AT25" s="12" t="n"/>
      <c r="AU25" s="13" t="n"/>
      <c r="AV25" s="14" t="n"/>
      <c r="AW25" s="12" t="n"/>
      <c r="AX25" s="13" t="n"/>
      <c r="AY25" s="14" t="n"/>
      <c r="AZ25" s="12" t="n"/>
      <c r="BA25" s="13" t="n"/>
      <c r="BB25" s="14" t="n"/>
      <c r="BC25" s="11">
        <f>IF(O25="","",IF(J25="GST 10%",ROUND(O25*set_GSTRate,2),0))</f>
        <v/>
      </c>
      <c r="BD25" s="11">
        <f>IF(O25="","",O25+BC25)</f>
        <v/>
      </c>
      <c r="BE25" s="15">
        <f>IF(O25="","",COUNTA(S25,V25,Y25,AB25,AE25,AH25,AK25,AN25,AQ25,AT25,AW25,AZ25))</f>
        <v/>
      </c>
      <c r="BF25" s="16">
        <f>IF(COUNT(T25,W25,Z25,AC25,AF25,AI25,AL25,AO25,AR25,AU25,AX25,BA25)=0,"",MAX(T25,W25,Z25,AC25,AF25,AI25,AL25,AO25,AR25,AU25,AX25,BA25))</f>
        <v/>
      </c>
      <c r="BG25" s="10">
        <f>MID(IF(S25="","",", "&amp;S25)&amp;IF(V25="","",", "&amp;V25)&amp;IF(Y25="","",", "&amp;Y25)&amp;IF(AB25="","",", "&amp;AB25)&amp;IF(AE25="","",", "&amp;AE25)&amp;IF(AH25="","",", "&amp;AH25)&amp;IF(AK25="","",", "&amp;AK25)&amp;IF(AN25="","",", "&amp;AN25)&amp;IF(AQ25="","",", "&amp;AQ25)&amp;IF(AT25="","",", "&amp;AT25)&amp;IF(AW25="","",", "&amp;AW25)&amp;IF(AZ25="","",", "&amp;AZ25),3,500)</f>
        <v/>
      </c>
      <c r="BH25" s="12" t="n"/>
      <c r="BI25" s="15">
        <f>IFERROR(MATCH($A25,IF($B25="Onsite",tbl_Onsite[Row ID],IF($B25="Production",tbl_Production[Row ID],tbl_Consulting[Row ID])),0),"")</f>
        <v/>
      </c>
    </row>
    <row r="26">
      <c r="A26" s="10" t="inlineStr">
        <is>
          <t>ONS-0020</t>
        </is>
      </c>
      <c r="B26" s="10" t="inlineStr">
        <is>
          <t>Onsite</t>
        </is>
      </c>
      <c r="C26" s="10">
        <f>IF($BI26="","",IF($B26="Onsite",INDEX(tbl_Onsite[Job Number],$BI26),IF($B26="Production",INDEX(tbl_Production[Job Number],$BI26),INDEX(tbl_Consulting[Job Number],$BI26)))&amp;"")</f>
        <v/>
      </c>
      <c r="D26" s="10">
        <f>IF($BI26="","",IF($B26="Onsite",INDEX(tbl_Onsite[Client],$BI26),IF($B26="Production",INDEX(tbl_Production[Client],$BI26),INDEX(tbl_Consulting[Client],$BI26)))&amp;"")</f>
        <v/>
      </c>
      <c r="E26" s="10">
        <f>IF($C26="","",IF(COUNTIF(lst_Jobs,$C26)&gt;0,"OK","CHECK"))</f>
        <v/>
      </c>
      <c r="F26" s="10">
        <f>IF($C26="","",IFERROR(INDEX(lst_JobName,MATCH($C26,lst_Jobs,0)),""))</f>
        <v/>
      </c>
      <c r="G26" s="10">
        <f>IF($BI26="","",IF($B26="Onsite",INDEX(tbl_Onsite[Job Description],$BI26),IF($B26="Production",INDEX(tbl_Production[Job Description],$BI26),INDEX(tbl_Consulting[Job Description],$BI26)))&amp;"")</f>
        <v/>
      </c>
      <c r="H26" s="10">
        <f>IF($BI26="","",IF($B26="Onsite",INDEX(tbl_Onsite[Cost Centre],$BI26),IF($B26="Production",INDEX(tbl_Production[Cost Centre],$BI26),INDEX(tbl_Consulting[Cost Centre],$BI26)))&amp;"")</f>
        <v/>
      </c>
      <c r="I26" s="10">
        <f>IF($BI26="","",IF($B26="Onsite",INDEX(tbl_Onsite[Invoice Type],$BI26),IF($B26="Production",INDEX(tbl_Production[Invoice Type],$BI26),INDEX(tbl_Consulting[Invoice Type],$BI26)))&amp;"")</f>
        <v/>
      </c>
      <c r="J26" s="10">
        <f>IF($BI26="","",IF($B26="Onsite",INDEX(tbl_Onsite[Tax Code],$BI26),IF($B26="Production",INDEX(tbl_Production[Tax Code],$BI26),INDEX(tbl_Consulting[Tax Code],$BI26)))&amp;"")</f>
        <v/>
      </c>
      <c r="K26" s="10">
        <f>IF(H26="","",IFERROR(INDEX(lst_CCtoGL,MATCH(H26,lst_CCforGL,0)),""))</f>
        <v/>
      </c>
      <c r="L26" s="10">
        <f>IF($BI26="","",IF($B26="Onsite",INDEX(tbl_Onsite[PO / Reference],$BI26),IF($B26="Production",INDEX(tbl_Production[Current RMS No],$BI26),INDEX(tbl_Consulting[Qwilr Quote],$BI26)))&amp;"")</f>
        <v/>
      </c>
      <c r="M26" s="10">
        <f>IF($BI26="","",IF($B26="Onsite",INDEX(tbl_Onsite[Notes],$BI26),IF($B26="Production",INDEX(tbl_Production[Notes],$BI26),INDEX(tbl_Consulting[Notes],$BI26)))&amp;"")</f>
        <v/>
      </c>
      <c r="N26" s="11">
        <f>IF($BI26="","",IF(IF($B26="Onsite",INDEX(tbl_Onsite[Expected Revenue Ex GST],$BI26),IF($B26="Production",INDEX(tbl_Production[Expected Revenue Ex GST],$BI26),INDEX(tbl_Consulting[Expected Revenue Ex GST],$BI26)))="","",IF($B26="Onsite",INDEX(tbl_Onsite[Expected Revenue Ex GST],$BI26),IF($B26="Production",INDEX(tbl_Production[Expected Revenue Ex GST],$BI26),INDEX(tbl_Consulting[Expected Revenue Ex GST],$BI26)))))</f>
        <v/>
      </c>
      <c r="O26" s="11">
        <f>IF(AND($C26="",NOT(COUNTA($S26:$BB26)&gt;0)),"",SUM(U26,X26,AA26,AD26,AG26,AJ26,AM26,AP26,AS26,AV26,AY26,BB26))</f>
        <v/>
      </c>
      <c r="P26" s="11">
        <f>IF(O26="","",N(N26)-O26)</f>
        <v/>
      </c>
      <c r="Q26" s="10">
        <f>IF(O26="","",IF($C26="","Invoice on empty job row",IF(N26="",IF(ROUND(O26,2)=0,"No dept value","Invoiced - no dept value"),IF(ROUND(O26,2)=0,"Not invoiced - to invoice",IF(ROUND(P26,2)=0,"Agrees",IF(P26&gt;0,"Dept higher - to invoice","Xero higher - check dept"))))))</f>
        <v/>
      </c>
      <c r="R26" s="10">
        <f>IF(AND($C26="",NOT(COUNTA($S26:$BB26)&gt;0),$BI26&lt;&gt;""),"",MID(IF($BI26="","; Row ID not found on the department sheet - a row was deleted","")&amp;IF(AND($C26="",COUNTA($S26:$BB26)&gt;0),"; Invoice entered but the department row has no job number","")&amp;IF(E26="CHECK","; Job number not in the Xero job list","")&amp;IF(AND($C26&lt;&gt;"",COUNTIF($C$7:$C$1506,$C26)&gt;1),"; Job number on more than one row","")&amp;IF(AND($C26&lt;&gt;"",H26=""),"; Dept has not set a cost centre","")&amp;IF(AND($C26&lt;&gt;"",J26=""),"; Dept has not set a tax code","")&amp;IF(AND($C26&lt;&gt;"",N26=""),"; Dept has not entered an expected value","")&amp;IF((IF(OR(COUNTA(S26:U26)=0,AND(COUNTA(S26:U26)=3,ISNUMBER(U26))),0,1)+IF(OR(COUNTA(V26:X26)=0,AND(COUNTA(V26:X26)=3,ISNUMBER(X26))),0,1)+IF(OR(COUNTA(Y26:AA26)=0,AND(COUNTA(Y26:AA26)=3,ISNUMBER(AA26))),0,1)+IF(OR(COUNTA(AB26:AD26)=0,AND(COUNTA(AB26:AD26)=3,ISNUMBER(AD26))),0,1)+IF(OR(COUNTA(AE26:AG26)=0,AND(COUNTA(AE26:AG26)=3,ISNUMBER(AG26))),0,1)+IF(OR(COUNTA(AH26:AJ26)=0,AND(COUNTA(AH26:AJ26)=3,ISNUMBER(AJ26))),0,1)+IF(OR(COUNTA(AK26:AM26)=0,AND(COUNTA(AK26:AM26)=3,ISNUMBER(AM26))),0,1)+IF(OR(COUNTA(AN26:AP26)=0,AND(COUNTA(AN26:AP26)=3,ISNUMBER(AP26))),0,1)+IF(OR(COUNTA(AQ26:AS26)=0,AND(COUNTA(AQ26:AS26)=3,ISNUMBER(AS26))),0,1)+IF(OR(COUNTA(AT26:AV26)=0,AND(COUNTA(AT26:AV26)=3,ISNUMBER(AV26))),0,1)+IF(OR(COUNTA(AW26:AY26)=0,AND(COUNTA(AW26:AY26)=3,ISNUMBER(AY26))),0,1)+IF(OR(COUNTA(AZ26:BB26)=0,AND(COUNTA(AZ26:BB26)=3,ISNUMBER(BB26))),0,1))&gt;0,"; An invoice is incomplete (needs No, Date and a number in Ex GST)","")&amp;IF((IF(T26="",0,IFERROR(--(EOMONTH(T26,0)&lt;&gt;S$5),1))+IF(W26="",0,IFERROR(--(EOMONTH(W26,0)&lt;&gt;V$5),1))+IF(Z26="",0,IFERROR(--(EOMONTH(Z26,0)&lt;&gt;Y$5),1))+IF(AC26="",0,IFERROR(--(EOMONTH(AC26,0)&lt;&gt;AB$5),1))+IF(AF26="",0,IFERROR(--(EOMONTH(AF26,0)&lt;&gt;AE$5),1))+IF(AI26="",0,IFERROR(--(EOMONTH(AI26,0)&lt;&gt;AH$5),1))+IF(AL26="",0,IFERROR(--(EOMONTH(AL26,0)&lt;&gt;AK$5),1))+IF(AO26="",0,IFERROR(--(EOMONTH(AO26,0)&lt;&gt;AN$5),1))+IF(AR26="",0,IFERROR(--(EOMONTH(AR26,0)&lt;&gt;AQ$5),1))+IF(AU26="",0,IFERROR(--(EOMONTH(AU26,0)&lt;&gt;AT$5),1))+IF(AX26="",0,IFERROR(--(EOMONTH(AX26,0)&lt;&gt;AW$5),1))+IF(BA26="",0,IFERROR(--(EOMONTH(BA26,0)&lt;&gt;AZ$5),1)))&gt;0,"; An invoice date is not in the month it is typed under",""),3,500))</f>
        <v/>
      </c>
      <c r="S26" s="12" t="n"/>
      <c r="T26" s="13" t="n"/>
      <c r="U26" s="14" t="n"/>
      <c r="V26" s="12" t="n"/>
      <c r="W26" s="13" t="n"/>
      <c r="X26" s="14" t="n"/>
      <c r="Y26" s="12" t="n"/>
      <c r="Z26" s="13" t="n"/>
      <c r="AA26" s="14" t="n"/>
      <c r="AB26" s="12" t="n"/>
      <c r="AC26" s="13" t="n"/>
      <c r="AD26" s="14" t="n"/>
      <c r="AE26" s="12" t="n"/>
      <c r="AF26" s="13" t="n"/>
      <c r="AG26" s="14" t="n"/>
      <c r="AH26" s="12" t="n"/>
      <c r="AI26" s="13" t="n"/>
      <c r="AJ26" s="14" t="n"/>
      <c r="AK26" s="12" t="n"/>
      <c r="AL26" s="13" t="n"/>
      <c r="AM26" s="14" t="n"/>
      <c r="AN26" s="12" t="n"/>
      <c r="AO26" s="13" t="n"/>
      <c r="AP26" s="14" t="n"/>
      <c r="AQ26" s="12" t="n"/>
      <c r="AR26" s="13" t="n"/>
      <c r="AS26" s="14" t="n"/>
      <c r="AT26" s="12" t="n"/>
      <c r="AU26" s="13" t="n"/>
      <c r="AV26" s="14" t="n"/>
      <c r="AW26" s="12" t="n"/>
      <c r="AX26" s="13" t="n"/>
      <c r="AY26" s="14" t="n"/>
      <c r="AZ26" s="12" t="n"/>
      <c r="BA26" s="13" t="n"/>
      <c r="BB26" s="14" t="n"/>
      <c r="BC26" s="11">
        <f>IF(O26="","",IF(J26="GST 10%",ROUND(O26*set_GSTRate,2),0))</f>
        <v/>
      </c>
      <c r="BD26" s="11">
        <f>IF(O26="","",O26+BC26)</f>
        <v/>
      </c>
      <c r="BE26" s="15">
        <f>IF(O26="","",COUNTA(S26,V26,Y26,AB26,AE26,AH26,AK26,AN26,AQ26,AT26,AW26,AZ26))</f>
        <v/>
      </c>
      <c r="BF26" s="16">
        <f>IF(COUNT(T26,W26,Z26,AC26,AF26,AI26,AL26,AO26,AR26,AU26,AX26,BA26)=0,"",MAX(T26,W26,Z26,AC26,AF26,AI26,AL26,AO26,AR26,AU26,AX26,BA26))</f>
        <v/>
      </c>
      <c r="BG26" s="10">
        <f>MID(IF(S26="","",", "&amp;S26)&amp;IF(V26="","",", "&amp;V26)&amp;IF(Y26="","",", "&amp;Y26)&amp;IF(AB26="","",", "&amp;AB26)&amp;IF(AE26="","",", "&amp;AE26)&amp;IF(AH26="","",", "&amp;AH26)&amp;IF(AK26="","",", "&amp;AK26)&amp;IF(AN26="","",", "&amp;AN26)&amp;IF(AQ26="","",", "&amp;AQ26)&amp;IF(AT26="","",", "&amp;AT26)&amp;IF(AW26="","",", "&amp;AW26)&amp;IF(AZ26="","",", "&amp;AZ26),3,500)</f>
        <v/>
      </c>
      <c r="BH26" s="12" t="n"/>
      <c r="BI26" s="15">
        <f>IFERROR(MATCH($A26,IF($B26="Onsite",tbl_Onsite[Row ID],IF($B26="Production",tbl_Production[Row ID],tbl_Consulting[Row ID])),0),"")</f>
        <v/>
      </c>
    </row>
    <row r="27">
      <c r="A27" s="10" t="inlineStr">
        <is>
          <t>ONS-0021</t>
        </is>
      </c>
      <c r="B27" s="10" t="inlineStr">
        <is>
          <t>Onsite</t>
        </is>
      </c>
      <c r="C27" s="10">
        <f>IF($BI27="","",IF($B27="Onsite",INDEX(tbl_Onsite[Job Number],$BI27),IF($B27="Production",INDEX(tbl_Production[Job Number],$BI27),INDEX(tbl_Consulting[Job Number],$BI27)))&amp;"")</f>
        <v/>
      </c>
      <c r="D27" s="10">
        <f>IF($BI27="","",IF($B27="Onsite",INDEX(tbl_Onsite[Client],$BI27),IF($B27="Production",INDEX(tbl_Production[Client],$BI27),INDEX(tbl_Consulting[Client],$BI27)))&amp;"")</f>
        <v/>
      </c>
      <c r="E27" s="10">
        <f>IF($C27="","",IF(COUNTIF(lst_Jobs,$C27)&gt;0,"OK","CHECK"))</f>
        <v/>
      </c>
      <c r="F27" s="10">
        <f>IF($C27="","",IFERROR(INDEX(lst_JobName,MATCH($C27,lst_Jobs,0)),""))</f>
        <v/>
      </c>
      <c r="G27" s="10">
        <f>IF($BI27="","",IF($B27="Onsite",INDEX(tbl_Onsite[Job Description],$BI27),IF($B27="Production",INDEX(tbl_Production[Job Description],$BI27),INDEX(tbl_Consulting[Job Description],$BI27)))&amp;"")</f>
        <v/>
      </c>
      <c r="H27" s="10">
        <f>IF($BI27="","",IF($B27="Onsite",INDEX(tbl_Onsite[Cost Centre],$BI27),IF($B27="Production",INDEX(tbl_Production[Cost Centre],$BI27),INDEX(tbl_Consulting[Cost Centre],$BI27)))&amp;"")</f>
        <v/>
      </c>
      <c r="I27" s="10">
        <f>IF($BI27="","",IF($B27="Onsite",INDEX(tbl_Onsite[Invoice Type],$BI27),IF($B27="Production",INDEX(tbl_Production[Invoice Type],$BI27),INDEX(tbl_Consulting[Invoice Type],$BI27)))&amp;"")</f>
        <v/>
      </c>
      <c r="J27" s="10">
        <f>IF($BI27="","",IF($B27="Onsite",INDEX(tbl_Onsite[Tax Code],$BI27),IF($B27="Production",INDEX(tbl_Production[Tax Code],$BI27),INDEX(tbl_Consulting[Tax Code],$BI27)))&amp;"")</f>
        <v/>
      </c>
      <c r="K27" s="10">
        <f>IF(H27="","",IFERROR(INDEX(lst_CCtoGL,MATCH(H27,lst_CCforGL,0)),""))</f>
        <v/>
      </c>
      <c r="L27" s="10">
        <f>IF($BI27="","",IF($B27="Onsite",INDEX(tbl_Onsite[PO / Reference],$BI27),IF($B27="Production",INDEX(tbl_Production[Current RMS No],$BI27),INDEX(tbl_Consulting[Qwilr Quote],$BI27)))&amp;"")</f>
        <v/>
      </c>
      <c r="M27" s="10">
        <f>IF($BI27="","",IF($B27="Onsite",INDEX(tbl_Onsite[Notes],$BI27),IF($B27="Production",INDEX(tbl_Production[Notes],$BI27),INDEX(tbl_Consulting[Notes],$BI27)))&amp;"")</f>
        <v/>
      </c>
      <c r="N27" s="11">
        <f>IF($BI27="","",IF(IF($B27="Onsite",INDEX(tbl_Onsite[Expected Revenue Ex GST],$BI27),IF($B27="Production",INDEX(tbl_Production[Expected Revenue Ex GST],$BI27),INDEX(tbl_Consulting[Expected Revenue Ex GST],$BI27)))="","",IF($B27="Onsite",INDEX(tbl_Onsite[Expected Revenue Ex GST],$BI27),IF($B27="Production",INDEX(tbl_Production[Expected Revenue Ex GST],$BI27),INDEX(tbl_Consulting[Expected Revenue Ex GST],$BI27)))))</f>
        <v/>
      </c>
      <c r="O27" s="11">
        <f>IF(AND($C27="",NOT(COUNTA($S27:$BB27)&gt;0)),"",SUM(U27,X27,AA27,AD27,AG27,AJ27,AM27,AP27,AS27,AV27,AY27,BB27))</f>
        <v/>
      </c>
      <c r="P27" s="11">
        <f>IF(O27="","",N(N27)-O27)</f>
        <v/>
      </c>
      <c r="Q27" s="10">
        <f>IF(O27="","",IF($C27="","Invoice on empty job row",IF(N27="",IF(ROUND(O27,2)=0,"No dept value","Invoiced - no dept value"),IF(ROUND(O27,2)=0,"Not invoiced - to invoice",IF(ROUND(P27,2)=0,"Agrees",IF(P27&gt;0,"Dept higher - to invoice","Xero higher - check dept"))))))</f>
        <v/>
      </c>
      <c r="R27" s="10">
        <f>IF(AND($C27="",NOT(COUNTA($S27:$BB27)&gt;0),$BI27&lt;&gt;""),"",MID(IF($BI27="","; Row ID not found on the department sheet - a row was deleted","")&amp;IF(AND($C27="",COUNTA($S27:$BB27)&gt;0),"; Invoice entered but the department row has no job number","")&amp;IF(E27="CHECK","; Job number not in the Xero job list","")&amp;IF(AND($C27&lt;&gt;"",COUNTIF($C$7:$C$1506,$C27)&gt;1),"; Job number on more than one row","")&amp;IF(AND($C27&lt;&gt;"",H27=""),"; Dept has not set a cost centre","")&amp;IF(AND($C27&lt;&gt;"",J27=""),"; Dept has not set a tax code","")&amp;IF(AND($C27&lt;&gt;"",N27=""),"; Dept has not entered an expected value","")&amp;IF((IF(OR(COUNTA(S27:U27)=0,AND(COUNTA(S27:U27)=3,ISNUMBER(U27))),0,1)+IF(OR(COUNTA(V27:X27)=0,AND(COUNTA(V27:X27)=3,ISNUMBER(X27))),0,1)+IF(OR(COUNTA(Y27:AA27)=0,AND(COUNTA(Y27:AA27)=3,ISNUMBER(AA27))),0,1)+IF(OR(COUNTA(AB27:AD27)=0,AND(COUNTA(AB27:AD27)=3,ISNUMBER(AD27))),0,1)+IF(OR(COUNTA(AE27:AG27)=0,AND(COUNTA(AE27:AG27)=3,ISNUMBER(AG27))),0,1)+IF(OR(COUNTA(AH27:AJ27)=0,AND(COUNTA(AH27:AJ27)=3,ISNUMBER(AJ27))),0,1)+IF(OR(COUNTA(AK27:AM27)=0,AND(COUNTA(AK27:AM27)=3,ISNUMBER(AM27))),0,1)+IF(OR(COUNTA(AN27:AP27)=0,AND(COUNTA(AN27:AP27)=3,ISNUMBER(AP27))),0,1)+IF(OR(COUNTA(AQ27:AS27)=0,AND(COUNTA(AQ27:AS27)=3,ISNUMBER(AS27))),0,1)+IF(OR(COUNTA(AT27:AV27)=0,AND(COUNTA(AT27:AV27)=3,ISNUMBER(AV27))),0,1)+IF(OR(COUNTA(AW27:AY27)=0,AND(COUNTA(AW27:AY27)=3,ISNUMBER(AY27))),0,1)+IF(OR(COUNTA(AZ27:BB27)=0,AND(COUNTA(AZ27:BB27)=3,ISNUMBER(BB27))),0,1))&gt;0,"; An invoice is incomplete (needs No, Date and a number in Ex GST)","")&amp;IF((IF(T27="",0,IFERROR(--(EOMONTH(T27,0)&lt;&gt;S$5),1))+IF(W27="",0,IFERROR(--(EOMONTH(W27,0)&lt;&gt;V$5),1))+IF(Z27="",0,IFERROR(--(EOMONTH(Z27,0)&lt;&gt;Y$5),1))+IF(AC27="",0,IFERROR(--(EOMONTH(AC27,0)&lt;&gt;AB$5),1))+IF(AF27="",0,IFERROR(--(EOMONTH(AF27,0)&lt;&gt;AE$5),1))+IF(AI27="",0,IFERROR(--(EOMONTH(AI27,0)&lt;&gt;AH$5),1))+IF(AL27="",0,IFERROR(--(EOMONTH(AL27,0)&lt;&gt;AK$5),1))+IF(AO27="",0,IFERROR(--(EOMONTH(AO27,0)&lt;&gt;AN$5),1))+IF(AR27="",0,IFERROR(--(EOMONTH(AR27,0)&lt;&gt;AQ$5),1))+IF(AU27="",0,IFERROR(--(EOMONTH(AU27,0)&lt;&gt;AT$5),1))+IF(AX27="",0,IFERROR(--(EOMONTH(AX27,0)&lt;&gt;AW$5),1))+IF(BA27="",0,IFERROR(--(EOMONTH(BA27,0)&lt;&gt;AZ$5),1)))&gt;0,"; An invoice date is not in the month it is typed under",""),3,500))</f>
        <v/>
      </c>
      <c r="S27" s="12" t="n"/>
      <c r="T27" s="13" t="n"/>
      <c r="U27" s="14" t="n"/>
      <c r="V27" s="12" t="n"/>
      <c r="W27" s="13" t="n"/>
      <c r="X27" s="14" t="n"/>
      <c r="Y27" s="12" t="n"/>
      <c r="Z27" s="13" t="n"/>
      <c r="AA27" s="14" t="n"/>
      <c r="AB27" s="12" t="n"/>
      <c r="AC27" s="13" t="n"/>
      <c r="AD27" s="14" t="n"/>
      <c r="AE27" s="12" t="n"/>
      <c r="AF27" s="13" t="n"/>
      <c r="AG27" s="14" t="n"/>
      <c r="AH27" s="12" t="n"/>
      <c r="AI27" s="13" t="n"/>
      <c r="AJ27" s="14" t="n"/>
      <c r="AK27" s="12" t="n"/>
      <c r="AL27" s="13" t="n"/>
      <c r="AM27" s="14" t="n"/>
      <c r="AN27" s="12" t="n"/>
      <c r="AO27" s="13" t="n"/>
      <c r="AP27" s="14" t="n"/>
      <c r="AQ27" s="12" t="n"/>
      <c r="AR27" s="13" t="n"/>
      <c r="AS27" s="14" t="n"/>
      <c r="AT27" s="12" t="n"/>
      <c r="AU27" s="13" t="n"/>
      <c r="AV27" s="14" t="n"/>
      <c r="AW27" s="12" t="n"/>
      <c r="AX27" s="13" t="n"/>
      <c r="AY27" s="14" t="n"/>
      <c r="AZ27" s="12" t="n"/>
      <c r="BA27" s="13" t="n"/>
      <c r="BB27" s="14" t="n"/>
      <c r="BC27" s="11">
        <f>IF(O27="","",IF(J27="GST 10%",ROUND(O27*set_GSTRate,2),0))</f>
        <v/>
      </c>
      <c r="BD27" s="11">
        <f>IF(O27="","",O27+BC27)</f>
        <v/>
      </c>
      <c r="BE27" s="15">
        <f>IF(O27="","",COUNTA(S27,V27,Y27,AB27,AE27,AH27,AK27,AN27,AQ27,AT27,AW27,AZ27))</f>
        <v/>
      </c>
      <c r="BF27" s="16">
        <f>IF(COUNT(T27,W27,Z27,AC27,AF27,AI27,AL27,AO27,AR27,AU27,AX27,BA27)=0,"",MAX(T27,W27,Z27,AC27,AF27,AI27,AL27,AO27,AR27,AU27,AX27,BA27))</f>
        <v/>
      </c>
      <c r="BG27" s="10">
        <f>MID(IF(S27="","",", "&amp;S27)&amp;IF(V27="","",", "&amp;V27)&amp;IF(Y27="","",", "&amp;Y27)&amp;IF(AB27="","",", "&amp;AB27)&amp;IF(AE27="","",", "&amp;AE27)&amp;IF(AH27="","",", "&amp;AH27)&amp;IF(AK27="","",", "&amp;AK27)&amp;IF(AN27="","",", "&amp;AN27)&amp;IF(AQ27="","",", "&amp;AQ27)&amp;IF(AT27="","",", "&amp;AT27)&amp;IF(AW27="","",", "&amp;AW27)&amp;IF(AZ27="","",", "&amp;AZ27),3,500)</f>
        <v/>
      </c>
      <c r="BH27" s="12" t="n"/>
      <c r="BI27" s="15">
        <f>IFERROR(MATCH($A27,IF($B27="Onsite",tbl_Onsite[Row ID],IF($B27="Production",tbl_Production[Row ID],tbl_Consulting[Row ID])),0),"")</f>
        <v/>
      </c>
    </row>
    <row r="28">
      <c r="A28" s="10" t="inlineStr">
        <is>
          <t>ONS-0022</t>
        </is>
      </c>
      <c r="B28" s="10" t="inlineStr">
        <is>
          <t>Onsite</t>
        </is>
      </c>
      <c r="C28" s="10">
        <f>IF($BI28="","",IF($B28="Onsite",INDEX(tbl_Onsite[Job Number],$BI28),IF($B28="Production",INDEX(tbl_Production[Job Number],$BI28),INDEX(tbl_Consulting[Job Number],$BI28)))&amp;"")</f>
        <v/>
      </c>
      <c r="D28" s="10">
        <f>IF($BI28="","",IF($B28="Onsite",INDEX(tbl_Onsite[Client],$BI28),IF($B28="Production",INDEX(tbl_Production[Client],$BI28),INDEX(tbl_Consulting[Client],$BI28)))&amp;"")</f>
        <v/>
      </c>
      <c r="E28" s="10">
        <f>IF($C28="","",IF(COUNTIF(lst_Jobs,$C28)&gt;0,"OK","CHECK"))</f>
        <v/>
      </c>
      <c r="F28" s="10">
        <f>IF($C28="","",IFERROR(INDEX(lst_JobName,MATCH($C28,lst_Jobs,0)),""))</f>
        <v/>
      </c>
      <c r="G28" s="10">
        <f>IF($BI28="","",IF($B28="Onsite",INDEX(tbl_Onsite[Job Description],$BI28),IF($B28="Production",INDEX(tbl_Production[Job Description],$BI28),INDEX(tbl_Consulting[Job Description],$BI28)))&amp;"")</f>
        <v/>
      </c>
      <c r="H28" s="10">
        <f>IF($BI28="","",IF($B28="Onsite",INDEX(tbl_Onsite[Cost Centre],$BI28),IF($B28="Production",INDEX(tbl_Production[Cost Centre],$BI28),INDEX(tbl_Consulting[Cost Centre],$BI28)))&amp;"")</f>
        <v/>
      </c>
      <c r="I28" s="10">
        <f>IF($BI28="","",IF($B28="Onsite",INDEX(tbl_Onsite[Invoice Type],$BI28),IF($B28="Production",INDEX(tbl_Production[Invoice Type],$BI28),INDEX(tbl_Consulting[Invoice Type],$BI28)))&amp;"")</f>
        <v/>
      </c>
      <c r="J28" s="10">
        <f>IF($BI28="","",IF($B28="Onsite",INDEX(tbl_Onsite[Tax Code],$BI28),IF($B28="Production",INDEX(tbl_Production[Tax Code],$BI28),INDEX(tbl_Consulting[Tax Code],$BI28)))&amp;"")</f>
        <v/>
      </c>
      <c r="K28" s="10">
        <f>IF(H28="","",IFERROR(INDEX(lst_CCtoGL,MATCH(H28,lst_CCforGL,0)),""))</f>
        <v/>
      </c>
      <c r="L28" s="10">
        <f>IF($BI28="","",IF($B28="Onsite",INDEX(tbl_Onsite[PO / Reference],$BI28),IF($B28="Production",INDEX(tbl_Production[Current RMS No],$BI28),INDEX(tbl_Consulting[Qwilr Quote],$BI28)))&amp;"")</f>
        <v/>
      </c>
      <c r="M28" s="10">
        <f>IF($BI28="","",IF($B28="Onsite",INDEX(tbl_Onsite[Notes],$BI28),IF($B28="Production",INDEX(tbl_Production[Notes],$BI28),INDEX(tbl_Consulting[Notes],$BI28)))&amp;"")</f>
        <v/>
      </c>
      <c r="N28" s="11">
        <f>IF($BI28="","",IF(IF($B28="Onsite",INDEX(tbl_Onsite[Expected Revenue Ex GST],$BI28),IF($B28="Production",INDEX(tbl_Production[Expected Revenue Ex GST],$BI28),INDEX(tbl_Consulting[Expected Revenue Ex GST],$BI28)))="","",IF($B28="Onsite",INDEX(tbl_Onsite[Expected Revenue Ex GST],$BI28),IF($B28="Production",INDEX(tbl_Production[Expected Revenue Ex GST],$BI28),INDEX(tbl_Consulting[Expected Revenue Ex GST],$BI28)))))</f>
        <v/>
      </c>
      <c r="O28" s="11">
        <f>IF(AND($C28="",NOT(COUNTA($S28:$BB28)&gt;0)),"",SUM(U28,X28,AA28,AD28,AG28,AJ28,AM28,AP28,AS28,AV28,AY28,BB28))</f>
        <v/>
      </c>
      <c r="P28" s="11">
        <f>IF(O28="","",N(N28)-O28)</f>
        <v/>
      </c>
      <c r="Q28" s="10">
        <f>IF(O28="","",IF($C28="","Invoice on empty job row",IF(N28="",IF(ROUND(O28,2)=0,"No dept value","Invoiced - no dept value"),IF(ROUND(O28,2)=0,"Not invoiced - to invoice",IF(ROUND(P28,2)=0,"Agrees",IF(P28&gt;0,"Dept higher - to invoice","Xero higher - check dept"))))))</f>
        <v/>
      </c>
      <c r="R28" s="10">
        <f>IF(AND($C28="",NOT(COUNTA($S28:$BB28)&gt;0),$BI28&lt;&gt;""),"",MID(IF($BI28="","; Row ID not found on the department sheet - a row was deleted","")&amp;IF(AND($C28="",COUNTA($S28:$BB28)&gt;0),"; Invoice entered but the department row has no job number","")&amp;IF(E28="CHECK","; Job number not in the Xero job list","")&amp;IF(AND($C28&lt;&gt;"",COUNTIF($C$7:$C$1506,$C28)&gt;1),"; Job number on more than one row","")&amp;IF(AND($C28&lt;&gt;"",H28=""),"; Dept has not set a cost centre","")&amp;IF(AND($C28&lt;&gt;"",J28=""),"; Dept has not set a tax code","")&amp;IF(AND($C28&lt;&gt;"",N28=""),"; Dept has not entered an expected value","")&amp;IF((IF(OR(COUNTA(S28:U28)=0,AND(COUNTA(S28:U28)=3,ISNUMBER(U28))),0,1)+IF(OR(COUNTA(V28:X28)=0,AND(COUNTA(V28:X28)=3,ISNUMBER(X28))),0,1)+IF(OR(COUNTA(Y28:AA28)=0,AND(COUNTA(Y28:AA28)=3,ISNUMBER(AA28))),0,1)+IF(OR(COUNTA(AB28:AD28)=0,AND(COUNTA(AB28:AD28)=3,ISNUMBER(AD28))),0,1)+IF(OR(COUNTA(AE28:AG28)=0,AND(COUNTA(AE28:AG28)=3,ISNUMBER(AG28))),0,1)+IF(OR(COUNTA(AH28:AJ28)=0,AND(COUNTA(AH28:AJ28)=3,ISNUMBER(AJ28))),0,1)+IF(OR(COUNTA(AK28:AM28)=0,AND(COUNTA(AK28:AM28)=3,ISNUMBER(AM28))),0,1)+IF(OR(COUNTA(AN28:AP28)=0,AND(COUNTA(AN28:AP28)=3,ISNUMBER(AP28))),0,1)+IF(OR(COUNTA(AQ28:AS28)=0,AND(COUNTA(AQ28:AS28)=3,ISNUMBER(AS28))),0,1)+IF(OR(COUNTA(AT28:AV28)=0,AND(COUNTA(AT28:AV28)=3,ISNUMBER(AV28))),0,1)+IF(OR(COUNTA(AW28:AY28)=0,AND(COUNTA(AW28:AY28)=3,ISNUMBER(AY28))),0,1)+IF(OR(COUNTA(AZ28:BB28)=0,AND(COUNTA(AZ28:BB28)=3,ISNUMBER(BB28))),0,1))&gt;0,"; An invoice is incomplete (needs No, Date and a number in Ex GST)","")&amp;IF((IF(T28="",0,IFERROR(--(EOMONTH(T28,0)&lt;&gt;S$5),1))+IF(W28="",0,IFERROR(--(EOMONTH(W28,0)&lt;&gt;V$5),1))+IF(Z28="",0,IFERROR(--(EOMONTH(Z28,0)&lt;&gt;Y$5),1))+IF(AC28="",0,IFERROR(--(EOMONTH(AC28,0)&lt;&gt;AB$5),1))+IF(AF28="",0,IFERROR(--(EOMONTH(AF28,0)&lt;&gt;AE$5),1))+IF(AI28="",0,IFERROR(--(EOMONTH(AI28,0)&lt;&gt;AH$5),1))+IF(AL28="",0,IFERROR(--(EOMONTH(AL28,0)&lt;&gt;AK$5),1))+IF(AO28="",0,IFERROR(--(EOMONTH(AO28,0)&lt;&gt;AN$5),1))+IF(AR28="",0,IFERROR(--(EOMONTH(AR28,0)&lt;&gt;AQ$5),1))+IF(AU28="",0,IFERROR(--(EOMONTH(AU28,0)&lt;&gt;AT$5),1))+IF(AX28="",0,IFERROR(--(EOMONTH(AX28,0)&lt;&gt;AW$5),1))+IF(BA28="",0,IFERROR(--(EOMONTH(BA28,0)&lt;&gt;AZ$5),1)))&gt;0,"; An invoice date is not in the month it is typed under",""),3,500))</f>
        <v/>
      </c>
      <c r="S28" s="12" t="n"/>
      <c r="T28" s="13" t="n"/>
      <c r="U28" s="14" t="n"/>
      <c r="V28" s="12" t="n"/>
      <c r="W28" s="13" t="n"/>
      <c r="X28" s="14" t="n"/>
      <c r="Y28" s="12" t="n"/>
      <c r="Z28" s="13" t="n"/>
      <c r="AA28" s="14" t="n"/>
      <c r="AB28" s="12" t="n"/>
      <c r="AC28" s="13" t="n"/>
      <c r="AD28" s="14" t="n"/>
      <c r="AE28" s="12" t="n"/>
      <c r="AF28" s="13" t="n"/>
      <c r="AG28" s="14" t="n"/>
      <c r="AH28" s="12" t="n"/>
      <c r="AI28" s="13" t="n"/>
      <c r="AJ28" s="14" t="n"/>
      <c r="AK28" s="12" t="n"/>
      <c r="AL28" s="13" t="n"/>
      <c r="AM28" s="14" t="n"/>
      <c r="AN28" s="12" t="n"/>
      <c r="AO28" s="13" t="n"/>
      <c r="AP28" s="14" t="n"/>
      <c r="AQ28" s="12" t="n"/>
      <c r="AR28" s="13" t="n"/>
      <c r="AS28" s="14" t="n"/>
      <c r="AT28" s="12" t="n"/>
      <c r="AU28" s="13" t="n"/>
      <c r="AV28" s="14" t="n"/>
      <c r="AW28" s="12" t="n"/>
      <c r="AX28" s="13" t="n"/>
      <c r="AY28" s="14" t="n"/>
      <c r="AZ28" s="12" t="n"/>
      <c r="BA28" s="13" t="n"/>
      <c r="BB28" s="14" t="n"/>
      <c r="BC28" s="11">
        <f>IF(O28="","",IF(J28="GST 10%",ROUND(O28*set_GSTRate,2),0))</f>
        <v/>
      </c>
      <c r="BD28" s="11">
        <f>IF(O28="","",O28+BC28)</f>
        <v/>
      </c>
      <c r="BE28" s="15">
        <f>IF(O28="","",COUNTA(S28,V28,Y28,AB28,AE28,AH28,AK28,AN28,AQ28,AT28,AW28,AZ28))</f>
        <v/>
      </c>
      <c r="BF28" s="16">
        <f>IF(COUNT(T28,W28,Z28,AC28,AF28,AI28,AL28,AO28,AR28,AU28,AX28,BA28)=0,"",MAX(T28,W28,Z28,AC28,AF28,AI28,AL28,AO28,AR28,AU28,AX28,BA28))</f>
        <v/>
      </c>
      <c r="BG28" s="10">
        <f>MID(IF(S28="","",", "&amp;S28)&amp;IF(V28="","",", "&amp;V28)&amp;IF(Y28="","",", "&amp;Y28)&amp;IF(AB28="","",", "&amp;AB28)&amp;IF(AE28="","",", "&amp;AE28)&amp;IF(AH28="","",", "&amp;AH28)&amp;IF(AK28="","",", "&amp;AK28)&amp;IF(AN28="","",", "&amp;AN28)&amp;IF(AQ28="","",", "&amp;AQ28)&amp;IF(AT28="","",", "&amp;AT28)&amp;IF(AW28="","",", "&amp;AW28)&amp;IF(AZ28="","",", "&amp;AZ28),3,500)</f>
        <v/>
      </c>
      <c r="BH28" s="12" t="n"/>
      <c r="BI28" s="15">
        <f>IFERROR(MATCH($A28,IF($B28="Onsite",tbl_Onsite[Row ID],IF($B28="Production",tbl_Production[Row ID],tbl_Consulting[Row ID])),0),"")</f>
        <v/>
      </c>
    </row>
    <row r="29">
      <c r="A29" s="10" t="inlineStr">
        <is>
          <t>ONS-0023</t>
        </is>
      </c>
      <c r="B29" s="10" t="inlineStr">
        <is>
          <t>Onsite</t>
        </is>
      </c>
      <c r="C29" s="10">
        <f>IF($BI29="","",IF($B29="Onsite",INDEX(tbl_Onsite[Job Number],$BI29),IF($B29="Production",INDEX(tbl_Production[Job Number],$BI29),INDEX(tbl_Consulting[Job Number],$BI29)))&amp;"")</f>
        <v/>
      </c>
      <c r="D29" s="10">
        <f>IF($BI29="","",IF($B29="Onsite",INDEX(tbl_Onsite[Client],$BI29),IF($B29="Production",INDEX(tbl_Production[Client],$BI29),INDEX(tbl_Consulting[Client],$BI29)))&amp;"")</f>
        <v/>
      </c>
      <c r="E29" s="10">
        <f>IF($C29="","",IF(COUNTIF(lst_Jobs,$C29)&gt;0,"OK","CHECK"))</f>
        <v/>
      </c>
      <c r="F29" s="10">
        <f>IF($C29="","",IFERROR(INDEX(lst_JobName,MATCH($C29,lst_Jobs,0)),""))</f>
        <v/>
      </c>
      <c r="G29" s="10">
        <f>IF($BI29="","",IF($B29="Onsite",INDEX(tbl_Onsite[Job Description],$BI29),IF($B29="Production",INDEX(tbl_Production[Job Description],$BI29),INDEX(tbl_Consulting[Job Description],$BI29)))&amp;"")</f>
        <v/>
      </c>
      <c r="H29" s="10">
        <f>IF($BI29="","",IF($B29="Onsite",INDEX(tbl_Onsite[Cost Centre],$BI29),IF($B29="Production",INDEX(tbl_Production[Cost Centre],$BI29),INDEX(tbl_Consulting[Cost Centre],$BI29)))&amp;"")</f>
        <v/>
      </c>
      <c r="I29" s="10">
        <f>IF($BI29="","",IF($B29="Onsite",INDEX(tbl_Onsite[Invoice Type],$BI29),IF($B29="Production",INDEX(tbl_Production[Invoice Type],$BI29),INDEX(tbl_Consulting[Invoice Type],$BI29)))&amp;"")</f>
        <v/>
      </c>
      <c r="J29" s="10">
        <f>IF($BI29="","",IF($B29="Onsite",INDEX(tbl_Onsite[Tax Code],$BI29),IF($B29="Production",INDEX(tbl_Production[Tax Code],$BI29),INDEX(tbl_Consulting[Tax Code],$BI29)))&amp;"")</f>
        <v/>
      </c>
      <c r="K29" s="10">
        <f>IF(H29="","",IFERROR(INDEX(lst_CCtoGL,MATCH(H29,lst_CCforGL,0)),""))</f>
        <v/>
      </c>
      <c r="L29" s="10">
        <f>IF($BI29="","",IF($B29="Onsite",INDEX(tbl_Onsite[PO / Reference],$BI29),IF($B29="Production",INDEX(tbl_Production[Current RMS No],$BI29),INDEX(tbl_Consulting[Qwilr Quote],$BI29)))&amp;"")</f>
        <v/>
      </c>
      <c r="M29" s="10">
        <f>IF($BI29="","",IF($B29="Onsite",INDEX(tbl_Onsite[Notes],$BI29),IF($B29="Production",INDEX(tbl_Production[Notes],$BI29),INDEX(tbl_Consulting[Notes],$BI29)))&amp;"")</f>
        <v/>
      </c>
      <c r="N29" s="11">
        <f>IF($BI29="","",IF(IF($B29="Onsite",INDEX(tbl_Onsite[Expected Revenue Ex GST],$BI29),IF($B29="Production",INDEX(tbl_Production[Expected Revenue Ex GST],$BI29),INDEX(tbl_Consulting[Expected Revenue Ex GST],$BI29)))="","",IF($B29="Onsite",INDEX(tbl_Onsite[Expected Revenue Ex GST],$BI29),IF($B29="Production",INDEX(tbl_Production[Expected Revenue Ex GST],$BI29),INDEX(tbl_Consulting[Expected Revenue Ex GST],$BI29)))))</f>
        <v/>
      </c>
      <c r="O29" s="11">
        <f>IF(AND($C29="",NOT(COUNTA($S29:$BB29)&gt;0)),"",SUM(U29,X29,AA29,AD29,AG29,AJ29,AM29,AP29,AS29,AV29,AY29,BB29))</f>
        <v/>
      </c>
      <c r="P29" s="11">
        <f>IF(O29="","",N(N29)-O29)</f>
        <v/>
      </c>
      <c r="Q29" s="10">
        <f>IF(O29="","",IF($C29="","Invoice on empty job row",IF(N29="",IF(ROUND(O29,2)=0,"No dept value","Invoiced - no dept value"),IF(ROUND(O29,2)=0,"Not invoiced - to invoice",IF(ROUND(P29,2)=0,"Agrees",IF(P29&gt;0,"Dept higher - to invoice","Xero higher - check dept"))))))</f>
        <v/>
      </c>
      <c r="R29" s="10">
        <f>IF(AND($C29="",NOT(COUNTA($S29:$BB29)&gt;0),$BI29&lt;&gt;""),"",MID(IF($BI29="","; Row ID not found on the department sheet - a row was deleted","")&amp;IF(AND($C29="",COUNTA($S29:$BB29)&gt;0),"; Invoice entered but the department row has no job number","")&amp;IF(E29="CHECK","; Job number not in the Xero job list","")&amp;IF(AND($C29&lt;&gt;"",COUNTIF($C$7:$C$1506,$C29)&gt;1),"; Job number on more than one row","")&amp;IF(AND($C29&lt;&gt;"",H29=""),"; Dept has not set a cost centre","")&amp;IF(AND($C29&lt;&gt;"",J29=""),"; Dept has not set a tax code","")&amp;IF(AND($C29&lt;&gt;"",N29=""),"; Dept has not entered an expected value","")&amp;IF((IF(OR(COUNTA(S29:U29)=0,AND(COUNTA(S29:U29)=3,ISNUMBER(U29))),0,1)+IF(OR(COUNTA(V29:X29)=0,AND(COUNTA(V29:X29)=3,ISNUMBER(X29))),0,1)+IF(OR(COUNTA(Y29:AA29)=0,AND(COUNTA(Y29:AA29)=3,ISNUMBER(AA29))),0,1)+IF(OR(COUNTA(AB29:AD29)=0,AND(COUNTA(AB29:AD29)=3,ISNUMBER(AD29))),0,1)+IF(OR(COUNTA(AE29:AG29)=0,AND(COUNTA(AE29:AG29)=3,ISNUMBER(AG29))),0,1)+IF(OR(COUNTA(AH29:AJ29)=0,AND(COUNTA(AH29:AJ29)=3,ISNUMBER(AJ29))),0,1)+IF(OR(COUNTA(AK29:AM29)=0,AND(COUNTA(AK29:AM29)=3,ISNUMBER(AM29))),0,1)+IF(OR(COUNTA(AN29:AP29)=0,AND(COUNTA(AN29:AP29)=3,ISNUMBER(AP29))),0,1)+IF(OR(COUNTA(AQ29:AS29)=0,AND(COUNTA(AQ29:AS29)=3,ISNUMBER(AS29))),0,1)+IF(OR(COUNTA(AT29:AV29)=0,AND(COUNTA(AT29:AV29)=3,ISNUMBER(AV29))),0,1)+IF(OR(COUNTA(AW29:AY29)=0,AND(COUNTA(AW29:AY29)=3,ISNUMBER(AY29))),0,1)+IF(OR(COUNTA(AZ29:BB29)=0,AND(COUNTA(AZ29:BB29)=3,ISNUMBER(BB29))),0,1))&gt;0,"; An invoice is incomplete (needs No, Date and a number in Ex GST)","")&amp;IF((IF(T29="",0,IFERROR(--(EOMONTH(T29,0)&lt;&gt;S$5),1))+IF(W29="",0,IFERROR(--(EOMONTH(W29,0)&lt;&gt;V$5),1))+IF(Z29="",0,IFERROR(--(EOMONTH(Z29,0)&lt;&gt;Y$5),1))+IF(AC29="",0,IFERROR(--(EOMONTH(AC29,0)&lt;&gt;AB$5),1))+IF(AF29="",0,IFERROR(--(EOMONTH(AF29,0)&lt;&gt;AE$5),1))+IF(AI29="",0,IFERROR(--(EOMONTH(AI29,0)&lt;&gt;AH$5),1))+IF(AL29="",0,IFERROR(--(EOMONTH(AL29,0)&lt;&gt;AK$5),1))+IF(AO29="",0,IFERROR(--(EOMONTH(AO29,0)&lt;&gt;AN$5),1))+IF(AR29="",0,IFERROR(--(EOMONTH(AR29,0)&lt;&gt;AQ$5),1))+IF(AU29="",0,IFERROR(--(EOMONTH(AU29,0)&lt;&gt;AT$5),1))+IF(AX29="",0,IFERROR(--(EOMONTH(AX29,0)&lt;&gt;AW$5),1))+IF(BA29="",0,IFERROR(--(EOMONTH(BA29,0)&lt;&gt;AZ$5),1)))&gt;0,"; An invoice date is not in the month it is typed under",""),3,500))</f>
        <v/>
      </c>
      <c r="S29" s="12" t="n"/>
      <c r="T29" s="13" t="n"/>
      <c r="U29" s="14" t="n"/>
      <c r="V29" s="12" t="n"/>
      <c r="W29" s="13" t="n"/>
      <c r="X29" s="14" t="n"/>
      <c r="Y29" s="12" t="n"/>
      <c r="Z29" s="13" t="n"/>
      <c r="AA29" s="14" t="n"/>
      <c r="AB29" s="12" t="n"/>
      <c r="AC29" s="13" t="n"/>
      <c r="AD29" s="14" t="n"/>
      <c r="AE29" s="12" t="n"/>
      <c r="AF29" s="13" t="n"/>
      <c r="AG29" s="14" t="n"/>
      <c r="AH29" s="12" t="n"/>
      <c r="AI29" s="13" t="n"/>
      <c r="AJ29" s="14" t="n"/>
      <c r="AK29" s="12" t="n"/>
      <c r="AL29" s="13" t="n"/>
      <c r="AM29" s="14" t="n"/>
      <c r="AN29" s="12" t="n"/>
      <c r="AO29" s="13" t="n"/>
      <c r="AP29" s="14" t="n"/>
      <c r="AQ29" s="12" t="n"/>
      <c r="AR29" s="13" t="n"/>
      <c r="AS29" s="14" t="n"/>
      <c r="AT29" s="12" t="n"/>
      <c r="AU29" s="13" t="n"/>
      <c r="AV29" s="14" t="n"/>
      <c r="AW29" s="12" t="n"/>
      <c r="AX29" s="13" t="n"/>
      <c r="AY29" s="14" t="n"/>
      <c r="AZ29" s="12" t="n"/>
      <c r="BA29" s="13" t="n"/>
      <c r="BB29" s="14" t="n"/>
      <c r="BC29" s="11">
        <f>IF(O29="","",IF(J29="GST 10%",ROUND(O29*set_GSTRate,2),0))</f>
        <v/>
      </c>
      <c r="BD29" s="11">
        <f>IF(O29="","",O29+BC29)</f>
        <v/>
      </c>
      <c r="BE29" s="15">
        <f>IF(O29="","",COUNTA(S29,V29,Y29,AB29,AE29,AH29,AK29,AN29,AQ29,AT29,AW29,AZ29))</f>
        <v/>
      </c>
      <c r="BF29" s="16">
        <f>IF(COUNT(T29,W29,Z29,AC29,AF29,AI29,AL29,AO29,AR29,AU29,AX29,BA29)=0,"",MAX(T29,W29,Z29,AC29,AF29,AI29,AL29,AO29,AR29,AU29,AX29,BA29))</f>
        <v/>
      </c>
      <c r="BG29" s="10">
        <f>MID(IF(S29="","",", "&amp;S29)&amp;IF(V29="","",", "&amp;V29)&amp;IF(Y29="","",", "&amp;Y29)&amp;IF(AB29="","",", "&amp;AB29)&amp;IF(AE29="","",", "&amp;AE29)&amp;IF(AH29="","",", "&amp;AH29)&amp;IF(AK29="","",", "&amp;AK29)&amp;IF(AN29="","",", "&amp;AN29)&amp;IF(AQ29="","",", "&amp;AQ29)&amp;IF(AT29="","",", "&amp;AT29)&amp;IF(AW29="","",", "&amp;AW29)&amp;IF(AZ29="","",", "&amp;AZ29),3,500)</f>
        <v/>
      </c>
      <c r="BH29" s="12" t="n"/>
      <c r="BI29" s="15">
        <f>IFERROR(MATCH($A29,IF($B29="Onsite",tbl_Onsite[Row ID],IF($B29="Production",tbl_Production[Row ID],tbl_Consulting[Row ID])),0),"")</f>
        <v/>
      </c>
    </row>
    <row r="30">
      <c r="A30" s="10" t="inlineStr">
        <is>
          <t>ONS-0024</t>
        </is>
      </c>
      <c r="B30" s="10" t="inlineStr">
        <is>
          <t>Onsite</t>
        </is>
      </c>
      <c r="C30" s="10">
        <f>IF($BI30="","",IF($B30="Onsite",INDEX(tbl_Onsite[Job Number],$BI30),IF($B30="Production",INDEX(tbl_Production[Job Number],$BI30),INDEX(tbl_Consulting[Job Number],$BI30)))&amp;"")</f>
        <v/>
      </c>
      <c r="D30" s="10">
        <f>IF($BI30="","",IF($B30="Onsite",INDEX(tbl_Onsite[Client],$BI30),IF($B30="Production",INDEX(tbl_Production[Client],$BI30),INDEX(tbl_Consulting[Client],$BI30)))&amp;"")</f>
        <v/>
      </c>
      <c r="E30" s="10">
        <f>IF($C30="","",IF(COUNTIF(lst_Jobs,$C30)&gt;0,"OK","CHECK"))</f>
        <v/>
      </c>
      <c r="F30" s="10">
        <f>IF($C30="","",IFERROR(INDEX(lst_JobName,MATCH($C30,lst_Jobs,0)),""))</f>
        <v/>
      </c>
      <c r="G30" s="10">
        <f>IF($BI30="","",IF($B30="Onsite",INDEX(tbl_Onsite[Job Description],$BI30),IF($B30="Production",INDEX(tbl_Production[Job Description],$BI30),INDEX(tbl_Consulting[Job Description],$BI30)))&amp;"")</f>
        <v/>
      </c>
      <c r="H30" s="10">
        <f>IF($BI30="","",IF($B30="Onsite",INDEX(tbl_Onsite[Cost Centre],$BI30),IF($B30="Production",INDEX(tbl_Production[Cost Centre],$BI30),INDEX(tbl_Consulting[Cost Centre],$BI30)))&amp;"")</f>
        <v/>
      </c>
      <c r="I30" s="10">
        <f>IF($BI30="","",IF($B30="Onsite",INDEX(tbl_Onsite[Invoice Type],$BI30),IF($B30="Production",INDEX(tbl_Production[Invoice Type],$BI30),INDEX(tbl_Consulting[Invoice Type],$BI30)))&amp;"")</f>
        <v/>
      </c>
      <c r="J30" s="10">
        <f>IF($BI30="","",IF($B30="Onsite",INDEX(tbl_Onsite[Tax Code],$BI30),IF($B30="Production",INDEX(tbl_Production[Tax Code],$BI30),INDEX(tbl_Consulting[Tax Code],$BI30)))&amp;"")</f>
        <v/>
      </c>
      <c r="K30" s="10">
        <f>IF(H30="","",IFERROR(INDEX(lst_CCtoGL,MATCH(H30,lst_CCforGL,0)),""))</f>
        <v/>
      </c>
      <c r="L30" s="10">
        <f>IF($BI30="","",IF($B30="Onsite",INDEX(tbl_Onsite[PO / Reference],$BI30),IF($B30="Production",INDEX(tbl_Production[Current RMS No],$BI30),INDEX(tbl_Consulting[Qwilr Quote],$BI30)))&amp;"")</f>
        <v/>
      </c>
      <c r="M30" s="10">
        <f>IF($BI30="","",IF($B30="Onsite",INDEX(tbl_Onsite[Notes],$BI30),IF($B30="Production",INDEX(tbl_Production[Notes],$BI30),INDEX(tbl_Consulting[Notes],$BI30)))&amp;"")</f>
        <v/>
      </c>
      <c r="N30" s="11">
        <f>IF($BI30="","",IF(IF($B30="Onsite",INDEX(tbl_Onsite[Expected Revenue Ex GST],$BI30),IF($B30="Production",INDEX(tbl_Production[Expected Revenue Ex GST],$BI30),INDEX(tbl_Consulting[Expected Revenue Ex GST],$BI30)))="","",IF($B30="Onsite",INDEX(tbl_Onsite[Expected Revenue Ex GST],$BI30),IF($B30="Production",INDEX(tbl_Production[Expected Revenue Ex GST],$BI30),INDEX(tbl_Consulting[Expected Revenue Ex GST],$BI30)))))</f>
        <v/>
      </c>
      <c r="O30" s="11">
        <f>IF(AND($C30="",NOT(COUNTA($S30:$BB30)&gt;0)),"",SUM(U30,X30,AA30,AD30,AG30,AJ30,AM30,AP30,AS30,AV30,AY30,BB30))</f>
        <v/>
      </c>
      <c r="P30" s="11">
        <f>IF(O30="","",N(N30)-O30)</f>
        <v/>
      </c>
      <c r="Q30" s="10">
        <f>IF(O30="","",IF($C30="","Invoice on empty job row",IF(N30="",IF(ROUND(O30,2)=0,"No dept value","Invoiced - no dept value"),IF(ROUND(O30,2)=0,"Not invoiced - to invoice",IF(ROUND(P30,2)=0,"Agrees",IF(P30&gt;0,"Dept higher - to invoice","Xero higher - check dept"))))))</f>
        <v/>
      </c>
      <c r="R30" s="10">
        <f>IF(AND($C30="",NOT(COUNTA($S30:$BB30)&gt;0),$BI30&lt;&gt;""),"",MID(IF($BI30="","; Row ID not found on the department sheet - a row was deleted","")&amp;IF(AND($C30="",COUNTA($S30:$BB30)&gt;0),"; Invoice entered but the department row has no job number","")&amp;IF(E30="CHECK","; Job number not in the Xero job list","")&amp;IF(AND($C30&lt;&gt;"",COUNTIF($C$7:$C$1506,$C30)&gt;1),"; Job number on more than one row","")&amp;IF(AND($C30&lt;&gt;"",H30=""),"; Dept has not set a cost centre","")&amp;IF(AND($C30&lt;&gt;"",J30=""),"; Dept has not set a tax code","")&amp;IF(AND($C30&lt;&gt;"",N30=""),"; Dept has not entered an expected value","")&amp;IF((IF(OR(COUNTA(S30:U30)=0,AND(COUNTA(S30:U30)=3,ISNUMBER(U30))),0,1)+IF(OR(COUNTA(V30:X30)=0,AND(COUNTA(V30:X30)=3,ISNUMBER(X30))),0,1)+IF(OR(COUNTA(Y30:AA30)=0,AND(COUNTA(Y30:AA30)=3,ISNUMBER(AA30))),0,1)+IF(OR(COUNTA(AB30:AD30)=0,AND(COUNTA(AB30:AD30)=3,ISNUMBER(AD30))),0,1)+IF(OR(COUNTA(AE30:AG30)=0,AND(COUNTA(AE30:AG30)=3,ISNUMBER(AG30))),0,1)+IF(OR(COUNTA(AH30:AJ30)=0,AND(COUNTA(AH30:AJ30)=3,ISNUMBER(AJ30))),0,1)+IF(OR(COUNTA(AK30:AM30)=0,AND(COUNTA(AK30:AM30)=3,ISNUMBER(AM30))),0,1)+IF(OR(COUNTA(AN30:AP30)=0,AND(COUNTA(AN30:AP30)=3,ISNUMBER(AP30))),0,1)+IF(OR(COUNTA(AQ30:AS30)=0,AND(COUNTA(AQ30:AS30)=3,ISNUMBER(AS30))),0,1)+IF(OR(COUNTA(AT30:AV30)=0,AND(COUNTA(AT30:AV30)=3,ISNUMBER(AV30))),0,1)+IF(OR(COUNTA(AW30:AY30)=0,AND(COUNTA(AW30:AY30)=3,ISNUMBER(AY30))),0,1)+IF(OR(COUNTA(AZ30:BB30)=0,AND(COUNTA(AZ30:BB30)=3,ISNUMBER(BB30))),0,1))&gt;0,"; An invoice is incomplete (needs No, Date and a number in Ex GST)","")&amp;IF((IF(T30="",0,IFERROR(--(EOMONTH(T30,0)&lt;&gt;S$5),1))+IF(W30="",0,IFERROR(--(EOMONTH(W30,0)&lt;&gt;V$5),1))+IF(Z30="",0,IFERROR(--(EOMONTH(Z30,0)&lt;&gt;Y$5),1))+IF(AC30="",0,IFERROR(--(EOMONTH(AC30,0)&lt;&gt;AB$5),1))+IF(AF30="",0,IFERROR(--(EOMONTH(AF30,0)&lt;&gt;AE$5),1))+IF(AI30="",0,IFERROR(--(EOMONTH(AI30,0)&lt;&gt;AH$5),1))+IF(AL30="",0,IFERROR(--(EOMONTH(AL30,0)&lt;&gt;AK$5),1))+IF(AO30="",0,IFERROR(--(EOMONTH(AO30,0)&lt;&gt;AN$5),1))+IF(AR30="",0,IFERROR(--(EOMONTH(AR30,0)&lt;&gt;AQ$5),1))+IF(AU30="",0,IFERROR(--(EOMONTH(AU30,0)&lt;&gt;AT$5),1))+IF(AX30="",0,IFERROR(--(EOMONTH(AX30,0)&lt;&gt;AW$5),1))+IF(BA30="",0,IFERROR(--(EOMONTH(BA30,0)&lt;&gt;AZ$5),1)))&gt;0,"; An invoice date is not in the month it is typed under",""),3,500))</f>
        <v/>
      </c>
      <c r="S30" s="12" t="n"/>
      <c r="T30" s="13" t="n"/>
      <c r="U30" s="14" t="n"/>
      <c r="V30" s="12" t="n"/>
      <c r="W30" s="13" t="n"/>
      <c r="X30" s="14" t="n"/>
      <c r="Y30" s="12" t="n"/>
      <c r="Z30" s="13" t="n"/>
      <c r="AA30" s="14" t="n"/>
      <c r="AB30" s="12" t="n"/>
      <c r="AC30" s="13" t="n"/>
      <c r="AD30" s="14" t="n"/>
      <c r="AE30" s="12" t="n"/>
      <c r="AF30" s="13" t="n"/>
      <c r="AG30" s="14" t="n"/>
      <c r="AH30" s="12" t="n"/>
      <c r="AI30" s="13" t="n"/>
      <c r="AJ30" s="14" t="n"/>
      <c r="AK30" s="12" t="n"/>
      <c r="AL30" s="13" t="n"/>
      <c r="AM30" s="14" t="n"/>
      <c r="AN30" s="12" t="n"/>
      <c r="AO30" s="13" t="n"/>
      <c r="AP30" s="14" t="n"/>
      <c r="AQ30" s="12" t="n"/>
      <c r="AR30" s="13" t="n"/>
      <c r="AS30" s="14" t="n"/>
      <c r="AT30" s="12" t="n"/>
      <c r="AU30" s="13" t="n"/>
      <c r="AV30" s="14" t="n"/>
      <c r="AW30" s="12" t="n"/>
      <c r="AX30" s="13" t="n"/>
      <c r="AY30" s="14" t="n"/>
      <c r="AZ30" s="12" t="n"/>
      <c r="BA30" s="13" t="n"/>
      <c r="BB30" s="14" t="n"/>
      <c r="BC30" s="11">
        <f>IF(O30="","",IF(J30="GST 10%",ROUND(O30*set_GSTRate,2),0))</f>
        <v/>
      </c>
      <c r="BD30" s="11">
        <f>IF(O30="","",O30+BC30)</f>
        <v/>
      </c>
      <c r="BE30" s="15">
        <f>IF(O30="","",COUNTA(S30,V30,Y30,AB30,AE30,AH30,AK30,AN30,AQ30,AT30,AW30,AZ30))</f>
        <v/>
      </c>
      <c r="BF30" s="16">
        <f>IF(COUNT(T30,W30,Z30,AC30,AF30,AI30,AL30,AO30,AR30,AU30,AX30,BA30)=0,"",MAX(T30,W30,Z30,AC30,AF30,AI30,AL30,AO30,AR30,AU30,AX30,BA30))</f>
        <v/>
      </c>
      <c r="BG30" s="10">
        <f>MID(IF(S30="","",", "&amp;S30)&amp;IF(V30="","",", "&amp;V30)&amp;IF(Y30="","",", "&amp;Y30)&amp;IF(AB30="","",", "&amp;AB30)&amp;IF(AE30="","",", "&amp;AE30)&amp;IF(AH30="","",", "&amp;AH30)&amp;IF(AK30="","",", "&amp;AK30)&amp;IF(AN30="","",", "&amp;AN30)&amp;IF(AQ30="","",", "&amp;AQ30)&amp;IF(AT30="","",", "&amp;AT30)&amp;IF(AW30="","",", "&amp;AW30)&amp;IF(AZ30="","",", "&amp;AZ30),3,500)</f>
        <v/>
      </c>
      <c r="BH30" s="12" t="n"/>
      <c r="BI30" s="15">
        <f>IFERROR(MATCH($A30,IF($B30="Onsite",tbl_Onsite[Row ID],IF($B30="Production",tbl_Production[Row ID],tbl_Consulting[Row ID])),0),"")</f>
        <v/>
      </c>
    </row>
    <row r="31">
      <c r="A31" s="10" t="inlineStr">
        <is>
          <t>ONS-0025</t>
        </is>
      </c>
      <c r="B31" s="10" t="inlineStr">
        <is>
          <t>Onsite</t>
        </is>
      </c>
      <c r="C31" s="10">
        <f>IF($BI31="","",IF($B31="Onsite",INDEX(tbl_Onsite[Job Number],$BI31),IF($B31="Production",INDEX(tbl_Production[Job Number],$BI31),INDEX(tbl_Consulting[Job Number],$BI31)))&amp;"")</f>
        <v/>
      </c>
      <c r="D31" s="10">
        <f>IF($BI31="","",IF($B31="Onsite",INDEX(tbl_Onsite[Client],$BI31),IF($B31="Production",INDEX(tbl_Production[Client],$BI31),INDEX(tbl_Consulting[Client],$BI31)))&amp;"")</f>
        <v/>
      </c>
      <c r="E31" s="10">
        <f>IF($C31="","",IF(COUNTIF(lst_Jobs,$C31)&gt;0,"OK","CHECK"))</f>
        <v/>
      </c>
      <c r="F31" s="10">
        <f>IF($C31="","",IFERROR(INDEX(lst_JobName,MATCH($C31,lst_Jobs,0)),""))</f>
        <v/>
      </c>
      <c r="G31" s="10">
        <f>IF($BI31="","",IF($B31="Onsite",INDEX(tbl_Onsite[Job Description],$BI31),IF($B31="Production",INDEX(tbl_Production[Job Description],$BI31),INDEX(tbl_Consulting[Job Description],$BI31)))&amp;"")</f>
        <v/>
      </c>
      <c r="H31" s="10">
        <f>IF($BI31="","",IF($B31="Onsite",INDEX(tbl_Onsite[Cost Centre],$BI31),IF($B31="Production",INDEX(tbl_Production[Cost Centre],$BI31),INDEX(tbl_Consulting[Cost Centre],$BI31)))&amp;"")</f>
        <v/>
      </c>
      <c r="I31" s="10">
        <f>IF($BI31="","",IF($B31="Onsite",INDEX(tbl_Onsite[Invoice Type],$BI31),IF($B31="Production",INDEX(tbl_Production[Invoice Type],$BI31),INDEX(tbl_Consulting[Invoice Type],$BI31)))&amp;"")</f>
        <v/>
      </c>
      <c r="J31" s="10">
        <f>IF($BI31="","",IF($B31="Onsite",INDEX(tbl_Onsite[Tax Code],$BI31),IF($B31="Production",INDEX(tbl_Production[Tax Code],$BI31),INDEX(tbl_Consulting[Tax Code],$BI31)))&amp;"")</f>
        <v/>
      </c>
      <c r="K31" s="10">
        <f>IF(H31="","",IFERROR(INDEX(lst_CCtoGL,MATCH(H31,lst_CCforGL,0)),""))</f>
        <v/>
      </c>
      <c r="L31" s="10">
        <f>IF($BI31="","",IF($B31="Onsite",INDEX(tbl_Onsite[PO / Reference],$BI31),IF($B31="Production",INDEX(tbl_Production[Current RMS No],$BI31),INDEX(tbl_Consulting[Qwilr Quote],$BI31)))&amp;"")</f>
        <v/>
      </c>
      <c r="M31" s="10">
        <f>IF($BI31="","",IF($B31="Onsite",INDEX(tbl_Onsite[Notes],$BI31),IF($B31="Production",INDEX(tbl_Production[Notes],$BI31),INDEX(tbl_Consulting[Notes],$BI31)))&amp;"")</f>
        <v/>
      </c>
      <c r="N31" s="11">
        <f>IF($BI31="","",IF(IF($B31="Onsite",INDEX(tbl_Onsite[Expected Revenue Ex GST],$BI31),IF($B31="Production",INDEX(tbl_Production[Expected Revenue Ex GST],$BI31),INDEX(tbl_Consulting[Expected Revenue Ex GST],$BI31)))="","",IF($B31="Onsite",INDEX(tbl_Onsite[Expected Revenue Ex GST],$BI31),IF($B31="Production",INDEX(tbl_Production[Expected Revenue Ex GST],$BI31),INDEX(tbl_Consulting[Expected Revenue Ex GST],$BI31)))))</f>
        <v/>
      </c>
      <c r="O31" s="11">
        <f>IF(AND($C31="",NOT(COUNTA($S31:$BB31)&gt;0)),"",SUM(U31,X31,AA31,AD31,AG31,AJ31,AM31,AP31,AS31,AV31,AY31,BB31))</f>
        <v/>
      </c>
      <c r="P31" s="11">
        <f>IF(O31="","",N(N31)-O31)</f>
        <v/>
      </c>
      <c r="Q31" s="10">
        <f>IF(O31="","",IF($C31="","Invoice on empty job row",IF(N31="",IF(ROUND(O31,2)=0,"No dept value","Invoiced - no dept value"),IF(ROUND(O31,2)=0,"Not invoiced - to invoice",IF(ROUND(P31,2)=0,"Agrees",IF(P31&gt;0,"Dept higher - to invoice","Xero higher - check dept"))))))</f>
        <v/>
      </c>
      <c r="R31" s="10">
        <f>IF(AND($C31="",NOT(COUNTA($S31:$BB31)&gt;0),$BI31&lt;&gt;""),"",MID(IF($BI31="","; Row ID not found on the department sheet - a row was deleted","")&amp;IF(AND($C31="",COUNTA($S31:$BB31)&gt;0),"; Invoice entered but the department row has no job number","")&amp;IF(E31="CHECK","; Job number not in the Xero job list","")&amp;IF(AND($C31&lt;&gt;"",COUNTIF($C$7:$C$1506,$C31)&gt;1),"; Job number on more than one row","")&amp;IF(AND($C31&lt;&gt;"",H31=""),"; Dept has not set a cost centre","")&amp;IF(AND($C31&lt;&gt;"",J31=""),"; Dept has not set a tax code","")&amp;IF(AND($C31&lt;&gt;"",N31=""),"; Dept has not entered an expected value","")&amp;IF((IF(OR(COUNTA(S31:U31)=0,AND(COUNTA(S31:U31)=3,ISNUMBER(U31))),0,1)+IF(OR(COUNTA(V31:X31)=0,AND(COUNTA(V31:X31)=3,ISNUMBER(X31))),0,1)+IF(OR(COUNTA(Y31:AA31)=0,AND(COUNTA(Y31:AA31)=3,ISNUMBER(AA31))),0,1)+IF(OR(COUNTA(AB31:AD31)=0,AND(COUNTA(AB31:AD31)=3,ISNUMBER(AD31))),0,1)+IF(OR(COUNTA(AE31:AG31)=0,AND(COUNTA(AE31:AG31)=3,ISNUMBER(AG31))),0,1)+IF(OR(COUNTA(AH31:AJ31)=0,AND(COUNTA(AH31:AJ31)=3,ISNUMBER(AJ31))),0,1)+IF(OR(COUNTA(AK31:AM31)=0,AND(COUNTA(AK31:AM31)=3,ISNUMBER(AM31))),0,1)+IF(OR(COUNTA(AN31:AP31)=0,AND(COUNTA(AN31:AP31)=3,ISNUMBER(AP31))),0,1)+IF(OR(COUNTA(AQ31:AS31)=0,AND(COUNTA(AQ31:AS31)=3,ISNUMBER(AS31))),0,1)+IF(OR(COUNTA(AT31:AV31)=0,AND(COUNTA(AT31:AV31)=3,ISNUMBER(AV31))),0,1)+IF(OR(COUNTA(AW31:AY31)=0,AND(COUNTA(AW31:AY31)=3,ISNUMBER(AY31))),0,1)+IF(OR(COUNTA(AZ31:BB31)=0,AND(COUNTA(AZ31:BB31)=3,ISNUMBER(BB31))),0,1))&gt;0,"; An invoice is incomplete (needs No, Date and a number in Ex GST)","")&amp;IF((IF(T31="",0,IFERROR(--(EOMONTH(T31,0)&lt;&gt;S$5),1))+IF(W31="",0,IFERROR(--(EOMONTH(W31,0)&lt;&gt;V$5),1))+IF(Z31="",0,IFERROR(--(EOMONTH(Z31,0)&lt;&gt;Y$5),1))+IF(AC31="",0,IFERROR(--(EOMONTH(AC31,0)&lt;&gt;AB$5),1))+IF(AF31="",0,IFERROR(--(EOMONTH(AF31,0)&lt;&gt;AE$5),1))+IF(AI31="",0,IFERROR(--(EOMONTH(AI31,0)&lt;&gt;AH$5),1))+IF(AL31="",0,IFERROR(--(EOMONTH(AL31,0)&lt;&gt;AK$5),1))+IF(AO31="",0,IFERROR(--(EOMONTH(AO31,0)&lt;&gt;AN$5),1))+IF(AR31="",0,IFERROR(--(EOMONTH(AR31,0)&lt;&gt;AQ$5),1))+IF(AU31="",0,IFERROR(--(EOMONTH(AU31,0)&lt;&gt;AT$5),1))+IF(AX31="",0,IFERROR(--(EOMONTH(AX31,0)&lt;&gt;AW$5),1))+IF(BA31="",0,IFERROR(--(EOMONTH(BA31,0)&lt;&gt;AZ$5),1)))&gt;0,"; An invoice date is not in the month it is typed under",""),3,500))</f>
        <v/>
      </c>
      <c r="S31" s="12" t="n"/>
      <c r="T31" s="13" t="n"/>
      <c r="U31" s="14" t="n"/>
      <c r="V31" s="12" t="n"/>
      <c r="W31" s="13" t="n"/>
      <c r="X31" s="14" t="n"/>
      <c r="Y31" s="12" t="n"/>
      <c r="Z31" s="13" t="n"/>
      <c r="AA31" s="14" t="n"/>
      <c r="AB31" s="12" t="n"/>
      <c r="AC31" s="13" t="n"/>
      <c r="AD31" s="14" t="n"/>
      <c r="AE31" s="12" t="n"/>
      <c r="AF31" s="13" t="n"/>
      <c r="AG31" s="14" t="n"/>
      <c r="AH31" s="12" t="n"/>
      <c r="AI31" s="13" t="n"/>
      <c r="AJ31" s="14" t="n"/>
      <c r="AK31" s="12" t="n"/>
      <c r="AL31" s="13" t="n"/>
      <c r="AM31" s="14" t="n"/>
      <c r="AN31" s="12" t="n"/>
      <c r="AO31" s="13" t="n"/>
      <c r="AP31" s="14" t="n"/>
      <c r="AQ31" s="12" t="n"/>
      <c r="AR31" s="13" t="n"/>
      <c r="AS31" s="14" t="n"/>
      <c r="AT31" s="12" t="n"/>
      <c r="AU31" s="13" t="n"/>
      <c r="AV31" s="14" t="n"/>
      <c r="AW31" s="12" t="n"/>
      <c r="AX31" s="13" t="n"/>
      <c r="AY31" s="14" t="n"/>
      <c r="AZ31" s="12" t="n"/>
      <c r="BA31" s="13" t="n"/>
      <c r="BB31" s="14" t="n"/>
      <c r="BC31" s="11">
        <f>IF(O31="","",IF(J31="GST 10%",ROUND(O31*set_GSTRate,2),0))</f>
        <v/>
      </c>
      <c r="BD31" s="11">
        <f>IF(O31="","",O31+BC31)</f>
        <v/>
      </c>
      <c r="BE31" s="15">
        <f>IF(O31="","",COUNTA(S31,V31,Y31,AB31,AE31,AH31,AK31,AN31,AQ31,AT31,AW31,AZ31))</f>
        <v/>
      </c>
      <c r="BF31" s="16">
        <f>IF(COUNT(T31,W31,Z31,AC31,AF31,AI31,AL31,AO31,AR31,AU31,AX31,BA31)=0,"",MAX(T31,W31,Z31,AC31,AF31,AI31,AL31,AO31,AR31,AU31,AX31,BA31))</f>
        <v/>
      </c>
      <c r="BG31" s="10">
        <f>MID(IF(S31="","",", "&amp;S31)&amp;IF(V31="","",", "&amp;V31)&amp;IF(Y31="","",", "&amp;Y31)&amp;IF(AB31="","",", "&amp;AB31)&amp;IF(AE31="","",", "&amp;AE31)&amp;IF(AH31="","",", "&amp;AH31)&amp;IF(AK31="","",", "&amp;AK31)&amp;IF(AN31="","",", "&amp;AN31)&amp;IF(AQ31="","",", "&amp;AQ31)&amp;IF(AT31="","",", "&amp;AT31)&amp;IF(AW31="","",", "&amp;AW31)&amp;IF(AZ31="","",", "&amp;AZ31),3,500)</f>
        <v/>
      </c>
      <c r="BH31" s="12" t="n"/>
      <c r="BI31" s="15">
        <f>IFERROR(MATCH($A31,IF($B31="Onsite",tbl_Onsite[Row ID],IF($B31="Production",tbl_Production[Row ID],tbl_Consulting[Row ID])),0),"")</f>
        <v/>
      </c>
    </row>
    <row r="32">
      <c r="A32" s="10" t="inlineStr">
        <is>
          <t>ONS-0026</t>
        </is>
      </c>
      <c r="B32" s="10" t="inlineStr">
        <is>
          <t>Onsite</t>
        </is>
      </c>
      <c r="C32" s="10">
        <f>IF($BI32="","",IF($B32="Onsite",INDEX(tbl_Onsite[Job Number],$BI32),IF($B32="Production",INDEX(tbl_Production[Job Number],$BI32),INDEX(tbl_Consulting[Job Number],$BI32)))&amp;"")</f>
        <v/>
      </c>
      <c r="D32" s="10">
        <f>IF($BI32="","",IF($B32="Onsite",INDEX(tbl_Onsite[Client],$BI32),IF($B32="Production",INDEX(tbl_Production[Client],$BI32),INDEX(tbl_Consulting[Client],$BI32)))&amp;"")</f>
        <v/>
      </c>
      <c r="E32" s="10">
        <f>IF($C32="","",IF(COUNTIF(lst_Jobs,$C32)&gt;0,"OK","CHECK"))</f>
        <v/>
      </c>
      <c r="F32" s="10">
        <f>IF($C32="","",IFERROR(INDEX(lst_JobName,MATCH($C32,lst_Jobs,0)),""))</f>
        <v/>
      </c>
      <c r="G32" s="10">
        <f>IF($BI32="","",IF($B32="Onsite",INDEX(tbl_Onsite[Job Description],$BI32),IF($B32="Production",INDEX(tbl_Production[Job Description],$BI32),INDEX(tbl_Consulting[Job Description],$BI32)))&amp;"")</f>
        <v/>
      </c>
      <c r="H32" s="10">
        <f>IF($BI32="","",IF($B32="Onsite",INDEX(tbl_Onsite[Cost Centre],$BI32),IF($B32="Production",INDEX(tbl_Production[Cost Centre],$BI32),INDEX(tbl_Consulting[Cost Centre],$BI32)))&amp;"")</f>
        <v/>
      </c>
      <c r="I32" s="10">
        <f>IF($BI32="","",IF($B32="Onsite",INDEX(tbl_Onsite[Invoice Type],$BI32),IF($B32="Production",INDEX(tbl_Production[Invoice Type],$BI32),INDEX(tbl_Consulting[Invoice Type],$BI32)))&amp;"")</f>
        <v/>
      </c>
      <c r="J32" s="10">
        <f>IF($BI32="","",IF($B32="Onsite",INDEX(tbl_Onsite[Tax Code],$BI32),IF($B32="Production",INDEX(tbl_Production[Tax Code],$BI32),INDEX(tbl_Consulting[Tax Code],$BI32)))&amp;"")</f>
        <v/>
      </c>
      <c r="K32" s="10">
        <f>IF(H32="","",IFERROR(INDEX(lst_CCtoGL,MATCH(H32,lst_CCforGL,0)),""))</f>
        <v/>
      </c>
      <c r="L32" s="10">
        <f>IF($BI32="","",IF($B32="Onsite",INDEX(tbl_Onsite[PO / Reference],$BI32),IF($B32="Production",INDEX(tbl_Production[Current RMS No],$BI32),INDEX(tbl_Consulting[Qwilr Quote],$BI32)))&amp;"")</f>
        <v/>
      </c>
      <c r="M32" s="10">
        <f>IF($BI32="","",IF($B32="Onsite",INDEX(tbl_Onsite[Notes],$BI32),IF($B32="Production",INDEX(tbl_Production[Notes],$BI32),INDEX(tbl_Consulting[Notes],$BI32)))&amp;"")</f>
        <v/>
      </c>
      <c r="N32" s="11">
        <f>IF($BI32="","",IF(IF($B32="Onsite",INDEX(tbl_Onsite[Expected Revenue Ex GST],$BI32),IF($B32="Production",INDEX(tbl_Production[Expected Revenue Ex GST],$BI32),INDEX(tbl_Consulting[Expected Revenue Ex GST],$BI32)))="","",IF($B32="Onsite",INDEX(tbl_Onsite[Expected Revenue Ex GST],$BI32),IF($B32="Production",INDEX(tbl_Production[Expected Revenue Ex GST],$BI32),INDEX(tbl_Consulting[Expected Revenue Ex GST],$BI32)))))</f>
        <v/>
      </c>
      <c r="O32" s="11">
        <f>IF(AND($C32="",NOT(COUNTA($S32:$BB32)&gt;0)),"",SUM(U32,X32,AA32,AD32,AG32,AJ32,AM32,AP32,AS32,AV32,AY32,BB32))</f>
        <v/>
      </c>
      <c r="P32" s="11">
        <f>IF(O32="","",N(N32)-O32)</f>
        <v/>
      </c>
      <c r="Q32" s="10">
        <f>IF(O32="","",IF($C32="","Invoice on empty job row",IF(N32="",IF(ROUND(O32,2)=0,"No dept value","Invoiced - no dept value"),IF(ROUND(O32,2)=0,"Not invoiced - to invoice",IF(ROUND(P32,2)=0,"Agrees",IF(P32&gt;0,"Dept higher - to invoice","Xero higher - check dept"))))))</f>
        <v/>
      </c>
      <c r="R32" s="10">
        <f>IF(AND($C32="",NOT(COUNTA($S32:$BB32)&gt;0),$BI32&lt;&gt;""),"",MID(IF($BI32="","; Row ID not found on the department sheet - a row was deleted","")&amp;IF(AND($C32="",COUNTA($S32:$BB32)&gt;0),"; Invoice entered but the department row has no job number","")&amp;IF(E32="CHECK","; Job number not in the Xero job list","")&amp;IF(AND($C32&lt;&gt;"",COUNTIF($C$7:$C$1506,$C32)&gt;1),"; Job number on more than one row","")&amp;IF(AND($C32&lt;&gt;"",H32=""),"; Dept has not set a cost centre","")&amp;IF(AND($C32&lt;&gt;"",J32=""),"; Dept has not set a tax code","")&amp;IF(AND($C32&lt;&gt;"",N32=""),"; Dept has not entered an expected value","")&amp;IF((IF(OR(COUNTA(S32:U32)=0,AND(COUNTA(S32:U32)=3,ISNUMBER(U32))),0,1)+IF(OR(COUNTA(V32:X32)=0,AND(COUNTA(V32:X32)=3,ISNUMBER(X32))),0,1)+IF(OR(COUNTA(Y32:AA32)=0,AND(COUNTA(Y32:AA32)=3,ISNUMBER(AA32))),0,1)+IF(OR(COUNTA(AB32:AD32)=0,AND(COUNTA(AB32:AD32)=3,ISNUMBER(AD32))),0,1)+IF(OR(COUNTA(AE32:AG32)=0,AND(COUNTA(AE32:AG32)=3,ISNUMBER(AG32))),0,1)+IF(OR(COUNTA(AH32:AJ32)=0,AND(COUNTA(AH32:AJ32)=3,ISNUMBER(AJ32))),0,1)+IF(OR(COUNTA(AK32:AM32)=0,AND(COUNTA(AK32:AM32)=3,ISNUMBER(AM32))),0,1)+IF(OR(COUNTA(AN32:AP32)=0,AND(COUNTA(AN32:AP32)=3,ISNUMBER(AP32))),0,1)+IF(OR(COUNTA(AQ32:AS32)=0,AND(COUNTA(AQ32:AS32)=3,ISNUMBER(AS32))),0,1)+IF(OR(COUNTA(AT32:AV32)=0,AND(COUNTA(AT32:AV32)=3,ISNUMBER(AV32))),0,1)+IF(OR(COUNTA(AW32:AY32)=0,AND(COUNTA(AW32:AY32)=3,ISNUMBER(AY32))),0,1)+IF(OR(COUNTA(AZ32:BB32)=0,AND(COUNTA(AZ32:BB32)=3,ISNUMBER(BB32))),0,1))&gt;0,"; An invoice is incomplete (needs No, Date and a number in Ex GST)","")&amp;IF((IF(T32="",0,IFERROR(--(EOMONTH(T32,0)&lt;&gt;S$5),1))+IF(W32="",0,IFERROR(--(EOMONTH(W32,0)&lt;&gt;V$5),1))+IF(Z32="",0,IFERROR(--(EOMONTH(Z32,0)&lt;&gt;Y$5),1))+IF(AC32="",0,IFERROR(--(EOMONTH(AC32,0)&lt;&gt;AB$5),1))+IF(AF32="",0,IFERROR(--(EOMONTH(AF32,0)&lt;&gt;AE$5),1))+IF(AI32="",0,IFERROR(--(EOMONTH(AI32,0)&lt;&gt;AH$5),1))+IF(AL32="",0,IFERROR(--(EOMONTH(AL32,0)&lt;&gt;AK$5),1))+IF(AO32="",0,IFERROR(--(EOMONTH(AO32,0)&lt;&gt;AN$5),1))+IF(AR32="",0,IFERROR(--(EOMONTH(AR32,0)&lt;&gt;AQ$5),1))+IF(AU32="",0,IFERROR(--(EOMONTH(AU32,0)&lt;&gt;AT$5),1))+IF(AX32="",0,IFERROR(--(EOMONTH(AX32,0)&lt;&gt;AW$5),1))+IF(BA32="",0,IFERROR(--(EOMONTH(BA32,0)&lt;&gt;AZ$5),1)))&gt;0,"; An invoice date is not in the month it is typed under",""),3,500))</f>
        <v/>
      </c>
      <c r="S32" s="12" t="n"/>
      <c r="T32" s="13" t="n"/>
      <c r="U32" s="14" t="n"/>
      <c r="V32" s="12" t="n"/>
      <c r="W32" s="13" t="n"/>
      <c r="X32" s="14" t="n"/>
      <c r="Y32" s="12" t="n"/>
      <c r="Z32" s="13" t="n"/>
      <c r="AA32" s="14" t="n"/>
      <c r="AB32" s="12" t="n"/>
      <c r="AC32" s="13" t="n"/>
      <c r="AD32" s="14" t="n"/>
      <c r="AE32" s="12" t="n"/>
      <c r="AF32" s="13" t="n"/>
      <c r="AG32" s="14" t="n"/>
      <c r="AH32" s="12" t="n"/>
      <c r="AI32" s="13" t="n"/>
      <c r="AJ32" s="14" t="n"/>
      <c r="AK32" s="12" t="n"/>
      <c r="AL32" s="13" t="n"/>
      <c r="AM32" s="14" t="n"/>
      <c r="AN32" s="12" t="n"/>
      <c r="AO32" s="13" t="n"/>
      <c r="AP32" s="14" t="n"/>
      <c r="AQ32" s="12" t="n"/>
      <c r="AR32" s="13" t="n"/>
      <c r="AS32" s="14" t="n"/>
      <c r="AT32" s="12" t="n"/>
      <c r="AU32" s="13" t="n"/>
      <c r="AV32" s="14" t="n"/>
      <c r="AW32" s="12" t="n"/>
      <c r="AX32" s="13" t="n"/>
      <c r="AY32" s="14" t="n"/>
      <c r="AZ32" s="12" t="n"/>
      <c r="BA32" s="13" t="n"/>
      <c r="BB32" s="14" t="n"/>
      <c r="BC32" s="11">
        <f>IF(O32="","",IF(J32="GST 10%",ROUND(O32*set_GSTRate,2),0))</f>
        <v/>
      </c>
      <c r="BD32" s="11">
        <f>IF(O32="","",O32+BC32)</f>
        <v/>
      </c>
      <c r="BE32" s="15">
        <f>IF(O32="","",COUNTA(S32,V32,Y32,AB32,AE32,AH32,AK32,AN32,AQ32,AT32,AW32,AZ32))</f>
        <v/>
      </c>
      <c r="BF32" s="16">
        <f>IF(COUNT(T32,W32,Z32,AC32,AF32,AI32,AL32,AO32,AR32,AU32,AX32,BA32)=0,"",MAX(T32,W32,Z32,AC32,AF32,AI32,AL32,AO32,AR32,AU32,AX32,BA32))</f>
        <v/>
      </c>
      <c r="BG32" s="10">
        <f>MID(IF(S32="","",", "&amp;S32)&amp;IF(V32="","",", "&amp;V32)&amp;IF(Y32="","",", "&amp;Y32)&amp;IF(AB32="","",", "&amp;AB32)&amp;IF(AE32="","",", "&amp;AE32)&amp;IF(AH32="","",", "&amp;AH32)&amp;IF(AK32="","",", "&amp;AK32)&amp;IF(AN32="","",", "&amp;AN32)&amp;IF(AQ32="","",", "&amp;AQ32)&amp;IF(AT32="","",", "&amp;AT32)&amp;IF(AW32="","",", "&amp;AW32)&amp;IF(AZ32="","",", "&amp;AZ32),3,500)</f>
        <v/>
      </c>
      <c r="BH32" s="12" t="n"/>
      <c r="BI32" s="15">
        <f>IFERROR(MATCH($A32,IF($B32="Onsite",tbl_Onsite[Row ID],IF($B32="Production",tbl_Production[Row ID],tbl_Consulting[Row ID])),0),"")</f>
        <v/>
      </c>
    </row>
    <row r="33">
      <c r="A33" s="10" t="inlineStr">
        <is>
          <t>ONS-0027</t>
        </is>
      </c>
      <c r="B33" s="10" t="inlineStr">
        <is>
          <t>Onsite</t>
        </is>
      </c>
      <c r="C33" s="10">
        <f>IF($BI33="","",IF($B33="Onsite",INDEX(tbl_Onsite[Job Number],$BI33),IF($B33="Production",INDEX(tbl_Production[Job Number],$BI33),INDEX(tbl_Consulting[Job Number],$BI33)))&amp;"")</f>
        <v/>
      </c>
      <c r="D33" s="10">
        <f>IF($BI33="","",IF($B33="Onsite",INDEX(tbl_Onsite[Client],$BI33),IF($B33="Production",INDEX(tbl_Production[Client],$BI33),INDEX(tbl_Consulting[Client],$BI33)))&amp;"")</f>
        <v/>
      </c>
      <c r="E33" s="10">
        <f>IF($C33="","",IF(COUNTIF(lst_Jobs,$C33)&gt;0,"OK","CHECK"))</f>
        <v/>
      </c>
      <c r="F33" s="10">
        <f>IF($C33="","",IFERROR(INDEX(lst_JobName,MATCH($C33,lst_Jobs,0)),""))</f>
        <v/>
      </c>
      <c r="G33" s="10">
        <f>IF($BI33="","",IF($B33="Onsite",INDEX(tbl_Onsite[Job Description],$BI33),IF($B33="Production",INDEX(tbl_Production[Job Description],$BI33),INDEX(tbl_Consulting[Job Description],$BI33)))&amp;"")</f>
        <v/>
      </c>
      <c r="H33" s="10">
        <f>IF($BI33="","",IF($B33="Onsite",INDEX(tbl_Onsite[Cost Centre],$BI33),IF($B33="Production",INDEX(tbl_Production[Cost Centre],$BI33),INDEX(tbl_Consulting[Cost Centre],$BI33)))&amp;"")</f>
        <v/>
      </c>
      <c r="I33" s="10">
        <f>IF($BI33="","",IF($B33="Onsite",INDEX(tbl_Onsite[Invoice Type],$BI33),IF($B33="Production",INDEX(tbl_Production[Invoice Type],$BI33),INDEX(tbl_Consulting[Invoice Type],$BI33)))&amp;"")</f>
        <v/>
      </c>
      <c r="J33" s="10">
        <f>IF($BI33="","",IF($B33="Onsite",INDEX(tbl_Onsite[Tax Code],$BI33),IF($B33="Production",INDEX(tbl_Production[Tax Code],$BI33),INDEX(tbl_Consulting[Tax Code],$BI33)))&amp;"")</f>
        <v/>
      </c>
      <c r="K33" s="10">
        <f>IF(H33="","",IFERROR(INDEX(lst_CCtoGL,MATCH(H33,lst_CCforGL,0)),""))</f>
        <v/>
      </c>
      <c r="L33" s="10">
        <f>IF($BI33="","",IF($B33="Onsite",INDEX(tbl_Onsite[PO / Reference],$BI33),IF($B33="Production",INDEX(tbl_Production[Current RMS No],$BI33),INDEX(tbl_Consulting[Qwilr Quote],$BI33)))&amp;"")</f>
        <v/>
      </c>
      <c r="M33" s="10">
        <f>IF($BI33="","",IF($B33="Onsite",INDEX(tbl_Onsite[Notes],$BI33),IF($B33="Production",INDEX(tbl_Production[Notes],$BI33),INDEX(tbl_Consulting[Notes],$BI33)))&amp;"")</f>
        <v/>
      </c>
      <c r="N33" s="11">
        <f>IF($BI33="","",IF(IF($B33="Onsite",INDEX(tbl_Onsite[Expected Revenue Ex GST],$BI33),IF($B33="Production",INDEX(tbl_Production[Expected Revenue Ex GST],$BI33),INDEX(tbl_Consulting[Expected Revenue Ex GST],$BI33)))="","",IF($B33="Onsite",INDEX(tbl_Onsite[Expected Revenue Ex GST],$BI33),IF($B33="Production",INDEX(tbl_Production[Expected Revenue Ex GST],$BI33),INDEX(tbl_Consulting[Expected Revenue Ex GST],$BI33)))))</f>
        <v/>
      </c>
      <c r="O33" s="11">
        <f>IF(AND($C33="",NOT(COUNTA($S33:$BB33)&gt;0)),"",SUM(U33,X33,AA33,AD33,AG33,AJ33,AM33,AP33,AS33,AV33,AY33,BB33))</f>
        <v/>
      </c>
      <c r="P33" s="11">
        <f>IF(O33="","",N(N33)-O33)</f>
        <v/>
      </c>
      <c r="Q33" s="10">
        <f>IF(O33="","",IF($C33="","Invoice on empty job row",IF(N33="",IF(ROUND(O33,2)=0,"No dept value","Invoiced - no dept value"),IF(ROUND(O33,2)=0,"Not invoiced - to invoice",IF(ROUND(P33,2)=0,"Agrees",IF(P33&gt;0,"Dept higher - to invoice","Xero higher - check dept"))))))</f>
        <v/>
      </c>
      <c r="R33" s="10">
        <f>IF(AND($C33="",NOT(COUNTA($S33:$BB33)&gt;0),$BI33&lt;&gt;""),"",MID(IF($BI33="","; Row ID not found on the department sheet - a row was deleted","")&amp;IF(AND($C33="",COUNTA($S33:$BB33)&gt;0),"; Invoice entered but the department row has no job number","")&amp;IF(E33="CHECK","; Job number not in the Xero job list","")&amp;IF(AND($C33&lt;&gt;"",COUNTIF($C$7:$C$1506,$C33)&gt;1),"; Job number on more than one row","")&amp;IF(AND($C33&lt;&gt;"",H33=""),"; Dept has not set a cost centre","")&amp;IF(AND($C33&lt;&gt;"",J33=""),"; Dept has not set a tax code","")&amp;IF(AND($C33&lt;&gt;"",N33=""),"; Dept has not entered an expected value","")&amp;IF((IF(OR(COUNTA(S33:U33)=0,AND(COUNTA(S33:U33)=3,ISNUMBER(U33))),0,1)+IF(OR(COUNTA(V33:X33)=0,AND(COUNTA(V33:X33)=3,ISNUMBER(X33))),0,1)+IF(OR(COUNTA(Y33:AA33)=0,AND(COUNTA(Y33:AA33)=3,ISNUMBER(AA33))),0,1)+IF(OR(COUNTA(AB33:AD33)=0,AND(COUNTA(AB33:AD33)=3,ISNUMBER(AD33))),0,1)+IF(OR(COUNTA(AE33:AG33)=0,AND(COUNTA(AE33:AG33)=3,ISNUMBER(AG33))),0,1)+IF(OR(COUNTA(AH33:AJ33)=0,AND(COUNTA(AH33:AJ33)=3,ISNUMBER(AJ33))),0,1)+IF(OR(COUNTA(AK33:AM33)=0,AND(COUNTA(AK33:AM33)=3,ISNUMBER(AM33))),0,1)+IF(OR(COUNTA(AN33:AP33)=0,AND(COUNTA(AN33:AP33)=3,ISNUMBER(AP33))),0,1)+IF(OR(COUNTA(AQ33:AS33)=0,AND(COUNTA(AQ33:AS33)=3,ISNUMBER(AS33))),0,1)+IF(OR(COUNTA(AT33:AV33)=0,AND(COUNTA(AT33:AV33)=3,ISNUMBER(AV33))),0,1)+IF(OR(COUNTA(AW33:AY33)=0,AND(COUNTA(AW33:AY33)=3,ISNUMBER(AY33))),0,1)+IF(OR(COUNTA(AZ33:BB33)=0,AND(COUNTA(AZ33:BB33)=3,ISNUMBER(BB33))),0,1))&gt;0,"; An invoice is incomplete (needs No, Date and a number in Ex GST)","")&amp;IF((IF(T33="",0,IFERROR(--(EOMONTH(T33,0)&lt;&gt;S$5),1))+IF(W33="",0,IFERROR(--(EOMONTH(W33,0)&lt;&gt;V$5),1))+IF(Z33="",0,IFERROR(--(EOMONTH(Z33,0)&lt;&gt;Y$5),1))+IF(AC33="",0,IFERROR(--(EOMONTH(AC33,0)&lt;&gt;AB$5),1))+IF(AF33="",0,IFERROR(--(EOMONTH(AF33,0)&lt;&gt;AE$5),1))+IF(AI33="",0,IFERROR(--(EOMONTH(AI33,0)&lt;&gt;AH$5),1))+IF(AL33="",0,IFERROR(--(EOMONTH(AL33,0)&lt;&gt;AK$5),1))+IF(AO33="",0,IFERROR(--(EOMONTH(AO33,0)&lt;&gt;AN$5),1))+IF(AR33="",0,IFERROR(--(EOMONTH(AR33,0)&lt;&gt;AQ$5),1))+IF(AU33="",0,IFERROR(--(EOMONTH(AU33,0)&lt;&gt;AT$5),1))+IF(AX33="",0,IFERROR(--(EOMONTH(AX33,0)&lt;&gt;AW$5),1))+IF(BA33="",0,IFERROR(--(EOMONTH(BA33,0)&lt;&gt;AZ$5),1)))&gt;0,"; An invoice date is not in the month it is typed under",""),3,500))</f>
        <v/>
      </c>
      <c r="S33" s="12" t="n"/>
      <c r="T33" s="13" t="n"/>
      <c r="U33" s="14" t="n"/>
      <c r="V33" s="12" t="n"/>
      <c r="W33" s="13" t="n"/>
      <c r="X33" s="14" t="n"/>
      <c r="Y33" s="12" t="n"/>
      <c r="Z33" s="13" t="n"/>
      <c r="AA33" s="14" t="n"/>
      <c r="AB33" s="12" t="n"/>
      <c r="AC33" s="13" t="n"/>
      <c r="AD33" s="14" t="n"/>
      <c r="AE33" s="12" t="n"/>
      <c r="AF33" s="13" t="n"/>
      <c r="AG33" s="14" t="n"/>
      <c r="AH33" s="12" t="n"/>
      <c r="AI33" s="13" t="n"/>
      <c r="AJ33" s="14" t="n"/>
      <c r="AK33" s="12" t="n"/>
      <c r="AL33" s="13" t="n"/>
      <c r="AM33" s="14" t="n"/>
      <c r="AN33" s="12" t="n"/>
      <c r="AO33" s="13" t="n"/>
      <c r="AP33" s="14" t="n"/>
      <c r="AQ33" s="12" t="n"/>
      <c r="AR33" s="13" t="n"/>
      <c r="AS33" s="14" t="n"/>
      <c r="AT33" s="12" t="n"/>
      <c r="AU33" s="13" t="n"/>
      <c r="AV33" s="14" t="n"/>
      <c r="AW33" s="12" t="n"/>
      <c r="AX33" s="13" t="n"/>
      <c r="AY33" s="14" t="n"/>
      <c r="AZ33" s="12" t="n"/>
      <c r="BA33" s="13" t="n"/>
      <c r="BB33" s="14" t="n"/>
      <c r="BC33" s="11">
        <f>IF(O33="","",IF(J33="GST 10%",ROUND(O33*set_GSTRate,2),0))</f>
        <v/>
      </c>
      <c r="BD33" s="11">
        <f>IF(O33="","",O33+BC33)</f>
        <v/>
      </c>
      <c r="BE33" s="15">
        <f>IF(O33="","",COUNTA(S33,V33,Y33,AB33,AE33,AH33,AK33,AN33,AQ33,AT33,AW33,AZ33))</f>
        <v/>
      </c>
      <c r="BF33" s="16">
        <f>IF(COUNT(T33,W33,Z33,AC33,AF33,AI33,AL33,AO33,AR33,AU33,AX33,BA33)=0,"",MAX(T33,W33,Z33,AC33,AF33,AI33,AL33,AO33,AR33,AU33,AX33,BA33))</f>
        <v/>
      </c>
      <c r="BG33" s="10">
        <f>MID(IF(S33="","",", "&amp;S33)&amp;IF(V33="","",", "&amp;V33)&amp;IF(Y33="","",", "&amp;Y33)&amp;IF(AB33="","",", "&amp;AB33)&amp;IF(AE33="","",", "&amp;AE33)&amp;IF(AH33="","",", "&amp;AH33)&amp;IF(AK33="","",", "&amp;AK33)&amp;IF(AN33="","",", "&amp;AN33)&amp;IF(AQ33="","",", "&amp;AQ33)&amp;IF(AT33="","",", "&amp;AT33)&amp;IF(AW33="","",", "&amp;AW33)&amp;IF(AZ33="","",", "&amp;AZ33),3,500)</f>
        <v/>
      </c>
      <c r="BH33" s="12" t="n"/>
      <c r="BI33" s="15">
        <f>IFERROR(MATCH($A33,IF($B33="Onsite",tbl_Onsite[Row ID],IF($B33="Production",tbl_Production[Row ID],tbl_Consulting[Row ID])),0),"")</f>
        <v/>
      </c>
    </row>
    <row r="34">
      <c r="A34" s="10" t="inlineStr">
        <is>
          <t>ONS-0028</t>
        </is>
      </c>
      <c r="B34" s="10" t="inlineStr">
        <is>
          <t>Onsite</t>
        </is>
      </c>
      <c r="C34" s="10">
        <f>IF($BI34="","",IF($B34="Onsite",INDEX(tbl_Onsite[Job Number],$BI34),IF($B34="Production",INDEX(tbl_Production[Job Number],$BI34),INDEX(tbl_Consulting[Job Number],$BI34)))&amp;"")</f>
        <v/>
      </c>
      <c r="D34" s="10">
        <f>IF($BI34="","",IF($B34="Onsite",INDEX(tbl_Onsite[Client],$BI34),IF($B34="Production",INDEX(tbl_Production[Client],$BI34),INDEX(tbl_Consulting[Client],$BI34)))&amp;"")</f>
        <v/>
      </c>
      <c r="E34" s="10">
        <f>IF($C34="","",IF(COUNTIF(lst_Jobs,$C34)&gt;0,"OK","CHECK"))</f>
        <v/>
      </c>
      <c r="F34" s="10">
        <f>IF($C34="","",IFERROR(INDEX(lst_JobName,MATCH($C34,lst_Jobs,0)),""))</f>
        <v/>
      </c>
      <c r="G34" s="10">
        <f>IF($BI34="","",IF($B34="Onsite",INDEX(tbl_Onsite[Job Description],$BI34),IF($B34="Production",INDEX(tbl_Production[Job Description],$BI34),INDEX(tbl_Consulting[Job Description],$BI34)))&amp;"")</f>
        <v/>
      </c>
      <c r="H34" s="10">
        <f>IF($BI34="","",IF($B34="Onsite",INDEX(tbl_Onsite[Cost Centre],$BI34),IF($B34="Production",INDEX(tbl_Production[Cost Centre],$BI34),INDEX(tbl_Consulting[Cost Centre],$BI34)))&amp;"")</f>
        <v/>
      </c>
      <c r="I34" s="10">
        <f>IF($BI34="","",IF($B34="Onsite",INDEX(tbl_Onsite[Invoice Type],$BI34),IF($B34="Production",INDEX(tbl_Production[Invoice Type],$BI34),INDEX(tbl_Consulting[Invoice Type],$BI34)))&amp;"")</f>
        <v/>
      </c>
      <c r="J34" s="10">
        <f>IF($BI34="","",IF($B34="Onsite",INDEX(tbl_Onsite[Tax Code],$BI34),IF($B34="Production",INDEX(tbl_Production[Tax Code],$BI34),INDEX(tbl_Consulting[Tax Code],$BI34)))&amp;"")</f>
        <v/>
      </c>
      <c r="K34" s="10">
        <f>IF(H34="","",IFERROR(INDEX(lst_CCtoGL,MATCH(H34,lst_CCforGL,0)),""))</f>
        <v/>
      </c>
      <c r="L34" s="10">
        <f>IF($BI34="","",IF($B34="Onsite",INDEX(tbl_Onsite[PO / Reference],$BI34),IF($B34="Production",INDEX(tbl_Production[Current RMS No],$BI34),INDEX(tbl_Consulting[Qwilr Quote],$BI34)))&amp;"")</f>
        <v/>
      </c>
      <c r="M34" s="10">
        <f>IF($BI34="","",IF($B34="Onsite",INDEX(tbl_Onsite[Notes],$BI34),IF($B34="Production",INDEX(tbl_Production[Notes],$BI34),INDEX(tbl_Consulting[Notes],$BI34)))&amp;"")</f>
        <v/>
      </c>
      <c r="N34" s="11">
        <f>IF($BI34="","",IF(IF($B34="Onsite",INDEX(tbl_Onsite[Expected Revenue Ex GST],$BI34),IF($B34="Production",INDEX(tbl_Production[Expected Revenue Ex GST],$BI34),INDEX(tbl_Consulting[Expected Revenue Ex GST],$BI34)))="","",IF($B34="Onsite",INDEX(tbl_Onsite[Expected Revenue Ex GST],$BI34),IF($B34="Production",INDEX(tbl_Production[Expected Revenue Ex GST],$BI34),INDEX(tbl_Consulting[Expected Revenue Ex GST],$BI34)))))</f>
        <v/>
      </c>
      <c r="O34" s="11">
        <f>IF(AND($C34="",NOT(COUNTA($S34:$BB34)&gt;0)),"",SUM(U34,X34,AA34,AD34,AG34,AJ34,AM34,AP34,AS34,AV34,AY34,BB34))</f>
        <v/>
      </c>
      <c r="P34" s="11">
        <f>IF(O34="","",N(N34)-O34)</f>
        <v/>
      </c>
      <c r="Q34" s="10">
        <f>IF(O34="","",IF($C34="","Invoice on empty job row",IF(N34="",IF(ROUND(O34,2)=0,"No dept value","Invoiced - no dept value"),IF(ROUND(O34,2)=0,"Not invoiced - to invoice",IF(ROUND(P34,2)=0,"Agrees",IF(P34&gt;0,"Dept higher - to invoice","Xero higher - check dept"))))))</f>
        <v/>
      </c>
      <c r="R34" s="10">
        <f>IF(AND($C34="",NOT(COUNTA($S34:$BB34)&gt;0),$BI34&lt;&gt;""),"",MID(IF($BI34="","; Row ID not found on the department sheet - a row was deleted","")&amp;IF(AND($C34="",COUNTA($S34:$BB34)&gt;0),"; Invoice entered but the department row has no job number","")&amp;IF(E34="CHECK","; Job number not in the Xero job list","")&amp;IF(AND($C34&lt;&gt;"",COUNTIF($C$7:$C$1506,$C34)&gt;1),"; Job number on more than one row","")&amp;IF(AND($C34&lt;&gt;"",H34=""),"; Dept has not set a cost centre","")&amp;IF(AND($C34&lt;&gt;"",J34=""),"; Dept has not set a tax code","")&amp;IF(AND($C34&lt;&gt;"",N34=""),"; Dept has not entered an expected value","")&amp;IF((IF(OR(COUNTA(S34:U34)=0,AND(COUNTA(S34:U34)=3,ISNUMBER(U34))),0,1)+IF(OR(COUNTA(V34:X34)=0,AND(COUNTA(V34:X34)=3,ISNUMBER(X34))),0,1)+IF(OR(COUNTA(Y34:AA34)=0,AND(COUNTA(Y34:AA34)=3,ISNUMBER(AA34))),0,1)+IF(OR(COUNTA(AB34:AD34)=0,AND(COUNTA(AB34:AD34)=3,ISNUMBER(AD34))),0,1)+IF(OR(COUNTA(AE34:AG34)=0,AND(COUNTA(AE34:AG34)=3,ISNUMBER(AG34))),0,1)+IF(OR(COUNTA(AH34:AJ34)=0,AND(COUNTA(AH34:AJ34)=3,ISNUMBER(AJ34))),0,1)+IF(OR(COUNTA(AK34:AM34)=0,AND(COUNTA(AK34:AM34)=3,ISNUMBER(AM34))),0,1)+IF(OR(COUNTA(AN34:AP34)=0,AND(COUNTA(AN34:AP34)=3,ISNUMBER(AP34))),0,1)+IF(OR(COUNTA(AQ34:AS34)=0,AND(COUNTA(AQ34:AS34)=3,ISNUMBER(AS34))),0,1)+IF(OR(COUNTA(AT34:AV34)=0,AND(COUNTA(AT34:AV34)=3,ISNUMBER(AV34))),0,1)+IF(OR(COUNTA(AW34:AY34)=0,AND(COUNTA(AW34:AY34)=3,ISNUMBER(AY34))),0,1)+IF(OR(COUNTA(AZ34:BB34)=0,AND(COUNTA(AZ34:BB34)=3,ISNUMBER(BB34))),0,1))&gt;0,"; An invoice is incomplete (needs No, Date and a number in Ex GST)","")&amp;IF((IF(T34="",0,IFERROR(--(EOMONTH(T34,0)&lt;&gt;S$5),1))+IF(W34="",0,IFERROR(--(EOMONTH(W34,0)&lt;&gt;V$5),1))+IF(Z34="",0,IFERROR(--(EOMONTH(Z34,0)&lt;&gt;Y$5),1))+IF(AC34="",0,IFERROR(--(EOMONTH(AC34,0)&lt;&gt;AB$5),1))+IF(AF34="",0,IFERROR(--(EOMONTH(AF34,0)&lt;&gt;AE$5),1))+IF(AI34="",0,IFERROR(--(EOMONTH(AI34,0)&lt;&gt;AH$5),1))+IF(AL34="",0,IFERROR(--(EOMONTH(AL34,0)&lt;&gt;AK$5),1))+IF(AO34="",0,IFERROR(--(EOMONTH(AO34,0)&lt;&gt;AN$5),1))+IF(AR34="",0,IFERROR(--(EOMONTH(AR34,0)&lt;&gt;AQ$5),1))+IF(AU34="",0,IFERROR(--(EOMONTH(AU34,0)&lt;&gt;AT$5),1))+IF(AX34="",0,IFERROR(--(EOMONTH(AX34,0)&lt;&gt;AW$5),1))+IF(BA34="",0,IFERROR(--(EOMONTH(BA34,0)&lt;&gt;AZ$5),1)))&gt;0,"; An invoice date is not in the month it is typed under",""),3,500))</f>
        <v/>
      </c>
      <c r="S34" s="12" t="n"/>
      <c r="T34" s="13" t="n"/>
      <c r="U34" s="14" t="n"/>
      <c r="V34" s="12" t="n"/>
      <c r="W34" s="13" t="n"/>
      <c r="X34" s="14" t="n"/>
      <c r="Y34" s="12" t="n"/>
      <c r="Z34" s="13" t="n"/>
      <c r="AA34" s="14" t="n"/>
      <c r="AB34" s="12" t="n"/>
      <c r="AC34" s="13" t="n"/>
      <c r="AD34" s="14" t="n"/>
      <c r="AE34" s="12" t="n"/>
      <c r="AF34" s="13" t="n"/>
      <c r="AG34" s="14" t="n"/>
      <c r="AH34" s="12" t="n"/>
      <c r="AI34" s="13" t="n"/>
      <c r="AJ34" s="14" t="n"/>
      <c r="AK34" s="12" t="n"/>
      <c r="AL34" s="13" t="n"/>
      <c r="AM34" s="14" t="n"/>
      <c r="AN34" s="12" t="n"/>
      <c r="AO34" s="13" t="n"/>
      <c r="AP34" s="14" t="n"/>
      <c r="AQ34" s="12" t="n"/>
      <c r="AR34" s="13" t="n"/>
      <c r="AS34" s="14" t="n"/>
      <c r="AT34" s="12" t="n"/>
      <c r="AU34" s="13" t="n"/>
      <c r="AV34" s="14" t="n"/>
      <c r="AW34" s="12" t="n"/>
      <c r="AX34" s="13" t="n"/>
      <c r="AY34" s="14" t="n"/>
      <c r="AZ34" s="12" t="n"/>
      <c r="BA34" s="13" t="n"/>
      <c r="BB34" s="14" t="n"/>
      <c r="BC34" s="11">
        <f>IF(O34="","",IF(J34="GST 10%",ROUND(O34*set_GSTRate,2),0))</f>
        <v/>
      </c>
      <c r="BD34" s="11">
        <f>IF(O34="","",O34+BC34)</f>
        <v/>
      </c>
      <c r="BE34" s="15">
        <f>IF(O34="","",COUNTA(S34,V34,Y34,AB34,AE34,AH34,AK34,AN34,AQ34,AT34,AW34,AZ34))</f>
        <v/>
      </c>
      <c r="BF34" s="16">
        <f>IF(COUNT(T34,W34,Z34,AC34,AF34,AI34,AL34,AO34,AR34,AU34,AX34,BA34)=0,"",MAX(T34,W34,Z34,AC34,AF34,AI34,AL34,AO34,AR34,AU34,AX34,BA34))</f>
        <v/>
      </c>
      <c r="BG34" s="10">
        <f>MID(IF(S34="","",", "&amp;S34)&amp;IF(V34="","",", "&amp;V34)&amp;IF(Y34="","",", "&amp;Y34)&amp;IF(AB34="","",", "&amp;AB34)&amp;IF(AE34="","",", "&amp;AE34)&amp;IF(AH34="","",", "&amp;AH34)&amp;IF(AK34="","",", "&amp;AK34)&amp;IF(AN34="","",", "&amp;AN34)&amp;IF(AQ34="","",", "&amp;AQ34)&amp;IF(AT34="","",", "&amp;AT34)&amp;IF(AW34="","",", "&amp;AW34)&amp;IF(AZ34="","",", "&amp;AZ34),3,500)</f>
        <v/>
      </c>
      <c r="BH34" s="12" t="n"/>
      <c r="BI34" s="15">
        <f>IFERROR(MATCH($A34,IF($B34="Onsite",tbl_Onsite[Row ID],IF($B34="Production",tbl_Production[Row ID],tbl_Consulting[Row ID])),0),"")</f>
        <v/>
      </c>
    </row>
    <row r="35">
      <c r="A35" s="10" t="inlineStr">
        <is>
          <t>ONS-0029</t>
        </is>
      </c>
      <c r="B35" s="10" t="inlineStr">
        <is>
          <t>Onsite</t>
        </is>
      </c>
      <c r="C35" s="10">
        <f>IF($BI35="","",IF($B35="Onsite",INDEX(tbl_Onsite[Job Number],$BI35),IF($B35="Production",INDEX(tbl_Production[Job Number],$BI35),INDEX(tbl_Consulting[Job Number],$BI35)))&amp;"")</f>
        <v/>
      </c>
      <c r="D35" s="10">
        <f>IF($BI35="","",IF($B35="Onsite",INDEX(tbl_Onsite[Client],$BI35),IF($B35="Production",INDEX(tbl_Production[Client],$BI35),INDEX(tbl_Consulting[Client],$BI35)))&amp;"")</f>
        <v/>
      </c>
      <c r="E35" s="10">
        <f>IF($C35="","",IF(COUNTIF(lst_Jobs,$C35)&gt;0,"OK","CHECK"))</f>
        <v/>
      </c>
      <c r="F35" s="10">
        <f>IF($C35="","",IFERROR(INDEX(lst_JobName,MATCH($C35,lst_Jobs,0)),""))</f>
        <v/>
      </c>
      <c r="G35" s="10">
        <f>IF($BI35="","",IF($B35="Onsite",INDEX(tbl_Onsite[Job Description],$BI35),IF($B35="Production",INDEX(tbl_Production[Job Description],$BI35),INDEX(tbl_Consulting[Job Description],$BI35)))&amp;"")</f>
        <v/>
      </c>
      <c r="H35" s="10">
        <f>IF($BI35="","",IF($B35="Onsite",INDEX(tbl_Onsite[Cost Centre],$BI35),IF($B35="Production",INDEX(tbl_Production[Cost Centre],$BI35),INDEX(tbl_Consulting[Cost Centre],$BI35)))&amp;"")</f>
        <v/>
      </c>
      <c r="I35" s="10">
        <f>IF($BI35="","",IF($B35="Onsite",INDEX(tbl_Onsite[Invoice Type],$BI35),IF($B35="Production",INDEX(tbl_Production[Invoice Type],$BI35),INDEX(tbl_Consulting[Invoice Type],$BI35)))&amp;"")</f>
        <v/>
      </c>
      <c r="J35" s="10">
        <f>IF($BI35="","",IF($B35="Onsite",INDEX(tbl_Onsite[Tax Code],$BI35),IF($B35="Production",INDEX(tbl_Production[Tax Code],$BI35),INDEX(tbl_Consulting[Tax Code],$BI35)))&amp;"")</f>
        <v/>
      </c>
      <c r="K35" s="10">
        <f>IF(H35="","",IFERROR(INDEX(lst_CCtoGL,MATCH(H35,lst_CCforGL,0)),""))</f>
        <v/>
      </c>
      <c r="L35" s="10">
        <f>IF($BI35="","",IF($B35="Onsite",INDEX(tbl_Onsite[PO / Reference],$BI35),IF($B35="Production",INDEX(tbl_Production[Current RMS No],$BI35),INDEX(tbl_Consulting[Qwilr Quote],$BI35)))&amp;"")</f>
        <v/>
      </c>
      <c r="M35" s="10">
        <f>IF($BI35="","",IF($B35="Onsite",INDEX(tbl_Onsite[Notes],$BI35),IF($B35="Production",INDEX(tbl_Production[Notes],$BI35),INDEX(tbl_Consulting[Notes],$BI35)))&amp;"")</f>
        <v/>
      </c>
      <c r="N35" s="11">
        <f>IF($BI35="","",IF(IF($B35="Onsite",INDEX(tbl_Onsite[Expected Revenue Ex GST],$BI35),IF($B35="Production",INDEX(tbl_Production[Expected Revenue Ex GST],$BI35),INDEX(tbl_Consulting[Expected Revenue Ex GST],$BI35)))="","",IF($B35="Onsite",INDEX(tbl_Onsite[Expected Revenue Ex GST],$BI35),IF($B35="Production",INDEX(tbl_Production[Expected Revenue Ex GST],$BI35),INDEX(tbl_Consulting[Expected Revenue Ex GST],$BI35)))))</f>
        <v/>
      </c>
      <c r="O35" s="11">
        <f>IF(AND($C35="",NOT(COUNTA($S35:$BB35)&gt;0)),"",SUM(U35,X35,AA35,AD35,AG35,AJ35,AM35,AP35,AS35,AV35,AY35,BB35))</f>
        <v/>
      </c>
      <c r="P35" s="11">
        <f>IF(O35="","",N(N35)-O35)</f>
        <v/>
      </c>
      <c r="Q35" s="10">
        <f>IF(O35="","",IF($C35="","Invoice on empty job row",IF(N35="",IF(ROUND(O35,2)=0,"No dept value","Invoiced - no dept value"),IF(ROUND(O35,2)=0,"Not invoiced - to invoice",IF(ROUND(P35,2)=0,"Agrees",IF(P35&gt;0,"Dept higher - to invoice","Xero higher - check dept"))))))</f>
        <v/>
      </c>
      <c r="R35" s="10">
        <f>IF(AND($C35="",NOT(COUNTA($S35:$BB35)&gt;0),$BI35&lt;&gt;""),"",MID(IF($BI35="","; Row ID not found on the department sheet - a row was deleted","")&amp;IF(AND($C35="",COUNTA($S35:$BB35)&gt;0),"; Invoice entered but the department row has no job number","")&amp;IF(E35="CHECK","; Job number not in the Xero job list","")&amp;IF(AND($C35&lt;&gt;"",COUNTIF($C$7:$C$1506,$C35)&gt;1),"; Job number on more than one row","")&amp;IF(AND($C35&lt;&gt;"",H35=""),"; Dept has not set a cost centre","")&amp;IF(AND($C35&lt;&gt;"",J35=""),"; Dept has not set a tax code","")&amp;IF(AND($C35&lt;&gt;"",N35=""),"; Dept has not entered an expected value","")&amp;IF((IF(OR(COUNTA(S35:U35)=0,AND(COUNTA(S35:U35)=3,ISNUMBER(U35))),0,1)+IF(OR(COUNTA(V35:X35)=0,AND(COUNTA(V35:X35)=3,ISNUMBER(X35))),0,1)+IF(OR(COUNTA(Y35:AA35)=0,AND(COUNTA(Y35:AA35)=3,ISNUMBER(AA35))),0,1)+IF(OR(COUNTA(AB35:AD35)=0,AND(COUNTA(AB35:AD35)=3,ISNUMBER(AD35))),0,1)+IF(OR(COUNTA(AE35:AG35)=0,AND(COUNTA(AE35:AG35)=3,ISNUMBER(AG35))),0,1)+IF(OR(COUNTA(AH35:AJ35)=0,AND(COUNTA(AH35:AJ35)=3,ISNUMBER(AJ35))),0,1)+IF(OR(COUNTA(AK35:AM35)=0,AND(COUNTA(AK35:AM35)=3,ISNUMBER(AM35))),0,1)+IF(OR(COUNTA(AN35:AP35)=0,AND(COUNTA(AN35:AP35)=3,ISNUMBER(AP35))),0,1)+IF(OR(COUNTA(AQ35:AS35)=0,AND(COUNTA(AQ35:AS35)=3,ISNUMBER(AS35))),0,1)+IF(OR(COUNTA(AT35:AV35)=0,AND(COUNTA(AT35:AV35)=3,ISNUMBER(AV35))),0,1)+IF(OR(COUNTA(AW35:AY35)=0,AND(COUNTA(AW35:AY35)=3,ISNUMBER(AY35))),0,1)+IF(OR(COUNTA(AZ35:BB35)=0,AND(COUNTA(AZ35:BB35)=3,ISNUMBER(BB35))),0,1))&gt;0,"; An invoice is incomplete (needs No, Date and a number in Ex GST)","")&amp;IF((IF(T35="",0,IFERROR(--(EOMONTH(T35,0)&lt;&gt;S$5),1))+IF(W35="",0,IFERROR(--(EOMONTH(W35,0)&lt;&gt;V$5),1))+IF(Z35="",0,IFERROR(--(EOMONTH(Z35,0)&lt;&gt;Y$5),1))+IF(AC35="",0,IFERROR(--(EOMONTH(AC35,0)&lt;&gt;AB$5),1))+IF(AF35="",0,IFERROR(--(EOMONTH(AF35,0)&lt;&gt;AE$5),1))+IF(AI35="",0,IFERROR(--(EOMONTH(AI35,0)&lt;&gt;AH$5),1))+IF(AL35="",0,IFERROR(--(EOMONTH(AL35,0)&lt;&gt;AK$5),1))+IF(AO35="",0,IFERROR(--(EOMONTH(AO35,0)&lt;&gt;AN$5),1))+IF(AR35="",0,IFERROR(--(EOMONTH(AR35,0)&lt;&gt;AQ$5),1))+IF(AU35="",0,IFERROR(--(EOMONTH(AU35,0)&lt;&gt;AT$5),1))+IF(AX35="",0,IFERROR(--(EOMONTH(AX35,0)&lt;&gt;AW$5),1))+IF(BA35="",0,IFERROR(--(EOMONTH(BA35,0)&lt;&gt;AZ$5),1)))&gt;0,"; An invoice date is not in the month it is typed under",""),3,500))</f>
        <v/>
      </c>
      <c r="S35" s="12" t="n"/>
      <c r="T35" s="13" t="n"/>
      <c r="U35" s="14" t="n"/>
      <c r="V35" s="12" t="n"/>
      <c r="W35" s="13" t="n"/>
      <c r="X35" s="14" t="n"/>
      <c r="Y35" s="12" t="n"/>
      <c r="Z35" s="13" t="n"/>
      <c r="AA35" s="14" t="n"/>
      <c r="AB35" s="12" t="n"/>
      <c r="AC35" s="13" t="n"/>
      <c r="AD35" s="14" t="n"/>
      <c r="AE35" s="12" t="n"/>
      <c r="AF35" s="13" t="n"/>
      <c r="AG35" s="14" t="n"/>
      <c r="AH35" s="12" t="n"/>
      <c r="AI35" s="13" t="n"/>
      <c r="AJ35" s="14" t="n"/>
      <c r="AK35" s="12" t="n"/>
      <c r="AL35" s="13" t="n"/>
      <c r="AM35" s="14" t="n"/>
      <c r="AN35" s="12" t="n"/>
      <c r="AO35" s="13" t="n"/>
      <c r="AP35" s="14" t="n"/>
      <c r="AQ35" s="12" t="n"/>
      <c r="AR35" s="13" t="n"/>
      <c r="AS35" s="14" t="n"/>
      <c r="AT35" s="12" t="n"/>
      <c r="AU35" s="13" t="n"/>
      <c r="AV35" s="14" t="n"/>
      <c r="AW35" s="12" t="n"/>
      <c r="AX35" s="13" t="n"/>
      <c r="AY35" s="14" t="n"/>
      <c r="AZ35" s="12" t="n"/>
      <c r="BA35" s="13" t="n"/>
      <c r="BB35" s="14" t="n"/>
      <c r="BC35" s="11">
        <f>IF(O35="","",IF(J35="GST 10%",ROUND(O35*set_GSTRate,2),0))</f>
        <v/>
      </c>
      <c r="BD35" s="11">
        <f>IF(O35="","",O35+BC35)</f>
        <v/>
      </c>
      <c r="BE35" s="15">
        <f>IF(O35="","",COUNTA(S35,V35,Y35,AB35,AE35,AH35,AK35,AN35,AQ35,AT35,AW35,AZ35))</f>
        <v/>
      </c>
      <c r="BF35" s="16">
        <f>IF(COUNT(T35,W35,Z35,AC35,AF35,AI35,AL35,AO35,AR35,AU35,AX35,BA35)=0,"",MAX(T35,W35,Z35,AC35,AF35,AI35,AL35,AO35,AR35,AU35,AX35,BA35))</f>
        <v/>
      </c>
      <c r="BG35" s="10">
        <f>MID(IF(S35="","",", "&amp;S35)&amp;IF(V35="","",", "&amp;V35)&amp;IF(Y35="","",", "&amp;Y35)&amp;IF(AB35="","",", "&amp;AB35)&amp;IF(AE35="","",", "&amp;AE35)&amp;IF(AH35="","",", "&amp;AH35)&amp;IF(AK35="","",", "&amp;AK35)&amp;IF(AN35="","",", "&amp;AN35)&amp;IF(AQ35="","",", "&amp;AQ35)&amp;IF(AT35="","",", "&amp;AT35)&amp;IF(AW35="","",", "&amp;AW35)&amp;IF(AZ35="","",", "&amp;AZ35),3,500)</f>
        <v/>
      </c>
      <c r="BH35" s="12" t="n"/>
      <c r="BI35" s="15">
        <f>IFERROR(MATCH($A35,IF($B35="Onsite",tbl_Onsite[Row ID],IF($B35="Production",tbl_Production[Row ID],tbl_Consulting[Row ID])),0),"")</f>
        <v/>
      </c>
    </row>
    <row r="36">
      <c r="A36" s="10" t="inlineStr">
        <is>
          <t>ONS-0030</t>
        </is>
      </c>
      <c r="B36" s="10" t="inlineStr">
        <is>
          <t>Onsite</t>
        </is>
      </c>
      <c r="C36" s="10">
        <f>IF($BI36="","",IF($B36="Onsite",INDEX(tbl_Onsite[Job Number],$BI36),IF($B36="Production",INDEX(tbl_Production[Job Number],$BI36),INDEX(tbl_Consulting[Job Number],$BI36)))&amp;"")</f>
        <v/>
      </c>
      <c r="D36" s="10">
        <f>IF($BI36="","",IF($B36="Onsite",INDEX(tbl_Onsite[Client],$BI36),IF($B36="Production",INDEX(tbl_Production[Client],$BI36),INDEX(tbl_Consulting[Client],$BI36)))&amp;"")</f>
        <v/>
      </c>
      <c r="E36" s="10">
        <f>IF($C36="","",IF(COUNTIF(lst_Jobs,$C36)&gt;0,"OK","CHECK"))</f>
        <v/>
      </c>
      <c r="F36" s="10">
        <f>IF($C36="","",IFERROR(INDEX(lst_JobName,MATCH($C36,lst_Jobs,0)),""))</f>
        <v/>
      </c>
      <c r="G36" s="10">
        <f>IF($BI36="","",IF($B36="Onsite",INDEX(tbl_Onsite[Job Description],$BI36),IF($B36="Production",INDEX(tbl_Production[Job Description],$BI36),INDEX(tbl_Consulting[Job Description],$BI36)))&amp;"")</f>
        <v/>
      </c>
      <c r="H36" s="10">
        <f>IF($BI36="","",IF($B36="Onsite",INDEX(tbl_Onsite[Cost Centre],$BI36),IF($B36="Production",INDEX(tbl_Production[Cost Centre],$BI36),INDEX(tbl_Consulting[Cost Centre],$BI36)))&amp;"")</f>
        <v/>
      </c>
      <c r="I36" s="10">
        <f>IF($BI36="","",IF($B36="Onsite",INDEX(tbl_Onsite[Invoice Type],$BI36),IF($B36="Production",INDEX(tbl_Production[Invoice Type],$BI36),INDEX(tbl_Consulting[Invoice Type],$BI36)))&amp;"")</f>
        <v/>
      </c>
      <c r="J36" s="10">
        <f>IF($BI36="","",IF($B36="Onsite",INDEX(tbl_Onsite[Tax Code],$BI36),IF($B36="Production",INDEX(tbl_Production[Tax Code],$BI36),INDEX(tbl_Consulting[Tax Code],$BI36)))&amp;"")</f>
        <v/>
      </c>
      <c r="K36" s="10">
        <f>IF(H36="","",IFERROR(INDEX(lst_CCtoGL,MATCH(H36,lst_CCforGL,0)),""))</f>
        <v/>
      </c>
      <c r="L36" s="10">
        <f>IF($BI36="","",IF($B36="Onsite",INDEX(tbl_Onsite[PO / Reference],$BI36),IF($B36="Production",INDEX(tbl_Production[Current RMS No],$BI36),INDEX(tbl_Consulting[Qwilr Quote],$BI36)))&amp;"")</f>
        <v/>
      </c>
      <c r="M36" s="10">
        <f>IF($BI36="","",IF($B36="Onsite",INDEX(tbl_Onsite[Notes],$BI36),IF($B36="Production",INDEX(tbl_Production[Notes],$BI36),INDEX(tbl_Consulting[Notes],$BI36)))&amp;"")</f>
        <v/>
      </c>
      <c r="N36" s="11">
        <f>IF($BI36="","",IF(IF($B36="Onsite",INDEX(tbl_Onsite[Expected Revenue Ex GST],$BI36),IF($B36="Production",INDEX(tbl_Production[Expected Revenue Ex GST],$BI36),INDEX(tbl_Consulting[Expected Revenue Ex GST],$BI36)))="","",IF($B36="Onsite",INDEX(tbl_Onsite[Expected Revenue Ex GST],$BI36),IF($B36="Production",INDEX(tbl_Production[Expected Revenue Ex GST],$BI36),INDEX(tbl_Consulting[Expected Revenue Ex GST],$BI36)))))</f>
        <v/>
      </c>
      <c r="O36" s="11">
        <f>IF(AND($C36="",NOT(COUNTA($S36:$BB36)&gt;0)),"",SUM(U36,X36,AA36,AD36,AG36,AJ36,AM36,AP36,AS36,AV36,AY36,BB36))</f>
        <v/>
      </c>
      <c r="P36" s="11">
        <f>IF(O36="","",N(N36)-O36)</f>
        <v/>
      </c>
      <c r="Q36" s="10">
        <f>IF(O36="","",IF($C36="","Invoice on empty job row",IF(N36="",IF(ROUND(O36,2)=0,"No dept value","Invoiced - no dept value"),IF(ROUND(O36,2)=0,"Not invoiced - to invoice",IF(ROUND(P36,2)=0,"Agrees",IF(P36&gt;0,"Dept higher - to invoice","Xero higher - check dept"))))))</f>
        <v/>
      </c>
      <c r="R36" s="10">
        <f>IF(AND($C36="",NOT(COUNTA($S36:$BB36)&gt;0),$BI36&lt;&gt;""),"",MID(IF($BI36="","; Row ID not found on the department sheet - a row was deleted","")&amp;IF(AND($C36="",COUNTA($S36:$BB36)&gt;0),"; Invoice entered but the department row has no job number","")&amp;IF(E36="CHECK","; Job number not in the Xero job list","")&amp;IF(AND($C36&lt;&gt;"",COUNTIF($C$7:$C$1506,$C36)&gt;1),"; Job number on more than one row","")&amp;IF(AND($C36&lt;&gt;"",H36=""),"; Dept has not set a cost centre","")&amp;IF(AND($C36&lt;&gt;"",J36=""),"; Dept has not set a tax code","")&amp;IF(AND($C36&lt;&gt;"",N36=""),"; Dept has not entered an expected value","")&amp;IF((IF(OR(COUNTA(S36:U36)=0,AND(COUNTA(S36:U36)=3,ISNUMBER(U36))),0,1)+IF(OR(COUNTA(V36:X36)=0,AND(COUNTA(V36:X36)=3,ISNUMBER(X36))),0,1)+IF(OR(COUNTA(Y36:AA36)=0,AND(COUNTA(Y36:AA36)=3,ISNUMBER(AA36))),0,1)+IF(OR(COUNTA(AB36:AD36)=0,AND(COUNTA(AB36:AD36)=3,ISNUMBER(AD36))),0,1)+IF(OR(COUNTA(AE36:AG36)=0,AND(COUNTA(AE36:AG36)=3,ISNUMBER(AG36))),0,1)+IF(OR(COUNTA(AH36:AJ36)=0,AND(COUNTA(AH36:AJ36)=3,ISNUMBER(AJ36))),0,1)+IF(OR(COUNTA(AK36:AM36)=0,AND(COUNTA(AK36:AM36)=3,ISNUMBER(AM36))),0,1)+IF(OR(COUNTA(AN36:AP36)=0,AND(COUNTA(AN36:AP36)=3,ISNUMBER(AP36))),0,1)+IF(OR(COUNTA(AQ36:AS36)=0,AND(COUNTA(AQ36:AS36)=3,ISNUMBER(AS36))),0,1)+IF(OR(COUNTA(AT36:AV36)=0,AND(COUNTA(AT36:AV36)=3,ISNUMBER(AV36))),0,1)+IF(OR(COUNTA(AW36:AY36)=0,AND(COUNTA(AW36:AY36)=3,ISNUMBER(AY36))),0,1)+IF(OR(COUNTA(AZ36:BB36)=0,AND(COUNTA(AZ36:BB36)=3,ISNUMBER(BB36))),0,1))&gt;0,"; An invoice is incomplete (needs No, Date and a number in Ex GST)","")&amp;IF((IF(T36="",0,IFERROR(--(EOMONTH(T36,0)&lt;&gt;S$5),1))+IF(W36="",0,IFERROR(--(EOMONTH(W36,0)&lt;&gt;V$5),1))+IF(Z36="",0,IFERROR(--(EOMONTH(Z36,0)&lt;&gt;Y$5),1))+IF(AC36="",0,IFERROR(--(EOMONTH(AC36,0)&lt;&gt;AB$5),1))+IF(AF36="",0,IFERROR(--(EOMONTH(AF36,0)&lt;&gt;AE$5),1))+IF(AI36="",0,IFERROR(--(EOMONTH(AI36,0)&lt;&gt;AH$5),1))+IF(AL36="",0,IFERROR(--(EOMONTH(AL36,0)&lt;&gt;AK$5),1))+IF(AO36="",0,IFERROR(--(EOMONTH(AO36,0)&lt;&gt;AN$5),1))+IF(AR36="",0,IFERROR(--(EOMONTH(AR36,0)&lt;&gt;AQ$5),1))+IF(AU36="",0,IFERROR(--(EOMONTH(AU36,0)&lt;&gt;AT$5),1))+IF(AX36="",0,IFERROR(--(EOMONTH(AX36,0)&lt;&gt;AW$5),1))+IF(BA36="",0,IFERROR(--(EOMONTH(BA36,0)&lt;&gt;AZ$5),1)))&gt;0,"; An invoice date is not in the month it is typed under",""),3,500))</f>
        <v/>
      </c>
      <c r="S36" s="12" t="n"/>
      <c r="T36" s="13" t="n"/>
      <c r="U36" s="14" t="n"/>
      <c r="V36" s="12" t="n"/>
      <c r="W36" s="13" t="n"/>
      <c r="X36" s="14" t="n"/>
      <c r="Y36" s="12" t="n"/>
      <c r="Z36" s="13" t="n"/>
      <c r="AA36" s="14" t="n"/>
      <c r="AB36" s="12" t="n"/>
      <c r="AC36" s="13" t="n"/>
      <c r="AD36" s="14" t="n"/>
      <c r="AE36" s="12" t="n"/>
      <c r="AF36" s="13" t="n"/>
      <c r="AG36" s="14" t="n"/>
      <c r="AH36" s="12" t="n"/>
      <c r="AI36" s="13" t="n"/>
      <c r="AJ36" s="14" t="n"/>
      <c r="AK36" s="12" t="n"/>
      <c r="AL36" s="13" t="n"/>
      <c r="AM36" s="14" t="n"/>
      <c r="AN36" s="12" t="n"/>
      <c r="AO36" s="13" t="n"/>
      <c r="AP36" s="14" t="n"/>
      <c r="AQ36" s="12" t="n"/>
      <c r="AR36" s="13" t="n"/>
      <c r="AS36" s="14" t="n"/>
      <c r="AT36" s="12" t="n"/>
      <c r="AU36" s="13" t="n"/>
      <c r="AV36" s="14" t="n"/>
      <c r="AW36" s="12" t="n"/>
      <c r="AX36" s="13" t="n"/>
      <c r="AY36" s="14" t="n"/>
      <c r="AZ36" s="12" t="n"/>
      <c r="BA36" s="13" t="n"/>
      <c r="BB36" s="14" t="n"/>
      <c r="BC36" s="11">
        <f>IF(O36="","",IF(J36="GST 10%",ROUND(O36*set_GSTRate,2),0))</f>
        <v/>
      </c>
      <c r="BD36" s="11">
        <f>IF(O36="","",O36+BC36)</f>
        <v/>
      </c>
      <c r="BE36" s="15">
        <f>IF(O36="","",COUNTA(S36,V36,Y36,AB36,AE36,AH36,AK36,AN36,AQ36,AT36,AW36,AZ36))</f>
        <v/>
      </c>
      <c r="BF36" s="16">
        <f>IF(COUNT(T36,W36,Z36,AC36,AF36,AI36,AL36,AO36,AR36,AU36,AX36,BA36)=0,"",MAX(T36,W36,Z36,AC36,AF36,AI36,AL36,AO36,AR36,AU36,AX36,BA36))</f>
        <v/>
      </c>
      <c r="BG36" s="10">
        <f>MID(IF(S36="","",", "&amp;S36)&amp;IF(V36="","",", "&amp;V36)&amp;IF(Y36="","",", "&amp;Y36)&amp;IF(AB36="","",", "&amp;AB36)&amp;IF(AE36="","",", "&amp;AE36)&amp;IF(AH36="","",", "&amp;AH36)&amp;IF(AK36="","",", "&amp;AK36)&amp;IF(AN36="","",", "&amp;AN36)&amp;IF(AQ36="","",", "&amp;AQ36)&amp;IF(AT36="","",", "&amp;AT36)&amp;IF(AW36="","",", "&amp;AW36)&amp;IF(AZ36="","",", "&amp;AZ36),3,500)</f>
        <v/>
      </c>
      <c r="BH36" s="12" t="n"/>
      <c r="BI36" s="15">
        <f>IFERROR(MATCH($A36,IF($B36="Onsite",tbl_Onsite[Row ID],IF($B36="Production",tbl_Production[Row ID],tbl_Consulting[Row ID])),0),"")</f>
        <v/>
      </c>
    </row>
    <row r="37">
      <c r="A37" s="10" t="inlineStr">
        <is>
          <t>ONS-0031</t>
        </is>
      </c>
      <c r="B37" s="10" t="inlineStr">
        <is>
          <t>Onsite</t>
        </is>
      </c>
      <c r="C37" s="10">
        <f>IF($BI37="","",IF($B37="Onsite",INDEX(tbl_Onsite[Job Number],$BI37),IF($B37="Production",INDEX(tbl_Production[Job Number],$BI37),INDEX(tbl_Consulting[Job Number],$BI37)))&amp;"")</f>
        <v/>
      </c>
      <c r="D37" s="10">
        <f>IF($BI37="","",IF($B37="Onsite",INDEX(tbl_Onsite[Client],$BI37),IF($B37="Production",INDEX(tbl_Production[Client],$BI37),INDEX(tbl_Consulting[Client],$BI37)))&amp;"")</f>
        <v/>
      </c>
      <c r="E37" s="10">
        <f>IF($C37="","",IF(COUNTIF(lst_Jobs,$C37)&gt;0,"OK","CHECK"))</f>
        <v/>
      </c>
      <c r="F37" s="10">
        <f>IF($C37="","",IFERROR(INDEX(lst_JobName,MATCH($C37,lst_Jobs,0)),""))</f>
        <v/>
      </c>
      <c r="G37" s="10">
        <f>IF($BI37="","",IF($B37="Onsite",INDEX(tbl_Onsite[Job Description],$BI37),IF($B37="Production",INDEX(tbl_Production[Job Description],$BI37),INDEX(tbl_Consulting[Job Description],$BI37)))&amp;"")</f>
        <v/>
      </c>
      <c r="H37" s="10">
        <f>IF($BI37="","",IF($B37="Onsite",INDEX(tbl_Onsite[Cost Centre],$BI37),IF($B37="Production",INDEX(tbl_Production[Cost Centre],$BI37),INDEX(tbl_Consulting[Cost Centre],$BI37)))&amp;"")</f>
        <v/>
      </c>
      <c r="I37" s="10">
        <f>IF($BI37="","",IF($B37="Onsite",INDEX(tbl_Onsite[Invoice Type],$BI37),IF($B37="Production",INDEX(tbl_Production[Invoice Type],$BI37),INDEX(tbl_Consulting[Invoice Type],$BI37)))&amp;"")</f>
        <v/>
      </c>
      <c r="J37" s="10">
        <f>IF($BI37="","",IF($B37="Onsite",INDEX(tbl_Onsite[Tax Code],$BI37),IF($B37="Production",INDEX(tbl_Production[Tax Code],$BI37),INDEX(tbl_Consulting[Tax Code],$BI37)))&amp;"")</f>
        <v/>
      </c>
      <c r="K37" s="10">
        <f>IF(H37="","",IFERROR(INDEX(lst_CCtoGL,MATCH(H37,lst_CCforGL,0)),""))</f>
        <v/>
      </c>
      <c r="L37" s="10">
        <f>IF($BI37="","",IF($B37="Onsite",INDEX(tbl_Onsite[PO / Reference],$BI37),IF($B37="Production",INDEX(tbl_Production[Current RMS No],$BI37),INDEX(tbl_Consulting[Qwilr Quote],$BI37)))&amp;"")</f>
        <v/>
      </c>
      <c r="M37" s="10">
        <f>IF($BI37="","",IF($B37="Onsite",INDEX(tbl_Onsite[Notes],$BI37),IF($B37="Production",INDEX(tbl_Production[Notes],$BI37),INDEX(tbl_Consulting[Notes],$BI37)))&amp;"")</f>
        <v/>
      </c>
      <c r="N37" s="11">
        <f>IF($BI37="","",IF(IF($B37="Onsite",INDEX(tbl_Onsite[Expected Revenue Ex GST],$BI37),IF($B37="Production",INDEX(tbl_Production[Expected Revenue Ex GST],$BI37),INDEX(tbl_Consulting[Expected Revenue Ex GST],$BI37)))="","",IF($B37="Onsite",INDEX(tbl_Onsite[Expected Revenue Ex GST],$BI37),IF($B37="Production",INDEX(tbl_Production[Expected Revenue Ex GST],$BI37),INDEX(tbl_Consulting[Expected Revenue Ex GST],$BI37)))))</f>
        <v/>
      </c>
      <c r="O37" s="11">
        <f>IF(AND($C37="",NOT(COUNTA($S37:$BB37)&gt;0)),"",SUM(U37,X37,AA37,AD37,AG37,AJ37,AM37,AP37,AS37,AV37,AY37,BB37))</f>
        <v/>
      </c>
      <c r="P37" s="11">
        <f>IF(O37="","",N(N37)-O37)</f>
        <v/>
      </c>
      <c r="Q37" s="10">
        <f>IF(O37="","",IF($C37="","Invoice on empty job row",IF(N37="",IF(ROUND(O37,2)=0,"No dept value","Invoiced - no dept value"),IF(ROUND(O37,2)=0,"Not invoiced - to invoice",IF(ROUND(P37,2)=0,"Agrees",IF(P37&gt;0,"Dept higher - to invoice","Xero higher - check dept"))))))</f>
        <v/>
      </c>
      <c r="R37" s="10">
        <f>IF(AND($C37="",NOT(COUNTA($S37:$BB37)&gt;0),$BI37&lt;&gt;""),"",MID(IF($BI37="","; Row ID not found on the department sheet - a row was deleted","")&amp;IF(AND($C37="",COUNTA($S37:$BB37)&gt;0),"; Invoice entered but the department row has no job number","")&amp;IF(E37="CHECK","; Job number not in the Xero job list","")&amp;IF(AND($C37&lt;&gt;"",COUNTIF($C$7:$C$1506,$C37)&gt;1),"; Job number on more than one row","")&amp;IF(AND($C37&lt;&gt;"",H37=""),"; Dept has not set a cost centre","")&amp;IF(AND($C37&lt;&gt;"",J37=""),"; Dept has not set a tax code","")&amp;IF(AND($C37&lt;&gt;"",N37=""),"; Dept has not entered an expected value","")&amp;IF((IF(OR(COUNTA(S37:U37)=0,AND(COUNTA(S37:U37)=3,ISNUMBER(U37))),0,1)+IF(OR(COUNTA(V37:X37)=0,AND(COUNTA(V37:X37)=3,ISNUMBER(X37))),0,1)+IF(OR(COUNTA(Y37:AA37)=0,AND(COUNTA(Y37:AA37)=3,ISNUMBER(AA37))),0,1)+IF(OR(COUNTA(AB37:AD37)=0,AND(COUNTA(AB37:AD37)=3,ISNUMBER(AD37))),0,1)+IF(OR(COUNTA(AE37:AG37)=0,AND(COUNTA(AE37:AG37)=3,ISNUMBER(AG37))),0,1)+IF(OR(COUNTA(AH37:AJ37)=0,AND(COUNTA(AH37:AJ37)=3,ISNUMBER(AJ37))),0,1)+IF(OR(COUNTA(AK37:AM37)=0,AND(COUNTA(AK37:AM37)=3,ISNUMBER(AM37))),0,1)+IF(OR(COUNTA(AN37:AP37)=0,AND(COUNTA(AN37:AP37)=3,ISNUMBER(AP37))),0,1)+IF(OR(COUNTA(AQ37:AS37)=0,AND(COUNTA(AQ37:AS37)=3,ISNUMBER(AS37))),0,1)+IF(OR(COUNTA(AT37:AV37)=0,AND(COUNTA(AT37:AV37)=3,ISNUMBER(AV37))),0,1)+IF(OR(COUNTA(AW37:AY37)=0,AND(COUNTA(AW37:AY37)=3,ISNUMBER(AY37))),0,1)+IF(OR(COUNTA(AZ37:BB37)=0,AND(COUNTA(AZ37:BB37)=3,ISNUMBER(BB37))),0,1))&gt;0,"; An invoice is incomplete (needs No, Date and a number in Ex GST)","")&amp;IF((IF(T37="",0,IFERROR(--(EOMONTH(T37,0)&lt;&gt;S$5),1))+IF(W37="",0,IFERROR(--(EOMONTH(W37,0)&lt;&gt;V$5),1))+IF(Z37="",0,IFERROR(--(EOMONTH(Z37,0)&lt;&gt;Y$5),1))+IF(AC37="",0,IFERROR(--(EOMONTH(AC37,0)&lt;&gt;AB$5),1))+IF(AF37="",0,IFERROR(--(EOMONTH(AF37,0)&lt;&gt;AE$5),1))+IF(AI37="",0,IFERROR(--(EOMONTH(AI37,0)&lt;&gt;AH$5),1))+IF(AL37="",0,IFERROR(--(EOMONTH(AL37,0)&lt;&gt;AK$5),1))+IF(AO37="",0,IFERROR(--(EOMONTH(AO37,0)&lt;&gt;AN$5),1))+IF(AR37="",0,IFERROR(--(EOMONTH(AR37,0)&lt;&gt;AQ$5),1))+IF(AU37="",0,IFERROR(--(EOMONTH(AU37,0)&lt;&gt;AT$5),1))+IF(AX37="",0,IFERROR(--(EOMONTH(AX37,0)&lt;&gt;AW$5),1))+IF(BA37="",0,IFERROR(--(EOMONTH(BA37,0)&lt;&gt;AZ$5),1)))&gt;0,"; An invoice date is not in the month it is typed under",""),3,500))</f>
        <v/>
      </c>
      <c r="S37" s="12" t="n"/>
      <c r="T37" s="13" t="n"/>
      <c r="U37" s="14" t="n"/>
      <c r="V37" s="12" t="n"/>
      <c r="W37" s="13" t="n"/>
      <c r="X37" s="14" t="n"/>
      <c r="Y37" s="12" t="n"/>
      <c r="Z37" s="13" t="n"/>
      <c r="AA37" s="14" t="n"/>
      <c r="AB37" s="12" t="n"/>
      <c r="AC37" s="13" t="n"/>
      <c r="AD37" s="14" t="n"/>
      <c r="AE37" s="12" t="n"/>
      <c r="AF37" s="13" t="n"/>
      <c r="AG37" s="14" t="n"/>
      <c r="AH37" s="12" t="n"/>
      <c r="AI37" s="13" t="n"/>
      <c r="AJ37" s="14" t="n"/>
      <c r="AK37" s="12" t="n"/>
      <c r="AL37" s="13" t="n"/>
      <c r="AM37" s="14" t="n"/>
      <c r="AN37" s="12" t="n"/>
      <c r="AO37" s="13" t="n"/>
      <c r="AP37" s="14" t="n"/>
      <c r="AQ37" s="12" t="n"/>
      <c r="AR37" s="13" t="n"/>
      <c r="AS37" s="14" t="n"/>
      <c r="AT37" s="12" t="n"/>
      <c r="AU37" s="13" t="n"/>
      <c r="AV37" s="14" t="n"/>
      <c r="AW37" s="12" t="n"/>
      <c r="AX37" s="13" t="n"/>
      <c r="AY37" s="14" t="n"/>
      <c r="AZ37" s="12" t="n"/>
      <c r="BA37" s="13" t="n"/>
      <c r="BB37" s="14" t="n"/>
      <c r="BC37" s="11">
        <f>IF(O37="","",IF(J37="GST 10%",ROUND(O37*set_GSTRate,2),0))</f>
        <v/>
      </c>
      <c r="BD37" s="11">
        <f>IF(O37="","",O37+BC37)</f>
        <v/>
      </c>
      <c r="BE37" s="15">
        <f>IF(O37="","",COUNTA(S37,V37,Y37,AB37,AE37,AH37,AK37,AN37,AQ37,AT37,AW37,AZ37))</f>
        <v/>
      </c>
      <c r="BF37" s="16">
        <f>IF(COUNT(T37,W37,Z37,AC37,AF37,AI37,AL37,AO37,AR37,AU37,AX37,BA37)=0,"",MAX(T37,W37,Z37,AC37,AF37,AI37,AL37,AO37,AR37,AU37,AX37,BA37))</f>
        <v/>
      </c>
      <c r="BG37" s="10">
        <f>MID(IF(S37="","",", "&amp;S37)&amp;IF(V37="","",", "&amp;V37)&amp;IF(Y37="","",", "&amp;Y37)&amp;IF(AB37="","",", "&amp;AB37)&amp;IF(AE37="","",", "&amp;AE37)&amp;IF(AH37="","",", "&amp;AH37)&amp;IF(AK37="","",", "&amp;AK37)&amp;IF(AN37="","",", "&amp;AN37)&amp;IF(AQ37="","",", "&amp;AQ37)&amp;IF(AT37="","",", "&amp;AT37)&amp;IF(AW37="","",", "&amp;AW37)&amp;IF(AZ37="","",", "&amp;AZ37),3,500)</f>
        <v/>
      </c>
      <c r="BH37" s="12" t="n"/>
      <c r="BI37" s="15">
        <f>IFERROR(MATCH($A37,IF($B37="Onsite",tbl_Onsite[Row ID],IF($B37="Production",tbl_Production[Row ID],tbl_Consulting[Row ID])),0),"")</f>
        <v/>
      </c>
    </row>
    <row r="38">
      <c r="A38" s="10" t="inlineStr">
        <is>
          <t>ONS-0032</t>
        </is>
      </c>
      <c r="B38" s="10" t="inlineStr">
        <is>
          <t>Onsite</t>
        </is>
      </c>
      <c r="C38" s="10">
        <f>IF($BI38="","",IF($B38="Onsite",INDEX(tbl_Onsite[Job Number],$BI38),IF($B38="Production",INDEX(tbl_Production[Job Number],$BI38),INDEX(tbl_Consulting[Job Number],$BI38)))&amp;"")</f>
        <v/>
      </c>
      <c r="D38" s="10">
        <f>IF($BI38="","",IF($B38="Onsite",INDEX(tbl_Onsite[Client],$BI38),IF($B38="Production",INDEX(tbl_Production[Client],$BI38),INDEX(tbl_Consulting[Client],$BI38)))&amp;"")</f>
        <v/>
      </c>
      <c r="E38" s="10">
        <f>IF($C38="","",IF(COUNTIF(lst_Jobs,$C38)&gt;0,"OK","CHECK"))</f>
        <v/>
      </c>
      <c r="F38" s="10">
        <f>IF($C38="","",IFERROR(INDEX(lst_JobName,MATCH($C38,lst_Jobs,0)),""))</f>
        <v/>
      </c>
      <c r="G38" s="10">
        <f>IF($BI38="","",IF($B38="Onsite",INDEX(tbl_Onsite[Job Description],$BI38),IF($B38="Production",INDEX(tbl_Production[Job Description],$BI38),INDEX(tbl_Consulting[Job Description],$BI38)))&amp;"")</f>
        <v/>
      </c>
      <c r="H38" s="10">
        <f>IF($BI38="","",IF($B38="Onsite",INDEX(tbl_Onsite[Cost Centre],$BI38),IF($B38="Production",INDEX(tbl_Production[Cost Centre],$BI38),INDEX(tbl_Consulting[Cost Centre],$BI38)))&amp;"")</f>
        <v/>
      </c>
      <c r="I38" s="10">
        <f>IF($BI38="","",IF($B38="Onsite",INDEX(tbl_Onsite[Invoice Type],$BI38),IF($B38="Production",INDEX(tbl_Production[Invoice Type],$BI38),INDEX(tbl_Consulting[Invoice Type],$BI38)))&amp;"")</f>
        <v/>
      </c>
      <c r="J38" s="10">
        <f>IF($BI38="","",IF($B38="Onsite",INDEX(tbl_Onsite[Tax Code],$BI38),IF($B38="Production",INDEX(tbl_Production[Tax Code],$BI38),INDEX(tbl_Consulting[Tax Code],$BI38)))&amp;"")</f>
        <v/>
      </c>
      <c r="K38" s="10">
        <f>IF(H38="","",IFERROR(INDEX(lst_CCtoGL,MATCH(H38,lst_CCforGL,0)),""))</f>
        <v/>
      </c>
      <c r="L38" s="10">
        <f>IF($BI38="","",IF($B38="Onsite",INDEX(tbl_Onsite[PO / Reference],$BI38),IF($B38="Production",INDEX(tbl_Production[Current RMS No],$BI38),INDEX(tbl_Consulting[Qwilr Quote],$BI38)))&amp;"")</f>
        <v/>
      </c>
      <c r="M38" s="10">
        <f>IF($BI38="","",IF($B38="Onsite",INDEX(tbl_Onsite[Notes],$BI38),IF($B38="Production",INDEX(tbl_Production[Notes],$BI38),INDEX(tbl_Consulting[Notes],$BI38)))&amp;"")</f>
        <v/>
      </c>
      <c r="N38" s="11">
        <f>IF($BI38="","",IF(IF($B38="Onsite",INDEX(tbl_Onsite[Expected Revenue Ex GST],$BI38),IF($B38="Production",INDEX(tbl_Production[Expected Revenue Ex GST],$BI38),INDEX(tbl_Consulting[Expected Revenue Ex GST],$BI38)))="","",IF($B38="Onsite",INDEX(tbl_Onsite[Expected Revenue Ex GST],$BI38),IF($B38="Production",INDEX(tbl_Production[Expected Revenue Ex GST],$BI38),INDEX(tbl_Consulting[Expected Revenue Ex GST],$BI38)))))</f>
        <v/>
      </c>
      <c r="O38" s="11">
        <f>IF(AND($C38="",NOT(COUNTA($S38:$BB38)&gt;0)),"",SUM(U38,X38,AA38,AD38,AG38,AJ38,AM38,AP38,AS38,AV38,AY38,BB38))</f>
        <v/>
      </c>
      <c r="P38" s="11">
        <f>IF(O38="","",N(N38)-O38)</f>
        <v/>
      </c>
      <c r="Q38" s="10">
        <f>IF(O38="","",IF($C38="","Invoice on empty job row",IF(N38="",IF(ROUND(O38,2)=0,"No dept value","Invoiced - no dept value"),IF(ROUND(O38,2)=0,"Not invoiced - to invoice",IF(ROUND(P38,2)=0,"Agrees",IF(P38&gt;0,"Dept higher - to invoice","Xero higher - check dept"))))))</f>
        <v/>
      </c>
      <c r="R38" s="10">
        <f>IF(AND($C38="",NOT(COUNTA($S38:$BB38)&gt;0),$BI38&lt;&gt;""),"",MID(IF($BI38="","; Row ID not found on the department sheet - a row was deleted","")&amp;IF(AND($C38="",COUNTA($S38:$BB38)&gt;0),"; Invoice entered but the department row has no job number","")&amp;IF(E38="CHECK","; Job number not in the Xero job list","")&amp;IF(AND($C38&lt;&gt;"",COUNTIF($C$7:$C$1506,$C38)&gt;1),"; Job number on more than one row","")&amp;IF(AND($C38&lt;&gt;"",H38=""),"; Dept has not set a cost centre","")&amp;IF(AND($C38&lt;&gt;"",J38=""),"; Dept has not set a tax code","")&amp;IF(AND($C38&lt;&gt;"",N38=""),"; Dept has not entered an expected value","")&amp;IF((IF(OR(COUNTA(S38:U38)=0,AND(COUNTA(S38:U38)=3,ISNUMBER(U38))),0,1)+IF(OR(COUNTA(V38:X38)=0,AND(COUNTA(V38:X38)=3,ISNUMBER(X38))),0,1)+IF(OR(COUNTA(Y38:AA38)=0,AND(COUNTA(Y38:AA38)=3,ISNUMBER(AA38))),0,1)+IF(OR(COUNTA(AB38:AD38)=0,AND(COUNTA(AB38:AD38)=3,ISNUMBER(AD38))),0,1)+IF(OR(COUNTA(AE38:AG38)=0,AND(COUNTA(AE38:AG38)=3,ISNUMBER(AG38))),0,1)+IF(OR(COUNTA(AH38:AJ38)=0,AND(COUNTA(AH38:AJ38)=3,ISNUMBER(AJ38))),0,1)+IF(OR(COUNTA(AK38:AM38)=0,AND(COUNTA(AK38:AM38)=3,ISNUMBER(AM38))),0,1)+IF(OR(COUNTA(AN38:AP38)=0,AND(COUNTA(AN38:AP38)=3,ISNUMBER(AP38))),0,1)+IF(OR(COUNTA(AQ38:AS38)=0,AND(COUNTA(AQ38:AS38)=3,ISNUMBER(AS38))),0,1)+IF(OR(COUNTA(AT38:AV38)=0,AND(COUNTA(AT38:AV38)=3,ISNUMBER(AV38))),0,1)+IF(OR(COUNTA(AW38:AY38)=0,AND(COUNTA(AW38:AY38)=3,ISNUMBER(AY38))),0,1)+IF(OR(COUNTA(AZ38:BB38)=0,AND(COUNTA(AZ38:BB38)=3,ISNUMBER(BB38))),0,1))&gt;0,"; An invoice is incomplete (needs No, Date and a number in Ex GST)","")&amp;IF((IF(T38="",0,IFERROR(--(EOMONTH(T38,0)&lt;&gt;S$5),1))+IF(W38="",0,IFERROR(--(EOMONTH(W38,0)&lt;&gt;V$5),1))+IF(Z38="",0,IFERROR(--(EOMONTH(Z38,0)&lt;&gt;Y$5),1))+IF(AC38="",0,IFERROR(--(EOMONTH(AC38,0)&lt;&gt;AB$5),1))+IF(AF38="",0,IFERROR(--(EOMONTH(AF38,0)&lt;&gt;AE$5),1))+IF(AI38="",0,IFERROR(--(EOMONTH(AI38,0)&lt;&gt;AH$5),1))+IF(AL38="",0,IFERROR(--(EOMONTH(AL38,0)&lt;&gt;AK$5),1))+IF(AO38="",0,IFERROR(--(EOMONTH(AO38,0)&lt;&gt;AN$5),1))+IF(AR38="",0,IFERROR(--(EOMONTH(AR38,0)&lt;&gt;AQ$5),1))+IF(AU38="",0,IFERROR(--(EOMONTH(AU38,0)&lt;&gt;AT$5),1))+IF(AX38="",0,IFERROR(--(EOMONTH(AX38,0)&lt;&gt;AW$5),1))+IF(BA38="",0,IFERROR(--(EOMONTH(BA38,0)&lt;&gt;AZ$5),1)))&gt;0,"; An invoice date is not in the month it is typed under",""),3,500))</f>
        <v/>
      </c>
      <c r="S38" s="12" t="n"/>
      <c r="T38" s="13" t="n"/>
      <c r="U38" s="14" t="n"/>
      <c r="V38" s="12" t="n"/>
      <c r="W38" s="13" t="n"/>
      <c r="X38" s="14" t="n"/>
      <c r="Y38" s="12" t="n"/>
      <c r="Z38" s="13" t="n"/>
      <c r="AA38" s="14" t="n"/>
      <c r="AB38" s="12" t="n"/>
      <c r="AC38" s="13" t="n"/>
      <c r="AD38" s="14" t="n"/>
      <c r="AE38" s="12" t="n"/>
      <c r="AF38" s="13" t="n"/>
      <c r="AG38" s="14" t="n"/>
      <c r="AH38" s="12" t="n"/>
      <c r="AI38" s="13" t="n"/>
      <c r="AJ38" s="14" t="n"/>
      <c r="AK38" s="12" t="n"/>
      <c r="AL38" s="13" t="n"/>
      <c r="AM38" s="14" t="n"/>
      <c r="AN38" s="12" t="n"/>
      <c r="AO38" s="13" t="n"/>
      <c r="AP38" s="14" t="n"/>
      <c r="AQ38" s="12" t="n"/>
      <c r="AR38" s="13" t="n"/>
      <c r="AS38" s="14" t="n"/>
      <c r="AT38" s="12" t="n"/>
      <c r="AU38" s="13" t="n"/>
      <c r="AV38" s="14" t="n"/>
      <c r="AW38" s="12" t="n"/>
      <c r="AX38" s="13" t="n"/>
      <c r="AY38" s="14" t="n"/>
      <c r="AZ38" s="12" t="n"/>
      <c r="BA38" s="13" t="n"/>
      <c r="BB38" s="14" t="n"/>
      <c r="BC38" s="11">
        <f>IF(O38="","",IF(J38="GST 10%",ROUND(O38*set_GSTRate,2),0))</f>
        <v/>
      </c>
      <c r="BD38" s="11">
        <f>IF(O38="","",O38+BC38)</f>
        <v/>
      </c>
      <c r="BE38" s="15">
        <f>IF(O38="","",COUNTA(S38,V38,Y38,AB38,AE38,AH38,AK38,AN38,AQ38,AT38,AW38,AZ38))</f>
        <v/>
      </c>
      <c r="BF38" s="16">
        <f>IF(COUNT(T38,W38,Z38,AC38,AF38,AI38,AL38,AO38,AR38,AU38,AX38,BA38)=0,"",MAX(T38,W38,Z38,AC38,AF38,AI38,AL38,AO38,AR38,AU38,AX38,BA38))</f>
        <v/>
      </c>
      <c r="BG38" s="10">
        <f>MID(IF(S38="","",", "&amp;S38)&amp;IF(V38="","",", "&amp;V38)&amp;IF(Y38="","",", "&amp;Y38)&amp;IF(AB38="","",", "&amp;AB38)&amp;IF(AE38="","",", "&amp;AE38)&amp;IF(AH38="","",", "&amp;AH38)&amp;IF(AK38="","",", "&amp;AK38)&amp;IF(AN38="","",", "&amp;AN38)&amp;IF(AQ38="","",", "&amp;AQ38)&amp;IF(AT38="","",", "&amp;AT38)&amp;IF(AW38="","",", "&amp;AW38)&amp;IF(AZ38="","",", "&amp;AZ38),3,500)</f>
        <v/>
      </c>
      <c r="BH38" s="12" t="n"/>
      <c r="BI38" s="15">
        <f>IFERROR(MATCH($A38,IF($B38="Onsite",tbl_Onsite[Row ID],IF($B38="Production",tbl_Production[Row ID],tbl_Consulting[Row ID])),0),"")</f>
        <v/>
      </c>
    </row>
    <row r="39">
      <c r="A39" s="10" t="inlineStr">
        <is>
          <t>ONS-0033</t>
        </is>
      </c>
      <c r="B39" s="10" t="inlineStr">
        <is>
          <t>Onsite</t>
        </is>
      </c>
      <c r="C39" s="10">
        <f>IF($BI39="","",IF($B39="Onsite",INDEX(tbl_Onsite[Job Number],$BI39),IF($B39="Production",INDEX(tbl_Production[Job Number],$BI39),INDEX(tbl_Consulting[Job Number],$BI39)))&amp;"")</f>
        <v/>
      </c>
      <c r="D39" s="10">
        <f>IF($BI39="","",IF($B39="Onsite",INDEX(tbl_Onsite[Client],$BI39),IF($B39="Production",INDEX(tbl_Production[Client],$BI39),INDEX(tbl_Consulting[Client],$BI39)))&amp;"")</f>
        <v/>
      </c>
      <c r="E39" s="10">
        <f>IF($C39="","",IF(COUNTIF(lst_Jobs,$C39)&gt;0,"OK","CHECK"))</f>
        <v/>
      </c>
      <c r="F39" s="10">
        <f>IF($C39="","",IFERROR(INDEX(lst_JobName,MATCH($C39,lst_Jobs,0)),""))</f>
        <v/>
      </c>
      <c r="G39" s="10">
        <f>IF($BI39="","",IF($B39="Onsite",INDEX(tbl_Onsite[Job Description],$BI39),IF($B39="Production",INDEX(tbl_Production[Job Description],$BI39),INDEX(tbl_Consulting[Job Description],$BI39)))&amp;"")</f>
        <v/>
      </c>
      <c r="H39" s="10">
        <f>IF($BI39="","",IF($B39="Onsite",INDEX(tbl_Onsite[Cost Centre],$BI39),IF($B39="Production",INDEX(tbl_Production[Cost Centre],$BI39),INDEX(tbl_Consulting[Cost Centre],$BI39)))&amp;"")</f>
        <v/>
      </c>
      <c r="I39" s="10">
        <f>IF($BI39="","",IF($B39="Onsite",INDEX(tbl_Onsite[Invoice Type],$BI39),IF($B39="Production",INDEX(tbl_Production[Invoice Type],$BI39),INDEX(tbl_Consulting[Invoice Type],$BI39)))&amp;"")</f>
        <v/>
      </c>
      <c r="J39" s="10">
        <f>IF($BI39="","",IF($B39="Onsite",INDEX(tbl_Onsite[Tax Code],$BI39),IF($B39="Production",INDEX(tbl_Production[Tax Code],$BI39),INDEX(tbl_Consulting[Tax Code],$BI39)))&amp;"")</f>
        <v/>
      </c>
      <c r="K39" s="10">
        <f>IF(H39="","",IFERROR(INDEX(lst_CCtoGL,MATCH(H39,lst_CCforGL,0)),""))</f>
        <v/>
      </c>
      <c r="L39" s="10">
        <f>IF($BI39="","",IF($B39="Onsite",INDEX(tbl_Onsite[PO / Reference],$BI39),IF($B39="Production",INDEX(tbl_Production[Current RMS No],$BI39),INDEX(tbl_Consulting[Qwilr Quote],$BI39)))&amp;"")</f>
        <v/>
      </c>
      <c r="M39" s="10">
        <f>IF($BI39="","",IF($B39="Onsite",INDEX(tbl_Onsite[Notes],$BI39),IF($B39="Production",INDEX(tbl_Production[Notes],$BI39),INDEX(tbl_Consulting[Notes],$BI39)))&amp;"")</f>
        <v/>
      </c>
      <c r="N39" s="11">
        <f>IF($BI39="","",IF(IF($B39="Onsite",INDEX(tbl_Onsite[Expected Revenue Ex GST],$BI39),IF($B39="Production",INDEX(tbl_Production[Expected Revenue Ex GST],$BI39),INDEX(tbl_Consulting[Expected Revenue Ex GST],$BI39)))="","",IF($B39="Onsite",INDEX(tbl_Onsite[Expected Revenue Ex GST],$BI39),IF($B39="Production",INDEX(tbl_Production[Expected Revenue Ex GST],$BI39),INDEX(tbl_Consulting[Expected Revenue Ex GST],$BI39)))))</f>
        <v/>
      </c>
      <c r="O39" s="11">
        <f>IF(AND($C39="",NOT(COUNTA($S39:$BB39)&gt;0)),"",SUM(U39,X39,AA39,AD39,AG39,AJ39,AM39,AP39,AS39,AV39,AY39,BB39))</f>
        <v/>
      </c>
      <c r="P39" s="11">
        <f>IF(O39="","",N(N39)-O39)</f>
        <v/>
      </c>
      <c r="Q39" s="10">
        <f>IF(O39="","",IF($C39="","Invoice on empty job row",IF(N39="",IF(ROUND(O39,2)=0,"No dept value","Invoiced - no dept value"),IF(ROUND(O39,2)=0,"Not invoiced - to invoice",IF(ROUND(P39,2)=0,"Agrees",IF(P39&gt;0,"Dept higher - to invoice","Xero higher - check dept"))))))</f>
        <v/>
      </c>
      <c r="R39" s="10">
        <f>IF(AND($C39="",NOT(COUNTA($S39:$BB39)&gt;0),$BI39&lt;&gt;""),"",MID(IF($BI39="","; Row ID not found on the department sheet - a row was deleted","")&amp;IF(AND($C39="",COUNTA($S39:$BB39)&gt;0),"; Invoice entered but the department row has no job number","")&amp;IF(E39="CHECK","; Job number not in the Xero job list","")&amp;IF(AND($C39&lt;&gt;"",COUNTIF($C$7:$C$1506,$C39)&gt;1),"; Job number on more than one row","")&amp;IF(AND($C39&lt;&gt;"",H39=""),"; Dept has not set a cost centre","")&amp;IF(AND($C39&lt;&gt;"",J39=""),"; Dept has not set a tax code","")&amp;IF(AND($C39&lt;&gt;"",N39=""),"; Dept has not entered an expected value","")&amp;IF((IF(OR(COUNTA(S39:U39)=0,AND(COUNTA(S39:U39)=3,ISNUMBER(U39))),0,1)+IF(OR(COUNTA(V39:X39)=0,AND(COUNTA(V39:X39)=3,ISNUMBER(X39))),0,1)+IF(OR(COUNTA(Y39:AA39)=0,AND(COUNTA(Y39:AA39)=3,ISNUMBER(AA39))),0,1)+IF(OR(COUNTA(AB39:AD39)=0,AND(COUNTA(AB39:AD39)=3,ISNUMBER(AD39))),0,1)+IF(OR(COUNTA(AE39:AG39)=0,AND(COUNTA(AE39:AG39)=3,ISNUMBER(AG39))),0,1)+IF(OR(COUNTA(AH39:AJ39)=0,AND(COUNTA(AH39:AJ39)=3,ISNUMBER(AJ39))),0,1)+IF(OR(COUNTA(AK39:AM39)=0,AND(COUNTA(AK39:AM39)=3,ISNUMBER(AM39))),0,1)+IF(OR(COUNTA(AN39:AP39)=0,AND(COUNTA(AN39:AP39)=3,ISNUMBER(AP39))),0,1)+IF(OR(COUNTA(AQ39:AS39)=0,AND(COUNTA(AQ39:AS39)=3,ISNUMBER(AS39))),0,1)+IF(OR(COUNTA(AT39:AV39)=0,AND(COUNTA(AT39:AV39)=3,ISNUMBER(AV39))),0,1)+IF(OR(COUNTA(AW39:AY39)=0,AND(COUNTA(AW39:AY39)=3,ISNUMBER(AY39))),0,1)+IF(OR(COUNTA(AZ39:BB39)=0,AND(COUNTA(AZ39:BB39)=3,ISNUMBER(BB39))),0,1))&gt;0,"; An invoice is incomplete (needs No, Date and a number in Ex GST)","")&amp;IF((IF(T39="",0,IFERROR(--(EOMONTH(T39,0)&lt;&gt;S$5),1))+IF(W39="",0,IFERROR(--(EOMONTH(W39,0)&lt;&gt;V$5),1))+IF(Z39="",0,IFERROR(--(EOMONTH(Z39,0)&lt;&gt;Y$5),1))+IF(AC39="",0,IFERROR(--(EOMONTH(AC39,0)&lt;&gt;AB$5),1))+IF(AF39="",0,IFERROR(--(EOMONTH(AF39,0)&lt;&gt;AE$5),1))+IF(AI39="",0,IFERROR(--(EOMONTH(AI39,0)&lt;&gt;AH$5),1))+IF(AL39="",0,IFERROR(--(EOMONTH(AL39,0)&lt;&gt;AK$5),1))+IF(AO39="",0,IFERROR(--(EOMONTH(AO39,0)&lt;&gt;AN$5),1))+IF(AR39="",0,IFERROR(--(EOMONTH(AR39,0)&lt;&gt;AQ$5),1))+IF(AU39="",0,IFERROR(--(EOMONTH(AU39,0)&lt;&gt;AT$5),1))+IF(AX39="",0,IFERROR(--(EOMONTH(AX39,0)&lt;&gt;AW$5),1))+IF(BA39="",0,IFERROR(--(EOMONTH(BA39,0)&lt;&gt;AZ$5),1)))&gt;0,"; An invoice date is not in the month it is typed under",""),3,500))</f>
        <v/>
      </c>
      <c r="S39" s="12" t="n"/>
      <c r="T39" s="13" t="n"/>
      <c r="U39" s="14" t="n"/>
      <c r="V39" s="12" t="n"/>
      <c r="W39" s="13" t="n"/>
      <c r="X39" s="14" t="n"/>
      <c r="Y39" s="12" t="n"/>
      <c r="Z39" s="13" t="n"/>
      <c r="AA39" s="14" t="n"/>
      <c r="AB39" s="12" t="n"/>
      <c r="AC39" s="13" t="n"/>
      <c r="AD39" s="14" t="n"/>
      <c r="AE39" s="12" t="n"/>
      <c r="AF39" s="13" t="n"/>
      <c r="AG39" s="14" t="n"/>
      <c r="AH39" s="12" t="n"/>
      <c r="AI39" s="13" t="n"/>
      <c r="AJ39" s="14" t="n"/>
      <c r="AK39" s="12" t="n"/>
      <c r="AL39" s="13" t="n"/>
      <c r="AM39" s="14" t="n"/>
      <c r="AN39" s="12" t="n"/>
      <c r="AO39" s="13" t="n"/>
      <c r="AP39" s="14" t="n"/>
      <c r="AQ39" s="12" t="n"/>
      <c r="AR39" s="13" t="n"/>
      <c r="AS39" s="14" t="n"/>
      <c r="AT39" s="12" t="n"/>
      <c r="AU39" s="13" t="n"/>
      <c r="AV39" s="14" t="n"/>
      <c r="AW39" s="12" t="n"/>
      <c r="AX39" s="13" t="n"/>
      <c r="AY39" s="14" t="n"/>
      <c r="AZ39" s="12" t="n"/>
      <c r="BA39" s="13" t="n"/>
      <c r="BB39" s="14" t="n"/>
      <c r="BC39" s="11">
        <f>IF(O39="","",IF(J39="GST 10%",ROUND(O39*set_GSTRate,2),0))</f>
        <v/>
      </c>
      <c r="BD39" s="11">
        <f>IF(O39="","",O39+BC39)</f>
        <v/>
      </c>
      <c r="BE39" s="15">
        <f>IF(O39="","",COUNTA(S39,V39,Y39,AB39,AE39,AH39,AK39,AN39,AQ39,AT39,AW39,AZ39))</f>
        <v/>
      </c>
      <c r="BF39" s="16">
        <f>IF(COUNT(T39,W39,Z39,AC39,AF39,AI39,AL39,AO39,AR39,AU39,AX39,BA39)=0,"",MAX(T39,W39,Z39,AC39,AF39,AI39,AL39,AO39,AR39,AU39,AX39,BA39))</f>
        <v/>
      </c>
      <c r="BG39" s="10">
        <f>MID(IF(S39="","",", "&amp;S39)&amp;IF(V39="","",", "&amp;V39)&amp;IF(Y39="","",", "&amp;Y39)&amp;IF(AB39="","",", "&amp;AB39)&amp;IF(AE39="","",", "&amp;AE39)&amp;IF(AH39="","",", "&amp;AH39)&amp;IF(AK39="","",", "&amp;AK39)&amp;IF(AN39="","",", "&amp;AN39)&amp;IF(AQ39="","",", "&amp;AQ39)&amp;IF(AT39="","",", "&amp;AT39)&amp;IF(AW39="","",", "&amp;AW39)&amp;IF(AZ39="","",", "&amp;AZ39),3,500)</f>
        <v/>
      </c>
      <c r="BH39" s="12" t="n"/>
      <c r="BI39" s="15">
        <f>IFERROR(MATCH($A39,IF($B39="Onsite",tbl_Onsite[Row ID],IF($B39="Production",tbl_Production[Row ID],tbl_Consulting[Row ID])),0),"")</f>
        <v/>
      </c>
    </row>
    <row r="40">
      <c r="A40" s="10" t="inlineStr">
        <is>
          <t>ONS-0034</t>
        </is>
      </c>
      <c r="B40" s="10" t="inlineStr">
        <is>
          <t>Onsite</t>
        </is>
      </c>
      <c r="C40" s="10">
        <f>IF($BI40="","",IF($B40="Onsite",INDEX(tbl_Onsite[Job Number],$BI40),IF($B40="Production",INDEX(tbl_Production[Job Number],$BI40),INDEX(tbl_Consulting[Job Number],$BI40)))&amp;"")</f>
        <v/>
      </c>
      <c r="D40" s="10">
        <f>IF($BI40="","",IF($B40="Onsite",INDEX(tbl_Onsite[Client],$BI40),IF($B40="Production",INDEX(tbl_Production[Client],$BI40),INDEX(tbl_Consulting[Client],$BI40)))&amp;"")</f>
        <v/>
      </c>
      <c r="E40" s="10">
        <f>IF($C40="","",IF(COUNTIF(lst_Jobs,$C40)&gt;0,"OK","CHECK"))</f>
        <v/>
      </c>
      <c r="F40" s="10">
        <f>IF($C40="","",IFERROR(INDEX(lst_JobName,MATCH($C40,lst_Jobs,0)),""))</f>
        <v/>
      </c>
      <c r="G40" s="10">
        <f>IF($BI40="","",IF($B40="Onsite",INDEX(tbl_Onsite[Job Description],$BI40),IF($B40="Production",INDEX(tbl_Production[Job Description],$BI40),INDEX(tbl_Consulting[Job Description],$BI40)))&amp;"")</f>
        <v/>
      </c>
      <c r="H40" s="10">
        <f>IF($BI40="","",IF($B40="Onsite",INDEX(tbl_Onsite[Cost Centre],$BI40),IF($B40="Production",INDEX(tbl_Production[Cost Centre],$BI40),INDEX(tbl_Consulting[Cost Centre],$BI40)))&amp;"")</f>
        <v/>
      </c>
      <c r="I40" s="10">
        <f>IF($BI40="","",IF($B40="Onsite",INDEX(tbl_Onsite[Invoice Type],$BI40),IF($B40="Production",INDEX(tbl_Production[Invoice Type],$BI40),INDEX(tbl_Consulting[Invoice Type],$BI40)))&amp;"")</f>
        <v/>
      </c>
      <c r="J40" s="10">
        <f>IF($BI40="","",IF($B40="Onsite",INDEX(tbl_Onsite[Tax Code],$BI40),IF($B40="Production",INDEX(tbl_Production[Tax Code],$BI40),INDEX(tbl_Consulting[Tax Code],$BI40)))&amp;"")</f>
        <v/>
      </c>
      <c r="K40" s="10">
        <f>IF(H40="","",IFERROR(INDEX(lst_CCtoGL,MATCH(H40,lst_CCforGL,0)),""))</f>
        <v/>
      </c>
      <c r="L40" s="10">
        <f>IF($BI40="","",IF($B40="Onsite",INDEX(tbl_Onsite[PO / Reference],$BI40),IF($B40="Production",INDEX(tbl_Production[Current RMS No],$BI40),INDEX(tbl_Consulting[Qwilr Quote],$BI40)))&amp;"")</f>
        <v/>
      </c>
      <c r="M40" s="10">
        <f>IF($BI40="","",IF($B40="Onsite",INDEX(tbl_Onsite[Notes],$BI40),IF($B40="Production",INDEX(tbl_Production[Notes],$BI40),INDEX(tbl_Consulting[Notes],$BI40)))&amp;"")</f>
        <v/>
      </c>
      <c r="N40" s="11">
        <f>IF($BI40="","",IF(IF($B40="Onsite",INDEX(tbl_Onsite[Expected Revenue Ex GST],$BI40),IF($B40="Production",INDEX(tbl_Production[Expected Revenue Ex GST],$BI40),INDEX(tbl_Consulting[Expected Revenue Ex GST],$BI40)))="","",IF($B40="Onsite",INDEX(tbl_Onsite[Expected Revenue Ex GST],$BI40),IF($B40="Production",INDEX(tbl_Production[Expected Revenue Ex GST],$BI40),INDEX(tbl_Consulting[Expected Revenue Ex GST],$BI40)))))</f>
        <v/>
      </c>
      <c r="O40" s="11">
        <f>IF(AND($C40="",NOT(COUNTA($S40:$BB40)&gt;0)),"",SUM(U40,X40,AA40,AD40,AG40,AJ40,AM40,AP40,AS40,AV40,AY40,BB40))</f>
        <v/>
      </c>
      <c r="P40" s="11">
        <f>IF(O40="","",N(N40)-O40)</f>
        <v/>
      </c>
      <c r="Q40" s="10">
        <f>IF(O40="","",IF($C40="","Invoice on empty job row",IF(N40="",IF(ROUND(O40,2)=0,"No dept value","Invoiced - no dept value"),IF(ROUND(O40,2)=0,"Not invoiced - to invoice",IF(ROUND(P40,2)=0,"Agrees",IF(P40&gt;0,"Dept higher - to invoice","Xero higher - check dept"))))))</f>
        <v/>
      </c>
      <c r="R40" s="10">
        <f>IF(AND($C40="",NOT(COUNTA($S40:$BB40)&gt;0),$BI40&lt;&gt;""),"",MID(IF($BI40="","; Row ID not found on the department sheet - a row was deleted","")&amp;IF(AND($C40="",COUNTA($S40:$BB40)&gt;0),"; Invoice entered but the department row has no job number","")&amp;IF(E40="CHECK","; Job number not in the Xero job list","")&amp;IF(AND($C40&lt;&gt;"",COUNTIF($C$7:$C$1506,$C40)&gt;1),"; Job number on more than one row","")&amp;IF(AND($C40&lt;&gt;"",H40=""),"; Dept has not set a cost centre","")&amp;IF(AND($C40&lt;&gt;"",J40=""),"; Dept has not set a tax code","")&amp;IF(AND($C40&lt;&gt;"",N40=""),"; Dept has not entered an expected value","")&amp;IF((IF(OR(COUNTA(S40:U40)=0,AND(COUNTA(S40:U40)=3,ISNUMBER(U40))),0,1)+IF(OR(COUNTA(V40:X40)=0,AND(COUNTA(V40:X40)=3,ISNUMBER(X40))),0,1)+IF(OR(COUNTA(Y40:AA40)=0,AND(COUNTA(Y40:AA40)=3,ISNUMBER(AA40))),0,1)+IF(OR(COUNTA(AB40:AD40)=0,AND(COUNTA(AB40:AD40)=3,ISNUMBER(AD40))),0,1)+IF(OR(COUNTA(AE40:AG40)=0,AND(COUNTA(AE40:AG40)=3,ISNUMBER(AG40))),0,1)+IF(OR(COUNTA(AH40:AJ40)=0,AND(COUNTA(AH40:AJ40)=3,ISNUMBER(AJ40))),0,1)+IF(OR(COUNTA(AK40:AM40)=0,AND(COUNTA(AK40:AM40)=3,ISNUMBER(AM40))),0,1)+IF(OR(COUNTA(AN40:AP40)=0,AND(COUNTA(AN40:AP40)=3,ISNUMBER(AP40))),0,1)+IF(OR(COUNTA(AQ40:AS40)=0,AND(COUNTA(AQ40:AS40)=3,ISNUMBER(AS40))),0,1)+IF(OR(COUNTA(AT40:AV40)=0,AND(COUNTA(AT40:AV40)=3,ISNUMBER(AV40))),0,1)+IF(OR(COUNTA(AW40:AY40)=0,AND(COUNTA(AW40:AY40)=3,ISNUMBER(AY40))),0,1)+IF(OR(COUNTA(AZ40:BB40)=0,AND(COUNTA(AZ40:BB40)=3,ISNUMBER(BB40))),0,1))&gt;0,"; An invoice is incomplete (needs No, Date and a number in Ex GST)","")&amp;IF((IF(T40="",0,IFERROR(--(EOMONTH(T40,0)&lt;&gt;S$5),1))+IF(W40="",0,IFERROR(--(EOMONTH(W40,0)&lt;&gt;V$5),1))+IF(Z40="",0,IFERROR(--(EOMONTH(Z40,0)&lt;&gt;Y$5),1))+IF(AC40="",0,IFERROR(--(EOMONTH(AC40,0)&lt;&gt;AB$5),1))+IF(AF40="",0,IFERROR(--(EOMONTH(AF40,0)&lt;&gt;AE$5),1))+IF(AI40="",0,IFERROR(--(EOMONTH(AI40,0)&lt;&gt;AH$5),1))+IF(AL40="",0,IFERROR(--(EOMONTH(AL40,0)&lt;&gt;AK$5),1))+IF(AO40="",0,IFERROR(--(EOMONTH(AO40,0)&lt;&gt;AN$5),1))+IF(AR40="",0,IFERROR(--(EOMONTH(AR40,0)&lt;&gt;AQ$5),1))+IF(AU40="",0,IFERROR(--(EOMONTH(AU40,0)&lt;&gt;AT$5),1))+IF(AX40="",0,IFERROR(--(EOMONTH(AX40,0)&lt;&gt;AW$5),1))+IF(BA40="",0,IFERROR(--(EOMONTH(BA40,0)&lt;&gt;AZ$5),1)))&gt;0,"; An invoice date is not in the month it is typed under",""),3,500))</f>
        <v/>
      </c>
      <c r="S40" s="12" t="n"/>
      <c r="T40" s="13" t="n"/>
      <c r="U40" s="14" t="n"/>
      <c r="V40" s="12" t="n"/>
      <c r="W40" s="13" t="n"/>
      <c r="X40" s="14" t="n"/>
      <c r="Y40" s="12" t="n"/>
      <c r="Z40" s="13" t="n"/>
      <c r="AA40" s="14" t="n"/>
      <c r="AB40" s="12" t="n"/>
      <c r="AC40" s="13" t="n"/>
      <c r="AD40" s="14" t="n"/>
      <c r="AE40" s="12" t="n"/>
      <c r="AF40" s="13" t="n"/>
      <c r="AG40" s="14" t="n"/>
      <c r="AH40" s="12" t="n"/>
      <c r="AI40" s="13" t="n"/>
      <c r="AJ40" s="14" t="n"/>
      <c r="AK40" s="12" t="n"/>
      <c r="AL40" s="13" t="n"/>
      <c r="AM40" s="14" t="n"/>
      <c r="AN40" s="12" t="n"/>
      <c r="AO40" s="13" t="n"/>
      <c r="AP40" s="14" t="n"/>
      <c r="AQ40" s="12" t="n"/>
      <c r="AR40" s="13" t="n"/>
      <c r="AS40" s="14" t="n"/>
      <c r="AT40" s="12" t="n"/>
      <c r="AU40" s="13" t="n"/>
      <c r="AV40" s="14" t="n"/>
      <c r="AW40" s="12" t="n"/>
      <c r="AX40" s="13" t="n"/>
      <c r="AY40" s="14" t="n"/>
      <c r="AZ40" s="12" t="n"/>
      <c r="BA40" s="13" t="n"/>
      <c r="BB40" s="14" t="n"/>
      <c r="BC40" s="11">
        <f>IF(O40="","",IF(J40="GST 10%",ROUND(O40*set_GSTRate,2),0))</f>
        <v/>
      </c>
      <c r="BD40" s="11">
        <f>IF(O40="","",O40+BC40)</f>
        <v/>
      </c>
      <c r="BE40" s="15">
        <f>IF(O40="","",COUNTA(S40,V40,Y40,AB40,AE40,AH40,AK40,AN40,AQ40,AT40,AW40,AZ40))</f>
        <v/>
      </c>
      <c r="BF40" s="16">
        <f>IF(COUNT(T40,W40,Z40,AC40,AF40,AI40,AL40,AO40,AR40,AU40,AX40,BA40)=0,"",MAX(T40,W40,Z40,AC40,AF40,AI40,AL40,AO40,AR40,AU40,AX40,BA40))</f>
        <v/>
      </c>
      <c r="BG40" s="10">
        <f>MID(IF(S40="","",", "&amp;S40)&amp;IF(V40="","",", "&amp;V40)&amp;IF(Y40="","",", "&amp;Y40)&amp;IF(AB40="","",", "&amp;AB40)&amp;IF(AE40="","",", "&amp;AE40)&amp;IF(AH40="","",", "&amp;AH40)&amp;IF(AK40="","",", "&amp;AK40)&amp;IF(AN40="","",", "&amp;AN40)&amp;IF(AQ40="","",", "&amp;AQ40)&amp;IF(AT40="","",", "&amp;AT40)&amp;IF(AW40="","",", "&amp;AW40)&amp;IF(AZ40="","",", "&amp;AZ40),3,500)</f>
        <v/>
      </c>
      <c r="BH40" s="12" t="n"/>
      <c r="BI40" s="15">
        <f>IFERROR(MATCH($A40,IF($B40="Onsite",tbl_Onsite[Row ID],IF($B40="Production",tbl_Production[Row ID],tbl_Consulting[Row ID])),0),"")</f>
        <v/>
      </c>
    </row>
    <row r="41">
      <c r="A41" s="10" t="inlineStr">
        <is>
          <t>ONS-0035</t>
        </is>
      </c>
      <c r="B41" s="10" t="inlineStr">
        <is>
          <t>Onsite</t>
        </is>
      </c>
      <c r="C41" s="10">
        <f>IF($BI41="","",IF($B41="Onsite",INDEX(tbl_Onsite[Job Number],$BI41),IF($B41="Production",INDEX(tbl_Production[Job Number],$BI41),INDEX(tbl_Consulting[Job Number],$BI41)))&amp;"")</f>
        <v/>
      </c>
      <c r="D41" s="10">
        <f>IF($BI41="","",IF($B41="Onsite",INDEX(tbl_Onsite[Client],$BI41),IF($B41="Production",INDEX(tbl_Production[Client],$BI41),INDEX(tbl_Consulting[Client],$BI41)))&amp;"")</f>
        <v/>
      </c>
      <c r="E41" s="10">
        <f>IF($C41="","",IF(COUNTIF(lst_Jobs,$C41)&gt;0,"OK","CHECK"))</f>
        <v/>
      </c>
      <c r="F41" s="10">
        <f>IF($C41="","",IFERROR(INDEX(lst_JobName,MATCH($C41,lst_Jobs,0)),""))</f>
        <v/>
      </c>
      <c r="G41" s="10">
        <f>IF($BI41="","",IF($B41="Onsite",INDEX(tbl_Onsite[Job Description],$BI41),IF($B41="Production",INDEX(tbl_Production[Job Description],$BI41),INDEX(tbl_Consulting[Job Description],$BI41)))&amp;"")</f>
        <v/>
      </c>
      <c r="H41" s="10">
        <f>IF($BI41="","",IF($B41="Onsite",INDEX(tbl_Onsite[Cost Centre],$BI41),IF($B41="Production",INDEX(tbl_Production[Cost Centre],$BI41),INDEX(tbl_Consulting[Cost Centre],$BI41)))&amp;"")</f>
        <v/>
      </c>
      <c r="I41" s="10">
        <f>IF($BI41="","",IF($B41="Onsite",INDEX(tbl_Onsite[Invoice Type],$BI41),IF($B41="Production",INDEX(tbl_Production[Invoice Type],$BI41),INDEX(tbl_Consulting[Invoice Type],$BI41)))&amp;"")</f>
        <v/>
      </c>
      <c r="J41" s="10">
        <f>IF($BI41="","",IF($B41="Onsite",INDEX(tbl_Onsite[Tax Code],$BI41),IF($B41="Production",INDEX(tbl_Production[Tax Code],$BI41),INDEX(tbl_Consulting[Tax Code],$BI41)))&amp;"")</f>
        <v/>
      </c>
      <c r="K41" s="10">
        <f>IF(H41="","",IFERROR(INDEX(lst_CCtoGL,MATCH(H41,lst_CCforGL,0)),""))</f>
        <v/>
      </c>
      <c r="L41" s="10">
        <f>IF($BI41="","",IF($B41="Onsite",INDEX(tbl_Onsite[PO / Reference],$BI41),IF($B41="Production",INDEX(tbl_Production[Current RMS No],$BI41),INDEX(tbl_Consulting[Qwilr Quote],$BI41)))&amp;"")</f>
        <v/>
      </c>
      <c r="M41" s="10">
        <f>IF($BI41="","",IF($B41="Onsite",INDEX(tbl_Onsite[Notes],$BI41),IF($B41="Production",INDEX(tbl_Production[Notes],$BI41),INDEX(tbl_Consulting[Notes],$BI41)))&amp;"")</f>
        <v/>
      </c>
      <c r="N41" s="11">
        <f>IF($BI41="","",IF(IF($B41="Onsite",INDEX(tbl_Onsite[Expected Revenue Ex GST],$BI41),IF($B41="Production",INDEX(tbl_Production[Expected Revenue Ex GST],$BI41),INDEX(tbl_Consulting[Expected Revenue Ex GST],$BI41)))="","",IF($B41="Onsite",INDEX(tbl_Onsite[Expected Revenue Ex GST],$BI41),IF($B41="Production",INDEX(tbl_Production[Expected Revenue Ex GST],$BI41),INDEX(tbl_Consulting[Expected Revenue Ex GST],$BI41)))))</f>
        <v/>
      </c>
      <c r="O41" s="11">
        <f>IF(AND($C41="",NOT(COUNTA($S41:$BB41)&gt;0)),"",SUM(U41,X41,AA41,AD41,AG41,AJ41,AM41,AP41,AS41,AV41,AY41,BB41))</f>
        <v/>
      </c>
      <c r="P41" s="11">
        <f>IF(O41="","",N(N41)-O41)</f>
        <v/>
      </c>
      <c r="Q41" s="10">
        <f>IF(O41="","",IF($C41="","Invoice on empty job row",IF(N41="",IF(ROUND(O41,2)=0,"No dept value","Invoiced - no dept value"),IF(ROUND(O41,2)=0,"Not invoiced - to invoice",IF(ROUND(P41,2)=0,"Agrees",IF(P41&gt;0,"Dept higher - to invoice","Xero higher - check dept"))))))</f>
        <v/>
      </c>
      <c r="R41" s="10">
        <f>IF(AND($C41="",NOT(COUNTA($S41:$BB41)&gt;0),$BI41&lt;&gt;""),"",MID(IF($BI41="","; Row ID not found on the department sheet - a row was deleted","")&amp;IF(AND($C41="",COUNTA($S41:$BB41)&gt;0),"; Invoice entered but the department row has no job number","")&amp;IF(E41="CHECK","; Job number not in the Xero job list","")&amp;IF(AND($C41&lt;&gt;"",COUNTIF($C$7:$C$1506,$C41)&gt;1),"; Job number on more than one row","")&amp;IF(AND($C41&lt;&gt;"",H41=""),"; Dept has not set a cost centre","")&amp;IF(AND($C41&lt;&gt;"",J41=""),"; Dept has not set a tax code","")&amp;IF(AND($C41&lt;&gt;"",N41=""),"; Dept has not entered an expected value","")&amp;IF((IF(OR(COUNTA(S41:U41)=0,AND(COUNTA(S41:U41)=3,ISNUMBER(U41))),0,1)+IF(OR(COUNTA(V41:X41)=0,AND(COUNTA(V41:X41)=3,ISNUMBER(X41))),0,1)+IF(OR(COUNTA(Y41:AA41)=0,AND(COUNTA(Y41:AA41)=3,ISNUMBER(AA41))),0,1)+IF(OR(COUNTA(AB41:AD41)=0,AND(COUNTA(AB41:AD41)=3,ISNUMBER(AD41))),0,1)+IF(OR(COUNTA(AE41:AG41)=0,AND(COUNTA(AE41:AG41)=3,ISNUMBER(AG41))),0,1)+IF(OR(COUNTA(AH41:AJ41)=0,AND(COUNTA(AH41:AJ41)=3,ISNUMBER(AJ41))),0,1)+IF(OR(COUNTA(AK41:AM41)=0,AND(COUNTA(AK41:AM41)=3,ISNUMBER(AM41))),0,1)+IF(OR(COUNTA(AN41:AP41)=0,AND(COUNTA(AN41:AP41)=3,ISNUMBER(AP41))),0,1)+IF(OR(COUNTA(AQ41:AS41)=0,AND(COUNTA(AQ41:AS41)=3,ISNUMBER(AS41))),0,1)+IF(OR(COUNTA(AT41:AV41)=0,AND(COUNTA(AT41:AV41)=3,ISNUMBER(AV41))),0,1)+IF(OR(COUNTA(AW41:AY41)=0,AND(COUNTA(AW41:AY41)=3,ISNUMBER(AY41))),0,1)+IF(OR(COUNTA(AZ41:BB41)=0,AND(COUNTA(AZ41:BB41)=3,ISNUMBER(BB41))),0,1))&gt;0,"; An invoice is incomplete (needs No, Date and a number in Ex GST)","")&amp;IF((IF(T41="",0,IFERROR(--(EOMONTH(T41,0)&lt;&gt;S$5),1))+IF(W41="",0,IFERROR(--(EOMONTH(W41,0)&lt;&gt;V$5),1))+IF(Z41="",0,IFERROR(--(EOMONTH(Z41,0)&lt;&gt;Y$5),1))+IF(AC41="",0,IFERROR(--(EOMONTH(AC41,0)&lt;&gt;AB$5),1))+IF(AF41="",0,IFERROR(--(EOMONTH(AF41,0)&lt;&gt;AE$5),1))+IF(AI41="",0,IFERROR(--(EOMONTH(AI41,0)&lt;&gt;AH$5),1))+IF(AL41="",0,IFERROR(--(EOMONTH(AL41,0)&lt;&gt;AK$5),1))+IF(AO41="",0,IFERROR(--(EOMONTH(AO41,0)&lt;&gt;AN$5),1))+IF(AR41="",0,IFERROR(--(EOMONTH(AR41,0)&lt;&gt;AQ$5),1))+IF(AU41="",0,IFERROR(--(EOMONTH(AU41,0)&lt;&gt;AT$5),1))+IF(AX41="",0,IFERROR(--(EOMONTH(AX41,0)&lt;&gt;AW$5),1))+IF(BA41="",0,IFERROR(--(EOMONTH(BA41,0)&lt;&gt;AZ$5),1)))&gt;0,"; An invoice date is not in the month it is typed under",""),3,500))</f>
        <v/>
      </c>
      <c r="S41" s="12" t="n"/>
      <c r="T41" s="13" t="n"/>
      <c r="U41" s="14" t="n"/>
      <c r="V41" s="12" t="n"/>
      <c r="W41" s="13" t="n"/>
      <c r="X41" s="14" t="n"/>
      <c r="Y41" s="12" t="n"/>
      <c r="Z41" s="13" t="n"/>
      <c r="AA41" s="14" t="n"/>
      <c r="AB41" s="12" t="n"/>
      <c r="AC41" s="13" t="n"/>
      <c r="AD41" s="14" t="n"/>
      <c r="AE41" s="12" t="n"/>
      <c r="AF41" s="13" t="n"/>
      <c r="AG41" s="14" t="n"/>
      <c r="AH41" s="12" t="n"/>
      <c r="AI41" s="13" t="n"/>
      <c r="AJ41" s="14" t="n"/>
      <c r="AK41" s="12" t="n"/>
      <c r="AL41" s="13" t="n"/>
      <c r="AM41" s="14" t="n"/>
      <c r="AN41" s="12" t="n"/>
      <c r="AO41" s="13" t="n"/>
      <c r="AP41" s="14" t="n"/>
      <c r="AQ41" s="12" t="n"/>
      <c r="AR41" s="13" t="n"/>
      <c r="AS41" s="14" t="n"/>
      <c r="AT41" s="12" t="n"/>
      <c r="AU41" s="13" t="n"/>
      <c r="AV41" s="14" t="n"/>
      <c r="AW41" s="12" t="n"/>
      <c r="AX41" s="13" t="n"/>
      <c r="AY41" s="14" t="n"/>
      <c r="AZ41" s="12" t="n"/>
      <c r="BA41" s="13" t="n"/>
      <c r="BB41" s="14" t="n"/>
      <c r="BC41" s="11">
        <f>IF(O41="","",IF(J41="GST 10%",ROUND(O41*set_GSTRate,2),0))</f>
        <v/>
      </c>
      <c r="BD41" s="11">
        <f>IF(O41="","",O41+BC41)</f>
        <v/>
      </c>
      <c r="BE41" s="15">
        <f>IF(O41="","",COUNTA(S41,V41,Y41,AB41,AE41,AH41,AK41,AN41,AQ41,AT41,AW41,AZ41))</f>
        <v/>
      </c>
      <c r="BF41" s="16">
        <f>IF(COUNT(T41,W41,Z41,AC41,AF41,AI41,AL41,AO41,AR41,AU41,AX41,BA41)=0,"",MAX(T41,W41,Z41,AC41,AF41,AI41,AL41,AO41,AR41,AU41,AX41,BA41))</f>
        <v/>
      </c>
      <c r="BG41" s="10">
        <f>MID(IF(S41="","",", "&amp;S41)&amp;IF(V41="","",", "&amp;V41)&amp;IF(Y41="","",", "&amp;Y41)&amp;IF(AB41="","",", "&amp;AB41)&amp;IF(AE41="","",", "&amp;AE41)&amp;IF(AH41="","",", "&amp;AH41)&amp;IF(AK41="","",", "&amp;AK41)&amp;IF(AN41="","",", "&amp;AN41)&amp;IF(AQ41="","",", "&amp;AQ41)&amp;IF(AT41="","",", "&amp;AT41)&amp;IF(AW41="","",", "&amp;AW41)&amp;IF(AZ41="","",", "&amp;AZ41),3,500)</f>
        <v/>
      </c>
      <c r="BH41" s="12" t="n"/>
      <c r="BI41" s="15">
        <f>IFERROR(MATCH($A41,IF($B41="Onsite",tbl_Onsite[Row ID],IF($B41="Production",tbl_Production[Row ID],tbl_Consulting[Row ID])),0),"")</f>
        <v/>
      </c>
    </row>
    <row r="42">
      <c r="A42" s="10" t="inlineStr">
        <is>
          <t>ONS-0036</t>
        </is>
      </c>
      <c r="B42" s="10" t="inlineStr">
        <is>
          <t>Onsite</t>
        </is>
      </c>
      <c r="C42" s="10">
        <f>IF($BI42="","",IF($B42="Onsite",INDEX(tbl_Onsite[Job Number],$BI42),IF($B42="Production",INDEX(tbl_Production[Job Number],$BI42),INDEX(tbl_Consulting[Job Number],$BI42)))&amp;"")</f>
        <v/>
      </c>
      <c r="D42" s="10">
        <f>IF($BI42="","",IF($B42="Onsite",INDEX(tbl_Onsite[Client],$BI42),IF($B42="Production",INDEX(tbl_Production[Client],$BI42),INDEX(tbl_Consulting[Client],$BI42)))&amp;"")</f>
        <v/>
      </c>
      <c r="E42" s="10">
        <f>IF($C42="","",IF(COUNTIF(lst_Jobs,$C42)&gt;0,"OK","CHECK"))</f>
        <v/>
      </c>
      <c r="F42" s="10">
        <f>IF($C42="","",IFERROR(INDEX(lst_JobName,MATCH($C42,lst_Jobs,0)),""))</f>
        <v/>
      </c>
      <c r="G42" s="10">
        <f>IF($BI42="","",IF($B42="Onsite",INDEX(tbl_Onsite[Job Description],$BI42),IF($B42="Production",INDEX(tbl_Production[Job Description],$BI42),INDEX(tbl_Consulting[Job Description],$BI42)))&amp;"")</f>
        <v/>
      </c>
      <c r="H42" s="10">
        <f>IF($BI42="","",IF($B42="Onsite",INDEX(tbl_Onsite[Cost Centre],$BI42),IF($B42="Production",INDEX(tbl_Production[Cost Centre],$BI42),INDEX(tbl_Consulting[Cost Centre],$BI42)))&amp;"")</f>
        <v/>
      </c>
      <c r="I42" s="10">
        <f>IF($BI42="","",IF($B42="Onsite",INDEX(tbl_Onsite[Invoice Type],$BI42),IF($B42="Production",INDEX(tbl_Production[Invoice Type],$BI42),INDEX(tbl_Consulting[Invoice Type],$BI42)))&amp;"")</f>
        <v/>
      </c>
      <c r="J42" s="10">
        <f>IF($BI42="","",IF($B42="Onsite",INDEX(tbl_Onsite[Tax Code],$BI42),IF($B42="Production",INDEX(tbl_Production[Tax Code],$BI42),INDEX(tbl_Consulting[Tax Code],$BI42)))&amp;"")</f>
        <v/>
      </c>
      <c r="K42" s="10">
        <f>IF(H42="","",IFERROR(INDEX(lst_CCtoGL,MATCH(H42,lst_CCforGL,0)),""))</f>
        <v/>
      </c>
      <c r="L42" s="10">
        <f>IF($BI42="","",IF($B42="Onsite",INDEX(tbl_Onsite[PO / Reference],$BI42),IF($B42="Production",INDEX(tbl_Production[Current RMS No],$BI42),INDEX(tbl_Consulting[Qwilr Quote],$BI42)))&amp;"")</f>
        <v/>
      </c>
      <c r="M42" s="10">
        <f>IF($BI42="","",IF($B42="Onsite",INDEX(tbl_Onsite[Notes],$BI42),IF($B42="Production",INDEX(tbl_Production[Notes],$BI42),INDEX(tbl_Consulting[Notes],$BI42)))&amp;"")</f>
        <v/>
      </c>
      <c r="N42" s="11">
        <f>IF($BI42="","",IF(IF($B42="Onsite",INDEX(tbl_Onsite[Expected Revenue Ex GST],$BI42),IF($B42="Production",INDEX(tbl_Production[Expected Revenue Ex GST],$BI42),INDEX(tbl_Consulting[Expected Revenue Ex GST],$BI42)))="","",IF($B42="Onsite",INDEX(tbl_Onsite[Expected Revenue Ex GST],$BI42),IF($B42="Production",INDEX(tbl_Production[Expected Revenue Ex GST],$BI42),INDEX(tbl_Consulting[Expected Revenue Ex GST],$BI42)))))</f>
        <v/>
      </c>
      <c r="O42" s="11">
        <f>IF(AND($C42="",NOT(COUNTA($S42:$BB42)&gt;0)),"",SUM(U42,X42,AA42,AD42,AG42,AJ42,AM42,AP42,AS42,AV42,AY42,BB42))</f>
        <v/>
      </c>
      <c r="P42" s="11">
        <f>IF(O42="","",N(N42)-O42)</f>
        <v/>
      </c>
      <c r="Q42" s="10">
        <f>IF(O42="","",IF($C42="","Invoice on empty job row",IF(N42="",IF(ROUND(O42,2)=0,"No dept value","Invoiced - no dept value"),IF(ROUND(O42,2)=0,"Not invoiced - to invoice",IF(ROUND(P42,2)=0,"Agrees",IF(P42&gt;0,"Dept higher - to invoice","Xero higher - check dept"))))))</f>
        <v/>
      </c>
      <c r="R42" s="10">
        <f>IF(AND($C42="",NOT(COUNTA($S42:$BB42)&gt;0),$BI42&lt;&gt;""),"",MID(IF($BI42="","; Row ID not found on the department sheet - a row was deleted","")&amp;IF(AND($C42="",COUNTA($S42:$BB42)&gt;0),"; Invoice entered but the department row has no job number","")&amp;IF(E42="CHECK","; Job number not in the Xero job list","")&amp;IF(AND($C42&lt;&gt;"",COUNTIF($C$7:$C$1506,$C42)&gt;1),"; Job number on more than one row","")&amp;IF(AND($C42&lt;&gt;"",H42=""),"; Dept has not set a cost centre","")&amp;IF(AND($C42&lt;&gt;"",J42=""),"; Dept has not set a tax code","")&amp;IF(AND($C42&lt;&gt;"",N42=""),"; Dept has not entered an expected value","")&amp;IF((IF(OR(COUNTA(S42:U42)=0,AND(COUNTA(S42:U42)=3,ISNUMBER(U42))),0,1)+IF(OR(COUNTA(V42:X42)=0,AND(COUNTA(V42:X42)=3,ISNUMBER(X42))),0,1)+IF(OR(COUNTA(Y42:AA42)=0,AND(COUNTA(Y42:AA42)=3,ISNUMBER(AA42))),0,1)+IF(OR(COUNTA(AB42:AD42)=0,AND(COUNTA(AB42:AD42)=3,ISNUMBER(AD42))),0,1)+IF(OR(COUNTA(AE42:AG42)=0,AND(COUNTA(AE42:AG42)=3,ISNUMBER(AG42))),0,1)+IF(OR(COUNTA(AH42:AJ42)=0,AND(COUNTA(AH42:AJ42)=3,ISNUMBER(AJ42))),0,1)+IF(OR(COUNTA(AK42:AM42)=0,AND(COUNTA(AK42:AM42)=3,ISNUMBER(AM42))),0,1)+IF(OR(COUNTA(AN42:AP42)=0,AND(COUNTA(AN42:AP42)=3,ISNUMBER(AP42))),0,1)+IF(OR(COUNTA(AQ42:AS42)=0,AND(COUNTA(AQ42:AS42)=3,ISNUMBER(AS42))),0,1)+IF(OR(COUNTA(AT42:AV42)=0,AND(COUNTA(AT42:AV42)=3,ISNUMBER(AV42))),0,1)+IF(OR(COUNTA(AW42:AY42)=0,AND(COUNTA(AW42:AY42)=3,ISNUMBER(AY42))),0,1)+IF(OR(COUNTA(AZ42:BB42)=0,AND(COUNTA(AZ42:BB42)=3,ISNUMBER(BB42))),0,1))&gt;0,"; An invoice is incomplete (needs No, Date and a number in Ex GST)","")&amp;IF((IF(T42="",0,IFERROR(--(EOMONTH(T42,0)&lt;&gt;S$5),1))+IF(W42="",0,IFERROR(--(EOMONTH(W42,0)&lt;&gt;V$5),1))+IF(Z42="",0,IFERROR(--(EOMONTH(Z42,0)&lt;&gt;Y$5),1))+IF(AC42="",0,IFERROR(--(EOMONTH(AC42,0)&lt;&gt;AB$5),1))+IF(AF42="",0,IFERROR(--(EOMONTH(AF42,0)&lt;&gt;AE$5),1))+IF(AI42="",0,IFERROR(--(EOMONTH(AI42,0)&lt;&gt;AH$5),1))+IF(AL42="",0,IFERROR(--(EOMONTH(AL42,0)&lt;&gt;AK$5),1))+IF(AO42="",0,IFERROR(--(EOMONTH(AO42,0)&lt;&gt;AN$5),1))+IF(AR42="",0,IFERROR(--(EOMONTH(AR42,0)&lt;&gt;AQ$5),1))+IF(AU42="",0,IFERROR(--(EOMONTH(AU42,0)&lt;&gt;AT$5),1))+IF(AX42="",0,IFERROR(--(EOMONTH(AX42,0)&lt;&gt;AW$5),1))+IF(BA42="",0,IFERROR(--(EOMONTH(BA42,0)&lt;&gt;AZ$5),1)))&gt;0,"; An invoice date is not in the month it is typed under",""),3,500))</f>
        <v/>
      </c>
      <c r="S42" s="12" t="n"/>
      <c r="T42" s="13" t="n"/>
      <c r="U42" s="14" t="n"/>
      <c r="V42" s="12" t="n"/>
      <c r="W42" s="13" t="n"/>
      <c r="X42" s="14" t="n"/>
      <c r="Y42" s="12" t="n"/>
      <c r="Z42" s="13" t="n"/>
      <c r="AA42" s="14" t="n"/>
      <c r="AB42" s="12" t="n"/>
      <c r="AC42" s="13" t="n"/>
      <c r="AD42" s="14" t="n"/>
      <c r="AE42" s="12" t="n"/>
      <c r="AF42" s="13" t="n"/>
      <c r="AG42" s="14" t="n"/>
      <c r="AH42" s="12" t="n"/>
      <c r="AI42" s="13" t="n"/>
      <c r="AJ42" s="14" t="n"/>
      <c r="AK42" s="12" t="n"/>
      <c r="AL42" s="13" t="n"/>
      <c r="AM42" s="14" t="n"/>
      <c r="AN42" s="12" t="n"/>
      <c r="AO42" s="13" t="n"/>
      <c r="AP42" s="14" t="n"/>
      <c r="AQ42" s="12" t="n"/>
      <c r="AR42" s="13" t="n"/>
      <c r="AS42" s="14" t="n"/>
      <c r="AT42" s="12" t="n"/>
      <c r="AU42" s="13" t="n"/>
      <c r="AV42" s="14" t="n"/>
      <c r="AW42" s="12" t="n"/>
      <c r="AX42" s="13" t="n"/>
      <c r="AY42" s="14" t="n"/>
      <c r="AZ42" s="12" t="n"/>
      <c r="BA42" s="13" t="n"/>
      <c r="BB42" s="14" t="n"/>
      <c r="BC42" s="11">
        <f>IF(O42="","",IF(J42="GST 10%",ROUND(O42*set_GSTRate,2),0))</f>
        <v/>
      </c>
      <c r="BD42" s="11">
        <f>IF(O42="","",O42+BC42)</f>
        <v/>
      </c>
      <c r="BE42" s="15">
        <f>IF(O42="","",COUNTA(S42,V42,Y42,AB42,AE42,AH42,AK42,AN42,AQ42,AT42,AW42,AZ42))</f>
        <v/>
      </c>
      <c r="BF42" s="16">
        <f>IF(COUNT(T42,W42,Z42,AC42,AF42,AI42,AL42,AO42,AR42,AU42,AX42,BA42)=0,"",MAX(T42,W42,Z42,AC42,AF42,AI42,AL42,AO42,AR42,AU42,AX42,BA42))</f>
        <v/>
      </c>
      <c r="BG42" s="10">
        <f>MID(IF(S42="","",", "&amp;S42)&amp;IF(V42="","",", "&amp;V42)&amp;IF(Y42="","",", "&amp;Y42)&amp;IF(AB42="","",", "&amp;AB42)&amp;IF(AE42="","",", "&amp;AE42)&amp;IF(AH42="","",", "&amp;AH42)&amp;IF(AK42="","",", "&amp;AK42)&amp;IF(AN42="","",", "&amp;AN42)&amp;IF(AQ42="","",", "&amp;AQ42)&amp;IF(AT42="","",", "&amp;AT42)&amp;IF(AW42="","",", "&amp;AW42)&amp;IF(AZ42="","",", "&amp;AZ42),3,500)</f>
        <v/>
      </c>
      <c r="BH42" s="12" t="n"/>
      <c r="BI42" s="15">
        <f>IFERROR(MATCH($A42,IF($B42="Onsite",tbl_Onsite[Row ID],IF($B42="Production",tbl_Production[Row ID],tbl_Consulting[Row ID])),0),"")</f>
        <v/>
      </c>
    </row>
    <row r="43">
      <c r="A43" s="10" t="inlineStr">
        <is>
          <t>ONS-0037</t>
        </is>
      </c>
      <c r="B43" s="10" t="inlineStr">
        <is>
          <t>Onsite</t>
        </is>
      </c>
      <c r="C43" s="10">
        <f>IF($BI43="","",IF($B43="Onsite",INDEX(tbl_Onsite[Job Number],$BI43),IF($B43="Production",INDEX(tbl_Production[Job Number],$BI43),INDEX(tbl_Consulting[Job Number],$BI43)))&amp;"")</f>
        <v/>
      </c>
      <c r="D43" s="10">
        <f>IF($BI43="","",IF($B43="Onsite",INDEX(tbl_Onsite[Client],$BI43),IF($B43="Production",INDEX(tbl_Production[Client],$BI43),INDEX(tbl_Consulting[Client],$BI43)))&amp;"")</f>
        <v/>
      </c>
      <c r="E43" s="10">
        <f>IF($C43="","",IF(COUNTIF(lst_Jobs,$C43)&gt;0,"OK","CHECK"))</f>
        <v/>
      </c>
      <c r="F43" s="10">
        <f>IF($C43="","",IFERROR(INDEX(lst_JobName,MATCH($C43,lst_Jobs,0)),""))</f>
        <v/>
      </c>
      <c r="G43" s="10">
        <f>IF($BI43="","",IF($B43="Onsite",INDEX(tbl_Onsite[Job Description],$BI43),IF($B43="Production",INDEX(tbl_Production[Job Description],$BI43),INDEX(tbl_Consulting[Job Description],$BI43)))&amp;"")</f>
        <v/>
      </c>
      <c r="H43" s="10">
        <f>IF($BI43="","",IF($B43="Onsite",INDEX(tbl_Onsite[Cost Centre],$BI43),IF($B43="Production",INDEX(tbl_Production[Cost Centre],$BI43),INDEX(tbl_Consulting[Cost Centre],$BI43)))&amp;"")</f>
        <v/>
      </c>
      <c r="I43" s="10">
        <f>IF($BI43="","",IF($B43="Onsite",INDEX(tbl_Onsite[Invoice Type],$BI43),IF($B43="Production",INDEX(tbl_Production[Invoice Type],$BI43),INDEX(tbl_Consulting[Invoice Type],$BI43)))&amp;"")</f>
        <v/>
      </c>
      <c r="J43" s="10">
        <f>IF($BI43="","",IF($B43="Onsite",INDEX(tbl_Onsite[Tax Code],$BI43),IF($B43="Production",INDEX(tbl_Production[Tax Code],$BI43),INDEX(tbl_Consulting[Tax Code],$BI43)))&amp;"")</f>
        <v/>
      </c>
      <c r="K43" s="10">
        <f>IF(H43="","",IFERROR(INDEX(lst_CCtoGL,MATCH(H43,lst_CCforGL,0)),""))</f>
        <v/>
      </c>
      <c r="L43" s="10">
        <f>IF($BI43="","",IF($B43="Onsite",INDEX(tbl_Onsite[PO / Reference],$BI43),IF($B43="Production",INDEX(tbl_Production[Current RMS No],$BI43),INDEX(tbl_Consulting[Qwilr Quote],$BI43)))&amp;"")</f>
        <v/>
      </c>
      <c r="M43" s="10">
        <f>IF($BI43="","",IF($B43="Onsite",INDEX(tbl_Onsite[Notes],$BI43),IF($B43="Production",INDEX(tbl_Production[Notes],$BI43),INDEX(tbl_Consulting[Notes],$BI43)))&amp;"")</f>
        <v/>
      </c>
      <c r="N43" s="11">
        <f>IF($BI43="","",IF(IF($B43="Onsite",INDEX(tbl_Onsite[Expected Revenue Ex GST],$BI43),IF($B43="Production",INDEX(tbl_Production[Expected Revenue Ex GST],$BI43),INDEX(tbl_Consulting[Expected Revenue Ex GST],$BI43)))="","",IF($B43="Onsite",INDEX(tbl_Onsite[Expected Revenue Ex GST],$BI43),IF($B43="Production",INDEX(tbl_Production[Expected Revenue Ex GST],$BI43),INDEX(tbl_Consulting[Expected Revenue Ex GST],$BI43)))))</f>
        <v/>
      </c>
      <c r="O43" s="11">
        <f>IF(AND($C43="",NOT(COUNTA($S43:$BB43)&gt;0)),"",SUM(U43,X43,AA43,AD43,AG43,AJ43,AM43,AP43,AS43,AV43,AY43,BB43))</f>
        <v/>
      </c>
      <c r="P43" s="11">
        <f>IF(O43="","",N(N43)-O43)</f>
        <v/>
      </c>
      <c r="Q43" s="10">
        <f>IF(O43="","",IF($C43="","Invoice on empty job row",IF(N43="",IF(ROUND(O43,2)=0,"No dept value","Invoiced - no dept value"),IF(ROUND(O43,2)=0,"Not invoiced - to invoice",IF(ROUND(P43,2)=0,"Agrees",IF(P43&gt;0,"Dept higher - to invoice","Xero higher - check dept"))))))</f>
        <v/>
      </c>
      <c r="R43" s="10">
        <f>IF(AND($C43="",NOT(COUNTA($S43:$BB43)&gt;0),$BI43&lt;&gt;""),"",MID(IF($BI43="","; Row ID not found on the department sheet - a row was deleted","")&amp;IF(AND($C43="",COUNTA($S43:$BB43)&gt;0),"; Invoice entered but the department row has no job number","")&amp;IF(E43="CHECK","; Job number not in the Xero job list","")&amp;IF(AND($C43&lt;&gt;"",COUNTIF($C$7:$C$1506,$C43)&gt;1),"; Job number on more than one row","")&amp;IF(AND($C43&lt;&gt;"",H43=""),"; Dept has not set a cost centre","")&amp;IF(AND($C43&lt;&gt;"",J43=""),"; Dept has not set a tax code","")&amp;IF(AND($C43&lt;&gt;"",N43=""),"; Dept has not entered an expected value","")&amp;IF((IF(OR(COUNTA(S43:U43)=0,AND(COUNTA(S43:U43)=3,ISNUMBER(U43))),0,1)+IF(OR(COUNTA(V43:X43)=0,AND(COUNTA(V43:X43)=3,ISNUMBER(X43))),0,1)+IF(OR(COUNTA(Y43:AA43)=0,AND(COUNTA(Y43:AA43)=3,ISNUMBER(AA43))),0,1)+IF(OR(COUNTA(AB43:AD43)=0,AND(COUNTA(AB43:AD43)=3,ISNUMBER(AD43))),0,1)+IF(OR(COUNTA(AE43:AG43)=0,AND(COUNTA(AE43:AG43)=3,ISNUMBER(AG43))),0,1)+IF(OR(COUNTA(AH43:AJ43)=0,AND(COUNTA(AH43:AJ43)=3,ISNUMBER(AJ43))),0,1)+IF(OR(COUNTA(AK43:AM43)=0,AND(COUNTA(AK43:AM43)=3,ISNUMBER(AM43))),0,1)+IF(OR(COUNTA(AN43:AP43)=0,AND(COUNTA(AN43:AP43)=3,ISNUMBER(AP43))),0,1)+IF(OR(COUNTA(AQ43:AS43)=0,AND(COUNTA(AQ43:AS43)=3,ISNUMBER(AS43))),0,1)+IF(OR(COUNTA(AT43:AV43)=0,AND(COUNTA(AT43:AV43)=3,ISNUMBER(AV43))),0,1)+IF(OR(COUNTA(AW43:AY43)=0,AND(COUNTA(AW43:AY43)=3,ISNUMBER(AY43))),0,1)+IF(OR(COUNTA(AZ43:BB43)=0,AND(COUNTA(AZ43:BB43)=3,ISNUMBER(BB43))),0,1))&gt;0,"; An invoice is incomplete (needs No, Date and a number in Ex GST)","")&amp;IF((IF(T43="",0,IFERROR(--(EOMONTH(T43,0)&lt;&gt;S$5),1))+IF(W43="",0,IFERROR(--(EOMONTH(W43,0)&lt;&gt;V$5),1))+IF(Z43="",0,IFERROR(--(EOMONTH(Z43,0)&lt;&gt;Y$5),1))+IF(AC43="",0,IFERROR(--(EOMONTH(AC43,0)&lt;&gt;AB$5),1))+IF(AF43="",0,IFERROR(--(EOMONTH(AF43,0)&lt;&gt;AE$5),1))+IF(AI43="",0,IFERROR(--(EOMONTH(AI43,0)&lt;&gt;AH$5),1))+IF(AL43="",0,IFERROR(--(EOMONTH(AL43,0)&lt;&gt;AK$5),1))+IF(AO43="",0,IFERROR(--(EOMONTH(AO43,0)&lt;&gt;AN$5),1))+IF(AR43="",0,IFERROR(--(EOMONTH(AR43,0)&lt;&gt;AQ$5),1))+IF(AU43="",0,IFERROR(--(EOMONTH(AU43,0)&lt;&gt;AT$5),1))+IF(AX43="",0,IFERROR(--(EOMONTH(AX43,0)&lt;&gt;AW$5),1))+IF(BA43="",0,IFERROR(--(EOMONTH(BA43,0)&lt;&gt;AZ$5),1)))&gt;0,"; An invoice date is not in the month it is typed under",""),3,500))</f>
        <v/>
      </c>
      <c r="S43" s="12" t="n"/>
      <c r="T43" s="13" t="n"/>
      <c r="U43" s="14" t="n"/>
      <c r="V43" s="12" t="n"/>
      <c r="W43" s="13" t="n"/>
      <c r="X43" s="14" t="n"/>
      <c r="Y43" s="12" t="n"/>
      <c r="Z43" s="13" t="n"/>
      <c r="AA43" s="14" t="n"/>
      <c r="AB43" s="12" t="n"/>
      <c r="AC43" s="13" t="n"/>
      <c r="AD43" s="14" t="n"/>
      <c r="AE43" s="12" t="n"/>
      <c r="AF43" s="13" t="n"/>
      <c r="AG43" s="14" t="n"/>
      <c r="AH43" s="12" t="n"/>
      <c r="AI43" s="13" t="n"/>
      <c r="AJ43" s="14" t="n"/>
      <c r="AK43" s="12" t="n"/>
      <c r="AL43" s="13" t="n"/>
      <c r="AM43" s="14" t="n"/>
      <c r="AN43" s="12" t="n"/>
      <c r="AO43" s="13" t="n"/>
      <c r="AP43" s="14" t="n"/>
      <c r="AQ43" s="12" t="n"/>
      <c r="AR43" s="13" t="n"/>
      <c r="AS43" s="14" t="n"/>
      <c r="AT43" s="12" t="n"/>
      <c r="AU43" s="13" t="n"/>
      <c r="AV43" s="14" t="n"/>
      <c r="AW43" s="12" t="n"/>
      <c r="AX43" s="13" t="n"/>
      <c r="AY43" s="14" t="n"/>
      <c r="AZ43" s="12" t="n"/>
      <c r="BA43" s="13" t="n"/>
      <c r="BB43" s="14" t="n"/>
      <c r="BC43" s="11">
        <f>IF(O43="","",IF(J43="GST 10%",ROUND(O43*set_GSTRate,2),0))</f>
        <v/>
      </c>
      <c r="BD43" s="11">
        <f>IF(O43="","",O43+BC43)</f>
        <v/>
      </c>
      <c r="BE43" s="15">
        <f>IF(O43="","",COUNTA(S43,V43,Y43,AB43,AE43,AH43,AK43,AN43,AQ43,AT43,AW43,AZ43))</f>
        <v/>
      </c>
      <c r="BF43" s="16">
        <f>IF(COUNT(T43,W43,Z43,AC43,AF43,AI43,AL43,AO43,AR43,AU43,AX43,BA43)=0,"",MAX(T43,W43,Z43,AC43,AF43,AI43,AL43,AO43,AR43,AU43,AX43,BA43))</f>
        <v/>
      </c>
      <c r="BG43" s="10">
        <f>MID(IF(S43="","",", "&amp;S43)&amp;IF(V43="","",", "&amp;V43)&amp;IF(Y43="","",", "&amp;Y43)&amp;IF(AB43="","",", "&amp;AB43)&amp;IF(AE43="","",", "&amp;AE43)&amp;IF(AH43="","",", "&amp;AH43)&amp;IF(AK43="","",", "&amp;AK43)&amp;IF(AN43="","",", "&amp;AN43)&amp;IF(AQ43="","",", "&amp;AQ43)&amp;IF(AT43="","",", "&amp;AT43)&amp;IF(AW43="","",", "&amp;AW43)&amp;IF(AZ43="","",", "&amp;AZ43),3,500)</f>
        <v/>
      </c>
      <c r="BH43" s="12" t="n"/>
      <c r="BI43" s="15">
        <f>IFERROR(MATCH($A43,IF($B43="Onsite",tbl_Onsite[Row ID],IF($B43="Production",tbl_Production[Row ID],tbl_Consulting[Row ID])),0),"")</f>
        <v/>
      </c>
    </row>
    <row r="44">
      <c r="A44" s="10" t="inlineStr">
        <is>
          <t>ONS-0038</t>
        </is>
      </c>
      <c r="B44" s="10" t="inlineStr">
        <is>
          <t>Onsite</t>
        </is>
      </c>
      <c r="C44" s="10">
        <f>IF($BI44="","",IF($B44="Onsite",INDEX(tbl_Onsite[Job Number],$BI44),IF($B44="Production",INDEX(tbl_Production[Job Number],$BI44),INDEX(tbl_Consulting[Job Number],$BI44)))&amp;"")</f>
        <v/>
      </c>
      <c r="D44" s="10">
        <f>IF($BI44="","",IF($B44="Onsite",INDEX(tbl_Onsite[Client],$BI44),IF($B44="Production",INDEX(tbl_Production[Client],$BI44),INDEX(tbl_Consulting[Client],$BI44)))&amp;"")</f>
        <v/>
      </c>
      <c r="E44" s="10">
        <f>IF($C44="","",IF(COUNTIF(lst_Jobs,$C44)&gt;0,"OK","CHECK"))</f>
        <v/>
      </c>
      <c r="F44" s="10">
        <f>IF($C44="","",IFERROR(INDEX(lst_JobName,MATCH($C44,lst_Jobs,0)),""))</f>
        <v/>
      </c>
      <c r="G44" s="10">
        <f>IF($BI44="","",IF($B44="Onsite",INDEX(tbl_Onsite[Job Description],$BI44),IF($B44="Production",INDEX(tbl_Production[Job Description],$BI44),INDEX(tbl_Consulting[Job Description],$BI44)))&amp;"")</f>
        <v/>
      </c>
      <c r="H44" s="10">
        <f>IF($BI44="","",IF($B44="Onsite",INDEX(tbl_Onsite[Cost Centre],$BI44),IF($B44="Production",INDEX(tbl_Production[Cost Centre],$BI44),INDEX(tbl_Consulting[Cost Centre],$BI44)))&amp;"")</f>
        <v/>
      </c>
      <c r="I44" s="10">
        <f>IF($BI44="","",IF($B44="Onsite",INDEX(tbl_Onsite[Invoice Type],$BI44),IF($B44="Production",INDEX(tbl_Production[Invoice Type],$BI44),INDEX(tbl_Consulting[Invoice Type],$BI44)))&amp;"")</f>
        <v/>
      </c>
      <c r="J44" s="10">
        <f>IF($BI44="","",IF($B44="Onsite",INDEX(tbl_Onsite[Tax Code],$BI44),IF($B44="Production",INDEX(tbl_Production[Tax Code],$BI44),INDEX(tbl_Consulting[Tax Code],$BI44)))&amp;"")</f>
        <v/>
      </c>
      <c r="K44" s="10">
        <f>IF(H44="","",IFERROR(INDEX(lst_CCtoGL,MATCH(H44,lst_CCforGL,0)),""))</f>
        <v/>
      </c>
      <c r="L44" s="10">
        <f>IF($BI44="","",IF($B44="Onsite",INDEX(tbl_Onsite[PO / Reference],$BI44),IF($B44="Production",INDEX(tbl_Production[Current RMS No],$BI44),INDEX(tbl_Consulting[Qwilr Quote],$BI44)))&amp;"")</f>
        <v/>
      </c>
      <c r="M44" s="10">
        <f>IF($BI44="","",IF($B44="Onsite",INDEX(tbl_Onsite[Notes],$BI44),IF($B44="Production",INDEX(tbl_Production[Notes],$BI44),INDEX(tbl_Consulting[Notes],$BI44)))&amp;"")</f>
        <v/>
      </c>
      <c r="N44" s="11">
        <f>IF($BI44="","",IF(IF($B44="Onsite",INDEX(tbl_Onsite[Expected Revenue Ex GST],$BI44),IF($B44="Production",INDEX(tbl_Production[Expected Revenue Ex GST],$BI44),INDEX(tbl_Consulting[Expected Revenue Ex GST],$BI44)))="","",IF($B44="Onsite",INDEX(tbl_Onsite[Expected Revenue Ex GST],$BI44),IF($B44="Production",INDEX(tbl_Production[Expected Revenue Ex GST],$BI44),INDEX(tbl_Consulting[Expected Revenue Ex GST],$BI44)))))</f>
        <v/>
      </c>
      <c r="O44" s="11">
        <f>IF(AND($C44="",NOT(COUNTA($S44:$BB44)&gt;0)),"",SUM(U44,X44,AA44,AD44,AG44,AJ44,AM44,AP44,AS44,AV44,AY44,BB44))</f>
        <v/>
      </c>
      <c r="P44" s="11">
        <f>IF(O44="","",N(N44)-O44)</f>
        <v/>
      </c>
      <c r="Q44" s="10">
        <f>IF(O44="","",IF($C44="","Invoice on empty job row",IF(N44="",IF(ROUND(O44,2)=0,"No dept value","Invoiced - no dept value"),IF(ROUND(O44,2)=0,"Not invoiced - to invoice",IF(ROUND(P44,2)=0,"Agrees",IF(P44&gt;0,"Dept higher - to invoice","Xero higher - check dept"))))))</f>
        <v/>
      </c>
      <c r="R44" s="10">
        <f>IF(AND($C44="",NOT(COUNTA($S44:$BB44)&gt;0),$BI44&lt;&gt;""),"",MID(IF($BI44="","; Row ID not found on the department sheet - a row was deleted","")&amp;IF(AND($C44="",COUNTA($S44:$BB44)&gt;0),"; Invoice entered but the department row has no job number","")&amp;IF(E44="CHECK","; Job number not in the Xero job list","")&amp;IF(AND($C44&lt;&gt;"",COUNTIF($C$7:$C$1506,$C44)&gt;1),"; Job number on more than one row","")&amp;IF(AND($C44&lt;&gt;"",H44=""),"; Dept has not set a cost centre","")&amp;IF(AND($C44&lt;&gt;"",J44=""),"; Dept has not set a tax code","")&amp;IF(AND($C44&lt;&gt;"",N44=""),"; Dept has not entered an expected value","")&amp;IF((IF(OR(COUNTA(S44:U44)=0,AND(COUNTA(S44:U44)=3,ISNUMBER(U44))),0,1)+IF(OR(COUNTA(V44:X44)=0,AND(COUNTA(V44:X44)=3,ISNUMBER(X44))),0,1)+IF(OR(COUNTA(Y44:AA44)=0,AND(COUNTA(Y44:AA44)=3,ISNUMBER(AA44))),0,1)+IF(OR(COUNTA(AB44:AD44)=0,AND(COUNTA(AB44:AD44)=3,ISNUMBER(AD44))),0,1)+IF(OR(COUNTA(AE44:AG44)=0,AND(COUNTA(AE44:AG44)=3,ISNUMBER(AG44))),0,1)+IF(OR(COUNTA(AH44:AJ44)=0,AND(COUNTA(AH44:AJ44)=3,ISNUMBER(AJ44))),0,1)+IF(OR(COUNTA(AK44:AM44)=0,AND(COUNTA(AK44:AM44)=3,ISNUMBER(AM44))),0,1)+IF(OR(COUNTA(AN44:AP44)=0,AND(COUNTA(AN44:AP44)=3,ISNUMBER(AP44))),0,1)+IF(OR(COUNTA(AQ44:AS44)=0,AND(COUNTA(AQ44:AS44)=3,ISNUMBER(AS44))),0,1)+IF(OR(COUNTA(AT44:AV44)=0,AND(COUNTA(AT44:AV44)=3,ISNUMBER(AV44))),0,1)+IF(OR(COUNTA(AW44:AY44)=0,AND(COUNTA(AW44:AY44)=3,ISNUMBER(AY44))),0,1)+IF(OR(COUNTA(AZ44:BB44)=0,AND(COUNTA(AZ44:BB44)=3,ISNUMBER(BB44))),0,1))&gt;0,"; An invoice is incomplete (needs No, Date and a number in Ex GST)","")&amp;IF((IF(T44="",0,IFERROR(--(EOMONTH(T44,0)&lt;&gt;S$5),1))+IF(W44="",0,IFERROR(--(EOMONTH(W44,0)&lt;&gt;V$5),1))+IF(Z44="",0,IFERROR(--(EOMONTH(Z44,0)&lt;&gt;Y$5),1))+IF(AC44="",0,IFERROR(--(EOMONTH(AC44,0)&lt;&gt;AB$5),1))+IF(AF44="",0,IFERROR(--(EOMONTH(AF44,0)&lt;&gt;AE$5),1))+IF(AI44="",0,IFERROR(--(EOMONTH(AI44,0)&lt;&gt;AH$5),1))+IF(AL44="",0,IFERROR(--(EOMONTH(AL44,0)&lt;&gt;AK$5),1))+IF(AO44="",0,IFERROR(--(EOMONTH(AO44,0)&lt;&gt;AN$5),1))+IF(AR44="",0,IFERROR(--(EOMONTH(AR44,0)&lt;&gt;AQ$5),1))+IF(AU44="",0,IFERROR(--(EOMONTH(AU44,0)&lt;&gt;AT$5),1))+IF(AX44="",0,IFERROR(--(EOMONTH(AX44,0)&lt;&gt;AW$5),1))+IF(BA44="",0,IFERROR(--(EOMONTH(BA44,0)&lt;&gt;AZ$5),1)))&gt;0,"; An invoice date is not in the month it is typed under",""),3,500))</f>
        <v/>
      </c>
      <c r="S44" s="12" t="n"/>
      <c r="T44" s="13" t="n"/>
      <c r="U44" s="14" t="n"/>
      <c r="V44" s="12" t="n"/>
      <c r="W44" s="13" t="n"/>
      <c r="X44" s="14" t="n"/>
      <c r="Y44" s="12" t="n"/>
      <c r="Z44" s="13" t="n"/>
      <c r="AA44" s="14" t="n"/>
      <c r="AB44" s="12" t="n"/>
      <c r="AC44" s="13" t="n"/>
      <c r="AD44" s="14" t="n"/>
      <c r="AE44" s="12" t="n"/>
      <c r="AF44" s="13" t="n"/>
      <c r="AG44" s="14" t="n"/>
      <c r="AH44" s="12" t="n"/>
      <c r="AI44" s="13" t="n"/>
      <c r="AJ44" s="14" t="n"/>
      <c r="AK44" s="12" t="n"/>
      <c r="AL44" s="13" t="n"/>
      <c r="AM44" s="14" t="n"/>
      <c r="AN44" s="12" t="n"/>
      <c r="AO44" s="13" t="n"/>
      <c r="AP44" s="14" t="n"/>
      <c r="AQ44" s="12" t="n"/>
      <c r="AR44" s="13" t="n"/>
      <c r="AS44" s="14" t="n"/>
      <c r="AT44" s="12" t="n"/>
      <c r="AU44" s="13" t="n"/>
      <c r="AV44" s="14" t="n"/>
      <c r="AW44" s="12" t="n"/>
      <c r="AX44" s="13" t="n"/>
      <c r="AY44" s="14" t="n"/>
      <c r="AZ44" s="12" t="n"/>
      <c r="BA44" s="13" t="n"/>
      <c r="BB44" s="14" t="n"/>
      <c r="BC44" s="11">
        <f>IF(O44="","",IF(J44="GST 10%",ROUND(O44*set_GSTRate,2),0))</f>
        <v/>
      </c>
      <c r="BD44" s="11">
        <f>IF(O44="","",O44+BC44)</f>
        <v/>
      </c>
      <c r="BE44" s="15">
        <f>IF(O44="","",COUNTA(S44,V44,Y44,AB44,AE44,AH44,AK44,AN44,AQ44,AT44,AW44,AZ44))</f>
        <v/>
      </c>
      <c r="BF44" s="16">
        <f>IF(COUNT(T44,W44,Z44,AC44,AF44,AI44,AL44,AO44,AR44,AU44,AX44,BA44)=0,"",MAX(T44,W44,Z44,AC44,AF44,AI44,AL44,AO44,AR44,AU44,AX44,BA44))</f>
        <v/>
      </c>
      <c r="BG44" s="10">
        <f>MID(IF(S44="","",", "&amp;S44)&amp;IF(V44="","",", "&amp;V44)&amp;IF(Y44="","",", "&amp;Y44)&amp;IF(AB44="","",", "&amp;AB44)&amp;IF(AE44="","",", "&amp;AE44)&amp;IF(AH44="","",", "&amp;AH44)&amp;IF(AK44="","",", "&amp;AK44)&amp;IF(AN44="","",", "&amp;AN44)&amp;IF(AQ44="","",", "&amp;AQ44)&amp;IF(AT44="","",", "&amp;AT44)&amp;IF(AW44="","",", "&amp;AW44)&amp;IF(AZ44="","",", "&amp;AZ44),3,500)</f>
        <v/>
      </c>
      <c r="BH44" s="12" t="n"/>
      <c r="BI44" s="15">
        <f>IFERROR(MATCH($A44,IF($B44="Onsite",tbl_Onsite[Row ID],IF($B44="Production",tbl_Production[Row ID],tbl_Consulting[Row ID])),0),"")</f>
        <v/>
      </c>
    </row>
    <row r="45">
      <c r="A45" s="10" t="inlineStr">
        <is>
          <t>ONS-0039</t>
        </is>
      </c>
      <c r="B45" s="10" t="inlineStr">
        <is>
          <t>Onsite</t>
        </is>
      </c>
      <c r="C45" s="10">
        <f>IF($BI45="","",IF($B45="Onsite",INDEX(tbl_Onsite[Job Number],$BI45),IF($B45="Production",INDEX(tbl_Production[Job Number],$BI45),INDEX(tbl_Consulting[Job Number],$BI45)))&amp;"")</f>
        <v/>
      </c>
      <c r="D45" s="10">
        <f>IF($BI45="","",IF($B45="Onsite",INDEX(tbl_Onsite[Client],$BI45),IF($B45="Production",INDEX(tbl_Production[Client],$BI45),INDEX(tbl_Consulting[Client],$BI45)))&amp;"")</f>
        <v/>
      </c>
      <c r="E45" s="10">
        <f>IF($C45="","",IF(COUNTIF(lst_Jobs,$C45)&gt;0,"OK","CHECK"))</f>
        <v/>
      </c>
      <c r="F45" s="10">
        <f>IF($C45="","",IFERROR(INDEX(lst_JobName,MATCH($C45,lst_Jobs,0)),""))</f>
        <v/>
      </c>
      <c r="G45" s="10">
        <f>IF($BI45="","",IF($B45="Onsite",INDEX(tbl_Onsite[Job Description],$BI45),IF($B45="Production",INDEX(tbl_Production[Job Description],$BI45),INDEX(tbl_Consulting[Job Description],$BI45)))&amp;"")</f>
        <v/>
      </c>
      <c r="H45" s="10">
        <f>IF($BI45="","",IF($B45="Onsite",INDEX(tbl_Onsite[Cost Centre],$BI45),IF($B45="Production",INDEX(tbl_Production[Cost Centre],$BI45),INDEX(tbl_Consulting[Cost Centre],$BI45)))&amp;"")</f>
        <v/>
      </c>
      <c r="I45" s="10">
        <f>IF($BI45="","",IF($B45="Onsite",INDEX(tbl_Onsite[Invoice Type],$BI45),IF($B45="Production",INDEX(tbl_Production[Invoice Type],$BI45),INDEX(tbl_Consulting[Invoice Type],$BI45)))&amp;"")</f>
        <v/>
      </c>
      <c r="J45" s="10">
        <f>IF($BI45="","",IF($B45="Onsite",INDEX(tbl_Onsite[Tax Code],$BI45),IF($B45="Production",INDEX(tbl_Production[Tax Code],$BI45),INDEX(tbl_Consulting[Tax Code],$BI45)))&amp;"")</f>
        <v/>
      </c>
      <c r="K45" s="10">
        <f>IF(H45="","",IFERROR(INDEX(lst_CCtoGL,MATCH(H45,lst_CCforGL,0)),""))</f>
        <v/>
      </c>
      <c r="L45" s="10">
        <f>IF($BI45="","",IF($B45="Onsite",INDEX(tbl_Onsite[PO / Reference],$BI45),IF($B45="Production",INDEX(tbl_Production[Current RMS No],$BI45),INDEX(tbl_Consulting[Qwilr Quote],$BI45)))&amp;"")</f>
        <v/>
      </c>
      <c r="M45" s="10">
        <f>IF($BI45="","",IF($B45="Onsite",INDEX(tbl_Onsite[Notes],$BI45),IF($B45="Production",INDEX(tbl_Production[Notes],$BI45),INDEX(tbl_Consulting[Notes],$BI45)))&amp;"")</f>
        <v/>
      </c>
      <c r="N45" s="11">
        <f>IF($BI45="","",IF(IF($B45="Onsite",INDEX(tbl_Onsite[Expected Revenue Ex GST],$BI45),IF($B45="Production",INDEX(tbl_Production[Expected Revenue Ex GST],$BI45),INDEX(tbl_Consulting[Expected Revenue Ex GST],$BI45)))="","",IF($B45="Onsite",INDEX(tbl_Onsite[Expected Revenue Ex GST],$BI45),IF($B45="Production",INDEX(tbl_Production[Expected Revenue Ex GST],$BI45),INDEX(tbl_Consulting[Expected Revenue Ex GST],$BI45)))))</f>
        <v/>
      </c>
      <c r="O45" s="11">
        <f>IF(AND($C45="",NOT(COUNTA($S45:$BB45)&gt;0)),"",SUM(U45,X45,AA45,AD45,AG45,AJ45,AM45,AP45,AS45,AV45,AY45,BB45))</f>
        <v/>
      </c>
      <c r="P45" s="11">
        <f>IF(O45="","",N(N45)-O45)</f>
        <v/>
      </c>
      <c r="Q45" s="10">
        <f>IF(O45="","",IF($C45="","Invoice on empty job row",IF(N45="",IF(ROUND(O45,2)=0,"No dept value","Invoiced - no dept value"),IF(ROUND(O45,2)=0,"Not invoiced - to invoice",IF(ROUND(P45,2)=0,"Agrees",IF(P45&gt;0,"Dept higher - to invoice","Xero higher - check dept"))))))</f>
        <v/>
      </c>
      <c r="R45" s="10">
        <f>IF(AND($C45="",NOT(COUNTA($S45:$BB45)&gt;0),$BI45&lt;&gt;""),"",MID(IF($BI45="","; Row ID not found on the department sheet - a row was deleted","")&amp;IF(AND($C45="",COUNTA($S45:$BB45)&gt;0),"; Invoice entered but the department row has no job number","")&amp;IF(E45="CHECK","; Job number not in the Xero job list","")&amp;IF(AND($C45&lt;&gt;"",COUNTIF($C$7:$C$1506,$C45)&gt;1),"; Job number on more than one row","")&amp;IF(AND($C45&lt;&gt;"",H45=""),"; Dept has not set a cost centre","")&amp;IF(AND($C45&lt;&gt;"",J45=""),"; Dept has not set a tax code","")&amp;IF(AND($C45&lt;&gt;"",N45=""),"; Dept has not entered an expected value","")&amp;IF((IF(OR(COUNTA(S45:U45)=0,AND(COUNTA(S45:U45)=3,ISNUMBER(U45))),0,1)+IF(OR(COUNTA(V45:X45)=0,AND(COUNTA(V45:X45)=3,ISNUMBER(X45))),0,1)+IF(OR(COUNTA(Y45:AA45)=0,AND(COUNTA(Y45:AA45)=3,ISNUMBER(AA45))),0,1)+IF(OR(COUNTA(AB45:AD45)=0,AND(COUNTA(AB45:AD45)=3,ISNUMBER(AD45))),0,1)+IF(OR(COUNTA(AE45:AG45)=0,AND(COUNTA(AE45:AG45)=3,ISNUMBER(AG45))),0,1)+IF(OR(COUNTA(AH45:AJ45)=0,AND(COUNTA(AH45:AJ45)=3,ISNUMBER(AJ45))),0,1)+IF(OR(COUNTA(AK45:AM45)=0,AND(COUNTA(AK45:AM45)=3,ISNUMBER(AM45))),0,1)+IF(OR(COUNTA(AN45:AP45)=0,AND(COUNTA(AN45:AP45)=3,ISNUMBER(AP45))),0,1)+IF(OR(COUNTA(AQ45:AS45)=0,AND(COUNTA(AQ45:AS45)=3,ISNUMBER(AS45))),0,1)+IF(OR(COUNTA(AT45:AV45)=0,AND(COUNTA(AT45:AV45)=3,ISNUMBER(AV45))),0,1)+IF(OR(COUNTA(AW45:AY45)=0,AND(COUNTA(AW45:AY45)=3,ISNUMBER(AY45))),0,1)+IF(OR(COUNTA(AZ45:BB45)=0,AND(COUNTA(AZ45:BB45)=3,ISNUMBER(BB45))),0,1))&gt;0,"; An invoice is incomplete (needs No, Date and a number in Ex GST)","")&amp;IF((IF(T45="",0,IFERROR(--(EOMONTH(T45,0)&lt;&gt;S$5),1))+IF(W45="",0,IFERROR(--(EOMONTH(W45,0)&lt;&gt;V$5),1))+IF(Z45="",0,IFERROR(--(EOMONTH(Z45,0)&lt;&gt;Y$5),1))+IF(AC45="",0,IFERROR(--(EOMONTH(AC45,0)&lt;&gt;AB$5),1))+IF(AF45="",0,IFERROR(--(EOMONTH(AF45,0)&lt;&gt;AE$5),1))+IF(AI45="",0,IFERROR(--(EOMONTH(AI45,0)&lt;&gt;AH$5),1))+IF(AL45="",0,IFERROR(--(EOMONTH(AL45,0)&lt;&gt;AK$5),1))+IF(AO45="",0,IFERROR(--(EOMONTH(AO45,0)&lt;&gt;AN$5),1))+IF(AR45="",0,IFERROR(--(EOMONTH(AR45,0)&lt;&gt;AQ$5),1))+IF(AU45="",0,IFERROR(--(EOMONTH(AU45,0)&lt;&gt;AT$5),1))+IF(AX45="",0,IFERROR(--(EOMONTH(AX45,0)&lt;&gt;AW$5),1))+IF(BA45="",0,IFERROR(--(EOMONTH(BA45,0)&lt;&gt;AZ$5),1)))&gt;0,"; An invoice date is not in the month it is typed under",""),3,500))</f>
        <v/>
      </c>
      <c r="S45" s="12" t="n"/>
      <c r="T45" s="13" t="n"/>
      <c r="U45" s="14" t="n"/>
      <c r="V45" s="12" t="n"/>
      <c r="W45" s="13" t="n"/>
      <c r="X45" s="14" t="n"/>
      <c r="Y45" s="12" t="n"/>
      <c r="Z45" s="13" t="n"/>
      <c r="AA45" s="14" t="n"/>
      <c r="AB45" s="12" t="n"/>
      <c r="AC45" s="13" t="n"/>
      <c r="AD45" s="14" t="n"/>
      <c r="AE45" s="12" t="n"/>
      <c r="AF45" s="13" t="n"/>
      <c r="AG45" s="14" t="n"/>
      <c r="AH45" s="12" t="n"/>
      <c r="AI45" s="13" t="n"/>
      <c r="AJ45" s="14" t="n"/>
      <c r="AK45" s="12" t="n"/>
      <c r="AL45" s="13" t="n"/>
      <c r="AM45" s="14" t="n"/>
      <c r="AN45" s="12" t="n"/>
      <c r="AO45" s="13" t="n"/>
      <c r="AP45" s="14" t="n"/>
      <c r="AQ45" s="12" t="n"/>
      <c r="AR45" s="13" t="n"/>
      <c r="AS45" s="14" t="n"/>
      <c r="AT45" s="12" t="n"/>
      <c r="AU45" s="13" t="n"/>
      <c r="AV45" s="14" t="n"/>
      <c r="AW45" s="12" t="n"/>
      <c r="AX45" s="13" t="n"/>
      <c r="AY45" s="14" t="n"/>
      <c r="AZ45" s="12" t="n"/>
      <c r="BA45" s="13" t="n"/>
      <c r="BB45" s="14" t="n"/>
      <c r="BC45" s="11">
        <f>IF(O45="","",IF(J45="GST 10%",ROUND(O45*set_GSTRate,2),0))</f>
        <v/>
      </c>
      <c r="BD45" s="11">
        <f>IF(O45="","",O45+BC45)</f>
        <v/>
      </c>
      <c r="BE45" s="15">
        <f>IF(O45="","",COUNTA(S45,V45,Y45,AB45,AE45,AH45,AK45,AN45,AQ45,AT45,AW45,AZ45))</f>
        <v/>
      </c>
      <c r="BF45" s="16">
        <f>IF(COUNT(T45,W45,Z45,AC45,AF45,AI45,AL45,AO45,AR45,AU45,AX45,BA45)=0,"",MAX(T45,W45,Z45,AC45,AF45,AI45,AL45,AO45,AR45,AU45,AX45,BA45))</f>
        <v/>
      </c>
      <c r="BG45" s="10">
        <f>MID(IF(S45="","",", "&amp;S45)&amp;IF(V45="","",", "&amp;V45)&amp;IF(Y45="","",", "&amp;Y45)&amp;IF(AB45="","",", "&amp;AB45)&amp;IF(AE45="","",", "&amp;AE45)&amp;IF(AH45="","",", "&amp;AH45)&amp;IF(AK45="","",", "&amp;AK45)&amp;IF(AN45="","",", "&amp;AN45)&amp;IF(AQ45="","",", "&amp;AQ45)&amp;IF(AT45="","",", "&amp;AT45)&amp;IF(AW45="","",", "&amp;AW45)&amp;IF(AZ45="","",", "&amp;AZ45),3,500)</f>
        <v/>
      </c>
      <c r="BH45" s="12" t="n"/>
      <c r="BI45" s="15">
        <f>IFERROR(MATCH($A45,IF($B45="Onsite",tbl_Onsite[Row ID],IF($B45="Production",tbl_Production[Row ID],tbl_Consulting[Row ID])),0),"")</f>
        <v/>
      </c>
    </row>
    <row r="46">
      <c r="A46" s="10" t="inlineStr">
        <is>
          <t>ONS-0040</t>
        </is>
      </c>
      <c r="B46" s="10" t="inlineStr">
        <is>
          <t>Onsite</t>
        </is>
      </c>
      <c r="C46" s="10">
        <f>IF($BI46="","",IF($B46="Onsite",INDEX(tbl_Onsite[Job Number],$BI46),IF($B46="Production",INDEX(tbl_Production[Job Number],$BI46),INDEX(tbl_Consulting[Job Number],$BI46)))&amp;"")</f>
        <v/>
      </c>
      <c r="D46" s="10">
        <f>IF($BI46="","",IF($B46="Onsite",INDEX(tbl_Onsite[Client],$BI46),IF($B46="Production",INDEX(tbl_Production[Client],$BI46),INDEX(tbl_Consulting[Client],$BI46)))&amp;"")</f>
        <v/>
      </c>
      <c r="E46" s="10">
        <f>IF($C46="","",IF(COUNTIF(lst_Jobs,$C46)&gt;0,"OK","CHECK"))</f>
        <v/>
      </c>
      <c r="F46" s="10">
        <f>IF($C46="","",IFERROR(INDEX(lst_JobName,MATCH($C46,lst_Jobs,0)),""))</f>
        <v/>
      </c>
      <c r="G46" s="10">
        <f>IF($BI46="","",IF($B46="Onsite",INDEX(tbl_Onsite[Job Description],$BI46),IF($B46="Production",INDEX(tbl_Production[Job Description],$BI46),INDEX(tbl_Consulting[Job Description],$BI46)))&amp;"")</f>
        <v/>
      </c>
      <c r="H46" s="10">
        <f>IF($BI46="","",IF($B46="Onsite",INDEX(tbl_Onsite[Cost Centre],$BI46),IF($B46="Production",INDEX(tbl_Production[Cost Centre],$BI46),INDEX(tbl_Consulting[Cost Centre],$BI46)))&amp;"")</f>
        <v/>
      </c>
      <c r="I46" s="10">
        <f>IF($BI46="","",IF($B46="Onsite",INDEX(tbl_Onsite[Invoice Type],$BI46),IF($B46="Production",INDEX(tbl_Production[Invoice Type],$BI46),INDEX(tbl_Consulting[Invoice Type],$BI46)))&amp;"")</f>
        <v/>
      </c>
      <c r="J46" s="10">
        <f>IF($BI46="","",IF($B46="Onsite",INDEX(tbl_Onsite[Tax Code],$BI46),IF($B46="Production",INDEX(tbl_Production[Tax Code],$BI46),INDEX(tbl_Consulting[Tax Code],$BI46)))&amp;"")</f>
        <v/>
      </c>
      <c r="K46" s="10">
        <f>IF(H46="","",IFERROR(INDEX(lst_CCtoGL,MATCH(H46,lst_CCforGL,0)),""))</f>
        <v/>
      </c>
      <c r="L46" s="10">
        <f>IF($BI46="","",IF($B46="Onsite",INDEX(tbl_Onsite[PO / Reference],$BI46),IF($B46="Production",INDEX(tbl_Production[Current RMS No],$BI46),INDEX(tbl_Consulting[Qwilr Quote],$BI46)))&amp;"")</f>
        <v/>
      </c>
      <c r="M46" s="10">
        <f>IF($BI46="","",IF($B46="Onsite",INDEX(tbl_Onsite[Notes],$BI46),IF($B46="Production",INDEX(tbl_Production[Notes],$BI46),INDEX(tbl_Consulting[Notes],$BI46)))&amp;"")</f>
        <v/>
      </c>
      <c r="N46" s="11">
        <f>IF($BI46="","",IF(IF($B46="Onsite",INDEX(tbl_Onsite[Expected Revenue Ex GST],$BI46),IF($B46="Production",INDEX(tbl_Production[Expected Revenue Ex GST],$BI46),INDEX(tbl_Consulting[Expected Revenue Ex GST],$BI46)))="","",IF($B46="Onsite",INDEX(tbl_Onsite[Expected Revenue Ex GST],$BI46),IF($B46="Production",INDEX(tbl_Production[Expected Revenue Ex GST],$BI46),INDEX(tbl_Consulting[Expected Revenue Ex GST],$BI46)))))</f>
        <v/>
      </c>
      <c r="O46" s="11">
        <f>IF(AND($C46="",NOT(COUNTA($S46:$BB46)&gt;0)),"",SUM(U46,X46,AA46,AD46,AG46,AJ46,AM46,AP46,AS46,AV46,AY46,BB46))</f>
        <v/>
      </c>
      <c r="P46" s="11">
        <f>IF(O46="","",N(N46)-O46)</f>
        <v/>
      </c>
      <c r="Q46" s="10">
        <f>IF(O46="","",IF($C46="","Invoice on empty job row",IF(N46="",IF(ROUND(O46,2)=0,"No dept value","Invoiced - no dept value"),IF(ROUND(O46,2)=0,"Not invoiced - to invoice",IF(ROUND(P46,2)=0,"Agrees",IF(P46&gt;0,"Dept higher - to invoice","Xero higher - check dept"))))))</f>
        <v/>
      </c>
      <c r="R46" s="10">
        <f>IF(AND($C46="",NOT(COUNTA($S46:$BB46)&gt;0),$BI46&lt;&gt;""),"",MID(IF($BI46="","; Row ID not found on the department sheet - a row was deleted","")&amp;IF(AND($C46="",COUNTA($S46:$BB46)&gt;0),"; Invoice entered but the department row has no job number","")&amp;IF(E46="CHECK","; Job number not in the Xero job list","")&amp;IF(AND($C46&lt;&gt;"",COUNTIF($C$7:$C$1506,$C46)&gt;1),"; Job number on more than one row","")&amp;IF(AND($C46&lt;&gt;"",H46=""),"; Dept has not set a cost centre","")&amp;IF(AND($C46&lt;&gt;"",J46=""),"; Dept has not set a tax code","")&amp;IF(AND($C46&lt;&gt;"",N46=""),"; Dept has not entered an expected value","")&amp;IF((IF(OR(COUNTA(S46:U46)=0,AND(COUNTA(S46:U46)=3,ISNUMBER(U46))),0,1)+IF(OR(COUNTA(V46:X46)=0,AND(COUNTA(V46:X46)=3,ISNUMBER(X46))),0,1)+IF(OR(COUNTA(Y46:AA46)=0,AND(COUNTA(Y46:AA46)=3,ISNUMBER(AA46))),0,1)+IF(OR(COUNTA(AB46:AD46)=0,AND(COUNTA(AB46:AD46)=3,ISNUMBER(AD46))),0,1)+IF(OR(COUNTA(AE46:AG46)=0,AND(COUNTA(AE46:AG46)=3,ISNUMBER(AG46))),0,1)+IF(OR(COUNTA(AH46:AJ46)=0,AND(COUNTA(AH46:AJ46)=3,ISNUMBER(AJ46))),0,1)+IF(OR(COUNTA(AK46:AM46)=0,AND(COUNTA(AK46:AM46)=3,ISNUMBER(AM46))),0,1)+IF(OR(COUNTA(AN46:AP46)=0,AND(COUNTA(AN46:AP46)=3,ISNUMBER(AP46))),0,1)+IF(OR(COUNTA(AQ46:AS46)=0,AND(COUNTA(AQ46:AS46)=3,ISNUMBER(AS46))),0,1)+IF(OR(COUNTA(AT46:AV46)=0,AND(COUNTA(AT46:AV46)=3,ISNUMBER(AV46))),0,1)+IF(OR(COUNTA(AW46:AY46)=0,AND(COUNTA(AW46:AY46)=3,ISNUMBER(AY46))),0,1)+IF(OR(COUNTA(AZ46:BB46)=0,AND(COUNTA(AZ46:BB46)=3,ISNUMBER(BB46))),0,1))&gt;0,"; An invoice is incomplete (needs No, Date and a number in Ex GST)","")&amp;IF((IF(T46="",0,IFERROR(--(EOMONTH(T46,0)&lt;&gt;S$5),1))+IF(W46="",0,IFERROR(--(EOMONTH(W46,0)&lt;&gt;V$5),1))+IF(Z46="",0,IFERROR(--(EOMONTH(Z46,0)&lt;&gt;Y$5),1))+IF(AC46="",0,IFERROR(--(EOMONTH(AC46,0)&lt;&gt;AB$5),1))+IF(AF46="",0,IFERROR(--(EOMONTH(AF46,0)&lt;&gt;AE$5),1))+IF(AI46="",0,IFERROR(--(EOMONTH(AI46,0)&lt;&gt;AH$5),1))+IF(AL46="",0,IFERROR(--(EOMONTH(AL46,0)&lt;&gt;AK$5),1))+IF(AO46="",0,IFERROR(--(EOMONTH(AO46,0)&lt;&gt;AN$5),1))+IF(AR46="",0,IFERROR(--(EOMONTH(AR46,0)&lt;&gt;AQ$5),1))+IF(AU46="",0,IFERROR(--(EOMONTH(AU46,0)&lt;&gt;AT$5),1))+IF(AX46="",0,IFERROR(--(EOMONTH(AX46,0)&lt;&gt;AW$5),1))+IF(BA46="",0,IFERROR(--(EOMONTH(BA46,0)&lt;&gt;AZ$5),1)))&gt;0,"; An invoice date is not in the month it is typed under",""),3,500))</f>
        <v/>
      </c>
      <c r="S46" s="12" t="n"/>
      <c r="T46" s="13" t="n"/>
      <c r="U46" s="14" t="n"/>
      <c r="V46" s="12" t="n"/>
      <c r="W46" s="13" t="n"/>
      <c r="X46" s="14" t="n"/>
      <c r="Y46" s="12" t="n"/>
      <c r="Z46" s="13" t="n"/>
      <c r="AA46" s="14" t="n"/>
      <c r="AB46" s="12" t="n"/>
      <c r="AC46" s="13" t="n"/>
      <c r="AD46" s="14" t="n"/>
      <c r="AE46" s="12" t="n"/>
      <c r="AF46" s="13" t="n"/>
      <c r="AG46" s="14" t="n"/>
      <c r="AH46" s="12" t="n"/>
      <c r="AI46" s="13" t="n"/>
      <c r="AJ46" s="14" t="n"/>
      <c r="AK46" s="12" t="n"/>
      <c r="AL46" s="13" t="n"/>
      <c r="AM46" s="14" t="n"/>
      <c r="AN46" s="12" t="n"/>
      <c r="AO46" s="13" t="n"/>
      <c r="AP46" s="14" t="n"/>
      <c r="AQ46" s="12" t="n"/>
      <c r="AR46" s="13" t="n"/>
      <c r="AS46" s="14" t="n"/>
      <c r="AT46" s="12" t="n"/>
      <c r="AU46" s="13" t="n"/>
      <c r="AV46" s="14" t="n"/>
      <c r="AW46" s="12" t="n"/>
      <c r="AX46" s="13" t="n"/>
      <c r="AY46" s="14" t="n"/>
      <c r="AZ46" s="12" t="n"/>
      <c r="BA46" s="13" t="n"/>
      <c r="BB46" s="14" t="n"/>
      <c r="BC46" s="11">
        <f>IF(O46="","",IF(J46="GST 10%",ROUND(O46*set_GSTRate,2),0))</f>
        <v/>
      </c>
      <c r="BD46" s="11">
        <f>IF(O46="","",O46+BC46)</f>
        <v/>
      </c>
      <c r="BE46" s="15">
        <f>IF(O46="","",COUNTA(S46,V46,Y46,AB46,AE46,AH46,AK46,AN46,AQ46,AT46,AW46,AZ46))</f>
        <v/>
      </c>
      <c r="BF46" s="16">
        <f>IF(COUNT(T46,W46,Z46,AC46,AF46,AI46,AL46,AO46,AR46,AU46,AX46,BA46)=0,"",MAX(T46,W46,Z46,AC46,AF46,AI46,AL46,AO46,AR46,AU46,AX46,BA46))</f>
        <v/>
      </c>
      <c r="BG46" s="10">
        <f>MID(IF(S46="","",", "&amp;S46)&amp;IF(V46="","",", "&amp;V46)&amp;IF(Y46="","",", "&amp;Y46)&amp;IF(AB46="","",", "&amp;AB46)&amp;IF(AE46="","",", "&amp;AE46)&amp;IF(AH46="","",", "&amp;AH46)&amp;IF(AK46="","",", "&amp;AK46)&amp;IF(AN46="","",", "&amp;AN46)&amp;IF(AQ46="","",", "&amp;AQ46)&amp;IF(AT46="","",", "&amp;AT46)&amp;IF(AW46="","",", "&amp;AW46)&amp;IF(AZ46="","",", "&amp;AZ46),3,500)</f>
        <v/>
      </c>
      <c r="BH46" s="12" t="n"/>
      <c r="BI46" s="15">
        <f>IFERROR(MATCH($A46,IF($B46="Onsite",tbl_Onsite[Row ID],IF($B46="Production",tbl_Production[Row ID],tbl_Consulting[Row ID])),0),"")</f>
        <v/>
      </c>
    </row>
    <row r="47">
      <c r="A47" s="10" t="inlineStr">
        <is>
          <t>ONS-0041</t>
        </is>
      </c>
      <c r="B47" s="10" t="inlineStr">
        <is>
          <t>Onsite</t>
        </is>
      </c>
      <c r="C47" s="10">
        <f>IF($BI47="","",IF($B47="Onsite",INDEX(tbl_Onsite[Job Number],$BI47),IF($B47="Production",INDEX(tbl_Production[Job Number],$BI47),INDEX(tbl_Consulting[Job Number],$BI47)))&amp;"")</f>
        <v/>
      </c>
      <c r="D47" s="10">
        <f>IF($BI47="","",IF($B47="Onsite",INDEX(tbl_Onsite[Client],$BI47),IF($B47="Production",INDEX(tbl_Production[Client],$BI47),INDEX(tbl_Consulting[Client],$BI47)))&amp;"")</f>
        <v/>
      </c>
      <c r="E47" s="10">
        <f>IF($C47="","",IF(COUNTIF(lst_Jobs,$C47)&gt;0,"OK","CHECK"))</f>
        <v/>
      </c>
      <c r="F47" s="10">
        <f>IF($C47="","",IFERROR(INDEX(lst_JobName,MATCH($C47,lst_Jobs,0)),""))</f>
        <v/>
      </c>
      <c r="G47" s="10">
        <f>IF($BI47="","",IF($B47="Onsite",INDEX(tbl_Onsite[Job Description],$BI47),IF($B47="Production",INDEX(tbl_Production[Job Description],$BI47),INDEX(tbl_Consulting[Job Description],$BI47)))&amp;"")</f>
        <v/>
      </c>
      <c r="H47" s="10">
        <f>IF($BI47="","",IF($B47="Onsite",INDEX(tbl_Onsite[Cost Centre],$BI47),IF($B47="Production",INDEX(tbl_Production[Cost Centre],$BI47),INDEX(tbl_Consulting[Cost Centre],$BI47)))&amp;"")</f>
        <v/>
      </c>
      <c r="I47" s="10">
        <f>IF($BI47="","",IF($B47="Onsite",INDEX(tbl_Onsite[Invoice Type],$BI47),IF($B47="Production",INDEX(tbl_Production[Invoice Type],$BI47),INDEX(tbl_Consulting[Invoice Type],$BI47)))&amp;"")</f>
        <v/>
      </c>
      <c r="J47" s="10">
        <f>IF($BI47="","",IF($B47="Onsite",INDEX(tbl_Onsite[Tax Code],$BI47),IF($B47="Production",INDEX(tbl_Production[Tax Code],$BI47),INDEX(tbl_Consulting[Tax Code],$BI47)))&amp;"")</f>
        <v/>
      </c>
      <c r="K47" s="10">
        <f>IF(H47="","",IFERROR(INDEX(lst_CCtoGL,MATCH(H47,lst_CCforGL,0)),""))</f>
        <v/>
      </c>
      <c r="L47" s="10">
        <f>IF($BI47="","",IF($B47="Onsite",INDEX(tbl_Onsite[PO / Reference],$BI47),IF($B47="Production",INDEX(tbl_Production[Current RMS No],$BI47),INDEX(tbl_Consulting[Qwilr Quote],$BI47)))&amp;"")</f>
        <v/>
      </c>
      <c r="M47" s="10">
        <f>IF($BI47="","",IF($B47="Onsite",INDEX(tbl_Onsite[Notes],$BI47),IF($B47="Production",INDEX(tbl_Production[Notes],$BI47),INDEX(tbl_Consulting[Notes],$BI47)))&amp;"")</f>
        <v/>
      </c>
      <c r="N47" s="11">
        <f>IF($BI47="","",IF(IF($B47="Onsite",INDEX(tbl_Onsite[Expected Revenue Ex GST],$BI47),IF($B47="Production",INDEX(tbl_Production[Expected Revenue Ex GST],$BI47),INDEX(tbl_Consulting[Expected Revenue Ex GST],$BI47)))="","",IF($B47="Onsite",INDEX(tbl_Onsite[Expected Revenue Ex GST],$BI47),IF($B47="Production",INDEX(tbl_Production[Expected Revenue Ex GST],$BI47),INDEX(tbl_Consulting[Expected Revenue Ex GST],$BI47)))))</f>
        <v/>
      </c>
      <c r="O47" s="11">
        <f>IF(AND($C47="",NOT(COUNTA($S47:$BB47)&gt;0)),"",SUM(U47,X47,AA47,AD47,AG47,AJ47,AM47,AP47,AS47,AV47,AY47,BB47))</f>
        <v/>
      </c>
      <c r="P47" s="11">
        <f>IF(O47="","",N(N47)-O47)</f>
        <v/>
      </c>
      <c r="Q47" s="10">
        <f>IF(O47="","",IF($C47="","Invoice on empty job row",IF(N47="",IF(ROUND(O47,2)=0,"No dept value","Invoiced - no dept value"),IF(ROUND(O47,2)=0,"Not invoiced - to invoice",IF(ROUND(P47,2)=0,"Agrees",IF(P47&gt;0,"Dept higher - to invoice","Xero higher - check dept"))))))</f>
        <v/>
      </c>
      <c r="R47" s="10">
        <f>IF(AND($C47="",NOT(COUNTA($S47:$BB47)&gt;0),$BI47&lt;&gt;""),"",MID(IF($BI47="","; Row ID not found on the department sheet - a row was deleted","")&amp;IF(AND($C47="",COUNTA($S47:$BB47)&gt;0),"; Invoice entered but the department row has no job number","")&amp;IF(E47="CHECK","; Job number not in the Xero job list","")&amp;IF(AND($C47&lt;&gt;"",COUNTIF($C$7:$C$1506,$C47)&gt;1),"; Job number on more than one row","")&amp;IF(AND($C47&lt;&gt;"",H47=""),"; Dept has not set a cost centre","")&amp;IF(AND($C47&lt;&gt;"",J47=""),"; Dept has not set a tax code","")&amp;IF(AND($C47&lt;&gt;"",N47=""),"; Dept has not entered an expected value","")&amp;IF((IF(OR(COUNTA(S47:U47)=0,AND(COUNTA(S47:U47)=3,ISNUMBER(U47))),0,1)+IF(OR(COUNTA(V47:X47)=0,AND(COUNTA(V47:X47)=3,ISNUMBER(X47))),0,1)+IF(OR(COUNTA(Y47:AA47)=0,AND(COUNTA(Y47:AA47)=3,ISNUMBER(AA47))),0,1)+IF(OR(COUNTA(AB47:AD47)=0,AND(COUNTA(AB47:AD47)=3,ISNUMBER(AD47))),0,1)+IF(OR(COUNTA(AE47:AG47)=0,AND(COUNTA(AE47:AG47)=3,ISNUMBER(AG47))),0,1)+IF(OR(COUNTA(AH47:AJ47)=0,AND(COUNTA(AH47:AJ47)=3,ISNUMBER(AJ47))),0,1)+IF(OR(COUNTA(AK47:AM47)=0,AND(COUNTA(AK47:AM47)=3,ISNUMBER(AM47))),0,1)+IF(OR(COUNTA(AN47:AP47)=0,AND(COUNTA(AN47:AP47)=3,ISNUMBER(AP47))),0,1)+IF(OR(COUNTA(AQ47:AS47)=0,AND(COUNTA(AQ47:AS47)=3,ISNUMBER(AS47))),0,1)+IF(OR(COUNTA(AT47:AV47)=0,AND(COUNTA(AT47:AV47)=3,ISNUMBER(AV47))),0,1)+IF(OR(COUNTA(AW47:AY47)=0,AND(COUNTA(AW47:AY47)=3,ISNUMBER(AY47))),0,1)+IF(OR(COUNTA(AZ47:BB47)=0,AND(COUNTA(AZ47:BB47)=3,ISNUMBER(BB47))),0,1))&gt;0,"; An invoice is incomplete (needs No, Date and a number in Ex GST)","")&amp;IF((IF(T47="",0,IFERROR(--(EOMONTH(T47,0)&lt;&gt;S$5),1))+IF(W47="",0,IFERROR(--(EOMONTH(W47,0)&lt;&gt;V$5),1))+IF(Z47="",0,IFERROR(--(EOMONTH(Z47,0)&lt;&gt;Y$5),1))+IF(AC47="",0,IFERROR(--(EOMONTH(AC47,0)&lt;&gt;AB$5),1))+IF(AF47="",0,IFERROR(--(EOMONTH(AF47,0)&lt;&gt;AE$5),1))+IF(AI47="",0,IFERROR(--(EOMONTH(AI47,0)&lt;&gt;AH$5),1))+IF(AL47="",0,IFERROR(--(EOMONTH(AL47,0)&lt;&gt;AK$5),1))+IF(AO47="",0,IFERROR(--(EOMONTH(AO47,0)&lt;&gt;AN$5),1))+IF(AR47="",0,IFERROR(--(EOMONTH(AR47,0)&lt;&gt;AQ$5),1))+IF(AU47="",0,IFERROR(--(EOMONTH(AU47,0)&lt;&gt;AT$5),1))+IF(AX47="",0,IFERROR(--(EOMONTH(AX47,0)&lt;&gt;AW$5),1))+IF(BA47="",0,IFERROR(--(EOMONTH(BA47,0)&lt;&gt;AZ$5),1)))&gt;0,"; An invoice date is not in the month it is typed under",""),3,500))</f>
        <v/>
      </c>
      <c r="S47" s="12" t="n"/>
      <c r="T47" s="13" t="n"/>
      <c r="U47" s="14" t="n"/>
      <c r="V47" s="12" t="n"/>
      <c r="W47" s="13" t="n"/>
      <c r="X47" s="14" t="n"/>
      <c r="Y47" s="12" t="n"/>
      <c r="Z47" s="13" t="n"/>
      <c r="AA47" s="14" t="n"/>
      <c r="AB47" s="12" t="n"/>
      <c r="AC47" s="13" t="n"/>
      <c r="AD47" s="14" t="n"/>
      <c r="AE47" s="12" t="n"/>
      <c r="AF47" s="13" t="n"/>
      <c r="AG47" s="14" t="n"/>
      <c r="AH47" s="12" t="n"/>
      <c r="AI47" s="13" t="n"/>
      <c r="AJ47" s="14" t="n"/>
      <c r="AK47" s="12" t="n"/>
      <c r="AL47" s="13" t="n"/>
      <c r="AM47" s="14" t="n"/>
      <c r="AN47" s="12" t="n"/>
      <c r="AO47" s="13" t="n"/>
      <c r="AP47" s="14" t="n"/>
      <c r="AQ47" s="12" t="n"/>
      <c r="AR47" s="13" t="n"/>
      <c r="AS47" s="14" t="n"/>
      <c r="AT47" s="12" t="n"/>
      <c r="AU47" s="13" t="n"/>
      <c r="AV47" s="14" t="n"/>
      <c r="AW47" s="12" t="n"/>
      <c r="AX47" s="13" t="n"/>
      <c r="AY47" s="14" t="n"/>
      <c r="AZ47" s="12" t="n"/>
      <c r="BA47" s="13" t="n"/>
      <c r="BB47" s="14" t="n"/>
      <c r="BC47" s="11">
        <f>IF(O47="","",IF(J47="GST 10%",ROUND(O47*set_GSTRate,2),0))</f>
        <v/>
      </c>
      <c r="BD47" s="11">
        <f>IF(O47="","",O47+BC47)</f>
        <v/>
      </c>
      <c r="BE47" s="15">
        <f>IF(O47="","",COUNTA(S47,V47,Y47,AB47,AE47,AH47,AK47,AN47,AQ47,AT47,AW47,AZ47))</f>
        <v/>
      </c>
      <c r="BF47" s="16">
        <f>IF(COUNT(T47,W47,Z47,AC47,AF47,AI47,AL47,AO47,AR47,AU47,AX47,BA47)=0,"",MAX(T47,W47,Z47,AC47,AF47,AI47,AL47,AO47,AR47,AU47,AX47,BA47))</f>
        <v/>
      </c>
      <c r="BG47" s="10">
        <f>MID(IF(S47="","",", "&amp;S47)&amp;IF(V47="","",", "&amp;V47)&amp;IF(Y47="","",", "&amp;Y47)&amp;IF(AB47="","",", "&amp;AB47)&amp;IF(AE47="","",", "&amp;AE47)&amp;IF(AH47="","",", "&amp;AH47)&amp;IF(AK47="","",", "&amp;AK47)&amp;IF(AN47="","",", "&amp;AN47)&amp;IF(AQ47="","",", "&amp;AQ47)&amp;IF(AT47="","",", "&amp;AT47)&amp;IF(AW47="","",", "&amp;AW47)&amp;IF(AZ47="","",", "&amp;AZ47),3,500)</f>
        <v/>
      </c>
      <c r="BH47" s="12" t="n"/>
      <c r="BI47" s="15">
        <f>IFERROR(MATCH($A47,IF($B47="Onsite",tbl_Onsite[Row ID],IF($B47="Production",tbl_Production[Row ID],tbl_Consulting[Row ID])),0),"")</f>
        <v/>
      </c>
    </row>
    <row r="48">
      <c r="A48" s="10" t="inlineStr">
        <is>
          <t>ONS-0042</t>
        </is>
      </c>
      <c r="B48" s="10" t="inlineStr">
        <is>
          <t>Onsite</t>
        </is>
      </c>
      <c r="C48" s="10">
        <f>IF($BI48="","",IF($B48="Onsite",INDEX(tbl_Onsite[Job Number],$BI48),IF($B48="Production",INDEX(tbl_Production[Job Number],$BI48),INDEX(tbl_Consulting[Job Number],$BI48)))&amp;"")</f>
        <v/>
      </c>
      <c r="D48" s="10">
        <f>IF($BI48="","",IF($B48="Onsite",INDEX(tbl_Onsite[Client],$BI48),IF($B48="Production",INDEX(tbl_Production[Client],$BI48),INDEX(tbl_Consulting[Client],$BI48)))&amp;"")</f>
        <v/>
      </c>
      <c r="E48" s="10">
        <f>IF($C48="","",IF(COUNTIF(lst_Jobs,$C48)&gt;0,"OK","CHECK"))</f>
        <v/>
      </c>
      <c r="F48" s="10">
        <f>IF($C48="","",IFERROR(INDEX(lst_JobName,MATCH($C48,lst_Jobs,0)),""))</f>
        <v/>
      </c>
      <c r="G48" s="10">
        <f>IF($BI48="","",IF($B48="Onsite",INDEX(tbl_Onsite[Job Description],$BI48),IF($B48="Production",INDEX(tbl_Production[Job Description],$BI48),INDEX(tbl_Consulting[Job Description],$BI48)))&amp;"")</f>
        <v/>
      </c>
      <c r="H48" s="10">
        <f>IF($BI48="","",IF($B48="Onsite",INDEX(tbl_Onsite[Cost Centre],$BI48),IF($B48="Production",INDEX(tbl_Production[Cost Centre],$BI48),INDEX(tbl_Consulting[Cost Centre],$BI48)))&amp;"")</f>
        <v/>
      </c>
      <c r="I48" s="10">
        <f>IF($BI48="","",IF($B48="Onsite",INDEX(tbl_Onsite[Invoice Type],$BI48),IF($B48="Production",INDEX(tbl_Production[Invoice Type],$BI48),INDEX(tbl_Consulting[Invoice Type],$BI48)))&amp;"")</f>
        <v/>
      </c>
      <c r="J48" s="10">
        <f>IF($BI48="","",IF($B48="Onsite",INDEX(tbl_Onsite[Tax Code],$BI48),IF($B48="Production",INDEX(tbl_Production[Tax Code],$BI48),INDEX(tbl_Consulting[Tax Code],$BI48)))&amp;"")</f>
        <v/>
      </c>
      <c r="K48" s="10">
        <f>IF(H48="","",IFERROR(INDEX(lst_CCtoGL,MATCH(H48,lst_CCforGL,0)),""))</f>
        <v/>
      </c>
      <c r="L48" s="10">
        <f>IF($BI48="","",IF($B48="Onsite",INDEX(tbl_Onsite[PO / Reference],$BI48),IF($B48="Production",INDEX(tbl_Production[Current RMS No],$BI48),INDEX(tbl_Consulting[Qwilr Quote],$BI48)))&amp;"")</f>
        <v/>
      </c>
      <c r="M48" s="10">
        <f>IF($BI48="","",IF($B48="Onsite",INDEX(tbl_Onsite[Notes],$BI48),IF($B48="Production",INDEX(tbl_Production[Notes],$BI48),INDEX(tbl_Consulting[Notes],$BI48)))&amp;"")</f>
        <v/>
      </c>
      <c r="N48" s="11">
        <f>IF($BI48="","",IF(IF($B48="Onsite",INDEX(tbl_Onsite[Expected Revenue Ex GST],$BI48),IF($B48="Production",INDEX(tbl_Production[Expected Revenue Ex GST],$BI48),INDEX(tbl_Consulting[Expected Revenue Ex GST],$BI48)))="","",IF($B48="Onsite",INDEX(tbl_Onsite[Expected Revenue Ex GST],$BI48),IF($B48="Production",INDEX(tbl_Production[Expected Revenue Ex GST],$BI48),INDEX(tbl_Consulting[Expected Revenue Ex GST],$BI48)))))</f>
        <v/>
      </c>
      <c r="O48" s="11">
        <f>IF(AND($C48="",NOT(COUNTA($S48:$BB48)&gt;0)),"",SUM(U48,X48,AA48,AD48,AG48,AJ48,AM48,AP48,AS48,AV48,AY48,BB48))</f>
        <v/>
      </c>
      <c r="P48" s="11">
        <f>IF(O48="","",N(N48)-O48)</f>
        <v/>
      </c>
      <c r="Q48" s="10">
        <f>IF(O48="","",IF($C48="","Invoice on empty job row",IF(N48="",IF(ROUND(O48,2)=0,"No dept value","Invoiced - no dept value"),IF(ROUND(O48,2)=0,"Not invoiced - to invoice",IF(ROUND(P48,2)=0,"Agrees",IF(P48&gt;0,"Dept higher - to invoice","Xero higher - check dept"))))))</f>
        <v/>
      </c>
      <c r="R48" s="10">
        <f>IF(AND($C48="",NOT(COUNTA($S48:$BB48)&gt;0),$BI48&lt;&gt;""),"",MID(IF($BI48="","; Row ID not found on the department sheet - a row was deleted","")&amp;IF(AND($C48="",COUNTA($S48:$BB48)&gt;0),"; Invoice entered but the department row has no job number","")&amp;IF(E48="CHECK","; Job number not in the Xero job list","")&amp;IF(AND($C48&lt;&gt;"",COUNTIF($C$7:$C$1506,$C48)&gt;1),"; Job number on more than one row","")&amp;IF(AND($C48&lt;&gt;"",H48=""),"; Dept has not set a cost centre","")&amp;IF(AND($C48&lt;&gt;"",J48=""),"; Dept has not set a tax code","")&amp;IF(AND($C48&lt;&gt;"",N48=""),"; Dept has not entered an expected value","")&amp;IF((IF(OR(COUNTA(S48:U48)=0,AND(COUNTA(S48:U48)=3,ISNUMBER(U48))),0,1)+IF(OR(COUNTA(V48:X48)=0,AND(COUNTA(V48:X48)=3,ISNUMBER(X48))),0,1)+IF(OR(COUNTA(Y48:AA48)=0,AND(COUNTA(Y48:AA48)=3,ISNUMBER(AA48))),0,1)+IF(OR(COUNTA(AB48:AD48)=0,AND(COUNTA(AB48:AD48)=3,ISNUMBER(AD48))),0,1)+IF(OR(COUNTA(AE48:AG48)=0,AND(COUNTA(AE48:AG48)=3,ISNUMBER(AG48))),0,1)+IF(OR(COUNTA(AH48:AJ48)=0,AND(COUNTA(AH48:AJ48)=3,ISNUMBER(AJ48))),0,1)+IF(OR(COUNTA(AK48:AM48)=0,AND(COUNTA(AK48:AM48)=3,ISNUMBER(AM48))),0,1)+IF(OR(COUNTA(AN48:AP48)=0,AND(COUNTA(AN48:AP48)=3,ISNUMBER(AP48))),0,1)+IF(OR(COUNTA(AQ48:AS48)=0,AND(COUNTA(AQ48:AS48)=3,ISNUMBER(AS48))),0,1)+IF(OR(COUNTA(AT48:AV48)=0,AND(COUNTA(AT48:AV48)=3,ISNUMBER(AV48))),0,1)+IF(OR(COUNTA(AW48:AY48)=0,AND(COUNTA(AW48:AY48)=3,ISNUMBER(AY48))),0,1)+IF(OR(COUNTA(AZ48:BB48)=0,AND(COUNTA(AZ48:BB48)=3,ISNUMBER(BB48))),0,1))&gt;0,"; An invoice is incomplete (needs No, Date and a number in Ex GST)","")&amp;IF((IF(T48="",0,IFERROR(--(EOMONTH(T48,0)&lt;&gt;S$5),1))+IF(W48="",0,IFERROR(--(EOMONTH(W48,0)&lt;&gt;V$5),1))+IF(Z48="",0,IFERROR(--(EOMONTH(Z48,0)&lt;&gt;Y$5),1))+IF(AC48="",0,IFERROR(--(EOMONTH(AC48,0)&lt;&gt;AB$5),1))+IF(AF48="",0,IFERROR(--(EOMONTH(AF48,0)&lt;&gt;AE$5),1))+IF(AI48="",0,IFERROR(--(EOMONTH(AI48,0)&lt;&gt;AH$5),1))+IF(AL48="",0,IFERROR(--(EOMONTH(AL48,0)&lt;&gt;AK$5),1))+IF(AO48="",0,IFERROR(--(EOMONTH(AO48,0)&lt;&gt;AN$5),1))+IF(AR48="",0,IFERROR(--(EOMONTH(AR48,0)&lt;&gt;AQ$5),1))+IF(AU48="",0,IFERROR(--(EOMONTH(AU48,0)&lt;&gt;AT$5),1))+IF(AX48="",0,IFERROR(--(EOMONTH(AX48,0)&lt;&gt;AW$5),1))+IF(BA48="",0,IFERROR(--(EOMONTH(BA48,0)&lt;&gt;AZ$5),1)))&gt;0,"; An invoice date is not in the month it is typed under",""),3,500))</f>
        <v/>
      </c>
      <c r="S48" s="12" t="n"/>
      <c r="T48" s="13" t="n"/>
      <c r="U48" s="14" t="n"/>
      <c r="V48" s="12" t="n"/>
      <c r="W48" s="13" t="n"/>
      <c r="X48" s="14" t="n"/>
      <c r="Y48" s="12" t="n"/>
      <c r="Z48" s="13" t="n"/>
      <c r="AA48" s="14" t="n"/>
      <c r="AB48" s="12" t="n"/>
      <c r="AC48" s="13" t="n"/>
      <c r="AD48" s="14" t="n"/>
      <c r="AE48" s="12" t="n"/>
      <c r="AF48" s="13" t="n"/>
      <c r="AG48" s="14" t="n"/>
      <c r="AH48" s="12" t="n"/>
      <c r="AI48" s="13" t="n"/>
      <c r="AJ48" s="14" t="n"/>
      <c r="AK48" s="12" t="n"/>
      <c r="AL48" s="13" t="n"/>
      <c r="AM48" s="14" t="n"/>
      <c r="AN48" s="12" t="n"/>
      <c r="AO48" s="13" t="n"/>
      <c r="AP48" s="14" t="n"/>
      <c r="AQ48" s="12" t="n"/>
      <c r="AR48" s="13" t="n"/>
      <c r="AS48" s="14" t="n"/>
      <c r="AT48" s="12" t="n"/>
      <c r="AU48" s="13" t="n"/>
      <c r="AV48" s="14" t="n"/>
      <c r="AW48" s="12" t="n"/>
      <c r="AX48" s="13" t="n"/>
      <c r="AY48" s="14" t="n"/>
      <c r="AZ48" s="12" t="n"/>
      <c r="BA48" s="13" t="n"/>
      <c r="BB48" s="14" t="n"/>
      <c r="BC48" s="11">
        <f>IF(O48="","",IF(J48="GST 10%",ROUND(O48*set_GSTRate,2),0))</f>
        <v/>
      </c>
      <c r="BD48" s="11">
        <f>IF(O48="","",O48+BC48)</f>
        <v/>
      </c>
      <c r="BE48" s="15">
        <f>IF(O48="","",COUNTA(S48,V48,Y48,AB48,AE48,AH48,AK48,AN48,AQ48,AT48,AW48,AZ48))</f>
        <v/>
      </c>
      <c r="BF48" s="16">
        <f>IF(COUNT(T48,W48,Z48,AC48,AF48,AI48,AL48,AO48,AR48,AU48,AX48,BA48)=0,"",MAX(T48,W48,Z48,AC48,AF48,AI48,AL48,AO48,AR48,AU48,AX48,BA48))</f>
        <v/>
      </c>
      <c r="BG48" s="10">
        <f>MID(IF(S48="","",", "&amp;S48)&amp;IF(V48="","",", "&amp;V48)&amp;IF(Y48="","",", "&amp;Y48)&amp;IF(AB48="","",", "&amp;AB48)&amp;IF(AE48="","",", "&amp;AE48)&amp;IF(AH48="","",", "&amp;AH48)&amp;IF(AK48="","",", "&amp;AK48)&amp;IF(AN48="","",", "&amp;AN48)&amp;IF(AQ48="","",", "&amp;AQ48)&amp;IF(AT48="","",", "&amp;AT48)&amp;IF(AW48="","",", "&amp;AW48)&amp;IF(AZ48="","",", "&amp;AZ48),3,500)</f>
        <v/>
      </c>
      <c r="BH48" s="12" t="n"/>
      <c r="BI48" s="15">
        <f>IFERROR(MATCH($A48,IF($B48="Onsite",tbl_Onsite[Row ID],IF($B48="Production",tbl_Production[Row ID],tbl_Consulting[Row ID])),0),"")</f>
        <v/>
      </c>
    </row>
    <row r="49">
      <c r="A49" s="10" t="inlineStr">
        <is>
          <t>ONS-0043</t>
        </is>
      </c>
      <c r="B49" s="10" t="inlineStr">
        <is>
          <t>Onsite</t>
        </is>
      </c>
      <c r="C49" s="10">
        <f>IF($BI49="","",IF($B49="Onsite",INDEX(tbl_Onsite[Job Number],$BI49),IF($B49="Production",INDEX(tbl_Production[Job Number],$BI49),INDEX(tbl_Consulting[Job Number],$BI49)))&amp;"")</f>
        <v/>
      </c>
      <c r="D49" s="10">
        <f>IF($BI49="","",IF($B49="Onsite",INDEX(tbl_Onsite[Client],$BI49),IF($B49="Production",INDEX(tbl_Production[Client],$BI49),INDEX(tbl_Consulting[Client],$BI49)))&amp;"")</f>
        <v/>
      </c>
      <c r="E49" s="10">
        <f>IF($C49="","",IF(COUNTIF(lst_Jobs,$C49)&gt;0,"OK","CHECK"))</f>
        <v/>
      </c>
      <c r="F49" s="10">
        <f>IF($C49="","",IFERROR(INDEX(lst_JobName,MATCH($C49,lst_Jobs,0)),""))</f>
        <v/>
      </c>
      <c r="G49" s="10">
        <f>IF($BI49="","",IF($B49="Onsite",INDEX(tbl_Onsite[Job Description],$BI49),IF($B49="Production",INDEX(tbl_Production[Job Description],$BI49),INDEX(tbl_Consulting[Job Description],$BI49)))&amp;"")</f>
        <v/>
      </c>
      <c r="H49" s="10">
        <f>IF($BI49="","",IF($B49="Onsite",INDEX(tbl_Onsite[Cost Centre],$BI49),IF($B49="Production",INDEX(tbl_Production[Cost Centre],$BI49),INDEX(tbl_Consulting[Cost Centre],$BI49)))&amp;"")</f>
        <v/>
      </c>
      <c r="I49" s="10">
        <f>IF($BI49="","",IF($B49="Onsite",INDEX(tbl_Onsite[Invoice Type],$BI49),IF($B49="Production",INDEX(tbl_Production[Invoice Type],$BI49),INDEX(tbl_Consulting[Invoice Type],$BI49)))&amp;"")</f>
        <v/>
      </c>
      <c r="J49" s="10">
        <f>IF($BI49="","",IF($B49="Onsite",INDEX(tbl_Onsite[Tax Code],$BI49),IF($B49="Production",INDEX(tbl_Production[Tax Code],$BI49),INDEX(tbl_Consulting[Tax Code],$BI49)))&amp;"")</f>
        <v/>
      </c>
      <c r="K49" s="10">
        <f>IF(H49="","",IFERROR(INDEX(lst_CCtoGL,MATCH(H49,lst_CCforGL,0)),""))</f>
        <v/>
      </c>
      <c r="L49" s="10">
        <f>IF($BI49="","",IF($B49="Onsite",INDEX(tbl_Onsite[PO / Reference],$BI49),IF($B49="Production",INDEX(tbl_Production[Current RMS No],$BI49),INDEX(tbl_Consulting[Qwilr Quote],$BI49)))&amp;"")</f>
        <v/>
      </c>
      <c r="M49" s="10">
        <f>IF($BI49="","",IF($B49="Onsite",INDEX(tbl_Onsite[Notes],$BI49),IF($B49="Production",INDEX(tbl_Production[Notes],$BI49),INDEX(tbl_Consulting[Notes],$BI49)))&amp;"")</f>
        <v/>
      </c>
      <c r="N49" s="11">
        <f>IF($BI49="","",IF(IF($B49="Onsite",INDEX(tbl_Onsite[Expected Revenue Ex GST],$BI49),IF($B49="Production",INDEX(tbl_Production[Expected Revenue Ex GST],$BI49),INDEX(tbl_Consulting[Expected Revenue Ex GST],$BI49)))="","",IF($B49="Onsite",INDEX(tbl_Onsite[Expected Revenue Ex GST],$BI49),IF($B49="Production",INDEX(tbl_Production[Expected Revenue Ex GST],$BI49),INDEX(tbl_Consulting[Expected Revenue Ex GST],$BI49)))))</f>
        <v/>
      </c>
      <c r="O49" s="11">
        <f>IF(AND($C49="",NOT(COUNTA($S49:$BB49)&gt;0)),"",SUM(U49,X49,AA49,AD49,AG49,AJ49,AM49,AP49,AS49,AV49,AY49,BB49))</f>
        <v/>
      </c>
      <c r="P49" s="11">
        <f>IF(O49="","",N(N49)-O49)</f>
        <v/>
      </c>
      <c r="Q49" s="10">
        <f>IF(O49="","",IF($C49="","Invoice on empty job row",IF(N49="",IF(ROUND(O49,2)=0,"No dept value","Invoiced - no dept value"),IF(ROUND(O49,2)=0,"Not invoiced - to invoice",IF(ROUND(P49,2)=0,"Agrees",IF(P49&gt;0,"Dept higher - to invoice","Xero higher - check dept"))))))</f>
        <v/>
      </c>
      <c r="R49" s="10">
        <f>IF(AND($C49="",NOT(COUNTA($S49:$BB49)&gt;0),$BI49&lt;&gt;""),"",MID(IF($BI49="","; Row ID not found on the department sheet - a row was deleted","")&amp;IF(AND($C49="",COUNTA($S49:$BB49)&gt;0),"; Invoice entered but the department row has no job number","")&amp;IF(E49="CHECK","; Job number not in the Xero job list","")&amp;IF(AND($C49&lt;&gt;"",COUNTIF($C$7:$C$1506,$C49)&gt;1),"; Job number on more than one row","")&amp;IF(AND($C49&lt;&gt;"",H49=""),"; Dept has not set a cost centre","")&amp;IF(AND($C49&lt;&gt;"",J49=""),"; Dept has not set a tax code","")&amp;IF(AND($C49&lt;&gt;"",N49=""),"; Dept has not entered an expected value","")&amp;IF((IF(OR(COUNTA(S49:U49)=0,AND(COUNTA(S49:U49)=3,ISNUMBER(U49))),0,1)+IF(OR(COUNTA(V49:X49)=0,AND(COUNTA(V49:X49)=3,ISNUMBER(X49))),0,1)+IF(OR(COUNTA(Y49:AA49)=0,AND(COUNTA(Y49:AA49)=3,ISNUMBER(AA49))),0,1)+IF(OR(COUNTA(AB49:AD49)=0,AND(COUNTA(AB49:AD49)=3,ISNUMBER(AD49))),0,1)+IF(OR(COUNTA(AE49:AG49)=0,AND(COUNTA(AE49:AG49)=3,ISNUMBER(AG49))),0,1)+IF(OR(COUNTA(AH49:AJ49)=0,AND(COUNTA(AH49:AJ49)=3,ISNUMBER(AJ49))),0,1)+IF(OR(COUNTA(AK49:AM49)=0,AND(COUNTA(AK49:AM49)=3,ISNUMBER(AM49))),0,1)+IF(OR(COUNTA(AN49:AP49)=0,AND(COUNTA(AN49:AP49)=3,ISNUMBER(AP49))),0,1)+IF(OR(COUNTA(AQ49:AS49)=0,AND(COUNTA(AQ49:AS49)=3,ISNUMBER(AS49))),0,1)+IF(OR(COUNTA(AT49:AV49)=0,AND(COUNTA(AT49:AV49)=3,ISNUMBER(AV49))),0,1)+IF(OR(COUNTA(AW49:AY49)=0,AND(COUNTA(AW49:AY49)=3,ISNUMBER(AY49))),0,1)+IF(OR(COUNTA(AZ49:BB49)=0,AND(COUNTA(AZ49:BB49)=3,ISNUMBER(BB49))),0,1))&gt;0,"; An invoice is incomplete (needs No, Date and a number in Ex GST)","")&amp;IF((IF(T49="",0,IFERROR(--(EOMONTH(T49,0)&lt;&gt;S$5),1))+IF(W49="",0,IFERROR(--(EOMONTH(W49,0)&lt;&gt;V$5),1))+IF(Z49="",0,IFERROR(--(EOMONTH(Z49,0)&lt;&gt;Y$5),1))+IF(AC49="",0,IFERROR(--(EOMONTH(AC49,0)&lt;&gt;AB$5),1))+IF(AF49="",0,IFERROR(--(EOMONTH(AF49,0)&lt;&gt;AE$5),1))+IF(AI49="",0,IFERROR(--(EOMONTH(AI49,0)&lt;&gt;AH$5),1))+IF(AL49="",0,IFERROR(--(EOMONTH(AL49,0)&lt;&gt;AK$5),1))+IF(AO49="",0,IFERROR(--(EOMONTH(AO49,0)&lt;&gt;AN$5),1))+IF(AR49="",0,IFERROR(--(EOMONTH(AR49,0)&lt;&gt;AQ$5),1))+IF(AU49="",0,IFERROR(--(EOMONTH(AU49,0)&lt;&gt;AT$5),1))+IF(AX49="",0,IFERROR(--(EOMONTH(AX49,0)&lt;&gt;AW$5),1))+IF(BA49="",0,IFERROR(--(EOMONTH(BA49,0)&lt;&gt;AZ$5),1)))&gt;0,"; An invoice date is not in the month it is typed under",""),3,500))</f>
        <v/>
      </c>
      <c r="S49" s="12" t="n"/>
      <c r="T49" s="13" t="n"/>
      <c r="U49" s="14" t="n"/>
      <c r="V49" s="12" t="n"/>
      <c r="W49" s="13" t="n"/>
      <c r="X49" s="14" t="n"/>
      <c r="Y49" s="12" t="n"/>
      <c r="Z49" s="13" t="n"/>
      <c r="AA49" s="14" t="n"/>
      <c r="AB49" s="12" t="n"/>
      <c r="AC49" s="13" t="n"/>
      <c r="AD49" s="14" t="n"/>
      <c r="AE49" s="12" t="n"/>
      <c r="AF49" s="13" t="n"/>
      <c r="AG49" s="14" t="n"/>
      <c r="AH49" s="12" t="n"/>
      <c r="AI49" s="13" t="n"/>
      <c r="AJ49" s="14" t="n"/>
      <c r="AK49" s="12" t="n"/>
      <c r="AL49" s="13" t="n"/>
      <c r="AM49" s="14" t="n"/>
      <c r="AN49" s="12" t="n"/>
      <c r="AO49" s="13" t="n"/>
      <c r="AP49" s="14" t="n"/>
      <c r="AQ49" s="12" t="n"/>
      <c r="AR49" s="13" t="n"/>
      <c r="AS49" s="14" t="n"/>
      <c r="AT49" s="12" t="n"/>
      <c r="AU49" s="13" t="n"/>
      <c r="AV49" s="14" t="n"/>
      <c r="AW49" s="12" t="n"/>
      <c r="AX49" s="13" t="n"/>
      <c r="AY49" s="14" t="n"/>
      <c r="AZ49" s="12" t="n"/>
      <c r="BA49" s="13" t="n"/>
      <c r="BB49" s="14" t="n"/>
      <c r="BC49" s="11">
        <f>IF(O49="","",IF(J49="GST 10%",ROUND(O49*set_GSTRate,2),0))</f>
        <v/>
      </c>
      <c r="BD49" s="11">
        <f>IF(O49="","",O49+BC49)</f>
        <v/>
      </c>
      <c r="BE49" s="15">
        <f>IF(O49="","",COUNTA(S49,V49,Y49,AB49,AE49,AH49,AK49,AN49,AQ49,AT49,AW49,AZ49))</f>
        <v/>
      </c>
      <c r="BF49" s="16">
        <f>IF(COUNT(T49,W49,Z49,AC49,AF49,AI49,AL49,AO49,AR49,AU49,AX49,BA49)=0,"",MAX(T49,W49,Z49,AC49,AF49,AI49,AL49,AO49,AR49,AU49,AX49,BA49))</f>
        <v/>
      </c>
      <c r="BG49" s="10">
        <f>MID(IF(S49="","",", "&amp;S49)&amp;IF(V49="","",", "&amp;V49)&amp;IF(Y49="","",", "&amp;Y49)&amp;IF(AB49="","",", "&amp;AB49)&amp;IF(AE49="","",", "&amp;AE49)&amp;IF(AH49="","",", "&amp;AH49)&amp;IF(AK49="","",", "&amp;AK49)&amp;IF(AN49="","",", "&amp;AN49)&amp;IF(AQ49="","",", "&amp;AQ49)&amp;IF(AT49="","",", "&amp;AT49)&amp;IF(AW49="","",", "&amp;AW49)&amp;IF(AZ49="","",", "&amp;AZ49),3,500)</f>
        <v/>
      </c>
      <c r="BH49" s="12" t="n"/>
      <c r="BI49" s="15">
        <f>IFERROR(MATCH($A49,IF($B49="Onsite",tbl_Onsite[Row ID],IF($B49="Production",tbl_Production[Row ID],tbl_Consulting[Row ID])),0),"")</f>
        <v/>
      </c>
    </row>
    <row r="50">
      <c r="A50" s="10" t="inlineStr">
        <is>
          <t>ONS-0044</t>
        </is>
      </c>
      <c r="B50" s="10" t="inlineStr">
        <is>
          <t>Onsite</t>
        </is>
      </c>
      <c r="C50" s="10">
        <f>IF($BI50="","",IF($B50="Onsite",INDEX(tbl_Onsite[Job Number],$BI50),IF($B50="Production",INDEX(tbl_Production[Job Number],$BI50),INDEX(tbl_Consulting[Job Number],$BI50)))&amp;"")</f>
        <v/>
      </c>
      <c r="D50" s="10">
        <f>IF($BI50="","",IF($B50="Onsite",INDEX(tbl_Onsite[Client],$BI50),IF($B50="Production",INDEX(tbl_Production[Client],$BI50),INDEX(tbl_Consulting[Client],$BI50)))&amp;"")</f>
        <v/>
      </c>
      <c r="E50" s="10">
        <f>IF($C50="","",IF(COUNTIF(lst_Jobs,$C50)&gt;0,"OK","CHECK"))</f>
        <v/>
      </c>
      <c r="F50" s="10">
        <f>IF($C50="","",IFERROR(INDEX(lst_JobName,MATCH($C50,lst_Jobs,0)),""))</f>
        <v/>
      </c>
      <c r="G50" s="10">
        <f>IF($BI50="","",IF($B50="Onsite",INDEX(tbl_Onsite[Job Description],$BI50),IF($B50="Production",INDEX(tbl_Production[Job Description],$BI50),INDEX(tbl_Consulting[Job Description],$BI50)))&amp;"")</f>
        <v/>
      </c>
      <c r="H50" s="10">
        <f>IF($BI50="","",IF($B50="Onsite",INDEX(tbl_Onsite[Cost Centre],$BI50),IF($B50="Production",INDEX(tbl_Production[Cost Centre],$BI50),INDEX(tbl_Consulting[Cost Centre],$BI50)))&amp;"")</f>
        <v/>
      </c>
      <c r="I50" s="10">
        <f>IF($BI50="","",IF($B50="Onsite",INDEX(tbl_Onsite[Invoice Type],$BI50),IF($B50="Production",INDEX(tbl_Production[Invoice Type],$BI50),INDEX(tbl_Consulting[Invoice Type],$BI50)))&amp;"")</f>
        <v/>
      </c>
      <c r="J50" s="10">
        <f>IF($BI50="","",IF($B50="Onsite",INDEX(tbl_Onsite[Tax Code],$BI50),IF($B50="Production",INDEX(tbl_Production[Tax Code],$BI50),INDEX(tbl_Consulting[Tax Code],$BI50)))&amp;"")</f>
        <v/>
      </c>
      <c r="K50" s="10">
        <f>IF(H50="","",IFERROR(INDEX(lst_CCtoGL,MATCH(H50,lst_CCforGL,0)),""))</f>
        <v/>
      </c>
      <c r="L50" s="10">
        <f>IF($BI50="","",IF($B50="Onsite",INDEX(tbl_Onsite[PO / Reference],$BI50),IF($B50="Production",INDEX(tbl_Production[Current RMS No],$BI50),INDEX(tbl_Consulting[Qwilr Quote],$BI50)))&amp;"")</f>
        <v/>
      </c>
      <c r="M50" s="10">
        <f>IF($BI50="","",IF($B50="Onsite",INDEX(tbl_Onsite[Notes],$BI50),IF($B50="Production",INDEX(tbl_Production[Notes],$BI50),INDEX(tbl_Consulting[Notes],$BI50)))&amp;"")</f>
        <v/>
      </c>
      <c r="N50" s="11">
        <f>IF($BI50="","",IF(IF($B50="Onsite",INDEX(tbl_Onsite[Expected Revenue Ex GST],$BI50),IF($B50="Production",INDEX(tbl_Production[Expected Revenue Ex GST],$BI50),INDEX(tbl_Consulting[Expected Revenue Ex GST],$BI50)))="","",IF($B50="Onsite",INDEX(tbl_Onsite[Expected Revenue Ex GST],$BI50),IF($B50="Production",INDEX(tbl_Production[Expected Revenue Ex GST],$BI50),INDEX(tbl_Consulting[Expected Revenue Ex GST],$BI50)))))</f>
        <v/>
      </c>
      <c r="O50" s="11">
        <f>IF(AND($C50="",NOT(COUNTA($S50:$BB50)&gt;0)),"",SUM(U50,X50,AA50,AD50,AG50,AJ50,AM50,AP50,AS50,AV50,AY50,BB50))</f>
        <v/>
      </c>
      <c r="P50" s="11">
        <f>IF(O50="","",N(N50)-O50)</f>
        <v/>
      </c>
      <c r="Q50" s="10">
        <f>IF(O50="","",IF($C50="","Invoice on empty job row",IF(N50="",IF(ROUND(O50,2)=0,"No dept value","Invoiced - no dept value"),IF(ROUND(O50,2)=0,"Not invoiced - to invoice",IF(ROUND(P50,2)=0,"Agrees",IF(P50&gt;0,"Dept higher - to invoice","Xero higher - check dept"))))))</f>
        <v/>
      </c>
      <c r="R50" s="10">
        <f>IF(AND($C50="",NOT(COUNTA($S50:$BB50)&gt;0),$BI50&lt;&gt;""),"",MID(IF($BI50="","; Row ID not found on the department sheet - a row was deleted","")&amp;IF(AND($C50="",COUNTA($S50:$BB50)&gt;0),"; Invoice entered but the department row has no job number","")&amp;IF(E50="CHECK","; Job number not in the Xero job list","")&amp;IF(AND($C50&lt;&gt;"",COUNTIF($C$7:$C$1506,$C50)&gt;1),"; Job number on more than one row","")&amp;IF(AND($C50&lt;&gt;"",H50=""),"; Dept has not set a cost centre","")&amp;IF(AND($C50&lt;&gt;"",J50=""),"; Dept has not set a tax code","")&amp;IF(AND($C50&lt;&gt;"",N50=""),"; Dept has not entered an expected value","")&amp;IF((IF(OR(COUNTA(S50:U50)=0,AND(COUNTA(S50:U50)=3,ISNUMBER(U50))),0,1)+IF(OR(COUNTA(V50:X50)=0,AND(COUNTA(V50:X50)=3,ISNUMBER(X50))),0,1)+IF(OR(COUNTA(Y50:AA50)=0,AND(COUNTA(Y50:AA50)=3,ISNUMBER(AA50))),0,1)+IF(OR(COUNTA(AB50:AD50)=0,AND(COUNTA(AB50:AD50)=3,ISNUMBER(AD50))),0,1)+IF(OR(COUNTA(AE50:AG50)=0,AND(COUNTA(AE50:AG50)=3,ISNUMBER(AG50))),0,1)+IF(OR(COUNTA(AH50:AJ50)=0,AND(COUNTA(AH50:AJ50)=3,ISNUMBER(AJ50))),0,1)+IF(OR(COUNTA(AK50:AM50)=0,AND(COUNTA(AK50:AM50)=3,ISNUMBER(AM50))),0,1)+IF(OR(COUNTA(AN50:AP50)=0,AND(COUNTA(AN50:AP50)=3,ISNUMBER(AP50))),0,1)+IF(OR(COUNTA(AQ50:AS50)=0,AND(COUNTA(AQ50:AS50)=3,ISNUMBER(AS50))),0,1)+IF(OR(COUNTA(AT50:AV50)=0,AND(COUNTA(AT50:AV50)=3,ISNUMBER(AV50))),0,1)+IF(OR(COUNTA(AW50:AY50)=0,AND(COUNTA(AW50:AY50)=3,ISNUMBER(AY50))),0,1)+IF(OR(COUNTA(AZ50:BB50)=0,AND(COUNTA(AZ50:BB50)=3,ISNUMBER(BB50))),0,1))&gt;0,"; An invoice is incomplete (needs No, Date and a number in Ex GST)","")&amp;IF((IF(T50="",0,IFERROR(--(EOMONTH(T50,0)&lt;&gt;S$5),1))+IF(W50="",0,IFERROR(--(EOMONTH(W50,0)&lt;&gt;V$5),1))+IF(Z50="",0,IFERROR(--(EOMONTH(Z50,0)&lt;&gt;Y$5),1))+IF(AC50="",0,IFERROR(--(EOMONTH(AC50,0)&lt;&gt;AB$5),1))+IF(AF50="",0,IFERROR(--(EOMONTH(AF50,0)&lt;&gt;AE$5),1))+IF(AI50="",0,IFERROR(--(EOMONTH(AI50,0)&lt;&gt;AH$5),1))+IF(AL50="",0,IFERROR(--(EOMONTH(AL50,0)&lt;&gt;AK$5),1))+IF(AO50="",0,IFERROR(--(EOMONTH(AO50,0)&lt;&gt;AN$5),1))+IF(AR50="",0,IFERROR(--(EOMONTH(AR50,0)&lt;&gt;AQ$5),1))+IF(AU50="",0,IFERROR(--(EOMONTH(AU50,0)&lt;&gt;AT$5),1))+IF(AX50="",0,IFERROR(--(EOMONTH(AX50,0)&lt;&gt;AW$5),1))+IF(BA50="",0,IFERROR(--(EOMONTH(BA50,0)&lt;&gt;AZ$5),1)))&gt;0,"; An invoice date is not in the month it is typed under",""),3,500))</f>
        <v/>
      </c>
      <c r="S50" s="12" t="n"/>
      <c r="T50" s="13" t="n"/>
      <c r="U50" s="14" t="n"/>
      <c r="V50" s="12" t="n"/>
      <c r="W50" s="13" t="n"/>
      <c r="X50" s="14" t="n"/>
      <c r="Y50" s="12" t="n"/>
      <c r="Z50" s="13" t="n"/>
      <c r="AA50" s="14" t="n"/>
      <c r="AB50" s="12" t="n"/>
      <c r="AC50" s="13" t="n"/>
      <c r="AD50" s="14" t="n"/>
      <c r="AE50" s="12" t="n"/>
      <c r="AF50" s="13" t="n"/>
      <c r="AG50" s="14" t="n"/>
      <c r="AH50" s="12" t="n"/>
      <c r="AI50" s="13" t="n"/>
      <c r="AJ50" s="14" t="n"/>
      <c r="AK50" s="12" t="n"/>
      <c r="AL50" s="13" t="n"/>
      <c r="AM50" s="14" t="n"/>
      <c r="AN50" s="12" t="n"/>
      <c r="AO50" s="13" t="n"/>
      <c r="AP50" s="14" t="n"/>
      <c r="AQ50" s="12" t="n"/>
      <c r="AR50" s="13" t="n"/>
      <c r="AS50" s="14" t="n"/>
      <c r="AT50" s="12" t="n"/>
      <c r="AU50" s="13" t="n"/>
      <c r="AV50" s="14" t="n"/>
      <c r="AW50" s="12" t="n"/>
      <c r="AX50" s="13" t="n"/>
      <c r="AY50" s="14" t="n"/>
      <c r="AZ50" s="12" t="n"/>
      <c r="BA50" s="13" t="n"/>
      <c r="BB50" s="14" t="n"/>
      <c r="BC50" s="11">
        <f>IF(O50="","",IF(J50="GST 10%",ROUND(O50*set_GSTRate,2),0))</f>
        <v/>
      </c>
      <c r="BD50" s="11">
        <f>IF(O50="","",O50+BC50)</f>
        <v/>
      </c>
      <c r="BE50" s="15">
        <f>IF(O50="","",COUNTA(S50,V50,Y50,AB50,AE50,AH50,AK50,AN50,AQ50,AT50,AW50,AZ50))</f>
        <v/>
      </c>
      <c r="BF50" s="16">
        <f>IF(COUNT(T50,W50,Z50,AC50,AF50,AI50,AL50,AO50,AR50,AU50,AX50,BA50)=0,"",MAX(T50,W50,Z50,AC50,AF50,AI50,AL50,AO50,AR50,AU50,AX50,BA50))</f>
        <v/>
      </c>
      <c r="BG50" s="10">
        <f>MID(IF(S50="","",", "&amp;S50)&amp;IF(V50="","",", "&amp;V50)&amp;IF(Y50="","",", "&amp;Y50)&amp;IF(AB50="","",", "&amp;AB50)&amp;IF(AE50="","",", "&amp;AE50)&amp;IF(AH50="","",", "&amp;AH50)&amp;IF(AK50="","",", "&amp;AK50)&amp;IF(AN50="","",", "&amp;AN50)&amp;IF(AQ50="","",", "&amp;AQ50)&amp;IF(AT50="","",", "&amp;AT50)&amp;IF(AW50="","",", "&amp;AW50)&amp;IF(AZ50="","",", "&amp;AZ50),3,500)</f>
        <v/>
      </c>
      <c r="BH50" s="12" t="n"/>
      <c r="BI50" s="15">
        <f>IFERROR(MATCH($A50,IF($B50="Onsite",tbl_Onsite[Row ID],IF($B50="Production",tbl_Production[Row ID],tbl_Consulting[Row ID])),0),"")</f>
        <v/>
      </c>
    </row>
    <row r="51">
      <c r="A51" s="10" t="inlineStr">
        <is>
          <t>ONS-0045</t>
        </is>
      </c>
      <c r="B51" s="10" t="inlineStr">
        <is>
          <t>Onsite</t>
        </is>
      </c>
      <c r="C51" s="10">
        <f>IF($BI51="","",IF($B51="Onsite",INDEX(tbl_Onsite[Job Number],$BI51),IF($B51="Production",INDEX(tbl_Production[Job Number],$BI51),INDEX(tbl_Consulting[Job Number],$BI51)))&amp;"")</f>
        <v/>
      </c>
      <c r="D51" s="10">
        <f>IF($BI51="","",IF($B51="Onsite",INDEX(tbl_Onsite[Client],$BI51),IF($B51="Production",INDEX(tbl_Production[Client],$BI51),INDEX(tbl_Consulting[Client],$BI51)))&amp;"")</f>
        <v/>
      </c>
      <c r="E51" s="10">
        <f>IF($C51="","",IF(COUNTIF(lst_Jobs,$C51)&gt;0,"OK","CHECK"))</f>
        <v/>
      </c>
      <c r="F51" s="10">
        <f>IF($C51="","",IFERROR(INDEX(lst_JobName,MATCH($C51,lst_Jobs,0)),""))</f>
        <v/>
      </c>
      <c r="G51" s="10">
        <f>IF($BI51="","",IF($B51="Onsite",INDEX(tbl_Onsite[Job Description],$BI51),IF($B51="Production",INDEX(tbl_Production[Job Description],$BI51),INDEX(tbl_Consulting[Job Description],$BI51)))&amp;"")</f>
        <v/>
      </c>
      <c r="H51" s="10">
        <f>IF($BI51="","",IF($B51="Onsite",INDEX(tbl_Onsite[Cost Centre],$BI51),IF($B51="Production",INDEX(tbl_Production[Cost Centre],$BI51),INDEX(tbl_Consulting[Cost Centre],$BI51)))&amp;"")</f>
        <v/>
      </c>
      <c r="I51" s="10">
        <f>IF($BI51="","",IF($B51="Onsite",INDEX(tbl_Onsite[Invoice Type],$BI51),IF($B51="Production",INDEX(tbl_Production[Invoice Type],$BI51),INDEX(tbl_Consulting[Invoice Type],$BI51)))&amp;"")</f>
        <v/>
      </c>
      <c r="J51" s="10">
        <f>IF($BI51="","",IF($B51="Onsite",INDEX(tbl_Onsite[Tax Code],$BI51),IF($B51="Production",INDEX(tbl_Production[Tax Code],$BI51),INDEX(tbl_Consulting[Tax Code],$BI51)))&amp;"")</f>
        <v/>
      </c>
      <c r="K51" s="10">
        <f>IF(H51="","",IFERROR(INDEX(lst_CCtoGL,MATCH(H51,lst_CCforGL,0)),""))</f>
        <v/>
      </c>
      <c r="L51" s="10">
        <f>IF($BI51="","",IF($B51="Onsite",INDEX(tbl_Onsite[PO / Reference],$BI51),IF($B51="Production",INDEX(tbl_Production[Current RMS No],$BI51),INDEX(tbl_Consulting[Qwilr Quote],$BI51)))&amp;"")</f>
        <v/>
      </c>
      <c r="M51" s="10">
        <f>IF($BI51="","",IF($B51="Onsite",INDEX(tbl_Onsite[Notes],$BI51),IF($B51="Production",INDEX(tbl_Production[Notes],$BI51),INDEX(tbl_Consulting[Notes],$BI51)))&amp;"")</f>
        <v/>
      </c>
      <c r="N51" s="11">
        <f>IF($BI51="","",IF(IF($B51="Onsite",INDEX(tbl_Onsite[Expected Revenue Ex GST],$BI51),IF($B51="Production",INDEX(tbl_Production[Expected Revenue Ex GST],$BI51),INDEX(tbl_Consulting[Expected Revenue Ex GST],$BI51)))="","",IF($B51="Onsite",INDEX(tbl_Onsite[Expected Revenue Ex GST],$BI51),IF($B51="Production",INDEX(tbl_Production[Expected Revenue Ex GST],$BI51),INDEX(tbl_Consulting[Expected Revenue Ex GST],$BI51)))))</f>
        <v/>
      </c>
      <c r="O51" s="11">
        <f>IF(AND($C51="",NOT(COUNTA($S51:$BB51)&gt;0)),"",SUM(U51,X51,AA51,AD51,AG51,AJ51,AM51,AP51,AS51,AV51,AY51,BB51))</f>
        <v/>
      </c>
      <c r="P51" s="11">
        <f>IF(O51="","",N(N51)-O51)</f>
        <v/>
      </c>
      <c r="Q51" s="10">
        <f>IF(O51="","",IF($C51="","Invoice on empty job row",IF(N51="",IF(ROUND(O51,2)=0,"No dept value","Invoiced - no dept value"),IF(ROUND(O51,2)=0,"Not invoiced - to invoice",IF(ROUND(P51,2)=0,"Agrees",IF(P51&gt;0,"Dept higher - to invoice","Xero higher - check dept"))))))</f>
        <v/>
      </c>
      <c r="R51" s="10">
        <f>IF(AND($C51="",NOT(COUNTA($S51:$BB51)&gt;0),$BI51&lt;&gt;""),"",MID(IF($BI51="","; Row ID not found on the department sheet - a row was deleted","")&amp;IF(AND($C51="",COUNTA($S51:$BB51)&gt;0),"; Invoice entered but the department row has no job number","")&amp;IF(E51="CHECK","; Job number not in the Xero job list","")&amp;IF(AND($C51&lt;&gt;"",COUNTIF($C$7:$C$1506,$C51)&gt;1),"; Job number on more than one row","")&amp;IF(AND($C51&lt;&gt;"",H51=""),"; Dept has not set a cost centre","")&amp;IF(AND($C51&lt;&gt;"",J51=""),"; Dept has not set a tax code","")&amp;IF(AND($C51&lt;&gt;"",N51=""),"; Dept has not entered an expected value","")&amp;IF((IF(OR(COUNTA(S51:U51)=0,AND(COUNTA(S51:U51)=3,ISNUMBER(U51))),0,1)+IF(OR(COUNTA(V51:X51)=0,AND(COUNTA(V51:X51)=3,ISNUMBER(X51))),0,1)+IF(OR(COUNTA(Y51:AA51)=0,AND(COUNTA(Y51:AA51)=3,ISNUMBER(AA51))),0,1)+IF(OR(COUNTA(AB51:AD51)=0,AND(COUNTA(AB51:AD51)=3,ISNUMBER(AD51))),0,1)+IF(OR(COUNTA(AE51:AG51)=0,AND(COUNTA(AE51:AG51)=3,ISNUMBER(AG51))),0,1)+IF(OR(COUNTA(AH51:AJ51)=0,AND(COUNTA(AH51:AJ51)=3,ISNUMBER(AJ51))),0,1)+IF(OR(COUNTA(AK51:AM51)=0,AND(COUNTA(AK51:AM51)=3,ISNUMBER(AM51))),0,1)+IF(OR(COUNTA(AN51:AP51)=0,AND(COUNTA(AN51:AP51)=3,ISNUMBER(AP51))),0,1)+IF(OR(COUNTA(AQ51:AS51)=0,AND(COUNTA(AQ51:AS51)=3,ISNUMBER(AS51))),0,1)+IF(OR(COUNTA(AT51:AV51)=0,AND(COUNTA(AT51:AV51)=3,ISNUMBER(AV51))),0,1)+IF(OR(COUNTA(AW51:AY51)=0,AND(COUNTA(AW51:AY51)=3,ISNUMBER(AY51))),0,1)+IF(OR(COUNTA(AZ51:BB51)=0,AND(COUNTA(AZ51:BB51)=3,ISNUMBER(BB51))),0,1))&gt;0,"; An invoice is incomplete (needs No, Date and a number in Ex GST)","")&amp;IF((IF(T51="",0,IFERROR(--(EOMONTH(T51,0)&lt;&gt;S$5),1))+IF(W51="",0,IFERROR(--(EOMONTH(W51,0)&lt;&gt;V$5),1))+IF(Z51="",0,IFERROR(--(EOMONTH(Z51,0)&lt;&gt;Y$5),1))+IF(AC51="",0,IFERROR(--(EOMONTH(AC51,0)&lt;&gt;AB$5),1))+IF(AF51="",0,IFERROR(--(EOMONTH(AF51,0)&lt;&gt;AE$5),1))+IF(AI51="",0,IFERROR(--(EOMONTH(AI51,0)&lt;&gt;AH$5),1))+IF(AL51="",0,IFERROR(--(EOMONTH(AL51,0)&lt;&gt;AK$5),1))+IF(AO51="",0,IFERROR(--(EOMONTH(AO51,0)&lt;&gt;AN$5),1))+IF(AR51="",0,IFERROR(--(EOMONTH(AR51,0)&lt;&gt;AQ$5),1))+IF(AU51="",0,IFERROR(--(EOMONTH(AU51,0)&lt;&gt;AT$5),1))+IF(AX51="",0,IFERROR(--(EOMONTH(AX51,0)&lt;&gt;AW$5),1))+IF(BA51="",0,IFERROR(--(EOMONTH(BA51,0)&lt;&gt;AZ$5),1)))&gt;0,"; An invoice date is not in the month it is typed under",""),3,500))</f>
        <v/>
      </c>
      <c r="S51" s="12" t="n"/>
      <c r="T51" s="13" t="n"/>
      <c r="U51" s="14" t="n"/>
      <c r="V51" s="12" t="n"/>
      <c r="W51" s="13" t="n"/>
      <c r="X51" s="14" t="n"/>
      <c r="Y51" s="12" t="n"/>
      <c r="Z51" s="13" t="n"/>
      <c r="AA51" s="14" t="n"/>
      <c r="AB51" s="12" t="n"/>
      <c r="AC51" s="13" t="n"/>
      <c r="AD51" s="14" t="n"/>
      <c r="AE51" s="12" t="n"/>
      <c r="AF51" s="13" t="n"/>
      <c r="AG51" s="14" t="n"/>
      <c r="AH51" s="12" t="n"/>
      <c r="AI51" s="13" t="n"/>
      <c r="AJ51" s="14" t="n"/>
      <c r="AK51" s="12" t="n"/>
      <c r="AL51" s="13" t="n"/>
      <c r="AM51" s="14" t="n"/>
      <c r="AN51" s="12" t="n"/>
      <c r="AO51" s="13" t="n"/>
      <c r="AP51" s="14" t="n"/>
      <c r="AQ51" s="12" t="n"/>
      <c r="AR51" s="13" t="n"/>
      <c r="AS51" s="14" t="n"/>
      <c r="AT51" s="12" t="n"/>
      <c r="AU51" s="13" t="n"/>
      <c r="AV51" s="14" t="n"/>
      <c r="AW51" s="12" t="n"/>
      <c r="AX51" s="13" t="n"/>
      <c r="AY51" s="14" t="n"/>
      <c r="AZ51" s="12" t="n"/>
      <c r="BA51" s="13" t="n"/>
      <c r="BB51" s="14" t="n"/>
      <c r="BC51" s="11">
        <f>IF(O51="","",IF(J51="GST 10%",ROUND(O51*set_GSTRate,2),0))</f>
        <v/>
      </c>
      <c r="BD51" s="11">
        <f>IF(O51="","",O51+BC51)</f>
        <v/>
      </c>
      <c r="BE51" s="15">
        <f>IF(O51="","",COUNTA(S51,V51,Y51,AB51,AE51,AH51,AK51,AN51,AQ51,AT51,AW51,AZ51))</f>
        <v/>
      </c>
      <c r="BF51" s="16">
        <f>IF(COUNT(T51,W51,Z51,AC51,AF51,AI51,AL51,AO51,AR51,AU51,AX51,BA51)=0,"",MAX(T51,W51,Z51,AC51,AF51,AI51,AL51,AO51,AR51,AU51,AX51,BA51))</f>
        <v/>
      </c>
      <c r="BG51" s="10">
        <f>MID(IF(S51="","",", "&amp;S51)&amp;IF(V51="","",", "&amp;V51)&amp;IF(Y51="","",", "&amp;Y51)&amp;IF(AB51="","",", "&amp;AB51)&amp;IF(AE51="","",", "&amp;AE51)&amp;IF(AH51="","",", "&amp;AH51)&amp;IF(AK51="","",", "&amp;AK51)&amp;IF(AN51="","",", "&amp;AN51)&amp;IF(AQ51="","",", "&amp;AQ51)&amp;IF(AT51="","",", "&amp;AT51)&amp;IF(AW51="","",", "&amp;AW51)&amp;IF(AZ51="","",", "&amp;AZ51),3,500)</f>
        <v/>
      </c>
      <c r="BH51" s="12" t="n"/>
      <c r="BI51" s="15">
        <f>IFERROR(MATCH($A51,IF($B51="Onsite",tbl_Onsite[Row ID],IF($B51="Production",tbl_Production[Row ID],tbl_Consulting[Row ID])),0),"")</f>
        <v/>
      </c>
    </row>
    <row r="52">
      <c r="A52" s="10" t="inlineStr">
        <is>
          <t>ONS-0046</t>
        </is>
      </c>
      <c r="B52" s="10" t="inlineStr">
        <is>
          <t>Onsite</t>
        </is>
      </c>
      <c r="C52" s="10">
        <f>IF($BI52="","",IF($B52="Onsite",INDEX(tbl_Onsite[Job Number],$BI52),IF($B52="Production",INDEX(tbl_Production[Job Number],$BI52),INDEX(tbl_Consulting[Job Number],$BI52)))&amp;"")</f>
        <v/>
      </c>
      <c r="D52" s="10">
        <f>IF($BI52="","",IF($B52="Onsite",INDEX(tbl_Onsite[Client],$BI52),IF($B52="Production",INDEX(tbl_Production[Client],$BI52),INDEX(tbl_Consulting[Client],$BI52)))&amp;"")</f>
        <v/>
      </c>
      <c r="E52" s="10">
        <f>IF($C52="","",IF(COUNTIF(lst_Jobs,$C52)&gt;0,"OK","CHECK"))</f>
        <v/>
      </c>
      <c r="F52" s="10">
        <f>IF($C52="","",IFERROR(INDEX(lst_JobName,MATCH($C52,lst_Jobs,0)),""))</f>
        <v/>
      </c>
      <c r="G52" s="10">
        <f>IF($BI52="","",IF($B52="Onsite",INDEX(tbl_Onsite[Job Description],$BI52),IF($B52="Production",INDEX(tbl_Production[Job Description],$BI52),INDEX(tbl_Consulting[Job Description],$BI52)))&amp;"")</f>
        <v/>
      </c>
      <c r="H52" s="10">
        <f>IF($BI52="","",IF($B52="Onsite",INDEX(tbl_Onsite[Cost Centre],$BI52),IF($B52="Production",INDEX(tbl_Production[Cost Centre],$BI52),INDEX(tbl_Consulting[Cost Centre],$BI52)))&amp;"")</f>
        <v/>
      </c>
      <c r="I52" s="10">
        <f>IF($BI52="","",IF($B52="Onsite",INDEX(tbl_Onsite[Invoice Type],$BI52),IF($B52="Production",INDEX(tbl_Production[Invoice Type],$BI52),INDEX(tbl_Consulting[Invoice Type],$BI52)))&amp;"")</f>
        <v/>
      </c>
      <c r="J52" s="10">
        <f>IF($BI52="","",IF($B52="Onsite",INDEX(tbl_Onsite[Tax Code],$BI52),IF($B52="Production",INDEX(tbl_Production[Tax Code],$BI52),INDEX(tbl_Consulting[Tax Code],$BI52)))&amp;"")</f>
        <v/>
      </c>
      <c r="K52" s="10">
        <f>IF(H52="","",IFERROR(INDEX(lst_CCtoGL,MATCH(H52,lst_CCforGL,0)),""))</f>
        <v/>
      </c>
      <c r="L52" s="10">
        <f>IF($BI52="","",IF($B52="Onsite",INDEX(tbl_Onsite[PO / Reference],$BI52),IF($B52="Production",INDEX(tbl_Production[Current RMS No],$BI52),INDEX(tbl_Consulting[Qwilr Quote],$BI52)))&amp;"")</f>
        <v/>
      </c>
      <c r="M52" s="10">
        <f>IF($BI52="","",IF($B52="Onsite",INDEX(tbl_Onsite[Notes],$BI52),IF($B52="Production",INDEX(tbl_Production[Notes],$BI52),INDEX(tbl_Consulting[Notes],$BI52)))&amp;"")</f>
        <v/>
      </c>
      <c r="N52" s="11">
        <f>IF($BI52="","",IF(IF($B52="Onsite",INDEX(tbl_Onsite[Expected Revenue Ex GST],$BI52),IF($B52="Production",INDEX(tbl_Production[Expected Revenue Ex GST],$BI52),INDEX(tbl_Consulting[Expected Revenue Ex GST],$BI52)))="","",IF($B52="Onsite",INDEX(tbl_Onsite[Expected Revenue Ex GST],$BI52),IF($B52="Production",INDEX(tbl_Production[Expected Revenue Ex GST],$BI52),INDEX(tbl_Consulting[Expected Revenue Ex GST],$BI52)))))</f>
        <v/>
      </c>
      <c r="O52" s="11">
        <f>IF(AND($C52="",NOT(COUNTA($S52:$BB52)&gt;0)),"",SUM(U52,X52,AA52,AD52,AG52,AJ52,AM52,AP52,AS52,AV52,AY52,BB52))</f>
        <v/>
      </c>
      <c r="P52" s="11">
        <f>IF(O52="","",N(N52)-O52)</f>
        <v/>
      </c>
      <c r="Q52" s="10">
        <f>IF(O52="","",IF($C52="","Invoice on empty job row",IF(N52="",IF(ROUND(O52,2)=0,"No dept value","Invoiced - no dept value"),IF(ROUND(O52,2)=0,"Not invoiced - to invoice",IF(ROUND(P52,2)=0,"Agrees",IF(P52&gt;0,"Dept higher - to invoice","Xero higher - check dept"))))))</f>
        <v/>
      </c>
      <c r="R52" s="10">
        <f>IF(AND($C52="",NOT(COUNTA($S52:$BB52)&gt;0),$BI52&lt;&gt;""),"",MID(IF($BI52="","; Row ID not found on the department sheet - a row was deleted","")&amp;IF(AND($C52="",COUNTA($S52:$BB52)&gt;0),"; Invoice entered but the department row has no job number","")&amp;IF(E52="CHECK","; Job number not in the Xero job list","")&amp;IF(AND($C52&lt;&gt;"",COUNTIF($C$7:$C$1506,$C52)&gt;1),"; Job number on more than one row","")&amp;IF(AND($C52&lt;&gt;"",H52=""),"; Dept has not set a cost centre","")&amp;IF(AND($C52&lt;&gt;"",J52=""),"; Dept has not set a tax code","")&amp;IF(AND($C52&lt;&gt;"",N52=""),"; Dept has not entered an expected value","")&amp;IF((IF(OR(COUNTA(S52:U52)=0,AND(COUNTA(S52:U52)=3,ISNUMBER(U52))),0,1)+IF(OR(COUNTA(V52:X52)=0,AND(COUNTA(V52:X52)=3,ISNUMBER(X52))),0,1)+IF(OR(COUNTA(Y52:AA52)=0,AND(COUNTA(Y52:AA52)=3,ISNUMBER(AA52))),0,1)+IF(OR(COUNTA(AB52:AD52)=0,AND(COUNTA(AB52:AD52)=3,ISNUMBER(AD52))),0,1)+IF(OR(COUNTA(AE52:AG52)=0,AND(COUNTA(AE52:AG52)=3,ISNUMBER(AG52))),0,1)+IF(OR(COUNTA(AH52:AJ52)=0,AND(COUNTA(AH52:AJ52)=3,ISNUMBER(AJ52))),0,1)+IF(OR(COUNTA(AK52:AM52)=0,AND(COUNTA(AK52:AM52)=3,ISNUMBER(AM52))),0,1)+IF(OR(COUNTA(AN52:AP52)=0,AND(COUNTA(AN52:AP52)=3,ISNUMBER(AP52))),0,1)+IF(OR(COUNTA(AQ52:AS52)=0,AND(COUNTA(AQ52:AS52)=3,ISNUMBER(AS52))),0,1)+IF(OR(COUNTA(AT52:AV52)=0,AND(COUNTA(AT52:AV52)=3,ISNUMBER(AV52))),0,1)+IF(OR(COUNTA(AW52:AY52)=0,AND(COUNTA(AW52:AY52)=3,ISNUMBER(AY52))),0,1)+IF(OR(COUNTA(AZ52:BB52)=0,AND(COUNTA(AZ52:BB52)=3,ISNUMBER(BB52))),0,1))&gt;0,"; An invoice is incomplete (needs No, Date and a number in Ex GST)","")&amp;IF((IF(T52="",0,IFERROR(--(EOMONTH(T52,0)&lt;&gt;S$5),1))+IF(W52="",0,IFERROR(--(EOMONTH(W52,0)&lt;&gt;V$5),1))+IF(Z52="",0,IFERROR(--(EOMONTH(Z52,0)&lt;&gt;Y$5),1))+IF(AC52="",0,IFERROR(--(EOMONTH(AC52,0)&lt;&gt;AB$5),1))+IF(AF52="",0,IFERROR(--(EOMONTH(AF52,0)&lt;&gt;AE$5),1))+IF(AI52="",0,IFERROR(--(EOMONTH(AI52,0)&lt;&gt;AH$5),1))+IF(AL52="",0,IFERROR(--(EOMONTH(AL52,0)&lt;&gt;AK$5),1))+IF(AO52="",0,IFERROR(--(EOMONTH(AO52,0)&lt;&gt;AN$5),1))+IF(AR52="",0,IFERROR(--(EOMONTH(AR52,0)&lt;&gt;AQ$5),1))+IF(AU52="",0,IFERROR(--(EOMONTH(AU52,0)&lt;&gt;AT$5),1))+IF(AX52="",0,IFERROR(--(EOMONTH(AX52,0)&lt;&gt;AW$5),1))+IF(BA52="",0,IFERROR(--(EOMONTH(BA52,0)&lt;&gt;AZ$5),1)))&gt;0,"; An invoice date is not in the month it is typed under",""),3,500))</f>
        <v/>
      </c>
      <c r="S52" s="12" t="n"/>
      <c r="T52" s="13" t="n"/>
      <c r="U52" s="14" t="n"/>
      <c r="V52" s="12" t="n"/>
      <c r="W52" s="13" t="n"/>
      <c r="X52" s="14" t="n"/>
      <c r="Y52" s="12" t="n"/>
      <c r="Z52" s="13" t="n"/>
      <c r="AA52" s="14" t="n"/>
      <c r="AB52" s="12" t="n"/>
      <c r="AC52" s="13" t="n"/>
      <c r="AD52" s="14" t="n"/>
      <c r="AE52" s="12" t="n"/>
      <c r="AF52" s="13" t="n"/>
      <c r="AG52" s="14" t="n"/>
      <c r="AH52" s="12" t="n"/>
      <c r="AI52" s="13" t="n"/>
      <c r="AJ52" s="14" t="n"/>
      <c r="AK52" s="12" t="n"/>
      <c r="AL52" s="13" t="n"/>
      <c r="AM52" s="14" t="n"/>
      <c r="AN52" s="12" t="n"/>
      <c r="AO52" s="13" t="n"/>
      <c r="AP52" s="14" t="n"/>
      <c r="AQ52" s="12" t="n"/>
      <c r="AR52" s="13" t="n"/>
      <c r="AS52" s="14" t="n"/>
      <c r="AT52" s="12" t="n"/>
      <c r="AU52" s="13" t="n"/>
      <c r="AV52" s="14" t="n"/>
      <c r="AW52" s="12" t="n"/>
      <c r="AX52" s="13" t="n"/>
      <c r="AY52" s="14" t="n"/>
      <c r="AZ52" s="12" t="n"/>
      <c r="BA52" s="13" t="n"/>
      <c r="BB52" s="14" t="n"/>
      <c r="BC52" s="11">
        <f>IF(O52="","",IF(J52="GST 10%",ROUND(O52*set_GSTRate,2),0))</f>
        <v/>
      </c>
      <c r="BD52" s="11">
        <f>IF(O52="","",O52+BC52)</f>
        <v/>
      </c>
      <c r="BE52" s="15">
        <f>IF(O52="","",COUNTA(S52,V52,Y52,AB52,AE52,AH52,AK52,AN52,AQ52,AT52,AW52,AZ52))</f>
        <v/>
      </c>
      <c r="BF52" s="16">
        <f>IF(COUNT(T52,W52,Z52,AC52,AF52,AI52,AL52,AO52,AR52,AU52,AX52,BA52)=0,"",MAX(T52,W52,Z52,AC52,AF52,AI52,AL52,AO52,AR52,AU52,AX52,BA52))</f>
        <v/>
      </c>
      <c r="BG52" s="10">
        <f>MID(IF(S52="","",", "&amp;S52)&amp;IF(V52="","",", "&amp;V52)&amp;IF(Y52="","",", "&amp;Y52)&amp;IF(AB52="","",", "&amp;AB52)&amp;IF(AE52="","",", "&amp;AE52)&amp;IF(AH52="","",", "&amp;AH52)&amp;IF(AK52="","",", "&amp;AK52)&amp;IF(AN52="","",", "&amp;AN52)&amp;IF(AQ52="","",", "&amp;AQ52)&amp;IF(AT52="","",", "&amp;AT52)&amp;IF(AW52="","",", "&amp;AW52)&amp;IF(AZ52="","",", "&amp;AZ52),3,500)</f>
        <v/>
      </c>
      <c r="BH52" s="12" t="n"/>
      <c r="BI52" s="15">
        <f>IFERROR(MATCH($A52,IF($B52="Onsite",tbl_Onsite[Row ID],IF($B52="Production",tbl_Production[Row ID],tbl_Consulting[Row ID])),0),"")</f>
        <v/>
      </c>
    </row>
    <row r="53">
      <c r="A53" s="10" t="inlineStr">
        <is>
          <t>ONS-0047</t>
        </is>
      </c>
      <c r="B53" s="10" t="inlineStr">
        <is>
          <t>Onsite</t>
        </is>
      </c>
      <c r="C53" s="10">
        <f>IF($BI53="","",IF($B53="Onsite",INDEX(tbl_Onsite[Job Number],$BI53),IF($B53="Production",INDEX(tbl_Production[Job Number],$BI53),INDEX(tbl_Consulting[Job Number],$BI53)))&amp;"")</f>
        <v/>
      </c>
      <c r="D53" s="10">
        <f>IF($BI53="","",IF($B53="Onsite",INDEX(tbl_Onsite[Client],$BI53),IF($B53="Production",INDEX(tbl_Production[Client],$BI53),INDEX(tbl_Consulting[Client],$BI53)))&amp;"")</f>
        <v/>
      </c>
      <c r="E53" s="10">
        <f>IF($C53="","",IF(COUNTIF(lst_Jobs,$C53)&gt;0,"OK","CHECK"))</f>
        <v/>
      </c>
      <c r="F53" s="10">
        <f>IF($C53="","",IFERROR(INDEX(lst_JobName,MATCH($C53,lst_Jobs,0)),""))</f>
        <v/>
      </c>
      <c r="G53" s="10">
        <f>IF($BI53="","",IF($B53="Onsite",INDEX(tbl_Onsite[Job Description],$BI53),IF($B53="Production",INDEX(tbl_Production[Job Description],$BI53),INDEX(tbl_Consulting[Job Description],$BI53)))&amp;"")</f>
        <v/>
      </c>
      <c r="H53" s="10">
        <f>IF($BI53="","",IF($B53="Onsite",INDEX(tbl_Onsite[Cost Centre],$BI53),IF($B53="Production",INDEX(tbl_Production[Cost Centre],$BI53),INDEX(tbl_Consulting[Cost Centre],$BI53)))&amp;"")</f>
        <v/>
      </c>
      <c r="I53" s="10">
        <f>IF($BI53="","",IF($B53="Onsite",INDEX(tbl_Onsite[Invoice Type],$BI53),IF($B53="Production",INDEX(tbl_Production[Invoice Type],$BI53),INDEX(tbl_Consulting[Invoice Type],$BI53)))&amp;"")</f>
        <v/>
      </c>
      <c r="J53" s="10">
        <f>IF($BI53="","",IF($B53="Onsite",INDEX(tbl_Onsite[Tax Code],$BI53),IF($B53="Production",INDEX(tbl_Production[Tax Code],$BI53),INDEX(tbl_Consulting[Tax Code],$BI53)))&amp;"")</f>
        <v/>
      </c>
      <c r="K53" s="10">
        <f>IF(H53="","",IFERROR(INDEX(lst_CCtoGL,MATCH(H53,lst_CCforGL,0)),""))</f>
        <v/>
      </c>
      <c r="L53" s="10">
        <f>IF($BI53="","",IF($B53="Onsite",INDEX(tbl_Onsite[PO / Reference],$BI53),IF($B53="Production",INDEX(tbl_Production[Current RMS No],$BI53),INDEX(tbl_Consulting[Qwilr Quote],$BI53)))&amp;"")</f>
        <v/>
      </c>
      <c r="M53" s="10">
        <f>IF($BI53="","",IF($B53="Onsite",INDEX(tbl_Onsite[Notes],$BI53),IF($B53="Production",INDEX(tbl_Production[Notes],$BI53),INDEX(tbl_Consulting[Notes],$BI53)))&amp;"")</f>
        <v/>
      </c>
      <c r="N53" s="11">
        <f>IF($BI53="","",IF(IF($B53="Onsite",INDEX(tbl_Onsite[Expected Revenue Ex GST],$BI53),IF($B53="Production",INDEX(tbl_Production[Expected Revenue Ex GST],$BI53),INDEX(tbl_Consulting[Expected Revenue Ex GST],$BI53)))="","",IF($B53="Onsite",INDEX(tbl_Onsite[Expected Revenue Ex GST],$BI53),IF($B53="Production",INDEX(tbl_Production[Expected Revenue Ex GST],$BI53),INDEX(tbl_Consulting[Expected Revenue Ex GST],$BI53)))))</f>
        <v/>
      </c>
      <c r="O53" s="11">
        <f>IF(AND($C53="",NOT(COUNTA($S53:$BB53)&gt;0)),"",SUM(U53,X53,AA53,AD53,AG53,AJ53,AM53,AP53,AS53,AV53,AY53,BB53))</f>
        <v/>
      </c>
      <c r="P53" s="11">
        <f>IF(O53="","",N(N53)-O53)</f>
        <v/>
      </c>
      <c r="Q53" s="10">
        <f>IF(O53="","",IF($C53="","Invoice on empty job row",IF(N53="",IF(ROUND(O53,2)=0,"No dept value","Invoiced - no dept value"),IF(ROUND(O53,2)=0,"Not invoiced - to invoice",IF(ROUND(P53,2)=0,"Agrees",IF(P53&gt;0,"Dept higher - to invoice","Xero higher - check dept"))))))</f>
        <v/>
      </c>
      <c r="R53" s="10">
        <f>IF(AND($C53="",NOT(COUNTA($S53:$BB53)&gt;0),$BI53&lt;&gt;""),"",MID(IF($BI53="","; Row ID not found on the department sheet - a row was deleted","")&amp;IF(AND($C53="",COUNTA($S53:$BB53)&gt;0),"; Invoice entered but the department row has no job number","")&amp;IF(E53="CHECK","; Job number not in the Xero job list","")&amp;IF(AND($C53&lt;&gt;"",COUNTIF($C$7:$C$1506,$C53)&gt;1),"; Job number on more than one row","")&amp;IF(AND($C53&lt;&gt;"",H53=""),"; Dept has not set a cost centre","")&amp;IF(AND($C53&lt;&gt;"",J53=""),"; Dept has not set a tax code","")&amp;IF(AND($C53&lt;&gt;"",N53=""),"; Dept has not entered an expected value","")&amp;IF((IF(OR(COUNTA(S53:U53)=0,AND(COUNTA(S53:U53)=3,ISNUMBER(U53))),0,1)+IF(OR(COUNTA(V53:X53)=0,AND(COUNTA(V53:X53)=3,ISNUMBER(X53))),0,1)+IF(OR(COUNTA(Y53:AA53)=0,AND(COUNTA(Y53:AA53)=3,ISNUMBER(AA53))),0,1)+IF(OR(COUNTA(AB53:AD53)=0,AND(COUNTA(AB53:AD53)=3,ISNUMBER(AD53))),0,1)+IF(OR(COUNTA(AE53:AG53)=0,AND(COUNTA(AE53:AG53)=3,ISNUMBER(AG53))),0,1)+IF(OR(COUNTA(AH53:AJ53)=0,AND(COUNTA(AH53:AJ53)=3,ISNUMBER(AJ53))),0,1)+IF(OR(COUNTA(AK53:AM53)=0,AND(COUNTA(AK53:AM53)=3,ISNUMBER(AM53))),0,1)+IF(OR(COUNTA(AN53:AP53)=0,AND(COUNTA(AN53:AP53)=3,ISNUMBER(AP53))),0,1)+IF(OR(COUNTA(AQ53:AS53)=0,AND(COUNTA(AQ53:AS53)=3,ISNUMBER(AS53))),0,1)+IF(OR(COUNTA(AT53:AV53)=0,AND(COUNTA(AT53:AV53)=3,ISNUMBER(AV53))),0,1)+IF(OR(COUNTA(AW53:AY53)=0,AND(COUNTA(AW53:AY53)=3,ISNUMBER(AY53))),0,1)+IF(OR(COUNTA(AZ53:BB53)=0,AND(COUNTA(AZ53:BB53)=3,ISNUMBER(BB53))),0,1))&gt;0,"; An invoice is incomplete (needs No, Date and a number in Ex GST)","")&amp;IF((IF(T53="",0,IFERROR(--(EOMONTH(T53,0)&lt;&gt;S$5),1))+IF(W53="",0,IFERROR(--(EOMONTH(W53,0)&lt;&gt;V$5),1))+IF(Z53="",0,IFERROR(--(EOMONTH(Z53,0)&lt;&gt;Y$5),1))+IF(AC53="",0,IFERROR(--(EOMONTH(AC53,0)&lt;&gt;AB$5),1))+IF(AF53="",0,IFERROR(--(EOMONTH(AF53,0)&lt;&gt;AE$5),1))+IF(AI53="",0,IFERROR(--(EOMONTH(AI53,0)&lt;&gt;AH$5),1))+IF(AL53="",0,IFERROR(--(EOMONTH(AL53,0)&lt;&gt;AK$5),1))+IF(AO53="",0,IFERROR(--(EOMONTH(AO53,0)&lt;&gt;AN$5),1))+IF(AR53="",0,IFERROR(--(EOMONTH(AR53,0)&lt;&gt;AQ$5),1))+IF(AU53="",0,IFERROR(--(EOMONTH(AU53,0)&lt;&gt;AT$5),1))+IF(AX53="",0,IFERROR(--(EOMONTH(AX53,0)&lt;&gt;AW$5),1))+IF(BA53="",0,IFERROR(--(EOMONTH(BA53,0)&lt;&gt;AZ$5),1)))&gt;0,"; An invoice date is not in the month it is typed under",""),3,500))</f>
        <v/>
      </c>
      <c r="S53" s="12" t="n"/>
      <c r="T53" s="13" t="n"/>
      <c r="U53" s="14" t="n"/>
      <c r="V53" s="12" t="n"/>
      <c r="W53" s="13" t="n"/>
      <c r="X53" s="14" t="n"/>
      <c r="Y53" s="12" t="n"/>
      <c r="Z53" s="13" t="n"/>
      <c r="AA53" s="14" t="n"/>
      <c r="AB53" s="12" t="n"/>
      <c r="AC53" s="13" t="n"/>
      <c r="AD53" s="14" t="n"/>
      <c r="AE53" s="12" t="n"/>
      <c r="AF53" s="13" t="n"/>
      <c r="AG53" s="14" t="n"/>
      <c r="AH53" s="12" t="n"/>
      <c r="AI53" s="13" t="n"/>
      <c r="AJ53" s="14" t="n"/>
      <c r="AK53" s="12" t="n"/>
      <c r="AL53" s="13" t="n"/>
      <c r="AM53" s="14" t="n"/>
      <c r="AN53" s="12" t="n"/>
      <c r="AO53" s="13" t="n"/>
      <c r="AP53" s="14" t="n"/>
      <c r="AQ53" s="12" t="n"/>
      <c r="AR53" s="13" t="n"/>
      <c r="AS53" s="14" t="n"/>
      <c r="AT53" s="12" t="n"/>
      <c r="AU53" s="13" t="n"/>
      <c r="AV53" s="14" t="n"/>
      <c r="AW53" s="12" t="n"/>
      <c r="AX53" s="13" t="n"/>
      <c r="AY53" s="14" t="n"/>
      <c r="AZ53" s="12" t="n"/>
      <c r="BA53" s="13" t="n"/>
      <c r="BB53" s="14" t="n"/>
      <c r="BC53" s="11">
        <f>IF(O53="","",IF(J53="GST 10%",ROUND(O53*set_GSTRate,2),0))</f>
        <v/>
      </c>
      <c r="BD53" s="11">
        <f>IF(O53="","",O53+BC53)</f>
        <v/>
      </c>
      <c r="BE53" s="15">
        <f>IF(O53="","",COUNTA(S53,V53,Y53,AB53,AE53,AH53,AK53,AN53,AQ53,AT53,AW53,AZ53))</f>
        <v/>
      </c>
      <c r="BF53" s="16">
        <f>IF(COUNT(T53,W53,Z53,AC53,AF53,AI53,AL53,AO53,AR53,AU53,AX53,BA53)=0,"",MAX(T53,W53,Z53,AC53,AF53,AI53,AL53,AO53,AR53,AU53,AX53,BA53))</f>
        <v/>
      </c>
      <c r="BG53" s="10">
        <f>MID(IF(S53="","",", "&amp;S53)&amp;IF(V53="","",", "&amp;V53)&amp;IF(Y53="","",", "&amp;Y53)&amp;IF(AB53="","",", "&amp;AB53)&amp;IF(AE53="","",", "&amp;AE53)&amp;IF(AH53="","",", "&amp;AH53)&amp;IF(AK53="","",", "&amp;AK53)&amp;IF(AN53="","",", "&amp;AN53)&amp;IF(AQ53="","",", "&amp;AQ53)&amp;IF(AT53="","",", "&amp;AT53)&amp;IF(AW53="","",", "&amp;AW53)&amp;IF(AZ53="","",", "&amp;AZ53),3,500)</f>
        <v/>
      </c>
      <c r="BH53" s="12" t="n"/>
      <c r="BI53" s="15">
        <f>IFERROR(MATCH($A53,IF($B53="Onsite",tbl_Onsite[Row ID],IF($B53="Production",tbl_Production[Row ID],tbl_Consulting[Row ID])),0),"")</f>
        <v/>
      </c>
    </row>
    <row r="54">
      <c r="A54" s="10" t="inlineStr">
        <is>
          <t>ONS-0048</t>
        </is>
      </c>
      <c r="B54" s="10" t="inlineStr">
        <is>
          <t>Onsite</t>
        </is>
      </c>
      <c r="C54" s="10">
        <f>IF($BI54="","",IF($B54="Onsite",INDEX(tbl_Onsite[Job Number],$BI54),IF($B54="Production",INDEX(tbl_Production[Job Number],$BI54),INDEX(tbl_Consulting[Job Number],$BI54)))&amp;"")</f>
        <v/>
      </c>
      <c r="D54" s="10">
        <f>IF($BI54="","",IF($B54="Onsite",INDEX(tbl_Onsite[Client],$BI54),IF($B54="Production",INDEX(tbl_Production[Client],$BI54),INDEX(tbl_Consulting[Client],$BI54)))&amp;"")</f>
        <v/>
      </c>
      <c r="E54" s="10">
        <f>IF($C54="","",IF(COUNTIF(lst_Jobs,$C54)&gt;0,"OK","CHECK"))</f>
        <v/>
      </c>
      <c r="F54" s="10">
        <f>IF($C54="","",IFERROR(INDEX(lst_JobName,MATCH($C54,lst_Jobs,0)),""))</f>
        <v/>
      </c>
      <c r="G54" s="10">
        <f>IF($BI54="","",IF($B54="Onsite",INDEX(tbl_Onsite[Job Description],$BI54),IF($B54="Production",INDEX(tbl_Production[Job Description],$BI54),INDEX(tbl_Consulting[Job Description],$BI54)))&amp;"")</f>
        <v/>
      </c>
      <c r="H54" s="10">
        <f>IF($BI54="","",IF($B54="Onsite",INDEX(tbl_Onsite[Cost Centre],$BI54),IF($B54="Production",INDEX(tbl_Production[Cost Centre],$BI54),INDEX(tbl_Consulting[Cost Centre],$BI54)))&amp;"")</f>
        <v/>
      </c>
      <c r="I54" s="10">
        <f>IF($BI54="","",IF($B54="Onsite",INDEX(tbl_Onsite[Invoice Type],$BI54),IF($B54="Production",INDEX(tbl_Production[Invoice Type],$BI54),INDEX(tbl_Consulting[Invoice Type],$BI54)))&amp;"")</f>
        <v/>
      </c>
      <c r="J54" s="10">
        <f>IF($BI54="","",IF($B54="Onsite",INDEX(tbl_Onsite[Tax Code],$BI54),IF($B54="Production",INDEX(tbl_Production[Tax Code],$BI54),INDEX(tbl_Consulting[Tax Code],$BI54)))&amp;"")</f>
        <v/>
      </c>
      <c r="K54" s="10">
        <f>IF(H54="","",IFERROR(INDEX(lst_CCtoGL,MATCH(H54,lst_CCforGL,0)),""))</f>
        <v/>
      </c>
      <c r="L54" s="10">
        <f>IF($BI54="","",IF($B54="Onsite",INDEX(tbl_Onsite[PO / Reference],$BI54),IF($B54="Production",INDEX(tbl_Production[Current RMS No],$BI54),INDEX(tbl_Consulting[Qwilr Quote],$BI54)))&amp;"")</f>
        <v/>
      </c>
      <c r="M54" s="10">
        <f>IF($BI54="","",IF($B54="Onsite",INDEX(tbl_Onsite[Notes],$BI54),IF($B54="Production",INDEX(tbl_Production[Notes],$BI54),INDEX(tbl_Consulting[Notes],$BI54)))&amp;"")</f>
        <v/>
      </c>
      <c r="N54" s="11">
        <f>IF($BI54="","",IF(IF($B54="Onsite",INDEX(tbl_Onsite[Expected Revenue Ex GST],$BI54),IF($B54="Production",INDEX(tbl_Production[Expected Revenue Ex GST],$BI54),INDEX(tbl_Consulting[Expected Revenue Ex GST],$BI54)))="","",IF($B54="Onsite",INDEX(tbl_Onsite[Expected Revenue Ex GST],$BI54),IF($B54="Production",INDEX(tbl_Production[Expected Revenue Ex GST],$BI54),INDEX(tbl_Consulting[Expected Revenue Ex GST],$BI54)))))</f>
        <v/>
      </c>
      <c r="O54" s="11">
        <f>IF(AND($C54="",NOT(COUNTA($S54:$BB54)&gt;0)),"",SUM(U54,X54,AA54,AD54,AG54,AJ54,AM54,AP54,AS54,AV54,AY54,BB54))</f>
        <v/>
      </c>
      <c r="P54" s="11">
        <f>IF(O54="","",N(N54)-O54)</f>
        <v/>
      </c>
      <c r="Q54" s="10">
        <f>IF(O54="","",IF($C54="","Invoice on empty job row",IF(N54="",IF(ROUND(O54,2)=0,"No dept value","Invoiced - no dept value"),IF(ROUND(O54,2)=0,"Not invoiced - to invoice",IF(ROUND(P54,2)=0,"Agrees",IF(P54&gt;0,"Dept higher - to invoice","Xero higher - check dept"))))))</f>
        <v/>
      </c>
      <c r="R54" s="10">
        <f>IF(AND($C54="",NOT(COUNTA($S54:$BB54)&gt;0),$BI54&lt;&gt;""),"",MID(IF($BI54="","; Row ID not found on the department sheet - a row was deleted","")&amp;IF(AND($C54="",COUNTA($S54:$BB54)&gt;0),"; Invoice entered but the department row has no job number","")&amp;IF(E54="CHECK","; Job number not in the Xero job list","")&amp;IF(AND($C54&lt;&gt;"",COUNTIF($C$7:$C$1506,$C54)&gt;1),"; Job number on more than one row","")&amp;IF(AND($C54&lt;&gt;"",H54=""),"; Dept has not set a cost centre","")&amp;IF(AND($C54&lt;&gt;"",J54=""),"; Dept has not set a tax code","")&amp;IF(AND($C54&lt;&gt;"",N54=""),"; Dept has not entered an expected value","")&amp;IF((IF(OR(COUNTA(S54:U54)=0,AND(COUNTA(S54:U54)=3,ISNUMBER(U54))),0,1)+IF(OR(COUNTA(V54:X54)=0,AND(COUNTA(V54:X54)=3,ISNUMBER(X54))),0,1)+IF(OR(COUNTA(Y54:AA54)=0,AND(COUNTA(Y54:AA54)=3,ISNUMBER(AA54))),0,1)+IF(OR(COUNTA(AB54:AD54)=0,AND(COUNTA(AB54:AD54)=3,ISNUMBER(AD54))),0,1)+IF(OR(COUNTA(AE54:AG54)=0,AND(COUNTA(AE54:AG54)=3,ISNUMBER(AG54))),0,1)+IF(OR(COUNTA(AH54:AJ54)=0,AND(COUNTA(AH54:AJ54)=3,ISNUMBER(AJ54))),0,1)+IF(OR(COUNTA(AK54:AM54)=0,AND(COUNTA(AK54:AM54)=3,ISNUMBER(AM54))),0,1)+IF(OR(COUNTA(AN54:AP54)=0,AND(COUNTA(AN54:AP54)=3,ISNUMBER(AP54))),0,1)+IF(OR(COUNTA(AQ54:AS54)=0,AND(COUNTA(AQ54:AS54)=3,ISNUMBER(AS54))),0,1)+IF(OR(COUNTA(AT54:AV54)=0,AND(COUNTA(AT54:AV54)=3,ISNUMBER(AV54))),0,1)+IF(OR(COUNTA(AW54:AY54)=0,AND(COUNTA(AW54:AY54)=3,ISNUMBER(AY54))),0,1)+IF(OR(COUNTA(AZ54:BB54)=0,AND(COUNTA(AZ54:BB54)=3,ISNUMBER(BB54))),0,1))&gt;0,"; An invoice is incomplete (needs No, Date and a number in Ex GST)","")&amp;IF((IF(T54="",0,IFERROR(--(EOMONTH(T54,0)&lt;&gt;S$5),1))+IF(W54="",0,IFERROR(--(EOMONTH(W54,0)&lt;&gt;V$5),1))+IF(Z54="",0,IFERROR(--(EOMONTH(Z54,0)&lt;&gt;Y$5),1))+IF(AC54="",0,IFERROR(--(EOMONTH(AC54,0)&lt;&gt;AB$5),1))+IF(AF54="",0,IFERROR(--(EOMONTH(AF54,0)&lt;&gt;AE$5),1))+IF(AI54="",0,IFERROR(--(EOMONTH(AI54,0)&lt;&gt;AH$5),1))+IF(AL54="",0,IFERROR(--(EOMONTH(AL54,0)&lt;&gt;AK$5),1))+IF(AO54="",0,IFERROR(--(EOMONTH(AO54,0)&lt;&gt;AN$5),1))+IF(AR54="",0,IFERROR(--(EOMONTH(AR54,0)&lt;&gt;AQ$5),1))+IF(AU54="",0,IFERROR(--(EOMONTH(AU54,0)&lt;&gt;AT$5),1))+IF(AX54="",0,IFERROR(--(EOMONTH(AX54,0)&lt;&gt;AW$5),1))+IF(BA54="",0,IFERROR(--(EOMONTH(BA54,0)&lt;&gt;AZ$5),1)))&gt;0,"; An invoice date is not in the month it is typed under",""),3,500))</f>
        <v/>
      </c>
      <c r="S54" s="12" t="n"/>
      <c r="T54" s="13" t="n"/>
      <c r="U54" s="14" t="n"/>
      <c r="V54" s="12" t="n"/>
      <c r="W54" s="13" t="n"/>
      <c r="X54" s="14" t="n"/>
      <c r="Y54" s="12" t="n"/>
      <c r="Z54" s="13" t="n"/>
      <c r="AA54" s="14" t="n"/>
      <c r="AB54" s="12" t="n"/>
      <c r="AC54" s="13" t="n"/>
      <c r="AD54" s="14" t="n"/>
      <c r="AE54" s="12" t="n"/>
      <c r="AF54" s="13" t="n"/>
      <c r="AG54" s="14" t="n"/>
      <c r="AH54" s="12" t="n"/>
      <c r="AI54" s="13" t="n"/>
      <c r="AJ54" s="14" t="n"/>
      <c r="AK54" s="12" t="n"/>
      <c r="AL54" s="13" t="n"/>
      <c r="AM54" s="14" t="n"/>
      <c r="AN54" s="12" t="n"/>
      <c r="AO54" s="13" t="n"/>
      <c r="AP54" s="14" t="n"/>
      <c r="AQ54" s="12" t="n"/>
      <c r="AR54" s="13" t="n"/>
      <c r="AS54" s="14" t="n"/>
      <c r="AT54" s="12" t="n"/>
      <c r="AU54" s="13" t="n"/>
      <c r="AV54" s="14" t="n"/>
      <c r="AW54" s="12" t="n"/>
      <c r="AX54" s="13" t="n"/>
      <c r="AY54" s="14" t="n"/>
      <c r="AZ54" s="12" t="n"/>
      <c r="BA54" s="13" t="n"/>
      <c r="BB54" s="14" t="n"/>
      <c r="BC54" s="11">
        <f>IF(O54="","",IF(J54="GST 10%",ROUND(O54*set_GSTRate,2),0))</f>
        <v/>
      </c>
      <c r="BD54" s="11">
        <f>IF(O54="","",O54+BC54)</f>
        <v/>
      </c>
      <c r="BE54" s="15">
        <f>IF(O54="","",COUNTA(S54,V54,Y54,AB54,AE54,AH54,AK54,AN54,AQ54,AT54,AW54,AZ54))</f>
        <v/>
      </c>
      <c r="BF54" s="16">
        <f>IF(COUNT(T54,W54,Z54,AC54,AF54,AI54,AL54,AO54,AR54,AU54,AX54,BA54)=0,"",MAX(T54,W54,Z54,AC54,AF54,AI54,AL54,AO54,AR54,AU54,AX54,BA54))</f>
        <v/>
      </c>
      <c r="BG54" s="10">
        <f>MID(IF(S54="","",", "&amp;S54)&amp;IF(V54="","",", "&amp;V54)&amp;IF(Y54="","",", "&amp;Y54)&amp;IF(AB54="","",", "&amp;AB54)&amp;IF(AE54="","",", "&amp;AE54)&amp;IF(AH54="","",", "&amp;AH54)&amp;IF(AK54="","",", "&amp;AK54)&amp;IF(AN54="","",", "&amp;AN54)&amp;IF(AQ54="","",", "&amp;AQ54)&amp;IF(AT54="","",", "&amp;AT54)&amp;IF(AW54="","",", "&amp;AW54)&amp;IF(AZ54="","",", "&amp;AZ54),3,500)</f>
        <v/>
      </c>
      <c r="BH54" s="12" t="n"/>
      <c r="BI54" s="15">
        <f>IFERROR(MATCH($A54,IF($B54="Onsite",tbl_Onsite[Row ID],IF($B54="Production",tbl_Production[Row ID],tbl_Consulting[Row ID])),0),"")</f>
        <v/>
      </c>
    </row>
    <row r="55">
      <c r="A55" s="10" t="inlineStr">
        <is>
          <t>ONS-0049</t>
        </is>
      </c>
      <c r="B55" s="10" t="inlineStr">
        <is>
          <t>Onsite</t>
        </is>
      </c>
      <c r="C55" s="10">
        <f>IF($BI55="","",IF($B55="Onsite",INDEX(tbl_Onsite[Job Number],$BI55),IF($B55="Production",INDEX(tbl_Production[Job Number],$BI55),INDEX(tbl_Consulting[Job Number],$BI55)))&amp;"")</f>
        <v/>
      </c>
      <c r="D55" s="10">
        <f>IF($BI55="","",IF($B55="Onsite",INDEX(tbl_Onsite[Client],$BI55),IF($B55="Production",INDEX(tbl_Production[Client],$BI55),INDEX(tbl_Consulting[Client],$BI55)))&amp;"")</f>
        <v/>
      </c>
      <c r="E55" s="10">
        <f>IF($C55="","",IF(COUNTIF(lst_Jobs,$C55)&gt;0,"OK","CHECK"))</f>
        <v/>
      </c>
      <c r="F55" s="10">
        <f>IF($C55="","",IFERROR(INDEX(lst_JobName,MATCH($C55,lst_Jobs,0)),""))</f>
        <v/>
      </c>
      <c r="G55" s="10">
        <f>IF($BI55="","",IF($B55="Onsite",INDEX(tbl_Onsite[Job Description],$BI55),IF($B55="Production",INDEX(tbl_Production[Job Description],$BI55),INDEX(tbl_Consulting[Job Description],$BI55)))&amp;"")</f>
        <v/>
      </c>
      <c r="H55" s="10">
        <f>IF($BI55="","",IF($B55="Onsite",INDEX(tbl_Onsite[Cost Centre],$BI55),IF($B55="Production",INDEX(tbl_Production[Cost Centre],$BI55),INDEX(tbl_Consulting[Cost Centre],$BI55)))&amp;"")</f>
        <v/>
      </c>
      <c r="I55" s="10">
        <f>IF($BI55="","",IF($B55="Onsite",INDEX(tbl_Onsite[Invoice Type],$BI55),IF($B55="Production",INDEX(tbl_Production[Invoice Type],$BI55),INDEX(tbl_Consulting[Invoice Type],$BI55)))&amp;"")</f>
        <v/>
      </c>
      <c r="J55" s="10">
        <f>IF($BI55="","",IF($B55="Onsite",INDEX(tbl_Onsite[Tax Code],$BI55),IF($B55="Production",INDEX(tbl_Production[Tax Code],$BI55),INDEX(tbl_Consulting[Tax Code],$BI55)))&amp;"")</f>
        <v/>
      </c>
      <c r="K55" s="10">
        <f>IF(H55="","",IFERROR(INDEX(lst_CCtoGL,MATCH(H55,lst_CCforGL,0)),""))</f>
        <v/>
      </c>
      <c r="L55" s="10">
        <f>IF($BI55="","",IF($B55="Onsite",INDEX(tbl_Onsite[PO / Reference],$BI55),IF($B55="Production",INDEX(tbl_Production[Current RMS No],$BI55),INDEX(tbl_Consulting[Qwilr Quote],$BI55)))&amp;"")</f>
        <v/>
      </c>
      <c r="M55" s="10">
        <f>IF($BI55="","",IF($B55="Onsite",INDEX(tbl_Onsite[Notes],$BI55),IF($B55="Production",INDEX(tbl_Production[Notes],$BI55),INDEX(tbl_Consulting[Notes],$BI55)))&amp;"")</f>
        <v/>
      </c>
      <c r="N55" s="11">
        <f>IF($BI55="","",IF(IF($B55="Onsite",INDEX(tbl_Onsite[Expected Revenue Ex GST],$BI55),IF($B55="Production",INDEX(tbl_Production[Expected Revenue Ex GST],$BI55),INDEX(tbl_Consulting[Expected Revenue Ex GST],$BI55)))="","",IF($B55="Onsite",INDEX(tbl_Onsite[Expected Revenue Ex GST],$BI55),IF($B55="Production",INDEX(tbl_Production[Expected Revenue Ex GST],$BI55),INDEX(tbl_Consulting[Expected Revenue Ex GST],$BI55)))))</f>
        <v/>
      </c>
      <c r="O55" s="11">
        <f>IF(AND($C55="",NOT(COUNTA($S55:$BB55)&gt;0)),"",SUM(U55,X55,AA55,AD55,AG55,AJ55,AM55,AP55,AS55,AV55,AY55,BB55))</f>
        <v/>
      </c>
      <c r="P55" s="11">
        <f>IF(O55="","",N(N55)-O55)</f>
        <v/>
      </c>
      <c r="Q55" s="10">
        <f>IF(O55="","",IF($C55="","Invoice on empty job row",IF(N55="",IF(ROUND(O55,2)=0,"No dept value","Invoiced - no dept value"),IF(ROUND(O55,2)=0,"Not invoiced - to invoice",IF(ROUND(P55,2)=0,"Agrees",IF(P55&gt;0,"Dept higher - to invoice","Xero higher - check dept"))))))</f>
        <v/>
      </c>
      <c r="R55" s="10">
        <f>IF(AND($C55="",NOT(COUNTA($S55:$BB55)&gt;0),$BI55&lt;&gt;""),"",MID(IF($BI55="","; Row ID not found on the department sheet - a row was deleted","")&amp;IF(AND($C55="",COUNTA($S55:$BB55)&gt;0),"; Invoice entered but the department row has no job number","")&amp;IF(E55="CHECK","; Job number not in the Xero job list","")&amp;IF(AND($C55&lt;&gt;"",COUNTIF($C$7:$C$1506,$C55)&gt;1),"; Job number on more than one row","")&amp;IF(AND($C55&lt;&gt;"",H55=""),"; Dept has not set a cost centre","")&amp;IF(AND($C55&lt;&gt;"",J55=""),"; Dept has not set a tax code","")&amp;IF(AND($C55&lt;&gt;"",N55=""),"; Dept has not entered an expected value","")&amp;IF((IF(OR(COUNTA(S55:U55)=0,AND(COUNTA(S55:U55)=3,ISNUMBER(U55))),0,1)+IF(OR(COUNTA(V55:X55)=0,AND(COUNTA(V55:X55)=3,ISNUMBER(X55))),0,1)+IF(OR(COUNTA(Y55:AA55)=0,AND(COUNTA(Y55:AA55)=3,ISNUMBER(AA55))),0,1)+IF(OR(COUNTA(AB55:AD55)=0,AND(COUNTA(AB55:AD55)=3,ISNUMBER(AD55))),0,1)+IF(OR(COUNTA(AE55:AG55)=0,AND(COUNTA(AE55:AG55)=3,ISNUMBER(AG55))),0,1)+IF(OR(COUNTA(AH55:AJ55)=0,AND(COUNTA(AH55:AJ55)=3,ISNUMBER(AJ55))),0,1)+IF(OR(COUNTA(AK55:AM55)=0,AND(COUNTA(AK55:AM55)=3,ISNUMBER(AM55))),0,1)+IF(OR(COUNTA(AN55:AP55)=0,AND(COUNTA(AN55:AP55)=3,ISNUMBER(AP55))),0,1)+IF(OR(COUNTA(AQ55:AS55)=0,AND(COUNTA(AQ55:AS55)=3,ISNUMBER(AS55))),0,1)+IF(OR(COUNTA(AT55:AV55)=0,AND(COUNTA(AT55:AV55)=3,ISNUMBER(AV55))),0,1)+IF(OR(COUNTA(AW55:AY55)=0,AND(COUNTA(AW55:AY55)=3,ISNUMBER(AY55))),0,1)+IF(OR(COUNTA(AZ55:BB55)=0,AND(COUNTA(AZ55:BB55)=3,ISNUMBER(BB55))),0,1))&gt;0,"; An invoice is incomplete (needs No, Date and a number in Ex GST)","")&amp;IF((IF(T55="",0,IFERROR(--(EOMONTH(T55,0)&lt;&gt;S$5),1))+IF(W55="",0,IFERROR(--(EOMONTH(W55,0)&lt;&gt;V$5),1))+IF(Z55="",0,IFERROR(--(EOMONTH(Z55,0)&lt;&gt;Y$5),1))+IF(AC55="",0,IFERROR(--(EOMONTH(AC55,0)&lt;&gt;AB$5),1))+IF(AF55="",0,IFERROR(--(EOMONTH(AF55,0)&lt;&gt;AE$5),1))+IF(AI55="",0,IFERROR(--(EOMONTH(AI55,0)&lt;&gt;AH$5),1))+IF(AL55="",0,IFERROR(--(EOMONTH(AL55,0)&lt;&gt;AK$5),1))+IF(AO55="",0,IFERROR(--(EOMONTH(AO55,0)&lt;&gt;AN$5),1))+IF(AR55="",0,IFERROR(--(EOMONTH(AR55,0)&lt;&gt;AQ$5),1))+IF(AU55="",0,IFERROR(--(EOMONTH(AU55,0)&lt;&gt;AT$5),1))+IF(AX55="",0,IFERROR(--(EOMONTH(AX55,0)&lt;&gt;AW$5),1))+IF(BA55="",0,IFERROR(--(EOMONTH(BA55,0)&lt;&gt;AZ$5),1)))&gt;0,"; An invoice date is not in the month it is typed under",""),3,500))</f>
        <v/>
      </c>
      <c r="S55" s="12" t="n"/>
      <c r="T55" s="13" t="n"/>
      <c r="U55" s="14" t="n"/>
      <c r="V55" s="12" t="n"/>
      <c r="W55" s="13" t="n"/>
      <c r="X55" s="14" t="n"/>
      <c r="Y55" s="12" t="n"/>
      <c r="Z55" s="13" t="n"/>
      <c r="AA55" s="14" t="n"/>
      <c r="AB55" s="12" t="n"/>
      <c r="AC55" s="13" t="n"/>
      <c r="AD55" s="14" t="n"/>
      <c r="AE55" s="12" t="n"/>
      <c r="AF55" s="13" t="n"/>
      <c r="AG55" s="14" t="n"/>
      <c r="AH55" s="12" t="n"/>
      <c r="AI55" s="13" t="n"/>
      <c r="AJ55" s="14" t="n"/>
      <c r="AK55" s="12" t="n"/>
      <c r="AL55" s="13" t="n"/>
      <c r="AM55" s="14" t="n"/>
      <c r="AN55" s="12" t="n"/>
      <c r="AO55" s="13" t="n"/>
      <c r="AP55" s="14" t="n"/>
      <c r="AQ55" s="12" t="n"/>
      <c r="AR55" s="13" t="n"/>
      <c r="AS55" s="14" t="n"/>
      <c r="AT55" s="12" t="n"/>
      <c r="AU55" s="13" t="n"/>
      <c r="AV55" s="14" t="n"/>
      <c r="AW55" s="12" t="n"/>
      <c r="AX55" s="13" t="n"/>
      <c r="AY55" s="14" t="n"/>
      <c r="AZ55" s="12" t="n"/>
      <c r="BA55" s="13" t="n"/>
      <c r="BB55" s="14" t="n"/>
      <c r="BC55" s="11">
        <f>IF(O55="","",IF(J55="GST 10%",ROUND(O55*set_GSTRate,2),0))</f>
        <v/>
      </c>
      <c r="BD55" s="11">
        <f>IF(O55="","",O55+BC55)</f>
        <v/>
      </c>
      <c r="BE55" s="15">
        <f>IF(O55="","",COUNTA(S55,V55,Y55,AB55,AE55,AH55,AK55,AN55,AQ55,AT55,AW55,AZ55))</f>
        <v/>
      </c>
      <c r="BF55" s="16">
        <f>IF(COUNT(T55,W55,Z55,AC55,AF55,AI55,AL55,AO55,AR55,AU55,AX55,BA55)=0,"",MAX(T55,W55,Z55,AC55,AF55,AI55,AL55,AO55,AR55,AU55,AX55,BA55))</f>
        <v/>
      </c>
      <c r="BG55" s="10">
        <f>MID(IF(S55="","",", "&amp;S55)&amp;IF(V55="","",", "&amp;V55)&amp;IF(Y55="","",", "&amp;Y55)&amp;IF(AB55="","",", "&amp;AB55)&amp;IF(AE55="","",", "&amp;AE55)&amp;IF(AH55="","",", "&amp;AH55)&amp;IF(AK55="","",", "&amp;AK55)&amp;IF(AN55="","",", "&amp;AN55)&amp;IF(AQ55="","",", "&amp;AQ55)&amp;IF(AT55="","",", "&amp;AT55)&amp;IF(AW55="","",", "&amp;AW55)&amp;IF(AZ55="","",", "&amp;AZ55),3,500)</f>
        <v/>
      </c>
      <c r="BH55" s="12" t="n"/>
      <c r="BI55" s="15">
        <f>IFERROR(MATCH($A55,IF($B55="Onsite",tbl_Onsite[Row ID],IF($B55="Production",tbl_Production[Row ID],tbl_Consulting[Row ID])),0),"")</f>
        <v/>
      </c>
    </row>
    <row r="56">
      <c r="A56" s="10" t="inlineStr">
        <is>
          <t>ONS-0050</t>
        </is>
      </c>
      <c r="B56" s="10" t="inlineStr">
        <is>
          <t>Onsite</t>
        </is>
      </c>
      <c r="C56" s="10">
        <f>IF($BI56="","",IF($B56="Onsite",INDEX(tbl_Onsite[Job Number],$BI56),IF($B56="Production",INDEX(tbl_Production[Job Number],$BI56),INDEX(tbl_Consulting[Job Number],$BI56)))&amp;"")</f>
        <v/>
      </c>
      <c r="D56" s="10">
        <f>IF($BI56="","",IF($B56="Onsite",INDEX(tbl_Onsite[Client],$BI56),IF($B56="Production",INDEX(tbl_Production[Client],$BI56),INDEX(tbl_Consulting[Client],$BI56)))&amp;"")</f>
        <v/>
      </c>
      <c r="E56" s="10">
        <f>IF($C56="","",IF(COUNTIF(lst_Jobs,$C56)&gt;0,"OK","CHECK"))</f>
        <v/>
      </c>
      <c r="F56" s="10">
        <f>IF($C56="","",IFERROR(INDEX(lst_JobName,MATCH($C56,lst_Jobs,0)),""))</f>
        <v/>
      </c>
      <c r="G56" s="10">
        <f>IF($BI56="","",IF($B56="Onsite",INDEX(tbl_Onsite[Job Description],$BI56),IF($B56="Production",INDEX(tbl_Production[Job Description],$BI56),INDEX(tbl_Consulting[Job Description],$BI56)))&amp;"")</f>
        <v/>
      </c>
      <c r="H56" s="10">
        <f>IF($BI56="","",IF($B56="Onsite",INDEX(tbl_Onsite[Cost Centre],$BI56),IF($B56="Production",INDEX(tbl_Production[Cost Centre],$BI56),INDEX(tbl_Consulting[Cost Centre],$BI56)))&amp;"")</f>
        <v/>
      </c>
      <c r="I56" s="10">
        <f>IF($BI56="","",IF($B56="Onsite",INDEX(tbl_Onsite[Invoice Type],$BI56),IF($B56="Production",INDEX(tbl_Production[Invoice Type],$BI56),INDEX(tbl_Consulting[Invoice Type],$BI56)))&amp;"")</f>
        <v/>
      </c>
      <c r="J56" s="10">
        <f>IF($BI56="","",IF($B56="Onsite",INDEX(tbl_Onsite[Tax Code],$BI56),IF($B56="Production",INDEX(tbl_Production[Tax Code],$BI56),INDEX(tbl_Consulting[Tax Code],$BI56)))&amp;"")</f>
        <v/>
      </c>
      <c r="K56" s="10">
        <f>IF(H56="","",IFERROR(INDEX(lst_CCtoGL,MATCH(H56,lst_CCforGL,0)),""))</f>
        <v/>
      </c>
      <c r="L56" s="10">
        <f>IF($BI56="","",IF($B56="Onsite",INDEX(tbl_Onsite[PO / Reference],$BI56),IF($B56="Production",INDEX(tbl_Production[Current RMS No],$BI56),INDEX(tbl_Consulting[Qwilr Quote],$BI56)))&amp;"")</f>
        <v/>
      </c>
      <c r="M56" s="10">
        <f>IF($BI56="","",IF($B56="Onsite",INDEX(tbl_Onsite[Notes],$BI56),IF($B56="Production",INDEX(tbl_Production[Notes],$BI56),INDEX(tbl_Consulting[Notes],$BI56)))&amp;"")</f>
        <v/>
      </c>
      <c r="N56" s="11">
        <f>IF($BI56="","",IF(IF($B56="Onsite",INDEX(tbl_Onsite[Expected Revenue Ex GST],$BI56),IF($B56="Production",INDEX(tbl_Production[Expected Revenue Ex GST],$BI56),INDEX(tbl_Consulting[Expected Revenue Ex GST],$BI56)))="","",IF($B56="Onsite",INDEX(tbl_Onsite[Expected Revenue Ex GST],$BI56),IF($B56="Production",INDEX(tbl_Production[Expected Revenue Ex GST],$BI56),INDEX(tbl_Consulting[Expected Revenue Ex GST],$BI56)))))</f>
        <v/>
      </c>
      <c r="O56" s="11">
        <f>IF(AND($C56="",NOT(COUNTA($S56:$BB56)&gt;0)),"",SUM(U56,X56,AA56,AD56,AG56,AJ56,AM56,AP56,AS56,AV56,AY56,BB56))</f>
        <v/>
      </c>
      <c r="P56" s="11">
        <f>IF(O56="","",N(N56)-O56)</f>
        <v/>
      </c>
      <c r="Q56" s="10">
        <f>IF(O56="","",IF($C56="","Invoice on empty job row",IF(N56="",IF(ROUND(O56,2)=0,"No dept value","Invoiced - no dept value"),IF(ROUND(O56,2)=0,"Not invoiced - to invoice",IF(ROUND(P56,2)=0,"Agrees",IF(P56&gt;0,"Dept higher - to invoice","Xero higher - check dept"))))))</f>
        <v/>
      </c>
      <c r="R56" s="10">
        <f>IF(AND($C56="",NOT(COUNTA($S56:$BB56)&gt;0),$BI56&lt;&gt;""),"",MID(IF($BI56="","; Row ID not found on the department sheet - a row was deleted","")&amp;IF(AND($C56="",COUNTA($S56:$BB56)&gt;0),"; Invoice entered but the department row has no job number","")&amp;IF(E56="CHECK","; Job number not in the Xero job list","")&amp;IF(AND($C56&lt;&gt;"",COUNTIF($C$7:$C$1506,$C56)&gt;1),"; Job number on more than one row","")&amp;IF(AND($C56&lt;&gt;"",H56=""),"; Dept has not set a cost centre","")&amp;IF(AND($C56&lt;&gt;"",J56=""),"; Dept has not set a tax code","")&amp;IF(AND($C56&lt;&gt;"",N56=""),"; Dept has not entered an expected value","")&amp;IF((IF(OR(COUNTA(S56:U56)=0,AND(COUNTA(S56:U56)=3,ISNUMBER(U56))),0,1)+IF(OR(COUNTA(V56:X56)=0,AND(COUNTA(V56:X56)=3,ISNUMBER(X56))),0,1)+IF(OR(COUNTA(Y56:AA56)=0,AND(COUNTA(Y56:AA56)=3,ISNUMBER(AA56))),0,1)+IF(OR(COUNTA(AB56:AD56)=0,AND(COUNTA(AB56:AD56)=3,ISNUMBER(AD56))),0,1)+IF(OR(COUNTA(AE56:AG56)=0,AND(COUNTA(AE56:AG56)=3,ISNUMBER(AG56))),0,1)+IF(OR(COUNTA(AH56:AJ56)=0,AND(COUNTA(AH56:AJ56)=3,ISNUMBER(AJ56))),0,1)+IF(OR(COUNTA(AK56:AM56)=0,AND(COUNTA(AK56:AM56)=3,ISNUMBER(AM56))),0,1)+IF(OR(COUNTA(AN56:AP56)=0,AND(COUNTA(AN56:AP56)=3,ISNUMBER(AP56))),0,1)+IF(OR(COUNTA(AQ56:AS56)=0,AND(COUNTA(AQ56:AS56)=3,ISNUMBER(AS56))),0,1)+IF(OR(COUNTA(AT56:AV56)=0,AND(COUNTA(AT56:AV56)=3,ISNUMBER(AV56))),0,1)+IF(OR(COUNTA(AW56:AY56)=0,AND(COUNTA(AW56:AY56)=3,ISNUMBER(AY56))),0,1)+IF(OR(COUNTA(AZ56:BB56)=0,AND(COUNTA(AZ56:BB56)=3,ISNUMBER(BB56))),0,1))&gt;0,"; An invoice is incomplete (needs No, Date and a number in Ex GST)","")&amp;IF((IF(T56="",0,IFERROR(--(EOMONTH(T56,0)&lt;&gt;S$5),1))+IF(W56="",0,IFERROR(--(EOMONTH(W56,0)&lt;&gt;V$5),1))+IF(Z56="",0,IFERROR(--(EOMONTH(Z56,0)&lt;&gt;Y$5),1))+IF(AC56="",0,IFERROR(--(EOMONTH(AC56,0)&lt;&gt;AB$5),1))+IF(AF56="",0,IFERROR(--(EOMONTH(AF56,0)&lt;&gt;AE$5),1))+IF(AI56="",0,IFERROR(--(EOMONTH(AI56,0)&lt;&gt;AH$5),1))+IF(AL56="",0,IFERROR(--(EOMONTH(AL56,0)&lt;&gt;AK$5),1))+IF(AO56="",0,IFERROR(--(EOMONTH(AO56,0)&lt;&gt;AN$5),1))+IF(AR56="",0,IFERROR(--(EOMONTH(AR56,0)&lt;&gt;AQ$5),1))+IF(AU56="",0,IFERROR(--(EOMONTH(AU56,0)&lt;&gt;AT$5),1))+IF(AX56="",0,IFERROR(--(EOMONTH(AX56,0)&lt;&gt;AW$5),1))+IF(BA56="",0,IFERROR(--(EOMONTH(BA56,0)&lt;&gt;AZ$5),1)))&gt;0,"; An invoice date is not in the month it is typed under",""),3,500))</f>
        <v/>
      </c>
      <c r="S56" s="12" t="n"/>
      <c r="T56" s="13" t="n"/>
      <c r="U56" s="14" t="n"/>
      <c r="V56" s="12" t="n"/>
      <c r="W56" s="13" t="n"/>
      <c r="X56" s="14" t="n"/>
      <c r="Y56" s="12" t="n"/>
      <c r="Z56" s="13" t="n"/>
      <c r="AA56" s="14" t="n"/>
      <c r="AB56" s="12" t="n"/>
      <c r="AC56" s="13" t="n"/>
      <c r="AD56" s="14" t="n"/>
      <c r="AE56" s="12" t="n"/>
      <c r="AF56" s="13" t="n"/>
      <c r="AG56" s="14" t="n"/>
      <c r="AH56" s="12" t="n"/>
      <c r="AI56" s="13" t="n"/>
      <c r="AJ56" s="14" t="n"/>
      <c r="AK56" s="12" t="n"/>
      <c r="AL56" s="13" t="n"/>
      <c r="AM56" s="14" t="n"/>
      <c r="AN56" s="12" t="n"/>
      <c r="AO56" s="13" t="n"/>
      <c r="AP56" s="14" t="n"/>
      <c r="AQ56" s="12" t="n"/>
      <c r="AR56" s="13" t="n"/>
      <c r="AS56" s="14" t="n"/>
      <c r="AT56" s="12" t="n"/>
      <c r="AU56" s="13" t="n"/>
      <c r="AV56" s="14" t="n"/>
      <c r="AW56" s="12" t="n"/>
      <c r="AX56" s="13" t="n"/>
      <c r="AY56" s="14" t="n"/>
      <c r="AZ56" s="12" t="n"/>
      <c r="BA56" s="13" t="n"/>
      <c r="BB56" s="14" t="n"/>
      <c r="BC56" s="11">
        <f>IF(O56="","",IF(J56="GST 10%",ROUND(O56*set_GSTRate,2),0))</f>
        <v/>
      </c>
      <c r="BD56" s="11">
        <f>IF(O56="","",O56+BC56)</f>
        <v/>
      </c>
      <c r="BE56" s="15">
        <f>IF(O56="","",COUNTA(S56,V56,Y56,AB56,AE56,AH56,AK56,AN56,AQ56,AT56,AW56,AZ56))</f>
        <v/>
      </c>
      <c r="BF56" s="16">
        <f>IF(COUNT(T56,W56,Z56,AC56,AF56,AI56,AL56,AO56,AR56,AU56,AX56,BA56)=0,"",MAX(T56,W56,Z56,AC56,AF56,AI56,AL56,AO56,AR56,AU56,AX56,BA56))</f>
        <v/>
      </c>
      <c r="BG56" s="10">
        <f>MID(IF(S56="","",", "&amp;S56)&amp;IF(V56="","",", "&amp;V56)&amp;IF(Y56="","",", "&amp;Y56)&amp;IF(AB56="","",", "&amp;AB56)&amp;IF(AE56="","",", "&amp;AE56)&amp;IF(AH56="","",", "&amp;AH56)&amp;IF(AK56="","",", "&amp;AK56)&amp;IF(AN56="","",", "&amp;AN56)&amp;IF(AQ56="","",", "&amp;AQ56)&amp;IF(AT56="","",", "&amp;AT56)&amp;IF(AW56="","",", "&amp;AW56)&amp;IF(AZ56="","",", "&amp;AZ56),3,500)</f>
        <v/>
      </c>
      <c r="BH56" s="12" t="n"/>
      <c r="BI56" s="15">
        <f>IFERROR(MATCH($A56,IF($B56="Onsite",tbl_Onsite[Row ID],IF($B56="Production",tbl_Production[Row ID],tbl_Consulting[Row ID])),0),"")</f>
        <v/>
      </c>
    </row>
    <row r="57">
      <c r="A57" s="10" t="inlineStr">
        <is>
          <t>ONS-0051</t>
        </is>
      </c>
      <c r="B57" s="10" t="inlineStr">
        <is>
          <t>Onsite</t>
        </is>
      </c>
      <c r="C57" s="10">
        <f>IF($BI57="","",IF($B57="Onsite",INDEX(tbl_Onsite[Job Number],$BI57),IF($B57="Production",INDEX(tbl_Production[Job Number],$BI57),INDEX(tbl_Consulting[Job Number],$BI57)))&amp;"")</f>
        <v/>
      </c>
      <c r="D57" s="10">
        <f>IF($BI57="","",IF($B57="Onsite",INDEX(tbl_Onsite[Client],$BI57),IF($B57="Production",INDEX(tbl_Production[Client],$BI57),INDEX(tbl_Consulting[Client],$BI57)))&amp;"")</f>
        <v/>
      </c>
      <c r="E57" s="10">
        <f>IF($C57="","",IF(COUNTIF(lst_Jobs,$C57)&gt;0,"OK","CHECK"))</f>
        <v/>
      </c>
      <c r="F57" s="10">
        <f>IF($C57="","",IFERROR(INDEX(lst_JobName,MATCH($C57,lst_Jobs,0)),""))</f>
        <v/>
      </c>
      <c r="G57" s="10">
        <f>IF($BI57="","",IF($B57="Onsite",INDEX(tbl_Onsite[Job Description],$BI57),IF($B57="Production",INDEX(tbl_Production[Job Description],$BI57),INDEX(tbl_Consulting[Job Description],$BI57)))&amp;"")</f>
        <v/>
      </c>
      <c r="H57" s="10">
        <f>IF($BI57="","",IF($B57="Onsite",INDEX(tbl_Onsite[Cost Centre],$BI57),IF($B57="Production",INDEX(tbl_Production[Cost Centre],$BI57),INDEX(tbl_Consulting[Cost Centre],$BI57)))&amp;"")</f>
        <v/>
      </c>
      <c r="I57" s="10">
        <f>IF($BI57="","",IF($B57="Onsite",INDEX(tbl_Onsite[Invoice Type],$BI57),IF($B57="Production",INDEX(tbl_Production[Invoice Type],$BI57),INDEX(tbl_Consulting[Invoice Type],$BI57)))&amp;"")</f>
        <v/>
      </c>
      <c r="J57" s="10">
        <f>IF($BI57="","",IF($B57="Onsite",INDEX(tbl_Onsite[Tax Code],$BI57),IF($B57="Production",INDEX(tbl_Production[Tax Code],$BI57),INDEX(tbl_Consulting[Tax Code],$BI57)))&amp;"")</f>
        <v/>
      </c>
      <c r="K57" s="10">
        <f>IF(H57="","",IFERROR(INDEX(lst_CCtoGL,MATCH(H57,lst_CCforGL,0)),""))</f>
        <v/>
      </c>
      <c r="L57" s="10">
        <f>IF($BI57="","",IF($B57="Onsite",INDEX(tbl_Onsite[PO / Reference],$BI57),IF($B57="Production",INDEX(tbl_Production[Current RMS No],$BI57),INDEX(tbl_Consulting[Qwilr Quote],$BI57)))&amp;"")</f>
        <v/>
      </c>
      <c r="M57" s="10">
        <f>IF($BI57="","",IF($B57="Onsite",INDEX(tbl_Onsite[Notes],$BI57),IF($B57="Production",INDEX(tbl_Production[Notes],$BI57),INDEX(tbl_Consulting[Notes],$BI57)))&amp;"")</f>
        <v/>
      </c>
      <c r="N57" s="11">
        <f>IF($BI57="","",IF(IF($B57="Onsite",INDEX(tbl_Onsite[Expected Revenue Ex GST],$BI57),IF($B57="Production",INDEX(tbl_Production[Expected Revenue Ex GST],$BI57),INDEX(tbl_Consulting[Expected Revenue Ex GST],$BI57)))="","",IF($B57="Onsite",INDEX(tbl_Onsite[Expected Revenue Ex GST],$BI57),IF($B57="Production",INDEX(tbl_Production[Expected Revenue Ex GST],$BI57),INDEX(tbl_Consulting[Expected Revenue Ex GST],$BI57)))))</f>
        <v/>
      </c>
      <c r="O57" s="11">
        <f>IF(AND($C57="",NOT(COUNTA($S57:$BB57)&gt;0)),"",SUM(U57,X57,AA57,AD57,AG57,AJ57,AM57,AP57,AS57,AV57,AY57,BB57))</f>
        <v/>
      </c>
      <c r="P57" s="11">
        <f>IF(O57="","",N(N57)-O57)</f>
        <v/>
      </c>
      <c r="Q57" s="10">
        <f>IF(O57="","",IF($C57="","Invoice on empty job row",IF(N57="",IF(ROUND(O57,2)=0,"No dept value","Invoiced - no dept value"),IF(ROUND(O57,2)=0,"Not invoiced - to invoice",IF(ROUND(P57,2)=0,"Agrees",IF(P57&gt;0,"Dept higher - to invoice","Xero higher - check dept"))))))</f>
        <v/>
      </c>
      <c r="R57" s="10">
        <f>IF(AND($C57="",NOT(COUNTA($S57:$BB57)&gt;0),$BI57&lt;&gt;""),"",MID(IF($BI57="","; Row ID not found on the department sheet - a row was deleted","")&amp;IF(AND($C57="",COUNTA($S57:$BB57)&gt;0),"; Invoice entered but the department row has no job number","")&amp;IF(E57="CHECK","; Job number not in the Xero job list","")&amp;IF(AND($C57&lt;&gt;"",COUNTIF($C$7:$C$1506,$C57)&gt;1),"; Job number on more than one row","")&amp;IF(AND($C57&lt;&gt;"",H57=""),"; Dept has not set a cost centre","")&amp;IF(AND($C57&lt;&gt;"",J57=""),"; Dept has not set a tax code","")&amp;IF(AND($C57&lt;&gt;"",N57=""),"; Dept has not entered an expected value","")&amp;IF((IF(OR(COUNTA(S57:U57)=0,AND(COUNTA(S57:U57)=3,ISNUMBER(U57))),0,1)+IF(OR(COUNTA(V57:X57)=0,AND(COUNTA(V57:X57)=3,ISNUMBER(X57))),0,1)+IF(OR(COUNTA(Y57:AA57)=0,AND(COUNTA(Y57:AA57)=3,ISNUMBER(AA57))),0,1)+IF(OR(COUNTA(AB57:AD57)=0,AND(COUNTA(AB57:AD57)=3,ISNUMBER(AD57))),0,1)+IF(OR(COUNTA(AE57:AG57)=0,AND(COUNTA(AE57:AG57)=3,ISNUMBER(AG57))),0,1)+IF(OR(COUNTA(AH57:AJ57)=0,AND(COUNTA(AH57:AJ57)=3,ISNUMBER(AJ57))),0,1)+IF(OR(COUNTA(AK57:AM57)=0,AND(COUNTA(AK57:AM57)=3,ISNUMBER(AM57))),0,1)+IF(OR(COUNTA(AN57:AP57)=0,AND(COUNTA(AN57:AP57)=3,ISNUMBER(AP57))),0,1)+IF(OR(COUNTA(AQ57:AS57)=0,AND(COUNTA(AQ57:AS57)=3,ISNUMBER(AS57))),0,1)+IF(OR(COUNTA(AT57:AV57)=0,AND(COUNTA(AT57:AV57)=3,ISNUMBER(AV57))),0,1)+IF(OR(COUNTA(AW57:AY57)=0,AND(COUNTA(AW57:AY57)=3,ISNUMBER(AY57))),0,1)+IF(OR(COUNTA(AZ57:BB57)=0,AND(COUNTA(AZ57:BB57)=3,ISNUMBER(BB57))),0,1))&gt;0,"; An invoice is incomplete (needs No, Date and a number in Ex GST)","")&amp;IF((IF(T57="",0,IFERROR(--(EOMONTH(T57,0)&lt;&gt;S$5),1))+IF(W57="",0,IFERROR(--(EOMONTH(W57,0)&lt;&gt;V$5),1))+IF(Z57="",0,IFERROR(--(EOMONTH(Z57,0)&lt;&gt;Y$5),1))+IF(AC57="",0,IFERROR(--(EOMONTH(AC57,0)&lt;&gt;AB$5),1))+IF(AF57="",0,IFERROR(--(EOMONTH(AF57,0)&lt;&gt;AE$5),1))+IF(AI57="",0,IFERROR(--(EOMONTH(AI57,0)&lt;&gt;AH$5),1))+IF(AL57="",0,IFERROR(--(EOMONTH(AL57,0)&lt;&gt;AK$5),1))+IF(AO57="",0,IFERROR(--(EOMONTH(AO57,0)&lt;&gt;AN$5),1))+IF(AR57="",0,IFERROR(--(EOMONTH(AR57,0)&lt;&gt;AQ$5),1))+IF(AU57="",0,IFERROR(--(EOMONTH(AU57,0)&lt;&gt;AT$5),1))+IF(AX57="",0,IFERROR(--(EOMONTH(AX57,0)&lt;&gt;AW$5),1))+IF(BA57="",0,IFERROR(--(EOMONTH(BA57,0)&lt;&gt;AZ$5),1)))&gt;0,"; An invoice date is not in the month it is typed under",""),3,500))</f>
        <v/>
      </c>
      <c r="S57" s="12" t="n"/>
      <c r="T57" s="13" t="n"/>
      <c r="U57" s="14" t="n"/>
      <c r="V57" s="12" t="n"/>
      <c r="W57" s="13" t="n"/>
      <c r="X57" s="14" t="n"/>
      <c r="Y57" s="12" t="n"/>
      <c r="Z57" s="13" t="n"/>
      <c r="AA57" s="14" t="n"/>
      <c r="AB57" s="12" t="n"/>
      <c r="AC57" s="13" t="n"/>
      <c r="AD57" s="14" t="n"/>
      <c r="AE57" s="12" t="n"/>
      <c r="AF57" s="13" t="n"/>
      <c r="AG57" s="14" t="n"/>
      <c r="AH57" s="12" t="n"/>
      <c r="AI57" s="13" t="n"/>
      <c r="AJ57" s="14" t="n"/>
      <c r="AK57" s="12" t="n"/>
      <c r="AL57" s="13" t="n"/>
      <c r="AM57" s="14" t="n"/>
      <c r="AN57" s="12" t="n"/>
      <c r="AO57" s="13" t="n"/>
      <c r="AP57" s="14" t="n"/>
      <c r="AQ57" s="12" t="n"/>
      <c r="AR57" s="13" t="n"/>
      <c r="AS57" s="14" t="n"/>
      <c r="AT57" s="12" t="n"/>
      <c r="AU57" s="13" t="n"/>
      <c r="AV57" s="14" t="n"/>
      <c r="AW57" s="12" t="n"/>
      <c r="AX57" s="13" t="n"/>
      <c r="AY57" s="14" t="n"/>
      <c r="AZ57" s="12" t="n"/>
      <c r="BA57" s="13" t="n"/>
      <c r="BB57" s="14" t="n"/>
      <c r="BC57" s="11">
        <f>IF(O57="","",IF(J57="GST 10%",ROUND(O57*set_GSTRate,2),0))</f>
        <v/>
      </c>
      <c r="BD57" s="11">
        <f>IF(O57="","",O57+BC57)</f>
        <v/>
      </c>
      <c r="BE57" s="15">
        <f>IF(O57="","",COUNTA(S57,V57,Y57,AB57,AE57,AH57,AK57,AN57,AQ57,AT57,AW57,AZ57))</f>
        <v/>
      </c>
      <c r="BF57" s="16">
        <f>IF(COUNT(T57,W57,Z57,AC57,AF57,AI57,AL57,AO57,AR57,AU57,AX57,BA57)=0,"",MAX(T57,W57,Z57,AC57,AF57,AI57,AL57,AO57,AR57,AU57,AX57,BA57))</f>
        <v/>
      </c>
      <c r="BG57" s="10">
        <f>MID(IF(S57="","",", "&amp;S57)&amp;IF(V57="","",", "&amp;V57)&amp;IF(Y57="","",", "&amp;Y57)&amp;IF(AB57="","",", "&amp;AB57)&amp;IF(AE57="","",", "&amp;AE57)&amp;IF(AH57="","",", "&amp;AH57)&amp;IF(AK57="","",", "&amp;AK57)&amp;IF(AN57="","",", "&amp;AN57)&amp;IF(AQ57="","",", "&amp;AQ57)&amp;IF(AT57="","",", "&amp;AT57)&amp;IF(AW57="","",", "&amp;AW57)&amp;IF(AZ57="","",", "&amp;AZ57),3,500)</f>
        <v/>
      </c>
      <c r="BH57" s="12" t="n"/>
      <c r="BI57" s="15">
        <f>IFERROR(MATCH($A57,IF($B57="Onsite",tbl_Onsite[Row ID],IF($B57="Production",tbl_Production[Row ID],tbl_Consulting[Row ID])),0),"")</f>
        <v/>
      </c>
    </row>
    <row r="58">
      <c r="A58" s="10" t="inlineStr">
        <is>
          <t>ONS-0052</t>
        </is>
      </c>
      <c r="B58" s="10" t="inlineStr">
        <is>
          <t>Onsite</t>
        </is>
      </c>
      <c r="C58" s="10">
        <f>IF($BI58="","",IF($B58="Onsite",INDEX(tbl_Onsite[Job Number],$BI58),IF($B58="Production",INDEX(tbl_Production[Job Number],$BI58),INDEX(tbl_Consulting[Job Number],$BI58)))&amp;"")</f>
        <v/>
      </c>
      <c r="D58" s="10">
        <f>IF($BI58="","",IF($B58="Onsite",INDEX(tbl_Onsite[Client],$BI58),IF($B58="Production",INDEX(tbl_Production[Client],$BI58),INDEX(tbl_Consulting[Client],$BI58)))&amp;"")</f>
        <v/>
      </c>
      <c r="E58" s="10">
        <f>IF($C58="","",IF(COUNTIF(lst_Jobs,$C58)&gt;0,"OK","CHECK"))</f>
        <v/>
      </c>
      <c r="F58" s="10">
        <f>IF($C58="","",IFERROR(INDEX(lst_JobName,MATCH($C58,lst_Jobs,0)),""))</f>
        <v/>
      </c>
      <c r="G58" s="10">
        <f>IF($BI58="","",IF($B58="Onsite",INDEX(tbl_Onsite[Job Description],$BI58),IF($B58="Production",INDEX(tbl_Production[Job Description],$BI58),INDEX(tbl_Consulting[Job Description],$BI58)))&amp;"")</f>
        <v/>
      </c>
      <c r="H58" s="10">
        <f>IF($BI58="","",IF($B58="Onsite",INDEX(tbl_Onsite[Cost Centre],$BI58),IF($B58="Production",INDEX(tbl_Production[Cost Centre],$BI58),INDEX(tbl_Consulting[Cost Centre],$BI58)))&amp;"")</f>
        <v/>
      </c>
      <c r="I58" s="10">
        <f>IF($BI58="","",IF($B58="Onsite",INDEX(tbl_Onsite[Invoice Type],$BI58),IF($B58="Production",INDEX(tbl_Production[Invoice Type],$BI58),INDEX(tbl_Consulting[Invoice Type],$BI58)))&amp;"")</f>
        <v/>
      </c>
      <c r="J58" s="10">
        <f>IF($BI58="","",IF($B58="Onsite",INDEX(tbl_Onsite[Tax Code],$BI58),IF($B58="Production",INDEX(tbl_Production[Tax Code],$BI58),INDEX(tbl_Consulting[Tax Code],$BI58)))&amp;"")</f>
        <v/>
      </c>
      <c r="K58" s="10">
        <f>IF(H58="","",IFERROR(INDEX(lst_CCtoGL,MATCH(H58,lst_CCforGL,0)),""))</f>
        <v/>
      </c>
      <c r="L58" s="10">
        <f>IF($BI58="","",IF($B58="Onsite",INDEX(tbl_Onsite[PO / Reference],$BI58),IF($B58="Production",INDEX(tbl_Production[Current RMS No],$BI58),INDEX(tbl_Consulting[Qwilr Quote],$BI58)))&amp;"")</f>
        <v/>
      </c>
      <c r="M58" s="10">
        <f>IF($BI58="","",IF($B58="Onsite",INDEX(tbl_Onsite[Notes],$BI58),IF($B58="Production",INDEX(tbl_Production[Notes],$BI58),INDEX(tbl_Consulting[Notes],$BI58)))&amp;"")</f>
        <v/>
      </c>
      <c r="N58" s="11">
        <f>IF($BI58="","",IF(IF($B58="Onsite",INDEX(tbl_Onsite[Expected Revenue Ex GST],$BI58),IF($B58="Production",INDEX(tbl_Production[Expected Revenue Ex GST],$BI58),INDEX(tbl_Consulting[Expected Revenue Ex GST],$BI58)))="","",IF($B58="Onsite",INDEX(tbl_Onsite[Expected Revenue Ex GST],$BI58),IF($B58="Production",INDEX(tbl_Production[Expected Revenue Ex GST],$BI58),INDEX(tbl_Consulting[Expected Revenue Ex GST],$BI58)))))</f>
        <v/>
      </c>
      <c r="O58" s="11">
        <f>IF(AND($C58="",NOT(COUNTA($S58:$BB58)&gt;0)),"",SUM(U58,X58,AA58,AD58,AG58,AJ58,AM58,AP58,AS58,AV58,AY58,BB58))</f>
        <v/>
      </c>
      <c r="P58" s="11">
        <f>IF(O58="","",N(N58)-O58)</f>
        <v/>
      </c>
      <c r="Q58" s="10">
        <f>IF(O58="","",IF($C58="","Invoice on empty job row",IF(N58="",IF(ROUND(O58,2)=0,"No dept value","Invoiced - no dept value"),IF(ROUND(O58,2)=0,"Not invoiced - to invoice",IF(ROUND(P58,2)=0,"Agrees",IF(P58&gt;0,"Dept higher - to invoice","Xero higher - check dept"))))))</f>
        <v/>
      </c>
      <c r="R58" s="10">
        <f>IF(AND($C58="",NOT(COUNTA($S58:$BB58)&gt;0),$BI58&lt;&gt;""),"",MID(IF($BI58="","; Row ID not found on the department sheet - a row was deleted","")&amp;IF(AND($C58="",COUNTA($S58:$BB58)&gt;0),"; Invoice entered but the department row has no job number","")&amp;IF(E58="CHECK","; Job number not in the Xero job list","")&amp;IF(AND($C58&lt;&gt;"",COUNTIF($C$7:$C$1506,$C58)&gt;1),"; Job number on more than one row","")&amp;IF(AND($C58&lt;&gt;"",H58=""),"; Dept has not set a cost centre","")&amp;IF(AND($C58&lt;&gt;"",J58=""),"; Dept has not set a tax code","")&amp;IF(AND($C58&lt;&gt;"",N58=""),"; Dept has not entered an expected value","")&amp;IF((IF(OR(COUNTA(S58:U58)=0,AND(COUNTA(S58:U58)=3,ISNUMBER(U58))),0,1)+IF(OR(COUNTA(V58:X58)=0,AND(COUNTA(V58:X58)=3,ISNUMBER(X58))),0,1)+IF(OR(COUNTA(Y58:AA58)=0,AND(COUNTA(Y58:AA58)=3,ISNUMBER(AA58))),0,1)+IF(OR(COUNTA(AB58:AD58)=0,AND(COUNTA(AB58:AD58)=3,ISNUMBER(AD58))),0,1)+IF(OR(COUNTA(AE58:AG58)=0,AND(COUNTA(AE58:AG58)=3,ISNUMBER(AG58))),0,1)+IF(OR(COUNTA(AH58:AJ58)=0,AND(COUNTA(AH58:AJ58)=3,ISNUMBER(AJ58))),0,1)+IF(OR(COUNTA(AK58:AM58)=0,AND(COUNTA(AK58:AM58)=3,ISNUMBER(AM58))),0,1)+IF(OR(COUNTA(AN58:AP58)=0,AND(COUNTA(AN58:AP58)=3,ISNUMBER(AP58))),0,1)+IF(OR(COUNTA(AQ58:AS58)=0,AND(COUNTA(AQ58:AS58)=3,ISNUMBER(AS58))),0,1)+IF(OR(COUNTA(AT58:AV58)=0,AND(COUNTA(AT58:AV58)=3,ISNUMBER(AV58))),0,1)+IF(OR(COUNTA(AW58:AY58)=0,AND(COUNTA(AW58:AY58)=3,ISNUMBER(AY58))),0,1)+IF(OR(COUNTA(AZ58:BB58)=0,AND(COUNTA(AZ58:BB58)=3,ISNUMBER(BB58))),0,1))&gt;0,"; An invoice is incomplete (needs No, Date and a number in Ex GST)","")&amp;IF((IF(T58="",0,IFERROR(--(EOMONTH(T58,0)&lt;&gt;S$5),1))+IF(W58="",0,IFERROR(--(EOMONTH(W58,0)&lt;&gt;V$5),1))+IF(Z58="",0,IFERROR(--(EOMONTH(Z58,0)&lt;&gt;Y$5),1))+IF(AC58="",0,IFERROR(--(EOMONTH(AC58,0)&lt;&gt;AB$5),1))+IF(AF58="",0,IFERROR(--(EOMONTH(AF58,0)&lt;&gt;AE$5),1))+IF(AI58="",0,IFERROR(--(EOMONTH(AI58,0)&lt;&gt;AH$5),1))+IF(AL58="",0,IFERROR(--(EOMONTH(AL58,0)&lt;&gt;AK$5),1))+IF(AO58="",0,IFERROR(--(EOMONTH(AO58,0)&lt;&gt;AN$5),1))+IF(AR58="",0,IFERROR(--(EOMONTH(AR58,0)&lt;&gt;AQ$5),1))+IF(AU58="",0,IFERROR(--(EOMONTH(AU58,0)&lt;&gt;AT$5),1))+IF(AX58="",0,IFERROR(--(EOMONTH(AX58,0)&lt;&gt;AW$5),1))+IF(BA58="",0,IFERROR(--(EOMONTH(BA58,0)&lt;&gt;AZ$5),1)))&gt;0,"; An invoice date is not in the month it is typed under",""),3,500))</f>
        <v/>
      </c>
      <c r="S58" s="12" t="n"/>
      <c r="T58" s="13" t="n"/>
      <c r="U58" s="14" t="n"/>
      <c r="V58" s="12" t="n"/>
      <c r="W58" s="13" t="n"/>
      <c r="X58" s="14" t="n"/>
      <c r="Y58" s="12" t="n"/>
      <c r="Z58" s="13" t="n"/>
      <c r="AA58" s="14" t="n"/>
      <c r="AB58" s="12" t="n"/>
      <c r="AC58" s="13" t="n"/>
      <c r="AD58" s="14" t="n"/>
      <c r="AE58" s="12" t="n"/>
      <c r="AF58" s="13" t="n"/>
      <c r="AG58" s="14" t="n"/>
      <c r="AH58" s="12" t="n"/>
      <c r="AI58" s="13" t="n"/>
      <c r="AJ58" s="14" t="n"/>
      <c r="AK58" s="12" t="n"/>
      <c r="AL58" s="13" t="n"/>
      <c r="AM58" s="14" t="n"/>
      <c r="AN58" s="12" t="n"/>
      <c r="AO58" s="13" t="n"/>
      <c r="AP58" s="14" t="n"/>
      <c r="AQ58" s="12" t="n"/>
      <c r="AR58" s="13" t="n"/>
      <c r="AS58" s="14" t="n"/>
      <c r="AT58" s="12" t="n"/>
      <c r="AU58" s="13" t="n"/>
      <c r="AV58" s="14" t="n"/>
      <c r="AW58" s="12" t="n"/>
      <c r="AX58" s="13" t="n"/>
      <c r="AY58" s="14" t="n"/>
      <c r="AZ58" s="12" t="n"/>
      <c r="BA58" s="13" t="n"/>
      <c r="BB58" s="14" t="n"/>
      <c r="BC58" s="11">
        <f>IF(O58="","",IF(J58="GST 10%",ROUND(O58*set_GSTRate,2),0))</f>
        <v/>
      </c>
      <c r="BD58" s="11">
        <f>IF(O58="","",O58+BC58)</f>
        <v/>
      </c>
      <c r="BE58" s="15">
        <f>IF(O58="","",COUNTA(S58,V58,Y58,AB58,AE58,AH58,AK58,AN58,AQ58,AT58,AW58,AZ58))</f>
        <v/>
      </c>
      <c r="BF58" s="16">
        <f>IF(COUNT(T58,W58,Z58,AC58,AF58,AI58,AL58,AO58,AR58,AU58,AX58,BA58)=0,"",MAX(T58,W58,Z58,AC58,AF58,AI58,AL58,AO58,AR58,AU58,AX58,BA58))</f>
        <v/>
      </c>
      <c r="BG58" s="10">
        <f>MID(IF(S58="","",", "&amp;S58)&amp;IF(V58="","",", "&amp;V58)&amp;IF(Y58="","",", "&amp;Y58)&amp;IF(AB58="","",", "&amp;AB58)&amp;IF(AE58="","",", "&amp;AE58)&amp;IF(AH58="","",", "&amp;AH58)&amp;IF(AK58="","",", "&amp;AK58)&amp;IF(AN58="","",", "&amp;AN58)&amp;IF(AQ58="","",", "&amp;AQ58)&amp;IF(AT58="","",", "&amp;AT58)&amp;IF(AW58="","",", "&amp;AW58)&amp;IF(AZ58="","",", "&amp;AZ58),3,500)</f>
        <v/>
      </c>
      <c r="BH58" s="12" t="n"/>
      <c r="BI58" s="15">
        <f>IFERROR(MATCH($A58,IF($B58="Onsite",tbl_Onsite[Row ID],IF($B58="Production",tbl_Production[Row ID],tbl_Consulting[Row ID])),0),"")</f>
        <v/>
      </c>
    </row>
    <row r="59">
      <c r="A59" s="10" t="inlineStr">
        <is>
          <t>ONS-0053</t>
        </is>
      </c>
      <c r="B59" s="10" t="inlineStr">
        <is>
          <t>Onsite</t>
        </is>
      </c>
      <c r="C59" s="10">
        <f>IF($BI59="","",IF($B59="Onsite",INDEX(tbl_Onsite[Job Number],$BI59),IF($B59="Production",INDEX(tbl_Production[Job Number],$BI59),INDEX(tbl_Consulting[Job Number],$BI59)))&amp;"")</f>
        <v/>
      </c>
      <c r="D59" s="10">
        <f>IF($BI59="","",IF($B59="Onsite",INDEX(tbl_Onsite[Client],$BI59),IF($B59="Production",INDEX(tbl_Production[Client],$BI59),INDEX(tbl_Consulting[Client],$BI59)))&amp;"")</f>
        <v/>
      </c>
      <c r="E59" s="10">
        <f>IF($C59="","",IF(COUNTIF(lst_Jobs,$C59)&gt;0,"OK","CHECK"))</f>
        <v/>
      </c>
      <c r="F59" s="10">
        <f>IF($C59="","",IFERROR(INDEX(lst_JobName,MATCH($C59,lst_Jobs,0)),""))</f>
        <v/>
      </c>
      <c r="G59" s="10">
        <f>IF($BI59="","",IF($B59="Onsite",INDEX(tbl_Onsite[Job Description],$BI59),IF($B59="Production",INDEX(tbl_Production[Job Description],$BI59),INDEX(tbl_Consulting[Job Description],$BI59)))&amp;"")</f>
        <v/>
      </c>
      <c r="H59" s="10">
        <f>IF($BI59="","",IF($B59="Onsite",INDEX(tbl_Onsite[Cost Centre],$BI59),IF($B59="Production",INDEX(tbl_Production[Cost Centre],$BI59),INDEX(tbl_Consulting[Cost Centre],$BI59)))&amp;"")</f>
        <v/>
      </c>
      <c r="I59" s="10">
        <f>IF($BI59="","",IF($B59="Onsite",INDEX(tbl_Onsite[Invoice Type],$BI59),IF($B59="Production",INDEX(tbl_Production[Invoice Type],$BI59),INDEX(tbl_Consulting[Invoice Type],$BI59)))&amp;"")</f>
        <v/>
      </c>
      <c r="J59" s="10">
        <f>IF($BI59="","",IF($B59="Onsite",INDEX(tbl_Onsite[Tax Code],$BI59),IF($B59="Production",INDEX(tbl_Production[Tax Code],$BI59),INDEX(tbl_Consulting[Tax Code],$BI59)))&amp;"")</f>
        <v/>
      </c>
      <c r="K59" s="10">
        <f>IF(H59="","",IFERROR(INDEX(lst_CCtoGL,MATCH(H59,lst_CCforGL,0)),""))</f>
        <v/>
      </c>
      <c r="L59" s="10">
        <f>IF($BI59="","",IF($B59="Onsite",INDEX(tbl_Onsite[PO / Reference],$BI59),IF($B59="Production",INDEX(tbl_Production[Current RMS No],$BI59),INDEX(tbl_Consulting[Qwilr Quote],$BI59)))&amp;"")</f>
        <v/>
      </c>
      <c r="M59" s="10">
        <f>IF($BI59="","",IF($B59="Onsite",INDEX(tbl_Onsite[Notes],$BI59),IF($B59="Production",INDEX(tbl_Production[Notes],$BI59),INDEX(tbl_Consulting[Notes],$BI59)))&amp;"")</f>
        <v/>
      </c>
      <c r="N59" s="11">
        <f>IF($BI59="","",IF(IF($B59="Onsite",INDEX(tbl_Onsite[Expected Revenue Ex GST],$BI59),IF($B59="Production",INDEX(tbl_Production[Expected Revenue Ex GST],$BI59),INDEX(tbl_Consulting[Expected Revenue Ex GST],$BI59)))="","",IF($B59="Onsite",INDEX(tbl_Onsite[Expected Revenue Ex GST],$BI59),IF($B59="Production",INDEX(tbl_Production[Expected Revenue Ex GST],$BI59),INDEX(tbl_Consulting[Expected Revenue Ex GST],$BI59)))))</f>
        <v/>
      </c>
      <c r="O59" s="11">
        <f>IF(AND($C59="",NOT(COUNTA($S59:$BB59)&gt;0)),"",SUM(U59,X59,AA59,AD59,AG59,AJ59,AM59,AP59,AS59,AV59,AY59,BB59))</f>
        <v/>
      </c>
      <c r="P59" s="11">
        <f>IF(O59="","",N(N59)-O59)</f>
        <v/>
      </c>
      <c r="Q59" s="10">
        <f>IF(O59="","",IF($C59="","Invoice on empty job row",IF(N59="",IF(ROUND(O59,2)=0,"No dept value","Invoiced - no dept value"),IF(ROUND(O59,2)=0,"Not invoiced - to invoice",IF(ROUND(P59,2)=0,"Agrees",IF(P59&gt;0,"Dept higher - to invoice","Xero higher - check dept"))))))</f>
        <v/>
      </c>
      <c r="R59" s="10">
        <f>IF(AND($C59="",NOT(COUNTA($S59:$BB59)&gt;0),$BI59&lt;&gt;""),"",MID(IF($BI59="","; Row ID not found on the department sheet - a row was deleted","")&amp;IF(AND($C59="",COUNTA($S59:$BB59)&gt;0),"; Invoice entered but the department row has no job number","")&amp;IF(E59="CHECK","; Job number not in the Xero job list","")&amp;IF(AND($C59&lt;&gt;"",COUNTIF($C$7:$C$1506,$C59)&gt;1),"; Job number on more than one row","")&amp;IF(AND($C59&lt;&gt;"",H59=""),"; Dept has not set a cost centre","")&amp;IF(AND($C59&lt;&gt;"",J59=""),"; Dept has not set a tax code","")&amp;IF(AND($C59&lt;&gt;"",N59=""),"; Dept has not entered an expected value","")&amp;IF((IF(OR(COUNTA(S59:U59)=0,AND(COUNTA(S59:U59)=3,ISNUMBER(U59))),0,1)+IF(OR(COUNTA(V59:X59)=0,AND(COUNTA(V59:X59)=3,ISNUMBER(X59))),0,1)+IF(OR(COUNTA(Y59:AA59)=0,AND(COUNTA(Y59:AA59)=3,ISNUMBER(AA59))),0,1)+IF(OR(COUNTA(AB59:AD59)=0,AND(COUNTA(AB59:AD59)=3,ISNUMBER(AD59))),0,1)+IF(OR(COUNTA(AE59:AG59)=0,AND(COUNTA(AE59:AG59)=3,ISNUMBER(AG59))),0,1)+IF(OR(COUNTA(AH59:AJ59)=0,AND(COUNTA(AH59:AJ59)=3,ISNUMBER(AJ59))),0,1)+IF(OR(COUNTA(AK59:AM59)=0,AND(COUNTA(AK59:AM59)=3,ISNUMBER(AM59))),0,1)+IF(OR(COUNTA(AN59:AP59)=0,AND(COUNTA(AN59:AP59)=3,ISNUMBER(AP59))),0,1)+IF(OR(COUNTA(AQ59:AS59)=0,AND(COUNTA(AQ59:AS59)=3,ISNUMBER(AS59))),0,1)+IF(OR(COUNTA(AT59:AV59)=0,AND(COUNTA(AT59:AV59)=3,ISNUMBER(AV59))),0,1)+IF(OR(COUNTA(AW59:AY59)=0,AND(COUNTA(AW59:AY59)=3,ISNUMBER(AY59))),0,1)+IF(OR(COUNTA(AZ59:BB59)=0,AND(COUNTA(AZ59:BB59)=3,ISNUMBER(BB59))),0,1))&gt;0,"; An invoice is incomplete (needs No, Date and a number in Ex GST)","")&amp;IF((IF(T59="",0,IFERROR(--(EOMONTH(T59,0)&lt;&gt;S$5),1))+IF(W59="",0,IFERROR(--(EOMONTH(W59,0)&lt;&gt;V$5),1))+IF(Z59="",0,IFERROR(--(EOMONTH(Z59,0)&lt;&gt;Y$5),1))+IF(AC59="",0,IFERROR(--(EOMONTH(AC59,0)&lt;&gt;AB$5),1))+IF(AF59="",0,IFERROR(--(EOMONTH(AF59,0)&lt;&gt;AE$5),1))+IF(AI59="",0,IFERROR(--(EOMONTH(AI59,0)&lt;&gt;AH$5),1))+IF(AL59="",0,IFERROR(--(EOMONTH(AL59,0)&lt;&gt;AK$5),1))+IF(AO59="",0,IFERROR(--(EOMONTH(AO59,0)&lt;&gt;AN$5),1))+IF(AR59="",0,IFERROR(--(EOMONTH(AR59,0)&lt;&gt;AQ$5),1))+IF(AU59="",0,IFERROR(--(EOMONTH(AU59,0)&lt;&gt;AT$5),1))+IF(AX59="",0,IFERROR(--(EOMONTH(AX59,0)&lt;&gt;AW$5),1))+IF(BA59="",0,IFERROR(--(EOMONTH(BA59,0)&lt;&gt;AZ$5),1)))&gt;0,"; An invoice date is not in the month it is typed under",""),3,500))</f>
        <v/>
      </c>
      <c r="S59" s="12" t="n"/>
      <c r="T59" s="13" t="n"/>
      <c r="U59" s="14" t="n"/>
      <c r="V59" s="12" t="n"/>
      <c r="W59" s="13" t="n"/>
      <c r="X59" s="14" t="n"/>
      <c r="Y59" s="12" t="n"/>
      <c r="Z59" s="13" t="n"/>
      <c r="AA59" s="14" t="n"/>
      <c r="AB59" s="12" t="n"/>
      <c r="AC59" s="13" t="n"/>
      <c r="AD59" s="14" t="n"/>
      <c r="AE59" s="12" t="n"/>
      <c r="AF59" s="13" t="n"/>
      <c r="AG59" s="14" t="n"/>
      <c r="AH59" s="12" t="n"/>
      <c r="AI59" s="13" t="n"/>
      <c r="AJ59" s="14" t="n"/>
      <c r="AK59" s="12" t="n"/>
      <c r="AL59" s="13" t="n"/>
      <c r="AM59" s="14" t="n"/>
      <c r="AN59" s="12" t="n"/>
      <c r="AO59" s="13" t="n"/>
      <c r="AP59" s="14" t="n"/>
      <c r="AQ59" s="12" t="n"/>
      <c r="AR59" s="13" t="n"/>
      <c r="AS59" s="14" t="n"/>
      <c r="AT59" s="12" t="n"/>
      <c r="AU59" s="13" t="n"/>
      <c r="AV59" s="14" t="n"/>
      <c r="AW59" s="12" t="n"/>
      <c r="AX59" s="13" t="n"/>
      <c r="AY59" s="14" t="n"/>
      <c r="AZ59" s="12" t="n"/>
      <c r="BA59" s="13" t="n"/>
      <c r="BB59" s="14" t="n"/>
      <c r="BC59" s="11">
        <f>IF(O59="","",IF(J59="GST 10%",ROUND(O59*set_GSTRate,2),0))</f>
        <v/>
      </c>
      <c r="BD59" s="11">
        <f>IF(O59="","",O59+BC59)</f>
        <v/>
      </c>
      <c r="BE59" s="15">
        <f>IF(O59="","",COUNTA(S59,V59,Y59,AB59,AE59,AH59,AK59,AN59,AQ59,AT59,AW59,AZ59))</f>
        <v/>
      </c>
      <c r="BF59" s="16">
        <f>IF(COUNT(T59,W59,Z59,AC59,AF59,AI59,AL59,AO59,AR59,AU59,AX59,BA59)=0,"",MAX(T59,W59,Z59,AC59,AF59,AI59,AL59,AO59,AR59,AU59,AX59,BA59))</f>
        <v/>
      </c>
      <c r="BG59" s="10">
        <f>MID(IF(S59="","",", "&amp;S59)&amp;IF(V59="","",", "&amp;V59)&amp;IF(Y59="","",", "&amp;Y59)&amp;IF(AB59="","",", "&amp;AB59)&amp;IF(AE59="","",", "&amp;AE59)&amp;IF(AH59="","",", "&amp;AH59)&amp;IF(AK59="","",", "&amp;AK59)&amp;IF(AN59="","",", "&amp;AN59)&amp;IF(AQ59="","",", "&amp;AQ59)&amp;IF(AT59="","",", "&amp;AT59)&amp;IF(AW59="","",", "&amp;AW59)&amp;IF(AZ59="","",", "&amp;AZ59),3,500)</f>
        <v/>
      </c>
      <c r="BH59" s="12" t="n"/>
      <c r="BI59" s="15">
        <f>IFERROR(MATCH($A59,IF($B59="Onsite",tbl_Onsite[Row ID],IF($B59="Production",tbl_Production[Row ID],tbl_Consulting[Row ID])),0),"")</f>
        <v/>
      </c>
    </row>
    <row r="60">
      <c r="A60" s="10" t="inlineStr">
        <is>
          <t>ONS-0054</t>
        </is>
      </c>
      <c r="B60" s="10" t="inlineStr">
        <is>
          <t>Onsite</t>
        </is>
      </c>
      <c r="C60" s="10">
        <f>IF($BI60="","",IF($B60="Onsite",INDEX(tbl_Onsite[Job Number],$BI60),IF($B60="Production",INDEX(tbl_Production[Job Number],$BI60),INDEX(tbl_Consulting[Job Number],$BI60)))&amp;"")</f>
        <v/>
      </c>
      <c r="D60" s="10">
        <f>IF($BI60="","",IF($B60="Onsite",INDEX(tbl_Onsite[Client],$BI60),IF($B60="Production",INDEX(tbl_Production[Client],$BI60),INDEX(tbl_Consulting[Client],$BI60)))&amp;"")</f>
        <v/>
      </c>
      <c r="E60" s="10">
        <f>IF($C60="","",IF(COUNTIF(lst_Jobs,$C60)&gt;0,"OK","CHECK"))</f>
        <v/>
      </c>
      <c r="F60" s="10">
        <f>IF($C60="","",IFERROR(INDEX(lst_JobName,MATCH($C60,lst_Jobs,0)),""))</f>
        <v/>
      </c>
      <c r="G60" s="10">
        <f>IF($BI60="","",IF($B60="Onsite",INDEX(tbl_Onsite[Job Description],$BI60),IF($B60="Production",INDEX(tbl_Production[Job Description],$BI60),INDEX(tbl_Consulting[Job Description],$BI60)))&amp;"")</f>
        <v/>
      </c>
      <c r="H60" s="10">
        <f>IF($BI60="","",IF($B60="Onsite",INDEX(tbl_Onsite[Cost Centre],$BI60),IF($B60="Production",INDEX(tbl_Production[Cost Centre],$BI60),INDEX(tbl_Consulting[Cost Centre],$BI60)))&amp;"")</f>
        <v/>
      </c>
      <c r="I60" s="10">
        <f>IF($BI60="","",IF($B60="Onsite",INDEX(tbl_Onsite[Invoice Type],$BI60),IF($B60="Production",INDEX(tbl_Production[Invoice Type],$BI60),INDEX(tbl_Consulting[Invoice Type],$BI60)))&amp;"")</f>
        <v/>
      </c>
      <c r="J60" s="10">
        <f>IF($BI60="","",IF($B60="Onsite",INDEX(tbl_Onsite[Tax Code],$BI60),IF($B60="Production",INDEX(tbl_Production[Tax Code],$BI60),INDEX(tbl_Consulting[Tax Code],$BI60)))&amp;"")</f>
        <v/>
      </c>
      <c r="K60" s="10">
        <f>IF(H60="","",IFERROR(INDEX(lst_CCtoGL,MATCH(H60,lst_CCforGL,0)),""))</f>
        <v/>
      </c>
      <c r="L60" s="10">
        <f>IF($BI60="","",IF($B60="Onsite",INDEX(tbl_Onsite[PO / Reference],$BI60),IF($B60="Production",INDEX(tbl_Production[Current RMS No],$BI60),INDEX(tbl_Consulting[Qwilr Quote],$BI60)))&amp;"")</f>
        <v/>
      </c>
      <c r="M60" s="10">
        <f>IF($BI60="","",IF($B60="Onsite",INDEX(tbl_Onsite[Notes],$BI60),IF($B60="Production",INDEX(tbl_Production[Notes],$BI60),INDEX(tbl_Consulting[Notes],$BI60)))&amp;"")</f>
        <v/>
      </c>
      <c r="N60" s="11">
        <f>IF($BI60="","",IF(IF($B60="Onsite",INDEX(tbl_Onsite[Expected Revenue Ex GST],$BI60),IF($B60="Production",INDEX(tbl_Production[Expected Revenue Ex GST],$BI60),INDEX(tbl_Consulting[Expected Revenue Ex GST],$BI60)))="","",IF($B60="Onsite",INDEX(tbl_Onsite[Expected Revenue Ex GST],$BI60),IF($B60="Production",INDEX(tbl_Production[Expected Revenue Ex GST],$BI60),INDEX(tbl_Consulting[Expected Revenue Ex GST],$BI60)))))</f>
        <v/>
      </c>
      <c r="O60" s="11">
        <f>IF(AND($C60="",NOT(COUNTA($S60:$BB60)&gt;0)),"",SUM(U60,X60,AA60,AD60,AG60,AJ60,AM60,AP60,AS60,AV60,AY60,BB60))</f>
        <v/>
      </c>
      <c r="P60" s="11">
        <f>IF(O60="","",N(N60)-O60)</f>
        <v/>
      </c>
      <c r="Q60" s="10">
        <f>IF(O60="","",IF($C60="","Invoice on empty job row",IF(N60="",IF(ROUND(O60,2)=0,"No dept value","Invoiced - no dept value"),IF(ROUND(O60,2)=0,"Not invoiced - to invoice",IF(ROUND(P60,2)=0,"Agrees",IF(P60&gt;0,"Dept higher - to invoice","Xero higher - check dept"))))))</f>
        <v/>
      </c>
      <c r="R60" s="10">
        <f>IF(AND($C60="",NOT(COUNTA($S60:$BB60)&gt;0),$BI60&lt;&gt;""),"",MID(IF($BI60="","; Row ID not found on the department sheet - a row was deleted","")&amp;IF(AND($C60="",COUNTA($S60:$BB60)&gt;0),"; Invoice entered but the department row has no job number","")&amp;IF(E60="CHECK","; Job number not in the Xero job list","")&amp;IF(AND($C60&lt;&gt;"",COUNTIF($C$7:$C$1506,$C60)&gt;1),"; Job number on more than one row","")&amp;IF(AND($C60&lt;&gt;"",H60=""),"; Dept has not set a cost centre","")&amp;IF(AND($C60&lt;&gt;"",J60=""),"; Dept has not set a tax code","")&amp;IF(AND($C60&lt;&gt;"",N60=""),"; Dept has not entered an expected value","")&amp;IF((IF(OR(COUNTA(S60:U60)=0,AND(COUNTA(S60:U60)=3,ISNUMBER(U60))),0,1)+IF(OR(COUNTA(V60:X60)=0,AND(COUNTA(V60:X60)=3,ISNUMBER(X60))),0,1)+IF(OR(COUNTA(Y60:AA60)=0,AND(COUNTA(Y60:AA60)=3,ISNUMBER(AA60))),0,1)+IF(OR(COUNTA(AB60:AD60)=0,AND(COUNTA(AB60:AD60)=3,ISNUMBER(AD60))),0,1)+IF(OR(COUNTA(AE60:AG60)=0,AND(COUNTA(AE60:AG60)=3,ISNUMBER(AG60))),0,1)+IF(OR(COUNTA(AH60:AJ60)=0,AND(COUNTA(AH60:AJ60)=3,ISNUMBER(AJ60))),0,1)+IF(OR(COUNTA(AK60:AM60)=0,AND(COUNTA(AK60:AM60)=3,ISNUMBER(AM60))),0,1)+IF(OR(COUNTA(AN60:AP60)=0,AND(COUNTA(AN60:AP60)=3,ISNUMBER(AP60))),0,1)+IF(OR(COUNTA(AQ60:AS60)=0,AND(COUNTA(AQ60:AS60)=3,ISNUMBER(AS60))),0,1)+IF(OR(COUNTA(AT60:AV60)=0,AND(COUNTA(AT60:AV60)=3,ISNUMBER(AV60))),0,1)+IF(OR(COUNTA(AW60:AY60)=0,AND(COUNTA(AW60:AY60)=3,ISNUMBER(AY60))),0,1)+IF(OR(COUNTA(AZ60:BB60)=0,AND(COUNTA(AZ60:BB60)=3,ISNUMBER(BB60))),0,1))&gt;0,"; An invoice is incomplete (needs No, Date and a number in Ex GST)","")&amp;IF((IF(T60="",0,IFERROR(--(EOMONTH(T60,0)&lt;&gt;S$5),1))+IF(W60="",0,IFERROR(--(EOMONTH(W60,0)&lt;&gt;V$5),1))+IF(Z60="",0,IFERROR(--(EOMONTH(Z60,0)&lt;&gt;Y$5),1))+IF(AC60="",0,IFERROR(--(EOMONTH(AC60,0)&lt;&gt;AB$5),1))+IF(AF60="",0,IFERROR(--(EOMONTH(AF60,0)&lt;&gt;AE$5),1))+IF(AI60="",0,IFERROR(--(EOMONTH(AI60,0)&lt;&gt;AH$5),1))+IF(AL60="",0,IFERROR(--(EOMONTH(AL60,0)&lt;&gt;AK$5),1))+IF(AO60="",0,IFERROR(--(EOMONTH(AO60,0)&lt;&gt;AN$5),1))+IF(AR60="",0,IFERROR(--(EOMONTH(AR60,0)&lt;&gt;AQ$5),1))+IF(AU60="",0,IFERROR(--(EOMONTH(AU60,0)&lt;&gt;AT$5),1))+IF(AX60="",0,IFERROR(--(EOMONTH(AX60,0)&lt;&gt;AW$5),1))+IF(BA60="",0,IFERROR(--(EOMONTH(BA60,0)&lt;&gt;AZ$5),1)))&gt;0,"; An invoice date is not in the month it is typed under",""),3,500))</f>
        <v/>
      </c>
      <c r="S60" s="12" t="n"/>
      <c r="T60" s="13" t="n"/>
      <c r="U60" s="14" t="n"/>
      <c r="V60" s="12" t="n"/>
      <c r="W60" s="13" t="n"/>
      <c r="X60" s="14" t="n"/>
      <c r="Y60" s="12" t="n"/>
      <c r="Z60" s="13" t="n"/>
      <c r="AA60" s="14" t="n"/>
      <c r="AB60" s="12" t="n"/>
      <c r="AC60" s="13" t="n"/>
      <c r="AD60" s="14" t="n"/>
      <c r="AE60" s="12" t="n"/>
      <c r="AF60" s="13" t="n"/>
      <c r="AG60" s="14" t="n"/>
      <c r="AH60" s="12" t="n"/>
      <c r="AI60" s="13" t="n"/>
      <c r="AJ60" s="14" t="n"/>
      <c r="AK60" s="12" t="n"/>
      <c r="AL60" s="13" t="n"/>
      <c r="AM60" s="14" t="n"/>
      <c r="AN60" s="12" t="n"/>
      <c r="AO60" s="13" t="n"/>
      <c r="AP60" s="14" t="n"/>
      <c r="AQ60" s="12" t="n"/>
      <c r="AR60" s="13" t="n"/>
      <c r="AS60" s="14" t="n"/>
      <c r="AT60" s="12" t="n"/>
      <c r="AU60" s="13" t="n"/>
      <c r="AV60" s="14" t="n"/>
      <c r="AW60" s="12" t="n"/>
      <c r="AX60" s="13" t="n"/>
      <c r="AY60" s="14" t="n"/>
      <c r="AZ60" s="12" t="n"/>
      <c r="BA60" s="13" t="n"/>
      <c r="BB60" s="14" t="n"/>
      <c r="BC60" s="11">
        <f>IF(O60="","",IF(J60="GST 10%",ROUND(O60*set_GSTRate,2),0))</f>
        <v/>
      </c>
      <c r="BD60" s="11">
        <f>IF(O60="","",O60+BC60)</f>
        <v/>
      </c>
      <c r="BE60" s="15">
        <f>IF(O60="","",COUNTA(S60,V60,Y60,AB60,AE60,AH60,AK60,AN60,AQ60,AT60,AW60,AZ60))</f>
        <v/>
      </c>
      <c r="BF60" s="16">
        <f>IF(COUNT(T60,W60,Z60,AC60,AF60,AI60,AL60,AO60,AR60,AU60,AX60,BA60)=0,"",MAX(T60,W60,Z60,AC60,AF60,AI60,AL60,AO60,AR60,AU60,AX60,BA60))</f>
        <v/>
      </c>
      <c r="BG60" s="10">
        <f>MID(IF(S60="","",", "&amp;S60)&amp;IF(V60="","",", "&amp;V60)&amp;IF(Y60="","",", "&amp;Y60)&amp;IF(AB60="","",", "&amp;AB60)&amp;IF(AE60="","",", "&amp;AE60)&amp;IF(AH60="","",", "&amp;AH60)&amp;IF(AK60="","",", "&amp;AK60)&amp;IF(AN60="","",", "&amp;AN60)&amp;IF(AQ60="","",", "&amp;AQ60)&amp;IF(AT60="","",", "&amp;AT60)&amp;IF(AW60="","",", "&amp;AW60)&amp;IF(AZ60="","",", "&amp;AZ60),3,500)</f>
        <v/>
      </c>
      <c r="BH60" s="12" t="n"/>
      <c r="BI60" s="15">
        <f>IFERROR(MATCH($A60,IF($B60="Onsite",tbl_Onsite[Row ID],IF($B60="Production",tbl_Production[Row ID],tbl_Consulting[Row ID])),0),"")</f>
        <v/>
      </c>
    </row>
    <row r="61">
      <c r="A61" s="10" t="inlineStr">
        <is>
          <t>ONS-0055</t>
        </is>
      </c>
      <c r="B61" s="10" t="inlineStr">
        <is>
          <t>Onsite</t>
        </is>
      </c>
      <c r="C61" s="10">
        <f>IF($BI61="","",IF($B61="Onsite",INDEX(tbl_Onsite[Job Number],$BI61),IF($B61="Production",INDEX(tbl_Production[Job Number],$BI61),INDEX(tbl_Consulting[Job Number],$BI61)))&amp;"")</f>
        <v/>
      </c>
      <c r="D61" s="10">
        <f>IF($BI61="","",IF($B61="Onsite",INDEX(tbl_Onsite[Client],$BI61),IF($B61="Production",INDEX(tbl_Production[Client],$BI61),INDEX(tbl_Consulting[Client],$BI61)))&amp;"")</f>
        <v/>
      </c>
      <c r="E61" s="10">
        <f>IF($C61="","",IF(COUNTIF(lst_Jobs,$C61)&gt;0,"OK","CHECK"))</f>
        <v/>
      </c>
      <c r="F61" s="10">
        <f>IF($C61="","",IFERROR(INDEX(lst_JobName,MATCH($C61,lst_Jobs,0)),""))</f>
        <v/>
      </c>
      <c r="G61" s="10">
        <f>IF($BI61="","",IF($B61="Onsite",INDEX(tbl_Onsite[Job Description],$BI61),IF($B61="Production",INDEX(tbl_Production[Job Description],$BI61),INDEX(tbl_Consulting[Job Description],$BI61)))&amp;"")</f>
        <v/>
      </c>
      <c r="H61" s="10">
        <f>IF($BI61="","",IF($B61="Onsite",INDEX(tbl_Onsite[Cost Centre],$BI61),IF($B61="Production",INDEX(tbl_Production[Cost Centre],$BI61),INDEX(tbl_Consulting[Cost Centre],$BI61)))&amp;"")</f>
        <v/>
      </c>
      <c r="I61" s="10">
        <f>IF($BI61="","",IF($B61="Onsite",INDEX(tbl_Onsite[Invoice Type],$BI61),IF($B61="Production",INDEX(tbl_Production[Invoice Type],$BI61),INDEX(tbl_Consulting[Invoice Type],$BI61)))&amp;"")</f>
        <v/>
      </c>
      <c r="J61" s="10">
        <f>IF($BI61="","",IF($B61="Onsite",INDEX(tbl_Onsite[Tax Code],$BI61),IF($B61="Production",INDEX(tbl_Production[Tax Code],$BI61),INDEX(tbl_Consulting[Tax Code],$BI61)))&amp;"")</f>
        <v/>
      </c>
      <c r="K61" s="10">
        <f>IF(H61="","",IFERROR(INDEX(lst_CCtoGL,MATCH(H61,lst_CCforGL,0)),""))</f>
        <v/>
      </c>
      <c r="L61" s="10">
        <f>IF($BI61="","",IF($B61="Onsite",INDEX(tbl_Onsite[PO / Reference],$BI61),IF($B61="Production",INDEX(tbl_Production[Current RMS No],$BI61),INDEX(tbl_Consulting[Qwilr Quote],$BI61)))&amp;"")</f>
        <v/>
      </c>
      <c r="M61" s="10">
        <f>IF($BI61="","",IF($B61="Onsite",INDEX(tbl_Onsite[Notes],$BI61),IF($B61="Production",INDEX(tbl_Production[Notes],$BI61),INDEX(tbl_Consulting[Notes],$BI61)))&amp;"")</f>
        <v/>
      </c>
      <c r="N61" s="11">
        <f>IF($BI61="","",IF(IF($B61="Onsite",INDEX(tbl_Onsite[Expected Revenue Ex GST],$BI61),IF($B61="Production",INDEX(tbl_Production[Expected Revenue Ex GST],$BI61),INDEX(tbl_Consulting[Expected Revenue Ex GST],$BI61)))="","",IF($B61="Onsite",INDEX(tbl_Onsite[Expected Revenue Ex GST],$BI61),IF($B61="Production",INDEX(tbl_Production[Expected Revenue Ex GST],$BI61),INDEX(tbl_Consulting[Expected Revenue Ex GST],$BI61)))))</f>
        <v/>
      </c>
      <c r="O61" s="11">
        <f>IF(AND($C61="",NOT(COUNTA($S61:$BB61)&gt;0)),"",SUM(U61,X61,AA61,AD61,AG61,AJ61,AM61,AP61,AS61,AV61,AY61,BB61))</f>
        <v/>
      </c>
      <c r="P61" s="11">
        <f>IF(O61="","",N(N61)-O61)</f>
        <v/>
      </c>
      <c r="Q61" s="10">
        <f>IF(O61="","",IF($C61="","Invoice on empty job row",IF(N61="",IF(ROUND(O61,2)=0,"No dept value","Invoiced - no dept value"),IF(ROUND(O61,2)=0,"Not invoiced - to invoice",IF(ROUND(P61,2)=0,"Agrees",IF(P61&gt;0,"Dept higher - to invoice","Xero higher - check dept"))))))</f>
        <v/>
      </c>
      <c r="R61" s="10">
        <f>IF(AND($C61="",NOT(COUNTA($S61:$BB61)&gt;0),$BI61&lt;&gt;""),"",MID(IF($BI61="","; Row ID not found on the department sheet - a row was deleted","")&amp;IF(AND($C61="",COUNTA($S61:$BB61)&gt;0),"; Invoice entered but the department row has no job number","")&amp;IF(E61="CHECK","; Job number not in the Xero job list","")&amp;IF(AND($C61&lt;&gt;"",COUNTIF($C$7:$C$1506,$C61)&gt;1),"; Job number on more than one row","")&amp;IF(AND($C61&lt;&gt;"",H61=""),"; Dept has not set a cost centre","")&amp;IF(AND($C61&lt;&gt;"",J61=""),"; Dept has not set a tax code","")&amp;IF(AND($C61&lt;&gt;"",N61=""),"; Dept has not entered an expected value","")&amp;IF((IF(OR(COUNTA(S61:U61)=0,AND(COUNTA(S61:U61)=3,ISNUMBER(U61))),0,1)+IF(OR(COUNTA(V61:X61)=0,AND(COUNTA(V61:X61)=3,ISNUMBER(X61))),0,1)+IF(OR(COUNTA(Y61:AA61)=0,AND(COUNTA(Y61:AA61)=3,ISNUMBER(AA61))),0,1)+IF(OR(COUNTA(AB61:AD61)=0,AND(COUNTA(AB61:AD61)=3,ISNUMBER(AD61))),0,1)+IF(OR(COUNTA(AE61:AG61)=0,AND(COUNTA(AE61:AG61)=3,ISNUMBER(AG61))),0,1)+IF(OR(COUNTA(AH61:AJ61)=0,AND(COUNTA(AH61:AJ61)=3,ISNUMBER(AJ61))),0,1)+IF(OR(COUNTA(AK61:AM61)=0,AND(COUNTA(AK61:AM61)=3,ISNUMBER(AM61))),0,1)+IF(OR(COUNTA(AN61:AP61)=0,AND(COUNTA(AN61:AP61)=3,ISNUMBER(AP61))),0,1)+IF(OR(COUNTA(AQ61:AS61)=0,AND(COUNTA(AQ61:AS61)=3,ISNUMBER(AS61))),0,1)+IF(OR(COUNTA(AT61:AV61)=0,AND(COUNTA(AT61:AV61)=3,ISNUMBER(AV61))),0,1)+IF(OR(COUNTA(AW61:AY61)=0,AND(COUNTA(AW61:AY61)=3,ISNUMBER(AY61))),0,1)+IF(OR(COUNTA(AZ61:BB61)=0,AND(COUNTA(AZ61:BB61)=3,ISNUMBER(BB61))),0,1))&gt;0,"; An invoice is incomplete (needs No, Date and a number in Ex GST)","")&amp;IF((IF(T61="",0,IFERROR(--(EOMONTH(T61,0)&lt;&gt;S$5),1))+IF(W61="",0,IFERROR(--(EOMONTH(W61,0)&lt;&gt;V$5),1))+IF(Z61="",0,IFERROR(--(EOMONTH(Z61,0)&lt;&gt;Y$5),1))+IF(AC61="",0,IFERROR(--(EOMONTH(AC61,0)&lt;&gt;AB$5),1))+IF(AF61="",0,IFERROR(--(EOMONTH(AF61,0)&lt;&gt;AE$5),1))+IF(AI61="",0,IFERROR(--(EOMONTH(AI61,0)&lt;&gt;AH$5),1))+IF(AL61="",0,IFERROR(--(EOMONTH(AL61,0)&lt;&gt;AK$5),1))+IF(AO61="",0,IFERROR(--(EOMONTH(AO61,0)&lt;&gt;AN$5),1))+IF(AR61="",0,IFERROR(--(EOMONTH(AR61,0)&lt;&gt;AQ$5),1))+IF(AU61="",0,IFERROR(--(EOMONTH(AU61,0)&lt;&gt;AT$5),1))+IF(AX61="",0,IFERROR(--(EOMONTH(AX61,0)&lt;&gt;AW$5),1))+IF(BA61="",0,IFERROR(--(EOMONTH(BA61,0)&lt;&gt;AZ$5),1)))&gt;0,"; An invoice date is not in the month it is typed under",""),3,500))</f>
        <v/>
      </c>
      <c r="S61" s="12" t="n"/>
      <c r="T61" s="13" t="n"/>
      <c r="U61" s="14" t="n"/>
      <c r="V61" s="12" t="n"/>
      <c r="W61" s="13" t="n"/>
      <c r="X61" s="14" t="n"/>
      <c r="Y61" s="12" t="n"/>
      <c r="Z61" s="13" t="n"/>
      <c r="AA61" s="14" t="n"/>
      <c r="AB61" s="12" t="n"/>
      <c r="AC61" s="13" t="n"/>
      <c r="AD61" s="14" t="n"/>
      <c r="AE61" s="12" t="n"/>
      <c r="AF61" s="13" t="n"/>
      <c r="AG61" s="14" t="n"/>
      <c r="AH61" s="12" t="n"/>
      <c r="AI61" s="13" t="n"/>
      <c r="AJ61" s="14" t="n"/>
      <c r="AK61" s="12" t="n"/>
      <c r="AL61" s="13" t="n"/>
      <c r="AM61" s="14" t="n"/>
      <c r="AN61" s="12" t="n"/>
      <c r="AO61" s="13" t="n"/>
      <c r="AP61" s="14" t="n"/>
      <c r="AQ61" s="12" t="n"/>
      <c r="AR61" s="13" t="n"/>
      <c r="AS61" s="14" t="n"/>
      <c r="AT61" s="12" t="n"/>
      <c r="AU61" s="13" t="n"/>
      <c r="AV61" s="14" t="n"/>
      <c r="AW61" s="12" t="n"/>
      <c r="AX61" s="13" t="n"/>
      <c r="AY61" s="14" t="n"/>
      <c r="AZ61" s="12" t="n"/>
      <c r="BA61" s="13" t="n"/>
      <c r="BB61" s="14" t="n"/>
      <c r="BC61" s="11">
        <f>IF(O61="","",IF(J61="GST 10%",ROUND(O61*set_GSTRate,2),0))</f>
        <v/>
      </c>
      <c r="BD61" s="11">
        <f>IF(O61="","",O61+BC61)</f>
        <v/>
      </c>
      <c r="BE61" s="15">
        <f>IF(O61="","",COUNTA(S61,V61,Y61,AB61,AE61,AH61,AK61,AN61,AQ61,AT61,AW61,AZ61))</f>
        <v/>
      </c>
      <c r="BF61" s="16">
        <f>IF(COUNT(T61,W61,Z61,AC61,AF61,AI61,AL61,AO61,AR61,AU61,AX61,BA61)=0,"",MAX(T61,W61,Z61,AC61,AF61,AI61,AL61,AO61,AR61,AU61,AX61,BA61))</f>
        <v/>
      </c>
      <c r="BG61" s="10">
        <f>MID(IF(S61="","",", "&amp;S61)&amp;IF(V61="","",", "&amp;V61)&amp;IF(Y61="","",", "&amp;Y61)&amp;IF(AB61="","",", "&amp;AB61)&amp;IF(AE61="","",", "&amp;AE61)&amp;IF(AH61="","",", "&amp;AH61)&amp;IF(AK61="","",", "&amp;AK61)&amp;IF(AN61="","",", "&amp;AN61)&amp;IF(AQ61="","",", "&amp;AQ61)&amp;IF(AT61="","",", "&amp;AT61)&amp;IF(AW61="","",", "&amp;AW61)&amp;IF(AZ61="","",", "&amp;AZ61),3,500)</f>
        <v/>
      </c>
      <c r="BH61" s="12" t="n"/>
      <c r="BI61" s="15">
        <f>IFERROR(MATCH($A61,IF($B61="Onsite",tbl_Onsite[Row ID],IF($B61="Production",tbl_Production[Row ID],tbl_Consulting[Row ID])),0),"")</f>
        <v/>
      </c>
    </row>
    <row r="62">
      <c r="A62" s="10" t="inlineStr">
        <is>
          <t>ONS-0056</t>
        </is>
      </c>
      <c r="B62" s="10" t="inlineStr">
        <is>
          <t>Onsite</t>
        </is>
      </c>
      <c r="C62" s="10">
        <f>IF($BI62="","",IF($B62="Onsite",INDEX(tbl_Onsite[Job Number],$BI62),IF($B62="Production",INDEX(tbl_Production[Job Number],$BI62),INDEX(tbl_Consulting[Job Number],$BI62)))&amp;"")</f>
        <v/>
      </c>
      <c r="D62" s="10">
        <f>IF($BI62="","",IF($B62="Onsite",INDEX(tbl_Onsite[Client],$BI62),IF($B62="Production",INDEX(tbl_Production[Client],$BI62),INDEX(tbl_Consulting[Client],$BI62)))&amp;"")</f>
        <v/>
      </c>
      <c r="E62" s="10">
        <f>IF($C62="","",IF(COUNTIF(lst_Jobs,$C62)&gt;0,"OK","CHECK"))</f>
        <v/>
      </c>
      <c r="F62" s="10">
        <f>IF($C62="","",IFERROR(INDEX(lst_JobName,MATCH($C62,lst_Jobs,0)),""))</f>
        <v/>
      </c>
      <c r="G62" s="10">
        <f>IF($BI62="","",IF($B62="Onsite",INDEX(tbl_Onsite[Job Description],$BI62),IF($B62="Production",INDEX(tbl_Production[Job Description],$BI62),INDEX(tbl_Consulting[Job Description],$BI62)))&amp;"")</f>
        <v/>
      </c>
      <c r="H62" s="10">
        <f>IF($BI62="","",IF($B62="Onsite",INDEX(tbl_Onsite[Cost Centre],$BI62),IF($B62="Production",INDEX(tbl_Production[Cost Centre],$BI62),INDEX(tbl_Consulting[Cost Centre],$BI62)))&amp;"")</f>
        <v/>
      </c>
      <c r="I62" s="10">
        <f>IF($BI62="","",IF($B62="Onsite",INDEX(tbl_Onsite[Invoice Type],$BI62),IF($B62="Production",INDEX(tbl_Production[Invoice Type],$BI62),INDEX(tbl_Consulting[Invoice Type],$BI62)))&amp;"")</f>
        <v/>
      </c>
      <c r="J62" s="10">
        <f>IF($BI62="","",IF($B62="Onsite",INDEX(tbl_Onsite[Tax Code],$BI62),IF($B62="Production",INDEX(tbl_Production[Tax Code],$BI62),INDEX(tbl_Consulting[Tax Code],$BI62)))&amp;"")</f>
        <v/>
      </c>
      <c r="K62" s="10">
        <f>IF(H62="","",IFERROR(INDEX(lst_CCtoGL,MATCH(H62,lst_CCforGL,0)),""))</f>
        <v/>
      </c>
      <c r="L62" s="10">
        <f>IF($BI62="","",IF($B62="Onsite",INDEX(tbl_Onsite[PO / Reference],$BI62),IF($B62="Production",INDEX(tbl_Production[Current RMS No],$BI62),INDEX(tbl_Consulting[Qwilr Quote],$BI62)))&amp;"")</f>
        <v/>
      </c>
      <c r="M62" s="10">
        <f>IF($BI62="","",IF($B62="Onsite",INDEX(tbl_Onsite[Notes],$BI62),IF($B62="Production",INDEX(tbl_Production[Notes],$BI62),INDEX(tbl_Consulting[Notes],$BI62)))&amp;"")</f>
        <v/>
      </c>
      <c r="N62" s="11">
        <f>IF($BI62="","",IF(IF($B62="Onsite",INDEX(tbl_Onsite[Expected Revenue Ex GST],$BI62),IF($B62="Production",INDEX(tbl_Production[Expected Revenue Ex GST],$BI62),INDEX(tbl_Consulting[Expected Revenue Ex GST],$BI62)))="","",IF($B62="Onsite",INDEX(tbl_Onsite[Expected Revenue Ex GST],$BI62),IF($B62="Production",INDEX(tbl_Production[Expected Revenue Ex GST],$BI62),INDEX(tbl_Consulting[Expected Revenue Ex GST],$BI62)))))</f>
        <v/>
      </c>
      <c r="O62" s="11">
        <f>IF(AND($C62="",NOT(COUNTA($S62:$BB62)&gt;0)),"",SUM(U62,X62,AA62,AD62,AG62,AJ62,AM62,AP62,AS62,AV62,AY62,BB62))</f>
        <v/>
      </c>
      <c r="P62" s="11">
        <f>IF(O62="","",N(N62)-O62)</f>
        <v/>
      </c>
      <c r="Q62" s="10">
        <f>IF(O62="","",IF($C62="","Invoice on empty job row",IF(N62="",IF(ROUND(O62,2)=0,"No dept value","Invoiced - no dept value"),IF(ROUND(O62,2)=0,"Not invoiced - to invoice",IF(ROUND(P62,2)=0,"Agrees",IF(P62&gt;0,"Dept higher - to invoice","Xero higher - check dept"))))))</f>
        <v/>
      </c>
      <c r="R62" s="10">
        <f>IF(AND($C62="",NOT(COUNTA($S62:$BB62)&gt;0),$BI62&lt;&gt;""),"",MID(IF($BI62="","; Row ID not found on the department sheet - a row was deleted","")&amp;IF(AND($C62="",COUNTA($S62:$BB62)&gt;0),"; Invoice entered but the department row has no job number","")&amp;IF(E62="CHECK","; Job number not in the Xero job list","")&amp;IF(AND($C62&lt;&gt;"",COUNTIF($C$7:$C$1506,$C62)&gt;1),"; Job number on more than one row","")&amp;IF(AND($C62&lt;&gt;"",H62=""),"; Dept has not set a cost centre","")&amp;IF(AND($C62&lt;&gt;"",J62=""),"; Dept has not set a tax code","")&amp;IF(AND($C62&lt;&gt;"",N62=""),"; Dept has not entered an expected value","")&amp;IF((IF(OR(COUNTA(S62:U62)=0,AND(COUNTA(S62:U62)=3,ISNUMBER(U62))),0,1)+IF(OR(COUNTA(V62:X62)=0,AND(COUNTA(V62:X62)=3,ISNUMBER(X62))),0,1)+IF(OR(COUNTA(Y62:AA62)=0,AND(COUNTA(Y62:AA62)=3,ISNUMBER(AA62))),0,1)+IF(OR(COUNTA(AB62:AD62)=0,AND(COUNTA(AB62:AD62)=3,ISNUMBER(AD62))),0,1)+IF(OR(COUNTA(AE62:AG62)=0,AND(COUNTA(AE62:AG62)=3,ISNUMBER(AG62))),0,1)+IF(OR(COUNTA(AH62:AJ62)=0,AND(COUNTA(AH62:AJ62)=3,ISNUMBER(AJ62))),0,1)+IF(OR(COUNTA(AK62:AM62)=0,AND(COUNTA(AK62:AM62)=3,ISNUMBER(AM62))),0,1)+IF(OR(COUNTA(AN62:AP62)=0,AND(COUNTA(AN62:AP62)=3,ISNUMBER(AP62))),0,1)+IF(OR(COUNTA(AQ62:AS62)=0,AND(COUNTA(AQ62:AS62)=3,ISNUMBER(AS62))),0,1)+IF(OR(COUNTA(AT62:AV62)=0,AND(COUNTA(AT62:AV62)=3,ISNUMBER(AV62))),0,1)+IF(OR(COUNTA(AW62:AY62)=0,AND(COUNTA(AW62:AY62)=3,ISNUMBER(AY62))),0,1)+IF(OR(COUNTA(AZ62:BB62)=0,AND(COUNTA(AZ62:BB62)=3,ISNUMBER(BB62))),0,1))&gt;0,"; An invoice is incomplete (needs No, Date and a number in Ex GST)","")&amp;IF((IF(T62="",0,IFERROR(--(EOMONTH(T62,0)&lt;&gt;S$5),1))+IF(W62="",0,IFERROR(--(EOMONTH(W62,0)&lt;&gt;V$5),1))+IF(Z62="",0,IFERROR(--(EOMONTH(Z62,0)&lt;&gt;Y$5),1))+IF(AC62="",0,IFERROR(--(EOMONTH(AC62,0)&lt;&gt;AB$5),1))+IF(AF62="",0,IFERROR(--(EOMONTH(AF62,0)&lt;&gt;AE$5),1))+IF(AI62="",0,IFERROR(--(EOMONTH(AI62,0)&lt;&gt;AH$5),1))+IF(AL62="",0,IFERROR(--(EOMONTH(AL62,0)&lt;&gt;AK$5),1))+IF(AO62="",0,IFERROR(--(EOMONTH(AO62,0)&lt;&gt;AN$5),1))+IF(AR62="",0,IFERROR(--(EOMONTH(AR62,0)&lt;&gt;AQ$5),1))+IF(AU62="",0,IFERROR(--(EOMONTH(AU62,0)&lt;&gt;AT$5),1))+IF(AX62="",0,IFERROR(--(EOMONTH(AX62,0)&lt;&gt;AW$5),1))+IF(BA62="",0,IFERROR(--(EOMONTH(BA62,0)&lt;&gt;AZ$5),1)))&gt;0,"; An invoice date is not in the month it is typed under",""),3,500))</f>
        <v/>
      </c>
      <c r="S62" s="12" t="n"/>
      <c r="T62" s="13" t="n"/>
      <c r="U62" s="14" t="n"/>
      <c r="V62" s="12" t="n"/>
      <c r="W62" s="13" t="n"/>
      <c r="X62" s="14" t="n"/>
      <c r="Y62" s="12" t="n"/>
      <c r="Z62" s="13" t="n"/>
      <c r="AA62" s="14" t="n"/>
      <c r="AB62" s="12" t="n"/>
      <c r="AC62" s="13" t="n"/>
      <c r="AD62" s="14" t="n"/>
      <c r="AE62" s="12" t="n"/>
      <c r="AF62" s="13" t="n"/>
      <c r="AG62" s="14" t="n"/>
      <c r="AH62" s="12" t="n"/>
      <c r="AI62" s="13" t="n"/>
      <c r="AJ62" s="14" t="n"/>
      <c r="AK62" s="12" t="n"/>
      <c r="AL62" s="13" t="n"/>
      <c r="AM62" s="14" t="n"/>
      <c r="AN62" s="12" t="n"/>
      <c r="AO62" s="13" t="n"/>
      <c r="AP62" s="14" t="n"/>
      <c r="AQ62" s="12" t="n"/>
      <c r="AR62" s="13" t="n"/>
      <c r="AS62" s="14" t="n"/>
      <c r="AT62" s="12" t="n"/>
      <c r="AU62" s="13" t="n"/>
      <c r="AV62" s="14" t="n"/>
      <c r="AW62" s="12" t="n"/>
      <c r="AX62" s="13" t="n"/>
      <c r="AY62" s="14" t="n"/>
      <c r="AZ62" s="12" t="n"/>
      <c r="BA62" s="13" t="n"/>
      <c r="BB62" s="14" t="n"/>
      <c r="BC62" s="11">
        <f>IF(O62="","",IF(J62="GST 10%",ROUND(O62*set_GSTRate,2),0))</f>
        <v/>
      </c>
      <c r="BD62" s="11">
        <f>IF(O62="","",O62+BC62)</f>
        <v/>
      </c>
      <c r="BE62" s="15">
        <f>IF(O62="","",COUNTA(S62,V62,Y62,AB62,AE62,AH62,AK62,AN62,AQ62,AT62,AW62,AZ62))</f>
        <v/>
      </c>
      <c r="BF62" s="16">
        <f>IF(COUNT(T62,W62,Z62,AC62,AF62,AI62,AL62,AO62,AR62,AU62,AX62,BA62)=0,"",MAX(T62,W62,Z62,AC62,AF62,AI62,AL62,AO62,AR62,AU62,AX62,BA62))</f>
        <v/>
      </c>
      <c r="BG62" s="10">
        <f>MID(IF(S62="","",", "&amp;S62)&amp;IF(V62="","",", "&amp;V62)&amp;IF(Y62="","",", "&amp;Y62)&amp;IF(AB62="","",", "&amp;AB62)&amp;IF(AE62="","",", "&amp;AE62)&amp;IF(AH62="","",", "&amp;AH62)&amp;IF(AK62="","",", "&amp;AK62)&amp;IF(AN62="","",", "&amp;AN62)&amp;IF(AQ62="","",", "&amp;AQ62)&amp;IF(AT62="","",", "&amp;AT62)&amp;IF(AW62="","",", "&amp;AW62)&amp;IF(AZ62="","",", "&amp;AZ62),3,500)</f>
        <v/>
      </c>
      <c r="BH62" s="12" t="n"/>
      <c r="BI62" s="15">
        <f>IFERROR(MATCH($A62,IF($B62="Onsite",tbl_Onsite[Row ID],IF($B62="Production",tbl_Production[Row ID],tbl_Consulting[Row ID])),0),"")</f>
        <v/>
      </c>
    </row>
    <row r="63">
      <c r="A63" s="10" t="inlineStr">
        <is>
          <t>ONS-0057</t>
        </is>
      </c>
      <c r="B63" s="10" t="inlineStr">
        <is>
          <t>Onsite</t>
        </is>
      </c>
      <c r="C63" s="10">
        <f>IF($BI63="","",IF($B63="Onsite",INDEX(tbl_Onsite[Job Number],$BI63),IF($B63="Production",INDEX(tbl_Production[Job Number],$BI63),INDEX(tbl_Consulting[Job Number],$BI63)))&amp;"")</f>
        <v/>
      </c>
      <c r="D63" s="10">
        <f>IF($BI63="","",IF($B63="Onsite",INDEX(tbl_Onsite[Client],$BI63),IF($B63="Production",INDEX(tbl_Production[Client],$BI63),INDEX(tbl_Consulting[Client],$BI63)))&amp;"")</f>
        <v/>
      </c>
      <c r="E63" s="10">
        <f>IF($C63="","",IF(COUNTIF(lst_Jobs,$C63)&gt;0,"OK","CHECK"))</f>
        <v/>
      </c>
      <c r="F63" s="10">
        <f>IF($C63="","",IFERROR(INDEX(lst_JobName,MATCH($C63,lst_Jobs,0)),""))</f>
        <v/>
      </c>
      <c r="G63" s="10">
        <f>IF($BI63="","",IF($B63="Onsite",INDEX(tbl_Onsite[Job Description],$BI63),IF($B63="Production",INDEX(tbl_Production[Job Description],$BI63),INDEX(tbl_Consulting[Job Description],$BI63)))&amp;"")</f>
        <v/>
      </c>
      <c r="H63" s="10">
        <f>IF($BI63="","",IF($B63="Onsite",INDEX(tbl_Onsite[Cost Centre],$BI63),IF($B63="Production",INDEX(tbl_Production[Cost Centre],$BI63),INDEX(tbl_Consulting[Cost Centre],$BI63)))&amp;"")</f>
        <v/>
      </c>
      <c r="I63" s="10">
        <f>IF($BI63="","",IF($B63="Onsite",INDEX(tbl_Onsite[Invoice Type],$BI63),IF($B63="Production",INDEX(tbl_Production[Invoice Type],$BI63),INDEX(tbl_Consulting[Invoice Type],$BI63)))&amp;"")</f>
        <v/>
      </c>
      <c r="J63" s="10">
        <f>IF($BI63="","",IF($B63="Onsite",INDEX(tbl_Onsite[Tax Code],$BI63),IF($B63="Production",INDEX(tbl_Production[Tax Code],$BI63),INDEX(tbl_Consulting[Tax Code],$BI63)))&amp;"")</f>
        <v/>
      </c>
      <c r="K63" s="10">
        <f>IF(H63="","",IFERROR(INDEX(lst_CCtoGL,MATCH(H63,lst_CCforGL,0)),""))</f>
        <v/>
      </c>
      <c r="L63" s="10">
        <f>IF($BI63="","",IF($B63="Onsite",INDEX(tbl_Onsite[PO / Reference],$BI63),IF($B63="Production",INDEX(tbl_Production[Current RMS No],$BI63),INDEX(tbl_Consulting[Qwilr Quote],$BI63)))&amp;"")</f>
        <v/>
      </c>
      <c r="M63" s="10">
        <f>IF($BI63="","",IF($B63="Onsite",INDEX(tbl_Onsite[Notes],$BI63),IF($B63="Production",INDEX(tbl_Production[Notes],$BI63),INDEX(tbl_Consulting[Notes],$BI63)))&amp;"")</f>
        <v/>
      </c>
      <c r="N63" s="11">
        <f>IF($BI63="","",IF(IF($B63="Onsite",INDEX(tbl_Onsite[Expected Revenue Ex GST],$BI63),IF($B63="Production",INDEX(tbl_Production[Expected Revenue Ex GST],$BI63),INDEX(tbl_Consulting[Expected Revenue Ex GST],$BI63)))="","",IF($B63="Onsite",INDEX(tbl_Onsite[Expected Revenue Ex GST],$BI63),IF($B63="Production",INDEX(tbl_Production[Expected Revenue Ex GST],$BI63),INDEX(tbl_Consulting[Expected Revenue Ex GST],$BI63)))))</f>
        <v/>
      </c>
      <c r="O63" s="11">
        <f>IF(AND($C63="",NOT(COUNTA($S63:$BB63)&gt;0)),"",SUM(U63,X63,AA63,AD63,AG63,AJ63,AM63,AP63,AS63,AV63,AY63,BB63))</f>
        <v/>
      </c>
      <c r="P63" s="11">
        <f>IF(O63="","",N(N63)-O63)</f>
        <v/>
      </c>
      <c r="Q63" s="10">
        <f>IF(O63="","",IF($C63="","Invoice on empty job row",IF(N63="",IF(ROUND(O63,2)=0,"No dept value","Invoiced - no dept value"),IF(ROUND(O63,2)=0,"Not invoiced - to invoice",IF(ROUND(P63,2)=0,"Agrees",IF(P63&gt;0,"Dept higher - to invoice","Xero higher - check dept"))))))</f>
        <v/>
      </c>
      <c r="R63" s="10">
        <f>IF(AND($C63="",NOT(COUNTA($S63:$BB63)&gt;0),$BI63&lt;&gt;""),"",MID(IF($BI63="","; Row ID not found on the department sheet - a row was deleted","")&amp;IF(AND($C63="",COUNTA($S63:$BB63)&gt;0),"; Invoice entered but the department row has no job number","")&amp;IF(E63="CHECK","; Job number not in the Xero job list","")&amp;IF(AND($C63&lt;&gt;"",COUNTIF($C$7:$C$1506,$C63)&gt;1),"; Job number on more than one row","")&amp;IF(AND($C63&lt;&gt;"",H63=""),"; Dept has not set a cost centre","")&amp;IF(AND($C63&lt;&gt;"",J63=""),"; Dept has not set a tax code","")&amp;IF(AND($C63&lt;&gt;"",N63=""),"; Dept has not entered an expected value","")&amp;IF((IF(OR(COUNTA(S63:U63)=0,AND(COUNTA(S63:U63)=3,ISNUMBER(U63))),0,1)+IF(OR(COUNTA(V63:X63)=0,AND(COUNTA(V63:X63)=3,ISNUMBER(X63))),0,1)+IF(OR(COUNTA(Y63:AA63)=0,AND(COUNTA(Y63:AA63)=3,ISNUMBER(AA63))),0,1)+IF(OR(COUNTA(AB63:AD63)=0,AND(COUNTA(AB63:AD63)=3,ISNUMBER(AD63))),0,1)+IF(OR(COUNTA(AE63:AG63)=0,AND(COUNTA(AE63:AG63)=3,ISNUMBER(AG63))),0,1)+IF(OR(COUNTA(AH63:AJ63)=0,AND(COUNTA(AH63:AJ63)=3,ISNUMBER(AJ63))),0,1)+IF(OR(COUNTA(AK63:AM63)=0,AND(COUNTA(AK63:AM63)=3,ISNUMBER(AM63))),0,1)+IF(OR(COUNTA(AN63:AP63)=0,AND(COUNTA(AN63:AP63)=3,ISNUMBER(AP63))),0,1)+IF(OR(COUNTA(AQ63:AS63)=0,AND(COUNTA(AQ63:AS63)=3,ISNUMBER(AS63))),0,1)+IF(OR(COUNTA(AT63:AV63)=0,AND(COUNTA(AT63:AV63)=3,ISNUMBER(AV63))),0,1)+IF(OR(COUNTA(AW63:AY63)=0,AND(COUNTA(AW63:AY63)=3,ISNUMBER(AY63))),0,1)+IF(OR(COUNTA(AZ63:BB63)=0,AND(COUNTA(AZ63:BB63)=3,ISNUMBER(BB63))),0,1))&gt;0,"; An invoice is incomplete (needs No, Date and a number in Ex GST)","")&amp;IF((IF(T63="",0,IFERROR(--(EOMONTH(T63,0)&lt;&gt;S$5),1))+IF(W63="",0,IFERROR(--(EOMONTH(W63,0)&lt;&gt;V$5),1))+IF(Z63="",0,IFERROR(--(EOMONTH(Z63,0)&lt;&gt;Y$5),1))+IF(AC63="",0,IFERROR(--(EOMONTH(AC63,0)&lt;&gt;AB$5),1))+IF(AF63="",0,IFERROR(--(EOMONTH(AF63,0)&lt;&gt;AE$5),1))+IF(AI63="",0,IFERROR(--(EOMONTH(AI63,0)&lt;&gt;AH$5),1))+IF(AL63="",0,IFERROR(--(EOMONTH(AL63,0)&lt;&gt;AK$5),1))+IF(AO63="",0,IFERROR(--(EOMONTH(AO63,0)&lt;&gt;AN$5),1))+IF(AR63="",0,IFERROR(--(EOMONTH(AR63,0)&lt;&gt;AQ$5),1))+IF(AU63="",0,IFERROR(--(EOMONTH(AU63,0)&lt;&gt;AT$5),1))+IF(AX63="",0,IFERROR(--(EOMONTH(AX63,0)&lt;&gt;AW$5),1))+IF(BA63="",0,IFERROR(--(EOMONTH(BA63,0)&lt;&gt;AZ$5),1)))&gt;0,"; An invoice date is not in the month it is typed under",""),3,500))</f>
        <v/>
      </c>
      <c r="S63" s="12" t="n"/>
      <c r="T63" s="13" t="n"/>
      <c r="U63" s="14" t="n"/>
      <c r="V63" s="12" t="n"/>
      <c r="W63" s="13" t="n"/>
      <c r="X63" s="14" t="n"/>
      <c r="Y63" s="12" t="n"/>
      <c r="Z63" s="13" t="n"/>
      <c r="AA63" s="14" t="n"/>
      <c r="AB63" s="12" t="n"/>
      <c r="AC63" s="13" t="n"/>
      <c r="AD63" s="14" t="n"/>
      <c r="AE63" s="12" t="n"/>
      <c r="AF63" s="13" t="n"/>
      <c r="AG63" s="14" t="n"/>
      <c r="AH63" s="12" t="n"/>
      <c r="AI63" s="13" t="n"/>
      <c r="AJ63" s="14" t="n"/>
      <c r="AK63" s="12" t="n"/>
      <c r="AL63" s="13" t="n"/>
      <c r="AM63" s="14" t="n"/>
      <c r="AN63" s="12" t="n"/>
      <c r="AO63" s="13" t="n"/>
      <c r="AP63" s="14" t="n"/>
      <c r="AQ63" s="12" t="n"/>
      <c r="AR63" s="13" t="n"/>
      <c r="AS63" s="14" t="n"/>
      <c r="AT63" s="12" t="n"/>
      <c r="AU63" s="13" t="n"/>
      <c r="AV63" s="14" t="n"/>
      <c r="AW63" s="12" t="n"/>
      <c r="AX63" s="13" t="n"/>
      <c r="AY63" s="14" t="n"/>
      <c r="AZ63" s="12" t="n"/>
      <c r="BA63" s="13" t="n"/>
      <c r="BB63" s="14" t="n"/>
      <c r="BC63" s="11">
        <f>IF(O63="","",IF(J63="GST 10%",ROUND(O63*set_GSTRate,2),0))</f>
        <v/>
      </c>
      <c r="BD63" s="11">
        <f>IF(O63="","",O63+BC63)</f>
        <v/>
      </c>
      <c r="BE63" s="15">
        <f>IF(O63="","",COUNTA(S63,V63,Y63,AB63,AE63,AH63,AK63,AN63,AQ63,AT63,AW63,AZ63))</f>
        <v/>
      </c>
      <c r="BF63" s="16">
        <f>IF(COUNT(T63,W63,Z63,AC63,AF63,AI63,AL63,AO63,AR63,AU63,AX63,BA63)=0,"",MAX(T63,W63,Z63,AC63,AF63,AI63,AL63,AO63,AR63,AU63,AX63,BA63))</f>
        <v/>
      </c>
      <c r="BG63" s="10">
        <f>MID(IF(S63="","",", "&amp;S63)&amp;IF(V63="","",", "&amp;V63)&amp;IF(Y63="","",", "&amp;Y63)&amp;IF(AB63="","",", "&amp;AB63)&amp;IF(AE63="","",", "&amp;AE63)&amp;IF(AH63="","",", "&amp;AH63)&amp;IF(AK63="","",", "&amp;AK63)&amp;IF(AN63="","",", "&amp;AN63)&amp;IF(AQ63="","",", "&amp;AQ63)&amp;IF(AT63="","",", "&amp;AT63)&amp;IF(AW63="","",", "&amp;AW63)&amp;IF(AZ63="","",", "&amp;AZ63),3,500)</f>
        <v/>
      </c>
      <c r="BH63" s="12" t="n"/>
      <c r="BI63" s="15">
        <f>IFERROR(MATCH($A63,IF($B63="Onsite",tbl_Onsite[Row ID],IF($B63="Production",tbl_Production[Row ID],tbl_Consulting[Row ID])),0),"")</f>
        <v/>
      </c>
    </row>
    <row r="64">
      <c r="A64" s="10" t="inlineStr">
        <is>
          <t>ONS-0058</t>
        </is>
      </c>
      <c r="B64" s="10" t="inlineStr">
        <is>
          <t>Onsite</t>
        </is>
      </c>
      <c r="C64" s="10">
        <f>IF($BI64="","",IF($B64="Onsite",INDEX(tbl_Onsite[Job Number],$BI64),IF($B64="Production",INDEX(tbl_Production[Job Number],$BI64),INDEX(tbl_Consulting[Job Number],$BI64)))&amp;"")</f>
        <v/>
      </c>
      <c r="D64" s="10">
        <f>IF($BI64="","",IF($B64="Onsite",INDEX(tbl_Onsite[Client],$BI64),IF($B64="Production",INDEX(tbl_Production[Client],$BI64),INDEX(tbl_Consulting[Client],$BI64)))&amp;"")</f>
        <v/>
      </c>
      <c r="E64" s="10">
        <f>IF($C64="","",IF(COUNTIF(lst_Jobs,$C64)&gt;0,"OK","CHECK"))</f>
        <v/>
      </c>
      <c r="F64" s="10">
        <f>IF($C64="","",IFERROR(INDEX(lst_JobName,MATCH($C64,lst_Jobs,0)),""))</f>
        <v/>
      </c>
      <c r="G64" s="10">
        <f>IF($BI64="","",IF($B64="Onsite",INDEX(tbl_Onsite[Job Description],$BI64),IF($B64="Production",INDEX(tbl_Production[Job Description],$BI64),INDEX(tbl_Consulting[Job Description],$BI64)))&amp;"")</f>
        <v/>
      </c>
      <c r="H64" s="10">
        <f>IF($BI64="","",IF($B64="Onsite",INDEX(tbl_Onsite[Cost Centre],$BI64),IF($B64="Production",INDEX(tbl_Production[Cost Centre],$BI64),INDEX(tbl_Consulting[Cost Centre],$BI64)))&amp;"")</f>
        <v/>
      </c>
      <c r="I64" s="10">
        <f>IF($BI64="","",IF($B64="Onsite",INDEX(tbl_Onsite[Invoice Type],$BI64),IF($B64="Production",INDEX(tbl_Production[Invoice Type],$BI64),INDEX(tbl_Consulting[Invoice Type],$BI64)))&amp;"")</f>
        <v/>
      </c>
      <c r="J64" s="10">
        <f>IF($BI64="","",IF($B64="Onsite",INDEX(tbl_Onsite[Tax Code],$BI64),IF($B64="Production",INDEX(tbl_Production[Tax Code],$BI64),INDEX(tbl_Consulting[Tax Code],$BI64)))&amp;"")</f>
        <v/>
      </c>
      <c r="K64" s="10">
        <f>IF(H64="","",IFERROR(INDEX(lst_CCtoGL,MATCH(H64,lst_CCforGL,0)),""))</f>
        <v/>
      </c>
      <c r="L64" s="10">
        <f>IF($BI64="","",IF($B64="Onsite",INDEX(tbl_Onsite[PO / Reference],$BI64),IF($B64="Production",INDEX(tbl_Production[Current RMS No],$BI64),INDEX(tbl_Consulting[Qwilr Quote],$BI64)))&amp;"")</f>
        <v/>
      </c>
      <c r="M64" s="10">
        <f>IF($BI64="","",IF($B64="Onsite",INDEX(tbl_Onsite[Notes],$BI64),IF($B64="Production",INDEX(tbl_Production[Notes],$BI64),INDEX(tbl_Consulting[Notes],$BI64)))&amp;"")</f>
        <v/>
      </c>
      <c r="N64" s="11">
        <f>IF($BI64="","",IF(IF($B64="Onsite",INDEX(tbl_Onsite[Expected Revenue Ex GST],$BI64),IF($B64="Production",INDEX(tbl_Production[Expected Revenue Ex GST],$BI64),INDEX(tbl_Consulting[Expected Revenue Ex GST],$BI64)))="","",IF($B64="Onsite",INDEX(tbl_Onsite[Expected Revenue Ex GST],$BI64),IF($B64="Production",INDEX(tbl_Production[Expected Revenue Ex GST],$BI64),INDEX(tbl_Consulting[Expected Revenue Ex GST],$BI64)))))</f>
        <v/>
      </c>
      <c r="O64" s="11">
        <f>IF(AND($C64="",NOT(COUNTA($S64:$BB64)&gt;0)),"",SUM(U64,X64,AA64,AD64,AG64,AJ64,AM64,AP64,AS64,AV64,AY64,BB64))</f>
        <v/>
      </c>
      <c r="P64" s="11">
        <f>IF(O64="","",N(N64)-O64)</f>
        <v/>
      </c>
      <c r="Q64" s="10">
        <f>IF(O64="","",IF($C64="","Invoice on empty job row",IF(N64="",IF(ROUND(O64,2)=0,"No dept value","Invoiced - no dept value"),IF(ROUND(O64,2)=0,"Not invoiced - to invoice",IF(ROUND(P64,2)=0,"Agrees",IF(P64&gt;0,"Dept higher - to invoice","Xero higher - check dept"))))))</f>
        <v/>
      </c>
      <c r="R64" s="10">
        <f>IF(AND($C64="",NOT(COUNTA($S64:$BB64)&gt;0),$BI64&lt;&gt;""),"",MID(IF($BI64="","; Row ID not found on the department sheet - a row was deleted","")&amp;IF(AND($C64="",COUNTA($S64:$BB64)&gt;0),"; Invoice entered but the department row has no job number","")&amp;IF(E64="CHECK","; Job number not in the Xero job list","")&amp;IF(AND($C64&lt;&gt;"",COUNTIF($C$7:$C$1506,$C64)&gt;1),"; Job number on more than one row","")&amp;IF(AND($C64&lt;&gt;"",H64=""),"; Dept has not set a cost centre","")&amp;IF(AND($C64&lt;&gt;"",J64=""),"; Dept has not set a tax code","")&amp;IF(AND($C64&lt;&gt;"",N64=""),"; Dept has not entered an expected value","")&amp;IF((IF(OR(COUNTA(S64:U64)=0,AND(COUNTA(S64:U64)=3,ISNUMBER(U64))),0,1)+IF(OR(COUNTA(V64:X64)=0,AND(COUNTA(V64:X64)=3,ISNUMBER(X64))),0,1)+IF(OR(COUNTA(Y64:AA64)=0,AND(COUNTA(Y64:AA64)=3,ISNUMBER(AA64))),0,1)+IF(OR(COUNTA(AB64:AD64)=0,AND(COUNTA(AB64:AD64)=3,ISNUMBER(AD64))),0,1)+IF(OR(COUNTA(AE64:AG64)=0,AND(COUNTA(AE64:AG64)=3,ISNUMBER(AG64))),0,1)+IF(OR(COUNTA(AH64:AJ64)=0,AND(COUNTA(AH64:AJ64)=3,ISNUMBER(AJ64))),0,1)+IF(OR(COUNTA(AK64:AM64)=0,AND(COUNTA(AK64:AM64)=3,ISNUMBER(AM64))),0,1)+IF(OR(COUNTA(AN64:AP64)=0,AND(COUNTA(AN64:AP64)=3,ISNUMBER(AP64))),0,1)+IF(OR(COUNTA(AQ64:AS64)=0,AND(COUNTA(AQ64:AS64)=3,ISNUMBER(AS64))),0,1)+IF(OR(COUNTA(AT64:AV64)=0,AND(COUNTA(AT64:AV64)=3,ISNUMBER(AV64))),0,1)+IF(OR(COUNTA(AW64:AY64)=0,AND(COUNTA(AW64:AY64)=3,ISNUMBER(AY64))),0,1)+IF(OR(COUNTA(AZ64:BB64)=0,AND(COUNTA(AZ64:BB64)=3,ISNUMBER(BB64))),0,1))&gt;0,"; An invoice is incomplete (needs No, Date and a number in Ex GST)","")&amp;IF((IF(T64="",0,IFERROR(--(EOMONTH(T64,0)&lt;&gt;S$5),1))+IF(W64="",0,IFERROR(--(EOMONTH(W64,0)&lt;&gt;V$5),1))+IF(Z64="",0,IFERROR(--(EOMONTH(Z64,0)&lt;&gt;Y$5),1))+IF(AC64="",0,IFERROR(--(EOMONTH(AC64,0)&lt;&gt;AB$5),1))+IF(AF64="",0,IFERROR(--(EOMONTH(AF64,0)&lt;&gt;AE$5),1))+IF(AI64="",0,IFERROR(--(EOMONTH(AI64,0)&lt;&gt;AH$5),1))+IF(AL64="",0,IFERROR(--(EOMONTH(AL64,0)&lt;&gt;AK$5),1))+IF(AO64="",0,IFERROR(--(EOMONTH(AO64,0)&lt;&gt;AN$5),1))+IF(AR64="",0,IFERROR(--(EOMONTH(AR64,0)&lt;&gt;AQ$5),1))+IF(AU64="",0,IFERROR(--(EOMONTH(AU64,0)&lt;&gt;AT$5),1))+IF(AX64="",0,IFERROR(--(EOMONTH(AX64,0)&lt;&gt;AW$5),1))+IF(BA64="",0,IFERROR(--(EOMONTH(BA64,0)&lt;&gt;AZ$5),1)))&gt;0,"; An invoice date is not in the month it is typed under",""),3,500))</f>
        <v/>
      </c>
      <c r="S64" s="12" t="n"/>
      <c r="T64" s="13" t="n"/>
      <c r="U64" s="14" t="n"/>
      <c r="V64" s="12" t="n"/>
      <c r="W64" s="13" t="n"/>
      <c r="X64" s="14" t="n"/>
      <c r="Y64" s="12" t="n"/>
      <c r="Z64" s="13" t="n"/>
      <c r="AA64" s="14" t="n"/>
      <c r="AB64" s="12" t="n"/>
      <c r="AC64" s="13" t="n"/>
      <c r="AD64" s="14" t="n"/>
      <c r="AE64" s="12" t="n"/>
      <c r="AF64" s="13" t="n"/>
      <c r="AG64" s="14" t="n"/>
      <c r="AH64" s="12" t="n"/>
      <c r="AI64" s="13" t="n"/>
      <c r="AJ64" s="14" t="n"/>
      <c r="AK64" s="12" t="n"/>
      <c r="AL64" s="13" t="n"/>
      <c r="AM64" s="14" t="n"/>
      <c r="AN64" s="12" t="n"/>
      <c r="AO64" s="13" t="n"/>
      <c r="AP64" s="14" t="n"/>
      <c r="AQ64" s="12" t="n"/>
      <c r="AR64" s="13" t="n"/>
      <c r="AS64" s="14" t="n"/>
      <c r="AT64" s="12" t="n"/>
      <c r="AU64" s="13" t="n"/>
      <c r="AV64" s="14" t="n"/>
      <c r="AW64" s="12" t="n"/>
      <c r="AX64" s="13" t="n"/>
      <c r="AY64" s="14" t="n"/>
      <c r="AZ64" s="12" t="n"/>
      <c r="BA64" s="13" t="n"/>
      <c r="BB64" s="14" t="n"/>
      <c r="BC64" s="11">
        <f>IF(O64="","",IF(J64="GST 10%",ROUND(O64*set_GSTRate,2),0))</f>
        <v/>
      </c>
      <c r="BD64" s="11">
        <f>IF(O64="","",O64+BC64)</f>
        <v/>
      </c>
      <c r="BE64" s="15">
        <f>IF(O64="","",COUNTA(S64,V64,Y64,AB64,AE64,AH64,AK64,AN64,AQ64,AT64,AW64,AZ64))</f>
        <v/>
      </c>
      <c r="BF64" s="16">
        <f>IF(COUNT(T64,W64,Z64,AC64,AF64,AI64,AL64,AO64,AR64,AU64,AX64,BA64)=0,"",MAX(T64,W64,Z64,AC64,AF64,AI64,AL64,AO64,AR64,AU64,AX64,BA64))</f>
        <v/>
      </c>
      <c r="BG64" s="10">
        <f>MID(IF(S64="","",", "&amp;S64)&amp;IF(V64="","",", "&amp;V64)&amp;IF(Y64="","",", "&amp;Y64)&amp;IF(AB64="","",", "&amp;AB64)&amp;IF(AE64="","",", "&amp;AE64)&amp;IF(AH64="","",", "&amp;AH64)&amp;IF(AK64="","",", "&amp;AK64)&amp;IF(AN64="","",", "&amp;AN64)&amp;IF(AQ64="","",", "&amp;AQ64)&amp;IF(AT64="","",", "&amp;AT64)&amp;IF(AW64="","",", "&amp;AW64)&amp;IF(AZ64="","",", "&amp;AZ64),3,500)</f>
        <v/>
      </c>
      <c r="BH64" s="12" t="n"/>
      <c r="BI64" s="15">
        <f>IFERROR(MATCH($A64,IF($B64="Onsite",tbl_Onsite[Row ID],IF($B64="Production",tbl_Production[Row ID],tbl_Consulting[Row ID])),0),"")</f>
        <v/>
      </c>
    </row>
    <row r="65">
      <c r="A65" s="10" t="inlineStr">
        <is>
          <t>ONS-0059</t>
        </is>
      </c>
      <c r="B65" s="10" t="inlineStr">
        <is>
          <t>Onsite</t>
        </is>
      </c>
      <c r="C65" s="10">
        <f>IF($BI65="","",IF($B65="Onsite",INDEX(tbl_Onsite[Job Number],$BI65),IF($B65="Production",INDEX(tbl_Production[Job Number],$BI65),INDEX(tbl_Consulting[Job Number],$BI65)))&amp;"")</f>
        <v/>
      </c>
      <c r="D65" s="10">
        <f>IF($BI65="","",IF($B65="Onsite",INDEX(tbl_Onsite[Client],$BI65),IF($B65="Production",INDEX(tbl_Production[Client],$BI65),INDEX(tbl_Consulting[Client],$BI65)))&amp;"")</f>
        <v/>
      </c>
      <c r="E65" s="10">
        <f>IF($C65="","",IF(COUNTIF(lst_Jobs,$C65)&gt;0,"OK","CHECK"))</f>
        <v/>
      </c>
      <c r="F65" s="10">
        <f>IF($C65="","",IFERROR(INDEX(lst_JobName,MATCH($C65,lst_Jobs,0)),""))</f>
        <v/>
      </c>
      <c r="G65" s="10">
        <f>IF($BI65="","",IF($B65="Onsite",INDEX(tbl_Onsite[Job Description],$BI65),IF($B65="Production",INDEX(tbl_Production[Job Description],$BI65),INDEX(tbl_Consulting[Job Description],$BI65)))&amp;"")</f>
        <v/>
      </c>
      <c r="H65" s="10">
        <f>IF($BI65="","",IF($B65="Onsite",INDEX(tbl_Onsite[Cost Centre],$BI65),IF($B65="Production",INDEX(tbl_Production[Cost Centre],$BI65),INDEX(tbl_Consulting[Cost Centre],$BI65)))&amp;"")</f>
        <v/>
      </c>
      <c r="I65" s="10">
        <f>IF($BI65="","",IF($B65="Onsite",INDEX(tbl_Onsite[Invoice Type],$BI65),IF($B65="Production",INDEX(tbl_Production[Invoice Type],$BI65),INDEX(tbl_Consulting[Invoice Type],$BI65)))&amp;"")</f>
        <v/>
      </c>
      <c r="J65" s="10">
        <f>IF($BI65="","",IF($B65="Onsite",INDEX(tbl_Onsite[Tax Code],$BI65),IF($B65="Production",INDEX(tbl_Production[Tax Code],$BI65),INDEX(tbl_Consulting[Tax Code],$BI65)))&amp;"")</f>
        <v/>
      </c>
      <c r="K65" s="10">
        <f>IF(H65="","",IFERROR(INDEX(lst_CCtoGL,MATCH(H65,lst_CCforGL,0)),""))</f>
        <v/>
      </c>
      <c r="L65" s="10">
        <f>IF($BI65="","",IF($B65="Onsite",INDEX(tbl_Onsite[PO / Reference],$BI65),IF($B65="Production",INDEX(tbl_Production[Current RMS No],$BI65),INDEX(tbl_Consulting[Qwilr Quote],$BI65)))&amp;"")</f>
        <v/>
      </c>
      <c r="M65" s="10">
        <f>IF($BI65="","",IF($B65="Onsite",INDEX(tbl_Onsite[Notes],$BI65),IF($B65="Production",INDEX(tbl_Production[Notes],$BI65),INDEX(tbl_Consulting[Notes],$BI65)))&amp;"")</f>
        <v/>
      </c>
      <c r="N65" s="11">
        <f>IF($BI65="","",IF(IF($B65="Onsite",INDEX(tbl_Onsite[Expected Revenue Ex GST],$BI65),IF($B65="Production",INDEX(tbl_Production[Expected Revenue Ex GST],$BI65),INDEX(tbl_Consulting[Expected Revenue Ex GST],$BI65)))="","",IF($B65="Onsite",INDEX(tbl_Onsite[Expected Revenue Ex GST],$BI65),IF($B65="Production",INDEX(tbl_Production[Expected Revenue Ex GST],$BI65),INDEX(tbl_Consulting[Expected Revenue Ex GST],$BI65)))))</f>
        <v/>
      </c>
      <c r="O65" s="11">
        <f>IF(AND($C65="",NOT(COUNTA($S65:$BB65)&gt;0)),"",SUM(U65,X65,AA65,AD65,AG65,AJ65,AM65,AP65,AS65,AV65,AY65,BB65))</f>
        <v/>
      </c>
      <c r="P65" s="11">
        <f>IF(O65="","",N(N65)-O65)</f>
        <v/>
      </c>
      <c r="Q65" s="10">
        <f>IF(O65="","",IF($C65="","Invoice on empty job row",IF(N65="",IF(ROUND(O65,2)=0,"No dept value","Invoiced - no dept value"),IF(ROUND(O65,2)=0,"Not invoiced - to invoice",IF(ROUND(P65,2)=0,"Agrees",IF(P65&gt;0,"Dept higher - to invoice","Xero higher - check dept"))))))</f>
        <v/>
      </c>
      <c r="R65" s="10">
        <f>IF(AND($C65="",NOT(COUNTA($S65:$BB65)&gt;0),$BI65&lt;&gt;""),"",MID(IF($BI65="","; Row ID not found on the department sheet - a row was deleted","")&amp;IF(AND($C65="",COUNTA($S65:$BB65)&gt;0),"; Invoice entered but the department row has no job number","")&amp;IF(E65="CHECK","; Job number not in the Xero job list","")&amp;IF(AND($C65&lt;&gt;"",COUNTIF($C$7:$C$1506,$C65)&gt;1),"; Job number on more than one row","")&amp;IF(AND($C65&lt;&gt;"",H65=""),"; Dept has not set a cost centre","")&amp;IF(AND($C65&lt;&gt;"",J65=""),"; Dept has not set a tax code","")&amp;IF(AND($C65&lt;&gt;"",N65=""),"; Dept has not entered an expected value","")&amp;IF((IF(OR(COUNTA(S65:U65)=0,AND(COUNTA(S65:U65)=3,ISNUMBER(U65))),0,1)+IF(OR(COUNTA(V65:X65)=0,AND(COUNTA(V65:X65)=3,ISNUMBER(X65))),0,1)+IF(OR(COUNTA(Y65:AA65)=0,AND(COUNTA(Y65:AA65)=3,ISNUMBER(AA65))),0,1)+IF(OR(COUNTA(AB65:AD65)=0,AND(COUNTA(AB65:AD65)=3,ISNUMBER(AD65))),0,1)+IF(OR(COUNTA(AE65:AG65)=0,AND(COUNTA(AE65:AG65)=3,ISNUMBER(AG65))),0,1)+IF(OR(COUNTA(AH65:AJ65)=0,AND(COUNTA(AH65:AJ65)=3,ISNUMBER(AJ65))),0,1)+IF(OR(COUNTA(AK65:AM65)=0,AND(COUNTA(AK65:AM65)=3,ISNUMBER(AM65))),0,1)+IF(OR(COUNTA(AN65:AP65)=0,AND(COUNTA(AN65:AP65)=3,ISNUMBER(AP65))),0,1)+IF(OR(COUNTA(AQ65:AS65)=0,AND(COUNTA(AQ65:AS65)=3,ISNUMBER(AS65))),0,1)+IF(OR(COUNTA(AT65:AV65)=0,AND(COUNTA(AT65:AV65)=3,ISNUMBER(AV65))),0,1)+IF(OR(COUNTA(AW65:AY65)=0,AND(COUNTA(AW65:AY65)=3,ISNUMBER(AY65))),0,1)+IF(OR(COUNTA(AZ65:BB65)=0,AND(COUNTA(AZ65:BB65)=3,ISNUMBER(BB65))),0,1))&gt;0,"; An invoice is incomplete (needs No, Date and a number in Ex GST)","")&amp;IF((IF(T65="",0,IFERROR(--(EOMONTH(T65,0)&lt;&gt;S$5),1))+IF(W65="",0,IFERROR(--(EOMONTH(W65,0)&lt;&gt;V$5),1))+IF(Z65="",0,IFERROR(--(EOMONTH(Z65,0)&lt;&gt;Y$5),1))+IF(AC65="",0,IFERROR(--(EOMONTH(AC65,0)&lt;&gt;AB$5),1))+IF(AF65="",0,IFERROR(--(EOMONTH(AF65,0)&lt;&gt;AE$5),1))+IF(AI65="",0,IFERROR(--(EOMONTH(AI65,0)&lt;&gt;AH$5),1))+IF(AL65="",0,IFERROR(--(EOMONTH(AL65,0)&lt;&gt;AK$5),1))+IF(AO65="",0,IFERROR(--(EOMONTH(AO65,0)&lt;&gt;AN$5),1))+IF(AR65="",0,IFERROR(--(EOMONTH(AR65,0)&lt;&gt;AQ$5),1))+IF(AU65="",0,IFERROR(--(EOMONTH(AU65,0)&lt;&gt;AT$5),1))+IF(AX65="",0,IFERROR(--(EOMONTH(AX65,0)&lt;&gt;AW$5),1))+IF(BA65="",0,IFERROR(--(EOMONTH(BA65,0)&lt;&gt;AZ$5),1)))&gt;0,"; An invoice date is not in the month it is typed under",""),3,500))</f>
        <v/>
      </c>
      <c r="S65" s="12" t="n"/>
      <c r="T65" s="13" t="n"/>
      <c r="U65" s="14" t="n"/>
      <c r="V65" s="12" t="n"/>
      <c r="W65" s="13" t="n"/>
      <c r="X65" s="14" t="n"/>
      <c r="Y65" s="12" t="n"/>
      <c r="Z65" s="13" t="n"/>
      <c r="AA65" s="14" t="n"/>
      <c r="AB65" s="12" t="n"/>
      <c r="AC65" s="13" t="n"/>
      <c r="AD65" s="14" t="n"/>
      <c r="AE65" s="12" t="n"/>
      <c r="AF65" s="13" t="n"/>
      <c r="AG65" s="14" t="n"/>
      <c r="AH65" s="12" t="n"/>
      <c r="AI65" s="13" t="n"/>
      <c r="AJ65" s="14" t="n"/>
      <c r="AK65" s="12" t="n"/>
      <c r="AL65" s="13" t="n"/>
      <c r="AM65" s="14" t="n"/>
      <c r="AN65" s="12" t="n"/>
      <c r="AO65" s="13" t="n"/>
      <c r="AP65" s="14" t="n"/>
      <c r="AQ65" s="12" t="n"/>
      <c r="AR65" s="13" t="n"/>
      <c r="AS65" s="14" t="n"/>
      <c r="AT65" s="12" t="n"/>
      <c r="AU65" s="13" t="n"/>
      <c r="AV65" s="14" t="n"/>
      <c r="AW65" s="12" t="n"/>
      <c r="AX65" s="13" t="n"/>
      <c r="AY65" s="14" t="n"/>
      <c r="AZ65" s="12" t="n"/>
      <c r="BA65" s="13" t="n"/>
      <c r="BB65" s="14" t="n"/>
      <c r="BC65" s="11">
        <f>IF(O65="","",IF(J65="GST 10%",ROUND(O65*set_GSTRate,2),0))</f>
        <v/>
      </c>
      <c r="BD65" s="11">
        <f>IF(O65="","",O65+BC65)</f>
        <v/>
      </c>
      <c r="BE65" s="15">
        <f>IF(O65="","",COUNTA(S65,V65,Y65,AB65,AE65,AH65,AK65,AN65,AQ65,AT65,AW65,AZ65))</f>
        <v/>
      </c>
      <c r="BF65" s="16">
        <f>IF(COUNT(T65,W65,Z65,AC65,AF65,AI65,AL65,AO65,AR65,AU65,AX65,BA65)=0,"",MAX(T65,W65,Z65,AC65,AF65,AI65,AL65,AO65,AR65,AU65,AX65,BA65))</f>
        <v/>
      </c>
      <c r="BG65" s="10">
        <f>MID(IF(S65="","",", "&amp;S65)&amp;IF(V65="","",", "&amp;V65)&amp;IF(Y65="","",", "&amp;Y65)&amp;IF(AB65="","",", "&amp;AB65)&amp;IF(AE65="","",", "&amp;AE65)&amp;IF(AH65="","",", "&amp;AH65)&amp;IF(AK65="","",", "&amp;AK65)&amp;IF(AN65="","",", "&amp;AN65)&amp;IF(AQ65="","",", "&amp;AQ65)&amp;IF(AT65="","",", "&amp;AT65)&amp;IF(AW65="","",", "&amp;AW65)&amp;IF(AZ65="","",", "&amp;AZ65),3,500)</f>
        <v/>
      </c>
      <c r="BH65" s="12" t="n"/>
      <c r="BI65" s="15">
        <f>IFERROR(MATCH($A65,IF($B65="Onsite",tbl_Onsite[Row ID],IF($B65="Production",tbl_Production[Row ID],tbl_Consulting[Row ID])),0),"")</f>
        <v/>
      </c>
    </row>
    <row r="66">
      <c r="A66" s="10" t="inlineStr">
        <is>
          <t>ONS-0060</t>
        </is>
      </c>
      <c r="B66" s="10" t="inlineStr">
        <is>
          <t>Onsite</t>
        </is>
      </c>
      <c r="C66" s="10">
        <f>IF($BI66="","",IF($B66="Onsite",INDEX(tbl_Onsite[Job Number],$BI66),IF($B66="Production",INDEX(tbl_Production[Job Number],$BI66),INDEX(tbl_Consulting[Job Number],$BI66)))&amp;"")</f>
        <v/>
      </c>
      <c r="D66" s="10">
        <f>IF($BI66="","",IF($B66="Onsite",INDEX(tbl_Onsite[Client],$BI66),IF($B66="Production",INDEX(tbl_Production[Client],$BI66),INDEX(tbl_Consulting[Client],$BI66)))&amp;"")</f>
        <v/>
      </c>
      <c r="E66" s="10">
        <f>IF($C66="","",IF(COUNTIF(lst_Jobs,$C66)&gt;0,"OK","CHECK"))</f>
        <v/>
      </c>
      <c r="F66" s="10">
        <f>IF($C66="","",IFERROR(INDEX(lst_JobName,MATCH($C66,lst_Jobs,0)),""))</f>
        <v/>
      </c>
      <c r="G66" s="10">
        <f>IF($BI66="","",IF($B66="Onsite",INDEX(tbl_Onsite[Job Description],$BI66),IF($B66="Production",INDEX(tbl_Production[Job Description],$BI66),INDEX(tbl_Consulting[Job Description],$BI66)))&amp;"")</f>
        <v/>
      </c>
      <c r="H66" s="10">
        <f>IF($BI66="","",IF($B66="Onsite",INDEX(tbl_Onsite[Cost Centre],$BI66),IF($B66="Production",INDEX(tbl_Production[Cost Centre],$BI66),INDEX(tbl_Consulting[Cost Centre],$BI66)))&amp;"")</f>
        <v/>
      </c>
      <c r="I66" s="10">
        <f>IF($BI66="","",IF($B66="Onsite",INDEX(tbl_Onsite[Invoice Type],$BI66),IF($B66="Production",INDEX(tbl_Production[Invoice Type],$BI66),INDEX(tbl_Consulting[Invoice Type],$BI66)))&amp;"")</f>
        <v/>
      </c>
      <c r="J66" s="10">
        <f>IF($BI66="","",IF($B66="Onsite",INDEX(tbl_Onsite[Tax Code],$BI66),IF($B66="Production",INDEX(tbl_Production[Tax Code],$BI66),INDEX(tbl_Consulting[Tax Code],$BI66)))&amp;"")</f>
        <v/>
      </c>
      <c r="K66" s="10">
        <f>IF(H66="","",IFERROR(INDEX(lst_CCtoGL,MATCH(H66,lst_CCforGL,0)),""))</f>
        <v/>
      </c>
      <c r="L66" s="10">
        <f>IF($BI66="","",IF($B66="Onsite",INDEX(tbl_Onsite[PO / Reference],$BI66),IF($B66="Production",INDEX(tbl_Production[Current RMS No],$BI66),INDEX(tbl_Consulting[Qwilr Quote],$BI66)))&amp;"")</f>
        <v/>
      </c>
      <c r="M66" s="10">
        <f>IF($BI66="","",IF($B66="Onsite",INDEX(tbl_Onsite[Notes],$BI66),IF($B66="Production",INDEX(tbl_Production[Notes],$BI66),INDEX(tbl_Consulting[Notes],$BI66)))&amp;"")</f>
        <v/>
      </c>
      <c r="N66" s="11">
        <f>IF($BI66="","",IF(IF($B66="Onsite",INDEX(tbl_Onsite[Expected Revenue Ex GST],$BI66),IF($B66="Production",INDEX(tbl_Production[Expected Revenue Ex GST],$BI66),INDEX(tbl_Consulting[Expected Revenue Ex GST],$BI66)))="","",IF($B66="Onsite",INDEX(tbl_Onsite[Expected Revenue Ex GST],$BI66),IF($B66="Production",INDEX(tbl_Production[Expected Revenue Ex GST],$BI66),INDEX(tbl_Consulting[Expected Revenue Ex GST],$BI66)))))</f>
        <v/>
      </c>
      <c r="O66" s="11">
        <f>IF(AND($C66="",NOT(COUNTA($S66:$BB66)&gt;0)),"",SUM(U66,X66,AA66,AD66,AG66,AJ66,AM66,AP66,AS66,AV66,AY66,BB66))</f>
        <v/>
      </c>
      <c r="P66" s="11">
        <f>IF(O66="","",N(N66)-O66)</f>
        <v/>
      </c>
      <c r="Q66" s="10">
        <f>IF(O66="","",IF($C66="","Invoice on empty job row",IF(N66="",IF(ROUND(O66,2)=0,"No dept value","Invoiced - no dept value"),IF(ROUND(O66,2)=0,"Not invoiced - to invoice",IF(ROUND(P66,2)=0,"Agrees",IF(P66&gt;0,"Dept higher - to invoice","Xero higher - check dept"))))))</f>
        <v/>
      </c>
      <c r="R66" s="10">
        <f>IF(AND($C66="",NOT(COUNTA($S66:$BB66)&gt;0),$BI66&lt;&gt;""),"",MID(IF($BI66="","; Row ID not found on the department sheet - a row was deleted","")&amp;IF(AND($C66="",COUNTA($S66:$BB66)&gt;0),"; Invoice entered but the department row has no job number","")&amp;IF(E66="CHECK","; Job number not in the Xero job list","")&amp;IF(AND($C66&lt;&gt;"",COUNTIF($C$7:$C$1506,$C66)&gt;1),"; Job number on more than one row","")&amp;IF(AND($C66&lt;&gt;"",H66=""),"; Dept has not set a cost centre","")&amp;IF(AND($C66&lt;&gt;"",J66=""),"; Dept has not set a tax code","")&amp;IF(AND($C66&lt;&gt;"",N66=""),"; Dept has not entered an expected value","")&amp;IF((IF(OR(COUNTA(S66:U66)=0,AND(COUNTA(S66:U66)=3,ISNUMBER(U66))),0,1)+IF(OR(COUNTA(V66:X66)=0,AND(COUNTA(V66:X66)=3,ISNUMBER(X66))),0,1)+IF(OR(COUNTA(Y66:AA66)=0,AND(COUNTA(Y66:AA66)=3,ISNUMBER(AA66))),0,1)+IF(OR(COUNTA(AB66:AD66)=0,AND(COUNTA(AB66:AD66)=3,ISNUMBER(AD66))),0,1)+IF(OR(COUNTA(AE66:AG66)=0,AND(COUNTA(AE66:AG66)=3,ISNUMBER(AG66))),0,1)+IF(OR(COUNTA(AH66:AJ66)=0,AND(COUNTA(AH66:AJ66)=3,ISNUMBER(AJ66))),0,1)+IF(OR(COUNTA(AK66:AM66)=0,AND(COUNTA(AK66:AM66)=3,ISNUMBER(AM66))),0,1)+IF(OR(COUNTA(AN66:AP66)=0,AND(COUNTA(AN66:AP66)=3,ISNUMBER(AP66))),0,1)+IF(OR(COUNTA(AQ66:AS66)=0,AND(COUNTA(AQ66:AS66)=3,ISNUMBER(AS66))),0,1)+IF(OR(COUNTA(AT66:AV66)=0,AND(COUNTA(AT66:AV66)=3,ISNUMBER(AV66))),0,1)+IF(OR(COUNTA(AW66:AY66)=0,AND(COUNTA(AW66:AY66)=3,ISNUMBER(AY66))),0,1)+IF(OR(COUNTA(AZ66:BB66)=0,AND(COUNTA(AZ66:BB66)=3,ISNUMBER(BB66))),0,1))&gt;0,"; An invoice is incomplete (needs No, Date and a number in Ex GST)","")&amp;IF((IF(T66="",0,IFERROR(--(EOMONTH(T66,0)&lt;&gt;S$5),1))+IF(W66="",0,IFERROR(--(EOMONTH(W66,0)&lt;&gt;V$5),1))+IF(Z66="",0,IFERROR(--(EOMONTH(Z66,0)&lt;&gt;Y$5),1))+IF(AC66="",0,IFERROR(--(EOMONTH(AC66,0)&lt;&gt;AB$5),1))+IF(AF66="",0,IFERROR(--(EOMONTH(AF66,0)&lt;&gt;AE$5),1))+IF(AI66="",0,IFERROR(--(EOMONTH(AI66,0)&lt;&gt;AH$5),1))+IF(AL66="",0,IFERROR(--(EOMONTH(AL66,0)&lt;&gt;AK$5),1))+IF(AO66="",0,IFERROR(--(EOMONTH(AO66,0)&lt;&gt;AN$5),1))+IF(AR66="",0,IFERROR(--(EOMONTH(AR66,0)&lt;&gt;AQ$5),1))+IF(AU66="",0,IFERROR(--(EOMONTH(AU66,0)&lt;&gt;AT$5),1))+IF(AX66="",0,IFERROR(--(EOMONTH(AX66,0)&lt;&gt;AW$5),1))+IF(BA66="",0,IFERROR(--(EOMONTH(BA66,0)&lt;&gt;AZ$5),1)))&gt;0,"; An invoice date is not in the month it is typed under",""),3,500))</f>
        <v/>
      </c>
      <c r="S66" s="12" t="n"/>
      <c r="T66" s="13" t="n"/>
      <c r="U66" s="14" t="n"/>
      <c r="V66" s="12" t="n"/>
      <c r="W66" s="13" t="n"/>
      <c r="X66" s="14" t="n"/>
      <c r="Y66" s="12" t="n"/>
      <c r="Z66" s="13" t="n"/>
      <c r="AA66" s="14" t="n"/>
      <c r="AB66" s="12" t="n"/>
      <c r="AC66" s="13" t="n"/>
      <c r="AD66" s="14" t="n"/>
      <c r="AE66" s="12" t="n"/>
      <c r="AF66" s="13" t="n"/>
      <c r="AG66" s="14" t="n"/>
      <c r="AH66" s="12" t="n"/>
      <c r="AI66" s="13" t="n"/>
      <c r="AJ66" s="14" t="n"/>
      <c r="AK66" s="12" t="n"/>
      <c r="AL66" s="13" t="n"/>
      <c r="AM66" s="14" t="n"/>
      <c r="AN66" s="12" t="n"/>
      <c r="AO66" s="13" t="n"/>
      <c r="AP66" s="14" t="n"/>
      <c r="AQ66" s="12" t="n"/>
      <c r="AR66" s="13" t="n"/>
      <c r="AS66" s="14" t="n"/>
      <c r="AT66" s="12" t="n"/>
      <c r="AU66" s="13" t="n"/>
      <c r="AV66" s="14" t="n"/>
      <c r="AW66" s="12" t="n"/>
      <c r="AX66" s="13" t="n"/>
      <c r="AY66" s="14" t="n"/>
      <c r="AZ66" s="12" t="n"/>
      <c r="BA66" s="13" t="n"/>
      <c r="BB66" s="14" t="n"/>
      <c r="BC66" s="11">
        <f>IF(O66="","",IF(J66="GST 10%",ROUND(O66*set_GSTRate,2),0))</f>
        <v/>
      </c>
      <c r="BD66" s="11">
        <f>IF(O66="","",O66+BC66)</f>
        <v/>
      </c>
      <c r="BE66" s="15">
        <f>IF(O66="","",COUNTA(S66,V66,Y66,AB66,AE66,AH66,AK66,AN66,AQ66,AT66,AW66,AZ66))</f>
        <v/>
      </c>
      <c r="BF66" s="16">
        <f>IF(COUNT(T66,W66,Z66,AC66,AF66,AI66,AL66,AO66,AR66,AU66,AX66,BA66)=0,"",MAX(T66,W66,Z66,AC66,AF66,AI66,AL66,AO66,AR66,AU66,AX66,BA66))</f>
        <v/>
      </c>
      <c r="BG66" s="10">
        <f>MID(IF(S66="","",", "&amp;S66)&amp;IF(V66="","",", "&amp;V66)&amp;IF(Y66="","",", "&amp;Y66)&amp;IF(AB66="","",", "&amp;AB66)&amp;IF(AE66="","",", "&amp;AE66)&amp;IF(AH66="","",", "&amp;AH66)&amp;IF(AK66="","",", "&amp;AK66)&amp;IF(AN66="","",", "&amp;AN66)&amp;IF(AQ66="","",", "&amp;AQ66)&amp;IF(AT66="","",", "&amp;AT66)&amp;IF(AW66="","",", "&amp;AW66)&amp;IF(AZ66="","",", "&amp;AZ66),3,500)</f>
        <v/>
      </c>
      <c r="BH66" s="12" t="n"/>
      <c r="BI66" s="15">
        <f>IFERROR(MATCH($A66,IF($B66="Onsite",tbl_Onsite[Row ID],IF($B66="Production",tbl_Production[Row ID],tbl_Consulting[Row ID])),0),"")</f>
        <v/>
      </c>
    </row>
    <row r="67">
      <c r="A67" s="10" t="inlineStr">
        <is>
          <t>ONS-0061</t>
        </is>
      </c>
      <c r="B67" s="10" t="inlineStr">
        <is>
          <t>Onsite</t>
        </is>
      </c>
      <c r="C67" s="10">
        <f>IF($BI67="","",IF($B67="Onsite",INDEX(tbl_Onsite[Job Number],$BI67),IF($B67="Production",INDEX(tbl_Production[Job Number],$BI67),INDEX(tbl_Consulting[Job Number],$BI67)))&amp;"")</f>
        <v/>
      </c>
      <c r="D67" s="10">
        <f>IF($BI67="","",IF($B67="Onsite",INDEX(tbl_Onsite[Client],$BI67),IF($B67="Production",INDEX(tbl_Production[Client],$BI67),INDEX(tbl_Consulting[Client],$BI67)))&amp;"")</f>
        <v/>
      </c>
      <c r="E67" s="10">
        <f>IF($C67="","",IF(COUNTIF(lst_Jobs,$C67)&gt;0,"OK","CHECK"))</f>
        <v/>
      </c>
      <c r="F67" s="10">
        <f>IF($C67="","",IFERROR(INDEX(lst_JobName,MATCH($C67,lst_Jobs,0)),""))</f>
        <v/>
      </c>
      <c r="G67" s="10">
        <f>IF($BI67="","",IF($B67="Onsite",INDEX(tbl_Onsite[Job Description],$BI67),IF($B67="Production",INDEX(tbl_Production[Job Description],$BI67),INDEX(tbl_Consulting[Job Description],$BI67)))&amp;"")</f>
        <v/>
      </c>
      <c r="H67" s="10">
        <f>IF($BI67="","",IF($B67="Onsite",INDEX(tbl_Onsite[Cost Centre],$BI67),IF($B67="Production",INDEX(tbl_Production[Cost Centre],$BI67),INDEX(tbl_Consulting[Cost Centre],$BI67)))&amp;"")</f>
        <v/>
      </c>
      <c r="I67" s="10">
        <f>IF($BI67="","",IF($B67="Onsite",INDEX(tbl_Onsite[Invoice Type],$BI67),IF($B67="Production",INDEX(tbl_Production[Invoice Type],$BI67),INDEX(tbl_Consulting[Invoice Type],$BI67)))&amp;"")</f>
        <v/>
      </c>
      <c r="J67" s="10">
        <f>IF($BI67="","",IF($B67="Onsite",INDEX(tbl_Onsite[Tax Code],$BI67),IF($B67="Production",INDEX(tbl_Production[Tax Code],$BI67),INDEX(tbl_Consulting[Tax Code],$BI67)))&amp;"")</f>
        <v/>
      </c>
      <c r="K67" s="10">
        <f>IF(H67="","",IFERROR(INDEX(lst_CCtoGL,MATCH(H67,lst_CCforGL,0)),""))</f>
        <v/>
      </c>
      <c r="L67" s="10">
        <f>IF($BI67="","",IF($B67="Onsite",INDEX(tbl_Onsite[PO / Reference],$BI67),IF($B67="Production",INDEX(tbl_Production[Current RMS No],$BI67),INDEX(tbl_Consulting[Qwilr Quote],$BI67)))&amp;"")</f>
        <v/>
      </c>
      <c r="M67" s="10">
        <f>IF($BI67="","",IF($B67="Onsite",INDEX(tbl_Onsite[Notes],$BI67),IF($B67="Production",INDEX(tbl_Production[Notes],$BI67),INDEX(tbl_Consulting[Notes],$BI67)))&amp;"")</f>
        <v/>
      </c>
      <c r="N67" s="11">
        <f>IF($BI67="","",IF(IF($B67="Onsite",INDEX(tbl_Onsite[Expected Revenue Ex GST],$BI67),IF($B67="Production",INDEX(tbl_Production[Expected Revenue Ex GST],$BI67),INDEX(tbl_Consulting[Expected Revenue Ex GST],$BI67)))="","",IF($B67="Onsite",INDEX(tbl_Onsite[Expected Revenue Ex GST],$BI67),IF($B67="Production",INDEX(tbl_Production[Expected Revenue Ex GST],$BI67),INDEX(tbl_Consulting[Expected Revenue Ex GST],$BI67)))))</f>
        <v/>
      </c>
      <c r="O67" s="11">
        <f>IF(AND($C67="",NOT(COUNTA($S67:$BB67)&gt;0)),"",SUM(U67,X67,AA67,AD67,AG67,AJ67,AM67,AP67,AS67,AV67,AY67,BB67))</f>
        <v/>
      </c>
      <c r="P67" s="11">
        <f>IF(O67="","",N(N67)-O67)</f>
        <v/>
      </c>
      <c r="Q67" s="10">
        <f>IF(O67="","",IF($C67="","Invoice on empty job row",IF(N67="",IF(ROUND(O67,2)=0,"No dept value","Invoiced - no dept value"),IF(ROUND(O67,2)=0,"Not invoiced - to invoice",IF(ROUND(P67,2)=0,"Agrees",IF(P67&gt;0,"Dept higher - to invoice","Xero higher - check dept"))))))</f>
        <v/>
      </c>
      <c r="R67" s="10">
        <f>IF(AND($C67="",NOT(COUNTA($S67:$BB67)&gt;0),$BI67&lt;&gt;""),"",MID(IF($BI67="","; Row ID not found on the department sheet - a row was deleted","")&amp;IF(AND($C67="",COUNTA($S67:$BB67)&gt;0),"; Invoice entered but the department row has no job number","")&amp;IF(E67="CHECK","; Job number not in the Xero job list","")&amp;IF(AND($C67&lt;&gt;"",COUNTIF($C$7:$C$1506,$C67)&gt;1),"; Job number on more than one row","")&amp;IF(AND($C67&lt;&gt;"",H67=""),"; Dept has not set a cost centre","")&amp;IF(AND($C67&lt;&gt;"",J67=""),"; Dept has not set a tax code","")&amp;IF(AND($C67&lt;&gt;"",N67=""),"; Dept has not entered an expected value","")&amp;IF((IF(OR(COUNTA(S67:U67)=0,AND(COUNTA(S67:U67)=3,ISNUMBER(U67))),0,1)+IF(OR(COUNTA(V67:X67)=0,AND(COUNTA(V67:X67)=3,ISNUMBER(X67))),0,1)+IF(OR(COUNTA(Y67:AA67)=0,AND(COUNTA(Y67:AA67)=3,ISNUMBER(AA67))),0,1)+IF(OR(COUNTA(AB67:AD67)=0,AND(COUNTA(AB67:AD67)=3,ISNUMBER(AD67))),0,1)+IF(OR(COUNTA(AE67:AG67)=0,AND(COUNTA(AE67:AG67)=3,ISNUMBER(AG67))),0,1)+IF(OR(COUNTA(AH67:AJ67)=0,AND(COUNTA(AH67:AJ67)=3,ISNUMBER(AJ67))),0,1)+IF(OR(COUNTA(AK67:AM67)=0,AND(COUNTA(AK67:AM67)=3,ISNUMBER(AM67))),0,1)+IF(OR(COUNTA(AN67:AP67)=0,AND(COUNTA(AN67:AP67)=3,ISNUMBER(AP67))),0,1)+IF(OR(COUNTA(AQ67:AS67)=0,AND(COUNTA(AQ67:AS67)=3,ISNUMBER(AS67))),0,1)+IF(OR(COUNTA(AT67:AV67)=0,AND(COUNTA(AT67:AV67)=3,ISNUMBER(AV67))),0,1)+IF(OR(COUNTA(AW67:AY67)=0,AND(COUNTA(AW67:AY67)=3,ISNUMBER(AY67))),0,1)+IF(OR(COUNTA(AZ67:BB67)=0,AND(COUNTA(AZ67:BB67)=3,ISNUMBER(BB67))),0,1))&gt;0,"; An invoice is incomplete (needs No, Date and a number in Ex GST)","")&amp;IF((IF(T67="",0,IFERROR(--(EOMONTH(T67,0)&lt;&gt;S$5),1))+IF(W67="",0,IFERROR(--(EOMONTH(W67,0)&lt;&gt;V$5),1))+IF(Z67="",0,IFERROR(--(EOMONTH(Z67,0)&lt;&gt;Y$5),1))+IF(AC67="",0,IFERROR(--(EOMONTH(AC67,0)&lt;&gt;AB$5),1))+IF(AF67="",0,IFERROR(--(EOMONTH(AF67,0)&lt;&gt;AE$5),1))+IF(AI67="",0,IFERROR(--(EOMONTH(AI67,0)&lt;&gt;AH$5),1))+IF(AL67="",0,IFERROR(--(EOMONTH(AL67,0)&lt;&gt;AK$5),1))+IF(AO67="",0,IFERROR(--(EOMONTH(AO67,0)&lt;&gt;AN$5),1))+IF(AR67="",0,IFERROR(--(EOMONTH(AR67,0)&lt;&gt;AQ$5),1))+IF(AU67="",0,IFERROR(--(EOMONTH(AU67,0)&lt;&gt;AT$5),1))+IF(AX67="",0,IFERROR(--(EOMONTH(AX67,0)&lt;&gt;AW$5),1))+IF(BA67="",0,IFERROR(--(EOMONTH(BA67,0)&lt;&gt;AZ$5),1)))&gt;0,"; An invoice date is not in the month it is typed under",""),3,500))</f>
        <v/>
      </c>
      <c r="S67" s="12" t="n"/>
      <c r="T67" s="13" t="n"/>
      <c r="U67" s="14" t="n"/>
      <c r="V67" s="12" t="n"/>
      <c r="W67" s="13" t="n"/>
      <c r="X67" s="14" t="n"/>
      <c r="Y67" s="12" t="n"/>
      <c r="Z67" s="13" t="n"/>
      <c r="AA67" s="14" t="n"/>
      <c r="AB67" s="12" t="n"/>
      <c r="AC67" s="13" t="n"/>
      <c r="AD67" s="14" t="n"/>
      <c r="AE67" s="12" t="n"/>
      <c r="AF67" s="13" t="n"/>
      <c r="AG67" s="14" t="n"/>
      <c r="AH67" s="12" t="n"/>
      <c r="AI67" s="13" t="n"/>
      <c r="AJ67" s="14" t="n"/>
      <c r="AK67" s="12" t="n"/>
      <c r="AL67" s="13" t="n"/>
      <c r="AM67" s="14" t="n"/>
      <c r="AN67" s="12" t="n"/>
      <c r="AO67" s="13" t="n"/>
      <c r="AP67" s="14" t="n"/>
      <c r="AQ67" s="12" t="n"/>
      <c r="AR67" s="13" t="n"/>
      <c r="AS67" s="14" t="n"/>
      <c r="AT67" s="12" t="n"/>
      <c r="AU67" s="13" t="n"/>
      <c r="AV67" s="14" t="n"/>
      <c r="AW67" s="12" t="n"/>
      <c r="AX67" s="13" t="n"/>
      <c r="AY67" s="14" t="n"/>
      <c r="AZ67" s="12" t="n"/>
      <c r="BA67" s="13" t="n"/>
      <c r="BB67" s="14" t="n"/>
      <c r="BC67" s="11">
        <f>IF(O67="","",IF(J67="GST 10%",ROUND(O67*set_GSTRate,2),0))</f>
        <v/>
      </c>
      <c r="BD67" s="11">
        <f>IF(O67="","",O67+BC67)</f>
        <v/>
      </c>
      <c r="BE67" s="15">
        <f>IF(O67="","",COUNTA(S67,V67,Y67,AB67,AE67,AH67,AK67,AN67,AQ67,AT67,AW67,AZ67))</f>
        <v/>
      </c>
      <c r="BF67" s="16">
        <f>IF(COUNT(T67,W67,Z67,AC67,AF67,AI67,AL67,AO67,AR67,AU67,AX67,BA67)=0,"",MAX(T67,W67,Z67,AC67,AF67,AI67,AL67,AO67,AR67,AU67,AX67,BA67))</f>
        <v/>
      </c>
      <c r="BG67" s="10">
        <f>MID(IF(S67="","",", "&amp;S67)&amp;IF(V67="","",", "&amp;V67)&amp;IF(Y67="","",", "&amp;Y67)&amp;IF(AB67="","",", "&amp;AB67)&amp;IF(AE67="","",", "&amp;AE67)&amp;IF(AH67="","",", "&amp;AH67)&amp;IF(AK67="","",", "&amp;AK67)&amp;IF(AN67="","",", "&amp;AN67)&amp;IF(AQ67="","",", "&amp;AQ67)&amp;IF(AT67="","",", "&amp;AT67)&amp;IF(AW67="","",", "&amp;AW67)&amp;IF(AZ67="","",", "&amp;AZ67),3,500)</f>
        <v/>
      </c>
      <c r="BH67" s="12" t="n"/>
      <c r="BI67" s="15">
        <f>IFERROR(MATCH($A67,IF($B67="Onsite",tbl_Onsite[Row ID],IF($B67="Production",tbl_Production[Row ID],tbl_Consulting[Row ID])),0),"")</f>
        <v/>
      </c>
    </row>
    <row r="68">
      <c r="A68" s="10" t="inlineStr">
        <is>
          <t>ONS-0062</t>
        </is>
      </c>
      <c r="B68" s="10" t="inlineStr">
        <is>
          <t>Onsite</t>
        </is>
      </c>
      <c r="C68" s="10">
        <f>IF($BI68="","",IF($B68="Onsite",INDEX(tbl_Onsite[Job Number],$BI68),IF($B68="Production",INDEX(tbl_Production[Job Number],$BI68),INDEX(tbl_Consulting[Job Number],$BI68)))&amp;"")</f>
        <v/>
      </c>
      <c r="D68" s="10">
        <f>IF($BI68="","",IF($B68="Onsite",INDEX(tbl_Onsite[Client],$BI68),IF($B68="Production",INDEX(tbl_Production[Client],$BI68),INDEX(tbl_Consulting[Client],$BI68)))&amp;"")</f>
        <v/>
      </c>
      <c r="E68" s="10">
        <f>IF($C68="","",IF(COUNTIF(lst_Jobs,$C68)&gt;0,"OK","CHECK"))</f>
        <v/>
      </c>
      <c r="F68" s="10">
        <f>IF($C68="","",IFERROR(INDEX(lst_JobName,MATCH($C68,lst_Jobs,0)),""))</f>
        <v/>
      </c>
      <c r="G68" s="10">
        <f>IF($BI68="","",IF($B68="Onsite",INDEX(tbl_Onsite[Job Description],$BI68),IF($B68="Production",INDEX(tbl_Production[Job Description],$BI68),INDEX(tbl_Consulting[Job Description],$BI68)))&amp;"")</f>
        <v/>
      </c>
      <c r="H68" s="10">
        <f>IF($BI68="","",IF($B68="Onsite",INDEX(tbl_Onsite[Cost Centre],$BI68),IF($B68="Production",INDEX(tbl_Production[Cost Centre],$BI68),INDEX(tbl_Consulting[Cost Centre],$BI68)))&amp;"")</f>
        <v/>
      </c>
      <c r="I68" s="10">
        <f>IF($BI68="","",IF($B68="Onsite",INDEX(tbl_Onsite[Invoice Type],$BI68),IF($B68="Production",INDEX(tbl_Production[Invoice Type],$BI68),INDEX(tbl_Consulting[Invoice Type],$BI68)))&amp;"")</f>
        <v/>
      </c>
      <c r="J68" s="10">
        <f>IF($BI68="","",IF($B68="Onsite",INDEX(tbl_Onsite[Tax Code],$BI68),IF($B68="Production",INDEX(tbl_Production[Tax Code],$BI68),INDEX(tbl_Consulting[Tax Code],$BI68)))&amp;"")</f>
        <v/>
      </c>
      <c r="K68" s="10">
        <f>IF(H68="","",IFERROR(INDEX(lst_CCtoGL,MATCH(H68,lst_CCforGL,0)),""))</f>
        <v/>
      </c>
      <c r="L68" s="10">
        <f>IF($BI68="","",IF($B68="Onsite",INDEX(tbl_Onsite[PO / Reference],$BI68),IF($B68="Production",INDEX(tbl_Production[Current RMS No],$BI68),INDEX(tbl_Consulting[Qwilr Quote],$BI68)))&amp;"")</f>
        <v/>
      </c>
      <c r="M68" s="10">
        <f>IF($BI68="","",IF($B68="Onsite",INDEX(tbl_Onsite[Notes],$BI68),IF($B68="Production",INDEX(tbl_Production[Notes],$BI68),INDEX(tbl_Consulting[Notes],$BI68)))&amp;"")</f>
        <v/>
      </c>
      <c r="N68" s="11">
        <f>IF($BI68="","",IF(IF($B68="Onsite",INDEX(tbl_Onsite[Expected Revenue Ex GST],$BI68),IF($B68="Production",INDEX(tbl_Production[Expected Revenue Ex GST],$BI68),INDEX(tbl_Consulting[Expected Revenue Ex GST],$BI68)))="","",IF($B68="Onsite",INDEX(tbl_Onsite[Expected Revenue Ex GST],$BI68),IF($B68="Production",INDEX(tbl_Production[Expected Revenue Ex GST],$BI68),INDEX(tbl_Consulting[Expected Revenue Ex GST],$BI68)))))</f>
        <v/>
      </c>
      <c r="O68" s="11">
        <f>IF(AND($C68="",NOT(COUNTA($S68:$BB68)&gt;0)),"",SUM(U68,X68,AA68,AD68,AG68,AJ68,AM68,AP68,AS68,AV68,AY68,BB68))</f>
        <v/>
      </c>
      <c r="P68" s="11">
        <f>IF(O68="","",N(N68)-O68)</f>
        <v/>
      </c>
      <c r="Q68" s="10">
        <f>IF(O68="","",IF($C68="","Invoice on empty job row",IF(N68="",IF(ROUND(O68,2)=0,"No dept value","Invoiced - no dept value"),IF(ROUND(O68,2)=0,"Not invoiced - to invoice",IF(ROUND(P68,2)=0,"Agrees",IF(P68&gt;0,"Dept higher - to invoice","Xero higher - check dept"))))))</f>
        <v/>
      </c>
      <c r="R68" s="10">
        <f>IF(AND($C68="",NOT(COUNTA($S68:$BB68)&gt;0),$BI68&lt;&gt;""),"",MID(IF($BI68="","; Row ID not found on the department sheet - a row was deleted","")&amp;IF(AND($C68="",COUNTA($S68:$BB68)&gt;0),"; Invoice entered but the department row has no job number","")&amp;IF(E68="CHECK","; Job number not in the Xero job list","")&amp;IF(AND($C68&lt;&gt;"",COUNTIF($C$7:$C$1506,$C68)&gt;1),"; Job number on more than one row","")&amp;IF(AND($C68&lt;&gt;"",H68=""),"; Dept has not set a cost centre","")&amp;IF(AND($C68&lt;&gt;"",J68=""),"; Dept has not set a tax code","")&amp;IF(AND($C68&lt;&gt;"",N68=""),"; Dept has not entered an expected value","")&amp;IF((IF(OR(COUNTA(S68:U68)=0,AND(COUNTA(S68:U68)=3,ISNUMBER(U68))),0,1)+IF(OR(COUNTA(V68:X68)=0,AND(COUNTA(V68:X68)=3,ISNUMBER(X68))),0,1)+IF(OR(COUNTA(Y68:AA68)=0,AND(COUNTA(Y68:AA68)=3,ISNUMBER(AA68))),0,1)+IF(OR(COUNTA(AB68:AD68)=0,AND(COUNTA(AB68:AD68)=3,ISNUMBER(AD68))),0,1)+IF(OR(COUNTA(AE68:AG68)=0,AND(COUNTA(AE68:AG68)=3,ISNUMBER(AG68))),0,1)+IF(OR(COUNTA(AH68:AJ68)=0,AND(COUNTA(AH68:AJ68)=3,ISNUMBER(AJ68))),0,1)+IF(OR(COUNTA(AK68:AM68)=0,AND(COUNTA(AK68:AM68)=3,ISNUMBER(AM68))),0,1)+IF(OR(COUNTA(AN68:AP68)=0,AND(COUNTA(AN68:AP68)=3,ISNUMBER(AP68))),0,1)+IF(OR(COUNTA(AQ68:AS68)=0,AND(COUNTA(AQ68:AS68)=3,ISNUMBER(AS68))),0,1)+IF(OR(COUNTA(AT68:AV68)=0,AND(COUNTA(AT68:AV68)=3,ISNUMBER(AV68))),0,1)+IF(OR(COUNTA(AW68:AY68)=0,AND(COUNTA(AW68:AY68)=3,ISNUMBER(AY68))),0,1)+IF(OR(COUNTA(AZ68:BB68)=0,AND(COUNTA(AZ68:BB68)=3,ISNUMBER(BB68))),0,1))&gt;0,"; An invoice is incomplete (needs No, Date and a number in Ex GST)","")&amp;IF((IF(T68="",0,IFERROR(--(EOMONTH(T68,0)&lt;&gt;S$5),1))+IF(W68="",0,IFERROR(--(EOMONTH(W68,0)&lt;&gt;V$5),1))+IF(Z68="",0,IFERROR(--(EOMONTH(Z68,0)&lt;&gt;Y$5),1))+IF(AC68="",0,IFERROR(--(EOMONTH(AC68,0)&lt;&gt;AB$5),1))+IF(AF68="",0,IFERROR(--(EOMONTH(AF68,0)&lt;&gt;AE$5),1))+IF(AI68="",0,IFERROR(--(EOMONTH(AI68,0)&lt;&gt;AH$5),1))+IF(AL68="",0,IFERROR(--(EOMONTH(AL68,0)&lt;&gt;AK$5),1))+IF(AO68="",0,IFERROR(--(EOMONTH(AO68,0)&lt;&gt;AN$5),1))+IF(AR68="",0,IFERROR(--(EOMONTH(AR68,0)&lt;&gt;AQ$5),1))+IF(AU68="",0,IFERROR(--(EOMONTH(AU68,0)&lt;&gt;AT$5),1))+IF(AX68="",0,IFERROR(--(EOMONTH(AX68,0)&lt;&gt;AW$5),1))+IF(BA68="",0,IFERROR(--(EOMONTH(BA68,0)&lt;&gt;AZ$5),1)))&gt;0,"; An invoice date is not in the month it is typed under",""),3,500))</f>
        <v/>
      </c>
      <c r="S68" s="12" t="n"/>
      <c r="T68" s="13" t="n"/>
      <c r="U68" s="14" t="n"/>
      <c r="V68" s="12" t="n"/>
      <c r="W68" s="13" t="n"/>
      <c r="X68" s="14" t="n"/>
      <c r="Y68" s="12" t="n"/>
      <c r="Z68" s="13" t="n"/>
      <c r="AA68" s="14" t="n"/>
      <c r="AB68" s="12" t="n"/>
      <c r="AC68" s="13" t="n"/>
      <c r="AD68" s="14" t="n"/>
      <c r="AE68" s="12" t="n"/>
      <c r="AF68" s="13" t="n"/>
      <c r="AG68" s="14" t="n"/>
      <c r="AH68" s="12" t="n"/>
      <c r="AI68" s="13" t="n"/>
      <c r="AJ68" s="14" t="n"/>
      <c r="AK68" s="12" t="n"/>
      <c r="AL68" s="13" t="n"/>
      <c r="AM68" s="14" t="n"/>
      <c r="AN68" s="12" t="n"/>
      <c r="AO68" s="13" t="n"/>
      <c r="AP68" s="14" t="n"/>
      <c r="AQ68" s="12" t="n"/>
      <c r="AR68" s="13" t="n"/>
      <c r="AS68" s="14" t="n"/>
      <c r="AT68" s="12" t="n"/>
      <c r="AU68" s="13" t="n"/>
      <c r="AV68" s="14" t="n"/>
      <c r="AW68" s="12" t="n"/>
      <c r="AX68" s="13" t="n"/>
      <c r="AY68" s="14" t="n"/>
      <c r="AZ68" s="12" t="n"/>
      <c r="BA68" s="13" t="n"/>
      <c r="BB68" s="14" t="n"/>
      <c r="BC68" s="11">
        <f>IF(O68="","",IF(J68="GST 10%",ROUND(O68*set_GSTRate,2),0))</f>
        <v/>
      </c>
      <c r="BD68" s="11">
        <f>IF(O68="","",O68+BC68)</f>
        <v/>
      </c>
      <c r="BE68" s="15">
        <f>IF(O68="","",COUNTA(S68,V68,Y68,AB68,AE68,AH68,AK68,AN68,AQ68,AT68,AW68,AZ68))</f>
        <v/>
      </c>
      <c r="BF68" s="16">
        <f>IF(COUNT(T68,W68,Z68,AC68,AF68,AI68,AL68,AO68,AR68,AU68,AX68,BA68)=0,"",MAX(T68,W68,Z68,AC68,AF68,AI68,AL68,AO68,AR68,AU68,AX68,BA68))</f>
        <v/>
      </c>
      <c r="BG68" s="10">
        <f>MID(IF(S68="","",", "&amp;S68)&amp;IF(V68="","",", "&amp;V68)&amp;IF(Y68="","",", "&amp;Y68)&amp;IF(AB68="","",", "&amp;AB68)&amp;IF(AE68="","",", "&amp;AE68)&amp;IF(AH68="","",", "&amp;AH68)&amp;IF(AK68="","",", "&amp;AK68)&amp;IF(AN68="","",", "&amp;AN68)&amp;IF(AQ68="","",", "&amp;AQ68)&amp;IF(AT68="","",", "&amp;AT68)&amp;IF(AW68="","",", "&amp;AW68)&amp;IF(AZ68="","",", "&amp;AZ68),3,500)</f>
        <v/>
      </c>
      <c r="BH68" s="12" t="n"/>
      <c r="BI68" s="15">
        <f>IFERROR(MATCH($A68,IF($B68="Onsite",tbl_Onsite[Row ID],IF($B68="Production",tbl_Production[Row ID],tbl_Consulting[Row ID])),0),"")</f>
        <v/>
      </c>
    </row>
    <row r="69">
      <c r="A69" s="10" t="inlineStr">
        <is>
          <t>ONS-0063</t>
        </is>
      </c>
      <c r="B69" s="10" t="inlineStr">
        <is>
          <t>Onsite</t>
        </is>
      </c>
      <c r="C69" s="10">
        <f>IF($BI69="","",IF($B69="Onsite",INDEX(tbl_Onsite[Job Number],$BI69),IF($B69="Production",INDEX(tbl_Production[Job Number],$BI69),INDEX(tbl_Consulting[Job Number],$BI69)))&amp;"")</f>
        <v/>
      </c>
      <c r="D69" s="10">
        <f>IF($BI69="","",IF($B69="Onsite",INDEX(tbl_Onsite[Client],$BI69),IF($B69="Production",INDEX(tbl_Production[Client],$BI69),INDEX(tbl_Consulting[Client],$BI69)))&amp;"")</f>
        <v/>
      </c>
      <c r="E69" s="10">
        <f>IF($C69="","",IF(COUNTIF(lst_Jobs,$C69)&gt;0,"OK","CHECK"))</f>
        <v/>
      </c>
      <c r="F69" s="10">
        <f>IF($C69="","",IFERROR(INDEX(lst_JobName,MATCH($C69,lst_Jobs,0)),""))</f>
        <v/>
      </c>
      <c r="G69" s="10">
        <f>IF($BI69="","",IF($B69="Onsite",INDEX(tbl_Onsite[Job Description],$BI69),IF($B69="Production",INDEX(tbl_Production[Job Description],$BI69),INDEX(tbl_Consulting[Job Description],$BI69)))&amp;"")</f>
        <v/>
      </c>
      <c r="H69" s="10">
        <f>IF($BI69="","",IF($B69="Onsite",INDEX(tbl_Onsite[Cost Centre],$BI69),IF($B69="Production",INDEX(tbl_Production[Cost Centre],$BI69),INDEX(tbl_Consulting[Cost Centre],$BI69)))&amp;"")</f>
        <v/>
      </c>
      <c r="I69" s="10">
        <f>IF($BI69="","",IF($B69="Onsite",INDEX(tbl_Onsite[Invoice Type],$BI69),IF($B69="Production",INDEX(tbl_Production[Invoice Type],$BI69),INDEX(tbl_Consulting[Invoice Type],$BI69)))&amp;"")</f>
        <v/>
      </c>
      <c r="J69" s="10">
        <f>IF($BI69="","",IF($B69="Onsite",INDEX(tbl_Onsite[Tax Code],$BI69),IF($B69="Production",INDEX(tbl_Production[Tax Code],$BI69),INDEX(tbl_Consulting[Tax Code],$BI69)))&amp;"")</f>
        <v/>
      </c>
      <c r="K69" s="10">
        <f>IF(H69="","",IFERROR(INDEX(lst_CCtoGL,MATCH(H69,lst_CCforGL,0)),""))</f>
        <v/>
      </c>
      <c r="L69" s="10">
        <f>IF($BI69="","",IF($B69="Onsite",INDEX(tbl_Onsite[PO / Reference],$BI69),IF($B69="Production",INDEX(tbl_Production[Current RMS No],$BI69),INDEX(tbl_Consulting[Qwilr Quote],$BI69)))&amp;"")</f>
        <v/>
      </c>
      <c r="M69" s="10">
        <f>IF($BI69="","",IF($B69="Onsite",INDEX(tbl_Onsite[Notes],$BI69),IF($B69="Production",INDEX(tbl_Production[Notes],$BI69),INDEX(tbl_Consulting[Notes],$BI69)))&amp;"")</f>
        <v/>
      </c>
      <c r="N69" s="11">
        <f>IF($BI69="","",IF(IF($B69="Onsite",INDEX(tbl_Onsite[Expected Revenue Ex GST],$BI69),IF($B69="Production",INDEX(tbl_Production[Expected Revenue Ex GST],$BI69),INDEX(tbl_Consulting[Expected Revenue Ex GST],$BI69)))="","",IF($B69="Onsite",INDEX(tbl_Onsite[Expected Revenue Ex GST],$BI69),IF($B69="Production",INDEX(tbl_Production[Expected Revenue Ex GST],$BI69),INDEX(tbl_Consulting[Expected Revenue Ex GST],$BI69)))))</f>
        <v/>
      </c>
      <c r="O69" s="11">
        <f>IF(AND($C69="",NOT(COUNTA($S69:$BB69)&gt;0)),"",SUM(U69,X69,AA69,AD69,AG69,AJ69,AM69,AP69,AS69,AV69,AY69,BB69))</f>
        <v/>
      </c>
      <c r="P69" s="11">
        <f>IF(O69="","",N(N69)-O69)</f>
        <v/>
      </c>
      <c r="Q69" s="10">
        <f>IF(O69="","",IF($C69="","Invoice on empty job row",IF(N69="",IF(ROUND(O69,2)=0,"No dept value","Invoiced - no dept value"),IF(ROUND(O69,2)=0,"Not invoiced - to invoice",IF(ROUND(P69,2)=0,"Agrees",IF(P69&gt;0,"Dept higher - to invoice","Xero higher - check dept"))))))</f>
        <v/>
      </c>
      <c r="R69" s="10">
        <f>IF(AND($C69="",NOT(COUNTA($S69:$BB69)&gt;0),$BI69&lt;&gt;""),"",MID(IF($BI69="","; Row ID not found on the department sheet - a row was deleted","")&amp;IF(AND($C69="",COUNTA($S69:$BB69)&gt;0),"; Invoice entered but the department row has no job number","")&amp;IF(E69="CHECK","; Job number not in the Xero job list","")&amp;IF(AND($C69&lt;&gt;"",COUNTIF($C$7:$C$1506,$C69)&gt;1),"; Job number on more than one row","")&amp;IF(AND($C69&lt;&gt;"",H69=""),"; Dept has not set a cost centre","")&amp;IF(AND($C69&lt;&gt;"",J69=""),"; Dept has not set a tax code","")&amp;IF(AND($C69&lt;&gt;"",N69=""),"; Dept has not entered an expected value","")&amp;IF((IF(OR(COUNTA(S69:U69)=0,AND(COUNTA(S69:U69)=3,ISNUMBER(U69))),0,1)+IF(OR(COUNTA(V69:X69)=0,AND(COUNTA(V69:X69)=3,ISNUMBER(X69))),0,1)+IF(OR(COUNTA(Y69:AA69)=0,AND(COUNTA(Y69:AA69)=3,ISNUMBER(AA69))),0,1)+IF(OR(COUNTA(AB69:AD69)=0,AND(COUNTA(AB69:AD69)=3,ISNUMBER(AD69))),0,1)+IF(OR(COUNTA(AE69:AG69)=0,AND(COUNTA(AE69:AG69)=3,ISNUMBER(AG69))),0,1)+IF(OR(COUNTA(AH69:AJ69)=0,AND(COUNTA(AH69:AJ69)=3,ISNUMBER(AJ69))),0,1)+IF(OR(COUNTA(AK69:AM69)=0,AND(COUNTA(AK69:AM69)=3,ISNUMBER(AM69))),0,1)+IF(OR(COUNTA(AN69:AP69)=0,AND(COUNTA(AN69:AP69)=3,ISNUMBER(AP69))),0,1)+IF(OR(COUNTA(AQ69:AS69)=0,AND(COUNTA(AQ69:AS69)=3,ISNUMBER(AS69))),0,1)+IF(OR(COUNTA(AT69:AV69)=0,AND(COUNTA(AT69:AV69)=3,ISNUMBER(AV69))),0,1)+IF(OR(COUNTA(AW69:AY69)=0,AND(COUNTA(AW69:AY69)=3,ISNUMBER(AY69))),0,1)+IF(OR(COUNTA(AZ69:BB69)=0,AND(COUNTA(AZ69:BB69)=3,ISNUMBER(BB69))),0,1))&gt;0,"; An invoice is incomplete (needs No, Date and a number in Ex GST)","")&amp;IF((IF(T69="",0,IFERROR(--(EOMONTH(T69,0)&lt;&gt;S$5),1))+IF(W69="",0,IFERROR(--(EOMONTH(W69,0)&lt;&gt;V$5),1))+IF(Z69="",0,IFERROR(--(EOMONTH(Z69,0)&lt;&gt;Y$5),1))+IF(AC69="",0,IFERROR(--(EOMONTH(AC69,0)&lt;&gt;AB$5),1))+IF(AF69="",0,IFERROR(--(EOMONTH(AF69,0)&lt;&gt;AE$5),1))+IF(AI69="",0,IFERROR(--(EOMONTH(AI69,0)&lt;&gt;AH$5),1))+IF(AL69="",0,IFERROR(--(EOMONTH(AL69,0)&lt;&gt;AK$5),1))+IF(AO69="",0,IFERROR(--(EOMONTH(AO69,0)&lt;&gt;AN$5),1))+IF(AR69="",0,IFERROR(--(EOMONTH(AR69,0)&lt;&gt;AQ$5),1))+IF(AU69="",0,IFERROR(--(EOMONTH(AU69,0)&lt;&gt;AT$5),1))+IF(AX69="",0,IFERROR(--(EOMONTH(AX69,0)&lt;&gt;AW$5),1))+IF(BA69="",0,IFERROR(--(EOMONTH(BA69,0)&lt;&gt;AZ$5),1)))&gt;0,"; An invoice date is not in the month it is typed under",""),3,500))</f>
        <v/>
      </c>
      <c r="S69" s="12" t="n"/>
      <c r="T69" s="13" t="n"/>
      <c r="U69" s="14" t="n"/>
      <c r="V69" s="12" t="n"/>
      <c r="W69" s="13" t="n"/>
      <c r="X69" s="14" t="n"/>
      <c r="Y69" s="12" t="n"/>
      <c r="Z69" s="13" t="n"/>
      <c r="AA69" s="14" t="n"/>
      <c r="AB69" s="12" t="n"/>
      <c r="AC69" s="13" t="n"/>
      <c r="AD69" s="14" t="n"/>
      <c r="AE69" s="12" t="n"/>
      <c r="AF69" s="13" t="n"/>
      <c r="AG69" s="14" t="n"/>
      <c r="AH69" s="12" t="n"/>
      <c r="AI69" s="13" t="n"/>
      <c r="AJ69" s="14" t="n"/>
      <c r="AK69" s="12" t="n"/>
      <c r="AL69" s="13" t="n"/>
      <c r="AM69" s="14" t="n"/>
      <c r="AN69" s="12" t="n"/>
      <c r="AO69" s="13" t="n"/>
      <c r="AP69" s="14" t="n"/>
      <c r="AQ69" s="12" t="n"/>
      <c r="AR69" s="13" t="n"/>
      <c r="AS69" s="14" t="n"/>
      <c r="AT69" s="12" t="n"/>
      <c r="AU69" s="13" t="n"/>
      <c r="AV69" s="14" t="n"/>
      <c r="AW69" s="12" t="n"/>
      <c r="AX69" s="13" t="n"/>
      <c r="AY69" s="14" t="n"/>
      <c r="AZ69" s="12" t="n"/>
      <c r="BA69" s="13" t="n"/>
      <c r="BB69" s="14" t="n"/>
      <c r="BC69" s="11">
        <f>IF(O69="","",IF(J69="GST 10%",ROUND(O69*set_GSTRate,2),0))</f>
        <v/>
      </c>
      <c r="BD69" s="11">
        <f>IF(O69="","",O69+BC69)</f>
        <v/>
      </c>
      <c r="BE69" s="15">
        <f>IF(O69="","",COUNTA(S69,V69,Y69,AB69,AE69,AH69,AK69,AN69,AQ69,AT69,AW69,AZ69))</f>
        <v/>
      </c>
      <c r="BF69" s="16">
        <f>IF(COUNT(T69,W69,Z69,AC69,AF69,AI69,AL69,AO69,AR69,AU69,AX69,BA69)=0,"",MAX(T69,W69,Z69,AC69,AF69,AI69,AL69,AO69,AR69,AU69,AX69,BA69))</f>
        <v/>
      </c>
      <c r="BG69" s="10">
        <f>MID(IF(S69="","",", "&amp;S69)&amp;IF(V69="","",", "&amp;V69)&amp;IF(Y69="","",", "&amp;Y69)&amp;IF(AB69="","",", "&amp;AB69)&amp;IF(AE69="","",", "&amp;AE69)&amp;IF(AH69="","",", "&amp;AH69)&amp;IF(AK69="","",", "&amp;AK69)&amp;IF(AN69="","",", "&amp;AN69)&amp;IF(AQ69="","",", "&amp;AQ69)&amp;IF(AT69="","",", "&amp;AT69)&amp;IF(AW69="","",", "&amp;AW69)&amp;IF(AZ69="","",", "&amp;AZ69),3,500)</f>
        <v/>
      </c>
      <c r="BH69" s="12" t="n"/>
      <c r="BI69" s="15">
        <f>IFERROR(MATCH($A69,IF($B69="Onsite",tbl_Onsite[Row ID],IF($B69="Production",tbl_Production[Row ID],tbl_Consulting[Row ID])),0),"")</f>
        <v/>
      </c>
    </row>
    <row r="70">
      <c r="A70" s="10" t="inlineStr">
        <is>
          <t>ONS-0064</t>
        </is>
      </c>
      <c r="B70" s="10" t="inlineStr">
        <is>
          <t>Onsite</t>
        </is>
      </c>
      <c r="C70" s="10">
        <f>IF($BI70="","",IF($B70="Onsite",INDEX(tbl_Onsite[Job Number],$BI70),IF($B70="Production",INDEX(tbl_Production[Job Number],$BI70),INDEX(tbl_Consulting[Job Number],$BI70)))&amp;"")</f>
        <v/>
      </c>
      <c r="D70" s="10">
        <f>IF($BI70="","",IF($B70="Onsite",INDEX(tbl_Onsite[Client],$BI70),IF($B70="Production",INDEX(tbl_Production[Client],$BI70),INDEX(tbl_Consulting[Client],$BI70)))&amp;"")</f>
        <v/>
      </c>
      <c r="E70" s="10">
        <f>IF($C70="","",IF(COUNTIF(lst_Jobs,$C70)&gt;0,"OK","CHECK"))</f>
        <v/>
      </c>
      <c r="F70" s="10">
        <f>IF($C70="","",IFERROR(INDEX(lst_JobName,MATCH($C70,lst_Jobs,0)),""))</f>
        <v/>
      </c>
      <c r="G70" s="10">
        <f>IF($BI70="","",IF($B70="Onsite",INDEX(tbl_Onsite[Job Description],$BI70),IF($B70="Production",INDEX(tbl_Production[Job Description],$BI70),INDEX(tbl_Consulting[Job Description],$BI70)))&amp;"")</f>
        <v/>
      </c>
      <c r="H70" s="10">
        <f>IF($BI70="","",IF($B70="Onsite",INDEX(tbl_Onsite[Cost Centre],$BI70),IF($B70="Production",INDEX(tbl_Production[Cost Centre],$BI70),INDEX(tbl_Consulting[Cost Centre],$BI70)))&amp;"")</f>
        <v/>
      </c>
      <c r="I70" s="10">
        <f>IF($BI70="","",IF($B70="Onsite",INDEX(tbl_Onsite[Invoice Type],$BI70),IF($B70="Production",INDEX(tbl_Production[Invoice Type],$BI70),INDEX(tbl_Consulting[Invoice Type],$BI70)))&amp;"")</f>
        <v/>
      </c>
      <c r="J70" s="10">
        <f>IF($BI70="","",IF($B70="Onsite",INDEX(tbl_Onsite[Tax Code],$BI70),IF($B70="Production",INDEX(tbl_Production[Tax Code],$BI70),INDEX(tbl_Consulting[Tax Code],$BI70)))&amp;"")</f>
        <v/>
      </c>
      <c r="K70" s="10">
        <f>IF(H70="","",IFERROR(INDEX(lst_CCtoGL,MATCH(H70,lst_CCforGL,0)),""))</f>
        <v/>
      </c>
      <c r="L70" s="10">
        <f>IF($BI70="","",IF($B70="Onsite",INDEX(tbl_Onsite[PO / Reference],$BI70),IF($B70="Production",INDEX(tbl_Production[Current RMS No],$BI70),INDEX(tbl_Consulting[Qwilr Quote],$BI70)))&amp;"")</f>
        <v/>
      </c>
      <c r="M70" s="10">
        <f>IF($BI70="","",IF($B70="Onsite",INDEX(tbl_Onsite[Notes],$BI70),IF($B70="Production",INDEX(tbl_Production[Notes],$BI70),INDEX(tbl_Consulting[Notes],$BI70)))&amp;"")</f>
        <v/>
      </c>
      <c r="N70" s="11">
        <f>IF($BI70="","",IF(IF($B70="Onsite",INDEX(tbl_Onsite[Expected Revenue Ex GST],$BI70),IF($B70="Production",INDEX(tbl_Production[Expected Revenue Ex GST],$BI70),INDEX(tbl_Consulting[Expected Revenue Ex GST],$BI70)))="","",IF($B70="Onsite",INDEX(tbl_Onsite[Expected Revenue Ex GST],$BI70),IF($B70="Production",INDEX(tbl_Production[Expected Revenue Ex GST],$BI70),INDEX(tbl_Consulting[Expected Revenue Ex GST],$BI70)))))</f>
        <v/>
      </c>
      <c r="O70" s="11">
        <f>IF(AND($C70="",NOT(COUNTA($S70:$BB70)&gt;0)),"",SUM(U70,X70,AA70,AD70,AG70,AJ70,AM70,AP70,AS70,AV70,AY70,BB70))</f>
        <v/>
      </c>
      <c r="P70" s="11">
        <f>IF(O70="","",N(N70)-O70)</f>
        <v/>
      </c>
      <c r="Q70" s="10">
        <f>IF(O70="","",IF($C70="","Invoice on empty job row",IF(N70="",IF(ROUND(O70,2)=0,"No dept value","Invoiced - no dept value"),IF(ROUND(O70,2)=0,"Not invoiced - to invoice",IF(ROUND(P70,2)=0,"Agrees",IF(P70&gt;0,"Dept higher - to invoice","Xero higher - check dept"))))))</f>
        <v/>
      </c>
      <c r="R70" s="10">
        <f>IF(AND($C70="",NOT(COUNTA($S70:$BB70)&gt;0),$BI70&lt;&gt;""),"",MID(IF($BI70="","; Row ID not found on the department sheet - a row was deleted","")&amp;IF(AND($C70="",COUNTA($S70:$BB70)&gt;0),"; Invoice entered but the department row has no job number","")&amp;IF(E70="CHECK","; Job number not in the Xero job list","")&amp;IF(AND($C70&lt;&gt;"",COUNTIF($C$7:$C$1506,$C70)&gt;1),"; Job number on more than one row","")&amp;IF(AND($C70&lt;&gt;"",H70=""),"; Dept has not set a cost centre","")&amp;IF(AND($C70&lt;&gt;"",J70=""),"; Dept has not set a tax code","")&amp;IF(AND($C70&lt;&gt;"",N70=""),"; Dept has not entered an expected value","")&amp;IF((IF(OR(COUNTA(S70:U70)=0,AND(COUNTA(S70:U70)=3,ISNUMBER(U70))),0,1)+IF(OR(COUNTA(V70:X70)=0,AND(COUNTA(V70:X70)=3,ISNUMBER(X70))),0,1)+IF(OR(COUNTA(Y70:AA70)=0,AND(COUNTA(Y70:AA70)=3,ISNUMBER(AA70))),0,1)+IF(OR(COUNTA(AB70:AD70)=0,AND(COUNTA(AB70:AD70)=3,ISNUMBER(AD70))),0,1)+IF(OR(COUNTA(AE70:AG70)=0,AND(COUNTA(AE70:AG70)=3,ISNUMBER(AG70))),0,1)+IF(OR(COUNTA(AH70:AJ70)=0,AND(COUNTA(AH70:AJ70)=3,ISNUMBER(AJ70))),0,1)+IF(OR(COUNTA(AK70:AM70)=0,AND(COUNTA(AK70:AM70)=3,ISNUMBER(AM70))),0,1)+IF(OR(COUNTA(AN70:AP70)=0,AND(COUNTA(AN70:AP70)=3,ISNUMBER(AP70))),0,1)+IF(OR(COUNTA(AQ70:AS70)=0,AND(COUNTA(AQ70:AS70)=3,ISNUMBER(AS70))),0,1)+IF(OR(COUNTA(AT70:AV70)=0,AND(COUNTA(AT70:AV70)=3,ISNUMBER(AV70))),0,1)+IF(OR(COUNTA(AW70:AY70)=0,AND(COUNTA(AW70:AY70)=3,ISNUMBER(AY70))),0,1)+IF(OR(COUNTA(AZ70:BB70)=0,AND(COUNTA(AZ70:BB70)=3,ISNUMBER(BB70))),0,1))&gt;0,"; An invoice is incomplete (needs No, Date and a number in Ex GST)","")&amp;IF((IF(T70="",0,IFERROR(--(EOMONTH(T70,0)&lt;&gt;S$5),1))+IF(W70="",0,IFERROR(--(EOMONTH(W70,0)&lt;&gt;V$5),1))+IF(Z70="",0,IFERROR(--(EOMONTH(Z70,0)&lt;&gt;Y$5),1))+IF(AC70="",0,IFERROR(--(EOMONTH(AC70,0)&lt;&gt;AB$5),1))+IF(AF70="",0,IFERROR(--(EOMONTH(AF70,0)&lt;&gt;AE$5),1))+IF(AI70="",0,IFERROR(--(EOMONTH(AI70,0)&lt;&gt;AH$5),1))+IF(AL70="",0,IFERROR(--(EOMONTH(AL70,0)&lt;&gt;AK$5),1))+IF(AO70="",0,IFERROR(--(EOMONTH(AO70,0)&lt;&gt;AN$5),1))+IF(AR70="",0,IFERROR(--(EOMONTH(AR70,0)&lt;&gt;AQ$5),1))+IF(AU70="",0,IFERROR(--(EOMONTH(AU70,0)&lt;&gt;AT$5),1))+IF(AX70="",0,IFERROR(--(EOMONTH(AX70,0)&lt;&gt;AW$5),1))+IF(BA70="",0,IFERROR(--(EOMONTH(BA70,0)&lt;&gt;AZ$5),1)))&gt;0,"; An invoice date is not in the month it is typed under",""),3,500))</f>
        <v/>
      </c>
      <c r="S70" s="12" t="n"/>
      <c r="T70" s="13" t="n"/>
      <c r="U70" s="14" t="n"/>
      <c r="V70" s="12" t="n"/>
      <c r="W70" s="13" t="n"/>
      <c r="X70" s="14" t="n"/>
      <c r="Y70" s="12" t="n"/>
      <c r="Z70" s="13" t="n"/>
      <c r="AA70" s="14" t="n"/>
      <c r="AB70" s="12" t="n"/>
      <c r="AC70" s="13" t="n"/>
      <c r="AD70" s="14" t="n"/>
      <c r="AE70" s="12" t="n"/>
      <c r="AF70" s="13" t="n"/>
      <c r="AG70" s="14" t="n"/>
      <c r="AH70" s="12" t="n"/>
      <c r="AI70" s="13" t="n"/>
      <c r="AJ70" s="14" t="n"/>
      <c r="AK70" s="12" t="n"/>
      <c r="AL70" s="13" t="n"/>
      <c r="AM70" s="14" t="n"/>
      <c r="AN70" s="12" t="n"/>
      <c r="AO70" s="13" t="n"/>
      <c r="AP70" s="14" t="n"/>
      <c r="AQ70" s="12" t="n"/>
      <c r="AR70" s="13" t="n"/>
      <c r="AS70" s="14" t="n"/>
      <c r="AT70" s="12" t="n"/>
      <c r="AU70" s="13" t="n"/>
      <c r="AV70" s="14" t="n"/>
      <c r="AW70" s="12" t="n"/>
      <c r="AX70" s="13" t="n"/>
      <c r="AY70" s="14" t="n"/>
      <c r="AZ70" s="12" t="n"/>
      <c r="BA70" s="13" t="n"/>
      <c r="BB70" s="14" t="n"/>
      <c r="BC70" s="11">
        <f>IF(O70="","",IF(J70="GST 10%",ROUND(O70*set_GSTRate,2),0))</f>
        <v/>
      </c>
      <c r="BD70" s="11">
        <f>IF(O70="","",O70+BC70)</f>
        <v/>
      </c>
      <c r="BE70" s="15">
        <f>IF(O70="","",COUNTA(S70,V70,Y70,AB70,AE70,AH70,AK70,AN70,AQ70,AT70,AW70,AZ70))</f>
        <v/>
      </c>
      <c r="BF70" s="16">
        <f>IF(COUNT(T70,W70,Z70,AC70,AF70,AI70,AL70,AO70,AR70,AU70,AX70,BA70)=0,"",MAX(T70,W70,Z70,AC70,AF70,AI70,AL70,AO70,AR70,AU70,AX70,BA70))</f>
        <v/>
      </c>
      <c r="BG70" s="10">
        <f>MID(IF(S70="","",", "&amp;S70)&amp;IF(V70="","",", "&amp;V70)&amp;IF(Y70="","",", "&amp;Y70)&amp;IF(AB70="","",", "&amp;AB70)&amp;IF(AE70="","",", "&amp;AE70)&amp;IF(AH70="","",", "&amp;AH70)&amp;IF(AK70="","",", "&amp;AK70)&amp;IF(AN70="","",", "&amp;AN70)&amp;IF(AQ70="","",", "&amp;AQ70)&amp;IF(AT70="","",", "&amp;AT70)&amp;IF(AW70="","",", "&amp;AW70)&amp;IF(AZ70="","",", "&amp;AZ70),3,500)</f>
        <v/>
      </c>
      <c r="BH70" s="12" t="n"/>
      <c r="BI70" s="15">
        <f>IFERROR(MATCH($A70,IF($B70="Onsite",tbl_Onsite[Row ID],IF($B70="Production",tbl_Production[Row ID],tbl_Consulting[Row ID])),0),"")</f>
        <v/>
      </c>
    </row>
    <row r="71">
      <c r="A71" s="10" t="inlineStr">
        <is>
          <t>ONS-0065</t>
        </is>
      </c>
      <c r="B71" s="10" t="inlineStr">
        <is>
          <t>Onsite</t>
        </is>
      </c>
      <c r="C71" s="10">
        <f>IF($BI71="","",IF($B71="Onsite",INDEX(tbl_Onsite[Job Number],$BI71),IF($B71="Production",INDEX(tbl_Production[Job Number],$BI71),INDEX(tbl_Consulting[Job Number],$BI71)))&amp;"")</f>
        <v/>
      </c>
      <c r="D71" s="10">
        <f>IF($BI71="","",IF($B71="Onsite",INDEX(tbl_Onsite[Client],$BI71),IF($B71="Production",INDEX(tbl_Production[Client],$BI71),INDEX(tbl_Consulting[Client],$BI71)))&amp;"")</f>
        <v/>
      </c>
      <c r="E71" s="10">
        <f>IF($C71="","",IF(COUNTIF(lst_Jobs,$C71)&gt;0,"OK","CHECK"))</f>
        <v/>
      </c>
      <c r="F71" s="10">
        <f>IF($C71="","",IFERROR(INDEX(lst_JobName,MATCH($C71,lst_Jobs,0)),""))</f>
        <v/>
      </c>
      <c r="G71" s="10">
        <f>IF($BI71="","",IF($B71="Onsite",INDEX(tbl_Onsite[Job Description],$BI71),IF($B71="Production",INDEX(tbl_Production[Job Description],$BI71),INDEX(tbl_Consulting[Job Description],$BI71)))&amp;"")</f>
        <v/>
      </c>
      <c r="H71" s="10">
        <f>IF($BI71="","",IF($B71="Onsite",INDEX(tbl_Onsite[Cost Centre],$BI71),IF($B71="Production",INDEX(tbl_Production[Cost Centre],$BI71),INDEX(tbl_Consulting[Cost Centre],$BI71)))&amp;"")</f>
        <v/>
      </c>
      <c r="I71" s="10">
        <f>IF($BI71="","",IF($B71="Onsite",INDEX(tbl_Onsite[Invoice Type],$BI71),IF($B71="Production",INDEX(tbl_Production[Invoice Type],$BI71),INDEX(tbl_Consulting[Invoice Type],$BI71)))&amp;"")</f>
        <v/>
      </c>
      <c r="J71" s="10">
        <f>IF($BI71="","",IF($B71="Onsite",INDEX(tbl_Onsite[Tax Code],$BI71),IF($B71="Production",INDEX(tbl_Production[Tax Code],$BI71),INDEX(tbl_Consulting[Tax Code],$BI71)))&amp;"")</f>
        <v/>
      </c>
      <c r="K71" s="10">
        <f>IF(H71="","",IFERROR(INDEX(lst_CCtoGL,MATCH(H71,lst_CCforGL,0)),""))</f>
        <v/>
      </c>
      <c r="L71" s="10">
        <f>IF($BI71="","",IF($B71="Onsite",INDEX(tbl_Onsite[PO / Reference],$BI71),IF($B71="Production",INDEX(tbl_Production[Current RMS No],$BI71),INDEX(tbl_Consulting[Qwilr Quote],$BI71)))&amp;"")</f>
        <v/>
      </c>
      <c r="M71" s="10">
        <f>IF($BI71="","",IF($B71="Onsite",INDEX(tbl_Onsite[Notes],$BI71),IF($B71="Production",INDEX(tbl_Production[Notes],$BI71),INDEX(tbl_Consulting[Notes],$BI71)))&amp;"")</f>
        <v/>
      </c>
      <c r="N71" s="11">
        <f>IF($BI71="","",IF(IF($B71="Onsite",INDEX(tbl_Onsite[Expected Revenue Ex GST],$BI71),IF($B71="Production",INDEX(tbl_Production[Expected Revenue Ex GST],$BI71),INDEX(tbl_Consulting[Expected Revenue Ex GST],$BI71)))="","",IF($B71="Onsite",INDEX(tbl_Onsite[Expected Revenue Ex GST],$BI71),IF($B71="Production",INDEX(tbl_Production[Expected Revenue Ex GST],$BI71),INDEX(tbl_Consulting[Expected Revenue Ex GST],$BI71)))))</f>
        <v/>
      </c>
      <c r="O71" s="11">
        <f>IF(AND($C71="",NOT(COUNTA($S71:$BB71)&gt;0)),"",SUM(U71,X71,AA71,AD71,AG71,AJ71,AM71,AP71,AS71,AV71,AY71,BB71))</f>
        <v/>
      </c>
      <c r="P71" s="11">
        <f>IF(O71="","",N(N71)-O71)</f>
        <v/>
      </c>
      <c r="Q71" s="10">
        <f>IF(O71="","",IF($C71="","Invoice on empty job row",IF(N71="",IF(ROUND(O71,2)=0,"No dept value","Invoiced - no dept value"),IF(ROUND(O71,2)=0,"Not invoiced - to invoice",IF(ROUND(P71,2)=0,"Agrees",IF(P71&gt;0,"Dept higher - to invoice","Xero higher - check dept"))))))</f>
        <v/>
      </c>
      <c r="R71" s="10">
        <f>IF(AND($C71="",NOT(COUNTA($S71:$BB71)&gt;0),$BI71&lt;&gt;""),"",MID(IF($BI71="","; Row ID not found on the department sheet - a row was deleted","")&amp;IF(AND($C71="",COUNTA($S71:$BB71)&gt;0),"; Invoice entered but the department row has no job number","")&amp;IF(E71="CHECK","; Job number not in the Xero job list","")&amp;IF(AND($C71&lt;&gt;"",COUNTIF($C$7:$C$1506,$C71)&gt;1),"; Job number on more than one row","")&amp;IF(AND($C71&lt;&gt;"",H71=""),"; Dept has not set a cost centre","")&amp;IF(AND($C71&lt;&gt;"",J71=""),"; Dept has not set a tax code","")&amp;IF(AND($C71&lt;&gt;"",N71=""),"; Dept has not entered an expected value","")&amp;IF((IF(OR(COUNTA(S71:U71)=0,AND(COUNTA(S71:U71)=3,ISNUMBER(U71))),0,1)+IF(OR(COUNTA(V71:X71)=0,AND(COUNTA(V71:X71)=3,ISNUMBER(X71))),0,1)+IF(OR(COUNTA(Y71:AA71)=0,AND(COUNTA(Y71:AA71)=3,ISNUMBER(AA71))),0,1)+IF(OR(COUNTA(AB71:AD71)=0,AND(COUNTA(AB71:AD71)=3,ISNUMBER(AD71))),0,1)+IF(OR(COUNTA(AE71:AG71)=0,AND(COUNTA(AE71:AG71)=3,ISNUMBER(AG71))),0,1)+IF(OR(COUNTA(AH71:AJ71)=0,AND(COUNTA(AH71:AJ71)=3,ISNUMBER(AJ71))),0,1)+IF(OR(COUNTA(AK71:AM71)=0,AND(COUNTA(AK71:AM71)=3,ISNUMBER(AM71))),0,1)+IF(OR(COUNTA(AN71:AP71)=0,AND(COUNTA(AN71:AP71)=3,ISNUMBER(AP71))),0,1)+IF(OR(COUNTA(AQ71:AS71)=0,AND(COUNTA(AQ71:AS71)=3,ISNUMBER(AS71))),0,1)+IF(OR(COUNTA(AT71:AV71)=0,AND(COUNTA(AT71:AV71)=3,ISNUMBER(AV71))),0,1)+IF(OR(COUNTA(AW71:AY71)=0,AND(COUNTA(AW71:AY71)=3,ISNUMBER(AY71))),0,1)+IF(OR(COUNTA(AZ71:BB71)=0,AND(COUNTA(AZ71:BB71)=3,ISNUMBER(BB71))),0,1))&gt;0,"; An invoice is incomplete (needs No, Date and a number in Ex GST)","")&amp;IF((IF(T71="",0,IFERROR(--(EOMONTH(T71,0)&lt;&gt;S$5),1))+IF(W71="",0,IFERROR(--(EOMONTH(W71,0)&lt;&gt;V$5),1))+IF(Z71="",0,IFERROR(--(EOMONTH(Z71,0)&lt;&gt;Y$5),1))+IF(AC71="",0,IFERROR(--(EOMONTH(AC71,0)&lt;&gt;AB$5),1))+IF(AF71="",0,IFERROR(--(EOMONTH(AF71,0)&lt;&gt;AE$5),1))+IF(AI71="",0,IFERROR(--(EOMONTH(AI71,0)&lt;&gt;AH$5),1))+IF(AL71="",0,IFERROR(--(EOMONTH(AL71,0)&lt;&gt;AK$5),1))+IF(AO71="",0,IFERROR(--(EOMONTH(AO71,0)&lt;&gt;AN$5),1))+IF(AR71="",0,IFERROR(--(EOMONTH(AR71,0)&lt;&gt;AQ$5),1))+IF(AU71="",0,IFERROR(--(EOMONTH(AU71,0)&lt;&gt;AT$5),1))+IF(AX71="",0,IFERROR(--(EOMONTH(AX71,0)&lt;&gt;AW$5),1))+IF(BA71="",0,IFERROR(--(EOMONTH(BA71,0)&lt;&gt;AZ$5),1)))&gt;0,"; An invoice date is not in the month it is typed under",""),3,500))</f>
        <v/>
      </c>
      <c r="S71" s="12" t="n"/>
      <c r="T71" s="13" t="n"/>
      <c r="U71" s="14" t="n"/>
      <c r="V71" s="12" t="n"/>
      <c r="W71" s="13" t="n"/>
      <c r="X71" s="14" t="n"/>
      <c r="Y71" s="12" t="n"/>
      <c r="Z71" s="13" t="n"/>
      <c r="AA71" s="14" t="n"/>
      <c r="AB71" s="12" t="n"/>
      <c r="AC71" s="13" t="n"/>
      <c r="AD71" s="14" t="n"/>
      <c r="AE71" s="12" t="n"/>
      <c r="AF71" s="13" t="n"/>
      <c r="AG71" s="14" t="n"/>
      <c r="AH71" s="12" t="n"/>
      <c r="AI71" s="13" t="n"/>
      <c r="AJ71" s="14" t="n"/>
      <c r="AK71" s="12" t="n"/>
      <c r="AL71" s="13" t="n"/>
      <c r="AM71" s="14" t="n"/>
      <c r="AN71" s="12" t="n"/>
      <c r="AO71" s="13" t="n"/>
      <c r="AP71" s="14" t="n"/>
      <c r="AQ71" s="12" t="n"/>
      <c r="AR71" s="13" t="n"/>
      <c r="AS71" s="14" t="n"/>
      <c r="AT71" s="12" t="n"/>
      <c r="AU71" s="13" t="n"/>
      <c r="AV71" s="14" t="n"/>
      <c r="AW71" s="12" t="n"/>
      <c r="AX71" s="13" t="n"/>
      <c r="AY71" s="14" t="n"/>
      <c r="AZ71" s="12" t="n"/>
      <c r="BA71" s="13" t="n"/>
      <c r="BB71" s="14" t="n"/>
      <c r="BC71" s="11">
        <f>IF(O71="","",IF(J71="GST 10%",ROUND(O71*set_GSTRate,2),0))</f>
        <v/>
      </c>
      <c r="BD71" s="11">
        <f>IF(O71="","",O71+BC71)</f>
        <v/>
      </c>
      <c r="BE71" s="15">
        <f>IF(O71="","",COUNTA(S71,V71,Y71,AB71,AE71,AH71,AK71,AN71,AQ71,AT71,AW71,AZ71))</f>
        <v/>
      </c>
      <c r="BF71" s="16">
        <f>IF(COUNT(T71,W71,Z71,AC71,AF71,AI71,AL71,AO71,AR71,AU71,AX71,BA71)=0,"",MAX(T71,W71,Z71,AC71,AF71,AI71,AL71,AO71,AR71,AU71,AX71,BA71))</f>
        <v/>
      </c>
      <c r="BG71" s="10">
        <f>MID(IF(S71="","",", "&amp;S71)&amp;IF(V71="","",", "&amp;V71)&amp;IF(Y71="","",", "&amp;Y71)&amp;IF(AB71="","",", "&amp;AB71)&amp;IF(AE71="","",", "&amp;AE71)&amp;IF(AH71="","",", "&amp;AH71)&amp;IF(AK71="","",", "&amp;AK71)&amp;IF(AN71="","",", "&amp;AN71)&amp;IF(AQ71="","",", "&amp;AQ71)&amp;IF(AT71="","",", "&amp;AT71)&amp;IF(AW71="","",", "&amp;AW71)&amp;IF(AZ71="","",", "&amp;AZ71),3,500)</f>
        <v/>
      </c>
      <c r="BH71" s="12" t="n"/>
      <c r="BI71" s="15">
        <f>IFERROR(MATCH($A71,IF($B71="Onsite",tbl_Onsite[Row ID],IF($B71="Production",tbl_Production[Row ID],tbl_Consulting[Row ID])),0),"")</f>
        <v/>
      </c>
    </row>
    <row r="72">
      <c r="A72" s="10" t="inlineStr">
        <is>
          <t>ONS-0066</t>
        </is>
      </c>
      <c r="B72" s="10" t="inlineStr">
        <is>
          <t>Onsite</t>
        </is>
      </c>
      <c r="C72" s="10">
        <f>IF($BI72="","",IF($B72="Onsite",INDEX(tbl_Onsite[Job Number],$BI72),IF($B72="Production",INDEX(tbl_Production[Job Number],$BI72),INDEX(tbl_Consulting[Job Number],$BI72)))&amp;"")</f>
        <v/>
      </c>
      <c r="D72" s="10">
        <f>IF($BI72="","",IF($B72="Onsite",INDEX(tbl_Onsite[Client],$BI72),IF($B72="Production",INDEX(tbl_Production[Client],$BI72),INDEX(tbl_Consulting[Client],$BI72)))&amp;"")</f>
        <v/>
      </c>
      <c r="E72" s="10">
        <f>IF($C72="","",IF(COUNTIF(lst_Jobs,$C72)&gt;0,"OK","CHECK"))</f>
        <v/>
      </c>
      <c r="F72" s="10">
        <f>IF($C72="","",IFERROR(INDEX(lst_JobName,MATCH($C72,lst_Jobs,0)),""))</f>
        <v/>
      </c>
      <c r="G72" s="10">
        <f>IF($BI72="","",IF($B72="Onsite",INDEX(tbl_Onsite[Job Description],$BI72),IF($B72="Production",INDEX(tbl_Production[Job Description],$BI72),INDEX(tbl_Consulting[Job Description],$BI72)))&amp;"")</f>
        <v/>
      </c>
      <c r="H72" s="10">
        <f>IF($BI72="","",IF($B72="Onsite",INDEX(tbl_Onsite[Cost Centre],$BI72),IF($B72="Production",INDEX(tbl_Production[Cost Centre],$BI72),INDEX(tbl_Consulting[Cost Centre],$BI72)))&amp;"")</f>
        <v/>
      </c>
      <c r="I72" s="10">
        <f>IF($BI72="","",IF($B72="Onsite",INDEX(tbl_Onsite[Invoice Type],$BI72),IF($B72="Production",INDEX(tbl_Production[Invoice Type],$BI72),INDEX(tbl_Consulting[Invoice Type],$BI72)))&amp;"")</f>
        <v/>
      </c>
      <c r="J72" s="10">
        <f>IF($BI72="","",IF($B72="Onsite",INDEX(tbl_Onsite[Tax Code],$BI72),IF($B72="Production",INDEX(tbl_Production[Tax Code],$BI72),INDEX(tbl_Consulting[Tax Code],$BI72)))&amp;"")</f>
        <v/>
      </c>
      <c r="K72" s="10">
        <f>IF(H72="","",IFERROR(INDEX(lst_CCtoGL,MATCH(H72,lst_CCforGL,0)),""))</f>
        <v/>
      </c>
      <c r="L72" s="10">
        <f>IF($BI72="","",IF($B72="Onsite",INDEX(tbl_Onsite[PO / Reference],$BI72),IF($B72="Production",INDEX(tbl_Production[Current RMS No],$BI72),INDEX(tbl_Consulting[Qwilr Quote],$BI72)))&amp;"")</f>
        <v/>
      </c>
      <c r="M72" s="10">
        <f>IF($BI72="","",IF($B72="Onsite",INDEX(tbl_Onsite[Notes],$BI72),IF($B72="Production",INDEX(tbl_Production[Notes],$BI72),INDEX(tbl_Consulting[Notes],$BI72)))&amp;"")</f>
        <v/>
      </c>
      <c r="N72" s="11">
        <f>IF($BI72="","",IF(IF($B72="Onsite",INDEX(tbl_Onsite[Expected Revenue Ex GST],$BI72),IF($B72="Production",INDEX(tbl_Production[Expected Revenue Ex GST],$BI72),INDEX(tbl_Consulting[Expected Revenue Ex GST],$BI72)))="","",IF($B72="Onsite",INDEX(tbl_Onsite[Expected Revenue Ex GST],$BI72),IF($B72="Production",INDEX(tbl_Production[Expected Revenue Ex GST],$BI72),INDEX(tbl_Consulting[Expected Revenue Ex GST],$BI72)))))</f>
        <v/>
      </c>
      <c r="O72" s="11">
        <f>IF(AND($C72="",NOT(COUNTA($S72:$BB72)&gt;0)),"",SUM(U72,X72,AA72,AD72,AG72,AJ72,AM72,AP72,AS72,AV72,AY72,BB72))</f>
        <v/>
      </c>
      <c r="P72" s="11">
        <f>IF(O72="","",N(N72)-O72)</f>
        <v/>
      </c>
      <c r="Q72" s="10">
        <f>IF(O72="","",IF($C72="","Invoice on empty job row",IF(N72="",IF(ROUND(O72,2)=0,"No dept value","Invoiced - no dept value"),IF(ROUND(O72,2)=0,"Not invoiced - to invoice",IF(ROUND(P72,2)=0,"Agrees",IF(P72&gt;0,"Dept higher - to invoice","Xero higher - check dept"))))))</f>
        <v/>
      </c>
      <c r="R72" s="10">
        <f>IF(AND($C72="",NOT(COUNTA($S72:$BB72)&gt;0),$BI72&lt;&gt;""),"",MID(IF($BI72="","; Row ID not found on the department sheet - a row was deleted","")&amp;IF(AND($C72="",COUNTA($S72:$BB72)&gt;0),"; Invoice entered but the department row has no job number","")&amp;IF(E72="CHECK","; Job number not in the Xero job list","")&amp;IF(AND($C72&lt;&gt;"",COUNTIF($C$7:$C$1506,$C72)&gt;1),"; Job number on more than one row","")&amp;IF(AND($C72&lt;&gt;"",H72=""),"; Dept has not set a cost centre","")&amp;IF(AND($C72&lt;&gt;"",J72=""),"; Dept has not set a tax code","")&amp;IF(AND($C72&lt;&gt;"",N72=""),"; Dept has not entered an expected value","")&amp;IF((IF(OR(COUNTA(S72:U72)=0,AND(COUNTA(S72:U72)=3,ISNUMBER(U72))),0,1)+IF(OR(COUNTA(V72:X72)=0,AND(COUNTA(V72:X72)=3,ISNUMBER(X72))),0,1)+IF(OR(COUNTA(Y72:AA72)=0,AND(COUNTA(Y72:AA72)=3,ISNUMBER(AA72))),0,1)+IF(OR(COUNTA(AB72:AD72)=0,AND(COUNTA(AB72:AD72)=3,ISNUMBER(AD72))),0,1)+IF(OR(COUNTA(AE72:AG72)=0,AND(COUNTA(AE72:AG72)=3,ISNUMBER(AG72))),0,1)+IF(OR(COUNTA(AH72:AJ72)=0,AND(COUNTA(AH72:AJ72)=3,ISNUMBER(AJ72))),0,1)+IF(OR(COUNTA(AK72:AM72)=0,AND(COUNTA(AK72:AM72)=3,ISNUMBER(AM72))),0,1)+IF(OR(COUNTA(AN72:AP72)=0,AND(COUNTA(AN72:AP72)=3,ISNUMBER(AP72))),0,1)+IF(OR(COUNTA(AQ72:AS72)=0,AND(COUNTA(AQ72:AS72)=3,ISNUMBER(AS72))),0,1)+IF(OR(COUNTA(AT72:AV72)=0,AND(COUNTA(AT72:AV72)=3,ISNUMBER(AV72))),0,1)+IF(OR(COUNTA(AW72:AY72)=0,AND(COUNTA(AW72:AY72)=3,ISNUMBER(AY72))),0,1)+IF(OR(COUNTA(AZ72:BB72)=0,AND(COUNTA(AZ72:BB72)=3,ISNUMBER(BB72))),0,1))&gt;0,"; An invoice is incomplete (needs No, Date and a number in Ex GST)","")&amp;IF((IF(T72="",0,IFERROR(--(EOMONTH(T72,0)&lt;&gt;S$5),1))+IF(W72="",0,IFERROR(--(EOMONTH(W72,0)&lt;&gt;V$5),1))+IF(Z72="",0,IFERROR(--(EOMONTH(Z72,0)&lt;&gt;Y$5),1))+IF(AC72="",0,IFERROR(--(EOMONTH(AC72,0)&lt;&gt;AB$5),1))+IF(AF72="",0,IFERROR(--(EOMONTH(AF72,0)&lt;&gt;AE$5),1))+IF(AI72="",0,IFERROR(--(EOMONTH(AI72,0)&lt;&gt;AH$5),1))+IF(AL72="",0,IFERROR(--(EOMONTH(AL72,0)&lt;&gt;AK$5),1))+IF(AO72="",0,IFERROR(--(EOMONTH(AO72,0)&lt;&gt;AN$5),1))+IF(AR72="",0,IFERROR(--(EOMONTH(AR72,0)&lt;&gt;AQ$5),1))+IF(AU72="",0,IFERROR(--(EOMONTH(AU72,0)&lt;&gt;AT$5),1))+IF(AX72="",0,IFERROR(--(EOMONTH(AX72,0)&lt;&gt;AW$5),1))+IF(BA72="",0,IFERROR(--(EOMONTH(BA72,0)&lt;&gt;AZ$5),1)))&gt;0,"; An invoice date is not in the month it is typed under",""),3,500))</f>
        <v/>
      </c>
      <c r="S72" s="12" t="n"/>
      <c r="T72" s="13" t="n"/>
      <c r="U72" s="14" t="n"/>
      <c r="V72" s="12" t="n"/>
      <c r="W72" s="13" t="n"/>
      <c r="X72" s="14" t="n"/>
      <c r="Y72" s="12" t="n"/>
      <c r="Z72" s="13" t="n"/>
      <c r="AA72" s="14" t="n"/>
      <c r="AB72" s="12" t="n"/>
      <c r="AC72" s="13" t="n"/>
      <c r="AD72" s="14" t="n"/>
      <c r="AE72" s="12" t="n"/>
      <c r="AF72" s="13" t="n"/>
      <c r="AG72" s="14" t="n"/>
      <c r="AH72" s="12" t="n"/>
      <c r="AI72" s="13" t="n"/>
      <c r="AJ72" s="14" t="n"/>
      <c r="AK72" s="12" t="n"/>
      <c r="AL72" s="13" t="n"/>
      <c r="AM72" s="14" t="n"/>
      <c r="AN72" s="12" t="n"/>
      <c r="AO72" s="13" t="n"/>
      <c r="AP72" s="14" t="n"/>
      <c r="AQ72" s="12" t="n"/>
      <c r="AR72" s="13" t="n"/>
      <c r="AS72" s="14" t="n"/>
      <c r="AT72" s="12" t="n"/>
      <c r="AU72" s="13" t="n"/>
      <c r="AV72" s="14" t="n"/>
      <c r="AW72" s="12" t="n"/>
      <c r="AX72" s="13" t="n"/>
      <c r="AY72" s="14" t="n"/>
      <c r="AZ72" s="12" t="n"/>
      <c r="BA72" s="13" t="n"/>
      <c r="BB72" s="14" t="n"/>
      <c r="BC72" s="11">
        <f>IF(O72="","",IF(J72="GST 10%",ROUND(O72*set_GSTRate,2),0))</f>
        <v/>
      </c>
      <c r="BD72" s="11">
        <f>IF(O72="","",O72+BC72)</f>
        <v/>
      </c>
      <c r="BE72" s="15">
        <f>IF(O72="","",COUNTA(S72,V72,Y72,AB72,AE72,AH72,AK72,AN72,AQ72,AT72,AW72,AZ72))</f>
        <v/>
      </c>
      <c r="BF72" s="16">
        <f>IF(COUNT(T72,W72,Z72,AC72,AF72,AI72,AL72,AO72,AR72,AU72,AX72,BA72)=0,"",MAX(T72,W72,Z72,AC72,AF72,AI72,AL72,AO72,AR72,AU72,AX72,BA72))</f>
        <v/>
      </c>
      <c r="BG72" s="10">
        <f>MID(IF(S72="","",", "&amp;S72)&amp;IF(V72="","",", "&amp;V72)&amp;IF(Y72="","",", "&amp;Y72)&amp;IF(AB72="","",", "&amp;AB72)&amp;IF(AE72="","",", "&amp;AE72)&amp;IF(AH72="","",", "&amp;AH72)&amp;IF(AK72="","",", "&amp;AK72)&amp;IF(AN72="","",", "&amp;AN72)&amp;IF(AQ72="","",", "&amp;AQ72)&amp;IF(AT72="","",", "&amp;AT72)&amp;IF(AW72="","",", "&amp;AW72)&amp;IF(AZ72="","",", "&amp;AZ72),3,500)</f>
        <v/>
      </c>
      <c r="BH72" s="12" t="n"/>
      <c r="BI72" s="15">
        <f>IFERROR(MATCH($A72,IF($B72="Onsite",tbl_Onsite[Row ID],IF($B72="Production",tbl_Production[Row ID],tbl_Consulting[Row ID])),0),"")</f>
        <v/>
      </c>
    </row>
    <row r="73">
      <c r="A73" s="10" t="inlineStr">
        <is>
          <t>ONS-0067</t>
        </is>
      </c>
      <c r="B73" s="10" t="inlineStr">
        <is>
          <t>Onsite</t>
        </is>
      </c>
      <c r="C73" s="10">
        <f>IF($BI73="","",IF($B73="Onsite",INDEX(tbl_Onsite[Job Number],$BI73),IF($B73="Production",INDEX(tbl_Production[Job Number],$BI73),INDEX(tbl_Consulting[Job Number],$BI73)))&amp;"")</f>
        <v/>
      </c>
      <c r="D73" s="10">
        <f>IF($BI73="","",IF($B73="Onsite",INDEX(tbl_Onsite[Client],$BI73),IF($B73="Production",INDEX(tbl_Production[Client],$BI73),INDEX(tbl_Consulting[Client],$BI73)))&amp;"")</f>
        <v/>
      </c>
      <c r="E73" s="10">
        <f>IF($C73="","",IF(COUNTIF(lst_Jobs,$C73)&gt;0,"OK","CHECK"))</f>
        <v/>
      </c>
      <c r="F73" s="10">
        <f>IF($C73="","",IFERROR(INDEX(lst_JobName,MATCH($C73,lst_Jobs,0)),""))</f>
        <v/>
      </c>
      <c r="G73" s="10">
        <f>IF($BI73="","",IF($B73="Onsite",INDEX(tbl_Onsite[Job Description],$BI73),IF($B73="Production",INDEX(tbl_Production[Job Description],$BI73),INDEX(tbl_Consulting[Job Description],$BI73)))&amp;"")</f>
        <v/>
      </c>
      <c r="H73" s="10">
        <f>IF($BI73="","",IF($B73="Onsite",INDEX(tbl_Onsite[Cost Centre],$BI73),IF($B73="Production",INDEX(tbl_Production[Cost Centre],$BI73),INDEX(tbl_Consulting[Cost Centre],$BI73)))&amp;"")</f>
        <v/>
      </c>
      <c r="I73" s="10">
        <f>IF($BI73="","",IF($B73="Onsite",INDEX(tbl_Onsite[Invoice Type],$BI73),IF($B73="Production",INDEX(tbl_Production[Invoice Type],$BI73),INDEX(tbl_Consulting[Invoice Type],$BI73)))&amp;"")</f>
        <v/>
      </c>
      <c r="J73" s="10">
        <f>IF($BI73="","",IF($B73="Onsite",INDEX(tbl_Onsite[Tax Code],$BI73),IF($B73="Production",INDEX(tbl_Production[Tax Code],$BI73),INDEX(tbl_Consulting[Tax Code],$BI73)))&amp;"")</f>
        <v/>
      </c>
      <c r="K73" s="10">
        <f>IF(H73="","",IFERROR(INDEX(lst_CCtoGL,MATCH(H73,lst_CCforGL,0)),""))</f>
        <v/>
      </c>
      <c r="L73" s="10">
        <f>IF($BI73="","",IF($B73="Onsite",INDEX(tbl_Onsite[PO / Reference],$BI73),IF($B73="Production",INDEX(tbl_Production[Current RMS No],$BI73),INDEX(tbl_Consulting[Qwilr Quote],$BI73)))&amp;"")</f>
        <v/>
      </c>
      <c r="M73" s="10">
        <f>IF($BI73="","",IF($B73="Onsite",INDEX(tbl_Onsite[Notes],$BI73),IF($B73="Production",INDEX(tbl_Production[Notes],$BI73),INDEX(tbl_Consulting[Notes],$BI73)))&amp;"")</f>
        <v/>
      </c>
      <c r="N73" s="11">
        <f>IF($BI73="","",IF(IF($B73="Onsite",INDEX(tbl_Onsite[Expected Revenue Ex GST],$BI73),IF($B73="Production",INDEX(tbl_Production[Expected Revenue Ex GST],$BI73),INDEX(tbl_Consulting[Expected Revenue Ex GST],$BI73)))="","",IF($B73="Onsite",INDEX(tbl_Onsite[Expected Revenue Ex GST],$BI73),IF($B73="Production",INDEX(tbl_Production[Expected Revenue Ex GST],$BI73),INDEX(tbl_Consulting[Expected Revenue Ex GST],$BI73)))))</f>
        <v/>
      </c>
      <c r="O73" s="11">
        <f>IF(AND($C73="",NOT(COUNTA($S73:$BB73)&gt;0)),"",SUM(U73,X73,AA73,AD73,AG73,AJ73,AM73,AP73,AS73,AV73,AY73,BB73))</f>
        <v/>
      </c>
      <c r="P73" s="11">
        <f>IF(O73="","",N(N73)-O73)</f>
        <v/>
      </c>
      <c r="Q73" s="10">
        <f>IF(O73="","",IF($C73="","Invoice on empty job row",IF(N73="",IF(ROUND(O73,2)=0,"No dept value","Invoiced - no dept value"),IF(ROUND(O73,2)=0,"Not invoiced - to invoice",IF(ROUND(P73,2)=0,"Agrees",IF(P73&gt;0,"Dept higher - to invoice","Xero higher - check dept"))))))</f>
        <v/>
      </c>
      <c r="R73" s="10">
        <f>IF(AND($C73="",NOT(COUNTA($S73:$BB73)&gt;0),$BI73&lt;&gt;""),"",MID(IF($BI73="","; Row ID not found on the department sheet - a row was deleted","")&amp;IF(AND($C73="",COUNTA($S73:$BB73)&gt;0),"; Invoice entered but the department row has no job number","")&amp;IF(E73="CHECK","; Job number not in the Xero job list","")&amp;IF(AND($C73&lt;&gt;"",COUNTIF($C$7:$C$1506,$C73)&gt;1),"; Job number on more than one row","")&amp;IF(AND($C73&lt;&gt;"",H73=""),"; Dept has not set a cost centre","")&amp;IF(AND($C73&lt;&gt;"",J73=""),"; Dept has not set a tax code","")&amp;IF(AND($C73&lt;&gt;"",N73=""),"; Dept has not entered an expected value","")&amp;IF((IF(OR(COUNTA(S73:U73)=0,AND(COUNTA(S73:U73)=3,ISNUMBER(U73))),0,1)+IF(OR(COUNTA(V73:X73)=0,AND(COUNTA(V73:X73)=3,ISNUMBER(X73))),0,1)+IF(OR(COUNTA(Y73:AA73)=0,AND(COUNTA(Y73:AA73)=3,ISNUMBER(AA73))),0,1)+IF(OR(COUNTA(AB73:AD73)=0,AND(COUNTA(AB73:AD73)=3,ISNUMBER(AD73))),0,1)+IF(OR(COUNTA(AE73:AG73)=0,AND(COUNTA(AE73:AG73)=3,ISNUMBER(AG73))),0,1)+IF(OR(COUNTA(AH73:AJ73)=0,AND(COUNTA(AH73:AJ73)=3,ISNUMBER(AJ73))),0,1)+IF(OR(COUNTA(AK73:AM73)=0,AND(COUNTA(AK73:AM73)=3,ISNUMBER(AM73))),0,1)+IF(OR(COUNTA(AN73:AP73)=0,AND(COUNTA(AN73:AP73)=3,ISNUMBER(AP73))),0,1)+IF(OR(COUNTA(AQ73:AS73)=0,AND(COUNTA(AQ73:AS73)=3,ISNUMBER(AS73))),0,1)+IF(OR(COUNTA(AT73:AV73)=0,AND(COUNTA(AT73:AV73)=3,ISNUMBER(AV73))),0,1)+IF(OR(COUNTA(AW73:AY73)=0,AND(COUNTA(AW73:AY73)=3,ISNUMBER(AY73))),0,1)+IF(OR(COUNTA(AZ73:BB73)=0,AND(COUNTA(AZ73:BB73)=3,ISNUMBER(BB73))),0,1))&gt;0,"; An invoice is incomplete (needs No, Date and a number in Ex GST)","")&amp;IF((IF(T73="",0,IFERROR(--(EOMONTH(T73,0)&lt;&gt;S$5),1))+IF(W73="",0,IFERROR(--(EOMONTH(W73,0)&lt;&gt;V$5),1))+IF(Z73="",0,IFERROR(--(EOMONTH(Z73,0)&lt;&gt;Y$5),1))+IF(AC73="",0,IFERROR(--(EOMONTH(AC73,0)&lt;&gt;AB$5),1))+IF(AF73="",0,IFERROR(--(EOMONTH(AF73,0)&lt;&gt;AE$5),1))+IF(AI73="",0,IFERROR(--(EOMONTH(AI73,0)&lt;&gt;AH$5),1))+IF(AL73="",0,IFERROR(--(EOMONTH(AL73,0)&lt;&gt;AK$5),1))+IF(AO73="",0,IFERROR(--(EOMONTH(AO73,0)&lt;&gt;AN$5),1))+IF(AR73="",0,IFERROR(--(EOMONTH(AR73,0)&lt;&gt;AQ$5),1))+IF(AU73="",0,IFERROR(--(EOMONTH(AU73,0)&lt;&gt;AT$5),1))+IF(AX73="",0,IFERROR(--(EOMONTH(AX73,0)&lt;&gt;AW$5),1))+IF(BA73="",0,IFERROR(--(EOMONTH(BA73,0)&lt;&gt;AZ$5),1)))&gt;0,"; An invoice date is not in the month it is typed under",""),3,500))</f>
        <v/>
      </c>
      <c r="S73" s="12" t="n"/>
      <c r="T73" s="13" t="n"/>
      <c r="U73" s="14" t="n"/>
      <c r="V73" s="12" t="n"/>
      <c r="W73" s="13" t="n"/>
      <c r="X73" s="14" t="n"/>
      <c r="Y73" s="12" t="n"/>
      <c r="Z73" s="13" t="n"/>
      <c r="AA73" s="14" t="n"/>
      <c r="AB73" s="12" t="n"/>
      <c r="AC73" s="13" t="n"/>
      <c r="AD73" s="14" t="n"/>
      <c r="AE73" s="12" t="n"/>
      <c r="AF73" s="13" t="n"/>
      <c r="AG73" s="14" t="n"/>
      <c r="AH73" s="12" t="n"/>
      <c r="AI73" s="13" t="n"/>
      <c r="AJ73" s="14" t="n"/>
      <c r="AK73" s="12" t="n"/>
      <c r="AL73" s="13" t="n"/>
      <c r="AM73" s="14" t="n"/>
      <c r="AN73" s="12" t="n"/>
      <c r="AO73" s="13" t="n"/>
      <c r="AP73" s="14" t="n"/>
      <c r="AQ73" s="12" t="n"/>
      <c r="AR73" s="13" t="n"/>
      <c r="AS73" s="14" t="n"/>
      <c r="AT73" s="12" t="n"/>
      <c r="AU73" s="13" t="n"/>
      <c r="AV73" s="14" t="n"/>
      <c r="AW73" s="12" t="n"/>
      <c r="AX73" s="13" t="n"/>
      <c r="AY73" s="14" t="n"/>
      <c r="AZ73" s="12" t="n"/>
      <c r="BA73" s="13" t="n"/>
      <c r="BB73" s="14" t="n"/>
      <c r="BC73" s="11">
        <f>IF(O73="","",IF(J73="GST 10%",ROUND(O73*set_GSTRate,2),0))</f>
        <v/>
      </c>
      <c r="BD73" s="11">
        <f>IF(O73="","",O73+BC73)</f>
        <v/>
      </c>
      <c r="BE73" s="15">
        <f>IF(O73="","",COUNTA(S73,V73,Y73,AB73,AE73,AH73,AK73,AN73,AQ73,AT73,AW73,AZ73))</f>
        <v/>
      </c>
      <c r="BF73" s="16">
        <f>IF(COUNT(T73,W73,Z73,AC73,AF73,AI73,AL73,AO73,AR73,AU73,AX73,BA73)=0,"",MAX(T73,W73,Z73,AC73,AF73,AI73,AL73,AO73,AR73,AU73,AX73,BA73))</f>
        <v/>
      </c>
      <c r="BG73" s="10">
        <f>MID(IF(S73="","",", "&amp;S73)&amp;IF(V73="","",", "&amp;V73)&amp;IF(Y73="","",", "&amp;Y73)&amp;IF(AB73="","",", "&amp;AB73)&amp;IF(AE73="","",", "&amp;AE73)&amp;IF(AH73="","",", "&amp;AH73)&amp;IF(AK73="","",", "&amp;AK73)&amp;IF(AN73="","",", "&amp;AN73)&amp;IF(AQ73="","",", "&amp;AQ73)&amp;IF(AT73="","",", "&amp;AT73)&amp;IF(AW73="","",", "&amp;AW73)&amp;IF(AZ73="","",", "&amp;AZ73),3,500)</f>
        <v/>
      </c>
      <c r="BH73" s="12" t="n"/>
      <c r="BI73" s="15">
        <f>IFERROR(MATCH($A73,IF($B73="Onsite",tbl_Onsite[Row ID],IF($B73="Production",tbl_Production[Row ID],tbl_Consulting[Row ID])),0),"")</f>
        <v/>
      </c>
    </row>
    <row r="74">
      <c r="A74" s="10" t="inlineStr">
        <is>
          <t>ONS-0068</t>
        </is>
      </c>
      <c r="B74" s="10" t="inlineStr">
        <is>
          <t>Onsite</t>
        </is>
      </c>
      <c r="C74" s="10">
        <f>IF($BI74="","",IF($B74="Onsite",INDEX(tbl_Onsite[Job Number],$BI74),IF($B74="Production",INDEX(tbl_Production[Job Number],$BI74),INDEX(tbl_Consulting[Job Number],$BI74)))&amp;"")</f>
        <v/>
      </c>
      <c r="D74" s="10">
        <f>IF($BI74="","",IF($B74="Onsite",INDEX(tbl_Onsite[Client],$BI74),IF($B74="Production",INDEX(tbl_Production[Client],$BI74),INDEX(tbl_Consulting[Client],$BI74)))&amp;"")</f>
        <v/>
      </c>
      <c r="E74" s="10">
        <f>IF($C74="","",IF(COUNTIF(lst_Jobs,$C74)&gt;0,"OK","CHECK"))</f>
        <v/>
      </c>
      <c r="F74" s="10">
        <f>IF($C74="","",IFERROR(INDEX(lst_JobName,MATCH($C74,lst_Jobs,0)),""))</f>
        <v/>
      </c>
      <c r="G74" s="10">
        <f>IF($BI74="","",IF($B74="Onsite",INDEX(tbl_Onsite[Job Description],$BI74),IF($B74="Production",INDEX(tbl_Production[Job Description],$BI74),INDEX(tbl_Consulting[Job Description],$BI74)))&amp;"")</f>
        <v/>
      </c>
      <c r="H74" s="10">
        <f>IF($BI74="","",IF($B74="Onsite",INDEX(tbl_Onsite[Cost Centre],$BI74),IF($B74="Production",INDEX(tbl_Production[Cost Centre],$BI74),INDEX(tbl_Consulting[Cost Centre],$BI74)))&amp;"")</f>
        <v/>
      </c>
      <c r="I74" s="10">
        <f>IF($BI74="","",IF($B74="Onsite",INDEX(tbl_Onsite[Invoice Type],$BI74),IF($B74="Production",INDEX(tbl_Production[Invoice Type],$BI74),INDEX(tbl_Consulting[Invoice Type],$BI74)))&amp;"")</f>
        <v/>
      </c>
      <c r="J74" s="10">
        <f>IF($BI74="","",IF($B74="Onsite",INDEX(tbl_Onsite[Tax Code],$BI74),IF($B74="Production",INDEX(tbl_Production[Tax Code],$BI74),INDEX(tbl_Consulting[Tax Code],$BI74)))&amp;"")</f>
        <v/>
      </c>
      <c r="K74" s="10">
        <f>IF(H74="","",IFERROR(INDEX(lst_CCtoGL,MATCH(H74,lst_CCforGL,0)),""))</f>
        <v/>
      </c>
      <c r="L74" s="10">
        <f>IF($BI74="","",IF($B74="Onsite",INDEX(tbl_Onsite[PO / Reference],$BI74),IF($B74="Production",INDEX(tbl_Production[Current RMS No],$BI74),INDEX(tbl_Consulting[Qwilr Quote],$BI74)))&amp;"")</f>
        <v/>
      </c>
      <c r="M74" s="10">
        <f>IF($BI74="","",IF($B74="Onsite",INDEX(tbl_Onsite[Notes],$BI74),IF($B74="Production",INDEX(tbl_Production[Notes],$BI74),INDEX(tbl_Consulting[Notes],$BI74)))&amp;"")</f>
        <v/>
      </c>
      <c r="N74" s="11">
        <f>IF($BI74="","",IF(IF($B74="Onsite",INDEX(tbl_Onsite[Expected Revenue Ex GST],$BI74),IF($B74="Production",INDEX(tbl_Production[Expected Revenue Ex GST],$BI74),INDEX(tbl_Consulting[Expected Revenue Ex GST],$BI74)))="","",IF($B74="Onsite",INDEX(tbl_Onsite[Expected Revenue Ex GST],$BI74),IF($B74="Production",INDEX(tbl_Production[Expected Revenue Ex GST],$BI74),INDEX(tbl_Consulting[Expected Revenue Ex GST],$BI74)))))</f>
        <v/>
      </c>
      <c r="O74" s="11">
        <f>IF(AND($C74="",NOT(COUNTA($S74:$BB74)&gt;0)),"",SUM(U74,X74,AA74,AD74,AG74,AJ74,AM74,AP74,AS74,AV74,AY74,BB74))</f>
        <v/>
      </c>
      <c r="P74" s="11">
        <f>IF(O74="","",N(N74)-O74)</f>
        <v/>
      </c>
      <c r="Q74" s="10">
        <f>IF(O74="","",IF($C74="","Invoice on empty job row",IF(N74="",IF(ROUND(O74,2)=0,"No dept value","Invoiced - no dept value"),IF(ROUND(O74,2)=0,"Not invoiced - to invoice",IF(ROUND(P74,2)=0,"Agrees",IF(P74&gt;0,"Dept higher - to invoice","Xero higher - check dept"))))))</f>
        <v/>
      </c>
      <c r="R74" s="10">
        <f>IF(AND($C74="",NOT(COUNTA($S74:$BB74)&gt;0),$BI74&lt;&gt;""),"",MID(IF($BI74="","; Row ID not found on the department sheet - a row was deleted","")&amp;IF(AND($C74="",COUNTA($S74:$BB74)&gt;0),"; Invoice entered but the department row has no job number","")&amp;IF(E74="CHECK","; Job number not in the Xero job list","")&amp;IF(AND($C74&lt;&gt;"",COUNTIF($C$7:$C$1506,$C74)&gt;1),"; Job number on more than one row","")&amp;IF(AND($C74&lt;&gt;"",H74=""),"; Dept has not set a cost centre","")&amp;IF(AND($C74&lt;&gt;"",J74=""),"; Dept has not set a tax code","")&amp;IF(AND($C74&lt;&gt;"",N74=""),"; Dept has not entered an expected value","")&amp;IF((IF(OR(COUNTA(S74:U74)=0,AND(COUNTA(S74:U74)=3,ISNUMBER(U74))),0,1)+IF(OR(COUNTA(V74:X74)=0,AND(COUNTA(V74:X74)=3,ISNUMBER(X74))),0,1)+IF(OR(COUNTA(Y74:AA74)=0,AND(COUNTA(Y74:AA74)=3,ISNUMBER(AA74))),0,1)+IF(OR(COUNTA(AB74:AD74)=0,AND(COUNTA(AB74:AD74)=3,ISNUMBER(AD74))),0,1)+IF(OR(COUNTA(AE74:AG74)=0,AND(COUNTA(AE74:AG74)=3,ISNUMBER(AG74))),0,1)+IF(OR(COUNTA(AH74:AJ74)=0,AND(COUNTA(AH74:AJ74)=3,ISNUMBER(AJ74))),0,1)+IF(OR(COUNTA(AK74:AM74)=0,AND(COUNTA(AK74:AM74)=3,ISNUMBER(AM74))),0,1)+IF(OR(COUNTA(AN74:AP74)=0,AND(COUNTA(AN74:AP74)=3,ISNUMBER(AP74))),0,1)+IF(OR(COUNTA(AQ74:AS74)=0,AND(COUNTA(AQ74:AS74)=3,ISNUMBER(AS74))),0,1)+IF(OR(COUNTA(AT74:AV74)=0,AND(COUNTA(AT74:AV74)=3,ISNUMBER(AV74))),0,1)+IF(OR(COUNTA(AW74:AY74)=0,AND(COUNTA(AW74:AY74)=3,ISNUMBER(AY74))),0,1)+IF(OR(COUNTA(AZ74:BB74)=0,AND(COUNTA(AZ74:BB74)=3,ISNUMBER(BB74))),0,1))&gt;0,"; An invoice is incomplete (needs No, Date and a number in Ex GST)","")&amp;IF((IF(T74="",0,IFERROR(--(EOMONTH(T74,0)&lt;&gt;S$5),1))+IF(W74="",0,IFERROR(--(EOMONTH(W74,0)&lt;&gt;V$5),1))+IF(Z74="",0,IFERROR(--(EOMONTH(Z74,0)&lt;&gt;Y$5),1))+IF(AC74="",0,IFERROR(--(EOMONTH(AC74,0)&lt;&gt;AB$5),1))+IF(AF74="",0,IFERROR(--(EOMONTH(AF74,0)&lt;&gt;AE$5),1))+IF(AI74="",0,IFERROR(--(EOMONTH(AI74,0)&lt;&gt;AH$5),1))+IF(AL74="",0,IFERROR(--(EOMONTH(AL74,0)&lt;&gt;AK$5),1))+IF(AO74="",0,IFERROR(--(EOMONTH(AO74,0)&lt;&gt;AN$5),1))+IF(AR74="",0,IFERROR(--(EOMONTH(AR74,0)&lt;&gt;AQ$5),1))+IF(AU74="",0,IFERROR(--(EOMONTH(AU74,0)&lt;&gt;AT$5),1))+IF(AX74="",0,IFERROR(--(EOMONTH(AX74,0)&lt;&gt;AW$5),1))+IF(BA74="",0,IFERROR(--(EOMONTH(BA74,0)&lt;&gt;AZ$5),1)))&gt;0,"; An invoice date is not in the month it is typed under",""),3,500))</f>
        <v/>
      </c>
      <c r="S74" s="12" t="n"/>
      <c r="T74" s="13" t="n"/>
      <c r="U74" s="14" t="n"/>
      <c r="V74" s="12" t="n"/>
      <c r="W74" s="13" t="n"/>
      <c r="X74" s="14" t="n"/>
      <c r="Y74" s="12" t="n"/>
      <c r="Z74" s="13" t="n"/>
      <c r="AA74" s="14" t="n"/>
      <c r="AB74" s="12" t="n"/>
      <c r="AC74" s="13" t="n"/>
      <c r="AD74" s="14" t="n"/>
      <c r="AE74" s="12" t="n"/>
      <c r="AF74" s="13" t="n"/>
      <c r="AG74" s="14" t="n"/>
      <c r="AH74" s="12" t="n"/>
      <c r="AI74" s="13" t="n"/>
      <c r="AJ74" s="14" t="n"/>
      <c r="AK74" s="12" t="n"/>
      <c r="AL74" s="13" t="n"/>
      <c r="AM74" s="14" t="n"/>
      <c r="AN74" s="12" t="n"/>
      <c r="AO74" s="13" t="n"/>
      <c r="AP74" s="14" t="n"/>
      <c r="AQ74" s="12" t="n"/>
      <c r="AR74" s="13" t="n"/>
      <c r="AS74" s="14" t="n"/>
      <c r="AT74" s="12" t="n"/>
      <c r="AU74" s="13" t="n"/>
      <c r="AV74" s="14" t="n"/>
      <c r="AW74" s="12" t="n"/>
      <c r="AX74" s="13" t="n"/>
      <c r="AY74" s="14" t="n"/>
      <c r="AZ74" s="12" t="n"/>
      <c r="BA74" s="13" t="n"/>
      <c r="BB74" s="14" t="n"/>
      <c r="BC74" s="11">
        <f>IF(O74="","",IF(J74="GST 10%",ROUND(O74*set_GSTRate,2),0))</f>
        <v/>
      </c>
      <c r="BD74" s="11">
        <f>IF(O74="","",O74+BC74)</f>
        <v/>
      </c>
      <c r="BE74" s="15">
        <f>IF(O74="","",COUNTA(S74,V74,Y74,AB74,AE74,AH74,AK74,AN74,AQ74,AT74,AW74,AZ74))</f>
        <v/>
      </c>
      <c r="BF74" s="16">
        <f>IF(COUNT(T74,W74,Z74,AC74,AF74,AI74,AL74,AO74,AR74,AU74,AX74,BA74)=0,"",MAX(T74,W74,Z74,AC74,AF74,AI74,AL74,AO74,AR74,AU74,AX74,BA74))</f>
        <v/>
      </c>
      <c r="BG74" s="10">
        <f>MID(IF(S74="","",", "&amp;S74)&amp;IF(V74="","",", "&amp;V74)&amp;IF(Y74="","",", "&amp;Y74)&amp;IF(AB74="","",", "&amp;AB74)&amp;IF(AE74="","",", "&amp;AE74)&amp;IF(AH74="","",", "&amp;AH74)&amp;IF(AK74="","",", "&amp;AK74)&amp;IF(AN74="","",", "&amp;AN74)&amp;IF(AQ74="","",", "&amp;AQ74)&amp;IF(AT74="","",", "&amp;AT74)&amp;IF(AW74="","",", "&amp;AW74)&amp;IF(AZ74="","",", "&amp;AZ74),3,500)</f>
        <v/>
      </c>
      <c r="BH74" s="12" t="n"/>
      <c r="BI74" s="15">
        <f>IFERROR(MATCH($A74,IF($B74="Onsite",tbl_Onsite[Row ID],IF($B74="Production",tbl_Production[Row ID],tbl_Consulting[Row ID])),0),"")</f>
        <v/>
      </c>
    </row>
    <row r="75">
      <c r="A75" s="10" t="inlineStr">
        <is>
          <t>ONS-0069</t>
        </is>
      </c>
      <c r="B75" s="10" t="inlineStr">
        <is>
          <t>Onsite</t>
        </is>
      </c>
      <c r="C75" s="10">
        <f>IF($BI75="","",IF($B75="Onsite",INDEX(tbl_Onsite[Job Number],$BI75),IF($B75="Production",INDEX(tbl_Production[Job Number],$BI75),INDEX(tbl_Consulting[Job Number],$BI75)))&amp;"")</f>
        <v/>
      </c>
      <c r="D75" s="10">
        <f>IF($BI75="","",IF($B75="Onsite",INDEX(tbl_Onsite[Client],$BI75),IF($B75="Production",INDEX(tbl_Production[Client],$BI75),INDEX(tbl_Consulting[Client],$BI75)))&amp;"")</f>
        <v/>
      </c>
      <c r="E75" s="10">
        <f>IF($C75="","",IF(COUNTIF(lst_Jobs,$C75)&gt;0,"OK","CHECK"))</f>
        <v/>
      </c>
      <c r="F75" s="10">
        <f>IF($C75="","",IFERROR(INDEX(lst_JobName,MATCH($C75,lst_Jobs,0)),""))</f>
        <v/>
      </c>
      <c r="G75" s="10">
        <f>IF($BI75="","",IF($B75="Onsite",INDEX(tbl_Onsite[Job Description],$BI75),IF($B75="Production",INDEX(tbl_Production[Job Description],$BI75),INDEX(tbl_Consulting[Job Description],$BI75)))&amp;"")</f>
        <v/>
      </c>
      <c r="H75" s="10">
        <f>IF($BI75="","",IF($B75="Onsite",INDEX(tbl_Onsite[Cost Centre],$BI75),IF($B75="Production",INDEX(tbl_Production[Cost Centre],$BI75),INDEX(tbl_Consulting[Cost Centre],$BI75)))&amp;"")</f>
        <v/>
      </c>
      <c r="I75" s="10">
        <f>IF($BI75="","",IF($B75="Onsite",INDEX(tbl_Onsite[Invoice Type],$BI75),IF($B75="Production",INDEX(tbl_Production[Invoice Type],$BI75),INDEX(tbl_Consulting[Invoice Type],$BI75)))&amp;"")</f>
        <v/>
      </c>
      <c r="J75" s="10">
        <f>IF($BI75="","",IF($B75="Onsite",INDEX(tbl_Onsite[Tax Code],$BI75),IF($B75="Production",INDEX(tbl_Production[Tax Code],$BI75),INDEX(tbl_Consulting[Tax Code],$BI75)))&amp;"")</f>
        <v/>
      </c>
      <c r="K75" s="10">
        <f>IF(H75="","",IFERROR(INDEX(lst_CCtoGL,MATCH(H75,lst_CCforGL,0)),""))</f>
        <v/>
      </c>
      <c r="L75" s="10">
        <f>IF($BI75="","",IF($B75="Onsite",INDEX(tbl_Onsite[PO / Reference],$BI75),IF($B75="Production",INDEX(tbl_Production[Current RMS No],$BI75),INDEX(tbl_Consulting[Qwilr Quote],$BI75)))&amp;"")</f>
        <v/>
      </c>
      <c r="M75" s="10">
        <f>IF($BI75="","",IF($B75="Onsite",INDEX(tbl_Onsite[Notes],$BI75),IF($B75="Production",INDEX(tbl_Production[Notes],$BI75),INDEX(tbl_Consulting[Notes],$BI75)))&amp;"")</f>
        <v/>
      </c>
      <c r="N75" s="11">
        <f>IF($BI75="","",IF(IF($B75="Onsite",INDEX(tbl_Onsite[Expected Revenue Ex GST],$BI75),IF($B75="Production",INDEX(tbl_Production[Expected Revenue Ex GST],$BI75),INDEX(tbl_Consulting[Expected Revenue Ex GST],$BI75)))="","",IF($B75="Onsite",INDEX(tbl_Onsite[Expected Revenue Ex GST],$BI75),IF($B75="Production",INDEX(tbl_Production[Expected Revenue Ex GST],$BI75),INDEX(tbl_Consulting[Expected Revenue Ex GST],$BI75)))))</f>
        <v/>
      </c>
      <c r="O75" s="11">
        <f>IF(AND($C75="",NOT(COUNTA($S75:$BB75)&gt;0)),"",SUM(U75,X75,AA75,AD75,AG75,AJ75,AM75,AP75,AS75,AV75,AY75,BB75))</f>
        <v/>
      </c>
      <c r="P75" s="11">
        <f>IF(O75="","",N(N75)-O75)</f>
        <v/>
      </c>
      <c r="Q75" s="10">
        <f>IF(O75="","",IF($C75="","Invoice on empty job row",IF(N75="",IF(ROUND(O75,2)=0,"No dept value","Invoiced - no dept value"),IF(ROUND(O75,2)=0,"Not invoiced - to invoice",IF(ROUND(P75,2)=0,"Agrees",IF(P75&gt;0,"Dept higher - to invoice","Xero higher - check dept"))))))</f>
        <v/>
      </c>
      <c r="R75" s="10">
        <f>IF(AND($C75="",NOT(COUNTA($S75:$BB75)&gt;0),$BI75&lt;&gt;""),"",MID(IF($BI75="","; Row ID not found on the department sheet - a row was deleted","")&amp;IF(AND($C75="",COUNTA($S75:$BB75)&gt;0),"; Invoice entered but the department row has no job number","")&amp;IF(E75="CHECK","; Job number not in the Xero job list","")&amp;IF(AND($C75&lt;&gt;"",COUNTIF($C$7:$C$1506,$C75)&gt;1),"; Job number on more than one row","")&amp;IF(AND($C75&lt;&gt;"",H75=""),"; Dept has not set a cost centre","")&amp;IF(AND($C75&lt;&gt;"",J75=""),"; Dept has not set a tax code","")&amp;IF(AND($C75&lt;&gt;"",N75=""),"; Dept has not entered an expected value","")&amp;IF((IF(OR(COUNTA(S75:U75)=0,AND(COUNTA(S75:U75)=3,ISNUMBER(U75))),0,1)+IF(OR(COUNTA(V75:X75)=0,AND(COUNTA(V75:X75)=3,ISNUMBER(X75))),0,1)+IF(OR(COUNTA(Y75:AA75)=0,AND(COUNTA(Y75:AA75)=3,ISNUMBER(AA75))),0,1)+IF(OR(COUNTA(AB75:AD75)=0,AND(COUNTA(AB75:AD75)=3,ISNUMBER(AD75))),0,1)+IF(OR(COUNTA(AE75:AG75)=0,AND(COUNTA(AE75:AG75)=3,ISNUMBER(AG75))),0,1)+IF(OR(COUNTA(AH75:AJ75)=0,AND(COUNTA(AH75:AJ75)=3,ISNUMBER(AJ75))),0,1)+IF(OR(COUNTA(AK75:AM75)=0,AND(COUNTA(AK75:AM75)=3,ISNUMBER(AM75))),0,1)+IF(OR(COUNTA(AN75:AP75)=0,AND(COUNTA(AN75:AP75)=3,ISNUMBER(AP75))),0,1)+IF(OR(COUNTA(AQ75:AS75)=0,AND(COUNTA(AQ75:AS75)=3,ISNUMBER(AS75))),0,1)+IF(OR(COUNTA(AT75:AV75)=0,AND(COUNTA(AT75:AV75)=3,ISNUMBER(AV75))),0,1)+IF(OR(COUNTA(AW75:AY75)=0,AND(COUNTA(AW75:AY75)=3,ISNUMBER(AY75))),0,1)+IF(OR(COUNTA(AZ75:BB75)=0,AND(COUNTA(AZ75:BB75)=3,ISNUMBER(BB75))),0,1))&gt;0,"; An invoice is incomplete (needs No, Date and a number in Ex GST)","")&amp;IF((IF(T75="",0,IFERROR(--(EOMONTH(T75,0)&lt;&gt;S$5),1))+IF(W75="",0,IFERROR(--(EOMONTH(W75,0)&lt;&gt;V$5),1))+IF(Z75="",0,IFERROR(--(EOMONTH(Z75,0)&lt;&gt;Y$5),1))+IF(AC75="",0,IFERROR(--(EOMONTH(AC75,0)&lt;&gt;AB$5),1))+IF(AF75="",0,IFERROR(--(EOMONTH(AF75,0)&lt;&gt;AE$5),1))+IF(AI75="",0,IFERROR(--(EOMONTH(AI75,0)&lt;&gt;AH$5),1))+IF(AL75="",0,IFERROR(--(EOMONTH(AL75,0)&lt;&gt;AK$5),1))+IF(AO75="",0,IFERROR(--(EOMONTH(AO75,0)&lt;&gt;AN$5),1))+IF(AR75="",0,IFERROR(--(EOMONTH(AR75,0)&lt;&gt;AQ$5),1))+IF(AU75="",0,IFERROR(--(EOMONTH(AU75,0)&lt;&gt;AT$5),1))+IF(AX75="",0,IFERROR(--(EOMONTH(AX75,0)&lt;&gt;AW$5),1))+IF(BA75="",0,IFERROR(--(EOMONTH(BA75,0)&lt;&gt;AZ$5),1)))&gt;0,"; An invoice date is not in the month it is typed under",""),3,500))</f>
        <v/>
      </c>
      <c r="S75" s="12" t="n"/>
      <c r="T75" s="13" t="n"/>
      <c r="U75" s="14" t="n"/>
      <c r="V75" s="12" t="n"/>
      <c r="W75" s="13" t="n"/>
      <c r="X75" s="14" t="n"/>
      <c r="Y75" s="12" t="n"/>
      <c r="Z75" s="13" t="n"/>
      <c r="AA75" s="14" t="n"/>
      <c r="AB75" s="12" t="n"/>
      <c r="AC75" s="13" t="n"/>
      <c r="AD75" s="14" t="n"/>
      <c r="AE75" s="12" t="n"/>
      <c r="AF75" s="13" t="n"/>
      <c r="AG75" s="14" t="n"/>
      <c r="AH75" s="12" t="n"/>
      <c r="AI75" s="13" t="n"/>
      <c r="AJ75" s="14" t="n"/>
      <c r="AK75" s="12" t="n"/>
      <c r="AL75" s="13" t="n"/>
      <c r="AM75" s="14" t="n"/>
      <c r="AN75" s="12" t="n"/>
      <c r="AO75" s="13" t="n"/>
      <c r="AP75" s="14" t="n"/>
      <c r="AQ75" s="12" t="n"/>
      <c r="AR75" s="13" t="n"/>
      <c r="AS75" s="14" t="n"/>
      <c r="AT75" s="12" t="n"/>
      <c r="AU75" s="13" t="n"/>
      <c r="AV75" s="14" t="n"/>
      <c r="AW75" s="12" t="n"/>
      <c r="AX75" s="13" t="n"/>
      <c r="AY75" s="14" t="n"/>
      <c r="AZ75" s="12" t="n"/>
      <c r="BA75" s="13" t="n"/>
      <c r="BB75" s="14" t="n"/>
      <c r="BC75" s="11">
        <f>IF(O75="","",IF(J75="GST 10%",ROUND(O75*set_GSTRate,2),0))</f>
        <v/>
      </c>
      <c r="BD75" s="11">
        <f>IF(O75="","",O75+BC75)</f>
        <v/>
      </c>
      <c r="BE75" s="15">
        <f>IF(O75="","",COUNTA(S75,V75,Y75,AB75,AE75,AH75,AK75,AN75,AQ75,AT75,AW75,AZ75))</f>
        <v/>
      </c>
      <c r="BF75" s="16">
        <f>IF(COUNT(T75,W75,Z75,AC75,AF75,AI75,AL75,AO75,AR75,AU75,AX75,BA75)=0,"",MAX(T75,W75,Z75,AC75,AF75,AI75,AL75,AO75,AR75,AU75,AX75,BA75))</f>
        <v/>
      </c>
      <c r="BG75" s="10">
        <f>MID(IF(S75="","",", "&amp;S75)&amp;IF(V75="","",", "&amp;V75)&amp;IF(Y75="","",", "&amp;Y75)&amp;IF(AB75="","",", "&amp;AB75)&amp;IF(AE75="","",", "&amp;AE75)&amp;IF(AH75="","",", "&amp;AH75)&amp;IF(AK75="","",", "&amp;AK75)&amp;IF(AN75="","",", "&amp;AN75)&amp;IF(AQ75="","",", "&amp;AQ75)&amp;IF(AT75="","",", "&amp;AT75)&amp;IF(AW75="","",", "&amp;AW75)&amp;IF(AZ75="","",", "&amp;AZ75),3,500)</f>
        <v/>
      </c>
      <c r="BH75" s="12" t="n"/>
      <c r="BI75" s="15">
        <f>IFERROR(MATCH($A75,IF($B75="Onsite",tbl_Onsite[Row ID],IF($B75="Production",tbl_Production[Row ID],tbl_Consulting[Row ID])),0),"")</f>
        <v/>
      </c>
    </row>
    <row r="76">
      <c r="A76" s="10" t="inlineStr">
        <is>
          <t>ONS-0070</t>
        </is>
      </c>
      <c r="B76" s="10" t="inlineStr">
        <is>
          <t>Onsite</t>
        </is>
      </c>
      <c r="C76" s="10">
        <f>IF($BI76="","",IF($B76="Onsite",INDEX(tbl_Onsite[Job Number],$BI76),IF($B76="Production",INDEX(tbl_Production[Job Number],$BI76),INDEX(tbl_Consulting[Job Number],$BI76)))&amp;"")</f>
        <v/>
      </c>
      <c r="D76" s="10">
        <f>IF($BI76="","",IF($B76="Onsite",INDEX(tbl_Onsite[Client],$BI76),IF($B76="Production",INDEX(tbl_Production[Client],$BI76),INDEX(tbl_Consulting[Client],$BI76)))&amp;"")</f>
        <v/>
      </c>
      <c r="E76" s="10">
        <f>IF($C76="","",IF(COUNTIF(lst_Jobs,$C76)&gt;0,"OK","CHECK"))</f>
        <v/>
      </c>
      <c r="F76" s="10">
        <f>IF($C76="","",IFERROR(INDEX(lst_JobName,MATCH($C76,lst_Jobs,0)),""))</f>
        <v/>
      </c>
      <c r="G76" s="10">
        <f>IF($BI76="","",IF($B76="Onsite",INDEX(tbl_Onsite[Job Description],$BI76),IF($B76="Production",INDEX(tbl_Production[Job Description],$BI76),INDEX(tbl_Consulting[Job Description],$BI76)))&amp;"")</f>
        <v/>
      </c>
      <c r="H76" s="10">
        <f>IF($BI76="","",IF($B76="Onsite",INDEX(tbl_Onsite[Cost Centre],$BI76),IF($B76="Production",INDEX(tbl_Production[Cost Centre],$BI76),INDEX(tbl_Consulting[Cost Centre],$BI76)))&amp;"")</f>
        <v/>
      </c>
      <c r="I76" s="10">
        <f>IF($BI76="","",IF($B76="Onsite",INDEX(tbl_Onsite[Invoice Type],$BI76),IF($B76="Production",INDEX(tbl_Production[Invoice Type],$BI76),INDEX(tbl_Consulting[Invoice Type],$BI76)))&amp;"")</f>
        <v/>
      </c>
      <c r="J76" s="10">
        <f>IF($BI76="","",IF($B76="Onsite",INDEX(tbl_Onsite[Tax Code],$BI76),IF($B76="Production",INDEX(tbl_Production[Tax Code],$BI76),INDEX(tbl_Consulting[Tax Code],$BI76)))&amp;"")</f>
        <v/>
      </c>
      <c r="K76" s="10">
        <f>IF(H76="","",IFERROR(INDEX(lst_CCtoGL,MATCH(H76,lst_CCforGL,0)),""))</f>
        <v/>
      </c>
      <c r="L76" s="10">
        <f>IF($BI76="","",IF($B76="Onsite",INDEX(tbl_Onsite[PO / Reference],$BI76),IF($B76="Production",INDEX(tbl_Production[Current RMS No],$BI76),INDEX(tbl_Consulting[Qwilr Quote],$BI76)))&amp;"")</f>
        <v/>
      </c>
      <c r="M76" s="10">
        <f>IF($BI76="","",IF($B76="Onsite",INDEX(tbl_Onsite[Notes],$BI76),IF($B76="Production",INDEX(tbl_Production[Notes],$BI76),INDEX(tbl_Consulting[Notes],$BI76)))&amp;"")</f>
        <v/>
      </c>
      <c r="N76" s="11">
        <f>IF($BI76="","",IF(IF($B76="Onsite",INDEX(tbl_Onsite[Expected Revenue Ex GST],$BI76),IF($B76="Production",INDEX(tbl_Production[Expected Revenue Ex GST],$BI76),INDEX(tbl_Consulting[Expected Revenue Ex GST],$BI76)))="","",IF($B76="Onsite",INDEX(tbl_Onsite[Expected Revenue Ex GST],$BI76),IF($B76="Production",INDEX(tbl_Production[Expected Revenue Ex GST],$BI76),INDEX(tbl_Consulting[Expected Revenue Ex GST],$BI76)))))</f>
        <v/>
      </c>
      <c r="O76" s="11">
        <f>IF(AND($C76="",NOT(COUNTA($S76:$BB76)&gt;0)),"",SUM(U76,X76,AA76,AD76,AG76,AJ76,AM76,AP76,AS76,AV76,AY76,BB76))</f>
        <v/>
      </c>
      <c r="P76" s="11">
        <f>IF(O76="","",N(N76)-O76)</f>
        <v/>
      </c>
      <c r="Q76" s="10">
        <f>IF(O76="","",IF($C76="","Invoice on empty job row",IF(N76="",IF(ROUND(O76,2)=0,"No dept value","Invoiced - no dept value"),IF(ROUND(O76,2)=0,"Not invoiced - to invoice",IF(ROUND(P76,2)=0,"Agrees",IF(P76&gt;0,"Dept higher - to invoice","Xero higher - check dept"))))))</f>
        <v/>
      </c>
      <c r="R76" s="10">
        <f>IF(AND($C76="",NOT(COUNTA($S76:$BB76)&gt;0),$BI76&lt;&gt;""),"",MID(IF($BI76="","; Row ID not found on the department sheet - a row was deleted","")&amp;IF(AND($C76="",COUNTA($S76:$BB76)&gt;0),"; Invoice entered but the department row has no job number","")&amp;IF(E76="CHECK","; Job number not in the Xero job list","")&amp;IF(AND($C76&lt;&gt;"",COUNTIF($C$7:$C$1506,$C76)&gt;1),"; Job number on more than one row","")&amp;IF(AND($C76&lt;&gt;"",H76=""),"; Dept has not set a cost centre","")&amp;IF(AND($C76&lt;&gt;"",J76=""),"; Dept has not set a tax code","")&amp;IF(AND($C76&lt;&gt;"",N76=""),"; Dept has not entered an expected value","")&amp;IF((IF(OR(COUNTA(S76:U76)=0,AND(COUNTA(S76:U76)=3,ISNUMBER(U76))),0,1)+IF(OR(COUNTA(V76:X76)=0,AND(COUNTA(V76:X76)=3,ISNUMBER(X76))),0,1)+IF(OR(COUNTA(Y76:AA76)=0,AND(COUNTA(Y76:AA76)=3,ISNUMBER(AA76))),0,1)+IF(OR(COUNTA(AB76:AD76)=0,AND(COUNTA(AB76:AD76)=3,ISNUMBER(AD76))),0,1)+IF(OR(COUNTA(AE76:AG76)=0,AND(COUNTA(AE76:AG76)=3,ISNUMBER(AG76))),0,1)+IF(OR(COUNTA(AH76:AJ76)=0,AND(COUNTA(AH76:AJ76)=3,ISNUMBER(AJ76))),0,1)+IF(OR(COUNTA(AK76:AM76)=0,AND(COUNTA(AK76:AM76)=3,ISNUMBER(AM76))),0,1)+IF(OR(COUNTA(AN76:AP76)=0,AND(COUNTA(AN76:AP76)=3,ISNUMBER(AP76))),0,1)+IF(OR(COUNTA(AQ76:AS76)=0,AND(COUNTA(AQ76:AS76)=3,ISNUMBER(AS76))),0,1)+IF(OR(COUNTA(AT76:AV76)=0,AND(COUNTA(AT76:AV76)=3,ISNUMBER(AV76))),0,1)+IF(OR(COUNTA(AW76:AY76)=0,AND(COUNTA(AW76:AY76)=3,ISNUMBER(AY76))),0,1)+IF(OR(COUNTA(AZ76:BB76)=0,AND(COUNTA(AZ76:BB76)=3,ISNUMBER(BB76))),0,1))&gt;0,"; An invoice is incomplete (needs No, Date and a number in Ex GST)","")&amp;IF((IF(T76="",0,IFERROR(--(EOMONTH(T76,0)&lt;&gt;S$5),1))+IF(W76="",0,IFERROR(--(EOMONTH(W76,0)&lt;&gt;V$5),1))+IF(Z76="",0,IFERROR(--(EOMONTH(Z76,0)&lt;&gt;Y$5),1))+IF(AC76="",0,IFERROR(--(EOMONTH(AC76,0)&lt;&gt;AB$5),1))+IF(AF76="",0,IFERROR(--(EOMONTH(AF76,0)&lt;&gt;AE$5),1))+IF(AI76="",0,IFERROR(--(EOMONTH(AI76,0)&lt;&gt;AH$5),1))+IF(AL76="",0,IFERROR(--(EOMONTH(AL76,0)&lt;&gt;AK$5),1))+IF(AO76="",0,IFERROR(--(EOMONTH(AO76,0)&lt;&gt;AN$5),1))+IF(AR76="",0,IFERROR(--(EOMONTH(AR76,0)&lt;&gt;AQ$5),1))+IF(AU76="",0,IFERROR(--(EOMONTH(AU76,0)&lt;&gt;AT$5),1))+IF(AX76="",0,IFERROR(--(EOMONTH(AX76,0)&lt;&gt;AW$5),1))+IF(BA76="",0,IFERROR(--(EOMONTH(BA76,0)&lt;&gt;AZ$5),1)))&gt;0,"; An invoice date is not in the month it is typed under",""),3,500))</f>
        <v/>
      </c>
      <c r="S76" s="12" t="n"/>
      <c r="T76" s="13" t="n"/>
      <c r="U76" s="14" t="n"/>
      <c r="V76" s="12" t="n"/>
      <c r="W76" s="13" t="n"/>
      <c r="X76" s="14" t="n"/>
      <c r="Y76" s="12" t="n"/>
      <c r="Z76" s="13" t="n"/>
      <c r="AA76" s="14" t="n"/>
      <c r="AB76" s="12" t="n"/>
      <c r="AC76" s="13" t="n"/>
      <c r="AD76" s="14" t="n"/>
      <c r="AE76" s="12" t="n"/>
      <c r="AF76" s="13" t="n"/>
      <c r="AG76" s="14" t="n"/>
      <c r="AH76" s="12" t="n"/>
      <c r="AI76" s="13" t="n"/>
      <c r="AJ76" s="14" t="n"/>
      <c r="AK76" s="12" t="n"/>
      <c r="AL76" s="13" t="n"/>
      <c r="AM76" s="14" t="n"/>
      <c r="AN76" s="12" t="n"/>
      <c r="AO76" s="13" t="n"/>
      <c r="AP76" s="14" t="n"/>
      <c r="AQ76" s="12" t="n"/>
      <c r="AR76" s="13" t="n"/>
      <c r="AS76" s="14" t="n"/>
      <c r="AT76" s="12" t="n"/>
      <c r="AU76" s="13" t="n"/>
      <c r="AV76" s="14" t="n"/>
      <c r="AW76" s="12" t="n"/>
      <c r="AX76" s="13" t="n"/>
      <c r="AY76" s="14" t="n"/>
      <c r="AZ76" s="12" t="n"/>
      <c r="BA76" s="13" t="n"/>
      <c r="BB76" s="14" t="n"/>
      <c r="BC76" s="11">
        <f>IF(O76="","",IF(J76="GST 10%",ROUND(O76*set_GSTRate,2),0))</f>
        <v/>
      </c>
      <c r="BD76" s="11">
        <f>IF(O76="","",O76+BC76)</f>
        <v/>
      </c>
      <c r="BE76" s="15">
        <f>IF(O76="","",COUNTA(S76,V76,Y76,AB76,AE76,AH76,AK76,AN76,AQ76,AT76,AW76,AZ76))</f>
        <v/>
      </c>
      <c r="BF76" s="16">
        <f>IF(COUNT(T76,W76,Z76,AC76,AF76,AI76,AL76,AO76,AR76,AU76,AX76,BA76)=0,"",MAX(T76,W76,Z76,AC76,AF76,AI76,AL76,AO76,AR76,AU76,AX76,BA76))</f>
        <v/>
      </c>
      <c r="BG76" s="10">
        <f>MID(IF(S76="","",", "&amp;S76)&amp;IF(V76="","",", "&amp;V76)&amp;IF(Y76="","",", "&amp;Y76)&amp;IF(AB76="","",", "&amp;AB76)&amp;IF(AE76="","",", "&amp;AE76)&amp;IF(AH76="","",", "&amp;AH76)&amp;IF(AK76="","",", "&amp;AK76)&amp;IF(AN76="","",", "&amp;AN76)&amp;IF(AQ76="","",", "&amp;AQ76)&amp;IF(AT76="","",", "&amp;AT76)&amp;IF(AW76="","",", "&amp;AW76)&amp;IF(AZ76="","",", "&amp;AZ76),3,500)</f>
        <v/>
      </c>
      <c r="BH76" s="12" t="n"/>
      <c r="BI76" s="15">
        <f>IFERROR(MATCH($A76,IF($B76="Onsite",tbl_Onsite[Row ID],IF($B76="Production",tbl_Production[Row ID],tbl_Consulting[Row ID])),0),"")</f>
        <v/>
      </c>
    </row>
    <row r="77">
      <c r="A77" s="10" t="inlineStr">
        <is>
          <t>ONS-0071</t>
        </is>
      </c>
      <c r="B77" s="10" t="inlineStr">
        <is>
          <t>Onsite</t>
        </is>
      </c>
      <c r="C77" s="10">
        <f>IF($BI77="","",IF($B77="Onsite",INDEX(tbl_Onsite[Job Number],$BI77),IF($B77="Production",INDEX(tbl_Production[Job Number],$BI77),INDEX(tbl_Consulting[Job Number],$BI77)))&amp;"")</f>
        <v/>
      </c>
      <c r="D77" s="10">
        <f>IF($BI77="","",IF($B77="Onsite",INDEX(tbl_Onsite[Client],$BI77),IF($B77="Production",INDEX(tbl_Production[Client],$BI77),INDEX(tbl_Consulting[Client],$BI77)))&amp;"")</f>
        <v/>
      </c>
      <c r="E77" s="10">
        <f>IF($C77="","",IF(COUNTIF(lst_Jobs,$C77)&gt;0,"OK","CHECK"))</f>
        <v/>
      </c>
      <c r="F77" s="10">
        <f>IF($C77="","",IFERROR(INDEX(lst_JobName,MATCH($C77,lst_Jobs,0)),""))</f>
        <v/>
      </c>
      <c r="G77" s="10">
        <f>IF($BI77="","",IF($B77="Onsite",INDEX(tbl_Onsite[Job Description],$BI77),IF($B77="Production",INDEX(tbl_Production[Job Description],$BI77),INDEX(tbl_Consulting[Job Description],$BI77)))&amp;"")</f>
        <v/>
      </c>
      <c r="H77" s="10">
        <f>IF($BI77="","",IF($B77="Onsite",INDEX(tbl_Onsite[Cost Centre],$BI77),IF($B77="Production",INDEX(tbl_Production[Cost Centre],$BI77),INDEX(tbl_Consulting[Cost Centre],$BI77)))&amp;"")</f>
        <v/>
      </c>
      <c r="I77" s="10">
        <f>IF($BI77="","",IF($B77="Onsite",INDEX(tbl_Onsite[Invoice Type],$BI77),IF($B77="Production",INDEX(tbl_Production[Invoice Type],$BI77),INDEX(tbl_Consulting[Invoice Type],$BI77)))&amp;"")</f>
        <v/>
      </c>
      <c r="J77" s="10">
        <f>IF($BI77="","",IF($B77="Onsite",INDEX(tbl_Onsite[Tax Code],$BI77),IF($B77="Production",INDEX(tbl_Production[Tax Code],$BI77),INDEX(tbl_Consulting[Tax Code],$BI77)))&amp;"")</f>
        <v/>
      </c>
      <c r="K77" s="10">
        <f>IF(H77="","",IFERROR(INDEX(lst_CCtoGL,MATCH(H77,lst_CCforGL,0)),""))</f>
        <v/>
      </c>
      <c r="L77" s="10">
        <f>IF($BI77="","",IF($B77="Onsite",INDEX(tbl_Onsite[PO / Reference],$BI77),IF($B77="Production",INDEX(tbl_Production[Current RMS No],$BI77),INDEX(tbl_Consulting[Qwilr Quote],$BI77)))&amp;"")</f>
        <v/>
      </c>
      <c r="M77" s="10">
        <f>IF($BI77="","",IF($B77="Onsite",INDEX(tbl_Onsite[Notes],$BI77),IF($B77="Production",INDEX(tbl_Production[Notes],$BI77),INDEX(tbl_Consulting[Notes],$BI77)))&amp;"")</f>
        <v/>
      </c>
      <c r="N77" s="11">
        <f>IF($BI77="","",IF(IF($B77="Onsite",INDEX(tbl_Onsite[Expected Revenue Ex GST],$BI77),IF($B77="Production",INDEX(tbl_Production[Expected Revenue Ex GST],$BI77),INDEX(tbl_Consulting[Expected Revenue Ex GST],$BI77)))="","",IF($B77="Onsite",INDEX(tbl_Onsite[Expected Revenue Ex GST],$BI77),IF($B77="Production",INDEX(tbl_Production[Expected Revenue Ex GST],$BI77),INDEX(tbl_Consulting[Expected Revenue Ex GST],$BI77)))))</f>
        <v/>
      </c>
      <c r="O77" s="11">
        <f>IF(AND($C77="",NOT(COUNTA($S77:$BB77)&gt;0)),"",SUM(U77,X77,AA77,AD77,AG77,AJ77,AM77,AP77,AS77,AV77,AY77,BB77))</f>
        <v/>
      </c>
      <c r="P77" s="11">
        <f>IF(O77="","",N(N77)-O77)</f>
        <v/>
      </c>
      <c r="Q77" s="10">
        <f>IF(O77="","",IF($C77="","Invoice on empty job row",IF(N77="",IF(ROUND(O77,2)=0,"No dept value","Invoiced - no dept value"),IF(ROUND(O77,2)=0,"Not invoiced - to invoice",IF(ROUND(P77,2)=0,"Agrees",IF(P77&gt;0,"Dept higher - to invoice","Xero higher - check dept"))))))</f>
        <v/>
      </c>
      <c r="R77" s="10">
        <f>IF(AND($C77="",NOT(COUNTA($S77:$BB77)&gt;0),$BI77&lt;&gt;""),"",MID(IF($BI77="","; Row ID not found on the department sheet - a row was deleted","")&amp;IF(AND($C77="",COUNTA($S77:$BB77)&gt;0),"; Invoice entered but the department row has no job number","")&amp;IF(E77="CHECK","; Job number not in the Xero job list","")&amp;IF(AND($C77&lt;&gt;"",COUNTIF($C$7:$C$1506,$C77)&gt;1),"; Job number on more than one row","")&amp;IF(AND($C77&lt;&gt;"",H77=""),"; Dept has not set a cost centre","")&amp;IF(AND($C77&lt;&gt;"",J77=""),"; Dept has not set a tax code","")&amp;IF(AND($C77&lt;&gt;"",N77=""),"; Dept has not entered an expected value","")&amp;IF((IF(OR(COUNTA(S77:U77)=0,AND(COUNTA(S77:U77)=3,ISNUMBER(U77))),0,1)+IF(OR(COUNTA(V77:X77)=0,AND(COUNTA(V77:X77)=3,ISNUMBER(X77))),0,1)+IF(OR(COUNTA(Y77:AA77)=0,AND(COUNTA(Y77:AA77)=3,ISNUMBER(AA77))),0,1)+IF(OR(COUNTA(AB77:AD77)=0,AND(COUNTA(AB77:AD77)=3,ISNUMBER(AD77))),0,1)+IF(OR(COUNTA(AE77:AG77)=0,AND(COUNTA(AE77:AG77)=3,ISNUMBER(AG77))),0,1)+IF(OR(COUNTA(AH77:AJ77)=0,AND(COUNTA(AH77:AJ77)=3,ISNUMBER(AJ77))),0,1)+IF(OR(COUNTA(AK77:AM77)=0,AND(COUNTA(AK77:AM77)=3,ISNUMBER(AM77))),0,1)+IF(OR(COUNTA(AN77:AP77)=0,AND(COUNTA(AN77:AP77)=3,ISNUMBER(AP77))),0,1)+IF(OR(COUNTA(AQ77:AS77)=0,AND(COUNTA(AQ77:AS77)=3,ISNUMBER(AS77))),0,1)+IF(OR(COUNTA(AT77:AV77)=0,AND(COUNTA(AT77:AV77)=3,ISNUMBER(AV77))),0,1)+IF(OR(COUNTA(AW77:AY77)=0,AND(COUNTA(AW77:AY77)=3,ISNUMBER(AY77))),0,1)+IF(OR(COUNTA(AZ77:BB77)=0,AND(COUNTA(AZ77:BB77)=3,ISNUMBER(BB77))),0,1))&gt;0,"; An invoice is incomplete (needs No, Date and a number in Ex GST)","")&amp;IF((IF(T77="",0,IFERROR(--(EOMONTH(T77,0)&lt;&gt;S$5),1))+IF(W77="",0,IFERROR(--(EOMONTH(W77,0)&lt;&gt;V$5),1))+IF(Z77="",0,IFERROR(--(EOMONTH(Z77,0)&lt;&gt;Y$5),1))+IF(AC77="",0,IFERROR(--(EOMONTH(AC77,0)&lt;&gt;AB$5),1))+IF(AF77="",0,IFERROR(--(EOMONTH(AF77,0)&lt;&gt;AE$5),1))+IF(AI77="",0,IFERROR(--(EOMONTH(AI77,0)&lt;&gt;AH$5),1))+IF(AL77="",0,IFERROR(--(EOMONTH(AL77,0)&lt;&gt;AK$5),1))+IF(AO77="",0,IFERROR(--(EOMONTH(AO77,0)&lt;&gt;AN$5),1))+IF(AR77="",0,IFERROR(--(EOMONTH(AR77,0)&lt;&gt;AQ$5),1))+IF(AU77="",0,IFERROR(--(EOMONTH(AU77,0)&lt;&gt;AT$5),1))+IF(AX77="",0,IFERROR(--(EOMONTH(AX77,0)&lt;&gt;AW$5),1))+IF(BA77="",0,IFERROR(--(EOMONTH(BA77,0)&lt;&gt;AZ$5),1)))&gt;0,"; An invoice date is not in the month it is typed under",""),3,500))</f>
        <v/>
      </c>
      <c r="S77" s="12" t="n"/>
      <c r="T77" s="13" t="n"/>
      <c r="U77" s="14" t="n"/>
      <c r="V77" s="12" t="n"/>
      <c r="W77" s="13" t="n"/>
      <c r="X77" s="14" t="n"/>
      <c r="Y77" s="12" t="n"/>
      <c r="Z77" s="13" t="n"/>
      <c r="AA77" s="14" t="n"/>
      <c r="AB77" s="12" t="n"/>
      <c r="AC77" s="13" t="n"/>
      <c r="AD77" s="14" t="n"/>
      <c r="AE77" s="12" t="n"/>
      <c r="AF77" s="13" t="n"/>
      <c r="AG77" s="14" t="n"/>
      <c r="AH77" s="12" t="n"/>
      <c r="AI77" s="13" t="n"/>
      <c r="AJ77" s="14" t="n"/>
      <c r="AK77" s="12" t="n"/>
      <c r="AL77" s="13" t="n"/>
      <c r="AM77" s="14" t="n"/>
      <c r="AN77" s="12" t="n"/>
      <c r="AO77" s="13" t="n"/>
      <c r="AP77" s="14" t="n"/>
      <c r="AQ77" s="12" t="n"/>
      <c r="AR77" s="13" t="n"/>
      <c r="AS77" s="14" t="n"/>
      <c r="AT77" s="12" t="n"/>
      <c r="AU77" s="13" t="n"/>
      <c r="AV77" s="14" t="n"/>
      <c r="AW77" s="12" t="n"/>
      <c r="AX77" s="13" t="n"/>
      <c r="AY77" s="14" t="n"/>
      <c r="AZ77" s="12" t="n"/>
      <c r="BA77" s="13" t="n"/>
      <c r="BB77" s="14" t="n"/>
      <c r="BC77" s="11">
        <f>IF(O77="","",IF(J77="GST 10%",ROUND(O77*set_GSTRate,2),0))</f>
        <v/>
      </c>
      <c r="BD77" s="11">
        <f>IF(O77="","",O77+BC77)</f>
        <v/>
      </c>
      <c r="BE77" s="15">
        <f>IF(O77="","",COUNTA(S77,V77,Y77,AB77,AE77,AH77,AK77,AN77,AQ77,AT77,AW77,AZ77))</f>
        <v/>
      </c>
      <c r="BF77" s="16">
        <f>IF(COUNT(T77,W77,Z77,AC77,AF77,AI77,AL77,AO77,AR77,AU77,AX77,BA77)=0,"",MAX(T77,W77,Z77,AC77,AF77,AI77,AL77,AO77,AR77,AU77,AX77,BA77))</f>
        <v/>
      </c>
      <c r="BG77" s="10">
        <f>MID(IF(S77="","",", "&amp;S77)&amp;IF(V77="","",", "&amp;V77)&amp;IF(Y77="","",", "&amp;Y77)&amp;IF(AB77="","",", "&amp;AB77)&amp;IF(AE77="","",", "&amp;AE77)&amp;IF(AH77="","",", "&amp;AH77)&amp;IF(AK77="","",", "&amp;AK77)&amp;IF(AN77="","",", "&amp;AN77)&amp;IF(AQ77="","",", "&amp;AQ77)&amp;IF(AT77="","",", "&amp;AT77)&amp;IF(AW77="","",", "&amp;AW77)&amp;IF(AZ77="","",", "&amp;AZ77),3,500)</f>
        <v/>
      </c>
      <c r="BH77" s="12" t="n"/>
      <c r="BI77" s="15">
        <f>IFERROR(MATCH($A77,IF($B77="Onsite",tbl_Onsite[Row ID],IF($B77="Production",tbl_Production[Row ID],tbl_Consulting[Row ID])),0),"")</f>
        <v/>
      </c>
    </row>
    <row r="78">
      <c r="A78" s="10" t="inlineStr">
        <is>
          <t>ONS-0072</t>
        </is>
      </c>
      <c r="B78" s="10" t="inlineStr">
        <is>
          <t>Onsite</t>
        </is>
      </c>
      <c r="C78" s="10">
        <f>IF($BI78="","",IF($B78="Onsite",INDEX(tbl_Onsite[Job Number],$BI78),IF($B78="Production",INDEX(tbl_Production[Job Number],$BI78),INDEX(tbl_Consulting[Job Number],$BI78)))&amp;"")</f>
        <v/>
      </c>
      <c r="D78" s="10">
        <f>IF($BI78="","",IF($B78="Onsite",INDEX(tbl_Onsite[Client],$BI78),IF($B78="Production",INDEX(tbl_Production[Client],$BI78),INDEX(tbl_Consulting[Client],$BI78)))&amp;"")</f>
        <v/>
      </c>
      <c r="E78" s="10">
        <f>IF($C78="","",IF(COUNTIF(lst_Jobs,$C78)&gt;0,"OK","CHECK"))</f>
        <v/>
      </c>
      <c r="F78" s="10">
        <f>IF($C78="","",IFERROR(INDEX(lst_JobName,MATCH($C78,lst_Jobs,0)),""))</f>
        <v/>
      </c>
      <c r="G78" s="10">
        <f>IF($BI78="","",IF($B78="Onsite",INDEX(tbl_Onsite[Job Description],$BI78),IF($B78="Production",INDEX(tbl_Production[Job Description],$BI78),INDEX(tbl_Consulting[Job Description],$BI78)))&amp;"")</f>
        <v/>
      </c>
      <c r="H78" s="10">
        <f>IF($BI78="","",IF($B78="Onsite",INDEX(tbl_Onsite[Cost Centre],$BI78),IF($B78="Production",INDEX(tbl_Production[Cost Centre],$BI78),INDEX(tbl_Consulting[Cost Centre],$BI78)))&amp;"")</f>
        <v/>
      </c>
      <c r="I78" s="10">
        <f>IF($BI78="","",IF($B78="Onsite",INDEX(tbl_Onsite[Invoice Type],$BI78),IF($B78="Production",INDEX(tbl_Production[Invoice Type],$BI78),INDEX(tbl_Consulting[Invoice Type],$BI78)))&amp;"")</f>
        <v/>
      </c>
      <c r="J78" s="10">
        <f>IF($BI78="","",IF($B78="Onsite",INDEX(tbl_Onsite[Tax Code],$BI78),IF($B78="Production",INDEX(tbl_Production[Tax Code],$BI78),INDEX(tbl_Consulting[Tax Code],$BI78)))&amp;"")</f>
        <v/>
      </c>
      <c r="K78" s="10">
        <f>IF(H78="","",IFERROR(INDEX(lst_CCtoGL,MATCH(H78,lst_CCforGL,0)),""))</f>
        <v/>
      </c>
      <c r="L78" s="10">
        <f>IF($BI78="","",IF($B78="Onsite",INDEX(tbl_Onsite[PO / Reference],$BI78),IF($B78="Production",INDEX(tbl_Production[Current RMS No],$BI78),INDEX(tbl_Consulting[Qwilr Quote],$BI78)))&amp;"")</f>
        <v/>
      </c>
      <c r="M78" s="10">
        <f>IF($BI78="","",IF($B78="Onsite",INDEX(tbl_Onsite[Notes],$BI78),IF($B78="Production",INDEX(tbl_Production[Notes],$BI78),INDEX(tbl_Consulting[Notes],$BI78)))&amp;"")</f>
        <v/>
      </c>
      <c r="N78" s="11">
        <f>IF($BI78="","",IF(IF($B78="Onsite",INDEX(tbl_Onsite[Expected Revenue Ex GST],$BI78),IF($B78="Production",INDEX(tbl_Production[Expected Revenue Ex GST],$BI78),INDEX(tbl_Consulting[Expected Revenue Ex GST],$BI78)))="","",IF($B78="Onsite",INDEX(tbl_Onsite[Expected Revenue Ex GST],$BI78),IF($B78="Production",INDEX(tbl_Production[Expected Revenue Ex GST],$BI78),INDEX(tbl_Consulting[Expected Revenue Ex GST],$BI78)))))</f>
        <v/>
      </c>
      <c r="O78" s="11">
        <f>IF(AND($C78="",NOT(COUNTA($S78:$BB78)&gt;0)),"",SUM(U78,X78,AA78,AD78,AG78,AJ78,AM78,AP78,AS78,AV78,AY78,BB78))</f>
        <v/>
      </c>
      <c r="P78" s="11">
        <f>IF(O78="","",N(N78)-O78)</f>
        <v/>
      </c>
      <c r="Q78" s="10">
        <f>IF(O78="","",IF($C78="","Invoice on empty job row",IF(N78="",IF(ROUND(O78,2)=0,"No dept value","Invoiced - no dept value"),IF(ROUND(O78,2)=0,"Not invoiced - to invoice",IF(ROUND(P78,2)=0,"Agrees",IF(P78&gt;0,"Dept higher - to invoice","Xero higher - check dept"))))))</f>
        <v/>
      </c>
      <c r="R78" s="10">
        <f>IF(AND($C78="",NOT(COUNTA($S78:$BB78)&gt;0),$BI78&lt;&gt;""),"",MID(IF($BI78="","; Row ID not found on the department sheet - a row was deleted","")&amp;IF(AND($C78="",COUNTA($S78:$BB78)&gt;0),"; Invoice entered but the department row has no job number","")&amp;IF(E78="CHECK","; Job number not in the Xero job list","")&amp;IF(AND($C78&lt;&gt;"",COUNTIF($C$7:$C$1506,$C78)&gt;1),"; Job number on more than one row","")&amp;IF(AND($C78&lt;&gt;"",H78=""),"; Dept has not set a cost centre","")&amp;IF(AND($C78&lt;&gt;"",J78=""),"; Dept has not set a tax code","")&amp;IF(AND($C78&lt;&gt;"",N78=""),"; Dept has not entered an expected value","")&amp;IF((IF(OR(COUNTA(S78:U78)=0,AND(COUNTA(S78:U78)=3,ISNUMBER(U78))),0,1)+IF(OR(COUNTA(V78:X78)=0,AND(COUNTA(V78:X78)=3,ISNUMBER(X78))),0,1)+IF(OR(COUNTA(Y78:AA78)=0,AND(COUNTA(Y78:AA78)=3,ISNUMBER(AA78))),0,1)+IF(OR(COUNTA(AB78:AD78)=0,AND(COUNTA(AB78:AD78)=3,ISNUMBER(AD78))),0,1)+IF(OR(COUNTA(AE78:AG78)=0,AND(COUNTA(AE78:AG78)=3,ISNUMBER(AG78))),0,1)+IF(OR(COUNTA(AH78:AJ78)=0,AND(COUNTA(AH78:AJ78)=3,ISNUMBER(AJ78))),0,1)+IF(OR(COUNTA(AK78:AM78)=0,AND(COUNTA(AK78:AM78)=3,ISNUMBER(AM78))),0,1)+IF(OR(COUNTA(AN78:AP78)=0,AND(COUNTA(AN78:AP78)=3,ISNUMBER(AP78))),0,1)+IF(OR(COUNTA(AQ78:AS78)=0,AND(COUNTA(AQ78:AS78)=3,ISNUMBER(AS78))),0,1)+IF(OR(COUNTA(AT78:AV78)=0,AND(COUNTA(AT78:AV78)=3,ISNUMBER(AV78))),0,1)+IF(OR(COUNTA(AW78:AY78)=0,AND(COUNTA(AW78:AY78)=3,ISNUMBER(AY78))),0,1)+IF(OR(COUNTA(AZ78:BB78)=0,AND(COUNTA(AZ78:BB78)=3,ISNUMBER(BB78))),0,1))&gt;0,"; An invoice is incomplete (needs No, Date and a number in Ex GST)","")&amp;IF((IF(T78="",0,IFERROR(--(EOMONTH(T78,0)&lt;&gt;S$5),1))+IF(W78="",0,IFERROR(--(EOMONTH(W78,0)&lt;&gt;V$5),1))+IF(Z78="",0,IFERROR(--(EOMONTH(Z78,0)&lt;&gt;Y$5),1))+IF(AC78="",0,IFERROR(--(EOMONTH(AC78,0)&lt;&gt;AB$5),1))+IF(AF78="",0,IFERROR(--(EOMONTH(AF78,0)&lt;&gt;AE$5),1))+IF(AI78="",0,IFERROR(--(EOMONTH(AI78,0)&lt;&gt;AH$5),1))+IF(AL78="",0,IFERROR(--(EOMONTH(AL78,0)&lt;&gt;AK$5),1))+IF(AO78="",0,IFERROR(--(EOMONTH(AO78,0)&lt;&gt;AN$5),1))+IF(AR78="",0,IFERROR(--(EOMONTH(AR78,0)&lt;&gt;AQ$5),1))+IF(AU78="",0,IFERROR(--(EOMONTH(AU78,0)&lt;&gt;AT$5),1))+IF(AX78="",0,IFERROR(--(EOMONTH(AX78,0)&lt;&gt;AW$5),1))+IF(BA78="",0,IFERROR(--(EOMONTH(BA78,0)&lt;&gt;AZ$5),1)))&gt;0,"; An invoice date is not in the month it is typed under",""),3,500))</f>
        <v/>
      </c>
      <c r="S78" s="12" t="n"/>
      <c r="T78" s="13" t="n"/>
      <c r="U78" s="14" t="n"/>
      <c r="V78" s="12" t="n"/>
      <c r="W78" s="13" t="n"/>
      <c r="X78" s="14" t="n"/>
      <c r="Y78" s="12" t="n"/>
      <c r="Z78" s="13" t="n"/>
      <c r="AA78" s="14" t="n"/>
      <c r="AB78" s="12" t="n"/>
      <c r="AC78" s="13" t="n"/>
      <c r="AD78" s="14" t="n"/>
      <c r="AE78" s="12" t="n"/>
      <c r="AF78" s="13" t="n"/>
      <c r="AG78" s="14" t="n"/>
      <c r="AH78" s="12" t="n"/>
      <c r="AI78" s="13" t="n"/>
      <c r="AJ78" s="14" t="n"/>
      <c r="AK78" s="12" t="n"/>
      <c r="AL78" s="13" t="n"/>
      <c r="AM78" s="14" t="n"/>
      <c r="AN78" s="12" t="n"/>
      <c r="AO78" s="13" t="n"/>
      <c r="AP78" s="14" t="n"/>
      <c r="AQ78" s="12" t="n"/>
      <c r="AR78" s="13" t="n"/>
      <c r="AS78" s="14" t="n"/>
      <c r="AT78" s="12" t="n"/>
      <c r="AU78" s="13" t="n"/>
      <c r="AV78" s="14" t="n"/>
      <c r="AW78" s="12" t="n"/>
      <c r="AX78" s="13" t="n"/>
      <c r="AY78" s="14" t="n"/>
      <c r="AZ78" s="12" t="n"/>
      <c r="BA78" s="13" t="n"/>
      <c r="BB78" s="14" t="n"/>
      <c r="BC78" s="11">
        <f>IF(O78="","",IF(J78="GST 10%",ROUND(O78*set_GSTRate,2),0))</f>
        <v/>
      </c>
      <c r="BD78" s="11">
        <f>IF(O78="","",O78+BC78)</f>
        <v/>
      </c>
      <c r="BE78" s="15">
        <f>IF(O78="","",COUNTA(S78,V78,Y78,AB78,AE78,AH78,AK78,AN78,AQ78,AT78,AW78,AZ78))</f>
        <v/>
      </c>
      <c r="BF78" s="16">
        <f>IF(COUNT(T78,W78,Z78,AC78,AF78,AI78,AL78,AO78,AR78,AU78,AX78,BA78)=0,"",MAX(T78,W78,Z78,AC78,AF78,AI78,AL78,AO78,AR78,AU78,AX78,BA78))</f>
        <v/>
      </c>
      <c r="BG78" s="10">
        <f>MID(IF(S78="","",", "&amp;S78)&amp;IF(V78="","",", "&amp;V78)&amp;IF(Y78="","",", "&amp;Y78)&amp;IF(AB78="","",", "&amp;AB78)&amp;IF(AE78="","",", "&amp;AE78)&amp;IF(AH78="","",", "&amp;AH78)&amp;IF(AK78="","",", "&amp;AK78)&amp;IF(AN78="","",", "&amp;AN78)&amp;IF(AQ78="","",", "&amp;AQ78)&amp;IF(AT78="","",", "&amp;AT78)&amp;IF(AW78="","",", "&amp;AW78)&amp;IF(AZ78="","",", "&amp;AZ78),3,500)</f>
        <v/>
      </c>
      <c r="BH78" s="12" t="n"/>
      <c r="BI78" s="15">
        <f>IFERROR(MATCH($A78,IF($B78="Onsite",tbl_Onsite[Row ID],IF($B78="Production",tbl_Production[Row ID],tbl_Consulting[Row ID])),0),"")</f>
        <v/>
      </c>
    </row>
    <row r="79">
      <c r="A79" s="10" t="inlineStr">
        <is>
          <t>ONS-0073</t>
        </is>
      </c>
      <c r="B79" s="10" t="inlineStr">
        <is>
          <t>Onsite</t>
        </is>
      </c>
      <c r="C79" s="10">
        <f>IF($BI79="","",IF($B79="Onsite",INDEX(tbl_Onsite[Job Number],$BI79),IF($B79="Production",INDEX(tbl_Production[Job Number],$BI79),INDEX(tbl_Consulting[Job Number],$BI79)))&amp;"")</f>
        <v/>
      </c>
      <c r="D79" s="10">
        <f>IF($BI79="","",IF($B79="Onsite",INDEX(tbl_Onsite[Client],$BI79),IF($B79="Production",INDEX(tbl_Production[Client],$BI79),INDEX(tbl_Consulting[Client],$BI79)))&amp;"")</f>
        <v/>
      </c>
      <c r="E79" s="10">
        <f>IF($C79="","",IF(COUNTIF(lst_Jobs,$C79)&gt;0,"OK","CHECK"))</f>
        <v/>
      </c>
      <c r="F79" s="10">
        <f>IF($C79="","",IFERROR(INDEX(lst_JobName,MATCH($C79,lst_Jobs,0)),""))</f>
        <v/>
      </c>
      <c r="G79" s="10">
        <f>IF($BI79="","",IF($B79="Onsite",INDEX(tbl_Onsite[Job Description],$BI79),IF($B79="Production",INDEX(tbl_Production[Job Description],$BI79),INDEX(tbl_Consulting[Job Description],$BI79)))&amp;"")</f>
        <v/>
      </c>
      <c r="H79" s="10">
        <f>IF($BI79="","",IF($B79="Onsite",INDEX(tbl_Onsite[Cost Centre],$BI79),IF($B79="Production",INDEX(tbl_Production[Cost Centre],$BI79),INDEX(tbl_Consulting[Cost Centre],$BI79)))&amp;"")</f>
        <v/>
      </c>
      <c r="I79" s="10">
        <f>IF($BI79="","",IF($B79="Onsite",INDEX(tbl_Onsite[Invoice Type],$BI79),IF($B79="Production",INDEX(tbl_Production[Invoice Type],$BI79),INDEX(tbl_Consulting[Invoice Type],$BI79)))&amp;"")</f>
        <v/>
      </c>
      <c r="J79" s="10">
        <f>IF($BI79="","",IF($B79="Onsite",INDEX(tbl_Onsite[Tax Code],$BI79),IF($B79="Production",INDEX(tbl_Production[Tax Code],$BI79),INDEX(tbl_Consulting[Tax Code],$BI79)))&amp;"")</f>
        <v/>
      </c>
      <c r="K79" s="10">
        <f>IF(H79="","",IFERROR(INDEX(lst_CCtoGL,MATCH(H79,lst_CCforGL,0)),""))</f>
        <v/>
      </c>
      <c r="L79" s="10">
        <f>IF($BI79="","",IF($B79="Onsite",INDEX(tbl_Onsite[PO / Reference],$BI79),IF($B79="Production",INDEX(tbl_Production[Current RMS No],$BI79),INDEX(tbl_Consulting[Qwilr Quote],$BI79)))&amp;"")</f>
        <v/>
      </c>
      <c r="M79" s="10">
        <f>IF($BI79="","",IF($B79="Onsite",INDEX(tbl_Onsite[Notes],$BI79),IF($B79="Production",INDEX(tbl_Production[Notes],$BI79),INDEX(tbl_Consulting[Notes],$BI79)))&amp;"")</f>
        <v/>
      </c>
      <c r="N79" s="11">
        <f>IF($BI79="","",IF(IF($B79="Onsite",INDEX(tbl_Onsite[Expected Revenue Ex GST],$BI79),IF($B79="Production",INDEX(tbl_Production[Expected Revenue Ex GST],$BI79),INDEX(tbl_Consulting[Expected Revenue Ex GST],$BI79)))="","",IF($B79="Onsite",INDEX(tbl_Onsite[Expected Revenue Ex GST],$BI79),IF($B79="Production",INDEX(tbl_Production[Expected Revenue Ex GST],$BI79),INDEX(tbl_Consulting[Expected Revenue Ex GST],$BI79)))))</f>
        <v/>
      </c>
      <c r="O79" s="11">
        <f>IF(AND($C79="",NOT(COUNTA($S79:$BB79)&gt;0)),"",SUM(U79,X79,AA79,AD79,AG79,AJ79,AM79,AP79,AS79,AV79,AY79,BB79))</f>
        <v/>
      </c>
      <c r="P79" s="11">
        <f>IF(O79="","",N(N79)-O79)</f>
        <v/>
      </c>
      <c r="Q79" s="10">
        <f>IF(O79="","",IF($C79="","Invoice on empty job row",IF(N79="",IF(ROUND(O79,2)=0,"No dept value","Invoiced - no dept value"),IF(ROUND(O79,2)=0,"Not invoiced - to invoice",IF(ROUND(P79,2)=0,"Agrees",IF(P79&gt;0,"Dept higher - to invoice","Xero higher - check dept"))))))</f>
        <v/>
      </c>
      <c r="R79" s="10">
        <f>IF(AND($C79="",NOT(COUNTA($S79:$BB79)&gt;0),$BI79&lt;&gt;""),"",MID(IF($BI79="","; Row ID not found on the department sheet - a row was deleted","")&amp;IF(AND($C79="",COUNTA($S79:$BB79)&gt;0),"; Invoice entered but the department row has no job number","")&amp;IF(E79="CHECK","; Job number not in the Xero job list","")&amp;IF(AND($C79&lt;&gt;"",COUNTIF($C$7:$C$1506,$C79)&gt;1),"; Job number on more than one row","")&amp;IF(AND($C79&lt;&gt;"",H79=""),"; Dept has not set a cost centre","")&amp;IF(AND($C79&lt;&gt;"",J79=""),"; Dept has not set a tax code","")&amp;IF(AND($C79&lt;&gt;"",N79=""),"; Dept has not entered an expected value","")&amp;IF((IF(OR(COUNTA(S79:U79)=0,AND(COUNTA(S79:U79)=3,ISNUMBER(U79))),0,1)+IF(OR(COUNTA(V79:X79)=0,AND(COUNTA(V79:X79)=3,ISNUMBER(X79))),0,1)+IF(OR(COUNTA(Y79:AA79)=0,AND(COUNTA(Y79:AA79)=3,ISNUMBER(AA79))),0,1)+IF(OR(COUNTA(AB79:AD79)=0,AND(COUNTA(AB79:AD79)=3,ISNUMBER(AD79))),0,1)+IF(OR(COUNTA(AE79:AG79)=0,AND(COUNTA(AE79:AG79)=3,ISNUMBER(AG79))),0,1)+IF(OR(COUNTA(AH79:AJ79)=0,AND(COUNTA(AH79:AJ79)=3,ISNUMBER(AJ79))),0,1)+IF(OR(COUNTA(AK79:AM79)=0,AND(COUNTA(AK79:AM79)=3,ISNUMBER(AM79))),0,1)+IF(OR(COUNTA(AN79:AP79)=0,AND(COUNTA(AN79:AP79)=3,ISNUMBER(AP79))),0,1)+IF(OR(COUNTA(AQ79:AS79)=0,AND(COUNTA(AQ79:AS79)=3,ISNUMBER(AS79))),0,1)+IF(OR(COUNTA(AT79:AV79)=0,AND(COUNTA(AT79:AV79)=3,ISNUMBER(AV79))),0,1)+IF(OR(COUNTA(AW79:AY79)=0,AND(COUNTA(AW79:AY79)=3,ISNUMBER(AY79))),0,1)+IF(OR(COUNTA(AZ79:BB79)=0,AND(COUNTA(AZ79:BB79)=3,ISNUMBER(BB79))),0,1))&gt;0,"; An invoice is incomplete (needs No, Date and a number in Ex GST)","")&amp;IF((IF(T79="",0,IFERROR(--(EOMONTH(T79,0)&lt;&gt;S$5),1))+IF(W79="",0,IFERROR(--(EOMONTH(W79,0)&lt;&gt;V$5),1))+IF(Z79="",0,IFERROR(--(EOMONTH(Z79,0)&lt;&gt;Y$5),1))+IF(AC79="",0,IFERROR(--(EOMONTH(AC79,0)&lt;&gt;AB$5),1))+IF(AF79="",0,IFERROR(--(EOMONTH(AF79,0)&lt;&gt;AE$5),1))+IF(AI79="",0,IFERROR(--(EOMONTH(AI79,0)&lt;&gt;AH$5),1))+IF(AL79="",0,IFERROR(--(EOMONTH(AL79,0)&lt;&gt;AK$5),1))+IF(AO79="",0,IFERROR(--(EOMONTH(AO79,0)&lt;&gt;AN$5),1))+IF(AR79="",0,IFERROR(--(EOMONTH(AR79,0)&lt;&gt;AQ$5),1))+IF(AU79="",0,IFERROR(--(EOMONTH(AU79,0)&lt;&gt;AT$5),1))+IF(AX79="",0,IFERROR(--(EOMONTH(AX79,0)&lt;&gt;AW$5),1))+IF(BA79="",0,IFERROR(--(EOMONTH(BA79,0)&lt;&gt;AZ$5),1)))&gt;0,"; An invoice date is not in the month it is typed under",""),3,500))</f>
        <v/>
      </c>
      <c r="S79" s="12" t="n"/>
      <c r="T79" s="13" t="n"/>
      <c r="U79" s="14" t="n"/>
      <c r="V79" s="12" t="n"/>
      <c r="W79" s="13" t="n"/>
      <c r="X79" s="14" t="n"/>
      <c r="Y79" s="12" t="n"/>
      <c r="Z79" s="13" t="n"/>
      <c r="AA79" s="14" t="n"/>
      <c r="AB79" s="12" t="n"/>
      <c r="AC79" s="13" t="n"/>
      <c r="AD79" s="14" t="n"/>
      <c r="AE79" s="12" t="n"/>
      <c r="AF79" s="13" t="n"/>
      <c r="AG79" s="14" t="n"/>
      <c r="AH79" s="12" t="n"/>
      <c r="AI79" s="13" t="n"/>
      <c r="AJ79" s="14" t="n"/>
      <c r="AK79" s="12" t="n"/>
      <c r="AL79" s="13" t="n"/>
      <c r="AM79" s="14" t="n"/>
      <c r="AN79" s="12" t="n"/>
      <c r="AO79" s="13" t="n"/>
      <c r="AP79" s="14" t="n"/>
      <c r="AQ79" s="12" t="n"/>
      <c r="AR79" s="13" t="n"/>
      <c r="AS79" s="14" t="n"/>
      <c r="AT79" s="12" t="n"/>
      <c r="AU79" s="13" t="n"/>
      <c r="AV79" s="14" t="n"/>
      <c r="AW79" s="12" t="n"/>
      <c r="AX79" s="13" t="n"/>
      <c r="AY79" s="14" t="n"/>
      <c r="AZ79" s="12" t="n"/>
      <c r="BA79" s="13" t="n"/>
      <c r="BB79" s="14" t="n"/>
      <c r="BC79" s="11">
        <f>IF(O79="","",IF(J79="GST 10%",ROUND(O79*set_GSTRate,2),0))</f>
        <v/>
      </c>
      <c r="BD79" s="11">
        <f>IF(O79="","",O79+BC79)</f>
        <v/>
      </c>
      <c r="BE79" s="15">
        <f>IF(O79="","",COUNTA(S79,V79,Y79,AB79,AE79,AH79,AK79,AN79,AQ79,AT79,AW79,AZ79))</f>
        <v/>
      </c>
      <c r="BF79" s="16">
        <f>IF(COUNT(T79,W79,Z79,AC79,AF79,AI79,AL79,AO79,AR79,AU79,AX79,BA79)=0,"",MAX(T79,W79,Z79,AC79,AF79,AI79,AL79,AO79,AR79,AU79,AX79,BA79))</f>
        <v/>
      </c>
      <c r="BG79" s="10">
        <f>MID(IF(S79="","",", "&amp;S79)&amp;IF(V79="","",", "&amp;V79)&amp;IF(Y79="","",", "&amp;Y79)&amp;IF(AB79="","",", "&amp;AB79)&amp;IF(AE79="","",", "&amp;AE79)&amp;IF(AH79="","",", "&amp;AH79)&amp;IF(AK79="","",", "&amp;AK79)&amp;IF(AN79="","",", "&amp;AN79)&amp;IF(AQ79="","",", "&amp;AQ79)&amp;IF(AT79="","",", "&amp;AT79)&amp;IF(AW79="","",", "&amp;AW79)&amp;IF(AZ79="","",", "&amp;AZ79),3,500)</f>
        <v/>
      </c>
      <c r="BH79" s="12" t="n"/>
      <c r="BI79" s="15">
        <f>IFERROR(MATCH($A79,IF($B79="Onsite",tbl_Onsite[Row ID],IF($B79="Production",tbl_Production[Row ID],tbl_Consulting[Row ID])),0),"")</f>
        <v/>
      </c>
    </row>
    <row r="80">
      <c r="A80" s="10" t="inlineStr">
        <is>
          <t>ONS-0074</t>
        </is>
      </c>
      <c r="B80" s="10" t="inlineStr">
        <is>
          <t>Onsite</t>
        </is>
      </c>
      <c r="C80" s="10">
        <f>IF($BI80="","",IF($B80="Onsite",INDEX(tbl_Onsite[Job Number],$BI80),IF($B80="Production",INDEX(tbl_Production[Job Number],$BI80),INDEX(tbl_Consulting[Job Number],$BI80)))&amp;"")</f>
        <v/>
      </c>
      <c r="D80" s="10">
        <f>IF($BI80="","",IF($B80="Onsite",INDEX(tbl_Onsite[Client],$BI80),IF($B80="Production",INDEX(tbl_Production[Client],$BI80),INDEX(tbl_Consulting[Client],$BI80)))&amp;"")</f>
        <v/>
      </c>
      <c r="E80" s="10">
        <f>IF($C80="","",IF(COUNTIF(lst_Jobs,$C80)&gt;0,"OK","CHECK"))</f>
        <v/>
      </c>
      <c r="F80" s="10">
        <f>IF($C80="","",IFERROR(INDEX(lst_JobName,MATCH($C80,lst_Jobs,0)),""))</f>
        <v/>
      </c>
      <c r="G80" s="10">
        <f>IF($BI80="","",IF($B80="Onsite",INDEX(tbl_Onsite[Job Description],$BI80),IF($B80="Production",INDEX(tbl_Production[Job Description],$BI80),INDEX(tbl_Consulting[Job Description],$BI80)))&amp;"")</f>
        <v/>
      </c>
      <c r="H80" s="10">
        <f>IF($BI80="","",IF($B80="Onsite",INDEX(tbl_Onsite[Cost Centre],$BI80),IF($B80="Production",INDEX(tbl_Production[Cost Centre],$BI80),INDEX(tbl_Consulting[Cost Centre],$BI80)))&amp;"")</f>
        <v/>
      </c>
      <c r="I80" s="10">
        <f>IF($BI80="","",IF($B80="Onsite",INDEX(tbl_Onsite[Invoice Type],$BI80),IF($B80="Production",INDEX(tbl_Production[Invoice Type],$BI80),INDEX(tbl_Consulting[Invoice Type],$BI80)))&amp;"")</f>
        <v/>
      </c>
      <c r="J80" s="10">
        <f>IF($BI80="","",IF($B80="Onsite",INDEX(tbl_Onsite[Tax Code],$BI80),IF($B80="Production",INDEX(tbl_Production[Tax Code],$BI80),INDEX(tbl_Consulting[Tax Code],$BI80)))&amp;"")</f>
        <v/>
      </c>
      <c r="K80" s="10">
        <f>IF(H80="","",IFERROR(INDEX(lst_CCtoGL,MATCH(H80,lst_CCforGL,0)),""))</f>
        <v/>
      </c>
      <c r="L80" s="10">
        <f>IF($BI80="","",IF($B80="Onsite",INDEX(tbl_Onsite[PO / Reference],$BI80),IF($B80="Production",INDEX(tbl_Production[Current RMS No],$BI80),INDEX(tbl_Consulting[Qwilr Quote],$BI80)))&amp;"")</f>
        <v/>
      </c>
      <c r="M80" s="10">
        <f>IF($BI80="","",IF($B80="Onsite",INDEX(tbl_Onsite[Notes],$BI80),IF($B80="Production",INDEX(tbl_Production[Notes],$BI80),INDEX(tbl_Consulting[Notes],$BI80)))&amp;"")</f>
        <v/>
      </c>
      <c r="N80" s="11">
        <f>IF($BI80="","",IF(IF($B80="Onsite",INDEX(tbl_Onsite[Expected Revenue Ex GST],$BI80),IF($B80="Production",INDEX(tbl_Production[Expected Revenue Ex GST],$BI80),INDEX(tbl_Consulting[Expected Revenue Ex GST],$BI80)))="","",IF($B80="Onsite",INDEX(tbl_Onsite[Expected Revenue Ex GST],$BI80),IF($B80="Production",INDEX(tbl_Production[Expected Revenue Ex GST],$BI80),INDEX(tbl_Consulting[Expected Revenue Ex GST],$BI80)))))</f>
        <v/>
      </c>
      <c r="O80" s="11">
        <f>IF(AND($C80="",NOT(COUNTA($S80:$BB80)&gt;0)),"",SUM(U80,X80,AA80,AD80,AG80,AJ80,AM80,AP80,AS80,AV80,AY80,BB80))</f>
        <v/>
      </c>
      <c r="P80" s="11">
        <f>IF(O80="","",N(N80)-O80)</f>
        <v/>
      </c>
      <c r="Q80" s="10">
        <f>IF(O80="","",IF($C80="","Invoice on empty job row",IF(N80="",IF(ROUND(O80,2)=0,"No dept value","Invoiced - no dept value"),IF(ROUND(O80,2)=0,"Not invoiced - to invoice",IF(ROUND(P80,2)=0,"Agrees",IF(P80&gt;0,"Dept higher - to invoice","Xero higher - check dept"))))))</f>
        <v/>
      </c>
      <c r="R80" s="10">
        <f>IF(AND($C80="",NOT(COUNTA($S80:$BB80)&gt;0),$BI80&lt;&gt;""),"",MID(IF($BI80="","; Row ID not found on the department sheet - a row was deleted","")&amp;IF(AND($C80="",COUNTA($S80:$BB80)&gt;0),"; Invoice entered but the department row has no job number","")&amp;IF(E80="CHECK","; Job number not in the Xero job list","")&amp;IF(AND($C80&lt;&gt;"",COUNTIF($C$7:$C$1506,$C80)&gt;1),"; Job number on more than one row","")&amp;IF(AND($C80&lt;&gt;"",H80=""),"; Dept has not set a cost centre","")&amp;IF(AND($C80&lt;&gt;"",J80=""),"; Dept has not set a tax code","")&amp;IF(AND($C80&lt;&gt;"",N80=""),"; Dept has not entered an expected value","")&amp;IF((IF(OR(COUNTA(S80:U80)=0,AND(COUNTA(S80:U80)=3,ISNUMBER(U80))),0,1)+IF(OR(COUNTA(V80:X80)=0,AND(COUNTA(V80:X80)=3,ISNUMBER(X80))),0,1)+IF(OR(COUNTA(Y80:AA80)=0,AND(COUNTA(Y80:AA80)=3,ISNUMBER(AA80))),0,1)+IF(OR(COUNTA(AB80:AD80)=0,AND(COUNTA(AB80:AD80)=3,ISNUMBER(AD80))),0,1)+IF(OR(COUNTA(AE80:AG80)=0,AND(COUNTA(AE80:AG80)=3,ISNUMBER(AG80))),0,1)+IF(OR(COUNTA(AH80:AJ80)=0,AND(COUNTA(AH80:AJ80)=3,ISNUMBER(AJ80))),0,1)+IF(OR(COUNTA(AK80:AM80)=0,AND(COUNTA(AK80:AM80)=3,ISNUMBER(AM80))),0,1)+IF(OR(COUNTA(AN80:AP80)=0,AND(COUNTA(AN80:AP80)=3,ISNUMBER(AP80))),0,1)+IF(OR(COUNTA(AQ80:AS80)=0,AND(COUNTA(AQ80:AS80)=3,ISNUMBER(AS80))),0,1)+IF(OR(COUNTA(AT80:AV80)=0,AND(COUNTA(AT80:AV80)=3,ISNUMBER(AV80))),0,1)+IF(OR(COUNTA(AW80:AY80)=0,AND(COUNTA(AW80:AY80)=3,ISNUMBER(AY80))),0,1)+IF(OR(COUNTA(AZ80:BB80)=0,AND(COUNTA(AZ80:BB80)=3,ISNUMBER(BB80))),0,1))&gt;0,"; An invoice is incomplete (needs No, Date and a number in Ex GST)","")&amp;IF((IF(T80="",0,IFERROR(--(EOMONTH(T80,0)&lt;&gt;S$5),1))+IF(W80="",0,IFERROR(--(EOMONTH(W80,0)&lt;&gt;V$5),1))+IF(Z80="",0,IFERROR(--(EOMONTH(Z80,0)&lt;&gt;Y$5),1))+IF(AC80="",0,IFERROR(--(EOMONTH(AC80,0)&lt;&gt;AB$5),1))+IF(AF80="",0,IFERROR(--(EOMONTH(AF80,0)&lt;&gt;AE$5),1))+IF(AI80="",0,IFERROR(--(EOMONTH(AI80,0)&lt;&gt;AH$5),1))+IF(AL80="",0,IFERROR(--(EOMONTH(AL80,0)&lt;&gt;AK$5),1))+IF(AO80="",0,IFERROR(--(EOMONTH(AO80,0)&lt;&gt;AN$5),1))+IF(AR80="",0,IFERROR(--(EOMONTH(AR80,0)&lt;&gt;AQ$5),1))+IF(AU80="",0,IFERROR(--(EOMONTH(AU80,0)&lt;&gt;AT$5),1))+IF(AX80="",0,IFERROR(--(EOMONTH(AX80,0)&lt;&gt;AW$5),1))+IF(BA80="",0,IFERROR(--(EOMONTH(BA80,0)&lt;&gt;AZ$5),1)))&gt;0,"; An invoice date is not in the month it is typed under",""),3,500))</f>
        <v/>
      </c>
      <c r="S80" s="12" t="n"/>
      <c r="T80" s="13" t="n"/>
      <c r="U80" s="14" t="n"/>
      <c r="V80" s="12" t="n"/>
      <c r="W80" s="13" t="n"/>
      <c r="X80" s="14" t="n"/>
      <c r="Y80" s="12" t="n"/>
      <c r="Z80" s="13" t="n"/>
      <c r="AA80" s="14" t="n"/>
      <c r="AB80" s="12" t="n"/>
      <c r="AC80" s="13" t="n"/>
      <c r="AD80" s="14" t="n"/>
      <c r="AE80" s="12" t="n"/>
      <c r="AF80" s="13" t="n"/>
      <c r="AG80" s="14" t="n"/>
      <c r="AH80" s="12" t="n"/>
      <c r="AI80" s="13" t="n"/>
      <c r="AJ80" s="14" t="n"/>
      <c r="AK80" s="12" t="n"/>
      <c r="AL80" s="13" t="n"/>
      <c r="AM80" s="14" t="n"/>
      <c r="AN80" s="12" t="n"/>
      <c r="AO80" s="13" t="n"/>
      <c r="AP80" s="14" t="n"/>
      <c r="AQ80" s="12" t="n"/>
      <c r="AR80" s="13" t="n"/>
      <c r="AS80" s="14" t="n"/>
      <c r="AT80" s="12" t="n"/>
      <c r="AU80" s="13" t="n"/>
      <c r="AV80" s="14" t="n"/>
      <c r="AW80" s="12" t="n"/>
      <c r="AX80" s="13" t="n"/>
      <c r="AY80" s="14" t="n"/>
      <c r="AZ80" s="12" t="n"/>
      <c r="BA80" s="13" t="n"/>
      <c r="BB80" s="14" t="n"/>
      <c r="BC80" s="11">
        <f>IF(O80="","",IF(J80="GST 10%",ROUND(O80*set_GSTRate,2),0))</f>
        <v/>
      </c>
      <c r="BD80" s="11">
        <f>IF(O80="","",O80+BC80)</f>
        <v/>
      </c>
      <c r="BE80" s="15">
        <f>IF(O80="","",COUNTA(S80,V80,Y80,AB80,AE80,AH80,AK80,AN80,AQ80,AT80,AW80,AZ80))</f>
        <v/>
      </c>
      <c r="BF80" s="16">
        <f>IF(COUNT(T80,W80,Z80,AC80,AF80,AI80,AL80,AO80,AR80,AU80,AX80,BA80)=0,"",MAX(T80,W80,Z80,AC80,AF80,AI80,AL80,AO80,AR80,AU80,AX80,BA80))</f>
        <v/>
      </c>
      <c r="BG80" s="10">
        <f>MID(IF(S80="","",", "&amp;S80)&amp;IF(V80="","",", "&amp;V80)&amp;IF(Y80="","",", "&amp;Y80)&amp;IF(AB80="","",", "&amp;AB80)&amp;IF(AE80="","",", "&amp;AE80)&amp;IF(AH80="","",", "&amp;AH80)&amp;IF(AK80="","",", "&amp;AK80)&amp;IF(AN80="","",", "&amp;AN80)&amp;IF(AQ80="","",", "&amp;AQ80)&amp;IF(AT80="","",", "&amp;AT80)&amp;IF(AW80="","",", "&amp;AW80)&amp;IF(AZ80="","",", "&amp;AZ80),3,500)</f>
        <v/>
      </c>
      <c r="BH80" s="12" t="n"/>
      <c r="BI80" s="15">
        <f>IFERROR(MATCH($A80,IF($B80="Onsite",tbl_Onsite[Row ID],IF($B80="Production",tbl_Production[Row ID],tbl_Consulting[Row ID])),0),"")</f>
        <v/>
      </c>
    </row>
    <row r="81">
      <c r="A81" s="10" t="inlineStr">
        <is>
          <t>ONS-0075</t>
        </is>
      </c>
      <c r="B81" s="10" t="inlineStr">
        <is>
          <t>Onsite</t>
        </is>
      </c>
      <c r="C81" s="10">
        <f>IF($BI81="","",IF($B81="Onsite",INDEX(tbl_Onsite[Job Number],$BI81),IF($B81="Production",INDEX(tbl_Production[Job Number],$BI81),INDEX(tbl_Consulting[Job Number],$BI81)))&amp;"")</f>
        <v/>
      </c>
      <c r="D81" s="10">
        <f>IF($BI81="","",IF($B81="Onsite",INDEX(tbl_Onsite[Client],$BI81),IF($B81="Production",INDEX(tbl_Production[Client],$BI81),INDEX(tbl_Consulting[Client],$BI81)))&amp;"")</f>
        <v/>
      </c>
      <c r="E81" s="10">
        <f>IF($C81="","",IF(COUNTIF(lst_Jobs,$C81)&gt;0,"OK","CHECK"))</f>
        <v/>
      </c>
      <c r="F81" s="10">
        <f>IF($C81="","",IFERROR(INDEX(lst_JobName,MATCH($C81,lst_Jobs,0)),""))</f>
        <v/>
      </c>
      <c r="G81" s="10">
        <f>IF($BI81="","",IF($B81="Onsite",INDEX(tbl_Onsite[Job Description],$BI81),IF($B81="Production",INDEX(tbl_Production[Job Description],$BI81),INDEX(tbl_Consulting[Job Description],$BI81)))&amp;"")</f>
        <v/>
      </c>
      <c r="H81" s="10">
        <f>IF($BI81="","",IF($B81="Onsite",INDEX(tbl_Onsite[Cost Centre],$BI81),IF($B81="Production",INDEX(tbl_Production[Cost Centre],$BI81),INDEX(tbl_Consulting[Cost Centre],$BI81)))&amp;"")</f>
        <v/>
      </c>
      <c r="I81" s="10">
        <f>IF($BI81="","",IF($B81="Onsite",INDEX(tbl_Onsite[Invoice Type],$BI81),IF($B81="Production",INDEX(tbl_Production[Invoice Type],$BI81),INDEX(tbl_Consulting[Invoice Type],$BI81)))&amp;"")</f>
        <v/>
      </c>
      <c r="J81" s="10">
        <f>IF($BI81="","",IF($B81="Onsite",INDEX(tbl_Onsite[Tax Code],$BI81),IF($B81="Production",INDEX(tbl_Production[Tax Code],$BI81),INDEX(tbl_Consulting[Tax Code],$BI81)))&amp;"")</f>
        <v/>
      </c>
      <c r="K81" s="10">
        <f>IF(H81="","",IFERROR(INDEX(lst_CCtoGL,MATCH(H81,lst_CCforGL,0)),""))</f>
        <v/>
      </c>
      <c r="L81" s="10">
        <f>IF($BI81="","",IF($B81="Onsite",INDEX(tbl_Onsite[PO / Reference],$BI81),IF($B81="Production",INDEX(tbl_Production[Current RMS No],$BI81),INDEX(tbl_Consulting[Qwilr Quote],$BI81)))&amp;"")</f>
        <v/>
      </c>
      <c r="M81" s="10">
        <f>IF($BI81="","",IF($B81="Onsite",INDEX(tbl_Onsite[Notes],$BI81),IF($B81="Production",INDEX(tbl_Production[Notes],$BI81),INDEX(tbl_Consulting[Notes],$BI81)))&amp;"")</f>
        <v/>
      </c>
      <c r="N81" s="11">
        <f>IF($BI81="","",IF(IF($B81="Onsite",INDEX(tbl_Onsite[Expected Revenue Ex GST],$BI81),IF($B81="Production",INDEX(tbl_Production[Expected Revenue Ex GST],$BI81),INDEX(tbl_Consulting[Expected Revenue Ex GST],$BI81)))="","",IF($B81="Onsite",INDEX(tbl_Onsite[Expected Revenue Ex GST],$BI81),IF($B81="Production",INDEX(tbl_Production[Expected Revenue Ex GST],$BI81),INDEX(tbl_Consulting[Expected Revenue Ex GST],$BI81)))))</f>
        <v/>
      </c>
      <c r="O81" s="11">
        <f>IF(AND($C81="",NOT(COUNTA($S81:$BB81)&gt;0)),"",SUM(U81,X81,AA81,AD81,AG81,AJ81,AM81,AP81,AS81,AV81,AY81,BB81))</f>
        <v/>
      </c>
      <c r="P81" s="11">
        <f>IF(O81="","",N(N81)-O81)</f>
        <v/>
      </c>
      <c r="Q81" s="10">
        <f>IF(O81="","",IF($C81="","Invoice on empty job row",IF(N81="",IF(ROUND(O81,2)=0,"No dept value","Invoiced - no dept value"),IF(ROUND(O81,2)=0,"Not invoiced - to invoice",IF(ROUND(P81,2)=0,"Agrees",IF(P81&gt;0,"Dept higher - to invoice","Xero higher - check dept"))))))</f>
        <v/>
      </c>
      <c r="R81" s="10">
        <f>IF(AND($C81="",NOT(COUNTA($S81:$BB81)&gt;0),$BI81&lt;&gt;""),"",MID(IF($BI81="","; Row ID not found on the department sheet - a row was deleted","")&amp;IF(AND($C81="",COUNTA($S81:$BB81)&gt;0),"; Invoice entered but the department row has no job number","")&amp;IF(E81="CHECK","; Job number not in the Xero job list","")&amp;IF(AND($C81&lt;&gt;"",COUNTIF($C$7:$C$1506,$C81)&gt;1),"; Job number on more than one row","")&amp;IF(AND($C81&lt;&gt;"",H81=""),"; Dept has not set a cost centre","")&amp;IF(AND($C81&lt;&gt;"",J81=""),"; Dept has not set a tax code","")&amp;IF(AND($C81&lt;&gt;"",N81=""),"; Dept has not entered an expected value","")&amp;IF((IF(OR(COUNTA(S81:U81)=0,AND(COUNTA(S81:U81)=3,ISNUMBER(U81))),0,1)+IF(OR(COUNTA(V81:X81)=0,AND(COUNTA(V81:X81)=3,ISNUMBER(X81))),0,1)+IF(OR(COUNTA(Y81:AA81)=0,AND(COUNTA(Y81:AA81)=3,ISNUMBER(AA81))),0,1)+IF(OR(COUNTA(AB81:AD81)=0,AND(COUNTA(AB81:AD81)=3,ISNUMBER(AD81))),0,1)+IF(OR(COUNTA(AE81:AG81)=0,AND(COUNTA(AE81:AG81)=3,ISNUMBER(AG81))),0,1)+IF(OR(COUNTA(AH81:AJ81)=0,AND(COUNTA(AH81:AJ81)=3,ISNUMBER(AJ81))),0,1)+IF(OR(COUNTA(AK81:AM81)=0,AND(COUNTA(AK81:AM81)=3,ISNUMBER(AM81))),0,1)+IF(OR(COUNTA(AN81:AP81)=0,AND(COUNTA(AN81:AP81)=3,ISNUMBER(AP81))),0,1)+IF(OR(COUNTA(AQ81:AS81)=0,AND(COUNTA(AQ81:AS81)=3,ISNUMBER(AS81))),0,1)+IF(OR(COUNTA(AT81:AV81)=0,AND(COUNTA(AT81:AV81)=3,ISNUMBER(AV81))),0,1)+IF(OR(COUNTA(AW81:AY81)=0,AND(COUNTA(AW81:AY81)=3,ISNUMBER(AY81))),0,1)+IF(OR(COUNTA(AZ81:BB81)=0,AND(COUNTA(AZ81:BB81)=3,ISNUMBER(BB81))),0,1))&gt;0,"; An invoice is incomplete (needs No, Date and a number in Ex GST)","")&amp;IF((IF(T81="",0,IFERROR(--(EOMONTH(T81,0)&lt;&gt;S$5),1))+IF(W81="",0,IFERROR(--(EOMONTH(W81,0)&lt;&gt;V$5),1))+IF(Z81="",0,IFERROR(--(EOMONTH(Z81,0)&lt;&gt;Y$5),1))+IF(AC81="",0,IFERROR(--(EOMONTH(AC81,0)&lt;&gt;AB$5),1))+IF(AF81="",0,IFERROR(--(EOMONTH(AF81,0)&lt;&gt;AE$5),1))+IF(AI81="",0,IFERROR(--(EOMONTH(AI81,0)&lt;&gt;AH$5),1))+IF(AL81="",0,IFERROR(--(EOMONTH(AL81,0)&lt;&gt;AK$5),1))+IF(AO81="",0,IFERROR(--(EOMONTH(AO81,0)&lt;&gt;AN$5),1))+IF(AR81="",0,IFERROR(--(EOMONTH(AR81,0)&lt;&gt;AQ$5),1))+IF(AU81="",0,IFERROR(--(EOMONTH(AU81,0)&lt;&gt;AT$5),1))+IF(AX81="",0,IFERROR(--(EOMONTH(AX81,0)&lt;&gt;AW$5),1))+IF(BA81="",0,IFERROR(--(EOMONTH(BA81,0)&lt;&gt;AZ$5),1)))&gt;0,"; An invoice date is not in the month it is typed under",""),3,500))</f>
        <v/>
      </c>
      <c r="S81" s="12" t="n"/>
      <c r="T81" s="13" t="n"/>
      <c r="U81" s="14" t="n"/>
      <c r="V81" s="12" t="n"/>
      <c r="W81" s="13" t="n"/>
      <c r="X81" s="14" t="n"/>
      <c r="Y81" s="12" t="n"/>
      <c r="Z81" s="13" t="n"/>
      <c r="AA81" s="14" t="n"/>
      <c r="AB81" s="12" t="n"/>
      <c r="AC81" s="13" t="n"/>
      <c r="AD81" s="14" t="n"/>
      <c r="AE81" s="12" t="n"/>
      <c r="AF81" s="13" t="n"/>
      <c r="AG81" s="14" t="n"/>
      <c r="AH81" s="12" t="n"/>
      <c r="AI81" s="13" t="n"/>
      <c r="AJ81" s="14" t="n"/>
      <c r="AK81" s="12" t="n"/>
      <c r="AL81" s="13" t="n"/>
      <c r="AM81" s="14" t="n"/>
      <c r="AN81" s="12" t="n"/>
      <c r="AO81" s="13" t="n"/>
      <c r="AP81" s="14" t="n"/>
      <c r="AQ81" s="12" t="n"/>
      <c r="AR81" s="13" t="n"/>
      <c r="AS81" s="14" t="n"/>
      <c r="AT81" s="12" t="n"/>
      <c r="AU81" s="13" t="n"/>
      <c r="AV81" s="14" t="n"/>
      <c r="AW81" s="12" t="n"/>
      <c r="AX81" s="13" t="n"/>
      <c r="AY81" s="14" t="n"/>
      <c r="AZ81" s="12" t="n"/>
      <c r="BA81" s="13" t="n"/>
      <c r="BB81" s="14" t="n"/>
      <c r="BC81" s="11">
        <f>IF(O81="","",IF(J81="GST 10%",ROUND(O81*set_GSTRate,2),0))</f>
        <v/>
      </c>
      <c r="BD81" s="11">
        <f>IF(O81="","",O81+BC81)</f>
        <v/>
      </c>
      <c r="BE81" s="15">
        <f>IF(O81="","",COUNTA(S81,V81,Y81,AB81,AE81,AH81,AK81,AN81,AQ81,AT81,AW81,AZ81))</f>
        <v/>
      </c>
      <c r="BF81" s="16">
        <f>IF(COUNT(T81,W81,Z81,AC81,AF81,AI81,AL81,AO81,AR81,AU81,AX81,BA81)=0,"",MAX(T81,W81,Z81,AC81,AF81,AI81,AL81,AO81,AR81,AU81,AX81,BA81))</f>
        <v/>
      </c>
      <c r="BG81" s="10">
        <f>MID(IF(S81="","",", "&amp;S81)&amp;IF(V81="","",", "&amp;V81)&amp;IF(Y81="","",", "&amp;Y81)&amp;IF(AB81="","",", "&amp;AB81)&amp;IF(AE81="","",", "&amp;AE81)&amp;IF(AH81="","",", "&amp;AH81)&amp;IF(AK81="","",", "&amp;AK81)&amp;IF(AN81="","",", "&amp;AN81)&amp;IF(AQ81="","",", "&amp;AQ81)&amp;IF(AT81="","",", "&amp;AT81)&amp;IF(AW81="","",", "&amp;AW81)&amp;IF(AZ81="","",", "&amp;AZ81),3,500)</f>
        <v/>
      </c>
      <c r="BH81" s="12" t="n"/>
      <c r="BI81" s="15">
        <f>IFERROR(MATCH($A81,IF($B81="Onsite",tbl_Onsite[Row ID],IF($B81="Production",tbl_Production[Row ID],tbl_Consulting[Row ID])),0),"")</f>
        <v/>
      </c>
    </row>
    <row r="82">
      <c r="A82" s="10" t="inlineStr">
        <is>
          <t>ONS-0076</t>
        </is>
      </c>
      <c r="B82" s="10" t="inlineStr">
        <is>
          <t>Onsite</t>
        </is>
      </c>
      <c r="C82" s="10">
        <f>IF($BI82="","",IF($B82="Onsite",INDEX(tbl_Onsite[Job Number],$BI82),IF($B82="Production",INDEX(tbl_Production[Job Number],$BI82),INDEX(tbl_Consulting[Job Number],$BI82)))&amp;"")</f>
        <v/>
      </c>
      <c r="D82" s="10">
        <f>IF($BI82="","",IF($B82="Onsite",INDEX(tbl_Onsite[Client],$BI82),IF($B82="Production",INDEX(tbl_Production[Client],$BI82),INDEX(tbl_Consulting[Client],$BI82)))&amp;"")</f>
        <v/>
      </c>
      <c r="E82" s="10">
        <f>IF($C82="","",IF(COUNTIF(lst_Jobs,$C82)&gt;0,"OK","CHECK"))</f>
        <v/>
      </c>
      <c r="F82" s="10">
        <f>IF($C82="","",IFERROR(INDEX(lst_JobName,MATCH($C82,lst_Jobs,0)),""))</f>
        <v/>
      </c>
      <c r="G82" s="10">
        <f>IF($BI82="","",IF($B82="Onsite",INDEX(tbl_Onsite[Job Description],$BI82),IF($B82="Production",INDEX(tbl_Production[Job Description],$BI82),INDEX(tbl_Consulting[Job Description],$BI82)))&amp;"")</f>
        <v/>
      </c>
      <c r="H82" s="10">
        <f>IF($BI82="","",IF($B82="Onsite",INDEX(tbl_Onsite[Cost Centre],$BI82),IF($B82="Production",INDEX(tbl_Production[Cost Centre],$BI82),INDEX(tbl_Consulting[Cost Centre],$BI82)))&amp;"")</f>
        <v/>
      </c>
      <c r="I82" s="10">
        <f>IF($BI82="","",IF($B82="Onsite",INDEX(tbl_Onsite[Invoice Type],$BI82),IF($B82="Production",INDEX(tbl_Production[Invoice Type],$BI82),INDEX(tbl_Consulting[Invoice Type],$BI82)))&amp;"")</f>
        <v/>
      </c>
      <c r="J82" s="10">
        <f>IF($BI82="","",IF($B82="Onsite",INDEX(tbl_Onsite[Tax Code],$BI82),IF($B82="Production",INDEX(tbl_Production[Tax Code],$BI82),INDEX(tbl_Consulting[Tax Code],$BI82)))&amp;"")</f>
        <v/>
      </c>
      <c r="K82" s="10">
        <f>IF(H82="","",IFERROR(INDEX(lst_CCtoGL,MATCH(H82,lst_CCforGL,0)),""))</f>
        <v/>
      </c>
      <c r="L82" s="10">
        <f>IF($BI82="","",IF($B82="Onsite",INDEX(tbl_Onsite[PO / Reference],$BI82),IF($B82="Production",INDEX(tbl_Production[Current RMS No],$BI82),INDEX(tbl_Consulting[Qwilr Quote],$BI82)))&amp;"")</f>
        <v/>
      </c>
      <c r="M82" s="10">
        <f>IF($BI82="","",IF($B82="Onsite",INDEX(tbl_Onsite[Notes],$BI82),IF($B82="Production",INDEX(tbl_Production[Notes],$BI82),INDEX(tbl_Consulting[Notes],$BI82)))&amp;"")</f>
        <v/>
      </c>
      <c r="N82" s="11">
        <f>IF($BI82="","",IF(IF($B82="Onsite",INDEX(tbl_Onsite[Expected Revenue Ex GST],$BI82),IF($B82="Production",INDEX(tbl_Production[Expected Revenue Ex GST],$BI82),INDEX(tbl_Consulting[Expected Revenue Ex GST],$BI82)))="","",IF($B82="Onsite",INDEX(tbl_Onsite[Expected Revenue Ex GST],$BI82),IF($B82="Production",INDEX(tbl_Production[Expected Revenue Ex GST],$BI82),INDEX(tbl_Consulting[Expected Revenue Ex GST],$BI82)))))</f>
        <v/>
      </c>
      <c r="O82" s="11">
        <f>IF(AND($C82="",NOT(COUNTA($S82:$BB82)&gt;0)),"",SUM(U82,X82,AA82,AD82,AG82,AJ82,AM82,AP82,AS82,AV82,AY82,BB82))</f>
        <v/>
      </c>
      <c r="P82" s="11">
        <f>IF(O82="","",N(N82)-O82)</f>
        <v/>
      </c>
      <c r="Q82" s="10">
        <f>IF(O82="","",IF($C82="","Invoice on empty job row",IF(N82="",IF(ROUND(O82,2)=0,"No dept value","Invoiced - no dept value"),IF(ROUND(O82,2)=0,"Not invoiced - to invoice",IF(ROUND(P82,2)=0,"Agrees",IF(P82&gt;0,"Dept higher - to invoice","Xero higher - check dept"))))))</f>
        <v/>
      </c>
      <c r="R82" s="10">
        <f>IF(AND($C82="",NOT(COUNTA($S82:$BB82)&gt;0),$BI82&lt;&gt;""),"",MID(IF($BI82="","; Row ID not found on the department sheet - a row was deleted","")&amp;IF(AND($C82="",COUNTA($S82:$BB82)&gt;0),"; Invoice entered but the department row has no job number","")&amp;IF(E82="CHECK","; Job number not in the Xero job list","")&amp;IF(AND($C82&lt;&gt;"",COUNTIF($C$7:$C$1506,$C82)&gt;1),"; Job number on more than one row","")&amp;IF(AND($C82&lt;&gt;"",H82=""),"; Dept has not set a cost centre","")&amp;IF(AND($C82&lt;&gt;"",J82=""),"; Dept has not set a tax code","")&amp;IF(AND($C82&lt;&gt;"",N82=""),"; Dept has not entered an expected value","")&amp;IF((IF(OR(COUNTA(S82:U82)=0,AND(COUNTA(S82:U82)=3,ISNUMBER(U82))),0,1)+IF(OR(COUNTA(V82:X82)=0,AND(COUNTA(V82:X82)=3,ISNUMBER(X82))),0,1)+IF(OR(COUNTA(Y82:AA82)=0,AND(COUNTA(Y82:AA82)=3,ISNUMBER(AA82))),0,1)+IF(OR(COUNTA(AB82:AD82)=0,AND(COUNTA(AB82:AD82)=3,ISNUMBER(AD82))),0,1)+IF(OR(COUNTA(AE82:AG82)=0,AND(COUNTA(AE82:AG82)=3,ISNUMBER(AG82))),0,1)+IF(OR(COUNTA(AH82:AJ82)=0,AND(COUNTA(AH82:AJ82)=3,ISNUMBER(AJ82))),0,1)+IF(OR(COUNTA(AK82:AM82)=0,AND(COUNTA(AK82:AM82)=3,ISNUMBER(AM82))),0,1)+IF(OR(COUNTA(AN82:AP82)=0,AND(COUNTA(AN82:AP82)=3,ISNUMBER(AP82))),0,1)+IF(OR(COUNTA(AQ82:AS82)=0,AND(COUNTA(AQ82:AS82)=3,ISNUMBER(AS82))),0,1)+IF(OR(COUNTA(AT82:AV82)=0,AND(COUNTA(AT82:AV82)=3,ISNUMBER(AV82))),0,1)+IF(OR(COUNTA(AW82:AY82)=0,AND(COUNTA(AW82:AY82)=3,ISNUMBER(AY82))),0,1)+IF(OR(COUNTA(AZ82:BB82)=0,AND(COUNTA(AZ82:BB82)=3,ISNUMBER(BB82))),0,1))&gt;0,"; An invoice is incomplete (needs No, Date and a number in Ex GST)","")&amp;IF((IF(T82="",0,IFERROR(--(EOMONTH(T82,0)&lt;&gt;S$5),1))+IF(W82="",0,IFERROR(--(EOMONTH(W82,0)&lt;&gt;V$5),1))+IF(Z82="",0,IFERROR(--(EOMONTH(Z82,0)&lt;&gt;Y$5),1))+IF(AC82="",0,IFERROR(--(EOMONTH(AC82,0)&lt;&gt;AB$5),1))+IF(AF82="",0,IFERROR(--(EOMONTH(AF82,0)&lt;&gt;AE$5),1))+IF(AI82="",0,IFERROR(--(EOMONTH(AI82,0)&lt;&gt;AH$5),1))+IF(AL82="",0,IFERROR(--(EOMONTH(AL82,0)&lt;&gt;AK$5),1))+IF(AO82="",0,IFERROR(--(EOMONTH(AO82,0)&lt;&gt;AN$5),1))+IF(AR82="",0,IFERROR(--(EOMONTH(AR82,0)&lt;&gt;AQ$5),1))+IF(AU82="",0,IFERROR(--(EOMONTH(AU82,0)&lt;&gt;AT$5),1))+IF(AX82="",0,IFERROR(--(EOMONTH(AX82,0)&lt;&gt;AW$5),1))+IF(BA82="",0,IFERROR(--(EOMONTH(BA82,0)&lt;&gt;AZ$5),1)))&gt;0,"; An invoice date is not in the month it is typed under",""),3,500))</f>
        <v/>
      </c>
      <c r="S82" s="12" t="n"/>
      <c r="T82" s="13" t="n"/>
      <c r="U82" s="14" t="n"/>
      <c r="V82" s="12" t="n"/>
      <c r="W82" s="13" t="n"/>
      <c r="X82" s="14" t="n"/>
      <c r="Y82" s="12" t="n"/>
      <c r="Z82" s="13" t="n"/>
      <c r="AA82" s="14" t="n"/>
      <c r="AB82" s="12" t="n"/>
      <c r="AC82" s="13" t="n"/>
      <c r="AD82" s="14" t="n"/>
      <c r="AE82" s="12" t="n"/>
      <c r="AF82" s="13" t="n"/>
      <c r="AG82" s="14" t="n"/>
      <c r="AH82" s="12" t="n"/>
      <c r="AI82" s="13" t="n"/>
      <c r="AJ82" s="14" t="n"/>
      <c r="AK82" s="12" t="n"/>
      <c r="AL82" s="13" t="n"/>
      <c r="AM82" s="14" t="n"/>
      <c r="AN82" s="12" t="n"/>
      <c r="AO82" s="13" t="n"/>
      <c r="AP82" s="14" t="n"/>
      <c r="AQ82" s="12" t="n"/>
      <c r="AR82" s="13" t="n"/>
      <c r="AS82" s="14" t="n"/>
      <c r="AT82" s="12" t="n"/>
      <c r="AU82" s="13" t="n"/>
      <c r="AV82" s="14" t="n"/>
      <c r="AW82" s="12" t="n"/>
      <c r="AX82" s="13" t="n"/>
      <c r="AY82" s="14" t="n"/>
      <c r="AZ82" s="12" t="n"/>
      <c r="BA82" s="13" t="n"/>
      <c r="BB82" s="14" t="n"/>
      <c r="BC82" s="11">
        <f>IF(O82="","",IF(J82="GST 10%",ROUND(O82*set_GSTRate,2),0))</f>
        <v/>
      </c>
      <c r="BD82" s="11">
        <f>IF(O82="","",O82+BC82)</f>
        <v/>
      </c>
      <c r="BE82" s="15">
        <f>IF(O82="","",COUNTA(S82,V82,Y82,AB82,AE82,AH82,AK82,AN82,AQ82,AT82,AW82,AZ82))</f>
        <v/>
      </c>
      <c r="BF82" s="16">
        <f>IF(COUNT(T82,W82,Z82,AC82,AF82,AI82,AL82,AO82,AR82,AU82,AX82,BA82)=0,"",MAX(T82,W82,Z82,AC82,AF82,AI82,AL82,AO82,AR82,AU82,AX82,BA82))</f>
        <v/>
      </c>
      <c r="BG82" s="10">
        <f>MID(IF(S82="","",", "&amp;S82)&amp;IF(V82="","",", "&amp;V82)&amp;IF(Y82="","",", "&amp;Y82)&amp;IF(AB82="","",", "&amp;AB82)&amp;IF(AE82="","",", "&amp;AE82)&amp;IF(AH82="","",", "&amp;AH82)&amp;IF(AK82="","",", "&amp;AK82)&amp;IF(AN82="","",", "&amp;AN82)&amp;IF(AQ82="","",", "&amp;AQ82)&amp;IF(AT82="","",", "&amp;AT82)&amp;IF(AW82="","",", "&amp;AW82)&amp;IF(AZ82="","",", "&amp;AZ82),3,500)</f>
        <v/>
      </c>
      <c r="BH82" s="12" t="n"/>
      <c r="BI82" s="15">
        <f>IFERROR(MATCH($A82,IF($B82="Onsite",tbl_Onsite[Row ID],IF($B82="Production",tbl_Production[Row ID],tbl_Consulting[Row ID])),0),"")</f>
        <v/>
      </c>
    </row>
    <row r="83">
      <c r="A83" s="10" t="inlineStr">
        <is>
          <t>ONS-0077</t>
        </is>
      </c>
      <c r="B83" s="10" t="inlineStr">
        <is>
          <t>Onsite</t>
        </is>
      </c>
      <c r="C83" s="10">
        <f>IF($BI83="","",IF($B83="Onsite",INDEX(tbl_Onsite[Job Number],$BI83),IF($B83="Production",INDEX(tbl_Production[Job Number],$BI83),INDEX(tbl_Consulting[Job Number],$BI83)))&amp;"")</f>
        <v/>
      </c>
      <c r="D83" s="10">
        <f>IF($BI83="","",IF($B83="Onsite",INDEX(tbl_Onsite[Client],$BI83),IF($B83="Production",INDEX(tbl_Production[Client],$BI83),INDEX(tbl_Consulting[Client],$BI83)))&amp;"")</f>
        <v/>
      </c>
      <c r="E83" s="10">
        <f>IF($C83="","",IF(COUNTIF(lst_Jobs,$C83)&gt;0,"OK","CHECK"))</f>
        <v/>
      </c>
      <c r="F83" s="10">
        <f>IF($C83="","",IFERROR(INDEX(lst_JobName,MATCH($C83,lst_Jobs,0)),""))</f>
        <v/>
      </c>
      <c r="G83" s="10">
        <f>IF($BI83="","",IF($B83="Onsite",INDEX(tbl_Onsite[Job Description],$BI83),IF($B83="Production",INDEX(tbl_Production[Job Description],$BI83),INDEX(tbl_Consulting[Job Description],$BI83)))&amp;"")</f>
        <v/>
      </c>
      <c r="H83" s="10">
        <f>IF($BI83="","",IF($B83="Onsite",INDEX(tbl_Onsite[Cost Centre],$BI83),IF($B83="Production",INDEX(tbl_Production[Cost Centre],$BI83),INDEX(tbl_Consulting[Cost Centre],$BI83)))&amp;"")</f>
        <v/>
      </c>
      <c r="I83" s="10">
        <f>IF($BI83="","",IF($B83="Onsite",INDEX(tbl_Onsite[Invoice Type],$BI83),IF($B83="Production",INDEX(tbl_Production[Invoice Type],$BI83),INDEX(tbl_Consulting[Invoice Type],$BI83)))&amp;"")</f>
        <v/>
      </c>
      <c r="J83" s="10">
        <f>IF($BI83="","",IF($B83="Onsite",INDEX(tbl_Onsite[Tax Code],$BI83),IF($B83="Production",INDEX(tbl_Production[Tax Code],$BI83),INDEX(tbl_Consulting[Tax Code],$BI83)))&amp;"")</f>
        <v/>
      </c>
      <c r="K83" s="10">
        <f>IF(H83="","",IFERROR(INDEX(lst_CCtoGL,MATCH(H83,lst_CCforGL,0)),""))</f>
        <v/>
      </c>
      <c r="L83" s="10">
        <f>IF($BI83="","",IF($B83="Onsite",INDEX(tbl_Onsite[PO / Reference],$BI83),IF($B83="Production",INDEX(tbl_Production[Current RMS No],$BI83),INDEX(tbl_Consulting[Qwilr Quote],$BI83)))&amp;"")</f>
        <v/>
      </c>
      <c r="M83" s="10">
        <f>IF($BI83="","",IF($B83="Onsite",INDEX(tbl_Onsite[Notes],$BI83),IF($B83="Production",INDEX(tbl_Production[Notes],$BI83),INDEX(tbl_Consulting[Notes],$BI83)))&amp;"")</f>
        <v/>
      </c>
      <c r="N83" s="11">
        <f>IF($BI83="","",IF(IF($B83="Onsite",INDEX(tbl_Onsite[Expected Revenue Ex GST],$BI83),IF($B83="Production",INDEX(tbl_Production[Expected Revenue Ex GST],$BI83),INDEX(tbl_Consulting[Expected Revenue Ex GST],$BI83)))="","",IF($B83="Onsite",INDEX(tbl_Onsite[Expected Revenue Ex GST],$BI83),IF($B83="Production",INDEX(tbl_Production[Expected Revenue Ex GST],$BI83),INDEX(tbl_Consulting[Expected Revenue Ex GST],$BI83)))))</f>
        <v/>
      </c>
      <c r="O83" s="11">
        <f>IF(AND($C83="",NOT(COUNTA($S83:$BB83)&gt;0)),"",SUM(U83,X83,AA83,AD83,AG83,AJ83,AM83,AP83,AS83,AV83,AY83,BB83))</f>
        <v/>
      </c>
      <c r="P83" s="11">
        <f>IF(O83="","",N(N83)-O83)</f>
        <v/>
      </c>
      <c r="Q83" s="10">
        <f>IF(O83="","",IF($C83="","Invoice on empty job row",IF(N83="",IF(ROUND(O83,2)=0,"No dept value","Invoiced - no dept value"),IF(ROUND(O83,2)=0,"Not invoiced - to invoice",IF(ROUND(P83,2)=0,"Agrees",IF(P83&gt;0,"Dept higher - to invoice","Xero higher - check dept"))))))</f>
        <v/>
      </c>
      <c r="R83" s="10">
        <f>IF(AND($C83="",NOT(COUNTA($S83:$BB83)&gt;0),$BI83&lt;&gt;""),"",MID(IF($BI83="","; Row ID not found on the department sheet - a row was deleted","")&amp;IF(AND($C83="",COUNTA($S83:$BB83)&gt;0),"; Invoice entered but the department row has no job number","")&amp;IF(E83="CHECK","; Job number not in the Xero job list","")&amp;IF(AND($C83&lt;&gt;"",COUNTIF($C$7:$C$1506,$C83)&gt;1),"; Job number on more than one row","")&amp;IF(AND($C83&lt;&gt;"",H83=""),"; Dept has not set a cost centre","")&amp;IF(AND($C83&lt;&gt;"",J83=""),"; Dept has not set a tax code","")&amp;IF(AND($C83&lt;&gt;"",N83=""),"; Dept has not entered an expected value","")&amp;IF((IF(OR(COUNTA(S83:U83)=0,AND(COUNTA(S83:U83)=3,ISNUMBER(U83))),0,1)+IF(OR(COUNTA(V83:X83)=0,AND(COUNTA(V83:X83)=3,ISNUMBER(X83))),0,1)+IF(OR(COUNTA(Y83:AA83)=0,AND(COUNTA(Y83:AA83)=3,ISNUMBER(AA83))),0,1)+IF(OR(COUNTA(AB83:AD83)=0,AND(COUNTA(AB83:AD83)=3,ISNUMBER(AD83))),0,1)+IF(OR(COUNTA(AE83:AG83)=0,AND(COUNTA(AE83:AG83)=3,ISNUMBER(AG83))),0,1)+IF(OR(COUNTA(AH83:AJ83)=0,AND(COUNTA(AH83:AJ83)=3,ISNUMBER(AJ83))),0,1)+IF(OR(COUNTA(AK83:AM83)=0,AND(COUNTA(AK83:AM83)=3,ISNUMBER(AM83))),0,1)+IF(OR(COUNTA(AN83:AP83)=0,AND(COUNTA(AN83:AP83)=3,ISNUMBER(AP83))),0,1)+IF(OR(COUNTA(AQ83:AS83)=0,AND(COUNTA(AQ83:AS83)=3,ISNUMBER(AS83))),0,1)+IF(OR(COUNTA(AT83:AV83)=0,AND(COUNTA(AT83:AV83)=3,ISNUMBER(AV83))),0,1)+IF(OR(COUNTA(AW83:AY83)=0,AND(COUNTA(AW83:AY83)=3,ISNUMBER(AY83))),0,1)+IF(OR(COUNTA(AZ83:BB83)=0,AND(COUNTA(AZ83:BB83)=3,ISNUMBER(BB83))),0,1))&gt;0,"; An invoice is incomplete (needs No, Date and a number in Ex GST)","")&amp;IF((IF(T83="",0,IFERROR(--(EOMONTH(T83,0)&lt;&gt;S$5),1))+IF(W83="",0,IFERROR(--(EOMONTH(W83,0)&lt;&gt;V$5),1))+IF(Z83="",0,IFERROR(--(EOMONTH(Z83,0)&lt;&gt;Y$5),1))+IF(AC83="",0,IFERROR(--(EOMONTH(AC83,0)&lt;&gt;AB$5),1))+IF(AF83="",0,IFERROR(--(EOMONTH(AF83,0)&lt;&gt;AE$5),1))+IF(AI83="",0,IFERROR(--(EOMONTH(AI83,0)&lt;&gt;AH$5),1))+IF(AL83="",0,IFERROR(--(EOMONTH(AL83,0)&lt;&gt;AK$5),1))+IF(AO83="",0,IFERROR(--(EOMONTH(AO83,0)&lt;&gt;AN$5),1))+IF(AR83="",0,IFERROR(--(EOMONTH(AR83,0)&lt;&gt;AQ$5),1))+IF(AU83="",0,IFERROR(--(EOMONTH(AU83,0)&lt;&gt;AT$5),1))+IF(AX83="",0,IFERROR(--(EOMONTH(AX83,0)&lt;&gt;AW$5),1))+IF(BA83="",0,IFERROR(--(EOMONTH(BA83,0)&lt;&gt;AZ$5),1)))&gt;0,"; An invoice date is not in the month it is typed under",""),3,500))</f>
        <v/>
      </c>
      <c r="S83" s="12" t="n"/>
      <c r="T83" s="13" t="n"/>
      <c r="U83" s="14" t="n"/>
      <c r="V83" s="12" t="n"/>
      <c r="W83" s="13" t="n"/>
      <c r="X83" s="14" t="n"/>
      <c r="Y83" s="12" t="n"/>
      <c r="Z83" s="13" t="n"/>
      <c r="AA83" s="14" t="n"/>
      <c r="AB83" s="12" t="n"/>
      <c r="AC83" s="13" t="n"/>
      <c r="AD83" s="14" t="n"/>
      <c r="AE83" s="12" t="n"/>
      <c r="AF83" s="13" t="n"/>
      <c r="AG83" s="14" t="n"/>
      <c r="AH83" s="12" t="n"/>
      <c r="AI83" s="13" t="n"/>
      <c r="AJ83" s="14" t="n"/>
      <c r="AK83" s="12" t="n"/>
      <c r="AL83" s="13" t="n"/>
      <c r="AM83" s="14" t="n"/>
      <c r="AN83" s="12" t="n"/>
      <c r="AO83" s="13" t="n"/>
      <c r="AP83" s="14" t="n"/>
      <c r="AQ83" s="12" t="n"/>
      <c r="AR83" s="13" t="n"/>
      <c r="AS83" s="14" t="n"/>
      <c r="AT83" s="12" t="n"/>
      <c r="AU83" s="13" t="n"/>
      <c r="AV83" s="14" t="n"/>
      <c r="AW83" s="12" t="n"/>
      <c r="AX83" s="13" t="n"/>
      <c r="AY83" s="14" t="n"/>
      <c r="AZ83" s="12" t="n"/>
      <c r="BA83" s="13" t="n"/>
      <c r="BB83" s="14" t="n"/>
      <c r="BC83" s="11">
        <f>IF(O83="","",IF(J83="GST 10%",ROUND(O83*set_GSTRate,2),0))</f>
        <v/>
      </c>
      <c r="BD83" s="11">
        <f>IF(O83="","",O83+BC83)</f>
        <v/>
      </c>
      <c r="BE83" s="15">
        <f>IF(O83="","",COUNTA(S83,V83,Y83,AB83,AE83,AH83,AK83,AN83,AQ83,AT83,AW83,AZ83))</f>
        <v/>
      </c>
      <c r="BF83" s="16">
        <f>IF(COUNT(T83,W83,Z83,AC83,AF83,AI83,AL83,AO83,AR83,AU83,AX83,BA83)=0,"",MAX(T83,W83,Z83,AC83,AF83,AI83,AL83,AO83,AR83,AU83,AX83,BA83))</f>
        <v/>
      </c>
      <c r="BG83" s="10">
        <f>MID(IF(S83="","",", "&amp;S83)&amp;IF(V83="","",", "&amp;V83)&amp;IF(Y83="","",", "&amp;Y83)&amp;IF(AB83="","",", "&amp;AB83)&amp;IF(AE83="","",", "&amp;AE83)&amp;IF(AH83="","",", "&amp;AH83)&amp;IF(AK83="","",", "&amp;AK83)&amp;IF(AN83="","",", "&amp;AN83)&amp;IF(AQ83="","",", "&amp;AQ83)&amp;IF(AT83="","",", "&amp;AT83)&amp;IF(AW83="","",", "&amp;AW83)&amp;IF(AZ83="","",", "&amp;AZ83),3,500)</f>
        <v/>
      </c>
      <c r="BH83" s="12" t="n"/>
      <c r="BI83" s="15">
        <f>IFERROR(MATCH($A83,IF($B83="Onsite",tbl_Onsite[Row ID],IF($B83="Production",tbl_Production[Row ID],tbl_Consulting[Row ID])),0),"")</f>
        <v/>
      </c>
    </row>
    <row r="84">
      <c r="A84" s="10" t="inlineStr">
        <is>
          <t>ONS-0078</t>
        </is>
      </c>
      <c r="B84" s="10" t="inlineStr">
        <is>
          <t>Onsite</t>
        </is>
      </c>
      <c r="C84" s="10">
        <f>IF($BI84="","",IF($B84="Onsite",INDEX(tbl_Onsite[Job Number],$BI84),IF($B84="Production",INDEX(tbl_Production[Job Number],$BI84),INDEX(tbl_Consulting[Job Number],$BI84)))&amp;"")</f>
        <v/>
      </c>
      <c r="D84" s="10">
        <f>IF($BI84="","",IF($B84="Onsite",INDEX(tbl_Onsite[Client],$BI84),IF($B84="Production",INDEX(tbl_Production[Client],$BI84),INDEX(tbl_Consulting[Client],$BI84)))&amp;"")</f>
        <v/>
      </c>
      <c r="E84" s="10">
        <f>IF($C84="","",IF(COUNTIF(lst_Jobs,$C84)&gt;0,"OK","CHECK"))</f>
        <v/>
      </c>
      <c r="F84" s="10">
        <f>IF($C84="","",IFERROR(INDEX(lst_JobName,MATCH($C84,lst_Jobs,0)),""))</f>
        <v/>
      </c>
      <c r="G84" s="10">
        <f>IF($BI84="","",IF($B84="Onsite",INDEX(tbl_Onsite[Job Description],$BI84),IF($B84="Production",INDEX(tbl_Production[Job Description],$BI84),INDEX(tbl_Consulting[Job Description],$BI84)))&amp;"")</f>
        <v/>
      </c>
      <c r="H84" s="10">
        <f>IF($BI84="","",IF($B84="Onsite",INDEX(tbl_Onsite[Cost Centre],$BI84),IF($B84="Production",INDEX(tbl_Production[Cost Centre],$BI84),INDEX(tbl_Consulting[Cost Centre],$BI84)))&amp;"")</f>
        <v/>
      </c>
      <c r="I84" s="10">
        <f>IF($BI84="","",IF($B84="Onsite",INDEX(tbl_Onsite[Invoice Type],$BI84),IF($B84="Production",INDEX(tbl_Production[Invoice Type],$BI84),INDEX(tbl_Consulting[Invoice Type],$BI84)))&amp;"")</f>
        <v/>
      </c>
      <c r="J84" s="10">
        <f>IF($BI84="","",IF($B84="Onsite",INDEX(tbl_Onsite[Tax Code],$BI84),IF($B84="Production",INDEX(tbl_Production[Tax Code],$BI84),INDEX(tbl_Consulting[Tax Code],$BI84)))&amp;"")</f>
        <v/>
      </c>
      <c r="K84" s="10">
        <f>IF(H84="","",IFERROR(INDEX(lst_CCtoGL,MATCH(H84,lst_CCforGL,0)),""))</f>
        <v/>
      </c>
      <c r="L84" s="10">
        <f>IF($BI84="","",IF($B84="Onsite",INDEX(tbl_Onsite[PO / Reference],$BI84),IF($B84="Production",INDEX(tbl_Production[Current RMS No],$BI84),INDEX(tbl_Consulting[Qwilr Quote],$BI84)))&amp;"")</f>
        <v/>
      </c>
      <c r="M84" s="10">
        <f>IF($BI84="","",IF($B84="Onsite",INDEX(tbl_Onsite[Notes],$BI84),IF($B84="Production",INDEX(tbl_Production[Notes],$BI84),INDEX(tbl_Consulting[Notes],$BI84)))&amp;"")</f>
        <v/>
      </c>
      <c r="N84" s="11">
        <f>IF($BI84="","",IF(IF($B84="Onsite",INDEX(tbl_Onsite[Expected Revenue Ex GST],$BI84),IF($B84="Production",INDEX(tbl_Production[Expected Revenue Ex GST],$BI84),INDEX(tbl_Consulting[Expected Revenue Ex GST],$BI84)))="","",IF($B84="Onsite",INDEX(tbl_Onsite[Expected Revenue Ex GST],$BI84),IF($B84="Production",INDEX(tbl_Production[Expected Revenue Ex GST],$BI84),INDEX(tbl_Consulting[Expected Revenue Ex GST],$BI84)))))</f>
        <v/>
      </c>
      <c r="O84" s="11">
        <f>IF(AND($C84="",NOT(COUNTA($S84:$BB84)&gt;0)),"",SUM(U84,X84,AA84,AD84,AG84,AJ84,AM84,AP84,AS84,AV84,AY84,BB84))</f>
        <v/>
      </c>
      <c r="P84" s="11">
        <f>IF(O84="","",N(N84)-O84)</f>
        <v/>
      </c>
      <c r="Q84" s="10">
        <f>IF(O84="","",IF($C84="","Invoice on empty job row",IF(N84="",IF(ROUND(O84,2)=0,"No dept value","Invoiced - no dept value"),IF(ROUND(O84,2)=0,"Not invoiced - to invoice",IF(ROUND(P84,2)=0,"Agrees",IF(P84&gt;0,"Dept higher - to invoice","Xero higher - check dept"))))))</f>
        <v/>
      </c>
      <c r="R84" s="10">
        <f>IF(AND($C84="",NOT(COUNTA($S84:$BB84)&gt;0),$BI84&lt;&gt;""),"",MID(IF($BI84="","; Row ID not found on the department sheet - a row was deleted","")&amp;IF(AND($C84="",COUNTA($S84:$BB84)&gt;0),"; Invoice entered but the department row has no job number","")&amp;IF(E84="CHECK","; Job number not in the Xero job list","")&amp;IF(AND($C84&lt;&gt;"",COUNTIF($C$7:$C$1506,$C84)&gt;1),"; Job number on more than one row","")&amp;IF(AND($C84&lt;&gt;"",H84=""),"; Dept has not set a cost centre","")&amp;IF(AND($C84&lt;&gt;"",J84=""),"; Dept has not set a tax code","")&amp;IF(AND($C84&lt;&gt;"",N84=""),"; Dept has not entered an expected value","")&amp;IF((IF(OR(COUNTA(S84:U84)=0,AND(COUNTA(S84:U84)=3,ISNUMBER(U84))),0,1)+IF(OR(COUNTA(V84:X84)=0,AND(COUNTA(V84:X84)=3,ISNUMBER(X84))),0,1)+IF(OR(COUNTA(Y84:AA84)=0,AND(COUNTA(Y84:AA84)=3,ISNUMBER(AA84))),0,1)+IF(OR(COUNTA(AB84:AD84)=0,AND(COUNTA(AB84:AD84)=3,ISNUMBER(AD84))),0,1)+IF(OR(COUNTA(AE84:AG84)=0,AND(COUNTA(AE84:AG84)=3,ISNUMBER(AG84))),0,1)+IF(OR(COUNTA(AH84:AJ84)=0,AND(COUNTA(AH84:AJ84)=3,ISNUMBER(AJ84))),0,1)+IF(OR(COUNTA(AK84:AM84)=0,AND(COUNTA(AK84:AM84)=3,ISNUMBER(AM84))),0,1)+IF(OR(COUNTA(AN84:AP84)=0,AND(COUNTA(AN84:AP84)=3,ISNUMBER(AP84))),0,1)+IF(OR(COUNTA(AQ84:AS84)=0,AND(COUNTA(AQ84:AS84)=3,ISNUMBER(AS84))),0,1)+IF(OR(COUNTA(AT84:AV84)=0,AND(COUNTA(AT84:AV84)=3,ISNUMBER(AV84))),0,1)+IF(OR(COUNTA(AW84:AY84)=0,AND(COUNTA(AW84:AY84)=3,ISNUMBER(AY84))),0,1)+IF(OR(COUNTA(AZ84:BB84)=0,AND(COUNTA(AZ84:BB84)=3,ISNUMBER(BB84))),0,1))&gt;0,"; An invoice is incomplete (needs No, Date and a number in Ex GST)","")&amp;IF((IF(T84="",0,IFERROR(--(EOMONTH(T84,0)&lt;&gt;S$5),1))+IF(W84="",0,IFERROR(--(EOMONTH(W84,0)&lt;&gt;V$5),1))+IF(Z84="",0,IFERROR(--(EOMONTH(Z84,0)&lt;&gt;Y$5),1))+IF(AC84="",0,IFERROR(--(EOMONTH(AC84,0)&lt;&gt;AB$5),1))+IF(AF84="",0,IFERROR(--(EOMONTH(AF84,0)&lt;&gt;AE$5),1))+IF(AI84="",0,IFERROR(--(EOMONTH(AI84,0)&lt;&gt;AH$5),1))+IF(AL84="",0,IFERROR(--(EOMONTH(AL84,0)&lt;&gt;AK$5),1))+IF(AO84="",0,IFERROR(--(EOMONTH(AO84,0)&lt;&gt;AN$5),1))+IF(AR84="",0,IFERROR(--(EOMONTH(AR84,0)&lt;&gt;AQ$5),1))+IF(AU84="",0,IFERROR(--(EOMONTH(AU84,0)&lt;&gt;AT$5),1))+IF(AX84="",0,IFERROR(--(EOMONTH(AX84,0)&lt;&gt;AW$5),1))+IF(BA84="",0,IFERROR(--(EOMONTH(BA84,0)&lt;&gt;AZ$5),1)))&gt;0,"; An invoice date is not in the month it is typed under",""),3,500))</f>
        <v/>
      </c>
      <c r="S84" s="12" t="n"/>
      <c r="T84" s="13" t="n"/>
      <c r="U84" s="14" t="n"/>
      <c r="V84" s="12" t="n"/>
      <c r="W84" s="13" t="n"/>
      <c r="X84" s="14" t="n"/>
      <c r="Y84" s="12" t="n"/>
      <c r="Z84" s="13" t="n"/>
      <c r="AA84" s="14" t="n"/>
      <c r="AB84" s="12" t="n"/>
      <c r="AC84" s="13" t="n"/>
      <c r="AD84" s="14" t="n"/>
      <c r="AE84" s="12" t="n"/>
      <c r="AF84" s="13" t="n"/>
      <c r="AG84" s="14" t="n"/>
      <c r="AH84" s="12" t="n"/>
      <c r="AI84" s="13" t="n"/>
      <c r="AJ84" s="14" t="n"/>
      <c r="AK84" s="12" t="n"/>
      <c r="AL84" s="13" t="n"/>
      <c r="AM84" s="14" t="n"/>
      <c r="AN84" s="12" t="n"/>
      <c r="AO84" s="13" t="n"/>
      <c r="AP84" s="14" t="n"/>
      <c r="AQ84" s="12" t="n"/>
      <c r="AR84" s="13" t="n"/>
      <c r="AS84" s="14" t="n"/>
      <c r="AT84" s="12" t="n"/>
      <c r="AU84" s="13" t="n"/>
      <c r="AV84" s="14" t="n"/>
      <c r="AW84" s="12" t="n"/>
      <c r="AX84" s="13" t="n"/>
      <c r="AY84" s="14" t="n"/>
      <c r="AZ84" s="12" t="n"/>
      <c r="BA84" s="13" t="n"/>
      <c r="BB84" s="14" t="n"/>
      <c r="BC84" s="11">
        <f>IF(O84="","",IF(J84="GST 10%",ROUND(O84*set_GSTRate,2),0))</f>
        <v/>
      </c>
      <c r="BD84" s="11">
        <f>IF(O84="","",O84+BC84)</f>
        <v/>
      </c>
      <c r="BE84" s="15">
        <f>IF(O84="","",COUNTA(S84,V84,Y84,AB84,AE84,AH84,AK84,AN84,AQ84,AT84,AW84,AZ84))</f>
        <v/>
      </c>
      <c r="BF84" s="16">
        <f>IF(COUNT(T84,W84,Z84,AC84,AF84,AI84,AL84,AO84,AR84,AU84,AX84,BA84)=0,"",MAX(T84,W84,Z84,AC84,AF84,AI84,AL84,AO84,AR84,AU84,AX84,BA84))</f>
        <v/>
      </c>
      <c r="BG84" s="10">
        <f>MID(IF(S84="","",", "&amp;S84)&amp;IF(V84="","",", "&amp;V84)&amp;IF(Y84="","",", "&amp;Y84)&amp;IF(AB84="","",", "&amp;AB84)&amp;IF(AE84="","",", "&amp;AE84)&amp;IF(AH84="","",", "&amp;AH84)&amp;IF(AK84="","",", "&amp;AK84)&amp;IF(AN84="","",", "&amp;AN84)&amp;IF(AQ84="","",", "&amp;AQ84)&amp;IF(AT84="","",", "&amp;AT84)&amp;IF(AW84="","",", "&amp;AW84)&amp;IF(AZ84="","",", "&amp;AZ84),3,500)</f>
        <v/>
      </c>
      <c r="BH84" s="12" t="n"/>
      <c r="BI84" s="15">
        <f>IFERROR(MATCH($A84,IF($B84="Onsite",tbl_Onsite[Row ID],IF($B84="Production",tbl_Production[Row ID],tbl_Consulting[Row ID])),0),"")</f>
        <v/>
      </c>
    </row>
    <row r="85">
      <c r="A85" s="10" t="inlineStr">
        <is>
          <t>ONS-0079</t>
        </is>
      </c>
      <c r="B85" s="10" t="inlineStr">
        <is>
          <t>Onsite</t>
        </is>
      </c>
      <c r="C85" s="10">
        <f>IF($BI85="","",IF($B85="Onsite",INDEX(tbl_Onsite[Job Number],$BI85),IF($B85="Production",INDEX(tbl_Production[Job Number],$BI85),INDEX(tbl_Consulting[Job Number],$BI85)))&amp;"")</f>
        <v/>
      </c>
      <c r="D85" s="10">
        <f>IF($BI85="","",IF($B85="Onsite",INDEX(tbl_Onsite[Client],$BI85),IF($B85="Production",INDEX(tbl_Production[Client],$BI85),INDEX(tbl_Consulting[Client],$BI85)))&amp;"")</f>
        <v/>
      </c>
      <c r="E85" s="10">
        <f>IF($C85="","",IF(COUNTIF(lst_Jobs,$C85)&gt;0,"OK","CHECK"))</f>
        <v/>
      </c>
      <c r="F85" s="10">
        <f>IF($C85="","",IFERROR(INDEX(lst_JobName,MATCH($C85,lst_Jobs,0)),""))</f>
        <v/>
      </c>
      <c r="G85" s="10">
        <f>IF($BI85="","",IF($B85="Onsite",INDEX(tbl_Onsite[Job Description],$BI85),IF($B85="Production",INDEX(tbl_Production[Job Description],$BI85),INDEX(tbl_Consulting[Job Description],$BI85)))&amp;"")</f>
        <v/>
      </c>
      <c r="H85" s="10">
        <f>IF($BI85="","",IF($B85="Onsite",INDEX(tbl_Onsite[Cost Centre],$BI85),IF($B85="Production",INDEX(tbl_Production[Cost Centre],$BI85),INDEX(tbl_Consulting[Cost Centre],$BI85)))&amp;"")</f>
        <v/>
      </c>
      <c r="I85" s="10">
        <f>IF($BI85="","",IF($B85="Onsite",INDEX(tbl_Onsite[Invoice Type],$BI85),IF($B85="Production",INDEX(tbl_Production[Invoice Type],$BI85),INDEX(tbl_Consulting[Invoice Type],$BI85)))&amp;"")</f>
        <v/>
      </c>
      <c r="J85" s="10">
        <f>IF($BI85="","",IF($B85="Onsite",INDEX(tbl_Onsite[Tax Code],$BI85),IF($B85="Production",INDEX(tbl_Production[Tax Code],$BI85),INDEX(tbl_Consulting[Tax Code],$BI85)))&amp;"")</f>
        <v/>
      </c>
      <c r="K85" s="10">
        <f>IF(H85="","",IFERROR(INDEX(lst_CCtoGL,MATCH(H85,lst_CCforGL,0)),""))</f>
        <v/>
      </c>
      <c r="L85" s="10">
        <f>IF($BI85="","",IF($B85="Onsite",INDEX(tbl_Onsite[PO / Reference],$BI85),IF($B85="Production",INDEX(tbl_Production[Current RMS No],$BI85),INDEX(tbl_Consulting[Qwilr Quote],$BI85)))&amp;"")</f>
        <v/>
      </c>
      <c r="M85" s="10">
        <f>IF($BI85="","",IF($B85="Onsite",INDEX(tbl_Onsite[Notes],$BI85),IF($B85="Production",INDEX(tbl_Production[Notes],$BI85),INDEX(tbl_Consulting[Notes],$BI85)))&amp;"")</f>
        <v/>
      </c>
      <c r="N85" s="11">
        <f>IF($BI85="","",IF(IF($B85="Onsite",INDEX(tbl_Onsite[Expected Revenue Ex GST],$BI85),IF($B85="Production",INDEX(tbl_Production[Expected Revenue Ex GST],$BI85),INDEX(tbl_Consulting[Expected Revenue Ex GST],$BI85)))="","",IF($B85="Onsite",INDEX(tbl_Onsite[Expected Revenue Ex GST],$BI85),IF($B85="Production",INDEX(tbl_Production[Expected Revenue Ex GST],$BI85),INDEX(tbl_Consulting[Expected Revenue Ex GST],$BI85)))))</f>
        <v/>
      </c>
      <c r="O85" s="11">
        <f>IF(AND($C85="",NOT(COUNTA($S85:$BB85)&gt;0)),"",SUM(U85,X85,AA85,AD85,AG85,AJ85,AM85,AP85,AS85,AV85,AY85,BB85))</f>
        <v/>
      </c>
      <c r="P85" s="11">
        <f>IF(O85="","",N(N85)-O85)</f>
        <v/>
      </c>
      <c r="Q85" s="10">
        <f>IF(O85="","",IF($C85="","Invoice on empty job row",IF(N85="",IF(ROUND(O85,2)=0,"No dept value","Invoiced - no dept value"),IF(ROUND(O85,2)=0,"Not invoiced - to invoice",IF(ROUND(P85,2)=0,"Agrees",IF(P85&gt;0,"Dept higher - to invoice","Xero higher - check dept"))))))</f>
        <v/>
      </c>
      <c r="R85" s="10">
        <f>IF(AND($C85="",NOT(COUNTA($S85:$BB85)&gt;0),$BI85&lt;&gt;""),"",MID(IF($BI85="","; Row ID not found on the department sheet - a row was deleted","")&amp;IF(AND($C85="",COUNTA($S85:$BB85)&gt;0),"; Invoice entered but the department row has no job number","")&amp;IF(E85="CHECK","; Job number not in the Xero job list","")&amp;IF(AND($C85&lt;&gt;"",COUNTIF($C$7:$C$1506,$C85)&gt;1),"; Job number on more than one row","")&amp;IF(AND($C85&lt;&gt;"",H85=""),"; Dept has not set a cost centre","")&amp;IF(AND($C85&lt;&gt;"",J85=""),"; Dept has not set a tax code","")&amp;IF(AND($C85&lt;&gt;"",N85=""),"; Dept has not entered an expected value","")&amp;IF((IF(OR(COUNTA(S85:U85)=0,AND(COUNTA(S85:U85)=3,ISNUMBER(U85))),0,1)+IF(OR(COUNTA(V85:X85)=0,AND(COUNTA(V85:X85)=3,ISNUMBER(X85))),0,1)+IF(OR(COUNTA(Y85:AA85)=0,AND(COUNTA(Y85:AA85)=3,ISNUMBER(AA85))),0,1)+IF(OR(COUNTA(AB85:AD85)=0,AND(COUNTA(AB85:AD85)=3,ISNUMBER(AD85))),0,1)+IF(OR(COUNTA(AE85:AG85)=0,AND(COUNTA(AE85:AG85)=3,ISNUMBER(AG85))),0,1)+IF(OR(COUNTA(AH85:AJ85)=0,AND(COUNTA(AH85:AJ85)=3,ISNUMBER(AJ85))),0,1)+IF(OR(COUNTA(AK85:AM85)=0,AND(COUNTA(AK85:AM85)=3,ISNUMBER(AM85))),0,1)+IF(OR(COUNTA(AN85:AP85)=0,AND(COUNTA(AN85:AP85)=3,ISNUMBER(AP85))),0,1)+IF(OR(COUNTA(AQ85:AS85)=0,AND(COUNTA(AQ85:AS85)=3,ISNUMBER(AS85))),0,1)+IF(OR(COUNTA(AT85:AV85)=0,AND(COUNTA(AT85:AV85)=3,ISNUMBER(AV85))),0,1)+IF(OR(COUNTA(AW85:AY85)=0,AND(COUNTA(AW85:AY85)=3,ISNUMBER(AY85))),0,1)+IF(OR(COUNTA(AZ85:BB85)=0,AND(COUNTA(AZ85:BB85)=3,ISNUMBER(BB85))),0,1))&gt;0,"; An invoice is incomplete (needs No, Date and a number in Ex GST)","")&amp;IF((IF(T85="",0,IFERROR(--(EOMONTH(T85,0)&lt;&gt;S$5),1))+IF(W85="",0,IFERROR(--(EOMONTH(W85,0)&lt;&gt;V$5),1))+IF(Z85="",0,IFERROR(--(EOMONTH(Z85,0)&lt;&gt;Y$5),1))+IF(AC85="",0,IFERROR(--(EOMONTH(AC85,0)&lt;&gt;AB$5),1))+IF(AF85="",0,IFERROR(--(EOMONTH(AF85,0)&lt;&gt;AE$5),1))+IF(AI85="",0,IFERROR(--(EOMONTH(AI85,0)&lt;&gt;AH$5),1))+IF(AL85="",0,IFERROR(--(EOMONTH(AL85,0)&lt;&gt;AK$5),1))+IF(AO85="",0,IFERROR(--(EOMONTH(AO85,0)&lt;&gt;AN$5),1))+IF(AR85="",0,IFERROR(--(EOMONTH(AR85,0)&lt;&gt;AQ$5),1))+IF(AU85="",0,IFERROR(--(EOMONTH(AU85,0)&lt;&gt;AT$5),1))+IF(AX85="",0,IFERROR(--(EOMONTH(AX85,0)&lt;&gt;AW$5),1))+IF(BA85="",0,IFERROR(--(EOMONTH(BA85,0)&lt;&gt;AZ$5),1)))&gt;0,"; An invoice date is not in the month it is typed under",""),3,500))</f>
        <v/>
      </c>
      <c r="S85" s="12" t="n"/>
      <c r="T85" s="13" t="n"/>
      <c r="U85" s="14" t="n"/>
      <c r="V85" s="12" t="n"/>
      <c r="W85" s="13" t="n"/>
      <c r="X85" s="14" t="n"/>
      <c r="Y85" s="12" t="n"/>
      <c r="Z85" s="13" t="n"/>
      <c r="AA85" s="14" t="n"/>
      <c r="AB85" s="12" t="n"/>
      <c r="AC85" s="13" t="n"/>
      <c r="AD85" s="14" t="n"/>
      <c r="AE85" s="12" t="n"/>
      <c r="AF85" s="13" t="n"/>
      <c r="AG85" s="14" t="n"/>
      <c r="AH85" s="12" t="n"/>
      <c r="AI85" s="13" t="n"/>
      <c r="AJ85" s="14" t="n"/>
      <c r="AK85" s="12" t="n"/>
      <c r="AL85" s="13" t="n"/>
      <c r="AM85" s="14" t="n"/>
      <c r="AN85" s="12" t="n"/>
      <c r="AO85" s="13" t="n"/>
      <c r="AP85" s="14" t="n"/>
      <c r="AQ85" s="12" t="n"/>
      <c r="AR85" s="13" t="n"/>
      <c r="AS85" s="14" t="n"/>
      <c r="AT85" s="12" t="n"/>
      <c r="AU85" s="13" t="n"/>
      <c r="AV85" s="14" t="n"/>
      <c r="AW85" s="12" t="n"/>
      <c r="AX85" s="13" t="n"/>
      <c r="AY85" s="14" t="n"/>
      <c r="AZ85" s="12" t="n"/>
      <c r="BA85" s="13" t="n"/>
      <c r="BB85" s="14" t="n"/>
      <c r="BC85" s="11">
        <f>IF(O85="","",IF(J85="GST 10%",ROUND(O85*set_GSTRate,2),0))</f>
        <v/>
      </c>
      <c r="BD85" s="11">
        <f>IF(O85="","",O85+BC85)</f>
        <v/>
      </c>
      <c r="BE85" s="15">
        <f>IF(O85="","",COUNTA(S85,V85,Y85,AB85,AE85,AH85,AK85,AN85,AQ85,AT85,AW85,AZ85))</f>
        <v/>
      </c>
      <c r="BF85" s="16">
        <f>IF(COUNT(T85,W85,Z85,AC85,AF85,AI85,AL85,AO85,AR85,AU85,AX85,BA85)=0,"",MAX(T85,W85,Z85,AC85,AF85,AI85,AL85,AO85,AR85,AU85,AX85,BA85))</f>
        <v/>
      </c>
      <c r="BG85" s="10">
        <f>MID(IF(S85="","",", "&amp;S85)&amp;IF(V85="","",", "&amp;V85)&amp;IF(Y85="","",", "&amp;Y85)&amp;IF(AB85="","",", "&amp;AB85)&amp;IF(AE85="","",", "&amp;AE85)&amp;IF(AH85="","",", "&amp;AH85)&amp;IF(AK85="","",", "&amp;AK85)&amp;IF(AN85="","",", "&amp;AN85)&amp;IF(AQ85="","",", "&amp;AQ85)&amp;IF(AT85="","",", "&amp;AT85)&amp;IF(AW85="","",", "&amp;AW85)&amp;IF(AZ85="","",", "&amp;AZ85),3,500)</f>
        <v/>
      </c>
      <c r="BH85" s="12" t="n"/>
      <c r="BI85" s="15">
        <f>IFERROR(MATCH($A85,IF($B85="Onsite",tbl_Onsite[Row ID],IF($B85="Production",tbl_Production[Row ID],tbl_Consulting[Row ID])),0),"")</f>
        <v/>
      </c>
    </row>
    <row r="86">
      <c r="A86" s="10" t="inlineStr">
        <is>
          <t>ONS-0080</t>
        </is>
      </c>
      <c r="B86" s="10" t="inlineStr">
        <is>
          <t>Onsite</t>
        </is>
      </c>
      <c r="C86" s="10">
        <f>IF($BI86="","",IF($B86="Onsite",INDEX(tbl_Onsite[Job Number],$BI86),IF($B86="Production",INDEX(tbl_Production[Job Number],$BI86),INDEX(tbl_Consulting[Job Number],$BI86)))&amp;"")</f>
        <v/>
      </c>
      <c r="D86" s="10">
        <f>IF($BI86="","",IF($B86="Onsite",INDEX(tbl_Onsite[Client],$BI86),IF($B86="Production",INDEX(tbl_Production[Client],$BI86),INDEX(tbl_Consulting[Client],$BI86)))&amp;"")</f>
        <v/>
      </c>
      <c r="E86" s="10">
        <f>IF($C86="","",IF(COUNTIF(lst_Jobs,$C86)&gt;0,"OK","CHECK"))</f>
        <v/>
      </c>
      <c r="F86" s="10">
        <f>IF($C86="","",IFERROR(INDEX(lst_JobName,MATCH($C86,lst_Jobs,0)),""))</f>
        <v/>
      </c>
      <c r="G86" s="10">
        <f>IF($BI86="","",IF($B86="Onsite",INDEX(tbl_Onsite[Job Description],$BI86),IF($B86="Production",INDEX(tbl_Production[Job Description],$BI86),INDEX(tbl_Consulting[Job Description],$BI86)))&amp;"")</f>
        <v/>
      </c>
      <c r="H86" s="10">
        <f>IF($BI86="","",IF($B86="Onsite",INDEX(tbl_Onsite[Cost Centre],$BI86),IF($B86="Production",INDEX(tbl_Production[Cost Centre],$BI86),INDEX(tbl_Consulting[Cost Centre],$BI86)))&amp;"")</f>
        <v/>
      </c>
      <c r="I86" s="10">
        <f>IF($BI86="","",IF($B86="Onsite",INDEX(tbl_Onsite[Invoice Type],$BI86),IF($B86="Production",INDEX(tbl_Production[Invoice Type],$BI86),INDEX(tbl_Consulting[Invoice Type],$BI86)))&amp;"")</f>
        <v/>
      </c>
      <c r="J86" s="10">
        <f>IF($BI86="","",IF($B86="Onsite",INDEX(tbl_Onsite[Tax Code],$BI86),IF($B86="Production",INDEX(tbl_Production[Tax Code],$BI86),INDEX(tbl_Consulting[Tax Code],$BI86)))&amp;"")</f>
        <v/>
      </c>
      <c r="K86" s="10">
        <f>IF(H86="","",IFERROR(INDEX(lst_CCtoGL,MATCH(H86,lst_CCforGL,0)),""))</f>
        <v/>
      </c>
      <c r="L86" s="10">
        <f>IF($BI86="","",IF($B86="Onsite",INDEX(tbl_Onsite[PO / Reference],$BI86),IF($B86="Production",INDEX(tbl_Production[Current RMS No],$BI86),INDEX(tbl_Consulting[Qwilr Quote],$BI86)))&amp;"")</f>
        <v/>
      </c>
      <c r="M86" s="10">
        <f>IF($BI86="","",IF($B86="Onsite",INDEX(tbl_Onsite[Notes],$BI86),IF($B86="Production",INDEX(tbl_Production[Notes],$BI86),INDEX(tbl_Consulting[Notes],$BI86)))&amp;"")</f>
        <v/>
      </c>
      <c r="N86" s="11">
        <f>IF($BI86="","",IF(IF($B86="Onsite",INDEX(tbl_Onsite[Expected Revenue Ex GST],$BI86),IF($B86="Production",INDEX(tbl_Production[Expected Revenue Ex GST],$BI86),INDEX(tbl_Consulting[Expected Revenue Ex GST],$BI86)))="","",IF($B86="Onsite",INDEX(tbl_Onsite[Expected Revenue Ex GST],$BI86),IF($B86="Production",INDEX(tbl_Production[Expected Revenue Ex GST],$BI86),INDEX(tbl_Consulting[Expected Revenue Ex GST],$BI86)))))</f>
        <v/>
      </c>
      <c r="O86" s="11">
        <f>IF(AND($C86="",NOT(COUNTA($S86:$BB86)&gt;0)),"",SUM(U86,X86,AA86,AD86,AG86,AJ86,AM86,AP86,AS86,AV86,AY86,BB86))</f>
        <v/>
      </c>
      <c r="P86" s="11">
        <f>IF(O86="","",N(N86)-O86)</f>
        <v/>
      </c>
      <c r="Q86" s="10">
        <f>IF(O86="","",IF($C86="","Invoice on empty job row",IF(N86="",IF(ROUND(O86,2)=0,"No dept value","Invoiced - no dept value"),IF(ROUND(O86,2)=0,"Not invoiced - to invoice",IF(ROUND(P86,2)=0,"Agrees",IF(P86&gt;0,"Dept higher - to invoice","Xero higher - check dept"))))))</f>
        <v/>
      </c>
      <c r="R86" s="10">
        <f>IF(AND($C86="",NOT(COUNTA($S86:$BB86)&gt;0),$BI86&lt;&gt;""),"",MID(IF($BI86="","; Row ID not found on the department sheet - a row was deleted","")&amp;IF(AND($C86="",COUNTA($S86:$BB86)&gt;0),"; Invoice entered but the department row has no job number","")&amp;IF(E86="CHECK","; Job number not in the Xero job list","")&amp;IF(AND($C86&lt;&gt;"",COUNTIF($C$7:$C$1506,$C86)&gt;1),"; Job number on more than one row","")&amp;IF(AND($C86&lt;&gt;"",H86=""),"; Dept has not set a cost centre","")&amp;IF(AND($C86&lt;&gt;"",J86=""),"; Dept has not set a tax code","")&amp;IF(AND($C86&lt;&gt;"",N86=""),"; Dept has not entered an expected value","")&amp;IF((IF(OR(COUNTA(S86:U86)=0,AND(COUNTA(S86:U86)=3,ISNUMBER(U86))),0,1)+IF(OR(COUNTA(V86:X86)=0,AND(COUNTA(V86:X86)=3,ISNUMBER(X86))),0,1)+IF(OR(COUNTA(Y86:AA86)=0,AND(COUNTA(Y86:AA86)=3,ISNUMBER(AA86))),0,1)+IF(OR(COUNTA(AB86:AD86)=0,AND(COUNTA(AB86:AD86)=3,ISNUMBER(AD86))),0,1)+IF(OR(COUNTA(AE86:AG86)=0,AND(COUNTA(AE86:AG86)=3,ISNUMBER(AG86))),0,1)+IF(OR(COUNTA(AH86:AJ86)=0,AND(COUNTA(AH86:AJ86)=3,ISNUMBER(AJ86))),0,1)+IF(OR(COUNTA(AK86:AM86)=0,AND(COUNTA(AK86:AM86)=3,ISNUMBER(AM86))),0,1)+IF(OR(COUNTA(AN86:AP86)=0,AND(COUNTA(AN86:AP86)=3,ISNUMBER(AP86))),0,1)+IF(OR(COUNTA(AQ86:AS86)=0,AND(COUNTA(AQ86:AS86)=3,ISNUMBER(AS86))),0,1)+IF(OR(COUNTA(AT86:AV86)=0,AND(COUNTA(AT86:AV86)=3,ISNUMBER(AV86))),0,1)+IF(OR(COUNTA(AW86:AY86)=0,AND(COUNTA(AW86:AY86)=3,ISNUMBER(AY86))),0,1)+IF(OR(COUNTA(AZ86:BB86)=0,AND(COUNTA(AZ86:BB86)=3,ISNUMBER(BB86))),0,1))&gt;0,"; An invoice is incomplete (needs No, Date and a number in Ex GST)","")&amp;IF((IF(T86="",0,IFERROR(--(EOMONTH(T86,0)&lt;&gt;S$5),1))+IF(W86="",0,IFERROR(--(EOMONTH(W86,0)&lt;&gt;V$5),1))+IF(Z86="",0,IFERROR(--(EOMONTH(Z86,0)&lt;&gt;Y$5),1))+IF(AC86="",0,IFERROR(--(EOMONTH(AC86,0)&lt;&gt;AB$5),1))+IF(AF86="",0,IFERROR(--(EOMONTH(AF86,0)&lt;&gt;AE$5),1))+IF(AI86="",0,IFERROR(--(EOMONTH(AI86,0)&lt;&gt;AH$5),1))+IF(AL86="",0,IFERROR(--(EOMONTH(AL86,0)&lt;&gt;AK$5),1))+IF(AO86="",0,IFERROR(--(EOMONTH(AO86,0)&lt;&gt;AN$5),1))+IF(AR86="",0,IFERROR(--(EOMONTH(AR86,0)&lt;&gt;AQ$5),1))+IF(AU86="",0,IFERROR(--(EOMONTH(AU86,0)&lt;&gt;AT$5),1))+IF(AX86="",0,IFERROR(--(EOMONTH(AX86,0)&lt;&gt;AW$5),1))+IF(BA86="",0,IFERROR(--(EOMONTH(BA86,0)&lt;&gt;AZ$5),1)))&gt;0,"; An invoice date is not in the month it is typed under",""),3,500))</f>
        <v/>
      </c>
      <c r="S86" s="12" t="n"/>
      <c r="T86" s="13" t="n"/>
      <c r="U86" s="14" t="n"/>
      <c r="V86" s="12" t="n"/>
      <c r="W86" s="13" t="n"/>
      <c r="X86" s="14" t="n"/>
      <c r="Y86" s="12" t="n"/>
      <c r="Z86" s="13" t="n"/>
      <c r="AA86" s="14" t="n"/>
      <c r="AB86" s="12" t="n"/>
      <c r="AC86" s="13" t="n"/>
      <c r="AD86" s="14" t="n"/>
      <c r="AE86" s="12" t="n"/>
      <c r="AF86" s="13" t="n"/>
      <c r="AG86" s="14" t="n"/>
      <c r="AH86" s="12" t="n"/>
      <c r="AI86" s="13" t="n"/>
      <c r="AJ86" s="14" t="n"/>
      <c r="AK86" s="12" t="n"/>
      <c r="AL86" s="13" t="n"/>
      <c r="AM86" s="14" t="n"/>
      <c r="AN86" s="12" t="n"/>
      <c r="AO86" s="13" t="n"/>
      <c r="AP86" s="14" t="n"/>
      <c r="AQ86" s="12" t="n"/>
      <c r="AR86" s="13" t="n"/>
      <c r="AS86" s="14" t="n"/>
      <c r="AT86" s="12" t="n"/>
      <c r="AU86" s="13" t="n"/>
      <c r="AV86" s="14" t="n"/>
      <c r="AW86" s="12" t="n"/>
      <c r="AX86" s="13" t="n"/>
      <c r="AY86" s="14" t="n"/>
      <c r="AZ86" s="12" t="n"/>
      <c r="BA86" s="13" t="n"/>
      <c r="BB86" s="14" t="n"/>
      <c r="BC86" s="11">
        <f>IF(O86="","",IF(J86="GST 10%",ROUND(O86*set_GSTRate,2),0))</f>
        <v/>
      </c>
      <c r="BD86" s="11">
        <f>IF(O86="","",O86+BC86)</f>
        <v/>
      </c>
      <c r="BE86" s="15">
        <f>IF(O86="","",COUNTA(S86,V86,Y86,AB86,AE86,AH86,AK86,AN86,AQ86,AT86,AW86,AZ86))</f>
        <v/>
      </c>
      <c r="BF86" s="16">
        <f>IF(COUNT(T86,W86,Z86,AC86,AF86,AI86,AL86,AO86,AR86,AU86,AX86,BA86)=0,"",MAX(T86,W86,Z86,AC86,AF86,AI86,AL86,AO86,AR86,AU86,AX86,BA86))</f>
        <v/>
      </c>
      <c r="BG86" s="10">
        <f>MID(IF(S86="","",", "&amp;S86)&amp;IF(V86="","",", "&amp;V86)&amp;IF(Y86="","",", "&amp;Y86)&amp;IF(AB86="","",", "&amp;AB86)&amp;IF(AE86="","",", "&amp;AE86)&amp;IF(AH86="","",", "&amp;AH86)&amp;IF(AK86="","",", "&amp;AK86)&amp;IF(AN86="","",", "&amp;AN86)&amp;IF(AQ86="","",", "&amp;AQ86)&amp;IF(AT86="","",", "&amp;AT86)&amp;IF(AW86="","",", "&amp;AW86)&amp;IF(AZ86="","",", "&amp;AZ86),3,500)</f>
        <v/>
      </c>
      <c r="BH86" s="12" t="n"/>
      <c r="BI86" s="15">
        <f>IFERROR(MATCH($A86,IF($B86="Onsite",tbl_Onsite[Row ID],IF($B86="Production",tbl_Production[Row ID],tbl_Consulting[Row ID])),0),"")</f>
        <v/>
      </c>
    </row>
    <row r="87">
      <c r="A87" s="10" t="inlineStr">
        <is>
          <t>ONS-0081</t>
        </is>
      </c>
      <c r="B87" s="10" t="inlineStr">
        <is>
          <t>Onsite</t>
        </is>
      </c>
      <c r="C87" s="10">
        <f>IF($BI87="","",IF($B87="Onsite",INDEX(tbl_Onsite[Job Number],$BI87),IF($B87="Production",INDEX(tbl_Production[Job Number],$BI87),INDEX(tbl_Consulting[Job Number],$BI87)))&amp;"")</f>
        <v/>
      </c>
      <c r="D87" s="10">
        <f>IF($BI87="","",IF($B87="Onsite",INDEX(tbl_Onsite[Client],$BI87),IF($B87="Production",INDEX(tbl_Production[Client],$BI87),INDEX(tbl_Consulting[Client],$BI87)))&amp;"")</f>
        <v/>
      </c>
      <c r="E87" s="10">
        <f>IF($C87="","",IF(COUNTIF(lst_Jobs,$C87)&gt;0,"OK","CHECK"))</f>
        <v/>
      </c>
      <c r="F87" s="10">
        <f>IF($C87="","",IFERROR(INDEX(lst_JobName,MATCH($C87,lst_Jobs,0)),""))</f>
        <v/>
      </c>
      <c r="G87" s="10">
        <f>IF($BI87="","",IF($B87="Onsite",INDEX(tbl_Onsite[Job Description],$BI87),IF($B87="Production",INDEX(tbl_Production[Job Description],$BI87),INDEX(tbl_Consulting[Job Description],$BI87)))&amp;"")</f>
        <v/>
      </c>
      <c r="H87" s="10">
        <f>IF($BI87="","",IF($B87="Onsite",INDEX(tbl_Onsite[Cost Centre],$BI87),IF($B87="Production",INDEX(tbl_Production[Cost Centre],$BI87),INDEX(tbl_Consulting[Cost Centre],$BI87)))&amp;"")</f>
        <v/>
      </c>
      <c r="I87" s="10">
        <f>IF($BI87="","",IF($B87="Onsite",INDEX(tbl_Onsite[Invoice Type],$BI87),IF($B87="Production",INDEX(tbl_Production[Invoice Type],$BI87),INDEX(tbl_Consulting[Invoice Type],$BI87)))&amp;"")</f>
        <v/>
      </c>
      <c r="J87" s="10">
        <f>IF($BI87="","",IF($B87="Onsite",INDEX(tbl_Onsite[Tax Code],$BI87),IF($B87="Production",INDEX(tbl_Production[Tax Code],$BI87),INDEX(tbl_Consulting[Tax Code],$BI87)))&amp;"")</f>
        <v/>
      </c>
      <c r="K87" s="10">
        <f>IF(H87="","",IFERROR(INDEX(lst_CCtoGL,MATCH(H87,lst_CCforGL,0)),""))</f>
        <v/>
      </c>
      <c r="L87" s="10">
        <f>IF($BI87="","",IF($B87="Onsite",INDEX(tbl_Onsite[PO / Reference],$BI87),IF($B87="Production",INDEX(tbl_Production[Current RMS No],$BI87),INDEX(tbl_Consulting[Qwilr Quote],$BI87)))&amp;"")</f>
        <v/>
      </c>
      <c r="M87" s="10">
        <f>IF($BI87="","",IF($B87="Onsite",INDEX(tbl_Onsite[Notes],$BI87),IF($B87="Production",INDEX(tbl_Production[Notes],$BI87),INDEX(tbl_Consulting[Notes],$BI87)))&amp;"")</f>
        <v/>
      </c>
      <c r="N87" s="11">
        <f>IF($BI87="","",IF(IF($B87="Onsite",INDEX(tbl_Onsite[Expected Revenue Ex GST],$BI87),IF($B87="Production",INDEX(tbl_Production[Expected Revenue Ex GST],$BI87),INDEX(tbl_Consulting[Expected Revenue Ex GST],$BI87)))="","",IF($B87="Onsite",INDEX(tbl_Onsite[Expected Revenue Ex GST],$BI87),IF($B87="Production",INDEX(tbl_Production[Expected Revenue Ex GST],$BI87),INDEX(tbl_Consulting[Expected Revenue Ex GST],$BI87)))))</f>
        <v/>
      </c>
      <c r="O87" s="11">
        <f>IF(AND($C87="",NOT(COUNTA($S87:$BB87)&gt;0)),"",SUM(U87,X87,AA87,AD87,AG87,AJ87,AM87,AP87,AS87,AV87,AY87,BB87))</f>
        <v/>
      </c>
      <c r="P87" s="11">
        <f>IF(O87="","",N(N87)-O87)</f>
        <v/>
      </c>
      <c r="Q87" s="10">
        <f>IF(O87="","",IF($C87="","Invoice on empty job row",IF(N87="",IF(ROUND(O87,2)=0,"No dept value","Invoiced - no dept value"),IF(ROUND(O87,2)=0,"Not invoiced - to invoice",IF(ROUND(P87,2)=0,"Agrees",IF(P87&gt;0,"Dept higher - to invoice","Xero higher - check dept"))))))</f>
        <v/>
      </c>
      <c r="R87" s="10">
        <f>IF(AND($C87="",NOT(COUNTA($S87:$BB87)&gt;0),$BI87&lt;&gt;""),"",MID(IF($BI87="","; Row ID not found on the department sheet - a row was deleted","")&amp;IF(AND($C87="",COUNTA($S87:$BB87)&gt;0),"; Invoice entered but the department row has no job number","")&amp;IF(E87="CHECK","; Job number not in the Xero job list","")&amp;IF(AND($C87&lt;&gt;"",COUNTIF($C$7:$C$1506,$C87)&gt;1),"; Job number on more than one row","")&amp;IF(AND($C87&lt;&gt;"",H87=""),"; Dept has not set a cost centre","")&amp;IF(AND($C87&lt;&gt;"",J87=""),"; Dept has not set a tax code","")&amp;IF(AND($C87&lt;&gt;"",N87=""),"; Dept has not entered an expected value","")&amp;IF((IF(OR(COUNTA(S87:U87)=0,AND(COUNTA(S87:U87)=3,ISNUMBER(U87))),0,1)+IF(OR(COUNTA(V87:X87)=0,AND(COUNTA(V87:X87)=3,ISNUMBER(X87))),0,1)+IF(OR(COUNTA(Y87:AA87)=0,AND(COUNTA(Y87:AA87)=3,ISNUMBER(AA87))),0,1)+IF(OR(COUNTA(AB87:AD87)=0,AND(COUNTA(AB87:AD87)=3,ISNUMBER(AD87))),0,1)+IF(OR(COUNTA(AE87:AG87)=0,AND(COUNTA(AE87:AG87)=3,ISNUMBER(AG87))),0,1)+IF(OR(COUNTA(AH87:AJ87)=0,AND(COUNTA(AH87:AJ87)=3,ISNUMBER(AJ87))),0,1)+IF(OR(COUNTA(AK87:AM87)=0,AND(COUNTA(AK87:AM87)=3,ISNUMBER(AM87))),0,1)+IF(OR(COUNTA(AN87:AP87)=0,AND(COUNTA(AN87:AP87)=3,ISNUMBER(AP87))),0,1)+IF(OR(COUNTA(AQ87:AS87)=0,AND(COUNTA(AQ87:AS87)=3,ISNUMBER(AS87))),0,1)+IF(OR(COUNTA(AT87:AV87)=0,AND(COUNTA(AT87:AV87)=3,ISNUMBER(AV87))),0,1)+IF(OR(COUNTA(AW87:AY87)=0,AND(COUNTA(AW87:AY87)=3,ISNUMBER(AY87))),0,1)+IF(OR(COUNTA(AZ87:BB87)=0,AND(COUNTA(AZ87:BB87)=3,ISNUMBER(BB87))),0,1))&gt;0,"; An invoice is incomplete (needs No, Date and a number in Ex GST)","")&amp;IF((IF(T87="",0,IFERROR(--(EOMONTH(T87,0)&lt;&gt;S$5),1))+IF(W87="",0,IFERROR(--(EOMONTH(W87,0)&lt;&gt;V$5),1))+IF(Z87="",0,IFERROR(--(EOMONTH(Z87,0)&lt;&gt;Y$5),1))+IF(AC87="",0,IFERROR(--(EOMONTH(AC87,0)&lt;&gt;AB$5),1))+IF(AF87="",0,IFERROR(--(EOMONTH(AF87,0)&lt;&gt;AE$5),1))+IF(AI87="",0,IFERROR(--(EOMONTH(AI87,0)&lt;&gt;AH$5),1))+IF(AL87="",0,IFERROR(--(EOMONTH(AL87,0)&lt;&gt;AK$5),1))+IF(AO87="",0,IFERROR(--(EOMONTH(AO87,0)&lt;&gt;AN$5),1))+IF(AR87="",0,IFERROR(--(EOMONTH(AR87,0)&lt;&gt;AQ$5),1))+IF(AU87="",0,IFERROR(--(EOMONTH(AU87,0)&lt;&gt;AT$5),1))+IF(AX87="",0,IFERROR(--(EOMONTH(AX87,0)&lt;&gt;AW$5),1))+IF(BA87="",0,IFERROR(--(EOMONTH(BA87,0)&lt;&gt;AZ$5),1)))&gt;0,"; An invoice date is not in the month it is typed under",""),3,500))</f>
        <v/>
      </c>
      <c r="S87" s="12" t="n"/>
      <c r="T87" s="13" t="n"/>
      <c r="U87" s="14" t="n"/>
      <c r="V87" s="12" t="n"/>
      <c r="W87" s="13" t="n"/>
      <c r="X87" s="14" t="n"/>
      <c r="Y87" s="12" t="n"/>
      <c r="Z87" s="13" t="n"/>
      <c r="AA87" s="14" t="n"/>
      <c r="AB87" s="12" t="n"/>
      <c r="AC87" s="13" t="n"/>
      <c r="AD87" s="14" t="n"/>
      <c r="AE87" s="12" t="n"/>
      <c r="AF87" s="13" t="n"/>
      <c r="AG87" s="14" t="n"/>
      <c r="AH87" s="12" t="n"/>
      <c r="AI87" s="13" t="n"/>
      <c r="AJ87" s="14" t="n"/>
      <c r="AK87" s="12" t="n"/>
      <c r="AL87" s="13" t="n"/>
      <c r="AM87" s="14" t="n"/>
      <c r="AN87" s="12" t="n"/>
      <c r="AO87" s="13" t="n"/>
      <c r="AP87" s="14" t="n"/>
      <c r="AQ87" s="12" t="n"/>
      <c r="AR87" s="13" t="n"/>
      <c r="AS87" s="14" t="n"/>
      <c r="AT87" s="12" t="n"/>
      <c r="AU87" s="13" t="n"/>
      <c r="AV87" s="14" t="n"/>
      <c r="AW87" s="12" t="n"/>
      <c r="AX87" s="13" t="n"/>
      <c r="AY87" s="14" t="n"/>
      <c r="AZ87" s="12" t="n"/>
      <c r="BA87" s="13" t="n"/>
      <c r="BB87" s="14" t="n"/>
      <c r="BC87" s="11">
        <f>IF(O87="","",IF(J87="GST 10%",ROUND(O87*set_GSTRate,2),0))</f>
        <v/>
      </c>
      <c r="BD87" s="11">
        <f>IF(O87="","",O87+BC87)</f>
        <v/>
      </c>
      <c r="BE87" s="15">
        <f>IF(O87="","",COUNTA(S87,V87,Y87,AB87,AE87,AH87,AK87,AN87,AQ87,AT87,AW87,AZ87))</f>
        <v/>
      </c>
      <c r="BF87" s="16">
        <f>IF(COUNT(T87,W87,Z87,AC87,AF87,AI87,AL87,AO87,AR87,AU87,AX87,BA87)=0,"",MAX(T87,W87,Z87,AC87,AF87,AI87,AL87,AO87,AR87,AU87,AX87,BA87))</f>
        <v/>
      </c>
      <c r="BG87" s="10">
        <f>MID(IF(S87="","",", "&amp;S87)&amp;IF(V87="","",", "&amp;V87)&amp;IF(Y87="","",", "&amp;Y87)&amp;IF(AB87="","",", "&amp;AB87)&amp;IF(AE87="","",", "&amp;AE87)&amp;IF(AH87="","",", "&amp;AH87)&amp;IF(AK87="","",", "&amp;AK87)&amp;IF(AN87="","",", "&amp;AN87)&amp;IF(AQ87="","",", "&amp;AQ87)&amp;IF(AT87="","",", "&amp;AT87)&amp;IF(AW87="","",", "&amp;AW87)&amp;IF(AZ87="","",", "&amp;AZ87),3,500)</f>
        <v/>
      </c>
      <c r="BH87" s="12" t="n"/>
      <c r="BI87" s="15">
        <f>IFERROR(MATCH($A87,IF($B87="Onsite",tbl_Onsite[Row ID],IF($B87="Production",tbl_Production[Row ID],tbl_Consulting[Row ID])),0),"")</f>
        <v/>
      </c>
    </row>
    <row r="88">
      <c r="A88" s="10" t="inlineStr">
        <is>
          <t>ONS-0082</t>
        </is>
      </c>
      <c r="B88" s="10" t="inlineStr">
        <is>
          <t>Onsite</t>
        </is>
      </c>
      <c r="C88" s="10">
        <f>IF($BI88="","",IF($B88="Onsite",INDEX(tbl_Onsite[Job Number],$BI88),IF($B88="Production",INDEX(tbl_Production[Job Number],$BI88),INDEX(tbl_Consulting[Job Number],$BI88)))&amp;"")</f>
        <v/>
      </c>
      <c r="D88" s="10">
        <f>IF($BI88="","",IF($B88="Onsite",INDEX(tbl_Onsite[Client],$BI88),IF($B88="Production",INDEX(tbl_Production[Client],$BI88),INDEX(tbl_Consulting[Client],$BI88)))&amp;"")</f>
        <v/>
      </c>
      <c r="E88" s="10">
        <f>IF($C88="","",IF(COUNTIF(lst_Jobs,$C88)&gt;0,"OK","CHECK"))</f>
        <v/>
      </c>
      <c r="F88" s="10">
        <f>IF($C88="","",IFERROR(INDEX(lst_JobName,MATCH($C88,lst_Jobs,0)),""))</f>
        <v/>
      </c>
      <c r="G88" s="10">
        <f>IF($BI88="","",IF($B88="Onsite",INDEX(tbl_Onsite[Job Description],$BI88),IF($B88="Production",INDEX(tbl_Production[Job Description],$BI88),INDEX(tbl_Consulting[Job Description],$BI88)))&amp;"")</f>
        <v/>
      </c>
      <c r="H88" s="10">
        <f>IF($BI88="","",IF($B88="Onsite",INDEX(tbl_Onsite[Cost Centre],$BI88),IF($B88="Production",INDEX(tbl_Production[Cost Centre],$BI88),INDEX(tbl_Consulting[Cost Centre],$BI88)))&amp;"")</f>
        <v/>
      </c>
      <c r="I88" s="10">
        <f>IF($BI88="","",IF($B88="Onsite",INDEX(tbl_Onsite[Invoice Type],$BI88),IF($B88="Production",INDEX(tbl_Production[Invoice Type],$BI88),INDEX(tbl_Consulting[Invoice Type],$BI88)))&amp;"")</f>
        <v/>
      </c>
      <c r="J88" s="10">
        <f>IF($BI88="","",IF($B88="Onsite",INDEX(tbl_Onsite[Tax Code],$BI88),IF($B88="Production",INDEX(tbl_Production[Tax Code],$BI88),INDEX(tbl_Consulting[Tax Code],$BI88)))&amp;"")</f>
        <v/>
      </c>
      <c r="K88" s="10">
        <f>IF(H88="","",IFERROR(INDEX(lst_CCtoGL,MATCH(H88,lst_CCforGL,0)),""))</f>
        <v/>
      </c>
      <c r="L88" s="10">
        <f>IF($BI88="","",IF($B88="Onsite",INDEX(tbl_Onsite[PO / Reference],$BI88),IF($B88="Production",INDEX(tbl_Production[Current RMS No],$BI88),INDEX(tbl_Consulting[Qwilr Quote],$BI88)))&amp;"")</f>
        <v/>
      </c>
      <c r="M88" s="10">
        <f>IF($BI88="","",IF($B88="Onsite",INDEX(tbl_Onsite[Notes],$BI88),IF($B88="Production",INDEX(tbl_Production[Notes],$BI88),INDEX(tbl_Consulting[Notes],$BI88)))&amp;"")</f>
        <v/>
      </c>
      <c r="N88" s="11">
        <f>IF($BI88="","",IF(IF($B88="Onsite",INDEX(tbl_Onsite[Expected Revenue Ex GST],$BI88),IF($B88="Production",INDEX(tbl_Production[Expected Revenue Ex GST],$BI88),INDEX(tbl_Consulting[Expected Revenue Ex GST],$BI88)))="","",IF($B88="Onsite",INDEX(tbl_Onsite[Expected Revenue Ex GST],$BI88),IF($B88="Production",INDEX(tbl_Production[Expected Revenue Ex GST],$BI88),INDEX(tbl_Consulting[Expected Revenue Ex GST],$BI88)))))</f>
        <v/>
      </c>
      <c r="O88" s="11">
        <f>IF(AND($C88="",NOT(COUNTA($S88:$BB88)&gt;0)),"",SUM(U88,X88,AA88,AD88,AG88,AJ88,AM88,AP88,AS88,AV88,AY88,BB88))</f>
        <v/>
      </c>
      <c r="P88" s="11">
        <f>IF(O88="","",N(N88)-O88)</f>
        <v/>
      </c>
      <c r="Q88" s="10">
        <f>IF(O88="","",IF($C88="","Invoice on empty job row",IF(N88="",IF(ROUND(O88,2)=0,"No dept value","Invoiced - no dept value"),IF(ROUND(O88,2)=0,"Not invoiced - to invoice",IF(ROUND(P88,2)=0,"Agrees",IF(P88&gt;0,"Dept higher - to invoice","Xero higher - check dept"))))))</f>
        <v/>
      </c>
      <c r="R88" s="10">
        <f>IF(AND($C88="",NOT(COUNTA($S88:$BB88)&gt;0),$BI88&lt;&gt;""),"",MID(IF($BI88="","; Row ID not found on the department sheet - a row was deleted","")&amp;IF(AND($C88="",COUNTA($S88:$BB88)&gt;0),"; Invoice entered but the department row has no job number","")&amp;IF(E88="CHECK","; Job number not in the Xero job list","")&amp;IF(AND($C88&lt;&gt;"",COUNTIF($C$7:$C$1506,$C88)&gt;1),"; Job number on more than one row","")&amp;IF(AND($C88&lt;&gt;"",H88=""),"; Dept has not set a cost centre","")&amp;IF(AND($C88&lt;&gt;"",J88=""),"; Dept has not set a tax code","")&amp;IF(AND($C88&lt;&gt;"",N88=""),"; Dept has not entered an expected value","")&amp;IF((IF(OR(COUNTA(S88:U88)=0,AND(COUNTA(S88:U88)=3,ISNUMBER(U88))),0,1)+IF(OR(COUNTA(V88:X88)=0,AND(COUNTA(V88:X88)=3,ISNUMBER(X88))),0,1)+IF(OR(COUNTA(Y88:AA88)=0,AND(COUNTA(Y88:AA88)=3,ISNUMBER(AA88))),0,1)+IF(OR(COUNTA(AB88:AD88)=0,AND(COUNTA(AB88:AD88)=3,ISNUMBER(AD88))),0,1)+IF(OR(COUNTA(AE88:AG88)=0,AND(COUNTA(AE88:AG88)=3,ISNUMBER(AG88))),0,1)+IF(OR(COUNTA(AH88:AJ88)=0,AND(COUNTA(AH88:AJ88)=3,ISNUMBER(AJ88))),0,1)+IF(OR(COUNTA(AK88:AM88)=0,AND(COUNTA(AK88:AM88)=3,ISNUMBER(AM88))),0,1)+IF(OR(COUNTA(AN88:AP88)=0,AND(COUNTA(AN88:AP88)=3,ISNUMBER(AP88))),0,1)+IF(OR(COUNTA(AQ88:AS88)=0,AND(COUNTA(AQ88:AS88)=3,ISNUMBER(AS88))),0,1)+IF(OR(COUNTA(AT88:AV88)=0,AND(COUNTA(AT88:AV88)=3,ISNUMBER(AV88))),0,1)+IF(OR(COUNTA(AW88:AY88)=0,AND(COUNTA(AW88:AY88)=3,ISNUMBER(AY88))),0,1)+IF(OR(COUNTA(AZ88:BB88)=0,AND(COUNTA(AZ88:BB88)=3,ISNUMBER(BB88))),0,1))&gt;0,"; An invoice is incomplete (needs No, Date and a number in Ex GST)","")&amp;IF((IF(T88="",0,IFERROR(--(EOMONTH(T88,0)&lt;&gt;S$5),1))+IF(W88="",0,IFERROR(--(EOMONTH(W88,0)&lt;&gt;V$5),1))+IF(Z88="",0,IFERROR(--(EOMONTH(Z88,0)&lt;&gt;Y$5),1))+IF(AC88="",0,IFERROR(--(EOMONTH(AC88,0)&lt;&gt;AB$5),1))+IF(AF88="",0,IFERROR(--(EOMONTH(AF88,0)&lt;&gt;AE$5),1))+IF(AI88="",0,IFERROR(--(EOMONTH(AI88,0)&lt;&gt;AH$5),1))+IF(AL88="",0,IFERROR(--(EOMONTH(AL88,0)&lt;&gt;AK$5),1))+IF(AO88="",0,IFERROR(--(EOMONTH(AO88,0)&lt;&gt;AN$5),1))+IF(AR88="",0,IFERROR(--(EOMONTH(AR88,0)&lt;&gt;AQ$5),1))+IF(AU88="",0,IFERROR(--(EOMONTH(AU88,0)&lt;&gt;AT$5),1))+IF(AX88="",0,IFERROR(--(EOMONTH(AX88,0)&lt;&gt;AW$5),1))+IF(BA88="",0,IFERROR(--(EOMONTH(BA88,0)&lt;&gt;AZ$5),1)))&gt;0,"; An invoice date is not in the month it is typed under",""),3,500))</f>
        <v/>
      </c>
      <c r="S88" s="12" t="n"/>
      <c r="T88" s="13" t="n"/>
      <c r="U88" s="14" t="n"/>
      <c r="V88" s="12" t="n"/>
      <c r="W88" s="13" t="n"/>
      <c r="X88" s="14" t="n"/>
      <c r="Y88" s="12" t="n"/>
      <c r="Z88" s="13" t="n"/>
      <c r="AA88" s="14" t="n"/>
      <c r="AB88" s="12" t="n"/>
      <c r="AC88" s="13" t="n"/>
      <c r="AD88" s="14" t="n"/>
      <c r="AE88" s="12" t="n"/>
      <c r="AF88" s="13" t="n"/>
      <c r="AG88" s="14" t="n"/>
      <c r="AH88" s="12" t="n"/>
      <c r="AI88" s="13" t="n"/>
      <c r="AJ88" s="14" t="n"/>
      <c r="AK88" s="12" t="n"/>
      <c r="AL88" s="13" t="n"/>
      <c r="AM88" s="14" t="n"/>
      <c r="AN88" s="12" t="n"/>
      <c r="AO88" s="13" t="n"/>
      <c r="AP88" s="14" t="n"/>
      <c r="AQ88" s="12" t="n"/>
      <c r="AR88" s="13" t="n"/>
      <c r="AS88" s="14" t="n"/>
      <c r="AT88" s="12" t="n"/>
      <c r="AU88" s="13" t="n"/>
      <c r="AV88" s="14" t="n"/>
      <c r="AW88" s="12" t="n"/>
      <c r="AX88" s="13" t="n"/>
      <c r="AY88" s="14" t="n"/>
      <c r="AZ88" s="12" t="n"/>
      <c r="BA88" s="13" t="n"/>
      <c r="BB88" s="14" t="n"/>
      <c r="BC88" s="11">
        <f>IF(O88="","",IF(J88="GST 10%",ROUND(O88*set_GSTRate,2),0))</f>
        <v/>
      </c>
      <c r="BD88" s="11">
        <f>IF(O88="","",O88+BC88)</f>
        <v/>
      </c>
      <c r="BE88" s="15">
        <f>IF(O88="","",COUNTA(S88,V88,Y88,AB88,AE88,AH88,AK88,AN88,AQ88,AT88,AW88,AZ88))</f>
        <v/>
      </c>
      <c r="BF88" s="16">
        <f>IF(COUNT(T88,W88,Z88,AC88,AF88,AI88,AL88,AO88,AR88,AU88,AX88,BA88)=0,"",MAX(T88,W88,Z88,AC88,AF88,AI88,AL88,AO88,AR88,AU88,AX88,BA88))</f>
        <v/>
      </c>
      <c r="BG88" s="10">
        <f>MID(IF(S88="","",", "&amp;S88)&amp;IF(V88="","",", "&amp;V88)&amp;IF(Y88="","",", "&amp;Y88)&amp;IF(AB88="","",", "&amp;AB88)&amp;IF(AE88="","",", "&amp;AE88)&amp;IF(AH88="","",", "&amp;AH88)&amp;IF(AK88="","",", "&amp;AK88)&amp;IF(AN88="","",", "&amp;AN88)&amp;IF(AQ88="","",", "&amp;AQ88)&amp;IF(AT88="","",", "&amp;AT88)&amp;IF(AW88="","",", "&amp;AW88)&amp;IF(AZ88="","",", "&amp;AZ88),3,500)</f>
        <v/>
      </c>
      <c r="BH88" s="12" t="n"/>
      <c r="BI88" s="15">
        <f>IFERROR(MATCH($A88,IF($B88="Onsite",tbl_Onsite[Row ID],IF($B88="Production",tbl_Production[Row ID],tbl_Consulting[Row ID])),0),"")</f>
        <v/>
      </c>
    </row>
    <row r="89">
      <c r="A89" s="10" t="inlineStr">
        <is>
          <t>ONS-0083</t>
        </is>
      </c>
      <c r="B89" s="10" t="inlineStr">
        <is>
          <t>Onsite</t>
        </is>
      </c>
      <c r="C89" s="10">
        <f>IF($BI89="","",IF($B89="Onsite",INDEX(tbl_Onsite[Job Number],$BI89),IF($B89="Production",INDEX(tbl_Production[Job Number],$BI89),INDEX(tbl_Consulting[Job Number],$BI89)))&amp;"")</f>
        <v/>
      </c>
      <c r="D89" s="10">
        <f>IF($BI89="","",IF($B89="Onsite",INDEX(tbl_Onsite[Client],$BI89),IF($B89="Production",INDEX(tbl_Production[Client],$BI89),INDEX(tbl_Consulting[Client],$BI89)))&amp;"")</f>
        <v/>
      </c>
      <c r="E89" s="10">
        <f>IF($C89="","",IF(COUNTIF(lst_Jobs,$C89)&gt;0,"OK","CHECK"))</f>
        <v/>
      </c>
      <c r="F89" s="10">
        <f>IF($C89="","",IFERROR(INDEX(lst_JobName,MATCH($C89,lst_Jobs,0)),""))</f>
        <v/>
      </c>
      <c r="G89" s="10">
        <f>IF($BI89="","",IF($B89="Onsite",INDEX(tbl_Onsite[Job Description],$BI89),IF($B89="Production",INDEX(tbl_Production[Job Description],$BI89),INDEX(tbl_Consulting[Job Description],$BI89)))&amp;"")</f>
        <v/>
      </c>
      <c r="H89" s="10">
        <f>IF($BI89="","",IF($B89="Onsite",INDEX(tbl_Onsite[Cost Centre],$BI89),IF($B89="Production",INDEX(tbl_Production[Cost Centre],$BI89),INDEX(tbl_Consulting[Cost Centre],$BI89)))&amp;"")</f>
        <v/>
      </c>
      <c r="I89" s="10">
        <f>IF($BI89="","",IF($B89="Onsite",INDEX(tbl_Onsite[Invoice Type],$BI89),IF($B89="Production",INDEX(tbl_Production[Invoice Type],$BI89),INDEX(tbl_Consulting[Invoice Type],$BI89)))&amp;"")</f>
        <v/>
      </c>
      <c r="J89" s="10">
        <f>IF($BI89="","",IF($B89="Onsite",INDEX(tbl_Onsite[Tax Code],$BI89),IF($B89="Production",INDEX(tbl_Production[Tax Code],$BI89),INDEX(tbl_Consulting[Tax Code],$BI89)))&amp;"")</f>
        <v/>
      </c>
      <c r="K89" s="10">
        <f>IF(H89="","",IFERROR(INDEX(lst_CCtoGL,MATCH(H89,lst_CCforGL,0)),""))</f>
        <v/>
      </c>
      <c r="L89" s="10">
        <f>IF($BI89="","",IF($B89="Onsite",INDEX(tbl_Onsite[PO / Reference],$BI89),IF($B89="Production",INDEX(tbl_Production[Current RMS No],$BI89),INDEX(tbl_Consulting[Qwilr Quote],$BI89)))&amp;"")</f>
        <v/>
      </c>
      <c r="M89" s="10">
        <f>IF($BI89="","",IF($B89="Onsite",INDEX(tbl_Onsite[Notes],$BI89),IF($B89="Production",INDEX(tbl_Production[Notes],$BI89),INDEX(tbl_Consulting[Notes],$BI89)))&amp;"")</f>
        <v/>
      </c>
      <c r="N89" s="11">
        <f>IF($BI89="","",IF(IF($B89="Onsite",INDEX(tbl_Onsite[Expected Revenue Ex GST],$BI89),IF($B89="Production",INDEX(tbl_Production[Expected Revenue Ex GST],$BI89),INDEX(tbl_Consulting[Expected Revenue Ex GST],$BI89)))="","",IF($B89="Onsite",INDEX(tbl_Onsite[Expected Revenue Ex GST],$BI89),IF($B89="Production",INDEX(tbl_Production[Expected Revenue Ex GST],$BI89),INDEX(tbl_Consulting[Expected Revenue Ex GST],$BI89)))))</f>
        <v/>
      </c>
      <c r="O89" s="11">
        <f>IF(AND($C89="",NOT(COUNTA($S89:$BB89)&gt;0)),"",SUM(U89,X89,AA89,AD89,AG89,AJ89,AM89,AP89,AS89,AV89,AY89,BB89))</f>
        <v/>
      </c>
      <c r="P89" s="11">
        <f>IF(O89="","",N(N89)-O89)</f>
        <v/>
      </c>
      <c r="Q89" s="10">
        <f>IF(O89="","",IF($C89="","Invoice on empty job row",IF(N89="",IF(ROUND(O89,2)=0,"No dept value","Invoiced - no dept value"),IF(ROUND(O89,2)=0,"Not invoiced - to invoice",IF(ROUND(P89,2)=0,"Agrees",IF(P89&gt;0,"Dept higher - to invoice","Xero higher - check dept"))))))</f>
        <v/>
      </c>
      <c r="R89" s="10">
        <f>IF(AND($C89="",NOT(COUNTA($S89:$BB89)&gt;0),$BI89&lt;&gt;""),"",MID(IF($BI89="","; Row ID not found on the department sheet - a row was deleted","")&amp;IF(AND($C89="",COUNTA($S89:$BB89)&gt;0),"; Invoice entered but the department row has no job number","")&amp;IF(E89="CHECK","; Job number not in the Xero job list","")&amp;IF(AND($C89&lt;&gt;"",COUNTIF($C$7:$C$1506,$C89)&gt;1),"; Job number on more than one row","")&amp;IF(AND($C89&lt;&gt;"",H89=""),"; Dept has not set a cost centre","")&amp;IF(AND($C89&lt;&gt;"",J89=""),"; Dept has not set a tax code","")&amp;IF(AND($C89&lt;&gt;"",N89=""),"; Dept has not entered an expected value","")&amp;IF((IF(OR(COUNTA(S89:U89)=0,AND(COUNTA(S89:U89)=3,ISNUMBER(U89))),0,1)+IF(OR(COUNTA(V89:X89)=0,AND(COUNTA(V89:X89)=3,ISNUMBER(X89))),0,1)+IF(OR(COUNTA(Y89:AA89)=0,AND(COUNTA(Y89:AA89)=3,ISNUMBER(AA89))),0,1)+IF(OR(COUNTA(AB89:AD89)=0,AND(COUNTA(AB89:AD89)=3,ISNUMBER(AD89))),0,1)+IF(OR(COUNTA(AE89:AG89)=0,AND(COUNTA(AE89:AG89)=3,ISNUMBER(AG89))),0,1)+IF(OR(COUNTA(AH89:AJ89)=0,AND(COUNTA(AH89:AJ89)=3,ISNUMBER(AJ89))),0,1)+IF(OR(COUNTA(AK89:AM89)=0,AND(COUNTA(AK89:AM89)=3,ISNUMBER(AM89))),0,1)+IF(OR(COUNTA(AN89:AP89)=0,AND(COUNTA(AN89:AP89)=3,ISNUMBER(AP89))),0,1)+IF(OR(COUNTA(AQ89:AS89)=0,AND(COUNTA(AQ89:AS89)=3,ISNUMBER(AS89))),0,1)+IF(OR(COUNTA(AT89:AV89)=0,AND(COUNTA(AT89:AV89)=3,ISNUMBER(AV89))),0,1)+IF(OR(COUNTA(AW89:AY89)=0,AND(COUNTA(AW89:AY89)=3,ISNUMBER(AY89))),0,1)+IF(OR(COUNTA(AZ89:BB89)=0,AND(COUNTA(AZ89:BB89)=3,ISNUMBER(BB89))),0,1))&gt;0,"; An invoice is incomplete (needs No, Date and a number in Ex GST)","")&amp;IF((IF(T89="",0,IFERROR(--(EOMONTH(T89,0)&lt;&gt;S$5),1))+IF(W89="",0,IFERROR(--(EOMONTH(W89,0)&lt;&gt;V$5),1))+IF(Z89="",0,IFERROR(--(EOMONTH(Z89,0)&lt;&gt;Y$5),1))+IF(AC89="",0,IFERROR(--(EOMONTH(AC89,0)&lt;&gt;AB$5),1))+IF(AF89="",0,IFERROR(--(EOMONTH(AF89,0)&lt;&gt;AE$5),1))+IF(AI89="",0,IFERROR(--(EOMONTH(AI89,0)&lt;&gt;AH$5),1))+IF(AL89="",0,IFERROR(--(EOMONTH(AL89,0)&lt;&gt;AK$5),1))+IF(AO89="",0,IFERROR(--(EOMONTH(AO89,0)&lt;&gt;AN$5),1))+IF(AR89="",0,IFERROR(--(EOMONTH(AR89,0)&lt;&gt;AQ$5),1))+IF(AU89="",0,IFERROR(--(EOMONTH(AU89,0)&lt;&gt;AT$5),1))+IF(AX89="",0,IFERROR(--(EOMONTH(AX89,0)&lt;&gt;AW$5),1))+IF(BA89="",0,IFERROR(--(EOMONTH(BA89,0)&lt;&gt;AZ$5),1)))&gt;0,"; An invoice date is not in the month it is typed under",""),3,500))</f>
        <v/>
      </c>
      <c r="S89" s="12" t="n"/>
      <c r="T89" s="13" t="n"/>
      <c r="U89" s="14" t="n"/>
      <c r="V89" s="12" t="n"/>
      <c r="W89" s="13" t="n"/>
      <c r="X89" s="14" t="n"/>
      <c r="Y89" s="12" t="n"/>
      <c r="Z89" s="13" t="n"/>
      <c r="AA89" s="14" t="n"/>
      <c r="AB89" s="12" t="n"/>
      <c r="AC89" s="13" t="n"/>
      <c r="AD89" s="14" t="n"/>
      <c r="AE89" s="12" t="n"/>
      <c r="AF89" s="13" t="n"/>
      <c r="AG89" s="14" t="n"/>
      <c r="AH89" s="12" t="n"/>
      <c r="AI89" s="13" t="n"/>
      <c r="AJ89" s="14" t="n"/>
      <c r="AK89" s="12" t="n"/>
      <c r="AL89" s="13" t="n"/>
      <c r="AM89" s="14" t="n"/>
      <c r="AN89" s="12" t="n"/>
      <c r="AO89" s="13" t="n"/>
      <c r="AP89" s="14" t="n"/>
      <c r="AQ89" s="12" t="n"/>
      <c r="AR89" s="13" t="n"/>
      <c r="AS89" s="14" t="n"/>
      <c r="AT89" s="12" t="n"/>
      <c r="AU89" s="13" t="n"/>
      <c r="AV89" s="14" t="n"/>
      <c r="AW89" s="12" t="n"/>
      <c r="AX89" s="13" t="n"/>
      <c r="AY89" s="14" t="n"/>
      <c r="AZ89" s="12" t="n"/>
      <c r="BA89" s="13" t="n"/>
      <c r="BB89" s="14" t="n"/>
      <c r="BC89" s="11">
        <f>IF(O89="","",IF(J89="GST 10%",ROUND(O89*set_GSTRate,2),0))</f>
        <v/>
      </c>
      <c r="BD89" s="11">
        <f>IF(O89="","",O89+BC89)</f>
        <v/>
      </c>
      <c r="BE89" s="15">
        <f>IF(O89="","",COUNTA(S89,V89,Y89,AB89,AE89,AH89,AK89,AN89,AQ89,AT89,AW89,AZ89))</f>
        <v/>
      </c>
      <c r="BF89" s="16">
        <f>IF(COUNT(T89,W89,Z89,AC89,AF89,AI89,AL89,AO89,AR89,AU89,AX89,BA89)=0,"",MAX(T89,W89,Z89,AC89,AF89,AI89,AL89,AO89,AR89,AU89,AX89,BA89))</f>
        <v/>
      </c>
      <c r="BG89" s="10">
        <f>MID(IF(S89="","",", "&amp;S89)&amp;IF(V89="","",", "&amp;V89)&amp;IF(Y89="","",", "&amp;Y89)&amp;IF(AB89="","",", "&amp;AB89)&amp;IF(AE89="","",", "&amp;AE89)&amp;IF(AH89="","",", "&amp;AH89)&amp;IF(AK89="","",", "&amp;AK89)&amp;IF(AN89="","",", "&amp;AN89)&amp;IF(AQ89="","",", "&amp;AQ89)&amp;IF(AT89="","",", "&amp;AT89)&amp;IF(AW89="","",", "&amp;AW89)&amp;IF(AZ89="","",", "&amp;AZ89),3,500)</f>
        <v/>
      </c>
      <c r="BH89" s="12" t="n"/>
      <c r="BI89" s="15">
        <f>IFERROR(MATCH($A89,IF($B89="Onsite",tbl_Onsite[Row ID],IF($B89="Production",tbl_Production[Row ID],tbl_Consulting[Row ID])),0),"")</f>
        <v/>
      </c>
    </row>
    <row r="90">
      <c r="A90" s="10" t="inlineStr">
        <is>
          <t>ONS-0084</t>
        </is>
      </c>
      <c r="B90" s="10" t="inlineStr">
        <is>
          <t>Onsite</t>
        </is>
      </c>
      <c r="C90" s="10">
        <f>IF($BI90="","",IF($B90="Onsite",INDEX(tbl_Onsite[Job Number],$BI90),IF($B90="Production",INDEX(tbl_Production[Job Number],$BI90),INDEX(tbl_Consulting[Job Number],$BI90)))&amp;"")</f>
        <v/>
      </c>
      <c r="D90" s="10">
        <f>IF($BI90="","",IF($B90="Onsite",INDEX(tbl_Onsite[Client],$BI90),IF($B90="Production",INDEX(tbl_Production[Client],$BI90),INDEX(tbl_Consulting[Client],$BI90)))&amp;"")</f>
        <v/>
      </c>
      <c r="E90" s="10">
        <f>IF($C90="","",IF(COUNTIF(lst_Jobs,$C90)&gt;0,"OK","CHECK"))</f>
        <v/>
      </c>
      <c r="F90" s="10">
        <f>IF($C90="","",IFERROR(INDEX(lst_JobName,MATCH($C90,lst_Jobs,0)),""))</f>
        <v/>
      </c>
      <c r="G90" s="10">
        <f>IF($BI90="","",IF($B90="Onsite",INDEX(tbl_Onsite[Job Description],$BI90),IF($B90="Production",INDEX(tbl_Production[Job Description],$BI90),INDEX(tbl_Consulting[Job Description],$BI90)))&amp;"")</f>
        <v/>
      </c>
      <c r="H90" s="10">
        <f>IF($BI90="","",IF($B90="Onsite",INDEX(tbl_Onsite[Cost Centre],$BI90),IF($B90="Production",INDEX(tbl_Production[Cost Centre],$BI90),INDEX(tbl_Consulting[Cost Centre],$BI90)))&amp;"")</f>
        <v/>
      </c>
      <c r="I90" s="10">
        <f>IF($BI90="","",IF($B90="Onsite",INDEX(tbl_Onsite[Invoice Type],$BI90),IF($B90="Production",INDEX(tbl_Production[Invoice Type],$BI90),INDEX(tbl_Consulting[Invoice Type],$BI90)))&amp;"")</f>
        <v/>
      </c>
      <c r="J90" s="10">
        <f>IF($BI90="","",IF($B90="Onsite",INDEX(tbl_Onsite[Tax Code],$BI90),IF($B90="Production",INDEX(tbl_Production[Tax Code],$BI90),INDEX(tbl_Consulting[Tax Code],$BI90)))&amp;"")</f>
        <v/>
      </c>
      <c r="K90" s="10">
        <f>IF(H90="","",IFERROR(INDEX(lst_CCtoGL,MATCH(H90,lst_CCforGL,0)),""))</f>
        <v/>
      </c>
      <c r="L90" s="10">
        <f>IF($BI90="","",IF($B90="Onsite",INDEX(tbl_Onsite[PO / Reference],$BI90),IF($B90="Production",INDEX(tbl_Production[Current RMS No],$BI90),INDEX(tbl_Consulting[Qwilr Quote],$BI90)))&amp;"")</f>
        <v/>
      </c>
      <c r="M90" s="10">
        <f>IF($BI90="","",IF($B90="Onsite",INDEX(tbl_Onsite[Notes],$BI90),IF($B90="Production",INDEX(tbl_Production[Notes],$BI90),INDEX(tbl_Consulting[Notes],$BI90)))&amp;"")</f>
        <v/>
      </c>
      <c r="N90" s="11">
        <f>IF($BI90="","",IF(IF($B90="Onsite",INDEX(tbl_Onsite[Expected Revenue Ex GST],$BI90),IF($B90="Production",INDEX(tbl_Production[Expected Revenue Ex GST],$BI90),INDEX(tbl_Consulting[Expected Revenue Ex GST],$BI90)))="","",IF($B90="Onsite",INDEX(tbl_Onsite[Expected Revenue Ex GST],$BI90),IF($B90="Production",INDEX(tbl_Production[Expected Revenue Ex GST],$BI90),INDEX(tbl_Consulting[Expected Revenue Ex GST],$BI90)))))</f>
        <v/>
      </c>
      <c r="O90" s="11">
        <f>IF(AND($C90="",NOT(COUNTA($S90:$BB90)&gt;0)),"",SUM(U90,X90,AA90,AD90,AG90,AJ90,AM90,AP90,AS90,AV90,AY90,BB90))</f>
        <v/>
      </c>
      <c r="P90" s="11">
        <f>IF(O90="","",N(N90)-O90)</f>
        <v/>
      </c>
      <c r="Q90" s="10">
        <f>IF(O90="","",IF($C90="","Invoice on empty job row",IF(N90="",IF(ROUND(O90,2)=0,"No dept value","Invoiced - no dept value"),IF(ROUND(O90,2)=0,"Not invoiced - to invoice",IF(ROUND(P90,2)=0,"Agrees",IF(P90&gt;0,"Dept higher - to invoice","Xero higher - check dept"))))))</f>
        <v/>
      </c>
      <c r="R90" s="10">
        <f>IF(AND($C90="",NOT(COUNTA($S90:$BB90)&gt;0),$BI90&lt;&gt;""),"",MID(IF($BI90="","; Row ID not found on the department sheet - a row was deleted","")&amp;IF(AND($C90="",COUNTA($S90:$BB90)&gt;0),"; Invoice entered but the department row has no job number","")&amp;IF(E90="CHECK","; Job number not in the Xero job list","")&amp;IF(AND($C90&lt;&gt;"",COUNTIF($C$7:$C$1506,$C90)&gt;1),"; Job number on more than one row","")&amp;IF(AND($C90&lt;&gt;"",H90=""),"; Dept has not set a cost centre","")&amp;IF(AND($C90&lt;&gt;"",J90=""),"; Dept has not set a tax code","")&amp;IF(AND($C90&lt;&gt;"",N90=""),"; Dept has not entered an expected value","")&amp;IF((IF(OR(COUNTA(S90:U90)=0,AND(COUNTA(S90:U90)=3,ISNUMBER(U90))),0,1)+IF(OR(COUNTA(V90:X90)=0,AND(COUNTA(V90:X90)=3,ISNUMBER(X90))),0,1)+IF(OR(COUNTA(Y90:AA90)=0,AND(COUNTA(Y90:AA90)=3,ISNUMBER(AA90))),0,1)+IF(OR(COUNTA(AB90:AD90)=0,AND(COUNTA(AB90:AD90)=3,ISNUMBER(AD90))),0,1)+IF(OR(COUNTA(AE90:AG90)=0,AND(COUNTA(AE90:AG90)=3,ISNUMBER(AG90))),0,1)+IF(OR(COUNTA(AH90:AJ90)=0,AND(COUNTA(AH90:AJ90)=3,ISNUMBER(AJ90))),0,1)+IF(OR(COUNTA(AK90:AM90)=0,AND(COUNTA(AK90:AM90)=3,ISNUMBER(AM90))),0,1)+IF(OR(COUNTA(AN90:AP90)=0,AND(COUNTA(AN90:AP90)=3,ISNUMBER(AP90))),0,1)+IF(OR(COUNTA(AQ90:AS90)=0,AND(COUNTA(AQ90:AS90)=3,ISNUMBER(AS90))),0,1)+IF(OR(COUNTA(AT90:AV90)=0,AND(COUNTA(AT90:AV90)=3,ISNUMBER(AV90))),0,1)+IF(OR(COUNTA(AW90:AY90)=0,AND(COUNTA(AW90:AY90)=3,ISNUMBER(AY90))),0,1)+IF(OR(COUNTA(AZ90:BB90)=0,AND(COUNTA(AZ90:BB90)=3,ISNUMBER(BB90))),0,1))&gt;0,"; An invoice is incomplete (needs No, Date and a number in Ex GST)","")&amp;IF((IF(T90="",0,IFERROR(--(EOMONTH(T90,0)&lt;&gt;S$5),1))+IF(W90="",0,IFERROR(--(EOMONTH(W90,0)&lt;&gt;V$5),1))+IF(Z90="",0,IFERROR(--(EOMONTH(Z90,0)&lt;&gt;Y$5),1))+IF(AC90="",0,IFERROR(--(EOMONTH(AC90,0)&lt;&gt;AB$5),1))+IF(AF90="",0,IFERROR(--(EOMONTH(AF90,0)&lt;&gt;AE$5),1))+IF(AI90="",0,IFERROR(--(EOMONTH(AI90,0)&lt;&gt;AH$5),1))+IF(AL90="",0,IFERROR(--(EOMONTH(AL90,0)&lt;&gt;AK$5),1))+IF(AO90="",0,IFERROR(--(EOMONTH(AO90,0)&lt;&gt;AN$5),1))+IF(AR90="",0,IFERROR(--(EOMONTH(AR90,0)&lt;&gt;AQ$5),1))+IF(AU90="",0,IFERROR(--(EOMONTH(AU90,0)&lt;&gt;AT$5),1))+IF(AX90="",0,IFERROR(--(EOMONTH(AX90,0)&lt;&gt;AW$5),1))+IF(BA90="",0,IFERROR(--(EOMONTH(BA90,0)&lt;&gt;AZ$5),1)))&gt;0,"; An invoice date is not in the month it is typed under",""),3,500))</f>
        <v/>
      </c>
      <c r="S90" s="12" t="n"/>
      <c r="T90" s="13" t="n"/>
      <c r="U90" s="14" t="n"/>
      <c r="V90" s="12" t="n"/>
      <c r="W90" s="13" t="n"/>
      <c r="X90" s="14" t="n"/>
      <c r="Y90" s="12" t="n"/>
      <c r="Z90" s="13" t="n"/>
      <c r="AA90" s="14" t="n"/>
      <c r="AB90" s="12" t="n"/>
      <c r="AC90" s="13" t="n"/>
      <c r="AD90" s="14" t="n"/>
      <c r="AE90" s="12" t="n"/>
      <c r="AF90" s="13" t="n"/>
      <c r="AG90" s="14" t="n"/>
      <c r="AH90" s="12" t="n"/>
      <c r="AI90" s="13" t="n"/>
      <c r="AJ90" s="14" t="n"/>
      <c r="AK90" s="12" t="n"/>
      <c r="AL90" s="13" t="n"/>
      <c r="AM90" s="14" t="n"/>
      <c r="AN90" s="12" t="n"/>
      <c r="AO90" s="13" t="n"/>
      <c r="AP90" s="14" t="n"/>
      <c r="AQ90" s="12" t="n"/>
      <c r="AR90" s="13" t="n"/>
      <c r="AS90" s="14" t="n"/>
      <c r="AT90" s="12" t="n"/>
      <c r="AU90" s="13" t="n"/>
      <c r="AV90" s="14" t="n"/>
      <c r="AW90" s="12" t="n"/>
      <c r="AX90" s="13" t="n"/>
      <c r="AY90" s="14" t="n"/>
      <c r="AZ90" s="12" t="n"/>
      <c r="BA90" s="13" t="n"/>
      <c r="BB90" s="14" t="n"/>
      <c r="BC90" s="11">
        <f>IF(O90="","",IF(J90="GST 10%",ROUND(O90*set_GSTRate,2),0))</f>
        <v/>
      </c>
      <c r="BD90" s="11">
        <f>IF(O90="","",O90+BC90)</f>
        <v/>
      </c>
      <c r="BE90" s="15">
        <f>IF(O90="","",COUNTA(S90,V90,Y90,AB90,AE90,AH90,AK90,AN90,AQ90,AT90,AW90,AZ90))</f>
        <v/>
      </c>
      <c r="BF90" s="16">
        <f>IF(COUNT(T90,W90,Z90,AC90,AF90,AI90,AL90,AO90,AR90,AU90,AX90,BA90)=0,"",MAX(T90,W90,Z90,AC90,AF90,AI90,AL90,AO90,AR90,AU90,AX90,BA90))</f>
        <v/>
      </c>
      <c r="BG90" s="10">
        <f>MID(IF(S90="","",", "&amp;S90)&amp;IF(V90="","",", "&amp;V90)&amp;IF(Y90="","",", "&amp;Y90)&amp;IF(AB90="","",", "&amp;AB90)&amp;IF(AE90="","",", "&amp;AE90)&amp;IF(AH90="","",", "&amp;AH90)&amp;IF(AK90="","",", "&amp;AK90)&amp;IF(AN90="","",", "&amp;AN90)&amp;IF(AQ90="","",", "&amp;AQ90)&amp;IF(AT90="","",", "&amp;AT90)&amp;IF(AW90="","",", "&amp;AW90)&amp;IF(AZ90="","",", "&amp;AZ90),3,500)</f>
        <v/>
      </c>
      <c r="BH90" s="12" t="n"/>
      <c r="BI90" s="15">
        <f>IFERROR(MATCH($A90,IF($B90="Onsite",tbl_Onsite[Row ID],IF($B90="Production",tbl_Production[Row ID],tbl_Consulting[Row ID])),0),"")</f>
        <v/>
      </c>
    </row>
    <row r="91">
      <c r="A91" s="10" t="inlineStr">
        <is>
          <t>ONS-0085</t>
        </is>
      </c>
      <c r="B91" s="10" t="inlineStr">
        <is>
          <t>Onsite</t>
        </is>
      </c>
      <c r="C91" s="10">
        <f>IF($BI91="","",IF($B91="Onsite",INDEX(tbl_Onsite[Job Number],$BI91),IF($B91="Production",INDEX(tbl_Production[Job Number],$BI91),INDEX(tbl_Consulting[Job Number],$BI91)))&amp;"")</f>
        <v/>
      </c>
      <c r="D91" s="10">
        <f>IF($BI91="","",IF($B91="Onsite",INDEX(tbl_Onsite[Client],$BI91),IF($B91="Production",INDEX(tbl_Production[Client],$BI91),INDEX(tbl_Consulting[Client],$BI91)))&amp;"")</f>
        <v/>
      </c>
      <c r="E91" s="10">
        <f>IF($C91="","",IF(COUNTIF(lst_Jobs,$C91)&gt;0,"OK","CHECK"))</f>
        <v/>
      </c>
      <c r="F91" s="10">
        <f>IF($C91="","",IFERROR(INDEX(lst_JobName,MATCH($C91,lst_Jobs,0)),""))</f>
        <v/>
      </c>
      <c r="G91" s="10">
        <f>IF($BI91="","",IF($B91="Onsite",INDEX(tbl_Onsite[Job Description],$BI91),IF($B91="Production",INDEX(tbl_Production[Job Description],$BI91),INDEX(tbl_Consulting[Job Description],$BI91)))&amp;"")</f>
        <v/>
      </c>
      <c r="H91" s="10">
        <f>IF($BI91="","",IF($B91="Onsite",INDEX(tbl_Onsite[Cost Centre],$BI91),IF($B91="Production",INDEX(tbl_Production[Cost Centre],$BI91),INDEX(tbl_Consulting[Cost Centre],$BI91)))&amp;"")</f>
        <v/>
      </c>
      <c r="I91" s="10">
        <f>IF($BI91="","",IF($B91="Onsite",INDEX(tbl_Onsite[Invoice Type],$BI91),IF($B91="Production",INDEX(tbl_Production[Invoice Type],$BI91),INDEX(tbl_Consulting[Invoice Type],$BI91)))&amp;"")</f>
        <v/>
      </c>
      <c r="J91" s="10">
        <f>IF($BI91="","",IF($B91="Onsite",INDEX(tbl_Onsite[Tax Code],$BI91),IF($B91="Production",INDEX(tbl_Production[Tax Code],$BI91),INDEX(tbl_Consulting[Tax Code],$BI91)))&amp;"")</f>
        <v/>
      </c>
      <c r="K91" s="10">
        <f>IF(H91="","",IFERROR(INDEX(lst_CCtoGL,MATCH(H91,lst_CCforGL,0)),""))</f>
        <v/>
      </c>
      <c r="L91" s="10">
        <f>IF($BI91="","",IF($B91="Onsite",INDEX(tbl_Onsite[PO / Reference],$BI91),IF($B91="Production",INDEX(tbl_Production[Current RMS No],$BI91),INDEX(tbl_Consulting[Qwilr Quote],$BI91)))&amp;"")</f>
        <v/>
      </c>
      <c r="M91" s="10">
        <f>IF($BI91="","",IF($B91="Onsite",INDEX(tbl_Onsite[Notes],$BI91),IF($B91="Production",INDEX(tbl_Production[Notes],$BI91),INDEX(tbl_Consulting[Notes],$BI91)))&amp;"")</f>
        <v/>
      </c>
      <c r="N91" s="11">
        <f>IF($BI91="","",IF(IF($B91="Onsite",INDEX(tbl_Onsite[Expected Revenue Ex GST],$BI91),IF($B91="Production",INDEX(tbl_Production[Expected Revenue Ex GST],$BI91),INDEX(tbl_Consulting[Expected Revenue Ex GST],$BI91)))="","",IF($B91="Onsite",INDEX(tbl_Onsite[Expected Revenue Ex GST],$BI91),IF($B91="Production",INDEX(tbl_Production[Expected Revenue Ex GST],$BI91),INDEX(tbl_Consulting[Expected Revenue Ex GST],$BI91)))))</f>
        <v/>
      </c>
      <c r="O91" s="11">
        <f>IF(AND($C91="",NOT(COUNTA($S91:$BB91)&gt;0)),"",SUM(U91,X91,AA91,AD91,AG91,AJ91,AM91,AP91,AS91,AV91,AY91,BB91))</f>
        <v/>
      </c>
      <c r="P91" s="11">
        <f>IF(O91="","",N(N91)-O91)</f>
        <v/>
      </c>
      <c r="Q91" s="10">
        <f>IF(O91="","",IF($C91="","Invoice on empty job row",IF(N91="",IF(ROUND(O91,2)=0,"No dept value","Invoiced - no dept value"),IF(ROUND(O91,2)=0,"Not invoiced - to invoice",IF(ROUND(P91,2)=0,"Agrees",IF(P91&gt;0,"Dept higher - to invoice","Xero higher - check dept"))))))</f>
        <v/>
      </c>
      <c r="R91" s="10">
        <f>IF(AND($C91="",NOT(COUNTA($S91:$BB91)&gt;0),$BI91&lt;&gt;""),"",MID(IF($BI91="","; Row ID not found on the department sheet - a row was deleted","")&amp;IF(AND($C91="",COUNTA($S91:$BB91)&gt;0),"; Invoice entered but the department row has no job number","")&amp;IF(E91="CHECK","; Job number not in the Xero job list","")&amp;IF(AND($C91&lt;&gt;"",COUNTIF($C$7:$C$1506,$C91)&gt;1),"; Job number on more than one row","")&amp;IF(AND($C91&lt;&gt;"",H91=""),"; Dept has not set a cost centre","")&amp;IF(AND($C91&lt;&gt;"",J91=""),"; Dept has not set a tax code","")&amp;IF(AND($C91&lt;&gt;"",N91=""),"; Dept has not entered an expected value","")&amp;IF((IF(OR(COUNTA(S91:U91)=0,AND(COUNTA(S91:U91)=3,ISNUMBER(U91))),0,1)+IF(OR(COUNTA(V91:X91)=0,AND(COUNTA(V91:X91)=3,ISNUMBER(X91))),0,1)+IF(OR(COUNTA(Y91:AA91)=0,AND(COUNTA(Y91:AA91)=3,ISNUMBER(AA91))),0,1)+IF(OR(COUNTA(AB91:AD91)=0,AND(COUNTA(AB91:AD91)=3,ISNUMBER(AD91))),0,1)+IF(OR(COUNTA(AE91:AG91)=0,AND(COUNTA(AE91:AG91)=3,ISNUMBER(AG91))),0,1)+IF(OR(COUNTA(AH91:AJ91)=0,AND(COUNTA(AH91:AJ91)=3,ISNUMBER(AJ91))),0,1)+IF(OR(COUNTA(AK91:AM91)=0,AND(COUNTA(AK91:AM91)=3,ISNUMBER(AM91))),0,1)+IF(OR(COUNTA(AN91:AP91)=0,AND(COUNTA(AN91:AP91)=3,ISNUMBER(AP91))),0,1)+IF(OR(COUNTA(AQ91:AS91)=0,AND(COUNTA(AQ91:AS91)=3,ISNUMBER(AS91))),0,1)+IF(OR(COUNTA(AT91:AV91)=0,AND(COUNTA(AT91:AV91)=3,ISNUMBER(AV91))),0,1)+IF(OR(COUNTA(AW91:AY91)=0,AND(COUNTA(AW91:AY91)=3,ISNUMBER(AY91))),0,1)+IF(OR(COUNTA(AZ91:BB91)=0,AND(COUNTA(AZ91:BB91)=3,ISNUMBER(BB91))),0,1))&gt;0,"; An invoice is incomplete (needs No, Date and a number in Ex GST)","")&amp;IF((IF(T91="",0,IFERROR(--(EOMONTH(T91,0)&lt;&gt;S$5),1))+IF(W91="",0,IFERROR(--(EOMONTH(W91,0)&lt;&gt;V$5),1))+IF(Z91="",0,IFERROR(--(EOMONTH(Z91,0)&lt;&gt;Y$5),1))+IF(AC91="",0,IFERROR(--(EOMONTH(AC91,0)&lt;&gt;AB$5),1))+IF(AF91="",0,IFERROR(--(EOMONTH(AF91,0)&lt;&gt;AE$5),1))+IF(AI91="",0,IFERROR(--(EOMONTH(AI91,0)&lt;&gt;AH$5),1))+IF(AL91="",0,IFERROR(--(EOMONTH(AL91,0)&lt;&gt;AK$5),1))+IF(AO91="",0,IFERROR(--(EOMONTH(AO91,0)&lt;&gt;AN$5),1))+IF(AR91="",0,IFERROR(--(EOMONTH(AR91,0)&lt;&gt;AQ$5),1))+IF(AU91="",0,IFERROR(--(EOMONTH(AU91,0)&lt;&gt;AT$5),1))+IF(AX91="",0,IFERROR(--(EOMONTH(AX91,0)&lt;&gt;AW$5),1))+IF(BA91="",0,IFERROR(--(EOMONTH(BA91,0)&lt;&gt;AZ$5),1)))&gt;0,"; An invoice date is not in the month it is typed under",""),3,500))</f>
        <v/>
      </c>
      <c r="S91" s="12" t="n"/>
      <c r="T91" s="13" t="n"/>
      <c r="U91" s="14" t="n"/>
      <c r="V91" s="12" t="n"/>
      <c r="W91" s="13" t="n"/>
      <c r="X91" s="14" t="n"/>
      <c r="Y91" s="12" t="n"/>
      <c r="Z91" s="13" t="n"/>
      <c r="AA91" s="14" t="n"/>
      <c r="AB91" s="12" t="n"/>
      <c r="AC91" s="13" t="n"/>
      <c r="AD91" s="14" t="n"/>
      <c r="AE91" s="12" t="n"/>
      <c r="AF91" s="13" t="n"/>
      <c r="AG91" s="14" t="n"/>
      <c r="AH91" s="12" t="n"/>
      <c r="AI91" s="13" t="n"/>
      <c r="AJ91" s="14" t="n"/>
      <c r="AK91" s="12" t="n"/>
      <c r="AL91" s="13" t="n"/>
      <c r="AM91" s="14" t="n"/>
      <c r="AN91" s="12" t="n"/>
      <c r="AO91" s="13" t="n"/>
      <c r="AP91" s="14" t="n"/>
      <c r="AQ91" s="12" t="n"/>
      <c r="AR91" s="13" t="n"/>
      <c r="AS91" s="14" t="n"/>
      <c r="AT91" s="12" t="n"/>
      <c r="AU91" s="13" t="n"/>
      <c r="AV91" s="14" t="n"/>
      <c r="AW91" s="12" t="n"/>
      <c r="AX91" s="13" t="n"/>
      <c r="AY91" s="14" t="n"/>
      <c r="AZ91" s="12" t="n"/>
      <c r="BA91" s="13" t="n"/>
      <c r="BB91" s="14" t="n"/>
      <c r="BC91" s="11">
        <f>IF(O91="","",IF(J91="GST 10%",ROUND(O91*set_GSTRate,2),0))</f>
        <v/>
      </c>
      <c r="BD91" s="11">
        <f>IF(O91="","",O91+BC91)</f>
        <v/>
      </c>
      <c r="BE91" s="15">
        <f>IF(O91="","",COUNTA(S91,V91,Y91,AB91,AE91,AH91,AK91,AN91,AQ91,AT91,AW91,AZ91))</f>
        <v/>
      </c>
      <c r="BF91" s="16">
        <f>IF(COUNT(T91,W91,Z91,AC91,AF91,AI91,AL91,AO91,AR91,AU91,AX91,BA91)=0,"",MAX(T91,W91,Z91,AC91,AF91,AI91,AL91,AO91,AR91,AU91,AX91,BA91))</f>
        <v/>
      </c>
      <c r="BG91" s="10">
        <f>MID(IF(S91="","",", "&amp;S91)&amp;IF(V91="","",", "&amp;V91)&amp;IF(Y91="","",", "&amp;Y91)&amp;IF(AB91="","",", "&amp;AB91)&amp;IF(AE91="","",", "&amp;AE91)&amp;IF(AH91="","",", "&amp;AH91)&amp;IF(AK91="","",", "&amp;AK91)&amp;IF(AN91="","",", "&amp;AN91)&amp;IF(AQ91="","",", "&amp;AQ91)&amp;IF(AT91="","",", "&amp;AT91)&amp;IF(AW91="","",", "&amp;AW91)&amp;IF(AZ91="","",", "&amp;AZ91),3,500)</f>
        <v/>
      </c>
      <c r="BH91" s="12" t="n"/>
      <c r="BI91" s="15">
        <f>IFERROR(MATCH($A91,IF($B91="Onsite",tbl_Onsite[Row ID],IF($B91="Production",tbl_Production[Row ID],tbl_Consulting[Row ID])),0),"")</f>
        <v/>
      </c>
    </row>
    <row r="92">
      <c r="A92" s="10" t="inlineStr">
        <is>
          <t>ONS-0086</t>
        </is>
      </c>
      <c r="B92" s="10" t="inlineStr">
        <is>
          <t>Onsite</t>
        </is>
      </c>
      <c r="C92" s="10">
        <f>IF($BI92="","",IF($B92="Onsite",INDEX(tbl_Onsite[Job Number],$BI92),IF($B92="Production",INDEX(tbl_Production[Job Number],$BI92),INDEX(tbl_Consulting[Job Number],$BI92)))&amp;"")</f>
        <v/>
      </c>
      <c r="D92" s="10">
        <f>IF($BI92="","",IF($B92="Onsite",INDEX(tbl_Onsite[Client],$BI92),IF($B92="Production",INDEX(tbl_Production[Client],$BI92),INDEX(tbl_Consulting[Client],$BI92)))&amp;"")</f>
        <v/>
      </c>
      <c r="E92" s="10">
        <f>IF($C92="","",IF(COUNTIF(lst_Jobs,$C92)&gt;0,"OK","CHECK"))</f>
        <v/>
      </c>
      <c r="F92" s="10">
        <f>IF($C92="","",IFERROR(INDEX(lst_JobName,MATCH($C92,lst_Jobs,0)),""))</f>
        <v/>
      </c>
      <c r="G92" s="10">
        <f>IF($BI92="","",IF($B92="Onsite",INDEX(tbl_Onsite[Job Description],$BI92),IF($B92="Production",INDEX(tbl_Production[Job Description],$BI92),INDEX(tbl_Consulting[Job Description],$BI92)))&amp;"")</f>
        <v/>
      </c>
      <c r="H92" s="10">
        <f>IF($BI92="","",IF($B92="Onsite",INDEX(tbl_Onsite[Cost Centre],$BI92),IF($B92="Production",INDEX(tbl_Production[Cost Centre],$BI92),INDEX(tbl_Consulting[Cost Centre],$BI92)))&amp;"")</f>
        <v/>
      </c>
      <c r="I92" s="10">
        <f>IF($BI92="","",IF($B92="Onsite",INDEX(tbl_Onsite[Invoice Type],$BI92),IF($B92="Production",INDEX(tbl_Production[Invoice Type],$BI92),INDEX(tbl_Consulting[Invoice Type],$BI92)))&amp;"")</f>
        <v/>
      </c>
      <c r="J92" s="10">
        <f>IF($BI92="","",IF($B92="Onsite",INDEX(tbl_Onsite[Tax Code],$BI92),IF($B92="Production",INDEX(tbl_Production[Tax Code],$BI92),INDEX(tbl_Consulting[Tax Code],$BI92)))&amp;"")</f>
        <v/>
      </c>
      <c r="K92" s="10">
        <f>IF(H92="","",IFERROR(INDEX(lst_CCtoGL,MATCH(H92,lst_CCforGL,0)),""))</f>
        <v/>
      </c>
      <c r="L92" s="10">
        <f>IF($BI92="","",IF($B92="Onsite",INDEX(tbl_Onsite[PO / Reference],$BI92),IF($B92="Production",INDEX(tbl_Production[Current RMS No],$BI92),INDEX(tbl_Consulting[Qwilr Quote],$BI92)))&amp;"")</f>
        <v/>
      </c>
      <c r="M92" s="10">
        <f>IF($BI92="","",IF($B92="Onsite",INDEX(tbl_Onsite[Notes],$BI92),IF($B92="Production",INDEX(tbl_Production[Notes],$BI92),INDEX(tbl_Consulting[Notes],$BI92)))&amp;"")</f>
        <v/>
      </c>
      <c r="N92" s="11">
        <f>IF($BI92="","",IF(IF($B92="Onsite",INDEX(tbl_Onsite[Expected Revenue Ex GST],$BI92),IF($B92="Production",INDEX(tbl_Production[Expected Revenue Ex GST],$BI92),INDEX(tbl_Consulting[Expected Revenue Ex GST],$BI92)))="","",IF($B92="Onsite",INDEX(tbl_Onsite[Expected Revenue Ex GST],$BI92),IF($B92="Production",INDEX(tbl_Production[Expected Revenue Ex GST],$BI92),INDEX(tbl_Consulting[Expected Revenue Ex GST],$BI92)))))</f>
        <v/>
      </c>
      <c r="O92" s="11">
        <f>IF(AND($C92="",NOT(COUNTA($S92:$BB92)&gt;0)),"",SUM(U92,X92,AA92,AD92,AG92,AJ92,AM92,AP92,AS92,AV92,AY92,BB92))</f>
        <v/>
      </c>
      <c r="P92" s="11">
        <f>IF(O92="","",N(N92)-O92)</f>
        <v/>
      </c>
      <c r="Q92" s="10">
        <f>IF(O92="","",IF($C92="","Invoice on empty job row",IF(N92="",IF(ROUND(O92,2)=0,"No dept value","Invoiced - no dept value"),IF(ROUND(O92,2)=0,"Not invoiced - to invoice",IF(ROUND(P92,2)=0,"Agrees",IF(P92&gt;0,"Dept higher - to invoice","Xero higher - check dept"))))))</f>
        <v/>
      </c>
      <c r="R92" s="10">
        <f>IF(AND($C92="",NOT(COUNTA($S92:$BB92)&gt;0),$BI92&lt;&gt;""),"",MID(IF($BI92="","; Row ID not found on the department sheet - a row was deleted","")&amp;IF(AND($C92="",COUNTA($S92:$BB92)&gt;0),"; Invoice entered but the department row has no job number","")&amp;IF(E92="CHECK","; Job number not in the Xero job list","")&amp;IF(AND($C92&lt;&gt;"",COUNTIF($C$7:$C$1506,$C92)&gt;1),"; Job number on more than one row","")&amp;IF(AND($C92&lt;&gt;"",H92=""),"; Dept has not set a cost centre","")&amp;IF(AND($C92&lt;&gt;"",J92=""),"; Dept has not set a tax code","")&amp;IF(AND($C92&lt;&gt;"",N92=""),"; Dept has not entered an expected value","")&amp;IF((IF(OR(COUNTA(S92:U92)=0,AND(COUNTA(S92:U92)=3,ISNUMBER(U92))),0,1)+IF(OR(COUNTA(V92:X92)=0,AND(COUNTA(V92:X92)=3,ISNUMBER(X92))),0,1)+IF(OR(COUNTA(Y92:AA92)=0,AND(COUNTA(Y92:AA92)=3,ISNUMBER(AA92))),0,1)+IF(OR(COUNTA(AB92:AD92)=0,AND(COUNTA(AB92:AD92)=3,ISNUMBER(AD92))),0,1)+IF(OR(COUNTA(AE92:AG92)=0,AND(COUNTA(AE92:AG92)=3,ISNUMBER(AG92))),0,1)+IF(OR(COUNTA(AH92:AJ92)=0,AND(COUNTA(AH92:AJ92)=3,ISNUMBER(AJ92))),0,1)+IF(OR(COUNTA(AK92:AM92)=0,AND(COUNTA(AK92:AM92)=3,ISNUMBER(AM92))),0,1)+IF(OR(COUNTA(AN92:AP92)=0,AND(COUNTA(AN92:AP92)=3,ISNUMBER(AP92))),0,1)+IF(OR(COUNTA(AQ92:AS92)=0,AND(COUNTA(AQ92:AS92)=3,ISNUMBER(AS92))),0,1)+IF(OR(COUNTA(AT92:AV92)=0,AND(COUNTA(AT92:AV92)=3,ISNUMBER(AV92))),0,1)+IF(OR(COUNTA(AW92:AY92)=0,AND(COUNTA(AW92:AY92)=3,ISNUMBER(AY92))),0,1)+IF(OR(COUNTA(AZ92:BB92)=0,AND(COUNTA(AZ92:BB92)=3,ISNUMBER(BB92))),0,1))&gt;0,"; An invoice is incomplete (needs No, Date and a number in Ex GST)","")&amp;IF((IF(T92="",0,IFERROR(--(EOMONTH(T92,0)&lt;&gt;S$5),1))+IF(W92="",0,IFERROR(--(EOMONTH(W92,0)&lt;&gt;V$5),1))+IF(Z92="",0,IFERROR(--(EOMONTH(Z92,0)&lt;&gt;Y$5),1))+IF(AC92="",0,IFERROR(--(EOMONTH(AC92,0)&lt;&gt;AB$5),1))+IF(AF92="",0,IFERROR(--(EOMONTH(AF92,0)&lt;&gt;AE$5),1))+IF(AI92="",0,IFERROR(--(EOMONTH(AI92,0)&lt;&gt;AH$5),1))+IF(AL92="",0,IFERROR(--(EOMONTH(AL92,0)&lt;&gt;AK$5),1))+IF(AO92="",0,IFERROR(--(EOMONTH(AO92,0)&lt;&gt;AN$5),1))+IF(AR92="",0,IFERROR(--(EOMONTH(AR92,0)&lt;&gt;AQ$5),1))+IF(AU92="",0,IFERROR(--(EOMONTH(AU92,0)&lt;&gt;AT$5),1))+IF(AX92="",0,IFERROR(--(EOMONTH(AX92,0)&lt;&gt;AW$5),1))+IF(BA92="",0,IFERROR(--(EOMONTH(BA92,0)&lt;&gt;AZ$5),1)))&gt;0,"; An invoice date is not in the month it is typed under",""),3,500))</f>
        <v/>
      </c>
      <c r="S92" s="12" t="n"/>
      <c r="T92" s="13" t="n"/>
      <c r="U92" s="14" t="n"/>
      <c r="V92" s="12" t="n"/>
      <c r="W92" s="13" t="n"/>
      <c r="X92" s="14" t="n"/>
      <c r="Y92" s="12" t="n"/>
      <c r="Z92" s="13" t="n"/>
      <c r="AA92" s="14" t="n"/>
      <c r="AB92" s="12" t="n"/>
      <c r="AC92" s="13" t="n"/>
      <c r="AD92" s="14" t="n"/>
      <c r="AE92" s="12" t="n"/>
      <c r="AF92" s="13" t="n"/>
      <c r="AG92" s="14" t="n"/>
      <c r="AH92" s="12" t="n"/>
      <c r="AI92" s="13" t="n"/>
      <c r="AJ92" s="14" t="n"/>
      <c r="AK92" s="12" t="n"/>
      <c r="AL92" s="13" t="n"/>
      <c r="AM92" s="14" t="n"/>
      <c r="AN92" s="12" t="n"/>
      <c r="AO92" s="13" t="n"/>
      <c r="AP92" s="14" t="n"/>
      <c r="AQ92" s="12" t="n"/>
      <c r="AR92" s="13" t="n"/>
      <c r="AS92" s="14" t="n"/>
      <c r="AT92" s="12" t="n"/>
      <c r="AU92" s="13" t="n"/>
      <c r="AV92" s="14" t="n"/>
      <c r="AW92" s="12" t="n"/>
      <c r="AX92" s="13" t="n"/>
      <c r="AY92" s="14" t="n"/>
      <c r="AZ92" s="12" t="n"/>
      <c r="BA92" s="13" t="n"/>
      <c r="BB92" s="14" t="n"/>
      <c r="BC92" s="11">
        <f>IF(O92="","",IF(J92="GST 10%",ROUND(O92*set_GSTRate,2),0))</f>
        <v/>
      </c>
      <c r="BD92" s="11">
        <f>IF(O92="","",O92+BC92)</f>
        <v/>
      </c>
      <c r="BE92" s="15">
        <f>IF(O92="","",COUNTA(S92,V92,Y92,AB92,AE92,AH92,AK92,AN92,AQ92,AT92,AW92,AZ92))</f>
        <v/>
      </c>
      <c r="BF92" s="16">
        <f>IF(COUNT(T92,W92,Z92,AC92,AF92,AI92,AL92,AO92,AR92,AU92,AX92,BA92)=0,"",MAX(T92,W92,Z92,AC92,AF92,AI92,AL92,AO92,AR92,AU92,AX92,BA92))</f>
        <v/>
      </c>
      <c r="BG92" s="10">
        <f>MID(IF(S92="","",", "&amp;S92)&amp;IF(V92="","",", "&amp;V92)&amp;IF(Y92="","",", "&amp;Y92)&amp;IF(AB92="","",", "&amp;AB92)&amp;IF(AE92="","",", "&amp;AE92)&amp;IF(AH92="","",", "&amp;AH92)&amp;IF(AK92="","",", "&amp;AK92)&amp;IF(AN92="","",", "&amp;AN92)&amp;IF(AQ92="","",", "&amp;AQ92)&amp;IF(AT92="","",", "&amp;AT92)&amp;IF(AW92="","",", "&amp;AW92)&amp;IF(AZ92="","",", "&amp;AZ92),3,500)</f>
        <v/>
      </c>
      <c r="BH92" s="12" t="n"/>
      <c r="BI92" s="15">
        <f>IFERROR(MATCH($A92,IF($B92="Onsite",tbl_Onsite[Row ID],IF($B92="Production",tbl_Production[Row ID],tbl_Consulting[Row ID])),0),"")</f>
        <v/>
      </c>
    </row>
    <row r="93">
      <c r="A93" s="10" t="inlineStr">
        <is>
          <t>ONS-0087</t>
        </is>
      </c>
      <c r="B93" s="10" t="inlineStr">
        <is>
          <t>Onsite</t>
        </is>
      </c>
      <c r="C93" s="10">
        <f>IF($BI93="","",IF($B93="Onsite",INDEX(tbl_Onsite[Job Number],$BI93),IF($B93="Production",INDEX(tbl_Production[Job Number],$BI93),INDEX(tbl_Consulting[Job Number],$BI93)))&amp;"")</f>
        <v/>
      </c>
      <c r="D93" s="10">
        <f>IF($BI93="","",IF($B93="Onsite",INDEX(tbl_Onsite[Client],$BI93),IF($B93="Production",INDEX(tbl_Production[Client],$BI93),INDEX(tbl_Consulting[Client],$BI93)))&amp;"")</f>
        <v/>
      </c>
      <c r="E93" s="10">
        <f>IF($C93="","",IF(COUNTIF(lst_Jobs,$C93)&gt;0,"OK","CHECK"))</f>
        <v/>
      </c>
      <c r="F93" s="10">
        <f>IF($C93="","",IFERROR(INDEX(lst_JobName,MATCH($C93,lst_Jobs,0)),""))</f>
        <v/>
      </c>
      <c r="G93" s="10">
        <f>IF($BI93="","",IF($B93="Onsite",INDEX(tbl_Onsite[Job Description],$BI93),IF($B93="Production",INDEX(tbl_Production[Job Description],$BI93),INDEX(tbl_Consulting[Job Description],$BI93)))&amp;"")</f>
        <v/>
      </c>
      <c r="H93" s="10">
        <f>IF($BI93="","",IF($B93="Onsite",INDEX(tbl_Onsite[Cost Centre],$BI93),IF($B93="Production",INDEX(tbl_Production[Cost Centre],$BI93),INDEX(tbl_Consulting[Cost Centre],$BI93)))&amp;"")</f>
        <v/>
      </c>
      <c r="I93" s="10">
        <f>IF($BI93="","",IF($B93="Onsite",INDEX(tbl_Onsite[Invoice Type],$BI93),IF($B93="Production",INDEX(tbl_Production[Invoice Type],$BI93),INDEX(tbl_Consulting[Invoice Type],$BI93)))&amp;"")</f>
        <v/>
      </c>
      <c r="J93" s="10">
        <f>IF($BI93="","",IF($B93="Onsite",INDEX(tbl_Onsite[Tax Code],$BI93),IF($B93="Production",INDEX(tbl_Production[Tax Code],$BI93),INDEX(tbl_Consulting[Tax Code],$BI93)))&amp;"")</f>
        <v/>
      </c>
      <c r="K93" s="10">
        <f>IF(H93="","",IFERROR(INDEX(lst_CCtoGL,MATCH(H93,lst_CCforGL,0)),""))</f>
        <v/>
      </c>
      <c r="L93" s="10">
        <f>IF($BI93="","",IF($B93="Onsite",INDEX(tbl_Onsite[PO / Reference],$BI93),IF($B93="Production",INDEX(tbl_Production[Current RMS No],$BI93),INDEX(tbl_Consulting[Qwilr Quote],$BI93)))&amp;"")</f>
        <v/>
      </c>
      <c r="M93" s="10">
        <f>IF($BI93="","",IF($B93="Onsite",INDEX(tbl_Onsite[Notes],$BI93),IF($B93="Production",INDEX(tbl_Production[Notes],$BI93),INDEX(tbl_Consulting[Notes],$BI93)))&amp;"")</f>
        <v/>
      </c>
      <c r="N93" s="11">
        <f>IF($BI93="","",IF(IF($B93="Onsite",INDEX(tbl_Onsite[Expected Revenue Ex GST],$BI93),IF($B93="Production",INDEX(tbl_Production[Expected Revenue Ex GST],$BI93),INDEX(tbl_Consulting[Expected Revenue Ex GST],$BI93)))="","",IF($B93="Onsite",INDEX(tbl_Onsite[Expected Revenue Ex GST],$BI93),IF($B93="Production",INDEX(tbl_Production[Expected Revenue Ex GST],$BI93),INDEX(tbl_Consulting[Expected Revenue Ex GST],$BI93)))))</f>
        <v/>
      </c>
      <c r="O93" s="11">
        <f>IF(AND($C93="",NOT(COUNTA($S93:$BB93)&gt;0)),"",SUM(U93,X93,AA93,AD93,AG93,AJ93,AM93,AP93,AS93,AV93,AY93,BB93))</f>
        <v/>
      </c>
      <c r="P93" s="11">
        <f>IF(O93="","",N(N93)-O93)</f>
        <v/>
      </c>
      <c r="Q93" s="10">
        <f>IF(O93="","",IF($C93="","Invoice on empty job row",IF(N93="",IF(ROUND(O93,2)=0,"No dept value","Invoiced - no dept value"),IF(ROUND(O93,2)=0,"Not invoiced - to invoice",IF(ROUND(P93,2)=0,"Agrees",IF(P93&gt;0,"Dept higher - to invoice","Xero higher - check dept"))))))</f>
        <v/>
      </c>
      <c r="R93" s="10">
        <f>IF(AND($C93="",NOT(COUNTA($S93:$BB93)&gt;0),$BI93&lt;&gt;""),"",MID(IF($BI93="","; Row ID not found on the department sheet - a row was deleted","")&amp;IF(AND($C93="",COUNTA($S93:$BB93)&gt;0),"; Invoice entered but the department row has no job number","")&amp;IF(E93="CHECK","; Job number not in the Xero job list","")&amp;IF(AND($C93&lt;&gt;"",COUNTIF($C$7:$C$1506,$C93)&gt;1),"; Job number on more than one row","")&amp;IF(AND($C93&lt;&gt;"",H93=""),"; Dept has not set a cost centre","")&amp;IF(AND($C93&lt;&gt;"",J93=""),"; Dept has not set a tax code","")&amp;IF(AND($C93&lt;&gt;"",N93=""),"; Dept has not entered an expected value","")&amp;IF((IF(OR(COUNTA(S93:U93)=0,AND(COUNTA(S93:U93)=3,ISNUMBER(U93))),0,1)+IF(OR(COUNTA(V93:X93)=0,AND(COUNTA(V93:X93)=3,ISNUMBER(X93))),0,1)+IF(OR(COUNTA(Y93:AA93)=0,AND(COUNTA(Y93:AA93)=3,ISNUMBER(AA93))),0,1)+IF(OR(COUNTA(AB93:AD93)=0,AND(COUNTA(AB93:AD93)=3,ISNUMBER(AD93))),0,1)+IF(OR(COUNTA(AE93:AG93)=0,AND(COUNTA(AE93:AG93)=3,ISNUMBER(AG93))),0,1)+IF(OR(COUNTA(AH93:AJ93)=0,AND(COUNTA(AH93:AJ93)=3,ISNUMBER(AJ93))),0,1)+IF(OR(COUNTA(AK93:AM93)=0,AND(COUNTA(AK93:AM93)=3,ISNUMBER(AM93))),0,1)+IF(OR(COUNTA(AN93:AP93)=0,AND(COUNTA(AN93:AP93)=3,ISNUMBER(AP93))),0,1)+IF(OR(COUNTA(AQ93:AS93)=0,AND(COUNTA(AQ93:AS93)=3,ISNUMBER(AS93))),0,1)+IF(OR(COUNTA(AT93:AV93)=0,AND(COUNTA(AT93:AV93)=3,ISNUMBER(AV93))),0,1)+IF(OR(COUNTA(AW93:AY93)=0,AND(COUNTA(AW93:AY93)=3,ISNUMBER(AY93))),0,1)+IF(OR(COUNTA(AZ93:BB93)=0,AND(COUNTA(AZ93:BB93)=3,ISNUMBER(BB93))),0,1))&gt;0,"; An invoice is incomplete (needs No, Date and a number in Ex GST)","")&amp;IF((IF(T93="",0,IFERROR(--(EOMONTH(T93,0)&lt;&gt;S$5),1))+IF(W93="",0,IFERROR(--(EOMONTH(W93,0)&lt;&gt;V$5),1))+IF(Z93="",0,IFERROR(--(EOMONTH(Z93,0)&lt;&gt;Y$5),1))+IF(AC93="",0,IFERROR(--(EOMONTH(AC93,0)&lt;&gt;AB$5),1))+IF(AF93="",0,IFERROR(--(EOMONTH(AF93,0)&lt;&gt;AE$5),1))+IF(AI93="",0,IFERROR(--(EOMONTH(AI93,0)&lt;&gt;AH$5),1))+IF(AL93="",0,IFERROR(--(EOMONTH(AL93,0)&lt;&gt;AK$5),1))+IF(AO93="",0,IFERROR(--(EOMONTH(AO93,0)&lt;&gt;AN$5),1))+IF(AR93="",0,IFERROR(--(EOMONTH(AR93,0)&lt;&gt;AQ$5),1))+IF(AU93="",0,IFERROR(--(EOMONTH(AU93,0)&lt;&gt;AT$5),1))+IF(AX93="",0,IFERROR(--(EOMONTH(AX93,0)&lt;&gt;AW$5),1))+IF(BA93="",0,IFERROR(--(EOMONTH(BA93,0)&lt;&gt;AZ$5),1)))&gt;0,"; An invoice date is not in the month it is typed under",""),3,500))</f>
        <v/>
      </c>
      <c r="S93" s="12" t="n"/>
      <c r="T93" s="13" t="n"/>
      <c r="U93" s="14" t="n"/>
      <c r="V93" s="12" t="n"/>
      <c r="W93" s="13" t="n"/>
      <c r="X93" s="14" t="n"/>
      <c r="Y93" s="12" t="n"/>
      <c r="Z93" s="13" t="n"/>
      <c r="AA93" s="14" t="n"/>
      <c r="AB93" s="12" t="n"/>
      <c r="AC93" s="13" t="n"/>
      <c r="AD93" s="14" t="n"/>
      <c r="AE93" s="12" t="n"/>
      <c r="AF93" s="13" t="n"/>
      <c r="AG93" s="14" t="n"/>
      <c r="AH93" s="12" t="n"/>
      <c r="AI93" s="13" t="n"/>
      <c r="AJ93" s="14" t="n"/>
      <c r="AK93" s="12" t="n"/>
      <c r="AL93" s="13" t="n"/>
      <c r="AM93" s="14" t="n"/>
      <c r="AN93" s="12" t="n"/>
      <c r="AO93" s="13" t="n"/>
      <c r="AP93" s="14" t="n"/>
      <c r="AQ93" s="12" t="n"/>
      <c r="AR93" s="13" t="n"/>
      <c r="AS93" s="14" t="n"/>
      <c r="AT93" s="12" t="n"/>
      <c r="AU93" s="13" t="n"/>
      <c r="AV93" s="14" t="n"/>
      <c r="AW93" s="12" t="n"/>
      <c r="AX93" s="13" t="n"/>
      <c r="AY93" s="14" t="n"/>
      <c r="AZ93" s="12" t="n"/>
      <c r="BA93" s="13" t="n"/>
      <c r="BB93" s="14" t="n"/>
      <c r="BC93" s="11">
        <f>IF(O93="","",IF(J93="GST 10%",ROUND(O93*set_GSTRate,2),0))</f>
        <v/>
      </c>
      <c r="BD93" s="11">
        <f>IF(O93="","",O93+BC93)</f>
        <v/>
      </c>
      <c r="BE93" s="15">
        <f>IF(O93="","",COUNTA(S93,V93,Y93,AB93,AE93,AH93,AK93,AN93,AQ93,AT93,AW93,AZ93))</f>
        <v/>
      </c>
      <c r="BF93" s="16">
        <f>IF(COUNT(T93,W93,Z93,AC93,AF93,AI93,AL93,AO93,AR93,AU93,AX93,BA93)=0,"",MAX(T93,W93,Z93,AC93,AF93,AI93,AL93,AO93,AR93,AU93,AX93,BA93))</f>
        <v/>
      </c>
      <c r="BG93" s="10">
        <f>MID(IF(S93="","",", "&amp;S93)&amp;IF(V93="","",", "&amp;V93)&amp;IF(Y93="","",", "&amp;Y93)&amp;IF(AB93="","",", "&amp;AB93)&amp;IF(AE93="","",", "&amp;AE93)&amp;IF(AH93="","",", "&amp;AH93)&amp;IF(AK93="","",", "&amp;AK93)&amp;IF(AN93="","",", "&amp;AN93)&amp;IF(AQ93="","",", "&amp;AQ93)&amp;IF(AT93="","",", "&amp;AT93)&amp;IF(AW93="","",", "&amp;AW93)&amp;IF(AZ93="","",", "&amp;AZ93),3,500)</f>
        <v/>
      </c>
      <c r="BH93" s="12" t="n"/>
      <c r="BI93" s="15">
        <f>IFERROR(MATCH($A93,IF($B93="Onsite",tbl_Onsite[Row ID],IF($B93="Production",tbl_Production[Row ID],tbl_Consulting[Row ID])),0),"")</f>
        <v/>
      </c>
    </row>
    <row r="94">
      <c r="A94" s="10" t="inlineStr">
        <is>
          <t>ONS-0088</t>
        </is>
      </c>
      <c r="B94" s="10" t="inlineStr">
        <is>
          <t>Onsite</t>
        </is>
      </c>
      <c r="C94" s="10">
        <f>IF($BI94="","",IF($B94="Onsite",INDEX(tbl_Onsite[Job Number],$BI94),IF($B94="Production",INDEX(tbl_Production[Job Number],$BI94),INDEX(tbl_Consulting[Job Number],$BI94)))&amp;"")</f>
        <v/>
      </c>
      <c r="D94" s="10">
        <f>IF($BI94="","",IF($B94="Onsite",INDEX(tbl_Onsite[Client],$BI94),IF($B94="Production",INDEX(tbl_Production[Client],$BI94),INDEX(tbl_Consulting[Client],$BI94)))&amp;"")</f>
        <v/>
      </c>
      <c r="E94" s="10">
        <f>IF($C94="","",IF(COUNTIF(lst_Jobs,$C94)&gt;0,"OK","CHECK"))</f>
        <v/>
      </c>
      <c r="F94" s="10">
        <f>IF($C94="","",IFERROR(INDEX(lst_JobName,MATCH($C94,lst_Jobs,0)),""))</f>
        <v/>
      </c>
      <c r="G94" s="10">
        <f>IF($BI94="","",IF($B94="Onsite",INDEX(tbl_Onsite[Job Description],$BI94),IF($B94="Production",INDEX(tbl_Production[Job Description],$BI94),INDEX(tbl_Consulting[Job Description],$BI94)))&amp;"")</f>
        <v/>
      </c>
      <c r="H94" s="10">
        <f>IF($BI94="","",IF($B94="Onsite",INDEX(tbl_Onsite[Cost Centre],$BI94),IF($B94="Production",INDEX(tbl_Production[Cost Centre],$BI94),INDEX(tbl_Consulting[Cost Centre],$BI94)))&amp;"")</f>
        <v/>
      </c>
      <c r="I94" s="10">
        <f>IF($BI94="","",IF($B94="Onsite",INDEX(tbl_Onsite[Invoice Type],$BI94),IF($B94="Production",INDEX(tbl_Production[Invoice Type],$BI94),INDEX(tbl_Consulting[Invoice Type],$BI94)))&amp;"")</f>
        <v/>
      </c>
      <c r="J94" s="10">
        <f>IF($BI94="","",IF($B94="Onsite",INDEX(tbl_Onsite[Tax Code],$BI94),IF($B94="Production",INDEX(tbl_Production[Tax Code],$BI94),INDEX(tbl_Consulting[Tax Code],$BI94)))&amp;"")</f>
        <v/>
      </c>
      <c r="K94" s="10">
        <f>IF(H94="","",IFERROR(INDEX(lst_CCtoGL,MATCH(H94,lst_CCforGL,0)),""))</f>
        <v/>
      </c>
      <c r="L94" s="10">
        <f>IF($BI94="","",IF($B94="Onsite",INDEX(tbl_Onsite[PO / Reference],$BI94),IF($B94="Production",INDEX(tbl_Production[Current RMS No],$BI94),INDEX(tbl_Consulting[Qwilr Quote],$BI94)))&amp;"")</f>
        <v/>
      </c>
      <c r="M94" s="10">
        <f>IF($BI94="","",IF($B94="Onsite",INDEX(tbl_Onsite[Notes],$BI94),IF($B94="Production",INDEX(tbl_Production[Notes],$BI94),INDEX(tbl_Consulting[Notes],$BI94)))&amp;"")</f>
        <v/>
      </c>
      <c r="N94" s="11">
        <f>IF($BI94="","",IF(IF($B94="Onsite",INDEX(tbl_Onsite[Expected Revenue Ex GST],$BI94),IF($B94="Production",INDEX(tbl_Production[Expected Revenue Ex GST],$BI94),INDEX(tbl_Consulting[Expected Revenue Ex GST],$BI94)))="","",IF($B94="Onsite",INDEX(tbl_Onsite[Expected Revenue Ex GST],$BI94),IF($B94="Production",INDEX(tbl_Production[Expected Revenue Ex GST],$BI94),INDEX(tbl_Consulting[Expected Revenue Ex GST],$BI94)))))</f>
        <v/>
      </c>
      <c r="O94" s="11">
        <f>IF(AND($C94="",NOT(COUNTA($S94:$BB94)&gt;0)),"",SUM(U94,X94,AA94,AD94,AG94,AJ94,AM94,AP94,AS94,AV94,AY94,BB94))</f>
        <v/>
      </c>
      <c r="P94" s="11">
        <f>IF(O94="","",N(N94)-O94)</f>
        <v/>
      </c>
      <c r="Q94" s="10">
        <f>IF(O94="","",IF($C94="","Invoice on empty job row",IF(N94="",IF(ROUND(O94,2)=0,"No dept value","Invoiced - no dept value"),IF(ROUND(O94,2)=0,"Not invoiced - to invoice",IF(ROUND(P94,2)=0,"Agrees",IF(P94&gt;0,"Dept higher - to invoice","Xero higher - check dept"))))))</f>
        <v/>
      </c>
      <c r="R94" s="10">
        <f>IF(AND($C94="",NOT(COUNTA($S94:$BB94)&gt;0),$BI94&lt;&gt;""),"",MID(IF($BI94="","; Row ID not found on the department sheet - a row was deleted","")&amp;IF(AND($C94="",COUNTA($S94:$BB94)&gt;0),"; Invoice entered but the department row has no job number","")&amp;IF(E94="CHECK","; Job number not in the Xero job list","")&amp;IF(AND($C94&lt;&gt;"",COUNTIF($C$7:$C$1506,$C94)&gt;1),"; Job number on more than one row","")&amp;IF(AND($C94&lt;&gt;"",H94=""),"; Dept has not set a cost centre","")&amp;IF(AND($C94&lt;&gt;"",J94=""),"; Dept has not set a tax code","")&amp;IF(AND($C94&lt;&gt;"",N94=""),"; Dept has not entered an expected value","")&amp;IF((IF(OR(COUNTA(S94:U94)=0,AND(COUNTA(S94:U94)=3,ISNUMBER(U94))),0,1)+IF(OR(COUNTA(V94:X94)=0,AND(COUNTA(V94:X94)=3,ISNUMBER(X94))),0,1)+IF(OR(COUNTA(Y94:AA94)=0,AND(COUNTA(Y94:AA94)=3,ISNUMBER(AA94))),0,1)+IF(OR(COUNTA(AB94:AD94)=0,AND(COUNTA(AB94:AD94)=3,ISNUMBER(AD94))),0,1)+IF(OR(COUNTA(AE94:AG94)=0,AND(COUNTA(AE94:AG94)=3,ISNUMBER(AG94))),0,1)+IF(OR(COUNTA(AH94:AJ94)=0,AND(COUNTA(AH94:AJ94)=3,ISNUMBER(AJ94))),0,1)+IF(OR(COUNTA(AK94:AM94)=0,AND(COUNTA(AK94:AM94)=3,ISNUMBER(AM94))),0,1)+IF(OR(COUNTA(AN94:AP94)=0,AND(COUNTA(AN94:AP94)=3,ISNUMBER(AP94))),0,1)+IF(OR(COUNTA(AQ94:AS94)=0,AND(COUNTA(AQ94:AS94)=3,ISNUMBER(AS94))),0,1)+IF(OR(COUNTA(AT94:AV94)=0,AND(COUNTA(AT94:AV94)=3,ISNUMBER(AV94))),0,1)+IF(OR(COUNTA(AW94:AY94)=0,AND(COUNTA(AW94:AY94)=3,ISNUMBER(AY94))),0,1)+IF(OR(COUNTA(AZ94:BB94)=0,AND(COUNTA(AZ94:BB94)=3,ISNUMBER(BB94))),0,1))&gt;0,"; An invoice is incomplete (needs No, Date and a number in Ex GST)","")&amp;IF((IF(T94="",0,IFERROR(--(EOMONTH(T94,0)&lt;&gt;S$5),1))+IF(W94="",0,IFERROR(--(EOMONTH(W94,0)&lt;&gt;V$5),1))+IF(Z94="",0,IFERROR(--(EOMONTH(Z94,0)&lt;&gt;Y$5),1))+IF(AC94="",0,IFERROR(--(EOMONTH(AC94,0)&lt;&gt;AB$5),1))+IF(AF94="",0,IFERROR(--(EOMONTH(AF94,0)&lt;&gt;AE$5),1))+IF(AI94="",0,IFERROR(--(EOMONTH(AI94,0)&lt;&gt;AH$5),1))+IF(AL94="",0,IFERROR(--(EOMONTH(AL94,0)&lt;&gt;AK$5),1))+IF(AO94="",0,IFERROR(--(EOMONTH(AO94,0)&lt;&gt;AN$5),1))+IF(AR94="",0,IFERROR(--(EOMONTH(AR94,0)&lt;&gt;AQ$5),1))+IF(AU94="",0,IFERROR(--(EOMONTH(AU94,0)&lt;&gt;AT$5),1))+IF(AX94="",0,IFERROR(--(EOMONTH(AX94,0)&lt;&gt;AW$5),1))+IF(BA94="",0,IFERROR(--(EOMONTH(BA94,0)&lt;&gt;AZ$5),1)))&gt;0,"; An invoice date is not in the month it is typed under",""),3,500))</f>
        <v/>
      </c>
      <c r="S94" s="12" t="n"/>
      <c r="T94" s="13" t="n"/>
      <c r="U94" s="14" t="n"/>
      <c r="V94" s="12" t="n"/>
      <c r="W94" s="13" t="n"/>
      <c r="X94" s="14" t="n"/>
      <c r="Y94" s="12" t="n"/>
      <c r="Z94" s="13" t="n"/>
      <c r="AA94" s="14" t="n"/>
      <c r="AB94" s="12" t="n"/>
      <c r="AC94" s="13" t="n"/>
      <c r="AD94" s="14" t="n"/>
      <c r="AE94" s="12" t="n"/>
      <c r="AF94" s="13" t="n"/>
      <c r="AG94" s="14" t="n"/>
      <c r="AH94" s="12" t="n"/>
      <c r="AI94" s="13" t="n"/>
      <c r="AJ94" s="14" t="n"/>
      <c r="AK94" s="12" t="n"/>
      <c r="AL94" s="13" t="n"/>
      <c r="AM94" s="14" t="n"/>
      <c r="AN94" s="12" t="n"/>
      <c r="AO94" s="13" t="n"/>
      <c r="AP94" s="14" t="n"/>
      <c r="AQ94" s="12" t="n"/>
      <c r="AR94" s="13" t="n"/>
      <c r="AS94" s="14" t="n"/>
      <c r="AT94" s="12" t="n"/>
      <c r="AU94" s="13" t="n"/>
      <c r="AV94" s="14" t="n"/>
      <c r="AW94" s="12" t="n"/>
      <c r="AX94" s="13" t="n"/>
      <c r="AY94" s="14" t="n"/>
      <c r="AZ94" s="12" t="n"/>
      <c r="BA94" s="13" t="n"/>
      <c r="BB94" s="14" t="n"/>
      <c r="BC94" s="11">
        <f>IF(O94="","",IF(J94="GST 10%",ROUND(O94*set_GSTRate,2),0))</f>
        <v/>
      </c>
      <c r="BD94" s="11">
        <f>IF(O94="","",O94+BC94)</f>
        <v/>
      </c>
      <c r="BE94" s="15">
        <f>IF(O94="","",COUNTA(S94,V94,Y94,AB94,AE94,AH94,AK94,AN94,AQ94,AT94,AW94,AZ94))</f>
        <v/>
      </c>
      <c r="BF94" s="16">
        <f>IF(COUNT(T94,W94,Z94,AC94,AF94,AI94,AL94,AO94,AR94,AU94,AX94,BA94)=0,"",MAX(T94,W94,Z94,AC94,AF94,AI94,AL94,AO94,AR94,AU94,AX94,BA94))</f>
        <v/>
      </c>
      <c r="BG94" s="10">
        <f>MID(IF(S94="","",", "&amp;S94)&amp;IF(V94="","",", "&amp;V94)&amp;IF(Y94="","",", "&amp;Y94)&amp;IF(AB94="","",", "&amp;AB94)&amp;IF(AE94="","",", "&amp;AE94)&amp;IF(AH94="","",", "&amp;AH94)&amp;IF(AK94="","",", "&amp;AK94)&amp;IF(AN94="","",", "&amp;AN94)&amp;IF(AQ94="","",", "&amp;AQ94)&amp;IF(AT94="","",", "&amp;AT94)&amp;IF(AW94="","",", "&amp;AW94)&amp;IF(AZ94="","",", "&amp;AZ94),3,500)</f>
        <v/>
      </c>
      <c r="BH94" s="12" t="n"/>
      <c r="BI94" s="15">
        <f>IFERROR(MATCH($A94,IF($B94="Onsite",tbl_Onsite[Row ID],IF($B94="Production",tbl_Production[Row ID],tbl_Consulting[Row ID])),0),"")</f>
        <v/>
      </c>
    </row>
    <row r="95">
      <c r="A95" s="10" t="inlineStr">
        <is>
          <t>ONS-0089</t>
        </is>
      </c>
      <c r="B95" s="10" t="inlineStr">
        <is>
          <t>Onsite</t>
        </is>
      </c>
      <c r="C95" s="10">
        <f>IF($BI95="","",IF($B95="Onsite",INDEX(tbl_Onsite[Job Number],$BI95),IF($B95="Production",INDEX(tbl_Production[Job Number],$BI95),INDEX(tbl_Consulting[Job Number],$BI95)))&amp;"")</f>
        <v/>
      </c>
      <c r="D95" s="10">
        <f>IF($BI95="","",IF($B95="Onsite",INDEX(tbl_Onsite[Client],$BI95),IF($B95="Production",INDEX(tbl_Production[Client],$BI95),INDEX(tbl_Consulting[Client],$BI95)))&amp;"")</f>
        <v/>
      </c>
      <c r="E95" s="10">
        <f>IF($C95="","",IF(COUNTIF(lst_Jobs,$C95)&gt;0,"OK","CHECK"))</f>
        <v/>
      </c>
      <c r="F95" s="10">
        <f>IF($C95="","",IFERROR(INDEX(lst_JobName,MATCH($C95,lst_Jobs,0)),""))</f>
        <v/>
      </c>
      <c r="G95" s="10">
        <f>IF($BI95="","",IF($B95="Onsite",INDEX(tbl_Onsite[Job Description],$BI95),IF($B95="Production",INDEX(tbl_Production[Job Description],$BI95),INDEX(tbl_Consulting[Job Description],$BI95)))&amp;"")</f>
        <v/>
      </c>
      <c r="H95" s="10">
        <f>IF($BI95="","",IF($B95="Onsite",INDEX(tbl_Onsite[Cost Centre],$BI95),IF($B95="Production",INDEX(tbl_Production[Cost Centre],$BI95),INDEX(tbl_Consulting[Cost Centre],$BI95)))&amp;"")</f>
        <v/>
      </c>
      <c r="I95" s="10">
        <f>IF($BI95="","",IF($B95="Onsite",INDEX(tbl_Onsite[Invoice Type],$BI95),IF($B95="Production",INDEX(tbl_Production[Invoice Type],$BI95),INDEX(tbl_Consulting[Invoice Type],$BI95)))&amp;"")</f>
        <v/>
      </c>
      <c r="J95" s="10">
        <f>IF($BI95="","",IF($B95="Onsite",INDEX(tbl_Onsite[Tax Code],$BI95),IF($B95="Production",INDEX(tbl_Production[Tax Code],$BI95),INDEX(tbl_Consulting[Tax Code],$BI95)))&amp;"")</f>
        <v/>
      </c>
      <c r="K95" s="10">
        <f>IF(H95="","",IFERROR(INDEX(lst_CCtoGL,MATCH(H95,lst_CCforGL,0)),""))</f>
        <v/>
      </c>
      <c r="L95" s="10">
        <f>IF($BI95="","",IF($B95="Onsite",INDEX(tbl_Onsite[PO / Reference],$BI95),IF($B95="Production",INDEX(tbl_Production[Current RMS No],$BI95),INDEX(tbl_Consulting[Qwilr Quote],$BI95)))&amp;"")</f>
        <v/>
      </c>
      <c r="M95" s="10">
        <f>IF($BI95="","",IF($B95="Onsite",INDEX(tbl_Onsite[Notes],$BI95),IF($B95="Production",INDEX(tbl_Production[Notes],$BI95),INDEX(tbl_Consulting[Notes],$BI95)))&amp;"")</f>
        <v/>
      </c>
      <c r="N95" s="11">
        <f>IF($BI95="","",IF(IF($B95="Onsite",INDEX(tbl_Onsite[Expected Revenue Ex GST],$BI95),IF($B95="Production",INDEX(tbl_Production[Expected Revenue Ex GST],$BI95),INDEX(tbl_Consulting[Expected Revenue Ex GST],$BI95)))="","",IF($B95="Onsite",INDEX(tbl_Onsite[Expected Revenue Ex GST],$BI95),IF($B95="Production",INDEX(tbl_Production[Expected Revenue Ex GST],$BI95),INDEX(tbl_Consulting[Expected Revenue Ex GST],$BI95)))))</f>
        <v/>
      </c>
      <c r="O95" s="11">
        <f>IF(AND($C95="",NOT(COUNTA($S95:$BB95)&gt;0)),"",SUM(U95,X95,AA95,AD95,AG95,AJ95,AM95,AP95,AS95,AV95,AY95,BB95))</f>
        <v/>
      </c>
      <c r="P95" s="11">
        <f>IF(O95="","",N(N95)-O95)</f>
        <v/>
      </c>
      <c r="Q95" s="10">
        <f>IF(O95="","",IF($C95="","Invoice on empty job row",IF(N95="",IF(ROUND(O95,2)=0,"No dept value","Invoiced - no dept value"),IF(ROUND(O95,2)=0,"Not invoiced - to invoice",IF(ROUND(P95,2)=0,"Agrees",IF(P95&gt;0,"Dept higher - to invoice","Xero higher - check dept"))))))</f>
        <v/>
      </c>
      <c r="R95" s="10">
        <f>IF(AND($C95="",NOT(COUNTA($S95:$BB95)&gt;0),$BI95&lt;&gt;""),"",MID(IF($BI95="","; Row ID not found on the department sheet - a row was deleted","")&amp;IF(AND($C95="",COUNTA($S95:$BB95)&gt;0),"; Invoice entered but the department row has no job number","")&amp;IF(E95="CHECK","; Job number not in the Xero job list","")&amp;IF(AND($C95&lt;&gt;"",COUNTIF($C$7:$C$1506,$C95)&gt;1),"; Job number on more than one row","")&amp;IF(AND($C95&lt;&gt;"",H95=""),"; Dept has not set a cost centre","")&amp;IF(AND($C95&lt;&gt;"",J95=""),"; Dept has not set a tax code","")&amp;IF(AND($C95&lt;&gt;"",N95=""),"; Dept has not entered an expected value","")&amp;IF((IF(OR(COUNTA(S95:U95)=0,AND(COUNTA(S95:U95)=3,ISNUMBER(U95))),0,1)+IF(OR(COUNTA(V95:X95)=0,AND(COUNTA(V95:X95)=3,ISNUMBER(X95))),0,1)+IF(OR(COUNTA(Y95:AA95)=0,AND(COUNTA(Y95:AA95)=3,ISNUMBER(AA95))),0,1)+IF(OR(COUNTA(AB95:AD95)=0,AND(COUNTA(AB95:AD95)=3,ISNUMBER(AD95))),0,1)+IF(OR(COUNTA(AE95:AG95)=0,AND(COUNTA(AE95:AG95)=3,ISNUMBER(AG95))),0,1)+IF(OR(COUNTA(AH95:AJ95)=0,AND(COUNTA(AH95:AJ95)=3,ISNUMBER(AJ95))),0,1)+IF(OR(COUNTA(AK95:AM95)=0,AND(COUNTA(AK95:AM95)=3,ISNUMBER(AM95))),0,1)+IF(OR(COUNTA(AN95:AP95)=0,AND(COUNTA(AN95:AP95)=3,ISNUMBER(AP95))),0,1)+IF(OR(COUNTA(AQ95:AS95)=0,AND(COUNTA(AQ95:AS95)=3,ISNUMBER(AS95))),0,1)+IF(OR(COUNTA(AT95:AV95)=0,AND(COUNTA(AT95:AV95)=3,ISNUMBER(AV95))),0,1)+IF(OR(COUNTA(AW95:AY95)=0,AND(COUNTA(AW95:AY95)=3,ISNUMBER(AY95))),0,1)+IF(OR(COUNTA(AZ95:BB95)=0,AND(COUNTA(AZ95:BB95)=3,ISNUMBER(BB95))),0,1))&gt;0,"; An invoice is incomplete (needs No, Date and a number in Ex GST)","")&amp;IF((IF(T95="",0,IFERROR(--(EOMONTH(T95,0)&lt;&gt;S$5),1))+IF(W95="",0,IFERROR(--(EOMONTH(W95,0)&lt;&gt;V$5),1))+IF(Z95="",0,IFERROR(--(EOMONTH(Z95,0)&lt;&gt;Y$5),1))+IF(AC95="",0,IFERROR(--(EOMONTH(AC95,0)&lt;&gt;AB$5),1))+IF(AF95="",0,IFERROR(--(EOMONTH(AF95,0)&lt;&gt;AE$5),1))+IF(AI95="",0,IFERROR(--(EOMONTH(AI95,0)&lt;&gt;AH$5),1))+IF(AL95="",0,IFERROR(--(EOMONTH(AL95,0)&lt;&gt;AK$5),1))+IF(AO95="",0,IFERROR(--(EOMONTH(AO95,0)&lt;&gt;AN$5),1))+IF(AR95="",0,IFERROR(--(EOMONTH(AR95,0)&lt;&gt;AQ$5),1))+IF(AU95="",0,IFERROR(--(EOMONTH(AU95,0)&lt;&gt;AT$5),1))+IF(AX95="",0,IFERROR(--(EOMONTH(AX95,0)&lt;&gt;AW$5),1))+IF(BA95="",0,IFERROR(--(EOMONTH(BA95,0)&lt;&gt;AZ$5),1)))&gt;0,"; An invoice date is not in the month it is typed under",""),3,500))</f>
        <v/>
      </c>
      <c r="S95" s="12" t="n"/>
      <c r="T95" s="13" t="n"/>
      <c r="U95" s="14" t="n"/>
      <c r="V95" s="12" t="n"/>
      <c r="W95" s="13" t="n"/>
      <c r="X95" s="14" t="n"/>
      <c r="Y95" s="12" t="n"/>
      <c r="Z95" s="13" t="n"/>
      <c r="AA95" s="14" t="n"/>
      <c r="AB95" s="12" t="n"/>
      <c r="AC95" s="13" t="n"/>
      <c r="AD95" s="14" t="n"/>
      <c r="AE95" s="12" t="n"/>
      <c r="AF95" s="13" t="n"/>
      <c r="AG95" s="14" t="n"/>
      <c r="AH95" s="12" t="n"/>
      <c r="AI95" s="13" t="n"/>
      <c r="AJ95" s="14" t="n"/>
      <c r="AK95" s="12" t="n"/>
      <c r="AL95" s="13" t="n"/>
      <c r="AM95" s="14" t="n"/>
      <c r="AN95" s="12" t="n"/>
      <c r="AO95" s="13" t="n"/>
      <c r="AP95" s="14" t="n"/>
      <c r="AQ95" s="12" t="n"/>
      <c r="AR95" s="13" t="n"/>
      <c r="AS95" s="14" t="n"/>
      <c r="AT95" s="12" t="n"/>
      <c r="AU95" s="13" t="n"/>
      <c r="AV95" s="14" t="n"/>
      <c r="AW95" s="12" t="n"/>
      <c r="AX95" s="13" t="n"/>
      <c r="AY95" s="14" t="n"/>
      <c r="AZ95" s="12" t="n"/>
      <c r="BA95" s="13" t="n"/>
      <c r="BB95" s="14" t="n"/>
      <c r="BC95" s="11">
        <f>IF(O95="","",IF(J95="GST 10%",ROUND(O95*set_GSTRate,2),0))</f>
        <v/>
      </c>
      <c r="BD95" s="11">
        <f>IF(O95="","",O95+BC95)</f>
        <v/>
      </c>
      <c r="BE95" s="15">
        <f>IF(O95="","",COUNTA(S95,V95,Y95,AB95,AE95,AH95,AK95,AN95,AQ95,AT95,AW95,AZ95))</f>
        <v/>
      </c>
      <c r="BF95" s="16">
        <f>IF(COUNT(T95,W95,Z95,AC95,AF95,AI95,AL95,AO95,AR95,AU95,AX95,BA95)=0,"",MAX(T95,W95,Z95,AC95,AF95,AI95,AL95,AO95,AR95,AU95,AX95,BA95))</f>
        <v/>
      </c>
      <c r="BG95" s="10">
        <f>MID(IF(S95="","",", "&amp;S95)&amp;IF(V95="","",", "&amp;V95)&amp;IF(Y95="","",", "&amp;Y95)&amp;IF(AB95="","",", "&amp;AB95)&amp;IF(AE95="","",", "&amp;AE95)&amp;IF(AH95="","",", "&amp;AH95)&amp;IF(AK95="","",", "&amp;AK95)&amp;IF(AN95="","",", "&amp;AN95)&amp;IF(AQ95="","",", "&amp;AQ95)&amp;IF(AT95="","",", "&amp;AT95)&amp;IF(AW95="","",", "&amp;AW95)&amp;IF(AZ95="","",", "&amp;AZ95),3,500)</f>
        <v/>
      </c>
      <c r="BH95" s="12" t="n"/>
      <c r="BI95" s="15">
        <f>IFERROR(MATCH($A95,IF($B95="Onsite",tbl_Onsite[Row ID],IF($B95="Production",tbl_Production[Row ID],tbl_Consulting[Row ID])),0),"")</f>
        <v/>
      </c>
    </row>
    <row r="96">
      <c r="A96" s="10" t="inlineStr">
        <is>
          <t>ONS-0090</t>
        </is>
      </c>
      <c r="B96" s="10" t="inlineStr">
        <is>
          <t>Onsite</t>
        </is>
      </c>
      <c r="C96" s="10">
        <f>IF($BI96="","",IF($B96="Onsite",INDEX(tbl_Onsite[Job Number],$BI96),IF($B96="Production",INDEX(tbl_Production[Job Number],$BI96),INDEX(tbl_Consulting[Job Number],$BI96)))&amp;"")</f>
        <v/>
      </c>
      <c r="D96" s="10">
        <f>IF($BI96="","",IF($B96="Onsite",INDEX(tbl_Onsite[Client],$BI96),IF($B96="Production",INDEX(tbl_Production[Client],$BI96),INDEX(tbl_Consulting[Client],$BI96)))&amp;"")</f>
        <v/>
      </c>
      <c r="E96" s="10">
        <f>IF($C96="","",IF(COUNTIF(lst_Jobs,$C96)&gt;0,"OK","CHECK"))</f>
        <v/>
      </c>
      <c r="F96" s="10">
        <f>IF($C96="","",IFERROR(INDEX(lst_JobName,MATCH($C96,lst_Jobs,0)),""))</f>
        <v/>
      </c>
      <c r="G96" s="10">
        <f>IF($BI96="","",IF($B96="Onsite",INDEX(tbl_Onsite[Job Description],$BI96),IF($B96="Production",INDEX(tbl_Production[Job Description],$BI96),INDEX(tbl_Consulting[Job Description],$BI96)))&amp;"")</f>
        <v/>
      </c>
      <c r="H96" s="10">
        <f>IF($BI96="","",IF($B96="Onsite",INDEX(tbl_Onsite[Cost Centre],$BI96),IF($B96="Production",INDEX(tbl_Production[Cost Centre],$BI96),INDEX(tbl_Consulting[Cost Centre],$BI96)))&amp;"")</f>
        <v/>
      </c>
      <c r="I96" s="10">
        <f>IF($BI96="","",IF($B96="Onsite",INDEX(tbl_Onsite[Invoice Type],$BI96),IF($B96="Production",INDEX(tbl_Production[Invoice Type],$BI96),INDEX(tbl_Consulting[Invoice Type],$BI96)))&amp;"")</f>
        <v/>
      </c>
      <c r="J96" s="10">
        <f>IF($BI96="","",IF($B96="Onsite",INDEX(tbl_Onsite[Tax Code],$BI96),IF($B96="Production",INDEX(tbl_Production[Tax Code],$BI96),INDEX(tbl_Consulting[Tax Code],$BI96)))&amp;"")</f>
        <v/>
      </c>
      <c r="K96" s="10">
        <f>IF(H96="","",IFERROR(INDEX(lst_CCtoGL,MATCH(H96,lst_CCforGL,0)),""))</f>
        <v/>
      </c>
      <c r="L96" s="10">
        <f>IF($BI96="","",IF($B96="Onsite",INDEX(tbl_Onsite[PO / Reference],$BI96),IF($B96="Production",INDEX(tbl_Production[Current RMS No],$BI96),INDEX(tbl_Consulting[Qwilr Quote],$BI96)))&amp;"")</f>
        <v/>
      </c>
      <c r="M96" s="10">
        <f>IF($BI96="","",IF($B96="Onsite",INDEX(tbl_Onsite[Notes],$BI96),IF($B96="Production",INDEX(tbl_Production[Notes],$BI96),INDEX(tbl_Consulting[Notes],$BI96)))&amp;"")</f>
        <v/>
      </c>
      <c r="N96" s="11">
        <f>IF($BI96="","",IF(IF($B96="Onsite",INDEX(tbl_Onsite[Expected Revenue Ex GST],$BI96),IF($B96="Production",INDEX(tbl_Production[Expected Revenue Ex GST],$BI96),INDEX(tbl_Consulting[Expected Revenue Ex GST],$BI96)))="","",IF($B96="Onsite",INDEX(tbl_Onsite[Expected Revenue Ex GST],$BI96),IF($B96="Production",INDEX(tbl_Production[Expected Revenue Ex GST],$BI96),INDEX(tbl_Consulting[Expected Revenue Ex GST],$BI96)))))</f>
        <v/>
      </c>
      <c r="O96" s="11">
        <f>IF(AND($C96="",NOT(COUNTA($S96:$BB96)&gt;0)),"",SUM(U96,X96,AA96,AD96,AG96,AJ96,AM96,AP96,AS96,AV96,AY96,BB96))</f>
        <v/>
      </c>
      <c r="P96" s="11">
        <f>IF(O96="","",N(N96)-O96)</f>
        <v/>
      </c>
      <c r="Q96" s="10">
        <f>IF(O96="","",IF($C96="","Invoice on empty job row",IF(N96="",IF(ROUND(O96,2)=0,"No dept value","Invoiced - no dept value"),IF(ROUND(O96,2)=0,"Not invoiced - to invoice",IF(ROUND(P96,2)=0,"Agrees",IF(P96&gt;0,"Dept higher - to invoice","Xero higher - check dept"))))))</f>
        <v/>
      </c>
      <c r="R96" s="10">
        <f>IF(AND($C96="",NOT(COUNTA($S96:$BB96)&gt;0),$BI96&lt;&gt;""),"",MID(IF($BI96="","; Row ID not found on the department sheet - a row was deleted","")&amp;IF(AND($C96="",COUNTA($S96:$BB96)&gt;0),"; Invoice entered but the department row has no job number","")&amp;IF(E96="CHECK","; Job number not in the Xero job list","")&amp;IF(AND($C96&lt;&gt;"",COUNTIF($C$7:$C$1506,$C96)&gt;1),"; Job number on more than one row","")&amp;IF(AND($C96&lt;&gt;"",H96=""),"; Dept has not set a cost centre","")&amp;IF(AND($C96&lt;&gt;"",J96=""),"; Dept has not set a tax code","")&amp;IF(AND($C96&lt;&gt;"",N96=""),"; Dept has not entered an expected value","")&amp;IF((IF(OR(COUNTA(S96:U96)=0,AND(COUNTA(S96:U96)=3,ISNUMBER(U96))),0,1)+IF(OR(COUNTA(V96:X96)=0,AND(COUNTA(V96:X96)=3,ISNUMBER(X96))),0,1)+IF(OR(COUNTA(Y96:AA96)=0,AND(COUNTA(Y96:AA96)=3,ISNUMBER(AA96))),0,1)+IF(OR(COUNTA(AB96:AD96)=0,AND(COUNTA(AB96:AD96)=3,ISNUMBER(AD96))),0,1)+IF(OR(COUNTA(AE96:AG96)=0,AND(COUNTA(AE96:AG96)=3,ISNUMBER(AG96))),0,1)+IF(OR(COUNTA(AH96:AJ96)=0,AND(COUNTA(AH96:AJ96)=3,ISNUMBER(AJ96))),0,1)+IF(OR(COUNTA(AK96:AM96)=0,AND(COUNTA(AK96:AM96)=3,ISNUMBER(AM96))),0,1)+IF(OR(COUNTA(AN96:AP96)=0,AND(COUNTA(AN96:AP96)=3,ISNUMBER(AP96))),0,1)+IF(OR(COUNTA(AQ96:AS96)=0,AND(COUNTA(AQ96:AS96)=3,ISNUMBER(AS96))),0,1)+IF(OR(COUNTA(AT96:AV96)=0,AND(COUNTA(AT96:AV96)=3,ISNUMBER(AV96))),0,1)+IF(OR(COUNTA(AW96:AY96)=0,AND(COUNTA(AW96:AY96)=3,ISNUMBER(AY96))),0,1)+IF(OR(COUNTA(AZ96:BB96)=0,AND(COUNTA(AZ96:BB96)=3,ISNUMBER(BB96))),0,1))&gt;0,"; An invoice is incomplete (needs No, Date and a number in Ex GST)","")&amp;IF((IF(T96="",0,IFERROR(--(EOMONTH(T96,0)&lt;&gt;S$5),1))+IF(W96="",0,IFERROR(--(EOMONTH(W96,0)&lt;&gt;V$5),1))+IF(Z96="",0,IFERROR(--(EOMONTH(Z96,0)&lt;&gt;Y$5),1))+IF(AC96="",0,IFERROR(--(EOMONTH(AC96,0)&lt;&gt;AB$5),1))+IF(AF96="",0,IFERROR(--(EOMONTH(AF96,0)&lt;&gt;AE$5),1))+IF(AI96="",0,IFERROR(--(EOMONTH(AI96,0)&lt;&gt;AH$5),1))+IF(AL96="",0,IFERROR(--(EOMONTH(AL96,0)&lt;&gt;AK$5),1))+IF(AO96="",0,IFERROR(--(EOMONTH(AO96,0)&lt;&gt;AN$5),1))+IF(AR96="",0,IFERROR(--(EOMONTH(AR96,0)&lt;&gt;AQ$5),1))+IF(AU96="",0,IFERROR(--(EOMONTH(AU96,0)&lt;&gt;AT$5),1))+IF(AX96="",0,IFERROR(--(EOMONTH(AX96,0)&lt;&gt;AW$5),1))+IF(BA96="",0,IFERROR(--(EOMONTH(BA96,0)&lt;&gt;AZ$5),1)))&gt;0,"; An invoice date is not in the month it is typed under",""),3,500))</f>
        <v/>
      </c>
      <c r="S96" s="12" t="n"/>
      <c r="T96" s="13" t="n"/>
      <c r="U96" s="14" t="n"/>
      <c r="V96" s="12" t="n"/>
      <c r="W96" s="13" t="n"/>
      <c r="X96" s="14" t="n"/>
      <c r="Y96" s="12" t="n"/>
      <c r="Z96" s="13" t="n"/>
      <c r="AA96" s="14" t="n"/>
      <c r="AB96" s="12" t="n"/>
      <c r="AC96" s="13" t="n"/>
      <c r="AD96" s="14" t="n"/>
      <c r="AE96" s="12" t="n"/>
      <c r="AF96" s="13" t="n"/>
      <c r="AG96" s="14" t="n"/>
      <c r="AH96" s="12" t="n"/>
      <c r="AI96" s="13" t="n"/>
      <c r="AJ96" s="14" t="n"/>
      <c r="AK96" s="12" t="n"/>
      <c r="AL96" s="13" t="n"/>
      <c r="AM96" s="14" t="n"/>
      <c r="AN96" s="12" t="n"/>
      <c r="AO96" s="13" t="n"/>
      <c r="AP96" s="14" t="n"/>
      <c r="AQ96" s="12" t="n"/>
      <c r="AR96" s="13" t="n"/>
      <c r="AS96" s="14" t="n"/>
      <c r="AT96" s="12" t="n"/>
      <c r="AU96" s="13" t="n"/>
      <c r="AV96" s="14" t="n"/>
      <c r="AW96" s="12" t="n"/>
      <c r="AX96" s="13" t="n"/>
      <c r="AY96" s="14" t="n"/>
      <c r="AZ96" s="12" t="n"/>
      <c r="BA96" s="13" t="n"/>
      <c r="BB96" s="14" t="n"/>
      <c r="BC96" s="11">
        <f>IF(O96="","",IF(J96="GST 10%",ROUND(O96*set_GSTRate,2),0))</f>
        <v/>
      </c>
      <c r="BD96" s="11">
        <f>IF(O96="","",O96+BC96)</f>
        <v/>
      </c>
      <c r="BE96" s="15">
        <f>IF(O96="","",COUNTA(S96,V96,Y96,AB96,AE96,AH96,AK96,AN96,AQ96,AT96,AW96,AZ96))</f>
        <v/>
      </c>
      <c r="BF96" s="16">
        <f>IF(COUNT(T96,W96,Z96,AC96,AF96,AI96,AL96,AO96,AR96,AU96,AX96,BA96)=0,"",MAX(T96,W96,Z96,AC96,AF96,AI96,AL96,AO96,AR96,AU96,AX96,BA96))</f>
        <v/>
      </c>
      <c r="BG96" s="10">
        <f>MID(IF(S96="","",", "&amp;S96)&amp;IF(V96="","",", "&amp;V96)&amp;IF(Y96="","",", "&amp;Y96)&amp;IF(AB96="","",", "&amp;AB96)&amp;IF(AE96="","",", "&amp;AE96)&amp;IF(AH96="","",", "&amp;AH96)&amp;IF(AK96="","",", "&amp;AK96)&amp;IF(AN96="","",", "&amp;AN96)&amp;IF(AQ96="","",", "&amp;AQ96)&amp;IF(AT96="","",", "&amp;AT96)&amp;IF(AW96="","",", "&amp;AW96)&amp;IF(AZ96="","",", "&amp;AZ96),3,500)</f>
        <v/>
      </c>
      <c r="BH96" s="12" t="n"/>
      <c r="BI96" s="15">
        <f>IFERROR(MATCH($A96,IF($B96="Onsite",tbl_Onsite[Row ID],IF($B96="Production",tbl_Production[Row ID],tbl_Consulting[Row ID])),0),"")</f>
        <v/>
      </c>
    </row>
    <row r="97">
      <c r="A97" s="10" t="inlineStr">
        <is>
          <t>ONS-0091</t>
        </is>
      </c>
      <c r="B97" s="10" t="inlineStr">
        <is>
          <t>Onsite</t>
        </is>
      </c>
      <c r="C97" s="10">
        <f>IF($BI97="","",IF($B97="Onsite",INDEX(tbl_Onsite[Job Number],$BI97),IF($B97="Production",INDEX(tbl_Production[Job Number],$BI97),INDEX(tbl_Consulting[Job Number],$BI97)))&amp;"")</f>
        <v/>
      </c>
      <c r="D97" s="10">
        <f>IF($BI97="","",IF($B97="Onsite",INDEX(tbl_Onsite[Client],$BI97),IF($B97="Production",INDEX(tbl_Production[Client],$BI97),INDEX(tbl_Consulting[Client],$BI97)))&amp;"")</f>
        <v/>
      </c>
      <c r="E97" s="10">
        <f>IF($C97="","",IF(COUNTIF(lst_Jobs,$C97)&gt;0,"OK","CHECK"))</f>
        <v/>
      </c>
      <c r="F97" s="10">
        <f>IF($C97="","",IFERROR(INDEX(lst_JobName,MATCH($C97,lst_Jobs,0)),""))</f>
        <v/>
      </c>
      <c r="G97" s="10">
        <f>IF($BI97="","",IF($B97="Onsite",INDEX(tbl_Onsite[Job Description],$BI97),IF($B97="Production",INDEX(tbl_Production[Job Description],$BI97),INDEX(tbl_Consulting[Job Description],$BI97)))&amp;"")</f>
        <v/>
      </c>
      <c r="H97" s="10">
        <f>IF($BI97="","",IF($B97="Onsite",INDEX(tbl_Onsite[Cost Centre],$BI97),IF($B97="Production",INDEX(tbl_Production[Cost Centre],$BI97),INDEX(tbl_Consulting[Cost Centre],$BI97)))&amp;"")</f>
        <v/>
      </c>
      <c r="I97" s="10">
        <f>IF($BI97="","",IF($B97="Onsite",INDEX(tbl_Onsite[Invoice Type],$BI97),IF($B97="Production",INDEX(tbl_Production[Invoice Type],$BI97),INDEX(tbl_Consulting[Invoice Type],$BI97)))&amp;"")</f>
        <v/>
      </c>
      <c r="J97" s="10">
        <f>IF($BI97="","",IF($B97="Onsite",INDEX(tbl_Onsite[Tax Code],$BI97),IF($B97="Production",INDEX(tbl_Production[Tax Code],$BI97),INDEX(tbl_Consulting[Tax Code],$BI97)))&amp;"")</f>
        <v/>
      </c>
      <c r="K97" s="10">
        <f>IF(H97="","",IFERROR(INDEX(lst_CCtoGL,MATCH(H97,lst_CCforGL,0)),""))</f>
        <v/>
      </c>
      <c r="L97" s="10">
        <f>IF($BI97="","",IF($B97="Onsite",INDEX(tbl_Onsite[PO / Reference],$BI97),IF($B97="Production",INDEX(tbl_Production[Current RMS No],$BI97),INDEX(tbl_Consulting[Qwilr Quote],$BI97)))&amp;"")</f>
        <v/>
      </c>
      <c r="M97" s="10">
        <f>IF($BI97="","",IF($B97="Onsite",INDEX(tbl_Onsite[Notes],$BI97),IF($B97="Production",INDEX(tbl_Production[Notes],$BI97),INDEX(tbl_Consulting[Notes],$BI97)))&amp;"")</f>
        <v/>
      </c>
      <c r="N97" s="11">
        <f>IF($BI97="","",IF(IF($B97="Onsite",INDEX(tbl_Onsite[Expected Revenue Ex GST],$BI97),IF($B97="Production",INDEX(tbl_Production[Expected Revenue Ex GST],$BI97),INDEX(tbl_Consulting[Expected Revenue Ex GST],$BI97)))="","",IF($B97="Onsite",INDEX(tbl_Onsite[Expected Revenue Ex GST],$BI97),IF($B97="Production",INDEX(tbl_Production[Expected Revenue Ex GST],$BI97),INDEX(tbl_Consulting[Expected Revenue Ex GST],$BI97)))))</f>
        <v/>
      </c>
      <c r="O97" s="11">
        <f>IF(AND($C97="",NOT(COUNTA($S97:$BB97)&gt;0)),"",SUM(U97,X97,AA97,AD97,AG97,AJ97,AM97,AP97,AS97,AV97,AY97,BB97))</f>
        <v/>
      </c>
      <c r="P97" s="11">
        <f>IF(O97="","",N(N97)-O97)</f>
        <v/>
      </c>
      <c r="Q97" s="10">
        <f>IF(O97="","",IF($C97="","Invoice on empty job row",IF(N97="",IF(ROUND(O97,2)=0,"No dept value","Invoiced - no dept value"),IF(ROUND(O97,2)=0,"Not invoiced - to invoice",IF(ROUND(P97,2)=0,"Agrees",IF(P97&gt;0,"Dept higher - to invoice","Xero higher - check dept"))))))</f>
        <v/>
      </c>
      <c r="R97" s="10">
        <f>IF(AND($C97="",NOT(COUNTA($S97:$BB97)&gt;0),$BI97&lt;&gt;""),"",MID(IF($BI97="","; Row ID not found on the department sheet - a row was deleted","")&amp;IF(AND($C97="",COUNTA($S97:$BB97)&gt;0),"; Invoice entered but the department row has no job number","")&amp;IF(E97="CHECK","; Job number not in the Xero job list","")&amp;IF(AND($C97&lt;&gt;"",COUNTIF($C$7:$C$1506,$C97)&gt;1),"; Job number on more than one row","")&amp;IF(AND($C97&lt;&gt;"",H97=""),"; Dept has not set a cost centre","")&amp;IF(AND($C97&lt;&gt;"",J97=""),"; Dept has not set a tax code","")&amp;IF(AND($C97&lt;&gt;"",N97=""),"; Dept has not entered an expected value","")&amp;IF((IF(OR(COUNTA(S97:U97)=0,AND(COUNTA(S97:U97)=3,ISNUMBER(U97))),0,1)+IF(OR(COUNTA(V97:X97)=0,AND(COUNTA(V97:X97)=3,ISNUMBER(X97))),0,1)+IF(OR(COUNTA(Y97:AA97)=0,AND(COUNTA(Y97:AA97)=3,ISNUMBER(AA97))),0,1)+IF(OR(COUNTA(AB97:AD97)=0,AND(COUNTA(AB97:AD97)=3,ISNUMBER(AD97))),0,1)+IF(OR(COUNTA(AE97:AG97)=0,AND(COUNTA(AE97:AG97)=3,ISNUMBER(AG97))),0,1)+IF(OR(COUNTA(AH97:AJ97)=0,AND(COUNTA(AH97:AJ97)=3,ISNUMBER(AJ97))),0,1)+IF(OR(COUNTA(AK97:AM97)=0,AND(COUNTA(AK97:AM97)=3,ISNUMBER(AM97))),0,1)+IF(OR(COUNTA(AN97:AP97)=0,AND(COUNTA(AN97:AP97)=3,ISNUMBER(AP97))),0,1)+IF(OR(COUNTA(AQ97:AS97)=0,AND(COUNTA(AQ97:AS97)=3,ISNUMBER(AS97))),0,1)+IF(OR(COUNTA(AT97:AV97)=0,AND(COUNTA(AT97:AV97)=3,ISNUMBER(AV97))),0,1)+IF(OR(COUNTA(AW97:AY97)=0,AND(COUNTA(AW97:AY97)=3,ISNUMBER(AY97))),0,1)+IF(OR(COUNTA(AZ97:BB97)=0,AND(COUNTA(AZ97:BB97)=3,ISNUMBER(BB97))),0,1))&gt;0,"; An invoice is incomplete (needs No, Date and a number in Ex GST)","")&amp;IF((IF(T97="",0,IFERROR(--(EOMONTH(T97,0)&lt;&gt;S$5),1))+IF(W97="",0,IFERROR(--(EOMONTH(W97,0)&lt;&gt;V$5),1))+IF(Z97="",0,IFERROR(--(EOMONTH(Z97,0)&lt;&gt;Y$5),1))+IF(AC97="",0,IFERROR(--(EOMONTH(AC97,0)&lt;&gt;AB$5),1))+IF(AF97="",0,IFERROR(--(EOMONTH(AF97,0)&lt;&gt;AE$5),1))+IF(AI97="",0,IFERROR(--(EOMONTH(AI97,0)&lt;&gt;AH$5),1))+IF(AL97="",0,IFERROR(--(EOMONTH(AL97,0)&lt;&gt;AK$5),1))+IF(AO97="",0,IFERROR(--(EOMONTH(AO97,0)&lt;&gt;AN$5),1))+IF(AR97="",0,IFERROR(--(EOMONTH(AR97,0)&lt;&gt;AQ$5),1))+IF(AU97="",0,IFERROR(--(EOMONTH(AU97,0)&lt;&gt;AT$5),1))+IF(AX97="",0,IFERROR(--(EOMONTH(AX97,0)&lt;&gt;AW$5),1))+IF(BA97="",0,IFERROR(--(EOMONTH(BA97,0)&lt;&gt;AZ$5),1)))&gt;0,"; An invoice date is not in the month it is typed under",""),3,500))</f>
        <v/>
      </c>
      <c r="S97" s="12" t="n"/>
      <c r="T97" s="13" t="n"/>
      <c r="U97" s="14" t="n"/>
      <c r="V97" s="12" t="n"/>
      <c r="W97" s="13" t="n"/>
      <c r="X97" s="14" t="n"/>
      <c r="Y97" s="12" t="n"/>
      <c r="Z97" s="13" t="n"/>
      <c r="AA97" s="14" t="n"/>
      <c r="AB97" s="12" t="n"/>
      <c r="AC97" s="13" t="n"/>
      <c r="AD97" s="14" t="n"/>
      <c r="AE97" s="12" t="n"/>
      <c r="AF97" s="13" t="n"/>
      <c r="AG97" s="14" t="n"/>
      <c r="AH97" s="12" t="n"/>
      <c r="AI97" s="13" t="n"/>
      <c r="AJ97" s="14" t="n"/>
      <c r="AK97" s="12" t="n"/>
      <c r="AL97" s="13" t="n"/>
      <c r="AM97" s="14" t="n"/>
      <c r="AN97" s="12" t="n"/>
      <c r="AO97" s="13" t="n"/>
      <c r="AP97" s="14" t="n"/>
      <c r="AQ97" s="12" t="n"/>
      <c r="AR97" s="13" t="n"/>
      <c r="AS97" s="14" t="n"/>
      <c r="AT97" s="12" t="n"/>
      <c r="AU97" s="13" t="n"/>
      <c r="AV97" s="14" t="n"/>
      <c r="AW97" s="12" t="n"/>
      <c r="AX97" s="13" t="n"/>
      <c r="AY97" s="14" t="n"/>
      <c r="AZ97" s="12" t="n"/>
      <c r="BA97" s="13" t="n"/>
      <c r="BB97" s="14" t="n"/>
      <c r="BC97" s="11">
        <f>IF(O97="","",IF(J97="GST 10%",ROUND(O97*set_GSTRate,2),0))</f>
        <v/>
      </c>
      <c r="BD97" s="11">
        <f>IF(O97="","",O97+BC97)</f>
        <v/>
      </c>
      <c r="BE97" s="15">
        <f>IF(O97="","",COUNTA(S97,V97,Y97,AB97,AE97,AH97,AK97,AN97,AQ97,AT97,AW97,AZ97))</f>
        <v/>
      </c>
      <c r="BF97" s="16">
        <f>IF(COUNT(T97,W97,Z97,AC97,AF97,AI97,AL97,AO97,AR97,AU97,AX97,BA97)=0,"",MAX(T97,W97,Z97,AC97,AF97,AI97,AL97,AO97,AR97,AU97,AX97,BA97))</f>
        <v/>
      </c>
      <c r="BG97" s="10">
        <f>MID(IF(S97="","",", "&amp;S97)&amp;IF(V97="","",", "&amp;V97)&amp;IF(Y97="","",", "&amp;Y97)&amp;IF(AB97="","",", "&amp;AB97)&amp;IF(AE97="","",", "&amp;AE97)&amp;IF(AH97="","",", "&amp;AH97)&amp;IF(AK97="","",", "&amp;AK97)&amp;IF(AN97="","",", "&amp;AN97)&amp;IF(AQ97="","",", "&amp;AQ97)&amp;IF(AT97="","",", "&amp;AT97)&amp;IF(AW97="","",", "&amp;AW97)&amp;IF(AZ97="","",", "&amp;AZ97),3,500)</f>
        <v/>
      </c>
      <c r="BH97" s="12" t="n"/>
      <c r="BI97" s="15">
        <f>IFERROR(MATCH($A97,IF($B97="Onsite",tbl_Onsite[Row ID],IF($B97="Production",tbl_Production[Row ID],tbl_Consulting[Row ID])),0),"")</f>
        <v/>
      </c>
    </row>
    <row r="98">
      <c r="A98" s="10" t="inlineStr">
        <is>
          <t>ONS-0092</t>
        </is>
      </c>
      <c r="B98" s="10" t="inlineStr">
        <is>
          <t>Onsite</t>
        </is>
      </c>
      <c r="C98" s="10">
        <f>IF($BI98="","",IF($B98="Onsite",INDEX(tbl_Onsite[Job Number],$BI98),IF($B98="Production",INDEX(tbl_Production[Job Number],$BI98),INDEX(tbl_Consulting[Job Number],$BI98)))&amp;"")</f>
        <v/>
      </c>
      <c r="D98" s="10">
        <f>IF($BI98="","",IF($B98="Onsite",INDEX(tbl_Onsite[Client],$BI98),IF($B98="Production",INDEX(tbl_Production[Client],$BI98),INDEX(tbl_Consulting[Client],$BI98)))&amp;"")</f>
        <v/>
      </c>
      <c r="E98" s="10">
        <f>IF($C98="","",IF(COUNTIF(lst_Jobs,$C98)&gt;0,"OK","CHECK"))</f>
        <v/>
      </c>
      <c r="F98" s="10">
        <f>IF($C98="","",IFERROR(INDEX(lst_JobName,MATCH($C98,lst_Jobs,0)),""))</f>
        <v/>
      </c>
      <c r="G98" s="10">
        <f>IF($BI98="","",IF($B98="Onsite",INDEX(tbl_Onsite[Job Description],$BI98),IF($B98="Production",INDEX(tbl_Production[Job Description],$BI98),INDEX(tbl_Consulting[Job Description],$BI98)))&amp;"")</f>
        <v/>
      </c>
      <c r="H98" s="10">
        <f>IF($BI98="","",IF($B98="Onsite",INDEX(tbl_Onsite[Cost Centre],$BI98),IF($B98="Production",INDEX(tbl_Production[Cost Centre],$BI98),INDEX(tbl_Consulting[Cost Centre],$BI98)))&amp;"")</f>
        <v/>
      </c>
      <c r="I98" s="10">
        <f>IF($BI98="","",IF($B98="Onsite",INDEX(tbl_Onsite[Invoice Type],$BI98),IF($B98="Production",INDEX(tbl_Production[Invoice Type],$BI98),INDEX(tbl_Consulting[Invoice Type],$BI98)))&amp;"")</f>
        <v/>
      </c>
      <c r="J98" s="10">
        <f>IF($BI98="","",IF($B98="Onsite",INDEX(tbl_Onsite[Tax Code],$BI98),IF($B98="Production",INDEX(tbl_Production[Tax Code],$BI98),INDEX(tbl_Consulting[Tax Code],$BI98)))&amp;"")</f>
        <v/>
      </c>
      <c r="K98" s="10">
        <f>IF(H98="","",IFERROR(INDEX(lst_CCtoGL,MATCH(H98,lst_CCforGL,0)),""))</f>
        <v/>
      </c>
      <c r="L98" s="10">
        <f>IF($BI98="","",IF($B98="Onsite",INDEX(tbl_Onsite[PO / Reference],$BI98),IF($B98="Production",INDEX(tbl_Production[Current RMS No],$BI98),INDEX(tbl_Consulting[Qwilr Quote],$BI98)))&amp;"")</f>
        <v/>
      </c>
      <c r="M98" s="10">
        <f>IF($BI98="","",IF($B98="Onsite",INDEX(tbl_Onsite[Notes],$BI98),IF($B98="Production",INDEX(tbl_Production[Notes],$BI98),INDEX(tbl_Consulting[Notes],$BI98)))&amp;"")</f>
        <v/>
      </c>
      <c r="N98" s="11">
        <f>IF($BI98="","",IF(IF($B98="Onsite",INDEX(tbl_Onsite[Expected Revenue Ex GST],$BI98),IF($B98="Production",INDEX(tbl_Production[Expected Revenue Ex GST],$BI98),INDEX(tbl_Consulting[Expected Revenue Ex GST],$BI98)))="","",IF($B98="Onsite",INDEX(tbl_Onsite[Expected Revenue Ex GST],$BI98),IF($B98="Production",INDEX(tbl_Production[Expected Revenue Ex GST],$BI98),INDEX(tbl_Consulting[Expected Revenue Ex GST],$BI98)))))</f>
        <v/>
      </c>
      <c r="O98" s="11">
        <f>IF(AND($C98="",NOT(COUNTA($S98:$BB98)&gt;0)),"",SUM(U98,X98,AA98,AD98,AG98,AJ98,AM98,AP98,AS98,AV98,AY98,BB98))</f>
        <v/>
      </c>
      <c r="P98" s="11">
        <f>IF(O98="","",N(N98)-O98)</f>
        <v/>
      </c>
      <c r="Q98" s="10">
        <f>IF(O98="","",IF($C98="","Invoice on empty job row",IF(N98="",IF(ROUND(O98,2)=0,"No dept value","Invoiced - no dept value"),IF(ROUND(O98,2)=0,"Not invoiced - to invoice",IF(ROUND(P98,2)=0,"Agrees",IF(P98&gt;0,"Dept higher - to invoice","Xero higher - check dept"))))))</f>
        <v/>
      </c>
      <c r="R98" s="10">
        <f>IF(AND($C98="",NOT(COUNTA($S98:$BB98)&gt;0),$BI98&lt;&gt;""),"",MID(IF($BI98="","; Row ID not found on the department sheet - a row was deleted","")&amp;IF(AND($C98="",COUNTA($S98:$BB98)&gt;0),"; Invoice entered but the department row has no job number","")&amp;IF(E98="CHECK","; Job number not in the Xero job list","")&amp;IF(AND($C98&lt;&gt;"",COUNTIF($C$7:$C$1506,$C98)&gt;1),"; Job number on more than one row","")&amp;IF(AND($C98&lt;&gt;"",H98=""),"; Dept has not set a cost centre","")&amp;IF(AND($C98&lt;&gt;"",J98=""),"; Dept has not set a tax code","")&amp;IF(AND($C98&lt;&gt;"",N98=""),"; Dept has not entered an expected value","")&amp;IF((IF(OR(COUNTA(S98:U98)=0,AND(COUNTA(S98:U98)=3,ISNUMBER(U98))),0,1)+IF(OR(COUNTA(V98:X98)=0,AND(COUNTA(V98:X98)=3,ISNUMBER(X98))),0,1)+IF(OR(COUNTA(Y98:AA98)=0,AND(COUNTA(Y98:AA98)=3,ISNUMBER(AA98))),0,1)+IF(OR(COUNTA(AB98:AD98)=0,AND(COUNTA(AB98:AD98)=3,ISNUMBER(AD98))),0,1)+IF(OR(COUNTA(AE98:AG98)=0,AND(COUNTA(AE98:AG98)=3,ISNUMBER(AG98))),0,1)+IF(OR(COUNTA(AH98:AJ98)=0,AND(COUNTA(AH98:AJ98)=3,ISNUMBER(AJ98))),0,1)+IF(OR(COUNTA(AK98:AM98)=0,AND(COUNTA(AK98:AM98)=3,ISNUMBER(AM98))),0,1)+IF(OR(COUNTA(AN98:AP98)=0,AND(COUNTA(AN98:AP98)=3,ISNUMBER(AP98))),0,1)+IF(OR(COUNTA(AQ98:AS98)=0,AND(COUNTA(AQ98:AS98)=3,ISNUMBER(AS98))),0,1)+IF(OR(COUNTA(AT98:AV98)=0,AND(COUNTA(AT98:AV98)=3,ISNUMBER(AV98))),0,1)+IF(OR(COUNTA(AW98:AY98)=0,AND(COUNTA(AW98:AY98)=3,ISNUMBER(AY98))),0,1)+IF(OR(COUNTA(AZ98:BB98)=0,AND(COUNTA(AZ98:BB98)=3,ISNUMBER(BB98))),0,1))&gt;0,"; An invoice is incomplete (needs No, Date and a number in Ex GST)","")&amp;IF((IF(T98="",0,IFERROR(--(EOMONTH(T98,0)&lt;&gt;S$5),1))+IF(W98="",0,IFERROR(--(EOMONTH(W98,0)&lt;&gt;V$5),1))+IF(Z98="",0,IFERROR(--(EOMONTH(Z98,0)&lt;&gt;Y$5),1))+IF(AC98="",0,IFERROR(--(EOMONTH(AC98,0)&lt;&gt;AB$5),1))+IF(AF98="",0,IFERROR(--(EOMONTH(AF98,0)&lt;&gt;AE$5),1))+IF(AI98="",0,IFERROR(--(EOMONTH(AI98,0)&lt;&gt;AH$5),1))+IF(AL98="",0,IFERROR(--(EOMONTH(AL98,0)&lt;&gt;AK$5),1))+IF(AO98="",0,IFERROR(--(EOMONTH(AO98,0)&lt;&gt;AN$5),1))+IF(AR98="",0,IFERROR(--(EOMONTH(AR98,0)&lt;&gt;AQ$5),1))+IF(AU98="",0,IFERROR(--(EOMONTH(AU98,0)&lt;&gt;AT$5),1))+IF(AX98="",0,IFERROR(--(EOMONTH(AX98,0)&lt;&gt;AW$5),1))+IF(BA98="",0,IFERROR(--(EOMONTH(BA98,0)&lt;&gt;AZ$5),1)))&gt;0,"; An invoice date is not in the month it is typed under",""),3,500))</f>
        <v/>
      </c>
      <c r="S98" s="12" t="n"/>
      <c r="T98" s="13" t="n"/>
      <c r="U98" s="14" t="n"/>
      <c r="V98" s="12" t="n"/>
      <c r="W98" s="13" t="n"/>
      <c r="X98" s="14" t="n"/>
      <c r="Y98" s="12" t="n"/>
      <c r="Z98" s="13" t="n"/>
      <c r="AA98" s="14" t="n"/>
      <c r="AB98" s="12" t="n"/>
      <c r="AC98" s="13" t="n"/>
      <c r="AD98" s="14" t="n"/>
      <c r="AE98" s="12" t="n"/>
      <c r="AF98" s="13" t="n"/>
      <c r="AG98" s="14" t="n"/>
      <c r="AH98" s="12" t="n"/>
      <c r="AI98" s="13" t="n"/>
      <c r="AJ98" s="14" t="n"/>
      <c r="AK98" s="12" t="n"/>
      <c r="AL98" s="13" t="n"/>
      <c r="AM98" s="14" t="n"/>
      <c r="AN98" s="12" t="n"/>
      <c r="AO98" s="13" t="n"/>
      <c r="AP98" s="14" t="n"/>
      <c r="AQ98" s="12" t="n"/>
      <c r="AR98" s="13" t="n"/>
      <c r="AS98" s="14" t="n"/>
      <c r="AT98" s="12" t="n"/>
      <c r="AU98" s="13" t="n"/>
      <c r="AV98" s="14" t="n"/>
      <c r="AW98" s="12" t="n"/>
      <c r="AX98" s="13" t="n"/>
      <c r="AY98" s="14" t="n"/>
      <c r="AZ98" s="12" t="n"/>
      <c r="BA98" s="13" t="n"/>
      <c r="BB98" s="14" t="n"/>
      <c r="BC98" s="11">
        <f>IF(O98="","",IF(J98="GST 10%",ROUND(O98*set_GSTRate,2),0))</f>
        <v/>
      </c>
      <c r="BD98" s="11">
        <f>IF(O98="","",O98+BC98)</f>
        <v/>
      </c>
      <c r="BE98" s="15">
        <f>IF(O98="","",COUNTA(S98,V98,Y98,AB98,AE98,AH98,AK98,AN98,AQ98,AT98,AW98,AZ98))</f>
        <v/>
      </c>
      <c r="BF98" s="16">
        <f>IF(COUNT(T98,W98,Z98,AC98,AF98,AI98,AL98,AO98,AR98,AU98,AX98,BA98)=0,"",MAX(T98,W98,Z98,AC98,AF98,AI98,AL98,AO98,AR98,AU98,AX98,BA98))</f>
        <v/>
      </c>
      <c r="BG98" s="10">
        <f>MID(IF(S98="","",", "&amp;S98)&amp;IF(V98="","",", "&amp;V98)&amp;IF(Y98="","",", "&amp;Y98)&amp;IF(AB98="","",", "&amp;AB98)&amp;IF(AE98="","",", "&amp;AE98)&amp;IF(AH98="","",", "&amp;AH98)&amp;IF(AK98="","",", "&amp;AK98)&amp;IF(AN98="","",", "&amp;AN98)&amp;IF(AQ98="","",", "&amp;AQ98)&amp;IF(AT98="","",", "&amp;AT98)&amp;IF(AW98="","",", "&amp;AW98)&amp;IF(AZ98="","",", "&amp;AZ98),3,500)</f>
        <v/>
      </c>
      <c r="BH98" s="12" t="n"/>
      <c r="BI98" s="15">
        <f>IFERROR(MATCH($A98,IF($B98="Onsite",tbl_Onsite[Row ID],IF($B98="Production",tbl_Production[Row ID],tbl_Consulting[Row ID])),0),"")</f>
        <v/>
      </c>
    </row>
    <row r="99">
      <c r="A99" s="10" t="inlineStr">
        <is>
          <t>ONS-0093</t>
        </is>
      </c>
      <c r="B99" s="10" t="inlineStr">
        <is>
          <t>Onsite</t>
        </is>
      </c>
      <c r="C99" s="10">
        <f>IF($BI99="","",IF($B99="Onsite",INDEX(tbl_Onsite[Job Number],$BI99),IF($B99="Production",INDEX(tbl_Production[Job Number],$BI99),INDEX(tbl_Consulting[Job Number],$BI99)))&amp;"")</f>
        <v/>
      </c>
      <c r="D99" s="10">
        <f>IF($BI99="","",IF($B99="Onsite",INDEX(tbl_Onsite[Client],$BI99),IF($B99="Production",INDEX(tbl_Production[Client],$BI99),INDEX(tbl_Consulting[Client],$BI99)))&amp;"")</f>
        <v/>
      </c>
      <c r="E99" s="10">
        <f>IF($C99="","",IF(COUNTIF(lst_Jobs,$C99)&gt;0,"OK","CHECK"))</f>
        <v/>
      </c>
      <c r="F99" s="10">
        <f>IF($C99="","",IFERROR(INDEX(lst_JobName,MATCH($C99,lst_Jobs,0)),""))</f>
        <v/>
      </c>
      <c r="G99" s="10">
        <f>IF($BI99="","",IF($B99="Onsite",INDEX(tbl_Onsite[Job Description],$BI99),IF($B99="Production",INDEX(tbl_Production[Job Description],$BI99),INDEX(tbl_Consulting[Job Description],$BI99)))&amp;"")</f>
        <v/>
      </c>
      <c r="H99" s="10">
        <f>IF($BI99="","",IF($B99="Onsite",INDEX(tbl_Onsite[Cost Centre],$BI99),IF($B99="Production",INDEX(tbl_Production[Cost Centre],$BI99),INDEX(tbl_Consulting[Cost Centre],$BI99)))&amp;"")</f>
        <v/>
      </c>
      <c r="I99" s="10">
        <f>IF($BI99="","",IF($B99="Onsite",INDEX(tbl_Onsite[Invoice Type],$BI99),IF($B99="Production",INDEX(tbl_Production[Invoice Type],$BI99),INDEX(tbl_Consulting[Invoice Type],$BI99)))&amp;"")</f>
        <v/>
      </c>
      <c r="J99" s="10">
        <f>IF($BI99="","",IF($B99="Onsite",INDEX(tbl_Onsite[Tax Code],$BI99),IF($B99="Production",INDEX(tbl_Production[Tax Code],$BI99),INDEX(tbl_Consulting[Tax Code],$BI99)))&amp;"")</f>
        <v/>
      </c>
      <c r="K99" s="10">
        <f>IF(H99="","",IFERROR(INDEX(lst_CCtoGL,MATCH(H99,lst_CCforGL,0)),""))</f>
        <v/>
      </c>
      <c r="L99" s="10">
        <f>IF($BI99="","",IF($B99="Onsite",INDEX(tbl_Onsite[PO / Reference],$BI99),IF($B99="Production",INDEX(tbl_Production[Current RMS No],$BI99),INDEX(tbl_Consulting[Qwilr Quote],$BI99)))&amp;"")</f>
        <v/>
      </c>
      <c r="M99" s="10">
        <f>IF($BI99="","",IF($B99="Onsite",INDEX(tbl_Onsite[Notes],$BI99),IF($B99="Production",INDEX(tbl_Production[Notes],$BI99),INDEX(tbl_Consulting[Notes],$BI99)))&amp;"")</f>
        <v/>
      </c>
      <c r="N99" s="11">
        <f>IF($BI99="","",IF(IF($B99="Onsite",INDEX(tbl_Onsite[Expected Revenue Ex GST],$BI99),IF($B99="Production",INDEX(tbl_Production[Expected Revenue Ex GST],$BI99),INDEX(tbl_Consulting[Expected Revenue Ex GST],$BI99)))="","",IF($B99="Onsite",INDEX(tbl_Onsite[Expected Revenue Ex GST],$BI99),IF($B99="Production",INDEX(tbl_Production[Expected Revenue Ex GST],$BI99),INDEX(tbl_Consulting[Expected Revenue Ex GST],$BI99)))))</f>
        <v/>
      </c>
      <c r="O99" s="11">
        <f>IF(AND($C99="",NOT(COUNTA($S99:$BB99)&gt;0)),"",SUM(U99,X99,AA99,AD99,AG99,AJ99,AM99,AP99,AS99,AV99,AY99,BB99))</f>
        <v/>
      </c>
      <c r="P99" s="11">
        <f>IF(O99="","",N(N99)-O99)</f>
        <v/>
      </c>
      <c r="Q99" s="10">
        <f>IF(O99="","",IF($C99="","Invoice on empty job row",IF(N99="",IF(ROUND(O99,2)=0,"No dept value","Invoiced - no dept value"),IF(ROUND(O99,2)=0,"Not invoiced - to invoice",IF(ROUND(P99,2)=0,"Agrees",IF(P99&gt;0,"Dept higher - to invoice","Xero higher - check dept"))))))</f>
        <v/>
      </c>
      <c r="R99" s="10">
        <f>IF(AND($C99="",NOT(COUNTA($S99:$BB99)&gt;0),$BI99&lt;&gt;""),"",MID(IF($BI99="","; Row ID not found on the department sheet - a row was deleted","")&amp;IF(AND($C99="",COUNTA($S99:$BB99)&gt;0),"; Invoice entered but the department row has no job number","")&amp;IF(E99="CHECK","; Job number not in the Xero job list","")&amp;IF(AND($C99&lt;&gt;"",COUNTIF($C$7:$C$1506,$C99)&gt;1),"; Job number on more than one row","")&amp;IF(AND($C99&lt;&gt;"",H99=""),"; Dept has not set a cost centre","")&amp;IF(AND($C99&lt;&gt;"",J99=""),"; Dept has not set a tax code","")&amp;IF(AND($C99&lt;&gt;"",N99=""),"; Dept has not entered an expected value","")&amp;IF((IF(OR(COUNTA(S99:U99)=0,AND(COUNTA(S99:U99)=3,ISNUMBER(U99))),0,1)+IF(OR(COUNTA(V99:X99)=0,AND(COUNTA(V99:X99)=3,ISNUMBER(X99))),0,1)+IF(OR(COUNTA(Y99:AA99)=0,AND(COUNTA(Y99:AA99)=3,ISNUMBER(AA99))),0,1)+IF(OR(COUNTA(AB99:AD99)=0,AND(COUNTA(AB99:AD99)=3,ISNUMBER(AD99))),0,1)+IF(OR(COUNTA(AE99:AG99)=0,AND(COUNTA(AE99:AG99)=3,ISNUMBER(AG99))),0,1)+IF(OR(COUNTA(AH99:AJ99)=0,AND(COUNTA(AH99:AJ99)=3,ISNUMBER(AJ99))),0,1)+IF(OR(COUNTA(AK99:AM99)=0,AND(COUNTA(AK99:AM99)=3,ISNUMBER(AM99))),0,1)+IF(OR(COUNTA(AN99:AP99)=0,AND(COUNTA(AN99:AP99)=3,ISNUMBER(AP99))),0,1)+IF(OR(COUNTA(AQ99:AS99)=0,AND(COUNTA(AQ99:AS99)=3,ISNUMBER(AS99))),0,1)+IF(OR(COUNTA(AT99:AV99)=0,AND(COUNTA(AT99:AV99)=3,ISNUMBER(AV99))),0,1)+IF(OR(COUNTA(AW99:AY99)=0,AND(COUNTA(AW99:AY99)=3,ISNUMBER(AY99))),0,1)+IF(OR(COUNTA(AZ99:BB99)=0,AND(COUNTA(AZ99:BB99)=3,ISNUMBER(BB99))),0,1))&gt;0,"; An invoice is incomplete (needs No, Date and a number in Ex GST)","")&amp;IF((IF(T99="",0,IFERROR(--(EOMONTH(T99,0)&lt;&gt;S$5),1))+IF(W99="",0,IFERROR(--(EOMONTH(W99,0)&lt;&gt;V$5),1))+IF(Z99="",0,IFERROR(--(EOMONTH(Z99,0)&lt;&gt;Y$5),1))+IF(AC99="",0,IFERROR(--(EOMONTH(AC99,0)&lt;&gt;AB$5),1))+IF(AF99="",0,IFERROR(--(EOMONTH(AF99,0)&lt;&gt;AE$5),1))+IF(AI99="",0,IFERROR(--(EOMONTH(AI99,0)&lt;&gt;AH$5),1))+IF(AL99="",0,IFERROR(--(EOMONTH(AL99,0)&lt;&gt;AK$5),1))+IF(AO99="",0,IFERROR(--(EOMONTH(AO99,0)&lt;&gt;AN$5),1))+IF(AR99="",0,IFERROR(--(EOMONTH(AR99,0)&lt;&gt;AQ$5),1))+IF(AU99="",0,IFERROR(--(EOMONTH(AU99,0)&lt;&gt;AT$5),1))+IF(AX99="",0,IFERROR(--(EOMONTH(AX99,0)&lt;&gt;AW$5),1))+IF(BA99="",0,IFERROR(--(EOMONTH(BA99,0)&lt;&gt;AZ$5),1)))&gt;0,"; An invoice date is not in the month it is typed under",""),3,500))</f>
        <v/>
      </c>
      <c r="S99" s="12" t="n"/>
      <c r="T99" s="13" t="n"/>
      <c r="U99" s="14" t="n"/>
      <c r="V99" s="12" t="n"/>
      <c r="W99" s="13" t="n"/>
      <c r="X99" s="14" t="n"/>
      <c r="Y99" s="12" t="n"/>
      <c r="Z99" s="13" t="n"/>
      <c r="AA99" s="14" t="n"/>
      <c r="AB99" s="12" t="n"/>
      <c r="AC99" s="13" t="n"/>
      <c r="AD99" s="14" t="n"/>
      <c r="AE99" s="12" t="n"/>
      <c r="AF99" s="13" t="n"/>
      <c r="AG99" s="14" t="n"/>
      <c r="AH99" s="12" t="n"/>
      <c r="AI99" s="13" t="n"/>
      <c r="AJ99" s="14" t="n"/>
      <c r="AK99" s="12" t="n"/>
      <c r="AL99" s="13" t="n"/>
      <c r="AM99" s="14" t="n"/>
      <c r="AN99" s="12" t="n"/>
      <c r="AO99" s="13" t="n"/>
      <c r="AP99" s="14" t="n"/>
      <c r="AQ99" s="12" t="n"/>
      <c r="AR99" s="13" t="n"/>
      <c r="AS99" s="14" t="n"/>
      <c r="AT99" s="12" t="n"/>
      <c r="AU99" s="13" t="n"/>
      <c r="AV99" s="14" t="n"/>
      <c r="AW99" s="12" t="n"/>
      <c r="AX99" s="13" t="n"/>
      <c r="AY99" s="14" t="n"/>
      <c r="AZ99" s="12" t="n"/>
      <c r="BA99" s="13" t="n"/>
      <c r="BB99" s="14" t="n"/>
      <c r="BC99" s="11">
        <f>IF(O99="","",IF(J99="GST 10%",ROUND(O99*set_GSTRate,2),0))</f>
        <v/>
      </c>
      <c r="BD99" s="11">
        <f>IF(O99="","",O99+BC99)</f>
        <v/>
      </c>
      <c r="BE99" s="15">
        <f>IF(O99="","",COUNTA(S99,V99,Y99,AB99,AE99,AH99,AK99,AN99,AQ99,AT99,AW99,AZ99))</f>
        <v/>
      </c>
      <c r="BF99" s="16">
        <f>IF(COUNT(T99,W99,Z99,AC99,AF99,AI99,AL99,AO99,AR99,AU99,AX99,BA99)=0,"",MAX(T99,W99,Z99,AC99,AF99,AI99,AL99,AO99,AR99,AU99,AX99,BA99))</f>
        <v/>
      </c>
      <c r="BG99" s="10">
        <f>MID(IF(S99="","",", "&amp;S99)&amp;IF(V99="","",", "&amp;V99)&amp;IF(Y99="","",", "&amp;Y99)&amp;IF(AB99="","",", "&amp;AB99)&amp;IF(AE99="","",", "&amp;AE99)&amp;IF(AH99="","",", "&amp;AH99)&amp;IF(AK99="","",", "&amp;AK99)&amp;IF(AN99="","",", "&amp;AN99)&amp;IF(AQ99="","",", "&amp;AQ99)&amp;IF(AT99="","",", "&amp;AT99)&amp;IF(AW99="","",", "&amp;AW99)&amp;IF(AZ99="","",", "&amp;AZ99),3,500)</f>
        <v/>
      </c>
      <c r="BH99" s="12" t="n"/>
      <c r="BI99" s="15">
        <f>IFERROR(MATCH($A99,IF($B99="Onsite",tbl_Onsite[Row ID],IF($B99="Production",tbl_Production[Row ID],tbl_Consulting[Row ID])),0),"")</f>
        <v/>
      </c>
    </row>
    <row r="100">
      <c r="A100" s="10" t="inlineStr">
        <is>
          <t>ONS-0094</t>
        </is>
      </c>
      <c r="B100" s="10" t="inlineStr">
        <is>
          <t>Onsite</t>
        </is>
      </c>
      <c r="C100" s="10">
        <f>IF($BI100="","",IF($B100="Onsite",INDEX(tbl_Onsite[Job Number],$BI100),IF($B100="Production",INDEX(tbl_Production[Job Number],$BI100),INDEX(tbl_Consulting[Job Number],$BI100)))&amp;"")</f>
        <v/>
      </c>
      <c r="D100" s="10">
        <f>IF($BI100="","",IF($B100="Onsite",INDEX(tbl_Onsite[Client],$BI100),IF($B100="Production",INDEX(tbl_Production[Client],$BI100),INDEX(tbl_Consulting[Client],$BI100)))&amp;"")</f>
        <v/>
      </c>
      <c r="E100" s="10">
        <f>IF($C100="","",IF(COUNTIF(lst_Jobs,$C100)&gt;0,"OK","CHECK"))</f>
        <v/>
      </c>
      <c r="F100" s="10">
        <f>IF($C100="","",IFERROR(INDEX(lst_JobName,MATCH($C100,lst_Jobs,0)),""))</f>
        <v/>
      </c>
      <c r="G100" s="10">
        <f>IF($BI100="","",IF($B100="Onsite",INDEX(tbl_Onsite[Job Description],$BI100),IF($B100="Production",INDEX(tbl_Production[Job Description],$BI100),INDEX(tbl_Consulting[Job Description],$BI100)))&amp;"")</f>
        <v/>
      </c>
      <c r="H100" s="10">
        <f>IF($BI100="","",IF($B100="Onsite",INDEX(tbl_Onsite[Cost Centre],$BI100),IF($B100="Production",INDEX(tbl_Production[Cost Centre],$BI100),INDEX(tbl_Consulting[Cost Centre],$BI100)))&amp;"")</f>
        <v/>
      </c>
      <c r="I100" s="10">
        <f>IF($BI100="","",IF($B100="Onsite",INDEX(tbl_Onsite[Invoice Type],$BI100),IF($B100="Production",INDEX(tbl_Production[Invoice Type],$BI100),INDEX(tbl_Consulting[Invoice Type],$BI100)))&amp;"")</f>
        <v/>
      </c>
      <c r="J100" s="10">
        <f>IF($BI100="","",IF($B100="Onsite",INDEX(tbl_Onsite[Tax Code],$BI100),IF($B100="Production",INDEX(tbl_Production[Tax Code],$BI100),INDEX(tbl_Consulting[Tax Code],$BI100)))&amp;"")</f>
        <v/>
      </c>
      <c r="K100" s="10">
        <f>IF(H100="","",IFERROR(INDEX(lst_CCtoGL,MATCH(H100,lst_CCforGL,0)),""))</f>
        <v/>
      </c>
      <c r="L100" s="10">
        <f>IF($BI100="","",IF($B100="Onsite",INDEX(tbl_Onsite[PO / Reference],$BI100),IF($B100="Production",INDEX(tbl_Production[Current RMS No],$BI100),INDEX(tbl_Consulting[Qwilr Quote],$BI100)))&amp;"")</f>
        <v/>
      </c>
      <c r="M100" s="10">
        <f>IF($BI100="","",IF($B100="Onsite",INDEX(tbl_Onsite[Notes],$BI100),IF($B100="Production",INDEX(tbl_Production[Notes],$BI100),INDEX(tbl_Consulting[Notes],$BI100)))&amp;"")</f>
        <v/>
      </c>
      <c r="N100" s="11">
        <f>IF($BI100="","",IF(IF($B100="Onsite",INDEX(tbl_Onsite[Expected Revenue Ex GST],$BI100),IF($B100="Production",INDEX(tbl_Production[Expected Revenue Ex GST],$BI100),INDEX(tbl_Consulting[Expected Revenue Ex GST],$BI100)))="","",IF($B100="Onsite",INDEX(tbl_Onsite[Expected Revenue Ex GST],$BI100),IF($B100="Production",INDEX(tbl_Production[Expected Revenue Ex GST],$BI100),INDEX(tbl_Consulting[Expected Revenue Ex GST],$BI100)))))</f>
        <v/>
      </c>
      <c r="O100" s="11">
        <f>IF(AND($C100="",NOT(COUNTA($S100:$BB100)&gt;0)),"",SUM(U100,X100,AA100,AD100,AG100,AJ100,AM100,AP100,AS100,AV100,AY100,BB100))</f>
        <v/>
      </c>
      <c r="P100" s="11">
        <f>IF(O100="","",N(N100)-O100)</f>
        <v/>
      </c>
      <c r="Q100" s="10">
        <f>IF(O100="","",IF($C100="","Invoice on empty job row",IF(N100="",IF(ROUND(O100,2)=0,"No dept value","Invoiced - no dept value"),IF(ROUND(O100,2)=0,"Not invoiced - to invoice",IF(ROUND(P100,2)=0,"Agrees",IF(P100&gt;0,"Dept higher - to invoice","Xero higher - check dept"))))))</f>
        <v/>
      </c>
      <c r="R100" s="10">
        <f>IF(AND($C100="",NOT(COUNTA($S100:$BB100)&gt;0),$BI100&lt;&gt;""),"",MID(IF($BI100="","; Row ID not found on the department sheet - a row was deleted","")&amp;IF(AND($C100="",COUNTA($S100:$BB100)&gt;0),"; Invoice entered but the department row has no job number","")&amp;IF(E100="CHECK","; Job number not in the Xero job list","")&amp;IF(AND($C100&lt;&gt;"",COUNTIF($C$7:$C$1506,$C100)&gt;1),"; Job number on more than one row","")&amp;IF(AND($C100&lt;&gt;"",H100=""),"; Dept has not set a cost centre","")&amp;IF(AND($C100&lt;&gt;"",J100=""),"; Dept has not set a tax code","")&amp;IF(AND($C100&lt;&gt;"",N100=""),"; Dept has not entered an expected value","")&amp;IF((IF(OR(COUNTA(S100:U100)=0,AND(COUNTA(S100:U100)=3,ISNUMBER(U100))),0,1)+IF(OR(COUNTA(V100:X100)=0,AND(COUNTA(V100:X100)=3,ISNUMBER(X100))),0,1)+IF(OR(COUNTA(Y100:AA100)=0,AND(COUNTA(Y100:AA100)=3,ISNUMBER(AA100))),0,1)+IF(OR(COUNTA(AB100:AD100)=0,AND(COUNTA(AB100:AD100)=3,ISNUMBER(AD100))),0,1)+IF(OR(COUNTA(AE100:AG100)=0,AND(COUNTA(AE100:AG100)=3,ISNUMBER(AG100))),0,1)+IF(OR(COUNTA(AH100:AJ100)=0,AND(COUNTA(AH100:AJ100)=3,ISNUMBER(AJ100))),0,1)+IF(OR(COUNTA(AK100:AM100)=0,AND(COUNTA(AK100:AM100)=3,ISNUMBER(AM100))),0,1)+IF(OR(COUNTA(AN100:AP100)=0,AND(COUNTA(AN100:AP100)=3,ISNUMBER(AP100))),0,1)+IF(OR(COUNTA(AQ100:AS100)=0,AND(COUNTA(AQ100:AS100)=3,ISNUMBER(AS100))),0,1)+IF(OR(COUNTA(AT100:AV100)=0,AND(COUNTA(AT100:AV100)=3,ISNUMBER(AV100))),0,1)+IF(OR(COUNTA(AW100:AY100)=0,AND(COUNTA(AW100:AY100)=3,ISNUMBER(AY100))),0,1)+IF(OR(COUNTA(AZ100:BB100)=0,AND(COUNTA(AZ100:BB100)=3,ISNUMBER(BB100))),0,1))&gt;0,"; An invoice is incomplete (needs No, Date and a number in Ex GST)","")&amp;IF((IF(T100="",0,IFERROR(--(EOMONTH(T100,0)&lt;&gt;S$5),1))+IF(W100="",0,IFERROR(--(EOMONTH(W100,0)&lt;&gt;V$5),1))+IF(Z100="",0,IFERROR(--(EOMONTH(Z100,0)&lt;&gt;Y$5),1))+IF(AC100="",0,IFERROR(--(EOMONTH(AC100,0)&lt;&gt;AB$5),1))+IF(AF100="",0,IFERROR(--(EOMONTH(AF100,0)&lt;&gt;AE$5),1))+IF(AI100="",0,IFERROR(--(EOMONTH(AI100,0)&lt;&gt;AH$5),1))+IF(AL100="",0,IFERROR(--(EOMONTH(AL100,0)&lt;&gt;AK$5),1))+IF(AO100="",0,IFERROR(--(EOMONTH(AO100,0)&lt;&gt;AN$5),1))+IF(AR100="",0,IFERROR(--(EOMONTH(AR100,0)&lt;&gt;AQ$5),1))+IF(AU100="",0,IFERROR(--(EOMONTH(AU100,0)&lt;&gt;AT$5),1))+IF(AX100="",0,IFERROR(--(EOMONTH(AX100,0)&lt;&gt;AW$5),1))+IF(BA100="",0,IFERROR(--(EOMONTH(BA100,0)&lt;&gt;AZ$5),1)))&gt;0,"; An invoice date is not in the month it is typed under",""),3,500))</f>
        <v/>
      </c>
      <c r="S100" s="12" t="n"/>
      <c r="T100" s="13" t="n"/>
      <c r="U100" s="14" t="n"/>
      <c r="V100" s="12" t="n"/>
      <c r="W100" s="13" t="n"/>
      <c r="X100" s="14" t="n"/>
      <c r="Y100" s="12" t="n"/>
      <c r="Z100" s="13" t="n"/>
      <c r="AA100" s="14" t="n"/>
      <c r="AB100" s="12" t="n"/>
      <c r="AC100" s="13" t="n"/>
      <c r="AD100" s="14" t="n"/>
      <c r="AE100" s="12" t="n"/>
      <c r="AF100" s="13" t="n"/>
      <c r="AG100" s="14" t="n"/>
      <c r="AH100" s="12" t="n"/>
      <c r="AI100" s="13" t="n"/>
      <c r="AJ100" s="14" t="n"/>
      <c r="AK100" s="12" t="n"/>
      <c r="AL100" s="13" t="n"/>
      <c r="AM100" s="14" t="n"/>
      <c r="AN100" s="12" t="n"/>
      <c r="AO100" s="13" t="n"/>
      <c r="AP100" s="14" t="n"/>
      <c r="AQ100" s="12" t="n"/>
      <c r="AR100" s="13" t="n"/>
      <c r="AS100" s="14" t="n"/>
      <c r="AT100" s="12" t="n"/>
      <c r="AU100" s="13" t="n"/>
      <c r="AV100" s="14" t="n"/>
      <c r="AW100" s="12" t="n"/>
      <c r="AX100" s="13" t="n"/>
      <c r="AY100" s="14" t="n"/>
      <c r="AZ100" s="12" t="n"/>
      <c r="BA100" s="13" t="n"/>
      <c r="BB100" s="14" t="n"/>
      <c r="BC100" s="11">
        <f>IF(O100="","",IF(J100="GST 10%",ROUND(O100*set_GSTRate,2),0))</f>
        <v/>
      </c>
      <c r="BD100" s="11">
        <f>IF(O100="","",O100+BC100)</f>
        <v/>
      </c>
      <c r="BE100" s="15">
        <f>IF(O100="","",COUNTA(S100,V100,Y100,AB100,AE100,AH100,AK100,AN100,AQ100,AT100,AW100,AZ100))</f>
        <v/>
      </c>
      <c r="BF100" s="16">
        <f>IF(COUNT(T100,W100,Z100,AC100,AF100,AI100,AL100,AO100,AR100,AU100,AX100,BA100)=0,"",MAX(T100,W100,Z100,AC100,AF100,AI100,AL100,AO100,AR100,AU100,AX100,BA100))</f>
        <v/>
      </c>
      <c r="BG100" s="10">
        <f>MID(IF(S100="","",", "&amp;S100)&amp;IF(V100="","",", "&amp;V100)&amp;IF(Y100="","",", "&amp;Y100)&amp;IF(AB100="","",", "&amp;AB100)&amp;IF(AE100="","",", "&amp;AE100)&amp;IF(AH100="","",", "&amp;AH100)&amp;IF(AK100="","",", "&amp;AK100)&amp;IF(AN100="","",", "&amp;AN100)&amp;IF(AQ100="","",", "&amp;AQ100)&amp;IF(AT100="","",", "&amp;AT100)&amp;IF(AW100="","",", "&amp;AW100)&amp;IF(AZ100="","",", "&amp;AZ100),3,500)</f>
        <v/>
      </c>
      <c r="BH100" s="12" t="n"/>
      <c r="BI100" s="15">
        <f>IFERROR(MATCH($A100,IF($B100="Onsite",tbl_Onsite[Row ID],IF($B100="Production",tbl_Production[Row ID],tbl_Consulting[Row ID])),0),"")</f>
        <v/>
      </c>
    </row>
    <row r="101">
      <c r="A101" s="10" t="inlineStr">
        <is>
          <t>ONS-0095</t>
        </is>
      </c>
      <c r="B101" s="10" t="inlineStr">
        <is>
          <t>Onsite</t>
        </is>
      </c>
      <c r="C101" s="10">
        <f>IF($BI101="","",IF($B101="Onsite",INDEX(tbl_Onsite[Job Number],$BI101),IF($B101="Production",INDEX(tbl_Production[Job Number],$BI101),INDEX(tbl_Consulting[Job Number],$BI101)))&amp;"")</f>
        <v/>
      </c>
      <c r="D101" s="10">
        <f>IF($BI101="","",IF($B101="Onsite",INDEX(tbl_Onsite[Client],$BI101),IF($B101="Production",INDEX(tbl_Production[Client],$BI101),INDEX(tbl_Consulting[Client],$BI101)))&amp;"")</f>
        <v/>
      </c>
      <c r="E101" s="10">
        <f>IF($C101="","",IF(COUNTIF(lst_Jobs,$C101)&gt;0,"OK","CHECK"))</f>
        <v/>
      </c>
      <c r="F101" s="10">
        <f>IF($C101="","",IFERROR(INDEX(lst_JobName,MATCH($C101,lst_Jobs,0)),""))</f>
        <v/>
      </c>
      <c r="G101" s="10">
        <f>IF($BI101="","",IF($B101="Onsite",INDEX(tbl_Onsite[Job Description],$BI101),IF($B101="Production",INDEX(tbl_Production[Job Description],$BI101),INDEX(tbl_Consulting[Job Description],$BI101)))&amp;"")</f>
        <v/>
      </c>
      <c r="H101" s="10">
        <f>IF($BI101="","",IF($B101="Onsite",INDEX(tbl_Onsite[Cost Centre],$BI101),IF($B101="Production",INDEX(tbl_Production[Cost Centre],$BI101),INDEX(tbl_Consulting[Cost Centre],$BI101)))&amp;"")</f>
        <v/>
      </c>
      <c r="I101" s="10">
        <f>IF($BI101="","",IF($B101="Onsite",INDEX(tbl_Onsite[Invoice Type],$BI101),IF($B101="Production",INDEX(tbl_Production[Invoice Type],$BI101),INDEX(tbl_Consulting[Invoice Type],$BI101)))&amp;"")</f>
        <v/>
      </c>
      <c r="J101" s="10">
        <f>IF($BI101="","",IF($B101="Onsite",INDEX(tbl_Onsite[Tax Code],$BI101),IF($B101="Production",INDEX(tbl_Production[Tax Code],$BI101),INDEX(tbl_Consulting[Tax Code],$BI101)))&amp;"")</f>
        <v/>
      </c>
      <c r="K101" s="10">
        <f>IF(H101="","",IFERROR(INDEX(lst_CCtoGL,MATCH(H101,lst_CCforGL,0)),""))</f>
        <v/>
      </c>
      <c r="L101" s="10">
        <f>IF($BI101="","",IF($B101="Onsite",INDEX(tbl_Onsite[PO / Reference],$BI101),IF($B101="Production",INDEX(tbl_Production[Current RMS No],$BI101),INDEX(tbl_Consulting[Qwilr Quote],$BI101)))&amp;"")</f>
        <v/>
      </c>
      <c r="M101" s="10">
        <f>IF($BI101="","",IF($B101="Onsite",INDEX(tbl_Onsite[Notes],$BI101),IF($B101="Production",INDEX(tbl_Production[Notes],$BI101),INDEX(tbl_Consulting[Notes],$BI101)))&amp;"")</f>
        <v/>
      </c>
      <c r="N101" s="11">
        <f>IF($BI101="","",IF(IF($B101="Onsite",INDEX(tbl_Onsite[Expected Revenue Ex GST],$BI101),IF($B101="Production",INDEX(tbl_Production[Expected Revenue Ex GST],$BI101),INDEX(tbl_Consulting[Expected Revenue Ex GST],$BI101)))="","",IF($B101="Onsite",INDEX(tbl_Onsite[Expected Revenue Ex GST],$BI101),IF($B101="Production",INDEX(tbl_Production[Expected Revenue Ex GST],$BI101),INDEX(tbl_Consulting[Expected Revenue Ex GST],$BI101)))))</f>
        <v/>
      </c>
      <c r="O101" s="11">
        <f>IF(AND($C101="",NOT(COUNTA($S101:$BB101)&gt;0)),"",SUM(U101,X101,AA101,AD101,AG101,AJ101,AM101,AP101,AS101,AV101,AY101,BB101))</f>
        <v/>
      </c>
      <c r="P101" s="11">
        <f>IF(O101="","",N(N101)-O101)</f>
        <v/>
      </c>
      <c r="Q101" s="10">
        <f>IF(O101="","",IF($C101="","Invoice on empty job row",IF(N101="",IF(ROUND(O101,2)=0,"No dept value","Invoiced - no dept value"),IF(ROUND(O101,2)=0,"Not invoiced - to invoice",IF(ROUND(P101,2)=0,"Agrees",IF(P101&gt;0,"Dept higher - to invoice","Xero higher - check dept"))))))</f>
        <v/>
      </c>
      <c r="R101" s="10">
        <f>IF(AND($C101="",NOT(COUNTA($S101:$BB101)&gt;0),$BI101&lt;&gt;""),"",MID(IF($BI101="","; Row ID not found on the department sheet - a row was deleted","")&amp;IF(AND($C101="",COUNTA($S101:$BB101)&gt;0),"; Invoice entered but the department row has no job number","")&amp;IF(E101="CHECK","; Job number not in the Xero job list","")&amp;IF(AND($C101&lt;&gt;"",COUNTIF($C$7:$C$1506,$C101)&gt;1),"; Job number on more than one row","")&amp;IF(AND($C101&lt;&gt;"",H101=""),"; Dept has not set a cost centre","")&amp;IF(AND($C101&lt;&gt;"",J101=""),"; Dept has not set a tax code","")&amp;IF(AND($C101&lt;&gt;"",N101=""),"; Dept has not entered an expected value","")&amp;IF((IF(OR(COUNTA(S101:U101)=0,AND(COUNTA(S101:U101)=3,ISNUMBER(U101))),0,1)+IF(OR(COUNTA(V101:X101)=0,AND(COUNTA(V101:X101)=3,ISNUMBER(X101))),0,1)+IF(OR(COUNTA(Y101:AA101)=0,AND(COUNTA(Y101:AA101)=3,ISNUMBER(AA101))),0,1)+IF(OR(COUNTA(AB101:AD101)=0,AND(COUNTA(AB101:AD101)=3,ISNUMBER(AD101))),0,1)+IF(OR(COUNTA(AE101:AG101)=0,AND(COUNTA(AE101:AG101)=3,ISNUMBER(AG101))),0,1)+IF(OR(COUNTA(AH101:AJ101)=0,AND(COUNTA(AH101:AJ101)=3,ISNUMBER(AJ101))),0,1)+IF(OR(COUNTA(AK101:AM101)=0,AND(COUNTA(AK101:AM101)=3,ISNUMBER(AM101))),0,1)+IF(OR(COUNTA(AN101:AP101)=0,AND(COUNTA(AN101:AP101)=3,ISNUMBER(AP101))),0,1)+IF(OR(COUNTA(AQ101:AS101)=0,AND(COUNTA(AQ101:AS101)=3,ISNUMBER(AS101))),0,1)+IF(OR(COUNTA(AT101:AV101)=0,AND(COUNTA(AT101:AV101)=3,ISNUMBER(AV101))),0,1)+IF(OR(COUNTA(AW101:AY101)=0,AND(COUNTA(AW101:AY101)=3,ISNUMBER(AY101))),0,1)+IF(OR(COUNTA(AZ101:BB101)=0,AND(COUNTA(AZ101:BB101)=3,ISNUMBER(BB101))),0,1))&gt;0,"; An invoice is incomplete (needs No, Date and a number in Ex GST)","")&amp;IF((IF(T101="",0,IFERROR(--(EOMONTH(T101,0)&lt;&gt;S$5),1))+IF(W101="",0,IFERROR(--(EOMONTH(W101,0)&lt;&gt;V$5),1))+IF(Z101="",0,IFERROR(--(EOMONTH(Z101,0)&lt;&gt;Y$5),1))+IF(AC101="",0,IFERROR(--(EOMONTH(AC101,0)&lt;&gt;AB$5),1))+IF(AF101="",0,IFERROR(--(EOMONTH(AF101,0)&lt;&gt;AE$5),1))+IF(AI101="",0,IFERROR(--(EOMONTH(AI101,0)&lt;&gt;AH$5),1))+IF(AL101="",0,IFERROR(--(EOMONTH(AL101,0)&lt;&gt;AK$5),1))+IF(AO101="",0,IFERROR(--(EOMONTH(AO101,0)&lt;&gt;AN$5),1))+IF(AR101="",0,IFERROR(--(EOMONTH(AR101,0)&lt;&gt;AQ$5),1))+IF(AU101="",0,IFERROR(--(EOMONTH(AU101,0)&lt;&gt;AT$5),1))+IF(AX101="",0,IFERROR(--(EOMONTH(AX101,0)&lt;&gt;AW$5),1))+IF(BA101="",0,IFERROR(--(EOMONTH(BA101,0)&lt;&gt;AZ$5),1)))&gt;0,"; An invoice date is not in the month it is typed under",""),3,500))</f>
        <v/>
      </c>
      <c r="S101" s="12" t="n"/>
      <c r="T101" s="13" t="n"/>
      <c r="U101" s="14" t="n"/>
      <c r="V101" s="12" t="n"/>
      <c r="W101" s="13" t="n"/>
      <c r="X101" s="14" t="n"/>
      <c r="Y101" s="12" t="n"/>
      <c r="Z101" s="13" t="n"/>
      <c r="AA101" s="14" t="n"/>
      <c r="AB101" s="12" t="n"/>
      <c r="AC101" s="13" t="n"/>
      <c r="AD101" s="14" t="n"/>
      <c r="AE101" s="12" t="n"/>
      <c r="AF101" s="13" t="n"/>
      <c r="AG101" s="14" t="n"/>
      <c r="AH101" s="12" t="n"/>
      <c r="AI101" s="13" t="n"/>
      <c r="AJ101" s="14" t="n"/>
      <c r="AK101" s="12" t="n"/>
      <c r="AL101" s="13" t="n"/>
      <c r="AM101" s="14" t="n"/>
      <c r="AN101" s="12" t="n"/>
      <c r="AO101" s="13" t="n"/>
      <c r="AP101" s="14" t="n"/>
      <c r="AQ101" s="12" t="n"/>
      <c r="AR101" s="13" t="n"/>
      <c r="AS101" s="14" t="n"/>
      <c r="AT101" s="12" t="n"/>
      <c r="AU101" s="13" t="n"/>
      <c r="AV101" s="14" t="n"/>
      <c r="AW101" s="12" t="n"/>
      <c r="AX101" s="13" t="n"/>
      <c r="AY101" s="14" t="n"/>
      <c r="AZ101" s="12" t="n"/>
      <c r="BA101" s="13" t="n"/>
      <c r="BB101" s="14" t="n"/>
      <c r="BC101" s="11">
        <f>IF(O101="","",IF(J101="GST 10%",ROUND(O101*set_GSTRate,2),0))</f>
        <v/>
      </c>
      <c r="BD101" s="11">
        <f>IF(O101="","",O101+BC101)</f>
        <v/>
      </c>
      <c r="BE101" s="15">
        <f>IF(O101="","",COUNTA(S101,V101,Y101,AB101,AE101,AH101,AK101,AN101,AQ101,AT101,AW101,AZ101))</f>
        <v/>
      </c>
      <c r="BF101" s="16">
        <f>IF(COUNT(T101,W101,Z101,AC101,AF101,AI101,AL101,AO101,AR101,AU101,AX101,BA101)=0,"",MAX(T101,W101,Z101,AC101,AF101,AI101,AL101,AO101,AR101,AU101,AX101,BA101))</f>
        <v/>
      </c>
      <c r="BG101" s="10">
        <f>MID(IF(S101="","",", "&amp;S101)&amp;IF(V101="","",", "&amp;V101)&amp;IF(Y101="","",", "&amp;Y101)&amp;IF(AB101="","",", "&amp;AB101)&amp;IF(AE101="","",", "&amp;AE101)&amp;IF(AH101="","",", "&amp;AH101)&amp;IF(AK101="","",", "&amp;AK101)&amp;IF(AN101="","",", "&amp;AN101)&amp;IF(AQ101="","",", "&amp;AQ101)&amp;IF(AT101="","",", "&amp;AT101)&amp;IF(AW101="","",", "&amp;AW101)&amp;IF(AZ101="","",", "&amp;AZ101),3,500)</f>
        <v/>
      </c>
      <c r="BH101" s="12" t="n"/>
      <c r="BI101" s="15">
        <f>IFERROR(MATCH($A101,IF($B101="Onsite",tbl_Onsite[Row ID],IF($B101="Production",tbl_Production[Row ID],tbl_Consulting[Row ID])),0),"")</f>
        <v/>
      </c>
    </row>
    <row r="102">
      <c r="A102" s="10" t="inlineStr">
        <is>
          <t>ONS-0096</t>
        </is>
      </c>
      <c r="B102" s="10" t="inlineStr">
        <is>
          <t>Onsite</t>
        </is>
      </c>
      <c r="C102" s="10">
        <f>IF($BI102="","",IF($B102="Onsite",INDEX(tbl_Onsite[Job Number],$BI102),IF($B102="Production",INDEX(tbl_Production[Job Number],$BI102),INDEX(tbl_Consulting[Job Number],$BI102)))&amp;"")</f>
        <v/>
      </c>
      <c r="D102" s="10">
        <f>IF($BI102="","",IF($B102="Onsite",INDEX(tbl_Onsite[Client],$BI102),IF($B102="Production",INDEX(tbl_Production[Client],$BI102),INDEX(tbl_Consulting[Client],$BI102)))&amp;"")</f>
        <v/>
      </c>
      <c r="E102" s="10">
        <f>IF($C102="","",IF(COUNTIF(lst_Jobs,$C102)&gt;0,"OK","CHECK"))</f>
        <v/>
      </c>
      <c r="F102" s="10">
        <f>IF($C102="","",IFERROR(INDEX(lst_JobName,MATCH($C102,lst_Jobs,0)),""))</f>
        <v/>
      </c>
      <c r="G102" s="10">
        <f>IF($BI102="","",IF($B102="Onsite",INDEX(tbl_Onsite[Job Description],$BI102),IF($B102="Production",INDEX(tbl_Production[Job Description],$BI102),INDEX(tbl_Consulting[Job Description],$BI102)))&amp;"")</f>
        <v/>
      </c>
      <c r="H102" s="10">
        <f>IF($BI102="","",IF($B102="Onsite",INDEX(tbl_Onsite[Cost Centre],$BI102),IF($B102="Production",INDEX(tbl_Production[Cost Centre],$BI102),INDEX(tbl_Consulting[Cost Centre],$BI102)))&amp;"")</f>
        <v/>
      </c>
      <c r="I102" s="10">
        <f>IF($BI102="","",IF($B102="Onsite",INDEX(tbl_Onsite[Invoice Type],$BI102),IF($B102="Production",INDEX(tbl_Production[Invoice Type],$BI102),INDEX(tbl_Consulting[Invoice Type],$BI102)))&amp;"")</f>
        <v/>
      </c>
      <c r="J102" s="10">
        <f>IF($BI102="","",IF($B102="Onsite",INDEX(tbl_Onsite[Tax Code],$BI102),IF($B102="Production",INDEX(tbl_Production[Tax Code],$BI102),INDEX(tbl_Consulting[Tax Code],$BI102)))&amp;"")</f>
        <v/>
      </c>
      <c r="K102" s="10">
        <f>IF(H102="","",IFERROR(INDEX(lst_CCtoGL,MATCH(H102,lst_CCforGL,0)),""))</f>
        <v/>
      </c>
      <c r="L102" s="10">
        <f>IF($BI102="","",IF($B102="Onsite",INDEX(tbl_Onsite[PO / Reference],$BI102),IF($B102="Production",INDEX(tbl_Production[Current RMS No],$BI102),INDEX(tbl_Consulting[Qwilr Quote],$BI102)))&amp;"")</f>
        <v/>
      </c>
      <c r="M102" s="10">
        <f>IF($BI102="","",IF($B102="Onsite",INDEX(tbl_Onsite[Notes],$BI102),IF($B102="Production",INDEX(tbl_Production[Notes],$BI102),INDEX(tbl_Consulting[Notes],$BI102)))&amp;"")</f>
        <v/>
      </c>
      <c r="N102" s="11">
        <f>IF($BI102="","",IF(IF($B102="Onsite",INDEX(tbl_Onsite[Expected Revenue Ex GST],$BI102),IF($B102="Production",INDEX(tbl_Production[Expected Revenue Ex GST],$BI102),INDEX(tbl_Consulting[Expected Revenue Ex GST],$BI102)))="","",IF($B102="Onsite",INDEX(tbl_Onsite[Expected Revenue Ex GST],$BI102),IF($B102="Production",INDEX(tbl_Production[Expected Revenue Ex GST],$BI102),INDEX(tbl_Consulting[Expected Revenue Ex GST],$BI102)))))</f>
        <v/>
      </c>
      <c r="O102" s="11">
        <f>IF(AND($C102="",NOT(COUNTA($S102:$BB102)&gt;0)),"",SUM(U102,X102,AA102,AD102,AG102,AJ102,AM102,AP102,AS102,AV102,AY102,BB102))</f>
        <v/>
      </c>
      <c r="P102" s="11">
        <f>IF(O102="","",N(N102)-O102)</f>
        <v/>
      </c>
      <c r="Q102" s="10">
        <f>IF(O102="","",IF($C102="","Invoice on empty job row",IF(N102="",IF(ROUND(O102,2)=0,"No dept value","Invoiced - no dept value"),IF(ROUND(O102,2)=0,"Not invoiced - to invoice",IF(ROUND(P102,2)=0,"Agrees",IF(P102&gt;0,"Dept higher - to invoice","Xero higher - check dept"))))))</f>
        <v/>
      </c>
      <c r="R102" s="10">
        <f>IF(AND($C102="",NOT(COUNTA($S102:$BB102)&gt;0),$BI102&lt;&gt;""),"",MID(IF($BI102="","; Row ID not found on the department sheet - a row was deleted","")&amp;IF(AND($C102="",COUNTA($S102:$BB102)&gt;0),"; Invoice entered but the department row has no job number","")&amp;IF(E102="CHECK","; Job number not in the Xero job list","")&amp;IF(AND($C102&lt;&gt;"",COUNTIF($C$7:$C$1506,$C102)&gt;1),"; Job number on more than one row","")&amp;IF(AND($C102&lt;&gt;"",H102=""),"; Dept has not set a cost centre","")&amp;IF(AND($C102&lt;&gt;"",J102=""),"; Dept has not set a tax code","")&amp;IF(AND($C102&lt;&gt;"",N102=""),"; Dept has not entered an expected value","")&amp;IF((IF(OR(COUNTA(S102:U102)=0,AND(COUNTA(S102:U102)=3,ISNUMBER(U102))),0,1)+IF(OR(COUNTA(V102:X102)=0,AND(COUNTA(V102:X102)=3,ISNUMBER(X102))),0,1)+IF(OR(COUNTA(Y102:AA102)=0,AND(COUNTA(Y102:AA102)=3,ISNUMBER(AA102))),0,1)+IF(OR(COUNTA(AB102:AD102)=0,AND(COUNTA(AB102:AD102)=3,ISNUMBER(AD102))),0,1)+IF(OR(COUNTA(AE102:AG102)=0,AND(COUNTA(AE102:AG102)=3,ISNUMBER(AG102))),0,1)+IF(OR(COUNTA(AH102:AJ102)=0,AND(COUNTA(AH102:AJ102)=3,ISNUMBER(AJ102))),0,1)+IF(OR(COUNTA(AK102:AM102)=0,AND(COUNTA(AK102:AM102)=3,ISNUMBER(AM102))),0,1)+IF(OR(COUNTA(AN102:AP102)=0,AND(COUNTA(AN102:AP102)=3,ISNUMBER(AP102))),0,1)+IF(OR(COUNTA(AQ102:AS102)=0,AND(COUNTA(AQ102:AS102)=3,ISNUMBER(AS102))),0,1)+IF(OR(COUNTA(AT102:AV102)=0,AND(COUNTA(AT102:AV102)=3,ISNUMBER(AV102))),0,1)+IF(OR(COUNTA(AW102:AY102)=0,AND(COUNTA(AW102:AY102)=3,ISNUMBER(AY102))),0,1)+IF(OR(COUNTA(AZ102:BB102)=0,AND(COUNTA(AZ102:BB102)=3,ISNUMBER(BB102))),0,1))&gt;0,"; An invoice is incomplete (needs No, Date and a number in Ex GST)","")&amp;IF((IF(T102="",0,IFERROR(--(EOMONTH(T102,0)&lt;&gt;S$5),1))+IF(W102="",0,IFERROR(--(EOMONTH(W102,0)&lt;&gt;V$5),1))+IF(Z102="",0,IFERROR(--(EOMONTH(Z102,0)&lt;&gt;Y$5),1))+IF(AC102="",0,IFERROR(--(EOMONTH(AC102,0)&lt;&gt;AB$5),1))+IF(AF102="",0,IFERROR(--(EOMONTH(AF102,0)&lt;&gt;AE$5),1))+IF(AI102="",0,IFERROR(--(EOMONTH(AI102,0)&lt;&gt;AH$5),1))+IF(AL102="",0,IFERROR(--(EOMONTH(AL102,0)&lt;&gt;AK$5),1))+IF(AO102="",0,IFERROR(--(EOMONTH(AO102,0)&lt;&gt;AN$5),1))+IF(AR102="",0,IFERROR(--(EOMONTH(AR102,0)&lt;&gt;AQ$5),1))+IF(AU102="",0,IFERROR(--(EOMONTH(AU102,0)&lt;&gt;AT$5),1))+IF(AX102="",0,IFERROR(--(EOMONTH(AX102,0)&lt;&gt;AW$5),1))+IF(BA102="",0,IFERROR(--(EOMONTH(BA102,0)&lt;&gt;AZ$5),1)))&gt;0,"; An invoice date is not in the month it is typed under",""),3,500))</f>
        <v/>
      </c>
      <c r="S102" s="12" t="n"/>
      <c r="T102" s="13" t="n"/>
      <c r="U102" s="14" t="n"/>
      <c r="V102" s="12" t="n"/>
      <c r="W102" s="13" t="n"/>
      <c r="X102" s="14" t="n"/>
      <c r="Y102" s="12" t="n"/>
      <c r="Z102" s="13" t="n"/>
      <c r="AA102" s="14" t="n"/>
      <c r="AB102" s="12" t="n"/>
      <c r="AC102" s="13" t="n"/>
      <c r="AD102" s="14" t="n"/>
      <c r="AE102" s="12" t="n"/>
      <c r="AF102" s="13" t="n"/>
      <c r="AG102" s="14" t="n"/>
      <c r="AH102" s="12" t="n"/>
      <c r="AI102" s="13" t="n"/>
      <c r="AJ102" s="14" t="n"/>
      <c r="AK102" s="12" t="n"/>
      <c r="AL102" s="13" t="n"/>
      <c r="AM102" s="14" t="n"/>
      <c r="AN102" s="12" t="n"/>
      <c r="AO102" s="13" t="n"/>
      <c r="AP102" s="14" t="n"/>
      <c r="AQ102" s="12" t="n"/>
      <c r="AR102" s="13" t="n"/>
      <c r="AS102" s="14" t="n"/>
      <c r="AT102" s="12" t="n"/>
      <c r="AU102" s="13" t="n"/>
      <c r="AV102" s="14" t="n"/>
      <c r="AW102" s="12" t="n"/>
      <c r="AX102" s="13" t="n"/>
      <c r="AY102" s="14" t="n"/>
      <c r="AZ102" s="12" t="n"/>
      <c r="BA102" s="13" t="n"/>
      <c r="BB102" s="14" t="n"/>
      <c r="BC102" s="11">
        <f>IF(O102="","",IF(J102="GST 10%",ROUND(O102*set_GSTRate,2),0))</f>
        <v/>
      </c>
      <c r="BD102" s="11">
        <f>IF(O102="","",O102+BC102)</f>
        <v/>
      </c>
      <c r="BE102" s="15">
        <f>IF(O102="","",COUNTA(S102,V102,Y102,AB102,AE102,AH102,AK102,AN102,AQ102,AT102,AW102,AZ102))</f>
        <v/>
      </c>
      <c r="BF102" s="16">
        <f>IF(COUNT(T102,W102,Z102,AC102,AF102,AI102,AL102,AO102,AR102,AU102,AX102,BA102)=0,"",MAX(T102,W102,Z102,AC102,AF102,AI102,AL102,AO102,AR102,AU102,AX102,BA102))</f>
        <v/>
      </c>
      <c r="BG102" s="10">
        <f>MID(IF(S102="","",", "&amp;S102)&amp;IF(V102="","",", "&amp;V102)&amp;IF(Y102="","",", "&amp;Y102)&amp;IF(AB102="","",", "&amp;AB102)&amp;IF(AE102="","",", "&amp;AE102)&amp;IF(AH102="","",", "&amp;AH102)&amp;IF(AK102="","",", "&amp;AK102)&amp;IF(AN102="","",", "&amp;AN102)&amp;IF(AQ102="","",", "&amp;AQ102)&amp;IF(AT102="","",", "&amp;AT102)&amp;IF(AW102="","",", "&amp;AW102)&amp;IF(AZ102="","",", "&amp;AZ102),3,500)</f>
        <v/>
      </c>
      <c r="BH102" s="12" t="n"/>
      <c r="BI102" s="15">
        <f>IFERROR(MATCH($A102,IF($B102="Onsite",tbl_Onsite[Row ID],IF($B102="Production",tbl_Production[Row ID],tbl_Consulting[Row ID])),0),"")</f>
        <v/>
      </c>
    </row>
    <row r="103">
      <c r="A103" s="10" t="inlineStr">
        <is>
          <t>ONS-0097</t>
        </is>
      </c>
      <c r="B103" s="10" t="inlineStr">
        <is>
          <t>Onsite</t>
        </is>
      </c>
      <c r="C103" s="10">
        <f>IF($BI103="","",IF($B103="Onsite",INDEX(tbl_Onsite[Job Number],$BI103),IF($B103="Production",INDEX(tbl_Production[Job Number],$BI103),INDEX(tbl_Consulting[Job Number],$BI103)))&amp;"")</f>
        <v/>
      </c>
      <c r="D103" s="10">
        <f>IF($BI103="","",IF($B103="Onsite",INDEX(tbl_Onsite[Client],$BI103),IF($B103="Production",INDEX(tbl_Production[Client],$BI103),INDEX(tbl_Consulting[Client],$BI103)))&amp;"")</f>
        <v/>
      </c>
      <c r="E103" s="10">
        <f>IF($C103="","",IF(COUNTIF(lst_Jobs,$C103)&gt;0,"OK","CHECK"))</f>
        <v/>
      </c>
      <c r="F103" s="10">
        <f>IF($C103="","",IFERROR(INDEX(lst_JobName,MATCH($C103,lst_Jobs,0)),""))</f>
        <v/>
      </c>
      <c r="G103" s="10">
        <f>IF($BI103="","",IF($B103="Onsite",INDEX(tbl_Onsite[Job Description],$BI103),IF($B103="Production",INDEX(tbl_Production[Job Description],$BI103),INDEX(tbl_Consulting[Job Description],$BI103)))&amp;"")</f>
        <v/>
      </c>
      <c r="H103" s="10">
        <f>IF($BI103="","",IF($B103="Onsite",INDEX(tbl_Onsite[Cost Centre],$BI103),IF($B103="Production",INDEX(tbl_Production[Cost Centre],$BI103),INDEX(tbl_Consulting[Cost Centre],$BI103)))&amp;"")</f>
        <v/>
      </c>
      <c r="I103" s="10">
        <f>IF($BI103="","",IF($B103="Onsite",INDEX(tbl_Onsite[Invoice Type],$BI103),IF($B103="Production",INDEX(tbl_Production[Invoice Type],$BI103),INDEX(tbl_Consulting[Invoice Type],$BI103)))&amp;"")</f>
        <v/>
      </c>
      <c r="J103" s="10">
        <f>IF($BI103="","",IF($B103="Onsite",INDEX(tbl_Onsite[Tax Code],$BI103),IF($B103="Production",INDEX(tbl_Production[Tax Code],$BI103),INDEX(tbl_Consulting[Tax Code],$BI103)))&amp;"")</f>
        <v/>
      </c>
      <c r="K103" s="10">
        <f>IF(H103="","",IFERROR(INDEX(lst_CCtoGL,MATCH(H103,lst_CCforGL,0)),""))</f>
        <v/>
      </c>
      <c r="L103" s="10">
        <f>IF($BI103="","",IF($B103="Onsite",INDEX(tbl_Onsite[PO / Reference],$BI103),IF($B103="Production",INDEX(tbl_Production[Current RMS No],$BI103),INDEX(tbl_Consulting[Qwilr Quote],$BI103)))&amp;"")</f>
        <v/>
      </c>
      <c r="M103" s="10">
        <f>IF($BI103="","",IF($B103="Onsite",INDEX(tbl_Onsite[Notes],$BI103),IF($B103="Production",INDEX(tbl_Production[Notes],$BI103),INDEX(tbl_Consulting[Notes],$BI103)))&amp;"")</f>
        <v/>
      </c>
      <c r="N103" s="11">
        <f>IF($BI103="","",IF(IF($B103="Onsite",INDEX(tbl_Onsite[Expected Revenue Ex GST],$BI103),IF($B103="Production",INDEX(tbl_Production[Expected Revenue Ex GST],$BI103),INDEX(tbl_Consulting[Expected Revenue Ex GST],$BI103)))="","",IF($B103="Onsite",INDEX(tbl_Onsite[Expected Revenue Ex GST],$BI103),IF($B103="Production",INDEX(tbl_Production[Expected Revenue Ex GST],$BI103),INDEX(tbl_Consulting[Expected Revenue Ex GST],$BI103)))))</f>
        <v/>
      </c>
      <c r="O103" s="11">
        <f>IF(AND($C103="",NOT(COUNTA($S103:$BB103)&gt;0)),"",SUM(U103,X103,AA103,AD103,AG103,AJ103,AM103,AP103,AS103,AV103,AY103,BB103))</f>
        <v/>
      </c>
      <c r="P103" s="11">
        <f>IF(O103="","",N(N103)-O103)</f>
        <v/>
      </c>
      <c r="Q103" s="10">
        <f>IF(O103="","",IF($C103="","Invoice on empty job row",IF(N103="",IF(ROUND(O103,2)=0,"No dept value","Invoiced - no dept value"),IF(ROUND(O103,2)=0,"Not invoiced - to invoice",IF(ROUND(P103,2)=0,"Agrees",IF(P103&gt;0,"Dept higher - to invoice","Xero higher - check dept"))))))</f>
        <v/>
      </c>
      <c r="R103" s="10">
        <f>IF(AND($C103="",NOT(COUNTA($S103:$BB103)&gt;0),$BI103&lt;&gt;""),"",MID(IF($BI103="","; Row ID not found on the department sheet - a row was deleted","")&amp;IF(AND($C103="",COUNTA($S103:$BB103)&gt;0),"; Invoice entered but the department row has no job number","")&amp;IF(E103="CHECK","; Job number not in the Xero job list","")&amp;IF(AND($C103&lt;&gt;"",COUNTIF($C$7:$C$1506,$C103)&gt;1),"; Job number on more than one row","")&amp;IF(AND($C103&lt;&gt;"",H103=""),"; Dept has not set a cost centre","")&amp;IF(AND($C103&lt;&gt;"",J103=""),"; Dept has not set a tax code","")&amp;IF(AND($C103&lt;&gt;"",N103=""),"; Dept has not entered an expected value","")&amp;IF((IF(OR(COUNTA(S103:U103)=0,AND(COUNTA(S103:U103)=3,ISNUMBER(U103))),0,1)+IF(OR(COUNTA(V103:X103)=0,AND(COUNTA(V103:X103)=3,ISNUMBER(X103))),0,1)+IF(OR(COUNTA(Y103:AA103)=0,AND(COUNTA(Y103:AA103)=3,ISNUMBER(AA103))),0,1)+IF(OR(COUNTA(AB103:AD103)=0,AND(COUNTA(AB103:AD103)=3,ISNUMBER(AD103))),0,1)+IF(OR(COUNTA(AE103:AG103)=0,AND(COUNTA(AE103:AG103)=3,ISNUMBER(AG103))),0,1)+IF(OR(COUNTA(AH103:AJ103)=0,AND(COUNTA(AH103:AJ103)=3,ISNUMBER(AJ103))),0,1)+IF(OR(COUNTA(AK103:AM103)=0,AND(COUNTA(AK103:AM103)=3,ISNUMBER(AM103))),0,1)+IF(OR(COUNTA(AN103:AP103)=0,AND(COUNTA(AN103:AP103)=3,ISNUMBER(AP103))),0,1)+IF(OR(COUNTA(AQ103:AS103)=0,AND(COUNTA(AQ103:AS103)=3,ISNUMBER(AS103))),0,1)+IF(OR(COUNTA(AT103:AV103)=0,AND(COUNTA(AT103:AV103)=3,ISNUMBER(AV103))),0,1)+IF(OR(COUNTA(AW103:AY103)=0,AND(COUNTA(AW103:AY103)=3,ISNUMBER(AY103))),0,1)+IF(OR(COUNTA(AZ103:BB103)=0,AND(COUNTA(AZ103:BB103)=3,ISNUMBER(BB103))),0,1))&gt;0,"; An invoice is incomplete (needs No, Date and a number in Ex GST)","")&amp;IF((IF(T103="",0,IFERROR(--(EOMONTH(T103,0)&lt;&gt;S$5),1))+IF(W103="",0,IFERROR(--(EOMONTH(W103,0)&lt;&gt;V$5),1))+IF(Z103="",0,IFERROR(--(EOMONTH(Z103,0)&lt;&gt;Y$5),1))+IF(AC103="",0,IFERROR(--(EOMONTH(AC103,0)&lt;&gt;AB$5),1))+IF(AF103="",0,IFERROR(--(EOMONTH(AF103,0)&lt;&gt;AE$5),1))+IF(AI103="",0,IFERROR(--(EOMONTH(AI103,0)&lt;&gt;AH$5),1))+IF(AL103="",0,IFERROR(--(EOMONTH(AL103,0)&lt;&gt;AK$5),1))+IF(AO103="",0,IFERROR(--(EOMONTH(AO103,0)&lt;&gt;AN$5),1))+IF(AR103="",0,IFERROR(--(EOMONTH(AR103,0)&lt;&gt;AQ$5),1))+IF(AU103="",0,IFERROR(--(EOMONTH(AU103,0)&lt;&gt;AT$5),1))+IF(AX103="",0,IFERROR(--(EOMONTH(AX103,0)&lt;&gt;AW$5),1))+IF(BA103="",0,IFERROR(--(EOMONTH(BA103,0)&lt;&gt;AZ$5),1)))&gt;0,"; An invoice date is not in the month it is typed under",""),3,500))</f>
        <v/>
      </c>
      <c r="S103" s="12" t="n"/>
      <c r="T103" s="13" t="n"/>
      <c r="U103" s="14" t="n"/>
      <c r="V103" s="12" t="n"/>
      <c r="W103" s="13" t="n"/>
      <c r="X103" s="14" t="n"/>
      <c r="Y103" s="12" t="n"/>
      <c r="Z103" s="13" t="n"/>
      <c r="AA103" s="14" t="n"/>
      <c r="AB103" s="12" t="n"/>
      <c r="AC103" s="13" t="n"/>
      <c r="AD103" s="14" t="n"/>
      <c r="AE103" s="12" t="n"/>
      <c r="AF103" s="13" t="n"/>
      <c r="AG103" s="14" t="n"/>
      <c r="AH103" s="12" t="n"/>
      <c r="AI103" s="13" t="n"/>
      <c r="AJ103" s="14" t="n"/>
      <c r="AK103" s="12" t="n"/>
      <c r="AL103" s="13" t="n"/>
      <c r="AM103" s="14" t="n"/>
      <c r="AN103" s="12" t="n"/>
      <c r="AO103" s="13" t="n"/>
      <c r="AP103" s="14" t="n"/>
      <c r="AQ103" s="12" t="n"/>
      <c r="AR103" s="13" t="n"/>
      <c r="AS103" s="14" t="n"/>
      <c r="AT103" s="12" t="n"/>
      <c r="AU103" s="13" t="n"/>
      <c r="AV103" s="14" t="n"/>
      <c r="AW103" s="12" t="n"/>
      <c r="AX103" s="13" t="n"/>
      <c r="AY103" s="14" t="n"/>
      <c r="AZ103" s="12" t="n"/>
      <c r="BA103" s="13" t="n"/>
      <c r="BB103" s="14" t="n"/>
      <c r="BC103" s="11">
        <f>IF(O103="","",IF(J103="GST 10%",ROUND(O103*set_GSTRate,2),0))</f>
        <v/>
      </c>
      <c r="BD103" s="11">
        <f>IF(O103="","",O103+BC103)</f>
        <v/>
      </c>
      <c r="BE103" s="15">
        <f>IF(O103="","",COUNTA(S103,V103,Y103,AB103,AE103,AH103,AK103,AN103,AQ103,AT103,AW103,AZ103))</f>
        <v/>
      </c>
      <c r="BF103" s="16">
        <f>IF(COUNT(T103,W103,Z103,AC103,AF103,AI103,AL103,AO103,AR103,AU103,AX103,BA103)=0,"",MAX(T103,W103,Z103,AC103,AF103,AI103,AL103,AO103,AR103,AU103,AX103,BA103))</f>
        <v/>
      </c>
      <c r="BG103" s="10">
        <f>MID(IF(S103="","",", "&amp;S103)&amp;IF(V103="","",", "&amp;V103)&amp;IF(Y103="","",", "&amp;Y103)&amp;IF(AB103="","",", "&amp;AB103)&amp;IF(AE103="","",", "&amp;AE103)&amp;IF(AH103="","",", "&amp;AH103)&amp;IF(AK103="","",", "&amp;AK103)&amp;IF(AN103="","",", "&amp;AN103)&amp;IF(AQ103="","",", "&amp;AQ103)&amp;IF(AT103="","",", "&amp;AT103)&amp;IF(AW103="","",", "&amp;AW103)&amp;IF(AZ103="","",", "&amp;AZ103),3,500)</f>
        <v/>
      </c>
      <c r="BH103" s="12" t="n"/>
      <c r="BI103" s="15">
        <f>IFERROR(MATCH($A103,IF($B103="Onsite",tbl_Onsite[Row ID],IF($B103="Production",tbl_Production[Row ID],tbl_Consulting[Row ID])),0),"")</f>
        <v/>
      </c>
    </row>
    <row r="104">
      <c r="A104" s="10" t="inlineStr">
        <is>
          <t>ONS-0098</t>
        </is>
      </c>
      <c r="B104" s="10" t="inlineStr">
        <is>
          <t>Onsite</t>
        </is>
      </c>
      <c r="C104" s="10">
        <f>IF($BI104="","",IF($B104="Onsite",INDEX(tbl_Onsite[Job Number],$BI104),IF($B104="Production",INDEX(tbl_Production[Job Number],$BI104),INDEX(tbl_Consulting[Job Number],$BI104)))&amp;"")</f>
        <v/>
      </c>
      <c r="D104" s="10">
        <f>IF($BI104="","",IF($B104="Onsite",INDEX(tbl_Onsite[Client],$BI104),IF($B104="Production",INDEX(tbl_Production[Client],$BI104),INDEX(tbl_Consulting[Client],$BI104)))&amp;"")</f>
        <v/>
      </c>
      <c r="E104" s="10">
        <f>IF($C104="","",IF(COUNTIF(lst_Jobs,$C104)&gt;0,"OK","CHECK"))</f>
        <v/>
      </c>
      <c r="F104" s="10">
        <f>IF($C104="","",IFERROR(INDEX(lst_JobName,MATCH($C104,lst_Jobs,0)),""))</f>
        <v/>
      </c>
      <c r="G104" s="10">
        <f>IF($BI104="","",IF($B104="Onsite",INDEX(tbl_Onsite[Job Description],$BI104),IF($B104="Production",INDEX(tbl_Production[Job Description],$BI104),INDEX(tbl_Consulting[Job Description],$BI104)))&amp;"")</f>
        <v/>
      </c>
      <c r="H104" s="10">
        <f>IF($BI104="","",IF($B104="Onsite",INDEX(tbl_Onsite[Cost Centre],$BI104),IF($B104="Production",INDEX(tbl_Production[Cost Centre],$BI104),INDEX(tbl_Consulting[Cost Centre],$BI104)))&amp;"")</f>
        <v/>
      </c>
      <c r="I104" s="10">
        <f>IF($BI104="","",IF($B104="Onsite",INDEX(tbl_Onsite[Invoice Type],$BI104),IF($B104="Production",INDEX(tbl_Production[Invoice Type],$BI104),INDEX(tbl_Consulting[Invoice Type],$BI104)))&amp;"")</f>
        <v/>
      </c>
      <c r="J104" s="10">
        <f>IF($BI104="","",IF($B104="Onsite",INDEX(tbl_Onsite[Tax Code],$BI104),IF($B104="Production",INDEX(tbl_Production[Tax Code],$BI104),INDEX(tbl_Consulting[Tax Code],$BI104)))&amp;"")</f>
        <v/>
      </c>
      <c r="K104" s="10">
        <f>IF(H104="","",IFERROR(INDEX(lst_CCtoGL,MATCH(H104,lst_CCforGL,0)),""))</f>
        <v/>
      </c>
      <c r="L104" s="10">
        <f>IF($BI104="","",IF($B104="Onsite",INDEX(tbl_Onsite[PO / Reference],$BI104),IF($B104="Production",INDEX(tbl_Production[Current RMS No],$BI104),INDEX(tbl_Consulting[Qwilr Quote],$BI104)))&amp;"")</f>
        <v/>
      </c>
      <c r="M104" s="10">
        <f>IF($BI104="","",IF($B104="Onsite",INDEX(tbl_Onsite[Notes],$BI104),IF($B104="Production",INDEX(tbl_Production[Notes],$BI104),INDEX(tbl_Consulting[Notes],$BI104)))&amp;"")</f>
        <v/>
      </c>
      <c r="N104" s="11">
        <f>IF($BI104="","",IF(IF($B104="Onsite",INDEX(tbl_Onsite[Expected Revenue Ex GST],$BI104),IF($B104="Production",INDEX(tbl_Production[Expected Revenue Ex GST],$BI104),INDEX(tbl_Consulting[Expected Revenue Ex GST],$BI104)))="","",IF($B104="Onsite",INDEX(tbl_Onsite[Expected Revenue Ex GST],$BI104),IF($B104="Production",INDEX(tbl_Production[Expected Revenue Ex GST],$BI104),INDEX(tbl_Consulting[Expected Revenue Ex GST],$BI104)))))</f>
        <v/>
      </c>
      <c r="O104" s="11">
        <f>IF(AND($C104="",NOT(COUNTA($S104:$BB104)&gt;0)),"",SUM(U104,X104,AA104,AD104,AG104,AJ104,AM104,AP104,AS104,AV104,AY104,BB104))</f>
        <v/>
      </c>
      <c r="P104" s="11">
        <f>IF(O104="","",N(N104)-O104)</f>
        <v/>
      </c>
      <c r="Q104" s="10">
        <f>IF(O104="","",IF($C104="","Invoice on empty job row",IF(N104="",IF(ROUND(O104,2)=0,"No dept value","Invoiced - no dept value"),IF(ROUND(O104,2)=0,"Not invoiced - to invoice",IF(ROUND(P104,2)=0,"Agrees",IF(P104&gt;0,"Dept higher - to invoice","Xero higher - check dept"))))))</f>
        <v/>
      </c>
      <c r="R104" s="10">
        <f>IF(AND($C104="",NOT(COUNTA($S104:$BB104)&gt;0),$BI104&lt;&gt;""),"",MID(IF($BI104="","; Row ID not found on the department sheet - a row was deleted","")&amp;IF(AND($C104="",COUNTA($S104:$BB104)&gt;0),"; Invoice entered but the department row has no job number","")&amp;IF(E104="CHECK","; Job number not in the Xero job list","")&amp;IF(AND($C104&lt;&gt;"",COUNTIF($C$7:$C$1506,$C104)&gt;1),"; Job number on more than one row","")&amp;IF(AND($C104&lt;&gt;"",H104=""),"; Dept has not set a cost centre","")&amp;IF(AND($C104&lt;&gt;"",J104=""),"; Dept has not set a tax code","")&amp;IF(AND($C104&lt;&gt;"",N104=""),"; Dept has not entered an expected value","")&amp;IF((IF(OR(COUNTA(S104:U104)=0,AND(COUNTA(S104:U104)=3,ISNUMBER(U104))),0,1)+IF(OR(COUNTA(V104:X104)=0,AND(COUNTA(V104:X104)=3,ISNUMBER(X104))),0,1)+IF(OR(COUNTA(Y104:AA104)=0,AND(COUNTA(Y104:AA104)=3,ISNUMBER(AA104))),0,1)+IF(OR(COUNTA(AB104:AD104)=0,AND(COUNTA(AB104:AD104)=3,ISNUMBER(AD104))),0,1)+IF(OR(COUNTA(AE104:AG104)=0,AND(COUNTA(AE104:AG104)=3,ISNUMBER(AG104))),0,1)+IF(OR(COUNTA(AH104:AJ104)=0,AND(COUNTA(AH104:AJ104)=3,ISNUMBER(AJ104))),0,1)+IF(OR(COUNTA(AK104:AM104)=0,AND(COUNTA(AK104:AM104)=3,ISNUMBER(AM104))),0,1)+IF(OR(COUNTA(AN104:AP104)=0,AND(COUNTA(AN104:AP104)=3,ISNUMBER(AP104))),0,1)+IF(OR(COUNTA(AQ104:AS104)=0,AND(COUNTA(AQ104:AS104)=3,ISNUMBER(AS104))),0,1)+IF(OR(COUNTA(AT104:AV104)=0,AND(COUNTA(AT104:AV104)=3,ISNUMBER(AV104))),0,1)+IF(OR(COUNTA(AW104:AY104)=0,AND(COUNTA(AW104:AY104)=3,ISNUMBER(AY104))),0,1)+IF(OR(COUNTA(AZ104:BB104)=0,AND(COUNTA(AZ104:BB104)=3,ISNUMBER(BB104))),0,1))&gt;0,"; An invoice is incomplete (needs No, Date and a number in Ex GST)","")&amp;IF((IF(T104="",0,IFERROR(--(EOMONTH(T104,0)&lt;&gt;S$5),1))+IF(W104="",0,IFERROR(--(EOMONTH(W104,0)&lt;&gt;V$5),1))+IF(Z104="",0,IFERROR(--(EOMONTH(Z104,0)&lt;&gt;Y$5),1))+IF(AC104="",0,IFERROR(--(EOMONTH(AC104,0)&lt;&gt;AB$5),1))+IF(AF104="",0,IFERROR(--(EOMONTH(AF104,0)&lt;&gt;AE$5),1))+IF(AI104="",0,IFERROR(--(EOMONTH(AI104,0)&lt;&gt;AH$5),1))+IF(AL104="",0,IFERROR(--(EOMONTH(AL104,0)&lt;&gt;AK$5),1))+IF(AO104="",0,IFERROR(--(EOMONTH(AO104,0)&lt;&gt;AN$5),1))+IF(AR104="",0,IFERROR(--(EOMONTH(AR104,0)&lt;&gt;AQ$5),1))+IF(AU104="",0,IFERROR(--(EOMONTH(AU104,0)&lt;&gt;AT$5),1))+IF(AX104="",0,IFERROR(--(EOMONTH(AX104,0)&lt;&gt;AW$5),1))+IF(BA104="",0,IFERROR(--(EOMONTH(BA104,0)&lt;&gt;AZ$5),1)))&gt;0,"; An invoice date is not in the month it is typed under",""),3,500))</f>
        <v/>
      </c>
      <c r="S104" s="12" t="n"/>
      <c r="T104" s="13" t="n"/>
      <c r="U104" s="14" t="n"/>
      <c r="V104" s="12" t="n"/>
      <c r="W104" s="13" t="n"/>
      <c r="X104" s="14" t="n"/>
      <c r="Y104" s="12" t="n"/>
      <c r="Z104" s="13" t="n"/>
      <c r="AA104" s="14" t="n"/>
      <c r="AB104" s="12" t="n"/>
      <c r="AC104" s="13" t="n"/>
      <c r="AD104" s="14" t="n"/>
      <c r="AE104" s="12" t="n"/>
      <c r="AF104" s="13" t="n"/>
      <c r="AG104" s="14" t="n"/>
      <c r="AH104" s="12" t="n"/>
      <c r="AI104" s="13" t="n"/>
      <c r="AJ104" s="14" t="n"/>
      <c r="AK104" s="12" t="n"/>
      <c r="AL104" s="13" t="n"/>
      <c r="AM104" s="14" t="n"/>
      <c r="AN104" s="12" t="n"/>
      <c r="AO104" s="13" t="n"/>
      <c r="AP104" s="14" t="n"/>
      <c r="AQ104" s="12" t="n"/>
      <c r="AR104" s="13" t="n"/>
      <c r="AS104" s="14" t="n"/>
      <c r="AT104" s="12" t="n"/>
      <c r="AU104" s="13" t="n"/>
      <c r="AV104" s="14" t="n"/>
      <c r="AW104" s="12" t="n"/>
      <c r="AX104" s="13" t="n"/>
      <c r="AY104" s="14" t="n"/>
      <c r="AZ104" s="12" t="n"/>
      <c r="BA104" s="13" t="n"/>
      <c r="BB104" s="14" t="n"/>
      <c r="BC104" s="11">
        <f>IF(O104="","",IF(J104="GST 10%",ROUND(O104*set_GSTRate,2),0))</f>
        <v/>
      </c>
      <c r="BD104" s="11">
        <f>IF(O104="","",O104+BC104)</f>
        <v/>
      </c>
      <c r="BE104" s="15">
        <f>IF(O104="","",COUNTA(S104,V104,Y104,AB104,AE104,AH104,AK104,AN104,AQ104,AT104,AW104,AZ104))</f>
        <v/>
      </c>
      <c r="BF104" s="16">
        <f>IF(COUNT(T104,W104,Z104,AC104,AF104,AI104,AL104,AO104,AR104,AU104,AX104,BA104)=0,"",MAX(T104,W104,Z104,AC104,AF104,AI104,AL104,AO104,AR104,AU104,AX104,BA104))</f>
        <v/>
      </c>
      <c r="BG104" s="10">
        <f>MID(IF(S104="","",", "&amp;S104)&amp;IF(V104="","",", "&amp;V104)&amp;IF(Y104="","",", "&amp;Y104)&amp;IF(AB104="","",", "&amp;AB104)&amp;IF(AE104="","",", "&amp;AE104)&amp;IF(AH104="","",", "&amp;AH104)&amp;IF(AK104="","",", "&amp;AK104)&amp;IF(AN104="","",", "&amp;AN104)&amp;IF(AQ104="","",", "&amp;AQ104)&amp;IF(AT104="","",", "&amp;AT104)&amp;IF(AW104="","",", "&amp;AW104)&amp;IF(AZ104="","",", "&amp;AZ104),3,500)</f>
        <v/>
      </c>
      <c r="BH104" s="12" t="n"/>
      <c r="BI104" s="15">
        <f>IFERROR(MATCH($A104,IF($B104="Onsite",tbl_Onsite[Row ID],IF($B104="Production",tbl_Production[Row ID],tbl_Consulting[Row ID])),0),"")</f>
        <v/>
      </c>
    </row>
    <row r="105">
      <c r="A105" s="10" t="inlineStr">
        <is>
          <t>ONS-0099</t>
        </is>
      </c>
      <c r="B105" s="10" t="inlineStr">
        <is>
          <t>Onsite</t>
        </is>
      </c>
      <c r="C105" s="10">
        <f>IF($BI105="","",IF($B105="Onsite",INDEX(tbl_Onsite[Job Number],$BI105),IF($B105="Production",INDEX(tbl_Production[Job Number],$BI105),INDEX(tbl_Consulting[Job Number],$BI105)))&amp;"")</f>
        <v/>
      </c>
      <c r="D105" s="10">
        <f>IF($BI105="","",IF($B105="Onsite",INDEX(tbl_Onsite[Client],$BI105),IF($B105="Production",INDEX(tbl_Production[Client],$BI105),INDEX(tbl_Consulting[Client],$BI105)))&amp;"")</f>
        <v/>
      </c>
      <c r="E105" s="10">
        <f>IF($C105="","",IF(COUNTIF(lst_Jobs,$C105)&gt;0,"OK","CHECK"))</f>
        <v/>
      </c>
      <c r="F105" s="10">
        <f>IF($C105="","",IFERROR(INDEX(lst_JobName,MATCH($C105,lst_Jobs,0)),""))</f>
        <v/>
      </c>
      <c r="G105" s="10">
        <f>IF($BI105="","",IF($B105="Onsite",INDEX(tbl_Onsite[Job Description],$BI105),IF($B105="Production",INDEX(tbl_Production[Job Description],$BI105),INDEX(tbl_Consulting[Job Description],$BI105)))&amp;"")</f>
        <v/>
      </c>
      <c r="H105" s="10">
        <f>IF($BI105="","",IF($B105="Onsite",INDEX(tbl_Onsite[Cost Centre],$BI105),IF($B105="Production",INDEX(tbl_Production[Cost Centre],$BI105),INDEX(tbl_Consulting[Cost Centre],$BI105)))&amp;"")</f>
        <v/>
      </c>
      <c r="I105" s="10">
        <f>IF($BI105="","",IF($B105="Onsite",INDEX(tbl_Onsite[Invoice Type],$BI105),IF($B105="Production",INDEX(tbl_Production[Invoice Type],$BI105),INDEX(tbl_Consulting[Invoice Type],$BI105)))&amp;"")</f>
        <v/>
      </c>
      <c r="J105" s="10">
        <f>IF($BI105="","",IF($B105="Onsite",INDEX(tbl_Onsite[Tax Code],$BI105),IF($B105="Production",INDEX(tbl_Production[Tax Code],$BI105),INDEX(tbl_Consulting[Tax Code],$BI105)))&amp;"")</f>
        <v/>
      </c>
      <c r="K105" s="10">
        <f>IF(H105="","",IFERROR(INDEX(lst_CCtoGL,MATCH(H105,lst_CCforGL,0)),""))</f>
        <v/>
      </c>
      <c r="L105" s="10">
        <f>IF($BI105="","",IF($B105="Onsite",INDEX(tbl_Onsite[PO / Reference],$BI105),IF($B105="Production",INDEX(tbl_Production[Current RMS No],$BI105),INDEX(tbl_Consulting[Qwilr Quote],$BI105)))&amp;"")</f>
        <v/>
      </c>
      <c r="M105" s="10">
        <f>IF($BI105="","",IF($B105="Onsite",INDEX(tbl_Onsite[Notes],$BI105),IF($B105="Production",INDEX(tbl_Production[Notes],$BI105),INDEX(tbl_Consulting[Notes],$BI105)))&amp;"")</f>
        <v/>
      </c>
      <c r="N105" s="11">
        <f>IF($BI105="","",IF(IF($B105="Onsite",INDEX(tbl_Onsite[Expected Revenue Ex GST],$BI105),IF($B105="Production",INDEX(tbl_Production[Expected Revenue Ex GST],$BI105),INDEX(tbl_Consulting[Expected Revenue Ex GST],$BI105)))="","",IF($B105="Onsite",INDEX(tbl_Onsite[Expected Revenue Ex GST],$BI105),IF($B105="Production",INDEX(tbl_Production[Expected Revenue Ex GST],$BI105),INDEX(tbl_Consulting[Expected Revenue Ex GST],$BI105)))))</f>
        <v/>
      </c>
      <c r="O105" s="11">
        <f>IF(AND($C105="",NOT(COUNTA($S105:$BB105)&gt;0)),"",SUM(U105,X105,AA105,AD105,AG105,AJ105,AM105,AP105,AS105,AV105,AY105,BB105))</f>
        <v/>
      </c>
      <c r="P105" s="11">
        <f>IF(O105="","",N(N105)-O105)</f>
        <v/>
      </c>
      <c r="Q105" s="10">
        <f>IF(O105="","",IF($C105="","Invoice on empty job row",IF(N105="",IF(ROUND(O105,2)=0,"No dept value","Invoiced - no dept value"),IF(ROUND(O105,2)=0,"Not invoiced - to invoice",IF(ROUND(P105,2)=0,"Agrees",IF(P105&gt;0,"Dept higher - to invoice","Xero higher - check dept"))))))</f>
        <v/>
      </c>
      <c r="R105" s="10">
        <f>IF(AND($C105="",NOT(COUNTA($S105:$BB105)&gt;0),$BI105&lt;&gt;""),"",MID(IF($BI105="","; Row ID not found on the department sheet - a row was deleted","")&amp;IF(AND($C105="",COUNTA($S105:$BB105)&gt;0),"; Invoice entered but the department row has no job number","")&amp;IF(E105="CHECK","; Job number not in the Xero job list","")&amp;IF(AND($C105&lt;&gt;"",COUNTIF($C$7:$C$1506,$C105)&gt;1),"; Job number on more than one row","")&amp;IF(AND($C105&lt;&gt;"",H105=""),"; Dept has not set a cost centre","")&amp;IF(AND($C105&lt;&gt;"",J105=""),"; Dept has not set a tax code","")&amp;IF(AND($C105&lt;&gt;"",N105=""),"; Dept has not entered an expected value","")&amp;IF((IF(OR(COUNTA(S105:U105)=0,AND(COUNTA(S105:U105)=3,ISNUMBER(U105))),0,1)+IF(OR(COUNTA(V105:X105)=0,AND(COUNTA(V105:X105)=3,ISNUMBER(X105))),0,1)+IF(OR(COUNTA(Y105:AA105)=0,AND(COUNTA(Y105:AA105)=3,ISNUMBER(AA105))),0,1)+IF(OR(COUNTA(AB105:AD105)=0,AND(COUNTA(AB105:AD105)=3,ISNUMBER(AD105))),0,1)+IF(OR(COUNTA(AE105:AG105)=0,AND(COUNTA(AE105:AG105)=3,ISNUMBER(AG105))),0,1)+IF(OR(COUNTA(AH105:AJ105)=0,AND(COUNTA(AH105:AJ105)=3,ISNUMBER(AJ105))),0,1)+IF(OR(COUNTA(AK105:AM105)=0,AND(COUNTA(AK105:AM105)=3,ISNUMBER(AM105))),0,1)+IF(OR(COUNTA(AN105:AP105)=0,AND(COUNTA(AN105:AP105)=3,ISNUMBER(AP105))),0,1)+IF(OR(COUNTA(AQ105:AS105)=0,AND(COUNTA(AQ105:AS105)=3,ISNUMBER(AS105))),0,1)+IF(OR(COUNTA(AT105:AV105)=0,AND(COUNTA(AT105:AV105)=3,ISNUMBER(AV105))),0,1)+IF(OR(COUNTA(AW105:AY105)=0,AND(COUNTA(AW105:AY105)=3,ISNUMBER(AY105))),0,1)+IF(OR(COUNTA(AZ105:BB105)=0,AND(COUNTA(AZ105:BB105)=3,ISNUMBER(BB105))),0,1))&gt;0,"; An invoice is incomplete (needs No, Date and a number in Ex GST)","")&amp;IF((IF(T105="",0,IFERROR(--(EOMONTH(T105,0)&lt;&gt;S$5),1))+IF(W105="",0,IFERROR(--(EOMONTH(W105,0)&lt;&gt;V$5),1))+IF(Z105="",0,IFERROR(--(EOMONTH(Z105,0)&lt;&gt;Y$5),1))+IF(AC105="",0,IFERROR(--(EOMONTH(AC105,0)&lt;&gt;AB$5),1))+IF(AF105="",0,IFERROR(--(EOMONTH(AF105,0)&lt;&gt;AE$5),1))+IF(AI105="",0,IFERROR(--(EOMONTH(AI105,0)&lt;&gt;AH$5),1))+IF(AL105="",0,IFERROR(--(EOMONTH(AL105,0)&lt;&gt;AK$5),1))+IF(AO105="",0,IFERROR(--(EOMONTH(AO105,0)&lt;&gt;AN$5),1))+IF(AR105="",0,IFERROR(--(EOMONTH(AR105,0)&lt;&gt;AQ$5),1))+IF(AU105="",0,IFERROR(--(EOMONTH(AU105,0)&lt;&gt;AT$5),1))+IF(AX105="",0,IFERROR(--(EOMONTH(AX105,0)&lt;&gt;AW$5),1))+IF(BA105="",0,IFERROR(--(EOMONTH(BA105,0)&lt;&gt;AZ$5),1)))&gt;0,"; An invoice date is not in the month it is typed under",""),3,500))</f>
        <v/>
      </c>
      <c r="S105" s="12" t="n"/>
      <c r="T105" s="13" t="n"/>
      <c r="U105" s="14" t="n"/>
      <c r="V105" s="12" t="n"/>
      <c r="W105" s="13" t="n"/>
      <c r="X105" s="14" t="n"/>
      <c r="Y105" s="12" t="n"/>
      <c r="Z105" s="13" t="n"/>
      <c r="AA105" s="14" t="n"/>
      <c r="AB105" s="12" t="n"/>
      <c r="AC105" s="13" t="n"/>
      <c r="AD105" s="14" t="n"/>
      <c r="AE105" s="12" t="n"/>
      <c r="AF105" s="13" t="n"/>
      <c r="AG105" s="14" t="n"/>
      <c r="AH105" s="12" t="n"/>
      <c r="AI105" s="13" t="n"/>
      <c r="AJ105" s="14" t="n"/>
      <c r="AK105" s="12" t="n"/>
      <c r="AL105" s="13" t="n"/>
      <c r="AM105" s="14" t="n"/>
      <c r="AN105" s="12" t="n"/>
      <c r="AO105" s="13" t="n"/>
      <c r="AP105" s="14" t="n"/>
      <c r="AQ105" s="12" t="n"/>
      <c r="AR105" s="13" t="n"/>
      <c r="AS105" s="14" t="n"/>
      <c r="AT105" s="12" t="n"/>
      <c r="AU105" s="13" t="n"/>
      <c r="AV105" s="14" t="n"/>
      <c r="AW105" s="12" t="n"/>
      <c r="AX105" s="13" t="n"/>
      <c r="AY105" s="14" t="n"/>
      <c r="AZ105" s="12" t="n"/>
      <c r="BA105" s="13" t="n"/>
      <c r="BB105" s="14" t="n"/>
      <c r="BC105" s="11">
        <f>IF(O105="","",IF(J105="GST 10%",ROUND(O105*set_GSTRate,2),0))</f>
        <v/>
      </c>
      <c r="BD105" s="11">
        <f>IF(O105="","",O105+BC105)</f>
        <v/>
      </c>
      <c r="BE105" s="15">
        <f>IF(O105="","",COUNTA(S105,V105,Y105,AB105,AE105,AH105,AK105,AN105,AQ105,AT105,AW105,AZ105))</f>
        <v/>
      </c>
      <c r="BF105" s="16">
        <f>IF(COUNT(T105,W105,Z105,AC105,AF105,AI105,AL105,AO105,AR105,AU105,AX105,BA105)=0,"",MAX(T105,W105,Z105,AC105,AF105,AI105,AL105,AO105,AR105,AU105,AX105,BA105))</f>
        <v/>
      </c>
      <c r="BG105" s="10">
        <f>MID(IF(S105="","",", "&amp;S105)&amp;IF(V105="","",", "&amp;V105)&amp;IF(Y105="","",", "&amp;Y105)&amp;IF(AB105="","",", "&amp;AB105)&amp;IF(AE105="","",", "&amp;AE105)&amp;IF(AH105="","",", "&amp;AH105)&amp;IF(AK105="","",", "&amp;AK105)&amp;IF(AN105="","",", "&amp;AN105)&amp;IF(AQ105="","",", "&amp;AQ105)&amp;IF(AT105="","",", "&amp;AT105)&amp;IF(AW105="","",", "&amp;AW105)&amp;IF(AZ105="","",", "&amp;AZ105),3,500)</f>
        <v/>
      </c>
      <c r="BH105" s="12" t="n"/>
      <c r="BI105" s="15">
        <f>IFERROR(MATCH($A105,IF($B105="Onsite",tbl_Onsite[Row ID],IF($B105="Production",tbl_Production[Row ID],tbl_Consulting[Row ID])),0),"")</f>
        <v/>
      </c>
    </row>
    <row r="106">
      <c r="A106" s="10" t="inlineStr">
        <is>
          <t>ONS-0100</t>
        </is>
      </c>
      <c r="B106" s="10" t="inlineStr">
        <is>
          <t>Onsite</t>
        </is>
      </c>
      <c r="C106" s="10">
        <f>IF($BI106="","",IF($B106="Onsite",INDEX(tbl_Onsite[Job Number],$BI106),IF($B106="Production",INDEX(tbl_Production[Job Number],$BI106),INDEX(tbl_Consulting[Job Number],$BI106)))&amp;"")</f>
        <v/>
      </c>
      <c r="D106" s="10">
        <f>IF($BI106="","",IF($B106="Onsite",INDEX(tbl_Onsite[Client],$BI106),IF($B106="Production",INDEX(tbl_Production[Client],$BI106),INDEX(tbl_Consulting[Client],$BI106)))&amp;"")</f>
        <v/>
      </c>
      <c r="E106" s="10">
        <f>IF($C106="","",IF(COUNTIF(lst_Jobs,$C106)&gt;0,"OK","CHECK"))</f>
        <v/>
      </c>
      <c r="F106" s="10">
        <f>IF($C106="","",IFERROR(INDEX(lst_JobName,MATCH($C106,lst_Jobs,0)),""))</f>
        <v/>
      </c>
      <c r="G106" s="10">
        <f>IF($BI106="","",IF($B106="Onsite",INDEX(tbl_Onsite[Job Description],$BI106),IF($B106="Production",INDEX(tbl_Production[Job Description],$BI106),INDEX(tbl_Consulting[Job Description],$BI106)))&amp;"")</f>
        <v/>
      </c>
      <c r="H106" s="10">
        <f>IF($BI106="","",IF($B106="Onsite",INDEX(tbl_Onsite[Cost Centre],$BI106),IF($B106="Production",INDEX(tbl_Production[Cost Centre],$BI106),INDEX(tbl_Consulting[Cost Centre],$BI106)))&amp;"")</f>
        <v/>
      </c>
      <c r="I106" s="10">
        <f>IF($BI106="","",IF($B106="Onsite",INDEX(tbl_Onsite[Invoice Type],$BI106),IF($B106="Production",INDEX(tbl_Production[Invoice Type],$BI106),INDEX(tbl_Consulting[Invoice Type],$BI106)))&amp;"")</f>
        <v/>
      </c>
      <c r="J106" s="10">
        <f>IF($BI106="","",IF($B106="Onsite",INDEX(tbl_Onsite[Tax Code],$BI106),IF($B106="Production",INDEX(tbl_Production[Tax Code],$BI106),INDEX(tbl_Consulting[Tax Code],$BI106)))&amp;"")</f>
        <v/>
      </c>
      <c r="K106" s="10">
        <f>IF(H106="","",IFERROR(INDEX(lst_CCtoGL,MATCH(H106,lst_CCforGL,0)),""))</f>
        <v/>
      </c>
      <c r="L106" s="10">
        <f>IF($BI106="","",IF($B106="Onsite",INDEX(tbl_Onsite[PO / Reference],$BI106),IF($B106="Production",INDEX(tbl_Production[Current RMS No],$BI106),INDEX(tbl_Consulting[Qwilr Quote],$BI106)))&amp;"")</f>
        <v/>
      </c>
      <c r="M106" s="10">
        <f>IF($BI106="","",IF($B106="Onsite",INDEX(tbl_Onsite[Notes],$BI106),IF($B106="Production",INDEX(tbl_Production[Notes],$BI106),INDEX(tbl_Consulting[Notes],$BI106)))&amp;"")</f>
        <v/>
      </c>
      <c r="N106" s="11">
        <f>IF($BI106="","",IF(IF($B106="Onsite",INDEX(tbl_Onsite[Expected Revenue Ex GST],$BI106),IF($B106="Production",INDEX(tbl_Production[Expected Revenue Ex GST],$BI106),INDEX(tbl_Consulting[Expected Revenue Ex GST],$BI106)))="","",IF($B106="Onsite",INDEX(tbl_Onsite[Expected Revenue Ex GST],$BI106),IF($B106="Production",INDEX(tbl_Production[Expected Revenue Ex GST],$BI106),INDEX(tbl_Consulting[Expected Revenue Ex GST],$BI106)))))</f>
        <v/>
      </c>
      <c r="O106" s="11">
        <f>IF(AND($C106="",NOT(COUNTA($S106:$BB106)&gt;0)),"",SUM(U106,X106,AA106,AD106,AG106,AJ106,AM106,AP106,AS106,AV106,AY106,BB106))</f>
        <v/>
      </c>
      <c r="P106" s="11">
        <f>IF(O106="","",N(N106)-O106)</f>
        <v/>
      </c>
      <c r="Q106" s="10">
        <f>IF(O106="","",IF($C106="","Invoice on empty job row",IF(N106="",IF(ROUND(O106,2)=0,"No dept value","Invoiced - no dept value"),IF(ROUND(O106,2)=0,"Not invoiced - to invoice",IF(ROUND(P106,2)=0,"Agrees",IF(P106&gt;0,"Dept higher - to invoice","Xero higher - check dept"))))))</f>
        <v/>
      </c>
      <c r="R106" s="10">
        <f>IF(AND($C106="",NOT(COUNTA($S106:$BB106)&gt;0),$BI106&lt;&gt;""),"",MID(IF($BI106="","; Row ID not found on the department sheet - a row was deleted","")&amp;IF(AND($C106="",COUNTA($S106:$BB106)&gt;0),"; Invoice entered but the department row has no job number","")&amp;IF(E106="CHECK","; Job number not in the Xero job list","")&amp;IF(AND($C106&lt;&gt;"",COUNTIF($C$7:$C$1506,$C106)&gt;1),"; Job number on more than one row","")&amp;IF(AND($C106&lt;&gt;"",H106=""),"; Dept has not set a cost centre","")&amp;IF(AND($C106&lt;&gt;"",J106=""),"; Dept has not set a tax code","")&amp;IF(AND($C106&lt;&gt;"",N106=""),"; Dept has not entered an expected value","")&amp;IF((IF(OR(COUNTA(S106:U106)=0,AND(COUNTA(S106:U106)=3,ISNUMBER(U106))),0,1)+IF(OR(COUNTA(V106:X106)=0,AND(COUNTA(V106:X106)=3,ISNUMBER(X106))),0,1)+IF(OR(COUNTA(Y106:AA106)=0,AND(COUNTA(Y106:AA106)=3,ISNUMBER(AA106))),0,1)+IF(OR(COUNTA(AB106:AD106)=0,AND(COUNTA(AB106:AD106)=3,ISNUMBER(AD106))),0,1)+IF(OR(COUNTA(AE106:AG106)=0,AND(COUNTA(AE106:AG106)=3,ISNUMBER(AG106))),0,1)+IF(OR(COUNTA(AH106:AJ106)=0,AND(COUNTA(AH106:AJ106)=3,ISNUMBER(AJ106))),0,1)+IF(OR(COUNTA(AK106:AM106)=0,AND(COUNTA(AK106:AM106)=3,ISNUMBER(AM106))),0,1)+IF(OR(COUNTA(AN106:AP106)=0,AND(COUNTA(AN106:AP106)=3,ISNUMBER(AP106))),0,1)+IF(OR(COUNTA(AQ106:AS106)=0,AND(COUNTA(AQ106:AS106)=3,ISNUMBER(AS106))),0,1)+IF(OR(COUNTA(AT106:AV106)=0,AND(COUNTA(AT106:AV106)=3,ISNUMBER(AV106))),0,1)+IF(OR(COUNTA(AW106:AY106)=0,AND(COUNTA(AW106:AY106)=3,ISNUMBER(AY106))),0,1)+IF(OR(COUNTA(AZ106:BB106)=0,AND(COUNTA(AZ106:BB106)=3,ISNUMBER(BB106))),0,1))&gt;0,"; An invoice is incomplete (needs No, Date and a number in Ex GST)","")&amp;IF((IF(T106="",0,IFERROR(--(EOMONTH(T106,0)&lt;&gt;S$5),1))+IF(W106="",0,IFERROR(--(EOMONTH(W106,0)&lt;&gt;V$5),1))+IF(Z106="",0,IFERROR(--(EOMONTH(Z106,0)&lt;&gt;Y$5),1))+IF(AC106="",0,IFERROR(--(EOMONTH(AC106,0)&lt;&gt;AB$5),1))+IF(AF106="",0,IFERROR(--(EOMONTH(AF106,0)&lt;&gt;AE$5),1))+IF(AI106="",0,IFERROR(--(EOMONTH(AI106,0)&lt;&gt;AH$5),1))+IF(AL106="",0,IFERROR(--(EOMONTH(AL106,0)&lt;&gt;AK$5),1))+IF(AO106="",0,IFERROR(--(EOMONTH(AO106,0)&lt;&gt;AN$5),1))+IF(AR106="",0,IFERROR(--(EOMONTH(AR106,0)&lt;&gt;AQ$5),1))+IF(AU106="",0,IFERROR(--(EOMONTH(AU106,0)&lt;&gt;AT$5),1))+IF(AX106="",0,IFERROR(--(EOMONTH(AX106,0)&lt;&gt;AW$5),1))+IF(BA106="",0,IFERROR(--(EOMONTH(BA106,0)&lt;&gt;AZ$5),1)))&gt;0,"; An invoice date is not in the month it is typed under",""),3,500))</f>
        <v/>
      </c>
      <c r="S106" s="12" t="n"/>
      <c r="T106" s="13" t="n"/>
      <c r="U106" s="14" t="n"/>
      <c r="V106" s="12" t="n"/>
      <c r="W106" s="13" t="n"/>
      <c r="X106" s="14" t="n"/>
      <c r="Y106" s="12" t="n"/>
      <c r="Z106" s="13" t="n"/>
      <c r="AA106" s="14" t="n"/>
      <c r="AB106" s="12" t="n"/>
      <c r="AC106" s="13" t="n"/>
      <c r="AD106" s="14" t="n"/>
      <c r="AE106" s="12" t="n"/>
      <c r="AF106" s="13" t="n"/>
      <c r="AG106" s="14" t="n"/>
      <c r="AH106" s="12" t="n"/>
      <c r="AI106" s="13" t="n"/>
      <c r="AJ106" s="14" t="n"/>
      <c r="AK106" s="12" t="n"/>
      <c r="AL106" s="13" t="n"/>
      <c r="AM106" s="14" t="n"/>
      <c r="AN106" s="12" t="n"/>
      <c r="AO106" s="13" t="n"/>
      <c r="AP106" s="14" t="n"/>
      <c r="AQ106" s="12" t="n"/>
      <c r="AR106" s="13" t="n"/>
      <c r="AS106" s="14" t="n"/>
      <c r="AT106" s="12" t="n"/>
      <c r="AU106" s="13" t="n"/>
      <c r="AV106" s="14" t="n"/>
      <c r="AW106" s="12" t="n"/>
      <c r="AX106" s="13" t="n"/>
      <c r="AY106" s="14" t="n"/>
      <c r="AZ106" s="12" t="n"/>
      <c r="BA106" s="13" t="n"/>
      <c r="BB106" s="14" t="n"/>
      <c r="BC106" s="11">
        <f>IF(O106="","",IF(J106="GST 10%",ROUND(O106*set_GSTRate,2),0))</f>
        <v/>
      </c>
      <c r="BD106" s="11">
        <f>IF(O106="","",O106+BC106)</f>
        <v/>
      </c>
      <c r="BE106" s="15">
        <f>IF(O106="","",COUNTA(S106,V106,Y106,AB106,AE106,AH106,AK106,AN106,AQ106,AT106,AW106,AZ106))</f>
        <v/>
      </c>
      <c r="BF106" s="16">
        <f>IF(COUNT(T106,W106,Z106,AC106,AF106,AI106,AL106,AO106,AR106,AU106,AX106,BA106)=0,"",MAX(T106,W106,Z106,AC106,AF106,AI106,AL106,AO106,AR106,AU106,AX106,BA106))</f>
        <v/>
      </c>
      <c r="BG106" s="10">
        <f>MID(IF(S106="","",", "&amp;S106)&amp;IF(V106="","",", "&amp;V106)&amp;IF(Y106="","",", "&amp;Y106)&amp;IF(AB106="","",", "&amp;AB106)&amp;IF(AE106="","",", "&amp;AE106)&amp;IF(AH106="","",", "&amp;AH106)&amp;IF(AK106="","",", "&amp;AK106)&amp;IF(AN106="","",", "&amp;AN106)&amp;IF(AQ106="","",", "&amp;AQ106)&amp;IF(AT106="","",", "&amp;AT106)&amp;IF(AW106="","",", "&amp;AW106)&amp;IF(AZ106="","",", "&amp;AZ106),3,500)</f>
        <v/>
      </c>
      <c r="BH106" s="12" t="n"/>
      <c r="BI106" s="15">
        <f>IFERROR(MATCH($A106,IF($B106="Onsite",tbl_Onsite[Row ID],IF($B106="Production",tbl_Production[Row ID],tbl_Consulting[Row ID])),0),"")</f>
        <v/>
      </c>
    </row>
    <row r="107">
      <c r="A107" s="10" t="inlineStr">
        <is>
          <t>ONS-0101</t>
        </is>
      </c>
      <c r="B107" s="10" t="inlineStr">
        <is>
          <t>Onsite</t>
        </is>
      </c>
      <c r="C107" s="10">
        <f>IF($BI107="","",IF($B107="Onsite",INDEX(tbl_Onsite[Job Number],$BI107),IF($B107="Production",INDEX(tbl_Production[Job Number],$BI107),INDEX(tbl_Consulting[Job Number],$BI107)))&amp;"")</f>
        <v/>
      </c>
      <c r="D107" s="10">
        <f>IF($BI107="","",IF($B107="Onsite",INDEX(tbl_Onsite[Client],$BI107),IF($B107="Production",INDEX(tbl_Production[Client],$BI107),INDEX(tbl_Consulting[Client],$BI107)))&amp;"")</f>
        <v/>
      </c>
      <c r="E107" s="10">
        <f>IF($C107="","",IF(COUNTIF(lst_Jobs,$C107)&gt;0,"OK","CHECK"))</f>
        <v/>
      </c>
      <c r="F107" s="10">
        <f>IF($C107="","",IFERROR(INDEX(lst_JobName,MATCH($C107,lst_Jobs,0)),""))</f>
        <v/>
      </c>
      <c r="G107" s="10">
        <f>IF($BI107="","",IF($B107="Onsite",INDEX(tbl_Onsite[Job Description],$BI107),IF($B107="Production",INDEX(tbl_Production[Job Description],$BI107),INDEX(tbl_Consulting[Job Description],$BI107)))&amp;"")</f>
        <v/>
      </c>
      <c r="H107" s="10">
        <f>IF($BI107="","",IF($B107="Onsite",INDEX(tbl_Onsite[Cost Centre],$BI107),IF($B107="Production",INDEX(tbl_Production[Cost Centre],$BI107),INDEX(tbl_Consulting[Cost Centre],$BI107)))&amp;"")</f>
        <v/>
      </c>
      <c r="I107" s="10">
        <f>IF($BI107="","",IF($B107="Onsite",INDEX(tbl_Onsite[Invoice Type],$BI107),IF($B107="Production",INDEX(tbl_Production[Invoice Type],$BI107),INDEX(tbl_Consulting[Invoice Type],$BI107)))&amp;"")</f>
        <v/>
      </c>
      <c r="J107" s="10">
        <f>IF($BI107="","",IF($B107="Onsite",INDEX(tbl_Onsite[Tax Code],$BI107),IF($B107="Production",INDEX(tbl_Production[Tax Code],$BI107),INDEX(tbl_Consulting[Tax Code],$BI107)))&amp;"")</f>
        <v/>
      </c>
      <c r="K107" s="10">
        <f>IF(H107="","",IFERROR(INDEX(lst_CCtoGL,MATCH(H107,lst_CCforGL,0)),""))</f>
        <v/>
      </c>
      <c r="L107" s="10">
        <f>IF($BI107="","",IF($B107="Onsite",INDEX(tbl_Onsite[PO / Reference],$BI107),IF($B107="Production",INDEX(tbl_Production[Current RMS No],$BI107),INDEX(tbl_Consulting[Qwilr Quote],$BI107)))&amp;"")</f>
        <v/>
      </c>
      <c r="M107" s="10">
        <f>IF($BI107="","",IF($B107="Onsite",INDEX(tbl_Onsite[Notes],$BI107),IF($B107="Production",INDEX(tbl_Production[Notes],$BI107),INDEX(tbl_Consulting[Notes],$BI107)))&amp;"")</f>
        <v/>
      </c>
      <c r="N107" s="11">
        <f>IF($BI107="","",IF(IF($B107="Onsite",INDEX(tbl_Onsite[Expected Revenue Ex GST],$BI107),IF($B107="Production",INDEX(tbl_Production[Expected Revenue Ex GST],$BI107),INDEX(tbl_Consulting[Expected Revenue Ex GST],$BI107)))="","",IF($B107="Onsite",INDEX(tbl_Onsite[Expected Revenue Ex GST],$BI107),IF($B107="Production",INDEX(tbl_Production[Expected Revenue Ex GST],$BI107),INDEX(tbl_Consulting[Expected Revenue Ex GST],$BI107)))))</f>
        <v/>
      </c>
      <c r="O107" s="11">
        <f>IF(AND($C107="",NOT(COUNTA($S107:$BB107)&gt;0)),"",SUM(U107,X107,AA107,AD107,AG107,AJ107,AM107,AP107,AS107,AV107,AY107,BB107))</f>
        <v/>
      </c>
      <c r="P107" s="11">
        <f>IF(O107="","",N(N107)-O107)</f>
        <v/>
      </c>
      <c r="Q107" s="10">
        <f>IF(O107="","",IF($C107="","Invoice on empty job row",IF(N107="",IF(ROUND(O107,2)=0,"No dept value","Invoiced - no dept value"),IF(ROUND(O107,2)=0,"Not invoiced - to invoice",IF(ROUND(P107,2)=0,"Agrees",IF(P107&gt;0,"Dept higher - to invoice","Xero higher - check dept"))))))</f>
        <v/>
      </c>
      <c r="R107" s="10">
        <f>IF(AND($C107="",NOT(COUNTA($S107:$BB107)&gt;0),$BI107&lt;&gt;""),"",MID(IF($BI107="","; Row ID not found on the department sheet - a row was deleted","")&amp;IF(AND($C107="",COUNTA($S107:$BB107)&gt;0),"; Invoice entered but the department row has no job number","")&amp;IF(E107="CHECK","; Job number not in the Xero job list","")&amp;IF(AND($C107&lt;&gt;"",COUNTIF($C$7:$C$1506,$C107)&gt;1),"; Job number on more than one row","")&amp;IF(AND($C107&lt;&gt;"",H107=""),"; Dept has not set a cost centre","")&amp;IF(AND($C107&lt;&gt;"",J107=""),"; Dept has not set a tax code","")&amp;IF(AND($C107&lt;&gt;"",N107=""),"; Dept has not entered an expected value","")&amp;IF((IF(OR(COUNTA(S107:U107)=0,AND(COUNTA(S107:U107)=3,ISNUMBER(U107))),0,1)+IF(OR(COUNTA(V107:X107)=0,AND(COUNTA(V107:X107)=3,ISNUMBER(X107))),0,1)+IF(OR(COUNTA(Y107:AA107)=0,AND(COUNTA(Y107:AA107)=3,ISNUMBER(AA107))),0,1)+IF(OR(COUNTA(AB107:AD107)=0,AND(COUNTA(AB107:AD107)=3,ISNUMBER(AD107))),0,1)+IF(OR(COUNTA(AE107:AG107)=0,AND(COUNTA(AE107:AG107)=3,ISNUMBER(AG107))),0,1)+IF(OR(COUNTA(AH107:AJ107)=0,AND(COUNTA(AH107:AJ107)=3,ISNUMBER(AJ107))),0,1)+IF(OR(COUNTA(AK107:AM107)=0,AND(COUNTA(AK107:AM107)=3,ISNUMBER(AM107))),0,1)+IF(OR(COUNTA(AN107:AP107)=0,AND(COUNTA(AN107:AP107)=3,ISNUMBER(AP107))),0,1)+IF(OR(COUNTA(AQ107:AS107)=0,AND(COUNTA(AQ107:AS107)=3,ISNUMBER(AS107))),0,1)+IF(OR(COUNTA(AT107:AV107)=0,AND(COUNTA(AT107:AV107)=3,ISNUMBER(AV107))),0,1)+IF(OR(COUNTA(AW107:AY107)=0,AND(COUNTA(AW107:AY107)=3,ISNUMBER(AY107))),0,1)+IF(OR(COUNTA(AZ107:BB107)=0,AND(COUNTA(AZ107:BB107)=3,ISNUMBER(BB107))),0,1))&gt;0,"; An invoice is incomplete (needs No, Date and a number in Ex GST)","")&amp;IF((IF(T107="",0,IFERROR(--(EOMONTH(T107,0)&lt;&gt;S$5),1))+IF(W107="",0,IFERROR(--(EOMONTH(W107,0)&lt;&gt;V$5),1))+IF(Z107="",0,IFERROR(--(EOMONTH(Z107,0)&lt;&gt;Y$5),1))+IF(AC107="",0,IFERROR(--(EOMONTH(AC107,0)&lt;&gt;AB$5),1))+IF(AF107="",0,IFERROR(--(EOMONTH(AF107,0)&lt;&gt;AE$5),1))+IF(AI107="",0,IFERROR(--(EOMONTH(AI107,0)&lt;&gt;AH$5),1))+IF(AL107="",0,IFERROR(--(EOMONTH(AL107,0)&lt;&gt;AK$5),1))+IF(AO107="",0,IFERROR(--(EOMONTH(AO107,0)&lt;&gt;AN$5),1))+IF(AR107="",0,IFERROR(--(EOMONTH(AR107,0)&lt;&gt;AQ$5),1))+IF(AU107="",0,IFERROR(--(EOMONTH(AU107,0)&lt;&gt;AT$5),1))+IF(AX107="",0,IFERROR(--(EOMONTH(AX107,0)&lt;&gt;AW$5),1))+IF(BA107="",0,IFERROR(--(EOMONTH(BA107,0)&lt;&gt;AZ$5),1)))&gt;0,"; An invoice date is not in the month it is typed under",""),3,500))</f>
        <v/>
      </c>
      <c r="S107" s="12" t="n"/>
      <c r="T107" s="13" t="n"/>
      <c r="U107" s="14" t="n"/>
      <c r="V107" s="12" t="n"/>
      <c r="W107" s="13" t="n"/>
      <c r="X107" s="14" t="n"/>
      <c r="Y107" s="12" t="n"/>
      <c r="Z107" s="13" t="n"/>
      <c r="AA107" s="14" t="n"/>
      <c r="AB107" s="12" t="n"/>
      <c r="AC107" s="13" t="n"/>
      <c r="AD107" s="14" t="n"/>
      <c r="AE107" s="12" t="n"/>
      <c r="AF107" s="13" t="n"/>
      <c r="AG107" s="14" t="n"/>
      <c r="AH107" s="12" t="n"/>
      <c r="AI107" s="13" t="n"/>
      <c r="AJ107" s="14" t="n"/>
      <c r="AK107" s="12" t="n"/>
      <c r="AL107" s="13" t="n"/>
      <c r="AM107" s="14" t="n"/>
      <c r="AN107" s="12" t="n"/>
      <c r="AO107" s="13" t="n"/>
      <c r="AP107" s="14" t="n"/>
      <c r="AQ107" s="12" t="n"/>
      <c r="AR107" s="13" t="n"/>
      <c r="AS107" s="14" t="n"/>
      <c r="AT107" s="12" t="n"/>
      <c r="AU107" s="13" t="n"/>
      <c r="AV107" s="14" t="n"/>
      <c r="AW107" s="12" t="n"/>
      <c r="AX107" s="13" t="n"/>
      <c r="AY107" s="14" t="n"/>
      <c r="AZ107" s="12" t="n"/>
      <c r="BA107" s="13" t="n"/>
      <c r="BB107" s="14" t="n"/>
      <c r="BC107" s="11">
        <f>IF(O107="","",IF(J107="GST 10%",ROUND(O107*set_GSTRate,2),0))</f>
        <v/>
      </c>
      <c r="BD107" s="11">
        <f>IF(O107="","",O107+BC107)</f>
        <v/>
      </c>
      <c r="BE107" s="15">
        <f>IF(O107="","",COUNTA(S107,V107,Y107,AB107,AE107,AH107,AK107,AN107,AQ107,AT107,AW107,AZ107))</f>
        <v/>
      </c>
      <c r="BF107" s="16">
        <f>IF(COUNT(T107,W107,Z107,AC107,AF107,AI107,AL107,AO107,AR107,AU107,AX107,BA107)=0,"",MAX(T107,W107,Z107,AC107,AF107,AI107,AL107,AO107,AR107,AU107,AX107,BA107))</f>
        <v/>
      </c>
      <c r="BG107" s="10">
        <f>MID(IF(S107="","",", "&amp;S107)&amp;IF(V107="","",", "&amp;V107)&amp;IF(Y107="","",", "&amp;Y107)&amp;IF(AB107="","",", "&amp;AB107)&amp;IF(AE107="","",", "&amp;AE107)&amp;IF(AH107="","",", "&amp;AH107)&amp;IF(AK107="","",", "&amp;AK107)&amp;IF(AN107="","",", "&amp;AN107)&amp;IF(AQ107="","",", "&amp;AQ107)&amp;IF(AT107="","",", "&amp;AT107)&amp;IF(AW107="","",", "&amp;AW107)&amp;IF(AZ107="","",", "&amp;AZ107),3,500)</f>
        <v/>
      </c>
      <c r="BH107" s="12" t="n"/>
      <c r="BI107" s="15">
        <f>IFERROR(MATCH($A107,IF($B107="Onsite",tbl_Onsite[Row ID],IF($B107="Production",tbl_Production[Row ID],tbl_Consulting[Row ID])),0),"")</f>
        <v/>
      </c>
    </row>
    <row r="108">
      <c r="A108" s="10" t="inlineStr">
        <is>
          <t>ONS-0102</t>
        </is>
      </c>
      <c r="B108" s="10" t="inlineStr">
        <is>
          <t>Onsite</t>
        </is>
      </c>
      <c r="C108" s="10">
        <f>IF($BI108="","",IF($B108="Onsite",INDEX(tbl_Onsite[Job Number],$BI108),IF($B108="Production",INDEX(tbl_Production[Job Number],$BI108),INDEX(tbl_Consulting[Job Number],$BI108)))&amp;"")</f>
        <v/>
      </c>
      <c r="D108" s="10">
        <f>IF($BI108="","",IF($B108="Onsite",INDEX(tbl_Onsite[Client],$BI108),IF($B108="Production",INDEX(tbl_Production[Client],$BI108),INDEX(tbl_Consulting[Client],$BI108)))&amp;"")</f>
        <v/>
      </c>
      <c r="E108" s="10">
        <f>IF($C108="","",IF(COUNTIF(lst_Jobs,$C108)&gt;0,"OK","CHECK"))</f>
        <v/>
      </c>
      <c r="F108" s="10">
        <f>IF($C108="","",IFERROR(INDEX(lst_JobName,MATCH($C108,lst_Jobs,0)),""))</f>
        <v/>
      </c>
      <c r="G108" s="10">
        <f>IF($BI108="","",IF($B108="Onsite",INDEX(tbl_Onsite[Job Description],$BI108),IF($B108="Production",INDEX(tbl_Production[Job Description],$BI108),INDEX(tbl_Consulting[Job Description],$BI108)))&amp;"")</f>
        <v/>
      </c>
      <c r="H108" s="10">
        <f>IF($BI108="","",IF($B108="Onsite",INDEX(tbl_Onsite[Cost Centre],$BI108),IF($B108="Production",INDEX(tbl_Production[Cost Centre],$BI108),INDEX(tbl_Consulting[Cost Centre],$BI108)))&amp;"")</f>
        <v/>
      </c>
      <c r="I108" s="10">
        <f>IF($BI108="","",IF($B108="Onsite",INDEX(tbl_Onsite[Invoice Type],$BI108),IF($B108="Production",INDEX(tbl_Production[Invoice Type],$BI108),INDEX(tbl_Consulting[Invoice Type],$BI108)))&amp;"")</f>
        <v/>
      </c>
      <c r="J108" s="10">
        <f>IF($BI108="","",IF($B108="Onsite",INDEX(tbl_Onsite[Tax Code],$BI108),IF($B108="Production",INDEX(tbl_Production[Tax Code],$BI108),INDEX(tbl_Consulting[Tax Code],$BI108)))&amp;"")</f>
        <v/>
      </c>
      <c r="K108" s="10">
        <f>IF(H108="","",IFERROR(INDEX(lst_CCtoGL,MATCH(H108,lst_CCforGL,0)),""))</f>
        <v/>
      </c>
      <c r="L108" s="10">
        <f>IF($BI108="","",IF($B108="Onsite",INDEX(tbl_Onsite[PO / Reference],$BI108),IF($B108="Production",INDEX(tbl_Production[Current RMS No],$BI108),INDEX(tbl_Consulting[Qwilr Quote],$BI108)))&amp;"")</f>
        <v/>
      </c>
      <c r="M108" s="10">
        <f>IF($BI108="","",IF($B108="Onsite",INDEX(tbl_Onsite[Notes],$BI108),IF($B108="Production",INDEX(tbl_Production[Notes],$BI108),INDEX(tbl_Consulting[Notes],$BI108)))&amp;"")</f>
        <v/>
      </c>
      <c r="N108" s="11">
        <f>IF($BI108="","",IF(IF($B108="Onsite",INDEX(tbl_Onsite[Expected Revenue Ex GST],$BI108),IF($B108="Production",INDEX(tbl_Production[Expected Revenue Ex GST],$BI108),INDEX(tbl_Consulting[Expected Revenue Ex GST],$BI108)))="","",IF($B108="Onsite",INDEX(tbl_Onsite[Expected Revenue Ex GST],$BI108),IF($B108="Production",INDEX(tbl_Production[Expected Revenue Ex GST],$BI108),INDEX(tbl_Consulting[Expected Revenue Ex GST],$BI108)))))</f>
        <v/>
      </c>
      <c r="O108" s="11">
        <f>IF(AND($C108="",NOT(COUNTA($S108:$BB108)&gt;0)),"",SUM(U108,X108,AA108,AD108,AG108,AJ108,AM108,AP108,AS108,AV108,AY108,BB108))</f>
        <v/>
      </c>
      <c r="P108" s="11">
        <f>IF(O108="","",N(N108)-O108)</f>
        <v/>
      </c>
      <c r="Q108" s="10">
        <f>IF(O108="","",IF($C108="","Invoice on empty job row",IF(N108="",IF(ROUND(O108,2)=0,"No dept value","Invoiced - no dept value"),IF(ROUND(O108,2)=0,"Not invoiced - to invoice",IF(ROUND(P108,2)=0,"Agrees",IF(P108&gt;0,"Dept higher - to invoice","Xero higher - check dept"))))))</f>
        <v/>
      </c>
      <c r="R108" s="10">
        <f>IF(AND($C108="",NOT(COUNTA($S108:$BB108)&gt;0),$BI108&lt;&gt;""),"",MID(IF($BI108="","; Row ID not found on the department sheet - a row was deleted","")&amp;IF(AND($C108="",COUNTA($S108:$BB108)&gt;0),"; Invoice entered but the department row has no job number","")&amp;IF(E108="CHECK","; Job number not in the Xero job list","")&amp;IF(AND($C108&lt;&gt;"",COUNTIF($C$7:$C$1506,$C108)&gt;1),"; Job number on more than one row","")&amp;IF(AND($C108&lt;&gt;"",H108=""),"; Dept has not set a cost centre","")&amp;IF(AND($C108&lt;&gt;"",J108=""),"; Dept has not set a tax code","")&amp;IF(AND($C108&lt;&gt;"",N108=""),"; Dept has not entered an expected value","")&amp;IF((IF(OR(COUNTA(S108:U108)=0,AND(COUNTA(S108:U108)=3,ISNUMBER(U108))),0,1)+IF(OR(COUNTA(V108:X108)=0,AND(COUNTA(V108:X108)=3,ISNUMBER(X108))),0,1)+IF(OR(COUNTA(Y108:AA108)=0,AND(COUNTA(Y108:AA108)=3,ISNUMBER(AA108))),0,1)+IF(OR(COUNTA(AB108:AD108)=0,AND(COUNTA(AB108:AD108)=3,ISNUMBER(AD108))),0,1)+IF(OR(COUNTA(AE108:AG108)=0,AND(COUNTA(AE108:AG108)=3,ISNUMBER(AG108))),0,1)+IF(OR(COUNTA(AH108:AJ108)=0,AND(COUNTA(AH108:AJ108)=3,ISNUMBER(AJ108))),0,1)+IF(OR(COUNTA(AK108:AM108)=0,AND(COUNTA(AK108:AM108)=3,ISNUMBER(AM108))),0,1)+IF(OR(COUNTA(AN108:AP108)=0,AND(COUNTA(AN108:AP108)=3,ISNUMBER(AP108))),0,1)+IF(OR(COUNTA(AQ108:AS108)=0,AND(COUNTA(AQ108:AS108)=3,ISNUMBER(AS108))),0,1)+IF(OR(COUNTA(AT108:AV108)=0,AND(COUNTA(AT108:AV108)=3,ISNUMBER(AV108))),0,1)+IF(OR(COUNTA(AW108:AY108)=0,AND(COUNTA(AW108:AY108)=3,ISNUMBER(AY108))),0,1)+IF(OR(COUNTA(AZ108:BB108)=0,AND(COUNTA(AZ108:BB108)=3,ISNUMBER(BB108))),0,1))&gt;0,"; An invoice is incomplete (needs No, Date and a number in Ex GST)","")&amp;IF((IF(T108="",0,IFERROR(--(EOMONTH(T108,0)&lt;&gt;S$5),1))+IF(W108="",0,IFERROR(--(EOMONTH(W108,0)&lt;&gt;V$5),1))+IF(Z108="",0,IFERROR(--(EOMONTH(Z108,0)&lt;&gt;Y$5),1))+IF(AC108="",0,IFERROR(--(EOMONTH(AC108,0)&lt;&gt;AB$5),1))+IF(AF108="",0,IFERROR(--(EOMONTH(AF108,0)&lt;&gt;AE$5),1))+IF(AI108="",0,IFERROR(--(EOMONTH(AI108,0)&lt;&gt;AH$5),1))+IF(AL108="",0,IFERROR(--(EOMONTH(AL108,0)&lt;&gt;AK$5),1))+IF(AO108="",0,IFERROR(--(EOMONTH(AO108,0)&lt;&gt;AN$5),1))+IF(AR108="",0,IFERROR(--(EOMONTH(AR108,0)&lt;&gt;AQ$5),1))+IF(AU108="",0,IFERROR(--(EOMONTH(AU108,0)&lt;&gt;AT$5),1))+IF(AX108="",0,IFERROR(--(EOMONTH(AX108,0)&lt;&gt;AW$5),1))+IF(BA108="",0,IFERROR(--(EOMONTH(BA108,0)&lt;&gt;AZ$5),1)))&gt;0,"; An invoice date is not in the month it is typed under",""),3,500))</f>
        <v/>
      </c>
      <c r="S108" s="12" t="n"/>
      <c r="T108" s="13" t="n"/>
      <c r="U108" s="14" t="n"/>
      <c r="V108" s="12" t="n"/>
      <c r="W108" s="13" t="n"/>
      <c r="X108" s="14" t="n"/>
      <c r="Y108" s="12" t="n"/>
      <c r="Z108" s="13" t="n"/>
      <c r="AA108" s="14" t="n"/>
      <c r="AB108" s="12" t="n"/>
      <c r="AC108" s="13" t="n"/>
      <c r="AD108" s="14" t="n"/>
      <c r="AE108" s="12" t="n"/>
      <c r="AF108" s="13" t="n"/>
      <c r="AG108" s="14" t="n"/>
      <c r="AH108" s="12" t="n"/>
      <c r="AI108" s="13" t="n"/>
      <c r="AJ108" s="14" t="n"/>
      <c r="AK108" s="12" t="n"/>
      <c r="AL108" s="13" t="n"/>
      <c r="AM108" s="14" t="n"/>
      <c r="AN108" s="12" t="n"/>
      <c r="AO108" s="13" t="n"/>
      <c r="AP108" s="14" t="n"/>
      <c r="AQ108" s="12" t="n"/>
      <c r="AR108" s="13" t="n"/>
      <c r="AS108" s="14" t="n"/>
      <c r="AT108" s="12" t="n"/>
      <c r="AU108" s="13" t="n"/>
      <c r="AV108" s="14" t="n"/>
      <c r="AW108" s="12" t="n"/>
      <c r="AX108" s="13" t="n"/>
      <c r="AY108" s="14" t="n"/>
      <c r="AZ108" s="12" t="n"/>
      <c r="BA108" s="13" t="n"/>
      <c r="BB108" s="14" t="n"/>
      <c r="BC108" s="11">
        <f>IF(O108="","",IF(J108="GST 10%",ROUND(O108*set_GSTRate,2),0))</f>
        <v/>
      </c>
      <c r="BD108" s="11">
        <f>IF(O108="","",O108+BC108)</f>
        <v/>
      </c>
      <c r="BE108" s="15">
        <f>IF(O108="","",COUNTA(S108,V108,Y108,AB108,AE108,AH108,AK108,AN108,AQ108,AT108,AW108,AZ108))</f>
        <v/>
      </c>
      <c r="BF108" s="16">
        <f>IF(COUNT(T108,W108,Z108,AC108,AF108,AI108,AL108,AO108,AR108,AU108,AX108,BA108)=0,"",MAX(T108,W108,Z108,AC108,AF108,AI108,AL108,AO108,AR108,AU108,AX108,BA108))</f>
        <v/>
      </c>
      <c r="BG108" s="10">
        <f>MID(IF(S108="","",", "&amp;S108)&amp;IF(V108="","",", "&amp;V108)&amp;IF(Y108="","",", "&amp;Y108)&amp;IF(AB108="","",", "&amp;AB108)&amp;IF(AE108="","",", "&amp;AE108)&amp;IF(AH108="","",", "&amp;AH108)&amp;IF(AK108="","",", "&amp;AK108)&amp;IF(AN108="","",", "&amp;AN108)&amp;IF(AQ108="","",", "&amp;AQ108)&amp;IF(AT108="","",", "&amp;AT108)&amp;IF(AW108="","",", "&amp;AW108)&amp;IF(AZ108="","",", "&amp;AZ108),3,500)</f>
        <v/>
      </c>
      <c r="BH108" s="12" t="n"/>
      <c r="BI108" s="15">
        <f>IFERROR(MATCH($A108,IF($B108="Onsite",tbl_Onsite[Row ID],IF($B108="Production",tbl_Production[Row ID],tbl_Consulting[Row ID])),0),"")</f>
        <v/>
      </c>
    </row>
    <row r="109">
      <c r="A109" s="10" t="inlineStr">
        <is>
          <t>ONS-0103</t>
        </is>
      </c>
      <c r="B109" s="10" t="inlineStr">
        <is>
          <t>Onsite</t>
        </is>
      </c>
      <c r="C109" s="10">
        <f>IF($BI109="","",IF($B109="Onsite",INDEX(tbl_Onsite[Job Number],$BI109),IF($B109="Production",INDEX(tbl_Production[Job Number],$BI109),INDEX(tbl_Consulting[Job Number],$BI109)))&amp;"")</f>
        <v/>
      </c>
      <c r="D109" s="10">
        <f>IF($BI109="","",IF($B109="Onsite",INDEX(tbl_Onsite[Client],$BI109),IF($B109="Production",INDEX(tbl_Production[Client],$BI109),INDEX(tbl_Consulting[Client],$BI109)))&amp;"")</f>
        <v/>
      </c>
      <c r="E109" s="10">
        <f>IF($C109="","",IF(COUNTIF(lst_Jobs,$C109)&gt;0,"OK","CHECK"))</f>
        <v/>
      </c>
      <c r="F109" s="10">
        <f>IF($C109="","",IFERROR(INDEX(lst_JobName,MATCH($C109,lst_Jobs,0)),""))</f>
        <v/>
      </c>
      <c r="G109" s="10">
        <f>IF($BI109="","",IF($B109="Onsite",INDEX(tbl_Onsite[Job Description],$BI109),IF($B109="Production",INDEX(tbl_Production[Job Description],$BI109),INDEX(tbl_Consulting[Job Description],$BI109)))&amp;"")</f>
        <v/>
      </c>
      <c r="H109" s="10">
        <f>IF($BI109="","",IF($B109="Onsite",INDEX(tbl_Onsite[Cost Centre],$BI109),IF($B109="Production",INDEX(tbl_Production[Cost Centre],$BI109),INDEX(tbl_Consulting[Cost Centre],$BI109)))&amp;"")</f>
        <v/>
      </c>
      <c r="I109" s="10">
        <f>IF($BI109="","",IF($B109="Onsite",INDEX(tbl_Onsite[Invoice Type],$BI109),IF($B109="Production",INDEX(tbl_Production[Invoice Type],$BI109),INDEX(tbl_Consulting[Invoice Type],$BI109)))&amp;"")</f>
        <v/>
      </c>
      <c r="J109" s="10">
        <f>IF($BI109="","",IF($B109="Onsite",INDEX(tbl_Onsite[Tax Code],$BI109),IF($B109="Production",INDEX(tbl_Production[Tax Code],$BI109),INDEX(tbl_Consulting[Tax Code],$BI109)))&amp;"")</f>
        <v/>
      </c>
      <c r="K109" s="10">
        <f>IF(H109="","",IFERROR(INDEX(lst_CCtoGL,MATCH(H109,lst_CCforGL,0)),""))</f>
        <v/>
      </c>
      <c r="L109" s="10">
        <f>IF($BI109="","",IF($B109="Onsite",INDEX(tbl_Onsite[PO / Reference],$BI109),IF($B109="Production",INDEX(tbl_Production[Current RMS No],$BI109),INDEX(tbl_Consulting[Qwilr Quote],$BI109)))&amp;"")</f>
        <v/>
      </c>
      <c r="M109" s="10">
        <f>IF($BI109="","",IF($B109="Onsite",INDEX(tbl_Onsite[Notes],$BI109),IF($B109="Production",INDEX(tbl_Production[Notes],$BI109),INDEX(tbl_Consulting[Notes],$BI109)))&amp;"")</f>
        <v/>
      </c>
      <c r="N109" s="11">
        <f>IF($BI109="","",IF(IF($B109="Onsite",INDEX(tbl_Onsite[Expected Revenue Ex GST],$BI109),IF($B109="Production",INDEX(tbl_Production[Expected Revenue Ex GST],$BI109),INDEX(tbl_Consulting[Expected Revenue Ex GST],$BI109)))="","",IF($B109="Onsite",INDEX(tbl_Onsite[Expected Revenue Ex GST],$BI109),IF($B109="Production",INDEX(tbl_Production[Expected Revenue Ex GST],$BI109),INDEX(tbl_Consulting[Expected Revenue Ex GST],$BI109)))))</f>
        <v/>
      </c>
      <c r="O109" s="11">
        <f>IF(AND($C109="",NOT(COUNTA($S109:$BB109)&gt;0)),"",SUM(U109,X109,AA109,AD109,AG109,AJ109,AM109,AP109,AS109,AV109,AY109,BB109))</f>
        <v/>
      </c>
      <c r="P109" s="11">
        <f>IF(O109="","",N(N109)-O109)</f>
        <v/>
      </c>
      <c r="Q109" s="10">
        <f>IF(O109="","",IF($C109="","Invoice on empty job row",IF(N109="",IF(ROUND(O109,2)=0,"No dept value","Invoiced - no dept value"),IF(ROUND(O109,2)=0,"Not invoiced - to invoice",IF(ROUND(P109,2)=0,"Agrees",IF(P109&gt;0,"Dept higher - to invoice","Xero higher - check dept"))))))</f>
        <v/>
      </c>
      <c r="R109" s="10">
        <f>IF(AND($C109="",NOT(COUNTA($S109:$BB109)&gt;0),$BI109&lt;&gt;""),"",MID(IF($BI109="","; Row ID not found on the department sheet - a row was deleted","")&amp;IF(AND($C109="",COUNTA($S109:$BB109)&gt;0),"; Invoice entered but the department row has no job number","")&amp;IF(E109="CHECK","; Job number not in the Xero job list","")&amp;IF(AND($C109&lt;&gt;"",COUNTIF($C$7:$C$1506,$C109)&gt;1),"; Job number on more than one row","")&amp;IF(AND($C109&lt;&gt;"",H109=""),"; Dept has not set a cost centre","")&amp;IF(AND($C109&lt;&gt;"",J109=""),"; Dept has not set a tax code","")&amp;IF(AND($C109&lt;&gt;"",N109=""),"; Dept has not entered an expected value","")&amp;IF((IF(OR(COUNTA(S109:U109)=0,AND(COUNTA(S109:U109)=3,ISNUMBER(U109))),0,1)+IF(OR(COUNTA(V109:X109)=0,AND(COUNTA(V109:X109)=3,ISNUMBER(X109))),0,1)+IF(OR(COUNTA(Y109:AA109)=0,AND(COUNTA(Y109:AA109)=3,ISNUMBER(AA109))),0,1)+IF(OR(COUNTA(AB109:AD109)=0,AND(COUNTA(AB109:AD109)=3,ISNUMBER(AD109))),0,1)+IF(OR(COUNTA(AE109:AG109)=0,AND(COUNTA(AE109:AG109)=3,ISNUMBER(AG109))),0,1)+IF(OR(COUNTA(AH109:AJ109)=0,AND(COUNTA(AH109:AJ109)=3,ISNUMBER(AJ109))),0,1)+IF(OR(COUNTA(AK109:AM109)=0,AND(COUNTA(AK109:AM109)=3,ISNUMBER(AM109))),0,1)+IF(OR(COUNTA(AN109:AP109)=0,AND(COUNTA(AN109:AP109)=3,ISNUMBER(AP109))),0,1)+IF(OR(COUNTA(AQ109:AS109)=0,AND(COUNTA(AQ109:AS109)=3,ISNUMBER(AS109))),0,1)+IF(OR(COUNTA(AT109:AV109)=0,AND(COUNTA(AT109:AV109)=3,ISNUMBER(AV109))),0,1)+IF(OR(COUNTA(AW109:AY109)=0,AND(COUNTA(AW109:AY109)=3,ISNUMBER(AY109))),0,1)+IF(OR(COUNTA(AZ109:BB109)=0,AND(COUNTA(AZ109:BB109)=3,ISNUMBER(BB109))),0,1))&gt;0,"; An invoice is incomplete (needs No, Date and a number in Ex GST)","")&amp;IF((IF(T109="",0,IFERROR(--(EOMONTH(T109,0)&lt;&gt;S$5),1))+IF(W109="",0,IFERROR(--(EOMONTH(W109,0)&lt;&gt;V$5),1))+IF(Z109="",0,IFERROR(--(EOMONTH(Z109,0)&lt;&gt;Y$5),1))+IF(AC109="",0,IFERROR(--(EOMONTH(AC109,0)&lt;&gt;AB$5),1))+IF(AF109="",0,IFERROR(--(EOMONTH(AF109,0)&lt;&gt;AE$5),1))+IF(AI109="",0,IFERROR(--(EOMONTH(AI109,0)&lt;&gt;AH$5),1))+IF(AL109="",0,IFERROR(--(EOMONTH(AL109,0)&lt;&gt;AK$5),1))+IF(AO109="",0,IFERROR(--(EOMONTH(AO109,0)&lt;&gt;AN$5),1))+IF(AR109="",0,IFERROR(--(EOMONTH(AR109,0)&lt;&gt;AQ$5),1))+IF(AU109="",0,IFERROR(--(EOMONTH(AU109,0)&lt;&gt;AT$5),1))+IF(AX109="",0,IFERROR(--(EOMONTH(AX109,0)&lt;&gt;AW$5),1))+IF(BA109="",0,IFERROR(--(EOMONTH(BA109,0)&lt;&gt;AZ$5),1)))&gt;0,"; An invoice date is not in the month it is typed under",""),3,500))</f>
        <v/>
      </c>
      <c r="S109" s="12" t="n"/>
      <c r="T109" s="13" t="n"/>
      <c r="U109" s="14" t="n"/>
      <c r="V109" s="12" t="n"/>
      <c r="W109" s="13" t="n"/>
      <c r="X109" s="14" t="n"/>
      <c r="Y109" s="12" t="n"/>
      <c r="Z109" s="13" t="n"/>
      <c r="AA109" s="14" t="n"/>
      <c r="AB109" s="12" t="n"/>
      <c r="AC109" s="13" t="n"/>
      <c r="AD109" s="14" t="n"/>
      <c r="AE109" s="12" t="n"/>
      <c r="AF109" s="13" t="n"/>
      <c r="AG109" s="14" t="n"/>
      <c r="AH109" s="12" t="n"/>
      <c r="AI109" s="13" t="n"/>
      <c r="AJ109" s="14" t="n"/>
      <c r="AK109" s="12" t="n"/>
      <c r="AL109" s="13" t="n"/>
      <c r="AM109" s="14" t="n"/>
      <c r="AN109" s="12" t="n"/>
      <c r="AO109" s="13" t="n"/>
      <c r="AP109" s="14" t="n"/>
      <c r="AQ109" s="12" t="n"/>
      <c r="AR109" s="13" t="n"/>
      <c r="AS109" s="14" t="n"/>
      <c r="AT109" s="12" t="n"/>
      <c r="AU109" s="13" t="n"/>
      <c r="AV109" s="14" t="n"/>
      <c r="AW109" s="12" t="n"/>
      <c r="AX109" s="13" t="n"/>
      <c r="AY109" s="14" t="n"/>
      <c r="AZ109" s="12" t="n"/>
      <c r="BA109" s="13" t="n"/>
      <c r="BB109" s="14" t="n"/>
      <c r="BC109" s="11">
        <f>IF(O109="","",IF(J109="GST 10%",ROUND(O109*set_GSTRate,2),0))</f>
        <v/>
      </c>
      <c r="BD109" s="11">
        <f>IF(O109="","",O109+BC109)</f>
        <v/>
      </c>
      <c r="BE109" s="15">
        <f>IF(O109="","",COUNTA(S109,V109,Y109,AB109,AE109,AH109,AK109,AN109,AQ109,AT109,AW109,AZ109))</f>
        <v/>
      </c>
      <c r="BF109" s="16">
        <f>IF(COUNT(T109,W109,Z109,AC109,AF109,AI109,AL109,AO109,AR109,AU109,AX109,BA109)=0,"",MAX(T109,W109,Z109,AC109,AF109,AI109,AL109,AO109,AR109,AU109,AX109,BA109))</f>
        <v/>
      </c>
      <c r="BG109" s="10">
        <f>MID(IF(S109="","",", "&amp;S109)&amp;IF(V109="","",", "&amp;V109)&amp;IF(Y109="","",", "&amp;Y109)&amp;IF(AB109="","",", "&amp;AB109)&amp;IF(AE109="","",", "&amp;AE109)&amp;IF(AH109="","",", "&amp;AH109)&amp;IF(AK109="","",", "&amp;AK109)&amp;IF(AN109="","",", "&amp;AN109)&amp;IF(AQ109="","",", "&amp;AQ109)&amp;IF(AT109="","",", "&amp;AT109)&amp;IF(AW109="","",", "&amp;AW109)&amp;IF(AZ109="","",", "&amp;AZ109),3,500)</f>
        <v/>
      </c>
      <c r="BH109" s="12" t="n"/>
      <c r="BI109" s="15">
        <f>IFERROR(MATCH($A109,IF($B109="Onsite",tbl_Onsite[Row ID],IF($B109="Production",tbl_Production[Row ID],tbl_Consulting[Row ID])),0),"")</f>
        <v/>
      </c>
    </row>
    <row r="110">
      <c r="A110" s="10" t="inlineStr">
        <is>
          <t>ONS-0104</t>
        </is>
      </c>
      <c r="B110" s="10" t="inlineStr">
        <is>
          <t>Onsite</t>
        </is>
      </c>
      <c r="C110" s="10">
        <f>IF($BI110="","",IF($B110="Onsite",INDEX(tbl_Onsite[Job Number],$BI110),IF($B110="Production",INDEX(tbl_Production[Job Number],$BI110),INDEX(tbl_Consulting[Job Number],$BI110)))&amp;"")</f>
        <v/>
      </c>
      <c r="D110" s="10">
        <f>IF($BI110="","",IF($B110="Onsite",INDEX(tbl_Onsite[Client],$BI110),IF($B110="Production",INDEX(tbl_Production[Client],$BI110),INDEX(tbl_Consulting[Client],$BI110)))&amp;"")</f>
        <v/>
      </c>
      <c r="E110" s="10">
        <f>IF($C110="","",IF(COUNTIF(lst_Jobs,$C110)&gt;0,"OK","CHECK"))</f>
        <v/>
      </c>
      <c r="F110" s="10">
        <f>IF($C110="","",IFERROR(INDEX(lst_JobName,MATCH($C110,lst_Jobs,0)),""))</f>
        <v/>
      </c>
      <c r="G110" s="10">
        <f>IF($BI110="","",IF($B110="Onsite",INDEX(tbl_Onsite[Job Description],$BI110),IF($B110="Production",INDEX(tbl_Production[Job Description],$BI110),INDEX(tbl_Consulting[Job Description],$BI110)))&amp;"")</f>
        <v/>
      </c>
      <c r="H110" s="10">
        <f>IF($BI110="","",IF($B110="Onsite",INDEX(tbl_Onsite[Cost Centre],$BI110),IF($B110="Production",INDEX(tbl_Production[Cost Centre],$BI110),INDEX(tbl_Consulting[Cost Centre],$BI110)))&amp;"")</f>
        <v/>
      </c>
      <c r="I110" s="10">
        <f>IF($BI110="","",IF($B110="Onsite",INDEX(tbl_Onsite[Invoice Type],$BI110),IF($B110="Production",INDEX(tbl_Production[Invoice Type],$BI110),INDEX(tbl_Consulting[Invoice Type],$BI110)))&amp;"")</f>
        <v/>
      </c>
      <c r="J110" s="10">
        <f>IF($BI110="","",IF($B110="Onsite",INDEX(tbl_Onsite[Tax Code],$BI110),IF($B110="Production",INDEX(tbl_Production[Tax Code],$BI110),INDEX(tbl_Consulting[Tax Code],$BI110)))&amp;"")</f>
        <v/>
      </c>
      <c r="K110" s="10">
        <f>IF(H110="","",IFERROR(INDEX(lst_CCtoGL,MATCH(H110,lst_CCforGL,0)),""))</f>
        <v/>
      </c>
      <c r="L110" s="10">
        <f>IF($BI110="","",IF($B110="Onsite",INDEX(tbl_Onsite[PO / Reference],$BI110),IF($B110="Production",INDEX(tbl_Production[Current RMS No],$BI110),INDEX(tbl_Consulting[Qwilr Quote],$BI110)))&amp;"")</f>
        <v/>
      </c>
      <c r="M110" s="10">
        <f>IF($BI110="","",IF($B110="Onsite",INDEX(tbl_Onsite[Notes],$BI110),IF($B110="Production",INDEX(tbl_Production[Notes],$BI110),INDEX(tbl_Consulting[Notes],$BI110)))&amp;"")</f>
        <v/>
      </c>
      <c r="N110" s="11">
        <f>IF($BI110="","",IF(IF($B110="Onsite",INDEX(tbl_Onsite[Expected Revenue Ex GST],$BI110),IF($B110="Production",INDEX(tbl_Production[Expected Revenue Ex GST],$BI110),INDEX(tbl_Consulting[Expected Revenue Ex GST],$BI110)))="","",IF($B110="Onsite",INDEX(tbl_Onsite[Expected Revenue Ex GST],$BI110),IF($B110="Production",INDEX(tbl_Production[Expected Revenue Ex GST],$BI110),INDEX(tbl_Consulting[Expected Revenue Ex GST],$BI110)))))</f>
        <v/>
      </c>
      <c r="O110" s="11">
        <f>IF(AND($C110="",NOT(COUNTA($S110:$BB110)&gt;0)),"",SUM(U110,X110,AA110,AD110,AG110,AJ110,AM110,AP110,AS110,AV110,AY110,BB110))</f>
        <v/>
      </c>
      <c r="P110" s="11">
        <f>IF(O110="","",N(N110)-O110)</f>
        <v/>
      </c>
      <c r="Q110" s="10">
        <f>IF(O110="","",IF($C110="","Invoice on empty job row",IF(N110="",IF(ROUND(O110,2)=0,"No dept value","Invoiced - no dept value"),IF(ROUND(O110,2)=0,"Not invoiced - to invoice",IF(ROUND(P110,2)=0,"Agrees",IF(P110&gt;0,"Dept higher - to invoice","Xero higher - check dept"))))))</f>
        <v/>
      </c>
      <c r="R110" s="10">
        <f>IF(AND($C110="",NOT(COUNTA($S110:$BB110)&gt;0),$BI110&lt;&gt;""),"",MID(IF($BI110="","; Row ID not found on the department sheet - a row was deleted","")&amp;IF(AND($C110="",COUNTA($S110:$BB110)&gt;0),"; Invoice entered but the department row has no job number","")&amp;IF(E110="CHECK","; Job number not in the Xero job list","")&amp;IF(AND($C110&lt;&gt;"",COUNTIF($C$7:$C$1506,$C110)&gt;1),"; Job number on more than one row","")&amp;IF(AND($C110&lt;&gt;"",H110=""),"; Dept has not set a cost centre","")&amp;IF(AND($C110&lt;&gt;"",J110=""),"; Dept has not set a tax code","")&amp;IF(AND($C110&lt;&gt;"",N110=""),"; Dept has not entered an expected value","")&amp;IF((IF(OR(COUNTA(S110:U110)=0,AND(COUNTA(S110:U110)=3,ISNUMBER(U110))),0,1)+IF(OR(COUNTA(V110:X110)=0,AND(COUNTA(V110:X110)=3,ISNUMBER(X110))),0,1)+IF(OR(COUNTA(Y110:AA110)=0,AND(COUNTA(Y110:AA110)=3,ISNUMBER(AA110))),0,1)+IF(OR(COUNTA(AB110:AD110)=0,AND(COUNTA(AB110:AD110)=3,ISNUMBER(AD110))),0,1)+IF(OR(COUNTA(AE110:AG110)=0,AND(COUNTA(AE110:AG110)=3,ISNUMBER(AG110))),0,1)+IF(OR(COUNTA(AH110:AJ110)=0,AND(COUNTA(AH110:AJ110)=3,ISNUMBER(AJ110))),0,1)+IF(OR(COUNTA(AK110:AM110)=0,AND(COUNTA(AK110:AM110)=3,ISNUMBER(AM110))),0,1)+IF(OR(COUNTA(AN110:AP110)=0,AND(COUNTA(AN110:AP110)=3,ISNUMBER(AP110))),0,1)+IF(OR(COUNTA(AQ110:AS110)=0,AND(COUNTA(AQ110:AS110)=3,ISNUMBER(AS110))),0,1)+IF(OR(COUNTA(AT110:AV110)=0,AND(COUNTA(AT110:AV110)=3,ISNUMBER(AV110))),0,1)+IF(OR(COUNTA(AW110:AY110)=0,AND(COUNTA(AW110:AY110)=3,ISNUMBER(AY110))),0,1)+IF(OR(COUNTA(AZ110:BB110)=0,AND(COUNTA(AZ110:BB110)=3,ISNUMBER(BB110))),0,1))&gt;0,"; An invoice is incomplete (needs No, Date and a number in Ex GST)","")&amp;IF((IF(T110="",0,IFERROR(--(EOMONTH(T110,0)&lt;&gt;S$5),1))+IF(W110="",0,IFERROR(--(EOMONTH(W110,0)&lt;&gt;V$5),1))+IF(Z110="",0,IFERROR(--(EOMONTH(Z110,0)&lt;&gt;Y$5),1))+IF(AC110="",0,IFERROR(--(EOMONTH(AC110,0)&lt;&gt;AB$5),1))+IF(AF110="",0,IFERROR(--(EOMONTH(AF110,0)&lt;&gt;AE$5),1))+IF(AI110="",0,IFERROR(--(EOMONTH(AI110,0)&lt;&gt;AH$5),1))+IF(AL110="",0,IFERROR(--(EOMONTH(AL110,0)&lt;&gt;AK$5),1))+IF(AO110="",0,IFERROR(--(EOMONTH(AO110,0)&lt;&gt;AN$5),1))+IF(AR110="",0,IFERROR(--(EOMONTH(AR110,0)&lt;&gt;AQ$5),1))+IF(AU110="",0,IFERROR(--(EOMONTH(AU110,0)&lt;&gt;AT$5),1))+IF(AX110="",0,IFERROR(--(EOMONTH(AX110,0)&lt;&gt;AW$5),1))+IF(BA110="",0,IFERROR(--(EOMONTH(BA110,0)&lt;&gt;AZ$5),1)))&gt;0,"; An invoice date is not in the month it is typed under",""),3,500))</f>
        <v/>
      </c>
      <c r="S110" s="12" t="n"/>
      <c r="T110" s="13" t="n"/>
      <c r="U110" s="14" t="n"/>
      <c r="V110" s="12" t="n"/>
      <c r="W110" s="13" t="n"/>
      <c r="X110" s="14" t="n"/>
      <c r="Y110" s="12" t="n"/>
      <c r="Z110" s="13" t="n"/>
      <c r="AA110" s="14" t="n"/>
      <c r="AB110" s="12" t="n"/>
      <c r="AC110" s="13" t="n"/>
      <c r="AD110" s="14" t="n"/>
      <c r="AE110" s="12" t="n"/>
      <c r="AF110" s="13" t="n"/>
      <c r="AG110" s="14" t="n"/>
      <c r="AH110" s="12" t="n"/>
      <c r="AI110" s="13" t="n"/>
      <c r="AJ110" s="14" t="n"/>
      <c r="AK110" s="12" t="n"/>
      <c r="AL110" s="13" t="n"/>
      <c r="AM110" s="14" t="n"/>
      <c r="AN110" s="12" t="n"/>
      <c r="AO110" s="13" t="n"/>
      <c r="AP110" s="14" t="n"/>
      <c r="AQ110" s="12" t="n"/>
      <c r="AR110" s="13" t="n"/>
      <c r="AS110" s="14" t="n"/>
      <c r="AT110" s="12" t="n"/>
      <c r="AU110" s="13" t="n"/>
      <c r="AV110" s="14" t="n"/>
      <c r="AW110" s="12" t="n"/>
      <c r="AX110" s="13" t="n"/>
      <c r="AY110" s="14" t="n"/>
      <c r="AZ110" s="12" t="n"/>
      <c r="BA110" s="13" t="n"/>
      <c r="BB110" s="14" t="n"/>
      <c r="BC110" s="11">
        <f>IF(O110="","",IF(J110="GST 10%",ROUND(O110*set_GSTRate,2),0))</f>
        <v/>
      </c>
      <c r="BD110" s="11">
        <f>IF(O110="","",O110+BC110)</f>
        <v/>
      </c>
      <c r="BE110" s="15">
        <f>IF(O110="","",COUNTA(S110,V110,Y110,AB110,AE110,AH110,AK110,AN110,AQ110,AT110,AW110,AZ110))</f>
        <v/>
      </c>
      <c r="BF110" s="16">
        <f>IF(COUNT(T110,W110,Z110,AC110,AF110,AI110,AL110,AO110,AR110,AU110,AX110,BA110)=0,"",MAX(T110,W110,Z110,AC110,AF110,AI110,AL110,AO110,AR110,AU110,AX110,BA110))</f>
        <v/>
      </c>
      <c r="BG110" s="10">
        <f>MID(IF(S110="","",", "&amp;S110)&amp;IF(V110="","",", "&amp;V110)&amp;IF(Y110="","",", "&amp;Y110)&amp;IF(AB110="","",", "&amp;AB110)&amp;IF(AE110="","",", "&amp;AE110)&amp;IF(AH110="","",", "&amp;AH110)&amp;IF(AK110="","",", "&amp;AK110)&amp;IF(AN110="","",", "&amp;AN110)&amp;IF(AQ110="","",", "&amp;AQ110)&amp;IF(AT110="","",", "&amp;AT110)&amp;IF(AW110="","",", "&amp;AW110)&amp;IF(AZ110="","",", "&amp;AZ110),3,500)</f>
        <v/>
      </c>
      <c r="BH110" s="12" t="n"/>
      <c r="BI110" s="15">
        <f>IFERROR(MATCH($A110,IF($B110="Onsite",tbl_Onsite[Row ID],IF($B110="Production",tbl_Production[Row ID],tbl_Consulting[Row ID])),0),"")</f>
        <v/>
      </c>
    </row>
    <row r="111">
      <c r="A111" s="10" t="inlineStr">
        <is>
          <t>ONS-0105</t>
        </is>
      </c>
      <c r="B111" s="10" t="inlineStr">
        <is>
          <t>Onsite</t>
        </is>
      </c>
      <c r="C111" s="10">
        <f>IF($BI111="","",IF($B111="Onsite",INDEX(tbl_Onsite[Job Number],$BI111),IF($B111="Production",INDEX(tbl_Production[Job Number],$BI111),INDEX(tbl_Consulting[Job Number],$BI111)))&amp;"")</f>
        <v/>
      </c>
      <c r="D111" s="10">
        <f>IF($BI111="","",IF($B111="Onsite",INDEX(tbl_Onsite[Client],$BI111),IF($B111="Production",INDEX(tbl_Production[Client],$BI111),INDEX(tbl_Consulting[Client],$BI111)))&amp;"")</f>
        <v/>
      </c>
      <c r="E111" s="10">
        <f>IF($C111="","",IF(COUNTIF(lst_Jobs,$C111)&gt;0,"OK","CHECK"))</f>
        <v/>
      </c>
      <c r="F111" s="10">
        <f>IF($C111="","",IFERROR(INDEX(lst_JobName,MATCH($C111,lst_Jobs,0)),""))</f>
        <v/>
      </c>
      <c r="G111" s="10">
        <f>IF($BI111="","",IF($B111="Onsite",INDEX(tbl_Onsite[Job Description],$BI111),IF($B111="Production",INDEX(tbl_Production[Job Description],$BI111),INDEX(tbl_Consulting[Job Description],$BI111)))&amp;"")</f>
        <v/>
      </c>
      <c r="H111" s="10">
        <f>IF($BI111="","",IF($B111="Onsite",INDEX(tbl_Onsite[Cost Centre],$BI111),IF($B111="Production",INDEX(tbl_Production[Cost Centre],$BI111),INDEX(tbl_Consulting[Cost Centre],$BI111)))&amp;"")</f>
        <v/>
      </c>
      <c r="I111" s="10">
        <f>IF($BI111="","",IF($B111="Onsite",INDEX(tbl_Onsite[Invoice Type],$BI111),IF($B111="Production",INDEX(tbl_Production[Invoice Type],$BI111),INDEX(tbl_Consulting[Invoice Type],$BI111)))&amp;"")</f>
        <v/>
      </c>
      <c r="J111" s="10">
        <f>IF($BI111="","",IF($B111="Onsite",INDEX(tbl_Onsite[Tax Code],$BI111),IF($B111="Production",INDEX(tbl_Production[Tax Code],$BI111),INDEX(tbl_Consulting[Tax Code],$BI111)))&amp;"")</f>
        <v/>
      </c>
      <c r="K111" s="10">
        <f>IF(H111="","",IFERROR(INDEX(lst_CCtoGL,MATCH(H111,lst_CCforGL,0)),""))</f>
        <v/>
      </c>
      <c r="L111" s="10">
        <f>IF($BI111="","",IF($B111="Onsite",INDEX(tbl_Onsite[PO / Reference],$BI111),IF($B111="Production",INDEX(tbl_Production[Current RMS No],$BI111),INDEX(tbl_Consulting[Qwilr Quote],$BI111)))&amp;"")</f>
        <v/>
      </c>
      <c r="M111" s="10">
        <f>IF($BI111="","",IF($B111="Onsite",INDEX(tbl_Onsite[Notes],$BI111),IF($B111="Production",INDEX(tbl_Production[Notes],$BI111),INDEX(tbl_Consulting[Notes],$BI111)))&amp;"")</f>
        <v/>
      </c>
      <c r="N111" s="11">
        <f>IF($BI111="","",IF(IF($B111="Onsite",INDEX(tbl_Onsite[Expected Revenue Ex GST],$BI111),IF($B111="Production",INDEX(tbl_Production[Expected Revenue Ex GST],$BI111),INDEX(tbl_Consulting[Expected Revenue Ex GST],$BI111)))="","",IF($B111="Onsite",INDEX(tbl_Onsite[Expected Revenue Ex GST],$BI111),IF($B111="Production",INDEX(tbl_Production[Expected Revenue Ex GST],$BI111),INDEX(tbl_Consulting[Expected Revenue Ex GST],$BI111)))))</f>
        <v/>
      </c>
      <c r="O111" s="11">
        <f>IF(AND($C111="",NOT(COUNTA($S111:$BB111)&gt;0)),"",SUM(U111,X111,AA111,AD111,AG111,AJ111,AM111,AP111,AS111,AV111,AY111,BB111))</f>
        <v/>
      </c>
      <c r="P111" s="11">
        <f>IF(O111="","",N(N111)-O111)</f>
        <v/>
      </c>
      <c r="Q111" s="10">
        <f>IF(O111="","",IF($C111="","Invoice on empty job row",IF(N111="",IF(ROUND(O111,2)=0,"No dept value","Invoiced - no dept value"),IF(ROUND(O111,2)=0,"Not invoiced - to invoice",IF(ROUND(P111,2)=0,"Agrees",IF(P111&gt;0,"Dept higher - to invoice","Xero higher - check dept"))))))</f>
        <v/>
      </c>
      <c r="R111" s="10">
        <f>IF(AND($C111="",NOT(COUNTA($S111:$BB111)&gt;0),$BI111&lt;&gt;""),"",MID(IF($BI111="","; Row ID not found on the department sheet - a row was deleted","")&amp;IF(AND($C111="",COUNTA($S111:$BB111)&gt;0),"; Invoice entered but the department row has no job number","")&amp;IF(E111="CHECK","; Job number not in the Xero job list","")&amp;IF(AND($C111&lt;&gt;"",COUNTIF($C$7:$C$1506,$C111)&gt;1),"; Job number on more than one row","")&amp;IF(AND($C111&lt;&gt;"",H111=""),"; Dept has not set a cost centre","")&amp;IF(AND($C111&lt;&gt;"",J111=""),"; Dept has not set a tax code","")&amp;IF(AND($C111&lt;&gt;"",N111=""),"; Dept has not entered an expected value","")&amp;IF((IF(OR(COUNTA(S111:U111)=0,AND(COUNTA(S111:U111)=3,ISNUMBER(U111))),0,1)+IF(OR(COUNTA(V111:X111)=0,AND(COUNTA(V111:X111)=3,ISNUMBER(X111))),0,1)+IF(OR(COUNTA(Y111:AA111)=0,AND(COUNTA(Y111:AA111)=3,ISNUMBER(AA111))),0,1)+IF(OR(COUNTA(AB111:AD111)=0,AND(COUNTA(AB111:AD111)=3,ISNUMBER(AD111))),0,1)+IF(OR(COUNTA(AE111:AG111)=0,AND(COUNTA(AE111:AG111)=3,ISNUMBER(AG111))),0,1)+IF(OR(COUNTA(AH111:AJ111)=0,AND(COUNTA(AH111:AJ111)=3,ISNUMBER(AJ111))),0,1)+IF(OR(COUNTA(AK111:AM111)=0,AND(COUNTA(AK111:AM111)=3,ISNUMBER(AM111))),0,1)+IF(OR(COUNTA(AN111:AP111)=0,AND(COUNTA(AN111:AP111)=3,ISNUMBER(AP111))),0,1)+IF(OR(COUNTA(AQ111:AS111)=0,AND(COUNTA(AQ111:AS111)=3,ISNUMBER(AS111))),0,1)+IF(OR(COUNTA(AT111:AV111)=0,AND(COUNTA(AT111:AV111)=3,ISNUMBER(AV111))),0,1)+IF(OR(COUNTA(AW111:AY111)=0,AND(COUNTA(AW111:AY111)=3,ISNUMBER(AY111))),0,1)+IF(OR(COUNTA(AZ111:BB111)=0,AND(COUNTA(AZ111:BB111)=3,ISNUMBER(BB111))),0,1))&gt;0,"; An invoice is incomplete (needs No, Date and a number in Ex GST)","")&amp;IF((IF(T111="",0,IFERROR(--(EOMONTH(T111,0)&lt;&gt;S$5),1))+IF(W111="",0,IFERROR(--(EOMONTH(W111,0)&lt;&gt;V$5),1))+IF(Z111="",0,IFERROR(--(EOMONTH(Z111,0)&lt;&gt;Y$5),1))+IF(AC111="",0,IFERROR(--(EOMONTH(AC111,0)&lt;&gt;AB$5),1))+IF(AF111="",0,IFERROR(--(EOMONTH(AF111,0)&lt;&gt;AE$5),1))+IF(AI111="",0,IFERROR(--(EOMONTH(AI111,0)&lt;&gt;AH$5),1))+IF(AL111="",0,IFERROR(--(EOMONTH(AL111,0)&lt;&gt;AK$5),1))+IF(AO111="",0,IFERROR(--(EOMONTH(AO111,0)&lt;&gt;AN$5),1))+IF(AR111="",0,IFERROR(--(EOMONTH(AR111,0)&lt;&gt;AQ$5),1))+IF(AU111="",0,IFERROR(--(EOMONTH(AU111,0)&lt;&gt;AT$5),1))+IF(AX111="",0,IFERROR(--(EOMONTH(AX111,0)&lt;&gt;AW$5),1))+IF(BA111="",0,IFERROR(--(EOMONTH(BA111,0)&lt;&gt;AZ$5),1)))&gt;0,"; An invoice date is not in the month it is typed under",""),3,500))</f>
        <v/>
      </c>
      <c r="S111" s="12" t="n"/>
      <c r="T111" s="13" t="n"/>
      <c r="U111" s="14" t="n"/>
      <c r="V111" s="12" t="n"/>
      <c r="W111" s="13" t="n"/>
      <c r="X111" s="14" t="n"/>
      <c r="Y111" s="12" t="n"/>
      <c r="Z111" s="13" t="n"/>
      <c r="AA111" s="14" t="n"/>
      <c r="AB111" s="12" t="n"/>
      <c r="AC111" s="13" t="n"/>
      <c r="AD111" s="14" t="n"/>
      <c r="AE111" s="12" t="n"/>
      <c r="AF111" s="13" t="n"/>
      <c r="AG111" s="14" t="n"/>
      <c r="AH111" s="12" t="n"/>
      <c r="AI111" s="13" t="n"/>
      <c r="AJ111" s="14" t="n"/>
      <c r="AK111" s="12" t="n"/>
      <c r="AL111" s="13" t="n"/>
      <c r="AM111" s="14" t="n"/>
      <c r="AN111" s="12" t="n"/>
      <c r="AO111" s="13" t="n"/>
      <c r="AP111" s="14" t="n"/>
      <c r="AQ111" s="12" t="n"/>
      <c r="AR111" s="13" t="n"/>
      <c r="AS111" s="14" t="n"/>
      <c r="AT111" s="12" t="n"/>
      <c r="AU111" s="13" t="n"/>
      <c r="AV111" s="14" t="n"/>
      <c r="AW111" s="12" t="n"/>
      <c r="AX111" s="13" t="n"/>
      <c r="AY111" s="14" t="n"/>
      <c r="AZ111" s="12" t="n"/>
      <c r="BA111" s="13" t="n"/>
      <c r="BB111" s="14" t="n"/>
      <c r="BC111" s="11">
        <f>IF(O111="","",IF(J111="GST 10%",ROUND(O111*set_GSTRate,2),0))</f>
        <v/>
      </c>
      <c r="BD111" s="11">
        <f>IF(O111="","",O111+BC111)</f>
        <v/>
      </c>
      <c r="BE111" s="15">
        <f>IF(O111="","",COUNTA(S111,V111,Y111,AB111,AE111,AH111,AK111,AN111,AQ111,AT111,AW111,AZ111))</f>
        <v/>
      </c>
      <c r="BF111" s="16">
        <f>IF(COUNT(T111,W111,Z111,AC111,AF111,AI111,AL111,AO111,AR111,AU111,AX111,BA111)=0,"",MAX(T111,W111,Z111,AC111,AF111,AI111,AL111,AO111,AR111,AU111,AX111,BA111))</f>
        <v/>
      </c>
      <c r="BG111" s="10">
        <f>MID(IF(S111="","",", "&amp;S111)&amp;IF(V111="","",", "&amp;V111)&amp;IF(Y111="","",", "&amp;Y111)&amp;IF(AB111="","",", "&amp;AB111)&amp;IF(AE111="","",", "&amp;AE111)&amp;IF(AH111="","",", "&amp;AH111)&amp;IF(AK111="","",", "&amp;AK111)&amp;IF(AN111="","",", "&amp;AN111)&amp;IF(AQ111="","",", "&amp;AQ111)&amp;IF(AT111="","",", "&amp;AT111)&amp;IF(AW111="","",", "&amp;AW111)&amp;IF(AZ111="","",", "&amp;AZ111),3,500)</f>
        <v/>
      </c>
      <c r="BH111" s="12" t="n"/>
      <c r="BI111" s="15">
        <f>IFERROR(MATCH($A111,IF($B111="Onsite",tbl_Onsite[Row ID],IF($B111="Production",tbl_Production[Row ID],tbl_Consulting[Row ID])),0),"")</f>
        <v/>
      </c>
    </row>
    <row r="112">
      <c r="A112" s="10" t="inlineStr">
        <is>
          <t>ONS-0106</t>
        </is>
      </c>
      <c r="B112" s="10" t="inlineStr">
        <is>
          <t>Onsite</t>
        </is>
      </c>
      <c r="C112" s="10">
        <f>IF($BI112="","",IF($B112="Onsite",INDEX(tbl_Onsite[Job Number],$BI112),IF($B112="Production",INDEX(tbl_Production[Job Number],$BI112),INDEX(tbl_Consulting[Job Number],$BI112)))&amp;"")</f>
        <v/>
      </c>
      <c r="D112" s="10">
        <f>IF($BI112="","",IF($B112="Onsite",INDEX(tbl_Onsite[Client],$BI112),IF($B112="Production",INDEX(tbl_Production[Client],$BI112),INDEX(tbl_Consulting[Client],$BI112)))&amp;"")</f>
        <v/>
      </c>
      <c r="E112" s="10">
        <f>IF($C112="","",IF(COUNTIF(lst_Jobs,$C112)&gt;0,"OK","CHECK"))</f>
        <v/>
      </c>
      <c r="F112" s="10">
        <f>IF($C112="","",IFERROR(INDEX(lst_JobName,MATCH($C112,lst_Jobs,0)),""))</f>
        <v/>
      </c>
      <c r="G112" s="10">
        <f>IF($BI112="","",IF($B112="Onsite",INDEX(tbl_Onsite[Job Description],$BI112),IF($B112="Production",INDEX(tbl_Production[Job Description],$BI112),INDEX(tbl_Consulting[Job Description],$BI112)))&amp;"")</f>
        <v/>
      </c>
      <c r="H112" s="10">
        <f>IF($BI112="","",IF($B112="Onsite",INDEX(tbl_Onsite[Cost Centre],$BI112),IF($B112="Production",INDEX(tbl_Production[Cost Centre],$BI112),INDEX(tbl_Consulting[Cost Centre],$BI112)))&amp;"")</f>
        <v/>
      </c>
      <c r="I112" s="10">
        <f>IF($BI112="","",IF($B112="Onsite",INDEX(tbl_Onsite[Invoice Type],$BI112),IF($B112="Production",INDEX(tbl_Production[Invoice Type],$BI112),INDEX(tbl_Consulting[Invoice Type],$BI112)))&amp;"")</f>
        <v/>
      </c>
      <c r="J112" s="10">
        <f>IF($BI112="","",IF($B112="Onsite",INDEX(tbl_Onsite[Tax Code],$BI112),IF($B112="Production",INDEX(tbl_Production[Tax Code],$BI112),INDEX(tbl_Consulting[Tax Code],$BI112)))&amp;"")</f>
        <v/>
      </c>
      <c r="K112" s="10">
        <f>IF(H112="","",IFERROR(INDEX(lst_CCtoGL,MATCH(H112,lst_CCforGL,0)),""))</f>
        <v/>
      </c>
      <c r="L112" s="10">
        <f>IF($BI112="","",IF($B112="Onsite",INDEX(tbl_Onsite[PO / Reference],$BI112),IF($B112="Production",INDEX(tbl_Production[Current RMS No],$BI112),INDEX(tbl_Consulting[Qwilr Quote],$BI112)))&amp;"")</f>
        <v/>
      </c>
      <c r="M112" s="10">
        <f>IF($BI112="","",IF($B112="Onsite",INDEX(tbl_Onsite[Notes],$BI112),IF($B112="Production",INDEX(tbl_Production[Notes],$BI112),INDEX(tbl_Consulting[Notes],$BI112)))&amp;"")</f>
        <v/>
      </c>
      <c r="N112" s="11">
        <f>IF($BI112="","",IF(IF($B112="Onsite",INDEX(tbl_Onsite[Expected Revenue Ex GST],$BI112),IF($B112="Production",INDEX(tbl_Production[Expected Revenue Ex GST],$BI112),INDEX(tbl_Consulting[Expected Revenue Ex GST],$BI112)))="","",IF($B112="Onsite",INDEX(tbl_Onsite[Expected Revenue Ex GST],$BI112),IF($B112="Production",INDEX(tbl_Production[Expected Revenue Ex GST],$BI112),INDEX(tbl_Consulting[Expected Revenue Ex GST],$BI112)))))</f>
        <v/>
      </c>
      <c r="O112" s="11">
        <f>IF(AND($C112="",NOT(COUNTA($S112:$BB112)&gt;0)),"",SUM(U112,X112,AA112,AD112,AG112,AJ112,AM112,AP112,AS112,AV112,AY112,BB112))</f>
        <v/>
      </c>
      <c r="P112" s="11">
        <f>IF(O112="","",N(N112)-O112)</f>
        <v/>
      </c>
      <c r="Q112" s="10">
        <f>IF(O112="","",IF($C112="","Invoice on empty job row",IF(N112="",IF(ROUND(O112,2)=0,"No dept value","Invoiced - no dept value"),IF(ROUND(O112,2)=0,"Not invoiced - to invoice",IF(ROUND(P112,2)=0,"Agrees",IF(P112&gt;0,"Dept higher - to invoice","Xero higher - check dept"))))))</f>
        <v/>
      </c>
      <c r="R112" s="10">
        <f>IF(AND($C112="",NOT(COUNTA($S112:$BB112)&gt;0),$BI112&lt;&gt;""),"",MID(IF($BI112="","; Row ID not found on the department sheet - a row was deleted","")&amp;IF(AND($C112="",COUNTA($S112:$BB112)&gt;0),"; Invoice entered but the department row has no job number","")&amp;IF(E112="CHECK","; Job number not in the Xero job list","")&amp;IF(AND($C112&lt;&gt;"",COUNTIF($C$7:$C$1506,$C112)&gt;1),"; Job number on more than one row","")&amp;IF(AND($C112&lt;&gt;"",H112=""),"; Dept has not set a cost centre","")&amp;IF(AND($C112&lt;&gt;"",J112=""),"; Dept has not set a tax code","")&amp;IF(AND($C112&lt;&gt;"",N112=""),"; Dept has not entered an expected value","")&amp;IF((IF(OR(COUNTA(S112:U112)=0,AND(COUNTA(S112:U112)=3,ISNUMBER(U112))),0,1)+IF(OR(COUNTA(V112:X112)=0,AND(COUNTA(V112:X112)=3,ISNUMBER(X112))),0,1)+IF(OR(COUNTA(Y112:AA112)=0,AND(COUNTA(Y112:AA112)=3,ISNUMBER(AA112))),0,1)+IF(OR(COUNTA(AB112:AD112)=0,AND(COUNTA(AB112:AD112)=3,ISNUMBER(AD112))),0,1)+IF(OR(COUNTA(AE112:AG112)=0,AND(COUNTA(AE112:AG112)=3,ISNUMBER(AG112))),0,1)+IF(OR(COUNTA(AH112:AJ112)=0,AND(COUNTA(AH112:AJ112)=3,ISNUMBER(AJ112))),0,1)+IF(OR(COUNTA(AK112:AM112)=0,AND(COUNTA(AK112:AM112)=3,ISNUMBER(AM112))),0,1)+IF(OR(COUNTA(AN112:AP112)=0,AND(COUNTA(AN112:AP112)=3,ISNUMBER(AP112))),0,1)+IF(OR(COUNTA(AQ112:AS112)=0,AND(COUNTA(AQ112:AS112)=3,ISNUMBER(AS112))),0,1)+IF(OR(COUNTA(AT112:AV112)=0,AND(COUNTA(AT112:AV112)=3,ISNUMBER(AV112))),0,1)+IF(OR(COUNTA(AW112:AY112)=0,AND(COUNTA(AW112:AY112)=3,ISNUMBER(AY112))),0,1)+IF(OR(COUNTA(AZ112:BB112)=0,AND(COUNTA(AZ112:BB112)=3,ISNUMBER(BB112))),0,1))&gt;0,"; An invoice is incomplete (needs No, Date and a number in Ex GST)","")&amp;IF((IF(T112="",0,IFERROR(--(EOMONTH(T112,0)&lt;&gt;S$5),1))+IF(W112="",0,IFERROR(--(EOMONTH(W112,0)&lt;&gt;V$5),1))+IF(Z112="",0,IFERROR(--(EOMONTH(Z112,0)&lt;&gt;Y$5),1))+IF(AC112="",0,IFERROR(--(EOMONTH(AC112,0)&lt;&gt;AB$5),1))+IF(AF112="",0,IFERROR(--(EOMONTH(AF112,0)&lt;&gt;AE$5),1))+IF(AI112="",0,IFERROR(--(EOMONTH(AI112,0)&lt;&gt;AH$5),1))+IF(AL112="",0,IFERROR(--(EOMONTH(AL112,0)&lt;&gt;AK$5),1))+IF(AO112="",0,IFERROR(--(EOMONTH(AO112,0)&lt;&gt;AN$5),1))+IF(AR112="",0,IFERROR(--(EOMONTH(AR112,0)&lt;&gt;AQ$5),1))+IF(AU112="",0,IFERROR(--(EOMONTH(AU112,0)&lt;&gt;AT$5),1))+IF(AX112="",0,IFERROR(--(EOMONTH(AX112,0)&lt;&gt;AW$5),1))+IF(BA112="",0,IFERROR(--(EOMONTH(BA112,0)&lt;&gt;AZ$5),1)))&gt;0,"; An invoice date is not in the month it is typed under",""),3,500))</f>
        <v/>
      </c>
      <c r="S112" s="12" t="n"/>
      <c r="T112" s="13" t="n"/>
      <c r="U112" s="14" t="n"/>
      <c r="V112" s="12" t="n"/>
      <c r="W112" s="13" t="n"/>
      <c r="X112" s="14" t="n"/>
      <c r="Y112" s="12" t="n"/>
      <c r="Z112" s="13" t="n"/>
      <c r="AA112" s="14" t="n"/>
      <c r="AB112" s="12" t="n"/>
      <c r="AC112" s="13" t="n"/>
      <c r="AD112" s="14" t="n"/>
      <c r="AE112" s="12" t="n"/>
      <c r="AF112" s="13" t="n"/>
      <c r="AG112" s="14" t="n"/>
      <c r="AH112" s="12" t="n"/>
      <c r="AI112" s="13" t="n"/>
      <c r="AJ112" s="14" t="n"/>
      <c r="AK112" s="12" t="n"/>
      <c r="AL112" s="13" t="n"/>
      <c r="AM112" s="14" t="n"/>
      <c r="AN112" s="12" t="n"/>
      <c r="AO112" s="13" t="n"/>
      <c r="AP112" s="14" t="n"/>
      <c r="AQ112" s="12" t="n"/>
      <c r="AR112" s="13" t="n"/>
      <c r="AS112" s="14" t="n"/>
      <c r="AT112" s="12" t="n"/>
      <c r="AU112" s="13" t="n"/>
      <c r="AV112" s="14" t="n"/>
      <c r="AW112" s="12" t="n"/>
      <c r="AX112" s="13" t="n"/>
      <c r="AY112" s="14" t="n"/>
      <c r="AZ112" s="12" t="n"/>
      <c r="BA112" s="13" t="n"/>
      <c r="BB112" s="14" t="n"/>
      <c r="BC112" s="11">
        <f>IF(O112="","",IF(J112="GST 10%",ROUND(O112*set_GSTRate,2),0))</f>
        <v/>
      </c>
      <c r="BD112" s="11">
        <f>IF(O112="","",O112+BC112)</f>
        <v/>
      </c>
      <c r="BE112" s="15">
        <f>IF(O112="","",COUNTA(S112,V112,Y112,AB112,AE112,AH112,AK112,AN112,AQ112,AT112,AW112,AZ112))</f>
        <v/>
      </c>
      <c r="BF112" s="16">
        <f>IF(COUNT(T112,W112,Z112,AC112,AF112,AI112,AL112,AO112,AR112,AU112,AX112,BA112)=0,"",MAX(T112,W112,Z112,AC112,AF112,AI112,AL112,AO112,AR112,AU112,AX112,BA112))</f>
        <v/>
      </c>
      <c r="BG112" s="10">
        <f>MID(IF(S112="","",", "&amp;S112)&amp;IF(V112="","",", "&amp;V112)&amp;IF(Y112="","",", "&amp;Y112)&amp;IF(AB112="","",", "&amp;AB112)&amp;IF(AE112="","",", "&amp;AE112)&amp;IF(AH112="","",", "&amp;AH112)&amp;IF(AK112="","",", "&amp;AK112)&amp;IF(AN112="","",", "&amp;AN112)&amp;IF(AQ112="","",", "&amp;AQ112)&amp;IF(AT112="","",", "&amp;AT112)&amp;IF(AW112="","",", "&amp;AW112)&amp;IF(AZ112="","",", "&amp;AZ112),3,500)</f>
        <v/>
      </c>
      <c r="BH112" s="12" t="n"/>
      <c r="BI112" s="15">
        <f>IFERROR(MATCH($A112,IF($B112="Onsite",tbl_Onsite[Row ID],IF($B112="Production",tbl_Production[Row ID],tbl_Consulting[Row ID])),0),"")</f>
        <v/>
      </c>
    </row>
    <row r="113">
      <c r="A113" s="10" t="inlineStr">
        <is>
          <t>ONS-0107</t>
        </is>
      </c>
      <c r="B113" s="10" t="inlineStr">
        <is>
          <t>Onsite</t>
        </is>
      </c>
      <c r="C113" s="10">
        <f>IF($BI113="","",IF($B113="Onsite",INDEX(tbl_Onsite[Job Number],$BI113),IF($B113="Production",INDEX(tbl_Production[Job Number],$BI113),INDEX(tbl_Consulting[Job Number],$BI113)))&amp;"")</f>
        <v/>
      </c>
      <c r="D113" s="10">
        <f>IF($BI113="","",IF($B113="Onsite",INDEX(tbl_Onsite[Client],$BI113),IF($B113="Production",INDEX(tbl_Production[Client],$BI113),INDEX(tbl_Consulting[Client],$BI113)))&amp;"")</f>
        <v/>
      </c>
      <c r="E113" s="10">
        <f>IF($C113="","",IF(COUNTIF(lst_Jobs,$C113)&gt;0,"OK","CHECK"))</f>
        <v/>
      </c>
      <c r="F113" s="10">
        <f>IF($C113="","",IFERROR(INDEX(lst_JobName,MATCH($C113,lst_Jobs,0)),""))</f>
        <v/>
      </c>
      <c r="G113" s="10">
        <f>IF($BI113="","",IF($B113="Onsite",INDEX(tbl_Onsite[Job Description],$BI113),IF($B113="Production",INDEX(tbl_Production[Job Description],$BI113),INDEX(tbl_Consulting[Job Description],$BI113)))&amp;"")</f>
        <v/>
      </c>
      <c r="H113" s="10">
        <f>IF($BI113="","",IF($B113="Onsite",INDEX(tbl_Onsite[Cost Centre],$BI113),IF($B113="Production",INDEX(tbl_Production[Cost Centre],$BI113),INDEX(tbl_Consulting[Cost Centre],$BI113)))&amp;"")</f>
        <v/>
      </c>
      <c r="I113" s="10">
        <f>IF($BI113="","",IF($B113="Onsite",INDEX(tbl_Onsite[Invoice Type],$BI113),IF($B113="Production",INDEX(tbl_Production[Invoice Type],$BI113),INDEX(tbl_Consulting[Invoice Type],$BI113)))&amp;"")</f>
        <v/>
      </c>
      <c r="J113" s="10">
        <f>IF($BI113="","",IF($B113="Onsite",INDEX(tbl_Onsite[Tax Code],$BI113),IF($B113="Production",INDEX(tbl_Production[Tax Code],$BI113),INDEX(tbl_Consulting[Tax Code],$BI113)))&amp;"")</f>
        <v/>
      </c>
      <c r="K113" s="10">
        <f>IF(H113="","",IFERROR(INDEX(lst_CCtoGL,MATCH(H113,lst_CCforGL,0)),""))</f>
        <v/>
      </c>
      <c r="L113" s="10">
        <f>IF($BI113="","",IF($B113="Onsite",INDEX(tbl_Onsite[PO / Reference],$BI113),IF($B113="Production",INDEX(tbl_Production[Current RMS No],$BI113),INDEX(tbl_Consulting[Qwilr Quote],$BI113)))&amp;"")</f>
        <v/>
      </c>
      <c r="M113" s="10">
        <f>IF($BI113="","",IF($B113="Onsite",INDEX(tbl_Onsite[Notes],$BI113),IF($B113="Production",INDEX(tbl_Production[Notes],$BI113),INDEX(tbl_Consulting[Notes],$BI113)))&amp;"")</f>
        <v/>
      </c>
      <c r="N113" s="11">
        <f>IF($BI113="","",IF(IF($B113="Onsite",INDEX(tbl_Onsite[Expected Revenue Ex GST],$BI113),IF($B113="Production",INDEX(tbl_Production[Expected Revenue Ex GST],$BI113),INDEX(tbl_Consulting[Expected Revenue Ex GST],$BI113)))="","",IF($B113="Onsite",INDEX(tbl_Onsite[Expected Revenue Ex GST],$BI113),IF($B113="Production",INDEX(tbl_Production[Expected Revenue Ex GST],$BI113),INDEX(tbl_Consulting[Expected Revenue Ex GST],$BI113)))))</f>
        <v/>
      </c>
      <c r="O113" s="11">
        <f>IF(AND($C113="",NOT(COUNTA($S113:$BB113)&gt;0)),"",SUM(U113,X113,AA113,AD113,AG113,AJ113,AM113,AP113,AS113,AV113,AY113,BB113))</f>
        <v/>
      </c>
      <c r="P113" s="11">
        <f>IF(O113="","",N(N113)-O113)</f>
        <v/>
      </c>
      <c r="Q113" s="10">
        <f>IF(O113="","",IF($C113="","Invoice on empty job row",IF(N113="",IF(ROUND(O113,2)=0,"No dept value","Invoiced - no dept value"),IF(ROUND(O113,2)=0,"Not invoiced - to invoice",IF(ROUND(P113,2)=0,"Agrees",IF(P113&gt;0,"Dept higher - to invoice","Xero higher - check dept"))))))</f>
        <v/>
      </c>
      <c r="R113" s="10">
        <f>IF(AND($C113="",NOT(COUNTA($S113:$BB113)&gt;0),$BI113&lt;&gt;""),"",MID(IF($BI113="","; Row ID not found on the department sheet - a row was deleted","")&amp;IF(AND($C113="",COUNTA($S113:$BB113)&gt;0),"; Invoice entered but the department row has no job number","")&amp;IF(E113="CHECK","; Job number not in the Xero job list","")&amp;IF(AND($C113&lt;&gt;"",COUNTIF($C$7:$C$1506,$C113)&gt;1),"; Job number on more than one row","")&amp;IF(AND($C113&lt;&gt;"",H113=""),"; Dept has not set a cost centre","")&amp;IF(AND($C113&lt;&gt;"",J113=""),"; Dept has not set a tax code","")&amp;IF(AND($C113&lt;&gt;"",N113=""),"; Dept has not entered an expected value","")&amp;IF((IF(OR(COUNTA(S113:U113)=0,AND(COUNTA(S113:U113)=3,ISNUMBER(U113))),0,1)+IF(OR(COUNTA(V113:X113)=0,AND(COUNTA(V113:X113)=3,ISNUMBER(X113))),0,1)+IF(OR(COUNTA(Y113:AA113)=0,AND(COUNTA(Y113:AA113)=3,ISNUMBER(AA113))),0,1)+IF(OR(COUNTA(AB113:AD113)=0,AND(COUNTA(AB113:AD113)=3,ISNUMBER(AD113))),0,1)+IF(OR(COUNTA(AE113:AG113)=0,AND(COUNTA(AE113:AG113)=3,ISNUMBER(AG113))),0,1)+IF(OR(COUNTA(AH113:AJ113)=0,AND(COUNTA(AH113:AJ113)=3,ISNUMBER(AJ113))),0,1)+IF(OR(COUNTA(AK113:AM113)=0,AND(COUNTA(AK113:AM113)=3,ISNUMBER(AM113))),0,1)+IF(OR(COUNTA(AN113:AP113)=0,AND(COUNTA(AN113:AP113)=3,ISNUMBER(AP113))),0,1)+IF(OR(COUNTA(AQ113:AS113)=0,AND(COUNTA(AQ113:AS113)=3,ISNUMBER(AS113))),0,1)+IF(OR(COUNTA(AT113:AV113)=0,AND(COUNTA(AT113:AV113)=3,ISNUMBER(AV113))),0,1)+IF(OR(COUNTA(AW113:AY113)=0,AND(COUNTA(AW113:AY113)=3,ISNUMBER(AY113))),0,1)+IF(OR(COUNTA(AZ113:BB113)=0,AND(COUNTA(AZ113:BB113)=3,ISNUMBER(BB113))),0,1))&gt;0,"; An invoice is incomplete (needs No, Date and a number in Ex GST)","")&amp;IF((IF(T113="",0,IFERROR(--(EOMONTH(T113,0)&lt;&gt;S$5),1))+IF(W113="",0,IFERROR(--(EOMONTH(W113,0)&lt;&gt;V$5),1))+IF(Z113="",0,IFERROR(--(EOMONTH(Z113,0)&lt;&gt;Y$5),1))+IF(AC113="",0,IFERROR(--(EOMONTH(AC113,0)&lt;&gt;AB$5),1))+IF(AF113="",0,IFERROR(--(EOMONTH(AF113,0)&lt;&gt;AE$5),1))+IF(AI113="",0,IFERROR(--(EOMONTH(AI113,0)&lt;&gt;AH$5),1))+IF(AL113="",0,IFERROR(--(EOMONTH(AL113,0)&lt;&gt;AK$5),1))+IF(AO113="",0,IFERROR(--(EOMONTH(AO113,0)&lt;&gt;AN$5),1))+IF(AR113="",0,IFERROR(--(EOMONTH(AR113,0)&lt;&gt;AQ$5),1))+IF(AU113="",0,IFERROR(--(EOMONTH(AU113,0)&lt;&gt;AT$5),1))+IF(AX113="",0,IFERROR(--(EOMONTH(AX113,0)&lt;&gt;AW$5),1))+IF(BA113="",0,IFERROR(--(EOMONTH(BA113,0)&lt;&gt;AZ$5),1)))&gt;0,"; An invoice date is not in the month it is typed under",""),3,500))</f>
        <v/>
      </c>
      <c r="S113" s="12" t="n"/>
      <c r="T113" s="13" t="n"/>
      <c r="U113" s="14" t="n"/>
      <c r="V113" s="12" t="n"/>
      <c r="W113" s="13" t="n"/>
      <c r="X113" s="14" t="n"/>
      <c r="Y113" s="12" t="n"/>
      <c r="Z113" s="13" t="n"/>
      <c r="AA113" s="14" t="n"/>
      <c r="AB113" s="12" t="n"/>
      <c r="AC113" s="13" t="n"/>
      <c r="AD113" s="14" t="n"/>
      <c r="AE113" s="12" t="n"/>
      <c r="AF113" s="13" t="n"/>
      <c r="AG113" s="14" t="n"/>
      <c r="AH113" s="12" t="n"/>
      <c r="AI113" s="13" t="n"/>
      <c r="AJ113" s="14" t="n"/>
      <c r="AK113" s="12" t="n"/>
      <c r="AL113" s="13" t="n"/>
      <c r="AM113" s="14" t="n"/>
      <c r="AN113" s="12" t="n"/>
      <c r="AO113" s="13" t="n"/>
      <c r="AP113" s="14" t="n"/>
      <c r="AQ113" s="12" t="n"/>
      <c r="AR113" s="13" t="n"/>
      <c r="AS113" s="14" t="n"/>
      <c r="AT113" s="12" t="n"/>
      <c r="AU113" s="13" t="n"/>
      <c r="AV113" s="14" t="n"/>
      <c r="AW113" s="12" t="n"/>
      <c r="AX113" s="13" t="n"/>
      <c r="AY113" s="14" t="n"/>
      <c r="AZ113" s="12" t="n"/>
      <c r="BA113" s="13" t="n"/>
      <c r="BB113" s="14" t="n"/>
      <c r="BC113" s="11">
        <f>IF(O113="","",IF(J113="GST 10%",ROUND(O113*set_GSTRate,2),0))</f>
        <v/>
      </c>
      <c r="BD113" s="11">
        <f>IF(O113="","",O113+BC113)</f>
        <v/>
      </c>
      <c r="BE113" s="15">
        <f>IF(O113="","",COUNTA(S113,V113,Y113,AB113,AE113,AH113,AK113,AN113,AQ113,AT113,AW113,AZ113))</f>
        <v/>
      </c>
      <c r="BF113" s="16">
        <f>IF(COUNT(T113,W113,Z113,AC113,AF113,AI113,AL113,AO113,AR113,AU113,AX113,BA113)=0,"",MAX(T113,W113,Z113,AC113,AF113,AI113,AL113,AO113,AR113,AU113,AX113,BA113))</f>
        <v/>
      </c>
      <c r="BG113" s="10">
        <f>MID(IF(S113="","",", "&amp;S113)&amp;IF(V113="","",", "&amp;V113)&amp;IF(Y113="","",", "&amp;Y113)&amp;IF(AB113="","",", "&amp;AB113)&amp;IF(AE113="","",", "&amp;AE113)&amp;IF(AH113="","",", "&amp;AH113)&amp;IF(AK113="","",", "&amp;AK113)&amp;IF(AN113="","",", "&amp;AN113)&amp;IF(AQ113="","",", "&amp;AQ113)&amp;IF(AT113="","",", "&amp;AT113)&amp;IF(AW113="","",", "&amp;AW113)&amp;IF(AZ113="","",", "&amp;AZ113),3,500)</f>
        <v/>
      </c>
      <c r="BH113" s="12" t="n"/>
      <c r="BI113" s="15">
        <f>IFERROR(MATCH($A113,IF($B113="Onsite",tbl_Onsite[Row ID],IF($B113="Production",tbl_Production[Row ID],tbl_Consulting[Row ID])),0),"")</f>
        <v/>
      </c>
    </row>
    <row r="114">
      <c r="A114" s="10" t="inlineStr">
        <is>
          <t>ONS-0108</t>
        </is>
      </c>
      <c r="B114" s="10" t="inlineStr">
        <is>
          <t>Onsite</t>
        </is>
      </c>
      <c r="C114" s="10">
        <f>IF($BI114="","",IF($B114="Onsite",INDEX(tbl_Onsite[Job Number],$BI114),IF($B114="Production",INDEX(tbl_Production[Job Number],$BI114),INDEX(tbl_Consulting[Job Number],$BI114)))&amp;"")</f>
        <v/>
      </c>
      <c r="D114" s="10">
        <f>IF($BI114="","",IF($B114="Onsite",INDEX(tbl_Onsite[Client],$BI114),IF($B114="Production",INDEX(tbl_Production[Client],$BI114),INDEX(tbl_Consulting[Client],$BI114)))&amp;"")</f>
        <v/>
      </c>
      <c r="E114" s="10">
        <f>IF($C114="","",IF(COUNTIF(lst_Jobs,$C114)&gt;0,"OK","CHECK"))</f>
        <v/>
      </c>
      <c r="F114" s="10">
        <f>IF($C114="","",IFERROR(INDEX(lst_JobName,MATCH($C114,lst_Jobs,0)),""))</f>
        <v/>
      </c>
      <c r="G114" s="10">
        <f>IF($BI114="","",IF($B114="Onsite",INDEX(tbl_Onsite[Job Description],$BI114),IF($B114="Production",INDEX(tbl_Production[Job Description],$BI114),INDEX(tbl_Consulting[Job Description],$BI114)))&amp;"")</f>
        <v/>
      </c>
      <c r="H114" s="10">
        <f>IF($BI114="","",IF($B114="Onsite",INDEX(tbl_Onsite[Cost Centre],$BI114),IF($B114="Production",INDEX(tbl_Production[Cost Centre],$BI114),INDEX(tbl_Consulting[Cost Centre],$BI114)))&amp;"")</f>
        <v/>
      </c>
      <c r="I114" s="10">
        <f>IF($BI114="","",IF($B114="Onsite",INDEX(tbl_Onsite[Invoice Type],$BI114),IF($B114="Production",INDEX(tbl_Production[Invoice Type],$BI114),INDEX(tbl_Consulting[Invoice Type],$BI114)))&amp;"")</f>
        <v/>
      </c>
      <c r="J114" s="10">
        <f>IF($BI114="","",IF($B114="Onsite",INDEX(tbl_Onsite[Tax Code],$BI114),IF($B114="Production",INDEX(tbl_Production[Tax Code],$BI114),INDEX(tbl_Consulting[Tax Code],$BI114)))&amp;"")</f>
        <v/>
      </c>
      <c r="K114" s="10">
        <f>IF(H114="","",IFERROR(INDEX(lst_CCtoGL,MATCH(H114,lst_CCforGL,0)),""))</f>
        <v/>
      </c>
      <c r="L114" s="10">
        <f>IF($BI114="","",IF($B114="Onsite",INDEX(tbl_Onsite[PO / Reference],$BI114),IF($B114="Production",INDEX(tbl_Production[Current RMS No],$BI114),INDEX(tbl_Consulting[Qwilr Quote],$BI114)))&amp;"")</f>
        <v/>
      </c>
      <c r="M114" s="10">
        <f>IF($BI114="","",IF($B114="Onsite",INDEX(tbl_Onsite[Notes],$BI114),IF($B114="Production",INDEX(tbl_Production[Notes],$BI114),INDEX(tbl_Consulting[Notes],$BI114)))&amp;"")</f>
        <v/>
      </c>
      <c r="N114" s="11">
        <f>IF($BI114="","",IF(IF($B114="Onsite",INDEX(tbl_Onsite[Expected Revenue Ex GST],$BI114),IF($B114="Production",INDEX(tbl_Production[Expected Revenue Ex GST],$BI114),INDEX(tbl_Consulting[Expected Revenue Ex GST],$BI114)))="","",IF($B114="Onsite",INDEX(tbl_Onsite[Expected Revenue Ex GST],$BI114),IF($B114="Production",INDEX(tbl_Production[Expected Revenue Ex GST],$BI114),INDEX(tbl_Consulting[Expected Revenue Ex GST],$BI114)))))</f>
        <v/>
      </c>
      <c r="O114" s="11">
        <f>IF(AND($C114="",NOT(COUNTA($S114:$BB114)&gt;0)),"",SUM(U114,X114,AA114,AD114,AG114,AJ114,AM114,AP114,AS114,AV114,AY114,BB114))</f>
        <v/>
      </c>
      <c r="P114" s="11">
        <f>IF(O114="","",N(N114)-O114)</f>
        <v/>
      </c>
      <c r="Q114" s="10">
        <f>IF(O114="","",IF($C114="","Invoice on empty job row",IF(N114="",IF(ROUND(O114,2)=0,"No dept value","Invoiced - no dept value"),IF(ROUND(O114,2)=0,"Not invoiced - to invoice",IF(ROUND(P114,2)=0,"Agrees",IF(P114&gt;0,"Dept higher - to invoice","Xero higher - check dept"))))))</f>
        <v/>
      </c>
      <c r="R114" s="10">
        <f>IF(AND($C114="",NOT(COUNTA($S114:$BB114)&gt;0),$BI114&lt;&gt;""),"",MID(IF($BI114="","; Row ID not found on the department sheet - a row was deleted","")&amp;IF(AND($C114="",COUNTA($S114:$BB114)&gt;0),"; Invoice entered but the department row has no job number","")&amp;IF(E114="CHECK","; Job number not in the Xero job list","")&amp;IF(AND($C114&lt;&gt;"",COUNTIF($C$7:$C$1506,$C114)&gt;1),"; Job number on more than one row","")&amp;IF(AND($C114&lt;&gt;"",H114=""),"; Dept has not set a cost centre","")&amp;IF(AND($C114&lt;&gt;"",J114=""),"; Dept has not set a tax code","")&amp;IF(AND($C114&lt;&gt;"",N114=""),"; Dept has not entered an expected value","")&amp;IF((IF(OR(COUNTA(S114:U114)=0,AND(COUNTA(S114:U114)=3,ISNUMBER(U114))),0,1)+IF(OR(COUNTA(V114:X114)=0,AND(COUNTA(V114:X114)=3,ISNUMBER(X114))),0,1)+IF(OR(COUNTA(Y114:AA114)=0,AND(COUNTA(Y114:AA114)=3,ISNUMBER(AA114))),0,1)+IF(OR(COUNTA(AB114:AD114)=0,AND(COUNTA(AB114:AD114)=3,ISNUMBER(AD114))),0,1)+IF(OR(COUNTA(AE114:AG114)=0,AND(COUNTA(AE114:AG114)=3,ISNUMBER(AG114))),0,1)+IF(OR(COUNTA(AH114:AJ114)=0,AND(COUNTA(AH114:AJ114)=3,ISNUMBER(AJ114))),0,1)+IF(OR(COUNTA(AK114:AM114)=0,AND(COUNTA(AK114:AM114)=3,ISNUMBER(AM114))),0,1)+IF(OR(COUNTA(AN114:AP114)=0,AND(COUNTA(AN114:AP114)=3,ISNUMBER(AP114))),0,1)+IF(OR(COUNTA(AQ114:AS114)=0,AND(COUNTA(AQ114:AS114)=3,ISNUMBER(AS114))),0,1)+IF(OR(COUNTA(AT114:AV114)=0,AND(COUNTA(AT114:AV114)=3,ISNUMBER(AV114))),0,1)+IF(OR(COUNTA(AW114:AY114)=0,AND(COUNTA(AW114:AY114)=3,ISNUMBER(AY114))),0,1)+IF(OR(COUNTA(AZ114:BB114)=0,AND(COUNTA(AZ114:BB114)=3,ISNUMBER(BB114))),0,1))&gt;0,"; An invoice is incomplete (needs No, Date and a number in Ex GST)","")&amp;IF((IF(T114="",0,IFERROR(--(EOMONTH(T114,0)&lt;&gt;S$5),1))+IF(W114="",0,IFERROR(--(EOMONTH(W114,0)&lt;&gt;V$5),1))+IF(Z114="",0,IFERROR(--(EOMONTH(Z114,0)&lt;&gt;Y$5),1))+IF(AC114="",0,IFERROR(--(EOMONTH(AC114,0)&lt;&gt;AB$5),1))+IF(AF114="",0,IFERROR(--(EOMONTH(AF114,0)&lt;&gt;AE$5),1))+IF(AI114="",0,IFERROR(--(EOMONTH(AI114,0)&lt;&gt;AH$5),1))+IF(AL114="",0,IFERROR(--(EOMONTH(AL114,0)&lt;&gt;AK$5),1))+IF(AO114="",0,IFERROR(--(EOMONTH(AO114,0)&lt;&gt;AN$5),1))+IF(AR114="",0,IFERROR(--(EOMONTH(AR114,0)&lt;&gt;AQ$5),1))+IF(AU114="",0,IFERROR(--(EOMONTH(AU114,0)&lt;&gt;AT$5),1))+IF(AX114="",0,IFERROR(--(EOMONTH(AX114,0)&lt;&gt;AW$5),1))+IF(BA114="",0,IFERROR(--(EOMONTH(BA114,0)&lt;&gt;AZ$5),1)))&gt;0,"; An invoice date is not in the month it is typed under",""),3,500))</f>
        <v/>
      </c>
      <c r="S114" s="12" t="n"/>
      <c r="T114" s="13" t="n"/>
      <c r="U114" s="14" t="n"/>
      <c r="V114" s="12" t="n"/>
      <c r="W114" s="13" t="n"/>
      <c r="X114" s="14" t="n"/>
      <c r="Y114" s="12" t="n"/>
      <c r="Z114" s="13" t="n"/>
      <c r="AA114" s="14" t="n"/>
      <c r="AB114" s="12" t="n"/>
      <c r="AC114" s="13" t="n"/>
      <c r="AD114" s="14" t="n"/>
      <c r="AE114" s="12" t="n"/>
      <c r="AF114" s="13" t="n"/>
      <c r="AG114" s="14" t="n"/>
      <c r="AH114" s="12" t="n"/>
      <c r="AI114" s="13" t="n"/>
      <c r="AJ114" s="14" t="n"/>
      <c r="AK114" s="12" t="n"/>
      <c r="AL114" s="13" t="n"/>
      <c r="AM114" s="14" t="n"/>
      <c r="AN114" s="12" t="n"/>
      <c r="AO114" s="13" t="n"/>
      <c r="AP114" s="14" t="n"/>
      <c r="AQ114" s="12" t="n"/>
      <c r="AR114" s="13" t="n"/>
      <c r="AS114" s="14" t="n"/>
      <c r="AT114" s="12" t="n"/>
      <c r="AU114" s="13" t="n"/>
      <c r="AV114" s="14" t="n"/>
      <c r="AW114" s="12" t="n"/>
      <c r="AX114" s="13" t="n"/>
      <c r="AY114" s="14" t="n"/>
      <c r="AZ114" s="12" t="n"/>
      <c r="BA114" s="13" t="n"/>
      <c r="BB114" s="14" t="n"/>
      <c r="BC114" s="11">
        <f>IF(O114="","",IF(J114="GST 10%",ROUND(O114*set_GSTRate,2),0))</f>
        <v/>
      </c>
      <c r="BD114" s="11">
        <f>IF(O114="","",O114+BC114)</f>
        <v/>
      </c>
      <c r="BE114" s="15">
        <f>IF(O114="","",COUNTA(S114,V114,Y114,AB114,AE114,AH114,AK114,AN114,AQ114,AT114,AW114,AZ114))</f>
        <v/>
      </c>
      <c r="BF114" s="16">
        <f>IF(COUNT(T114,W114,Z114,AC114,AF114,AI114,AL114,AO114,AR114,AU114,AX114,BA114)=0,"",MAX(T114,W114,Z114,AC114,AF114,AI114,AL114,AO114,AR114,AU114,AX114,BA114))</f>
        <v/>
      </c>
      <c r="BG114" s="10">
        <f>MID(IF(S114="","",", "&amp;S114)&amp;IF(V114="","",", "&amp;V114)&amp;IF(Y114="","",", "&amp;Y114)&amp;IF(AB114="","",", "&amp;AB114)&amp;IF(AE114="","",", "&amp;AE114)&amp;IF(AH114="","",", "&amp;AH114)&amp;IF(AK114="","",", "&amp;AK114)&amp;IF(AN114="","",", "&amp;AN114)&amp;IF(AQ114="","",", "&amp;AQ114)&amp;IF(AT114="","",", "&amp;AT114)&amp;IF(AW114="","",", "&amp;AW114)&amp;IF(AZ114="","",", "&amp;AZ114),3,500)</f>
        <v/>
      </c>
      <c r="BH114" s="12" t="n"/>
      <c r="BI114" s="15">
        <f>IFERROR(MATCH($A114,IF($B114="Onsite",tbl_Onsite[Row ID],IF($B114="Production",tbl_Production[Row ID],tbl_Consulting[Row ID])),0),"")</f>
        <v/>
      </c>
    </row>
    <row r="115">
      <c r="A115" s="10" t="inlineStr">
        <is>
          <t>ONS-0109</t>
        </is>
      </c>
      <c r="B115" s="10" t="inlineStr">
        <is>
          <t>Onsite</t>
        </is>
      </c>
      <c r="C115" s="10">
        <f>IF($BI115="","",IF($B115="Onsite",INDEX(tbl_Onsite[Job Number],$BI115),IF($B115="Production",INDEX(tbl_Production[Job Number],$BI115),INDEX(tbl_Consulting[Job Number],$BI115)))&amp;"")</f>
        <v/>
      </c>
      <c r="D115" s="10">
        <f>IF($BI115="","",IF($B115="Onsite",INDEX(tbl_Onsite[Client],$BI115),IF($B115="Production",INDEX(tbl_Production[Client],$BI115),INDEX(tbl_Consulting[Client],$BI115)))&amp;"")</f>
        <v/>
      </c>
      <c r="E115" s="10">
        <f>IF($C115="","",IF(COUNTIF(lst_Jobs,$C115)&gt;0,"OK","CHECK"))</f>
        <v/>
      </c>
      <c r="F115" s="10">
        <f>IF($C115="","",IFERROR(INDEX(lst_JobName,MATCH($C115,lst_Jobs,0)),""))</f>
        <v/>
      </c>
      <c r="G115" s="10">
        <f>IF($BI115="","",IF($B115="Onsite",INDEX(tbl_Onsite[Job Description],$BI115),IF($B115="Production",INDEX(tbl_Production[Job Description],$BI115),INDEX(tbl_Consulting[Job Description],$BI115)))&amp;"")</f>
        <v/>
      </c>
      <c r="H115" s="10">
        <f>IF($BI115="","",IF($B115="Onsite",INDEX(tbl_Onsite[Cost Centre],$BI115),IF($B115="Production",INDEX(tbl_Production[Cost Centre],$BI115),INDEX(tbl_Consulting[Cost Centre],$BI115)))&amp;"")</f>
        <v/>
      </c>
      <c r="I115" s="10">
        <f>IF($BI115="","",IF($B115="Onsite",INDEX(tbl_Onsite[Invoice Type],$BI115),IF($B115="Production",INDEX(tbl_Production[Invoice Type],$BI115),INDEX(tbl_Consulting[Invoice Type],$BI115)))&amp;"")</f>
        <v/>
      </c>
      <c r="J115" s="10">
        <f>IF($BI115="","",IF($B115="Onsite",INDEX(tbl_Onsite[Tax Code],$BI115),IF($B115="Production",INDEX(tbl_Production[Tax Code],$BI115),INDEX(tbl_Consulting[Tax Code],$BI115)))&amp;"")</f>
        <v/>
      </c>
      <c r="K115" s="10">
        <f>IF(H115="","",IFERROR(INDEX(lst_CCtoGL,MATCH(H115,lst_CCforGL,0)),""))</f>
        <v/>
      </c>
      <c r="L115" s="10">
        <f>IF($BI115="","",IF($B115="Onsite",INDEX(tbl_Onsite[PO / Reference],$BI115),IF($B115="Production",INDEX(tbl_Production[Current RMS No],$BI115),INDEX(tbl_Consulting[Qwilr Quote],$BI115)))&amp;"")</f>
        <v/>
      </c>
      <c r="M115" s="10">
        <f>IF($BI115="","",IF($B115="Onsite",INDEX(tbl_Onsite[Notes],$BI115),IF($B115="Production",INDEX(tbl_Production[Notes],$BI115),INDEX(tbl_Consulting[Notes],$BI115)))&amp;"")</f>
        <v/>
      </c>
      <c r="N115" s="11">
        <f>IF($BI115="","",IF(IF($B115="Onsite",INDEX(tbl_Onsite[Expected Revenue Ex GST],$BI115),IF($B115="Production",INDEX(tbl_Production[Expected Revenue Ex GST],$BI115),INDEX(tbl_Consulting[Expected Revenue Ex GST],$BI115)))="","",IF($B115="Onsite",INDEX(tbl_Onsite[Expected Revenue Ex GST],$BI115),IF($B115="Production",INDEX(tbl_Production[Expected Revenue Ex GST],$BI115),INDEX(tbl_Consulting[Expected Revenue Ex GST],$BI115)))))</f>
        <v/>
      </c>
      <c r="O115" s="11">
        <f>IF(AND($C115="",NOT(COUNTA($S115:$BB115)&gt;0)),"",SUM(U115,X115,AA115,AD115,AG115,AJ115,AM115,AP115,AS115,AV115,AY115,BB115))</f>
        <v/>
      </c>
      <c r="P115" s="11">
        <f>IF(O115="","",N(N115)-O115)</f>
        <v/>
      </c>
      <c r="Q115" s="10">
        <f>IF(O115="","",IF($C115="","Invoice on empty job row",IF(N115="",IF(ROUND(O115,2)=0,"No dept value","Invoiced - no dept value"),IF(ROUND(O115,2)=0,"Not invoiced - to invoice",IF(ROUND(P115,2)=0,"Agrees",IF(P115&gt;0,"Dept higher - to invoice","Xero higher - check dept"))))))</f>
        <v/>
      </c>
      <c r="R115" s="10">
        <f>IF(AND($C115="",NOT(COUNTA($S115:$BB115)&gt;0),$BI115&lt;&gt;""),"",MID(IF($BI115="","; Row ID not found on the department sheet - a row was deleted","")&amp;IF(AND($C115="",COUNTA($S115:$BB115)&gt;0),"; Invoice entered but the department row has no job number","")&amp;IF(E115="CHECK","; Job number not in the Xero job list","")&amp;IF(AND($C115&lt;&gt;"",COUNTIF($C$7:$C$1506,$C115)&gt;1),"; Job number on more than one row","")&amp;IF(AND($C115&lt;&gt;"",H115=""),"; Dept has not set a cost centre","")&amp;IF(AND($C115&lt;&gt;"",J115=""),"; Dept has not set a tax code","")&amp;IF(AND($C115&lt;&gt;"",N115=""),"; Dept has not entered an expected value","")&amp;IF((IF(OR(COUNTA(S115:U115)=0,AND(COUNTA(S115:U115)=3,ISNUMBER(U115))),0,1)+IF(OR(COUNTA(V115:X115)=0,AND(COUNTA(V115:X115)=3,ISNUMBER(X115))),0,1)+IF(OR(COUNTA(Y115:AA115)=0,AND(COUNTA(Y115:AA115)=3,ISNUMBER(AA115))),0,1)+IF(OR(COUNTA(AB115:AD115)=0,AND(COUNTA(AB115:AD115)=3,ISNUMBER(AD115))),0,1)+IF(OR(COUNTA(AE115:AG115)=0,AND(COUNTA(AE115:AG115)=3,ISNUMBER(AG115))),0,1)+IF(OR(COUNTA(AH115:AJ115)=0,AND(COUNTA(AH115:AJ115)=3,ISNUMBER(AJ115))),0,1)+IF(OR(COUNTA(AK115:AM115)=0,AND(COUNTA(AK115:AM115)=3,ISNUMBER(AM115))),0,1)+IF(OR(COUNTA(AN115:AP115)=0,AND(COUNTA(AN115:AP115)=3,ISNUMBER(AP115))),0,1)+IF(OR(COUNTA(AQ115:AS115)=0,AND(COUNTA(AQ115:AS115)=3,ISNUMBER(AS115))),0,1)+IF(OR(COUNTA(AT115:AV115)=0,AND(COUNTA(AT115:AV115)=3,ISNUMBER(AV115))),0,1)+IF(OR(COUNTA(AW115:AY115)=0,AND(COUNTA(AW115:AY115)=3,ISNUMBER(AY115))),0,1)+IF(OR(COUNTA(AZ115:BB115)=0,AND(COUNTA(AZ115:BB115)=3,ISNUMBER(BB115))),0,1))&gt;0,"; An invoice is incomplete (needs No, Date and a number in Ex GST)","")&amp;IF((IF(T115="",0,IFERROR(--(EOMONTH(T115,0)&lt;&gt;S$5),1))+IF(W115="",0,IFERROR(--(EOMONTH(W115,0)&lt;&gt;V$5),1))+IF(Z115="",0,IFERROR(--(EOMONTH(Z115,0)&lt;&gt;Y$5),1))+IF(AC115="",0,IFERROR(--(EOMONTH(AC115,0)&lt;&gt;AB$5),1))+IF(AF115="",0,IFERROR(--(EOMONTH(AF115,0)&lt;&gt;AE$5),1))+IF(AI115="",0,IFERROR(--(EOMONTH(AI115,0)&lt;&gt;AH$5),1))+IF(AL115="",0,IFERROR(--(EOMONTH(AL115,0)&lt;&gt;AK$5),1))+IF(AO115="",0,IFERROR(--(EOMONTH(AO115,0)&lt;&gt;AN$5),1))+IF(AR115="",0,IFERROR(--(EOMONTH(AR115,0)&lt;&gt;AQ$5),1))+IF(AU115="",0,IFERROR(--(EOMONTH(AU115,0)&lt;&gt;AT$5),1))+IF(AX115="",0,IFERROR(--(EOMONTH(AX115,0)&lt;&gt;AW$5),1))+IF(BA115="",0,IFERROR(--(EOMONTH(BA115,0)&lt;&gt;AZ$5),1)))&gt;0,"; An invoice date is not in the month it is typed under",""),3,500))</f>
        <v/>
      </c>
      <c r="S115" s="12" t="n"/>
      <c r="T115" s="13" t="n"/>
      <c r="U115" s="14" t="n"/>
      <c r="V115" s="12" t="n"/>
      <c r="W115" s="13" t="n"/>
      <c r="X115" s="14" t="n"/>
      <c r="Y115" s="12" t="n"/>
      <c r="Z115" s="13" t="n"/>
      <c r="AA115" s="14" t="n"/>
      <c r="AB115" s="12" t="n"/>
      <c r="AC115" s="13" t="n"/>
      <c r="AD115" s="14" t="n"/>
      <c r="AE115" s="12" t="n"/>
      <c r="AF115" s="13" t="n"/>
      <c r="AG115" s="14" t="n"/>
      <c r="AH115" s="12" t="n"/>
      <c r="AI115" s="13" t="n"/>
      <c r="AJ115" s="14" t="n"/>
      <c r="AK115" s="12" t="n"/>
      <c r="AL115" s="13" t="n"/>
      <c r="AM115" s="14" t="n"/>
      <c r="AN115" s="12" t="n"/>
      <c r="AO115" s="13" t="n"/>
      <c r="AP115" s="14" t="n"/>
      <c r="AQ115" s="12" t="n"/>
      <c r="AR115" s="13" t="n"/>
      <c r="AS115" s="14" t="n"/>
      <c r="AT115" s="12" t="n"/>
      <c r="AU115" s="13" t="n"/>
      <c r="AV115" s="14" t="n"/>
      <c r="AW115" s="12" t="n"/>
      <c r="AX115" s="13" t="n"/>
      <c r="AY115" s="14" t="n"/>
      <c r="AZ115" s="12" t="n"/>
      <c r="BA115" s="13" t="n"/>
      <c r="BB115" s="14" t="n"/>
      <c r="BC115" s="11">
        <f>IF(O115="","",IF(J115="GST 10%",ROUND(O115*set_GSTRate,2),0))</f>
        <v/>
      </c>
      <c r="BD115" s="11">
        <f>IF(O115="","",O115+BC115)</f>
        <v/>
      </c>
      <c r="BE115" s="15">
        <f>IF(O115="","",COUNTA(S115,V115,Y115,AB115,AE115,AH115,AK115,AN115,AQ115,AT115,AW115,AZ115))</f>
        <v/>
      </c>
      <c r="BF115" s="16">
        <f>IF(COUNT(T115,W115,Z115,AC115,AF115,AI115,AL115,AO115,AR115,AU115,AX115,BA115)=0,"",MAX(T115,W115,Z115,AC115,AF115,AI115,AL115,AO115,AR115,AU115,AX115,BA115))</f>
        <v/>
      </c>
      <c r="BG115" s="10">
        <f>MID(IF(S115="","",", "&amp;S115)&amp;IF(V115="","",", "&amp;V115)&amp;IF(Y115="","",", "&amp;Y115)&amp;IF(AB115="","",", "&amp;AB115)&amp;IF(AE115="","",", "&amp;AE115)&amp;IF(AH115="","",", "&amp;AH115)&amp;IF(AK115="","",", "&amp;AK115)&amp;IF(AN115="","",", "&amp;AN115)&amp;IF(AQ115="","",", "&amp;AQ115)&amp;IF(AT115="","",", "&amp;AT115)&amp;IF(AW115="","",", "&amp;AW115)&amp;IF(AZ115="","",", "&amp;AZ115),3,500)</f>
        <v/>
      </c>
      <c r="BH115" s="12" t="n"/>
      <c r="BI115" s="15">
        <f>IFERROR(MATCH($A115,IF($B115="Onsite",tbl_Onsite[Row ID],IF($B115="Production",tbl_Production[Row ID],tbl_Consulting[Row ID])),0),"")</f>
        <v/>
      </c>
    </row>
    <row r="116">
      <c r="A116" s="10" t="inlineStr">
        <is>
          <t>ONS-0110</t>
        </is>
      </c>
      <c r="B116" s="10" t="inlineStr">
        <is>
          <t>Onsite</t>
        </is>
      </c>
      <c r="C116" s="10">
        <f>IF($BI116="","",IF($B116="Onsite",INDEX(tbl_Onsite[Job Number],$BI116),IF($B116="Production",INDEX(tbl_Production[Job Number],$BI116),INDEX(tbl_Consulting[Job Number],$BI116)))&amp;"")</f>
        <v/>
      </c>
      <c r="D116" s="10">
        <f>IF($BI116="","",IF($B116="Onsite",INDEX(tbl_Onsite[Client],$BI116),IF($B116="Production",INDEX(tbl_Production[Client],$BI116),INDEX(tbl_Consulting[Client],$BI116)))&amp;"")</f>
        <v/>
      </c>
      <c r="E116" s="10">
        <f>IF($C116="","",IF(COUNTIF(lst_Jobs,$C116)&gt;0,"OK","CHECK"))</f>
        <v/>
      </c>
      <c r="F116" s="10">
        <f>IF($C116="","",IFERROR(INDEX(lst_JobName,MATCH($C116,lst_Jobs,0)),""))</f>
        <v/>
      </c>
      <c r="G116" s="10">
        <f>IF($BI116="","",IF($B116="Onsite",INDEX(tbl_Onsite[Job Description],$BI116),IF($B116="Production",INDEX(tbl_Production[Job Description],$BI116),INDEX(tbl_Consulting[Job Description],$BI116)))&amp;"")</f>
        <v/>
      </c>
      <c r="H116" s="10">
        <f>IF($BI116="","",IF($B116="Onsite",INDEX(tbl_Onsite[Cost Centre],$BI116),IF($B116="Production",INDEX(tbl_Production[Cost Centre],$BI116),INDEX(tbl_Consulting[Cost Centre],$BI116)))&amp;"")</f>
        <v/>
      </c>
      <c r="I116" s="10">
        <f>IF($BI116="","",IF($B116="Onsite",INDEX(tbl_Onsite[Invoice Type],$BI116),IF($B116="Production",INDEX(tbl_Production[Invoice Type],$BI116),INDEX(tbl_Consulting[Invoice Type],$BI116)))&amp;"")</f>
        <v/>
      </c>
      <c r="J116" s="10">
        <f>IF($BI116="","",IF($B116="Onsite",INDEX(tbl_Onsite[Tax Code],$BI116),IF($B116="Production",INDEX(tbl_Production[Tax Code],$BI116),INDEX(tbl_Consulting[Tax Code],$BI116)))&amp;"")</f>
        <v/>
      </c>
      <c r="K116" s="10">
        <f>IF(H116="","",IFERROR(INDEX(lst_CCtoGL,MATCH(H116,lst_CCforGL,0)),""))</f>
        <v/>
      </c>
      <c r="L116" s="10">
        <f>IF($BI116="","",IF($B116="Onsite",INDEX(tbl_Onsite[PO / Reference],$BI116),IF($B116="Production",INDEX(tbl_Production[Current RMS No],$BI116),INDEX(tbl_Consulting[Qwilr Quote],$BI116)))&amp;"")</f>
        <v/>
      </c>
      <c r="M116" s="10">
        <f>IF($BI116="","",IF($B116="Onsite",INDEX(tbl_Onsite[Notes],$BI116),IF($B116="Production",INDEX(tbl_Production[Notes],$BI116),INDEX(tbl_Consulting[Notes],$BI116)))&amp;"")</f>
        <v/>
      </c>
      <c r="N116" s="11">
        <f>IF($BI116="","",IF(IF($B116="Onsite",INDEX(tbl_Onsite[Expected Revenue Ex GST],$BI116),IF($B116="Production",INDEX(tbl_Production[Expected Revenue Ex GST],$BI116),INDEX(tbl_Consulting[Expected Revenue Ex GST],$BI116)))="","",IF($B116="Onsite",INDEX(tbl_Onsite[Expected Revenue Ex GST],$BI116),IF($B116="Production",INDEX(tbl_Production[Expected Revenue Ex GST],$BI116),INDEX(tbl_Consulting[Expected Revenue Ex GST],$BI116)))))</f>
        <v/>
      </c>
      <c r="O116" s="11">
        <f>IF(AND($C116="",NOT(COUNTA($S116:$BB116)&gt;0)),"",SUM(U116,X116,AA116,AD116,AG116,AJ116,AM116,AP116,AS116,AV116,AY116,BB116))</f>
        <v/>
      </c>
      <c r="P116" s="11">
        <f>IF(O116="","",N(N116)-O116)</f>
        <v/>
      </c>
      <c r="Q116" s="10">
        <f>IF(O116="","",IF($C116="","Invoice on empty job row",IF(N116="",IF(ROUND(O116,2)=0,"No dept value","Invoiced - no dept value"),IF(ROUND(O116,2)=0,"Not invoiced - to invoice",IF(ROUND(P116,2)=0,"Agrees",IF(P116&gt;0,"Dept higher - to invoice","Xero higher - check dept"))))))</f>
        <v/>
      </c>
      <c r="R116" s="10">
        <f>IF(AND($C116="",NOT(COUNTA($S116:$BB116)&gt;0),$BI116&lt;&gt;""),"",MID(IF($BI116="","; Row ID not found on the department sheet - a row was deleted","")&amp;IF(AND($C116="",COUNTA($S116:$BB116)&gt;0),"; Invoice entered but the department row has no job number","")&amp;IF(E116="CHECK","; Job number not in the Xero job list","")&amp;IF(AND($C116&lt;&gt;"",COUNTIF($C$7:$C$1506,$C116)&gt;1),"; Job number on more than one row","")&amp;IF(AND($C116&lt;&gt;"",H116=""),"; Dept has not set a cost centre","")&amp;IF(AND($C116&lt;&gt;"",J116=""),"; Dept has not set a tax code","")&amp;IF(AND($C116&lt;&gt;"",N116=""),"; Dept has not entered an expected value","")&amp;IF((IF(OR(COUNTA(S116:U116)=0,AND(COUNTA(S116:U116)=3,ISNUMBER(U116))),0,1)+IF(OR(COUNTA(V116:X116)=0,AND(COUNTA(V116:X116)=3,ISNUMBER(X116))),0,1)+IF(OR(COUNTA(Y116:AA116)=0,AND(COUNTA(Y116:AA116)=3,ISNUMBER(AA116))),0,1)+IF(OR(COUNTA(AB116:AD116)=0,AND(COUNTA(AB116:AD116)=3,ISNUMBER(AD116))),0,1)+IF(OR(COUNTA(AE116:AG116)=0,AND(COUNTA(AE116:AG116)=3,ISNUMBER(AG116))),0,1)+IF(OR(COUNTA(AH116:AJ116)=0,AND(COUNTA(AH116:AJ116)=3,ISNUMBER(AJ116))),0,1)+IF(OR(COUNTA(AK116:AM116)=0,AND(COUNTA(AK116:AM116)=3,ISNUMBER(AM116))),0,1)+IF(OR(COUNTA(AN116:AP116)=0,AND(COUNTA(AN116:AP116)=3,ISNUMBER(AP116))),0,1)+IF(OR(COUNTA(AQ116:AS116)=0,AND(COUNTA(AQ116:AS116)=3,ISNUMBER(AS116))),0,1)+IF(OR(COUNTA(AT116:AV116)=0,AND(COUNTA(AT116:AV116)=3,ISNUMBER(AV116))),0,1)+IF(OR(COUNTA(AW116:AY116)=0,AND(COUNTA(AW116:AY116)=3,ISNUMBER(AY116))),0,1)+IF(OR(COUNTA(AZ116:BB116)=0,AND(COUNTA(AZ116:BB116)=3,ISNUMBER(BB116))),0,1))&gt;0,"; An invoice is incomplete (needs No, Date and a number in Ex GST)","")&amp;IF((IF(T116="",0,IFERROR(--(EOMONTH(T116,0)&lt;&gt;S$5),1))+IF(W116="",0,IFERROR(--(EOMONTH(W116,0)&lt;&gt;V$5),1))+IF(Z116="",0,IFERROR(--(EOMONTH(Z116,0)&lt;&gt;Y$5),1))+IF(AC116="",0,IFERROR(--(EOMONTH(AC116,0)&lt;&gt;AB$5),1))+IF(AF116="",0,IFERROR(--(EOMONTH(AF116,0)&lt;&gt;AE$5),1))+IF(AI116="",0,IFERROR(--(EOMONTH(AI116,0)&lt;&gt;AH$5),1))+IF(AL116="",0,IFERROR(--(EOMONTH(AL116,0)&lt;&gt;AK$5),1))+IF(AO116="",0,IFERROR(--(EOMONTH(AO116,0)&lt;&gt;AN$5),1))+IF(AR116="",0,IFERROR(--(EOMONTH(AR116,0)&lt;&gt;AQ$5),1))+IF(AU116="",0,IFERROR(--(EOMONTH(AU116,0)&lt;&gt;AT$5),1))+IF(AX116="",0,IFERROR(--(EOMONTH(AX116,0)&lt;&gt;AW$5),1))+IF(BA116="",0,IFERROR(--(EOMONTH(BA116,0)&lt;&gt;AZ$5),1)))&gt;0,"; An invoice date is not in the month it is typed under",""),3,500))</f>
        <v/>
      </c>
      <c r="S116" s="12" t="n"/>
      <c r="T116" s="13" t="n"/>
      <c r="U116" s="14" t="n"/>
      <c r="V116" s="12" t="n"/>
      <c r="W116" s="13" t="n"/>
      <c r="X116" s="14" t="n"/>
      <c r="Y116" s="12" t="n"/>
      <c r="Z116" s="13" t="n"/>
      <c r="AA116" s="14" t="n"/>
      <c r="AB116" s="12" t="n"/>
      <c r="AC116" s="13" t="n"/>
      <c r="AD116" s="14" t="n"/>
      <c r="AE116" s="12" t="n"/>
      <c r="AF116" s="13" t="n"/>
      <c r="AG116" s="14" t="n"/>
      <c r="AH116" s="12" t="n"/>
      <c r="AI116" s="13" t="n"/>
      <c r="AJ116" s="14" t="n"/>
      <c r="AK116" s="12" t="n"/>
      <c r="AL116" s="13" t="n"/>
      <c r="AM116" s="14" t="n"/>
      <c r="AN116" s="12" t="n"/>
      <c r="AO116" s="13" t="n"/>
      <c r="AP116" s="14" t="n"/>
      <c r="AQ116" s="12" t="n"/>
      <c r="AR116" s="13" t="n"/>
      <c r="AS116" s="14" t="n"/>
      <c r="AT116" s="12" t="n"/>
      <c r="AU116" s="13" t="n"/>
      <c r="AV116" s="14" t="n"/>
      <c r="AW116" s="12" t="n"/>
      <c r="AX116" s="13" t="n"/>
      <c r="AY116" s="14" t="n"/>
      <c r="AZ116" s="12" t="n"/>
      <c r="BA116" s="13" t="n"/>
      <c r="BB116" s="14" t="n"/>
      <c r="BC116" s="11">
        <f>IF(O116="","",IF(J116="GST 10%",ROUND(O116*set_GSTRate,2),0))</f>
        <v/>
      </c>
      <c r="BD116" s="11">
        <f>IF(O116="","",O116+BC116)</f>
        <v/>
      </c>
      <c r="BE116" s="15">
        <f>IF(O116="","",COUNTA(S116,V116,Y116,AB116,AE116,AH116,AK116,AN116,AQ116,AT116,AW116,AZ116))</f>
        <v/>
      </c>
      <c r="BF116" s="16">
        <f>IF(COUNT(T116,W116,Z116,AC116,AF116,AI116,AL116,AO116,AR116,AU116,AX116,BA116)=0,"",MAX(T116,W116,Z116,AC116,AF116,AI116,AL116,AO116,AR116,AU116,AX116,BA116))</f>
        <v/>
      </c>
      <c r="BG116" s="10">
        <f>MID(IF(S116="","",", "&amp;S116)&amp;IF(V116="","",", "&amp;V116)&amp;IF(Y116="","",", "&amp;Y116)&amp;IF(AB116="","",", "&amp;AB116)&amp;IF(AE116="","",", "&amp;AE116)&amp;IF(AH116="","",", "&amp;AH116)&amp;IF(AK116="","",", "&amp;AK116)&amp;IF(AN116="","",", "&amp;AN116)&amp;IF(AQ116="","",", "&amp;AQ116)&amp;IF(AT116="","",", "&amp;AT116)&amp;IF(AW116="","",", "&amp;AW116)&amp;IF(AZ116="","",", "&amp;AZ116),3,500)</f>
        <v/>
      </c>
      <c r="BH116" s="12" t="n"/>
      <c r="BI116" s="15">
        <f>IFERROR(MATCH($A116,IF($B116="Onsite",tbl_Onsite[Row ID],IF($B116="Production",tbl_Production[Row ID],tbl_Consulting[Row ID])),0),"")</f>
        <v/>
      </c>
    </row>
    <row r="117">
      <c r="A117" s="10" t="inlineStr">
        <is>
          <t>ONS-0111</t>
        </is>
      </c>
      <c r="B117" s="10" t="inlineStr">
        <is>
          <t>Onsite</t>
        </is>
      </c>
      <c r="C117" s="10">
        <f>IF($BI117="","",IF($B117="Onsite",INDEX(tbl_Onsite[Job Number],$BI117),IF($B117="Production",INDEX(tbl_Production[Job Number],$BI117),INDEX(tbl_Consulting[Job Number],$BI117)))&amp;"")</f>
        <v/>
      </c>
      <c r="D117" s="10">
        <f>IF($BI117="","",IF($B117="Onsite",INDEX(tbl_Onsite[Client],$BI117),IF($B117="Production",INDEX(tbl_Production[Client],$BI117),INDEX(tbl_Consulting[Client],$BI117)))&amp;"")</f>
        <v/>
      </c>
      <c r="E117" s="10">
        <f>IF($C117="","",IF(COUNTIF(lst_Jobs,$C117)&gt;0,"OK","CHECK"))</f>
        <v/>
      </c>
      <c r="F117" s="10">
        <f>IF($C117="","",IFERROR(INDEX(lst_JobName,MATCH($C117,lst_Jobs,0)),""))</f>
        <v/>
      </c>
      <c r="G117" s="10">
        <f>IF($BI117="","",IF($B117="Onsite",INDEX(tbl_Onsite[Job Description],$BI117),IF($B117="Production",INDEX(tbl_Production[Job Description],$BI117),INDEX(tbl_Consulting[Job Description],$BI117)))&amp;"")</f>
        <v/>
      </c>
      <c r="H117" s="10">
        <f>IF($BI117="","",IF($B117="Onsite",INDEX(tbl_Onsite[Cost Centre],$BI117),IF($B117="Production",INDEX(tbl_Production[Cost Centre],$BI117),INDEX(tbl_Consulting[Cost Centre],$BI117)))&amp;"")</f>
        <v/>
      </c>
      <c r="I117" s="10">
        <f>IF($BI117="","",IF($B117="Onsite",INDEX(tbl_Onsite[Invoice Type],$BI117),IF($B117="Production",INDEX(tbl_Production[Invoice Type],$BI117),INDEX(tbl_Consulting[Invoice Type],$BI117)))&amp;"")</f>
        <v/>
      </c>
      <c r="J117" s="10">
        <f>IF($BI117="","",IF($B117="Onsite",INDEX(tbl_Onsite[Tax Code],$BI117),IF($B117="Production",INDEX(tbl_Production[Tax Code],$BI117),INDEX(tbl_Consulting[Tax Code],$BI117)))&amp;"")</f>
        <v/>
      </c>
      <c r="K117" s="10">
        <f>IF(H117="","",IFERROR(INDEX(lst_CCtoGL,MATCH(H117,lst_CCforGL,0)),""))</f>
        <v/>
      </c>
      <c r="L117" s="10">
        <f>IF($BI117="","",IF($B117="Onsite",INDEX(tbl_Onsite[PO / Reference],$BI117),IF($B117="Production",INDEX(tbl_Production[Current RMS No],$BI117),INDEX(tbl_Consulting[Qwilr Quote],$BI117)))&amp;"")</f>
        <v/>
      </c>
      <c r="M117" s="10">
        <f>IF($BI117="","",IF($B117="Onsite",INDEX(tbl_Onsite[Notes],$BI117),IF($B117="Production",INDEX(tbl_Production[Notes],$BI117),INDEX(tbl_Consulting[Notes],$BI117)))&amp;"")</f>
        <v/>
      </c>
      <c r="N117" s="11">
        <f>IF($BI117="","",IF(IF($B117="Onsite",INDEX(tbl_Onsite[Expected Revenue Ex GST],$BI117),IF($B117="Production",INDEX(tbl_Production[Expected Revenue Ex GST],$BI117),INDEX(tbl_Consulting[Expected Revenue Ex GST],$BI117)))="","",IF($B117="Onsite",INDEX(tbl_Onsite[Expected Revenue Ex GST],$BI117),IF($B117="Production",INDEX(tbl_Production[Expected Revenue Ex GST],$BI117),INDEX(tbl_Consulting[Expected Revenue Ex GST],$BI117)))))</f>
        <v/>
      </c>
      <c r="O117" s="11">
        <f>IF(AND($C117="",NOT(COUNTA($S117:$BB117)&gt;0)),"",SUM(U117,X117,AA117,AD117,AG117,AJ117,AM117,AP117,AS117,AV117,AY117,BB117))</f>
        <v/>
      </c>
      <c r="P117" s="11">
        <f>IF(O117="","",N(N117)-O117)</f>
        <v/>
      </c>
      <c r="Q117" s="10">
        <f>IF(O117="","",IF($C117="","Invoice on empty job row",IF(N117="",IF(ROUND(O117,2)=0,"No dept value","Invoiced - no dept value"),IF(ROUND(O117,2)=0,"Not invoiced - to invoice",IF(ROUND(P117,2)=0,"Agrees",IF(P117&gt;0,"Dept higher - to invoice","Xero higher - check dept"))))))</f>
        <v/>
      </c>
      <c r="R117" s="10">
        <f>IF(AND($C117="",NOT(COUNTA($S117:$BB117)&gt;0),$BI117&lt;&gt;""),"",MID(IF($BI117="","; Row ID not found on the department sheet - a row was deleted","")&amp;IF(AND($C117="",COUNTA($S117:$BB117)&gt;0),"; Invoice entered but the department row has no job number","")&amp;IF(E117="CHECK","; Job number not in the Xero job list","")&amp;IF(AND($C117&lt;&gt;"",COUNTIF($C$7:$C$1506,$C117)&gt;1),"; Job number on more than one row","")&amp;IF(AND($C117&lt;&gt;"",H117=""),"; Dept has not set a cost centre","")&amp;IF(AND($C117&lt;&gt;"",J117=""),"; Dept has not set a tax code","")&amp;IF(AND($C117&lt;&gt;"",N117=""),"; Dept has not entered an expected value","")&amp;IF((IF(OR(COUNTA(S117:U117)=0,AND(COUNTA(S117:U117)=3,ISNUMBER(U117))),0,1)+IF(OR(COUNTA(V117:X117)=0,AND(COUNTA(V117:X117)=3,ISNUMBER(X117))),0,1)+IF(OR(COUNTA(Y117:AA117)=0,AND(COUNTA(Y117:AA117)=3,ISNUMBER(AA117))),0,1)+IF(OR(COUNTA(AB117:AD117)=0,AND(COUNTA(AB117:AD117)=3,ISNUMBER(AD117))),0,1)+IF(OR(COUNTA(AE117:AG117)=0,AND(COUNTA(AE117:AG117)=3,ISNUMBER(AG117))),0,1)+IF(OR(COUNTA(AH117:AJ117)=0,AND(COUNTA(AH117:AJ117)=3,ISNUMBER(AJ117))),0,1)+IF(OR(COUNTA(AK117:AM117)=0,AND(COUNTA(AK117:AM117)=3,ISNUMBER(AM117))),0,1)+IF(OR(COUNTA(AN117:AP117)=0,AND(COUNTA(AN117:AP117)=3,ISNUMBER(AP117))),0,1)+IF(OR(COUNTA(AQ117:AS117)=0,AND(COUNTA(AQ117:AS117)=3,ISNUMBER(AS117))),0,1)+IF(OR(COUNTA(AT117:AV117)=0,AND(COUNTA(AT117:AV117)=3,ISNUMBER(AV117))),0,1)+IF(OR(COUNTA(AW117:AY117)=0,AND(COUNTA(AW117:AY117)=3,ISNUMBER(AY117))),0,1)+IF(OR(COUNTA(AZ117:BB117)=0,AND(COUNTA(AZ117:BB117)=3,ISNUMBER(BB117))),0,1))&gt;0,"; An invoice is incomplete (needs No, Date and a number in Ex GST)","")&amp;IF((IF(T117="",0,IFERROR(--(EOMONTH(T117,0)&lt;&gt;S$5),1))+IF(W117="",0,IFERROR(--(EOMONTH(W117,0)&lt;&gt;V$5),1))+IF(Z117="",0,IFERROR(--(EOMONTH(Z117,0)&lt;&gt;Y$5),1))+IF(AC117="",0,IFERROR(--(EOMONTH(AC117,0)&lt;&gt;AB$5),1))+IF(AF117="",0,IFERROR(--(EOMONTH(AF117,0)&lt;&gt;AE$5),1))+IF(AI117="",0,IFERROR(--(EOMONTH(AI117,0)&lt;&gt;AH$5),1))+IF(AL117="",0,IFERROR(--(EOMONTH(AL117,0)&lt;&gt;AK$5),1))+IF(AO117="",0,IFERROR(--(EOMONTH(AO117,0)&lt;&gt;AN$5),1))+IF(AR117="",0,IFERROR(--(EOMONTH(AR117,0)&lt;&gt;AQ$5),1))+IF(AU117="",0,IFERROR(--(EOMONTH(AU117,0)&lt;&gt;AT$5),1))+IF(AX117="",0,IFERROR(--(EOMONTH(AX117,0)&lt;&gt;AW$5),1))+IF(BA117="",0,IFERROR(--(EOMONTH(BA117,0)&lt;&gt;AZ$5),1)))&gt;0,"; An invoice date is not in the month it is typed under",""),3,500))</f>
        <v/>
      </c>
      <c r="S117" s="12" t="n"/>
      <c r="T117" s="13" t="n"/>
      <c r="U117" s="14" t="n"/>
      <c r="V117" s="12" t="n"/>
      <c r="W117" s="13" t="n"/>
      <c r="X117" s="14" t="n"/>
      <c r="Y117" s="12" t="n"/>
      <c r="Z117" s="13" t="n"/>
      <c r="AA117" s="14" t="n"/>
      <c r="AB117" s="12" t="n"/>
      <c r="AC117" s="13" t="n"/>
      <c r="AD117" s="14" t="n"/>
      <c r="AE117" s="12" t="n"/>
      <c r="AF117" s="13" t="n"/>
      <c r="AG117" s="14" t="n"/>
      <c r="AH117" s="12" t="n"/>
      <c r="AI117" s="13" t="n"/>
      <c r="AJ117" s="14" t="n"/>
      <c r="AK117" s="12" t="n"/>
      <c r="AL117" s="13" t="n"/>
      <c r="AM117" s="14" t="n"/>
      <c r="AN117" s="12" t="n"/>
      <c r="AO117" s="13" t="n"/>
      <c r="AP117" s="14" t="n"/>
      <c r="AQ117" s="12" t="n"/>
      <c r="AR117" s="13" t="n"/>
      <c r="AS117" s="14" t="n"/>
      <c r="AT117" s="12" t="n"/>
      <c r="AU117" s="13" t="n"/>
      <c r="AV117" s="14" t="n"/>
      <c r="AW117" s="12" t="n"/>
      <c r="AX117" s="13" t="n"/>
      <c r="AY117" s="14" t="n"/>
      <c r="AZ117" s="12" t="n"/>
      <c r="BA117" s="13" t="n"/>
      <c r="BB117" s="14" t="n"/>
      <c r="BC117" s="11">
        <f>IF(O117="","",IF(J117="GST 10%",ROUND(O117*set_GSTRate,2),0))</f>
        <v/>
      </c>
      <c r="BD117" s="11">
        <f>IF(O117="","",O117+BC117)</f>
        <v/>
      </c>
      <c r="BE117" s="15">
        <f>IF(O117="","",COUNTA(S117,V117,Y117,AB117,AE117,AH117,AK117,AN117,AQ117,AT117,AW117,AZ117))</f>
        <v/>
      </c>
      <c r="BF117" s="16">
        <f>IF(COUNT(T117,W117,Z117,AC117,AF117,AI117,AL117,AO117,AR117,AU117,AX117,BA117)=0,"",MAX(T117,W117,Z117,AC117,AF117,AI117,AL117,AO117,AR117,AU117,AX117,BA117))</f>
        <v/>
      </c>
      <c r="BG117" s="10">
        <f>MID(IF(S117="","",", "&amp;S117)&amp;IF(V117="","",", "&amp;V117)&amp;IF(Y117="","",", "&amp;Y117)&amp;IF(AB117="","",", "&amp;AB117)&amp;IF(AE117="","",", "&amp;AE117)&amp;IF(AH117="","",", "&amp;AH117)&amp;IF(AK117="","",", "&amp;AK117)&amp;IF(AN117="","",", "&amp;AN117)&amp;IF(AQ117="","",", "&amp;AQ117)&amp;IF(AT117="","",", "&amp;AT117)&amp;IF(AW117="","",", "&amp;AW117)&amp;IF(AZ117="","",", "&amp;AZ117),3,500)</f>
        <v/>
      </c>
      <c r="BH117" s="12" t="n"/>
      <c r="BI117" s="15">
        <f>IFERROR(MATCH($A117,IF($B117="Onsite",tbl_Onsite[Row ID],IF($B117="Production",tbl_Production[Row ID],tbl_Consulting[Row ID])),0),"")</f>
        <v/>
      </c>
    </row>
    <row r="118">
      <c r="A118" s="10" t="inlineStr">
        <is>
          <t>ONS-0112</t>
        </is>
      </c>
      <c r="B118" s="10" t="inlineStr">
        <is>
          <t>Onsite</t>
        </is>
      </c>
      <c r="C118" s="10">
        <f>IF($BI118="","",IF($B118="Onsite",INDEX(tbl_Onsite[Job Number],$BI118),IF($B118="Production",INDEX(tbl_Production[Job Number],$BI118),INDEX(tbl_Consulting[Job Number],$BI118)))&amp;"")</f>
        <v/>
      </c>
      <c r="D118" s="10">
        <f>IF($BI118="","",IF($B118="Onsite",INDEX(tbl_Onsite[Client],$BI118),IF($B118="Production",INDEX(tbl_Production[Client],$BI118),INDEX(tbl_Consulting[Client],$BI118)))&amp;"")</f>
        <v/>
      </c>
      <c r="E118" s="10">
        <f>IF($C118="","",IF(COUNTIF(lst_Jobs,$C118)&gt;0,"OK","CHECK"))</f>
        <v/>
      </c>
      <c r="F118" s="10">
        <f>IF($C118="","",IFERROR(INDEX(lst_JobName,MATCH($C118,lst_Jobs,0)),""))</f>
        <v/>
      </c>
      <c r="G118" s="10">
        <f>IF($BI118="","",IF($B118="Onsite",INDEX(tbl_Onsite[Job Description],$BI118),IF($B118="Production",INDEX(tbl_Production[Job Description],$BI118),INDEX(tbl_Consulting[Job Description],$BI118)))&amp;"")</f>
        <v/>
      </c>
      <c r="H118" s="10">
        <f>IF($BI118="","",IF($B118="Onsite",INDEX(tbl_Onsite[Cost Centre],$BI118),IF($B118="Production",INDEX(tbl_Production[Cost Centre],$BI118),INDEX(tbl_Consulting[Cost Centre],$BI118)))&amp;"")</f>
        <v/>
      </c>
      <c r="I118" s="10">
        <f>IF($BI118="","",IF($B118="Onsite",INDEX(tbl_Onsite[Invoice Type],$BI118),IF($B118="Production",INDEX(tbl_Production[Invoice Type],$BI118),INDEX(tbl_Consulting[Invoice Type],$BI118)))&amp;"")</f>
        <v/>
      </c>
      <c r="J118" s="10">
        <f>IF($BI118="","",IF($B118="Onsite",INDEX(tbl_Onsite[Tax Code],$BI118),IF($B118="Production",INDEX(tbl_Production[Tax Code],$BI118),INDEX(tbl_Consulting[Tax Code],$BI118)))&amp;"")</f>
        <v/>
      </c>
      <c r="K118" s="10">
        <f>IF(H118="","",IFERROR(INDEX(lst_CCtoGL,MATCH(H118,lst_CCforGL,0)),""))</f>
        <v/>
      </c>
      <c r="L118" s="10">
        <f>IF($BI118="","",IF($B118="Onsite",INDEX(tbl_Onsite[PO / Reference],$BI118),IF($B118="Production",INDEX(tbl_Production[Current RMS No],$BI118),INDEX(tbl_Consulting[Qwilr Quote],$BI118)))&amp;"")</f>
        <v/>
      </c>
      <c r="M118" s="10">
        <f>IF($BI118="","",IF($B118="Onsite",INDEX(tbl_Onsite[Notes],$BI118),IF($B118="Production",INDEX(tbl_Production[Notes],$BI118),INDEX(tbl_Consulting[Notes],$BI118)))&amp;"")</f>
        <v/>
      </c>
      <c r="N118" s="11">
        <f>IF($BI118="","",IF(IF($B118="Onsite",INDEX(tbl_Onsite[Expected Revenue Ex GST],$BI118),IF($B118="Production",INDEX(tbl_Production[Expected Revenue Ex GST],$BI118),INDEX(tbl_Consulting[Expected Revenue Ex GST],$BI118)))="","",IF($B118="Onsite",INDEX(tbl_Onsite[Expected Revenue Ex GST],$BI118),IF($B118="Production",INDEX(tbl_Production[Expected Revenue Ex GST],$BI118),INDEX(tbl_Consulting[Expected Revenue Ex GST],$BI118)))))</f>
        <v/>
      </c>
      <c r="O118" s="11">
        <f>IF(AND($C118="",NOT(COUNTA($S118:$BB118)&gt;0)),"",SUM(U118,X118,AA118,AD118,AG118,AJ118,AM118,AP118,AS118,AV118,AY118,BB118))</f>
        <v/>
      </c>
      <c r="P118" s="11">
        <f>IF(O118="","",N(N118)-O118)</f>
        <v/>
      </c>
      <c r="Q118" s="10">
        <f>IF(O118="","",IF($C118="","Invoice on empty job row",IF(N118="",IF(ROUND(O118,2)=0,"No dept value","Invoiced - no dept value"),IF(ROUND(O118,2)=0,"Not invoiced - to invoice",IF(ROUND(P118,2)=0,"Agrees",IF(P118&gt;0,"Dept higher - to invoice","Xero higher - check dept"))))))</f>
        <v/>
      </c>
      <c r="R118" s="10">
        <f>IF(AND($C118="",NOT(COUNTA($S118:$BB118)&gt;0),$BI118&lt;&gt;""),"",MID(IF($BI118="","; Row ID not found on the department sheet - a row was deleted","")&amp;IF(AND($C118="",COUNTA($S118:$BB118)&gt;0),"; Invoice entered but the department row has no job number","")&amp;IF(E118="CHECK","; Job number not in the Xero job list","")&amp;IF(AND($C118&lt;&gt;"",COUNTIF($C$7:$C$1506,$C118)&gt;1),"; Job number on more than one row","")&amp;IF(AND($C118&lt;&gt;"",H118=""),"; Dept has not set a cost centre","")&amp;IF(AND($C118&lt;&gt;"",J118=""),"; Dept has not set a tax code","")&amp;IF(AND($C118&lt;&gt;"",N118=""),"; Dept has not entered an expected value","")&amp;IF((IF(OR(COUNTA(S118:U118)=0,AND(COUNTA(S118:U118)=3,ISNUMBER(U118))),0,1)+IF(OR(COUNTA(V118:X118)=0,AND(COUNTA(V118:X118)=3,ISNUMBER(X118))),0,1)+IF(OR(COUNTA(Y118:AA118)=0,AND(COUNTA(Y118:AA118)=3,ISNUMBER(AA118))),0,1)+IF(OR(COUNTA(AB118:AD118)=0,AND(COUNTA(AB118:AD118)=3,ISNUMBER(AD118))),0,1)+IF(OR(COUNTA(AE118:AG118)=0,AND(COUNTA(AE118:AG118)=3,ISNUMBER(AG118))),0,1)+IF(OR(COUNTA(AH118:AJ118)=0,AND(COUNTA(AH118:AJ118)=3,ISNUMBER(AJ118))),0,1)+IF(OR(COUNTA(AK118:AM118)=0,AND(COUNTA(AK118:AM118)=3,ISNUMBER(AM118))),0,1)+IF(OR(COUNTA(AN118:AP118)=0,AND(COUNTA(AN118:AP118)=3,ISNUMBER(AP118))),0,1)+IF(OR(COUNTA(AQ118:AS118)=0,AND(COUNTA(AQ118:AS118)=3,ISNUMBER(AS118))),0,1)+IF(OR(COUNTA(AT118:AV118)=0,AND(COUNTA(AT118:AV118)=3,ISNUMBER(AV118))),0,1)+IF(OR(COUNTA(AW118:AY118)=0,AND(COUNTA(AW118:AY118)=3,ISNUMBER(AY118))),0,1)+IF(OR(COUNTA(AZ118:BB118)=0,AND(COUNTA(AZ118:BB118)=3,ISNUMBER(BB118))),0,1))&gt;0,"; An invoice is incomplete (needs No, Date and a number in Ex GST)","")&amp;IF((IF(T118="",0,IFERROR(--(EOMONTH(T118,0)&lt;&gt;S$5),1))+IF(W118="",0,IFERROR(--(EOMONTH(W118,0)&lt;&gt;V$5),1))+IF(Z118="",0,IFERROR(--(EOMONTH(Z118,0)&lt;&gt;Y$5),1))+IF(AC118="",0,IFERROR(--(EOMONTH(AC118,0)&lt;&gt;AB$5),1))+IF(AF118="",0,IFERROR(--(EOMONTH(AF118,0)&lt;&gt;AE$5),1))+IF(AI118="",0,IFERROR(--(EOMONTH(AI118,0)&lt;&gt;AH$5),1))+IF(AL118="",0,IFERROR(--(EOMONTH(AL118,0)&lt;&gt;AK$5),1))+IF(AO118="",0,IFERROR(--(EOMONTH(AO118,0)&lt;&gt;AN$5),1))+IF(AR118="",0,IFERROR(--(EOMONTH(AR118,0)&lt;&gt;AQ$5),1))+IF(AU118="",0,IFERROR(--(EOMONTH(AU118,0)&lt;&gt;AT$5),1))+IF(AX118="",0,IFERROR(--(EOMONTH(AX118,0)&lt;&gt;AW$5),1))+IF(BA118="",0,IFERROR(--(EOMONTH(BA118,0)&lt;&gt;AZ$5),1)))&gt;0,"; An invoice date is not in the month it is typed under",""),3,500))</f>
        <v/>
      </c>
      <c r="S118" s="12" t="n"/>
      <c r="T118" s="13" t="n"/>
      <c r="U118" s="14" t="n"/>
      <c r="V118" s="12" t="n"/>
      <c r="W118" s="13" t="n"/>
      <c r="X118" s="14" t="n"/>
      <c r="Y118" s="12" t="n"/>
      <c r="Z118" s="13" t="n"/>
      <c r="AA118" s="14" t="n"/>
      <c r="AB118" s="12" t="n"/>
      <c r="AC118" s="13" t="n"/>
      <c r="AD118" s="14" t="n"/>
      <c r="AE118" s="12" t="n"/>
      <c r="AF118" s="13" t="n"/>
      <c r="AG118" s="14" t="n"/>
      <c r="AH118" s="12" t="n"/>
      <c r="AI118" s="13" t="n"/>
      <c r="AJ118" s="14" t="n"/>
      <c r="AK118" s="12" t="n"/>
      <c r="AL118" s="13" t="n"/>
      <c r="AM118" s="14" t="n"/>
      <c r="AN118" s="12" t="n"/>
      <c r="AO118" s="13" t="n"/>
      <c r="AP118" s="14" t="n"/>
      <c r="AQ118" s="12" t="n"/>
      <c r="AR118" s="13" t="n"/>
      <c r="AS118" s="14" t="n"/>
      <c r="AT118" s="12" t="n"/>
      <c r="AU118" s="13" t="n"/>
      <c r="AV118" s="14" t="n"/>
      <c r="AW118" s="12" t="n"/>
      <c r="AX118" s="13" t="n"/>
      <c r="AY118" s="14" t="n"/>
      <c r="AZ118" s="12" t="n"/>
      <c r="BA118" s="13" t="n"/>
      <c r="BB118" s="14" t="n"/>
      <c r="BC118" s="11">
        <f>IF(O118="","",IF(J118="GST 10%",ROUND(O118*set_GSTRate,2),0))</f>
        <v/>
      </c>
      <c r="BD118" s="11">
        <f>IF(O118="","",O118+BC118)</f>
        <v/>
      </c>
      <c r="BE118" s="15">
        <f>IF(O118="","",COUNTA(S118,V118,Y118,AB118,AE118,AH118,AK118,AN118,AQ118,AT118,AW118,AZ118))</f>
        <v/>
      </c>
      <c r="BF118" s="16">
        <f>IF(COUNT(T118,W118,Z118,AC118,AF118,AI118,AL118,AO118,AR118,AU118,AX118,BA118)=0,"",MAX(T118,W118,Z118,AC118,AF118,AI118,AL118,AO118,AR118,AU118,AX118,BA118))</f>
        <v/>
      </c>
      <c r="BG118" s="10">
        <f>MID(IF(S118="","",", "&amp;S118)&amp;IF(V118="","",", "&amp;V118)&amp;IF(Y118="","",", "&amp;Y118)&amp;IF(AB118="","",", "&amp;AB118)&amp;IF(AE118="","",", "&amp;AE118)&amp;IF(AH118="","",", "&amp;AH118)&amp;IF(AK118="","",", "&amp;AK118)&amp;IF(AN118="","",", "&amp;AN118)&amp;IF(AQ118="","",", "&amp;AQ118)&amp;IF(AT118="","",", "&amp;AT118)&amp;IF(AW118="","",", "&amp;AW118)&amp;IF(AZ118="","",", "&amp;AZ118),3,500)</f>
        <v/>
      </c>
      <c r="BH118" s="12" t="n"/>
      <c r="BI118" s="15">
        <f>IFERROR(MATCH($A118,IF($B118="Onsite",tbl_Onsite[Row ID],IF($B118="Production",tbl_Production[Row ID],tbl_Consulting[Row ID])),0),"")</f>
        <v/>
      </c>
    </row>
    <row r="119">
      <c r="A119" s="10" t="inlineStr">
        <is>
          <t>ONS-0113</t>
        </is>
      </c>
      <c r="B119" s="10" t="inlineStr">
        <is>
          <t>Onsite</t>
        </is>
      </c>
      <c r="C119" s="10">
        <f>IF($BI119="","",IF($B119="Onsite",INDEX(tbl_Onsite[Job Number],$BI119),IF($B119="Production",INDEX(tbl_Production[Job Number],$BI119),INDEX(tbl_Consulting[Job Number],$BI119)))&amp;"")</f>
        <v/>
      </c>
      <c r="D119" s="10">
        <f>IF($BI119="","",IF($B119="Onsite",INDEX(tbl_Onsite[Client],$BI119),IF($B119="Production",INDEX(tbl_Production[Client],$BI119),INDEX(tbl_Consulting[Client],$BI119)))&amp;"")</f>
        <v/>
      </c>
      <c r="E119" s="10">
        <f>IF($C119="","",IF(COUNTIF(lst_Jobs,$C119)&gt;0,"OK","CHECK"))</f>
        <v/>
      </c>
      <c r="F119" s="10">
        <f>IF($C119="","",IFERROR(INDEX(lst_JobName,MATCH($C119,lst_Jobs,0)),""))</f>
        <v/>
      </c>
      <c r="G119" s="10">
        <f>IF($BI119="","",IF($B119="Onsite",INDEX(tbl_Onsite[Job Description],$BI119),IF($B119="Production",INDEX(tbl_Production[Job Description],$BI119),INDEX(tbl_Consulting[Job Description],$BI119)))&amp;"")</f>
        <v/>
      </c>
      <c r="H119" s="10">
        <f>IF($BI119="","",IF($B119="Onsite",INDEX(tbl_Onsite[Cost Centre],$BI119),IF($B119="Production",INDEX(tbl_Production[Cost Centre],$BI119),INDEX(tbl_Consulting[Cost Centre],$BI119)))&amp;"")</f>
        <v/>
      </c>
      <c r="I119" s="10">
        <f>IF($BI119="","",IF($B119="Onsite",INDEX(tbl_Onsite[Invoice Type],$BI119),IF($B119="Production",INDEX(tbl_Production[Invoice Type],$BI119),INDEX(tbl_Consulting[Invoice Type],$BI119)))&amp;"")</f>
        <v/>
      </c>
      <c r="J119" s="10">
        <f>IF($BI119="","",IF($B119="Onsite",INDEX(tbl_Onsite[Tax Code],$BI119),IF($B119="Production",INDEX(tbl_Production[Tax Code],$BI119),INDEX(tbl_Consulting[Tax Code],$BI119)))&amp;"")</f>
        <v/>
      </c>
      <c r="K119" s="10">
        <f>IF(H119="","",IFERROR(INDEX(lst_CCtoGL,MATCH(H119,lst_CCforGL,0)),""))</f>
        <v/>
      </c>
      <c r="L119" s="10">
        <f>IF($BI119="","",IF($B119="Onsite",INDEX(tbl_Onsite[PO / Reference],$BI119),IF($B119="Production",INDEX(tbl_Production[Current RMS No],$BI119),INDEX(tbl_Consulting[Qwilr Quote],$BI119)))&amp;"")</f>
        <v/>
      </c>
      <c r="M119" s="10">
        <f>IF($BI119="","",IF($B119="Onsite",INDEX(tbl_Onsite[Notes],$BI119),IF($B119="Production",INDEX(tbl_Production[Notes],$BI119),INDEX(tbl_Consulting[Notes],$BI119)))&amp;"")</f>
        <v/>
      </c>
      <c r="N119" s="11">
        <f>IF($BI119="","",IF(IF($B119="Onsite",INDEX(tbl_Onsite[Expected Revenue Ex GST],$BI119),IF($B119="Production",INDEX(tbl_Production[Expected Revenue Ex GST],$BI119),INDEX(tbl_Consulting[Expected Revenue Ex GST],$BI119)))="","",IF($B119="Onsite",INDEX(tbl_Onsite[Expected Revenue Ex GST],$BI119),IF($B119="Production",INDEX(tbl_Production[Expected Revenue Ex GST],$BI119),INDEX(tbl_Consulting[Expected Revenue Ex GST],$BI119)))))</f>
        <v/>
      </c>
      <c r="O119" s="11">
        <f>IF(AND($C119="",NOT(COUNTA($S119:$BB119)&gt;0)),"",SUM(U119,X119,AA119,AD119,AG119,AJ119,AM119,AP119,AS119,AV119,AY119,BB119))</f>
        <v/>
      </c>
      <c r="P119" s="11">
        <f>IF(O119="","",N(N119)-O119)</f>
        <v/>
      </c>
      <c r="Q119" s="10">
        <f>IF(O119="","",IF($C119="","Invoice on empty job row",IF(N119="",IF(ROUND(O119,2)=0,"No dept value","Invoiced - no dept value"),IF(ROUND(O119,2)=0,"Not invoiced - to invoice",IF(ROUND(P119,2)=0,"Agrees",IF(P119&gt;0,"Dept higher - to invoice","Xero higher - check dept"))))))</f>
        <v/>
      </c>
      <c r="R119" s="10">
        <f>IF(AND($C119="",NOT(COUNTA($S119:$BB119)&gt;0),$BI119&lt;&gt;""),"",MID(IF($BI119="","; Row ID not found on the department sheet - a row was deleted","")&amp;IF(AND($C119="",COUNTA($S119:$BB119)&gt;0),"; Invoice entered but the department row has no job number","")&amp;IF(E119="CHECK","; Job number not in the Xero job list","")&amp;IF(AND($C119&lt;&gt;"",COUNTIF($C$7:$C$1506,$C119)&gt;1),"; Job number on more than one row","")&amp;IF(AND($C119&lt;&gt;"",H119=""),"; Dept has not set a cost centre","")&amp;IF(AND($C119&lt;&gt;"",J119=""),"; Dept has not set a tax code","")&amp;IF(AND($C119&lt;&gt;"",N119=""),"; Dept has not entered an expected value","")&amp;IF((IF(OR(COUNTA(S119:U119)=0,AND(COUNTA(S119:U119)=3,ISNUMBER(U119))),0,1)+IF(OR(COUNTA(V119:X119)=0,AND(COUNTA(V119:X119)=3,ISNUMBER(X119))),0,1)+IF(OR(COUNTA(Y119:AA119)=0,AND(COUNTA(Y119:AA119)=3,ISNUMBER(AA119))),0,1)+IF(OR(COUNTA(AB119:AD119)=0,AND(COUNTA(AB119:AD119)=3,ISNUMBER(AD119))),0,1)+IF(OR(COUNTA(AE119:AG119)=0,AND(COUNTA(AE119:AG119)=3,ISNUMBER(AG119))),0,1)+IF(OR(COUNTA(AH119:AJ119)=0,AND(COUNTA(AH119:AJ119)=3,ISNUMBER(AJ119))),0,1)+IF(OR(COUNTA(AK119:AM119)=0,AND(COUNTA(AK119:AM119)=3,ISNUMBER(AM119))),0,1)+IF(OR(COUNTA(AN119:AP119)=0,AND(COUNTA(AN119:AP119)=3,ISNUMBER(AP119))),0,1)+IF(OR(COUNTA(AQ119:AS119)=0,AND(COUNTA(AQ119:AS119)=3,ISNUMBER(AS119))),0,1)+IF(OR(COUNTA(AT119:AV119)=0,AND(COUNTA(AT119:AV119)=3,ISNUMBER(AV119))),0,1)+IF(OR(COUNTA(AW119:AY119)=0,AND(COUNTA(AW119:AY119)=3,ISNUMBER(AY119))),0,1)+IF(OR(COUNTA(AZ119:BB119)=0,AND(COUNTA(AZ119:BB119)=3,ISNUMBER(BB119))),0,1))&gt;0,"; An invoice is incomplete (needs No, Date and a number in Ex GST)","")&amp;IF((IF(T119="",0,IFERROR(--(EOMONTH(T119,0)&lt;&gt;S$5),1))+IF(W119="",0,IFERROR(--(EOMONTH(W119,0)&lt;&gt;V$5),1))+IF(Z119="",0,IFERROR(--(EOMONTH(Z119,0)&lt;&gt;Y$5),1))+IF(AC119="",0,IFERROR(--(EOMONTH(AC119,0)&lt;&gt;AB$5),1))+IF(AF119="",0,IFERROR(--(EOMONTH(AF119,0)&lt;&gt;AE$5),1))+IF(AI119="",0,IFERROR(--(EOMONTH(AI119,0)&lt;&gt;AH$5),1))+IF(AL119="",0,IFERROR(--(EOMONTH(AL119,0)&lt;&gt;AK$5),1))+IF(AO119="",0,IFERROR(--(EOMONTH(AO119,0)&lt;&gt;AN$5),1))+IF(AR119="",0,IFERROR(--(EOMONTH(AR119,0)&lt;&gt;AQ$5),1))+IF(AU119="",0,IFERROR(--(EOMONTH(AU119,0)&lt;&gt;AT$5),1))+IF(AX119="",0,IFERROR(--(EOMONTH(AX119,0)&lt;&gt;AW$5),1))+IF(BA119="",0,IFERROR(--(EOMONTH(BA119,0)&lt;&gt;AZ$5),1)))&gt;0,"; An invoice date is not in the month it is typed under",""),3,500))</f>
        <v/>
      </c>
      <c r="S119" s="12" t="n"/>
      <c r="T119" s="13" t="n"/>
      <c r="U119" s="14" t="n"/>
      <c r="V119" s="12" t="n"/>
      <c r="W119" s="13" t="n"/>
      <c r="X119" s="14" t="n"/>
      <c r="Y119" s="12" t="n"/>
      <c r="Z119" s="13" t="n"/>
      <c r="AA119" s="14" t="n"/>
      <c r="AB119" s="12" t="n"/>
      <c r="AC119" s="13" t="n"/>
      <c r="AD119" s="14" t="n"/>
      <c r="AE119" s="12" t="n"/>
      <c r="AF119" s="13" t="n"/>
      <c r="AG119" s="14" t="n"/>
      <c r="AH119" s="12" t="n"/>
      <c r="AI119" s="13" t="n"/>
      <c r="AJ119" s="14" t="n"/>
      <c r="AK119" s="12" t="n"/>
      <c r="AL119" s="13" t="n"/>
      <c r="AM119" s="14" t="n"/>
      <c r="AN119" s="12" t="n"/>
      <c r="AO119" s="13" t="n"/>
      <c r="AP119" s="14" t="n"/>
      <c r="AQ119" s="12" t="n"/>
      <c r="AR119" s="13" t="n"/>
      <c r="AS119" s="14" t="n"/>
      <c r="AT119" s="12" t="n"/>
      <c r="AU119" s="13" t="n"/>
      <c r="AV119" s="14" t="n"/>
      <c r="AW119" s="12" t="n"/>
      <c r="AX119" s="13" t="n"/>
      <c r="AY119" s="14" t="n"/>
      <c r="AZ119" s="12" t="n"/>
      <c r="BA119" s="13" t="n"/>
      <c r="BB119" s="14" t="n"/>
      <c r="BC119" s="11">
        <f>IF(O119="","",IF(J119="GST 10%",ROUND(O119*set_GSTRate,2),0))</f>
        <v/>
      </c>
      <c r="BD119" s="11">
        <f>IF(O119="","",O119+BC119)</f>
        <v/>
      </c>
      <c r="BE119" s="15">
        <f>IF(O119="","",COUNTA(S119,V119,Y119,AB119,AE119,AH119,AK119,AN119,AQ119,AT119,AW119,AZ119))</f>
        <v/>
      </c>
      <c r="BF119" s="16">
        <f>IF(COUNT(T119,W119,Z119,AC119,AF119,AI119,AL119,AO119,AR119,AU119,AX119,BA119)=0,"",MAX(T119,W119,Z119,AC119,AF119,AI119,AL119,AO119,AR119,AU119,AX119,BA119))</f>
        <v/>
      </c>
      <c r="BG119" s="10">
        <f>MID(IF(S119="","",", "&amp;S119)&amp;IF(V119="","",", "&amp;V119)&amp;IF(Y119="","",", "&amp;Y119)&amp;IF(AB119="","",", "&amp;AB119)&amp;IF(AE119="","",", "&amp;AE119)&amp;IF(AH119="","",", "&amp;AH119)&amp;IF(AK119="","",", "&amp;AK119)&amp;IF(AN119="","",", "&amp;AN119)&amp;IF(AQ119="","",", "&amp;AQ119)&amp;IF(AT119="","",", "&amp;AT119)&amp;IF(AW119="","",", "&amp;AW119)&amp;IF(AZ119="","",", "&amp;AZ119),3,500)</f>
        <v/>
      </c>
      <c r="BH119" s="12" t="n"/>
      <c r="BI119" s="15">
        <f>IFERROR(MATCH($A119,IF($B119="Onsite",tbl_Onsite[Row ID],IF($B119="Production",tbl_Production[Row ID],tbl_Consulting[Row ID])),0),"")</f>
        <v/>
      </c>
    </row>
    <row r="120">
      <c r="A120" s="10" t="inlineStr">
        <is>
          <t>ONS-0114</t>
        </is>
      </c>
      <c r="B120" s="10" t="inlineStr">
        <is>
          <t>Onsite</t>
        </is>
      </c>
      <c r="C120" s="10">
        <f>IF($BI120="","",IF($B120="Onsite",INDEX(tbl_Onsite[Job Number],$BI120),IF($B120="Production",INDEX(tbl_Production[Job Number],$BI120),INDEX(tbl_Consulting[Job Number],$BI120)))&amp;"")</f>
        <v/>
      </c>
      <c r="D120" s="10">
        <f>IF($BI120="","",IF($B120="Onsite",INDEX(tbl_Onsite[Client],$BI120),IF($B120="Production",INDEX(tbl_Production[Client],$BI120),INDEX(tbl_Consulting[Client],$BI120)))&amp;"")</f>
        <v/>
      </c>
      <c r="E120" s="10">
        <f>IF($C120="","",IF(COUNTIF(lst_Jobs,$C120)&gt;0,"OK","CHECK"))</f>
        <v/>
      </c>
      <c r="F120" s="10">
        <f>IF($C120="","",IFERROR(INDEX(lst_JobName,MATCH($C120,lst_Jobs,0)),""))</f>
        <v/>
      </c>
      <c r="G120" s="10">
        <f>IF($BI120="","",IF($B120="Onsite",INDEX(tbl_Onsite[Job Description],$BI120),IF($B120="Production",INDEX(tbl_Production[Job Description],$BI120),INDEX(tbl_Consulting[Job Description],$BI120)))&amp;"")</f>
        <v/>
      </c>
      <c r="H120" s="10">
        <f>IF($BI120="","",IF($B120="Onsite",INDEX(tbl_Onsite[Cost Centre],$BI120),IF($B120="Production",INDEX(tbl_Production[Cost Centre],$BI120),INDEX(tbl_Consulting[Cost Centre],$BI120)))&amp;"")</f>
        <v/>
      </c>
      <c r="I120" s="10">
        <f>IF($BI120="","",IF($B120="Onsite",INDEX(tbl_Onsite[Invoice Type],$BI120),IF($B120="Production",INDEX(tbl_Production[Invoice Type],$BI120),INDEX(tbl_Consulting[Invoice Type],$BI120)))&amp;"")</f>
        <v/>
      </c>
      <c r="J120" s="10">
        <f>IF($BI120="","",IF($B120="Onsite",INDEX(tbl_Onsite[Tax Code],$BI120),IF($B120="Production",INDEX(tbl_Production[Tax Code],$BI120),INDEX(tbl_Consulting[Tax Code],$BI120)))&amp;"")</f>
        <v/>
      </c>
      <c r="K120" s="10">
        <f>IF(H120="","",IFERROR(INDEX(lst_CCtoGL,MATCH(H120,lst_CCforGL,0)),""))</f>
        <v/>
      </c>
      <c r="L120" s="10">
        <f>IF($BI120="","",IF($B120="Onsite",INDEX(tbl_Onsite[PO / Reference],$BI120),IF($B120="Production",INDEX(tbl_Production[Current RMS No],$BI120),INDEX(tbl_Consulting[Qwilr Quote],$BI120)))&amp;"")</f>
        <v/>
      </c>
      <c r="M120" s="10">
        <f>IF($BI120="","",IF($B120="Onsite",INDEX(tbl_Onsite[Notes],$BI120),IF($B120="Production",INDEX(tbl_Production[Notes],$BI120),INDEX(tbl_Consulting[Notes],$BI120)))&amp;"")</f>
        <v/>
      </c>
      <c r="N120" s="11">
        <f>IF($BI120="","",IF(IF($B120="Onsite",INDEX(tbl_Onsite[Expected Revenue Ex GST],$BI120),IF($B120="Production",INDEX(tbl_Production[Expected Revenue Ex GST],$BI120),INDEX(tbl_Consulting[Expected Revenue Ex GST],$BI120)))="","",IF($B120="Onsite",INDEX(tbl_Onsite[Expected Revenue Ex GST],$BI120),IF($B120="Production",INDEX(tbl_Production[Expected Revenue Ex GST],$BI120),INDEX(tbl_Consulting[Expected Revenue Ex GST],$BI120)))))</f>
        <v/>
      </c>
      <c r="O120" s="11">
        <f>IF(AND($C120="",NOT(COUNTA($S120:$BB120)&gt;0)),"",SUM(U120,X120,AA120,AD120,AG120,AJ120,AM120,AP120,AS120,AV120,AY120,BB120))</f>
        <v/>
      </c>
      <c r="P120" s="11">
        <f>IF(O120="","",N(N120)-O120)</f>
        <v/>
      </c>
      <c r="Q120" s="10">
        <f>IF(O120="","",IF($C120="","Invoice on empty job row",IF(N120="",IF(ROUND(O120,2)=0,"No dept value","Invoiced - no dept value"),IF(ROUND(O120,2)=0,"Not invoiced - to invoice",IF(ROUND(P120,2)=0,"Agrees",IF(P120&gt;0,"Dept higher - to invoice","Xero higher - check dept"))))))</f>
        <v/>
      </c>
      <c r="R120" s="10">
        <f>IF(AND($C120="",NOT(COUNTA($S120:$BB120)&gt;0),$BI120&lt;&gt;""),"",MID(IF($BI120="","; Row ID not found on the department sheet - a row was deleted","")&amp;IF(AND($C120="",COUNTA($S120:$BB120)&gt;0),"; Invoice entered but the department row has no job number","")&amp;IF(E120="CHECK","; Job number not in the Xero job list","")&amp;IF(AND($C120&lt;&gt;"",COUNTIF($C$7:$C$1506,$C120)&gt;1),"; Job number on more than one row","")&amp;IF(AND($C120&lt;&gt;"",H120=""),"; Dept has not set a cost centre","")&amp;IF(AND($C120&lt;&gt;"",J120=""),"; Dept has not set a tax code","")&amp;IF(AND($C120&lt;&gt;"",N120=""),"; Dept has not entered an expected value","")&amp;IF((IF(OR(COUNTA(S120:U120)=0,AND(COUNTA(S120:U120)=3,ISNUMBER(U120))),0,1)+IF(OR(COUNTA(V120:X120)=0,AND(COUNTA(V120:X120)=3,ISNUMBER(X120))),0,1)+IF(OR(COUNTA(Y120:AA120)=0,AND(COUNTA(Y120:AA120)=3,ISNUMBER(AA120))),0,1)+IF(OR(COUNTA(AB120:AD120)=0,AND(COUNTA(AB120:AD120)=3,ISNUMBER(AD120))),0,1)+IF(OR(COUNTA(AE120:AG120)=0,AND(COUNTA(AE120:AG120)=3,ISNUMBER(AG120))),0,1)+IF(OR(COUNTA(AH120:AJ120)=0,AND(COUNTA(AH120:AJ120)=3,ISNUMBER(AJ120))),0,1)+IF(OR(COUNTA(AK120:AM120)=0,AND(COUNTA(AK120:AM120)=3,ISNUMBER(AM120))),0,1)+IF(OR(COUNTA(AN120:AP120)=0,AND(COUNTA(AN120:AP120)=3,ISNUMBER(AP120))),0,1)+IF(OR(COUNTA(AQ120:AS120)=0,AND(COUNTA(AQ120:AS120)=3,ISNUMBER(AS120))),0,1)+IF(OR(COUNTA(AT120:AV120)=0,AND(COUNTA(AT120:AV120)=3,ISNUMBER(AV120))),0,1)+IF(OR(COUNTA(AW120:AY120)=0,AND(COUNTA(AW120:AY120)=3,ISNUMBER(AY120))),0,1)+IF(OR(COUNTA(AZ120:BB120)=0,AND(COUNTA(AZ120:BB120)=3,ISNUMBER(BB120))),0,1))&gt;0,"; An invoice is incomplete (needs No, Date and a number in Ex GST)","")&amp;IF((IF(T120="",0,IFERROR(--(EOMONTH(T120,0)&lt;&gt;S$5),1))+IF(W120="",0,IFERROR(--(EOMONTH(W120,0)&lt;&gt;V$5),1))+IF(Z120="",0,IFERROR(--(EOMONTH(Z120,0)&lt;&gt;Y$5),1))+IF(AC120="",0,IFERROR(--(EOMONTH(AC120,0)&lt;&gt;AB$5),1))+IF(AF120="",0,IFERROR(--(EOMONTH(AF120,0)&lt;&gt;AE$5),1))+IF(AI120="",0,IFERROR(--(EOMONTH(AI120,0)&lt;&gt;AH$5),1))+IF(AL120="",0,IFERROR(--(EOMONTH(AL120,0)&lt;&gt;AK$5),1))+IF(AO120="",0,IFERROR(--(EOMONTH(AO120,0)&lt;&gt;AN$5),1))+IF(AR120="",0,IFERROR(--(EOMONTH(AR120,0)&lt;&gt;AQ$5),1))+IF(AU120="",0,IFERROR(--(EOMONTH(AU120,0)&lt;&gt;AT$5),1))+IF(AX120="",0,IFERROR(--(EOMONTH(AX120,0)&lt;&gt;AW$5),1))+IF(BA120="",0,IFERROR(--(EOMONTH(BA120,0)&lt;&gt;AZ$5),1)))&gt;0,"; An invoice date is not in the month it is typed under",""),3,500))</f>
        <v/>
      </c>
      <c r="S120" s="12" t="n"/>
      <c r="T120" s="13" t="n"/>
      <c r="U120" s="14" t="n"/>
      <c r="V120" s="12" t="n"/>
      <c r="W120" s="13" t="n"/>
      <c r="X120" s="14" t="n"/>
      <c r="Y120" s="12" t="n"/>
      <c r="Z120" s="13" t="n"/>
      <c r="AA120" s="14" t="n"/>
      <c r="AB120" s="12" t="n"/>
      <c r="AC120" s="13" t="n"/>
      <c r="AD120" s="14" t="n"/>
      <c r="AE120" s="12" t="n"/>
      <c r="AF120" s="13" t="n"/>
      <c r="AG120" s="14" t="n"/>
      <c r="AH120" s="12" t="n"/>
      <c r="AI120" s="13" t="n"/>
      <c r="AJ120" s="14" t="n"/>
      <c r="AK120" s="12" t="n"/>
      <c r="AL120" s="13" t="n"/>
      <c r="AM120" s="14" t="n"/>
      <c r="AN120" s="12" t="n"/>
      <c r="AO120" s="13" t="n"/>
      <c r="AP120" s="14" t="n"/>
      <c r="AQ120" s="12" t="n"/>
      <c r="AR120" s="13" t="n"/>
      <c r="AS120" s="14" t="n"/>
      <c r="AT120" s="12" t="n"/>
      <c r="AU120" s="13" t="n"/>
      <c r="AV120" s="14" t="n"/>
      <c r="AW120" s="12" t="n"/>
      <c r="AX120" s="13" t="n"/>
      <c r="AY120" s="14" t="n"/>
      <c r="AZ120" s="12" t="n"/>
      <c r="BA120" s="13" t="n"/>
      <c r="BB120" s="14" t="n"/>
      <c r="BC120" s="11">
        <f>IF(O120="","",IF(J120="GST 10%",ROUND(O120*set_GSTRate,2),0))</f>
        <v/>
      </c>
      <c r="BD120" s="11">
        <f>IF(O120="","",O120+BC120)</f>
        <v/>
      </c>
      <c r="BE120" s="15">
        <f>IF(O120="","",COUNTA(S120,V120,Y120,AB120,AE120,AH120,AK120,AN120,AQ120,AT120,AW120,AZ120))</f>
        <v/>
      </c>
      <c r="BF120" s="16">
        <f>IF(COUNT(T120,W120,Z120,AC120,AF120,AI120,AL120,AO120,AR120,AU120,AX120,BA120)=0,"",MAX(T120,W120,Z120,AC120,AF120,AI120,AL120,AO120,AR120,AU120,AX120,BA120))</f>
        <v/>
      </c>
      <c r="BG120" s="10">
        <f>MID(IF(S120="","",", "&amp;S120)&amp;IF(V120="","",", "&amp;V120)&amp;IF(Y120="","",", "&amp;Y120)&amp;IF(AB120="","",", "&amp;AB120)&amp;IF(AE120="","",", "&amp;AE120)&amp;IF(AH120="","",", "&amp;AH120)&amp;IF(AK120="","",", "&amp;AK120)&amp;IF(AN120="","",", "&amp;AN120)&amp;IF(AQ120="","",", "&amp;AQ120)&amp;IF(AT120="","",", "&amp;AT120)&amp;IF(AW120="","",", "&amp;AW120)&amp;IF(AZ120="","",", "&amp;AZ120),3,500)</f>
        <v/>
      </c>
      <c r="BH120" s="12" t="n"/>
      <c r="BI120" s="15">
        <f>IFERROR(MATCH($A120,IF($B120="Onsite",tbl_Onsite[Row ID],IF($B120="Production",tbl_Production[Row ID],tbl_Consulting[Row ID])),0),"")</f>
        <v/>
      </c>
    </row>
    <row r="121">
      <c r="A121" s="10" t="inlineStr">
        <is>
          <t>ONS-0115</t>
        </is>
      </c>
      <c r="B121" s="10" t="inlineStr">
        <is>
          <t>Onsite</t>
        </is>
      </c>
      <c r="C121" s="10">
        <f>IF($BI121="","",IF($B121="Onsite",INDEX(tbl_Onsite[Job Number],$BI121),IF($B121="Production",INDEX(tbl_Production[Job Number],$BI121),INDEX(tbl_Consulting[Job Number],$BI121)))&amp;"")</f>
        <v/>
      </c>
      <c r="D121" s="10">
        <f>IF($BI121="","",IF($B121="Onsite",INDEX(tbl_Onsite[Client],$BI121),IF($B121="Production",INDEX(tbl_Production[Client],$BI121),INDEX(tbl_Consulting[Client],$BI121)))&amp;"")</f>
        <v/>
      </c>
      <c r="E121" s="10">
        <f>IF($C121="","",IF(COUNTIF(lst_Jobs,$C121)&gt;0,"OK","CHECK"))</f>
        <v/>
      </c>
      <c r="F121" s="10">
        <f>IF($C121="","",IFERROR(INDEX(lst_JobName,MATCH($C121,lst_Jobs,0)),""))</f>
        <v/>
      </c>
      <c r="G121" s="10">
        <f>IF($BI121="","",IF($B121="Onsite",INDEX(tbl_Onsite[Job Description],$BI121),IF($B121="Production",INDEX(tbl_Production[Job Description],$BI121),INDEX(tbl_Consulting[Job Description],$BI121)))&amp;"")</f>
        <v/>
      </c>
      <c r="H121" s="10">
        <f>IF($BI121="","",IF($B121="Onsite",INDEX(tbl_Onsite[Cost Centre],$BI121),IF($B121="Production",INDEX(tbl_Production[Cost Centre],$BI121),INDEX(tbl_Consulting[Cost Centre],$BI121)))&amp;"")</f>
        <v/>
      </c>
      <c r="I121" s="10">
        <f>IF($BI121="","",IF($B121="Onsite",INDEX(tbl_Onsite[Invoice Type],$BI121),IF($B121="Production",INDEX(tbl_Production[Invoice Type],$BI121),INDEX(tbl_Consulting[Invoice Type],$BI121)))&amp;"")</f>
        <v/>
      </c>
      <c r="J121" s="10">
        <f>IF($BI121="","",IF($B121="Onsite",INDEX(tbl_Onsite[Tax Code],$BI121),IF($B121="Production",INDEX(tbl_Production[Tax Code],$BI121),INDEX(tbl_Consulting[Tax Code],$BI121)))&amp;"")</f>
        <v/>
      </c>
      <c r="K121" s="10">
        <f>IF(H121="","",IFERROR(INDEX(lst_CCtoGL,MATCH(H121,lst_CCforGL,0)),""))</f>
        <v/>
      </c>
      <c r="L121" s="10">
        <f>IF($BI121="","",IF($B121="Onsite",INDEX(tbl_Onsite[PO / Reference],$BI121),IF($B121="Production",INDEX(tbl_Production[Current RMS No],$BI121),INDEX(tbl_Consulting[Qwilr Quote],$BI121)))&amp;"")</f>
        <v/>
      </c>
      <c r="M121" s="10">
        <f>IF($BI121="","",IF($B121="Onsite",INDEX(tbl_Onsite[Notes],$BI121),IF($B121="Production",INDEX(tbl_Production[Notes],$BI121),INDEX(tbl_Consulting[Notes],$BI121)))&amp;"")</f>
        <v/>
      </c>
      <c r="N121" s="11">
        <f>IF($BI121="","",IF(IF($B121="Onsite",INDEX(tbl_Onsite[Expected Revenue Ex GST],$BI121),IF($B121="Production",INDEX(tbl_Production[Expected Revenue Ex GST],$BI121),INDEX(tbl_Consulting[Expected Revenue Ex GST],$BI121)))="","",IF($B121="Onsite",INDEX(tbl_Onsite[Expected Revenue Ex GST],$BI121),IF($B121="Production",INDEX(tbl_Production[Expected Revenue Ex GST],$BI121),INDEX(tbl_Consulting[Expected Revenue Ex GST],$BI121)))))</f>
        <v/>
      </c>
      <c r="O121" s="11">
        <f>IF(AND($C121="",NOT(COUNTA($S121:$BB121)&gt;0)),"",SUM(U121,X121,AA121,AD121,AG121,AJ121,AM121,AP121,AS121,AV121,AY121,BB121))</f>
        <v/>
      </c>
      <c r="P121" s="11">
        <f>IF(O121="","",N(N121)-O121)</f>
        <v/>
      </c>
      <c r="Q121" s="10">
        <f>IF(O121="","",IF($C121="","Invoice on empty job row",IF(N121="",IF(ROUND(O121,2)=0,"No dept value","Invoiced - no dept value"),IF(ROUND(O121,2)=0,"Not invoiced - to invoice",IF(ROUND(P121,2)=0,"Agrees",IF(P121&gt;0,"Dept higher - to invoice","Xero higher - check dept"))))))</f>
        <v/>
      </c>
      <c r="R121" s="10">
        <f>IF(AND($C121="",NOT(COUNTA($S121:$BB121)&gt;0),$BI121&lt;&gt;""),"",MID(IF($BI121="","; Row ID not found on the department sheet - a row was deleted","")&amp;IF(AND($C121="",COUNTA($S121:$BB121)&gt;0),"; Invoice entered but the department row has no job number","")&amp;IF(E121="CHECK","; Job number not in the Xero job list","")&amp;IF(AND($C121&lt;&gt;"",COUNTIF($C$7:$C$1506,$C121)&gt;1),"; Job number on more than one row","")&amp;IF(AND($C121&lt;&gt;"",H121=""),"; Dept has not set a cost centre","")&amp;IF(AND($C121&lt;&gt;"",J121=""),"; Dept has not set a tax code","")&amp;IF(AND($C121&lt;&gt;"",N121=""),"; Dept has not entered an expected value","")&amp;IF((IF(OR(COUNTA(S121:U121)=0,AND(COUNTA(S121:U121)=3,ISNUMBER(U121))),0,1)+IF(OR(COUNTA(V121:X121)=0,AND(COUNTA(V121:X121)=3,ISNUMBER(X121))),0,1)+IF(OR(COUNTA(Y121:AA121)=0,AND(COUNTA(Y121:AA121)=3,ISNUMBER(AA121))),0,1)+IF(OR(COUNTA(AB121:AD121)=0,AND(COUNTA(AB121:AD121)=3,ISNUMBER(AD121))),0,1)+IF(OR(COUNTA(AE121:AG121)=0,AND(COUNTA(AE121:AG121)=3,ISNUMBER(AG121))),0,1)+IF(OR(COUNTA(AH121:AJ121)=0,AND(COUNTA(AH121:AJ121)=3,ISNUMBER(AJ121))),0,1)+IF(OR(COUNTA(AK121:AM121)=0,AND(COUNTA(AK121:AM121)=3,ISNUMBER(AM121))),0,1)+IF(OR(COUNTA(AN121:AP121)=0,AND(COUNTA(AN121:AP121)=3,ISNUMBER(AP121))),0,1)+IF(OR(COUNTA(AQ121:AS121)=0,AND(COUNTA(AQ121:AS121)=3,ISNUMBER(AS121))),0,1)+IF(OR(COUNTA(AT121:AV121)=0,AND(COUNTA(AT121:AV121)=3,ISNUMBER(AV121))),0,1)+IF(OR(COUNTA(AW121:AY121)=0,AND(COUNTA(AW121:AY121)=3,ISNUMBER(AY121))),0,1)+IF(OR(COUNTA(AZ121:BB121)=0,AND(COUNTA(AZ121:BB121)=3,ISNUMBER(BB121))),0,1))&gt;0,"; An invoice is incomplete (needs No, Date and a number in Ex GST)","")&amp;IF((IF(T121="",0,IFERROR(--(EOMONTH(T121,0)&lt;&gt;S$5),1))+IF(W121="",0,IFERROR(--(EOMONTH(W121,0)&lt;&gt;V$5),1))+IF(Z121="",0,IFERROR(--(EOMONTH(Z121,0)&lt;&gt;Y$5),1))+IF(AC121="",0,IFERROR(--(EOMONTH(AC121,0)&lt;&gt;AB$5),1))+IF(AF121="",0,IFERROR(--(EOMONTH(AF121,0)&lt;&gt;AE$5),1))+IF(AI121="",0,IFERROR(--(EOMONTH(AI121,0)&lt;&gt;AH$5),1))+IF(AL121="",0,IFERROR(--(EOMONTH(AL121,0)&lt;&gt;AK$5),1))+IF(AO121="",0,IFERROR(--(EOMONTH(AO121,0)&lt;&gt;AN$5),1))+IF(AR121="",0,IFERROR(--(EOMONTH(AR121,0)&lt;&gt;AQ$5),1))+IF(AU121="",0,IFERROR(--(EOMONTH(AU121,0)&lt;&gt;AT$5),1))+IF(AX121="",0,IFERROR(--(EOMONTH(AX121,0)&lt;&gt;AW$5),1))+IF(BA121="",0,IFERROR(--(EOMONTH(BA121,0)&lt;&gt;AZ$5),1)))&gt;0,"; An invoice date is not in the month it is typed under",""),3,500))</f>
        <v/>
      </c>
      <c r="S121" s="12" t="n"/>
      <c r="T121" s="13" t="n"/>
      <c r="U121" s="14" t="n"/>
      <c r="V121" s="12" t="n"/>
      <c r="W121" s="13" t="n"/>
      <c r="X121" s="14" t="n"/>
      <c r="Y121" s="12" t="n"/>
      <c r="Z121" s="13" t="n"/>
      <c r="AA121" s="14" t="n"/>
      <c r="AB121" s="12" t="n"/>
      <c r="AC121" s="13" t="n"/>
      <c r="AD121" s="14" t="n"/>
      <c r="AE121" s="12" t="n"/>
      <c r="AF121" s="13" t="n"/>
      <c r="AG121" s="14" t="n"/>
      <c r="AH121" s="12" t="n"/>
      <c r="AI121" s="13" t="n"/>
      <c r="AJ121" s="14" t="n"/>
      <c r="AK121" s="12" t="n"/>
      <c r="AL121" s="13" t="n"/>
      <c r="AM121" s="14" t="n"/>
      <c r="AN121" s="12" t="n"/>
      <c r="AO121" s="13" t="n"/>
      <c r="AP121" s="14" t="n"/>
      <c r="AQ121" s="12" t="n"/>
      <c r="AR121" s="13" t="n"/>
      <c r="AS121" s="14" t="n"/>
      <c r="AT121" s="12" t="n"/>
      <c r="AU121" s="13" t="n"/>
      <c r="AV121" s="14" t="n"/>
      <c r="AW121" s="12" t="n"/>
      <c r="AX121" s="13" t="n"/>
      <c r="AY121" s="14" t="n"/>
      <c r="AZ121" s="12" t="n"/>
      <c r="BA121" s="13" t="n"/>
      <c r="BB121" s="14" t="n"/>
      <c r="BC121" s="11">
        <f>IF(O121="","",IF(J121="GST 10%",ROUND(O121*set_GSTRate,2),0))</f>
        <v/>
      </c>
      <c r="BD121" s="11">
        <f>IF(O121="","",O121+BC121)</f>
        <v/>
      </c>
      <c r="BE121" s="15">
        <f>IF(O121="","",COUNTA(S121,V121,Y121,AB121,AE121,AH121,AK121,AN121,AQ121,AT121,AW121,AZ121))</f>
        <v/>
      </c>
      <c r="BF121" s="16">
        <f>IF(COUNT(T121,W121,Z121,AC121,AF121,AI121,AL121,AO121,AR121,AU121,AX121,BA121)=0,"",MAX(T121,W121,Z121,AC121,AF121,AI121,AL121,AO121,AR121,AU121,AX121,BA121))</f>
        <v/>
      </c>
      <c r="BG121" s="10">
        <f>MID(IF(S121="","",", "&amp;S121)&amp;IF(V121="","",", "&amp;V121)&amp;IF(Y121="","",", "&amp;Y121)&amp;IF(AB121="","",", "&amp;AB121)&amp;IF(AE121="","",", "&amp;AE121)&amp;IF(AH121="","",", "&amp;AH121)&amp;IF(AK121="","",", "&amp;AK121)&amp;IF(AN121="","",", "&amp;AN121)&amp;IF(AQ121="","",", "&amp;AQ121)&amp;IF(AT121="","",", "&amp;AT121)&amp;IF(AW121="","",", "&amp;AW121)&amp;IF(AZ121="","",", "&amp;AZ121),3,500)</f>
        <v/>
      </c>
      <c r="BH121" s="12" t="n"/>
      <c r="BI121" s="15">
        <f>IFERROR(MATCH($A121,IF($B121="Onsite",tbl_Onsite[Row ID],IF($B121="Production",tbl_Production[Row ID],tbl_Consulting[Row ID])),0),"")</f>
        <v/>
      </c>
    </row>
    <row r="122">
      <c r="A122" s="10" t="inlineStr">
        <is>
          <t>ONS-0116</t>
        </is>
      </c>
      <c r="B122" s="10" t="inlineStr">
        <is>
          <t>Onsite</t>
        </is>
      </c>
      <c r="C122" s="10">
        <f>IF($BI122="","",IF($B122="Onsite",INDEX(tbl_Onsite[Job Number],$BI122),IF($B122="Production",INDEX(tbl_Production[Job Number],$BI122),INDEX(tbl_Consulting[Job Number],$BI122)))&amp;"")</f>
        <v/>
      </c>
      <c r="D122" s="10">
        <f>IF($BI122="","",IF($B122="Onsite",INDEX(tbl_Onsite[Client],$BI122),IF($B122="Production",INDEX(tbl_Production[Client],$BI122),INDEX(tbl_Consulting[Client],$BI122)))&amp;"")</f>
        <v/>
      </c>
      <c r="E122" s="10">
        <f>IF($C122="","",IF(COUNTIF(lst_Jobs,$C122)&gt;0,"OK","CHECK"))</f>
        <v/>
      </c>
      <c r="F122" s="10">
        <f>IF($C122="","",IFERROR(INDEX(lst_JobName,MATCH($C122,lst_Jobs,0)),""))</f>
        <v/>
      </c>
      <c r="G122" s="10">
        <f>IF($BI122="","",IF($B122="Onsite",INDEX(tbl_Onsite[Job Description],$BI122),IF($B122="Production",INDEX(tbl_Production[Job Description],$BI122),INDEX(tbl_Consulting[Job Description],$BI122)))&amp;"")</f>
        <v/>
      </c>
      <c r="H122" s="10">
        <f>IF($BI122="","",IF($B122="Onsite",INDEX(tbl_Onsite[Cost Centre],$BI122),IF($B122="Production",INDEX(tbl_Production[Cost Centre],$BI122),INDEX(tbl_Consulting[Cost Centre],$BI122)))&amp;"")</f>
        <v/>
      </c>
      <c r="I122" s="10">
        <f>IF($BI122="","",IF($B122="Onsite",INDEX(tbl_Onsite[Invoice Type],$BI122),IF($B122="Production",INDEX(tbl_Production[Invoice Type],$BI122),INDEX(tbl_Consulting[Invoice Type],$BI122)))&amp;"")</f>
        <v/>
      </c>
      <c r="J122" s="10">
        <f>IF($BI122="","",IF($B122="Onsite",INDEX(tbl_Onsite[Tax Code],$BI122),IF($B122="Production",INDEX(tbl_Production[Tax Code],$BI122),INDEX(tbl_Consulting[Tax Code],$BI122)))&amp;"")</f>
        <v/>
      </c>
      <c r="K122" s="10">
        <f>IF(H122="","",IFERROR(INDEX(lst_CCtoGL,MATCH(H122,lst_CCforGL,0)),""))</f>
        <v/>
      </c>
      <c r="L122" s="10">
        <f>IF($BI122="","",IF($B122="Onsite",INDEX(tbl_Onsite[PO / Reference],$BI122),IF($B122="Production",INDEX(tbl_Production[Current RMS No],$BI122),INDEX(tbl_Consulting[Qwilr Quote],$BI122)))&amp;"")</f>
        <v/>
      </c>
      <c r="M122" s="10">
        <f>IF($BI122="","",IF($B122="Onsite",INDEX(tbl_Onsite[Notes],$BI122),IF($B122="Production",INDEX(tbl_Production[Notes],$BI122),INDEX(tbl_Consulting[Notes],$BI122)))&amp;"")</f>
        <v/>
      </c>
      <c r="N122" s="11">
        <f>IF($BI122="","",IF(IF($B122="Onsite",INDEX(tbl_Onsite[Expected Revenue Ex GST],$BI122),IF($B122="Production",INDEX(tbl_Production[Expected Revenue Ex GST],$BI122),INDEX(tbl_Consulting[Expected Revenue Ex GST],$BI122)))="","",IF($B122="Onsite",INDEX(tbl_Onsite[Expected Revenue Ex GST],$BI122),IF($B122="Production",INDEX(tbl_Production[Expected Revenue Ex GST],$BI122),INDEX(tbl_Consulting[Expected Revenue Ex GST],$BI122)))))</f>
        <v/>
      </c>
      <c r="O122" s="11">
        <f>IF(AND($C122="",NOT(COUNTA($S122:$BB122)&gt;0)),"",SUM(U122,X122,AA122,AD122,AG122,AJ122,AM122,AP122,AS122,AV122,AY122,BB122))</f>
        <v/>
      </c>
      <c r="P122" s="11">
        <f>IF(O122="","",N(N122)-O122)</f>
        <v/>
      </c>
      <c r="Q122" s="10">
        <f>IF(O122="","",IF($C122="","Invoice on empty job row",IF(N122="",IF(ROUND(O122,2)=0,"No dept value","Invoiced - no dept value"),IF(ROUND(O122,2)=0,"Not invoiced - to invoice",IF(ROUND(P122,2)=0,"Agrees",IF(P122&gt;0,"Dept higher - to invoice","Xero higher - check dept"))))))</f>
        <v/>
      </c>
      <c r="R122" s="10">
        <f>IF(AND($C122="",NOT(COUNTA($S122:$BB122)&gt;0),$BI122&lt;&gt;""),"",MID(IF($BI122="","; Row ID not found on the department sheet - a row was deleted","")&amp;IF(AND($C122="",COUNTA($S122:$BB122)&gt;0),"; Invoice entered but the department row has no job number","")&amp;IF(E122="CHECK","; Job number not in the Xero job list","")&amp;IF(AND($C122&lt;&gt;"",COUNTIF($C$7:$C$1506,$C122)&gt;1),"; Job number on more than one row","")&amp;IF(AND($C122&lt;&gt;"",H122=""),"; Dept has not set a cost centre","")&amp;IF(AND($C122&lt;&gt;"",J122=""),"; Dept has not set a tax code","")&amp;IF(AND($C122&lt;&gt;"",N122=""),"; Dept has not entered an expected value","")&amp;IF((IF(OR(COUNTA(S122:U122)=0,AND(COUNTA(S122:U122)=3,ISNUMBER(U122))),0,1)+IF(OR(COUNTA(V122:X122)=0,AND(COUNTA(V122:X122)=3,ISNUMBER(X122))),0,1)+IF(OR(COUNTA(Y122:AA122)=0,AND(COUNTA(Y122:AA122)=3,ISNUMBER(AA122))),0,1)+IF(OR(COUNTA(AB122:AD122)=0,AND(COUNTA(AB122:AD122)=3,ISNUMBER(AD122))),0,1)+IF(OR(COUNTA(AE122:AG122)=0,AND(COUNTA(AE122:AG122)=3,ISNUMBER(AG122))),0,1)+IF(OR(COUNTA(AH122:AJ122)=0,AND(COUNTA(AH122:AJ122)=3,ISNUMBER(AJ122))),0,1)+IF(OR(COUNTA(AK122:AM122)=0,AND(COUNTA(AK122:AM122)=3,ISNUMBER(AM122))),0,1)+IF(OR(COUNTA(AN122:AP122)=0,AND(COUNTA(AN122:AP122)=3,ISNUMBER(AP122))),0,1)+IF(OR(COUNTA(AQ122:AS122)=0,AND(COUNTA(AQ122:AS122)=3,ISNUMBER(AS122))),0,1)+IF(OR(COUNTA(AT122:AV122)=0,AND(COUNTA(AT122:AV122)=3,ISNUMBER(AV122))),0,1)+IF(OR(COUNTA(AW122:AY122)=0,AND(COUNTA(AW122:AY122)=3,ISNUMBER(AY122))),0,1)+IF(OR(COUNTA(AZ122:BB122)=0,AND(COUNTA(AZ122:BB122)=3,ISNUMBER(BB122))),0,1))&gt;0,"; An invoice is incomplete (needs No, Date and a number in Ex GST)","")&amp;IF((IF(T122="",0,IFERROR(--(EOMONTH(T122,0)&lt;&gt;S$5),1))+IF(W122="",0,IFERROR(--(EOMONTH(W122,0)&lt;&gt;V$5),1))+IF(Z122="",0,IFERROR(--(EOMONTH(Z122,0)&lt;&gt;Y$5),1))+IF(AC122="",0,IFERROR(--(EOMONTH(AC122,0)&lt;&gt;AB$5),1))+IF(AF122="",0,IFERROR(--(EOMONTH(AF122,0)&lt;&gt;AE$5),1))+IF(AI122="",0,IFERROR(--(EOMONTH(AI122,0)&lt;&gt;AH$5),1))+IF(AL122="",0,IFERROR(--(EOMONTH(AL122,0)&lt;&gt;AK$5),1))+IF(AO122="",0,IFERROR(--(EOMONTH(AO122,0)&lt;&gt;AN$5),1))+IF(AR122="",0,IFERROR(--(EOMONTH(AR122,0)&lt;&gt;AQ$5),1))+IF(AU122="",0,IFERROR(--(EOMONTH(AU122,0)&lt;&gt;AT$5),1))+IF(AX122="",0,IFERROR(--(EOMONTH(AX122,0)&lt;&gt;AW$5),1))+IF(BA122="",0,IFERROR(--(EOMONTH(BA122,0)&lt;&gt;AZ$5),1)))&gt;0,"; An invoice date is not in the month it is typed under",""),3,500))</f>
        <v/>
      </c>
      <c r="S122" s="12" t="n"/>
      <c r="T122" s="13" t="n"/>
      <c r="U122" s="14" t="n"/>
      <c r="V122" s="12" t="n"/>
      <c r="W122" s="13" t="n"/>
      <c r="X122" s="14" t="n"/>
      <c r="Y122" s="12" t="n"/>
      <c r="Z122" s="13" t="n"/>
      <c r="AA122" s="14" t="n"/>
      <c r="AB122" s="12" t="n"/>
      <c r="AC122" s="13" t="n"/>
      <c r="AD122" s="14" t="n"/>
      <c r="AE122" s="12" t="n"/>
      <c r="AF122" s="13" t="n"/>
      <c r="AG122" s="14" t="n"/>
      <c r="AH122" s="12" t="n"/>
      <c r="AI122" s="13" t="n"/>
      <c r="AJ122" s="14" t="n"/>
      <c r="AK122" s="12" t="n"/>
      <c r="AL122" s="13" t="n"/>
      <c r="AM122" s="14" t="n"/>
      <c r="AN122" s="12" t="n"/>
      <c r="AO122" s="13" t="n"/>
      <c r="AP122" s="14" t="n"/>
      <c r="AQ122" s="12" t="n"/>
      <c r="AR122" s="13" t="n"/>
      <c r="AS122" s="14" t="n"/>
      <c r="AT122" s="12" t="n"/>
      <c r="AU122" s="13" t="n"/>
      <c r="AV122" s="14" t="n"/>
      <c r="AW122" s="12" t="n"/>
      <c r="AX122" s="13" t="n"/>
      <c r="AY122" s="14" t="n"/>
      <c r="AZ122" s="12" t="n"/>
      <c r="BA122" s="13" t="n"/>
      <c r="BB122" s="14" t="n"/>
      <c r="BC122" s="11">
        <f>IF(O122="","",IF(J122="GST 10%",ROUND(O122*set_GSTRate,2),0))</f>
        <v/>
      </c>
      <c r="BD122" s="11">
        <f>IF(O122="","",O122+BC122)</f>
        <v/>
      </c>
      <c r="BE122" s="15">
        <f>IF(O122="","",COUNTA(S122,V122,Y122,AB122,AE122,AH122,AK122,AN122,AQ122,AT122,AW122,AZ122))</f>
        <v/>
      </c>
      <c r="BF122" s="16">
        <f>IF(COUNT(T122,W122,Z122,AC122,AF122,AI122,AL122,AO122,AR122,AU122,AX122,BA122)=0,"",MAX(T122,W122,Z122,AC122,AF122,AI122,AL122,AO122,AR122,AU122,AX122,BA122))</f>
        <v/>
      </c>
      <c r="BG122" s="10">
        <f>MID(IF(S122="","",", "&amp;S122)&amp;IF(V122="","",", "&amp;V122)&amp;IF(Y122="","",", "&amp;Y122)&amp;IF(AB122="","",", "&amp;AB122)&amp;IF(AE122="","",", "&amp;AE122)&amp;IF(AH122="","",", "&amp;AH122)&amp;IF(AK122="","",", "&amp;AK122)&amp;IF(AN122="","",", "&amp;AN122)&amp;IF(AQ122="","",", "&amp;AQ122)&amp;IF(AT122="","",", "&amp;AT122)&amp;IF(AW122="","",", "&amp;AW122)&amp;IF(AZ122="","",", "&amp;AZ122),3,500)</f>
        <v/>
      </c>
      <c r="BH122" s="12" t="n"/>
      <c r="BI122" s="15">
        <f>IFERROR(MATCH($A122,IF($B122="Onsite",tbl_Onsite[Row ID],IF($B122="Production",tbl_Production[Row ID],tbl_Consulting[Row ID])),0),"")</f>
        <v/>
      </c>
    </row>
    <row r="123">
      <c r="A123" s="10" t="inlineStr">
        <is>
          <t>ONS-0117</t>
        </is>
      </c>
      <c r="B123" s="10" t="inlineStr">
        <is>
          <t>Onsite</t>
        </is>
      </c>
      <c r="C123" s="10">
        <f>IF($BI123="","",IF($B123="Onsite",INDEX(tbl_Onsite[Job Number],$BI123),IF($B123="Production",INDEX(tbl_Production[Job Number],$BI123),INDEX(tbl_Consulting[Job Number],$BI123)))&amp;"")</f>
        <v/>
      </c>
      <c r="D123" s="10">
        <f>IF($BI123="","",IF($B123="Onsite",INDEX(tbl_Onsite[Client],$BI123),IF($B123="Production",INDEX(tbl_Production[Client],$BI123),INDEX(tbl_Consulting[Client],$BI123)))&amp;"")</f>
        <v/>
      </c>
      <c r="E123" s="10">
        <f>IF($C123="","",IF(COUNTIF(lst_Jobs,$C123)&gt;0,"OK","CHECK"))</f>
        <v/>
      </c>
      <c r="F123" s="10">
        <f>IF($C123="","",IFERROR(INDEX(lst_JobName,MATCH($C123,lst_Jobs,0)),""))</f>
        <v/>
      </c>
      <c r="G123" s="10">
        <f>IF($BI123="","",IF($B123="Onsite",INDEX(tbl_Onsite[Job Description],$BI123),IF($B123="Production",INDEX(tbl_Production[Job Description],$BI123),INDEX(tbl_Consulting[Job Description],$BI123)))&amp;"")</f>
        <v/>
      </c>
      <c r="H123" s="10">
        <f>IF($BI123="","",IF($B123="Onsite",INDEX(tbl_Onsite[Cost Centre],$BI123),IF($B123="Production",INDEX(tbl_Production[Cost Centre],$BI123),INDEX(tbl_Consulting[Cost Centre],$BI123)))&amp;"")</f>
        <v/>
      </c>
      <c r="I123" s="10">
        <f>IF($BI123="","",IF($B123="Onsite",INDEX(tbl_Onsite[Invoice Type],$BI123),IF($B123="Production",INDEX(tbl_Production[Invoice Type],$BI123),INDEX(tbl_Consulting[Invoice Type],$BI123)))&amp;"")</f>
        <v/>
      </c>
      <c r="J123" s="10">
        <f>IF($BI123="","",IF($B123="Onsite",INDEX(tbl_Onsite[Tax Code],$BI123),IF($B123="Production",INDEX(tbl_Production[Tax Code],$BI123),INDEX(tbl_Consulting[Tax Code],$BI123)))&amp;"")</f>
        <v/>
      </c>
      <c r="K123" s="10">
        <f>IF(H123="","",IFERROR(INDEX(lst_CCtoGL,MATCH(H123,lst_CCforGL,0)),""))</f>
        <v/>
      </c>
      <c r="L123" s="10">
        <f>IF($BI123="","",IF($B123="Onsite",INDEX(tbl_Onsite[PO / Reference],$BI123),IF($B123="Production",INDEX(tbl_Production[Current RMS No],$BI123),INDEX(tbl_Consulting[Qwilr Quote],$BI123)))&amp;"")</f>
        <v/>
      </c>
      <c r="M123" s="10">
        <f>IF($BI123="","",IF($B123="Onsite",INDEX(tbl_Onsite[Notes],$BI123),IF($B123="Production",INDEX(tbl_Production[Notes],$BI123),INDEX(tbl_Consulting[Notes],$BI123)))&amp;"")</f>
        <v/>
      </c>
      <c r="N123" s="11">
        <f>IF($BI123="","",IF(IF($B123="Onsite",INDEX(tbl_Onsite[Expected Revenue Ex GST],$BI123),IF($B123="Production",INDEX(tbl_Production[Expected Revenue Ex GST],$BI123),INDEX(tbl_Consulting[Expected Revenue Ex GST],$BI123)))="","",IF($B123="Onsite",INDEX(tbl_Onsite[Expected Revenue Ex GST],$BI123),IF($B123="Production",INDEX(tbl_Production[Expected Revenue Ex GST],$BI123),INDEX(tbl_Consulting[Expected Revenue Ex GST],$BI123)))))</f>
        <v/>
      </c>
      <c r="O123" s="11">
        <f>IF(AND($C123="",NOT(COUNTA($S123:$BB123)&gt;0)),"",SUM(U123,X123,AA123,AD123,AG123,AJ123,AM123,AP123,AS123,AV123,AY123,BB123))</f>
        <v/>
      </c>
      <c r="P123" s="11">
        <f>IF(O123="","",N(N123)-O123)</f>
        <v/>
      </c>
      <c r="Q123" s="10">
        <f>IF(O123="","",IF($C123="","Invoice on empty job row",IF(N123="",IF(ROUND(O123,2)=0,"No dept value","Invoiced - no dept value"),IF(ROUND(O123,2)=0,"Not invoiced - to invoice",IF(ROUND(P123,2)=0,"Agrees",IF(P123&gt;0,"Dept higher - to invoice","Xero higher - check dept"))))))</f>
        <v/>
      </c>
      <c r="R123" s="10">
        <f>IF(AND($C123="",NOT(COUNTA($S123:$BB123)&gt;0),$BI123&lt;&gt;""),"",MID(IF($BI123="","; Row ID not found on the department sheet - a row was deleted","")&amp;IF(AND($C123="",COUNTA($S123:$BB123)&gt;0),"; Invoice entered but the department row has no job number","")&amp;IF(E123="CHECK","; Job number not in the Xero job list","")&amp;IF(AND($C123&lt;&gt;"",COUNTIF($C$7:$C$1506,$C123)&gt;1),"; Job number on more than one row","")&amp;IF(AND($C123&lt;&gt;"",H123=""),"; Dept has not set a cost centre","")&amp;IF(AND($C123&lt;&gt;"",J123=""),"; Dept has not set a tax code","")&amp;IF(AND($C123&lt;&gt;"",N123=""),"; Dept has not entered an expected value","")&amp;IF((IF(OR(COUNTA(S123:U123)=0,AND(COUNTA(S123:U123)=3,ISNUMBER(U123))),0,1)+IF(OR(COUNTA(V123:X123)=0,AND(COUNTA(V123:X123)=3,ISNUMBER(X123))),0,1)+IF(OR(COUNTA(Y123:AA123)=0,AND(COUNTA(Y123:AA123)=3,ISNUMBER(AA123))),0,1)+IF(OR(COUNTA(AB123:AD123)=0,AND(COUNTA(AB123:AD123)=3,ISNUMBER(AD123))),0,1)+IF(OR(COUNTA(AE123:AG123)=0,AND(COUNTA(AE123:AG123)=3,ISNUMBER(AG123))),0,1)+IF(OR(COUNTA(AH123:AJ123)=0,AND(COUNTA(AH123:AJ123)=3,ISNUMBER(AJ123))),0,1)+IF(OR(COUNTA(AK123:AM123)=0,AND(COUNTA(AK123:AM123)=3,ISNUMBER(AM123))),0,1)+IF(OR(COUNTA(AN123:AP123)=0,AND(COUNTA(AN123:AP123)=3,ISNUMBER(AP123))),0,1)+IF(OR(COUNTA(AQ123:AS123)=0,AND(COUNTA(AQ123:AS123)=3,ISNUMBER(AS123))),0,1)+IF(OR(COUNTA(AT123:AV123)=0,AND(COUNTA(AT123:AV123)=3,ISNUMBER(AV123))),0,1)+IF(OR(COUNTA(AW123:AY123)=0,AND(COUNTA(AW123:AY123)=3,ISNUMBER(AY123))),0,1)+IF(OR(COUNTA(AZ123:BB123)=0,AND(COUNTA(AZ123:BB123)=3,ISNUMBER(BB123))),0,1))&gt;0,"; An invoice is incomplete (needs No, Date and a number in Ex GST)","")&amp;IF((IF(T123="",0,IFERROR(--(EOMONTH(T123,0)&lt;&gt;S$5),1))+IF(W123="",0,IFERROR(--(EOMONTH(W123,0)&lt;&gt;V$5),1))+IF(Z123="",0,IFERROR(--(EOMONTH(Z123,0)&lt;&gt;Y$5),1))+IF(AC123="",0,IFERROR(--(EOMONTH(AC123,0)&lt;&gt;AB$5),1))+IF(AF123="",0,IFERROR(--(EOMONTH(AF123,0)&lt;&gt;AE$5),1))+IF(AI123="",0,IFERROR(--(EOMONTH(AI123,0)&lt;&gt;AH$5),1))+IF(AL123="",0,IFERROR(--(EOMONTH(AL123,0)&lt;&gt;AK$5),1))+IF(AO123="",0,IFERROR(--(EOMONTH(AO123,0)&lt;&gt;AN$5),1))+IF(AR123="",0,IFERROR(--(EOMONTH(AR123,0)&lt;&gt;AQ$5),1))+IF(AU123="",0,IFERROR(--(EOMONTH(AU123,0)&lt;&gt;AT$5),1))+IF(AX123="",0,IFERROR(--(EOMONTH(AX123,0)&lt;&gt;AW$5),1))+IF(BA123="",0,IFERROR(--(EOMONTH(BA123,0)&lt;&gt;AZ$5),1)))&gt;0,"; An invoice date is not in the month it is typed under",""),3,500))</f>
        <v/>
      </c>
      <c r="S123" s="12" t="n"/>
      <c r="T123" s="13" t="n"/>
      <c r="U123" s="14" t="n"/>
      <c r="V123" s="12" t="n"/>
      <c r="W123" s="13" t="n"/>
      <c r="X123" s="14" t="n"/>
      <c r="Y123" s="12" t="n"/>
      <c r="Z123" s="13" t="n"/>
      <c r="AA123" s="14" t="n"/>
      <c r="AB123" s="12" t="n"/>
      <c r="AC123" s="13" t="n"/>
      <c r="AD123" s="14" t="n"/>
      <c r="AE123" s="12" t="n"/>
      <c r="AF123" s="13" t="n"/>
      <c r="AG123" s="14" t="n"/>
      <c r="AH123" s="12" t="n"/>
      <c r="AI123" s="13" t="n"/>
      <c r="AJ123" s="14" t="n"/>
      <c r="AK123" s="12" t="n"/>
      <c r="AL123" s="13" t="n"/>
      <c r="AM123" s="14" t="n"/>
      <c r="AN123" s="12" t="n"/>
      <c r="AO123" s="13" t="n"/>
      <c r="AP123" s="14" t="n"/>
      <c r="AQ123" s="12" t="n"/>
      <c r="AR123" s="13" t="n"/>
      <c r="AS123" s="14" t="n"/>
      <c r="AT123" s="12" t="n"/>
      <c r="AU123" s="13" t="n"/>
      <c r="AV123" s="14" t="n"/>
      <c r="AW123" s="12" t="n"/>
      <c r="AX123" s="13" t="n"/>
      <c r="AY123" s="14" t="n"/>
      <c r="AZ123" s="12" t="n"/>
      <c r="BA123" s="13" t="n"/>
      <c r="BB123" s="14" t="n"/>
      <c r="BC123" s="11">
        <f>IF(O123="","",IF(J123="GST 10%",ROUND(O123*set_GSTRate,2),0))</f>
        <v/>
      </c>
      <c r="BD123" s="11">
        <f>IF(O123="","",O123+BC123)</f>
        <v/>
      </c>
      <c r="BE123" s="15">
        <f>IF(O123="","",COUNTA(S123,V123,Y123,AB123,AE123,AH123,AK123,AN123,AQ123,AT123,AW123,AZ123))</f>
        <v/>
      </c>
      <c r="BF123" s="16">
        <f>IF(COUNT(T123,W123,Z123,AC123,AF123,AI123,AL123,AO123,AR123,AU123,AX123,BA123)=0,"",MAX(T123,W123,Z123,AC123,AF123,AI123,AL123,AO123,AR123,AU123,AX123,BA123))</f>
        <v/>
      </c>
      <c r="BG123" s="10">
        <f>MID(IF(S123="","",", "&amp;S123)&amp;IF(V123="","",", "&amp;V123)&amp;IF(Y123="","",", "&amp;Y123)&amp;IF(AB123="","",", "&amp;AB123)&amp;IF(AE123="","",", "&amp;AE123)&amp;IF(AH123="","",", "&amp;AH123)&amp;IF(AK123="","",", "&amp;AK123)&amp;IF(AN123="","",", "&amp;AN123)&amp;IF(AQ123="","",", "&amp;AQ123)&amp;IF(AT123="","",", "&amp;AT123)&amp;IF(AW123="","",", "&amp;AW123)&amp;IF(AZ123="","",", "&amp;AZ123),3,500)</f>
        <v/>
      </c>
      <c r="BH123" s="12" t="n"/>
      <c r="BI123" s="15">
        <f>IFERROR(MATCH($A123,IF($B123="Onsite",tbl_Onsite[Row ID],IF($B123="Production",tbl_Production[Row ID],tbl_Consulting[Row ID])),0),"")</f>
        <v/>
      </c>
    </row>
    <row r="124">
      <c r="A124" s="10" t="inlineStr">
        <is>
          <t>ONS-0118</t>
        </is>
      </c>
      <c r="B124" s="10" t="inlineStr">
        <is>
          <t>Onsite</t>
        </is>
      </c>
      <c r="C124" s="10">
        <f>IF($BI124="","",IF($B124="Onsite",INDEX(tbl_Onsite[Job Number],$BI124),IF($B124="Production",INDEX(tbl_Production[Job Number],$BI124),INDEX(tbl_Consulting[Job Number],$BI124)))&amp;"")</f>
        <v/>
      </c>
      <c r="D124" s="10">
        <f>IF($BI124="","",IF($B124="Onsite",INDEX(tbl_Onsite[Client],$BI124),IF($B124="Production",INDEX(tbl_Production[Client],$BI124),INDEX(tbl_Consulting[Client],$BI124)))&amp;"")</f>
        <v/>
      </c>
      <c r="E124" s="10">
        <f>IF($C124="","",IF(COUNTIF(lst_Jobs,$C124)&gt;0,"OK","CHECK"))</f>
        <v/>
      </c>
      <c r="F124" s="10">
        <f>IF($C124="","",IFERROR(INDEX(lst_JobName,MATCH($C124,lst_Jobs,0)),""))</f>
        <v/>
      </c>
      <c r="G124" s="10">
        <f>IF($BI124="","",IF($B124="Onsite",INDEX(tbl_Onsite[Job Description],$BI124),IF($B124="Production",INDEX(tbl_Production[Job Description],$BI124),INDEX(tbl_Consulting[Job Description],$BI124)))&amp;"")</f>
        <v/>
      </c>
      <c r="H124" s="10">
        <f>IF($BI124="","",IF($B124="Onsite",INDEX(tbl_Onsite[Cost Centre],$BI124),IF($B124="Production",INDEX(tbl_Production[Cost Centre],$BI124),INDEX(tbl_Consulting[Cost Centre],$BI124)))&amp;"")</f>
        <v/>
      </c>
      <c r="I124" s="10">
        <f>IF($BI124="","",IF($B124="Onsite",INDEX(tbl_Onsite[Invoice Type],$BI124),IF($B124="Production",INDEX(tbl_Production[Invoice Type],$BI124),INDEX(tbl_Consulting[Invoice Type],$BI124)))&amp;"")</f>
        <v/>
      </c>
      <c r="J124" s="10">
        <f>IF($BI124="","",IF($B124="Onsite",INDEX(tbl_Onsite[Tax Code],$BI124),IF($B124="Production",INDEX(tbl_Production[Tax Code],$BI124),INDEX(tbl_Consulting[Tax Code],$BI124)))&amp;"")</f>
        <v/>
      </c>
      <c r="K124" s="10">
        <f>IF(H124="","",IFERROR(INDEX(lst_CCtoGL,MATCH(H124,lst_CCforGL,0)),""))</f>
        <v/>
      </c>
      <c r="L124" s="10">
        <f>IF($BI124="","",IF($B124="Onsite",INDEX(tbl_Onsite[PO / Reference],$BI124),IF($B124="Production",INDEX(tbl_Production[Current RMS No],$BI124),INDEX(tbl_Consulting[Qwilr Quote],$BI124)))&amp;"")</f>
        <v/>
      </c>
      <c r="M124" s="10">
        <f>IF($BI124="","",IF($B124="Onsite",INDEX(tbl_Onsite[Notes],$BI124),IF($B124="Production",INDEX(tbl_Production[Notes],$BI124),INDEX(tbl_Consulting[Notes],$BI124)))&amp;"")</f>
        <v/>
      </c>
      <c r="N124" s="11">
        <f>IF($BI124="","",IF(IF($B124="Onsite",INDEX(tbl_Onsite[Expected Revenue Ex GST],$BI124),IF($B124="Production",INDEX(tbl_Production[Expected Revenue Ex GST],$BI124),INDEX(tbl_Consulting[Expected Revenue Ex GST],$BI124)))="","",IF($B124="Onsite",INDEX(tbl_Onsite[Expected Revenue Ex GST],$BI124),IF($B124="Production",INDEX(tbl_Production[Expected Revenue Ex GST],$BI124),INDEX(tbl_Consulting[Expected Revenue Ex GST],$BI124)))))</f>
        <v/>
      </c>
      <c r="O124" s="11">
        <f>IF(AND($C124="",NOT(COUNTA($S124:$BB124)&gt;0)),"",SUM(U124,X124,AA124,AD124,AG124,AJ124,AM124,AP124,AS124,AV124,AY124,BB124))</f>
        <v/>
      </c>
      <c r="P124" s="11">
        <f>IF(O124="","",N(N124)-O124)</f>
        <v/>
      </c>
      <c r="Q124" s="10">
        <f>IF(O124="","",IF($C124="","Invoice on empty job row",IF(N124="",IF(ROUND(O124,2)=0,"No dept value","Invoiced - no dept value"),IF(ROUND(O124,2)=0,"Not invoiced - to invoice",IF(ROUND(P124,2)=0,"Agrees",IF(P124&gt;0,"Dept higher - to invoice","Xero higher - check dept"))))))</f>
        <v/>
      </c>
      <c r="R124" s="10">
        <f>IF(AND($C124="",NOT(COUNTA($S124:$BB124)&gt;0),$BI124&lt;&gt;""),"",MID(IF($BI124="","; Row ID not found on the department sheet - a row was deleted","")&amp;IF(AND($C124="",COUNTA($S124:$BB124)&gt;0),"; Invoice entered but the department row has no job number","")&amp;IF(E124="CHECK","; Job number not in the Xero job list","")&amp;IF(AND($C124&lt;&gt;"",COUNTIF($C$7:$C$1506,$C124)&gt;1),"; Job number on more than one row","")&amp;IF(AND($C124&lt;&gt;"",H124=""),"; Dept has not set a cost centre","")&amp;IF(AND($C124&lt;&gt;"",J124=""),"; Dept has not set a tax code","")&amp;IF(AND($C124&lt;&gt;"",N124=""),"; Dept has not entered an expected value","")&amp;IF((IF(OR(COUNTA(S124:U124)=0,AND(COUNTA(S124:U124)=3,ISNUMBER(U124))),0,1)+IF(OR(COUNTA(V124:X124)=0,AND(COUNTA(V124:X124)=3,ISNUMBER(X124))),0,1)+IF(OR(COUNTA(Y124:AA124)=0,AND(COUNTA(Y124:AA124)=3,ISNUMBER(AA124))),0,1)+IF(OR(COUNTA(AB124:AD124)=0,AND(COUNTA(AB124:AD124)=3,ISNUMBER(AD124))),0,1)+IF(OR(COUNTA(AE124:AG124)=0,AND(COUNTA(AE124:AG124)=3,ISNUMBER(AG124))),0,1)+IF(OR(COUNTA(AH124:AJ124)=0,AND(COUNTA(AH124:AJ124)=3,ISNUMBER(AJ124))),0,1)+IF(OR(COUNTA(AK124:AM124)=0,AND(COUNTA(AK124:AM124)=3,ISNUMBER(AM124))),0,1)+IF(OR(COUNTA(AN124:AP124)=0,AND(COUNTA(AN124:AP124)=3,ISNUMBER(AP124))),0,1)+IF(OR(COUNTA(AQ124:AS124)=0,AND(COUNTA(AQ124:AS124)=3,ISNUMBER(AS124))),0,1)+IF(OR(COUNTA(AT124:AV124)=0,AND(COUNTA(AT124:AV124)=3,ISNUMBER(AV124))),0,1)+IF(OR(COUNTA(AW124:AY124)=0,AND(COUNTA(AW124:AY124)=3,ISNUMBER(AY124))),0,1)+IF(OR(COUNTA(AZ124:BB124)=0,AND(COUNTA(AZ124:BB124)=3,ISNUMBER(BB124))),0,1))&gt;0,"; An invoice is incomplete (needs No, Date and a number in Ex GST)","")&amp;IF((IF(T124="",0,IFERROR(--(EOMONTH(T124,0)&lt;&gt;S$5),1))+IF(W124="",0,IFERROR(--(EOMONTH(W124,0)&lt;&gt;V$5),1))+IF(Z124="",0,IFERROR(--(EOMONTH(Z124,0)&lt;&gt;Y$5),1))+IF(AC124="",0,IFERROR(--(EOMONTH(AC124,0)&lt;&gt;AB$5),1))+IF(AF124="",0,IFERROR(--(EOMONTH(AF124,0)&lt;&gt;AE$5),1))+IF(AI124="",0,IFERROR(--(EOMONTH(AI124,0)&lt;&gt;AH$5),1))+IF(AL124="",0,IFERROR(--(EOMONTH(AL124,0)&lt;&gt;AK$5),1))+IF(AO124="",0,IFERROR(--(EOMONTH(AO124,0)&lt;&gt;AN$5),1))+IF(AR124="",0,IFERROR(--(EOMONTH(AR124,0)&lt;&gt;AQ$5),1))+IF(AU124="",0,IFERROR(--(EOMONTH(AU124,0)&lt;&gt;AT$5),1))+IF(AX124="",0,IFERROR(--(EOMONTH(AX124,0)&lt;&gt;AW$5),1))+IF(BA124="",0,IFERROR(--(EOMONTH(BA124,0)&lt;&gt;AZ$5),1)))&gt;0,"; An invoice date is not in the month it is typed under",""),3,500))</f>
        <v/>
      </c>
      <c r="S124" s="12" t="n"/>
      <c r="T124" s="13" t="n"/>
      <c r="U124" s="14" t="n"/>
      <c r="V124" s="12" t="n"/>
      <c r="W124" s="13" t="n"/>
      <c r="X124" s="14" t="n"/>
      <c r="Y124" s="12" t="n"/>
      <c r="Z124" s="13" t="n"/>
      <c r="AA124" s="14" t="n"/>
      <c r="AB124" s="12" t="n"/>
      <c r="AC124" s="13" t="n"/>
      <c r="AD124" s="14" t="n"/>
      <c r="AE124" s="12" t="n"/>
      <c r="AF124" s="13" t="n"/>
      <c r="AG124" s="14" t="n"/>
      <c r="AH124" s="12" t="n"/>
      <c r="AI124" s="13" t="n"/>
      <c r="AJ124" s="14" t="n"/>
      <c r="AK124" s="12" t="n"/>
      <c r="AL124" s="13" t="n"/>
      <c r="AM124" s="14" t="n"/>
      <c r="AN124" s="12" t="n"/>
      <c r="AO124" s="13" t="n"/>
      <c r="AP124" s="14" t="n"/>
      <c r="AQ124" s="12" t="n"/>
      <c r="AR124" s="13" t="n"/>
      <c r="AS124" s="14" t="n"/>
      <c r="AT124" s="12" t="n"/>
      <c r="AU124" s="13" t="n"/>
      <c r="AV124" s="14" t="n"/>
      <c r="AW124" s="12" t="n"/>
      <c r="AX124" s="13" t="n"/>
      <c r="AY124" s="14" t="n"/>
      <c r="AZ124" s="12" t="n"/>
      <c r="BA124" s="13" t="n"/>
      <c r="BB124" s="14" t="n"/>
      <c r="BC124" s="11">
        <f>IF(O124="","",IF(J124="GST 10%",ROUND(O124*set_GSTRate,2),0))</f>
        <v/>
      </c>
      <c r="BD124" s="11">
        <f>IF(O124="","",O124+BC124)</f>
        <v/>
      </c>
      <c r="BE124" s="15">
        <f>IF(O124="","",COUNTA(S124,V124,Y124,AB124,AE124,AH124,AK124,AN124,AQ124,AT124,AW124,AZ124))</f>
        <v/>
      </c>
      <c r="BF124" s="16">
        <f>IF(COUNT(T124,W124,Z124,AC124,AF124,AI124,AL124,AO124,AR124,AU124,AX124,BA124)=0,"",MAX(T124,W124,Z124,AC124,AF124,AI124,AL124,AO124,AR124,AU124,AX124,BA124))</f>
        <v/>
      </c>
      <c r="BG124" s="10">
        <f>MID(IF(S124="","",", "&amp;S124)&amp;IF(V124="","",", "&amp;V124)&amp;IF(Y124="","",", "&amp;Y124)&amp;IF(AB124="","",", "&amp;AB124)&amp;IF(AE124="","",", "&amp;AE124)&amp;IF(AH124="","",", "&amp;AH124)&amp;IF(AK124="","",", "&amp;AK124)&amp;IF(AN124="","",", "&amp;AN124)&amp;IF(AQ124="","",", "&amp;AQ124)&amp;IF(AT124="","",", "&amp;AT124)&amp;IF(AW124="","",", "&amp;AW124)&amp;IF(AZ124="","",", "&amp;AZ124),3,500)</f>
        <v/>
      </c>
      <c r="BH124" s="12" t="n"/>
      <c r="BI124" s="15">
        <f>IFERROR(MATCH($A124,IF($B124="Onsite",tbl_Onsite[Row ID],IF($B124="Production",tbl_Production[Row ID],tbl_Consulting[Row ID])),0),"")</f>
        <v/>
      </c>
    </row>
    <row r="125">
      <c r="A125" s="10" t="inlineStr">
        <is>
          <t>ONS-0119</t>
        </is>
      </c>
      <c r="B125" s="10" t="inlineStr">
        <is>
          <t>Onsite</t>
        </is>
      </c>
      <c r="C125" s="10">
        <f>IF($BI125="","",IF($B125="Onsite",INDEX(tbl_Onsite[Job Number],$BI125),IF($B125="Production",INDEX(tbl_Production[Job Number],$BI125),INDEX(tbl_Consulting[Job Number],$BI125)))&amp;"")</f>
        <v/>
      </c>
      <c r="D125" s="10">
        <f>IF($BI125="","",IF($B125="Onsite",INDEX(tbl_Onsite[Client],$BI125),IF($B125="Production",INDEX(tbl_Production[Client],$BI125),INDEX(tbl_Consulting[Client],$BI125)))&amp;"")</f>
        <v/>
      </c>
      <c r="E125" s="10">
        <f>IF($C125="","",IF(COUNTIF(lst_Jobs,$C125)&gt;0,"OK","CHECK"))</f>
        <v/>
      </c>
      <c r="F125" s="10">
        <f>IF($C125="","",IFERROR(INDEX(lst_JobName,MATCH($C125,lst_Jobs,0)),""))</f>
        <v/>
      </c>
      <c r="G125" s="10">
        <f>IF($BI125="","",IF($B125="Onsite",INDEX(tbl_Onsite[Job Description],$BI125),IF($B125="Production",INDEX(tbl_Production[Job Description],$BI125),INDEX(tbl_Consulting[Job Description],$BI125)))&amp;"")</f>
        <v/>
      </c>
      <c r="H125" s="10">
        <f>IF($BI125="","",IF($B125="Onsite",INDEX(tbl_Onsite[Cost Centre],$BI125),IF($B125="Production",INDEX(tbl_Production[Cost Centre],$BI125),INDEX(tbl_Consulting[Cost Centre],$BI125)))&amp;"")</f>
        <v/>
      </c>
      <c r="I125" s="10">
        <f>IF($BI125="","",IF($B125="Onsite",INDEX(tbl_Onsite[Invoice Type],$BI125),IF($B125="Production",INDEX(tbl_Production[Invoice Type],$BI125),INDEX(tbl_Consulting[Invoice Type],$BI125)))&amp;"")</f>
        <v/>
      </c>
      <c r="J125" s="10">
        <f>IF($BI125="","",IF($B125="Onsite",INDEX(tbl_Onsite[Tax Code],$BI125),IF($B125="Production",INDEX(tbl_Production[Tax Code],$BI125),INDEX(tbl_Consulting[Tax Code],$BI125)))&amp;"")</f>
        <v/>
      </c>
      <c r="K125" s="10">
        <f>IF(H125="","",IFERROR(INDEX(lst_CCtoGL,MATCH(H125,lst_CCforGL,0)),""))</f>
        <v/>
      </c>
      <c r="L125" s="10">
        <f>IF($BI125="","",IF($B125="Onsite",INDEX(tbl_Onsite[PO / Reference],$BI125),IF($B125="Production",INDEX(tbl_Production[Current RMS No],$BI125),INDEX(tbl_Consulting[Qwilr Quote],$BI125)))&amp;"")</f>
        <v/>
      </c>
      <c r="M125" s="10">
        <f>IF($BI125="","",IF($B125="Onsite",INDEX(tbl_Onsite[Notes],$BI125),IF($B125="Production",INDEX(tbl_Production[Notes],$BI125),INDEX(tbl_Consulting[Notes],$BI125)))&amp;"")</f>
        <v/>
      </c>
      <c r="N125" s="11">
        <f>IF($BI125="","",IF(IF($B125="Onsite",INDEX(tbl_Onsite[Expected Revenue Ex GST],$BI125),IF($B125="Production",INDEX(tbl_Production[Expected Revenue Ex GST],$BI125),INDEX(tbl_Consulting[Expected Revenue Ex GST],$BI125)))="","",IF($B125="Onsite",INDEX(tbl_Onsite[Expected Revenue Ex GST],$BI125),IF($B125="Production",INDEX(tbl_Production[Expected Revenue Ex GST],$BI125),INDEX(tbl_Consulting[Expected Revenue Ex GST],$BI125)))))</f>
        <v/>
      </c>
      <c r="O125" s="11">
        <f>IF(AND($C125="",NOT(COUNTA($S125:$BB125)&gt;0)),"",SUM(U125,X125,AA125,AD125,AG125,AJ125,AM125,AP125,AS125,AV125,AY125,BB125))</f>
        <v/>
      </c>
      <c r="P125" s="11">
        <f>IF(O125="","",N(N125)-O125)</f>
        <v/>
      </c>
      <c r="Q125" s="10">
        <f>IF(O125="","",IF($C125="","Invoice on empty job row",IF(N125="",IF(ROUND(O125,2)=0,"No dept value","Invoiced - no dept value"),IF(ROUND(O125,2)=0,"Not invoiced - to invoice",IF(ROUND(P125,2)=0,"Agrees",IF(P125&gt;0,"Dept higher - to invoice","Xero higher - check dept"))))))</f>
        <v/>
      </c>
      <c r="R125" s="10">
        <f>IF(AND($C125="",NOT(COUNTA($S125:$BB125)&gt;0),$BI125&lt;&gt;""),"",MID(IF($BI125="","; Row ID not found on the department sheet - a row was deleted","")&amp;IF(AND($C125="",COUNTA($S125:$BB125)&gt;0),"; Invoice entered but the department row has no job number","")&amp;IF(E125="CHECK","; Job number not in the Xero job list","")&amp;IF(AND($C125&lt;&gt;"",COUNTIF($C$7:$C$1506,$C125)&gt;1),"; Job number on more than one row","")&amp;IF(AND($C125&lt;&gt;"",H125=""),"; Dept has not set a cost centre","")&amp;IF(AND($C125&lt;&gt;"",J125=""),"; Dept has not set a tax code","")&amp;IF(AND($C125&lt;&gt;"",N125=""),"; Dept has not entered an expected value","")&amp;IF((IF(OR(COUNTA(S125:U125)=0,AND(COUNTA(S125:U125)=3,ISNUMBER(U125))),0,1)+IF(OR(COUNTA(V125:X125)=0,AND(COUNTA(V125:X125)=3,ISNUMBER(X125))),0,1)+IF(OR(COUNTA(Y125:AA125)=0,AND(COUNTA(Y125:AA125)=3,ISNUMBER(AA125))),0,1)+IF(OR(COUNTA(AB125:AD125)=0,AND(COUNTA(AB125:AD125)=3,ISNUMBER(AD125))),0,1)+IF(OR(COUNTA(AE125:AG125)=0,AND(COUNTA(AE125:AG125)=3,ISNUMBER(AG125))),0,1)+IF(OR(COUNTA(AH125:AJ125)=0,AND(COUNTA(AH125:AJ125)=3,ISNUMBER(AJ125))),0,1)+IF(OR(COUNTA(AK125:AM125)=0,AND(COUNTA(AK125:AM125)=3,ISNUMBER(AM125))),0,1)+IF(OR(COUNTA(AN125:AP125)=0,AND(COUNTA(AN125:AP125)=3,ISNUMBER(AP125))),0,1)+IF(OR(COUNTA(AQ125:AS125)=0,AND(COUNTA(AQ125:AS125)=3,ISNUMBER(AS125))),0,1)+IF(OR(COUNTA(AT125:AV125)=0,AND(COUNTA(AT125:AV125)=3,ISNUMBER(AV125))),0,1)+IF(OR(COUNTA(AW125:AY125)=0,AND(COUNTA(AW125:AY125)=3,ISNUMBER(AY125))),0,1)+IF(OR(COUNTA(AZ125:BB125)=0,AND(COUNTA(AZ125:BB125)=3,ISNUMBER(BB125))),0,1))&gt;0,"; An invoice is incomplete (needs No, Date and a number in Ex GST)","")&amp;IF((IF(T125="",0,IFERROR(--(EOMONTH(T125,0)&lt;&gt;S$5),1))+IF(W125="",0,IFERROR(--(EOMONTH(W125,0)&lt;&gt;V$5),1))+IF(Z125="",0,IFERROR(--(EOMONTH(Z125,0)&lt;&gt;Y$5),1))+IF(AC125="",0,IFERROR(--(EOMONTH(AC125,0)&lt;&gt;AB$5),1))+IF(AF125="",0,IFERROR(--(EOMONTH(AF125,0)&lt;&gt;AE$5),1))+IF(AI125="",0,IFERROR(--(EOMONTH(AI125,0)&lt;&gt;AH$5),1))+IF(AL125="",0,IFERROR(--(EOMONTH(AL125,0)&lt;&gt;AK$5),1))+IF(AO125="",0,IFERROR(--(EOMONTH(AO125,0)&lt;&gt;AN$5),1))+IF(AR125="",0,IFERROR(--(EOMONTH(AR125,0)&lt;&gt;AQ$5),1))+IF(AU125="",0,IFERROR(--(EOMONTH(AU125,0)&lt;&gt;AT$5),1))+IF(AX125="",0,IFERROR(--(EOMONTH(AX125,0)&lt;&gt;AW$5),1))+IF(BA125="",0,IFERROR(--(EOMONTH(BA125,0)&lt;&gt;AZ$5),1)))&gt;0,"; An invoice date is not in the month it is typed under",""),3,500))</f>
        <v/>
      </c>
      <c r="S125" s="12" t="n"/>
      <c r="T125" s="13" t="n"/>
      <c r="U125" s="14" t="n"/>
      <c r="V125" s="12" t="n"/>
      <c r="W125" s="13" t="n"/>
      <c r="X125" s="14" t="n"/>
      <c r="Y125" s="12" t="n"/>
      <c r="Z125" s="13" t="n"/>
      <c r="AA125" s="14" t="n"/>
      <c r="AB125" s="12" t="n"/>
      <c r="AC125" s="13" t="n"/>
      <c r="AD125" s="14" t="n"/>
      <c r="AE125" s="12" t="n"/>
      <c r="AF125" s="13" t="n"/>
      <c r="AG125" s="14" t="n"/>
      <c r="AH125" s="12" t="n"/>
      <c r="AI125" s="13" t="n"/>
      <c r="AJ125" s="14" t="n"/>
      <c r="AK125" s="12" t="n"/>
      <c r="AL125" s="13" t="n"/>
      <c r="AM125" s="14" t="n"/>
      <c r="AN125" s="12" t="n"/>
      <c r="AO125" s="13" t="n"/>
      <c r="AP125" s="14" t="n"/>
      <c r="AQ125" s="12" t="n"/>
      <c r="AR125" s="13" t="n"/>
      <c r="AS125" s="14" t="n"/>
      <c r="AT125" s="12" t="n"/>
      <c r="AU125" s="13" t="n"/>
      <c r="AV125" s="14" t="n"/>
      <c r="AW125" s="12" t="n"/>
      <c r="AX125" s="13" t="n"/>
      <c r="AY125" s="14" t="n"/>
      <c r="AZ125" s="12" t="n"/>
      <c r="BA125" s="13" t="n"/>
      <c r="BB125" s="14" t="n"/>
      <c r="BC125" s="11">
        <f>IF(O125="","",IF(J125="GST 10%",ROUND(O125*set_GSTRate,2),0))</f>
        <v/>
      </c>
      <c r="BD125" s="11">
        <f>IF(O125="","",O125+BC125)</f>
        <v/>
      </c>
      <c r="BE125" s="15">
        <f>IF(O125="","",COUNTA(S125,V125,Y125,AB125,AE125,AH125,AK125,AN125,AQ125,AT125,AW125,AZ125))</f>
        <v/>
      </c>
      <c r="BF125" s="16">
        <f>IF(COUNT(T125,W125,Z125,AC125,AF125,AI125,AL125,AO125,AR125,AU125,AX125,BA125)=0,"",MAX(T125,W125,Z125,AC125,AF125,AI125,AL125,AO125,AR125,AU125,AX125,BA125))</f>
        <v/>
      </c>
      <c r="BG125" s="10">
        <f>MID(IF(S125="","",", "&amp;S125)&amp;IF(V125="","",", "&amp;V125)&amp;IF(Y125="","",", "&amp;Y125)&amp;IF(AB125="","",", "&amp;AB125)&amp;IF(AE125="","",", "&amp;AE125)&amp;IF(AH125="","",", "&amp;AH125)&amp;IF(AK125="","",", "&amp;AK125)&amp;IF(AN125="","",", "&amp;AN125)&amp;IF(AQ125="","",", "&amp;AQ125)&amp;IF(AT125="","",", "&amp;AT125)&amp;IF(AW125="","",", "&amp;AW125)&amp;IF(AZ125="","",", "&amp;AZ125),3,500)</f>
        <v/>
      </c>
      <c r="BH125" s="12" t="n"/>
      <c r="BI125" s="15">
        <f>IFERROR(MATCH($A125,IF($B125="Onsite",tbl_Onsite[Row ID],IF($B125="Production",tbl_Production[Row ID],tbl_Consulting[Row ID])),0),"")</f>
        <v/>
      </c>
    </row>
    <row r="126">
      <c r="A126" s="10" t="inlineStr">
        <is>
          <t>ONS-0120</t>
        </is>
      </c>
      <c r="B126" s="10" t="inlineStr">
        <is>
          <t>Onsite</t>
        </is>
      </c>
      <c r="C126" s="10">
        <f>IF($BI126="","",IF($B126="Onsite",INDEX(tbl_Onsite[Job Number],$BI126),IF($B126="Production",INDEX(tbl_Production[Job Number],$BI126),INDEX(tbl_Consulting[Job Number],$BI126)))&amp;"")</f>
        <v/>
      </c>
      <c r="D126" s="10">
        <f>IF($BI126="","",IF($B126="Onsite",INDEX(tbl_Onsite[Client],$BI126),IF($B126="Production",INDEX(tbl_Production[Client],$BI126),INDEX(tbl_Consulting[Client],$BI126)))&amp;"")</f>
        <v/>
      </c>
      <c r="E126" s="10">
        <f>IF($C126="","",IF(COUNTIF(lst_Jobs,$C126)&gt;0,"OK","CHECK"))</f>
        <v/>
      </c>
      <c r="F126" s="10">
        <f>IF($C126="","",IFERROR(INDEX(lst_JobName,MATCH($C126,lst_Jobs,0)),""))</f>
        <v/>
      </c>
      <c r="G126" s="10">
        <f>IF($BI126="","",IF($B126="Onsite",INDEX(tbl_Onsite[Job Description],$BI126),IF($B126="Production",INDEX(tbl_Production[Job Description],$BI126),INDEX(tbl_Consulting[Job Description],$BI126)))&amp;"")</f>
        <v/>
      </c>
      <c r="H126" s="10">
        <f>IF($BI126="","",IF($B126="Onsite",INDEX(tbl_Onsite[Cost Centre],$BI126),IF($B126="Production",INDEX(tbl_Production[Cost Centre],$BI126),INDEX(tbl_Consulting[Cost Centre],$BI126)))&amp;"")</f>
        <v/>
      </c>
      <c r="I126" s="10">
        <f>IF($BI126="","",IF($B126="Onsite",INDEX(tbl_Onsite[Invoice Type],$BI126),IF($B126="Production",INDEX(tbl_Production[Invoice Type],$BI126),INDEX(tbl_Consulting[Invoice Type],$BI126)))&amp;"")</f>
        <v/>
      </c>
      <c r="J126" s="10">
        <f>IF($BI126="","",IF($B126="Onsite",INDEX(tbl_Onsite[Tax Code],$BI126),IF($B126="Production",INDEX(tbl_Production[Tax Code],$BI126),INDEX(tbl_Consulting[Tax Code],$BI126)))&amp;"")</f>
        <v/>
      </c>
      <c r="K126" s="10">
        <f>IF(H126="","",IFERROR(INDEX(lst_CCtoGL,MATCH(H126,lst_CCforGL,0)),""))</f>
        <v/>
      </c>
      <c r="L126" s="10">
        <f>IF($BI126="","",IF($B126="Onsite",INDEX(tbl_Onsite[PO / Reference],$BI126),IF($B126="Production",INDEX(tbl_Production[Current RMS No],$BI126),INDEX(tbl_Consulting[Qwilr Quote],$BI126)))&amp;"")</f>
        <v/>
      </c>
      <c r="M126" s="10">
        <f>IF($BI126="","",IF($B126="Onsite",INDEX(tbl_Onsite[Notes],$BI126),IF($B126="Production",INDEX(tbl_Production[Notes],$BI126),INDEX(tbl_Consulting[Notes],$BI126)))&amp;"")</f>
        <v/>
      </c>
      <c r="N126" s="11">
        <f>IF($BI126="","",IF(IF($B126="Onsite",INDEX(tbl_Onsite[Expected Revenue Ex GST],$BI126),IF($B126="Production",INDEX(tbl_Production[Expected Revenue Ex GST],$BI126),INDEX(tbl_Consulting[Expected Revenue Ex GST],$BI126)))="","",IF($B126="Onsite",INDEX(tbl_Onsite[Expected Revenue Ex GST],$BI126),IF($B126="Production",INDEX(tbl_Production[Expected Revenue Ex GST],$BI126),INDEX(tbl_Consulting[Expected Revenue Ex GST],$BI126)))))</f>
        <v/>
      </c>
      <c r="O126" s="11">
        <f>IF(AND($C126="",NOT(COUNTA($S126:$BB126)&gt;0)),"",SUM(U126,X126,AA126,AD126,AG126,AJ126,AM126,AP126,AS126,AV126,AY126,BB126))</f>
        <v/>
      </c>
      <c r="P126" s="11">
        <f>IF(O126="","",N(N126)-O126)</f>
        <v/>
      </c>
      <c r="Q126" s="10">
        <f>IF(O126="","",IF($C126="","Invoice on empty job row",IF(N126="",IF(ROUND(O126,2)=0,"No dept value","Invoiced - no dept value"),IF(ROUND(O126,2)=0,"Not invoiced - to invoice",IF(ROUND(P126,2)=0,"Agrees",IF(P126&gt;0,"Dept higher - to invoice","Xero higher - check dept"))))))</f>
        <v/>
      </c>
      <c r="R126" s="10">
        <f>IF(AND($C126="",NOT(COUNTA($S126:$BB126)&gt;0),$BI126&lt;&gt;""),"",MID(IF($BI126="","; Row ID not found on the department sheet - a row was deleted","")&amp;IF(AND($C126="",COUNTA($S126:$BB126)&gt;0),"; Invoice entered but the department row has no job number","")&amp;IF(E126="CHECK","; Job number not in the Xero job list","")&amp;IF(AND($C126&lt;&gt;"",COUNTIF($C$7:$C$1506,$C126)&gt;1),"; Job number on more than one row","")&amp;IF(AND($C126&lt;&gt;"",H126=""),"; Dept has not set a cost centre","")&amp;IF(AND($C126&lt;&gt;"",J126=""),"; Dept has not set a tax code","")&amp;IF(AND($C126&lt;&gt;"",N126=""),"; Dept has not entered an expected value","")&amp;IF((IF(OR(COUNTA(S126:U126)=0,AND(COUNTA(S126:U126)=3,ISNUMBER(U126))),0,1)+IF(OR(COUNTA(V126:X126)=0,AND(COUNTA(V126:X126)=3,ISNUMBER(X126))),0,1)+IF(OR(COUNTA(Y126:AA126)=0,AND(COUNTA(Y126:AA126)=3,ISNUMBER(AA126))),0,1)+IF(OR(COUNTA(AB126:AD126)=0,AND(COUNTA(AB126:AD126)=3,ISNUMBER(AD126))),0,1)+IF(OR(COUNTA(AE126:AG126)=0,AND(COUNTA(AE126:AG126)=3,ISNUMBER(AG126))),0,1)+IF(OR(COUNTA(AH126:AJ126)=0,AND(COUNTA(AH126:AJ126)=3,ISNUMBER(AJ126))),0,1)+IF(OR(COUNTA(AK126:AM126)=0,AND(COUNTA(AK126:AM126)=3,ISNUMBER(AM126))),0,1)+IF(OR(COUNTA(AN126:AP126)=0,AND(COUNTA(AN126:AP126)=3,ISNUMBER(AP126))),0,1)+IF(OR(COUNTA(AQ126:AS126)=0,AND(COUNTA(AQ126:AS126)=3,ISNUMBER(AS126))),0,1)+IF(OR(COUNTA(AT126:AV126)=0,AND(COUNTA(AT126:AV126)=3,ISNUMBER(AV126))),0,1)+IF(OR(COUNTA(AW126:AY126)=0,AND(COUNTA(AW126:AY126)=3,ISNUMBER(AY126))),0,1)+IF(OR(COUNTA(AZ126:BB126)=0,AND(COUNTA(AZ126:BB126)=3,ISNUMBER(BB126))),0,1))&gt;0,"; An invoice is incomplete (needs No, Date and a number in Ex GST)","")&amp;IF((IF(T126="",0,IFERROR(--(EOMONTH(T126,0)&lt;&gt;S$5),1))+IF(W126="",0,IFERROR(--(EOMONTH(W126,0)&lt;&gt;V$5),1))+IF(Z126="",0,IFERROR(--(EOMONTH(Z126,0)&lt;&gt;Y$5),1))+IF(AC126="",0,IFERROR(--(EOMONTH(AC126,0)&lt;&gt;AB$5),1))+IF(AF126="",0,IFERROR(--(EOMONTH(AF126,0)&lt;&gt;AE$5),1))+IF(AI126="",0,IFERROR(--(EOMONTH(AI126,0)&lt;&gt;AH$5),1))+IF(AL126="",0,IFERROR(--(EOMONTH(AL126,0)&lt;&gt;AK$5),1))+IF(AO126="",0,IFERROR(--(EOMONTH(AO126,0)&lt;&gt;AN$5),1))+IF(AR126="",0,IFERROR(--(EOMONTH(AR126,0)&lt;&gt;AQ$5),1))+IF(AU126="",0,IFERROR(--(EOMONTH(AU126,0)&lt;&gt;AT$5),1))+IF(AX126="",0,IFERROR(--(EOMONTH(AX126,0)&lt;&gt;AW$5),1))+IF(BA126="",0,IFERROR(--(EOMONTH(BA126,0)&lt;&gt;AZ$5),1)))&gt;0,"; An invoice date is not in the month it is typed under",""),3,500))</f>
        <v/>
      </c>
      <c r="S126" s="12" t="n"/>
      <c r="T126" s="13" t="n"/>
      <c r="U126" s="14" t="n"/>
      <c r="V126" s="12" t="n"/>
      <c r="W126" s="13" t="n"/>
      <c r="X126" s="14" t="n"/>
      <c r="Y126" s="12" t="n"/>
      <c r="Z126" s="13" t="n"/>
      <c r="AA126" s="14" t="n"/>
      <c r="AB126" s="12" t="n"/>
      <c r="AC126" s="13" t="n"/>
      <c r="AD126" s="14" t="n"/>
      <c r="AE126" s="12" t="n"/>
      <c r="AF126" s="13" t="n"/>
      <c r="AG126" s="14" t="n"/>
      <c r="AH126" s="12" t="n"/>
      <c r="AI126" s="13" t="n"/>
      <c r="AJ126" s="14" t="n"/>
      <c r="AK126" s="12" t="n"/>
      <c r="AL126" s="13" t="n"/>
      <c r="AM126" s="14" t="n"/>
      <c r="AN126" s="12" t="n"/>
      <c r="AO126" s="13" t="n"/>
      <c r="AP126" s="14" t="n"/>
      <c r="AQ126" s="12" t="n"/>
      <c r="AR126" s="13" t="n"/>
      <c r="AS126" s="14" t="n"/>
      <c r="AT126" s="12" t="n"/>
      <c r="AU126" s="13" t="n"/>
      <c r="AV126" s="14" t="n"/>
      <c r="AW126" s="12" t="n"/>
      <c r="AX126" s="13" t="n"/>
      <c r="AY126" s="14" t="n"/>
      <c r="AZ126" s="12" t="n"/>
      <c r="BA126" s="13" t="n"/>
      <c r="BB126" s="14" t="n"/>
      <c r="BC126" s="11">
        <f>IF(O126="","",IF(J126="GST 10%",ROUND(O126*set_GSTRate,2),0))</f>
        <v/>
      </c>
      <c r="BD126" s="11">
        <f>IF(O126="","",O126+BC126)</f>
        <v/>
      </c>
      <c r="BE126" s="15">
        <f>IF(O126="","",COUNTA(S126,V126,Y126,AB126,AE126,AH126,AK126,AN126,AQ126,AT126,AW126,AZ126))</f>
        <v/>
      </c>
      <c r="BF126" s="16">
        <f>IF(COUNT(T126,W126,Z126,AC126,AF126,AI126,AL126,AO126,AR126,AU126,AX126,BA126)=0,"",MAX(T126,W126,Z126,AC126,AF126,AI126,AL126,AO126,AR126,AU126,AX126,BA126))</f>
        <v/>
      </c>
      <c r="BG126" s="10">
        <f>MID(IF(S126="","",", "&amp;S126)&amp;IF(V126="","",", "&amp;V126)&amp;IF(Y126="","",", "&amp;Y126)&amp;IF(AB126="","",", "&amp;AB126)&amp;IF(AE126="","",", "&amp;AE126)&amp;IF(AH126="","",", "&amp;AH126)&amp;IF(AK126="","",", "&amp;AK126)&amp;IF(AN126="","",", "&amp;AN126)&amp;IF(AQ126="","",", "&amp;AQ126)&amp;IF(AT126="","",", "&amp;AT126)&amp;IF(AW126="","",", "&amp;AW126)&amp;IF(AZ126="","",", "&amp;AZ126),3,500)</f>
        <v/>
      </c>
      <c r="BH126" s="12" t="n"/>
      <c r="BI126" s="15">
        <f>IFERROR(MATCH($A126,IF($B126="Onsite",tbl_Onsite[Row ID],IF($B126="Production",tbl_Production[Row ID],tbl_Consulting[Row ID])),0),"")</f>
        <v/>
      </c>
    </row>
    <row r="127">
      <c r="A127" s="10" t="inlineStr">
        <is>
          <t>ONS-0121</t>
        </is>
      </c>
      <c r="B127" s="10" t="inlineStr">
        <is>
          <t>Onsite</t>
        </is>
      </c>
      <c r="C127" s="10">
        <f>IF($BI127="","",IF($B127="Onsite",INDEX(tbl_Onsite[Job Number],$BI127),IF($B127="Production",INDEX(tbl_Production[Job Number],$BI127),INDEX(tbl_Consulting[Job Number],$BI127)))&amp;"")</f>
        <v/>
      </c>
      <c r="D127" s="10">
        <f>IF($BI127="","",IF($B127="Onsite",INDEX(tbl_Onsite[Client],$BI127),IF($B127="Production",INDEX(tbl_Production[Client],$BI127),INDEX(tbl_Consulting[Client],$BI127)))&amp;"")</f>
        <v/>
      </c>
      <c r="E127" s="10">
        <f>IF($C127="","",IF(COUNTIF(lst_Jobs,$C127)&gt;0,"OK","CHECK"))</f>
        <v/>
      </c>
      <c r="F127" s="10">
        <f>IF($C127="","",IFERROR(INDEX(lst_JobName,MATCH($C127,lst_Jobs,0)),""))</f>
        <v/>
      </c>
      <c r="G127" s="10">
        <f>IF($BI127="","",IF($B127="Onsite",INDEX(tbl_Onsite[Job Description],$BI127),IF($B127="Production",INDEX(tbl_Production[Job Description],$BI127),INDEX(tbl_Consulting[Job Description],$BI127)))&amp;"")</f>
        <v/>
      </c>
      <c r="H127" s="10">
        <f>IF($BI127="","",IF($B127="Onsite",INDEX(tbl_Onsite[Cost Centre],$BI127),IF($B127="Production",INDEX(tbl_Production[Cost Centre],$BI127),INDEX(tbl_Consulting[Cost Centre],$BI127)))&amp;"")</f>
        <v/>
      </c>
      <c r="I127" s="10">
        <f>IF($BI127="","",IF($B127="Onsite",INDEX(tbl_Onsite[Invoice Type],$BI127),IF($B127="Production",INDEX(tbl_Production[Invoice Type],$BI127),INDEX(tbl_Consulting[Invoice Type],$BI127)))&amp;"")</f>
        <v/>
      </c>
      <c r="J127" s="10">
        <f>IF($BI127="","",IF($B127="Onsite",INDEX(tbl_Onsite[Tax Code],$BI127),IF($B127="Production",INDEX(tbl_Production[Tax Code],$BI127),INDEX(tbl_Consulting[Tax Code],$BI127)))&amp;"")</f>
        <v/>
      </c>
      <c r="K127" s="10">
        <f>IF(H127="","",IFERROR(INDEX(lst_CCtoGL,MATCH(H127,lst_CCforGL,0)),""))</f>
        <v/>
      </c>
      <c r="L127" s="10">
        <f>IF($BI127="","",IF($B127="Onsite",INDEX(tbl_Onsite[PO / Reference],$BI127),IF($B127="Production",INDEX(tbl_Production[Current RMS No],$BI127),INDEX(tbl_Consulting[Qwilr Quote],$BI127)))&amp;"")</f>
        <v/>
      </c>
      <c r="M127" s="10">
        <f>IF($BI127="","",IF($B127="Onsite",INDEX(tbl_Onsite[Notes],$BI127),IF($B127="Production",INDEX(tbl_Production[Notes],$BI127),INDEX(tbl_Consulting[Notes],$BI127)))&amp;"")</f>
        <v/>
      </c>
      <c r="N127" s="11">
        <f>IF($BI127="","",IF(IF($B127="Onsite",INDEX(tbl_Onsite[Expected Revenue Ex GST],$BI127),IF($B127="Production",INDEX(tbl_Production[Expected Revenue Ex GST],$BI127),INDEX(tbl_Consulting[Expected Revenue Ex GST],$BI127)))="","",IF($B127="Onsite",INDEX(tbl_Onsite[Expected Revenue Ex GST],$BI127),IF($B127="Production",INDEX(tbl_Production[Expected Revenue Ex GST],$BI127),INDEX(tbl_Consulting[Expected Revenue Ex GST],$BI127)))))</f>
        <v/>
      </c>
      <c r="O127" s="11">
        <f>IF(AND($C127="",NOT(COUNTA($S127:$BB127)&gt;0)),"",SUM(U127,X127,AA127,AD127,AG127,AJ127,AM127,AP127,AS127,AV127,AY127,BB127))</f>
        <v/>
      </c>
      <c r="P127" s="11">
        <f>IF(O127="","",N(N127)-O127)</f>
        <v/>
      </c>
      <c r="Q127" s="10">
        <f>IF(O127="","",IF($C127="","Invoice on empty job row",IF(N127="",IF(ROUND(O127,2)=0,"No dept value","Invoiced - no dept value"),IF(ROUND(O127,2)=0,"Not invoiced - to invoice",IF(ROUND(P127,2)=0,"Agrees",IF(P127&gt;0,"Dept higher - to invoice","Xero higher - check dept"))))))</f>
        <v/>
      </c>
      <c r="R127" s="10">
        <f>IF(AND($C127="",NOT(COUNTA($S127:$BB127)&gt;0),$BI127&lt;&gt;""),"",MID(IF($BI127="","; Row ID not found on the department sheet - a row was deleted","")&amp;IF(AND($C127="",COUNTA($S127:$BB127)&gt;0),"; Invoice entered but the department row has no job number","")&amp;IF(E127="CHECK","; Job number not in the Xero job list","")&amp;IF(AND($C127&lt;&gt;"",COUNTIF($C$7:$C$1506,$C127)&gt;1),"; Job number on more than one row","")&amp;IF(AND($C127&lt;&gt;"",H127=""),"; Dept has not set a cost centre","")&amp;IF(AND($C127&lt;&gt;"",J127=""),"; Dept has not set a tax code","")&amp;IF(AND($C127&lt;&gt;"",N127=""),"; Dept has not entered an expected value","")&amp;IF((IF(OR(COUNTA(S127:U127)=0,AND(COUNTA(S127:U127)=3,ISNUMBER(U127))),0,1)+IF(OR(COUNTA(V127:X127)=0,AND(COUNTA(V127:X127)=3,ISNUMBER(X127))),0,1)+IF(OR(COUNTA(Y127:AA127)=0,AND(COUNTA(Y127:AA127)=3,ISNUMBER(AA127))),0,1)+IF(OR(COUNTA(AB127:AD127)=0,AND(COUNTA(AB127:AD127)=3,ISNUMBER(AD127))),0,1)+IF(OR(COUNTA(AE127:AG127)=0,AND(COUNTA(AE127:AG127)=3,ISNUMBER(AG127))),0,1)+IF(OR(COUNTA(AH127:AJ127)=0,AND(COUNTA(AH127:AJ127)=3,ISNUMBER(AJ127))),0,1)+IF(OR(COUNTA(AK127:AM127)=0,AND(COUNTA(AK127:AM127)=3,ISNUMBER(AM127))),0,1)+IF(OR(COUNTA(AN127:AP127)=0,AND(COUNTA(AN127:AP127)=3,ISNUMBER(AP127))),0,1)+IF(OR(COUNTA(AQ127:AS127)=0,AND(COUNTA(AQ127:AS127)=3,ISNUMBER(AS127))),0,1)+IF(OR(COUNTA(AT127:AV127)=0,AND(COUNTA(AT127:AV127)=3,ISNUMBER(AV127))),0,1)+IF(OR(COUNTA(AW127:AY127)=0,AND(COUNTA(AW127:AY127)=3,ISNUMBER(AY127))),0,1)+IF(OR(COUNTA(AZ127:BB127)=0,AND(COUNTA(AZ127:BB127)=3,ISNUMBER(BB127))),0,1))&gt;0,"; An invoice is incomplete (needs No, Date and a number in Ex GST)","")&amp;IF((IF(T127="",0,IFERROR(--(EOMONTH(T127,0)&lt;&gt;S$5),1))+IF(W127="",0,IFERROR(--(EOMONTH(W127,0)&lt;&gt;V$5),1))+IF(Z127="",0,IFERROR(--(EOMONTH(Z127,0)&lt;&gt;Y$5),1))+IF(AC127="",0,IFERROR(--(EOMONTH(AC127,0)&lt;&gt;AB$5),1))+IF(AF127="",0,IFERROR(--(EOMONTH(AF127,0)&lt;&gt;AE$5),1))+IF(AI127="",0,IFERROR(--(EOMONTH(AI127,0)&lt;&gt;AH$5),1))+IF(AL127="",0,IFERROR(--(EOMONTH(AL127,0)&lt;&gt;AK$5),1))+IF(AO127="",0,IFERROR(--(EOMONTH(AO127,0)&lt;&gt;AN$5),1))+IF(AR127="",0,IFERROR(--(EOMONTH(AR127,0)&lt;&gt;AQ$5),1))+IF(AU127="",0,IFERROR(--(EOMONTH(AU127,0)&lt;&gt;AT$5),1))+IF(AX127="",0,IFERROR(--(EOMONTH(AX127,0)&lt;&gt;AW$5),1))+IF(BA127="",0,IFERROR(--(EOMONTH(BA127,0)&lt;&gt;AZ$5),1)))&gt;0,"; An invoice date is not in the month it is typed under",""),3,500))</f>
        <v/>
      </c>
      <c r="S127" s="12" t="n"/>
      <c r="T127" s="13" t="n"/>
      <c r="U127" s="14" t="n"/>
      <c r="V127" s="12" t="n"/>
      <c r="W127" s="13" t="n"/>
      <c r="X127" s="14" t="n"/>
      <c r="Y127" s="12" t="n"/>
      <c r="Z127" s="13" t="n"/>
      <c r="AA127" s="14" t="n"/>
      <c r="AB127" s="12" t="n"/>
      <c r="AC127" s="13" t="n"/>
      <c r="AD127" s="14" t="n"/>
      <c r="AE127" s="12" t="n"/>
      <c r="AF127" s="13" t="n"/>
      <c r="AG127" s="14" t="n"/>
      <c r="AH127" s="12" t="n"/>
      <c r="AI127" s="13" t="n"/>
      <c r="AJ127" s="14" t="n"/>
      <c r="AK127" s="12" t="n"/>
      <c r="AL127" s="13" t="n"/>
      <c r="AM127" s="14" t="n"/>
      <c r="AN127" s="12" t="n"/>
      <c r="AO127" s="13" t="n"/>
      <c r="AP127" s="14" t="n"/>
      <c r="AQ127" s="12" t="n"/>
      <c r="AR127" s="13" t="n"/>
      <c r="AS127" s="14" t="n"/>
      <c r="AT127" s="12" t="n"/>
      <c r="AU127" s="13" t="n"/>
      <c r="AV127" s="14" t="n"/>
      <c r="AW127" s="12" t="n"/>
      <c r="AX127" s="13" t="n"/>
      <c r="AY127" s="14" t="n"/>
      <c r="AZ127" s="12" t="n"/>
      <c r="BA127" s="13" t="n"/>
      <c r="BB127" s="14" t="n"/>
      <c r="BC127" s="11">
        <f>IF(O127="","",IF(J127="GST 10%",ROUND(O127*set_GSTRate,2),0))</f>
        <v/>
      </c>
      <c r="BD127" s="11">
        <f>IF(O127="","",O127+BC127)</f>
        <v/>
      </c>
      <c r="BE127" s="15">
        <f>IF(O127="","",COUNTA(S127,V127,Y127,AB127,AE127,AH127,AK127,AN127,AQ127,AT127,AW127,AZ127))</f>
        <v/>
      </c>
      <c r="BF127" s="16">
        <f>IF(COUNT(T127,W127,Z127,AC127,AF127,AI127,AL127,AO127,AR127,AU127,AX127,BA127)=0,"",MAX(T127,W127,Z127,AC127,AF127,AI127,AL127,AO127,AR127,AU127,AX127,BA127))</f>
        <v/>
      </c>
      <c r="BG127" s="10">
        <f>MID(IF(S127="","",", "&amp;S127)&amp;IF(V127="","",", "&amp;V127)&amp;IF(Y127="","",", "&amp;Y127)&amp;IF(AB127="","",", "&amp;AB127)&amp;IF(AE127="","",", "&amp;AE127)&amp;IF(AH127="","",", "&amp;AH127)&amp;IF(AK127="","",", "&amp;AK127)&amp;IF(AN127="","",", "&amp;AN127)&amp;IF(AQ127="","",", "&amp;AQ127)&amp;IF(AT127="","",", "&amp;AT127)&amp;IF(AW127="","",", "&amp;AW127)&amp;IF(AZ127="","",", "&amp;AZ127),3,500)</f>
        <v/>
      </c>
      <c r="BH127" s="12" t="n"/>
      <c r="BI127" s="15">
        <f>IFERROR(MATCH($A127,IF($B127="Onsite",tbl_Onsite[Row ID],IF($B127="Production",tbl_Production[Row ID],tbl_Consulting[Row ID])),0),"")</f>
        <v/>
      </c>
    </row>
    <row r="128">
      <c r="A128" s="10" t="inlineStr">
        <is>
          <t>ONS-0122</t>
        </is>
      </c>
      <c r="B128" s="10" t="inlineStr">
        <is>
          <t>Onsite</t>
        </is>
      </c>
      <c r="C128" s="10">
        <f>IF($BI128="","",IF($B128="Onsite",INDEX(tbl_Onsite[Job Number],$BI128),IF($B128="Production",INDEX(tbl_Production[Job Number],$BI128),INDEX(tbl_Consulting[Job Number],$BI128)))&amp;"")</f>
        <v/>
      </c>
      <c r="D128" s="10">
        <f>IF($BI128="","",IF($B128="Onsite",INDEX(tbl_Onsite[Client],$BI128),IF($B128="Production",INDEX(tbl_Production[Client],$BI128),INDEX(tbl_Consulting[Client],$BI128)))&amp;"")</f>
        <v/>
      </c>
      <c r="E128" s="10">
        <f>IF($C128="","",IF(COUNTIF(lst_Jobs,$C128)&gt;0,"OK","CHECK"))</f>
        <v/>
      </c>
      <c r="F128" s="10">
        <f>IF($C128="","",IFERROR(INDEX(lst_JobName,MATCH($C128,lst_Jobs,0)),""))</f>
        <v/>
      </c>
      <c r="G128" s="10">
        <f>IF($BI128="","",IF($B128="Onsite",INDEX(tbl_Onsite[Job Description],$BI128),IF($B128="Production",INDEX(tbl_Production[Job Description],$BI128),INDEX(tbl_Consulting[Job Description],$BI128)))&amp;"")</f>
        <v/>
      </c>
      <c r="H128" s="10">
        <f>IF($BI128="","",IF($B128="Onsite",INDEX(tbl_Onsite[Cost Centre],$BI128),IF($B128="Production",INDEX(tbl_Production[Cost Centre],$BI128),INDEX(tbl_Consulting[Cost Centre],$BI128)))&amp;"")</f>
        <v/>
      </c>
      <c r="I128" s="10">
        <f>IF($BI128="","",IF($B128="Onsite",INDEX(tbl_Onsite[Invoice Type],$BI128),IF($B128="Production",INDEX(tbl_Production[Invoice Type],$BI128),INDEX(tbl_Consulting[Invoice Type],$BI128)))&amp;"")</f>
        <v/>
      </c>
      <c r="J128" s="10">
        <f>IF($BI128="","",IF($B128="Onsite",INDEX(tbl_Onsite[Tax Code],$BI128),IF($B128="Production",INDEX(tbl_Production[Tax Code],$BI128),INDEX(tbl_Consulting[Tax Code],$BI128)))&amp;"")</f>
        <v/>
      </c>
      <c r="K128" s="10">
        <f>IF(H128="","",IFERROR(INDEX(lst_CCtoGL,MATCH(H128,lst_CCforGL,0)),""))</f>
        <v/>
      </c>
      <c r="L128" s="10">
        <f>IF($BI128="","",IF($B128="Onsite",INDEX(tbl_Onsite[PO / Reference],$BI128),IF($B128="Production",INDEX(tbl_Production[Current RMS No],$BI128),INDEX(tbl_Consulting[Qwilr Quote],$BI128)))&amp;"")</f>
        <v/>
      </c>
      <c r="M128" s="10">
        <f>IF($BI128="","",IF($B128="Onsite",INDEX(tbl_Onsite[Notes],$BI128),IF($B128="Production",INDEX(tbl_Production[Notes],$BI128),INDEX(tbl_Consulting[Notes],$BI128)))&amp;"")</f>
        <v/>
      </c>
      <c r="N128" s="11">
        <f>IF($BI128="","",IF(IF($B128="Onsite",INDEX(tbl_Onsite[Expected Revenue Ex GST],$BI128),IF($B128="Production",INDEX(tbl_Production[Expected Revenue Ex GST],$BI128),INDEX(tbl_Consulting[Expected Revenue Ex GST],$BI128)))="","",IF($B128="Onsite",INDEX(tbl_Onsite[Expected Revenue Ex GST],$BI128),IF($B128="Production",INDEX(tbl_Production[Expected Revenue Ex GST],$BI128),INDEX(tbl_Consulting[Expected Revenue Ex GST],$BI128)))))</f>
        <v/>
      </c>
      <c r="O128" s="11">
        <f>IF(AND($C128="",NOT(COUNTA($S128:$BB128)&gt;0)),"",SUM(U128,X128,AA128,AD128,AG128,AJ128,AM128,AP128,AS128,AV128,AY128,BB128))</f>
        <v/>
      </c>
      <c r="P128" s="11">
        <f>IF(O128="","",N(N128)-O128)</f>
        <v/>
      </c>
      <c r="Q128" s="10">
        <f>IF(O128="","",IF($C128="","Invoice on empty job row",IF(N128="",IF(ROUND(O128,2)=0,"No dept value","Invoiced - no dept value"),IF(ROUND(O128,2)=0,"Not invoiced - to invoice",IF(ROUND(P128,2)=0,"Agrees",IF(P128&gt;0,"Dept higher - to invoice","Xero higher - check dept"))))))</f>
        <v/>
      </c>
      <c r="R128" s="10">
        <f>IF(AND($C128="",NOT(COUNTA($S128:$BB128)&gt;0),$BI128&lt;&gt;""),"",MID(IF($BI128="","; Row ID not found on the department sheet - a row was deleted","")&amp;IF(AND($C128="",COUNTA($S128:$BB128)&gt;0),"; Invoice entered but the department row has no job number","")&amp;IF(E128="CHECK","; Job number not in the Xero job list","")&amp;IF(AND($C128&lt;&gt;"",COUNTIF($C$7:$C$1506,$C128)&gt;1),"; Job number on more than one row","")&amp;IF(AND($C128&lt;&gt;"",H128=""),"; Dept has not set a cost centre","")&amp;IF(AND($C128&lt;&gt;"",J128=""),"; Dept has not set a tax code","")&amp;IF(AND($C128&lt;&gt;"",N128=""),"; Dept has not entered an expected value","")&amp;IF((IF(OR(COUNTA(S128:U128)=0,AND(COUNTA(S128:U128)=3,ISNUMBER(U128))),0,1)+IF(OR(COUNTA(V128:X128)=0,AND(COUNTA(V128:X128)=3,ISNUMBER(X128))),0,1)+IF(OR(COUNTA(Y128:AA128)=0,AND(COUNTA(Y128:AA128)=3,ISNUMBER(AA128))),0,1)+IF(OR(COUNTA(AB128:AD128)=0,AND(COUNTA(AB128:AD128)=3,ISNUMBER(AD128))),0,1)+IF(OR(COUNTA(AE128:AG128)=0,AND(COUNTA(AE128:AG128)=3,ISNUMBER(AG128))),0,1)+IF(OR(COUNTA(AH128:AJ128)=0,AND(COUNTA(AH128:AJ128)=3,ISNUMBER(AJ128))),0,1)+IF(OR(COUNTA(AK128:AM128)=0,AND(COUNTA(AK128:AM128)=3,ISNUMBER(AM128))),0,1)+IF(OR(COUNTA(AN128:AP128)=0,AND(COUNTA(AN128:AP128)=3,ISNUMBER(AP128))),0,1)+IF(OR(COUNTA(AQ128:AS128)=0,AND(COUNTA(AQ128:AS128)=3,ISNUMBER(AS128))),0,1)+IF(OR(COUNTA(AT128:AV128)=0,AND(COUNTA(AT128:AV128)=3,ISNUMBER(AV128))),0,1)+IF(OR(COUNTA(AW128:AY128)=0,AND(COUNTA(AW128:AY128)=3,ISNUMBER(AY128))),0,1)+IF(OR(COUNTA(AZ128:BB128)=0,AND(COUNTA(AZ128:BB128)=3,ISNUMBER(BB128))),0,1))&gt;0,"; An invoice is incomplete (needs No, Date and a number in Ex GST)","")&amp;IF((IF(T128="",0,IFERROR(--(EOMONTH(T128,0)&lt;&gt;S$5),1))+IF(W128="",0,IFERROR(--(EOMONTH(W128,0)&lt;&gt;V$5),1))+IF(Z128="",0,IFERROR(--(EOMONTH(Z128,0)&lt;&gt;Y$5),1))+IF(AC128="",0,IFERROR(--(EOMONTH(AC128,0)&lt;&gt;AB$5),1))+IF(AF128="",0,IFERROR(--(EOMONTH(AF128,0)&lt;&gt;AE$5),1))+IF(AI128="",0,IFERROR(--(EOMONTH(AI128,0)&lt;&gt;AH$5),1))+IF(AL128="",0,IFERROR(--(EOMONTH(AL128,0)&lt;&gt;AK$5),1))+IF(AO128="",0,IFERROR(--(EOMONTH(AO128,0)&lt;&gt;AN$5),1))+IF(AR128="",0,IFERROR(--(EOMONTH(AR128,0)&lt;&gt;AQ$5),1))+IF(AU128="",0,IFERROR(--(EOMONTH(AU128,0)&lt;&gt;AT$5),1))+IF(AX128="",0,IFERROR(--(EOMONTH(AX128,0)&lt;&gt;AW$5),1))+IF(BA128="",0,IFERROR(--(EOMONTH(BA128,0)&lt;&gt;AZ$5),1)))&gt;0,"; An invoice date is not in the month it is typed under",""),3,500))</f>
        <v/>
      </c>
      <c r="S128" s="12" t="n"/>
      <c r="T128" s="13" t="n"/>
      <c r="U128" s="14" t="n"/>
      <c r="V128" s="12" t="n"/>
      <c r="W128" s="13" t="n"/>
      <c r="X128" s="14" t="n"/>
      <c r="Y128" s="12" t="n"/>
      <c r="Z128" s="13" t="n"/>
      <c r="AA128" s="14" t="n"/>
      <c r="AB128" s="12" t="n"/>
      <c r="AC128" s="13" t="n"/>
      <c r="AD128" s="14" t="n"/>
      <c r="AE128" s="12" t="n"/>
      <c r="AF128" s="13" t="n"/>
      <c r="AG128" s="14" t="n"/>
      <c r="AH128" s="12" t="n"/>
      <c r="AI128" s="13" t="n"/>
      <c r="AJ128" s="14" t="n"/>
      <c r="AK128" s="12" t="n"/>
      <c r="AL128" s="13" t="n"/>
      <c r="AM128" s="14" t="n"/>
      <c r="AN128" s="12" t="n"/>
      <c r="AO128" s="13" t="n"/>
      <c r="AP128" s="14" t="n"/>
      <c r="AQ128" s="12" t="n"/>
      <c r="AR128" s="13" t="n"/>
      <c r="AS128" s="14" t="n"/>
      <c r="AT128" s="12" t="n"/>
      <c r="AU128" s="13" t="n"/>
      <c r="AV128" s="14" t="n"/>
      <c r="AW128" s="12" t="n"/>
      <c r="AX128" s="13" t="n"/>
      <c r="AY128" s="14" t="n"/>
      <c r="AZ128" s="12" t="n"/>
      <c r="BA128" s="13" t="n"/>
      <c r="BB128" s="14" t="n"/>
      <c r="BC128" s="11">
        <f>IF(O128="","",IF(J128="GST 10%",ROUND(O128*set_GSTRate,2),0))</f>
        <v/>
      </c>
      <c r="BD128" s="11">
        <f>IF(O128="","",O128+BC128)</f>
        <v/>
      </c>
      <c r="BE128" s="15">
        <f>IF(O128="","",COUNTA(S128,V128,Y128,AB128,AE128,AH128,AK128,AN128,AQ128,AT128,AW128,AZ128))</f>
        <v/>
      </c>
      <c r="BF128" s="16">
        <f>IF(COUNT(T128,W128,Z128,AC128,AF128,AI128,AL128,AO128,AR128,AU128,AX128,BA128)=0,"",MAX(T128,W128,Z128,AC128,AF128,AI128,AL128,AO128,AR128,AU128,AX128,BA128))</f>
        <v/>
      </c>
      <c r="BG128" s="10">
        <f>MID(IF(S128="","",", "&amp;S128)&amp;IF(V128="","",", "&amp;V128)&amp;IF(Y128="","",", "&amp;Y128)&amp;IF(AB128="","",", "&amp;AB128)&amp;IF(AE128="","",", "&amp;AE128)&amp;IF(AH128="","",", "&amp;AH128)&amp;IF(AK128="","",", "&amp;AK128)&amp;IF(AN128="","",", "&amp;AN128)&amp;IF(AQ128="","",", "&amp;AQ128)&amp;IF(AT128="","",", "&amp;AT128)&amp;IF(AW128="","",", "&amp;AW128)&amp;IF(AZ128="","",", "&amp;AZ128),3,500)</f>
        <v/>
      </c>
      <c r="BH128" s="12" t="n"/>
      <c r="BI128" s="15">
        <f>IFERROR(MATCH($A128,IF($B128="Onsite",tbl_Onsite[Row ID],IF($B128="Production",tbl_Production[Row ID],tbl_Consulting[Row ID])),0),"")</f>
        <v/>
      </c>
    </row>
    <row r="129">
      <c r="A129" s="10" t="inlineStr">
        <is>
          <t>ONS-0123</t>
        </is>
      </c>
      <c r="B129" s="10" t="inlineStr">
        <is>
          <t>Onsite</t>
        </is>
      </c>
      <c r="C129" s="10">
        <f>IF($BI129="","",IF($B129="Onsite",INDEX(tbl_Onsite[Job Number],$BI129),IF($B129="Production",INDEX(tbl_Production[Job Number],$BI129),INDEX(tbl_Consulting[Job Number],$BI129)))&amp;"")</f>
        <v/>
      </c>
      <c r="D129" s="10">
        <f>IF($BI129="","",IF($B129="Onsite",INDEX(tbl_Onsite[Client],$BI129),IF($B129="Production",INDEX(tbl_Production[Client],$BI129),INDEX(tbl_Consulting[Client],$BI129)))&amp;"")</f>
        <v/>
      </c>
      <c r="E129" s="10">
        <f>IF($C129="","",IF(COUNTIF(lst_Jobs,$C129)&gt;0,"OK","CHECK"))</f>
        <v/>
      </c>
      <c r="F129" s="10">
        <f>IF($C129="","",IFERROR(INDEX(lst_JobName,MATCH($C129,lst_Jobs,0)),""))</f>
        <v/>
      </c>
      <c r="G129" s="10">
        <f>IF($BI129="","",IF($B129="Onsite",INDEX(tbl_Onsite[Job Description],$BI129),IF($B129="Production",INDEX(tbl_Production[Job Description],$BI129),INDEX(tbl_Consulting[Job Description],$BI129)))&amp;"")</f>
        <v/>
      </c>
      <c r="H129" s="10">
        <f>IF($BI129="","",IF($B129="Onsite",INDEX(tbl_Onsite[Cost Centre],$BI129),IF($B129="Production",INDEX(tbl_Production[Cost Centre],$BI129),INDEX(tbl_Consulting[Cost Centre],$BI129)))&amp;"")</f>
        <v/>
      </c>
      <c r="I129" s="10">
        <f>IF($BI129="","",IF($B129="Onsite",INDEX(tbl_Onsite[Invoice Type],$BI129),IF($B129="Production",INDEX(tbl_Production[Invoice Type],$BI129),INDEX(tbl_Consulting[Invoice Type],$BI129)))&amp;"")</f>
        <v/>
      </c>
      <c r="J129" s="10">
        <f>IF($BI129="","",IF($B129="Onsite",INDEX(tbl_Onsite[Tax Code],$BI129),IF($B129="Production",INDEX(tbl_Production[Tax Code],$BI129),INDEX(tbl_Consulting[Tax Code],$BI129)))&amp;"")</f>
        <v/>
      </c>
      <c r="K129" s="10">
        <f>IF(H129="","",IFERROR(INDEX(lst_CCtoGL,MATCH(H129,lst_CCforGL,0)),""))</f>
        <v/>
      </c>
      <c r="L129" s="10">
        <f>IF($BI129="","",IF($B129="Onsite",INDEX(tbl_Onsite[PO / Reference],$BI129),IF($B129="Production",INDEX(tbl_Production[Current RMS No],$BI129),INDEX(tbl_Consulting[Qwilr Quote],$BI129)))&amp;"")</f>
        <v/>
      </c>
      <c r="M129" s="10">
        <f>IF($BI129="","",IF($B129="Onsite",INDEX(tbl_Onsite[Notes],$BI129),IF($B129="Production",INDEX(tbl_Production[Notes],$BI129),INDEX(tbl_Consulting[Notes],$BI129)))&amp;"")</f>
        <v/>
      </c>
      <c r="N129" s="11">
        <f>IF($BI129="","",IF(IF($B129="Onsite",INDEX(tbl_Onsite[Expected Revenue Ex GST],$BI129),IF($B129="Production",INDEX(tbl_Production[Expected Revenue Ex GST],$BI129),INDEX(tbl_Consulting[Expected Revenue Ex GST],$BI129)))="","",IF($B129="Onsite",INDEX(tbl_Onsite[Expected Revenue Ex GST],$BI129),IF($B129="Production",INDEX(tbl_Production[Expected Revenue Ex GST],$BI129),INDEX(tbl_Consulting[Expected Revenue Ex GST],$BI129)))))</f>
        <v/>
      </c>
      <c r="O129" s="11">
        <f>IF(AND($C129="",NOT(COUNTA($S129:$BB129)&gt;0)),"",SUM(U129,X129,AA129,AD129,AG129,AJ129,AM129,AP129,AS129,AV129,AY129,BB129))</f>
        <v/>
      </c>
      <c r="P129" s="11">
        <f>IF(O129="","",N(N129)-O129)</f>
        <v/>
      </c>
      <c r="Q129" s="10">
        <f>IF(O129="","",IF($C129="","Invoice on empty job row",IF(N129="",IF(ROUND(O129,2)=0,"No dept value","Invoiced - no dept value"),IF(ROUND(O129,2)=0,"Not invoiced - to invoice",IF(ROUND(P129,2)=0,"Agrees",IF(P129&gt;0,"Dept higher - to invoice","Xero higher - check dept"))))))</f>
        <v/>
      </c>
      <c r="R129" s="10">
        <f>IF(AND($C129="",NOT(COUNTA($S129:$BB129)&gt;0),$BI129&lt;&gt;""),"",MID(IF($BI129="","; Row ID not found on the department sheet - a row was deleted","")&amp;IF(AND($C129="",COUNTA($S129:$BB129)&gt;0),"; Invoice entered but the department row has no job number","")&amp;IF(E129="CHECK","; Job number not in the Xero job list","")&amp;IF(AND($C129&lt;&gt;"",COUNTIF($C$7:$C$1506,$C129)&gt;1),"; Job number on more than one row","")&amp;IF(AND($C129&lt;&gt;"",H129=""),"; Dept has not set a cost centre","")&amp;IF(AND($C129&lt;&gt;"",J129=""),"; Dept has not set a tax code","")&amp;IF(AND($C129&lt;&gt;"",N129=""),"; Dept has not entered an expected value","")&amp;IF((IF(OR(COUNTA(S129:U129)=0,AND(COUNTA(S129:U129)=3,ISNUMBER(U129))),0,1)+IF(OR(COUNTA(V129:X129)=0,AND(COUNTA(V129:X129)=3,ISNUMBER(X129))),0,1)+IF(OR(COUNTA(Y129:AA129)=0,AND(COUNTA(Y129:AA129)=3,ISNUMBER(AA129))),0,1)+IF(OR(COUNTA(AB129:AD129)=0,AND(COUNTA(AB129:AD129)=3,ISNUMBER(AD129))),0,1)+IF(OR(COUNTA(AE129:AG129)=0,AND(COUNTA(AE129:AG129)=3,ISNUMBER(AG129))),0,1)+IF(OR(COUNTA(AH129:AJ129)=0,AND(COUNTA(AH129:AJ129)=3,ISNUMBER(AJ129))),0,1)+IF(OR(COUNTA(AK129:AM129)=0,AND(COUNTA(AK129:AM129)=3,ISNUMBER(AM129))),0,1)+IF(OR(COUNTA(AN129:AP129)=0,AND(COUNTA(AN129:AP129)=3,ISNUMBER(AP129))),0,1)+IF(OR(COUNTA(AQ129:AS129)=0,AND(COUNTA(AQ129:AS129)=3,ISNUMBER(AS129))),0,1)+IF(OR(COUNTA(AT129:AV129)=0,AND(COUNTA(AT129:AV129)=3,ISNUMBER(AV129))),0,1)+IF(OR(COUNTA(AW129:AY129)=0,AND(COUNTA(AW129:AY129)=3,ISNUMBER(AY129))),0,1)+IF(OR(COUNTA(AZ129:BB129)=0,AND(COUNTA(AZ129:BB129)=3,ISNUMBER(BB129))),0,1))&gt;0,"; An invoice is incomplete (needs No, Date and a number in Ex GST)","")&amp;IF((IF(T129="",0,IFERROR(--(EOMONTH(T129,0)&lt;&gt;S$5),1))+IF(W129="",0,IFERROR(--(EOMONTH(W129,0)&lt;&gt;V$5),1))+IF(Z129="",0,IFERROR(--(EOMONTH(Z129,0)&lt;&gt;Y$5),1))+IF(AC129="",0,IFERROR(--(EOMONTH(AC129,0)&lt;&gt;AB$5),1))+IF(AF129="",0,IFERROR(--(EOMONTH(AF129,0)&lt;&gt;AE$5),1))+IF(AI129="",0,IFERROR(--(EOMONTH(AI129,0)&lt;&gt;AH$5),1))+IF(AL129="",0,IFERROR(--(EOMONTH(AL129,0)&lt;&gt;AK$5),1))+IF(AO129="",0,IFERROR(--(EOMONTH(AO129,0)&lt;&gt;AN$5),1))+IF(AR129="",0,IFERROR(--(EOMONTH(AR129,0)&lt;&gt;AQ$5),1))+IF(AU129="",0,IFERROR(--(EOMONTH(AU129,0)&lt;&gt;AT$5),1))+IF(AX129="",0,IFERROR(--(EOMONTH(AX129,0)&lt;&gt;AW$5),1))+IF(BA129="",0,IFERROR(--(EOMONTH(BA129,0)&lt;&gt;AZ$5),1)))&gt;0,"; An invoice date is not in the month it is typed under",""),3,500))</f>
        <v/>
      </c>
      <c r="S129" s="12" t="n"/>
      <c r="T129" s="13" t="n"/>
      <c r="U129" s="14" t="n"/>
      <c r="V129" s="12" t="n"/>
      <c r="W129" s="13" t="n"/>
      <c r="X129" s="14" t="n"/>
      <c r="Y129" s="12" t="n"/>
      <c r="Z129" s="13" t="n"/>
      <c r="AA129" s="14" t="n"/>
      <c r="AB129" s="12" t="n"/>
      <c r="AC129" s="13" t="n"/>
      <c r="AD129" s="14" t="n"/>
      <c r="AE129" s="12" t="n"/>
      <c r="AF129" s="13" t="n"/>
      <c r="AG129" s="14" t="n"/>
      <c r="AH129" s="12" t="n"/>
      <c r="AI129" s="13" t="n"/>
      <c r="AJ129" s="14" t="n"/>
      <c r="AK129" s="12" t="n"/>
      <c r="AL129" s="13" t="n"/>
      <c r="AM129" s="14" t="n"/>
      <c r="AN129" s="12" t="n"/>
      <c r="AO129" s="13" t="n"/>
      <c r="AP129" s="14" t="n"/>
      <c r="AQ129" s="12" t="n"/>
      <c r="AR129" s="13" t="n"/>
      <c r="AS129" s="14" t="n"/>
      <c r="AT129" s="12" t="n"/>
      <c r="AU129" s="13" t="n"/>
      <c r="AV129" s="14" t="n"/>
      <c r="AW129" s="12" t="n"/>
      <c r="AX129" s="13" t="n"/>
      <c r="AY129" s="14" t="n"/>
      <c r="AZ129" s="12" t="n"/>
      <c r="BA129" s="13" t="n"/>
      <c r="BB129" s="14" t="n"/>
      <c r="BC129" s="11">
        <f>IF(O129="","",IF(J129="GST 10%",ROUND(O129*set_GSTRate,2),0))</f>
        <v/>
      </c>
      <c r="BD129" s="11">
        <f>IF(O129="","",O129+BC129)</f>
        <v/>
      </c>
      <c r="BE129" s="15">
        <f>IF(O129="","",COUNTA(S129,V129,Y129,AB129,AE129,AH129,AK129,AN129,AQ129,AT129,AW129,AZ129))</f>
        <v/>
      </c>
      <c r="BF129" s="16">
        <f>IF(COUNT(T129,W129,Z129,AC129,AF129,AI129,AL129,AO129,AR129,AU129,AX129,BA129)=0,"",MAX(T129,W129,Z129,AC129,AF129,AI129,AL129,AO129,AR129,AU129,AX129,BA129))</f>
        <v/>
      </c>
      <c r="BG129" s="10">
        <f>MID(IF(S129="","",", "&amp;S129)&amp;IF(V129="","",", "&amp;V129)&amp;IF(Y129="","",", "&amp;Y129)&amp;IF(AB129="","",", "&amp;AB129)&amp;IF(AE129="","",", "&amp;AE129)&amp;IF(AH129="","",", "&amp;AH129)&amp;IF(AK129="","",", "&amp;AK129)&amp;IF(AN129="","",", "&amp;AN129)&amp;IF(AQ129="","",", "&amp;AQ129)&amp;IF(AT129="","",", "&amp;AT129)&amp;IF(AW129="","",", "&amp;AW129)&amp;IF(AZ129="","",", "&amp;AZ129),3,500)</f>
        <v/>
      </c>
      <c r="BH129" s="12" t="n"/>
      <c r="BI129" s="15">
        <f>IFERROR(MATCH($A129,IF($B129="Onsite",tbl_Onsite[Row ID],IF($B129="Production",tbl_Production[Row ID],tbl_Consulting[Row ID])),0),"")</f>
        <v/>
      </c>
    </row>
    <row r="130">
      <c r="A130" s="10" t="inlineStr">
        <is>
          <t>ONS-0124</t>
        </is>
      </c>
      <c r="B130" s="10" t="inlineStr">
        <is>
          <t>Onsite</t>
        </is>
      </c>
      <c r="C130" s="10">
        <f>IF($BI130="","",IF($B130="Onsite",INDEX(tbl_Onsite[Job Number],$BI130),IF($B130="Production",INDEX(tbl_Production[Job Number],$BI130),INDEX(tbl_Consulting[Job Number],$BI130)))&amp;"")</f>
        <v/>
      </c>
      <c r="D130" s="10">
        <f>IF($BI130="","",IF($B130="Onsite",INDEX(tbl_Onsite[Client],$BI130),IF($B130="Production",INDEX(tbl_Production[Client],$BI130),INDEX(tbl_Consulting[Client],$BI130)))&amp;"")</f>
        <v/>
      </c>
      <c r="E130" s="10">
        <f>IF($C130="","",IF(COUNTIF(lst_Jobs,$C130)&gt;0,"OK","CHECK"))</f>
        <v/>
      </c>
      <c r="F130" s="10">
        <f>IF($C130="","",IFERROR(INDEX(lst_JobName,MATCH($C130,lst_Jobs,0)),""))</f>
        <v/>
      </c>
      <c r="G130" s="10">
        <f>IF($BI130="","",IF($B130="Onsite",INDEX(tbl_Onsite[Job Description],$BI130),IF($B130="Production",INDEX(tbl_Production[Job Description],$BI130),INDEX(tbl_Consulting[Job Description],$BI130)))&amp;"")</f>
        <v/>
      </c>
      <c r="H130" s="10">
        <f>IF($BI130="","",IF($B130="Onsite",INDEX(tbl_Onsite[Cost Centre],$BI130),IF($B130="Production",INDEX(tbl_Production[Cost Centre],$BI130),INDEX(tbl_Consulting[Cost Centre],$BI130)))&amp;"")</f>
        <v/>
      </c>
      <c r="I130" s="10">
        <f>IF($BI130="","",IF($B130="Onsite",INDEX(tbl_Onsite[Invoice Type],$BI130),IF($B130="Production",INDEX(tbl_Production[Invoice Type],$BI130),INDEX(tbl_Consulting[Invoice Type],$BI130)))&amp;"")</f>
        <v/>
      </c>
      <c r="J130" s="10">
        <f>IF($BI130="","",IF($B130="Onsite",INDEX(tbl_Onsite[Tax Code],$BI130),IF($B130="Production",INDEX(tbl_Production[Tax Code],$BI130),INDEX(tbl_Consulting[Tax Code],$BI130)))&amp;"")</f>
        <v/>
      </c>
      <c r="K130" s="10">
        <f>IF(H130="","",IFERROR(INDEX(lst_CCtoGL,MATCH(H130,lst_CCforGL,0)),""))</f>
        <v/>
      </c>
      <c r="L130" s="10">
        <f>IF($BI130="","",IF($B130="Onsite",INDEX(tbl_Onsite[PO / Reference],$BI130),IF($B130="Production",INDEX(tbl_Production[Current RMS No],$BI130),INDEX(tbl_Consulting[Qwilr Quote],$BI130)))&amp;"")</f>
        <v/>
      </c>
      <c r="M130" s="10">
        <f>IF($BI130="","",IF($B130="Onsite",INDEX(tbl_Onsite[Notes],$BI130),IF($B130="Production",INDEX(tbl_Production[Notes],$BI130),INDEX(tbl_Consulting[Notes],$BI130)))&amp;"")</f>
        <v/>
      </c>
      <c r="N130" s="11">
        <f>IF($BI130="","",IF(IF($B130="Onsite",INDEX(tbl_Onsite[Expected Revenue Ex GST],$BI130),IF($B130="Production",INDEX(tbl_Production[Expected Revenue Ex GST],$BI130),INDEX(tbl_Consulting[Expected Revenue Ex GST],$BI130)))="","",IF($B130="Onsite",INDEX(tbl_Onsite[Expected Revenue Ex GST],$BI130),IF($B130="Production",INDEX(tbl_Production[Expected Revenue Ex GST],$BI130),INDEX(tbl_Consulting[Expected Revenue Ex GST],$BI130)))))</f>
        <v/>
      </c>
      <c r="O130" s="11">
        <f>IF(AND($C130="",NOT(COUNTA($S130:$BB130)&gt;0)),"",SUM(U130,X130,AA130,AD130,AG130,AJ130,AM130,AP130,AS130,AV130,AY130,BB130))</f>
        <v/>
      </c>
      <c r="P130" s="11">
        <f>IF(O130="","",N(N130)-O130)</f>
        <v/>
      </c>
      <c r="Q130" s="10">
        <f>IF(O130="","",IF($C130="","Invoice on empty job row",IF(N130="",IF(ROUND(O130,2)=0,"No dept value","Invoiced - no dept value"),IF(ROUND(O130,2)=0,"Not invoiced - to invoice",IF(ROUND(P130,2)=0,"Agrees",IF(P130&gt;0,"Dept higher - to invoice","Xero higher - check dept"))))))</f>
        <v/>
      </c>
      <c r="R130" s="10">
        <f>IF(AND($C130="",NOT(COUNTA($S130:$BB130)&gt;0),$BI130&lt;&gt;""),"",MID(IF($BI130="","; Row ID not found on the department sheet - a row was deleted","")&amp;IF(AND($C130="",COUNTA($S130:$BB130)&gt;0),"; Invoice entered but the department row has no job number","")&amp;IF(E130="CHECK","; Job number not in the Xero job list","")&amp;IF(AND($C130&lt;&gt;"",COUNTIF($C$7:$C$1506,$C130)&gt;1),"; Job number on more than one row","")&amp;IF(AND($C130&lt;&gt;"",H130=""),"; Dept has not set a cost centre","")&amp;IF(AND($C130&lt;&gt;"",J130=""),"; Dept has not set a tax code","")&amp;IF(AND($C130&lt;&gt;"",N130=""),"; Dept has not entered an expected value","")&amp;IF((IF(OR(COUNTA(S130:U130)=0,AND(COUNTA(S130:U130)=3,ISNUMBER(U130))),0,1)+IF(OR(COUNTA(V130:X130)=0,AND(COUNTA(V130:X130)=3,ISNUMBER(X130))),0,1)+IF(OR(COUNTA(Y130:AA130)=0,AND(COUNTA(Y130:AA130)=3,ISNUMBER(AA130))),0,1)+IF(OR(COUNTA(AB130:AD130)=0,AND(COUNTA(AB130:AD130)=3,ISNUMBER(AD130))),0,1)+IF(OR(COUNTA(AE130:AG130)=0,AND(COUNTA(AE130:AG130)=3,ISNUMBER(AG130))),0,1)+IF(OR(COUNTA(AH130:AJ130)=0,AND(COUNTA(AH130:AJ130)=3,ISNUMBER(AJ130))),0,1)+IF(OR(COUNTA(AK130:AM130)=0,AND(COUNTA(AK130:AM130)=3,ISNUMBER(AM130))),0,1)+IF(OR(COUNTA(AN130:AP130)=0,AND(COUNTA(AN130:AP130)=3,ISNUMBER(AP130))),0,1)+IF(OR(COUNTA(AQ130:AS130)=0,AND(COUNTA(AQ130:AS130)=3,ISNUMBER(AS130))),0,1)+IF(OR(COUNTA(AT130:AV130)=0,AND(COUNTA(AT130:AV130)=3,ISNUMBER(AV130))),0,1)+IF(OR(COUNTA(AW130:AY130)=0,AND(COUNTA(AW130:AY130)=3,ISNUMBER(AY130))),0,1)+IF(OR(COUNTA(AZ130:BB130)=0,AND(COUNTA(AZ130:BB130)=3,ISNUMBER(BB130))),0,1))&gt;0,"; An invoice is incomplete (needs No, Date and a number in Ex GST)","")&amp;IF((IF(T130="",0,IFERROR(--(EOMONTH(T130,0)&lt;&gt;S$5),1))+IF(W130="",0,IFERROR(--(EOMONTH(W130,0)&lt;&gt;V$5),1))+IF(Z130="",0,IFERROR(--(EOMONTH(Z130,0)&lt;&gt;Y$5),1))+IF(AC130="",0,IFERROR(--(EOMONTH(AC130,0)&lt;&gt;AB$5),1))+IF(AF130="",0,IFERROR(--(EOMONTH(AF130,0)&lt;&gt;AE$5),1))+IF(AI130="",0,IFERROR(--(EOMONTH(AI130,0)&lt;&gt;AH$5),1))+IF(AL130="",0,IFERROR(--(EOMONTH(AL130,0)&lt;&gt;AK$5),1))+IF(AO130="",0,IFERROR(--(EOMONTH(AO130,0)&lt;&gt;AN$5),1))+IF(AR130="",0,IFERROR(--(EOMONTH(AR130,0)&lt;&gt;AQ$5),1))+IF(AU130="",0,IFERROR(--(EOMONTH(AU130,0)&lt;&gt;AT$5),1))+IF(AX130="",0,IFERROR(--(EOMONTH(AX130,0)&lt;&gt;AW$5),1))+IF(BA130="",0,IFERROR(--(EOMONTH(BA130,0)&lt;&gt;AZ$5),1)))&gt;0,"; An invoice date is not in the month it is typed under",""),3,500))</f>
        <v/>
      </c>
      <c r="S130" s="12" t="n"/>
      <c r="T130" s="13" t="n"/>
      <c r="U130" s="14" t="n"/>
      <c r="V130" s="12" t="n"/>
      <c r="W130" s="13" t="n"/>
      <c r="X130" s="14" t="n"/>
      <c r="Y130" s="12" t="n"/>
      <c r="Z130" s="13" t="n"/>
      <c r="AA130" s="14" t="n"/>
      <c r="AB130" s="12" t="n"/>
      <c r="AC130" s="13" t="n"/>
      <c r="AD130" s="14" t="n"/>
      <c r="AE130" s="12" t="n"/>
      <c r="AF130" s="13" t="n"/>
      <c r="AG130" s="14" t="n"/>
      <c r="AH130" s="12" t="n"/>
      <c r="AI130" s="13" t="n"/>
      <c r="AJ130" s="14" t="n"/>
      <c r="AK130" s="12" t="n"/>
      <c r="AL130" s="13" t="n"/>
      <c r="AM130" s="14" t="n"/>
      <c r="AN130" s="12" t="n"/>
      <c r="AO130" s="13" t="n"/>
      <c r="AP130" s="14" t="n"/>
      <c r="AQ130" s="12" t="n"/>
      <c r="AR130" s="13" t="n"/>
      <c r="AS130" s="14" t="n"/>
      <c r="AT130" s="12" t="n"/>
      <c r="AU130" s="13" t="n"/>
      <c r="AV130" s="14" t="n"/>
      <c r="AW130" s="12" t="n"/>
      <c r="AX130" s="13" t="n"/>
      <c r="AY130" s="14" t="n"/>
      <c r="AZ130" s="12" t="n"/>
      <c r="BA130" s="13" t="n"/>
      <c r="BB130" s="14" t="n"/>
      <c r="BC130" s="11">
        <f>IF(O130="","",IF(J130="GST 10%",ROUND(O130*set_GSTRate,2),0))</f>
        <v/>
      </c>
      <c r="BD130" s="11">
        <f>IF(O130="","",O130+BC130)</f>
        <v/>
      </c>
      <c r="BE130" s="15">
        <f>IF(O130="","",COUNTA(S130,V130,Y130,AB130,AE130,AH130,AK130,AN130,AQ130,AT130,AW130,AZ130))</f>
        <v/>
      </c>
      <c r="BF130" s="16">
        <f>IF(COUNT(T130,W130,Z130,AC130,AF130,AI130,AL130,AO130,AR130,AU130,AX130,BA130)=0,"",MAX(T130,W130,Z130,AC130,AF130,AI130,AL130,AO130,AR130,AU130,AX130,BA130))</f>
        <v/>
      </c>
      <c r="BG130" s="10">
        <f>MID(IF(S130="","",", "&amp;S130)&amp;IF(V130="","",", "&amp;V130)&amp;IF(Y130="","",", "&amp;Y130)&amp;IF(AB130="","",", "&amp;AB130)&amp;IF(AE130="","",", "&amp;AE130)&amp;IF(AH130="","",", "&amp;AH130)&amp;IF(AK130="","",", "&amp;AK130)&amp;IF(AN130="","",", "&amp;AN130)&amp;IF(AQ130="","",", "&amp;AQ130)&amp;IF(AT130="","",", "&amp;AT130)&amp;IF(AW130="","",", "&amp;AW130)&amp;IF(AZ130="","",", "&amp;AZ130),3,500)</f>
        <v/>
      </c>
      <c r="BH130" s="12" t="n"/>
      <c r="BI130" s="15">
        <f>IFERROR(MATCH($A130,IF($B130="Onsite",tbl_Onsite[Row ID],IF($B130="Production",tbl_Production[Row ID],tbl_Consulting[Row ID])),0),"")</f>
        <v/>
      </c>
    </row>
    <row r="131">
      <c r="A131" s="10" t="inlineStr">
        <is>
          <t>ONS-0125</t>
        </is>
      </c>
      <c r="B131" s="10" t="inlineStr">
        <is>
          <t>Onsite</t>
        </is>
      </c>
      <c r="C131" s="10">
        <f>IF($BI131="","",IF($B131="Onsite",INDEX(tbl_Onsite[Job Number],$BI131),IF($B131="Production",INDEX(tbl_Production[Job Number],$BI131),INDEX(tbl_Consulting[Job Number],$BI131)))&amp;"")</f>
        <v/>
      </c>
      <c r="D131" s="10">
        <f>IF($BI131="","",IF($B131="Onsite",INDEX(tbl_Onsite[Client],$BI131),IF($B131="Production",INDEX(tbl_Production[Client],$BI131),INDEX(tbl_Consulting[Client],$BI131)))&amp;"")</f>
        <v/>
      </c>
      <c r="E131" s="10">
        <f>IF($C131="","",IF(COUNTIF(lst_Jobs,$C131)&gt;0,"OK","CHECK"))</f>
        <v/>
      </c>
      <c r="F131" s="10">
        <f>IF($C131="","",IFERROR(INDEX(lst_JobName,MATCH($C131,lst_Jobs,0)),""))</f>
        <v/>
      </c>
      <c r="G131" s="10">
        <f>IF($BI131="","",IF($B131="Onsite",INDEX(tbl_Onsite[Job Description],$BI131),IF($B131="Production",INDEX(tbl_Production[Job Description],$BI131),INDEX(tbl_Consulting[Job Description],$BI131)))&amp;"")</f>
        <v/>
      </c>
      <c r="H131" s="10">
        <f>IF($BI131="","",IF($B131="Onsite",INDEX(tbl_Onsite[Cost Centre],$BI131),IF($B131="Production",INDEX(tbl_Production[Cost Centre],$BI131),INDEX(tbl_Consulting[Cost Centre],$BI131)))&amp;"")</f>
        <v/>
      </c>
      <c r="I131" s="10">
        <f>IF($BI131="","",IF($B131="Onsite",INDEX(tbl_Onsite[Invoice Type],$BI131),IF($B131="Production",INDEX(tbl_Production[Invoice Type],$BI131),INDEX(tbl_Consulting[Invoice Type],$BI131)))&amp;"")</f>
        <v/>
      </c>
      <c r="J131" s="10">
        <f>IF($BI131="","",IF($B131="Onsite",INDEX(tbl_Onsite[Tax Code],$BI131),IF($B131="Production",INDEX(tbl_Production[Tax Code],$BI131),INDEX(tbl_Consulting[Tax Code],$BI131)))&amp;"")</f>
        <v/>
      </c>
      <c r="K131" s="10">
        <f>IF(H131="","",IFERROR(INDEX(lst_CCtoGL,MATCH(H131,lst_CCforGL,0)),""))</f>
        <v/>
      </c>
      <c r="L131" s="10">
        <f>IF($BI131="","",IF($B131="Onsite",INDEX(tbl_Onsite[PO / Reference],$BI131),IF($B131="Production",INDEX(tbl_Production[Current RMS No],$BI131),INDEX(tbl_Consulting[Qwilr Quote],$BI131)))&amp;"")</f>
        <v/>
      </c>
      <c r="M131" s="10">
        <f>IF($BI131="","",IF($B131="Onsite",INDEX(tbl_Onsite[Notes],$BI131),IF($B131="Production",INDEX(tbl_Production[Notes],$BI131),INDEX(tbl_Consulting[Notes],$BI131)))&amp;"")</f>
        <v/>
      </c>
      <c r="N131" s="11">
        <f>IF($BI131="","",IF(IF($B131="Onsite",INDEX(tbl_Onsite[Expected Revenue Ex GST],$BI131),IF($B131="Production",INDEX(tbl_Production[Expected Revenue Ex GST],$BI131),INDEX(tbl_Consulting[Expected Revenue Ex GST],$BI131)))="","",IF($B131="Onsite",INDEX(tbl_Onsite[Expected Revenue Ex GST],$BI131),IF($B131="Production",INDEX(tbl_Production[Expected Revenue Ex GST],$BI131),INDEX(tbl_Consulting[Expected Revenue Ex GST],$BI131)))))</f>
        <v/>
      </c>
      <c r="O131" s="11">
        <f>IF(AND($C131="",NOT(COUNTA($S131:$BB131)&gt;0)),"",SUM(U131,X131,AA131,AD131,AG131,AJ131,AM131,AP131,AS131,AV131,AY131,BB131))</f>
        <v/>
      </c>
      <c r="P131" s="11">
        <f>IF(O131="","",N(N131)-O131)</f>
        <v/>
      </c>
      <c r="Q131" s="10">
        <f>IF(O131="","",IF($C131="","Invoice on empty job row",IF(N131="",IF(ROUND(O131,2)=0,"No dept value","Invoiced - no dept value"),IF(ROUND(O131,2)=0,"Not invoiced - to invoice",IF(ROUND(P131,2)=0,"Agrees",IF(P131&gt;0,"Dept higher - to invoice","Xero higher - check dept"))))))</f>
        <v/>
      </c>
      <c r="R131" s="10">
        <f>IF(AND($C131="",NOT(COUNTA($S131:$BB131)&gt;0),$BI131&lt;&gt;""),"",MID(IF($BI131="","; Row ID not found on the department sheet - a row was deleted","")&amp;IF(AND($C131="",COUNTA($S131:$BB131)&gt;0),"; Invoice entered but the department row has no job number","")&amp;IF(E131="CHECK","; Job number not in the Xero job list","")&amp;IF(AND($C131&lt;&gt;"",COUNTIF($C$7:$C$1506,$C131)&gt;1),"; Job number on more than one row","")&amp;IF(AND($C131&lt;&gt;"",H131=""),"; Dept has not set a cost centre","")&amp;IF(AND($C131&lt;&gt;"",J131=""),"; Dept has not set a tax code","")&amp;IF(AND($C131&lt;&gt;"",N131=""),"; Dept has not entered an expected value","")&amp;IF((IF(OR(COUNTA(S131:U131)=0,AND(COUNTA(S131:U131)=3,ISNUMBER(U131))),0,1)+IF(OR(COUNTA(V131:X131)=0,AND(COUNTA(V131:X131)=3,ISNUMBER(X131))),0,1)+IF(OR(COUNTA(Y131:AA131)=0,AND(COUNTA(Y131:AA131)=3,ISNUMBER(AA131))),0,1)+IF(OR(COUNTA(AB131:AD131)=0,AND(COUNTA(AB131:AD131)=3,ISNUMBER(AD131))),0,1)+IF(OR(COUNTA(AE131:AG131)=0,AND(COUNTA(AE131:AG131)=3,ISNUMBER(AG131))),0,1)+IF(OR(COUNTA(AH131:AJ131)=0,AND(COUNTA(AH131:AJ131)=3,ISNUMBER(AJ131))),0,1)+IF(OR(COUNTA(AK131:AM131)=0,AND(COUNTA(AK131:AM131)=3,ISNUMBER(AM131))),0,1)+IF(OR(COUNTA(AN131:AP131)=0,AND(COUNTA(AN131:AP131)=3,ISNUMBER(AP131))),0,1)+IF(OR(COUNTA(AQ131:AS131)=0,AND(COUNTA(AQ131:AS131)=3,ISNUMBER(AS131))),0,1)+IF(OR(COUNTA(AT131:AV131)=0,AND(COUNTA(AT131:AV131)=3,ISNUMBER(AV131))),0,1)+IF(OR(COUNTA(AW131:AY131)=0,AND(COUNTA(AW131:AY131)=3,ISNUMBER(AY131))),0,1)+IF(OR(COUNTA(AZ131:BB131)=0,AND(COUNTA(AZ131:BB131)=3,ISNUMBER(BB131))),0,1))&gt;0,"; An invoice is incomplete (needs No, Date and a number in Ex GST)","")&amp;IF((IF(T131="",0,IFERROR(--(EOMONTH(T131,0)&lt;&gt;S$5),1))+IF(W131="",0,IFERROR(--(EOMONTH(W131,0)&lt;&gt;V$5),1))+IF(Z131="",0,IFERROR(--(EOMONTH(Z131,0)&lt;&gt;Y$5),1))+IF(AC131="",0,IFERROR(--(EOMONTH(AC131,0)&lt;&gt;AB$5),1))+IF(AF131="",0,IFERROR(--(EOMONTH(AF131,0)&lt;&gt;AE$5),1))+IF(AI131="",0,IFERROR(--(EOMONTH(AI131,0)&lt;&gt;AH$5),1))+IF(AL131="",0,IFERROR(--(EOMONTH(AL131,0)&lt;&gt;AK$5),1))+IF(AO131="",0,IFERROR(--(EOMONTH(AO131,0)&lt;&gt;AN$5),1))+IF(AR131="",0,IFERROR(--(EOMONTH(AR131,0)&lt;&gt;AQ$5),1))+IF(AU131="",0,IFERROR(--(EOMONTH(AU131,0)&lt;&gt;AT$5),1))+IF(AX131="",0,IFERROR(--(EOMONTH(AX131,0)&lt;&gt;AW$5),1))+IF(BA131="",0,IFERROR(--(EOMONTH(BA131,0)&lt;&gt;AZ$5),1)))&gt;0,"; An invoice date is not in the month it is typed under",""),3,500))</f>
        <v/>
      </c>
      <c r="S131" s="12" t="n"/>
      <c r="T131" s="13" t="n"/>
      <c r="U131" s="14" t="n"/>
      <c r="V131" s="12" t="n"/>
      <c r="W131" s="13" t="n"/>
      <c r="X131" s="14" t="n"/>
      <c r="Y131" s="12" t="n"/>
      <c r="Z131" s="13" t="n"/>
      <c r="AA131" s="14" t="n"/>
      <c r="AB131" s="12" t="n"/>
      <c r="AC131" s="13" t="n"/>
      <c r="AD131" s="14" t="n"/>
      <c r="AE131" s="12" t="n"/>
      <c r="AF131" s="13" t="n"/>
      <c r="AG131" s="14" t="n"/>
      <c r="AH131" s="12" t="n"/>
      <c r="AI131" s="13" t="n"/>
      <c r="AJ131" s="14" t="n"/>
      <c r="AK131" s="12" t="n"/>
      <c r="AL131" s="13" t="n"/>
      <c r="AM131" s="14" t="n"/>
      <c r="AN131" s="12" t="n"/>
      <c r="AO131" s="13" t="n"/>
      <c r="AP131" s="14" t="n"/>
      <c r="AQ131" s="12" t="n"/>
      <c r="AR131" s="13" t="n"/>
      <c r="AS131" s="14" t="n"/>
      <c r="AT131" s="12" t="n"/>
      <c r="AU131" s="13" t="n"/>
      <c r="AV131" s="14" t="n"/>
      <c r="AW131" s="12" t="n"/>
      <c r="AX131" s="13" t="n"/>
      <c r="AY131" s="14" t="n"/>
      <c r="AZ131" s="12" t="n"/>
      <c r="BA131" s="13" t="n"/>
      <c r="BB131" s="14" t="n"/>
      <c r="BC131" s="11">
        <f>IF(O131="","",IF(J131="GST 10%",ROUND(O131*set_GSTRate,2),0))</f>
        <v/>
      </c>
      <c r="BD131" s="11">
        <f>IF(O131="","",O131+BC131)</f>
        <v/>
      </c>
      <c r="BE131" s="15">
        <f>IF(O131="","",COUNTA(S131,V131,Y131,AB131,AE131,AH131,AK131,AN131,AQ131,AT131,AW131,AZ131))</f>
        <v/>
      </c>
      <c r="BF131" s="16">
        <f>IF(COUNT(T131,W131,Z131,AC131,AF131,AI131,AL131,AO131,AR131,AU131,AX131,BA131)=0,"",MAX(T131,W131,Z131,AC131,AF131,AI131,AL131,AO131,AR131,AU131,AX131,BA131))</f>
        <v/>
      </c>
      <c r="BG131" s="10">
        <f>MID(IF(S131="","",", "&amp;S131)&amp;IF(V131="","",", "&amp;V131)&amp;IF(Y131="","",", "&amp;Y131)&amp;IF(AB131="","",", "&amp;AB131)&amp;IF(AE131="","",", "&amp;AE131)&amp;IF(AH131="","",", "&amp;AH131)&amp;IF(AK131="","",", "&amp;AK131)&amp;IF(AN131="","",", "&amp;AN131)&amp;IF(AQ131="","",", "&amp;AQ131)&amp;IF(AT131="","",", "&amp;AT131)&amp;IF(AW131="","",", "&amp;AW131)&amp;IF(AZ131="","",", "&amp;AZ131),3,500)</f>
        <v/>
      </c>
      <c r="BH131" s="12" t="n"/>
      <c r="BI131" s="15">
        <f>IFERROR(MATCH($A131,IF($B131="Onsite",tbl_Onsite[Row ID],IF($B131="Production",tbl_Production[Row ID],tbl_Consulting[Row ID])),0),"")</f>
        <v/>
      </c>
    </row>
    <row r="132">
      <c r="A132" s="10" t="inlineStr">
        <is>
          <t>ONS-0126</t>
        </is>
      </c>
      <c r="B132" s="10" t="inlineStr">
        <is>
          <t>Onsite</t>
        </is>
      </c>
      <c r="C132" s="10">
        <f>IF($BI132="","",IF($B132="Onsite",INDEX(tbl_Onsite[Job Number],$BI132),IF($B132="Production",INDEX(tbl_Production[Job Number],$BI132),INDEX(tbl_Consulting[Job Number],$BI132)))&amp;"")</f>
        <v/>
      </c>
      <c r="D132" s="10">
        <f>IF($BI132="","",IF($B132="Onsite",INDEX(tbl_Onsite[Client],$BI132),IF($B132="Production",INDEX(tbl_Production[Client],$BI132),INDEX(tbl_Consulting[Client],$BI132)))&amp;"")</f>
        <v/>
      </c>
      <c r="E132" s="10">
        <f>IF($C132="","",IF(COUNTIF(lst_Jobs,$C132)&gt;0,"OK","CHECK"))</f>
        <v/>
      </c>
      <c r="F132" s="10">
        <f>IF($C132="","",IFERROR(INDEX(lst_JobName,MATCH($C132,lst_Jobs,0)),""))</f>
        <v/>
      </c>
      <c r="G132" s="10">
        <f>IF($BI132="","",IF($B132="Onsite",INDEX(tbl_Onsite[Job Description],$BI132),IF($B132="Production",INDEX(tbl_Production[Job Description],$BI132),INDEX(tbl_Consulting[Job Description],$BI132)))&amp;"")</f>
        <v/>
      </c>
      <c r="H132" s="10">
        <f>IF($BI132="","",IF($B132="Onsite",INDEX(tbl_Onsite[Cost Centre],$BI132),IF($B132="Production",INDEX(tbl_Production[Cost Centre],$BI132),INDEX(tbl_Consulting[Cost Centre],$BI132)))&amp;"")</f>
        <v/>
      </c>
      <c r="I132" s="10">
        <f>IF($BI132="","",IF($B132="Onsite",INDEX(tbl_Onsite[Invoice Type],$BI132),IF($B132="Production",INDEX(tbl_Production[Invoice Type],$BI132),INDEX(tbl_Consulting[Invoice Type],$BI132)))&amp;"")</f>
        <v/>
      </c>
      <c r="J132" s="10">
        <f>IF($BI132="","",IF($B132="Onsite",INDEX(tbl_Onsite[Tax Code],$BI132),IF($B132="Production",INDEX(tbl_Production[Tax Code],$BI132),INDEX(tbl_Consulting[Tax Code],$BI132)))&amp;"")</f>
        <v/>
      </c>
      <c r="K132" s="10">
        <f>IF(H132="","",IFERROR(INDEX(lst_CCtoGL,MATCH(H132,lst_CCforGL,0)),""))</f>
        <v/>
      </c>
      <c r="L132" s="10">
        <f>IF($BI132="","",IF($B132="Onsite",INDEX(tbl_Onsite[PO / Reference],$BI132),IF($B132="Production",INDEX(tbl_Production[Current RMS No],$BI132),INDEX(tbl_Consulting[Qwilr Quote],$BI132)))&amp;"")</f>
        <v/>
      </c>
      <c r="M132" s="10">
        <f>IF($BI132="","",IF($B132="Onsite",INDEX(tbl_Onsite[Notes],$BI132),IF($B132="Production",INDEX(tbl_Production[Notes],$BI132),INDEX(tbl_Consulting[Notes],$BI132)))&amp;"")</f>
        <v/>
      </c>
      <c r="N132" s="11">
        <f>IF($BI132="","",IF(IF($B132="Onsite",INDEX(tbl_Onsite[Expected Revenue Ex GST],$BI132),IF($B132="Production",INDEX(tbl_Production[Expected Revenue Ex GST],$BI132),INDEX(tbl_Consulting[Expected Revenue Ex GST],$BI132)))="","",IF($B132="Onsite",INDEX(tbl_Onsite[Expected Revenue Ex GST],$BI132),IF($B132="Production",INDEX(tbl_Production[Expected Revenue Ex GST],$BI132),INDEX(tbl_Consulting[Expected Revenue Ex GST],$BI132)))))</f>
        <v/>
      </c>
      <c r="O132" s="11">
        <f>IF(AND($C132="",NOT(COUNTA($S132:$BB132)&gt;0)),"",SUM(U132,X132,AA132,AD132,AG132,AJ132,AM132,AP132,AS132,AV132,AY132,BB132))</f>
        <v/>
      </c>
      <c r="P132" s="11">
        <f>IF(O132="","",N(N132)-O132)</f>
        <v/>
      </c>
      <c r="Q132" s="10">
        <f>IF(O132="","",IF($C132="","Invoice on empty job row",IF(N132="",IF(ROUND(O132,2)=0,"No dept value","Invoiced - no dept value"),IF(ROUND(O132,2)=0,"Not invoiced - to invoice",IF(ROUND(P132,2)=0,"Agrees",IF(P132&gt;0,"Dept higher - to invoice","Xero higher - check dept"))))))</f>
        <v/>
      </c>
      <c r="R132" s="10">
        <f>IF(AND($C132="",NOT(COUNTA($S132:$BB132)&gt;0),$BI132&lt;&gt;""),"",MID(IF($BI132="","; Row ID not found on the department sheet - a row was deleted","")&amp;IF(AND($C132="",COUNTA($S132:$BB132)&gt;0),"; Invoice entered but the department row has no job number","")&amp;IF(E132="CHECK","; Job number not in the Xero job list","")&amp;IF(AND($C132&lt;&gt;"",COUNTIF($C$7:$C$1506,$C132)&gt;1),"; Job number on more than one row","")&amp;IF(AND($C132&lt;&gt;"",H132=""),"; Dept has not set a cost centre","")&amp;IF(AND($C132&lt;&gt;"",J132=""),"; Dept has not set a tax code","")&amp;IF(AND($C132&lt;&gt;"",N132=""),"; Dept has not entered an expected value","")&amp;IF((IF(OR(COUNTA(S132:U132)=0,AND(COUNTA(S132:U132)=3,ISNUMBER(U132))),0,1)+IF(OR(COUNTA(V132:X132)=0,AND(COUNTA(V132:X132)=3,ISNUMBER(X132))),0,1)+IF(OR(COUNTA(Y132:AA132)=0,AND(COUNTA(Y132:AA132)=3,ISNUMBER(AA132))),0,1)+IF(OR(COUNTA(AB132:AD132)=0,AND(COUNTA(AB132:AD132)=3,ISNUMBER(AD132))),0,1)+IF(OR(COUNTA(AE132:AG132)=0,AND(COUNTA(AE132:AG132)=3,ISNUMBER(AG132))),0,1)+IF(OR(COUNTA(AH132:AJ132)=0,AND(COUNTA(AH132:AJ132)=3,ISNUMBER(AJ132))),0,1)+IF(OR(COUNTA(AK132:AM132)=0,AND(COUNTA(AK132:AM132)=3,ISNUMBER(AM132))),0,1)+IF(OR(COUNTA(AN132:AP132)=0,AND(COUNTA(AN132:AP132)=3,ISNUMBER(AP132))),0,1)+IF(OR(COUNTA(AQ132:AS132)=0,AND(COUNTA(AQ132:AS132)=3,ISNUMBER(AS132))),0,1)+IF(OR(COUNTA(AT132:AV132)=0,AND(COUNTA(AT132:AV132)=3,ISNUMBER(AV132))),0,1)+IF(OR(COUNTA(AW132:AY132)=0,AND(COUNTA(AW132:AY132)=3,ISNUMBER(AY132))),0,1)+IF(OR(COUNTA(AZ132:BB132)=0,AND(COUNTA(AZ132:BB132)=3,ISNUMBER(BB132))),0,1))&gt;0,"; An invoice is incomplete (needs No, Date and a number in Ex GST)","")&amp;IF((IF(T132="",0,IFERROR(--(EOMONTH(T132,0)&lt;&gt;S$5),1))+IF(W132="",0,IFERROR(--(EOMONTH(W132,0)&lt;&gt;V$5),1))+IF(Z132="",0,IFERROR(--(EOMONTH(Z132,0)&lt;&gt;Y$5),1))+IF(AC132="",0,IFERROR(--(EOMONTH(AC132,0)&lt;&gt;AB$5),1))+IF(AF132="",0,IFERROR(--(EOMONTH(AF132,0)&lt;&gt;AE$5),1))+IF(AI132="",0,IFERROR(--(EOMONTH(AI132,0)&lt;&gt;AH$5),1))+IF(AL132="",0,IFERROR(--(EOMONTH(AL132,0)&lt;&gt;AK$5),1))+IF(AO132="",0,IFERROR(--(EOMONTH(AO132,0)&lt;&gt;AN$5),1))+IF(AR132="",0,IFERROR(--(EOMONTH(AR132,0)&lt;&gt;AQ$5),1))+IF(AU132="",0,IFERROR(--(EOMONTH(AU132,0)&lt;&gt;AT$5),1))+IF(AX132="",0,IFERROR(--(EOMONTH(AX132,0)&lt;&gt;AW$5),1))+IF(BA132="",0,IFERROR(--(EOMONTH(BA132,0)&lt;&gt;AZ$5),1)))&gt;0,"; An invoice date is not in the month it is typed under",""),3,500))</f>
        <v/>
      </c>
      <c r="S132" s="12" t="n"/>
      <c r="T132" s="13" t="n"/>
      <c r="U132" s="14" t="n"/>
      <c r="V132" s="12" t="n"/>
      <c r="W132" s="13" t="n"/>
      <c r="X132" s="14" t="n"/>
      <c r="Y132" s="12" t="n"/>
      <c r="Z132" s="13" t="n"/>
      <c r="AA132" s="14" t="n"/>
      <c r="AB132" s="12" t="n"/>
      <c r="AC132" s="13" t="n"/>
      <c r="AD132" s="14" t="n"/>
      <c r="AE132" s="12" t="n"/>
      <c r="AF132" s="13" t="n"/>
      <c r="AG132" s="14" t="n"/>
      <c r="AH132" s="12" t="n"/>
      <c r="AI132" s="13" t="n"/>
      <c r="AJ132" s="14" t="n"/>
      <c r="AK132" s="12" t="n"/>
      <c r="AL132" s="13" t="n"/>
      <c r="AM132" s="14" t="n"/>
      <c r="AN132" s="12" t="n"/>
      <c r="AO132" s="13" t="n"/>
      <c r="AP132" s="14" t="n"/>
      <c r="AQ132" s="12" t="n"/>
      <c r="AR132" s="13" t="n"/>
      <c r="AS132" s="14" t="n"/>
      <c r="AT132" s="12" t="n"/>
      <c r="AU132" s="13" t="n"/>
      <c r="AV132" s="14" t="n"/>
      <c r="AW132" s="12" t="n"/>
      <c r="AX132" s="13" t="n"/>
      <c r="AY132" s="14" t="n"/>
      <c r="AZ132" s="12" t="n"/>
      <c r="BA132" s="13" t="n"/>
      <c r="BB132" s="14" t="n"/>
      <c r="BC132" s="11">
        <f>IF(O132="","",IF(J132="GST 10%",ROUND(O132*set_GSTRate,2),0))</f>
        <v/>
      </c>
      <c r="BD132" s="11">
        <f>IF(O132="","",O132+BC132)</f>
        <v/>
      </c>
      <c r="BE132" s="15">
        <f>IF(O132="","",COUNTA(S132,V132,Y132,AB132,AE132,AH132,AK132,AN132,AQ132,AT132,AW132,AZ132))</f>
        <v/>
      </c>
      <c r="BF132" s="16">
        <f>IF(COUNT(T132,W132,Z132,AC132,AF132,AI132,AL132,AO132,AR132,AU132,AX132,BA132)=0,"",MAX(T132,W132,Z132,AC132,AF132,AI132,AL132,AO132,AR132,AU132,AX132,BA132))</f>
        <v/>
      </c>
      <c r="BG132" s="10">
        <f>MID(IF(S132="","",", "&amp;S132)&amp;IF(V132="","",", "&amp;V132)&amp;IF(Y132="","",", "&amp;Y132)&amp;IF(AB132="","",", "&amp;AB132)&amp;IF(AE132="","",", "&amp;AE132)&amp;IF(AH132="","",", "&amp;AH132)&amp;IF(AK132="","",", "&amp;AK132)&amp;IF(AN132="","",", "&amp;AN132)&amp;IF(AQ132="","",", "&amp;AQ132)&amp;IF(AT132="","",", "&amp;AT132)&amp;IF(AW132="","",", "&amp;AW132)&amp;IF(AZ132="","",", "&amp;AZ132),3,500)</f>
        <v/>
      </c>
      <c r="BH132" s="12" t="n"/>
      <c r="BI132" s="15">
        <f>IFERROR(MATCH($A132,IF($B132="Onsite",tbl_Onsite[Row ID],IF($B132="Production",tbl_Production[Row ID],tbl_Consulting[Row ID])),0),"")</f>
        <v/>
      </c>
    </row>
    <row r="133">
      <c r="A133" s="10" t="inlineStr">
        <is>
          <t>ONS-0127</t>
        </is>
      </c>
      <c r="B133" s="10" t="inlineStr">
        <is>
          <t>Onsite</t>
        </is>
      </c>
      <c r="C133" s="10">
        <f>IF($BI133="","",IF($B133="Onsite",INDEX(tbl_Onsite[Job Number],$BI133),IF($B133="Production",INDEX(tbl_Production[Job Number],$BI133),INDEX(tbl_Consulting[Job Number],$BI133)))&amp;"")</f>
        <v/>
      </c>
      <c r="D133" s="10">
        <f>IF($BI133="","",IF($B133="Onsite",INDEX(tbl_Onsite[Client],$BI133),IF($B133="Production",INDEX(tbl_Production[Client],$BI133),INDEX(tbl_Consulting[Client],$BI133)))&amp;"")</f>
        <v/>
      </c>
      <c r="E133" s="10">
        <f>IF($C133="","",IF(COUNTIF(lst_Jobs,$C133)&gt;0,"OK","CHECK"))</f>
        <v/>
      </c>
      <c r="F133" s="10">
        <f>IF($C133="","",IFERROR(INDEX(lst_JobName,MATCH($C133,lst_Jobs,0)),""))</f>
        <v/>
      </c>
      <c r="G133" s="10">
        <f>IF($BI133="","",IF($B133="Onsite",INDEX(tbl_Onsite[Job Description],$BI133),IF($B133="Production",INDEX(tbl_Production[Job Description],$BI133),INDEX(tbl_Consulting[Job Description],$BI133)))&amp;"")</f>
        <v/>
      </c>
      <c r="H133" s="10">
        <f>IF($BI133="","",IF($B133="Onsite",INDEX(tbl_Onsite[Cost Centre],$BI133),IF($B133="Production",INDEX(tbl_Production[Cost Centre],$BI133),INDEX(tbl_Consulting[Cost Centre],$BI133)))&amp;"")</f>
        <v/>
      </c>
      <c r="I133" s="10">
        <f>IF($BI133="","",IF($B133="Onsite",INDEX(tbl_Onsite[Invoice Type],$BI133),IF($B133="Production",INDEX(tbl_Production[Invoice Type],$BI133),INDEX(tbl_Consulting[Invoice Type],$BI133)))&amp;"")</f>
        <v/>
      </c>
      <c r="J133" s="10">
        <f>IF($BI133="","",IF($B133="Onsite",INDEX(tbl_Onsite[Tax Code],$BI133),IF($B133="Production",INDEX(tbl_Production[Tax Code],$BI133),INDEX(tbl_Consulting[Tax Code],$BI133)))&amp;"")</f>
        <v/>
      </c>
      <c r="K133" s="10">
        <f>IF(H133="","",IFERROR(INDEX(lst_CCtoGL,MATCH(H133,lst_CCforGL,0)),""))</f>
        <v/>
      </c>
      <c r="L133" s="10">
        <f>IF($BI133="","",IF($B133="Onsite",INDEX(tbl_Onsite[PO / Reference],$BI133),IF($B133="Production",INDEX(tbl_Production[Current RMS No],$BI133),INDEX(tbl_Consulting[Qwilr Quote],$BI133)))&amp;"")</f>
        <v/>
      </c>
      <c r="M133" s="10">
        <f>IF($BI133="","",IF($B133="Onsite",INDEX(tbl_Onsite[Notes],$BI133),IF($B133="Production",INDEX(tbl_Production[Notes],$BI133),INDEX(tbl_Consulting[Notes],$BI133)))&amp;"")</f>
        <v/>
      </c>
      <c r="N133" s="11">
        <f>IF($BI133="","",IF(IF($B133="Onsite",INDEX(tbl_Onsite[Expected Revenue Ex GST],$BI133),IF($B133="Production",INDEX(tbl_Production[Expected Revenue Ex GST],$BI133),INDEX(tbl_Consulting[Expected Revenue Ex GST],$BI133)))="","",IF($B133="Onsite",INDEX(tbl_Onsite[Expected Revenue Ex GST],$BI133),IF($B133="Production",INDEX(tbl_Production[Expected Revenue Ex GST],$BI133),INDEX(tbl_Consulting[Expected Revenue Ex GST],$BI133)))))</f>
        <v/>
      </c>
      <c r="O133" s="11">
        <f>IF(AND($C133="",NOT(COUNTA($S133:$BB133)&gt;0)),"",SUM(U133,X133,AA133,AD133,AG133,AJ133,AM133,AP133,AS133,AV133,AY133,BB133))</f>
        <v/>
      </c>
      <c r="P133" s="11">
        <f>IF(O133="","",N(N133)-O133)</f>
        <v/>
      </c>
      <c r="Q133" s="10">
        <f>IF(O133="","",IF($C133="","Invoice on empty job row",IF(N133="",IF(ROUND(O133,2)=0,"No dept value","Invoiced - no dept value"),IF(ROUND(O133,2)=0,"Not invoiced - to invoice",IF(ROUND(P133,2)=0,"Agrees",IF(P133&gt;0,"Dept higher - to invoice","Xero higher - check dept"))))))</f>
        <v/>
      </c>
      <c r="R133" s="10">
        <f>IF(AND($C133="",NOT(COUNTA($S133:$BB133)&gt;0),$BI133&lt;&gt;""),"",MID(IF($BI133="","; Row ID not found on the department sheet - a row was deleted","")&amp;IF(AND($C133="",COUNTA($S133:$BB133)&gt;0),"; Invoice entered but the department row has no job number","")&amp;IF(E133="CHECK","; Job number not in the Xero job list","")&amp;IF(AND($C133&lt;&gt;"",COUNTIF($C$7:$C$1506,$C133)&gt;1),"; Job number on more than one row","")&amp;IF(AND($C133&lt;&gt;"",H133=""),"; Dept has not set a cost centre","")&amp;IF(AND($C133&lt;&gt;"",J133=""),"; Dept has not set a tax code","")&amp;IF(AND($C133&lt;&gt;"",N133=""),"; Dept has not entered an expected value","")&amp;IF((IF(OR(COUNTA(S133:U133)=0,AND(COUNTA(S133:U133)=3,ISNUMBER(U133))),0,1)+IF(OR(COUNTA(V133:X133)=0,AND(COUNTA(V133:X133)=3,ISNUMBER(X133))),0,1)+IF(OR(COUNTA(Y133:AA133)=0,AND(COUNTA(Y133:AA133)=3,ISNUMBER(AA133))),0,1)+IF(OR(COUNTA(AB133:AD133)=0,AND(COUNTA(AB133:AD133)=3,ISNUMBER(AD133))),0,1)+IF(OR(COUNTA(AE133:AG133)=0,AND(COUNTA(AE133:AG133)=3,ISNUMBER(AG133))),0,1)+IF(OR(COUNTA(AH133:AJ133)=0,AND(COUNTA(AH133:AJ133)=3,ISNUMBER(AJ133))),0,1)+IF(OR(COUNTA(AK133:AM133)=0,AND(COUNTA(AK133:AM133)=3,ISNUMBER(AM133))),0,1)+IF(OR(COUNTA(AN133:AP133)=0,AND(COUNTA(AN133:AP133)=3,ISNUMBER(AP133))),0,1)+IF(OR(COUNTA(AQ133:AS133)=0,AND(COUNTA(AQ133:AS133)=3,ISNUMBER(AS133))),0,1)+IF(OR(COUNTA(AT133:AV133)=0,AND(COUNTA(AT133:AV133)=3,ISNUMBER(AV133))),0,1)+IF(OR(COUNTA(AW133:AY133)=0,AND(COUNTA(AW133:AY133)=3,ISNUMBER(AY133))),0,1)+IF(OR(COUNTA(AZ133:BB133)=0,AND(COUNTA(AZ133:BB133)=3,ISNUMBER(BB133))),0,1))&gt;0,"; An invoice is incomplete (needs No, Date and a number in Ex GST)","")&amp;IF((IF(T133="",0,IFERROR(--(EOMONTH(T133,0)&lt;&gt;S$5),1))+IF(W133="",0,IFERROR(--(EOMONTH(W133,0)&lt;&gt;V$5),1))+IF(Z133="",0,IFERROR(--(EOMONTH(Z133,0)&lt;&gt;Y$5),1))+IF(AC133="",0,IFERROR(--(EOMONTH(AC133,0)&lt;&gt;AB$5),1))+IF(AF133="",0,IFERROR(--(EOMONTH(AF133,0)&lt;&gt;AE$5),1))+IF(AI133="",0,IFERROR(--(EOMONTH(AI133,0)&lt;&gt;AH$5),1))+IF(AL133="",0,IFERROR(--(EOMONTH(AL133,0)&lt;&gt;AK$5),1))+IF(AO133="",0,IFERROR(--(EOMONTH(AO133,0)&lt;&gt;AN$5),1))+IF(AR133="",0,IFERROR(--(EOMONTH(AR133,0)&lt;&gt;AQ$5),1))+IF(AU133="",0,IFERROR(--(EOMONTH(AU133,0)&lt;&gt;AT$5),1))+IF(AX133="",0,IFERROR(--(EOMONTH(AX133,0)&lt;&gt;AW$5),1))+IF(BA133="",0,IFERROR(--(EOMONTH(BA133,0)&lt;&gt;AZ$5),1)))&gt;0,"; An invoice date is not in the month it is typed under",""),3,500))</f>
        <v/>
      </c>
      <c r="S133" s="12" t="n"/>
      <c r="T133" s="13" t="n"/>
      <c r="U133" s="14" t="n"/>
      <c r="V133" s="12" t="n"/>
      <c r="W133" s="13" t="n"/>
      <c r="X133" s="14" t="n"/>
      <c r="Y133" s="12" t="n"/>
      <c r="Z133" s="13" t="n"/>
      <c r="AA133" s="14" t="n"/>
      <c r="AB133" s="12" t="n"/>
      <c r="AC133" s="13" t="n"/>
      <c r="AD133" s="14" t="n"/>
      <c r="AE133" s="12" t="n"/>
      <c r="AF133" s="13" t="n"/>
      <c r="AG133" s="14" t="n"/>
      <c r="AH133" s="12" t="n"/>
      <c r="AI133" s="13" t="n"/>
      <c r="AJ133" s="14" t="n"/>
      <c r="AK133" s="12" t="n"/>
      <c r="AL133" s="13" t="n"/>
      <c r="AM133" s="14" t="n"/>
      <c r="AN133" s="12" t="n"/>
      <c r="AO133" s="13" t="n"/>
      <c r="AP133" s="14" t="n"/>
      <c r="AQ133" s="12" t="n"/>
      <c r="AR133" s="13" t="n"/>
      <c r="AS133" s="14" t="n"/>
      <c r="AT133" s="12" t="n"/>
      <c r="AU133" s="13" t="n"/>
      <c r="AV133" s="14" t="n"/>
      <c r="AW133" s="12" t="n"/>
      <c r="AX133" s="13" t="n"/>
      <c r="AY133" s="14" t="n"/>
      <c r="AZ133" s="12" t="n"/>
      <c r="BA133" s="13" t="n"/>
      <c r="BB133" s="14" t="n"/>
      <c r="BC133" s="11">
        <f>IF(O133="","",IF(J133="GST 10%",ROUND(O133*set_GSTRate,2),0))</f>
        <v/>
      </c>
      <c r="BD133" s="11">
        <f>IF(O133="","",O133+BC133)</f>
        <v/>
      </c>
      <c r="BE133" s="15">
        <f>IF(O133="","",COUNTA(S133,V133,Y133,AB133,AE133,AH133,AK133,AN133,AQ133,AT133,AW133,AZ133))</f>
        <v/>
      </c>
      <c r="BF133" s="16">
        <f>IF(COUNT(T133,W133,Z133,AC133,AF133,AI133,AL133,AO133,AR133,AU133,AX133,BA133)=0,"",MAX(T133,W133,Z133,AC133,AF133,AI133,AL133,AO133,AR133,AU133,AX133,BA133))</f>
        <v/>
      </c>
      <c r="BG133" s="10">
        <f>MID(IF(S133="","",", "&amp;S133)&amp;IF(V133="","",", "&amp;V133)&amp;IF(Y133="","",", "&amp;Y133)&amp;IF(AB133="","",", "&amp;AB133)&amp;IF(AE133="","",", "&amp;AE133)&amp;IF(AH133="","",", "&amp;AH133)&amp;IF(AK133="","",", "&amp;AK133)&amp;IF(AN133="","",", "&amp;AN133)&amp;IF(AQ133="","",", "&amp;AQ133)&amp;IF(AT133="","",", "&amp;AT133)&amp;IF(AW133="","",", "&amp;AW133)&amp;IF(AZ133="","",", "&amp;AZ133),3,500)</f>
        <v/>
      </c>
      <c r="BH133" s="12" t="n"/>
      <c r="BI133" s="15">
        <f>IFERROR(MATCH($A133,IF($B133="Onsite",tbl_Onsite[Row ID],IF($B133="Production",tbl_Production[Row ID],tbl_Consulting[Row ID])),0),"")</f>
        <v/>
      </c>
    </row>
    <row r="134">
      <c r="A134" s="10" t="inlineStr">
        <is>
          <t>ONS-0128</t>
        </is>
      </c>
      <c r="B134" s="10" t="inlineStr">
        <is>
          <t>Onsite</t>
        </is>
      </c>
      <c r="C134" s="10">
        <f>IF($BI134="","",IF($B134="Onsite",INDEX(tbl_Onsite[Job Number],$BI134),IF($B134="Production",INDEX(tbl_Production[Job Number],$BI134),INDEX(tbl_Consulting[Job Number],$BI134)))&amp;"")</f>
        <v/>
      </c>
      <c r="D134" s="10">
        <f>IF($BI134="","",IF($B134="Onsite",INDEX(tbl_Onsite[Client],$BI134),IF($B134="Production",INDEX(tbl_Production[Client],$BI134),INDEX(tbl_Consulting[Client],$BI134)))&amp;"")</f>
        <v/>
      </c>
      <c r="E134" s="10">
        <f>IF($C134="","",IF(COUNTIF(lst_Jobs,$C134)&gt;0,"OK","CHECK"))</f>
        <v/>
      </c>
      <c r="F134" s="10">
        <f>IF($C134="","",IFERROR(INDEX(lst_JobName,MATCH($C134,lst_Jobs,0)),""))</f>
        <v/>
      </c>
      <c r="G134" s="10">
        <f>IF($BI134="","",IF($B134="Onsite",INDEX(tbl_Onsite[Job Description],$BI134),IF($B134="Production",INDEX(tbl_Production[Job Description],$BI134),INDEX(tbl_Consulting[Job Description],$BI134)))&amp;"")</f>
        <v/>
      </c>
      <c r="H134" s="10">
        <f>IF($BI134="","",IF($B134="Onsite",INDEX(tbl_Onsite[Cost Centre],$BI134),IF($B134="Production",INDEX(tbl_Production[Cost Centre],$BI134),INDEX(tbl_Consulting[Cost Centre],$BI134)))&amp;"")</f>
        <v/>
      </c>
      <c r="I134" s="10">
        <f>IF($BI134="","",IF($B134="Onsite",INDEX(tbl_Onsite[Invoice Type],$BI134),IF($B134="Production",INDEX(tbl_Production[Invoice Type],$BI134),INDEX(tbl_Consulting[Invoice Type],$BI134)))&amp;"")</f>
        <v/>
      </c>
      <c r="J134" s="10">
        <f>IF($BI134="","",IF($B134="Onsite",INDEX(tbl_Onsite[Tax Code],$BI134),IF($B134="Production",INDEX(tbl_Production[Tax Code],$BI134),INDEX(tbl_Consulting[Tax Code],$BI134)))&amp;"")</f>
        <v/>
      </c>
      <c r="K134" s="10">
        <f>IF(H134="","",IFERROR(INDEX(lst_CCtoGL,MATCH(H134,lst_CCforGL,0)),""))</f>
        <v/>
      </c>
      <c r="L134" s="10">
        <f>IF($BI134="","",IF($B134="Onsite",INDEX(tbl_Onsite[PO / Reference],$BI134),IF($B134="Production",INDEX(tbl_Production[Current RMS No],$BI134),INDEX(tbl_Consulting[Qwilr Quote],$BI134)))&amp;"")</f>
        <v/>
      </c>
      <c r="M134" s="10">
        <f>IF($BI134="","",IF($B134="Onsite",INDEX(tbl_Onsite[Notes],$BI134),IF($B134="Production",INDEX(tbl_Production[Notes],$BI134),INDEX(tbl_Consulting[Notes],$BI134)))&amp;"")</f>
        <v/>
      </c>
      <c r="N134" s="11">
        <f>IF($BI134="","",IF(IF($B134="Onsite",INDEX(tbl_Onsite[Expected Revenue Ex GST],$BI134),IF($B134="Production",INDEX(tbl_Production[Expected Revenue Ex GST],$BI134),INDEX(tbl_Consulting[Expected Revenue Ex GST],$BI134)))="","",IF($B134="Onsite",INDEX(tbl_Onsite[Expected Revenue Ex GST],$BI134),IF($B134="Production",INDEX(tbl_Production[Expected Revenue Ex GST],$BI134),INDEX(tbl_Consulting[Expected Revenue Ex GST],$BI134)))))</f>
        <v/>
      </c>
      <c r="O134" s="11">
        <f>IF(AND($C134="",NOT(COUNTA($S134:$BB134)&gt;0)),"",SUM(U134,X134,AA134,AD134,AG134,AJ134,AM134,AP134,AS134,AV134,AY134,BB134))</f>
        <v/>
      </c>
      <c r="P134" s="11">
        <f>IF(O134="","",N(N134)-O134)</f>
        <v/>
      </c>
      <c r="Q134" s="10">
        <f>IF(O134="","",IF($C134="","Invoice on empty job row",IF(N134="",IF(ROUND(O134,2)=0,"No dept value","Invoiced - no dept value"),IF(ROUND(O134,2)=0,"Not invoiced - to invoice",IF(ROUND(P134,2)=0,"Agrees",IF(P134&gt;0,"Dept higher - to invoice","Xero higher - check dept"))))))</f>
        <v/>
      </c>
      <c r="R134" s="10">
        <f>IF(AND($C134="",NOT(COUNTA($S134:$BB134)&gt;0),$BI134&lt;&gt;""),"",MID(IF($BI134="","; Row ID not found on the department sheet - a row was deleted","")&amp;IF(AND($C134="",COUNTA($S134:$BB134)&gt;0),"; Invoice entered but the department row has no job number","")&amp;IF(E134="CHECK","; Job number not in the Xero job list","")&amp;IF(AND($C134&lt;&gt;"",COUNTIF($C$7:$C$1506,$C134)&gt;1),"; Job number on more than one row","")&amp;IF(AND($C134&lt;&gt;"",H134=""),"; Dept has not set a cost centre","")&amp;IF(AND($C134&lt;&gt;"",J134=""),"; Dept has not set a tax code","")&amp;IF(AND($C134&lt;&gt;"",N134=""),"; Dept has not entered an expected value","")&amp;IF((IF(OR(COUNTA(S134:U134)=0,AND(COUNTA(S134:U134)=3,ISNUMBER(U134))),0,1)+IF(OR(COUNTA(V134:X134)=0,AND(COUNTA(V134:X134)=3,ISNUMBER(X134))),0,1)+IF(OR(COUNTA(Y134:AA134)=0,AND(COUNTA(Y134:AA134)=3,ISNUMBER(AA134))),0,1)+IF(OR(COUNTA(AB134:AD134)=0,AND(COUNTA(AB134:AD134)=3,ISNUMBER(AD134))),0,1)+IF(OR(COUNTA(AE134:AG134)=0,AND(COUNTA(AE134:AG134)=3,ISNUMBER(AG134))),0,1)+IF(OR(COUNTA(AH134:AJ134)=0,AND(COUNTA(AH134:AJ134)=3,ISNUMBER(AJ134))),0,1)+IF(OR(COUNTA(AK134:AM134)=0,AND(COUNTA(AK134:AM134)=3,ISNUMBER(AM134))),0,1)+IF(OR(COUNTA(AN134:AP134)=0,AND(COUNTA(AN134:AP134)=3,ISNUMBER(AP134))),0,1)+IF(OR(COUNTA(AQ134:AS134)=0,AND(COUNTA(AQ134:AS134)=3,ISNUMBER(AS134))),0,1)+IF(OR(COUNTA(AT134:AV134)=0,AND(COUNTA(AT134:AV134)=3,ISNUMBER(AV134))),0,1)+IF(OR(COUNTA(AW134:AY134)=0,AND(COUNTA(AW134:AY134)=3,ISNUMBER(AY134))),0,1)+IF(OR(COUNTA(AZ134:BB134)=0,AND(COUNTA(AZ134:BB134)=3,ISNUMBER(BB134))),0,1))&gt;0,"; An invoice is incomplete (needs No, Date and a number in Ex GST)","")&amp;IF((IF(T134="",0,IFERROR(--(EOMONTH(T134,0)&lt;&gt;S$5),1))+IF(W134="",0,IFERROR(--(EOMONTH(W134,0)&lt;&gt;V$5),1))+IF(Z134="",0,IFERROR(--(EOMONTH(Z134,0)&lt;&gt;Y$5),1))+IF(AC134="",0,IFERROR(--(EOMONTH(AC134,0)&lt;&gt;AB$5),1))+IF(AF134="",0,IFERROR(--(EOMONTH(AF134,0)&lt;&gt;AE$5),1))+IF(AI134="",0,IFERROR(--(EOMONTH(AI134,0)&lt;&gt;AH$5),1))+IF(AL134="",0,IFERROR(--(EOMONTH(AL134,0)&lt;&gt;AK$5),1))+IF(AO134="",0,IFERROR(--(EOMONTH(AO134,0)&lt;&gt;AN$5),1))+IF(AR134="",0,IFERROR(--(EOMONTH(AR134,0)&lt;&gt;AQ$5),1))+IF(AU134="",0,IFERROR(--(EOMONTH(AU134,0)&lt;&gt;AT$5),1))+IF(AX134="",0,IFERROR(--(EOMONTH(AX134,0)&lt;&gt;AW$5),1))+IF(BA134="",0,IFERROR(--(EOMONTH(BA134,0)&lt;&gt;AZ$5),1)))&gt;0,"; An invoice date is not in the month it is typed under",""),3,500))</f>
        <v/>
      </c>
      <c r="S134" s="12" t="n"/>
      <c r="T134" s="13" t="n"/>
      <c r="U134" s="14" t="n"/>
      <c r="V134" s="12" t="n"/>
      <c r="W134" s="13" t="n"/>
      <c r="X134" s="14" t="n"/>
      <c r="Y134" s="12" t="n"/>
      <c r="Z134" s="13" t="n"/>
      <c r="AA134" s="14" t="n"/>
      <c r="AB134" s="12" t="n"/>
      <c r="AC134" s="13" t="n"/>
      <c r="AD134" s="14" t="n"/>
      <c r="AE134" s="12" t="n"/>
      <c r="AF134" s="13" t="n"/>
      <c r="AG134" s="14" t="n"/>
      <c r="AH134" s="12" t="n"/>
      <c r="AI134" s="13" t="n"/>
      <c r="AJ134" s="14" t="n"/>
      <c r="AK134" s="12" t="n"/>
      <c r="AL134" s="13" t="n"/>
      <c r="AM134" s="14" t="n"/>
      <c r="AN134" s="12" t="n"/>
      <c r="AO134" s="13" t="n"/>
      <c r="AP134" s="14" t="n"/>
      <c r="AQ134" s="12" t="n"/>
      <c r="AR134" s="13" t="n"/>
      <c r="AS134" s="14" t="n"/>
      <c r="AT134" s="12" t="n"/>
      <c r="AU134" s="13" t="n"/>
      <c r="AV134" s="14" t="n"/>
      <c r="AW134" s="12" t="n"/>
      <c r="AX134" s="13" t="n"/>
      <c r="AY134" s="14" t="n"/>
      <c r="AZ134" s="12" t="n"/>
      <c r="BA134" s="13" t="n"/>
      <c r="BB134" s="14" t="n"/>
      <c r="BC134" s="11">
        <f>IF(O134="","",IF(J134="GST 10%",ROUND(O134*set_GSTRate,2),0))</f>
        <v/>
      </c>
      <c r="BD134" s="11">
        <f>IF(O134="","",O134+BC134)</f>
        <v/>
      </c>
      <c r="BE134" s="15">
        <f>IF(O134="","",COUNTA(S134,V134,Y134,AB134,AE134,AH134,AK134,AN134,AQ134,AT134,AW134,AZ134))</f>
        <v/>
      </c>
      <c r="BF134" s="16">
        <f>IF(COUNT(T134,W134,Z134,AC134,AF134,AI134,AL134,AO134,AR134,AU134,AX134,BA134)=0,"",MAX(T134,W134,Z134,AC134,AF134,AI134,AL134,AO134,AR134,AU134,AX134,BA134))</f>
        <v/>
      </c>
      <c r="BG134" s="10">
        <f>MID(IF(S134="","",", "&amp;S134)&amp;IF(V134="","",", "&amp;V134)&amp;IF(Y134="","",", "&amp;Y134)&amp;IF(AB134="","",", "&amp;AB134)&amp;IF(AE134="","",", "&amp;AE134)&amp;IF(AH134="","",", "&amp;AH134)&amp;IF(AK134="","",", "&amp;AK134)&amp;IF(AN134="","",", "&amp;AN134)&amp;IF(AQ134="","",", "&amp;AQ134)&amp;IF(AT134="","",", "&amp;AT134)&amp;IF(AW134="","",", "&amp;AW134)&amp;IF(AZ134="","",", "&amp;AZ134),3,500)</f>
        <v/>
      </c>
      <c r="BH134" s="12" t="n"/>
      <c r="BI134" s="15">
        <f>IFERROR(MATCH($A134,IF($B134="Onsite",tbl_Onsite[Row ID],IF($B134="Production",tbl_Production[Row ID],tbl_Consulting[Row ID])),0),"")</f>
        <v/>
      </c>
    </row>
    <row r="135">
      <c r="A135" s="10" t="inlineStr">
        <is>
          <t>ONS-0129</t>
        </is>
      </c>
      <c r="B135" s="10" t="inlineStr">
        <is>
          <t>Onsite</t>
        </is>
      </c>
      <c r="C135" s="10">
        <f>IF($BI135="","",IF($B135="Onsite",INDEX(tbl_Onsite[Job Number],$BI135),IF($B135="Production",INDEX(tbl_Production[Job Number],$BI135),INDEX(tbl_Consulting[Job Number],$BI135)))&amp;"")</f>
        <v/>
      </c>
      <c r="D135" s="10">
        <f>IF($BI135="","",IF($B135="Onsite",INDEX(tbl_Onsite[Client],$BI135),IF($B135="Production",INDEX(tbl_Production[Client],$BI135),INDEX(tbl_Consulting[Client],$BI135)))&amp;"")</f>
        <v/>
      </c>
      <c r="E135" s="10">
        <f>IF($C135="","",IF(COUNTIF(lst_Jobs,$C135)&gt;0,"OK","CHECK"))</f>
        <v/>
      </c>
      <c r="F135" s="10">
        <f>IF($C135="","",IFERROR(INDEX(lst_JobName,MATCH($C135,lst_Jobs,0)),""))</f>
        <v/>
      </c>
      <c r="G135" s="10">
        <f>IF($BI135="","",IF($B135="Onsite",INDEX(tbl_Onsite[Job Description],$BI135),IF($B135="Production",INDEX(tbl_Production[Job Description],$BI135),INDEX(tbl_Consulting[Job Description],$BI135)))&amp;"")</f>
        <v/>
      </c>
      <c r="H135" s="10">
        <f>IF($BI135="","",IF($B135="Onsite",INDEX(tbl_Onsite[Cost Centre],$BI135),IF($B135="Production",INDEX(tbl_Production[Cost Centre],$BI135),INDEX(tbl_Consulting[Cost Centre],$BI135)))&amp;"")</f>
        <v/>
      </c>
      <c r="I135" s="10">
        <f>IF($BI135="","",IF($B135="Onsite",INDEX(tbl_Onsite[Invoice Type],$BI135),IF($B135="Production",INDEX(tbl_Production[Invoice Type],$BI135),INDEX(tbl_Consulting[Invoice Type],$BI135)))&amp;"")</f>
        <v/>
      </c>
      <c r="J135" s="10">
        <f>IF($BI135="","",IF($B135="Onsite",INDEX(tbl_Onsite[Tax Code],$BI135),IF($B135="Production",INDEX(tbl_Production[Tax Code],$BI135),INDEX(tbl_Consulting[Tax Code],$BI135)))&amp;"")</f>
        <v/>
      </c>
      <c r="K135" s="10">
        <f>IF(H135="","",IFERROR(INDEX(lst_CCtoGL,MATCH(H135,lst_CCforGL,0)),""))</f>
        <v/>
      </c>
      <c r="L135" s="10">
        <f>IF($BI135="","",IF($B135="Onsite",INDEX(tbl_Onsite[PO / Reference],$BI135),IF($B135="Production",INDEX(tbl_Production[Current RMS No],$BI135),INDEX(tbl_Consulting[Qwilr Quote],$BI135)))&amp;"")</f>
        <v/>
      </c>
      <c r="M135" s="10">
        <f>IF($BI135="","",IF($B135="Onsite",INDEX(tbl_Onsite[Notes],$BI135),IF($B135="Production",INDEX(tbl_Production[Notes],$BI135),INDEX(tbl_Consulting[Notes],$BI135)))&amp;"")</f>
        <v/>
      </c>
      <c r="N135" s="11">
        <f>IF($BI135="","",IF(IF($B135="Onsite",INDEX(tbl_Onsite[Expected Revenue Ex GST],$BI135),IF($B135="Production",INDEX(tbl_Production[Expected Revenue Ex GST],$BI135),INDEX(tbl_Consulting[Expected Revenue Ex GST],$BI135)))="","",IF($B135="Onsite",INDEX(tbl_Onsite[Expected Revenue Ex GST],$BI135),IF($B135="Production",INDEX(tbl_Production[Expected Revenue Ex GST],$BI135),INDEX(tbl_Consulting[Expected Revenue Ex GST],$BI135)))))</f>
        <v/>
      </c>
      <c r="O135" s="11">
        <f>IF(AND($C135="",NOT(COUNTA($S135:$BB135)&gt;0)),"",SUM(U135,X135,AA135,AD135,AG135,AJ135,AM135,AP135,AS135,AV135,AY135,BB135))</f>
        <v/>
      </c>
      <c r="P135" s="11">
        <f>IF(O135="","",N(N135)-O135)</f>
        <v/>
      </c>
      <c r="Q135" s="10">
        <f>IF(O135="","",IF($C135="","Invoice on empty job row",IF(N135="",IF(ROUND(O135,2)=0,"No dept value","Invoiced - no dept value"),IF(ROUND(O135,2)=0,"Not invoiced - to invoice",IF(ROUND(P135,2)=0,"Agrees",IF(P135&gt;0,"Dept higher - to invoice","Xero higher - check dept"))))))</f>
        <v/>
      </c>
      <c r="R135" s="10">
        <f>IF(AND($C135="",NOT(COUNTA($S135:$BB135)&gt;0),$BI135&lt;&gt;""),"",MID(IF($BI135="","; Row ID not found on the department sheet - a row was deleted","")&amp;IF(AND($C135="",COUNTA($S135:$BB135)&gt;0),"; Invoice entered but the department row has no job number","")&amp;IF(E135="CHECK","; Job number not in the Xero job list","")&amp;IF(AND($C135&lt;&gt;"",COUNTIF($C$7:$C$1506,$C135)&gt;1),"; Job number on more than one row","")&amp;IF(AND($C135&lt;&gt;"",H135=""),"; Dept has not set a cost centre","")&amp;IF(AND($C135&lt;&gt;"",J135=""),"; Dept has not set a tax code","")&amp;IF(AND($C135&lt;&gt;"",N135=""),"; Dept has not entered an expected value","")&amp;IF((IF(OR(COUNTA(S135:U135)=0,AND(COUNTA(S135:U135)=3,ISNUMBER(U135))),0,1)+IF(OR(COUNTA(V135:X135)=0,AND(COUNTA(V135:X135)=3,ISNUMBER(X135))),0,1)+IF(OR(COUNTA(Y135:AA135)=0,AND(COUNTA(Y135:AA135)=3,ISNUMBER(AA135))),0,1)+IF(OR(COUNTA(AB135:AD135)=0,AND(COUNTA(AB135:AD135)=3,ISNUMBER(AD135))),0,1)+IF(OR(COUNTA(AE135:AG135)=0,AND(COUNTA(AE135:AG135)=3,ISNUMBER(AG135))),0,1)+IF(OR(COUNTA(AH135:AJ135)=0,AND(COUNTA(AH135:AJ135)=3,ISNUMBER(AJ135))),0,1)+IF(OR(COUNTA(AK135:AM135)=0,AND(COUNTA(AK135:AM135)=3,ISNUMBER(AM135))),0,1)+IF(OR(COUNTA(AN135:AP135)=0,AND(COUNTA(AN135:AP135)=3,ISNUMBER(AP135))),0,1)+IF(OR(COUNTA(AQ135:AS135)=0,AND(COUNTA(AQ135:AS135)=3,ISNUMBER(AS135))),0,1)+IF(OR(COUNTA(AT135:AV135)=0,AND(COUNTA(AT135:AV135)=3,ISNUMBER(AV135))),0,1)+IF(OR(COUNTA(AW135:AY135)=0,AND(COUNTA(AW135:AY135)=3,ISNUMBER(AY135))),0,1)+IF(OR(COUNTA(AZ135:BB135)=0,AND(COUNTA(AZ135:BB135)=3,ISNUMBER(BB135))),0,1))&gt;0,"; An invoice is incomplete (needs No, Date and a number in Ex GST)","")&amp;IF((IF(T135="",0,IFERROR(--(EOMONTH(T135,0)&lt;&gt;S$5),1))+IF(W135="",0,IFERROR(--(EOMONTH(W135,0)&lt;&gt;V$5),1))+IF(Z135="",0,IFERROR(--(EOMONTH(Z135,0)&lt;&gt;Y$5),1))+IF(AC135="",0,IFERROR(--(EOMONTH(AC135,0)&lt;&gt;AB$5),1))+IF(AF135="",0,IFERROR(--(EOMONTH(AF135,0)&lt;&gt;AE$5),1))+IF(AI135="",0,IFERROR(--(EOMONTH(AI135,0)&lt;&gt;AH$5),1))+IF(AL135="",0,IFERROR(--(EOMONTH(AL135,0)&lt;&gt;AK$5),1))+IF(AO135="",0,IFERROR(--(EOMONTH(AO135,0)&lt;&gt;AN$5),1))+IF(AR135="",0,IFERROR(--(EOMONTH(AR135,0)&lt;&gt;AQ$5),1))+IF(AU135="",0,IFERROR(--(EOMONTH(AU135,0)&lt;&gt;AT$5),1))+IF(AX135="",0,IFERROR(--(EOMONTH(AX135,0)&lt;&gt;AW$5),1))+IF(BA135="",0,IFERROR(--(EOMONTH(BA135,0)&lt;&gt;AZ$5),1)))&gt;0,"; An invoice date is not in the month it is typed under",""),3,500))</f>
        <v/>
      </c>
      <c r="S135" s="12" t="n"/>
      <c r="T135" s="13" t="n"/>
      <c r="U135" s="14" t="n"/>
      <c r="V135" s="12" t="n"/>
      <c r="W135" s="13" t="n"/>
      <c r="X135" s="14" t="n"/>
      <c r="Y135" s="12" t="n"/>
      <c r="Z135" s="13" t="n"/>
      <c r="AA135" s="14" t="n"/>
      <c r="AB135" s="12" t="n"/>
      <c r="AC135" s="13" t="n"/>
      <c r="AD135" s="14" t="n"/>
      <c r="AE135" s="12" t="n"/>
      <c r="AF135" s="13" t="n"/>
      <c r="AG135" s="14" t="n"/>
      <c r="AH135" s="12" t="n"/>
      <c r="AI135" s="13" t="n"/>
      <c r="AJ135" s="14" t="n"/>
      <c r="AK135" s="12" t="n"/>
      <c r="AL135" s="13" t="n"/>
      <c r="AM135" s="14" t="n"/>
      <c r="AN135" s="12" t="n"/>
      <c r="AO135" s="13" t="n"/>
      <c r="AP135" s="14" t="n"/>
      <c r="AQ135" s="12" t="n"/>
      <c r="AR135" s="13" t="n"/>
      <c r="AS135" s="14" t="n"/>
      <c r="AT135" s="12" t="n"/>
      <c r="AU135" s="13" t="n"/>
      <c r="AV135" s="14" t="n"/>
      <c r="AW135" s="12" t="n"/>
      <c r="AX135" s="13" t="n"/>
      <c r="AY135" s="14" t="n"/>
      <c r="AZ135" s="12" t="n"/>
      <c r="BA135" s="13" t="n"/>
      <c r="BB135" s="14" t="n"/>
      <c r="BC135" s="11">
        <f>IF(O135="","",IF(J135="GST 10%",ROUND(O135*set_GSTRate,2),0))</f>
        <v/>
      </c>
      <c r="BD135" s="11">
        <f>IF(O135="","",O135+BC135)</f>
        <v/>
      </c>
      <c r="BE135" s="15">
        <f>IF(O135="","",COUNTA(S135,V135,Y135,AB135,AE135,AH135,AK135,AN135,AQ135,AT135,AW135,AZ135))</f>
        <v/>
      </c>
      <c r="BF135" s="16">
        <f>IF(COUNT(T135,W135,Z135,AC135,AF135,AI135,AL135,AO135,AR135,AU135,AX135,BA135)=0,"",MAX(T135,W135,Z135,AC135,AF135,AI135,AL135,AO135,AR135,AU135,AX135,BA135))</f>
        <v/>
      </c>
      <c r="BG135" s="10">
        <f>MID(IF(S135="","",", "&amp;S135)&amp;IF(V135="","",", "&amp;V135)&amp;IF(Y135="","",", "&amp;Y135)&amp;IF(AB135="","",", "&amp;AB135)&amp;IF(AE135="","",", "&amp;AE135)&amp;IF(AH135="","",", "&amp;AH135)&amp;IF(AK135="","",", "&amp;AK135)&amp;IF(AN135="","",", "&amp;AN135)&amp;IF(AQ135="","",", "&amp;AQ135)&amp;IF(AT135="","",", "&amp;AT135)&amp;IF(AW135="","",", "&amp;AW135)&amp;IF(AZ135="","",", "&amp;AZ135),3,500)</f>
        <v/>
      </c>
      <c r="BH135" s="12" t="n"/>
      <c r="BI135" s="15">
        <f>IFERROR(MATCH($A135,IF($B135="Onsite",tbl_Onsite[Row ID],IF($B135="Production",tbl_Production[Row ID],tbl_Consulting[Row ID])),0),"")</f>
        <v/>
      </c>
    </row>
    <row r="136">
      <c r="A136" s="10" t="inlineStr">
        <is>
          <t>ONS-0130</t>
        </is>
      </c>
      <c r="B136" s="10" t="inlineStr">
        <is>
          <t>Onsite</t>
        </is>
      </c>
      <c r="C136" s="10">
        <f>IF($BI136="","",IF($B136="Onsite",INDEX(tbl_Onsite[Job Number],$BI136),IF($B136="Production",INDEX(tbl_Production[Job Number],$BI136),INDEX(tbl_Consulting[Job Number],$BI136)))&amp;"")</f>
        <v/>
      </c>
      <c r="D136" s="10">
        <f>IF($BI136="","",IF($B136="Onsite",INDEX(tbl_Onsite[Client],$BI136),IF($B136="Production",INDEX(tbl_Production[Client],$BI136),INDEX(tbl_Consulting[Client],$BI136)))&amp;"")</f>
        <v/>
      </c>
      <c r="E136" s="10">
        <f>IF($C136="","",IF(COUNTIF(lst_Jobs,$C136)&gt;0,"OK","CHECK"))</f>
        <v/>
      </c>
      <c r="F136" s="10">
        <f>IF($C136="","",IFERROR(INDEX(lst_JobName,MATCH($C136,lst_Jobs,0)),""))</f>
        <v/>
      </c>
      <c r="G136" s="10">
        <f>IF($BI136="","",IF($B136="Onsite",INDEX(tbl_Onsite[Job Description],$BI136),IF($B136="Production",INDEX(tbl_Production[Job Description],$BI136),INDEX(tbl_Consulting[Job Description],$BI136)))&amp;"")</f>
        <v/>
      </c>
      <c r="H136" s="10">
        <f>IF($BI136="","",IF($B136="Onsite",INDEX(tbl_Onsite[Cost Centre],$BI136),IF($B136="Production",INDEX(tbl_Production[Cost Centre],$BI136),INDEX(tbl_Consulting[Cost Centre],$BI136)))&amp;"")</f>
        <v/>
      </c>
      <c r="I136" s="10">
        <f>IF($BI136="","",IF($B136="Onsite",INDEX(tbl_Onsite[Invoice Type],$BI136),IF($B136="Production",INDEX(tbl_Production[Invoice Type],$BI136),INDEX(tbl_Consulting[Invoice Type],$BI136)))&amp;"")</f>
        <v/>
      </c>
      <c r="J136" s="10">
        <f>IF($BI136="","",IF($B136="Onsite",INDEX(tbl_Onsite[Tax Code],$BI136),IF($B136="Production",INDEX(tbl_Production[Tax Code],$BI136),INDEX(tbl_Consulting[Tax Code],$BI136)))&amp;"")</f>
        <v/>
      </c>
      <c r="K136" s="10">
        <f>IF(H136="","",IFERROR(INDEX(lst_CCtoGL,MATCH(H136,lst_CCforGL,0)),""))</f>
        <v/>
      </c>
      <c r="L136" s="10">
        <f>IF($BI136="","",IF($B136="Onsite",INDEX(tbl_Onsite[PO / Reference],$BI136),IF($B136="Production",INDEX(tbl_Production[Current RMS No],$BI136),INDEX(tbl_Consulting[Qwilr Quote],$BI136)))&amp;"")</f>
        <v/>
      </c>
      <c r="M136" s="10">
        <f>IF($BI136="","",IF($B136="Onsite",INDEX(tbl_Onsite[Notes],$BI136),IF($B136="Production",INDEX(tbl_Production[Notes],$BI136),INDEX(tbl_Consulting[Notes],$BI136)))&amp;"")</f>
        <v/>
      </c>
      <c r="N136" s="11">
        <f>IF($BI136="","",IF(IF($B136="Onsite",INDEX(tbl_Onsite[Expected Revenue Ex GST],$BI136),IF($B136="Production",INDEX(tbl_Production[Expected Revenue Ex GST],$BI136),INDEX(tbl_Consulting[Expected Revenue Ex GST],$BI136)))="","",IF($B136="Onsite",INDEX(tbl_Onsite[Expected Revenue Ex GST],$BI136),IF($B136="Production",INDEX(tbl_Production[Expected Revenue Ex GST],$BI136),INDEX(tbl_Consulting[Expected Revenue Ex GST],$BI136)))))</f>
        <v/>
      </c>
      <c r="O136" s="11">
        <f>IF(AND($C136="",NOT(COUNTA($S136:$BB136)&gt;0)),"",SUM(U136,X136,AA136,AD136,AG136,AJ136,AM136,AP136,AS136,AV136,AY136,BB136))</f>
        <v/>
      </c>
      <c r="P136" s="11">
        <f>IF(O136="","",N(N136)-O136)</f>
        <v/>
      </c>
      <c r="Q136" s="10">
        <f>IF(O136="","",IF($C136="","Invoice on empty job row",IF(N136="",IF(ROUND(O136,2)=0,"No dept value","Invoiced - no dept value"),IF(ROUND(O136,2)=0,"Not invoiced - to invoice",IF(ROUND(P136,2)=0,"Agrees",IF(P136&gt;0,"Dept higher - to invoice","Xero higher - check dept"))))))</f>
        <v/>
      </c>
      <c r="R136" s="10">
        <f>IF(AND($C136="",NOT(COUNTA($S136:$BB136)&gt;0),$BI136&lt;&gt;""),"",MID(IF($BI136="","; Row ID not found on the department sheet - a row was deleted","")&amp;IF(AND($C136="",COUNTA($S136:$BB136)&gt;0),"; Invoice entered but the department row has no job number","")&amp;IF(E136="CHECK","; Job number not in the Xero job list","")&amp;IF(AND($C136&lt;&gt;"",COUNTIF($C$7:$C$1506,$C136)&gt;1),"; Job number on more than one row","")&amp;IF(AND($C136&lt;&gt;"",H136=""),"; Dept has not set a cost centre","")&amp;IF(AND($C136&lt;&gt;"",J136=""),"; Dept has not set a tax code","")&amp;IF(AND($C136&lt;&gt;"",N136=""),"; Dept has not entered an expected value","")&amp;IF((IF(OR(COUNTA(S136:U136)=0,AND(COUNTA(S136:U136)=3,ISNUMBER(U136))),0,1)+IF(OR(COUNTA(V136:X136)=0,AND(COUNTA(V136:X136)=3,ISNUMBER(X136))),0,1)+IF(OR(COUNTA(Y136:AA136)=0,AND(COUNTA(Y136:AA136)=3,ISNUMBER(AA136))),0,1)+IF(OR(COUNTA(AB136:AD136)=0,AND(COUNTA(AB136:AD136)=3,ISNUMBER(AD136))),0,1)+IF(OR(COUNTA(AE136:AG136)=0,AND(COUNTA(AE136:AG136)=3,ISNUMBER(AG136))),0,1)+IF(OR(COUNTA(AH136:AJ136)=0,AND(COUNTA(AH136:AJ136)=3,ISNUMBER(AJ136))),0,1)+IF(OR(COUNTA(AK136:AM136)=0,AND(COUNTA(AK136:AM136)=3,ISNUMBER(AM136))),0,1)+IF(OR(COUNTA(AN136:AP136)=0,AND(COUNTA(AN136:AP136)=3,ISNUMBER(AP136))),0,1)+IF(OR(COUNTA(AQ136:AS136)=0,AND(COUNTA(AQ136:AS136)=3,ISNUMBER(AS136))),0,1)+IF(OR(COUNTA(AT136:AV136)=0,AND(COUNTA(AT136:AV136)=3,ISNUMBER(AV136))),0,1)+IF(OR(COUNTA(AW136:AY136)=0,AND(COUNTA(AW136:AY136)=3,ISNUMBER(AY136))),0,1)+IF(OR(COUNTA(AZ136:BB136)=0,AND(COUNTA(AZ136:BB136)=3,ISNUMBER(BB136))),0,1))&gt;0,"; An invoice is incomplete (needs No, Date and a number in Ex GST)","")&amp;IF((IF(T136="",0,IFERROR(--(EOMONTH(T136,0)&lt;&gt;S$5),1))+IF(W136="",0,IFERROR(--(EOMONTH(W136,0)&lt;&gt;V$5),1))+IF(Z136="",0,IFERROR(--(EOMONTH(Z136,0)&lt;&gt;Y$5),1))+IF(AC136="",0,IFERROR(--(EOMONTH(AC136,0)&lt;&gt;AB$5),1))+IF(AF136="",0,IFERROR(--(EOMONTH(AF136,0)&lt;&gt;AE$5),1))+IF(AI136="",0,IFERROR(--(EOMONTH(AI136,0)&lt;&gt;AH$5),1))+IF(AL136="",0,IFERROR(--(EOMONTH(AL136,0)&lt;&gt;AK$5),1))+IF(AO136="",0,IFERROR(--(EOMONTH(AO136,0)&lt;&gt;AN$5),1))+IF(AR136="",0,IFERROR(--(EOMONTH(AR136,0)&lt;&gt;AQ$5),1))+IF(AU136="",0,IFERROR(--(EOMONTH(AU136,0)&lt;&gt;AT$5),1))+IF(AX136="",0,IFERROR(--(EOMONTH(AX136,0)&lt;&gt;AW$5),1))+IF(BA136="",0,IFERROR(--(EOMONTH(BA136,0)&lt;&gt;AZ$5),1)))&gt;0,"; An invoice date is not in the month it is typed under",""),3,500))</f>
        <v/>
      </c>
      <c r="S136" s="12" t="n"/>
      <c r="T136" s="13" t="n"/>
      <c r="U136" s="14" t="n"/>
      <c r="V136" s="12" t="n"/>
      <c r="W136" s="13" t="n"/>
      <c r="X136" s="14" t="n"/>
      <c r="Y136" s="12" t="n"/>
      <c r="Z136" s="13" t="n"/>
      <c r="AA136" s="14" t="n"/>
      <c r="AB136" s="12" t="n"/>
      <c r="AC136" s="13" t="n"/>
      <c r="AD136" s="14" t="n"/>
      <c r="AE136" s="12" t="n"/>
      <c r="AF136" s="13" t="n"/>
      <c r="AG136" s="14" t="n"/>
      <c r="AH136" s="12" t="n"/>
      <c r="AI136" s="13" t="n"/>
      <c r="AJ136" s="14" t="n"/>
      <c r="AK136" s="12" t="n"/>
      <c r="AL136" s="13" t="n"/>
      <c r="AM136" s="14" t="n"/>
      <c r="AN136" s="12" t="n"/>
      <c r="AO136" s="13" t="n"/>
      <c r="AP136" s="14" t="n"/>
      <c r="AQ136" s="12" t="n"/>
      <c r="AR136" s="13" t="n"/>
      <c r="AS136" s="14" t="n"/>
      <c r="AT136" s="12" t="n"/>
      <c r="AU136" s="13" t="n"/>
      <c r="AV136" s="14" t="n"/>
      <c r="AW136" s="12" t="n"/>
      <c r="AX136" s="13" t="n"/>
      <c r="AY136" s="14" t="n"/>
      <c r="AZ136" s="12" t="n"/>
      <c r="BA136" s="13" t="n"/>
      <c r="BB136" s="14" t="n"/>
      <c r="BC136" s="11">
        <f>IF(O136="","",IF(J136="GST 10%",ROUND(O136*set_GSTRate,2),0))</f>
        <v/>
      </c>
      <c r="BD136" s="11">
        <f>IF(O136="","",O136+BC136)</f>
        <v/>
      </c>
      <c r="BE136" s="15">
        <f>IF(O136="","",COUNTA(S136,V136,Y136,AB136,AE136,AH136,AK136,AN136,AQ136,AT136,AW136,AZ136))</f>
        <v/>
      </c>
      <c r="BF136" s="16">
        <f>IF(COUNT(T136,W136,Z136,AC136,AF136,AI136,AL136,AO136,AR136,AU136,AX136,BA136)=0,"",MAX(T136,W136,Z136,AC136,AF136,AI136,AL136,AO136,AR136,AU136,AX136,BA136))</f>
        <v/>
      </c>
      <c r="BG136" s="10">
        <f>MID(IF(S136="","",", "&amp;S136)&amp;IF(V136="","",", "&amp;V136)&amp;IF(Y136="","",", "&amp;Y136)&amp;IF(AB136="","",", "&amp;AB136)&amp;IF(AE136="","",", "&amp;AE136)&amp;IF(AH136="","",", "&amp;AH136)&amp;IF(AK136="","",", "&amp;AK136)&amp;IF(AN136="","",", "&amp;AN136)&amp;IF(AQ136="","",", "&amp;AQ136)&amp;IF(AT136="","",", "&amp;AT136)&amp;IF(AW136="","",", "&amp;AW136)&amp;IF(AZ136="","",", "&amp;AZ136),3,500)</f>
        <v/>
      </c>
      <c r="BH136" s="12" t="n"/>
      <c r="BI136" s="15">
        <f>IFERROR(MATCH($A136,IF($B136="Onsite",tbl_Onsite[Row ID],IF($B136="Production",tbl_Production[Row ID],tbl_Consulting[Row ID])),0),"")</f>
        <v/>
      </c>
    </row>
    <row r="137">
      <c r="A137" s="10" t="inlineStr">
        <is>
          <t>ONS-0131</t>
        </is>
      </c>
      <c r="B137" s="10" t="inlineStr">
        <is>
          <t>Onsite</t>
        </is>
      </c>
      <c r="C137" s="10">
        <f>IF($BI137="","",IF($B137="Onsite",INDEX(tbl_Onsite[Job Number],$BI137),IF($B137="Production",INDEX(tbl_Production[Job Number],$BI137),INDEX(tbl_Consulting[Job Number],$BI137)))&amp;"")</f>
        <v/>
      </c>
      <c r="D137" s="10">
        <f>IF($BI137="","",IF($B137="Onsite",INDEX(tbl_Onsite[Client],$BI137),IF($B137="Production",INDEX(tbl_Production[Client],$BI137),INDEX(tbl_Consulting[Client],$BI137)))&amp;"")</f>
        <v/>
      </c>
      <c r="E137" s="10">
        <f>IF($C137="","",IF(COUNTIF(lst_Jobs,$C137)&gt;0,"OK","CHECK"))</f>
        <v/>
      </c>
      <c r="F137" s="10">
        <f>IF($C137="","",IFERROR(INDEX(lst_JobName,MATCH($C137,lst_Jobs,0)),""))</f>
        <v/>
      </c>
      <c r="G137" s="10">
        <f>IF($BI137="","",IF($B137="Onsite",INDEX(tbl_Onsite[Job Description],$BI137),IF($B137="Production",INDEX(tbl_Production[Job Description],$BI137),INDEX(tbl_Consulting[Job Description],$BI137)))&amp;"")</f>
        <v/>
      </c>
      <c r="H137" s="10">
        <f>IF($BI137="","",IF($B137="Onsite",INDEX(tbl_Onsite[Cost Centre],$BI137),IF($B137="Production",INDEX(tbl_Production[Cost Centre],$BI137),INDEX(tbl_Consulting[Cost Centre],$BI137)))&amp;"")</f>
        <v/>
      </c>
      <c r="I137" s="10">
        <f>IF($BI137="","",IF($B137="Onsite",INDEX(tbl_Onsite[Invoice Type],$BI137),IF($B137="Production",INDEX(tbl_Production[Invoice Type],$BI137),INDEX(tbl_Consulting[Invoice Type],$BI137)))&amp;"")</f>
        <v/>
      </c>
      <c r="J137" s="10">
        <f>IF($BI137="","",IF($B137="Onsite",INDEX(tbl_Onsite[Tax Code],$BI137),IF($B137="Production",INDEX(tbl_Production[Tax Code],$BI137),INDEX(tbl_Consulting[Tax Code],$BI137)))&amp;"")</f>
        <v/>
      </c>
      <c r="K137" s="10">
        <f>IF(H137="","",IFERROR(INDEX(lst_CCtoGL,MATCH(H137,lst_CCforGL,0)),""))</f>
        <v/>
      </c>
      <c r="L137" s="10">
        <f>IF($BI137="","",IF($B137="Onsite",INDEX(tbl_Onsite[PO / Reference],$BI137),IF($B137="Production",INDEX(tbl_Production[Current RMS No],$BI137),INDEX(tbl_Consulting[Qwilr Quote],$BI137)))&amp;"")</f>
        <v/>
      </c>
      <c r="M137" s="10">
        <f>IF($BI137="","",IF($B137="Onsite",INDEX(tbl_Onsite[Notes],$BI137),IF($B137="Production",INDEX(tbl_Production[Notes],$BI137),INDEX(tbl_Consulting[Notes],$BI137)))&amp;"")</f>
        <v/>
      </c>
      <c r="N137" s="11">
        <f>IF($BI137="","",IF(IF($B137="Onsite",INDEX(tbl_Onsite[Expected Revenue Ex GST],$BI137),IF($B137="Production",INDEX(tbl_Production[Expected Revenue Ex GST],$BI137),INDEX(tbl_Consulting[Expected Revenue Ex GST],$BI137)))="","",IF($B137="Onsite",INDEX(tbl_Onsite[Expected Revenue Ex GST],$BI137),IF($B137="Production",INDEX(tbl_Production[Expected Revenue Ex GST],$BI137),INDEX(tbl_Consulting[Expected Revenue Ex GST],$BI137)))))</f>
        <v/>
      </c>
      <c r="O137" s="11">
        <f>IF(AND($C137="",NOT(COUNTA($S137:$BB137)&gt;0)),"",SUM(U137,X137,AA137,AD137,AG137,AJ137,AM137,AP137,AS137,AV137,AY137,BB137))</f>
        <v/>
      </c>
      <c r="P137" s="11">
        <f>IF(O137="","",N(N137)-O137)</f>
        <v/>
      </c>
      <c r="Q137" s="10">
        <f>IF(O137="","",IF($C137="","Invoice on empty job row",IF(N137="",IF(ROUND(O137,2)=0,"No dept value","Invoiced - no dept value"),IF(ROUND(O137,2)=0,"Not invoiced - to invoice",IF(ROUND(P137,2)=0,"Agrees",IF(P137&gt;0,"Dept higher - to invoice","Xero higher - check dept"))))))</f>
        <v/>
      </c>
      <c r="R137" s="10">
        <f>IF(AND($C137="",NOT(COUNTA($S137:$BB137)&gt;0),$BI137&lt;&gt;""),"",MID(IF($BI137="","; Row ID not found on the department sheet - a row was deleted","")&amp;IF(AND($C137="",COUNTA($S137:$BB137)&gt;0),"; Invoice entered but the department row has no job number","")&amp;IF(E137="CHECK","; Job number not in the Xero job list","")&amp;IF(AND($C137&lt;&gt;"",COUNTIF($C$7:$C$1506,$C137)&gt;1),"; Job number on more than one row","")&amp;IF(AND($C137&lt;&gt;"",H137=""),"; Dept has not set a cost centre","")&amp;IF(AND($C137&lt;&gt;"",J137=""),"; Dept has not set a tax code","")&amp;IF(AND($C137&lt;&gt;"",N137=""),"; Dept has not entered an expected value","")&amp;IF((IF(OR(COUNTA(S137:U137)=0,AND(COUNTA(S137:U137)=3,ISNUMBER(U137))),0,1)+IF(OR(COUNTA(V137:X137)=0,AND(COUNTA(V137:X137)=3,ISNUMBER(X137))),0,1)+IF(OR(COUNTA(Y137:AA137)=0,AND(COUNTA(Y137:AA137)=3,ISNUMBER(AA137))),0,1)+IF(OR(COUNTA(AB137:AD137)=0,AND(COUNTA(AB137:AD137)=3,ISNUMBER(AD137))),0,1)+IF(OR(COUNTA(AE137:AG137)=0,AND(COUNTA(AE137:AG137)=3,ISNUMBER(AG137))),0,1)+IF(OR(COUNTA(AH137:AJ137)=0,AND(COUNTA(AH137:AJ137)=3,ISNUMBER(AJ137))),0,1)+IF(OR(COUNTA(AK137:AM137)=0,AND(COUNTA(AK137:AM137)=3,ISNUMBER(AM137))),0,1)+IF(OR(COUNTA(AN137:AP137)=0,AND(COUNTA(AN137:AP137)=3,ISNUMBER(AP137))),0,1)+IF(OR(COUNTA(AQ137:AS137)=0,AND(COUNTA(AQ137:AS137)=3,ISNUMBER(AS137))),0,1)+IF(OR(COUNTA(AT137:AV137)=0,AND(COUNTA(AT137:AV137)=3,ISNUMBER(AV137))),0,1)+IF(OR(COUNTA(AW137:AY137)=0,AND(COUNTA(AW137:AY137)=3,ISNUMBER(AY137))),0,1)+IF(OR(COUNTA(AZ137:BB137)=0,AND(COUNTA(AZ137:BB137)=3,ISNUMBER(BB137))),0,1))&gt;0,"; An invoice is incomplete (needs No, Date and a number in Ex GST)","")&amp;IF((IF(T137="",0,IFERROR(--(EOMONTH(T137,0)&lt;&gt;S$5),1))+IF(W137="",0,IFERROR(--(EOMONTH(W137,0)&lt;&gt;V$5),1))+IF(Z137="",0,IFERROR(--(EOMONTH(Z137,0)&lt;&gt;Y$5),1))+IF(AC137="",0,IFERROR(--(EOMONTH(AC137,0)&lt;&gt;AB$5),1))+IF(AF137="",0,IFERROR(--(EOMONTH(AF137,0)&lt;&gt;AE$5),1))+IF(AI137="",0,IFERROR(--(EOMONTH(AI137,0)&lt;&gt;AH$5),1))+IF(AL137="",0,IFERROR(--(EOMONTH(AL137,0)&lt;&gt;AK$5),1))+IF(AO137="",0,IFERROR(--(EOMONTH(AO137,0)&lt;&gt;AN$5),1))+IF(AR137="",0,IFERROR(--(EOMONTH(AR137,0)&lt;&gt;AQ$5),1))+IF(AU137="",0,IFERROR(--(EOMONTH(AU137,0)&lt;&gt;AT$5),1))+IF(AX137="",0,IFERROR(--(EOMONTH(AX137,0)&lt;&gt;AW$5),1))+IF(BA137="",0,IFERROR(--(EOMONTH(BA137,0)&lt;&gt;AZ$5),1)))&gt;0,"; An invoice date is not in the month it is typed under",""),3,500))</f>
        <v/>
      </c>
      <c r="S137" s="12" t="n"/>
      <c r="T137" s="13" t="n"/>
      <c r="U137" s="14" t="n"/>
      <c r="V137" s="12" t="n"/>
      <c r="W137" s="13" t="n"/>
      <c r="X137" s="14" t="n"/>
      <c r="Y137" s="12" t="n"/>
      <c r="Z137" s="13" t="n"/>
      <c r="AA137" s="14" t="n"/>
      <c r="AB137" s="12" t="n"/>
      <c r="AC137" s="13" t="n"/>
      <c r="AD137" s="14" t="n"/>
      <c r="AE137" s="12" t="n"/>
      <c r="AF137" s="13" t="n"/>
      <c r="AG137" s="14" t="n"/>
      <c r="AH137" s="12" t="n"/>
      <c r="AI137" s="13" t="n"/>
      <c r="AJ137" s="14" t="n"/>
      <c r="AK137" s="12" t="n"/>
      <c r="AL137" s="13" t="n"/>
      <c r="AM137" s="14" t="n"/>
      <c r="AN137" s="12" t="n"/>
      <c r="AO137" s="13" t="n"/>
      <c r="AP137" s="14" t="n"/>
      <c r="AQ137" s="12" t="n"/>
      <c r="AR137" s="13" t="n"/>
      <c r="AS137" s="14" t="n"/>
      <c r="AT137" s="12" t="n"/>
      <c r="AU137" s="13" t="n"/>
      <c r="AV137" s="14" t="n"/>
      <c r="AW137" s="12" t="n"/>
      <c r="AX137" s="13" t="n"/>
      <c r="AY137" s="14" t="n"/>
      <c r="AZ137" s="12" t="n"/>
      <c r="BA137" s="13" t="n"/>
      <c r="BB137" s="14" t="n"/>
      <c r="BC137" s="11">
        <f>IF(O137="","",IF(J137="GST 10%",ROUND(O137*set_GSTRate,2),0))</f>
        <v/>
      </c>
      <c r="BD137" s="11">
        <f>IF(O137="","",O137+BC137)</f>
        <v/>
      </c>
      <c r="BE137" s="15">
        <f>IF(O137="","",COUNTA(S137,V137,Y137,AB137,AE137,AH137,AK137,AN137,AQ137,AT137,AW137,AZ137))</f>
        <v/>
      </c>
      <c r="BF137" s="16">
        <f>IF(COUNT(T137,W137,Z137,AC137,AF137,AI137,AL137,AO137,AR137,AU137,AX137,BA137)=0,"",MAX(T137,W137,Z137,AC137,AF137,AI137,AL137,AO137,AR137,AU137,AX137,BA137))</f>
        <v/>
      </c>
      <c r="BG137" s="10">
        <f>MID(IF(S137="","",", "&amp;S137)&amp;IF(V137="","",", "&amp;V137)&amp;IF(Y137="","",", "&amp;Y137)&amp;IF(AB137="","",", "&amp;AB137)&amp;IF(AE137="","",", "&amp;AE137)&amp;IF(AH137="","",", "&amp;AH137)&amp;IF(AK137="","",", "&amp;AK137)&amp;IF(AN137="","",", "&amp;AN137)&amp;IF(AQ137="","",", "&amp;AQ137)&amp;IF(AT137="","",", "&amp;AT137)&amp;IF(AW137="","",", "&amp;AW137)&amp;IF(AZ137="","",", "&amp;AZ137),3,500)</f>
        <v/>
      </c>
      <c r="BH137" s="12" t="n"/>
      <c r="BI137" s="15">
        <f>IFERROR(MATCH($A137,IF($B137="Onsite",tbl_Onsite[Row ID],IF($B137="Production",tbl_Production[Row ID],tbl_Consulting[Row ID])),0),"")</f>
        <v/>
      </c>
    </row>
    <row r="138">
      <c r="A138" s="10" t="inlineStr">
        <is>
          <t>ONS-0132</t>
        </is>
      </c>
      <c r="B138" s="10" t="inlineStr">
        <is>
          <t>Onsite</t>
        </is>
      </c>
      <c r="C138" s="10">
        <f>IF($BI138="","",IF($B138="Onsite",INDEX(tbl_Onsite[Job Number],$BI138),IF($B138="Production",INDEX(tbl_Production[Job Number],$BI138),INDEX(tbl_Consulting[Job Number],$BI138)))&amp;"")</f>
        <v/>
      </c>
      <c r="D138" s="10">
        <f>IF($BI138="","",IF($B138="Onsite",INDEX(tbl_Onsite[Client],$BI138),IF($B138="Production",INDEX(tbl_Production[Client],$BI138),INDEX(tbl_Consulting[Client],$BI138)))&amp;"")</f>
        <v/>
      </c>
      <c r="E138" s="10">
        <f>IF($C138="","",IF(COUNTIF(lst_Jobs,$C138)&gt;0,"OK","CHECK"))</f>
        <v/>
      </c>
      <c r="F138" s="10">
        <f>IF($C138="","",IFERROR(INDEX(lst_JobName,MATCH($C138,lst_Jobs,0)),""))</f>
        <v/>
      </c>
      <c r="G138" s="10">
        <f>IF($BI138="","",IF($B138="Onsite",INDEX(tbl_Onsite[Job Description],$BI138),IF($B138="Production",INDEX(tbl_Production[Job Description],$BI138),INDEX(tbl_Consulting[Job Description],$BI138)))&amp;"")</f>
        <v/>
      </c>
      <c r="H138" s="10">
        <f>IF($BI138="","",IF($B138="Onsite",INDEX(tbl_Onsite[Cost Centre],$BI138),IF($B138="Production",INDEX(tbl_Production[Cost Centre],$BI138),INDEX(tbl_Consulting[Cost Centre],$BI138)))&amp;"")</f>
        <v/>
      </c>
      <c r="I138" s="10">
        <f>IF($BI138="","",IF($B138="Onsite",INDEX(tbl_Onsite[Invoice Type],$BI138),IF($B138="Production",INDEX(tbl_Production[Invoice Type],$BI138),INDEX(tbl_Consulting[Invoice Type],$BI138)))&amp;"")</f>
        <v/>
      </c>
      <c r="J138" s="10">
        <f>IF($BI138="","",IF($B138="Onsite",INDEX(tbl_Onsite[Tax Code],$BI138),IF($B138="Production",INDEX(tbl_Production[Tax Code],$BI138),INDEX(tbl_Consulting[Tax Code],$BI138)))&amp;"")</f>
        <v/>
      </c>
      <c r="K138" s="10">
        <f>IF(H138="","",IFERROR(INDEX(lst_CCtoGL,MATCH(H138,lst_CCforGL,0)),""))</f>
        <v/>
      </c>
      <c r="L138" s="10">
        <f>IF($BI138="","",IF($B138="Onsite",INDEX(tbl_Onsite[PO / Reference],$BI138),IF($B138="Production",INDEX(tbl_Production[Current RMS No],$BI138),INDEX(tbl_Consulting[Qwilr Quote],$BI138)))&amp;"")</f>
        <v/>
      </c>
      <c r="M138" s="10">
        <f>IF($BI138="","",IF($B138="Onsite",INDEX(tbl_Onsite[Notes],$BI138),IF($B138="Production",INDEX(tbl_Production[Notes],$BI138),INDEX(tbl_Consulting[Notes],$BI138)))&amp;"")</f>
        <v/>
      </c>
      <c r="N138" s="11">
        <f>IF($BI138="","",IF(IF($B138="Onsite",INDEX(tbl_Onsite[Expected Revenue Ex GST],$BI138),IF($B138="Production",INDEX(tbl_Production[Expected Revenue Ex GST],$BI138),INDEX(tbl_Consulting[Expected Revenue Ex GST],$BI138)))="","",IF($B138="Onsite",INDEX(tbl_Onsite[Expected Revenue Ex GST],$BI138),IF($B138="Production",INDEX(tbl_Production[Expected Revenue Ex GST],$BI138),INDEX(tbl_Consulting[Expected Revenue Ex GST],$BI138)))))</f>
        <v/>
      </c>
      <c r="O138" s="11">
        <f>IF(AND($C138="",NOT(COUNTA($S138:$BB138)&gt;0)),"",SUM(U138,X138,AA138,AD138,AG138,AJ138,AM138,AP138,AS138,AV138,AY138,BB138))</f>
        <v/>
      </c>
      <c r="P138" s="11">
        <f>IF(O138="","",N(N138)-O138)</f>
        <v/>
      </c>
      <c r="Q138" s="10">
        <f>IF(O138="","",IF($C138="","Invoice on empty job row",IF(N138="",IF(ROUND(O138,2)=0,"No dept value","Invoiced - no dept value"),IF(ROUND(O138,2)=0,"Not invoiced - to invoice",IF(ROUND(P138,2)=0,"Agrees",IF(P138&gt;0,"Dept higher - to invoice","Xero higher - check dept"))))))</f>
        <v/>
      </c>
      <c r="R138" s="10">
        <f>IF(AND($C138="",NOT(COUNTA($S138:$BB138)&gt;0),$BI138&lt;&gt;""),"",MID(IF($BI138="","; Row ID not found on the department sheet - a row was deleted","")&amp;IF(AND($C138="",COUNTA($S138:$BB138)&gt;0),"; Invoice entered but the department row has no job number","")&amp;IF(E138="CHECK","; Job number not in the Xero job list","")&amp;IF(AND($C138&lt;&gt;"",COUNTIF($C$7:$C$1506,$C138)&gt;1),"; Job number on more than one row","")&amp;IF(AND($C138&lt;&gt;"",H138=""),"; Dept has not set a cost centre","")&amp;IF(AND($C138&lt;&gt;"",J138=""),"; Dept has not set a tax code","")&amp;IF(AND($C138&lt;&gt;"",N138=""),"; Dept has not entered an expected value","")&amp;IF((IF(OR(COUNTA(S138:U138)=0,AND(COUNTA(S138:U138)=3,ISNUMBER(U138))),0,1)+IF(OR(COUNTA(V138:X138)=0,AND(COUNTA(V138:X138)=3,ISNUMBER(X138))),0,1)+IF(OR(COUNTA(Y138:AA138)=0,AND(COUNTA(Y138:AA138)=3,ISNUMBER(AA138))),0,1)+IF(OR(COUNTA(AB138:AD138)=0,AND(COUNTA(AB138:AD138)=3,ISNUMBER(AD138))),0,1)+IF(OR(COUNTA(AE138:AG138)=0,AND(COUNTA(AE138:AG138)=3,ISNUMBER(AG138))),0,1)+IF(OR(COUNTA(AH138:AJ138)=0,AND(COUNTA(AH138:AJ138)=3,ISNUMBER(AJ138))),0,1)+IF(OR(COUNTA(AK138:AM138)=0,AND(COUNTA(AK138:AM138)=3,ISNUMBER(AM138))),0,1)+IF(OR(COUNTA(AN138:AP138)=0,AND(COUNTA(AN138:AP138)=3,ISNUMBER(AP138))),0,1)+IF(OR(COUNTA(AQ138:AS138)=0,AND(COUNTA(AQ138:AS138)=3,ISNUMBER(AS138))),0,1)+IF(OR(COUNTA(AT138:AV138)=0,AND(COUNTA(AT138:AV138)=3,ISNUMBER(AV138))),0,1)+IF(OR(COUNTA(AW138:AY138)=0,AND(COUNTA(AW138:AY138)=3,ISNUMBER(AY138))),0,1)+IF(OR(COUNTA(AZ138:BB138)=0,AND(COUNTA(AZ138:BB138)=3,ISNUMBER(BB138))),0,1))&gt;0,"; An invoice is incomplete (needs No, Date and a number in Ex GST)","")&amp;IF((IF(T138="",0,IFERROR(--(EOMONTH(T138,0)&lt;&gt;S$5),1))+IF(W138="",0,IFERROR(--(EOMONTH(W138,0)&lt;&gt;V$5),1))+IF(Z138="",0,IFERROR(--(EOMONTH(Z138,0)&lt;&gt;Y$5),1))+IF(AC138="",0,IFERROR(--(EOMONTH(AC138,0)&lt;&gt;AB$5),1))+IF(AF138="",0,IFERROR(--(EOMONTH(AF138,0)&lt;&gt;AE$5),1))+IF(AI138="",0,IFERROR(--(EOMONTH(AI138,0)&lt;&gt;AH$5),1))+IF(AL138="",0,IFERROR(--(EOMONTH(AL138,0)&lt;&gt;AK$5),1))+IF(AO138="",0,IFERROR(--(EOMONTH(AO138,0)&lt;&gt;AN$5),1))+IF(AR138="",0,IFERROR(--(EOMONTH(AR138,0)&lt;&gt;AQ$5),1))+IF(AU138="",0,IFERROR(--(EOMONTH(AU138,0)&lt;&gt;AT$5),1))+IF(AX138="",0,IFERROR(--(EOMONTH(AX138,0)&lt;&gt;AW$5),1))+IF(BA138="",0,IFERROR(--(EOMONTH(BA138,0)&lt;&gt;AZ$5),1)))&gt;0,"; An invoice date is not in the month it is typed under",""),3,500))</f>
        <v/>
      </c>
      <c r="S138" s="12" t="n"/>
      <c r="T138" s="13" t="n"/>
      <c r="U138" s="14" t="n"/>
      <c r="V138" s="12" t="n"/>
      <c r="W138" s="13" t="n"/>
      <c r="X138" s="14" t="n"/>
      <c r="Y138" s="12" t="n"/>
      <c r="Z138" s="13" t="n"/>
      <c r="AA138" s="14" t="n"/>
      <c r="AB138" s="12" t="n"/>
      <c r="AC138" s="13" t="n"/>
      <c r="AD138" s="14" t="n"/>
      <c r="AE138" s="12" t="n"/>
      <c r="AF138" s="13" t="n"/>
      <c r="AG138" s="14" t="n"/>
      <c r="AH138" s="12" t="n"/>
      <c r="AI138" s="13" t="n"/>
      <c r="AJ138" s="14" t="n"/>
      <c r="AK138" s="12" t="n"/>
      <c r="AL138" s="13" t="n"/>
      <c r="AM138" s="14" t="n"/>
      <c r="AN138" s="12" t="n"/>
      <c r="AO138" s="13" t="n"/>
      <c r="AP138" s="14" t="n"/>
      <c r="AQ138" s="12" t="n"/>
      <c r="AR138" s="13" t="n"/>
      <c r="AS138" s="14" t="n"/>
      <c r="AT138" s="12" t="n"/>
      <c r="AU138" s="13" t="n"/>
      <c r="AV138" s="14" t="n"/>
      <c r="AW138" s="12" t="n"/>
      <c r="AX138" s="13" t="n"/>
      <c r="AY138" s="14" t="n"/>
      <c r="AZ138" s="12" t="n"/>
      <c r="BA138" s="13" t="n"/>
      <c r="BB138" s="14" t="n"/>
      <c r="BC138" s="11">
        <f>IF(O138="","",IF(J138="GST 10%",ROUND(O138*set_GSTRate,2),0))</f>
        <v/>
      </c>
      <c r="BD138" s="11">
        <f>IF(O138="","",O138+BC138)</f>
        <v/>
      </c>
      <c r="BE138" s="15">
        <f>IF(O138="","",COUNTA(S138,V138,Y138,AB138,AE138,AH138,AK138,AN138,AQ138,AT138,AW138,AZ138))</f>
        <v/>
      </c>
      <c r="BF138" s="16">
        <f>IF(COUNT(T138,W138,Z138,AC138,AF138,AI138,AL138,AO138,AR138,AU138,AX138,BA138)=0,"",MAX(T138,W138,Z138,AC138,AF138,AI138,AL138,AO138,AR138,AU138,AX138,BA138))</f>
        <v/>
      </c>
      <c r="BG138" s="10">
        <f>MID(IF(S138="","",", "&amp;S138)&amp;IF(V138="","",", "&amp;V138)&amp;IF(Y138="","",", "&amp;Y138)&amp;IF(AB138="","",", "&amp;AB138)&amp;IF(AE138="","",", "&amp;AE138)&amp;IF(AH138="","",", "&amp;AH138)&amp;IF(AK138="","",", "&amp;AK138)&amp;IF(AN138="","",", "&amp;AN138)&amp;IF(AQ138="","",", "&amp;AQ138)&amp;IF(AT138="","",", "&amp;AT138)&amp;IF(AW138="","",", "&amp;AW138)&amp;IF(AZ138="","",", "&amp;AZ138),3,500)</f>
        <v/>
      </c>
      <c r="BH138" s="12" t="n"/>
      <c r="BI138" s="15">
        <f>IFERROR(MATCH($A138,IF($B138="Onsite",tbl_Onsite[Row ID],IF($B138="Production",tbl_Production[Row ID],tbl_Consulting[Row ID])),0),"")</f>
        <v/>
      </c>
    </row>
    <row r="139">
      <c r="A139" s="10" t="inlineStr">
        <is>
          <t>ONS-0133</t>
        </is>
      </c>
      <c r="B139" s="10" t="inlineStr">
        <is>
          <t>Onsite</t>
        </is>
      </c>
      <c r="C139" s="10">
        <f>IF($BI139="","",IF($B139="Onsite",INDEX(tbl_Onsite[Job Number],$BI139),IF($B139="Production",INDEX(tbl_Production[Job Number],$BI139),INDEX(tbl_Consulting[Job Number],$BI139)))&amp;"")</f>
        <v/>
      </c>
      <c r="D139" s="10">
        <f>IF($BI139="","",IF($B139="Onsite",INDEX(tbl_Onsite[Client],$BI139),IF($B139="Production",INDEX(tbl_Production[Client],$BI139),INDEX(tbl_Consulting[Client],$BI139)))&amp;"")</f>
        <v/>
      </c>
      <c r="E139" s="10">
        <f>IF($C139="","",IF(COUNTIF(lst_Jobs,$C139)&gt;0,"OK","CHECK"))</f>
        <v/>
      </c>
      <c r="F139" s="10">
        <f>IF($C139="","",IFERROR(INDEX(lst_JobName,MATCH($C139,lst_Jobs,0)),""))</f>
        <v/>
      </c>
      <c r="G139" s="10">
        <f>IF($BI139="","",IF($B139="Onsite",INDEX(tbl_Onsite[Job Description],$BI139),IF($B139="Production",INDEX(tbl_Production[Job Description],$BI139),INDEX(tbl_Consulting[Job Description],$BI139)))&amp;"")</f>
        <v/>
      </c>
      <c r="H139" s="10">
        <f>IF($BI139="","",IF($B139="Onsite",INDEX(tbl_Onsite[Cost Centre],$BI139),IF($B139="Production",INDEX(tbl_Production[Cost Centre],$BI139),INDEX(tbl_Consulting[Cost Centre],$BI139)))&amp;"")</f>
        <v/>
      </c>
      <c r="I139" s="10">
        <f>IF($BI139="","",IF($B139="Onsite",INDEX(tbl_Onsite[Invoice Type],$BI139),IF($B139="Production",INDEX(tbl_Production[Invoice Type],$BI139),INDEX(tbl_Consulting[Invoice Type],$BI139)))&amp;"")</f>
        <v/>
      </c>
      <c r="J139" s="10">
        <f>IF($BI139="","",IF($B139="Onsite",INDEX(tbl_Onsite[Tax Code],$BI139),IF($B139="Production",INDEX(tbl_Production[Tax Code],$BI139),INDEX(tbl_Consulting[Tax Code],$BI139)))&amp;"")</f>
        <v/>
      </c>
      <c r="K139" s="10">
        <f>IF(H139="","",IFERROR(INDEX(lst_CCtoGL,MATCH(H139,lst_CCforGL,0)),""))</f>
        <v/>
      </c>
      <c r="L139" s="10">
        <f>IF($BI139="","",IF($B139="Onsite",INDEX(tbl_Onsite[PO / Reference],$BI139),IF($B139="Production",INDEX(tbl_Production[Current RMS No],$BI139),INDEX(tbl_Consulting[Qwilr Quote],$BI139)))&amp;"")</f>
        <v/>
      </c>
      <c r="M139" s="10">
        <f>IF($BI139="","",IF($B139="Onsite",INDEX(tbl_Onsite[Notes],$BI139),IF($B139="Production",INDEX(tbl_Production[Notes],$BI139),INDEX(tbl_Consulting[Notes],$BI139)))&amp;"")</f>
        <v/>
      </c>
      <c r="N139" s="11">
        <f>IF($BI139="","",IF(IF($B139="Onsite",INDEX(tbl_Onsite[Expected Revenue Ex GST],$BI139),IF($B139="Production",INDEX(tbl_Production[Expected Revenue Ex GST],$BI139),INDEX(tbl_Consulting[Expected Revenue Ex GST],$BI139)))="","",IF($B139="Onsite",INDEX(tbl_Onsite[Expected Revenue Ex GST],$BI139),IF($B139="Production",INDEX(tbl_Production[Expected Revenue Ex GST],$BI139),INDEX(tbl_Consulting[Expected Revenue Ex GST],$BI139)))))</f>
        <v/>
      </c>
      <c r="O139" s="11">
        <f>IF(AND($C139="",NOT(COUNTA($S139:$BB139)&gt;0)),"",SUM(U139,X139,AA139,AD139,AG139,AJ139,AM139,AP139,AS139,AV139,AY139,BB139))</f>
        <v/>
      </c>
      <c r="P139" s="11">
        <f>IF(O139="","",N(N139)-O139)</f>
        <v/>
      </c>
      <c r="Q139" s="10">
        <f>IF(O139="","",IF($C139="","Invoice on empty job row",IF(N139="",IF(ROUND(O139,2)=0,"No dept value","Invoiced - no dept value"),IF(ROUND(O139,2)=0,"Not invoiced - to invoice",IF(ROUND(P139,2)=0,"Agrees",IF(P139&gt;0,"Dept higher - to invoice","Xero higher - check dept"))))))</f>
        <v/>
      </c>
      <c r="R139" s="10">
        <f>IF(AND($C139="",NOT(COUNTA($S139:$BB139)&gt;0),$BI139&lt;&gt;""),"",MID(IF($BI139="","; Row ID not found on the department sheet - a row was deleted","")&amp;IF(AND($C139="",COUNTA($S139:$BB139)&gt;0),"; Invoice entered but the department row has no job number","")&amp;IF(E139="CHECK","; Job number not in the Xero job list","")&amp;IF(AND($C139&lt;&gt;"",COUNTIF($C$7:$C$1506,$C139)&gt;1),"; Job number on more than one row","")&amp;IF(AND($C139&lt;&gt;"",H139=""),"; Dept has not set a cost centre","")&amp;IF(AND($C139&lt;&gt;"",J139=""),"; Dept has not set a tax code","")&amp;IF(AND($C139&lt;&gt;"",N139=""),"; Dept has not entered an expected value","")&amp;IF((IF(OR(COUNTA(S139:U139)=0,AND(COUNTA(S139:U139)=3,ISNUMBER(U139))),0,1)+IF(OR(COUNTA(V139:X139)=0,AND(COUNTA(V139:X139)=3,ISNUMBER(X139))),0,1)+IF(OR(COUNTA(Y139:AA139)=0,AND(COUNTA(Y139:AA139)=3,ISNUMBER(AA139))),0,1)+IF(OR(COUNTA(AB139:AD139)=0,AND(COUNTA(AB139:AD139)=3,ISNUMBER(AD139))),0,1)+IF(OR(COUNTA(AE139:AG139)=0,AND(COUNTA(AE139:AG139)=3,ISNUMBER(AG139))),0,1)+IF(OR(COUNTA(AH139:AJ139)=0,AND(COUNTA(AH139:AJ139)=3,ISNUMBER(AJ139))),0,1)+IF(OR(COUNTA(AK139:AM139)=0,AND(COUNTA(AK139:AM139)=3,ISNUMBER(AM139))),0,1)+IF(OR(COUNTA(AN139:AP139)=0,AND(COUNTA(AN139:AP139)=3,ISNUMBER(AP139))),0,1)+IF(OR(COUNTA(AQ139:AS139)=0,AND(COUNTA(AQ139:AS139)=3,ISNUMBER(AS139))),0,1)+IF(OR(COUNTA(AT139:AV139)=0,AND(COUNTA(AT139:AV139)=3,ISNUMBER(AV139))),0,1)+IF(OR(COUNTA(AW139:AY139)=0,AND(COUNTA(AW139:AY139)=3,ISNUMBER(AY139))),0,1)+IF(OR(COUNTA(AZ139:BB139)=0,AND(COUNTA(AZ139:BB139)=3,ISNUMBER(BB139))),0,1))&gt;0,"; An invoice is incomplete (needs No, Date and a number in Ex GST)","")&amp;IF((IF(T139="",0,IFERROR(--(EOMONTH(T139,0)&lt;&gt;S$5),1))+IF(W139="",0,IFERROR(--(EOMONTH(W139,0)&lt;&gt;V$5),1))+IF(Z139="",0,IFERROR(--(EOMONTH(Z139,0)&lt;&gt;Y$5),1))+IF(AC139="",0,IFERROR(--(EOMONTH(AC139,0)&lt;&gt;AB$5),1))+IF(AF139="",0,IFERROR(--(EOMONTH(AF139,0)&lt;&gt;AE$5),1))+IF(AI139="",0,IFERROR(--(EOMONTH(AI139,0)&lt;&gt;AH$5),1))+IF(AL139="",0,IFERROR(--(EOMONTH(AL139,0)&lt;&gt;AK$5),1))+IF(AO139="",0,IFERROR(--(EOMONTH(AO139,0)&lt;&gt;AN$5),1))+IF(AR139="",0,IFERROR(--(EOMONTH(AR139,0)&lt;&gt;AQ$5),1))+IF(AU139="",0,IFERROR(--(EOMONTH(AU139,0)&lt;&gt;AT$5),1))+IF(AX139="",0,IFERROR(--(EOMONTH(AX139,0)&lt;&gt;AW$5),1))+IF(BA139="",0,IFERROR(--(EOMONTH(BA139,0)&lt;&gt;AZ$5),1)))&gt;0,"; An invoice date is not in the month it is typed under",""),3,500))</f>
        <v/>
      </c>
      <c r="S139" s="12" t="n"/>
      <c r="T139" s="13" t="n"/>
      <c r="U139" s="14" t="n"/>
      <c r="V139" s="12" t="n"/>
      <c r="W139" s="13" t="n"/>
      <c r="X139" s="14" t="n"/>
      <c r="Y139" s="12" t="n"/>
      <c r="Z139" s="13" t="n"/>
      <c r="AA139" s="14" t="n"/>
      <c r="AB139" s="12" t="n"/>
      <c r="AC139" s="13" t="n"/>
      <c r="AD139" s="14" t="n"/>
      <c r="AE139" s="12" t="n"/>
      <c r="AF139" s="13" t="n"/>
      <c r="AG139" s="14" t="n"/>
      <c r="AH139" s="12" t="n"/>
      <c r="AI139" s="13" t="n"/>
      <c r="AJ139" s="14" t="n"/>
      <c r="AK139" s="12" t="n"/>
      <c r="AL139" s="13" t="n"/>
      <c r="AM139" s="14" t="n"/>
      <c r="AN139" s="12" t="n"/>
      <c r="AO139" s="13" t="n"/>
      <c r="AP139" s="14" t="n"/>
      <c r="AQ139" s="12" t="n"/>
      <c r="AR139" s="13" t="n"/>
      <c r="AS139" s="14" t="n"/>
      <c r="AT139" s="12" t="n"/>
      <c r="AU139" s="13" t="n"/>
      <c r="AV139" s="14" t="n"/>
      <c r="AW139" s="12" t="n"/>
      <c r="AX139" s="13" t="n"/>
      <c r="AY139" s="14" t="n"/>
      <c r="AZ139" s="12" t="n"/>
      <c r="BA139" s="13" t="n"/>
      <c r="BB139" s="14" t="n"/>
      <c r="BC139" s="11">
        <f>IF(O139="","",IF(J139="GST 10%",ROUND(O139*set_GSTRate,2),0))</f>
        <v/>
      </c>
      <c r="BD139" s="11">
        <f>IF(O139="","",O139+BC139)</f>
        <v/>
      </c>
      <c r="BE139" s="15">
        <f>IF(O139="","",COUNTA(S139,V139,Y139,AB139,AE139,AH139,AK139,AN139,AQ139,AT139,AW139,AZ139))</f>
        <v/>
      </c>
      <c r="BF139" s="16">
        <f>IF(COUNT(T139,W139,Z139,AC139,AF139,AI139,AL139,AO139,AR139,AU139,AX139,BA139)=0,"",MAX(T139,W139,Z139,AC139,AF139,AI139,AL139,AO139,AR139,AU139,AX139,BA139))</f>
        <v/>
      </c>
      <c r="BG139" s="10">
        <f>MID(IF(S139="","",", "&amp;S139)&amp;IF(V139="","",", "&amp;V139)&amp;IF(Y139="","",", "&amp;Y139)&amp;IF(AB139="","",", "&amp;AB139)&amp;IF(AE139="","",", "&amp;AE139)&amp;IF(AH139="","",", "&amp;AH139)&amp;IF(AK139="","",", "&amp;AK139)&amp;IF(AN139="","",", "&amp;AN139)&amp;IF(AQ139="","",", "&amp;AQ139)&amp;IF(AT139="","",", "&amp;AT139)&amp;IF(AW139="","",", "&amp;AW139)&amp;IF(AZ139="","",", "&amp;AZ139),3,500)</f>
        <v/>
      </c>
      <c r="BH139" s="12" t="n"/>
      <c r="BI139" s="15">
        <f>IFERROR(MATCH($A139,IF($B139="Onsite",tbl_Onsite[Row ID],IF($B139="Production",tbl_Production[Row ID],tbl_Consulting[Row ID])),0),"")</f>
        <v/>
      </c>
    </row>
    <row r="140">
      <c r="A140" s="10" t="inlineStr">
        <is>
          <t>ONS-0134</t>
        </is>
      </c>
      <c r="B140" s="10" t="inlineStr">
        <is>
          <t>Onsite</t>
        </is>
      </c>
      <c r="C140" s="10">
        <f>IF($BI140="","",IF($B140="Onsite",INDEX(tbl_Onsite[Job Number],$BI140),IF($B140="Production",INDEX(tbl_Production[Job Number],$BI140),INDEX(tbl_Consulting[Job Number],$BI140)))&amp;"")</f>
        <v/>
      </c>
      <c r="D140" s="10">
        <f>IF($BI140="","",IF($B140="Onsite",INDEX(tbl_Onsite[Client],$BI140),IF($B140="Production",INDEX(tbl_Production[Client],$BI140),INDEX(tbl_Consulting[Client],$BI140)))&amp;"")</f>
        <v/>
      </c>
      <c r="E140" s="10">
        <f>IF($C140="","",IF(COUNTIF(lst_Jobs,$C140)&gt;0,"OK","CHECK"))</f>
        <v/>
      </c>
      <c r="F140" s="10">
        <f>IF($C140="","",IFERROR(INDEX(lst_JobName,MATCH($C140,lst_Jobs,0)),""))</f>
        <v/>
      </c>
      <c r="G140" s="10">
        <f>IF($BI140="","",IF($B140="Onsite",INDEX(tbl_Onsite[Job Description],$BI140),IF($B140="Production",INDEX(tbl_Production[Job Description],$BI140),INDEX(tbl_Consulting[Job Description],$BI140)))&amp;"")</f>
        <v/>
      </c>
      <c r="H140" s="10">
        <f>IF($BI140="","",IF($B140="Onsite",INDEX(tbl_Onsite[Cost Centre],$BI140),IF($B140="Production",INDEX(tbl_Production[Cost Centre],$BI140),INDEX(tbl_Consulting[Cost Centre],$BI140)))&amp;"")</f>
        <v/>
      </c>
      <c r="I140" s="10">
        <f>IF($BI140="","",IF($B140="Onsite",INDEX(tbl_Onsite[Invoice Type],$BI140),IF($B140="Production",INDEX(tbl_Production[Invoice Type],$BI140),INDEX(tbl_Consulting[Invoice Type],$BI140)))&amp;"")</f>
        <v/>
      </c>
      <c r="J140" s="10">
        <f>IF($BI140="","",IF($B140="Onsite",INDEX(tbl_Onsite[Tax Code],$BI140),IF($B140="Production",INDEX(tbl_Production[Tax Code],$BI140),INDEX(tbl_Consulting[Tax Code],$BI140)))&amp;"")</f>
        <v/>
      </c>
      <c r="K140" s="10">
        <f>IF(H140="","",IFERROR(INDEX(lst_CCtoGL,MATCH(H140,lst_CCforGL,0)),""))</f>
        <v/>
      </c>
      <c r="L140" s="10">
        <f>IF($BI140="","",IF($B140="Onsite",INDEX(tbl_Onsite[PO / Reference],$BI140),IF($B140="Production",INDEX(tbl_Production[Current RMS No],$BI140),INDEX(tbl_Consulting[Qwilr Quote],$BI140)))&amp;"")</f>
        <v/>
      </c>
      <c r="M140" s="10">
        <f>IF($BI140="","",IF($B140="Onsite",INDEX(tbl_Onsite[Notes],$BI140),IF($B140="Production",INDEX(tbl_Production[Notes],$BI140),INDEX(tbl_Consulting[Notes],$BI140)))&amp;"")</f>
        <v/>
      </c>
      <c r="N140" s="11">
        <f>IF($BI140="","",IF(IF($B140="Onsite",INDEX(tbl_Onsite[Expected Revenue Ex GST],$BI140),IF($B140="Production",INDEX(tbl_Production[Expected Revenue Ex GST],$BI140),INDEX(tbl_Consulting[Expected Revenue Ex GST],$BI140)))="","",IF($B140="Onsite",INDEX(tbl_Onsite[Expected Revenue Ex GST],$BI140),IF($B140="Production",INDEX(tbl_Production[Expected Revenue Ex GST],$BI140),INDEX(tbl_Consulting[Expected Revenue Ex GST],$BI140)))))</f>
        <v/>
      </c>
      <c r="O140" s="11">
        <f>IF(AND($C140="",NOT(COUNTA($S140:$BB140)&gt;0)),"",SUM(U140,X140,AA140,AD140,AG140,AJ140,AM140,AP140,AS140,AV140,AY140,BB140))</f>
        <v/>
      </c>
      <c r="P140" s="11">
        <f>IF(O140="","",N(N140)-O140)</f>
        <v/>
      </c>
      <c r="Q140" s="10">
        <f>IF(O140="","",IF($C140="","Invoice on empty job row",IF(N140="",IF(ROUND(O140,2)=0,"No dept value","Invoiced - no dept value"),IF(ROUND(O140,2)=0,"Not invoiced - to invoice",IF(ROUND(P140,2)=0,"Agrees",IF(P140&gt;0,"Dept higher - to invoice","Xero higher - check dept"))))))</f>
        <v/>
      </c>
      <c r="R140" s="10">
        <f>IF(AND($C140="",NOT(COUNTA($S140:$BB140)&gt;0),$BI140&lt;&gt;""),"",MID(IF($BI140="","; Row ID not found on the department sheet - a row was deleted","")&amp;IF(AND($C140="",COUNTA($S140:$BB140)&gt;0),"; Invoice entered but the department row has no job number","")&amp;IF(E140="CHECK","; Job number not in the Xero job list","")&amp;IF(AND($C140&lt;&gt;"",COUNTIF($C$7:$C$1506,$C140)&gt;1),"; Job number on more than one row","")&amp;IF(AND($C140&lt;&gt;"",H140=""),"; Dept has not set a cost centre","")&amp;IF(AND($C140&lt;&gt;"",J140=""),"; Dept has not set a tax code","")&amp;IF(AND($C140&lt;&gt;"",N140=""),"; Dept has not entered an expected value","")&amp;IF((IF(OR(COUNTA(S140:U140)=0,AND(COUNTA(S140:U140)=3,ISNUMBER(U140))),0,1)+IF(OR(COUNTA(V140:X140)=0,AND(COUNTA(V140:X140)=3,ISNUMBER(X140))),0,1)+IF(OR(COUNTA(Y140:AA140)=0,AND(COUNTA(Y140:AA140)=3,ISNUMBER(AA140))),0,1)+IF(OR(COUNTA(AB140:AD140)=0,AND(COUNTA(AB140:AD140)=3,ISNUMBER(AD140))),0,1)+IF(OR(COUNTA(AE140:AG140)=0,AND(COUNTA(AE140:AG140)=3,ISNUMBER(AG140))),0,1)+IF(OR(COUNTA(AH140:AJ140)=0,AND(COUNTA(AH140:AJ140)=3,ISNUMBER(AJ140))),0,1)+IF(OR(COUNTA(AK140:AM140)=0,AND(COUNTA(AK140:AM140)=3,ISNUMBER(AM140))),0,1)+IF(OR(COUNTA(AN140:AP140)=0,AND(COUNTA(AN140:AP140)=3,ISNUMBER(AP140))),0,1)+IF(OR(COUNTA(AQ140:AS140)=0,AND(COUNTA(AQ140:AS140)=3,ISNUMBER(AS140))),0,1)+IF(OR(COUNTA(AT140:AV140)=0,AND(COUNTA(AT140:AV140)=3,ISNUMBER(AV140))),0,1)+IF(OR(COUNTA(AW140:AY140)=0,AND(COUNTA(AW140:AY140)=3,ISNUMBER(AY140))),0,1)+IF(OR(COUNTA(AZ140:BB140)=0,AND(COUNTA(AZ140:BB140)=3,ISNUMBER(BB140))),0,1))&gt;0,"; An invoice is incomplete (needs No, Date and a number in Ex GST)","")&amp;IF((IF(T140="",0,IFERROR(--(EOMONTH(T140,0)&lt;&gt;S$5),1))+IF(W140="",0,IFERROR(--(EOMONTH(W140,0)&lt;&gt;V$5),1))+IF(Z140="",0,IFERROR(--(EOMONTH(Z140,0)&lt;&gt;Y$5),1))+IF(AC140="",0,IFERROR(--(EOMONTH(AC140,0)&lt;&gt;AB$5),1))+IF(AF140="",0,IFERROR(--(EOMONTH(AF140,0)&lt;&gt;AE$5),1))+IF(AI140="",0,IFERROR(--(EOMONTH(AI140,0)&lt;&gt;AH$5),1))+IF(AL140="",0,IFERROR(--(EOMONTH(AL140,0)&lt;&gt;AK$5),1))+IF(AO140="",0,IFERROR(--(EOMONTH(AO140,0)&lt;&gt;AN$5),1))+IF(AR140="",0,IFERROR(--(EOMONTH(AR140,0)&lt;&gt;AQ$5),1))+IF(AU140="",0,IFERROR(--(EOMONTH(AU140,0)&lt;&gt;AT$5),1))+IF(AX140="",0,IFERROR(--(EOMONTH(AX140,0)&lt;&gt;AW$5),1))+IF(BA140="",0,IFERROR(--(EOMONTH(BA140,0)&lt;&gt;AZ$5),1)))&gt;0,"; An invoice date is not in the month it is typed under",""),3,500))</f>
        <v/>
      </c>
      <c r="S140" s="12" t="n"/>
      <c r="T140" s="13" t="n"/>
      <c r="U140" s="14" t="n"/>
      <c r="V140" s="12" t="n"/>
      <c r="W140" s="13" t="n"/>
      <c r="X140" s="14" t="n"/>
      <c r="Y140" s="12" t="n"/>
      <c r="Z140" s="13" t="n"/>
      <c r="AA140" s="14" t="n"/>
      <c r="AB140" s="12" t="n"/>
      <c r="AC140" s="13" t="n"/>
      <c r="AD140" s="14" t="n"/>
      <c r="AE140" s="12" t="n"/>
      <c r="AF140" s="13" t="n"/>
      <c r="AG140" s="14" t="n"/>
      <c r="AH140" s="12" t="n"/>
      <c r="AI140" s="13" t="n"/>
      <c r="AJ140" s="14" t="n"/>
      <c r="AK140" s="12" t="n"/>
      <c r="AL140" s="13" t="n"/>
      <c r="AM140" s="14" t="n"/>
      <c r="AN140" s="12" t="n"/>
      <c r="AO140" s="13" t="n"/>
      <c r="AP140" s="14" t="n"/>
      <c r="AQ140" s="12" t="n"/>
      <c r="AR140" s="13" t="n"/>
      <c r="AS140" s="14" t="n"/>
      <c r="AT140" s="12" t="n"/>
      <c r="AU140" s="13" t="n"/>
      <c r="AV140" s="14" t="n"/>
      <c r="AW140" s="12" t="n"/>
      <c r="AX140" s="13" t="n"/>
      <c r="AY140" s="14" t="n"/>
      <c r="AZ140" s="12" t="n"/>
      <c r="BA140" s="13" t="n"/>
      <c r="BB140" s="14" t="n"/>
      <c r="BC140" s="11">
        <f>IF(O140="","",IF(J140="GST 10%",ROUND(O140*set_GSTRate,2),0))</f>
        <v/>
      </c>
      <c r="BD140" s="11">
        <f>IF(O140="","",O140+BC140)</f>
        <v/>
      </c>
      <c r="BE140" s="15">
        <f>IF(O140="","",COUNTA(S140,V140,Y140,AB140,AE140,AH140,AK140,AN140,AQ140,AT140,AW140,AZ140))</f>
        <v/>
      </c>
      <c r="BF140" s="16">
        <f>IF(COUNT(T140,W140,Z140,AC140,AF140,AI140,AL140,AO140,AR140,AU140,AX140,BA140)=0,"",MAX(T140,W140,Z140,AC140,AF140,AI140,AL140,AO140,AR140,AU140,AX140,BA140))</f>
        <v/>
      </c>
      <c r="BG140" s="10">
        <f>MID(IF(S140="","",", "&amp;S140)&amp;IF(V140="","",", "&amp;V140)&amp;IF(Y140="","",", "&amp;Y140)&amp;IF(AB140="","",", "&amp;AB140)&amp;IF(AE140="","",", "&amp;AE140)&amp;IF(AH140="","",", "&amp;AH140)&amp;IF(AK140="","",", "&amp;AK140)&amp;IF(AN140="","",", "&amp;AN140)&amp;IF(AQ140="","",", "&amp;AQ140)&amp;IF(AT140="","",", "&amp;AT140)&amp;IF(AW140="","",", "&amp;AW140)&amp;IF(AZ140="","",", "&amp;AZ140),3,500)</f>
        <v/>
      </c>
      <c r="BH140" s="12" t="n"/>
      <c r="BI140" s="15">
        <f>IFERROR(MATCH($A140,IF($B140="Onsite",tbl_Onsite[Row ID],IF($B140="Production",tbl_Production[Row ID],tbl_Consulting[Row ID])),0),"")</f>
        <v/>
      </c>
    </row>
    <row r="141">
      <c r="A141" s="10" t="inlineStr">
        <is>
          <t>ONS-0135</t>
        </is>
      </c>
      <c r="B141" s="10" t="inlineStr">
        <is>
          <t>Onsite</t>
        </is>
      </c>
      <c r="C141" s="10">
        <f>IF($BI141="","",IF($B141="Onsite",INDEX(tbl_Onsite[Job Number],$BI141),IF($B141="Production",INDEX(tbl_Production[Job Number],$BI141),INDEX(tbl_Consulting[Job Number],$BI141)))&amp;"")</f>
        <v/>
      </c>
      <c r="D141" s="10">
        <f>IF($BI141="","",IF($B141="Onsite",INDEX(tbl_Onsite[Client],$BI141),IF($B141="Production",INDEX(tbl_Production[Client],$BI141),INDEX(tbl_Consulting[Client],$BI141)))&amp;"")</f>
        <v/>
      </c>
      <c r="E141" s="10">
        <f>IF($C141="","",IF(COUNTIF(lst_Jobs,$C141)&gt;0,"OK","CHECK"))</f>
        <v/>
      </c>
      <c r="F141" s="10">
        <f>IF($C141="","",IFERROR(INDEX(lst_JobName,MATCH($C141,lst_Jobs,0)),""))</f>
        <v/>
      </c>
      <c r="G141" s="10">
        <f>IF($BI141="","",IF($B141="Onsite",INDEX(tbl_Onsite[Job Description],$BI141),IF($B141="Production",INDEX(tbl_Production[Job Description],$BI141),INDEX(tbl_Consulting[Job Description],$BI141)))&amp;"")</f>
        <v/>
      </c>
      <c r="H141" s="10">
        <f>IF($BI141="","",IF($B141="Onsite",INDEX(tbl_Onsite[Cost Centre],$BI141),IF($B141="Production",INDEX(tbl_Production[Cost Centre],$BI141),INDEX(tbl_Consulting[Cost Centre],$BI141)))&amp;"")</f>
        <v/>
      </c>
      <c r="I141" s="10">
        <f>IF($BI141="","",IF($B141="Onsite",INDEX(tbl_Onsite[Invoice Type],$BI141),IF($B141="Production",INDEX(tbl_Production[Invoice Type],$BI141),INDEX(tbl_Consulting[Invoice Type],$BI141)))&amp;"")</f>
        <v/>
      </c>
      <c r="J141" s="10">
        <f>IF($BI141="","",IF($B141="Onsite",INDEX(tbl_Onsite[Tax Code],$BI141),IF($B141="Production",INDEX(tbl_Production[Tax Code],$BI141),INDEX(tbl_Consulting[Tax Code],$BI141)))&amp;"")</f>
        <v/>
      </c>
      <c r="K141" s="10">
        <f>IF(H141="","",IFERROR(INDEX(lst_CCtoGL,MATCH(H141,lst_CCforGL,0)),""))</f>
        <v/>
      </c>
      <c r="L141" s="10">
        <f>IF($BI141="","",IF($B141="Onsite",INDEX(tbl_Onsite[PO / Reference],$BI141),IF($B141="Production",INDEX(tbl_Production[Current RMS No],$BI141),INDEX(tbl_Consulting[Qwilr Quote],$BI141)))&amp;"")</f>
        <v/>
      </c>
      <c r="M141" s="10">
        <f>IF($BI141="","",IF($B141="Onsite",INDEX(tbl_Onsite[Notes],$BI141),IF($B141="Production",INDEX(tbl_Production[Notes],$BI141),INDEX(tbl_Consulting[Notes],$BI141)))&amp;"")</f>
        <v/>
      </c>
      <c r="N141" s="11">
        <f>IF($BI141="","",IF(IF($B141="Onsite",INDEX(tbl_Onsite[Expected Revenue Ex GST],$BI141),IF($B141="Production",INDEX(tbl_Production[Expected Revenue Ex GST],$BI141),INDEX(tbl_Consulting[Expected Revenue Ex GST],$BI141)))="","",IF($B141="Onsite",INDEX(tbl_Onsite[Expected Revenue Ex GST],$BI141),IF($B141="Production",INDEX(tbl_Production[Expected Revenue Ex GST],$BI141),INDEX(tbl_Consulting[Expected Revenue Ex GST],$BI141)))))</f>
        <v/>
      </c>
      <c r="O141" s="11">
        <f>IF(AND($C141="",NOT(COUNTA($S141:$BB141)&gt;0)),"",SUM(U141,X141,AA141,AD141,AG141,AJ141,AM141,AP141,AS141,AV141,AY141,BB141))</f>
        <v/>
      </c>
      <c r="P141" s="11">
        <f>IF(O141="","",N(N141)-O141)</f>
        <v/>
      </c>
      <c r="Q141" s="10">
        <f>IF(O141="","",IF($C141="","Invoice on empty job row",IF(N141="",IF(ROUND(O141,2)=0,"No dept value","Invoiced - no dept value"),IF(ROUND(O141,2)=0,"Not invoiced - to invoice",IF(ROUND(P141,2)=0,"Agrees",IF(P141&gt;0,"Dept higher - to invoice","Xero higher - check dept"))))))</f>
        <v/>
      </c>
      <c r="R141" s="10">
        <f>IF(AND($C141="",NOT(COUNTA($S141:$BB141)&gt;0),$BI141&lt;&gt;""),"",MID(IF($BI141="","; Row ID not found on the department sheet - a row was deleted","")&amp;IF(AND($C141="",COUNTA($S141:$BB141)&gt;0),"; Invoice entered but the department row has no job number","")&amp;IF(E141="CHECK","; Job number not in the Xero job list","")&amp;IF(AND($C141&lt;&gt;"",COUNTIF($C$7:$C$1506,$C141)&gt;1),"; Job number on more than one row","")&amp;IF(AND($C141&lt;&gt;"",H141=""),"; Dept has not set a cost centre","")&amp;IF(AND($C141&lt;&gt;"",J141=""),"; Dept has not set a tax code","")&amp;IF(AND($C141&lt;&gt;"",N141=""),"; Dept has not entered an expected value","")&amp;IF((IF(OR(COUNTA(S141:U141)=0,AND(COUNTA(S141:U141)=3,ISNUMBER(U141))),0,1)+IF(OR(COUNTA(V141:X141)=0,AND(COUNTA(V141:X141)=3,ISNUMBER(X141))),0,1)+IF(OR(COUNTA(Y141:AA141)=0,AND(COUNTA(Y141:AA141)=3,ISNUMBER(AA141))),0,1)+IF(OR(COUNTA(AB141:AD141)=0,AND(COUNTA(AB141:AD141)=3,ISNUMBER(AD141))),0,1)+IF(OR(COUNTA(AE141:AG141)=0,AND(COUNTA(AE141:AG141)=3,ISNUMBER(AG141))),0,1)+IF(OR(COUNTA(AH141:AJ141)=0,AND(COUNTA(AH141:AJ141)=3,ISNUMBER(AJ141))),0,1)+IF(OR(COUNTA(AK141:AM141)=0,AND(COUNTA(AK141:AM141)=3,ISNUMBER(AM141))),0,1)+IF(OR(COUNTA(AN141:AP141)=0,AND(COUNTA(AN141:AP141)=3,ISNUMBER(AP141))),0,1)+IF(OR(COUNTA(AQ141:AS141)=0,AND(COUNTA(AQ141:AS141)=3,ISNUMBER(AS141))),0,1)+IF(OR(COUNTA(AT141:AV141)=0,AND(COUNTA(AT141:AV141)=3,ISNUMBER(AV141))),0,1)+IF(OR(COUNTA(AW141:AY141)=0,AND(COUNTA(AW141:AY141)=3,ISNUMBER(AY141))),0,1)+IF(OR(COUNTA(AZ141:BB141)=0,AND(COUNTA(AZ141:BB141)=3,ISNUMBER(BB141))),0,1))&gt;0,"; An invoice is incomplete (needs No, Date and a number in Ex GST)","")&amp;IF((IF(T141="",0,IFERROR(--(EOMONTH(T141,0)&lt;&gt;S$5),1))+IF(W141="",0,IFERROR(--(EOMONTH(W141,0)&lt;&gt;V$5),1))+IF(Z141="",0,IFERROR(--(EOMONTH(Z141,0)&lt;&gt;Y$5),1))+IF(AC141="",0,IFERROR(--(EOMONTH(AC141,0)&lt;&gt;AB$5),1))+IF(AF141="",0,IFERROR(--(EOMONTH(AF141,0)&lt;&gt;AE$5),1))+IF(AI141="",0,IFERROR(--(EOMONTH(AI141,0)&lt;&gt;AH$5),1))+IF(AL141="",0,IFERROR(--(EOMONTH(AL141,0)&lt;&gt;AK$5),1))+IF(AO141="",0,IFERROR(--(EOMONTH(AO141,0)&lt;&gt;AN$5),1))+IF(AR141="",0,IFERROR(--(EOMONTH(AR141,0)&lt;&gt;AQ$5),1))+IF(AU141="",0,IFERROR(--(EOMONTH(AU141,0)&lt;&gt;AT$5),1))+IF(AX141="",0,IFERROR(--(EOMONTH(AX141,0)&lt;&gt;AW$5),1))+IF(BA141="",0,IFERROR(--(EOMONTH(BA141,0)&lt;&gt;AZ$5),1)))&gt;0,"; An invoice date is not in the month it is typed under",""),3,500))</f>
        <v/>
      </c>
      <c r="S141" s="12" t="n"/>
      <c r="T141" s="13" t="n"/>
      <c r="U141" s="14" t="n"/>
      <c r="V141" s="12" t="n"/>
      <c r="W141" s="13" t="n"/>
      <c r="X141" s="14" t="n"/>
      <c r="Y141" s="12" t="n"/>
      <c r="Z141" s="13" t="n"/>
      <c r="AA141" s="14" t="n"/>
      <c r="AB141" s="12" t="n"/>
      <c r="AC141" s="13" t="n"/>
      <c r="AD141" s="14" t="n"/>
      <c r="AE141" s="12" t="n"/>
      <c r="AF141" s="13" t="n"/>
      <c r="AG141" s="14" t="n"/>
      <c r="AH141" s="12" t="n"/>
      <c r="AI141" s="13" t="n"/>
      <c r="AJ141" s="14" t="n"/>
      <c r="AK141" s="12" t="n"/>
      <c r="AL141" s="13" t="n"/>
      <c r="AM141" s="14" t="n"/>
      <c r="AN141" s="12" t="n"/>
      <c r="AO141" s="13" t="n"/>
      <c r="AP141" s="14" t="n"/>
      <c r="AQ141" s="12" t="n"/>
      <c r="AR141" s="13" t="n"/>
      <c r="AS141" s="14" t="n"/>
      <c r="AT141" s="12" t="n"/>
      <c r="AU141" s="13" t="n"/>
      <c r="AV141" s="14" t="n"/>
      <c r="AW141" s="12" t="n"/>
      <c r="AX141" s="13" t="n"/>
      <c r="AY141" s="14" t="n"/>
      <c r="AZ141" s="12" t="n"/>
      <c r="BA141" s="13" t="n"/>
      <c r="BB141" s="14" t="n"/>
      <c r="BC141" s="11">
        <f>IF(O141="","",IF(J141="GST 10%",ROUND(O141*set_GSTRate,2),0))</f>
        <v/>
      </c>
      <c r="BD141" s="11">
        <f>IF(O141="","",O141+BC141)</f>
        <v/>
      </c>
      <c r="BE141" s="15">
        <f>IF(O141="","",COUNTA(S141,V141,Y141,AB141,AE141,AH141,AK141,AN141,AQ141,AT141,AW141,AZ141))</f>
        <v/>
      </c>
      <c r="BF141" s="16">
        <f>IF(COUNT(T141,W141,Z141,AC141,AF141,AI141,AL141,AO141,AR141,AU141,AX141,BA141)=0,"",MAX(T141,W141,Z141,AC141,AF141,AI141,AL141,AO141,AR141,AU141,AX141,BA141))</f>
        <v/>
      </c>
      <c r="BG141" s="10">
        <f>MID(IF(S141="","",", "&amp;S141)&amp;IF(V141="","",", "&amp;V141)&amp;IF(Y141="","",", "&amp;Y141)&amp;IF(AB141="","",", "&amp;AB141)&amp;IF(AE141="","",", "&amp;AE141)&amp;IF(AH141="","",", "&amp;AH141)&amp;IF(AK141="","",", "&amp;AK141)&amp;IF(AN141="","",", "&amp;AN141)&amp;IF(AQ141="","",", "&amp;AQ141)&amp;IF(AT141="","",", "&amp;AT141)&amp;IF(AW141="","",", "&amp;AW141)&amp;IF(AZ141="","",", "&amp;AZ141),3,500)</f>
        <v/>
      </c>
      <c r="BH141" s="12" t="n"/>
      <c r="BI141" s="15">
        <f>IFERROR(MATCH($A141,IF($B141="Onsite",tbl_Onsite[Row ID],IF($B141="Production",tbl_Production[Row ID],tbl_Consulting[Row ID])),0),"")</f>
        <v/>
      </c>
    </row>
    <row r="142">
      <c r="A142" s="10" t="inlineStr">
        <is>
          <t>ONS-0136</t>
        </is>
      </c>
      <c r="B142" s="10" t="inlineStr">
        <is>
          <t>Onsite</t>
        </is>
      </c>
      <c r="C142" s="10">
        <f>IF($BI142="","",IF($B142="Onsite",INDEX(tbl_Onsite[Job Number],$BI142),IF($B142="Production",INDEX(tbl_Production[Job Number],$BI142),INDEX(tbl_Consulting[Job Number],$BI142)))&amp;"")</f>
        <v/>
      </c>
      <c r="D142" s="10">
        <f>IF($BI142="","",IF($B142="Onsite",INDEX(tbl_Onsite[Client],$BI142),IF($B142="Production",INDEX(tbl_Production[Client],$BI142),INDEX(tbl_Consulting[Client],$BI142)))&amp;"")</f>
        <v/>
      </c>
      <c r="E142" s="10">
        <f>IF($C142="","",IF(COUNTIF(lst_Jobs,$C142)&gt;0,"OK","CHECK"))</f>
        <v/>
      </c>
      <c r="F142" s="10">
        <f>IF($C142="","",IFERROR(INDEX(lst_JobName,MATCH($C142,lst_Jobs,0)),""))</f>
        <v/>
      </c>
      <c r="G142" s="10">
        <f>IF($BI142="","",IF($B142="Onsite",INDEX(tbl_Onsite[Job Description],$BI142),IF($B142="Production",INDEX(tbl_Production[Job Description],$BI142),INDEX(tbl_Consulting[Job Description],$BI142)))&amp;"")</f>
        <v/>
      </c>
      <c r="H142" s="10">
        <f>IF($BI142="","",IF($B142="Onsite",INDEX(tbl_Onsite[Cost Centre],$BI142),IF($B142="Production",INDEX(tbl_Production[Cost Centre],$BI142),INDEX(tbl_Consulting[Cost Centre],$BI142)))&amp;"")</f>
        <v/>
      </c>
      <c r="I142" s="10">
        <f>IF($BI142="","",IF($B142="Onsite",INDEX(tbl_Onsite[Invoice Type],$BI142),IF($B142="Production",INDEX(tbl_Production[Invoice Type],$BI142),INDEX(tbl_Consulting[Invoice Type],$BI142)))&amp;"")</f>
        <v/>
      </c>
      <c r="J142" s="10">
        <f>IF($BI142="","",IF($B142="Onsite",INDEX(tbl_Onsite[Tax Code],$BI142),IF($B142="Production",INDEX(tbl_Production[Tax Code],$BI142),INDEX(tbl_Consulting[Tax Code],$BI142)))&amp;"")</f>
        <v/>
      </c>
      <c r="K142" s="10">
        <f>IF(H142="","",IFERROR(INDEX(lst_CCtoGL,MATCH(H142,lst_CCforGL,0)),""))</f>
        <v/>
      </c>
      <c r="L142" s="10">
        <f>IF($BI142="","",IF($B142="Onsite",INDEX(tbl_Onsite[PO / Reference],$BI142),IF($B142="Production",INDEX(tbl_Production[Current RMS No],$BI142),INDEX(tbl_Consulting[Qwilr Quote],$BI142)))&amp;"")</f>
        <v/>
      </c>
      <c r="M142" s="10">
        <f>IF($BI142="","",IF($B142="Onsite",INDEX(tbl_Onsite[Notes],$BI142),IF($B142="Production",INDEX(tbl_Production[Notes],$BI142),INDEX(tbl_Consulting[Notes],$BI142)))&amp;"")</f>
        <v/>
      </c>
      <c r="N142" s="11">
        <f>IF($BI142="","",IF(IF($B142="Onsite",INDEX(tbl_Onsite[Expected Revenue Ex GST],$BI142),IF($B142="Production",INDEX(tbl_Production[Expected Revenue Ex GST],$BI142),INDEX(tbl_Consulting[Expected Revenue Ex GST],$BI142)))="","",IF($B142="Onsite",INDEX(tbl_Onsite[Expected Revenue Ex GST],$BI142),IF($B142="Production",INDEX(tbl_Production[Expected Revenue Ex GST],$BI142),INDEX(tbl_Consulting[Expected Revenue Ex GST],$BI142)))))</f>
        <v/>
      </c>
      <c r="O142" s="11">
        <f>IF(AND($C142="",NOT(COUNTA($S142:$BB142)&gt;0)),"",SUM(U142,X142,AA142,AD142,AG142,AJ142,AM142,AP142,AS142,AV142,AY142,BB142))</f>
        <v/>
      </c>
      <c r="P142" s="11">
        <f>IF(O142="","",N(N142)-O142)</f>
        <v/>
      </c>
      <c r="Q142" s="10">
        <f>IF(O142="","",IF($C142="","Invoice on empty job row",IF(N142="",IF(ROUND(O142,2)=0,"No dept value","Invoiced - no dept value"),IF(ROUND(O142,2)=0,"Not invoiced - to invoice",IF(ROUND(P142,2)=0,"Agrees",IF(P142&gt;0,"Dept higher - to invoice","Xero higher - check dept"))))))</f>
        <v/>
      </c>
      <c r="R142" s="10">
        <f>IF(AND($C142="",NOT(COUNTA($S142:$BB142)&gt;0),$BI142&lt;&gt;""),"",MID(IF($BI142="","; Row ID not found on the department sheet - a row was deleted","")&amp;IF(AND($C142="",COUNTA($S142:$BB142)&gt;0),"; Invoice entered but the department row has no job number","")&amp;IF(E142="CHECK","; Job number not in the Xero job list","")&amp;IF(AND($C142&lt;&gt;"",COUNTIF($C$7:$C$1506,$C142)&gt;1),"; Job number on more than one row","")&amp;IF(AND($C142&lt;&gt;"",H142=""),"; Dept has not set a cost centre","")&amp;IF(AND($C142&lt;&gt;"",J142=""),"; Dept has not set a tax code","")&amp;IF(AND($C142&lt;&gt;"",N142=""),"; Dept has not entered an expected value","")&amp;IF((IF(OR(COUNTA(S142:U142)=0,AND(COUNTA(S142:U142)=3,ISNUMBER(U142))),0,1)+IF(OR(COUNTA(V142:X142)=0,AND(COUNTA(V142:X142)=3,ISNUMBER(X142))),0,1)+IF(OR(COUNTA(Y142:AA142)=0,AND(COUNTA(Y142:AA142)=3,ISNUMBER(AA142))),0,1)+IF(OR(COUNTA(AB142:AD142)=0,AND(COUNTA(AB142:AD142)=3,ISNUMBER(AD142))),0,1)+IF(OR(COUNTA(AE142:AG142)=0,AND(COUNTA(AE142:AG142)=3,ISNUMBER(AG142))),0,1)+IF(OR(COUNTA(AH142:AJ142)=0,AND(COUNTA(AH142:AJ142)=3,ISNUMBER(AJ142))),0,1)+IF(OR(COUNTA(AK142:AM142)=0,AND(COUNTA(AK142:AM142)=3,ISNUMBER(AM142))),0,1)+IF(OR(COUNTA(AN142:AP142)=0,AND(COUNTA(AN142:AP142)=3,ISNUMBER(AP142))),0,1)+IF(OR(COUNTA(AQ142:AS142)=0,AND(COUNTA(AQ142:AS142)=3,ISNUMBER(AS142))),0,1)+IF(OR(COUNTA(AT142:AV142)=0,AND(COUNTA(AT142:AV142)=3,ISNUMBER(AV142))),0,1)+IF(OR(COUNTA(AW142:AY142)=0,AND(COUNTA(AW142:AY142)=3,ISNUMBER(AY142))),0,1)+IF(OR(COUNTA(AZ142:BB142)=0,AND(COUNTA(AZ142:BB142)=3,ISNUMBER(BB142))),0,1))&gt;0,"; An invoice is incomplete (needs No, Date and a number in Ex GST)","")&amp;IF((IF(T142="",0,IFERROR(--(EOMONTH(T142,0)&lt;&gt;S$5),1))+IF(W142="",0,IFERROR(--(EOMONTH(W142,0)&lt;&gt;V$5),1))+IF(Z142="",0,IFERROR(--(EOMONTH(Z142,0)&lt;&gt;Y$5),1))+IF(AC142="",0,IFERROR(--(EOMONTH(AC142,0)&lt;&gt;AB$5),1))+IF(AF142="",0,IFERROR(--(EOMONTH(AF142,0)&lt;&gt;AE$5),1))+IF(AI142="",0,IFERROR(--(EOMONTH(AI142,0)&lt;&gt;AH$5),1))+IF(AL142="",0,IFERROR(--(EOMONTH(AL142,0)&lt;&gt;AK$5),1))+IF(AO142="",0,IFERROR(--(EOMONTH(AO142,0)&lt;&gt;AN$5),1))+IF(AR142="",0,IFERROR(--(EOMONTH(AR142,0)&lt;&gt;AQ$5),1))+IF(AU142="",0,IFERROR(--(EOMONTH(AU142,0)&lt;&gt;AT$5),1))+IF(AX142="",0,IFERROR(--(EOMONTH(AX142,0)&lt;&gt;AW$5),1))+IF(BA142="",0,IFERROR(--(EOMONTH(BA142,0)&lt;&gt;AZ$5),1)))&gt;0,"; An invoice date is not in the month it is typed under",""),3,500))</f>
        <v/>
      </c>
      <c r="S142" s="12" t="n"/>
      <c r="T142" s="13" t="n"/>
      <c r="U142" s="14" t="n"/>
      <c r="V142" s="12" t="n"/>
      <c r="W142" s="13" t="n"/>
      <c r="X142" s="14" t="n"/>
      <c r="Y142" s="12" t="n"/>
      <c r="Z142" s="13" t="n"/>
      <c r="AA142" s="14" t="n"/>
      <c r="AB142" s="12" t="n"/>
      <c r="AC142" s="13" t="n"/>
      <c r="AD142" s="14" t="n"/>
      <c r="AE142" s="12" t="n"/>
      <c r="AF142" s="13" t="n"/>
      <c r="AG142" s="14" t="n"/>
      <c r="AH142" s="12" t="n"/>
      <c r="AI142" s="13" t="n"/>
      <c r="AJ142" s="14" t="n"/>
      <c r="AK142" s="12" t="n"/>
      <c r="AL142" s="13" t="n"/>
      <c r="AM142" s="14" t="n"/>
      <c r="AN142" s="12" t="n"/>
      <c r="AO142" s="13" t="n"/>
      <c r="AP142" s="14" t="n"/>
      <c r="AQ142" s="12" t="n"/>
      <c r="AR142" s="13" t="n"/>
      <c r="AS142" s="14" t="n"/>
      <c r="AT142" s="12" t="n"/>
      <c r="AU142" s="13" t="n"/>
      <c r="AV142" s="14" t="n"/>
      <c r="AW142" s="12" t="n"/>
      <c r="AX142" s="13" t="n"/>
      <c r="AY142" s="14" t="n"/>
      <c r="AZ142" s="12" t="n"/>
      <c r="BA142" s="13" t="n"/>
      <c r="BB142" s="14" t="n"/>
      <c r="BC142" s="11">
        <f>IF(O142="","",IF(J142="GST 10%",ROUND(O142*set_GSTRate,2),0))</f>
        <v/>
      </c>
      <c r="BD142" s="11">
        <f>IF(O142="","",O142+BC142)</f>
        <v/>
      </c>
      <c r="BE142" s="15">
        <f>IF(O142="","",COUNTA(S142,V142,Y142,AB142,AE142,AH142,AK142,AN142,AQ142,AT142,AW142,AZ142))</f>
        <v/>
      </c>
      <c r="BF142" s="16">
        <f>IF(COUNT(T142,W142,Z142,AC142,AF142,AI142,AL142,AO142,AR142,AU142,AX142,BA142)=0,"",MAX(T142,W142,Z142,AC142,AF142,AI142,AL142,AO142,AR142,AU142,AX142,BA142))</f>
        <v/>
      </c>
      <c r="BG142" s="10">
        <f>MID(IF(S142="","",", "&amp;S142)&amp;IF(V142="","",", "&amp;V142)&amp;IF(Y142="","",", "&amp;Y142)&amp;IF(AB142="","",", "&amp;AB142)&amp;IF(AE142="","",", "&amp;AE142)&amp;IF(AH142="","",", "&amp;AH142)&amp;IF(AK142="","",", "&amp;AK142)&amp;IF(AN142="","",", "&amp;AN142)&amp;IF(AQ142="","",", "&amp;AQ142)&amp;IF(AT142="","",", "&amp;AT142)&amp;IF(AW142="","",", "&amp;AW142)&amp;IF(AZ142="","",", "&amp;AZ142),3,500)</f>
        <v/>
      </c>
      <c r="BH142" s="12" t="n"/>
      <c r="BI142" s="15">
        <f>IFERROR(MATCH($A142,IF($B142="Onsite",tbl_Onsite[Row ID],IF($B142="Production",tbl_Production[Row ID],tbl_Consulting[Row ID])),0),"")</f>
        <v/>
      </c>
    </row>
    <row r="143">
      <c r="A143" s="10" t="inlineStr">
        <is>
          <t>ONS-0137</t>
        </is>
      </c>
      <c r="B143" s="10" t="inlineStr">
        <is>
          <t>Onsite</t>
        </is>
      </c>
      <c r="C143" s="10">
        <f>IF($BI143="","",IF($B143="Onsite",INDEX(tbl_Onsite[Job Number],$BI143),IF($B143="Production",INDEX(tbl_Production[Job Number],$BI143),INDEX(tbl_Consulting[Job Number],$BI143)))&amp;"")</f>
        <v/>
      </c>
      <c r="D143" s="10">
        <f>IF($BI143="","",IF($B143="Onsite",INDEX(tbl_Onsite[Client],$BI143),IF($B143="Production",INDEX(tbl_Production[Client],$BI143),INDEX(tbl_Consulting[Client],$BI143)))&amp;"")</f>
        <v/>
      </c>
      <c r="E143" s="10">
        <f>IF($C143="","",IF(COUNTIF(lst_Jobs,$C143)&gt;0,"OK","CHECK"))</f>
        <v/>
      </c>
      <c r="F143" s="10">
        <f>IF($C143="","",IFERROR(INDEX(lst_JobName,MATCH($C143,lst_Jobs,0)),""))</f>
        <v/>
      </c>
      <c r="G143" s="10">
        <f>IF($BI143="","",IF($B143="Onsite",INDEX(tbl_Onsite[Job Description],$BI143),IF($B143="Production",INDEX(tbl_Production[Job Description],$BI143),INDEX(tbl_Consulting[Job Description],$BI143)))&amp;"")</f>
        <v/>
      </c>
      <c r="H143" s="10">
        <f>IF($BI143="","",IF($B143="Onsite",INDEX(tbl_Onsite[Cost Centre],$BI143),IF($B143="Production",INDEX(tbl_Production[Cost Centre],$BI143),INDEX(tbl_Consulting[Cost Centre],$BI143)))&amp;"")</f>
        <v/>
      </c>
      <c r="I143" s="10">
        <f>IF($BI143="","",IF($B143="Onsite",INDEX(tbl_Onsite[Invoice Type],$BI143),IF($B143="Production",INDEX(tbl_Production[Invoice Type],$BI143),INDEX(tbl_Consulting[Invoice Type],$BI143)))&amp;"")</f>
        <v/>
      </c>
      <c r="J143" s="10">
        <f>IF($BI143="","",IF($B143="Onsite",INDEX(tbl_Onsite[Tax Code],$BI143),IF($B143="Production",INDEX(tbl_Production[Tax Code],$BI143),INDEX(tbl_Consulting[Tax Code],$BI143)))&amp;"")</f>
        <v/>
      </c>
      <c r="K143" s="10">
        <f>IF(H143="","",IFERROR(INDEX(lst_CCtoGL,MATCH(H143,lst_CCforGL,0)),""))</f>
        <v/>
      </c>
      <c r="L143" s="10">
        <f>IF($BI143="","",IF($B143="Onsite",INDEX(tbl_Onsite[PO / Reference],$BI143),IF($B143="Production",INDEX(tbl_Production[Current RMS No],$BI143),INDEX(tbl_Consulting[Qwilr Quote],$BI143)))&amp;"")</f>
        <v/>
      </c>
      <c r="M143" s="10">
        <f>IF($BI143="","",IF($B143="Onsite",INDEX(tbl_Onsite[Notes],$BI143),IF($B143="Production",INDEX(tbl_Production[Notes],$BI143),INDEX(tbl_Consulting[Notes],$BI143)))&amp;"")</f>
        <v/>
      </c>
      <c r="N143" s="11">
        <f>IF($BI143="","",IF(IF($B143="Onsite",INDEX(tbl_Onsite[Expected Revenue Ex GST],$BI143),IF($B143="Production",INDEX(tbl_Production[Expected Revenue Ex GST],$BI143),INDEX(tbl_Consulting[Expected Revenue Ex GST],$BI143)))="","",IF($B143="Onsite",INDEX(tbl_Onsite[Expected Revenue Ex GST],$BI143),IF($B143="Production",INDEX(tbl_Production[Expected Revenue Ex GST],$BI143),INDEX(tbl_Consulting[Expected Revenue Ex GST],$BI143)))))</f>
        <v/>
      </c>
      <c r="O143" s="11">
        <f>IF(AND($C143="",NOT(COUNTA($S143:$BB143)&gt;0)),"",SUM(U143,X143,AA143,AD143,AG143,AJ143,AM143,AP143,AS143,AV143,AY143,BB143))</f>
        <v/>
      </c>
      <c r="P143" s="11">
        <f>IF(O143="","",N(N143)-O143)</f>
        <v/>
      </c>
      <c r="Q143" s="10">
        <f>IF(O143="","",IF($C143="","Invoice on empty job row",IF(N143="",IF(ROUND(O143,2)=0,"No dept value","Invoiced - no dept value"),IF(ROUND(O143,2)=0,"Not invoiced - to invoice",IF(ROUND(P143,2)=0,"Agrees",IF(P143&gt;0,"Dept higher - to invoice","Xero higher - check dept"))))))</f>
        <v/>
      </c>
      <c r="R143" s="10">
        <f>IF(AND($C143="",NOT(COUNTA($S143:$BB143)&gt;0),$BI143&lt;&gt;""),"",MID(IF($BI143="","; Row ID not found on the department sheet - a row was deleted","")&amp;IF(AND($C143="",COUNTA($S143:$BB143)&gt;0),"; Invoice entered but the department row has no job number","")&amp;IF(E143="CHECK","; Job number not in the Xero job list","")&amp;IF(AND($C143&lt;&gt;"",COUNTIF($C$7:$C$1506,$C143)&gt;1),"; Job number on more than one row","")&amp;IF(AND($C143&lt;&gt;"",H143=""),"; Dept has not set a cost centre","")&amp;IF(AND($C143&lt;&gt;"",J143=""),"; Dept has not set a tax code","")&amp;IF(AND($C143&lt;&gt;"",N143=""),"; Dept has not entered an expected value","")&amp;IF((IF(OR(COUNTA(S143:U143)=0,AND(COUNTA(S143:U143)=3,ISNUMBER(U143))),0,1)+IF(OR(COUNTA(V143:X143)=0,AND(COUNTA(V143:X143)=3,ISNUMBER(X143))),0,1)+IF(OR(COUNTA(Y143:AA143)=0,AND(COUNTA(Y143:AA143)=3,ISNUMBER(AA143))),0,1)+IF(OR(COUNTA(AB143:AD143)=0,AND(COUNTA(AB143:AD143)=3,ISNUMBER(AD143))),0,1)+IF(OR(COUNTA(AE143:AG143)=0,AND(COUNTA(AE143:AG143)=3,ISNUMBER(AG143))),0,1)+IF(OR(COUNTA(AH143:AJ143)=0,AND(COUNTA(AH143:AJ143)=3,ISNUMBER(AJ143))),0,1)+IF(OR(COUNTA(AK143:AM143)=0,AND(COUNTA(AK143:AM143)=3,ISNUMBER(AM143))),0,1)+IF(OR(COUNTA(AN143:AP143)=0,AND(COUNTA(AN143:AP143)=3,ISNUMBER(AP143))),0,1)+IF(OR(COUNTA(AQ143:AS143)=0,AND(COUNTA(AQ143:AS143)=3,ISNUMBER(AS143))),0,1)+IF(OR(COUNTA(AT143:AV143)=0,AND(COUNTA(AT143:AV143)=3,ISNUMBER(AV143))),0,1)+IF(OR(COUNTA(AW143:AY143)=0,AND(COUNTA(AW143:AY143)=3,ISNUMBER(AY143))),0,1)+IF(OR(COUNTA(AZ143:BB143)=0,AND(COUNTA(AZ143:BB143)=3,ISNUMBER(BB143))),0,1))&gt;0,"; An invoice is incomplete (needs No, Date and a number in Ex GST)","")&amp;IF((IF(T143="",0,IFERROR(--(EOMONTH(T143,0)&lt;&gt;S$5),1))+IF(W143="",0,IFERROR(--(EOMONTH(W143,0)&lt;&gt;V$5),1))+IF(Z143="",0,IFERROR(--(EOMONTH(Z143,0)&lt;&gt;Y$5),1))+IF(AC143="",0,IFERROR(--(EOMONTH(AC143,0)&lt;&gt;AB$5),1))+IF(AF143="",0,IFERROR(--(EOMONTH(AF143,0)&lt;&gt;AE$5),1))+IF(AI143="",0,IFERROR(--(EOMONTH(AI143,0)&lt;&gt;AH$5),1))+IF(AL143="",0,IFERROR(--(EOMONTH(AL143,0)&lt;&gt;AK$5),1))+IF(AO143="",0,IFERROR(--(EOMONTH(AO143,0)&lt;&gt;AN$5),1))+IF(AR143="",0,IFERROR(--(EOMONTH(AR143,0)&lt;&gt;AQ$5),1))+IF(AU143="",0,IFERROR(--(EOMONTH(AU143,0)&lt;&gt;AT$5),1))+IF(AX143="",0,IFERROR(--(EOMONTH(AX143,0)&lt;&gt;AW$5),1))+IF(BA143="",0,IFERROR(--(EOMONTH(BA143,0)&lt;&gt;AZ$5),1)))&gt;0,"; An invoice date is not in the month it is typed under",""),3,500))</f>
        <v/>
      </c>
      <c r="S143" s="12" t="n"/>
      <c r="T143" s="13" t="n"/>
      <c r="U143" s="14" t="n"/>
      <c r="V143" s="12" t="n"/>
      <c r="W143" s="13" t="n"/>
      <c r="X143" s="14" t="n"/>
      <c r="Y143" s="12" t="n"/>
      <c r="Z143" s="13" t="n"/>
      <c r="AA143" s="14" t="n"/>
      <c r="AB143" s="12" t="n"/>
      <c r="AC143" s="13" t="n"/>
      <c r="AD143" s="14" t="n"/>
      <c r="AE143" s="12" t="n"/>
      <c r="AF143" s="13" t="n"/>
      <c r="AG143" s="14" t="n"/>
      <c r="AH143" s="12" t="n"/>
      <c r="AI143" s="13" t="n"/>
      <c r="AJ143" s="14" t="n"/>
      <c r="AK143" s="12" t="n"/>
      <c r="AL143" s="13" t="n"/>
      <c r="AM143" s="14" t="n"/>
      <c r="AN143" s="12" t="n"/>
      <c r="AO143" s="13" t="n"/>
      <c r="AP143" s="14" t="n"/>
      <c r="AQ143" s="12" t="n"/>
      <c r="AR143" s="13" t="n"/>
      <c r="AS143" s="14" t="n"/>
      <c r="AT143" s="12" t="n"/>
      <c r="AU143" s="13" t="n"/>
      <c r="AV143" s="14" t="n"/>
      <c r="AW143" s="12" t="n"/>
      <c r="AX143" s="13" t="n"/>
      <c r="AY143" s="14" t="n"/>
      <c r="AZ143" s="12" t="n"/>
      <c r="BA143" s="13" t="n"/>
      <c r="BB143" s="14" t="n"/>
      <c r="BC143" s="11">
        <f>IF(O143="","",IF(J143="GST 10%",ROUND(O143*set_GSTRate,2),0))</f>
        <v/>
      </c>
      <c r="BD143" s="11">
        <f>IF(O143="","",O143+BC143)</f>
        <v/>
      </c>
      <c r="BE143" s="15">
        <f>IF(O143="","",COUNTA(S143,V143,Y143,AB143,AE143,AH143,AK143,AN143,AQ143,AT143,AW143,AZ143))</f>
        <v/>
      </c>
      <c r="BF143" s="16">
        <f>IF(COUNT(T143,W143,Z143,AC143,AF143,AI143,AL143,AO143,AR143,AU143,AX143,BA143)=0,"",MAX(T143,W143,Z143,AC143,AF143,AI143,AL143,AO143,AR143,AU143,AX143,BA143))</f>
        <v/>
      </c>
      <c r="BG143" s="10">
        <f>MID(IF(S143="","",", "&amp;S143)&amp;IF(V143="","",", "&amp;V143)&amp;IF(Y143="","",", "&amp;Y143)&amp;IF(AB143="","",", "&amp;AB143)&amp;IF(AE143="","",", "&amp;AE143)&amp;IF(AH143="","",", "&amp;AH143)&amp;IF(AK143="","",", "&amp;AK143)&amp;IF(AN143="","",", "&amp;AN143)&amp;IF(AQ143="","",", "&amp;AQ143)&amp;IF(AT143="","",", "&amp;AT143)&amp;IF(AW143="","",", "&amp;AW143)&amp;IF(AZ143="","",", "&amp;AZ143),3,500)</f>
        <v/>
      </c>
      <c r="BH143" s="12" t="n"/>
      <c r="BI143" s="15">
        <f>IFERROR(MATCH($A143,IF($B143="Onsite",tbl_Onsite[Row ID],IF($B143="Production",tbl_Production[Row ID],tbl_Consulting[Row ID])),0),"")</f>
        <v/>
      </c>
    </row>
    <row r="144">
      <c r="A144" s="10" t="inlineStr">
        <is>
          <t>ONS-0138</t>
        </is>
      </c>
      <c r="B144" s="10" t="inlineStr">
        <is>
          <t>Onsite</t>
        </is>
      </c>
      <c r="C144" s="10">
        <f>IF($BI144="","",IF($B144="Onsite",INDEX(tbl_Onsite[Job Number],$BI144),IF($B144="Production",INDEX(tbl_Production[Job Number],$BI144),INDEX(tbl_Consulting[Job Number],$BI144)))&amp;"")</f>
        <v/>
      </c>
      <c r="D144" s="10">
        <f>IF($BI144="","",IF($B144="Onsite",INDEX(tbl_Onsite[Client],$BI144),IF($B144="Production",INDEX(tbl_Production[Client],$BI144),INDEX(tbl_Consulting[Client],$BI144)))&amp;"")</f>
        <v/>
      </c>
      <c r="E144" s="10">
        <f>IF($C144="","",IF(COUNTIF(lst_Jobs,$C144)&gt;0,"OK","CHECK"))</f>
        <v/>
      </c>
      <c r="F144" s="10">
        <f>IF($C144="","",IFERROR(INDEX(lst_JobName,MATCH($C144,lst_Jobs,0)),""))</f>
        <v/>
      </c>
      <c r="G144" s="10">
        <f>IF($BI144="","",IF($B144="Onsite",INDEX(tbl_Onsite[Job Description],$BI144),IF($B144="Production",INDEX(tbl_Production[Job Description],$BI144),INDEX(tbl_Consulting[Job Description],$BI144)))&amp;"")</f>
        <v/>
      </c>
      <c r="H144" s="10">
        <f>IF($BI144="","",IF($B144="Onsite",INDEX(tbl_Onsite[Cost Centre],$BI144),IF($B144="Production",INDEX(tbl_Production[Cost Centre],$BI144),INDEX(tbl_Consulting[Cost Centre],$BI144)))&amp;"")</f>
        <v/>
      </c>
      <c r="I144" s="10">
        <f>IF($BI144="","",IF($B144="Onsite",INDEX(tbl_Onsite[Invoice Type],$BI144),IF($B144="Production",INDEX(tbl_Production[Invoice Type],$BI144),INDEX(tbl_Consulting[Invoice Type],$BI144)))&amp;"")</f>
        <v/>
      </c>
      <c r="J144" s="10">
        <f>IF($BI144="","",IF($B144="Onsite",INDEX(tbl_Onsite[Tax Code],$BI144),IF($B144="Production",INDEX(tbl_Production[Tax Code],$BI144),INDEX(tbl_Consulting[Tax Code],$BI144)))&amp;"")</f>
        <v/>
      </c>
      <c r="K144" s="10">
        <f>IF(H144="","",IFERROR(INDEX(lst_CCtoGL,MATCH(H144,lst_CCforGL,0)),""))</f>
        <v/>
      </c>
      <c r="L144" s="10">
        <f>IF($BI144="","",IF($B144="Onsite",INDEX(tbl_Onsite[PO / Reference],$BI144),IF($B144="Production",INDEX(tbl_Production[Current RMS No],$BI144),INDEX(tbl_Consulting[Qwilr Quote],$BI144)))&amp;"")</f>
        <v/>
      </c>
      <c r="M144" s="10">
        <f>IF($BI144="","",IF($B144="Onsite",INDEX(tbl_Onsite[Notes],$BI144),IF($B144="Production",INDEX(tbl_Production[Notes],$BI144),INDEX(tbl_Consulting[Notes],$BI144)))&amp;"")</f>
        <v/>
      </c>
      <c r="N144" s="11">
        <f>IF($BI144="","",IF(IF($B144="Onsite",INDEX(tbl_Onsite[Expected Revenue Ex GST],$BI144),IF($B144="Production",INDEX(tbl_Production[Expected Revenue Ex GST],$BI144),INDEX(tbl_Consulting[Expected Revenue Ex GST],$BI144)))="","",IF($B144="Onsite",INDEX(tbl_Onsite[Expected Revenue Ex GST],$BI144),IF($B144="Production",INDEX(tbl_Production[Expected Revenue Ex GST],$BI144),INDEX(tbl_Consulting[Expected Revenue Ex GST],$BI144)))))</f>
        <v/>
      </c>
      <c r="O144" s="11">
        <f>IF(AND($C144="",NOT(COUNTA($S144:$BB144)&gt;0)),"",SUM(U144,X144,AA144,AD144,AG144,AJ144,AM144,AP144,AS144,AV144,AY144,BB144))</f>
        <v/>
      </c>
      <c r="P144" s="11">
        <f>IF(O144="","",N(N144)-O144)</f>
        <v/>
      </c>
      <c r="Q144" s="10">
        <f>IF(O144="","",IF($C144="","Invoice on empty job row",IF(N144="",IF(ROUND(O144,2)=0,"No dept value","Invoiced - no dept value"),IF(ROUND(O144,2)=0,"Not invoiced - to invoice",IF(ROUND(P144,2)=0,"Agrees",IF(P144&gt;0,"Dept higher - to invoice","Xero higher - check dept"))))))</f>
        <v/>
      </c>
      <c r="R144" s="10">
        <f>IF(AND($C144="",NOT(COUNTA($S144:$BB144)&gt;0),$BI144&lt;&gt;""),"",MID(IF($BI144="","; Row ID not found on the department sheet - a row was deleted","")&amp;IF(AND($C144="",COUNTA($S144:$BB144)&gt;0),"; Invoice entered but the department row has no job number","")&amp;IF(E144="CHECK","; Job number not in the Xero job list","")&amp;IF(AND($C144&lt;&gt;"",COUNTIF($C$7:$C$1506,$C144)&gt;1),"; Job number on more than one row","")&amp;IF(AND($C144&lt;&gt;"",H144=""),"; Dept has not set a cost centre","")&amp;IF(AND($C144&lt;&gt;"",J144=""),"; Dept has not set a tax code","")&amp;IF(AND($C144&lt;&gt;"",N144=""),"; Dept has not entered an expected value","")&amp;IF((IF(OR(COUNTA(S144:U144)=0,AND(COUNTA(S144:U144)=3,ISNUMBER(U144))),0,1)+IF(OR(COUNTA(V144:X144)=0,AND(COUNTA(V144:X144)=3,ISNUMBER(X144))),0,1)+IF(OR(COUNTA(Y144:AA144)=0,AND(COUNTA(Y144:AA144)=3,ISNUMBER(AA144))),0,1)+IF(OR(COUNTA(AB144:AD144)=0,AND(COUNTA(AB144:AD144)=3,ISNUMBER(AD144))),0,1)+IF(OR(COUNTA(AE144:AG144)=0,AND(COUNTA(AE144:AG144)=3,ISNUMBER(AG144))),0,1)+IF(OR(COUNTA(AH144:AJ144)=0,AND(COUNTA(AH144:AJ144)=3,ISNUMBER(AJ144))),0,1)+IF(OR(COUNTA(AK144:AM144)=0,AND(COUNTA(AK144:AM144)=3,ISNUMBER(AM144))),0,1)+IF(OR(COUNTA(AN144:AP144)=0,AND(COUNTA(AN144:AP144)=3,ISNUMBER(AP144))),0,1)+IF(OR(COUNTA(AQ144:AS144)=0,AND(COUNTA(AQ144:AS144)=3,ISNUMBER(AS144))),0,1)+IF(OR(COUNTA(AT144:AV144)=0,AND(COUNTA(AT144:AV144)=3,ISNUMBER(AV144))),0,1)+IF(OR(COUNTA(AW144:AY144)=0,AND(COUNTA(AW144:AY144)=3,ISNUMBER(AY144))),0,1)+IF(OR(COUNTA(AZ144:BB144)=0,AND(COUNTA(AZ144:BB144)=3,ISNUMBER(BB144))),0,1))&gt;0,"; An invoice is incomplete (needs No, Date and a number in Ex GST)","")&amp;IF((IF(T144="",0,IFERROR(--(EOMONTH(T144,0)&lt;&gt;S$5),1))+IF(W144="",0,IFERROR(--(EOMONTH(W144,0)&lt;&gt;V$5),1))+IF(Z144="",0,IFERROR(--(EOMONTH(Z144,0)&lt;&gt;Y$5),1))+IF(AC144="",0,IFERROR(--(EOMONTH(AC144,0)&lt;&gt;AB$5),1))+IF(AF144="",0,IFERROR(--(EOMONTH(AF144,0)&lt;&gt;AE$5),1))+IF(AI144="",0,IFERROR(--(EOMONTH(AI144,0)&lt;&gt;AH$5),1))+IF(AL144="",0,IFERROR(--(EOMONTH(AL144,0)&lt;&gt;AK$5),1))+IF(AO144="",0,IFERROR(--(EOMONTH(AO144,0)&lt;&gt;AN$5),1))+IF(AR144="",0,IFERROR(--(EOMONTH(AR144,0)&lt;&gt;AQ$5),1))+IF(AU144="",0,IFERROR(--(EOMONTH(AU144,0)&lt;&gt;AT$5),1))+IF(AX144="",0,IFERROR(--(EOMONTH(AX144,0)&lt;&gt;AW$5),1))+IF(BA144="",0,IFERROR(--(EOMONTH(BA144,0)&lt;&gt;AZ$5),1)))&gt;0,"; An invoice date is not in the month it is typed under",""),3,500))</f>
        <v/>
      </c>
      <c r="S144" s="12" t="n"/>
      <c r="T144" s="13" t="n"/>
      <c r="U144" s="14" t="n"/>
      <c r="V144" s="12" t="n"/>
      <c r="W144" s="13" t="n"/>
      <c r="X144" s="14" t="n"/>
      <c r="Y144" s="12" t="n"/>
      <c r="Z144" s="13" t="n"/>
      <c r="AA144" s="14" t="n"/>
      <c r="AB144" s="12" t="n"/>
      <c r="AC144" s="13" t="n"/>
      <c r="AD144" s="14" t="n"/>
      <c r="AE144" s="12" t="n"/>
      <c r="AF144" s="13" t="n"/>
      <c r="AG144" s="14" t="n"/>
      <c r="AH144" s="12" t="n"/>
      <c r="AI144" s="13" t="n"/>
      <c r="AJ144" s="14" t="n"/>
      <c r="AK144" s="12" t="n"/>
      <c r="AL144" s="13" t="n"/>
      <c r="AM144" s="14" t="n"/>
      <c r="AN144" s="12" t="n"/>
      <c r="AO144" s="13" t="n"/>
      <c r="AP144" s="14" t="n"/>
      <c r="AQ144" s="12" t="n"/>
      <c r="AR144" s="13" t="n"/>
      <c r="AS144" s="14" t="n"/>
      <c r="AT144" s="12" t="n"/>
      <c r="AU144" s="13" t="n"/>
      <c r="AV144" s="14" t="n"/>
      <c r="AW144" s="12" t="n"/>
      <c r="AX144" s="13" t="n"/>
      <c r="AY144" s="14" t="n"/>
      <c r="AZ144" s="12" t="n"/>
      <c r="BA144" s="13" t="n"/>
      <c r="BB144" s="14" t="n"/>
      <c r="BC144" s="11">
        <f>IF(O144="","",IF(J144="GST 10%",ROUND(O144*set_GSTRate,2),0))</f>
        <v/>
      </c>
      <c r="BD144" s="11">
        <f>IF(O144="","",O144+BC144)</f>
        <v/>
      </c>
      <c r="BE144" s="15">
        <f>IF(O144="","",COUNTA(S144,V144,Y144,AB144,AE144,AH144,AK144,AN144,AQ144,AT144,AW144,AZ144))</f>
        <v/>
      </c>
      <c r="BF144" s="16">
        <f>IF(COUNT(T144,W144,Z144,AC144,AF144,AI144,AL144,AO144,AR144,AU144,AX144,BA144)=0,"",MAX(T144,W144,Z144,AC144,AF144,AI144,AL144,AO144,AR144,AU144,AX144,BA144))</f>
        <v/>
      </c>
      <c r="BG144" s="10">
        <f>MID(IF(S144="","",", "&amp;S144)&amp;IF(V144="","",", "&amp;V144)&amp;IF(Y144="","",", "&amp;Y144)&amp;IF(AB144="","",", "&amp;AB144)&amp;IF(AE144="","",", "&amp;AE144)&amp;IF(AH144="","",", "&amp;AH144)&amp;IF(AK144="","",", "&amp;AK144)&amp;IF(AN144="","",", "&amp;AN144)&amp;IF(AQ144="","",", "&amp;AQ144)&amp;IF(AT144="","",", "&amp;AT144)&amp;IF(AW144="","",", "&amp;AW144)&amp;IF(AZ144="","",", "&amp;AZ144),3,500)</f>
        <v/>
      </c>
      <c r="BH144" s="12" t="n"/>
      <c r="BI144" s="15">
        <f>IFERROR(MATCH($A144,IF($B144="Onsite",tbl_Onsite[Row ID],IF($B144="Production",tbl_Production[Row ID],tbl_Consulting[Row ID])),0),"")</f>
        <v/>
      </c>
    </row>
    <row r="145">
      <c r="A145" s="10" t="inlineStr">
        <is>
          <t>ONS-0139</t>
        </is>
      </c>
      <c r="B145" s="10" t="inlineStr">
        <is>
          <t>Onsite</t>
        </is>
      </c>
      <c r="C145" s="10">
        <f>IF($BI145="","",IF($B145="Onsite",INDEX(tbl_Onsite[Job Number],$BI145),IF($B145="Production",INDEX(tbl_Production[Job Number],$BI145),INDEX(tbl_Consulting[Job Number],$BI145)))&amp;"")</f>
        <v/>
      </c>
      <c r="D145" s="10">
        <f>IF($BI145="","",IF($B145="Onsite",INDEX(tbl_Onsite[Client],$BI145),IF($B145="Production",INDEX(tbl_Production[Client],$BI145),INDEX(tbl_Consulting[Client],$BI145)))&amp;"")</f>
        <v/>
      </c>
      <c r="E145" s="10">
        <f>IF($C145="","",IF(COUNTIF(lst_Jobs,$C145)&gt;0,"OK","CHECK"))</f>
        <v/>
      </c>
      <c r="F145" s="10">
        <f>IF($C145="","",IFERROR(INDEX(lst_JobName,MATCH($C145,lst_Jobs,0)),""))</f>
        <v/>
      </c>
      <c r="G145" s="10">
        <f>IF($BI145="","",IF($B145="Onsite",INDEX(tbl_Onsite[Job Description],$BI145),IF($B145="Production",INDEX(tbl_Production[Job Description],$BI145),INDEX(tbl_Consulting[Job Description],$BI145)))&amp;"")</f>
        <v/>
      </c>
      <c r="H145" s="10">
        <f>IF($BI145="","",IF($B145="Onsite",INDEX(tbl_Onsite[Cost Centre],$BI145),IF($B145="Production",INDEX(tbl_Production[Cost Centre],$BI145),INDEX(tbl_Consulting[Cost Centre],$BI145)))&amp;"")</f>
        <v/>
      </c>
      <c r="I145" s="10">
        <f>IF($BI145="","",IF($B145="Onsite",INDEX(tbl_Onsite[Invoice Type],$BI145),IF($B145="Production",INDEX(tbl_Production[Invoice Type],$BI145),INDEX(tbl_Consulting[Invoice Type],$BI145)))&amp;"")</f>
        <v/>
      </c>
      <c r="J145" s="10">
        <f>IF($BI145="","",IF($B145="Onsite",INDEX(tbl_Onsite[Tax Code],$BI145),IF($B145="Production",INDEX(tbl_Production[Tax Code],$BI145),INDEX(tbl_Consulting[Tax Code],$BI145)))&amp;"")</f>
        <v/>
      </c>
      <c r="K145" s="10">
        <f>IF(H145="","",IFERROR(INDEX(lst_CCtoGL,MATCH(H145,lst_CCforGL,0)),""))</f>
        <v/>
      </c>
      <c r="L145" s="10">
        <f>IF($BI145="","",IF($B145="Onsite",INDEX(tbl_Onsite[PO / Reference],$BI145),IF($B145="Production",INDEX(tbl_Production[Current RMS No],$BI145),INDEX(tbl_Consulting[Qwilr Quote],$BI145)))&amp;"")</f>
        <v/>
      </c>
      <c r="M145" s="10">
        <f>IF($BI145="","",IF($B145="Onsite",INDEX(tbl_Onsite[Notes],$BI145),IF($B145="Production",INDEX(tbl_Production[Notes],$BI145),INDEX(tbl_Consulting[Notes],$BI145)))&amp;"")</f>
        <v/>
      </c>
      <c r="N145" s="11">
        <f>IF($BI145="","",IF(IF($B145="Onsite",INDEX(tbl_Onsite[Expected Revenue Ex GST],$BI145),IF($B145="Production",INDEX(tbl_Production[Expected Revenue Ex GST],$BI145),INDEX(tbl_Consulting[Expected Revenue Ex GST],$BI145)))="","",IF($B145="Onsite",INDEX(tbl_Onsite[Expected Revenue Ex GST],$BI145),IF($B145="Production",INDEX(tbl_Production[Expected Revenue Ex GST],$BI145),INDEX(tbl_Consulting[Expected Revenue Ex GST],$BI145)))))</f>
        <v/>
      </c>
      <c r="O145" s="11">
        <f>IF(AND($C145="",NOT(COUNTA($S145:$BB145)&gt;0)),"",SUM(U145,X145,AA145,AD145,AG145,AJ145,AM145,AP145,AS145,AV145,AY145,BB145))</f>
        <v/>
      </c>
      <c r="P145" s="11">
        <f>IF(O145="","",N(N145)-O145)</f>
        <v/>
      </c>
      <c r="Q145" s="10">
        <f>IF(O145="","",IF($C145="","Invoice on empty job row",IF(N145="",IF(ROUND(O145,2)=0,"No dept value","Invoiced - no dept value"),IF(ROUND(O145,2)=0,"Not invoiced - to invoice",IF(ROUND(P145,2)=0,"Agrees",IF(P145&gt;0,"Dept higher - to invoice","Xero higher - check dept"))))))</f>
        <v/>
      </c>
      <c r="R145" s="10">
        <f>IF(AND($C145="",NOT(COUNTA($S145:$BB145)&gt;0),$BI145&lt;&gt;""),"",MID(IF($BI145="","; Row ID not found on the department sheet - a row was deleted","")&amp;IF(AND($C145="",COUNTA($S145:$BB145)&gt;0),"; Invoice entered but the department row has no job number","")&amp;IF(E145="CHECK","; Job number not in the Xero job list","")&amp;IF(AND($C145&lt;&gt;"",COUNTIF($C$7:$C$1506,$C145)&gt;1),"; Job number on more than one row","")&amp;IF(AND($C145&lt;&gt;"",H145=""),"; Dept has not set a cost centre","")&amp;IF(AND($C145&lt;&gt;"",J145=""),"; Dept has not set a tax code","")&amp;IF(AND($C145&lt;&gt;"",N145=""),"; Dept has not entered an expected value","")&amp;IF((IF(OR(COUNTA(S145:U145)=0,AND(COUNTA(S145:U145)=3,ISNUMBER(U145))),0,1)+IF(OR(COUNTA(V145:X145)=0,AND(COUNTA(V145:X145)=3,ISNUMBER(X145))),0,1)+IF(OR(COUNTA(Y145:AA145)=0,AND(COUNTA(Y145:AA145)=3,ISNUMBER(AA145))),0,1)+IF(OR(COUNTA(AB145:AD145)=0,AND(COUNTA(AB145:AD145)=3,ISNUMBER(AD145))),0,1)+IF(OR(COUNTA(AE145:AG145)=0,AND(COUNTA(AE145:AG145)=3,ISNUMBER(AG145))),0,1)+IF(OR(COUNTA(AH145:AJ145)=0,AND(COUNTA(AH145:AJ145)=3,ISNUMBER(AJ145))),0,1)+IF(OR(COUNTA(AK145:AM145)=0,AND(COUNTA(AK145:AM145)=3,ISNUMBER(AM145))),0,1)+IF(OR(COUNTA(AN145:AP145)=0,AND(COUNTA(AN145:AP145)=3,ISNUMBER(AP145))),0,1)+IF(OR(COUNTA(AQ145:AS145)=0,AND(COUNTA(AQ145:AS145)=3,ISNUMBER(AS145))),0,1)+IF(OR(COUNTA(AT145:AV145)=0,AND(COUNTA(AT145:AV145)=3,ISNUMBER(AV145))),0,1)+IF(OR(COUNTA(AW145:AY145)=0,AND(COUNTA(AW145:AY145)=3,ISNUMBER(AY145))),0,1)+IF(OR(COUNTA(AZ145:BB145)=0,AND(COUNTA(AZ145:BB145)=3,ISNUMBER(BB145))),0,1))&gt;0,"; An invoice is incomplete (needs No, Date and a number in Ex GST)","")&amp;IF((IF(T145="",0,IFERROR(--(EOMONTH(T145,0)&lt;&gt;S$5),1))+IF(W145="",0,IFERROR(--(EOMONTH(W145,0)&lt;&gt;V$5),1))+IF(Z145="",0,IFERROR(--(EOMONTH(Z145,0)&lt;&gt;Y$5),1))+IF(AC145="",0,IFERROR(--(EOMONTH(AC145,0)&lt;&gt;AB$5),1))+IF(AF145="",0,IFERROR(--(EOMONTH(AF145,0)&lt;&gt;AE$5),1))+IF(AI145="",0,IFERROR(--(EOMONTH(AI145,0)&lt;&gt;AH$5),1))+IF(AL145="",0,IFERROR(--(EOMONTH(AL145,0)&lt;&gt;AK$5),1))+IF(AO145="",0,IFERROR(--(EOMONTH(AO145,0)&lt;&gt;AN$5),1))+IF(AR145="",0,IFERROR(--(EOMONTH(AR145,0)&lt;&gt;AQ$5),1))+IF(AU145="",0,IFERROR(--(EOMONTH(AU145,0)&lt;&gt;AT$5),1))+IF(AX145="",0,IFERROR(--(EOMONTH(AX145,0)&lt;&gt;AW$5),1))+IF(BA145="",0,IFERROR(--(EOMONTH(BA145,0)&lt;&gt;AZ$5),1)))&gt;0,"; An invoice date is not in the month it is typed under",""),3,500))</f>
        <v/>
      </c>
      <c r="S145" s="12" t="n"/>
      <c r="T145" s="13" t="n"/>
      <c r="U145" s="14" t="n"/>
      <c r="V145" s="12" t="n"/>
      <c r="W145" s="13" t="n"/>
      <c r="X145" s="14" t="n"/>
      <c r="Y145" s="12" t="n"/>
      <c r="Z145" s="13" t="n"/>
      <c r="AA145" s="14" t="n"/>
      <c r="AB145" s="12" t="n"/>
      <c r="AC145" s="13" t="n"/>
      <c r="AD145" s="14" t="n"/>
      <c r="AE145" s="12" t="n"/>
      <c r="AF145" s="13" t="n"/>
      <c r="AG145" s="14" t="n"/>
      <c r="AH145" s="12" t="n"/>
      <c r="AI145" s="13" t="n"/>
      <c r="AJ145" s="14" t="n"/>
      <c r="AK145" s="12" t="n"/>
      <c r="AL145" s="13" t="n"/>
      <c r="AM145" s="14" t="n"/>
      <c r="AN145" s="12" t="n"/>
      <c r="AO145" s="13" t="n"/>
      <c r="AP145" s="14" t="n"/>
      <c r="AQ145" s="12" t="n"/>
      <c r="AR145" s="13" t="n"/>
      <c r="AS145" s="14" t="n"/>
      <c r="AT145" s="12" t="n"/>
      <c r="AU145" s="13" t="n"/>
      <c r="AV145" s="14" t="n"/>
      <c r="AW145" s="12" t="n"/>
      <c r="AX145" s="13" t="n"/>
      <c r="AY145" s="14" t="n"/>
      <c r="AZ145" s="12" t="n"/>
      <c r="BA145" s="13" t="n"/>
      <c r="BB145" s="14" t="n"/>
      <c r="BC145" s="11">
        <f>IF(O145="","",IF(J145="GST 10%",ROUND(O145*set_GSTRate,2),0))</f>
        <v/>
      </c>
      <c r="BD145" s="11">
        <f>IF(O145="","",O145+BC145)</f>
        <v/>
      </c>
      <c r="BE145" s="15">
        <f>IF(O145="","",COUNTA(S145,V145,Y145,AB145,AE145,AH145,AK145,AN145,AQ145,AT145,AW145,AZ145))</f>
        <v/>
      </c>
      <c r="BF145" s="16">
        <f>IF(COUNT(T145,W145,Z145,AC145,AF145,AI145,AL145,AO145,AR145,AU145,AX145,BA145)=0,"",MAX(T145,W145,Z145,AC145,AF145,AI145,AL145,AO145,AR145,AU145,AX145,BA145))</f>
        <v/>
      </c>
      <c r="BG145" s="10">
        <f>MID(IF(S145="","",", "&amp;S145)&amp;IF(V145="","",", "&amp;V145)&amp;IF(Y145="","",", "&amp;Y145)&amp;IF(AB145="","",", "&amp;AB145)&amp;IF(AE145="","",", "&amp;AE145)&amp;IF(AH145="","",", "&amp;AH145)&amp;IF(AK145="","",", "&amp;AK145)&amp;IF(AN145="","",", "&amp;AN145)&amp;IF(AQ145="","",", "&amp;AQ145)&amp;IF(AT145="","",", "&amp;AT145)&amp;IF(AW145="","",", "&amp;AW145)&amp;IF(AZ145="","",", "&amp;AZ145),3,500)</f>
        <v/>
      </c>
      <c r="BH145" s="12" t="n"/>
      <c r="BI145" s="15">
        <f>IFERROR(MATCH($A145,IF($B145="Onsite",tbl_Onsite[Row ID],IF($B145="Production",tbl_Production[Row ID],tbl_Consulting[Row ID])),0),"")</f>
        <v/>
      </c>
    </row>
    <row r="146">
      <c r="A146" s="10" t="inlineStr">
        <is>
          <t>ONS-0140</t>
        </is>
      </c>
      <c r="B146" s="10" t="inlineStr">
        <is>
          <t>Onsite</t>
        </is>
      </c>
      <c r="C146" s="10">
        <f>IF($BI146="","",IF($B146="Onsite",INDEX(tbl_Onsite[Job Number],$BI146),IF($B146="Production",INDEX(tbl_Production[Job Number],$BI146),INDEX(tbl_Consulting[Job Number],$BI146)))&amp;"")</f>
        <v/>
      </c>
      <c r="D146" s="10">
        <f>IF($BI146="","",IF($B146="Onsite",INDEX(tbl_Onsite[Client],$BI146),IF($B146="Production",INDEX(tbl_Production[Client],$BI146),INDEX(tbl_Consulting[Client],$BI146)))&amp;"")</f>
        <v/>
      </c>
      <c r="E146" s="10">
        <f>IF($C146="","",IF(COUNTIF(lst_Jobs,$C146)&gt;0,"OK","CHECK"))</f>
        <v/>
      </c>
      <c r="F146" s="10">
        <f>IF($C146="","",IFERROR(INDEX(lst_JobName,MATCH($C146,lst_Jobs,0)),""))</f>
        <v/>
      </c>
      <c r="G146" s="10">
        <f>IF($BI146="","",IF($B146="Onsite",INDEX(tbl_Onsite[Job Description],$BI146),IF($B146="Production",INDEX(tbl_Production[Job Description],$BI146),INDEX(tbl_Consulting[Job Description],$BI146)))&amp;"")</f>
        <v/>
      </c>
      <c r="H146" s="10">
        <f>IF($BI146="","",IF($B146="Onsite",INDEX(tbl_Onsite[Cost Centre],$BI146),IF($B146="Production",INDEX(tbl_Production[Cost Centre],$BI146),INDEX(tbl_Consulting[Cost Centre],$BI146)))&amp;"")</f>
        <v/>
      </c>
      <c r="I146" s="10">
        <f>IF($BI146="","",IF($B146="Onsite",INDEX(tbl_Onsite[Invoice Type],$BI146),IF($B146="Production",INDEX(tbl_Production[Invoice Type],$BI146),INDEX(tbl_Consulting[Invoice Type],$BI146)))&amp;"")</f>
        <v/>
      </c>
      <c r="J146" s="10">
        <f>IF($BI146="","",IF($B146="Onsite",INDEX(tbl_Onsite[Tax Code],$BI146),IF($B146="Production",INDEX(tbl_Production[Tax Code],$BI146),INDEX(tbl_Consulting[Tax Code],$BI146)))&amp;"")</f>
        <v/>
      </c>
      <c r="K146" s="10">
        <f>IF(H146="","",IFERROR(INDEX(lst_CCtoGL,MATCH(H146,lst_CCforGL,0)),""))</f>
        <v/>
      </c>
      <c r="L146" s="10">
        <f>IF($BI146="","",IF($B146="Onsite",INDEX(tbl_Onsite[PO / Reference],$BI146),IF($B146="Production",INDEX(tbl_Production[Current RMS No],$BI146),INDEX(tbl_Consulting[Qwilr Quote],$BI146)))&amp;"")</f>
        <v/>
      </c>
      <c r="M146" s="10">
        <f>IF($BI146="","",IF($B146="Onsite",INDEX(tbl_Onsite[Notes],$BI146),IF($B146="Production",INDEX(tbl_Production[Notes],$BI146),INDEX(tbl_Consulting[Notes],$BI146)))&amp;"")</f>
        <v/>
      </c>
      <c r="N146" s="11">
        <f>IF($BI146="","",IF(IF($B146="Onsite",INDEX(tbl_Onsite[Expected Revenue Ex GST],$BI146),IF($B146="Production",INDEX(tbl_Production[Expected Revenue Ex GST],$BI146),INDEX(tbl_Consulting[Expected Revenue Ex GST],$BI146)))="","",IF($B146="Onsite",INDEX(tbl_Onsite[Expected Revenue Ex GST],$BI146),IF($B146="Production",INDEX(tbl_Production[Expected Revenue Ex GST],$BI146),INDEX(tbl_Consulting[Expected Revenue Ex GST],$BI146)))))</f>
        <v/>
      </c>
      <c r="O146" s="11">
        <f>IF(AND($C146="",NOT(COUNTA($S146:$BB146)&gt;0)),"",SUM(U146,X146,AA146,AD146,AG146,AJ146,AM146,AP146,AS146,AV146,AY146,BB146))</f>
        <v/>
      </c>
      <c r="P146" s="11">
        <f>IF(O146="","",N(N146)-O146)</f>
        <v/>
      </c>
      <c r="Q146" s="10">
        <f>IF(O146="","",IF($C146="","Invoice on empty job row",IF(N146="",IF(ROUND(O146,2)=0,"No dept value","Invoiced - no dept value"),IF(ROUND(O146,2)=0,"Not invoiced - to invoice",IF(ROUND(P146,2)=0,"Agrees",IF(P146&gt;0,"Dept higher - to invoice","Xero higher - check dept"))))))</f>
        <v/>
      </c>
      <c r="R146" s="10">
        <f>IF(AND($C146="",NOT(COUNTA($S146:$BB146)&gt;0),$BI146&lt;&gt;""),"",MID(IF($BI146="","; Row ID not found on the department sheet - a row was deleted","")&amp;IF(AND($C146="",COUNTA($S146:$BB146)&gt;0),"; Invoice entered but the department row has no job number","")&amp;IF(E146="CHECK","; Job number not in the Xero job list","")&amp;IF(AND($C146&lt;&gt;"",COUNTIF($C$7:$C$1506,$C146)&gt;1),"; Job number on more than one row","")&amp;IF(AND($C146&lt;&gt;"",H146=""),"; Dept has not set a cost centre","")&amp;IF(AND($C146&lt;&gt;"",J146=""),"; Dept has not set a tax code","")&amp;IF(AND($C146&lt;&gt;"",N146=""),"; Dept has not entered an expected value","")&amp;IF((IF(OR(COUNTA(S146:U146)=0,AND(COUNTA(S146:U146)=3,ISNUMBER(U146))),0,1)+IF(OR(COUNTA(V146:X146)=0,AND(COUNTA(V146:X146)=3,ISNUMBER(X146))),0,1)+IF(OR(COUNTA(Y146:AA146)=0,AND(COUNTA(Y146:AA146)=3,ISNUMBER(AA146))),0,1)+IF(OR(COUNTA(AB146:AD146)=0,AND(COUNTA(AB146:AD146)=3,ISNUMBER(AD146))),0,1)+IF(OR(COUNTA(AE146:AG146)=0,AND(COUNTA(AE146:AG146)=3,ISNUMBER(AG146))),0,1)+IF(OR(COUNTA(AH146:AJ146)=0,AND(COUNTA(AH146:AJ146)=3,ISNUMBER(AJ146))),0,1)+IF(OR(COUNTA(AK146:AM146)=0,AND(COUNTA(AK146:AM146)=3,ISNUMBER(AM146))),0,1)+IF(OR(COUNTA(AN146:AP146)=0,AND(COUNTA(AN146:AP146)=3,ISNUMBER(AP146))),0,1)+IF(OR(COUNTA(AQ146:AS146)=0,AND(COUNTA(AQ146:AS146)=3,ISNUMBER(AS146))),0,1)+IF(OR(COUNTA(AT146:AV146)=0,AND(COUNTA(AT146:AV146)=3,ISNUMBER(AV146))),0,1)+IF(OR(COUNTA(AW146:AY146)=0,AND(COUNTA(AW146:AY146)=3,ISNUMBER(AY146))),0,1)+IF(OR(COUNTA(AZ146:BB146)=0,AND(COUNTA(AZ146:BB146)=3,ISNUMBER(BB146))),0,1))&gt;0,"; An invoice is incomplete (needs No, Date and a number in Ex GST)","")&amp;IF((IF(T146="",0,IFERROR(--(EOMONTH(T146,0)&lt;&gt;S$5),1))+IF(W146="",0,IFERROR(--(EOMONTH(W146,0)&lt;&gt;V$5),1))+IF(Z146="",0,IFERROR(--(EOMONTH(Z146,0)&lt;&gt;Y$5),1))+IF(AC146="",0,IFERROR(--(EOMONTH(AC146,0)&lt;&gt;AB$5),1))+IF(AF146="",0,IFERROR(--(EOMONTH(AF146,0)&lt;&gt;AE$5),1))+IF(AI146="",0,IFERROR(--(EOMONTH(AI146,0)&lt;&gt;AH$5),1))+IF(AL146="",0,IFERROR(--(EOMONTH(AL146,0)&lt;&gt;AK$5),1))+IF(AO146="",0,IFERROR(--(EOMONTH(AO146,0)&lt;&gt;AN$5),1))+IF(AR146="",0,IFERROR(--(EOMONTH(AR146,0)&lt;&gt;AQ$5),1))+IF(AU146="",0,IFERROR(--(EOMONTH(AU146,0)&lt;&gt;AT$5),1))+IF(AX146="",0,IFERROR(--(EOMONTH(AX146,0)&lt;&gt;AW$5),1))+IF(BA146="",0,IFERROR(--(EOMONTH(BA146,0)&lt;&gt;AZ$5),1)))&gt;0,"; An invoice date is not in the month it is typed under",""),3,500))</f>
        <v/>
      </c>
      <c r="S146" s="12" t="n"/>
      <c r="T146" s="13" t="n"/>
      <c r="U146" s="14" t="n"/>
      <c r="V146" s="12" t="n"/>
      <c r="W146" s="13" t="n"/>
      <c r="X146" s="14" t="n"/>
      <c r="Y146" s="12" t="n"/>
      <c r="Z146" s="13" t="n"/>
      <c r="AA146" s="14" t="n"/>
      <c r="AB146" s="12" t="n"/>
      <c r="AC146" s="13" t="n"/>
      <c r="AD146" s="14" t="n"/>
      <c r="AE146" s="12" t="n"/>
      <c r="AF146" s="13" t="n"/>
      <c r="AG146" s="14" t="n"/>
      <c r="AH146" s="12" t="n"/>
      <c r="AI146" s="13" t="n"/>
      <c r="AJ146" s="14" t="n"/>
      <c r="AK146" s="12" t="n"/>
      <c r="AL146" s="13" t="n"/>
      <c r="AM146" s="14" t="n"/>
      <c r="AN146" s="12" t="n"/>
      <c r="AO146" s="13" t="n"/>
      <c r="AP146" s="14" t="n"/>
      <c r="AQ146" s="12" t="n"/>
      <c r="AR146" s="13" t="n"/>
      <c r="AS146" s="14" t="n"/>
      <c r="AT146" s="12" t="n"/>
      <c r="AU146" s="13" t="n"/>
      <c r="AV146" s="14" t="n"/>
      <c r="AW146" s="12" t="n"/>
      <c r="AX146" s="13" t="n"/>
      <c r="AY146" s="14" t="n"/>
      <c r="AZ146" s="12" t="n"/>
      <c r="BA146" s="13" t="n"/>
      <c r="BB146" s="14" t="n"/>
      <c r="BC146" s="11">
        <f>IF(O146="","",IF(J146="GST 10%",ROUND(O146*set_GSTRate,2),0))</f>
        <v/>
      </c>
      <c r="BD146" s="11">
        <f>IF(O146="","",O146+BC146)</f>
        <v/>
      </c>
      <c r="BE146" s="15">
        <f>IF(O146="","",COUNTA(S146,V146,Y146,AB146,AE146,AH146,AK146,AN146,AQ146,AT146,AW146,AZ146))</f>
        <v/>
      </c>
      <c r="BF146" s="16">
        <f>IF(COUNT(T146,W146,Z146,AC146,AF146,AI146,AL146,AO146,AR146,AU146,AX146,BA146)=0,"",MAX(T146,W146,Z146,AC146,AF146,AI146,AL146,AO146,AR146,AU146,AX146,BA146))</f>
        <v/>
      </c>
      <c r="BG146" s="10">
        <f>MID(IF(S146="","",", "&amp;S146)&amp;IF(V146="","",", "&amp;V146)&amp;IF(Y146="","",", "&amp;Y146)&amp;IF(AB146="","",", "&amp;AB146)&amp;IF(AE146="","",", "&amp;AE146)&amp;IF(AH146="","",", "&amp;AH146)&amp;IF(AK146="","",", "&amp;AK146)&amp;IF(AN146="","",", "&amp;AN146)&amp;IF(AQ146="","",", "&amp;AQ146)&amp;IF(AT146="","",", "&amp;AT146)&amp;IF(AW146="","",", "&amp;AW146)&amp;IF(AZ146="","",", "&amp;AZ146),3,500)</f>
        <v/>
      </c>
      <c r="BH146" s="12" t="n"/>
      <c r="BI146" s="15">
        <f>IFERROR(MATCH($A146,IF($B146="Onsite",tbl_Onsite[Row ID],IF($B146="Production",tbl_Production[Row ID],tbl_Consulting[Row ID])),0),"")</f>
        <v/>
      </c>
    </row>
    <row r="147">
      <c r="A147" s="10" t="inlineStr">
        <is>
          <t>ONS-0141</t>
        </is>
      </c>
      <c r="B147" s="10" t="inlineStr">
        <is>
          <t>Onsite</t>
        </is>
      </c>
      <c r="C147" s="10">
        <f>IF($BI147="","",IF($B147="Onsite",INDEX(tbl_Onsite[Job Number],$BI147),IF($B147="Production",INDEX(tbl_Production[Job Number],$BI147),INDEX(tbl_Consulting[Job Number],$BI147)))&amp;"")</f>
        <v/>
      </c>
      <c r="D147" s="10">
        <f>IF($BI147="","",IF($B147="Onsite",INDEX(tbl_Onsite[Client],$BI147),IF($B147="Production",INDEX(tbl_Production[Client],$BI147),INDEX(tbl_Consulting[Client],$BI147)))&amp;"")</f>
        <v/>
      </c>
      <c r="E147" s="10">
        <f>IF($C147="","",IF(COUNTIF(lst_Jobs,$C147)&gt;0,"OK","CHECK"))</f>
        <v/>
      </c>
      <c r="F147" s="10">
        <f>IF($C147="","",IFERROR(INDEX(lst_JobName,MATCH($C147,lst_Jobs,0)),""))</f>
        <v/>
      </c>
      <c r="G147" s="10">
        <f>IF($BI147="","",IF($B147="Onsite",INDEX(tbl_Onsite[Job Description],$BI147),IF($B147="Production",INDEX(tbl_Production[Job Description],$BI147),INDEX(tbl_Consulting[Job Description],$BI147)))&amp;"")</f>
        <v/>
      </c>
      <c r="H147" s="10">
        <f>IF($BI147="","",IF($B147="Onsite",INDEX(tbl_Onsite[Cost Centre],$BI147),IF($B147="Production",INDEX(tbl_Production[Cost Centre],$BI147),INDEX(tbl_Consulting[Cost Centre],$BI147)))&amp;"")</f>
        <v/>
      </c>
      <c r="I147" s="10">
        <f>IF($BI147="","",IF($B147="Onsite",INDEX(tbl_Onsite[Invoice Type],$BI147),IF($B147="Production",INDEX(tbl_Production[Invoice Type],$BI147),INDEX(tbl_Consulting[Invoice Type],$BI147)))&amp;"")</f>
        <v/>
      </c>
      <c r="J147" s="10">
        <f>IF($BI147="","",IF($B147="Onsite",INDEX(tbl_Onsite[Tax Code],$BI147),IF($B147="Production",INDEX(tbl_Production[Tax Code],$BI147),INDEX(tbl_Consulting[Tax Code],$BI147)))&amp;"")</f>
        <v/>
      </c>
      <c r="K147" s="10">
        <f>IF(H147="","",IFERROR(INDEX(lst_CCtoGL,MATCH(H147,lst_CCforGL,0)),""))</f>
        <v/>
      </c>
      <c r="L147" s="10">
        <f>IF($BI147="","",IF($B147="Onsite",INDEX(tbl_Onsite[PO / Reference],$BI147),IF($B147="Production",INDEX(tbl_Production[Current RMS No],$BI147),INDEX(tbl_Consulting[Qwilr Quote],$BI147)))&amp;"")</f>
        <v/>
      </c>
      <c r="M147" s="10">
        <f>IF($BI147="","",IF($B147="Onsite",INDEX(tbl_Onsite[Notes],$BI147),IF($B147="Production",INDEX(tbl_Production[Notes],$BI147),INDEX(tbl_Consulting[Notes],$BI147)))&amp;"")</f>
        <v/>
      </c>
      <c r="N147" s="11">
        <f>IF($BI147="","",IF(IF($B147="Onsite",INDEX(tbl_Onsite[Expected Revenue Ex GST],$BI147),IF($B147="Production",INDEX(tbl_Production[Expected Revenue Ex GST],$BI147),INDEX(tbl_Consulting[Expected Revenue Ex GST],$BI147)))="","",IF($B147="Onsite",INDEX(tbl_Onsite[Expected Revenue Ex GST],$BI147),IF($B147="Production",INDEX(tbl_Production[Expected Revenue Ex GST],$BI147),INDEX(tbl_Consulting[Expected Revenue Ex GST],$BI147)))))</f>
        <v/>
      </c>
      <c r="O147" s="11">
        <f>IF(AND($C147="",NOT(COUNTA($S147:$BB147)&gt;0)),"",SUM(U147,X147,AA147,AD147,AG147,AJ147,AM147,AP147,AS147,AV147,AY147,BB147))</f>
        <v/>
      </c>
      <c r="P147" s="11">
        <f>IF(O147="","",N(N147)-O147)</f>
        <v/>
      </c>
      <c r="Q147" s="10">
        <f>IF(O147="","",IF($C147="","Invoice on empty job row",IF(N147="",IF(ROUND(O147,2)=0,"No dept value","Invoiced - no dept value"),IF(ROUND(O147,2)=0,"Not invoiced - to invoice",IF(ROUND(P147,2)=0,"Agrees",IF(P147&gt;0,"Dept higher - to invoice","Xero higher - check dept"))))))</f>
        <v/>
      </c>
      <c r="R147" s="10">
        <f>IF(AND($C147="",NOT(COUNTA($S147:$BB147)&gt;0),$BI147&lt;&gt;""),"",MID(IF($BI147="","; Row ID not found on the department sheet - a row was deleted","")&amp;IF(AND($C147="",COUNTA($S147:$BB147)&gt;0),"; Invoice entered but the department row has no job number","")&amp;IF(E147="CHECK","; Job number not in the Xero job list","")&amp;IF(AND($C147&lt;&gt;"",COUNTIF($C$7:$C$1506,$C147)&gt;1),"; Job number on more than one row","")&amp;IF(AND($C147&lt;&gt;"",H147=""),"; Dept has not set a cost centre","")&amp;IF(AND($C147&lt;&gt;"",J147=""),"; Dept has not set a tax code","")&amp;IF(AND($C147&lt;&gt;"",N147=""),"; Dept has not entered an expected value","")&amp;IF((IF(OR(COUNTA(S147:U147)=0,AND(COUNTA(S147:U147)=3,ISNUMBER(U147))),0,1)+IF(OR(COUNTA(V147:X147)=0,AND(COUNTA(V147:X147)=3,ISNUMBER(X147))),0,1)+IF(OR(COUNTA(Y147:AA147)=0,AND(COUNTA(Y147:AA147)=3,ISNUMBER(AA147))),0,1)+IF(OR(COUNTA(AB147:AD147)=0,AND(COUNTA(AB147:AD147)=3,ISNUMBER(AD147))),0,1)+IF(OR(COUNTA(AE147:AG147)=0,AND(COUNTA(AE147:AG147)=3,ISNUMBER(AG147))),0,1)+IF(OR(COUNTA(AH147:AJ147)=0,AND(COUNTA(AH147:AJ147)=3,ISNUMBER(AJ147))),0,1)+IF(OR(COUNTA(AK147:AM147)=0,AND(COUNTA(AK147:AM147)=3,ISNUMBER(AM147))),0,1)+IF(OR(COUNTA(AN147:AP147)=0,AND(COUNTA(AN147:AP147)=3,ISNUMBER(AP147))),0,1)+IF(OR(COUNTA(AQ147:AS147)=0,AND(COUNTA(AQ147:AS147)=3,ISNUMBER(AS147))),0,1)+IF(OR(COUNTA(AT147:AV147)=0,AND(COUNTA(AT147:AV147)=3,ISNUMBER(AV147))),0,1)+IF(OR(COUNTA(AW147:AY147)=0,AND(COUNTA(AW147:AY147)=3,ISNUMBER(AY147))),0,1)+IF(OR(COUNTA(AZ147:BB147)=0,AND(COUNTA(AZ147:BB147)=3,ISNUMBER(BB147))),0,1))&gt;0,"; An invoice is incomplete (needs No, Date and a number in Ex GST)","")&amp;IF((IF(T147="",0,IFERROR(--(EOMONTH(T147,0)&lt;&gt;S$5),1))+IF(W147="",0,IFERROR(--(EOMONTH(W147,0)&lt;&gt;V$5),1))+IF(Z147="",0,IFERROR(--(EOMONTH(Z147,0)&lt;&gt;Y$5),1))+IF(AC147="",0,IFERROR(--(EOMONTH(AC147,0)&lt;&gt;AB$5),1))+IF(AF147="",0,IFERROR(--(EOMONTH(AF147,0)&lt;&gt;AE$5),1))+IF(AI147="",0,IFERROR(--(EOMONTH(AI147,0)&lt;&gt;AH$5),1))+IF(AL147="",0,IFERROR(--(EOMONTH(AL147,0)&lt;&gt;AK$5),1))+IF(AO147="",0,IFERROR(--(EOMONTH(AO147,0)&lt;&gt;AN$5),1))+IF(AR147="",0,IFERROR(--(EOMONTH(AR147,0)&lt;&gt;AQ$5),1))+IF(AU147="",0,IFERROR(--(EOMONTH(AU147,0)&lt;&gt;AT$5),1))+IF(AX147="",0,IFERROR(--(EOMONTH(AX147,0)&lt;&gt;AW$5),1))+IF(BA147="",0,IFERROR(--(EOMONTH(BA147,0)&lt;&gt;AZ$5),1)))&gt;0,"; An invoice date is not in the month it is typed under",""),3,500))</f>
        <v/>
      </c>
      <c r="S147" s="12" t="n"/>
      <c r="T147" s="13" t="n"/>
      <c r="U147" s="14" t="n"/>
      <c r="V147" s="12" t="n"/>
      <c r="W147" s="13" t="n"/>
      <c r="X147" s="14" t="n"/>
      <c r="Y147" s="12" t="n"/>
      <c r="Z147" s="13" t="n"/>
      <c r="AA147" s="14" t="n"/>
      <c r="AB147" s="12" t="n"/>
      <c r="AC147" s="13" t="n"/>
      <c r="AD147" s="14" t="n"/>
      <c r="AE147" s="12" t="n"/>
      <c r="AF147" s="13" t="n"/>
      <c r="AG147" s="14" t="n"/>
      <c r="AH147" s="12" t="n"/>
      <c r="AI147" s="13" t="n"/>
      <c r="AJ147" s="14" t="n"/>
      <c r="AK147" s="12" t="n"/>
      <c r="AL147" s="13" t="n"/>
      <c r="AM147" s="14" t="n"/>
      <c r="AN147" s="12" t="n"/>
      <c r="AO147" s="13" t="n"/>
      <c r="AP147" s="14" t="n"/>
      <c r="AQ147" s="12" t="n"/>
      <c r="AR147" s="13" t="n"/>
      <c r="AS147" s="14" t="n"/>
      <c r="AT147" s="12" t="n"/>
      <c r="AU147" s="13" t="n"/>
      <c r="AV147" s="14" t="n"/>
      <c r="AW147" s="12" t="n"/>
      <c r="AX147" s="13" t="n"/>
      <c r="AY147" s="14" t="n"/>
      <c r="AZ147" s="12" t="n"/>
      <c r="BA147" s="13" t="n"/>
      <c r="BB147" s="14" t="n"/>
      <c r="BC147" s="11">
        <f>IF(O147="","",IF(J147="GST 10%",ROUND(O147*set_GSTRate,2),0))</f>
        <v/>
      </c>
      <c r="BD147" s="11">
        <f>IF(O147="","",O147+BC147)</f>
        <v/>
      </c>
      <c r="BE147" s="15">
        <f>IF(O147="","",COUNTA(S147,V147,Y147,AB147,AE147,AH147,AK147,AN147,AQ147,AT147,AW147,AZ147))</f>
        <v/>
      </c>
      <c r="BF147" s="16">
        <f>IF(COUNT(T147,W147,Z147,AC147,AF147,AI147,AL147,AO147,AR147,AU147,AX147,BA147)=0,"",MAX(T147,W147,Z147,AC147,AF147,AI147,AL147,AO147,AR147,AU147,AX147,BA147))</f>
        <v/>
      </c>
      <c r="BG147" s="10">
        <f>MID(IF(S147="","",", "&amp;S147)&amp;IF(V147="","",", "&amp;V147)&amp;IF(Y147="","",", "&amp;Y147)&amp;IF(AB147="","",", "&amp;AB147)&amp;IF(AE147="","",", "&amp;AE147)&amp;IF(AH147="","",", "&amp;AH147)&amp;IF(AK147="","",", "&amp;AK147)&amp;IF(AN147="","",", "&amp;AN147)&amp;IF(AQ147="","",", "&amp;AQ147)&amp;IF(AT147="","",", "&amp;AT147)&amp;IF(AW147="","",", "&amp;AW147)&amp;IF(AZ147="","",", "&amp;AZ147),3,500)</f>
        <v/>
      </c>
      <c r="BH147" s="12" t="n"/>
      <c r="BI147" s="15">
        <f>IFERROR(MATCH($A147,IF($B147="Onsite",tbl_Onsite[Row ID],IF($B147="Production",tbl_Production[Row ID],tbl_Consulting[Row ID])),0),"")</f>
        <v/>
      </c>
    </row>
    <row r="148">
      <c r="A148" s="10" t="inlineStr">
        <is>
          <t>ONS-0142</t>
        </is>
      </c>
      <c r="B148" s="10" t="inlineStr">
        <is>
          <t>Onsite</t>
        </is>
      </c>
      <c r="C148" s="10">
        <f>IF($BI148="","",IF($B148="Onsite",INDEX(tbl_Onsite[Job Number],$BI148),IF($B148="Production",INDEX(tbl_Production[Job Number],$BI148),INDEX(tbl_Consulting[Job Number],$BI148)))&amp;"")</f>
        <v/>
      </c>
      <c r="D148" s="10">
        <f>IF($BI148="","",IF($B148="Onsite",INDEX(tbl_Onsite[Client],$BI148),IF($B148="Production",INDEX(tbl_Production[Client],$BI148),INDEX(tbl_Consulting[Client],$BI148)))&amp;"")</f>
        <v/>
      </c>
      <c r="E148" s="10">
        <f>IF($C148="","",IF(COUNTIF(lst_Jobs,$C148)&gt;0,"OK","CHECK"))</f>
        <v/>
      </c>
      <c r="F148" s="10">
        <f>IF($C148="","",IFERROR(INDEX(lst_JobName,MATCH($C148,lst_Jobs,0)),""))</f>
        <v/>
      </c>
      <c r="G148" s="10">
        <f>IF($BI148="","",IF($B148="Onsite",INDEX(tbl_Onsite[Job Description],$BI148),IF($B148="Production",INDEX(tbl_Production[Job Description],$BI148),INDEX(tbl_Consulting[Job Description],$BI148)))&amp;"")</f>
        <v/>
      </c>
      <c r="H148" s="10">
        <f>IF($BI148="","",IF($B148="Onsite",INDEX(tbl_Onsite[Cost Centre],$BI148),IF($B148="Production",INDEX(tbl_Production[Cost Centre],$BI148),INDEX(tbl_Consulting[Cost Centre],$BI148)))&amp;"")</f>
        <v/>
      </c>
      <c r="I148" s="10">
        <f>IF($BI148="","",IF($B148="Onsite",INDEX(tbl_Onsite[Invoice Type],$BI148),IF($B148="Production",INDEX(tbl_Production[Invoice Type],$BI148),INDEX(tbl_Consulting[Invoice Type],$BI148)))&amp;"")</f>
        <v/>
      </c>
      <c r="J148" s="10">
        <f>IF($BI148="","",IF($B148="Onsite",INDEX(tbl_Onsite[Tax Code],$BI148),IF($B148="Production",INDEX(tbl_Production[Tax Code],$BI148),INDEX(tbl_Consulting[Tax Code],$BI148)))&amp;"")</f>
        <v/>
      </c>
      <c r="K148" s="10">
        <f>IF(H148="","",IFERROR(INDEX(lst_CCtoGL,MATCH(H148,lst_CCforGL,0)),""))</f>
        <v/>
      </c>
      <c r="L148" s="10">
        <f>IF($BI148="","",IF($B148="Onsite",INDEX(tbl_Onsite[PO / Reference],$BI148),IF($B148="Production",INDEX(tbl_Production[Current RMS No],$BI148),INDEX(tbl_Consulting[Qwilr Quote],$BI148)))&amp;"")</f>
        <v/>
      </c>
      <c r="M148" s="10">
        <f>IF($BI148="","",IF($B148="Onsite",INDEX(tbl_Onsite[Notes],$BI148),IF($B148="Production",INDEX(tbl_Production[Notes],$BI148),INDEX(tbl_Consulting[Notes],$BI148)))&amp;"")</f>
        <v/>
      </c>
      <c r="N148" s="11">
        <f>IF($BI148="","",IF(IF($B148="Onsite",INDEX(tbl_Onsite[Expected Revenue Ex GST],$BI148),IF($B148="Production",INDEX(tbl_Production[Expected Revenue Ex GST],$BI148),INDEX(tbl_Consulting[Expected Revenue Ex GST],$BI148)))="","",IF($B148="Onsite",INDEX(tbl_Onsite[Expected Revenue Ex GST],$BI148),IF($B148="Production",INDEX(tbl_Production[Expected Revenue Ex GST],$BI148),INDEX(tbl_Consulting[Expected Revenue Ex GST],$BI148)))))</f>
        <v/>
      </c>
      <c r="O148" s="11">
        <f>IF(AND($C148="",NOT(COUNTA($S148:$BB148)&gt;0)),"",SUM(U148,X148,AA148,AD148,AG148,AJ148,AM148,AP148,AS148,AV148,AY148,BB148))</f>
        <v/>
      </c>
      <c r="P148" s="11">
        <f>IF(O148="","",N(N148)-O148)</f>
        <v/>
      </c>
      <c r="Q148" s="10">
        <f>IF(O148="","",IF($C148="","Invoice on empty job row",IF(N148="",IF(ROUND(O148,2)=0,"No dept value","Invoiced - no dept value"),IF(ROUND(O148,2)=0,"Not invoiced - to invoice",IF(ROUND(P148,2)=0,"Agrees",IF(P148&gt;0,"Dept higher - to invoice","Xero higher - check dept"))))))</f>
        <v/>
      </c>
      <c r="R148" s="10">
        <f>IF(AND($C148="",NOT(COUNTA($S148:$BB148)&gt;0),$BI148&lt;&gt;""),"",MID(IF($BI148="","; Row ID not found on the department sheet - a row was deleted","")&amp;IF(AND($C148="",COUNTA($S148:$BB148)&gt;0),"; Invoice entered but the department row has no job number","")&amp;IF(E148="CHECK","; Job number not in the Xero job list","")&amp;IF(AND($C148&lt;&gt;"",COUNTIF($C$7:$C$1506,$C148)&gt;1),"; Job number on more than one row","")&amp;IF(AND($C148&lt;&gt;"",H148=""),"; Dept has not set a cost centre","")&amp;IF(AND($C148&lt;&gt;"",J148=""),"; Dept has not set a tax code","")&amp;IF(AND($C148&lt;&gt;"",N148=""),"; Dept has not entered an expected value","")&amp;IF((IF(OR(COUNTA(S148:U148)=0,AND(COUNTA(S148:U148)=3,ISNUMBER(U148))),0,1)+IF(OR(COUNTA(V148:X148)=0,AND(COUNTA(V148:X148)=3,ISNUMBER(X148))),0,1)+IF(OR(COUNTA(Y148:AA148)=0,AND(COUNTA(Y148:AA148)=3,ISNUMBER(AA148))),0,1)+IF(OR(COUNTA(AB148:AD148)=0,AND(COUNTA(AB148:AD148)=3,ISNUMBER(AD148))),0,1)+IF(OR(COUNTA(AE148:AG148)=0,AND(COUNTA(AE148:AG148)=3,ISNUMBER(AG148))),0,1)+IF(OR(COUNTA(AH148:AJ148)=0,AND(COUNTA(AH148:AJ148)=3,ISNUMBER(AJ148))),0,1)+IF(OR(COUNTA(AK148:AM148)=0,AND(COUNTA(AK148:AM148)=3,ISNUMBER(AM148))),0,1)+IF(OR(COUNTA(AN148:AP148)=0,AND(COUNTA(AN148:AP148)=3,ISNUMBER(AP148))),0,1)+IF(OR(COUNTA(AQ148:AS148)=0,AND(COUNTA(AQ148:AS148)=3,ISNUMBER(AS148))),0,1)+IF(OR(COUNTA(AT148:AV148)=0,AND(COUNTA(AT148:AV148)=3,ISNUMBER(AV148))),0,1)+IF(OR(COUNTA(AW148:AY148)=0,AND(COUNTA(AW148:AY148)=3,ISNUMBER(AY148))),0,1)+IF(OR(COUNTA(AZ148:BB148)=0,AND(COUNTA(AZ148:BB148)=3,ISNUMBER(BB148))),0,1))&gt;0,"; An invoice is incomplete (needs No, Date and a number in Ex GST)","")&amp;IF((IF(T148="",0,IFERROR(--(EOMONTH(T148,0)&lt;&gt;S$5),1))+IF(W148="",0,IFERROR(--(EOMONTH(W148,0)&lt;&gt;V$5),1))+IF(Z148="",0,IFERROR(--(EOMONTH(Z148,0)&lt;&gt;Y$5),1))+IF(AC148="",0,IFERROR(--(EOMONTH(AC148,0)&lt;&gt;AB$5),1))+IF(AF148="",0,IFERROR(--(EOMONTH(AF148,0)&lt;&gt;AE$5),1))+IF(AI148="",0,IFERROR(--(EOMONTH(AI148,0)&lt;&gt;AH$5),1))+IF(AL148="",0,IFERROR(--(EOMONTH(AL148,0)&lt;&gt;AK$5),1))+IF(AO148="",0,IFERROR(--(EOMONTH(AO148,0)&lt;&gt;AN$5),1))+IF(AR148="",0,IFERROR(--(EOMONTH(AR148,0)&lt;&gt;AQ$5),1))+IF(AU148="",0,IFERROR(--(EOMONTH(AU148,0)&lt;&gt;AT$5),1))+IF(AX148="",0,IFERROR(--(EOMONTH(AX148,0)&lt;&gt;AW$5),1))+IF(BA148="",0,IFERROR(--(EOMONTH(BA148,0)&lt;&gt;AZ$5),1)))&gt;0,"; An invoice date is not in the month it is typed under",""),3,500))</f>
        <v/>
      </c>
      <c r="S148" s="12" t="n"/>
      <c r="T148" s="13" t="n"/>
      <c r="U148" s="14" t="n"/>
      <c r="V148" s="12" t="n"/>
      <c r="W148" s="13" t="n"/>
      <c r="X148" s="14" t="n"/>
      <c r="Y148" s="12" t="n"/>
      <c r="Z148" s="13" t="n"/>
      <c r="AA148" s="14" t="n"/>
      <c r="AB148" s="12" t="n"/>
      <c r="AC148" s="13" t="n"/>
      <c r="AD148" s="14" t="n"/>
      <c r="AE148" s="12" t="n"/>
      <c r="AF148" s="13" t="n"/>
      <c r="AG148" s="14" t="n"/>
      <c r="AH148" s="12" t="n"/>
      <c r="AI148" s="13" t="n"/>
      <c r="AJ148" s="14" t="n"/>
      <c r="AK148" s="12" t="n"/>
      <c r="AL148" s="13" t="n"/>
      <c r="AM148" s="14" t="n"/>
      <c r="AN148" s="12" t="n"/>
      <c r="AO148" s="13" t="n"/>
      <c r="AP148" s="14" t="n"/>
      <c r="AQ148" s="12" t="n"/>
      <c r="AR148" s="13" t="n"/>
      <c r="AS148" s="14" t="n"/>
      <c r="AT148" s="12" t="n"/>
      <c r="AU148" s="13" t="n"/>
      <c r="AV148" s="14" t="n"/>
      <c r="AW148" s="12" t="n"/>
      <c r="AX148" s="13" t="n"/>
      <c r="AY148" s="14" t="n"/>
      <c r="AZ148" s="12" t="n"/>
      <c r="BA148" s="13" t="n"/>
      <c r="BB148" s="14" t="n"/>
      <c r="BC148" s="11">
        <f>IF(O148="","",IF(J148="GST 10%",ROUND(O148*set_GSTRate,2),0))</f>
        <v/>
      </c>
      <c r="BD148" s="11">
        <f>IF(O148="","",O148+BC148)</f>
        <v/>
      </c>
      <c r="BE148" s="15">
        <f>IF(O148="","",COUNTA(S148,V148,Y148,AB148,AE148,AH148,AK148,AN148,AQ148,AT148,AW148,AZ148))</f>
        <v/>
      </c>
      <c r="BF148" s="16">
        <f>IF(COUNT(T148,W148,Z148,AC148,AF148,AI148,AL148,AO148,AR148,AU148,AX148,BA148)=0,"",MAX(T148,W148,Z148,AC148,AF148,AI148,AL148,AO148,AR148,AU148,AX148,BA148))</f>
        <v/>
      </c>
      <c r="BG148" s="10">
        <f>MID(IF(S148="","",", "&amp;S148)&amp;IF(V148="","",", "&amp;V148)&amp;IF(Y148="","",", "&amp;Y148)&amp;IF(AB148="","",", "&amp;AB148)&amp;IF(AE148="","",", "&amp;AE148)&amp;IF(AH148="","",", "&amp;AH148)&amp;IF(AK148="","",", "&amp;AK148)&amp;IF(AN148="","",", "&amp;AN148)&amp;IF(AQ148="","",", "&amp;AQ148)&amp;IF(AT148="","",", "&amp;AT148)&amp;IF(AW148="","",", "&amp;AW148)&amp;IF(AZ148="","",", "&amp;AZ148),3,500)</f>
        <v/>
      </c>
      <c r="BH148" s="12" t="n"/>
      <c r="BI148" s="15">
        <f>IFERROR(MATCH($A148,IF($B148="Onsite",tbl_Onsite[Row ID],IF($B148="Production",tbl_Production[Row ID],tbl_Consulting[Row ID])),0),"")</f>
        <v/>
      </c>
    </row>
    <row r="149">
      <c r="A149" s="10" t="inlineStr">
        <is>
          <t>ONS-0143</t>
        </is>
      </c>
      <c r="B149" s="10" t="inlineStr">
        <is>
          <t>Onsite</t>
        </is>
      </c>
      <c r="C149" s="10">
        <f>IF($BI149="","",IF($B149="Onsite",INDEX(tbl_Onsite[Job Number],$BI149),IF($B149="Production",INDEX(tbl_Production[Job Number],$BI149),INDEX(tbl_Consulting[Job Number],$BI149)))&amp;"")</f>
        <v/>
      </c>
      <c r="D149" s="10">
        <f>IF($BI149="","",IF($B149="Onsite",INDEX(tbl_Onsite[Client],$BI149),IF($B149="Production",INDEX(tbl_Production[Client],$BI149),INDEX(tbl_Consulting[Client],$BI149)))&amp;"")</f>
        <v/>
      </c>
      <c r="E149" s="10">
        <f>IF($C149="","",IF(COUNTIF(lst_Jobs,$C149)&gt;0,"OK","CHECK"))</f>
        <v/>
      </c>
      <c r="F149" s="10">
        <f>IF($C149="","",IFERROR(INDEX(lst_JobName,MATCH($C149,lst_Jobs,0)),""))</f>
        <v/>
      </c>
      <c r="G149" s="10">
        <f>IF($BI149="","",IF($B149="Onsite",INDEX(tbl_Onsite[Job Description],$BI149),IF($B149="Production",INDEX(tbl_Production[Job Description],$BI149),INDEX(tbl_Consulting[Job Description],$BI149)))&amp;"")</f>
        <v/>
      </c>
      <c r="H149" s="10">
        <f>IF($BI149="","",IF($B149="Onsite",INDEX(tbl_Onsite[Cost Centre],$BI149),IF($B149="Production",INDEX(tbl_Production[Cost Centre],$BI149),INDEX(tbl_Consulting[Cost Centre],$BI149)))&amp;"")</f>
        <v/>
      </c>
      <c r="I149" s="10">
        <f>IF($BI149="","",IF($B149="Onsite",INDEX(tbl_Onsite[Invoice Type],$BI149),IF($B149="Production",INDEX(tbl_Production[Invoice Type],$BI149),INDEX(tbl_Consulting[Invoice Type],$BI149)))&amp;"")</f>
        <v/>
      </c>
      <c r="J149" s="10">
        <f>IF($BI149="","",IF($B149="Onsite",INDEX(tbl_Onsite[Tax Code],$BI149),IF($B149="Production",INDEX(tbl_Production[Tax Code],$BI149),INDEX(tbl_Consulting[Tax Code],$BI149)))&amp;"")</f>
        <v/>
      </c>
      <c r="K149" s="10">
        <f>IF(H149="","",IFERROR(INDEX(lst_CCtoGL,MATCH(H149,lst_CCforGL,0)),""))</f>
        <v/>
      </c>
      <c r="L149" s="10">
        <f>IF($BI149="","",IF($B149="Onsite",INDEX(tbl_Onsite[PO / Reference],$BI149),IF($B149="Production",INDEX(tbl_Production[Current RMS No],$BI149),INDEX(tbl_Consulting[Qwilr Quote],$BI149)))&amp;"")</f>
        <v/>
      </c>
      <c r="M149" s="10">
        <f>IF($BI149="","",IF($B149="Onsite",INDEX(tbl_Onsite[Notes],$BI149),IF($B149="Production",INDEX(tbl_Production[Notes],$BI149),INDEX(tbl_Consulting[Notes],$BI149)))&amp;"")</f>
        <v/>
      </c>
      <c r="N149" s="11">
        <f>IF($BI149="","",IF(IF($B149="Onsite",INDEX(tbl_Onsite[Expected Revenue Ex GST],$BI149),IF($B149="Production",INDEX(tbl_Production[Expected Revenue Ex GST],$BI149),INDEX(tbl_Consulting[Expected Revenue Ex GST],$BI149)))="","",IF($B149="Onsite",INDEX(tbl_Onsite[Expected Revenue Ex GST],$BI149),IF($B149="Production",INDEX(tbl_Production[Expected Revenue Ex GST],$BI149),INDEX(tbl_Consulting[Expected Revenue Ex GST],$BI149)))))</f>
        <v/>
      </c>
      <c r="O149" s="11">
        <f>IF(AND($C149="",NOT(COUNTA($S149:$BB149)&gt;0)),"",SUM(U149,X149,AA149,AD149,AG149,AJ149,AM149,AP149,AS149,AV149,AY149,BB149))</f>
        <v/>
      </c>
      <c r="P149" s="11">
        <f>IF(O149="","",N(N149)-O149)</f>
        <v/>
      </c>
      <c r="Q149" s="10">
        <f>IF(O149="","",IF($C149="","Invoice on empty job row",IF(N149="",IF(ROUND(O149,2)=0,"No dept value","Invoiced - no dept value"),IF(ROUND(O149,2)=0,"Not invoiced - to invoice",IF(ROUND(P149,2)=0,"Agrees",IF(P149&gt;0,"Dept higher - to invoice","Xero higher - check dept"))))))</f>
        <v/>
      </c>
      <c r="R149" s="10">
        <f>IF(AND($C149="",NOT(COUNTA($S149:$BB149)&gt;0),$BI149&lt;&gt;""),"",MID(IF($BI149="","; Row ID not found on the department sheet - a row was deleted","")&amp;IF(AND($C149="",COUNTA($S149:$BB149)&gt;0),"; Invoice entered but the department row has no job number","")&amp;IF(E149="CHECK","; Job number not in the Xero job list","")&amp;IF(AND($C149&lt;&gt;"",COUNTIF($C$7:$C$1506,$C149)&gt;1),"; Job number on more than one row","")&amp;IF(AND($C149&lt;&gt;"",H149=""),"; Dept has not set a cost centre","")&amp;IF(AND($C149&lt;&gt;"",J149=""),"; Dept has not set a tax code","")&amp;IF(AND($C149&lt;&gt;"",N149=""),"; Dept has not entered an expected value","")&amp;IF((IF(OR(COUNTA(S149:U149)=0,AND(COUNTA(S149:U149)=3,ISNUMBER(U149))),0,1)+IF(OR(COUNTA(V149:X149)=0,AND(COUNTA(V149:X149)=3,ISNUMBER(X149))),0,1)+IF(OR(COUNTA(Y149:AA149)=0,AND(COUNTA(Y149:AA149)=3,ISNUMBER(AA149))),0,1)+IF(OR(COUNTA(AB149:AD149)=0,AND(COUNTA(AB149:AD149)=3,ISNUMBER(AD149))),0,1)+IF(OR(COUNTA(AE149:AG149)=0,AND(COUNTA(AE149:AG149)=3,ISNUMBER(AG149))),0,1)+IF(OR(COUNTA(AH149:AJ149)=0,AND(COUNTA(AH149:AJ149)=3,ISNUMBER(AJ149))),0,1)+IF(OR(COUNTA(AK149:AM149)=0,AND(COUNTA(AK149:AM149)=3,ISNUMBER(AM149))),0,1)+IF(OR(COUNTA(AN149:AP149)=0,AND(COUNTA(AN149:AP149)=3,ISNUMBER(AP149))),0,1)+IF(OR(COUNTA(AQ149:AS149)=0,AND(COUNTA(AQ149:AS149)=3,ISNUMBER(AS149))),0,1)+IF(OR(COUNTA(AT149:AV149)=0,AND(COUNTA(AT149:AV149)=3,ISNUMBER(AV149))),0,1)+IF(OR(COUNTA(AW149:AY149)=0,AND(COUNTA(AW149:AY149)=3,ISNUMBER(AY149))),0,1)+IF(OR(COUNTA(AZ149:BB149)=0,AND(COUNTA(AZ149:BB149)=3,ISNUMBER(BB149))),0,1))&gt;0,"; An invoice is incomplete (needs No, Date and a number in Ex GST)","")&amp;IF((IF(T149="",0,IFERROR(--(EOMONTH(T149,0)&lt;&gt;S$5),1))+IF(W149="",0,IFERROR(--(EOMONTH(W149,0)&lt;&gt;V$5),1))+IF(Z149="",0,IFERROR(--(EOMONTH(Z149,0)&lt;&gt;Y$5),1))+IF(AC149="",0,IFERROR(--(EOMONTH(AC149,0)&lt;&gt;AB$5),1))+IF(AF149="",0,IFERROR(--(EOMONTH(AF149,0)&lt;&gt;AE$5),1))+IF(AI149="",0,IFERROR(--(EOMONTH(AI149,0)&lt;&gt;AH$5),1))+IF(AL149="",0,IFERROR(--(EOMONTH(AL149,0)&lt;&gt;AK$5),1))+IF(AO149="",0,IFERROR(--(EOMONTH(AO149,0)&lt;&gt;AN$5),1))+IF(AR149="",0,IFERROR(--(EOMONTH(AR149,0)&lt;&gt;AQ$5),1))+IF(AU149="",0,IFERROR(--(EOMONTH(AU149,0)&lt;&gt;AT$5),1))+IF(AX149="",0,IFERROR(--(EOMONTH(AX149,0)&lt;&gt;AW$5),1))+IF(BA149="",0,IFERROR(--(EOMONTH(BA149,0)&lt;&gt;AZ$5),1)))&gt;0,"; An invoice date is not in the month it is typed under",""),3,500))</f>
        <v/>
      </c>
      <c r="S149" s="12" t="n"/>
      <c r="T149" s="13" t="n"/>
      <c r="U149" s="14" t="n"/>
      <c r="V149" s="12" t="n"/>
      <c r="W149" s="13" t="n"/>
      <c r="X149" s="14" t="n"/>
      <c r="Y149" s="12" t="n"/>
      <c r="Z149" s="13" t="n"/>
      <c r="AA149" s="14" t="n"/>
      <c r="AB149" s="12" t="n"/>
      <c r="AC149" s="13" t="n"/>
      <c r="AD149" s="14" t="n"/>
      <c r="AE149" s="12" t="n"/>
      <c r="AF149" s="13" t="n"/>
      <c r="AG149" s="14" t="n"/>
      <c r="AH149" s="12" t="n"/>
      <c r="AI149" s="13" t="n"/>
      <c r="AJ149" s="14" t="n"/>
      <c r="AK149" s="12" t="n"/>
      <c r="AL149" s="13" t="n"/>
      <c r="AM149" s="14" t="n"/>
      <c r="AN149" s="12" t="n"/>
      <c r="AO149" s="13" t="n"/>
      <c r="AP149" s="14" t="n"/>
      <c r="AQ149" s="12" t="n"/>
      <c r="AR149" s="13" t="n"/>
      <c r="AS149" s="14" t="n"/>
      <c r="AT149" s="12" t="n"/>
      <c r="AU149" s="13" t="n"/>
      <c r="AV149" s="14" t="n"/>
      <c r="AW149" s="12" t="n"/>
      <c r="AX149" s="13" t="n"/>
      <c r="AY149" s="14" t="n"/>
      <c r="AZ149" s="12" t="n"/>
      <c r="BA149" s="13" t="n"/>
      <c r="BB149" s="14" t="n"/>
      <c r="BC149" s="11">
        <f>IF(O149="","",IF(J149="GST 10%",ROUND(O149*set_GSTRate,2),0))</f>
        <v/>
      </c>
      <c r="BD149" s="11">
        <f>IF(O149="","",O149+BC149)</f>
        <v/>
      </c>
      <c r="BE149" s="15">
        <f>IF(O149="","",COUNTA(S149,V149,Y149,AB149,AE149,AH149,AK149,AN149,AQ149,AT149,AW149,AZ149))</f>
        <v/>
      </c>
      <c r="BF149" s="16">
        <f>IF(COUNT(T149,W149,Z149,AC149,AF149,AI149,AL149,AO149,AR149,AU149,AX149,BA149)=0,"",MAX(T149,W149,Z149,AC149,AF149,AI149,AL149,AO149,AR149,AU149,AX149,BA149))</f>
        <v/>
      </c>
      <c r="BG149" s="10">
        <f>MID(IF(S149="","",", "&amp;S149)&amp;IF(V149="","",", "&amp;V149)&amp;IF(Y149="","",", "&amp;Y149)&amp;IF(AB149="","",", "&amp;AB149)&amp;IF(AE149="","",", "&amp;AE149)&amp;IF(AH149="","",", "&amp;AH149)&amp;IF(AK149="","",", "&amp;AK149)&amp;IF(AN149="","",", "&amp;AN149)&amp;IF(AQ149="","",", "&amp;AQ149)&amp;IF(AT149="","",", "&amp;AT149)&amp;IF(AW149="","",", "&amp;AW149)&amp;IF(AZ149="","",", "&amp;AZ149),3,500)</f>
        <v/>
      </c>
      <c r="BH149" s="12" t="n"/>
      <c r="BI149" s="15">
        <f>IFERROR(MATCH($A149,IF($B149="Onsite",tbl_Onsite[Row ID],IF($B149="Production",tbl_Production[Row ID],tbl_Consulting[Row ID])),0),"")</f>
        <v/>
      </c>
    </row>
    <row r="150">
      <c r="A150" s="10" t="inlineStr">
        <is>
          <t>ONS-0144</t>
        </is>
      </c>
      <c r="B150" s="10" t="inlineStr">
        <is>
          <t>Onsite</t>
        </is>
      </c>
      <c r="C150" s="10">
        <f>IF($BI150="","",IF($B150="Onsite",INDEX(tbl_Onsite[Job Number],$BI150),IF($B150="Production",INDEX(tbl_Production[Job Number],$BI150),INDEX(tbl_Consulting[Job Number],$BI150)))&amp;"")</f>
        <v/>
      </c>
      <c r="D150" s="10">
        <f>IF($BI150="","",IF($B150="Onsite",INDEX(tbl_Onsite[Client],$BI150),IF($B150="Production",INDEX(tbl_Production[Client],$BI150),INDEX(tbl_Consulting[Client],$BI150)))&amp;"")</f>
        <v/>
      </c>
      <c r="E150" s="10">
        <f>IF($C150="","",IF(COUNTIF(lst_Jobs,$C150)&gt;0,"OK","CHECK"))</f>
        <v/>
      </c>
      <c r="F150" s="10">
        <f>IF($C150="","",IFERROR(INDEX(lst_JobName,MATCH($C150,lst_Jobs,0)),""))</f>
        <v/>
      </c>
      <c r="G150" s="10">
        <f>IF($BI150="","",IF($B150="Onsite",INDEX(tbl_Onsite[Job Description],$BI150),IF($B150="Production",INDEX(tbl_Production[Job Description],$BI150),INDEX(tbl_Consulting[Job Description],$BI150)))&amp;"")</f>
        <v/>
      </c>
      <c r="H150" s="10">
        <f>IF($BI150="","",IF($B150="Onsite",INDEX(tbl_Onsite[Cost Centre],$BI150),IF($B150="Production",INDEX(tbl_Production[Cost Centre],$BI150),INDEX(tbl_Consulting[Cost Centre],$BI150)))&amp;"")</f>
        <v/>
      </c>
      <c r="I150" s="10">
        <f>IF($BI150="","",IF($B150="Onsite",INDEX(tbl_Onsite[Invoice Type],$BI150),IF($B150="Production",INDEX(tbl_Production[Invoice Type],$BI150),INDEX(tbl_Consulting[Invoice Type],$BI150)))&amp;"")</f>
        <v/>
      </c>
      <c r="J150" s="10">
        <f>IF($BI150="","",IF($B150="Onsite",INDEX(tbl_Onsite[Tax Code],$BI150),IF($B150="Production",INDEX(tbl_Production[Tax Code],$BI150),INDEX(tbl_Consulting[Tax Code],$BI150)))&amp;"")</f>
        <v/>
      </c>
      <c r="K150" s="10">
        <f>IF(H150="","",IFERROR(INDEX(lst_CCtoGL,MATCH(H150,lst_CCforGL,0)),""))</f>
        <v/>
      </c>
      <c r="L150" s="10">
        <f>IF($BI150="","",IF($B150="Onsite",INDEX(tbl_Onsite[PO / Reference],$BI150),IF($B150="Production",INDEX(tbl_Production[Current RMS No],$BI150),INDEX(tbl_Consulting[Qwilr Quote],$BI150)))&amp;"")</f>
        <v/>
      </c>
      <c r="M150" s="10">
        <f>IF($BI150="","",IF($B150="Onsite",INDEX(tbl_Onsite[Notes],$BI150),IF($B150="Production",INDEX(tbl_Production[Notes],$BI150),INDEX(tbl_Consulting[Notes],$BI150)))&amp;"")</f>
        <v/>
      </c>
      <c r="N150" s="11">
        <f>IF($BI150="","",IF(IF($B150="Onsite",INDEX(tbl_Onsite[Expected Revenue Ex GST],$BI150),IF($B150="Production",INDEX(tbl_Production[Expected Revenue Ex GST],$BI150),INDEX(tbl_Consulting[Expected Revenue Ex GST],$BI150)))="","",IF($B150="Onsite",INDEX(tbl_Onsite[Expected Revenue Ex GST],$BI150),IF($B150="Production",INDEX(tbl_Production[Expected Revenue Ex GST],$BI150),INDEX(tbl_Consulting[Expected Revenue Ex GST],$BI150)))))</f>
        <v/>
      </c>
      <c r="O150" s="11">
        <f>IF(AND($C150="",NOT(COUNTA($S150:$BB150)&gt;0)),"",SUM(U150,X150,AA150,AD150,AG150,AJ150,AM150,AP150,AS150,AV150,AY150,BB150))</f>
        <v/>
      </c>
      <c r="P150" s="11">
        <f>IF(O150="","",N(N150)-O150)</f>
        <v/>
      </c>
      <c r="Q150" s="10">
        <f>IF(O150="","",IF($C150="","Invoice on empty job row",IF(N150="",IF(ROUND(O150,2)=0,"No dept value","Invoiced - no dept value"),IF(ROUND(O150,2)=0,"Not invoiced - to invoice",IF(ROUND(P150,2)=0,"Agrees",IF(P150&gt;0,"Dept higher - to invoice","Xero higher - check dept"))))))</f>
        <v/>
      </c>
      <c r="R150" s="10">
        <f>IF(AND($C150="",NOT(COUNTA($S150:$BB150)&gt;0),$BI150&lt;&gt;""),"",MID(IF($BI150="","; Row ID not found on the department sheet - a row was deleted","")&amp;IF(AND($C150="",COUNTA($S150:$BB150)&gt;0),"; Invoice entered but the department row has no job number","")&amp;IF(E150="CHECK","; Job number not in the Xero job list","")&amp;IF(AND($C150&lt;&gt;"",COUNTIF($C$7:$C$1506,$C150)&gt;1),"; Job number on more than one row","")&amp;IF(AND($C150&lt;&gt;"",H150=""),"; Dept has not set a cost centre","")&amp;IF(AND($C150&lt;&gt;"",J150=""),"; Dept has not set a tax code","")&amp;IF(AND($C150&lt;&gt;"",N150=""),"; Dept has not entered an expected value","")&amp;IF((IF(OR(COUNTA(S150:U150)=0,AND(COUNTA(S150:U150)=3,ISNUMBER(U150))),0,1)+IF(OR(COUNTA(V150:X150)=0,AND(COUNTA(V150:X150)=3,ISNUMBER(X150))),0,1)+IF(OR(COUNTA(Y150:AA150)=0,AND(COUNTA(Y150:AA150)=3,ISNUMBER(AA150))),0,1)+IF(OR(COUNTA(AB150:AD150)=0,AND(COUNTA(AB150:AD150)=3,ISNUMBER(AD150))),0,1)+IF(OR(COUNTA(AE150:AG150)=0,AND(COUNTA(AE150:AG150)=3,ISNUMBER(AG150))),0,1)+IF(OR(COUNTA(AH150:AJ150)=0,AND(COUNTA(AH150:AJ150)=3,ISNUMBER(AJ150))),0,1)+IF(OR(COUNTA(AK150:AM150)=0,AND(COUNTA(AK150:AM150)=3,ISNUMBER(AM150))),0,1)+IF(OR(COUNTA(AN150:AP150)=0,AND(COUNTA(AN150:AP150)=3,ISNUMBER(AP150))),0,1)+IF(OR(COUNTA(AQ150:AS150)=0,AND(COUNTA(AQ150:AS150)=3,ISNUMBER(AS150))),0,1)+IF(OR(COUNTA(AT150:AV150)=0,AND(COUNTA(AT150:AV150)=3,ISNUMBER(AV150))),0,1)+IF(OR(COUNTA(AW150:AY150)=0,AND(COUNTA(AW150:AY150)=3,ISNUMBER(AY150))),0,1)+IF(OR(COUNTA(AZ150:BB150)=0,AND(COUNTA(AZ150:BB150)=3,ISNUMBER(BB150))),0,1))&gt;0,"; An invoice is incomplete (needs No, Date and a number in Ex GST)","")&amp;IF((IF(T150="",0,IFERROR(--(EOMONTH(T150,0)&lt;&gt;S$5),1))+IF(W150="",0,IFERROR(--(EOMONTH(W150,0)&lt;&gt;V$5),1))+IF(Z150="",0,IFERROR(--(EOMONTH(Z150,0)&lt;&gt;Y$5),1))+IF(AC150="",0,IFERROR(--(EOMONTH(AC150,0)&lt;&gt;AB$5),1))+IF(AF150="",0,IFERROR(--(EOMONTH(AF150,0)&lt;&gt;AE$5),1))+IF(AI150="",0,IFERROR(--(EOMONTH(AI150,0)&lt;&gt;AH$5),1))+IF(AL150="",0,IFERROR(--(EOMONTH(AL150,0)&lt;&gt;AK$5),1))+IF(AO150="",0,IFERROR(--(EOMONTH(AO150,0)&lt;&gt;AN$5),1))+IF(AR150="",0,IFERROR(--(EOMONTH(AR150,0)&lt;&gt;AQ$5),1))+IF(AU150="",0,IFERROR(--(EOMONTH(AU150,0)&lt;&gt;AT$5),1))+IF(AX150="",0,IFERROR(--(EOMONTH(AX150,0)&lt;&gt;AW$5),1))+IF(BA150="",0,IFERROR(--(EOMONTH(BA150,0)&lt;&gt;AZ$5),1)))&gt;0,"; An invoice date is not in the month it is typed under",""),3,500))</f>
        <v/>
      </c>
      <c r="S150" s="12" t="n"/>
      <c r="T150" s="13" t="n"/>
      <c r="U150" s="14" t="n"/>
      <c r="V150" s="12" t="n"/>
      <c r="W150" s="13" t="n"/>
      <c r="X150" s="14" t="n"/>
      <c r="Y150" s="12" t="n"/>
      <c r="Z150" s="13" t="n"/>
      <c r="AA150" s="14" t="n"/>
      <c r="AB150" s="12" t="n"/>
      <c r="AC150" s="13" t="n"/>
      <c r="AD150" s="14" t="n"/>
      <c r="AE150" s="12" t="n"/>
      <c r="AF150" s="13" t="n"/>
      <c r="AG150" s="14" t="n"/>
      <c r="AH150" s="12" t="n"/>
      <c r="AI150" s="13" t="n"/>
      <c r="AJ150" s="14" t="n"/>
      <c r="AK150" s="12" t="n"/>
      <c r="AL150" s="13" t="n"/>
      <c r="AM150" s="14" t="n"/>
      <c r="AN150" s="12" t="n"/>
      <c r="AO150" s="13" t="n"/>
      <c r="AP150" s="14" t="n"/>
      <c r="AQ150" s="12" t="n"/>
      <c r="AR150" s="13" t="n"/>
      <c r="AS150" s="14" t="n"/>
      <c r="AT150" s="12" t="n"/>
      <c r="AU150" s="13" t="n"/>
      <c r="AV150" s="14" t="n"/>
      <c r="AW150" s="12" t="n"/>
      <c r="AX150" s="13" t="n"/>
      <c r="AY150" s="14" t="n"/>
      <c r="AZ150" s="12" t="n"/>
      <c r="BA150" s="13" t="n"/>
      <c r="BB150" s="14" t="n"/>
      <c r="BC150" s="11">
        <f>IF(O150="","",IF(J150="GST 10%",ROUND(O150*set_GSTRate,2),0))</f>
        <v/>
      </c>
      <c r="BD150" s="11">
        <f>IF(O150="","",O150+BC150)</f>
        <v/>
      </c>
      <c r="BE150" s="15">
        <f>IF(O150="","",COUNTA(S150,V150,Y150,AB150,AE150,AH150,AK150,AN150,AQ150,AT150,AW150,AZ150))</f>
        <v/>
      </c>
      <c r="BF150" s="16">
        <f>IF(COUNT(T150,W150,Z150,AC150,AF150,AI150,AL150,AO150,AR150,AU150,AX150,BA150)=0,"",MAX(T150,W150,Z150,AC150,AF150,AI150,AL150,AO150,AR150,AU150,AX150,BA150))</f>
        <v/>
      </c>
      <c r="BG150" s="10">
        <f>MID(IF(S150="","",", "&amp;S150)&amp;IF(V150="","",", "&amp;V150)&amp;IF(Y150="","",", "&amp;Y150)&amp;IF(AB150="","",", "&amp;AB150)&amp;IF(AE150="","",", "&amp;AE150)&amp;IF(AH150="","",", "&amp;AH150)&amp;IF(AK150="","",", "&amp;AK150)&amp;IF(AN150="","",", "&amp;AN150)&amp;IF(AQ150="","",", "&amp;AQ150)&amp;IF(AT150="","",", "&amp;AT150)&amp;IF(AW150="","",", "&amp;AW150)&amp;IF(AZ150="","",", "&amp;AZ150),3,500)</f>
        <v/>
      </c>
      <c r="BH150" s="12" t="n"/>
      <c r="BI150" s="15">
        <f>IFERROR(MATCH($A150,IF($B150="Onsite",tbl_Onsite[Row ID],IF($B150="Production",tbl_Production[Row ID],tbl_Consulting[Row ID])),0),"")</f>
        <v/>
      </c>
    </row>
    <row r="151">
      <c r="A151" s="10" t="inlineStr">
        <is>
          <t>ONS-0145</t>
        </is>
      </c>
      <c r="B151" s="10" t="inlineStr">
        <is>
          <t>Onsite</t>
        </is>
      </c>
      <c r="C151" s="10">
        <f>IF($BI151="","",IF($B151="Onsite",INDEX(tbl_Onsite[Job Number],$BI151),IF($B151="Production",INDEX(tbl_Production[Job Number],$BI151),INDEX(tbl_Consulting[Job Number],$BI151)))&amp;"")</f>
        <v/>
      </c>
      <c r="D151" s="10">
        <f>IF($BI151="","",IF($B151="Onsite",INDEX(tbl_Onsite[Client],$BI151),IF($B151="Production",INDEX(tbl_Production[Client],$BI151),INDEX(tbl_Consulting[Client],$BI151)))&amp;"")</f>
        <v/>
      </c>
      <c r="E151" s="10">
        <f>IF($C151="","",IF(COUNTIF(lst_Jobs,$C151)&gt;0,"OK","CHECK"))</f>
        <v/>
      </c>
      <c r="F151" s="10">
        <f>IF($C151="","",IFERROR(INDEX(lst_JobName,MATCH($C151,lst_Jobs,0)),""))</f>
        <v/>
      </c>
      <c r="G151" s="10">
        <f>IF($BI151="","",IF($B151="Onsite",INDEX(tbl_Onsite[Job Description],$BI151),IF($B151="Production",INDEX(tbl_Production[Job Description],$BI151),INDEX(tbl_Consulting[Job Description],$BI151)))&amp;"")</f>
        <v/>
      </c>
      <c r="H151" s="10">
        <f>IF($BI151="","",IF($B151="Onsite",INDEX(tbl_Onsite[Cost Centre],$BI151),IF($B151="Production",INDEX(tbl_Production[Cost Centre],$BI151),INDEX(tbl_Consulting[Cost Centre],$BI151)))&amp;"")</f>
        <v/>
      </c>
      <c r="I151" s="10">
        <f>IF($BI151="","",IF($B151="Onsite",INDEX(tbl_Onsite[Invoice Type],$BI151),IF($B151="Production",INDEX(tbl_Production[Invoice Type],$BI151),INDEX(tbl_Consulting[Invoice Type],$BI151)))&amp;"")</f>
        <v/>
      </c>
      <c r="J151" s="10">
        <f>IF($BI151="","",IF($B151="Onsite",INDEX(tbl_Onsite[Tax Code],$BI151),IF($B151="Production",INDEX(tbl_Production[Tax Code],$BI151),INDEX(tbl_Consulting[Tax Code],$BI151)))&amp;"")</f>
        <v/>
      </c>
      <c r="K151" s="10">
        <f>IF(H151="","",IFERROR(INDEX(lst_CCtoGL,MATCH(H151,lst_CCforGL,0)),""))</f>
        <v/>
      </c>
      <c r="L151" s="10">
        <f>IF($BI151="","",IF($B151="Onsite",INDEX(tbl_Onsite[PO / Reference],$BI151),IF($B151="Production",INDEX(tbl_Production[Current RMS No],$BI151),INDEX(tbl_Consulting[Qwilr Quote],$BI151)))&amp;"")</f>
        <v/>
      </c>
      <c r="M151" s="10">
        <f>IF($BI151="","",IF($B151="Onsite",INDEX(tbl_Onsite[Notes],$BI151),IF($B151="Production",INDEX(tbl_Production[Notes],$BI151),INDEX(tbl_Consulting[Notes],$BI151)))&amp;"")</f>
        <v/>
      </c>
      <c r="N151" s="11">
        <f>IF($BI151="","",IF(IF($B151="Onsite",INDEX(tbl_Onsite[Expected Revenue Ex GST],$BI151),IF($B151="Production",INDEX(tbl_Production[Expected Revenue Ex GST],$BI151),INDEX(tbl_Consulting[Expected Revenue Ex GST],$BI151)))="","",IF($B151="Onsite",INDEX(tbl_Onsite[Expected Revenue Ex GST],$BI151),IF($B151="Production",INDEX(tbl_Production[Expected Revenue Ex GST],$BI151),INDEX(tbl_Consulting[Expected Revenue Ex GST],$BI151)))))</f>
        <v/>
      </c>
      <c r="O151" s="11">
        <f>IF(AND($C151="",NOT(COUNTA($S151:$BB151)&gt;0)),"",SUM(U151,X151,AA151,AD151,AG151,AJ151,AM151,AP151,AS151,AV151,AY151,BB151))</f>
        <v/>
      </c>
      <c r="P151" s="11">
        <f>IF(O151="","",N(N151)-O151)</f>
        <v/>
      </c>
      <c r="Q151" s="10">
        <f>IF(O151="","",IF($C151="","Invoice on empty job row",IF(N151="",IF(ROUND(O151,2)=0,"No dept value","Invoiced - no dept value"),IF(ROUND(O151,2)=0,"Not invoiced - to invoice",IF(ROUND(P151,2)=0,"Agrees",IF(P151&gt;0,"Dept higher - to invoice","Xero higher - check dept"))))))</f>
        <v/>
      </c>
      <c r="R151" s="10">
        <f>IF(AND($C151="",NOT(COUNTA($S151:$BB151)&gt;0),$BI151&lt;&gt;""),"",MID(IF($BI151="","; Row ID not found on the department sheet - a row was deleted","")&amp;IF(AND($C151="",COUNTA($S151:$BB151)&gt;0),"; Invoice entered but the department row has no job number","")&amp;IF(E151="CHECK","; Job number not in the Xero job list","")&amp;IF(AND($C151&lt;&gt;"",COUNTIF($C$7:$C$1506,$C151)&gt;1),"; Job number on more than one row","")&amp;IF(AND($C151&lt;&gt;"",H151=""),"; Dept has not set a cost centre","")&amp;IF(AND($C151&lt;&gt;"",J151=""),"; Dept has not set a tax code","")&amp;IF(AND($C151&lt;&gt;"",N151=""),"; Dept has not entered an expected value","")&amp;IF((IF(OR(COUNTA(S151:U151)=0,AND(COUNTA(S151:U151)=3,ISNUMBER(U151))),0,1)+IF(OR(COUNTA(V151:X151)=0,AND(COUNTA(V151:X151)=3,ISNUMBER(X151))),0,1)+IF(OR(COUNTA(Y151:AA151)=0,AND(COUNTA(Y151:AA151)=3,ISNUMBER(AA151))),0,1)+IF(OR(COUNTA(AB151:AD151)=0,AND(COUNTA(AB151:AD151)=3,ISNUMBER(AD151))),0,1)+IF(OR(COUNTA(AE151:AG151)=0,AND(COUNTA(AE151:AG151)=3,ISNUMBER(AG151))),0,1)+IF(OR(COUNTA(AH151:AJ151)=0,AND(COUNTA(AH151:AJ151)=3,ISNUMBER(AJ151))),0,1)+IF(OR(COUNTA(AK151:AM151)=0,AND(COUNTA(AK151:AM151)=3,ISNUMBER(AM151))),0,1)+IF(OR(COUNTA(AN151:AP151)=0,AND(COUNTA(AN151:AP151)=3,ISNUMBER(AP151))),0,1)+IF(OR(COUNTA(AQ151:AS151)=0,AND(COUNTA(AQ151:AS151)=3,ISNUMBER(AS151))),0,1)+IF(OR(COUNTA(AT151:AV151)=0,AND(COUNTA(AT151:AV151)=3,ISNUMBER(AV151))),0,1)+IF(OR(COUNTA(AW151:AY151)=0,AND(COUNTA(AW151:AY151)=3,ISNUMBER(AY151))),0,1)+IF(OR(COUNTA(AZ151:BB151)=0,AND(COUNTA(AZ151:BB151)=3,ISNUMBER(BB151))),0,1))&gt;0,"; An invoice is incomplete (needs No, Date and a number in Ex GST)","")&amp;IF((IF(T151="",0,IFERROR(--(EOMONTH(T151,0)&lt;&gt;S$5),1))+IF(W151="",0,IFERROR(--(EOMONTH(W151,0)&lt;&gt;V$5),1))+IF(Z151="",0,IFERROR(--(EOMONTH(Z151,0)&lt;&gt;Y$5),1))+IF(AC151="",0,IFERROR(--(EOMONTH(AC151,0)&lt;&gt;AB$5),1))+IF(AF151="",0,IFERROR(--(EOMONTH(AF151,0)&lt;&gt;AE$5),1))+IF(AI151="",0,IFERROR(--(EOMONTH(AI151,0)&lt;&gt;AH$5),1))+IF(AL151="",0,IFERROR(--(EOMONTH(AL151,0)&lt;&gt;AK$5),1))+IF(AO151="",0,IFERROR(--(EOMONTH(AO151,0)&lt;&gt;AN$5),1))+IF(AR151="",0,IFERROR(--(EOMONTH(AR151,0)&lt;&gt;AQ$5),1))+IF(AU151="",0,IFERROR(--(EOMONTH(AU151,0)&lt;&gt;AT$5),1))+IF(AX151="",0,IFERROR(--(EOMONTH(AX151,0)&lt;&gt;AW$5),1))+IF(BA151="",0,IFERROR(--(EOMONTH(BA151,0)&lt;&gt;AZ$5),1)))&gt;0,"; An invoice date is not in the month it is typed under",""),3,500))</f>
        <v/>
      </c>
      <c r="S151" s="12" t="n"/>
      <c r="T151" s="13" t="n"/>
      <c r="U151" s="14" t="n"/>
      <c r="V151" s="12" t="n"/>
      <c r="W151" s="13" t="n"/>
      <c r="X151" s="14" t="n"/>
      <c r="Y151" s="12" t="n"/>
      <c r="Z151" s="13" t="n"/>
      <c r="AA151" s="14" t="n"/>
      <c r="AB151" s="12" t="n"/>
      <c r="AC151" s="13" t="n"/>
      <c r="AD151" s="14" t="n"/>
      <c r="AE151" s="12" t="n"/>
      <c r="AF151" s="13" t="n"/>
      <c r="AG151" s="14" t="n"/>
      <c r="AH151" s="12" t="n"/>
      <c r="AI151" s="13" t="n"/>
      <c r="AJ151" s="14" t="n"/>
      <c r="AK151" s="12" t="n"/>
      <c r="AL151" s="13" t="n"/>
      <c r="AM151" s="14" t="n"/>
      <c r="AN151" s="12" t="n"/>
      <c r="AO151" s="13" t="n"/>
      <c r="AP151" s="14" t="n"/>
      <c r="AQ151" s="12" t="n"/>
      <c r="AR151" s="13" t="n"/>
      <c r="AS151" s="14" t="n"/>
      <c r="AT151" s="12" t="n"/>
      <c r="AU151" s="13" t="n"/>
      <c r="AV151" s="14" t="n"/>
      <c r="AW151" s="12" t="n"/>
      <c r="AX151" s="13" t="n"/>
      <c r="AY151" s="14" t="n"/>
      <c r="AZ151" s="12" t="n"/>
      <c r="BA151" s="13" t="n"/>
      <c r="BB151" s="14" t="n"/>
      <c r="BC151" s="11">
        <f>IF(O151="","",IF(J151="GST 10%",ROUND(O151*set_GSTRate,2),0))</f>
        <v/>
      </c>
      <c r="BD151" s="11">
        <f>IF(O151="","",O151+BC151)</f>
        <v/>
      </c>
      <c r="BE151" s="15">
        <f>IF(O151="","",COUNTA(S151,V151,Y151,AB151,AE151,AH151,AK151,AN151,AQ151,AT151,AW151,AZ151))</f>
        <v/>
      </c>
      <c r="BF151" s="16">
        <f>IF(COUNT(T151,W151,Z151,AC151,AF151,AI151,AL151,AO151,AR151,AU151,AX151,BA151)=0,"",MAX(T151,W151,Z151,AC151,AF151,AI151,AL151,AO151,AR151,AU151,AX151,BA151))</f>
        <v/>
      </c>
      <c r="BG151" s="10">
        <f>MID(IF(S151="","",", "&amp;S151)&amp;IF(V151="","",", "&amp;V151)&amp;IF(Y151="","",", "&amp;Y151)&amp;IF(AB151="","",", "&amp;AB151)&amp;IF(AE151="","",", "&amp;AE151)&amp;IF(AH151="","",", "&amp;AH151)&amp;IF(AK151="","",", "&amp;AK151)&amp;IF(AN151="","",", "&amp;AN151)&amp;IF(AQ151="","",", "&amp;AQ151)&amp;IF(AT151="","",", "&amp;AT151)&amp;IF(AW151="","",", "&amp;AW151)&amp;IF(AZ151="","",", "&amp;AZ151),3,500)</f>
        <v/>
      </c>
      <c r="BH151" s="12" t="n"/>
      <c r="BI151" s="15">
        <f>IFERROR(MATCH($A151,IF($B151="Onsite",tbl_Onsite[Row ID],IF($B151="Production",tbl_Production[Row ID],tbl_Consulting[Row ID])),0),"")</f>
        <v/>
      </c>
    </row>
    <row r="152">
      <c r="A152" s="10" t="inlineStr">
        <is>
          <t>ONS-0146</t>
        </is>
      </c>
      <c r="B152" s="10" t="inlineStr">
        <is>
          <t>Onsite</t>
        </is>
      </c>
      <c r="C152" s="10">
        <f>IF($BI152="","",IF($B152="Onsite",INDEX(tbl_Onsite[Job Number],$BI152),IF($B152="Production",INDEX(tbl_Production[Job Number],$BI152),INDEX(tbl_Consulting[Job Number],$BI152)))&amp;"")</f>
        <v/>
      </c>
      <c r="D152" s="10">
        <f>IF($BI152="","",IF($B152="Onsite",INDEX(tbl_Onsite[Client],$BI152),IF($B152="Production",INDEX(tbl_Production[Client],$BI152),INDEX(tbl_Consulting[Client],$BI152)))&amp;"")</f>
        <v/>
      </c>
      <c r="E152" s="10">
        <f>IF($C152="","",IF(COUNTIF(lst_Jobs,$C152)&gt;0,"OK","CHECK"))</f>
        <v/>
      </c>
      <c r="F152" s="10">
        <f>IF($C152="","",IFERROR(INDEX(lst_JobName,MATCH($C152,lst_Jobs,0)),""))</f>
        <v/>
      </c>
      <c r="G152" s="10">
        <f>IF($BI152="","",IF($B152="Onsite",INDEX(tbl_Onsite[Job Description],$BI152),IF($B152="Production",INDEX(tbl_Production[Job Description],$BI152),INDEX(tbl_Consulting[Job Description],$BI152)))&amp;"")</f>
        <v/>
      </c>
      <c r="H152" s="10">
        <f>IF($BI152="","",IF($B152="Onsite",INDEX(tbl_Onsite[Cost Centre],$BI152),IF($B152="Production",INDEX(tbl_Production[Cost Centre],$BI152),INDEX(tbl_Consulting[Cost Centre],$BI152)))&amp;"")</f>
        <v/>
      </c>
      <c r="I152" s="10">
        <f>IF($BI152="","",IF($B152="Onsite",INDEX(tbl_Onsite[Invoice Type],$BI152),IF($B152="Production",INDEX(tbl_Production[Invoice Type],$BI152),INDEX(tbl_Consulting[Invoice Type],$BI152)))&amp;"")</f>
        <v/>
      </c>
      <c r="J152" s="10">
        <f>IF($BI152="","",IF($B152="Onsite",INDEX(tbl_Onsite[Tax Code],$BI152),IF($B152="Production",INDEX(tbl_Production[Tax Code],$BI152),INDEX(tbl_Consulting[Tax Code],$BI152)))&amp;"")</f>
        <v/>
      </c>
      <c r="K152" s="10">
        <f>IF(H152="","",IFERROR(INDEX(lst_CCtoGL,MATCH(H152,lst_CCforGL,0)),""))</f>
        <v/>
      </c>
      <c r="L152" s="10">
        <f>IF($BI152="","",IF($B152="Onsite",INDEX(tbl_Onsite[PO / Reference],$BI152),IF($B152="Production",INDEX(tbl_Production[Current RMS No],$BI152),INDEX(tbl_Consulting[Qwilr Quote],$BI152)))&amp;"")</f>
        <v/>
      </c>
      <c r="M152" s="10">
        <f>IF($BI152="","",IF($B152="Onsite",INDEX(tbl_Onsite[Notes],$BI152),IF($B152="Production",INDEX(tbl_Production[Notes],$BI152),INDEX(tbl_Consulting[Notes],$BI152)))&amp;"")</f>
        <v/>
      </c>
      <c r="N152" s="11">
        <f>IF($BI152="","",IF(IF($B152="Onsite",INDEX(tbl_Onsite[Expected Revenue Ex GST],$BI152),IF($B152="Production",INDEX(tbl_Production[Expected Revenue Ex GST],$BI152),INDEX(tbl_Consulting[Expected Revenue Ex GST],$BI152)))="","",IF($B152="Onsite",INDEX(tbl_Onsite[Expected Revenue Ex GST],$BI152),IF($B152="Production",INDEX(tbl_Production[Expected Revenue Ex GST],$BI152),INDEX(tbl_Consulting[Expected Revenue Ex GST],$BI152)))))</f>
        <v/>
      </c>
      <c r="O152" s="11">
        <f>IF(AND($C152="",NOT(COUNTA($S152:$BB152)&gt;0)),"",SUM(U152,X152,AA152,AD152,AG152,AJ152,AM152,AP152,AS152,AV152,AY152,BB152))</f>
        <v/>
      </c>
      <c r="P152" s="11">
        <f>IF(O152="","",N(N152)-O152)</f>
        <v/>
      </c>
      <c r="Q152" s="10">
        <f>IF(O152="","",IF($C152="","Invoice on empty job row",IF(N152="",IF(ROUND(O152,2)=0,"No dept value","Invoiced - no dept value"),IF(ROUND(O152,2)=0,"Not invoiced - to invoice",IF(ROUND(P152,2)=0,"Agrees",IF(P152&gt;0,"Dept higher - to invoice","Xero higher - check dept"))))))</f>
        <v/>
      </c>
      <c r="R152" s="10">
        <f>IF(AND($C152="",NOT(COUNTA($S152:$BB152)&gt;0),$BI152&lt;&gt;""),"",MID(IF($BI152="","; Row ID not found on the department sheet - a row was deleted","")&amp;IF(AND($C152="",COUNTA($S152:$BB152)&gt;0),"; Invoice entered but the department row has no job number","")&amp;IF(E152="CHECK","; Job number not in the Xero job list","")&amp;IF(AND($C152&lt;&gt;"",COUNTIF($C$7:$C$1506,$C152)&gt;1),"; Job number on more than one row","")&amp;IF(AND($C152&lt;&gt;"",H152=""),"; Dept has not set a cost centre","")&amp;IF(AND($C152&lt;&gt;"",J152=""),"; Dept has not set a tax code","")&amp;IF(AND($C152&lt;&gt;"",N152=""),"; Dept has not entered an expected value","")&amp;IF((IF(OR(COUNTA(S152:U152)=0,AND(COUNTA(S152:U152)=3,ISNUMBER(U152))),0,1)+IF(OR(COUNTA(V152:X152)=0,AND(COUNTA(V152:X152)=3,ISNUMBER(X152))),0,1)+IF(OR(COUNTA(Y152:AA152)=0,AND(COUNTA(Y152:AA152)=3,ISNUMBER(AA152))),0,1)+IF(OR(COUNTA(AB152:AD152)=0,AND(COUNTA(AB152:AD152)=3,ISNUMBER(AD152))),0,1)+IF(OR(COUNTA(AE152:AG152)=0,AND(COUNTA(AE152:AG152)=3,ISNUMBER(AG152))),0,1)+IF(OR(COUNTA(AH152:AJ152)=0,AND(COUNTA(AH152:AJ152)=3,ISNUMBER(AJ152))),0,1)+IF(OR(COUNTA(AK152:AM152)=0,AND(COUNTA(AK152:AM152)=3,ISNUMBER(AM152))),0,1)+IF(OR(COUNTA(AN152:AP152)=0,AND(COUNTA(AN152:AP152)=3,ISNUMBER(AP152))),0,1)+IF(OR(COUNTA(AQ152:AS152)=0,AND(COUNTA(AQ152:AS152)=3,ISNUMBER(AS152))),0,1)+IF(OR(COUNTA(AT152:AV152)=0,AND(COUNTA(AT152:AV152)=3,ISNUMBER(AV152))),0,1)+IF(OR(COUNTA(AW152:AY152)=0,AND(COUNTA(AW152:AY152)=3,ISNUMBER(AY152))),0,1)+IF(OR(COUNTA(AZ152:BB152)=0,AND(COUNTA(AZ152:BB152)=3,ISNUMBER(BB152))),0,1))&gt;0,"; An invoice is incomplete (needs No, Date and a number in Ex GST)","")&amp;IF((IF(T152="",0,IFERROR(--(EOMONTH(T152,0)&lt;&gt;S$5),1))+IF(W152="",0,IFERROR(--(EOMONTH(W152,0)&lt;&gt;V$5),1))+IF(Z152="",0,IFERROR(--(EOMONTH(Z152,0)&lt;&gt;Y$5),1))+IF(AC152="",0,IFERROR(--(EOMONTH(AC152,0)&lt;&gt;AB$5),1))+IF(AF152="",0,IFERROR(--(EOMONTH(AF152,0)&lt;&gt;AE$5),1))+IF(AI152="",0,IFERROR(--(EOMONTH(AI152,0)&lt;&gt;AH$5),1))+IF(AL152="",0,IFERROR(--(EOMONTH(AL152,0)&lt;&gt;AK$5),1))+IF(AO152="",0,IFERROR(--(EOMONTH(AO152,0)&lt;&gt;AN$5),1))+IF(AR152="",0,IFERROR(--(EOMONTH(AR152,0)&lt;&gt;AQ$5),1))+IF(AU152="",0,IFERROR(--(EOMONTH(AU152,0)&lt;&gt;AT$5),1))+IF(AX152="",0,IFERROR(--(EOMONTH(AX152,0)&lt;&gt;AW$5),1))+IF(BA152="",0,IFERROR(--(EOMONTH(BA152,0)&lt;&gt;AZ$5),1)))&gt;0,"; An invoice date is not in the month it is typed under",""),3,500))</f>
        <v/>
      </c>
      <c r="S152" s="12" t="n"/>
      <c r="T152" s="13" t="n"/>
      <c r="U152" s="14" t="n"/>
      <c r="V152" s="12" t="n"/>
      <c r="W152" s="13" t="n"/>
      <c r="X152" s="14" t="n"/>
      <c r="Y152" s="12" t="n"/>
      <c r="Z152" s="13" t="n"/>
      <c r="AA152" s="14" t="n"/>
      <c r="AB152" s="12" t="n"/>
      <c r="AC152" s="13" t="n"/>
      <c r="AD152" s="14" t="n"/>
      <c r="AE152" s="12" t="n"/>
      <c r="AF152" s="13" t="n"/>
      <c r="AG152" s="14" t="n"/>
      <c r="AH152" s="12" t="n"/>
      <c r="AI152" s="13" t="n"/>
      <c r="AJ152" s="14" t="n"/>
      <c r="AK152" s="12" t="n"/>
      <c r="AL152" s="13" t="n"/>
      <c r="AM152" s="14" t="n"/>
      <c r="AN152" s="12" t="n"/>
      <c r="AO152" s="13" t="n"/>
      <c r="AP152" s="14" t="n"/>
      <c r="AQ152" s="12" t="n"/>
      <c r="AR152" s="13" t="n"/>
      <c r="AS152" s="14" t="n"/>
      <c r="AT152" s="12" t="n"/>
      <c r="AU152" s="13" t="n"/>
      <c r="AV152" s="14" t="n"/>
      <c r="AW152" s="12" t="n"/>
      <c r="AX152" s="13" t="n"/>
      <c r="AY152" s="14" t="n"/>
      <c r="AZ152" s="12" t="n"/>
      <c r="BA152" s="13" t="n"/>
      <c r="BB152" s="14" t="n"/>
      <c r="BC152" s="11">
        <f>IF(O152="","",IF(J152="GST 10%",ROUND(O152*set_GSTRate,2),0))</f>
        <v/>
      </c>
      <c r="BD152" s="11">
        <f>IF(O152="","",O152+BC152)</f>
        <v/>
      </c>
      <c r="BE152" s="15">
        <f>IF(O152="","",COUNTA(S152,V152,Y152,AB152,AE152,AH152,AK152,AN152,AQ152,AT152,AW152,AZ152))</f>
        <v/>
      </c>
      <c r="BF152" s="16">
        <f>IF(COUNT(T152,W152,Z152,AC152,AF152,AI152,AL152,AO152,AR152,AU152,AX152,BA152)=0,"",MAX(T152,W152,Z152,AC152,AF152,AI152,AL152,AO152,AR152,AU152,AX152,BA152))</f>
        <v/>
      </c>
      <c r="BG152" s="10">
        <f>MID(IF(S152="","",", "&amp;S152)&amp;IF(V152="","",", "&amp;V152)&amp;IF(Y152="","",", "&amp;Y152)&amp;IF(AB152="","",", "&amp;AB152)&amp;IF(AE152="","",", "&amp;AE152)&amp;IF(AH152="","",", "&amp;AH152)&amp;IF(AK152="","",", "&amp;AK152)&amp;IF(AN152="","",", "&amp;AN152)&amp;IF(AQ152="","",", "&amp;AQ152)&amp;IF(AT152="","",", "&amp;AT152)&amp;IF(AW152="","",", "&amp;AW152)&amp;IF(AZ152="","",", "&amp;AZ152),3,500)</f>
        <v/>
      </c>
      <c r="BH152" s="12" t="n"/>
      <c r="BI152" s="15">
        <f>IFERROR(MATCH($A152,IF($B152="Onsite",tbl_Onsite[Row ID],IF($B152="Production",tbl_Production[Row ID],tbl_Consulting[Row ID])),0),"")</f>
        <v/>
      </c>
    </row>
    <row r="153">
      <c r="A153" s="10" t="inlineStr">
        <is>
          <t>ONS-0147</t>
        </is>
      </c>
      <c r="B153" s="10" t="inlineStr">
        <is>
          <t>Onsite</t>
        </is>
      </c>
      <c r="C153" s="10">
        <f>IF($BI153="","",IF($B153="Onsite",INDEX(tbl_Onsite[Job Number],$BI153),IF($B153="Production",INDEX(tbl_Production[Job Number],$BI153),INDEX(tbl_Consulting[Job Number],$BI153)))&amp;"")</f>
        <v/>
      </c>
      <c r="D153" s="10">
        <f>IF($BI153="","",IF($B153="Onsite",INDEX(tbl_Onsite[Client],$BI153),IF($B153="Production",INDEX(tbl_Production[Client],$BI153),INDEX(tbl_Consulting[Client],$BI153)))&amp;"")</f>
        <v/>
      </c>
      <c r="E153" s="10">
        <f>IF($C153="","",IF(COUNTIF(lst_Jobs,$C153)&gt;0,"OK","CHECK"))</f>
        <v/>
      </c>
      <c r="F153" s="10">
        <f>IF($C153="","",IFERROR(INDEX(lst_JobName,MATCH($C153,lst_Jobs,0)),""))</f>
        <v/>
      </c>
      <c r="G153" s="10">
        <f>IF($BI153="","",IF($B153="Onsite",INDEX(tbl_Onsite[Job Description],$BI153),IF($B153="Production",INDEX(tbl_Production[Job Description],$BI153),INDEX(tbl_Consulting[Job Description],$BI153)))&amp;"")</f>
        <v/>
      </c>
      <c r="H153" s="10">
        <f>IF($BI153="","",IF($B153="Onsite",INDEX(tbl_Onsite[Cost Centre],$BI153),IF($B153="Production",INDEX(tbl_Production[Cost Centre],$BI153),INDEX(tbl_Consulting[Cost Centre],$BI153)))&amp;"")</f>
        <v/>
      </c>
      <c r="I153" s="10">
        <f>IF($BI153="","",IF($B153="Onsite",INDEX(tbl_Onsite[Invoice Type],$BI153),IF($B153="Production",INDEX(tbl_Production[Invoice Type],$BI153),INDEX(tbl_Consulting[Invoice Type],$BI153)))&amp;"")</f>
        <v/>
      </c>
      <c r="J153" s="10">
        <f>IF($BI153="","",IF($B153="Onsite",INDEX(tbl_Onsite[Tax Code],$BI153),IF($B153="Production",INDEX(tbl_Production[Tax Code],$BI153),INDEX(tbl_Consulting[Tax Code],$BI153)))&amp;"")</f>
        <v/>
      </c>
      <c r="K153" s="10">
        <f>IF(H153="","",IFERROR(INDEX(lst_CCtoGL,MATCH(H153,lst_CCforGL,0)),""))</f>
        <v/>
      </c>
      <c r="L153" s="10">
        <f>IF($BI153="","",IF($B153="Onsite",INDEX(tbl_Onsite[PO / Reference],$BI153),IF($B153="Production",INDEX(tbl_Production[Current RMS No],$BI153),INDEX(tbl_Consulting[Qwilr Quote],$BI153)))&amp;"")</f>
        <v/>
      </c>
      <c r="M153" s="10">
        <f>IF($BI153="","",IF($B153="Onsite",INDEX(tbl_Onsite[Notes],$BI153),IF($B153="Production",INDEX(tbl_Production[Notes],$BI153),INDEX(tbl_Consulting[Notes],$BI153)))&amp;"")</f>
        <v/>
      </c>
      <c r="N153" s="11">
        <f>IF($BI153="","",IF(IF($B153="Onsite",INDEX(tbl_Onsite[Expected Revenue Ex GST],$BI153),IF($B153="Production",INDEX(tbl_Production[Expected Revenue Ex GST],$BI153),INDEX(tbl_Consulting[Expected Revenue Ex GST],$BI153)))="","",IF($B153="Onsite",INDEX(tbl_Onsite[Expected Revenue Ex GST],$BI153),IF($B153="Production",INDEX(tbl_Production[Expected Revenue Ex GST],$BI153),INDEX(tbl_Consulting[Expected Revenue Ex GST],$BI153)))))</f>
        <v/>
      </c>
      <c r="O153" s="11">
        <f>IF(AND($C153="",NOT(COUNTA($S153:$BB153)&gt;0)),"",SUM(U153,X153,AA153,AD153,AG153,AJ153,AM153,AP153,AS153,AV153,AY153,BB153))</f>
        <v/>
      </c>
      <c r="P153" s="11">
        <f>IF(O153="","",N(N153)-O153)</f>
        <v/>
      </c>
      <c r="Q153" s="10">
        <f>IF(O153="","",IF($C153="","Invoice on empty job row",IF(N153="",IF(ROUND(O153,2)=0,"No dept value","Invoiced - no dept value"),IF(ROUND(O153,2)=0,"Not invoiced - to invoice",IF(ROUND(P153,2)=0,"Agrees",IF(P153&gt;0,"Dept higher - to invoice","Xero higher - check dept"))))))</f>
        <v/>
      </c>
      <c r="R153" s="10">
        <f>IF(AND($C153="",NOT(COUNTA($S153:$BB153)&gt;0),$BI153&lt;&gt;""),"",MID(IF($BI153="","; Row ID not found on the department sheet - a row was deleted","")&amp;IF(AND($C153="",COUNTA($S153:$BB153)&gt;0),"; Invoice entered but the department row has no job number","")&amp;IF(E153="CHECK","; Job number not in the Xero job list","")&amp;IF(AND($C153&lt;&gt;"",COUNTIF($C$7:$C$1506,$C153)&gt;1),"; Job number on more than one row","")&amp;IF(AND($C153&lt;&gt;"",H153=""),"; Dept has not set a cost centre","")&amp;IF(AND($C153&lt;&gt;"",J153=""),"; Dept has not set a tax code","")&amp;IF(AND($C153&lt;&gt;"",N153=""),"; Dept has not entered an expected value","")&amp;IF((IF(OR(COUNTA(S153:U153)=0,AND(COUNTA(S153:U153)=3,ISNUMBER(U153))),0,1)+IF(OR(COUNTA(V153:X153)=0,AND(COUNTA(V153:X153)=3,ISNUMBER(X153))),0,1)+IF(OR(COUNTA(Y153:AA153)=0,AND(COUNTA(Y153:AA153)=3,ISNUMBER(AA153))),0,1)+IF(OR(COUNTA(AB153:AD153)=0,AND(COUNTA(AB153:AD153)=3,ISNUMBER(AD153))),0,1)+IF(OR(COUNTA(AE153:AG153)=0,AND(COUNTA(AE153:AG153)=3,ISNUMBER(AG153))),0,1)+IF(OR(COUNTA(AH153:AJ153)=0,AND(COUNTA(AH153:AJ153)=3,ISNUMBER(AJ153))),0,1)+IF(OR(COUNTA(AK153:AM153)=0,AND(COUNTA(AK153:AM153)=3,ISNUMBER(AM153))),0,1)+IF(OR(COUNTA(AN153:AP153)=0,AND(COUNTA(AN153:AP153)=3,ISNUMBER(AP153))),0,1)+IF(OR(COUNTA(AQ153:AS153)=0,AND(COUNTA(AQ153:AS153)=3,ISNUMBER(AS153))),0,1)+IF(OR(COUNTA(AT153:AV153)=0,AND(COUNTA(AT153:AV153)=3,ISNUMBER(AV153))),0,1)+IF(OR(COUNTA(AW153:AY153)=0,AND(COUNTA(AW153:AY153)=3,ISNUMBER(AY153))),0,1)+IF(OR(COUNTA(AZ153:BB153)=0,AND(COUNTA(AZ153:BB153)=3,ISNUMBER(BB153))),0,1))&gt;0,"; An invoice is incomplete (needs No, Date and a number in Ex GST)","")&amp;IF((IF(T153="",0,IFERROR(--(EOMONTH(T153,0)&lt;&gt;S$5),1))+IF(W153="",0,IFERROR(--(EOMONTH(W153,0)&lt;&gt;V$5),1))+IF(Z153="",0,IFERROR(--(EOMONTH(Z153,0)&lt;&gt;Y$5),1))+IF(AC153="",0,IFERROR(--(EOMONTH(AC153,0)&lt;&gt;AB$5),1))+IF(AF153="",0,IFERROR(--(EOMONTH(AF153,0)&lt;&gt;AE$5),1))+IF(AI153="",0,IFERROR(--(EOMONTH(AI153,0)&lt;&gt;AH$5),1))+IF(AL153="",0,IFERROR(--(EOMONTH(AL153,0)&lt;&gt;AK$5),1))+IF(AO153="",0,IFERROR(--(EOMONTH(AO153,0)&lt;&gt;AN$5),1))+IF(AR153="",0,IFERROR(--(EOMONTH(AR153,0)&lt;&gt;AQ$5),1))+IF(AU153="",0,IFERROR(--(EOMONTH(AU153,0)&lt;&gt;AT$5),1))+IF(AX153="",0,IFERROR(--(EOMONTH(AX153,0)&lt;&gt;AW$5),1))+IF(BA153="",0,IFERROR(--(EOMONTH(BA153,0)&lt;&gt;AZ$5),1)))&gt;0,"; An invoice date is not in the month it is typed under",""),3,500))</f>
        <v/>
      </c>
      <c r="S153" s="12" t="n"/>
      <c r="T153" s="13" t="n"/>
      <c r="U153" s="14" t="n"/>
      <c r="V153" s="12" t="n"/>
      <c r="W153" s="13" t="n"/>
      <c r="X153" s="14" t="n"/>
      <c r="Y153" s="12" t="n"/>
      <c r="Z153" s="13" t="n"/>
      <c r="AA153" s="14" t="n"/>
      <c r="AB153" s="12" t="n"/>
      <c r="AC153" s="13" t="n"/>
      <c r="AD153" s="14" t="n"/>
      <c r="AE153" s="12" t="n"/>
      <c r="AF153" s="13" t="n"/>
      <c r="AG153" s="14" t="n"/>
      <c r="AH153" s="12" t="n"/>
      <c r="AI153" s="13" t="n"/>
      <c r="AJ153" s="14" t="n"/>
      <c r="AK153" s="12" t="n"/>
      <c r="AL153" s="13" t="n"/>
      <c r="AM153" s="14" t="n"/>
      <c r="AN153" s="12" t="n"/>
      <c r="AO153" s="13" t="n"/>
      <c r="AP153" s="14" t="n"/>
      <c r="AQ153" s="12" t="n"/>
      <c r="AR153" s="13" t="n"/>
      <c r="AS153" s="14" t="n"/>
      <c r="AT153" s="12" t="n"/>
      <c r="AU153" s="13" t="n"/>
      <c r="AV153" s="14" t="n"/>
      <c r="AW153" s="12" t="n"/>
      <c r="AX153" s="13" t="n"/>
      <c r="AY153" s="14" t="n"/>
      <c r="AZ153" s="12" t="n"/>
      <c r="BA153" s="13" t="n"/>
      <c r="BB153" s="14" t="n"/>
      <c r="BC153" s="11">
        <f>IF(O153="","",IF(J153="GST 10%",ROUND(O153*set_GSTRate,2),0))</f>
        <v/>
      </c>
      <c r="BD153" s="11">
        <f>IF(O153="","",O153+BC153)</f>
        <v/>
      </c>
      <c r="BE153" s="15">
        <f>IF(O153="","",COUNTA(S153,V153,Y153,AB153,AE153,AH153,AK153,AN153,AQ153,AT153,AW153,AZ153))</f>
        <v/>
      </c>
      <c r="BF153" s="16">
        <f>IF(COUNT(T153,W153,Z153,AC153,AF153,AI153,AL153,AO153,AR153,AU153,AX153,BA153)=0,"",MAX(T153,W153,Z153,AC153,AF153,AI153,AL153,AO153,AR153,AU153,AX153,BA153))</f>
        <v/>
      </c>
      <c r="BG153" s="10">
        <f>MID(IF(S153="","",", "&amp;S153)&amp;IF(V153="","",", "&amp;V153)&amp;IF(Y153="","",", "&amp;Y153)&amp;IF(AB153="","",", "&amp;AB153)&amp;IF(AE153="","",", "&amp;AE153)&amp;IF(AH153="","",", "&amp;AH153)&amp;IF(AK153="","",", "&amp;AK153)&amp;IF(AN153="","",", "&amp;AN153)&amp;IF(AQ153="","",", "&amp;AQ153)&amp;IF(AT153="","",", "&amp;AT153)&amp;IF(AW153="","",", "&amp;AW153)&amp;IF(AZ153="","",", "&amp;AZ153),3,500)</f>
        <v/>
      </c>
      <c r="BH153" s="12" t="n"/>
      <c r="BI153" s="15">
        <f>IFERROR(MATCH($A153,IF($B153="Onsite",tbl_Onsite[Row ID],IF($B153="Production",tbl_Production[Row ID],tbl_Consulting[Row ID])),0),"")</f>
        <v/>
      </c>
    </row>
    <row r="154">
      <c r="A154" s="10" t="inlineStr">
        <is>
          <t>ONS-0148</t>
        </is>
      </c>
      <c r="B154" s="10" t="inlineStr">
        <is>
          <t>Onsite</t>
        </is>
      </c>
      <c r="C154" s="10">
        <f>IF($BI154="","",IF($B154="Onsite",INDEX(tbl_Onsite[Job Number],$BI154),IF($B154="Production",INDEX(tbl_Production[Job Number],$BI154),INDEX(tbl_Consulting[Job Number],$BI154)))&amp;"")</f>
        <v/>
      </c>
      <c r="D154" s="10">
        <f>IF($BI154="","",IF($B154="Onsite",INDEX(tbl_Onsite[Client],$BI154),IF($B154="Production",INDEX(tbl_Production[Client],$BI154),INDEX(tbl_Consulting[Client],$BI154)))&amp;"")</f>
        <v/>
      </c>
      <c r="E154" s="10">
        <f>IF($C154="","",IF(COUNTIF(lst_Jobs,$C154)&gt;0,"OK","CHECK"))</f>
        <v/>
      </c>
      <c r="F154" s="10">
        <f>IF($C154="","",IFERROR(INDEX(lst_JobName,MATCH($C154,lst_Jobs,0)),""))</f>
        <v/>
      </c>
      <c r="G154" s="10">
        <f>IF($BI154="","",IF($B154="Onsite",INDEX(tbl_Onsite[Job Description],$BI154),IF($B154="Production",INDEX(tbl_Production[Job Description],$BI154),INDEX(tbl_Consulting[Job Description],$BI154)))&amp;"")</f>
        <v/>
      </c>
      <c r="H154" s="10">
        <f>IF($BI154="","",IF($B154="Onsite",INDEX(tbl_Onsite[Cost Centre],$BI154),IF($B154="Production",INDEX(tbl_Production[Cost Centre],$BI154),INDEX(tbl_Consulting[Cost Centre],$BI154)))&amp;"")</f>
        <v/>
      </c>
      <c r="I154" s="10">
        <f>IF($BI154="","",IF($B154="Onsite",INDEX(tbl_Onsite[Invoice Type],$BI154),IF($B154="Production",INDEX(tbl_Production[Invoice Type],$BI154),INDEX(tbl_Consulting[Invoice Type],$BI154)))&amp;"")</f>
        <v/>
      </c>
      <c r="J154" s="10">
        <f>IF($BI154="","",IF($B154="Onsite",INDEX(tbl_Onsite[Tax Code],$BI154),IF($B154="Production",INDEX(tbl_Production[Tax Code],$BI154),INDEX(tbl_Consulting[Tax Code],$BI154)))&amp;"")</f>
        <v/>
      </c>
      <c r="K154" s="10">
        <f>IF(H154="","",IFERROR(INDEX(lst_CCtoGL,MATCH(H154,lst_CCforGL,0)),""))</f>
        <v/>
      </c>
      <c r="L154" s="10">
        <f>IF($BI154="","",IF($B154="Onsite",INDEX(tbl_Onsite[PO / Reference],$BI154),IF($B154="Production",INDEX(tbl_Production[Current RMS No],$BI154),INDEX(tbl_Consulting[Qwilr Quote],$BI154)))&amp;"")</f>
        <v/>
      </c>
      <c r="M154" s="10">
        <f>IF($BI154="","",IF($B154="Onsite",INDEX(tbl_Onsite[Notes],$BI154),IF($B154="Production",INDEX(tbl_Production[Notes],$BI154),INDEX(tbl_Consulting[Notes],$BI154)))&amp;"")</f>
        <v/>
      </c>
      <c r="N154" s="11">
        <f>IF($BI154="","",IF(IF($B154="Onsite",INDEX(tbl_Onsite[Expected Revenue Ex GST],$BI154),IF($B154="Production",INDEX(tbl_Production[Expected Revenue Ex GST],$BI154),INDEX(tbl_Consulting[Expected Revenue Ex GST],$BI154)))="","",IF($B154="Onsite",INDEX(tbl_Onsite[Expected Revenue Ex GST],$BI154),IF($B154="Production",INDEX(tbl_Production[Expected Revenue Ex GST],$BI154),INDEX(tbl_Consulting[Expected Revenue Ex GST],$BI154)))))</f>
        <v/>
      </c>
      <c r="O154" s="11">
        <f>IF(AND($C154="",NOT(COUNTA($S154:$BB154)&gt;0)),"",SUM(U154,X154,AA154,AD154,AG154,AJ154,AM154,AP154,AS154,AV154,AY154,BB154))</f>
        <v/>
      </c>
      <c r="P154" s="11">
        <f>IF(O154="","",N(N154)-O154)</f>
        <v/>
      </c>
      <c r="Q154" s="10">
        <f>IF(O154="","",IF($C154="","Invoice on empty job row",IF(N154="",IF(ROUND(O154,2)=0,"No dept value","Invoiced - no dept value"),IF(ROUND(O154,2)=0,"Not invoiced - to invoice",IF(ROUND(P154,2)=0,"Agrees",IF(P154&gt;0,"Dept higher - to invoice","Xero higher - check dept"))))))</f>
        <v/>
      </c>
      <c r="R154" s="10">
        <f>IF(AND($C154="",NOT(COUNTA($S154:$BB154)&gt;0),$BI154&lt;&gt;""),"",MID(IF($BI154="","; Row ID not found on the department sheet - a row was deleted","")&amp;IF(AND($C154="",COUNTA($S154:$BB154)&gt;0),"; Invoice entered but the department row has no job number","")&amp;IF(E154="CHECK","; Job number not in the Xero job list","")&amp;IF(AND($C154&lt;&gt;"",COUNTIF($C$7:$C$1506,$C154)&gt;1),"; Job number on more than one row","")&amp;IF(AND($C154&lt;&gt;"",H154=""),"; Dept has not set a cost centre","")&amp;IF(AND($C154&lt;&gt;"",J154=""),"; Dept has not set a tax code","")&amp;IF(AND($C154&lt;&gt;"",N154=""),"; Dept has not entered an expected value","")&amp;IF((IF(OR(COUNTA(S154:U154)=0,AND(COUNTA(S154:U154)=3,ISNUMBER(U154))),0,1)+IF(OR(COUNTA(V154:X154)=0,AND(COUNTA(V154:X154)=3,ISNUMBER(X154))),0,1)+IF(OR(COUNTA(Y154:AA154)=0,AND(COUNTA(Y154:AA154)=3,ISNUMBER(AA154))),0,1)+IF(OR(COUNTA(AB154:AD154)=0,AND(COUNTA(AB154:AD154)=3,ISNUMBER(AD154))),0,1)+IF(OR(COUNTA(AE154:AG154)=0,AND(COUNTA(AE154:AG154)=3,ISNUMBER(AG154))),0,1)+IF(OR(COUNTA(AH154:AJ154)=0,AND(COUNTA(AH154:AJ154)=3,ISNUMBER(AJ154))),0,1)+IF(OR(COUNTA(AK154:AM154)=0,AND(COUNTA(AK154:AM154)=3,ISNUMBER(AM154))),0,1)+IF(OR(COUNTA(AN154:AP154)=0,AND(COUNTA(AN154:AP154)=3,ISNUMBER(AP154))),0,1)+IF(OR(COUNTA(AQ154:AS154)=0,AND(COUNTA(AQ154:AS154)=3,ISNUMBER(AS154))),0,1)+IF(OR(COUNTA(AT154:AV154)=0,AND(COUNTA(AT154:AV154)=3,ISNUMBER(AV154))),0,1)+IF(OR(COUNTA(AW154:AY154)=0,AND(COUNTA(AW154:AY154)=3,ISNUMBER(AY154))),0,1)+IF(OR(COUNTA(AZ154:BB154)=0,AND(COUNTA(AZ154:BB154)=3,ISNUMBER(BB154))),0,1))&gt;0,"; An invoice is incomplete (needs No, Date and a number in Ex GST)","")&amp;IF((IF(T154="",0,IFERROR(--(EOMONTH(T154,0)&lt;&gt;S$5),1))+IF(W154="",0,IFERROR(--(EOMONTH(W154,0)&lt;&gt;V$5),1))+IF(Z154="",0,IFERROR(--(EOMONTH(Z154,0)&lt;&gt;Y$5),1))+IF(AC154="",0,IFERROR(--(EOMONTH(AC154,0)&lt;&gt;AB$5),1))+IF(AF154="",0,IFERROR(--(EOMONTH(AF154,0)&lt;&gt;AE$5),1))+IF(AI154="",0,IFERROR(--(EOMONTH(AI154,0)&lt;&gt;AH$5),1))+IF(AL154="",0,IFERROR(--(EOMONTH(AL154,0)&lt;&gt;AK$5),1))+IF(AO154="",0,IFERROR(--(EOMONTH(AO154,0)&lt;&gt;AN$5),1))+IF(AR154="",0,IFERROR(--(EOMONTH(AR154,0)&lt;&gt;AQ$5),1))+IF(AU154="",0,IFERROR(--(EOMONTH(AU154,0)&lt;&gt;AT$5),1))+IF(AX154="",0,IFERROR(--(EOMONTH(AX154,0)&lt;&gt;AW$5),1))+IF(BA154="",0,IFERROR(--(EOMONTH(BA154,0)&lt;&gt;AZ$5),1)))&gt;0,"; An invoice date is not in the month it is typed under",""),3,500))</f>
        <v/>
      </c>
      <c r="S154" s="12" t="n"/>
      <c r="T154" s="13" t="n"/>
      <c r="U154" s="14" t="n"/>
      <c r="V154" s="12" t="n"/>
      <c r="W154" s="13" t="n"/>
      <c r="X154" s="14" t="n"/>
      <c r="Y154" s="12" t="n"/>
      <c r="Z154" s="13" t="n"/>
      <c r="AA154" s="14" t="n"/>
      <c r="AB154" s="12" t="n"/>
      <c r="AC154" s="13" t="n"/>
      <c r="AD154" s="14" t="n"/>
      <c r="AE154" s="12" t="n"/>
      <c r="AF154" s="13" t="n"/>
      <c r="AG154" s="14" t="n"/>
      <c r="AH154" s="12" t="n"/>
      <c r="AI154" s="13" t="n"/>
      <c r="AJ154" s="14" t="n"/>
      <c r="AK154" s="12" t="n"/>
      <c r="AL154" s="13" t="n"/>
      <c r="AM154" s="14" t="n"/>
      <c r="AN154" s="12" t="n"/>
      <c r="AO154" s="13" t="n"/>
      <c r="AP154" s="14" t="n"/>
      <c r="AQ154" s="12" t="n"/>
      <c r="AR154" s="13" t="n"/>
      <c r="AS154" s="14" t="n"/>
      <c r="AT154" s="12" t="n"/>
      <c r="AU154" s="13" t="n"/>
      <c r="AV154" s="14" t="n"/>
      <c r="AW154" s="12" t="n"/>
      <c r="AX154" s="13" t="n"/>
      <c r="AY154" s="14" t="n"/>
      <c r="AZ154" s="12" t="n"/>
      <c r="BA154" s="13" t="n"/>
      <c r="BB154" s="14" t="n"/>
      <c r="BC154" s="11">
        <f>IF(O154="","",IF(J154="GST 10%",ROUND(O154*set_GSTRate,2),0))</f>
        <v/>
      </c>
      <c r="BD154" s="11">
        <f>IF(O154="","",O154+BC154)</f>
        <v/>
      </c>
      <c r="BE154" s="15">
        <f>IF(O154="","",COUNTA(S154,V154,Y154,AB154,AE154,AH154,AK154,AN154,AQ154,AT154,AW154,AZ154))</f>
        <v/>
      </c>
      <c r="BF154" s="16">
        <f>IF(COUNT(T154,W154,Z154,AC154,AF154,AI154,AL154,AO154,AR154,AU154,AX154,BA154)=0,"",MAX(T154,W154,Z154,AC154,AF154,AI154,AL154,AO154,AR154,AU154,AX154,BA154))</f>
        <v/>
      </c>
      <c r="BG154" s="10">
        <f>MID(IF(S154="","",", "&amp;S154)&amp;IF(V154="","",", "&amp;V154)&amp;IF(Y154="","",", "&amp;Y154)&amp;IF(AB154="","",", "&amp;AB154)&amp;IF(AE154="","",", "&amp;AE154)&amp;IF(AH154="","",", "&amp;AH154)&amp;IF(AK154="","",", "&amp;AK154)&amp;IF(AN154="","",", "&amp;AN154)&amp;IF(AQ154="","",", "&amp;AQ154)&amp;IF(AT154="","",", "&amp;AT154)&amp;IF(AW154="","",", "&amp;AW154)&amp;IF(AZ154="","",", "&amp;AZ154),3,500)</f>
        <v/>
      </c>
      <c r="BH154" s="12" t="n"/>
      <c r="BI154" s="15">
        <f>IFERROR(MATCH($A154,IF($B154="Onsite",tbl_Onsite[Row ID],IF($B154="Production",tbl_Production[Row ID],tbl_Consulting[Row ID])),0),"")</f>
        <v/>
      </c>
    </row>
    <row r="155">
      <c r="A155" s="10" t="inlineStr">
        <is>
          <t>ONS-0149</t>
        </is>
      </c>
      <c r="B155" s="10" t="inlineStr">
        <is>
          <t>Onsite</t>
        </is>
      </c>
      <c r="C155" s="10">
        <f>IF($BI155="","",IF($B155="Onsite",INDEX(tbl_Onsite[Job Number],$BI155),IF($B155="Production",INDEX(tbl_Production[Job Number],$BI155),INDEX(tbl_Consulting[Job Number],$BI155)))&amp;"")</f>
        <v/>
      </c>
      <c r="D155" s="10">
        <f>IF($BI155="","",IF($B155="Onsite",INDEX(tbl_Onsite[Client],$BI155),IF($B155="Production",INDEX(tbl_Production[Client],$BI155),INDEX(tbl_Consulting[Client],$BI155)))&amp;"")</f>
        <v/>
      </c>
      <c r="E155" s="10">
        <f>IF($C155="","",IF(COUNTIF(lst_Jobs,$C155)&gt;0,"OK","CHECK"))</f>
        <v/>
      </c>
      <c r="F155" s="10">
        <f>IF($C155="","",IFERROR(INDEX(lst_JobName,MATCH($C155,lst_Jobs,0)),""))</f>
        <v/>
      </c>
      <c r="G155" s="10">
        <f>IF($BI155="","",IF($B155="Onsite",INDEX(tbl_Onsite[Job Description],$BI155),IF($B155="Production",INDEX(tbl_Production[Job Description],$BI155),INDEX(tbl_Consulting[Job Description],$BI155)))&amp;"")</f>
        <v/>
      </c>
      <c r="H155" s="10">
        <f>IF($BI155="","",IF($B155="Onsite",INDEX(tbl_Onsite[Cost Centre],$BI155),IF($B155="Production",INDEX(tbl_Production[Cost Centre],$BI155),INDEX(tbl_Consulting[Cost Centre],$BI155)))&amp;"")</f>
        <v/>
      </c>
      <c r="I155" s="10">
        <f>IF($BI155="","",IF($B155="Onsite",INDEX(tbl_Onsite[Invoice Type],$BI155),IF($B155="Production",INDEX(tbl_Production[Invoice Type],$BI155),INDEX(tbl_Consulting[Invoice Type],$BI155)))&amp;"")</f>
        <v/>
      </c>
      <c r="J155" s="10">
        <f>IF($BI155="","",IF($B155="Onsite",INDEX(tbl_Onsite[Tax Code],$BI155),IF($B155="Production",INDEX(tbl_Production[Tax Code],$BI155),INDEX(tbl_Consulting[Tax Code],$BI155)))&amp;"")</f>
        <v/>
      </c>
      <c r="K155" s="10">
        <f>IF(H155="","",IFERROR(INDEX(lst_CCtoGL,MATCH(H155,lst_CCforGL,0)),""))</f>
        <v/>
      </c>
      <c r="L155" s="10">
        <f>IF($BI155="","",IF($B155="Onsite",INDEX(tbl_Onsite[PO / Reference],$BI155),IF($B155="Production",INDEX(tbl_Production[Current RMS No],$BI155),INDEX(tbl_Consulting[Qwilr Quote],$BI155)))&amp;"")</f>
        <v/>
      </c>
      <c r="M155" s="10">
        <f>IF($BI155="","",IF($B155="Onsite",INDEX(tbl_Onsite[Notes],$BI155),IF($B155="Production",INDEX(tbl_Production[Notes],$BI155),INDEX(tbl_Consulting[Notes],$BI155)))&amp;"")</f>
        <v/>
      </c>
      <c r="N155" s="11">
        <f>IF($BI155="","",IF(IF($B155="Onsite",INDEX(tbl_Onsite[Expected Revenue Ex GST],$BI155),IF($B155="Production",INDEX(tbl_Production[Expected Revenue Ex GST],$BI155),INDEX(tbl_Consulting[Expected Revenue Ex GST],$BI155)))="","",IF($B155="Onsite",INDEX(tbl_Onsite[Expected Revenue Ex GST],$BI155),IF($B155="Production",INDEX(tbl_Production[Expected Revenue Ex GST],$BI155),INDEX(tbl_Consulting[Expected Revenue Ex GST],$BI155)))))</f>
        <v/>
      </c>
      <c r="O155" s="11">
        <f>IF(AND($C155="",NOT(COUNTA($S155:$BB155)&gt;0)),"",SUM(U155,X155,AA155,AD155,AG155,AJ155,AM155,AP155,AS155,AV155,AY155,BB155))</f>
        <v/>
      </c>
      <c r="P155" s="11">
        <f>IF(O155="","",N(N155)-O155)</f>
        <v/>
      </c>
      <c r="Q155" s="10">
        <f>IF(O155="","",IF($C155="","Invoice on empty job row",IF(N155="",IF(ROUND(O155,2)=0,"No dept value","Invoiced - no dept value"),IF(ROUND(O155,2)=0,"Not invoiced - to invoice",IF(ROUND(P155,2)=0,"Agrees",IF(P155&gt;0,"Dept higher - to invoice","Xero higher - check dept"))))))</f>
        <v/>
      </c>
      <c r="R155" s="10">
        <f>IF(AND($C155="",NOT(COUNTA($S155:$BB155)&gt;0),$BI155&lt;&gt;""),"",MID(IF($BI155="","; Row ID not found on the department sheet - a row was deleted","")&amp;IF(AND($C155="",COUNTA($S155:$BB155)&gt;0),"; Invoice entered but the department row has no job number","")&amp;IF(E155="CHECK","; Job number not in the Xero job list","")&amp;IF(AND($C155&lt;&gt;"",COUNTIF($C$7:$C$1506,$C155)&gt;1),"; Job number on more than one row","")&amp;IF(AND($C155&lt;&gt;"",H155=""),"; Dept has not set a cost centre","")&amp;IF(AND($C155&lt;&gt;"",J155=""),"; Dept has not set a tax code","")&amp;IF(AND($C155&lt;&gt;"",N155=""),"; Dept has not entered an expected value","")&amp;IF((IF(OR(COUNTA(S155:U155)=0,AND(COUNTA(S155:U155)=3,ISNUMBER(U155))),0,1)+IF(OR(COUNTA(V155:X155)=0,AND(COUNTA(V155:X155)=3,ISNUMBER(X155))),0,1)+IF(OR(COUNTA(Y155:AA155)=0,AND(COUNTA(Y155:AA155)=3,ISNUMBER(AA155))),0,1)+IF(OR(COUNTA(AB155:AD155)=0,AND(COUNTA(AB155:AD155)=3,ISNUMBER(AD155))),0,1)+IF(OR(COUNTA(AE155:AG155)=0,AND(COUNTA(AE155:AG155)=3,ISNUMBER(AG155))),0,1)+IF(OR(COUNTA(AH155:AJ155)=0,AND(COUNTA(AH155:AJ155)=3,ISNUMBER(AJ155))),0,1)+IF(OR(COUNTA(AK155:AM155)=0,AND(COUNTA(AK155:AM155)=3,ISNUMBER(AM155))),0,1)+IF(OR(COUNTA(AN155:AP155)=0,AND(COUNTA(AN155:AP155)=3,ISNUMBER(AP155))),0,1)+IF(OR(COUNTA(AQ155:AS155)=0,AND(COUNTA(AQ155:AS155)=3,ISNUMBER(AS155))),0,1)+IF(OR(COUNTA(AT155:AV155)=0,AND(COUNTA(AT155:AV155)=3,ISNUMBER(AV155))),0,1)+IF(OR(COUNTA(AW155:AY155)=0,AND(COUNTA(AW155:AY155)=3,ISNUMBER(AY155))),0,1)+IF(OR(COUNTA(AZ155:BB155)=0,AND(COUNTA(AZ155:BB155)=3,ISNUMBER(BB155))),0,1))&gt;0,"; An invoice is incomplete (needs No, Date and a number in Ex GST)","")&amp;IF((IF(T155="",0,IFERROR(--(EOMONTH(T155,0)&lt;&gt;S$5),1))+IF(W155="",0,IFERROR(--(EOMONTH(W155,0)&lt;&gt;V$5),1))+IF(Z155="",0,IFERROR(--(EOMONTH(Z155,0)&lt;&gt;Y$5),1))+IF(AC155="",0,IFERROR(--(EOMONTH(AC155,0)&lt;&gt;AB$5),1))+IF(AF155="",0,IFERROR(--(EOMONTH(AF155,0)&lt;&gt;AE$5),1))+IF(AI155="",0,IFERROR(--(EOMONTH(AI155,0)&lt;&gt;AH$5),1))+IF(AL155="",0,IFERROR(--(EOMONTH(AL155,0)&lt;&gt;AK$5),1))+IF(AO155="",0,IFERROR(--(EOMONTH(AO155,0)&lt;&gt;AN$5),1))+IF(AR155="",0,IFERROR(--(EOMONTH(AR155,0)&lt;&gt;AQ$5),1))+IF(AU155="",0,IFERROR(--(EOMONTH(AU155,0)&lt;&gt;AT$5),1))+IF(AX155="",0,IFERROR(--(EOMONTH(AX155,0)&lt;&gt;AW$5),1))+IF(BA155="",0,IFERROR(--(EOMONTH(BA155,0)&lt;&gt;AZ$5),1)))&gt;0,"; An invoice date is not in the month it is typed under",""),3,500))</f>
        <v/>
      </c>
      <c r="S155" s="12" t="n"/>
      <c r="T155" s="13" t="n"/>
      <c r="U155" s="14" t="n"/>
      <c r="V155" s="12" t="n"/>
      <c r="W155" s="13" t="n"/>
      <c r="X155" s="14" t="n"/>
      <c r="Y155" s="12" t="n"/>
      <c r="Z155" s="13" t="n"/>
      <c r="AA155" s="14" t="n"/>
      <c r="AB155" s="12" t="n"/>
      <c r="AC155" s="13" t="n"/>
      <c r="AD155" s="14" t="n"/>
      <c r="AE155" s="12" t="n"/>
      <c r="AF155" s="13" t="n"/>
      <c r="AG155" s="14" t="n"/>
      <c r="AH155" s="12" t="n"/>
      <c r="AI155" s="13" t="n"/>
      <c r="AJ155" s="14" t="n"/>
      <c r="AK155" s="12" t="n"/>
      <c r="AL155" s="13" t="n"/>
      <c r="AM155" s="14" t="n"/>
      <c r="AN155" s="12" t="n"/>
      <c r="AO155" s="13" t="n"/>
      <c r="AP155" s="14" t="n"/>
      <c r="AQ155" s="12" t="n"/>
      <c r="AR155" s="13" t="n"/>
      <c r="AS155" s="14" t="n"/>
      <c r="AT155" s="12" t="n"/>
      <c r="AU155" s="13" t="n"/>
      <c r="AV155" s="14" t="n"/>
      <c r="AW155" s="12" t="n"/>
      <c r="AX155" s="13" t="n"/>
      <c r="AY155" s="14" t="n"/>
      <c r="AZ155" s="12" t="n"/>
      <c r="BA155" s="13" t="n"/>
      <c r="BB155" s="14" t="n"/>
      <c r="BC155" s="11">
        <f>IF(O155="","",IF(J155="GST 10%",ROUND(O155*set_GSTRate,2),0))</f>
        <v/>
      </c>
      <c r="BD155" s="11">
        <f>IF(O155="","",O155+BC155)</f>
        <v/>
      </c>
      <c r="BE155" s="15">
        <f>IF(O155="","",COUNTA(S155,V155,Y155,AB155,AE155,AH155,AK155,AN155,AQ155,AT155,AW155,AZ155))</f>
        <v/>
      </c>
      <c r="BF155" s="16">
        <f>IF(COUNT(T155,W155,Z155,AC155,AF155,AI155,AL155,AO155,AR155,AU155,AX155,BA155)=0,"",MAX(T155,W155,Z155,AC155,AF155,AI155,AL155,AO155,AR155,AU155,AX155,BA155))</f>
        <v/>
      </c>
      <c r="BG155" s="10">
        <f>MID(IF(S155="","",", "&amp;S155)&amp;IF(V155="","",", "&amp;V155)&amp;IF(Y155="","",", "&amp;Y155)&amp;IF(AB155="","",", "&amp;AB155)&amp;IF(AE155="","",", "&amp;AE155)&amp;IF(AH155="","",", "&amp;AH155)&amp;IF(AK155="","",", "&amp;AK155)&amp;IF(AN155="","",", "&amp;AN155)&amp;IF(AQ155="","",", "&amp;AQ155)&amp;IF(AT155="","",", "&amp;AT155)&amp;IF(AW155="","",", "&amp;AW155)&amp;IF(AZ155="","",", "&amp;AZ155),3,500)</f>
        <v/>
      </c>
      <c r="BH155" s="12" t="n"/>
      <c r="BI155" s="15">
        <f>IFERROR(MATCH($A155,IF($B155="Onsite",tbl_Onsite[Row ID],IF($B155="Production",tbl_Production[Row ID],tbl_Consulting[Row ID])),0),"")</f>
        <v/>
      </c>
    </row>
    <row r="156">
      <c r="A156" s="10" t="inlineStr">
        <is>
          <t>ONS-0150</t>
        </is>
      </c>
      <c r="B156" s="10" t="inlineStr">
        <is>
          <t>Onsite</t>
        </is>
      </c>
      <c r="C156" s="10">
        <f>IF($BI156="","",IF($B156="Onsite",INDEX(tbl_Onsite[Job Number],$BI156),IF($B156="Production",INDEX(tbl_Production[Job Number],$BI156),INDEX(tbl_Consulting[Job Number],$BI156)))&amp;"")</f>
        <v/>
      </c>
      <c r="D156" s="10">
        <f>IF($BI156="","",IF($B156="Onsite",INDEX(tbl_Onsite[Client],$BI156),IF($B156="Production",INDEX(tbl_Production[Client],$BI156),INDEX(tbl_Consulting[Client],$BI156)))&amp;"")</f>
        <v/>
      </c>
      <c r="E156" s="10">
        <f>IF($C156="","",IF(COUNTIF(lst_Jobs,$C156)&gt;0,"OK","CHECK"))</f>
        <v/>
      </c>
      <c r="F156" s="10">
        <f>IF($C156="","",IFERROR(INDEX(lst_JobName,MATCH($C156,lst_Jobs,0)),""))</f>
        <v/>
      </c>
      <c r="G156" s="10">
        <f>IF($BI156="","",IF($B156="Onsite",INDEX(tbl_Onsite[Job Description],$BI156),IF($B156="Production",INDEX(tbl_Production[Job Description],$BI156),INDEX(tbl_Consulting[Job Description],$BI156)))&amp;"")</f>
        <v/>
      </c>
      <c r="H156" s="10">
        <f>IF($BI156="","",IF($B156="Onsite",INDEX(tbl_Onsite[Cost Centre],$BI156),IF($B156="Production",INDEX(tbl_Production[Cost Centre],$BI156),INDEX(tbl_Consulting[Cost Centre],$BI156)))&amp;"")</f>
        <v/>
      </c>
      <c r="I156" s="10">
        <f>IF($BI156="","",IF($B156="Onsite",INDEX(tbl_Onsite[Invoice Type],$BI156),IF($B156="Production",INDEX(tbl_Production[Invoice Type],$BI156),INDEX(tbl_Consulting[Invoice Type],$BI156)))&amp;"")</f>
        <v/>
      </c>
      <c r="J156" s="10">
        <f>IF($BI156="","",IF($B156="Onsite",INDEX(tbl_Onsite[Tax Code],$BI156),IF($B156="Production",INDEX(tbl_Production[Tax Code],$BI156),INDEX(tbl_Consulting[Tax Code],$BI156)))&amp;"")</f>
        <v/>
      </c>
      <c r="K156" s="10">
        <f>IF(H156="","",IFERROR(INDEX(lst_CCtoGL,MATCH(H156,lst_CCforGL,0)),""))</f>
        <v/>
      </c>
      <c r="L156" s="10">
        <f>IF($BI156="","",IF($B156="Onsite",INDEX(tbl_Onsite[PO / Reference],$BI156),IF($B156="Production",INDEX(tbl_Production[Current RMS No],$BI156),INDEX(tbl_Consulting[Qwilr Quote],$BI156)))&amp;"")</f>
        <v/>
      </c>
      <c r="M156" s="10">
        <f>IF($BI156="","",IF($B156="Onsite",INDEX(tbl_Onsite[Notes],$BI156),IF($B156="Production",INDEX(tbl_Production[Notes],$BI156),INDEX(tbl_Consulting[Notes],$BI156)))&amp;"")</f>
        <v/>
      </c>
      <c r="N156" s="11">
        <f>IF($BI156="","",IF(IF($B156="Onsite",INDEX(tbl_Onsite[Expected Revenue Ex GST],$BI156),IF($B156="Production",INDEX(tbl_Production[Expected Revenue Ex GST],$BI156),INDEX(tbl_Consulting[Expected Revenue Ex GST],$BI156)))="","",IF($B156="Onsite",INDEX(tbl_Onsite[Expected Revenue Ex GST],$BI156),IF($B156="Production",INDEX(tbl_Production[Expected Revenue Ex GST],$BI156),INDEX(tbl_Consulting[Expected Revenue Ex GST],$BI156)))))</f>
        <v/>
      </c>
      <c r="O156" s="11">
        <f>IF(AND($C156="",NOT(COUNTA($S156:$BB156)&gt;0)),"",SUM(U156,X156,AA156,AD156,AG156,AJ156,AM156,AP156,AS156,AV156,AY156,BB156))</f>
        <v/>
      </c>
      <c r="P156" s="11">
        <f>IF(O156="","",N(N156)-O156)</f>
        <v/>
      </c>
      <c r="Q156" s="10">
        <f>IF(O156="","",IF($C156="","Invoice on empty job row",IF(N156="",IF(ROUND(O156,2)=0,"No dept value","Invoiced - no dept value"),IF(ROUND(O156,2)=0,"Not invoiced - to invoice",IF(ROUND(P156,2)=0,"Agrees",IF(P156&gt;0,"Dept higher - to invoice","Xero higher - check dept"))))))</f>
        <v/>
      </c>
      <c r="R156" s="10">
        <f>IF(AND($C156="",NOT(COUNTA($S156:$BB156)&gt;0),$BI156&lt;&gt;""),"",MID(IF($BI156="","; Row ID not found on the department sheet - a row was deleted","")&amp;IF(AND($C156="",COUNTA($S156:$BB156)&gt;0),"; Invoice entered but the department row has no job number","")&amp;IF(E156="CHECK","; Job number not in the Xero job list","")&amp;IF(AND($C156&lt;&gt;"",COUNTIF($C$7:$C$1506,$C156)&gt;1),"; Job number on more than one row","")&amp;IF(AND($C156&lt;&gt;"",H156=""),"; Dept has not set a cost centre","")&amp;IF(AND($C156&lt;&gt;"",J156=""),"; Dept has not set a tax code","")&amp;IF(AND($C156&lt;&gt;"",N156=""),"; Dept has not entered an expected value","")&amp;IF((IF(OR(COUNTA(S156:U156)=0,AND(COUNTA(S156:U156)=3,ISNUMBER(U156))),0,1)+IF(OR(COUNTA(V156:X156)=0,AND(COUNTA(V156:X156)=3,ISNUMBER(X156))),0,1)+IF(OR(COUNTA(Y156:AA156)=0,AND(COUNTA(Y156:AA156)=3,ISNUMBER(AA156))),0,1)+IF(OR(COUNTA(AB156:AD156)=0,AND(COUNTA(AB156:AD156)=3,ISNUMBER(AD156))),0,1)+IF(OR(COUNTA(AE156:AG156)=0,AND(COUNTA(AE156:AG156)=3,ISNUMBER(AG156))),0,1)+IF(OR(COUNTA(AH156:AJ156)=0,AND(COUNTA(AH156:AJ156)=3,ISNUMBER(AJ156))),0,1)+IF(OR(COUNTA(AK156:AM156)=0,AND(COUNTA(AK156:AM156)=3,ISNUMBER(AM156))),0,1)+IF(OR(COUNTA(AN156:AP156)=0,AND(COUNTA(AN156:AP156)=3,ISNUMBER(AP156))),0,1)+IF(OR(COUNTA(AQ156:AS156)=0,AND(COUNTA(AQ156:AS156)=3,ISNUMBER(AS156))),0,1)+IF(OR(COUNTA(AT156:AV156)=0,AND(COUNTA(AT156:AV156)=3,ISNUMBER(AV156))),0,1)+IF(OR(COUNTA(AW156:AY156)=0,AND(COUNTA(AW156:AY156)=3,ISNUMBER(AY156))),0,1)+IF(OR(COUNTA(AZ156:BB156)=0,AND(COUNTA(AZ156:BB156)=3,ISNUMBER(BB156))),0,1))&gt;0,"; An invoice is incomplete (needs No, Date and a number in Ex GST)","")&amp;IF((IF(T156="",0,IFERROR(--(EOMONTH(T156,0)&lt;&gt;S$5),1))+IF(W156="",0,IFERROR(--(EOMONTH(W156,0)&lt;&gt;V$5),1))+IF(Z156="",0,IFERROR(--(EOMONTH(Z156,0)&lt;&gt;Y$5),1))+IF(AC156="",0,IFERROR(--(EOMONTH(AC156,0)&lt;&gt;AB$5),1))+IF(AF156="",0,IFERROR(--(EOMONTH(AF156,0)&lt;&gt;AE$5),1))+IF(AI156="",0,IFERROR(--(EOMONTH(AI156,0)&lt;&gt;AH$5),1))+IF(AL156="",0,IFERROR(--(EOMONTH(AL156,0)&lt;&gt;AK$5),1))+IF(AO156="",0,IFERROR(--(EOMONTH(AO156,0)&lt;&gt;AN$5),1))+IF(AR156="",0,IFERROR(--(EOMONTH(AR156,0)&lt;&gt;AQ$5),1))+IF(AU156="",0,IFERROR(--(EOMONTH(AU156,0)&lt;&gt;AT$5),1))+IF(AX156="",0,IFERROR(--(EOMONTH(AX156,0)&lt;&gt;AW$5),1))+IF(BA156="",0,IFERROR(--(EOMONTH(BA156,0)&lt;&gt;AZ$5),1)))&gt;0,"; An invoice date is not in the month it is typed under",""),3,500))</f>
        <v/>
      </c>
      <c r="S156" s="12" t="n"/>
      <c r="T156" s="13" t="n"/>
      <c r="U156" s="14" t="n"/>
      <c r="V156" s="12" t="n"/>
      <c r="W156" s="13" t="n"/>
      <c r="X156" s="14" t="n"/>
      <c r="Y156" s="12" t="n"/>
      <c r="Z156" s="13" t="n"/>
      <c r="AA156" s="14" t="n"/>
      <c r="AB156" s="12" t="n"/>
      <c r="AC156" s="13" t="n"/>
      <c r="AD156" s="14" t="n"/>
      <c r="AE156" s="12" t="n"/>
      <c r="AF156" s="13" t="n"/>
      <c r="AG156" s="14" t="n"/>
      <c r="AH156" s="12" t="n"/>
      <c r="AI156" s="13" t="n"/>
      <c r="AJ156" s="14" t="n"/>
      <c r="AK156" s="12" t="n"/>
      <c r="AL156" s="13" t="n"/>
      <c r="AM156" s="14" t="n"/>
      <c r="AN156" s="12" t="n"/>
      <c r="AO156" s="13" t="n"/>
      <c r="AP156" s="14" t="n"/>
      <c r="AQ156" s="12" t="n"/>
      <c r="AR156" s="13" t="n"/>
      <c r="AS156" s="14" t="n"/>
      <c r="AT156" s="12" t="n"/>
      <c r="AU156" s="13" t="n"/>
      <c r="AV156" s="14" t="n"/>
      <c r="AW156" s="12" t="n"/>
      <c r="AX156" s="13" t="n"/>
      <c r="AY156" s="14" t="n"/>
      <c r="AZ156" s="12" t="n"/>
      <c r="BA156" s="13" t="n"/>
      <c r="BB156" s="14" t="n"/>
      <c r="BC156" s="11">
        <f>IF(O156="","",IF(J156="GST 10%",ROUND(O156*set_GSTRate,2),0))</f>
        <v/>
      </c>
      <c r="BD156" s="11">
        <f>IF(O156="","",O156+BC156)</f>
        <v/>
      </c>
      <c r="BE156" s="15">
        <f>IF(O156="","",COUNTA(S156,V156,Y156,AB156,AE156,AH156,AK156,AN156,AQ156,AT156,AW156,AZ156))</f>
        <v/>
      </c>
      <c r="BF156" s="16">
        <f>IF(COUNT(T156,W156,Z156,AC156,AF156,AI156,AL156,AO156,AR156,AU156,AX156,BA156)=0,"",MAX(T156,W156,Z156,AC156,AF156,AI156,AL156,AO156,AR156,AU156,AX156,BA156))</f>
        <v/>
      </c>
      <c r="BG156" s="10">
        <f>MID(IF(S156="","",", "&amp;S156)&amp;IF(V156="","",", "&amp;V156)&amp;IF(Y156="","",", "&amp;Y156)&amp;IF(AB156="","",", "&amp;AB156)&amp;IF(AE156="","",", "&amp;AE156)&amp;IF(AH156="","",", "&amp;AH156)&amp;IF(AK156="","",", "&amp;AK156)&amp;IF(AN156="","",", "&amp;AN156)&amp;IF(AQ156="","",", "&amp;AQ156)&amp;IF(AT156="","",", "&amp;AT156)&amp;IF(AW156="","",", "&amp;AW156)&amp;IF(AZ156="","",", "&amp;AZ156),3,500)</f>
        <v/>
      </c>
      <c r="BH156" s="12" t="n"/>
      <c r="BI156" s="15">
        <f>IFERROR(MATCH($A156,IF($B156="Onsite",tbl_Onsite[Row ID],IF($B156="Production",tbl_Production[Row ID],tbl_Consulting[Row ID])),0),"")</f>
        <v/>
      </c>
    </row>
    <row r="157">
      <c r="A157" s="10" t="inlineStr">
        <is>
          <t>ONS-0151</t>
        </is>
      </c>
      <c r="B157" s="10" t="inlineStr">
        <is>
          <t>Onsite</t>
        </is>
      </c>
      <c r="C157" s="10">
        <f>IF($BI157="","",IF($B157="Onsite",INDEX(tbl_Onsite[Job Number],$BI157),IF($B157="Production",INDEX(tbl_Production[Job Number],$BI157),INDEX(tbl_Consulting[Job Number],$BI157)))&amp;"")</f>
        <v/>
      </c>
      <c r="D157" s="10">
        <f>IF($BI157="","",IF($B157="Onsite",INDEX(tbl_Onsite[Client],$BI157),IF($B157="Production",INDEX(tbl_Production[Client],$BI157),INDEX(tbl_Consulting[Client],$BI157)))&amp;"")</f>
        <v/>
      </c>
      <c r="E157" s="10">
        <f>IF($C157="","",IF(COUNTIF(lst_Jobs,$C157)&gt;0,"OK","CHECK"))</f>
        <v/>
      </c>
      <c r="F157" s="10">
        <f>IF($C157="","",IFERROR(INDEX(lst_JobName,MATCH($C157,lst_Jobs,0)),""))</f>
        <v/>
      </c>
      <c r="G157" s="10">
        <f>IF($BI157="","",IF($B157="Onsite",INDEX(tbl_Onsite[Job Description],$BI157),IF($B157="Production",INDEX(tbl_Production[Job Description],$BI157),INDEX(tbl_Consulting[Job Description],$BI157)))&amp;"")</f>
        <v/>
      </c>
      <c r="H157" s="10">
        <f>IF($BI157="","",IF($B157="Onsite",INDEX(tbl_Onsite[Cost Centre],$BI157),IF($B157="Production",INDEX(tbl_Production[Cost Centre],$BI157),INDEX(tbl_Consulting[Cost Centre],$BI157)))&amp;"")</f>
        <v/>
      </c>
      <c r="I157" s="10">
        <f>IF($BI157="","",IF($B157="Onsite",INDEX(tbl_Onsite[Invoice Type],$BI157),IF($B157="Production",INDEX(tbl_Production[Invoice Type],$BI157),INDEX(tbl_Consulting[Invoice Type],$BI157)))&amp;"")</f>
        <v/>
      </c>
      <c r="J157" s="10">
        <f>IF($BI157="","",IF($B157="Onsite",INDEX(tbl_Onsite[Tax Code],$BI157),IF($B157="Production",INDEX(tbl_Production[Tax Code],$BI157),INDEX(tbl_Consulting[Tax Code],$BI157)))&amp;"")</f>
        <v/>
      </c>
      <c r="K157" s="10">
        <f>IF(H157="","",IFERROR(INDEX(lst_CCtoGL,MATCH(H157,lst_CCforGL,0)),""))</f>
        <v/>
      </c>
      <c r="L157" s="10">
        <f>IF($BI157="","",IF($B157="Onsite",INDEX(tbl_Onsite[PO / Reference],$BI157),IF($B157="Production",INDEX(tbl_Production[Current RMS No],$BI157),INDEX(tbl_Consulting[Qwilr Quote],$BI157)))&amp;"")</f>
        <v/>
      </c>
      <c r="M157" s="10">
        <f>IF($BI157="","",IF($B157="Onsite",INDEX(tbl_Onsite[Notes],$BI157),IF($B157="Production",INDEX(tbl_Production[Notes],$BI157),INDEX(tbl_Consulting[Notes],$BI157)))&amp;"")</f>
        <v/>
      </c>
      <c r="N157" s="11">
        <f>IF($BI157="","",IF(IF($B157="Onsite",INDEX(tbl_Onsite[Expected Revenue Ex GST],$BI157),IF($B157="Production",INDEX(tbl_Production[Expected Revenue Ex GST],$BI157),INDEX(tbl_Consulting[Expected Revenue Ex GST],$BI157)))="","",IF($B157="Onsite",INDEX(tbl_Onsite[Expected Revenue Ex GST],$BI157),IF($B157="Production",INDEX(tbl_Production[Expected Revenue Ex GST],$BI157),INDEX(tbl_Consulting[Expected Revenue Ex GST],$BI157)))))</f>
        <v/>
      </c>
      <c r="O157" s="11">
        <f>IF(AND($C157="",NOT(COUNTA($S157:$BB157)&gt;0)),"",SUM(U157,X157,AA157,AD157,AG157,AJ157,AM157,AP157,AS157,AV157,AY157,BB157))</f>
        <v/>
      </c>
      <c r="P157" s="11">
        <f>IF(O157="","",N(N157)-O157)</f>
        <v/>
      </c>
      <c r="Q157" s="10">
        <f>IF(O157="","",IF($C157="","Invoice on empty job row",IF(N157="",IF(ROUND(O157,2)=0,"No dept value","Invoiced - no dept value"),IF(ROUND(O157,2)=0,"Not invoiced - to invoice",IF(ROUND(P157,2)=0,"Agrees",IF(P157&gt;0,"Dept higher - to invoice","Xero higher - check dept"))))))</f>
        <v/>
      </c>
      <c r="R157" s="10">
        <f>IF(AND($C157="",NOT(COUNTA($S157:$BB157)&gt;0),$BI157&lt;&gt;""),"",MID(IF($BI157="","; Row ID not found on the department sheet - a row was deleted","")&amp;IF(AND($C157="",COUNTA($S157:$BB157)&gt;0),"; Invoice entered but the department row has no job number","")&amp;IF(E157="CHECK","; Job number not in the Xero job list","")&amp;IF(AND($C157&lt;&gt;"",COUNTIF($C$7:$C$1506,$C157)&gt;1),"; Job number on more than one row","")&amp;IF(AND($C157&lt;&gt;"",H157=""),"; Dept has not set a cost centre","")&amp;IF(AND($C157&lt;&gt;"",J157=""),"; Dept has not set a tax code","")&amp;IF(AND($C157&lt;&gt;"",N157=""),"; Dept has not entered an expected value","")&amp;IF((IF(OR(COUNTA(S157:U157)=0,AND(COUNTA(S157:U157)=3,ISNUMBER(U157))),0,1)+IF(OR(COUNTA(V157:X157)=0,AND(COUNTA(V157:X157)=3,ISNUMBER(X157))),0,1)+IF(OR(COUNTA(Y157:AA157)=0,AND(COUNTA(Y157:AA157)=3,ISNUMBER(AA157))),0,1)+IF(OR(COUNTA(AB157:AD157)=0,AND(COUNTA(AB157:AD157)=3,ISNUMBER(AD157))),0,1)+IF(OR(COUNTA(AE157:AG157)=0,AND(COUNTA(AE157:AG157)=3,ISNUMBER(AG157))),0,1)+IF(OR(COUNTA(AH157:AJ157)=0,AND(COUNTA(AH157:AJ157)=3,ISNUMBER(AJ157))),0,1)+IF(OR(COUNTA(AK157:AM157)=0,AND(COUNTA(AK157:AM157)=3,ISNUMBER(AM157))),0,1)+IF(OR(COUNTA(AN157:AP157)=0,AND(COUNTA(AN157:AP157)=3,ISNUMBER(AP157))),0,1)+IF(OR(COUNTA(AQ157:AS157)=0,AND(COUNTA(AQ157:AS157)=3,ISNUMBER(AS157))),0,1)+IF(OR(COUNTA(AT157:AV157)=0,AND(COUNTA(AT157:AV157)=3,ISNUMBER(AV157))),0,1)+IF(OR(COUNTA(AW157:AY157)=0,AND(COUNTA(AW157:AY157)=3,ISNUMBER(AY157))),0,1)+IF(OR(COUNTA(AZ157:BB157)=0,AND(COUNTA(AZ157:BB157)=3,ISNUMBER(BB157))),0,1))&gt;0,"; An invoice is incomplete (needs No, Date and a number in Ex GST)","")&amp;IF((IF(T157="",0,IFERROR(--(EOMONTH(T157,0)&lt;&gt;S$5),1))+IF(W157="",0,IFERROR(--(EOMONTH(W157,0)&lt;&gt;V$5),1))+IF(Z157="",0,IFERROR(--(EOMONTH(Z157,0)&lt;&gt;Y$5),1))+IF(AC157="",0,IFERROR(--(EOMONTH(AC157,0)&lt;&gt;AB$5),1))+IF(AF157="",0,IFERROR(--(EOMONTH(AF157,0)&lt;&gt;AE$5),1))+IF(AI157="",0,IFERROR(--(EOMONTH(AI157,0)&lt;&gt;AH$5),1))+IF(AL157="",0,IFERROR(--(EOMONTH(AL157,0)&lt;&gt;AK$5),1))+IF(AO157="",0,IFERROR(--(EOMONTH(AO157,0)&lt;&gt;AN$5),1))+IF(AR157="",0,IFERROR(--(EOMONTH(AR157,0)&lt;&gt;AQ$5),1))+IF(AU157="",0,IFERROR(--(EOMONTH(AU157,0)&lt;&gt;AT$5),1))+IF(AX157="",0,IFERROR(--(EOMONTH(AX157,0)&lt;&gt;AW$5),1))+IF(BA157="",0,IFERROR(--(EOMONTH(BA157,0)&lt;&gt;AZ$5),1)))&gt;0,"; An invoice date is not in the month it is typed under",""),3,500))</f>
        <v/>
      </c>
      <c r="S157" s="12" t="n"/>
      <c r="T157" s="13" t="n"/>
      <c r="U157" s="14" t="n"/>
      <c r="V157" s="12" t="n"/>
      <c r="W157" s="13" t="n"/>
      <c r="X157" s="14" t="n"/>
      <c r="Y157" s="12" t="n"/>
      <c r="Z157" s="13" t="n"/>
      <c r="AA157" s="14" t="n"/>
      <c r="AB157" s="12" t="n"/>
      <c r="AC157" s="13" t="n"/>
      <c r="AD157" s="14" t="n"/>
      <c r="AE157" s="12" t="n"/>
      <c r="AF157" s="13" t="n"/>
      <c r="AG157" s="14" t="n"/>
      <c r="AH157" s="12" t="n"/>
      <c r="AI157" s="13" t="n"/>
      <c r="AJ157" s="14" t="n"/>
      <c r="AK157" s="12" t="n"/>
      <c r="AL157" s="13" t="n"/>
      <c r="AM157" s="14" t="n"/>
      <c r="AN157" s="12" t="n"/>
      <c r="AO157" s="13" t="n"/>
      <c r="AP157" s="14" t="n"/>
      <c r="AQ157" s="12" t="n"/>
      <c r="AR157" s="13" t="n"/>
      <c r="AS157" s="14" t="n"/>
      <c r="AT157" s="12" t="n"/>
      <c r="AU157" s="13" t="n"/>
      <c r="AV157" s="14" t="n"/>
      <c r="AW157" s="12" t="n"/>
      <c r="AX157" s="13" t="n"/>
      <c r="AY157" s="14" t="n"/>
      <c r="AZ157" s="12" t="n"/>
      <c r="BA157" s="13" t="n"/>
      <c r="BB157" s="14" t="n"/>
      <c r="BC157" s="11">
        <f>IF(O157="","",IF(J157="GST 10%",ROUND(O157*set_GSTRate,2),0))</f>
        <v/>
      </c>
      <c r="BD157" s="11">
        <f>IF(O157="","",O157+BC157)</f>
        <v/>
      </c>
      <c r="BE157" s="15">
        <f>IF(O157="","",COUNTA(S157,V157,Y157,AB157,AE157,AH157,AK157,AN157,AQ157,AT157,AW157,AZ157))</f>
        <v/>
      </c>
      <c r="BF157" s="16">
        <f>IF(COUNT(T157,W157,Z157,AC157,AF157,AI157,AL157,AO157,AR157,AU157,AX157,BA157)=0,"",MAX(T157,W157,Z157,AC157,AF157,AI157,AL157,AO157,AR157,AU157,AX157,BA157))</f>
        <v/>
      </c>
      <c r="BG157" s="10">
        <f>MID(IF(S157="","",", "&amp;S157)&amp;IF(V157="","",", "&amp;V157)&amp;IF(Y157="","",", "&amp;Y157)&amp;IF(AB157="","",", "&amp;AB157)&amp;IF(AE157="","",", "&amp;AE157)&amp;IF(AH157="","",", "&amp;AH157)&amp;IF(AK157="","",", "&amp;AK157)&amp;IF(AN157="","",", "&amp;AN157)&amp;IF(AQ157="","",", "&amp;AQ157)&amp;IF(AT157="","",", "&amp;AT157)&amp;IF(AW157="","",", "&amp;AW157)&amp;IF(AZ157="","",", "&amp;AZ157),3,500)</f>
        <v/>
      </c>
      <c r="BH157" s="12" t="n"/>
      <c r="BI157" s="15">
        <f>IFERROR(MATCH($A157,IF($B157="Onsite",tbl_Onsite[Row ID],IF($B157="Production",tbl_Production[Row ID],tbl_Consulting[Row ID])),0),"")</f>
        <v/>
      </c>
    </row>
    <row r="158">
      <c r="A158" s="10" t="inlineStr">
        <is>
          <t>ONS-0152</t>
        </is>
      </c>
      <c r="B158" s="10" t="inlineStr">
        <is>
          <t>Onsite</t>
        </is>
      </c>
      <c r="C158" s="10">
        <f>IF($BI158="","",IF($B158="Onsite",INDEX(tbl_Onsite[Job Number],$BI158),IF($B158="Production",INDEX(tbl_Production[Job Number],$BI158),INDEX(tbl_Consulting[Job Number],$BI158)))&amp;"")</f>
        <v/>
      </c>
      <c r="D158" s="10">
        <f>IF($BI158="","",IF($B158="Onsite",INDEX(tbl_Onsite[Client],$BI158),IF($B158="Production",INDEX(tbl_Production[Client],$BI158),INDEX(tbl_Consulting[Client],$BI158)))&amp;"")</f>
        <v/>
      </c>
      <c r="E158" s="10">
        <f>IF($C158="","",IF(COUNTIF(lst_Jobs,$C158)&gt;0,"OK","CHECK"))</f>
        <v/>
      </c>
      <c r="F158" s="10">
        <f>IF($C158="","",IFERROR(INDEX(lst_JobName,MATCH($C158,lst_Jobs,0)),""))</f>
        <v/>
      </c>
      <c r="G158" s="10">
        <f>IF($BI158="","",IF($B158="Onsite",INDEX(tbl_Onsite[Job Description],$BI158),IF($B158="Production",INDEX(tbl_Production[Job Description],$BI158),INDEX(tbl_Consulting[Job Description],$BI158)))&amp;"")</f>
        <v/>
      </c>
      <c r="H158" s="10">
        <f>IF($BI158="","",IF($B158="Onsite",INDEX(tbl_Onsite[Cost Centre],$BI158),IF($B158="Production",INDEX(tbl_Production[Cost Centre],$BI158),INDEX(tbl_Consulting[Cost Centre],$BI158)))&amp;"")</f>
        <v/>
      </c>
      <c r="I158" s="10">
        <f>IF($BI158="","",IF($B158="Onsite",INDEX(tbl_Onsite[Invoice Type],$BI158),IF($B158="Production",INDEX(tbl_Production[Invoice Type],$BI158),INDEX(tbl_Consulting[Invoice Type],$BI158)))&amp;"")</f>
        <v/>
      </c>
      <c r="J158" s="10">
        <f>IF($BI158="","",IF($B158="Onsite",INDEX(tbl_Onsite[Tax Code],$BI158),IF($B158="Production",INDEX(tbl_Production[Tax Code],$BI158),INDEX(tbl_Consulting[Tax Code],$BI158)))&amp;"")</f>
        <v/>
      </c>
      <c r="K158" s="10">
        <f>IF(H158="","",IFERROR(INDEX(lst_CCtoGL,MATCH(H158,lst_CCforGL,0)),""))</f>
        <v/>
      </c>
      <c r="L158" s="10">
        <f>IF($BI158="","",IF($B158="Onsite",INDEX(tbl_Onsite[PO / Reference],$BI158),IF($B158="Production",INDEX(tbl_Production[Current RMS No],$BI158),INDEX(tbl_Consulting[Qwilr Quote],$BI158)))&amp;"")</f>
        <v/>
      </c>
      <c r="M158" s="10">
        <f>IF($BI158="","",IF($B158="Onsite",INDEX(tbl_Onsite[Notes],$BI158),IF($B158="Production",INDEX(tbl_Production[Notes],$BI158),INDEX(tbl_Consulting[Notes],$BI158)))&amp;"")</f>
        <v/>
      </c>
      <c r="N158" s="11">
        <f>IF($BI158="","",IF(IF($B158="Onsite",INDEX(tbl_Onsite[Expected Revenue Ex GST],$BI158),IF($B158="Production",INDEX(tbl_Production[Expected Revenue Ex GST],$BI158),INDEX(tbl_Consulting[Expected Revenue Ex GST],$BI158)))="","",IF($B158="Onsite",INDEX(tbl_Onsite[Expected Revenue Ex GST],$BI158),IF($B158="Production",INDEX(tbl_Production[Expected Revenue Ex GST],$BI158),INDEX(tbl_Consulting[Expected Revenue Ex GST],$BI158)))))</f>
        <v/>
      </c>
      <c r="O158" s="11">
        <f>IF(AND($C158="",NOT(COUNTA($S158:$BB158)&gt;0)),"",SUM(U158,X158,AA158,AD158,AG158,AJ158,AM158,AP158,AS158,AV158,AY158,BB158))</f>
        <v/>
      </c>
      <c r="P158" s="11">
        <f>IF(O158="","",N(N158)-O158)</f>
        <v/>
      </c>
      <c r="Q158" s="10">
        <f>IF(O158="","",IF($C158="","Invoice on empty job row",IF(N158="",IF(ROUND(O158,2)=0,"No dept value","Invoiced - no dept value"),IF(ROUND(O158,2)=0,"Not invoiced - to invoice",IF(ROUND(P158,2)=0,"Agrees",IF(P158&gt;0,"Dept higher - to invoice","Xero higher - check dept"))))))</f>
        <v/>
      </c>
      <c r="R158" s="10">
        <f>IF(AND($C158="",NOT(COUNTA($S158:$BB158)&gt;0),$BI158&lt;&gt;""),"",MID(IF($BI158="","; Row ID not found on the department sheet - a row was deleted","")&amp;IF(AND($C158="",COUNTA($S158:$BB158)&gt;0),"; Invoice entered but the department row has no job number","")&amp;IF(E158="CHECK","; Job number not in the Xero job list","")&amp;IF(AND($C158&lt;&gt;"",COUNTIF($C$7:$C$1506,$C158)&gt;1),"; Job number on more than one row","")&amp;IF(AND($C158&lt;&gt;"",H158=""),"; Dept has not set a cost centre","")&amp;IF(AND($C158&lt;&gt;"",J158=""),"; Dept has not set a tax code","")&amp;IF(AND($C158&lt;&gt;"",N158=""),"; Dept has not entered an expected value","")&amp;IF((IF(OR(COUNTA(S158:U158)=0,AND(COUNTA(S158:U158)=3,ISNUMBER(U158))),0,1)+IF(OR(COUNTA(V158:X158)=0,AND(COUNTA(V158:X158)=3,ISNUMBER(X158))),0,1)+IF(OR(COUNTA(Y158:AA158)=0,AND(COUNTA(Y158:AA158)=3,ISNUMBER(AA158))),0,1)+IF(OR(COUNTA(AB158:AD158)=0,AND(COUNTA(AB158:AD158)=3,ISNUMBER(AD158))),0,1)+IF(OR(COUNTA(AE158:AG158)=0,AND(COUNTA(AE158:AG158)=3,ISNUMBER(AG158))),0,1)+IF(OR(COUNTA(AH158:AJ158)=0,AND(COUNTA(AH158:AJ158)=3,ISNUMBER(AJ158))),0,1)+IF(OR(COUNTA(AK158:AM158)=0,AND(COUNTA(AK158:AM158)=3,ISNUMBER(AM158))),0,1)+IF(OR(COUNTA(AN158:AP158)=0,AND(COUNTA(AN158:AP158)=3,ISNUMBER(AP158))),0,1)+IF(OR(COUNTA(AQ158:AS158)=0,AND(COUNTA(AQ158:AS158)=3,ISNUMBER(AS158))),0,1)+IF(OR(COUNTA(AT158:AV158)=0,AND(COUNTA(AT158:AV158)=3,ISNUMBER(AV158))),0,1)+IF(OR(COUNTA(AW158:AY158)=0,AND(COUNTA(AW158:AY158)=3,ISNUMBER(AY158))),0,1)+IF(OR(COUNTA(AZ158:BB158)=0,AND(COUNTA(AZ158:BB158)=3,ISNUMBER(BB158))),0,1))&gt;0,"; An invoice is incomplete (needs No, Date and a number in Ex GST)","")&amp;IF((IF(T158="",0,IFERROR(--(EOMONTH(T158,0)&lt;&gt;S$5),1))+IF(W158="",0,IFERROR(--(EOMONTH(W158,0)&lt;&gt;V$5),1))+IF(Z158="",0,IFERROR(--(EOMONTH(Z158,0)&lt;&gt;Y$5),1))+IF(AC158="",0,IFERROR(--(EOMONTH(AC158,0)&lt;&gt;AB$5),1))+IF(AF158="",0,IFERROR(--(EOMONTH(AF158,0)&lt;&gt;AE$5),1))+IF(AI158="",0,IFERROR(--(EOMONTH(AI158,0)&lt;&gt;AH$5),1))+IF(AL158="",0,IFERROR(--(EOMONTH(AL158,0)&lt;&gt;AK$5),1))+IF(AO158="",0,IFERROR(--(EOMONTH(AO158,0)&lt;&gt;AN$5),1))+IF(AR158="",0,IFERROR(--(EOMONTH(AR158,0)&lt;&gt;AQ$5),1))+IF(AU158="",0,IFERROR(--(EOMONTH(AU158,0)&lt;&gt;AT$5),1))+IF(AX158="",0,IFERROR(--(EOMONTH(AX158,0)&lt;&gt;AW$5),1))+IF(BA158="",0,IFERROR(--(EOMONTH(BA158,0)&lt;&gt;AZ$5),1)))&gt;0,"; An invoice date is not in the month it is typed under",""),3,500))</f>
        <v/>
      </c>
      <c r="S158" s="12" t="n"/>
      <c r="T158" s="13" t="n"/>
      <c r="U158" s="14" t="n"/>
      <c r="V158" s="12" t="n"/>
      <c r="W158" s="13" t="n"/>
      <c r="X158" s="14" t="n"/>
      <c r="Y158" s="12" t="n"/>
      <c r="Z158" s="13" t="n"/>
      <c r="AA158" s="14" t="n"/>
      <c r="AB158" s="12" t="n"/>
      <c r="AC158" s="13" t="n"/>
      <c r="AD158" s="14" t="n"/>
      <c r="AE158" s="12" t="n"/>
      <c r="AF158" s="13" t="n"/>
      <c r="AG158" s="14" t="n"/>
      <c r="AH158" s="12" t="n"/>
      <c r="AI158" s="13" t="n"/>
      <c r="AJ158" s="14" t="n"/>
      <c r="AK158" s="12" t="n"/>
      <c r="AL158" s="13" t="n"/>
      <c r="AM158" s="14" t="n"/>
      <c r="AN158" s="12" t="n"/>
      <c r="AO158" s="13" t="n"/>
      <c r="AP158" s="14" t="n"/>
      <c r="AQ158" s="12" t="n"/>
      <c r="AR158" s="13" t="n"/>
      <c r="AS158" s="14" t="n"/>
      <c r="AT158" s="12" t="n"/>
      <c r="AU158" s="13" t="n"/>
      <c r="AV158" s="14" t="n"/>
      <c r="AW158" s="12" t="n"/>
      <c r="AX158" s="13" t="n"/>
      <c r="AY158" s="14" t="n"/>
      <c r="AZ158" s="12" t="n"/>
      <c r="BA158" s="13" t="n"/>
      <c r="BB158" s="14" t="n"/>
      <c r="BC158" s="11">
        <f>IF(O158="","",IF(J158="GST 10%",ROUND(O158*set_GSTRate,2),0))</f>
        <v/>
      </c>
      <c r="BD158" s="11">
        <f>IF(O158="","",O158+BC158)</f>
        <v/>
      </c>
      <c r="BE158" s="15">
        <f>IF(O158="","",COUNTA(S158,V158,Y158,AB158,AE158,AH158,AK158,AN158,AQ158,AT158,AW158,AZ158))</f>
        <v/>
      </c>
      <c r="BF158" s="16">
        <f>IF(COUNT(T158,W158,Z158,AC158,AF158,AI158,AL158,AO158,AR158,AU158,AX158,BA158)=0,"",MAX(T158,W158,Z158,AC158,AF158,AI158,AL158,AO158,AR158,AU158,AX158,BA158))</f>
        <v/>
      </c>
      <c r="BG158" s="10">
        <f>MID(IF(S158="","",", "&amp;S158)&amp;IF(V158="","",", "&amp;V158)&amp;IF(Y158="","",", "&amp;Y158)&amp;IF(AB158="","",", "&amp;AB158)&amp;IF(AE158="","",", "&amp;AE158)&amp;IF(AH158="","",", "&amp;AH158)&amp;IF(AK158="","",", "&amp;AK158)&amp;IF(AN158="","",", "&amp;AN158)&amp;IF(AQ158="","",", "&amp;AQ158)&amp;IF(AT158="","",", "&amp;AT158)&amp;IF(AW158="","",", "&amp;AW158)&amp;IF(AZ158="","",", "&amp;AZ158),3,500)</f>
        <v/>
      </c>
      <c r="BH158" s="12" t="n"/>
      <c r="BI158" s="15">
        <f>IFERROR(MATCH($A158,IF($B158="Onsite",tbl_Onsite[Row ID],IF($B158="Production",tbl_Production[Row ID],tbl_Consulting[Row ID])),0),"")</f>
        <v/>
      </c>
    </row>
    <row r="159">
      <c r="A159" s="10" t="inlineStr">
        <is>
          <t>ONS-0153</t>
        </is>
      </c>
      <c r="B159" s="10" t="inlineStr">
        <is>
          <t>Onsite</t>
        </is>
      </c>
      <c r="C159" s="10">
        <f>IF($BI159="","",IF($B159="Onsite",INDEX(tbl_Onsite[Job Number],$BI159),IF($B159="Production",INDEX(tbl_Production[Job Number],$BI159),INDEX(tbl_Consulting[Job Number],$BI159)))&amp;"")</f>
        <v/>
      </c>
      <c r="D159" s="10">
        <f>IF($BI159="","",IF($B159="Onsite",INDEX(tbl_Onsite[Client],$BI159),IF($B159="Production",INDEX(tbl_Production[Client],$BI159),INDEX(tbl_Consulting[Client],$BI159)))&amp;"")</f>
        <v/>
      </c>
      <c r="E159" s="10">
        <f>IF($C159="","",IF(COUNTIF(lst_Jobs,$C159)&gt;0,"OK","CHECK"))</f>
        <v/>
      </c>
      <c r="F159" s="10">
        <f>IF($C159="","",IFERROR(INDEX(lst_JobName,MATCH($C159,lst_Jobs,0)),""))</f>
        <v/>
      </c>
      <c r="G159" s="10">
        <f>IF($BI159="","",IF($B159="Onsite",INDEX(tbl_Onsite[Job Description],$BI159),IF($B159="Production",INDEX(tbl_Production[Job Description],$BI159),INDEX(tbl_Consulting[Job Description],$BI159)))&amp;"")</f>
        <v/>
      </c>
      <c r="H159" s="10">
        <f>IF($BI159="","",IF($B159="Onsite",INDEX(tbl_Onsite[Cost Centre],$BI159),IF($B159="Production",INDEX(tbl_Production[Cost Centre],$BI159),INDEX(tbl_Consulting[Cost Centre],$BI159)))&amp;"")</f>
        <v/>
      </c>
      <c r="I159" s="10">
        <f>IF($BI159="","",IF($B159="Onsite",INDEX(tbl_Onsite[Invoice Type],$BI159),IF($B159="Production",INDEX(tbl_Production[Invoice Type],$BI159),INDEX(tbl_Consulting[Invoice Type],$BI159)))&amp;"")</f>
        <v/>
      </c>
      <c r="J159" s="10">
        <f>IF($BI159="","",IF($B159="Onsite",INDEX(tbl_Onsite[Tax Code],$BI159),IF($B159="Production",INDEX(tbl_Production[Tax Code],$BI159),INDEX(tbl_Consulting[Tax Code],$BI159)))&amp;"")</f>
        <v/>
      </c>
      <c r="K159" s="10">
        <f>IF(H159="","",IFERROR(INDEX(lst_CCtoGL,MATCH(H159,lst_CCforGL,0)),""))</f>
        <v/>
      </c>
      <c r="L159" s="10">
        <f>IF($BI159="","",IF($B159="Onsite",INDEX(tbl_Onsite[PO / Reference],$BI159),IF($B159="Production",INDEX(tbl_Production[Current RMS No],$BI159),INDEX(tbl_Consulting[Qwilr Quote],$BI159)))&amp;"")</f>
        <v/>
      </c>
      <c r="M159" s="10">
        <f>IF($BI159="","",IF($B159="Onsite",INDEX(tbl_Onsite[Notes],$BI159),IF($B159="Production",INDEX(tbl_Production[Notes],$BI159),INDEX(tbl_Consulting[Notes],$BI159)))&amp;"")</f>
        <v/>
      </c>
      <c r="N159" s="11">
        <f>IF($BI159="","",IF(IF($B159="Onsite",INDEX(tbl_Onsite[Expected Revenue Ex GST],$BI159),IF($B159="Production",INDEX(tbl_Production[Expected Revenue Ex GST],$BI159),INDEX(tbl_Consulting[Expected Revenue Ex GST],$BI159)))="","",IF($B159="Onsite",INDEX(tbl_Onsite[Expected Revenue Ex GST],$BI159),IF($B159="Production",INDEX(tbl_Production[Expected Revenue Ex GST],$BI159),INDEX(tbl_Consulting[Expected Revenue Ex GST],$BI159)))))</f>
        <v/>
      </c>
      <c r="O159" s="11">
        <f>IF(AND($C159="",NOT(COUNTA($S159:$BB159)&gt;0)),"",SUM(U159,X159,AA159,AD159,AG159,AJ159,AM159,AP159,AS159,AV159,AY159,BB159))</f>
        <v/>
      </c>
      <c r="P159" s="11">
        <f>IF(O159="","",N(N159)-O159)</f>
        <v/>
      </c>
      <c r="Q159" s="10">
        <f>IF(O159="","",IF($C159="","Invoice on empty job row",IF(N159="",IF(ROUND(O159,2)=0,"No dept value","Invoiced - no dept value"),IF(ROUND(O159,2)=0,"Not invoiced - to invoice",IF(ROUND(P159,2)=0,"Agrees",IF(P159&gt;0,"Dept higher - to invoice","Xero higher - check dept"))))))</f>
        <v/>
      </c>
      <c r="R159" s="10">
        <f>IF(AND($C159="",NOT(COUNTA($S159:$BB159)&gt;0),$BI159&lt;&gt;""),"",MID(IF($BI159="","; Row ID not found on the department sheet - a row was deleted","")&amp;IF(AND($C159="",COUNTA($S159:$BB159)&gt;0),"; Invoice entered but the department row has no job number","")&amp;IF(E159="CHECK","; Job number not in the Xero job list","")&amp;IF(AND($C159&lt;&gt;"",COUNTIF($C$7:$C$1506,$C159)&gt;1),"; Job number on more than one row","")&amp;IF(AND($C159&lt;&gt;"",H159=""),"; Dept has not set a cost centre","")&amp;IF(AND($C159&lt;&gt;"",J159=""),"; Dept has not set a tax code","")&amp;IF(AND($C159&lt;&gt;"",N159=""),"; Dept has not entered an expected value","")&amp;IF((IF(OR(COUNTA(S159:U159)=0,AND(COUNTA(S159:U159)=3,ISNUMBER(U159))),0,1)+IF(OR(COUNTA(V159:X159)=0,AND(COUNTA(V159:X159)=3,ISNUMBER(X159))),0,1)+IF(OR(COUNTA(Y159:AA159)=0,AND(COUNTA(Y159:AA159)=3,ISNUMBER(AA159))),0,1)+IF(OR(COUNTA(AB159:AD159)=0,AND(COUNTA(AB159:AD159)=3,ISNUMBER(AD159))),0,1)+IF(OR(COUNTA(AE159:AG159)=0,AND(COUNTA(AE159:AG159)=3,ISNUMBER(AG159))),0,1)+IF(OR(COUNTA(AH159:AJ159)=0,AND(COUNTA(AH159:AJ159)=3,ISNUMBER(AJ159))),0,1)+IF(OR(COUNTA(AK159:AM159)=0,AND(COUNTA(AK159:AM159)=3,ISNUMBER(AM159))),0,1)+IF(OR(COUNTA(AN159:AP159)=0,AND(COUNTA(AN159:AP159)=3,ISNUMBER(AP159))),0,1)+IF(OR(COUNTA(AQ159:AS159)=0,AND(COUNTA(AQ159:AS159)=3,ISNUMBER(AS159))),0,1)+IF(OR(COUNTA(AT159:AV159)=0,AND(COUNTA(AT159:AV159)=3,ISNUMBER(AV159))),0,1)+IF(OR(COUNTA(AW159:AY159)=0,AND(COUNTA(AW159:AY159)=3,ISNUMBER(AY159))),0,1)+IF(OR(COUNTA(AZ159:BB159)=0,AND(COUNTA(AZ159:BB159)=3,ISNUMBER(BB159))),0,1))&gt;0,"; An invoice is incomplete (needs No, Date and a number in Ex GST)","")&amp;IF((IF(T159="",0,IFERROR(--(EOMONTH(T159,0)&lt;&gt;S$5),1))+IF(W159="",0,IFERROR(--(EOMONTH(W159,0)&lt;&gt;V$5),1))+IF(Z159="",0,IFERROR(--(EOMONTH(Z159,0)&lt;&gt;Y$5),1))+IF(AC159="",0,IFERROR(--(EOMONTH(AC159,0)&lt;&gt;AB$5),1))+IF(AF159="",0,IFERROR(--(EOMONTH(AF159,0)&lt;&gt;AE$5),1))+IF(AI159="",0,IFERROR(--(EOMONTH(AI159,0)&lt;&gt;AH$5),1))+IF(AL159="",0,IFERROR(--(EOMONTH(AL159,0)&lt;&gt;AK$5),1))+IF(AO159="",0,IFERROR(--(EOMONTH(AO159,0)&lt;&gt;AN$5),1))+IF(AR159="",0,IFERROR(--(EOMONTH(AR159,0)&lt;&gt;AQ$5),1))+IF(AU159="",0,IFERROR(--(EOMONTH(AU159,0)&lt;&gt;AT$5),1))+IF(AX159="",0,IFERROR(--(EOMONTH(AX159,0)&lt;&gt;AW$5),1))+IF(BA159="",0,IFERROR(--(EOMONTH(BA159,0)&lt;&gt;AZ$5),1)))&gt;0,"; An invoice date is not in the month it is typed under",""),3,500))</f>
        <v/>
      </c>
      <c r="S159" s="12" t="n"/>
      <c r="T159" s="13" t="n"/>
      <c r="U159" s="14" t="n"/>
      <c r="V159" s="12" t="n"/>
      <c r="W159" s="13" t="n"/>
      <c r="X159" s="14" t="n"/>
      <c r="Y159" s="12" t="n"/>
      <c r="Z159" s="13" t="n"/>
      <c r="AA159" s="14" t="n"/>
      <c r="AB159" s="12" t="n"/>
      <c r="AC159" s="13" t="n"/>
      <c r="AD159" s="14" t="n"/>
      <c r="AE159" s="12" t="n"/>
      <c r="AF159" s="13" t="n"/>
      <c r="AG159" s="14" t="n"/>
      <c r="AH159" s="12" t="n"/>
      <c r="AI159" s="13" t="n"/>
      <c r="AJ159" s="14" t="n"/>
      <c r="AK159" s="12" t="n"/>
      <c r="AL159" s="13" t="n"/>
      <c r="AM159" s="14" t="n"/>
      <c r="AN159" s="12" t="n"/>
      <c r="AO159" s="13" t="n"/>
      <c r="AP159" s="14" t="n"/>
      <c r="AQ159" s="12" t="n"/>
      <c r="AR159" s="13" t="n"/>
      <c r="AS159" s="14" t="n"/>
      <c r="AT159" s="12" t="n"/>
      <c r="AU159" s="13" t="n"/>
      <c r="AV159" s="14" t="n"/>
      <c r="AW159" s="12" t="n"/>
      <c r="AX159" s="13" t="n"/>
      <c r="AY159" s="14" t="n"/>
      <c r="AZ159" s="12" t="n"/>
      <c r="BA159" s="13" t="n"/>
      <c r="BB159" s="14" t="n"/>
      <c r="BC159" s="11">
        <f>IF(O159="","",IF(J159="GST 10%",ROUND(O159*set_GSTRate,2),0))</f>
        <v/>
      </c>
      <c r="BD159" s="11">
        <f>IF(O159="","",O159+BC159)</f>
        <v/>
      </c>
      <c r="BE159" s="15">
        <f>IF(O159="","",COUNTA(S159,V159,Y159,AB159,AE159,AH159,AK159,AN159,AQ159,AT159,AW159,AZ159))</f>
        <v/>
      </c>
      <c r="BF159" s="16">
        <f>IF(COUNT(T159,W159,Z159,AC159,AF159,AI159,AL159,AO159,AR159,AU159,AX159,BA159)=0,"",MAX(T159,W159,Z159,AC159,AF159,AI159,AL159,AO159,AR159,AU159,AX159,BA159))</f>
        <v/>
      </c>
      <c r="BG159" s="10">
        <f>MID(IF(S159="","",", "&amp;S159)&amp;IF(V159="","",", "&amp;V159)&amp;IF(Y159="","",", "&amp;Y159)&amp;IF(AB159="","",", "&amp;AB159)&amp;IF(AE159="","",", "&amp;AE159)&amp;IF(AH159="","",", "&amp;AH159)&amp;IF(AK159="","",", "&amp;AK159)&amp;IF(AN159="","",", "&amp;AN159)&amp;IF(AQ159="","",", "&amp;AQ159)&amp;IF(AT159="","",", "&amp;AT159)&amp;IF(AW159="","",", "&amp;AW159)&amp;IF(AZ159="","",", "&amp;AZ159),3,500)</f>
        <v/>
      </c>
      <c r="BH159" s="12" t="n"/>
      <c r="BI159" s="15">
        <f>IFERROR(MATCH($A159,IF($B159="Onsite",tbl_Onsite[Row ID],IF($B159="Production",tbl_Production[Row ID],tbl_Consulting[Row ID])),0),"")</f>
        <v/>
      </c>
    </row>
    <row r="160">
      <c r="A160" s="10" t="inlineStr">
        <is>
          <t>ONS-0154</t>
        </is>
      </c>
      <c r="B160" s="10" t="inlineStr">
        <is>
          <t>Onsite</t>
        </is>
      </c>
      <c r="C160" s="10">
        <f>IF($BI160="","",IF($B160="Onsite",INDEX(tbl_Onsite[Job Number],$BI160),IF($B160="Production",INDEX(tbl_Production[Job Number],$BI160),INDEX(tbl_Consulting[Job Number],$BI160)))&amp;"")</f>
        <v/>
      </c>
      <c r="D160" s="10">
        <f>IF($BI160="","",IF($B160="Onsite",INDEX(tbl_Onsite[Client],$BI160),IF($B160="Production",INDEX(tbl_Production[Client],$BI160),INDEX(tbl_Consulting[Client],$BI160)))&amp;"")</f>
        <v/>
      </c>
      <c r="E160" s="10">
        <f>IF($C160="","",IF(COUNTIF(lst_Jobs,$C160)&gt;0,"OK","CHECK"))</f>
        <v/>
      </c>
      <c r="F160" s="10">
        <f>IF($C160="","",IFERROR(INDEX(lst_JobName,MATCH($C160,lst_Jobs,0)),""))</f>
        <v/>
      </c>
      <c r="G160" s="10">
        <f>IF($BI160="","",IF($B160="Onsite",INDEX(tbl_Onsite[Job Description],$BI160),IF($B160="Production",INDEX(tbl_Production[Job Description],$BI160),INDEX(tbl_Consulting[Job Description],$BI160)))&amp;"")</f>
        <v/>
      </c>
      <c r="H160" s="10">
        <f>IF($BI160="","",IF($B160="Onsite",INDEX(tbl_Onsite[Cost Centre],$BI160),IF($B160="Production",INDEX(tbl_Production[Cost Centre],$BI160),INDEX(tbl_Consulting[Cost Centre],$BI160)))&amp;"")</f>
        <v/>
      </c>
      <c r="I160" s="10">
        <f>IF($BI160="","",IF($B160="Onsite",INDEX(tbl_Onsite[Invoice Type],$BI160),IF($B160="Production",INDEX(tbl_Production[Invoice Type],$BI160),INDEX(tbl_Consulting[Invoice Type],$BI160)))&amp;"")</f>
        <v/>
      </c>
      <c r="J160" s="10">
        <f>IF($BI160="","",IF($B160="Onsite",INDEX(tbl_Onsite[Tax Code],$BI160),IF($B160="Production",INDEX(tbl_Production[Tax Code],$BI160),INDEX(tbl_Consulting[Tax Code],$BI160)))&amp;"")</f>
        <v/>
      </c>
      <c r="K160" s="10">
        <f>IF(H160="","",IFERROR(INDEX(lst_CCtoGL,MATCH(H160,lst_CCforGL,0)),""))</f>
        <v/>
      </c>
      <c r="L160" s="10">
        <f>IF($BI160="","",IF($B160="Onsite",INDEX(tbl_Onsite[PO / Reference],$BI160),IF($B160="Production",INDEX(tbl_Production[Current RMS No],$BI160),INDEX(tbl_Consulting[Qwilr Quote],$BI160)))&amp;"")</f>
        <v/>
      </c>
      <c r="M160" s="10">
        <f>IF($BI160="","",IF($B160="Onsite",INDEX(tbl_Onsite[Notes],$BI160),IF($B160="Production",INDEX(tbl_Production[Notes],$BI160),INDEX(tbl_Consulting[Notes],$BI160)))&amp;"")</f>
        <v/>
      </c>
      <c r="N160" s="11">
        <f>IF($BI160="","",IF(IF($B160="Onsite",INDEX(tbl_Onsite[Expected Revenue Ex GST],$BI160),IF($B160="Production",INDEX(tbl_Production[Expected Revenue Ex GST],$BI160),INDEX(tbl_Consulting[Expected Revenue Ex GST],$BI160)))="","",IF($B160="Onsite",INDEX(tbl_Onsite[Expected Revenue Ex GST],$BI160),IF($B160="Production",INDEX(tbl_Production[Expected Revenue Ex GST],$BI160),INDEX(tbl_Consulting[Expected Revenue Ex GST],$BI160)))))</f>
        <v/>
      </c>
      <c r="O160" s="11">
        <f>IF(AND($C160="",NOT(COUNTA($S160:$BB160)&gt;0)),"",SUM(U160,X160,AA160,AD160,AG160,AJ160,AM160,AP160,AS160,AV160,AY160,BB160))</f>
        <v/>
      </c>
      <c r="P160" s="11">
        <f>IF(O160="","",N(N160)-O160)</f>
        <v/>
      </c>
      <c r="Q160" s="10">
        <f>IF(O160="","",IF($C160="","Invoice on empty job row",IF(N160="",IF(ROUND(O160,2)=0,"No dept value","Invoiced - no dept value"),IF(ROUND(O160,2)=0,"Not invoiced - to invoice",IF(ROUND(P160,2)=0,"Agrees",IF(P160&gt;0,"Dept higher - to invoice","Xero higher - check dept"))))))</f>
        <v/>
      </c>
      <c r="R160" s="10">
        <f>IF(AND($C160="",NOT(COUNTA($S160:$BB160)&gt;0),$BI160&lt;&gt;""),"",MID(IF($BI160="","; Row ID not found on the department sheet - a row was deleted","")&amp;IF(AND($C160="",COUNTA($S160:$BB160)&gt;0),"; Invoice entered but the department row has no job number","")&amp;IF(E160="CHECK","; Job number not in the Xero job list","")&amp;IF(AND($C160&lt;&gt;"",COUNTIF($C$7:$C$1506,$C160)&gt;1),"; Job number on more than one row","")&amp;IF(AND($C160&lt;&gt;"",H160=""),"; Dept has not set a cost centre","")&amp;IF(AND($C160&lt;&gt;"",J160=""),"; Dept has not set a tax code","")&amp;IF(AND($C160&lt;&gt;"",N160=""),"; Dept has not entered an expected value","")&amp;IF((IF(OR(COUNTA(S160:U160)=0,AND(COUNTA(S160:U160)=3,ISNUMBER(U160))),0,1)+IF(OR(COUNTA(V160:X160)=0,AND(COUNTA(V160:X160)=3,ISNUMBER(X160))),0,1)+IF(OR(COUNTA(Y160:AA160)=0,AND(COUNTA(Y160:AA160)=3,ISNUMBER(AA160))),0,1)+IF(OR(COUNTA(AB160:AD160)=0,AND(COUNTA(AB160:AD160)=3,ISNUMBER(AD160))),0,1)+IF(OR(COUNTA(AE160:AG160)=0,AND(COUNTA(AE160:AG160)=3,ISNUMBER(AG160))),0,1)+IF(OR(COUNTA(AH160:AJ160)=0,AND(COUNTA(AH160:AJ160)=3,ISNUMBER(AJ160))),0,1)+IF(OR(COUNTA(AK160:AM160)=0,AND(COUNTA(AK160:AM160)=3,ISNUMBER(AM160))),0,1)+IF(OR(COUNTA(AN160:AP160)=0,AND(COUNTA(AN160:AP160)=3,ISNUMBER(AP160))),0,1)+IF(OR(COUNTA(AQ160:AS160)=0,AND(COUNTA(AQ160:AS160)=3,ISNUMBER(AS160))),0,1)+IF(OR(COUNTA(AT160:AV160)=0,AND(COUNTA(AT160:AV160)=3,ISNUMBER(AV160))),0,1)+IF(OR(COUNTA(AW160:AY160)=0,AND(COUNTA(AW160:AY160)=3,ISNUMBER(AY160))),0,1)+IF(OR(COUNTA(AZ160:BB160)=0,AND(COUNTA(AZ160:BB160)=3,ISNUMBER(BB160))),0,1))&gt;0,"; An invoice is incomplete (needs No, Date and a number in Ex GST)","")&amp;IF((IF(T160="",0,IFERROR(--(EOMONTH(T160,0)&lt;&gt;S$5),1))+IF(W160="",0,IFERROR(--(EOMONTH(W160,0)&lt;&gt;V$5),1))+IF(Z160="",0,IFERROR(--(EOMONTH(Z160,0)&lt;&gt;Y$5),1))+IF(AC160="",0,IFERROR(--(EOMONTH(AC160,0)&lt;&gt;AB$5),1))+IF(AF160="",0,IFERROR(--(EOMONTH(AF160,0)&lt;&gt;AE$5),1))+IF(AI160="",0,IFERROR(--(EOMONTH(AI160,0)&lt;&gt;AH$5),1))+IF(AL160="",0,IFERROR(--(EOMONTH(AL160,0)&lt;&gt;AK$5),1))+IF(AO160="",0,IFERROR(--(EOMONTH(AO160,0)&lt;&gt;AN$5),1))+IF(AR160="",0,IFERROR(--(EOMONTH(AR160,0)&lt;&gt;AQ$5),1))+IF(AU160="",0,IFERROR(--(EOMONTH(AU160,0)&lt;&gt;AT$5),1))+IF(AX160="",0,IFERROR(--(EOMONTH(AX160,0)&lt;&gt;AW$5),1))+IF(BA160="",0,IFERROR(--(EOMONTH(BA160,0)&lt;&gt;AZ$5),1)))&gt;0,"; An invoice date is not in the month it is typed under",""),3,500))</f>
        <v/>
      </c>
      <c r="S160" s="12" t="n"/>
      <c r="T160" s="13" t="n"/>
      <c r="U160" s="14" t="n"/>
      <c r="V160" s="12" t="n"/>
      <c r="W160" s="13" t="n"/>
      <c r="X160" s="14" t="n"/>
      <c r="Y160" s="12" t="n"/>
      <c r="Z160" s="13" t="n"/>
      <c r="AA160" s="14" t="n"/>
      <c r="AB160" s="12" t="n"/>
      <c r="AC160" s="13" t="n"/>
      <c r="AD160" s="14" t="n"/>
      <c r="AE160" s="12" t="n"/>
      <c r="AF160" s="13" t="n"/>
      <c r="AG160" s="14" t="n"/>
      <c r="AH160" s="12" t="n"/>
      <c r="AI160" s="13" t="n"/>
      <c r="AJ160" s="14" t="n"/>
      <c r="AK160" s="12" t="n"/>
      <c r="AL160" s="13" t="n"/>
      <c r="AM160" s="14" t="n"/>
      <c r="AN160" s="12" t="n"/>
      <c r="AO160" s="13" t="n"/>
      <c r="AP160" s="14" t="n"/>
      <c r="AQ160" s="12" t="n"/>
      <c r="AR160" s="13" t="n"/>
      <c r="AS160" s="14" t="n"/>
      <c r="AT160" s="12" t="n"/>
      <c r="AU160" s="13" t="n"/>
      <c r="AV160" s="14" t="n"/>
      <c r="AW160" s="12" t="n"/>
      <c r="AX160" s="13" t="n"/>
      <c r="AY160" s="14" t="n"/>
      <c r="AZ160" s="12" t="n"/>
      <c r="BA160" s="13" t="n"/>
      <c r="BB160" s="14" t="n"/>
      <c r="BC160" s="11">
        <f>IF(O160="","",IF(J160="GST 10%",ROUND(O160*set_GSTRate,2),0))</f>
        <v/>
      </c>
      <c r="BD160" s="11">
        <f>IF(O160="","",O160+BC160)</f>
        <v/>
      </c>
      <c r="BE160" s="15">
        <f>IF(O160="","",COUNTA(S160,V160,Y160,AB160,AE160,AH160,AK160,AN160,AQ160,AT160,AW160,AZ160))</f>
        <v/>
      </c>
      <c r="BF160" s="16">
        <f>IF(COUNT(T160,W160,Z160,AC160,AF160,AI160,AL160,AO160,AR160,AU160,AX160,BA160)=0,"",MAX(T160,W160,Z160,AC160,AF160,AI160,AL160,AO160,AR160,AU160,AX160,BA160))</f>
        <v/>
      </c>
      <c r="BG160" s="10">
        <f>MID(IF(S160="","",", "&amp;S160)&amp;IF(V160="","",", "&amp;V160)&amp;IF(Y160="","",", "&amp;Y160)&amp;IF(AB160="","",", "&amp;AB160)&amp;IF(AE160="","",", "&amp;AE160)&amp;IF(AH160="","",", "&amp;AH160)&amp;IF(AK160="","",", "&amp;AK160)&amp;IF(AN160="","",", "&amp;AN160)&amp;IF(AQ160="","",", "&amp;AQ160)&amp;IF(AT160="","",", "&amp;AT160)&amp;IF(AW160="","",", "&amp;AW160)&amp;IF(AZ160="","",", "&amp;AZ160),3,500)</f>
        <v/>
      </c>
      <c r="BH160" s="12" t="n"/>
      <c r="BI160" s="15">
        <f>IFERROR(MATCH($A160,IF($B160="Onsite",tbl_Onsite[Row ID],IF($B160="Production",tbl_Production[Row ID],tbl_Consulting[Row ID])),0),"")</f>
        <v/>
      </c>
    </row>
    <row r="161">
      <c r="A161" s="10" t="inlineStr">
        <is>
          <t>ONS-0155</t>
        </is>
      </c>
      <c r="B161" s="10" t="inlineStr">
        <is>
          <t>Onsite</t>
        </is>
      </c>
      <c r="C161" s="10">
        <f>IF($BI161="","",IF($B161="Onsite",INDEX(tbl_Onsite[Job Number],$BI161),IF($B161="Production",INDEX(tbl_Production[Job Number],$BI161),INDEX(tbl_Consulting[Job Number],$BI161)))&amp;"")</f>
        <v/>
      </c>
      <c r="D161" s="10">
        <f>IF($BI161="","",IF($B161="Onsite",INDEX(tbl_Onsite[Client],$BI161),IF($B161="Production",INDEX(tbl_Production[Client],$BI161),INDEX(tbl_Consulting[Client],$BI161)))&amp;"")</f>
        <v/>
      </c>
      <c r="E161" s="10">
        <f>IF($C161="","",IF(COUNTIF(lst_Jobs,$C161)&gt;0,"OK","CHECK"))</f>
        <v/>
      </c>
      <c r="F161" s="10">
        <f>IF($C161="","",IFERROR(INDEX(lst_JobName,MATCH($C161,lst_Jobs,0)),""))</f>
        <v/>
      </c>
      <c r="G161" s="10">
        <f>IF($BI161="","",IF($B161="Onsite",INDEX(tbl_Onsite[Job Description],$BI161),IF($B161="Production",INDEX(tbl_Production[Job Description],$BI161),INDEX(tbl_Consulting[Job Description],$BI161)))&amp;"")</f>
        <v/>
      </c>
      <c r="H161" s="10">
        <f>IF($BI161="","",IF($B161="Onsite",INDEX(tbl_Onsite[Cost Centre],$BI161),IF($B161="Production",INDEX(tbl_Production[Cost Centre],$BI161),INDEX(tbl_Consulting[Cost Centre],$BI161)))&amp;"")</f>
        <v/>
      </c>
      <c r="I161" s="10">
        <f>IF($BI161="","",IF($B161="Onsite",INDEX(tbl_Onsite[Invoice Type],$BI161),IF($B161="Production",INDEX(tbl_Production[Invoice Type],$BI161),INDEX(tbl_Consulting[Invoice Type],$BI161)))&amp;"")</f>
        <v/>
      </c>
      <c r="J161" s="10">
        <f>IF($BI161="","",IF($B161="Onsite",INDEX(tbl_Onsite[Tax Code],$BI161),IF($B161="Production",INDEX(tbl_Production[Tax Code],$BI161),INDEX(tbl_Consulting[Tax Code],$BI161)))&amp;"")</f>
        <v/>
      </c>
      <c r="K161" s="10">
        <f>IF(H161="","",IFERROR(INDEX(lst_CCtoGL,MATCH(H161,lst_CCforGL,0)),""))</f>
        <v/>
      </c>
      <c r="L161" s="10">
        <f>IF($BI161="","",IF($B161="Onsite",INDEX(tbl_Onsite[PO / Reference],$BI161),IF($B161="Production",INDEX(tbl_Production[Current RMS No],$BI161),INDEX(tbl_Consulting[Qwilr Quote],$BI161)))&amp;"")</f>
        <v/>
      </c>
      <c r="M161" s="10">
        <f>IF($BI161="","",IF($B161="Onsite",INDEX(tbl_Onsite[Notes],$BI161),IF($B161="Production",INDEX(tbl_Production[Notes],$BI161),INDEX(tbl_Consulting[Notes],$BI161)))&amp;"")</f>
        <v/>
      </c>
      <c r="N161" s="11">
        <f>IF($BI161="","",IF(IF($B161="Onsite",INDEX(tbl_Onsite[Expected Revenue Ex GST],$BI161),IF($B161="Production",INDEX(tbl_Production[Expected Revenue Ex GST],$BI161),INDEX(tbl_Consulting[Expected Revenue Ex GST],$BI161)))="","",IF($B161="Onsite",INDEX(tbl_Onsite[Expected Revenue Ex GST],$BI161),IF($B161="Production",INDEX(tbl_Production[Expected Revenue Ex GST],$BI161),INDEX(tbl_Consulting[Expected Revenue Ex GST],$BI161)))))</f>
        <v/>
      </c>
      <c r="O161" s="11">
        <f>IF(AND($C161="",NOT(COUNTA($S161:$BB161)&gt;0)),"",SUM(U161,X161,AA161,AD161,AG161,AJ161,AM161,AP161,AS161,AV161,AY161,BB161))</f>
        <v/>
      </c>
      <c r="P161" s="11">
        <f>IF(O161="","",N(N161)-O161)</f>
        <v/>
      </c>
      <c r="Q161" s="10">
        <f>IF(O161="","",IF($C161="","Invoice on empty job row",IF(N161="",IF(ROUND(O161,2)=0,"No dept value","Invoiced - no dept value"),IF(ROUND(O161,2)=0,"Not invoiced - to invoice",IF(ROUND(P161,2)=0,"Agrees",IF(P161&gt;0,"Dept higher - to invoice","Xero higher - check dept"))))))</f>
        <v/>
      </c>
      <c r="R161" s="10">
        <f>IF(AND($C161="",NOT(COUNTA($S161:$BB161)&gt;0),$BI161&lt;&gt;""),"",MID(IF($BI161="","; Row ID not found on the department sheet - a row was deleted","")&amp;IF(AND($C161="",COUNTA($S161:$BB161)&gt;0),"; Invoice entered but the department row has no job number","")&amp;IF(E161="CHECK","; Job number not in the Xero job list","")&amp;IF(AND($C161&lt;&gt;"",COUNTIF($C$7:$C$1506,$C161)&gt;1),"; Job number on more than one row","")&amp;IF(AND($C161&lt;&gt;"",H161=""),"; Dept has not set a cost centre","")&amp;IF(AND($C161&lt;&gt;"",J161=""),"; Dept has not set a tax code","")&amp;IF(AND($C161&lt;&gt;"",N161=""),"; Dept has not entered an expected value","")&amp;IF((IF(OR(COUNTA(S161:U161)=0,AND(COUNTA(S161:U161)=3,ISNUMBER(U161))),0,1)+IF(OR(COUNTA(V161:X161)=0,AND(COUNTA(V161:X161)=3,ISNUMBER(X161))),0,1)+IF(OR(COUNTA(Y161:AA161)=0,AND(COUNTA(Y161:AA161)=3,ISNUMBER(AA161))),0,1)+IF(OR(COUNTA(AB161:AD161)=0,AND(COUNTA(AB161:AD161)=3,ISNUMBER(AD161))),0,1)+IF(OR(COUNTA(AE161:AG161)=0,AND(COUNTA(AE161:AG161)=3,ISNUMBER(AG161))),0,1)+IF(OR(COUNTA(AH161:AJ161)=0,AND(COUNTA(AH161:AJ161)=3,ISNUMBER(AJ161))),0,1)+IF(OR(COUNTA(AK161:AM161)=0,AND(COUNTA(AK161:AM161)=3,ISNUMBER(AM161))),0,1)+IF(OR(COUNTA(AN161:AP161)=0,AND(COUNTA(AN161:AP161)=3,ISNUMBER(AP161))),0,1)+IF(OR(COUNTA(AQ161:AS161)=0,AND(COUNTA(AQ161:AS161)=3,ISNUMBER(AS161))),0,1)+IF(OR(COUNTA(AT161:AV161)=0,AND(COUNTA(AT161:AV161)=3,ISNUMBER(AV161))),0,1)+IF(OR(COUNTA(AW161:AY161)=0,AND(COUNTA(AW161:AY161)=3,ISNUMBER(AY161))),0,1)+IF(OR(COUNTA(AZ161:BB161)=0,AND(COUNTA(AZ161:BB161)=3,ISNUMBER(BB161))),0,1))&gt;0,"; An invoice is incomplete (needs No, Date and a number in Ex GST)","")&amp;IF((IF(T161="",0,IFERROR(--(EOMONTH(T161,0)&lt;&gt;S$5),1))+IF(W161="",0,IFERROR(--(EOMONTH(W161,0)&lt;&gt;V$5),1))+IF(Z161="",0,IFERROR(--(EOMONTH(Z161,0)&lt;&gt;Y$5),1))+IF(AC161="",0,IFERROR(--(EOMONTH(AC161,0)&lt;&gt;AB$5),1))+IF(AF161="",0,IFERROR(--(EOMONTH(AF161,0)&lt;&gt;AE$5),1))+IF(AI161="",0,IFERROR(--(EOMONTH(AI161,0)&lt;&gt;AH$5),1))+IF(AL161="",0,IFERROR(--(EOMONTH(AL161,0)&lt;&gt;AK$5),1))+IF(AO161="",0,IFERROR(--(EOMONTH(AO161,0)&lt;&gt;AN$5),1))+IF(AR161="",0,IFERROR(--(EOMONTH(AR161,0)&lt;&gt;AQ$5),1))+IF(AU161="",0,IFERROR(--(EOMONTH(AU161,0)&lt;&gt;AT$5),1))+IF(AX161="",0,IFERROR(--(EOMONTH(AX161,0)&lt;&gt;AW$5),1))+IF(BA161="",0,IFERROR(--(EOMONTH(BA161,0)&lt;&gt;AZ$5),1)))&gt;0,"; An invoice date is not in the month it is typed under",""),3,500))</f>
        <v/>
      </c>
      <c r="S161" s="12" t="n"/>
      <c r="T161" s="13" t="n"/>
      <c r="U161" s="14" t="n"/>
      <c r="V161" s="12" t="n"/>
      <c r="W161" s="13" t="n"/>
      <c r="X161" s="14" t="n"/>
      <c r="Y161" s="12" t="n"/>
      <c r="Z161" s="13" t="n"/>
      <c r="AA161" s="14" t="n"/>
      <c r="AB161" s="12" t="n"/>
      <c r="AC161" s="13" t="n"/>
      <c r="AD161" s="14" t="n"/>
      <c r="AE161" s="12" t="n"/>
      <c r="AF161" s="13" t="n"/>
      <c r="AG161" s="14" t="n"/>
      <c r="AH161" s="12" t="n"/>
      <c r="AI161" s="13" t="n"/>
      <c r="AJ161" s="14" t="n"/>
      <c r="AK161" s="12" t="n"/>
      <c r="AL161" s="13" t="n"/>
      <c r="AM161" s="14" t="n"/>
      <c r="AN161" s="12" t="n"/>
      <c r="AO161" s="13" t="n"/>
      <c r="AP161" s="14" t="n"/>
      <c r="AQ161" s="12" t="n"/>
      <c r="AR161" s="13" t="n"/>
      <c r="AS161" s="14" t="n"/>
      <c r="AT161" s="12" t="n"/>
      <c r="AU161" s="13" t="n"/>
      <c r="AV161" s="14" t="n"/>
      <c r="AW161" s="12" t="n"/>
      <c r="AX161" s="13" t="n"/>
      <c r="AY161" s="14" t="n"/>
      <c r="AZ161" s="12" t="n"/>
      <c r="BA161" s="13" t="n"/>
      <c r="BB161" s="14" t="n"/>
      <c r="BC161" s="11">
        <f>IF(O161="","",IF(J161="GST 10%",ROUND(O161*set_GSTRate,2),0))</f>
        <v/>
      </c>
      <c r="BD161" s="11">
        <f>IF(O161="","",O161+BC161)</f>
        <v/>
      </c>
      <c r="BE161" s="15">
        <f>IF(O161="","",COUNTA(S161,V161,Y161,AB161,AE161,AH161,AK161,AN161,AQ161,AT161,AW161,AZ161))</f>
        <v/>
      </c>
      <c r="BF161" s="16">
        <f>IF(COUNT(T161,W161,Z161,AC161,AF161,AI161,AL161,AO161,AR161,AU161,AX161,BA161)=0,"",MAX(T161,W161,Z161,AC161,AF161,AI161,AL161,AO161,AR161,AU161,AX161,BA161))</f>
        <v/>
      </c>
      <c r="BG161" s="10">
        <f>MID(IF(S161="","",", "&amp;S161)&amp;IF(V161="","",", "&amp;V161)&amp;IF(Y161="","",", "&amp;Y161)&amp;IF(AB161="","",", "&amp;AB161)&amp;IF(AE161="","",", "&amp;AE161)&amp;IF(AH161="","",", "&amp;AH161)&amp;IF(AK161="","",", "&amp;AK161)&amp;IF(AN161="","",", "&amp;AN161)&amp;IF(AQ161="","",", "&amp;AQ161)&amp;IF(AT161="","",", "&amp;AT161)&amp;IF(AW161="","",", "&amp;AW161)&amp;IF(AZ161="","",", "&amp;AZ161),3,500)</f>
        <v/>
      </c>
      <c r="BH161" s="12" t="n"/>
      <c r="BI161" s="15">
        <f>IFERROR(MATCH($A161,IF($B161="Onsite",tbl_Onsite[Row ID],IF($B161="Production",tbl_Production[Row ID],tbl_Consulting[Row ID])),0),"")</f>
        <v/>
      </c>
    </row>
    <row r="162">
      <c r="A162" s="10" t="inlineStr">
        <is>
          <t>ONS-0156</t>
        </is>
      </c>
      <c r="B162" s="10" t="inlineStr">
        <is>
          <t>Onsite</t>
        </is>
      </c>
      <c r="C162" s="10">
        <f>IF($BI162="","",IF($B162="Onsite",INDEX(tbl_Onsite[Job Number],$BI162),IF($B162="Production",INDEX(tbl_Production[Job Number],$BI162),INDEX(tbl_Consulting[Job Number],$BI162)))&amp;"")</f>
        <v/>
      </c>
      <c r="D162" s="10">
        <f>IF($BI162="","",IF($B162="Onsite",INDEX(tbl_Onsite[Client],$BI162),IF($B162="Production",INDEX(tbl_Production[Client],$BI162),INDEX(tbl_Consulting[Client],$BI162)))&amp;"")</f>
        <v/>
      </c>
      <c r="E162" s="10">
        <f>IF($C162="","",IF(COUNTIF(lst_Jobs,$C162)&gt;0,"OK","CHECK"))</f>
        <v/>
      </c>
      <c r="F162" s="10">
        <f>IF($C162="","",IFERROR(INDEX(lst_JobName,MATCH($C162,lst_Jobs,0)),""))</f>
        <v/>
      </c>
      <c r="G162" s="10">
        <f>IF($BI162="","",IF($B162="Onsite",INDEX(tbl_Onsite[Job Description],$BI162),IF($B162="Production",INDEX(tbl_Production[Job Description],$BI162),INDEX(tbl_Consulting[Job Description],$BI162)))&amp;"")</f>
        <v/>
      </c>
      <c r="H162" s="10">
        <f>IF($BI162="","",IF($B162="Onsite",INDEX(tbl_Onsite[Cost Centre],$BI162),IF($B162="Production",INDEX(tbl_Production[Cost Centre],$BI162),INDEX(tbl_Consulting[Cost Centre],$BI162)))&amp;"")</f>
        <v/>
      </c>
      <c r="I162" s="10">
        <f>IF($BI162="","",IF($B162="Onsite",INDEX(tbl_Onsite[Invoice Type],$BI162),IF($B162="Production",INDEX(tbl_Production[Invoice Type],$BI162),INDEX(tbl_Consulting[Invoice Type],$BI162)))&amp;"")</f>
        <v/>
      </c>
      <c r="J162" s="10">
        <f>IF($BI162="","",IF($B162="Onsite",INDEX(tbl_Onsite[Tax Code],$BI162),IF($B162="Production",INDEX(tbl_Production[Tax Code],$BI162),INDEX(tbl_Consulting[Tax Code],$BI162)))&amp;"")</f>
        <v/>
      </c>
      <c r="K162" s="10">
        <f>IF(H162="","",IFERROR(INDEX(lst_CCtoGL,MATCH(H162,lst_CCforGL,0)),""))</f>
        <v/>
      </c>
      <c r="L162" s="10">
        <f>IF($BI162="","",IF($B162="Onsite",INDEX(tbl_Onsite[PO / Reference],$BI162),IF($B162="Production",INDEX(tbl_Production[Current RMS No],$BI162),INDEX(tbl_Consulting[Qwilr Quote],$BI162)))&amp;"")</f>
        <v/>
      </c>
      <c r="M162" s="10">
        <f>IF($BI162="","",IF($B162="Onsite",INDEX(tbl_Onsite[Notes],$BI162),IF($B162="Production",INDEX(tbl_Production[Notes],$BI162),INDEX(tbl_Consulting[Notes],$BI162)))&amp;"")</f>
        <v/>
      </c>
      <c r="N162" s="11">
        <f>IF($BI162="","",IF(IF($B162="Onsite",INDEX(tbl_Onsite[Expected Revenue Ex GST],$BI162),IF($B162="Production",INDEX(tbl_Production[Expected Revenue Ex GST],$BI162),INDEX(tbl_Consulting[Expected Revenue Ex GST],$BI162)))="","",IF($B162="Onsite",INDEX(tbl_Onsite[Expected Revenue Ex GST],$BI162),IF($B162="Production",INDEX(tbl_Production[Expected Revenue Ex GST],$BI162),INDEX(tbl_Consulting[Expected Revenue Ex GST],$BI162)))))</f>
        <v/>
      </c>
      <c r="O162" s="11">
        <f>IF(AND($C162="",NOT(COUNTA($S162:$BB162)&gt;0)),"",SUM(U162,X162,AA162,AD162,AG162,AJ162,AM162,AP162,AS162,AV162,AY162,BB162))</f>
        <v/>
      </c>
      <c r="P162" s="11">
        <f>IF(O162="","",N(N162)-O162)</f>
        <v/>
      </c>
      <c r="Q162" s="10">
        <f>IF(O162="","",IF($C162="","Invoice on empty job row",IF(N162="",IF(ROUND(O162,2)=0,"No dept value","Invoiced - no dept value"),IF(ROUND(O162,2)=0,"Not invoiced - to invoice",IF(ROUND(P162,2)=0,"Agrees",IF(P162&gt;0,"Dept higher - to invoice","Xero higher - check dept"))))))</f>
        <v/>
      </c>
      <c r="R162" s="10">
        <f>IF(AND($C162="",NOT(COUNTA($S162:$BB162)&gt;0),$BI162&lt;&gt;""),"",MID(IF($BI162="","; Row ID not found on the department sheet - a row was deleted","")&amp;IF(AND($C162="",COUNTA($S162:$BB162)&gt;0),"; Invoice entered but the department row has no job number","")&amp;IF(E162="CHECK","; Job number not in the Xero job list","")&amp;IF(AND($C162&lt;&gt;"",COUNTIF($C$7:$C$1506,$C162)&gt;1),"; Job number on more than one row","")&amp;IF(AND($C162&lt;&gt;"",H162=""),"; Dept has not set a cost centre","")&amp;IF(AND($C162&lt;&gt;"",J162=""),"; Dept has not set a tax code","")&amp;IF(AND($C162&lt;&gt;"",N162=""),"; Dept has not entered an expected value","")&amp;IF((IF(OR(COUNTA(S162:U162)=0,AND(COUNTA(S162:U162)=3,ISNUMBER(U162))),0,1)+IF(OR(COUNTA(V162:X162)=0,AND(COUNTA(V162:X162)=3,ISNUMBER(X162))),0,1)+IF(OR(COUNTA(Y162:AA162)=0,AND(COUNTA(Y162:AA162)=3,ISNUMBER(AA162))),0,1)+IF(OR(COUNTA(AB162:AD162)=0,AND(COUNTA(AB162:AD162)=3,ISNUMBER(AD162))),0,1)+IF(OR(COUNTA(AE162:AG162)=0,AND(COUNTA(AE162:AG162)=3,ISNUMBER(AG162))),0,1)+IF(OR(COUNTA(AH162:AJ162)=0,AND(COUNTA(AH162:AJ162)=3,ISNUMBER(AJ162))),0,1)+IF(OR(COUNTA(AK162:AM162)=0,AND(COUNTA(AK162:AM162)=3,ISNUMBER(AM162))),0,1)+IF(OR(COUNTA(AN162:AP162)=0,AND(COUNTA(AN162:AP162)=3,ISNUMBER(AP162))),0,1)+IF(OR(COUNTA(AQ162:AS162)=0,AND(COUNTA(AQ162:AS162)=3,ISNUMBER(AS162))),0,1)+IF(OR(COUNTA(AT162:AV162)=0,AND(COUNTA(AT162:AV162)=3,ISNUMBER(AV162))),0,1)+IF(OR(COUNTA(AW162:AY162)=0,AND(COUNTA(AW162:AY162)=3,ISNUMBER(AY162))),0,1)+IF(OR(COUNTA(AZ162:BB162)=0,AND(COUNTA(AZ162:BB162)=3,ISNUMBER(BB162))),0,1))&gt;0,"; An invoice is incomplete (needs No, Date and a number in Ex GST)","")&amp;IF((IF(T162="",0,IFERROR(--(EOMONTH(T162,0)&lt;&gt;S$5),1))+IF(W162="",0,IFERROR(--(EOMONTH(W162,0)&lt;&gt;V$5),1))+IF(Z162="",0,IFERROR(--(EOMONTH(Z162,0)&lt;&gt;Y$5),1))+IF(AC162="",0,IFERROR(--(EOMONTH(AC162,0)&lt;&gt;AB$5),1))+IF(AF162="",0,IFERROR(--(EOMONTH(AF162,0)&lt;&gt;AE$5),1))+IF(AI162="",0,IFERROR(--(EOMONTH(AI162,0)&lt;&gt;AH$5),1))+IF(AL162="",0,IFERROR(--(EOMONTH(AL162,0)&lt;&gt;AK$5),1))+IF(AO162="",0,IFERROR(--(EOMONTH(AO162,0)&lt;&gt;AN$5),1))+IF(AR162="",0,IFERROR(--(EOMONTH(AR162,0)&lt;&gt;AQ$5),1))+IF(AU162="",0,IFERROR(--(EOMONTH(AU162,0)&lt;&gt;AT$5),1))+IF(AX162="",0,IFERROR(--(EOMONTH(AX162,0)&lt;&gt;AW$5),1))+IF(BA162="",0,IFERROR(--(EOMONTH(BA162,0)&lt;&gt;AZ$5),1)))&gt;0,"; An invoice date is not in the month it is typed under",""),3,500))</f>
        <v/>
      </c>
      <c r="S162" s="12" t="n"/>
      <c r="T162" s="13" t="n"/>
      <c r="U162" s="14" t="n"/>
      <c r="V162" s="12" t="n"/>
      <c r="W162" s="13" t="n"/>
      <c r="X162" s="14" t="n"/>
      <c r="Y162" s="12" t="n"/>
      <c r="Z162" s="13" t="n"/>
      <c r="AA162" s="14" t="n"/>
      <c r="AB162" s="12" t="n"/>
      <c r="AC162" s="13" t="n"/>
      <c r="AD162" s="14" t="n"/>
      <c r="AE162" s="12" t="n"/>
      <c r="AF162" s="13" t="n"/>
      <c r="AG162" s="14" t="n"/>
      <c r="AH162" s="12" t="n"/>
      <c r="AI162" s="13" t="n"/>
      <c r="AJ162" s="14" t="n"/>
      <c r="AK162" s="12" t="n"/>
      <c r="AL162" s="13" t="n"/>
      <c r="AM162" s="14" t="n"/>
      <c r="AN162" s="12" t="n"/>
      <c r="AO162" s="13" t="n"/>
      <c r="AP162" s="14" t="n"/>
      <c r="AQ162" s="12" t="n"/>
      <c r="AR162" s="13" t="n"/>
      <c r="AS162" s="14" t="n"/>
      <c r="AT162" s="12" t="n"/>
      <c r="AU162" s="13" t="n"/>
      <c r="AV162" s="14" t="n"/>
      <c r="AW162" s="12" t="n"/>
      <c r="AX162" s="13" t="n"/>
      <c r="AY162" s="14" t="n"/>
      <c r="AZ162" s="12" t="n"/>
      <c r="BA162" s="13" t="n"/>
      <c r="BB162" s="14" t="n"/>
      <c r="BC162" s="11">
        <f>IF(O162="","",IF(J162="GST 10%",ROUND(O162*set_GSTRate,2),0))</f>
        <v/>
      </c>
      <c r="BD162" s="11">
        <f>IF(O162="","",O162+BC162)</f>
        <v/>
      </c>
      <c r="BE162" s="15">
        <f>IF(O162="","",COUNTA(S162,V162,Y162,AB162,AE162,AH162,AK162,AN162,AQ162,AT162,AW162,AZ162))</f>
        <v/>
      </c>
      <c r="BF162" s="16">
        <f>IF(COUNT(T162,W162,Z162,AC162,AF162,AI162,AL162,AO162,AR162,AU162,AX162,BA162)=0,"",MAX(T162,W162,Z162,AC162,AF162,AI162,AL162,AO162,AR162,AU162,AX162,BA162))</f>
        <v/>
      </c>
      <c r="BG162" s="10">
        <f>MID(IF(S162="","",", "&amp;S162)&amp;IF(V162="","",", "&amp;V162)&amp;IF(Y162="","",", "&amp;Y162)&amp;IF(AB162="","",", "&amp;AB162)&amp;IF(AE162="","",", "&amp;AE162)&amp;IF(AH162="","",", "&amp;AH162)&amp;IF(AK162="","",", "&amp;AK162)&amp;IF(AN162="","",", "&amp;AN162)&amp;IF(AQ162="","",", "&amp;AQ162)&amp;IF(AT162="","",", "&amp;AT162)&amp;IF(AW162="","",", "&amp;AW162)&amp;IF(AZ162="","",", "&amp;AZ162),3,500)</f>
        <v/>
      </c>
      <c r="BH162" s="12" t="n"/>
      <c r="BI162" s="15">
        <f>IFERROR(MATCH($A162,IF($B162="Onsite",tbl_Onsite[Row ID],IF($B162="Production",tbl_Production[Row ID],tbl_Consulting[Row ID])),0),"")</f>
        <v/>
      </c>
    </row>
    <row r="163">
      <c r="A163" s="10" t="inlineStr">
        <is>
          <t>ONS-0157</t>
        </is>
      </c>
      <c r="B163" s="10" t="inlineStr">
        <is>
          <t>Onsite</t>
        </is>
      </c>
      <c r="C163" s="10">
        <f>IF($BI163="","",IF($B163="Onsite",INDEX(tbl_Onsite[Job Number],$BI163),IF($B163="Production",INDEX(tbl_Production[Job Number],$BI163),INDEX(tbl_Consulting[Job Number],$BI163)))&amp;"")</f>
        <v/>
      </c>
      <c r="D163" s="10">
        <f>IF($BI163="","",IF($B163="Onsite",INDEX(tbl_Onsite[Client],$BI163),IF($B163="Production",INDEX(tbl_Production[Client],$BI163),INDEX(tbl_Consulting[Client],$BI163)))&amp;"")</f>
        <v/>
      </c>
      <c r="E163" s="10">
        <f>IF($C163="","",IF(COUNTIF(lst_Jobs,$C163)&gt;0,"OK","CHECK"))</f>
        <v/>
      </c>
      <c r="F163" s="10">
        <f>IF($C163="","",IFERROR(INDEX(lst_JobName,MATCH($C163,lst_Jobs,0)),""))</f>
        <v/>
      </c>
      <c r="G163" s="10">
        <f>IF($BI163="","",IF($B163="Onsite",INDEX(tbl_Onsite[Job Description],$BI163),IF($B163="Production",INDEX(tbl_Production[Job Description],$BI163),INDEX(tbl_Consulting[Job Description],$BI163)))&amp;"")</f>
        <v/>
      </c>
      <c r="H163" s="10">
        <f>IF($BI163="","",IF($B163="Onsite",INDEX(tbl_Onsite[Cost Centre],$BI163),IF($B163="Production",INDEX(tbl_Production[Cost Centre],$BI163),INDEX(tbl_Consulting[Cost Centre],$BI163)))&amp;"")</f>
        <v/>
      </c>
      <c r="I163" s="10">
        <f>IF($BI163="","",IF($B163="Onsite",INDEX(tbl_Onsite[Invoice Type],$BI163),IF($B163="Production",INDEX(tbl_Production[Invoice Type],$BI163),INDEX(tbl_Consulting[Invoice Type],$BI163)))&amp;"")</f>
        <v/>
      </c>
      <c r="J163" s="10">
        <f>IF($BI163="","",IF($B163="Onsite",INDEX(tbl_Onsite[Tax Code],$BI163),IF($B163="Production",INDEX(tbl_Production[Tax Code],$BI163),INDEX(tbl_Consulting[Tax Code],$BI163)))&amp;"")</f>
        <v/>
      </c>
      <c r="K163" s="10">
        <f>IF(H163="","",IFERROR(INDEX(lst_CCtoGL,MATCH(H163,lst_CCforGL,0)),""))</f>
        <v/>
      </c>
      <c r="L163" s="10">
        <f>IF($BI163="","",IF($B163="Onsite",INDEX(tbl_Onsite[PO / Reference],$BI163),IF($B163="Production",INDEX(tbl_Production[Current RMS No],$BI163),INDEX(tbl_Consulting[Qwilr Quote],$BI163)))&amp;"")</f>
        <v/>
      </c>
      <c r="M163" s="10">
        <f>IF($BI163="","",IF($B163="Onsite",INDEX(tbl_Onsite[Notes],$BI163),IF($B163="Production",INDEX(tbl_Production[Notes],$BI163),INDEX(tbl_Consulting[Notes],$BI163)))&amp;"")</f>
        <v/>
      </c>
      <c r="N163" s="11">
        <f>IF($BI163="","",IF(IF($B163="Onsite",INDEX(tbl_Onsite[Expected Revenue Ex GST],$BI163),IF($B163="Production",INDEX(tbl_Production[Expected Revenue Ex GST],$BI163),INDEX(tbl_Consulting[Expected Revenue Ex GST],$BI163)))="","",IF($B163="Onsite",INDEX(tbl_Onsite[Expected Revenue Ex GST],$BI163),IF($B163="Production",INDEX(tbl_Production[Expected Revenue Ex GST],$BI163),INDEX(tbl_Consulting[Expected Revenue Ex GST],$BI163)))))</f>
        <v/>
      </c>
      <c r="O163" s="11">
        <f>IF(AND($C163="",NOT(COUNTA($S163:$BB163)&gt;0)),"",SUM(U163,X163,AA163,AD163,AG163,AJ163,AM163,AP163,AS163,AV163,AY163,BB163))</f>
        <v/>
      </c>
      <c r="P163" s="11">
        <f>IF(O163="","",N(N163)-O163)</f>
        <v/>
      </c>
      <c r="Q163" s="10">
        <f>IF(O163="","",IF($C163="","Invoice on empty job row",IF(N163="",IF(ROUND(O163,2)=0,"No dept value","Invoiced - no dept value"),IF(ROUND(O163,2)=0,"Not invoiced - to invoice",IF(ROUND(P163,2)=0,"Agrees",IF(P163&gt;0,"Dept higher - to invoice","Xero higher - check dept"))))))</f>
        <v/>
      </c>
      <c r="R163" s="10">
        <f>IF(AND($C163="",NOT(COUNTA($S163:$BB163)&gt;0),$BI163&lt;&gt;""),"",MID(IF($BI163="","; Row ID not found on the department sheet - a row was deleted","")&amp;IF(AND($C163="",COUNTA($S163:$BB163)&gt;0),"; Invoice entered but the department row has no job number","")&amp;IF(E163="CHECK","; Job number not in the Xero job list","")&amp;IF(AND($C163&lt;&gt;"",COUNTIF($C$7:$C$1506,$C163)&gt;1),"; Job number on more than one row","")&amp;IF(AND($C163&lt;&gt;"",H163=""),"; Dept has not set a cost centre","")&amp;IF(AND($C163&lt;&gt;"",J163=""),"; Dept has not set a tax code","")&amp;IF(AND($C163&lt;&gt;"",N163=""),"; Dept has not entered an expected value","")&amp;IF((IF(OR(COUNTA(S163:U163)=0,AND(COUNTA(S163:U163)=3,ISNUMBER(U163))),0,1)+IF(OR(COUNTA(V163:X163)=0,AND(COUNTA(V163:X163)=3,ISNUMBER(X163))),0,1)+IF(OR(COUNTA(Y163:AA163)=0,AND(COUNTA(Y163:AA163)=3,ISNUMBER(AA163))),0,1)+IF(OR(COUNTA(AB163:AD163)=0,AND(COUNTA(AB163:AD163)=3,ISNUMBER(AD163))),0,1)+IF(OR(COUNTA(AE163:AG163)=0,AND(COUNTA(AE163:AG163)=3,ISNUMBER(AG163))),0,1)+IF(OR(COUNTA(AH163:AJ163)=0,AND(COUNTA(AH163:AJ163)=3,ISNUMBER(AJ163))),0,1)+IF(OR(COUNTA(AK163:AM163)=0,AND(COUNTA(AK163:AM163)=3,ISNUMBER(AM163))),0,1)+IF(OR(COUNTA(AN163:AP163)=0,AND(COUNTA(AN163:AP163)=3,ISNUMBER(AP163))),0,1)+IF(OR(COUNTA(AQ163:AS163)=0,AND(COUNTA(AQ163:AS163)=3,ISNUMBER(AS163))),0,1)+IF(OR(COUNTA(AT163:AV163)=0,AND(COUNTA(AT163:AV163)=3,ISNUMBER(AV163))),0,1)+IF(OR(COUNTA(AW163:AY163)=0,AND(COUNTA(AW163:AY163)=3,ISNUMBER(AY163))),0,1)+IF(OR(COUNTA(AZ163:BB163)=0,AND(COUNTA(AZ163:BB163)=3,ISNUMBER(BB163))),0,1))&gt;0,"; An invoice is incomplete (needs No, Date and a number in Ex GST)","")&amp;IF((IF(T163="",0,IFERROR(--(EOMONTH(T163,0)&lt;&gt;S$5),1))+IF(W163="",0,IFERROR(--(EOMONTH(W163,0)&lt;&gt;V$5),1))+IF(Z163="",0,IFERROR(--(EOMONTH(Z163,0)&lt;&gt;Y$5),1))+IF(AC163="",0,IFERROR(--(EOMONTH(AC163,0)&lt;&gt;AB$5),1))+IF(AF163="",0,IFERROR(--(EOMONTH(AF163,0)&lt;&gt;AE$5),1))+IF(AI163="",0,IFERROR(--(EOMONTH(AI163,0)&lt;&gt;AH$5),1))+IF(AL163="",0,IFERROR(--(EOMONTH(AL163,0)&lt;&gt;AK$5),1))+IF(AO163="",0,IFERROR(--(EOMONTH(AO163,0)&lt;&gt;AN$5),1))+IF(AR163="",0,IFERROR(--(EOMONTH(AR163,0)&lt;&gt;AQ$5),1))+IF(AU163="",0,IFERROR(--(EOMONTH(AU163,0)&lt;&gt;AT$5),1))+IF(AX163="",0,IFERROR(--(EOMONTH(AX163,0)&lt;&gt;AW$5),1))+IF(BA163="",0,IFERROR(--(EOMONTH(BA163,0)&lt;&gt;AZ$5),1)))&gt;0,"; An invoice date is not in the month it is typed under",""),3,500))</f>
        <v/>
      </c>
      <c r="S163" s="12" t="n"/>
      <c r="T163" s="13" t="n"/>
      <c r="U163" s="14" t="n"/>
      <c r="V163" s="12" t="n"/>
      <c r="W163" s="13" t="n"/>
      <c r="X163" s="14" t="n"/>
      <c r="Y163" s="12" t="n"/>
      <c r="Z163" s="13" t="n"/>
      <c r="AA163" s="14" t="n"/>
      <c r="AB163" s="12" t="n"/>
      <c r="AC163" s="13" t="n"/>
      <c r="AD163" s="14" t="n"/>
      <c r="AE163" s="12" t="n"/>
      <c r="AF163" s="13" t="n"/>
      <c r="AG163" s="14" t="n"/>
      <c r="AH163" s="12" t="n"/>
      <c r="AI163" s="13" t="n"/>
      <c r="AJ163" s="14" t="n"/>
      <c r="AK163" s="12" t="n"/>
      <c r="AL163" s="13" t="n"/>
      <c r="AM163" s="14" t="n"/>
      <c r="AN163" s="12" t="n"/>
      <c r="AO163" s="13" t="n"/>
      <c r="AP163" s="14" t="n"/>
      <c r="AQ163" s="12" t="n"/>
      <c r="AR163" s="13" t="n"/>
      <c r="AS163" s="14" t="n"/>
      <c r="AT163" s="12" t="n"/>
      <c r="AU163" s="13" t="n"/>
      <c r="AV163" s="14" t="n"/>
      <c r="AW163" s="12" t="n"/>
      <c r="AX163" s="13" t="n"/>
      <c r="AY163" s="14" t="n"/>
      <c r="AZ163" s="12" t="n"/>
      <c r="BA163" s="13" t="n"/>
      <c r="BB163" s="14" t="n"/>
      <c r="BC163" s="11">
        <f>IF(O163="","",IF(J163="GST 10%",ROUND(O163*set_GSTRate,2),0))</f>
        <v/>
      </c>
      <c r="BD163" s="11">
        <f>IF(O163="","",O163+BC163)</f>
        <v/>
      </c>
      <c r="BE163" s="15">
        <f>IF(O163="","",COUNTA(S163,V163,Y163,AB163,AE163,AH163,AK163,AN163,AQ163,AT163,AW163,AZ163))</f>
        <v/>
      </c>
      <c r="BF163" s="16">
        <f>IF(COUNT(T163,W163,Z163,AC163,AF163,AI163,AL163,AO163,AR163,AU163,AX163,BA163)=0,"",MAX(T163,W163,Z163,AC163,AF163,AI163,AL163,AO163,AR163,AU163,AX163,BA163))</f>
        <v/>
      </c>
      <c r="BG163" s="10">
        <f>MID(IF(S163="","",", "&amp;S163)&amp;IF(V163="","",", "&amp;V163)&amp;IF(Y163="","",", "&amp;Y163)&amp;IF(AB163="","",", "&amp;AB163)&amp;IF(AE163="","",", "&amp;AE163)&amp;IF(AH163="","",", "&amp;AH163)&amp;IF(AK163="","",", "&amp;AK163)&amp;IF(AN163="","",", "&amp;AN163)&amp;IF(AQ163="","",", "&amp;AQ163)&amp;IF(AT163="","",", "&amp;AT163)&amp;IF(AW163="","",", "&amp;AW163)&amp;IF(AZ163="","",", "&amp;AZ163),3,500)</f>
        <v/>
      </c>
      <c r="BH163" s="12" t="n"/>
      <c r="BI163" s="15">
        <f>IFERROR(MATCH($A163,IF($B163="Onsite",tbl_Onsite[Row ID],IF($B163="Production",tbl_Production[Row ID],tbl_Consulting[Row ID])),0),"")</f>
        <v/>
      </c>
    </row>
    <row r="164">
      <c r="A164" s="10" t="inlineStr">
        <is>
          <t>ONS-0158</t>
        </is>
      </c>
      <c r="B164" s="10" t="inlineStr">
        <is>
          <t>Onsite</t>
        </is>
      </c>
      <c r="C164" s="10">
        <f>IF($BI164="","",IF($B164="Onsite",INDEX(tbl_Onsite[Job Number],$BI164),IF($B164="Production",INDEX(tbl_Production[Job Number],$BI164),INDEX(tbl_Consulting[Job Number],$BI164)))&amp;"")</f>
        <v/>
      </c>
      <c r="D164" s="10">
        <f>IF($BI164="","",IF($B164="Onsite",INDEX(tbl_Onsite[Client],$BI164),IF($B164="Production",INDEX(tbl_Production[Client],$BI164),INDEX(tbl_Consulting[Client],$BI164)))&amp;"")</f>
        <v/>
      </c>
      <c r="E164" s="10">
        <f>IF($C164="","",IF(COUNTIF(lst_Jobs,$C164)&gt;0,"OK","CHECK"))</f>
        <v/>
      </c>
      <c r="F164" s="10">
        <f>IF($C164="","",IFERROR(INDEX(lst_JobName,MATCH($C164,lst_Jobs,0)),""))</f>
        <v/>
      </c>
      <c r="G164" s="10">
        <f>IF($BI164="","",IF($B164="Onsite",INDEX(tbl_Onsite[Job Description],$BI164),IF($B164="Production",INDEX(tbl_Production[Job Description],$BI164),INDEX(tbl_Consulting[Job Description],$BI164)))&amp;"")</f>
        <v/>
      </c>
      <c r="H164" s="10">
        <f>IF($BI164="","",IF($B164="Onsite",INDEX(tbl_Onsite[Cost Centre],$BI164),IF($B164="Production",INDEX(tbl_Production[Cost Centre],$BI164),INDEX(tbl_Consulting[Cost Centre],$BI164)))&amp;"")</f>
        <v/>
      </c>
      <c r="I164" s="10">
        <f>IF($BI164="","",IF($B164="Onsite",INDEX(tbl_Onsite[Invoice Type],$BI164),IF($B164="Production",INDEX(tbl_Production[Invoice Type],$BI164),INDEX(tbl_Consulting[Invoice Type],$BI164)))&amp;"")</f>
        <v/>
      </c>
      <c r="J164" s="10">
        <f>IF($BI164="","",IF($B164="Onsite",INDEX(tbl_Onsite[Tax Code],$BI164),IF($B164="Production",INDEX(tbl_Production[Tax Code],$BI164),INDEX(tbl_Consulting[Tax Code],$BI164)))&amp;"")</f>
        <v/>
      </c>
      <c r="K164" s="10">
        <f>IF(H164="","",IFERROR(INDEX(lst_CCtoGL,MATCH(H164,lst_CCforGL,0)),""))</f>
        <v/>
      </c>
      <c r="L164" s="10">
        <f>IF($BI164="","",IF($B164="Onsite",INDEX(tbl_Onsite[PO / Reference],$BI164),IF($B164="Production",INDEX(tbl_Production[Current RMS No],$BI164),INDEX(tbl_Consulting[Qwilr Quote],$BI164)))&amp;"")</f>
        <v/>
      </c>
      <c r="M164" s="10">
        <f>IF($BI164="","",IF($B164="Onsite",INDEX(tbl_Onsite[Notes],$BI164),IF($B164="Production",INDEX(tbl_Production[Notes],$BI164),INDEX(tbl_Consulting[Notes],$BI164)))&amp;"")</f>
        <v/>
      </c>
      <c r="N164" s="11">
        <f>IF($BI164="","",IF(IF($B164="Onsite",INDEX(tbl_Onsite[Expected Revenue Ex GST],$BI164),IF($B164="Production",INDEX(tbl_Production[Expected Revenue Ex GST],$BI164),INDEX(tbl_Consulting[Expected Revenue Ex GST],$BI164)))="","",IF($B164="Onsite",INDEX(tbl_Onsite[Expected Revenue Ex GST],$BI164),IF($B164="Production",INDEX(tbl_Production[Expected Revenue Ex GST],$BI164),INDEX(tbl_Consulting[Expected Revenue Ex GST],$BI164)))))</f>
        <v/>
      </c>
      <c r="O164" s="11">
        <f>IF(AND($C164="",NOT(COUNTA($S164:$BB164)&gt;0)),"",SUM(U164,X164,AA164,AD164,AG164,AJ164,AM164,AP164,AS164,AV164,AY164,BB164))</f>
        <v/>
      </c>
      <c r="P164" s="11">
        <f>IF(O164="","",N(N164)-O164)</f>
        <v/>
      </c>
      <c r="Q164" s="10">
        <f>IF(O164="","",IF($C164="","Invoice on empty job row",IF(N164="",IF(ROUND(O164,2)=0,"No dept value","Invoiced - no dept value"),IF(ROUND(O164,2)=0,"Not invoiced - to invoice",IF(ROUND(P164,2)=0,"Agrees",IF(P164&gt;0,"Dept higher - to invoice","Xero higher - check dept"))))))</f>
        <v/>
      </c>
      <c r="R164" s="10">
        <f>IF(AND($C164="",NOT(COUNTA($S164:$BB164)&gt;0),$BI164&lt;&gt;""),"",MID(IF($BI164="","; Row ID not found on the department sheet - a row was deleted","")&amp;IF(AND($C164="",COUNTA($S164:$BB164)&gt;0),"; Invoice entered but the department row has no job number","")&amp;IF(E164="CHECK","; Job number not in the Xero job list","")&amp;IF(AND($C164&lt;&gt;"",COUNTIF($C$7:$C$1506,$C164)&gt;1),"; Job number on more than one row","")&amp;IF(AND($C164&lt;&gt;"",H164=""),"; Dept has not set a cost centre","")&amp;IF(AND($C164&lt;&gt;"",J164=""),"; Dept has not set a tax code","")&amp;IF(AND($C164&lt;&gt;"",N164=""),"; Dept has not entered an expected value","")&amp;IF((IF(OR(COUNTA(S164:U164)=0,AND(COUNTA(S164:U164)=3,ISNUMBER(U164))),0,1)+IF(OR(COUNTA(V164:X164)=0,AND(COUNTA(V164:X164)=3,ISNUMBER(X164))),0,1)+IF(OR(COUNTA(Y164:AA164)=0,AND(COUNTA(Y164:AA164)=3,ISNUMBER(AA164))),0,1)+IF(OR(COUNTA(AB164:AD164)=0,AND(COUNTA(AB164:AD164)=3,ISNUMBER(AD164))),0,1)+IF(OR(COUNTA(AE164:AG164)=0,AND(COUNTA(AE164:AG164)=3,ISNUMBER(AG164))),0,1)+IF(OR(COUNTA(AH164:AJ164)=0,AND(COUNTA(AH164:AJ164)=3,ISNUMBER(AJ164))),0,1)+IF(OR(COUNTA(AK164:AM164)=0,AND(COUNTA(AK164:AM164)=3,ISNUMBER(AM164))),0,1)+IF(OR(COUNTA(AN164:AP164)=0,AND(COUNTA(AN164:AP164)=3,ISNUMBER(AP164))),0,1)+IF(OR(COUNTA(AQ164:AS164)=0,AND(COUNTA(AQ164:AS164)=3,ISNUMBER(AS164))),0,1)+IF(OR(COUNTA(AT164:AV164)=0,AND(COUNTA(AT164:AV164)=3,ISNUMBER(AV164))),0,1)+IF(OR(COUNTA(AW164:AY164)=0,AND(COUNTA(AW164:AY164)=3,ISNUMBER(AY164))),0,1)+IF(OR(COUNTA(AZ164:BB164)=0,AND(COUNTA(AZ164:BB164)=3,ISNUMBER(BB164))),0,1))&gt;0,"; An invoice is incomplete (needs No, Date and a number in Ex GST)","")&amp;IF((IF(T164="",0,IFERROR(--(EOMONTH(T164,0)&lt;&gt;S$5),1))+IF(W164="",0,IFERROR(--(EOMONTH(W164,0)&lt;&gt;V$5),1))+IF(Z164="",0,IFERROR(--(EOMONTH(Z164,0)&lt;&gt;Y$5),1))+IF(AC164="",0,IFERROR(--(EOMONTH(AC164,0)&lt;&gt;AB$5),1))+IF(AF164="",0,IFERROR(--(EOMONTH(AF164,0)&lt;&gt;AE$5),1))+IF(AI164="",0,IFERROR(--(EOMONTH(AI164,0)&lt;&gt;AH$5),1))+IF(AL164="",0,IFERROR(--(EOMONTH(AL164,0)&lt;&gt;AK$5),1))+IF(AO164="",0,IFERROR(--(EOMONTH(AO164,0)&lt;&gt;AN$5),1))+IF(AR164="",0,IFERROR(--(EOMONTH(AR164,0)&lt;&gt;AQ$5),1))+IF(AU164="",0,IFERROR(--(EOMONTH(AU164,0)&lt;&gt;AT$5),1))+IF(AX164="",0,IFERROR(--(EOMONTH(AX164,0)&lt;&gt;AW$5),1))+IF(BA164="",0,IFERROR(--(EOMONTH(BA164,0)&lt;&gt;AZ$5),1)))&gt;0,"; An invoice date is not in the month it is typed under",""),3,500))</f>
        <v/>
      </c>
      <c r="S164" s="12" t="n"/>
      <c r="T164" s="13" t="n"/>
      <c r="U164" s="14" t="n"/>
      <c r="V164" s="12" t="n"/>
      <c r="W164" s="13" t="n"/>
      <c r="X164" s="14" t="n"/>
      <c r="Y164" s="12" t="n"/>
      <c r="Z164" s="13" t="n"/>
      <c r="AA164" s="14" t="n"/>
      <c r="AB164" s="12" t="n"/>
      <c r="AC164" s="13" t="n"/>
      <c r="AD164" s="14" t="n"/>
      <c r="AE164" s="12" t="n"/>
      <c r="AF164" s="13" t="n"/>
      <c r="AG164" s="14" t="n"/>
      <c r="AH164" s="12" t="n"/>
      <c r="AI164" s="13" t="n"/>
      <c r="AJ164" s="14" t="n"/>
      <c r="AK164" s="12" t="n"/>
      <c r="AL164" s="13" t="n"/>
      <c r="AM164" s="14" t="n"/>
      <c r="AN164" s="12" t="n"/>
      <c r="AO164" s="13" t="n"/>
      <c r="AP164" s="14" t="n"/>
      <c r="AQ164" s="12" t="n"/>
      <c r="AR164" s="13" t="n"/>
      <c r="AS164" s="14" t="n"/>
      <c r="AT164" s="12" t="n"/>
      <c r="AU164" s="13" t="n"/>
      <c r="AV164" s="14" t="n"/>
      <c r="AW164" s="12" t="n"/>
      <c r="AX164" s="13" t="n"/>
      <c r="AY164" s="14" t="n"/>
      <c r="AZ164" s="12" t="n"/>
      <c r="BA164" s="13" t="n"/>
      <c r="BB164" s="14" t="n"/>
      <c r="BC164" s="11">
        <f>IF(O164="","",IF(J164="GST 10%",ROUND(O164*set_GSTRate,2),0))</f>
        <v/>
      </c>
      <c r="BD164" s="11">
        <f>IF(O164="","",O164+BC164)</f>
        <v/>
      </c>
      <c r="BE164" s="15">
        <f>IF(O164="","",COUNTA(S164,V164,Y164,AB164,AE164,AH164,AK164,AN164,AQ164,AT164,AW164,AZ164))</f>
        <v/>
      </c>
      <c r="BF164" s="16">
        <f>IF(COUNT(T164,W164,Z164,AC164,AF164,AI164,AL164,AO164,AR164,AU164,AX164,BA164)=0,"",MAX(T164,W164,Z164,AC164,AF164,AI164,AL164,AO164,AR164,AU164,AX164,BA164))</f>
        <v/>
      </c>
      <c r="BG164" s="10">
        <f>MID(IF(S164="","",", "&amp;S164)&amp;IF(V164="","",", "&amp;V164)&amp;IF(Y164="","",", "&amp;Y164)&amp;IF(AB164="","",", "&amp;AB164)&amp;IF(AE164="","",", "&amp;AE164)&amp;IF(AH164="","",", "&amp;AH164)&amp;IF(AK164="","",", "&amp;AK164)&amp;IF(AN164="","",", "&amp;AN164)&amp;IF(AQ164="","",", "&amp;AQ164)&amp;IF(AT164="","",", "&amp;AT164)&amp;IF(AW164="","",", "&amp;AW164)&amp;IF(AZ164="","",", "&amp;AZ164),3,500)</f>
        <v/>
      </c>
      <c r="BH164" s="12" t="n"/>
      <c r="BI164" s="15">
        <f>IFERROR(MATCH($A164,IF($B164="Onsite",tbl_Onsite[Row ID],IF($B164="Production",tbl_Production[Row ID],tbl_Consulting[Row ID])),0),"")</f>
        <v/>
      </c>
    </row>
    <row r="165">
      <c r="A165" s="10" t="inlineStr">
        <is>
          <t>ONS-0159</t>
        </is>
      </c>
      <c r="B165" s="10" t="inlineStr">
        <is>
          <t>Onsite</t>
        </is>
      </c>
      <c r="C165" s="10">
        <f>IF($BI165="","",IF($B165="Onsite",INDEX(tbl_Onsite[Job Number],$BI165),IF($B165="Production",INDEX(tbl_Production[Job Number],$BI165),INDEX(tbl_Consulting[Job Number],$BI165)))&amp;"")</f>
        <v/>
      </c>
      <c r="D165" s="10">
        <f>IF($BI165="","",IF($B165="Onsite",INDEX(tbl_Onsite[Client],$BI165),IF($B165="Production",INDEX(tbl_Production[Client],$BI165),INDEX(tbl_Consulting[Client],$BI165)))&amp;"")</f>
        <v/>
      </c>
      <c r="E165" s="10">
        <f>IF($C165="","",IF(COUNTIF(lst_Jobs,$C165)&gt;0,"OK","CHECK"))</f>
        <v/>
      </c>
      <c r="F165" s="10">
        <f>IF($C165="","",IFERROR(INDEX(lst_JobName,MATCH($C165,lst_Jobs,0)),""))</f>
        <v/>
      </c>
      <c r="G165" s="10">
        <f>IF($BI165="","",IF($B165="Onsite",INDEX(tbl_Onsite[Job Description],$BI165),IF($B165="Production",INDEX(tbl_Production[Job Description],$BI165),INDEX(tbl_Consulting[Job Description],$BI165)))&amp;"")</f>
        <v/>
      </c>
      <c r="H165" s="10">
        <f>IF($BI165="","",IF($B165="Onsite",INDEX(tbl_Onsite[Cost Centre],$BI165),IF($B165="Production",INDEX(tbl_Production[Cost Centre],$BI165),INDEX(tbl_Consulting[Cost Centre],$BI165)))&amp;"")</f>
        <v/>
      </c>
      <c r="I165" s="10">
        <f>IF($BI165="","",IF($B165="Onsite",INDEX(tbl_Onsite[Invoice Type],$BI165),IF($B165="Production",INDEX(tbl_Production[Invoice Type],$BI165),INDEX(tbl_Consulting[Invoice Type],$BI165)))&amp;"")</f>
        <v/>
      </c>
      <c r="J165" s="10">
        <f>IF($BI165="","",IF($B165="Onsite",INDEX(tbl_Onsite[Tax Code],$BI165),IF($B165="Production",INDEX(tbl_Production[Tax Code],$BI165),INDEX(tbl_Consulting[Tax Code],$BI165)))&amp;"")</f>
        <v/>
      </c>
      <c r="K165" s="10">
        <f>IF(H165="","",IFERROR(INDEX(lst_CCtoGL,MATCH(H165,lst_CCforGL,0)),""))</f>
        <v/>
      </c>
      <c r="L165" s="10">
        <f>IF($BI165="","",IF($B165="Onsite",INDEX(tbl_Onsite[PO / Reference],$BI165),IF($B165="Production",INDEX(tbl_Production[Current RMS No],$BI165),INDEX(tbl_Consulting[Qwilr Quote],$BI165)))&amp;"")</f>
        <v/>
      </c>
      <c r="M165" s="10">
        <f>IF($BI165="","",IF($B165="Onsite",INDEX(tbl_Onsite[Notes],$BI165),IF($B165="Production",INDEX(tbl_Production[Notes],$BI165),INDEX(tbl_Consulting[Notes],$BI165)))&amp;"")</f>
        <v/>
      </c>
      <c r="N165" s="11">
        <f>IF($BI165="","",IF(IF($B165="Onsite",INDEX(tbl_Onsite[Expected Revenue Ex GST],$BI165),IF($B165="Production",INDEX(tbl_Production[Expected Revenue Ex GST],$BI165),INDEX(tbl_Consulting[Expected Revenue Ex GST],$BI165)))="","",IF($B165="Onsite",INDEX(tbl_Onsite[Expected Revenue Ex GST],$BI165),IF($B165="Production",INDEX(tbl_Production[Expected Revenue Ex GST],$BI165),INDEX(tbl_Consulting[Expected Revenue Ex GST],$BI165)))))</f>
        <v/>
      </c>
      <c r="O165" s="11">
        <f>IF(AND($C165="",NOT(COUNTA($S165:$BB165)&gt;0)),"",SUM(U165,X165,AA165,AD165,AG165,AJ165,AM165,AP165,AS165,AV165,AY165,BB165))</f>
        <v/>
      </c>
      <c r="P165" s="11">
        <f>IF(O165="","",N(N165)-O165)</f>
        <v/>
      </c>
      <c r="Q165" s="10">
        <f>IF(O165="","",IF($C165="","Invoice on empty job row",IF(N165="",IF(ROUND(O165,2)=0,"No dept value","Invoiced - no dept value"),IF(ROUND(O165,2)=0,"Not invoiced - to invoice",IF(ROUND(P165,2)=0,"Agrees",IF(P165&gt;0,"Dept higher - to invoice","Xero higher - check dept"))))))</f>
        <v/>
      </c>
      <c r="R165" s="10">
        <f>IF(AND($C165="",NOT(COUNTA($S165:$BB165)&gt;0),$BI165&lt;&gt;""),"",MID(IF($BI165="","; Row ID not found on the department sheet - a row was deleted","")&amp;IF(AND($C165="",COUNTA($S165:$BB165)&gt;0),"; Invoice entered but the department row has no job number","")&amp;IF(E165="CHECK","; Job number not in the Xero job list","")&amp;IF(AND($C165&lt;&gt;"",COUNTIF($C$7:$C$1506,$C165)&gt;1),"; Job number on more than one row","")&amp;IF(AND($C165&lt;&gt;"",H165=""),"; Dept has not set a cost centre","")&amp;IF(AND($C165&lt;&gt;"",J165=""),"; Dept has not set a tax code","")&amp;IF(AND($C165&lt;&gt;"",N165=""),"; Dept has not entered an expected value","")&amp;IF((IF(OR(COUNTA(S165:U165)=0,AND(COUNTA(S165:U165)=3,ISNUMBER(U165))),0,1)+IF(OR(COUNTA(V165:X165)=0,AND(COUNTA(V165:X165)=3,ISNUMBER(X165))),0,1)+IF(OR(COUNTA(Y165:AA165)=0,AND(COUNTA(Y165:AA165)=3,ISNUMBER(AA165))),0,1)+IF(OR(COUNTA(AB165:AD165)=0,AND(COUNTA(AB165:AD165)=3,ISNUMBER(AD165))),0,1)+IF(OR(COUNTA(AE165:AG165)=0,AND(COUNTA(AE165:AG165)=3,ISNUMBER(AG165))),0,1)+IF(OR(COUNTA(AH165:AJ165)=0,AND(COUNTA(AH165:AJ165)=3,ISNUMBER(AJ165))),0,1)+IF(OR(COUNTA(AK165:AM165)=0,AND(COUNTA(AK165:AM165)=3,ISNUMBER(AM165))),0,1)+IF(OR(COUNTA(AN165:AP165)=0,AND(COUNTA(AN165:AP165)=3,ISNUMBER(AP165))),0,1)+IF(OR(COUNTA(AQ165:AS165)=0,AND(COUNTA(AQ165:AS165)=3,ISNUMBER(AS165))),0,1)+IF(OR(COUNTA(AT165:AV165)=0,AND(COUNTA(AT165:AV165)=3,ISNUMBER(AV165))),0,1)+IF(OR(COUNTA(AW165:AY165)=0,AND(COUNTA(AW165:AY165)=3,ISNUMBER(AY165))),0,1)+IF(OR(COUNTA(AZ165:BB165)=0,AND(COUNTA(AZ165:BB165)=3,ISNUMBER(BB165))),0,1))&gt;0,"; An invoice is incomplete (needs No, Date and a number in Ex GST)","")&amp;IF((IF(T165="",0,IFERROR(--(EOMONTH(T165,0)&lt;&gt;S$5),1))+IF(W165="",0,IFERROR(--(EOMONTH(W165,0)&lt;&gt;V$5),1))+IF(Z165="",0,IFERROR(--(EOMONTH(Z165,0)&lt;&gt;Y$5),1))+IF(AC165="",0,IFERROR(--(EOMONTH(AC165,0)&lt;&gt;AB$5),1))+IF(AF165="",0,IFERROR(--(EOMONTH(AF165,0)&lt;&gt;AE$5),1))+IF(AI165="",0,IFERROR(--(EOMONTH(AI165,0)&lt;&gt;AH$5),1))+IF(AL165="",0,IFERROR(--(EOMONTH(AL165,0)&lt;&gt;AK$5),1))+IF(AO165="",0,IFERROR(--(EOMONTH(AO165,0)&lt;&gt;AN$5),1))+IF(AR165="",0,IFERROR(--(EOMONTH(AR165,0)&lt;&gt;AQ$5),1))+IF(AU165="",0,IFERROR(--(EOMONTH(AU165,0)&lt;&gt;AT$5),1))+IF(AX165="",0,IFERROR(--(EOMONTH(AX165,0)&lt;&gt;AW$5),1))+IF(BA165="",0,IFERROR(--(EOMONTH(BA165,0)&lt;&gt;AZ$5),1)))&gt;0,"; An invoice date is not in the month it is typed under",""),3,500))</f>
        <v/>
      </c>
      <c r="S165" s="12" t="n"/>
      <c r="T165" s="13" t="n"/>
      <c r="U165" s="14" t="n"/>
      <c r="V165" s="12" t="n"/>
      <c r="W165" s="13" t="n"/>
      <c r="X165" s="14" t="n"/>
      <c r="Y165" s="12" t="n"/>
      <c r="Z165" s="13" t="n"/>
      <c r="AA165" s="14" t="n"/>
      <c r="AB165" s="12" t="n"/>
      <c r="AC165" s="13" t="n"/>
      <c r="AD165" s="14" t="n"/>
      <c r="AE165" s="12" t="n"/>
      <c r="AF165" s="13" t="n"/>
      <c r="AG165" s="14" t="n"/>
      <c r="AH165" s="12" t="n"/>
      <c r="AI165" s="13" t="n"/>
      <c r="AJ165" s="14" t="n"/>
      <c r="AK165" s="12" t="n"/>
      <c r="AL165" s="13" t="n"/>
      <c r="AM165" s="14" t="n"/>
      <c r="AN165" s="12" t="n"/>
      <c r="AO165" s="13" t="n"/>
      <c r="AP165" s="14" t="n"/>
      <c r="AQ165" s="12" t="n"/>
      <c r="AR165" s="13" t="n"/>
      <c r="AS165" s="14" t="n"/>
      <c r="AT165" s="12" t="n"/>
      <c r="AU165" s="13" t="n"/>
      <c r="AV165" s="14" t="n"/>
      <c r="AW165" s="12" t="n"/>
      <c r="AX165" s="13" t="n"/>
      <c r="AY165" s="14" t="n"/>
      <c r="AZ165" s="12" t="n"/>
      <c r="BA165" s="13" t="n"/>
      <c r="BB165" s="14" t="n"/>
      <c r="BC165" s="11">
        <f>IF(O165="","",IF(J165="GST 10%",ROUND(O165*set_GSTRate,2),0))</f>
        <v/>
      </c>
      <c r="BD165" s="11">
        <f>IF(O165="","",O165+BC165)</f>
        <v/>
      </c>
      <c r="BE165" s="15">
        <f>IF(O165="","",COUNTA(S165,V165,Y165,AB165,AE165,AH165,AK165,AN165,AQ165,AT165,AW165,AZ165))</f>
        <v/>
      </c>
      <c r="BF165" s="16">
        <f>IF(COUNT(T165,W165,Z165,AC165,AF165,AI165,AL165,AO165,AR165,AU165,AX165,BA165)=0,"",MAX(T165,W165,Z165,AC165,AF165,AI165,AL165,AO165,AR165,AU165,AX165,BA165))</f>
        <v/>
      </c>
      <c r="BG165" s="10">
        <f>MID(IF(S165="","",", "&amp;S165)&amp;IF(V165="","",", "&amp;V165)&amp;IF(Y165="","",", "&amp;Y165)&amp;IF(AB165="","",", "&amp;AB165)&amp;IF(AE165="","",", "&amp;AE165)&amp;IF(AH165="","",", "&amp;AH165)&amp;IF(AK165="","",", "&amp;AK165)&amp;IF(AN165="","",", "&amp;AN165)&amp;IF(AQ165="","",", "&amp;AQ165)&amp;IF(AT165="","",", "&amp;AT165)&amp;IF(AW165="","",", "&amp;AW165)&amp;IF(AZ165="","",", "&amp;AZ165),3,500)</f>
        <v/>
      </c>
      <c r="BH165" s="12" t="n"/>
      <c r="BI165" s="15">
        <f>IFERROR(MATCH($A165,IF($B165="Onsite",tbl_Onsite[Row ID],IF($B165="Production",tbl_Production[Row ID],tbl_Consulting[Row ID])),0),"")</f>
        <v/>
      </c>
    </row>
    <row r="166">
      <c r="A166" s="10" t="inlineStr">
        <is>
          <t>ONS-0160</t>
        </is>
      </c>
      <c r="B166" s="10" t="inlineStr">
        <is>
          <t>Onsite</t>
        </is>
      </c>
      <c r="C166" s="10">
        <f>IF($BI166="","",IF($B166="Onsite",INDEX(tbl_Onsite[Job Number],$BI166),IF($B166="Production",INDEX(tbl_Production[Job Number],$BI166),INDEX(tbl_Consulting[Job Number],$BI166)))&amp;"")</f>
        <v/>
      </c>
      <c r="D166" s="10">
        <f>IF($BI166="","",IF($B166="Onsite",INDEX(tbl_Onsite[Client],$BI166),IF($B166="Production",INDEX(tbl_Production[Client],$BI166),INDEX(tbl_Consulting[Client],$BI166)))&amp;"")</f>
        <v/>
      </c>
      <c r="E166" s="10">
        <f>IF($C166="","",IF(COUNTIF(lst_Jobs,$C166)&gt;0,"OK","CHECK"))</f>
        <v/>
      </c>
      <c r="F166" s="10">
        <f>IF($C166="","",IFERROR(INDEX(lst_JobName,MATCH($C166,lst_Jobs,0)),""))</f>
        <v/>
      </c>
      <c r="G166" s="10">
        <f>IF($BI166="","",IF($B166="Onsite",INDEX(tbl_Onsite[Job Description],$BI166),IF($B166="Production",INDEX(tbl_Production[Job Description],$BI166),INDEX(tbl_Consulting[Job Description],$BI166)))&amp;"")</f>
        <v/>
      </c>
      <c r="H166" s="10">
        <f>IF($BI166="","",IF($B166="Onsite",INDEX(tbl_Onsite[Cost Centre],$BI166),IF($B166="Production",INDEX(tbl_Production[Cost Centre],$BI166),INDEX(tbl_Consulting[Cost Centre],$BI166)))&amp;"")</f>
        <v/>
      </c>
      <c r="I166" s="10">
        <f>IF($BI166="","",IF($B166="Onsite",INDEX(tbl_Onsite[Invoice Type],$BI166),IF($B166="Production",INDEX(tbl_Production[Invoice Type],$BI166),INDEX(tbl_Consulting[Invoice Type],$BI166)))&amp;"")</f>
        <v/>
      </c>
      <c r="J166" s="10">
        <f>IF($BI166="","",IF($B166="Onsite",INDEX(tbl_Onsite[Tax Code],$BI166),IF($B166="Production",INDEX(tbl_Production[Tax Code],$BI166),INDEX(tbl_Consulting[Tax Code],$BI166)))&amp;"")</f>
        <v/>
      </c>
      <c r="K166" s="10">
        <f>IF(H166="","",IFERROR(INDEX(lst_CCtoGL,MATCH(H166,lst_CCforGL,0)),""))</f>
        <v/>
      </c>
      <c r="L166" s="10">
        <f>IF($BI166="","",IF($B166="Onsite",INDEX(tbl_Onsite[PO / Reference],$BI166),IF($B166="Production",INDEX(tbl_Production[Current RMS No],$BI166),INDEX(tbl_Consulting[Qwilr Quote],$BI166)))&amp;"")</f>
        <v/>
      </c>
      <c r="M166" s="10">
        <f>IF($BI166="","",IF($B166="Onsite",INDEX(tbl_Onsite[Notes],$BI166),IF($B166="Production",INDEX(tbl_Production[Notes],$BI166),INDEX(tbl_Consulting[Notes],$BI166)))&amp;"")</f>
        <v/>
      </c>
      <c r="N166" s="11">
        <f>IF($BI166="","",IF(IF($B166="Onsite",INDEX(tbl_Onsite[Expected Revenue Ex GST],$BI166),IF($B166="Production",INDEX(tbl_Production[Expected Revenue Ex GST],$BI166),INDEX(tbl_Consulting[Expected Revenue Ex GST],$BI166)))="","",IF($B166="Onsite",INDEX(tbl_Onsite[Expected Revenue Ex GST],$BI166),IF($B166="Production",INDEX(tbl_Production[Expected Revenue Ex GST],$BI166),INDEX(tbl_Consulting[Expected Revenue Ex GST],$BI166)))))</f>
        <v/>
      </c>
      <c r="O166" s="11">
        <f>IF(AND($C166="",NOT(COUNTA($S166:$BB166)&gt;0)),"",SUM(U166,X166,AA166,AD166,AG166,AJ166,AM166,AP166,AS166,AV166,AY166,BB166))</f>
        <v/>
      </c>
      <c r="P166" s="11">
        <f>IF(O166="","",N(N166)-O166)</f>
        <v/>
      </c>
      <c r="Q166" s="10">
        <f>IF(O166="","",IF($C166="","Invoice on empty job row",IF(N166="",IF(ROUND(O166,2)=0,"No dept value","Invoiced - no dept value"),IF(ROUND(O166,2)=0,"Not invoiced - to invoice",IF(ROUND(P166,2)=0,"Agrees",IF(P166&gt;0,"Dept higher - to invoice","Xero higher - check dept"))))))</f>
        <v/>
      </c>
      <c r="R166" s="10">
        <f>IF(AND($C166="",NOT(COUNTA($S166:$BB166)&gt;0),$BI166&lt;&gt;""),"",MID(IF($BI166="","; Row ID not found on the department sheet - a row was deleted","")&amp;IF(AND($C166="",COUNTA($S166:$BB166)&gt;0),"; Invoice entered but the department row has no job number","")&amp;IF(E166="CHECK","; Job number not in the Xero job list","")&amp;IF(AND($C166&lt;&gt;"",COUNTIF($C$7:$C$1506,$C166)&gt;1),"; Job number on more than one row","")&amp;IF(AND($C166&lt;&gt;"",H166=""),"; Dept has not set a cost centre","")&amp;IF(AND($C166&lt;&gt;"",J166=""),"; Dept has not set a tax code","")&amp;IF(AND($C166&lt;&gt;"",N166=""),"; Dept has not entered an expected value","")&amp;IF((IF(OR(COUNTA(S166:U166)=0,AND(COUNTA(S166:U166)=3,ISNUMBER(U166))),0,1)+IF(OR(COUNTA(V166:X166)=0,AND(COUNTA(V166:X166)=3,ISNUMBER(X166))),0,1)+IF(OR(COUNTA(Y166:AA166)=0,AND(COUNTA(Y166:AA166)=3,ISNUMBER(AA166))),0,1)+IF(OR(COUNTA(AB166:AD166)=0,AND(COUNTA(AB166:AD166)=3,ISNUMBER(AD166))),0,1)+IF(OR(COUNTA(AE166:AG166)=0,AND(COUNTA(AE166:AG166)=3,ISNUMBER(AG166))),0,1)+IF(OR(COUNTA(AH166:AJ166)=0,AND(COUNTA(AH166:AJ166)=3,ISNUMBER(AJ166))),0,1)+IF(OR(COUNTA(AK166:AM166)=0,AND(COUNTA(AK166:AM166)=3,ISNUMBER(AM166))),0,1)+IF(OR(COUNTA(AN166:AP166)=0,AND(COUNTA(AN166:AP166)=3,ISNUMBER(AP166))),0,1)+IF(OR(COUNTA(AQ166:AS166)=0,AND(COUNTA(AQ166:AS166)=3,ISNUMBER(AS166))),0,1)+IF(OR(COUNTA(AT166:AV166)=0,AND(COUNTA(AT166:AV166)=3,ISNUMBER(AV166))),0,1)+IF(OR(COUNTA(AW166:AY166)=0,AND(COUNTA(AW166:AY166)=3,ISNUMBER(AY166))),0,1)+IF(OR(COUNTA(AZ166:BB166)=0,AND(COUNTA(AZ166:BB166)=3,ISNUMBER(BB166))),0,1))&gt;0,"; An invoice is incomplete (needs No, Date and a number in Ex GST)","")&amp;IF((IF(T166="",0,IFERROR(--(EOMONTH(T166,0)&lt;&gt;S$5),1))+IF(W166="",0,IFERROR(--(EOMONTH(W166,0)&lt;&gt;V$5),1))+IF(Z166="",0,IFERROR(--(EOMONTH(Z166,0)&lt;&gt;Y$5),1))+IF(AC166="",0,IFERROR(--(EOMONTH(AC166,0)&lt;&gt;AB$5),1))+IF(AF166="",0,IFERROR(--(EOMONTH(AF166,0)&lt;&gt;AE$5),1))+IF(AI166="",0,IFERROR(--(EOMONTH(AI166,0)&lt;&gt;AH$5),1))+IF(AL166="",0,IFERROR(--(EOMONTH(AL166,0)&lt;&gt;AK$5),1))+IF(AO166="",0,IFERROR(--(EOMONTH(AO166,0)&lt;&gt;AN$5),1))+IF(AR166="",0,IFERROR(--(EOMONTH(AR166,0)&lt;&gt;AQ$5),1))+IF(AU166="",0,IFERROR(--(EOMONTH(AU166,0)&lt;&gt;AT$5),1))+IF(AX166="",0,IFERROR(--(EOMONTH(AX166,0)&lt;&gt;AW$5),1))+IF(BA166="",0,IFERROR(--(EOMONTH(BA166,0)&lt;&gt;AZ$5),1)))&gt;0,"; An invoice date is not in the month it is typed under",""),3,500))</f>
        <v/>
      </c>
      <c r="S166" s="12" t="n"/>
      <c r="T166" s="13" t="n"/>
      <c r="U166" s="14" t="n"/>
      <c r="V166" s="12" t="n"/>
      <c r="W166" s="13" t="n"/>
      <c r="X166" s="14" t="n"/>
      <c r="Y166" s="12" t="n"/>
      <c r="Z166" s="13" t="n"/>
      <c r="AA166" s="14" t="n"/>
      <c r="AB166" s="12" t="n"/>
      <c r="AC166" s="13" t="n"/>
      <c r="AD166" s="14" t="n"/>
      <c r="AE166" s="12" t="n"/>
      <c r="AF166" s="13" t="n"/>
      <c r="AG166" s="14" t="n"/>
      <c r="AH166" s="12" t="n"/>
      <c r="AI166" s="13" t="n"/>
      <c r="AJ166" s="14" t="n"/>
      <c r="AK166" s="12" t="n"/>
      <c r="AL166" s="13" t="n"/>
      <c r="AM166" s="14" t="n"/>
      <c r="AN166" s="12" t="n"/>
      <c r="AO166" s="13" t="n"/>
      <c r="AP166" s="14" t="n"/>
      <c r="AQ166" s="12" t="n"/>
      <c r="AR166" s="13" t="n"/>
      <c r="AS166" s="14" t="n"/>
      <c r="AT166" s="12" t="n"/>
      <c r="AU166" s="13" t="n"/>
      <c r="AV166" s="14" t="n"/>
      <c r="AW166" s="12" t="n"/>
      <c r="AX166" s="13" t="n"/>
      <c r="AY166" s="14" t="n"/>
      <c r="AZ166" s="12" t="n"/>
      <c r="BA166" s="13" t="n"/>
      <c r="BB166" s="14" t="n"/>
      <c r="BC166" s="11">
        <f>IF(O166="","",IF(J166="GST 10%",ROUND(O166*set_GSTRate,2),0))</f>
        <v/>
      </c>
      <c r="BD166" s="11">
        <f>IF(O166="","",O166+BC166)</f>
        <v/>
      </c>
      <c r="BE166" s="15">
        <f>IF(O166="","",COUNTA(S166,V166,Y166,AB166,AE166,AH166,AK166,AN166,AQ166,AT166,AW166,AZ166))</f>
        <v/>
      </c>
      <c r="BF166" s="16">
        <f>IF(COUNT(T166,W166,Z166,AC166,AF166,AI166,AL166,AO166,AR166,AU166,AX166,BA166)=0,"",MAX(T166,W166,Z166,AC166,AF166,AI166,AL166,AO166,AR166,AU166,AX166,BA166))</f>
        <v/>
      </c>
      <c r="BG166" s="10">
        <f>MID(IF(S166="","",", "&amp;S166)&amp;IF(V166="","",", "&amp;V166)&amp;IF(Y166="","",", "&amp;Y166)&amp;IF(AB166="","",", "&amp;AB166)&amp;IF(AE166="","",", "&amp;AE166)&amp;IF(AH166="","",", "&amp;AH166)&amp;IF(AK166="","",", "&amp;AK166)&amp;IF(AN166="","",", "&amp;AN166)&amp;IF(AQ166="","",", "&amp;AQ166)&amp;IF(AT166="","",", "&amp;AT166)&amp;IF(AW166="","",", "&amp;AW166)&amp;IF(AZ166="","",", "&amp;AZ166),3,500)</f>
        <v/>
      </c>
      <c r="BH166" s="12" t="n"/>
      <c r="BI166" s="15">
        <f>IFERROR(MATCH($A166,IF($B166="Onsite",tbl_Onsite[Row ID],IF($B166="Production",tbl_Production[Row ID],tbl_Consulting[Row ID])),0),"")</f>
        <v/>
      </c>
    </row>
    <row r="167">
      <c r="A167" s="10" t="inlineStr">
        <is>
          <t>ONS-0161</t>
        </is>
      </c>
      <c r="B167" s="10" t="inlineStr">
        <is>
          <t>Onsite</t>
        </is>
      </c>
      <c r="C167" s="10">
        <f>IF($BI167="","",IF($B167="Onsite",INDEX(tbl_Onsite[Job Number],$BI167),IF($B167="Production",INDEX(tbl_Production[Job Number],$BI167),INDEX(tbl_Consulting[Job Number],$BI167)))&amp;"")</f>
        <v/>
      </c>
      <c r="D167" s="10">
        <f>IF($BI167="","",IF($B167="Onsite",INDEX(tbl_Onsite[Client],$BI167),IF($B167="Production",INDEX(tbl_Production[Client],$BI167),INDEX(tbl_Consulting[Client],$BI167)))&amp;"")</f>
        <v/>
      </c>
      <c r="E167" s="10">
        <f>IF($C167="","",IF(COUNTIF(lst_Jobs,$C167)&gt;0,"OK","CHECK"))</f>
        <v/>
      </c>
      <c r="F167" s="10">
        <f>IF($C167="","",IFERROR(INDEX(lst_JobName,MATCH($C167,lst_Jobs,0)),""))</f>
        <v/>
      </c>
      <c r="G167" s="10">
        <f>IF($BI167="","",IF($B167="Onsite",INDEX(tbl_Onsite[Job Description],$BI167),IF($B167="Production",INDEX(tbl_Production[Job Description],$BI167),INDEX(tbl_Consulting[Job Description],$BI167)))&amp;"")</f>
        <v/>
      </c>
      <c r="H167" s="10">
        <f>IF($BI167="","",IF($B167="Onsite",INDEX(tbl_Onsite[Cost Centre],$BI167),IF($B167="Production",INDEX(tbl_Production[Cost Centre],$BI167),INDEX(tbl_Consulting[Cost Centre],$BI167)))&amp;"")</f>
        <v/>
      </c>
      <c r="I167" s="10">
        <f>IF($BI167="","",IF($B167="Onsite",INDEX(tbl_Onsite[Invoice Type],$BI167),IF($B167="Production",INDEX(tbl_Production[Invoice Type],$BI167),INDEX(tbl_Consulting[Invoice Type],$BI167)))&amp;"")</f>
        <v/>
      </c>
      <c r="J167" s="10">
        <f>IF($BI167="","",IF($B167="Onsite",INDEX(tbl_Onsite[Tax Code],$BI167),IF($B167="Production",INDEX(tbl_Production[Tax Code],$BI167),INDEX(tbl_Consulting[Tax Code],$BI167)))&amp;"")</f>
        <v/>
      </c>
      <c r="K167" s="10">
        <f>IF(H167="","",IFERROR(INDEX(lst_CCtoGL,MATCH(H167,lst_CCforGL,0)),""))</f>
        <v/>
      </c>
      <c r="L167" s="10">
        <f>IF($BI167="","",IF($B167="Onsite",INDEX(tbl_Onsite[PO / Reference],$BI167),IF($B167="Production",INDEX(tbl_Production[Current RMS No],$BI167),INDEX(tbl_Consulting[Qwilr Quote],$BI167)))&amp;"")</f>
        <v/>
      </c>
      <c r="M167" s="10">
        <f>IF($BI167="","",IF($B167="Onsite",INDEX(tbl_Onsite[Notes],$BI167),IF($B167="Production",INDEX(tbl_Production[Notes],$BI167),INDEX(tbl_Consulting[Notes],$BI167)))&amp;"")</f>
        <v/>
      </c>
      <c r="N167" s="11">
        <f>IF($BI167="","",IF(IF($B167="Onsite",INDEX(tbl_Onsite[Expected Revenue Ex GST],$BI167),IF($B167="Production",INDEX(tbl_Production[Expected Revenue Ex GST],$BI167),INDEX(tbl_Consulting[Expected Revenue Ex GST],$BI167)))="","",IF($B167="Onsite",INDEX(tbl_Onsite[Expected Revenue Ex GST],$BI167),IF($B167="Production",INDEX(tbl_Production[Expected Revenue Ex GST],$BI167),INDEX(tbl_Consulting[Expected Revenue Ex GST],$BI167)))))</f>
        <v/>
      </c>
      <c r="O167" s="11">
        <f>IF(AND($C167="",NOT(COUNTA($S167:$BB167)&gt;0)),"",SUM(U167,X167,AA167,AD167,AG167,AJ167,AM167,AP167,AS167,AV167,AY167,BB167))</f>
        <v/>
      </c>
      <c r="P167" s="11">
        <f>IF(O167="","",N(N167)-O167)</f>
        <v/>
      </c>
      <c r="Q167" s="10">
        <f>IF(O167="","",IF($C167="","Invoice on empty job row",IF(N167="",IF(ROUND(O167,2)=0,"No dept value","Invoiced - no dept value"),IF(ROUND(O167,2)=0,"Not invoiced - to invoice",IF(ROUND(P167,2)=0,"Agrees",IF(P167&gt;0,"Dept higher - to invoice","Xero higher - check dept"))))))</f>
        <v/>
      </c>
      <c r="R167" s="10">
        <f>IF(AND($C167="",NOT(COUNTA($S167:$BB167)&gt;0),$BI167&lt;&gt;""),"",MID(IF($BI167="","; Row ID not found on the department sheet - a row was deleted","")&amp;IF(AND($C167="",COUNTA($S167:$BB167)&gt;0),"; Invoice entered but the department row has no job number","")&amp;IF(E167="CHECK","; Job number not in the Xero job list","")&amp;IF(AND($C167&lt;&gt;"",COUNTIF($C$7:$C$1506,$C167)&gt;1),"; Job number on more than one row","")&amp;IF(AND($C167&lt;&gt;"",H167=""),"; Dept has not set a cost centre","")&amp;IF(AND($C167&lt;&gt;"",J167=""),"; Dept has not set a tax code","")&amp;IF(AND($C167&lt;&gt;"",N167=""),"; Dept has not entered an expected value","")&amp;IF((IF(OR(COUNTA(S167:U167)=0,AND(COUNTA(S167:U167)=3,ISNUMBER(U167))),0,1)+IF(OR(COUNTA(V167:X167)=0,AND(COUNTA(V167:X167)=3,ISNUMBER(X167))),0,1)+IF(OR(COUNTA(Y167:AA167)=0,AND(COUNTA(Y167:AA167)=3,ISNUMBER(AA167))),0,1)+IF(OR(COUNTA(AB167:AD167)=0,AND(COUNTA(AB167:AD167)=3,ISNUMBER(AD167))),0,1)+IF(OR(COUNTA(AE167:AG167)=0,AND(COUNTA(AE167:AG167)=3,ISNUMBER(AG167))),0,1)+IF(OR(COUNTA(AH167:AJ167)=0,AND(COUNTA(AH167:AJ167)=3,ISNUMBER(AJ167))),0,1)+IF(OR(COUNTA(AK167:AM167)=0,AND(COUNTA(AK167:AM167)=3,ISNUMBER(AM167))),0,1)+IF(OR(COUNTA(AN167:AP167)=0,AND(COUNTA(AN167:AP167)=3,ISNUMBER(AP167))),0,1)+IF(OR(COUNTA(AQ167:AS167)=0,AND(COUNTA(AQ167:AS167)=3,ISNUMBER(AS167))),0,1)+IF(OR(COUNTA(AT167:AV167)=0,AND(COUNTA(AT167:AV167)=3,ISNUMBER(AV167))),0,1)+IF(OR(COUNTA(AW167:AY167)=0,AND(COUNTA(AW167:AY167)=3,ISNUMBER(AY167))),0,1)+IF(OR(COUNTA(AZ167:BB167)=0,AND(COUNTA(AZ167:BB167)=3,ISNUMBER(BB167))),0,1))&gt;0,"; An invoice is incomplete (needs No, Date and a number in Ex GST)","")&amp;IF((IF(T167="",0,IFERROR(--(EOMONTH(T167,0)&lt;&gt;S$5),1))+IF(W167="",0,IFERROR(--(EOMONTH(W167,0)&lt;&gt;V$5),1))+IF(Z167="",0,IFERROR(--(EOMONTH(Z167,0)&lt;&gt;Y$5),1))+IF(AC167="",0,IFERROR(--(EOMONTH(AC167,0)&lt;&gt;AB$5),1))+IF(AF167="",0,IFERROR(--(EOMONTH(AF167,0)&lt;&gt;AE$5),1))+IF(AI167="",0,IFERROR(--(EOMONTH(AI167,0)&lt;&gt;AH$5),1))+IF(AL167="",0,IFERROR(--(EOMONTH(AL167,0)&lt;&gt;AK$5),1))+IF(AO167="",0,IFERROR(--(EOMONTH(AO167,0)&lt;&gt;AN$5),1))+IF(AR167="",0,IFERROR(--(EOMONTH(AR167,0)&lt;&gt;AQ$5),1))+IF(AU167="",0,IFERROR(--(EOMONTH(AU167,0)&lt;&gt;AT$5),1))+IF(AX167="",0,IFERROR(--(EOMONTH(AX167,0)&lt;&gt;AW$5),1))+IF(BA167="",0,IFERROR(--(EOMONTH(BA167,0)&lt;&gt;AZ$5),1)))&gt;0,"; An invoice date is not in the month it is typed under",""),3,500))</f>
        <v/>
      </c>
      <c r="S167" s="12" t="n"/>
      <c r="T167" s="13" t="n"/>
      <c r="U167" s="14" t="n"/>
      <c r="V167" s="12" t="n"/>
      <c r="W167" s="13" t="n"/>
      <c r="X167" s="14" t="n"/>
      <c r="Y167" s="12" t="n"/>
      <c r="Z167" s="13" t="n"/>
      <c r="AA167" s="14" t="n"/>
      <c r="AB167" s="12" t="n"/>
      <c r="AC167" s="13" t="n"/>
      <c r="AD167" s="14" t="n"/>
      <c r="AE167" s="12" t="n"/>
      <c r="AF167" s="13" t="n"/>
      <c r="AG167" s="14" t="n"/>
      <c r="AH167" s="12" t="n"/>
      <c r="AI167" s="13" t="n"/>
      <c r="AJ167" s="14" t="n"/>
      <c r="AK167" s="12" t="n"/>
      <c r="AL167" s="13" t="n"/>
      <c r="AM167" s="14" t="n"/>
      <c r="AN167" s="12" t="n"/>
      <c r="AO167" s="13" t="n"/>
      <c r="AP167" s="14" t="n"/>
      <c r="AQ167" s="12" t="n"/>
      <c r="AR167" s="13" t="n"/>
      <c r="AS167" s="14" t="n"/>
      <c r="AT167" s="12" t="n"/>
      <c r="AU167" s="13" t="n"/>
      <c r="AV167" s="14" t="n"/>
      <c r="AW167" s="12" t="n"/>
      <c r="AX167" s="13" t="n"/>
      <c r="AY167" s="14" t="n"/>
      <c r="AZ167" s="12" t="n"/>
      <c r="BA167" s="13" t="n"/>
      <c r="BB167" s="14" t="n"/>
      <c r="BC167" s="11">
        <f>IF(O167="","",IF(J167="GST 10%",ROUND(O167*set_GSTRate,2),0))</f>
        <v/>
      </c>
      <c r="BD167" s="11">
        <f>IF(O167="","",O167+BC167)</f>
        <v/>
      </c>
      <c r="BE167" s="15">
        <f>IF(O167="","",COUNTA(S167,V167,Y167,AB167,AE167,AH167,AK167,AN167,AQ167,AT167,AW167,AZ167))</f>
        <v/>
      </c>
      <c r="BF167" s="16">
        <f>IF(COUNT(T167,W167,Z167,AC167,AF167,AI167,AL167,AO167,AR167,AU167,AX167,BA167)=0,"",MAX(T167,W167,Z167,AC167,AF167,AI167,AL167,AO167,AR167,AU167,AX167,BA167))</f>
        <v/>
      </c>
      <c r="BG167" s="10">
        <f>MID(IF(S167="","",", "&amp;S167)&amp;IF(V167="","",", "&amp;V167)&amp;IF(Y167="","",", "&amp;Y167)&amp;IF(AB167="","",", "&amp;AB167)&amp;IF(AE167="","",", "&amp;AE167)&amp;IF(AH167="","",", "&amp;AH167)&amp;IF(AK167="","",", "&amp;AK167)&amp;IF(AN167="","",", "&amp;AN167)&amp;IF(AQ167="","",", "&amp;AQ167)&amp;IF(AT167="","",", "&amp;AT167)&amp;IF(AW167="","",", "&amp;AW167)&amp;IF(AZ167="","",", "&amp;AZ167),3,500)</f>
        <v/>
      </c>
      <c r="BH167" s="12" t="n"/>
      <c r="BI167" s="15">
        <f>IFERROR(MATCH($A167,IF($B167="Onsite",tbl_Onsite[Row ID],IF($B167="Production",tbl_Production[Row ID],tbl_Consulting[Row ID])),0),"")</f>
        <v/>
      </c>
    </row>
    <row r="168">
      <c r="A168" s="10" t="inlineStr">
        <is>
          <t>ONS-0162</t>
        </is>
      </c>
      <c r="B168" s="10" t="inlineStr">
        <is>
          <t>Onsite</t>
        </is>
      </c>
      <c r="C168" s="10">
        <f>IF($BI168="","",IF($B168="Onsite",INDEX(tbl_Onsite[Job Number],$BI168),IF($B168="Production",INDEX(tbl_Production[Job Number],$BI168),INDEX(tbl_Consulting[Job Number],$BI168)))&amp;"")</f>
        <v/>
      </c>
      <c r="D168" s="10">
        <f>IF($BI168="","",IF($B168="Onsite",INDEX(tbl_Onsite[Client],$BI168),IF($B168="Production",INDEX(tbl_Production[Client],$BI168),INDEX(tbl_Consulting[Client],$BI168)))&amp;"")</f>
        <v/>
      </c>
      <c r="E168" s="10">
        <f>IF($C168="","",IF(COUNTIF(lst_Jobs,$C168)&gt;0,"OK","CHECK"))</f>
        <v/>
      </c>
      <c r="F168" s="10">
        <f>IF($C168="","",IFERROR(INDEX(lst_JobName,MATCH($C168,lst_Jobs,0)),""))</f>
        <v/>
      </c>
      <c r="G168" s="10">
        <f>IF($BI168="","",IF($B168="Onsite",INDEX(tbl_Onsite[Job Description],$BI168),IF($B168="Production",INDEX(tbl_Production[Job Description],$BI168),INDEX(tbl_Consulting[Job Description],$BI168)))&amp;"")</f>
        <v/>
      </c>
      <c r="H168" s="10">
        <f>IF($BI168="","",IF($B168="Onsite",INDEX(tbl_Onsite[Cost Centre],$BI168),IF($B168="Production",INDEX(tbl_Production[Cost Centre],$BI168),INDEX(tbl_Consulting[Cost Centre],$BI168)))&amp;"")</f>
        <v/>
      </c>
      <c r="I168" s="10">
        <f>IF($BI168="","",IF($B168="Onsite",INDEX(tbl_Onsite[Invoice Type],$BI168),IF($B168="Production",INDEX(tbl_Production[Invoice Type],$BI168),INDEX(tbl_Consulting[Invoice Type],$BI168)))&amp;"")</f>
        <v/>
      </c>
      <c r="J168" s="10">
        <f>IF($BI168="","",IF($B168="Onsite",INDEX(tbl_Onsite[Tax Code],$BI168),IF($B168="Production",INDEX(tbl_Production[Tax Code],$BI168),INDEX(tbl_Consulting[Tax Code],$BI168)))&amp;"")</f>
        <v/>
      </c>
      <c r="K168" s="10">
        <f>IF(H168="","",IFERROR(INDEX(lst_CCtoGL,MATCH(H168,lst_CCforGL,0)),""))</f>
        <v/>
      </c>
      <c r="L168" s="10">
        <f>IF($BI168="","",IF($B168="Onsite",INDEX(tbl_Onsite[PO / Reference],$BI168),IF($B168="Production",INDEX(tbl_Production[Current RMS No],$BI168),INDEX(tbl_Consulting[Qwilr Quote],$BI168)))&amp;"")</f>
        <v/>
      </c>
      <c r="M168" s="10">
        <f>IF($BI168="","",IF($B168="Onsite",INDEX(tbl_Onsite[Notes],$BI168),IF($B168="Production",INDEX(tbl_Production[Notes],$BI168),INDEX(tbl_Consulting[Notes],$BI168)))&amp;"")</f>
        <v/>
      </c>
      <c r="N168" s="11">
        <f>IF($BI168="","",IF(IF($B168="Onsite",INDEX(tbl_Onsite[Expected Revenue Ex GST],$BI168),IF($B168="Production",INDEX(tbl_Production[Expected Revenue Ex GST],$BI168),INDEX(tbl_Consulting[Expected Revenue Ex GST],$BI168)))="","",IF($B168="Onsite",INDEX(tbl_Onsite[Expected Revenue Ex GST],$BI168),IF($B168="Production",INDEX(tbl_Production[Expected Revenue Ex GST],$BI168),INDEX(tbl_Consulting[Expected Revenue Ex GST],$BI168)))))</f>
        <v/>
      </c>
      <c r="O168" s="11">
        <f>IF(AND($C168="",NOT(COUNTA($S168:$BB168)&gt;0)),"",SUM(U168,X168,AA168,AD168,AG168,AJ168,AM168,AP168,AS168,AV168,AY168,BB168))</f>
        <v/>
      </c>
      <c r="P168" s="11">
        <f>IF(O168="","",N(N168)-O168)</f>
        <v/>
      </c>
      <c r="Q168" s="10">
        <f>IF(O168="","",IF($C168="","Invoice on empty job row",IF(N168="",IF(ROUND(O168,2)=0,"No dept value","Invoiced - no dept value"),IF(ROUND(O168,2)=0,"Not invoiced - to invoice",IF(ROUND(P168,2)=0,"Agrees",IF(P168&gt;0,"Dept higher - to invoice","Xero higher - check dept"))))))</f>
        <v/>
      </c>
      <c r="R168" s="10">
        <f>IF(AND($C168="",NOT(COUNTA($S168:$BB168)&gt;0),$BI168&lt;&gt;""),"",MID(IF($BI168="","; Row ID not found on the department sheet - a row was deleted","")&amp;IF(AND($C168="",COUNTA($S168:$BB168)&gt;0),"; Invoice entered but the department row has no job number","")&amp;IF(E168="CHECK","; Job number not in the Xero job list","")&amp;IF(AND($C168&lt;&gt;"",COUNTIF($C$7:$C$1506,$C168)&gt;1),"; Job number on more than one row","")&amp;IF(AND($C168&lt;&gt;"",H168=""),"; Dept has not set a cost centre","")&amp;IF(AND($C168&lt;&gt;"",J168=""),"; Dept has not set a tax code","")&amp;IF(AND($C168&lt;&gt;"",N168=""),"; Dept has not entered an expected value","")&amp;IF((IF(OR(COUNTA(S168:U168)=0,AND(COUNTA(S168:U168)=3,ISNUMBER(U168))),0,1)+IF(OR(COUNTA(V168:X168)=0,AND(COUNTA(V168:X168)=3,ISNUMBER(X168))),0,1)+IF(OR(COUNTA(Y168:AA168)=0,AND(COUNTA(Y168:AA168)=3,ISNUMBER(AA168))),0,1)+IF(OR(COUNTA(AB168:AD168)=0,AND(COUNTA(AB168:AD168)=3,ISNUMBER(AD168))),0,1)+IF(OR(COUNTA(AE168:AG168)=0,AND(COUNTA(AE168:AG168)=3,ISNUMBER(AG168))),0,1)+IF(OR(COUNTA(AH168:AJ168)=0,AND(COUNTA(AH168:AJ168)=3,ISNUMBER(AJ168))),0,1)+IF(OR(COUNTA(AK168:AM168)=0,AND(COUNTA(AK168:AM168)=3,ISNUMBER(AM168))),0,1)+IF(OR(COUNTA(AN168:AP168)=0,AND(COUNTA(AN168:AP168)=3,ISNUMBER(AP168))),0,1)+IF(OR(COUNTA(AQ168:AS168)=0,AND(COUNTA(AQ168:AS168)=3,ISNUMBER(AS168))),0,1)+IF(OR(COUNTA(AT168:AV168)=0,AND(COUNTA(AT168:AV168)=3,ISNUMBER(AV168))),0,1)+IF(OR(COUNTA(AW168:AY168)=0,AND(COUNTA(AW168:AY168)=3,ISNUMBER(AY168))),0,1)+IF(OR(COUNTA(AZ168:BB168)=0,AND(COUNTA(AZ168:BB168)=3,ISNUMBER(BB168))),0,1))&gt;0,"; An invoice is incomplete (needs No, Date and a number in Ex GST)","")&amp;IF((IF(T168="",0,IFERROR(--(EOMONTH(T168,0)&lt;&gt;S$5),1))+IF(W168="",0,IFERROR(--(EOMONTH(W168,0)&lt;&gt;V$5),1))+IF(Z168="",0,IFERROR(--(EOMONTH(Z168,0)&lt;&gt;Y$5),1))+IF(AC168="",0,IFERROR(--(EOMONTH(AC168,0)&lt;&gt;AB$5),1))+IF(AF168="",0,IFERROR(--(EOMONTH(AF168,0)&lt;&gt;AE$5),1))+IF(AI168="",0,IFERROR(--(EOMONTH(AI168,0)&lt;&gt;AH$5),1))+IF(AL168="",0,IFERROR(--(EOMONTH(AL168,0)&lt;&gt;AK$5),1))+IF(AO168="",0,IFERROR(--(EOMONTH(AO168,0)&lt;&gt;AN$5),1))+IF(AR168="",0,IFERROR(--(EOMONTH(AR168,0)&lt;&gt;AQ$5),1))+IF(AU168="",0,IFERROR(--(EOMONTH(AU168,0)&lt;&gt;AT$5),1))+IF(AX168="",0,IFERROR(--(EOMONTH(AX168,0)&lt;&gt;AW$5),1))+IF(BA168="",0,IFERROR(--(EOMONTH(BA168,0)&lt;&gt;AZ$5),1)))&gt;0,"; An invoice date is not in the month it is typed under",""),3,500))</f>
        <v/>
      </c>
      <c r="S168" s="12" t="n"/>
      <c r="T168" s="13" t="n"/>
      <c r="U168" s="14" t="n"/>
      <c r="V168" s="12" t="n"/>
      <c r="W168" s="13" t="n"/>
      <c r="X168" s="14" t="n"/>
      <c r="Y168" s="12" t="n"/>
      <c r="Z168" s="13" t="n"/>
      <c r="AA168" s="14" t="n"/>
      <c r="AB168" s="12" t="n"/>
      <c r="AC168" s="13" t="n"/>
      <c r="AD168" s="14" t="n"/>
      <c r="AE168" s="12" t="n"/>
      <c r="AF168" s="13" t="n"/>
      <c r="AG168" s="14" t="n"/>
      <c r="AH168" s="12" t="n"/>
      <c r="AI168" s="13" t="n"/>
      <c r="AJ168" s="14" t="n"/>
      <c r="AK168" s="12" t="n"/>
      <c r="AL168" s="13" t="n"/>
      <c r="AM168" s="14" t="n"/>
      <c r="AN168" s="12" t="n"/>
      <c r="AO168" s="13" t="n"/>
      <c r="AP168" s="14" t="n"/>
      <c r="AQ168" s="12" t="n"/>
      <c r="AR168" s="13" t="n"/>
      <c r="AS168" s="14" t="n"/>
      <c r="AT168" s="12" t="n"/>
      <c r="AU168" s="13" t="n"/>
      <c r="AV168" s="14" t="n"/>
      <c r="AW168" s="12" t="n"/>
      <c r="AX168" s="13" t="n"/>
      <c r="AY168" s="14" t="n"/>
      <c r="AZ168" s="12" t="n"/>
      <c r="BA168" s="13" t="n"/>
      <c r="BB168" s="14" t="n"/>
      <c r="BC168" s="11">
        <f>IF(O168="","",IF(J168="GST 10%",ROUND(O168*set_GSTRate,2),0))</f>
        <v/>
      </c>
      <c r="BD168" s="11">
        <f>IF(O168="","",O168+BC168)</f>
        <v/>
      </c>
      <c r="BE168" s="15">
        <f>IF(O168="","",COUNTA(S168,V168,Y168,AB168,AE168,AH168,AK168,AN168,AQ168,AT168,AW168,AZ168))</f>
        <v/>
      </c>
      <c r="BF168" s="16">
        <f>IF(COUNT(T168,W168,Z168,AC168,AF168,AI168,AL168,AO168,AR168,AU168,AX168,BA168)=0,"",MAX(T168,W168,Z168,AC168,AF168,AI168,AL168,AO168,AR168,AU168,AX168,BA168))</f>
        <v/>
      </c>
      <c r="BG168" s="10">
        <f>MID(IF(S168="","",", "&amp;S168)&amp;IF(V168="","",", "&amp;V168)&amp;IF(Y168="","",", "&amp;Y168)&amp;IF(AB168="","",", "&amp;AB168)&amp;IF(AE168="","",", "&amp;AE168)&amp;IF(AH168="","",", "&amp;AH168)&amp;IF(AK168="","",", "&amp;AK168)&amp;IF(AN168="","",", "&amp;AN168)&amp;IF(AQ168="","",", "&amp;AQ168)&amp;IF(AT168="","",", "&amp;AT168)&amp;IF(AW168="","",", "&amp;AW168)&amp;IF(AZ168="","",", "&amp;AZ168),3,500)</f>
        <v/>
      </c>
      <c r="BH168" s="12" t="n"/>
      <c r="BI168" s="15">
        <f>IFERROR(MATCH($A168,IF($B168="Onsite",tbl_Onsite[Row ID],IF($B168="Production",tbl_Production[Row ID],tbl_Consulting[Row ID])),0),"")</f>
        <v/>
      </c>
    </row>
    <row r="169">
      <c r="A169" s="10" t="inlineStr">
        <is>
          <t>ONS-0163</t>
        </is>
      </c>
      <c r="B169" s="10" t="inlineStr">
        <is>
          <t>Onsite</t>
        </is>
      </c>
      <c r="C169" s="10">
        <f>IF($BI169="","",IF($B169="Onsite",INDEX(tbl_Onsite[Job Number],$BI169),IF($B169="Production",INDEX(tbl_Production[Job Number],$BI169),INDEX(tbl_Consulting[Job Number],$BI169)))&amp;"")</f>
        <v/>
      </c>
      <c r="D169" s="10">
        <f>IF($BI169="","",IF($B169="Onsite",INDEX(tbl_Onsite[Client],$BI169),IF($B169="Production",INDEX(tbl_Production[Client],$BI169),INDEX(tbl_Consulting[Client],$BI169)))&amp;"")</f>
        <v/>
      </c>
      <c r="E169" s="10">
        <f>IF($C169="","",IF(COUNTIF(lst_Jobs,$C169)&gt;0,"OK","CHECK"))</f>
        <v/>
      </c>
      <c r="F169" s="10">
        <f>IF($C169="","",IFERROR(INDEX(lst_JobName,MATCH($C169,lst_Jobs,0)),""))</f>
        <v/>
      </c>
      <c r="G169" s="10">
        <f>IF($BI169="","",IF($B169="Onsite",INDEX(tbl_Onsite[Job Description],$BI169),IF($B169="Production",INDEX(tbl_Production[Job Description],$BI169),INDEX(tbl_Consulting[Job Description],$BI169)))&amp;"")</f>
        <v/>
      </c>
      <c r="H169" s="10">
        <f>IF($BI169="","",IF($B169="Onsite",INDEX(tbl_Onsite[Cost Centre],$BI169),IF($B169="Production",INDEX(tbl_Production[Cost Centre],$BI169),INDEX(tbl_Consulting[Cost Centre],$BI169)))&amp;"")</f>
        <v/>
      </c>
      <c r="I169" s="10">
        <f>IF($BI169="","",IF($B169="Onsite",INDEX(tbl_Onsite[Invoice Type],$BI169),IF($B169="Production",INDEX(tbl_Production[Invoice Type],$BI169),INDEX(tbl_Consulting[Invoice Type],$BI169)))&amp;"")</f>
        <v/>
      </c>
      <c r="J169" s="10">
        <f>IF($BI169="","",IF($B169="Onsite",INDEX(tbl_Onsite[Tax Code],$BI169),IF($B169="Production",INDEX(tbl_Production[Tax Code],$BI169),INDEX(tbl_Consulting[Tax Code],$BI169)))&amp;"")</f>
        <v/>
      </c>
      <c r="K169" s="10">
        <f>IF(H169="","",IFERROR(INDEX(lst_CCtoGL,MATCH(H169,lst_CCforGL,0)),""))</f>
        <v/>
      </c>
      <c r="L169" s="10">
        <f>IF($BI169="","",IF($B169="Onsite",INDEX(tbl_Onsite[PO / Reference],$BI169),IF($B169="Production",INDEX(tbl_Production[Current RMS No],$BI169),INDEX(tbl_Consulting[Qwilr Quote],$BI169)))&amp;"")</f>
        <v/>
      </c>
      <c r="M169" s="10">
        <f>IF($BI169="","",IF($B169="Onsite",INDEX(tbl_Onsite[Notes],$BI169),IF($B169="Production",INDEX(tbl_Production[Notes],$BI169),INDEX(tbl_Consulting[Notes],$BI169)))&amp;"")</f>
        <v/>
      </c>
      <c r="N169" s="11">
        <f>IF($BI169="","",IF(IF($B169="Onsite",INDEX(tbl_Onsite[Expected Revenue Ex GST],$BI169),IF($B169="Production",INDEX(tbl_Production[Expected Revenue Ex GST],$BI169),INDEX(tbl_Consulting[Expected Revenue Ex GST],$BI169)))="","",IF($B169="Onsite",INDEX(tbl_Onsite[Expected Revenue Ex GST],$BI169),IF($B169="Production",INDEX(tbl_Production[Expected Revenue Ex GST],$BI169),INDEX(tbl_Consulting[Expected Revenue Ex GST],$BI169)))))</f>
        <v/>
      </c>
      <c r="O169" s="11">
        <f>IF(AND($C169="",NOT(COUNTA($S169:$BB169)&gt;0)),"",SUM(U169,X169,AA169,AD169,AG169,AJ169,AM169,AP169,AS169,AV169,AY169,BB169))</f>
        <v/>
      </c>
      <c r="P169" s="11">
        <f>IF(O169="","",N(N169)-O169)</f>
        <v/>
      </c>
      <c r="Q169" s="10">
        <f>IF(O169="","",IF($C169="","Invoice on empty job row",IF(N169="",IF(ROUND(O169,2)=0,"No dept value","Invoiced - no dept value"),IF(ROUND(O169,2)=0,"Not invoiced - to invoice",IF(ROUND(P169,2)=0,"Agrees",IF(P169&gt;0,"Dept higher - to invoice","Xero higher - check dept"))))))</f>
        <v/>
      </c>
      <c r="R169" s="10">
        <f>IF(AND($C169="",NOT(COUNTA($S169:$BB169)&gt;0),$BI169&lt;&gt;""),"",MID(IF($BI169="","; Row ID not found on the department sheet - a row was deleted","")&amp;IF(AND($C169="",COUNTA($S169:$BB169)&gt;0),"; Invoice entered but the department row has no job number","")&amp;IF(E169="CHECK","; Job number not in the Xero job list","")&amp;IF(AND($C169&lt;&gt;"",COUNTIF($C$7:$C$1506,$C169)&gt;1),"; Job number on more than one row","")&amp;IF(AND($C169&lt;&gt;"",H169=""),"; Dept has not set a cost centre","")&amp;IF(AND($C169&lt;&gt;"",J169=""),"; Dept has not set a tax code","")&amp;IF(AND($C169&lt;&gt;"",N169=""),"; Dept has not entered an expected value","")&amp;IF((IF(OR(COUNTA(S169:U169)=0,AND(COUNTA(S169:U169)=3,ISNUMBER(U169))),0,1)+IF(OR(COUNTA(V169:X169)=0,AND(COUNTA(V169:X169)=3,ISNUMBER(X169))),0,1)+IF(OR(COUNTA(Y169:AA169)=0,AND(COUNTA(Y169:AA169)=3,ISNUMBER(AA169))),0,1)+IF(OR(COUNTA(AB169:AD169)=0,AND(COUNTA(AB169:AD169)=3,ISNUMBER(AD169))),0,1)+IF(OR(COUNTA(AE169:AG169)=0,AND(COUNTA(AE169:AG169)=3,ISNUMBER(AG169))),0,1)+IF(OR(COUNTA(AH169:AJ169)=0,AND(COUNTA(AH169:AJ169)=3,ISNUMBER(AJ169))),0,1)+IF(OR(COUNTA(AK169:AM169)=0,AND(COUNTA(AK169:AM169)=3,ISNUMBER(AM169))),0,1)+IF(OR(COUNTA(AN169:AP169)=0,AND(COUNTA(AN169:AP169)=3,ISNUMBER(AP169))),0,1)+IF(OR(COUNTA(AQ169:AS169)=0,AND(COUNTA(AQ169:AS169)=3,ISNUMBER(AS169))),0,1)+IF(OR(COUNTA(AT169:AV169)=0,AND(COUNTA(AT169:AV169)=3,ISNUMBER(AV169))),0,1)+IF(OR(COUNTA(AW169:AY169)=0,AND(COUNTA(AW169:AY169)=3,ISNUMBER(AY169))),0,1)+IF(OR(COUNTA(AZ169:BB169)=0,AND(COUNTA(AZ169:BB169)=3,ISNUMBER(BB169))),0,1))&gt;0,"; An invoice is incomplete (needs No, Date and a number in Ex GST)","")&amp;IF((IF(T169="",0,IFERROR(--(EOMONTH(T169,0)&lt;&gt;S$5),1))+IF(W169="",0,IFERROR(--(EOMONTH(W169,0)&lt;&gt;V$5),1))+IF(Z169="",0,IFERROR(--(EOMONTH(Z169,0)&lt;&gt;Y$5),1))+IF(AC169="",0,IFERROR(--(EOMONTH(AC169,0)&lt;&gt;AB$5),1))+IF(AF169="",0,IFERROR(--(EOMONTH(AF169,0)&lt;&gt;AE$5),1))+IF(AI169="",0,IFERROR(--(EOMONTH(AI169,0)&lt;&gt;AH$5),1))+IF(AL169="",0,IFERROR(--(EOMONTH(AL169,0)&lt;&gt;AK$5),1))+IF(AO169="",0,IFERROR(--(EOMONTH(AO169,0)&lt;&gt;AN$5),1))+IF(AR169="",0,IFERROR(--(EOMONTH(AR169,0)&lt;&gt;AQ$5),1))+IF(AU169="",0,IFERROR(--(EOMONTH(AU169,0)&lt;&gt;AT$5),1))+IF(AX169="",0,IFERROR(--(EOMONTH(AX169,0)&lt;&gt;AW$5),1))+IF(BA169="",0,IFERROR(--(EOMONTH(BA169,0)&lt;&gt;AZ$5),1)))&gt;0,"; An invoice date is not in the month it is typed under",""),3,500))</f>
        <v/>
      </c>
      <c r="S169" s="12" t="n"/>
      <c r="T169" s="13" t="n"/>
      <c r="U169" s="14" t="n"/>
      <c r="V169" s="12" t="n"/>
      <c r="W169" s="13" t="n"/>
      <c r="X169" s="14" t="n"/>
      <c r="Y169" s="12" t="n"/>
      <c r="Z169" s="13" t="n"/>
      <c r="AA169" s="14" t="n"/>
      <c r="AB169" s="12" t="n"/>
      <c r="AC169" s="13" t="n"/>
      <c r="AD169" s="14" t="n"/>
      <c r="AE169" s="12" t="n"/>
      <c r="AF169" s="13" t="n"/>
      <c r="AG169" s="14" t="n"/>
      <c r="AH169" s="12" t="n"/>
      <c r="AI169" s="13" t="n"/>
      <c r="AJ169" s="14" t="n"/>
      <c r="AK169" s="12" t="n"/>
      <c r="AL169" s="13" t="n"/>
      <c r="AM169" s="14" t="n"/>
      <c r="AN169" s="12" t="n"/>
      <c r="AO169" s="13" t="n"/>
      <c r="AP169" s="14" t="n"/>
      <c r="AQ169" s="12" t="n"/>
      <c r="AR169" s="13" t="n"/>
      <c r="AS169" s="14" t="n"/>
      <c r="AT169" s="12" t="n"/>
      <c r="AU169" s="13" t="n"/>
      <c r="AV169" s="14" t="n"/>
      <c r="AW169" s="12" t="n"/>
      <c r="AX169" s="13" t="n"/>
      <c r="AY169" s="14" t="n"/>
      <c r="AZ169" s="12" t="n"/>
      <c r="BA169" s="13" t="n"/>
      <c r="BB169" s="14" t="n"/>
      <c r="BC169" s="11">
        <f>IF(O169="","",IF(J169="GST 10%",ROUND(O169*set_GSTRate,2),0))</f>
        <v/>
      </c>
      <c r="BD169" s="11">
        <f>IF(O169="","",O169+BC169)</f>
        <v/>
      </c>
      <c r="BE169" s="15">
        <f>IF(O169="","",COUNTA(S169,V169,Y169,AB169,AE169,AH169,AK169,AN169,AQ169,AT169,AW169,AZ169))</f>
        <v/>
      </c>
      <c r="BF169" s="16">
        <f>IF(COUNT(T169,W169,Z169,AC169,AF169,AI169,AL169,AO169,AR169,AU169,AX169,BA169)=0,"",MAX(T169,W169,Z169,AC169,AF169,AI169,AL169,AO169,AR169,AU169,AX169,BA169))</f>
        <v/>
      </c>
      <c r="BG169" s="10">
        <f>MID(IF(S169="","",", "&amp;S169)&amp;IF(V169="","",", "&amp;V169)&amp;IF(Y169="","",", "&amp;Y169)&amp;IF(AB169="","",", "&amp;AB169)&amp;IF(AE169="","",", "&amp;AE169)&amp;IF(AH169="","",", "&amp;AH169)&amp;IF(AK169="","",", "&amp;AK169)&amp;IF(AN169="","",", "&amp;AN169)&amp;IF(AQ169="","",", "&amp;AQ169)&amp;IF(AT169="","",", "&amp;AT169)&amp;IF(AW169="","",", "&amp;AW169)&amp;IF(AZ169="","",", "&amp;AZ169),3,500)</f>
        <v/>
      </c>
      <c r="BH169" s="12" t="n"/>
      <c r="BI169" s="15">
        <f>IFERROR(MATCH($A169,IF($B169="Onsite",tbl_Onsite[Row ID],IF($B169="Production",tbl_Production[Row ID],tbl_Consulting[Row ID])),0),"")</f>
        <v/>
      </c>
    </row>
    <row r="170">
      <c r="A170" s="10" t="inlineStr">
        <is>
          <t>ONS-0164</t>
        </is>
      </c>
      <c r="B170" s="10" t="inlineStr">
        <is>
          <t>Onsite</t>
        </is>
      </c>
      <c r="C170" s="10">
        <f>IF($BI170="","",IF($B170="Onsite",INDEX(tbl_Onsite[Job Number],$BI170),IF($B170="Production",INDEX(tbl_Production[Job Number],$BI170),INDEX(tbl_Consulting[Job Number],$BI170)))&amp;"")</f>
        <v/>
      </c>
      <c r="D170" s="10">
        <f>IF($BI170="","",IF($B170="Onsite",INDEX(tbl_Onsite[Client],$BI170),IF($B170="Production",INDEX(tbl_Production[Client],$BI170),INDEX(tbl_Consulting[Client],$BI170)))&amp;"")</f>
        <v/>
      </c>
      <c r="E170" s="10">
        <f>IF($C170="","",IF(COUNTIF(lst_Jobs,$C170)&gt;0,"OK","CHECK"))</f>
        <v/>
      </c>
      <c r="F170" s="10">
        <f>IF($C170="","",IFERROR(INDEX(lst_JobName,MATCH($C170,lst_Jobs,0)),""))</f>
        <v/>
      </c>
      <c r="G170" s="10">
        <f>IF($BI170="","",IF($B170="Onsite",INDEX(tbl_Onsite[Job Description],$BI170),IF($B170="Production",INDEX(tbl_Production[Job Description],$BI170),INDEX(tbl_Consulting[Job Description],$BI170)))&amp;"")</f>
        <v/>
      </c>
      <c r="H170" s="10">
        <f>IF($BI170="","",IF($B170="Onsite",INDEX(tbl_Onsite[Cost Centre],$BI170),IF($B170="Production",INDEX(tbl_Production[Cost Centre],$BI170),INDEX(tbl_Consulting[Cost Centre],$BI170)))&amp;"")</f>
        <v/>
      </c>
      <c r="I170" s="10">
        <f>IF($BI170="","",IF($B170="Onsite",INDEX(tbl_Onsite[Invoice Type],$BI170),IF($B170="Production",INDEX(tbl_Production[Invoice Type],$BI170),INDEX(tbl_Consulting[Invoice Type],$BI170)))&amp;"")</f>
        <v/>
      </c>
      <c r="J170" s="10">
        <f>IF($BI170="","",IF($B170="Onsite",INDEX(tbl_Onsite[Tax Code],$BI170),IF($B170="Production",INDEX(tbl_Production[Tax Code],$BI170),INDEX(tbl_Consulting[Tax Code],$BI170)))&amp;"")</f>
        <v/>
      </c>
      <c r="K170" s="10">
        <f>IF(H170="","",IFERROR(INDEX(lst_CCtoGL,MATCH(H170,lst_CCforGL,0)),""))</f>
        <v/>
      </c>
      <c r="L170" s="10">
        <f>IF($BI170="","",IF($B170="Onsite",INDEX(tbl_Onsite[PO / Reference],$BI170),IF($B170="Production",INDEX(tbl_Production[Current RMS No],$BI170),INDEX(tbl_Consulting[Qwilr Quote],$BI170)))&amp;"")</f>
        <v/>
      </c>
      <c r="M170" s="10">
        <f>IF($BI170="","",IF($B170="Onsite",INDEX(tbl_Onsite[Notes],$BI170),IF($B170="Production",INDEX(tbl_Production[Notes],$BI170),INDEX(tbl_Consulting[Notes],$BI170)))&amp;"")</f>
        <v/>
      </c>
      <c r="N170" s="11">
        <f>IF($BI170="","",IF(IF($B170="Onsite",INDEX(tbl_Onsite[Expected Revenue Ex GST],$BI170),IF($B170="Production",INDEX(tbl_Production[Expected Revenue Ex GST],$BI170),INDEX(tbl_Consulting[Expected Revenue Ex GST],$BI170)))="","",IF($B170="Onsite",INDEX(tbl_Onsite[Expected Revenue Ex GST],$BI170),IF($B170="Production",INDEX(tbl_Production[Expected Revenue Ex GST],$BI170),INDEX(tbl_Consulting[Expected Revenue Ex GST],$BI170)))))</f>
        <v/>
      </c>
      <c r="O170" s="11">
        <f>IF(AND($C170="",NOT(COUNTA($S170:$BB170)&gt;0)),"",SUM(U170,X170,AA170,AD170,AG170,AJ170,AM170,AP170,AS170,AV170,AY170,BB170))</f>
        <v/>
      </c>
      <c r="P170" s="11">
        <f>IF(O170="","",N(N170)-O170)</f>
        <v/>
      </c>
      <c r="Q170" s="10">
        <f>IF(O170="","",IF($C170="","Invoice on empty job row",IF(N170="",IF(ROUND(O170,2)=0,"No dept value","Invoiced - no dept value"),IF(ROUND(O170,2)=0,"Not invoiced - to invoice",IF(ROUND(P170,2)=0,"Agrees",IF(P170&gt;0,"Dept higher - to invoice","Xero higher - check dept"))))))</f>
        <v/>
      </c>
      <c r="R170" s="10">
        <f>IF(AND($C170="",NOT(COUNTA($S170:$BB170)&gt;0),$BI170&lt;&gt;""),"",MID(IF($BI170="","; Row ID not found on the department sheet - a row was deleted","")&amp;IF(AND($C170="",COUNTA($S170:$BB170)&gt;0),"; Invoice entered but the department row has no job number","")&amp;IF(E170="CHECK","; Job number not in the Xero job list","")&amp;IF(AND($C170&lt;&gt;"",COUNTIF($C$7:$C$1506,$C170)&gt;1),"; Job number on more than one row","")&amp;IF(AND($C170&lt;&gt;"",H170=""),"; Dept has not set a cost centre","")&amp;IF(AND($C170&lt;&gt;"",J170=""),"; Dept has not set a tax code","")&amp;IF(AND($C170&lt;&gt;"",N170=""),"; Dept has not entered an expected value","")&amp;IF((IF(OR(COUNTA(S170:U170)=0,AND(COUNTA(S170:U170)=3,ISNUMBER(U170))),0,1)+IF(OR(COUNTA(V170:X170)=0,AND(COUNTA(V170:X170)=3,ISNUMBER(X170))),0,1)+IF(OR(COUNTA(Y170:AA170)=0,AND(COUNTA(Y170:AA170)=3,ISNUMBER(AA170))),0,1)+IF(OR(COUNTA(AB170:AD170)=0,AND(COUNTA(AB170:AD170)=3,ISNUMBER(AD170))),0,1)+IF(OR(COUNTA(AE170:AG170)=0,AND(COUNTA(AE170:AG170)=3,ISNUMBER(AG170))),0,1)+IF(OR(COUNTA(AH170:AJ170)=0,AND(COUNTA(AH170:AJ170)=3,ISNUMBER(AJ170))),0,1)+IF(OR(COUNTA(AK170:AM170)=0,AND(COUNTA(AK170:AM170)=3,ISNUMBER(AM170))),0,1)+IF(OR(COUNTA(AN170:AP170)=0,AND(COUNTA(AN170:AP170)=3,ISNUMBER(AP170))),0,1)+IF(OR(COUNTA(AQ170:AS170)=0,AND(COUNTA(AQ170:AS170)=3,ISNUMBER(AS170))),0,1)+IF(OR(COUNTA(AT170:AV170)=0,AND(COUNTA(AT170:AV170)=3,ISNUMBER(AV170))),0,1)+IF(OR(COUNTA(AW170:AY170)=0,AND(COUNTA(AW170:AY170)=3,ISNUMBER(AY170))),0,1)+IF(OR(COUNTA(AZ170:BB170)=0,AND(COUNTA(AZ170:BB170)=3,ISNUMBER(BB170))),0,1))&gt;0,"; An invoice is incomplete (needs No, Date and a number in Ex GST)","")&amp;IF((IF(T170="",0,IFERROR(--(EOMONTH(T170,0)&lt;&gt;S$5),1))+IF(W170="",0,IFERROR(--(EOMONTH(W170,0)&lt;&gt;V$5),1))+IF(Z170="",0,IFERROR(--(EOMONTH(Z170,0)&lt;&gt;Y$5),1))+IF(AC170="",0,IFERROR(--(EOMONTH(AC170,0)&lt;&gt;AB$5),1))+IF(AF170="",0,IFERROR(--(EOMONTH(AF170,0)&lt;&gt;AE$5),1))+IF(AI170="",0,IFERROR(--(EOMONTH(AI170,0)&lt;&gt;AH$5),1))+IF(AL170="",0,IFERROR(--(EOMONTH(AL170,0)&lt;&gt;AK$5),1))+IF(AO170="",0,IFERROR(--(EOMONTH(AO170,0)&lt;&gt;AN$5),1))+IF(AR170="",0,IFERROR(--(EOMONTH(AR170,0)&lt;&gt;AQ$5),1))+IF(AU170="",0,IFERROR(--(EOMONTH(AU170,0)&lt;&gt;AT$5),1))+IF(AX170="",0,IFERROR(--(EOMONTH(AX170,0)&lt;&gt;AW$5),1))+IF(BA170="",0,IFERROR(--(EOMONTH(BA170,0)&lt;&gt;AZ$5),1)))&gt;0,"; An invoice date is not in the month it is typed under",""),3,500))</f>
        <v/>
      </c>
      <c r="S170" s="12" t="n"/>
      <c r="T170" s="13" t="n"/>
      <c r="U170" s="14" t="n"/>
      <c r="V170" s="12" t="n"/>
      <c r="W170" s="13" t="n"/>
      <c r="X170" s="14" t="n"/>
      <c r="Y170" s="12" t="n"/>
      <c r="Z170" s="13" t="n"/>
      <c r="AA170" s="14" t="n"/>
      <c r="AB170" s="12" t="n"/>
      <c r="AC170" s="13" t="n"/>
      <c r="AD170" s="14" t="n"/>
      <c r="AE170" s="12" t="n"/>
      <c r="AF170" s="13" t="n"/>
      <c r="AG170" s="14" t="n"/>
      <c r="AH170" s="12" t="n"/>
      <c r="AI170" s="13" t="n"/>
      <c r="AJ170" s="14" t="n"/>
      <c r="AK170" s="12" t="n"/>
      <c r="AL170" s="13" t="n"/>
      <c r="AM170" s="14" t="n"/>
      <c r="AN170" s="12" t="n"/>
      <c r="AO170" s="13" t="n"/>
      <c r="AP170" s="14" t="n"/>
      <c r="AQ170" s="12" t="n"/>
      <c r="AR170" s="13" t="n"/>
      <c r="AS170" s="14" t="n"/>
      <c r="AT170" s="12" t="n"/>
      <c r="AU170" s="13" t="n"/>
      <c r="AV170" s="14" t="n"/>
      <c r="AW170" s="12" t="n"/>
      <c r="AX170" s="13" t="n"/>
      <c r="AY170" s="14" t="n"/>
      <c r="AZ170" s="12" t="n"/>
      <c r="BA170" s="13" t="n"/>
      <c r="BB170" s="14" t="n"/>
      <c r="BC170" s="11">
        <f>IF(O170="","",IF(J170="GST 10%",ROUND(O170*set_GSTRate,2),0))</f>
        <v/>
      </c>
      <c r="BD170" s="11">
        <f>IF(O170="","",O170+BC170)</f>
        <v/>
      </c>
      <c r="BE170" s="15">
        <f>IF(O170="","",COUNTA(S170,V170,Y170,AB170,AE170,AH170,AK170,AN170,AQ170,AT170,AW170,AZ170))</f>
        <v/>
      </c>
      <c r="BF170" s="16">
        <f>IF(COUNT(T170,W170,Z170,AC170,AF170,AI170,AL170,AO170,AR170,AU170,AX170,BA170)=0,"",MAX(T170,W170,Z170,AC170,AF170,AI170,AL170,AO170,AR170,AU170,AX170,BA170))</f>
        <v/>
      </c>
      <c r="BG170" s="10">
        <f>MID(IF(S170="","",", "&amp;S170)&amp;IF(V170="","",", "&amp;V170)&amp;IF(Y170="","",", "&amp;Y170)&amp;IF(AB170="","",", "&amp;AB170)&amp;IF(AE170="","",", "&amp;AE170)&amp;IF(AH170="","",", "&amp;AH170)&amp;IF(AK170="","",", "&amp;AK170)&amp;IF(AN170="","",", "&amp;AN170)&amp;IF(AQ170="","",", "&amp;AQ170)&amp;IF(AT170="","",", "&amp;AT170)&amp;IF(AW170="","",", "&amp;AW170)&amp;IF(AZ170="","",", "&amp;AZ170),3,500)</f>
        <v/>
      </c>
      <c r="BH170" s="12" t="n"/>
      <c r="BI170" s="15">
        <f>IFERROR(MATCH($A170,IF($B170="Onsite",tbl_Onsite[Row ID],IF($B170="Production",tbl_Production[Row ID],tbl_Consulting[Row ID])),0),"")</f>
        <v/>
      </c>
    </row>
    <row r="171">
      <c r="A171" s="10" t="inlineStr">
        <is>
          <t>ONS-0165</t>
        </is>
      </c>
      <c r="B171" s="10" t="inlineStr">
        <is>
          <t>Onsite</t>
        </is>
      </c>
      <c r="C171" s="10">
        <f>IF($BI171="","",IF($B171="Onsite",INDEX(tbl_Onsite[Job Number],$BI171),IF($B171="Production",INDEX(tbl_Production[Job Number],$BI171),INDEX(tbl_Consulting[Job Number],$BI171)))&amp;"")</f>
        <v/>
      </c>
      <c r="D171" s="10">
        <f>IF($BI171="","",IF($B171="Onsite",INDEX(tbl_Onsite[Client],$BI171),IF($B171="Production",INDEX(tbl_Production[Client],$BI171),INDEX(tbl_Consulting[Client],$BI171)))&amp;"")</f>
        <v/>
      </c>
      <c r="E171" s="10">
        <f>IF($C171="","",IF(COUNTIF(lst_Jobs,$C171)&gt;0,"OK","CHECK"))</f>
        <v/>
      </c>
      <c r="F171" s="10">
        <f>IF($C171="","",IFERROR(INDEX(lst_JobName,MATCH($C171,lst_Jobs,0)),""))</f>
        <v/>
      </c>
      <c r="G171" s="10">
        <f>IF($BI171="","",IF($B171="Onsite",INDEX(tbl_Onsite[Job Description],$BI171),IF($B171="Production",INDEX(tbl_Production[Job Description],$BI171),INDEX(tbl_Consulting[Job Description],$BI171)))&amp;"")</f>
        <v/>
      </c>
      <c r="H171" s="10">
        <f>IF($BI171="","",IF($B171="Onsite",INDEX(tbl_Onsite[Cost Centre],$BI171),IF($B171="Production",INDEX(tbl_Production[Cost Centre],$BI171),INDEX(tbl_Consulting[Cost Centre],$BI171)))&amp;"")</f>
        <v/>
      </c>
      <c r="I171" s="10">
        <f>IF($BI171="","",IF($B171="Onsite",INDEX(tbl_Onsite[Invoice Type],$BI171),IF($B171="Production",INDEX(tbl_Production[Invoice Type],$BI171),INDEX(tbl_Consulting[Invoice Type],$BI171)))&amp;"")</f>
        <v/>
      </c>
      <c r="J171" s="10">
        <f>IF($BI171="","",IF($B171="Onsite",INDEX(tbl_Onsite[Tax Code],$BI171),IF($B171="Production",INDEX(tbl_Production[Tax Code],$BI171),INDEX(tbl_Consulting[Tax Code],$BI171)))&amp;"")</f>
        <v/>
      </c>
      <c r="K171" s="10">
        <f>IF(H171="","",IFERROR(INDEX(lst_CCtoGL,MATCH(H171,lst_CCforGL,0)),""))</f>
        <v/>
      </c>
      <c r="L171" s="10">
        <f>IF($BI171="","",IF($B171="Onsite",INDEX(tbl_Onsite[PO / Reference],$BI171),IF($B171="Production",INDEX(tbl_Production[Current RMS No],$BI171),INDEX(tbl_Consulting[Qwilr Quote],$BI171)))&amp;"")</f>
        <v/>
      </c>
      <c r="M171" s="10">
        <f>IF($BI171="","",IF($B171="Onsite",INDEX(tbl_Onsite[Notes],$BI171),IF($B171="Production",INDEX(tbl_Production[Notes],$BI171),INDEX(tbl_Consulting[Notes],$BI171)))&amp;"")</f>
        <v/>
      </c>
      <c r="N171" s="11">
        <f>IF($BI171="","",IF(IF($B171="Onsite",INDEX(tbl_Onsite[Expected Revenue Ex GST],$BI171),IF($B171="Production",INDEX(tbl_Production[Expected Revenue Ex GST],$BI171),INDEX(tbl_Consulting[Expected Revenue Ex GST],$BI171)))="","",IF($B171="Onsite",INDEX(tbl_Onsite[Expected Revenue Ex GST],$BI171),IF($B171="Production",INDEX(tbl_Production[Expected Revenue Ex GST],$BI171),INDEX(tbl_Consulting[Expected Revenue Ex GST],$BI171)))))</f>
        <v/>
      </c>
      <c r="O171" s="11">
        <f>IF(AND($C171="",NOT(COUNTA($S171:$BB171)&gt;0)),"",SUM(U171,X171,AA171,AD171,AG171,AJ171,AM171,AP171,AS171,AV171,AY171,BB171))</f>
        <v/>
      </c>
      <c r="P171" s="11">
        <f>IF(O171="","",N(N171)-O171)</f>
        <v/>
      </c>
      <c r="Q171" s="10">
        <f>IF(O171="","",IF($C171="","Invoice on empty job row",IF(N171="",IF(ROUND(O171,2)=0,"No dept value","Invoiced - no dept value"),IF(ROUND(O171,2)=0,"Not invoiced - to invoice",IF(ROUND(P171,2)=0,"Agrees",IF(P171&gt;0,"Dept higher - to invoice","Xero higher - check dept"))))))</f>
        <v/>
      </c>
      <c r="R171" s="10">
        <f>IF(AND($C171="",NOT(COUNTA($S171:$BB171)&gt;0),$BI171&lt;&gt;""),"",MID(IF($BI171="","; Row ID not found on the department sheet - a row was deleted","")&amp;IF(AND($C171="",COUNTA($S171:$BB171)&gt;0),"; Invoice entered but the department row has no job number","")&amp;IF(E171="CHECK","; Job number not in the Xero job list","")&amp;IF(AND($C171&lt;&gt;"",COUNTIF($C$7:$C$1506,$C171)&gt;1),"; Job number on more than one row","")&amp;IF(AND($C171&lt;&gt;"",H171=""),"; Dept has not set a cost centre","")&amp;IF(AND($C171&lt;&gt;"",J171=""),"; Dept has not set a tax code","")&amp;IF(AND($C171&lt;&gt;"",N171=""),"; Dept has not entered an expected value","")&amp;IF((IF(OR(COUNTA(S171:U171)=0,AND(COUNTA(S171:U171)=3,ISNUMBER(U171))),0,1)+IF(OR(COUNTA(V171:X171)=0,AND(COUNTA(V171:X171)=3,ISNUMBER(X171))),0,1)+IF(OR(COUNTA(Y171:AA171)=0,AND(COUNTA(Y171:AA171)=3,ISNUMBER(AA171))),0,1)+IF(OR(COUNTA(AB171:AD171)=0,AND(COUNTA(AB171:AD171)=3,ISNUMBER(AD171))),0,1)+IF(OR(COUNTA(AE171:AG171)=0,AND(COUNTA(AE171:AG171)=3,ISNUMBER(AG171))),0,1)+IF(OR(COUNTA(AH171:AJ171)=0,AND(COUNTA(AH171:AJ171)=3,ISNUMBER(AJ171))),0,1)+IF(OR(COUNTA(AK171:AM171)=0,AND(COUNTA(AK171:AM171)=3,ISNUMBER(AM171))),0,1)+IF(OR(COUNTA(AN171:AP171)=0,AND(COUNTA(AN171:AP171)=3,ISNUMBER(AP171))),0,1)+IF(OR(COUNTA(AQ171:AS171)=0,AND(COUNTA(AQ171:AS171)=3,ISNUMBER(AS171))),0,1)+IF(OR(COUNTA(AT171:AV171)=0,AND(COUNTA(AT171:AV171)=3,ISNUMBER(AV171))),0,1)+IF(OR(COUNTA(AW171:AY171)=0,AND(COUNTA(AW171:AY171)=3,ISNUMBER(AY171))),0,1)+IF(OR(COUNTA(AZ171:BB171)=0,AND(COUNTA(AZ171:BB171)=3,ISNUMBER(BB171))),0,1))&gt;0,"; An invoice is incomplete (needs No, Date and a number in Ex GST)","")&amp;IF((IF(T171="",0,IFERROR(--(EOMONTH(T171,0)&lt;&gt;S$5),1))+IF(W171="",0,IFERROR(--(EOMONTH(W171,0)&lt;&gt;V$5),1))+IF(Z171="",0,IFERROR(--(EOMONTH(Z171,0)&lt;&gt;Y$5),1))+IF(AC171="",0,IFERROR(--(EOMONTH(AC171,0)&lt;&gt;AB$5),1))+IF(AF171="",0,IFERROR(--(EOMONTH(AF171,0)&lt;&gt;AE$5),1))+IF(AI171="",0,IFERROR(--(EOMONTH(AI171,0)&lt;&gt;AH$5),1))+IF(AL171="",0,IFERROR(--(EOMONTH(AL171,0)&lt;&gt;AK$5),1))+IF(AO171="",0,IFERROR(--(EOMONTH(AO171,0)&lt;&gt;AN$5),1))+IF(AR171="",0,IFERROR(--(EOMONTH(AR171,0)&lt;&gt;AQ$5),1))+IF(AU171="",0,IFERROR(--(EOMONTH(AU171,0)&lt;&gt;AT$5),1))+IF(AX171="",0,IFERROR(--(EOMONTH(AX171,0)&lt;&gt;AW$5),1))+IF(BA171="",0,IFERROR(--(EOMONTH(BA171,0)&lt;&gt;AZ$5),1)))&gt;0,"; An invoice date is not in the month it is typed under",""),3,500))</f>
        <v/>
      </c>
      <c r="S171" s="12" t="n"/>
      <c r="T171" s="13" t="n"/>
      <c r="U171" s="14" t="n"/>
      <c r="V171" s="12" t="n"/>
      <c r="W171" s="13" t="n"/>
      <c r="X171" s="14" t="n"/>
      <c r="Y171" s="12" t="n"/>
      <c r="Z171" s="13" t="n"/>
      <c r="AA171" s="14" t="n"/>
      <c r="AB171" s="12" t="n"/>
      <c r="AC171" s="13" t="n"/>
      <c r="AD171" s="14" t="n"/>
      <c r="AE171" s="12" t="n"/>
      <c r="AF171" s="13" t="n"/>
      <c r="AG171" s="14" t="n"/>
      <c r="AH171" s="12" t="n"/>
      <c r="AI171" s="13" t="n"/>
      <c r="AJ171" s="14" t="n"/>
      <c r="AK171" s="12" t="n"/>
      <c r="AL171" s="13" t="n"/>
      <c r="AM171" s="14" t="n"/>
      <c r="AN171" s="12" t="n"/>
      <c r="AO171" s="13" t="n"/>
      <c r="AP171" s="14" t="n"/>
      <c r="AQ171" s="12" t="n"/>
      <c r="AR171" s="13" t="n"/>
      <c r="AS171" s="14" t="n"/>
      <c r="AT171" s="12" t="n"/>
      <c r="AU171" s="13" t="n"/>
      <c r="AV171" s="14" t="n"/>
      <c r="AW171" s="12" t="n"/>
      <c r="AX171" s="13" t="n"/>
      <c r="AY171" s="14" t="n"/>
      <c r="AZ171" s="12" t="n"/>
      <c r="BA171" s="13" t="n"/>
      <c r="BB171" s="14" t="n"/>
      <c r="BC171" s="11">
        <f>IF(O171="","",IF(J171="GST 10%",ROUND(O171*set_GSTRate,2),0))</f>
        <v/>
      </c>
      <c r="BD171" s="11">
        <f>IF(O171="","",O171+BC171)</f>
        <v/>
      </c>
      <c r="BE171" s="15">
        <f>IF(O171="","",COUNTA(S171,V171,Y171,AB171,AE171,AH171,AK171,AN171,AQ171,AT171,AW171,AZ171))</f>
        <v/>
      </c>
      <c r="BF171" s="16">
        <f>IF(COUNT(T171,W171,Z171,AC171,AF171,AI171,AL171,AO171,AR171,AU171,AX171,BA171)=0,"",MAX(T171,W171,Z171,AC171,AF171,AI171,AL171,AO171,AR171,AU171,AX171,BA171))</f>
        <v/>
      </c>
      <c r="BG171" s="10">
        <f>MID(IF(S171="","",", "&amp;S171)&amp;IF(V171="","",", "&amp;V171)&amp;IF(Y171="","",", "&amp;Y171)&amp;IF(AB171="","",", "&amp;AB171)&amp;IF(AE171="","",", "&amp;AE171)&amp;IF(AH171="","",", "&amp;AH171)&amp;IF(AK171="","",", "&amp;AK171)&amp;IF(AN171="","",", "&amp;AN171)&amp;IF(AQ171="","",", "&amp;AQ171)&amp;IF(AT171="","",", "&amp;AT171)&amp;IF(AW171="","",", "&amp;AW171)&amp;IF(AZ171="","",", "&amp;AZ171),3,500)</f>
        <v/>
      </c>
      <c r="BH171" s="12" t="n"/>
      <c r="BI171" s="15">
        <f>IFERROR(MATCH($A171,IF($B171="Onsite",tbl_Onsite[Row ID],IF($B171="Production",tbl_Production[Row ID],tbl_Consulting[Row ID])),0),"")</f>
        <v/>
      </c>
    </row>
    <row r="172">
      <c r="A172" s="10" t="inlineStr">
        <is>
          <t>ONS-0166</t>
        </is>
      </c>
      <c r="B172" s="10" t="inlineStr">
        <is>
          <t>Onsite</t>
        </is>
      </c>
      <c r="C172" s="10">
        <f>IF($BI172="","",IF($B172="Onsite",INDEX(tbl_Onsite[Job Number],$BI172),IF($B172="Production",INDEX(tbl_Production[Job Number],$BI172),INDEX(tbl_Consulting[Job Number],$BI172)))&amp;"")</f>
        <v/>
      </c>
      <c r="D172" s="10">
        <f>IF($BI172="","",IF($B172="Onsite",INDEX(tbl_Onsite[Client],$BI172),IF($B172="Production",INDEX(tbl_Production[Client],$BI172),INDEX(tbl_Consulting[Client],$BI172)))&amp;"")</f>
        <v/>
      </c>
      <c r="E172" s="10">
        <f>IF($C172="","",IF(COUNTIF(lst_Jobs,$C172)&gt;0,"OK","CHECK"))</f>
        <v/>
      </c>
      <c r="F172" s="10">
        <f>IF($C172="","",IFERROR(INDEX(lst_JobName,MATCH($C172,lst_Jobs,0)),""))</f>
        <v/>
      </c>
      <c r="G172" s="10">
        <f>IF($BI172="","",IF($B172="Onsite",INDEX(tbl_Onsite[Job Description],$BI172),IF($B172="Production",INDEX(tbl_Production[Job Description],$BI172),INDEX(tbl_Consulting[Job Description],$BI172)))&amp;"")</f>
        <v/>
      </c>
      <c r="H172" s="10">
        <f>IF($BI172="","",IF($B172="Onsite",INDEX(tbl_Onsite[Cost Centre],$BI172),IF($B172="Production",INDEX(tbl_Production[Cost Centre],$BI172),INDEX(tbl_Consulting[Cost Centre],$BI172)))&amp;"")</f>
        <v/>
      </c>
      <c r="I172" s="10">
        <f>IF($BI172="","",IF($B172="Onsite",INDEX(tbl_Onsite[Invoice Type],$BI172),IF($B172="Production",INDEX(tbl_Production[Invoice Type],$BI172),INDEX(tbl_Consulting[Invoice Type],$BI172)))&amp;"")</f>
        <v/>
      </c>
      <c r="J172" s="10">
        <f>IF($BI172="","",IF($B172="Onsite",INDEX(tbl_Onsite[Tax Code],$BI172),IF($B172="Production",INDEX(tbl_Production[Tax Code],$BI172),INDEX(tbl_Consulting[Tax Code],$BI172)))&amp;"")</f>
        <v/>
      </c>
      <c r="K172" s="10">
        <f>IF(H172="","",IFERROR(INDEX(lst_CCtoGL,MATCH(H172,lst_CCforGL,0)),""))</f>
        <v/>
      </c>
      <c r="L172" s="10">
        <f>IF($BI172="","",IF($B172="Onsite",INDEX(tbl_Onsite[PO / Reference],$BI172),IF($B172="Production",INDEX(tbl_Production[Current RMS No],$BI172),INDEX(tbl_Consulting[Qwilr Quote],$BI172)))&amp;"")</f>
        <v/>
      </c>
      <c r="M172" s="10">
        <f>IF($BI172="","",IF($B172="Onsite",INDEX(tbl_Onsite[Notes],$BI172),IF($B172="Production",INDEX(tbl_Production[Notes],$BI172),INDEX(tbl_Consulting[Notes],$BI172)))&amp;"")</f>
        <v/>
      </c>
      <c r="N172" s="11">
        <f>IF($BI172="","",IF(IF($B172="Onsite",INDEX(tbl_Onsite[Expected Revenue Ex GST],$BI172),IF($B172="Production",INDEX(tbl_Production[Expected Revenue Ex GST],$BI172),INDEX(tbl_Consulting[Expected Revenue Ex GST],$BI172)))="","",IF($B172="Onsite",INDEX(tbl_Onsite[Expected Revenue Ex GST],$BI172),IF($B172="Production",INDEX(tbl_Production[Expected Revenue Ex GST],$BI172),INDEX(tbl_Consulting[Expected Revenue Ex GST],$BI172)))))</f>
        <v/>
      </c>
      <c r="O172" s="11">
        <f>IF(AND($C172="",NOT(COUNTA($S172:$BB172)&gt;0)),"",SUM(U172,X172,AA172,AD172,AG172,AJ172,AM172,AP172,AS172,AV172,AY172,BB172))</f>
        <v/>
      </c>
      <c r="P172" s="11">
        <f>IF(O172="","",N(N172)-O172)</f>
        <v/>
      </c>
      <c r="Q172" s="10">
        <f>IF(O172="","",IF($C172="","Invoice on empty job row",IF(N172="",IF(ROUND(O172,2)=0,"No dept value","Invoiced - no dept value"),IF(ROUND(O172,2)=0,"Not invoiced - to invoice",IF(ROUND(P172,2)=0,"Agrees",IF(P172&gt;0,"Dept higher - to invoice","Xero higher - check dept"))))))</f>
        <v/>
      </c>
      <c r="R172" s="10">
        <f>IF(AND($C172="",NOT(COUNTA($S172:$BB172)&gt;0),$BI172&lt;&gt;""),"",MID(IF($BI172="","; Row ID not found on the department sheet - a row was deleted","")&amp;IF(AND($C172="",COUNTA($S172:$BB172)&gt;0),"; Invoice entered but the department row has no job number","")&amp;IF(E172="CHECK","; Job number not in the Xero job list","")&amp;IF(AND($C172&lt;&gt;"",COUNTIF($C$7:$C$1506,$C172)&gt;1),"; Job number on more than one row","")&amp;IF(AND($C172&lt;&gt;"",H172=""),"; Dept has not set a cost centre","")&amp;IF(AND($C172&lt;&gt;"",J172=""),"; Dept has not set a tax code","")&amp;IF(AND($C172&lt;&gt;"",N172=""),"; Dept has not entered an expected value","")&amp;IF((IF(OR(COUNTA(S172:U172)=0,AND(COUNTA(S172:U172)=3,ISNUMBER(U172))),0,1)+IF(OR(COUNTA(V172:X172)=0,AND(COUNTA(V172:X172)=3,ISNUMBER(X172))),0,1)+IF(OR(COUNTA(Y172:AA172)=0,AND(COUNTA(Y172:AA172)=3,ISNUMBER(AA172))),0,1)+IF(OR(COUNTA(AB172:AD172)=0,AND(COUNTA(AB172:AD172)=3,ISNUMBER(AD172))),0,1)+IF(OR(COUNTA(AE172:AG172)=0,AND(COUNTA(AE172:AG172)=3,ISNUMBER(AG172))),0,1)+IF(OR(COUNTA(AH172:AJ172)=0,AND(COUNTA(AH172:AJ172)=3,ISNUMBER(AJ172))),0,1)+IF(OR(COUNTA(AK172:AM172)=0,AND(COUNTA(AK172:AM172)=3,ISNUMBER(AM172))),0,1)+IF(OR(COUNTA(AN172:AP172)=0,AND(COUNTA(AN172:AP172)=3,ISNUMBER(AP172))),0,1)+IF(OR(COUNTA(AQ172:AS172)=0,AND(COUNTA(AQ172:AS172)=3,ISNUMBER(AS172))),0,1)+IF(OR(COUNTA(AT172:AV172)=0,AND(COUNTA(AT172:AV172)=3,ISNUMBER(AV172))),0,1)+IF(OR(COUNTA(AW172:AY172)=0,AND(COUNTA(AW172:AY172)=3,ISNUMBER(AY172))),0,1)+IF(OR(COUNTA(AZ172:BB172)=0,AND(COUNTA(AZ172:BB172)=3,ISNUMBER(BB172))),0,1))&gt;0,"; An invoice is incomplete (needs No, Date and a number in Ex GST)","")&amp;IF((IF(T172="",0,IFERROR(--(EOMONTH(T172,0)&lt;&gt;S$5),1))+IF(W172="",0,IFERROR(--(EOMONTH(W172,0)&lt;&gt;V$5),1))+IF(Z172="",0,IFERROR(--(EOMONTH(Z172,0)&lt;&gt;Y$5),1))+IF(AC172="",0,IFERROR(--(EOMONTH(AC172,0)&lt;&gt;AB$5),1))+IF(AF172="",0,IFERROR(--(EOMONTH(AF172,0)&lt;&gt;AE$5),1))+IF(AI172="",0,IFERROR(--(EOMONTH(AI172,0)&lt;&gt;AH$5),1))+IF(AL172="",0,IFERROR(--(EOMONTH(AL172,0)&lt;&gt;AK$5),1))+IF(AO172="",0,IFERROR(--(EOMONTH(AO172,0)&lt;&gt;AN$5),1))+IF(AR172="",0,IFERROR(--(EOMONTH(AR172,0)&lt;&gt;AQ$5),1))+IF(AU172="",0,IFERROR(--(EOMONTH(AU172,0)&lt;&gt;AT$5),1))+IF(AX172="",0,IFERROR(--(EOMONTH(AX172,0)&lt;&gt;AW$5),1))+IF(BA172="",0,IFERROR(--(EOMONTH(BA172,0)&lt;&gt;AZ$5),1)))&gt;0,"; An invoice date is not in the month it is typed under",""),3,500))</f>
        <v/>
      </c>
      <c r="S172" s="12" t="n"/>
      <c r="T172" s="13" t="n"/>
      <c r="U172" s="14" t="n"/>
      <c r="V172" s="12" t="n"/>
      <c r="W172" s="13" t="n"/>
      <c r="X172" s="14" t="n"/>
      <c r="Y172" s="12" t="n"/>
      <c r="Z172" s="13" t="n"/>
      <c r="AA172" s="14" t="n"/>
      <c r="AB172" s="12" t="n"/>
      <c r="AC172" s="13" t="n"/>
      <c r="AD172" s="14" t="n"/>
      <c r="AE172" s="12" t="n"/>
      <c r="AF172" s="13" t="n"/>
      <c r="AG172" s="14" t="n"/>
      <c r="AH172" s="12" t="n"/>
      <c r="AI172" s="13" t="n"/>
      <c r="AJ172" s="14" t="n"/>
      <c r="AK172" s="12" t="n"/>
      <c r="AL172" s="13" t="n"/>
      <c r="AM172" s="14" t="n"/>
      <c r="AN172" s="12" t="n"/>
      <c r="AO172" s="13" t="n"/>
      <c r="AP172" s="14" t="n"/>
      <c r="AQ172" s="12" t="n"/>
      <c r="AR172" s="13" t="n"/>
      <c r="AS172" s="14" t="n"/>
      <c r="AT172" s="12" t="n"/>
      <c r="AU172" s="13" t="n"/>
      <c r="AV172" s="14" t="n"/>
      <c r="AW172" s="12" t="n"/>
      <c r="AX172" s="13" t="n"/>
      <c r="AY172" s="14" t="n"/>
      <c r="AZ172" s="12" t="n"/>
      <c r="BA172" s="13" t="n"/>
      <c r="BB172" s="14" t="n"/>
      <c r="BC172" s="11">
        <f>IF(O172="","",IF(J172="GST 10%",ROUND(O172*set_GSTRate,2),0))</f>
        <v/>
      </c>
      <c r="BD172" s="11">
        <f>IF(O172="","",O172+BC172)</f>
        <v/>
      </c>
      <c r="BE172" s="15">
        <f>IF(O172="","",COUNTA(S172,V172,Y172,AB172,AE172,AH172,AK172,AN172,AQ172,AT172,AW172,AZ172))</f>
        <v/>
      </c>
      <c r="BF172" s="16">
        <f>IF(COUNT(T172,W172,Z172,AC172,AF172,AI172,AL172,AO172,AR172,AU172,AX172,BA172)=0,"",MAX(T172,W172,Z172,AC172,AF172,AI172,AL172,AO172,AR172,AU172,AX172,BA172))</f>
        <v/>
      </c>
      <c r="BG172" s="10">
        <f>MID(IF(S172="","",", "&amp;S172)&amp;IF(V172="","",", "&amp;V172)&amp;IF(Y172="","",", "&amp;Y172)&amp;IF(AB172="","",", "&amp;AB172)&amp;IF(AE172="","",", "&amp;AE172)&amp;IF(AH172="","",", "&amp;AH172)&amp;IF(AK172="","",", "&amp;AK172)&amp;IF(AN172="","",", "&amp;AN172)&amp;IF(AQ172="","",", "&amp;AQ172)&amp;IF(AT172="","",", "&amp;AT172)&amp;IF(AW172="","",", "&amp;AW172)&amp;IF(AZ172="","",", "&amp;AZ172),3,500)</f>
        <v/>
      </c>
      <c r="BH172" s="12" t="n"/>
      <c r="BI172" s="15">
        <f>IFERROR(MATCH($A172,IF($B172="Onsite",tbl_Onsite[Row ID],IF($B172="Production",tbl_Production[Row ID],tbl_Consulting[Row ID])),0),"")</f>
        <v/>
      </c>
    </row>
    <row r="173">
      <c r="A173" s="10" t="inlineStr">
        <is>
          <t>ONS-0167</t>
        </is>
      </c>
      <c r="B173" s="10" t="inlineStr">
        <is>
          <t>Onsite</t>
        </is>
      </c>
      <c r="C173" s="10">
        <f>IF($BI173="","",IF($B173="Onsite",INDEX(tbl_Onsite[Job Number],$BI173),IF($B173="Production",INDEX(tbl_Production[Job Number],$BI173),INDEX(tbl_Consulting[Job Number],$BI173)))&amp;"")</f>
        <v/>
      </c>
      <c r="D173" s="10">
        <f>IF($BI173="","",IF($B173="Onsite",INDEX(tbl_Onsite[Client],$BI173),IF($B173="Production",INDEX(tbl_Production[Client],$BI173),INDEX(tbl_Consulting[Client],$BI173)))&amp;"")</f>
        <v/>
      </c>
      <c r="E173" s="10">
        <f>IF($C173="","",IF(COUNTIF(lst_Jobs,$C173)&gt;0,"OK","CHECK"))</f>
        <v/>
      </c>
      <c r="F173" s="10">
        <f>IF($C173="","",IFERROR(INDEX(lst_JobName,MATCH($C173,lst_Jobs,0)),""))</f>
        <v/>
      </c>
      <c r="G173" s="10">
        <f>IF($BI173="","",IF($B173="Onsite",INDEX(tbl_Onsite[Job Description],$BI173),IF($B173="Production",INDEX(tbl_Production[Job Description],$BI173),INDEX(tbl_Consulting[Job Description],$BI173)))&amp;"")</f>
        <v/>
      </c>
      <c r="H173" s="10">
        <f>IF($BI173="","",IF($B173="Onsite",INDEX(tbl_Onsite[Cost Centre],$BI173),IF($B173="Production",INDEX(tbl_Production[Cost Centre],$BI173),INDEX(tbl_Consulting[Cost Centre],$BI173)))&amp;"")</f>
        <v/>
      </c>
      <c r="I173" s="10">
        <f>IF($BI173="","",IF($B173="Onsite",INDEX(tbl_Onsite[Invoice Type],$BI173),IF($B173="Production",INDEX(tbl_Production[Invoice Type],$BI173),INDEX(tbl_Consulting[Invoice Type],$BI173)))&amp;"")</f>
        <v/>
      </c>
      <c r="J173" s="10">
        <f>IF($BI173="","",IF($B173="Onsite",INDEX(tbl_Onsite[Tax Code],$BI173),IF($B173="Production",INDEX(tbl_Production[Tax Code],$BI173),INDEX(tbl_Consulting[Tax Code],$BI173)))&amp;"")</f>
        <v/>
      </c>
      <c r="K173" s="10">
        <f>IF(H173="","",IFERROR(INDEX(lst_CCtoGL,MATCH(H173,lst_CCforGL,0)),""))</f>
        <v/>
      </c>
      <c r="L173" s="10">
        <f>IF($BI173="","",IF($B173="Onsite",INDEX(tbl_Onsite[PO / Reference],$BI173),IF($B173="Production",INDEX(tbl_Production[Current RMS No],$BI173),INDEX(tbl_Consulting[Qwilr Quote],$BI173)))&amp;"")</f>
        <v/>
      </c>
      <c r="M173" s="10">
        <f>IF($BI173="","",IF($B173="Onsite",INDEX(tbl_Onsite[Notes],$BI173),IF($B173="Production",INDEX(tbl_Production[Notes],$BI173),INDEX(tbl_Consulting[Notes],$BI173)))&amp;"")</f>
        <v/>
      </c>
      <c r="N173" s="11">
        <f>IF($BI173="","",IF(IF($B173="Onsite",INDEX(tbl_Onsite[Expected Revenue Ex GST],$BI173),IF($B173="Production",INDEX(tbl_Production[Expected Revenue Ex GST],$BI173),INDEX(tbl_Consulting[Expected Revenue Ex GST],$BI173)))="","",IF($B173="Onsite",INDEX(tbl_Onsite[Expected Revenue Ex GST],$BI173),IF($B173="Production",INDEX(tbl_Production[Expected Revenue Ex GST],$BI173),INDEX(tbl_Consulting[Expected Revenue Ex GST],$BI173)))))</f>
        <v/>
      </c>
      <c r="O173" s="11">
        <f>IF(AND($C173="",NOT(COUNTA($S173:$BB173)&gt;0)),"",SUM(U173,X173,AA173,AD173,AG173,AJ173,AM173,AP173,AS173,AV173,AY173,BB173))</f>
        <v/>
      </c>
      <c r="P173" s="11">
        <f>IF(O173="","",N(N173)-O173)</f>
        <v/>
      </c>
      <c r="Q173" s="10">
        <f>IF(O173="","",IF($C173="","Invoice on empty job row",IF(N173="",IF(ROUND(O173,2)=0,"No dept value","Invoiced - no dept value"),IF(ROUND(O173,2)=0,"Not invoiced - to invoice",IF(ROUND(P173,2)=0,"Agrees",IF(P173&gt;0,"Dept higher - to invoice","Xero higher - check dept"))))))</f>
        <v/>
      </c>
      <c r="R173" s="10">
        <f>IF(AND($C173="",NOT(COUNTA($S173:$BB173)&gt;0),$BI173&lt;&gt;""),"",MID(IF($BI173="","; Row ID not found on the department sheet - a row was deleted","")&amp;IF(AND($C173="",COUNTA($S173:$BB173)&gt;0),"; Invoice entered but the department row has no job number","")&amp;IF(E173="CHECK","; Job number not in the Xero job list","")&amp;IF(AND($C173&lt;&gt;"",COUNTIF($C$7:$C$1506,$C173)&gt;1),"; Job number on more than one row","")&amp;IF(AND($C173&lt;&gt;"",H173=""),"; Dept has not set a cost centre","")&amp;IF(AND($C173&lt;&gt;"",J173=""),"; Dept has not set a tax code","")&amp;IF(AND($C173&lt;&gt;"",N173=""),"; Dept has not entered an expected value","")&amp;IF((IF(OR(COUNTA(S173:U173)=0,AND(COUNTA(S173:U173)=3,ISNUMBER(U173))),0,1)+IF(OR(COUNTA(V173:X173)=0,AND(COUNTA(V173:X173)=3,ISNUMBER(X173))),0,1)+IF(OR(COUNTA(Y173:AA173)=0,AND(COUNTA(Y173:AA173)=3,ISNUMBER(AA173))),0,1)+IF(OR(COUNTA(AB173:AD173)=0,AND(COUNTA(AB173:AD173)=3,ISNUMBER(AD173))),0,1)+IF(OR(COUNTA(AE173:AG173)=0,AND(COUNTA(AE173:AG173)=3,ISNUMBER(AG173))),0,1)+IF(OR(COUNTA(AH173:AJ173)=0,AND(COUNTA(AH173:AJ173)=3,ISNUMBER(AJ173))),0,1)+IF(OR(COUNTA(AK173:AM173)=0,AND(COUNTA(AK173:AM173)=3,ISNUMBER(AM173))),0,1)+IF(OR(COUNTA(AN173:AP173)=0,AND(COUNTA(AN173:AP173)=3,ISNUMBER(AP173))),0,1)+IF(OR(COUNTA(AQ173:AS173)=0,AND(COUNTA(AQ173:AS173)=3,ISNUMBER(AS173))),0,1)+IF(OR(COUNTA(AT173:AV173)=0,AND(COUNTA(AT173:AV173)=3,ISNUMBER(AV173))),0,1)+IF(OR(COUNTA(AW173:AY173)=0,AND(COUNTA(AW173:AY173)=3,ISNUMBER(AY173))),0,1)+IF(OR(COUNTA(AZ173:BB173)=0,AND(COUNTA(AZ173:BB173)=3,ISNUMBER(BB173))),0,1))&gt;0,"; An invoice is incomplete (needs No, Date and a number in Ex GST)","")&amp;IF((IF(T173="",0,IFERROR(--(EOMONTH(T173,0)&lt;&gt;S$5),1))+IF(W173="",0,IFERROR(--(EOMONTH(W173,0)&lt;&gt;V$5),1))+IF(Z173="",0,IFERROR(--(EOMONTH(Z173,0)&lt;&gt;Y$5),1))+IF(AC173="",0,IFERROR(--(EOMONTH(AC173,0)&lt;&gt;AB$5),1))+IF(AF173="",0,IFERROR(--(EOMONTH(AF173,0)&lt;&gt;AE$5),1))+IF(AI173="",0,IFERROR(--(EOMONTH(AI173,0)&lt;&gt;AH$5),1))+IF(AL173="",0,IFERROR(--(EOMONTH(AL173,0)&lt;&gt;AK$5),1))+IF(AO173="",0,IFERROR(--(EOMONTH(AO173,0)&lt;&gt;AN$5),1))+IF(AR173="",0,IFERROR(--(EOMONTH(AR173,0)&lt;&gt;AQ$5),1))+IF(AU173="",0,IFERROR(--(EOMONTH(AU173,0)&lt;&gt;AT$5),1))+IF(AX173="",0,IFERROR(--(EOMONTH(AX173,0)&lt;&gt;AW$5),1))+IF(BA173="",0,IFERROR(--(EOMONTH(BA173,0)&lt;&gt;AZ$5),1)))&gt;0,"; An invoice date is not in the month it is typed under",""),3,500))</f>
        <v/>
      </c>
      <c r="S173" s="12" t="n"/>
      <c r="T173" s="13" t="n"/>
      <c r="U173" s="14" t="n"/>
      <c r="V173" s="12" t="n"/>
      <c r="W173" s="13" t="n"/>
      <c r="X173" s="14" t="n"/>
      <c r="Y173" s="12" t="n"/>
      <c r="Z173" s="13" t="n"/>
      <c r="AA173" s="14" t="n"/>
      <c r="AB173" s="12" t="n"/>
      <c r="AC173" s="13" t="n"/>
      <c r="AD173" s="14" t="n"/>
      <c r="AE173" s="12" t="n"/>
      <c r="AF173" s="13" t="n"/>
      <c r="AG173" s="14" t="n"/>
      <c r="AH173" s="12" t="n"/>
      <c r="AI173" s="13" t="n"/>
      <c r="AJ173" s="14" t="n"/>
      <c r="AK173" s="12" t="n"/>
      <c r="AL173" s="13" t="n"/>
      <c r="AM173" s="14" t="n"/>
      <c r="AN173" s="12" t="n"/>
      <c r="AO173" s="13" t="n"/>
      <c r="AP173" s="14" t="n"/>
      <c r="AQ173" s="12" t="n"/>
      <c r="AR173" s="13" t="n"/>
      <c r="AS173" s="14" t="n"/>
      <c r="AT173" s="12" t="n"/>
      <c r="AU173" s="13" t="n"/>
      <c r="AV173" s="14" t="n"/>
      <c r="AW173" s="12" t="n"/>
      <c r="AX173" s="13" t="n"/>
      <c r="AY173" s="14" t="n"/>
      <c r="AZ173" s="12" t="n"/>
      <c r="BA173" s="13" t="n"/>
      <c r="BB173" s="14" t="n"/>
      <c r="BC173" s="11">
        <f>IF(O173="","",IF(J173="GST 10%",ROUND(O173*set_GSTRate,2),0))</f>
        <v/>
      </c>
      <c r="BD173" s="11">
        <f>IF(O173="","",O173+BC173)</f>
        <v/>
      </c>
      <c r="BE173" s="15">
        <f>IF(O173="","",COUNTA(S173,V173,Y173,AB173,AE173,AH173,AK173,AN173,AQ173,AT173,AW173,AZ173))</f>
        <v/>
      </c>
      <c r="BF173" s="16">
        <f>IF(COUNT(T173,W173,Z173,AC173,AF173,AI173,AL173,AO173,AR173,AU173,AX173,BA173)=0,"",MAX(T173,W173,Z173,AC173,AF173,AI173,AL173,AO173,AR173,AU173,AX173,BA173))</f>
        <v/>
      </c>
      <c r="BG173" s="10">
        <f>MID(IF(S173="","",", "&amp;S173)&amp;IF(V173="","",", "&amp;V173)&amp;IF(Y173="","",", "&amp;Y173)&amp;IF(AB173="","",", "&amp;AB173)&amp;IF(AE173="","",", "&amp;AE173)&amp;IF(AH173="","",", "&amp;AH173)&amp;IF(AK173="","",", "&amp;AK173)&amp;IF(AN173="","",", "&amp;AN173)&amp;IF(AQ173="","",", "&amp;AQ173)&amp;IF(AT173="","",", "&amp;AT173)&amp;IF(AW173="","",", "&amp;AW173)&amp;IF(AZ173="","",", "&amp;AZ173),3,500)</f>
        <v/>
      </c>
      <c r="BH173" s="12" t="n"/>
      <c r="BI173" s="15">
        <f>IFERROR(MATCH($A173,IF($B173="Onsite",tbl_Onsite[Row ID],IF($B173="Production",tbl_Production[Row ID],tbl_Consulting[Row ID])),0),"")</f>
        <v/>
      </c>
    </row>
    <row r="174">
      <c r="A174" s="10" t="inlineStr">
        <is>
          <t>ONS-0168</t>
        </is>
      </c>
      <c r="B174" s="10" t="inlineStr">
        <is>
          <t>Onsite</t>
        </is>
      </c>
      <c r="C174" s="10">
        <f>IF($BI174="","",IF($B174="Onsite",INDEX(tbl_Onsite[Job Number],$BI174),IF($B174="Production",INDEX(tbl_Production[Job Number],$BI174),INDEX(tbl_Consulting[Job Number],$BI174)))&amp;"")</f>
        <v/>
      </c>
      <c r="D174" s="10">
        <f>IF($BI174="","",IF($B174="Onsite",INDEX(tbl_Onsite[Client],$BI174),IF($B174="Production",INDEX(tbl_Production[Client],$BI174),INDEX(tbl_Consulting[Client],$BI174)))&amp;"")</f>
        <v/>
      </c>
      <c r="E174" s="10">
        <f>IF($C174="","",IF(COUNTIF(lst_Jobs,$C174)&gt;0,"OK","CHECK"))</f>
        <v/>
      </c>
      <c r="F174" s="10">
        <f>IF($C174="","",IFERROR(INDEX(lst_JobName,MATCH($C174,lst_Jobs,0)),""))</f>
        <v/>
      </c>
      <c r="G174" s="10">
        <f>IF($BI174="","",IF($B174="Onsite",INDEX(tbl_Onsite[Job Description],$BI174),IF($B174="Production",INDEX(tbl_Production[Job Description],$BI174),INDEX(tbl_Consulting[Job Description],$BI174)))&amp;"")</f>
        <v/>
      </c>
      <c r="H174" s="10">
        <f>IF($BI174="","",IF($B174="Onsite",INDEX(tbl_Onsite[Cost Centre],$BI174),IF($B174="Production",INDEX(tbl_Production[Cost Centre],$BI174),INDEX(tbl_Consulting[Cost Centre],$BI174)))&amp;"")</f>
        <v/>
      </c>
      <c r="I174" s="10">
        <f>IF($BI174="","",IF($B174="Onsite",INDEX(tbl_Onsite[Invoice Type],$BI174),IF($B174="Production",INDEX(tbl_Production[Invoice Type],$BI174),INDEX(tbl_Consulting[Invoice Type],$BI174)))&amp;"")</f>
        <v/>
      </c>
      <c r="J174" s="10">
        <f>IF($BI174="","",IF($B174="Onsite",INDEX(tbl_Onsite[Tax Code],$BI174),IF($B174="Production",INDEX(tbl_Production[Tax Code],$BI174),INDEX(tbl_Consulting[Tax Code],$BI174)))&amp;"")</f>
        <v/>
      </c>
      <c r="K174" s="10">
        <f>IF(H174="","",IFERROR(INDEX(lst_CCtoGL,MATCH(H174,lst_CCforGL,0)),""))</f>
        <v/>
      </c>
      <c r="L174" s="10">
        <f>IF($BI174="","",IF($B174="Onsite",INDEX(tbl_Onsite[PO / Reference],$BI174),IF($B174="Production",INDEX(tbl_Production[Current RMS No],$BI174),INDEX(tbl_Consulting[Qwilr Quote],$BI174)))&amp;"")</f>
        <v/>
      </c>
      <c r="M174" s="10">
        <f>IF($BI174="","",IF($B174="Onsite",INDEX(tbl_Onsite[Notes],$BI174),IF($B174="Production",INDEX(tbl_Production[Notes],$BI174),INDEX(tbl_Consulting[Notes],$BI174)))&amp;"")</f>
        <v/>
      </c>
      <c r="N174" s="11">
        <f>IF($BI174="","",IF(IF($B174="Onsite",INDEX(tbl_Onsite[Expected Revenue Ex GST],$BI174),IF($B174="Production",INDEX(tbl_Production[Expected Revenue Ex GST],$BI174),INDEX(tbl_Consulting[Expected Revenue Ex GST],$BI174)))="","",IF($B174="Onsite",INDEX(tbl_Onsite[Expected Revenue Ex GST],$BI174),IF($B174="Production",INDEX(tbl_Production[Expected Revenue Ex GST],$BI174),INDEX(tbl_Consulting[Expected Revenue Ex GST],$BI174)))))</f>
        <v/>
      </c>
      <c r="O174" s="11">
        <f>IF(AND($C174="",NOT(COUNTA($S174:$BB174)&gt;0)),"",SUM(U174,X174,AA174,AD174,AG174,AJ174,AM174,AP174,AS174,AV174,AY174,BB174))</f>
        <v/>
      </c>
      <c r="P174" s="11">
        <f>IF(O174="","",N(N174)-O174)</f>
        <v/>
      </c>
      <c r="Q174" s="10">
        <f>IF(O174="","",IF($C174="","Invoice on empty job row",IF(N174="",IF(ROUND(O174,2)=0,"No dept value","Invoiced - no dept value"),IF(ROUND(O174,2)=0,"Not invoiced - to invoice",IF(ROUND(P174,2)=0,"Agrees",IF(P174&gt;0,"Dept higher - to invoice","Xero higher - check dept"))))))</f>
        <v/>
      </c>
      <c r="R174" s="10">
        <f>IF(AND($C174="",NOT(COUNTA($S174:$BB174)&gt;0),$BI174&lt;&gt;""),"",MID(IF($BI174="","; Row ID not found on the department sheet - a row was deleted","")&amp;IF(AND($C174="",COUNTA($S174:$BB174)&gt;0),"; Invoice entered but the department row has no job number","")&amp;IF(E174="CHECK","; Job number not in the Xero job list","")&amp;IF(AND($C174&lt;&gt;"",COUNTIF($C$7:$C$1506,$C174)&gt;1),"; Job number on more than one row","")&amp;IF(AND($C174&lt;&gt;"",H174=""),"; Dept has not set a cost centre","")&amp;IF(AND($C174&lt;&gt;"",J174=""),"; Dept has not set a tax code","")&amp;IF(AND($C174&lt;&gt;"",N174=""),"; Dept has not entered an expected value","")&amp;IF((IF(OR(COUNTA(S174:U174)=0,AND(COUNTA(S174:U174)=3,ISNUMBER(U174))),0,1)+IF(OR(COUNTA(V174:X174)=0,AND(COUNTA(V174:X174)=3,ISNUMBER(X174))),0,1)+IF(OR(COUNTA(Y174:AA174)=0,AND(COUNTA(Y174:AA174)=3,ISNUMBER(AA174))),0,1)+IF(OR(COUNTA(AB174:AD174)=0,AND(COUNTA(AB174:AD174)=3,ISNUMBER(AD174))),0,1)+IF(OR(COUNTA(AE174:AG174)=0,AND(COUNTA(AE174:AG174)=3,ISNUMBER(AG174))),0,1)+IF(OR(COUNTA(AH174:AJ174)=0,AND(COUNTA(AH174:AJ174)=3,ISNUMBER(AJ174))),0,1)+IF(OR(COUNTA(AK174:AM174)=0,AND(COUNTA(AK174:AM174)=3,ISNUMBER(AM174))),0,1)+IF(OR(COUNTA(AN174:AP174)=0,AND(COUNTA(AN174:AP174)=3,ISNUMBER(AP174))),0,1)+IF(OR(COUNTA(AQ174:AS174)=0,AND(COUNTA(AQ174:AS174)=3,ISNUMBER(AS174))),0,1)+IF(OR(COUNTA(AT174:AV174)=0,AND(COUNTA(AT174:AV174)=3,ISNUMBER(AV174))),0,1)+IF(OR(COUNTA(AW174:AY174)=0,AND(COUNTA(AW174:AY174)=3,ISNUMBER(AY174))),0,1)+IF(OR(COUNTA(AZ174:BB174)=0,AND(COUNTA(AZ174:BB174)=3,ISNUMBER(BB174))),0,1))&gt;0,"; An invoice is incomplete (needs No, Date and a number in Ex GST)","")&amp;IF((IF(T174="",0,IFERROR(--(EOMONTH(T174,0)&lt;&gt;S$5),1))+IF(W174="",0,IFERROR(--(EOMONTH(W174,0)&lt;&gt;V$5),1))+IF(Z174="",0,IFERROR(--(EOMONTH(Z174,0)&lt;&gt;Y$5),1))+IF(AC174="",0,IFERROR(--(EOMONTH(AC174,0)&lt;&gt;AB$5),1))+IF(AF174="",0,IFERROR(--(EOMONTH(AF174,0)&lt;&gt;AE$5),1))+IF(AI174="",0,IFERROR(--(EOMONTH(AI174,0)&lt;&gt;AH$5),1))+IF(AL174="",0,IFERROR(--(EOMONTH(AL174,0)&lt;&gt;AK$5),1))+IF(AO174="",0,IFERROR(--(EOMONTH(AO174,0)&lt;&gt;AN$5),1))+IF(AR174="",0,IFERROR(--(EOMONTH(AR174,0)&lt;&gt;AQ$5),1))+IF(AU174="",0,IFERROR(--(EOMONTH(AU174,0)&lt;&gt;AT$5),1))+IF(AX174="",0,IFERROR(--(EOMONTH(AX174,0)&lt;&gt;AW$5),1))+IF(BA174="",0,IFERROR(--(EOMONTH(BA174,0)&lt;&gt;AZ$5),1)))&gt;0,"; An invoice date is not in the month it is typed under",""),3,500))</f>
        <v/>
      </c>
      <c r="S174" s="12" t="n"/>
      <c r="T174" s="13" t="n"/>
      <c r="U174" s="14" t="n"/>
      <c r="V174" s="12" t="n"/>
      <c r="W174" s="13" t="n"/>
      <c r="X174" s="14" t="n"/>
      <c r="Y174" s="12" t="n"/>
      <c r="Z174" s="13" t="n"/>
      <c r="AA174" s="14" t="n"/>
      <c r="AB174" s="12" t="n"/>
      <c r="AC174" s="13" t="n"/>
      <c r="AD174" s="14" t="n"/>
      <c r="AE174" s="12" t="n"/>
      <c r="AF174" s="13" t="n"/>
      <c r="AG174" s="14" t="n"/>
      <c r="AH174" s="12" t="n"/>
      <c r="AI174" s="13" t="n"/>
      <c r="AJ174" s="14" t="n"/>
      <c r="AK174" s="12" t="n"/>
      <c r="AL174" s="13" t="n"/>
      <c r="AM174" s="14" t="n"/>
      <c r="AN174" s="12" t="n"/>
      <c r="AO174" s="13" t="n"/>
      <c r="AP174" s="14" t="n"/>
      <c r="AQ174" s="12" t="n"/>
      <c r="AR174" s="13" t="n"/>
      <c r="AS174" s="14" t="n"/>
      <c r="AT174" s="12" t="n"/>
      <c r="AU174" s="13" t="n"/>
      <c r="AV174" s="14" t="n"/>
      <c r="AW174" s="12" t="n"/>
      <c r="AX174" s="13" t="n"/>
      <c r="AY174" s="14" t="n"/>
      <c r="AZ174" s="12" t="n"/>
      <c r="BA174" s="13" t="n"/>
      <c r="BB174" s="14" t="n"/>
      <c r="BC174" s="11">
        <f>IF(O174="","",IF(J174="GST 10%",ROUND(O174*set_GSTRate,2),0))</f>
        <v/>
      </c>
      <c r="BD174" s="11">
        <f>IF(O174="","",O174+BC174)</f>
        <v/>
      </c>
      <c r="BE174" s="15">
        <f>IF(O174="","",COUNTA(S174,V174,Y174,AB174,AE174,AH174,AK174,AN174,AQ174,AT174,AW174,AZ174))</f>
        <v/>
      </c>
      <c r="BF174" s="16">
        <f>IF(COUNT(T174,W174,Z174,AC174,AF174,AI174,AL174,AO174,AR174,AU174,AX174,BA174)=0,"",MAX(T174,W174,Z174,AC174,AF174,AI174,AL174,AO174,AR174,AU174,AX174,BA174))</f>
        <v/>
      </c>
      <c r="BG174" s="10">
        <f>MID(IF(S174="","",", "&amp;S174)&amp;IF(V174="","",", "&amp;V174)&amp;IF(Y174="","",", "&amp;Y174)&amp;IF(AB174="","",", "&amp;AB174)&amp;IF(AE174="","",", "&amp;AE174)&amp;IF(AH174="","",", "&amp;AH174)&amp;IF(AK174="","",", "&amp;AK174)&amp;IF(AN174="","",", "&amp;AN174)&amp;IF(AQ174="","",", "&amp;AQ174)&amp;IF(AT174="","",", "&amp;AT174)&amp;IF(AW174="","",", "&amp;AW174)&amp;IF(AZ174="","",", "&amp;AZ174),3,500)</f>
        <v/>
      </c>
      <c r="BH174" s="12" t="n"/>
      <c r="BI174" s="15">
        <f>IFERROR(MATCH($A174,IF($B174="Onsite",tbl_Onsite[Row ID],IF($B174="Production",tbl_Production[Row ID],tbl_Consulting[Row ID])),0),"")</f>
        <v/>
      </c>
    </row>
    <row r="175">
      <c r="A175" s="10" t="inlineStr">
        <is>
          <t>ONS-0169</t>
        </is>
      </c>
      <c r="B175" s="10" t="inlineStr">
        <is>
          <t>Onsite</t>
        </is>
      </c>
      <c r="C175" s="10">
        <f>IF($BI175="","",IF($B175="Onsite",INDEX(tbl_Onsite[Job Number],$BI175),IF($B175="Production",INDEX(tbl_Production[Job Number],$BI175),INDEX(tbl_Consulting[Job Number],$BI175)))&amp;"")</f>
        <v/>
      </c>
      <c r="D175" s="10">
        <f>IF($BI175="","",IF($B175="Onsite",INDEX(tbl_Onsite[Client],$BI175),IF($B175="Production",INDEX(tbl_Production[Client],$BI175),INDEX(tbl_Consulting[Client],$BI175)))&amp;"")</f>
        <v/>
      </c>
      <c r="E175" s="10">
        <f>IF($C175="","",IF(COUNTIF(lst_Jobs,$C175)&gt;0,"OK","CHECK"))</f>
        <v/>
      </c>
      <c r="F175" s="10">
        <f>IF($C175="","",IFERROR(INDEX(lst_JobName,MATCH($C175,lst_Jobs,0)),""))</f>
        <v/>
      </c>
      <c r="G175" s="10">
        <f>IF($BI175="","",IF($B175="Onsite",INDEX(tbl_Onsite[Job Description],$BI175),IF($B175="Production",INDEX(tbl_Production[Job Description],$BI175),INDEX(tbl_Consulting[Job Description],$BI175)))&amp;"")</f>
        <v/>
      </c>
      <c r="H175" s="10">
        <f>IF($BI175="","",IF($B175="Onsite",INDEX(tbl_Onsite[Cost Centre],$BI175),IF($B175="Production",INDEX(tbl_Production[Cost Centre],$BI175),INDEX(tbl_Consulting[Cost Centre],$BI175)))&amp;"")</f>
        <v/>
      </c>
      <c r="I175" s="10">
        <f>IF($BI175="","",IF($B175="Onsite",INDEX(tbl_Onsite[Invoice Type],$BI175),IF($B175="Production",INDEX(tbl_Production[Invoice Type],$BI175),INDEX(tbl_Consulting[Invoice Type],$BI175)))&amp;"")</f>
        <v/>
      </c>
      <c r="J175" s="10">
        <f>IF($BI175="","",IF($B175="Onsite",INDEX(tbl_Onsite[Tax Code],$BI175),IF($B175="Production",INDEX(tbl_Production[Tax Code],$BI175),INDEX(tbl_Consulting[Tax Code],$BI175)))&amp;"")</f>
        <v/>
      </c>
      <c r="K175" s="10">
        <f>IF(H175="","",IFERROR(INDEX(lst_CCtoGL,MATCH(H175,lst_CCforGL,0)),""))</f>
        <v/>
      </c>
      <c r="L175" s="10">
        <f>IF($BI175="","",IF($B175="Onsite",INDEX(tbl_Onsite[PO / Reference],$BI175),IF($B175="Production",INDEX(tbl_Production[Current RMS No],$BI175),INDEX(tbl_Consulting[Qwilr Quote],$BI175)))&amp;"")</f>
        <v/>
      </c>
      <c r="M175" s="10">
        <f>IF($BI175="","",IF($B175="Onsite",INDEX(tbl_Onsite[Notes],$BI175),IF($B175="Production",INDEX(tbl_Production[Notes],$BI175),INDEX(tbl_Consulting[Notes],$BI175)))&amp;"")</f>
        <v/>
      </c>
      <c r="N175" s="11">
        <f>IF($BI175="","",IF(IF($B175="Onsite",INDEX(tbl_Onsite[Expected Revenue Ex GST],$BI175),IF($B175="Production",INDEX(tbl_Production[Expected Revenue Ex GST],$BI175),INDEX(tbl_Consulting[Expected Revenue Ex GST],$BI175)))="","",IF($B175="Onsite",INDEX(tbl_Onsite[Expected Revenue Ex GST],$BI175),IF($B175="Production",INDEX(tbl_Production[Expected Revenue Ex GST],$BI175),INDEX(tbl_Consulting[Expected Revenue Ex GST],$BI175)))))</f>
        <v/>
      </c>
      <c r="O175" s="11">
        <f>IF(AND($C175="",NOT(COUNTA($S175:$BB175)&gt;0)),"",SUM(U175,X175,AA175,AD175,AG175,AJ175,AM175,AP175,AS175,AV175,AY175,BB175))</f>
        <v/>
      </c>
      <c r="P175" s="11">
        <f>IF(O175="","",N(N175)-O175)</f>
        <v/>
      </c>
      <c r="Q175" s="10">
        <f>IF(O175="","",IF($C175="","Invoice on empty job row",IF(N175="",IF(ROUND(O175,2)=0,"No dept value","Invoiced - no dept value"),IF(ROUND(O175,2)=0,"Not invoiced - to invoice",IF(ROUND(P175,2)=0,"Agrees",IF(P175&gt;0,"Dept higher - to invoice","Xero higher - check dept"))))))</f>
        <v/>
      </c>
      <c r="R175" s="10">
        <f>IF(AND($C175="",NOT(COUNTA($S175:$BB175)&gt;0),$BI175&lt;&gt;""),"",MID(IF($BI175="","; Row ID not found on the department sheet - a row was deleted","")&amp;IF(AND($C175="",COUNTA($S175:$BB175)&gt;0),"; Invoice entered but the department row has no job number","")&amp;IF(E175="CHECK","; Job number not in the Xero job list","")&amp;IF(AND($C175&lt;&gt;"",COUNTIF($C$7:$C$1506,$C175)&gt;1),"; Job number on more than one row","")&amp;IF(AND($C175&lt;&gt;"",H175=""),"; Dept has not set a cost centre","")&amp;IF(AND($C175&lt;&gt;"",J175=""),"; Dept has not set a tax code","")&amp;IF(AND($C175&lt;&gt;"",N175=""),"; Dept has not entered an expected value","")&amp;IF((IF(OR(COUNTA(S175:U175)=0,AND(COUNTA(S175:U175)=3,ISNUMBER(U175))),0,1)+IF(OR(COUNTA(V175:X175)=0,AND(COUNTA(V175:X175)=3,ISNUMBER(X175))),0,1)+IF(OR(COUNTA(Y175:AA175)=0,AND(COUNTA(Y175:AA175)=3,ISNUMBER(AA175))),0,1)+IF(OR(COUNTA(AB175:AD175)=0,AND(COUNTA(AB175:AD175)=3,ISNUMBER(AD175))),0,1)+IF(OR(COUNTA(AE175:AG175)=0,AND(COUNTA(AE175:AG175)=3,ISNUMBER(AG175))),0,1)+IF(OR(COUNTA(AH175:AJ175)=0,AND(COUNTA(AH175:AJ175)=3,ISNUMBER(AJ175))),0,1)+IF(OR(COUNTA(AK175:AM175)=0,AND(COUNTA(AK175:AM175)=3,ISNUMBER(AM175))),0,1)+IF(OR(COUNTA(AN175:AP175)=0,AND(COUNTA(AN175:AP175)=3,ISNUMBER(AP175))),0,1)+IF(OR(COUNTA(AQ175:AS175)=0,AND(COUNTA(AQ175:AS175)=3,ISNUMBER(AS175))),0,1)+IF(OR(COUNTA(AT175:AV175)=0,AND(COUNTA(AT175:AV175)=3,ISNUMBER(AV175))),0,1)+IF(OR(COUNTA(AW175:AY175)=0,AND(COUNTA(AW175:AY175)=3,ISNUMBER(AY175))),0,1)+IF(OR(COUNTA(AZ175:BB175)=0,AND(COUNTA(AZ175:BB175)=3,ISNUMBER(BB175))),0,1))&gt;0,"; An invoice is incomplete (needs No, Date and a number in Ex GST)","")&amp;IF((IF(T175="",0,IFERROR(--(EOMONTH(T175,0)&lt;&gt;S$5),1))+IF(W175="",0,IFERROR(--(EOMONTH(W175,0)&lt;&gt;V$5),1))+IF(Z175="",0,IFERROR(--(EOMONTH(Z175,0)&lt;&gt;Y$5),1))+IF(AC175="",0,IFERROR(--(EOMONTH(AC175,0)&lt;&gt;AB$5),1))+IF(AF175="",0,IFERROR(--(EOMONTH(AF175,0)&lt;&gt;AE$5),1))+IF(AI175="",0,IFERROR(--(EOMONTH(AI175,0)&lt;&gt;AH$5),1))+IF(AL175="",0,IFERROR(--(EOMONTH(AL175,0)&lt;&gt;AK$5),1))+IF(AO175="",0,IFERROR(--(EOMONTH(AO175,0)&lt;&gt;AN$5),1))+IF(AR175="",0,IFERROR(--(EOMONTH(AR175,0)&lt;&gt;AQ$5),1))+IF(AU175="",0,IFERROR(--(EOMONTH(AU175,0)&lt;&gt;AT$5),1))+IF(AX175="",0,IFERROR(--(EOMONTH(AX175,0)&lt;&gt;AW$5),1))+IF(BA175="",0,IFERROR(--(EOMONTH(BA175,0)&lt;&gt;AZ$5),1)))&gt;0,"; An invoice date is not in the month it is typed under",""),3,500))</f>
        <v/>
      </c>
      <c r="S175" s="12" t="n"/>
      <c r="T175" s="13" t="n"/>
      <c r="U175" s="14" t="n"/>
      <c r="V175" s="12" t="n"/>
      <c r="W175" s="13" t="n"/>
      <c r="X175" s="14" t="n"/>
      <c r="Y175" s="12" t="n"/>
      <c r="Z175" s="13" t="n"/>
      <c r="AA175" s="14" t="n"/>
      <c r="AB175" s="12" t="n"/>
      <c r="AC175" s="13" t="n"/>
      <c r="AD175" s="14" t="n"/>
      <c r="AE175" s="12" t="n"/>
      <c r="AF175" s="13" t="n"/>
      <c r="AG175" s="14" t="n"/>
      <c r="AH175" s="12" t="n"/>
      <c r="AI175" s="13" t="n"/>
      <c r="AJ175" s="14" t="n"/>
      <c r="AK175" s="12" t="n"/>
      <c r="AL175" s="13" t="n"/>
      <c r="AM175" s="14" t="n"/>
      <c r="AN175" s="12" t="n"/>
      <c r="AO175" s="13" t="n"/>
      <c r="AP175" s="14" t="n"/>
      <c r="AQ175" s="12" t="n"/>
      <c r="AR175" s="13" t="n"/>
      <c r="AS175" s="14" t="n"/>
      <c r="AT175" s="12" t="n"/>
      <c r="AU175" s="13" t="n"/>
      <c r="AV175" s="14" t="n"/>
      <c r="AW175" s="12" t="n"/>
      <c r="AX175" s="13" t="n"/>
      <c r="AY175" s="14" t="n"/>
      <c r="AZ175" s="12" t="n"/>
      <c r="BA175" s="13" t="n"/>
      <c r="BB175" s="14" t="n"/>
      <c r="BC175" s="11">
        <f>IF(O175="","",IF(J175="GST 10%",ROUND(O175*set_GSTRate,2),0))</f>
        <v/>
      </c>
      <c r="BD175" s="11">
        <f>IF(O175="","",O175+BC175)</f>
        <v/>
      </c>
      <c r="BE175" s="15">
        <f>IF(O175="","",COUNTA(S175,V175,Y175,AB175,AE175,AH175,AK175,AN175,AQ175,AT175,AW175,AZ175))</f>
        <v/>
      </c>
      <c r="BF175" s="16">
        <f>IF(COUNT(T175,W175,Z175,AC175,AF175,AI175,AL175,AO175,AR175,AU175,AX175,BA175)=0,"",MAX(T175,W175,Z175,AC175,AF175,AI175,AL175,AO175,AR175,AU175,AX175,BA175))</f>
        <v/>
      </c>
      <c r="BG175" s="10">
        <f>MID(IF(S175="","",", "&amp;S175)&amp;IF(V175="","",", "&amp;V175)&amp;IF(Y175="","",", "&amp;Y175)&amp;IF(AB175="","",", "&amp;AB175)&amp;IF(AE175="","",", "&amp;AE175)&amp;IF(AH175="","",", "&amp;AH175)&amp;IF(AK175="","",", "&amp;AK175)&amp;IF(AN175="","",", "&amp;AN175)&amp;IF(AQ175="","",", "&amp;AQ175)&amp;IF(AT175="","",", "&amp;AT175)&amp;IF(AW175="","",", "&amp;AW175)&amp;IF(AZ175="","",", "&amp;AZ175),3,500)</f>
        <v/>
      </c>
      <c r="BH175" s="12" t="n"/>
      <c r="BI175" s="15">
        <f>IFERROR(MATCH($A175,IF($B175="Onsite",tbl_Onsite[Row ID],IF($B175="Production",tbl_Production[Row ID],tbl_Consulting[Row ID])),0),"")</f>
        <v/>
      </c>
    </row>
    <row r="176">
      <c r="A176" s="10" t="inlineStr">
        <is>
          <t>ONS-0170</t>
        </is>
      </c>
      <c r="B176" s="10" t="inlineStr">
        <is>
          <t>Onsite</t>
        </is>
      </c>
      <c r="C176" s="10">
        <f>IF($BI176="","",IF($B176="Onsite",INDEX(tbl_Onsite[Job Number],$BI176),IF($B176="Production",INDEX(tbl_Production[Job Number],$BI176),INDEX(tbl_Consulting[Job Number],$BI176)))&amp;"")</f>
        <v/>
      </c>
      <c r="D176" s="10">
        <f>IF($BI176="","",IF($B176="Onsite",INDEX(tbl_Onsite[Client],$BI176),IF($B176="Production",INDEX(tbl_Production[Client],$BI176),INDEX(tbl_Consulting[Client],$BI176)))&amp;"")</f>
        <v/>
      </c>
      <c r="E176" s="10">
        <f>IF($C176="","",IF(COUNTIF(lst_Jobs,$C176)&gt;0,"OK","CHECK"))</f>
        <v/>
      </c>
      <c r="F176" s="10">
        <f>IF($C176="","",IFERROR(INDEX(lst_JobName,MATCH($C176,lst_Jobs,0)),""))</f>
        <v/>
      </c>
      <c r="G176" s="10">
        <f>IF($BI176="","",IF($B176="Onsite",INDEX(tbl_Onsite[Job Description],$BI176),IF($B176="Production",INDEX(tbl_Production[Job Description],$BI176),INDEX(tbl_Consulting[Job Description],$BI176)))&amp;"")</f>
        <v/>
      </c>
      <c r="H176" s="10">
        <f>IF($BI176="","",IF($B176="Onsite",INDEX(tbl_Onsite[Cost Centre],$BI176),IF($B176="Production",INDEX(tbl_Production[Cost Centre],$BI176),INDEX(tbl_Consulting[Cost Centre],$BI176)))&amp;"")</f>
        <v/>
      </c>
      <c r="I176" s="10">
        <f>IF($BI176="","",IF($B176="Onsite",INDEX(tbl_Onsite[Invoice Type],$BI176),IF($B176="Production",INDEX(tbl_Production[Invoice Type],$BI176),INDEX(tbl_Consulting[Invoice Type],$BI176)))&amp;"")</f>
        <v/>
      </c>
      <c r="J176" s="10">
        <f>IF($BI176="","",IF($B176="Onsite",INDEX(tbl_Onsite[Tax Code],$BI176),IF($B176="Production",INDEX(tbl_Production[Tax Code],$BI176),INDEX(tbl_Consulting[Tax Code],$BI176)))&amp;"")</f>
        <v/>
      </c>
      <c r="K176" s="10">
        <f>IF(H176="","",IFERROR(INDEX(lst_CCtoGL,MATCH(H176,lst_CCforGL,0)),""))</f>
        <v/>
      </c>
      <c r="L176" s="10">
        <f>IF($BI176="","",IF($B176="Onsite",INDEX(tbl_Onsite[PO / Reference],$BI176),IF($B176="Production",INDEX(tbl_Production[Current RMS No],$BI176),INDEX(tbl_Consulting[Qwilr Quote],$BI176)))&amp;"")</f>
        <v/>
      </c>
      <c r="M176" s="10">
        <f>IF($BI176="","",IF($B176="Onsite",INDEX(tbl_Onsite[Notes],$BI176),IF($B176="Production",INDEX(tbl_Production[Notes],$BI176),INDEX(tbl_Consulting[Notes],$BI176)))&amp;"")</f>
        <v/>
      </c>
      <c r="N176" s="11">
        <f>IF($BI176="","",IF(IF($B176="Onsite",INDEX(tbl_Onsite[Expected Revenue Ex GST],$BI176),IF($B176="Production",INDEX(tbl_Production[Expected Revenue Ex GST],$BI176),INDEX(tbl_Consulting[Expected Revenue Ex GST],$BI176)))="","",IF($B176="Onsite",INDEX(tbl_Onsite[Expected Revenue Ex GST],$BI176),IF($B176="Production",INDEX(tbl_Production[Expected Revenue Ex GST],$BI176),INDEX(tbl_Consulting[Expected Revenue Ex GST],$BI176)))))</f>
        <v/>
      </c>
      <c r="O176" s="11">
        <f>IF(AND($C176="",NOT(COUNTA($S176:$BB176)&gt;0)),"",SUM(U176,X176,AA176,AD176,AG176,AJ176,AM176,AP176,AS176,AV176,AY176,BB176))</f>
        <v/>
      </c>
      <c r="P176" s="11">
        <f>IF(O176="","",N(N176)-O176)</f>
        <v/>
      </c>
      <c r="Q176" s="10">
        <f>IF(O176="","",IF($C176="","Invoice on empty job row",IF(N176="",IF(ROUND(O176,2)=0,"No dept value","Invoiced - no dept value"),IF(ROUND(O176,2)=0,"Not invoiced - to invoice",IF(ROUND(P176,2)=0,"Agrees",IF(P176&gt;0,"Dept higher - to invoice","Xero higher - check dept"))))))</f>
        <v/>
      </c>
      <c r="R176" s="10">
        <f>IF(AND($C176="",NOT(COUNTA($S176:$BB176)&gt;0),$BI176&lt;&gt;""),"",MID(IF($BI176="","; Row ID not found on the department sheet - a row was deleted","")&amp;IF(AND($C176="",COUNTA($S176:$BB176)&gt;0),"; Invoice entered but the department row has no job number","")&amp;IF(E176="CHECK","; Job number not in the Xero job list","")&amp;IF(AND($C176&lt;&gt;"",COUNTIF($C$7:$C$1506,$C176)&gt;1),"; Job number on more than one row","")&amp;IF(AND($C176&lt;&gt;"",H176=""),"; Dept has not set a cost centre","")&amp;IF(AND($C176&lt;&gt;"",J176=""),"; Dept has not set a tax code","")&amp;IF(AND($C176&lt;&gt;"",N176=""),"; Dept has not entered an expected value","")&amp;IF((IF(OR(COUNTA(S176:U176)=0,AND(COUNTA(S176:U176)=3,ISNUMBER(U176))),0,1)+IF(OR(COUNTA(V176:X176)=0,AND(COUNTA(V176:X176)=3,ISNUMBER(X176))),0,1)+IF(OR(COUNTA(Y176:AA176)=0,AND(COUNTA(Y176:AA176)=3,ISNUMBER(AA176))),0,1)+IF(OR(COUNTA(AB176:AD176)=0,AND(COUNTA(AB176:AD176)=3,ISNUMBER(AD176))),0,1)+IF(OR(COUNTA(AE176:AG176)=0,AND(COUNTA(AE176:AG176)=3,ISNUMBER(AG176))),0,1)+IF(OR(COUNTA(AH176:AJ176)=0,AND(COUNTA(AH176:AJ176)=3,ISNUMBER(AJ176))),0,1)+IF(OR(COUNTA(AK176:AM176)=0,AND(COUNTA(AK176:AM176)=3,ISNUMBER(AM176))),0,1)+IF(OR(COUNTA(AN176:AP176)=0,AND(COUNTA(AN176:AP176)=3,ISNUMBER(AP176))),0,1)+IF(OR(COUNTA(AQ176:AS176)=0,AND(COUNTA(AQ176:AS176)=3,ISNUMBER(AS176))),0,1)+IF(OR(COUNTA(AT176:AV176)=0,AND(COUNTA(AT176:AV176)=3,ISNUMBER(AV176))),0,1)+IF(OR(COUNTA(AW176:AY176)=0,AND(COUNTA(AW176:AY176)=3,ISNUMBER(AY176))),0,1)+IF(OR(COUNTA(AZ176:BB176)=0,AND(COUNTA(AZ176:BB176)=3,ISNUMBER(BB176))),0,1))&gt;0,"; An invoice is incomplete (needs No, Date and a number in Ex GST)","")&amp;IF((IF(T176="",0,IFERROR(--(EOMONTH(T176,0)&lt;&gt;S$5),1))+IF(W176="",0,IFERROR(--(EOMONTH(W176,0)&lt;&gt;V$5),1))+IF(Z176="",0,IFERROR(--(EOMONTH(Z176,0)&lt;&gt;Y$5),1))+IF(AC176="",0,IFERROR(--(EOMONTH(AC176,0)&lt;&gt;AB$5),1))+IF(AF176="",0,IFERROR(--(EOMONTH(AF176,0)&lt;&gt;AE$5),1))+IF(AI176="",0,IFERROR(--(EOMONTH(AI176,0)&lt;&gt;AH$5),1))+IF(AL176="",0,IFERROR(--(EOMONTH(AL176,0)&lt;&gt;AK$5),1))+IF(AO176="",0,IFERROR(--(EOMONTH(AO176,0)&lt;&gt;AN$5),1))+IF(AR176="",0,IFERROR(--(EOMONTH(AR176,0)&lt;&gt;AQ$5),1))+IF(AU176="",0,IFERROR(--(EOMONTH(AU176,0)&lt;&gt;AT$5),1))+IF(AX176="",0,IFERROR(--(EOMONTH(AX176,0)&lt;&gt;AW$5),1))+IF(BA176="",0,IFERROR(--(EOMONTH(BA176,0)&lt;&gt;AZ$5),1)))&gt;0,"; An invoice date is not in the month it is typed under",""),3,500))</f>
        <v/>
      </c>
      <c r="S176" s="12" t="n"/>
      <c r="T176" s="13" t="n"/>
      <c r="U176" s="14" t="n"/>
      <c r="V176" s="12" t="n"/>
      <c r="W176" s="13" t="n"/>
      <c r="X176" s="14" t="n"/>
      <c r="Y176" s="12" t="n"/>
      <c r="Z176" s="13" t="n"/>
      <c r="AA176" s="14" t="n"/>
      <c r="AB176" s="12" t="n"/>
      <c r="AC176" s="13" t="n"/>
      <c r="AD176" s="14" t="n"/>
      <c r="AE176" s="12" t="n"/>
      <c r="AF176" s="13" t="n"/>
      <c r="AG176" s="14" t="n"/>
      <c r="AH176" s="12" t="n"/>
      <c r="AI176" s="13" t="n"/>
      <c r="AJ176" s="14" t="n"/>
      <c r="AK176" s="12" t="n"/>
      <c r="AL176" s="13" t="n"/>
      <c r="AM176" s="14" t="n"/>
      <c r="AN176" s="12" t="n"/>
      <c r="AO176" s="13" t="n"/>
      <c r="AP176" s="14" t="n"/>
      <c r="AQ176" s="12" t="n"/>
      <c r="AR176" s="13" t="n"/>
      <c r="AS176" s="14" t="n"/>
      <c r="AT176" s="12" t="n"/>
      <c r="AU176" s="13" t="n"/>
      <c r="AV176" s="14" t="n"/>
      <c r="AW176" s="12" t="n"/>
      <c r="AX176" s="13" t="n"/>
      <c r="AY176" s="14" t="n"/>
      <c r="AZ176" s="12" t="n"/>
      <c r="BA176" s="13" t="n"/>
      <c r="BB176" s="14" t="n"/>
      <c r="BC176" s="11">
        <f>IF(O176="","",IF(J176="GST 10%",ROUND(O176*set_GSTRate,2),0))</f>
        <v/>
      </c>
      <c r="BD176" s="11">
        <f>IF(O176="","",O176+BC176)</f>
        <v/>
      </c>
      <c r="BE176" s="15">
        <f>IF(O176="","",COUNTA(S176,V176,Y176,AB176,AE176,AH176,AK176,AN176,AQ176,AT176,AW176,AZ176))</f>
        <v/>
      </c>
      <c r="BF176" s="16">
        <f>IF(COUNT(T176,W176,Z176,AC176,AF176,AI176,AL176,AO176,AR176,AU176,AX176,BA176)=0,"",MAX(T176,W176,Z176,AC176,AF176,AI176,AL176,AO176,AR176,AU176,AX176,BA176))</f>
        <v/>
      </c>
      <c r="BG176" s="10">
        <f>MID(IF(S176="","",", "&amp;S176)&amp;IF(V176="","",", "&amp;V176)&amp;IF(Y176="","",", "&amp;Y176)&amp;IF(AB176="","",", "&amp;AB176)&amp;IF(AE176="","",", "&amp;AE176)&amp;IF(AH176="","",", "&amp;AH176)&amp;IF(AK176="","",", "&amp;AK176)&amp;IF(AN176="","",", "&amp;AN176)&amp;IF(AQ176="","",", "&amp;AQ176)&amp;IF(AT176="","",", "&amp;AT176)&amp;IF(AW176="","",", "&amp;AW176)&amp;IF(AZ176="","",", "&amp;AZ176),3,500)</f>
        <v/>
      </c>
      <c r="BH176" s="12" t="n"/>
      <c r="BI176" s="15">
        <f>IFERROR(MATCH($A176,IF($B176="Onsite",tbl_Onsite[Row ID],IF($B176="Production",tbl_Production[Row ID],tbl_Consulting[Row ID])),0),"")</f>
        <v/>
      </c>
    </row>
    <row r="177">
      <c r="A177" s="10" t="inlineStr">
        <is>
          <t>ONS-0171</t>
        </is>
      </c>
      <c r="B177" s="10" t="inlineStr">
        <is>
          <t>Onsite</t>
        </is>
      </c>
      <c r="C177" s="10">
        <f>IF($BI177="","",IF($B177="Onsite",INDEX(tbl_Onsite[Job Number],$BI177),IF($B177="Production",INDEX(tbl_Production[Job Number],$BI177),INDEX(tbl_Consulting[Job Number],$BI177)))&amp;"")</f>
        <v/>
      </c>
      <c r="D177" s="10">
        <f>IF($BI177="","",IF($B177="Onsite",INDEX(tbl_Onsite[Client],$BI177),IF($B177="Production",INDEX(tbl_Production[Client],$BI177),INDEX(tbl_Consulting[Client],$BI177)))&amp;"")</f>
        <v/>
      </c>
      <c r="E177" s="10">
        <f>IF($C177="","",IF(COUNTIF(lst_Jobs,$C177)&gt;0,"OK","CHECK"))</f>
        <v/>
      </c>
      <c r="F177" s="10">
        <f>IF($C177="","",IFERROR(INDEX(lst_JobName,MATCH($C177,lst_Jobs,0)),""))</f>
        <v/>
      </c>
      <c r="G177" s="10">
        <f>IF($BI177="","",IF($B177="Onsite",INDEX(tbl_Onsite[Job Description],$BI177),IF($B177="Production",INDEX(tbl_Production[Job Description],$BI177),INDEX(tbl_Consulting[Job Description],$BI177)))&amp;"")</f>
        <v/>
      </c>
      <c r="H177" s="10">
        <f>IF($BI177="","",IF($B177="Onsite",INDEX(tbl_Onsite[Cost Centre],$BI177),IF($B177="Production",INDEX(tbl_Production[Cost Centre],$BI177),INDEX(tbl_Consulting[Cost Centre],$BI177)))&amp;"")</f>
        <v/>
      </c>
      <c r="I177" s="10">
        <f>IF($BI177="","",IF($B177="Onsite",INDEX(tbl_Onsite[Invoice Type],$BI177),IF($B177="Production",INDEX(tbl_Production[Invoice Type],$BI177),INDEX(tbl_Consulting[Invoice Type],$BI177)))&amp;"")</f>
        <v/>
      </c>
      <c r="J177" s="10">
        <f>IF($BI177="","",IF($B177="Onsite",INDEX(tbl_Onsite[Tax Code],$BI177),IF($B177="Production",INDEX(tbl_Production[Tax Code],$BI177),INDEX(tbl_Consulting[Tax Code],$BI177)))&amp;"")</f>
        <v/>
      </c>
      <c r="K177" s="10">
        <f>IF(H177="","",IFERROR(INDEX(lst_CCtoGL,MATCH(H177,lst_CCforGL,0)),""))</f>
        <v/>
      </c>
      <c r="L177" s="10">
        <f>IF($BI177="","",IF($B177="Onsite",INDEX(tbl_Onsite[PO / Reference],$BI177),IF($B177="Production",INDEX(tbl_Production[Current RMS No],$BI177),INDEX(tbl_Consulting[Qwilr Quote],$BI177)))&amp;"")</f>
        <v/>
      </c>
      <c r="M177" s="10">
        <f>IF($BI177="","",IF($B177="Onsite",INDEX(tbl_Onsite[Notes],$BI177),IF($B177="Production",INDEX(tbl_Production[Notes],$BI177),INDEX(tbl_Consulting[Notes],$BI177)))&amp;"")</f>
        <v/>
      </c>
      <c r="N177" s="11">
        <f>IF($BI177="","",IF(IF($B177="Onsite",INDEX(tbl_Onsite[Expected Revenue Ex GST],$BI177),IF($B177="Production",INDEX(tbl_Production[Expected Revenue Ex GST],$BI177),INDEX(tbl_Consulting[Expected Revenue Ex GST],$BI177)))="","",IF($B177="Onsite",INDEX(tbl_Onsite[Expected Revenue Ex GST],$BI177),IF($B177="Production",INDEX(tbl_Production[Expected Revenue Ex GST],$BI177),INDEX(tbl_Consulting[Expected Revenue Ex GST],$BI177)))))</f>
        <v/>
      </c>
      <c r="O177" s="11">
        <f>IF(AND($C177="",NOT(COUNTA($S177:$BB177)&gt;0)),"",SUM(U177,X177,AA177,AD177,AG177,AJ177,AM177,AP177,AS177,AV177,AY177,BB177))</f>
        <v/>
      </c>
      <c r="P177" s="11">
        <f>IF(O177="","",N(N177)-O177)</f>
        <v/>
      </c>
      <c r="Q177" s="10">
        <f>IF(O177="","",IF($C177="","Invoice on empty job row",IF(N177="",IF(ROUND(O177,2)=0,"No dept value","Invoiced - no dept value"),IF(ROUND(O177,2)=0,"Not invoiced - to invoice",IF(ROUND(P177,2)=0,"Agrees",IF(P177&gt;0,"Dept higher - to invoice","Xero higher - check dept"))))))</f>
        <v/>
      </c>
      <c r="R177" s="10">
        <f>IF(AND($C177="",NOT(COUNTA($S177:$BB177)&gt;0),$BI177&lt;&gt;""),"",MID(IF($BI177="","; Row ID not found on the department sheet - a row was deleted","")&amp;IF(AND($C177="",COUNTA($S177:$BB177)&gt;0),"; Invoice entered but the department row has no job number","")&amp;IF(E177="CHECK","; Job number not in the Xero job list","")&amp;IF(AND($C177&lt;&gt;"",COUNTIF($C$7:$C$1506,$C177)&gt;1),"; Job number on more than one row","")&amp;IF(AND($C177&lt;&gt;"",H177=""),"; Dept has not set a cost centre","")&amp;IF(AND($C177&lt;&gt;"",J177=""),"; Dept has not set a tax code","")&amp;IF(AND($C177&lt;&gt;"",N177=""),"; Dept has not entered an expected value","")&amp;IF((IF(OR(COUNTA(S177:U177)=0,AND(COUNTA(S177:U177)=3,ISNUMBER(U177))),0,1)+IF(OR(COUNTA(V177:X177)=0,AND(COUNTA(V177:X177)=3,ISNUMBER(X177))),0,1)+IF(OR(COUNTA(Y177:AA177)=0,AND(COUNTA(Y177:AA177)=3,ISNUMBER(AA177))),0,1)+IF(OR(COUNTA(AB177:AD177)=0,AND(COUNTA(AB177:AD177)=3,ISNUMBER(AD177))),0,1)+IF(OR(COUNTA(AE177:AG177)=0,AND(COUNTA(AE177:AG177)=3,ISNUMBER(AG177))),0,1)+IF(OR(COUNTA(AH177:AJ177)=0,AND(COUNTA(AH177:AJ177)=3,ISNUMBER(AJ177))),0,1)+IF(OR(COUNTA(AK177:AM177)=0,AND(COUNTA(AK177:AM177)=3,ISNUMBER(AM177))),0,1)+IF(OR(COUNTA(AN177:AP177)=0,AND(COUNTA(AN177:AP177)=3,ISNUMBER(AP177))),0,1)+IF(OR(COUNTA(AQ177:AS177)=0,AND(COUNTA(AQ177:AS177)=3,ISNUMBER(AS177))),0,1)+IF(OR(COUNTA(AT177:AV177)=0,AND(COUNTA(AT177:AV177)=3,ISNUMBER(AV177))),0,1)+IF(OR(COUNTA(AW177:AY177)=0,AND(COUNTA(AW177:AY177)=3,ISNUMBER(AY177))),0,1)+IF(OR(COUNTA(AZ177:BB177)=0,AND(COUNTA(AZ177:BB177)=3,ISNUMBER(BB177))),0,1))&gt;0,"; An invoice is incomplete (needs No, Date and a number in Ex GST)","")&amp;IF((IF(T177="",0,IFERROR(--(EOMONTH(T177,0)&lt;&gt;S$5),1))+IF(W177="",0,IFERROR(--(EOMONTH(W177,0)&lt;&gt;V$5),1))+IF(Z177="",0,IFERROR(--(EOMONTH(Z177,0)&lt;&gt;Y$5),1))+IF(AC177="",0,IFERROR(--(EOMONTH(AC177,0)&lt;&gt;AB$5),1))+IF(AF177="",0,IFERROR(--(EOMONTH(AF177,0)&lt;&gt;AE$5),1))+IF(AI177="",0,IFERROR(--(EOMONTH(AI177,0)&lt;&gt;AH$5),1))+IF(AL177="",0,IFERROR(--(EOMONTH(AL177,0)&lt;&gt;AK$5),1))+IF(AO177="",0,IFERROR(--(EOMONTH(AO177,0)&lt;&gt;AN$5),1))+IF(AR177="",0,IFERROR(--(EOMONTH(AR177,0)&lt;&gt;AQ$5),1))+IF(AU177="",0,IFERROR(--(EOMONTH(AU177,0)&lt;&gt;AT$5),1))+IF(AX177="",0,IFERROR(--(EOMONTH(AX177,0)&lt;&gt;AW$5),1))+IF(BA177="",0,IFERROR(--(EOMONTH(BA177,0)&lt;&gt;AZ$5),1)))&gt;0,"; An invoice date is not in the month it is typed under",""),3,500))</f>
        <v/>
      </c>
      <c r="S177" s="12" t="n"/>
      <c r="T177" s="13" t="n"/>
      <c r="U177" s="14" t="n"/>
      <c r="V177" s="12" t="n"/>
      <c r="W177" s="13" t="n"/>
      <c r="X177" s="14" t="n"/>
      <c r="Y177" s="12" t="n"/>
      <c r="Z177" s="13" t="n"/>
      <c r="AA177" s="14" t="n"/>
      <c r="AB177" s="12" t="n"/>
      <c r="AC177" s="13" t="n"/>
      <c r="AD177" s="14" t="n"/>
      <c r="AE177" s="12" t="n"/>
      <c r="AF177" s="13" t="n"/>
      <c r="AG177" s="14" t="n"/>
      <c r="AH177" s="12" t="n"/>
      <c r="AI177" s="13" t="n"/>
      <c r="AJ177" s="14" t="n"/>
      <c r="AK177" s="12" t="n"/>
      <c r="AL177" s="13" t="n"/>
      <c r="AM177" s="14" t="n"/>
      <c r="AN177" s="12" t="n"/>
      <c r="AO177" s="13" t="n"/>
      <c r="AP177" s="14" t="n"/>
      <c r="AQ177" s="12" t="n"/>
      <c r="AR177" s="13" t="n"/>
      <c r="AS177" s="14" t="n"/>
      <c r="AT177" s="12" t="n"/>
      <c r="AU177" s="13" t="n"/>
      <c r="AV177" s="14" t="n"/>
      <c r="AW177" s="12" t="n"/>
      <c r="AX177" s="13" t="n"/>
      <c r="AY177" s="14" t="n"/>
      <c r="AZ177" s="12" t="n"/>
      <c r="BA177" s="13" t="n"/>
      <c r="BB177" s="14" t="n"/>
      <c r="BC177" s="11">
        <f>IF(O177="","",IF(J177="GST 10%",ROUND(O177*set_GSTRate,2),0))</f>
        <v/>
      </c>
      <c r="BD177" s="11">
        <f>IF(O177="","",O177+BC177)</f>
        <v/>
      </c>
      <c r="BE177" s="15">
        <f>IF(O177="","",COUNTA(S177,V177,Y177,AB177,AE177,AH177,AK177,AN177,AQ177,AT177,AW177,AZ177))</f>
        <v/>
      </c>
      <c r="BF177" s="16">
        <f>IF(COUNT(T177,W177,Z177,AC177,AF177,AI177,AL177,AO177,AR177,AU177,AX177,BA177)=0,"",MAX(T177,W177,Z177,AC177,AF177,AI177,AL177,AO177,AR177,AU177,AX177,BA177))</f>
        <v/>
      </c>
      <c r="BG177" s="10">
        <f>MID(IF(S177="","",", "&amp;S177)&amp;IF(V177="","",", "&amp;V177)&amp;IF(Y177="","",", "&amp;Y177)&amp;IF(AB177="","",", "&amp;AB177)&amp;IF(AE177="","",", "&amp;AE177)&amp;IF(AH177="","",", "&amp;AH177)&amp;IF(AK177="","",", "&amp;AK177)&amp;IF(AN177="","",", "&amp;AN177)&amp;IF(AQ177="","",", "&amp;AQ177)&amp;IF(AT177="","",", "&amp;AT177)&amp;IF(AW177="","",", "&amp;AW177)&amp;IF(AZ177="","",", "&amp;AZ177),3,500)</f>
        <v/>
      </c>
      <c r="BH177" s="12" t="n"/>
      <c r="BI177" s="15">
        <f>IFERROR(MATCH($A177,IF($B177="Onsite",tbl_Onsite[Row ID],IF($B177="Production",tbl_Production[Row ID],tbl_Consulting[Row ID])),0),"")</f>
        <v/>
      </c>
    </row>
    <row r="178">
      <c r="A178" s="10" t="inlineStr">
        <is>
          <t>ONS-0172</t>
        </is>
      </c>
      <c r="B178" s="10" t="inlineStr">
        <is>
          <t>Onsite</t>
        </is>
      </c>
      <c r="C178" s="10">
        <f>IF($BI178="","",IF($B178="Onsite",INDEX(tbl_Onsite[Job Number],$BI178),IF($B178="Production",INDEX(tbl_Production[Job Number],$BI178),INDEX(tbl_Consulting[Job Number],$BI178)))&amp;"")</f>
        <v/>
      </c>
      <c r="D178" s="10">
        <f>IF($BI178="","",IF($B178="Onsite",INDEX(tbl_Onsite[Client],$BI178),IF($B178="Production",INDEX(tbl_Production[Client],$BI178),INDEX(tbl_Consulting[Client],$BI178)))&amp;"")</f>
        <v/>
      </c>
      <c r="E178" s="10">
        <f>IF($C178="","",IF(COUNTIF(lst_Jobs,$C178)&gt;0,"OK","CHECK"))</f>
        <v/>
      </c>
      <c r="F178" s="10">
        <f>IF($C178="","",IFERROR(INDEX(lst_JobName,MATCH($C178,lst_Jobs,0)),""))</f>
        <v/>
      </c>
      <c r="G178" s="10">
        <f>IF($BI178="","",IF($B178="Onsite",INDEX(tbl_Onsite[Job Description],$BI178),IF($B178="Production",INDEX(tbl_Production[Job Description],$BI178),INDEX(tbl_Consulting[Job Description],$BI178)))&amp;"")</f>
        <v/>
      </c>
      <c r="H178" s="10">
        <f>IF($BI178="","",IF($B178="Onsite",INDEX(tbl_Onsite[Cost Centre],$BI178),IF($B178="Production",INDEX(tbl_Production[Cost Centre],$BI178),INDEX(tbl_Consulting[Cost Centre],$BI178)))&amp;"")</f>
        <v/>
      </c>
      <c r="I178" s="10">
        <f>IF($BI178="","",IF($B178="Onsite",INDEX(tbl_Onsite[Invoice Type],$BI178),IF($B178="Production",INDEX(tbl_Production[Invoice Type],$BI178),INDEX(tbl_Consulting[Invoice Type],$BI178)))&amp;"")</f>
        <v/>
      </c>
      <c r="J178" s="10">
        <f>IF($BI178="","",IF($B178="Onsite",INDEX(tbl_Onsite[Tax Code],$BI178),IF($B178="Production",INDEX(tbl_Production[Tax Code],$BI178),INDEX(tbl_Consulting[Tax Code],$BI178)))&amp;"")</f>
        <v/>
      </c>
      <c r="K178" s="10">
        <f>IF(H178="","",IFERROR(INDEX(lst_CCtoGL,MATCH(H178,lst_CCforGL,0)),""))</f>
        <v/>
      </c>
      <c r="L178" s="10">
        <f>IF($BI178="","",IF($B178="Onsite",INDEX(tbl_Onsite[PO / Reference],$BI178),IF($B178="Production",INDEX(tbl_Production[Current RMS No],$BI178),INDEX(tbl_Consulting[Qwilr Quote],$BI178)))&amp;"")</f>
        <v/>
      </c>
      <c r="M178" s="10">
        <f>IF($BI178="","",IF($B178="Onsite",INDEX(tbl_Onsite[Notes],$BI178),IF($B178="Production",INDEX(tbl_Production[Notes],$BI178),INDEX(tbl_Consulting[Notes],$BI178)))&amp;"")</f>
        <v/>
      </c>
      <c r="N178" s="11">
        <f>IF($BI178="","",IF(IF($B178="Onsite",INDEX(tbl_Onsite[Expected Revenue Ex GST],$BI178),IF($B178="Production",INDEX(tbl_Production[Expected Revenue Ex GST],$BI178),INDEX(tbl_Consulting[Expected Revenue Ex GST],$BI178)))="","",IF($B178="Onsite",INDEX(tbl_Onsite[Expected Revenue Ex GST],$BI178),IF($B178="Production",INDEX(tbl_Production[Expected Revenue Ex GST],$BI178),INDEX(tbl_Consulting[Expected Revenue Ex GST],$BI178)))))</f>
        <v/>
      </c>
      <c r="O178" s="11">
        <f>IF(AND($C178="",NOT(COUNTA($S178:$BB178)&gt;0)),"",SUM(U178,X178,AA178,AD178,AG178,AJ178,AM178,AP178,AS178,AV178,AY178,BB178))</f>
        <v/>
      </c>
      <c r="P178" s="11">
        <f>IF(O178="","",N(N178)-O178)</f>
        <v/>
      </c>
      <c r="Q178" s="10">
        <f>IF(O178="","",IF($C178="","Invoice on empty job row",IF(N178="",IF(ROUND(O178,2)=0,"No dept value","Invoiced - no dept value"),IF(ROUND(O178,2)=0,"Not invoiced - to invoice",IF(ROUND(P178,2)=0,"Agrees",IF(P178&gt;0,"Dept higher - to invoice","Xero higher - check dept"))))))</f>
        <v/>
      </c>
      <c r="R178" s="10">
        <f>IF(AND($C178="",NOT(COUNTA($S178:$BB178)&gt;0),$BI178&lt;&gt;""),"",MID(IF($BI178="","; Row ID not found on the department sheet - a row was deleted","")&amp;IF(AND($C178="",COUNTA($S178:$BB178)&gt;0),"; Invoice entered but the department row has no job number","")&amp;IF(E178="CHECK","; Job number not in the Xero job list","")&amp;IF(AND($C178&lt;&gt;"",COUNTIF($C$7:$C$1506,$C178)&gt;1),"; Job number on more than one row","")&amp;IF(AND($C178&lt;&gt;"",H178=""),"; Dept has not set a cost centre","")&amp;IF(AND($C178&lt;&gt;"",J178=""),"; Dept has not set a tax code","")&amp;IF(AND($C178&lt;&gt;"",N178=""),"; Dept has not entered an expected value","")&amp;IF((IF(OR(COUNTA(S178:U178)=0,AND(COUNTA(S178:U178)=3,ISNUMBER(U178))),0,1)+IF(OR(COUNTA(V178:X178)=0,AND(COUNTA(V178:X178)=3,ISNUMBER(X178))),0,1)+IF(OR(COUNTA(Y178:AA178)=0,AND(COUNTA(Y178:AA178)=3,ISNUMBER(AA178))),0,1)+IF(OR(COUNTA(AB178:AD178)=0,AND(COUNTA(AB178:AD178)=3,ISNUMBER(AD178))),0,1)+IF(OR(COUNTA(AE178:AG178)=0,AND(COUNTA(AE178:AG178)=3,ISNUMBER(AG178))),0,1)+IF(OR(COUNTA(AH178:AJ178)=0,AND(COUNTA(AH178:AJ178)=3,ISNUMBER(AJ178))),0,1)+IF(OR(COUNTA(AK178:AM178)=0,AND(COUNTA(AK178:AM178)=3,ISNUMBER(AM178))),0,1)+IF(OR(COUNTA(AN178:AP178)=0,AND(COUNTA(AN178:AP178)=3,ISNUMBER(AP178))),0,1)+IF(OR(COUNTA(AQ178:AS178)=0,AND(COUNTA(AQ178:AS178)=3,ISNUMBER(AS178))),0,1)+IF(OR(COUNTA(AT178:AV178)=0,AND(COUNTA(AT178:AV178)=3,ISNUMBER(AV178))),0,1)+IF(OR(COUNTA(AW178:AY178)=0,AND(COUNTA(AW178:AY178)=3,ISNUMBER(AY178))),0,1)+IF(OR(COUNTA(AZ178:BB178)=0,AND(COUNTA(AZ178:BB178)=3,ISNUMBER(BB178))),0,1))&gt;0,"; An invoice is incomplete (needs No, Date and a number in Ex GST)","")&amp;IF((IF(T178="",0,IFERROR(--(EOMONTH(T178,0)&lt;&gt;S$5),1))+IF(W178="",0,IFERROR(--(EOMONTH(W178,0)&lt;&gt;V$5),1))+IF(Z178="",0,IFERROR(--(EOMONTH(Z178,0)&lt;&gt;Y$5),1))+IF(AC178="",0,IFERROR(--(EOMONTH(AC178,0)&lt;&gt;AB$5),1))+IF(AF178="",0,IFERROR(--(EOMONTH(AF178,0)&lt;&gt;AE$5),1))+IF(AI178="",0,IFERROR(--(EOMONTH(AI178,0)&lt;&gt;AH$5),1))+IF(AL178="",0,IFERROR(--(EOMONTH(AL178,0)&lt;&gt;AK$5),1))+IF(AO178="",0,IFERROR(--(EOMONTH(AO178,0)&lt;&gt;AN$5),1))+IF(AR178="",0,IFERROR(--(EOMONTH(AR178,0)&lt;&gt;AQ$5),1))+IF(AU178="",0,IFERROR(--(EOMONTH(AU178,0)&lt;&gt;AT$5),1))+IF(AX178="",0,IFERROR(--(EOMONTH(AX178,0)&lt;&gt;AW$5),1))+IF(BA178="",0,IFERROR(--(EOMONTH(BA178,0)&lt;&gt;AZ$5),1)))&gt;0,"; An invoice date is not in the month it is typed under",""),3,500))</f>
        <v/>
      </c>
      <c r="S178" s="12" t="n"/>
      <c r="T178" s="13" t="n"/>
      <c r="U178" s="14" t="n"/>
      <c r="V178" s="12" t="n"/>
      <c r="W178" s="13" t="n"/>
      <c r="X178" s="14" t="n"/>
      <c r="Y178" s="12" t="n"/>
      <c r="Z178" s="13" t="n"/>
      <c r="AA178" s="14" t="n"/>
      <c r="AB178" s="12" t="n"/>
      <c r="AC178" s="13" t="n"/>
      <c r="AD178" s="14" t="n"/>
      <c r="AE178" s="12" t="n"/>
      <c r="AF178" s="13" t="n"/>
      <c r="AG178" s="14" t="n"/>
      <c r="AH178" s="12" t="n"/>
      <c r="AI178" s="13" t="n"/>
      <c r="AJ178" s="14" t="n"/>
      <c r="AK178" s="12" t="n"/>
      <c r="AL178" s="13" t="n"/>
      <c r="AM178" s="14" t="n"/>
      <c r="AN178" s="12" t="n"/>
      <c r="AO178" s="13" t="n"/>
      <c r="AP178" s="14" t="n"/>
      <c r="AQ178" s="12" t="n"/>
      <c r="AR178" s="13" t="n"/>
      <c r="AS178" s="14" t="n"/>
      <c r="AT178" s="12" t="n"/>
      <c r="AU178" s="13" t="n"/>
      <c r="AV178" s="14" t="n"/>
      <c r="AW178" s="12" t="n"/>
      <c r="AX178" s="13" t="n"/>
      <c r="AY178" s="14" t="n"/>
      <c r="AZ178" s="12" t="n"/>
      <c r="BA178" s="13" t="n"/>
      <c r="BB178" s="14" t="n"/>
      <c r="BC178" s="11">
        <f>IF(O178="","",IF(J178="GST 10%",ROUND(O178*set_GSTRate,2),0))</f>
        <v/>
      </c>
      <c r="BD178" s="11">
        <f>IF(O178="","",O178+BC178)</f>
        <v/>
      </c>
      <c r="BE178" s="15">
        <f>IF(O178="","",COUNTA(S178,V178,Y178,AB178,AE178,AH178,AK178,AN178,AQ178,AT178,AW178,AZ178))</f>
        <v/>
      </c>
      <c r="BF178" s="16">
        <f>IF(COUNT(T178,W178,Z178,AC178,AF178,AI178,AL178,AO178,AR178,AU178,AX178,BA178)=0,"",MAX(T178,W178,Z178,AC178,AF178,AI178,AL178,AO178,AR178,AU178,AX178,BA178))</f>
        <v/>
      </c>
      <c r="BG178" s="10">
        <f>MID(IF(S178="","",", "&amp;S178)&amp;IF(V178="","",", "&amp;V178)&amp;IF(Y178="","",", "&amp;Y178)&amp;IF(AB178="","",", "&amp;AB178)&amp;IF(AE178="","",", "&amp;AE178)&amp;IF(AH178="","",", "&amp;AH178)&amp;IF(AK178="","",", "&amp;AK178)&amp;IF(AN178="","",", "&amp;AN178)&amp;IF(AQ178="","",", "&amp;AQ178)&amp;IF(AT178="","",", "&amp;AT178)&amp;IF(AW178="","",", "&amp;AW178)&amp;IF(AZ178="","",", "&amp;AZ178),3,500)</f>
        <v/>
      </c>
      <c r="BH178" s="12" t="n"/>
      <c r="BI178" s="15">
        <f>IFERROR(MATCH($A178,IF($B178="Onsite",tbl_Onsite[Row ID],IF($B178="Production",tbl_Production[Row ID],tbl_Consulting[Row ID])),0),"")</f>
        <v/>
      </c>
    </row>
    <row r="179">
      <c r="A179" s="10" t="inlineStr">
        <is>
          <t>ONS-0173</t>
        </is>
      </c>
      <c r="B179" s="10" t="inlineStr">
        <is>
          <t>Onsite</t>
        </is>
      </c>
      <c r="C179" s="10">
        <f>IF($BI179="","",IF($B179="Onsite",INDEX(tbl_Onsite[Job Number],$BI179),IF($B179="Production",INDEX(tbl_Production[Job Number],$BI179),INDEX(tbl_Consulting[Job Number],$BI179)))&amp;"")</f>
        <v/>
      </c>
      <c r="D179" s="10">
        <f>IF($BI179="","",IF($B179="Onsite",INDEX(tbl_Onsite[Client],$BI179),IF($B179="Production",INDEX(tbl_Production[Client],$BI179),INDEX(tbl_Consulting[Client],$BI179)))&amp;"")</f>
        <v/>
      </c>
      <c r="E179" s="10">
        <f>IF($C179="","",IF(COUNTIF(lst_Jobs,$C179)&gt;0,"OK","CHECK"))</f>
        <v/>
      </c>
      <c r="F179" s="10">
        <f>IF($C179="","",IFERROR(INDEX(lst_JobName,MATCH($C179,lst_Jobs,0)),""))</f>
        <v/>
      </c>
      <c r="G179" s="10">
        <f>IF($BI179="","",IF($B179="Onsite",INDEX(tbl_Onsite[Job Description],$BI179),IF($B179="Production",INDEX(tbl_Production[Job Description],$BI179),INDEX(tbl_Consulting[Job Description],$BI179)))&amp;"")</f>
        <v/>
      </c>
      <c r="H179" s="10">
        <f>IF($BI179="","",IF($B179="Onsite",INDEX(tbl_Onsite[Cost Centre],$BI179),IF($B179="Production",INDEX(tbl_Production[Cost Centre],$BI179),INDEX(tbl_Consulting[Cost Centre],$BI179)))&amp;"")</f>
        <v/>
      </c>
      <c r="I179" s="10">
        <f>IF($BI179="","",IF($B179="Onsite",INDEX(tbl_Onsite[Invoice Type],$BI179),IF($B179="Production",INDEX(tbl_Production[Invoice Type],$BI179),INDEX(tbl_Consulting[Invoice Type],$BI179)))&amp;"")</f>
        <v/>
      </c>
      <c r="J179" s="10">
        <f>IF($BI179="","",IF($B179="Onsite",INDEX(tbl_Onsite[Tax Code],$BI179),IF($B179="Production",INDEX(tbl_Production[Tax Code],$BI179),INDEX(tbl_Consulting[Tax Code],$BI179)))&amp;"")</f>
        <v/>
      </c>
      <c r="K179" s="10">
        <f>IF(H179="","",IFERROR(INDEX(lst_CCtoGL,MATCH(H179,lst_CCforGL,0)),""))</f>
        <v/>
      </c>
      <c r="L179" s="10">
        <f>IF($BI179="","",IF($B179="Onsite",INDEX(tbl_Onsite[PO / Reference],$BI179),IF($B179="Production",INDEX(tbl_Production[Current RMS No],$BI179),INDEX(tbl_Consulting[Qwilr Quote],$BI179)))&amp;"")</f>
        <v/>
      </c>
      <c r="M179" s="10">
        <f>IF($BI179="","",IF($B179="Onsite",INDEX(tbl_Onsite[Notes],$BI179),IF($B179="Production",INDEX(tbl_Production[Notes],$BI179),INDEX(tbl_Consulting[Notes],$BI179)))&amp;"")</f>
        <v/>
      </c>
      <c r="N179" s="11">
        <f>IF($BI179="","",IF(IF($B179="Onsite",INDEX(tbl_Onsite[Expected Revenue Ex GST],$BI179),IF($B179="Production",INDEX(tbl_Production[Expected Revenue Ex GST],$BI179),INDEX(tbl_Consulting[Expected Revenue Ex GST],$BI179)))="","",IF($B179="Onsite",INDEX(tbl_Onsite[Expected Revenue Ex GST],$BI179),IF($B179="Production",INDEX(tbl_Production[Expected Revenue Ex GST],$BI179),INDEX(tbl_Consulting[Expected Revenue Ex GST],$BI179)))))</f>
        <v/>
      </c>
      <c r="O179" s="11">
        <f>IF(AND($C179="",NOT(COUNTA($S179:$BB179)&gt;0)),"",SUM(U179,X179,AA179,AD179,AG179,AJ179,AM179,AP179,AS179,AV179,AY179,BB179))</f>
        <v/>
      </c>
      <c r="P179" s="11">
        <f>IF(O179="","",N(N179)-O179)</f>
        <v/>
      </c>
      <c r="Q179" s="10">
        <f>IF(O179="","",IF($C179="","Invoice on empty job row",IF(N179="",IF(ROUND(O179,2)=0,"No dept value","Invoiced - no dept value"),IF(ROUND(O179,2)=0,"Not invoiced - to invoice",IF(ROUND(P179,2)=0,"Agrees",IF(P179&gt;0,"Dept higher - to invoice","Xero higher - check dept"))))))</f>
        <v/>
      </c>
      <c r="R179" s="10">
        <f>IF(AND($C179="",NOT(COUNTA($S179:$BB179)&gt;0),$BI179&lt;&gt;""),"",MID(IF($BI179="","; Row ID not found on the department sheet - a row was deleted","")&amp;IF(AND($C179="",COUNTA($S179:$BB179)&gt;0),"; Invoice entered but the department row has no job number","")&amp;IF(E179="CHECK","; Job number not in the Xero job list","")&amp;IF(AND($C179&lt;&gt;"",COUNTIF($C$7:$C$1506,$C179)&gt;1),"; Job number on more than one row","")&amp;IF(AND($C179&lt;&gt;"",H179=""),"; Dept has not set a cost centre","")&amp;IF(AND($C179&lt;&gt;"",J179=""),"; Dept has not set a tax code","")&amp;IF(AND($C179&lt;&gt;"",N179=""),"; Dept has not entered an expected value","")&amp;IF((IF(OR(COUNTA(S179:U179)=0,AND(COUNTA(S179:U179)=3,ISNUMBER(U179))),0,1)+IF(OR(COUNTA(V179:X179)=0,AND(COUNTA(V179:X179)=3,ISNUMBER(X179))),0,1)+IF(OR(COUNTA(Y179:AA179)=0,AND(COUNTA(Y179:AA179)=3,ISNUMBER(AA179))),0,1)+IF(OR(COUNTA(AB179:AD179)=0,AND(COUNTA(AB179:AD179)=3,ISNUMBER(AD179))),0,1)+IF(OR(COUNTA(AE179:AG179)=0,AND(COUNTA(AE179:AG179)=3,ISNUMBER(AG179))),0,1)+IF(OR(COUNTA(AH179:AJ179)=0,AND(COUNTA(AH179:AJ179)=3,ISNUMBER(AJ179))),0,1)+IF(OR(COUNTA(AK179:AM179)=0,AND(COUNTA(AK179:AM179)=3,ISNUMBER(AM179))),0,1)+IF(OR(COUNTA(AN179:AP179)=0,AND(COUNTA(AN179:AP179)=3,ISNUMBER(AP179))),0,1)+IF(OR(COUNTA(AQ179:AS179)=0,AND(COUNTA(AQ179:AS179)=3,ISNUMBER(AS179))),0,1)+IF(OR(COUNTA(AT179:AV179)=0,AND(COUNTA(AT179:AV179)=3,ISNUMBER(AV179))),0,1)+IF(OR(COUNTA(AW179:AY179)=0,AND(COUNTA(AW179:AY179)=3,ISNUMBER(AY179))),0,1)+IF(OR(COUNTA(AZ179:BB179)=0,AND(COUNTA(AZ179:BB179)=3,ISNUMBER(BB179))),0,1))&gt;0,"; An invoice is incomplete (needs No, Date and a number in Ex GST)","")&amp;IF((IF(T179="",0,IFERROR(--(EOMONTH(T179,0)&lt;&gt;S$5),1))+IF(W179="",0,IFERROR(--(EOMONTH(W179,0)&lt;&gt;V$5),1))+IF(Z179="",0,IFERROR(--(EOMONTH(Z179,0)&lt;&gt;Y$5),1))+IF(AC179="",0,IFERROR(--(EOMONTH(AC179,0)&lt;&gt;AB$5),1))+IF(AF179="",0,IFERROR(--(EOMONTH(AF179,0)&lt;&gt;AE$5),1))+IF(AI179="",0,IFERROR(--(EOMONTH(AI179,0)&lt;&gt;AH$5),1))+IF(AL179="",0,IFERROR(--(EOMONTH(AL179,0)&lt;&gt;AK$5),1))+IF(AO179="",0,IFERROR(--(EOMONTH(AO179,0)&lt;&gt;AN$5),1))+IF(AR179="",0,IFERROR(--(EOMONTH(AR179,0)&lt;&gt;AQ$5),1))+IF(AU179="",0,IFERROR(--(EOMONTH(AU179,0)&lt;&gt;AT$5),1))+IF(AX179="",0,IFERROR(--(EOMONTH(AX179,0)&lt;&gt;AW$5),1))+IF(BA179="",0,IFERROR(--(EOMONTH(BA179,0)&lt;&gt;AZ$5),1)))&gt;0,"; An invoice date is not in the month it is typed under",""),3,500))</f>
        <v/>
      </c>
      <c r="S179" s="12" t="n"/>
      <c r="T179" s="13" t="n"/>
      <c r="U179" s="14" t="n"/>
      <c r="V179" s="12" t="n"/>
      <c r="W179" s="13" t="n"/>
      <c r="X179" s="14" t="n"/>
      <c r="Y179" s="12" t="n"/>
      <c r="Z179" s="13" t="n"/>
      <c r="AA179" s="14" t="n"/>
      <c r="AB179" s="12" t="n"/>
      <c r="AC179" s="13" t="n"/>
      <c r="AD179" s="14" t="n"/>
      <c r="AE179" s="12" t="n"/>
      <c r="AF179" s="13" t="n"/>
      <c r="AG179" s="14" t="n"/>
      <c r="AH179" s="12" t="n"/>
      <c r="AI179" s="13" t="n"/>
      <c r="AJ179" s="14" t="n"/>
      <c r="AK179" s="12" t="n"/>
      <c r="AL179" s="13" t="n"/>
      <c r="AM179" s="14" t="n"/>
      <c r="AN179" s="12" t="n"/>
      <c r="AO179" s="13" t="n"/>
      <c r="AP179" s="14" t="n"/>
      <c r="AQ179" s="12" t="n"/>
      <c r="AR179" s="13" t="n"/>
      <c r="AS179" s="14" t="n"/>
      <c r="AT179" s="12" t="n"/>
      <c r="AU179" s="13" t="n"/>
      <c r="AV179" s="14" t="n"/>
      <c r="AW179" s="12" t="n"/>
      <c r="AX179" s="13" t="n"/>
      <c r="AY179" s="14" t="n"/>
      <c r="AZ179" s="12" t="n"/>
      <c r="BA179" s="13" t="n"/>
      <c r="BB179" s="14" t="n"/>
      <c r="BC179" s="11">
        <f>IF(O179="","",IF(J179="GST 10%",ROUND(O179*set_GSTRate,2),0))</f>
        <v/>
      </c>
      <c r="BD179" s="11">
        <f>IF(O179="","",O179+BC179)</f>
        <v/>
      </c>
      <c r="BE179" s="15">
        <f>IF(O179="","",COUNTA(S179,V179,Y179,AB179,AE179,AH179,AK179,AN179,AQ179,AT179,AW179,AZ179))</f>
        <v/>
      </c>
      <c r="BF179" s="16">
        <f>IF(COUNT(T179,W179,Z179,AC179,AF179,AI179,AL179,AO179,AR179,AU179,AX179,BA179)=0,"",MAX(T179,W179,Z179,AC179,AF179,AI179,AL179,AO179,AR179,AU179,AX179,BA179))</f>
        <v/>
      </c>
      <c r="BG179" s="10">
        <f>MID(IF(S179="","",", "&amp;S179)&amp;IF(V179="","",", "&amp;V179)&amp;IF(Y179="","",", "&amp;Y179)&amp;IF(AB179="","",", "&amp;AB179)&amp;IF(AE179="","",", "&amp;AE179)&amp;IF(AH179="","",", "&amp;AH179)&amp;IF(AK179="","",", "&amp;AK179)&amp;IF(AN179="","",", "&amp;AN179)&amp;IF(AQ179="","",", "&amp;AQ179)&amp;IF(AT179="","",", "&amp;AT179)&amp;IF(AW179="","",", "&amp;AW179)&amp;IF(AZ179="","",", "&amp;AZ179),3,500)</f>
        <v/>
      </c>
      <c r="BH179" s="12" t="n"/>
      <c r="BI179" s="15">
        <f>IFERROR(MATCH($A179,IF($B179="Onsite",tbl_Onsite[Row ID],IF($B179="Production",tbl_Production[Row ID],tbl_Consulting[Row ID])),0),"")</f>
        <v/>
      </c>
    </row>
    <row r="180">
      <c r="A180" s="10" t="inlineStr">
        <is>
          <t>ONS-0174</t>
        </is>
      </c>
      <c r="B180" s="10" t="inlineStr">
        <is>
          <t>Onsite</t>
        </is>
      </c>
      <c r="C180" s="10">
        <f>IF($BI180="","",IF($B180="Onsite",INDEX(tbl_Onsite[Job Number],$BI180),IF($B180="Production",INDEX(tbl_Production[Job Number],$BI180),INDEX(tbl_Consulting[Job Number],$BI180)))&amp;"")</f>
        <v/>
      </c>
      <c r="D180" s="10">
        <f>IF($BI180="","",IF($B180="Onsite",INDEX(tbl_Onsite[Client],$BI180),IF($B180="Production",INDEX(tbl_Production[Client],$BI180),INDEX(tbl_Consulting[Client],$BI180)))&amp;"")</f>
        <v/>
      </c>
      <c r="E180" s="10">
        <f>IF($C180="","",IF(COUNTIF(lst_Jobs,$C180)&gt;0,"OK","CHECK"))</f>
        <v/>
      </c>
      <c r="F180" s="10">
        <f>IF($C180="","",IFERROR(INDEX(lst_JobName,MATCH($C180,lst_Jobs,0)),""))</f>
        <v/>
      </c>
      <c r="G180" s="10">
        <f>IF($BI180="","",IF($B180="Onsite",INDEX(tbl_Onsite[Job Description],$BI180),IF($B180="Production",INDEX(tbl_Production[Job Description],$BI180),INDEX(tbl_Consulting[Job Description],$BI180)))&amp;"")</f>
        <v/>
      </c>
      <c r="H180" s="10">
        <f>IF($BI180="","",IF($B180="Onsite",INDEX(tbl_Onsite[Cost Centre],$BI180),IF($B180="Production",INDEX(tbl_Production[Cost Centre],$BI180),INDEX(tbl_Consulting[Cost Centre],$BI180)))&amp;"")</f>
        <v/>
      </c>
      <c r="I180" s="10">
        <f>IF($BI180="","",IF($B180="Onsite",INDEX(tbl_Onsite[Invoice Type],$BI180),IF($B180="Production",INDEX(tbl_Production[Invoice Type],$BI180),INDEX(tbl_Consulting[Invoice Type],$BI180)))&amp;"")</f>
        <v/>
      </c>
      <c r="J180" s="10">
        <f>IF($BI180="","",IF($B180="Onsite",INDEX(tbl_Onsite[Tax Code],$BI180),IF($B180="Production",INDEX(tbl_Production[Tax Code],$BI180),INDEX(tbl_Consulting[Tax Code],$BI180)))&amp;"")</f>
        <v/>
      </c>
      <c r="K180" s="10">
        <f>IF(H180="","",IFERROR(INDEX(lst_CCtoGL,MATCH(H180,lst_CCforGL,0)),""))</f>
        <v/>
      </c>
      <c r="L180" s="10">
        <f>IF($BI180="","",IF($B180="Onsite",INDEX(tbl_Onsite[PO / Reference],$BI180),IF($B180="Production",INDEX(tbl_Production[Current RMS No],$BI180),INDEX(tbl_Consulting[Qwilr Quote],$BI180)))&amp;"")</f>
        <v/>
      </c>
      <c r="M180" s="10">
        <f>IF($BI180="","",IF($B180="Onsite",INDEX(tbl_Onsite[Notes],$BI180),IF($B180="Production",INDEX(tbl_Production[Notes],$BI180),INDEX(tbl_Consulting[Notes],$BI180)))&amp;"")</f>
        <v/>
      </c>
      <c r="N180" s="11">
        <f>IF($BI180="","",IF(IF($B180="Onsite",INDEX(tbl_Onsite[Expected Revenue Ex GST],$BI180),IF($B180="Production",INDEX(tbl_Production[Expected Revenue Ex GST],$BI180),INDEX(tbl_Consulting[Expected Revenue Ex GST],$BI180)))="","",IF($B180="Onsite",INDEX(tbl_Onsite[Expected Revenue Ex GST],$BI180),IF($B180="Production",INDEX(tbl_Production[Expected Revenue Ex GST],$BI180),INDEX(tbl_Consulting[Expected Revenue Ex GST],$BI180)))))</f>
        <v/>
      </c>
      <c r="O180" s="11">
        <f>IF(AND($C180="",NOT(COUNTA($S180:$BB180)&gt;0)),"",SUM(U180,X180,AA180,AD180,AG180,AJ180,AM180,AP180,AS180,AV180,AY180,BB180))</f>
        <v/>
      </c>
      <c r="P180" s="11">
        <f>IF(O180="","",N(N180)-O180)</f>
        <v/>
      </c>
      <c r="Q180" s="10">
        <f>IF(O180="","",IF($C180="","Invoice on empty job row",IF(N180="",IF(ROUND(O180,2)=0,"No dept value","Invoiced - no dept value"),IF(ROUND(O180,2)=0,"Not invoiced - to invoice",IF(ROUND(P180,2)=0,"Agrees",IF(P180&gt;0,"Dept higher - to invoice","Xero higher - check dept"))))))</f>
        <v/>
      </c>
      <c r="R180" s="10">
        <f>IF(AND($C180="",NOT(COUNTA($S180:$BB180)&gt;0),$BI180&lt;&gt;""),"",MID(IF($BI180="","; Row ID not found on the department sheet - a row was deleted","")&amp;IF(AND($C180="",COUNTA($S180:$BB180)&gt;0),"; Invoice entered but the department row has no job number","")&amp;IF(E180="CHECK","; Job number not in the Xero job list","")&amp;IF(AND($C180&lt;&gt;"",COUNTIF($C$7:$C$1506,$C180)&gt;1),"; Job number on more than one row","")&amp;IF(AND($C180&lt;&gt;"",H180=""),"; Dept has not set a cost centre","")&amp;IF(AND($C180&lt;&gt;"",J180=""),"; Dept has not set a tax code","")&amp;IF(AND($C180&lt;&gt;"",N180=""),"; Dept has not entered an expected value","")&amp;IF((IF(OR(COUNTA(S180:U180)=0,AND(COUNTA(S180:U180)=3,ISNUMBER(U180))),0,1)+IF(OR(COUNTA(V180:X180)=0,AND(COUNTA(V180:X180)=3,ISNUMBER(X180))),0,1)+IF(OR(COUNTA(Y180:AA180)=0,AND(COUNTA(Y180:AA180)=3,ISNUMBER(AA180))),0,1)+IF(OR(COUNTA(AB180:AD180)=0,AND(COUNTA(AB180:AD180)=3,ISNUMBER(AD180))),0,1)+IF(OR(COUNTA(AE180:AG180)=0,AND(COUNTA(AE180:AG180)=3,ISNUMBER(AG180))),0,1)+IF(OR(COUNTA(AH180:AJ180)=0,AND(COUNTA(AH180:AJ180)=3,ISNUMBER(AJ180))),0,1)+IF(OR(COUNTA(AK180:AM180)=0,AND(COUNTA(AK180:AM180)=3,ISNUMBER(AM180))),0,1)+IF(OR(COUNTA(AN180:AP180)=0,AND(COUNTA(AN180:AP180)=3,ISNUMBER(AP180))),0,1)+IF(OR(COUNTA(AQ180:AS180)=0,AND(COUNTA(AQ180:AS180)=3,ISNUMBER(AS180))),0,1)+IF(OR(COUNTA(AT180:AV180)=0,AND(COUNTA(AT180:AV180)=3,ISNUMBER(AV180))),0,1)+IF(OR(COUNTA(AW180:AY180)=0,AND(COUNTA(AW180:AY180)=3,ISNUMBER(AY180))),0,1)+IF(OR(COUNTA(AZ180:BB180)=0,AND(COUNTA(AZ180:BB180)=3,ISNUMBER(BB180))),0,1))&gt;0,"; An invoice is incomplete (needs No, Date and a number in Ex GST)","")&amp;IF((IF(T180="",0,IFERROR(--(EOMONTH(T180,0)&lt;&gt;S$5),1))+IF(W180="",0,IFERROR(--(EOMONTH(W180,0)&lt;&gt;V$5),1))+IF(Z180="",0,IFERROR(--(EOMONTH(Z180,0)&lt;&gt;Y$5),1))+IF(AC180="",0,IFERROR(--(EOMONTH(AC180,0)&lt;&gt;AB$5),1))+IF(AF180="",0,IFERROR(--(EOMONTH(AF180,0)&lt;&gt;AE$5),1))+IF(AI180="",0,IFERROR(--(EOMONTH(AI180,0)&lt;&gt;AH$5),1))+IF(AL180="",0,IFERROR(--(EOMONTH(AL180,0)&lt;&gt;AK$5),1))+IF(AO180="",0,IFERROR(--(EOMONTH(AO180,0)&lt;&gt;AN$5),1))+IF(AR180="",0,IFERROR(--(EOMONTH(AR180,0)&lt;&gt;AQ$5),1))+IF(AU180="",0,IFERROR(--(EOMONTH(AU180,0)&lt;&gt;AT$5),1))+IF(AX180="",0,IFERROR(--(EOMONTH(AX180,0)&lt;&gt;AW$5),1))+IF(BA180="",0,IFERROR(--(EOMONTH(BA180,0)&lt;&gt;AZ$5),1)))&gt;0,"; An invoice date is not in the month it is typed under",""),3,500))</f>
        <v/>
      </c>
      <c r="S180" s="12" t="n"/>
      <c r="T180" s="13" t="n"/>
      <c r="U180" s="14" t="n"/>
      <c r="V180" s="12" t="n"/>
      <c r="W180" s="13" t="n"/>
      <c r="X180" s="14" t="n"/>
      <c r="Y180" s="12" t="n"/>
      <c r="Z180" s="13" t="n"/>
      <c r="AA180" s="14" t="n"/>
      <c r="AB180" s="12" t="n"/>
      <c r="AC180" s="13" t="n"/>
      <c r="AD180" s="14" t="n"/>
      <c r="AE180" s="12" t="n"/>
      <c r="AF180" s="13" t="n"/>
      <c r="AG180" s="14" t="n"/>
      <c r="AH180" s="12" t="n"/>
      <c r="AI180" s="13" t="n"/>
      <c r="AJ180" s="14" t="n"/>
      <c r="AK180" s="12" t="n"/>
      <c r="AL180" s="13" t="n"/>
      <c r="AM180" s="14" t="n"/>
      <c r="AN180" s="12" t="n"/>
      <c r="AO180" s="13" t="n"/>
      <c r="AP180" s="14" t="n"/>
      <c r="AQ180" s="12" t="n"/>
      <c r="AR180" s="13" t="n"/>
      <c r="AS180" s="14" t="n"/>
      <c r="AT180" s="12" t="n"/>
      <c r="AU180" s="13" t="n"/>
      <c r="AV180" s="14" t="n"/>
      <c r="AW180" s="12" t="n"/>
      <c r="AX180" s="13" t="n"/>
      <c r="AY180" s="14" t="n"/>
      <c r="AZ180" s="12" t="n"/>
      <c r="BA180" s="13" t="n"/>
      <c r="BB180" s="14" t="n"/>
      <c r="BC180" s="11">
        <f>IF(O180="","",IF(J180="GST 10%",ROUND(O180*set_GSTRate,2),0))</f>
        <v/>
      </c>
      <c r="BD180" s="11">
        <f>IF(O180="","",O180+BC180)</f>
        <v/>
      </c>
      <c r="BE180" s="15">
        <f>IF(O180="","",COUNTA(S180,V180,Y180,AB180,AE180,AH180,AK180,AN180,AQ180,AT180,AW180,AZ180))</f>
        <v/>
      </c>
      <c r="BF180" s="16">
        <f>IF(COUNT(T180,W180,Z180,AC180,AF180,AI180,AL180,AO180,AR180,AU180,AX180,BA180)=0,"",MAX(T180,W180,Z180,AC180,AF180,AI180,AL180,AO180,AR180,AU180,AX180,BA180))</f>
        <v/>
      </c>
      <c r="BG180" s="10">
        <f>MID(IF(S180="","",", "&amp;S180)&amp;IF(V180="","",", "&amp;V180)&amp;IF(Y180="","",", "&amp;Y180)&amp;IF(AB180="","",", "&amp;AB180)&amp;IF(AE180="","",", "&amp;AE180)&amp;IF(AH180="","",", "&amp;AH180)&amp;IF(AK180="","",", "&amp;AK180)&amp;IF(AN180="","",", "&amp;AN180)&amp;IF(AQ180="","",", "&amp;AQ180)&amp;IF(AT180="","",", "&amp;AT180)&amp;IF(AW180="","",", "&amp;AW180)&amp;IF(AZ180="","",", "&amp;AZ180),3,500)</f>
        <v/>
      </c>
      <c r="BH180" s="12" t="n"/>
      <c r="BI180" s="15">
        <f>IFERROR(MATCH($A180,IF($B180="Onsite",tbl_Onsite[Row ID],IF($B180="Production",tbl_Production[Row ID],tbl_Consulting[Row ID])),0),"")</f>
        <v/>
      </c>
    </row>
    <row r="181">
      <c r="A181" s="10" t="inlineStr">
        <is>
          <t>ONS-0175</t>
        </is>
      </c>
      <c r="B181" s="10" t="inlineStr">
        <is>
          <t>Onsite</t>
        </is>
      </c>
      <c r="C181" s="10">
        <f>IF($BI181="","",IF($B181="Onsite",INDEX(tbl_Onsite[Job Number],$BI181),IF($B181="Production",INDEX(tbl_Production[Job Number],$BI181),INDEX(tbl_Consulting[Job Number],$BI181)))&amp;"")</f>
        <v/>
      </c>
      <c r="D181" s="10">
        <f>IF($BI181="","",IF($B181="Onsite",INDEX(tbl_Onsite[Client],$BI181),IF($B181="Production",INDEX(tbl_Production[Client],$BI181),INDEX(tbl_Consulting[Client],$BI181)))&amp;"")</f>
        <v/>
      </c>
      <c r="E181" s="10">
        <f>IF($C181="","",IF(COUNTIF(lst_Jobs,$C181)&gt;0,"OK","CHECK"))</f>
        <v/>
      </c>
      <c r="F181" s="10">
        <f>IF($C181="","",IFERROR(INDEX(lst_JobName,MATCH($C181,lst_Jobs,0)),""))</f>
        <v/>
      </c>
      <c r="G181" s="10">
        <f>IF($BI181="","",IF($B181="Onsite",INDEX(tbl_Onsite[Job Description],$BI181),IF($B181="Production",INDEX(tbl_Production[Job Description],$BI181),INDEX(tbl_Consulting[Job Description],$BI181)))&amp;"")</f>
        <v/>
      </c>
      <c r="H181" s="10">
        <f>IF($BI181="","",IF($B181="Onsite",INDEX(tbl_Onsite[Cost Centre],$BI181),IF($B181="Production",INDEX(tbl_Production[Cost Centre],$BI181),INDEX(tbl_Consulting[Cost Centre],$BI181)))&amp;"")</f>
        <v/>
      </c>
      <c r="I181" s="10">
        <f>IF($BI181="","",IF($B181="Onsite",INDEX(tbl_Onsite[Invoice Type],$BI181),IF($B181="Production",INDEX(tbl_Production[Invoice Type],$BI181),INDEX(tbl_Consulting[Invoice Type],$BI181)))&amp;"")</f>
        <v/>
      </c>
      <c r="J181" s="10">
        <f>IF($BI181="","",IF($B181="Onsite",INDEX(tbl_Onsite[Tax Code],$BI181),IF($B181="Production",INDEX(tbl_Production[Tax Code],$BI181),INDEX(tbl_Consulting[Tax Code],$BI181)))&amp;"")</f>
        <v/>
      </c>
      <c r="K181" s="10">
        <f>IF(H181="","",IFERROR(INDEX(lst_CCtoGL,MATCH(H181,lst_CCforGL,0)),""))</f>
        <v/>
      </c>
      <c r="L181" s="10">
        <f>IF($BI181="","",IF($B181="Onsite",INDEX(tbl_Onsite[PO / Reference],$BI181),IF($B181="Production",INDEX(tbl_Production[Current RMS No],$BI181),INDEX(tbl_Consulting[Qwilr Quote],$BI181)))&amp;"")</f>
        <v/>
      </c>
      <c r="M181" s="10">
        <f>IF($BI181="","",IF($B181="Onsite",INDEX(tbl_Onsite[Notes],$BI181),IF($B181="Production",INDEX(tbl_Production[Notes],$BI181),INDEX(tbl_Consulting[Notes],$BI181)))&amp;"")</f>
        <v/>
      </c>
      <c r="N181" s="11">
        <f>IF($BI181="","",IF(IF($B181="Onsite",INDEX(tbl_Onsite[Expected Revenue Ex GST],$BI181),IF($B181="Production",INDEX(tbl_Production[Expected Revenue Ex GST],$BI181),INDEX(tbl_Consulting[Expected Revenue Ex GST],$BI181)))="","",IF($B181="Onsite",INDEX(tbl_Onsite[Expected Revenue Ex GST],$BI181),IF($B181="Production",INDEX(tbl_Production[Expected Revenue Ex GST],$BI181),INDEX(tbl_Consulting[Expected Revenue Ex GST],$BI181)))))</f>
        <v/>
      </c>
      <c r="O181" s="11">
        <f>IF(AND($C181="",NOT(COUNTA($S181:$BB181)&gt;0)),"",SUM(U181,X181,AA181,AD181,AG181,AJ181,AM181,AP181,AS181,AV181,AY181,BB181))</f>
        <v/>
      </c>
      <c r="P181" s="11">
        <f>IF(O181="","",N(N181)-O181)</f>
        <v/>
      </c>
      <c r="Q181" s="10">
        <f>IF(O181="","",IF($C181="","Invoice on empty job row",IF(N181="",IF(ROUND(O181,2)=0,"No dept value","Invoiced - no dept value"),IF(ROUND(O181,2)=0,"Not invoiced - to invoice",IF(ROUND(P181,2)=0,"Agrees",IF(P181&gt;0,"Dept higher - to invoice","Xero higher - check dept"))))))</f>
        <v/>
      </c>
      <c r="R181" s="10">
        <f>IF(AND($C181="",NOT(COUNTA($S181:$BB181)&gt;0),$BI181&lt;&gt;""),"",MID(IF($BI181="","; Row ID not found on the department sheet - a row was deleted","")&amp;IF(AND($C181="",COUNTA($S181:$BB181)&gt;0),"; Invoice entered but the department row has no job number","")&amp;IF(E181="CHECK","; Job number not in the Xero job list","")&amp;IF(AND($C181&lt;&gt;"",COUNTIF($C$7:$C$1506,$C181)&gt;1),"; Job number on more than one row","")&amp;IF(AND($C181&lt;&gt;"",H181=""),"; Dept has not set a cost centre","")&amp;IF(AND($C181&lt;&gt;"",J181=""),"; Dept has not set a tax code","")&amp;IF(AND($C181&lt;&gt;"",N181=""),"; Dept has not entered an expected value","")&amp;IF((IF(OR(COUNTA(S181:U181)=0,AND(COUNTA(S181:U181)=3,ISNUMBER(U181))),0,1)+IF(OR(COUNTA(V181:X181)=0,AND(COUNTA(V181:X181)=3,ISNUMBER(X181))),0,1)+IF(OR(COUNTA(Y181:AA181)=0,AND(COUNTA(Y181:AA181)=3,ISNUMBER(AA181))),0,1)+IF(OR(COUNTA(AB181:AD181)=0,AND(COUNTA(AB181:AD181)=3,ISNUMBER(AD181))),0,1)+IF(OR(COUNTA(AE181:AG181)=0,AND(COUNTA(AE181:AG181)=3,ISNUMBER(AG181))),0,1)+IF(OR(COUNTA(AH181:AJ181)=0,AND(COUNTA(AH181:AJ181)=3,ISNUMBER(AJ181))),0,1)+IF(OR(COUNTA(AK181:AM181)=0,AND(COUNTA(AK181:AM181)=3,ISNUMBER(AM181))),0,1)+IF(OR(COUNTA(AN181:AP181)=0,AND(COUNTA(AN181:AP181)=3,ISNUMBER(AP181))),0,1)+IF(OR(COUNTA(AQ181:AS181)=0,AND(COUNTA(AQ181:AS181)=3,ISNUMBER(AS181))),0,1)+IF(OR(COUNTA(AT181:AV181)=0,AND(COUNTA(AT181:AV181)=3,ISNUMBER(AV181))),0,1)+IF(OR(COUNTA(AW181:AY181)=0,AND(COUNTA(AW181:AY181)=3,ISNUMBER(AY181))),0,1)+IF(OR(COUNTA(AZ181:BB181)=0,AND(COUNTA(AZ181:BB181)=3,ISNUMBER(BB181))),0,1))&gt;0,"; An invoice is incomplete (needs No, Date and a number in Ex GST)","")&amp;IF((IF(T181="",0,IFERROR(--(EOMONTH(T181,0)&lt;&gt;S$5),1))+IF(W181="",0,IFERROR(--(EOMONTH(W181,0)&lt;&gt;V$5),1))+IF(Z181="",0,IFERROR(--(EOMONTH(Z181,0)&lt;&gt;Y$5),1))+IF(AC181="",0,IFERROR(--(EOMONTH(AC181,0)&lt;&gt;AB$5),1))+IF(AF181="",0,IFERROR(--(EOMONTH(AF181,0)&lt;&gt;AE$5),1))+IF(AI181="",0,IFERROR(--(EOMONTH(AI181,0)&lt;&gt;AH$5),1))+IF(AL181="",0,IFERROR(--(EOMONTH(AL181,0)&lt;&gt;AK$5),1))+IF(AO181="",0,IFERROR(--(EOMONTH(AO181,0)&lt;&gt;AN$5),1))+IF(AR181="",0,IFERROR(--(EOMONTH(AR181,0)&lt;&gt;AQ$5),1))+IF(AU181="",0,IFERROR(--(EOMONTH(AU181,0)&lt;&gt;AT$5),1))+IF(AX181="",0,IFERROR(--(EOMONTH(AX181,0)&lt;&gt;AW$5),1))+IF(BA181="",0,IFERROR(--(EOMONTH(BA181,0)&lt;&gt;AZ$5),1)))&gt;0,"; An invoice date is not in the month it is typed under",""),3,500))</f>
        <v/>
      </c>
      <c r="S181" s="12" t="n"/>
      <c r="T181" s="13" t="n"/>
      <c r="U181" s="14" t="n"/>
      <c r="V181" s="12" t="n"/>
      <c r="W181" s="13" t="n"/>
      <c r="X181" s="14" t="n"/>
      <c r="Y181" s="12" t="n"/>
      <c r="Z181" s="13" t="n"/>
      <c r="AA181" s="14" t="n"/>
      <c r="AB181" s="12" t="n"/>
      <c r="AC181" s="13" t="n"/>
      <c r="AD181" s="14" t="n"/>
      <c r="AE181" s="12" t="n"/>
      <c r="AF181" s="13" t="n"/>
      <c r="AG181" s="14" t="n"/>
      <c r="AH181" s="12" t="n"/>
      <c r="AI181" s="13" t="n"/>
      <c r="AJ181" s="14" t="n"/>
      <c r="AK181" s="12" t="n"/>
      <c r="AL181" s="13" t="n"/>
      <c r="AM181" s="14" t="n"/>
      <c r="AN181" s="12" t="n"/>
      <c r="AO181" s="13" t="n"/>
      <c r="AP181" s="14" t="n"/>
      <c r="AQ181" s="12" t="n"/>
      <c r="AR181" s="13" t="n"/>
      <c r="AS181" s="14" t="n"/>
      <c r="AT181" s="12" t="n"/>
      <c r="AU181" s="13" t="n"/>
      <c r="AV181" s="14" t="n"/>
      <c r="AW181" s="12" t="n"/>
      <c r="AX181" s="13" t="n"/>
      <c r="AY181" s="14" t="n"/>
      <c r="AZ181" s="12" t="n"/>
      <c r="BA181" s="13" t="n"/>
      <c r="BB181" s="14" t="n"/>
      <c r="BC181" s="11">
        <f>IF(O181="","",IF(J181="GST 10%",ROUND(O181*set_GSTRate,2),0))</f>
        <v/>
      </c>
      <c r="BD181" s="11">
        <f>IF(O181="","",O181+BC181)</f>
        <v/>
      </c>
      <c r="BE181" s="15">
        <f>IF(O181="","",COUNTA(S181,V181,Y181,AB181,AE181,AH181,AK181,AN181,AQ181,AT181,AW181,AZ181))</f>
        <v/>
      </c>
      <c r="BF181" s="16">
        <f>IF(COUNT(T181,W181,Z181,AC181,AF181,AI181,AL181,AO181,AR181,AU181,AX181,BA181)=0,"",MAX(T181,W181,Z181,AC181,AF181,AI181,AL181,AO181,AR181,AU181,AX181,BA181))</f>
        <v/>
      </c>
      <c r="BG181" s="10">
        <f>MID(IF(S181="","",", "&amp;S181)&amp;IF(V181="","",", "&amp;V181)&amp;IF(Y181="","",", "&amp;Y181)&amp;IF(AB181="","",", "&amp;AB181)&amp;IF(AE181="","",", "&amp;AE181)&amp;IF(AH181="","",", "&amp;AH181)&amp;IF(AK181="","",", "&amp;AK181)&amp;IF(AN181="","",", "&amp;AN181)&amp;IF(AQ181="","",", "&amp;AQ181)&amp;IF(AT181="","",", "&amp;AT181)&amp;IF(AW181="","",", "&amp;AW181)&amp;IF(AZ181="","",", "&amp;AZ181),3,500)</f>
        <v/>
      </c>
      <c r="BH181" s="12" t="n"/>
      <c r="BI181" s="15">
        <f>IFERROR(MATCH($A181,IF($B181="Onsite",tbl_Onsite[Row ID],IF($B181="Production",tbl_Production[Row ID],tbl_Consulting[Row ID])),0),"")</f>
        <v/>
      </c>
    </row>
    <row r="182">
      <c r="A182" s="10" t="inlineStr">
        <is>
          <t>ONS-0176</t>
        </is>
      </c>
      <c r="B182" s="10" t="inlineStr">
        <is>
          <t>Onsite</t>
        </is>
      </c>
      <c r="C182" s="10">
        <f>IF($BI182="","",IF($B182="Onsite",INDEX(tbl_Onsite[Job Number],$BI182),IF($B182="Production",INDEX(tbl_Production[Job Number],$BI182),INDEX(tbl_Consulting[Job Number],$BI182)))&amp;"")</f>
        <v/>
      </c>
      <c r="D182" s="10">
        <f>IF($BI182="","",IF($B182="Onsite",INDEX(tbl_Onsite[Client],$BI182),IF($B182="Production",INDEX(tbl_Production[Client],$BI182),INDEX(tbl_Consulting[Client],$BI182)))&amp;"")</f>
        <v/>
      </c>
      <c r="E182" s="10">
        <f>IF($C182="","",IF(COUNTIF(lst_Jobs,$C182)&gt;0,"OK","CHECK"))</f>
        <v/>
      </c>
      <c r="F182" s="10">
        <f>IF($C182="","",IFERROR(INDEX(lst_JobName,MATCH($C182,lst_Jobs,0)),""))</f>
        <v/>
      </c>
      <c r="G182" s="10">
        <f>IF($BI182="","",IF($B182="Onsite",INDEX(tbl_Onsite[Job Description],$BI182),IF($B182="Production",INDEX(tbl_Production[Job Description],$BI182),INDEX(tbl_Consulting[Job Description],$BI182)))&amp;"")</f>
        <v/>
      </c>
      <c r="H182" s="10">
        <f>IF($BI182="","",IF($B182="Onsite",INDEX(tbl_Onsite[Cost Centre],$BI182),IF($B182="Production",INDEX(tbl_Production[Cost Centre],$BI182),INDEX(tbl_Consulting[Cost Centre],$BI182)))&amp;"")</f>
        <v/>
      </c>
      <c r="I182" s="10">
        <f>IF($BI182="","",IF($B182="Onsite",INDEX(tbl_Onsite[Invoice Type],$BI182),IF($B182="Production",INDEX(tbl_Production[Invoice Type],$BI182),INDEX(tbl_Consulting[Invoice Type],$BI182)))&amp;"")</f>
        <v/>
      </c>
      <c r="J182" s="10">
        <f>IF($BI182="","",IF($B182="Onsite",INDEX(tbl_Onsite[Tax Code],$BI182),IF($B182="Production",INDEX(tbl_Production[Tax Code],$BI182),INDEX(tbl_Consulting[Tax Code],$BI182)))&amp;"")</f>
        <v/>
      </c>
      <c r="K182" s="10">
        <f>IF(H182="","",IFERROR(INDEX(lst_CCtoGL,MATCH(H182,lst_CCforGL,0)),""))</f>
        <v/>
      </c>
      <c r="L182" s="10">
        <f>IF($BI182="","",IF($B182="Onsite",INDEX(tbl_Onsite[PO / Reference],$BI182),IF($B182="Production",INDEX(tbl_Production[Current RMS No],$BI182),INDEX(tbl_Consulting[Qwilr Quote],$BI182)))&amp;"")</f>
        <v/>
      </c>
      <c r="M182" s="10">
        <f>IF($BI182="","",IF($B182="Onsite",INDEX(tbl_Onsite[Notes],$BI182),IF($B182="Production",INDEX(tbl_Production[Notes],$BI182),INDEX(tbl_Consulting[Notes],$BI182)))&amp;"")</f>
        <v/>
      </c>
      <c r="N182" s="11">
        <f>IF($BI182="","",IF(IF($B182="Onsite",INDEX(tbl_Onsite[Expected Revenue Ex GST],$BI182),IF($B182="Production",INDEX(tbl_Production[Expected Revenue Ex GST],$BI182),INDEX(tbl_Consulting[Expected Revenue Ex GST],$BI182)))="","",IF($B182="Onsite",INDEX(tbl_Onsite[Expected Revenue Ex GST],$BI182),IF($B182="Production",INDEX(tbl_Production[Expected Revenue Ex GST],$BI182),INDEX(tbl_Consulting[Expected Revenue Ex GST],$BI182)))))</f>
        <v/>
      </c>
      <c r="O182" s="11">
        <f>IF(AND($C182="",NOT(COUNTA($S182:$BB182)&gt;0)),"",SUM(U182,X182,AA182,AD182,AG182,AJ182,AM182,AP182,AS182,AV182,AY182,BB182))</f>
        <v/>
      </c>
      <c r="P182" s="11">
        <f>IF(O182="","",N(N182)-O182)</f>
        <v/>
      </c>
      <c r="Q182" s="10">
        <f>IF(O182="","",IF($C182="","Invoice on empty job row",IF(N182="",IF(ROUND(O182,2)=0,"No dept value","Invoiced - no dept value"),IF(ROUND(O182,2)=0,"Not invoiced - to invoice",IF(ROUND(P182,2)=0,"Agrees",IF(P182&gt;0,"Dept higher - to invoice","Xero higher - check dept"))))))</f>
        <v/>
      </c>
      <c r="R182" s="10">
        <f>IF(AND($C182="",NOT(COUNTA($S182:$BB182)&gt;0),$BI182&lt;&gt;""),"",MID(IF($BI182="","; Row ID not found on the department sheet - a row was deleted","")&amp;IF(AND($C182="",COUNTA($S182:$BB182)&gt;0),"; Invoice entered but the department row has no job number","")&amp;IF(E182="CHECK","; Job number not in the Xero job list","")&amp;IF(AND($C182&lt;&gt;"",COUNTIF($C$7:$C$1506,$C182)&gt;1),"; Job number on more than one row","")&amp;IF(AND($C182&lt;&gt;"",H182=""),"; Dept has not set a cost centre","")&amp;IF(AND($C182&lt;&gt;"",J182=""),"; Dept has not set a tax code","")&amp;IF(AND($C182&lt;&gt;"",N182=""),"; Dept has not entered an expected value","")&amp;IF((IF(OR(COUNTA(S182:U182)=0,AND(COUNTA(S182:U182)=3,ISNUMBER(U182))),0,1)+IF(OR(COUNTA(V182:X182)=0,AND(COUNTA(V182:X182)=3,ISNUMBER(X182))),0,1)+IF(OR(COUNTA(Y182:AA182)=0,AND(COUNTA(Y182:AA182)=3,ISNUMBER(AA182))),0,1)+IF(OR(COUNTA(AB182:AD182)=0,AND(COUNTA(AB182:AD182)=3,ISNUMBER(AD182))),0,1)+IF(OR(COUNTA(AE182:AG182)=0,AND(COUNTA(AE182:AG182)=3,ISNUMBER(AG182))),0,1)+IF(OR(COUNTA(AH182:AJ182)=0,AND(COUNTA(AH182:AJ182)=3,ISNUMBER(AJ182))),0,1)+IF(OR(COUNTA(AK182:AM182)=0,AND(COUNTA(AK182:AM182)=3,ISNUMBER(AM182))),0,1)+IF(OR(COUNTA(AN182:AP182)=0,AND(COUNTA(AN182:AP182)=3,ISNUMBER(AP182))),0,1)+IF(OR(COUNTA(AQ182:AS182)=0,AND(COUNTA(AQ182:AS182)=3,ISNUMBER(AS182))),0,1)+IF(OR(COUNTA(AT182:AV182)=0,AND(COUNTA(AT182:AV182)=3,ISNUMBER(AV182))),0,1)+IF(OR(COUNTA(AW182:AY182)=0,AND(COUNTA(AW182:AY182)=3,ISNUMBER(AY182))),0,1)+IF(OR(COUNTA(AZ182:BB182)=0,AND(COUNTA(AZ182:BB182)=3,ISNUMBER(BB182))),0,1))&gt;0,"; An invoice is incomplete (needs No, Date and a number in Ex GST)","")&amp;IF((IF(T182="",0,IFERROR(--(EOMONTH(T182,0)&lt;&gt;S$5),1))+IF(W182="",0,IFERROR(--(EOMONTH(W182,0)&lt;&gt;V$5),1))+IF(Z182="",0,IFERROR(--(EOMONTH(Z182,0)&lt;&gt;Y$5),1))+IF(AC182="",0,IFERROR(--(EOMONTH(AC182,0)&lt;&gt;AB$5),1))+IF(AF182="",0,IFERROR(--(EOMONTH(AF182,0)&lt;&gt;AE$5),1))+IF(AI182="",0,IFERROR(--(EOMONTH(AI182,0)&lt;&gt;AH$5),1))+IF(AL182="",0,IFERROR(--(EOMONTH(AL182,0)&lt;&gt;AK$5),1))+IF(AO182="",0,IFERROR(--(EOMONTH(AO182,0)&lt;&gt;AN$5),1))+IF(AR182="",0,IFERROR(--(EOMONTH(AR182,0)&lt;&gt;AQ$5),1))+IF(AU182="",0,IFERROR(--(EOMONTH(AU182,0)&lt;&gt;AT$5),1))+IF(AX182="",0,IFERROR(--(EOMONTH(AX182,0)&lt;&gt;AW$5),1))+IF(BA182="",0,IFERROR(--(EOMONTH(BA182,0)&lt;&gt;AZ$5),1)))&gt;0,"; An invoice date is not in the month it is typed under",""),3,500))</f>
        <v/>
      </c>
      <c r="S182" s="12" t="n"/>
      <c r="T182" s="13" t="n"/>
      <c r="U182" s="14" t="n"/>
      <c r="V182" s="12" t="n"/>
      <c r="W182" s="13" t="n"/>
      <c r="X182" s="14" t="n"/>
      <c r="Y182" s="12" t="n"/>
      <c r="Z182" s="13" t="n"/>
      <c r="AA182" s="14" t="n"/>
      <c r="AB182" s="12" t="n"/>
      <c r="AC182" s="13" t="n"/>
      <c r="AD182" s="14" t="n"/>
      <c r="AE182" s="12" t="n"/>
      <c r="AF182" s="13" t="n"/>
      <c r="AG182" s="14" t="n"/>
      <c r="AH182" s="12" t="n"/>
      <c r="AI182" s="13" t="n"/>
      <c r="AJ182" s="14" t="n"/>
      <c r="AK182" s="12" t="n"/>
      <c r="AL182" s="13" t="n"/>
      <c r="AM182" s="14" t="n"/>
      <c r="AN182" s="12" t="n"/>
      <c r="AO182" s="13" t="n"/>
      <c r="AP182" s="14" t="n"/>
      <c r="AQ182" s="12" t="n"/>
      <c r="AR182" s="13" t="n"/>
      <c r="AS182" s="14" t="n"/>
      <c r="AT182" s="12" t="n"/>
      <c r="AU182" s="13" t="n"/>
      <c r="AV182" s="14" t="n"/>
      <c r="AW182" s="12" t="n"/>
      <c r="AX182" s="13" t="n"/>
      <c r="AY182" s="14" t="n"/>
      <c r="AZ182" s="12" t="n"/>
      <c r="BA182" s="13" t="n"/>
      <c r="BB182" s="14" t="n"/>
      <c r="BC182" s="11">
        <f>IF(O182="","",IF(J182="GST 10%",ROUND(O182*set_GSTRate,2),0))</f>
        <v/>
      </c>
      <c r="BD182" s="11">
        <f>IF(O182="","",O182+BC182)</f>
        <v/>
      </c>
      <c r="BE182" s="15">
        <f>IF(O182="","",COUNTA(S182,V182,Y182,AB182,AE182,AH182,AK182,AN182,AQ182,AT182,AW182,AZ182))</f>
        <v/>
      </c>
      <c r="BF182" s="16">
        <f>IF(COUNT(T182,W182,Z182,AC182,AF182,AI182,AL182,AO182,AR182,AU182,AX182,BA182)=0,"",MAX(T182,W182,Z182,AC182,AF182,AI182,AL182,AO182,AR182,AU182,AX182,BA182))</f>
        <v/>
      </c>
      <c r="BG182" s="10">
        <f>MID(IF(S182="","",", "&amp;S182)&amp;IF(V182="","",", "&amp;V182)&amp;IF(Y182="","",", "&amp;Y182)&amp;IF(AB182="","",", "&amp;AB182)&amp;IF(AE182="","",", "&amp;AE182)&amp;IF(AH182="","",", "&amp;AH182)&amp;IF(AK182="","",", "&amp;AK182)&amp;IF(AN182="","",", "&amp;AN182)&amp;IF(AQ182="","",", "&amp;AQ182)&amp;IF(AT182="","",", "&amp;AT182)&amp;IF(AW182="","",", "&amp;AW182)&amp;IF(AZ182="","",", "&amp;AZ182),3,500)</f>
        <v/>
      </c>
      <c r="BH182" s="12" t="n"/>
      <c r="BI182" s="15">
        <f>IFERROR(MATCH($A182,IF($B182="Onsite",tbl_Onsite[Row ID],IF($B182="Production",tbl_Production[Row ID],tbl_Consulting[Row ID])),0),"")</f>
        <v/>
      </c>
    </row>
    <row r="183">
      <c r="A183" s="10" t="inlineStr">
        <is>
          <t>ONS-0177</t>
        </is>
      </c>
      <c r="B183" s="10" t="inlineStr">
        <is>
          <t>Onsite</t>
        </is>
      </c>
      <c r="C183" s="10">
        <f>IF($BI183="","",IF($B183="Onsite",INDEX(tbl_Onsite[Job Number],$BI183),IF($B183="Production",INDEX(tbl_Production[Job Number],$BI183),INDEX(tbl_Consulting[Job Number],$BI183)))&amp;"")</f>
        <v/>
      </c>
      <c r="D183" s="10">
        <f>IF($BI183="","",IF($B183="Onsite",INDEX(tbl_Onsite[Client],$BI183),IF($B183="Production",INDEX(tbl_Production[Client],$BI183),INDEX(tbl_Consulting[Client],$BI183)))&amp;"")</f>
        <v/>
      </c>
      <c r="E183" s="10">
        <f>IF($C183="","",IF(COUNTIF(lst_Jobs,$C183)&gt;0,"OK","CHECK"))</f>
        <v/>
      </c>
      <c r="F183" s="10">
        <f>IF($C183="","",IFERROR(INDEX(lst_JobName,MATCH($C183,lst_Jobs,0)),""))</f>
        <v/>
      </c>
      <c r="G183" s="10">
        <f>IF($BI183="","",IF($B183="Onsite",INDEX(tbl_Onsite[Job Description],$BI183),IF($B183="Production",INDEX(tbl_Production[Job Description],$BI183),INDEX(tbl_Consulting[Job Description],$BI183)))&amp;"")</f>
        <v/>
      </c>
      <c r="H183" s="10">
        <f>IF($BI183="","",IF($B183="Onsite",INDEX(tbl_Onsite[Cost Centre],$BI183),IF($B183="Production",INDEX(tbl_Production[Cost Centre],$BI183),INDEX(tbl_Consulting[Cost Centre],$BI183)))&amp;"")</f>
        <v/>
      </c>
      <c r="I183" s="10">
        <f>IF($BI183="","",IF($B183="Onsite",INDEX(tbl_Onsite[Invoice Type],$BI183),IF($B183="Production",INDEX(tbl_Production[Invoice Type],$BI183),INDEX(tbl_Consulting[Invoice Type],$BI183)))&amp;"")</f>
        <v/>
      </c>
      <c r="J183" s="10">
        <f>IF($BI183="","",IF($B183="Onsite",INDEX(tbl_Onsite[Tax Code],$BI183),IF($B183="Production",INDEX(tbl_Production[Tax Code],$BI183),INDEX(tbl_Consulting[Tax Code],$BI183)))&amp;"")</f>
        <v/>
      </c>
      <c r="K183" s="10">
        <f>IF(H183="","",IFERROR(INDEX(lst_CCtoGL,MATCH(H183,lst_CCforGL,0)),""))</f>
        <v/>
      </c>
      <c r="L183" s="10">
        <f>IF($BI183="","",IF($B183="Onsite",INDEX(tbl_Onsite[PO / Reference],$BI183),IF($B183="Production",INDEX(tbl_Production[Current RMS No],$BI183),INDEX(tbl_Consulting[Qwilr Quote],$BI183)))&amp;"")</f>
        <v/>
      </c>
      <c r="M183" s="10">
        <f>IF($BI183="","",IF($B183="Onsite",INDEX(tbl_Onsite[Notes],$BI183),IF($B183="Production",INDEX(tbl_Production[Notes],$BI183),INDEX(tbl_Consulting[Notes],$BI183)))&amp;"")</f>
        <v/>
      </c>
      <c r="N183" s="11">
        <f>IF($BI183="","",IF(IF($B183="Onsite",INDEX(tbl_Onsite[Expected Revenue Ex GST],$BI183),IF($B183="Production",INDEX(tbl_Production[Expected Revenue Ex GST],$BI183),INDEX(tbl_Consulting[Expected Revenue Ex GST],$BI183)))="","",IF($B183="Onsite",INDEX(tbl_Onsite[Expected Revenue Ex GST],$BI183),IF($B183="Production",INDEX(tbl_Production[Expected Revenue Ex GST],$BI183),INDEX(tbl_Consulting[Expected Revenue Ex GST],$BI183)))))</f>
        <v/>
      </c>
      <c r="O183" s="11">
        <f>IF(AND($C183="",NOT(COUNTA($S183:$BB183)&gt;0)),"",SUM(U183,X183,AA183,AD183,AG183,AJ183,AM183,AP183,AS183,AV183,AY183,BB183))</f>
        <v/>
      </c>
      <c r="P183" s="11">
        <f>IF(O183="","",N(N183)-O183)</f>
        <v/>
      </c>
      <c r="Q183" s="10">
        <f>IF(O183="","",IF($C183="","Invoice on empty job row",IF(N183="",IF(ROUND(O183,2)=0,"No dept value","Invoiced - no dept value"),IF(ROUND(O183,2)=0,"Not invoiced - to invoice",IF(ROUND(P183,2)=0,"Agrees",IF(P183&gt;0,"Dept higher - to invoice","Xero higher - check dept"))))))</f>
        <v/>
      </c>
      <c r="R183" s="10">
        <f>IF(AND($C183="",NOT(COUNTA($S183:$BB183)&gt;0),$BI183&lt;&gt;""),"",MID(IF($BI183="","; Row ID not found on the department sheet - a row was deleted","")&amp;IF(AND($C183="",COUNTA($S183:$BB183)&gt;0),"; Invoice entered but the department row has no job number","")&amp;IF(E183="CHECK","; Job number not in the Xero job list","")&amp;IF(AND($C183&lt;&gt;"",COUNTIF($C$7:$C$1506,$C183)&gt;1),"; Job number on more than one row","")&amp;IF(AND($C183&lt;&gt;"",H183=""),"; Dept has not set a cost centre","")&amp;IF(AND($C183&lt;&gt;"",J183=""),"; Dept has not set a tax code","")&amp;IF(AND($C183&lt;&gt;"",N183=""),"; Dept has not entered an expected value","")&amp;IF((IF(OR(COUNTA(S183:U183)=0,AND(COUNTA(S183:U183)=3,ISNUMBER(U183))),0,1)+IF(OR(COUNTA(V183:X183)=0,AND(COUNTA(V183:X183)=3,ISNUMBER(X183))),0,1)+IF(OR(COUNTA(Y183:AA183)=0,AND(COUNTA(Y183:AA183)=3,ISNUMBER(AA183))),0,1)+IF(OR(COUNTA(AB183:AD183)=0,AND(COUNTA(AB183:AD183)=3,ISNUMBER(AD183))),0,1)+IF(OR(COUNTA(AE183:AG183)=0,AND(COUNTA(AE183:AG183)=3,ISNUMBER(AG183))),0,1)+IF(OR(COUNTA(AH183:AJ183)=0,AND(COUNTA(AH183:AJ183)=3,ISNUMBER(AJ183))),0,1)+IF(OR(COUNTA(AK183:AM183)=0,AND(COUNTA(AK183:AM183)=3,ISNUMBER(AM183))),0,1)+IF(OR(COUNTA(AN183:AP183)=0,AND(COUNTA(AN183:AP183)=3,ISNUMBER(AP183))),0,1)+IF(OR(COUNTA(AQ183:AS183)=0,AND(COUNTA(AQ183:AS183)=3,ISNUMBER(AS183))),0,1)+IF(OR(COUNTA(AT183:AV183)=0,AND(COUNTA(AT183:AV183)=3,ISNUMBER(AV183))),0,1)+IF(OR(COUNTA(AW183:AY183)=0,AND(COUNTA(AW183:AY183)=3,ISNUMBER(AY183))),0,1)+IF(OR(COUNTA(AZ183:BB183)=0,AND(COUNTA(AZ183:BB183)=3,ISNUMBER(BB183))),0,1))&gt;0,"; An invoice is incomplete (needs No, Date and a number in Ex GST)","")&amp;IF((IF(T183="",0,IFERROR(--(EOMONTH(T183,0)&lt;&gt;S$5),1))+IF(W183="",0,IFERROR(--(EOMONTH(W183,0)&lt;&gt;V$5),1))+IF(Z183="",0,IFERROR(--(EOMONTH(Z183,0)&lt;&gt;Y$5),1))+IF(AC183="",0,IFERROR(--(EOMONTH(AC183,0)&lt;&gt;AB$5),1))+IF(AF183="",0,IFERROR(--(EOMONTH(AF183,0)&lt;&gt;AE$5),1))+IF(AI183="",0,IFERROR(--(EOMONTH(AI183,0)&lt;&gt;AH$5),1))+IF(AL183="",0,IFERROR(--(EOMONTH(AL183,0)&lt;&gt;AK$5),1))+IF(AO183="",0,IFERROR(--(EOMONTH(AO183,0)&lt;&gt;AN$5),1))+IF(AR183="",0,IFERROR(--(EOMONTH(AR183,0)&lt;&gt;AQ$5),1))+IF(AU183="",0,IFERROR(--(EOMONTH(AU183,0)&lt;&gt;AT$5),1))+IF(AX183="",0,IFERROR(--(EOMONTH(AX183,0)&lt;&gt;AW$5),1))+IF(BA183="",0,IFERROR(--(EOMONTH(BA183,0)&lt;&gt;AZ$5),1)))&gt;0,"; An invoice date is not in the month it is typed under",""),3,500))</f>
        <v/>
      </c>
      <c r="S183" s="12" t="n"/>
      <c r="T183" s="13" t="n"/>
      <c r="U183" s="14" t="n"/>
      <c r="V183" s="12" t="n"/>
      <c r="W183" s="13" t="n"/>
      <c r="X183" s="14" t="n"/>
      <c r="Y183" s="12" t="n"/>
      <c r="Z183" s="13" t="n"/>
      <c r="AA183" s="14" t="n"/>
      <c r="AB183" s="12" t="n"/>
      <c r="AC183" s="13" t="n"/>
      <c r="AD183" s="14" t="n"/>
      <c r="AE183" s="12" t="n"/>
      <c r="AF183" s="13" t="n"/>
      <c r="AG183" s="14" t="n"/>
      <c r="AH183" s="12" t="n"/>
      <c r="AI183" s="13" t="n"/>
      <c r="AJ183" s="14" t="n"/>
      <c r="AK183" s="12" t="n"/>
      <c r="AL183" s="13" t="n"/>
      <c r="AM183" s="14" t="n"/>
      <c r="AN183" s="12" t="n"/>
      <c r="AO183" s="13" t="n"/>
      <c r="AP183" s="14" t="n"/>
      <c r="AQ183" s="12" t="n"/>
      <c r="AR183" s="13" t="n"/>
      <c r="AS183" s="14" t="n"/>
      <c r="AT183" s="12" t="n"/>
      <c r="AU183" s="13" t="n"/>
      <c r="AV183" s="14" t="n"/>
      <c r="AW183" s="12" t="n"/>
      <c r="AX183" s="13" t="n"/>
      <c r="AY183" s="14" t="n"/>
      <c r="AZ183" s="12" t="n"/>
      <c r="BA183" s="13" t="n"/>
      <c r="BB183" s="14" t="n"/>
      <c r="BC183" s="11">
        <f>IF(O183="","",IF(J183="GST 10%",ROUND(O183*set_GSTRate,2),0))</f>
        <v/>
      </c>
      <c r="BD183" s="11">
        <f>IF(O183="","",O183+BC183)</f>
        <v/>
      </c>
      <c r="BE183" s="15">
        <f>IF(O183="","",COUNTA(S183,V183,Y183,AB183,AE183,AH183,AK183,AN183,AQ183,AT183,AW183,AZ183))</f>
        <v/>
      </c>
      <c r="BF183" s="16">
        <f>IF(COUNT(T183,W183,Z183,AC183,AF183,AI183,AL183,AO183,AR183,AU183,AX183,BA183)=0,"",MAX(T183,W183,Z183,AC183,AF183,AI183,AL183,AO183,AR183,AU183,AX183,BA183))</f>
        <v/>
      </c>
      <c r="BG183" s="10">
        <f>MID(IF(S183="","",", "&amp;S183)&amp;IF(V183="","",", "&amp;V183)&amp;IF(Y183="","",", "&amp;Y183)&amp;IF(AB183="","",", "&amp;AB183)&amp;IF(AE183="","",", "&amp;AE183)&amp;IF(AH183="","",", "&amp;AH183)&amp;IF(AK183="","",", "&amp;AK183)&amp;IF(AN183="","",", "&amp;AN183)&amp;IF(AQ183="","",", "&amp;AQ183)&amp;IF(AT183="","",", "&amp;AT183)&amp;IF(AW183="","",", "&amp;AW183)&amp;IF(AZ183="","",", "&amp;AZ183),3,500)</f>
        <v/>
      </c>
      <c r="BH183" s="12" t="n"/>
      <c r="BI183" s="15">
        <f>IFERROR(MATCH($A183,IF($B183="Onsite",tbl_Onsite[Row ID],IF($B183="Production",tbl_Production[Row ID],tbl_Consulting[Row ID])),0),"")</f>
        <v/>
      </c>
    </row>
    <row r="184">
      <c r="A184" s="10" t="inlineStr">
        <is>
          <t>ONS-0178</t>
        </is>
      </c>
      <c r="B184" s="10" t="inlineStr">
        <is>
          <t>Onsite</t>
        </is>
      </c>
      <c r="C184" s="10">
        <f>IF($BI184="","",IF($B184="Onsite",INDEX(tbl_Onsite[Job Number],$BI184),IF($B184="Production",INDEX(tbl_Production[Job Number],$BI184),INDEX(tbl_Consulting[Job Number],$BI184)))&amp;"")</f>
        <v/>
      </c>
      <c r="D184" s="10">
        <f>IF($BI184="","",IF($B184="Onsite",INDEX(tbl_Onsite[Client],$BI184),IF($B184="Production",INDEX(tbl_Production[Client],$BI184),INDEX(tbl_Consulting[Client],$BI184)))&amp;"")</f>
        <v/>
      </c>
      <c r="E184" s="10">
        <f>IF($C184="","",IF(COUNTIF(lst_Jobs,$C184)&gt;0,"OK","CHECK"))</f>
        <v/>
      </c>
      <c r="F184" s="10">
        <f>IF($C184="","",IFERROR(INDEX(lst_JobName,MATCH($C184,lst_Jobs,0)),""))</f>
        <v/>
      </c>
      <c r="G184" s="10">
        <f>IF($BI184="","",IF($B184="Onsite",INDEX(tbl_Onsite[Job Description],$BI184),IF($B184="Production",INDEX(tbl_Production[Job Description],$BI184),INDEX(tbl_Consulting[Job Description],$BI184)))&amp;"")</f>
        <v/>
      </c>
      <c r="H184" s="10">
        <f>IF($BI184="","",IF($B184="Onsite",INDEX(tbl_Onsite[Cost Centre],$BI184),IF($B184="Production",INDEX(tbl_Production[Cost Centre],$BI184),INDEX(tbl_Consulting[Cost Centre],$BI184)))&amp;"")</f>
        <v/>
      </c>
      <c r="I184" s="10">
        <f>IF($BI184="","",IF($B184="Onsite",INDEX(tbl_Onsite[Invoice Type],$BI184),IF($B184="Production",INDEX(tbl_Production[Invoice Type],$BI184),INDEX(tbl_Consulting[Invoice Type],$BI184)))&amp;"")</f>
        <v/>
      </c>
      <c r="J184" s="10">
        <f>IF($BI184="","",IF($B184="Onsite",INDEX(tbl_Onsite[Tax Code],$BI184),IF($B184="Production",INDEX(tbl_Production[Tax Code],$BI184),INDEX(tbl_Consulting[Tax Code],$BI184)))&amp;"")</f>
        <v/>
      </c>
      <c r="K184" s="10">
        <f>IF(H184="","",IFERROR(INDEX(lst_CCtoGL,MATCH(H184,lst_CCforGL,0)),""))</f>
        <v/>
      </c>
      <c r="L184" s="10">
        <f>IF($BI184="","",IF($B184="Onsite",INDEX(tbl_Onsite[PO / Reference],$BI184),IF($B184="Production",INDEX(tbl_Production[Current RMS No],$BI184),INDEX(tbl_Consulting[Qwilr Quote],$BI184)))&amp;"")</f>
        <v/>
      </c>
      <c r="M184" s="10">
        <f>IF($BI184="","",IF($B184="Onsite",INDEX(tbl_Onsite[Notes],$BI184),IF($B184="Production",INDEX(tbl_Production[Notes],$BI184),INDEX(tbl_Consulting[Notes],$BI184)))&amp;"")</f>
        <v/>
      </c>
      <c r="N184" s="11">
        <f>IF($BI184="","",IF(IF($B184="Onsite",INDEX(tbl_Onsite[Expected Revenue Ex GST],$BI184),IF($B184="Production",INDEX(tbl_Production[Expected Revenue Ex GST],$BI184),INDEX(tbl_Consulting[Expected Revenue Ex GST],$BI184)))="","",IF($B184="Onsite",INDEX(tbl_Onsite[Expected Revenue Ex GST],$BI184),IF($B184="Production",INDEX(tbl_Production[Expected Revenue Ex GST],$BI184),INDEX(tbl_Consulting[Expected Revenue Ex GST],$BI184)))))</f>
        <v/>
      </c>
      <c r="O184" s="11">
        <f>IF(AND($C184="",NOT(COUNTA($S184:$BB184)&gt;0)),"",SUM(U184,X184,AA184,AD184,AG184,AJ184,AM184,AP184,AS184,AV184,AY184,BB184))</f>
        <v/>
      </c>
      <c r="P184" s="11">
        <f>IF(O184="","",N(N184)-O184)</f>
        <v/>
      </c>
      <c r="Q184" s="10">
        <f>IF(O184="","",IF($C184="","Invoice on empty job row",IF(N184="",IF(ROUND(O184,2)=0,"No dept value","Invoiced - no dept value"),IF(ROUND(O184,2)=0,"Not invoiced - to invoice",IF(ROUND(P184,2)=0,"Agrees",IF(P184&gt;0,"Dept higher - to invoice","Xero higher - check dept"))))))</f>
        <v/>
      </c>
      <c r="R184" s="10">
        <f>IF(AND($C184="",NOT(COUNTA($S184:$BB184)&gt;0),$BI184&lt;&gt;""),"",MID(IF($BI184="","; Row ID not found on the department sheet - a row was deleted","")&amp;IF(AND($C184="",COUNTA($S184:$BB184)&gt;0),"; Invoice entered but the department row has no job number","")&amp;IF(E184="CHECK","; Job number not in the Xero job list","")&amp;IF(AND($C184&lt;&gt;"",COUNTIF($C$7:$C$1506,$C184)&gt;1),"; Job number on more than one row","")&amp;IF(AND($C184&lt;&gt;"",H184=""),"; Dept has not set a cost centre","")&amp;IF(AND($C184&lt;&gt;"",J184=""),"; Dept has not set a tax code","")&amp;IF(AND($C184&lt;&gt;"",N184=""),"; Dept has not entered an expected value","")&amp;IF((IF(OR(COUNTA(S184:U184)=0,AND(COUNTA(S184:U184)=3,ISNUMBER(U184))),0,1)+IF(OR(COUNTA(V184:X184)=0,AND(COUNTA(V184:X184)=3,ISNUMBER(X184))),0,1)+IF(OR(COUNTA(Y184:AA184)=0,AND(COUNTA(Y184:AA184)=3,ISNUMBER(AA184))),0,1)+IF(OR(COUNTA(AB184:AD184)=0,AND(COUNTA(AB184:AD184)=3,ISNUMBER(AD184))),0,1)+IF(OR(COUNTA(AE184:AG184)=0,AND(COUNTA(AE184:AG184)=3,ISNUMBER(AG184))),0,1)+IF(OR(COUNTA(AH184:AJ184)=0,AND(COUNTA(AH184:AJ184)=3,ISNUMBER(AJ184))),0,1)+IF(OR(COUNTA(AK184:AM184)=0,AND(COUNTA(AK184:AM184)=3,ISNUMBER(AM184))),0,1)+IF(OR(COUNTA(AN184:AP184)=0,AND(COUNTA(AN184:AP184)=3,ISNUMBER(AP184))),0,1)+IF(OR(COUNTA(AQ184:AS184)=0,AND(COUNTA(AQ184:AS184)=3,ISNUMBER(AS184))),0,1)+IF(OR(COUNTA(AT184:AV184)=0,AND(COUNTA(AT184:AV184)=3,ISNUMBER(AV184))),0,1)+IF(OR(COUNTA(AW184:AY184)=0,AND(COUNTA(AW184:AY184)=3,ISNUMBER(AY184))),0,1)+IF(OR(COUNTA(AZ184:BB184)=0,AND(COUNTA(AZ184:BB184)=3,ISNUMBER(BB184))),0,1))&gt;0,"; An invoice is incomplete (needs No, Date and a number in Ex GST)","")&amp;IF((IF(T184="",0,IFERROR(--(EOMONTH(T184,0)&lt;&gt;S$5),1))+IF(W184="",0,IFERROR(--(EOMONTH(W184,0)&lt;&gt;V$5),1))+IF(Z184="",0,IFERROR(--(EOMONTH(Z184,0)&lt;&gt;Y$5),1))+IF(AC184="",0,IFERROR(--(EOMONTH(AC184,0)&lt;&gt;AB$5),1))+IF(AF184="",0,IFERROR(--(EOMONTH(AF184,0)&lt;&gt;AE$5),1))+IF(AI184="",0,IFERROR(--(EOMONTH(AI184,0)&lt;&gt;AH$5),1))+IF(AL184="",0,IFERROR(--(EOMONTH(AL184,0)&lt;&gt;AK$5),1))+IF(AO184="",0,IFERROR(--(EOMONTH(AO184,0)&lt;&gt;AN$5),1))+IF(AR184="",0,IFERROR(--(EOMONTH(AR184,0)&lt;&gt;AQ$5),1))+IF(AU184="",0,IFERROR(--(EOMONTH(AU184,0)&lt;&gt;AT$5),1))+IF(AX184="",0,IFERROR(--(EOMONTH(AX184,0)&lt;&gt;AW$5),1))+IF(BA184="",0,IFERROR(--(EOMONTH(BA184,0)&lt;&gt;AZ$5),1)))&gt;0,"; An invoice date is not in the month it is typed under",""),3,500))</f>
        <v/>
      </c>
      <c r="S184" s="12" t="n"/>
      <c r="T184" s="13" t="n"/>
      <c r="U184" s="14" t="n"/>
      <c r="V184" s="12" t="n"/>
      <c r="W184" s="13" t="n"/>
      <c r="X184" s="14" t="n"/>
      <c r="Y184" s="12" t="n"/>
      <c r="Z184" s="13" t="n"/>
      <c r="AA184" s="14" t="n"/>
      <c r="AB184" s="12" t="n"/>
      <c r="AC184" s="13" t="n"/>
      <c r="AD184" s="14" t="n"/>
      <c r="AE184" s="12" t="n"/>
      <c r="AF184" s="13" t="n"/>
      <c r="AG184" s="14" t="n"/>
      <c r="AH184" s="12" t="n"/>
      <c r="AI184" s="13" t="n"/>
      <c r="AJ184" s="14" t="n"/>
      <c r="AK184" s="12" t="n"/>
      <c r="AL184" s="13" t="n"/>
      <c r="AM184" s="14" t="n"/>
      <c r="AN184" s="12" t="n"/>
      <c r="AO184" s="13" t="n"/>
      <c r="AP184" s="14" t="n"/>
      <c r="AQ184" s="12" t="n"/>
      <c r="AR184" s="13" t="n"/>
      <c r="AS184" s="14" t="n"/>
      <c r="AT184" s="12" t="n"/>
      <c r="AU184" s="13" t="n"/>
      <c r="AV184" s="14" t="n"/>
      <c r="AW184" s="12" t="n"/>
      <c r="AX184" s="13" t="n"/>
      <c r="AY184" s="14" t="n"/>
      <c r="AZ184" s="12" t="n"/>
      <c r="BA184" s="13" t="n"/>
      <c r="BB184" s="14" t="n"/>
      <c r="BC184" s="11">
        <f>IF(O184="","",IF(J184="GST 10%",ROUND(O184*set_GSTRate,2),0))</f>
        <v/>
      </c>
      <c r="BD184" s="11">
        <f>IF(O184="","",O184+BC184)</f>
        <v/>
      </c>
      <c r="BE184" s="15">
        <f>IF(O184="","",COUNTA(S184,V184,Y184,AB184,AE184,AH184,AK184,AN184,AQ184,AT184,AW184,AZ184))</f>
        <v/>
      </c>
      <c r="BF184" s="16">
        <f>IF(COUNT(T184,W184,Z184,AC184,AF184,AI184,AL184,AO184,AR184,AU184,AX184,BA184)=0,"",MAX(T184,W184,Z184,AC184,AF184,AI184,AL184,AO184,AR184,AU184,AX184,BA184))</f>
        <v/>
      </c>
      <c r="BG184" s="10">
        <f>MID(IF(S184="","",", "&amp;S184)&amp;IF(V184="","",", "&amp;V184)&amp;IF(Y184="","",", "&amp;Y184)&amp;IF(AB184="","",", "&amp;AB184)&amp;IF(AE184="","",", "&amp;AE184)&amp;IF(AH184="","",", "&amp;AH184)&amp;IF(AK184="","",", "&amp;AK184)&amp;IF(AN184="","",", "&amp;AN184)&amp;IF(AQ184="","",", "&amp;AQ184)&amp;IF(AT184="","",", "&amp;AT184)&amp;IF(AW184="","",", "&amp;AW184)&amp;IF(AZ184="","",", "&amp;AZ184),3,500)</f>
        <v/>
      </c>
      <c r="BH184" s="12" t="n"/>
      <c r="BI184" s="15">
        <f>IFERROR(MATCH($A184,IF($B184="Onsite",tbl_Onsite[Row ID],IF($B184="Production",tbl_Production[Row ID],tbl_Consulting[Row ID])),0),"")</f>
        <v/>
      </c>
    </row>
    <row r="185">
      <c r="A185" s="10" t="inlineStr">
        <is>
          <t>ONS-0179</t>
        </is>
      </c>
      <c r="B185" s="10" t="inlineStr">
        <is>
          <t>Onsite</t>
        </is>
      </c>
      <c r="C185" s="10">
        <f>IF($BI185="","",IF($B185="Onsite",INDEX(tbl_Onsite[Job Number],$BI185),IF($B185="Production",INDEX(tbl_Production[Job Number],$BI185),INDEX(tbl_Consulting[Job Number],$BI185)))&amp;"")</f>
        <v/>
      </c>
      <c r="D185" s="10">
        <f>IF($BI185="","",IF($B185="Onsite",INDEX(tbl_Onsite[Client],$BI185),IF($B185="Production",INDEX(tbl_Production[Client],$BI185),INDEX(tbl_Consulting[Client],$BI185)))&amp;"")</f>
        <v/>
      </c>
      <c r="E185" s="10">
        <f>IF($C185="","",IF(COUNTIF(lst_Jobs,$C185)&gt;0,"OK","CHECK"))</f>
        <v/>
      </c>
      <c r="F185" s="10">
        <f>IF($C185="","",IFERROR(INDEX(lst_JobName,MATCH($C185,lst_Jobs,0)),""))</f>
        <v/>
      </c>
      <c r="G185" s="10">
        <f>IF($BI185="","",IF($B185="Onsite",INDEX(tbl_Onsite[Job Description],$BI185),IF($B185="Production",INDEX(tbl_Production[Job Description],$BI185),INDEX(tbl_Consulting[Job Description],$BI185)))&amp;"")</f>
        <v/>
      </c>
      <c r="H185" s="10">
        <f>IF($BI185="","",IF($B185="Onsite",INDEX(tbl_Onsite[Cost Centre],$BI185),IF($B185="Production",INDEX(tbl_Production[Cost Centre],$BI185),INDEX(tbl_Consulting[Cost Centre],$BI185)))&amp;"")</f>
        <v/>
      </c>
      <c r="I185" s="10">
        <f>IF($BI185="","",IF($B185="Onsite",INDEX(tbl_Onsite[Invoice Type],$BI185),IF($B185="Production",INDEX(tbl_Production[Invoice Type],$BI185),INDEX(tbl_Consulting[Invoice Type],$BI185)))&amp;"")</f>
        <v/>
      </c>
      <c r="J185" s="10">
        <f>IF($BI185="","",IF($B185="Onsite",INDEX(tbl_Onsite[Tax Code],$BI185),IF($B185="Production",INDEX(tbl_Production[Tax Code],$BI185),INDEX(tbl_Consulting[Tax Code],$BI185)))&amp;"")</f>
        <v/>
      </c>
      <c r="K185" s="10">
        <f>IF(H185="","",IFERROR(INDEX(lst_CCtoGL,MATCH(H185,lst_CCforGL,0)),""))</f>
        <v/>
      </c>
      <c r="L185" s="10">
        <f>IF($BI185="","",IF($B185="Onsite",INDEX(tbl_Onsite[PO / Reference],$BI185),IF($B185="Production",INDEX(tbl_Production[Current RMS No],$BI185),INDEX(tbl_Consulting[Qwilr Quote],$BI185)))&amp;"")</f>
        <v/>
      </c>
      <c r="M185" s="10">
        <f>IF($BI185="","",IF($B185="Onsite",INDEX(tbl_Onsite[Notes],$BI185),IF($B185="Production",INDEX(tbl_Production[Notes],$BI185),INDEX(tbl_Consulting[Notes],$BI185)))&amp;"")</f>
        <v/>
      </c>
      <c r="N185" s="11">
        <f>IF($BI185="","",IF(IF($B185="Onsite",INDEX(tbl_Onsite[Expected Revenue Ex GST],$BI185),IF($B185="Production",INDEX(tbl_Production[Expected Revenue Ex GST],$BI185),INDEX(tbl_Consulting[Expected Revenue Ex GST],$BI185)))="","",IF($B185="Onsite",INDEX(tbl_Onsite[Expected Revenue Ex GST],$BI185),IF($B185="Production",INDEX(tbl_Production[Expected Revenue Ex GST],$BI185),INDEX(tbl_Consulting[Expected Revenue Ex GST],$BI185)))))</f>
        <v/>
      </c>
      <c r="O185" s="11">
        <f>IF(AND($C185="",NOT(COUNTA($S185:$BB185)&gt;0)),"",SUM(U185,X185,AA185,AD185,AG185,AJ185,AM185,AP185,AS185,AV185,AY185,BB185))</f>
        <v/>
      </c>
      <c r="P185" s="11">
        <f>IF(O185="","",N(N185)-O185)</f>
        <v/>
      </c>
      <c r="Q185" s="10">
        <f>IF(O185="","",IF($C185="","Invoice on empty job row",IF(N185="",IF(ROUND(O185,2)=0,"No dept value","Invoiced - no dept value"),IF(ROUND(O185,2)=0,"Not invoiced - to invoice",IF(ROUND(P185,2)=0,"Agrees",IF(P185&gt;0,"Dept higher - to invoice","Xero higher - check dept"))))))</f>
        <v/>
      </c>
      <c r="R185" s="10">
        <f>IF(AND($C185="",NOT(COUNTA($S185:$BB185)&gt;0),$BI185&lt;&gt;""),"",MID(IF($BI185="","; Row ID not found on the department sheet - a row was deleted","")&amp;IF(AND($C185="",COUNTA($S185:$BB185)&gt;0),"; Invoice entered but the department row has no job number","")&amp;IF(E185="CHECK","; Job number not in the Xero job list","")&amp;IF(AND($C185&lt;&gt;"",COUNTIF($C$7:$C$1506,$C185)&gt;1),"; Job number on more than one row","")&amp;IF(AND($C185&lt;&gt;"",H185=""),"; Dept has not set a cost centre","")&amp;IF(AND($C185&lt;&gt;"",J185=""),"; Dept has not set a tax code","")&amp;IF(AND($C185&lt;&gt;"",N185=""),"; Dept has not entered an expected value","")&amp;IF((IF(OR(COUNTA(S185:U185)=0,AND(COUNTA(S185:U185)=3,ISNUMBER(U185))),0,1)+IF(OR(COUNTA(V185:X185)=0,AND(COUNTA(V185:X185)=3,ISNUMBER(X185))),0,1)+IF(OR(COUNTA(Y185:AA185)=0,AND(COUNTA(Y185:AA185)=3,ISNUMBER(AA185))),0,1)+IF(OR(COUNTA(AB185:AD185)=0,AND(COUNTA(AB185:AD185)=3,ISNUMBER(AD185))),0,1)+IF(OR(COUNTA(AE185:AG185)=0,AND(COUNTA(AE185:AG185)=3,ISNUMBER(AG185))),0,1)+IF(OR(COUNTA(AH185:AJ185)=0,AND(COUNTA(AH185:AJ185)=3,ISNUMBER(AJ185))),0,1)+IF(OR(COUNTA(AK185:AM185)=0,AND(COUNTA(AK185:AM185)=3,ISNUMBER(AM185))),0,1)+IF(OR(COUNTA(AN185:AP185)=0,AND(COUNTA(AN185:AP185)=3,ISNUMBER(AP185))),0,1)+IF(OR(COUNTA(AQ185:AS185)=0,AND(COUNTA(AQ185:AS185)=3,ISNUMBER(AS185))),0,1)+IF(OR(COUNTA(AT185:AV185)=0,AND(COUNTA(AT185:AV185)=3,ISNUMBER(AV185))),0,1)+IF(OR(COUNTA(AW185:AY185)=0,AND(COUNTA(AW185:AY185)=3,ISNUMBER(AY185))),0,1)+IF(OR(COUNTA(AZ185:BB185)=0,AND(COUNTA(AZ185:BB185)=3,ISNUMBER(BB185))),0,1))&gt;0,"; An invoice is incomplete (needs No, Date and a number in Ex GST)","")&amp;IF((IF(T185="",0,IFERROR(--(EOMONTH(T185,0)&lt;&gt;S$5),1))+IF(W185="",0,IFERROR(--(EOMONTH(W185,0)&lt;&gt;V$5),1))+IF(Z185="",0,IFERROR(--(EOMONTH(Z185,0)&lt;&gt;Y$5),1))+IF(AC185="",0,IFERROR(--(EOMONTH(AC185,0)&lt;&gt;AB$5),1))+IF(AF185="",0,IFERROR(--(EOMONTH(AF185,0)&lt;&gt;AE$5),1))+IF(AI185="",0,IFERROR(--(EOMONTH(AI185,0)&lt;&gt;AH$5),1))+IF(AL185="",0,IFERROR(--(EOMONTH(AL185,0)&lt;&gt;AK$5),1))+IF(AO185="",0,IFERROR(--(EOMONTH(AO185,0)&lt;&gt;AN$5),1))+IF(AR185="",0,IFERROR(--(EOMONTH(AR185,0)&lt;&gt;AQ$5),1))+IF(AU185="",0,IFERROR(--(EOMONTH(AU185,0)&lt;&gt;AT$5),1))+IF(AX185="",0,IFERROR(--(EOMONTH(AX185,0)&lt;&gt;AW$5),1))+IF(BA185="",0,IFERROR(--(EOMONTH(BA185,0)&lt;&gt;AZ$5),1)))&gt;0,"; An invoice date is not in the month it is typed under",""),3,500))</f>
        <v/>
      </c>
      <c r="S185" s="12" t="n"/>
      <c r="T185" s="13" t="n"/>
      <c r="U185" s="14" t="n"/>
      <c r="V185" s="12" t="n"/>
      <c r="W185" s="13" t="n"/>
      <c r="X185" s="14" t="n"/>
      <c r="Y185" s="12" t="n"/>
      <c r="Z185" s="13" t="n"/>
      <c r="AA185" s="14" t="n"/>
      <c r="AB185" s="12" t="n"/>
      <c r="AC185" s="13" t="n"/>
      <c r="AD185" s="14" t="n"/>
      <c r="AE185" s="12" t="n"/>
      <c r="AF185" s="13" t="n"/>
      <c r="AG185" s="14" t="n"/>
      <c r="AH185" s="12" t="n"/>
      <c r="AI185" s="13" t="n"/>
      <c r="AJ185" s="14" t="n"/>
      <c r="AK185" s="12" t="n"/>
      <c r="AL185" s="13" t="n"/>
      <c r="AM185" s="14" t="n"/>
      <c r="AN185" s="12" t="n"/>
      <c r="AO185" s="13" t="n"/>
      <c r="AP185" s="14" t="n"/>
      <c r="AQ185" s="12" t="n"/>
      <c r="AR185" s="13" t="n"/>
      <c r="AS185" s="14" t="n"/>
      <c r="AT185" s="12" t="n"/>
      <c r="AU185" s="13" t="n"/>
      <c r="AV185" s="14" t="n"/>
      <c r="AW185" s="12" t="n"/>
      <c r="AX185" s="13" t="n"/>
      <c r="AY185" s="14" t="n"/>
      <c r="AZ185" s="12" t="n"/>
      <c r="BA185" s="13" t="n"/>
      <c r="BB185" s="14" t="n"/>
      <c r="BC185" s="11">
        <f>IF(O185="","",IF(J185="GST 10%",ROUND(O185*set_GSTRate,2),0))</f>
        <v/>
      </c>
      <c r="BD185" s="11">
        <f>IF(O185="","",O185+BC185)</f>
        <v/>
      </c>
      <c r="BE185" s="15">
        <f>IF(O185="","",COUNTA(S185,V185,Y185,AB185,AE185,AH185,AK185,AN185,AQ185,AT185,AW185,AZ185))</f>
        <v/>
      </c>
      <c r="BF185" s="16">
        <f>IF(COUNT(T185,W185,Z185,AC185,AF185,AI185,AL185,AO185,AR185,AU185,AX185,BA185)=0,"",MAX(T185,W185,Z185,AC185,AF185,AI185,AL185,AO185,AR185,AU185,AX185,BA185))</f>
        <v/>
      </c>
      <c r="BG185" s="10">
        <f>MID(IF(S185="","",", "&amp;S185)&amp;IF(V185="","",", "&amp;V185)&amp;IF(Y185="","",", "&amp;Y185)&amp;IF(AB185="","",", "&amp;AB185)&amp;IF(AE185="","",", "&amp;AE185)&amp;IF(AH185="","",", "&amp;AH185)&amp;IF(AK185="","",", "&amp;AK185)&amp;IF(AN185="","",", "&amp;AN185)&amp;IF(AQ185="","",", "&amp;AQ185)&amp;IF(AT185="","",", "&amp;AT185)&amp;IF(AW185="","",", "&amp;AW185)&amp;IF(AZ185="","",", "&amp;AZ185),3,500)</f>
        <v/>
      </c>
      <c r="BH185" s="12" t="n"/>
      <c r="BI185" s="15">
        <f>IFERROR(MATCH($A185,IF($B185="Onsite",tbl_Onsite[Row ID],IF($B185="Production",tbl_Production[Row ID],tbl_Consulting[Row ID])),0),"")</f>
        <v/>
      </c>
    </row>
    <row r="186">
      <c r="A186" s="10" t="inlineStr">
        <is>
          <t>ONS-0180</t>
        </is>
      </c>
      <c r="B186" s="10" t="inlineStr">
        <is>
          <t>Onsite</t>
        </is>
      </c>
      <c r="C186" s="10">
        <f>IF($BI186="","",IF($B186="Onsite",INDEX(tbl_Onsite[Job Number],$BI186),IF($B186="Production",INDEX(tbl_Production[Job Number],$BI186),INDEX(tbl_Consulting[Job Number],$BI186)))&amp;"")</f>
        <v/>
      </c>
      <c r="D186" s="10">
        <f>IF($BI186="","",IF($B186="Onsite",INDEX(tbl_Onsite[Client],$BI186),IF($B186="Production",INDEX(tbl_Production[Client],$BI186),INDEX(tbl_Consulting[Client],$BI186)))&amp;"")</f>
        <v/>
      </c>
      <c r="E186" s="10">
        <f>IF($C186="","",IF(COUNTIF(lst_Jobs,$C186)&gt;0,"OK","CHECK"))</f>
        <v/>
      </c>
      <c r="F186" s="10">
        <f>IF($C186="","",IFERROR(INDEX(lst_JobName,MATCH($C186,lst_Jobs,0)),""))</f>
        <v/>
      </c>
      <c r="G186" s="10">
        <f>IF($BI186="","",IF($B186="Onsite",INDEX(tbl_Onsite[Job Description],$BI186),IF($B186="Production",INDEX(tbl_Production[Job Description],$BI186),INDEX(tbl_Consulting[Job Description],$BI186)))&amp;"")</f>
        <v/>
      </c>
      <c r="H186" s="10">
        <f>IF($BI186="","",IF($B186="Onsite",INDEX(tbl_Onsite[Cost Centre],$BI186),IF($B186="Production",INDEX(tbl_Production[Cost Centre],$BI186),INDEX(tbl_Consulting[Cost Centre],$BI186)))&amp;"")</f>
        <v/>
      </c>
      <c r="I186" s="10">
        <f>IF($BI186="","",IF($B186="Onsite",INDEX(tbl_Onsite[Invoice Type],$BI186),IF($B186="Production",INDEX(tbl_Production[Invoice Type],$BI186),INDEX(tbl_Consulting[Invoice Type],$BI186)))&amp;"")</f>
        <v/>
      </c>
      <c r="J186" s="10">
        <f>IF($BI186="","",IF($B186="Onsite",INDEX(tbl_Onsite[Tax Code],$BI186),IF($B186="Production",INDEX(tbl_Production[Tax Code],$BI186),INDEX(tbl_Consulting[Tax Code],$BI186)))&amp;"")</f>
        <v/>
      </c>
      <c r="K186" s="10">
        <f>IF(H186="","",IFERROR(INDEX(lst_CCtoGL,MATCH(H186,lst_CCforGL,0)),""))</f>
        <v/>
      </c>
      <c r="L186" s="10">
        <f>IF($BI186="","",IF($B186="Onsite",INDEX(tbl_Onsite[PO / Reference],$BI186),IF($B186="Production",INDEX(tbl_Production[Current RMS No],$BI186),INDEX(tbl_Consulting[Qwilr Quote],$BI186)))&amp;"")</f>
        <v/>
      </c>
      <c r="M186" s="10">
        <f>IF($BI186="","",IF($B186="Onsite",INDEX(tbl_Onsite[Notes],$BI186),IF($B186="Production",INDEX(tbl_Production[Notes],$BI186),INDEX(tbl_Consulting[Notes],$BI186)))&amp;"")</f>
        <v/>
      </c>
      <c r="N186" s="11">
        <f>IF($BI186="","",IF(IF($B186="Onsite",INDEX(tbl_Onsite[Expected Revenue Ex GST],$BI186),IF($B186="Production",INDEX(tbl_Production[Expected Revenue Ex GST],$BI186),INDEX(tbl_Consulting[Expected Revenue Ex GST],$BI186)))="","",IF($B186="Onsite",INDEX(tbl_Onsite[Expected Revenue Ex GST],$BI186),IF($B186="Production",INDEX(tbl_Production[Expected Revenue Ex GST],$BI186),INDEX(tbl_Consulting[Expected Revenue Ex GST],$BI186)))))</f>
        <v/>
      </c>
      <c r="O186" s="11">
        <f>IF(AND($C186="",NOT(COUNTA($S186:$BB186)&gt;0)),"",SUM(U186,X186,AA186,AD186,AG186,AJ186,AM186,AP186,AS186,AV186,AY186,BB186))</f>
        <v/>
      </c>
      <c r="P186" s="11">
        <f>IF(O186="","",N(N186)-O186)</f>
        <v/>
      </c>
      <c r="Q186" s="10">
        <f>IF(O186="","",IF($C186="","Invoice on empty job row",IF(N186="",IF(ROUND(O186,2)=0,"No dept value","Invoiced - no dept value"),IF(ROUND(O186,2)=0,"Not invoiced - to invoice",IF(ROUND(P186,2)=0,"Agrees",IF(P186&gt;0,"Dept higher - to invoice","Xero higher - check dept"))))))</f>
        <v/>
      </c>
      <c r="R186" s="10">
        <f>IF(AND($C186="",NOT(COUNTA($S186:$BB186)&gt;0),$BI186&lt;&gt;""),"",MID(IF($BI186="","; Row ID not found on the department sheet - a row was deleted","")&amp;IF(AND($C186="",COUNTA($S186:$BB186)&gt;0),"; Invoice entered but the department row has no job number","")&amp;IF(E186="CHECK","; Job number not in the Xero job list","")&amp;IF(AND($C186&lt;&gt;"",COUNTIF($C$7:$C$1506,$C186)&gt;1),"; Job number on more than one row","")&amp;IF(AND($C186&lt;&gt;"",H186=""),"; Dept has not set a cost centre","")&amp;IF(AND($C186&lt;&gt;"",J186=""),"; Dept has not set a tax code","")&amp;IF(AND($C186&lt;&gt;"",N186=""),"; Dept has not entered an expected value","")&amp;IF((IF(OR(COUNTA(S186:U186)=0,AND(COUNTA(S186:U186)=3,ISNUMBER(U186))),0,1)+IF(OR(COUNTA(V186:X186)=0,AND(COUNTA(V186:X186)=3,ISNUMBER(X186))),0,1)+IF(OR(COUNTA(Y186:AA186)=0,AND(COUNTA(Y186:AA186)=3,ISNUMBER(AA186))),0,1)+IF(OR(COUNTA(AB186:AD186)=0,AND(COUNTA(AB186:AD186)=3,ISNUMBER(AD186))),0,1)+IF(OR(COUNTA(AE186:AG186)=0,AND(COUNTA(AE186:AG186)=3,ISNUMBER(AG186))),0,1)+IF(OR(COUNTA(AH186:AJ186)=0,AND(COUNTA(AH186:AJ186)=3,ISNUMBER(AJ186))),0,1)+IF(OR(COUNTA(AK186:AM186)=0,AND(COUNTA(AK186:AM186)=3,ISNUMBER(AM186))),0,1)+IF(OR(COUNTA(AN186:AP186)=0,AND(COUNTA(AN186:AP186)=3,ISNUMBER(AP186))),0,1)+IF(OR(COUNTA(AQ186:AS186)=0,AND(COUNTA(AQ186:AS186)=3,ISNUMBER(AS186))),0,1)+IF(OR(COUNTA(AT186:AV186)=0,AND(COUNTA(AT186:AV186)=3,ISNUMBER(AV186))),0,1)+IF(OR(COUNTA(AW186:AY186)=0,AND(COUNTA(AW186:AY186)=3,ISNUMBER(AY186))),0,1)+IF(OR(COUNTA(AZ186:BB186)=0,AND(COUNTA(AZ186:BB186)=3,ISNUMBER(BB186))),0,1))&gt;0,"; An invoice is incomplete (needs No, Date and a number in Ex GST)","")&amp;IF((IF(T186="",0,IFERROR(--(EOMONTH(T186,0)&lt;&gt;S$5),1))+IF(W186="",0,IFERROR(--(EOMONTH(W186,0)&lt;&gt;V$5),1))+IF(Z186="",0,IFERROR(--(EOMONTH(Z186,0)&lt;&gt;Y$5),1))+IF(AC186="",0,IFERROR(--(EOMONTH(AC186,0)&lt;&gt;AB$5),1))+IF(AF186="",0,IFERROR(--(EOMONTH(AF186,0)&lt;&gt;AE$5),1))+IF(AI186="",0,IFERROR(--(EOMONTH(AI186,0)&lt;&gt;AH$5),1))+IF(AL186="",0,IFERROR(--(EOMONTH(AL186,0)&lt;&gt;AK$5),1))+IF(AO186="",0,IFERROR(--(EOMONTH(AO186,0)&lt;&gt;AN$5),1))+IF(AR186="",0,IFERROR(--(EOMONTH(AR186,0)&lt;&gt;AQ$5),1))+IF(AU186="",0,IFERROR(--(EOMONTH(AU186,0)&lt;&gt;AT$5),1))+IF(AX186="",0,IFERROR(--(EOMONTH(AX186,0)&lt;&gt;AW$5),1))+IF(BA186="",0,IFERROR(--(EOMONTH(BA186,0)&lt;&gt;AZ$5),1)))&gt;0,"; An invoice date is not in the month it is typed under",""),3,500))</f>
        <v/>
      </c>
      <c r="S186" s="12" t="n"/>
      <c r="T186" s="13" t="n"/>
      <c r="U186" s="14" t="n"/>
      <c r="V186" s="12" t="n"/>
      <c r="W186" s="13" t="n"/>
      <c r="X186" s="14" t="n"/>
      <c r="Y186" s="12" t="n"/>
      <c r="Z186" s="13" t="n"/>
      <c r="AA186" s="14" t="n"/>
      <c r="AB186" s="12" t="n"/>
      <c r="AC186" s="13" t="n"/>
      <c r="AD186" s="14" t="n"/>
      <c r="AE186" s="12" t="n"/>
      <c r="AF186" s="13" t="n"/>
      <c r="AG186" s="14" t="n"/>
      <c r="AH186" s="12" t="n"/>
      <c r="AI186" s="13" t="n"/>
      <c r="AJ186" s="14" t="n"/>
      <c r="AK186" s="12" t="n"/>
      <c r="AL186" s="13" t="n"/>
      <c r="AM186" s="14" t="n"/>
      <c r="AN186" s="12" t="n"/>
      <c r="AO186" s="13" t="n"/>
      <c r="AP186" s="14" t="n"/>
      <c r="AQ186" s="12" t="n"/>
      <c r="AR186" s="13" t="n"/>
      <c r="AS186" s="14" t="n"/>
      <c r="AT186" s="12" t="n"/>
      <c r="AU186" s="13" t="n"/>
      <c r="AV186" s="14" t="n"/>
      <c r="AW186" s="12" t="n"/>
      <c r="AX186" s="13" t="n"/>
      <c r="AY186" s="14" t="n"/>
      <c r="AZ186" s="12" t="n"/>
      <c r="BA186" s="13" t="n"/>
      <c r="BB186" s="14" t="n"/>
      <c r="BC186" s="11">
        <f>IF(O186="","",IF(J186="GST 10%",ROUND(O186*set_GSTRate,2),0))</f>
        <v/>
      </c>
      <c r="BD186" s="11">
        <f>IF(O186="","",O186+BC186)</f>
        <v/>
      </c>
      <c r="BE186" s="15">
        <f>IF(O186="","",COUNTA(S186,V186,Y186,AB186,AE186,AH186,AK186,AN186,AQ186,AT186,AW186,AZ186))</f>
        <v/>
      </c>
      <c r="BF186" s="16">
        <f>IF(COUNT(T186,W186,Z186,AC186,AF186,AI186,AL186,AO186,AR186,AU186,AX186,BA186)=0,"",MAX(T186,W186,Z186,AC186,AF186,AI186,AL186,AO186,AR186,AU186,AX186,BA186))</f>
        <v/>
      </c>
      <c r="BG186" s="10">
        <f>MID(IF(S186="","",", "&amp;S186)&amp;IF(V186="","",", "&amp;V186)&amp;IF(Y186="","",", "&amp;Y186)&amp;IF(AB186="","",", "&amp;AB186)&amp;IF(AE186="","",", "&amp;AE186)&amp;IF(AH186="","",", "&amp;AH186)&amp;IF(AK186="","",", "&amp;AK186)&amp;IF(AN186="","",", "&amp;AN186)&amp;IF(AQ186="","",", "&amp;AQ186)&amp;IF(AT186="","",", "&amp;AT186)&amp;IF(AW186="","",", "&amp;AW186)&amp;IF(AZ186="","",", "&amp;AZ186),3,500)</f>
        <v/>
      </c>
      <c r="BH186" s="12" t="n"/>
      <c r="BI186" s="15">
        <f>IFERROR(MATCH($A186,IF($B186="Onsite",tbl_Onsite[Row ID],IF($B186="Production",tbl_Production[Row ID],tbl_Consulting[Row ID])),0),"")</f>
        <v/>
      </c>
    </row>
    <row r="187">
      <c r="A187" s="10" t="inlineStr">
        <is>
          <t>ONS-0181</t>
        </is>
      </c>
      <c r="B187" s="10" t="inlineStr">
        <is>
          <t>Onsite</t>
        </is>
      </c>
      <c r="C187" s="10">
        <f>IF($BI187="","",IF($B187="Onsite",INDEX(tbl_Onsite[Job Number],$BI187),IF($B187="Production",INDEX(tbl_Production[Job Number],$BI187),INDEX(tbl_Consulting[Job Number],$BI187)))&amp;"")</f>
        <v/>
      </c>
      <c r="D187" s="10">
        <f>IF($BI187="","",IF($B187="Onsite",INDEX(tbl_Onsite[Client],$BI187),IF($B187="Production",INDEX(tbl_Production[Client],$BI187),INDEX(tbl_Consulting[Client],$BI187)))&amp;"")</f>
        <v/>
      </c>
      <c r="E187" s="10">
        <f>IF($C187="","",IF(COUNTIF(lst_Jobs,$C187)&gt;0,"OK","CHECK"))</f>
        <v/>
      </c>
      <c r="F187" s="10">
        <f>IF($C187="","",IFERROR(INDEX(lst_JobName,MATCH($C187,lst_Jobs,0)),""))</f>
        <v/>
      </c>
      <c r="G187" s="10">
        <f>IF($BI187="","",IF($B187="Onsite",INDEX(tbl_Onsite[Job Description],$BI187),IF($B187="Production",INDEX(tbl_Production[Job Description],$BI187),INDEX(tbl_Consulting[Job Description],$BI187)))&amp;"")</f>
        <v/>
      </c>
      <c r="H187" s="10">
        <f>IF($BI187="","",IF($B187="Onsite",INDEX(tbl_Onsite[Cost Centre],$BI187),IF($B187="Production",INDEX(tbl_Production[Cost Centre],$BI187),INDEX(tbl_Consulting[Cost Centre],$BI187)))&amp;"")</f>
        <v/>
      </c>
      <c r="I187" s="10">
        <f>IF($BI187="","",IF($B187="Onsite",INDEX(tbl_Onsite[Invoice Type],$BI187),IF($B187="Production",INDEX(tbl_Production[Invoice Type],$BI187),INDEX(tbl_Consulting[Invoice Type],$BI187)))&amp;"")</f>
        <v/>
      </c>
      <c r="J187" s="10">
        <f>IF($BI187="","",IF($B187="Onsite",INDEX(tbl_Onsite[Tax Code],$BI187),IF($B187="Production",INDEX(tbl_Production[Tax Code],$BI187),INDEX(tbl_Consulting[Tax Code],$BI187)))&amp;"")</f>
        <v/>
      </c>
      <c r="K187" s="10">
        <f>IF(H187="","",IFERROR(INDEX(lst_CCtoGL,MATCH(H187,lst_CCforGL,0)),""))</f>
        <v/>
      </c>
      <c r="L187" s="10">
        <f>IF($BI187="","",IF($B187="Onsite",INDEX(tbl_Onsite[PO / Reference],$BI187),IF($B187="Production",INDEX(tbl_Production[Current RMS No],$BI187),INDEX(tbl_Consulting[Qwilr Quote],$BI187)))&amp;"")</f>
        <v/>
      </c>
      <c r="M187" s="10">
        <f>IF($BI187="","",IF($B187="Onsite",INDEX(tbl_Onsite[Notes],$BI187),IF($B187="Production",INDEX(tbl_Production[Notes],$BI187),INDEX(tbl_Consulting[Notes],$BI187)))&amp;"")</f>
        <v/>
      </c>
      <c r="N187" s="11">
        <f>IF($BI187="","",IF(IF($B187="Onsite",INDEX(tbl_Onsite[Expected Revenue Ex GST],$BI187),IF($B187="Production",INDEX(tbl_Production[Expected Revenue Ex GST],$BI187),INDEX(tbl_Consulting[Expected Revenue Ex GST],$BI187)))="","",IF($B187="Onsite",INDEX(tbl_Onsite[Expected Revenue Ex GST],$BI187),IF($B187="Production",INDEX(tbl_Production[Expected Revenue Ex GST],$BI187),INDEX(tbl_Consulting[Expected Revenue Ex GST],$BI187)))))</f>
        <v/>
      </c>
      <c r="O187" s="11">
        <f>IF(AND($C187="",NOT(COUNTA($S187:$BB187)&gt;0)),"",SUM(U187,X187,AA187,AD187,AG187,AJ187,AM187,AP187,AS187,AV187,AY187,BB187))</f>
        <v/>
      </c>
      <c r="P187" s="11">
        <f>IF(O187="","",N(N187)-O187)</f>
        <v/>
      </c>
      <c r="Q187" s="10">
        <f>IF(O187="","",IF($C187="","Invoice on empty job row",IF(N187="",IF(ROUND(O187,2)=0,"No dept value","Invoiced - no dept value"),IF(ROUND(O187,2)=0,"Not invoiced - to invoice",IF(ROUND(P187,2)=0,"Agrees",IF(P187&gt;0,"Dept higher - to invoice","Xero higher - check dept"))))))</f>
        <v/>
      </c>
      <c r="R187" s="10">
        <f>IF(AND($C187="",NOT(COUNTA($S187:$BB187)&gt;0),$BI187&lt;&gt;""),"",MID(IF($BI187="","; Row ID not found on the department sheet - a row was deleted","")&amp;IF(AND($C187="",COUNTA($S187:$BB187)&gt;0),"; Invoice entered but the department row has no job number","")&amp;IF(E187="CHECK","; Job number not in the Xero job list","")&amp;IF(AND($C187&lt;&gt;"",COUNTIF($C$7:$C$1506,$C187)&gt;1),"; Job number on more than one row","")&amp;IF(AND($C187&lt;&gt;"",H187=""),"; Dept has not set a cost centre","")&amp;IF(AND($C187&lt;&gt;"",J187=""),"; Dept has not set a tax code","")&amp;IF(AND($C187&lt;&gt;"",N187=""),"; Dept has not entered an expected value","")&amp;IF((IF(OR(COUNTA(S187:U187)=0,AND(COUNTA(S187:U187)=3,ISNUMBER(U187))),0,1)+IF(OR(COUNTA(V187:X187)=0,AND(COUNTA(V187:X187)=3,ISNUMBER(X187))),0,1)+IF(OR(COUNTA(Y187:AA187)=0,AND(COUNTA(Y187:AA187)=3,ISNUMBER(AA187))),0,1)+IF(OR(COUNTA(AB187:AD187)=0,AND(COUNTA(AB187:AD187)=3,ISNUMBER(AD187))),0,1)+IF(OR(COUNTA(AE187:AG187)=0,AND(COUNTA(AE187:AG187)=3,ISNUMBER(AG187))),0,1)+IF(OR(COUNTA(AH187:AJ187)=0,AND(COUNTA(AH187:AJ187)=3,ISNUMBER(AJ187))),0,1)+IF(OR(COUNTA(AK187:AM187)=0,AND(COUNTA(AK187:AM187)=3,ISNUMBER(AM187))),0,1)+IF(OR(COUNTA(AN187:AP187)=0,AND(COUNTA(AN187:AP187)=3,ISNUMBER(AP187))),0,1)+IF(OR(COUNTA(AQ187:AS187)=0,AND(COUNTA(AQ187:AS187)=3,ISNUMBER(AS187))),0,1)+IF(OR(COUNTA(AT187:AV187)=0,AND(COUNTA(AT187:AV187)=3,ISNUMBER(AV187))),0,1)+IF(OR(COUNTA(AW187:AY187)=0,AND(COUNTA(AW187:AY187)=3,ISNUMBER(AY187))),0,1)+IF(OR(COUNTA(AZ187:BB187)=0,AND(COUNTA(AZ187:BB187)=3,ISNUMBER(BB187))),0,1))&gt;0,"; An invoice is incomplete (needs No, Date and a number in Ex GST)","")&amp;IF((IF(T187="",0,IFERROR(--(EOMONTH(T187,0)&lt;&gt;S$5),1))+IF(W187="",0,IFERROR(--(EOMONTH(W187,0)&lt;&gt;V$5),1))+IF(Z187="",0,IFERROR(--(EOMONTH(Z187,0)&lt;&gt;Y$5),1))+IF(AC187="",0,IFERROR(--(EOMONTH(AC187,0)&lt;&gt;AB$5),1))+IF(AF187="",0,IFERROR(--(EOMONTH(AF187,0)&lt;&gt;AE$5),1))+IF(AI187="",0,IFERROR(--(EOMONTH(AI187,0)&lt;&gt;AH$5),1))+IF(AL187="",0,IFERROR(--(EOMONTH(AL187,0)&lt;&gt;AK$5),1))+IF(AO187="",0,IFERROR(--(EOMONTH(AO187,0)&lt;&gt;AN$5),1))+IF(AR187="",0,IFERROR(--(EOMONTH(AR187,0)&lt;&gt;AQ$5),1))+IF(AU187="",0,IFERROR(--(EOMONTH(AU187,0)&lt;&gt;AT$5),1))+IF(AX187="",0,IFERROR(--(EOMONTH(AX187,0)&lt;&gt;AW$5),1))+IF(BA187="",0,IFERROR(--(EOMONTH(BA187,0)&lt;&gt;AZ$5),1)))&gt;0,"; An invoice date is not in the month it is typed under",""),3,500))</f>
        <v/>
      </c>
      <c r="S187" s="12" t="n"/>
      <c r="T187" s="13" t="n"/>
      <c r="U187" s="14" t="n"/>
      <c r="V187" s="12" t="n"/>
      <c r="W187" s="13" t="n"/>
      <c r="X187" s="14" t="n"/>
      <c r="Y187" s="12" t="n"/>
      <c r="Z187" s="13" t="n"/>
      <c r="AA187" s="14" t="n"/>
      <c r="AB187" s="12" t="n"/>
      <c r="AC187" s="13" t="n"/>
      <c r="AD187" s="14" t="n"/>
      <c r="AE187" s="12" t="n"/>
      <c r="AF187" s="13" t="n"/>
      <c r="AG187" s="14" t="n"/>
      <c r="AH187" s="12" t="n"/>
      <c r="AI187" s="13" t="n"/>
      <c r="AJ187" s="14" t="n"/>
      <c r="AK187" s="12" t="n"/>
      <c r="AL187" s="13" t="n"/>
      <c r="AM187" s="14" t="n"/>
      <c r="AN187" s="12" t="n"/>
      <c r="AO187" s="13" t="n"/>
      <c r="AP187" s="14" t="n"/>
      <c r="AQ187" s="12" t="n"/>
      <c r="AR187" s="13" t="n"/>
      <c r="AS187" s="14" t="n"/>
      <c r="AT187" s="12" t="n"/>
      <c r="AU187" s="13" t="n"/>
      <c r="AV187" s="14" t="n"/>
      <c r="AW187" s="12" t="n"/>
      <c r="AX187" s="13" t="n"/>
      <c r="AY187" s="14" t="n"/>
      <c r="AZ187" s="12" t="n"/>
      <c r="BA187" s="13" t="n"/>
      <c r="BB187" s="14" t="n"/>
      <c r="BC187" s="11">
        <f>IF(O187="","",IF(J187="GST 10%",ROUND(O187*set_GSTRate,2),0))</f>
        <v/>
      </c>
      <c r="BD187" s="11">
        <f>IF(O187="","",O187+BC187)</f>
        <v/>
      </c>
      <c r="BE187" s="15">
        <f>IF(O187="","",COUNTA(S187,V187,Y187,AB187,AE187,AH187,AK187,AN187,AQ187,AT187,AW187,AZ187))</f>
        <v/>
      </c>
      <c r="BF187" s="16">
        <f>IF(COUNT(T187,W187,Z187,AC187,AF187,AI187,AL187,AO187,AR187,AU187,AX187,BA187)=0,"",MAX(T187,W187,Z187,AC187,AF187,AI187,AL187,AO187,AR187,AU187,AX187,BA187))</f>
        <v/>
      </c>
      <c r="BG187" s="10">
        <f>MID(IF(S187="","",", "&amp;S187)&amp;IF(V187="","",", "&amp;V187)&amp;IF(Y187="","",", "&amp;Y187)&amp;IF(AB187="","",", "&amp;AB187)&amp;IF(AE187="","",", "&amp;AE187)&amp;IF(AH187="","",", "&amp;AH187)&amp;IF(AK187="","",", "&amp;AK187)&amp;IF(AN187="","",", "&amp;AN187)&amp;IF(AQ187="","",", "&amp;AQ187)&amp;IF(AT187="","",", "&amp;AT187)&amp;IF(AW187="","",", "&amp;AW187)&amp;IF(AZ187="","",", "&amp;AZ187),3,500)</f>
        <v/>
      </c>
      <c r="BH187" s="12" t="n"/>
      <c r="BI187" s="15">
        <f>IFERROR(MATCH($A187,IF($B187="Onsite",tbl_Onsite[Row ID],IF($B187="Production",tbl_Production[Row ID],tbl_Consulting[Row ID])),0),"")</f>
        <v/>
      </c>
    </row>
    <row r="188">
      <c r="A188" s="10" t="inlineStr">
        <is>
          <t>ONS-0182</t>
        </is>
      </c>
      <c r="B188" s="10" t="inlineStr">
        <is>
          <t>Onsite</t>
        </is>
      </c>
      <c r="C188" s="10">
        <f>IF($BI188="","",IF($B188="Onsite",INDEX(tbl_Onsite[Job Number],$BI188),IF($B188="Production",INDEX(tbl_Production[Job Number],$BI188),INDEX(tbl_Consulting[Job Number],$BI188)))&amp;"")</f>
        <v/>
      </c>
      <c r="D188" s="10">
        <f>IF($BI188="","",IF($B188="Onsite",INDEX(tbl_Onsite[Client],$BI188),IF($B188="Production",INDEX(tbl_Production[Client],$BI188),INDEX(tbl_Consulting[Client],$BI188)))&amp;"")</f>
        <v/>
      </c>
      <c r="E188" s="10">
        <f>IF($C188="","",IF(COUNTIF(lst_Jobs,$C188)&gt;0,"OK","CHECK"))</f>
        <v/>
      </c>
      <c r="F188" s="10">
        <f>IF($C188="","",IFERROR(INDEX(lst_JobName,MATCH($C188,lst_Jobs,0)),""))</f>
        <v/>
      </c>
      <c r="G188" s="10">
        <f>IF($BI188="","",IF($B188="Onsite",INDEX(tbl_Onsite[Job Description],$BI188),IF($B188="Production",INDEX(tbl_Production[Job Description],$BI188),INDEX(tbl_Consulting[Job Description],$BI188)))&amp;"")</f>
        <v/>
      </c>
      <c r="H188" s="10">
        <f>IF($BI188="","",IF($B188="Onsite",INDEX(tbl_Onsite[Cost Centre],$BI188),IF($B188="Production",INDEX(tbl_Production[Cost Centre],$BI188),INDEX(tbl_Consulting[Cost Centre],$BI188)))&amp;"")</f>
        <v/>
      </c>
      <c r="I188" s="10">
        <f>IF($BI188="","",IF($B188="Onsite",INDEX(tbl_Onsite[Invoice Type],$BI188),IF($B188="Production",INDEX(tbl_Production[Invoice Type],$BI188),INDEX(tbl_Consulting[Invoice Type],$BI188)))&amp;"")</f>
        <v/>
      </c>
      <c r="J188" s="10">
        <f>IF($BI188="","",IF($B188="Onsite",INDEX(tbl_Onsite[Tax Code],$BI188),IF($B188="Production",INDEX(tbl_Production[Tax Code],$BI188),INDEX(tbl_Consulting[Tax Code],$BI188)))&amp;"")</f>
        <v/>
      </c>
      <c r="K188" s="10">
        <f>IF(H188="","",IFERROR(INDEX(lst_CCtoGL,MATCH(H188,lst_CCforGL,0)),""))</f>
        <v/>
      </c>
      <c r="L188" s="10">
        <f>IF($BI188="","",IF($B188="Onsite",INDEX(tbl_Onsite[PO / Reference],$BI188),IF($B188="Production",INDEX(tbl_Production[Current RMS No],$BI188),INDEX(tbl_Consulting[Qwilr Quote],$BI188)))&amp;"")</f>
        <v/>
      </c>
      <c r="M188" s="10">
        <f>IF($BI188="","",IF($B188="Onsite",INDEX(tbl_Onsite[Notes],$BI188),IF($B188="Production",INDEX(tbl_Production[Notes],$BI188),INDEX(tbl_Consulting[Notes],$BI188)))&amp;"")</f>
        <v/>
      </c>
      <c r="N188" s="11">
        <f>IF($BI188="","",IF(IF($B188="Onsite",INDEX(tbl_Onsite[Expected Revenue Ex GST],$BI188),IF($B188="Production",INDEX(tbl_Production[Expected Revenue Ex GST],$BI188),INDEX(tbl_Consulting[Expected Revenue Ex GST],$BI188)))="","",IF($B188="Onsite",INDEX(tbl_Onsite[Expected Revenue Ex GST],$BI188),IF($B188="Production",INDEX(tbl_Production[Expected Revenue Ex GST],$BI188),INDEX(tbl_Consulting[Expected Revenue Ex GST],$BI188)))))</f>
        <v/>
      </c>
      <c r="O188" s="11">
        <f>IF(AND($C188="",NOT(COUNTA($S188:$BB188)&gt;0)),"",SUM(U188,X188,AA188,AD188,AG188,AJ188,AM188,AP188,AS188,AV188,AY188,BB188))</f>
        <v/>
      </c>
      <c r="P188" s="11">
        <f>IF(O188="","",N(N188)-O188)</f>
        <v/>
      </c>
      <c r="Q188" s="10">
        <f>IF(O188="","",IF($C188="","Invoice on empty job row",IF(N188="",IF(ROUND(O188,2)=0,"No dept value","Invoiced - no dept value"),IF(ROUND(O188,2)=0,"Not invoiced - to invoice",IF(ROUND(P188,2)=0,"Agrees",IF(P188&gt;0,"Dept higher - to invoice","Xero higher - check dept"))))))</f>
        <v/>
      </c>
      <c r="R188" s="10">
        <f>IF(AND($C188="",NOT(COUNTA($S188:$BB188)&gt;0),$BI188&lt;&gt;""),"",MID(IF($BI188="","; Row ID not found on the department sheet - a row was deleted","")&amp;IF(AND($C188="",COUNTA($S188:$BB188)&gt;0),"; Invoice entered but the department row has no job number","")&amp;IF(E188="CHECK","; Job number not in the Xero job list","")&amp;IF(AND($C188&lt;&gt;"",COUNTIF($C$7:$C$1506,$C188)&gt;1),"; Job number on more than one row","")&amp;IF(AND($C188&lt;&gt;"",H188=""),"; Dept has not set a cost centre","")&amp;IF(AND($C188&lt;&gt;"",J188=""),"; Dept has not set a tax code","")&amp;IF(AND($C188&lt;&gt;"",N188=""),"; Dept has not entered an expected value","")&amp;IF((IF(OR(COUNTA(S188:U188)=0,AND(COUNTA(S188:U188)=3,ISNUMBER(U188))),0,1)+IF(OR(COUNTA(V188:X188)=0,AND(COUNTA(V188:X188)=3,ISNUMBER(X188))),0,1)+IF(OR(COUNTA(Y188:AA188)=0,AND(COUNTA(Y188:AA188)=3,ISNUMBER(AA188))),0,1)+IF(OR(COUNTA(AB188:AD188)=0,AND(COUNTA(AB188:AD188)=3,ISNUMBER(AD188))),0,1)+IF(OR(COUNTA(AE188:AG188)=0,AND(COUNTA(AE188:AG188)=3,ISNUMBER(AG188))),0,1)+IF(OR(COUNTA(AH188:AJ188)=0,AND(COUNTA(AH188:AJ188)=3,ISNUMBER(AJ188))),0,1)+IF(OR(COUNTA(AK188:AM188)=0,AND(COUNTA(AK188:AM188)=3,ISNUMBER(AM188))),0,1)+IF(OR(COUNTA(AN188:AP188)=0,AND(COUNTA(AN188:AP188)=3,ISNUMBER(AP188))),0,1)+IF(OR(COUNTA(AQ188:AS188)=0,AND(COUNTA(AQ188:AS188)=3,ISNUMBER(AS188))),0,1)+IF(OR(COUNTA(AT188:AV188)=0,AND(COUNTA(AT188:AV188)=3,ISNUMBER(AV188))),0,1)+IF(OR(COUNTA(AW188:AY188)=0,AND(COUNTA(AW188:AY188)=3,ISNUMBER(AY188))),0,1)+IF(OR(COUNTA(AZ188:BB188)=0,AND(COUNTA(AZ188:BB188)=3,ISNUMBER(BB188))),0,1))&gt;0,"; An invoice is incomplete (needs No, Date and a number in Ex GST)","")&amp;IF((IF(T188="",0,IFERROR(--(EOMONTH(T188,0)&lt;&gt;S$5),1))+IF(W188="",0,IFERROR(--(EOMONTH(W188,0)&lt;&gt;V$5),1))+IF(Z188="",0,IFERROR(--(EOMONTH(Z188,0)&lt;&gt;Y$5),1))+IF(AC188="",0,IFERROR(--(EOMONTH(AC188,0)&lt;&gt;AB$5),1))+IF(AF188="",0,IFERROR(--(EOMONTH(AF188,0)&lt;&gt;AE$5),1))+IF(AI188="",0,IFERROR(--(EOMONTH(AI188,0)&lt;&gt;AH$5),1))+IF(AL188="",0,IFERROR(--(EOMONTH(AL188,0)&lt;&gt;AK$5),1))+IF(AO188="",0,IFERROR(--(EOMONTH(AO188,0)&lt;&gt;AN$5),1))+IF(AR188="",0,IFERROR(--(EOMONTH(AR188,0)&lt;&gt;AQ$5),1))+IF(AU188="",0,IFERROR(--(EOMONTH(AU188,0)&lt;&gt;AT$5),1))+IF(AX188="",0,IFERROR(--(EOMONTH(AX188,0)&lt;&gt;AW$5),1))+IF(BA188="",0,IFERROR(--(EOMONTH(BA188,0)&lt;&gt;AZ$5),1)))&gt;0,"; An invoice date is not in the month it is typed under",""),3,500))</f>
        <v/>
      </c>
      <c r="S188" s="12" t="n"/>
      <c r="T188" s="13" t="n"/>
      <c r="U188" s="14" t="n"/>
      <c r="V188" s="12" t="n"/>
      <c r="W188" s="13" t="n"/>
      <c r="X188" s="14" t="n"/>
      <c r="Y188" s="12" t="n"/>
      <c r="Z188" s="13" t="n"/>
      <c r="AA188" s="14" t="n"/>
      <c r="AB188" s="12" t="n"/>
      <c r="AC188" s="13" t="n"/>
      <c r="AD188" s="14" t="n"/>
      <c r="AE188" s="12" t="n"/>
      <c r="AF188" s="13" t="n"/>
      <c r="AG188" s="14" t="n"/>
      <c r="AH188" s="12" t="n"/>
      <c r="AI188" s="13" t="n"/>
      <c r="AJ188" s="14" t="n"/>
      <c r="AK188" s="12" t="n"/>
      <c r="AL188" s="13" t="n"/>
      <c r="AM188" s="14" t="n"/>
      <c r="AN188" s="12" t="n"/>
      <c r="AO188" s="13" t="n"/>
      <c r="AP188" s="14" t="n"/>
      <c r="AQ188" s="12" t="n"/>
      <c r="AR188" s="13" t="n"/>
      <c r="AS188" s="14" t="n"/>
      <c r="AT188" s="12" t="n"/>
      <c r="AU188" s="13" t="n"/>
      <c r="AV188" s="14" t="n"/>
      <c r="AW188" s="12" t="n"/>
      <c r="AX188" s="13" t="n"/>
      <c r="AY188" s="14" t="n"/>
      <c r="AZ188" s="12" t="n"/>
      <c r="BA188" s="13" t="n"/>
      <c r="BB188" s="14" t="n"/>
      <c r="BC188" s="11">
        <f>IF(O188="","",IF(J188="GST 10%",ROUND(O188*set_GSTRate,2),0))</f>
        <v/>
      </c>
      <c r="BD188" s="11">
        <f>IF(O188="","",O188+BC188)</f>
        <v/>
      </c>
      <c r="BE188" s="15">
        <f>IF(O188="","",COUNTA(S188,V188,Y188,AB188,AE188,AH188,AK188,AN188,AQ188,AT188,AW188,AZ188))</f>
        <v/>
      </c>
      <c r="BF188" s="16">
        <f>IF(COUNT(T188,W188,Z188,AC188,AF188,AI188,AL188,AO188,AR188,AU188,AX188,BA188)=0,"",MAX(T188,W188,Z188,AC188,AF188,AI188,AL188,AO188,AR188,AU188,AX188,BA188))</f>
        <v/>
      </c>
      <c r="BG188" s="10">
        <f>MID(IF(S188="","",", "&amp;S188)&amp;IF(V188="","",", "&amp;V188)&amp;IF(Y188="","",", "&amp;Y188)&amp;IF(AB188="","",", "&amp;AB188)&amp;IF(AE188="","",", "&amp;AE188)&amp;IF(AH188="","",", "&amp;AH188)&amp;IF(AK188="","",", "&amp;AK188)&amp;IF(AN188="","",", "&amp;AN188)&amp;IF(AQ188="","",", "&amp;AQ188)&amp;IF(AT188="","",", "&amp;AT188)&amp;IF(AW188="","",", "&amp;AW188)&amp;IF(AZ188="","",", "&amp;AZ188),3,500)</f>
        <v/>
      </c>
      <c r="BH188" s="12" t="n"/>
      <c r="BI188" s="15">
        <f>IFERROR(MATCH($A188,IF($B188="Onsite",tbl_Onsite[Row ID],IF($B188="Production",tbl_Production[Row ID],tbl_Consulting[Row ID])),0),"")</f>
        <v/>
      </c>
    </row>
    <row r="189">
      <c r="A189" s="10" t="inlineStr">
        <is>
          <t>ONS-0183</t>
        </is>
      </c>
      <c r="B189" s="10" t="inlineStr">
        <is>
          <t>Onsite</t>
        </is>
      </c>
      <c r="C189" s="10">
        <f>IF($BI189="","",IF($B189="Onsite",INDEX(tbl_Onsite[Job Number],$BI189),IF($B189="Production",INDEX(tbl_Production[Job Number],$BI189),INDEX(tbl_Consulting[Job Number],$BI189)))&amp;"")</f>
        <v/>
      </c>
      <c r="D189" s="10">
        <f>IF($BI189="","",IF($B189="Onsite",INDEX(tbl_Onsite[Client],$BI189),IF($B189="Production",INDEX(tbl_Production[Client],$BI189),INDEX(tbl_Consulting[Client],$BI189)))&amp;"")</f>
        <v/>
      </c>
      <c r="E189" s="10">
        <f>IF($C189="","",IF(COUNTIF(lst_Jobs,$C189)&gt;0,"OK","CHECK"))</f>
        <v/>
      </c>
      <c r="F189" s="10">
        <f>IF($C189="","",IFERROR(INDEX(lst_JobName,MATCH($C189,lst_Jobs,0)),""))</f>
        <v/>
      </c>
      <c r="G189" s="10">
        <f>IF($BI189="","",IF($B189="Onsite",INDEX(tbl_Onsite[Job Description],$BI189),IF($B189="Production",INDEX(tbl_Production[Job Description],$BI189),INDEX(tbl_Consulting[Job Description],$BI189)))&amp;"")</f>
        <v/>
      </c>
      <c r="H189" s="10">
        <f>IF($BI189="","",IF($B189="Onsite",INDEX(tbl_Onsite[Cost Centre],$BI189),IF($B189="Production",INDEX(tbl_Production[Cost Centre],$BI189),INDEX(tbl_Consulting[Cost Centre],$BI189)))&amp;"")</f>
        <v/>
      </c>
      <c r="I189" s="10">
        <f>IF($BI189="","",IF($B189="Onsite",INDEX(tbl_Onsite[Invoice Type],$BI189),IF($B189="Production",INDEX(tbl_Production[Invoice Type],$BI189),INDEX(tbl_Consulting[Invoice Type],$BI189)))&amp;"")</f>
        <v/>
      </c>
      <c r="J189" s="10">
        <f>IF($BI189="","",IF($B189="Onsite",INDEX(tbl_Onsite[Tax Code],$BI189),IF($B189="Production",INDEX(tbl_Production[Tax Code],$BI189),INDEX(tbl_Consulting[Tax Code],$BI189)))&amp;"")</f>
        <v/>
      </c>
      <c r="K189" s="10">
        <f>IF(H189="","",IFERROR(INDEX(lst_CCtoGL,MATCH(H189,lst_CCforGL,0)),""))</f>
        <v/>
      </c>
      <c r="L189" s="10">
        <f>IF($BI189="","",IF($B189="Onsite",INDEX(tbl_Onsite[PO / Reference],$BI189),IF($B189="Production",INDEX(tbl_Production[Current RMS No],$BI189),INDEX(tbl_Consulting[Qwilr Quote],$BI189)))&amp;"")</f>
        <v/>
      </c>
      <c r="M189" s="10">
        <f>IF($BI189="","",IF($B189="Onsite",INDEX(tbl_Onsite[Notes],$BI189),IF($B189="Production",INDEX(tbl_Production[Notes],$BI189),INDEX(tbl_Consulting[Notes],$BI189)))&amp;"")</f>
        <v/>
      </c>
      <c r="N189" s="11">
        <f>IF($BI189="","",IF(IF($B189="Onsite",INDEX(tbl_Onsite[Expected Revenue Ex GST],$BI189),IF($B189="Production",INDEX(tbl_Production[Expected Revenue Ex GST],$BI189),INDEX(tbl_Consulting[Expected Revenue Ex GST],$BI189)))="","",IF($B189="Onsite",INDEX(tbl_Onsite[Expected Revenue Ex GST],$BI189),IF($B189="Production",INDEX(tbl_Production[Expected Revenue Ex GST],$BI189),INDEX(tbl_Consulting[Expected Revenue Ex GST],$BI189)))))</f>
        <v/>
      </c>
      <c r="O189" s="11">
        <f>IF(AND($C189="",NOT(COUNTA($S189:$BB189)&gt;0)),"",SUM(U189,X189,AA189,AD189,AG189,AJ189,AM189,AP189,AS189,AV189,AY189,BB189))</f>
        <v/>
      </c>
      <c r="P189" s="11">
        <f>IF(O189="","",N(N189)-O189)</f>
        <v/>
      </c>
      <c r="Q189" s="10">
        <f>IF(O189="","",IF($C189="","Invoice on empty job row",IF(N189="",IF(ROUND(O189,2)=0,"No dept value","Invoiced - no dept value"),IF(ROUND(O189,2)=0,"Not invoiced - to invoice",IF(ROUND(P189,2)=0,"Agrees",IF(P189&gt;0,"Dept higher - to invoice","Xero higher - check dept"))))))</f>
        <v/>
      </c>
      <c r="R189" s="10">
        <f>IF(AND($C189="",NOT(COUNTA($S189:$BB189)&gt;0),$BI189&lt;&gt;""),"",MID(IF($BI189="","; Row ID not found on the department sheet - a row was deleted","")&amp;IF(AND($C189="",COUNTA($S189:$BB189)&gt;0),"; Invoice entered but the department row has no job number","")&amp;IF(E189="CHECK","; Job number not in the Xero job list","")&amp;IF(AND($C189&lt;&gt;"",COUNTIF($C$7:$C$1506,$C189)&gt;1),"; Job number on more than one row","")&amp;IF(AND($C189&lt;&gt;"",H189=""),"; Dept has not set a cost centre","")&amp;IF(AND($C189&lt;&gt;"",J189=""),"; Dept has not set a tax code","")&amp;IF(AND($C189&lt;&gt;"",N189=""),"; Dept has not entered an expected value","")&amp;IF((IF(OR(COUNTA(S189:U189)=0,AND(COUNTA(S189:U189)=3,ISNUMBER(U189))),0,1)+IF(OR(COUNTA(V189:X189)=0,AND(COUNTA(V189:X189)=3,ISNUMBER(X189))),0,1)+IF(OR(COUNTA(Y189:AA189)=0,AND(COUNTA(Y189:AA189)=3,ISNUMBER(AA189))),0,1)+IF(OR(COUNTA(AB189:AD189)=0,AND(COUNTA(AB189:AD189)=3,ISNUMBER(AD189))),0,1)+IF(OR(COUNTA(AE189:AG189)=0,AND(COUNTA(AE189:AG189)=3,ISNUMBER(AG189))),0,1)+IF(OR(COUNTA(AH189:AJ189)=0,AND(COUNTA(AH189:AJ189)=3,ISNUMBER(AJ189))),0,1)+IF(OR(COUNTA(AK189:AM189)=0,AND(COUNTA(AK189:AM189)=3,ISNUMBER(AM189))),0,1)+IF(OR(COUNTA(AN189:AP189)=0,AND(COUNTA(AN189:AP189)=3,ISNUMBER(AP189))),0,1)+IF(OR(COUNTA(AQ189:AS189)=0,AND(COUNTA(AQ189:AS189)=3,ISNUMBER(AS189))),0,1)+IF(OR(COUNTA(AT189:AV189)=0,AND(COUNTA(AT189:AV189)=3,ISNUMBER(AV189))),0,1)+IF(OR(COUNTA(AW189:AY189)=0,AND(COUNTA(AW189:AY189)=3,ISNUMBER(AY189))),0,1)+IF(OR(COUNTA(AZ189:BB189)=0,AND(COUNTA(AZ189:BB189)=3,ISNUMBER(BB189))),0,1))&gt;0,"; An invoice is incomplete (needs No, Date and a number in Ex GST)","")&amp;IF((IF(T189="",0,IFERROR(--(EOMONTH(T189,0)&lt;&gt;S$5),1))+IF(W189="",0,IFERROR(--(EOMONTH(W189,0)&lt;&gt;V$5),1))+IF(Z189="",0,IFERROR(--(EOMONTH(Z189,0)&lt;&gt;Y$5),1))+IF(AC189="",0,IFERROR(--(EOMONTH(AC189,0)&lt;&gt;AB$5),1))+IF(AF189="",0,IFERROR(--(EOMONTH(AF189,0)&lt;&gt;AE$5),1))+IF(AI189="",0,IFERROR(--(EOMONTH(AI189,0)&lt;&gt;AH$5),1))+IF(AL189="",0,IFERROR(--(EOMONTH(AL189,0)&lt;&gt;AK$5),1))+IF(AO189="",0,IFERROR(--(EOMONTH(AO189,0)&lt;&gt;AN$5),1))+IF(AR189="",0,IFERROR(--(EOMONTH(AR189,0)&lt;&gt;AQ$5),1))+IF(AU189="",0,IFERROR(--(EOMONTH(AU189,0)&lt;&gt;AT$5),1))+IF(AX189="",0,IFERROR(--(EOMONTH(AX189,0)&lt;&gt;AW$5),1))+IF(BA189="",0,IFERROR(--(EOMONTH(BA189,0)&lt;&gt;AZ$5),1)))&gt;0,"; An invoice date is not in the month it is typed under",""),3,500))</f>
        <v/>
      </c>
      <c r="S189" s="12" t="n"/>
      <c r="T189" s="13" t="n"/>
      <c r="U189" s="14" t="n"/>
      <c r="V189" s="12" t="n"/>
      <c r="W189" s="13" t="n"/>
      <c r="X189" s="14" t="n"/>
      <c r="Y189" s="12" t="n"/>
      <c r="Z189" s="13" t="n"/>
      <c r="AA189" s="14" t="n"/>
      <c r="AB189" s="12" t="n"/>
      <c r="AC189" s="13" t="n"/>
      <c r="AD189" s="14" t="n"/>
      <c r="AE189" s="12" t="n"/>
      <c r="AF189" s="13" t="n"/>
      <c r="AG189" s="14" t="n"/>
      <c r="AH189" s="12" t="n"/>
      <c r="AI189" s="13" t="n"/>
      <c r="AJ189" s="14" t="n"/>
      <c r="AK189" s="12" t="n"/>
      <c r="AL189" s="13" t="n"/>
      <c r="AM189" s="14" t="n"/>
      <c r="AN189" s="12" t="n"/>
      <c r="AO189" s="13" t="n"/>
      <c r="AP189" s="14" t="n"/>
      <c r="AQ189" s="12" t="n"/>
      <c r="AR189" s="13" t="n"/>
      <c r="AS189" s="14" t="n"/>
      <c r="AT189" s="12" t="n"/>
      <c r="AU189" s="13" t="n"/>
      <c r="AV189" s="14" t="n"/>
      <c r="AW189" s="12" t="n"/>
      <c r="AX189" s="13" t="n"/>
      <c r="AY189" s="14" t="n"/>
      <c r="AZ189" s="12" t="n"/>
      <c r="BA189" s="13" t="n"/>
      <c r="BB189" s="14" t="n"/>
      <c r="BC189" s="11">
        <f>IF(O189="","",IF(J189="GST 10%",ROUND(O189*set_GSTRate,2),0))</f>
        <v/>
      </c>
      <c r="BD189" s="11">
        <f>IF(O189="","",O189+BC189)</f>
        <v/>
      </c>
      <c r="BE189" s="15">
        <f>IF(O189="","",COUNTA(S189,V189,Y189,AB189,AE189,AH189,AK189,AN189,AQ189,AT189,AW189,AZ189))</f>
        <v/>
      </c>
      <c r="BF189" s="16">
        <f>IF(COUNT(T189,W189,Z189,AC189,AF189,AI189,AL189,AO189,AR189,AU189,AX189,BA189)=0,"",MAX(T189,W189,Z189,AC189,AF189,AI189,AL189,AO189,AR189,AU189,AX189,BA189))</f>
        <v/>
      </c>
      <c r="BG189" s="10">
        <f>MID(IF(S189="","",", "&amp;S189)&amp;IF(V189="","",", "&amp;V189)&amp;IF(Y189="","",", "&amp;Y189)&amp;IF(AB189="","",", "&amp;AB189)&amp;IF(AE189="","",", "&amp;AE189)&amp;IF(AH189="","",", "&amp;AH189)&amp;IF(AK189="","",", "&amp;AK189)&amp;IF(AN189="","",", "&amp;AN189)&amp;IF(AQ189="","",", "&amp;AQ189)&amp;IF(AT189="","",", "&amp;AT189)&amp;IF(AW189="","",", "&amp;AW189)&amp;IF(AZ189="","",", "&amp;AZ189),3,500)</f>
        <v/>
      </c>
      <c r="BH189" s="12" t="n"/>
      <c r="BI189" s="15">
        <f>IFERROR(MATCH($A189,IF($B189="Onsite",tbl_Onsite[Row ID],IF($B189="Production",tbl_Production[Row ID],tbl_Consulting[Row ID])),0),"")</f>
        <v/>
      </c>
    </row>
    <row r="190">
      <c r="A190" s="10" t="inlineStr">
        <is>
          <t>ONS-0184</t>
        </is>
      </c>
      <c r="B190" s="10" t="inlineStr">
        <is>
          <t>Onsite</t>
        </is>
      </c>
      <c r="C190" s="10">
        <f>IF($BI190="","",IF($B190="Onsite",INDEX(tbl_Onsite[Job Number],$BI190),IF($B190="Production",INDEX(tbl_Production[Job Number],$BI190),INDEX(tbl_Consulting[Job Number],$BI190)))&amp;"")</f>
        <v/>
      </c>
      <c r="D190" s="10">
        <f>IF($BI190="","",IF($B190="Onsite",INDEX(tbl_Onsite[Client],$BI190),IF($B190="Production",INDEX(tbl_Production[Client],$BI190),INDEX(tbl_Consulting[Client],$BI190)))&amp;"")</f>
        <v/>
      </c>
      <c r="E190" s="10">
        <f>IF($C190="","",IF(COUNTIF(lst_Jobs,$C190)&gt;0,"OK","CHECK"))</f>
        <v/>
      </c>
      <c r="F190" s="10">
        <f>IF($C190="","",IFERROR(INDEX(lst_JobName,MATCH($C190,lst_Jobs,0)),""))</f>
        <v/>
      </c>
      <c r="G190" s="10">
        <f>IF($BI190="","",IF($B190="Onsite",INDEX(tbl_Onsite[Job Description],$BI190),IF($B190="Production",INDEX(tbl_Production[Job Description],$BI190),INDEX(tbl_Consulting[Job Description],$BI190)))&amp;"")</f>
        <v/>
      </c>
      <c r="H190" s="10">
        <f>IF($BI190="","",IF($B190="Onsite",INDEX(tbl_Onsite[Cost Centre],$BI190),IF($B190="Production",INDEX(tbl_Production[Cost Centre],$BI190),INDEX(tbl_Consulting[Cost Centre],$BI190)))&amp;"")</f>
        <v/>
      </c>
      <c r="I190" s="10">
        <f>IF($BI190="","",IF($B190="Onsite",INDEX(tbl_Onsite[Invoice Type],$BI190),IF($B190="Production",INDEX(tbl_Production[Invoice Type],$BI190),INDEX(tbl_Consulting[Invoice Type],$BI190)))&amp;"")</f>
        <v/>
      </c>
      <c r="J190" s="10">
        <f>IF($BI190="","",IF($B190="Onsite",INDEX(tbl_Onsite[Tax Code],$BI190),IF($B190="Production",INDEX(tbl_Production[Tax Code],$BI190),INDEX(tbl_Consulting[Tax Code],$BI190)))&amp;"")</f>
        <v/>
      </c>
      <c r="K190" s="10">
        <f>IF(H190="","",IFERROR(INDEX(lst_CCtoGL,MATCH(H190,lst_CCforGL,0)),""))</f>
        <v/>
      </c>
      <c r="L190" s="10">
        <f>IF($BI190="","",IF($B190="Onsite",INDEX(tbl_Onsite[PO / Reference],$BI190),IF($B190="Production",INDEX(tbl_Production[Current RMS No],$BI190),INDEX(tbl_Consulting[Qwilr Quote],$BI190)))&amp;"")</f>
        <v/>
      </c>
      <c r="M190" s="10">
        <f>IF($BI190="","",IF($B190="Onsite",INDEX(tbl_Onsite[Notes],$BI190),IF($B190="Production",INDEX(tbl_Production[Notes],$BI190),INDEX(tbl_Consulting[Notes],$BI190)))&amp;"")</f>
        <v/>
      </c>
      <c r="N190" s="11">
        <f>IF($BI190="","",IF(IF($B190="Onsite",INDEX(tbl_Onsite[Expected Revenue Ex GST],$BI190),IF($B190="Production",INDEX(tbl_Production[Expected Revenue Ex GST],$BI190),INDEX(tbl_Consulting[Expected Revenue Ex GST],$BI190)))="","",IF($B190="Onsite",INDEX(tbl_Onsite[Expected Revenue Ex GST],$BI190),IF($B190="Production",INDEX(tbl_Production[Expected Revenue Ex GST],$BI190),INDEX(tbl_Consulting[Expected Revenue Ex GST],$BI190)))))</f>
        <v/>
      </c>
      <c r="O190" s="11">
        <f>IF(AND($C190="",NOT(COUNTA($S190:$BB190)&gt;0)),"",SUM(U190,X190,AA190,AD190,AG190,AJ190,AM190,AP190,AS190,AV190,AY190,BB190))</f>
        <v/>
      </c>
      <c r="P190" s="11">
        <f>IF(O190="","",N(N190)-O190)</f>
        <v/>
      </c>
      <c r="Q190" s="10">
        <f>IF(O190="","",IF($C190="","Invoice on empty job row",IF(N190="",IF(ROUND(O190,2)=0,"No dept value","Invoiced - no dept value"),IF(ROUND(O190,2)=0,"Not invoiced - to invoice",IF(ROUND(P190,2)=0,"Agrees",IF(P190&gt;0,"Dept higher - to invoice","Xero higher - check dept"))))))</f>
        <v/>
      </c>
      <c r="R190" s="10">
        <f>IF(AND($C190="",NOT(COUNTA($S190:$BB190)&gt;0),$BI190&lt;&gt;""),"",MID(IF($BI190="","; Row ID not found on the department sheet - a row was deleted","")&amp;IF(AND($C190="",COUNTA($S190:$BB190)&gt;0),"; Invoice entered but the department row has no job number","")&amp;IF(E190="CHECK","; Job number not in the Xero job list","")&amp;IF(AND($C190&lt;&gt;"",COUNTIF($C$7:$C$1506,$C190)&gt;1),"; Job number on more than one row","")&amp;IF(AND($C190&lt;&gt;"",H190=""),"; Dept has not set a cost centre","")&amp;IF(AND($C190&lt;&gt;"",J190=""),"; Dept has not set a tax code","")&amp;IF(AND($C190&lt;&gt;"",N190=""),"; Dept has not entered an expected value","")&amp;IF((IF(OR(COUNTA(S190:U190)=0,AND(COUNTA(S190:U190)=3,ISNUMBER(U190))),0,1)+IF(OR(COUNTA(V190:X190)=0,AND(COUNTA(V190:X190)=3,ISNUMBER(X190))),0,1)+IF(OR(COUNTA(Y190:AA190)=0,AND(COUNTA(Y190:AA190)=3,ISNUMBER(AA190))),0,1)+IF(OR(COUNTA(AB190:AD190)=0,AND(COUNTA(AB190:AD190)=3,ISNUMBER(AD190))),0,1)+IF(OR(COUNTA(AE190:AG190)=0,AND(COUNTA(AE190:AG190)=3,ISNUMBER(AG190))),0,1)+IF(OR(COUNTA(AH190:AJ190)=0,AND(COUNTA(AH190:AJ190)=3,ISNUMBER(AJ190))),0,1)+IF(OR(COUNTA(AK190:AM190)=0,AND(COUNTA(AK190:AM190)=3,ISNUMBER(AM190))),0,1)+IF(OR(COUNTA(AN190:AP190)=0,AND(COUNTA(AN190:AP190)=3,ISNUMBER(AP190))),0,1)+IF(OR(COUNTA(AQ190:AS190)=0,AND(COUNTA(AQ190:AS190)=3,ISNUMBER(AS190))),0,1)+IF(OR(COUNTA(AT190:AV190)=0,AND(COUNTA(AT190:AV190)=3,ISNUMBER(AV190))),0,1)+IF(OR(COUNTA(AW190:AY190)=0,AND(COUNTA(AW190:AY190)=3,ISNUMBER(AY190))),0,1)+IF(OR(COUNTA(AZ190:BB190)=0,AND(COUNTA(AZ190:BB190)=3,ISNUMBER(BB190))),0,1))&gt;0,"; An invoice is incomplete (needs No, Date and a number in Ex GST)","")&amp;IF((IF(T190="",0,IFERROR(--(EOMONTH(T190,0)&lt;&gt;S$5),1))+IF(W190="",0,IFERROR(--(EOMONTH(W190,0)&lt;&gt;V$5),1))+IF(Z190="",0,IFERROR(--(EOMONTH(Z190,0)&lt;&gt;Y$5),1))+IF(AC190="",0,IFERROR(--(EOMONTH(AC190,0)&lt;&gt;AB$5),1))+IF(AF190="",0,IFERROR(--(EOMONTH(AF190,0)&lt;&gt;AE$5),1))+IF(AI190="",0,IFERROR(--(EOMONTH(AI190,0)&lt;&gt;AH$5),1))+IF(AL190="",0,IFERROR(--(EOMONTH(AL190,0)&lt;&gt;AK$5),1))+IF(AO190="",0,IFERROR(--(EOMONTH(AO190,0)&lt;&gt;AN$5),1))+IF(AR190="",0,IFERROR(--(EOMONTH(AR190,0)&lt;&gt;AQ$5),1))+IF(AU190="",0,IFERROR(--(EOMONTH(AU190,0)&lt;&gt;AT$5),1))+IF(AX190="",0,IFERROR(--(EOMONTH(AX190,0)&lt;&gt;AW$5),1))+IF(BA190="",0,IFERROR(--(EOMONTH(BA190,0)&lt;&gt;AZ$5),1)))&gt;0,"; An invoice date is not in the month it is typed under",""),3,500))</f>
        <v/>
      </c>
      <c r="S190" s="12" t="n"/>
      <c r="T190" s="13" t="n"/>
      <c r="U190" s="14" t="n"/>
      <c r="V190" s="12" t="n"/>
      <c r="W190" s="13" t="n"/>
      <c r="X190" s="14" t="n"/>
      <c r="Y190" s="12" t="n"/>
      <c r="Z190" s="13" t="n"/>
      <c r="AA190" s="14" t="n"/>
      <c r="AB190" s="12" t="n"/>
      <c r="AC190" s="13" t="n"/>
      <c r="AD190" s="14" t="n"/>
      <c r="AE190" s="12" t="n"/>
      <c r="AF190" s="13" t="n"/>
      <c r="AG190" s="14" t="n"/>
      <c r="AH190" s="12" t="n"/>
      <c r="AI190" s="13" t="n"/>
      <c r="AJ190" s="14" t="n"/>
      <c r="AK190" s="12" t="n"/>
      <c r="AL190" s="13" t="n"/>
      <c r="AM190" s="14" t="n"/>
      <c r="AN190" s="12" t="n"/>
      <c r="AO190" s="13" t="n"/>
      <c r="AP190" s="14" t="n"/>
      <c r="AQ190" s="12" t="n"/>
      <c r="AR190" s="13" t="n"/>
      <c r="AS190" s="14" t="n"/>
      <c r="AT190" s="12" t="n"/>
      <c r="AU190" s="13" t="n"/>
      <c r="AV190" s="14" t="n"/>
      <c r="AW190" s="12" t="n"/>
      <c r="AX190" s="13" t="n"/>
      <c r="AY190" s="14" t="n"/>
      <c r="AZ190" s="12" t="n"/>
      <c r="BA190" s="13" t="n"/>
      <c r="BB190" s="14" t="n"/>
      <c r="BC190" s="11">
        <f>IF(O190="","",IF(J190="GST 10%",ROUND(O190*set_GSTRate,2),0))</f>
        <v/>
      </c>
      <c r="BD190" s="11">
        <f>IF(O190="","",O190+BC190)</f>
        <v/>
      </c>
      <c r="BE190" s="15">
        <f>IF(O190="","",COUNTA(S190,V190,Y190,AB190,AE190,AH190,AK190,AN190,AQ190,AT190,AW190,AZ190))</f>
        <v/>
      </c>
      <c r="BF190" s="16">
        <f>IF(COUNT(T190,W190,Z190,AC190,AF190,AI190,AL190,AO190,AR190,AU190,AX190,BA190)=0,"",MAX(T190,W190,Z190,AC190,AF190,AI190,AL190,AO190,AR190,AU190,AX190,BA190))</f>
        <v/>
      </c>
      <c r="BG190" s="10">
        <f>MID(IF(S190="","",", "&amp;S190)&amp;IF(V190="","",", "&amp;V190)&amp;IF(Y190="","",", "&amp;Y190)&amp;IF(AB190="","",", "&amp;AB190)&amp;IF(AE190="","",", "&amp;AE190)&amp;IF(AH190="","",", "&amp;AH190)&amp;IF(AK190="","",", "&amp;AK190)&amp;IF(AN190="","",", "&amp;AN190)&amp;IF(AQ190="","",", "&amp;AQ190)&amp;IF(AT190="","",", "&amp;AT190)&amp;IF(AW190="","",", "&amp;AW190)&amp;IF(AZ190="","",", "&amp;AZ190),3,500)</f>
        <v/>
      </c>
      <c r="BH190" s="12" t="n"/>
      <c r="BI190" s="15">
        <f>IFERROR(MATCH($A190,IF($B190="Onsite",tbl_Onsite[Row ID],IF($B190="Production",tbl_Production[Row ID],tbl_Consulting[Row ID])),0),"")</f>
        <v/>
      </c>
    </row>
    <row r="191">
      <c r="A191" s="10" t="inlineStr">
        <is>
          <t>ONS-0185</t>
        </is>
      </c>
      <c r="B191" s="10" t="inlineStr">
        <is>
          <t>Onsite</t>
        </is>
      </c>
      <c r="C191" s="10">
        <f>IF($BI191="","",IF($B191="Onsite",INDEX(tbl_Onsite[Job Number],$BI191),IF($B191="Production",INDEX(tbl_Production[Job Number],$BI191),INDEX(tbl_Consulting[Job Number],$BI191)))&amp;"")</f>
        <v/>
      </c>
      <c r="D191" s="10">
        <f>IF($BI191="","",IF($B191="Onsite",INDEX(tbl_Onsite[Client],$BI191),IF($B191="Production",INDEX(tbl_Production[Client],$BI191),INDEX(tbl_Consulting[Client],$BI191)))&amp;"")</f>
        <v/>
      </c>
      <c r="E191" s="10">
        <f>IF($C191="","",IF(COUNTIF(lst_Jobs,$C191)&gt;0,"OK","CHECK"))</f>
        <v/>
      </c>
      <c r="F191" s="10">
        <f>IF($C191="","",IFERROR(INDEX(lst_JobName,MATCH($C191,lst_Jobs,0)),""))</f>
        <v/>
      </c>
      <c r="G191" s="10">
        <f>IF($BI191="","",IF($B191="Onsite",INDEX(tbl_Onsite[Job Description],$BI191),IF($B191="Production",INDEX(tbl_Production[Job Description],$BI191),INDEX(tbl_Consulting[Job Description],$BI191)))&amp;"")</f>
        <v/>
      </c>
      <c r="H191" s="10">
        <f>IF($BI191="","",IF($B191="Onsite",INDEX(tbl_Onsite[Cost Centre],$BI191),IF($B191="Production",INDEX(tbl_Production[Cost Centre],$BI191),INDEX(tbl_Consulting[Cost Centre],$BI191)))&amp;"")</f>
        <v/>
      </c>
      <c r="I191" s="10">
        <f>IF($BI191="","",IF($B191="Onsite",INDEX(tbl_Onsite[Invoice Type],$BI191),IF($B191="Production",INDEX(tbl_Production[Invoice Type],$BI191),INDEX(tbl_Consulting[Invoice Type],$BI191)))&amp;"")</f>
        <v/>
      </c>
      <c r="J191" s="10">
        <f>IF($BI191="","",IF($B191="Onsite",INDEX(tbl_Onsite[Tax Code],$BI191),IF($B191="Production",INDEX(tbl_Production[Tax Code],$BI191),INDEX(tbl_Consulting[Tax Code],$BI191)))&amp;"")</f>
        <v/>
      </c>
      <c r="K191" s="10">
        <f>IF(H191="","",IFERROR(INDEX(lst_CCtoGL,MATCH(H191,lst_CCforGL,0)),""))</f>
        <v/>
      </c>
      <c r="L191" s="10">
        <f>IF($BI191="","",IF($B191="Onsite",INDEX(tbl_Onsite[PO / Reference],$BI191),IF($B191="Production",INDEX(tbl_Production[Current RMS No],$BI191),INDEX(tbl_Consulting[Qwilr Quote],$BI191)))&amp;"")</f>
        <v/>
      </c>
      <c r="M191" s="10">
        <f>IF($BI191="","",IF($B191="Onsite",INDEX(tbl_Onsite[Notes],$BI191),IF($B191="Production",INDEX(tbl_Production[Notes],$BI191),INDEX(tbl_Consulting[Notes],$BI191)))&amp;"")</f>
        <v/>
      </c>
      <c r="N191" s="11">
        <f>IF($BI191="","",IF(IF($B191="Onsite",INDEX(tbl_Onsite[Expected Revenue Ex GST],$BI191),IF($B191="Production",INDEX(tbl_Production[Expected Revenue Ex GST],$BI191),INDEX(tbl_Consulting[Expected Revenue Ex GST],$BI191)))="","",IF($B191="Onsite",INDEX(tbl_Onsite[Expected Revenue Ex GST],$BI191),IF($B191="Production",INDEX(tbl_Production[Expected Revenue Ex GST],$BI191),INDEX(tbl_Consulting[Expected Revenue Ex GST],$BI191)))))</f>
        <v/>
      </c>
      <c r="O191" s="11">
        <f>IF(AND($C191="",NOT(COUNTA($S191:$BB191)&gt;0)),"",SUM(U191,X191,AA191,AD191,AG191,AJ191,AM191,AP191,AS191,AV191,AY191,BB191))</f>
        <v/>
      </c>
      <c r="P191" s="11">
        <f>IF(O191="","",N(N191)-O191)</f>
        <v/>
      </c>
      <c r="Q191" s="10">
        <f>IF(O191="","",IF($C191="","Invoice on empty job row",IF(N191="",IF(ROUND(O191,2)=0,"No dept value","Invoiced - no dept value"),IF(ROUND(O191,2)=0,"Not invoiced - to invoice",IF(ROUND(P191,2)=0,"Agrees",IF(P191&gt;0,"Dept higher - to invoice","Xero higher - check dept"))))))</f>
        <v/>
      </c>
      <c r="R191" s="10">
        <f>IF(AND($C191="",NOT(COUNTA($S191:$BB191)&gt;0),$BI191&lt;&gt;""),"",MID(IF($BI191="","; Row ID not found on the department sheet - a row was deleted","")&amp;IF(AND($C191="",COUNTA($S191:$BB191)&gt;0),"; Invoice entered but the department row has no job number","")&amp;IF(E191="CHECK","; Job number not in the Xero job list","")&amp;IF(AND($C191&lt;&gt;"",COUNTIF($C$7:$C$1506,$C191)&gt;1),"; Job number on more than one row","")&amp;IF(AND($C191&lt;&gt;"",H191=""),"; Dept has not set a cost centre","")&amp;IF(AND($C191&lt;&gt;"",J191=""),"; Dept has not set a tax code","")&amp;IF(AND($C191&lt;&gt;"",N191=""),"; Dept has not entered an expected value","")&amp;IF((IF(OR(COUNTA(S191:U191)=0,AND(COUNTA(S191:U191)=3,ISNUMBER(U191))),0,1)+IF(OR(COUNTA(V191:X191)=0,AND(COUNTA(V191:X191)=3,ISNUMBER(X191))),0,1)+IF(OR(COUNTA(Y191:AA191)=0,AND(COUNTA(Y191:AA191)=3,ISNUMBER(AA191))),0,1)+IF(OR(COUNTA(AB191:AD191)=0,AND(COUNTA(AB191:AD191)=3,ISNUMBER(AD191))),0,1)+IF(OR(COUNTA(AE191:AG191)=0,AND(COUNTA(AE191:AG191)=3,ISNUMBER(AG191))),0,1)+IF(OR(COUNTA(AH191:AJ191)=0,AND(COUNTA(AH191:AJ191)=3,ISNUMBER(AJ191))),0,1)+IF(OR(COUNTA(AK191:AM191)=0,AND(COUNTA(AK191:AM191)=3,ISNUMBER(AM191))),0,1)+IF(OR(COUNTA(AN191:AP191)=0,AND(COUNTA(AN191:AP191)=3,ISNUMBER(AP191))),0,1)+IF(OR(COUNTA(AQ191:AS191)=0,AND(COUNTA(AQ191:AS191)=3,ISNUMBER(AS191))),0,1)+IF(OR(COUNTA(AT191:AV191)=0,AND(COUNTA(AT191:AV191)=3,ISNUMBER(AV191))),0,1)+IF(OR(COUNTA(AW191:AY191)=0,AND(COUNTA(AW191:AY191)=3,ISNUMBER(AY191))),0,1)+IF(OR(COUNTA(AZ191:BB191)=0,AND(COUNTA(AZ191:BB191)=3,ISNUMBER(BB191))),0,1))&gt;0,"; An invoice is incomplete (needs No, Date and a number in Ex GST)","")&amp;IF((IF(T191="",0,IFERROR(--(EOMONTH(T191,0)&lt;&gt;S$5),1))+IF(W191="",0,IFERROR(--(EOMONTH(W191,0)&lt;&gt;V$5),1))+IF(Z191="",0,IFERROR(--(EOMONTH(Z191,0)&lt;&gt;Y$5),1))+IF(AC191="",0,IFERROR(--(EOMONTH(AC191,0)&lt;&gt;AB$5),1))+IF(AF191="",0,IFERROR(--(EOMONTH(AF191,0)&lt;&gt;AE$5),1))+IF(AI191="",0,IFERROR(--(EOMONTH(AI191,0)&lt;&gt;AH$5),1))+IF(AL191="",0,IFERROR(--(EOMONTH(AL191,0)&lt;&gt;AK$5),1))+IF(AO191="",0,IFERROR(--(EOMONTH(AO191,0)&lt;&gt;AN$5),1))+IF(AR191="",0,IFERROR(--(EOMONTH(AR191,0)&lt;&gt;AQ$5),1))+IF(AU191="",0,IFERROR(--(EOMONTH(AU191,0)&lt;&gt;AT$5),1))+IF(AX191="",0,IFERROR(--(EOMONTH(AX191,0)&lt;&gt;AW$5),1))+IF(BA191="",0,IFERROR(--(EOMONTH(BA191,0)&lt;&gt;AZ$5),1)))&gt;0,"; An invoice date is not in the month it is typed under",""),3,500))</f>
        <v/>
      </c>
      <c r="S191" s="12" t="n"/>
      <c r="T191" s="13" t="n"/>
      <c r="U191" s="14" t="n"/>
      <c r="V191" s="12" t="n"/>
      <c r="W191" s="13" t="n"/>
      <c r="X191" s="14" t="n"/>
      <c r="Y191" s="12" t="n"/>
      <c r="Z191" s="13" t="n"/>
      <c r="AA191" s="14" t="n"/>
      <c r="AB191" s="12" t="n"/>
      <c r="AC191" s="13" t="n"/>
      <c r="AD191" s="14" t="n"/>
      <c r="AE191" s="12" t="n"/>
      <c r="AF191" s="13" t="n"/>
      <c r="AG191" s="14" t="n"/>
      <c r="AH191" s="12" t="n"/>
      <c r="AI191" s="13" t="n"/>
      <c r="AJ191" s="14" t="n"/>
      <c r="AK191" s="12" t="n"/>
      <c r="AL191" s="13" t="n"/>
      <c r="AM191" s="14" t="n"/>
      <c r="AN191" s="12" t="n"/>
      <c r="AO191" s="13" t="n"/>
      <c r="AP191" s="14" t="n"/>
      <c r="AQ191" s="12" t="n"/>
      <c r="AR191" s="13" t="n"/>
      <c r="AS191" s="14" t="n"/>
      <c r="AT191" s="12" t="n"/>
      <c r="AU191" s="13" t="n"/>
      <c r="AV191" s="14" t="n"/>
      <c r="AW191" s="12" t="n"/>
      <c r="AX191" s="13" t="n"/>
      <c r="AY191" s="14" t="n"/>
      <c r="AZ191" s="12" t="n"/>
      <c r="BA191" s="13" t="n"/>
      <c r="BB191" s="14" t="n"/>
      <c r="BC191" s="11">
        <f>IF(O191="","",IF(J191="GST 10%",ROUND(O191*set_GSTRate,2),0))</f>
        <v/>
      </c>
      <c r="BD191" s="11">
        <f>IF(O191="","",O191+BC191)</f>
        <v/>
      </c>
      <c r="BE191" s="15">
        <f>IF(O191="","",COUNTA(S191,V191,Y191,AB191,AE191,AH191,AK191,AN191,AQ191,AT191,AW191,AZ191))</f>
        <v/>
      </c>
      <c r="BF191" s="16">
        <f>IF(COUNT(T191,W191,Z191,AC191,AF191,AI191,AL191,AO191,AR191,AU191,AX191,BA191)=0,"",MAX(T191,W191,Z191,AC191,AF191,AI191,AL191,AO191,AR191,AU191,AX191,BA191))</f>
        <v/>
      </c>
      <c r="BG191" s="10">
        <f>MID(IF(S191="","",", "&amp;S191)&amp;IF(V191="","",", "&amp;V191)&amp;IF(Y191="","",", "&amp;Y191)&amp;IF(AB191="","",", "&amp;AB191)&amp;IF(AE191="","",", "&amp;AE191)&amp;IF(AH191="","",", "&amp;AH191)&amp;IF(AK191="","",", "&amp;AK191)&amp;IF(AN191="","",", "&amp;AN191)&amp;IF(AQ191="","",", "&amp;AQ191)&amp;IF(AT191="","",", "&amp;AT191)&amp;IF(AW191="","",", "&amp;AW191)&amp;IF(AZ191="","",", "&amp;AZ191),3,500)</f>
        <v/>
      </c>
      <c r="BH191" s="12" t="n"/>
      <c r="BI191" s="15">
        <f>IFERROR(MATCH($A191,IF($B191="Onsite",tbl_Onsite[Row ID],IF($B191="Production",tbl_Production[Row ID],tbl_Consulting[Row ID])),0),"")</f>
        <v/>
      </c>
    </row>
    <row r="192">
      <c r="A192" s="10" t="inlineStr">
        <is>
          <t>ONS-0186</t>
        </is>
      </c>
      <c r="B192" s="10" t="inlineStr">
        <is>
          <t>Onsite</t>
        </is>
      </c>
      <c r="C192" s="10">
        <f>IF($BI192="","",IF($B192="Onsite",INDEX(tbl_Onsite[Job Number],$BI192),IF($B192="Production",INDEX(tbl_Production[Job Number],$BI192),INDEX(tbl_Consulting[Job Number],$BI192)))&amp;"")</f>
        <v/>
      </c>
      <c r="D192" s="10">
        <f>IF($BI192="","",IF($B192="Onsite",INDEX(tbl_Onsite[Client],$BI192),IF($B192="Production",INDEX(tbl_Production[Client],$BI192),INDEX(tbl_Consulting[Client],$BI192)))&amp;"")</f>
        <v/>
      </c>
      <c r="E192" s="10">
        <f>IF($C192="","",IF(COUNTIF(lst_Jobs,$C192)&gt;0,"OK","CHECK"))</f>
        <v/>
      </c>
      <c r="F192" s="10">
        <f>IF($C192="","",IFERROR(INDEX(lst_JobName,MATCH($C192,lst_Jobs,0)),""))</f>
        <v/>
      </c>
      <c r="G192" s="10">
        <f>IF($BI192="","",IF($B192="Onsite",INDEX(tbl_Onsite[Job Description],$BI192),IF($B192="Production",INDEX(tbl_Production[Job Description],$BI192),INDEX(tbl_Consulting[Job Description],$BI192)))&amp;"")</f>
        <v/>
      </c>
      <c r="H192" s="10">
        <f>IF($BI192="","",IF($B192="Onsite",INDEX(tbl_Onsite[Cost Centre],$BI192),IF($B192="Production",INDEX(tbl_Production[Cost Centre],$BI192),INDEX(tbl_Consulting[Cost Centre],$BI192)))&amp;"")</f>
        <v/>
      </c>
      <c r="I192" s="10">
        <f>IF($BI192="","",IF($B192="Onsite",INDEX(tbl_Onsite[Invoice Type],$BI192),IF($B192="Production",INDEX(tbl_Production[Invoice Type],$BI192),INDEX(tbl_Consulting[Invoice Type],$BI192)))&amp;"")</f>
        <v/>
      </c>
      <c r="J192" s="10">
        <f>IF($BI192="","",IF($B192="Onsite",INDEX(tbl_Onsite[Tax Code],$BI192),IF($B192="Production",INDEX(tbl_Production[Tax Code],$BI192),INDEX(tbl_Consulting[Tax Code],$BI192)))&amp;"")</f>
        <v/>
      </c>
      <c r="K192" s="10">
        <f>IF(H192="","",IFERROR(INDEX(lst_CCtoGL,MATCH(H192,lst_CCforGL,0)),""))</f>
        <v/>
      </c>
      <c r="L192" s="10">
        <f>IF($BI192="","",IF($B192="Onsite",INDEX(tbl_Onsite[PO / Reference],$BI192),IF($B192="Production",INDEX(tbl_Production[Current RMS No],$BI192),INDEX(tbl_Consulting[Qwilr Quote],$BI192)))&amp;"")</f>
        <v/>
      </c>
      <c r="M192" s="10">
        <f>IF($BI192="","",IF($B192="Onsite",INDEX(tbl_Onsite[Notes],$BI192),IF($B192="Production",INDEX(tbl_Production[Notes],$BI192),INDEX(tbl_Consulting[Notes],$BI192)))&amp;"")</f>
        <v/>
      </c>
      <c r="N192" s="11">
        <f>IF($BI192="","",IF(IF($B192="Onsite",INDEX(tbl_Onsite[Expected Revenue Ex GST],$BI192),IF($B192="Production",INDEX(tbl_Production[Expected Revenue Ex GST],$BI192),INDEX(tbl_Consulting[Expected Revenue Ex GST],$BI192)))="","",IF($B192="Onsite",INDEX(tbl_Onsite[Expected Revenue Ex GST],$BI192),IF($B192="Production",INDEX(tbl_Production[Expected Revenue Ex GST],$BI192),INDEX(tbl_Consulting[Expected Revenue Ex GST],$BI192)))))</f>
        <v/>
      </c>
      <c r="O192" s="11">
        <f>IF(AND($C192="",NOT(COUNTA($S192:$BB192)&gt;0)),"",SUM(U192,X192,AA192,AD192,AG192,AJ192,AM192,AP192,AS192,AV192,AY192,BB192))</f>
        <v/>
      </c>
      <c r="P192" s="11">
        <f>IF(O192="","",N(N192)-O192)</f>
        <v/>
      </c>
      <c r="Q192" s="10">
        <f>IF(O192="","",IF($C192="","Invoice on empty job row",IF(N192="",IF(ROUND(O192,2)=0,"No dept value","Invoiced - no dept value"),IF(ROUND(O192,2)=0,"Not invoiced - to invoice",IF(ROUND(P192,2)=0,"Agrees",IF(P192&gt;0,"Dept higher - to invoice","Xero higher - check dept"))))))</f>
        <v/>
      </c>
      <c r="R192" s="10">
        <f>IF(AND($C192="",NOT(COUNTA($S192:$BB192)&gt;0),$BI192&lt;&gt;""),"",MID(IF($BI192="","; Row ID not found on the department sheet - a row was deleted","")&amp;IF(AND($C192="",COUNTA($S192:$BB192)&gt;0),"; Invoice entered but the department row has no job number","")&amp;IF(E192="CHECK","; Job number not in the Xero job list","")&amp;IF(AND($C192&lt;&gt;"",COUNTIF($C$7:$C$1506,$C192)&gt;1),"; Job number on more than one row","")&amp;IF(AND($C192&lt;&gt;"",H192=""),"; Dept has not set a cost centre","")&amp;IF(AND($C192&lt;&gt;"",J192=""),"; Dept has not set a tax code","")&amp;IF(AND($C192&lt;&gt;"",N192=""),"; Dept has not entered an expected value","")&amp;IF((IF(OR(COUNTA(S192:U192)=0,AND(COUNTA(S192:U192)=3,ISNUMBER(U192))),0,1)+IF(OR(COUNTA(V192:X192)=0,AND(COUNTA(V192:X192)=3,ISNUMBER(X192))),0,1)+IF(OR(COUNTA(Y192:AA192)=0,AND(COUNTA(Y192:AA192)=3,ISNUMBER(AA192))),0,1)+IF(OR(COUNTA(AB192:AD192)=0,AND(COUNTA(AB192:AD192)=3,ISNUMBER(AD192))),0,1)+IF(OR(COUNTA(AE192:AG192)=0,AND(COUNTA(AE192:AG192)=3,ISNUMBER(AG192))),0,1)+IF(OR(COUNTA(AH192:AJ192)=0,AND(COUNTA(AH192:AJ192)=3,ISNUMBER(AJ192))),0,1)+IF(OR(COUNTA(AK192:AM192)=0,AND(COUNTA(AK192:AM192)=3,ISNUMBER(AM192))),0,1)+IF(OR(COUNTA(AN192:AP192)=0,AND(COUNTA(AN192:AP192)=3,ISNUMBER(AP192))),0,1)+IF(OR(COUNTA(AQ192:AS192)=0,AND(COUNTA(AQ192:AS192)=3,ISNUMBER(AS192))),0,1)+IF(OR(COUNTA(AT192:AV192)=0,AND(COUNTA(AT192:AV192)=3,ISNUMBER(AV192))),0,1)+IF(OR(COUNTA(AW192:AY192)=0,AND(COUNTA(AW192:AY192)=3,ISNUMBER(AY192))),0,1)+IF(OR(COUNTA(AZ192:BB192)=0,AND(COUNTA(AZ192:BB192)=3,ISNUMBER(BB192))),0,1))&gt;0,"; An invoice is incomplete (needs No, Date and a number in Ex GST)","")&amp;IF((IF(T192="",0,IFERROR(--(EOMONTH(T192,0)&lt;&gt;S$5),1))+IF(W192="",0,IFERROR(--(EOMONTH(W192,0)&lt;&gt;V$5),1))+IF(Z192="",0,IFERROR(--(EOMONTH(Z192,0)&lt;&gt;Y$5),1))+IF(AC192="",0,IFERROR(--(EOMONTH(AC192,0)&lt;&gt;AB$5),1))+IF(AF192="",0,IFERROR(--(EOMONTH(AF192,0)&lt;&gt;AE$5),1))+IF(AI192="",0,IFERROR(--(EOMONTH(AI192,0)&lt;&gt;AH$5),1))+IF(AL192="",0,IFERROR(--(EOMONTH(AL192,0)&lt;&gt;AK$5),1))+IF(AO192="",0,IFERROR(--(EOMONTH(AO192,0)&lt;&gt;AN$5),1))+IF(AR192="",0,IFERROR(--(EOMONTH(AR192,0)&lt;&gt;AQ$5),1))+IF(AU192="",0,IFERROR(--(EOMONTH(AU192,0)&lt;&gt;AT$5),1))+IF(AX192="",0,IFERROR(--(EOMONTH(AX192,0)&lt;&gt;AW$5),1))+IF(BA192="",0,IFERROR(--(EOMONTH(BA192,0)&lt;&gt;AZ$5),1)))&gt;0,"; An invoice date is not in the month it is typed under",""),3,500))</f>
        <v/>
      </c>
      <c r="S192" s="12" t="n"/>
      <c r="T192" s="13" t="n"/>
      <c r="U192" s="14" t="n"/>
      <c r="V192" s="12" t="n"/>
      <c r="W192" s="13" t="n"/>
      <c r="X192" s="14" t="n"/>
      <c r="Y192" s="12" t="n"/>
      <c r="Z192" s="13" t="n"/>
      <c r="AA192" s="14" t="n"/>
      <c r="AB192" s="12" t="n"/>
      <c r="AC192" s="13" t="n"/>
      <c r="AD192" s="14" t="n"/>
      <c r="AE192" s="12" t="n"/>
      <c r="AF192" s="13" t="n"/>
      <c r="AG192" s="14" t="n"/>
      <c r="AH192" s="12" t="n"/>
      <c r="AI192" s="13" t="n"/>
      <c r="AJ192" s="14" t="n"/>
      <c r="AK192" s="12" t="n"/>
      <c r="AL192" s="13" t="n"/>
      <c r="AM192" s="14" t="n"/>
      <c r="AN192" s="12" t="n"/>
      <c r="AO192" s="13" t="n"/>
      <c r="AP192" s="14" t="n"/>
      <c r="AQ192" s="12" t="n"/>
      <c r="AR192" s="13" t="n"/>
      <c r="AS192" s="14" t="n"/>
      <c r="AT192" s="12" t="n"/>
      <c r="AU192" s="13" t="n"/>
      <c r="AV192" s="14" t="n"/>
      <c r="AW192" s="12" t="n"/>
      <c r="AX192" s="13" t="n"/>
      <c r="AY192" s="14" t="n"/>
      <c r="AZ192" s="12" t="n"/>
      <c r="BA192" s="13" t="n"/>
      <c r="BB192" s="14" t="n"/>
      <c r="BC192" s="11">
        <f>IF(O192="","",IF(J192="GST 10%",ROUND(O192*set_GSTRate,2),0))</f>
        <v/>
      </c>
      <c r="BD192" s="11">
        <f>IF(O192="","",O192+BC192)</f>
        <v/>
      </c>
      <c r="BE192" s="15">
        <f>IF(O192="","",COUNTA(S192,V192,Y192,AB192,AE192,AH192,AK192,AN192,AQ192,AT192,AW192,AZ192))</f>
        <v/>
      </c>
      <c r="BF192" s="16">
        <f>IF(COUNT(T192,W192,Z192,AC192,AF192,AI192,AL192,AO192,AR192,AU192,AX192,BA192)=0,"",MAX(T192,W192,Z192,AC192,AF192,AI192,AL192,AO192,AR192,AU192,AX192,BA192))</f>
        <v/>
      </c>
      <c r="BG192" s="10">
        <f>MID(IF(S192="","",", "&amp;S192)&amp;IF(V192="","",", "&amp;V192)&amp;IF(Y192="","",", "&amp;Y192)&amp;IF(AB192="","",", "&amp;AB192)&amp;IF(AE192="","",", "&amp;AE192)&amp;IF(AH192="","",", "&amp;AH192)&amp;IF(AK192="","",", "&amp;AK192)&amp;IF(AN192="","",", "&amp;AN192)&amp;IF(AQ192="","",", "&amp;AQ192)&amp;IF(AT192="","",", "&amp;AT192)&amp;IF(AW192="","",", "&amp;AW192)&amp;IF(AZ192="","",", "&amp;AZ192),3,500)</f>
        <v/>
      </c>
      <c r="BH192" s="12" t="n"/>
      <c r="BI192" s="15">
        <f>IFERROR(MATCH($A192,IF($B192="Onsite",tbl_Onsite[Row ID],IF($B192="Production",tbl_Production[Row ID],tbl_Consulting[Row ID])),0),"")</f>
        <v/>
      </c>
    </row>
    <row r="193">
      <c r="A193" s="10" t="inlineStr">
        <is>
          <t>ONS-0187</t>
        </is>
      </c>
      <c r="B193" s="10" t="inlineStr">
        <is>
          <t>Onsite</t>
        </is>
      </c>
      <c r="C193" s="10">
        <f>IF($BI193="","",IF($B193="Onsite",INDEX(tbl_Onsite[Job Number],$BI193),IF($B193="Production",INDEX(tbl_Production[Job Number],$BI193),INDEX(tbl_Consulting[Job Number],$BI193)))&amp;"")</f>
        <v/>
      </c>
      <c r="D193" s="10">
        <f>IF($BI193="","",IF($B193="Onsite",INDEX(tbl_Onsite[Client],$BI193),IF($B193="Production",INDEX(tbl_Production[Client],$BI193),INDEX(tbl_Consulting[Client],$BI193)))&amp;"")</f>
        <v/>
      </c>
      <c r="E193" s="10">
        <f>IF($C193="","",IF(COUNTIF(lst_Jobs,$C193)&gt;0,"OK","CHECK"))</f>
        <v/>
      </c>
      <c r="F193" s="10">
        <f>IF($C193="","",IFERROR(INDEX(lst_JobName,MATCH($C193,lst_Jobs,0)),""))</f>
        <v/>
      </c>
      <c r="G193" s="10">
        <f>IF($BI193="","",IF($B193="Onsite",INDEX(tbl_Onsite[Job Description],$BI193),IF($B193="Production",INDEX(tbl_Production[Job Description],$BI193),INDEX(tbl_Consulting[Job Description],$BI193)))&amp;"")</f>
        <v/>
      </c>
      <c r="H193" s="10">
        <f>IF($BI193="","",IF($B193="Onsite",INDEX(tbl_Onsite[Cost Centre],$BI193),IF($B193="Production",INDEX(tbl_Production[Cost Centre],$BI193),INDEX(tbl_Consulting[Cost Centre],$BI193)))&amp;"")</f>
        <v/>
      </c>
      <c r="I193" s="10">
        <f>IF($BI193="","",IF($B193="Onsite",INDEX(tbl_Onsite[Invoice Type],$BI193),IF($B193="Production",INDEX(tbl_Production[Invoice Type],$BI193),INDEX(tbl_Consulting[Invoice Type],$BI193)))&amp;"")</f>
        <v/>
      </c>
      <c r="J193" s="10">
        <f>IF($BI193="","",IF($B193="Onsite",INDEX(tbl_Onsite[Tax Code],$BI193),IF($B193="Production",INDEX(tbl_Production[Tax Code],$BI193),INDEX(tbl_Consulting[Tax Code],$BI193)))&amp;"")</f>
        <v/>
      </c>
      <c r="K193" s="10">
        <f>IF(H193="","",IFERROR(INDEX(lst_CCtoGL,MATCH(H193,lst_CCforGL,0)),""))</f>
        <v/>
      </c>
      <c r="L193" s="10">
        <f>IF($BI193="","",IF($B193="Onsite",INDEX(tbl_Onsite[PO / Reference],$BI193),IF($B193="Production",INDEX(tbl_Production[Current RMS No],$BI193),INDEX(tbl_Consulting[Qwilr Quote],$BI193)))&amp;"")</f>
        <v/>
      </c>
      <c r="M193" s="10">
        <f>IF($BI193="","",IF($B193="Onsite",INDEX(tbl_Onsite[Notes],$BI193),IF($B193="Production",INDEX(tbl_Production[Notes],$BI193),INDEX(tbl_Consulting[Notes],$BI193)))&amp;"")</f>
        <v/>
      </c>
      <c r="N193" s="11">
        <f>IF($BI193="","",IF(IF($B193="Onsite",INDEX(tbl_Onsite[Expected Revenue Ex GST],$BI193),IF($B193="Production",INDEX(tbl_Production[Expected Revenue Ex GST],$BI193),INDEX(tbl_Consulting[Expected Revenue Ex GST],$BI193)))="","",IF($B193="Onsite",INDEX(tbl_Onsite[Expected Revenue Ex GST],$BI193),IF($B193="Production",INDEX(tbl_Production[Expected Revenue Ex GST],$BI193),INDEX(tbl_Consulting[Expected Revenue Ex GST],$BI193)))))</f>
        <v/>
      </c>
      <c r="O193" s="11">
        <f>IF(AND($C193="",NOT(COUNTA($S193:$BB193)&gt;0)),"",SUM(U193,X193,AA193,AD193,AG193,AJ193,AM193,AP193,AS193,AV193,AY193,BB193))</f>
        <v/>
      </c>
      <c r="P193" s="11">
        <f>IF(O193="","",N(N193)-O193)</f>
        <v/>
      </c>
      <c r="Q193" s="10">
        <f>IF(O193="","",IF($C193="","Invoice on empty job row",IF(N193="",IF(ROUND(O193,2)=0,"No dept value","Invoiced - no dept value"),IF(ROUND(O193,2)=0,"Not invoiced - to invoice",IF(ROUND(P193,2)=0,"Agrees",IF(P193&gt;0,"Dept higher - to invoice","Xero higher - check dept"))))))</f>
        <v/>
      </c>
      <c r="R193" s="10">
        <f>IF(AND($C193="",NOT(COUNTA($S193:$BB193)&gt;0),$BI193&lt;&gt;""),"",MID(IF($BI193="","; Row ID not found on the department sheet - a row was deleted","")&amp;IF(AND($C193="",COUNTA($S193:$BB193)&gt;0),"; Invoice entered but the department row has no job number","")&amp;IF(E193="CHECK","; Job number not in the Xero job list","")&amp;IF(AND($C193&lt;&gt;"",COUNTIF($C$7:$C$1506,$C193)&gt;1),"; Job number on more than one row","")&amp;IF(AND($C193&lt;&gt;"",H193=""),"; Dept has not set a cost centre","")&amp;IF(AND($C193&lt;&gt;"",J193=""),"; Dept has not set a tax code","")&amp;IF(AND($C193&lt;&gt;"",N193=""),"; Dept has not entered an expected value","")&amp;IF((IF(OR(COUNTA(S193:U193)=0,AND(COUNTA(S193:U193)=3,ISNUMBER(U193))),0,1)+IF(OR(COUNTA(V193:X193)=0,AND(COUNTA(V193:X193)=3,ISNUMBER(X193))),0,1)+IF(OR(COUNTA(Y193:AA193)=0,AND(COUNTA(Y193:AA193)=3,ISNUMBER(AA193))),0,1)+IF(OR(COUNTA(AB193:AD193)=0,AND(COUNTA(AB193:AD193)=3,ISNUMBER(AD193))),0,1)+IF(OR(COUNTA(AE193:AG193)=0,AND(COUNTA(AE193:AG193)=3,ISNUMBER(AG193))),0,1)+IF(OR(COUNTA(AH193:AJ193)=0,AND(COUNTA(AH193:AJ193)=3,ISNUMBER(AJ193))),0,1)+IF(OR(COUNTA(AK193:AM193)=0,AND(COUNTA(AK193:AM193)=3,ISNUMBER(AM193))),0,1)+IF(OR(COUNTA(AN193:AP193)=0,AND(COUNTA(AN193:AP193)=3,ISNUMBER(AP193))),0,1)+IF(OR(COUNTA(AQ193:AS193)=0,AND(COUNTA(AQ193:AS193)=3,ISNUMBER(AS193))),0,1)+IF(OR(COUNTA(AT193:AV193)=0,AND(COUNTA(AT193:AV193)=3,ISNUMBER(AV193))),0,1)+IF(OR(COUNTA(AW193:AY193)=0,AND(COUNTA(AW193:AY193)=3,ISNUMBER(AY193))),0,1)+IF(OR(COUNTA(AZ193:BB193)=0,AND(COUNTA(AZ193:BB193)=3,ISNUMBER(BB193))),0,1))&gt;0,"; An invoice is incomplete (needs No, Date and a number in Ex GST)","")&amp;IF((IF(T193="",0,IFERROR(--(EOMONTH(T193,0)&lt;&gt;S$5),1))+IF(W193="",0,IFERROR(--(EOMONTH(W193,0)&lt;&gt;V$5),1))+IF(Z193="",0,IFERROR(--(EOMONTH(Z193,0)&lt;&gt;Y$5),1))+IF(AC193="",0,IFERROR(--(EOMONTH(AC193,0)&lt;&gt;AB$5),1))+IF(AF193="",0,IFERROR(--(EOMONTH(AF193,0)&lt;&gt;AE$5),1))+IF(AI193="",0,IFERROR(--(EOMONTH(AI193,0)&lt;&gt;AH$5),1))+IF(AL193="",0,IFERROR(--(EOMONTH(AL193,0)&lt;&gt;AK$5),1))+IF(AO193="",0,IFERROR(--(EOMONTH(AO193,0)&lt;&gt;AN$5),1))+IF(AR193="",0,IFERROR(--(EOMONTH(AR193,0)&lt;&gt;AQ$5),1))+IF(AU193="",0,IFERROR(--(EOMONTH(AU193,0)&lt;&gt;AT$5),1))+IF(AX193="",0,IFERROR(--(EOMONTH(AX193,0)&lt;&gt;AW$5),1))+IF(BA193="",0,IFERROR(--(EOMONTH(BA193,0)&lt;&gt;AZ$5),1)))&gt;0,"; An invoice date is not in the month it is typed under",""),3,500))</f>
        <v/>
      </c>
      <c r="S193" s="12" t="n"/>
      <c r="T193" s="13" t="n"/>
      <c r="U193" s="14" t="n"/>
      <c r="V193" s="12" t="n"/>
      <c r="W193" s="13" t="n"/>
      <c r="X193" s="14" t="n"/>
      <c r="Y193" s="12" t="n"/>
      <c r="Z193" s="13" t="n"/>
      <c r="AA193" s="14" t="n"/>
      <c r="AB193" s="12" t="n"/>
      <c r="AC193" s="13" t="n"/>
      <c r="AD193" s="14" t="n"/>
      <c r="AE193" s="12" t="n"/>
      <c r="AF193" s="13" t="n"/>
      <c r="AG193" s="14" t="n"/>
      <c r="AH193" s="12" t="n"/>
      <c r="AI193" s="13" t="n"/>
      <c r="AJ193" s="14" t="n"/>
      <c r="AK193" s="12" t="n"/>
      <c r="AL193" s="13" t="n"/>
      <c r="AM193" s="14" t="n"/>
      <c r="AN193" s="12" t="n"/>
      <c r="AO193" s="13" t="n"/>
      <c r="AP193" s="14" t="n"/>
      <c r="AQ193" s="12" t="n"/>
      <c r="AR193" s="13" t="n"/>
      <c r="AS193" s="14" t="n"/>
      <c r="AT193" s="12" t="n"/>
      <c r="AU193" s="13" t="n"/>
      <c r="AV193" s="14" t="n"/>
      <c r="AW193" s="12" t="n"/>
      <c r="AX193" s="13" t="n"/>
      <c r="AY193" s="14" t="n"/>
      <c r="AZ193" s="12" t="n"/>
      <c r="BA193" s="13" t="n"/>
      <c r="BB193" s="14" t="n"/>
      <c r="BC193" s="11">
        <f>IF(O193="","",IF(J193="GST 10%",ROUND(O193*set_GSTRate,2),0))</f>
        <v/>
      </c>
      <c r="BD193" s="11">
        <f>IF(O193="","",O193+BC193)</f>
        <v/>
      </c>
      <c r="BE193" s="15">
        <f>IF(O193="","",COUNTA(S193,V193,Y193,AB193,AE193,AH193,AK193,AN193,AQ193,AT193,AW193,AZ193))</f>
        <v/>
      </c>
      <c r="BF193" s="16">
        <f>IF(COUNT(T193,W193,Z193,AC193,AF193,AI193,AL193,AO193,AR193,AU193,AX193,BA193)=0,"",MAX(T193,W193,Z193,AC193,AF193,AI193,AL193,AO193,AR193,AU193,AX193,BA193))</f>
        <v/>
      </c>
      <c r="BG193" s="10">
        <f>MID(IF(S193="","",", "&amp;S193)&amp;IF(V193="","",", "&amp;V193)&amp;IF(Y193="","",", "&amp;Y193)&amp;IF(AB193="","",", "&amp;AB193)&amp;IF(AE193="","",", "&amp;AE193)&amp;IF(AH193="","",", "&amp;AH193)&amp;IF(AK193="","",", "&amp;AK193)&amp;IF(AN193="","",", "&amp;AN193)&amp;IF(AQ193="","",", "&amp;AQ193)&amp;IF(AT193="","",", "&amp;AT193)&amp;IF(AW193="","",", "&amp;AW193)&amp;IF(AZ193="","",", "&amp;AZ193),3,500)</f>
        <v/>
      </c>
      <c r="BH193" s="12" t="n"/>
      <c r="BI193" s="15">
        <f>IFERROR(MATCH($A193,IF($B193="Onsite",tbl_Onsite[Row ID],IF($B193="Production",tbl_Production[Row ID],tbl_Consulting[Row ID])),0),"")</f>
        <v/>
      </c>
    </row>
    <row r="194">
      <c r="A194" s="10" t="inlineStr">
        <is>
          <t>ONS-0188</t>
        </is>
      </c>
      <c r="B194" s="10" t="inlineStr">
        <is>
          <t>Onsite</t>
        </is>
      </c>
      <c r="C194" s="10">
        <f>IF($BI194="","",IF($B194="Onsite",INDEX(tbl_Onsite[Job Number],$BI194),IF($B194="Production",INDEX(tbl_Production[Job Number],$BI194),INDEX(tbl_Consulting[Job Number],$BI194)))&amp;"")</f>
        <v/>
      </c>
      <c r="D194" s="10">
        <f>IF($BI194="","",IF($B194="Onsite",INDEX(tbl_Onsite[Client],$BI194),IF($B194="Production",INDEX(tbl_Production[Client],$BI194),INDEX(tbl_Consulting[Client],$BI194)))&amp;"")</f>
        <v/>
      </c>
      <c r="E194" s="10">
        <f>IF($C194="","",IF(COUNTIF(lst_Jobs,$C194)&gt;0,"OK","CHECK"))</f>
        <v/>
      </c>
      <c r="F194" s="10">
        <f>IF($C194="","",IFERROR(INDEX(lst_JobName,MATCH($C194,lst_Jobs,0)),""))</f>
        <v/>
      </c>
      <c r="G194" s="10">
        <f>IF($BI194="","",IF($B194="Onsite",INDEX(tbl_Onsite[Job Description],$BI194),IF($B194="Production",INDEX(tbl_Production[Job Description],$BI194),INDEX(tbl_Consulting[Job Description],$BI194)))&amp;"")</f>
        <v/>
      </c>
      <c r="H194" s="10">
        <f>IF($BI194="","",IF($B194="Onsite",INDEX(tbl_Onsite[Cost Centre],$BI194),IF($B194="Production",INDEX(tbl_Production[Cost Centre],$BI194),INDEX(tbl_Consulting[Cost Centre],$BI194)))&amp;"")</f>
        <v/>
      </c>
      <c r="I194" s="10">
        <f>IF($BI194="","",IF($B194="Onsite",INDEX(tbl_Onsite[Invoice Type],$BI194),IF($B194="Production",INDEX(tbl_Production[Invoice Type],$BI194),INDEX(tbl_Consulting[Invoice Type],$BI194)))&amp;"")</f>
        <v/>
      </c>
      <c r="J194" s="10">
        <f>IF($BI194="","",IF($B194="Onsite",INDEX(tbl_Onsite[Tax Code],$BI194),IF($B194="Production",INDEX(tbl_Production[Tax Code],$BI194),INDEX(tbl_Consulting[Tax Code],$BI194)))&amp;"")</f>
        <v/>
      </c>
      <c r="K194" s="10">
        <f>IF(H194="","",IFERROR(INDEX(lst_CCtoGL,MATCH(H194,lst_CCforGL,0)),""))</f>
        <v/>
      </c>
      <c r="L194" s="10">
        <f>IF($BI194="","",IF($B194="Onsite",INDEX(tbl_Onsite[PO / Reference],$BI194),IF($B194="Production",INDEX(tbl_Production[Current RMS No],$BI194),INDEX(tbl_Consulting[Qwilr Quote],$BI194)))&amp;"")</f>
        <v/>
      </c>
      <c r="M194" s="10">
        <f>IF($BI194="","",IF($B194="Onsite",INDEX(tbl_Onsite[Notes],$BI194),IF($B194="Production",INDEX(tbl_Production[Notes],$BI194),INDEX(tbl_Consulting[Notes],$BI194)))&amp;"")</f>
        <v/>
      </c>
      <c r="N194" s="11">
        <f>IF($BI194="","",IF(IF($B194="Onsite",INDEX(tbl_Onsite[Expected Revenue Ex GST],$BI194),IF($B194="Production",INDEX(tbl_Production[Expected Revenue Ex GST],$BI194),INDEX(tbl_Consulting[Expected Revenue Ex GST],$BI194)))="","",IF($B194="Onsite",INDEX(tbl_Onsite[Expected Revenue Ex GST],$BI194),IF($B194="Production",INDEX(tbl_Production[Expected Revenue Ex GST],$BI194),INDEX(tbl_Consulting[Expected Revenue Ex GST],$BI194)))))</f>
        <v/>
      </c>
      <c r="O194" s="11">
        <f>IF(AND($C194="",NOT(COUNTA($S194:$BB194)&gt;0)),"",SUM(U194,X194,AA194,AD194,AG194,AJ194,AM194,AP194,AS194,AV194,AY194,BB194))</f>
        <v/>
      </c>
      <c r="P194" s="11">
        <f>IF(O194="","",N(N194)-O194)</f>
        <v/>
      </c>
      <c r="Q194" s="10">
        <f>IF(O194="","",IF($C194="","Invoice on empty job row",IF(N194="",IF(ROUND(O194,2)=0,"No dept value","Invoiced - no dept value"),IF(ROUND(O194,2)=0,"Not invoiced - to invoice",IF(ROUND(P194,2)=0,"Agrees",IF(P194&gt;0,"Dept higher - to invoice","Xero higher - check dept"))))))</f>
        <v/>
      </c>
      <c r="R194" s="10">
        <f>IF(AND($C194="",NOT(COUNTA($S194:$BB194)&gt;0),$BI194&lt;&gt;""),"",MID(IF($BI194="","; Row ID not found on the department sheet - a row was deleted","")&amp;IF(AND($C194="",COUNTA($S194:$BB194)&gt;0),"; Invoice entered but the department row has no job number","")&amp;IF(E194="CHECK","; Job number not in the Xero job list","")&amp;IF(AND($C194&lt;&gt;"",COUNTIF($C$7:$C$1506,$C194)&gt;1),"; Job number on more than one row","")&amp;IF(AND($C194&lt;&gt;"",H194=""),"; Dept has not set a cost centre","")&amp;IF(AND($C194&lt;&gt;"",J194=""),"; Dept has not set a tax code","")&amp;IF(AND($C194&lt;&gt;"",N194=""),"; Dept has not entered an expected value","")&amp;IF((IF(OR(COUNTA(S194:U194)=0,AND(COUNTA(S194:U194)=3,ISNUMBER(U194))),0,1)+IF(OR(COUNTA(V194:X194)=0,AND(COUNTA(V194:X194)=3,ISNUMBER(X194))),0,1)+IF(OR(COUNTA(Y194:AA194)=0,AND(COUNTA(Y194:AA194)=3,ISNUMBER(AA194))),0,1)+IF(OR(COUNTA(AB194:AD194)=0,AND(COUNTA(AB194:AD194)=3,ISNUMBER(AD194))),0,1)+IF(OR(COUNTA(AE194:AG194)=0,AND(COUNTA(AE194:AG194)=3,ISNUMBER(AG194))),0,1)+IF(OR(COUNTA(AH194:AJ194)=0,AND(COUNTA(AH194:AJ194)=3,ISNUMBER(AJ194))),0,1)+IF(OR(COUNTA(AK194:AM194)=0,AND(COUNTA(AK194:AM194)=3,ISNUMBER(AM194))),0,1)+IF(OR(COUNTA(AN194:AP194)=0,AND(COUNTA(AN194:AP194)=3,ISNUMBER(AP194))),0,1)+IF(OR(COUNTA(AQ194:AS194)=0,AND(COUNTA(AQ194:AS194)=3,ISNUMBER(AS194))),0,1)+IF(OR(COUNTA(AT194:AV194)=0,AND(COUNTA(AT194:AV194)=3,ISNUMBER(AV194))),0,1)+IF(OR(COUNTA(AW194:AY194)=0,AND(COUNTA(AW194:AY194)=3,ISNUMBER(AY194))),0,1)+IF(OR(COUNTA(AZ194:BB194)=0,AND(COUNTA(AZ194:BB194)=3,ISNUMBER(BB194))),0,1))&gt;0,"; An invoice is incomplete (needs No, Date and a number in Ex GST)","")&amp;IF((IF(T194="",0,IFERROR(--(EOMONTH(T194,0)&lt;&gt;S$5),1))+IF(W194="",0,IFERROR(--(EOMONTH(W194,0)&lt;&gt;V$5),1))+IF(Z194="",0,IFERROR(--(EOMONTH(Z194,0)&lt;&gt;Y$5),1))+IF(AC194="",0,IFERROR(--(EOMONTH(AC194,0)&lt;&gt;AB$5),1))+IF(AF194="",0,IFERROR(--(EOMONTH(AF194,0)&lt;&gt;AE$5),1))+IF(AI194="",0,IFERROR(--(EOMONTH(AI194,0)&lt;&gt;AH$5),1))+IF(AL194="",0,IFERROR(--(EOMONTH(AL194,0)&lt;&gt;AK$5),1))+IF(AO194="",0,IFERROR(--(EOMONTH(AO194,0)&lt;&gt;AN$5),1))+IF(AR194="",0,IFERROR(--(EOMONTH(AR194,0)&lt;&gt;AQ$5),1))+IF(AU194="",0,IFERROR(--(EOMONTH(AU194,0)&lt;&gt;AT$5),1))+IF(AX194="",0,IFERROR(--(EOMONTH(AX194,0)&lt;&gt;AW$5),1))+IF(BA194="",0,IFERROR(--(EOMONTH(BA194,0)&lt;&gt;AZ$5),1)))&gt;0,"; An invoice date is not in the month it is typed under",""),3,500))</f>
        <v/>
      </c>
      <c r="S194" s="12" t="n"/>
      <c r="T194" s="13" t="n"/>
      <c r="U194" s="14" t="n"/>
      <c r="V194" s="12" t="n"/>
      <c r="W194" s="13" t="n"/>
      <c r="X194" s="14" t="n"/>
      <c r="Y194" s="12" t="n"/>
      <c r="Z194" s="13" t="n"/>
      <c r="AA194" s="14" t="n"/>
      <c r="AB194" s="12" t="n"/>
      <c r="AC194" s="13" t="n"/>
      <c r="AD194" s="14" t="n"/>
      <c r="AE194" s="12" t="n"/>
      <c r="AF194" s="13" t="n"/>
      <c r="AG194" s="14" t="n"/>
      <c r="AH194" s="12" t="n"/>
      <c r="AI194" s="13" t="n"/>
      <c r="AJ194" s="14" t="n"/>
      <c r="AK194" s="12" t="n"/>
      <c r="AL194" s="13" t="n"/>
      <c r="AM194" s="14" t="n"/>
      <c r="AN194" s="12" t="n"/>
      <c r="AO194" s="13" t="n"/>
      <c r="AP194" s="14" t="n"/>
      <c r="AQ194" s="12" t="n"/>
      <c r="AR194" s="13" t="n"/>
      <c r="AS194" s="14" t="n"/>
      <c r="AT194" s="12" t="n"/>
      <c r="AU194" s="13" t="n"/>
      <c r="AV194" s="14" t="n"/>
      <c r="AW194" s="12" t="n"/>
      <c r="AX194" s="13" t="n"/>
      <c r="AY194" s="14" t="n"/>
      <c r="AZ194" s="12" t="n"/>
      <c r="BA194" s="13" t="n"/>
      <c r="BB194" s="14" t="n"/>
      <c r="BC194" s="11">
        <f>IF(O194="","",IF(J194="GST 10%",ROUND(O194*set_GSTRate,2),0))</f>
        <v/>
      </c>
      <c r="BD194" s="11">
        <f>IF(O194="","",O194+BC194)</f>
        <v/>
      </c>
      <c r="BE194" s="15">
        <f>IF(O194="","",COUNTA(S194,V194,Y194,AB194,AE194,AH194,AK194,AN194,AQ194,AT194,AW194,AZ194))</f>
        <v/>
      </c>
      <c r="BF194" s="16">
        <f>IF(COUNT(T194,W194,Z194,AC194,AF194,AI194,AL194,AO194,AR194,AU194,AX194,BA194)=0,"",MAX(T194,W194,Z194,AC194,AF194,AI194,AL194,AO194,AR194,AU194,AX194,BA194))</f>
        <v/>
      </c>
      <c r="BG194" s="10">
        <f>MID(IF(S194="","",", "&amp;S194)&amp;IF(V194="","",", "&amp;V194)&amp;IF(Y194="","",", "&amp;Y194)&amp;IF(AB194="","",", "&amp;AB194)&amp;IF(AE194="","",", "&amp;AE194)&amp;IF(AH194="","",", "&amp;AH194)&amp;IF(AK194="","",", "&amp;AK194)&amp;IF(AN194="","",", "&amp;AN194)&amp;IF(AQ194="","",", "&amp;AQ194)&amp;IF(AT194="","",", "&amp;AT194)&amp;IF(AW194="","",", "&amp;AW194)&amp;IF(AZ194="","",", "&amp;AZ194),3,500)</f>
        <v/>
      </c>
      <c r="BH194" s="12" t="n"/>
      <c r="BI194" s="15">
        <f>IFERROR(MATCH($A194,IF($B194="Onsite",tbl_Onsite[Row ID],IF($B194="Production",tbl_Production[Row ID],tbl_Consulting[Row ID])),0),"")</f>
        <v/>
      </c>
    </row>
    <row r="195">
      <c r="A195" s="10" t="inlineStr">
        <is>
          <t>ONS-0189</t>
        </is>
      </c>
      <c r="B195" s="10" t="inlineStr">
        <is>
          <t>Onsite</t>
        </is>
      </c>
      <c r="C195" s="10">
        <f>IF($BI195="","",IF($B195="Onsite",INDEX(tbl_Onsite[Job Number],$BI195),IF($B195="Production",INDEX(tbl_Production[Job Number],$BI195),INDEX(tbl_Consulting[Job Number],$BI195)))&amp;"")</f>
        <v/>
      </c>
      <c r="D195" s="10">
        <f>IF($BI195="","",IF($B195="Onsite",INDEX(tbl_Onsite[Client],$BI195),IF($B195="Production",INDEX(tbl_Production[Client],$BI195),INDEX(tbl_Consulting[Client],$BI195)))&amp;"")</f>
        <v/>
      </c>
      <c r="E195" s="10">
        <f>IF($C195="","",IF(COUNTIF(lst_Jobs,$C195)&gt;0,"OK","CHECK"))</f>
        <v/>
      </c>
      <c r="F195" s="10">
        <f>IF($C195="","",IFERROR(INDEX(lst_JobName,MATCH($C195,lst_Jobs,0)),""))</f>
        <v/>
      </c>
      <c r="G195" s="10">
        <f>IF($BI195="","",IF($B195="Onsite",INDEX(tbl_Onsite[Job Description],$BI195),IF($B195="Production",INDEX(tbl_Production[Job Description],$BI195),INDEX(tbl_Consulting[Job Description],$BI195)))&amp;"")</f>
        <v/>
      </c>
      <c r="H195" s="10">
        <f>IF($BI195="","",IF($B195="Onsite",INDEX(tbl_Onsite[Cost Centre],$BI195),IF($B195="Production",INDEX(tbl_Production[Cost Centre],$BI195),INDEX(tbl_Consulting[Cost Centre],$BI195)))&amp;"")</f>
        <v/>
      </c>
      <c r="I195" s="10">
        <f>IF($BI195="","",IF($B195="Onsite",INDEX(tbl_Onsite[Invoice Type],$BI195),IF($B195="Production",INDEX(tbl_Production[Invoice Type],$BI195),INDEX(tbl_Consulting[Invoice Type],$BI195)))&amp;"")</f>
        <v/>
      </c>
      <c r="J195" s="10">
        <f>IF($BI195="","",IF($B195="Onsite",INDEX(tbl_Onsite[Tax Code],$BI195),IF($B195="Production",INDEX(tbl_Production[Tax Code],$BI195),INDEX(tbl_Consulting[Tax Code],$BI195)))&amp;"")</f>
        <v/>
      </c>
      <c r="K195" s="10">
        <f>IF(H195="","",IFERROR(INDEX(lst_CCtoGL,MATCH(H195,lst_CCforGL,0)),""))</f>
        <v/>
      </c>
      <c r="L195" s="10">
        <f>IF($BI195="","",IF($B195="Onsite",INDEX(tbl_Onsite[PO / Reference],$BI195),IF($B195="Production",INDEX(tbl_Production[Current RMS No],$BI195),INDEX(tbl_Consulting[Qwilr Quote],$BI195)))&amp;"")</f>
        <v/>
      </c>
      <c r="M195" s="10">
        <f>IF($BI195="","",IF($B195="Onsite",INDEX(tbl_Onsite[Notes],$BI195),IF($B195="Production",INDEX(tbl_Production[Notes],$BI195),INDEX(tbl_Consulting[Notes],$BI195)))&amp;"")</f>
        <v/>
      </c>
      <c r="N195" s="11">
        <f>IF($BI195="","",IF(IF($B195="Onsite",INDEX(tbl_Onsite[Expected Revenue Ex GST],$BI195),IF($B195="Production",INDEX(tbl_Production[Expected Revenue Ex GST],$BI195),INDEX(tbl_Consulting[Expected Revenue Ex GST],$BI195)))="","",IF($B195="Onsite",INDEX(tbl_Onsite[Expected Revenue Ex GST],$BI195),IF($B195="Production",INDEX(tbl_Production[Expected Revenue Ex GST],$BI195),INDEX(tbl_Consulting[Expected Revenue Ex GST],$BI195)))))</f>
        <v/>
      </c>
      <c r="O195" s="11">
        <f>IF(AND($C195="",NOT(COUNTA($S195:$BB195)&gt;0)),"",SUM(U195,X195,AA195,AD195,AG195,AJ195,AM195,AP195,AS195,AV195,AY195,BB195))</f>
        <v/>
      </c>
      <c r="P195" s="11">
        <f>IF(O195="","",N(N195)-O195)</f>
        <v/>
      </c>
      <c r="Q195" s="10">
        <f>IF(O195="","",IF($C195="","Invoice on empty job row",IF(N195="",IF(ROUND(O195,2)=0,"No dept value","Invoiced - no dept value"),IF(ROUND(O195,2)=0,"Not invoiced - to invoice",IF(ROUND(P195,2)=0,"Agrees",IF(P195&gt;0,"Dept higher - to invoice","Xero higher - check dept"))))))</f>
        <v/>
      </c>
      <c r="R195" s="10">
        <f>IF(AND($C195="",NOT(COUNTA($S195:$BB195)&gt;0),$BI195&lt;&gt;""),"",MID(IF($BI195="","; Row ID not found on the department sheet - a row was deleted","")&amp;IF(AND($C195="",COUNTA($S195:$BB195)&gt;0),"; Invoice entered but the department row has no job number","")&amp;IF(E195="CHECK","; Job number not in the Xero job list","")&amp;IF(AND($C195&lt;&gt;"",COUNTIF($C$7:$C$1506,$C195)&gt;1),"; Job number on more than one row","")&amp;IF(AND($C195&lt;&gt;"",H195=""),"; Dept has not set a cost centre","")&amp;IF(AND($C195&lt;&gt;"",J195=""),"; Dept has not set a tax code","")&amp;IF(AND($C195&lt;&gt;"",N195=""),"; Dept has not entered an expected value","")&amp;IF((IF(OR(COUNTA(S195:U195)=0,AND(COUNTA(S195:U195)=3,ISNUMBER(U195))),0,1)+IF(OR(COUNTA(V195:X195)=0,AND(COUNTA(V195:X195)=3,ISNUMBER(X195))),0,1)+IF(OR(COUNTA(Y195:AA195)=0,AND(COUNTA(Y195:AA195)=3,ISNUMBER(AA195))),0,1)+IF(OR(COUNTA(AB195:AD195)=0,AND(COUNTA(AB195:AD195)=3,ISNUMBER(AD195))),0,1)+IF(OR(COUNTA(AE195:AG195)=0,AND(COUNTA(AE195:AG195)=3,ISNUMBER(AG195))),0,1)+IF(OR(COUNTA(AH195:AJ195)=0,AND(COUNTA(AH195:AJ195)=3,ISNUMBER(AJ195))),0,1)+IF(OR(COUNTA(AK195:AM195)=0,AND(COUNTA(AK195:AM195)=3,ISNUMBER(AM195))),0,1)+IF(OR(COUNTA(AN195:AP195)=0,AND(COUNTA(AN195:AP195)=3,ISNUMBER(AP195))),0,1)+IF(OR(COUNTA(AQ195:AS195)=0,AND(COUNTA(AQ195:AS195)=3,ISNUMBER(AS195))),0,1)+IF(OR(COUNTA(AT195:AV195)=0,AND(COUNTA(AT195:AV195)=3,ISNUMBER(AV195))),0,1)+IF(OR(COUNTA(AW195:AY195)=0,AND(COUNTA(AW195:AY195)=3,ISNUMBER(AY195))),0,1)+IF(OR(COUNTA(AZ195:BB195)=0,AND(COUNTA(AZ195:BB195)=3,ISNUMBER(BB195))),0,1))&gt;0,"; An invoice is incomplete (needs No, Date and a number in Ex GST)","")&amp;IF((IF(T195="",0,IFERROR(--(EOMONTH(T195,0)&lt;&gt;S$5),1))+IF(W195="",0,IFERROR(--(EOMONTH(W195,0)&lt;&gt;V$5),1))+IF(Z195="",0,IFERROR(--(EOMONTH(Z195,0)&lt;&gt;Y$5),1))+IF(AC195="",0,IFERROR(--(EOMONTH(AC195,0)&lt;&gt;AB$5),1))+IF(AF195="",0,IFERROR(--(EOMONTH(AF195,0)&lt;&gt;AE$5),1))+IF(AI195="",0,IFERROR(--(EOMONTH(AI195,0)&lt;&gt;AH$5),1))+IF(AL195="",0,IFERROR(--(EOMONTH(AL195,0)&lt;&gt;AK$5),1))+IF(AO195="",0,IFERROR(--(EOMONTH(AO195,0)&lt;&gt;AN$5),1))+IF(AR195="",0,IFERROR(--(EOMONTH(AR195,0)&lt;&gt;AQ$5),1))+IF(AU195="",0,IFERROR(--(EOMONTH(AU195,0)&lt;&gt;AT$5),1))+IF(AX195="",0,IFERROR(--(EOMONTH(AX195,0)&lt;&gt;AW$5),1))+IF(BA195="",0,IFERROR(--(EOMONTH(BA195,0)&lt;&gt;AZ$5),1)))&gt;0,"; An invoice date is not in the month it is typed under",""),3,500))</f>
        <v/>
      </c>
      <c r="S195" s="12" t="n"/>
      <c r="T195" s="13" t="n"/>
      <c r="U195" s="14" t="n"/>
      <c r="V195" s="12" t="n"/>
      <c r="W195" s="13" t="n"/>
      <c r="X195" s="14" t="n"/>
      <c r="Y195" s="12" t="n"/>
      <c r="Z195" s="13" t="n"/>
      <c r="AA195" s="14" t="n"/>
      <c r="AB195" s="12" t="n"/>
      <c r="AC195" s="13" t="n"/>
      <c r="AD195" s="14" t="n"/>
      <c r="AE195" s="12" t="n"/>
      <c r="AF195" s="13" t="n"/>
      <c r="AG195" s="14" t="n"/>
      <c r="AH195" s="12" t="n"/>
      <c r="AI195" s="13" t="n"/>
      <c r="AJ195" s="14" t="n"/>
      <c r="AK195" s="12" t="n"/>
      <c r="AL195" s="13" t="n"/>
      <c r="AM195" s="14" t="n"/>
      <c r="AN195" s="12" t="n"/>
      <c r="AO195" s="13" t="n"/>
      <c r="AP195" s="14" t="n"/>
      <c r="AQ195" s="12" t="n"/>
      <c r="AR195" s="13" t="n"/>
      <c r="AS195" s="14" t="n"/>
      <c r="AT195" s="12" t="n"/>
      <c r="AU195" s="13" t="n"/>
      <c r="AV195" s="14" t="n"/>
      <c r="AW195" s="12" t="n"/>
      <c r="AX195" s="13" t="n"/>
      <c r="AY195" s="14" t="n"/>
      <c r="AZ195" s="12" t="n"/>
      <c r="BA195" s="13" t="n"/>
      <c r="BB195" s="14" t="n"/>
      <c r="BC195" s="11">
        <f>IF(O195="","",IF(J195="GST 10%",ROUND(O195*set_GSTRate,2),0))</f>
        <v/>
      </c>
      <c r="BD195" s="11">
        <f>IF(O195="","",O195+BC195)</f>
        <v/>
      </c>
      <c r="BE195" s="15">
        <f>IF(O195="","",COUNTA(S195,V195,Y195,AB195,AE195,AH195,AK195,AN195,AQ195,AT195,AW195,AZ195))</f>
        <v/>
      </c>
      <c r="BF195" s="16">
        <f>IF(COUNT(T195,W195,Z195,AC195,AF195,AI195,AL195,AO195,AR195,AU195,AX195,BA195)=0,"",MAX(T195,W195,Z195,AC195,AF195,AI195,AL195,AO195,AR195,AU195,AX195,BA195))</f>
        <v/>
      </c>
      <c r="BG195" s="10">
        <f>MID(IF(S195="","",", "&amp;S195)&amp;IF(V195="","",", "&amp;V195)&amp;IF(Y195="","",", "&amp;Y195)&amp;IF(AB195="","",", "&amp;AB195)&amp;IF(AE195="","",", "&amp;AE195)&amp;IF(AH195="","",", "&amp;AH195)&amp;IF(AK195="","",", "&amp;AK195)&amp;IF(AN195="","",", "&amp;AN195)&amp;IF(AQ195="","",", "&amp;AQ195)&amp;IF(AT195="","",", "&amp;AT195)&amp;IF(AW195="","",", "&amp;AW195)&amp;IF(AZ195="","",", "&amp;AZ195),3,500)</f>
        <v/>
      </c>
      <c r="BH195" s="12" t="n"/>
      <c r="BI195" s="15">
        <f>IFERROR(MATCH($A195,IF($B195="Onsite",tbl_Onsite[Row ID],IF($B195="Production",tbl_Production[Row ID],tbl_Consulting[Row ID])),0),"")</f>
        <v/>
      </c>
    </row>
    <row r="196">
      <c r="A196" s="10" t="inlineStr">
        <is>
          <t>ONS-0190</t>
        </is>
      </c>
      <c r="B196" s="10" t="inlineStr">
        <is>
          <t>Onsite</t>
        </is>
      </c>
      <c r="C196" s="10">
        <f>IF($BI196="","",IF($B196="Onsite",INDEX(tbl_Onsite[Job Number],$BI196),IF($B196="Production",INDEX(tbl_Production[Job Number],$BI196),INDEX(tbl_Consulting[Job Number],$BI196)))&amp;"")</f>
        <v/>
      </c>
      <c r="D196" s="10">
        <f>IF($BI196="","",IF($B196="Onsite",INDEX(tbl_Onsite[Client],$BI196),IF($B196="Production",INDEX(tbl_Production[Client],$BI196),INDEX(tbl_Consulting[Client],$BI196)))&amp;"")</f>
        <v/>
      </c>
      <c r="E196" s="10">
        <f>IF($C196="","",IF(COUNTIF(lst_Jobs,$C196)&gt;0,"OK","CHECK"))</f>
        <v/>
      </c>
      <c r="F196" s="10">
        <f>IF($C196="","",IFERROR(INDEX(lst_JobName,MATCH($C196,lst_Jobs,0)),""))</f>
        <v/>
      </c>
      <c r="G196" s="10">
        <f>IF($BI196="","",IF($B196="Onsite",INDEX(tbl_Onsite[Job Description],$BI196),IF($B196="Production",INDEX(tbl_Production[Job Description],$BI196),INDEX(tbl_Consulting[Job Description],$BI196)))&amp;"")</f>
        <v/>
      </c>
      <c r="H196" s="10">
        <f>IF($BI196="","",IF($B196="Onsite",INDEX(tbl_Onsite[Cost Centre],$BI196),IF($B196="Production",INDEX(tbl_Production[Cost Centre],$BI196),INDEX(tbl_Consulting[Cost Centre],$BI196)))&amp;"")</f>
        <v/>
      </c>
      <c r="I196" s="10">
        <f>IF($BI196="","",IF($B196="Onsite",INDEX(tbl_Onsite[Invoice Type],$BI196),IF($B196="Production",INDEX(tbl_Production[Invoice Type],$BI196),INDEX(tbl_Consulting[Invoice Type],$BI196)))&amp;"")</f>
        <v/>
      </c>
      <c r="J196" s="10">
        <f>IF($BI196="","",IF($B196="Onsite",INDEX(tbl_Onsite[Tax Code],$BI196),IF($B196="Production",INDEX(tbl_Production[Tax Code],$BI196),INDEX(tbl_Consulting[Tax Code],$BI196)))&amp;"")</f>
        <v/>
      </c>
      <c r="K196" s="10">
        <f>IF(H196="","",IFERROR(INDEX(lst_CCtoGL,MATCH(H196,lst_CCforGL,0)),""))</f>
        <v/>
      </c>
      <c r="L196" s="10">
        <f>IF($BI196="","",IF($B196="Onsite",INDEX(tbl_Onsite[PO / Reference],$BI196),IF($B196="Production",INDEX(tbl_Production[Current RMS No],$BI196),INDEX(tbl_Consulting[Qwilr Quote],$BI196)))&amp;"")</f>
        <v/>
      </c>
      <c r="M196" s="10">
        <f>IF($BI196="","",IF($B196="Onsite",INDEX(tbl_Onsite[Notes],$BI196),IF($B196="Production",INDEX(tbl_Production[Notes],$BI196),INDEX(tbl_Consulting[Notes],$BI196)))&amp;"")</f>
        <v/>
      </c>
      <c r="N196" s="11">
        <f>IF($BI196="","",IF(IF($B196="Onsite",INDEX(tbl_Onsite[Expected Revenue Ex GST],$BI196),IF($B196="Production",INDEX(tbl_Production[Expected Revenue Ex GST],$BI196),INDEX(tbl_Consulting[Expected Revenue Ex GST],$BI196)))="","",IF($B196="Onsite",INDEX(tbl_Onsite[Expected Revenue Ex GST],$BI196),IF($B196="Production",INDEX(tbl_Production[Expected Revenue Ex GST],$BI196),INDEX(tbl_Consulting[Expected Revenue Ex GST],$BI196)))))</f>
        <v/>
      </c>
      <c r="O196" s="11">
        <f>IF(AND($C196="",NOT(COUNTA($S196:$BB196)&gt;0)),"",SUM(U196,X196,AA196,AD196,AG196,AJ196,AM196,AP196,AS196,AV196,AY196,BB196))</f>
        <v/>
      </c>
      <c r="P196" s="11">
        <f>IF(O196="","",N(N196)-O196)</f>
        <v/>
      </c>
      <c r="Q196" s="10">
        <f>IF(O196="","",IF($C196="","Invoice on empty job row",IF(N196="",IF(ROUND(O196,2)=0,"No dept value","Invoiced - no dept value"),IF(ROUND(O196,2)=0,"Not invoiced - to invoice",IF(ROUND(P196,2)=0,"Agrees",IF(P196&gt;0,"Dept higher - to invoice","Xero higher - check dept"))))))</f>
        <v/>
      </c>
      <c r="R196" s="10">
        <f>IF(AND($C196="",NOT(COUNTA($S196:$BB196)&gt;0),$BI196&lt;&gt;""),"",MID(IF($BI196="","; Row ID not found on the department sheet - a row was deleted","")&amp;IF(AND($C196="",COUNTA($S196:$BB196)&gt;0),"; Invoice entered but the department row has no job number","")&amp;IF(E196="CHECK","; Job number not in the Xero job list","")&amp;IF(AND($C196&lt;&gt;"",COUNTIF($C$7:$C$1506,$C196)&gt;1),"; Job number on more than one row","")&amp;IF(AND($C196&lt;&gt;"",H196=""),"; Dept has not set a cost centre","")&amp;IF(AND($C196&lt;&gt;"",J196=""),"; Dept has not set a tax code","")&amp;IF(AND($C196&lt;&gt;"",N196=""),"; Dept has not entered an expected value","")&amp;IF((IF(OR(COUNTA(S196:U196)=0,AND(COUNTA(S196:U196)=3,ISNUMBER(U196))),0,1)+IF(OR(COUNTA(V196:X196)=0,AND(COUNTA(V196:X196)=3,ISNUMBER(X196))),0,1)+IF(OR(COUNTA(Y196:AA196)=0,AND(COUNTA(Y196:AA196)=3,ISNUMBER(AA196))),0,1)+IF(OR(COUNTA(AB196:AD196)=0,AND(COUNTA(AB196:AD196)=3,ISNUMBER(AD196))),0,1)+IF(OR(COUNTA(AE196:AG196)=0,AND(COUNTA(AE196:AG196)=3,ISNUMBER(AG196))),0,1)+IF(OR(COUNTA(AH196:AJ196)=0,AND(COUNTA(AH196:AJ196)=3,ISNUMBER(AJ196))),0,1)+IF(OR(COUNTA(AK196:AM196)=0,AND(COUNTA(AK196:AM196)=3,ISNUMBER(AM196))),0,1)+IF(OR(COUNTA(AN196:AP196)=0,AND(COUNTA(AN196:AP196)=3,ISNUMBER(AP196))),0,1)+IF(OR(COUNTA(AQ196:AS196)=0,AND(COUNTA(AQ196:AS196)=3,ISNUMBER(AS196))),0,1)+IF(OR(COUNTA(AT196:AV196)=0,AND(COUNTA(AT196:AV196)=3,ISNUMBER(AV196))),0,1)+IF(OR(COUNTA(AW196:AY196)=0,AND(COUNTA(AW196:AY196)=3,ISNUMBER(AY196))),0,1)+IF(OR(COUNTA(AZ196:BB196)=0,AND(COUNTA(AZ196:BB196)=3,ISNUMBER(BB196))),0,1))&gt;0,"; An invoice is incomplete (needs No, Date and a number in Ex GST)","")&amp;IF((IF(T196="",0,IFERROR(--(EOMONTH(T196,0)&lt;&gt;S$5),1))+IF(W196="",0,IFERROR(--(EOMONTH(W196,0)&lt;&gt;V$5),1))+IF(Z196="",0,IFERROR(--(EOMONTH(Z196,0)&lt;&gt;Y$5),1))+IF(AC196="",0,IFERROR(--(EOMONTH(AC196,0)&lt;&gt;AB$5),1))+IF(AF196="",0,IFERROR(--(EOMONTH(AF196,0)&lt;&gt;AE$5),1))+IF(AI196="",0,IFERROR(--(EOMONTH(AI196,0)&lt;&gt;AH$5),1))+IF(AL196="",0,IFERROR(--(EOMONTH(AL196,0)&lt;&gt;AK$5),1))+IF(AO196="",0,IFERROR(--(EOMONTH(AO196,0)&lt;&gt;AN$5),1))+IF(AR196="",0,IFERROR(--(EOMONTH(AR196,0)&lt;&gt;AQ$5),1))+IF(AU196="",0,IFERROR(--(EOMONTH(AU196,0)&lt;&gt;AT$5),1))+IF(AX196="",0,IFERROR(--(EOMONTH(AX196,0)&lt;&gt;AW$5),1))+IF(BA196="",0,IFERROR(--(EOMONTH(BA196,0)&lt;&gt;AZ$5),1)))&gt;0,"; An invoice date is not in the month it is typed under",""),3,500))</f>
        <v/>
      </c>
      <c r="S196" s="12" t="n"/>
      <c r="T196" s="13" t="n"/>
      <c r="U196" s="14" t="n"/>
      <c r="V196" s="12" t="n"/>
      <c r="W196" s="13" t="n"/>
      <c r="X196" s="14" t="n"/>
      <c r="Y196" s="12" t="n"/>
      <c r="Z196" s="13" t="n"/>
      <c r="AA196" s="14" t="n"/>
      <c r="AB196" s="12" t="n"/>
      <c r="AC196" s="13" t="n"/>
      <c r="AD196" s="14" t="n"/>
      <c r="AE196" s="12" t="n"/>
      <c r="AF196" s="13" t="n"/>
      <c r="AG196" s="14" t="n"/>
      <c r="AH196" s="12" t="n"/>
      <c r="AI196" s="13" t="n"/>
      <c r="AJ196" s="14" t="n"/>
      <c r="AK196" s="12" t="n"/>
      <c r="AL196" s="13" t="n"/>
      <c r="AM196" s="14" t="n"/>
      <c r="AN196" s="12" t="n"/>
      <c r="AO196" s="13" t="n"/>
      <c r="AP196" s="14" t="n"/>
      <c r="AQ196" s="12" t="n"/>
      <c r="AR196" s="13" t="n"/>
      <c r="AS196" s="14" t="n"/>
      <c r="AT196" s="12" t="n"/>
      <c r="AU196" s="13" t="n"/>
      <c r="AV196" s="14" t="n"/>
      <c r="AW196" s="12" t="n"/>
      <c r="AX196" s="13" t="n"/>
      <c r="AY196" s="14" t="n"/>
      <c r="AZ196" s="12" t="n"/>
      <c r="BA196" s="13" t="n"/>
      <c r="BB196" s="14" t="n"/>
      <c r="BC196" s="11">
        <f>IF(O196="","",IF(J196="GST 10%",ROUND(O196*set_GSTRate,2),0))</f>
        <v/>
      </c>
      <c r="BD196" s="11">
        <f>IF(O196="","",O196+BC196)</f>
        <v/>
      </c>
      <c r="BE196" s="15">
        <f>IF(O196="","",COUNTA(S196,V196,Y196,AB196,AE196,AH196,AK196,AN196,AQ196,AT196,AW196,AZ196))</f>
        <v/>
      </c>
      <c r="BF196" s="16">
        <f>IF(COUNT(T196,W196,Z196,AC196,AF196,AI196,AL196,AO196,AR196,AU196,AX196,BA196)=0,"",MAX(T196,W196,Z196,AC196,AF196,AI196,AL196,AO196,AR196,AU196,AX196,BA196))</f>
        <v/>
      </c>
      <c r="BG196" s="10">
        <f>MID(IF(S196="","",", "&amp;S196)&amp;IF(V196="","",", "&amp;V196)&amp;IF(Y196="","",", "&amp;Y196)&amp;IF(AB196="","",", "&amp;AB196)&amp;IF(AE196="","",", "&amp;AE196)&amp;IF(AH196="","",", "&amp;AH196)&amp;IF(AK196="","",", "&amp;AK196)&amp;IF(AN196="","",", "&amp;AN196)&amp;IF(AQ196="","",", "&amp;AQ196)&amp;IF(AT196="","",", "&amp;AT196)&amp;IF(AW196="","",", "&amp;AW196)&amp;IF(AZ196="","",", "&amp;AZ196),3,500)</f>
        <v/>
      </c>
      <c r="BH196" s="12" t="n"/>
      <c r="BI196" s="15">
        <f>IFERROR(MATCH($A196,IF($B196="Onsite",tbl_Onsite[Row ID],IF($B196="Production",tbl_Production[Row ID],tbl_Consulting[Row ID])),0),"")</f>
        <v/>
      </c>
    </row>
    <row r="197">
      <c r="A197" s="10" t="inlineStr">
        <is>
          <t>ONS-0191</t>
        </is>
      </c>
      <c r="B197" s="10" t="inlineStr">
        <is>
          <t>Onsite</t>
        </is>
      </c>
      <c r="C197" s="10">
        <f>IF($BI197="","",IF($B197="Onsite",INDEX(tbl_Onsite[Job Number],$BI197),IF($B197="Production",INDEX(tbl_Production[Job Number],$BI197),INDEX(tbl_Consulting[Job Number],$BI197)))&amp;"")</f>
        <v/>
      </c>
      <c r="D197" s="10">
        <f>IF($BI197="","",IF($B197="Onsite",INDEX(tbl_Onsite[Client],$BI197),IF($B197="Production",INDEX(tbl_Production[Client],$BI197),INDEX(tbl_Consulting[Client],$BI197)))&amp;"")</f>
        <v/>
      </c>
      <c r="E197" s="10">
        <f>IF($C197="","",IF(COUNTIF(lst_Jobs,$C197)&gt;0,"OK","CHECK"))</f>
        <v/>
      </c>
      <c r="F197" s="10">
        <f>IF($C197="","",IFERROR(INDEX(lst_JobName,MATCH($C197,lst_Jobs,0)),""))</f>
        <v/>
      </c>
      <c r="G197" s="10">
        <f>IF($BI197="","",IF($B197="Onsite",INDEX(tbl_Onsite[Job Description],$BI197),IF($B197="Production",INDEX(tbl_Production[Job Description],$BI197),INDEX(tbl_Consulting[Job Description],$BI197)))&amp;"")</f>
        <v/>
      </c>
      <c r="H197" s="10">
        <f>IF($BI197="","",IF($B197="Onsite",INDEX(tbl_Onsite[Cost Centre],$BI197),IF($B197="Production",INDEX(tbl_Production[Cost Centre],$BI197),INDEX(tbl_Consulting[Cost Centre],$BI197)))&amp;"")</f>
        <v/>
      </c>
      <c r="I197" s="10">
        <f>IF($BI197="","",IF($B197="Onsite",INDEX(tbl_Onsite[Invoice Type],$BI197),IF($B197="Production",INDEX(tbl_Production[Invoice Type],$BI197),INDEX(tbl_Consulting[Invoice Type],$BI197)))&amp;"")</f>
        <v/>
      </c>
      <c r="J197" s="10">
        <f>IF($BI197="","",IF($B197="Onsite",INDEX(tbl_Onsite[Tax Code],$BI197),IF($B197="Production",INDEX(tbl_Production[Tax Code],$BI197),INDEX(tbl_Consulting[Tax Code],$BI197)))&amp;"")</f>
        <v/>
      </c>
      <c r="K197" s="10">
        <f>IF(H197="","",IFERROR(INDEX(lst_CCtoGL,MATCH(H197,lst_CCforGL,0)),""))</f>
        <v/>
      </c>
      <c r="L197" s="10">
        <f>IF($BI197="","",IF($B197="Onsite",INDEX(tbl_Onsite[PO / Reference],$BI197),IF($B197="Production",INDEX(tbl_Production[Current RMS No],$BI197),INDEX(tbl_Consulting[Qwilr Quote],$BI197)))&amp;"")</f>
        <v/>
      </c>
      <c r="M197" s="10">
        <f>IF($BI197="","",IF($B197="Onsite",INDEX(tbl_Onsite[Notes],$BI197),IF($B197="Production",INDEX(tbl_Production[Notes],$BI197),INDEX(tbl_Consulting[Notes],$BI197)))&amp;"")</f>
        <v/>
      </c>
      <c r="N197" s="11">
        <f>IF($BI197="","",IF(IF($B197="Onsite",INDEX(tbl_Onsite[Expected Revenue Ex GST],$BI197),IF($B197="Production",INDEX(tbl_Production[Expected Revenue Ex GST],$BI197),INDEX(tbl_Consulting[Expected Revenue Ex GST],$BI197)))="","",IF($B197="Onsite",INDEX(tbl_Onsite[Expected Revenue Ex GST],$BI197),IF($B197="Production",INDEX(tbl_Production[Expected Revenue Ex GST],$BI197),INDEX(tbl_Consulting[Expected Revenue Ex GST],$BI197)))))</f>
        <v/>
      </c>
      <c r="O197" s="11">
        <f>IF(AND($C197="",NOT(COUNTA($S197:$BB197)&gt;0)),"",SUM(U197,X197,AA197,AD197,AG197,AJ197,AM197,AP197,AS197,AV197,AY197,BB197))</f>
        <v/>
      </c>
      <c r="P197" s="11">
        <f>IF(O197="","",N(N197)-O197)</f>
        <v/>
      </c>
      <c r="Q197" s="10">
        <f>IF(O197="","",IF($C197="","Invoice on empty job row",IF(N197="",IF(ROUND(O197,2)=0,"No dept value","Invoiced - no dept value"),IF(ROUND(O197,2)=0,"Not invoiced - to invoice",IF(ROUND(P197,2)=0,"Agrees",IF(P197&gt;0,"Dept higher - to invoice","Xero higher - check dept"))))))</f>
        <v/>
      </c>
      <c r="R197" s="10">
        <f>IF(AND($C197="",NOT(COUNTA($S197:$BB197)&gt;0),$BI197&lt;&gt;""),"",MID(IF($BI197="","; Row ID not found on the department sheet - a row was deleted","")&amp;IF(AND($C197="",COUNTA($S197:$BB197)&gt;0),"; Invoice entered but the department row has no job number","")&amp;IF(E197="CHECK","; Job number not in the Xero job list","")&amp;IF(AND($C197&lt;&gt;"",COUNTIF($C$7:$C$1506,$C197)&gt;1),"; Job number on more than one row","")&amp;IF(AND($C197&lt;&gt;"",H197=""),"; Dept has not set a cost centre","")&amp;IF(AND($C197&lt;&gt;"",J197=""),"; Dept has not set a tax code","")&amp;IF(AND($C197&lt;&gt;"",N197=""),"; Dept has not entered an expected value","")&amp;IF((IF(OR(COUNTA(S197:U197)=0,AND(COUNTA(S197:U197)=3,ISNUMBER(U197))),0,1)+IF(OR(COUNTA(V197:X197)=0,AND(COUNTA(V197:X197)=3,ISNUMBER(X197))),0,1)+IF(OR(COUNTA(Y197:AA197)=0,AND(COUNTA(Y197:AA197)=3,ISNUMBER(AA197))),0,1)+IF(OR(COUNTA(AB197:AD197)=0,AND(COUNTA(AB197:AD197)=3,ISNUMBER(AD197))),0,1)+IF(OR(COUNTA(AE197:AG197)=0,AND(COUNTA(AE197:AG197)=3,ISNUMBER(AG197))),0,1)+IF(OR(COUNTA(AH197:AJ197)=0,AND(COUNTA(AH197:AJ197)=3,ISNUMBER(AJ197))),0,1)+IF(OR(COUNTA(AK197:AM197)=0,AND(COUNTA(AK197:AM197)=3,ISNUMBER(AM197))),0,1)+IF(OR(COUNTA(AN197:AP197)=0,AND(COUNTA(AN197:AP197)=3,ISNUMBER(AP197))),0,1)+IF(OR(COUNTA(AQ197:AS197)=0,AND(COUNTA(AQ197:AS197)=3,ISNUMBER(AS197))),0,1)+IF(OR(COUNTA(AT197:AV197)=0,AND(COUNTA(AT197:AV197)=3,ISNUMBER(AV197))),0,1)+IF(OR(COUNTA(AW197:AY197)=0,AND(COUNTA(AW197:AY197)=3,ISNUMBER(AY197))),0,1)+IF(OR(COUNTA(AZ197:BB197)=0,AND(COUNTA(AZ197:BB197)=3,ISNUMBER(BB197))),0,1))&gt;0,"; An invoice is incomplete (needs No, Date and a number in Ex GST)","")&amp;IF((IF(T197="",0,IFERROR(--(EOMONTH(T197,0)&lt;&gt;S$5),1))+IF(W197="",0,IFERROR(--(EOMONTH(W197,0)&lt;&gt;V$5),1))+IF(Z197="",0,IFERROR(--(EOMONTH(Z197,0)&lt;&gt;Y$5),1))+IF(AC197="",0,IFERROR(--(EOMONTH(AC197,0)&lt;&gt;AB$5),1))+IF(AF197="",0,IFERROR(--(EOMONTH(AF197,0)&lt;&gt;AE$5),1))+IF(AI197="",0,IFERROR(--(EOMONTH(AI197,0)&lt;&gt;AH$5),1))+IF(AL197="",0,IFERROR(--(EOMONTH(AL197,0)&lt;&gt;AK$5),1))+IF(AO197="",0,IFERROR(--(EOMONTH(AO197,0)&lt;&gt;AN$5),1))+IF(AR197="",0,IFERROR(--(EOMONTH(AR197,0)&lt;&gt;AQ$5),1))+IF(AU197="",0,IFERROR(--(EOMONTH(AU197,0)&lt;&gt;AT$5),1))+IF(AX197="",0,IFERROR(--(EOMONTH(AX197,0)&lt;&gt;AW$5),1))+IF(BA197="",0,IFERROR(--(EOMONTH(BA197,0)&lt;&gt;AZ$5),1)))&gt;0,"; An invoice date is not in the month it is typed under",""),3,500))</f>
        <v/>
      </c>
      <c r="S197" s="12" t="n"/>
      <c r="T197" s="13" t="n"/>
      <c r="U197" s="14" t="n"/>
      <c r="V197" s="12" t="n"/>
      <c r="W197" s="13" t="n"/>
      <c r="X197" s="14" t="n"/>
      <c r="Y197" s="12" t="n"/>
      <c r="Z197" s="13" t="n"/>
      <c r="AA197" s="14" t="n"/>
      <c r="AB197" s="12" t="n"/>
      <c r="AC197" s="13" t="n"/>
      <c r="AD197" s="14" t="n"/>
      <c r="AE197" s="12" t="n"/>
      <c r="AF197" s="13" t="n"/>
      <c r="AG197" s="14" t="n"/>
      <c r="AH197" s="12" t="n"/>
      <c r="AI197" s="13" t="n"/>
      <c r="AJ197" s="14" t="n"/>
      <c r="AK197" s="12" t="n"/>
      <c r="AL197" s="13" t="n"/>
      <c r="AM197" s="14" t="n"/>
      <c r="AN197" s="12" t="n"/>
      <c r="AO197" s="13" t="n"/>
      <c r="AP197" s="14" t="n"/>
      <c r="AQ197" s="12" t="n"/>
      <c r="AR197" s="13" t="n"/>
      <c r="AS197" s="14" t="n"/>
      <c r="AT197" s="12" t="n"/>
      <c r="AU197" s="13" t="n"/>
      <c r="AV197" s="14" t="n"/>
      <c r="AW197" s="12" t="n"/>
      <c r="AX197" s="13" t="n"/>
      <c r="AY197" s="14" t="n"/>
      <c r="AZ197" s="12" t="n"/>
      <c r="BA197" s="13" t="n"/>
      <c r="BB197" s="14" t="n"/>
      <c r="BC197" s="11">
        <f>IF(O197="","",IF(J197="GST 10%",ROUND(O197*set_GSTRate,2),0))</f>
        <v/>
      </c>
      <c r="BD197" s="11">
        <f>IF(O197="","",O197+BC197)</f>
        <v/>
      </c>
      <c r="BE197" s="15">
        <f>IF(O197="","",COUNTA(S197,V197,Y197,AB197,AE197,AH197,AK197,AN197,AQ197,AT197,AW197,AZ197))</f>
        <v/>
      </c>
      <c r="BF197" s="16">
        <f>IF(COUNT(T197,W197,Z197,AC197,AF197,AI197,AL197,AO197,AR197,AU197,AX197,BA197)=0,"",MAX(T197,W197,Z197,AC197,AF197,AI197,AL197,AO197,AR197,AU197,AX197,BA197))</f>
        <v/>
      </c>
      <c r="BG197" s="10">
        <f>MID(IF(S197="","",", "&amp;S197)&amp;IF(V197="","",", "&amp;V197)&amp;IF(Y197="","",", "&amp;Y197)&amp;IF(AB197="","",", "&amp;AB197)&amp;IF(AE197="","",", "&amp;AE197)&amp;IF(AH197="","",", "&amp;AH197)&amp;IF(AK197="","",", "&amp;AK197)&amp;IF(AN197="","",", "&amp;AN197)&amp;IF(AQ197="","",", "&amp;AQ197)&amp;IF(AT197="","",", "&amp;AT197)&amp;IF(AW197="","",", "&amp;AW197)&amp;IF(AZ197="","",", "&amp;AZ197),3,500)</f>
        <v/>
      </c>
      <c r="BH197" s="12" t="n"/>
      <c r="BI197" s="15">
        <f>IFERROR(MATCH($A197,IF($B197="Onsite",tbl_Onsite[Row ID],IF($B197="Production",tbl_Production[Row ID],tbl_Consulting[Row ID])),0),"")</f>
        <v/>
      </c>
    </row>
    <row r="198">
      <c r="A198" s="10" t="inlineStr">
        <is>
          <t>ONS-0192</t>
        </is>
      </c>
      <c r="B198" s="10" t="inlineStr">
        <is>
          <t>Onsite</t>
        </is>
      </c>
      <c r="C198" s="10">
        <f>IF($BI198="","",IF($B198="Onsite",INDEX(tbl_Onsite[Job Number],$BI198),IF($B198="Production",INDEX(tbl_Production[Job Number],$BI198),INDEX(tbl_Consulting[Job Number],$BI198)))&amp;"")</f>
        <v/>
      </c>
      <c r="D198" s="10">
        <f>IF($BI198="","",IF($B198="Onsite",INDEX(tbl_Onsite[Client],$BI198),IF($B198="Production",INDEX(tbl_Production[Client],$BI198),INDEX(tbl_Consulting[Client],$BI198)))&amp;"")</f>
        <v/>
      </c>
      <c r="E198" s="10">
        <f>IF($C198="","",IF(COUNTIF(lst_Jobs,$C198)&gt;0,"OK","CHECK"))</f>
        <v/>
      </c>
      <c r="F198" s="10">
        <f>IF($C198="","",IFERROR(INDEX(lst_JobName,MATCH($C198,lst_Jobs,0)),""))</f>
        <v/>
      </c>
      <c r="G198" s="10">
        <f>IF($BI198="","",IF($B198="Onsite",INDEX(tbl_Onsite[Job Description],$BI198),IF($B198="Production",INDEX(tbl_Production[Job Description],$BI198),INDEX(tbl_Consulting[Job Description],$BI198)))&amp;"")</f>
        <v/>
      </c>
      <c r="H198" s="10">
        <f>IF($BI198="","",IF($B198="Onsite",INDEX(tbl_Onsite[Cost Centre],$BI198),IF($B198="Production",INDEX(tbl_Production[Cost Centre],$BI198),INDEX(tbl_Consulting[Cost Centre],$BI198)))&amp;"")</f>
        <v/>
      </c>
      <c r="I198" s="10">
        <f>IF($BI198="","",IF($B198="Onsite",INDEX(tbl_Onsite[Invoice Type],$BI198),IF($B198="Production",INDEX(tbl_Production[Invoice Type],$BI198),INDEX(tbl_Consulting[Invoice Type],$BI198)))&amp;"")</f>
        <v/>
      </c>
      <c r="J198" s="10">
        <f>IF($BI198="","",IF($B198="Onsite",INDEX(tbl_Onsite[Tax Code],$BI198),IF($B198="Production",INDEX(tbl_Production[Tax Code],$BI198),INDEX(tbl_Consulting[Tax Code],$BI198)))&amp;"")</f>
        <v/>
      </c>
      <c r="K198" s="10">
        <f>IF(H198="","",IFERROR(INDEX(lst_CCtoGL,MATCH(H198,lst_CCforGL,0)),""))</f>
        <v/>
      </c>
      <c r="L198" s="10">
        <f>IF($BI198="","",IF($B198="Onsite",INDEX(tbl_Onsite[PO / Reference],$BI198),IF($B198="Production",INDEX(tbl_Production[Current RMS No],$BI198),INDEX(tbl_Consulting[Qwilr Quote],$BI198)))&amp;"")</f>
        <v/>
      </c>
      <c r="M198" s="10">
        <f>IF($BI198="","",IF($B198="Onsite",INDEX(tbl_Onsite[Notes],$BI198),IF($B198="Production",INDEX(tbl_Production[Notes],$BI198),INDEX(tbl_Consulting[Notes],$BI198)))&amp;"")</f>
        <v/>
      </c>
      <c r="N198" s="11">
        <f>IF($BI198="","",IF(IF($B198="Onsite",INDEX(tbl_Onsite[Expected Revenue Ex GST],$BI198),IF($B198="Production",INDEX(tbl_Production[Expected Revenue Ex GST],$BI198),INDEX(tbl_Consulting[Expected Revenue Ex GST],$BI198)))="","",IF($B198="Onsite",INDEX(tbl_Onsite[Expected Revenue Ex GST],$BI198),IF($B198="Production",INDEX(tbl_Production[Expected Revenue Ex GST],$BI198),INDEX(tbl_Consulting[Expected Revenue Ex GST],$BI198)))))</f>
        <v/>
      </c>
      <c r="O198" s="11">
        <f>IF(AND($C198="",NOT(COUNTA($S198:$BB198)&gt;0)),"",SUM(U198,X198,AA198,AD198,AG198,AJ198,AM198,AP198,AS198,AV198,AY198,BB198))</f>
        <v/>
      </c>
      <c r="P198" s="11">
        <f>IF(O198="","",N(N198)-O198)</f>
        <v/>
      </c>
      <c r="Q198" s="10">
        <f>IF(O198="","",IF($C198="","Invoice on empty job row",IF(N198="",IF(ROUND(O198,2)=0,"No dept value","Invoiced - no dept value"),IF(ROUND(O198,2)=0,"Not invoiced - to invoice",IF(ROUND(P198,2)=0,"Agrees",IF(P198&gt;0,"Dept higher - to invoice","Xero higher - check dept"))))))</f>
        <v/>
      </c>
      <c r="R198" s="10">
        <f>IF(AND($C198="",NOT(COUNTA($S198:$BB198)&gt;0),$BI198&lt;&gt;""),"",MID(IF($BI198="","; Row ID not found on the department sheet - a row was deleted","")&amp;IF(AND($C198="",COUNTA($S198:$BB198)&gt;0),"; Invoice entered but the department row has no job number","")&amp;IF(E198="CHECK","; Job number not in the Xero job list","")&amp;IF(AND($C198&lt;&gt;"",COUNTIF($C$7:$C$1506,$C198)&gt;1),"; Job number on more than one row","")&amp;IF(AND($C198&lt;&gt;"",H198=""),"; Dept has not set a cost centre","")&amp;IF(AND($C198&lt;&gt;"",J198=""),"; Dept has not set a tax code","")&amp;IF(AND($C198&lt;&gt;"",N198=""),"; Dept has not entered an expected value","")&amp;IF((IF(OR(COUNTA(S198:U198)=0,AND(COUNTA(S198:U198)=3,ISNUMBER(U198))),0,1)+IF(OR(COUNTA(V198:X198)=0,AND(COUNTA(V198:X198)=3,ISNUMBER(X198))),0,1)+IF(OR(COUNTA(Y198:AA198)=0,AND(COUNTA(Y198:AA198)=3,ISNUMBER(AA198))),0,1)+IF(OR(COUNTA(AB198:AD198)=0,AND(COUNTA(AB198:AD198)=3,ISNUMBER(AD198))),0,1)+IF(OR(COUNTA(AE198:AG198)=0,AND(COUNTA(AE198:AG198)=3,ISNUMBER(AG198))),0,1)+IF(OR(COUNTA(AH198:AJ198)=0,AND(COUNTA(AH198:AJ198)=3,ISNUMBER(AJ198))),0,1)+IF(OR(COUNTA(AK198:AM198)=0,AND(COUNTA(AK198:AM198)=3,ISNUMBER(AM198))),0,1)+IF(OR(COUNTA(AN198:AP198)=0,AND(COUNTA(AN198:AP198)=3,ISNUMBER(AP198))),0,1)+IF(OR(COUNTA(AQ198:AS198)=0,AND(COUNTA(AQ198:AS198)=3,ISNUMBER(AS198))),0,1)+IF(OR(COUNTA(AT198:AV198)=0,AND(COUNTA(AT198:AV198)=3,ISNUMBER(AV198))),0,1)+IF(OR(COUNTA(AW198:AY198)=0,AND(COUNTA(AW198:AY198)=3,ISNUMBER(AY198))),0,1)+IF(OR(COUNTA(AZ198:BB198)=0,AND(COUNTA(AZ198:BB198)=3,ISNUMBER(BB198))),0,1))&gt;0,"; An invoice is incomplete (needs No, Date and a number in Ex GST)","")&amp;IF((IF(T198="",0,IFERROR(--(EOMONTH(T198,0)&lt;&gt;S$5),1))+IF(W198="",0,IFERROR(--(EOMONTH(W198,0)&lt;&gt;V$5),1))+IF(Z198="",0,IFERROR(--(EOMONTH(Z198,0)&lt;&gt;Y$5),1))+IF(AC198="",0,IFERROR(--(EOMONTH(AC198,0)&lt;&gt;AB$5),1))+IF(AF198="",0,IFERROR(--(EOMONTH(AF198,0)&lt;&gt;AE$5),1))+IF(AI198="",0,IFERROR(--(EOMONTH(AI198,0)&lt;&gt;AH$5),1))+IF(AL198="",0,IFERROR(--(EOMONTH(AL198,0)&lt;&gt;AK$5),1))+IF(AO198="",0,IFERROR(--(EOMONTH(AO198,0)&lt;&gt;AN$5),1))+IF(AR198="",0,IFERROR(--(EOMONTH(AR198,0)&lt;&gt;AQ$5),1))+IF(AU198="",0,IFERROR(--(EOMONTH(AU198,0)&lt;&gt;AT$5),1))+IF(AX198="",0,IFERROR(--(EOMONTH(AX198,0)&lt;&gt;AW$5),1))+IF(BA198="",0,IFERROR(--(EOMONTH(BA198,0)&lt;&gt;AZ$5),1)))&gt;0,"; An invoice date is not in the month it is typed under",""),3,500))</f>
        <v/>
      </c>
      <c r="S198" s="12" t="n"/>
      <c r="T198" s="13" t="n"/>
      <c r="U198" s="14" t="n"/>
      <c r="V198" s="12" t="n"/>
      <c r="W198" s="13" t="n"/>
      <c r="X198" s="14" t="n"/>
      <c r="Y198" s="12" t="n"/>
      <c r="Z198" s="13" t="n"/>
      <c r="AA198" s="14" t="n"/>
      <c r="AB198" s="12" t="n"/>
      <c r="AC198" s="13" t="n"/>
      <c r="AD198" s="14" t="n"/>
      <c r="AE198" s="12" t="n"/>
      <c r="AF198" s="13" t="n"/>
      <c r="AG198" s="14" t="n"/>
      <c r="AH198" s="12" t="n"/>
      <c r="AI198" s="13" t="n"/>
      <c r="AJ198" s="14" t="n"/>
      <c r="AK198" s="12" t="n"/>
      <c r="AL198" s="13" t="n"/>
      <c r="AM198" s="14" t="n"/>
      <c r="AN198" s="12" t="n"/>
      <c r="AO198" s="13" t="n"/>
      <c r="AP198" s="14" t="n"/>
      <c r="AQ198" s="12" t="n"/>
      <c r="AR198" s="13" t="n"/>
      <c r="AS198" s="14" t="n"/>
      <c r="AT198" s="12" t="n"/>
      <c r="AU198" s="13" t="n"/>
      <c r="AV198" s="14" t="n"/>
      <c r="AW198" s="12" t="n"/>
      <c r="AX198" s="13" t="n"/>
      <c r="AY198" s="14" t="n"/>
      <c r="AZ198" s="12" t="n"/>
      <c r="BA198" s="13" t="n"/>
      <c r="BB198" s="14" t="n"/>
      <c r="BC198" s="11">
        <f>IF(O198="","",IF(J198="GST 10%",ROUND(O198*set_GSTRate,2),0))</f>
        <v/>
      </c>
      <c r="BD198" s="11">
        <f>IF(O198="","",O198+BC198)</f>
        <v/>
      </c>
      <c r="BE198" s="15">
        <f>IF(O198="","",COUNTA(S198,V198,Y198,AB198,AE198,AH198,AK198,AN198,AQ198,AT198,AW198,AZ198))</f>
        <v/>
      </c>
      <c r="BF198" s="16">
        <f>IF(COUNT(T198,W198,Z198,AC198,AF198,AI198,AL198,AO198,AR198,AU198,AX198,BA198)=0,"",MAX(T198,W198,Z198,AC198,AF198,AI198,AL198,AO198,AR198,AU198,AX198,BA198))</f>
        <v/>
      </c>
      <c r="BG198" s="10">
        <f>MID(IF(S198="","",", "&amp;S198)&amp;IF(V198="","",", "&amp;V198)&amp;IF(Y198="","",", "&amp;Y198)&amp;IF(AB198="","",", "&amp;AB198)&amp;IF(AE198="","",", "&amp;AE198)&amp;IF(AH198="","",", "&amp;AH198)&amp;IF(AK198="","",", "&amp;AK198)&amp;IF(AN198="","",", "&amp;AN198)&amp;IF(AQ198="","",", "&amp;AQ198)&amp;IF(AT198="","",", "&amp;AT198)&amp;IF(AW198="","",", "&amp;AW198)&amp;IF(AZ198="","",", "&amp;AZ198),3,500)</f>
        <v/>
      </c>
      <c r="BH198" s="12" t="n"/>
      <c r="BI198" s="15">
        <f>IFERROR(MATCH($A198,IF($B198="Onsite",tbl_Onsite[Row ID],IF($B198="Production",tbl_Production[Row ID],tbl_Consulting[Row ID])),0),"")</f>
        <v/>
      </c>
    </row>
    <row r="199">
      <c r="A199" s="10" t="inlineStr">
        <is>
          <t>ONS-0193</t>
        </is>
      </c>
      <c r="B199" s="10" t="inlineStr">
        <is>
          <t>Onsite</t>
        </is>
      </c>
      <c r="C199" s="10">
        <f>IF($BI199="","",IF($B199="Onsite",INDEX(tbl_Onsite[Job Number],$BI199),IF($B199="Production",INDEX(tbl_Production[Job Number],$BI199),INDEX(tbl_Consulting[Job Number],$BI199)))&amp;"")</f>
        <v/>
      </c>
      <c r="D199" s="10">
        <f>IF($BI199="","",IF($B199="Onsite",INDEX(tbl_Onsite[Client],$BI199),IF($B199="Production",INDEX(tbl_Production[Client],$BI199),INDEX(tbl_Consulting[Client],$BI199)))&amp;"")</f>
        <v/>
      </c>
      <c r="E199" s="10">
        <f>IF($C199="","",IF(COUNTIF(lst_Jobs,$C199)&gt;0,"OK","CHECK"))</f>
        <v/>
      </c>
      <c r="F199" s="10">
        <f>IF($C199="","",IFERROR(INDEX(lst_JobName,MATCH($C199,lst_Jobs,0)),""))</f>
        <v/>
      </c>
      <c r="G199" s="10">
        <f>IF($BI199="","",IF($B199="Onsite",INDEX(tbl_Onsite[Job Description],$BI199),IF($B199="Production",INDEX(tbl_Production[Job Description],$BI199),INDEX(tbl_Consulting[Job Description],$BI199)))&amp;"")</f>
        <v/>
      </c>
      <c r="H199" s="10">
        <f>IF($BI199="","",IF($B199="Onsite",INDEX(tbl_Onsite[Cost Centre],$BI199),IF($B199="Production",INDEX(tbl_Production[Cost Centre],$BI199),INDEX(tbl_Consulting[Cost Centre],$BI199)))&amp;"")</f>
        <v/>
      </c>
      <c r="I199" s="10">
        <f>IF($BI199="","",IF($B199="Onsite",INDEX(tbl_Onsite[Invoice Type],$BI199),IF($B199="Production",INDEX(tbl_Production[Invoice Type],$BI199),INDEX(tbl_Consulting[Invoice Type],$BI199)))&amp;"")</f>
        <v/>
      </c>
      <c r="J199" s="10">
        <f>IF($BI199="","",IF($B199="Onsite",INDEX(tbl_Onsite[Tax Code],$BI199),IF($B199="Production",INDEX(tbl_Production[Tax Code],$BI199),INDEX(tbl_Consulting[Tax Code],$BI199)))&amp;"")</f>
        <v/>
      </c>
      <c r="K199" s="10">
        <f>IF(H199="","",IFERROR(INDEX(lst_CCtoGL,MATCH(H199,lst_CCforGL,0)),""))</f>
        <v/>
      </c>
      <c r="L199" s="10">
        <f>IF($BI199="","",IF($B199="Onsite",INDEX(tbl_Onsite[PO / Reference],$BI199),IF($B199="Production",INDEX(tbl_Production[Current RMS No],$BI199),INDEX(tbl_Consulting[Qwilr Quote],$BI199)))&amp;"")</f>
        <v/>
      </c>
      <c r="M199" s="10">
        <f>IF($BI199="","",IF($B199="Onsite",INDEX(tbl_Onsite[Notes],$BI199),IF($B199="Production",INDEX(tbl_Production[Notes],$BI199),INDEX(tbl_Consulting[Notes],$BI199)))&amp;"")</f>
        <v/>
      </c>
      <c r="N199" s="11">
        <f>IF($BI199="","",IF(IF($B199="Onsite",INDEX(tbl_Onsite[Expected Revenue Ex GST],$BI199),IF($B199="Production",INDEX(tbl_Production[Expected Revenue Ex GST],$BI199),INDEX(tbl_Consulting[Expected Revenue Ex GST],$BI199)))="","",IF($B199="Onsite",INDEX(tbl_Onsite[Expected Revenue Ex GST],$BI199),IF($B199="Production",INDEX(tbl_Production[Expected Revenue Ex GST],$BI199),INDEX(tbl_Consulting[Expected Revenue Ex GST],$BI199)))))</f>
        <v/>
      </c>
      <c r="O199" s="11">
        <f>IF(AND($C199="",NOT(COUNTA($S199:$BB199)&gt;0)),"",SUM(U199,X199,AA199,AD199,AG199,AJ199,AM199,AP199,AS199,AV199,AY199,BB199))</f>
        <v/>
      </c>
      <c r="P199" s="11">
        <f>IF(O199="","",N(N199)-O199)</f>
        <v/>
      </c>
      <c r="Q199" s="10">
        <f>IF(O199="","",IF($C199="","Invoice on empty job row",IF(N199="",IF(ROUND(O199,2)=0,"No dept value","Invoiced - no dept value"),IF(ROUND(O199,2)=0,"Not invoiced - to invoice",IF(ROUND(P199,2)=0,"Agrees",IF(P199&gt;0,"Dept higher - to invoice","Xero higher - check dept"))))))</f>
        <v/>
      </c>
      <c r="R199" s="10">
        <f>IF(AND($C199="",NOT(COUNTA($S199:$BB199)&gt;0),$BI199&lt;&gt;""),"",MID(IF($BI199="","; Row ID not found on the department sheet - a row was deleted","")&amp;IF(AND($C199="",COUNTA($S199:$BB199)&gt;0),"; Invoice entered but the department row has no job number","")&amp;IF(E199="CHECK","; Job number not in the Xero job list","")&amp;IF(AND($C199&lt;&gt;"",COUNTIF($C$7:$C$1506,$C199)&gt;1),"; Job number on more than one row","")&amp;IF(AND($C199&lt;&gt;"",H199=""),"; Dept has not set a cost centre","")&amp;IF(AND($C199&lt;&gt;"",J199=""),"; Dept has not set a tax code","")&amp;IF(AND($C199&lt;&gt;"",N199=""),"; Dept has not entered an expected value","")&amp;IF((IF(OR(COUNTA(S199:U199)=0,AND(COUNTA(S199:U199)=3,ISNUMBER(U199))),0,1)+IF(OR(COUNTA(V199:X199)=0,AND(COUNTA(V199:X199)=3,ISNUMBER(X199))),0,1)+IF(OR(COUNTA(Y199:AA199)=0,AND(COUNTA(Y199:AA199)=3,ISNUMBER(AA199))),0,1)+IF(OR(COUNTA(AB199:AD199)=0,AND(COUNTA(AB199:AD199)=3,ISNUMBER(AD199))),0,1)+IF(OR(COUNTA(AE199:AG199)=0,AND(COUNTA(AE199:AG199)=3,ISNUMBER(AG199))),0,1)+IF(OR(COUNTA(AH199:AJ199)=0,AND(COUNTA(AH199:AJ199)=3,ISNUMBER(AJ199))),0,1)+IF(OR(COUNTA(AK199:AM199)=0,AND(COUNTA(AK199:AM199)=3,ISNUMBER(AM199))),0,1)+IF(OR(COUNTA(AN199:AP199)=0,AND(COUNTA(AN199:AP199)=3,ISNUMBER(AP199))),0,1)+IF(OR(COUNTA(AQ199:AS199)=0,AND(COUNTA(AQ199:AS199)=3,ISNUMBER(AS199))),0,1)+IF(OR(COUNTA(AT199:AV199)=0,AND(COUNTA(AT199:AV199)=3,ISNUMBER(AV199))),0,1)+IF(OR(COUNTA(AW199:AY199)=0,AND(COUNTA(AW199:AY199)=3,ISNUMBER(AY199))),0,1)+IF(OR(COUNTA(AZ199:BB199)=0,AND(COUNTA(AZ199:BB199)=3,ISNUMBER(BB199))),0,1))&gt;0,"; An invoice is incomplete (needs No, Date and a number in Ex GST)","")&amp;IF((IF(T199="",0,IFERROR(--(EOMONTH(T199,0)&lt;&gt;S$5),1))+IF(W199="",0,IFERROR(--(EOMONTH(W199,0)&lt;&gt;V$5),1))+IF(Z199="",0,IFERROR(--(EOMONTH(Z199,0)&lt;&gt;Y$5),1))+IF(AC199="",0,IFERROR(--(EOMONTH(AC199,0)&lt;&gt;AB$5),1))+IF(AF199="",0,IFERROR(--(EOMONTH(AF199,0)&lt;&gt;AE$5),1))+IF(AI199="",0,IFERROR(--(EOMONTH(AI199,0)&lt;&gt;AH$5),1))+IF(AL199="",0,IFERROR(--(EOMONTH(AL199,0)&lt;&gt;AK$5),1))+IF(AO199="",0,IFERROR(--(EOMONTH(AO199,0)&lt;&gt;AN$5),1))+IF(AR199="",0,IFERROR(--(EOMONTH(AR199,0)&lt;&gt;AQ$5),1))+IF(AU199="",0,IFERROR(--(EOMONTH(AU199,0)&lt;&gt;AT$5),1))+IF(AX199="",0,IFERROR(--(EOMONTH(AX199,0)&lt;&gt;AW$5),1))+IF(BA199="",0,IFERROR(--(EOMONTH(BA199,0)&lt;&gt;AZ$5),1)))&gt;0,"; An invoice date is not in the month it is typed under",""),3,500))</f>
        <v/>
      </c>
      <c r="S199" s="12" t="n"/>
      <c r="T199" s="13" t="n"/>
      <c r="U199" s="14" t="n"/>
      <c r="V199" s="12" t="n"/>
      <c r="W199" s="13" t="n"/>
      <c r="X199" s="14" t="n"/>
      <c r="Y199" s="12" t="n"/>
      <c r="Z199" s="13" t="n"/>
      <c r="AA199" s="14" t="n"/>
      <c r="AB199" s="12" t="n"/>
      <c r="AC199" s="13" t="n"/>
      <c r="AD199" s="14" t="n"/>
      <c r="AE199" s="12" t="n"/>
      <c r="AF199" s="13" t="n"/>
      <c r="AG199" s="14" t="n"/>
      <c r="AH199" s="12" t="n"/>
      <c r="AI199" s="13" t="n"/>
      <c r="AJ199" s="14" t="n"/>
      <c r="AK199" s="12" t="n"/>
      <c r="AL199" s="13" t="n"/>
      <c r="AM199" s="14" t="n"/>
      <c r="AN199" s="12" t="n"/>
      <c r="AO199" s="13" t="n"/>
      <c r="AP199" s="14" t="n"/>
      <c r="AQ199" s="12" t="n"/>
      <c r="AR199" s="13" t="n"/>
      <c r="AS199" s="14" t="n"/>
      <c r="AT199" s="12" t="n"/>
      <c r="AU199" s="13" t="n"/>
      <c r="AV199" s="14" t="n"/>
      <c r="AW199" s="12" t="n"/>
      <c r="AX199" s="13" t="n"/>
      <c r="AY199" s="14" t="n"/>
      <c r="AZ199" s="12" t="n"/>
      <c r="BA199" s="13" t="n"/>
      <c r="BB199" s="14" t="n"/>
      <c r="BC199" s="11">
        <f>IF(O199="","",IF(J199="GST 10%",ROUND(O199*set_GSTRate,2),0))</f>
        <v/>
      </c>
      <c r="BD199" s="11">
        <f>IF(O199="","",O199+BC199)</f>
        <v/>
      </c>
      <c r="BE199" s="15">
        <f>IF(O199="","",COUNTA(S199,V199,Y199,AB199,AE199,AH199,AK199,AN199,AQ199,AT199,AW199,AZ199))</f>
        <v/>
      </c>
      <c r="BF199" s="16">
        <f>IF(COUNT(T199,W199,Z199,AC199,AF199,AI199,AL199,AO199,AR199,AU199,AX199,BA199)=0,"",MAX(T199,W199,Z199,AC199,AF199,AI199,AL199,AO199,AR199,AU199,AX199,BA199))</f>
        <v/>
      </c>
      <c r="BG199" s="10">
        <f>MID(IF(S199="","",", "&amp;S199)&amp;IF(V199="","",", "&amp;V199)&amp;IF(Y199="","",", "&amp;Y199)&amp;IF(AB199="","",", "&amp;AB199)&amp;IF(AE199="","",", "&amp;AE199)&amp;IF(AH199="","",", "&amp;AH199)&amp;IF(AK199="","",", "&amp;AK199)&amp;IF(AN199="","",", "&amp;AN199)&amp;IF(AQ199="","",", "&amp;AQ199)&amp;IF(AT199="","",", "&amp;AT199)&amp;IF(AW199="","",", "&amp;AW199)&amp;IF(AZ199="","",", "&amp;AZ199),3,500)</f>
        <v/>
      </c>
      <c r="BH199" s="12" t="n"/>
      <c r="BI199" s="15">
        <f>IFERROR(MATCH($A199,IF($B199="Onsite",tbl_Onsite[Row ID],IF($B199="Production",tbl_Production[Row ID],tbl_Consulting[Row ID])),0),"")</f>
        <v/>
      </c>
    </row>
    <row r="200">
      <c r="A200" s="10" t="inlineStr">
        <is>
          <t>ONS-0194</t>
        </is>
      </c>
      <c r="B200" s="10" t="inlineStr">
        <is>
          <t>Onsite</t>
        </is>
      </c>
      <c r="C200" s="10">
        <f>IF($BI200="","",IF($B200="Onsite",INDEX(tbl_Onsite[Job Number],$BI200),IF($B200="Production",INDEX(tbl_Production[Job Number],$BI200),INDEX(tbl_Consulting[Job Number],$BI200)))&amp;"")</f>
        <v/>
      </c>
      <c r="D200" s="10">
        <f>IF($BI200="","",IF($B200="Onsite",INDEX(tbl_Onsite[Client],$BI200),IF($B200="Production",INDEX(tbl_Production[Client],$BI200),INDEX(tbl_Consulting[Client],$BI200)))&amp;"")</f>
        <v/>
      </c>
      <c r="E200" s="10">
        <f>IF($C200="","",IF(COUNTIF(lst_Jobs,$C200)&gt;0,"OK","CHECK"))</f>
        <v/>
      </c>
      <c r="F200" s="10">
        <f>IF($C200="","",IFERROR(INDEX(lst_JobName,MATCH($C200,lst_Jobs,0)),""))</f>
        <v/>
      </c>
      <c r="G200" s="10">
        <f>IF($BI200="","",IF($B200="Onsite",INDEX(tbl_Onsite[Job Description],$BI200),IF($B200="Production",INDEX(tbl_Production[Job Description],$BI200),INDEX(tbl_Consulting[Job Description],$BI200)))&amp;"")</f>
        <v/>
      </c>
      <c r="H200" s="10">
        <f>IF($BI200="","",IF($B200="Onsite",INDEX(tbl_Onsite[Cost Centre],$BI200),IF($B200="Production",INDEX(tbl_Production[Cost Centre],$BI200),INDEX(tbl_Consulting[Cost Centre],$BI200)))&amp;"")</f>
        <v/>
      </c>
      <c r="I200" s="10">
        <f>IF($BI200="","",IF($B200="Onsite",INDEX(tbl_Onsite[Invoice Type],$BI200),IF($B200="Production",INDEX(tbl_Production[Invoice Type],$BI200),INDEX(tbl_Consulting[Invoice Type],$BI200)))&amp;"")</f>
        <v/>
      </c>
      <c r="J200" s="10">
        <f>IF($BI200="","",IF($B200="Onsite",INDEX(tbl_Onsite[Tax Code],$BI200),IF($B200="Production",INDEX(tbl_Production[Tax Code],$BI200),INDEX(tbl_Consulting[Tax Code],$BI200)))&amp;"")</f>
        <v/>
      </c>
      <c r="K200" s="10">
        <f>IF(H200="","",IFERROR(INDEX(lst_CCtoGL,MATCH(H200,lst_CCforGL,0)),""))</f>
        <v/>
      </c>
      <c r="L200" s="10">
        <f>IF($BI200="","",IF($B200="Onsite",INDEX(tbl_Onsite[PO / Reference],$BI200),IF($B200="Production",INDEX(tbl_Production[Current RMS No],$BI200),INDEX(tbl_Consulting[Qwilr Quote],$BI200)))&amp;"")</f>
        <v/>
      </c>
      <c r="M200" s="10">
        <f>IF($BI200="","",IF($B200="Onsite",INDEX(tbl_Onsite[Notes],$BI200),IF($B200="Production",INDEX(tbl_Production[Notes],$BI200),INDEX(tbl_Consulting[Notes],$BI200)))&amp;"")</f>
        <v/>
      </c>
      <c r="N200" s="11">
        <f>IF($BI200="","",IF(IF($B200="Onsite",INDEX(tbl_Onsite[Expected Revenue Ex GST],$BI200),IF($B200="Production",INDEX(tbl_Production[Expected Revenue Ex GST],$BI200),INDEX(tbl_Consulting[Expected Revenue Ex GST],$BI200)))="","",IF($B200="Onsite",INDEX(tbl_Onsite[Expected Revenue Ex GST],$BI200),IF($B200="Production",INDEX(tbl_Production[Expected Revenue Ex GST],$BI200),INDEX(tbl_Consulting[Expected Revenue Ex GST],$BI200)))))</f>
        <v/>
      </c>
      <c r="O200" s="11">
        <f>IF(AND($C200="",NOT(COUNTA($S200:$BB200)&gt;0)),"",SUM(U200,X200,AA200,AD200,AG200,AJ200,AM200,AP200,AS200,AV200,AY200,BB200))</f>
        <v/>
      </c>
      <c r="P200" s="11">
        <f>IF(O200="","",N(N200)-O200)</f>
        <v/>
      </c>
      <c r="Q200" s="10">
        <f>IF(O200="","",IF($C200="","Invoice on empty job row",IF(N200="",IF(ROUND(O200,2)=0,"No dept value","Invoiced - no dept value"),IF(ROUND(O200,2)=0,"Not invoiced - to invoice",IF(ROUND(P200,2)=0,"Agrees",IF(P200&gt;0,"Dept higher - to invoice","Xero higher - check dept"))))))</f>
        <v/>
      </c>
      <c r="R200" s="10">
        <f>IF(AND($C200="",NOT(COUNTA($S200:$BB200)&gt;0),$BI200&lt;&gt;""),"",MID(IF($BI200="","; Row ID not found on the department sheet - a row was deleted","")&amp;IF(AND($C200="",COUNTA($S200:$BB200)&gt;0),"; Invoice entered but the department row has no job number","")&amp;IF(E200="CHECK","; Job number not in the Xero job list","")&amp;IF(AND($C200&lt;&gt;"",COUNTIF($C$7:$C$1506,$C200)&gt;1),"; Job number on more than one row","")&amp;IF(AND($C200&lt;&gt;"",H200=""),"; Dept has not set a cost centre","")&amp;IF(AND($C200&lt;&gt;"",J200=""),"; Dept has not set a tax code","")&amp;IF(AND($C200&lt;&gt;"",N200=""),"; Dept has not entered an expected value","")&amp;IF((IF(OR(COUNTA(S200:U200)=0,AND(COUNTA(S200:U200)=3,ISNUMBER(U200))),0,1)+IF(OR(COUNTA(V200:X200)=0,AND(COUNTA(V200:X200)=3,ISNUMBER(X200))),0,1)+IF(OR(COUNTA(Y200:AA200)=0,AND(COUNTA(Y200:AA200)=3,ISNUMBER(AA200))),0,1)+IF(OR(COUNTA(AB200:AD200)=0,AND(COUNTA(AB200:AD200)=3,ISNUMBER(AD200))),0,1)+IF(OR(COUNTA(AE200:AG200)=0,AND(COUNTA(AE200:AG200)=3,ISNUMBER(AG200))),0,1)+IF(OR(COUNTA(AH200:AJ200)=0,AND(COUNTA(AH200:AJ200)=3,ISNUMBER(AJ200))),0,1)+IF(OR(COUNTA(AK200:AM200)=0,AND(COUNTA(AK200:AM200)=3,ISNUMBER(AM200))),0,1)+IF(OR(COUNTA(AN200:AP200)=0,AND(COUNTA(AN200:AP200)=3,ISNUMBER(AP200))),0,1)+IF(OR(COUNTA(AQ200:AS200)=0,AND(COUNTA(AQ200:AS200)=3,ISNUMBER(AS200))),0,1)+IF(OR(COUNTA(AT200:AV200)=0,AND(COUNTA(AT200:AV200)=3,ISNUMBER(AV200))),0,1)+IF(OR(COUNTA(AW200:AY200)=0,AND(COUNTA(AW200:AY200)=3,ISNUMBER(AY200))),0,1)+IF(OR(COUNTA(AZ200:BB200)=0,AND(COUNTA(AZ200:BB200)=3,ISNUMBER(BB200))),0,1))&gt;0,"; An invoice is incomplete (needs No, Date and a number in Ex GST)","")&amp;IF((IF(T200="",0,IFERROR(--(EOMONTH(T200,0)&lt;&gt;S$5),1))+IF(W200="",0,IFERROR(--(EOMONTH(W200,0)&lt;&gt;V$5),1))+IF(Z200="",0,IFERROR(--(EOMONTH(Z200,0)&lt;&gt;Y$5),1))+IF(AC200="",0,IFERROR(--(EOMONTH(AC200,0)&lt;&gt;AB$5),1))+IF(AF200="",0,IFERROR(--(EOMONTH(AF200,0)&lt;&gt;AE$5),1))+IF(AI200="",0,IFERROR(--(EOMONTH(AI200,0)&lt;&gt;AH$5),1))+IF(AL200="",0,IFERROR(--(EOMONTH(AL200,0)&lt;&gt;AK$5),1))+IF(AO200="",0,IFERROR(--(EOMONTH(AO200,0)&lt;&gt;AN$5),1))+IF(AR200="",0,IFERROR(--(EOMONTH(AR200,0)&lt;&gt;AQ$5),1))+IF(AU200="",0,IFERROR(--(EOMONTH(AU200,0)&lt;&gt;AT$5),1))+IF(AX200="",0,IFERROR(--(EOMONTH(AX200,0)&lt;&gt;AW$5),1))+IF(BA200="",0,IFERROR(--(EOMONTH(BA200,0)&lt;&gt;AZ$5),1)))&gt;0,"; An invoice date is not in the month it is typed under",""),3,500))</f>
        <v/>
      </c>
      <c r="S200" s="12" t="n"/>
      <c r="T200" s="13" t="n"/>
      <c r="U200" s="14" t="n"/>
      <c r="V200" s="12" t="n"/>
      <c r="W200" s="13" t="n"/>
      <c r="X200" s="14" t="n"/>
      <c r="Y200" s="12" t="n"/>
      <c r="Z200" s="13" t="n"/>
      <c r="AA200" s="14" t="n"/>
      <c r="AB200" s="12" t="n"/>
      <c r="AC200" s="13" t="n"/>
      <c r="AD200" s="14" t="n"/>
      <c r="AE200" s="12" t="n"/>
      <c r="AF200" s="13" t="n"/>
      <c r="AG200" s="14" t="n"/>
      <c r="AH200" s="12" t="n"/>
      <c r="AI200" s="13" t="n"/>
      <c r="AJ200" s="14" t="n"/>
      <c r="AK200" s="12" t="n"/>
      <c r="AL200" s="13" t="n"/>
      <c r="AM200" s="14" t="n"/>
      <c r="AN200" s="12" t="n"/>
      <c r="AO200" s="13" t="n"/>
      <c r="AP200" s="14" t="n"/>
      <c r="AQ200" s="12" t="n"/>
      <c r="AR200" s="13" t="n"/>
      <c r="AS200" s="14" t="n"/>
      <c r="AT200" s="12" t="n"/>
      <c r="AU200" s="13" t="n"/>
      <c r="AV200" s="14" t="n"/>
      <c r="AW200" s="12" t="n"/>
      <c r="AX200" s="13" t="n"/>
      <c r="AY200" s="14" t="n"/>
      <c r="AZ200" s="12" t="n"/>
      <c r="BA200" s="13" t="n"/>
      <c r="BB200" s="14" t="n"/>
      <c r="BC200" s="11">
        <f>IF(O200="","",IF(J200="GST 10%",ROUND(O200*set_GSTRate,2),0))</f>
        <v/>
      </c>
      <c r="BD200" s="11">
        <f>IF(O200="","",O200+BC200)</f>
        <v/>
      </c>
      <c r="BE200" s="15">
        <f>IF(O200="","",COUNTA(S200,V200,Y200,AB200,AE200,AH200,AK200,AN200,AQ200,AT200,AW200,AZ200))</f>
        <v/>
      </c>
      <c r="BF200" s="16">
        <f>IF(COUNT(T200,W200,Z200,AC200,AF200,AI200,AL200,AO200,AR200,AU200,AX200,BA200)=0,"",MAX(T200,W200,Z200,AC200,AF200,AI200,AL200,AO200,AR200,AU200,AX200,BA200))</f>
        <v/>
      </c>
      <c r="BG200" s="10">
        <f>MID(IF(S200="","",", "&amp;S200)&amp;IF(V200="","",", "&amp;V200)&amp;IF(Y200="","",", "&amp;Y200)&amp;IF(AB200="","",", "&amp;AB200)&amp;IF(AE200="","",", "&amp;AE200)&amp;IF(AH200="","",", "&amp;AH200)&amp;IF(AK200="","",", "&amp;AK200)&amp;IF(AN200="","",", "&amp;AN200)&amp;IF(AQ200="","",", "&amp;AQ200)&amp;IF(AT200="","",", "&amp;AT200)&amp;IF(AW200="","",", "&amp;AW200)&amp;IF(AZ200="","",", "&amp;AZ200),3,500)</f>
        <v/>
      </c>
      <c r="BH200" s="12" t="n"/>
      <c r="BI200" s="15">
        <f>IFERROR(MATCH($A200,IF($B200="Onsite",tbl_Onsite[Row ID],IF($B200="Production",tbl_Production[Row ID],tbl_Consulting[Row ID])),0),"")</f>
        <v/>
      </c>
    </row>
    <row r="201">
      <c r="A201" s="10" t="inlineStr">
        <is>
          <t>ONS-0195</t>
        </is>
      </c>
      <c r="B201" s="10" t="inlineStr">
        <is>
          <t>Onsite</t>
        </is>
      </c>
      <c r="C201" s="10">
        <f>IF($BI201="","",IF($B201="Onsite",INDEX(tbl_Onsite[Job Number],$BI201),IF($B201="Production",INDEX(tbl_Production[Job Number],$BI201),INDEX(tbl_Consulting[Job Number],$BI201)))&amp;"")</f>
        <v/>
      </c>
      <c r="D201" s="10">
        <f>IF($BI201="","",IF($B201="Onsite",INDEX(tbl_Onsite[Client],$BI201),IF($B201="Production",INDEX(tbl_Production[Client],$BI201),INDEX(tbl_Consulting[Client],$BI201)))&amp;"")</f>
        <v/>
      </c>
      <c r="E201" s="10">
        <f>IF($C201="","",IF(COUNTIF(lst_Jobs,$C201)&gt;0,"OK","CHECK"))</f>
        <v/>
      </c>
      <c r="F201" s="10">
        <f>IF($C201="","",IFERROR(INDEX(lst_JobName,MATCH($C201,lst_Jobs,0)),""))</f>
        <v/>
      </c>
      <c r="G201" s="10">
        <f>IF($BI201="","",IF($B201="Onsite",INDEX(tbl_Onsite[Job Description],$BI201),IF($B201="Production",INDEX(tbl_Production[Job Description],$BI201),INDEX(tbl_Consulting[Job Description],$BI201)))&amp;"")</f>
        <v/>
      </c>
      <c r="H201" s="10">
        <f>IF($BI201="","",IF($B201="Onsite",INDEX(tbl_Onsite[Cost Centre],$BI201),IF($B201="Production",INDEX(tbl_Production[Cost Centre],$BI201),INDEX(tbl_Consulting[Cost Centre],$BI201)))&amp;"")</f>
        <v/>
      </c>
      <c r="I201" s="10">
        <f>IF($BI201="","",IF($B201="Onsite",INDEX(tbl_Onsite[Invoice Type],$BI201),IF($B201="Production",INDEX(tbl_Production[Invoice Type],$BI201),INDEX(tbl_Consulting[Invoice Type],$BI201)))&amp;"")</f>
        <v/>
      </c>
      <c r="J201" s="10">
        <f>IF($BI201="","",IF($B201="Onsite",INDEX(tbl_Onsite[Tax Code],$BI201),IF($B201="Production",INDEX(tbl_Production[Tax Code],$BI201),INDEX(tbl_Consulting[Tax Code],$BI201)))&amp;"")</f>
        <v/>
      </c>
      <c r="K201" s="10">
        <f>IF(H201="","",IFERROR(INDEX(lst_CCtoGL,MATCH(H201,lst_CCforGL,0)),""))</f>
        <v/>
      </c>
      <c r="L201" s="10">
        <f>IF($BI201="","",IF($B201="Onsite",INDEX(tbl_Onsite[PO / Reference],$BI201),IF($B201="Production",INDEX(tbl_Production[Current RMS No],$BI201),INDEX(tbl_Consulting[Qwilr Quote],$BI201)))&amp;"")</f>
        <v/>
      </c>
      <c r="M201" s="10">
        <f>IF($BI201="","",IF($B201="Onsite",INDEX(tbl_Onsite[Notes],$BI201),IF($B201="Production",INDEX(tbl_Production[Notes],$BI201),INDEX(tbl_Consulting[Notes],$BI201)))&amp;"")</f>
        <v/>
      </c>
      <c r="N201" s="11">
        <f>IF($BI201="","",IF(IF($B201="Onsite",INDEX(tbl_Onsite[Expected Revenue Ex GST],$BI201),IF($B201="Production",INDEX(tbl_Production[Expected Revenue Ex GST],$BI201),INDEX(tbl_Consulting[Expected Revenue Ex GST],$BI201)))="","",IF($B201="Onsite",INDEX(tbl_Onsite[Expected Revenue Ex GST],$BI201),IF($B201="Production",INDEX(tbl_Production[Expected Revenue Ex GST],$BI201),INDEX(tbl_Consulting[Expected Revenue Ex GST],$BI201)))))</f>
        <v/>
      </c>
      <c r="O201" s="11">
        <f>IF(AND($C201="",NOT(COUNTA($S201:$BB201)&gt;0)),"",SUM(U201,X201,AA201,AD201,AG201,AJ201,AM201,AP201,AS201,AV201,AY201,BB201))</f>
        <v/>
      </c>
      <c r="P201" s="11">
        <f>IF(O201="","",N(N201)-O201)</f>
        <v/>
      </c>
      <c r="Q201" s="10">
        <f>IF(O201="","",IF($C201="","Invoice on empty job row",IF(N201="",IF(ROUND(O201,2)=0,"No dept value","Invoiced - no dept value"),IF(ROUND(O201,2)=0,"Not invoiced - to invoice",IF(ROUND(P201,2)=0,"Agrees",IF(P201&gt;0,"Dept higher - to invoice","Xero higher - check dept"))))))</f>
        <v/>
      </c>
      <c r="R201" s="10">
        <f>IF(AND($C201="",NOT(COUNTA($S201:$BB201)&gt;0),$BI201&lt;&gt;""),"",MID(IF($BI201="","; Row ID not found on the department sheet - a row was deleted","")&amp;IF(AND($C201="",COUNTA($S201:$BB201)&gt;0),"; Invoice entered but the department row has no job number","")&amp;IF(E201="CHECK","; Job number not in the Xero job list","")&amp;IF(AND($C201&lt;&gt;"",COUNTIF($C$7:$C$1506,$C201)&gt;1),"; Job number on more than one row","")&amp;IF(AND($C201&lt;&gt;"",H201=""),"; Dept has not set a cost centre","")&amp;IF(AND($C201&lt;&gt;"",J201=""),"; Dept has not set a tax code","")&amp;IF(AND($C201&lt;&gt;"",N201=""),"; Dept has not entered an expected value","")&amp;IF((IF(OR(COUNTA(S201:U201)=0,AND(COUNTA(S201:U201)=3,ISNUMBER(U201))),0,1)+IF(OR(COUNTA(V201:X201)=0,AND(COUNTA(V201:X201)=3,ISNUMBER(X201))),0,1)+IF(OR(COUNTA(Y201:AA201)=0,AND(COUNTA(Y201:AA201)=3,ISNUMBER(AA201))),0,1)+IF(OR(COUNTA(AB201:AD201)=0,AND(COUNTA(AB201:AD201)=3,ISNUMBER(AD201))),0,1)+IF(OR(COUNTA(AE201:AG201)=0,AND(COUNTA(AE201:AG201)=3,ISNUMBER(AG201))),0,1)+IF(OR(COUNTA(AH201:AJ201)=0,AND(COUNTA(AH201:AJ201)=3,ISNUMBER(AJ201))),0,1)+IF(OR(COUNTA(AK201:AM201)=0,AND(COUNTA(AK201:AM201)=3,ISNUMBER(AM201))),0,1)+IF(OR(COUNTA(AN201:AP201)=0,AND(COUNTA(AN201:AP201)=3,ISNUMBER(AP201))),0,1)+IF(OR(COUNTA(AQ201:AS201)=0,AND(COUNTA(AQ201:AS201)=3,ISNUMBER(AS201))),0,1)+IF(OR(COUNTA(AT201:AV201)=0,AND(COUNTA(AT201:AV201)=3,ISNUMBER(AV201))),0,1)+IF(OR(COUNTA(AW201:AY201)=0,AND(COUNTA(AW201:AY201)=3,ISNUMBER(AY201))),0,1)+IF(OR(COUNTA(AZ201:BB201)=0,AND(COUNTA(AZ201:BB201)=3,ISNUMBER(BB201))),0,1))&gt;0,"; An invoice is incomplete (needs No, Date and a number in Ex GST)","")&amp;IF((IF(T201="",0,IFERROR(--(EOMONTH(T201,0)&lt;&gt;S$5),1))+IF(W201="",0,IFERROR(--(EOMONTH(W201,0)&lt;&gt;V$5),1))+IF(Z201="",0,IFERROR(--(EOMONTH(Z201,0)&lt;&gt;Y$5),1))+IF(AC201="",0,IFERROR(--(EOMONTH(AC201,0)&lt;&gt;AB$5),1))+IF(AF201="",0,IFERROR(--(EOMONTH(AF201,0)&lt;&gt;AE$5),1))+IF(AI201="",0,IFERROR(--(EOMONTH(AI201,0)&lt;&gt;AH$5),1))+IF(AL201="",0,IFERROR(--(EOMONTH(AL201,0)&lt;&gt;AK$5),1))+IF(AO201="",0,IFERROR(--(EOMONTH(AO201,0)&lt;&gt;AN$5),1))+IF(AR201="",0,IFERROR(--(EOMONTH(AR201,0)&lt;&gt;AQ$5),1))+IF(AU201="",0,IFERROR(--(EOMONTH(AU201,0)&lt;&gt;AT$5),1))+IF(AX201="",0,IFERROR(--(EOMONTH(AX201,0)&lt;&gt;AW$5),1))+IF(BA201="",0,IFERROR(--(EOMONTH(BA201,0)&lt;&gt;AZ$5),1)))&gt;0,"; An invoice date is not in the month it is typed under",""),3,500))</f>
        <v/>
      </c>
      <c r="S201" s="12" t="n"/>
      <c r="T201" s="13" t="n"/>
      <c r="U201" s="14" t="n"/>
      <c r="V201" s="12" t="n"/>
      <c r="W201" s="13" t="n"/>
      <c r="X201" s="14" t="n"/>
      <c r="Y201" s="12" t="n"/>
      <c r="Z201" s="13" t="n"/>
      <c r="AA201" s="14" t="n"/>
      <c r="AB201" s="12" t="n"/>
      <c r="AC201" s="13" t="n"/>
      <c r="AD201" s="14" t="n"/>
      <c r="AE201" s="12" t="n"/>
      <c r="AF201" s="13" t="n"/>
      <c r="AG201" s="14" t="n"/>
      <c r="AH201" s="12" t="n"/>
      <c r="AI201" s="13" t="n"/>
      <c r="AJ201" s="14" t="n"/>
      <c r="AK201" s="12" t="n"/>
      <c r="AL201" s="13" t="n"/>
      <c r="AM201" s="14" t="n"/>
      <c r="AN201" s="12" t="n"/>
      <c r="AO201" s="13" t="n"/>
      <c r="AP201" s="14" t="n"/>
      <c r="AQ201" s="12" t="n"/>
      <c r="AR201" s="13" t="n"/>
      <c r="AS201" s="14" t="n"/>
      <c r="AT201" s="12" t="n"/>
      <c r="AU201" s="13" t="n"/>
      <c r="AV201" s="14" t="n"/>
      <c r="AW201" s="12" t="n"/>
      <c r="AX201" s="13" t="n"/>
      <c r="AY201" s="14" t="n"/>
      <c r="AZ201" s="12" t="n"/>
      <c r="BA201" s="13" t="n"/>
      <c r="BB201" s="14" t="n"/>
      <c r="BC201" s="11">
        <f>IF(O201="","",IF(J201="GST 10%",ROUND(O201*set_GSTRate,2),0))</f>
        <v/>
      </c>
      <c r="BD201" s="11">
        <f>IF(O201="","",O201+BC201)</f>
        <v/>
      </c>
      <c r="BE201" s="15">
        <f>IF(O201="","",COUNTA(S201,V201,Y201,AB201,AE201,AH201,AK201,AN201,AQ201,AT201,AW201,AZ201))</f>
        <v/>
      </c>
      <c r="BF201" s="16">
        <f>IF(COUNT(T201,W201,Z201,AC201,AF201,AI201,AL201,AO201,AR201,AU201,AX201,BA201)=0,"",MAX(T201,W201,Z201,AC201,AF201,AI201,AL201,AO201,AR201,AU201,AX201,BA201))</f>
        <v/>
      </c>
      <c r="BG201" s="10">
        <f>MID(IF(S201="","",", "&amp;S201)&amp;IF(V201="","",", "&amp;V201)&amp;IF(Y201="","",", "&amp;Y201)&amp;IF(AB201="","",", "&amp;AB201)&amp;IF(AE201="","",", "&amp;AE201)&amp;IF(AH201="","",", "&amp;AH201)&amp;IF(AK201="","",", "&amp;AK201)&amp;IF(AN201="","",", "&amp;AN201)&amp;IF(AQ201="","",", "&amp;AQ201)&amp;IF(AT201="","",", "&amp;AT201)&amp;IF(AW201="","",", "&amp;AW201)&amp;IF(AZ201="","",", "&amp;AZ201),3,500)</f>
        <v/>
      </c>
      <c r="BH201" s="12" t="n"/>
      <c r="BI201" s="15">
        <f>IFERROR(MATCH($A201,IF($B201="Onsite",tbl_Onsite[Row ID],IF($B201="Production",tbl_Production[Row ID],tbl_Consulting[Row ID])),0),"")</f>
        <v/>
      </c>
    </row>
    <row r="202">
      <c r="A202" s="10" t="inlineStr">
        <is>
          <t>ONS-0196</t>
        </is>
      </c>
      <c r="B202" s="10" t="inlineStr">
        <is>
          <t>Onsite</t>
        </is>
      </c>
      <c r="C202" s="10">
        <f>IF($BI202="","",IF($B202="Onsite",INDEX(tbl_Onsite[Job Number],$BI202),IF($B202="Production",INDEX(tbl_Production[Job Number],$BI202),INDEX(tbl_Consulting[Job Number],$BI202)))&amp;"")</f>
        <v/>
      </c>
      <c r="D202" s="10">
        <f>IF($BI202="","",IF($B202="Onsite",INDEX(tbl_Onsite[Client],$BI202),IF($B202="Production",INDEX(tbl_Production[Client],$BI202),INDEX(tbl_Consulting[Client],$BI202)))&amp;"")</f>
        <v/>
      </c>
      <c r="E202" s="10">
        <f>IF($C202="","",IF(COUNTIF(lst_Jobs,$C202)&gt;0,"OK","CHECK"))</f>
        <v/>
      </c>
      <c r="F202" s="10">
        <f>IF($C202="","",IFERROR(INDEX(lst_JobName,MATCH($C202,lst_Jobs,0)),""))</f>
        <v/>
      </c>
      <c r="G202" s="10">
        <f>IF($BI202="","",IF($B202="Onsite",INDEX(tbl_Onsite[Job Description],$BI202),IF($B202="Production",INDEX(tbl_Production[Job Description],$BI202),INDEX(tbl_Consulting[Job Description],$BI202)))&amp;"")</f>
        <v/>
      </c>
      <c r="H202" s="10">
        <f>IF($BI202="","",IF($B202="Onsite",INDEX(tbl_Onsite[Cost Centre],$BI202),IF($B202="Production",INDEX(tbl_Production[Cost Centre],$BI202),INDEX(tbl_Consulting[Cost Centre],$BI202)))&amp;"")</f>
        <v/>
      </c>
      <c r="I202" s="10">
        <f>IF($BI202="","",IF($B202="Onsite",INDEX(tbl_Onsite[Invoice Type],$BI202),IF($B202="Production",INDEX(tbl_Production[Invoice Type],$BI202),INDEX(tbl_Consulting[Invoice Type],$BI202)))&amp;"")</f>
        <v/>
      </c>
      <c r="J202" s="10">
        <f>IF($BI202="","",IF($B202="Onsite",INDEX(tbl_Onsite[Tax Code],$BI202),IF($B202="Production",INDEX(tbl_Production[Tax Code],$BI202),INDEX(tbl_Consulting[Tax Code],$BI202)))&amp;"")</f>
        <v/>
      </c>
      <c r="K202" s="10">
        <f>IF(H202="","",IFERROR(INDEX(lst_CCtoGL,MATCH(H202,lst_CCforGL,0)),""))</f>
        <v/>
      </c>
      <c r="L202" s="10">
        <f>IF($BI202="","",IF($B202="Onsite",INDEX(tbl_Onsite[PO / Reference],$BI202),IF($B202="Production",INDEX(tbl_Production[Current RMS No],$BI202),INDEX(tbl_Consulting[Qwilr Quote],$BI202)))&amp;"")</f>
        <v/>
      </c>
      <c r="M202" s="10">
        <f>IF($BI202="","",IF($B202="Onsite",INDEX(tbl_Onsite[Notes],$BI202),IF($B202="Production",INDEX(tbl_Production[Notes],$BI202),INDEX(tbl_Consulting[Notes],$BI202)))&amp;"")</f>
        <v/>
      </c>
      <c r="N202" s="11">
        <f>IF($BI202="","",IF(IF($B202="Onsite",INDEX(tbl_Onsite[Expected Revenue Ex GST],$BI202),IF($B202="Production",INDEX(tbl_Production[Expected Revenue Ex GST],$BI202),INDEX(tbl_Consulting[Expected Revenue Ex GST],$BI202)))="","",IF($B202="Onsite",INDEX(tbl_Onsite[Expected Revenue Ex GST],$BI202),IF($B202="Production",INDEX(tbl_Production[Expected Revenue Ex GST],$BI202),INDEX(tbl_Consulting[Expected Revenue Ex GST],$BI202)))))</f>
        <v/>
      </c>
      <c r="O202" s="11">
        <f>IF(AND($C202="",NOT(COUNTA($S202:$BB202)&gt;0)),"",SUM(U202,X202,AA202,AD202,AG202,AJ202,AM202,AP202,AS202,AV202,AY202,BB202))</f>
        <v/>
      </c>
      <c r="P202" s="11">
        <f>IF(O202="","",N(N202)-O202)</f>
        <v/>
      </c>
      <c r="Q202" s="10">
        <f>IF(O202="","",IF($C202="","Invoice on empty job row",IF(N202="",IF(ROUND(O202,2)=0,"No dept value","Invoiced - no dept value"),IF(ROUND(O202,2)=0,"Not invoiced - to invoice",IF(ROUND(P202,2)=0,"Agrees",IF(P202&gt;0,"Dept higher - to invoice","Xero higher - check dept"))))))</f>
        <v/>
      </c>
      <c r="R202" s="10">
        <f>IF(AND($C202="",NOT(COUNTA($S202:$BB202)&gt;0),$BI202&lt;&gt;""),"",MID(IF($BI202="","; Row ID not found on the department sheet - a row was deleted","")&amp;IF(AND($C202="",COUNTA($S202:$BB202)&gt;0),"; Invoice entered but the department row has no job number","")&amp;IF(E202="CHECK","; Job number not in the Xero job list","")&amp;IF(AND($C202&lt;&gt;"",COUNTIF($C$7:$C$1506,$C202)&gt;1),"; Job number on more than one row","")&amp;IF(AND($C202&lt;&gt;"",H202=""),"; Dept has not set a cost centre","")&amp;IF(AND($C202&lt;&gt;"",J202=""),"; Dept has not set a tax code","")&amp;IF(AND($C202&lt;&gt;"",N202=""),"; Dept has not entered an expected value","")&amp;IF((IF(OR(COUNTA(S202:U202)=0,AND(COUNTA(S202:U202)=3,ISNUMBER(U202))),0,1)+IF(OR(COUNTA(V202:X202)=0,AND(COUNTA(V202:X202)=3,ISNUMBER(X202))),0,1)+IF(OR(COUNTA(Y202:AA202)=0,AND(COUNTA(Y202:AA202)=3,ISNUMBER(AA202))),0,1)+IF(OR(COUNTA(AB202:AD202)=0,AND(COUNTA(AB202:AD202)=3,ISNUMBER(AD202))),0,1)+IF(OR(COUNTA(AE202:AG202)=0,AND(COUNTA(AE202:AG202)=3,ISNUMBER(AG202))),0,1)+IF(OR(COUNTA(AH202:AJ202)=0,AND(COUNTA(AH202:AJ202)=3,ISNUMBER(AJ202))),0,1)+IF(OR(COUNTA(AK202:AM202)=0,AND(COUNTA(AK202:AM202)=3,ISNUMBER(AM202))),0,1)+IF(OR(COUNTA(AN202:AP202)=0,AND(COUNTA(AN202:AP202)=3,ISNUMBER(AP202))),0,1)+IF(OR(COUNTA(AQ202:AS202)=0,AND(COUNTA(AQ202:AS202)=3,ISNUMBER(AS202))),0,1)+IF(OR(COUNTA(AT202:AV202)=0,AND(COUNTA(AT202:AV202)=3,ISNUMBER(AV202))),0,1)+IF(OR(COUNTA(AW202:AY202)=0,AND(COUNTA(AW202:AY202)=3,ISNUMBER(AY202))),0,1)+IF(OR(COUNTA(AZ202:BB202)=0,AND(COUNTA(AZ202:BB202)=3,ISNUMBER(BB202))),0,1))&gt;0,"; An invoice is incomplete (needs No, Date and a number in Ex GST)","")&amp;IF((IF(T202="",0,IFERROR(--(EOMONTH(T202,0)&lt;&gt;S$5),1))+IF(W202="",0,IFERROR(--(EOMONTH(W202,0)&lt;&gt;V$5),1))+IF(Z202="",0,IFERROR(--(EOMONTH(Z202,0)&lt;&gt;Y$5),1))+IF(AC202="",0,IFERROR(--(EOMONTH(AC202,0)&lt;&gt;AB$5),1))+IF(AF202="",0,IFERROR(--(EOMONTH(AF202,0)&lt;&gt;AE$5),1))+IF(AI202="",0,IFERROR(--(EOMONTH(AI202,0)&lt;&gt;AH$5),1))+IF(AL202="",0,IFERROR(--(EOMONTH(AL202,0)&lt;&gt;AK$5),1))+IF(AO202="",0,IFERROR(--(EOMONTH(AO202,0)&lt;&gt;AN$5),1))+IF(AR202="",0,IFERROR(--(EOMONTH(AR202,0)&lt;&gt;AQ$5),1))+IF(AU202="",0,IFERROR(--(EOMONTH(AU202,0)&lt;&gt;AT$5),1))+IF(AX202="",0,IFERROR(--(EOMONTH(AX202,0)&lt;&gt;AW$5),1))+IF(BA202="",0,IFERROR(--(EOMONTH(BA202,0)&lt;&gt;AZ$5),1)))&gt;0,"; An invoice date is not in the month it is typed under",""),3,500))</f>
        <v/>
      </c>
      <c r="S202" s="12" t="n"/>
      <c r="T202" s="13" t="n"/>
      <c r="U202" s="14" t="n"/>
      <c r="V202" s="12" t="n"/>
      <c r="W202" s="13" t="n"/>
      <c r="X202" s="14" t="n"/>
      <c r="Y202" s="12" t="n"/>
      <c r="Z202" s="13" t="n"/>
      <c r="AA202" s="14" t="n"/>
      <c r="AB202" s="12" t="n"/>
      <c r="AC202" s="13" t="n"/>
      <c r="AD202" s="14" t="n"/>
      <c r="AE202" s="12" t="n"/>
      <c r="AF202" s="13" t="n"/>
      <c r="AG202" s="14" t="n"/>
      <c r="AH202" s="12" t="n"/>
      <c r="AI202" s="13" t="n"/>
      <c r="AJ202" s="14" t="n"/>
      <c r="AK202" s="12" t="n"/>
      <c r="AL202" s="13" t="n"/>
      <c r="AM202" s="14" t="n"/>
      <c r="AN202" s="12" t="n"/>
      <c r="AO202" s="13" t="n"/>
      <c r="AP202" s="14" t="n"/>
      <c r="AQ202" s="12" t="n"/>
      <c r="AR202" s="13" t="n"/>
      <c r="AS202" s="14" t="n"/>
      <c r="AT202" s="12" t="n"/>
      <c r="AU202" s="13" t="n"/>
      <c r="AV202" s="14" t="n"/>
      <c r="AW202" s="12" t="n"/>
      <c r="AX202" s="13" t="n"/>
      <c r="AY202" s="14" t="n"/>
      <c r="AZ202" s="12" t="n"/>
      <c r="BA202" s="13" t="n"/>
      <c r="BB202" s="14" t="n"/>
      <c r="BC202" s="11">
        <f>IF(O202="","",IF(J202="GST 10%",ROUND(O202*set_GSTRate,2),0))</f>
        <v/>
      </c>
      <c r="BD202" s="11">
        <f>IF(O202="","",O202+BC202)</f>
        <v/>
      </c>
      <c r="BE202" s="15">
        <f>IF(O202="","",COUNTA(S202,V202,Y202,AB202,AE202,AH202,AK202,AN202,AQ202,AT202,AW202,AZ202))</f>
        <v/>
      </c>
      <c r="BF202" s="16">
        <f>IF(COUNT(T202,W202,Z202,AC202,AF202,AI202,AL202,AO202,AR202,AU202,AX202,BA202)=0,"",MAX(T202,W202,Z202,AC202,AF202,AI202,AL202,AO202,AR202,AU202,AX202,BA202))</f>
        <v/>
      </c>
      <c r="BG202" s="10">
        <f>MID(IF(S202="","",", "&amp;S202)&amp;IF(V202="","",", "&amp;V202)&amp;IF(Y202="","",", "&amp;Y202)&amp;IF(AB202="","",", "&amp;AB202)&amp;IF(AE202="","",", "&amp;AE202)&amp;IF(AH202="","",", "&amp;AH202)&amp;IF(AK202="","",", "&amp;AK202)&amp;IF(AN202="","",", "&amp;AN202)&amp;IF(AQ202="","",", "&amp;AQ202)&amp;IF(AT202="","",", "&amp;AT202)&amp;IF(AW202="","",", "&amp;AW202)&amp;IF(AZ202="","",", "&amp;AZ202),3,500)</f>
        <v/>
      </c>
      <c r="BH202" s="12" t="n"/>
      <c r="BI202" s="15">
        <f>IFERROR(MATCH($A202,IF($B202="Onsite",tbl_Onsite[Row ID],IF($B202="Production",tbl_Production[Row ID],tbl_Consulting[Row ID])),0),"")</f>
        <v/>
      </c>
    </row>
    <row r="203">
      <c r="A203" s="10" t="inlineStr">
        <is>
          <t>ONS-0197</t>
        </is>
      </c>
      <c r="B203" s="10" t="inlineStr">
        <is>
          <t>Onsite</t>
        </is>
      </c>
      <c r="C203" s="10">
        <f>IF($BI203="","",IF($B203="Onsite",INDEX(tbl_Onsite[Job Number],$BI203),IF($B203="Production",INDEX(tbl_Production[Job Number],$BI203),INDEX(tbl_Consulting[Job Number],$BI203)))&amp;"")</f>
        <v/>
      </c>
      <c r="D203" s="10">
        <f>IF($BI203="","",IF($B203="Onsite",INDEX(tbl_Onsite[Client],$BI203),IF($B203="Production",INDEX(tbl_Production[Client],$BI203),INDEX(tbl_Consulting[Client],$BI203)))&amp;"")</f>
        <v/>
      </c>
      <c r="E203" s="10">
        <f>IF($C203="","",IF(COUNTIF(lst_Jobs,$C203)&gt;0,"OK","CHECK"))</f>
        <v/>
      </c>
      <c r="F203" s="10">
        <f>IF($C203="","",IFERROR(INDEX(lst_JobName,MATCH($C203,lst_Jobs,0)),""))</f>
        <v/>
      </c>
      <c r="G203" s="10">
        <f>IF($BI203="","",IF($B203="Onsite",INDEX(tbl_Onsite[Job Description],$BI203),IF($B203="Production",INDEX(tbl_Production[Job Description],$BI203),INDEX(tbl_Consulting[Job Description],$BI203)))&amp;"")</f>
        <v/>
      </c>
      <c r="H203" s="10">
        <f>IF($BI203="","",IF($B203="Onsite",INDEX(tbl_Onsite[Cost Centre],$BI203),IF($B203="Production",INDEX(tbl_Production[Cost Centre],$BI203),INDEX(tbl_Consulting[Cost Centre],$BI203)))&amp;"")</f>
        <v/>
      </c>
      <c r="I203" s="10">
        <f>IF($BI203="","",IF($B203="Onsite",INDEX(tbl_Onsite[Invoice Type],$BI203),IF($B203="Production",INDEX(tbl_Production[Invoice Type],$BI203),INDEX(tbl_Consulting[Invoice Type],$BI203)))&amp;"")</f>
        <v/>
      </c>
      <c r="J203" s="10">
        <f>IF($BI203="","",IF($B203="Onsite",INDEX(tbl_Onsite[Tax Code],$BI203),IF($B203="Production",INDEX(tbl_Production[Tax Code],$BI203),INDEX(tbl_Consulting[Tax Code],$BI203)))&amp;"")</f>
        <v/>
      </c>
      <c r="K203" s="10">
        <f>IF(H203="","",IFERROR(INDEX(lst_CCtoGL,MATCH(H203,lst_CCforGL,0)),""))</f>
        <v/>
      </c>
      <c r="L203" s="10">
        <f>IF($BI203="","",IF($B203="Onsite",INDEX(tbl_Onsite[PO / Reference],$BI203),IF($B203="Production",INDEX(tbl_Production[Current RMS No],$BI203),INDEX(tbl_Consulting[Qwilr Quote],$BI203)))&amp;"")</f>
        <v/>
      </c>
      <c r="M203" s="10">
        <f>IF($BI203="","",IF($B203="Onsite",INDEX(tbl_Onsite[Notes],$BI203),IF($B203="Production",INDEX(tbl_Production[Notes],$BI203),INDEX(tbl_Consulting[Notes],$BI203)))&amp;"")</f>
        <v/>
      </c>
      <c r="N203" s="11">
        <f>IF($BI203="","",IF(IF($B203="Onsite",INDEX(tbl_Onsite[Expected Revenue Ex GST],$BI203),IF($B203="Production",INDEX(tbl_Production[Expected Revenue Ex GST],$BI203),INDEX(tbl_Consulting[Expected Revenue Ex GST],$BI203)))="","",IF($B203="Onsite",INDEX(tbl_Onsite[Expected Revenue Ex GST],$BI203),IF($B203="Production",INDEX(tbl_Production[Expected Revenue Ex GST],$BI203),INDEX(tbl_Consulting[Expected Revenue Ex GST],$BI203)))))</f>
        <v/>
      </c>
      <c r="O203" s="11">
        <f>IF(AND($C203="",NOT(COUNTA($S203:$BB203)&gt;0)),"",SUM(U203,X203,AA203,AD203,AG203,AJ203,AM203,AP203,AS203,AV203,AY203,BB203))</f>
        <v/>
      </c>
      <c r="P203" s="11">
        <f>IF(O203="","",N(N203)-O203)</f>
        <v/>
      </c>
      <c r="Q203" s="10">
        <f>IF(O203="","",IF($C203="","Invoice on empty job row",IF(N203="",IF(ROUND(O203,2)=0,"No dept value","Invoiced - no dept value"),IF(ROUND(O203,2)=0,"Not invoiced - to invoice",IF(ROUND(P203,2)=0,"Agrees",IF(P203&gt;0,"Dept higher - to invoice","Xero higher - check dept"))))))</f>
        <v/>
      </c>
      <c r="R203" s="10">
        <f>IF(AND($C203="",NOT(COUNTA($S203:$BB203)&gt;0),$BI203&lt;&gt;""),"",MID(IF($BI203="","; Row ID not found on the department sheet - a row was deleted","")&amp;IF(AND($C203="",COUNTA($S203:$BB203)&gt;0),"; Invoice entered but the department row has no job number","")&amp;IF(E203="CHECK","; Job number not in the Xero job list","")&amp;IF(AND($C203&lt;&gt;"",COUNTIF($C$7:$C$1506,$C203)&gt;1),"; Job number on more than one row","")&amp;IF(AND($C203&lt;&gt;"",H203=""),"; Dept has not set a cost centre","")&amp;IF(AND($C203&lt;&gt;"",J203=""),"; Dept has not set a tax code","")&amp;IF(AND($C203&lt;&gt;"",N203=""),"; Dept has not entered an expected value","")&amp;IF((IF(OR(COUNTA(S203:U203)=0,AND(COUNTA(S203:U203)=3,ISNUMBER(U203))),0,1)+IF(OR(COUNTA(V203:X203)=0,AND(COUNTA(V203:X203)=3,ISNUMBER(X203))),0,1)+IF(OR(COUNTA(Y203:AA203)=0,AND(COUNTA(Y203:AA203)=3,ISNUMBER(AA203))),0,1)+IF(OR(COUNTA(AB203:AD203)=0,AND(COUNTA(AB203:AD203)=3,ISNUMBER(AD203))),0,1)+IF(OR(COUNTA(AE203:AG203)=0,AND(COUNTA(AE203:AG203)=3,ISNUMBER(AG203))),0,1)+IF(OR(COUNTA(AH203:AJ203)=0,AND(COUNTA(AH203:AJ203)=3,ISNUMBER(AJ203))),0,1)+IF(OR(COUNTA(AK203:AM203)=0,AND(COUNTA(AK203:AM203)=3,ISNUMBER(AM203))),0,1)+IF(OR(COUNTA(AN203:AP203)=0,AND(COUNTA(AN203:AP203)=3,ISNUMBER(AP203))),0,1)+IF(OR(COUNTA(AQ203:AS203)=0,AND(COUNTA(AQ203:AS203)=3,ISNUMBER(AS203))),0,1)+IF(OR(COUNTA(AT203:AV203)=0,AND(COUNTA(AT203:AV203)=3,ISNUMBER(AV203))),0,1)+IF(OR(COUNTA(AW203:AY203)=0,AND(COUNTA(AW203:AY203)=3,ISNUMBER(AY203))),0,1)+IF(OR(COUNTA(AZ203:BB203)=0,AND(COUNTA(AZ203:BB203)=3,ISNUMBER(BB203))),0,1))&gt;0,"; An invoice is incomplete (needs No, Date and a number in Ex GST)","")&amp;IF((IF(T203="",0,IFERROR(--(EOMONTH(T203,0)&lt;&gt;S$5),1))+IF(W203="",0,IFERROR(--(EOMONTH(W203,0)&lt;&gt;V$5),1))+IF(Z203="",0,IFERROR(--(EOMONTH(Z203,0)&lt;&gt;Y$5),1))+IF(AC203="",0,IFERROR(--(EOMONTH(AC203,0)&lt;&gt;AB$5),1))+IF(AF203="",0,IFERROR(--(EOMONTH(AF203,0)&lt;&gt;AE$5),1))+IF(AI203="",0,IFERROR(--(EOMONTH(AI203,0)&lt;&gt;AH$5),1))+IF(AL203="",0,IFERROR(--(EOMONTH(AL203,0)&lt;&gt;AK$5),1))+IF(AO203="",0,IFERROR(--(EOMONTH(AO203,0)&lt;&gt;AN$5),1))+IF(AR203="",0,IFERROR(--(EOMONTH(AR203,0)&lt;&gt;AQ$5),1))+IF(AU203="",0,IFERROR(--(EOMONTH(AU203,0)&lt;&gt;AT$5),1))+IF(AX203="",0,IFERROR(--(EOMONTH(AX203,0)&lt;&gt;AW$5),1))+IF(BA203="",0,IFERROR(--(EOMONTH(BA203,0)&lt;&gt;AZ$5),1)))&gt;0,"; An invoice date is not in the month it is typed under",""),3,500))</f>
        <v/>
      </c>
      <c r="S203" s="12" t="n"/>
      <c r="T203" s="13" t="n"/>
      <c r="U203" s="14" t="n"/>
      <c r="V203" s="12" t="n"/>
      <c r="W203" s="13" t="n"/>
      <c r="X203" s="14" t="n"/>
      <c r="Y203" s="12" t="n"/>
      <c r="Z203" s="13" t="n"/>
      <c r="AA203" s="14" t="n"/>
      <c r="AB203" s="12" t="n"/>
      <c r="AC203" s="13" t="n"/>
      <c r="AD203" s="14" t="n"/>
      <c r="AE203" s="12" t="n"/>
      <c r="AF203" s="13" t="n"/>
      <c r="AG203" s="14" t="n"/>
      <c r="AH203" s="12" t="n"/>
      <c r="AI203" s="13" t="n"/>
      <c r="AJ203" s="14" t="n"/>
      <c r="AK203" s="12" t="n"/>
      <c r="AL203" s="13" t="n"/>
      <c r="AM203" s="14" t="n"/>
      <c r="AN203" s="12" t="n"/>
      <c r="AO203" s="13" t="n"/>
      <c r="AP203" s="14" t="n"/>
      <c r="AQ203" s="12" t="n"/>
      <c r="AR203" s="13" t="n"/>
      <c r="AS203" s="14" t="n"/>
      <c r="AT203" s="12" t="n"/>
      <c r="AU203" s="13" t="n"/>
      <c r="AV203" s="14" t="n"/>
      <c r="AW203" s="12" t="n"/>
      <c r="AX203" s="13" t="n"/>
      <c r="AY203" s="14" t="n"/>
      <c r="AZ203" s="12" t="n"/>
      <c r="BA203" s="13" t="n"/>
      <c r="BB203" s="14" t="n"/>
      <c r="BC203" s="11">
        <f>IF(O203="","",IF(J203="GST 10%",ROUND(O203*set_GSTRate,2),0))</f>
        <v/>
      </c>
      <c r="BD203" s="11">
        <f>IF(O203="","",O203+BC203)</f>
        <v/>
      </c>
      <c r="BE203" s="15">
        <f>IF(O203="","",COUNTA(S203,V203,Y203,AB203,AE203,AH203,AK203,AN203,AQ203,AT203,AW203,AZ203))</f>
        <v/>
      </c>
      <c r="BF203" s="16">
        <f>IF(COUNT(T203,W203,Z203,AC203,AF203,AI203,AL203,AO203,AR203,AU203,AX203,BA203)=0,"",MAX(T203,W203,Z203,AC203,AF203,AI203,AL203,AO203,AR203,AU203,AX203,BA203))</f>
        <v/>
      </c>
      <c r="BG203" s="10">
        <f>MID(IF(S203="","",", "&amp;S203)&amp;IF(V203="","",", "&amp;V203)&amp;IF(Y203="","",", "&amp;Y203)&amp;IF(AB203="","",", "&amp;AB203)&amp;IF(AE203="","",", "&amp;AE203)&amp;IF(AH203="","",", "&amp;AH203)&amp;IF(AK203="","",", "&amp;AK203)&amp;IF(AN203="","",", "&amp;AN203)&amp;IF(AQ203="","",", "&amp;AQ203)&amp;IF(AT203="","",", "&amp;AT203)&amp;IF(AW203="","",", "&amp;AW203)&amp;IF(AZ203="","",", "&amp;AZ203),3,500)</f>
        <v/>
      </c>
      <c r="BH203" s="12" t="n"/>
      <c r="BI203" s="15">
        <f>IFERROR(MATCH($A203,IF($B203="Onsite",tbl_Onsite[Row ID],IF($B203="Production",tbl_Production[Row ID],tbl_Consulting[Row ID])),0),"")</f>
        <v/>
      </c>
    </row>
    <row r="204">
      <c r="A204" s="10" t="inlineStr">
        <is>
          <t>ONS-0198</t>
        </is>
      </c>
      <c r="B204" s="10" t="inlineStr">
        <is>
          <t>Onsite</t>
        </is>
      </c>
      <c r="C204" s="10">
        <f>IF($BI204="","",IF($B204="Onsite",INDEX(tbl_Onsite[Job Number],$BI204),IF($B204="Production",INDEX(tbl_Production[Job Number],$BI204),INDEX(tbl_Consulting[Job Number],$BI204)))&amp;"")</f>
        <v/>
      </c>
      <c r="D204" s="10">
        <f>IF($BI204="","",IF($B204="Onsite",INDEX(tbl_Onsite[Client],$BI204),IF($B204="Production",INDEX(tbl_Production[Client],$BI204),INDEX(tbl_Consulting[Client],$BI204)))&amp;"")</f>
        <v/>
      </c>
      <c r="E204" s="10">
        <f>IF($C204="","",IF(COUNTIF(lst_Jobs,$C204)&gt;0,"OK","CHECK"))</f>
        <v/>
      </c>
      <c r="F204" s="10">
        <f>IF($C204="","",IFERROR(INDEX(lst_JobName,MATCH($C204,lst_Jobs,0)),""))</f>
        <v/>
      </c>
      <c r="G204" s="10">
        <f>IF($BI204="","",IF($B204="Onsite",INDEX(tbl_Onsite[Job Description],$BI204),IF($B204="Production",INDEX(tbl_Production[Job Description],$BI204),INDEX(tbl_Consulting[Job Description],$BI204)))&amp;"")</f>
        <v/>
      </c>
      <c r="H204" s="10">
        <f>IF($BI204="","",IF($B204="Onsite",INDEX(tbl_Onsite[Cost Centre],$BI204),IF($B204="Production",INDEX(tbl_Production[Cost Centre],$BI204),INDEX(tbl_Consulting[Cost Centre],$BI204)))&amp;"")</f>
        <v/>
      </c>
      <c r="I204" s="10">
        <f>IF($BI204="","",IF($B204="Onsite",INDEX(tbl_Onsite[Invoice Type],$BI204),IF($B204="Production",INDEX(tbl_Production[Invoice Type],$BI204),INDEX(tbl_Consulting[Invoice Type],$BI204)))&amp;"")</f>
        <v/>
      </c>
      <c r="J204" s="10">
        <f>IF($BI204="","",IF($B204="Onsite",INDEX(tbl_Onsite[Tax Code],$BI204),IF($B204="Production",INDEX(tbl_Production[Tax Code],$BI204),INDEX(tbl_Consulting[Tax Code],$BI204)))&amp;"")</f>
        <v/>
      </c>
      <c r="K204" s="10">
        <f>IF(H204="","",IFERROR(INDEX(lst_CCtoGL,MATCH(H204,lst_CCforGL,0)),""))</f>
        <v/>
      </c>
      <c r="L204" s="10">
        <f>IF($BI204="","",IF($B204="Onsite",INDEX(tbl_Onsite[PO / Reference],$BI204),IF($B204="Production",INDEX(tbl_Production[Current RMS No],$BI204),INDEX(tbl_Consulting[Qwilr Quote],$BI204)))&amp;"")</f>
        <v/>
      </c>
      <c r="M204" s="10">
        <f>IF($BI204="","",IF($B204="Onsite",INDEX(tbl_Onsite[Notes],$BI204),IF($B204="Production",INDEX(tbl_Production[Notes],$BI204),INDEX(tbl_Consulting[Notes],$BI204)))&amp;"")</f>
        <v/>
      </c>
      <c r="N204" s="11">
        <f>IF($BI204="","",IF(IF($B204="Onsite",INDEX(tbl_Onsite[Expected Revenue Ex GST],$BI204),IF($B204="Production",INDEX(tbl_Production[Expected Revenue Ex GST],$BI204),INDEX(tbl_Consulting[Expected Revenue Ex GST],$BI204)))="","",IF($B204="Onsite",INDEX(tbl_Onsite[Expected Revenue Ex GST],$BI204),IF($B204="Production",INDEX(tbl_Production[Expected Revenue Ex GST],$BI204),INDEX(tbl_Consulting[Expected Revenue Ex GST],$BI204)))))</f>
        <v/>
      </c>
      <c r="O204" s="11">
        <f>IF(AND($C204="",NOT(COUNTA($S204:$BB204)&gt;0)),"",SUM(U204,X204,AA204,AD204,AG204,AJ204,AM204,AP204,AS204,AV204,AY204,BB204))</f>
        <v/>
      </c>
      <c r="P204" s="11">
        <f>IF(O204="","",N(N204)-O204)</f>
        <v/>
      </c>
      <c r="Q204" s="10">
        <f>IF(O204="","",IF($C204="","Invoice on empty job row",IF(N204="",IF(ROUND(O204,2)=0,"No dept value","Invoiced - no dept value"),IF(ROUND(O204,2)=0,"Not invoiced - to invoice",IF(ROUND(P204,2)=0,"Agrees",IF(P204&gt;0,"Dept higher - to invoice","Xero higher - check dept"))))))</f>
        <v/>
      </c>
      <c r="R204" s="10">
        <f>IF(AND($C204="",NOT(COUNTA($S204:$BB204)&gt;0),$BI204&lt;&gt;""),"",MID(IF($BI204="","; Row ID not found on the department sheet - a row was deleted","")&amp;IF(AND($C204="",COUNTA($S204:$BB204)&gt;0),"; Invoice entered but the department row has no job number","")&amp;IF(E204="CHECK","; Job number not in the Xero job list","")&amp;IF(AND($C204&lt;&gt;"",COUNTIF($C$7:$C$1506,$C204)&gt;1),"; Job number on more than one row","")&amp;IF(AND($C204&lt;&gt;"",H204=""),"; Dept has not set a cost centre","")&amp;IF(AND($C204&lt;&gt;"",J204=""),"; Dept has not set a tax code","")&amp;IF(AND($C204&lt;&gt;"",N204=""),"; Dept has not entered an expected value","")&amp;IF((IF(OR(COUNTA(S204:U204)=0,AND(COUNTA(S204:U204)=3,ISNUMBER(U204))),0,1)+IF(OR(COUNTA(V204:X204)=0,AND(COUNTA(V204:X204)=3,ISNUMBER(X204))),0,1)+IF(OR(COUNTA(Y204:AA204)=0,AND(COUNTA(Y204:AA204)=3,ISNUMBER(AA204))),0,1)+IF(OR(COUNTA(AB204:AD204)=0,AND(COUNTA(AB204:AD204)=3,ISNUMBER(AD204))),0,1)+IF(OR(COUNTA(AE204:AG204)=0,AND(COUNTA(AE204:AG204)=3,ISNUMBER(AG204))),0,1)+IF(OR(COUNTA(AH204:AJ204)=0,AND(COUNTA(AH204:AJ204)=3,ISNUMBER(AJ204))),0,1)+IF(OR(COUNTA(AK204:AM204)=0,AND(COUNTA(AK204:AM204)=3,ISNUMBER(AM204))),0,1)+IF(OR(COUNTA(AN204:AP204)=0,AND(COUNTA(AN204:AP204)=3,ISNUMBER(AP204))),0,1)+IF(OR(COUNTA(AQ204:AS204)=0,AND(COUNTA(AQ204:AS204)=3,ISNUMBER(AS204))),0,1)+IF(OR(COUNTA(AT204:AV204)=0,AND(COUNTA(AT204:AV204)=3,ISNUMBER(AV204))),0,1)+IF(OR(COUNTA(AW204:AY204)=0,AND(COUNTA(AW204:AY204)=3,ISNUMBER(AY204))),0,1)+IF(OR(COUNTA(AZ204:BB204)=0,AND(COUNTA(AZ204:BB204)=3,ISNUMBER(BB204))),0,1))&gt;0,"; An invoice is incomplete (needs No, Date and a number in Ex GST)","")&amp;IF((IF(T204="",0,IFERROR(--(EOMONTH(T204,0)&lt;&gt;S$5),1))+IF(W204="",0,IFERROR(--(EOMONTH(W204,0)&lt;&gt;V$5),1))+IF(Z204="",0,IFERROR(--(EOMONTH(Z204,0)&lt;&gt;Y$5),1))+IF(AC204="",0,IFERROR(--(EOMONTH(AC204,0)&lt;&gt;AB$5),1))+IF(AF204="",0,IFERROR(--(EOMONTH(AF204,0)&lt;&gt;AE$5),1))+IF(AI204="",0,IFERROR(--(EOMONTH(AI204,0)&lt;&gt;AH$5),1))+IF(AL204="",0,IFERROR(--(EOMONTH(AL204,0)&lt;&gt;AK$5),1))+IF(AO204="",0,IFERROR(--(EOMONTH(AO204,0)&lt;&gt;AN$5),1))+IF(AR204="",0,IFERROR(--(EOMONTH(AR204,0)&lt;&gt;AQ$5),1))+IF(AU204="",0,IFERROR(--(EOMONTH(AU204,0)&lt;&gt;AT$5),1))+IF(AX204="",0,IFERROR(--(EOMONTH(AX204,0)&lt;&gt;AW$5),1))+IF(BA204="",0,IFERROR(--(EOMONTH(BA204,0)&lt;&gt;AZ$5),1)))&gt;0,"; An invoice date is not in the month it is typed under",""),3,500))</f>
        <v/>
      </c>
      <c r="S204" s="12" t="n"/>
      <c r="T204" s="13" t="n"/>
      <c r="U204" s="14" t="n"/>
      <c r="V204" s="12" t="n"/>
      <c r="W204" s="13" t="n"/>
      <c r="X204" s="14" t="n"/>
      <c r="Y204" s="12" t="n"/>
      <c r="Z204" s="13" t="n"/>
      <c r="AA204" s="14" t="n"/>
      <c r="AB204" s="12" t="n"/>
      <c r="AC204" s="13" t="n"/>
      <c r="AD204" s="14" t="n"/>
      <c r="AE204" s="12" t="n"/>
      <c r="AF204" s="13" t="n"/>
      <c r="AG204" s="14" t="n"/>
      <c r="AH204" s="12" t="n"/>
      <c r="AI204" s="13" t="n"/>
      <c r="AJ204" s="14" t="n"/>
      <c r="AK204" s="12" t="n"/>
      <c r="AL204" s="13" t="n"/>
      <c r="AM204" s="14" t="n"/>
      <c r="AN204" s="12" t="n"/>
      <c r="AO204" s="13" t="n"/>
      <c r="AP204" s="14" t="n"/>
      <c r="AQ204" s="12" t="n"/>
      <c r="AR204" s="13" t="n"/>
      <c r="AS204" s="14" t="n"/>
      <c r="AT204" s="12" t="n"/>
      <c r="AU204" s="13" t="n"/>
      <c r="AV204" s="14" t="n"/>
      <c r="AW204" s="12" t="n"/>
      <c r="AX204" s="13" t="n"/>
      <c r="AY204" s="14" t="n"/>
      <c r="AZ204" s="12" t="n"/>
      <c r="BA204" s="13" t="n"/>
      <c r="BB204" s="14" t="n"/>
      <c r="BC204" s="11">
        <f>IF(O204="","",IF(J204="GST 10%",ROUND(O204*set_GSTRate,2),0))</f>
        <v/>
      </c>
      <c r="BD204" s="11">
        <f>IF(O204="","",O204+BC204)</f>
        <v/>
      </c>
      <c r="BE204" s="15">
        <f>IF(O204="","",COUNTA(S204,V204,Y204,AB204,AE204,AH204,AK204,AN204,AQ204,AT204,AW204,AZ204))</f>
        <v/>
      </c>
      <c r="BF204" s="16">
        <f>IF(COUNT(T204,W204,Z204,AC204,AF204,AI204,AL204,AO204,AR204,AU204,AX204,BA204)=0,"",MAX(T204,W204,Z204,AC204,AF204,AI204,AL204,AO204,AR204,AU204,AX204,BA204))</f>
        <v/>
      </c>
      <c r="BG204" s="10">
        <f>MID(IF(S204="","",", "&amp;S204)&amp;IF(V204="","",", "&amp;V204)&amp;IF(Y204="","",", "&amp;Y204)&amp;IF(AB204="","",", "&amp;AB204)&amp;IF(AE204="","",", "&amp;AE204)&amp;IF(AH204="","",", "&amp;AH204)&amp;IF(AK204="","",", "&amp;AK204)&amp;IF(AN204="","",", "&amp;AN204)&amp;IF(AQ204="","",", "&amp;AQ204)&amp;IF(AT204="","",", "&amp;AT204)&amp;IF(AW204="","",", "&amp;AW204)&amp;IF(AZ204="","",", "&amp;AZ204),3,500)</f>
        <v/>
      </c>
      <c r="BH204" s="12" t="n"/>
      <c r="BI204" s="15">
        <f>IFERROR(MATCH($A204,IF($B204="Onsite",tbl_Onsite[Row ID],IF($B204="Production",tbl_Production[Row ID],tbl_Consulting[Row ID])),0),"")</f>
        <v/>
      </c>
    </row>
    <row r="205">
      <c r="A205" s="10" t="inlineStr">
        <is>
          <t>ONS-0199</t>
        </is>
      </c>
      <c r="B205" s="10" t="inlineStr">
        <is>
          <t>Onsite</t>
        </is>
      </c>
      <c r="C205" s="10">
        <f>IF($BI205="","",IF($B205="Onsite",INDEX(tbl_Onsite[Job Number],$BI205),IF($B205="Production",INDEX(tbl_Production[Job Number],$BI205),INDEX(tbl_Consulting[Job Number],$BI205)))&amp;"")</f>
        <v/>
      </c>
      <c r="D205" s="10">
        <f>IF($BI205="","",IF($B205="Onsite",INDEX(tbl_Onsite[Client],$BI205),IF($B205="Production",INDEX(tbl_Production[Client],$BI205),INDEX(tbl_Consulting[Client],$BI205)))&amp;"")</f>
        <v/>
      </c>
      <c r="E205" s="10">
        <f>IF($C205="","",IF(COUNTIF(lst_Jobs,$C205)&gt;0,"OK","CHECK"))</f>
        <v/>
      </c>
      <c r="F205" s="10">
        <f>IF($C205="","",IFERROR(INDEX(lst_JobName,MATCH($C205,lst_Jobs,0)),""))</f>
        <v/>
      </c>
      <c r="G205" s="10">
        <f>IF($BI205="","",IF($B205="Onsite",INDEX(tbl_Onsite[Job Description],$BI205),IF($B205="Production",INDEX(tbl_Production[Job Description],$BI205),INDEX(tbl_Consulting[Job Description],$BI205)))&amp;"")</f>
        <v/>
      </c>
      <c r="H205" s="10">
        <f>IF($BI205="","",IF($B205="Onsite",INDEX(tbl_Onsite[Cost Centre],$BI205),IF($B205="Production",INDEX(tbl_Production[Cost Centre],$BI205),INDEX(tbl_Consulting[Cost Centre],$BI205)))&amp;"")</f>
        <v/>
      </c>
      <c r="I205" s="10">
        <f>IF($BI205="","",IF($B205="Onsite",INDEX(tbl_Onsite[Invoice Type],$BI205),IF($B205="Production",INDEX(tbl_Production[Invoice Type],$BI205),INDEX(tbl_Consulting[Invoice Type],$BI205)))&amp;"")</f>
        <v/>
      </c>
      <c r="J205" s="10">
        <f>IF($BI205="","",IF($B205="Onsite",INDEX(tbl_Onsite[Tax Code],$BI205),IF($B205="Production",INDEX(tbl_Production[Tax Code],$BI205),INDEX(tbl_Consulting[Tax Code],$BI205)))&amp;"")</f>
        <v/>
      </c>
      <c r="K205" s="10">
        <f>IF(H205="","",IFERROR(INDEX(lst_CCtoGL,MATCH(H205,lst_CCforGL,0)),""))</f>
        <v/>
      </c>
      <c r="L205" s="10">
        <f>IF($BI205="","",IF($B205="Onsite",INDEX(tbl_Onsite[PO / Reference],$BI205),IF($B205="Production",INDEX(tbl_Production[Current RMS No],$BI205),INDEX(tbl_Consulting[Qwilr Quote],$BI205)))&amp;"")</f>
        <v/>
      </c>
      <c r="M205" s="10">
        <f>IF($BI205="","",IF($B205="Onsite",INDEX(tbl_Onsite[Notes],$BI205),IF($B205="Production",INDEX(tbl_Production[Notes],$BI205),INDEX(tbl_Consulting[Notes],$BI205)))&amp;"")</f>
        <v/>
      </c>
      <c r="N205" s="11">
        <f>IF($BI205="","",IF(IF($B205="Onsite",INDEX(tbl_Onsite[Expected Revenue Ex GST],$BI205),IF($B205="Production",INDEX(tbl_Production[Expected Revenue Ex GST],$BI205),INDEX(tbl_Consulting[Expected Revenue Ex GST],$BI205)))="","",IF($B205="Onsite",INDEX(tbl_Onsite[Expected Revenue Ex GST],$BI205),IF($B205="Production",INDEX(tbl_Production[Expected Revenue Ex GST],$BI205),INDEX(tbl_Consulting[Expected Revenue Ex GST],$BI205)))))</f>
        <v/>
      </c>
      <c r="O205" s="11">
        <f>IF(AND($C205="",NOT(COUNTA($S205:$BB205)&gt;0)),"",SUM(U205,X205,AA205,AD205,AG205,AJ205,AM205,AP205,AS205,AV205,AY205,BB205))</f>
        <v/>
      </c>
      <c r="P205" s="11">
        <f>IF(O205="","",N(N205)-O205)</f>
        <v/>
      </c>
      <c r="Q205" s="10">
        <f>IF(O205="","",IF($C205="","Invoice on empty job row",IF(N205="",IF(ROUND(O205,2)=0,"No dept value","Invoiced - no dept value"),IF(ROUND(O205,2)=0,"Not invoiced - to invoice",IF(ROUND(P205,2)=0,"Agrees",IF(P205&gt;0,"Dept higher - to invoice","Xero higher - check dept"))))))</f>
        <v/>
      </c>
      <c r="R205" s="10">
        <f>IF(AND($C205="",NOT(COUNTA($S205:$BB205)&gt;0),$BI205&lt;&gt;""),"",MID(IF($BI205="","; Row ID not found on the department sheet - a row was deleted","")&amp;IF(AND($C205="",COUNTA($S205:$BB205)&gt;0),"; Invoice entered but the department row has no job number","")&amp;IF(E205="CHECK","; Job number not in the Xero job list","")&amp;IF(AND($C205&lt;&gt;"",COUNTIF($C$7:$C$1506,$C205)&gt;1),"; Job number on more than one row","")&amp;IF(AND($C205&lt;&gt;"",H205=""),"; Dept has not set a cost centre","")&amp;IF(AND($C205&lt;&gt;"",J205=""),"; Dept has not set a tax code","")&amp;IF(AND($C205&lt;&gt;"",N205=""),"; Dept has not entered an expected value","")&amp;IF((IF(OR(COUNTA(S205:U205)=0,AND(COUNTA(S205:U205)=3,ISNUMBER(U205))),0,1)+IF(OR(COUNTA(V205:X205)=0,AND(COUNTA(V205:X205)=3,ISNUMBER(X205))),0,1)+IF(OR(COUNTA(Y205:AA205)=0,AND(COUNTA(Y205:AA205)=3,ISNUMBER(AA205))),0,1)+IF(OR(COUNTA(AB205:AD205)=0,AND(COUNTA(AB205:AD205)=3,ISNUMBER(AD205))),0,1)+IF(OR(COUNTA(AE205:AG205)=0,AND(COUNTA(AE205:AG205)=3,ISNUMBER(AG205))),0,1)+IF(OR(COUNTA(AH205:AJ205)=0,AND(COUNTA(AH205:AJ205)=3,ISNUMBER(AJ205))),0,1)+IF(OR(COUNTA(AK205:AM205)=0,AND(COUNTA(AK205:AM205)=3,ISNUMBER(AM205))),0,1)+IF(OR(COUNTA(AN205:AP205)=0,AND(COUNTA(AN205:AP205)=3,ISNUMBER(AP205))),0,1)+IF(OR(COUNTA(AQ205:AS205)=0,AND(COUNTA(AQ205:AS205)=3,ISNUMBER(AS205))),0,1)+IF(OR(COUNTA(AT205:AV205)=0,AND(COUNTA(AT205:AV205)=3,ISNUMBER(AV205))),0,1)+IF(OR(COUNTA(AW205:AY205)=0,AND(COUNTA(AW205:AY205)=3,ISNUMBER(AY205))),0,1)+IF(OR(COUNTA(AZ205:BB205)=0,AND(COUNTA(AZ205:BB205)=3,ISNUMBER(BB205))),0,1))&gt;0,"; An invoice is incomplete (needs No, Date and a number in Ex GST)","")&amp;IF((IF(T205="",0,IFERROR(--(EOMONTH(T205,0)&lt;&gt;S$5),1))+IF(W205="",0,IFERROR(--(EOMONTH(W205,0)&lt;&gt;V$5),1))+IF(Z205="",0,IFERROR(--(EOMONTH(Z205,0)&lt;&gt;Y$5),1))+IF(AC205="",0,IFERROR(--(EOMONTH(AC205,0)&lt;&gt;AB$5),1))+IF(AF205="",0,IFERROR(--(EOMONTH(AF205,0)&lt;&gt;AE$5),1))+IF(AI205="",0,IFERROR(--(EOMONTH(AI205,0)&lt;&gt;AH$5),1))+IF(AL205="",0,IFERROR(--(EOMONTH(AL205,0)&lt;&gt;AK$5),1))+IF(AO205="",0,IFERROR(--(EOMONTH(AO205,0)&lt;&gt;AN$5),1))+IF(AR205="",0,IFERROR(--(EOMONTH(AR205,0)&lt;&gt;AQ$5),1))+IF(AU205="",0,IFERROR(--(EOMONTH(AU205,0)&lt;&gt;AT$5),1))+IF(AX205="",0,IFERROR(--(EOMONTH(AX205,0)&lt;&gt;AW$5),1))+IF(BA205="",0,IFERROR(--(EOMONTH(BA205,0)&lt;&gt;AZ$5),1)))&gt;0,"; An invoice date is not in the month it is typed under",""),3,500))</f>
        <v/>
      </c>
      <c r="S205" s="12" t="n"/>
      <c r="T205" s="13" t="n"/>
      <c r="U205" s="14" t="n"/>
      <c r="V205" s="12" t="n"/>
      <c r="W205" s="13" t="n"/>
      <c r="X205" s="14" t="n"/>
      <c r="Y205" s="12" t="n"/>
      <c r="Z205" s="13" t="n"/>
      <c r="AA205" s="14" t="n"/>
      <c r="AB205" s="12" t="n"/>
      <c r="AC205" s="13" t="n"/>
      <c r="AD205" s="14" t="n"/>
      <c r="AE205" s="12" t="n"/>
      <c r="AF205" s="13" t="n"/>
      <c r="AG205" s="14" t="n"/>
      <c r="AH205" s="12" t="n"/>
      <c r="AI205" s="13" t="n"/>
      <c r="AJ205" s="14" t="n"/>
      <c r="AK205" s="12" t="n"/>
      <c r="AL205" s="13" t="n"/>
      <c r="AM205" s="14" t="n"/>
      <c r="AN205" s="12" t="n"/>
      <c r="AO205" s="13" t="n"/>
      <c r="AP205" s="14" t="n"/>
      <c r="AQ205" s="12" t="n"/>
      <c r="AR205" s="13" t="n"/>
      <c r="AS205" s="14" t="n"/>
      <c r="AT205" s="12" t="n"/>
      <c r="AU205" s="13" t="n"/>
      <c r="AV205" s="14" t="n"/>
      <c r="AW205" s="12" t="n"/>
      <c r="AX205" s="13" t="n"/>
      <c r="AY205" s="14" t="n"/>
      <c r="AZ205" s="12" t="n"/>
      <c r="BA205" s="13" t="n"/>
      <c r="BB205" s="14" t="n"/>
      <c r="BC205" s="11">
        <f>IF(O205="","",IF(J205="GST 10%",ROUND(O205*set_GSTRate,2),0))</f>
        <v/>
      </c>
      <c r="BD205" s="11">
        <f>IF(O205="","",O205+BC205)</f>
        <v/>
      </c>
      <c r="BE205" s="15">
        <f>IF(O205="","",COUNTA(S205,V205,Y205,AB205,AE205,AH205,AK205,AN205,AQ205,AT205,AW205,AZ205))</f>
        <v/>
      </c>
      <c r="BF205" s="16">
        <f>IF(COUNT(T205,W205,Z205,AC205,AF205,AI205,AL205,AO205,AR205,AU205,AX205,BA205)=0,"",MAX(T205,W205,Z205,AC205,AF205,AI205,AL205,AO205,AR205,AU205,AX205,BA205))</f>
        <v/>
      </c>
      <c r="BG205" s="10">
        <f>MID(IF(S205="","",", "&amp;S205)&amp;IF(V205="","",", "&amp;V205)&amp;IF(Y205="","",", "&amp;Y205)&amp;IF(AB205="","",", "&amp;AB205)&amp;IF(AE205="","",", "&amp;AE205)&amp;IF(AH205="","",", "&amp;AH205)&amp;IF(AK205="","",", "&amp;AK205)&amp;IF(AN205="","",", "&amp;AN205)&amp;IF(AQ205="","",", "&amp;AQ205)&amp;IF(AT205="","",", "&amp;AT205)&amp;IF(AW205="","",", "&amp;AW205)&amp;IF(AZ205="","",", "&amp;AZ205),3,500)</f>
        <v/>
      </c>
      <c r="BH205" s="12" t="n"/>
      <c r="BI205" s="15">
        <f>IFERROR(MATCH($A205,IF($B205="Onsite",tbl_Onsite[Row ID],IF($B205="Production",tbl_Production[Row ID],tbl_Consulting[Row ID])),0),"")</f>
        <v/>
      </c>
    </row>
    <row r="206">
      <c r="A206" s="10" t="inlineStr">
        <is>
          <t>ONS-0200</t>
        </is>
      </c>
      <c r="B206" s="10" t="inlineStr">
        <is>
          <t>Onsite</t>
        </is>
      </c>
      <c r="C206" s="10">
        <f>IF($BI206="","",IF($B206="Onsite",INDEX(tbl_Onsite[Job Number],$BI206),IF($B206="Production",INDEX(tbl_Production[Job Number],$BI206),INDEX(tbl_Consulting[Job Number],$BI206)))&amp;"")</f>
        <v/>
      </c>
      <c r="D206" s="10">
        <f>IF($BI206="","",IF($B206="Onsite",INDEX(tbl_Onsite[Client],$BI206),IF($B206="Production",INDEX(tbl_Production[Client],$BI206),INDEX(tbl_Consulting[Client],$BI206)))&amp;"")</f>
        <v/>
      </c>
      <c r="E206" s="10">
        <f>IF($C206="","",IF(COUNTIF(lst_Jobs,$C206)&gt;0,"OK","CHECK"))</f>
        <v/>
      </c>
      <c r="F206" s="10">
        <f>IF($C206="","",IFERROR(INDEX(lst_JobName,MATCH($C206,lst_Jobs,0)),""))</f>
        <v/>
      </c>
      <c r="G206" s="10">
        <f>IF($BI206="","",IF($B206="Onsite",INDEX(tbl_Onsite[Job Description],$BI206),IF($B206="Production",INDEX(tbl_Production[Job Description],$BI206),INDEX(tbl_Consulting[Job Description],$BI206)))&amp;"")</f>
        <v/>
      </c>
      <c r="H206" s="10">
        <f>IF($BI206="","",IF($B206="Onsite",INDEX(tbl_Onsite[Cost Centre],$BI206),IF($B206="Production",INDEX(tbl_Production[Cost Centre],$BI206),INDEX(tbl_Consulting[Cost Centre],$BI206)))&amp;"")</f>
        <v/>
      </c>
      <c r="I206" s="10">
        <f>IF($BI206="","",IF($B206="Onsite",INDEX(tbl_Onsite[Invoice Type],$BI206),IF($B206="Production",INDEX(tbl_Production[Invoice Type],$BI206),INDEX(tbl_Consulting[Invoice Type],$BI206)))&amp;"")</f>
        <v/>
      </c>
      <c r="J206" s="10">
        <f>IF($BI206="","",IF($B206="Onsite",INDEX(tbl_Onsite[Tax Code],$BI206),IF($B206="Production",INDEX(tbl_Production[Tax Code],$BI206),INDEX(tbl_Consulting[Tax Code],$BI206)))&amp;"")</f>
        <v/>
      </c>
      <c r="K206" s="10">
        <f>IF(H206="","",IFERROR(INDEX(lst_CCtoGL,MATCH(H206,lst_CCforGL,0)),""))</f>
        <v/>
      </c>
      <c r="L206" s="10">
        <f>IF($BI206="","",IF($B206="Onsite",INDEX(tbl_Onsite[PO / Reference],$BI206),IF($B206="Production",INDEX(tbl_Production[Current RMS No],$BI206),INDEX(tbl_Consulting[Qwilr Quote],$BI206)))&amp;"")</f>
        <v/>
      </c>
      <c r="M206" s="10">
        <f>IF($BI206="","",IF($B206="Onsite",INDEX(tbl_Onsite[Notes],$BI206),IF($B206="Production",INDEX(tbl_Production[Notes],$BI206),INDEX(tbl_Consulting[Notes],$BI206)))&amp;"")</f>
        <v/>
      </c>
      <c r="N206" s="11">
        <f>IF($BI206="","",IF(IF($B206="Onsite",INDEX(tbl_Onsite[Expected Revenue Ex GST],$BI206),IF($B206="Production",INDEX(tbl_Production[Expected Revenue Ex GST],$BI206),INDEX(tbl_Consulting[Expected Revenue Ex GST],$BI206)))="","",IF($B206="Onsite",INDEX(tbl_Onsite[Expected Revenue Ex GST],$BI206),IF($B206="Production",INDEX(tbl_Production[Expected Revenue Ex GST],$BI206),INDEX(tbl_Consulting[Expected Revenue Ex GST],$BI206)))))</f>
        <v/>
      </c>
      <c r="O206" s="11">
        <f>IF(AND($C206="",NOT(COUNTA($S206:$BB206)&gt;0)),"",SUM(U206,X206,AA206,AD206,AG206,AJ206,AM206,AP206,AS206,AV206,AY206,BB206))</f>
        <v/>
      </c>
      <c r="P206" s="11">
        <f>IF(O206="","",N(N206)-O206)</f>
        <v/>
      </c>
      <c r="Q206" s="10">
        <f>IF(O206="","",IF($C206="","Invoice on empty job row",IF(N206="",IF(ROUND(O206,2)=0,"No dept value","Invoiced - no dept value"),IF(ROUND(O206,2)=0,"Not invoiced - to invoice",IF(ROUND(P206,2)=0,"Agrees",IF(P206&gt;0,"Dept higher - to invoice","Xero higher - check dept"))))))</f>
        <v/>
      </c>
      <c r="R206" s="10">
        <f>IF(AND($C206="",NOT(COUNTA($S206:$BB206)&gt;0),$BI206&lt;&gt;""),"",MID(IF($BI206="","; Row ID not found on the department sheet - a row was deleted","")&amp;IF(AND($C206="",COUNTA($S206:$BB206)&gt;0),"; Invoice entered but the department row has no job number","")&amp;IF(E206="CHECK","; Job number not in the Xero job list","")&amp;IF(AND($C206&lt;&gt;"",COUNTIF($C$7:$C$1506,$C206)&gt;1),"; Job number on more than one row","")&amp;IF(AND($C206&lt;&gt;"",H206=""),"; Dept has not set a cost centre","")&amp;IF(AND($C206&lt;&gt;"",J206=""),"; Dept has not set a tax code","")&amp;IF(AND($C206&lt;&gt;"",N206=""),"; Dept has not entered an expected value","")&amp;IF((IF(OR(COUNTA(S206:U206)=0,AND(COUNTA(S206:U206)=3,ISNUMBER(U206))),0,1)+IF(OR(COUNTA(V206:X206)=0,AND(COUNTA(V206:X206)=3,ISNUMBER(X206))),0,1)+IF(OR(COUNTA(Y206:AA206)=0,AND(COUNTA(Y206:AA206)=3,ISNUMBER(AA206))),0,1)+IF(OR(COUNTA(AB206:AD206)=0,AND(COUNTA(AB206:AD206)=3,ISNUMBER(AD206))),0,1)+IF(OR(COUNTA(AE206:AG206)=0,AND(COUNTA(AE206:AG206)=3,ISNUMBER(AG206))),0,1)+IF(OR(COUNTA(AH206:AJ206)=0,AND(COUNTA(AH206:AJ206)=3,ISNUMBER(AJ206))),0,1)+IF(OR(COUNTA(AK206:AM206)=0,AND(COUNTA(AK206:AM206)=3,ISNUMBER(AM206))),0,1)+IF(OR(COUNTA(AN206:AP206)=0,AND(COUNTA(AN206:AP206)=3,ISNUMBER(AP206))),0,1)+IF(OR(COUNTA(AQ206:AS206)=0,AND(COUNTA(AQ206:AS206)=3,ISNUMBER(AS206))),0,1)+IF(OR(COUNTA(AT206:AV206)=0,AND(COUNTA(AT206:AV206)=3,ISNUMBER(AV206))),0,1)+IF(OR(COUNTA(AW206:AY206)=0,AND(COUNTA(AW206:AY206)=3,ISNUMBER(AY206))),0,1)+IF(OR(COUNTA(AZ206:BB206)=0,AND(COUNTA(AZ206:BB206)=3,ISNUMBER(BB206))),0,1))&gt;0,"; An invoice is incomplete (needs No, Date and a number in Ex GST)","")&amp;IF((IF(T206="",0,IFERROR(--(EOMONTH(T206,0)&lt;&gt;S$5),1))+IF(W206="",0,IFERROR(--(EOMONTH(W206,0)&lt;&gt;V$5),1))+IF(Z206="",0,IFERROR(--(EOMONTH(Z206,0)&lt;&gt;Y$5),1))+IF(AC206="",0,IFERROR(--(EOMONTH(AC206,0)&lt;&gt;AB$5),1))+IF(AF206="",0,IFERROR(--(EOMONTH(AF206,0)&lt;&gt;AE$5),1))+IF(AI206="",0,IFERROR(--(EOMONTH(AI206,0)&lt;&gt;AH$5),1))+IF(AL206="",0,IFERROR(--(EOMONTH(AL206,0)&lt;&gt;AK$5),1))+IF(AO206="",0,IFERROR(--(EOMONTH(AO206,0)&lt;&gt;AN$5),1))+IF(AR206="",0,IFERROR(--(EOMONTH(AR206,0)&lt;&gt;AQ$5),1))+IF(AU206="",0,IFERROR(--(EOMONTH(AU206,0)&lt;&gt;AT$5),1))+IF(AX206="",0,IFERROR(--(EOMONTH(AX206,0)&lt;&gt;AW$5),1))+IF(BA206="",0,IFERROR(--(EOMONTH(BA206,0)&lt;&gt;AZ$5),1)))&gt;0,"; An invoice date is not in the month it is typed under",""),3,500))</f>
        <v/>
      </c>
      <c r="S206" s="12" t="n"/>
      <c r="T206" s="13" t="n"/>
      <c r="U206" s="14" t="n"/>
      <c r="V206" s="12" t="n"/>
      <c r="W206" s="13" t="n"/>
      <c r="X206" s="14" t="n"/>
      <c r="Y206" s="12" t="n"/>
      <c r="Z206" s="13" t="n"/>
      <c r="AA206" s="14" t="n"/>
      <c r="AB206" s="12" t="n"/>
      <c r="AC206" s="13" t="n"/>
      <c r="AD206" s="14" t="n"/>
      <c r="AE206" s="12" t="n"/>
      <c r="AF206" s="13" t="n"/>
      <c r="AG206" s="14" t="n"/>
      <c r="AH206" s="12" t="n"/>
      <c r="AI206" s="13" t="n"/>
      <c r="AJ206" s="14" t="n"/>
      <c r="AK206" s="12" t="n"/>
      <c r="AL206" s="13" t="n"/>
      <c r="AM206" s="14" t="n"/>
      <c r="AN206" s="12" t="n"/>
      <c r="AO206" s="13" t="n"/>
      <c r="AP206" s="14" t="n"/>
      <c r="AQ206" s="12" t="n"/>
      <c r="AR206" s="13" t="n"/>
      <c r="AS206" s="14" t="n"/>
      <c r="AT206" s="12" t="n"/>
      <c r="AU206" s="13" t="n"/>
      <c r="AV206" s="14" t="n"/>
      <c r="AW206" s="12" t="n"/>
      <c r="AX206" s="13" t="n"/>
      <c r="AY206" s="14" t="n"/>
      <c r="AZ206" s="12" t="n"/>
      <c r="BA206" s="13" t="n"/>
      <c r="BB206" s="14" t="n"/>
      <c r="BC206" s="11">
        <f>IF(O206="","",IF(J206="GST 10%",ROUND(O206*set_GSTRate,2),0))</f>
        <v/>
      </c>
      <c r="BD206" s="11">
        <f>IF(O206="","",O206+BC206)</f>
        <v/>
      </c>
      <c r="BE206" s="15">
        <f>IF(O206="","",COUNTA(S206,V206,Y206,AB206,AE206,AH206,AK206,AN206,AQ206,AT206,AW206,AZ206))</f>
        <v/>
      </c>
      <c r="BF206" s="16">
        <f>IF(COUNT(T206,W206,Z206,AC206,AF206,AI206,AL206,AO206,AR206,AU206,AX206,BA206)=0,"",MAX(T206,W206,Z206,AC206,AF206,AI206,AL206,AO206,AR206,AU206,AX206,BA206))</f>
        <v/>
      </c>
      <c r="BG206" s="10">
        <f>MID(IF(S206="","",", "&amp;S206)&amp;IF(V206="","",", "&amp;V206)&amp;IF(Y206="","",", "&amp;Y206)&amp;IF(AB206="","",", "&amp;AB206)&amp;IF(AE206="","",", "&amp;AE206)&amp;IF(AH206="","",", "&amp;AH206)&amp;IF(AK206="","",", "&amp;AK206)&amp;IF(AN206="","",", "&amp;AN206)&amp;IF(AQ206="","",", "&amp;AQ206)&amp;IF(AT206="","",", "&amp;AT206)&amp;IF(AW206="","",", "&amp;AW206)&amp;IF(AZ206="","",", "&amp;AZ206),3,500)</f>
        <v/>
      </c>
      <c r="BH206" s="12" t="n"/>
      <c r="BI206" s="15">
        <f>IFERROR(MATCH($A206,IF($B206="Onsite",tbl_Onsite[Row ID],IF($B206="Production",tbl_Production[Row ID],tbl_Consulting[Row ID])),0),"")</f>
        <v/>
      </c>
    </row>
    <row r="207">
      <c r="A207" s="10" t="inlineStr">
        <is>
          <t>ONS-0201</t>
        </is>
      </c>
      <c r="B207" s="10" t="inlineStr">
        <is>
          <t>Onsite</t>
        </is>
      </c>
      <c r="C207" s="10">
        <f>IF($BI207="","",IF($B207="Onsite",INDEX(tbl_Onsite[Job Number],$BI207),IF($B207="Production",INDEX(tbl_Production[Job Number],$BI207),INDEX(tbl_Consulting[Job Number],$BI207)))&amp;"")</f>
        <v/>
      </c>
      <c r="D207" s="10">
        <f>IF($BI207="","",IF($B207="Onsite",INDEX(tbl_Onsite[Client],$BI207),IF($B207="Production",INDEX(tbl_Production[Client],$BI207),INDEX(tbl_Consulting[Client],$BI207)))&amp;"")</f>
        <v/>
      </c>
      <c r="E207" s="10">
        <f>IF($C207="","",IF(COUNTIF(lst_Jobs,$C207)&gt;0,"OK","CHECK"))</f>
        <v/>
      </c>
      <c r="F207" s="10">
        <f>IF($C207="","",IFERROR(INDEX(lst_JobName,MATCH($C207,lst_Jobs,0)),""))</f>
        <v/>
      </c>
      <c r="G207" s="10">
        <f>IF($BI207="","",IF($B207="Onsite",INDEX(tbl_Onsite[Job Description],$BI207),IF($B207="Production",INDEX(tbl_Production[Job Description],$BI207),INDEX(tbl_Consulting[Job Description],$BI207)))&amp;"")</f>
        <v/>
      </c>
      <c r="H207" s="10">
        <f>IF($BI207="","",IF($B207="Onsite",INDEX(tbl_Onsite[Cost Centre],$BI207),IF($B207="Production",INDEX(tbl_Production[Cost Centre],$BI207),INDEX(tbl_Consulting[Cost Centre],$BI207)))&amp;"")</f>
        <v/>
      </c>
      <c r="I207" s="10">
        <f>IF($BI207="","",IF($B207="Onsite",INDEX(tbl_Onsite[Invoice Type],$BI207),IF($B207="Production",INDEX(tbl_Production[Invoice Type],$BI207),INDEX(tbl_Consulting[Invoice Type],$BI207)))&amp;"")</f>
        <v/>
      </c>
      <c r="J207" s="10">
        <f>IF($BI207="","",IF($B207="Onsite",INDEX(tbl_Onsite[Tax Code],$BI207),IF($B207="Production",INDEX(tbl_Production[Tax Code],$BI207),INDEX(tbl_Consulting[Tax Code],$BI207)))&amp;"")</f>
        <v/>
      </c>
      <c r="K207" s="10">
        <f>IF(H207="","",IFERROR(INDEX(lst_CCtoGL,MATCH(H207,lst_CCforGL,0)),""))</f>
        <v/>
      </c>
      <c r="L207" s="10">
        <f>IF($BI207="","",IF($B207="Onsite",INDEX(tbl_Onsite[PO / Reference],$BI207),IF($B207="Production",INDEX(tbl_Production[Current RMS No],$BI207),INDEX(tbl_Consulting[Qwilr Quote],$BI207)))&amp;"")</f>
        <v/>
      </c>
      <c r="M207" s="10">
        <f>IF($BI207="","",IF($B207="Onsite",INDEX(tbl_Onsite[Notes],$BI207),IF($B207="Production",INDEX(tbl_Production[Notes],$BI207),INDEX(tbl_Consulting[Notes],$BI207)))&amp;"")</f>
        <v/>
      </c>
      <c r="N207" s="11">
        <f>IF($BI207="","",IF(IF($B207="Onsite",INDEX(tbl_Onsite[Expected Revenue Ex GST],$BI207),IF($B207="Production",INDEX(tbl_Production[Expected Revenue Ex GST],$BI207),INDEX(tbl_Consulting[Expected Revenue Ex GST],$BI207)))="","",IF($B207="Onsite",INDEX(tbl_Onsite[Expected Revenue Ex GST],$BI207),IF($B207="Production",INDEX(tbl_Production[Expected Revenue Ex GST],$BI207),INDEX(tbl_Consulting[Expected Revenue Ex GST],$BI207)))))</f>
        <v/>
      </c>
      <c r="O207" s="11">
        <f>IF(AND($C207="",NOT(COUNTA($S207:$BB207)&gt;0)),"",SUM(U207,X207,AA207,AD207,AG207,AJ207,AM207,AP207,AS207,AV207,AY207,BB207))</f>
        <v/>
      </c>
      <c r="P207" s="11">
        <f>IF(O207="","",N(N207)-O207)</f>
        <v/>
      </c>
      <c r="Q207" s="10">
        <f>IF(O207="","",IF($C207="","Invoice on empty job row",IF(N207="",IF(ROUND(O207,2)=0,"No dept value","Invoiced - no dept value"),IF(ROUND(O207,2)=0,"Not invoiced - to invoice",IF(ROUND(P207,2)=0,"Agrees",IF(P207&gt;0,"Dept higher - to invoice","Xero higher - check dept"))))))</f>
        <v/>
      </c>
      <c r="R207" s="10">
        <f>IF(AND($C207="",NOT(COUNTA($S207:$BB207)&gt;0),$BI207&lt;&gt;""),"",MID(IF($BI207="","; Row ID not found on the department sheet - a row was deleted","")&amp;IF(AND($C207="",COUNTA($S207:$BB207)&gt;0),"; Invoice entered but the department row has no job number","")&amp;IF(E207="CHECK","; Job number not in the Xero job list","")&amp;IF(AND($C207&lt;&gt;"",COUNTIF($C$7:$C$1506,$C207)&gt;1),"; Job number on more than one row","")&amp;IF(AND($C207&lt;&gt;"",H207=""),"; Dept has not set a cost centre","")&amp;IF(AND($C207&lt;&gt;"",J207=""),"; Dept has not set a tax code","")&amp;IF(AND($C207&lt;&gt;"",N207=""),"; Dept has not entered an expected value","")&amp;IF((IF(OR(COUNTA(S207:U207)=0,AND(COUNTA(S207:U207)=3,ISNUMBER(U207))),0,1)+IF(OR(COUNTA(V207:X207)=0,AND(COUNTA(V207:X207)=3,ISNUMBER(X207))),0,1)+IF(OR(COUNTA(Y207:AA207)=0,AND(COUNTA(Y207:AA207)=3,ISNUMBER(AA207))),0,1)+IF(OR(COUNTA(AB207:AD207)=0,AND(COUNTA(AB207:AD207)=3,ISNUMBER(AD207))),0,1)+IF(OR(COUNTA(AE207:AG207)=0,AND(COUNTA(AE207:AG207)=3,ISNUMBER(AG207))),0,1)+IF(OR(COUNTA(AH207:AJ207)=0,AND(COUNTA(AH207:AJ207)=3,ISNUMBER(AJ207))),0,1)+IF(OR(COUNTA(AK207:AM207)=0,AND(COUNTA(AK207:AM207)=3,ISNUMBER(AM207))),0,1)+IF(OR(COUNTA(AN207:AP207)=0,AND(COUNTA(AN207:AP207)=3,ISNUMBER(AP207))),0,1)+IF(OR(COUNTA(AQ207:AS207)=0,AND(COUNTA(AQ207:AS207)=3,ISNUMBER(AS207))),0,1)+IF(OR(COUNTA(AT207:AV207)=0,AND(COUNTA(AT207:AV207)=3,ISNUMBER(AV207))),0,1)+IF(OR(COUNTA(AW207:AY207)=0,AND(COUNTA(AW207:AY207)=3,ISNUMBER(AY207))),0,1)+IF(OR(COUNTA(AZ207:BB207)=0,AND(COUNTA(AZ207:BB207)=3,ISNUMBER(BB207))),0,1))&gt;0,"; An invoice is incomplete (needs No, Date and a number in Ex GST)","")&amp;IF((IF(T207="",0,IFERROR(--(EOMONTH(T207,0)&lt;&gt;S$5),1))+IF(W207="",0,IFERROR(--(EOMONTH(W207,0)&lt;&gt;V$5),1))+IF(Z207="",0,IFERROR(--(EOMONTH(Z207,0)&lt;&gt;Y$5),1))+IF(AC207="",0,IFERROR(--(EOMONTH(AC207,0)&lt;&gt;AB$5),1))+IF(AF207="",0,IFERROR(--(EOMONTH(AF207,0)&lt;&gt;AE$5),1))+IF(AI207="",0,IFERROR(--(EOMONTH(AI207,0)&lt;&gt;AH$5),1))+IF(AL207="",0,IFERROR(--(EOMONTH(AL207,0)&lt;&gt;AK$5),1))+IF(AO207="",0,IFERROR(--(EOMONTH(AO207,0)&lt;&gt;AN$5),1))+IF(AR207="",0,IFERROR(--(EOMONTH(AR207,0)&lt;&gt;AQ$5),1))+IF(AU207="",0,IFERROR(--(EOMONTH(AU207,0)&lt;&gt;AT$5),1))+IF(AX207="",0,IFERROR(--(EOMONTH(AX207,0)&lt;&gt;AW$5),1))+IF(BA207="",0,IFERROR(--(EOMONTH(BA207,0)&lt;&gt;AZ$5),1)))&gt;0,"; An invoice date is not in the month it is typed under",""),3,500))</f>
        <v/>
      </c>
      <c r="S207" s="12" t="n"/>
      <c r="T207" s="13" t="n"/>
      <c r="U207" s="14" t="n"/>
      <c r="V207" s="12" t="n"/>
      <c r="W207" s="13" t="n"/>
      <c r="X207" s="14" t="n"/>
      <c r="Y207" s="12" t="n"/>
      <c r="Z207" s="13" t="n"/>
      <c r="AA207" s="14" t="n"/>
      <c r="AB207" s="12" t="n"/>
      <c r="AC207" s="13" t="n"/>
      <c r="AD207" s="14" t="n"/>
      <c r="AE207" s="12" t="n"/>
      <c r="AF207" s="13" t="n"/>
      <c r="AG207" s="14" t="n"/>
      <c r="AH207" s="12" t="n"/>
      <c r="AI207" s="13" t="n"/>
      <c r="AJ207" s="14" t="n"/>
      <c r="AK207" s="12" t="n"/>
      <c r="AL207" s="13" t="n"/>
      <c r="AM207" s="14" t="n"/>
      <c r="AN207" s="12" t="n"/>
      <c r="AO207" s="13" t="n"/>
      <c r="AP207" s="14" t="n"/>
      <c r="AQ207" s="12" t="n"/>
      <c r="AR207" s="13" t="n"/>
      <c r="AS207" s="14" t="n"/>
      <c r="AT207" s="12" t="n"/>
      <c r="AU207" s="13" t="n"/>
      <c r="AV207" s="14" t="n"/>
      <c r="AW207" s="12" t="n"/>
      <c r="AX207" s="13" t="n"/>
      <c r="AY207" s="14" t="n"/>
      <c r="AZ207" s="12" t="n"/>
      <c r="BA207" s="13" t="n"/>
      <c r="BB207" s="14" t="n"/>
      <c r="BC207" s="11">
        <f>IF(O207="","",IF(J207="GST 10%",ROUND(O207*set_GSTRate,2),0))</f>
        <v/>
      </c>
      <c r="BD207" s="11">
        <f>IF(O207="","",O207+BC207)</f>
        <v/>
      </c>
      <c r="BE207" s="15">
        <f>IF(O207="","",COUNTA(S207,V207,Y207,AB207,AE207,AH207,AK207,AN207,AQ207,AT207,AW207,AZ207))</f>
        <v/>
      </c>
      <c r="BF207" s="16">
        <f>IF(COUNT(T207,W207,Z207,AC207,AF207,AI207,AL207,AO207,AR207,AU207,AX207,BA207)=0,"",MAX(T207,W207,Z207,AC207,AF207,AI207,AL207,AO207,AR207,AU207,AX207,BA207))</f>
        <v/>
      </c>
      <c r="BG207" s="10">
        <f>MID(IF(S207="","",", "&amp;S207)&amp;IF(V207="","",", "&amp;V207)&amp;IF(Y207="","",", "&amp;Y207)&amp;IF(AB207="","",", "&amp;AB207)&amp;IF(AE207="","",", "&amp;AE207)&amp;IF(AH207="","",", "&amp;AH207)&amp;IF(AK207="","",", "&amp;AK207)&amp;IF(AN207="","",", "&amp;AN207)&amp;IF(AQ207="","",", "&amp;AQ207)&amp;IF(AT207="","",", "&amp;AT207)&amp;IF(AW207="","",", "&amp;AW207)&amp;IF(AZ207="","",", "&amp;AZ207),3,500)</f>
        <v/>
      </c>
      <c r="BH207" s="12" t="n"/>
      <c r="BI207" s="15">
        <f>IFERROR(MATCH($A207,IF($B207="Onsite",tbl_Onsite[Row ID],IF($B207="Production",tbl_Production[Row ID],tbl_Consulting[Row ID])),0),"")</f>
        <v/>
      </c>
    </row>
    <row r="208">
      <c r="A208" s="10" t="inlineStr">
        <is>
          <t>ONS-0202</t>
        </is>
      </c>
      <c r="B208" s="10" t="inlineStr">
        <is>
          <t>Onsite</t>
        </is>
      </c>
      <c r="C208" s="10">
        <f>IF($BI208="","",IF($B208="Onsite",INDEX(tbl_Onsite[Job Number],$BI208),IF($B208="Production",INDEX(tbl_Production[Job Number],$BI208),INDEX(tbl_Consulting[Job Number],$BI208)))&amp;"")</f>
        <v/>
      </c>
      <c r="D208" s="10">
        <f>IF($BI208="","",IF($B208="Onsite",INDEX(tbl_Onsite[Client],$BI208),IF($B208="Production",INDEX(tbl_Production[Client],$BI208),INDEX(tbl_Consulting[Client],$BI208)))&amp;"")</f>
        <v/>
      </c>
      <c r="E208" s="10">
        <f>IF($C208="","",IF(COUNTIF(lst_Jobs,$C208)&gt;0,"OK","CHECK"))</f>
        <v/>
      </c>
      <c r="F208" s="10">
        <f>IF($C208="","",IFERROR(INDEX(lst_JobName,MATCH($C208,lst_Jobs,0)),""))</f>
        <v/>
      </c>
      <c r="G208" s="10">
        <f>IF($BI208="","",IF($B208="Onsite",INDEX(tbl_Onsite[Job Description],$BI208),IF($B208="Production",INDEX(tbl_Production[Job Description],$BI208),INDEX(tbl_Consulting[Job Description],$BI208)))&amp;"")</f>
        <v/>
      </c>
      <c r="H208" s="10">
        <f>IF($BI208="","",IF($B208="Onsite",INDEX(tbl_Onsite[Cost Centre],$BI208),IF($B208="Production",INDEX(tbl_Production[Cost Centre],$BI208),INDEX(tbl_Consulting[Cost Centre],$BI208)))&amp;"")</f>
        <v/>
      </c>
      <c r="I208" s="10">
        <f>IF($BI208="","",IF($B208="Onsite",INDEX(tbl_Onsite[Invoice Type],$BI208),IF($B208="Production",INDEX(tbl_Production[Invoice Type],$BI208),INDEX(tbl_Consulting[Invoice Type],$BI208)))&amp;"")</f>
        <v/>
      </c>
      <c r="J208" s="10">
        <f>IF($BI208="","",IF($B208="Onsite",INDEX(tbl_Onsite[Tax Code],$BI208),IF($B208="Production",INDEX(tbl_Production[Tax Code],$BI208),INDEX(tbl_Consulting[Tax Code],$BI208)))&amp;"")</f>
        <v/>
      </c>
      <c r="K208" s="10">
        <f>IF(H208="","",IFERROR(INDEX(lst_CCtoGL,MATCH(H208,lst_CCforGL,0)),""))</f>
        <v/>
      </c>
      <c r="L208" s="10">
        <f>IF($BI208="","",IF($B208="Onsite",INDEX(tbl_Onsite[PO / Reference],$BI208),IF($B208="Production",INDEX(tbl_Production[Current RMS No],$BI208),INDEX(tbl_Consulting[Qwilr Quote],$BI208)))&amp;"")</f>
        <v/>
      </c>
      <c r="M208" s="10">
        <f>IF($BI208="","",IF($B208="Onsite",INDEX(tbl_Onsite[Notes],$BI208),IF($B208="Production",INDEX(tbl_Production[Notes],$BI208),INDEX(tbl_Consulting[Notes],$BI208)))&amp;"")</f>
        <v/>
      </c>
      <c r="N208" s="11">
        <f>IF($BI208="","",IF(IF($B208="Onsite",INDEX(tbl_Onsite[Expected Revenue Ex GST],$BI208),IF($B208="Production",INDEX(tbl_Production[Expected Revenue Ex GST],$BI208),INDEX(tbl_Consulting[Expected Revenue Ex GST],$BI208)))="","",IF($B208="Onsite",INDEX(tbl_Onsite[Expected Revenue Ex GST],$BI208),IF($B208="Production",INDEX(tbl_Production[Expected Revenue Ex GST],$BI208),INDEX(tbl_Consulting[Expected Revenue Ex GST],$BI208)))))</f>
        <v/>
      </c>
      <c r="O208" s="11">
        <f>IF(AND($C208="",NOT(COUNTA($S208:$BB208)&gt;0)),"",SUM(U208,X208,AA208,AD208,AG208,AJ208,AM208,AP208,AS208,AV208,AY208,BB208))</f>
        <v/>
      </c>
      <c r="P208" s="11">
        <f>IF(O208="","",N(N208)-O208)</f>
        <v/>
      </c>
      <c r="Q208" s="10">
        <f>IF(O208="","",IF($C208="","Invoice on empty job row",IF(N208="",IF(ROUND(O208,2)=0,"No dept value","Invoiced - no dept value"),IF(ROUND(O208,2)=0,"Not invoiced - to invoice",IF(ROUND(P208,2)=0,"Agrees",IF(P208&gt;0,"Dept higher - to invoice","Xero higher - check dept"))))))</f>
        <v/>
      </c>
      <c r="R208" s="10">
        <f>IF(AND($C208="",NOT(COUNTA($S208:$BB208)&gt;0),$BI208&lt;&gt;""),"",MID(IF($BI208="","; Row ID not found on the department sheet - a row was deleted","")&amp;IF(AND($C208="",COUNTA($S208:$BB208)&gt;0),"; Invoice entered but the department row has no job number","")&amp;IF(E208="CHECK","; Job number not in the Xero job list","")&amp;IF(AND($C208&lt;&gt;"",COUNTIF($C$7:$C$1506,$C208)&gt;1),"; Job number on more than one row","")&amp;IF(AND($C208&lt;&gt;"",H208=""),"; Dept has not set a cost centre","")&amp;IF(AND($C208&lt;&gt;"",J208=""),"; Dept has not set a tax code","")&amp;IF(AND($C208&lt;&gt;"",N208=""),"; Dept has not entered an expected value","")&amp;IF((IF(OR(COUNTA(S208:U208)=0,AND(COUNTA(S208:U208)=3,ISNUMBER(U208))),0,1)+IF(OR(COUNTA(V208:X208)=0,AND(COUNTA(V208:X208)=3,ISNUMBER(X208))),0,1)+IF(OR(COUNTA(Y208:AA208)=0,AND(COUNTA(Y208:AA208)=3,ISNUMBER(AA208))),0,1)+IF(OR(COUNTA(AB208:AD208)=0,AND(COUNTA(AB208:AD208)=3,ISNUMBER(AD208))),0,1)+IF(OR(COUNTA(AE208:AG208)=0,AND(COUNTA(AE208:AG208)=3,ISNUMBER(AG208))),0,1)+IF(OR(COUNTA(AH208:AJ208)=0,AND(COUNTA(AH208:AJ208)=3,ISNUMBER(AJ208))),0,1)+IF(OR(COUNTA(AK208:AM208)=0,AND(COUNTA(AK208:AM208)=3,ISNUMBER(AM208))),0,1)+IF(OR(COUNTA(AN208:AP208)=0,AND(COUNTA(AN208:AP208)=3,ISNUMBER(AP208))),0,1)+IF(OR(COUNTA(AQ208:AS208)=0,AND(COUNTA(AQ208:AS208)=3,ISNUMBER(AS208))),0,1)+IF(OR(COUNTA(AT208:AV208)=0,AND(COUNTA(AT208:AV208)=3,ISNUMBER(AV208))),0,1)+IF(OR(COUNTA(AW208:AY208)=0,AND(COUNTA(AW208:AY208)=3,ISNUMBER(AY208))),0,1)+IF(OR(COUNTA(AZ208:BB208)=0,AND(COUNTA(AZ208:BB208)=3,ISNUMBER(BB208))),0,1))&gt;0,"; An invoice is incomplete (needs No, Date and a number in Ex GST)","")&amp;IF((IF(T208="",0,IFERROR(--(EOMONTH(T208,0)&lt;&gt;S$5),1))+IF(W208="",0,IFERROR(--(EOMONTH(W208,0)&lt;&gt;V$5),1))+IF(Z208="",0,IFERROR(--(EOMONTH(Z208,0)&lt;&gt;Y$5),1))+IF(AC208="",0,IFERROR(--(EOMONTH(AC208,0)&lt;&gt;AB$5),1))+IF(AF208="",0,IFERROR(--(EOMONTH(AF208,0)&lt;&gt;AE$5),1))+IF(AI208="",0,IFERROR(--(EOMONTH(AI208,0)&lt;&gt;AH$5),1))+IF(AL208="",0,IFERROR(--(EOMONTH(AL208,0)&lt;&gt;AK$5),1))+IF(AO208="",0,IFERROR(--(EOMONTH(AO208,0)&lt;&gt;AN$5),1))+IF(AR208="",0,IFERROR(--(EOMONTH(AR208,0)&lt;&gt;AQ$5),1))+IF(AU208="",0,IFERROR(--(EOMONTH(AU208,0)&lt;&gt;AT$5),1))+IF(AX208="",0,IFERROR(--(EOMONTH(AX208,0)&lt;&gt;AW$5),1))+IF(BA208="",0,IFERROR(--(EOMONTH(BA208,0)&lt;&gt;AZ$5),1)))&gt;0,"; An invoice date is not in the month it is typed under",""),3,500))</f>
        <v/>
      </c>
      <c r="S208" s="12" t="n"/>
      <c r="T208" s="13" t="n"/>
      <c r="U208" s="14" t="n"/>
      <c r="V208" s="12" t="n"/>
      <c r="W208" s="13" t="n"/>
      <c r="X208" s="14" t="n"/>
      <c r="Y208" s="12" t="n"/>
      <c r="Z208" s="13" t="n"/>
      <c r="AA208" s="14" t="n"/>
      <c r="AB208" s="12" t="n"/>
      <c r="AC208" s="13" t="n"/>
      <c r="AD208" s="14" t="n"/>
      <c r="AE208" s="12" t="n"/>
      <c r="AF208" s="13" t="n"/>
      <c r="AG208" s="14" t="n"/>
      <c r="AH208" s="12" t="n"/>
      <c r="AI208" s="13" t="n"/>
      <c r="AJ208" s="14" t="n"/>
      <c r="AK208" s="12" t="n"/>
      <c r="AL208" s="13" t="n"/>
      <c r="AM208" s="14" t="n"/>
      <c r="AN208" s="12" t="n"/>
      <c r="AO208" s="13" t="n"/>
      <c r="AP208" s="14" t="n"/>
      <c r="AQ208" s="12" t="n"/>
      <c r="AR208" s="13" t="n"/>
      <c r="AS208" s="14" t="n"/>
      <c r="AT208" s="12" t="n"/>
      <c r="AU208" s="13" t="n"/>
      <c r="AV208" s="14" t="n"/>
      <c r="AW208" s="12" t="n"/>
      <c r="AX208" s="13" t="n"/>
      <c r="AY208" s="14" t="n"/>
      <c r="AZ208" s="12" t="n"/>
      <c r="BA208" s="13" t="n"/>
      <c r="BB208" s="14" t="n"/>
      <c r="BC208" s="11">
        <f>IF(O208="","",IF(J208="GST 10%",ROUND(O208*set_GSTRate,2),0))</f>
        <v/>
      </c>
      <c r="BD208" s="11">
        <f>IF(O208="","",O208+BC208)</f>
        <v/>
      </c>
      <c r="BE208" s="15">
        <f>IF(O208="","",COUNTA(S208,V208,Y208,AB208,AE208,AH208,AK208,AN208,AQ208,AT208,AW208,AZ208))</f>
        <v/>
      </c>
      <c r="BF208" s="16">
        <f>IF(COUNT(T208,W208,Z208,AC208,AF208,AI208,AL208,AO208,AR208,AU208,AX208,BA208)=0,"",MAX(T208,W208,Z208,AC208,AF208,AI208,AL208,AO208,AR208,AU208,AX208,BA208))</f>
        <v/>
      </c>
      <c r="BG208" s="10">
        <f>MID(IF(S208="","",", "&amp;S208)&amp;IF(V208="","",", "&amp;V208)&amp;IF(Y208="","",", "&amp;Y208)&amp;IF(AB208="","",", "&amp;AB208)&amp;IF(AE208="","",", "&amp;AE208)&amp;IF(AH208="","",", "&amp;AH208)&amp;IF(AK208="","",", "&amp;AK208)&amp;IF(AN208="","",", "&amp;AN208)&amp;IF(AQ208="","",", "&amp;AQ208)&amp;IF(AT208="","",", "&amp;AT208)&amp;IF(AW208="","",", "&amp;AW208)&amp;IF(AZ208="","",", "&amp;AZ208),3,500)</f>
        <v/>
      </c>
      <c r="BH208" s="12" t="n"/>
      <c r="BI208" s="15">
        <f>IFERROR(MATCH($A208,IF($B208="Onsite",tbl_Onsite[Row ID],IF($B208="Production",tbl_Production[Row ID],tbl_Consulting[Row ID])),0),"")</f>
        <v/>
      </c>
    </row>
    <row r="209">
      <c r="A209" s="10" t="inlineStr">
        <is>
          <t>ONS-0203</t>
        </is>
      </c>
      <c r="B209" s="10" t="inlineStr">
        <is>
          <t>Onsite</t>
        </is>
      </c>
      <c r="C209" s="10">
        <f>IF($BI209="","",IF($B209="Onsite",INDEX(tbl_Onsite[Job Number],$BI209),IF($B209="Production",INDEX(tbl_Production[Job Number],$BI209),INDEX(tbl_Consulting[Job Number],$BI209)))&amp;"")</f>
        <v/>
      </c>
      <c r="D209" s="10">
        <f>IF($BI209="","",IF($B209="Onsite",INDEX(tbl_Onsite[Client],$BI209),IF($B209="Production",INDEX(tbl_Production[Client],$BI209),INDEX(tbl_Consulting[Client],$BI209)))&amp;"")</f>
        <v/>
      </c>
      <c r="E209" s="10">
        <f>IF($C209="","",IF(COUNTIF(lst_Jobs,$C209)&gt;0,"OK","CHECK"))</f>
        <v/>
      </c>
      <c r="F209" s="10">
        <f>IF($C209="","",IFERROR(INDEX(lst_JobName,MATCH($C209,lst_Jobs,0)),""))</f>
        <v/>
      </c>
      <c r="G209" s="10">
        <f>IF($BI209="","",IF($B209="Onsite",INDEX(tbl_Onsite[Job Description],$BI209),IF($B209="Production",INDEX(tbl_Production[Job Description],$BI209),INDEX(tbl_Consulting[Job Description],$BI209)))&amp;"")</f>
        <v/>
      </c>
      <c r="H209" s="10">
        <f>IF($BI209="","",IF($B209="Onsite",INDEX(tbl_Onsite[Cost Centre],$BI209),IF($B209="Production",INDEX(tbl_Production[Cost Centre],$BI209),INDEX(tbl_Consulting[Cost Centre],$BI209)))&amp;"")</f>
        <v/>
      </c>
      <c r="I209" s="10">
        <f>IF($BI209="","",IF($B209="Onsite",INDEX(tbl_Onsite[Invoice Type],$BI209),IF($B209="Production",INDEX(tbl_Production[Invoice Type],$BI209),INDEX(tbl_Consulting[Invoice Type],$BI209)))&amp;"")</f>
        <v/>
      </c>
      <c r="J209" s="10">
        <f>IF($BI209="","",IF($B209="Onsite",INDEX(tbl_Onsite[Tax Code],$BI209),IF($B209="Production",INDEX(tbl_Production[Tax Code],$BI209),INDEX(tbl_Consulting[Tax Code],$BI209)))&amp;"")</f>
        <v/>
      </c>
      <c r="K209" s="10">
        <f>IF(H209="","",IFERROR(INDEX(lst_CCtoGL,MATCH(H209,lst_CCforGL,0)),""))</f>
        <v/>
      </c>
      <c r="L209" s="10">
        <f>IF($BI209="","",IF($B209="Onsite",INDEX(tbl_Onsite[PO / Reference],$BI209),IF($B209="Production",INDEX(tbl_Production[Current RMS No],$BI209),INDEX(tbl_Consulting[Qwilr Quote],$BI209)))&amp;"")</f>
        <v/>
      </c>
      <c r="M209" s="10">
        <f>IF($BI209="","",IF($B209="Onsite",INDEX(tbl_Onsite[Notes],$BI209),IF($B209="Production",INDEX(tbl_Production[Notes],$BI209),INDEX(tbl_Consulting[Notes],$BI209)))&amp;"")</f>
        <v/>
      </c>
      <c r="N209" s="11">
        <f>IF($BI209="","",IF(IF($B209="Onsite",INDEX(tbl_Onsite[Expected Revenue Ex GST],$BI209),IF($B209="Production",INDEX(tbl_Production[Expected Revenue Ex GST],$BI209),INDEX(tbl_Consulting[Expected Revenue Ex GST],$BI209)))="","",IF($B209="Onsite",INDEX(tbl_Onsite[Expected Revenue Ex GST],$BI209),IF($B209="Production",INDEX(tbl_Production[Expected Revenue Ex GST],$BI209),INDEX(tbl_Consulting[Expected Revenue Ex GST],$BI209)))))</f>
        <v/>
      </c>
      <c r="O209" s="11">
        <f>IF(AND($C209="",NOT(COUNTA($S209:$BB209)&gt;0)),"",SUM(U209,X209,AA209,AD209,AG209,AJ209,AM209,AP209,AS209,AV209,AY209,BB209))</f>
        <v/>
      </c>
      <c r="P209" s="11">
        <f>IF(O209="","",N(N209)-O209)</f>
        <v/>
      </c>
      <c r="Q209" s="10">
        <f>IF(O209="","",IF($C209="","Invoice on empty job row",IF(N209="",IF(ROUND(O209,2)=0,"No dept value","Invoiced - no dept value"),IF(ROUND(O209,2)=0,"Not invoiced - to invoice",IF(ROUND(P209,2)=0,"Agrees",IF(P209&gt;0,"Dept higher - to invoice","Xero higher - check dept"))))))</f>
        <v/>
      </c>
      <c r="R209" s="10">
        <f>IF(AND($C209="",NOT(COUNTA($S209:$BB209)&gt;0),$BI209&lt;&gt;""),"",MID(IF($BI209="","; Row ID not found on the department sheet - a row was deleted","")&amp;IF(AND($C209="",COUNTA($S209:$BB209)&gt;0),"; Invoice entered but the department row has no job number","")&amp;IF(E209="CHECK","; Job number not in the Xero job list","")&amp;IF(AND($C209&lt;&gt;"",COUNTIF($C$7:$C$1506,$C209)&gt;1),"; Job number on more than one row","")&amp;IF(AND($C209&lt;&gt;"",H209=""),"; Dept has not set a cost centre","")&amp;IF(AND($C209&lt;&gt;"",J209=""),"; Dept has not set a tax code","")&amp;IF(AND($C209&lt;&gt;"",N209=""),"; Dept has not entered an expected value","")&amp;IF((IF(OR(COUNTA(S209:U209)=0,AND(COUNTA(S209:U209)=3,ISNUMBER(U209))),0,1)+IF(OR(COUNTA(V209:X209)=0,AND(COUNTA(V209:X209)=3,ISNUMBER(X209))),0,1)+IF(OR(COUNTA(Y209:AA209)=0,AND(COUNTA(Y209:AA209)=3,ISNUMBER(AA209))),0,1)+IF(OR(COUNTA(AB209:AD209)=0,AND(COUNTA(AB209:AD209)=3,ISNUMBER(AD209))),0,1)+IF(OR(COUNTA(AE209:AG209)=0,AND(COUNTA(AE209:AG209)=3,ISNUMBER(AG209))),0,1)+IF(OR(COUNTA(AH209:AJ209)=0,AND(COUNTA(AH209:AJ209)=3,ISNUMBER(AJ209))),0,1)+IF(OR(COUNTA(AK209:AM209)=0,AND(COUNTA(AK209:AM209)=3,ISNUMBER(AM209))),0,1)+IF(OR(COUNTA(AN209:AP209)=0,AND(COUNTA(AN209:AP209)=3,ISNUMBER(AP209))),0,1)+IF(OR(COUNTA(AQ209:AS209)=0,AND(COUNTA(AQ209:AS209)=3,ISNUMBER(AS209))),0,1)+IF(OR(COUNTA(AT209:AV209)=0,AND(COUNTA(AT209:AV209)=3,ISNUMBER(AV209))),0,1)+IF(OR(COUNTA(AW209:AY209)=0,AND(COUNTA(AW209:AY209)=3,ISNUMBER(AY209))),0,1)+IF(OR(COUNTA(AZ209:BB209)=0,AND(COUNTA(AZ209:BB209)=3,ISNUMBER(BB209))),0,1))&gt;0,"; An invoice is incomplete (needs No, Date and a number in Ex GST)","")&amp;IF((IF(T209="",0,IFERROR(--(EOMONTH(T209,0)&lt;&gt;S$5),1))+IF(W209="",0,IFERROR(--(EOMONTH(W209,0)&lt;&gt;V$5),1))+IF(Z209="",0,IFERROR(--(EOMONTH(Z209,0)&lt;&gt;Y$5),1))+IF(AC209="",0,IFERROR(--(EOMONTH(AC209,0)&lt;&gt;AB$5),1))+IF(AF209="",0,IFERROR(--(EOMONTH(AF209,0)&lt;&gt;AE$5),1))+IF(AI209="",0,IFERROR(--(EOMONTH(AI209,0)&lt;&gt;AH$5),1))+IF(AL209="",0,IFERROR(--(EOMONTH(AL209,0)&lt;&gt;AK$5),1))+IF(AO209="",0,IFERROR(--(EOMONTH(AO209,0)&lt;&gt;AN$5),1))+IF(AR209="",0,IFERROR(--(EOMONTH(AR209,0)&lt;&gt;AQ$5),1))+IF(AU209="",0,IFERROR(--(EOMONTH(AU209,0)&lt;&gt;AT$5),1))+IF(AX209="",0,IFERROR(--(EOMONTH(AX209,0)&lt;&gt;AW$5),1))+IF(BA209="",0,IFERROR(--(EOMONTH(BA209,0)&lt;&gt;AZ$5),1)))&gt;0,"; An invoice date is not in the month it is typed under",""),3,500))</f>
        <v/>
      </c>
      <c r="S209" s="12" t="n"/>
      <c r="T209" s="13" t="n"/>
      <c r="U209" s="14" t="n"/>
      <c r="V209" s="12" t="n"/>
      <c r="W209" s="13" t="n"/>
      <c r="X209" s="14" t="n"/>
      <c r="Y209" s="12" t="n"/>
      <c r="Z209" s="13" t="n"/>
      <c r="AA209" s="14" t="n"/>
      <c r="AB209" s="12" t="n"/>
      <c r="AC209" s="13" t="n"/>
      <c r="AD209" s="14" t="n"/>
      <c r="AE209" s="12" t="n"/>
      <c r="AF209" s="13" t="n"/>
      <c r="AG209" s="14" t="n"/>
      <c r="AH209" s="12" t="n"/>
      <c r="AI209" s="13" t="n"/>
      <c r="AJ209" s="14" t="n"/>
      <c r="AK209" s="12" t="n"/>
      <c r="AL209" s="13" t="n"/>
      <c r="AM209" s="14" t="n"/>
      <c r="AN209" s="12" t="n"/>
      <c r="AO209" s="13" t="n"/>
      <c r="AP209" s="14" t="n"/>
      <c r="AQ209" s="12" t="n"/>
      <c r="AR209" s="13" t="n"/>
      <c r="AS209" s="14" t="n"/>
      <c r="AT209" s="12" t="n"/>
      <c r="AU209" s="13" t="n"/>
      <c r="AV209" s="14" t="n"/>
      <c r="AW209" s="12" t="n"/>
      <c r="AX209" s="13" t="n"/>
      <c r="AY209" s="14" t="n"/>
      <c r="AZ209" s="12" t="n"/>
      <c r="BA209" s="13" t="n"/>
      <c r="BB209" s="14" t="n"/>
      <c r="BC209" s="11">
        <f>IF(O209="","",IF(J209="GST 10%",ROUND(O209*set_GSTRate,2),0))</f>
        <v/>
      </c>
      <c r="BD209" s="11">
        <f>IF(O209="","",O209+BC209)</f>
        <v/>
      </c>
      <c r="BE209" s="15">
        <f>IF(O209="","",COUNTA(S209,V209,Y209,AB209,AE209,AH209,AK209,AN209,AQ209,AT209,AW209,AZ209))</f>
        <v/>
      </c>
      <c r="BF209" s="16">
        <f>IF(COUNT(T209,W209,Z209,AC209,AF209,AI209,AL209,AO209,AR209,AU209,AX209,BA209)=0,"",MAX(T209,W209,Z209,AC209,AF209,AI209,AL209,AO209,AR209,AU209,AX209,BA209))</f>
        <v/>
      </c>
      <c r="BG209" s="10">
        <f>MID(IF(S209="","",", "&amp;S209)&amp;IF(V209="","",", "&amp;V209)&amp;IF(Y209="","",", "&amp;Y209)&amp;IF(AB209="","",", "&amp;AB209)&amp;IF(AE209="","",", "&amp;AE209)&amp;IF(AH209="","",", "&amp;AH209)&amp;IF(AK209="","",", "&amp;AK209)&amp;IF(AN209="","",", "&amp;AN209)&amp;IF(AQ209="","",", "&amp;AQ209)&amp;IF(AT209="","",", "&amp;AT209)&amp;IF(AW209="","",", "&amp;AW209)&amp;IF(AZ209="","",", "&amp;AZ209),3,500)</f>
        <v/>
      </c>
      <c r="BH209" s="12" t="n"/>
      <c r="BI209" s="15">
        <f>IFERROR(MATCH($A209,IF($B209="Onsite",tbl_Onsite[Row ID],IF($B209="Production",tbl_Production[Row ID],tbl_Consulting[Row ID])),0),"")</f>
        <v/>
      </c>
    </row>
    <row r="210">
      <c r="A210" s="10" t="inlineStr">
        <is>
          <t>ONS-0204</t>
        </is>
      </c>
      <c r="B210" s="10" t="inlineStr">
        <is>
          <t>Onsite</t>
        </is>
      </c>
      <c r="C210" s="10">
        <f>IF($BI210="","",IF($B210="Onsite",INDEX(tbl_Onsite[Job Number],$BI210),IF($B210="Production",INDEX(tbl_Production[Job Number],$BI210),INDEX(tbl_Consulting[Job Number],$BI210)))&amp;"")</f>
        <v/>
      </c>
      <c r="D210" s="10">
        <f>IF($BI210="","",IF($B210="Onsite",INDEX(tbl_Onsite[Client],$BI210),IF($B210="Production",INDEX(tbl_Production[Client],$BI210),INDEX(tbl_Consulting[Client],$BI210)))&amp;"")</f>
        <v/>
      </c>
      <c r="E210" s="10">
        <f>IF($C210="","",IF(COUNTIF(lst_Jobs,$C210)&gt;0,"OK","CHECK"))</f>
        <v/>
      </c>
      <c r="F210" s="10">
        <f>IF($C210="","",IFERROR(INDEX(lst_JobName,MATCH($C210,lst_Jobs,0)),""))</f>
        <v/>
      </c>
      <c r="G210" s="10">
        <f>IF($BI210="","",IF($B210="Onsite",INDEX(tbl_Onsite[Job Description],$BI210),IF($B210="Production",INDEX(tbl_Production[Job Description],$BI210),INDEX(tbl_Consulting[Job Description],$BI210)))&amp;"")</f>
        <v/>
      </c>
      <c r="H210" s="10">
        <f>IF($BI210="","",IF($B210="Onsite",INDEX(tbl_Onsite[Cost Centre],$BI210),IF($B210="Production",INDEX(tbl_Production[Cost Centre],$BI210),INDEX(tbl_Consulting[Cost Centre],$BI210)))&amp;"")</f>
        <v/>
      </c>
      <c r="I210" s="10">
        <f>IF($BI210="","",IF($B210="Onsite",INDEX(tbl_Onsite[Invoice Type],$BI210),IF($B210="Production",INDEX(tbl_Production[Invoice Type],$BI210),INDEX(tbl_Consulting[Invoice Type],$BI210)))&amp;"")</f>
        <v/>
      </c>
      <c r="J210" s="10">
        <f>IF($BI210="","",IF($B210="Onsite",INDEX(tbl_Onsite[Tax Code],$BI210),IF($B210="Production",INDEX(tbl_Production[Tax Code],$BI210),INDEX(tbl_Consulting[Tax Code],$BI210)))&amp;"")</f>
        <v/>
      </c>
      <c r="K210" s="10">
        <f>IF(H210="","",IFERROR(INDEX(lst_CCtoGL,MATCH(H210,lst_CCforGL,0)),""))</f>
        <v/>
      </c>
      <c r="L210" s="10">
        <f>IF($BI210="","",IF($B210="Onsite",INDEX(tbl_Onsite[PO / Reference],$BI210),IF($B210="Production",INDEX(tbl_Production[Current RMS No],$BI210),INDEX(tbl_Consulting[Qwilr Quote],$BI210)))&amp;"")</f>
        <v/>
      </c>
      <c r="M210" s="10">
        <f>IF($BI210="","",IF($B210="Onsite",INDEX(tbl_Onsite[Notes],$BI210),IF($B210="Production",INDEX(tbl_Production[Notes],$BI210),INDEX(tbl_Consulting[Notes],$BI210)))&amp;"")</f>
        <v/>
      </c>
      <c r="N210" s="11">
        <f>IF($BI210="","",IF(IF($B210="Onsite",INDEX(tbl_Onsite[Expected Revenue Ex GST],$BI210),IF($B210="Production",INDEX(tbl_Production[Expected Revenue Ex GST],$BI210),INDEX(tbl_Consulting[Expected Revenue Ex GST],$BI210)))="","",IF($B210="Onsite",INDEX(tbl_Onsite[Expected Revenue Ex GST],$BI210),IF($B210="Production",INDEX(tbl_Production[Expected Revenue Ex GST],$BI210),INDEX(tbl_Consulting[Expected Revenue Ex GST],$BI210)))))</f>
        <v/>
      </c>
      <c r="O210" s="11">
        <f>IF(AND($C210="",NOT(COUNTA($S210:$BB210)&gt;0)),"",SUM(U210,X210,AA210,AD210,AG210,AJ210,AM210,AP210,AS210,AV210,AY210,BB210))</f>
        <v/>
      </c>
      <c r="P210" s="11">
        <f>IF(O210="","",N(N210)-O210)</f>
        <v/>
      </c>
      <c r="Q210" s="10">
        <f>IF(O210="","",IF($C210="","Invoice on empty job row",IF(N210="",IF(ROUND(O210,2)=0,"No dept value","Invoiced - no dept value"),IF(ROUND(O210,2)=0,"Not invoiced - to invoice",IF(ROUND(P210,2)=0,"Agrees",IF(P210&gt;0,"Dept higher - to invoice","Xero higher - check dept"))))))</f>
        <v/>
      </c>
      <c r="R210" s="10">
        <f>IF(AND($C210="",NOT(COUNTA($S210:$BB210)&gt;0),$BI210&lt;&gt;""),"",MID(IF($BI210="","; Row ID not found on the department sheet - a row was deleted","")&amp;IF(AND($C210="",COUNTA($S210:$BB210)&gt;0),"; Invoice entered but the department row has no job number","")&amp;IF(E210="CHECK","; Job number not in the Xero job list","")&amp;IF(AND($C210&lt;&gt;"",COUNTIF($C$7:$C$1506,$C210)&gt;1),"; Job number on more than one row","")&amp;IF(AND($C210&lt;&gt;"",H210=""),"; Dept has not set a cost centre","")&amp;IF(AND($C210&lt;&gt;"",J210=""),"; Dept has not set a tax code","")&amp;IF(AND($C210&lt;&gt;"",N210=""),"; Dept has not entered an expected value","")&amp;IF((IF(OR(COUNTA(S210:U210)=0,AND(COUNTA(S210:U210)=3,ISNUMBER(U210))),0,1)+IF(OR(COUNTA(V210:X210)=0,AND(COUNTA(V210:X210)=3,ISNUMBER(X210))),0,1)+IF(OR(COUNTA(Y210:AA210)=0,AND(COUNTA(Y210:AA210)=3,ISNUMBER(AA210))),0,1)+IF(OR(COUNTA(AB210:AD210)=0,AND(COUNTA(AB210:AD210)=3,ISNUMBER(AD210))),0,1)+IF(OR(COUNTA(AE210:AG210)=0,AND(COUNTA(AE210:AG210)=3,ISNUMBER(AG210))),0,1)+IF(OR(COUNTA(AH210:AJ210)=0,AND(COUNTA(AH210:AJ210)=3,ISNUMBER(AJ210))),0,1)+IF(OR(COUNTA(AK210:AM210)=0,AND(COUNTA(AK210:AM210)=3,ISNUMBER(AM210))),0,1)+IF(OR(COUNTA(AN210:AP210)=0,AND(COUNTA(AN210:AP210)=3,ISNUMBER(AP210))),0,1)+IF(OR(COUNTA(AQ210:AS210)=0,AND(COUNTA(AQ210:AS210)=3,ISNUMBER(AS210))),0,1)+IF(OR(COUNTA(AT210:AV210)=0,AND(COUNTA(AT210:AV210)=3,ISNUMBER(AV210))),0,1)+IF(OR(COUNTA(AW210:AY210)=0,AND(COUNTA(AW210:AY210)=3,ISNUMBER(AY210))),0,1)+IF(OR(COUNTA(AZ210:BB210)=0,AND(COUNTA(AZ210:BB210)=3,ISNUMBER(BB210))),0,1))&gt;0,"; An invoice is incomplete (needs No, Date and a number in Ex GST)","")&amp;IF((IF(T210="",0,IFERROR(--(EOMONTH(T210,0)&lt;&gt;S$5),1))+IF(W210="",0,IFERROR(--(EOMONTH(W210,0)&lt;&gt;V$5),1))+IF(Z210="",0,IFERROR(--(EOMONTH(Z210,0)&lt;&gt;Y$5),1))+IF(AC210="",0,IFERROR(--(EOMONTH(AC210,0)&lt;&gt;AB$5),1))+IF(AF210="",0,IFERROR(--(EOMONTH(AF210,0)&lt;&gt;AE$5),1))+IF(AI210="",0,IFERROR(--(EOMONTH(AI210,0)&lt;&gt;AH$5),1))+IF(AL210="",0,IFERROR(--(EOMONTH(AL210,0)&lt;&gt;AK$5),1))+IF(AO210="",0,IFERROR(--(EOMONTH(AO210,0)&lt;&gt;AN$5),1))+IF(AR210="",0,IFERROR(--(EOMONTH(AR210,0)&lt;&gt;AQ$5),1))+IF(AU210="",0,IFERROR(--(EOMONTH(AU210,0)&lt;&gt;AT$5),1))+IF(AX210="",0,IFERROR(--(EOMONTH(AX210,0)&lt;&gt;AW$5),1))+IF(BA210="",0,IFERROR(--(EOMONTH(BA210,0)&lt;&gt;AZ$5),1)))&gt;0,"; An invoice date is not in the month it is typed under",""),3,500))</f>
        <v/>
      </c>
      <c r="S210" s="12" t="n"/>
      <c r="T210" s="13" t="n"/>
      <c r="U210" s="14" t="n"/>
      <c r="V210" s="12" t="n"/>
      <c r="W210" s="13" t="n"/>
      <c r="X210" s="14" t="n"/>
      <c r="Y210" s="12" t="n"/>
      <c r="Z210" s="13" t="n"/>
      <c r="AA210" s="14" t="n"/>
      <c r="AB210" s="12" t="n"/>
      <c r="AC210" s="13" t="n"/>
      <c r="AD210" s="14" t="n"/>
      <c r="AE210" s="12" t="n"/>
      <c r="AF210" s="13" t="n"/>
      <c r="AG210" s="14" t="n"/>
      <c r="AH210" s="12" t="n"/>
      <c r="AI210" s="13" t="n"/>
      <c r="AJ210" s="14" t="n"/>
      <c r="AK210" s="12" t="n"/>
      <c r="AL210" s="13" t="n"/>
      <c r="AM210" s="14" t="n"/>
      <c r="AN210" s="12" t="n"/>
      <c r="AO210" s="13" t="n"/>
      <c r="AP210" s="14" t="n"/>
      <c r="AQ210" s="12" t="n"/>
      <c r="AR210" s="13" t="n"/>
      <c r="AS210" s="14" t="n"/>
      <c r="AT210" s="12" t="n"/>
      <c r="AU210" s="13" t="n"/>
      <c r="AV210" s="14" t="n"/>
      <c r="AW210" s="12" t="n"/>
      <c r="AX210" s="13" t="n"/>
      <c r="AY210" s="14" t="n"/>
      <c r="AZ210" s="12" t="n"/>
      <c r="BA210" s="13" t="n"/>
      <c r="BB210" s="14" t="n"/>
      <c r="BC210" s="11">
        <f>IF(O210="","",IF(J210="GST 10%",ROUND(O210*set_GSTRate,2),0))</f>
        <v/>
      </c>
      <c r="BD210" s="11">
        <f>IF(O210="","",O210+BC210)</f>
        <v/>
      </c>
      <c r="BE210" s="15">
        <f>IF(O210="","",COUNTA(S210,V210,Y210,AB210,AE210,AH210,AK210,AN210,AQ210,AT210,AW210,AZ210))</f>
        <v/>
      </c>
      <c r="BF210" s="16">
        <f>IF(COUNT(T210,W210,Z210,AC210,AF210,AI210,AL210,AO210,AR210,AU210,AX210,BA210)=0,"",MAX(T210,W210,Z210,AC210,AF210,AI210,AL210,AO210,AR210,AU210,AX210,BA210))</f>
        <v/>
      </c>
      <c r="BG210" s="10">
        <f>MID(IF(S210="","",", "&amp;S210)&amp;IF(V210="","",", "&amp;V210)&amp;IF(Y210="","",", "&amp;Y210)&amp;IF(AB210="","",", "&amp;AB210)&amp;IF(AE210="","",", "&amp;AE210)&amp;IF(AH210="","",", "&amp;AH210)&amp;IF(AK210="","",", "&amp;AK210)&amp;IF(AN210="","",", "&amp;AN210)&amp;IF(AQ210="","",", "&amp;AQ210)&amp;IF(AT210="","",", "&amp;AT210)&amp;IF(AW210="","",", "&amp;AW210)&amp;IF(AZ210="","",", "&amp;AZ210),3,500)</f>
        <v/>
      </c>
      <c r="BH210" s="12" t="n"/>
      <c r="BI210" s="15">
        <f>IFERROR(MATCH($A210,IF($B210="Onsite",tbl_Onsite[Row ID],IF($B210="Production",tbl_Production[Row ID],tbl_Consulting[Row ID])),0),"")</f>
        <v/>
      </c>
    </row>
    <row r="211">
      <c r="A211" s="10" t="inlineStr">
        <is>
          <t>ONS-0205</t>
        </is>
      </c>
      <c r="B211" s="10" t="inlineStr">
        <is>
          <t>Onsite</t>
        </is>
      </c>
      <c r="C211" s="10">
        <f>IF($BI211="","",IF($B211="Onsite",INDEX(tbl_Onsite[Job Number],$BI211),IF($B211="Production",INDEX(tbl_Production[Job Number],$BI211),INDEX(tbl_Consulting[Job Number],$BI211)))&amp;"")</f>
        <v/>
      </c>
      <c r="D211" s="10">
        <f>IF($BI211="","",IF($B211="Onsite",INDEX(tbl_Onsite[Client],$BI211),IF($B211="Production",INDEX(tbl_Production[Client],$BI211),INDEX(tbl_Consulting[Client],$BI211)))&amp;"")</f>
        <v/>
      </c>
      <c r="E211" s="10">
        <f>IF($C211="","",IF(COUNTIF(lst_Jobs,$C211)&gt;0,"OK","CHECK"))</f>
        <v/>
      </c>
      <c r="F211" s="10">
        <f>IF($C211="","",IFERROR(INDEX(lst_JobName,MATCH($C211,lst_Jobs,0)),""))</f>
        <v/>
      </c>
      <c r="G211" s="10">
        <f>IF($BI211="","",IF($B211="Onsite",INDEX(tbl_Onsite[Job Description],$BI211),IF($B211="Production",INDEX(tbl_Production[Job Description],$BI211),INDEX(tbl_Consulting[Job Description],$BI211)))&amp;"")</f>
        <v/>
      </c>
      <c r="H211" s="10">
        <f>IF($BI211="","",IF($B211="Onsite",INDEX(tbl_Onsite[Cost Centre],$BI211),IF($B211="Production",INDEX(tbl_Production[Cost Centre],$BI211),INDEX(tbl_Consulting[Cost Centre],$BI211)))&amp;"")</f>
        <v/>
      </c>
      <c r="I211" s="10">
        <f>IF($BI211="","",IF($B211="Onsite",INDEX(tbl_Onsite[Invoice Type],$BI211),IF($B211="Production",INDEX(tbl_Production[Invoice Type],$BI211),INDEX(tbl_Consulting[Invoice Type],$BI211)))&amp;"")</f>
        <v/>
      </c>
      <c r="J211" s="10">
        <f>IF($BI211="","",IF($B211="Onsite",INDEX(tbl_Onsite[Tax Code],$BI211),IF($B211="Production",INDEX(tbl_Production[Tax Code],$BI211),INDEX(tbl_Consulting[Tax Code],$BI211)))&amp;"")</f>
        <v/>
      </c>
      <c r="K211" s="10">
        <f>IF(H211="","",IFERROR(INDEX(lst_CCtoGL,MATCH(H211,lst_CCforGL,0)),""))</f>
        <v/>
      </c>
      <c r="L211" s="10">
        <f>IF($BI211="","",IF($B211="Onsite",INDEX(tbl_Onsite[PO / Reference],$BI211),IF($B211="Production",INDEX(tbl_Production[Current RMS No],$BI211),INDEX(tbl_Consulting[Qwilr Quote],$BI211)))&amp;"")</f>
        <v/>
      </c>
      <c r="M211" s="10">
        <f>IF($BI211="","",IF($B211="Onsite",INDEX(tbl_Onsite[Notes],$BI211),IF($B211="Production",INDEX(tbl_Production[Notes],$BI211),INDEX(tbl_Consulting[Notes],$BI211)))&amp;"")</f>
        <v/>
      </c>
      <c r="N211" s="11">
        <f>IF($BI211="","",IF(IF($B211="Onsite",INDEX(tbl_Onsite[Expected Revenue Ex GST],$BI211),IF($B211="Production",INDEX(tbl_Production[Expected Revenue Ex GST],$BI211),INDEX(tbl_Consulting[Expected Revenue Ex GST],$BI211)))="","",IF($B211="Onsite",INDEX(tbl_Onsite[Expected Revenue Ex GST],$BI211),IF($B211="Production",INDEX(tbl_Production[Expected Revenue Ex GST],$BI211),INDEX(tbl_Consulting[Expected Revenue Ex GST],$BI211)))))</f>
        <v/>
      </c>
      <c r="O211" s="11">
        <f>IF(AND($C211="",NOT(COUNTA($S211:$BB211)&gt;0)),"",SUM(U211,X211,AA211,AD211,AG211,AJ211,AM211,AP211,AS211,AV211,AY211,BB211))</f>
        <v/>
      </c>
      <c r="P211" s="11">
        <f>IF(O211="","",N(N211)-O211)</f>
        <v/>
      </c>
      <c r="Q211" s="10">
        <f>IF(O211="","",IF($C211="","Invoice on empty job row",IF(N211="",IF(ROUND(O211,2)=0,"No dept value","Invoiced - no dept value"),IF(ROUND(O211,2)=0,"Not invoiced - to invoice",IF(ROUND(P211,2)=0,"Agrees",IF(P211&gt;0,"Dept higher - to invoice","Xero higher - check dept"))))))</f>
        <v/>
      </c>
      <c r="R211" s="10">
        <f>IF(AND($C211="",NOT(COUNTA($S211:$BB211)&gt;0),$BI211&lt;&gt;""),"",MID(IF($BI211="","; Row ID not found on the department sheet - a row was deleted","")&amp;IF(AND($C211="",COUNTA($S211:$BB211)&gt;0),"; Invoice entered but the department row has no job number","")&amp;IF(E211="CHECK","; Job number not in the Xero job list","")&amp;IF(AND($C211&lt;&gt;"",COUNTIF($C$7:$C$1506,$C211)&gt;1),"; Job number on more than one row","")&amp;IF(AND($C211&lt;&gt;"",H211=""),"; Dept has not set a cost centre","")&amp;IF(AND($C211&lt;&gt;"",J211=""),"; Dept has not set a tax code","")&amp;IF(AND($C211&lt;&gt;"",N211=""),"; Dept has not entered an expected value","")&amp;IF((IF(OR(COUNTA(S211:U211)=0,AND(COUNTA(S211:U211)=3,ISNUMBER(U211))),0,1)+IF(OR(COUNTA(V211:X211)=0,AND(COUNTA(V211:X211)=3,ISNUMBER(X211))),0,1)+IF(OR(COUNTA(Y211:AA211)=0,AND(COUNTA(Y211:AA211)=3,ISNUMBER(AA211))),0,1)+IF(OR(COUNTA(AB211:AD211)=0,AND(COUNTA(AB211:AD211)=3,ISNUMBER(AD211))),0,1)+IF(OR(COUNTA(AE211:AG211)=0,AND(COUNTA(AE211:AG211)=3,ISNUMBER(AG211))),0,1)+IF(OR(COUNTA(AH211:AJ211)=0,AND(COUNTA(AH211:AJ211)=3,ISNUMBER(AJ211))),0,1)+IF(OR(COUNTA(AK211:AM211)=0,AND(COUNTA(AK211:AM211)=3,ISNUMBER(AM211))),0,1)+IF(OR(COUNTA(AN211:AP211)=0,AND(COUNTA(AN211:AP211)=3,ISNUMBER(AP211))),0,1)+IF(OR(COUNTA(AQ211:AS211)=0,AND(COUNTA(AQ211:AS211)=3,ISNUMBER(AS211))),0,1)+IF(OR(COUNTA(AT211:AV211)=0,AND(COUNTA(AT211:AV211)=3,ISNUMBER(AV211))),0,1)+IF(OR(COUNTA(AW211:AY211)=0,AND(COUNTA(AW211:AY211)=3,ISNUMBER(AY211))),0,1)+IF(OR(COUNTA(AZ211:BB211)=0,AND(COUNTA(AZ211:BB211)=3,ISNUMBER(BB211))),0,1))&gt;0,"; An invoice is incomplete (needs No, Date and a number in Ex GST)","")&amp;IF((IF(T211="",0,IFERROR(--(EOMONTH(T211,0)&lt;&gt;S$5),1))+IF(W211="",0,IFERROR(--(EOMONTH(W211,0)&lt;&gt;V$5),1))+IF(Z211="",0,IFERROR(--(EOMONTH(Z211,0)&lt;&gt;Y$5),1))+IF(AC211="",0,IFERROR(--(EOMONTH(AC211,0)&lt;&gt;AB$5),1))+IF(AF211="",0,IFERROR(--(EOMONTH(AF211,0)&lt;&gt;AE$5),1))+IF(AI211="",0,IFERROR(--(EOMONTH(AI211,0)&lt;&gt;AH$5),1))+IF(AL211="",0,IFERROR(--(EOMONTH(AL211,0)&lt;&gt;AK$5),1))+IF(AO211="",0,IFERROR(--(EOMONTH(AO211,0)&lt;&gt;AN$5),1))+IF(AR211="",0,IFERROR(--(EOMONTH(AR211,0)&lt;&gt;AQ$5),1))+IF(AU211="",0,IFERROR(--(EOMONTH(AU211,0)&lt;&gt;AT$5),1))+IF(AX211="",0,IFERROR(--(EOMONTH(AX211,0)&lt;&gt;AW$5),1))+IF(BA211="",0,IFERROR(--(EOMONTH(BA211,0)&lt;&gt;AZ$5),1)))&gt;0,"; An invoice date is not in the month it is typed under",""),3,500))</f>
        <v/>
      </c>
      <c r="S211" s="12" t="n"/>
      <c r="T211" s="13" t="n"/>
      <c r="U211" s="14" t="n"/>
      <c r="V211" s="12" t="n"/>
      <c r="W211" s="13" t="n"/>
      <c r="X211" s="14" t="n"/>
      <c r="Y211" s="12" t="n"/>
      <c r="Z211" s="13" t="n"/>
      <c r="AA211" s="14" t="n"/>
      <c r="AB211" s="12" t="n"/>
      <c r="AC211" s="13" t="n"/>
      <c r="AD211" s="14" t="n"/>
      <c r="AE211" s="12" t="n"/>
      <c r="AF211" s="13" t="n"/>
      <c r="AG211" s="14" t="n"/>
      <c r="AH211" s="12" t="n"/>
      <c r="AI211" s="13" t="n"/>
      <c r="AJ211" s="14" t="n"/>
      <c r="AK211" s="12" t="n"/>
      <c r="AL211" s="13" t="n"/>
      <c r="AM211" s="14" t="n"/>
      <c r="AN211" s="12" t="n"/>
      <c r="AO211" s="13" t="n"/>
      <c r="AP211" s="14" t="n"/>
      <c r="AQ211" s="12" t="n"/>
      <c r="AR211" s="13" t="n"/>
      <c r="AS211" s="14" t="n"/>
      <c r="AT211" s="12" t="n"/>
      <c r="AU211" s="13" t="n"/>
      <c r="AV211" s="14" t="n"/>
      <c r="AW211" s="12" t="n"/>
      <c r="AX211" s="13" t="n"/>
      <c r="AY211" s="14" t="n"/>
      <c r="AZ211" s="12" t="n"/>
      <c r="BA211" s="13" t="n"/>
      <c r="BB211" s="14" t="n"/>
      <c r="BC211" s="11">
        <f>IF(O211="","",IF(J211="GST 10%",ROUND(O211*set_GSTRate,2),0))</f>
        <v/>
      </c>
      <c r="BD211" s="11">
        <f>IF(O211="","",O211+BC211)</f>
        <v/>
      </c>
      <c r="BE211" s="15">
        <f>IF(O211="","",COUNTA(S211,V211,Y211,AB211,AE211,AH211,AK211,AN211,AQ211,AT211,AW211,AZ211))</f>
        <v/>
      </c>
      <c r="BF211" s="16">
        <f>IF(COUNT(T211,W211,Z211,AC211,AF211,AI211,AL211,AO211,AR211,AU211,AX211,BA211)=0,"",MAX(T211,W211,Z211,AC211,AF211,AI211,AL211,AO211,AR211,AU211,AX211,BA211))</f>
        <v/>
      </c>
      <c r="BG211" s="10">
        <f>MID(IF(S211="","",", "&amp;S211)&amp;IF(V211="","",", "&amp;V211)&amp;IF(Y211="","",", "&amp;Y211)&amp;IF(AB211="","",", "&amp;AB211)&amp;IF(AE211="","",", "&amp;AE211)&amp;IF(AH211="","",", "&amp;AH211)&amp;IF(AK211="","",", "&amp;AK211)&amp;IF(AN211="","",", "&amp;AN211)&amp;IF(AQ211="","",", "&amp;AQ211)&amp;IF(AT211="","",", "&amp;AT211)&amp;IF(AW211="","",", "&amp;AW211)&amp;IF(AZ211="","",", "&amp;AZ211),3,500)</f>
        <v/>
      </c>
      <c r="BH211" s="12" t="n"/>
      <c r="BI211" s="15">
        <f>IFERROR(MATCH($A211,IF($B211="Onsite",tbl_Onsite[Row ID],IF($B211="Production",tbl_Production[Row ID],tbl_Consulting[Row ID])),0),"")</f>
        <v/>
      </c>
    </row>
    <row r="212">
      <c r="A212" s="10" t="inlineStr">
        <is>
          <t>ONS-0206</t>
        </is>
      </c>
      <c r="B212" s="10" t="inlineStr">
        <is>
          <t>Onsite</t>
        </is>
      </c>
      <c r="C212" s="10">
        <f>IF($BI212="","",IF($B212="Onsite",INDEX(tbl_Onsite[Job Number],$BI212),IF($B212="Production",INDEX(tbl_Production[Job Number],$BI212),INDEX(tbl_Consulting[Job Number],$BI212)))&amp;"")</f>
        <v/>
      </c>
      <c r="D212" s="10">
        <f>IF($BI212="","",IF($B212="Onsite",INDEX(tbl_Onsite[Client],$BI212),IF($B212="Production",INDEX(tbl_Production[Client],$BI212),INDEX(tbl_Consulting[Client],$BI212)))&amp;"")</f>
        <v/>
      </c>
      <c r="E212" s="10">
        <f>IF($C212="","",IF(COUNTIF(lst_Jobs,$C212)&gt;0,"OK","CHECK"))</f>
        <v/>
      </c>
      <c r="F212" s="10">
        <f>IF($C212="","",IFERROR(INDEX(lst_JobName,MATCH($C212,lst_Jobs,0)),""))</f>
        <v/>
      </c>
      <c r="G212" s="10">
        <f>IF($BI212="","",IF($B212="Onsite",INDEX(tbl_Onsite[Job Description],$BI212),IF($B212="Production",INDEX(tbl_Production[Job Description],$BI212),INDEX(tbl_Consulting[Job Description],$BI212)))&amp;"")</f>
        <v/>
      </c>
      <c r="H212" s="10">
        <f>IF($BI212="","",IF($B212="Onsite",INDEX(tbl_Onsite[Cost Centre],$BI212),IF($B212="Production",INDEX(tbl_Production[Cost Centre],$BI212),INDEX(tbl_Consulting[Cost Centre],$BI212)))&amp;"")</f>
        <v/>
      </c>
      <c r="I212" s="10">
        <f>IF($BI212="","",IF($B212="Onsite",INDEX(tbl_Onsite[Invoice Type],$BI212),IF($B212="Production",INDEX(tbl_Production[Invoice Type],$BI212),INDEX(tbl_Consulting[Invoice Type],$BI212)))&amp;"")</f>
        <v/>
      </c>
      <c r="J212" s="10">
        <f>IF($BI212="","",IF($B212="Onsite",INDEX(tbl_Onsite[Tax Code],$BI212),IF($B212="Production",INDEX(tbl_Production[Tax Code],$BI212),INDEX(tbl_Consulting[Tax Code],$BI212)))&amp;"")</f>
        <v/>
      </c>
      <c r="K212" s="10">
        <f>IF(H212="","",IFERROR(INDEX(lst_CCtoGL,MATCH(H212,lst_CCforGL,0)),""))</f>
        <v/>
      </c>
      <c r="L212" s="10">
        <f>IF($BI212="","",IF($B212="Onsite",INDEX(tbl_Onsite[PO / Reference],$BI212),IF($B212="Production",INDEX(tbl_Production[Current RMS No],$BI212),INDEX(tbl_Consulting[Qwilr Quote],$BI212)))&amp;"")</f>
        <v/>
      </c>
      <c r="M212" s="10">
        <f>IF($BI212="","",IF($B212="Onsite",INDEX(tbl_Onsite[Notes],$BI212),IF($B212="Production",INDEX(tbl_Production[Notes],$BI212),INDEX(tbl_Consulting[Notes],$BI212)))&amp;"")</f>
        <v/>
      </c>
      <c r="N212" s="11">
        <f>IF($BI212="","",IF(IF($B212="Onsite",INDEX(tbl_Onsite[Expected Revenue Ex GST],$BI212),IF($B212="Production",INDEX(tbl_Production[Expected Revenue Ex GST],$BI212),INDEX(tbl_Consulting[Expected Revenue Ex GST],$BI212)))="","",IF($B212="Onsite",INDEX(tbl_Onsite[Expected Revenue Ex GST],$BI212),IF($B212="Production",INDEX(tbl_Production[Expected Revenue Ex GST],$BI212),INDEX(tbl_Consulting[Expected Revenue Ex GST],$BI212)))))</f>
        <v/>
      </c>
      <c r="O212" s="11">
        <f>IF(AND($C212="",NOT(COUNTA($S212:$BB212)&gt;0)),"",SUM(U212,X212,AA212,AD212,AG212,AJ212,AM212,AP212,AS212,AV212,AY212,BB212))</f>
        <v/>
      </c>
      <c r="P212" s="11">
        <f>IF(O212="","",N(N212)-O212)</f>
        <v/>
      </c>
      <c r="Q212" s="10">
        <f>IF(O212="","",IF($C212="","Invoice on empty job row",IF(N212="",IF(ROUND(O212,2)=0,"No dept value","Invoiced - no dept value"),IF(ROUND(O212,2)=0,"Not invoiced - to invoice",IF(ROUND(P212,2)=0,"Agrees",IF(P212&gt;0,"Dept higher - to invoice","Xero higher - check dept"))))))</f>
        <v/>
      </c>
      <c r="R212" s="10">
        <f>IF(AND($C212="",NOT(COUNTA($S212:$BB212)&gt;0),$BI212&lt;&gt;""),"",MID(IF($BI212="","; Row ID not found on the department sheet - a row was deleted","")&amp;IF(AND($C212="",COUNTA($S212:$BB212)&gt;0),"; Invoice entered but the department row has no job number","")&amp;IF(E212="CHECK","; Job number not in the Xero job list","")&amp;IF(AND($C212&lt;&gt;"",COUNTIF($C$7:$C$1506,$C212)&gt;1),"; Job number on more than one row","")&amp;IF(AND($C212&lt;&gt;"",H212=""),"; Dept has not set a cost centre","")&amp;IF(AND($C212&lt;&gt;"",J212=""),"; Dept has not set a tax code","")&amp;IF(AND($C212&lt;&gt;"",N212=""),"; Dept has not entered an expected value","")&amp;IF((IF(OR(COUNTA(S212:U212)=0,AND(COUNTA(S212:U212)=3,ISNUMBER(U212))),0,1)+IF(OR(COUNTA(V212:X212)=0,AND(COUNTA(V212:X212)=3,ISNUMBER(X212))),0,1)+IF(OR(COUNTA(Y212:AA212)=0,AND(COUNTA(Y212:AA212)=3,ISNUMBER(AA212))),0,1)+IF(OR(COUNTA(AB212:AD212)=0,AND(COUNTA(AB212:AD212)=3,ISNUMBER(AD212))),0,1)+IF(OR(COUNTA(AE212:AG212)=0,AND(COUNTA(AE212:AG212)=3,ISNUMBER(AG212))),0,1)+IF(OR(COUNTA(AH212:AJ212)=0,AND(COUNTA(AH212:AJ212)=3,ISNUMBER(AJ212))),0,1)+IF(OR(COUNTA(AK212:AM212)=0,AND(COUNTA(AK212:AM212)=3,ISNUMBER(AM212))),0,1)+IF(OR(COUNTA(AN212:AP212)=0,AND(COUNTA(AN212:AP212)=3,ISNUMBER(AP212))),0,1)+IF(OR(COUNTA(AQ212:AS212)=0,AND(COUNTA(AQ212:AS212)=3,ISNUMBER(AS212))),0,1)+IF(OR(COUNTA(AT212:AV212)=0,AND(COUNTA(AT212:AV212)=3,ISNUMBER(AV212))),0,1)+IF(OR(COUNTA(AW212:AY212)=0,AND(COUNTA(AW212:AY212)=3,ISNUMBER(AY212))),0,1)+IF(OR(COUNTA(AZ212:BB212)=0,AND(COUNTA(AZ212:BB212)=3,ISNUMBER(BB212))),0,1))&gt;0,"; An invoice is incomplete (needs No, Date and a number in Ex GST)","")&amp;IF((IF(T212="",0,IFERROR(--(EOMONTH(T212,0)&lt;&gt;S$5),1))+IF(W212="",0,IFERROR(--(EOMONTH(W212,0)&lt;&gt;V$5),1))+IF(Z212="",0,IFERROR(--(EOMONTH(Z212,0)&lt;&gt;Y$5),1))+IF(AC212="",0,IFERROR(--(EOMONTH(AC212,0)&lt;&gt;AB$5),1))+IF(AF212="",0,IFERROR(--(EOMONTH(AF212,0)&lt;&gt;AE$5),1))+IF(AI212="",0,IFERROR(--(EOMONTH(AI212,0)&lt;&gt;AH$5),1))+IF(AL212="",0,IFERROR(--(EOMONTH(AL212,0)&lt;&gt;AK$5),1))+IF(AO212="",0,IFERROR(--(EOMONTH(AO212,0)&lt;&gt;AN$5),1))+IF(AR212="",0,IFERROR(--(EOMONTH(AR212,0)&lt;&gt;AQ$5),1))+IF(AU212="",0,IFERROR(--(EOMONTH(AU212,0)&lt;&gt;AT$5),1))+IF(AX212="",0,IFERROR(--(EOMONTH(AX212,0)&lt;&gt;AW$5),1))+IF(BA212="",0,IFERROR(--(EOMONTH(BA212,0)&lt;&gt;AZ$5),1)))&gt;0,"; An invoice date is not in the month it is typed under",""),3,500))</f>
        <v/>
      </c>
      <c r="S212" s="12" t="n"/>
      <c r="T212" s="13" t="n"/>
      <c r="U212" s="14" t="n"/>
      <c r="V212" s="12" t="n"/>
      <c r="W212" s="13" t="n"/>
      <c r="X212" s="14" t="n"/>
      <c r="Y212" s="12" t="n"/>
      <c r="Z212" s="13" t="n"/>
      <c r="AA212" s="14" t="n"/>
      <c r="AB212" s="12" t="n"/>
      <c r="AC212" s="13" t="n"/>
      <c r="AD212" s="14" t="n"/>
      <c r="AE212" s="12" t="n"/>
      <c r="AF212" s="13" t="n"/>
      <c r="AG212" s="14" t="n"/>
      <c r="AH212" s="12" t="n"/>
      <c r="AI212" s="13" t="n"/>
      <c r="AJ212" s="14" t="n"/>
      <c r="AK212" s="12" t="n"/>
      <c r="AL212" s="13" t="n"/>
      <c r="AM212" s="14" t="n"/>
      <c r="AN212" s="12" t="n"/>
      <c r="AO212" s="13" t="n"/>
      <c r="AP212" s="14" t="n"/>
      <c r="AQ212" s="12" t="n"/>
      <c r="AR212" s="13" t="n"/>
      <c r="AS212" s="14" t="n"/>
      <c r="AT212" s="12" t="n"/>
      <c r="AU212" s="13" t="n"/>
      <c r="AV212" s="14" t="n"/>
      <c r="AW212" s="12" t="n"/>
      <c r="AX212" s="13" t="n"/>
      <c r="AY212" s="14" t="n"/>
      <c r="AZ212" s="12" t="n"/>
      <c r="BA212" s="13" t="n"/>
      <c r="BB212" s="14" t="n"/>
      <c r="BC212" s="11">
        <f>IF(O212="","",IF(J212="GST 10%",ROUND(O212*set_GSTRate,2),0))</f>
        <v/>
      </c>
      <c r="BD212" s="11">
        <f>IF(O212="","",O212+BC212)</f>
        <v/>
      </c>
      <c r="BE212" s="15">
        <f>IF(O212="","",COUNTA(S212,V212,Y212,AB212,AE212,AH212,AK212,AN212,AQ212,AT212,AW212,AZ212))</f>
        <v/>
      </c>
      <c r="BF212" s="16">
        <f>IF(COUNT(T212,W212,Z212,AC212,AF212,AI212,AL212,AO212,AR212,AU212,AX212,BA212)=0,"",MAX(T212,W212,Z212,AC212,AF212,AI212,AL212,AO212,AR212,AU212,AX212,BA212))</f>
        <v/>
      </c>
      <c r="BG212" s="10">
        <f>MID(IF(S212="","",", "&amp;S212)&amp;IF(V212="","",", "&amp;V212)&amp;IF(Y212="","",", "&amp;Y212)&amp;IF(AB212="","",", "&amp;AB212)&amp;IF(AE212="","",", "&amp;AE212)&amp;IF(AH212="","",", "&amp;AH212)&amp;IF(AK212="","",", "&amp;AK212)&amp;IF(AN212="","",", "&amp;AN212)&amp;IF(AQ212="","",", "&amp;AQ212)&amp;IF(AT212="","",", "&amp;AT212)&amp;IF(AW212="","",", "&amp;AW212)&amp;IF(AZ212="","",", "&amp;AZ212),3,500)</f>
        <v/>
      </c>
      <c r="BH212" s="12" t="n"/>
      <c r="BI212" s="15">
        <f>IFERROR(MATCH($A212,IF($B212="Onsite",tbl_Onsite[Row ID],IF($B212="Production",tbl_Production[Row ID],tbl_Consulting[Row ID])),0),"")</f>
        <v/>
      </c>
    </row>
    <row r="213">
      <c r="A213" s="10" t="inlineStr">
        <is>
          <t>ONS-0207</t>
        </is>
      </c>
      <c r="B213" s="10" t="inlineStr">
        <is>
          <t>Onsite</t>
        </is>
      </c>
      <c r="C213" s="10">
        <f>IF($BI213="","",IF($B213="Onsite",INDEX(tbl_Onsite[Job Number],$BI213),IF($B213="Production",INDEX(tbl_Production[Job Number],$BI213),INDEX(tbl_Consulting[Job Number],$BI213)))&amp;"")</f>
        <v/>
      </c>
      <c r="D213" s="10">
        <f>IF($BI213="","",IF($B213="Onsite",INDEX(tbl_Onsite[Client],$BI213),IF($B213="Production",INDEX(tbl_Production[Client],$BI213),INDEX(tbl_Consulting[Client],$BI213)))&amp;"")</f>
        <v/>
      </c>
      <c r="E213" s="10">
        <f>IF($C213="","",IF(COUNTIF(lst_Jobs,$C213)&gt;0,"OK","CHECK"))</f>
        <v/>
      </c>
      <c r="F213" s="10">
        <f>IF($C213="","",IFERROR(INDEX(lst_JobName,MATCH($C213,lst_Jobs,0)),""))</f>
        <v/>
      </c>
      <c r="G213" s="10">
        <f>IF($BI213="","",IF($B213="Onsite",INDEX(tbl_Onsite[Job Description],$BI213),IF($B213="Production",INDEX(tbl_Production[Job Description],$BI213),INDEX(tbl_Consulting[Job Description],$BI213)))&amp;"")</f>
        <v/>
      </c>
      <c r="H213" s="10">
        <f>IF($BI213="","",IF($B213="Onsite",INDEX(tbl_Onsite[Cost Centre],$BI213),IF($B213="Production",INDEX(tbl_Production[Cost Centre],$BI213),INDEX(tbl_Consulting[Cost Centre],$BI213)))&amp;"")</f>
        <v/>
      </c>
      <c r="I213" s="10">
        <f>IF($BI213="","",IF($B213="Onsite",INDEX(tbl_Onsite[Invoice Type],$BI213),IF($B213="Production",INDEX(tbl_Production[Invoice Type],$BI213),INDEX(tbl_Consulting[Invoice Type],$BI213)))&amp;"")</f>
        <v/>
      </c>
      <c r="J213" s="10">
        <f>IF($BI213="","",IF($B213="Onsite",INDEX(tbl_Onsite[Tax Code],$BI213),IF($B213="Production",INDEX(tbl_Production[Tax Code],$BI213),INDEX(tbl_Consulting[Tax Code],$BI213)))&amp;"")</f>
        <v/>
      </c>
      <c r="K213" s="10">
        <f>IF(H213="","",IFERROR(INDEX(lst_CCtoGL,MATCH(H213,lst_CCforGL,0)),""))</f>
        <v/>
      </c>
      <c r="L213" s="10">
        <f>IF($BI213="","",IF($B213="Onsite",INDEX(tbl_Onsite[PO / Reference],$BI213),IF($B213="Production",INDEX(tbl_Production[Current RMS No],$BI213),INDEX(tbl_Consulting[Qwilr Quote],$BI213)))&amp;"")</f>
        <v/>
      </c>
      <c r="M213" s="10">
        <f>IF($BI213="","",IF($B213="Onsite",INDEX(tbl_Onsite[Notes],$BI213),IF($B213="Production",INDEX(tbl_Production[Notes],$BI213),INDEX(tbl_Consulting[Notes],$BI213)))&amp;"")</f>
        <v/>
      </c>
      <c r="N213" s="11">
        <f>IF($BI213="","",IF(IF($B213="Onsite",INDEX(tbl_Onsite[Expected Revenue Ex GST],$BI213),IF($B213="Production",INDEX(tbl_Production[Expected Revenue Ex GST],$BI213),INDEX(tbl_Consulting[Expected Revenue Ex GST],$BI213)))="","",IF($B213="Onsite",INDEX(tbl_Onsite[Expected Revenue Ex GST],$BI213),IF($B213="Production",INDEX(tbl_Production[Expected Revenue Ex GST],$BI213),INDEX(tbl_Consulting[Expected Revenue Ex GST],$BI213)))))</f>
        <v/>
      </c>
      <c r="O213" s="11">
        <f>IF(AND($C213="",NOT(COUNTA($S213:$BB213)&gt;0)),"",SUM(U213,X213,AA213,AD213,AG213,AJ213,AM213,AP213,AS213,AV213,AY213,BB213))</f>
        <v/>
      </c>
      <c r="P213" s="11">
        <f>IF(O213="","",N(N213)-O213)</f>
        <v/>
      </c>
      <c r="Q213" s="10">
        <f>IF(O213="","",IF($C213="","Invoice on empty job row",IF(N213="",IF(ROUND(O213,2)=0,"No dept value","Invoiced - no dept value"),IF(ROUND(O213,2)=0,"Not invoiced - to invoice",IF(ROUND(P213,2)=0,"Agrees",IF(P213&gt;0,"Dept higher - to invoice","Xero higher - check dept"))))))</f>
        <v/>
      </c>
      <c r="R213" s="10">
        <f>IF(AND($C213="",NOT(COUNTA($S213:$BB213)&gt;0),$BI213&lt;&gt;""),"",MID(IF($BI213="","; Row ID not found on the department sheet - a row was deleted","")&amp;IF(AND($C213="",COUNTA($S213:$BB213)&gt;0),"; Invoice entered but the department row has no job number","")&amp;IF(E213="CHECK","; Job number not in the Xero job list","")&amp;IF(AND($C213&lt;&gt;"",COUNTIF($C$7:$C$1506,$C213)&gt;1),"; Job number on more than one row","")&amp;IF(AND($C213&lt;&gt;"",H213=""),"; Dept has not set a cost centre","")&amp;IF(AND($C213&lt;&gt;"",J213=""),"; Dept has not set a tax code","")&amp;IF(AND($C213&lt;&gt;"",N213=""),"; Dept has not entered an expected value","")&amp;IF((IF(OR(COUNTA(S213:U213)=0,AND(COUNTA(S213:U213)=3,ISNUMBER(U213))),0,1)+IF(OR(COUNTA(V213:X213)=0,AND(COUNTA(V213:X213)=3,ISNUMBER(X213))),0,1)+IF(OR(COUNTA(Y213:AA213)=0,AND(COUNTA(Y213:AA213)=3,ISNUMBER(AA213))),0,1)+IF(OR(COUNTA(AB213:AD213)=0,AND(COUNTA(AB213:AD213)=3,ISNUMBER(AD213))),0,1)+IF(OR(COUNTA(AE213:AG213)=0,AND(COUNTA(AE213:AG213)=3,ISNUMBER(AG213))),0,1)+IF(OR(COUNTA(AH213:AJ213)=0,AND(COUNTA(AH213:AJ213)=3,ISNUMBER(AJ213))),0,1)+IF(OR(COUNTA(AK213:AM213)=0,AND(COUNTA(AK213:AM213)=3,ISNUMBER(AM213))),0,1)+IF(OR(COUNTA(AN213:AP213)=0,AND(COUNTA(AN213:AP213)=3,ISNUMBER(AP213))),0,1)+IF(OR(COUNTA(AQ213:AS213)=0,AND(COUNTA(AQ213:AS213)=3,ISNUMBER(AS213))),0,1)+IF(OR(COUNTA(AT213:AV213)=0,AND(COUNTA(AT213:AV213)=3,ISNUMBER(AV213))),0,1)+IF(OR(COUNTA(AW213:AY213)=0,AND(COUNTA(AW213:AY213)=3,ISNUMBER(AY213))),0,1)+IF(OR(COUNTA(AZ213:BB213)=0,AND(COUNTA(AZ213:BB213)=3,ISNUMBER(BB213))),0,1))&gt;0,"; An invoice is incomplete (needs No, Date and a number in Ex GST)","")&amp;IF((IF(T213="",0,IFERROR(--(EOMONTH(T213,0)&lt;&gt;S$5),1))+IF(W213="",0,IFERROR(--(EOMONTH(W213,0)&lt;&gt;V$5),1))+IF(Z213="",0,IFERROR(--(EOMONTH(Z213,0)&lt;&gt;Y$5),1))+IF(AC213="",0,IFERROR(--(EOMONTH(AC213,0)&lt;&gt;AB$5),1))+IF(AF213="",0,IFERROR(--(EOMONTH(AF213,0)&lt;&gt;AE$5),1))+IF(AI213="",0,IFERROR(--(EOMONTH(AI213,0)&lt;&gt;AH$5),1))+IF(AL213="",0,IFERROR(--(EOMONTH(AL213,0)&lt;&gt;AK$5),1))+IF(AO213="",0,IFERROR(--(EOMONTH(AO213,0)&lt;&gt;AN$5),1))+IF(AR213="",0,IFERROR(--(EOMONTH(AR213,0)&lt;&gt;AQ$5),1))+IF(AU213="",0,IFERROR(--(EOMONTH(AU213,0)&lt;&gt;AT$5),1))+IF(AX213="",0,IFERROR(--(EOMONTH(AX213,0)&lt;&gt;AW$5),1))+IF(BA213="",0,IFERROR(--(EOMONTH(BA213,0)&lt;&gt;AZ$5),1)))&gt;0,"; An invoice date is not in the month it is typed under",""),3,500))</f>
        <v/>
      </c>
      <c r="S213" s="12" t="n"/>
      <c r="T213" s="13" t="n"/>
      <c r="U213" s="14" t="n"/>
      <c r="V213" s="12" t="n"/>
      <c r="W213" s="13" t="n"/>
      <c r="X213" s="14" t="n"/>
      <c r="Y213" s="12" t="n"/>
      <c r="Z213" s="13" t="n"/>
      <c r="AA213" s="14" t="n"/>
      <c r="AB213" s="12" t="n"/>
      <c r="AC213" s="13" t="n"/>
      <c r="AD213" s="14" t="n"/>
      <c r="AE213" s="12" t="n"/>
      <c r="AF213" s="13" t="n"/>
      <c r="AG213" s="14" t="n"/>
      <c r="AH213" s="12" t="n"/>
      <c r="AI213" s="13" t="n"/>
      <c r="AJ213" s="14" t="n"/>
      <c r="AK213" s="12" t="n"/>
      <c r="AL213" s="13" t="n"/>
      <c r="AM213" s="14" t="n"/>
      <c r="AN213" s="12" t="n"/>
      <c r="AO213" s="13" t="n"/>
      <c r="AP213" s="14" t="n"/>
      <c r="AQ213" s="12" t="n"/>
      <c r="AR213" s="13" t="n"/>
      <c r="AS213" s="14" t="n"/>
      <c r="AT213" s="12" t="n"/>
      <c r="AU213" s="13" t="n"/>
      <c r="AV213" s="14" t="n"/>
      <c r="AW213" s="12" t="n"/>
      <c r="AX213" s="13" t="n"/>
      <c r="AY213" s="14" t="n"/>
      <c r="AZ213" s="12" t="n"/>
      <c r="BA213" s="13" t="n"/>
      <c r="BB213" s="14" t="n"/>
      <c r="BC213" s="11">
        <f>IF(O213="","",IF(J213="GST 10%",ROUND(O213*set_GSTRate,2),0))</f>
        <v/>
      </c>
      <c r="BD213" s="11">
        <f>IF(O213="","",O213+BC213)</f>
        <v/>
      </c>
      <c r="BE213" s="15">
        <f>IF(O213="","",COUNTA(S213,V213,Y213,AB213,AE213,AH213,AK213,AN213,AQ213,AT213,AW213,AZ213))</f>
        <v/>
      </c>
      <c r="BF213" s="16">
        <f>IF(COUNT(T213,W213,Z213,AC213,AF213,AI213,AL213,AO213,AR213,AU213,AX213,BA213)=0,"",MAX(T213,W213,Z213,AC213,AF213,AI213,AL213,AO213,AR213,AU213,AX213,BA213))</f>
        <v/>
      </c>
      <c r="BG213" s="10">
        <f>MID(IF(S213="","",", "&amp;S213)&amp;IF(V213="","",", "&amp;V213)&amp;IF(Y213="","",", "&amp;Y213)&amp;IF(AB213="","",", "&amp;AB213)&amp;IF(AE213="","",", "&amp;AE213)&amp;IF(AH213="","",", "&amp;AH213)&amp;IF(AK213="","",", "&amp;AK213)&amp;IF(AN213="","",", "&amp;AN213)&amp;IF(AQ213="","",", "&amp;AQ213)&amp;IF(AT213="","",", "&amp;AT213)&amp;IF(AW213="","",", "&amp;AW213)&amp;IF(AZ213="","",", "&amp;AZ213),3,500)</f>
        <v/>
      </c>
      <c r="BH213" s="12" t="n"/>
      <c r="BI213" s="15">
        <f>IFERROR(MATCH($A213,IF($B213="Onsite",tbl_Onsite[Row ID],IF($B213="Production",tbl_Production[Row ID],tbl_Consulting[Row ID])),0),"")</f>
        <v/>
      </c>
    </row>
    <row r="214">
      <c r="A214" s="10" t="inlineStr">
        <is>
          <t>ONS-0208</t>
        </is>
      </c>
      <c r="B214" s="10" t="inlineStr">
        <is>
          <t>Onsite</t>
        </is>
      </c>
      <c r="C214" s="10">
        <f>IF($BI214="","",IF($B214="Onsite",INDEX(tbl_Onsite[Job Number],$BI214),IF($B214="Production",INDEX(tbl_Production[Job Number],$BI214),INDEX(tbl_Consulting[Job Number],$BI214)))&amp;"")</f>
        <v/>
      </c>
      <c r="D214" s="10">
        <f>IF($BI214="","",IF($B214="Onsite",INDEX(tbl_Onsite[Client],$BI214),IF($B214="Production",INDEX(tbl_Production[Client],$BI214),INDEX(tbl_Consulting[Client],$BI214)))&amp;"")</f>
        <v/>
      </c>
      <c r="E214" s="10">
        <f>IF($C214="","",IF(COUNTIF(lst_Jobs,$C214)&gt;0,"OK","CHECK"))</f>
        <v/>
      </c>
      <c r="F214" s="10">
        <f>IF($C214="","",IFERROR(INDEX(lst_JobName,MATCH($C214,lst_Jobs,0)),""))</f>
        <v/>
      </c>
      <c r="G214" s="10">
        <f>IF($BI214="","",IF($B214="Onsite",INDEX(tbl_Onsite[Job Description],$BI214),IF($B214="Production",INDEX(tbl_Production[Job Description],$BI214),INDEX(tbl_Consulting[Job Description],$BI214)))&amp;"")</f>
        <v/>
      </c>
      <c r="H214" s="10">
        <f>IF($BI214="","",IF($B214="Onsite",INDEX(tbl_Onsite[Cost Centre],$BI214),IF($B214="Production",INDEX(tbl_Production[Cost Centre],$BI214),INDEX(tbl_Consulting[Cost Centre],$BI214)))&amp;"")</f>
        <v/>
      </c>
      <c r="I214" s="10">
        <f>IF($BI214="","",IF($B214="Onsite",INDEX(tbl_Onsite[Invoice Type],$BI214),IF($B214="Production",INDEX(tbl_Production[Invoice Type],$BI214),INDEX(tbl_Consulting[Invoice Type],$BI214)))&amp;"")</f>
        <v/>
      </c>
      <c r="J214" s="10">
        <f>IF($BI214="","",IF($B214="Onsite",INDEX(tbl_Onsite[Tax Code],$BI214),IF($B214="Production",INDEX(tbl_Production[Tax Code],$BI214),INDEX(tbl_Consulting[Tax Code],$BI214)))&amp;"")</f>
        <v/>
      </c>
      <c r="K214" s="10">
        <f>IF(H214="","",IFERROR(INDEX(lst_CCtoGL,MATCH(H214,lst_CCforGL,0)),""))</f>
        <v/>
      </c>
      <c r="L214" s="10">
        <f>IF($BI214="","",IF($B214="Onsite",INDEX(tbl_Onsite[PO / Reference],$BI214),IF($B214="Production",INDEX(tbl_Production[Current RMS No],$BI214),INDEX(tbl_Consulting[Qwilr Quote],$BI214)))&amp;"")</f>
        <v/>
      </c>
      <c r="M214" s="10">
        <f>IF($BI214="","",IF($B214="Onsite",INDEX(tbl_Onsite[Notes],$BI214),IF($B214="Production",INDEX(tbl_Production[Notes],$BI214),INDEX(tbl_Consulting[Notes],$BI214)))&amp;"")</f>
        <v/>
      </c>
      <c r="N214" s="11">
        <f>IF($BI214="","",IF(IF($B214="Onsite",INDEX(tbl_Onsite[Expected Revenue Ex GST],$BI214),IF($B214="Production",INDEX(tbl_Production[Expected Revenue Ex GST],$BI214),INDEX(tbl_Consulting[Expected Revenue Ex GST],$BI214)))="","",IF($B214="Onsite",INDEX(tbl_Onsite[Expected Revenue Ex GST],$BI214),IF($B214="Production",INDEX(tbl_Production[Expected Revenue Ex GST],$BI214),INDEX(tbl_Consulting[Expected Revenue Ex GST],$BI214)))))</f>
        <v/>
      </c>
      <c r="O214" s="11">
        <f>IF(AND($C214="",NOT(COUNTA($S214:$BB214)&gt;0)),"",SUM(U214,X214,AA214,AD214,AG214,AJ214,AM214,AP214,AS214,AV214,AY214,BB214))</f>
        <v/>
      </c>
      <c r="P214" s="11">
        <f>IF(O214="","",N(N214)-O214)</f>
        <v/>
      </c>
      <c r="Q214" s="10">
        <f>IF(O214="","",IF($C214="","Invoice on empty job row",IF(N214="",IF(ROUND(O214,2)=0,"No dept value","Invoiced - no dept value"),IF(ROUND(O214,2)=0,"Not invoiced - to invoice",IF(ROUND(P214,2)=0,"Agrees",IF(P214&gt;0,"Dept higher - to invoice","Xero higher - check dept"))))))</f>
        <v/>
      </c>
      <c r="R214" s="10">
        <f>IF(AND($C214="",NOT(COUNTA($S214:$BB214)&gt;0),$BI214&lt;&gt;""),"",MID(IF($BI214="","; Row ID not found on the department sheet - a row was deleted","")&amp;IF(AND($C214="",COUNTA($S214:$BB214)&gt;0),"; Invoice entered but the department row has no job number","")&amp;IF(E214="CHECK","; Job number not in the Xero job list","")&amp;IF(AND($C214&lt;&gt;"",COUNTIF($C$7:$C$1506,$C214)&gt;1),"; Job number on more than one row","")&amp;IF(AND($C214&lt;&gt;"",H214=""),"; Dept has not set a cost centre","")&amp;IF(AND($C214&lt;&gt;"",J214=""),"; Dept has not set a tax code","")&amp;IF(AND($C214&lt;&gt;"",N214=""),"; Dept has not entered an expected value","")&amp;IF((IF(OR(COUNTA(S214:U214)=0,AND(COUNTA(S214:U214)=3,ISNUMBER(U214))),0,1)+IF(OR(COUNTA(V214:X214)=0,AND(COUNTA(V214:X214)=3,ISNUMBER(X214))),0,1)+IF(OR(COUNTA(Y214:AA214)=0,AND(COUNTA(Y214:AA214)=3,ISNUMBER(AA214))),0,1)+IF(OR(COUNTA(AB214:AD214)=0,AND(COUNTA(AB214:AD214)=3,ISNUMBER(AD214))),0,1)+IF(OR(COUNTA(AE214:AG214)=0,AND(COUNTA(AE214:AG214)=3,ISNUMBER(AG214))),0,1)+IF(OR(COUNTA(AH214:AJ214)=0,AND(COUNTA(AH214:AJ214)=3,ISNUMBER(AJ214))),0,1)+IF(OR(COUNTA(AK214:AM214)=0,AND(COUNTA(AK214:AM214)=3,ISNUMBER(AM214))),0,1)+IF(OR(COUNTA(AN214:AP214)=0,AND(COUNTA(AN214:AP214)=3,ISNUMBER(AP214))),0,1)+IF(OR(COUNTA(AQ214:AS214)=0,AND(COUNTA(AQ214:AS214)=3,ISNUMBER(AS214))),0,1)+IF(OR(COUNTA(AT214:AV214)=0,AND(COUNTA(AT214:AV214)=3,ISNUMBER(AV214))),0,1)+IF(OR(COUNTA(AW214:AY214)=0,AND(COUNTA(AW214:AY214)=3,ISNUMBER(AY214))),0,1)+IF(OR(COUNTA(AZ214:BB214)=0,AND(COUNTA(AZ214:BB214)=3,ISNUMBER(BB214))),0,1))&gt;0,"; An invoice is incomplete (needs No, Date and a number in Ex GST)","")&amp;IF((IF(T214="",0,IFERROR(--(EOMONTH(T214,0)&lt;&gt;S$5),1))+IF(W214="",0,IFERROR(--(EOMONTH(W214,0)&lt;&gt;V$5),1))+IF(Z214="",0,IFERROR(--(EOMONTH(Z214,0)&lt;&gt;Y$5),1))+IF(AC214="",0,IFERROR(--(EOMONTH(AC214,0)&lt;&gt;AB$5),1))+IF(AF214="",0,IFERROR(--(EOMONTH(AF214,0)&lt;&gt;AE$5),1))+IF(AI214="",0,IFERROR(--(EOMONTH(AI214,0)&lt;&gt;AH$5),1))+IF(AL214="",0,IFERROR(--(EOMONTH(AL214,0)&lt;&gt;AK$5),1))+IF(AO214="",0,IFERROR(--(EOMONTH(AO214,0)&lt;&gt;AN$5),1))+IF(AR214="",0,IFERROR(--(EOMONTH(AR214,0)&lt;&gt;AQ$5),1))+IF(AU214="",0,IFERROR(--(EOMONTH(AU214,0)&lt;&gt;AT$5),1))+IF(AX214="",0,IFERROR(--(EOMONTH(AX214,0)&lt;&gt;AW$5),1))+IF(BA214="",0,IFERROR(--(EOMONTH(BA214,0)&lt;&gt;AZ$5),1)))&gt;0,"; An invoice date is not in the month it is typed under",""),3,500))</f>
        <v/>
      </c>
      <c r="S214" s="12" t="n"/>
      <c r="T214" s="13" t="n"/>
      <c r="U214" s="14" t="n"/>
      <c r="V214" s="12" t="n"/>
      <c r="W214" s="13" t="n"/>
      <c r="X214" s="14" t="n"/>
      <c r="Y214" s="12" t="n"/>
      <c r="Z214" s="13" t="n"/>
      <c r="AA214" s="14" t="n"/>
      <c r="AB214" s="12" t="n"/>
      <c r="AC214" s="13" t="n"/>
      <c r="AD214" s="14" t="n"/>
      <c r="AE214" s="12" t="n"/>
      <c r="AF214" s="13" t="n"/>
      <c r="AG214" s="14" t="n"/>
      <c r="AH214" s="12" t="n"/>
      <c r="AI214" s="13" t="n"/>
      <c r="AJ214" s="14" t="n"/>
      <c r="AK214" s="12" t="n"/>
      <c r="AL214" s="13" t="n"/>
      <c r="AM214" s="14" t="n"/>
      <c r="AN214" s="12" t="n"/>
      <c r="AO214" s="13" t="n"/>
      <c r="AP214" s="14" t="n"/>
      <c r="AQ214" s="12" t="n"/>
      <c r="AR214" s="13" t="n"/>
      <c r="AS214" s="14" t="n"/>
      <c r="AT214" s="12" t="n"/>
      <c r="AU214" s="13" t="n"/>
      <c r="AV214" s="14" t="n"/>
      <c r="AW214" s="12" t="n"/>
      <c r="AX214" s="13" t="n"/>
      <c r="AY214" s="14" t="n"/>
      <c r="AZ214" s="12" t="n"/>
      <c r="BA214" s="13" t="n"/>
      <c r="BB214" s="14" t="n"/>
      <c r="BC214" s="11">
        <f>IF(O214="","",IF(J214="GST 10%",ROUND(O214*set_GSTRate,2),0))</f>
        <v/>
      </c>
      <c r="BD214" s="11">
        <f>IF(O214="","",O214+BC214)</f>
        <v/>
      </c>
      <c r="BE214" s="15">
        <f>IF(O214="","",COUNTA(S214,V214,Y214,AB214,AE214,AH214,AK214,AN214,AQ214,AT214,AW214,AZ214))</f>
        <v/>
      </c>
      <c r="BF214" s="16">
        <f>IF(COUNT(T214,W214,Z214,AC214,AF214,AI214,AL214,AO214,AR214,AU214,AX214,BA214)=0,"",MAX(T214,W214,Z214,AC214,AF214,AI214,AL214,AO214,AR214,AU214,AX214,BA214))</f>
        <v/>
      </c>
      <c r="BG214" s="10">
        <f>MID(IF(S214="","",", "&amp;S214)&amp;IF(V214="","",", "&amp;V214)&amp;IF(Y214="","",", "&amp;Y214)&amp;IF(AB214="","",", "&amp;AB214)&amp;IF(AE214="","",", "&amp;AE214)&amp;IF(AH214="","",", "&amp;AH214)&amp;IF(AK214="","",", "&amp;AK214)&amp;IF(AN214="","",", "&amp;AN214)&amp;IF(AQ214="","",", "&amp;AQ214)&amp;IF(AT214="","",", "&amp;AT214)&amp;IF(AW214="","",", "&amp;AW214)&amp;IF(AZ214="","",", "&amp;AZ214),3,500)</f>
        <v/>
      </c>
      <c r="BH214" s="12" t="n"/>
      <c r="BI214" s="15">
        <f>IFERROR(MATCH($A214,IF($B214="Onsite",tbl_Onsite[Row ID],IF($B214="Production",tbl_Production[Row ID],tbl_Consulting[Row ID])),0),"")</f>
        <v/>
      </c>
    </row>
    <row r="215">
      <c r="A215" s="10" t="inlineStr">
        <is>
          <t>ONS-0209</t>
        </is>
      </c>
      <c r="B215" s="10" t="inlineStr">
        <is>
          <t>Onsite</t>
        </is>
      </c>
      <c r="C215" s="10">
        <f>IF($BI215="","",IF($B215="Onsite",INDEX(tbl_Onsite[Job Number],$BI215),IF($B215="Production",INDEX(tbl_Production[Job Number],$BI215),INDEX(tbl_Consulting[Job Number],$BI215)))&amp;"")</f>
        <v/>
      </c>
      <c r="D215" s="10">
        <f>IF($BI215="","",IF($B215="Onsite",INDEX(tbl_Onsite[Client],$BI215),IF($B215="Production",INDEX(tbl_Production[Client],$BI215),INDEX(tbl_Consulting[Client],$BI215)))&amp;"")</f>
        <v/>
      </c>
      <c r="E215" s="10">
        <f>IF($C215="","",IF(COUNTIF(lst_Jobs,$C215)&gt;0,"OK","CHECK"))</f>
        <v/>
      </c>
      <c r="F215" s="10">
        <f>IF($C215="","",IFERROR(INDEX(lst_JobName,MATCH($C215,lst_Jobs,0)),""))</f>
        <v/>
      </c>
      <c r="G215" s="10">
        <f>IF($BI215="","",IF($B215="Onsite",INDEX(tbl_Onsite[Job Description],$BI215),IF($B215="Production",INDEX(tbl_Production[Job Description],$BI215),INDEX(tbl_Consulting[Job Description],$BI215)))&amp;"")</f>
        <v/>
      </c>
      <c r="H215" s="10">
        <f>IF($BI215="","",IF($B215="Onsite",INDEX(tbl_Onsite[Cost Centre],$BI215),IF($B215="Production",INDEX(tbl_Production[Cost Centre],$BI215),INDEX(tbl_Consulting[Cost Centre],$BI215)))&amp;"")</f>
        <v/>
      </c>
      <c r="I215" s="10">
        <f>IF($BI215="","",IF($B215="Onsite",INDEX(tbl_Onsite[Invoice Type],$BI215),IF($B215="Production",INDEX(tbl_Production[Invoice Type],$BI215),INDEX(tbl_Consulting[Invoice Type],$BI215)))&amp;"")</f>
        <v/>
      </c>
      <c r="J215" s="10">
        <f>IF($BI215="","",IF($B215="Onsite",INDEX(tbl_Onsite[Tax Code],$BI215),IF($B215="Production",INDEX(tbl_Production[Tax Code],$BI215),INDEX(tbl_Consulting[Tax Code],$BI215)))&amp;"")</f>
        <v/>
      </c>
      <c r="K215" s="10">
        <f>IF(H215="","",IFERROR(INDEX(lst_CCtoGL,MATCH(H215,lst_CCforGL,0)),""))</f>
        <v/>
      </c>
      <c r="L215" s="10">
        <f>IF($BI215="","",IF($B215="Onsite",INDEX(tbl_Onsite[PO / Reference],$BI215),IF($B215="Production",INDEX(tbl_Production[Current RMS No],$BI215),INDEX(tbl_Consulting[Qwilr Quote],$BI215)))&amp;"")</f>
        <v/>
      </c>
      <c r="M215" s="10">
        <f>IF($BI215="","",IF($B215="Onsite",INDEX(tbl_Onsite[Notes],$BI215),IF($B215="Production",INDEX(tbl_Production[Notes],$BI215),INDEX(tbl_Consulting[Notes],$BI215)))&amp;"")</f>
        <v/>
      </c>
      <c r="N215" s="11">
        <f>IF($BI215="","",IF(IF($B215="Onsite",INDEX(tbl_Onsite[Expected Revenue Ex GST],$BI215),IF($B215="Production",INDEX(tbl_Production[Expected Revenue Ex GST],$BI215),INDEX(tbl_Consulting[Expected Revenue Ex GST],$BI215)))="","",IF($B215="Onsite",INDEX(tbl_Onsite[Expected Revenue Ex GST],$BI215),IF($B215="Production",INDEX(tbl_Production[Expected Revenue Ex GST],$BI215),INDEX(tbl_Consulting[Expected Revenue Ex GST],$BI215)))))</f>
        <v/>
      </c>
      <c r="O215" s="11">
        <f>IF(AND($C215="",NOT(COUNTA($S215:$BB215)&gt;0)),"",SUM(U215,X215,AA215,AD215,AG215,AJ215,AM215,AP215,AS215,AV215,AY215,BB215))</f>
        <v/>
      </c>
      <c r="P215" s="11">
        <f>IF(O215="","",N(N215)-O215)</f>
        <v/>
      </c>
      <c r="Q215" s="10">
        <f>IF(O215="","",IF($C215="","Invoice on empty job row",IF(N215="",IF(ROUND(O215,2)=0,"No dept value","Invoiced - no dept value"),IF(ROUND(O215,2)=0,"Not invoiced - to invoice",IF(ROUND(P215,2)=0,"Agrees",IF(P215&gt;0,"Dept higher - to invoice","Xero higher - check dept"))))))</f>
        <v/>
      </c>
      <c r="R215" s="10">
        <f>IF(AND($C215="",NOT(COUNTA($S215:$BB215)&gt;0),$BI215&lt;&gt;""),"",MID(IF($BI215="","; Row ID not found on the department sheet - a row was deleted","")&amp;IF(AND($C215="",COUNTA($S215:$BB215)&gt;0),"; Invoice entered but the department row has no job number","")&amp;IF(E215="CHECK","; Job number not in the Xero job list","")&amp;IF(AND($C215&lt;&gt;"",COUNTIF($C$7:$C$1506,$C215)&gt;1),"; Job number on more than one row","")&amp;IF(AND($C215&lt;&gt;"",H215=""),"; Dept has not set a cost centre","")&amp;IF(AND($C215&lt;&gt;"",J215=""),"; Dept has not set a tax code","")&amp;IF(AND($C215&lt;&gt;"",N215=""),"; Dept has not entered an expected value","")&amp;IF((IF(OR(COUNTA(S215:U215)=0,AND(COUNTA(S215:U215)=3,ISNUMBER(U215))),0,1)+IF(OR(COUNTA(V215:X215)=0,AND(COUNTA(V215:X215)=3,ISNUMBER(X215))),0,1)+IF(OR(COUNTA(Y215:AA215)=0,AND(COUNTA(Y215:AA215)=3,ISNUMBER(AA215))),0,1)+IF(OR(COUNTA(AB215:AD215)=0,AND(COUNTA(AB215:AD215)=3,ISNUMBER(AD215))),0,1)+IF(OR(COUNTA(AE215:AG215)=0,AND(COUNTA(AE215:AG215)=3,ISNUMBER(AG215))),0,1)+IF(OR(COUNTA(AH215:AJ215)=0,AND(COUNTA(AH215:AJ215)=3,ISNUMBER(AJ215))),0,1)+IF(OR(COUNTA(AK215:AM215)=0,AND(COUNTA(AK215:AM215)=3,ISNUMBER(AM215))),0,1)+IF(OR(COUNTA(AN215:AP215)=0,AND(COUNTA(AN215:AP215)=3,ISNUMBER(AP215))),0,1)+IF(OR(COUNTA(AQ215:AS215)=0,AND(COUNTA(AQ215:AS215)=3,ISNUMBER(AS215))),0,1)+IF(OR(COUNTA(AT215:AV215)=0,AND(COUNTA(AT215:AV215)=3,ISNUMBER(AV215))),0,1)+IF(OR(COUNTA(AW215:AY215)=0,AND(COUNTA(AW215:AY215)=3,ISNUMBER(AY215))),0,1)+IF(OR(COUNTA(AZ215:BB215)=0,AND(COUNTA(AZ215:BB215)=3,ISNUMBER(BB215))),0,1))&gt;0,"; An invoice is incomplete (needs No, Date and a number in Ex GST)","")&amp;IF((IF(T215="",0,IFERROR(--(EOMONTH(T215,0)&lt;&gt;S$5),1))+IF(W215="",0,IFERROR(--(EOMONTH(W215,0)&lt;&gt;V$5),1))+IF(Z215="",0,IFERROR(--(EOMONTH(Z215,0)&lt;&gt;Y$5),1))+IF(AC215="",0,IFERROR(--(EOMONTH(AC215,0)&lt;&gt;AB$5),1))+IF(AF215="",0,IFERROR(--(EOMONTH(AF215,0)&lt;&gt;AE$5),1))+IF(AI215="",0,IFERROR(--(EOMONTH(AI215,0)&lt;&gt;AH$5),1))+IF(AL215="",0,IFERROR(--(EOMONTH(AL215,0)&lt;&gt;AK$5),1))+IF(AO215="",0,IFERROR(--(EOMONTH(AO215,0)&lt;&gt;AN$5),1))+IF(AR215="",0,IFERROR(--(EOMONTH(AR215,0)&lt;&gt;AQ$5),1))+IF(AU215="",0,IFERROR(--(EOMONTH(AU215,0)&lt;&gt;AT$5),1))+IF(AX215="",0,IFERROR(--(EOMONTH(AX215,0)&lt;&gt;AW$5),1))+IF(BA215="",0,IFERROR(--(EOMONTH(BA215,0)&lt;&gt;AZ$5),1)))&gt;0,"; An invoice date is not in the month it is typed under",""),3,500))</f>
        <v/>
      </c>
      <c r="S215" s="12" t="n"/>
      <c r="T215" s="13" t="n"/>
      <c r="U215" s="14" t="n"/>
      <c r="V215" s="12" t="n"/>
      <c r="W215" s="13" t="n"/>
      <c r="X215" s="14" t="n"/>
      <c r="Y215" s="12" t="n"/>
      <c r="Z215" s="13" t="n"/>
      <c r="AA215" s="14" t="n"/>
      <c r="AB215" s="12" t="n"/>
      <c r="AC215" s="13" t="n"/>
      <c r="AD215" s="14" t="n"/>
      <c r="AE215" s="12" t="n"/>
      <c r="AF215" s="13" t="n"/>
      <c r="AG215" s="14" t="n"/>
      <c r="AH215" s="12" t="n"/>
      <c r="AI215" s="13" t="n"/>
      <c r="AJ215" s="14" t="n"/>
      <c r="AK215" s="12" t="n"/>
      <c r="AL215" s="13" t="n"/>
      <c r="AM215" s="14" t="n"/>
      <c r="AN215" s="12" t="n"/>
      <c r="AO215" s="13" t="n"/>
      <c r="AP215" s="14" t="n"/>
      <c r="AQ215" s="12" t="n"/>
      <c r="AR215" s="13" t="n"/>
      <c r="AS215" s="14" t="n"/>
      <c r="AT215" s="12" t="n"/>
      <c r="AU215" s="13" t="n"/>
      <c r="AV215" s="14" t="n"/>
      <c r="AW215" s="12" t="n"/>
      <c r="AX215" s="13" t="n"/>
      <c r="AY215" s="14" t="n"/>
      <c r="AZ215" s="12" t="n"/>
      <c r="BA215" s="13" t="n"/>
      <c r="BB215" s="14" t="n"/>
      <c r="BC215" s="11">
        <f>IF(O215="","",IF(J215="GST 10%",ROUND(O215*set_GSTRate,2),0))</f>
        <v/>
      </c>
      <c r="BD215" s="11">
        <f>IF(O215="","",O215+BC215)</f>
        <v/>
      </c>
      <c r="BE215" s="15">
        <f>IF(O215="","",COUNTA(S215,V215,Y215,AB215,AE215,AH215,AK215,AN215,AQ215,AT215,AW215,AZ215))</f>
        <v/>
      </c>
      <c r="BF215" s="16">
        <f>IF(COUNT(T215,W215,Z215,AC215,AF215,AI215,AL215,AO215,AR215,AU215,AX215,BA215)=0,"",MAX(T215,W215,Z215,AC215,AF215,AI215,AL215,AO215,AR215,AU215,AX215,BA215))</f>
        <v/>
      </c>
      <c r="BG215" s="10">
        <f>MID(IF(S215="","",", "&amp;S215)&amp;IF(V215="","",", "&amp;V215)&amp;IF(Y215="","",", "&amp;Y215)&amp;IF(AB215="","",", "&amp;AB215)&amp;IF(AE215="","",", "&amp;AE215)&amp;IF(AH215="","",", "&amp;AH215)&amp;IF(AK215="","",", "&amp;AK215)&amp;IF(AN215="","",", "&amp;AN215)&amp;IF(AQ215="","",", "&amp;AQ215)&amp;IF(AT215="","",", "&amp;AT215)&amp;IF(AW215="","",", "&amp;AW215)&amp;IF(AZ215="","",", "&amp;AZ215),3,500)</f>
        <v/>
      </c>
      <c r="BH215" s="12" t="n"/>
      <c r="BI215" s="15">
        <f>IFERROR(MATCH($A215,IF($B215="Onsite",tbl_Onsite[Row ID],IF($B215="Production",tbl_Production[Row ID],tbl_Consulting[Row ID])),0),"")</f>
        <v/>
      </c>
    </row>
    <row r="216">
      <c r="A216" s="10" t="inlineStr">
        <is>
          <t>ONS-0210</t>
        </is>
      </c>
      <c r="B216" s="10" t="inlineStr">
        <is>
          <t>Onsite</t>
        </is>
      </c>
      <c r="C216" s="10">
        <f>IF($BI216="","",IF($B216="Onsite",INDEX(tbl_Onsite[Job Number],$BI216),IF($B216="Production",INDEX(tbl_Production[Job Number],$BI216),INDEX(tbl_Consulting[Job Number],$BI216)))&amp;"")</f>
        <v/>
      </c>
      <c r="D216" s="10">
        <f>IF($BI216="","",IF($B216="Onsite",INDEX(tbl_Onsite[Client],$BI216),IF($B216="Production",INDEX(tbl_Production[Client],$BI216),INDEX(tbl_Consulting[Client],$BI216)))&amp;"")</f>
        <v/>
      </c>
      <c r="E216" s="10">
        <f>IF($C216="","",IF(COUNTIF(lst_Jobs,$C216)&gt;0,"OK","CHECK"))</f>
        <v/>
      </c>
      <c r="F216" s="10">
        <f>IF($C216="","",IFERROR(INDEX(lst_JobName,MATCH($C216,lst_Jobs,0)),""))</f>
        <v/>
      </c>
      <c r="G216" s="10">
        <f>IF($BI216="","",IF($B216="Onsite",INDEX(tbl_Onsite[Job Description],$BI216),IF($B216="Production",INDEX(tbl_Production[Job Description],$BI216),INDEX(tbl_Consulting[Job Description],$BI216)))&amp;"")</f>
        <v/>
      </c>
      <c r="H216" s="10">
        <f>IF($BI216="","",IF($B216="Onsite",INDEX(tbl_Onsite[Cost Centre],$BI216),IF($B216="Production",INDEX(tbl_Production[Cost Centre],$BI216),INDEX(tbl_Consulting[Cost Centre],$BI216)))&amp;"")</f>
        <v/>
      </c>
      <c r="I216" s="10">
        <f>IF($BI216="","",IF($B216="Onsite",INDEX(tbl_Onsite[Invoice Type],$BI216),IF($B216="Production",INDEX(tbl_Production[Invoice Type],$BI216),INDEX(tbl_Consulting[Invoice Type],$BI216)))&amp;"")</f>
        <v/>
      </c>
      <c r="J216" s="10">
        <f>IF($BI216="","",IF($B216="Onsite",INDEX(tbl_Onsite[Tax Code],$BI216),IF($B216="Production",INDEX(tbl_Production[Tax Code],$BI216),INDEX(tbl_Consulting[Tax Code],$BI216)))&amp;"")</f>
        <v/>
      </c>
      <c r="K216" s="10">
        <f>IF(H216="","",IFERROR(INDEX(lst_CCtoGL,MATCH(H216,lst_CCforGL,0)),""))</f>
        <v/>
      </c>
      <c r="L216" s="10">
        <f>IF($BI216="","",IF($B216="Onsite",INDEX(tbl_Onsite[PO / Reference],$BI216),IF($B216="Production",INDEX(tbl_Production[Current RMS No],$BI216),INDEX(tbl_Consulting[Qwilr Quote],$BI216)))&amp;"")</f>
        <v/>
      </c>
      <c r="M216" s="10">
        <f>IF($BI216="","",IF($B216="Onsite",INDEX(tbl_Onsite[Notes],$BI216),IF($B216="Production",INDEX(tbl_Production[Notes],$BI216),INDEX(tbl_Consulting[Notes],$BI216)))&amp;"")</f>
        <v/>
      </c>
      <c r="N216" s="11">
        <f>IF($BI216="","",IF(IF($B216="Onsite",INDEX(tbl_Onsite[Expected Revenue Ex GST],$BI216),IF($B216="Production",INDEX(tbl_Production[Expected Revenue Ex GST],$BI216),INDEX(tbl_Consulting[Expected Revenue Ex GST],$BI216)))="","",IF($B216="Onsite",INDEX(tbl_Onsite[Expected Revenue Ex GST],$BI216),IF($B216="Production",INDEX(tbl_Production[Expected Revenue Ex GST],$BI216),INDEX(tbl_Consulting[Expected Revenue Ex GST],$BI216)))))</f>
        <v/>
      </c>
      <c r="O216" s="11">
        <f>IF(AND($C216="",NOT(COUNTA($S216:$BB216)&gt;0)),"",SUM(U216,X216,AA216,AD216,AG216,AJ216,AM216,AP216,AS216,AV216,AY216,BB216))</f>
        <v/>
      </c>
      <c r="P216" s="11">
        <f>IF(O216="","",N(N216)-O216)</f>
        <v/>
      </c>
      <c r="Q216" s="10">
        <f>IF(O216="","",IF($C216="","Invoice on empty job row",IF(N216="",IF(ROUND(O216,2)=0,"No dept value","Invoiced - no dept value"),IF(ROUND(O216,2)=0,"Not invoiced - to invoice",IF(ROUND(P216,2)=0,"Agrees",IF(P216&gt;0,"Dept higher - to invoice","Xero higher - check dept"))))))</f>
        <v/>
      </c>
      <c r="R216" s="10">
        <f>IF(AND($C216="",NOT(COUNTA($S216:$BB216)&gt;0),$BI216&lt;&gt;""),"",MID(IF($BI216="","; Row ID not found on the department sheet - a row was deleted","")&amp;IF(AND($C216="",COUNTA($S216:$BB216)&gt;0),"; Invoice entered but the department row has no job number","")&amp;IF(E216="CHECK","; Job number not in the Xero job list","")&amp;IF(AND($C216&lt;&gt;"",COUNTIF($C$7:$C$1506,$C216)&gt;1),"; Job number on more than one row","")&amp;IF(AND($C216&lt;&gt;"",H216=""),"; Dept has not set a cost centre","")&amp;IF(AND($C216&lt;&gt;"",J216=""),"; Dept has not set a tax code","")&amp;IF(AND($C216&lt;&gt;"",N216=""),"; Dept has not entered an expected value","")&amp;IF((IF(OR(COUNTA(S216:U216)=0,AND(COUNTA(S216:U216)=3,ISNUMBER(U216))),0,1)+IF(OR(COUNTA(V216:X216)=0,AND(COUNTA(V216:X216)=3,ISNUMBER(X216))),0,1)+IF(OR(COUNTA(Y216:AA216)=0,AND(COUNTA(Y216:AA216)=3,ISNUMBER(AA216))),0,1)+IF(OR(COUNTA(AB216:AD216)=0,AND(COUNTA(AB216:AD216)=3,ISNUMBER(AD216))),0,1)+IF(OR(COUNTA(AE216:AG216)=0,AND(COUNTA(AE216:AG216)=3,ISNUMBER(AG216))),0,1)+IF(OR(COUNTA(AH216:AJ216)=0,AND(COUNTA(AH216:AJ216)=3,ISNUMBER(AJ216))),0,1)+IF(OR(COUNTA(AK216:AM216)=0,AND(COUNTA(AK216:AM216)=3,ISNUMBER(AM216))),0,1)+IF(OR(COUNTA(AN216:AP216)=0,AND(COUNTA(AN216:AP216)=3,ISNUMBER(AP216))),0,1)+IF(OR(COUNTA(AQ216:AS216)=0,AND(COUNTA(AQ216:AS216)=3,ISNUMBER(AS216))),0,1)+IF(OR(COUNTA(AT216:AV216)=0,AND(COUNTA(AT216:AV216)=3,ISNUMBER(AV216))),0,1)+IF(OR(COUNTA(AW216:AY216)=0,AND(COUNTA(AW216:AY216)=3,ISNUMBER(AY216))),0,1)+IF(OR(COUNTA(AZ216:BB216)=0,AND(COUNTA(AZ216:BB216)=3,ISNUMBER(BB216))),0,1))&gt;0,"; An invoice is incomplete (needs No, Date and a number in Ex GST)","")&amp;IF((IF(T216="",0,IFERROR(--(EOMONTH(T216,0)&lt;&gt;S$5),1))+IF(W216="",0,IFERROR(--(EOMONTH(W216,0)&lt;&gt;V$5),1))+IF(Z216="",0,IFERROR(--(EOMONTH(Z216,0)&lt;&gt;Y$5),1))+IF(AC216="",0,IFERROR(--(EOMONTH(AC216,0)&lt;&gt;AB$5),1))+IF(AF216="",0,IFERROR(--(EOMONTH(AF216,0)&lt;&gt;AE$5),1))+IF(AI216="",0,IFERROR(--(EOMONTH(AI216,0)&lt;&gt;AH$5),1))+IF(AL216="",0,IFERROR(--(EOMONTH(AL216,0)&lt;&gt;AK$5),1))+IF(AO216="",0,IFERROR(--(EOMONTH(AO216,0)&lt;&gt;AN$5),1))+IF(AR216="",0,IFERROR(--(EOMONTH(AR216,0)&lt;&gt;AQ$5),1))+IF(AU216="",0,IFERROR(--(EOMONTH(AU216,0)&lt;&gt;AT$5),1))+IF(AX216="",0,IFERROR(--(EOMONTH(AX216,0)&lt;&gt;AW$5),1))+IF(BA216="",0,IFERROR(--(EOMONTH(BA216,0)&lt;&gt;AZ$5),1)))&gt;0,"; An invoice date is not in the month it is typed under",""),3,500))</f>
        <v/>
      </c>
      <c r="S216" s="12" t="n"/>
      <c r="T216" s="13" t="n"/>
      <c r="U216" s="14" t="n"/>
      <c r="V216" s="12" t="n"/>
      <c r="W216" s="13" t="n"/>
      <c r="X216" s="14" t="n"/>
      <c r="Y216" s="12" t="n"/>
      <c r="Z216" s="13" t="n"/>
      <c r="AA216" s="14" t="n"/>
      <c r="AB216" s="12" t="n"/>
      <c r="AC216" s="13" t="n"/>
      <c r="AD216" s="14" t="n"/>
      <c r="AE216" s="12" t="n"/>
      <c r="AF216" s="13" t="n"/>
      <c r="AG216" s="14" t="n"/>
      <c r="AH216" s="12" t="n"/>
      <c r="AI216" s="13" t="n"/>
      <c r="AJ216" s="14" t="n"/>
      <c r="AK216" s="12" t="n"/>
      <c r="AL216" s="13" t="n"/>
      <c r="AM216" s="14" t="n"/>
      <c r="AN216" s="12" t="n"/>
      <c r="AO216" s="13" t="n"/>
      <c r="AP216" s="14" t="n"/>
      <c r="AQ216" s="12" t="n"/>
      <c r="AR216" s="13" t="n"/>
      <c r="AS216" s="14" t="n"/>
      <c r="AT216" s="12" t="n"/>
      <c r="AU216" s="13" t="n"/>
      <c r="AV216" s="14" t="n"/>
      <c r="AW216" s="12" t="n"/>
      <c r="AX216" s="13" t="n"/>
      <c r="AY216" s="14" t="n"/>
      <c r="AZ216" s="12" t="n"/>
      <c r="BA216" s="13" t="n"/>
      <c r="BB216" s="14" t="n"/>
      <c r="BC216" s="11">
        <f>IF(O216="","",IF(J216="GST 10%",ROUND(O216*set_GSTRate,2),0))</f>
        <v/>
      </c>
      <c r="BD216" s="11">
        <f>IF(O216="","",O216+BC216)</f>
        <v/>
      </c>
      <c r="BE216" s="15">
        <f>IF(O216="","",COUNTA(S216,V216,Y216,AB216,AE216,AH216,AK216,AN216,AQ216,AT216,AW216,AZ216))</f>
        <v/>
      </c>
      <c r="BF216" s="16">
        <f>IF(COUNT(T216,W216,Z216,AC216,AF216,AI216,AL216,AO216,AR216,AU216,AX216,BA216)=0,"",MAX(T216,W216,Z216,AC216,AF216,AI216,AL216,AO216,AR216,AU216,AX216,BA216))</f>
        <v/>
      </c>
      <c r="BG216" s="10">
        <f>MID(IF(S216="","",", "&amp;S216)&amp;IF(V216="","",", "&amp;V216)&amp;IF(Y216="","",", "&amp;Y216)&amp;IF(AB216="","",", "&amp;AB216)&amp;IF(AE216="","",", "&amp;AE216)&amp;IF(AH216="","",", "&amp;AH216)&amp;IF(AK216="","",", "&amp;AK216)&amp;IF(AN216="","",", "&amp;AN216)&amp;IF(AQ216="","",", "&amp;AQ216)&amp;IF(AT216="","",", "&amp;AT216)&amp;IF(AW216="","",", "&amp;AW216)&amp;IF(AZ216="","",", "&amp;AZ216),3,500)</f>
        <v/>
      </c>
      <c r="BH216" s="12" t="n"/>
      <c r="BI216" s="15">
        <f>IFERROR(MATCH($A216,IF($B216="Onsite",tbl_Onsite[Row ID],IF($B216="Production",tbl_Production[Row ID],tbl_Consulting[Row ID])),0),"")</f>
        <v/>
      </c>
    </row>
    <row r="217">
      <c r="A217" s="10" t="inlineStr">
        <is>
          <t>ONS-0211</t>
        </is>
      </c>
      <c r="B217" s="10" t="inlineStr">
        <is>
          <t>Onsite</t>
        </is>
      </c>
      <c r="C217" s="10">
        <f>IF($BI217="","",IF($B217="Onsite",INDEX(tbl_Onsite[Job Number],$BI217),IF($B217="Production",INDEX(tbl_Production[Job Number],$BI217),INDEX(tbl_Consulting[Job Number],$BI217)))&amp;"")</f>
        <v/>
      </c>
      <c r="D217" s="10">
        <f>IF($BI217="","",IF($B217="Onsite",INDEX(tbl_Onsite[Client],$BI217),IF($B217="Production",INDEX(tbl_Production[Client],$BI217),INDEX(tbl_Consulting[Client],$BI217)))&amp;"")</f>
        <v/>
      </c>
      <c r="E217" s="10">
        <f>IF($C217="","",IF(COUNTIF(lst_Jobs,$C217)&gt;0,"OK","CHECK"))</f>
        <v/>
      </c>
      <c r="F217" s="10">
        <f>IF($C217="","",IFERROR(INDEX(lst_JobName,MATCH($C217,lst_Jobs,0)),""))</f>
        <v/>
      </c>
      <c r="G217" s="10">
        <f>IF($BI217="","",IF($B217="Onsite",INDEX(tbl_Onsite[Job Description],$BI217),IF($B217="Production",INDEX(tbl_Production[Job Description],$BI217),INDEX(tbl_Consulting[Job Description],$BI217)))&amp;"")</f>
        <v/>
      </c>
      <c r="H217" s="10">
        <f>IF($BI217="","",IF($B217="Onsite",INDEX(tbl_Onsite[Cost Centre],$BI217),IF($B217="Production",INDEX(tbl_Production[Cost Centre],$BI217),INDEX(tbl_Consulting[Cost Centre],$BI217)))&amp;"")</f>
        <v/>
      </c>
      <c r="I217" s="10">
        <f>IF($BI217="","",IF($B217="Onsite",INDEX(tbl_Onsite[Invoice Type],$BI217),IF($B217="Production",INDEX(tbl_Production[Invoice Type],$BI217),INDEX(tbl_Consulting[Invoice Type],$BI217)))&amp;"")</f>
        <v/>
      </c>
      <c r="J217" s="10">
        <f>IF($BI217="","",IF($B217="Onsite",INDEX(tbl_Onsite[Tax Code],$BI217),IF($B217="Production",INDEX(tbl_Production[Tax Code],$BI217),INDEX(tbl_Consulting[Tax Code],$BI217)))&amp;"")</f>
        <v/>
      </c>
      <c r="K217" s="10">
        <f>IF(H217="","",IFERROR(INDEX(lst_CCtoGL,MATCH(H217,lst_CCforGL,0)),""))</f>
        <v/>
      </c>
      <c r="L217" s="10">
        <f>IF($BI217="","",IF($B217="Onsite",INDEX(tbl_Onsite[PO / Reference],$BI217),IF($B217="Production",INDEX(tbl_Production[Current RMS No],$BI217),INDEX(tbl_Consulting[Qwilr Quote],$BI217)))&amp;"")</f>
        <v/>
      </c>
      <c r="M217" s="10">
        <f>IF($BI217="","",IF($B217="Onsite",INDEX(tbl_Onsite[Notes],$BI217),IF($B217="Production",INDEX(tbl_Production[Notes],$BI217),INDEX(tbl_Consulting[Notes],$BI217)))&amp;"")</f>
        <v/>
      </c>
      <c r="N217" s="11">
        <f>IF($BI217="","",IF(IF($B217="Onsite",INDEX(tbl_Onsite[Expected Revenue Ex GST],$BI217),IF($B217="Production",INDEX(tbl_Production[Expected Revenue Ex GST],$BI217),INDEX(tbl_Consulting[Expected Revenue Ex GST],$BI217)))="","",IF($B217="Onsite",INDEX(tbl_Onsite[Expected Revenue Ex GST],$BI217),IF($B217="Production",INDEX(tbl_Production[Expected Revenue Ex GST],$BI217),INDEX(tbl_Consulting[Expected Revenue Ex GST],$BI217)))))</f>
        <v/>
      </c>
      <c r="O217" s="11">
        <f>IF(AND($C217="",NOT(COUNTA($S217:$BB217)&gt;0)),"",SUM(U217,X217,AA217,AD217,AG217,AJ217,AM217,AP217,AS217,AV217,AY217,BB217))</f>
        <v/>
      </c>
      <c r="P217" s="11">
        <f>IF(O217="","",N(N217)-O217)</f>
        <v/>
      </c>
      <c r="Q217" s="10">
        <f>IF(O217="","",IF($C217="","Invoice on empty job row",IF(N217="",IF(ROUND(O217,2)=0,"No dept value","Invoiced - no dept value"),IF(ROUND(O217,2)=0,"Not invoiced - to invoice",IF(ROUND(P217,2)=0,"Agrees",IF(P217&gt;0,"Dept higher - to invoice","Xero higher - check dept"))))))</f>
        <v/>
      </c>
      <c r="R217" s="10">
        <f>IF(AND($C217="",NOT(COUNTA($S217:$BB217)&gt;0),$BI217&lt;&gt;""),"",MID(IF($BI217="","; Row ID not found on the department sheet - a row was deleted","")&amp;IF(AND($C217="",COUNTA($S217:$BB217)&gt;0),"; Invoice entered but the department row has no job number","")&amp;IF(E217="CHECK","; Job number not in the Xero job list","")&amp;IF(AND($C217&lt;&gt;"",COUNTIF($C$7:$C$1506,$C217)&gt;1),"; Job number on more than one row","")&amp;IF(AND($C217&lt;&gt;"",H217=""),"; Dept has not set a cost centre","")&amp;IF(AND($C217&lt;&gt;"",J217=""),"; Dept has not set a tax code","")&amp;IF(AND($C217&lt;&gt;"",N217=""),"; Dept has not entered an expected value","")&amp;IF((IF(OR(COUNTA(S217:U217)=0,AND(COUNTA(S217:U217)=3,ISNUMBER(U217))),0,1)+IF(OR(COUNTA(V217:X217)=0,AND(COUNTA(V217:X217)=3,ISNUMBER(X217))),0,1)+IF(OR(COUNTA(Y217:AA217)=0,AND(COUNTA(Y217:AA217)=3,ISNUMBER(AA217))),0,1)+IF(OR(COUNTA(AB217:AD217)=0,AND(COUNTA(AB217:AD217)=3,ISNUMBER(AD217))),0,1)+IF(OR(COUNTA(AE217:AG217)=0,AND(COUNTA(AE217:AG217)=3,ISNUMBER(AG217))),0,1)+IF(OR(COUNTA(AH217:AJ217)=0,AND(COUNTA(AH217:AJ217)=3,ISNUMBER(AJ217))),0,1)+IF(OR(COUNTA(AK217:AM217)=0,AND(COUNTA(AK217:AM217)=3,ISNUMBER(AM217))),0,1)+IF(OR(COUNTA(AN217:AP217)=0,AND(COUNTA(AN217:AP217)=3,ISNUMBER(AP217))),0,1)+IF(OR(COUNTA(AQ217:AS217)=0,AND(COUNTA(AQ217:AS217)=3,ISNUMBER(AS217))),0,1)+IF(OR(COUNTA(AT217:AV217)=0,AND(COUNTA(AT217:AV217)=3,ISNUMBER(AV217))),0,1)+IF(OR(COUNTA(AW217:AY217)=0,AND(COUNTA(AW217:AY217)=3,ISNUMBER(AY217))),0,1)+IF(OR(COUNTA(AZ217:BB217)=0,AND(COUNTA(AZ217:BB217)=3,ISNUMBER(BB217))),0,1))&gt;0,"; An invoice is incomplete (needs No, Date and a number in Ex GST)","")&amp;IF((IF(T217="",0,IFERROR(--(EOMONTH(T217,0)&lt;&gt;S$5),1))+IF(W217="",0,IFERROR(--(EOMONTH(W217,0)&lt;&gt;V$5),1))+IF(Z217="",0,IFERROR(--(EOMONTH(Z217,0)&lt;&gt;Y$5),1))+IF(AC217="",0,IFERROR(--(EOMONTH(AC217,0)&lt;&gt;AB$5),1))+IF(AF217="",0,IFERROR(--(EOMONTH(AF217,0)&lt;&gt;AE$5),1))+IF(AI217="",0,IFERROR(--(EOMONTH(AI217,0)&lt;&gt;AH$5),1))+IF(AL217="",0,IFERROR(--(EOMONTH(AL217,0)&lt;&gt;AK$5),1))+IF(AO217="",0,IFERROR(--(EOMONTH(AO217,0)&lt;&gt;AN$5),1))+IF(AR217="",0,IFERROR(--(EOMONTH(AR217,0)&lt;&gt;AQ$5),1))+IF(AU217="",0,IFERROR(--(EOMONTH(AU217,0)&lt;&gt;AT$5),1))+IF(AX217="",0,IFERROR(--(EOMONTH(AX217,0)&lt;&gt;AW$5),1))+IF(BA217="",0,IFERROR(--(EOMONTH(BA217,0)&lt;&gt;AZ$5),1)))&gt;0,"; An invoice date is not in the month it is typed under",""),3,500))</f>
        <v/>
      </c>
      <c r="S217" s="12" t="n"/>
      <c r="T217" s="13" t="n"/>
      <c r="U217" s="14" t="n"/>
      <c r="V217" s="12" t="n"/>
      <c r="W217" s="13" t="n"/>
      <c r="X217" s="14" t="n"/>
      <c r="Y217" s="12" t="n"/>
      <c r="Z217" s="13" t="n"/>
      <c r="AA217" s="14" t="n"/>
      <c r="AB217" s="12" t="n"/>
      <c r="AC217" s="13" t="n"/>
      <c r="AD217" s="14" t="n"/>
      <c r="AE217" s="12" t="n"/>
      <c r="AF217" s="13" t="n"/>
      <c r="AG217" s="14" t="n"/>
      <c r="AH217" s="12" t="n"/>
      <c r="AI217" s="13" t="n"/>
      <c r="AJ217" s="14" t="n"/>
      <c r="AK217" s="12" t="n"/>
      <c r="AL217" s="13" t="n"/>
      <c r="AM217" s="14" t="n"/>
      <c r="AN217" s="12" t="n"/>
      <c r="AO217" s="13" t="n"/>
      <c r="AP217" s="14" t="n"/>
      <c r="AQ217" s="12" t="n"/>
      <c r="AR217" s="13" t="n"/>
      <c r="AS217" s="14" t="n"/>
      <c r="AT217" s="12" t="n"/>
      <c r="AU217" s="13" t="n"/>
      <c r="AV217" s="14" t="n"/>
      <c r="AW217" s="12" t="n"/>
      <c r="AX217" s="13" t="n"/>
      <c r="AY217" s="14" t="n"/>
      <c r="AZ217" s="12" t="n"/>
      <c r="BA217" s="13" t="n"/>
      <c r="BB217" s="14" t="n"/>
      <c r="BC217" s="11">
        <f>IF(O217="","",IF(J217="GST 10%",ROUND(O217*set_GSTRate,2),0))</f>
        <v/>
      </c>
      <c r="BD217" s="11">
        <f>IF(O217="","",O217+BC217)</f>
        <v/>
      </c>
      <c r="BE217" s="15">
        <f>IF(O217="","",COUNTA(S217,V217,Y217,AB217,AE217,AH217,AK217,AN217,AQ217,AT217,AW217,AZ217))</f>
        <v/>
      </c>
      <c r="BF217" s="16">
        <f>IF(COUNT(T217,W217,Z217,AC217,AF217,AI217,AL217,AO217,AR217,AU217,AX217,BA217)=0,"",MAX(T217,W217,Z217,AC217,AF217,AI217,AL217,AO217,AR217,AU217,AX217,BA217))</f>
        <v/>
      </c>
      <c r="BG217" s="10">
        <f>MID(IF(S217="","",", "&amp;S217)&amp;IF(V217="","",", "&amp;V217)&amp;IF(Y217="","",", "&amp;Y217)&amp;IF(AB217="","",", "&amp;AB217)&amp;IF(AE217="","",", "&amp;AE217)&amp;IF(AH217="","",", "&amp;AH217)&amp;IF(AK217="","",", "&amp;AK217)&amp;IF(AN217="","",", "&amp;AN217)&amp;IF(AQ217="","",", "&amp;AQ217)&amp;IF(AT217="","",", "&amp;AT217)&amp;IF(AW217="","",", "&amp;AW217)&amp;IF(AZ217="","",", "&amp;AZ217),3,500)</f>
        <v/>
      </c>
      <c r="BH217" s="12" t="n"/>
      <c r="BI217" s="15">
        <f>IFERROR(MATCH($A217,IF($B217="Onsite",tbl_Onsite[Row ID],IF($B217="Production",tbl_Production[Row ID],tbl_Consulting[Row ID])),0),"")</f>
        <v/>
      </c>
    </row>
    <row r="218">
      <c r="A218" s="10" t="inlineStr">
        <is>
          <t>ONS-0212</t>
        </is>
      </c>
      <c r="B218" s="10" t="inlineStr">
        <is>
          <t>Onsite</t>
        </is>
      </c>
      <c r="C218" s="10">
        <f>IF($BI218="","",IF($B218="Onsite",INDEX(tbl_Onsite[Job Number],$BI218),IF($B218="Production",INDEX(tbl_Production[Job Number],$BI218),INDEX(tbl_Consulting[Job Number],$BI218)))&amp;"")</f>
        <v/>
      </c>
      <c r="D218" s="10">
        <f>IF($BI218="","",IF($B218="Onsite",INDEX(tbl_Onsite[Client],$BI218),IF($B218="Production",INDEX(tbl_Production[Client],$BI218),INDEX(tbl_Consulting[Client],$BI218)))&amp;"")</f>
        <v/>
      </c>
      <c r="E218" s="10">
        <f>IF($C218="","",IF(COUNTIF(lst_Jobs,$C218)&gt;0,"OK","CHECK"))</f>
        <v/>
      </c>
      <c r="F218" s="10">
        <f>IF($C218="","",IFERROR(INDEX(lst_JobName,MATCH($C218,lst_Jobs,0)),""))</f>
        <v/>
      </c>
      <c r="G218" s="10">
        <f>IF($BI218="","",IF($B218="Onsite",INDEX(tbl_Onsite[Job Description],$BI218),IF($B218="Production",INDEX(tbl_Production[Job Description],$BI218),INDEX(tbl_Consulting[Job Description],$BI218)))&amp;"")</f>
        <v/>
      </c>
      <c r="H218" s="10">
        <f>IF($BI218="","",IF($B218="Onsite",INDEX(tbl_Onsite[Cost Centre],$BI218),IF($B218="Production",INDEX(tbl_Production[Cost Centre],$BI218),INDEX(tbl_Consulting[Cost Centre],$BI218)))&amp;"")</f>
        <v/>
      </c>
      <c r="I218" s="10">
        <f>IF($BI218="","",IF($B218="Onsite",INDEX(tbl_Onsite[Invoice Type],$BI218),IF($B218="Production",INDEX(tbl_Production[Invoice Type],$BI218),INDEX(tbl_Consulting[Invoice Type],$BI218)))&amp;"")</f>
        <v/>
      </c>
      <c r="J218" s="10">
        <f>IF($BI218="","",IF($B218="Onsite",INDEX(tbl_Onsite[Tax Code],$BI218),IF($B218="Production",INDEX(tbl_Production[Tax Code],$BI218),INDEX(tbl_Consulting[Tax Code],$BI218)))&amp;"")</f>
        <v/>
      </c>
      <c r="K218" s="10">
        <f>IF(H218="","",IFERROR(INDEX(lst_CCtoGL,MATCH(H218,lst_CCforGL,0)),""))</f>
        <v/>
      </c>
      <c r="L218" s="10">
        <f>IF($BI218="","",IF($B218="Onsite",INDEX(tbl_Onsite[PO / Reference],$BI218),IF($B218="Production",INDEX(tbl_Production[Current RMS No],$BI218),INDEX(tbl_Consulting[Qwilr Quote],$BI218)))&amp;"")</f>
        <v/>
      </c>
      <c r="M218" s="10">
        <f>IF($BI218="","",IF($B218="Onsite",INDEX(tbl_Onsite[Notes],$BI218),IF($B218="Production",INDEX(tbl_Production[Notes],$BI218),INDEX(tbl_Consulting[Notes],$BI218)))&amp;"")</f>
        <v/>
      </c>
      <c r="N218" s="11">
        <f>IF($BI218="","",IF(IF($B218="Onsite",INDEX(tbl_Onsite[Expected Revenue Ex GST],$BI218),IF($B218="Production",INDEX(tbl_Production[Expected Revenue Ex GST],$BI218),INDEX(tbl_Consulting[Expected Revenue Ex GST],$BI218)))="","",IF($B218="Onsite",INDEX(tbl_Onsite[Expected Revenue Ex GST],$BI218),IF($B218="Production",INDEX(tbl_Production[Expected Revenue Ex GST],$BI218),INDEX(tbl_Consulting[Expected Revenue Ex GST],$BI218)))))</f>
        <v/>
      </c>
      <c r="O218" s="11">
        <f>IF(AND($C218="",NOT(COUNTA($S218:$BB218)&gt;0)),"",SUM(U218,X218,AA218,AD218,AG218,AJ218,AM218,AP218,AS218,AV218,AY218,BB218))</f>
        <v/>
      </c>
      <c r="P218" s="11">
        <f>IF(O218="","",N(N218)-O218)</f>
        <v/>
      </c>
      <c r="Q218" s="10">
        <f>IF(O218="","",IF($C218="","Invoice on empty job row",IF(N218="",IF(ROUND(O218,2)=0,"No dept value","Invoiced - no dept value"),IF(ROUND(O218,2)=0,"Not invoiced - to invoice",IF(ROUND(P218,2)=0,"Agrees",IF(P218&gt;0,"Dept higher - to invoice","Xero higher - check dept"))))))</f>
        <v/>
      </c>
      <c r="R218" s="10">
        <f>IF(AND($C218="",NOT(COUNTA($S218:$BB218)&gt;0),$BI218&lt;&gt;""),"",MID(IF($BI218="","; Row ID not found on the department sheet - a row was deleted","")&amp;IF(AND($C218="",COUNTA($S218:$BB218)&gt;0),"; Invoice entered but the department row has no job number","")&amp;IF(E218="CHECK","; Job number not in the Xero job list","")&amp;IF(AND($C218&lt;&gt;"",COUNTIF($C$7:$C$1506,$C218)&gt;1),"; Job number on more than one row","")&amp;IF(AND($C218&lt;&gt;"",H218=""),"; Dept has not set a cost centre","")&amp;IF(AND($C218&lt;&gt;"",J218=""),"; Dept has not set a tax code","")&amp;IF(AND($C218&lt;&gt;"",N218=""),"; Dept has not entered an expected value","")&amp;IF((IF(OR(COUNTA(S218:U218)=0,AND(COUNTA(S218:U218)=3,ISNUMBER(U218))),0,1)+IF(OR(COUNTA(V218:X218)=0,AND(COUNTA(V218:X218)=3,ISNUMBER(X218))),0,1)+IF(OR(COUNTA(Y218:AA218)=0,AND(COUNTA(Y218:AA218)=3,ISNUMBER(AA218))),0,1)+IF(OR(COUNTA(AB218:AD218)=0,AND(COUNTA(AB218:AD218)=3,ISNUMBER(AD218))),0,1)+IF(OR(COUNTA(AE218:AG218)=0,AND(COUNTA(AE218:AG218)=3,ISNUMBER(AG218))),0,1)+IF(OR(COUNTA(AH218:AJ218)=0,AND(COUNTA(AH218:AJ218)=3,ISNUMBER(AJ218))),0,1)+IF(OR(COUNTA(AK218:AM218)=0,AND(COUNTA(AK218:AM218)=3,ISNUMBER(AM218))),0,1)+IF(OR(COUNTA(AN218:AP218)=0,AND(COUNTA(AN218:AP218)=3,ISNUMBER(AP218))),0,1)+IF(OR(COUNTA(AQ218:AS218)=0,AND(COUNTA(AQ218:AS218)=3,ISNUMBER(AS218))),0,1)+IF(OR(COUNTA(AT218:AV218)=0,AND(COUNTA(AT218:AV218)=3,ISNUMBER(AV218))),0,1)+IF(OR(COUNTA(AW218:AY218)=0,AND(COUNTA(AW218:AY218)=3,ISNUMBER(AY218))),0,1)+IF(OR(COUNTA(AZ218:BB218)=0,AND(COUNTA(AZ218:BB218)=3,ISNUMBER(BB218))),0,1))&gt;0,"; An invoice is incomplete (needs No, Date and a number in Ex GST)","")&amp;IF((IF(T218="",0,IFERROR(--(EOMONTH(T218,0)&lt;&gt;S$5),1))+IF(W218="",0,IFERROR(--(EOMONTH(W218,0)&lt;&gt;V$5),1))+IF(Z218="",0,IFERROR(--(EOMONTH(Z218,0)&lt;&gt;Y$5),1))+IF(AC218="",0,IFERROR(--(EOMONTH(AC218,0)&lt;&gt;AB$5),1))+IF(AF218="",0,IFERROR(--(EOMONTH(AF218,0)&lt;&gt;AE$5),1))+IF(AI218="",0,IFERROR(--(EOMONTH(AI218,0)&lt;&gt;AH$5),1))+IF(AL218="",0,IFERROR(--(EOMONTH(AL218,0)&lt;&gt;AK$5),1))+IF(AO218="",0,IFERROR(--(EOMONTH(AO218,0)&lt;&gt;AN$5),1))+IF(AR218="",0,IFERROR(--(EOMONTH(AR218,0)&lt;&gt;AQ$5),1))+IF(AU218="",0,IFERROR(--(EOMONTH(AU218,0)&lt;&gt;AT$5),1))+IF(AX218="",0,IFERROR(--(EOMONTH(AX218,0)&lt;&gt;AW$5),1))+IF(BA218="",0,IFERROR(--(EOMONTH(BA218,0)&lt;&gt;AZ$5),1)))&gt;0,"; An invoice date is not in the month it is typed under",""),3,500))</f>
        <v/>
      </c>
      <c r="S218" s="12" t="n"/>
      <c r="T218" s="13" t="n"/>
      <c r="U218" s="14" t="n"/>
      <c r="V218" s="12" t="n"/>
      <c r="W218" s="13" t="n"/>
      <c r="X218" s="14" t="n"/>
      <c r="Y218" s="12" t="n"/>
      <c r="Z218" s="13" t="n"/>
      <c r="AA218" s="14" t="n"/>
      <c r="AB218" s="12" t="n"/>
      <c r="AC218" s="13" t="n"/>
      <c r="AD218" s="14" t="n"/>
      <c r="AE218" s="12" t="n"/>
      <c r="AF218" s="13" t="n"/>
      <c r="AG218" s="14" t="n"/>
      <c r="AH218" s="12" t="n"/>
      <c r="AI218" s="13" t="n"/>
      <c r="AJ218" s="14" t="n"/>
      <c r="AK218" s="12" t="n"/>
      <c r="AL218" s="13" t="n"/>
      <c r="AM218" s="14" t="n"/>
      <c r="AN218" s="12" t="n"/>
      <c r="AO218" s="13" t="n"/>
      <c r="AP218" s="14" t="n"/>
      <c r="AQ218" s="12" t="n"/>
      <c r="AR218" s="13" t="n"/>
      <c r="AS218" s="14" t="n"/>
      <c r="AT218" s="12" t="n"/>
      <c r="AU218" s="13" t="n"/>
      <c r="AV218" s="14" t="n"/>
      <c r="AW218" s="12" t="n"/>
      <c r="AX218" s="13" t="n"/>
      <c r="AY218" s="14" t="n"/>
      <c r="AZ218" s="12" t="n"/>
      <c r="BA218" s="13" t="n"/>
      <c r="BB218" s="14" t="n"/>
      <c r="BC218" s="11">
        <f>IF(O218="","",IF(J218="GST 10%",ROUND(O218*set_GSTRate,2),0))</f>
        <v/>
      </c>
      <c r="BD218" s="11">
        <f>IF(O218="","",O218+BC218)</f>
        <v/>
      </c>
      <c r="BE218" s="15">
        <f>IF(O218="","",COUNTA(S218,V218,Y218,AB218,AE218,AH218,AK218,AN218,AQ218,AT218,AW218,AZ218))</f>
        <v/>
      </c>
      <c r="BF218" s="16">
        <f>IF(COUNT(T218,W218,Z218,AC218,AF218,AI218,AL218,AO218,AR218,AU218,AX218,BA218)=0,"",MAX(T218,W218,Z218,AC218,AF218,AI218,AL218,AO218,AR218,AU218,AX218,BA218))</f>
        <v/>
      </c>
      <c r="BG218" s="10">
        <f>MID(IF(S218="","",", "&amp;S218)&amp;IF(V218="","",", "&amp;V218)&amp;IF(Y218="","",", "&amp;Y218)&amp;IF(AB218="","",", "&amp;AB218)&amp;IF(AE218="","",", "&amp;AE218)&amp;IF(AH218="","",", "&amp;AH218)&amp;IF(AK218="","",", "&amp;AK218)&amp;IF(AN218="","",", "&amp;AN218)&amp;IF(AQ218="","",", "&amp;AQ218)&amp;IF(AT218="","",", "&amp;AT218)&amp;IF(AW218="","",", "&amp;AW218)&amp;IF(AZ218="","",", "&amp;AZ218),3,500)</f>
        <v/>
      </c>
      <c r="BH218" s="12" t="n"/>
      <c r="BI218" s="15">
        <f>IFERROR(MATCH($A218,IF($B218="Onsite",tbl_Onsite[Row ID],IF($B218="Production",tbl_Production[Row ID],tbl_Consulting[Row ID])),0),"")</f>
        <v/>
      </c>
    </row>
    <row r="219">
      <c r="A219" s="10" t="inlineStr">
        <is>
          <t>ONS-0213</t>
        </is>
      </c>
      <c r="B219" s="10" t="inlineStr">
        <is>
          <t>Onsite</t>
        </is>
      </c>
      <c r="C219" s="10">
        <f>IF($BI219="","",IF($B219="Onsite",INDEX(tbl_Onsite[Job Number],$BI219),IF($B219="Production",INDEX(tbl_Production[Job Number],$BI219),INDEX(tbl_Consulting[Job Number],$BI219)))&amp;"")</f>
        <v/>
      </c>
      <c r="D219" s="10">
        <f>IF($BI219="","",IF($B219="Onsite",INDEX(tbl_Onsite[Client],$BI219),IF($B219="Production",INDEX(tbl_Production[Client],$BI219),INDEX(tbl_Consulting[Client],$BI219)))&amp;"")</f>
        <v/>
      </c>
      <c r="E219" s="10">
        <f>IF($C219="","",IF(COUNTIF(lst_Jobs,$C219)&gt;0,"OK","CHECK"))</f>
        <v/>
      </c>
      <c r="F219" s="10">
        <f>IF($C219="","",IFERROR(INDEX(lst_JobName,MATCH($C219,lst_Jobs,0)),""))</f>
        <v/>
      </c>
      <c r="G219" s="10">
        <f>IF($BI219="","",IF($B219="Onsite",INDEX(tbl_Onsite[Job Description],$BI219),IF($B219="Production",INDEX(tbl_Production[Job Description],$BI219),INDEX(tbl_Consulting[Job Description],$BI219)))&amp;"")</f>
        <v/>
      </c>
      <c r="H219" s="10">
        <f>IF($BI219="","",IF($B219="Onsite",INDEX(tbl_Onsite[Cost Centre],$BI219),IF($B219="Production",INDEX(tbl_Production[Cost Centre],$BI219),INDEX(tbl_Consulting[Cost Centre],$BI219)))&amp;"")</f>
        <v/>
      </c>
      <c r="I219" s="10">
        <f>IF($BI219="","",IF($B219="Onsite",INDEX(tbl_Onsite[Invoice Type],$BI219),IF($B219="Production",INDEX(tbl_Production[Invoice Type],$BI219),INDEX(tbl_Consulting[Invoice Type],$BI219)))&amp;"")</f>
        <v/>
      </c>
      <c r="J219" s="10">
        <f>IF($BI219="","",IF($B219="Onsite",INDEX(tbl_Onsite[Tax Code],$BI219),IF($B219="Production",INDEX(tbl_Production[Tax Code],$BI219),INDEX(tbl_Consulting[Tax Code],$BI219)))&amp;"")</f>
        <v/>
      </c>
      <c r="K219" s="10">
        <f>IF(H219="","",IFERROR(INDEX(lst_CCtoGL,MATCH(H219,lst_CCforGL,0)),""))</f>
        <v/>
      </c>
      <c r="L219" s="10">
        <f>IF($BI219="","",IF($B219="Onsite",INDEX(tbl_Onsite[PO / Reference],$BI219),IF($B219="Production",INDEX(tbl_Production[Current RMS No],$BI219),INDEX(tbl_Consulting[Qwilr Quote],$BI219)))&amp;"")</f>
        <v/>
      </c>
      <c r="M219" s="10">
        <f>IF($BI219="","",IF($B219="Onsite",INDEX(tbl_Onsite[Notes],$BI219),IF($B219="Production",INDEX(tbl_Production[Notes],$BI219),INDEX(tbl_Consulting[Notes],$BI219)))&amp;"")</f>
        <v/>
      </c>
      <c r="N219" s="11">
        <f>IF($BI219="","",IF(IF($B219="Onsite",INDEX(tbl_Onsite[Expected Revenue Ex GST],$BI219),IF($B219="Production",INDEX(tbl_Production[Expected Revenue Ex GST],$BI219),INDEX(tbl_Consulting[Expected Revenue Ex GST],$BI219)))="","",IF($B219="Onsite",INDEX(tbl_Onsite[Expected Revenue Ex GST],$BI219),IF($B219="Production",INDEX(tbl_Production[Expected Revenue Ex GST],$BI219),INDEX(tbl_Consulting[Expected Revenue Ex GST],$BI219)))))</f>
        <v/>
      </c>
      <c r="O219" s="11">
        <f>IF(AND($C219="",NOT(COUNTA($S219:$BB219)&gt;0)),"",SUM(U219,X219,AA219,AD219,AG219,AJ219,AM219,AP219,AS219,AV219,AY219,BB219))</f>
        <v/>
      </c>
      <c r="P219" s="11">
        <f>IF(O219="","",N(N219)-O219)</f>
        <v/>
      </c>
      <c r="Q219" s="10">
        <f>IF(O219="","",IF($C219="","Invoice on empty job row",IF(N219="",IF(ROUND(O219,2)=0,"No dept value","Invoiced - no dept value"),IF(ROUND(O219,2)=0,"Not invoiced - to invoice",IF(ROUND(P219,2)=0,"Agrees",IF(P219&gt;0,"Dept higher - to invoice","Xero higher - check dept"))))))</f>
        <v/>
      </c>
      <c r="R219" s="10">
        <f>IF(AND($C219="",NOT(COUNTA($S219:$BB219)&gt;0),$BI219&lt;&gt;""),"",MID(IF($BI219="","; Row ID not found on the department sheet - a row was deleted","")&amp;IF(AND($C219="",COUNTA($S219:$BB219)&gt;0),"; Invoice entered but the department row has no job number","")&amp;IF(E219="CHECK","; Job number not in the Xero job list","")&amp;IF(AND($C219&lt;&gt;"",COUNTIF($C$7:$C$1506,$C219)&gt;1),"; Job number on more than one row","")&amp;IF(AND($C219&lt;&gt;"",H219=""),"; Dept has not set a cost centre","")&amp;IF(AND($C219&lt;&gt;"",J219=""),"; Dept has not set a tax code","")&amp;IF(AND($C219&lt;&gt;"",N219=""),"; Dept has not entered an expected value","")&amp;IF((IF(OR(COUNTA(S219:U219)=0,AND(COUNTA(S219:U219)=3,ISNUMBER(U219))),0,1)+IF(OR(COUNTA(V219:X219)=0,AND(COUNTA(V219:X219)=3,ISNUMBER(X219))),0,1)+IF(OR(COUNTA(Y219:AA219)=0,AND(COUNTA(Y219:AA219)=3,ISNUMBER(AA219))),0,1)+IF(OR(COUNTA(AB219:AD219)=0,AND(COUNTA(AB219:AD219)=3,ISNUMBER(AD219))),0,1)+IF(OR(COUNTA(AE219:AG219)=0,AND(COUNTA(AE219:AG219)=3,ISNUMBER(AG219))),0,1)+IF(OR(COUNTA(AH219:AJ219)=0,AND(COUNTA(AH219:AJ219)=3,ISNUMBER(AJ219))),0,1)+IF(OR(COUNTA(AK219:AM219)=0,AND(COUNTA(AK219:AM219)=3,ISNUMBER(AM219))),0,1)+IF(OR(COUNTA(AN219:AP219)=0,AND(COUNTA(AN219:AP219)=3,ISNUMBER(AP219))),0,1)+IF(OR(COUNTA(AQ219:AS219)=0,AND(COUNTA(AQ219:AS219)=3,ISNUMBER(AS219))),0,1)+IF(OR(COUNTA(AT219:AV219)=0,AND(COUNTA(AT219:AV219)=3,ISNUMBER(AV219))),0,1)+IF(OR(COUNTA(AW219:AY219)=0,AND(COUNTA(AW219:AY219)=3,ISNUMBER(AY219))),0,1)+IF(OR(COUNTA(AZ219:BB219)=0,AND(COUNTA(AZ219:BB219)=3,ISNUMBER(BB219))),0,1))&gt;0,"; An invoice is incomplete (needs No, Date and a number in Ex GST)","")&amp;IF((IF(T219="",0,IFERROR(--(EOMONTH(T219,0)&lt;&gt;S$5),1))+IF(W219="",0,IFERROR(--(EOMONTH(W219,0)&lt;&gt;V$5),1))+IF(Z219="",0,IFERROR(--(EOMONTH(Z219,0)&lt;&gt;Y$5),1))+IF(AC219="",0,IFERROR(--(EOMONTH(AC219,0)&lt;&gt;AB$5),1))+IF(AF219="",0,IFERROR(--(EOMONTH(AF219,0)&lt;&gt;AE$5),1))+IF(AI219="",0,IFERROR(--(EOMONTH(AI219,0)&lt;&gt;AH$5),1))+IF(AL219="",0,IFERROR(--(EOMONTH(AL219,0)&lt;&gt;AK$5),1))+IF(AO219="",0,IFERROR(--(EOMONTH(AO219,0)&lt;&gt;AN$5),1))+IF(AR219="",0,IFERROR(--(EOMONTH(AR219,0)&lt;&gt;AQ$5),1))+IF(AU219="",0,IFERROR(--(EOMONTH(AU219,0)&lt;&gt;AT$5),1))+IF(AX219="",0,IFERROR(--(EOMONTH(AX219,0)&lt;&gt;AW$5),1))+IF(BA219="",0,IFERROR(--(EOMONTH(BA219,0)&lt;&gt;AZ$5),1)))&gt;0,"; An invoice date is not in the month it is typed under",""),3,500))</f>
        <v/>
      </c>
      <c r="S219" s="12" t="n"/>
      <c r="T219" s="13" t="n"/>
      <c r="U219" s="14" t="n"/>
      <c r="V219" s="12" t="n"/>
      <c r="W219" s="13" t="n"/>
      <c r="X219" s="14" t="n"/>
      <c r="Y219" s="12" t="n"/>
      <c r="Z219" s="13" t="n"/>
      <c r="AA219" s="14" t="n"/>
      <c r="AB219" s="12" t="n"/>
      <c r="AC219" s="13" t="n"/>
      <c r="AD219" s="14" t="n"/>
      <c r="AE219" s="12" t="n"/>
      <c r="AF219" s="13" t="n"/>
      <c r="AG219" s="14" t="n"/>
      <c r="AH219" s="12" t="n"/>
      <c r="AI219" s="13" t="n"/>
      <c r="AJ219" s="14" t="n"/>
      <c r="AK219" s="12" t="n"/>
      <c r="AL219" s="13" t="n"/>
      <c r="AM219" s="14" t="n"/>
      <c r="AN219" s="12" t="n"/>
      <c r="AO219" s="13" t="n"/>
      <c r="AP219" s="14" t="n"/>
      <c r="AQ219" s="12" t="n"/>
      <c r="AR219" s="13" t="n"/>
      <c r="AS219" s="14" t="n"/>
      <c r="AT219" s="12" t="n"/>
      <c r="AU219" s="13" t="n"/>
      <c r="AV219" s="14" t="n"/>
      <c r="AW219" s="12" t="n"/>
      <c r="AX219" s="13" t="n"/>
      <c r="AY219" s="14" t="n"/>
      <c r="AZ219" s="12" t="n"/>
      <c r="BA219" s="13" t="n"/>
      <c r="BB219" s="14" t="n"/>
      <c r="BC219" s="11">
        <f>IF(O219="","",IF(J219="GST 10%",ROUND(O219*set_GSTRate,2),0))</f>
        <v/>
      </c>
      <c r="BD219" s="11">
        <f>IF(O219="","",O219+BC219)</f>
        <v/>
      </c>
      <c r="BE219" s="15">
        <f>IF(O219="","",COUNTA(S219,V219,Y219,AB219,AE219,AH219,AK219,AN219,AQ219,AT219,AW219,AZ219))</f>
        <v/>
      </c>
      <c r="BF219" s="16">
        <f>IF(COUNT(T219,W219,Z219,AC219,AF219,AI219,AL219,AO219,AR219,AU219,AX219,BA219)=0,"",MAX(T219,W219,Z219,AC219,AF219,AI219,AL219,AO219,AR219,AU219,AX219,BA219))</f>
        <v/>
      </c>
      <c r="BG219" s="10">
        <f>MID(IF(S219="","",", "&amp;S219)&amp;IF(V219="","",", "&amp;V219)&amp;IF(Y219="","",", "&amp;Y219)&amp;IF(AB219="","",", "&amp;AB219)&amp;IF(AE219="","",", "&amp;AE219)&amp;IF(AH219="","",", "&amp;AH219)&amp;IF(AK219="","",", "&amp;AK219)&amp;IF(AN219="","",", "&amp;AN219)&amp;IF(AQ219="","",", "&amp;AQ219)&amp;IF(AT219="","",", "&amp;AT219)&amp;IF(AW219="","",", "&amp;AW219)&amp;IF(AZ219="","",", "&amp;AZ219),3,500)</f>
        <v/>
      </c>
      <c r="BH219" s="12" t="n"/>
      <c r="BI219" s="15">
        <f>IFERROR(MATCH($A219,IF($B219="Onsite",tbl_Onsite[Row ID],IF($B219="Production",tbl_Production[Row ID],tbl_Consulting[Row ID])),0),"")</f>
        <v/>
      </c>
    </row>
    <row r="220">
      <c r="A220" s="10" t="inlineStr">
        <is>
          <t>ONS-0214</t>
        </is>
      </c>
      <c r="B220" s="10" t="inlineStr">
        <is>
          <t>Onsite</t>
        </is>
      </c>
      <c r="C220" s="10">
        <f>IF($BI220="","",IF($B220="Onsite",INDEX(tbl_Onsite[Job Number],$BI220),IF($B220="Production",INDEX(tbl_Production[Job Number],$BI220),INDEX(tbl_Consulting[Job Number],$BI220)))&amp;"")</f>
        <v/>
      </c>
      <c r="D220" s="10">
        <f>IF($BI220="","",IF($B220="Onsite",INDEX(tbl_Onsite[Client],$BI220),IF($B220="Production",INDEX(tbl_Production[Client],$BI220),INDEX(tbl_Consulting[Client],$BI220)))&amp;"")</f>
        <v/>
      </c>
      <c r="E220" s="10">
        <f>IF($C220="","",IF(COUNTIF(lst_Jobs,$C220)&gt;0,"OK","CHECK"))</f>
        <v/>
      </c>
      <c r="F220" s="10">
        <f>IF($C220="","",IFERROR(INDEX(lst_JobName,MATCH($C220,lst_Jobs,0)),""))</f>
        <v/>
      </c>
      <c r="G220" s="10">
        <f>IF($BI220="","",IF($B220="Onsite",INDEX(tbl_Onsite[Job Description],$BI220),IF($B220="Production",INDEX(tbl_Production[Job Description],$BI220),INDEX(tbl_Consulting[Job Description],$BI220)))&amp;"")</f>
        <v/>
      </c>
      <c r="H220" s="10">
        <f>IF($BI220="","",IF($B220="Onsite",INDEX(tbl_Onsite[Cost Centre],$BI220),IF($B220="Production",INDEX(tbl_Production[Cost Centre],$BI220),INDEX(tbl_Consulting[Cost Centre],$BI220)))&amp;"")</f>
        <v/>
      </c>
      <c r="I220" s="10">
        <f>IF($BI220="","",IF($B220="Onsite",INDEX(tbl_Onsite[Invoice Type],$BI220),IF($B220="Production",INDEX(tbl_Production[Invoice Type],$BI220),INDEX(tbl_Consulting[Invoice Type],$BI220)))&amp;"")</f>
        <v/>
      </c>
      <c r="J220" s="10">
        <f>IF($BI220="","",IF($B220="Onsite",INDEX(tbl_Onsite[Tax Code],$BI220),IF($B220="Production",INDEX(tbl_Production[Tax Code],$BI220),INDEX(tbl_Consulting[Tax Code],$BI220)))&amp;"")</f>
        <v/>
      </c>
      <c r="K220" s="10">
        <f>IF(H220="","",IFERROR(INDEX(lst_CCtoGL,MATCH(H220,lst_CCforGL,0)),""))</f>
        <v/>
      </c>
      <c r="L220" s="10">
        <f>IF($BI220="","",IF($B220="Onsite",INDEX(tbl_Onsite[PO / Reference],$BI220),IF($B220="Production",INDEX(tbl_Production[Current RMS No],$BI220),INDEX(tbl_Consulting[Qwilr Quote],$BI220)))&amp;"")</f>
        <v/>
      </c>
      <c r="M220" s="10">
        <f>IF($BI220="","",IF($B220="Onsite",INDEX(tbl_Onsite[Notes],$BI220),IF($B220="Production",INDEX(tbl_Production[Notes],$BI220),INDEX(tbl_Consulting[Notes],$BI220)))&amp;"")</f>
        <v/>
      </c>
      <c r="N220" s="11">
        <f>IF($BI220="","",IF(IF($B220="Onsite",INDEX(tbl_Onsite[Expected Revenue Ex GST],$BI220),IF($B220="Production",INDEX(tbl_Production[Expected Revenue Ex GST],$BI220),INDEX(tbl_Consulting[Expected Revenue Ex GST],$BI220)))="","",IF($B220="Onsite",INDEX(tbl_Onsite[Expected Revenue Ex GST],$BI220),IF($B220="Production",INDEX(tbl_Production[Expected Revenue Ex GST],$BI220),INDEX(tbl_Consulting[Expected Revenue Ex GST],$BI220)))))</f>
        <v/>
      </c>
      <c r="O220" s="11">
        <f>IF(AND($C220="",NOT(COUNTA($S220:$BB220)&gt;0)),"",SUM(U220,X220,AA220,AD220,AG220,AJ220,AM220,AP220,AS220,AV220,AY220,BB220))</f>
        <v/>
      </c>
      <c r="P220" s="11">
        <f>IF(O220="","",N(N220)-O220)</f>
        <v/>
      </c>
      <c r="Q220" s="10">
        <f>IF(O220="","",IF($C220="","Invoice on empty job row",IF(N220="",IF(ROUND(O220,2)=0,"No dept value","Invoiced - no dept value"),IF(ROUND(O220,2)=0,"Not invoiced - to invoice",IF(ROUND(P220,2)=0,"Agrees",IF(P220&gt;0,"Dept higher - to invoice","Xero higher - check dept"))))))</f>
        <v/>
      </c>
      <c r="R220" s="10">
        <f>IF(AND($C220="",NOT(COUNTA($S220:$BB220)&gt;0),$BI220&lt;&gt;""),"",MID(IF($BI220="","; Row ID not found on the department sheet - a row was deleted","")&amp;IF(AND($C220="",COUNTA($S220:$BB220)&gt;0),"; Invoice entered but the department row has no job number","")&amp;IF(E220="CHECK","; Job number not in the Xero job list","")&amp;IF(AND($C220&lt;&gt;"",COUNTIF($C$7:$C$1506,$C220)&gt;1),"; Job number on more than one row","")&amp;IF(AND($C220&lt;&gt;"",H220=""),"; Dept has not set a cost centre","")&amp;IF(AND($C220&lt;&gt;"",J220=""),"; Dept has not set a tax code","")&amp;IF(AND($C220&lt;&gt;"",N220=""),"; Dept has not entered an expected value","")&amp;IF((IF(OR(COUNTA(S220:U220)=0,AND(COUNTA(S220:U220)=3,ISNUMBER(U220))),0,1)+IF(OR(COUNTA(V220:X220)=0,AND(COUNTA(V220:X220)=3,ISNUMBER(X220))),0,1)+IF(OR(COUNTA(Y220:AA220)=0,AND(COUNTA(Y220:AA220)=3,ISNUMBER(AA220))),0,1)+IF(OR(COUNTA(AB220:AD220)=0,AND(COUNTA(AB220:AD220)=3,ISNUMBER(AD220))),0,1)+IF(OR(COUNTA(AE220:AG220)=0,AND(COUNTA(AE220:AG220)=3,ISNUMBER(AG220))),0,1)+IF(OR(COUNTA(AH220:AJ220)=0,AND(COUNTA(AH220:AJ220)=3,ISNUMBER(AJ220))),0,1)+IF(OR(COUNTA(AK220:AM220)=0,AND(COUNTA(AK220:AM220)=3,ISNUMBER(AM220))),0,1)+IF(OR(COUNTA(AN220:AP220)=0,AND(COUNTA(AN220:AP220)=3,ISNUMBER(AP220))),0,1)+IF(OR(COUNTA(AQ220:AS220)=0,AND(COUNTA(AQ220:AS220)=3,ISNUMBER(AS220))),0,1)+IF(OR(COUNTA(AT220:AV220)=0,AND(COUNTA(AT220:AV220)=3,ISNUMBER(AV220))),0,1)+IF(OR(COUNTA(AW220:AY220)=0,AND(COUNTA(AW220:AY220)=3,ISNUMBER(AY220))),0,1)+IF(OR(COUNTA(AZ220:BB220)=0,AND(COUNTA(AZ220:BB220)=3,ISNUMBER(BB220))),0,1))&gt;0,"; An invoice is incomplete (needs No, Date and a number in Ex GST)","")&amp;IF((IF(T220="",0,IFERROR(--(EOMONTH(T220,0)&lt;&gt;S$5),1))+IF(W220="",0,IFERROR(--(EOMONTH(W220,0)&lt;&gt;V$5),1))+IF(Z220="",0,IFERROR(--(EOMONTH(Z220,0)&lt;&gt;Y$5),1))+IF(AC220="",0,IFERROR(--(EOMONTH(AC220,0)&lt;&gt;AB$5),1))+IF(AF220="",0,IFERROR(--(EOMONTH(AF220,0)&lt;&gt;AE$5),1))+IF(AI220="",0,IFERROR(--(EOMONTH(AI220,0)&lt;&gt;AH$5),1))+IF(AL220="",0,IFERROR(--(EOMONTH(AL220,0)&lt;&gt;AK$5),1))+IF(AO220="",0,IFERROR(--(EOMONTH(AO220,0)&lt;&gt;AN$5),1))+IF(AR220="",0,IFERROR(--(EOMONTH(AR220,0)&lt;&gt;AQ$5),1))+IF(AU220="",0,IFERROR(--(EOMONTH(AU220,0)&lt;&gt;AT$5),1))+IF(AX220="",0,IFERROR(--(EOMONTH(AX220,0)&lt;&gt;AW$5),1))+IF(BA220="",0,IFERROR(--(EOMONTH(BA220,0)&lt;&gt;AZ$5),1)))&gt;0,"; An invoice date is not in the month it is typed under",""),3,500))</f>
        <v/>
      </c>
      <c r="S220" s="12" t="n"/>
      <c r="T220" s="13" t="n"/>
      <c r="U220" s="14" t="n"/>
      <c r="V220" s="12" t="n"/>
      <c r="W220" s="13" t="n"/>
      <c r="X220" s="14" t="n"/>
      <c r="Y220" s="12" t="n"/>
      <c r="Z220" s="13" t="n"/>
      <c r="AA220" s="14" t="n"/>
      <c r="AB220" s="12" t="n"/>
      <c r="AC220" s="13" t="n"/>
      <c r="AD220" s="14" t="n"/>
      <c r="AE220" s="12" t="n"/>
      <c r="AF220" s="13" t="n"/>
      <c r="AG220" s="14" t="n"/>
      <c r="AH220" s="12" t="n"/>
      <c r="AI220" s="13" t="n"/>
      <c r="AJ220" s="14" t="n"/>
      <c r="AK220" s="12" t="n"/>
      <c r="AL220" s="13" t="n"/>
      <c r="AM220" s="14" t="n"/>
      <c r="AN220" s="12" t="n"/>
      <c r="AO220" s="13" t="n"/>
      <c r="AP220" s="14" t="n"/>
      <c r="AQ220" s="12" t="n"/>
      <c r="AR220" s="13" t="n"/>
      <c r="AS220" s="14" t="n"/>
      <c r="AT220" s="12" t="n"/>
      <c r="AU220" s="13" t="n"/>
      <c r="AV220" s="14" t="n"/>
      <c r="AW220" s="12" t="n"/>
      <c r="AX220" s="13" t="n"/>
      <c r="AY220" s="14" t="n"/>
      <c r="AZ220" s="12" t="n"/>
      <c r="BA220" s="13" t="n"/>
      <c r="BB220" s="14" t="n"/>
      <c r="BC220" s="11">
        <f>IF(O220="","",IF(J220="GST 10%",ROUND(O220*set_GSTRate,2),0))</f>
        <v/>
      </c>
      <c r="BD220" s="11">
        <f>IF(O220="","",O220+BC220)</f>
        <v/>
      </c>
      <c r="BE220" s="15">
        <f>IF(O220="","",COUNTA(S220,V220,Y220,AB220,AE220,AH220,AK220,AN220,AQ220,AT220,AW220,AZ220))</f>
        <v/>
      </c>
      <c r="BF220" s="16">
        <f>IF(COUNT(T220,W220,Z220,AC220,AF220,AI220,AL220,AO220,AR220,AU220,AX220,BA220)=0,"",MAX(T220,W220,Z220,AC220,AF220,AI220,AL220,AO220,AR220,AU220,AX220,BA220))</f>
        <v/>
      </c>
      <c r="BG220" s="10">
        <f>MID(IF(S220="","",", "&amp;S220)&amp;IF(V220="","",", "&amp;V220)&amp;IF(Y220="","",", "&amp;Y220)&amp;IF(AB220="","",", "&amp;AB220)&amp;IF(AE220="","",", "&amp;AE220)&amp;IF(AH220="","",", "&amp;AH220)&amp;IF(AK220="","",", "&amp;AK220)&amp;IF(AN220="","",", "&amp;AN220)&amp;IF(AQ220="","",", "&amp;AQ220)&amp;IF(AT220="","",", "&amp;AT220)&amp;IF(AW220="","",", "&amp;AW220)&amp;IF(AZ220="","",", "&amp;AZ220),3,500)</f>
        <v/>
      </c>
      <c r="BH220" s="12" t="n"/>
      <c r="BI220" s="15">
        <f>IFERROR(MATCH($A220,IF($B220="Onsite",tbl_Onsite[Row ID],IF($B220="Production",tbl_Production[Row ID],tbl_Consulting[Row ID])),0),"")</f>
        <v/>
      </c>
    </row>
    <row r="221">
      <c r="A221" s="10" t="inlineStr">
        <is>
          <t>ONS-0215</t>
        </is>
      </c>
      <c r="B221" s="10" t="inlineStr">
        <is>
          <t>Onsite</t>
        </is>
      </c>
      <c r="C221" s="10">
        <f>IF($BI221="","",IF($B221="Onsite",INDEX(tbl_Onsite[Job Number],$BI221),IF($B221="Production",INDEX(tbl_Production[Job Number],$BI221),INDEX(tbl_Consulting[Job Number],$BI221)))&amp;"")</f>
        <v/>
      </c>
      <c r="D221" s="10">
        <f>IF($BI221="","",IF($B221="Onsite",INDEX(tbl_Onsite[Client],$BI221),IF($B221="Production",INDEX(tbl_Production[Client],$BI221),INDEX(tbl_Consulting[Client],$BI221)))&amp;"")</f>
        <v/>
      </c>
      <c r="E221" s="10">
        <f>IF($C221="","",IF(COUNTIF(lst_Jobs,$C221)&gt;0,"OK","CHECK"))</f>
        <v/>
      </c>
      <c r="F221" s="10">
        <f>IF($C221="","",IFERROR(INDEX(lst_JobName,MATCH($C221,lst_Jobs,0)),""))</f>
        <v/>
      </c>
      <c r="G221" s="10">
        <f>IF($BI221="","",IF($B221="Onsite",INDEX(tbl_Onsite[Job Description],$BI221),IF($B221="Production",INDEX(tbl_Production[Job Description],$BI221),INDEX(tbl_Consulting[Job Description],$BI221)))&amp;"")</f>
        <v/>
      </c>
      <c r="H221" s="10">
        <f>IF($BI221="","",IF($B221="Onsite",INDEX(tbl_Onsite[Cost Centre],$BI221),IF($B221="Production",INDEX(tbl_Production[Cost Centre],$BI221),INDEX(tbl_Consulting[Cost Centre],$BI221)))&amp;"")</f>
        <v/>
      </c>
      <c r="I221" s="10">
        <f>IF($BI221="","",IF($B221="Onsite",INDEX(tbl_Onsite[Invoice Type],$BI221),IF($B221="Production",INDEX(tbl_Production[Invoice Type],$BI221),INDEX(tbl_Consulting[Invoice Type],$BI221)))&amp;"")</f>
        <v/>
      </c>
      <c r="J221" s="10">
        <f>IF($BI221="","",IF($B221="Onsite",INDEX(tbl_Onsite[Tax Code],$BI221),IF($B221="Production",INDEX(tbl_Production[Tax Code],$BI221),INDEX(tbl_Consulting[Tax Code],$BI221)))&amp;"")</f>
        <v/>
      </c>
      <c r="K221" s="10">
        <f>IF(H221="","",IFERROR(INDEX(lst_CCtoGL,MATCH(H221,lst_CCforGL,0)),""))</f>
        <v/>
      </c>
      <c r="L221" s="10">
        <f>IF($BI221="","",IF($B221="Onsite",INDEX(tbl_Onsite[PO / Reference],$BI221),IF($B221="Production",INDEX(tbl_Production[Current RMS No],$BI221),INDEX(tbl_Consulting[Qwilr Quote],$BI221)))&amp;"")</f>
        <v/>
      </c>
      <c r="M221" s="10">
        <f>IF($BI221="","",IF($B221="Onsite",INDEX(tbl_Onsite[Notes],$BI221),IF($B221="Production",INDEX(tbl_Production[Notes],$BI221),INDEX(tbl_Consulting[Notes],$BI221)))&amp;"")</f>
        <v/>
      </c>
      <c r="N221" s="11">
        <f>IF($BI221="","",IF(IF($B221="Onsite",INDEX(tbl_Onsite[Expected Revenue Ex GST],$BI221),IF($B221="Production",INDEX(tbl_Production[Expected Revenue Ex GST],$BI221),INDEX(tbl_Consulting[Expected Revenue Ex GST],$BI221)))="","",IF($B221="Onsite",INDEX(tbl_Onsite[Expected Revenue Ex GST],$BI221),IF($B221="Production",INDEX(tbl_Production[Expected Revenue Ex GST],$BI221),INDEX(tbl_Consulting[Expected Revenue Ex GST],$BI221)))))</f>
        <v/>
      </c>
      <c r="O221" s="11">
        <f>IF(AND($C221="",NOT(COUNTA($S221:$BB221)&gt;0)),"",SUM(U221,X221,AA221,AD221,AG221,AJ221,AM221,AP221,AS221,AV221,AY221,BB221))</f>
        <v/>
      </c>
      <c r="P221" s="11">
        <f>IF(O221="","",N(N221)-O221)</f>
        <v/>
      </c>
      <c r="Q221" s="10">
        <f>IF(O221="","",IF($C221="","Invoice on empty job row",IF(N221="",IF(ROUND(O221,2)=0,"No dept value","Invoiced - no dept value"),IF(ROUND(O221,2)=0,"Not invoiced - to invoice",IF(ROUND(P221,2)=0,"Agrees",IF(P221&gt;0,"Dept higher - to invoice","Xero higher - check dept"))))))</f>
        <v/>
      </c>
      <c r="R221" s="10">
        <f>IF(AND($C221="",NOT(COUNTA($S221:$BB221)&gt;0),$BI221&lt;&gt;""),"",MID(IF($BI221="","; Row ID not found on the department sheet - a row was deleted","")&amp;IF(AND($C221="",COUNTA($S221:$BB221)&gt;0),"; Invoice entered but the department row has no job number","")&amp;IF(E221="CHECK","; Job number not in the Xero job list","")&amp;IF(AND($C221&lt;&gt;"",COUNTIF($C$7:$C$1506,$C221)&gt;1),"; Job number on more than one row","")&amp;IF(AND($C221&lt;&gt;"",H221=""),"; Dept has not set a cost centre","")&amp;IF(AND($C221&lt;&gt;"",J221=""),"; Dept has not set a tax code","")&amp;IF(AND($C221&lt;&gt;"",N221=""),"; Dept has not entered an expected value","")&amp;IF((IF(OR(COUNTA(S221:U221)=0,AND(COUNTA(S221:U221)=3,ISNUMBER(U221))),0,1)+IF(OR(COUNTA(V221:X221)=0,AND(COUNTA(V221:X221)=3,ISNUMBER(X221))),0,1)+IF(OR(COUNTA(Y221:AA221)=0,AND(COUNTA(Y221:AA221)=3,ISNUMBER(AA221))),0,1)+IF(OR(COUNTA(AB221:AD221)=0,AND(COUNTA(AB221:AD221)=3,ISNUMBER(AD221))),0,1)+IF(OR(COUNTA(AE221:AG221)=0,AND(COUNTA(AE221:AG221)=3,ISNUMBER(AG221))),0,1)+IF(OR(COUNTA(AH221:AJ221)=0,AND(COUNTA(AH221:AJ221)=3,ISNUMBER(AJ221))),0,1)+IF(OR(COUNTA(AK221:AM221)=0,AND(COUNTA(AK221:AM221)=3,ISNUMBER(AM221))),0,1)+IF(OR(COUNTA(AN221:AP221)=0,AND(COUNTA(AN221:AP221)=3,ISNUMBER(AP221))),0,1)+IF(OR(COUNTA(AQ221:AS221)=0,AND(COUNTA(AQ221:AS221)=3,ISNUMBER(AS221))),0,1)+IF(OR(COUNTA(AT221:AV221)=0,AND(COUNTA(AT221:AV221)=3,ISNUMBER(AV221))),0,1)+IF(OR(COUNTA(AW221:AY221)=0,AND(COUNTA(AW221:AY221)=3,ISNUMBER(AY221))),0,1)+IF(OR(COUNTA(AZ221:BB221)=0,AND(COUNTA(AZ221:BB221)=3,ISNUMBER(BB221))),0,1))&gt;0,"; An invoice is incomplete (needs No, Date and a number in Ex GST)","")&amp;IF((IF(T221="",0,IFERROR(--(EOMONTH(T221,0)&lt;&gt;S$5),1))+IF(W221="",0,IFERROR(--(EOMONTH(W221,0)&lt;&gt;V$5),1))+IF(Z221="",0,IFERROR(--(EOMONTH(Z221,0)&lt;&gt;Y$5),1))+IF(AC221="",0,IFERROR(--(EOMONTH(AC221,0)&lt;&gt;AB$5),1))+IF(AF221="",0,IFERROR(--(EOMONTH(AF221,0)&lt;&gt;AE$5),1))+IF(AI221="",0,IFERROR(--(EOMONTH(AI221,0)&lt;&gt;AH$5),1))+IF(AL221="",0,IFERROR(--(EOMONTH(AL221,0)&lt;&gt;AK$5),1))+IF(AO221="",0,IFERROR(--(EOMONTH(AO221,0)&lt;&gt;AN$5),1))+IF(AR221="",0,IFERROR(--(EOMONTH(AR221,0)&lt;&gt;AQ$5),1))+IF(AU221="",0,IFERROR(--(EOMONTH(AU221,0)&lt;&gt;AT$5),1))+IF(AX221="",0,IFERROR(--(EOMONTH(AX221,0)&lt;&gt;AW$5),1))+IF(BA221="",0,IFERROR(--(EOMONTH(BA221,0)&lt;&gt;AZ$5),1)))&gt;0,"; An invoice date is not in the month it is typed under",""),3,500))</f>
        <v/>
      </c>
      <c r="S221" s="12" t="n"/>
      <c r="T221" s="13" t="n"/>
      <c r="U221" s="14" t="n"/>
      <c r="V221" s="12" t="n"/>
      <c r="W221" s="13" t="n"/>
      <c r="X221" s="14" t="n"/>
      <c r="Y221" s="12" t="n"/>
      <c r="Z221" s="13" t="n"/>
      <c r="AA221" s="14" t="n"/>
      <c r="AB221" s="12" t="n"/>
      <c r="AC221" s="13" t="n"/>
      <c r="AD221" s="14" t="n"/>
      <c r="AE221" s="12" t="n"/>
      <c r="AF221" s="13" t="n"/>
      <c r="AG221" s="14" t="n"/>
      <c r="AH221" s="12" t="n"/>
      <c r="AI221" s="13" t="n"/>
      <c r="AJ221" s="14" t="n"/>
      <c r="AK221" s="12" t="n"/>
      <c r="AL221" s="13" t="n"/>
      <c r="AM221" s="14" t="n"/>
      <c r="AN221" s="12" t="n"/>
      <c r="AO221" s="13" t="n"/>
      <c r="AP221" s="14" t="n"/>
      <c r="AQ221" s="12" t="n"/>
      <c r="AR221" s="13" t="n"/>
      <c r="AS221" s="14" t="n"/>
      <c r="AT221" s="12" t="n"/>
      <c r="AU221" s="13" t="n"/>
      <c r="AV221" s="14" t="n"/>
      <c r="AW221" s="12" t="n"/>
      <c r="AX221" s="13" t="n"/>
      <c r="AY221" s="14" t="n"/>
      <c r="AZ221" s="12" t="n"/>
      <c r="BA221" s="13" t="n"/>
      <c r="BB221" s="14" t="n"/>
      <c r="BC221" s="11">
        <f>IF(O221="","",IF(J221="GST 10%",ROUND(O221*set_GSTRate,2),0))</f>
        <v/>
      </c>
      <c r="BD221" s="11">
        <f>IF(O221="","",O221+BC221)</f>
        <v/>
      </c>
      <c r="BE221" s="15">
        <f>IF(O221="","",COUNTA(S221,V221,Y221,AB221,AE221,AH221,AK221,AN221,AQ221,AT221,AW221,AZ221))</f>
        <v/>
      </c>
      <c r="BF221" s="16">
        <f>IF(COUNT(T221,W221,Z221,AC221,AF221,AI221,AL221,AO221,AR221,AU221,AX221,BA221)=0,"",MAX(T221,W221,Z221,AC221,AF221,AI221,AL221,AO221,AR221,AU221,AX221,BA221))</f>
        <v/>
      </c>
      <c r="BG221" s="10">
        <f>MID(IF(S221="","",", "&amp;S221)&amp;IF(V221="","",", "&amp;V221)&amp;IF(Y221="","",", "&amp;Y221)&amp;IF(AB221="","",", "&amp;AB221)&amp;IF(AE221="","",", "&amp;AE221)&amp;IF(AH221="","",", "&amp;AH221)&amp;IF(AK221="","",", "&amp;AK221)&amp;IF(AN221="","",", "&amp;AN221)&amp;IF(AQ221="","",", "&amp;AQ221)&amp;IF(AT221="","",", "&amp;AT221)&amp;IF(AW221="","",", "&amp;AW221)&amp;IF(AZ221="","",", "&amp;AZ221),3,500)</f>
        <v/>
      </c>
      <c r="BH221" s="12" t="n"/>
      <c r="BI221" s="15">
        <f>IFERROR(MATCH($A221,IF($B221="Onsite",tbl_Onsite[Row ID],IF($B221="Production",tbl_Production[Row ID],tbl_Consulting[Row ID])),0),"")</f>
        <v/>
      </c>
    </row>
    <row r="222">
      <c r="A222" s="10" t="inlineStr">
        <is>
          <t>ONS-0216</t>
        </is>
      </c>
      <c r="B222" s="10" t="inlineStr">
        <is>
          <t>Onsite</t>
        </is>
      </c>
      <c r="C222" s="10">
        <f>IF($BI222="","",IF($B222="Onsite",INDEX(tbl_Onsite[Job Number],$BI222),IF($B222="Production",INDEX(tbl_Production[Job Number],$BI222),INDEX(tbl_Consulting[Job Number],$BI222)))&amp;"")</f>
        <v/>
      </c>
      <c r="D222" s="10">
        <f>IF($BI222="","",IF($B222="Onsite",INDEX(tbl_Onsite[Client],$BI222),IF($B222="Production",INDEX(tbl_Production[Client],$BI222),INDEX(tbl_Consulting[Client],$BI222)))&amp;"")</f>
        <v/>
      </c>
      <c r="E222" s="10">
        <f>IF($C222="","",IF(COUNTIF(lst_Jobs,$C222)&gt;0,"OK","CHECK"))</f>
        <v/>
      </c>
      <c r="F222" s="10">
        <f>IF($C222="","",IFERROR(INDEX(lst_JobName,MATCH($C222,lst_Jobs,0)),""))</f>
        <v/>
      </c>
      <c r="G222" s="10">
        <f>IF($BI222="","",IF($B222="Onsite",INDEX(tbl_Onsite[Job Description],$BI222),IF($B222="Production",INDEX(tbl_Production[Job Description],$BI222),INDEX(tbl_Consulting[Job Description],$BI222)))&amp;"")</f>
        <v/>
      </c>
      <c r="H222" s="10">
        <f>IF($BI222="","",IF($B222="Onsite",INDEX(tbl_Onsite[Cost Centre],$BI222),IF($B222="Production",INDEX(tbl_Production[Cost Centre],$BI222),INDEX(tbl_Consulting[Cost Centre],$BI222)))&amp;"")</f>
        <v/>
      </c>
      <c r="I222" s="10">
        <f>IF($BI222="","",IF($B222="Onsite",INDEX(tbl_Onsite[Invoice Type],$BI222),IF($B222="Production",INDEX(tbl_Production[Invoice Type],$BI222),INDEX(tbl_Consulting[Invoice Type],$BI222)))&amp;"")</f>
        <v/>
      </c>
      <c r="J222" s="10">
        <f>IF($BI222="","",IF($B222="Onsite",INDEX(tbl_Onsite[Tax Code],$BI222),IF($B222="Production",INDEX(tbl_Production[Tax Code],$BI222),INDEX(tbl_Consulting[Tax Code],$BI222)))&amp;"")</f>
        <v/>
      </c>
      <c r="K222" s="10">
        <f>IF(H222="","",IFERROR(INDEX(lst_CCtoGL,MATCH(H222,lst_CCforGL,0)),""))</f>
        <v/>
      </c>
      <c r="L222" s="10">
        <f>IF($BI222="","",IF($B222="Onsite",INDEX(tbl_Onsite[PO / Reference],$BI222),IF($B222="Production",INDEX(tbl_Production[Current RMS No],$BI222),INDEX(tbl_Consulting[Qwilr Quote],$BI222)))&amp;"")</f>
        <v/>
      </c>
      <c r="M222" s="10">
        <f>IF($BI222="","",IF($B222="Onsite",INDEX(tbl_Onsite[Notes],$BI222),IF($B222="Production",INDEX(tbl_Production[Notes],$BI222),INDEX(tbl_Consulting[Notes],$BI222)))&amp;"")</f>
        <v/>
      </c>
      <c r="N222" s="11">
        <f>IF($BI222="","",IF(IF($B222="Onsite",INDEX(tbl_Onsite[Expected Revenue Ex GST],$BI222),IF($B222="Production",INDEX(tbl_Production[Expected Revenue Ex GST],$BI222),INDEX(tbl_Consulting[Expected Revenue Ex GST],$BI222)))="","",IF($B222="Onsite",INDEX(tbl_Onsite[Expected Revenue Ex GST],$BI222),IF($B222="Production",INDEX(tbl_Production[Expected Revenue Ex GST],$BI222),INDEX(tbl_Consulting[Expected Revenue Ex GST],$BI222)))))</f>
        <v/>
      </c>
      <c r="O222" s="11">
        <f>IF(AND($C222="",NOT(COUNTA($S222:$BB222)&gt;0)),"",SUM(U222,X222,AA222,AD222,AG222,AJ222,AM222,AP222,AS222,AV222,AY222,BB222))</f>
        <v/>
      </c>
      <c r="P222" s="11">
        <f>IF(O222="","",N(N222)-O222)</f>
        <v/>
      </c>
      <c r="Q222" s="10">
        <f>IF(O222="","",IF($C222="","Invoice on empty job row",IF(N222="",IF(ROUND(O222,2)=0,"No dept value","Invoiced - no dept value"),IF(ROUND(O222,2)=0,"Not invoiced - to invoice",IF(ROUND(P222,2)=0,"Agrees",IF(P222&gt;0,"Dept higher - to invoice","Xero higher - check dept"))))))</f>
        <v/>
      </c>
      <c r="R222" s="10">
        <f>IF(AND($C222="",NOT(COUNTA($S222:$BB222)&gt;0),$BI222&lt;&gt;""),"",MID(IF($BI222="","; Row ID not found on the department sheet - a row was deleted","")&amp;IF(AND($C222="",COUNTA($S222:$BB222)&gt;0),"; Invoice entered but the department row has no job number","")&amp;IF(E222="CHECK","; Job number not in the Xero job list","")&amp;IF(AND($C222&lt;&gt;"",COUNTIF($C$7:$C$1506,$C222)&gt;1),"; Job number on more than one row","")&amp;IF(AND($C222&lt;&gt;"",H222=""),"; Dept has not set a cost centre","")&amp;IF(AND($C222&lt;&gt;"",J222=""),"; Dept has not set a tax code","")&amp;IF(AND($C222&lt;&gt;"",N222=""),"; Dept has not entered an expected value","")&amp;IF((IF(OR(COUNTA(S222:U222)=0,AND(COUNTA(S222:U222)=3,ISNUMBER(U222))),0,1)+IF(OR(COUNTA(V222:X222)=0,AND(COUNTA(V222:X222)=3,ISNUMBER(X222))),0,1)+IF(OR(COUNTA(Y222:AA222)=0,AND(COUNTA(Y222:AA222)=3,ISNUMBER(AA222))),0,1)+IF(OR(COUNTA(AB222:AD222)=0,AND(COUNTA(AB222:AD222)=3,ISNUMBER(AD222))),0,1)+IF(OR(COUNTA(AE222:AG222)=0,AND(COUNTA(AE222:AG222)=3,ISNUMBER(AG222))),0,1)+IF(OR(COUNTA(AH222:AJ222)=0,AND(COUNTA(AH222:AJ222)=3,ISNUMBER(AJ222))),0,1)+IF(OR(COUNTA(AK222:AM222)=0,AND(COUNTA(AK222:AM222)=3,ISNUMBER(AM222))),0,1)+IF(OR(COUNTA(AN222:AP222)=0,AND(COUNTA(AN222:AP222)=3,ISNUMBER(AP222))),0,1)+IF(OR(COUNTA(AQ222:AS222)=0,AND(COUNTA(AQ222:AS222)=3,ISNUMBER(AS222))),0,1)+IF(OR(COUNTA(AT222:AV222)=0,AND(COUNTA(AT222:AV222)=3,ISNUMBER(AV222))),0,1)+IF(OR(COUNTA(AW222:AY222)=0,AND(COUNTA(AW222:AY222)=3,ISNUMBER(AY222))),0,1)+IF(OR(COUNTA(AZ222:BB222)=0,AND(COUNTA(AZ222:BB222)=3,ISNUMBER(BB222))),0,1))&gt;0,"; An invoice is incomplete (needs No, Date and a number in Ex GST)","")&amp;IF((IF(T222="",0,IFERROR(--(EOMONTH(T222,0)&lt;&gt;S$5),1))+IF(W222="",0,IFERROR(--(EOMONTH(W222,0)&lt;&gt;V$5),1))+IF(Z222="",0,IFERROR(--(EOMONTH(Z222,0)&lt;&gt;Y$5),1))+IF(AC222="",0,IFERROR(--(EOMONTH(AC222,0)&lt;&gt;AB$5),1))+IF(AF222="",0,IFERROR(--(EOMONTH(AF222,0)&lt;&gt;AE$5),1))+IF(AI222="",0,IFERROR(--(EOMONTH(AI222,0)&lt;&gt;AH$5),1))+IF(AL222="",0,IFERROR(--(EOMONTH(AL222,0)&lt;&gt;AK$5),1))+IF(AO222="",0,IFERROR(--(EOMONTH(AO222,0)&lt;&gt;AN$5),1))+IF(AR222="",0,IFERROR(--(EOMONTH(AR222,0)&lt;&gt;AQ$5),1))+IF(AU222="",0,IFERROR(--(EOMONTH(AU222,0)&lt;&gt;AT$5),1))+IF(AX222="",0,IFERROR(--(EOMONTH(AX222,0)&lt;&gt;AW$5),1))+IF(BA222="",0,IFERROR(--(EOMONTH(BA222,0)&lt;&gt;AZ$5),1)))&gt;0,"; An invoice date is not in the month it is typed under",""),3,500))</f>
        <v/>
      </c>
      <c r="S222" s="12" t="n"/>
      <c r="T222" s="13" t="n"/>
      <c r="U222" s="14" t="n"/>
      <c r="V222" s="12" t="n"/>
      <c r="W222" s="13" t="n"/>
      <c r="X222" s="14" t="n"/>
      <c r="Y222" s="12" t="n"/>
      <c r="Z222" s="13" t="n"/>
      <c r="AA222" s="14" t="n"/>
      <c r="AB222" s="12" t="n"/>
      <c r="AC222" s="13" t="n"/>
      <c r="AD222" s="14" t="n"/>
      <c r="AE222" s="12" t="n"/>
      <c r="AF222" s="13" t="n"/>
      <c r="AG222" s="14" t="n"/>
      <c r="AH222" s="12" t="n"/>
      <c r="AI222" s="13" t="n"/>
      <c r="AJ222" s="14" t="n"/>
      <c r="AK222" s="12" t="n"/>
      <c r="AL222" s="13" t="n"/>
      <c r="AM222" s="14" t="n"/>
      <c r="AN222" s="12" t="n"/>
      <c r="AO222" s="13" t="n"/>
      <c r="AP222" s="14" t="n"/>
      <c r="AQ222" s="12" t="n"/>
      <c r="AR222" s="13" t="n"/>
      <c r="AS222" s="14" t="n"/>
      <c r="AT222" s="12" t="n"/>
      <c r="AU222" s="13" t="n"/>
      <c r="AV222" s="14" t="n"/>
      <c r="AW222" s="12" t="n"/>
      <c r="AX222" s="13" t="n"/>
      <c r="AY222" s="14" t="n"/>
      <c r="AZ222" s="12" t="n"/>
      <c r="BA222" s="13" t="n"/>
      <c r="BB222" s="14" t="n"/>
      <c r="BC222" s="11">
        <f>IF(O222="","",IF(J222="GST 10%",ROUND(O222*set_GSTRate,2),0))</f>
        <v/>
      </c>
      <c r="BD222" s="11">
        <f>IF(O222="","",O222+BC222)</f>
        <v/>
      </c>
      <c r="BE222" s="15">
        <f>IF(O222="","",COUNTA(S222,V222,Y222,AB222,AE222,AH222,AK222,AN222,AQ222,AT222,AW222,AZ222))</f>
        <v/>
      </c>
      <c r="BF222" s="16">
        <f>IF(COUNT(T222,W222,Z222,AC222,AF222,AI222,AL222,AO222,AR222,AU222,AX222,BA222)=0,"",MAX(T222,W222,Z222,AC222,AF222,AI222,AL222,AO222,AR222,AU222,AX222,BA222))</f>
        <v/>
      </c>
      <c r="BG222" s="10">
        <f>MID(IF(S222="","",", "&amp;S222)&amp;IF(V222="","",", "&amp;V222)&amp;IF(Y222="","",", "&amp;Y222)&amp;IF(AB222="","",", "&amp;AB222)&amp;IF(AE222="","",", "&amp;AE222)&amp;IF(AH222="","",", "&amp;AH222)&amp;IF(AK222="","",", "&amp;AK222)&amp;IF(AN222="","",", "&amp;AN222)&amp;IF(AQ222="","",", "&amp;AQ222)&amp;IF(AT222="","",", "&amp;AT222)&amp;IF(AW222="","",", "&amp;AW222)&amp;IF(AZ222="","",", "&amp;AZ222),3,500)</f>
        <v/>
      </c>
      <c r="BH222" s="12" t="n"/>
      <c r="BI222" s="15">
        <f>IFERROR(MATCH($A222,IF($B222="Onsite",tbl_Onsite[Row ID],IF($B222="Production",tbl_Production[Row ID],tbl_Consulting[Row ID])),0),"")</f>
        <v/>
      </c>
    </row>
    <row r="223">
      <c r="A223" s="10" t="inlineStr">
        <is>
          <t>ONS-0217</t>
        </is>
      </c>
      <c r="B223" s="10" t="inlineStr">
        <is>
          <t>Onsite</t>
        </is>
      </c>
      <c r="C223" s="10">
        <f>IF($BI223="","",IF($B223="Onsite",INDEX(tbl_Onsite[Job Number],$BI223),IF($B223="Production",INDEX(tbl_Production[Job Number],$BI223),INDEX(tbl_Consulting[Job Number],$BI223)))&amp;"")</f>
        <v/>
      </c>
      <c r="D223" s="10">
        <f>IF($BI223="","",IF($B223="Onsite",INDEX(tbl_Onsite[Client],$BI223),IF($B223="Production",INDEX(tbl_Production[Client],$BI223),INDEX(tbl_Consulting[Client],$BI223)))&amp;"")</f>
        <v/>
      </c>
      <c r="E223" s="10">
        <f>IF($C223="","",IF(COUNTIF(lst_Jobs,$C223)&gt;0,"OK","CHECK"))</f>
        <v/>
      </c>
      <c r="F223" s="10">
        <f>IF($C223="","",IFERROR(INDEX(lst_JobName,MATCH($C223,lst_Jobs,0)),""))</f>
        <v/>
      </c>
      <c r="G223" s="10">
        <f>IF($BI223="","",IF($B223="Onsite",INDEX(tbl_Onsite[Job Description],$BI223),IF($B223="Production",INDEX(tbl_Production[Job Description],$BI223),INDEX(tbl_Consulting[Job Description],$BI223)))&amp;"")</f>
        <v/>
      </c>
      <c r="H223" s="10">
        <f>IF($BI223="","",IF($B223="Onsite",INDEX(tbl_Onsite[Cost Centre],$BI223),IF($B223="Production",INDEX(tbl_Production[Cost Centre],$BI223),INDEX(tbl_Consulting[Cost Centre],$BI223)))&amp;"")</f>
        <v/>
      </c>
      <c r="I223" s="10">
        <f>IF($BI223="","",IF($B223="Onsite",INDEX(tbl_Onsite[Invoice Type],$BI223),IF($B223="Production",INDEX(tbl_Production[Invoice Type],$BI223),INDEX(tbl_Consulting[Invoice Type],$BI223)))&amp;"")</f>
        <v/>
      </c>
      <c r="J223" s="10">
        <f>IF($BI223="","",IF($B223="Onsite",INDEX(tbl_Onsite[Tax Code],$BI223),IF($B223="Production",INDEX(tbl_Production[Tax Code],$BI223),INDEX(tbl_Consulting[Tax Code],$BI223)))&amp;"")</f>
        <v/>
      </c>
      <c r="K223" s="10">
        <f>IF(H223="","",IFERROR(INDEX(lst_CCtoGL,MATCH(H223,lst_CCforGL,0)),""))</f>
        <v/>
      </c>
      <c r="L223" s="10">
        <f>IF($BI223="","",IF($B223="Onsite",INDEX(tbl_Onsite[PO / Reference],$BI223),IF($B223="Production",INDEX(tbl_Production[Current RMS No],$BI223),INDEX(tbl_Consulting[Qwilr Quote],$BI223)))&amp;"")</f>
        <v/>
      </c>
      <c r="M223" s="10">
        <f>IF($BI223="","",IF($B223="Onsite",INDEX(tbl_Onsite[Notes],$BI223),IF($B223="Production",INDEX(tbl_Production[Notes],$BI223),INDEX(tbl_Consulting[Notes],$BI223)))&amp;"")</f>
        <v/>
      </c>
      <c r="N223" s="11">
        <f>IF($BI223="","",IF(IF($B223="Onsite",INDEX(tbl_Onsite[Expected Revenue Ex GST],$BI223),IF($B223="Production",INDEX(tbl_Production[Expected Revenue Ex GST],$BI223),INDEX(tbl_Consulting[Expected Revenue Ex GST],$BI223)))="","",IF($B223="Onsite",INDEX(tbl_Onsite[Expected Revenue Ex GST],$BI223),IF($B223="Production",INDEX(tbl_Production[Expected Revenue Ex GST],$BI223),INDEX(tbl_Consulting[Expected Revenue Ex GST],$BI223)))))</f>
        <v/>
      </c>
      <c r="O223" s="11">
        <f>IF(AND($C223="",NOT(COUNTA($S223:$BB223)&gt;0)),"",SUM(U223,X223,AA223,AD223,AG223,AJ223,AM223,AP223,AS223,AV223,AY223,BB223))</f>
        <v/>
      </c>
      <c r="P223" s="11">
        <f>IF(O223="","",N(N223)-O223)</f>
        <v/>
      </c>
      <c r="Q223" s="10">
        <f>IF(O223="","",IF($C223="","Invoice on empty job row",IF(N223="",IF(ROUND(O223,2)=0,"No dept value","Invoiced - no dept value"),IF(ROUND(O223,2)=0,"Not invoiced - to invoice",IF(ROUND(P223,2)=0,"Agrees",IF(P223&gt;0,"Dept higher - to invoice","Xero higher - check dept"))))))</f>
        <v/>
      </c>
      <c r="R223" s="10">
        <f>IF(AND($C223="",NOT(COUNTA($S223:$BB223)&gt;0),$BI223&lt;&gt;""),"",MID(IF($BI223="","; Row ID not found on the department sheet - a row was deleted","")&amp;IF(AND($C223="",COUNTA($S223:$BB223)&gt;0),"; Invoice entered but the department row has no job number","")&amp;IF(E223="CHECK","; Job number not in the Xero job list","")&amp;IF(AND($C223&lt;&gt;"",COUNTIF($C$7:$C$1506,$C223)&gt;1),"; Job number on more than one row","")&amp;IF(AND($C223&lt;&gt;"",H223=""),"; Dept has not set a cost centre","")&amp;IF(AND($C223&lt;&gt;"",J223=""),"; Dept has not set a tax code","")&amp;IF(AND($C223&lt;&gt;"",N223=""),"; Dept has not entered an expected value","")&amp;IF((IF(OR(COUNTA(S223:U223)=0,AND(COUNTA(S223:U223)=3,ISNUMBER(U223))),0,1)+IF(OR(COUNTA(V223:X223)=0,AND(COUNTA(V223:X223)=3,ISNUMBER(X223))),0,1)+IF(OR(COUNTA(Y223:AA223)=0,AND(COUNTA(Y223:AA223)=3,ISNUMBER(AA223))),0,1)+IF(OR(COUNTA(AB223:AD223)=0,AND(COUNTA(AB223:AD223)=3,ISNUMBER(AD223))),0,1)+IF(OR(COUNTA(AE223:AG223)=0,AND(COUNTA(AE223:AG223)=3,ISNUMBER(AG223))),0,1)+IF(OR(COUNTA(AH223:AJ223)=0,AND(COUNTA(AH223:AJ223)=3,ISNUMBER(AJ223))),0,1)+IF(OR(COUNTA(AK223:AM223)=0,AND(COUNTA(AK223:AM223)=3,ISNUMBER(AM223))),0,1)+IF(OR(COUNTA(AN223:AP223)=0,AND(COUNTA(AN223:AP223)=3,ISNUMBER(AP223))),0,1)+IF(OR(COUNTA(AQ223:AS223)=0,AND(COUNTA(AQ223:AS223)=3,ISNUMBER(AS223))),0,1)+IF(OR(COUNTA(AT223:AV223)=0,AND(COUNTA(AT223:AV223)=3,ISNUMBER(AV223))),0,1)+IF(OR(COUNTA(AW223:AY223)=0,AND(COUNTA(AW223:AY223)=3,ISNUMBER(AY223))),0,1)+IF(OR(COUNTA(AZ223:BB223)=0,AND(COUNTA(AZ223:BB223)=3,ISNUMBER(BB223))),0,1))&gt;0,"; An invoice is incomplete (needs No, Date and a number in Ex GST)","")&amp;IF((IF(T223="",0,IFERROR(--(EOMONTH(T223,0)&lt;&gt;S$5),1))+IF(W223="",0,IFERROR(--(EOMONTH(W223,0)&lt;&gt;V$5),1))+IF(Z223="",0,IFERROR(--(EOMONTH(Z223,0)&lt;&gt;Y$5),1))+IF(AC223="",0,IFERROR(--(EOMONTH(AC223,0)&lt;&gt;AB$5),1))+IF(AF223="",0,IFERROR(--(EOMONTH(AF223,0)&lt;&gt;AE$5),1))+IF(AI223="",0,IFERROR(--(EOMONTH(AI223,0)&lt;&gt;AH$5),1))+IF(AL223="",0,IFERROR(--(EOMONTH(AL223,0)&lt;&gt;AK$5),1))+IF(AO223="",0,IFERROR(--(EOMONTH(AO223,0)&lt;&gt;AN$5),1))+IF(AR223="",0,IFERROR(--(EOMONTH(AR223,0)&lt;&gt;AQ$5),1))+IF(AU223="",0,IFERROR(--(EOMONTH(AU223,0)&lt;&gt;AT$5),1))+IF(AX223="",0,IFERROR(--(EOMONTH(AX223,0)&lt;&gt;AW$5),1))+IF(BA223="",0,IFERROR(--(EOMONTH(BA223,0)&lt;&gt;AZ$5),1)))&gt;0,"; An invoice date is not in the month it is typed under",""),3,500))</f>
        <v/>
      </c>
      <c r="S223" s="12" t="n"/>
      <c r="T223" s="13" t="n"/>
      <c r="U223" s="14" t="n"/>
      <c r="V223" s="12" t="n"/>
      <c r="W223" s="13" t="n"/>
      <c r="X223" s="14" t="n"/>
      <c r="Y223" s="12" t="n"/>
      <c r="Z223" s="13" t="n"/>
      <c r="AA223" s="14" t="n"/>
      <c r="AB223" s="12" t="n"/>
      <c r="AC223" s="13" t="n"/>
      <c r="AD223" s="14" t="n"/>
      <c r="AE223" s="12" t="n"/>
      <c r="AF223" s="13" t="n"/>
      <c r="AG223" s="14" t="n"/>
      <c r="AH223" s="12" t="n"/>
      <c r="AI223" s="13" t="n"/>
      <c r="AJ223" s="14" t="n"/>
      <c r="AK223" s="12" t="n"/>
      <c r="AL223" s="13" t="n"/>
      <c r="AM223" s="14" t="n"/>
      <c r="AN223" s="12" t="n"/>
      <c r="AO223" s="13" t="n"/>
      <c r="AP223" s="14" t="n"/>
      <c r="AQ223" s="12" t="n"/>
      <c r="AR223" s="13" t="n"/>
      <c r="AS223" s="14" t="n"/>
      <c r="AT223" s="12" t="n"/>
      <c r="AU223" s="13" t="n"/>
      <c r="AV223" s="14" t="n"/>
      <c r="AW223" s="12" t="n"/>
      <c r="AX223" s="13" t="n"/>
      <c r="AY223" s="14" t="n"/>
      <c r="AZ223" s="12" t="n"/>
      <c r="BA223" s="13" t="n"/>
      <c r="BB223" s="14" t="n"/>
      <c r="BC223" s="11">
        <f>IF(O223="","",IF(J223="GST 10%",ROUND(O223*set_GSTRate,2),0))</f>
        <v/>
      </c>
      <c r="BD223" s="11">
        <f>IF(O223="","",O223+BC223)</f>
        <v/>
      </c>
      <c r="BE223" s="15">
        <f>IF(O223="","",COUNTA(S223,V223,Y223,AB223,AE223,AH223,AK223,AN223,AQ223,AT223,AW223,AZ223))</f>
        <v/>
      </c>
      <c r="BF223" s="16">
        <f>IF(COUNT(T223,W223,Z223,AC223,AF223,AI223,AL223,AO223,AR223,AU223,AX223,BA223)=0,"",MAX(T223,W223,Z223,AC223,AF223,AI223,AL223,AO223,AR223,AU223,AX223,BA223))</f>
        <v/>
      </c>
      <c r="BG223" s="10">
        <f>MID(IF(S223="","",", "&amp;S223)&amp;IF(V223="","",", "&amp;V223)&amp;IF(Y223="","",", "&amp;Y223)&amp;IF(AB223="","",", "&amp;AB223)&amp;IF(AE223="","",", "&amp;AE223)&amp;IF(AH223="","",", "&amp;AH223)&amp;IF(AK223="","",", "&amp;AK223)&amp;IF(AN223="","",", "&amp;AN223)&amp;IF(AQ223="","",", "&amp;AQ223)&amp;IF(AT223="","",", "&amp;AT223)&amp;IF(AW223="","",", "&amp;AW223)&amp;IF(AZ223="","",", "&amp;AZ223),3,500)</f>
        <v/>
      </c>
      <c r="BH223" s="12" t="n"/>
      <c r="BI223" s="15">
        <f>IFERROR(MATCH($A223,IF($B223="Onsite",tbl_Onsite[Row ID],IF($B223="Production",tbl_Production[Row ID],tbl_Consulting[Row ID])),0),"")</f>
        <v/>
      </c>
    </row>
    <row r="224">
      <c r="A224" s="10" t="inlineStr">
        <is>
          <t>ONS-0218</t>
        </is>
      </c>
      <c r="B224" s="10" t="inlineStr">
        <is>
          <t>Onsite</t>
        </is>
      </c>
      <c r="C224" s="10">
        <f>IF($BI224="","",IF($B224="Onsite",INDEX(tbl_Onsite[Job Number],$BI224),IF($B224="Production",INDEX(tbl_Production[Job Number],$BI224),INDEX(tbl_Consulting[Job Number],$BI224)))&amp;"")</f>
        <v/>
      </c>
      <c r="D224" s="10">
        <f>IF($BI224="","",IF($B224="Onsite",INDEX(tbl_Onsite[Client],$BI224),IF($B224="Production",INDEX(tbl_Production[Client],$BI224),INDEX(tbl_Consulting[Client],$BI224)))&amp;"")</f>
        <v/>
      </c>
      <c r="E224" s="10">
        <f>IF($C224="","",IF(COUNTIF(lst_Jobs,$C224)&gt;0,"OK","CHECK"))</f>
        <v/>
      </c>
      <c r="F224" s="10">
        <f>IF($C224="","",IFERROR(INDEX(lst_JobName,MATCH($C224,lst_Jobs,0)),""))</f>
        <v/>
      </c>
      <c r="G224" s="10">
        <f>IF($BI224="","",IF($B224="Onsite",INDEX(tbl_Onsite[Job Description],$BI224),IF($B224="Production",INDEX(tbl_Production[Job Description],$BI224),INDEX(tbl_Consulting[Job Description],$BI224)))&amp;"")</f>
        <v/>
      </c>
      <c r="H224" s="10">
        <f>IF($BI224="","",IF($B224="Onsite",INDEX(tbl_Onsite[Cost Centre],$BI224),IF($B224="Production",INDEX(tbl_Production[Cost Centre],$BI224),INDEX(tbl_Consulting[Cost Centre],$BI224)))&amp;"")</f>
        <v/>
      </c>
      <c r="I224" s="10">
        <f>IF($BI224="","",IF($B224="Onsite",INDEX(tbl_Onsite[Invoice Type],$BI224),IF($B224="Production",INDEX(tbl_Production[Invoice Type],$BI224),INDEX(tbl_Consulting[Invoice Type],$BI224)))&amp;"")</f>
        <v/>
      </c>
      <c r="J224" s="10">
        <f>IF($BI224="","",IF($B224="Onsite",INDEX(tbl_Onsite[Tax Code],$BI224),IF($B224="Production",INDEX(tbl_Production[Tax Code],$BI224),INDEX(tbl_Consulting[Tax Code],$BI224)))&amp;"")</f>
        <v/>
      </c>
      <c r="K224" s="10">
        <f>IF(H224="","",IFERROR(INDEX(lst_CCtoGL,MATCH(H224,lst_CCforGL,0)),""))</f>
        <v/>
      </c>
      <c r="L224" s="10">
        <f>IF($BI224="","",IF($B224="Onsite",INDEX(tbl_Onsite[PO / Reference],$BI224),IF($B224="Production",INDEX(tbl_Production[Current RMS No],$BI224),INDEX(tbl_Consulting[Qwilr Quote],$BI224)))&amp;"")</f>
        <v/>
      </c>
      <c r="M224" s="10">
        <f>IF($BI224="","",IF($B224="Onsite",INDEX(tbl_Onsite[Notes],$BI224),IF($B224="Production",INDEX(tbl_Production[Notes],$BI224),INDEX(tbl_Consulting[Notes],$BI224)))&amp;"")</f>
        <v/>
      </c>
      <c r="N224" s="11">
        <f>IF($BI224="","",IF(IF($B224="Onsite",INDEX(tbl_Onsite[Expected Revenue Ex GST],$BI224),IF($B224="Production",INDEX(tbl_Production[Expected Revenue Ex GST],$BI224),INDEX(tbl_Consulting[Expected Revenue Ex GST],$BI224)))="","",IF($B224="Onsite",INDEX(tbl_Onsite[Expected Revenue Ex GST],$BI224),IF($B224="Production",INDEX(tbl_Production[Expected Revenue Ex GST],$BI224),INDEX(tbl_Consulting[Expected Revenue Ex GST],$BI224)))))</f>
        <v/>
      </c>
      <c r="O224" s="11">
        <f>IF(AND($C224="",NOT(COUNTA($S224:$BB224)&gt;0)),"",SUM(U224,X224,AA224,AD224,AG224,AJ224,AM224,AP224,AS224,AV224,AY224,BB224))</f>
        <v/>
      </c>
      <c r="P224" s="11">
        <f>IF(O224="","",N(N224)-O224)</f>
        <v/>
      </c>
      <c r="Q224" s="10">
        <f>IF(O224="","",IF($C224="","Invoice on empty job row",IF(N224="",IF(ROUND(O224,2)=0,"No dept value","Invoiced - no dept value"),IF(ROUND(O224,2)=0,"Not invoiced - to invoice",IF(ROUND(P224,2)=0,"Agrees",IF(P224&gt;0,"Dept higher - to invoice","Xero higher - check dept"))))))</f>
        <v/>
      </c>
      <c r="R224" s="10">
        <f>IF(AND($C224="",NOT(COUNTA($S224:$BB224)&gt;0),$BI224&lt;&gt;""),"",MID(IF($BI224="","; Row ID not found on the department sheet - a row was deleted","")&amp;IF(AND($C224="",COUNTA($S224:$BB224)&gt;0),"; Invoice entered but the department row has no job number","")&amp;IF(E224="CHECK","; Job number not in the Xero job list","")&amp;IF(AND($C224&lt;&gt;"",COUNTIF($C$7:$C$1506,$C224)&gt;1),"; Job number on more than one row","")&amp;IF(AND($C224&lt;&gt;"",H224=""),"; Dept has not set a cost centre","")&amp;IF(AND($C224&lt;&gt;"",J224=""),"; Dept has not set a tax code","")&amp;IF(AND($C224&lt;&gt;"",N224=""),"; Dept has not entered an expected value","")&amp;IF((IF(OR(COUNTA(S224:U224)=0,AND(COUNTA(S224:U224)=3,ISNUMBER(U224))),0,1)+IF(OR(COUNTA(V224:X224)=0,AND(COUNTA(V224:X224)=3,ISNUMBER(X224))),0,1)+IF(OR(COUNTA(Y224:AA224)=0,AND(COUNTA(Y224:AA224)=3,ISNUMBER(AA224))),0,1)+IF(OR(COUNTA(AB224:AD224)=0,AND(COUNTA(AB224:AD224)=3,ISNUMBER(AD224))),0,1)+IF(OR(COUNTA(AE224:AG224)=0,AND(COUNTA(AE224:AG224)=3,ISNUMBER(AG224))),0,1)+IF(OR(COUNTA(AH224:AJ224)=0,AND(COUNTA(AH224:AJ224)=3,ISNUMBER(AJ224))),0,1)+IF(OR(COUNTA(AK224:AM224)=0,AND(COUNTA(AK224:AM224)=3,ISNUMBER(AM224))),0,1)+IF(OR(COUNTA(AN224:AP224)=0,AND(COUNTA(AN224:AP224)=3,ISNUMBER(AP224))),0,1)+IF(OR(COUNTA(AQ224:AS224)=0,AND(COUNTA(AQ224:AS224)=3,ISNUMBER(AS224))),0,1)+IF(OR(COUNTA(AT224:AV224)=0,AND(COUNTA(AT224:AV224)=3,ISNUMBER(AV224))),0,1)+IF(OR(COUNTA(AW224:AY224)=0,AND(COUNTA(AW224:AY224)=3,ISNUMBER(AY224))),0,1)+IF(OR(COUNTA(AZ224:BB224)=0,AND(COUNTA(AZ224:BB224)=3,ISNUMBER(BB224))),0,1))&gt;0,"; An invoice is incomplete (needs No, Date and a number in Ex GST)","")&amp;IF((IF(T224="",0,IFERROR(--(EOMONTH(T224,0)&lt;&gt;S$5),1))+IF(W224="",0,IFERROR(--(EOMONTH(W224,0)&lt;&gt;V$5),1))+IF(Z224="",0,IFERROR(--(EOMONTH(Z224,0)&lt;&gt;Y$5),1))+IF(AC224="",0,IFERROR(--(EOMONTH(AC224,0)&lt;&gt;AB$5),1))+IF(AF224="",0,IFERROR(--(EOMONTH(AF224,0)&lt;&gt;AE$5),1))+IF(AI224="",0,IFERROR(--(EOMONTH(AI224,0)&lt;&gt;AH$5),1))+IF(AL224="",0,IFERROR(--(EOMONTH(AL224,0)&lt;&gt;AK$5),1))+IF(AO224="",0,IFERROR(--(EOMONTH(AO224,0)&lt;&gt;AN$5),1))+IF(AR224="",0,IFERROR(--(EOMONTH(AR224,0)&lt;&gt;AQ$5),1))+IF(AU224="",0,IFERROR(--(EOMONTH(AU224,0)&lt;&gt;AT$5),1))+IF(AX224="",0,IFERROR(--(EOMONTH(AX224,0)&lt;&gt;AW$5),1))+IF(BA224="",0,IFERROR(--(EOMONTH(BA224,0)&lt;&gt;AZ$5),1)))&gt;0,"; An invoice date is not in the month it is typed under",""),3,500))</f>
        <v/>
      </c>
      <c r="S224" s="12" t="n"/>
      <c r="T224" s="13" t="n"/>
      <c r="U224" s="14" t="n"/>
      <c r="V224" s="12" t="n"/>
      <c r="W224" s="13" t="n"/>
      <c r="X224" s="14" t="n"/>
      <c r="Y224" s="12" t="n"/>
      <c r="Z224" s="13" t="n"/>
      <c r="AA224" s="14" t="n"/>
      <c r="AB224" s="12" t="n"/>
      <c r="AC224" s="13" t="n"/>
      <c r="AD224" s="14" t="n"/>
      <c r="AE224" s="12" t="n"/>
      <c r="AF224" s="13" t="n"/>
      <c r="AG224" s="14" t="n"/>
      <c r="AH224" s="12" t="n"/>
      <c r="AI224" s="13" t="n"/>
      <c r="AJ224" s="14" t="n"/>
      <c r="AK224" s="12" t="n"/>
      <c r="AL224" s="13" t="n"/>
      <c r="AM224" s="14" t="n"/>
      <c r="AN224" s="12" t="n"/>
      <c r="AO224" s="13" t="n"/>
      <c r="AP224" s="14" t="n"/>
      <c r="AQ224" s="12" t="n"/>
      <c r="AR224" s="13" t="n"/>
      <c r="AS224" s="14" t="n"/>
      <c r="AT224" s="12" t="n"/>
      <c r="AU224" s="13" t="n"/>
      <c r="AV224" s="14" t="n"/>
      <c r="AW224" s="12" t="n"/>
      <c r="AX224" s="13" t="n"/>
      <c r="AY224" s="14" t="n"/>
      <c r="AZ224" s="12" t="n"/>
      <c r="BA224" s="13" t="n"/>
      <c r="BB224" s="14" t="n"/>
      <c r="BC224" s="11">
        <f>IF(O224="","",IF(J224="GST 10%",ROUND(O224*set_GSTRate,2),0))</f>
        <v/>
      </c>
      <c r="BD224" s="11">
        <f>IF(O224="","",O224+BC224)</f>
        <v/>
      </c>
      <c r="BE224" s="15">
        <f>IF(O224="","",COUNTA(S224,V224,Y224,AB224,AE224,AH224,AK224,AN224,AQ224,AT224,AW224,AZ224))</f>
        <v/>
      </c>
      <c r="BF224" s="16">
        <f>IF(COUNT(T224,W224,Z224,AC224,AF224,AI224,AL224,AO224,AR224,AU224,AX224,BA224)=0,"",MAX(T224,W224,Z224,AC224,AF224,AI224,AL224,AO224,AR224,AU224,AX224,BA224))</f>
        <v/>
      </c>
      <c r="BG224" s="10">
        <f>MID(IF(S224="","",", "&amp;S224)&amp;IF(V224="","",", "&amp;V224)&amp;IF(Y224="","",", "&amp;Y224)&amp;IF(AB224="","",", "&amp;AB224)&amp;IF(AE224="","",", "&amp;AE224)&amp;IF(AH224="","",", "&amp;AH224)&amp;IF(AK224="","",", "&amp;AK224)&amp;IF(AN224="","",", "&amp;AN224)&amp;IF(AQ224="","",", "&amp;AQ224)&amp;IF(AT224="","",", "&amp;AT224)&amp;IF(AW224="","",", "&amp;AW224)&amp;IF(AZ224="","",", "&amp;AZ224),3,500)</f>
        <v/>
      </c>
      <c r="BH224" s="12" t="n"/>
      <c r="BI224" s="15">
        <f>IFERROR(MATCH($A224,IF($B224="Onsite",tbl_Onsite[Row ID],IF($B224="Production",tbl_Production[Row ID],tbl_Consulting[Row ID])),0),"")</f>
        <v/>
      </c>
    </row>
    <row r="225">
      <c r="A225" s="10" t="inlineStr">
        <is>
          <t>ONS-0219</t>
        </is>
      </c>
      <c r="B225" s="10" t="inlineStr">
        <is>
          <t>Onsite</t>
        </is>
      </c>
      <c r="C225" s="10">
        <f>IF($BI225="","",IF($B225="Onsite",INDEX(tbl_Onsite[Job Number],$BI225),IF($B225="Production",INDEX(tbl_Production[Job Number],$BI225),INDEX(tbl_Consulting[Job Number],$BI225)))&amp;"")</f>
        <v/>
      </c>
      <c r="D225" s="10">
        <f>IF($BI225="","",IF($B225="Onsite",INDEX(tbl_Onsite[Client],$BI225),IF($B225="Production",INDEX(tbl_Production[Client],$BI225),INDEX(tbl_Consulting[Client],$BI225)))&amp;"")</f>
        <v/>
      </c>
      <c r="E225" s="10">
        <f>IF($C225="","",IF(COUNTIF(lst_Jobs,$C225)&gt;0,"OK","CHECK"))</f>
        <v/>
      </c>
      <c r="F225" s="10">
        <f>IF($C225="","",IFERROR(INDEX(lst_JobName,MATCH($C225,lst_Jobs,0)),""))</f>
        <v/>
      </c>
      <c r="G225" s="10">
        <f>IF($BI225="","",IF($B225="Onsite",INDEX(tbl_Onsite[Job Description],$BI225),IF($B225="Production",INDEX(tbl_Production[Job Description],$BI225),INDEX(tbl_Consulting[Job Description],$BI225)))&amp;"")</f>
        <v/>
      </c>
      <c r="H225" s="10">
        <f>IF($BI225="","",IF($B225="Onsite",INDEX(tbl_Onsite[Cost Centre],$BI225),IF($B225="Production",INDEX(tbl_Production[Cost Centre],$BI225),INDEX(tbl_Consulting[Cost Centre],$BI225)))&amp;"")</f>
        <v/>
      </c>
      <c r="I225" s="10">
        <f>IF($BI225="","",IF($B225="Onsite",INDEX(tbl_Onsite[Invoice Type],$BI225),IF($B225="Production",INDEX(tbl_Production[Invoice Type],$BI225),INDEX(tbl_Consulting[Invoice Type],$BI225)))&amp;"")</f>
        <v/>
      </c>
      <c r="J225" s="10">
        <f>IF($BI225="","",IF($B225="Onsite",INDEX(tbl_Onsite[Tax Code],$BI225),IF($B225="Production",INDEX(tbl_Production[Tax Code],$BI225),INDEX(tbl_Consulting[Tax Code],$BI225)))&amp;"")</f>
        <v/>
      </c>
      <c r="K225" s="10">
        <f>IF(H225="","",IFERROR(INDEX(lst_CCtoGL,MATCH(H225,lst_CCforGL,0)),""))</f>
        <v/>
      </c>
      <c r="L225" s="10">
        <f>IF($BI225="","",IF($B225="Onsite",INDEX(tbl_Onsite[PO / Reference],$BI225),IF($B225="Production",INDEX(tbl_Production[Current RMS No],$BI225),INDEX(tbl_Consulting[Qwilr Quote],$BI225)))&amp;"")</f>
        <v/>
      </c>
      <c r="M225" s="10">
        <f>IF($BI225="","",IF($B225="Onsite",INDEX(tbl_Onsite[Notes],$BI225),IF($B225="Production",INDEX(tbl_Production[Notes],$BI225),INDEX(tbl_Consulting[Notes],$BI225)))&amp;"")</f>
        <v/>
      </c>
      <c r="N225" s="11">
        <f>IF($BI225="","",IF(IF($B225="Onsite",INDEX(tbl_Onsite[Expected Revenue Ex GST],$BI225),IF($B225="Production",INDEX(tbl_Production[Expected Revenue Ex GST],$BI225),INDEX(tbl_Consulting[Expected Revenue Ex GST],$BI225)))="","",IF($B225="Onsite",INDEX(tbl_Onsite[Expected Revenue Ex GST],$BI225),IF($B225="Production",INDEX(tbl_Production[Expected Revenue Ex GST],$BI225),INDEX(tbl_Consulting[Expected Revenue Ex GST],$BI225)))))</f>
        <v/>
      </c>
      <c r="O225" s="11">
        <f>IF(AND($C225="",NOT(COUNTA($S225:$BB225)&gt;0)),"",SUM(U225,X225,AA225,AD225,AG225,AJ225,AM225,AP225,AS225,AV225,AY225,BB225))</f>
        <v/>
      </c>
      <c r="P225" s="11">
        <f>IF(O225="","",N(N225)-O225)</f>
        <v/>
      </c>
      <c r="Q225" s="10">
        <f>IF(O225="","",IF($C225="","Invoice on empty job row",IF(N225="",IF(ROUND(O225,2)=0,"No dept value","Invoiced - no dept value"),IF(ROUND(O225,2)=0,"Not invoiced - to invoice",IF(ROUND(P225,2)=0,"Agrees",IF(P225&gt;0,"Dept higher - to invoice","Xero higher - check dept"))))))</f>
        <v/>
      </c>
      <c r="R225" s="10">
        <f>IF(AND($C225="",NOT(COUNTA($S225:$BB225)&gt;0),$BI225&lt;&gt;""),"",MID(IF($BI225="","; Row ID not found on the department sheet - a row was deleted","")&amp;IF(AND($C225="",COUNTA($S225:$BB225)&gt;0),"; Invoice entered but the department row has no job number","")&amp;IF(E225="CHECK","; Job number not in the Xero job list","")&amp;IF(AND($C225&lt;&gt;"",COUNTIF($C$7:$C$1506,$C225)&gt;1),"; Job number on more than one row","")&amp;IF(AND($C225&lt;&gt;"",H225=""),"; Dept has not set a cost centre","")&amp;IF(AND($C225&lt;&gt;"",J225=""),"; Dept has not set a tax code","")&amp;IF(AND($C225&lt;&gt;"",N225=""),"; Dept has not entered an expected value","")&amp;IF((IF(OR(COUNTA(S225:U225)=0,AND(COUNTA(S225:U225)=3,ISNUMBER(U225))),0,1)+IF(OR(COUNTA(V225:X225)=0,AND(COUNTA(V225:X225)=3,ISNUMBER(X225))),0,1)+IF(OR(COUNTA(Y225:AA225)=0,AND(COUNTA(Y225:AA225)=3,ISNUMBER(AA225))),0,1)+IF(OR(COUNTA(AB225:AD225)=0,AND(COUNTA(AB225:AD225)=3,ISNUMBER(AD225))),0,1)+IF(OR(COUNTA(AE225:AG225)=0,AND(COUNTA(AE225:AG225)=3,ISNUMBER(AG225))),0,1)+IF(OR(COUNTA(AH225:AJ225)=0,AND(COUNTA(AH225:AJ225)=3,ISNUMBER(AJ225))),0,1)+IF(OR(COUNTA(AK225:AM225)=0,AND(COUNTA(AK225:AM225)=3,ISNUMBER(AM225))),0,1)+IF(OR(COUNTA(AN225:AP225)=0,AND(COUNTA(AN225:AP225)=3,ISNUMBER(AP225))),0,1)+IF(OR(COUNTA(AQ225:AS225)=0,AND(COUNTA(AQ225:AS225)=3,ISNUMBER(AS225))),0,1)+IF(OR(COUNTA(AT225:AV225)=0,AND(COUNTA(AT225:AV225)=3,ISNUMBER(AV225))),0,1)+IF(OR(COUNTA(AW225:AY225)=0,AND(COUNTA(AW225:AY225)=3,ISNUMBER(AY225))),0,1)+IF(OR(COUNTA(AZ225:BB225)=0,AND(COUNTA(AZ225:BB225)=3,ISNUMBER(BB225))),0,1))&gt;0,"; An invoice is incomplete (needs No, Date and a number in Ex GST)","")&amp;IF((IF(T225="",0,IFERROR(--(EOMONTH(T225,0)&lt;&gt;S$5),1))+IF(W225="",0,IFERROR(--(EOMONTH(W225,0)&lt;&gt;V$5),1))+IF(Z225="",0,IFERROR(--(EOMONTH(Z225,0)&lt;&gt;Y$5),1))+IF(AC225="",0,IFERROR(--(EOMONTH(AC225,0)&lt;&gt;AB$5),1))+IF(AF225="",0,IFERROR(--(EOMONTH(AF225,0)&lt;&gt;AE$5),1))+IF(AI225="",0,IFERROR(--(EOMONTH(AI225,0)&lt;&gt;AH$5),1))+IF(AL225="",0,IFERROR(--(EOMONTH(AL225,0)&lt;&gt;AK$5),1))+IF(AO225="",0,IFERROR(--(EOMONTH(AO225,0)&lt;&gt;AN$5),1))+IF(AR225="",0,IFERROR(--(EOMONTH(AR225,0)&lt;&gt;AQ$5),1))+IF(AU225="",0,IFERROR(--(EOMONTH(AU225,0)&lt;&gt;AT$5),1))+IF(AX225="",0,IFERROR(--(EOMONTH(AX225,0)&lt;&gt;AW$5),1))+IF(BA225="",0,IFERROR(--(EOMONTH(BA225,0)&lt;&gt;AZ$5),1)))&gt;0,"; An invoice date is not in the month it is typed under",""),3,500))</f>
        <v/>
      </c>
      <c r="S225" s="12" t="n"/>
      <c r="T225" s="13" t="n"/>
      <c r="U225" s="14" t="n"/>
      <c r="V225" s="12" t="n"/>
      <c r="W225" s="13" t="n"/>
      <c r="X225" s="14" t="n"/>
      <c r="Y225" s="12" t="n"/>
      <c r="Z225" s="13" t="n"/>
      <c r="AA225" s="14" t="n"/>
      <c r="AB225" s="12" t="n"/>
      <c r="AC225" s="13" t="n"/>
      <c r="AD225" s="14" t="n"/>
      <c r="AE225" s="12" t="n"/>
      <c r="AF225" s="13" t="n"/>
      <c r="AG225" s="14" t="n"/>
      <c r="AH225" s="12" t="n"/>
      <c r="AI225" s="13" t="n"/>
      <c r="AJ225" s="14" t="n"/>
      <c r="AK225" s="12" t="n"/>
      <c r="AL225" s="13" t="n"/>
      <c r="AM225" s="14" t="n"/>
      <c r="AN225" s="12" t="n"/>
      <c r="AO225" s="13" t="n"/>
      <c r="AP225" s="14" t="n"/>
      <c r="AQ225" s="12" t="n"/>
      <c r="AR225" s="13" t="n"/>
      <c r="AS225" s="14" t="n"/>
      <c r="AT225" s="12" t="n"/>
      <c r="AU225" s="13" t="n"/>
      <c r="AV225" s="14" t="n"/>
      <c r="AW225" s="12" t="n"/>
      <c r="AX225" s="13" t="n"/>
      <c r="AY225" s="14" t="n"/>
      <c r="AZ225" s="12" t="n"/>
      <c r="BA225" s="13" t="n"/>
      <c r="BB225" s="14" t="n"/>
      <c r="BC225" s="11">
        <f>IF(O225="","",IF(J225="GST 10%",ROUND(O225*set_GSTRate,2),0))</f>
        <v/>
      </c>
      <c r="BD225" s="11">
        <f>IF(O225="","",O225+BC225)</f>
        <v/>
      </c>
      <c r="BE225" s="15">
        <f>IF(O225="","",COUNTA(S225,V225,Y225,AB225,AE225,AH225,AK225,AN225,AQ225,AT225,AW225,AZ225))</f>
        <v/>
      </c>
      <c r="BF225" s="16">
        <f>IF(COUNT(T225,W225,Z225,AC225,AF225,AI225,AL225,AO225,AR225,AU225,AX225,BA225)=0,"",MAX(T225,W225,Z225,AC225,AF225,AI225,AL225,AO225,AR225,AU225,AX225,BA225))</f>
        <v/>
      </c>
      <c r="BG225" s="10">
        <f>MID(IF(S225="","",", "&amp;S225)&amp;IF(V225="","",", "&amp;V225)&amp;IF(Y225="","",", "&amp;Y225)&amp;IF(AB225="","",", "&amp;AB225)&amp;IF(AE225="","",", "&amp;AE225)&amp;IF(AH225="","",", "&amp;AH225)&amp;IF(AK225="","",", "&amp;AK225)&amp;IF(AN225="","",", "&amp;AN225)&amp;IF(AQ225="","",", "&amp;AQ225)&amp;IF(AT225="","",", "&amp;AT225)&amp;IF(AW225="","",", "&amp;AW225)&amp;IF(AZ225="","",", "&amp;AZ225),3,500)</f>
        <v/>
      </c>
      <c r="BH225" s="12" t="n"/>
      <c r="BI225" s="15">
        <f>IFERROR(MATCH($A225,IF($B225="Onsite",tbl_Onsite[Row ID],IF($B225="Production",tbl_Production[Row ID],tbl_Consulting[Row ID])),0),"")</f>
        <v/>
      </c>
    </row>
    <row r="226">
      <c r="A226" s="10" t="inlineStr">
        <is>
          <t>ONS-0220</t>
        </is>
      </c>
      <c r="B226" s="10" t="inlineStr">
        <is>
          <t>Onsite</t>
        </is>
      </c>
      <c r="C226" s="10">
        <f>IF($BI226="","",IF($B226="Onsite",INDEX(tbl_Onsite[Job Number],$BI226),IF($B226="Production",INDEX(tbl_Production[Job Number],$BI226),INDEX(tbl_Consulting[Job Number],$BI226)))&amp;"")</f>
        <v/>
      </c>
      <c r="D226" s="10">
        <f>IF($BI226="","",IF($B226="Onsite",INDEX(tbl_Onsite[Client],$BI226),IF($B226="Production",INDEX(tbl_Production[Client],$BI226),INDEX(tbl_Consulting[Client],$BI226)))&amp;"")</f>
        <v/>
      </c>
      <c r="E226" s="10">
        <f>IF($C226="","",IF(COUNTIF(lst_Jobs,$C226)&gt;0,"OK","CHECK"))</f>
        <v/>
      </c>
      <c r="F226" s="10">
        <f>IF($C226="","",IFERROR(INDEX(lst_JobName,MATCH($C226,lst_Jobs,0)),""))</f>
        <v/>
      </c>
      <c r="G226" s="10">
        <f>IF($BI226="","",IF($B226="Onsite",INDEX(tbl_Onsite[Job Description],$BI226),IF($B226="Production",INDEX(tbl_Production[Job Description],$BI226),INDEX(tbl_Consulting[Job Description],$BI226)))&amp;"")</f>
        <v/>
      </c>
      <c r="H226" s="10">
        <f>IF($BI226="","",IF($B226="Onsite",INDEX(tbl_Onsite[Cost Centre],$BI226),IF($B226="Production",INDEX(tbl_Production[Cost Centre],$BI226),INDEX(tbl_Consulting[Cost Centre],$BI226)))&amp;"")</f>
        <v/>
      </c>
      <c r="I226" s="10">
        <f>IF($BI226="","",IF($B226="Onsite",INDEX(tbl_Onsite[Invoice Type],$BI226),IF($B226="Production",INDEX(tbl_Production[Invoice Type],$BI226),INDEX(tbl_Consulting[Invoice Type],$BI226)))&amp;"")</f>
        <v/>
      </c>
      <c r="J226" s="10">
        <f>IF($BI226="","",IF($B226="Onsite",INDEX(tbl_Onsite[Tax Code],$BI226),IF($B226="Production",INDEX(tbl_Production[Tax Code],$BI226),INDEX(tbl_Consulting[Tax Code],$BI226)))&amp;"")</f>
        <v/>
      </c>
      <c r="K226" s="10">
        <f>IF(H226="","",IFERROR(INDEX(lst_CCtoGL,MATCH(H226,lst_CCforGL,0)),""))</f>
        <v/>
      </c>
      <c r="L226" s="10">
        <f>IF($BI226="","",IF($B226="Onsite",INDEX(tbl_Onsite[PO / Reference],$BI226),IF($B226="Production",INDEX(tbl_Production[Current RMS No],$BI226),INDEX(tbl_Consulting[Qwilr Quote],$BI226)))&amp;"")</f>
        <v/>
      </c>
      <c r="M226" s="10">
        <f>IF($BI226="","",IF($B226="Onsite",INDEX(tbl_Onsite[Notes],$BI226),IF($B226="Production",INDEX(tbl_Production[Notes],$BI226),INDEX(tbl_Consulting[Notes],$BI226)))&amp;"")</f>
        <v/>
      </c>
      <c r="N226" s="11">
        <f>IF($BI226="","",IF(IF($B226="Onsite",INDEX(tbl_Onsite[Expected Revenue Ex GST],$BI226),IF($B226="Production",INDEX(tbl_Production[Expected Revenue Ex GST],$BI226),INDEX(tbl_Consulting[Expected Revenue Ex GST],$BI226)))="","",IF($B226="Onsite",INDEX(tbl_Onsite[Expected Revenue Ex GST],$BI226),IF($B226="Production",INDEX(tbl_Production[Expected Revenue Ex GST],$BI226),INDEX(tbl_Consulting[Expected Revenue Ex GST],$BI226)))))</f>
        <v/>
      </c>
      <c r="O226" s="11">
        <f>IF(AND($C226="",NOT(COUNTA($S226:$BB226)&gt;0)),"",SUM(U226,X226,AA226,AD226,AG226,AJ226,AM226,AP226,AS226,AV226,AY226,BB226))</f>
        <v/>
      </c>
      <c r="P226" s="11">
        <f>IF(O226="","",N(N226)-O226)</f>
        <v/>
      </c>
      <c r="Q226" s="10">
        <f>IF(O226="","",IF($C226="","Invoice on empty job row",IF(N226="",IF(ROUND(O226,2)=0,"No dept value","Invoiced - no dept value"),IF(ROUND(O226,2)=0,"Not invoiced - to invoice",IF(ROUND(P226,2)=0,"Agrees",IF(P226&gt;0,"Dept higher - to invoice","Xero higher - check dept"))))))</f>
        <v/>
      </c>
      <c r="R226" s="10">
        <f>IF(AND($C226="",NOT(COUNTA($S226:$BB226)&gt;0),$BI226&lt;&gt;""),"",MID(IF($BI226="","; Row ID not found on the department sheet - a row was deleted","")&amp;IF(AND($C226="",COUNTA($S226:$BB226)&gt;0),"; Invoice entered but the department row has no job number","")&amp;IF(E226="CHECK","; Job number not in the Xero job list","")&amp;IF(AND($C226&lt;&gt;"",COUNTIF($C$7:$C$1506,$C226)&gt;1),"; Job number on more than one row","")&amp;IF(AND($C226&lt;&gt;"",H226=""),"; Dept has not set a cost centre","")&amp;IF(AND($C226&lt;&gt;"",J226=""),"; Dept has not set a tax code","")&amp;IF(AND($C226&lt;&gt;"",N226=""),"; Dept has not entered an expected value","")&amp;IF((IF(OR(COUNTA(S226:U226)=0,AND(COUNTA(S226:U226)=3,ISNUMBER(U226))),0,1)+IF(OR(COUNTA(V226:X226)=0,AND(COUNTA(V226:X226)=3,ISNUMBER(X226))),0,1)+IF(OR(COUNTA(Y226:AA226)=0,AND(COUNTA(Y226:AA226)=3,ISNUMBER(AA226))),0,1)+IF(OR(COUNTA(AB226:AD226)=0,AND(COUNTA(AB226:AD226)=3,ISNUMBER(AD226))),0,1)+IF(OR(COUNTA(AE226:AG226)=0,AND(COUNTA(AE226:AG226)=3,ISNUMBER(AG226))),0,1)+IF(OR(COUNTA(AH226:AJ226)=0,AND(COUNTA(AH226:AJ226)=3,ISNUMBER(AJ226))),0,1)+IF(OR(COUNTA(AK226:AM226)=0,AND(COUNTA(AK226:AM226)=3,ISNUMBER(AM226))),0,1)+IF(OR(COUNTA(AN226:AP226)=0,AND(COUNTA(AN226:AP226)=3,ISNUMBER(AP226))),0,1)+IF(OR(COUNTA(AQ226:AS226)=0,AND(COUNTA(AQ226:AS226)=3,ISNUMBER(AS226))),0,1)+IF(OR(COUNTA(AT226:AV226)=0,AND(COUNTA(AT226:AV226)=3,ISNUMBER(AV226))),0,1)+IF(OR(COUNTA(AW226:AY226)=0,AND(COUNTA(AW226:AY226)=3,ISNUMBER(AY226))),0,1)+IF(OR(COUNTA(AZ226:BB226)=0,AND(COUNTA(AZ226:BB226)=3,ISNUMBER(BB226))),0,1))&gt;0,"; An invoice is incomplete (needs No, Date and a number in Ex GST)","")&amp;IF((IF(T226="",0,IFERROR(--(EOMONTH(T226,0)&lt;&gt;S$5),1))+IF(W226="",0,IFERROR(--(EOMONTH(W226,0)&lt;&gt;V$5),1))+IF(Z226="",0,IFERROR(--(EOMONTH(Z226,0)&lt;&gt;Y$5),1))+IF(AC226="",0,IFERROR(--(EOMONTH(AC226,0)&lt;&gt;AB$5),1))+IF(AF226="",0,IFERROR(--(EOMONTH(AF226,0)&lt;&gt;AE$5),1))+IF(AI226="",0,IFERROR(--(EOMONTH(AI226,0)&lt;&gt;AH$5),1))+IF(AL226="",0,IFERROR(--(EOMONTH(AL226,0)&lt;&gt;AK$5),1))+IF(AO226="",0,IFERROR(--(EOMONTH(AO226,0)&lt;&gt;AN$5),1))+IF(AR226="",0,IFERROR(--(EOMONTH(AR226,0)&lt;&gt;AQ$5),1))+IF(AU226="",0,IFERROR(--(EOMONTH(AU226,0)&lt;&gt;AT$5),1))+IF(AX226="",0,IFERROR(--(EOMONTH(AX226,0)&lt;&gt;AW$5),1))+IF(BA226="",0,IFERROR(--(EOMONTH(BA226,0)&lt;&gt;AZ$5),1)))&gt;0,"; An invoice date is not in the month it is typed under",""),3,500))</f>
        <v/>
      </c>
      <c r="S226" s="12" t="n"/>
      <c r="T226" s="13" t="n"/>
      <c r="U226" s="14" t="n"/>
      <c r="V226" s="12" t="n"/>
      <c r="W226" s="13" t="n"/>
      <c r="X226" s="14" t="n"/>
      <c r="Y226" s="12" t="n"/>
      <c r="Z226" s="13" t="n"/>
      <c r="AA226" s="14" t="n"/>
      <c r="AB226" s="12" t="n"/>
      <c r="AC226" s="13" t="n"/>
      <c r="AD226" s="14" t="n"/>
      <c r="AE226" s="12" t="n"/>
      <c r="AF226" s="13" t="n"/>
      <c r="AG226" s="14" t="n"/>
      <c r="AH226" s="12" t="n"/>
      <c r="AI226" s="13" t="n"/>
      <c r="AJ226" s="14" t="n"/>
      <c r="AK226" s="12" t="n"/>
      <c r="AL226" s="13" t="n"/>
      <c r="AM226" s="14" t="n"/>
      <c r="AN226" s="12" t="n"/>
      <c r="AO226" s="13" t="n"/>
      <c r="AP226" s="14" t="n"/>
      <c r="AQ226" s="12" t="n"/>
      <c r="AR226" s="13" t="n"/>
      <c r="AS226" s="14" t="n"/>
      <c r="AT226" s="12" t="n"/>
      <c r="AU226" s="13" t="n"/>
      <c r="AV226" s="14" t="n"/>
      <c r="AW226" s="12" t="n"/>
      <c r="AX226" s="13" t="n"/>
      <c r="AY226" s="14" t="n"/>
      <c r="AZ226" s="12" t="n"/>
      <c r="BA226" s="13" t="n"/>
      <c r="BB226" s="14" t="n"/>
      <c r="BC226" s="11">
        <f>IF(O226="","",IF(J226="GST 10%",ROUND(O226*set_GSTRate,2),0))</f>
        <v/>
      </c>
      <c r="BD226" s="11">
        <f>IF(O226="","",O226+BC226)</f>
        <v/>
      </c>
      <c r="BE226" s="15">
        <f>IF(O226="","",COUNTA(S226,V226,Y226,AB226,AE226,AH226,AK226,AN226,AQ226,AT226,AW226,AZ226))</f>
        <v/>
      </c>
      <c r="BF226" s="16">
        <f>IF(COUNT(T226,W226,Z226,AC226,AF226,AI226,AL226,AO226,AR226,AU226,AX226,BA226)=0,"",MAX(T226,W226,Z226,AC226,AF226,AI226,AL226,AO226,AR226,AU226,AX226,BA226))</f>
        <v/>
      </c>
      <c r="BG226" s="10">
        <f>MID(IF(S226="","",", "&amp;S226)&amp;IF(V226="","",", "&amp;V226)&amp;IF(Y226="","",", "&amp;Y226)&amp;IF(AB226="","",", "&amp;AB226)&amp;IF(AE226="","",", "&amp;AE226)&amp;IF(AH226="","",", "&amp;AH226)&amp;IF(AK226="","",", "&amp;AK226)&amp;IF(AN226="","",", "&amp;AN226)&amp;IF(AQ226="","",", "&amp;AQ226)&amp;IF(AT226="","",", "&amp;AT226)&amp;IF(AW226="","",", "&amp;AW226)&amp;IF(AZ226="","",", "&amp;AZ226),3,500)</f>
        <v/>
      </c>
      <c r="BH226" s="12" t="n"/>
      <c r="BI226" s="15">
        <f>IFERROR(MATCH($A226,IF($B226="Onsite",tbl_Onsite[Row ID],IF($B226="Production",tbl_Production[Row ID],tbl_Consulting[Row ID])),0),"")</f>
        <v/>
      </c>
    </row>
    <row r="227">
      <c r="A227" s="10" t="inlineStr">
        <is>
          <t>ONS-0221</t>
        </is>
      </c>
      <c r="B227" s="10" t="inlineStr">
        <is>
          <t>Onsite</t>
        </is>
      </c>
      <c r="C227" s="10">
        <f>IF($BI227="","",IF($B227="Onsite",INDEX(tbl_Onsite[Job Number],$BI227),IF($B227="Production",INDEX(tbl_Production[Job Number],$BI227),INDEX(tbl_Consulting[Job Number],$BI227)))&amp;"")</f>
        <v/>
      </c>
      <c r="D227" s="10">
        <f>IF($BI227="","",IF($B227="Onsite",INDEX(tbl_Onsite[Client],$BI227),IF($B227="Production",INDEX(tbl_Production[Client],$BI227),INDEX(tbl_Consulting[Client],$BI227)))&amp;"")</f>
        <v/>
      </c>
      <c r="E227" s="10">
        <f>IF($C227="","",IF(COUNTIF(lst_Jobs,$C227)&gt;0,"OK","CHECK"))</f>
        <v/>
      </c>
      <c r="F227" s="10">
        <f>IF($C227="","",IFERROR(INDEX(lst_JobName,MATCH($C227,lst_Jobs,0)),""))</f>
        <v/>
      </c>
      <c r="G227" s="10">
        <f>IF($BI227="","",IF($B227="Onsite",INDEX(tbl_Onsite[Job Description],$BI227),IF($B227="Production",INDEX(tbl_Production[Job Description],$BI227),INDEX(tbl_Consulting[Job Description],$BI227)))&amp;"")</f>
        <v/>
      </c>
      <c r="H227" s="10">
        <f>IF($BI227="","",IF($B227="Onsite",INDEX(tbl_Onsite[Cost Centre],$BI227),IF($B227="Production",INDEX(tbl_Production[Cost Centre],$BI227),INDEX(tbl_Consulting[Cost Centre],$BI227)))&amp;"")</f>
        <v/>
      </c>
      <c r="I227" s="10">
        <f>IF($BI227="","",IF($B227="Onsite",INDEX(tbl_Onsite[Invoice Type],$BI227),IF($B227="Production",INDEX(tbl_Production[Invoice Type],$BI227),INDEX(tbl_Consulting[Invoice Type],$BI227)))&amp;"")</f>
        <v/>
      </c>
      <c r="J227" s="10">
        <f>IF($BI227="","",IF($B227="Onsite",INDEX(tbl_Onsite[Tax Code],$BI227),IF($B227="Production",INDEX(tbl_Production[Tax Code],$BI227),INDEX(tbl_Consulting[Tax Code],$BI227)))&amp;"")</f>
        <v/>
      </c>
      <c r="K227" s="10">
        <f>IF(H227="","",IFERROR(INDEX(lst_CCtoGL,MATCH(H227,lst_CCforGL,0)),""))</f>
        <v/>
      </c>
      <c r="L227" s="10">
        <f>IF($BI227="","",IF($B227="Onsite",INDEX(tbl_Onsite[PO / Reference],$BI227),IF($B227="Production",INDEX(tbl_Production[Current RMS No],$BI227),INDEX(tbl_Consulting[Qwilr Quote],$BI227)))&amp;"")</f>
        <v/>
      </c>
      <c r="M227" s="10">
        <f>IF($BI227="","",IF($B227="Onsite",INDEX(tbl_Onsite[Notes],$BI227),IF($B227="Production",INDEX(tbl_Production[Notes],$BI227),INDEX(tbl_Consulting[Notes],$BI227)))&amp;"")</f>
        <v/>
      </c>
      <c r="N227" s="11">
        <f>IF($BI227="","",IF(IF($B227="Onsite",INDEX(tbl_Onsite[Expected Revenue Ex GST],$BI227),IF($B227="Production",INDEX(tbl_Production[Expected Revenue Ex GST],$BI227),INDEX(tbl_Consulting[Expected Revenue Ex GST],$BI227)))="","",IF($B227="Onsite",INDEX(tbl_Onsite[Expected Revenue Ex GST],$BI227),IF($B227="Production",INDEX(tbl_Production[Expected Revenue Ex GST],$BI227),INDEX(tbl_Consulting[Expected Revenue Ex GST],$BI227)))))</f>
        <v/>
      </c>
      <c r="O227" s="11">
        <f>IF(AND($C227="",NOT(COUNTA($S227:$BB227)&gt;0)),"",SUM(U227,X227,AA227,AD227,AG227,AJ227,AM227,AP227,AS227,AV227,AY227,BB227))</f>
        <v/>
      </c>
      <c r="P227" s="11">
        <f>IF(O227="","",N(N227)-O227)</f>
        <v/>
      </c>
      <c r="Q227" s="10">
        <f>IF(O227="","",IF($C227="","Invoice on empty job row",IF(N227="",IF(ROUND(O227,2)=0,"No dept value","Invoiced - no dept value"),IF(ROUND(O227,2)=0,"Not invoiced - to invoice",IF(ROUND(P227,2)=0,"Agrees",IF(P227&gt;0,"Dept higher - to invoice","Xero higher - check dept"))))))</f>
        <v/>
      </c>
      <c r="R227" s="10">
        <f>IF(AND($C227="",NOT(COUNTA($S227:$BB227)&gt;0),$BI227&lt;&gt;""),"",MID(IF($BI227="","; Row ID not found on the department sheet - a row was deleted","")&amp;IF(AND($C227="",COUNTA($S227:$BB227)&gt;0),"; Invoice entered but the department row has no job number","")&amp;IF(E227="CHECK","; Job number not in the Xero job list","")&amp;IF(AND($C227&lt;&gt;"",COUNTIF($C$7:$C$1506,$C227)&gt;1),"; Job number on more than one row","")&amp;IF(AND($C227&lt;&gt;"",H227=""),"; Dept has not set a cost centre","")&amp;IF(AND($C227&lt;&gt;"",J227=""),"; Dept has not set a tax code","")&amp;IF(AND($C227&lt;&gt;"",N227=""),"; Dept has not entered an expected value","")&amp;IF((IF(OR(COUNTA(S227:U227)=0,AND(COUNTA(S227:U227)=3,ISNUMBER(U227))),0,1)+IF(OR(COUNTA(V227:X227)=0,AND(COUNTA(V227:X227)=3,ISNUMBER(X227))),0,1)+IF(OR(COUNTA(Y227:AA227)=0,AND(COUNTA(Y227:AA227)=3,ISNUMBER(AA227))),0,1)+IF(OR(COUNTA(AB227:AD227)=0,AND(COUNTA(AB227:AD227)=3,ISNUMBER(AD227))),0,1)+IF(OR(COUNTA(AE227:AG227)=0,AND(COUNTA(AE227:AG227)=3,ISNUMBER(AG227))),0,1)+IF(OR(COUNTA(AH227:AJ227)=0,AND(COUNTA(AH227:AJ227)=3,ISNUMBER(AJ227))),0,1)+IF(OR(COUNTA(AK227:AM227)=0,AND(COUNTA(AK227:AM227)=3,ISNUMBER(AM227))),0,1)+IF(OR(COUNTA(AN227:AP227)=0,AND(COUNTA(AN227:AP227)=3,ISNUMBER(AP227))),0,1)+IF(OR(COUNTA(AQ227:AS227)=0,AND(COUNTA(AQ227:AS227)=3,ISNUMBER(AS227))),0,1)+IF(OR(COUNTA(AT227:AV227)=0,AND(COUNTA(AT227:AV227)=3,ISNUMBER(AV227))),0,1)+IF(OR(COUNTA(AW227:AY227)=0,AND(COUNTA(AW227:AY227)=3,ISNUMBER(AY227))),0,1)+IF(OR(COUNTA(AZ227:BB227)=0,AND(COUNTA(AZ227:BB227)=3,ISNUMBER(BB227))),0,1))&gt;0,"; An invoice is incomplete (needs No, Date and a number in Ex GST)","")&amp;IF((IF(T227="",0,IFERROR(--(EOMONTH(T227,0)&lt;&gt;S$5),1))+IF(W227="",0,IFERROR(--(EOMONTH(W227,0)&lt;&gt;V$5),1))+IF(Z227="",0,IFERROR(--(EOMONTH(Z227,0)&lt;&gt;Y$5),1))+IF(AC227="",0,IFERROR(--(EOMONTH(AC227,0)&lt;&gt;AB$5),1))+IF(AF227="",0,IFERROR(--(EOMONTH(AF227,0)&lt;&gt;AE$5),1))+IF(AI227="",0,IFERROR(--(EOMONTH(AI227,0)&lt;&gt;AH$5),1))+IF(AL227="",0,IFERROR(--(EOMONTH(AL227,0)&lt;&gt;AK$5),1))+IF(AO227="",0,IFERROR(--(EOMONTH(AO227,0)&lt;&gt;AN$5),1))+IF(AR227="",0,IFERROR(--(EOMONTH(AR227,0)&lt;&gt;AQ$5),1))+IF(AU227="",0,IFERROR(--(EOMONTH(AU227,0)&lt;&gt;AT$5),1))+IF(AX227="",0,IFERROR(--(EOMONTH(AX227,0)&lt;&gt;AW$5),1))+IF(BA227="",0,IFERROR(--(EOMONTH(BA227,0)&lt;&gt;AZ$5),1)))&gt;0,"; An invoice date is not in the month it is typed under",""),3,500))</f>
        <v/>
      </c>
      <c r="S227" s="12" t="n"/>
      <c r="T227" s="13" t="n"/>
      <c r="U227" s="14" t="n"/>
      <c r="V227" s="12" t="n"/>
      <c r="W227" s="13" t="n"/>
      <c r="X227" s="14" t="n"/>
      <c r="Y227" s="12" t="n"/>
      <c r="Z227" s="13" t="n"/>
      <c r="AA227" s="14" t="n"/>
      <c r="AB227" s="12" t="n"/>
      <c r="AC227" s="13" t="n"/>
      <c r="AD227" s="14" t="n"/>
      <c r="AE227" s="12" t="n"/>
      <c r="AF227" s="13" t="n"/>
      <c r="AG227" s="14" t="n"/>
      <c r="AH227" s="12" t="n"/>
      <c r="AI227" s="13" t="n"/>
      <c r="AJ227" s="14" t="n"/>
      <c r="AK227" s="12" t="n"/>
      <c r="AL227" s="13" t="n"/>
      <c r="AM227" s="14" t="n"/>
      <c r="AN227" s="12" t="n"/>
      <c r="AO227" s="13" t="n"/>
      <c r="AP227" s="14" t="n"/>
      <c r="AQ227" s="12" t="n"/>
      <c r="AR227" s="13" t="n"/>
      <c r="AS227" s="14" t="n"/>
      <c r="AT227" s="12" t="n"/>
      <c r="AU227" s="13" t="n"/>
      <c r="AV227" s="14" t="n"/>
      <c r="AW227" s="12" t="n"/>
      <c r="AX227" s="13" t="n"/>
      <c r="AY227" s="14" t="n"/>
      <c r="AZ227" s="12" t="n"/>
      <c r="BA227" s="13" t="n"/>
      <c r="BB227" s="14" t="n"/>
      <c r="BC227" s="11">
        <f>IF(O227="","",IF(J227="GST 10%",ROUND(O227*set_GSTRate,2),0))</f>
        <v/>
      </c>
      <c r="BD227" s="11">
        <f>IF(O227="","",O227+BC227)</f>
        <v/>
      </c>
      <c r="BE227" s="15">
        <f>IF(O227="","",COUNTA(S227,V227,Y227,AB227,AE227,AH227,AK227,AN227,AQ227,AT227,AW227,AZ227))</f>
        <v/>
      </c>
      <c r="BF227" s="16">
        <f>IF(COUNT(T227,W227,Z227,AC227,AF227,AI227,AL227,AO227,AR227,AU227,AX227,BA227)=0,"",MAX(T227,W227,Z227,AC227,AF227,AI227,AL227,AO227,AR227,AU227,AX227,BA227))</f>
        <v/>
      </c>
      <c r="BG227" s="10">
        <f>MID(IF(S227="","",", "&amp;S227)&amp;IF(V227="","",", "&amp;V227)&amp;IF(Y227="","",", "&amp;Y227)&amp;IF(AB227="","",", "&amp;AB227)&amp;IF(AE227="","",", "&amp;AE227)&amp;IF(AH227="","",", "&amp;AH227)&amp;IF(AK227="","",", "&amp;AK227)&amp;IF(AN227="","",", "&amp;AN227)&amp;IF(AQ227="","",", "&amp;AQ227)&amp;IF(AT227="","",", "&amp;AT227)&amp;IF(AW227="","",", "&amp;AW227)&amp;IF(AZ227="","",", "&amp;AZ227),3,500)</f>
        <v/>
      </c>
      <c r="BH227" s="12" t="n"/>
      <c r="BI227" s="15">
        <f>IFERROR(MATCH($A227,IF($B227="Onsite",tbl_Onsite[Row ID],IF($B227="Production",tbl_Production[Row ID],tbl_Consulting[Row ID])),0),"")</f>
        <v/>
      </c>
    </row>
    <row r="228">
      <c r="A228" s="10" t="inlineStr">
        <is>
          <t>ONS-0222</t>
        </is>
      </c>
      <c r="B228" s="10" t="inlineStr">
        <is>
          <t>Onsite</t>
        </is>
      </c>
      <c r="C228" s="10">
        <f>IF($BI228="","",IF($B228="Onsite",INDEX(tbl_Onsite[Job Number],$BI228),IF($B228="Production",INDEX(tbl_Production[Job Number],$BI228),INDEX(tbl_Consulting[Job Number],$BI228)))&amp;"")</f>
        <v/>
      </c>
      <c r="D228" s="10">
        <f>IF($BI228="","",IF($B228="Onsite",INDEX(tbl_Onsite[Client],$BI228),IF($B228="Production",INDEX(tbl_Production[Client],$BI228),INDEX(tbl_Consulting[Client],$BI228)))&amp;"")</f>
        <v/>
      </c>
      <c r="E228" s="10">
        <f>IF($C228="","",IF(COUNTIF(lst_Jobs,$C228)&gt;0,"OK","CHECK"))</f>
        <v/>
      </c>
      <c r="F228" s="10">
        <f>IF($C228="","",IFERROR(INDEX(lst_JobName,MATCH($C228,lst_Jobs,0)),""))</f>
        <v/>
      </c>
      <c r="G228" s="10">
        <f>IF($BI228="","",IF($B228="Onsite",INDEX(tbl_Onsite[Job Description],$BI228),IF($B228="Production",INDEX(tbl_Production[Job Description],$BI228),INDEX(tbl_Consulting[Job Description],$BI228)))&amp;"")</f>
        <v/>
      </c>
      <c r="H228" s="10">
        <f>IF($BI228="","",IF($B228="Onsite",INDEX(tbl_Onsite[Cost Centre],$BI228),IF($B228="Production",INDEX(tbl_Production[Cost Centre],$BI228),INDEX(tbl_Consulting[Cost Centre],$BI228)))&amp;"")</f>
        <v/>
      </c>
      <c r="I228" s="10">
        <f>IF($BI228="","",IF($B228="Onsite",INDEX(tbl_Onsite[Invoice Type],$BI228),IF($B228="Production",INDEX(tbl_Production[Invoice Type],$BI228),INDEX(tbl_Consulting[Invoice Type],$BI228)))&amp;"")</f>
        <v/>
      </c>
      <c r="J228" s="10">
        <f>IF($BI228="","",IF($B228="Onsite",INDEX(tbl_Onsite[Tax Code],$BI228),IF($B228="Production",INDEX(tbl_Production[Tax Code],$BI228),INDEX(tbl_Consulting[Tax Code],$BI228)))&amp;"")</f>
        <v/>
      </c>
      <c r="K228" s="10">
        <f>IF(H228="","",IFERROR(INDEX(lst_CCtoGL,MATCH(H228,lst_CCforGL,0)),""))</f>
        <v/>
      </c>
      <c r="L228" s="10">
        <f>IF($BI228="","",IF($B228="Onsite",INDEX(tbl_Onsite[PO / Reference],$BI228),IF($B228="Production",INDEX(tbl_Production[Current RMS No],$BI228),INDEX(tbl_Consulting[Qwilr Quote],$BI228)))&amp;"")</f>
        <v/>
      </c>
      <c r="M228" s="10">
        <f>IF($BI228="","",IF($B228="Onsite",INDEX(tbl_Onsite[Notes],$BI228),IF($B228="Production",INDEX(tbl_Production[Notes],$BI228),INDEX(tbl_Consulting[Notes],$BI228)))&amp;"")</f>
        <v/>
      </c>
      <c r="N228" s="11">
        <f>IF($BI228="","",IF(IF($B228="Onsite",INDEX(tbl_Onsite[Expected Revenue Ex GST],$BI228),IF($B228="Production",INDEX(tbl_Production[Expected Revenue Ex GST],$BI228),INDEX(tbl_Consulting[Expected Revenue Ex GST],$BI228)))="","",IF($B228="Onsite",INDEX(tbl_Onsite[Expected Revenue Ex GST],$BI228),IF($B228="Production",INDEX(tbl_Production[Expected Revenue Ex GST],$BI228),INDEX(tbl_Consulting[Expected Revenue Ex GST],$BI228)))))</f>
        <v/>
      </c>
      <c r="O228" s="11">
        <f>IF(AND($C228="",NOT(COUNTA($S228:$BB228)&gt;0)),"",SUM(U228,X228,AA228,AD228,AG228,AJ228,AM228,AP228,AS228,AV228,AY228,BB228))</f>
        <v/>
      </c>
      <c r="P228" s="11">
        <f>IF(O228="","",N(N228)-O228)</f>
        <v/>
      </c>
      <c r="Q228" s="10">
        <f>IF(O228="","",IF($C228="","Invoice on empty job row",IF(N228="",IF(ROUND(O228,2)=0,"No dept value","Invoiced - no dept value"),IF(ROUND(O228,2)=0,"Not invoiced - to invoice",IF(ROUND(P228,2)=0,"Agrees",IF(P228&gt;0,"Dept higher - to invoice","Xero higher - check dept"))))))</f>
        <v/>
      </c>
      <c r="R228" s="10">
        <f>IF(AND($C228="",NOT(COUNTA($S228:$BB228)&gt;0),$BI228&lt;&gt;""),"",MID(IF($BI228="","; Row ID not found on the department sheet - a row was deleted","")&amp;IF(AND($C228="",COUNTA($S228:$BB228)&gt;0),"; Invoice entered but the department row has no job number","")&amp;IF(E228="CHECK","; Job number not in the Xero job list","")&amp;IF(AND($C228&lt;&gt;"",COUNTIF($C$7:$C$1506,$C228)&gt;1),"; Job number on more than one row","")&amp;IF(AND($C228&lt;&gt;"",H228=""),"; Dept has not set a cost centre","")&amp;IF(AND($C228&lt;&gt;"",J228=""),"; Dept has not set a tax code","")&amp;IF(AND($C228&lt;&gt;"",N228=""),"; Dept has not entered an expected value","")&amp;IF((IF(OR(COUNTA(S228:U228)=0,AND(COUNTA(S228:U228)=3,ISNUMBER(U228))),0,1)+IF(OR(COUNTA(V228:X228)=0,AND(COUNTA(V228:X228)=3,ISNUMBER(X228))),0,1)+IF(OR(COUNTA(Y228:AA228)=0,AND(COUNTA(Y228:AA228)=3,ISNUMBER(AA228))),0,1)+IF(OR(COUNTA(AB228:AD228)=0,AND(COUNTA(AB228:AD228)=3,ISNUMBER(AD228))),0,1)+IF(OR(COUNTA(AE228:AG228)=0,AND(COUNTA(AE228:AG228)=3,ISNUMBER(AG228))),0,1)+IF(OR(COUNTA(AH228:AJ228)=0,AND(COUNTA(AH228:AJ228)=3,ISNUMBER(AJ228))),0,1)+IF(OR(COUNTA(AK228:AM228)=0,AND(COUNTA(AK228:AM228)=3,ISNUMBER(AM228))),0,1)+IF(OR(COUNTA(AN228:AP228)=0,AND(COUNTA(AN228:AP228)=3,ISNUMBER(AP228))),0,1)+IF(OR(COUNTA(AQ228:AS228)=0,AND(COUNTA(AQ228:AS228)=3,ISNUMBER(AS228))),0,1)+IF(OR(COUNTA(AT228:AV228)=0,AND(COUNTA(AT228:AV228)=3,ISNUMBER(AV228))),0,1)+IF(OR(COUNTA(AW228:AY228)=0,AND(COUNTA(AW228:AY228)=3,ISNUMBER(AY228))),0,1)+IF(OR(COUNTA(AZ228:BB228)=0,AND(COUNTA(AZ228:BB228)=3,ISNUMBER(BB228))),0,1))&gt;0,"; An invoice is incomplete (needs No, Date and a number in Ex GST)","")&amp;IF((IF(T228="",0,IFERROR(--(EOMONTH(T228,0)&lt;&gt;S$5),1))+IF(W228="",0,IFERROR(--(EOMONTH(W228,0)&lt;&gt;V$5),1))+IF(Z228="",0,IFERROR(--(EOMONTH(Z228,0)&lt;&gt;Y$5),1))+IF(AC228="",0,IFERROR(--(EOMONTH(AC228,0)&lt;&gt;AB$5),1))+IF(AF228="",0,IFERROR(--(EOMONTH(AF228,0)&lt;&gt;AE$5),1))+IF(AI228="",0,IFERROR(--(EOMONTH(AI228,0)&lt;&gt;AH$5),1))+IF(AL228="",0,IFERROR(--(EOMONTH(AL228,0)&lt;&gt;AK$5),1))+IF(AO228="",0,IFERROR(--(EOMONTH(AO228,0)&lt;&gt;AN$5),1))+IF(AR228="",0,IFERROR(--(EOMONTH(AR228,0)&lt;&gt;AQ$5),1))+IF(AU228="",0,IFERROR(--(EOMONTH(AU228,0)&lt;&gt;AT$5),1))+IF(AX228="",0,IFERROR(--(EOMONTH(AX228,0)&lt;&gt;AW$5),1))+IF(BA228="",0,IFERROR(--(EOMONTH(BA228,0)&lt;&gt;AZ$5),1)))&gt;0,"; An invoice date is not in the month it is typed under",""),3,500))</f>
        <v/>
      </c>
      <c r="S228" s="12" t="n"/>
      <c r="T228" s="13" t="n"/>
      <c r="U228" s="14" t="n"/>
      <c r="V228" s="12" t="n"/>
      <c r="W228" s="13" t="n"/>
      <c r="X228" s="14" t="n"/>
      <c r="Y228" s="12" t="n"/>
      <c r="Z228" s="13" t="n"/>
      <c r="AA228" s="14" t="n"/>
      <c r="AB228" s="12" t="n"/>
      <c r="AC228" s="13" t="n"/>
      <c r="AD228" s="14" t="n"/>
      <c r="AE228" s="12" t="n"/>
      <c r="AF228" s="13" t="n"/>
      <c r="AG228" s="14" t="n"/>
      <c r="AH228" s="12" t="n"/>
      <c r="AI228" s="13" t="n"/>
      <c r="AJ228" s="14" t="n"/>
      <c r="AK228" s="12" t="n"/>
      <c r="AL228" s="13" t="n"/>
      <c r="AM228" s="14" t="n"/>
      <c r="AN228" s="12" t="n"/>
      <c r="AO228" s="13" t="n"/>
      <c r="AP228" s="14" t="n"/>
      <c r="AQ228" s="12" t="n"/>
      <c r="AR228" s="13" t="n"/>
      <c r="AS228" s="14" t="n"/>
      <c r="AT228" s="12" t="n"/>
      <c r="AU228" s="13" t="n"/>
      <c r="AV228" s="14" t="n"/>
      <c r="AW228" s="12" t="n"/>
      <c r="AX228" s="13" t="n"/>
      <c r="AY228" s="14" t="n"/>
      <c r="AZ228" s="12" t="n"/>
      <c r="BA228" s="13" t="n"/>
      <c r="BB228" s="14" t="n"/>
      <c r="BC228" s="11">
        <f>IF(O228="","",IF(J228="GST 10%",ROUND(O228*set_GSTRate,2),0))</f>
        <v/>
      </c>
      <c r="BD228" s="11">
        <f>IF(O228="","",O228+BC228)</f>
        <v/>
      </c>
      <c r="BE228" s="15">
        <f>IF(O228="","",COUNTA(S228,V228,Y228,AB228,AE228,AH228,AK228,AN228,AQ228,AT228,AW228,AZ228))</f>
        <v/>
      </c>
      <c r="BF228" s="16">
        <f>IF(COUNT(T228,W228,Z228,AC228,AF228,AI228,AL228,AO228,AR228,AU228,AX228,BA228)=0,"",MAX(T228,W228,Z228,AC228,AF228,AI228,AL228,AO228,AR228,AU228,AX228,BA228))</f>
        <v/>
      </c>
      <c r="BG228" s="10">
        <f>MID(IF(S228="","",", "&amp;S228)&amp;IF(V228="","",", "&amp;V228)&amp;IF(Y228="","",", "&amp;Y228)&amp;IF(AB228="","",", "&amp;AB228)&amp;IF(AE228="","",", "&amp;AE228)&amp;IF(AH228="","",", "&amp;AH228)&amp;IF(AK228="","",", "&amp;AK228)&amp;IF(AN228="","",", "&amp;AN228)&amp;IF(AQ228="","",", "&amp;AQ228)&amp;IF(AT228="","",", "&amp;AT228)&amp;IF(AW228="","",", "&amp;AW228)&amp;IF(AZ228="","",", "&amp;AZ228),3,500)</f>
        <v/>
      </c>
      <c r="BH228" s="12" t="n"/>
      <c r="BI228" s="15">
        <f>IFERROR(MATCH($A228,IF($B228="Onsite",tbl_Onsite[Row ID],IF($B228="Production",tbl_Production[Row ID],tbl_Consulting[Row ID])),0),"")</f>
        <v/>
      </c>
    </row>
    <row r="229">
      <c r="A229" s="10" t="inlineStr">
        <is>
          <t>ONS-0223</t>
        </is>
      </c>
      <c r="B229" s="10" t="inlineStr">
        <is>
          <t>Onsite</t>
        </is>
      </c>
      <c r="C229" s="10">
        <f>IF($BI229="","",IF($B229="Onsite",INDEX(tbl_Onsite[Job Number],$BI229),IF($B229="Production",INDEX(tbl_Production[Job Number],$BI229),INDEX(tbl_Consulting[Job Number],$BI229)))&amp;"")</f>
        <v/>
      </c>
      <c r="D229" s="10">
        <f>IF($BI229="","",IF($B229="Onsite",INDEX(tbl_Onsite[Client],$BI229),IF($B229="Production",INDEX(tbl_Production[Client],$BI229),INDEX(tbl_Consulting[Client],$BI229)))&amp;"")</f>
        <v/>
      </c>
      <c r="E229" s="10">
        <f>IF($C229="","",IF(COUNTIF(lst_Jobs,$C229)&gt;0,"OK","CHECK"))</f>
        <v/>
      </c>
      <c r="F229" s="10">
        <f>IF($C229="","",IFERROR(INDEX(lst_JobName,MATCH($C229,lst_Jobs,0)),""))</f>
        <v/>
      </c>
      <c r="G229" s="10">
        <f>IF($BI229="","",IF($B229="Onsite",INDEX(tbl_Onsite[Job Description],$BI229),IF($B229="Production",INDEX(tbl_Production[Job Description],$BI229),INDEX(tbl_Consulting[Job Description],$BI229)))&amp;"")</f>
        <v/>
      </c>
      <c r="H229" s="10">
        <f>IF($BI229="","",IF($B229="Onsite",INDEX(tbl_Onsite[Cost Centre],$BI229),IF($B229="Production",INDEX(tbl_Production[Cost Centre],$BI229),INDEX(tbl_Consulting[Cost Centre],$BI229)))&amp;"")</f>
        <v/>
      </c>
      <c r="I229" s="10">
        <f>IF($BI229="","",IF($B229="Onsite",INDEX(tbl_Onsite[Invoice Type],$BI229),IF($B229="Production",INDEX(tbl_Production[Invoice Type],$BI229),INDEX(tbl_Consulting[Invoice Type],$BI229)))&amp;"")</f>
        <v/>
      </c>
      <c r="J229" s="10">
        <f>IF($BI229="","",IF($B229="Onsite",INDEX(tbl_Onsite[Tax Code],$BI229),IF($B229="Production",INDEX(tbl_Production[Tax Code],$BI229),INDEX(tbl_Consulting[Tax Code],$BI229)))&amp;"")</f>
        <v/>
      </c>
      <c r="K229" s="10">
        <f>IF(H229="","",IFERROR(INDEX(lst_CCtoGL,MATCH(H229,lst_CCforGL,0)),""))</f>
        <v/>
      </c>
      <c r="L229" s="10">
        <f>IF($BI229="","",IF($B229="Onsite",INDEX(tbl_Onsite[PO / Reference],$BI229),IF($B229="Production",INDEX(tbl_Production[Current RMS No],$BI229),INDEX(tbl_Consulting[Qwilr Quote],$BI229)))&amp;"")</f>
        <v/>
      </c>
      <c r="M229" s="10">
        <f>IF($BI229="","",IF($B229="Onsite",INDEX(tbl_Onsite[Notes],$BI229),IF($B229="Production",INDEX(tbl_Production[Notes],$BI229),INDEX(tbl_Consulting[Notes],$BI229)))&amp;"")</f>
        <v/>
      </c>
      <c r="N229" s="11">
        <f>IF($BI229="","",IF(IF($B229="Onsite",INDEX(tbl_Onsite[Expected Revenue Ex GST],$BI229),IF($B229="Production",INDEX(tbl_Production[Expected Revenue Ex GST],$BI229),INDEX(tbl_Consulting[Expected Revenue Ex GST],$BI229)))="","",IF($B229="Onsite",INDEX(tbl_Onsite[Expected Revenue Ex GST],$BI229),IF($B229="Production",INDEX(tbl_Production[Expected Revenue Ex GST],$BI229),INDEX(tbl_Consulting[Expected Revenue Ex GST],$BI229)))))</f>
        <v/>
      </c>
      <c r="O229" s="11">
        <f>IF(AND($C229="",NOT(COUNTA($S229:$BB229)&gt;0)),"",SUM(U229,X229,AA229,AD229,AG229,AJ229,AM229,AP229,AS229,AV229,AY229,BB229))</f>
        <v/>
      </c>
      <c r="P229" s="11">
        <f>IF(O229="","",N(N229)-O229)</f>
        <v/>
      </c>
      <c r="Q229" s="10">
        <f>IF(O229="","",IF($C229="","Invoice on empty job row",IF(N229="",IF(ROUND(O229,2)=0,"No dept value","Invoiced - no dept value"),IF(ROUND(O229,2)=0,"Not invoiced - to invoice",IF(ROUND(P229,2)=0,"Agrees",IF(P229&gt;0,"Dept higher - to invoice","Xero higher - check dept"))))))</f>
        <v/>
      </c>
      <c r="R229" s="10">
        <f>IF(AND($C229="",NOT(COUNTA($S229:$BB229)&gt;0),$BI229&lt;&gt;""),"",MID(IF($BI229="","; Row ID not found on the department sheet - a row was deleted","")&amp;IF(AND($C229="",COUNTA($S229:$BB229)&gt;0),"; Invoice entered but the department row has no job number","")&amp;IF(E229="CHECK","; Job number not in the Xero job list","")&amp;IF(AND($C229&lt;&gt;"",COUNTIF($C$7:$C$1506,$C229)&gt;1),"; Job number on more than one row","")&amp;IF(AND($C229&lt;&gt;"",H229=""),"; Dept has not set a cost centre","")&amp;IF(AND($C229&lt;&gt;"",J229=""),"; Dept has not set a tax code","")&amp;IF(AND($C229&lt;&gt;"",N229=""),"; Dept has not entered an expected value","")&amp;IF((IF(OR(COUNTA(S229:U229)=0,AND(COUNTA(S229:U229)=3,ISNUMBER(U229))),0,1)+IF(OR(COUNTA(V229:X229)=0,AND(COUNTA(V229:X229)=3,ISNUMBER(X229))),0,1)+IF(OR(COUNTA(Y229:AA229)=0,AND(COUNTA(Y229:AA229)=3,ISNUMBER(AA229))),0,1)+IF(OR(COUNTA(AB229:AD229)=0,AND(COUNTA(AB229:AD229)=3,ISNUMBER(AD229))),0,1)+IF(OR(COUNTA(AE229:AG229)=0,AND(COUNTA(AE229:AG229)=3,ISNUMBER(AG229))),0,1)+IF(OR(COUNTA(AH229:AJ229)=0,AND(COUNTA(AH229:AJ229)=3,ISNUMBER(AJ229))),0,1)+IF(OR(COUNTA(AK229:AM229)=0,AND(COUNTA(AK229:AM229)=3,ISNUMBER(AM229))),0,1)+IF(OR(COUNTA(AN229:AP229)=0,AND(COUNTA(AN229:AP229)=3,ISNUMBER(AP229))),0,1)+IF(OR(COUNTA(AQ229:AS229)=0,AND(COUNTA(AQ229:AS229)=3,ISNUMBER(AS229))),0,1)+IF(OR(COUNTA(AT229:AV229)=0,AND(COUNTA(AT229:AV229)=3,ISNUMBER(AV229))),0,1)+IF(OR(COUNTA(AW229:AY229)=0,AND(COUNTA(AW229:AY229)=3,ISNUMBER(AY229))),0,1)+IF(OR(COUNTA(AZ229:BB229)=0,AND(COUNTA(AZ229:BB229)=3,ISNUMBER(BB229))),0,1))&gt;0,"; An invoice is incomplete (needs No, Date and a number in Ex GST)","")&amp;IF((IF(T229="",0,IFERROR(--(EOMONTH(T229,0)&lt;&gt;S$5),1))+IF(W229="",0,IFERROR(--(EOMONTH(W229,0)&lt;&gt;V$5),1))+IF(Z229="",0,IFERROR(--(EOMONTH(Z229,0)&lt;&gt;Y$5),1))+IF(AC229="",0,IFERROR(--(EOMONTH(AC229,0)&lt;&gt;AB$5),1))+IF(AF229="",0,IFERROR(--(EOMONTH(AF229,0)&lt;&gt;AE$5),1))+IF(AI229="",0,IFERROR(--(EOMONTH(AI229,0)&lt;&gt;AH$5),1))+IF(AL229="",0,IFERROR(--(EOMONTH(AL229,0)&lt;&gt;AK$5),1))+IF(AO229="",0,IFERROR(--(EOMONTH(AO229,0)&lt;&gt;AN$5),1))+IF(AR229="",0,IFERROR(--(EOMONTH(AR229,0)&lt;&gt;AQ$5),1))+IF(AU229="",0,IFERROR(--(EOMONTH(AU229,0)&lt;&gt;AT$5),1))+IF(AX229="",0,IFERROR(--(EOMONTH(AX229,0)&lt;&gt;AW$5),1))+IF(BA229="",0,IFERROR(--(EOMONTH(BA229,0)&lt;&gt;AZ$5),1)))&gt;0,"; An invoice date is not in the month it is typed under",""),3,500))</f>
        <v/>
      </c>
      <c r="S229" s="12" t="n"/>
      <c r="T229" s="13" t="n"/>
      <c r="U229" s="14" t="n"/>
      <c r="V229" s="12" t="n"/>
      <c r="W229" s="13" t="n"/>
      <c r="X229" s="14" t="n"/>
      <c r="Y229" s="12" t="n"/>
      <c r="Z229" s="13" t="n"/>
      <c r="AA229" s="14" t="n"/>
      <c r="AB229" s="12" t="n"/>
      <c r="AC229" s="13" t="n"/>
      <c r="AD229" s="14" t="n"/>
      <c r="AE229" s="12" t="n"/>
      <c r="AF229" s="13" t="n"/>
      <c r="AG229" s="14" t="n"/>
      <c r="AH229" s="12" t="n"/>
      <c r="AI229" s="13" t="n"/>
      <c r="AJ229" s="14" t="n"/>
      <c r="AK229" s="12" t="n"/>
      <c r="AL229" s="13" t="n"/>
      <c r="AM229" s="14" t="n"/>
      <c r="AN229" s="12" t="n"/>
      <c r="AO229" s="13" t="n"/>
      <c r="AP229" s="14" t="n"/>
      <c r="AQ229" s="12" t="n"/>
      <c r="AR229" s="13" t="n"/>
      <c r="AS229" s="14" t="n"/>
      <c r="AT229" s="12" t="n"/>
      <c r="AU229" s="13" t="n"/>
      <c r="AV229" s="14" t="n"/>
      <c r="AW229" s="12" t="n"/>
      <c r="AX229" s="13" t="n"/>
      <c r="AY229" s="14" t="n"/>
      <c r="AZ229" s="12" t="n"/>
      <c r="BA229" s="13" t="n"/>
      <c r="BB229" s="14" t="n"/>
      <c r="BC229" s="11">
        <f>IF(O229="","",IF(J229="GST 10%",ROUND(O229*set_GSTRate,2),0))</f>
        <v/>
      </c>
      <c r="BD229" s="11">
        <f>IF(O229="","",O229+BC229)</f>
        <v/>
      </c>
      <c r="BE229" s="15">
        <f>IF(O229="","",COUNTA(S229,V229,Y229,AB229,AE229,AH229,AK229,AN229,AQ229,AT229,AW229,AZ229))</f>
        <v/>
      </c>
      <c r="BF229" s="16">
        <f>IF(COUNT(T229,W229,Z229,AC229,AF229,AI229,AL229,AO229,AR229,AU229,AX229,BA229)=0,"",MAX(T229,W229,Z229,AC229,AF229,AI229,AL229,AO229,AR229,AU229,AX229,BA229))</f>
        <v/>
      </c>
      <c r="BG229" s="10">
        <f>MID(IF(S229="","",", "&amp;S229)&amp;IF(V229="","",", "&amp;V229)&amp;IF(Y229="","",", "&amp;Y229)&amp;IF(AB229="","",", "&amp;AB229)&amp;IF(AE229="","",", "&amp;AE229)&amp;IF(AH229="","",", "&amp;AH229)&amp;IF(AK229="","",", "&amp;AK229)&amp;IF(AN229="","",", "&amp;AN229)&amp;IF(AQ229="","",", "&amp;AQ229)&amp;IF(AT229="","",", "&amp;AT229)&amp;IF(AW229="","",", "&amp;AW229)&amp;IF(AZ229="","",", "&amp;AZ229),3,500)</f>
        <v/>
      </c>
      <c r="BH229" s="12" t="n"/>
      <c r="BI229" s="15">
        <f>IFERROR(MATCH($A229,IF($B229="Onsite",tbl_Onsite[Row ID],IF($B229="Production",tbl_Production[Row ID],tbl_Consulting[Row ID])),0),"")</f>
        <v/>
      </c>
    </row>
    <row r="230">
      <c r="A230" s="10" t="inlineStr">
        <is>
          <t>ONS-0224</t>
        </is>
      </c>
      <c r="B230" s="10" t="inlineStr">
        <is>
          <t>Onsite</t>
        </is>
      </c>
      <c r="C230" s="10">
        <f>IF($BI230="","",IF($B230="Onsite",INDEX(tbl_Onsite[Job Number],$BI230),IF($B230="Production",INDEX(tbl_Production[Job Number],$BI230),INDEX(tbl_Consulting[Job Number],$BI230)))&amp;"")</f>
        <v/>
      </c>
      <c r="D230" s="10">
        <f>IF($BI230="","",IF($B230="Onsite",INDEX(tbl_Onsite[Client],$BI230),IF($B230="Production",INDEX(tbl_Production[Client],$BI230),INDEX(tbl_Consulting[Client],$BI230)))&amp;"")</f>
        <v/>
      </c>
      <c r="E230" s="10">
        <f>IF($C230="","",IF(COUNTIF(lst_Jobs,$C230)&gt;0,"OK","CHECK"))</f>
        <v/>
      </c>
      <c r="F230" s="10">
        <f>IF($C230="","",IFERROR(INDEX(lst_JobName,MATCH($C230,lst_Jobs,0)),""))</f>
        <v/>
      </c>
      <c r="G230" s="10">
        <f>IF($BI230="","",IF($B230="Onsite",INDEX(tbl_Onsite[Job Description],$BI230),IF($B230="Production",INDEX(tbl_Production[Job Description],$BI230),INDEX(tbl_Consulting[Job Description],$BI230)))&amp;"")</f>
        <v/>
      </c>
      <c r="H230" s="10">
        <f>IF($BI230="","",IF($B230="Onsite",INDEX(tbl_Onsite[Cost Centre],$BI230),IF($B230="Production",INDEX(tbl_Production[Cost Centre],$BI230),INDEX(tbl_Consulting[Cost Centre],$BI230)))&amp;"")</f>
        <v/>
      </c>
      <c r="I230" s="10">
        <f>IF($BI230="","",IF($B230="Onsite",INDEX(tbl_Onsite[Invoice Type],$BI230),IF($B230="Production",INDEX(tbl_Production[Invoice Type],$BI230),INDEX(tbl_Consulting[Invoice Type],$BI230)))&amp;"")</f>
        <v/>
      </c>
      <c r="J230" s="10">
        <f>IF($BI230="","",IF($B230="Onsite",INDEX(tbl_Onsite[Tax Code],$BI230),IF($B230="Production",INDEX(tbl_Production[Tax Code],$BI230),INDEX(tbl_Consulting[Tax Code],$BI230)))&amp;"")</f>
        <v/>
      </c>
      <c r="K230" s="10">
        <f>IF(H230="","",IFERROR(INDEX(lst_CCtoGL,MATCH(H230,lst_CCforGL,0)),""))</f>
        <v/>
      </c>
      <c r="L230" s="10">
        <f>IF($BI230="","",IF($B230="Onsite",INDEX(tbl_Onsite[PO / Reference],$BI230),IF($B230="Production",INDEX(tbl_Production[Current RMS No],$BI230),INDEX(tbl_Consulting[Qwilr Quote],$BI230)))&amp;"")</f>
        <v/>
      </c>
      <c r="M230" s="10">
        <f>IF($BI230="","",IF($B230="Onsite",INDEX(tbl_Onsite[Notes],$BI230),IF($B230="Production",INDEX(tbl_Production[Notes],$BI230),INDEX(tbl_Consulting[Notes],$BI230)))&amp;"")</f>
        <v/>
      </c>
      <c r="N230" s="11">
        <f>IF($BI230="","",IF(IF($B230="Onsite",INDEX(tbl_Onsite[Expected Revenue Ex GST],$BI230),IF($B230="Production",INDEX(tbl_Production[Expected Revenue Ex GST],$BI230),INDEX(tbl_Consulting[Expected Revenue Ex GST],$BI230)))="","",IF($B230="Onsite",INDEX(tbl_Onsite[Expected Revenue Ex GST],$BI230),IF($B230="Production",INDEX(tbl_Production[Expected Revenue Ex GST],$BI230),INDEX(tbl_Consulting[Expected Revenue Ex GST],$BI230)))))</f>
        <v/>
      </c>
      <c r="O230" s="11">
        <f>IF(AND($C230="",NOT(COUNTA($S230:$BB230)&gt;0)),"",SUM(U230,X230,AA230,AD230,AG230,AJ230,AM230,AP230,AS230,AV230,AY230,BB230))</f>
        <v/>
      </c>
      <c r="P230" s="11">
        <f>IF(O230="","",N(N230)-O230)</f>
        <v/>
      </c>
      <c r="Q230" s="10">
        <f>IF(O230="","",IF($C230="","Invoice on empty job row",IF(N230="",IF(ROUND(O230,2)=0,"No dept value","Invoiced - no dept value"),IF(ROUND(O230,2)=0,"Not invoiced - to invoice",IF(ROUND(P230,2)=0,"Agrees",IF(P230&gt;0,"Dept higher - to invoice","Xero higher - check dept"))))))</f>
        <v/>
      </c>
      <c r="R230" s="10">
        <f>IF(AND($C230="",NOT(COUNTA($S230:$BB230)&gt;0),$BI230&lt;&gt;""),"",MID(IF($BI230="","; Row ID not found on the department sheet - a row was deleted","")&amp;IF(AND($C230="",COUNTA($S230:$BB230)&gt;0),"; Invoice entered but the department row has no job number","")&amp;IF(E230="CHECK","; Job number not in the Xero job list","")&amp;IF(AND($C230&lt;&gt;"",COUNTIF($C$7:$C$1506,$C230)&gt;1),"; Job number on more than one row","")&amp;IF(AND($C230&lt;&gt;"",H230=""),"; Dept has not set a cost centre","")&amp;IF(AND($C230&lt;&gt;"",J230=""),"; Dept has not set a tax code","")&amp;IF(AND($C230&lt;&gt;"",N230=""),"; Dept has not entered an expected value","")&amp;IF((IF(OR(COUNTA(S230:U230)=0,AND(COUNTA(S230:U230)=3,ISNUMBER(U230))),0,1)+IF(OR(COUNTA(V230:X230)=0,AND(COUNTA(V230:X230)=3,ISNUMBER(X230))),0,1)+IF(OR(COUNTA(Y230:AA230)=0,AND(COUNTA(Y230:AA230)=3,ISNUMBER(AA230))),0,1)+IF(OR(COUNTA(AB230:AD230)=0,AND(COUNTA(AB230:AD230)=3,ISNUMBER(AD230))),0,1)+IF(OR(COUNTA(AE230:AG230)=0,AND(COUNTA(AE230:AG230)=3,ISNUMBER(AG230))),0,1)+IF(OR(COUNTA(AH230:AJ230)=0,AND(COUNTA(AH230:AJ230)=3,ISNUMBER(AJ230))),0,1)+IF(OR(COUNTA(AK230:AM230)=0,AND(COUNTA(AK230:AM230)=3,ISNUMBER(AM230))),0,1)+IF(OR(COUNTA(AN230:AP230)=0,AND(COUNTA(AN230:AP230)=3,ISNUMBER(AP230))),0,1)+IF(OR(COUNTA(AQ230:AS230)=0,AND(COUNTA(AQ230:AS230)=3,ISNUMBER(AS230))),0,1)+IF(OR(COUNTA(AT230:AV230)=0,AND(COUNTA(AT230:AV230)=3,ISNUMBER(AV230))),0,1)+IF(OR(COUNTA(AW230:AY230)=0,AND(COUNTA(AW230:AY230)=3,ISNUMBER(AY230))),0,1)+IF(OR(COUNTA(AZ230:BB230)=0,AND(COUNTA(AZ230:BB230)=3,ISNUMBER(BB230))),0,1))&gt;0,"; An invoice is incomplete (needs No, Date and a number in Ex GST)","")&amp;IF((IF(T230="",0,IFERROR(--(EOMONTH(T230,0)&lt;&gt;S$5),1))+IF(W230="",0,IFERROR(--(EOMONTH(W230,0)&lt;&gt;V$5),1))+IF(Z230="",0,IFERROR(--(EOMONTH(Z230,0)&lt;&gt;Y$5),1))+IF(AC230="",0,IFERROR(--(EOMONTH(AC230,0)&lt;&gt;AB$5),1))+IF(AF230="",0,IFERROR(--(EOMONTH(AF230,0)&lt;&gt;AE$5),1))+IF(AI230="",0,IFERROR(--(EOMONTH(AI230,0)&lt;&gt;AH$5),1))+IF(AL230="",0,IFERROR(--(EOMONTH(AL230,0)&lt;&gt;AK$5),1))+IF(AO230="",0,IFERROR(--(EOMONTH(AO230,0)&lt;&gt;AN$5),1))+IF(AR230="",0,IFERROR(--(EOMONTH(AR230,0)&lt;&gt;AQ$5),1))+IF(AU230="",0,IFERROR(--(EOMONTH(AU230,0)&lt;&gt;AT$5),1))+IF(AX230="",0,IFERROR(--(EOMONTH(AX230,0)&lt;&gt;AW$5),1))+IF(BA230="",0,IFERROR(--(EOMONTH(BA230,0)&lt;&gt;AZ$5),1)))&gt;0,"; An invoice date is not in the month it is typed under",""),3,500))</f>
        <v/>
      </c>
      <c r="S230" s="12" t="n"/>
      <c r="T230" s="13" t="n"/>
      <c r="U230" s="14" t="n"/>
      <c r="V230" s="12" t="n"/>
      <c r="W230" s="13" t="n"/>
      <c r="X230" s="14" t="n"/>
      <c r="Y230" s="12" t="n"/>
      <c r="Z230" s="13" t="n"/>
      <c r="AA230" s="14" t="n"/>
      <c r="AB230" s="12" t="n"/>
      <c r="AC230" s="13" t="n"/>
      <c r="AD230" s="14" t="n"/>
      <c r="AE230" s="12" t="n"/>
      <c r="AF230" s="13" t="n"/>
      <c r="AG230" s="14" t="n"/>
      <c r="AH230" s="12" t="n"/>
      <c r="AI230" s="13" t="n"/>
      <c r="AJ230" s="14" t="n"/>
      <c r="AK230" s="12" t="n"/>
      <c r="AL230" s="13" t="n"/>
      <c r="AM230" s="14" t="n"/>
      <c r="AN230" s="12" t="n"/>
      <c r="AO230" s="13" t="n"/>
      <c r="AP230" s="14" t="n"/>
      <c r="AQ230" s="12" t="n"/>
      <c r="AR230" s="13" t="n"/>
      <c r="AS230" s="14" t="n"/>
      <c r="AT230" s="12" t="n"/>
      <c r="AU230" s="13" t="n"/>
      <c r="AV230" s="14" t="n"/>
      <c r="AW230" s="12" t="n"/>
      <c r="AX230" s="13" t="n"/>
      <c r="AY230" s="14" t="n"/>
      <c r="AZ230" s="12" t="n"/>
      <c r="BA230" s="13" t="n"/>
      <c r="BB230" s="14" t="n"/>
      <c r="BC230" s="11">
        <f>IF(O230="","",IF(J230="GST 10%",ROUND(O230*set_GSTRate,2),0))</f>
        <v/>
      </c>
      <c r="BD230" s="11">
        <f>IF(O230="","",O230+BC230)</f>
        <v/>
      </c>
      <c r="BE230" s="15">
        <f>IF(O230="","",COUNTA(S230,V230,Y230,AB230,AE230,AH230,AK230,AN230,AQ230,AT230,AW230,AZ230))</f>
        <v/>
      </c>
      <c r="BF230" s="16">
        <f>IF(COUNT(T230,W230,Z230,AC230,AF230,AI230,AL230,AO230,AR230,AU230,AX230,BA230)=0,"",MAX(T230,W230,Z230,AC230,AF230,AI230,AL230,AO230,AR230,AU230,AX230,BA230))</f>
        <v/>
      </c>
      <c r="BG230" s="10">
        <f>MID(IF(S230="","",", "&amp;S230)&amp;IF(V230="","",", "&amp;V230)&amp;IF(Y230="","",", "&amp;Y230)&amp;IF(AB230="","",", "&amp;AB230)&amp;IF(AE230="","",", "&amp;AE230)&amp;IF(AH230="","",", "&amp;AH230)&amp;IF(AK230="","",", "&amp;AK230)&amp;IF(AN230="","",", "&amp;AN230)&amp;IF(AQ230="","",", "&amp;AQ230)&amp;IF(AT230="","",", "&amp;AT230)&amp;IF(AW230="","",", "&amp;AW230)&amp;IF(AZ230="","",", "&amp;AZ230),3,500)</f>
        <v/>
      </c>
      <c r="BH230" s="12" t="n"/>
      <c r="BI230" s="15">
        <f>IFERROR(MATCH($A230,IF($B230="Onsite",tbl_Onsite[Row ID],IF($B230="Production",tbl_Production[Row ID],tbl_Consulting[Row ID])),0),"")</f>
        <v/>
      </c>
    </row>
    <row r="231">
      <c r="A231" s="10" t="inlineStr">
        <is>
          <t>ONS-0225</t>
        </is>
      </c>
      <c r="B231" s="10" t="inlineStr">
        <is>
          <t>Onsite</t>
        </is>
      </c>
      <c r="C231" s="10">
        <f>IF($BI231="","",IF($B231="Onsite",INDEX(tbl_Onsite[Job Number],$BI231),IF($B231="Production",INDEX(tbl_Production[Job Number],$BI231),INDEX(tbl_Consulting[Job Number],$BI231)))&amp;"")</f>
        <v/>
      </c>
      <c r="D231" s="10">
        <f>IF($BI231="","",IF($B231="Onsite",INDEX(tbl_Onsite[Client],$BI231),IF($B231="Production",INDEX(tbl_Production[Client],$BI231),INDEX(tbl_Consulting[Client],$BI231)))&amp;"")</f>
        <v/>
      </c>
      <c r="E231" s="10">
        <f>IF($C231="","",IF(COUNTIF(lst_Jobs,$C231)&gt;0,"OK","CHECK"))</f>
        <v/>
      </c>
      <c r="F231" s="10">
        <f>IF($C231="","",IFERROR(INDEX(lst_JobName,MATCH($C231,lst_Jobs,0)),""))</f>
        <v/>
      </c>
      <c r="G231" s="10">
        <f>IF($BI231="","",IF($B231="Onsite",INDEX(tbl_Onsite[Job Description],$BI231),IF($B231="Production",INDEX(tbl_Production[Job Description],$BI231),INDEX(tbl_Consulting[Job Description],$BI231)))&amp;"")</f>
        <v/>
      </c>
      <c r="H231" s="10">
        <f>IF($BI231="","",IF($B231="Onsite",INDEX(tbl_Onsite[Cost Centre],$BI231),IF($B231="Production",INDEX(tbl_Production[Cost Centre],$BI231),INDEX(tbl_Consulting[Cost Centre],$BI231)))&amp;"")</f>
        <v/>
      </c>
      <c r="I231" s="10">
        <f>IF($BI231="","",IF($B231="Onsite",INDEX(tbl_Onsite[Invoice Type],$BI231),IF($B231="Production",INDEX(tbl_Production[Invoice Type],$BI231),INDEX(tbl_Consulting[Invoice Type],$BI231)))&amp;"")</f>
        <v/>
      </c>
      <c r="J231" s="10">
        <f>IF($BI231="","",IF($B231="Onsite",INDEX(tbl_Onsite[Tax Code],$BI231),IF($B231="Production",INDEX(tbl_Production[Tax Code],$BI231),INDEX(tbl_Consulting[Tax Code],$BI231)))&amp;"")</f>
        <v/>
      </c>
      <c r="K231" s="10">
        <f>IF(H231="","",IFERROR(INDEX(lst_CCtoGL,MATCH(H231,lst_CCforGL,0)),""))</f>
        <v/>
      </c>
      <c r="L231" s="10">
        <f>IF($BI231="","",IF($B231="Onsite",INDEX(tbl_Onsite[PO / Reference],$BI231),IF($B231="Production",INDEX(tbl_Production[Current RMS No],$BI231),INDEX(tbl_Consulting[Qwilr Quote],$BI231)))&amp;"")</f>
        <v/>
      </c>
      <c r="M231" s="10">
        <f>IF($BI231="","",IF($B231="Onsite",INDEX(tbl_Onsite[Notes],$BI231),IF($B231="Production",INDEX(tbl_Production[Notes],$BI231),INDEX(tbl_Consulting[Notes],$BI231)))&amp;"")</f>
        <v/>
      </c>
      <c r="N231" s="11">
        <f>IF($BI231="","",IF(IF($B231="Onsite",INDEX(tbl_Onsite[Expected Revenue Ex GST],$BI231),IF($B231="Production",INDEX(tbl_Production[Expected Revenue Ex GST],$BI231),INDEX(tbl_Consulting[Expected Revenue Ex GST],$BI231)))="","",IF($B231="Onsite",INDEX(tbl_Onsite[Expected Revenue Ex GST],$BI231),IF($B231="Production",INDEX(tbl_Production[Expected Revenue Ex GST],$BI231),INDEX(tbl_Consulting[Expected Revenue Ex GST],$BI231)))))</f>
        <v/>
      </c>
      <c r="O231" s="11">
        <f>IF(AND($C231="",NOT(COUNTA($S231:$BB231)&gt;0)),"",SUM(U231,X231,AA231,AD231,AG231,AJ231,AM231,AP231,AS231,AV231,AY231,BB231))</f>
        <v/>
      </c>
      <c r="P231" s="11">
        <f>IF(O231="","",N(N231)-O231)</f>
        <v/>
      </c>
      <c r="Q231" s="10">
        <f>IF(O231="","",IF($C231="","Invoice on empty job row",IF(N231="",IF(ROUND(O231,2)=0,"No dept value","Invoiced - no dept value"),IF(ROUND(O231,2)=0,"Not invoiced - to invoice",IF(ROUND(P231,2)=0,"Agrees",IF(P231&gt;0,"Dept higher - to invoice","Xero higher - check dept"))))))</f>
        <v/>
      </c>
      <c r="R231" s="10">
        <f>IF(AND($C231="",NOT(COUNTA($S231:$BB231)&gt;0),$BI231&lt;&gt;""),"",MID(IF($BI231="","; Row ID not found on the department sheet - a row was deleted","")&amp;IF(AND($C231="",COUNTA($S231:$BB231)&gt;0),"; Invoice entered but the department row has no job number","")&amp;IF(E231="CHECK","; Job number not in the Xero job list","")&amp;IF(AND($C231&lt;&gt;"",COUNTIF($C$7:$C$1506,$C231)&gt;1),"; Job number on more than one row","")&amp;IF(AND($C231&lt;&gt;"",H231=""),"; Dept has not set a cost centre","")&amp;IF(AND($C231&lt;&gt;"",J231=""),"; Dept has not set a tax code","")&amp;IF(AND($C231&lt;&gt;"",N231=""),"; Dept has not entered an expected value","")&amp;IF((IF(OR(COUNTA(S231:U231)=0,AND(COUNTA(S231:U231)=3,ISNUMBER(U231))),0,1)+IF(OR(COUNTA(V231:X231)=0,AND(COUNTA(V231:X231)=3,ISNUMBER(X231))),0,1)+IF(OR(COUNTA(Y231:AA231)=0,AND(COUNTA(Y231:AA231)=3,ISNUMBER(AA231))),0,1)+IF(OR(COUNTA(AB231:AD231)=0,AND(COUNTA(AB231:AD231)=3,ISNUMBER(AD231))),0,1)+IF(OR(COUNTA(AE231:AG231)=0,AND(COUNTA(AE231:AG231)=3,ISNUMBER(AG231))),0,1)+IF(OR(COUNTA(AH231:AJ231)=0,AND(COUNTA(AH231:AJ231)=3,ISNUMBER(AJ231))),0,1)+IF(OR(COUNTA(AK231:AM231)=0,AND(COUNTA(AK231:AM231)=3,ISNUMBER(AM231))),0,1)+IF(OR(COUNTA(AN231:AP231)=0,AND(COUNTA(AN231:AP231)=3,ISNUMBER(AP231))),0,1)+IF(OR(COUNTA(AQ231:AS231)=0,AND(COUNTA(AQ231:AS231)=3,ISNUMBER(AS231))),0,1)+IF(OR(COUNTA(AT231:AV231)=0,AND(COUNTA(AT231:AV231)=3,ISNUMBER(AV231))),0,1)+IF(OR(COUNTA(AW231:AY231)=0,AND(COUNTA(AW231:AY231)=3,ISNUMBER(AY231))),0,1)+IF(OR(COUNTA(AZ231:BB231)=0,AND(COUNTA(AZ231:BB231)=3,ISNUMBER(BB231))),0,1))&gt;0,"; An invoice is incomplete (needs No, Date and a number in Ex GST)","")&amp;IF((IF(T231="",0,IFERROR(--(EOMONTH(T231,0)&lt;&gt;S$5),1))+IF(W231="",0,IFERROR(--(EOMONTH(W231,0)&lt;&gt;V$5),1))+IF(Z231="",0,IFERROR(--(EOMONTH(Z231,0)&lt;&gt;Y$5),1))+IF(AC231="",0,IFERROR(--(EOMONTH(AC231,0)&lt;&gt;AB$5),1))+IF(AF231="",0,IFERROR(--(EOMONTH(AF231,0)&lt;&gt;AE$5),1))+IF(AI231="",0,IFERROR(--(EOMONTH(AI231,0)&lt;&gt;AH$5),1))+IF(AL231="",0,IFERROR(--(EOMONTH(AL231,0)&lt;&gt;AK$5),1))+IF(AO231="",0,IFERROR(--(EOMONTH(AO231,0)&lt;&gt;AN$5),1))+IF(AR231="",0,IFERROR(--(EOMONTH(AR231,0)&lt;&gt;AQ$5),1))+IF(AU231="",0,IFERROR(--(EOMONTH(AU231,0)&lt;&gt;AT$5),1))+IF(AX231="",0,IFERROR(--(EOMONTH(AX231,0)&lt;&gt;AW$5),1))+IF(BA231="",0,IFERROR(--(EOMONTH(BA231,0)&lt;&gt;AZ$5),1)))&gt;0,"; An invoice date is not in the month it is typed under",""),3,500))</f>
        <v/>
      </c>
      <c r="S231" s="12" t="n"/>
      <c r="T231" s="13" t="n"/>
      <c r="U231" s="14" t="n"/>
      <c r="V231" s="12" t="n"/>
      <c r="W231" s="13" t="n"/>
      <c r="X231" s="14" t="n"/>
      <c r="Y231" s="12" t="n"/>
      <c r="Z231" s="13" t="n"/>
      <c r="AA231" s="14" t="n"/>
      <c r="AB231" s="12" t="n"/>
      <c r="AC231" s="13" t="n"/>
      <c r="AD231" s="14" t="n"/>
      <c r="AE231" s="12" t="n"/>
      <c r="AF231" s="13" t="n"/>
      <c r="AG231" s="14" t="n"/>
      <c r="AH231" s="12" t="n"/>
      <c r="AI231" s="13" t="n"/>
      <c r="AJ231" s="14" t="n"/>
      <c r="AK231" s="12" t="n"/>
      <c r="AL231" s="13" t="n"/>
      <c r="AM231" s="14" t="n"/>
      <c r="AN231" s="12" t="n"/>
      <c r="AO231" s="13" t="n"/>
      <c r="AP231" s="14" t="n"/>
      <c r="AQ231" s="12" t="n"/>
      <c r="AR231" s="13" t="n"/>
      <c r="AS231" s="14" t="n"/>
      <c r="AT231" s="12" t="n"/>
      <c r="AU231" s="13" t="n"/>
      <c r="AV231" s="14" t="n"/>
      <c r="AW231" s="12" t="n"/>
      <c r="AX231" s="13" t="n"/>
      <c r="AY231" s="14" t="n"/>
      <c r="AZ231" s="12" t="n"/>
      <c r="BA231" s="13" t="n"/>
      <c r="BB231" s="14" t="n"/>
      <c r="BC231" s="11">
        <f>IF(O231="","",IF(J231="GST 10%",ROUND(O231*set_GSTRate,2),0))</f>
        <v/>
      </c>
      <c r="BD231" s="11">
        <f>IF(O231="","",O231+BC231)</f>
        <v/>
      </c>
      <c r="BE231" s="15">
        <f>IF(O231="","",COUNTA(S231,V231,Y231,AB231,AE231,AH231,AK231,AN231,AQ231,AT231,AW231,AZ231))</f>
        <v/>
      </c>
      <c r="BF231" s="16">
        <f>IF(COUNT(T231,W231,Z231,AC231,AF231,AI231,AL231,AO231,AR231,AU231,AX231,BA231)=0,"",MAX(T231,W231,Z231,AC231,AF231,AI231,AL231,AO231,AR231,AU231,AX231,BA231))</f>
        <v/>
      </c>
      <c r="BG231" s="10">
        <f>MID(IF(S231="","",", "&amp;S231)&amp;IF(V231="","",", "&amp;V231)&amp;IF(Y231="","",", "&amp;Y231)&amp;IF(AB231="","",", "&amp;AB231)&amp;IF(AE231="","",", "&amp;AE231)&amp;IF(AH231="","",", "&amp;AH231)&amp;IF(AK231="","",", "&amp;AK231)&amp;IF(AN231="","",", "&amp;AN231)&amp;IF(AQ231="","",", "&amp;AQ231)&amp;IF(AT231="","",", "&amp;AT231)&amp;IF(AW231="","",", "&amp;AW231)&amp;IF(AZ231="","",", "&amp;AZ231),3,500)</f>
        <v/>
      </c>
      <c r="BH231" s="12" t="n"/>
      <c r="BI231" s="15">
        <f>IFERROR(MATCH($A231,IF($B231="Onsite",tbl_Onsite[Row ID],IF($B231="Production",tbl_Production[Row ID],tbl_Consulting[Row ID])),0),"")</f>
        <v/>
      </c>
    </row>
    <row r="232">
      <c r="A232" s="10" t="inlineStr">
        <is>
          <t>ONS-0226</t>
        </is>
      </c>
      <c r="B232" s="10" t="inlineStr">
        <is>
          <t>Onsite</t>
        </is>
      </c>
      <c r="C232" s="10">
        <f>IF($BI232="","",IF($B232="Onsite",INDEX(tbl_Onsite[Job Number],$BI232),IF($B232="Production",INDEX(tbl_Production[Job Number],$BI232),INDEX(tbl_Consulting[Job Number],$BI232)))&amp;"")</f>
        <v/>
      </c>
      <c r="D232" s="10">
        <f>IF($BI232="","",IF($B232="Onsite",INDEX(tbl_Onsite[Client],$BI232),IF($B232="Production",INDEX(tbl_Production[Client],$BI232),INDEX(tbl_Consulting[Client],$BI232)))&amp;"")</f>
        <v/>
      </c>
      <c r="E232" s="10">
        <f>IF($C232="","",IF(COUNTIF(lst_Jobs,$C232)&gt;0,"OK","CHECK"))</f>
        <v/>
      </c>
      <c r="F232" s="10">
        <f>IF($C232="","",IFERROR(INDEX(lst_JobName,MATCH($C232,lst_Jobs,0)),""))</f>
        <v/>
      </c>
      <c r="G232" s="10">
        <f>IF($BI232="","",IF($B232="Onsite",INDEX(tbl_Onsite[Job Description],$BI232),IF($B232="Production",INDEX(tbl_Production[Job Description],$BI232),INDEX(tbl_Consulting[Job Description],$BI232)))&amp;"")</f>
        <v/>
      </c>
      <c r="H232" s="10">
        <f>IF($BI232="","",IF($B232="Onsite",INDEX(tbl_Onsite[Cost Centre],$BI232),IF($B232="Production",INDEX(tbl_Production[Cost Centre],$BI232),INDEX(tbl_Consulting[Cost Centre],$BI232)))&amp;"")</f>
        <v/>
      </c>
      <c r="I232" s="10">
        <f>IF($BI232="","",IF($B232="Onsite",INDEX(tbl_Onsite[Invoice Type],$BI232),IF($B232="Production",INDEX(tbl_Production[Invoice Type],$BI232),INDEX(tbl_Consulting[Invoice Type],$BI232)))&amp;"")</f>
        <v/>
      </c>
      <c r="J232" s="10">
        <f>IF($BI232="","",IF($B232="Onsite",INDEX(tbl_Onsite[Tax Code],$BI232),IF($B232="Production",INDEX(tbl_Production[Tax Code],$BI232),INDEX(tbl_Consulting[Tax Code],$BI232)))&amp;"")</f>
        <v/>
      </c>
      <c r="K232" s="10">
        <f>IF(H232="","",IFERROR(INDEX(lst_CCtoGL,MATCH(H232,lst_CCforGL,0)),""))</f>
        <v/>
      </c>
      <c r="L232" s="10">
        <f>IF($BI232="","",IF($B232="Onsite",INDEX(tbl_Onsite[PO / Reference],$BI232),IF($B232="Production",INDEX(tbl_Production[Current RMS No],$BI232),INDEX(tbl_Consulting[Qwilr Quote],$BI232)))&amp;"")</f>
        <v/>
      </c>
      <c r="M232" s="10">
        <f>IF($BI232="","",IF($B232="Onsite",INDEX(tbl_Onsite[Notes],$BI232),IF($B232="Production",INDEX(tbl_Production[Notes],$BI232),INDEX(tbl_Consulting[Notes],$BI232)))&amp;"")</f>
        <v/>
      </c>
      <c r="N232" s="11">
        <f>IF($BI232="","",IF(IF($B232="Onsite",INDEX(tbl_Onsite[Expected Revenue Ex GST],$BI232),IF($B232="Production",INDEX(tbl_Production[Expected Revenue Ex GST],$BI232),INDEX(tbl_Consulting[Expected Revenue Ex GST],$BI232)))="","",IF($B232="Onsite",INDEX(tbl_Onsite[Expected Revenue Ex GST],$BI232),IF($B232="Production",INDEX(tbl_Production[Expected Revenue Ex GST],$BI232),INDEX(tbl_Consulting[Expected Revenue Ex GST],$BI232)))))</f>
        <v/>
      </c>
      <c r="O232" s="11">
        <f>IF(AND($C232="",NOT(COUNTA($S232:$BB232)&gt;0)),"",SUM(U232,X232,AA232,AD232,AG232,AJ232,AM232,AP232,AS232,AV232,AY232,BB232))</f>
        <v/>
      </c>
      <c r="P232" s="11">
        <f>IF(O232="","",N(N232)-O232)</f>
        <v/>
      </c>
      <c r="Q232" s="10">
        <f>IF(O232="","",IF($C232="","Invoice on empty job row",IF(N232="",IF(ROUND(O232,2)=0,"No dept value","Invoiced - no dept value"),IF(ROUND(O232,2)=0,"Not invoiced - to invoice",IF(ROUND(P232,2)=0,"Agrees",IF(P232&gt;0,"Dept higher - to invoice","Xero higher - check dept"))))))</f>
        <v/>
      </c>
      <c r="R232" s="10">
        <f>IF(AND($C232="",NOT(COUNTA($S232:$BB232)&gt;0),$BI232&lt;&gt;""),"",MID(IF($BI232="","; Row ID not found on the department sheet - a row was deleted","")&amp;IF(AND($C232="",COUNTA($S232:$BB232)&gt;0),"; Invoice entered but the department row has no job number","")&amp;IF(E232="CHECK","; Job number not in the Xero job list","")&amp;IF(AND($C232&lt;&gt;"",COUNTIF($C$7:$C$1506,$C232)&gt;1),"; Job number on more than one row","")&amp;IF(AND($C232&lt;&gt;"",H232=""),"; Dept has not set a cost centre","")&amp;IF(AND($C232&lt;&gt;"",J232=""),"; Dept has not set a tax code","")&amp;IF(AND($C232&lt;&gt;"",N232=""),"; Dept has not entered an expected value","")&amp;IF((IF(OR(COUNTA(S232:U232)=0,AND(COUNTA(S232:U232)=3,ISNUMBER(U232))),0,1)+IF(OR(COUNTA(V232:X232)=0,AND(COUNTA(V232:X232)=3,ISNUMBER(X232))),0,1)+IF(OR(COUNTA(Y232:AA232)=0,AND(COUNTA(Y232:AA232)=3,ISNUMBER(AA232))),0,1)+IF(OR(COUNTA(AB232:AD232)=0,AND(COUNTA(AB232:AD232)=3,ISNUMBER(AD232))),0,1)+IF(OR(COUNTA(AE232:AG232)=0,AND(COUNTA(AE232:AG232)=3,ISNUMBER(AG232))),0,1)+IF(OR(COUNTA(AH232:AJ232)=0,AND(COUNTA(AH232:AJ232)=3,ISNUMBER(AJ232))),0,1)+IF(OR(COUNTA(AK232:AM232)=0,AND(COUNTA(AK232:AM232)=3,ISNUMBER(AM232))),0,1)+IF(OR(COUNTA(AN232:AP232)=0,AND(COUNTA(AN232:AP232)=3,ISNUMBER(AP232))),0,1)+IF(OR(COUNTA(AQ232:AS232)=0,AND(COUNTA(AQ232:AS232)=3,ISNUMBER(AS232))),0,1)+IF(OR(COUNTA(AT232:AV232)=0,AND(COUNTA(AT232:AV232)=3,ISNUMBER(AV232))),0,1)+IF(OR(COUNTA(AW232:AY232)=0,AND(COUNTA(AW232:AY232)=3,ISNUMBER(AY232))),0,1)+IF(OR(COUNTA(AZ232:BB232)=0,AND(COUNTA(AZ232:BB232)=3,ISNUMBER(BB232))),0,1))&gt;0,"; An invoice is incomplete (needs No, Date and a number in Ex GST)","")&amp;IF((IF(T232="",0,IFERROR(--(EOMONTH(T232,0)&lt;&gt;S$5),1))+IF(W232="",0,IFERROR(--(EOMONTH(W232,0)&lt;&gt;V$5),1))+IF(Z232="",0,IFERROR(--(EOMONTH(Z232,0)&lt;&gt;Y$5),1))+IF(AC232="",0,IFERROR(--(EOMONTH(AC232,0)&lt;&gt;AB$5),1))+IF(AF232="",0,IFERROR(--(EOMONTH(AF232,0)&lt;&gt;AE$5),1))+IF(AI232="",0,IFERROR(--(EOMONTH(AI232,0)&lt;&gt;AH$5),1))+IF(AL232="",0,IFERROR(--(EOMONTH(AL232,0)&lt;&gt;AK$5),1))+IF(AO232="",0,IFERROR(--(EOMONTH(AO232,0)&lt;&gt;AN$5),1))+IF(AR232="",0,IFERROR(--(EOMONTH(AR232,0)&lt;&gt;AQ$5),1))+IF(AU232="",0,IFERROR(--(EOMONTH(AU232,0)&lt;&gt;AT$5),1))+IF(AX232="",0,IFERROR(--(EOMONTH(AX232,0)&lt;&gt;AW$5),1))+IF(BA232="",0,IFERROR(--(EOMONTH(BA232,0)&lt;&gt;AZ$5),1)))&gt;0,"; An invoice date is not in the month it is typed under",""),3,500))</f>
        <v/>
      </c>
      <c r="S232" s="12" t="n"/>
      <c r="T232" s="13" t="n"/>
      <c r="U232" s="14" t="n"/>
      <c r="V232" s="12" t="n"/>
      <c r="W232" s="13" t="n"/>
      <c r="X232" s="14" t="n"/>
      <c r="Y232" s="12" t="n"/>
      <c r="Z232" s="13" t="n"/>
      <c r="AA232" s="14" t="n"/>
      <c r="AB232" s="12" t="n"/>
      <c r="AC232" s="13" t="n"/>
      <c r="AD232" s="14" t="n"/>
      <c r="AE232" s="12" t="n"/>
      <c r="AF232" s="13" t="n"/>
      <c r="AG232" s="14" t="n"/>
      <c r="AH232" s="12" t="n"/>
      <c r="AI232" s="13" t="n"/>
      <c r="AJ232" s="14" t="n"/>
      <c r="AK232" s="12" t="n"/>
      <c r="AL232" s="13" t="n"/>
      <c r="AM232" s="14" t="n"/>
      <c r="AN232" s="12" t="n"/>
      <c r="AO232" s="13" t="n"/>
      <c r="AP232" s="14" t="n"/>
      <c r="AQ232" s="12" t="n"/>
      <c r="AR232" s="13" t="n"/>
      <c r="AS232" s="14" t="n"/>
      <c r="AT232" s="12" t="n"/>
      <c r="AU232" s="13" t="n"/>
      <c r="AV232" s="14" t="n"/>
      <c r="AW232" s="12" t="n"/>
      <c r="AX232" s="13" t="n"/>
      <c r="AY232" s="14" t="n"/>
      <c r="AZ232" s="12" t="n"/>
      <c r="BA232" s="13" t="n"/>
      <c r="BB232" s="14" t="n"/>
      <c r="BC232" s="11">
        <f>IF(O232="","",IF(J232="GST 10%",ROUND(O232*set_GSTRate,2),0))</f>
        <v/>
      </c>
      <c r="BD232" s="11">
        <f>IF(O232="","",O232+BC232)</f>
        <v/>
      </c>
      <c r="BE232" s="15">
        <f>IF(O232="","",COUNTA(S232,V232,Y232,AB232,AE232,AH232,AK232,AN232,AQ232,AT232,AW232,AZ232))</f>
        <v/>
      </c>
      <c r="BF232" s="16">
        <f>IF(COUNT(T232,W232,Z232,AC232,AF232,AI232,AL232,AO232,AR232,AU232,AX232,BA232)=0,"",MAX(T232,W232,Z232,AC232,AF232,AI232,AL232,AO232,AR232,AU232,AX232,BA232))</f>
        <v/>
      </c>
      <c r="BG232" s="10">
        <f>MID(IF(S232="","",", "&amp;S232)&amp;IF(V232="","",", "&amp;V232)&amp;IF(Y232="","",", "&amp;Y232)&amp;IF(AB232="","",", "&amp;AB232)&amp;IF(AE232="","",", "&amp;AE232)&amp;IF(AH232="","",", "&amp;AH232)&amp;IF(AK232="","",", "&amp;AK232)&amp;IF(AN232="","",", "&amp;AN232)&amp;IF(AQ232="","",", "&amp;AQ232)&amp;IF(AT232="","",", "&amp;AT232)&amp;IF(AW232="","",", "&amp;AW232)&amp;IF(AZ232="","",", "&amp;AZ232),3,500)</f>
        <v/>
      </c>
      <c r="BH232" s="12" t="n"/>
      <c r="BI232" s="15">
        <f>IFERROR(MATCH($A232,IF($B232="Onsite",tbl_Onsite[Row ID],IF($B232="Production",tbl_Production[Row ID],tbl_Consulting[Row ID])),0),"")</f>
        <v/>
      </c>
    </row>
    <row r="233">
      <c r="A233" s="10" t="inlineStr">
        <is>
          <t>ONS-0227</t>
        </is>
      </c>
      <c r="B233" s="10" t="inlineStr">
        <is>
          <t>Onsite</t>
        </is>
      </c>
      <c r="C233" s="10">
        <f>IF($BI233="","",IF($B233="Onsite",INDEX(tbl_Onsite[Job Number],$BI233),IF($B233="Production",INDEX(tbl_Production[Job Number],$BI233),INDEX(tbl_Consulting[Job Number],$BI233)))&amp;"")</f>
        <v/>
      </c>
      <c r="D233" s="10">
        <f>IF($BI233="","",IF($B233="Onsite",INDEX(tbl_Onsite[Client],$BI233),IF($B233="Production",INDEX(tbl_Production[Client],$BI233),INDEX(tbl_Consulting[Client],$BI233)))&amp;"")</f>
        <v/>
      </c>
      <c r="E233" s="10">
        <f>IF($C233="","",IF(COUNTIF(lst_Jobs,$C233)&gt;0,"OK","CHECK"))</f>
        <v/>
      </c>
      <c r="F233" s="10">
        <f>IF($C233="","",IFERROR(INDEX(lst_JobName,MATCH($C233,lst_Jobs,0)),""))</f>
        <v/>
      </c>
      <c r="G233" s="10">
        <f>IF($BI233="","",IF($B233="Onsite",INDEX(tbl_Onsite[Job Description],$BI233),IF($B233="Production",INDEX(tbl_Production[Job Description],$BI233),INDEX(tbl_Consulting[Job Description],$BI233)))&amp;"")</f>
        <v/>
      </c>
      <c r="H233" s="10">
        <f>IF($BI233="","",IF($B233="Onsite",INDEX(tbl_Onsite[Cost Centre],$BI233),IF($B233="Production",INDEX(tbl_Production[Cost Centre],$BI233),INDEX(tbl_Consulting[Cost Centre],$BI233)))&amp;"")</f>
        <v/>
      </c>
      <c r="I233" s="10">
        <f>IF($BI233="","",IF($B233="Onsite",INDEX(tbl_Onsite[Invoice Type],$BI233),IF($B233="Production",INDEX(tbl_Production[Invoice Type],$BI233),INDEX(tbl_Consulting[Invoice Type],$BI233)))&amp;"")</f>
        <v/>
      </c>
      <c r="J233" s="10">
        <f>IF($BI233="","",IF($B233="Onsite",INDEX(tbl_Onsite[Tax Code],$BI233),IF($B233="Production",INDEX(tbl_Production[Tax Code],$BI233),INDEX(tbl_Consulting[Tax Code],$BI233)))&amp;"")</f>
        <v/>
      </c>
      <c r="K233" s="10">
        <f>IF(H233="","",IFERROR(INDEX(lst_CCtoGL,MATCH(H233,lst_CCforGL,0)),""))</f>
        <v/>
      </c>
      <c r="L233" s="10">
        <f>IF($BI233="","",IF($B233="Onsite",INDEX(tbl_Onsite[PO / Reference],$BI233),IF($B233="Production",INDEX(tbl_Production[Current RMS No],$BI233),INDEX(tbl_Consulting[Qwilr Quote],$BI233)))&amp;"")</f>
        <v/>
      </c>
      <c r="M233" s="10">
        <f>IF($BI233="","",IF($B233="Onsite",INDEX(tbl_Onsite[Notes],$BI233),IF($B233="Production",INDEX(tbl_Production[Notes],$BI233),INDEX(tbl_Consulting[Notes],$BI233)))&amp;"")</f>
        <v/>
      </c>
      <c r="N233" s="11">
        <f>IF($BI233="","",IF(IF($B233="Onsite",INDEX(tbl_Onsite[Expected Revenue Ex GST],$BI233),IF($B233="Production",INDEX(tbl_Production[Expected Revenue Ex GST],$BI233),INDEX(tbl_Consulting[Expected Revenue Ex GST],$BI233)))="","",IF($B233="Onsite",INDEX(tbl_Onsite[Expected Revenue Ex GST],$BI233),IF($B233="Production",INDEX(tbl_Production[Expected Revenue Ex GST],$BI233),INDEX(tbl_Consulting[Expected Revenue Ex GST],$BI233)))))</f>
        <v/>
      </c>
      <c r="O233" s="11">
        <f>IF(AND($C233="",NOT(COUNTA($S233:$BB233)&gt;0)),"",SUM(U233,X233,AA233,AD233,AG233,AJ233,AM233,AP233,AS233,AV233,AY233,BB233))</f>
        <v/>
      </c>
      <c r="P233" s="11">
        <f>IF(O233="","",N(N233)-O233)</f>
        <v/>
      </c>
      <c r="Q233" s="10">
        <f>IF(O233="","",IF($C233="","Invoice on empty job row",IF(N233="",IF(ROUND(O233,2)=0,"No dept value","Invoiced - no dept value"),IF(ROUND(O233,2)=0,"Not invoiced - to invoice",IF(ROUND(P233,2)=0,"Agrees",IF(P233&gt;0,"Dept higher - to invoice","Xero higher - check dept"))))))</f>
        <v/>
      </c>
      <c r="R233" s="10">
        <f>IF(AND($C233="",NOT(COUNTA($S233:$BB233)&gt;0),$BI233&lt;&gt;""),"",MID(IF($BI233="","; Row ID not found on the department sheet - a row was deleted","")&amp;IF(AND($C233="",COUNTA($S233:$BB233)&gt;0),"; Invoice entered but the department row has no job number","")&amp;IF(E233="CHECK","; Job number not in the Xero job list","")&amp;IF(AND($C233&lt;&gt;"",COUNTIF($C$7:$C$1506,$C233)&gt;1),"; Job number on more than one row","")&amp;IF(AND($C233&lt;&gt;"",H233=""),"; Dept has not set a cost centre","")&amp;IF(AND($C233&lt;&gt;"",J233=""),"; Dept has not set a tax code","")&amp;IF(AND($C233&lt;&gt;"",N233=""),"; Dept has not entered an expected value","")&amp;IF((IF(OR(COUNTA(S233:U233)=0,AND(COUNTA(S233:U233)=3,ISNUMBER(U233))),0,1)+IF(OR(COUNTA(V233:X233)=0,AND(COUNTA(V233:X233)=3,ISNUMBER(X233))),0,1)+IF(OR(COUNTA(Y233:AA233)=0,AND(COUNTA(Y233:AA233)=3,ISNUMBER(AA233))),0,1)+IF(OR(COUNTA(AB233:AD233)=0,AND(COUNTA(AB233:AD233)=3,ISNUMBER(AD233))),0,1)+IF(OR(COUNTA(AE233:AG233)=0,AND(COUNTA(AE233:AG233)=3,ISNUMBER(AG233))),0,1)+IF(OR(COUNTA(AH233:AJ233)=0,AND(COUNTA(AH233:AJ233)=3,ISNUMBER(AJ233))),0,1)+IF(OR(COUNTA(AK233:AM233)=0,AND(COUNTA(AK233:AM233)=3,ISNUMBER(AM233))),0,1)+IF(OR(COUNTA(AN233:AP233)=0,AND(COUNTA(AN233:AP233)=3,ISNUMBER(AP233))),0,1)+IF(OR(COUNTA(AQ233:AS233)=0,AND(COUNTA(AQ233:AS233)=3,ISNUMBER(AS233))),0,1)+IF(OR(COUNTA(AT233:AV233)=0,AND(COUNTA(AT233:AV233)=3,ISNUMBER(AV233))),0,1)+IF(OR(COUNTA(AW233:AY233)=0,AND(COUNTA(AW233:AY233)=3,ISNUMBER(AY233))),0,1)+IF(OR(COUNTA(AZ233:BB233)=0,AND(COUNTA(AZ233:BB233)=3,ISNUMBER(BB233))),0,1))&gt;0,"; An invoice is incomplete (needs No, Date and a number in Ex GST)","")&amp;IF((IF(T233="",0,IFERROR(--(EOMONTH(T233,0)&lt;&gt;S$5),1))+IF(W233="",0,IFERROR(--(EOMONTH(W233,0)&lt;&gt;V$5),1))+IF(Z233="",0,IFERROR(--(EOMONTH(Z233,0)&lt;&gt;Y$5),1))+IF(AC233="",0,IFERROR(--(EOMONTH(AC233,0)&lt;&gt;AB$5),1))+IF(AF233="",0,IFERROR(--(EOMONTH(AF233,0)&lt;&gt;AE$5),1))+IF(AI233="",0,IFERROR(--(EOMONTH(AI233,0)&lt;&gt;AH$5),1))+IF(AL233="",0,IFERROR(--(EOMONTH(AL233,0)&lt;&gt;AK$5),1))+IF(AO233="",0,IFERROR(--(EOMONTH(AO233,0)&lt;&gt;AN$5),1))+IF(AR233="",0,IFERROR(--(EOMONTH(AR233,0)&lt;&gt;AQ$5),1))+IF(AU233="",0,IFERROR(--(EOMONTH(AU233,0)&lt;&gt;AT$5),1))+IF(AX233="",0,IFERROR(--(EOMONTH(AX233,0)&lt;&gt;AW$5),1))+IF(BA233="",0,IFERROR(--(EOMONTH(BA233,0)&lt;&gt;AZ$5),1)))&gt;0,"; An invoice date is not in the month it is typed under",""),3,500))</f>
        <v/>
      </c>
      <c r="S233" s="12" t="n"/>
      <c r="T233" s="13" t="n"/>
      <c r="U233" s="14" t="n"/>
      <c r="V233" s="12" t="n"/>
      <c r="W233" s="13" t="n"/>
      <c r="X233" s="14" t="n"/>
      <c r="Y233" s="12" t="n"/>
      <c r="Z233" s="13" t="n"/>
      <c r="AA233" s="14" t="n"/>
      <c r="AB233" s="12" t="n"/>
      <c r="AC233" s="13" t="n"/>
      <c r="AD233" s="14" t="n"/>
      <c r="AE233" s="12" t="n"/>
      <c r="AF233" s="13" t="n"/>
      <c r="AG233" s="14" t="n"/>
      <c r="AH233" s="12" t="n"/>
      <c r="AI233" s="13" t="n"/>
      <c r="AJ233" s="14" t="n"/>
      <c r="AK233" s="12" t="n"/>
      <c r="AL233" s="13" t="n"/>
      <c r="AM233" s="14" t="n"/>
      <c r="AN233" s="12" t="n"/>
      <c r="AO233" s="13" t="n"/>
      <c r="AP233" s="14" t="n"/>
      <c r="AQ233" s="12" t="n"/>
      <c r="AR233" s="13" t="n"/>
      <c r="AS233" s="14" t="n"/>
      <c r="AT233" s="12" t="n"/>
      <c r="AU233" s="13" t="n"/>
      <c r="AV233" s="14" t="n"/>
      <c r="AW233" s="12" t="n"/>
      <c r="AX233" s="13" t="n"/>
      <c r="AY233" s="14" t="n"/>
      <c r="AZ233" s="12" t="n"/>
      <c r="BA233" s="13" t="n"/>
      <c r="BB233" s="14" t="n"/>
      <c r="BC233" s="11">
        <f>IF(O233="","",IF(J233="GST 10%",ROUND(O233*set_GSTRate,2),0))</f>
        <v/>
      </c>
      <c r="BD233" s="11">
        <f>IF(O233="","",O233+BC233)</f>
        <v/>
      </c>
      <c r="BE233" s="15">
        <f>IF(O233="","",COUNTA(S233,V233,Y233,AB233,AE233,AH233,AK233,AN233,AQ233,AT233,AW233,AZ233))</f>
        <v/>
      </c>
      <c r="BF233" s="16">
        <f>IF(COUNT(T233,W233,Z233,AC233,AF233,AI233,AL233,AO233,AR233,AU233,AX233,BA233)=0,"",MAX(T233,W233,Z233,AC233,AF233,AI233,AL233,AO233,AR233,AU233,AX233,BA233))</f>
        <v/>
      </c>
      <c r="BG233" s="10">
        <f>MID(IF(S233="","",", "&amp;S233)&amp;IF(V233="","",", "&amp;V233)&amp;IF(Y233="","",", "&amp;Y233)&amp;IF(AB233="","",", "&amp;AB233)&amp;IF(AE233="","",", "&amp;AE233)&amp;IF(AH233="","",", "&amp;AH233)&amp;IF(AK233="","",", "&amp;AK233)&amp;IF(AN233="","",", "&amp;AN233)&amp;IF(AQ233="","",", "&amp;AQ233)&amp;IF(AT233="","",", "&amp;AT233)&amp;IF(AW233="","",", "&amp;AW233)&amp;IF(AZ233="","",", "&amp;AZ233),3,500)</f>
        <v/>
      </c>
      <c r="BH233" s="12" t="n"/>
      <c r="BI233" s="15">
        <f>IFERROR(MATCH($A233,IF($B233="Onsite",tbl_Onsite[Row ID],IF($B233="Production",tbl_Production[Row ID],tbl_Consulting[Row ID])),0),"")</f>
        <v/>
      </c>
    </row>
    <row r="234">
      <c r="A234" s="10" t="inlineStr">
        <is>
          <t>ONS-0228</t>
        </is>
      </c>
      <c r="B234" s="10" t="inlineStr">
        <is>
          <t>Onsite</t>
        </is>
      </c>
      <c r="C234" s="10">
        <f>IF($BI234="","",IF($B234="Onsite",INDEX(tbl_Onsite[Job Number],$BI234),IF($B234="Production",INDEX(tbl_Production[Job Number],$BI234),INDEX(tbl_Consulting[Job Number],$BI234)))&amp;"")</f>
        <v/>
      </c>
      <c r="D234" s="10">
        <f>IF($BI234="","",IF($B234="Onsite",INDEX(tbl_Onsite[Client],$BI234),IF($B234="Production",INDEX(tbl_Production[Client],$BI234),INDEX(tbl_Consulting[Client],$BI234)))&amp;"")</f>
        <v/>
      </c>
      <c r="E234" s="10">
        <f>IF($C234="","",IF(COUNTIF(lst_Jobs,$C234)&gt;0,"OK","CHECK"))</f>
        <v/>
      </c>
      <c r="F234" s="10">
        <f>IF($C234="","",IFERROR(INDEX(lst_JobName,MATCH($C234,lst_Jobs,0)),""))</f>
        <v/>
      </c>
      <c r="G234" s="10">
        <f>IF($BI234="","",IF($B234="Onsite",INDEX(tbl_Onsite[Job Description],$BI234),IF($B234="Production",INDEX(tbl_Production[Job Description],$BI234),INDEX(tbl_Consulting[Job Description],$BI234)))&amp;"")</f>
        <v/>
      </c>
      <c r="H234" s="10">
        <f>IF($BI234="","",IF($B234="Onsite",INDEX(tbl_Onsite[Cost Centre],$BI234),IF($B234="Production",INDEX(tbl_Production[Cost Centre],$BI234),INDEX(tbl_Consulting[Cost Centre],$BI234)))&amp;"")</f>
        <v/>
      </c>
      <c r="I234" s="10">
        <f>IF($BI234="","",IF($B234="Onsite",INDEX(tbl_Onsite[Invoice Type],$BI234),IF($B234="Production",INDEX(tbl_Production[Invoice Type],$BI234),INDEX(tbl_Consulting[Invoice Type],$BI234)))&amp;"")</f>
        <v/>
      </c>
      <c r="J234" s="10">
        <f>IF($BI234="","",IF($B234="Onsite",INDEX(tbl_Onsite[Tax Code],$BI234),IF($B234="Production",INDEX(tbl_Production[Tax Code],$BI234),INDEX(tbl_Consulting[Tax Code],$BI234)))&amp;"")</f>
        <v/>
      </c>
      <c r="K234" s="10">
        <f>IF(H234="","",IFERROR(INDEX(lst_CCtoGL,MATCH(H234,lst_CCforGL,0)),""))</f>
        <v/>
      </c>
      <c r="L234" s="10">
        <f>IF($BI234="","",IF($B234="Onsite",INDEX(tbl_Onsite[PO / Reference],$BI234),IF($B234="Production",INDEX(tbl_Production[Current RMS No],$BI234),INDEX(tbl_Consulting[Qwilr Quote],$BI234)))&amp;"")</f>
        <v/>
      </c>
      <c r="M234" s="10">
        <f>IF($BI234="","",IF($B234="Onsite",INDEX(tbl_Onsite[Notes],$BI234),IF($B234="Production",INDEX(tbl_Production[Notes],$BI234),INDEX(tbl_Consulting[Notes],$BI234)))&amp;"")</f>
        <v/>
      </c>
      <c r="N234" s="11">
        <f>IF($BI234="","",IF(IF($B234="Onsite",INDEX(tbl_Onsite[Expected Revenue Ex GST],$BI234),IF($B234="Production",INDEX(tbl_Production[Expected Revenue Ex GST],$BI234),INDEX(tbl_Consulting[Expected Revenue Ex GST],$BI234)))="","",IF($B234="Onsite",INDEX(tbl_Onsite[Expected Revenue Ex GST],$BI234),IF($B234="Production",INDEX(tbl_Production[Expected Revenue Ex GST],$BI234),INDEX(tbl_Consulting[Expected Revenue Ex GST],$BI234)))))</f>
        <v/>
      </c>
      <c r="O234" s="11">
        <f>IF(AND($C234="",NOT(COUNTA($S234:$BB234)&gt;0)),"",SUM(U234,X234,AA234,AD234,AG234,AJ234,AM234,AP234,AS234,AV234,AY234,BB234))</f>
        <v/>
      </c>
      <c r="P234" s="11">
        <f>IF(O234="","",N(N234)-O234)</f>
        <v/>
      </c>
      <c r="Q234" s="10">
        <f>IF(O234="","",IF($C234="","Invoice on empty job row",IF(N234="",IF(ROUND(O234,2)=0,"No dept value","Invoiced - no dept value"),IF(ROUND(O234,2)=0,"Not invoiced - to invoice",IF(ROUND(P234,2)=0,"Agrees",IF(P234&gt;0,"Dept higher - to invoice","Xero higher - check dept"))))))</f>
        <v/>
      </c>
      <c r="R234" s="10">
        <f>IF(AND($C234="",NOT(COUNTA($S234:$BB234)&gt;0),$BI234&lt;&gt;""),"",MID(IF($BI234="","; Row ID not found on the department sheet - a row was deleted","")&amp;IF(AND($C234="",COUNTA($S234:$BB234)&gt;0),"; Invoice entered but the department row has no job number","")&amp;IF(E234="CHECK","; Job number not in the Xero job list","")&amp;IF(AND($C234&lt;&gt;"",COUNTIF($C$7:$C$1506,$C234)&gt;1),"; Job number on more than one row","")&amp;IF(AND($C234&lt;&gt;"",H234=""),"; Dept has not set a cost centre","")&amp;IF(AND($C234&lt;&gt;"",J234=""),"; Dept has not set a tax code","")&amp;IF(AND($C234&lt;&gt;"",N234=""),"; Dept has not entered an expected value","")&amp;IF((IF(OR(COUNTA(S234:U234)=0,AND(COUNTA(S234:U234)=3,ISNUMBER(U234))),0,1)+IF(OR(COUNTA(V234:X234)=0,AND(COUNTA(V234:X234)=3,ISNUMBER(X234))),0,1)+IF(OR(COUNTA(Y234:AA234)=0,AND(COUNTA(Y234:AA234)=3,ISNUMBER(AA234))),0,1)+IF(OR(COUNTA(AB234:AD234)=0,AND(COUNTA(AB234:AD234)=3,ISNUMBER(AD234))),0,1)+IF(OR(COUNTA(AE234:AG234)=0,AND(COUNTA(AE234:AG234)=3,ISNUMBER(AG234))),0,1)+IF(OR(COUNTA(AH234:AJ234)=0,AND(COUNTA(AH234:AJ234)=3,ISNUMBER(AJ234))),0,1)+IF(OR(COUNTA(AK234:AM234)=0,AND(COUNTA(AK234:AM234)=3,ISNUMBER(AM234))),0,1)+IF(OR(COUNTA(AN234:AP234)=0,AND(COUNTA(AN234:AP234)=3,ISNUMBER(AP234))),0,1)+IF(OR(COUNTA(AQ234:AS234)=0,AND(COUNTA(AQ234:AS234)=3,ISNUMBER(AS234))),0,1)+IF(OR(COUNTA(AT234:AV234)=0,AND(COUNTA(AT234:AV234)=3,ISNUMBER(AV234))),0,1)+IF(OR(COUNTA(AW234:AY234)=0,AND(COUNTA(AW234:AY234)=3,ISNUMBER(AY234))),0,1)+IF(OR(COUNTA(AZ234:BB234)=0,AND(COUNTA(AZ234:BB234)=3,ISNUMBER(BB234))),0,1))&gt;0,"; An invoice is incomplete (needs No, Date and a number in Ex GST)","")&amp;IF((IF(T234="",0,IFERROR(--(EOMONTH(T234,0)&lt;&gt;S$5),1))+IF(W234="",0,IFERROR(--(EOMONTH(W234,0)&lt;&gt;V$5),1))+IF(Z234="",0,IFERROR(--(EOMONTH(Z234,0)&lt;&gt;Y$5),1))+IF(AC234="",0,IFERROR(--(EOMONTH(AC234,0)&lt;&gt;AB$5),1))+IF(AF234="",0,IFERROR(--(EOMONTH(AF234,0)&lt;&gt;AE$5),1))+IF(AI234="",0,IFERROR(--(EOMONTH(AI234,0)&lt;&gt;AH$5),1))+IF(AL234="",0,IFERROR(--(EOMONTH(AL234,0)&lt;&gt;AK$5),1))+IF(AO234="",0,IFERROR(--(EOMONTH(AO234,0)&lt;&gt;AN$5),1))+IF(AR234="",0,IFERROR(--(EOMONTH(AR234,0)&lt;&gt;AQ$5),1))+IF(AU234="",0,IFERROR(--(EOMONTH(AU234,0)&lt;&gt;AT$5),1))+IF(AX234="",0,IFERROR(--(EOMONTH(AX234,0)&lt;&gt;AW$5),1))+IF(BA234="",0,IFERROR(--(EOMONTH(BA234,0)&lt;&gt;AZ$5),1)))&gt;0,"; An invoice date is not in the month it is typed under",""),3,500))</f>
        <v/>
      </c>
      <c r="S234" s="12" t="n"/>
      <c r="T234" s="13" t="n"/>
      <c r="U234" s="14" t="n"/>
      <c r="V234" s="12" t="n"/>
      <c r="W234" s="13" t="n"/>
      <c r="X234" s="14" t="n"/>
      <c r="Y234" s="12" t="n"/>
      <c r="Z234" s="13" t="n"/>
      <c r="AA234" s="14" t="n"/>
      <c r="AB234" s="12" t="n"/>
      <c r="AC234" s="13" t="n"/>
      <c r="AD234" s="14" t="n"/>
      <c r="AE234" s="12" t="n"/>
      <c r="AF234" s="13" t="n"/>
      <c r="AG234" s="14" t="n"/>
      <c r="AH234" s="12" t="n"/>
      <c r="AI234" s="13" t="n"/>
      <c r="AJ234" s="14" t="n"/>
      <c r="AK234" s="12" t="n"/>
      <c r="AL234" s="13" t="n"/>
      <c r="AM234" s="14" t="n"/>
      <c r="AN234" s="12" t="n"/>
      <c r="AO234" s="13" t="n"/>
      <c r="AP234" s="14" t="n"/>
      <c r="AQ234" s="12" t="n"/>
      <c r="AR234" s="13" t="n"/>
      <c r="AS234" s="14" t="n"/>
      <c r="AT234" s="12" t="n"/>
      <c r="AU234" s="13" t="n"/>
      <c r="AV234" s="14" t="n"/>
      <c r="AW234" s="12" t="n"/>
      <c r="AX234" s="13" t="n"/>
      <c r="AY234" s="14" t="n"/>
      <c r="AZ234" s="12" t="n"/>
      <c r="BA234" s="13" t="n"/>
      <c r="BB234" s="14" t="n"/>
      <c r="BC234" s="11">
        <f>IF(O234="","",IF(J234="GST 10%",ROUND(O234*set_GSTRate,2),0))</f>
        <v/>
      </c>
      <c r="BD234" s="11">
        <f>IF(O234="","",O234+BC234)</f>
        <v/>
      </c>
      <c r="BE234" s="15">
        <f>IF(O234="","",COUNTA(S234,V234,Y234,AB234,AE234,AH234,AK234,AN234,AQ234,AT234,AW234,AZ234))</f>
        <v/>
      </c>
      <c r="BF234" s="16">
        <f>IF(COUNT(T234,W234,Z234,AC234,AF234,AI234,AL234,AO234,AR234,AU234,AX234,BA234)=0,"",MAX(T234,W234,Z234,AC234,AF234,AI234,AL234,AO234,AR234,AU234,AX234,BA234))</f>
        <v/>
      </c>
      <c r="BG234" s="10">
        <f>MID(IF(S234="","",", "&amp;S234)&amp;IF(V234="","",", "&amp;V234)&amp;IF(Y234="","",", "&amp;Y234)&amp;IF(AB234="","",", "&amp;AB234)&amp;IF(AE234="","",", "&amp;AE234)&amp;IF(AH234="","",", "&amp;AH234)&amp;IF(AK234="","",", "&amp;AK234)&amp;IF(AN234="","",", "&amp;AN234)&amp;IF(AQ234="","",", "&amp;AQ234)&amp;IF(AT234="","",", "&amp;AT234)&amp;IF(AW234="","",", "&amp;AW234)&amp;IF(AZ234="","",", "&amp;AZ234),3,500)</f>
        <v/>
      </c>
      <c r="BH234" s="12" t="n"/>
      <c r="BI234" s="15">
        <f>IFERROR(MATCH($A234,IF($B234="Onsite",tbl_Onsite[Row ID],IF($B234="Production",tbl_Production[Row ID],tbl_Consulting[Row ID])),0),"")</f>
        <v/>
      </c>
    </row>
    <row r="235">
      <c r="A235" s="10" t="inlineStr">
        <is>
          <t>ONS-0229</t>
        </is>
      </c>
      <c r="B235" s="10" t="inlineStr">
        <is>
          <t>Onsite</t>
        </is>
      </c>
      <c r="C235" s="10">
        <f>IF($BI235="","",IF($B235="Onsite",INDEX(tbl_Onsite[Job Number],$BI235),IF($B235="Production",INDEX(tbl_Production[Job Number],$BI235),INDEX(tbl_Consulting[Job Number],$BI235)))&amp;"")</f>
        <v/>
      </c>
      <c r="D235" s="10">
        <f>IF($BI235="","",IF($B235="Onsite",INDEX(tbl_Onsite[Client],$BI235),IF($B235="Production",INDEX(tbl_Production[Client],$BI235),INDEX(tbl_Consulting[Client],$BI235)))&amp;"")</f>
        <v/>
      </c>
      <c r="E235" s="10">
        <f>IF($C235="","",IF(COUNTIF(lst_Jobs,$C235)&gt;0,"OK","CHECK"))</f>
        <v/>
      </c>
      <c r="F235" s="10">
        <f>IF($C235="","",IFERROR(INDEX(lst_JobName,MATCH($C235,lst_Jobs,0)),""))</f>
        <v/>
      </c>
      <c r="G235" s="10">
        <f>IF($BI235="","",IF($B235="Onsite",INDEX(tbl_Onsite[Job Description],$BI235),IF($B235="Production",INDEX(tbl_Production[Job Description],$BI235),INDEX(tbl_Consulting[Job Description],$BI235)))&amp;"")</f>
        <v/>
      </c>
      <c r="H235" s="10">
        <f>IF($BI235="","",IF($B235="Onsite",INDEX(tbl_Onsite[Cost Centre],$BI235),IF($B235="Production",INDEX(tbl_Production[Cost Centre],$BI235),INDEX(tbl_Consulting[Cost Centre],$BI235)))&amp;"")</f>
        <v/>
      </c>
      <c r="I235" s="10">
        <f>IF($BI235="","",IF($B235="Onsite",INDEX(tbl_Onsite[Invoice Type],$BI235),IF($B235="Production",INDEX(tbl_Production[Invoice Type],$BI235),INDEX(tbl_Consulting[Invoice Type],$BI235)))&amp;"")</f>
        <v/>
      </c>
      <c r="J235" s="10">
        <f>IF($BI235="","",IF($B235="Onsite",INDEX(tbl_Onsite[Tax Code],$BI235),IF($B235="Production",INDEX(tbl_Production[Tax Code],$BI235),INDEX(tbl_Consulting[Tax Code],$BI235)))&amp;"")</f>
        <v/>
      </c>
      <c r="K235" s="10">
        <f>IF(H235="","",IFERROR(INDEX(lst_CCtoGL,MATCH(H235,lst_CCforGL,0)),""))</f>
        <v/>
      </c>
      <c r="L235" s="10">
        <f>IF($BI235="","",IF($B235="Onsite",INDEX(tbl_Onsite[PO / Reference],$BI235),IF($B235="Production",INDEX(tbl_Production[Current RMS No],$BI235),INDEX(tbl_Consulting[Qwilr Quote],$BI235)))&amp;"")</f>
        <v/>
      </c>
      <c r="M235" s="10">
        <f>IF($BI235="","",IF($B235="Onsite",INDEX(tbl_Onsite[Notes],$BI235),IF($B235="Production",INDEX(tbl_Production[Notes],$BI235),INDEX(tbl_Consulting[Notes],$BI235)))&amp;"")</f>
        <v/>
      </c>
      <c r="N235" s="11">
        <f>IF($BI235="","",IF(IF($B235="Onsite",INDEX(tbl_Onsite[Expected Revenue Ex GST],$BI235),IF($B235="Production",INDEX(tbl_Production[Expected Revenue Ex GST],$BI235),INDEX(tbl_Consulting[Expected Revenue Ex GST],$BI235)))="","",IF($B235="Onsite",INDEX(tbl_Onsite[Expected Revenue Ex GST],$BI235),IF($B235="Production",INDEX(tbl_Production[Expected Revenue Ex GST],$BI235),INDEX(tbl_Consulting[Expected Revenue Ex GST],$BI235)))))</f>
        <v/>
      </c>
      <c r="O235" s="11">
        <f>IF(AND($C235="",NOT(COUNTA($S235:$BB235)&gt;0)),"",SUM(U235,X235,AA235,AD235,AG235,AJ235,AM235,AP235,AS235,AV235,AY235,BB235))</f>
        <v/>
      </c>
      <c r="P235" s="11">
        <f>IF(O235="","",N(N235)-O235)</f>
        <v/>
      </c>
      <c r="Q235" s="10">
        <f>IF(O235="","",IF($C235="","Invoice on empty job row",IF(N235="",IF(ROUND(O235,2)=0,"No dept value","Invoiced - no dept value"),IF(ROUND(O235,2)=0,"Not invoiced - to invoice",IF(ROUND(P235,2)=0,"Agrees",IF(P235&gt;0,"Dept higher - to invoice","Xero higher - check dept"))))))</f>
        <v/>
      </c>
      <c r="R235" s="10">
        <f>IF(AND($C235="",NOT(COUNTA($S235:$BB235)&gt;0),$BI235&lt;&gt;""),"",MID(IF($BI235="","; Row ID not found on the department sheet - a row was deleted","")&amp;IF(AND($C235="",COUNTA($S235:$BB235)&gt;0),"; Invoice entered but the department row has no job number","")&amp;IF(E235="CHECK","; Job number not in the Xero job list","")&amp;IF(AND($C235&lt;&gt;"",COUNTIF($C$7:$C$1506,$C235)&gt;1),"; Job number on more than one row","")&amp;IF(AND($C235&lt;&gt;"",H235=""),"; Dept has not set a cost centre","")&amp;IF(AND($C235&lt;&gt;"",J235=""),"; Dept has not set a tax code","")&amp;IF(AND($C235&lt;&gt;"",N235=""),"; Dept has not entered an expected value","")&amp;IF((IF(OR(COUNTA(S235:U235)=0,AND(COUNTA(S235:U235)=3,ISNUMBER(U235))),0,1)+IF(OR(COUNTA(V235:X235)=0,AND(COUNTA(V235:X235)=3,ISNUMBER(X235))),0,1)+IF(OR(COUNTA(Y235:AA235)=0,AND(COUNTA(Y235:AA235)=3,ISNUMBER(AA235))),0,1)+IF(OR(COUNTA(AB235:AD235)=0,AND(COUNTA(AB235:AD235)=3,ISNUMBER(AD235))),0,1)+IF(OR(COUNTA(AE235:AG235)=0,AND(COUNTA(AE235:AG235)=3,ISNUMBER(AG235))),0,1)+IF(OR(COUNTA(AH235:AJ235)=0,AND(COUNTA(AH235:AJ235)=3,ISNUMBER(AJ235))),0,1)+IF(OR(COUNTA(AK235:AM235)=0,AND(COUNTA(AK235:AM235)=3,ISNUMBER(AM235))),0,1)+IF(OR(COUNTA(AN235:AP235)=0,AND(COUNTA(AN235:AP235)=3,ISNUMBER(AP235))),0,1)+IF(OR(COUNTA(AQ235:AS235)=0,AND(COUNTA(AQ235:AS235)=3,ISNUMBER(AS235))),0,1)+IF(OR(COUNTA(AT235:AV235)=0,AND(COUNTA(AT235:AV235)=3,ISNUMBER(AV235))),0,1)+IF(OR(COUNTA(AW235:AY235)=0,AND(COUNTA(AW235:AY235)=3,ISNUMBER(AY235))),0,1)+IF(OR(COUNTA(AZ235:BB235)=0,AND(COUNTA(AZ235:BB235)=3,ISNUMBER(BB235))),0,1))&gt;0,"; An invoice is incomplete (needs No, Date and a number in Ex GST)","")&amp;IF((IF(T235="",0,IFERROR(--(EOMONTH(T235,0)&lt;&gt;S$5),1))+IF(W235="",0,IFERROR(--(EOMONTH(W235,0)&lt;&gt;V$5),1))+IF(Z235="",0,IFERROR(--(EOMONTH(Z235,0)&lt;&gt;Y$5),1))+IF(AC235="",0,IFERROR(--(EOMONTH(AC235,0)&lt;&gt;AB$5),1))+IF(AF235="",0,IFERROR(--(EOMONTH(AF235,0)&lt;&gt;AE$5),1))+IF(AI235="",0,IFERROR(--(EOMONTH(AI235,0)&lt;&gt;AH$5),1))+IF(AL235="",0,IFERROR(--(EOMONTH(AL235,0)&lt;&gt;AK$5),1))+IF(AO235="",0,IFERROR(--(EOMONTH(AO235,0)&lt;&gt;AN$5),1))+IF(AR235="",0,IFERROR(--(EOMONTH(AR235,0)&lt;&gt;AQ$5),1))+IF(AU235="",0,IFERROR(--(EOMONTH(AU235,0)&lt;&gt;AT$5),1))+IF(AX235="",0,IFERROR(--(EOMONTH(AX235,0)&lt;&gt;AW$5),1))+IF(BA235="",0,IFERROR(--(EOMONTH(BA235,0)&lt;&gt;AZ$5),1)))&gt;0,"; An invoice date is not in the month it is typed under",""),3,500))</f>
        <v/>
      </c>
      <c r="S235" s="12" t="n"/>
      <c r="T235" s="13" t="n"/>
      <c r="U235" s="14" t="n"/>
      <c r="V235" s="12" t="n"/>
      <c r="W235" s="13" t="n"/>
      <c r="X235" s="14" t="n"/>
      <c r="Y235" s="12" t="n"/>
      <c r="Z235" s="13" t="n"/>
      <c r="AA235" s="14" t="n"/>
      <c r="AB235" s="12" t="n"/>
      <c r="AC235" s="13" t="n"/>
      <c r="AD235" s="14" t="n"/>
      <c r="AE235" s="12" t="n"/>
      <c r="AF235" s="13" t="n"/>
      <c r="AG235" s="14" t="n"/>
      <c r="AH235" s="12" t="n"/>
      <c r="AI235" s="13" t="n"/>
      <c r="AJ235" s="14" t="n"/>
      <c r="AK235" s="12" t="n"/>
      <c r="AL235" s="13" t="n"/>
      <c r="AM235" s="14" t="n"/>
      <c r="AN235" s="12" t="n"/>
      <c r="AO235" s="13" t="n"/>
      <c r="AP235" s="14" t="n"/>
      <c r="AQ235" s="12" t="n"/>
      <c r="AR235" s="13" t="n"/>
      <c r="AS235" s="14" t="n"/>
      <c r="AT235" s="12" t="n"/>
      <c r="AU235" s="13" t="n"/>
      <c r="AV235" s="14" t="n"/>
      <c r="AW235" s="12" t="n"/>
      <c r="AX235" s="13" t="n"/>
      <c r="AY235" s="14" t="n"/>
      <c r="AZ235" s="12" t="n"/>
      <c r="BA235" s="13" t="n"/>
      <c r="BB235" s="14" t="n"/>
      <c r="BC235" s="11">
        <f>IF(O235="","",IF(J235="GST 10%",ROUND(O235*set_GSTRate,2),0))</f>
        <v/>
      </c>
      <c r="BD235" s="11">
        <f>IF(O235="","",O235+BC235)</f>
        <v/>
      </c>
      <c r="BE235" s="15">
        <f>IF(O235="","",COUNTA(S235,V235,Y235,AB235,AE235,AH235,AK235,AN235,AQ235,AT235,AW235,AZ235))</f>
        <v/>
      </c>
      <c r="BF235" s="16">
        <f>IF(COUNT(T235,W235,Z235,AC235,AF235,AI235,AL235,AO235,AR235,AU235,AX235,BA235)=0,"",MAX(T235,W235,Z235,AC235,AF235,AI235,AL235,AO235,AR235,AU235,AX235,BA235))</f>
        <v/>
      </c>
      <c r="BG235" s="10">
        <f>MID(IF(S235="","",", "&amp;S235)&amp;IF(V235="","",", "&amp;V235)&amp;IF(Y235="","",", "&amp;Y235)&amp;IF(AB235="","",", "&amp;AB235)&amp;IF(AE235="","",", "&amp;AE235)&amp;IF(AH235="","",", "&amp;AH235)&amp;IF(AK235="","",", "&amp;AK235)&amp;IF(AN235="","",", "&amp;AN235)&amp;IF(AQ235="","",", "&amp;AQ235)&amp;IF(AT235="","",", "&amp;AT235)&amp;IF(AW235="","",", "&amp;AW235)&amp;IF(AZ235="","",", "&amp;AZ235),3,500)</f>
        <v/>
      </c>
      <c r="BH235" s="12" t="n"/>
      <c r="BI235" s="15">
        <f>IFERROR(MATCH($A235,IF($B235="Onsite",tbl_Onsite[Row ID],IF($B235="Production",tbl_Production[Row ID],tbl_Consulting[Row ID])),0),"")</f>
        <v/>
      </c>
    </row>
    <row r="236">
      <c r="A236" s="10" t="inlineStr">
        <is>
          <t>ONS-0230</t>
        </is>
      </c>
      <c r="B236" s="10" t="inlineStr">
        <is>
          <t>Onsite</t>
        </is>
      </c>
      <c r="C236" s="10">
        <f>IF($BI236="","",IF($B236="Onsite",INDEX(tbl_Onsite[Job Number],$BI236),IF($B236="Production",INDEX(tbl_Production[Job Number],$BI236),INDEX(tbl_Consulting[Job Number],$BI236)))&amp;"")</f>
        <v/>
      </c>
      <c r="D236" s="10">
        <f>IF($BI236="","",IF($B236="Onsite",INDEX(tbl_Onsite[Client],$BI236),IF($B236="Production",INDEX(tbl_Production[Client],$BI236),INDEX(tbl_Consulting[Client],$BI236)))&amp;"")</f>
        <v/>
      </c>
      <c r="E236" s="10">
        <f>IF($C236="","",IF(COUNTIF(lst_Jobs,$C236)&gt;0,"OK","CHECK"))</f>
        <v/>
      </c>
      <c r="F236" s="10">
        <f>IF($C236="","",IFERROR(INDEX(lst_JobName,MATCH($C236,lst_Jobs,0)),""))</f>
        <v/>
      </c>
      <c r="G236" s="10">
        <f>IF($BI236="","",IF($B236="Onsite",INDEX(tbl_Onsite[Job Description],$BI236),IF($B236="Production",INDEX(tbl_Production[Job Description],$BI236),INDEX(tbl_Consulting[Job Description],$BI236)))&amp;"")</f>
        <v/>
      </c>
      <c r="H236" s="10">
        <f>IF($BI236="","",IF($B236="Onsite",INDEX(tbl_Onsite[Cost Centre],$BI236),IF($B236="Production",INDEX(tbl_Production[Cost Centre],$BI236),INDEX(tbl_Consulting[Cost Centre],$BI236)))&amp;"")</f>
        <v/>
      </c>
      <c r="I236" s="10">
        <f>IF($BI236="","",IF($B236="Onsite",INDEX(tbl_Onsite[Invoice Type],$BI236),IF($B236="Production",INDEX(tbl_Production[Invoice Type],$BI236),INDEX(tbl_Consulting[Invoice Type],$BI236)))&amp;"")</f>
        <v/>
      </c>
      <c r="J236" s="10">
        <f>IF($BI236="","",IF($B236="Onsite",INDEX(tbl_Onsite[Tax Code],$BI236),IF($B236="Production",INDEX(tbl_Production[Tax Code],$BI236),INDEX(tbl_Consulting[Tax Code],$BI236)))&amp;"")</f>
        <v/>
      </c>
      <c r="K236" s="10">
        <f>IF(H236="","",IFERROR(INDEX(lst_CCtoGL,MATCH(H236,lst_CCforGL,0)),""))</f>
        <v/>
      </c>
      <c r="L236" s="10">
        <f>IF($BI236="","",IF($B236="Onsite",INDEX(tbl_Onsite[PO / Reference],$BI236),IF($B236="Production",INDEX(tbl_Production[Current RMS No],$BI236),INDEX(tbl_Consulting[Qwilr Quote],$BI236)))&amp;"")</f>
        <v/>
      </c>
      <c r="M236" s="10">
        <f>IF($BI236="","",IF($B236="Onsite",INDEX(tbl_Onsite[Notes],$BI236),IF($B236="Production",INDEX(tbl_Production[Notes],$BI236),INDEX(tbl_Consulting[Notes],$BI236)))&amp;"")</f>
        <v/>
      </c>
      <c r="N236" s="11">
        <f>IF($BI236="","",IF(IF($B236="Onsite",INDEX(tbl_Onsite[Expected Revenue Ex GST],$BI236),IF($B236="Production",INDEX(tbl_Production[Expected Revenue Ex GST],$BI236),INDEX(tbl_Consulting[Expected Revenue Ex GST],$BI236)))="","",IF($B236="Onsite",INDEX(tbl_Onsite[Expected Revenue Ex GST],$BI236),IF($B236="Production",INDEX(tbl_Production[Expected Revenue Ex GST],$BI236),INDEX(tbl_Consulting[Expected Revenue Ex GST],$BI236)))))</f>
        <v/>
      </c>
      <c r="O236" s="11">
        <f>IF(AND($C236="",NOT(COUNTA($S236:$BB236)&gt;0)),"",SUM(U236,X236,AA236,AD236,AG236,AJ236,AM236,AP236,AS236,AV236,AY236,BB236))</f>
        <v/>
      </c>
      <c r="P236" s="11">
        <f>IF(O236="","",N(N236)-O236)</f>
        <v/>
      </c>
      <c r="Q236" s="10">
        <f>IF(O236="","",IF($C236="","Invoice on empty job row",IF(N236="",IF(ROUND(O236,2)=0,"No dept value","Invoiced - no dept value"),IF(ROUND(O236,2)=0,"Not invoiced - to invoice",IF(ROUND(P236,2)=0,"Agrees",IF(P236&gt;0,"Dept higher - to invoice","Xero higher - check dept"))))))</f>
        <v/>
      </c>
      <c r="R236" s="10">
        <f>IF(AND($C236="",NOT(COUNTA($S236:$BB236)&gt;0),$BI236&lt;&gt;""),"",MID(IF($BI236="","; Row ID not found on the department sheet - a row was deleted","")&amp;IF(AND($C236="",COUNTA($S236:$BB236)&gt;0),"; Invoice entered but the department row has no job number","")&amp;IF(E236="CHECK","; Job number not in the Xero job list","")&amp;IF(AND($C236&lt;&gt;"",COUNTIF($C$7:$C$1506,$C236)&gt;1),"; Job number on more than one row","")&amp;IF(AND($C236&lt;&gt;"",H236=""),"; Dept has not set a cost centre","")&amp;IF(AND($C236&lt;&gt;"",J236=""),"; Dept has not set a tax code","")&amp;IF(AND($C236&lt;&gt;"",N236=""),"; Dept has not entered an expected value","")&amp;IF((IF(OR(COUNTA(S236:U236)=0,AND(COUNTA(S236:U236)=3,ISNUMBER(U236))),0,1)+IF(OR(COUNTA(V236:X236)=0,AND(COUNTA(V236:X236)=3,ISNUMBER(X236))),0,1)+IF(OR(COUNTA(Y236:AA236)=0,AND(COUNTA(Y236:AA236)=3,ISNUMBER(AA236))),0,1)+IF(OR(COUNTA(AB236:AD236)=0,AND(COUNTA(AB236:AD236)=3,ISNUMBER(AD236))),0,1)+IF(OR(COUNTA(AE236:AG236)=0,AND(COUNTA(AE236:AG236)=3,ISNUMBER(AG236))),0,1)+IF(OR(COUNTA(AH236:AJ236)=0,AND(COUNTA(AH236:AJ236)=3,ISNUMBER(AJ236))),0,1)+IF(OR(COUNTA(AK236:AM236)=0,AND(COUNTA(AK236:AM236)=3,ISNUMBER(AM236))),0,1)+IF(OR(COUNTA(AN236:AP236)=0,AND(COUNTA(AN236:AP236)=3,ISNUMBER(AP236))),0,1)+IF(OR(COUNTA(AQ236:AS236)=0,AND(COUNTA(AQ236:AS236)=3,ISNUMBER(AS236))),0,1)+IF(OR(COUNTA(AT236:AV236)=0,AND(COUNTA(AT236:AV236)=3,ISNUMBER(AV236))),0,1)+IF(OR(COUNTA(AW236:AY236)=0,AND(COUNTA(AW236:AY236)=3,ISNUMBER(AY236))),0,1)+IF(OR(COUNTA(AZ236:BB236)=0,AND(COUNTA(AZ236:BB236)=3,ISNUMBER(BB236))),0,1))&gt;0,"; An invoice is incomplete (needs No, Date and a number in Ex GST)","")&amp;IF((IF(T236="",0,IFERROR(--(EOMONTH(T236,0)&lt;&gt;S$5),1))+IF(W236="",0,IFERROR(--(EOMONTH(W236,0)&lt;&gt;V$5),1))+IF(Z236="",0,IFERROR(--(EOMONTH(Z236,0)&lt;&gt;Y$5),1))+IF(AC236="",0,IFERROR(--(EOMONTH(AC236,0)&lt;&gt;AB$5),1))+IF(AF236="",0,IFERROR(--(EOMONTH(AF236,0)&lt;&gt;AE$5),1))+IF(AI236="",0,IFERROR(--(EOMONTH(AI236,0)&lt;&gt;AH$5),1))+IF(AL236="",0,IFERROR(--(EOMONTH(AL236,0)&lt;&gt;AK$5),1))+IF(AO236="",0,IFERROR(--(EOMONTH(AO236,0)&lt;&gt;AN$5),1))+IF(AR236="",0,IFERROR(--(EOMONTH(AR236,0)&lt;&gt;AQ$5),1))+IF(AU236="",0,IFERROR(--(EOMONTH(AU236,0)&lt;&gt;AT$5),1))+IF(AX236="",0,IFERROR(--(EOMONTH(AX236,0)&lt;&gt;AW$5),1))+IF(BA236="",0,IFERROR(--(EOMONTH(BA236,0)&lt;&gt;AZ$5),1)))&gt;0,"; An invoice date is not in the month it is typed under",""),3,500))</f>
        <v/>
      </c>
      <c r="S236" s="12" t="n"/>
      <c r="T236" s="13" t="n"/>
      <c r="U236" s="14" t="n"/>
      <c r="V236" s="12" t="n"/>
      <c r="W236" s="13" t="n"/>
      <c r="X236" s="14" t="n"/>
      <c r="Y236" s="12" t="n"/>
      <c r="Z236" s="13" t="n"/>
      <c r="AA236" s="14" t="n"/>
      <c r="AB236" s="12" t="n"/>
      <c r="AC236" s="13" t="n"/>
      <c r="AD236" s="14" t="n"/>
      <c r="AE236" s="12" t="n"/>
      <c r="AF236" s="13" t="n"/>
      <c r="AG236" s="14" t="n"/>
      <c r="AH236" s="12" t="n"/>
      <c r="AI236" s="13" t="n"/>
      <c r="AJ236" s="14" t="n"/>
      <c r="AK236" s="12" t="n"/>
      <c r="AL236" s="13" t="n"/>
      <c r="AM236" s="14" t="n"/>
      <c r="AN236" s="12" t="n"/>
      <c r="AO236" s="13" t="n"/>
      <c r="AP236" s="14" t="n"/>
      <c r="AQ236" s="12" t="n"/>
      <c r="AR236" s="13" t="n"/>
      <c r="AS236" s="14" t="n"/>
      <c r="AT236" s="12" t="n"/>
      <c r="AU236" s="13" t="n"/>
      <c r="AV236" s="14" t="n"/>
      <c r="AW236" s="12" t="n"/>
      <c r="AX236" s="13" t="n"/>
      <c r="AY236" s="14" t="n"/>
      <c r="AZ236" s="12" t="n"/>
      <c r="BA236" s="13" t="n"/>
      <c r="BB236" s="14" t="n"/>
      <c r="BC236" s="11">
        <f>IF(O236="","",IF(J236="GST 10%",ROUND(O236*set_GSTRate,2),0))</f>
        <v/>
      </c>
      <c r="BD236" s="11">
        <f>IF(O236="","",O236+BC236)</f>
        <v/>
      </c>
      <c r="BE236" s="15">
        <f>IF(O236="","",COUNTA(S236,V236,Y236,AB236,AE236,AH236,AK236,AN236,AQ236,AT236,AW236,AZ236))</f>
        <v/>
      </c>
      <c r="BF236" s="16">
        <f>IF(COUNT(T236,W236,Z236,AC236,AF236,AI236,AL236,AO236,AR236,AU236,AX236,BA236)=0,"",MAX(T236,W236,Z236,AC236,AF236,AI236,AL236,AO236,AR236,AU236,AX236,BA236))</f>
        <v/>
      </c>
      <c r="BG236" s="10">
        <f>MID(IF(S236="","",", "&amp;S236)&amp;IF(V236="","",", "&amp;V236)&amp;IF(Y236="","",", "&amp;Y236)&amp;IF(AB236="","",", "&amp;AB236)&amp;IF(AE236="","",", "&amp;AE236)&amp;IF(AH236="","",", "&amp;AH236)&amp;IF(AK236="","",", "&amp;AK236)&amp;IF(AN236="","",", "&amp;AN236)&amp;IF(AQ236="","",", "&amp;AQ236)&amp;IF(AT236="","",", "&amp;AT236)&amp;IF(AW236="","",", "&amp;AW236)&amp;IF(AZ236="","",", "&amp;AZ236),3,500)</f>
        <v/>
      </c>
      <c r="BH236" s="12" t="n"/>
      <c r="BI236" s="15">
        <f>IFERROR(MATCH($A236,IF($B236="Onsite",tbl_Onsite[Row ID],IF($B236="Production",tbl_Production[Row ID],tbl_Consulting[Row ID])),0),"")</f>
        <v/>
      </c>
    </row>
    <row r="237">
      <c r="A237" s="10" t="inlineStr">
        <is>
          <t>ONS-0231</t>
        </is>
      </c>
      <c r="B237" s="10" t="inlineStr">
        <is>
          <t>Onsite</t>
        </is>
      </c>
      <c r="C237" s="10">
        <f>IF($BI237="","",IF($B237="Onsite",INDEX(tbl_Onsite[Job Number],$BI237),IF($B237="Production",INDEX(tbl_Production[Job Number],$BI237),INDEX(tbl_Consulting[Job Number],$BI237)))&amp;"")</f>
        <v/>
      </c>
      <c r="D237" s="10">
        <f>IF($BI237="","",IF($B237="Onsite",INDEX(tbl_Onsite[Client],$BI237),IF($B237="Production",INDEX(tbl_Production[Client],$BI237),INDEX(tbl_Consulting[Client],$BI237)))&amp;"")</f>
        <v/>
      </c>
      <c r="E237" s="10">
        <f>IF($C237="","",IF(COUNTIF(lst_Jobs,$C237)&gt;0,"OK","CHECK"))</f>
        <v/>
      </c>
      <c r="F237" s="10">
        <f>IF($C237="","",IFERROR(INDEX(lst_JobName,MATCH($C237,lst_Jobs,0)),""))</f>
        <v/>
      </c>
      <c r="G237" s="10">
        <f>IF($BI237="","",IF($B237="Onsite",INDEX(tbl_Onsite[Job Description],$BI237),IF($B237="Production",INDEX(tbl_Production[Job Description],$BI237),INDEX(tbl_Consulting[Job Description],$BI237)))&amp;"")</f>
        <v/>
      </c>
      <c r="H237" s="10">
        <f>IF($BI237="","",IF($B237="Onsite",INDEX(tbl_Onsite[Cost Centre],$BI237),IF($B237="Production",INDEX(tbl_Production[Cost Centre],$BI237),INDEX(tbl_Consulting[Cost Centre],$BI237)))&amp;"")</f>
        <v/>
      </c>
      <c r="I237" s="10">
        <f>IF($BI237="","",IF($B237="Onsite",INDEX(tbl_Onsite[Invoice Type],$BI237),IF($B237="Production",INDEX(tbl_Production[Invoice Type],$BI237),INDEX(tbl_Consulting[Invoice Type],$BI237)))&amp;"")</f>
        <v/>
      </c>
      <c r="J237" s="10">
        <f>IF($BI237="","",IF($B237="Onsite",INDEX(tbl_Onsite[Tax Code],$BI237),IF($B237="Production",INDEX(tbl_Production[Tax Code],$BI237),INDEX(tbl_Consulting[Tax Code],$BI237)))&amp;"")</f>
        <v/>
      </c>
      <c r="K237" s="10">
        <f>IF(H237="","",IFERROR(INDEX(lst_CCtoGL,MATCH(H237,lst_CCforGL,0)),""))</f>
        <v/>
      </c>
      <c r="L237" s="10">
        <f>IF($BI237="","",IF($B237="Onsite",INDEX(tbl_Onsite[PO / Reference],$BI237),IF($B237="Production",INDEX(tbl_Production[Current RMS No],$BI237),INDEX(tbl_Consulting[Qwilr Quote],$BI237)))&amp;"")</f>
        <v/>
      </c>
      <c r="M237" s="10">
        <f>IF($BI237="","",IF($B237="Onsite",INDEX(tbl_Onsite[Notes],$BI237),IF($B237="Production",INDEX(tbl_Production[Notes],$BI237),INDEX(tbl_Consulting[Notes],$BI237)))&amp;"")</f>
        <v/>
      </c>
      <c r="N237" s="11">
        <f>IF($BI237="","",IF(IF($B237="Onsite",INDEX(tbl_Onsite[Expected Revenue Ex GST],$BI237),IF($B237="Production",INDEX(tbl_Production[Expected Revenue Ex GST],$BI237),INDEX(tbl_Consulting[Expected Revenue Ex GST],$BI237)))="","",IF($B237="Onsite",INDEX(tbl_Onsite[Expected Revenue Ex GST],$BI237),IF($B237="Production",INDEX(tbl_Production[Expected Revenue Ex GST],$BI237),INDEX(tbl_Consulting[Expected Revenue Ex GST],$BI237)))))</f>
        <v/>
      </c>
      <c r="O237" s="11">
        <f>IF(AND($C237="",NOT(COUNTA($S237:$BB237)&gt;0)),"",SUM(U237,X237,AA237,AD237,AG237,AJ237,AM237,AP237,AS237,AV237,AY237,BB237))</f>
        <v/>
      </c>
      <c r="P237" s="11">
        <f>IF(O237="","",N(N237)-O237)</f>
        <v/>
      </c>
      <c r="Q237" s="10">
        <f>IF(O237="","",IF($C237="","Invoice on empty job row",IF(N237="",IF(ROUND(O237,2)=0,"No dept value","Invoiced - no dept value"),IF(ROUND(O237,2)=0,"Not invoiced - to invoice",IF(ROUND(P237,2)=0,"Agrees",IF(P237&gt;0,"Dept higher - to invoice","Xero higher - check dept"))))))</f>
        <v/>
      </c>
      <c r="R237" s="10">
        <f>IF(AND($C237="",NOT(COUNTA($S237:$BB237)&gt;0),$BI237&lt;&gt;""),"",MID(IF($BI237="","; Row ID not found on the department sheet - a row was deleted","")&amp;IF(AND($C237="",COUNTA($S237:$BB237)&gt;0),"; Invoice entered but the department row has no job number","")&amp;IF(E237="CHECK","; Job number not in the Xero job list","")&amp;IF(AND($C237&lt;&gt;"",COUNTIF($C$7:$C$1506,$C237)&gt;1),"; Job number on more than one row","")&amp;IF(AND($C237&lt;&gt;"",H237=""),"; Dept has not set a cost centre","")&amp;IF(AND($C237&lt;&gt;"",J237=""),"; Dept has not set a tax code","")&amp;IF(AND($C237&lt;&gt;"",N237=""),"; Dept has not entered an expected value","")&amp;IF((IF(OR(COUNTA(S237:U237)=0,AND(COUNTA(S237:U237)=3,ISNUMBER(U237))),0,1)+IF(OR(COUNTA(V237:X237)=0,AND(COUNTA(V237:X237)=3,ISNUMBER(X237))),0,1)+IF(OR(COUNTA(Y237:AA237)=0,AND(COUNTA(Y237:AA237)=3,ISNUMBER(AA237))),0,1)+IF(OR(COUNTA(AB237:AD237)=0,AND(COUNTA(AB237:AD237)=3,ISNUMBER(AD237))),0,1)+IF(OR(COUNTA(AE237:AG237)=0,AND(COUNTA(AE237:AG237)=3,ISNUMBER(AG237))),0,1)+IF(OR(COUNTA(AH237:AJ237)=0,AND(COUNTA(AH237:AJ237)=3,ISNUMBER(AJ237))),0,1)+IF(OR(COUNTA(AK237:AM237)=0,AND(COUNTA(AK237:AM237)=3,ISNUMBER(AM237))),0,1)+IF(OR(COUNTA(AN237:AP237)=0,AND(COUNTA(AN237:AP237)=3,ISNUMBER(AP237))),0,1)+IF(OR(COUNTA(AQ237:AS237)=0,AND(COUNTA(AQ237:AS237)=3,ISNUMBER(AS237))),0,1)+IF(OR(COUNTA(AT237:AV237)=0,AND(COUNTA(AT237:AV237)=3,ISNUMBER(AV237))),0,1)+IF(OR(COUNTA(AW237:AY237)=0,AND(COUNTA(AW237:AY237)=3,ISNUMBER(AY237))),0,1)+IF(OR(COUNTA(AZ237:BB237)=0,AND(COUNTA(AZ237:BB237)=3,ISNUMBER(BB237))),0,1))&gt;0,"; An invoice is incomplete (needs No, Date and a number in Ex GST)","")&amp;IF((IF(T237="",0,IFERROR(--(EOMONTH(T237,0)&lt;&gt;S$5),1))+IF(W237="",0,IFERROR(--(EOMONTH(W237,0)&lt;&gt;V$5),1))+IF(Z237="",0,IFERROR(--(EOMONTH(Z237,0)&lt;&gt;Y$5),1))+IF(AC237="",0,IFERROR(--(EOMONTH(AC237,0)&lt;&gt;AB$5),1))+IF(AF237="",0,IFERROR(--(EOMONTH(AF237,0)&lt;&gt;AE$5),1))+IF(AI237="",0,IFERROR(--(EOMONTH(AI237,0)&lt;&gt;AH$5),1))+IF(AL237="",0,IFERROR(--(EOMONTH(AL237,0)&lt;&gt;AK$5),1))+IF(AO237="",0,IFERROR(--(EOMONTH(AO237,0)&lt;&gt;AN$5),1))+IF(AR237="",0,IFERROR(--(EOMONTH(AR237,0)&lt;&gt;AQ$5),1))+IF(AU237="",0,IFERROR(--(EOMONTH(AU237,0)&lt;&gt;AT$5),1))+IF(AX237="",0,IFERROR(--(EOMONTH(AX237,0)&lt;&gt;AW$5),1))+IF(BA237="",0,IFERROR(--(EOMONTH(BA237,0)&lt;&gt;AZ$5),1)))&gt;0,"; An invoice date is not in the month it is typed under",""),3,500))</f>
        <v/>
      </c>
      <c r="S237" s="12" t="n"/>
      <c r="T237" s="13" t="n"/>
      <c r="U237" s="14" t="n"/>
      <c r="V237" s="12" t="n"/>
      <c r="W237" s="13" t="n"/>
      <c r="X237" s="14" t="n"/>
      <c r="Y237" s="12" t="n"/>
      <c r="Z237" s="13" t="n"/>
      <c r="AA237" s="14" t="n"/>
      <c r="AB237" s="12" t="n"/>
      <c r="AC237" s="13" t="n"/>
      <c r="AD237" s="14" t="n"/>
      <c r="AE237" s="12" t="n"/>
      <c r="AF237" s="13" t="n"/>
      <c r="AG237" s="14" t="n"/>
      <c r="AH237" s="12" t="n"/>
      <c r="AI237" s="13" t="n"/>
      <c r="AJ237" s="14" t="n"/>
      <c r="AK237" s="12" t="n"/>
      <c r="AL237" s="13" t="n"/>
      <c r="AM237" s="14" t="n"/>
      <c r="AN237" s="12" t="n"/>
      <c r="AO237" s="13" t="n"/>
      <c r="AP237" s="14" t="n"/>
      <c r="AQ237" s="12" t="n"/>
      <c r="AR237" s="13" t="n"/>
      <c r="AS237" s="14" t="n"/>
      <c r="AT237" s="12" t="n"/>
      <c r="AU237" s="13" t="n"/>
      <c r="AV237" s="14" t="n"/>
      <c r="AW237" s="12" t="n"/>
      <c r="AX237" s="13" t="n"/>
      <c r="AY237" s="14" t="n"/>
      <c r="AZ237" s="12" t="n"/>
      <c r="BA237" s="13" t="n"/>
      <c r="BB237" s="14" t="n"/>
      <c r="BC237" s="11">
        <f>IF(O237="","",IF(J237="GST 10%",ROUND(O237*set_GSTRate,2),0))</f>
        <v/>
      </c>
      <c r="BD237" s="11">
        <f>IF(O237="","",O237+BC237)</f>
        <v/>
      </c>
      <c r="BE237" s="15">
        <f>IF(O237="","",COUNTA(S237,V237,Y237,AB237,AE237,AH237,AK237,AN237,AQ237,AT237,AW237,AZ237))</f>
        <v/>
      </c>
      <c r="BF237" s="16">
        <f>IF(COUNT(T237,W237,Z237,AC237,AF237,AI237,AL237,AO237,AR237,AU237,AX237,BA237)=0,"",MAX(T237,W237,Z237,AC237,AF237,AI237,AL237,AO237,AR237,AU237,AX237,BA237))</f>
        <v/>
      </c>
      <c r="BG237" s="10">
        <f>MID(IF(S237="","",", "&amp;S237)&amp;IF(V237="","",", "&amp;V237)&amp;IF(Y237="","",", "&amp;Y237)&amp;IF(AB237="","",", "&amp;AB237)&amp;IF(AE237="","",", "&amp;AE237)&amp;IF(AH237="","",", "&amp;AH237)&amp;IF(AK237="","",", "&amp;AK237)&amp;IF(AN237="","",", "&amp;AN237)&amp;IF(AQ237="","",", "&amp;AQ237)&amp;IF(AT237="","",", "&amp;AT237)&amp;IF(AW237="","",", "&amp;AW237)&amp;IF(AZ237="","",", "&amp;AZ237),3,500)</f>
        <v/>
      </c>
      <c r="BH237" s="12" t="n"/>
      <c r="BI237" s="15">
        <f>IFERROR(MATCH($A237,IF($B237="Onsite",tbl_Onsite[Row ID],IF($B237="Production",tbl_Production[Row ID],tbl_Consulting[Row ID])),0),"")</f>
        <v/>
      </c>
    </row>
    <row r="238">
      <c r="A238" s="10" t="inlineStr">
        <is>
          <t>ONS-0232</t>
        </is>
      </c>
      <c r="B238" s="10" t="inlineStr">
        <is>
          <t>Onsite</t>
        </is>
      </c>
      <c r="C238" s="10">
        <f>IF($BI238="","",IF($B238="Onsite",INDEX(tbl_Onsite[Job Number],$BI238),IF($B238="Production",INDEX(tbl_Production[Job Number],$BI238),INDEX(tbl_Consulting[Job Number],$BI238)))&amp;"")</f>
        <v/>
      </c>
      <c r="D238" s="10">
        <f>IF($BI238="","",IF($B238="Onsite",INDEX(tbl_Onsite[Client],$BI238),IF($B238="Production",INDEX(tbl_Production[Client],$BI238),INDEX(tbl_Consulting[Client],$BI238)))&amp;"")</f>
        <v/>
      </c>
      <c r="E238" s="10">
        <f>IF($C238="","",IF(COUNTIF(lst_Jobs,$C238)&gt;0,"OK","CHECK"))</f>
        <v/>
      </c>
      <c r="F238" s="10">
        <f>IF($C238="","",IFERROR(INDEX(lst_JobName,MATCH($C238,lst_Jobs,0)),""))</f>
        <v/>
      </c>
      <c r="G238" s="10">
        <f>IF($BI238="","",IF($B238="Onsite",INDEX(tbl_Onsite[Job Description],$BI238),IF($B238="Production",INDEX(tbl_Production[Job Description],$BI238),INDEX(tbl_Consulting[Job Description],$BI238)))&amp;"")</f>
        <v/>
      </c>
      <c r="H238" s="10">
        <f>IF($BI238="","",IF($B238="Onsite",INDEX(tbl_Onsite[Cost Centre],$BI238),IF($B238="Production",INDEX(tbl_Production[Cost Centre],$BI238),INDEX(tbl_Consulting[Cost Centre],$BI238)))&amp;"")</f>
        <v/>
      </c>
      <c r="I238" s="10">
        <f>IF($BI238="","",IF($B238="Onsite",INDEX(tbl_Onsite[Invoice Type],$BI238),IF($B238="Production",INDEX(tbl_Production[Invoice Type],$BI238),INDEX(tbl_Consulting[Invoice Type],$BI238)))&amp;"")</f>
        <v/>
      </c>
      <c r="J238" s="10">
        <f>IF($BI238="","",IF($B238="Onsite",INDEX(tbl_Onsite[Tax Code],$BI238),IF($B238="Production",INDEX(tbl_Production[Tax Code],$BI238),INDEX(tbl_Consulting[Tax Code],$BI238)))&amp;"")</f>
        <v/>
      </c>
      <c r="K238" s="10">
        <f>IF(H238="","",IFERROR(INDEX(lst_CCtoGL,MATCH(H238,lst_CCforGL,0)),""))</f>
        <v/>
      </c>
      <c r="L238" s="10">
        <f>IF($BI238="","",IF($B238="Onsite",INDEX(tbl_Onsite[PO / Reference],$BI238),IF($B238="Production",INDEX(tbl_Production[Current RMS No],$BI238),INDEX(tbl_Consulting[Qwilr Quote],$BI238)))&amp;"")</f>
        <v/>
      </c>
      <c r="M238" s="10">
        <f>IF($BI238="","",IF($B238="Onsite",INDEX(tbl_Onsite[Notes],$BI238),IF($B238="Production",INDEX(tbl_Production[Notes],$BI238),INDEX(tbl_Consulting[Notes],$BI238)))&amp;"")</f>
        <v/>
      </c>
      <c r="N238" s="11">
        <f>IF($BI238="","",IF(IF($B238="Onsite",INDEX(tbl_Onsite[Expected Revenue Ex GST],$BI238),IF($B238="Production",INDEX(tbl_Production[Expected Revenue Ex GST],$BI238),INDEX(tbl_Consulting[Expected Revenue Ex GST],$BI238)))="","",IF($B238="Onsite",INDEX(tbl_Onsite[Expected Revenue Ex GST],$BI238),IF($B238="Production",INDEX(tbl_Production[Expected Revenue Ex GST],$BI238),INDEX(tbl_Consulting[Expected Revenue Ex GST],$BI238)))))</f>
        <v/>
      </c>
      <c r="O238" s="11">
        <f>IF(AND($C238="",NOT(COUNTA($S238:$BB238)&gt;0)),"",SUM(U238,X238,AA238,AD238,AG238,AJ238,AM238,AP238,AS238,AV238,AY238,BB238))</f>
        <v/>
      </c>
      <c r="P238" s="11">
        <f>IF(O238="","",N(N238)-O238)</f>
        <v/>
      </c>
      <c r="Q238" s="10">
        <f>IF(O238="","",IF($C238="","Invoice on empty job row",IF(N238="",IF(ROUND(O238,2)=0,"No dept value","Invoiced - no dept value"),IF(ROUND(O238,2)=0,"Not invoiced - to invoice",IF(ROUND(P238,2)=0,"Agrees",IF(P238&gt;0,"Dept higher - to invoice","Xero higher - check dept"))))))</f>
        <v/>
      </c>
      <c r="R238" s="10">
        <f>IF(AND($C238="",NOT(COUNTA($S238:$BB238)&gt;0),$BI238&lt;&gt;""),"",MID(IF($BI238="","; Row ID not found on the department sheet - a row was deleted","")&amp;IF(AND($C238="",COUNTA($S238:$BB238)&gt;0),"; Invoice entered but the department row has no job number","")&amp;IF(E238="CHECK","; Job number not in the Xero job list","")&amp;IF(AND($C238&lt;&gt;"",COUNTIF($C$7:$C$1506,$C238)&gt;1),"; Job number on more than one row","")&amp;IF(AND($C238&lt;&gt;"",H238=""),"; Dept has not set a cost centre","")&amp;IF(AND($C238&lt;&gt;"",J238=""),"; Dept has not set a tax code","")&amp;IF(AND($C238&lt;&gt;"",N238=""),"; Dept has not entered an expected value","")&amp;IF((IF(OR(COUNTA(S238:U238)=0,AND(COUNTA(S238:U238)=3,ISNUMBER(U238))),0,1)+IF(OR(COUNTA(V238:X238)=0,AND(COUNTA(V238:X238)=3,ISNUMBER(X238))),0,1)+IF(OR(COUNTA(Y238:AA238)=0,AND(COUNTA(Y238:AA238)=3,ISNUMBER(AA238))),0,1)+IF(OR(COUNTA(AB238:AD238)=0,AND(COUNTA(AB238:AD238)=3,ISNUMBER(AD238))),0,1)+IF(OR(COUNTA(AE238:AG238)=0,AND(COUNTA(AE238:AG238)=3,ISNUMBER(AG238))),0,1)+IF(OR(COUNTA(AH238:AJ238)=0,AND(COUNTA(AH238:AJ238)=3,ISNUMBER(AJ238))),0,1)+IF(OR(COUNTA(AK238:AM238)=0,AND(COUNTA(AK238:AM238)=3,ISNUMBER(AM238))),0,1)+IF(OR(COUNTA(AN238:AP238)=0,AND(COUNTA(AN238:AP238)=3,ISNUMBER(AP238))),0,1)+IF(OR(COUNTA(AQ238:AS238)=0,AND(COUNTA(AQ238:AS238)=3,ISNUMBER(AS238))),0,1)+IF(OR(COUNTA(AT238:AV238)=0,AND(COUNTA(AT238:AV238)=3,ISNUMBER(AV238))),0,1)+IF(OR(COUNTA(AW238:AY238)=0,AND(COUNTA(AW238:AY238)=3,ISNUMBER(AY238))),0,1)+IF(OR(COUNTA(AZ238:BB238)=0,AND(COUNTA(AZ238:BB238)=3,ISNUMBER(BB238))),0,1))&gt;0,"; An invoice is incomplete (needs No, Date and a number in Ex GST)","")&amp;IF((IF(T238="",0,IFERROR(--(EOMONTH(T238,0)&lt;&gt;S$5),1))+IF(W238="",0,IFERROR(--(EOMONTH(W238,0)&lt;&gt;V$5),1))+IF(Z238="",0,IFERROR(--(EOMONTH(Z238,0)&lt;&gt;Y$5),1))+IF(AC238="",0,IFERROR(--(EOMONTH(AC238,0)&lt;&gt;AB$5),1))+IF(AF238="",0,IFERROR(--(EOMONTH(AF238,0)&lt;&gt;AE$5),1))+IF(AI238="",0,IFERROR(--(EOMONTH(AI238,0)&lt;&gt;AH$5),1))+IF(AL238="",0,IFERROR(--(EOMONTH(AL238,0)&lt;&gt;AK$5),1))+IF(AO238="",0,IFERROR(--(EOMONTH(AO238,0)&lt;&gt;AN$5),1))+IF(AR238="",0,IFERROR(--(EOMONTH(AR238,0)&lt;&gt;AQ$5),1))+IF(AU238="",0,IFERROR(--(EOMONTH(AU238,0)&lt;&gt;AT$5),1))+IF(AX238="",0,IFERROR(--(EOMONTH(AX238,0)&lt;&gt;AW$5),1))+IF(BA238="",0,IFERROR(--(EOMONTH(BA238,0)&lt;&gt;AZ$5),1)))&gt;0,"; An invoice date is not in the month it is typed under",""),3,500))</f>
        <v/>
      </c>
      <c r="S238" s="12" t="n"/>
      <c r="T238" s="13" t="n"/>
      <c r="U238" s="14" t="n"/>
      <c r="V238" s="12" t="n"/>
      <c r="W238" s="13" t="n"/>
      <c r="X238" s="14" t="n"/>
      <c r="Y238" s="12" t="n"/>
      <c r="Z238" s="13" t="n"/>
      <c r="AA238" s="14" t="n"/>
      <c r="AB238" s="12" t="n"/>
      <c r="AC238" s="13" t="n"/>
      <c r="AD238" s="14" t="n"/>
      <c r="AE238" s="12" t="n"/>
      <c r="AF238" s="13" t="n"/>
      <c r="AG238" s="14" t="n"/>
      <c r="AH238" s="12" t="n"/>
      <c r="AI238" s="13" t="n"/>
      <c r="AJ238" s="14" t="n"/>
      <c r="AK238" s="12" t="n"/>
      <c r="AL238" s="13" t="n"/>
      <c r="AM238" s="14" t="n"/>
      <c r="AN238" s="12" t="n"/>
      <c r="AO238" s="13" t="n"/>
      <c r="AP238" s="14" t="n"/>
      <c r="AQ238" s="12" t="n"/>
      <c r="AR238" s="13" t="n"/>
      <c r="AS238" s="14" t="n"/>
      <c r="AT238" s="12" t="n"/>
      <c r="AU238" s="13" t="n"/>
      <c r="AV238" s="14" t="n"/>
      <c r="AW238" s="12" t="n"/>
      <c r="AX238" s="13" t="n"/>
      <c r="AY238" s="14" t="n"/>
      <c r="AZ238" s="12" t="n"/>
      <c r="BA238" s="13" t="n"/>
      <c r="BB238" s="14" t="n"/>
      <c r="BC238" s="11">
        <f>IF(O238="","",IF(J238="GST 10%",ROUND(O238*set_GSTRate,2),0))</f>
        <v/>
      </c>
      <c r="BD238" s="11">
        <f>IF(O238="","",O238+BC238)</f>
        <v/>
      </c>
      <c r="BE238" s="15">
        <f>IF(O238="","",COUNTA(S238,V238,Y238,AB238,AE238,AH238,AK238,AN238,AQ238,AT238,AW238,AZ238))</f>
        <v/>
      </c>
      <c r="BF238" s="16">
        <f>IF(COUNT(T238,W238,Z238,AC238,AF238,AI238,AL238,AO238,AR238,AU238,AX238,BA238)=0,"",MAX(T238,W238,Z238,AC238,AF238,AI238,AL238,AO238,AR238,AU238,AX238,BA238))</f>
        <v/>
      </c>
      <c r="BG238" s="10">
        <f>MID(IF(S238="","",", "&amp;S238)&amp;IF(V238="","",", "&amp;V238)&amp;IF(Y238="","",", "&amp;Y238)&amp;IF(AB238="","",", "&amp;AB238)&amp;IF(AE238="","",", "&amp;AE238)&amp;IF(AH238="","",", "&amp;AH238)&amp;IF(AK238="","",", "&amp;AK238)&amp;IF(AN238="","",", "&amp;AN238)&amp;IF(AQ238="","",", "&amp;AQ238)&amp;IF(AT238="","",", "&amp;AT238)&amp;IF(AW238="","",", "&amp;AW238)&amp;IF(AZ238="","",", "&amp;AZ238),3,500)</f>
        <v/>
      </c>
      <c r="BH238" s="12" t="n"/>
      <c r="BI238" s="15">
        <f>IFERROR(MATCH($A238,IF($B238="Onsite",tbl_Onsite[Row ID],IF($B238="Production",tbl_Production[Row ID],tbl_Consulting[Row ID])),0),"")</f>
        <v/>
      </c>
    </row>
    <row r="239">
      <c r="A239" s="10" t="inlineStr">
        <is>
          <t>ONS-0233</t>
        </is>
      </c>
      <c r="B239" s="10" t="inlineStr">
        <is>
          <t>Onsite</t>
        </is>
      </c>
      <c r="C239" s="10">
        <f>IF($BI239="","",IF($B239="Onsite",INDEX(tbl_Onsite[Job Number],$BI239),IF($B239="Production",INDEX(tbl_Production[Job Number],$BI239),INDEX(tbl_Consulting[Job Number],$BI239)))&amp;"")</f>
        <v/>
      </c>
      <c r="D239" s="10">
        <f>IF($BI239="","",IF($B239="Onsite",INDEX(tbl_Onsite[Client],$BI239),IF($B239="Production",INDEX(tbl_Production[Client],$BI239),INDEX(tbl_Consulting[Client],$BI239)))&amp;"")</f>
        <v/>
      </c>
      <c r="E239" s="10">
        <f>IF($C239="","",IF(COUNTIF(lst_Jobs,$C239)&gt;0,"OK","CHECK"))</f>
        <v/>
      </c>
      <c r="F239" s="10">
        <f>IF($C239="","",IFERROR(INDEX(lst_JobName,MATCH($C239,lst_Jobs,0)),""))</f>
        <v/>
      </c>
      <c r="G239" s="10">
        <f>IF($BI239="","",IF($B239="Onsite",INDEX(tbl_Onsite[Job Description],$BI239),IF($B239="Production",INDEX(tbl_Production[Job Description],$BI239),INDEX(tbl_Consulting[Job Description],$BI239)))&amp;"")</f>
        <v/>
      </c>
      <c r="H239" s="10">
        <f>IF($BI239="","",IF($B239="Onsite",INDEX(tbl_Onsite[Cost Centre],$BI239),IF($B239="Production",INDEX(tbl_Production[Cost Centre],$BI239),INDEX(tbl_Consulting[Cost Centre],$BI239)))&amp;"")</f>
        <v/>
      </c>
      <c r="I239" s="10">
        <f>IF($BI239="","",IF($B239="Onsite",INDEX(tbl_Onsite[Invoice Type],$BI239),IF($B239="Production",INDEX(tbl_Production[Invoice Type],$BI239),INDEX(tbl_Consulting[Invoice Type],$BI239)))&amp;"")</f>
        <v/>
      </c>
      <c r="J239" s="10">
        <f>IF($BI239="","",IF($B239="Onsite",INDEX(tbl_Onsite[Tax Code],$BI239),IF($B239="Production",INDEX(tbl_Production[Tax Code],$BI239),INDEX(tbl_Consulting[Tax Code],$BI239)))&amp;"")</f>
        <v/>
      </c>
      <c r="K239" s="10">
        <f>IF(H239="","",IFERROR(INDEX(lst_CCtoGL,MATCH(H239,lst_CCforGL,0)),""))</f>
        <v/>
      </c>
      <c r="L239" s="10">
        <f>IF($BI239="","",IF($B239="Onsite",INDEX(tbl_Onsite[PO / Reference],$BI239),IF($B239="Production",INDEX(tbl_Production[Current RMS No],$BI239),INDEX(tbl_Consulting[Qwilr Quote],$BI239)))&amp;"")</f>
        <v/>
      </c>
      <c r="M239" s="10">
        <f>IF($BI239="","",IF($B239="Onsite",INDEX(tbl_Onsite[Notes],$BI239),IF($B239="Production",INDEX(tbl_Production[Notes],$BI239),INDEX(tbl_Consulting[Notes],$BI239)))&amp;"")</f>
        <v/>
      </c>
      <c r="N239" s="11">
        <f>IF($BI239="","",IF(IF($B239="Onsite",INDEX(tbl_Onsite[Expected Revenue Ex GST],$BI239),IF($B239="Production",INDEX(tbl_Production[Expected Revenue Ex GST],$BI239),INDEX(tbl_Consulting[Expected Revenue Ex GST],$BI239)))="","",IF($B239="Onsite",INDEX(tbl_Onsite[Expected Revenue Ex GST],$BI239),IF($B239="Production",INDEX(tbl_Production[Expected Revenue Ex GST],$BI239),INDEX(tbl_Consulting[Expected Revenue Ex GST],$BI239)))))</f>
        <v/>
      </c>
      <c r="O239" s="11">
        <f>IF(AND($C239="",NOT(COUNTA($S239:$BB239)&gt;0)),"",SUM(U239,X239,AA239,AD239,AG239,AJ239,AM239,AP239,AS239,AV239,AY239,BB239))</f>
        <v/>
      </c>
      <c r="P239" s="11">
        <f>IF(O239="","",N(N239)-O239)</f>
        <v/>
      </c>
      <c r="Q239" s="10">
        <f>IF(O239="","",IF($C239="","Invoice on empty job row",IF(N239="",IF(ROUND(O239,2)=0,"No dept value","Invoiced - no dept value"),IF(ROUND(O239,2)=0,"Not invoiced - to invoice",IF(ROUND(P239,2)=0,"Agrees",IF(P239&gt;0,"Dept higher - to invoice","Xero higher - check dept"))))))</f>
        <v/>
      </c>
      <c r="R239" s="10">
        <f>IF(AND($C239="",NOT(COUNTA($S239:$BB239)&gt;0),$BI239&lt;&gt;""),"",MID(IF($BI239="","; Row ID not found on the department sheet - a row was deleted","")&amp;IF(AND($C239="",COUNTA($S239:$BB239)&gt;0),"; Invoice entered but the department row has no job number","")&amp;IF(E239="CHECK","; Job number not in the Xero job list","")&amp;IF(AND($C239&lt;&gt;"",COUNTIF($C$7:$C$1506,$C239)&gt;1),"; Job number on more than one row","")&amp;IF(AND($C239&lt;&gt;"",H239=""),"; Dept has not set a cost centre","")&amp;IF(AND($C239&lt;&gt;"",J239=""),"; Dept has not set a tax code","")&amp;IF(AND($C239&lt;&gt;"",N239=""),"; Dept has not entered an expected value","")&amp;IF((IF(OR(COUNTA(S239:U239)=0,AND(COUNTA(S239:U239)=3,ISNUMBER(U239))),0,1)+IF(OR(COUNTA(V239:X239)=0,AND(COUNTA(V239:X239)=3,ISNUMBER(X239))),0,1)+IF(OR(COUNTA(Y239:AA239)=0,AND(COUNTA(Y239:AA239)=3,ISNUMBER(AA239))),0,1)+IF(OR(COUNTA(AB239:AD239)=0,AND(COUNTA(AB239:AD239)=3,ISNUMBER(AD239))),0,1)+IF(OR(COUNTA(AE239:AG239)=0,AND(COUNTA(AE239:AG239)=3,ISNUMBER(AG239))),0,1)+IF(OR(COUNTA(AH239:AJ239)=0,AND(COUNTA(AH239:AJ239)=3,ISNUMBER(AJ239))),0,1)+IF(OR(COUNTA(AK239:AM239)=0,AND(COUNTA(AK239:AM239)=3,ISNUMBER(AM239))),0,1)+IF(OR(COUNTA(AN239:AP239)=0,AND(COUNTA(AN239:AP239)=3,ISNUMBER(AP239))),0,1)+IF(OR(COUNTA(AQ239:AS239)=0,AND(COUNTA(AQ239:AS239)=3,ISNUMBER(AS239))),0,1)+IF(OR(COUNTA(AT239:AV239)=0,AND(COUNTA(AT239:AV239)=3,ISNUMBER(AV239))),0,1)+IF(OR(COUNTA(AW239:AY239)=0,AND(COUNTA(AW239:AY239)=3,ISNUMBER(AY239))),0,1)+IF(OR(COUNTA(AZ239:BB239)=0,AND(COUNTA(AZ239:BB239)=3,ISNUMBER(BB239))),0,1))&gt;0,"; An invoice is incomplete (needs No, Date and a number in Ex GST)","")&amp;IF((IF(T239="",0,IFERROR(--(EOMONTH(T239,0)&lt;&gt;S$5),1))+IF(W239="",0,IFERROR(--(EOMONTH(W239,0)&lt;&gt;V$5),1))+IF(Z239="",0,IFERROR(--(EOMONTH(Z239,0)&lt;&gt;Y$5),1))+IF(AC239="",0,IFERROR(--(EOMONTH(AC239,0)&lt;&gt;AB$5),1))+IF(AF239="",0,IFERROR(--(EOMONTH(AF239,0)&lt;&gt;AE$5),1))+IF(AI239="",0,IFERROR(--(EOMONTH(AI239,0)&lt;&gt;AH$5),1))+IF(AL239="",0,IFERROR(--(EOMONTH(AL239,0)&lt;&gt;AK$5),1))+IF(AO239="",0,IFERROR(--(EOMONTH(AO239,0)&lt;&gt;AN$5),1))+IF(AR239="",0,IFERROR(--(EOMONTH(AR239,0)&lt;&gt;AQ$5),1))+IF(AU239="",0,IFERROR(--(EOMONTH(AU239,0)&lt;&gt;AT$5),1))+IF(AX239="",0,IFERROR(--(EOMONTH(AX239,0)&lt;&gt;AW$5),1))+IF(BA239="",0,IFERROR(--(EOMONTH(BA239,0)&lt;&gt;AZ$5),1)))&gt;0,"; An invoice date is not in the month it is typed under",""),3,500))</f>
        <v/>
      </c>
      <c r="S239" s="12" t="n"/>
      <c r="T239" s="13" t="n"/>
      <c r="U239" s="14" t="n"/>
      <c r="V239" s="12" t="n"/>
      <c r="W239" s="13" t="n"/>
      <c r="X239" s="14" t="n"/>
      <c r="Y239" s="12" t="n"/>
      <c r="Z239" s="13" t="n"/>
      <c r="AA239" s="14" t="n"/>
      <c r="AB239" s="12" t="n"/>
      <c r="AC239" s="13" t="n"/>
      <c r="AD239" s="14" t="n"/>
      <c r="AE239" s="12" t="n"/>
      <c r="AF239" s="13" t="n"/>
      <c r="AG239" s="14" t="n"/>
      <c r="AH239" s="12" t="n"/>
      <c r="AI239" s="13" t="n"/>
      <c r="AJ239" s="14" t="n"/>
      <c r="AK239" s="12" t="n"/>
      <c r="AL239" s="13" t="n"/>
      <c r="AM239" s="14" t="n"/>
      <c r="AN239" s="12" t="n"/>
      <c r="AO239" s="13" t="n"/>
      <c r="AP239" s="14" t="n"/>
      <c r="AQ239" s="12" t="n"/>
      <c r="AR239" s="13" t="n"/>
      <c r="AS239" s="14" t="n"/>
      <c r="AT239" s="12" t="n"/>
      <c r="AU239" s="13" t="n"/>
      <c r="AV239" s="14" t="n"/>
      <c r="AW239" s="12" t="n"/>
      <c r="AX239" s="13" t="n"/>
      <c r="AY239" s="14" t="n"/>
      <c r="AZ239" s="12" t="n"/>
      <c r="BA239" s="13" t="n"/>
      <c r="BB239" s="14" t="n"/>
      <c r="BC239" s="11">
        <f>IF(O239="","",IF(J239="GST 10%",ROUND(O239*set_GSTRate,2),0))</f>
        <v/>
      </c>
      <c r="BD239" s="11">
        <f>IF(O239="","",O239+BC239)</f>
        <v/>
      </c>
      <c r="BE239" s="15">
        <f>IF(O239="","",COUNTA(S239,V239,Y239,AB239,AE239,AH239,AK239,AN239,AQ239,AT239,AW239,AZ239))</f>
        <v/>
      </c>
      <c r="BF239" s="16">
        <f>IF(COUNT(T239,W239,Z239,AC239,AF239,AI239,AL239,AO239,AR239,AU239,AX239,BA239)=0,"",MAX(T239,W239,Z239,AC239,AF239,AI239,AL239,AO239,AR239,AU239,AX239,BA239))</f>
        <v/>
      </c>
      <c r="BG239" s="10">
        <f>MID(IF(S239="","",", "&amp;S239)&amp;IF(V239="","",", "&amp;V239)&amp;IF(Y239="","",", "&amp;Y239)&amp;IF(AB239="","",", "&amp;AB239)&amp;IF(AE239="","",", "&amp;AE239)&amp;IF(AH239="","",", "&amp;AH239)&amp;IF(AK239="","",", "&amp;AK239)&amp;IF(AN239="","",", "&amp;AN239)&amp;IF(AQ239="","",", "&amp;AQ239)&amp;IF(AT239="","",", "&amp;AT239)&amp;IF(AW239="","",", "&amp;AW239)&amp;IF(AZ239="","",", "&amp;AZ239),3,500)</f>
        <v/>
      </c>
      <c r="BH239" s="12" t="n"/>
      <c r="BI239" s="15">
        <f>IFERROR(MATCH($A239,IF($B239="Onsite",tbl_Onsite[Row ID],IF($B239="Production",tbl_Production[Row ID],tbl_Consulting[Row ID])),0),"")</f>
        <v/>
      </c>
    </row>
    <row r="240">
      <c r="A240" s="10" t="inlineStr">
        <is>
          <t>ONS-0234</t>
        </is>
      </c>
      <c r="B240" s="10" t="inlineStr">
        <is>
          <t>Onsite</t>
        </is>
      </c>
      <c r="C240" s="10">
        <f>IF($BI240="","",IF($B240="Onsite",INDEX(tbl_Onsite[Job Number],$BI240),IF($B240="Production",INDEX(tbl_Production[Job Number],$BI240),INDEX(tbl_Consulting[Job Number],$BI240)))&amp;"")</f>
        <v/>
      </c>
      <c r="D240" s="10">
        <f>IF($BI240="","",IF($B240="Onsite",INDEX(tbl_Onsite[Client],$BI240),IF($B240="Production",INDEX(tbl_Production[Client],$BI240),INDEX(tbl_Consulting[Client],$BI240)))&amp;"")</f>
        <v/>
      </c>
      <c r="E240" s="10">
        <f>IF($C240="","",IF(COUNTIF(lst_Jobs,$C240)&gt;0,"OK","CHECK"))</f>
        <v/>
      </c>
      <c r="F240" s="10">
        <f>IF($C240="","",IFERROR(INDEX(lst_JobName,MATCH($C240,lst_Jobs,0)),""))</f>
        <v/>
      </c>
      <c r="G240" s="10">
        <f>IF($BI240="","",IF($B240="Onsite",INDEX(tbl_Onsite[Job Description],$BI240),IF($B240="Production",INDEX(tbl_Production[Job Description],$BI240),INDEX(tbl_Consulting[Job Description],$BI240)))&amp;"")</f>
        <v/>
      </c>
      <c r="H240" s="10">
        <f>IF($BI240="","",IF($B240="Onsite",INDEX(tbl_Onsite[Cost Centre],$BI240),IF($B240="Production",INDEX(tbl_Production[Cost Centre],$BI240),INDEX(tbl_Consulting[Cost Centre],$BI240)))&amp;"")</f>
        <v/>
      </c>
      <c r="I240" s="10">
        <f>IF($BI240="","",IF($B240="Onsite",INDEX(tbl_Onsite[Invoice Type],$BI240),IF($B240="Production",INDEX(tbl_Production[Invoice Type],$BI240),INDEX(tbl_Consulting[Invoice Type],$BI240)))&amp;"")</f>
        <v/>
      </c>
      <c r="J240" s="10">
        <f>IF($BI240="","",IF($B240="Onsite",INDEX(tbl_Onsite[Tax Code],$BI240),IF($B240="Production",INDEX(tbl_Production[Tax Code],$BI240),INDEX(tbl_Consulting[Tax Code],$BI240)))&amp;"")</f>
        <v/>
      </c>
      <c r="K240" s="10">
        <f>IF(H240="","",IFERROR(INDEX(lst_CCtoGL,MATCH(H240,lst_CCforGL,0)),""))</f>
        <v/>
      </c>
      <c r="L240" s="10">
        <f>IF($BI240="","",IF($B240="Onsite",INDEX(tbl_Onsite[PO / Reference],$BI240),IF($B240="Production",INDEX(tbl_Production[Current RMS No],$BI240),INDEX(tbl_Consulting[Qwilr Quote],$BI240)))&amp;"")</f>
        <v/>
      </c>
      <c r="M240" s="10">
        <f>IF($BI240="","",IF($B240="Onsite",INDEX(tbl_Onsite[Notes],$BI240),IF($B240="Production",INDEX(tbl_Production[Notes],$BI240),INDEX(tbl_Consulting[Notes],$BI240)))&amp;"")</f>
        <v/>
      </c>
      <c r="N240" s="11">
        <f>IF($BI240="","",IF(IF($B240="Onsite",INDEX(tbl_Onsite[Expected Revenue Ex GST],$BI240),IF($B240="Production",INDEX(tbl_Production[Expected Revenue Ex GST],$BI240),INDEX(tbl_Consulting[Expected Revenue Ex GST],$BI240)))="","",IF($B240="Onsite",INDEX(tbl_Onsite[Expected Revenue Ex GST],$BI240),IF($B240="Production",INDEX(tbl_Production[Expected Revenue Ex GST],$BI240),INDEX(tbl_Consulting[Expected Revenue Ex GST],$BI240)))))</f>
        <v/>
      </c>
      <c r="O240" s="11">
        <f>IF(AND($C240="",NOT(COUNTA($S240:$BB240)&gt;0)),"",SUM(U240,X240,AA240,AD240,AG240,AJ240,AM240,AP240,AS240,AV240,AY240,BB240))</f>
        <v/>
      </c>
      <c r="P240" s="11">
        <f>IF(O240="","",N(N240)-O240)</f>
        <v/>
      </c>
      <c r="Q240" s="10">
        <f>IF(O240="","",IF($C240="","Invoice on empty job row",IF(N240="",IF(ROUND(O240,2)=0,"No dept value","Invoiced - no dept value"),IF(ROUND(O240,2)=0,"Not invoiced - to invoice",IF(ROUND(P240,2)=0,"Agrees",IF(P240&gt;0,"Dept higher - to invoice","Xero higher - check dept"))))))</f>
        <v/>
      </c>
      <c r="R240" s="10">
        <f>IF(AND($C240="",NOT(COUNTA($S240:$BB240)&gt;0),$BI240&lt;&gt;""),"",MID(IF($BI240="","; Row ID not found on the department sheet - a row was deleted","")&amp;IF(AND($C240="",COUNTA($S240:$BB240)&gt;0),"; Invoice entered but the department row has no job number","")&amp;IF(E240="CHECK","; Job number not in the Xero job list","")&amp;IF(AND($C240&lt;&gt;"",COUNTIF($C$7:$C$1506,$C240)&gt;1),"; Job number on more than one row","")&amp;IF(AND($C240&lt;&gt;"",H240=""),"; Dept has not set a cost centre","")&amp;IF(AND($C240&lt;&gt;"",J240=""),"; Dept has not set a tax code","")&amp;IF(AND($C240&lt;&gt;"",N240=""),"; Dept has not entered an expected value","")&amp;IF((IF(OR(COUNTA(S240:U240)=0,AND(COUNTA(S240:U240)=3,ISNUMBER(U240))),0,1)+IF(OR(COUNTA(V240:X240)=0,AND(COUNTA(V240:X240)=3,ISNUMBER(X240))),0,1)+IF(OR(COUNTA(Y240:AA240)=0,AND(COUNTA(Y240:AA240)=3,ISNUMBER(AA240))),0,1)+IF(OR(COUNTA(AB240:AD240)=0,AND(COUNTA(AB240:AD240)=3,ISNUMBER(AD240))),0,1)+IF(OR(COUNTA(AE240:AG240)=0,AND(COUNTA(AE240:AG240)=3,ISNUMBER(AG240))),0,1)+IF(OR(COUNTA(AH240:AJ240)=0,AND(COUNTA(AH240:AJ240)=3,ISNUMBER(AJ240))),0,1)+IF(OR(COUNTA(AK240:AM240)=0,AND(COUNTA(AK240:AM240)=3,ISNUMBER(AM240))),0,1)+IF(OR(COUNTA(AN240:AP240)=0,AND(COUNTA(AN240:AP240)=3,ISNUMBER(AP240))),0,1)+IF(OR(COUNTA(AQ240:AS240)=0,AND(COUNTA(AQ240:AS240)=3,ISNUMBER(AS240))),0,1)+IF(OR(COUNTA(AT240:AV240)=0,AND(COUNTA(AT240:AV240)=3,ISNUMBER(AV240))),0,1)+IF(OR(COUNTA(AW240:AY240)=0,AND(COUNTA(AW240:AY240)=3,ISNUMBER(AY240))),0,1)+IF(OR(COUNTA(AZ240:BB240)=0,AND(COUNTA(AZ240:BB240)=3,ISNUMBER(BB240))),0,1))&gt;0,"; An invoice is incomplete (needs No, Date and a number in Ex GST)","")&amp;IF((IF(T240="",0,IFERROR(--(EOMONTH(T240,0)&lt;&gt;S$5),1))+IF(W240="",0,IFERROR(--(EOMONTH(W240,0)&lt;&gt;V$5),1))+IF(Z240="",0,IFERROR(--(EOMONTH(Z240,0)&lt;&gt;Y$5),1))+IF(AC240="",0,IFERROR(--(EOMONTH(AC240,0)&lt;&gt;AB$5),1))+IF(AF240="",0,IFERROR(--(EOMONTH(AF240,0)&lt;&gt;AE$5),1))+IF(AI240="",0,IFERROR(--(EOMONTH(AI240,0)&lt;&gt;AH$5),1))+IF(AL240="",0,IFERROR(--(EOMONTH(AL240,0)&lt;&gt;AK$5),1))+IF(AO240="",0,IFERROR(--(EOMONTH(AO240,0)&lt;&gt;AN$5),1))+IF(AR240="",0,IFERROR(--(EOMONTH(AR240,0)&lt;&gt;AQ$5),1))+IF(AU240="",0,IFERROR(--(EOMONTH(AU240,0)&lt;&gt;AT$5),1))+IF(AX240="",0,IFERROR(--(EOMONTH(AX240,0)&lt;&gt;AW$5),1))+IF(BA240="",0,IFERROR(--(EOMONTH(BA240,0)&lt;&gt;AZ$5),1)))&gt;0,"; An invoice date is not in the month it is typed under",""),3,500))</f>
        <v/>
      </c>
      <c r="S240" s="12" t="n"/>
      <c r="T240" s="13" t="n"/>
      <c r="U240" s="14" t="n"/>
      <c r="V240" s="12" t="n"/>
      <c r="W240" s="13" t="n"/>
      <c r="X240" s="14" t="n"/>
      <c r="Y240" s="12" t="n"/>
      <c r="Z240" s="13" t="n"/>
      <c r="AA240" s="14" t="n"/>
      <c r="AB240" s="12" t="n"/>
      <c r="AC240" s="13" t="n"/>
      <c r="AD240" s="14" t="n"/>
      <c r="AE240" s="12" t="n"/>
      <c r="AF240" s="13" t="n"/>
      <c r="AG240" s="14" t="n"/>
      <c r="AH240" s="12" t="n"/>
      <c r="AI240" s="13" t="n"/>
      <c r="AJ240" s="14" t="n"/>
      <c r="AK240" s="12" t="n"/>
      <c r="AL240" s="13" t="n"/>
      <c r="AM240" s="14" t="n"/>
      <c r="AN240" s="12" t="n"/>
      <c r="AO240" s="13" t="n"/>
      <c r="AP240" s="14" t="n"/>
      <c r="AQ240" s="12" t="n"/>
      <c r="AR240" s="13" t="n"/>
      <c r="AS240" s="14" t="n"/>
      <c r="AT240" s="12" t="n"/>
      <c r="AU240" s="13" t="n"/>
      <c r="AV240" s="14" t="n"/>
      <c r="AW240" s="12" t="n"/>
      <c r="AX240" s="13" t="n"/>
      <c r="AY240" s="14" t="n"/>
      <c r="AZ240" s="12" t="n"/>
      <c r="BA240" s="13" t="n"/>
      <c r="BB240" s="14" t="n"/>
      <c r="BC240" s="11">
        <f>IF(O240="","",IF(J240="GST 10%",ROUND(O240*set_GSTRate,2),0))</f>
        <v/>
      </c>
      <c r="BD240" s="11">
        <f>IF(O240="","",O240+BC240)</f>
        <v/>
      </c>
      <c r="BE240" s="15">
        <f>IF(O240="","",COUNTA(S240,V240,Y240,AB240,AE240,AH240,AK240,AN240,AQ240,AT240,AW240,AZ240))</f>
        <v/>
      </c>
      <c r="BF240" s="16">
        <f>IF(COUNT(T240,W240,Z240,AC240,AF240,AI240,AL240,AO240,AR240,AU240,AX240,BA240)=0,"",MAX(T240,W240,Z240,AC240,AF240,AI240,AL240,AO240,AR240,AU240,AX240,BA240))</f>
        <v/>
      </c>
      <c r="BG240" s="10">
        <f>MID(IF(S240="","",", "&amp;S240)&amp;IF(V240="","",", "&amp;V240)&amp;IF(Y240="","",", "&amp;Y240)&amp;IF(AB240="","",", "&amp;AB240)&amp;IF(AE240="","",", "&amp;AE240)&amp;IF(AH240="","",", "&amp;AH240)&amp;IF(AK240="","",", "&amp;AK240)&amp;IF(AN240="","",", "&amp;AN240)&amp;IF(AQ240="","",", "&amp;AQ240)&amp;IF(AT240="","",", "&amp;AT240)&amp;IF(AW240="","",", "&amp;AW240)&amp;IF(AZ240="","",", "&amp;AZ240),3,500)</f>
        <v/>
      </c>
      <c r="BH240" s="12" t="n"/>
      <c r="BI240" s="15">
        <f>IFERROR(MATCH($A240,IF($B240="Onsite",tbl_Onsite[Row ID],IF($B240="Production",tbl_Production[Row ID],tbl_Consulting[Row ID])),0),"")</f>
        <v/>
      </c>
    </row>
    <row r="241">
      <c r="A241" s="10" t="inlineStr">
        <is>
          <t>ONS-0235</t>
        </is>
      </c>
      <c r="B241" s="10" t="inlineStr">
        <is>
          <t>Onsite</t>
        </is>
      </c>
      <c r="C241" s="10">
        <f>IF($BI241="","",IF($B241="Onsite",INDEX(tbl_Onsite[Job Number],$BI241),IF($B241="Production",INDEX(tbl_Production[Job Number],$BI241),INDEX(tbl_Consulting[Job Number],$BI241)))&amp;"")</f>
        <v/>
      </c>
      <c r="D241" s="10">
        <f>IF($BI241="","",IF($B241="Onsite",INDEX(tbl_Onsite[Client],$BI241),IF($B241="Production",INDEX(tbl_Production[Client],$BI241),INDEX(tbl_Consulting[Client],$BI241)))&amp;"")</f>
        <v/>
      </c>
      <c r="E241" s="10">
        <f>IF($C241="","",IF(COUNTIF(lst_Jobs,$C241)&gt;0,"OK","CHECK"))</f>
        <v/>
      </c>
      <c r="F241" s="10">
        <f>IF($C241="","",IFERROR(INDEX(lst_JobName,MATCH($C241,lst_Jobs,0)),""))</f>
        <v/>
      </c>
      <c r="G241" s="10">
        <f>IF($BI241="","",IF($B241="Onsite",INDEX(tbl_Onsite[Job Description],$BI241),IF($B241="Production",INDEX(tbl_Production[Job Description],$BI241),INDEX(tbl_Consulting[Job Description],$BI241)))&amp;"")</f>
        <v/>
      </c>
      <c r="H241" s="10">
        <f>IF($BI241="","",IF($B241="Onsite",INDEX(tbl_Onsite[Cost Centre],$BI241),IF($B241="Production",INDEX(tbl_Production[Cost Centre],$BI241),INDEX(tbl_Consulting[Cost Centre],$BI241)))&amp;"")</f>
        <v/>
      </c>
      <c r="I241" s="10">
        <f>IF($BI241="","",IF($B241="Onsite",INDEX(tbl_Onsite[Invoice Type],$BI241),IF($B241="Production",INDEX(tbl_Production[Invoice Type],$BI241),INDEX(tbl_Consulting[Invoice Type],$BI241)))&amp;"")</f>
        <v/>
      </c>
      <c r="J241" s="10">
        <f>IF($BI241="","",IF($B241="Onsite",INDEX(tbl_Onsite[Tax Code],$BI241),IF($B241="Production",INDEX(tbl_Production[Tax Code],$BI241),INDEX(tbl_Consulting[Tax Code],$BI241)))&amp;"")</f>
        <v/>
      </c>
      <c r="K241" s="10">
        <f>IF(H241="","",IFERROR(INDEX(lst_CCtoGL,MATCH(H241,lst_CCforGL,0)),""))</f>
        <v/>
      </c>
      <c r="L241" s="10">
        <f>IF($BI241="","",IF($B241="Onsite",INDEX(tbl_Onsite[PO / Reference],$BI241),IF($B241="Production",INDEX(tbl_Production[Current RMS No],$BI241),INDEX(tbl_Consulting[Qwilr Quote],$BI241)))&amp;"")</f>
        <v/>
      </c>
      <c r="M241" s="10">
        <f>IF($BI241="","",IF($B241="Onsite",INDEX(tbl_Onsite[Notes],$BI241),IF($B241="Production",INDEX(tbl_Production[Notes],$BI241),INDEX(tbl_Consulting[Notes],$BI241)))&amp;"")</f>
        <v/>
      </c>
      <c r="N241" s="11">
        <f>IF($BI241="","",IF(IF($B241="Onsite",INDEX(tbl_Onsite[Expected Revenue Ex GST],$BI241),IF($B241="Production",INDEX(tbl_Production[Expected Revenue Ex GST],$BI241),INDEX(tbl_Consulting[Expected Revenue Ex GST],$BI241)))="","",IF($B241="Onsite",INDEX(tbl_Onsite[Expected Revenue Ex GST],$BI241),IF($B241="Production",INDEX(tbl_Production[Expected Revenue Ex GST],$BI241),INDEX(tbl_Consulting[Expected Revenue Ex GST],$BI241)))))</f>
        <v/>
      </c>
      <c r="O241" s="11">
        <f>IF(AND($C241="",NOT(COUNTA($S241:$BB241)&gt;0)),"",SUM(U241,X241,AA241,AD241,AG241,AJ241,AM241,AP241,AS241,AV241,AY241,BB241))</f>
        <v/>
      </c>
      <c r="P241" s="11">
        <f>IF(O241="","",N(N241)-O241)</f>
        <v/>
      </c>
      <c r="Q241" s="10">
        <f>IF(O241="","",IF($C241="","Invoice on empty job row",IF(N241="",IF(ROUND(O241,2)=0,"No dept value","Invoiced - no dept value"),IF(ROUND(O241,2)=0,"Not invoiced - to invoice",IF(ROUND(P241,2)=0,"Agrees",IF(P241&gt;0,"Dept higher - to invoice","Xero higher - check dept"))))))</f>
        <v/>
      </c>
      <c r="R241" s="10">
        <f>IF(AND($C241="",NOT(COUNTA($S241:$BB241)&gt;0),$BI241&lt;&gt;""),"",MID(IF($BI241="","; Row ID not found on the department sheet - a row was deleted","")&amp;IF(AND($C241="",COUNTA($S241:$BB241)&gt;0),"; Invoice entered but the department row has no job number","")&amp;IF(E241="CHECK","; Job number not in the Xero job list","")&amp;IF(AND($C241&lt;&gt;"",COUNTIF($C$7:$C$1506,$C241)&gt;1),"; Job number on more than one row","")&amp;IF(AND($C241&lt;&gt;"",H241=""),"; Dept has not set a cost centre","")&amp;IF(AND($C241&lt;&gt;"",J241=""),"; Dept has not set a tax code","")&amp;IF(AND($C241&lt;&gt;"",N241=""),"; Dept has not entered an expected value","")&amp;IF((IF(OR(COUNTA(S241:U241)=0,AND(COUNTA(S241:U241)=3,ISNUMBER(U241))),0,1)+IF(OR(COUNTA(V241:X241)=0,AND(COUNTA(V241:X241)=3,ISNUMBER(X241))),0,1)+IF(OR(COUNTA(Y241:AA241)=0,AND(COUNTA(Y241:AA241)=3,ISNUMBER(AA241))),0,1)+IF(OR(COUNTA(AB241:AD241)=0,AND(COUNTA(AB241:AD241)=3,ISNUMBER(AD241))),0,1)+IF(OR(COUNTA(AE241:AG241)=0,AND(COUNTA(AE241:AG241)=3,ISNUMBER(AG241))),0,1)+IF(OR(COUNTA(AH241:AJ241)=0,AND(COUNTA(AH241:AJ241)=3,ISNUMBER(AJ241))),0,1)+IF(OR(COUNTA(AK241:AM241)=0,AND(COUNTA(AK241:AM241)=3,ISNUMBER(AM241))),0,1)+IF(OR(COUNTA(AN241:AP241)=0,AND(COUNTA(AN241:AP241)=3,ISNUMBER(AP241))),0,1)+IF(OR(COUNTA(AQ241:AS241)=0,AND(COUNTA(AQ241:AS241)=3,ISNUMBER(AS241))),0,1)+IF(OR(COUNTA(AT241:AV241)=0,AND(COUNTA(AT241:AV241)=3,ISNUMBER(AV241))),0,1)+IF(OR(COUNTA(AW241:AY241)=0,AND(COUNTA(AW241:AY241)=3,ISNUMBER(AY241))),0,1)+IF(OR(COUNTA(AZ241:BB241)=0,AND(COUNTA(AZ241:BB241)=3,ISNUMBER(BB241))),0,1))&gt;0,"; An invoice is incomplete (needs No, Date and a number in Ex GST)","")&amp;IF((IF(T241="",0,IFERROR(--(EOMONTH(T241,0)&lt;&gt;S$5),1))+IF(W241="",0,IFERROR(--(EOMONTH(W241,0)&lt;&gt;V$5),1))+IF(Z241="",0,IFERROR(--(EOMONTH(Z241,0)&lt;&gt;Y$5),1))+IF(AC241="",0,IFERROR(--(EOMONTH(AC241,0)&lt;&gt;AB$5),1))+IF(AF241="",0,IFERROR(--(EOMONTH(AF241,0)&lt;&gt;AE$5),1))+IF(AI241="",0,IFERROR(--(EOMONTH(AI241,0)&lt;&gt;AH$5),1))+IF(AL241="",0,IFERROR(--(EOMONTH(AL241,0)&lt;&gt;AK$5),1))+IF(AO241="",0,IFERROR(--(EOMONTH(AO241,0)&lt;&gt;AN$5),1))+IF(AR241="",0,IFERROR(--(EOMONTH(AR241,0)&lt;&gt;AQ$5),1))+IF(AU241="",0,IFERROR(--(EOMONTH(AU241,0)&lt;&gt;AT$5),1))+IF(AX241="",0,IFERROR(--(EOMONTH(AX241,0)&lt;&gt;AW$5),1))+IF(BA241="",0,IFERROR(--(EOMONTH(BA241,0)&lt;&gt;AZ$5),1)))&gt;0,"; An invoice date is not in the month it is typed under",""),3,500))</f>
        <v/>
      </c>
      <c r="S241" s="12" t="n"/>
      <c r="T241" s="13" t="n"/>
      <c r="U241" s="14" t="n"/>
      <c r="V241" s="12" t="n"/>
      <c r="W241" s="13" t="n"/>
      <c r="X241" s="14" t="n"/>
      <c r="Y241" s="12" t="n"/>
      <c r="Z241" s="13" t="n"/>
      <c r="AA241" s="14" t="n"/>
      <c r="AB241" s="12" t="n"/>
      <c r="AC241" s="13" t="n"/>
      <c r="AD241" s="14" t="n"/>
      <c r="AE241" s="12" t="n"/>
      <c r="AF241" s="13" t="n"/>
      <c r="AG241" s="14" t="n"/>
      <c r="AH241" s="12" t="n"/>
      <c r="AI241" s="13" t="n"/>
      <c r="AJ241" s="14" t="n"/>
      <c r="AK241" s="12" t="n"/>
      <c r="AL241" s="13" t="n"/>
      <c r="AM241" s="14" t="n"/>
      <c r="AN241" s="12" t="n"/>
      <c r="AO241" s="13" t="n"/>
      <c r="AP241" s="14" t="n"/>
      <c r="AQ241" s="12" t="n"/>
      <c r="AR241" s="13" t="n"/>
      <c r="AS241" s="14" t="n"/>
      <c r="AT241" s="12" t="n"/>
      <c r="AU241" s="13" t="n"/>
      <c r="AV241" s="14" t="n"/>
      <c r="AW241" s="12" t="n"/>
      <c r="AX241" s="13" t="n"/>
      <c r="AY241" s="14" t="n"/>
      <c r="AZ241" s="12" t="n"/>
      <c r="BA241" s="13" t="n"/>
      <c r="BB241" s="14" t="n"/>
      <c r="BC241" s="11">
        <f>IF(O241="","",IF(J241="GST 10%",ROUND(O241*set_GSTRate,2),0))</f>
        <v/>
      </c>
      <c r="BD241" s="11">
        <f>IF(O241="","",O241+BC241)</f>
        <v/>
      </c>
      <c r="BE241" s="15">
        <f>IF(O241="","",COUNTA(S241,V241,Y241,AB241,AE241,AH241,AK241,AN241,AQ241,AT241,AW241,AZ241))</f>
        <v/>
      </c>
      <c r="BF241" s="16">
        <f>IF(COUNT(T241,W241,Z241,AC241,AF241,AI241,AL241,AO241,AR241,AU241,AX241,BA241)=0,"",MAX(T241,W241,Z241,AC241,AF241,AI241,AL241,AO241,AR241,AU241,AX241,BA241))</f>
        <v/>
      </c>
      <c r="BG241" s="10">
        <f>MID(IF(S241="","",", "&amp;S241)&amp;IF(V241="","",", "&amp;V241)&amp;IF(Y241="","",", "&amp;Y241)&amp;IF(AB241="","",", "&amp;AB241)&amp;IF(AE241="","",", "&amp;AE241)&amp;IF(AH241="","",", "&amp;AH241)&amp;IF(AK241="","",", "&amp;AK241)&amp;IF(AN241="","",", "&amp;AN241)&amp;IF(AQ241="","",", "&amp;AQ241)&amp;IF(AT241="","",", "&amp;AT241)&amp;IF(AW241="","",", "&amp;AW241)&amp;IF(AZ241="","",", "&amp;AZ241),3,500)</f>
        <v/>
      </c>
      <c r="BH241" s="12" t="n"/>
      <c r="BI241" s="15">
        <f>IFERROR(MATCH($A241,IF($B241="Onsite",tbl_Onsite[Row ID],IF($B241="Production",tbl_Production[Row ID],tbl_Consulting[Row ID])),0),"")</f>
        <v/>
      </c>
    </row>
    <row r="242">
      <c r="A242" s="10" t="inlineStr">
        <is>
          <t>ONS-0236</t>
        </is>
      </c>
      <c r="B242" s="10" t="inlineStr">
        <is>
          <t>Onsite</t>
        </is>
      </c>
      <c r="C242" s="10">
        <f>IF($BI242="","",IF($B242="Onsite",INDEX(tbl_Onsite[Job Number],$BI242),IF($B242="Production",INDEX(tbl_Production[Job Number],$BI242),INDEX(tbl_Consulting[Job Number],$BI242)))&amp;"")</f>
        <v/>
      </c>
      <c r="D242" s="10">
        <f>IF($BI242="","",IF($B242="Onsite",INDEX(tbl_Onsite[Client],$BI242),IF($B242="Production",INDEX(tbl_Production[Client],$BI242),INDEX(tbl_Consulting[Client],$BI242)))&amp;"")</f>
        <v/>
      </c>
      <c r="E242" s="10">
        <f>IF($C242="","",IF(COUNTIF(lst_Jobs,$C242)&gt;0,"OK","CHECK"))</f>
        <v/>
      </c>
      <c r="F242" s="10">
        <f>IF($C242="","",IFERROR(INDEX(lst_JobName,MATCH($C242,lst_Jobs,0)),""))</f>
        <v/>
      </c>
      <c r="G242" s="10">
        <f>IF($BI242="","",IF($B242="Onsite",INDEX(tbl_Onsite[Job Description],$BI242),IF($B242="Production",INDEX(tbl_Production[Job Description],$BI242),INDEX(tbl_Consulting[Job Description],$BI242)))&amp;"")</f>
        <v/>
      </c>
      <c r="H242" s="10">
        <f>IF($BI242="","",IF($B242="Onsite",INDEX(tbl_Onsite[Cost Centre],$BI242),IF($B242="Production",INDEX(tbl_Production[Cost Centre],$BI242),INDEX(tbl_Consulting[Cost Centre],$BI242)))&amp;"")</f>
        <v/>
      </c>
      <c r="I242" s="10">
        <f>IF($BI242="","",IF($B242="Onsite",INDEX(tbl_Onsite[Invoice Type],$BI242),IF($B242="Production",INDEX(tbl_Production[Invoice Type],$BI242),INDEX(tbl_Consulting[Invoice Type],$BI242)))&amp;"")</f>
        <v/>
      </c>
      <c r="J242" s="10">
        <f>IF($BI242="","",IF($B242="Onsite",INDEX(tbl_Onsite[Tax Code],$BI242),IF($B242="Production",INDEX(tbl_Production[Tax Code],$BI242),INDEX(tbl_Consulting[Tax Code],$BI242)))&amp;"")</f>
        <v/>
      </c>
      <c r="K242" s="10">
        <f>IF(H242="","",IFERROR(INDEX(lst_CCtoGL,MATCH(H242,lst_CCforGL,0)),""))</f>
        <v/>
      </c>
      <c r="L242" s="10">
        <f>IF($BI242="","",IF($B242="Onsite",INDEX(tbl_Onsite[PO / Reference],$BI242),IF($B242="Production",INDEX(tbl_Production[Current RMS No],$BI242),INDEX(tbl_Consulting[Qwilr Quote],$BI242)))&amp;"")</f>
        <v/>
      </c>
      <c r="M242" s="10">
        <f>IF($BI242="","",IF($B242="Onsite",INDEX(tbl_Onsite[Notes],$BI242),IF($B242="Production",INDEX(tbl_Production[Notes],$BI242),INDEX(tbl_Consulting[Notes],$BI242)))&amp;"")</f>
        <v/>
      </c>
      <c r="N242" s="11">
        <f>IF($BI242="","",IF(IF($B242="Onsite",INDEX(tbl_Onsite[Expected Revenue Ex GST],$BI242),IF($B242="Production",INDEX(tbl_Production[Expected Revenue Ex GST],$BI242),INDEX(tbl_Consulting[Expected Revenue Ex GST],$BI242)))="","",IF($B242="Onsite",INDEX(tbl_Onsite[Expected Revenue Ex GST],$BI242),IF($B242="Production",INDEX(tbl_Production[Expected Revenue Ex GST],$BI242),INDEX(tbl_Consulting[Expected Revenue Ex GST],$BI242)))))</f>
        <v/>
      </c>
      <c r="O242" s="11">
        <f>IF(AND($C242="",NOT(COUNTA($S242:$BB242)&gt;0)),"",SUM(U242,X242,AA242,AD242,AG242,AJ242,AM242,AP242,AS242,AV242,AY242,BB242))</f>
        <v/>
      </c>
      <c r="P242" s="11">
        <f>IF(O242="","",N(N242)-O242)</f>
        <v/>
      </c>
      <c r="Q242" s="10">
        <f>IF(O242="","",IF($C242="","Invoice on empty job row",IF(N242="",IF(ROUND(O242,2)=0,"No dept value","Invoiced - no dept value"),IF(ROUND(O242,2)=0,"Not invoiced - to invoice",IF(ROUND(P242,2)=0,"Agrees",IF(P242&gt;0,"Dept higher - to invoice","Xero higher - check dept"))))))</f>
        <v/>
      </c>
      <c r="R242" s="10">
        <f>IF(AND($C242="",NOT(COUNTA($S242:$BB242)&gt;0),$BI242&lt;&gt;""),"",MID(IF($BI242="","; Row ID not found on the department sheet - a row was deleted","")&amp;IF(AND($C242="",COUNTA($S242:$BB242)&gt;0),"; Invoice entered but the department row has no job number","")&amp;IF(E242="CHECK","; Job number not in the Xero job list","")&amp;IF(AND($C242&lt;&gt;"",COUNTIF($C$7:$C$1506,$C242)&gt;1),"; Job number on more than one row","")&amp;IF(AND($C242&lt;&gt;"",H242=""),"; Dept has not set a cost centre","")&amp;IF(AND($C242&lt;&gt;"",J242=""),"; Dept has not set a tax code","")&amp;IF(AND($C242&lt;&gt;"",N242=""),"; Dept has not entered an expected value","")&amp;IF((IF(OR(COUNTA(S242:U242)=0,AND(COUNTA(S242:U242)=3,ISNUMBER(U242))),0,1)+IF(OR(COUNTA(V242:X242)=0,AND(COUNTA(V242:X242)=3,ISNUMBER(X242))),0,1)+IF(OR(COUNTA(Y242:AA242)=0,AND(COUNTA(Y242:AA242)=3,ISNUMBER(AA242))),0,1)+IF(OR(COUNTA(AB242:AD242)=0,AND(COUNTA(AB242:AD242)=3,ISNUMBER(AD242))),0,1)+IF(OR(COUNTA(AE242:AG242)=0,AND(COUNTA(AE242:AG242)=3,ISNUMBER(AG242))),0,1)+IF(OR(COUNTA(AH242:AJ242)=0,AND(COUNTA(AH242:AJ242)=3,ISNUMBER(AJ242))),0,1)+IF(OR(COUNTA(AK242:AM242)=0,AND(COUNTA(AK242:AM242)=3,ISNUMBER(AM242))),0,1)+IF(OR(COUNTA(AN242:AP242)=0,AND(COUNTA(AN242:AP242)=3,ISNUMBER(AP242))),0,1)+IF(OR(COUNTA(AQ242:AS242)=0,AND(COUNTA(AQ242:AS242)=3,ISNUMBER(AS242))),0,1)+IF(OR(COUNTA(AT242:AV242)=0,AND(COUNTA(AT242:AV242)=3,ISNUMBER(AV242))),0,1)+IF(OR(COUNTA(AW242:AY242)=0,AND(COUNTA(AW242:AY242)=3,ISNUMBER(AY242))),0,1)+IF(OR(COUNTA(AZ242:BB242)=0,AND(COUNTA(AZ242:BB242)=3,ISNUMBER(BB242))),0,1))&gt;0,"; An invoice is incomplete (needs No, Date and a number in Ex GST)","")&amp;IF((IF(T242="",0,IFERROR(--(EOMONTH(T242,0)&lt;&gt;S$5),1))+IF(W242="",0,IFERROR(--(EOMONTH(W242,0)&lt;&gt;V$5),1))+IF(Z242="",0,IFERROR(--(EOMONTH(Z242,0)&lt;&gt;Y$5),1))+IF(AC242="",0,IFERROR(--(EOMONTH(AC242,0)&lt;&gt;AB$5),1))+IF(AF242="",0,IFERROR(--(EOMONTH(AF242,0)&lt;&gt;AE$5),1))+IF(AI242="",0,IFERROR(--(EOMONTH(AI242,0)&lt;&gt;AH$5),1))+IF(AL242="",0,IFERROR(--(EOMONTH(AL242,0)&lt;&gt;AK$5),1))+IF(AO242="",0,IFERROR(--(EOMONTH(AO242,0)&lt;&gt;AN$5),1))+IF(AR242="",0,IFERROR(--(EOMONTH(AR242,0)&lt;&gt;AQ$5),1))+IF(AU242="",0,IFERROR(--(EOMONTH(AU242,0)&lt;&gt;AT$5),1))+IF(AX242="",0,IFERROR(--(EOMONTH(AX242,0)&lt;&gt;AW$5),1))+IF(BA242="",0,IFERROR(--(EOMONTH(BA242,0)&lt;&gt;AZ$5),1)))&gt;0,"; An invoice date is not in the month it is typed under",""),3,500))</f>
        <v/>
      </c>
      <c r="S242" s="12" t="n"/>
      <c r="T242" s="13" t="n"/>
      <c r="U242" s="14" t="n"/>
      <c r="V242" s="12" t="n"/>
      <c r="W242" s="13" t="n"/>
      <c r="X242" s="14" t="n"/>
      <c r="Y242" s="12" t="n"/>
      <c r="Z242" s="13" t="n"/>
      <c r="AA242" s="14" t="n"/>
      <c r="AB242" s="12" t="n"/>
      <c r="AC242" s="13" t="n"/>
      <c r="AD242" s="14" t="n"/>
      <c r="AE242" s="12" t="n"/>
      <c r="AF242" s="13" t="n"/>
      <c r="AG242" s="14" t="n"/>
      <c r="AH242" s="12" t="n"/>
      <c r="AI242" s="13" t="n"/>
      <c r="AJ242" s="14" t="n"/>
      <c r="AK242" s="12" t="n"/>
      <c r="AL242" s="13" t="n"/>
      <c r="AM242" s="14" t="n"/>
      <c r="AN242" s="12" t="n"/>
      <c r="AO242" s="13" t="n"/>
      <c r="AP242" s="14" t="n"/>
      <c r="AQ242" s="12" t="n"/>
      <c r="AR242" s="13" t="n"/>
      <c r="AS242" s="14" t="n"/>
      <c r="AT242" s="12" t="n"/>
      <c r="AU242" s="13" t="n"/>
      <c r="AV242" s="14" t="n"/>
      <c r="AW242" s="12" t="n"/>
      <c r="AX242" s="13" t="n"/>
      <c r="AY242" s="14" t="n"/>
      <c r="AZ242" s="12" t="n"/>
      <c r="BA242" s="13" t="n"/>
      <c r="BB242" s="14" t="n"/>
      <c r="BC242" s="11">
        <f>IF(O242="","",IF(J242="GST 10%",ROUND(O242*set_GSTRate,2),0))</f>
        <v/>
      </c>
      <c r="BD242" s="11">
        <f>IF(O242="","",O242+BC242)</f>
        <v/>
      </c>
      <c r="BE242" s="15">
        <f>IF(O242="","",COUNTA(S242,V242,Y242,AB242,AE242,AH242,AK242,AN242,AQ242,AT242,AW242,AZ242))</f>
        <v/>
      </c>
      <c r="BF242" s="16">
        <f>IF(COUNT(T242,W242,Z242,AC242,AF242,AI242,AL242,AO242,AR242,AU242,AX242,BA242)=0,"",MAX(T242,W242,Z242,AC242,AF242,AI242,AL242,AO242,AR242,AU242,AX242,BA242))</f>
        <v/>
      </c>
      <c r="BG242" s="10">
        <f>MID(IF(S242="","",", "&amp;S242)&amp;IF(V242="","",", "&amp;V242)&amp;IF(Y242="","",", "&amp;Y242)&amp;IF(AB242="","",", "&amp;AB242)&amp;IF(AE242="","",", "&amp;AE242)&amp;IF(AH242="","",", "&amp;AH242)&amp;IF(AK242="","",", "&amp;AK242)&amp;IF(AN242="","",", "&amp;AN242)&amp;IF(AQ242="","",", "&amp;AQ242)&amp;IF(AT242="","",", "&amp;AT242)&amp;IF(AW242="","",", "&amp;AW242)&amp;IF(AZ242="","",", "&amp;AZ242),3,500)</f>
        <v/>
      </c>
      <c r="BH242" s="12" t="n"/>
      <c r="BI242" s="15">
        <f>IFERROR(MATCH($A242,IF($B242="Onsite",tbl_Onsite[Row ID],IF($B242="Production",tbl_Production[Row ID],tbl_Consulting[Row ID])),0),"")</f>
        <v/>
      </c>
    </row>
    <row r="243">
      <c r="A243" s="10" t="inlineStr">
        <is>
          <t>ONS-0237</t>
        </is>
      </c>
      <c r="B243" s="10" t="inlineStr">
        <is>
          <t>Onsite</t>
        </is>
      </c>
      <c r="C243" s="10">
        <f>IF($BI243="","",IF($B243="Onsite",INDEX(tbl_Onsite[Job Number],$BI243),IF($B243="Production",INDEX(tbl_Production[Job Number],$BI243),INDEX(tbl_Consulting[Job Number],$BI243)))&amp;"")</f>
        <v/>
      </c>
      <c r="D243" s="10">
        <f>IF($BI243="","",IF($B243="Onsite",INDEX(tbl_Onsite[Client],$BI243),IF($B243="Production",INDEX(tbl_Production[Client],$BI243),INDEX(tbl_Consulting[Client],$BI243)))&amp;"")</f>
        <v/>
      </c>
      <c r="E243" s="10">
        <f>IF($C243="","",IF(COUNTIF(lst_Jobs,$C243)&gt;0,"OK","CHECK"))</f>
        <v/>
      </c>
      <c r="F243" s="10">
        <f>IF($C243="","",IFERROR(INDEX(lst_JobName,MATCH($C243,lst_Jobs,0)),""))</f>
        <v/>
      </c>
      <c r="G243" s="10">
        <f>IF($BI243="","",IF($B243="Onsite",INDEX(tbl_Onsite[Job Description],$BI243),IF($B243="Production",INDEX(tbl_Production[Job Description],$BI243),INDEX(tbl_Consulting[Job Description],$BI243)))&amp;"")</f>
        <v/>
      </c>
      <c r="H243" s="10">
        <f>IF($BI243="","",IF($B243="Onsite",INDEX(tbl_Onsite[Cost Centre],$BI243),IF($B243="Production",INDEX(tbl_Production[Cost Centre],$BI243),INDEX(tbl_Consulting[Cost Centre],$BI243)))&amp;"")</f>
        <v/>
      </c>
      <c r="I243" s="10">
        <f>IF($BI243="","",IF($B243="Onsite",INDEX(tbl_Onsite[Invoice Type],$BI243),IF($B243="Production",INDEX(tbl_Production[Invoice Type],$BI243),INDEX(tbl_Consulting[Invoice Type],$BI243)))&amp;"")</f>
        <v/>
      </c>
      <c r="J243" s="10">
        <f>IF($BI243="","",IF($B243="Onsite",INDEX(tbl_Onsite[Tax Code],$BI243),IF($B243="Production",INDEX(tbl_Production[Tax Code],$BI243),INDEX(tbl_Consulting[Tax Code],$BI243)))&amp;"")</f>
        <v/>
      </c>
      <c r="K243" s="10">
        <f>IF(H243="","",IFERROR(INDEX(lst_CCtoGL,MATCH(H243,lst_CCforGL,0)),""))</f>
        <v/>
      </c>
      <c r="L243" s="10">
        <f>IF($BI243="","",IF($B243="Onsite",INDEX(tbl_Onsite[PO / Reference],$BI243),IF($B243="Production",INDEX(tbl_Production[Current RMS No],$BI243),INDEX(tbl_Consulting[Qwilr Quote],$BI243)))&amp;"")</f>
        <v/>
      </c>
      <c r="M243" s="10">
        <f>IF($BI243="","",IF($B243="Onsite",INDEX(tbl_Onsite[Notes],$BI243),IF($B243="Production",INDEX(tbl_Production[Notes],$BI243),INDEX(tbl_Consulting[Notes],$BI243)))&amp;"")</f>
        <v/>
      </c>
      <c r="N243" s="11">
        <f>IF($BI243="","",IF(IF($B243="Onsite",INDEX(tbl_Onsite[Expected Revenue Ex GST],$BI243),IF($B243="Production",INDEX(tbl_Production[Expected Revenue Ex GST],$BI243),INDEX(tbl_Consulting[Expected Revenue Ex GST],$BI243)))="","",IF($B243="Onsite",INDEX(tbl_Onsite[Expected Revenue Ex GST],$BI243),IF($B243="Production",INDEX(tbl_Production[Expected Revenue Ex GST],$BI243),INDEX(tbl_Consulting[Expected Revenue Ex GST],$BI243)))))</f>
        <v/>
      </c>
      <c r="O243" s="11">
        <f>IF(AND($C243="",NOT(COUNTA($S243:$BB243)&gt;0)),"",SUM(U243,X243,AA243,AD243,AG243,AJ243,AM243,AP243,AS243,AV243,AY243,BB243))</f>
        <v/>
      </c>
      <c r="P243" s="11">
        <f>IF(O243="","",N(N243)-O243)</f>
        <v/>
      </c>
      <c r="Q243" s="10">
        <f>IF(O243="","",IF($C243="","Invoice on empty job row",IF(N243="",IF(ROUND(O243,2)=0,"No dept value","Invoiced - no dept value"),IF(ROUND(O243,2)=0,"Not invoiced - to invoice",IF(ROUND(P243,2)=0,"Agrees",IF(P243&gt;0,"Dept higher - to invoice","Xero higher - check dept"))))))</f>
        <v/>
      </c>
      <c r="R243" s="10">
        <f>IF(AND($C243="",NOT(COUNTA($S243:$BB243)&gt;0),$BI243&lt;&gt;""),"",MID(IF($BI243="","; Row ID not found on the department sheet - a row was deleted","")&amp;IF(AND($C243="",COUNTA($S243:$BB243)&gt;0),"; Invoice entered but the department row has no job number","")&amp;IF(E243="CHECK","; Job number not in the Xero job list","")&amp;IF(AND($C243&lt;&gt;"",COUNTIF($C$7:$C$1506,$C243)&gt;1),"; Job number on more than one row","")&amp;IF(AND($C243&lt;&gt;"",H243=""),"; Dept has not set a cost centre","")&amp;IF(AND($C243&lt;&gt;"",J243=""),"; Dept has not set a tax code","")&amp;IF(AND($C243&lt;&gt;"",N243=""),"; Dept has not entered an expected value","")&amp;IF((IF(OR(COUNTA(S243:U243)=0,AND(COUNTA(S243:U243)=3,ISNUMBER(U243))),0,1)+IF(OR(COUNTA(V243:X243)=0,AND(COUNTA(V243:X243)=3,ISNUMBER(X243))),0,1)+IF(OR(COUNTA(Y243:AA243)=0,AND(COUNTA(Y243:AA243)=3,ISNUMBER(AA243))),0,1)+IF(OR(COUNTA(AB243:AD243)=0,AND(COUNTA(AB243:AD243)=3,ISNUMBER(AD243))),0,1)+IF(OR(COUNTA(AE243:AG243)=0,AND(COUNTA(AE243:AG243)=3,ISNUMBER(AG243))),0,1)+IF(OR(COUNTA(AH243:AJ243)=0,AND(COUNTA(AH243:AJ243)=3,ISNUMBER(AJ243))),0,1)+IF(OR(COUNTA(AK243:AM243)=0,AND(COUNTA(AK243:AM243)=3,ISNUMBER(AM243))),0,1)+IF(OR(COUNTA(AN243:AP243)=0,AND(COUNTA(AN243:AP243)=3,ISNUMBER(AP243))),0,1)+IF(OR(COUNTA(AQ243:AS243)=0,AND(COUNTA(AQ243:AS243)=3,ISNUMBER(AS243))),0,1)+IF(OR(COUNTA(AT243:AV243)=0,AND(COUNTA(AT243:AV243)=3,ISNUMBER(AV243))),0,1)+IF(OR(COUNTA(AW243:AY243)=0,AND(COUNTA(AW243:AY243)=3,ISNUMBER(AY243))),0,1)+IF(OR(COUNTA(AZ243:BB243)=0,AND(COUNTA(AZ243:BB243)=3,ISNUMBER(BB243))),0,1))&gt;0,"; An invoice is incomplete (needs No, Date and a number in Ex GST)","")&amp;IF((IF(T243="",0,IFERROR(--(EOMONTH(T243,0)&lt;&gt;S$5),1))+IF(W243="",0,IFERROR(--(EOMONTH(W243,0)&lt;&gt;V$5),1))+IF(Z243="",0,IFERROR(--(EOMONTH(Z243,0)&lt;&gt;Y$5),1))+IF(AC243="",0,IFERROR(--(EOMONTH(AC243,0)&lt;&gt;AB$5),1))+IF(AF243="",0,IFERROR(--(EOMONTH(AF243,0)&lt;&gt;AE$5),1))+IF(AI243="",0,IFERROR(--(EOMONTH(AI243,0)&lt;&gt;AH$5),1))+IF(AL243="",0,IFERROR(--(EOMONTH(AL243,0)&lt;&gt;AK$5),1))+IF(AO243="",0,IFERROR(--(EOMONTH(AO243,0)&lt;&gt;AN$5),1))+IF(AR243="",0,IFERROR(--(EOMONTH(AR243,0)&lt;&gt;AQ$5),1))+IF(AU243="",0,IFERROR(--(EOMONTH(AU243,0)&lt;&gt;AT$5),1))+IF(AX243="",0,IFERROR(--(EOMONTH(AX243,0)&lt;&gt;AW$5),1))+IF(BA243="",0,IFERROR(--(EOMONTH(BA243,0)&lt;&gt;AZ$5),1)))&gt;0,"; An invoice date is not in the month it is typed under",""),3,500))</f>
        <v/>
      </c>
      <c r="S243" s="12" t="n"/>
      <c r="T243" s="13" t="n"/>
      <c r="U243" s="14" t="n"/>
      <c r="V243" s="12" t="n"/>
      <c r="W243" s="13" t="n"/>
      <c r="X243" s="14" t="n"/>
      <c r="Y243" s="12" t="n"/>
      <c r="Z243" s="13" t="n"/>
      <c r="AA243" s="14" t="n"/>
      <c r="AB243" s="12" t="n"/>
      <c r="AC243" s="13" t="n"/>
      <c r="AD243" s="14" t="n"/>
      <c r="AE243" s="12" t="n"/>
      <c r="AF243" s="13" t="n"/>
      <c r="AG243" s="14" t="n"/>
      <c r="AH243" s="12" t="n"/>
      <c r="AI243" s="13" t="n"/>
      <c r="AJ243" s="14" t="n"/>
      <c r="AK243" s="12" t="n"/>
      <c r="AL243" s="13" t="n"/>
      <c r="AM243" s="14" t="n"/>
      <c r="AN243" s="12" t="n"/>
      <c r="AO243" s="13" t="n"/>
      <c r="AP243" s="14" t="n"/>
      <c r="AQ243" s="12" t="n"/>
      <c r="AR243" s="13" t="n"/>
      <c r="AS243" s="14" t="n"/>
      <c r="AT243" s="12" t="n"/>
      <c r="AU243" s="13" t="n"/>
      <c r="AV243" s="14" t="n"/>
      <c r="AW243" s="12" t="n"/>
      <c r="AX243" s="13" t="n"/>
      <c r="AY243" s="14" t="n"/>
      <c r="AZ243" s="12" t="n"/>
      <c r="BA243" s="13" t="n"/>
      <c r="BB243" s="14" t="n"/>
      <c r="BC243" s="11">
        <f>IF(O243="","",IF(J243="GST 10%",ROUND(O243*set_GSTRate,2),0))</f>
        <v/>
      </c>
      <c r="BD243" s="11">
        <f>IF(O243="","",O243+BC243)</f>
        <v/>
      </c>
      <c r="BE243" s="15">
        <f>IF(O243="","",COUNTA(S243,V243,Y243,AB243,AE243,AH243,AK243,AN243,AQ243,AT243,AW243,AZ243))</f>
        <v/>
      </c>
      <c r="BF243" s="16">
        <f>IF(COUNT(T243,W243,Z243,AC243,AF243,AI243,AL243,AO243,AR243,AU243,AX243,BA243)=0,"",MAX(T243,W243,Z243,AC243,AF243,AI243,AL243,AO243,AR243,AU243,AX243,BA243))</f>
        <v/>
      </c>
      <c r="BG243" s="10">
        <f>MID(IF(S243="","",", "&amp;S243)&amp;IF(V243="","",", "&amp;V243)&amp;IF(Y243="","",", "&amp;Y243)&amp;IF(AB243="","",", "&amp;AB243)&amp;IF(AE243="","",", "&amp;AE243)&amp;IF(AH243="","",", "&amp;AH243)&amp;IF(AK243="","",", "&amp;AK243)&amp;IF(AN243="","",", "&amp;AN243)&amp;IF(AQ243="","",", "&amp;AQ243)&amp;IF(AT243="","",", "&amp;AT243)&amp;IF(AW243="","",", "&amp;AW243)&amp;IF(AZ243="","",", "&amp;AZ243),3,500)</f>
        <v/>
      </c>
      <c r="BH243" s="12" t="n"/>
      <c r="BI243" s="15">
        <f>IFERROR(MATCH($A243,IF($B243="Onsite",tbl_Onsite[Row ID],IF($B243="Production",tbl_Production[Row ID],tbl_Consulting[Row ID])),0),"")</f>
        <v/>
      </c>
    </row>
    <row r="244">
      <c r="A244" s="10" t="inlineStr">
        <is>
          <t>ONS-0238</t>
        </is>
      </c>
      <c r="B244" s="10" t="inlineStr">
        <is>
          <t>Onsite</t>
        </is>
      </c>
      <c r="C244" s="10">
        <f>IF($BI244="","",IF($B244="Onsite",INDEX(tbl_Onsite[Job Number],$BI244),IF($B244="Production",INDEX(tbl_Production[Job Number],$BI244),INDEX(tbl_Consulting[Job Number],$BI244)))&amp;"")</f>
        <v/>
      </c>
      <c r="D244" s="10">
        <f>IF($BI244="","",IF($B244="Onsite",INDEX(tbl_Onsite[Client],$BI244),IF($B244="Production",INDEX(tbl_Production[Client],$BI244),INDEX(tbl_Consulting[Client],$BI244)))&amp;"")</f>
        <v/>
      </c>
      <c r="E244" s="10">
        <f>IF($C244="","",IF(COUNTIF(lst_Jobs,$C244)&gt;0,"OK","CHECK"))</f>
        <v/>
      </c>
      <c r="F244" s="10">
        <f>IF($C244="","",IFERROR(INDEX(lst_JobName,MATCH($C244,lst_Jobs,0)),""))</f>
        <v/>
      </c>
      <c r="G244" s="10">
        <f>IF($BI244="","",IF($B244="Onsite",INDEX(tbl_Onsite[Job Description],$BI244),IF($B244="Production",INDEX(tbl_Production[Job Description],$BI244),INDEX(tbl_Consulting[Job Description],$BI244)))&amp;"")</f>
        <v/>
      </c>
      <c r="H244" s="10">
        <f>IF($BI244="","",IF($B244="Onsite",INDEX(tbl_Onsite[Cost Centre],$BI244),IF($B244="Production",INDEX(tbl_Production[Cost Centre],$BI244),INDEX(tbl_Consulting[Cost Centre],$BI244)))&amp;"")</f>
        <v/>
      </c>
      <c r="I244" s="10">
        <f>IF($BI244="","",IF($B244="Onsite",INDEX(tbl_Onsite[Invoice Type],$BI244),IF($B244="Production",INDEX(tbl_Production[Invoice Type],$BI244),INDEX(tbl_Consulting[Invoice Type],$BI244)))&amp;"")</f>
        <v/>
      </c>
      <c r="J244" s="10">
        <f>IF($BI244="","",IF($B244="Onsite",INDEX(tbl_Onsite[Tax Code],$BI244),IF($B244="Production",INDEX(tbl_Production[Tax Code],$BI244),INDEX(tbl_Consulting[Tax Code],$BI244)))&amp;"")</f>
        <v/>
      </c>
      <c r="K244" s="10">
        <f>IF(H244="","",IFERROR(INDEX(lst_CCtoGL,MATCH(H244,lst_CCforGL,0)),""))</f>
        <v/>
      </c>
      <c r="L244" s="10">
        <f>IF($BI244="","",IF($B244="Onsite",INDEX(tbl_Onsite[PO / Reference],$BI244),IF($B244="Production",INDEX(tbl_Production[Current RMS No],$BI244),INDEX(tbl_Consulting[Qwilr Quote],$BI244)))&amp;"")</f>
        <v/>
      </c>
      <c r="M244" s="10">
        <f>IF($BI244="","",IF($B244="Onsite",INDEX(tbl_Onsite[Notes],$BI244),IF($B244="Production",INDEX(tbl_Production[Notes],$BI244),INDEX(tbl_Consulting[Notes],$BI244)))&amp;"")</f>
        <v/>
      </c>
      <c r="N244" s="11">
        <f>IF($BI244="","",IF(IF($B244="Onsite",INDEX(tbl_Onsite[Expected Revenue Ex GST],$BI244),IF($B244="Production",INDEX(tbl_Production[Expected Revenue Ex GST],$BI244),INDEX(tbl_Consulting[Expected Revenue Ex GST],$BI244)))="","",IF($B244="Onsite",INDEX(tbl_Onsite[Expected Revenue Ex GST],$BI244),IF($B244="Production",INDEX(tbl_Production[Expected Revenue Ex GST],$BI244),INDEX(tbl_Consulting[Expected Revenue Ex GST],$BI244)))))</f>
        <v/>
      </c>
      <c r="O244" s="11">
        <f>IF(AND($C244="",NOT(COUNTA($S244:$BB244)&gt;0)),"",SUM(U244,X244,AA244,AD244,AG244,AJ244,AM244,AP244,AS244,AV244,AY244,BB244))</f>
        <v/>
      </c>
      <c r="P244" s="11">
        <f>IF(O244="","",N(N244)-O244)</f>
        <v/>
      </c>
      <c r="Q244" s="10">
        <f>IF(O244="","",IF($C244="","Invoice on empty job row",IF(N244="",IF(ROUND(O244,2)=0,"No dept value","Invoiced - no dept value"),IF(ROUND(O244,2)=0,"Not invoiced - to invoice",IF(ROUND(P244,2)=0,"Agrees",IF(P244&gt;0,"Dept higher - to invoice","Xero higher - check dept"))))))</f>
        <v/>
      </c>
      <c r="R244" s="10">
        <f>IF(AND($C244="",NOT(COUNTA($S244:$BB244)&gt;0),$BI244&lt;&gt;""),"",MID(IF($BI244="","; Row ID not found on the department sheet - a row was deleted","")&amp;IF(AND($C244="",COUNTA($S244:$BB244)&gt;0),"; Invoice entered but the department row has no job number","")&amp;IF(E244="CHECK","; Job number not in the Xero job list","")&amp;IF(AND($C244&lt;&gt;"",COUNTIF($C$7:$C$1506,$C244)&gt;1),"; Job number on more than one row","")&amp;IF(AND($C244&lt;&gt;"",H244=""),"; Dept has not set a cost centre","")&amp;IF(AND($C244&lt;&gt;"",J244=""),"; Dept has not set a tax code","")&amp;IF(AND($C244&lt;&gt;"",N244=""),"; Dept has not entered an expected value","")&amp;IF((IF(OR(COUNTA(S244:U244)=0,AND(COUNTA(S244:U244)=3,ISNUMBER(U244))),0,1)+IF(OR(COUNTA(V244:X244)=0,AND(COUNTA(V244:X244)=3,ISNUMBER(X244))),0,1)+IF(OR(COUNTA(Y244:AA244)=0,AND(COUNTA(Y244:AA244)=3,ISNUMBER(AA244))),0,1)+IF(OR(COUNTA(AB244:AD244)=0,AND(COUNTA(AB244:AD244)=3,ISNUMBER(AD244))),0,1)+IF(OR(COUNTA(AE244:AG244)=0,AND(COUNTA(AE244:AG244)=3,ISNUMBER(AG244))),0,1)+IF(OR(COUNTA(AH244:AJ244)=0,AND(COUNTA(AH244:AJ244)=3,ISNUMBER(AJ244))),0,1)+IF(OR(COUNTA(AK244:AM244)=0,AND(COUNTA(AK244:AM244)=3,ISNUMBER(AM244))),0,1)+IF(OR(COUNTA(AN244:AP244)=0,AND(COUNTA(AN244:AP244)=3,ISNUMBER(AP244))),0,1)+IF(OR(COUNTA(AQ244:AS244)=0,AND(COUNTA(AQ244:AS244)=3,ISNUMBER(AS244))),0,1)+IF(OR(COUNTA(AT244:AV244)=0,AND(COUNTA(AT244:AV244)=3,ISNUMBER(AV244))),0,1)+IF(OR(COUNTA(AW244:AY244)=0,AND(COUNTA(AW244:AY244)=3,ISNUMBER(AY244))),0,1)+IF(OR(COUNTA(AZ244:BB244)=0,AND(COUNTA(AZ244:BB244)=3,ISNUMBER(BB244))),0,1))&gt;0,"; An invoice is incomplete (needs No, Date and a number in Ex GST)","")&amp;IF((IF(T244="",0,IFERROR(--(EOMONTH(T244,0)&lt;&gt;S$5),1))+IF(W244="",0,IFERROR(--(EOMONTH(W244,0)&lt;&gt;V$5),1))+IF(Z244="",0,IFERROR(--(EOMONTH(Z244,0)&lt;&gt;Y$5),1))+IF(AC244="",0,IFERROR(--(EOMONTH(AC244,0)&lt;&gt;AB$5),1))+IF(AF244="",0,IFERROR(--(EOMONTH(AF244,0)&lt;&gt;AE$5),1))+IF(AI244="",0,IFERROR(--(EOMONTH(AI244,0)&lt;&gt;AH$5),1))+IF(AL244="",0,IFERROR(--(EOMONTH(AL244,0)&lt;&gt;AK$5),1))+IF(AO244="",0,IFERROR(--(EOMONTH(AO244,0)&lt;&gt;AN$5),1))+IF(AR244="",0,IFERROR(--(EOMONTH(AR244,0)&lt;&gt;AQ$5),1))+IF(AU244="",0,IFERROR(--(EOMONTH(AU244,0)&lt;&gt;AT$5),1))+IF(AX244="",0,IFERROR(--(EOMONTH(AX244,0)&lt;&gt;AW$5),1))+IF(BA244="",0,IFERROR(--(EOMONTH(BA244,0)&lt;&gt;AZ$5),1)))&gt;0,"; An invoice date is not in the month it is typed under",""),3,500))</f>
        <v/>
      </c>
      <c r="S244" s="12" t="n"/>
      <c r="T244" s="13" t="n"/>
      <c r="U244" s="14" t="n"/>
      <c r="V244" s="12" t="n"/>
      <c r="W244" s="13" t="n"/>
      <c r="X244" s="14" t="n"/>
      <c r="Y244" s="12" t="n"/>
      <c r="Z244" s="13" t="n"/>
      <c r="AA244" s="14" t="n"/>
      <c r="AB244" s="12" t="n"/>
      <c r="AC244" s="13" t="n"/>
      <c r="AD244" s="14" t="n"/>
      <c r="AE244" s="12" t="n"/>
      <c r="AF244" s="13" t="n"/>
      <c r="AG244" s="14" t="n"/>
      <c r="AH244" s="12" t="n"/>
      <c r="AI244" s="13" t="n"/>
      <c r="AJ244" s="14" t="n"/>
      <c r="AK244" s="12" t="n"/>
      <c r="AL244" s="13" t="n"/>
      <c r="AM244" s="14" t="n"/>
      <c r="AN244" s="12" t="n"/>
      <c r="AO244" s="13" t="n"/>
      <c r="AP244" s="14" t="n"/>
      <c r="AQ244" s="12" t="n"/>
      <c r="AR244" s="13" t="n"/>
      <c r="AS244" s="14" t="n"/>
      <c r="AT244" s="12" t="n"/>
      <c r="AU244" s="13" t="n"/>
      <c r="AV244" s="14" t="n"/>
      <c r="AW244" s="12" t="n"/>
      <c r="AX244" s="13" t="n"/>
      <c r="AY244" s="14" t="n"/>
      <c r="AZ244" s="12" t="n"/>
      <c r="BA244" s="13" t="n"/>
      <c r="BB244" s="14" t="n"/>
      <c r="BC244" s="11">
        <f>IF(O244="","",IF(J244="GST 10%",ROUND(O244*set_GSTRate,2),0))</f>
        <v/>
      </c>
      <c r="BD244" s="11">
        <f>IF(O244="","",O244+BC244)</f>
        <v/>
      </c>
      <c r="BE244" s="15">
        <f>IF(O244="","",COUNTA(S244,V244,Y244,AB244,AE244,AH244,AK244,AN244,AQ244,AT244,AW244,AZ244))</f>
        <v/>
      </c>
      <c r="BF244" s="16">
        <f>IF(COUNT(T244,W244,Z244,AC244,AF244,AI244,AL244,AO244,AR244,AU244,AX244,BA244)=0,"",MAX(T244,W244,Z244,AC244,AF244,AI244,AL244,AO244,AR244,AU244,AX244,BA244))</f>
        <v/>
      </c>
      <c r="BG244" s="10">
        <f>MID(IF(S244="","",", "&amp;S244)&amp;IF(V244="","",", "&amp;V244)&amp;IF(Y244="","",", "&amp;Y244)&amp;IF(AB244="","",", "&amp;AB244)&amp;IF(AE244="","",", "&amp;AE244)&amp;IF(AH244="","",", "&amp;AH244)&amp;IF(AK244="","",", "&amp;AK244)&amp;IF(AN244="","",", "&amp;AN244)&amp;IF(AQ244="","",", "&amp;AQ244)&amp;IF(AT244="","",", "&amp;AT244)&amp;IF(AW244="","",", "&amp;AW244)&amp;IF(AZ244="","",", "&amp;AZ244),3,500)</f>
        <v/>
      </c>
      <c r="BH244" s="12" t="n"/>
      <c r="BI244" s="15">
        <f>IFERROR(MATCH($A244,IF($B244="Onsite",tbl_Onsite[Row ID],IF($B244="Production",tbl_Production[Row ID],tbl_Consulting[Row ID])),0),"")</f>
        <v/>
      </c>
    </row>
    <row r="245">
      <c r="A245" s="10" t="inlineStr">
        <is>
          <t>ONS-0239</t>
        </is>
      </c>
      <c r="B245" s="10" t="inlineStr">
        <is>
          <t>Onsite</t>
        </is>
      </c>
      <c r="C245" s="10">
        <f>IF($BI245="","",IF($B245="Onsite",INDEX(tbl_Onsite[Job Number],$BI245),IF($B245="Production",INDEX(tbl_Production[Job Number],$BI245),INDEX(tbl_Consulting[Job Number],$BI245)))&amp;"")</f>
        <v/>
      </c>
      <c r="D245" s="10">
        <f>IF($BI245="","",IF($B245="Onsite",INDEX(tbl_Onsite[Client],$BI245),IF($B245="Production",INDEX(tbl_Production[Client],$BI245),INDEX(tbl_Consulting[Client],$BI245)))&amp;"")</f>
        <v/>
      </c>
      <c r="E245" s="10">
        <f>IF($C245="","",IF(COUNTIF(lst_Jobs,$C245)&gt;0,"OK","CHECK"))</f>
        <v/>
      </c>
      <c r="F245" s="10">
        <f>IF($C245="","",IFERROR(INDEX(lst_JobName,MATCH($C245,lst_Jobs,0)),""))</f>
        <v/>
      </c>
      <c r="G245" s="10">
        <f>IF($BI245="","",IF($B245="Onsite",INDEX(tbl_Onsite[Job Description],$BI245),IF($B245="Production",INDEX(tbl_Production[Job Description],$BI245),INDEX(tbl_Consulting[Job Description],$BI245)))&amp;"")</f>
        <v/>
      </c>
      <c r="H245" s="10">
        <f>IF($BI245="","",IF($B245="Onsite",INDEX(tbl_Onsite[Cost Centre],$BI245),IF($B245="Production",INDEX(tbl_Production[Cost Centre],$BI245),INDEX(tbl_Consulting[Cost Centre],$BI245)))&amp;"")</f>
        <v/>
      </c>
      <c r="I245" s="10">
        <f>IF($BI245="","",IF($B245="Onsite",INDEX(tbl_Onsite[Invoice Type],$BI245),IF($B245="Production",INDEX(tbl_Production[Invoice Type],$BI245),INDEX(tbl_Consulting[Invoice Type],$BI245)))&amp;"")</f>
        <v/>
      </c>
      <c r="J245" s="10">
        <f>IF($BI245="","",IF($B245="Onsite",INDEX(tbl_Onsite[Tax Code],$BI245),IF($B245="Production",INDEX(tbl_Production[Tax Code],$BI245),INDEX(tbl_Consulting[Tax Code],$BI245)))&amp;"")</f>
        <v/>
      </c>
      <c r="K245" s="10">
        <f>IF(H245="","",IFERROR(INDEX(lst_CCtoGL,MATCH(H245,lst_CCforGL,0)),""))</f>
        <v/>
      </c>
      <c r="L245" s="10">
        <f>IF($BI245="","",IF($B245="Onsite",INDEX(tbl_Onsite[PO / Reference],$BI245),IF($B245="Production",INDEX(tbl_Production[Current RMS No],$BI245),INDEX(tbl_Consulting[Qwilr Quote],$BI245)))&amp;"")</f>
        <v/>
      </c>
      <c r="M245" s="10">
        <f>IF($BI245="","",IF($B245="Onsite",INDEX(tbl_Onsite[Notes],$BI245),IF($B245="Production",INDEX(tbl_Production[Notes],$BI245),INDEX(tbl_Consulting[Notes],$BI245)))&amp;"")</f>
        <v/>
      </c>
      <c r="N245" s="11">
        <f>IF($BI245="","",IF(IF($B245="Onsite",INDEX(tbl_Onsite[Expected Revenue Ex GST],$BI245),IF($B245="Production",INDEX(tbl_Production[Expected Revenue Ex GST],$BI245),INDEX(tbl_Consulting[Expected Revenue Ex GST],$BI245)))="","",IF($B245="Onsite",INDEX(tbl_Onsite[Expected Revenue Ex GST],$BI245),IF($B245="Production",INDEX(tbl_Production[Expected Revenue Ex GST],$BI245),INDEX(tbl_Consulting[Expected Revenue Ex GST],$BI245)))))</f>
        <v/>
      </c>
      <c r="O245" s="11">
        <f>IF(AND($C245="",NOT(COUNTA($S245:$BB245)&gt;0)),"",SUM(U245,X245,AA245,AD245,AG245,AJ245,AM245,AP245,AS245,AV245,AY245,BB245))</f>
        <v/>
      </c>
      <c r="P245" s="11">
        <f>IF(O245="","",N(N245)-O245)</f>
        <v/>
      </c>
      <c r="Q245" s="10">
        <f>IF(O245="","",IF($C245="","Invoice on empty job row",IF(N245="",IF(ROUND(O245,2)=0,"No dept value","Invoiced - no dept value"),IF(ROUND(O245,2)=0,"Not invoiced - to invoice",IF(ROUND(P245,2)=0,"Agrees",IF(P245&gt;0,"Dept higher - to invoice","Xero higher - check dept"))))))</f>
        <v/>
      </c>
      <c r="R245" s="10">
        <f>IF(AND($C245="",NOT(COUNTA($S245:$BB245)&gt;0),$BI245&lt;&gt;""),"",MID(IF($BI245="","; Row ID not found on the department sheet - a row was deleted","")&amp;IF(AND($C245="",COUNTA($S245:$BB245)&gt;0),"; Invoice entered but the department row has no job number","")&amp;IF(E245="CHECK","; Job number not in the Xero job list","")&amp;IF(AND($C245&lt;&gt;"",COUNTIF($C$7:$C$1506,$C245)&gt;1),"; Job number on more than one row","")&amp;IF(AND($C245&lt;&gt;"",H245=""),"; Dept has not set a cost centre","")&amp;IF(AND($C245&lt;&gt;"",J245=""),"; Dept has not set a tax code","")&amp;IF(AND($C245&lt;&gt;"",N245=""),"; Dept has not entered an expected value","")&amp;IF((IF(OR(COUNTA(S245:U245)=0,AND(COUNTA(S245:U245)=3,ISNUMBER(U245))),0,1)+IF(OR(COUNTA(V245:X245)=0,AND(COUNTA(V245:X245)=3,ISNUMBER(X245))),0,1)+IF(OR(COUNTA(Y245:AA245)=0,AND(COUNTA(Y245:AA245)=3,ISNUMBER(AA245))),0,1)+IF(OR(COUNTA(AB245:AD245)=0,AND(COUNTA(AB245:AD245)=3,ISNUMBER(AD245))),0,1)+IF(OR(COUNTA(AE245:AG245)=0,AND(COUNTA(AE245:AG245)=3,ISNUMBER(AG245))),0,1)+IF(OR(COUNTA(AH245:AJ245)=0,AND(COUNTA(AH245:AJ245)=3,ISNUMBER(AJ245))),0,1)+IF(OR(COUNTA(AK245:AM245)=0,AND(COUNTA(AK245:AM245)=3,ISNUMBER(AM245))),0,1)+IF(OR(COUNTA(AN245:AP245)=0,AND(COUNTA(AN245:AP245)=3,ISNUMBER(AP245))),0,1)+IF(OR(COUNTA(AQ245:AS245)=0,AND(COUNTA(AQ245:AS245)=3,ISNUMBER(AS245))),0,1)+IF(OR(COUNTA(AT245:AV245)=0,AND(COUNTA(AT245:AV245)=3,ISNUMBER(AV245))),0,1)+IF(OR(COUNTA(AW245:AY245)=0,AND(COUNTA(AW245:AY245)=3,ISNUMBER(AY245))),0,1)+IF(OR(COUNTA(AZ245:BB245)=0,AND(COUNTA(AZ245:BB245)=3,ISNUMBER(BB245))),0,1))&gt;0,"; An invoice is incomplete (needs No, Date and a number in Ex GST)","")&amp;IF((IF(T245="",0,IFERROR(--(EOMONTH(T245,0)&lt;&gt;S$5),1))+IF(W245="",0,IFERROR(--(EOMONTH(W245,0)&lt;&gt;V$5),1))+IF(Z245="",0,IFERROR(--(EOMONTH(Z245,0)&lt;&gt;Y$5),1))+IF(AC245="",0,IFERROR(--(EOMONTH(AC245,0)&lt;&gt;AB$5),1))+IF(AF245="",0,IFERROR(--(EOMONTH(AF245,0)&lt;&gt;AE$5),1))+IF(AI245="",0,IFERROR(--(EOMONTH(AI245,0)&lt;&gt;AH$5),1))+IF(AL245="",0,IFERROR(--(EOMONTH(AL245,0)&lt;&gt;AK$5),1))+IF(AO245="",0,IFERROR(--(EOMONTH(AO245,0)&lt;&gt;AN$5),1))+IF(AR245="",0,IFERROR(--(EOMONTH(AR245,0)&lt;&gt;AQ$5),1))+IF(AU245="",0,IFERROR(--(EOMONTH(AU245,0)&lt;&gt;AT$5),1))+IF(AX245="",0,IFERROR(--(EOMONTH(AX245,0)&lt;&gt;AW$5),1))+IF(BA245="",0,IFERROR(--(EOMONTH(BA245,0)&lt;&gt;AZ$5),1)))&gt;0,"; An invoice date is not in the month it is typed under",""),3,500))</f>
        <v/>
      </c>
      <c r="S245" s="12" t="n"/>
      <c r="T245" s="13" t="n"/>
      <c r="U245" s="14" t="n"/>
      <c r="V245" s="12" t="n"/>
      <c r="W245" s="13" t="n"/>
      <c r="X245" s="14" t="n"/>
      <c r="Y245" s="12" t="n"/>
      <c r="Z245" s="13" t="n"/>
      <c r="AA245" s="14" t="n"/>
      <c r="AB245" s="12" t="n"/>
      <c r="AC245" s="13" t="n"/>
      <c r="AD245" s="14" t="n"/>
      <c r="AE245" s="12" t="n"/>
      <c r="AF245" s="13" t="n"/>
      <c r="AG245" s="14" t="n"/>
      <c r="AH245" s="12" t="n"/>
      <c r="AI245" s="13" t="n"/>
      <c r="AJ245" s="14" t="n"/>
      <c r="AK245" s="12" t="n"/>
      <c r="AL245" s="13" t="n"/>
      <c r="AM245" s="14" t="n"/>
      <c r="AN245" s="12" t="n"/>
      <c r="AO245" s="13" t="n"/>
      <c r="AP245" s="14" t="n"/>
      <c r="AQ245" s="12" t="n"/>
      <c r="AR245" s="13" t="n"/>
      <c r="AS245" s="14" t="n"/>
      <c r="AT245" s="12" t="n"/>
      <c r="AU245" s="13" t="n"/>
      <c r="AV245" s="14" t="n"/>
      <c r="AW245" s="12" t="n"/>
      <c r="AX245" s="13" t="n"/>
      <c r="AY245" s="14" t="n"/>
      <c r="AZ245" s="12" t="n"/>
      <c r="BA245" s="13" t="n"/>
      <c r="BB245" s="14" t="n"/>
      <c r="BC245" s="11">
        <f>IF(O245="","",IF(J245="GST 10%",ROUND(O245*set_GSTRate,2),0))</f>
        <v/>
      </c>
      <c r="BD245" s="11">
        <f>IF(O245="","",O245+BC245)</f>
        <v/>
      </c>
      <c r="BE245" s="15">
        <f>IF(O245="","",COUNTA(S245,V245,Y245,AB245,AE245,AH245,AK245,AN245,AQ245,AT245,AW245,AZ245))</f>
        <v/>
      </c>
      <c r="BF245" s="16">
        <f>IF(COUNT(T245,W245,Z245,AC245,AF245,AI245,AL245,AO245,AR245,AU245,AX245,BA245)=0,"",MAX(T245,W245,Z245,AC245,AF245,AI245,AL245,AO245,AR245,AU245,AX245,BA245))</f>
        <v/>
      </c>
      <c r="BG245" s="10">
        <f>MID(IF(S245="","",", "&amp;S245)&amp;IF(V245="","",", "&amp;V245)&amp;IF(Y245="","",", "&amp;Y245)&amp;IF(AB245="","",", "&amp;AB245)&amp;IF(AE245="","",", "&amp;AE245)&amp;IF(AH245="","",", "&amp;AH245)&amp;IF(AK245="","",", "&amp;AK245)&amp;IF(AN245="","",", "&amp;AN245)&amp;IF(AQ245="","",", "&amp;AQ245)&amp;IF(AT245="","",", "&amp;AT245)&amp;IF(AW245="","",", "&amp;AW245)&amp;IF(AZ245="","",", "&amp;AZ245),3,500)</f>
        <v/>
      </c>
      <c r="BH245" s="12" t="n"/>
      <c r="BI245" s="15">
        <f>IFERROR(MATCH($A245,IF($B245="Onsite",tbl_Onsite[Row ID],IF($B245="Production",tbl_Production[Row ID],tbl_Consulting[Row ID])),0),"")</f>
        <v/>
      </c>
    </row>
    <row r="246">
      <c r="A246" s="10" t="inlineStr">
        <is>
          <t>ONS-0240</t>
        </is>
      </c>
      <c r="B246" s="10" t="inlineStr">
        <is>
          <t>Onsite</t>
        </is>
      </c>
      <c r="C246" s="10">
        <f>IF($BI246="","",IF($B246="Onsite",INDEX(tbl_Onsite[Job Number],$BI246),IF($B246="Production",INDEX(tbl_Production[Job Number],$BI246),INDEX(tbl_Consulting[Job Number],$BI246)))&amp;"")</f>
        <v/>
      </c>
      <c r="D246" s="10">
        <f>IF($BI246="","",IF($B246="Onsite",INDEX(tbl_Onsite[Client],$BI246),IF($B246="Production",INDEX(tbl_Production[Client],$BI246),INDEX(tbl_Consulting[Client],$BI246)))&amp;"")</f>
        <v/>
      </c>
      <c r="E246" s="10">
        <f>IF($C246="","",IF(COUNTIF(lst_Jobs,$C246)&gt;0,"OK","CHECK"))</f>
        <v/>
      </c>
      <c r="F246" s="10">
        <f>IF($C246="","",IFERROR(INDEX(lst_JobName,MATCH($C246,lst_Jobs,0)),""))</f>
        <v/>
      </c>
      <c r="G246" s="10">
        <f>IF($BI246="","",IF($B246="Onsite",INDEX(tbl_Onsite[Job Description],$BI246),IF($B246="Production",INDEX(tbl_Production[Job Description],$BI246),INDEX(tbl_Consulting[Job Description],$BI246)))&amp;"")</f>
        <v/>
      </c>
      <c r="H246" s="10">
        <f>IF($BI246="","",IF($B246="Onsite",INDEX(tbl_Onsite[Cost Centre],$BI246),IF($B246="Production",INDEX(tbl_Production[Cost Centre],$BI246),INDEX(tbl_Consulting[Cost Centre],$BI246)))&amp;"")</f>
        <v/>
      </c>
      <c r="I246" s="10">
        <f>IF($BI246="","",IF($B246="Onsite",INDEX(tbl_Onsite[Invoice Type],$BI246),IF($B246="Production",INDEX(tbl_Production[Invoice Type],$BI246),INDEX(tbl_Consulting[Invoice Type],$BI246)))&amp;"")</f>
        <v/>
      </c>
      <c r="J246" s="10">
        <f>IF($BI246="","",IF($B246="Onsite",INDEX(tbl_Onsite[Tax Code],$BI246),IF($B246="Production",INDEX(tbl_Production[Tax Code],$BI246),INDEX(tbl_Consulting[Tax Code],$BI246)))&amp;"")</f>
        <v/>
      </c>
      <c r="K246" s="10">
        <f>IF(H246="","",IFERROR(INDEX(lst_CCtoGL,MATCH(H246,lst_CCforGL,0)),""))</f>
        <v/>
      </c>
      <c r="L246" s="10">
        <f>IF($BI246="","",IF($B246="Onsite",INDEX(tbl_Onsite[PO / Reference],$BI246),IF($B246="Production",INDEX(tbl_Production[Current RMS No],$BI246),INDEX(tbl_Consulting[Qwilr Quote],$BI246)))&amp;"")</f>
        <v/>
      </c>
      <c r="M246" s="10">
        <f>IF($BI246="","",IF($B246="Onsite",INDEX(tbl_Onsite[Notes],$BI246),IF($B246="Production",INDEX(tbl_Production[Notes],$BI246),INDEX(tbl_Consulting[Notes],$BI246)))&amp;"")</f>
        <v/>
      </c>
      <c r="N246" s="11">
        <f>IF($BI246="","",IF(IF($B246="Onsite",INDEX(tbl_Onsite[Expected Revenue Ex GST],$BI246),IF($B246="Production",INDEX(tbl_Production[Expected Revenue Ex GST],$BI246),INDEX(tbl_Consulting[Expected Revenue Ex GST],$BI246)))="","",IF($B246="Onsite",INDEX(tbl_Onsite[Expected Revenue Ex GST],$BI246),IF($B246="Production",INDEX(tbl_Production[Expected Revenue Ex GST],$BI246),INDEX(tbl_Consulting[Expected Revenue Ex GST],$BI246)))))</f>
        <v/>
      </c>
      <c r="O246" s="11">
        <f>IF(AND($C246="",NOT(COUNTA($S246:$BB246)&gt;0)),"",SUM(U246,X246,AA246,AD246,AG246,AJ246,AM246,AP246,AS246,AV246,AY246,BB246))</f>
        <v/>
      </c>
      <c r="P246" s="11">
        <f>IF(O246="","",N(N246)-O246)</f>
        <v/>
      </c>
      <c r="Q246" s="10">
        <f>IF(O246="","",IF($C246="","Invoice on empty job row",IF(N246="",IF(ROUND(O246,2)=0,"No dept value","Invoiced - no dept value"),IF(ROUND(O246,2)=0,"Not invoiced - to invoice",IF(ROUND(P246,2)=0,"Agrees",IF(P246&gt;0,"Dept higher - to invoice","Xero higher - check dept"))))))</f>
        <v/>
      </c>
      <c r="R246" s="10">
        <f>IF(AND($C246="",NOT(COUNTA($S246:$BB246)&gt;0),$BI246&lt;&gt;""),"",MID(IF($BI246="","; Row ID not found on the department sheet - a row was deleted","")&amp;IF(AND($C246="",COUNTA($S246:$BB246)&gt;0),"; Invoice entered but the department row has no job number","")&amp;IF(E246="CHECK","; Job number not in the Xero job list","")&amp;IF(AND($C246&lt;&gt;"",COUNTIF($C$7:$C$1506,$C246)&gt;1),"; Job number on more than one row","")&amp;IF(AND($C246&lt;&gt;"",H246=""),"; Dept has not set a cost centre","")&amp;IF(AND($C246&lt;&gt;"",J246=""),"; Dept has not set a tax code","")&amp;IF(AND($C246&lt;&gt;"",N246=""),"; Dept has not entered an expected value","")&amp;IF((IF(OR(COUNTA(S246:U246)=0,AND(COUNTA(S246:U246)=3,ISNUMBER(U246))),0,1)+IF(OR(COUNTA(V246:X246)=0,AND(COUNTA(V246:X246)=3,ISNUMBER(X246))),0,1)+IF(OR(COUNTA(Y246:AA246)=0,AND(COUNTA(Y246:AA246)=3,ISNUMBER(AA246))),0,1)+IF(OR(COUNTA(AB246:AD246)=0,AND(COUNTA(AB246:AD246)=3,ISNUMBER(AD246))),0,1)+IF(OR(COUNTA(AE246:AG246)=0,AND(COUNTA(AE246:AG246)=3,ISNUMBER(AG246))),0,1)+IF(OR(COUNTA(AH246:AJ246)=0,AND(COUNTA(AH246:AJ246)=3,ISNUMBER(AJ246))),0,1)+IF(OR(COUNTA(AK246:AM246)=0,AND(COUNTA(AK246:AM246)=3,ISNUMBER(AM246))),0,1)+IF(OR(COUNTA(AN246:AP246)=0,AND(COUNTA(AN246:AP246)=3,ISNUMBER(AP246))),0,1)+IF(OR(COUNTA(AQ246:AS246)=0,AND(COUNTA(AQ246:AS246)=3,ISNUMBER(AS246))),0,1)+IF(OR(COUNTA(AT246:AV246)=0,AND(COUNTA(AT246:AV246)=3,ISNUMBER(AV246))),0,1)+IF(OR(COUNTA(AW246:AY246)=0,AND(COUNTA(AW246:AY246)=3,ISNUMBER(AY246))),0,1)+IF(OR(COUNTA(AZ246:BB246)=0,AND(COUNTA(AZ246:BB246)=3,ISNUMBER(BB246))),0,1))&gt;0,"; An invoice is incomplete (needs No, Date and a number in Ex GST)","")&amp;IF((IF(T246="",0,IFERROR(--(EOMONTH(T246,0)&lt;&gt;S$5),1))+IF(W246="",0,IFERROR(--(EOMONTH(W246,0)&lt;&gt;V$5),1))+IF(Z246="",0,IFERROR(--(EOMONTH(Z246,0)&lt;&gt;Y$5),1))+IF(AC246="",0,IFERROR(--(EOMONTH(AC246,0)&lt;&gt;AB$5),1))+IF(AF246="",0,IFERROR(--(EOMONTH(AF246,0)&lt;&gt;AE$5),1))+IF(AI246="",0,IFERROR(--(EOMONTH(AI246,0)&lt;&gt;AH$5),1))+IF(AL246="",0,IFERROR(--(EOMONTH(AL246,0)&lt;&gt;AK$5),1))+IF(AO246="",0,IFERROR(--(EOMONTH(AO246,0)&lt;&gt;AN$5),1))+IF(AR246="",0,IFERROR(--(EOMONTH(AR246,0)&lt;&gt;AQ$5),1))+IF(AU246="",0,IFERROR(--(EOMONTH(AU246,0)&lt;&gt;AT$5),1))+IF(AX246="",0,IFERROR(--(EOMONTH(AX246,0)&lt;&gt;AW$5),1))+IF(BA246="",0,IFERROR(--(EOMONTH(BA246,0)&lt;&gt;AZ$5),1)))&gt;0,"; An invoice date is not in the month it is typed under",""),3,500))</f>
        <v/>
      </c>
      <c r="S246" s="12" t="n"/>
      <c r="T246" s="13" t="n"/>
      <c r="U246" s="14" t="n"/>
      <c r="V246" s="12" t="n"/>
      <c r="W246" s="13" t="n"/>
      <c r="X246" s="14" t="n"/>
      <c r="Y246" s="12" t="n"/>
      <c r="Z246" s="13" t="n"/>
      <c r="AA246" s="14" t="n"/>
      <c r="AB246" s="12" t="n"/>
      <c r="AC246" s="13" t="n"/>
      <c r="AD246" s="14" t="n"/>
      <c r="AE246" s="12" t="n"/>
      <c r="AF246" s="13" t="n"/>
      <c r="AG246" s="14" t="n"/>
      <c r="AH246" s="12" t="n"/>
      <c r="AI246" s="13" t="n"/>
      <c r="AJ246" s="14" t="n"/>
      <c r="AK246" s="12" t="n"/>
      <c r="AL246" s="13" t="n"/>
      <c r="AM246" s="14" t="n"/>
      <c r="AN246" s="12" t="n"/>
      <c r="AO246" s="13" t="n"/>
      <c r="AP246" s="14" t="n"/>
      <c r="AQ246" s="12" t="n"/>
      <c r="AR246" s="13" t="n"/>
      <c r="AS246" s="14" t="n"/>
      <c r="AT246" s="12" t="n"/>
      <c r="AU246" s="13" t="n"/>
      <c r="AV246" s="14" t="n"/>
      <c r="AW246" s="12" t="n"/>
      <c r="AX246" s="13" t="n"/>
      <c r="AY246" s="14" t="n"/>
      <c r="AZ246" s="12" t="n"/>
      <c r="BA246" s="13" t="n"/>
      <c r="BB246" s="14" t="n"/>
      <c r="BC246" s="11">
        <f>IF(O246="","",IF(J246="GST 10%",ROUND(O246*set_GSTRate,2),0))</f>
        <v/>
      </c>
      <c r="BD246" s="11">
        <f>IF(O246="","",O246+BC246)</f>
        <v/>
      </c>
      <c r="BE246" s="15">
        <f>IF(O246="","",COUNTA(S246,V246,Y246,AB246,AE246,AH246,AK246,AN246,AQ246,AT246,AW246,AZ246))</f>
        <v/>
      </c>
      <c r="BF246" s="16">
        <f>IF(COUNT(T246,W246,Z246,AC246,AF246,AI246,AL246,AO246,AR246,AU246,AX246,BA246)=0,"",MAX(T246,W246,Z246,AC246,AF246,AI246,AL246,AO246,AR246,AU246,AX246,BA246))</f>
        <v/>
      </c>
      <c r="BG246" s="10">
        <f>MID(IF(S246="","",", "&amp;S246)&amp;IF(V246="","",", "&amp;V246)&amp;IF(Y246="","",", "&amp;Y246)&amp;IF(AB246="","",", "&amp;AB246)&amp;IF(AE246="","",", "&amp;AE246)&amp;IF(AH246="","",", "&amp;AH246)&amp;IF(AK246="","",", "&amp;AK246)&amp;IF(AN246="","",", "&amp;AN246)&amp;IF(AQ246="","",", "&amp;AQ246)&amp;IF(AT246="","",", "&amp;AT246)&amp;IF(AW246="","",", "&amp;AW246)&amp;IF(AZ246="","",", "&amp;AZ246),3,500)</f>
        <v/>
      </c>
      <c r="BH246" s="12" t="n"/>
      <c r="BI246" s="15">
        <f>IFERROR(MATCH($A246,IF($B246="Onsite",tbl_Onsite[Row ID],IF($B246="Production",tbl_Production[Row ID],tbl_Consulting[Row ID])),0),"")</f>
        <v/>
      </c>
    </row>
    <row r="247">
      <c r="A247" s="10" t="inlineStr">
        <is>
          <t>ONS-0241</t>
        </is>
      </c>
      <c r="B247" s="10" t="inlineStr">
        <is>
          <t>Onsite</t>
        </is>
      </c>
      <c r="C247" s="10">
        <f>IF($BI247="","",IF($B247="Onsite",INDEX(tbl_Onsite[Job Number],$BI247),IF($B247="Production",INDEX(tbl_Production[Job Number],$BI247),INDEX(tbl_Consulting[Job Number],$BI247)))&amp;"")</f>
        <v/>
      </c>
      <c r="D247" s="10">
        <f>IF($BI247="","",IF($B247="Onsite",INDEX(tbl_Onsite[Client],$BI247),IF($B247="Production",INDEX(tbl_Production[Client],$BI247),INDEX(tbl_Consulting[Client],$BI247)))&amp;"")</f>
        <v/>
      </c>
      <c r="E247" s="10">
        <f>IF($C247="","",IF(COUNTIF(lst_Jobs,$C247)&gt;0,"OK","CHECK"))</f>
        <v/>
      </c>
      <c r="F247" s="10">
        <f>IF($C247="","",IFERROR(INDEX(lst_JobName,MATCH($C247,lst_Jobs,0)),""))</f>
        <v/>
      </c>
      <c r="G247" s="10">
        <f>IF($BI247="","",IF($B247="Onsite",INDEX(tbl_Onsite[Job Description],$BI247),IF($B247="Production",INDEX(tbl_Production[Job Description],$BI247),INDEX(tbl_Consulting[Job Description],$BI247)))&amp;"")</f>
        <v/>
      </c>
      <c r="H247" s="10">
        <f>IF($BI247="","",IF($B247="Onsite",INDEX(tbl_Onsite[Cost Centre],$BI247),IF($B247="Production",INDEX(tbl_Production[Cost Centre],$BI247),INDEX(tbl_Consulting[Cost Centre],$BI247)))&amp;"")</f>
        <v/>
      </c>
      <c r="I247" s="10">
        <f>IF($BI247="","",IF($B247="Onsite",INDEX(tbl_Onsite[Invoice Type],$BI247),IF($B247="Production",INDEX(tbl_Production[Invoice Type],$BI247),INDEX(tbl_Consulting[Invoice Type],$BI247)))&amp;"")</f>
        <v/>
      </c>
      <c r="J247" s="10">
        <f>IF($BI247="","",IF($B247="Onsite",INDEX(tbl_Onsite[Tax Code],$BI247),IF($B247="Production",INDEX(tbl_Production[Tax Code],$BI247),INDEX(tbl_Consulting[Tax Code],$BI247)))&amp;"")</f>
        <v/>
      </c>
      <c r="K247" s="10">
        <f>IF(H247="","",IFERROR(INDEX(lst_CCtoGL,MATCH(H247,lst_CCforGL,0)),""))</f>
        <v/>
      </c>
      <c r="L247" s="10">
        <f>IF($BI247="","",IF($B247="Onsite",INDEX(tbl_Onsite[PO / Reference],$BI247),IF($B247="Production",INDEX(tbl_Production[Current RMS No],$BI247),INDEX(tbl_Consulting[Qwilr Quote],$BI247)))&amp;"")</f>
        <v/>
      </c>
      <c r="M247" s="10">
        <f>IF($BI247="","",IF($B247="Onsite",INDEX(tbl_Onsite[Notes],$BI247),IF($B247="Production",INDEX(tbl_Production[Notes],$BI247),INDEX(tbl_Consulting[Notes],$BI247)))&amp;"")</f>
        <v/>
      </c>
      <c r="N247" s="11">
        <f>IF($BI247="","",IF(IF($B247="Onsite",INDEX(tbl_Onsite[Expected Revenue Ex GST],$BI247),IF($B247="Production",INDEX(tbl_Production[Expected Revenue Ex GST],$BI247),INDEX(tbl_Consulting[Expected Revenue Ex GST],$BI247)))="","",IF($B247="Onsite",INDEX(tbl_Onsite[Expected Revenue Ex GST],$BI247),IF($B247="Production",INDEX(tbl_Production[Expected Revenue Ex GST],$BI247),INDEX(tbl_Consulting[Expected Revenue Ex GST],$BI247)))))</f>
        <v/>
      </c>
      <c r="O247" s="11">
        <f>IF(AND($C247="",NOT(COUNTA($S247:$BB247)&gt;0)),"",SUM(U247,X247,AA247,AD247,AG247,AJ247,AM247,AP247,AS247,AV247,AY247,BB247))</f>
        <v/>
      </c>
      <c r="P247" s="11">
        <f>IF(O247="","",N(N247)-O247)</f>
        <v/>
      </c>
      <c r="Q247" s="10">
        <f>IF(O247="","",IF($C247="","Invoice on empty job row",IF(N247="",IF(ROUND(O247,2)=0,"No dept value","Invoiced - no dept value"),IF(ROUND(O247,2)=0,"Not invoiced - to invoice",IF(ROUND(P247,2)=0,"Agrees",IF(P247&gt;0,"Dept higher - to invoice","Xero higher - check dept"))))))</f>
        <v/>
      </c>
      <c r="R247" s="10">
        <f>IF(AND($C247="",NOT(COUNTA($S247:$BB247)&gt;0),$BI247&lt;&gt;""),"",MID(IF($BI247="","; Row ID not found on the department sheet - a row was deleted","")&amp;IF(AND($C247="",COUNTA($S247:$BB247)&gt;0),"; Invoice entered but the department row has no job number","")&amp;IF(E247="CHECK","; Job number not in the Xero job list","")&amp;IF(AND($C247&lt;&gt;"",COUNTIF($C$7:$C$1506,$C247)&gt;1),"; Job number on more than one row","")&amp;IF(AND($C247&lt;&gt;"",H247=""),"; Dept has not set a cost centre","")&amp;IF(AND($C247&lt;&gt;"",J247=""),"; Dept has not set a tax code","")&amp;IF(AND($C247&lt;&gt;"",N247=""),"; Dept has not entered an expected value","")&amp;IF((IF(OR(COUNTA(S247:U247)=0,AND(COUNTA(S247:U247)=3,ISNUMBER(U247))),0,1)+IF(OR(COUNTA(V247:X247)=0,AND(COUNTA(V247:X247)=3,ISNUMBER(X247))),0,1)+IF(OR(COUNTA(Y247:AA247)=0,AND(COUNTA(Y247:AA247)=3,ISNUMBER(AA247))),0,1)+IF(OR(COUNTA(AB247:AD247)=0,AND(COUNTA(AB247:AD247)=3,ISNUMBER(AD247))),0,1)+IF(OR(COUNTA(AE247:AG247)=0,AND(COUNTA(AE247:AG247)=3,ISNUMBER(AG247))),0,1)+IF(OR(COUNTA(AH247:AJ247)=0,AND(COUNTA(AH247:AJ247)=3,ISNUMBER(AJ247))),0,1)+IF(OR(COUNTA(AK247:AM247)=0,AND(COUNTA(AK247:AM247)=3,ISNUMBER(AM247))),0,1)+IF(OR(COUNTA(AN247:AP247)=0,AND(COUNTA(AN247:AP247)=3,ISNUMBER(AP247))),0,1)+IF(OR(COUNTA(AQ247:AS247)=0,AND(COUNTA(AQ247:AS247)=3,ISNUMBER(AS247))),0,1)+IF(OR(COUNTA(AT247:AV247)=0,AND(COUNTA(AT247:AV247)=3,ISNUMBER(AV247))),0,1)+IF(OR(COUNTA(AW247:AY247)=0,AND(COUNTA(AW247:AY247)=3,ISNUMBER(AY247))),0,1)+IF(OR(COUNTA(AZ247:BB247)=0,AND(COUNTA(AZ247:BB247)=3,ISNUMBER(BB247))),0,1))&gt;0,"; An invoice is incomplete (needs No, Date and a number in Ex GST)","")&amp;IF((IF(T247="",0,IFERROR(--(EOMONTH(T247,0)&lt;&gt;S$5),1))+IF(W247="",0,IFERROR(--(EOMONTH(W247,0)&lt;&gt;V$5),1))+IF(Z247="",0,IFERROR(--(EOMONTH(Z247,0)&lt;&gt;Y$5),1))+IF(AC247="",0,IFERROR(--(EOMONTH(AC247,0)&lt;&gt;AB$5),1))+IF(AF247="",0,IFERROR(--(EOMONTH(AF247,0)&lt;&gt;AE$5),1))+IF(AI247="",0,IFERROR(--(EOMONTH(AI247,0)&lt;&gt;AH$5),1))+IF(AL247="",0,IFERROR(--(EOMONTH(AL247,0)&lt;&gt;AK$5),1))+IF(AO247="",0,IFERROR(--(EOMONTH(AO247,0)&lt;&gt;AN$5),1))+IF(AR247="",0,IFERROR(--(EOMONTH(AR247,0)&lt;&gt;AQ$5),1))+IF(AU247="",0,IFERROR(--(EOMONTH(AU247,0)&lt;&gt;AT$5),1))+IF(AX247="",0,IFERROR(--(EOMONTH(AX247,0)&lt;&gt;AW$5),1))+IF(BA247="",0,IFERROR(--(EOMONTH(BA247,0)&lt;&gt;AZ$5),1)))&gt;0,"; An invoice date is not in the month it is typed under",""),3,500))</f>
        <v/>
      </c>
      <c r="S247" s="12" t="n"/>
      <c r="T247" s="13" t="n"/>
      <c r="U247" s="14" t="n"/>
      <c r="V247" s="12" t="n"/>
      <c r="W247" s="13" t="n"/>
      <c r="X247" s="14" t="n"/>
      <c r="Y247" s="12" t="n"/>
      <c r="Z247" s="13" t="n"/>
      <c r="AA247" s="14" t="n"/>
      <c r="AB247" s="12" t="n"/>
      <c r="AC247" s="13" t="n"/>
      <c r="AD247" s="14" t="n"/>
      <c r="AE247" s="12" t="n"/>
      <c r="AF247" s="13" t="n"/>
      <c r="AG247" s="14" t="n"/>
      <c r="AH247" s="12" t="n"/>
      <c r="AI247" s="13" t="n"/>
      <c r="AJ247" s="14" t="n"/>
      <c r="AK247" s="12" t="n"/>
      <c r="AL247" s="13" t="n"/>
      <c r="AM247" s="14" t="n"/>
      <c r="AN247" s="12" t="n"/>
      <c r="AO247" s="13" t="n"/>
      <c r="AP247" s="14" t="n"/>
      <c r="AQ247" s="12" t="n"/>
      <c r="AR247" s="13" t="n"/>
      <c r="AS247" s="14" t="n"/>
      <c r="AT247" s="12" t="n"/>
      <c r="AU247" s="13" t="n"/>
      <c r="AV247" s="14" t="n"/>
      <c r="AW247" s="12" t="n"/>
      <c r="AX247" s="13" t="n"/>
      <c r="AY247" s="14" t="n"/>
      <c r="AZ247" s="12" t="n"/>
      <c r="BA247" s="13" t="n"/>
      <c r="BB247" s="14" t="n"/>
      <c r="BC247" s="11">
        <f>IF(O247="","",IF(J247="GST 10%",ROUND(O247*set_GSTRate,2),0))</f>
        <v/>
      </c>
      <c r="BD247" s="11">
        <f>IF(O247="","",O247+BC247)</f>
        <v/>
      </c>
      <c r="BE247" s="15">
        <f>IF(O247="","",COUNTA(S247,V247,Y247,AB247,AE247,AH247,AK247,AN247,AQ247,AT247,AW247,AZ247))</f>
        <v/>
      </c>
      <c r="BF247" s="16">
        <f>IF(COUNT(T247,W247,Z247,AC247,AF247,AI247,AL247,AO247,AR247,AU247,AX247,BA247)=0,"",MAX(T247,W247,Z247,AC247,AF247,AI247,AL247,AO247,AR247,AU247,AX247,BA247))</f>
        <v/>
      </c>
      <c r="BG247" s="10">
        <f>MID(IF(S247="","",", "&amp;S247)&amp;IF(V247="","",", "&amp;V247)&amp;IF(Y247="","",", "&amp;Y247)&amp;IF(AB247="","",", "&amp;AB247)&amp;IF(AE247="","",", "&amp;AE247)&amp;IF(AH247="","",", "&amp;AH247)&amp;IF(AK247="","",", "&amp;AK247)&amp;IF(AN247="","",", "&amp;AN247)&amp;IF(AQ247="","",", "&amp;AQ247)&amp;IF(AT247="","",", "&amp;AT247)&amp;IF(AW247="","",", "&amp;AW247)&amp;IF(AZ247="","",", "&amp;AZ247),3,500)</f>
        <v/>
      </c>
      <c r="BH247" s="12" t="n"/>
      <c r="BI247" s="15">
        <f>IFERROR(MATCH($A247,IF($B247="Onsite",tbl_Onsite[Row ID],IF($B247="Production",tbl_Production[Row ID],tbl_Consulting[Row ID])),0),"")</f>
        <v/>
      </c>
    </row>
    <row r="248">
      <c r="A248" s="10" t="inlineStr">
        <is>
          <t>ONS-0242</t>
        </is>
      </c>
      <c r="B248" s="10" t="inlineStr">
        <is>
          <t>Onsite</t>
        </is>
      </c>
      <c r="C248" s="10">
        <f>IF($BI248="","",IF($B248="Onsite",INDEX(tbl_Onsite[Job Number],$BI248),IF($B248="Production",INDEX(tbl_Production[Job Number],$BI248),INDEX(tbl_Consulting[Job Number],$BI248)))&amp;"")</f>
        <v/>
      </c>
      <c r="D248" s="10">
        <f>IF($BI248="","",IF($B248="Onsite",INDEX(tbl_Onsite[Client],$BI248),IF($B248="Production",INDEX(tbl_Production[Client],$BI248),INDEX(tbl_Consulting[Client],$BI248)))&amp;"")</f>
        <v/>
      </c>
      <c r="E248" s="10">
        <f>IF($C248="","",IF(COUNTIF(lst_Jobs,$C248)&gt;0,"OK","CHECK"))</f>
        <v/>
      </c>
      <c r="F248" s="10">
        <f>IF($C248="","",IFERROR(INDEX(lst_JobName,MATCH($C248,lst_Jobs,0)),""))</f>
        <v/>
      </c>
      <c r="G248" s="10">
        <f>IF($BI248="","",IF($B248="Onsite",INDEX(tbl_Onsite[Job Description],$BI248),IF($B248="Production",INDEX(tbl_Production[Job Description],$BI248),INDEX(tbl_Consulting[Job Description],$BI248)))&amp;"")</f>
        <v/>
      </c>
      <c r="H248" s="10">
        <f>IF($BI248="","",IF($B248="Onsite",INDEX(tbl_Onsite[Cost Centre],$BI248),IF($B248="Production",INDEX(tbl_Production[Cost Centre],$BI248),INDEX(tbl_Consulting[Cost Centre],$BI248)))&amp;"")</f>
        <v/>
      </c>
      <c r="I248" s="10">
        <f>IF($BI248="","",IF($B248="Onsite",INDEX(tbl_Onsite[Invoice Type],$BI248),IF($B248="Production",INDEX(tbl_Production[Invoice Type],$BI248),INDEX(tbl_Consulting[Invoice Type],$BI248)))&amp;"")</f>
        <v/>
      </c>
      <c r="J248" s="10">
        <f>IF($BI248="","",IF($B248="Onsite",INDEX(tbl_Onsite[Tax Code],$BI248),IF($B248="Production",INDEX(tbl_Production[Tax Code],$BI248),INDEX(tbl_Consulting[Tax Code],$BI248)))&amp;"")</f>
        <v/>
      </c>
      <c r="K248" s="10">
        <f>IF(H248="","",IFERROR(INDEX(lst_CCtoGL,MATCH(H248,lst_CCforGL,0)),""))</f>
        <v/>
      </c>
      <c r="L248" s="10">
        <f>IF($BI248="","",IF($B248="Onsite",INDEX(tbl_Onsite[PO / Reference],$BI248),IF($B248="Production",INDEX(tbl_Production[Current RMS No],$BI248),INDEX(tbl_Consulting[Qwilr Quote],$BI248)))&amp;"")</f>
        <v/>
      </c>
      <c r="M248" s="10">
        <f>IF($BI248="","",IF($B248="Onsite",INDEX(tbl_Onsite[Notes],$BI248),IF($B248="Production",INDEX(tbl_Production[Notes],$BI248),INDEX(tbl_Consulting[Notes],$BI248)))&amp;"")</f>
        <v/>
      </c>
      <c r="N248" s="11">
        <f>IF($BI248="","",IF(IF($B248="Onsite",INDEX(tbl_Onsite[Expected Revenue Ex GST],$BI248),IF($B248="Production",INDEX(tbl_Production[Expected Revenue Ex GST],$BI248),INDEX(tbl_Consulting[Expected Revenue Ex GST],$BI248)))="","",IF($B248="Onsite",INDEX(tbl_Onsite[Expected Revenue Ex GST],$BI248),IF($B248="Production",INDEX(tbl_Production[Expected Revenue Ex GST],$BI248),INDEX(tbl_Consulting[Expected Revenue Ex GST],$BI248)))))</f>
        <v/>
      </c>
      <c r="O248" s="11">
        <f>IF(AND($C248="",NOT(COUNTA($S248:$BB248)&gt;0)),"",SUM(U248,X248,AA248,AD248,AG248,AJ248,AM248,AP248,AS248,AV248,AY248,BB248))</f>
        <v/>
      </c>
      <c r="P248" s="11">
        <f>IF(O248="","",N(N248)-O248)</f>
        <v/>
      </c>
      <c r="Q248" s="10">
        <f>IF(O248="","",IF($C248="","Invoice on empty job row",IF(N248="",IF(ROUND(O248,2)=0,"No dept value","Invoiced - no dept value"),IF(ROUND(O248,2)=0,"Not invoiced - to invoice",IF(ROUND(P248,2)=0,"Agrees",IF(P248&gt;0,"Dept higher - to invoice","Xero higher - check dept"))))))</f>
        <v/>
      </c>
      <c r="R248" s="10">
        <f>IF(AND($C248="",NOT(COUNTA($S248:$BB248)&gt;0),$BI248&lt;&gt;""),"",MID(IF($BI248="","; Row ID not found on the department sheet - a row was deleted","")&amp;IF(AND($C248="",COUNTA($S248:$BB248)&gt;0),"; Invoice entered but the department row has no job number","")&amp;IF(E248="CHECK","; Job number not in the Xero job list","")&amp;IF(AND($C248&lt;&gt;"",COUNTIF($C$7:$C$1506,$C248)&gt;1),"; Job number on more than one row","")&amp;IF(AND($C248&lt;&gt;"",H248=""),"; Dept has not set a cost centre","")&amp;IF(AND($C248&lt;&gt;"",J248=""),"; Dept has not set a tax code","")&amp;IF(AND($C248&lt;&gt;"",N248=""),"; Dept has not entered an expected value","")&amp;IF((IF(OR(COUNTA(S248:U248)=0,AND(COUNTA(S248:U248)=3,ISNUMBER(U248))),0,1)+IF(OR(COUNTA(V248:X248)=0,AND(COUNTA(V248:X248)=3,ISNUMBER(X248))),0,1)+IF(OR(COUNTA(Y248:AA248)=0,AND(COUNTA(Y248:AA248)=3,ISNUMBER(AA248))),0,1)+IF(OR(COUNTA(AB248:AD248)=0,AND(COUNTA(AB248:AD248)=3,ISNUMBER(AD248))),0,1)+IF(OR(COUNTA(AE248:AG248)=0,AND(COUNTA(AE248:AG248)=3,ISNUMBER(AG248))),0,1)+IF(OR(COUNTA(AH248:AJ248)=0,AND(COUNTA(AH248:AJ248)=3,ISNUMBER(AJ248))),0,1)+IF(OR(COUNTA(AK248:AM248)=0,AND(COUNTA(AK248:AM248)=3,ISNUMBER(AM248))),0,1)+IF(OR(COUNTA(AN248:AP248)=0,AND(COUNTA(AN248:AP248)=3,ISNUMBER(AP248))),0,1)+IF(OR(COUNTA(AQ248:AS248)=0,AND(COUNTA(AQ248:AS248)=3,ISNUMBER(AS248))),0,1)+IF(OR(COUNTA(AT248:AV248)=0,AND(COUNTA(AT248:AV248)=3,ISNUMBER(AV248))),0,1)+IF(OR(COUNTA(AW248:AY248)=0,AND(COUNTA(AW248:AY248)=3,ISNUMBER(AY248))),0,1)+IF(OR(COUNTA(AZ248:BB248)=0,AND(COUNTA(AZ248:BB248)=3,ISNUMBER(BB248))),0,1))&gt;0,"; An invoice is incomplete (needs No, Date and a number in Ex GST)","")&amp;IF((IF(T248="",0,IFERROR(--(EOMONTH(T248,0)&lt;&gt;S$5),1))+IF(W248="",0,IFERROR(--(EOMONTH(W248,0)&lt;&gt;V$5),1))+IF(Z248="",0,IFERROR(--(EOMONTH(Z248,0)&lt;&gt;Y$5),1))+IF(AC248="",0,IFERROR(--(EOMONTH(AC248,0)&lt;&gt;AB$5),1))+IF(AF248="",0,IFERROR(--(EOMONTH(AF248,0)&lt;&gt;AE$5),1))+IF(AI248="",0,IFERROR(--(EOMONTH(AI248,0)&lt;&gt;AH$5),1))+IF(AL248="",0,IFERROR(--(EOMONTH(AL248,0)&lt;&gt;AK$5),1))+IF(AO248="",0,IFERROR(--(EOMONTH(AO248,0)&lt;&gt;AN$5),1))+IF(AR248="",0,IFERROR(--(EOMONTH(AR248,0)&lt;&gt;AQ$5),1))+IF(AU248="",0,IFERROR(--(EOMONTH(AU248,0)&lt;&gt;AT$5),1))+IF(AX248="",0,IFERROR(--(EOMONTH(AX248,0)&lt;&gt;AW$5),1))+IF(BA248="",0,IFERROR(--(EOMONTH(BA248,0)&lt;&gt;AZ$5),1)))&gt;0,"; An invoice date is not in the month it is typed under",""),3,500))</f>
        <v/>
      </c>
      <c r="S248" s="12" t="n"/>
      <c r="T248" s="13" t="n"/>
      <c r="U248" s="14" t="n"/>
      <c r="V248" s="12" t="n"/>
      <c r="W248" s="13" t="n"/>
      <c r="X248" s="14" t="n"/>
      <c r="Y248" s="12" t="n"/>
      <c r="Z248" s="13" t="n"/>
      <c r="AA248" s="14" t="n"/>
      <c r="AB248" s="12" t="n"/>
      <c r="AC248" s="13" t="n"/>
      <c r="AD248" s="14" t="n"/>
      <c r="AE248" s="12" t="n"/>
      <c r="AF248" s="13" t="n"/>
      <c r="AG248" s="14" t="n"/>
      <c r="AH248" s="12" t="n"/>
      <c r="AI248" s="13" t="n"/>
      <c r="AJ248" s="14" t="n"/>
      <c r="AK248" s="12" t="n"/>
      <c r="AL248" s="13" t="n"/>
      <c r="AM248" s="14" t="n"/>
      <c r="AN248" s="12" t="n"/>
      <c r="AO248" s="13" t="n"/>
      <c r="AP248" s="14" t="n"/>
      <c r="AQ248" s="12" t="n"/>
      <c r="AR248" s="13" t="n"/>
      <c r="AS248" s="14" t="n"/>
      <c r="AT248" s="12" t="n"/>
      <c r="AU248" s="13" t="n"/>
      <c r="AV248" s="14" t="n"/>
      <c r="AW248" s="12" t="n"/>
      <c r="AX248" s="13" t="n"/>
      <c r="AY248" s="14" t="n"/>
      <c r="AZ248" s="12" t="n"/>
      <c r="BA248" s="13" t="n"/>
      <c r="BB248" s="14" t="n"/>
      <c r="BC248" s="11">
        <f>IF(O248="","",IF(J248="GST 10%",ROUND(O248*set_GSTRate,2),0))</f>
        <v/>
      </c>
      <c r="BD248" s="11">
        <f>IF(O248="","",O248+BC248)</f>
        <v/>
      </c>
      <c r="BE248" s="15">
        <f>IF(O248="","",COUNTA(S248,V248,Y248,AB248,AE248,AH248,AK248,AN248,AQ248,AT248,AW248,AZ248))</f>
        <v/>
      </c>
      <c r="BF248" s="16">
        <f>IF(COUNT(T248,W248,Z248,AC248,AF248,AI248,AL248,AO248,AR248,AU248,AX248,BA248)=0,"",MAX(T248,W248,Z248,AC248,AF248,AI248,AL248,AO248,AR248,AU248,AX248,BA248))</f>
        <v/>
      </c>
      <c r="BG248" s="10">
        <f>MID(IF(S248="","",", "&amp;S248)&amp;IF(V248="","",", "&amp;V248)&amp;IF(Y248="","",", "&amp;Y248)&amp;IF(AB248="","",", "&amp;AB248)&amp;IF(AE248="","",", "&amp;AE248)&amp;IF(AH248="","",", "&amp;AH248)&amp;IF(AK248="","",", "&amp;AK248)&amp;IF(AN248="","",", "&amp;AN248)&amp;IF(AQ248="","",", "&amp;AQ248)&amp;IF(AT248="","",", "&amp;AT248)&amp;IF(AW248="","",", "&amp;AW248)&amp;IF(AZ248="","",", "&amp;AZ248),3,500)</f>
        <v/>
      </c>
      <c r="BH248" s="12" t="n"/>
      <c r="BI248" s="15">
        <f>IFERROR(MATCH($A248,IF($B248="Onsite",tbl_Onsite[Row ID],IF($B248="Production",tbl_Production[Row ID],tbl_Consulting[Row ID])),0),"")</f>
        <v/>
      </c>
    </row>
    <row r="249">
      <c r="A249" s="10" t="inlineStr">
        <is>
          <t>ONS-0243</t>
        </is>
      </c>
      <c r="B249" s="10" t="inlineStr">
        <is>
          <t>Onsite</t>
        </is>
      </c>
      <c r="C249" s="10">
        <f>IF($BI249="","",IF($B249="Onsite",INDEX(tbl_Onsite[Job Number],$BI249),IF($B249="Production",INDEX(tbl_Production[Job Number],$BI249),INDEX(tbl_Consulting[Job Number],$BI249)))&amp;"")</f>
        <v/>
      </c>
      <c r="D249" s="10">
        <f>IF($BI249="","",IF($B249="Onsite",INDEX(tbl_Onsite[Client],$BI249),IF($B249="Production",INDEX(tbl_Production[Client],$BI249),INDEX(tbl_Consulting[Client],$BI249)))&amp;"")</f>
        <v/>
      </c>
      <c r="E249" s="10">
        <f>IF($C249="","",IF(COUNTIF(lst_Jobs,$C249)&gt;0,"OK","CHECK"))</f>
        <v/>
      </c>
      <c r="F249" s="10">
        <f>IF($C249="","",IFERROR(INDEX(lst_JobName,MATCH($C249,lst_Jobs,0)),""))</f>
        <v/>
      </c>
      <c r="G249" s="10">
        <f>IF($BI249="","",IF($B249="Onsite",INDEX(tbl_Onsite[Job Description],$BI249),IF($B249="Production",INDEX(tbl_Production[Job Description],$BI249),INDEX(tbl_Consulting[Job Description],$BI249)))&amp;"")</f>
        <v/>
      </c>
      <c r="H249" s="10">
        <f>IF($BI249="","",IF($B249="Onsite",INDEX(tbl_Onsite[Cost Centre],$BI249),IF($B249="Production",INDEX(tbl_Production[Cost Centre],$BI249),INDEX(tbl_Consulting[Cost Centre],$BI249)))&amp;"")</f>
        <v/>
      </c>
      <c r="I249" s="10">
        <f>IF($BI249="","",IF($B249="Onsite",INDEX(tbl_Onsite[Invoice Type],$BI249),IF($B249="Production",INDEX(tbl_Production[Invoice Type],$BI249),INDEX(tbl_Consulting[Invoice Type],$BI249)))&amp;"")</f>
        <v/>
      </c>
      <c r="J249" s="10">
        <f>IF($BI249="","",IF($B249="Onsite",INDEX(tbl_Onsite[Tax Code],$BI249),IF($B249="Production",INDEX(tbl_Production[Tax Code],$BI249),INDEX(tbl_Consulting[Tax Code],$BI249)))&amp;"")</f>
        <v/>
      </c>
      <c r="K249" s="10">
        <f>IF(H249="","",IFERROR(INDEX(lst_CCtoGL,MATCH(H249,lst_CCforGL,0)),""))</f>
        <v/>
      </c>
      <c r="L249" s="10">
        <f>IF($BI249="","",IF($B249="Onsite",INDEX(tbl_Onsite[PO / Reference],$BI249),IF($B249="Production",INDEX(tbl_Production[Current RMS No],$BI249),INDEX(tbl_Consulting[Qwilr Quote],$BI249)))&amp;"")</f>
        <v/>
      </c>
      <c r="M249" s="10">
        <f>IF($BI249="","",IF($B249="Onsite",INDEX(tbl_Onsite[Notes],$BI249),IF($B249="Production",INDEX(tbl_Production[Notes],$BI249),INDEX(tbl_Consulting[Notes],$BI249)))&amp;"")</f>
        <v/>
      </c>
      <c r="N249" s="11">
        <f>IF($BI249="","",IF(IF($B249="Onsite",INDEX(tbl_Onsite[Expected Revenue Ex GST],$BI249),IF($B249="Production",INDEX(tbl_Production[Expected Revenue Ex GST],$BI249),INDEX(tbl_Consulting[Expected Revenue Ex GST],$BI249)))="","",IF($B249="Onsite",INDEX(tbl_Onsite[Expected Revenue Ex GST],$BI249),IF($B249="Production",INDEX(tbl_Production[Expected Revenue Ex GST],$BI249),INDEX(tbl_Consulting[Expected Revenue Ex GST],$BI249)))))</f>
        <v/>
      </c>
      <c r="O249" s="11">
        <f>IF(AND($C249="",NOT(COUNTA($S249:$BB249)&gt;0)),"",SUM(U249,X249,AA249,AD249,AG249,AJ249,AM249,AP249,AS249,AV249,AY249,BB249))</f>
        <v/>
      </c>
      <c r="P249" s="11">
        <f>IF(O249="","",N(N249)-O249)</f>
        <v/>
      </c>
      <c r="Q249" s="10">
        <f>IF(O249="","",IF($C249="","Invoice on empty job row",IF(N249="",IF(ROUND(O249,2)=0,"No dept value","Invoiced - no dept value"),IF(ROUND(O249,2)=0,"Not invoiced - to invoice",IF(ROUND(P249,2)=0,"Agrees",IF(P249&gt;0,"Dept higher - to invoice","Xero higher - check dept"))))))</f>
        <v/>
      </c>
      <c r="R249" s="10">
        <f>IF(AND($C249="",NOT(COUNTA($S249:$BB249)&gt;0),$BI249&lt;&gt;""),"",MID(IF($BI249="","; Row ID not found on the department sheet - a row was deleted","")&amp;IF(AND($C249="",COUNTA($S249:$BB249)&gt;0),"; Invoice entered but the department row has no job number","")&amp;IF(E249="CHECK","; Job number not in the Xero job list","")&amp;IF(AND($C249&lt;&gt;"",COUNTIF($C$7:$C$1506,$C249)&gt;1),"; Job number on more than one row","")&amp;IF(AND($C249&lt;&gt;"",H249=""),"; Dept has not set a cost centre","")&amp;IF(AND($C249&lt;&gt;"",J249=""),"; Dept has not set a tax code","")&amp;IF(AND($C249&lt;&gt;"",N249=""),"; Dept has not entered an expected value","")&amp;IF((IF(OR(COUNTA(S249:U249)=0,AND(COUNTA(S249:U249)=3,ISNUMBER(U249))),0,1)+IF(OR(COUNTA(V249:X249)=0,AND(COUNTA(V249:X249)=3,ISNUMBER(X249))),0,1)+IF(OR(COUNTA(Y249:AA249)=0,AND(COUNTA(Y249:AA249)=3,ISNUMBER(AA249))),0,1)+IF(OR(COUNTA(AB249:AD249)=0,AND(COUNTA(AB249:AD249)=3,ISNUMBER(AD249))),0,1)+IF(OR(COUNTA(AE249:AG249)=0,AND(COUNTA(AE249:AG249)=3,ISNUMBER(AG249))),0,1)+IF(OR(COUNTA(AH249:AJ249)=0,AND(COUNTA(AH249:AJ249)=3,ISNUMBER(AJ249))),0,1)+IF(OR(COUNTA(AK249:AM249)=0,AND(COUNTA(AK249:AM249)=3,ISNUMBER(AM249))),0,1)+IF(OR(COUNTA(AN249:AP249)=0,AND(COUNTA(AN249:AP249)=3,ISNUMBER(AP249))),0,1)+IF(OR(COUNTA(AQ249:AS249)=0,AND(COUNTA(AQ249:AS249)=3,ISNUMBER(AS249))),0,1)+IF(OR(COUNTA(AT249:AV249)=0,AND(COUNTA(AT249:AV249)=3,ISNUMBER(AV249))),0,1)+IF(OR(COUNTA(AW249:AY249)=0,AND(COUNTA(AW249:AY249)=3,ISNUMBER(AY249))),0,1)+IF(OR(COUNTA(AZ249:BB249)=0,AND(COUNTA(AZ249:BB249)=3,ISNUMBER(BB249))),0,1))&gt;0,"; An invoice is incomplete (needs No, Date and a number in Ex GST)","")&amp;IF((IF(T249="",0,IFERROR(--(EOMONTH(T249,0)&lt;&gt;S$5),1))+IF(W249="",0,IFERROR(--(EOMONTH(W249,0)&lt;&gt;V$5),1))+IF(Z249="",0,IFERROR(--(EOMONTH(Z249,0)&lt;&gt;Y$5),1))+IF(AC249="",0,IFERROR(--(EOMONTH(AC249,0)&lt;&gt;AB$5),1))+IF(AF249="",0,IFERROR(--(EOMONTH(AF249,0)&lt;&gt;AE$5),1))+IF(AI249="",0,IFERROR(--(EOMONTH(AI249,0)&lt;&gt;AH$5),1))+IF(AL249="",0,IFERROR(--(EOMONTH(AL249,0)&lt;&gt;AK$5),1))+IF(AO249="",0,IFERROR(--(EOMONTH(AO249,0)&lt;&gt;AN$5),1))+IF(AR249="",0,IFERROR(--(EOMONTH(AR249,0)&lt;&gt;AQ$5),1))+IF(AU249="",0,IFERROR(--(EOMONTH(AU249,0)&lt;&gt;AT$5),1))+IF(AX249="",0,IFERROR(--(EOMONTH(AX249,0)&lt;&gt;AW$5),1))+IF(BA249="",0,IFERROR(--(EOMONTH(BA249,0)&lt;&gt;AZ$5),1)))&gt;0,"; An invoice date is not in the month it is typed under",""),3,500))</f>
        <v/>
      </c>
      <c r="S249" s="12" t="n"/>
      <c r="T249" s="13" t="n"/>
      <c r="U249" s="14" t="n"/>
      <c r="V249" s="12" t="n"/>
      <c r="W249" s="13" t="n"/>
      <c r="X249" s="14" t="n"/>
      <c r="Y249" s="12" t="n"/>
      <c r="Z249" s="13" t="n"/>
      <c r="AA249" s="14" t="n"/>
      <c r="AB249" s="12" t="n"/>
      <c r="AC249" s="13" t="n"/>
      <c r="AD249" s="14" t="n"/>
      <c r="AE249" s="12" t="n"/>
      <c r="AF249" s="13" t="n"/>
      <c r="AG249" s="14" t="n"/>
      <c r="AH249" s="12" t="n"/>
      <c r="AI249" s="13" t="n"/>
      <c r="AJ249" s="14" t="n"/>
      <c r="AK249" s="12" t="n"/>
      <c r="AL249" s="13" t="n"/>
      <c r="AM249" s="14" t="n"/>
      <c r="AN249" s="12" t="n"/>
      <c r="AO249" s="13" t="n"/>
      <c r="AP249" s="14" t="n"/>
      <c r="AQ249" s="12" t="n"/>
      <c r="AR249" s="13" t="n"/>
      <c r="AS249" s="14" t="n"/>
      <c r="AT249" s="12" t="n"/>
      <c r="AU249" s="13" t="n"/>
      <c r="AV249" s="14" t="n"/>
      <c r="AW249" s="12" t="n"/>
      <c r="AX249" s="13" t="n"/>
      <c r="AY249" s="14" t="n"/>
      <c r="AZ249" s="12" t="n"/>
      <c r="BA249" s="13" t="n"/>
      <c r="BB249" s="14" t="n"/>
      <c r="BC249" s="11">
        <f>IF(O249="","",IF(J249="GST 10%",ROUND(O249*set_GSTRate,2),0))</f>
        <v/>
      </c>
      <c r="BD249" s="11">
        <f>IF(O249="","",O249+BC249)</f>
        <v/>
      </c>
      <c r="BE249" s="15">
        <f>IF(O249="","",COUNTA(S249,V249,Y249,AB249,AE249,AH249,AK249,AN249,AQ249,AT249,AW249,AZ249))</f>
        <v/>
      </c>
      <c r="BF249" s="16">
        <f>IF(COUNT(T249,W249,Z249,AC249,AF249,AI249,AL249,AO249,AR249,AU249,AX249,BA249)=0,"",MAX(T249,W249,Z249,AC249,AF249,AI249,AL249,AO249,AR249,AU249,AX249,BA249))</f>
        <v/>
      </c>
      <c r="BG249" s="10">
        <f>MID(IF(S249="","",", "&amp;S249)&amp;IF(V249="","",", "&amp;V249)&amp;IF(Y249="","",", "&amp;Y249)&amp;IF(AB249="","",", "&amp;AB249)&amp;IF(AE249="","",", "&amp;AE249)&amp;IF(AH249="","",", "&amp;AH249)&amp;IF(AK249="","",", "&amp;AK249)&amp;IF(AN249="","",", "&amp;AN249)&amp;IF(AQ249="","",", "&amp;AQ249)&amp;IF(AT249="","",", "&amp;AT249)&amp;IF(AW249="","",", "&amp;AW249)&amp;IF(AZ249="","",", "&amp;AZ249),3,500)</f>
        <v/>
      </c>
      <c r="BH249" s="12" t="n"/>
      <c r="BI249" s="15">
        <f>IFERROR(MATCH($A249,IF($B249="Onsite",tbl_Onsite[Row ID],IF($B249="Production",tbl_Production[Row ID],tbl_Consulting[Row ID])),0),"")</f>
        <v/>
      </c>
    </row>
    <row r="250">
      <c r="A250" s="10" t="inlineStr">
        <is>
          <t>ONS-0244</t>
        </is>
      </c>
      <c r="B250" s="10" t="inlineStr">
        <is>
          <t>Onsite</t>
        </is>
      </c>
      <c r="C250" s="10">
        <f>IF($BI250="","",IF($B250="Onsite",INDEX(tbl_Onsite[Job Number],$BI250),IF($B250="Production",INDEX(tbl_Production[Job Number],$BI250),INDEX(tbl_Consulting[Job Number],$BI250)))&amp;"")</f>
        <v/>
      </c>
      <c r="D250" s="10">
        <f>IF($BI250="","",IF($B250="Onsite",INDEX(tbl_Onsite[Client],$BI250),IF($B250="Production",INDEX(tbl_Production[Client],$BI250),INDEX(tbl_Consulting[Client],$BI250)))&amp;"")</f>
        <v/>
      </c>
      <c r="E250" s="10">
        <f>IF($C250="","",IF(COUNTIF(lst_Jobs,$C250)&gt;0,"OK","CHECK"))</f>
        <v/>
      </c>
      <c r="F250" s="10">
        <f>IF($C250="","",IFERROR(INDEX(lst_JobName,MATCH($C250,lst_Jobs,0)),""))</f>
        <v/>
      </c>
      <c r="G250" s="10">
        <f>IF($BI250="","",IF($B250="Onsite",INDEX(tbl_Onsite[Job Description],$BI250),IF($B250="Production",INDEX(tbl_Production[Job Description],$BI250),INDEX(tbl_Consulting[Job Description],$BI250)))&amp;"")</f>
        <v/>
      </c>
      <c r="H250" s="10">
        <f>IF($BI250="","",IF($B250="Onsite",INDEX(tbl_Onsite[Cost Centre],$BI250),IF($B250="Production",INDEX(tbl_Production[Cost Centre],$BI250),INDEX(tbl_Consulting[Cost Centre],$BI250)))&amp;"")</f>
        <v/>
      </c>
      <c r="I250" s="10">
        <f>IF($BI250="","",IF($B250="Onsite",INDEX(tbl_Onsite[Invoice Type],$BI250),IF($B250="Production",INDEX(tbl_Production[Invoice Type],$BI250),INDEX(tbl_Consulting[Invoice Type],$BI250)))&amp;"")</f>
        <v/>
      </c>
      <c r="J250" s="10">
        <f>IF($BI250="","",IF($B250="Onsite",INDEX(tbl_Onsite[Tax Code],$BI250),IF($B250="Production",INDEX(tbl_Production[Tax Code],$BI250),INDEX(tbl_Consulting[Tax Code],$BI250)))&amp;"")</f>
        <v/>
      </c>
      <c r="K250" s="10">
        <f>IF(H250="","",IFERROR(INDEX(lst_CCtoGL,MATCH(H250,lst_CCforGL,0)),""))</f>
        <v/>
      </c>
      <c r="L250" s="10">
        <f>IF($BI250="","",IF($B250="Onsite",INDEX(tbl_Onsite[PO / Reference],$BI250),IF($B250="Production",INDEX(tbl_Production[Current RMS No],$BI250),INDEX(tbl_Consulting[Qwilr Quote],$BI250)))&amp;"")</f>
        <v/>
      </c>
      <c r="M250" s="10">
        <f>IF($BI250="","",IF($B250="Onsite",INDEX(tbl_Onsite[Notes],$BI250),IF($B250="Production",INDEX(tbl_Production[Notes],$BI250),INDEX(tbl_Consulting[Notes],$BI250)))&amp;"")</f>
        <v/>
      </c>
      <c r="N250" s="11">
        <f>IF($BI250="","",IF(IF($B250="Onsite",INDEX(tbl_Onsite[Expected Revenue Ex GST],$BI250),IF($B250="Production",INDEX(tbl_Production[Expected Revenue Ex GST],$BI250),INDEX(tbl_Consulting[Expected Revenue Ex GST],$BI250)))="","",IF($B250="Onsite",INDEX(tbl_Onsite[Expected Revenue Ex GST],$BI250),IF($B250="Production",INDEX(tbl_Production[Expected Revenue Ex GST],$BI250),INDEX(tbl_Consulting[Expected Revenue Ex GST],$BI250)))))</f>
        <v/>
      </c>
      <c r="O250" s="11">
        <f>IF(AND($C250="",NOT(COUNTA($S250:$BB250)&gt;0)),"",SUM(U250,X250,AA250,AD250,AG250,AJ250,AM250,AP250,AS250,AV250,AY250,BB250))</f>
        <v/>
      </c>
      <c r="P250" s="11">
        <f>IF(O250="","",N(N250)-O250)</f>
        <v/>
      </c>
      <c r="Q250" s="10">
        <f>IF(O250="","",IF($C250="","Invoice on empty job row",IF(N250="",IF(ROUND(O250,2)=0,"No dept value","Invoiced - no dept value"),IF(ROUND(O250,2)=0,"Not invoiced - to invoice",IF(ROUND(P250,2)=0,"Agrees",IF(P250&gt;0,"Dept higher - to invoice","Xero higher - check dept"))))))</f>
        <v/>
      </c>
      <c r="R250" s="10">
        <f>IF(AND($C250="",NOT(COUNTA($S250:$BB250)&gt;0),$BI250&lt;&gt;""),"",MID(IF($BI250="","; Row ID not found on the department sheet - a row was deleted","")&amp;IF(AND($C250="",COUNTA($S250:$BB250)&gt;0),"; Invoice entered but the department row has no job number","")&amp;IF(E250="CHECK","; Job number not in the Xero job list","")&amp;IF(AND($C250&lt;&gt;"",COUNTIF($C$7:$C$1506,$C250)&gt;1),"; Job number on more than one row","")&amp;IF(AND($C250&lt;&gt;"",H250=""),"; Dept has not set a cost centre","")&amp;IF(AND($C250&lt;&gt;"",J250=""),"; Dept has not set a tax code","")&amp;IF(AND($C250&lt;&gt;"",N250=""),"; Dept has not entered an expected value","")&amp;IF((IF(OR(COUNTA(S250:U250)=0,AND(COUNTA(S250:U250)=3,ISNUMBER(U250))),0,1)+IF(OR(COUNTA(V250:X250)=0,AND(COUNTA(V250:X250)=3,ISNUMBER(X250))),0,1)+IF(OR(COUNTA(Y250:AA250)=0,AND(COUNTA(Y250:AA250)=3,ISNUMBER(AA250))),0,1)+IF(OR(COUNTA(AB250:AD250)=0,AND(COUNTA(AB250:AD250)=3,ISNUMBER(AD250))),0,1)+IF(OR(COUNTA(AE250:AG250)=0,AND(COUNTA(AE250:AG250)=3,ISNUMBER(AG250))),0,1)+IF(OR(COUNTA(AH250:AJ250)=0,AND(COUNTA(AH250:AJ250)=3,ISNUMBER(AJ250))),0,1)+IF(OR(COUNTA(AK250:AM250)=0,AND(COUNTA(AK250:AM250)=3,ISNUMBER(AM250))),0,1)+IF(OR(COUNTA(AN250:AP250)=0,AND(COUNTA(AN250:AP250)=3,ISNUMBER(AP250))),0,1)+IF(OR(COUNTA(AQ250:AS250)=0,AND(COUNTA(AQ250:AS250)=3,ISNUMBER(AS250))),0,1)+IF(OR(COUNTA(AT250:AV250)=0,AND(COUNTA(AT250:AV250)=3,ISNUMBER(AV250))),0,1)+IF(OR(COUNTA(AW250:AY250)=0,AND(COUNTA(AW250:AY250)=3,ISNUMBER(AY250))),0,1)+IF(OR(COUNTA(AZ250:BB250)=0,AND(COUNTA(AZ250:BB250)=3,ISNUMBER(BB250))),0,1))&gt;0,"; An invoice is incomplete (needs No, Date and a number in Ex GST)","")&amp;IF((IF(T250="",0,IFERROR(--(EOMONTH(T250,0)&lt;&gt;S$5),1))+IF(W250="",0,IFERROR(--(EOMONTH(W250,0)&lt;&gt;V$5),1))+IF(Z250="",0,IFERROR(--(EOMONTH(Z250,0)&lt;&gt;Y$5),1))+IF(AC250="",0,IFERROR(--(EOMONTH(AC250,0)&lt;&gt;AB$5),1))+IF(AF250="",0,IFERROR(--(EOMONTH(AF250,0)&lt;&gt;AE$5),1))+IF(AI250="",0,IFERROR(--(EOMONTH(AI250,0)&lt;&gt;AH$5),1))+IF(AL250="",0,IFERROR(--(EOMONTH(AL250,0)&lt;&gt;AK$5),1))+IF(AO250="",0,IFERROR(--(EOMONTH(AO250,0)&lt;&gt;AN$5),1))+IF(AR250="",0,IFERROR(--(EOMONTH(AR250,0)&lt;&gt;AQ$5),1))+IF(AU250="",0,IFERROR(--(EOMONTH(AU250,0)&lt;&gt;AT$5),1))+IF(AX250="",0,IFERROR(--(EOMONTH(AX250,0)&lt;&gt;AW$5),1))+IF(BA250="",0,IFERROR(--(EOMONTH(BA250,0)&lt;&gt;AZ$5),1)))&gt;0,"; An invoice date is not in the month it is typed under",""),3,500))</f>
        <v/>
      </c>
      <c r="S250" s="12" t="n"/>
      <c r="T250" s="13" t="n"/>
      <c r="U250" s="14" t="n"/>
      <c r="V250" s="12" t="n"/>
      <c r="W250" s="13" t="n"/>
      <c r="X250" s="14" t="n"/>
      <c r="Y250" s="12" t="n"/>
      <c r="Z250" s="13" t="n"/>
      <c r="AA250" s="14" t="n"/>
      <c r="AB250" s="12" t="n"/>
      <c r="AC250" s="13" t="n"/>
      <c r="AD250" s="14" t="n"/>
      <c r="AE250" s="12" t="n"/>
      <c r="AF250" s="13" t="n"/>
      <c r="AG250" s="14" t="n"/>
      <c r="AH250" s="12" t="n"/>
      <c r="AI250" s="13" t="n"/>
      <c r="AJ250" s="14" t="n"/>
      <c r="AK250" s="12" t="n"/>
      <c r="AL250" s="13" t="n"/>
      <c r="AM250" s="14" t="n"/>
      <c r="AN250" s="12" t="n"/>
      <c r="AO250" s="13" t="n"/>
      <c r="AP250" s="14" t="n"/>
      <c r="AQ250" s="12" t="n"/>
      <c r="AR250" s="13" t="n"/>
      <c r="AS250" s="14" t="n"/>
      <c r="AT250" s="12" t="n"/>
      <c r="AU250" s="13" t="n"/>
      <c r="AV250" s="14" t="n"/>
      <c r="AW250" s="12" t="n"/>
      <c r="AX250" s="13" t="n"/>
      <c r="AY250" s="14" t="n"/>
      <c r="AZ250" s="12" t="n"/>
      <c r="BA250" s="13" t="n"/>
      <c r="BB250" s="14" t="n"/>
      <c r="BC250" s="11">
        <f>IF(O250="","",IF(J250="GST 10%",ROUND(O250*set_GSTRate,2),0))</f>
        <v/>
      </c>
      <c r="BD250" s="11">
        <f>IF(O250="","",O250+BC250)</f>
        <v/>
      </c>
      <c r="BE250" s="15">
        <f>IF(O250="","",COUNTA(S250,V250,Y250,AB250,AE250,AH250,AK250,AN250,AQ250,AT250,AW250,AZ250))</f>
        <v/>
      </c>
      <c r="BF250" s="16">
        <f>IF(COUNT(T250,W250,Z250,AC250,AF250,AI250,AL250,AO250,AR250,AU250,AX250,BA250)=0,"",MAX(T250,W250,Z250,AC250,AF250,AI250,AL250,AO250,AR250,AU250,AX250,BA250))</f>
        <v/>
      </c>
      <c r="BG250" s="10">
        <f>MID(IF(S250="","",", "&amp;S250)&amp;IF(V250="","",", "&amp;V250)&amp;IF(Y250="","",", "&amp;Y250)&amp;IF(AB250="","",", "&amp;AB250)&amp;IF(AE250="","",", "&amp;AE250)&amp;IF(AH250="","",", "&amp;AH250)&amp;IF(AK250="","",", "&amp;AK250)&amp;IF(AN250="","",", "&amp;AN250)&amp;IF(AQ250="","",", "&amp;AQ250)&amp;IF(AT250="","",", "&amp;AT250)&amp;IF(AW250="","",", "&amp;AW250)&amp;IF(AZ250="","",", "&amp;AZ250),3,500)</f>
        <v/>
      </c>
      <c r="BH250" s="12" t="n"/>
      <c r="BI250" s="15">
        <f>IFERROR(MATCH($A250,IF($B250="Onsite",tbl_Onsite[Row ID],IF($B250="Production",tbl_Production[Row ID],tbl_Consulting[Row ID])),0),"")</f>
        <v/>
      </c>
    </row>
    <row r="251">
      <c r="A251" s="10" t="inlineStr">
        <is>
          <t>ONS-0245</t>
        </is>
      </c>
      <c r="B251" s="10" t="inlineStr">
        <is>
          <t>Onsite</t>
        </is>
      </c>
      <c r="C251" s="10">
        <f>IF($BI251="","",IF($B251="Onsite",INDEX(tbl_Onsite[Job Number],$BI251),IF($B251="Production",INDEX(tbl_Production[Job Number],$BI251),INDEX(tbl_Consulting[Job Number],$BI251)))&amp;"")</f>
        <v/>
      </c>
      <c r="D251" s="10">
        <f>IF($BI251="","",IF($B251="Onsite",INDEX(tbl_Onsite[Client],$BI251),IF($B251="Production",INDEX(tbl_Production[Client],$BI251),INDEX(tbl_Consulting[Client],$BI251)))&amp;"")</f>
        <v/>
      </c>
      <c r="E251" s="10">
        <f>IF($C251="","",IF(COUNTIF(lst_Jobs,$C251)&gt;0,"OK","CHECK"))</f>
        <v/>
      </c>
      <c r="F251" s="10">
        <f>IF($C251="","",IFERROR(INDEX(lst_JobName,MATCH($C251,lst_Jobs,0)),""))</f>
        <v/>
      </c>
      <c r="G251" s="10">
        <f>IF($BI251="","",IF($B251="Onsite",INDEX(tbl_Onsite[Job Description],$BI251),IF($B251="Production",INDEX(tbl_Production[Job Description],$BI251),INDEX(tbl_Consulting[Job Description],$BI251)))&amp;"")</f>
        <v/>
      </c>
      <c r="H251" s="10">
        <f>IF($BI251="","",IF($B251="Onsite",INDEX(tbl_Onsite[Cost Centre],$BI251),IF($B251="Production",INDEX(tbl_Production[Cost Centre],$BI251),INDEX(tbl_Consulting[Cost Centre],$BI251)))&amp;"")</f>
        <v/>
      </c>
      <c r="I251" s="10">
        <f>IF($BI251="","",IF($B251="Onsite",INDEX(tbl_Onsite[Invoice Type],$BI251),IF($B251="Production",INDEX(tbl_Production[Invoice Type],$BI251),INDEX(tbl_Consulting[Invoice Type],$BI251)))&amp;"")</f>
        <v/>
      </c>
      <c r="J251" s="10">
        <f>IF($BI251="","",IF($B251="Onsite",INDEX(tbl_Onsite[Tax Code],$BI251),IF($B251="Production",INDEX(tbl_Production[Tax Code],$BI251),INDEX(tbl_Consulting[Tax Code],$BI251)))&amp;"")</f>
        <v/>
      </c>
      <c r="K251" s="10">
        <f>IF(H251="","",IFERROR(INDEX(lst_CCtoGL,MATCH(H251,lst_CCforGL,0)),""))</f>
        <v/>
      </c>
      <c r="L251" s="10">
        <f>IF($BI251="","",IF($B251="Onsite",INDEX(tbl_Onsite[PO / Reference],$BI251),IF($B251="Production",INDEX(tbl_Production[Current RMS No],$BI251),INDEX(tbl_Consulting[Qwilr Quote],$BI251)))&amp;"")</f>
        <v/>
      </c>
      <c r="M251" s="10">
        <f>IF($BI251="","",IF($B251="Onsite",INDEX(tbl_Onsite[Notes],$BI251),IF($B251="Production",INDEX(tbl_Production[Notes],$BI251),INDEX(tbl_Consulting[Notes],$BI251)))&amp;"")</f>
        <v/>
      </c>
      <c r="N251" s="11">
        <f>IF($BI251="","",IF(IF($B251="Onsite",INDEX(tbl_Onsite[Expected Revenue Ex GST],$BI251),IF($B251="Production",INDEX(tbl_Production[Expected Revenue Ex GST],$BI251),INDEX(tbl_Consulting[Expected Revenue Ex GST],$BI251)))="","",IF($B251="Onsite",INDEX(tbl_Onsite[Expected Revenue Ex GST],$BI251),IF($B251="Production",INDEX(tbl_Production[Expected Revenue Ex GST],$BI251),INDEX(tbl_Consulting[Expected Revenue Ex GST],$BI251)))))</f>
        <v/>
      </c>
      <c r="O251" s="11">
        <f>IF(AND($C251="",NOT(COUNTA($S251:$BB251)&gt;0)),"",SUM(U251,X251,AA251,AD251,AG251,AJ251,AM251,AP251,AS251,AV251,AY251,BB251))</f>
        <v/>
      </c>
      <c r="P251" s="11">
        <f>IF(O251="","",N(N251)-O251)</f>
        <v/>
      </c>
      <c r="Q251" s="10">
        <f>IF(O251="","",IF($C251="","Invoice on empty job row",IF(N251="",IF(ROUND(O251,2)=0,"No dept value","Invoiced - no dept value"),IF(ROUND(O251,2)=0,"Not invoiced - to invoice",IF(ROUND(P251,2)=0,"Agrees",IF(P251&gt;0,"Dept higher - to invoice","Xero higher - check dept"))))))</f>
        <v/>
      </c>
      <c r="R251" s="10">
        <f>IF(AND($C251="",NOT(COUNTA($S251:$BB251)&gt;0),$BI251&lt;&gt;""),"",MID(IF($BI251="","; Row ID not found on the department sheet - a row was deleted","")&amp;IF(AND($C251="",COUNTA($S251:$BB251)&gt;0),"; Invoice entered but the department row has no job number","")&amp;IF(E251="CHECK","; Job number not in the Xero job list","")&amp;IF(AND($C251&lt;&gt;"",COUNTIF($C$7:$C$1506,$C251)&gt;1),"; Job number on more than one row","")&amp;IF(AND($C251&lt;&gt;"",H251=""),"; Dept has not set a cost centre","")&amp;IF(AND($C251&lt;&gt;"",J251=""),"; Dept has not set a tax code","")&amp;IF(AND($C251&lt;&gt;"",N251=""),"; Dept has not entered an expected value","")&amp;IF((IF(OR(COUNTA(S251:U251)=0,AND(COUNTA(S251:U251)=3,ISNUMBER(U251))),0,1)+IF(OR(COUNTA(V251:X251)=0,AND(COUNTA(V251:X251)=3,ISNUMBER(X251))),0,1)+IF(OR(COUNTA(Y251:AA251)=0,AND(COUNTA(Y251:AA251)=3,ISNUMBER(AA251))),0,1)+IF(OR(COUNTA(AB251:AD251)=0,AND(COUNTA(AB251:AD251)=3,ISNUMBER(AD251))),0,1)+IF(OR(COUNTA(AE251:AG251)=0,AND(COUNTA(AE251:AG251)=3,ISNUMBER(AG251))),0,1)+IF(OR(COUNTA(AH251:AJ251)=0,AND(COUNTA(AH251:AJ251)=3,ISNUMBER(AJ251))),0,1)+IF(OR(COUNTA(AK251:AM251)=0,AND(COUNTA(AK251:AM251)=3,ISNUMBER(AM251))),0,1)+IF(OR(COUNTA(AN251:AP251)=0,AND(COUNTA(AN251:AP251)=3,ISNUMBER(AP251))),0,1)+IF(OR(COUNTA(AQ251:AS251)=0,AND(COUNTA(AQ251:AS251)=3,ISNUMBER(AS251))),0,1)+IF(OR(COUNTA(AT251:AV251)=0,AND(COUNTA(AT251:AV251)=3,ISNUMBER(AV251))),0,1)+IF(OR(COUNTA(AW251:AY251)=0,AND(COUNTA(AW251:AY251)=3,ISNUMBER(AY251))),0,1)+IF(OR(COUNTA(AZ251:BB251)=0,AND(COUNTA(AZ251:BB251)=3,ISNUMBER(BB251))),0,1))&gt;0,"; An invoice is incomplete (needs No, Date and a number in Ex GST)","")&amp;IF((IF(T251="",0,IFERROR(--(EOMONTH(T251,0)&lt;&gt;S$5),1))+IF(W251="",0,IFERROR(--(EOMONTH(W251,0)&lt;&gt;V$5),1))+IF(Z251="",0,IFERROR(--(EOMONTH(Z251,0)&lt;&gt;Y$5),1))+IF(AC251="",0,IFERROR(--(EOMONTH(AC251,0)&lt;&gt;AB$5),1))+IF(AF251="",0,IFERROR(--(EOMONTH(AF251,0)&lt;&gt;AE$5),1))+IF(AI251="",0,IFERROR(--(EOMONTH(AI251,0)&lt;&gt;AH$5),1))+IF(AL251="",0,IFERROR(--(EOMONTH(AL251,0)&lt;&gt;AK$5),1))+IF(AO251="",0,IFERROR(--(EOMONTH(AO251,0)&lt;&gt;AN$5),1))+IF(AR251="",0,IFERROR(--(EOMONTH(AR251,0)&lt;&gt;AQ$5),1))+IF(AU251="",0,IFERROR(--(EOMONTH(AU251,0)&lt;&gt;AT$5),1))+IF(AX251="",0,IFERROR(--(EOMONTH(AX251,0)&lt;&gt;AW$5),1))+IF(BA251="",0,IFERROR(--(EOMONTH(BA251,0)&lt;&gt;AZ$5),1)))&gt;0,"; An invoice date is not in the month it is typed under",""),3,500))</f>
        <v/>
      </c>
      <c r="S251" s="12" t="n"/>
      <c r="T251" s="13" t="n"/>
      <c r="U251" s="14" t="n"/>
      <c r="V251" s="12" t="n"/>
      <c r="W251" s="13" t="n"/>
      <c r="X251" s="14" t="n"/>
      <c r="Y251" s="12" t="n"/>
      <c r="Z251" s="13" t="n"/>
      <c r="AA251" s="14" t="n"/>
      <c r="AB251" s="12" t="n"/>
      <c r="AC251" s="13" t="n"/>
      <c r="AD251" s="14" t="n"/>
      <c r="AE251" s="12" t="n"/>
      <c r="AF251" s="13" t="n"/>
      <c r="AG251" s="14" t="n"/>
      <c r="AH251" s="12" t="n"/>
      <c r="AI251" s="13" t="n"/>
      <c r="AJ251" s="14" t="n"/>
      <c r="AK251" s="12" t="n"/>
      <c r="AL251" s="13" t="n"/>
      <c r="AM251" s="14" t="n"/>
      <c r="AN251" s="12" t="n"/>
      <c r="AO251" s="13" t="n"/>
      <c r="AP251" s="14" t="n"/>
      <c r="AQ251" s="12" t="n"/>
      <c r="AR251" s="13" t="n"/>
      <c r="AS251" s="14" t="n"/>
      <c r="AT251" s="12" t="n"/>
      <c r="AU251" s="13" t="n"/>
      <c r="AV251" s="14" t="n"/>
      <c r="AW251" s="12" t="n"/>
      <c r="AX251" s="13" t="n"/>
      <c r="AY251" s="14" t="n"/>
      <c r="AZ251" s="12" t="n"/>
      <c r="BA251" s="13" t="n"/>
      <c r="BB251" s="14" t="n"/>
      <c r="BC251" s="11">
        <f>IF(O251="","",IF(J251="GST 10%",ROUND(O251*set_GSTRate,2),0))</f>
        <v/>
      </c>
      <c r="BD251" s="11">
        <f>IF(O251="","",O251+BC251)</f>
        <v/>
      </c>
      <c r="BE251" s="15">
        <f>IF(O251="","",COUNTA(S251,V251,Y251,AB251,AE251,AH251,AK251,AN251,AQ251,AT251,AW251,AZ251))</f>
        <v/>
      </c>
      <c r="BF251" s="16">
        <f>IF(COUNT(T251,W251,Z251,AC251,AF251,AI251,AL251,AO251,AR251,AU251,AX251,BA251)=0,"",MAX(T251,W251,Z251,AC251,AF251,AI251,AL251,AO251,AR251,AU251,AX251,BA251))</f>
        <v/>
      </c>
      <c r="BG251" s="10">
        <f>MID(IF(S251="","",", "&amp;S251)&amp;IF(V251="","",", "&amp;V251)&amp;IF(Y251="","",", "&amp;Y251)&amp;IF(AB251="","",", "&amp;AB251)&amp;IF(AE251="","",", "&amp;AE251)&amp;IF(AH251="","",", "&amp;AH251)&amp;IF(AK251="","",", "&amp;AK251)&amp;IF(AN251="","",", "&amp;AN251)&amp;IF(AQ251="","",", "&amp;AQ251)&amp;IF(AT251="","",", "&amp;AT251)&amp;IF(AW251="","",", "&amp;AW251)&amp;IF(AZ251="","",", "&amp;AZ251),3,500)</f>
        <v/>
      </c>
      <c r="BH251" s="12" t="n"/>
      <c r="BI251" s="15">
        <f>IFERROR(MATCH($A251,IF($B251="Onsite",tbl_Onsite[Row ID],IF($B251="Production",tbl_Production[Row ID],tbl_Consulting[Row ID])),0),"")</f>
        <v/>
      </c>
    </row>
    <row r="252">
      <c r="A252" s="10" t="inlineStr">
        <is>
          <t>ONS-0246</t>
        </is>
      </c>
      <c r="B252" s="10" t="inlineStr">
        <is>
          <t>Onsite</t>
        </is>
      </c>
      <c r="C252" s="10">
        <f>IF($BI252="","",IF($B252="Onsite",INDEX(tbl_Onsite[Job Number],$BI252),IF($B252="Production",INDEX(tbl_Production[Job Number],$BI252),INDEX(tbl_Consulting[Job Number],$BI252)))&amp;"")</f>
        <v/>
      </c>
      <c r="D252" s="10">
        <f>IF($BI252="","",IF($B252="Onsite",INDEX(tbl_Onsite[Client],$BI252),IF($B252="Production",INDEX(tbl_Production[Client],$BI252),INDEX(tbl_Consulting[Client],$BI252)))&amp;"")</f>
        <v/>
      </c>
      <c r="E252" s="10">
        <f>IF($C252="","",IF(COUNTIF(lst_Jobs,$C252)&gt;0,"OK","CHECK"))</f>
        <v/>
      </c>
      <c r="F252" s="10">
        <f>IF($C252="","",IFERROR(INDEX(lst_JobName,MATCH($C252,lst_Jobs,0)),""))</f>
        <v/>
      </c>
      <c r="G252" s="10">
        <f>IF($BI252="","",IF($B252="Onsite",INDEX(tbl_Onsite[Job Description],$BI252),IF($B252="Production",INDEX(tbl_Production[Job Description],$BI252),INDEX(tbl_Consulting[Job Description],$BI252)))&amp;"")</f>
        <v/>
      </c>
      <c r="H252" s="10">
        <f>IF($BI252="","",IF($B252="Onsite",INDEX(tbl_Onsite[Cost Centre],$BI252),IF($B252="Production",INDEX(tbl_Production[Cost Centre],$BI252),INDEX(tbl_Consulting[Cost Centre],$BI252)))&amp;"")</f>
        <v/>
      </c>
      <c r="I252" s="10">
        <f>IF($BI252="","",IF($B252="Onsite",INDEX(tbl_Onsite[Invoice Type],$BI252),IF($B252="Production",INDEX(tbl_Production[Invoice Type],$BI252),INDEX(tbl_Consulting[Invoice Type],$BI252)))&amp;"")</f>
        <v/>
      </c>
      <c r="J252" s="10">
        <f>IF($BI252="","",IF($B252="Onsite",INDEX(tbl_Onsite[Tax Code],$BI252),IF($B252="Production",INDEX(tbl_Production[Tax Code],$BI252),INDEX(tbl_Consulting[Tax Code],$BI252)))&amp;"")</f>
        <v/>
      </c>
      <c r="K252" s="10">
        <f>IF(H252="","",IFERROR(INDEX(lst_CCtoGL,MATCH(H252,lst_CCforGL,0)),""))</f>
        <v/>
      </c>
      <c r="L252" s="10">
        <f>IF($BI252="","",IF($B252="Onsite",INDEX(tbl_Onsite[PO / Reference],$BI252),IF($B252="Production",INDEX(tbl_Production[Current RMS No],$BI252),INDEX(tbl_Consulting[Qwilr Quote],$BI252)))&amp;"")</f>
        <v/>
      </c>
      <c r="M252" s="10">
        <f>IF($BI252="","",IF($B252="Onsite",INDEX(tbl_Onsite[Notes],$BI252),IF($B252="Production",INDEX(tbl_Production[Notes],$BI252),INDEX(tbl_Consulting[Notes],$BI252)))&amp;"")</f>
        <v/>
      </c>
      <c r="N252" s="11">
        <f>IF($BI252="","",IF(IF($B252="Onsite",INDEX(tbl_Onsite[Expected Revenue Ex GST],$BI252),IF($B252="Production",INDEX(tbl_Production[Expected Revenue Ex GST],$BI252),INDEX(tbl_Consulting[Expected Revenue Ex GST],$BI252)))="","",IF($B252="Onsite",INDEX(tbl_Onsite[Expected Revenue Ex GST],$BI252),IF($B252="Production",INDEX(tbl_Production[Expected Revenue Ex GST],$BI252),INDEX(tbl_Consulting[Expected Revenue Ex GST],$BI252)))))</f>
        <v/>
      </c>
      <c r="O252" s="11">
        <f>IF(AND($C252="",NOT(COUNTA($S252:$BB252)&gt;0)),"",SUM(U252,X252,AA252,AD252,AG252,AJ252,AM252,AP252,AS252,AV252,AY252,BB252))</f>
        <v/>
      </c>
      <c r="P252" s="11">
        <f>IF(O252="","",N(N252)-O252)</f>
        <v/>
      </c>
      <c r="Q252" s="10">
        <f>IF(O252="","",IF($C252="","Invoice on empty job row",IF(N252="",IF(ROUND(O252,2)=0,"No dept value","Invoiced - no dept value"),IF(ROUND(O252,2)=0,"Not invoiced - to invoice",IF(ROUND(P252,2)=0,"Agrees",IF(P252&gt;0,"Dept higher - to invoice","Xero higher - check dept"))))))</f>
        <v/>
      </c>
      <c r="R252" s="10">
        <f>IF(AND($C252="",NOT(COUNTA($S252:$BB252)&gt;0),$BI252&lt;&gt;""),"",MID(IF($BI252="","; Row ID not found on the department sheet - a row was deleted","")&amp;IF(AND($C252="",COUNTA($S252:$BB252)&gt;0),"; Invoice entered but the department row has no job number","")&amp;IF(E252="CHECK","; Job number not in the Xero job list","")&amp;IF(AND($C252&lt;&gt;"",COUNTIF($C$7:$C$1506,$C252)&gt;1),"; Job number on more than one row","")&amp;IF(AND($C252&lt;&gt;"",H252=""),"; Dept has not set a cost centre","")&amp;IF(AND($C252&lt;&gt;"",J252=""),"; Dept has not set a tax code","")&amp;IF(AND($C252&lt;&gt;"",N252=""),"; Dept has not entered an expected value","")&amp;IF((IF(OR(COUNTA(S252:U252)=0,AND(COUNTA(S252:U252)=3,ISNUMBER(U252))),0,1)+IF(OR(COUNTA(V252:X252)=0,AND(COUNTA(V252:X252)=3,ISNUMBER(X252))),0,1)+IF(OR(COUNTA(Y252:AA252)=0,AND(COUNTA(Y252:AA252)=3,ISNUMBER(AA252))),0,1)+IF(OR(COUNTA(AB252:AD252)=0,AND(COUNTA(AB252:AD252)=3,ISNUMBER(AD252))),0,1)+IF(OR(COUNTA(AE252:AG252)=0,AND(COUNTA(AE252:AG252)=3,ISNUMBER(AG252))),0,1)+IF(OR(COUNTA(AH252:AJ252)=0,AND(COUNTA(AH252:AJ252)=3,ISNUMBER(AJ252))),0,1)+IF(OR(COUNTA(AK252:AM252)=0,AND(COUNTA(AK252:AM252)=3,ISNUMBER(AM252))),0,1)+IF(OR(COUNTA(AN252:AP252)=0,AND(COUNTA(AN252:AP252)=3,ISNUMBER(AP252))),0,1)+IF(OR(COUNTA(AQ252:AS252)=0,AND(COUNTA(AQ252:AS252)=3,ISNUMBER(AS252))),0,1)+IF(OR(COUNTA(AT252:AV252)=0,AND(COUNTA(AT252:AV252)=3,ISNUMBER(AV252))),0,1)+IF(OR(COUNTA(AW252:AY252)=0,AND(COUNTA(AW252:AY252)=3,ISNUMBER(AY252))),0,1)+IF(OR(COUNTA(AZ252:BB252)=0,AND(COUNTA(AZ252:BB252)=3,ISNUMBER(BB252))),0,1))&gt;0,"; An invoice is incomplete (needs No, Date and a number in Ex GST)","")&amp;IF((IF(T252="",0,IFERROR(--(EOMONTH(T252,0)&lt;&gt;S$5),1))+IF(W252="",0,IFERROR(--(EOMONTH(W252,0)&lt;&gt;V$5),1))+IF(Z252="",0,IFERROR(--(EOMONTH(Z252,0)&lt;&gt;Y$5),1))+IF(AC252="",0,IFERROR(--(EOMONTH(AC252,0)&lt;&gt;AB$5),1))+IF(AF252="",0,IFERROR(--(EOMONTH(AF252,0)&lt;&gt;AE$5),1))+IF(AI252="",0,IFERROR(--(EOMONTH(AI252,0)&lt;&gt;AH$5),1))+IF(AL252="",0,IFERROR(--(EOMONTH(AL252,0)&lt;&gt;AK$5),1))+IF(AO252="",0,IFERROR(--(EOMONTH(AO252,0)&lt;&gt;AN$5),1))+IF(AR252="",0,IFERROR(--(EOMONTH(AR252,0)&lt;&gt;AQ$5),1))+IF(AU252="",0,IFERROR(--(EOMONTH(AU252,0)&lt;&gt;AT$5),1))+IF(AX252="",0,IFERROR(--(EOMONTH(AX252,0)&lt;&gt;AW$5),1))+IF(BA252="",0,IFERROR(--(EOMONTH(BA252,0)&lt;&gt;AZ$5),1)))&gt;0,"; An invoice date is not in the month it is typed under",""),3,500))</f>
        <v/>
      </c>
      <c r="S252" s="12" t="n"/>
      <c r="T252" s="13" t="n"/>
      <c r="U252" s="14" t="n"/>
      <c r="V252" s="12" t="n"/>
      <c r="W252" s="13" t="n"/>
      <c r="X252" s="14" t="n"/>
      <c r="Y252" s="12" t="n"/>
      <c r="Z252" s="13" t="n"/>
      <c r="AA252" s="14" t="n"/>
      <c r="AB252" s="12" t="n"/>
      <c r="AC252" s="13" t="n"/>
      <c r="AD252" s="14" t="n"/>
      <c r="AE252" s="12" t="n"/>
      <c r="AF252" s="13" t="n"/>
      <c r="AG252" s="14" t="n"/>
      <c r="AH252" s="12" t="n"/>
      <c r="AI252" s="13" t="n"/>
      <c r="AJ252" s="14" t="n"/>
      <c r="AK252" s="12" t="n"/>
      <c r="AL252" s="13" t="n"/>
      <c r="AM252" s="14" t="n"/>
      <c r="AN252" s="12" t="n"/>
      <c r="AO252" s="13" t="n"/>
      <c r="AP252" s="14" t="n"/>
      <c r="AQ252" s="12" t="n"/>
      <c r="AR252" s="13" t="n"/>
      <c r="AS252" s="14" t="n"/>
      <c r="AT252" s="12" t="n"/>
      <c r="AU252" s="13" t="n"/>
      <c r="AV252" s="14" t="n"/>
      <c r="AW252" s="12" t="n"/>
      <c r="AX252" s="13" t="n"/>
      <c r="AY252" s="14" t="n"/>
      <c r="AZ252" s="12" t="n"/>
      <c r="BA252" s="13" t="n"/>
      <c r="BB252" s="14" t="n"/>
      <c r="BC252" s="11">
        <f>IF(O252="","",IF(J252="GST 10%",ROUND(O252*set_GSTRate,2),0))</f>
        <v/>
      </c>
      <c r="BD252" s="11">
        <f>IF(O252="","",O252+BC252)</f>
        <v/>
      </c>
      <c r="BE252" s="15">
        <f>IF(O252="","",COUNTA(S252,V252,Y252,AB252,AE252,AH252,AK252,AN252,AQ252,AT252,AW252,AZ252))</f>
        <v/>
      </c>
      <c r="BF252" s="16">
        <f>IF(COUNT(T252,W252,Z252,AC252,AF252,AI252,AL252,AO252,AR252,AU252,AX252,BA252)=0,"",MAX(T252,W252,Z252,AC252,AF252,AI252,AL252,AO252,AR252,AU252,AX252,BA252))</f>
        <v/>
      </c>
      <c r="BG252" s="10">
        <f>MID(IF(S252="","",", "&amp;S252)&amp;IF(V252="","",", "&amp;V252)&amp;IF(Y252="","",", "&amp;Y252)&amp;IF(AB252="","",", "&amp;AB252)&amp;IF(AE252="","",", "&amp;AE252)&amp;IF(AH252="","",", "&amp;AH252)&amp;IF(AK252="","",", "&amp;AK252)&amp;IF(AN252="","",", "&amp;AN252)&amp;IF(AQ252="","",", "&amp;AQ252)&amp;IF(AT252="","",", "&amp;AT252)&amp;IF(AW252="","",", "&amp;AW252)&amp;IF(AZ252="","",", "&amp;AZ252),3,500)</f>
        <v/>
      </c>
      <c r="BH252" s="12" t="n"/>
      <c r="BI252" s="15">
        <f>IFERROR(MATCH($A252,IF($B252="Onsite",tbl_Onsite[Row ID],IF($B252="Production",tbl_Production[Row ID],tbl_Consulting[Row ID])),0),"")</f>
        <v/>
      </c>
    </row>
    <row r="253">
      <c r="A253" s="10" t="inlineStr">
        <is>
          <t>ONS-0247</t>
        </is>
      </c>
      <c r="B253" s="10" t="inlineStr">
        <is>
          <t>Onsite</t>
        </is>
      </c>
      <c r="C253" s="10">
        <f>IF($BI253="","",IF($B253="Onsite",INDEX(tbl_Onsite[Job Number],$BI253),IF($B253="Production",INDEX(tbl_Production[Job Number],$BI253),INDEX(tbl_Consulting[Job Number],$BI253)))&amp;"")</f>
        <v/>
      </c>
      <c r="D253" s="10">
        <f>IF($BI253="","",IF($B253="Onsite",INDEX(tbl_Onsite[Client],$BI253),IF($B253="Production",INDEX(tbl_Production[Client],$BI253),INDEX(tbl_Consulting[Client],$BI253)))&amp;"")</f>
        <v/>
      </c>
      <c r="E253" s="10">
        <f>IF($C253="","",IF(COUNTIF(lst_Jobs,$C253)&gt;0,"OK","CHECK"))</f>
        <v/>
      </c>
      <c r="F253" s="10">
        <f>IF($C253="","",IFERROR(INDEX(lst_JobName,MATCH($C253,lst_Jobs,0)),""))</f>
        <v/>
      </c>
      <c r="G253" s="10">
        <f>IF($BI253="","",IF($B253="Onsite",INDEX(tbl_Onsite[Job Description],$BI253),IF($B253="Production",INDEX(tbl_Production[Job Description],$BI253),INDEX(tbl_Consulting[Job Description],$BI253)))&amp;"")</f>
        <v/>
      </c>
      <c r="H253" s="10">
        <f>IF($BI253="","",IF($B253="Onsite",INDEX(tbl_Onsite[Cost Centre],$BI253),IF($B253="Production",INDEX(tbl_Production[Cost Centre],$BI253),INDEX(tbl_Consulting[Cost Centre],$BI253)))&amp;"")</f>
        <v/>
      </c>
      <c r="I253" s="10">
        <f>IF($BI253="","",IF($B253="Onsite",INDEX(tbl_Onsite[Invoice Type],$BI253),IF($B253="Production",INDEX(tbl_Production[Invoice Type],$BI253),INDEX(tbl_Consulting[Invoice Type],$BI253)))&amp;"")</f>
        <v/>
      </c>
      <c r="J253" s="10">
        <f>IF($BI253="","",IF($B253="Onsite",INDEX(tbl_Onsite[Tax Code],$BI253),IF($B253="Production",INDEX(tbl_Production[Tax Code],$BI253),INDEX(tbl_Consulting[Tax Code],$BI253)))&amp;"")</f>
        <v/>
      </c>
      <c r="K253" s="10">
        <f>IF(H253="","",IFERROR(INDEX(lst_CCtoGL,MATCH(H253,lst_CCforGL,0)),""))</f>
        <v/>
      </c>
      <c r="L253" s="10">
        <f>IF($BI253="","",IF($B253="Onsite",INDEX(tbl_Onsite[PO / Reference],$BI253),IF($B253="Production",INDEX(tbl_Production[Current RMS No],$BI253),INDEX(tbl_Consulting[Qwilr Quote],$BI253)))&amp;"")</f>
        <v/>
      </c>
      <c r="M253" s="10">
        <f>IF($BI253="","",IF($B253="Onsite",INDEX(tbl_Onsite[Notes],$BI253),IF($B253="Production",INDEX(tbl_Production[Notes],$BI253),INDEX(tbl_Consulting[Notes],$BI253)))&amp;"")</f>
        <v/>
      </c>
      <c r="N253" s="11">
        <f>IF($BI253="","",IF(IF($B253="Onsite",INDEX(tbl_Onsite[Expected Revenue Ex GST],$BI253),IF($B253="Production",INDEX(tbl_Production[Expected Revenue Ex GST],$BI253),INDEX(tbl_Consulting[Expected Revenue Ex GST],$BI253)))="","",IF($B253="Onsite",INDEX(tbl_Onsite[Expected Revenue Ex GST],$BI253),IF($B253="Production",INDEX(tbl_Production[Expected Revenue Ex GST],$BI253),INDEX(tbl_Consulting[Expected Revenue Ex GST],$BI253)))))</f>
        <v/>
      </c>
      <c r="O253" s="11">
        <f>IF(AND($C253="",NOT(COUNTA($S253:$BB253)&gt;0)),"",SUM(U253,X253,AA253,AD253,AG253,AJ253,AM253,AP253,AS253,AV253,AY253,BB253))</f>
        <v/>
      </c>
      <c r="P253" s="11">
        <f>IF(O253="","",N(N253)-O253)</f>
        <v/>
      </c>
      <c r="Q253" s="10">
        <f>IF(O253="","",IF($C253="","Invoice on empty job row",IF(N253="",IF(ROUND(O253,2)=0,"No dept value","Invoiced - no dept value"),IF(ROUND(O253,2)=0,"Not invoiced - to invoice",IF(ROUND(P253,2)=0,"Agrees",IF(P253&gt;0,"Dept higher - to invoice","Xero higher - check dept"))))))</f>
        <v/>
      </c>
      <c r="R253" s="10">
        <f>IF(AND($C253="",NOT(COUNTA($S253:$BB253)&gt;0),$BI253&lt;&gt;""),"",MID(IF($BI253="","; Row ID not found on the department sheet - a row was deleted","")&amp;IF(AND($C253="",COUNTA($S253:$BB253)&gt;0),"; Invoice entered but the department row has no job number","")&amp;IF(E253="CHECK","; Job number not in the Xero job list","")&amp;IF(AND($C253&lt;&gt;"",COUNTIF($C$7:$C$1506,$C253)&gt;1),"; Job number on more than one row","")&amp;IF(AND($C253&lt;&gt;"",H253=""),"; Dept has not set a cost centre","")&amp;IF(AND($C253&lt;&gt;"",J253=""),"; Dept has not set a tax code","")&amp;IF(AND($C253&lt;&gt;"",N253=""),"; Dept has not entered an expected value","")&amp;IF((IF(OR(COUNTA(S253:U253)=0,AND(COUNTA(S253:U253)=3,ISNUMBER(U253))),0,1)+IF(OR(COUNTA(V253:X253)=0,AND(COUNTA(V253:X253)=3,ISNUMBER(X253))),0,1)+IF(OR(COUNTA(Y253:AA253)=0,AND(COUNTA(Y253:AA253)=3,ISNUMBER(AA253))),0,1)+IF(OR(COUNTA(AB253:AD253)=0,AND(COUNTA(AB253:AD253)=3,ISNUMBER(AD253))),0,1)+IF(OR(COUNTA(AE253:AG253)=0,AND(COUNTA(AE253:AG253)=3,ISNUMBER(AG253))),0,1)+IF(OR(COUNTA(AH253:AJ253)=0,AND(COUNTA(AH253:AJ253)=3,ISNUMBER(AJ253))),0,1)+IF(OR(COUNTA(AK253:AM253)=0,AND(COUNTA(AK253:AM253)=3,ISNUMBER(AM253))),0,1)+IF(OR(COUNTA(AN253:AP253)=0,AND(COUNTA(AN253:AP253)=3,ISNUMBER(AP253))),0,1)+IF(OR(COUNTA(AQ253:AS253)=0,AND(COUNTA(AQ253:AS253)=3,ISNUMBER(AS253))),0,1)+IF(OR(COUNTA(AT253:AV253)=0,AND(COUNTA(AT253:AV253)=3,ISNUMBER(AV253))),0,1)+IF(OR(COUNTA(AW253:AY253)=0,AND(COUNTA(AW253:AY253)=3,ISNUMBER(AY253))),0,1)+IF(OR(COUNTA(AZ253:BB253)=0,AND(COUNTA(AZ253:BB253)=3,ISNUMBER(BB253))),0,1))&gt;0,"; An invoice is incomplete (needs No, Date and a number in Ex GST)","")&amp;IF((IF(T253="",0,IFERROR(--(EOMONTH(T253,0)&lt;&gt;S$5),1))+IF(W253="",0,IFERROR(--(EOMONTH(W253,0)&lt;&gt;V$5),1))+IF(Z253="",0,IFERROR(--(EOMONTH(Z253,0)&lt;&gt;Y$5),1))+IF(AC253="",0,IFERROR(--(EOMONTH(AC253,0)&lt;&gt;AB$5),1))+IF(AF253="",0,IFERROR(--(EOMONTH(AF253,0)&lt;&gt;AE$5),1))+IF(AI253="",0,IFERROR(--(EOMONTH(AI253,0)&lt;&gt;AH$5),1))+IF(AL253="",0,IFERROR(--(EOMONTH(AL253,0)&lt;&gt;AK$5),1))+IF(AO253="",0,IFERROR(--(EOMONTH(AO253,0)&lt;&gt;AN$5),1))+IF(AR253="",0,IFERROR(--(EOMONTH(AR253,0)&lt;&gt;AQ$5),1))+IF(AU253="",0,IFERROR(--(EOMONTH(AU253,0)&lt;&gt;AT$5),1))+IF(AX253="",0,IFERROR(--(EOMONTH(AX253,0)&lt;&gt;AW$5),1))+IF(BA253="",0,IFERROR(--(EOMONTH(BA253,0)&lt;&gt;AZ$5),1)))&gt;0,"; An invoice date is not in the month it is typed under",""),3,500))</f>
        <v/>
      </c>
      <c r="S253" s="12" t="n"/>
      <c r="T253" s="13" t="n"/>
      <c r="U253" s="14" t="n"/>
      <c r="V253" s="12" t="n"/>
      <c r="W253" s="13" t="n"/>
      <c r="X253" s="14" t="n"/>
      <c r="Y253" s="12" t="n"/>
      <c r="Z253" s="13" t="n"/>
      <c r="AA253" s="14" t="n"/>
      <c r="AB253" s="12" t="n"/>
      <c r="AC253" s="13" t="n"/>
      <c r="AD253" s="14" t="n"/>
      <c r="AE253" s="12" t="n"/>
      <c r="AF253" s="13" t="n"/>
      <c r="AG253" s="14" t="n"/>
      <c r="AH253" s="12" t="n"/>
      <c r="AI253" s="13" t="n"/>
      <c r="AJ253" s="14" t="n"/>
      <c r="AK253" s="12" t="n"/>
      <c r="AL253" s="13" t="n"/>
      <c r="AM253" s="14" t="n"/>
      <c r="AN253" s="12" t="n"/>
      <c r="AO253" s="13" t="n"/>
      <c r="AP253" s="14" t="n"/>
      <c r="AQ253" s="12" t="n"/>
      <c r="AR253" s="13" t="n"/>
      <c r="AS253" s="14" t="n"/>
      <c r="AT253" s="12" t="n"/>
      <c r="AU253" s="13" t="n"/>
      <c r="AV253" s="14" t="n"/>
      <c r="AW253" s="12" t="n"/>
      <c r="AX253" s="13" t="n"/>
      <c r="AY253" s="14" t="n"/>
      <c r="AZ253" s="12" t="n"/>
      <c r="BA253" s="13" t="n"/>
      <c r="BB253" s="14" t="n"/>
      <c r="BC253" s="11">
        <f>IF(O253="","",IF(J253="GST 10%",ROUND(O253*set_GSTRate,2),0))</f>
        <v/>
      </c>
      <c r="BD253" s="11">
        <f>IF(O253="","",O253+BC253)</f>
        <v/>
      </c>
      <c r="BE253" s="15">
        <f>IF(O253="","",COUNTA(S253,V253,Y253,AB253,AE253,AH253,AK253,AN253,AQ253,AT253,AW253,AZ253))</f>
        <v/>
      </c>
      <c r="BF253" s="16">
        <f>IF(COUNT(T253,W253,Z253,AC253,AF253,AI253,AL253,AO253,AR253,AU253,AX253,BA253)=0,"",MAX(T253,W253,Z253,AC253,AF253,AI253,AL253,AO253,AR253,AU253,AX253,BA253))</f>
        <v/>
      </c>
      <c r="BG253" s="10">
        <f>MID(IF(S253="","",", "&amp;S253)&amp;IF(V253="","",", "&amp;V253)&amp;IF(Y253="","",", "&amp;Y253)&amp;IF(AB253="","",", "&amp;AB253)&amp;IF(AE253="","",", "&amp;AE253)&amp;IF(AH253="","",", "&amp;AH253)&amp;IF(AK253="","",", "&amp;AK253)&amp;IF(AN253="","",", "&amp;AN253)&amp;IF(AQ253="","",", "&amp;AQ253)&amp;IF(AT253="","",", "&amp;AT253)&amp;IF(AW253="","",", "&amp;AW253)&amp;IF(AZ253="","",", "&amp;AZ253),3,500)</f>
        <v/>
      </c>
      <c r="BH253" s="12" t="n"/>
      <c r="BI253" s="15">
        <f>IFERROR(MATCH($A253,IF($B253="Onsite",tbl_Onsite[Row ID],IF($B253="Production",tbl_Production[Row ID],tbl_Consulting[Row ID])),0),"")</f>
        <v/>
      </c>
    </row>
    <row r="254">
      <c r="A254" s="10" t="inlineStr">
        <is>
          <t>ONS-0248</t>
        </is>
      </c>
      <c r="B254" s="10" t="inlineStr">
        <is>
          <t>Onsite</t>
        </is>
      </c>
      <c r="C254" s="10">
        <f>IF($BI254="","",IF($B254="Onsite",INDEX(tbl_Onsite[Job Number],$BI254),IF($B254="Production",INDEX(tbl_Production[Job Number],$BI254),INDEX(tbl_Consulting[Job Number],$BI254)))&amp;"")</f>
        <v/>
      </c>
      <c r="D254" s="10">
        <f>IF($BI254="","",IF($B254="Onsite",INDEX(tbl_Onsite[Client],$BI254),IF($B254="Production",INDEX(tbl_Production[Client],$BI254),INDEX(tbl_Consulting[Client],$BI254)))&amp;"")</f>
        <v/>
      </c>
      <c r="E254" s="10">
        <f>IF($C254="","",IF(COUNTIF(lst_Jobs,$C254)&gt;0,"OK","CHECK"))</f>
        <v/>
      </c>
      <c r="F254" s="10">
        <f>IF($C254="","",IFERROR(INDEX(lst_JobName,MATCH($C254,lst_Jobs,0)),""))</f>
        <v/>
      </c>
      <c r="G254" s="10">
        <f>IF($BI254="","",IF($B254="Onsite",INDEX(tbl_Onsite[Job Description],$BI254),IF($B254="Production",INDEX(tbl_Production[Job Description],$BI254),INDEX(tbl_Consulting[Job Description],$BI254)))&amp;"")</f>
        <v/>
      </c>
      <c r="H254" s="10">
        <f>IF($BI254="","",IF($B254="Onsite",INDEX(tbl_Onsite[Cost Centre],$BI254),IF($B254="Production",INDEX(tbl_Production[Cost Centre],$BI254),INDEX(tbl_Consulting[Cost Centre],$BI254)))&amp;"")</f>
        <v/>
      </c>
      <c r="I254" s="10">
        <f>IF($BI254="","",IF($B254="Onsite",INDEX(tbl_Onsite[Invoice Type],$BI254),IF($B254="Production",INDEX(tbl_Production[Invoice Type],$BI254),INDEX(tbl_Consulting[Invoice Type],$BI254)))&amp;"")</f>
        <v/>
      </c>
      <c r="J254" s="10">
        <f>IF($BI254="","",IF($B254="Onsite",INDEX(tbl_Onsite[Tax Code],$BI254),IF($B254="Production",INDEX(tbl_Production[Tax Code],$BI254),INDEX(tbl_Consulting[Tax Code],$BI254)))&amp;"")</f>
        <v/>
      </c>
      <c r="K254" s="10">
        <f>IF(H254="","",IFERROR(INDEX(lst_CCtoGL,MATCH(H254,lst_CCforGL,0)),""))</f>
        <v/>
      </c>
      <c r="L254" s="10">
        <f>IF($BI254="","",IF($B254="Onsite",INDEX(tbl_Onsite[PO / Reference],$BI254),IF($B254="Production",INDEX(tbl_Production[Current RMS No],$BI254),INDEX(tbl_Consulting[Qwilr Quote],$BI254)))&amp;"")</f>
        <v/>
      </c>
      <c r="M254" s="10">
        <f>IF($BI254="","",IF($B254="Onsite",INDEX(tbl_Onsite[Notes],$BI254),IF($B254="Production",INDEX(tbl_Production[Notes],$BI254),INDEX(tbl_Consulting[Notes],$BI254)))&amp;"")</f>
        <v/>
      </c>
      <c r="N254" s="11">
        <f>IF($BI254="","",IF(IF($B254="Onsite",INDEX(tbl_Onsite[Expected Revenue Ex GST],$BI254),IF($B254="Production",INDEX(tbl_Production[Expected Revenue Ex GST],$BI254),INDEX(tbl_Consulting[Expected Revenue Ex GST],$BI254)))="","",IF($B254="Onsite",INDEX(tbl_Onsite[Expected Revenue Ex GST],$BI254),IF($B254="Production",INDEX(tbl_Production[Expected Revenue Ex GST],$BI254),INDEX(tbl_Consulting[Expected Revenue Ex GST],$BI254)))))</f>
        <v/>
      </c>
      <c r="O254" s="11">
        <f>IF(AND($C254="",NOT(COUNTA($S254:$BB254)&gt;0)),"",SUM(U254,X254,AA254,AD254,AG254,AJ254,AM254,AP254,AS254,AV254,AY254,BB254))</f>
        <v/>
      </c>
      <c r="P254" s="11">
        <f>IF(O254="","",N(N254)-O254)</f>
        <v/>
      </c>
      <c r="Q254" s="10">
        <f>IF(O254="","",IF($C254="","Invoice on empty job row",IF(N254="",IF(ROUND(O254,2)=0,"No dept value","Invoiced - no dept value"),IF(ROUND(O254,2)=0,"Not invoiced - to invoice",IF(ROUND(P254,2)=0,"Agrees",IF(P254&gt;0,"Dept higher - to invoice","Xero higher - check dept"))))))</f>
        <v/>
      </c>
      <c r="R254" s="10">
        <f>IF(AND($C254="",NOT(COUNTA($S254:$BB254)&gt;0),$BI254&lt;&gt;""),"",MID(IF($BI254="","; Row ID not found on the department sheet - a row was deleted","")&amp;IF(AND($C254="",COUNTA($S254:$BB254)&gt;0),"; Invoice entered but the department row has no job number","")&amp;IF(E254="CHECK","; Job number not in the Xero job list","")&amp;IF(AND($C254&lt;&gt;"",COUNTIF($C$7:$C$1506,$C254)&gt;1),"; Job number on more than one row","")&amp;IF(AND($C254&lt;&gt;"",H254=""),"; Dept has not set a cost centre","")&amp;IF(AND($C254&lt;&gt;"",J254=""),"; Dept has not set a tax code","")&amp;IF(AND($C254&lt;&gt;"",N254=""),"; Dept has not entered an expected value","")&amp;IF((IF(OR(COUNTA(S254:U254)=0,AND(COUNTA(S254:U254)=3,ISNUMBER(U254))),0,1)+IF(OR(COUNTA(V254:X254)=0,AND(COUNTA(V254:X254)=3,ISNUMBER(X254))),0,1)+IF(OR(COUNTA(Y254:AA254)=0,AND(COUNTA(Y254:AA254)=3,ISNUMBER(AA254))),0,1)+IF(OR(COUNTA(AB254:AD254)=0,AND(COUNTA(AB254:AD254)=3,ISNUMBER(AD254))),0,1)+IF(OR(COUNTA(AE254:AG254)=0,AND(COUNTA(AE254:AG254)=3,ISNUMBER(AG254))),0,1)+IF(OR(COUNTA(AH254:AJ254)=0,AND(COUNTA(AH254:AJ254)=3,ISNUMBER(AJ254))),0,1)+IF(OR(COUNTA(AK254:AM254)=0,AND(COUNTA(AK254:AM254)=3,ISNUMBER(AM254))),0,1)+IF(OR(COUNTA(AN254:AP254)=0,AND(COUNTA(AN254:AP254)=3,ISNUMBER(AP254))),0,1)+IF(OR(COUNTA(AQ254:AS254)=0,AND(COUNTA(AQ254:AS254)=3,ISNUMBER(AS254))),0,1)+IF(OR(COUNTA(AT254:AV254)=0,AND(COUNTA(AT254:AV254)=3,ISNUMBER(AV254))),0,1)+IF(OR(COUNTA(AW254:AY254)=0,AND(COUNTA(AW254:AY254)=3,ISNUMBER(AY254))),0,1)+IF(OR(COUNTA(AZ254:BB254)=0,AND(COUNTA(AZ254:BB254)=3,ISNUMBER(BB254))),0,1))&gt;0,"; An invoice is incomplete (needs No, Date and a number in Ex GST)","")&amp;IF((IF(T254="",0,IFERROR(--(EOMONTH(T254,0)&lt;&gt;S$5),1))+IF(W254="",0,IFERROR(--(EOMONTH(W254,0)&lt;&gt;V$5),1))+IF(Z254="",0,IFERROR(--(EOMONTH(Z254,0)&lt;&gt;Y$5),1))+IF(AC254="",0,IFERROR(--(EOMONTH(AC254,0)&lt;&gt;AB$5),1))+IF(AF254="",0,IFERROR(--(EOMONTH(AF254,0)&lt;&gt;AE$5),1))+IF(AI254="",0,IFERROR(--(EOMONTH(AI254,0)&lt;&gt;AH$5),1))+IF(AL254="",0,IFERROR(--(EOMONTH(AL254,0)&lt;&gt;AK$5),1))+IF(AO254="",0,IFERROR(--(EOMONTH(AO254,0)&lt;&gt;AN$5),1))+IF(AR254="",0,IFERROR(--(EOMONTH(AR254,0)&lt;&gt;AQ$5),1))+IF(AU254="",0,IFERROR(--(EOMONTH(AU254,0)&lt;&gt;AT$5),1))+IF(AX254="",0,IFERROR(--(EOMONTH(AX254,0)&lt;&gt;AW$5),1))+IF(BA254="",0,IFERROR(--(EOMONTH(BA254,0)&lt;&gt;AZ$5),1)))&gt;0,"; An invoice date is not in the month it is typed under",""),3,500))</f>
        <v/>
      </c>
      <c r="S254" s="12" t="n"/>
      <c r="T254" s="13" t="n"/>
      <c r="U254" s="14" t="n"/>
      <c r="V254" s="12" t="n"/>
      <c r="W254" s="13" t="n"/>
      <c r="X254" s="14" t="n"/>
      <c r="Y254" s="12" t="n"/>
      <c r="Z254" s="13" t="n"/>
      <c r="AA254" s="14" t="n"/>
      <c r="AB254" s="12" t="n"/>
      <c r="AC254" s="13" t="n"/>
      <c r="AD254" s="14" t="n"/>
      <c r="AE254" s="12" t="n"/>
      <c r="AF254" s="13" t="n"/>
      <c r="AG254" s="14" t="n"/>
      <c r="AH254" s="12" t="n"/>
      <c r="AI254" s="13" t="n"/>
      <c r="AJ254" s="14" t="n"/>
      <c r="AK254" s="12" t="n"/>
      <c r="AL254" s="13" t="n"/>
      <c r="AM254" s="14" t="n"/>
      <c r="AN254" s="12" t="n"/>
      <c r="AO254" s="13" t="n"/>
      <c r="AP254" s="14" t="n"/>
      <c r="AQ254" s="12" t="n"/>
      <c r="AR254" s="13" t="n"/>
      <c r="AS254" s="14" t="n"/>
      <c r="AT254" s="12" t="n"/>
      <c r="AU254" s="13" t="n"/>
      <c r="AV254" s="14" t="n"/>
      <c r="AW254" s="12" t="n"/>
      <c r="AX254" s="13" t="n"/>
      <c r="AY254" s="14" t="n"/>
      <c r="AZ254" s="12" t="n"/>
      <c r="BA254" s="13" t="n"/>
      <c r="BB254" s="14" t="n"/>
      <c r="BC254" s="11">
        <f>IF(O254="","",IF(J254="GST 10%",ROUND(O254*set_GSTRate,2),0))</f>
        <v/>
      </c>
      <c r="BD254" s="11">
        <f>IF(O254="","",O254+BC254)</f>
        <v/>
      </c>
      <c r="BE254" s="15">
        <f>IF(O254="","",COUNTA(S254,V254,Y254,AB254,AE254,AH254,AK254,AN254,AQ254,AT254,AW254,AZ254))</f>
        <v/>
      </c>
      <c r="BF254" s="16">
        <f>IF(COUNT(T254,W254,Z254,AC254,AF254,AI254,AL254,AO254,AR254,AU254,AX254,BA254)=0,"",MAX(T254,W254,Z254,AC254,AF254,AI254,AL254,AO254,AR254,AU254,AX254,BA254))</f>
        <v/>
      </c>
      <c r="BG254" s="10">
        <f>MID(IF(S254="","",", "&amp;S254)&amp;IF(V254="","",", "&amp;V254)&amp;IF(Y254="","",", "&amp;Y254)&amp;IF(AB254="","",", "&amp;AB254)&amp;IF(AE254="","",", "&amp;AE254)&amp;IF(AH254="","",", "&amp;AH254)&amp;IF(AK254="","",", "&amp;AK254)&amp;IF(AN254="","",", "&amp;AN254)&amp;IF(AQ254="","",", "&amp;AQ254)&amp;IF(AT254="","",", "&amp;AT254)&amp;IF(AW254="","",", "&amp;AW254)&amp;IF(AZ254="","",", "&amp;AZ254),3,500)</f>
        <v/>
      </c>
      <c r="BH254" s="12" t="n"/>
      <c r="BI254" s="15">
        <f>IFERROR(MATCH($A254,IF($B254="Onsite",tbl_Onsite[Row ID],IF($B254="Production",tbl_Production[Row ID],tbl_Consulting[Row ID])),0),"")</f>
        <v/>
      </c>
    </row>
    <row r="255">
      <c r="A255" s="10" t="inlineStr">
        <is>
          <t>ONS-0249</t>
        </is>
      </c>
      <c r="B255" s="10" t="inlineStr">
        <is>
          <t>Onsite</t>
        </is>
      </c>
      <c r="C255" s="10">
        <f>IF($BI255="","",IF($B255="Onsite",INDEX(tbl_Onsite[Job Number],$BI255),IF($B255="Production",INDEX(tbl_Production[Job Number],$BI255),INDEX(tbl_Consulting[Job Number],$BI255)))&amp;"")</f>
        <v/>
      </c>
      <c r="D255" s="10">
        <f>IF($BI255="","",IF($B255="Onsite",INDEX(tbl_Onsite[Client],$BI255),IF($B255="Production",INDEX(tbl_Production[Client],$BI255),INDEX(tbl_Consulting[Client],$BI255)))&amp;"")</f>
        <v/>
      </c>
      <c r="E255" s="10">
        <f>IF($C255="","",IF(COUNTIF(lst_Jobs,$C255)&gt;0,"OK","CHECK"))</f>
        <v/>
      </c>
      <c r="F255" s="10">
        <f>IF($C255="","",IFERROR(INDEX(lst_JobName,MATCH($C255,lst_Jobs,0)),""))</f>
        <v/>
      </c>
      <c r="G255" s="10">
        <f>IF($BI255="","",IF($B255="Onsite",INDEX(tbl_Onsite[Job Description],$BI255),IF($B255="Production",INDEX(tbl_Production[Job Description],$BI255),INDEX(tbl_Consulting[Job Description],$BI255)))&amp;"")</f>
        <v/>
      </c>
      <c r="H255" s="10">
        <f>IF($BI255="","",IF($B255="Onsite",INDEX(tbl_Onsite[Cost Centre],$BI255),IF($B255="Production",INDEX(tbl_Production[Cost Centre],$BI255),INDEX(tbl_Consulting[Cost Centre],$BI255)))&amp;"")</f>
        <v/>
      </c>
      <c r="I255" s="10">
        <f>IF($BI255="","",IF($B255="Onsite",INDEX(tbl_Onsite[Invoice Type],$BI255),IF($B255="Production",INDEX(tbl_Production[Invoice Type],$BI255),INDEX(tbl_Consulting[Invoice Type],$BI255)))&amp;"")</f>
        <v/>
      </c>
      <c r="J255" s="10">
        <f>IF($BI255="","",IF($B255="Onsite",INDEX(tbl_Onsite[Tax Code],$BI255),IF($B255="Production",INDEX(tbl_Production[Tax Code],$BI255),INDEX(tbl_Consulting[Tax Code],$BI255)))&amp;"")</f>
        <v/>
      </c>
      <c r="K255" s="10">
        <f>IF(H255="","",IFERROR(INDEX(lst_CCtoGL,MATCH(H255,lst_CCforGL,0)),""))</f>
        <v/>
      </c>
      <c r="L255" s="10">
        <f>IF($BI255="","",IF($B255="Onsite",INDEX(tbl_Onsite[PO / Reference],$BI255),IF($B255="Production",INDEX(tbl_Production[Current RMS No],$BI255),INDEX(tbl_Consulting[Qwilr Quote],$BI255)))&amp;"")</f>
        <v/>
      </c>
      <c r="M255" s="10">
        <f>IF($BI255="","",IF($B255="Onsite",INDEX(tbl_Onsite[Notes],$BI255),IF($B255="Production",INDEX(tbl_Production[Notes],$BI255),INDEX(tbl_Consulting[Notes],$BI255)))&amp;"")</f>
        <v/>
      </c>
      <c r="N255" s="11">
        <f>IF($BI255="","",IF(IF($B255="Onsite",INDEX(tbl_Onsite[Expected Revenue Ex GST],$BI255),IF($B255="Production",INDEX(tbl_Production[Expected Revenue Ex GST],$BI255),INDEX(tbl_Consulting[Expected Revenue Ex GST],$BI255)))="","",IF($B255="Onsite",INDEX(tbl_Onsite[Expected Revenue Ex GST],$BI255),IF($B255="Production",INDEX(tbl_Production[Expected Revenue Ex GST],$BI255),INDEX(tbl_Consulting[Expected Revenue Ex GST],$BI255)))))</f>
        <v/>
      </c>
      <c r="O255" s="11">
        <f>IF(AND($C255="",NOT(COUNTA($S255:$BB255)&gt;0)),"",SUM(U255,X255,AA255,AD255,AG255,AJ255,AM255,AP255,AS255,AV255,AY255,BB255))</f>
        <v/>
      </c>
      <c r="P255" s="11">
        <f>IF(O255="","",N(N255)-O255)</f>
        <v/>
      </c>
      <c r="Q255" s="10">
        <f>IF(O255="","",IF($C255="","Invoice on empty job row",IF(N255="",IF(ROUND(O255,2)=0,"No dept value","Invoiced - no dept value"),IF(ROUND(O255,2)=0,"Not invoiced - to invoice",IF(ROUND(P255,2)=0,"Agrees",IF(P255&gt;0,"Dept higher - to invoice","Xero higher - check dept"))))))</f>
        <v/>
      </c>
      <c r="R255" s="10">
        <f>IF(AND($C255="",NOT(COUNTA($S255:$BB255)&gt;0),$BI255&lt;&gt;""),"",MID(IF($BI255="","; Row ID not found on the department sheet - a row was deleted","")&amp;IF(AND($C255="",COUNTA($S255:$BB255)&gt;0),"; Invoice entered but the department row has no job number","")&amp;IF(E255="CHECK","; Job number not in the Xero job list","")&amp;IF(AND($C255&lt;&gt;"",COUNTIF($C$7:$C$1506,$C255)&gt;1),"; Job number on more than one row","")&amp;IF(AND($C255&lt;&gt;"",H255=""),"; Dept has not set a cost centre","")&amp;IF(AND($C255&lt;&gt;"",J255=""),"; Dept has not set a tax code","")&amp;IF(AND($C255&lt;&gt;"",N255=""),"; Dept has not entered an expected value","")&amp;IF((IF(OR(COUNTA(S255:U255)=0,AND(COUNTA(S255:U255)=3,ISNUMBER(U255))),0,1)+IF(OR(COUNTA(V255:X255)=0,AND(COUNTA(V255:X255)=3,ISNUMBER(X255))),0,1)+IF(OR(COUNTA(Y255:AA255)=0,AND(COUNTA(Y255:AA255)=3,ISNUMBER(AA255))),0,1)+IF(OR(COUNTA(AB255:AD255)=0,AND(COUNTA(AB255:AD255)=3,ISNUMBER(AD255))),0,1)+IF(OR(COUNTA(AE255:AG255)=0,AND(COUNTA(AE255:AG255)=3,ISNUMBER(AG255))),0,1)+IF(OR(COUNTA(AH255:AJ255)=0,AND(COUNTA(AH255:AJ255)=3,ISNUMBER(AJ255))),0,1)+IF(OR(COUNTA(AK255:AM255)=0,AND(COUNTA(AK255:AM255)=3,ISNUMBER(AM255))),0,1)+IF(OR(COUNTA(AN255:AP255)=0,AND(COUNTA(AN255:AP255)=3,ISNUMBER(AP255))),0,1)+IF(OR(COUNTA(AQ255:AS255)=0,AND(COUNTA(AQ255:AS255)=3,ISNUMBER(AS255))),0,1)+IF(OR(COUNTA(AT255:AV255)=0,AND(COUNTA(AT255:AV255)=3,ISNUMBER(AV255))),0,1)+IF(OR(COUNTA(AW255:AY255)=0,AND(COUNTA(AW255:AY255)=3,ISNUMBER(AY255))),0,1)+IF(OR(COUNTA(AZ255:BB255)=0,AND(COUNTA(AZ255:BB255)=3,ISNUMBER(BB255))),0,1))&gt;0,"; An invoice is incomplete (needs No, Date and a number in Ex GST)","")&amp;IF((IF(T255="",0,IFERROR(--(EOMONTH(T255,0)&lt;&gt;S$5),1))+IF(W255="",0,IFERROR(--(EOMONTH(W255,0)&lt;&gt;V$5),1))+IF(Z255="",0,IFERROR(--(EOMONTH(Z255,0)&lt;&gt;Y$5),1))+IF(AC255="",0,IFERROR(--(EOMONTH(AC255,0)&lt;&gt;AB$5),1))+IF(AF255="",0,IFERROR(--(EOMONTH(AF255,0)&lt;&gt;AE$5),1))+IF(AI255="",0,IFERROR(--(EOMONTH(AI255,0)&lt;&gt;AH$5),1))+IF(AL255="",0,IFERROR(--(EOMONTH(AL255,0)&lt;&gt;AK$5),1))+IF(AO255="",0,IFERROR(--(EOMONTH(AO255,0)&lt;&gt;AN$5),1))+IF(AR255="",0,IFERROR(--(EOMONTH(AR255,0)&lt;&gt;AQ$5),1))+IF(AU255="",0,IFERROR(--(EOMONTH(AU255,0)&lt;&gt;AT$5),1))+IF(AX255="",0,IFERROR(--(EOMONTH(AX255,0)&lt;&gt;AW$5),1))+IF(BA255="",0,IFERROR(--(EOMONTH(BA255,0)&lt;&gt;AZ$5),1)))&gt;0,"; An invoice date is not in the month it is typed under",""),3,500))</f>
        <v/>
      </c>
      <c r="S255" s="12" t="n"/>
      <c r="T255" s="13" t="n"/>
      <c r="U255" s="14" t="n"/>
      <c r="V255" s="12" t="n"/>
      <c r="W255" s="13" t="n"/>
      <c r="X255" s="14" t="n"/>
      <c r="Y255" s="12" t="n"/>
      <c r="Z255" s="13" t="n"/>
      <c r="AA255" s="14" t="n"/>
      <c r="AB255" s="12" t="n"/>
      <c r="AC255" s="13" t="n"/>
      <c r="AD255" s="14" t="n"/>
      <c r="AE255" s="12" t="n"/>
      <c r="AF255" s="13" t="n"/>
      <c r="AG255" s="14" t="n"/>
      <c r="AH255" s="12" t="n"/>
      <c r="AI255" s="13" t="n"/>
      <c r="AJ255" s="14" t="n"/>
      <c r="AK255" s="12" t="n"/>
      <c r="AL255" s="13" t="n"/>
      <c r="AM255" s="14" t="n"/>
      <c r="AN255" s="12" t="n"/>
      <c r="AO255" s="13" t="n"/>
      <c r="AP255" s="14" t="n"/>
      <c r="AQ255" s="12" t="n"/>
      <c r="AR255" s="13" t="n"/>
      <c r="AS255" s="14" t="n"/>
      <c r="AT255" s="12" t="n"/>
      <c r="AU255" s="13" t="n"/>
      <c r="AV255" s="14" t="n"/>
      <c r="AW255" s="12" t="n"/>
      <c r="AX255" s="13" t="n"/>
      <c r="AY255" s="14" t="n"/>
      <c r="AZ255" s="12" t="n"/>
      <c r="BA255" s="13" t="n"/>
      <c r="BB255" s="14" t="n"/>
      <c r="BC255" s="11">
        <f>IF(O255="","",IF(J255="GST 10%",ROUND(O255*set_GSTRate,2),0))</f>
        <v/>
      </c>
      <c r="BD255" s="11">
        <f>IF(O255="","",O255+BC255)</f>
        <v/>
      </c>
      <c r="BE255" s="15">
        <f>IF(O255="","",COUNTA(S255,V255,Y255,AB255,AE255,AH255,AK255,AN255,AQ255,AT255,AW255,AZ255))</f>
        <v/>
      </c>
      <c r="BF255" s="16">
        <f>IF(COUNT(T255,W255,Z255,AC255,AF255,AI255,AL255,AO255,AR255,AU255,AX255,BA255)=0,"",MAX(T255,W255,Z255,AC255,AF255,AI255,AL255,AO255,AR255,AU255,AX255,BA255))</f>
        <v/>
      </c>
      <c r="BG255" s="10">
        <f>MID(IF(S255="","",", "&amp;S255)&amp;IF(V255="","",", "&amp;V255)&amp;IF(Y255="","",", "&amp;Y255)&amp;IF(AB255="","",", "&amp;AB255)&amp;IF(AE255="","",", "&amp;AE255)&amp;IF(AH255="","",", "&amp;AH255)&amp;IF(AK255="","",", "&amp;AK255)&amp;IF(AN255="","",", "&amp;AN255)&amp;IF(AQ255="","",", "&amp;AQ255)&amp;IF(AT255="","",", "&amp;AT255)&amp;IF(AW255="","",", "&amp;AW255)&amp;IF(AZ255="","",", "&amp;AZ255),3,500)</f>
        <v/>
      </c>
      <c r="BH255" s="12" t="n"/>
      <c r="BI255" s="15">
        <f>IFERROR(MATCH($A255,IF($B255="Onsite",tbl_Onsite[Row ID],IF($B255="Production",tbl_Production[Row ID],tbl_Consulting[Row ID])),0),"")</f>
        <v/>
      </c>
    </row>
    <row r="256">
      <c r="A256" s="10" t="inlineStr">
        <is>
          <t>ONS-0250</t>
        </is>
      </c>
      <c r="B256" s="10" t="inlineStr">
        <is>
          <t>Onsite</t>
        </is>
      </c>
      <c r="C256" s="10">
        <f>IF($BI256="","",IF($B256="Onsite",INDEX(tbl_Onsite[Job Number],$BI256),IF($B256="Production",INDEX(tbl_Production[Job Number],$BI256),INDEX(tbl_Consulting[Job Number],$BI256)))&amp;"")</f>
        <v/>
      </c>
      <c r="D256" s="10">
        <f>IF($BI256="","",IF($B256="Onsite",INDEX(tbl_Onsite[Client],$BI256),IF($B256="Production",INDEX(tbl_Production[Client],$BI256),INDEX(tbl_Consulting[Client],$BI256)))&amp;"")</f>
        <v/>
      </c>
      <c r="E256" s="10">
        <f>IF($C256="","",IF(COUNTIF(lst_Jobs,$C256)&gt;0,"OK","CHECK"))</f>
        <v/>
      </c>
      <c r="F256" s="10">
        <f>IF($C256="","",IFERROR(INDEX(lst_JobName,MATCH($C256,lst_Jobs,0)),""))</f>
        <v/>
      </c>
      <c r="G256" s="10">
        <f>IF($BI256="","",IF($B256="Onsite",INDEX(tbl_Onsite[Job Description],$BI256),IF($B256="Production",INDEX(tbl_Production[Job Description],$BI256),INDEX(tbl_Consulting[Job Description],$BI256)))&amp;"")</f>
        <v/>
      </c>
      <c r="H256" s="10">
        <f>IF($BI256="","",IF($B256="Onsite",INDEX(tbl_Onsite[Cost Centre],$BI256),IF($B256="Production",INDEX(tbl_Production[Cost Centre],$BI256),INDEX(tbl_Consulting[Cost Centre],$BI256)))&amp;"")</f>
        <v/>
      </c>
      <c r="I256" s="10">
        <f>IF($BI256="","",IF($B256="Onsite",INDEX(tbl_Onsite[Invoice Type],$BI256),IF($B256="Production",INDEX(tbl_Production[Invoice Type],$BI256),INDEX(tbl_Consulting[Invoice Type],$BI256)))&amp;"")</f>
        <v/>
      </c>
      <c r="J256" s="10">
        <f>IF($BI256="","",IF($B256="Onsite",INDEX(tbl_Onsite[Tax Code],$BI256),IF($B256="Production",INDEX(tbl_Production[Tax Code],$BI256),INDEX(tbl_Consulting[Tax Code],$BI256)))&amp;"")</f>
        <v/>
      </c>
      <c r="K256" s="10">
        <f>IF(H256="","",IFERROR(INDEX(lst_CCtoGL,MATCH(H256,lst_CCforGL,0)),""))</f>
        <v/>
      </c>
      <c r="L256" s="10">
        <f>IF($BI256="","",IF($B256="Onsite",INDEX(tbl_Onsite[PO / Reference],$BI256),IF($B256="Production",INDEX(tbl_Production[Current RMS No],$BI256),INDEX(tbl_Consulting[Qwilr Quote],$BI256)))&amp;"")</f>
        <v/>
      </c>
      <c r="M256" s="10">
        <f>IF($BI256="","",IF($B256="Onsite",INDEX(tbl_Onsite[Notes],$BI256),IF($B256="Production",INDEX(tbl_Production[Notes],$BI256),INDEX(tbl_Consulting[Notes],$BI256)))&amp;"")</f>
        <v/>
      </c>
      <c r="N256" s="11">
        <f>IF($BI256="","",IF(IF($B256="Onsite",INDEX(tbl_Onsite[Expected Revenue Ex GST],$BI256),IF($B256="Production",INDEX(tbl_Production[Expected Revenue Ex GST],$BI256),INDEX(tbl_Consulting[Expected Revenue Ex GST],$BI256)))="","",IF($B256="Onsite",INDEX(tbl_Onsite[Expected Revenue Ex GST],$BI256),IF($B256="Production",INDEX(tbl_Production[Expected Revenue Ex GST],$BI256),INDEX(tbl_Consulting[Expected Revenue Ex GST],$BI256)))))</f>
        <v/>
      </c>
      <c r="O256" s="11">
        <f>IF(AND($C256="",NOT(COUNTA($S256:$BB256)&gt;0)),"",SUM(U256,X256,AA256,AD256,AG256,AJ256,AM256,AP256,AS256,AV256,AY256,BB256))</f>
        <v/>
      </c>
      <c r="P256" s="11">
        <f>IF(O256="","",N(N256)-O256)</f>
        <v/>
      </c>
      <c r="Q256" s="10">
        <f>IF(O256="","",IF($C256="","Invoice on empty job row",IF(N256="",IF(ROUND(O256,2)=0,"No dept value","Invoiced - no dept value"),IF(ROUND(O256,2)=0,"Not invoiced - to invoice",IF(ROUND(P256,2)=0,"Agrees",IF(P256&gt;0,"Dept higher - to invoice","Xero higher - check dept"))))))</f>
        <v/>
      </c>
      <c r="R256" s="10">
        <f>IF(AND($C256="",NOT(COUNTA($S256:$BB256)&gt;0),$BI256&lt;&gt;""),"",MID(IF($BI256="","; Row ID not found on the department sheet - a row was deleted","")&amp;IF(AND($C256="",COUNTA($S256:$BB256)&gt;0),"; Invoice entered but the department row has no job number","")&amp;IF(E256="CHECK","; Job number not in the Xero job list","")&amp;IF(AND($C256&lt;&gt;"",COUNTIF($C$7:$C$1506,$C256)&gt;1),"; Job number on more than one row","")&amp;IF(AND($C256&lt;&gt;"",H256=""),"; Dept has not set a cost centre","")&amp;IF(AND($C256&lt;&gt;"",J256=""),"; Dept has not set a tax code","")&amp;IF(AND($C256&lt;&gt;"",N256=""),"; Dept has not entered an expected value","")&amp;IF((IF(OR(COUNTA(S256:U256)=0,AND(COUNTA(S256:U256)=3,ISNUMBER(U256))),0,1)+IF(OR(COUNTA(V256:X256)=0,AND(COUNTA(V256:X256)=3,ISNUMBER(X256))),0,1)+IF(OR(COUNTA(Y256:AA256)=0,AND(COUNTA(Y256:AA256)=3,ISNUMBER(AA256))),0,1)+IF(OR(COUNTA(AB256:AD256)=0,AND(COUNTA(AB256:AD256)=3,ISNUMBER(AD256))),0,1)+IF(OR(COUNTA(AE256:AG256)=0,AND(COUNTA(AE256:AG256)=3,ISNUMBER(AG256))),0,1)+IF(OR(COUNTA(AH256:AJ256)=0,AND(COUNTA(AH256:AJ256)=3,ISNUMBER(AJ256))),0,1)+IF(OR(COUNTA(AK256:AM256)=0,AND(COUNTA(AK256:AM256)=3,ISNUMBER(AM256))),0,1)+IF(OR(COUNTA(AN256:AP256)=0,AND(COUNTA(AN256:AP256)=3,ISNUMBER(AP256))),0,1)+IF(OR(COUNTA(AQ256:AS256)=0,AND(COUNTA(AQ256:AS256)=3,ISNUMBER(AS256))),0,1)+IF(OR(COUNTA(AT256:AV256)=0,AND(COUNTA(AT256:AV256)=3,ISNUMBER(AV256))),0,1)+IF(OR(COUNTA(AW256:AY256)=0,AND(COUNTA(AW256:AY256)=3,ISNUMBER(AY256))),0,1)+IF(OR(COUNTA(AZ256:BB256)=0,AND(COUNTA(AZ256:BB256)=3,ISNUMBER(BB256))),0,1))&gt;0,"; An invoice is incomplete (needs No, Date and a number in Ex GST)","")&amp;IF((IF(T256="",0,IFERROR(--(EOMONTH(T256,0)&lt;&gt;S$5),1))+IF(W256="",0,IFERROR(--(EOMONTH(W256,0)&lt;&gt;V$5),1))+IF(Z256="",0,IFERROR(--(EOMONTH(Z256,0)&lt;&gt;Y$5),1))+IF(AC256="",0,IFERROR(--(EOMONTH(AC256,0)&lt;&gt;AB$5),1))+IF(AF256="",0,IFERROR(--(EOMONTH(AF256,0)&lt;&gt;AE$5),1))+IF(AI256="",0,IFERROR(--(EOMONTH(AI256,0)&lt;&gt;AH$5),1))+IF(AL256="",0,IFERROR(--(EOMONTH(AL256,0)&lt;&gt;AK$5),1))+IF(AO256="",0,IFERROR(--(EOMONTH(AO256,0)&lt;&gt;AN$5),1))+IF(AR256="",0,IFERROR(--(EOMONTH(AR256,0)&lt;&gt;AQ$5),1))+IF(AU256="",0,IFERROR(--(EOMONTH(AU256,0)&lt;&gt;AT$5),1))+IF(AX256="",0,IFERROR(--(EOMONTH(AX256,0)&lt;&gt;AW$5),1))+IF(BA256="",0,IFERROR(--(EOMONTH(BA256,0)&lt;&gt;AZ$5),1)))&gt;0,"; An invoice date is not in the month it is typed under",""),3,500))</f>
        <v/>
      </c>
      <c r="S256" s="12" t="n"/>
      <c r="T256" s="13" t="n"/>
      <c r="U256" s="14" t="n"/>
      <c r="V256" s="12" t="n"/>
      <c r="W256" s="13" t="n"/>
      <c r="X256" s="14" t="n"/>
      <c r="Y256" s="12" t="n"/>
      <c r="Z256" s="13" t="n"/>
      <c r="AA256" s="14" t="n"/>
      <c r="AB256" s="12" t="n"/>
      <c r="AC256" s="13" t="n"/>
      <c r="AD256" s="14" t="n"/>
      <c r="AE256" s="12" t="n"/>
      <c r="AF256" s="13" t="n"/>
      <c r="AG256" s="14" t="n"/>
      <c r="AH256" s="12" t="n"/>
      <c r="AI256" s="13" t="n"/>
      <c r="AJ256" s="14" t="n"/>
      <c r="AK256" s="12" t="n"/>
      <c r="AL256" s="13" t="n"/>
      <c r="AM256" s="14" t="n"/>
      <c r="AN256" s="12" t="n"/>
      <c r="AO256" s="13" t="n"/>
      <c r="AP256" s="14" t="n"/>
      <c r="AQ256" s="12" t="n"/>
      <c r="AR256" s="13" t="n"/>
      <c r="AS256" s="14" t="n"/>
      <c r="AT256" s="12" t="n"/>
      <c r="AU256" s="13" t="n"/>
      <c r="AV256" s="14" t="n"/>
      <c r="AW256" s="12" t="n"/>
      <c r="AX256" s="13" t="n"/>
      <c r="AY256" s="14" t="n"/>
      <c r="AZ256" s="12" t="n"/>
      <c r="BA256" s="13" t="n"/>
      <c r="BB256" s="14" t="n"/>
      <c r="BC256" s="11">
        <f>IF(O256="","",IF(J256="GST 10%",ROUND(O256*set_GSTRate,2),0))</f>
        <v/>
      </c>
      <c r="BD256" s="11">
        <f>IF(O256="","",O256+BC256)</f>
        <v/>
      </c>
      <c r="BE256" s="15">
        <f>IF(O256="","",COUNTA(S256,V256,Y256,AB256,AE256,AH256,AK256,AN256,AQ256,AT256,AW256,AZ256))</f>
        <v/>
      </c>
      <c r="BF256" s="16">
        <f>IF(COUNT(T256,W256,Z256,AC256,AF256,AI256,AL256,AO256,AR256,AU256,AX256,BA256)=0,"",MAX(T256,W256,Z256,AC256,AF256,AI256,AL256,AO256,AR256,AU256,AX256,BA256))</f>
        <v/>
      </c>
      <c r="BG256" s="10">
        <f>MID(IF(S256="","",", "&amp;S256)&amp;IF(V256="","",", "&amp;V256)&amp;IF(Y256="","",", "&amp;Y256)&amp;IF(AB256="","",", "&amp;AB256)&amp;IF(AE256="","",", "&amp;AE256)&amp;IF(AH256="","",", "&amp;AH256)&amp;IF(AK256="","",", "&amp;AK256)&amp;IF(AN256="","",", "&amp;AN256)&amp;IF(AQ256="","",", "&amp;AQ256)&amp;IF(AT256="","",", "&amp;AT256)&amp;IF(AW256="","",", "&amp;AW256)&amp;IF(AZ256="","",", "&amp;AZ256),3,500)</f>
        <v/>
      </c>
      <c r="BH256" s="12" t="n"/>
      <c r="BI256" s="15">
        <f>IFERROR(MATCH($A256,IF($B256="Onsite",tbl_Onsite[Row ID],IF($B256="Production",tbl_Production[Row ID],tbl_Consulting[Row ID])),0),"")</f>
        <v/>
      </c>
    </row>
    <row r="257">
      <c r="A257" s="10" t="inlineStr">
        <is>
          <t>ONS-0251</t>
        </is>
      </c>
      <c r="B257" s="10" t="inlineStr">
        <is>
          <t>Onsite</t>
        </is>
      </c>
      <c r="C257" s="10">
        <f>IF($BI257="","",IF($B257="Onsite",INDEX(tbl_Onsite[Job Number],$BI257),IF($B257="Production",INDEX(tbl_Production[Job Number],$BI257),INDEX(tbl_Consulting[Job Number],$BI257)))&amp;"")</f>
        <v/>
      </c>
      <c r="D257" s="10">
        <f>IF($BI257="","",IF($B257="Onsite",INDEX(tbl_Onsite[Client],$BI257),IF($B257="Production",INDEX(tbl_Production[Client],$BI257),INDEX(tbl_Consulting[Client],$BI257)))&amp;"")</f>
        <v/>
      </c>
      <c r="E257" s="10">
        <f>IF($C257="","",IF(COUNTIF(lst_Jobs,$C257)&gt;0,"OK","CHECK"))</f>
        <v/>
      </c>
      <c r="F257" s="10">
        <f>IF($C257="","",IFERROR(INDEX(lst_JobName,MATCH($C257,lst_Jobs,0)),""))</f>
        <v/>
      </c>
      <c r="G257" s="10">
        <f>IF($BI257="","",IF($B257="Onsite",INDEX(tbl_Onsite[Job Description],$BI257),IF($B257="Production",INDEX(tbl_Production[Job Description],$BI257),INDEX(tbl_Consulting[Job Description],$BI257)))&amp;"")</f>
        <v/>
      </c>
      <c r="H257" s="10">
        <f>IF($BI257="","",IF($B257="Onsite",INDEX(tbl_Onsite[Cost Centre],$BI257),IF($B257="Production",INDEX(tbl_Production[Cost Centre],$BI257),INDEX(tbl_Consulting[Cost Centre],$BI257)))&amp;"")</f>
        <v/>
      </c>
      <c r="I257" s="10">
        <f>IF($BI257="","",IF($B257="Onsite",INDEX(tbl_Onsite[Invoice Type],$BI257),IF($B257="Production",INDEX(tbl_Production[Invoice Type],$BI257),INDEX(tbl_Consulting[Invoice Type],$BI257)))&amp;"")</f>
        <v/>
      </c>
      <c r="J257" s="10">
        <f>IF($BI257="","",IF($B257="Onsite",INDEX(tbl_Onsite[Tax Code],$BI257),IF($B257="Production",INDEX(tbl_Production[Tax Code],$BI257),INDEX(tbl_Consulting[Tax Code],$BI257)))&amp;"")</f>
        <v/>
      </c>
      <c r="K257" s="10">
        <f>IF(H257="","",IFERROR(INDEX(lst_CCtoGL,MATCH(H257,lst_CCforGL,0)),""))</f>
        <v/>
      </c>
      <c r="L257" s="10">
        <f>IF($BI257="","",IF($B257="Onsite",INDEX(tbl_Onsite[PO / Reference],$BI257),IF($B257="Production",INDEX(tbl_Production[Current RMS No],$BI257),INDEX(tbl_Consulting[Qwilr Quote],$BI257)))&amp;"")</f>
        <v/>
      </c>
      <c r="M257" s="10">
        <f>IF($BI257="","",IF($B257="Onsite",INDEX(tbl_Onsite[Notes],$BI257),IF($B257="Production",INDEX(tbl_Production[Notes],$BI257),INDEX(tbl_Consulting[Notes],$BI257)))&amp;"")</f>
        <v/>
      </c>
      <c r="N257" s="11">
        <f>IF($BI257="","",IF(IF($B257="Onsite",INDEX(tbl_Onsite[Expected Revenue Ex GST],$BI257),IF($B257="Production",INDEX(tbl_Production[Expected Revenue Ex GST],$BI257),INDEX(tbl_Consulting[Expected Revenue Ex GST],$BI257)))="","",IF($B257="Onsite",INDEX(tbl_Onsite[Expected Revenue Ex GST],$BI257),IF($B257="Production",INDEX(tbl_Production[Expected Revenue Ex GST],$BI257),INDEX(tbl_Consulting[Expected Revenue Ex GST],$BI257)))))</f>
        <v/>
      </c>
      <c r="O257" s="11">
        <f>IF(AND($C257="",NOT(COUNTA($S257:$BB257)&gt;0)),"",SUM(U257,X257,AA257,AD257,AG257,AJ257,AM257,AP257,AS257,AV257,AY257,BB257))</f>
        <v/>
      </c>
      <c r="P257" s="11">
        <f>IF(O257="","",N(N257)-O257)</f>
        <v/>
      </c>
      <c r="Q257" s="10">
        <f>IF(O257="","",IF($C257="","Invoice on empty job row",IF(N257="",IF(ROUND(O257,2)=0,"No dept value","Invoiced - no dept value"),IF(ROUND(O257,2)=0,"Not invoiced - to invoice",IF(ROUND(P257,2)=0,"Agrees",IF(P257&gt;0,"Dept higher - to invoice","Xero higher - check dept"))))))</f>
        <v/>
      </c>
      <c r="R257" s="10">
        <f>IF(AND($C257="",NOT(COUNTA($S257:$BB257)&gt;0),$BI257&lt;&gt;""),"",MID(IF($BI257="","; Row ID not found on the department sheet - a row was deleted","")&amp;IF(AND($C257="",COUNTA($S257:$BB257)&gt;0),"; Invoice entered but the department row has no job number","")&amp;IF(E257="CHECK","; Job number not in the Xero job list","")&amp;IF(AND($C257&lt;&gt;"",COUNTIF($C$7:$C$1506,$C257)&gt;1),"; Job number on more than one row","")&amp;IF(AND($C257&lt;&gt;"",H257=""),"; Dept has not set a cost centre","")&amp;IF(AND($C257&lt;&gt;"",J257=""),"; Dept has not set a tax code","")&amp;IF(AND($C257&lt;&gt;"",N257=""),"; Dept has not entered an expected value","")&amp;IF((IF(OR(COUNTA(S257:U257)=0,AND(COUNTA(S257:U257)=3,ISNUMBER(U257))),0,1)+IF(OR(COUNTA(V257:X257)=0,AND(COUNTA(V257:X257)=3,ISNUMBER(X257))),0,1)+IF(OR(COUNTA(Y257:AA257)=0,AND(COUNTA(Y257:AA257)=3,ISNUMBER(AA257))),0,1)+IF(OR(COUNTA(AB257:AD257)=0,AND(COUNTA(AB257:AD257)=3,ISNUMBER(AD257))),0,1)+IF(OR(COUNTA(AE257:AG257)=0,AND(COUNTA(AE257:AG257)=3,ISNUMBER(AG257))),0,1)+IF(OR(COUNTA(AH257:AJ257)=0,AND(COUNTA(AH257:AJ257)=3,ISNUMBER(AJ257))),0,1)+IF(OR(COUNTA(AK257:AM257)=0,AND(COUNTA(AK257:AM257)=3,ISNUMBER(AM257))),0,1)+IF(OR(COUNTA(AN257:AP257)=0,AND(COUNTA(AN257:AP257)=3,ISNUMBER(AP257))),0,1)+IF(OR(COUNTA(AQ257:AS257)=0,AND(COUNTA(AQ257:AS257)=3,ISNUMBER(AS257))),0,1)+IF(OR(COUNTA(AT257:AV257)=0,AND(COUNTA(AT257:AV257)=3,ISNUMBER(AV257))),0,1)+IF(OR(COUNTA(AW257:AY257)=0,AND(COUNTA(AW257:AY257)=3,ISNUMBER(AY257))),0,1)+IF(OR(COUNTA(AZ257:BB257)=0,AND(COUNTA(AZ257:BB257)=3,ISNUMBER(BB257))),0,1))&gt;0,"; An invoice is incomplete (needs No, Date and a number in Ex GST)","")&amp;IF((IF(T257="",0,IFERROR(--(EOMONTH(T257,0)&lt;&gt;S$5),1))+IF(W257="",0,IFERROR(--(EOMONTH(W257,0)&lt;&gt;V$5),1))+IF(Z257="",0,IFERROR(--(EOMONTH(Z257,0)&lt;&gt;Y$5),1))+IF(AC257="",0,IFERROR(--(EOMONTH(AC257,0)&lt;&gt;AB$5),1))+IF(AF257="",0,IFERROR(--(EOMONTH(AF257,0)&lt;&gt;AE$5),1))+IF(AI257="",0,IFERROR(--(EOMONTH(AI257,0)&lt;&gt;AH$5),1))+IF(AL257="",0,IFERROR(--(EOMONTH(AL257,0)&lt;&gt;AK$5),1))+IF(AO257="",0,IFERROR(--(EOMONTH(AO257,0)&lt;&gt;AN$5),1))+IF(AR257="",0,IFERROR(--(EOMONTH(AR257,0)&lt;&gt;AQ$5),1))+IF(AU257="",0,IFERROR(--(EOMONTH(AU257,0)&lt;&gt;AT$5),1))+IF(AX257="",0,IFERROR(--(EOMONTH(AX257,0)&lt;&gt;AW$5),1))+IF(BA257="",0,IFERROR(--(EOMONTH(BA257,0)&lt;&gt;AZ$5),1)))&gt;0,"; An invoice date is not in the month it is typed under",""),3,500))</f>
        <v/>
      </c>
      <c r="S257" s="12" t="n"/>
      <c r="T257" s="13" t="n"/>
      <c r="U257" s="14" t="n"/>
      <c r="V257" s="12" t="n"/>
      <c r="W257" s="13" t="n"/>
      <c r="X257" s="14" t="n"/>
      <c r="Y257" s="12" t="n"/>
      <c r="Z257" s="13" t="n"/>
      <c r="AA257" s="14" t="n"/>
      <c r="AB257" s="12" t="n"/>
      <c r="AC257" s="13" t="n"/>
      <c r="AD257" s="14" t="n"/>
      <c r="AE257" s="12" t="n"/>
      <c r="AF257" s="13" t="n"/>
      <c r="AG257" s="14" t="n"/>
      <c r="AH257" s="12" t="n"/>
      <c r="AI257" s="13" t="n"/>
      <c r="AJ257" s="14" t="n"/>
      <c r="AK257" s="12" t="n"/>
      <c r="AL257" s="13" t="n"/>
      <c r="AM257" s="14" t="n"/>
      <c r="AN257" s="12" t="n"/>
      <c r="AO257" s="13" t="n"/>
      <c r="AP257" s="14" t="n"/>
      <c r="AQ257" s="12" t="n"/>
      <c r="AR257" s="13" t="n"/>
      <c r="AS257" s="14" t="n"/>
      <c r="AT257" s="12" t="n"/>
      <c r="AU257" s="13" t="n"/>
      <c r="AV257" s="14" t="n"/>
      <c r="AW257" s="12" t="n"/>
      <c r="AX257" s="13" t="n"/>
      <c r="AY257" s="14" t="n"/>
      <c r="AZ257" s="12" t="n"/>
      <c r="BA257" s="13" t="n"/>
      <c r="BB257" s="14" t="n"/>
      <c r="BC257" s="11">
        <f>IF(O257="","",IF(J257="GST 10%",ROUND(O257*set_GSTRate,2),0))</f>
        <v/>
      </c>
      <c r="BD257" s="11">
        <f>IF(O257="","",O257+BC257)</f>
        <v/>
      </c>
      <c r="BE257" s="15">
        <f>IF(O257="","",COUNTA(S257,V257,Y257,AB257,AE257,AH257,AK257,AN257,AQ257,AT257,AW257,AZ257))</f>
        <v/>
      </c>
      <c r="BF257" s="16">
        <f>IF(COUNT(T257,W257,Z257,AC257,AF257,AI257,AL257,AO257,AR257,AU257,AX257,BA257)=0,"",MAX(T257,W257,Z257,AC257,AF257,AI257,AL257,AO257,AR257,AU257,AX257,BA257))</f>
        <v/>
      </c>
      <c r="BG257" s="10">
        <f>MID(IF(S257="","",", "&amp;S257)&amp;IF(V257="","",", "&amp;V257)&amp;IF(Y257="","",", "&amp;Y257)&amp;IF(AB257="","",", "&amp;AB257)&amp;IF(AE257="","",", "&amp;AE257)&amp;IF(AH257="","",", "&amp;AH257)&amp;IF(AK257="","",", "&amp;AK257)&amp;IF(AN257="","",", "&amp;AN257)&amp;IF(AQ257="","",", "&amp;AQ257)&amp;IF(AT257="","",", "&amp;AT257)&amp;IF(AW257="","",", "&amp;AW257)&amp;IF(AZ257="","",", "&amp;AZ257),3,500)</f>
        <v/>
      </c>
      <c r="BH257" s="12" t="n"/>
      <c r="BI257" s="15">
        <f>IFERROR(MATCH($A257,IF($B257="Onsite",tbl_Onsite[Row ID],IF($B257="Production",tbl_Production[Row ID],tbl_Consulting[Row ID])),0),"")</f>
        <v/>
      </c>
    </row>
    <row r="258">
      <c r="A258" s="10" t="inlineStr">
        <is>
          <t>ONS-0252</t>
        </is>
      </c>
      <c r="B258" s="10" t="inlineStr">
        <is>
          <t>Onsite</t>
        </is>
      </c>
      <c r="C258" s="10">
        <f>IF($BI258="","",IF($B258="Onsite",INDEX(tbl_Onsite[Job Number],$BI258),IF($B258="Production",INDEX(tbl_Production[Job Number],$BI258),INDEX(tbl_Consulting[Job Number],$BI258)))&amp;"")</f>
        <v/>
      </c>
      <c r="D258" s="10">
        <f>IF($BI258="","",IF($B258="Onsite",INDEX(tbl_Onsite[Client],$BI258),IF($B258="Production",INDEX(tbl_Production[Client],$BI258),INDEX(tbl_Consulting[Client],$BI258)))&amp;"")</f>
        <v/>
      </c>
      <c r="E258" s="10">
        <f>IF($C258="","",IF(COUNTIF(lst_Jobs,$C258)&gt;0,"OK","CHECK"))</f>
        <v/>
      </c>
      <c r="F258" s="10">
        <f>IF($C258="","",IFERROR(INDEX(lst_JobName,MATCH($C258,lst_Jobs,0)),""))</f>
        <v/>
      </c>
      <c r="G258" s="10">
        <f>IF($BI258="","",IF($B258="Onsite",INDEX(tbl_Onsite[Job Description],$BI258),IF($B258="Production",INDEX(tbl_Production[Job Description],$BI258),INDEX(tbl_Consulting[Job Description],$BI258)))&amp;"")</f>
        <v/>
      </c>
      <c r="H258" s="10">
        <f>IF($BI258="","",IF($B258="Onsite",INDEX(tbl_Onsite[Cost Centre],$BI258),IF($B258="Production",INDEX(tbl_Production[Cost Centre],$BI258),INDEX(tbl_Consulting[Cost Centre],$BI258)))&amp;"")</f>
        <v/>
      </c>
      <c r="I258" s="10">
        <f>IF($BI258="","",IF($B258="Onsite",INDEX(tbl_Onsite[Invoice Type],$BI258),IF($B258="Production",INDEX(tbl_Production[Invoice Type],$BI258),INDEX(tbl_Consulting[Invoice Type],$BI258)))&amp;"")</f>
        <v/>
      </c>
      <c r="J258" s="10">
        <f>IF($BI258="","",IF($B258="Onsite",INDEX(tbl_Onsite[Tax Code],$BI258),IF($B258="Production",INDEX(tbl_Production[Tax Code],$BI258),INDEX(tbl_Consulting[Tax Code],$BI258)))&amp;"")</f>
        <v/>
      </c>
      <c r="K258" s="10">
        <f>IF(H258="","",IFERROR(INDEX(lst_CCtoGL,MATCH(H258,lst_CCforGL,0)),""))</f>
        <v/>
      </c>
      <c r="L258" s="10">
        <f>IF($BI258="","",IF($B258="Onsite",INDEX(tbl_Onsite[PO / Reference],$BI258),IF($B258="Production",INDEX(tbl_Production[Current RMS No],$BI258),INDEX(tbl_Consulting[Qwilr Quote],$BI258)))&amp;"")</f>
        <v/>
      </c>
      <c r="M258" s="10">
        <f>IF($BI258="","",IF($B258="Onsite",INDEX(tbl_Onsite[Notes],$BI258),IF($B258="Production",INDEX(tbl_Production[Notes],$BI258),INDEX(tbl_Consulting[Notes],$BI258)))&amp;"")</f>
        <v/>
      </c>
      <c r="N258" s="11">
        <f>IF($BI258="","",IF(IF($B258="Onsite",INDEX(tbl_Onsite[Expected Revenue Ex GST],$BI258),IF($B258="Production",INDEX(tbl_Production[Expected Revenue Ex GST],$BI258),INDEX(tbl_Consulting[Expected Revenue Ex GST],$BI258)))="","",IF($B258="Onsite",INDEX(tbl_Onsite[Expected Revenue Ex GST],$BI258),IF($B258="Production",INDEX(tbl_Production[Expected Revenue Ex GST],$BI258),INDEX(tbl_Consulting[Expected Revenue Ex GST],$BI258)))))</f>
        <v/>
      </c>
      <c r="O258" s="11">
        <f>IF(AND($C258="",NOT(COUNTA($S258:$BB258)&gt;0)),"",SUM(U258,X258,AA258,AD258,AG258,AJ258,AM258,AP258,AS258,AV258,AY258,BB258))</f>
        <v/>
      </c>
      <c r="P258" s="11">
        <f>IF(O258="","",N(N258)-O258)</f>
        <v/>
      </c>
      <c r="Q258" s="10">
        <f>IF(O258="","",IF($C258="","Invoice on empty job row",IF(N258="",IF(ROUND(O258,2)=0,"No dept value","Invoiced - no dept value"),IF(ROUND(O258,2)=0,"Not invoiced - to invoice",IF(ROUND(P258,2)=0,"Agrees",IF(P258&gt;0,"Dept higher - to invoice","Xero higher - check dept"))))))</f>
        <v/>
      </c>
      <c r="R258" s="10">
        <f>IF(AND($C258="",NOT(COUNTA($S258:$BB258)&gt;0),$BI258&lt;&gt;""),"",MID(IF($BI258="","; Row ID not found on the department sheet - a row was deleted","")&amp;IF(AND($C258="",COUNTA($S258:$BB258)&gt;0),"; Invoice entered but the department row has no job number","")&amp;IF(E258="CHECK","; Job number not in the Xero job list","")&amp;IF(AND($C258&lt;&gt;"",COUNTIF($C$7:$C$1506,$C258)&gt;1),"; Job number on more than one row","")&amp;IF(AND($C258&lt;&gt;"",H258=""),"; Dept has not set a cost centre","")&amp;IF(AND($C258&lt;&gt;"",J258=""),"; Dept has not set a tax code","")&amp;IF(AND($C258&lt;&gt;"",N258=""),"; Dept has not entered an expected value","")&amp;IF((IF(OR(COUNTA(S258:U258)=0,AND(COUNTA(S258:U258)=3,ISNUMBER(U258))),0,1)+IF(OR(COUNTA(V258:X258)=0,AND(COUNTA(V258:X258)=3,ISNUMBER(X258))),0,1)+IF(OR(COUNTA(Y258:AA258)=0,AND(COUNTA(Y258:AA258)=3,ISNUMBER(AA258))),0,1)+IF(OR(COUNTA(AB258:AD258)=0,AND(COUNTA(AB258:AD258)=3,ISNUMBER(AD258))),0,1)+IF(OR(COUNTA(AE258:AG258)=0,AND(COUNTA(AE258:AG258)=3,ISNUMBER(AG258))),0,1)+IF(OR(COUNTA(AH258:AJ258)=0,AND(COUNTA(AH258:AJ258)=3,ISNUMBER(AJ258))),0,1)+IF(OR(COUNTA(AK258:AM258)=0,AND(COUNTA(AK258:AM258)=3,ISNUMBER(AM258))),0,1)+IF(OR(COUNTA(AN258:AP258)=0,AND(COUNTA(AN258:AP258)=3,ISNUMBER(AP258))),0,1)+IF(OR(COUNTA(AQ258:AS258)=0,AND(COUNTA(AQ258:AS258)=3,ISNUMBER(AS258))),0,1)+IF(OR(COUNTA(AT258:AV258)=0,AND(COUNTA(AT258:AV258)=3,ISNUMBER(AV258))),0,1)+IF(OR(COUNTA(AW258:AY258)=0,AND(COUNTA(AW258:AY258)=3,ISNUMBER(AY258))),0,1)+IF(OR(COUNTA(AZ258:BB258)=0,AND(COUNTA(AZ258:BB258)=3,ISNUMBER(BB258))),0,1))&gt;0,"; An invoice is incomplete (needs No, Date and a number in Ex GST)","")&amp;IF((IF(T258="",0,IFERROR(--(EOMONTH(T258,0)&lt;&gt;S$5),1))+IF(W258="",0,IFERROR(--(EOMONTH(W258,0)&lt;&gt;V$5),1))+IF(Z258="",0,IFERROR(--(EOMONTH(Z258,0)&lt;&gt;Y$5),1))+IF(AC258="",0,IFERROR(--(EOMONTH(AC258,0)&lt;&gt;AB$5),1))+IF(AF258="",0,IFERROR(--(EOMONTH(AF258,0)&lt;&gt;AE$5),1))+IF(AI258="",0,IFERROR(--(EOMONTH(AI258,0)&lt;&gt;AH$5),1))+IF(AL258="",0,IFERROR(--(EOMONTH(AL258,0)&lt;&gt;AK$5),1))+IF(AO258="",0,IFERROR(--(EOMONTH(AO258,0)&lt;&gt;AN$5),1))+IF(AR258="",0,IFERROR(--(EOMONTH(AR258,0)&lt;&gt;AQ$5),1))+IF(AU258="",0,IFERROR(--(EOMONTH(AU258,0)&lt;&gt;AT$5),1))+IF(AX258="",0,IFERROR(--(EOMONTH(AX258,0)&lt;&gt;AW$5),1))+IF(BA258="",0,IFERROR(--(EOMONTH(BA258,0)&lt;&gt;AZ$5),1)))&gt;0,"; An invoice date is not in the month it is typed under",""),3,500))</f>
        <v/>
      </c>
      <c r="S258" s="12" t="n"/>
      <c r="T258" s="13" t="n"/>
      <c r="U258" s="14" t="n"/>
      <c r="V258" s="12" t="n"/>
      <c r="W258" s="13" t="n"/>
      <c r="X258" s="14" t="n"/>
      <c r="Y258" s="12" t="n"/>
      <c r="Z258" s="13" t="n"/>
      <c r="AA258" s="14" t="n"/>
      <c r="AB258" s="12" t="n"/>
      <c r="AC258" s="13" t="n"/>
      <c r="AD258" s="14" t="n"/>
      <c r="AE258" s="12" t="n"/>
      <c r="AF258" s="13" t="n"/>
      <c r="AG258" s="14" t="n"/>
      <c r="AH258" s="12" t="n"/>
      <c r="AI258" s="13" t="n"/>
      <c r="AJ258" s="14" t="n"/>
      <c r="AK258" s="12" t="n"/>
      <c r="AL258" s="13" t="n"/>
      <c r="AM258" s="14" t="n"/>
      <c r="AN258" s="12" t="n"/>
      <c r="AO258" s="13" t="n"/>
      <c r="AP258" s="14" t="n"/>
      <c r="AQ258" s="12" t="n"/>
      <c r="AR258" s="13" t="n"/>
      <c r="AS258" s="14" t="n"/>
      <c r="AT258" s="12" t="n"/>
      <c r="AU258" s="13" t="n"/>
      <c r="AV258" s="14" t="n"/>
      <c r="AW258" s="12" t="n"/>
      <c r="AX258" s="13" t="n"/>
      <c r="AY258" s="14" t="n"/>
      <c r="AZ258" s="12" t="n"/>
      <c r="BA258" s="13" t="n"/>
      <c r="BB258" s="14" t="n"/>
      <c r="BC258" s="11">
        <f>IF(O258="","",IF(J258="GST 10%",ROUND(O258*set_GSTRate,2),0))</f>
        <v/>
      </c>
      <c r="BD258" s="11">
        <f>IF(O258="","",O258+BC258)</f>
        <v/>
      </c>
      <c r="BE258" s="15">
        <f>IF(O258="","",COUNTA(S258,V258,Y258,AB258,AE258,AH258,AK258,AN258,AQ258,AT258,AW258,AZ258))</f>
        <v/>
      </c>
      <c r="BF258" s="16">
        <f>IF(COUNT(T258,W258,Z258,AC258,AF258,AI258,AL258,AO258,AR258,AU258,AX258,BA258)=0,"",MAX(T258,W258,Z258,AC258,AF258,AI258,AL258,AO258,AR258,AU258,AX258,BA258))</f>
        <v/>
      </c>
      <c r="BG258" s="10">
        <f>MID(IF(S258="","",", "&amp;S258)&amp;IF(V258="","",", "&amp;V258)&amp;IF(Y258="","",", "&amp;Y258)&amp;IF(AB258="","",", "&amp;AB258)&amp;IF(AE258="","",", "&amp;AE258)&amp;IF(AH258="","",", "&amp;AH258)&amp;IF(AK258="","",", "&amp;AK258)&amp;IF(AN258="","",", "&amp;AN258)&amp;IF(AQ258="","",", "&amp;AQ258)&amp;IF(AT258="","",", "&amp;AT258)&amp;IF(AW258="","",", "&amp;AW258)&amp;IF(AZ258="","",", "&amp;AZ258),3,500)</f>
        <v/>
      </c>
      <c r="BH258" s="12" t="n"/>
      <c r="BI258" s="15">
        <f>IFERROR(MATCH($A258,IF($B258="Onsite",tbl_Onsite[Row ID],IF($B258="Production",tbl_Production[Row ID],tbl_Consulting[Row ID])),0),"")</f>
        <v/>
      </c>
    </row>
    <row r="259">
      <c r="A259" s="10" t="inlineStr">
        <is>
          <t>ONS-0253</t>
        </is>
      </c>
      <c r="B259" s="10" t="inlineStr">
        <is>
          <t>Onsite</t>
        </is>
      </c>
      <c r="C259" s="10">
        <f>IF($BI259="","",IF($B259="Onsite",INDEX(tbl_Onsite[Job Number],$BI259),IF($B259="Production",INDEX(tbl_Production[Job Number],$BI259),INDEX(tbl_Consulting[Job Number],$BI259)))&amp;"")</f>
        <v/>
      </c>
      <c r="D259" s="10">
        <f>IF($BI259="","",IF($B259="Onsite",INDEX(tbl_Onsite[Client],$BI259),IF($B259="Production",INDEX(tbl_Production[Client],$BI259),INDEX(tbl_Consulting[Client],$BI259)))&amp;"")</f>
        <v/>
      </c>
      <c r="E259" s="10">
        <f>IF($C259="","",IF(COUNTIF(lst_Jobs,$C259)&gt;0,"OK","CHECK"))</f>
        <v/>
      </c>
      <c r="F259" s="10">
        <f>IF($C259="","",IFERROR(INDEX(lst_JobName,MATCH($C259,lst_Jobs,0)),""))</f>
        <v/>
      </c>
      <c r="G259" s="10">
        <f>IF($BI259="","",IF($B259="Onsite",INDEX(tbl_Onsite[Job Description],$BI259),IF($B259="Production",INDEX(tbl_Production[Job Description],$BI259),INDEX(tbl_Consulting[Job Description],$BI259)))&amp;"")</f>
        <v/>
      </c>
      <c r="H259" s="10">
        <f>IF($BI259="","",IF($B259="Onsite",INDEX(tbl_Onsite[Cost Centre],$BI259),IF($B259="Production",INDEX(tbl_Production[Cost Centre],$BI259),INDEX(tbl_Consulting[Cost Centre],$BI259)))&amp;"")</f>
        <v/>
      </c>
      <c r="I259" s="10">
        <f>IF($BI259="","",IF($B259="Onsite",INDEX(tbl_Onsite[Invoice Type],$BI259),IF($B259="Production",INDEX(tbl_Production[Invoice Type],$BI259),INDEX(tbl_Consulting[Invoice Type],$BI259)))&amp;"")</f>
        <v/>
      </c>
      <c r="J259" s="10">
        <f>IF($BI259="","",IF($B259="Onsite",INDEX(tbl_Onsite[Tax Code],$BI259),IF($B259="Production",INDEX(tbl_Production[Tax Code],$BI259),INDEX(tbl_Consulting[Tax Code],$BI259)))&amp;"")</f>
        <v/>
      </c>
      <c r="K259" s="10">
        <f>IF(H259="","",IFERROR(INDEX(lst_CCtoGL,MATCH(H259,lst_CCforGL,0)),""))</f>
        <v/>
      </c>
      <c r="L259" s="10">
        <f>IF($BI259="","",IF($B259="Onsite",INDEX(tbl_Onsite[PO / Reference],$BI259),IF($B259="Production",INDEX(tbl_Production[Current RMS No],$BI259),INDEX(tbl_Consulting[Qwilr Quote],$BI259)))&amp;"")</f>
        <v/>
      </c>
      <c r="M259" s="10">
        <f>IF($BI259="","",IF($B259="Onsite",INDEX(tbl_Onsite[Notes],$BI259),IF($B259="Production",INDEX(tbl_Production[Notes],$BI259),INDEX(tbl_Consulting[Notes],$BI259)))&amp;"")</f>
        <v/>
      </c>
      <c r="N259" s="11">
        <f>IF($BI259="","",IF(IF($B259="Onsite",INDEX(tbl_Onsite[Expected Revenue Ex GST],$BI259),IF($B259="Production",INDEX(tbl_Production[Expected Revenue Ex GST],$BI259),INDEX(tbl_Consulting[Expected Revenue Ex GST],$BI259)))="","",IF($B259="Onsite",INDEX(tbl_Onsite[Expected Revenue Ex GST],$BI259),IF($B259="Production",INDEX(tbl_Production[Expected Revenue Ex GST],$BI259),INDEX(tbl_Consulting[Expected Revenue Ex GST],$BI259)))))</f>
        <v/>
      </c>
      <c r="O259" s="11">
        <f>IF(AND($C259="",NOT(COUNTA($S259:$BB259)&gt;0)),"",SUM(U259,X259,AA259,AD259,AG259,AJ259,AM259,AP259,AS259,AV259,AY259,BB259))</f>
        <v/>
      </c>
      <c r="P259" s="11">
        <f>IF(O259="","",N(N259)-O259)</f>
        <v/>
      </c>
      <c r="Q259" s="10">
        <f>IF(O259="","",IF($C259="","Invoice on empty job row",IF(N259="",IF(ROUND(O259,2)=0,"No dept value","Invoiced - no dept value"),IF(ROUND(O259,2)=0,"Not invoiced - to invoice",IF(ROUND(P259,2)=0,"Agrees",IF(P259&gt;0,"Dept higher - to invoice","Xero higher - check dept"))))))</f>
        <v/>
      </c>
      <c r="R259" s="10">
        <f>IF(AND($C259="",NOT(COUNTA($S259:$BB259)&gt;0),$BI259&lt;&gt;""),"",MID(IF($BI259="","; Row ID not found on the department sheet - a row was deleted","")&amp;IF(AND($C259="",COUNTA($S259:$BB259)&gt;0),"; Invoice entered but the department row has no job number","")&amp;IF(E259="CHECK","; Job number not in the Xero job list","")&amp;IF(AND($C259&lt;&gt;"",COUNTIF($C$7:$C$1506,$C259)&gt;1),"; Job number on more than one row","")&amp;IF(AND($C259&lt;&gt;"",H259=""),"; Dept has not set a cost centre","")&amp;IF(AND($C259&lt;&gt;"",J259=""),"; Dept has not set a tax code","")&amp;IF(AND($C259&lt;&gt;"",N259=""),"; Dept has not entered an expected value","")&amp;IF((IF(OR(COUNTA(S259:U259)=0,AND(COUNTA(S259:U259)=3,ISNUMBER(U259))),0,1)+IF(OR(COUNTA(V259:X259)=0,AND(COUNTA(V259:X259)=3,ISNUMBER(X259))),0,1)+IF(OR(COUNTA(Y259:AA259)=0,AND(COUNTA(Y259:AA259)=3,ISNUMBER(AA259))),0,1)+IF(OR(COUNTA(AB259:AD259)=0,AND(COUNTA(AB259:AD259)=3,ISNUMBER(AD259))),0,1)+IF(OR(COUNTA(AE259:AG259)=0,AND(COUNTA(AE259:AG259)=3,ISNUMBER(AG259))),0,1)+IF(OR(COUNTA(AH259:AJ259)=0,AND(COUNTA(AH259:AJ259)=3,ISNUMBER(AJ259))),0,1)+IF(OR(COUNTA(AK259:AM259)=0,AND(COUNTA(AK259:AM259)=3,ISNUMBER(AM259))),0,1)+IF(OR(COUNTA(AN259:AP259)=0,AND(COUNTA(AN259:AP259)=3,ISNUMBER(AP259))),0,1)+IF(OR(COUNTA(AQ259:AS259)=0,AND(COUNTA(AQ259:AS259)=3,ISNUMBER(AS259))),0,1)+IF(OR(COUNTA(AT259:AV259)=0,AND(COUNTA(AT259:AV259)=3,ISNUMBER(AV259))),0,1)+IF(OR(COUNTA(AW259:AY259)=0,AND(COUNTA(AW259:AY259)=3,ISNUMBER(AY259))),0,1)+IF(OR(COUNTA(AZ259:BB259)=0,AND(COUNTA(AZ259:BB259)=3,ISNUMBER(BB259))),0,1))&gt;0,"; An invoice is incomplete (needs No, Date and a number in Ex GST)","")&amp;IF((IF(T259="",0,IFERROR(--(EOMONTH(T259,0)&lt;&gt;S$5),1))+IF(W259="",0,IFERROR(--(EOMONTH(W259,0)&lt;&gt;V$5),1))+IF(Z259="",0,IFERROR(--(EOMONTH(Z259,0)&lt;&gt;Y$5),1))+IF(AC259="",0,IFERROR(--(EOMONTH(AC259,0)&lt;&gt;AB$5),1))+IF(AF259="",0,IFERROR(--(EOMONTH(AF259,0)&lt;&gt;AE$5),1))+IF(AI259="",0,IFERROR(--(EOMONTH(AI259,0)&lt;&gt;AH$5),1))+IF(AL259="",0,IFERROR(--(EOMONTH(AL259,0)&lt;&gt;AK$5),1))+IF(AO259="",0,IFERROR(--(EOMONTH(AO259,0)&lt;&gt;AN$5),1))+IF(AR259="",0,IFERROR(--(EOMONTH(AR259,0)&lt;&gt;AQ$5),1))+IF(AU259="",0,IFERROR(--(EOMONTH(AU259,0)&lt;&gt;AT$5),1))+IF(AX259="",0,IFERROR(--(EOMONTH(AX259,0)&lt;&gt;AW$5),1))+IF(BA259="",0,IFERROR(--(EOMONTH(BA259,0)&lt;&gt;AZ$5),1)))&gt;0,"; An invoice date is not in the month it is typed under",""),3,500))</f>
        <v/>
      </c>
      <c r="S259" s="12" t="n"/>
      <c r="T259" s="13" t="n"/>
      <c r="U259" s="14" t="n"/>
      <c r="V259" s="12" t="n"/>
      <c r="W259" s="13" t="n"/>
      <c r="X259" s="14" t="n"/>
      <c r="Y259" s="12" t="n"/>
      <c r="Z259" s="13" t="n"/>
      <c r="AA259" s="14" t="n"/>
      <c r="AB259" s="12" t="n"/>
      <c r="AC259" s="13" t="n"/>
      <c r="AD259" s="14" t="n"/>
      <c r="AE259" s="12" t="n"/>
      <c r="AF259" s="13" t="n"/>
      <c r="AG259" s="14" t="n"/>
      <c r="AH259" s="12" t="n"/>
      <c r="AI259" s="13" t="n"/>
      <c r="AJ259" s="14" t="n"/>
      <c r="AK259" s="12" t="n"/>
      <c r="AL259" s="13" t="n"/>
      <c r="AM259" s="14" t="n"/>
      <c r="AN259" s="12" t="n"/>
      <c r="AO259" s="13" t="n"/>
      <c r="AP259" s="14" t="n"/>
      <c r="AQ259" s="12" t="n"/>
      <c r="AR259" s="13" t="n"/>
      <c r="AS259" s="14" t="n"/>
      <c r="AT259" s="12" t="n"/>
      <c r="AU259" s="13" t="n"/>
      <c r="AV259" s="14" t="n"/>
      <c r="AW259" s="12" t="n"/>
      <c r="AX259" s="13" t="n"/>
      <c r="AY259" s="14" t="n"/>
      <c r="AZ259" s="12" t="n"/>
      <c r="BA259" s="13" t="n"/>
      <c r="BB259" s="14" t="n"/>
      <c r="BC259" s="11">
        <f>IF(O259="","",IF(J259="GST 10%",ROUND(O259*set_GSTRate,2),0))</f>
        <v/>
      </c>
      <c r="BD259" s="11">
        <f>IF(O259="","",O259+BC259)</f>
        <v/>
      </c>
      <c r="BE259" s="15">
        <f>IF(O259="","",COUNTA(S259,V259,Y259,AB259,AE259,AH259,AK259,AN259,AQ259,AT259,AW259,AZ259))</f>
        <v/>
      </c>
      <c r="BF259" s="16">
        <f>IF(COUNT(T259,W259,Z259,AC259,AF259,AI259,AL259,AO259,AR259,AU259,AX259,BA259)=0,"",MAX(T259,W259,Z259,AC259,AF259,AI259,AL259,AO259,AR259,AU259,AX259,BA259))</f>
        <v/>
      </c>
      <c r="BG259" s="10">
        <f>MID(IF(S259="","",", "&amp;S259)&amp;IF(V259="","",", "&amp;V259)&amp;IF(Y259="","",", "&amp;Y259)&amp;IF(AB259="","",", "&amp;AB259)&amp;IF(AE259="","",", "&amp;AE259)&amp;IF(AH259="","",", "&amp;AH259)&amp;IF(AK259="","",", "&amp;AK259)&amp;IF(AN259="","",", "&amp;AN259)&amp;IF(AQ259="","",", "&amp;AQ259)&amp;IF(AT259="","",", "&amp;AT259)&amp;IF(AW259="","",", "&amp;AW259)&amp;IF(AZ259="","",", "&amp;AZ259),3,500)</f>
        <v/>
      </c>
      <c r="BH259" s="12" t="n"/>
      <c r="BI259" s="15">
        <f>IFERROR(MATCH($A259,IF($B259="Onsite",tbl_Onsite[Row ID],IF($B259="Production",tbl_Production[Row ID],tbl_Consulting[Row ID])),0),"")</f>
        <v/>
      </c>
    </row>
    <row r="260">
      <c r="A260" s="10" t="inlineStr">
        <is>
          <t>ONS-0254</t>
        </is>
      </c>
      <c r="B260" s="10" t="inlineStr">
        <is>
          <t>Onsite</t>
        </is>
      </c>
      <c r="C260" s="10">
        <f>IF($BI260="","",IF($B260="Onsite",INDEX(tbl_Onsite[Job Number],$BI260),IF($B260="Production",INDEX(tbl_Production[Job Number],$BI260),INDEX(tbl_Consulting[Job Number],$BI260)))&amp;"")</f>
        <v/>
      </c>
      <c r="D260" s="10">
        <f>IF($BI260="","",IF($B260="Onsite",INDEX(tbl_Onsite[Client],$BI260),IF($B260="Production",INDEX(tbl_Production[Client],$BI260),INDEX(tbl_Consulting[Client],$BI260)))&amp;"")</f>
        <v/>
      </c>
      <c r="E260" s="10">
        <f>IF($C260="","",IF(COUNTIF(lst_Jobs,$C260)&gt;0,"OK","CHECK"))</f>
        <v/>
      </c>
      <c r="F260" s="10">
        <f>IF($C260="","",IFERROR(INDEX(lst_JobName,MATCH($C260,lst_Jobs,0)),""))</f>
        <v/>
      </c>
      <c r="G260" s="10">
        <f>IF($BI260="","",IF($B260="Onsite",INDEX(tbl_Onsite[Job Description],$BI260),IF($B260="Production",INDEX(tbl_Production[Job Description],$BI260),INDEX(tbl_Consulting[Job Description],$BI260)))&amp;"")</f>
        <v/>
      </c>
      <c r="H260" s="10">
        <f>IF($BI260="","",IF($B260="Onsite",INDEX(tbl_Onsite[Cost Centre],$BI260),IF($B260="Production",INDEX(tbl_Production[Cost Centre],$BI260),INDEX(tbl_Consulting[Cost Centre],$BI260)))&amp;"")</f>
        <v/>
      </c>
      <c r="I260" s="10">
        <f>IF($BI260="","",IF($B260="Onsite",INDEX(tbl_Onsite[Invoice Type],$BI260),IF($B260="Production",INDEX(tbl_Production[Invoice Type],$BI260),INDEX(tbl_Consulting[Invoice Type],$BI260)))&amp;"")</f>
        <v/>
      </c>
      <c r="J260" s="10">
        <f>IF($BI260="","",IF($B260="Onsite",INDEX(tbl_Onsite[Tax Code],$BI260),IF($B260="Production",INDEX(tbl_Production[Tax Code],$BI260),INDEX(tbl_Consulting[Tax Code],$BI260)))&amp;"")</f>
        <v/>
      </c>
      <c r="K260" s="10">
        <f>IF(H260="","",IFERROR(INDEX(lst_CCtoGL,MATCH(H260,lst_CCforGL,0)),""))</f>
        <v/>
      </c>
      <c r="L260" s="10">
        <f>IF($BI260="","",IF($B260="Onsite",INDEX(tbl_Onsite[PO / Reference],$BI260),IF($B260="Production",INDEX(tbl_Production[Current RMS No],$BI260),INDEX(tbl_Consulting[Qwilr Quote],$BI260)))&amp;"")</f>
        <v/>
      </c>
      <c r="M260" s="10">
        <f>IF($BI260="","",IF($B260="Onsite",INDEX(tbl_Onsite[Notes],$BI260),IF($B260="Production",INDEX(tbl_Production[Notes],$BI260),INDEX(tbl_Consulting[Notes],$BI260)))&amp;"")</f>
        <v/>
      </c>
      <c r="N260" s="11">
        <f>IF($BI260="","",IF(IF($B260="Onsite",INDEX(tbl_Onsite[Expected Revenue Ex GST],$BI260),IF($B260="Production",INDEX(tbl_Production[Expected Revenue Ex GST],$BI260),INDEX(tbl_Consulting[Expected Revenue Ex GST],$BI260)))="","",IF($B260="Onsite",INDEX(tbl_Onsite[Expected Revenue Ex GST],$BI260),IF($B260="Production",INDEX(tbl_Production[Expected Revenue Ex GST],$BI260),INDEX(tbl_Consulting[Expected Revenue Ex GST],$BI260)))))</f>
        <v/>
      </c>
      <c r="O260" s="11">
        <f>IF(AND($C260="",NOT(COUNTA($S260:$BB260)&gt;0)),"",SUM(U260,X260,AA260,AD260,AG260,AJ260,AM260,AP260,AS260,AV260,AY260,BB260))</f>
        <v/>
      </c>
      <c r="P260" s="11">
        <f>IF(O260="","",N(N260)-O260)</f>
        <v/>
      </c>
      <c r="Q260" s="10">
        <f>IF(O260="","",IF($C260="","Invoice on empty job row",IF(N260="",IF(ROUND(O260,2)=0,"No dept value","Invoiced - no dept value"),IF(ROUND(O260,2)=0,"Not invoiced - to invoice",IF(ROUND(P260,2)=0,"Agrees",IF(P260&gt;0,"Dept higher - to invoice","Xero higher - check dept"))))))</f>
        <v/>
      </c>
      <c r="R260" s="10">
        <f>IF(AND($C260="",NOT(COUNTA($S260:$BB260)&gt;0),$BI260&lt;&gt;""),"",MID(IF($BI260="","; Row ID not found on the department sheet - a row was deleted","")&amp;IF(AND($C260="",COUNTA($S260:$BB260)&gt;0),"; Invoice entered but the department row has no job number","")&amp;IF(E260="CHECK","; Job number not in the Xero job list","")&amp;IF(AND($C260&lt;&gt;"",COUNTIF($C$7:$C$1506,$C260)&gt;1),"; Job number on more than one row","")&amp;IF(AND($C260&lt;&gt;"",H260=""),"; Dept has not set a cost centre","")&amp;IF(AND($C260&lt;&gt;"",J260=""),"; Dept has not set a tax code","")&amp;IF(AND($C260&lt;&gt;"",N260=""),"; Dept has not entered an expected value","")&amp;IF((IF(OR(COUNTA(S260:U260)=0,AND(COUNTA(S260:U260)=3,ISNUMBER(U260))),0,1)+IF(OR(COUNTA(V260:X260)=0,AND(COUNTA(V260:X260)=3,ISNUMBER(X260))),0,1)+IF(OR(COUNTA(Y260:AA260)=0,AND(COUNTA(Y260:AA260)=3,ISNUMBER(AA260))),0,1)+IF(OR(COUNTA(AB260:AD260)=0,AND(COUNTA(AB260:AD260)=3,ISNUMBER(AD260))),0,1)+IF(OR(COUNTA(AE260:AG260)=0,AND(COUNTA(AE260:AG260)=3,ISNUMBER(AG260))),0,1)+IF(OR(COUNTA(AH260:AJ260)=0,AND(COUNTA(AH260:AJ260)=3,ISNUMBER(AJ260))),0,1)+IF(OR(COUNTA(AK260:AM260)=0,AND(COUNTA(AK260:AM260)=3,ISNUMBER(AM260))),0,1)+IF(OR(COUNTA(AN260:AP260)=0,AND(COUNTA(AN260:AP260)=3,ISNUMBER(AP260))),0,1)+IF(OR(COUNTA(AQ260:AS260)=0,AND(COUNTA(AQ260:AS260)=3,ISNUMBER(AS260))),0,1)+IF(OR(COUNTA(AT260:AV260)=0,AND(COUNTA(AT260:AV260)=3,ISNUMBER(AV260))),0,1)+IF(OR(COUNTA(AW260:AY260)=0,AND(COUNTA(AW260:AY260)=3,ISNUMBER(AY260))),0,1)+IF(OR(COUNTA(AZ260:BB260)=0,AND(COUNTA(AZ260:BB260)=3,ISNUMBER(BB260))),0,1))&gt;0,"; An invoice is incomplete (needs No, Date and a number in Ex GST)","")&amp;IF((IF(T260="",0,IFERROR(--(EOMONTH(T260,0)&lt;&gt;S$5),1))+IF(W260="",0,IFERROR(--(EOMONTH(W260,0)&lt;&gt;V$5),1))+IF(Z260="",0,IFERROR(--(EOMONTH(Z260,0)&lt;&gt;Y$5),1))+IF(AC260="",0,IFERROR(--(EOMONTH(AC260,0)&lt;&gt;AB$5),1))+IF(AF260="",0,IFERROR(--(EOMONTH(AF260,0)&lt;&gt;AE$5),1))+IF(AI260="",0,IFERROR(--(EOMONTH(AI260,0)&lt;&gt;AH$5),1))+IF(AL260="",0,IFERROR(--(EOMONTH(AL260,0)&lt;&gt;AK$5),1))+IF(AO260="",0,IFERROR(--(EOMONTH(AO260,0)&lt;&gt;AN$5),1))+IF(AR260="",0,IFERROR(--(EOMONTH(AR260,0)&lt;&gt;AQ$5),1))+IF(AU260="",0,IFERROR(--(EOMONTH(AU260,0)&lt;&gt;AT$5),1))+IF(AX260="",0,IFERROR(--(EOMONTH(AX260,0)&lt;&gt;AW$5),1))+IF(BA260="",0,IFERROR(--(EOMONTH(BA260,0)&lt;&gt;AZ$5),1)))&gt;0,"; An invoice date is not in the month it is typed under",""),3,500))</f>
        <v/>
      </c>
      <c r="S260" s="12" t="n"/>
      <c r="T260" s="13" t="n"/>
      <c r="U260" s="14" t="n"/>
      <c r="V260" s="12" t="n"/>
      <c r="W260" s="13" t="n"/>
      <c r="X260" s="14" t="n"/>
      <c r="Y260" s="12" t="n"/>
      <c r="Z260" s="13" t="n"/>
      <c r="AA260" s="14" t="n"/>
      <c r="AB260" s="12" t="n"/>
      <c r="AC260" s="13" t="n"/>
      <c r="AD260" s="14" t="n"/>
      <c r="AE260" s="12" t="n"/>
      <c r="AF260" s="13" t="n"/>
      <c r="AG260" s="14" t="n"/>
      <c r="AH260" s="12" t="n"/>
      <c r="AI260" s="13" t="n"/>
      <c r="AJ260" s="14" t="n"/>
      <c r="AK260" s="12" t="n"/>
      <c r="AL260" s="13" t="n"/>
      <c r="AM260" s="14" t="n"/>
      <c r="AN260" s="12" t="n"/>
      <c r="AO260" s="13" t="n"/>
      <c r="AP260" s="14" t="n"/>
      <c r="AQ260" s="12" t="n"/>
      <c r="AR260" s="13" t="n"/>
      <c r="AS260" s="14" t="n"/>
      <c r="AT260" s="12" t="n"/>
      <c r="AU260" s="13" t="n"/>
      <c r="AV260" s="14" t="n"/>
      <c r="AW260" s="12" t="n"/>
      <c r="AX260" s="13" t="n"/>
      <c r="AY260" s="14" t="n"/>
      <c r="AZ260" s="12" t="n"/>
      <c r="BA260" s="13" t="n"/>
      <c r="BB260" s="14" t="n"/>
      <c r="BC260" s="11">
        <f>IF(O260="","",IF(J260="GST 10%",ROUND(O260*set_GSTRate,2),0))</f>
        <v/>
      </c>
      <c r="BD260" s="11">
        <f>IF(O260="","",O260+BC260)</f>
        <v/>
      </c>
      <c r="BE260" s="15">
        <f>IF(O260="","",COUNTA(S260,V260,Y260,AB260,AE260,AH260,AK260,AN260,AQ260,AT260,AW260,AZ260))</f>
        <v/>
      </c>
      <c r="BF260" s="16">
        <f>IF(COUNT(T260,W260,Z260,AC260,AF260,AI260,AL260,AO260,AR260,AU260,AX260,BA260)=0,"",MAX(T260,W260,Z260,AC260,AF260,AI260,AL260,AO260,AR260,AU260,AX260,BA260))</f>
        <v/>
      </c>
      <c r="BG260" s="10">
        <f>MID(IF(S260="","",", "&amp;S260)&amp;IF(V260="","",", "&amp;V260)&amp;IF(Y260="","",", "&amp;Y260)&amp;IF(AB260="","",", "&amp;AB260)&amp;IF(AE260="","",", "&amp;AE260)&amp;IF(AH260="","",", "&amp;AH260)&amp;IF(AK260="","",", "&amp;AK260)&amp;IF(AN260="","",", "&amp;AN260)&amp;IF(AQ260="","",", "&amp;AQ260)&amp;IF(AT260="","",", "&amp;AT260)&amp;IF(AW260="","",", "&amp;AW260)&amp;IF(AZ260="","",", "&amp;AZ260),3,500)</f>
        <v/>
      </c>
      <c r="BH260" s="12" t="n"/>
      <c r="BI260" s="15">
        <f>IFERROR(MATCH($A260,IF($B260="Onsite",tbl_Onsite[Row ID],IF($B260="Production",tbl_Production[Row ID],tbl_Consulting[Row ID])),0),"")</f>
        <v/>
      </c>
    </row>
    <row r="261">
      <c r="A261" s="10" t="inlineStr">
        <is>
          <t>ONS-0255</t>
        </is>
      </c>
      <c r="B261" s="10" t="inlineStr">
        <is>
          <t>Onsite</t>
        </is>
      </c>
      <c r="C261" s="10">
        <f>IF($BI261="","",IF($B261="Onsite",INDEX(tbl_Onsite[Job Number],$BI261),IF($B261="Production",INDEX(tbl_Production[Job Number],$BI261),INDEX(tbl_Consulting[Job Number],$BI261)))&amp;"")</f>
        <v/>
      </c>
      <c r="D261" s="10">
        <f>IF($BI261="","",IF($B261="Onsite",INDEX(tbl_Onsite[Client],$BI261),IF($B261="Production",INDEX(tbl_Production[Client],$BI261),INDEX(tbl_Consulting[Client],$BI261)))&amp;"")</f>
        <v/>
      </c>
      <c r="E261" s="10">
        <f>IF($C261="","",IF(COUNTIF(lst_Jobs,$C261)&gt;0,"OK","CHECK"))</f>
        <v/>
      </c>
      <c r="F261" s="10">
        <f>IF($C261="","",IFERROR(INDEX(lst_JobName,MATCH($C261,lst_Jobs,0)),""))</f>
        <v/>
      </c>
      <c r="G261" s="10">
        <f>IF($BI261="","",IF($B261="Onsite",INDEX(tbl_Onsite[Job Description],$BI261),IF($B261="Production",INDEX(tbl_Production[Job Description],$BI261),INDEX(tbl_Consulting[Job Description],$BI261)))&amp;"")</f>
        <v/>
      </c>
      <c r="H261" s="10">
        <f>IF($BI261="","",IF($B261="Onsite",INDEX(tbl_Onsite[Cost Centre],$BI261),IF($B261="Production",INDEX(tbl_Production[Cost Centre],$BI261),INDEX(tbl_Consulting[Cost Centre],$BI261)))&amp;"")</f>
        <v/>
      </c>
      <c r="I261" s="10">
        <f>IF($BI261="","",IF($B261="Onsite",INDEX(tbl_Onsite[Invoice Type],$BI261),IF($B261="Production",INDEX(tbl_Production[Invoice Type],$BI261),INDEX(tbl_Consulting[Invoice Type],$BI261)))&amp;"")</f>
        <v/>
      </c>
      <c r="J261" s="10">
        <f>IF($BI261="","",IF($B261="Onsite",INDEX(tbl_Onsite[Tax Code],$BI261),IF($B261="Production",INDEX(tbl_Production[Tax Code],$BI261),INDEX(tbl_Consulting[Tax Code],$BI261)))&amp;"")</f>
        <v/>
      </c>
      <c r="K261" s="10">
        <f>IF(H261="","",IFERROR(INDEX(lst_CCtoGL,MATCH(H261,lst_CCforGL,0)),""))</f>
        <v/>
      </c>
      <c r="L261" s="10">
        <f>IF($BI261="","",IF($B261="Onsite",INDEX(tbl_Onsite[PO / Reference],$BI261),IF($B261="Production",INDEX(tbl_Production[Current RMS No],$BI261),INDEX(tbl_Consulting[Qwilr Quote],$BI261)))&amp;"")</f>
        <v/>
      </c>
      <c r="M261" s="10">
        <f>IF($BI261="","",IF($B261="Onsite",INDEX(tbl_Onsite[Notes],$BI261),IF($B261="Production",INDEX(tbl_Production[Notes],$BI261),INDEX(tbl_Consulting[Notes],$BI261)))&amp;"")</f>
        <v/>
      </c>
      <c r="N261" s="11">
        <f>IF($BI261="","",IF(IF($B261="Onsite",INDEX(tbl_Onsite[Expected Revenue Ex GST],$BI261),IF($B261="Production",INDEX(tbl_Production[Expected Revenue Ex GST],$BI261),INDEX(tbl_Consulting[Expected Revenue Ex GST],$BI261)))="","",IF($B261="Onsite",INDEX(tbl_Onsite[Expected Revenue Ex GST],$BI261),IF($B261="Production",INDEX(tbl_Production[Expected Revenue Ex GST],$BI261),INDEX(tbl_Consulting[Expected Revenue Ex GST],$BI261)))))</f>
        <v/>
      </c>
      <c r="O261" s="11">
        <f>IF(AND($C261="",NOT(COUNTA($S261:$BB261)&gt;0)),"",SUM(U261,X261,AA261,AD261,AG261,AJ261,AM261,AP261,AS261,AV261,AY261,BB261))</f>
        <v/>
      </c>
      <c r="P261" s="11">
        <f>IF(O261="","",N(N261)-O261)</f>
        <v/>
      </c>
      <c r="Q261" s="10">
        <f>IF(O261="","",IF($C261="","Invoice on empty job row",IF(N261="",IF(ROUND(O261,2)=0,"No dept value","Invoiced - no dept value"),IF(ROUND(O261,2)=0,"Not invoiced - to invoice",IF(ROUND(P261,2)=0,"Agrees",IF(P261&gt;0,"Dept higher - to invoice","Xero higher - check dept"))))))</f>
        <v/>
      </c>
      <c r="R261" s="10">
        <f>IF(AND($C261="",NOT(COUNTA($S261:$BB261)&gt;0),$BI261&lt;&gt;""),"",MID(IF($BI261="","; Row ID not found on the department sheet - a row was deleted","")&amp;IF(AND($C261="",COUNTA($S261:$BB261)&gt;0),"; Invoice entered but the department row has no job number","")&amp;IF(E261="CHECK","; Job number not in the Xero job list","")&amp;IF(AND($C261&lt;&gt;"",COUNTIF($C$7:$C$1506,$C261)&gt;1),"; Job number on more than one row","")&amp;IF(AND($C261&lt;&gt;"",H261=""),"; Dept has not set a cost centre","")&amp;IF(AND($C261&lt;&gt;"",J261=""),"; Dept has not set a tax code","")&amp;IF(AND($C261&lt;&gt;"",N261=""),"; Dept has not entered an expected value","")&amp;IF((IF(OR(COUNTA(S261:U261)=0,AND(COUNTA(S261:U261)=3,ISNUMBER(U261))),0,1)+IF(OR(COUNTA(V261:X261)=0,AND(COUNTA(V261:X261)=3,ISNUMBER(X261))),0,1)+IF(OR(COUNTA(Y261:AA261)=0,AND(COUNTA(Y261:AA261)=3,ISNUMBER(AA261))),0,1)+IF(OR(COUNTA(AB261:AD261)=0,AND(COUNTA(AB261:AD261)=3,ISNUMBER(AD261))),0,1)+IF(OR(COUNTA(AE261:AG261)=0,AND(COUNTA(AE261:AG261)=3,ISNUMBER(AG261))),0,1)+IF(OR(COUNTA(AH261:AJ261)=0,AND(COUNTA(AH261:AJ261)=3,ISNUMBER(AJ261))),0,1)+IF(OR(COUNTA(AK261:AM261)=0,AND(COUNTA(AK261:AM261)=3,ISNUMBER(AM261))),0,1)+IF(OR(COUNTA(AN261:AP261)=0,AND(COUNTA(AN261:AP261)=3,ISNUMBER(AP261))),0,1)+IF(OR(COUNTA(AQ261:AS261)=0,AND(COUNTA(AQ261:AS261)=3,ISNUMBER(AS261))),0,1)+IF(OR(COUNTA(AT261:AV261)=0,AND(COUNTA(AT261:AV261)=3,ISNUMBER(AV261))),0,1)+IF(OR(COUNTA(AW261:AY261)=0,AND(COUNTA(AW261:AY261)=3,ISNUMBER(AY261))),0,1)+IF(OR(COUNTA(AZ261:BB261)=0,AND(COUNTA(AZ261:BB261)=3,ISNUMBER(BB261))),0,1))&gt;0,"; An invoice is incomplete (needs No, Date and a number in Ex GST)","")&amp;IF((IF(T261="",0,IFERROR(--(EOMONTH(T261,0)&lt;&gt;S$5),1))+IF(W261="",0,IFERROR(--(EOMONTH(W261,0)&lt;&gt;V$5),1))+IF(Z261="",0,IFERROR(--(EOMONTH(Z261,0)&lt;&gt;Y$5),1))+IF(AC261="",0,IFERROR(--(EOMONTH(AC261,0)&lt;&gt;AB$5),1))+IF(AF261="",0,IFERROR(--(EOMONTH(AF261,0)&lt;&gt;AE$5),1))+IF(AI261="",0,IFERROR(--(EOMONTH(AI261,0)&lt;&gt;AH$5),1))+IF(AL261="",0,IFERROR(--(EOMONTH(AL261,0)&lt;&gt;AK$5),1))+IF(AO261="",0,IFERROR(--(EOMONTH(AO261,0)&lt;&gt;AN$5),1))+IF(AR261="",0,IFERROR(--(EOMONTH(AR261,0)&lt;&gt;AQ$5),1))+IF(AU261="",0,IFERROR(--(EOMONTH(AU261,0)&lt;&gt;AT$5),1))+IF(AX261="",0,IFERROR(--(EOMONTH(AX261,0)&lt;&gt;AW$5),1))+IF(BA261="",0,IFERROR(--(EOMONTH(BA261,0)&lt;&gt;AZ$5),1)))&gt;0,"; An invoice date is not in the month it is typed under",""),3,500))</f>
        <v/>
      </c>
      <c r="S261" s="12" t="n"/>
      <c r="T261" s="13" t="n"/>
      <c r="U261" s="14" t="n"/>
      <c r="V261" s="12" t="n"/>
      <c r="W261" s="13" t="n"/>
      <c r="X261" s="14" t="n"/>
      <c r="Y261" s="12" t="n"/>
      <c r="Z261" s="13" t="n"/>
      <c r="AA261" s="14" t="n"/>
      <c r="AB261" s="12" t="n"/>
      <c r="AC261" s="13" t="n"/>
      <c r="AD261" s="14" t="n"/>
      <c r="AE261" s="12" t="n"/>
      <c r="AF261" s="13" t="n"/>
      <c r="AG261" s="14" t="n"/>
      <c r="AH261" s="12" t="n"/>
      <c r="AI261" s="13" t="n"/>
      <c r="AJ261" s="14" t="n"/>
      <c r="AK261" s="12" t="n"/>
      <c r="AL261" s="13" t="n"/>
      <c r="AM261" s="14" t="n"/>
      <c r="AN261" s="12" t="n"/>
      <c r="AO261" s="13" t="n"/>
      <c r="AP261" s="14" t="n"/>
      <c r="AQ261" s="12" t="n"/>
      <c r="AR261" s="13" t="n"/>
      <c r="AS261" s="14" t="n"/>
      <c r="AT261" s="12" t="n"/>
      <c r="AU261" s="13" t="n"/>
      <c r="AV261" s="14" t="n"/>
      <c r="AW261" s="12" t="n"/>
      <c r="AX261" s="13" t="n"/>
      <c r="AY261" s="14" t="n"/>
      <c r="AZ261" s="12" t="n"/>
      <c r="BA261" s="13" t="n"/>
      <c r="BB261" s="14" t="n"/>
      <c r="BC261" s="11">
        <f>IF(O261="","",IF(J261="GST 10%",ROUND(O261*set_GSTRate,2),0))</f>
        <v/>
      </c>
      <c r="BD261" s="11">
        <f>IF(O261="","",O261+BC261)</f>
        <v/>
      </c>
      <c r="BE261" s="15">
        <f>IF(O261="","",COUNTA(S261,V261,Y261,AB261,AE261,AH261,AK261,AN261,AQ261,AT261,AW261,AZ261))</f>
        <v/>
      </c>
      <c r="BF261" s="16">
        <f>IF(COUNT(T261,W261,Z261,AC261,AF261,AI261,AL261,AO261,AR261,AU261,AX261,BA261)=0,"",MAX(T261,W261,Z261,AC261,AF261,AI261,AL261,AO261,AR261,AU261,AX261,BA261))</f>
        <v/>
      </c>
      <c r="BG261" s="10">
        <f>MID(IF(S261="","",", "&amp;S261)&amp;IF(V261="","",", "&amp;V261)&amp;IF(Y261="","",", "&amp;Y261)&amp;IF(AB261="","",", "&amp;AB261)&amp;IF(AE261="","",", "&amp;AE261)&amp;IF(AH261="","",", "&amp;AH261)&amp;IF(AK261="","",", "&amp;AK261)&amp;IF(AN261="","",", "&amp;AN261)&amp;IF(AQ261="","",", "&amp;AQ261)&amp;IF(AT261="","",", "&amp;AT261)&amp;IF(AW261="","",", "&amp;AW261)&amp;IF(AZ261="","",", "&amp;AZ261),3,500)</f>
        <v/>
      </c>
      <c r="BH261" s="12" t="n"/>
      <c r="BI261" s="15">
        <f>IFERROR(MATCH($A261,IF($B261="Onsite",tbl_Onsite[Row ID],IF($B261="Production",tbl_Production[Row ID],tbl_Consulting[Row ID])),0),"")</f>
        <v/>
      </c>
    </row>
    <row r="262">
      <c r="A262" s="10" t="inlineStr">
        <is>
          <t>ONS-0256</t>
        </is>
      </c>
      <c r="B262" s="10" t="inlineStr">
        <is>
          <t>Onsite</t>
        </is>
      </c>
      <c r="C262" s="10">
        <f>IF($BI262="","",IF($B262="Onsite",INDEX(tbl_Onsite[Job Number],$BI262),IF($B262="Production",INDEX(tbl_Production[Job Number],$BI262),INDEX(tbl_Consulting[Job Number],$BI262)))&amp;"")</f>
        <v/>
      </c>
      <c r="D262" s="10">
        <f>IF($BI262="","",IF($B262="Onsite",INDEX(tbl_Onsite[Client],$BI262),IF($B262="Production",INDEX(tbl_Production[Client],$BI262),INDEX(tbl_Consulting[Client],$BI262)))&amp;"")</f>
        <v/>
      </c>
      <c r="E262" s="10">
        <f>IF($C262="","",IF(COUNTIF(lst_Jobs,$C262)&gt;0,"OK","CHECK"))</f>
        <v/>
      </c>
      <c r="F262" s="10">
        <f>IF($C262="","",IFERROR(INDEX(lst_JobName,MATCH($C262,lst_Jobs,0)),""))</f>
        <v/>
      </c>
      <c r="G262" s="10">
        <f>IF($BI262="","",IF($B262="Onsite",INDEX(tbl_Onsite[Job Description],$BI262),IF($B262="Production",INDEX(tbl_Production[Job Description],$BI262),INDEX(tbl_Consulting[Job Description],$BI262)))&amp;"")</f>
        <v/>
      </c>
      <c r="H262" s="10">
        <f>IF($BI262="","",IF($B262="Onsite",INDEX(tbl_Onsite[Cost Centre],$BI262),IF($B262="Production",INDEX(tbl_Production[Cost Centre],$BI262),INDEX(tbl_Consulting[Cost Centre],$BI262)))&amp;"")</f>
        <v/>
      </c>
      <c r="I262" s="10">
        <f>IF($BI262="","",IF($B262="Onsite",INDEX(tbl_Onsite[Invoice Type],$BI262),IF($B262="Production",INDEX(tbl_Production[Invoice Type],$BI262),INDEX(tbl_Consulting[Invoice Type],$BI262)))&amp;"")</f>
        <v/>
      </c>
      <c r="J262" s="10">
        <f>IF($BI262="","",IF($B262="Onsite",INDEX(tbl_Onsite[Tax Code],$BI262),IF($B262="Production",INDEX(tbl_Production[Tax Code],$BI262),INDEX(tbl_Consulting[Tax Code],$BI262)))&amp;"")</f>
        <v/>
      </c>
      <c r="K262" s="10">
        <f>IF(H262="","",IFERROR(INDEX(lst_CCtoGL,MATCH(H262,lst_CCforGL,0)),""))</f>
        <v/>
      </c>
      <c r="L262" s="10">
        <f>IF($BI262="","",IF($B262="Onsite",INDEX(tbl_Onsite[PO / Reference],$BI262),IF($B262="Production",INDEX(tbl_Production[Current RMS No],$BI262),INDEX(tbl_Consulting[Qwilr Quote],$BI262)))&amp;"")</f>
        <v/>
      </c>
      <c r="M262" s="10">
        <f>IF($BI262="","",IF($B262="Onsite",INDEX(tbl_Onsite[Notes],$BI262),IF($B262="Production",INDEX(tbl_Production[Notes],$BI262),INDEX(tbl_Consulting[Notes],$BI262)))&amp;"")</f>
        <v/>
      </c>
      <c r="N262" s="11">
        <f>IF($BI262="","",IF(IF($B262="Onsite",INDEX(tbl_Onsite[Expected Revenue Ex GST],$BI262),IF($B262="Production",INDEX(tbl_Production[Expected Revenue Ex GST],$BI262),INDEX(tbl_Consulting[Expected Revenue Ex GST],$BI262)))="","",IF($B262="Onsite",INDEX(tbl_Onsite[Expected Revenue Ex GST],$BI262),IF($B262="Production",INDEX(tbl_Production[Expected Revenue Ex GST],$BI262),INDEX(tbl_Consulting[Expected Revenue Ex GST],$BI262)))))</f>
        <v/>
      </c>
      <c r="O262" s="11">
        <f>IF(AND($C262="",NOT(COUNTA($S262:$BB262)&gt;0)),"",SUM(U262,X262,AA262,AD262,AG262,AJ262,AM262,AP262,AS262,AV262,AY262,BB262))</f>
        <v/>
      </c>
      <c r="P262" s="11">
        <f>IF(O262="","",N(N262)-O262)</f>
        <v/>
      </c>
      <c r="Q262" s="10">
        <f>IF(O262="","",IF($C262="","Invoice on empty job row",IF(N262="",IF(ROUND(O262,2)=0,"No dept value","Invoiced - no dept value"),IF(ROUND(O262,2)=0,"Not invoiced - to invoice",IF(ROUND(P262,2)=0,"Agrees",IF(P262&gt;0,"Dept higher - to invoice","Xero higher - check dept"))))))</f>
        <v/>
      </c>
      <c r="R262" s="10">
        <f>IF(AND($C262="",NOT(COUNTA($S262:$BB262)&gt;0),$BI262&lt;&gt;""),"",MID(IF($BI262="","; Row ID not found on the department sheet - a row was deleted","")&amp;IF(AND($C262="",COUNTA($S262:$BB262)&gt;0),"; Invoice entered but the department row has no job number","")&amp;IF(E262="CHECK","; Job number not in the Xero job list","")&amp;IF(AND($C262&lt;&gt;"",COUNTIF($C$7:$C$1506,$C262)&gt;1),"; Job number on more than one row","")&amp;IF(AND($C262&lt;&gt;"",H262=""),"; Dept has not set a cost centre","")&amp;IF(AND($C262&lt;&gt;"",J262=""),"; Dept has not set a tax code","")&amp;IF(AND($C262&lt;&gt;"",N262=""),"; Dept has not entered an expected value","")&amp;IF((IF(OR(COUNTA(S262:U262)=0,AND(COUNTA(S262:U262)=3,ISNUMBER(U262))),0,1)+IF(OR(COUNTA(V262:X262)=0,AND(COUNTA(V262:X262)=3,ISNUMBER(X262))),0,1)+IF(OR(COUNTA(Y262:AA262)=0,AND(COUNTA(Y262:AA262)=3,ISNUMBER(AA262))),0,1)+IF(OR(COUNTA(AB262:AD262)=0,AND(COUNTA(AB262:AD262)=3,ISNUMBER(AD262))),0,1)+IF(OR(COUNTA(AE262:AG262)=0,AND(COUNTA(AE262:AG262)=3,ISNUMBER(AG262))),0,1)+IF(OR(COUNTA(AH262:AJ262)=0,AND(COUNTA(AH262:AJ262)=3,ISNUMBER(AJ262))),0,1)+IF(OR(COUNTA(AK262:AM262)=0,AND(COUNTA(AK262:AM262)=3,ISNUMBER(AM262))),0,1)+IF(OR(COUNTA(AN262:AP262)=0,AND(COUNTA(AN262:AP262)=3,ISNUMBER(AP262))),0,1)+IF(OR(COUNTA(AQ262:AS262)=0,AND(COUNTA(AQ262:AS262)=3,ISNUMBER(AS262))),0,1)+IF(OR(COUNTA(AT262:AV262)=0,AND(COUNTA(AT262:AV262)=3,ISNUMBER(AV262))),0,1)+IF(OR(COUNTA(AW262:AY262)=0,AND(COUNTA(AW262:AY262)=3,ISNUMBER(AY262))),0,1)+IF(OR(COUNTA(AZ262:BB262)=0,AND(COUNTA(AZ262:BB262)=3,ISNUMBER(BB262))),0,1))&gt;0,"; An invoice is incomplete (needs No, Date and a number in Ex GST)","")&amp;IF((IF(T262="",0,IFERROR(--(EOMONTH(T262,0)&lt;&gt;S$5),1))+IF(W262="",0,IFERROR(--(EOMONTH(W262,0)&lt;&gt;V$5),1))+IF(Z262="",0,IFERROR(--(EOMONTH(Z262,0)&lt;&gt;Y$5),1))+IF(AC262="",0,IFERROR(--(EOMONTH(AC262,0)&lt;&gt;AB$5),1))+IF(AF262="",0,IFERROR(--(EOMONTH(AF262,0)&lt;&gt;AE$5),1))+IF(AI262="",0,IFERROR(--(EOMONTH(AI262,0)&lt;&gt;AH$5),1))+IF(AL262="",0,IFERROR(--(EOMONTH(AL262,0)&lt;&gt;AK$5),1))+IF(AO262="",0,IFERROR(--(EOMONTH(AO262,0)&lt;&gt;AN$5),1))+IF(AR262="",0,IFERROR(--(EOMONTH(AR262,0)&lt;&gt;AQ$5),1))+IF(AU262="",0,IFERROR(--(EOMONTH(AU262,0)&lt;&gt;AT$5),1))+IF(AX262="",0,IFERROR(--(EOMONTH(AX262,0)&lt;&gt;AW$5),1))+IF(BA262="",0,IFERROR(--(EOMONTH(BA262,0)&lt;&gt;AZ$5),1)))&gt;0,"; An invoice date is not in the month it is typed under",""),3,500))</f>
        <v/>
      </c>
      <c r="S262" s="12" t="n"/>
      <c r="T262" s="13" t="n"/>
      <c r="U262" s="14" t="n"/>
      <c r="V262" s="12" t="n"/>
      <c r="W262" s="13" t="n"/>
      <c r="X262" s="14" t="n"/>
      <c r="Y262" s="12" t="n"/>
      <c r="Z262" s="13" t="n"/>
      <c r="AA262" s="14" t="n"/>
      <c r="AB262" s="12" t="n"/>
      <c r="AC262" s="13" t="n"/>
      <c r="AD262" s="14" t="n"/>
      <c r="AE262" s="12" t="n"/>
      <c r="AF262" s="13" t="n"/>
      <c r="AG262" s="14" t="n"/>
      <c r="AH262" s="12" t="n"/>
      <c r="AI262" s="13" t="n"/>
      <c r="AJ262" s="14" t="n"/>
      <c r="AK262" s="12" t="n"/>
      <c r="AL262" s="13" t="n"/>
      <c r="AM262" s="14" t="n"/>
      <c r="AN262" s="12" t="n"/>
      <c r="AO262" s="13" t="n"/>
      <c r="AP262" s="14" t="n"/>
      <c r="AQ262" s="12" t="n"/>
      <c r="AR262" s="13" t="n"/>
      <c r="AS262" s="14" t="n"/>
      <c r="AT262" s="12" t="n"/>
      <c r="AU262" s="13" t="n"/>
      <c r="AV262" s="14" t="n"/>
      <c r="AW262" s="12" t="n"/>
      <c r="AX262" s="13" t="n"/>
      <c r="AY262" s="14" t="n"/>
      <c r="AZ262" s="12" t="n"/>
      <c r="BA262" s="13" t="n"/>
      <c r="BB262" s="14" t="n"/>
      <c r="BC262" s="11">
        <f>IF(O262="","",IF(J262="GST 10%",ROUND(O262*set_GSTRate,2),0))</f>
        <v/>
      </c>
      <c r="BD262" s="11">
        <f>IF(O262="","",O262+BC262)</f>
        <v/>
      </c>
      <c r="BE262" s="15">
        <f>IF(O262="","",COUNTA(S262,V262,Y262,AB262,AE262,AH262,AK262,AN262,AQ262,AT262,AW262,AZ262))</f>
        <v/>
      </c>
      <c r="BF262" s="16">
        <f>IF(COUNT(T262,W262,Z262,AC262,AF262,AI262,AL262,AO262,AR262,AU262,AX262,BA262)=0,"",MAX(T262,W262,Z262,AC262,AF262,AI262,AL262,AO262,AR262,AU262,AX262,BA262))</f>
        <v/>
      </c>
      <c r="BG262" s="10">
        <f>MID(IF(S262="","",", "&amp;S262)&amp;IF(V262="","",", "&amp;V262)&amp;IF(Y262="","",", "&amp;Y262)&amp;IF(AB262="","",", "&amp;AB262)&amp;IF(AE262="","",", "&amp;AE262)&amp;IF(AH262="","",", "&amp;AH262)&amp;IF(AK262="","",", "&amp;AK262)&amp;IF(AN262="","",", "&amp;AN262)&amp;IF(AQ262="","",", "&amp;AQ262)&amp;IF(AT262="","",", "&amp;AT262)&amp;IF(AW262="","",", "&amp;AW262)&amp;IF(AZ262="","",", "&amp;AZ262),3,500)</f>
        <v/>
      </c>
      <c r="BH262" s="12" t="n"/>
      <c r="BI262" s="15">
        <f>IFERROR(MATCH($A262,IF($B262="Onsite",tbl_Onsite[Row ID],IF($B262="Production",tbl_Production[Row ID],tbl_Consulting[Row ID])),0),"")</f>
        <v/>
      </c>
    </row>
    <row r="263">
      <c r="A263" s="10" t="inlineStr">
        <is>
          <t>ONS-0257</t>
        </is>
      </c>
      <c r="B263" s="10" t="inlineStr">
        <is>
          <t>Onsite</t>
        </is>
      </c>
      <c r="C263" s="10">
        <f>IF($BI263="","",IF($B263="Onsite",INDEX(tbl_Onsite[Job Number],$BI263),IF($B263="Production",INDEX(tbl_Production[Job Number],$BI263),INDEX(tbl_Consulting[Job Number],$BI263)))&amp;"")</f>
        <v/>
      </c>
      <c r="D263" s="10">
        <f>IF($BI263="","",IF($B263="Onsite",INDEX(tbl_Onsite[Client],$BI263),IF($B263="Production",INDEX(tbl_Production[Client],$BI263),INDEX(tbl_Consulting[Client],$BI263)))&amp;"")</f>
        <v/>
      </c>
      <c r="E263" s="10">
        <f>IF($C263="","",IF(COUNTIF(lst_Jobs,$C263)&gt;0,"OK","CHECK"))</f>
        <v/>
      </c>
      <c r="F263" s="10">
        <f>IF($C263="","",IFERROR(INDEX(lst_JobName,MATCH($C263,lst_Jobs,0)),""))</f>
        <v/>
      </c>
      <c r="G263" s="10">
        <f>IF($BI263="","",IF($B263="Onsite",INDEX(tbl_Onsite[Job Description],$BI263),IF($B263="Production",INDEX(tbl_Production[Job Description],$BI263),INDEX(tbl_Consulting[Job Description],$BI263)))&amp;"")</f>
        <v/>
      </c>
      <c r="H263" s="10">
        <f>IF($BI263="","",IF($B263="Onsite",INDEX(tbl_Onsite[Cost Centre],$BI263),IF($B263="Production",INDEX(tbl_Production[Cost Centre],$BI263),INDEX(tbl_Consulting[Cost Centre],$BI263)))&amp;"")</f>
        <v/>
      </c>
      <c r="I263" s="10">
        <f>IF($BI263="","",IF($B263="Onsite",INDEX(tbl_Onsite[Invoice Type],$BI263),IF($B263="Production",INDEX(tbl_Production[Invoice Type],$BI263),INDEX(tbl_Consulting[Invoice Type],$BI263)))&amp;"")</f>
        <v/>
      </c>
      <c r="J263" s="10">
        <f>IF($BI263="","",IF($B263="Onsite",INDEX(tbl_Onsite[Tax Code],$BI263),IF($B263="Production",INDEX(tbl_Production[Tax Code],$BI263),INDEX(tbl_Consulting[Tax Code],$BI263)))&amp;"")</f>
        <v/>
      </c>
      <c r="K263" s="10">
        <f>IF(H263="","",IFERROR(INDEX(lst_CCtoGL,MATCH(H263,lst_CCforGL,0)),""))</f>
        <v/>
      </c>
      <c r="L263" s="10">
        <f>IF($BI263="","",IF($B263="Onsite",INDEX(tbl_Onsite[PO / Reference],$BI263),IF($B263="Production",INDEX(tbl_Production[Current RMS No],$BI263),INDEX(tbl_Consulting[Qwilr Quote],$BI263)))&amp;"")</f>
        <v/>
      </c>
      <c r="M263" s="10">
        <f>IF($BI263="","",IF($B263="Onsite",INDEX(tbl_Onsite[Notes],$BI263),IF($B263="Production",INDEX(tbl_Production[Notes],$BI263),INDEX(tbl_Consulting[Notes],$BI263)))&amp;"")</f>
        <v/>
      </c>
      <c r="N263" s="11">
        <f>IF($BI263="","",IF(IF($B263="Onsite",INDEX(tbl_Onsite[Expected Revenue Ex GST],$BI263),IF($B263="Production",INDEX(tbl_Production[Expected Revenue Ex GST],$BI263),INDEX(tbl_Consulting[Expected Revenue Ex GST],$BI263)))="","",IF($B263="Onsite",INDEX(tbl_Onsite[Expected Revenue Ex GST],$BI263),IF($B263="Production",INDEX(tbl_Production[Expected Revenue Ex GST],$BI263),INDEX(tbl_Consulting[Expected Revenue Ex GST],$BI263)))))</f>
        <v/>
      </c>
      <c r="O263" s="11">
        <f>IF(AND($C263="",NOT(COUNTA($S263:$BB263)&gt;0)),"",SUM(U263,X263,AA263,AD263,AG263,AJ263,AM263,AP263,AS263,AV263,AY263,BB263))</f>
        <v/>
      </c>
      <c r="P263" s="11">
        <f>IF(O263="","",N(N263)-O263)</f>
        <v/>
      </c>
      <c r="Q263" s="10">
        <f>IF(O263="","",IF($C263="","Invoice on empty job row",IF(N263="",IF(ROUND(O263,2)=0,"No dept value","Invoiced - no dept value"),IF(ROUND(O263,2)=0,"Not invoiced - to invoice",IF(ROUND(P263,2)=0,"Agrees",IF(P263&gt;0,"Dept higher - to invoice","Xero higher - check dept"))))))</f>
        <v/>
      </c>
      <c r="R263" s="10">
        <f>IF(AND($C263="",NOT(COUNTA($S263:$BB263)&gt;0),$BI263&lt;&gt;""),"",MID(IF($BI263="","; Row ID not found on the department sheet - a row was deleted","")&amp;IF(AND($C263="",COUNTA($S263:$BB263)&gt;0),"; Invoice entered but the department row has no job number","")&amp;IF(E263="CHECK","; Job number not in the Xero job list","")&amp;IF(AND($C263&lt;&gt;"",COUNTIF($C$7:$C$1506,$C263)&gt;1),"; Job number on more than one row","")&amp;IF(AND($C263&lt;&gt;"",H263=""),"; Dept has not set a cost centre","")&amp;IF(AND($C263&lt;&gt;"",J263=""),"; Dept has not set a tax code","")&amp;IF(AND($C263&lt;&gt;"",N263=""),"; Dept has not entered an expected value","")&amp;IF((IF(OR(COUNTA(S263:U263)=0,AND(COUNTA(S263:U263)=3,ISNUMBER(U263))),0,1)+IF(OR(COUNTA(V263:X263)=0,AND(COUNTA(V263:X263)=3,ISNUMBER(X263))),0,1)+IF(OR(COUNTA(Y263:AA263)=0,AND(COUNTA(Y263:AA263)=3,ISNUMBER(AA263))),0,1)+IF(OR(COUNTA(AB263:AD263)=0,AND(COUNTA(AB263:AD263)=3,ISNUMBER(AD263))),0,1)+IF(OR(COUNTA(AE263:AG263)=0,AND(COUNTA(AE263:AG263)=3,ISNUMBER(AG263))),0,1)+IF(OR(COUNTA(AH263:AJ263)=0,AND(COUNTA(AH263:AJ263)=3,ISNUMBER(AJ263))),0,1)+IF(OR(COUNTA(AK263:AM263)=0,AND(COUNTA(AK263:AM263)=3,ISNUMBER(AM263))),0,1)+IF(OR(COUNTA(AN263:AP263)=0,AND(COUNTA(AN263:AP263)=3,ISNUMBER(AP263))),0,1)+IF(OR(COUNTA(AQ263:AS263)=0,AND(COUNTA(AQ263:AS263)=3,ISNUMBER(AS263))),0,1)+IF(OR(COUNTA(AT263:AV263)=0,AND(COUNTA(AT263:AV263)=3,ISNUMBER(AV263))),0,1)+IF(OR(COUNTA(AW263:AY263)=0,AND(COUNTA(AW263:AY263)=3,ISNUMBER(AY263))),0,1)+IF(OR(COUNTA(AZ263:BB263)=0,AND(COUNTA(AZ263:BB263)=3,ISNUMBER(BB263))),0,1))&gt;0,"; An invoice is incomplete (needs No, Date and a number in Ex GST)","")&amp;IF((IF(T263="",0,IFERROR(--(EOMONTH(T263,0)&lt;&gt;S$5),1))+IF(W263="",0,IFERROR(--(EOMONTH(W263,0)&lt;&gt;V$5),1))+IF(Z263="",0,IFERROR(--(EOMONTH(Z263,0)&lt;&gt;Y$5),1))+IF(AC263="",0,IFERROR(--(EOMONTH(AC263,0)&lt;&gt;AB$5),1))+IF(AF263="",0,IFERROR(--(EOMONTH(AF263,0)&lt;&gt;AE$5),1))+IF(AI263="",0,IFERROR(--(EOMONTH(AI263,0)&lt;&gt;AH$5),1))+IF(AL263="",0,IFERROR(--(EOMONTH(AL263,0)&lt;&gt;AK$5),1))+IF(AO263="",0,IFERROR(--(EOMONTH(AO263,0)&lt;&gt;AN$5),1))+IF(AR263="",0,IFERROR(--(EOMONTH(AR263,0)&lt;&gt;AQ$5),1))+IF(AU263="",0,IFERROR(--(EOMONTH(AU263,0)&lt;&gt;AT$5),1))+IF(AX263="",0,IFERROR(--(EOMONTH(AX263,0)&lt;&gt;AW$5),1))+IF(BA263="",0,IFERROR(--(EOMONTH(BA263,0)&lt;&gt;AZ$5),1)))&gt;0,"; An invoice date is not in the month it is typed under",""),3,500))</f>
        <v/>
      </c>
      <c r="S263" s="12" t="n"/>
      <c r="T263" s="13" t="n"/>
      <c r="U263" s="14" t="n"/>
      <c r="V263" s="12" t="n"/>
      <c r="W263" s="13" t="n"/>
      <c r="X263" s="14" t="n"/>
      <c r="Y263" s="12" t="n"/>
      <c r="Z263" s="13" t="n"/>
      <c r="AA263" s="14" t="n"/>
      <c r="AB263" s="12" t="n"/>
      <c r="AC263" s="13" t="n"/>
      <c r="AD263" s="14" t="n"/>
      <c r="AE263" s="12" t="n"/>
      <c r="AF263" s="13" t="n"/>
      <c r="AG263" s="14" t="n"/>
      <c r="AH263" s="12" t="n"/>
      <c r="AI263" s="13" t="n"/>
      <c r="AJ263" s="14" t="n"/>
      <c r="AK263" s="12" t="n"/>
      <c r="AL263" s="13" t="n"/>
      <c r="AM263" s="14" t="n"/>
      <c r="AN263" s="12" t="n"/>
      <c r="AO263" s="13" t="n"/>
      <c r="AP263" s="14" t="n"/>
      <c r="AQ263" s="12" t="n"/>
      <c r="AR263" s="13" t="n"/>
      <c r="AS263" s="14" t="n"/>
      <c r="AT263" s="12" t="n"/>
      <c r="AU263" s="13" t="n"/>
      <c r="AV263" s="14" t="n"/>
      <c r="AW263" s="12" t="n"/>
      <c r="AX263" s="13" t="n"/>
      <c r="AY263" s="14" t="n"/>
      <c r="AZ263" s="12" t="n"/>
      <c r="BA263" s="13" t="n"/>
      <c r="BB263" s="14" t="n"/>
      <c r="BC263" s="11">
        <f>IF(O263="","",IF(J263="GST 10%",ROUND(O263*set_GSTRate,2),0))</f>
        <v/>
      </c>
      <c r="BD263" s="11">
        <f>IF(O263="","",O263+BC263)</f>
        <v/>
      </c>
      <c r="BE263" s="15">
        <f>IF(O263="","",COUNTA(S263,V263,Y263,AB263,AE263,AH263,AK263,AN263,AQ263,AT263,AW263,AZ263))</f>
        <v/>
      </c>
      <c r="BF263" s="16">
        <f>IF(COUNT(T263,W263,Z263,AC263,AF263,AI263,AL263,AO263,AR263,AU263,AX263,BA263)=0,"",MAX(T263,W263,Z263,AC263,AF263,AI263,AL263,AO263,AR263,AU263,AX263,BA263))</f>
        <v/>
      </c>
      <c r="BG263" s="10">
        <f>MID(IF(S263="","",", "&amp;S263)&amp;IF(V263="","",", "&amp;V263)&amp;IF(Y263="","",", "&amp;Y263)&amp;IF(AB263="","",", "&amp;AB263)&amp;IF(AE263="","",", "&amp;AE263)&amp;IF(AH263="","",", "&amp;AH263)&amp;IF(AK263="","",", "&amp;AK263)&amp;IF(AN263="","",", "&amp;AN263)&amp;IF(AQ263="","",", "&amp;AQ263)&amp;IF(AT263="","",", "&amp;AT263)&amp;IF(AW263="","",", "&amp;AW263)&amp;IF(AZ263="","",", "&amp;AZ263),3,500)</f>
        <v/>
      </c>
      <c r="BH263" s="12" t="n"/>
      <c r="BI263" s="15">
        <f>IFERROR(MATCH($A263,IF($B263="Onsite",tbl_Onsite[Row ID],IF($B263="Production",tbl_Production[Row ID],tbl_Consulting[Row ID])),0),"")</f>
        <v/>
      </c>
    </row>
    <row r="264">
      <c r="A264" s="10" t="inlineStr">
        <is>
          <t>ONS-0258</t>
        </is>
      </c>
      <c r="B264" s="10" t="inlineStr">
        <is>
          <t>Onsite</t>
        </is>
      </c>
      <c r="C264" s="10">
        <f>IF($BI264="","",IF($B264="Onsite",INDEX(tbl_Onsite[Job Number],$BI264),IF($B264="Production",INDEX(tbl_Production[Job Number],$BI264),INDEX(tbl_Consulting[Job Number],$BI264)))&amp;"")</f>
        <v/>
      </c>
      <c r="D264" s="10">
        <f>IF($BI264="","",IF($B264="Onsite",INDEX(tbl_Onsite[Client],$BI264),IF($B264="Production",INDEX(tbl_Production[Client],$BI264),INDEX(tbl_Consulting[Client],$BI264)))&amp;"")</f>
        <v/>
      </c>
      <c r="E264" s="10">
        <f>IF($C264="","",IF(COUNTIF(lst_Jobs,$C264)&gt;0,"OK","CHECK"))</f>
        <v/>
      </c>
      <c r="F264" s="10">
        <f>IF($C264="","",IFERROR(INDEX(lst_JobName,MATCH($C264,lst_Jobs,0)),""))</f>
        <v/>
      </c>
      <c r="G264" s="10">
        <f>IF($BI264="","",IF($B264="Onsite",INDEX(tbl_Onsite[Job Description],$BI264),IF($B264="Production",INDEX(tbl_Production[Job Description],$BI264),INDEX(tbl_Consulting[Job Description],$BI264)))&amp;"")</f>
        <v/>
      </c>
      <c r="H264" s="10">
        <f>IF($BI264="","",IF($B264="Onsite",INDEX(tbl_Onsite[Cost Centre],$BI264),IF($B264="Production",INDEX(tbl_Production[Cost Centre],$BI264),INDEX(tbl_Consulting[Cost Centre],$BI264)))&amp;"")</f>
        <v/>
      </c>
      <c r="I264" s="10">
        <f>IF($BI264="","",IF($B264="Onsite",INDEX(tbl_Onsite[Invoice Type],$BI264),IF($B264="Production",INDEX(tbl_Production[Invoice Type],$BI264),INDEX(tbl_Consulting[Invoice Type],$BI264)))&amp;"")</f>
        <v/>
      </c>
      <c r="J264" s="10">
        <f>IF($BI264="","",IF($B264="Onsite",INDEX(tbl_Onsite[Tax Code],$BI264),IF($B264="Production",INDEX(tbl_Production[Tax Code],$BI264),INDEX(tbl_Consulting[Tax Code],$BI264)))&amp;"")</f>
        <v/>
      </c>
      <c r="K264" s="10">
        <f>IF(H264="","",IFERROR(INDEX(lst_CCtoGL,MATCH(H264,lst_CCforGL,0)),""))</f>
        <v/>
      </c>
      <c r="L264" s="10">
        <f>IF($BI264="","",IF($B264="Onsite",INDEX(tbl_Onsite[PO / Reference],$BI264),IF($B264="Production",INDEX(tbl_Production[Current RMS No],$BI264),INDEX(tbl_Consulting[Qwilr Quote],$BI264)))&amp;"")</f>
        <v/>
      </c>
      <c r="M264" s="10">
        <f>IF($BI264="","",IF($B264="Onsite",INDEX(tbl_Onsite[Notes],$BI264),IF($B264="Production",INDEX(tbl_Production[Notes],$BI264),INDEX(tbl_Consulting[Notes],$BI264)))&amp;"")</f>
        <v/>
      </c>
      <c r="N264" s="11">
        <f>IF($BI264="","",IF(IF($B264="Onsite",INDEX(tbl_Onsite[Expected Revenue Ex GST],$BI264),IF($B264="Production",INDEX(tbl_Production[Expected Revenue Ex GST],$BI264),INDEX(tbl_Consulting[Expected Revenue Ex GST],$BI264)))="","",IF($B264="Onsite",INDEX(tbl_Onsite[Expected Revenue Ex GST],$BI264),IF($B264="Production",INDEX(tbl_Production[Expected Revenue Ex GST],$BI264),INDEX(tbl_Consulting[Expected Revenue Ex GST],$BI264)))))</f>
        <v/>
      </c>
      <c r="O264" s="11">
        <f>IF(AND($C264="",NOT(COUNTA($S264:$BB264)&gt;0)),"",SUM(U264,X264,AA264,AD264,AG264,AJ264,AM264,AP264,AS264,AV264,AY264,BB264))</f>
        <v/>
      </c>
      <c r="P264" s="11">
        <f>IF(O264="","",N(N264)-O264)</f>
        <v/>
      </c>
      <c r="Q264" s="10">
        <f>IF(O264="","",IF($C264="","Invoice on empty job row",IF(N264="",IF(ROUND(O264,2)=0,"No dept value","Invoiced - no dept value"),IF(ROUND(O264,2)=0,"Not invoiced - to invoice",IF(ROUND(P264,2)=0,"Agrees",IF(P264&gt;0,"Dept higher - to invoice","Xero higher - check dept"))))))</f>
        <v/>
      </c>
      <c r="R264" s="10">
        <f>IF(AND($C264="",NOT(COUNTA($S264:$BB264)&gt;0),$BI264&lt;&gt;""),"",MID(IF($BI264="","; Row ID not found on the department sheet - a row was deleted","")&amp;IF(AND($C264="",COUNTA($S264:$BB264)&gt;0),"; Invoice entered but the department row has no job number","")&amp;IF(E264="CHECK","; Job number not in the Xero job list","")&amp;IF(AND($C264&lt;&gt;"",COUNTIF($C$7:$C$1506,$C264)&gt;1),"; Job number on more than one row","")&amp;IF(AND($C264&lt;&gt;"",H264=""),"; Dept has not set a cost centre","")&amp;IF(AND($C264&lt;&gt;"",J264=""),"; Dept has not set a tax code","")&amp;IF(AND($C264&lt;&gt;"",N264=""),"; Dept has not entered an expected value","")&amp;IF((IF(OR(COUNTA(S264:U264)=0,AND(COUNTA(S264:U264)=3,ISNUMBER(U264))),0,1)+IF(OR(COUNTA(V264:X264)=0,AND(COUNTA(V264:X264)=3,ISNUMBER(X264))),0,1)+IF(OR(COUNTA(Y264:AA264)=0,AND(COUNTA(Y264:AA264)=3,ISNUMBER(AA264))),0,1)+IF(OR(COUNTA(AB264:AD264)=0,AND(COUNTA(AB264:AD264)=3,ISNUMBER(AD264))),0,1)+IF(OR(COUNTA(AE264:AG264)=0,AND(COUNTA(AE264:AG264)=3,ISNUMBER(AG264))),0,1)+IF(OR(COUNTA(AH264:AJ264)=0,AND(COUNTA(AH264:AJ264)=3,ISNUMBER(AJ264))),0,1)+IF(OR(COUNTA(AK264:AM264)=0,AND(COUNTA(AK264:AM264)=3,ISNUMBER(AM264))),0,1)+IF(OR(COUNTA(AN264:AP264)=0,AND(COUNTA(AN264:AP264)=3,ISNUMBER(AP264))),0,1)+IF(OR(COUNTA(AQ264:AS264)=0,AND(COUNTA(AQ264:AS264)=3,ISNUMBER(AS264))),0,1)+IF(OR(COUNTA(AT264:AV264)=0,AND(COUNTA(AT264:AV264)=3,ISNUMBER(AV264))),0,1)+IF(OR(COUNTA(AW264:AY264)=0,AND(COUNTA(AW264:AY264)=3,ISNUMBER(AY264))),0,1)+IF(OR(COUNTA(AZ264:BB264)=0,AND(COUNTA(AZ264:BB264)=3,ISNUMBER(BB264))),0,1))&gt;0,"; An invoice is incomplete (needs No, Date and a number in Ex GST)","")&amp;IF((IF(T264="",0,IFERROR(--(EOMONTH(T264,0)&lt;&gt;S$5),1))+IF(W264="",0,IFERROR(--(EOMONTH(W264,0)&lt;&gt;V$5),1))+IF(Z264="",0,IFERROR(--(EOMONTH(Z264,0)&lt;&gt;Y$5),1))+IF(AC264="",0,IFERROR(--(EOMONTH(AC264,0)&lt;&gt;AB$5),1))+IF(AF264="",0,IFERROR(--(EOMONTH(AF264,0)&lt;&gt;AE$5),1))+IF(AI264="",0,IFERROR(--(EOMONTH(AI264,0)&lt;&gt;AH$5),1))+IF(AL264="",0,IFERROR(--(EOMONTH(AL264,0)&lt;&gt;AK$5),1))+IF(AO264="",0,IFERROR(--(EOMONTH(AO264,0)&lt;&gt;AN$5),1))+IF(AR264="",0,IFERROR(--(EOMONTH(AR264,0)&lt;&gt;AQ$5),1))+IF(AU264="",0,IFERROR(--(EOMONTH(AU264,0)&lt;&gt;AT$5),1))+IF(AX264="",0,IFERROR(--(EOMONTH(AX264,0)&lt;&gt;AW$5),1))+IF(BA264="",0,IFERROR(--(EOMONTH(BA264,0)&lt;&gt;AZ$5),1)))&gt;0,"; An invoice date is not in the month it is typed under",""),3,500))</f>
        <v/>
      </c>
      <c r="S264" s="12" t="n"/>
      <c r="T264" s="13" t="n"/>
      <c r="U264" s="14" t="n"/>
      <c r="V264" s="12" t="n"/>
      <c r="W264" s="13" t="n"/>
      <c r="X264" s="14" t="n"/>
      <c r="Y264" s="12" t="n"/>
      <c r="Z264" s="13" t="n"/>
      <c r="AA264" s="14" t="n"/>
      <c r="AB264" s="12" t="n"/>
      <c r="AC264" s="13" t="n"/>
      <c r="AD264" s="14" t="n"/>
      <c r="AE264" s="12" t="n"/>
      <c r="AF264" s="13" t="n"/>
      <c r="AG264" s="14" t="n"/>
      <c r="AH264" s="12" t="n"/>
      <c r="AI264" s="13" t="n"/>
      <c r="AJ264" s="14" t="n"/>
      <c r="AK264" s="12" t="n"/>
      <c r="AL264" s="13" t="n"/>
      <c r="AM264" s="14" t="n"/>
      <c r="AN264" s="12" t="n"/>
      <c r="AO264" s="13" t="n"/>
      <c r="AP264" s="14" t="n"/>
      <c r="AQ264" s="12" t="n"/>
      <c r="AR264" s="13" t="n"/>
      <c r="AS264" s="14" t="n"/>
      <c r="AT264" s="12" t="n"/>
      <c r="AU264" s="13" t="n"/>
      <c r="AV264" s="14" t="n"/>
      <c r="AW264" s="12" t="n"/>
      <c r="AX264" s="13" t="n"/>
      <c r="AY264" s="14" t="n"/>
      <c r="AZ264" s="12" t="n"/>
      <c r="BA264" s="13" t="n"/>
      <c r="BB264" s="14" t="n"/>
      <c r="BC264" s="11">
        <f>IF(O264="","",IF(J264="GST 10%",ROUND(O264*set_GSTRate,2),0))</f>
        <v/>
      </c>
      <c r="BD264" s="11">
        <f>IF(O264="","",O264+BC264)</f>
        <v/>
      </c>
      <c r="BE264" s="15">
        <f>IF(O264="","",COUNTA(S264,V264,Y264,AB264,AE264,AH264,AK264,AN264,AQ264,AT264,AW264,AZ264))</f>
        <v/>
      </c>
      <c r="BF264" s="16">
        <f>IF(COUNT(T264,W264,Z264,AC264,AF264,AI264,AL264,AO264,AR264,AU264,AX264,BA264)=0,"",MAX(T264,W264,Z264,AC264,AF264,AI264,AL264,AO264,AR264,AU264,AX264,BA264))</f>
        <v/>
      </c>
      <c r="BG264" s="10">
        <f>MID(IF(S264="","",", "&amp;S264)&amp;IF(V264="","",", "&amp;V264)&amp;IF(Y264="","",", "&amp;Y264)&amp;IF(AB264="","",", "&amp;AB264)&amp;IF(AE264="","",", "&amp;AE264)&amp;IF(AH264="","",", "&amp;AH264)&amp;IF(AK264="","",", "&amp;AK264)&amp;IF(AN264="","",", "&amp;AN264)&amp;IF(AQ264="","",", "&amp;AQ264)&amp;IF(AT264="","",", "&amp;AT264)&amp;IF(AW264="","",", "&amp;AW264)&amp;IF(AZ264="","",", "&amp;AZ264),3,500)</f>
        <v/>
      </c>
      <c r="BH264" s="12" t="n"/>
      <c r="BI264" s="15">
        <f>IFERROR(MATCH($A264,IF($B264="Onsite",tbl_Onsite[Row ID],IF($B264="Production",tbl_Production[Row ID],tbl_Consulting[Row ID])),0),"")</f>
        <v/>
      </c>
    </row>
    <row r="265">
      <c r="A265" s="10" t="inlineStr">
        <is>
          <t>ONS-0259</t>
        </is>
      </c>
      <c r="B265" s="10" t="inlineStr">
        <is>
          <t>Onsite</t>
        </is>
      </c>
      <c r="C265" s="10">
        <f>IF($BI265="","",IF($B265="Onsite",INDEX(tbl_Onsite[Job Number],$BI265),IF($B265="Production",INDEX(tbl_Production[Job Number],$BI265),INDEX(tbl_Consulting[Job Number],$BI265)))&amp;"")</f>
        <v/>
      </c>
      <c r="D265" s="10">
        <f>IF($BI265="","",IF($B265="Onsite",INDEX(tbl_Onsite[Client],$BI265),IF($B265="Production",INDEX(tbl_Production[Client],$BI265),INDEX(tbl_Consulting[Client],$BI265)))&amp;"")</f>
        <v/>
      </c>
      <c r="E265" s="10">
        <f>IF($C265="","",IF(COUNTIF(lst_Jobs,$C265)&gt;0,"OK","CHECK"))</f>
        <v/>
      </c>
      <c r="F265" s="10">
        <f>IF($C265="","",IFERROR(INDEX(lst_JobName,MATCH($C265,lst_Jobs,0)),""))</f>
        <v/>
      </c>
      <c r="G265" s="10">
        <f>IF($BI265="","",IF($B265="Onsite",INDEX(tbl_Onsite[Job Description],$BI265),IF($B265="Production",INDEX(tbl_Production[Job Description],$BI265),INDEX(tbl_Consulting[Job Description],$BI265)))&amp;"")</f>
        <v/>
      </c>
      <c r="H265" s="10">
        <f>IF($BI265="","",IF($B265="Onsite",INDEX(tbl_Onsite[Cost Centre],$BI265),IF($B265="Production",INDEX(tbl_Production[Cost Centre],$BI265),INDEX(tbl_Consulting[Cost Centre],$BI265)))&amp;"")</f>
        <v/>
      </c>
      <c r="I265" s="10">
        <f>IF($BI265="","",IF($B265="Onsite",INDEX(tbl_Onsite[Invoice Type],$BI265),IF($B265="Production",INDEX(tbl_Production[Invoice Type],$BI265),INDEX(tbl_Consulting[Invoice Type],$BI265)))&amp;"")</f>
        <v/>
      </c>
      <c r="J265" s="10">
        <f>IF($BI265="","",IF($B265="Onsite",INDEX(tbl_Onsite[Tax Code],$BI265),IF($B265="Production",INDEX(tbl_Production[Tax Code],$BI265),INDEX(tbl_Consulting[Tax Code],$BI265)))&amp;"")</f>
        <v/>
      </c>
      <c r="K265" s="10">
        <f>IF(H265="","",IFERROR(INDEX(lst_CCtoGL,MATCH(H265,lst_CCforGL,0)),""))</f>
        <v/>
      </c>
      <c r="L265" s="10">
        <f>IF($BI265="","",IF($B265="Onsite",INDEX(tbl_Onsite[PO / Reference],$BI265),IF($B265="Production",INDEX(tbl_Production[Current RMS No],$BI265),INDEX(tbl_Consulting[Qwilr Quote],$BI265)))&amp;"")</f>
        <v/>
      </c>
      <c r="M265" s="10">
        <f>IF($BI265="","",IF($B265="Onsite",INDEX(tbl_Onsite[Notes],$BI265),IF($B265="Production",INDEX(tbl_Production[Notes],$BI265),INDEX(tbl_Consulting[Notes],$BI265)))&amp;"")</f>
        <v/>
      </c>
      <c r="N265" s="11">
        <f>IF($BI265="","",IF(IF($B265="Onsite",INDEX(tbl_Onsite[Expected Revenue Ex GST],$BI265),IF($B265="Production",INDEX(tbl_Production[Expected Revenue Ex GST],$BI265),INDEX(tbl_Consulting[Expected Revenue Ex GST],$BI265)))="","",IF($B265="Onsite",INDEX(tbl_Onsite[Expected Revenue Ex GST],$BI265),IF($B265="Production",INDEX(tbl_Production[Expected Revenue Ex GST],$BI265),INDEX(tbl_Consulting[Expected Revenue Ex GST],$BI265)))))</f>
        <v/>
      </c>
      <c r="O265" s="11">
        <f>IF(AND($C265="",NOT(COUNTA($S265:$BB265)&gt;0)),"",SUM(U265,X265,AA265,AD265,AG265,AJ265,AM265,AP265,AS265,AV265,AY265,BB265))</f>
        <v/>
      </c>
      <c r="P265" s="11">
        <f>IF(O265="","",N(N265)-O265)</f>
        <v/>
      </c>
      <c r="Q265" s="10">
        <f>IF(O265="","",IF($C265="","Invoice on empty job row",IF(N265="",IF(ROUND(O265,2)=0,"No dept value","Invoiced - no dept value"),IF(ROUND(O265,2)=0,"Not invoiced - to invoice",IF(ROUND(P265,2)=0,"Agrees",IF(P265&gt;0,"Dept higher - to invoice","Xero higher - check dept"))))))</f>
        <v/>
      </c>
      <c r="R265" s="10">
        <f>IF(AND($C265="",NOT(COUNTA($S265:$BB265)&gt;0),$BI265&lt;&gt;""),"",MID(IF($BI265="","; Row ID not found on the department sheet - a row was deleted","")&amp;IF(AND($C265="",COUNTA($S265:$BB265)&gt;0),"; Invoice entered but the department row has no job number","")&amp;IF(E265="CHECK","; Job number not in the Xero job list","")&amp;IF(AND($C265&lt;&gt;"",COUNTIF($C$7:$C$1506,$C265)&gt;1),"; Job number on more than one row","")&amp;IF(AND($C265&lt;&gt;"",H265=""),"; Dept has not set a cost centre","")&amp;IF(AND($C265&lt;&gt;"",J265=""),"; Dept has not set a tax code","")&amp;IF(AND($C265&lt;&gt;"",N265=""),"; Dept has not entered an expected value","")&amp;IF((IF(OR(COUNTA(S265:U265)=0,AND(COUNTA(S265:U265)=3,ISNUMBER(U265))),0,1)+IF(OR(COUNTA(V265:X265)=0,AND(COUNTA(V265:X265)=3,ISNUMBER(X265))),0,1)+IF(OR(COUNTA(Y265:AA265)=0,AND(COUNTA(Y265:AA265)=3,ISNUMBER(AA265))),0,1)+IF(OR(COUNTA(AB265:AD265)=0,AND(COUNTA(AB265:AD265)=3,ISNUMBER(AD265))),0,1)+IF(OR(COUNTA(AE265:AG265)=0,AND(COUNTA(AE265:AG265)=3,ISNUMBER(AG265))),0,1)+IF(OR(COUNTA(AH265:AJ265)=0,AND(COUNTA(AH265:AJ265)=3,ISNUMBER(AJ265))),0,1)+IF(OR(COUNTA(AK265:AM265)=0,AND(COUNTA(AK265:AM265)=3,ISNUMBER(AM265))),0,1)+IF(OR(COUNTA(AN265:AP265)=0,AND(COUNTA(AN265:AP265)=3,ISNUMBER(AP265))),0,1)+IF(OR(COUNTA(AQ265:AS265)=0,AND(COUNTA(AQ265:AS265)=3,ISNUMBER(AS265))),0,1)+IF(OR(COUNTA(AT265:AV265)=0,AND(COUNTA(AT265:AV265)=3,ISNUMBER(AV265))),0,1)+IF(OR(COUNTA(AW265:AY265)=0,AND(COUNTA(AW265:AY265)=3,ISNUMBER(AY265))),0,1)+IF(OR(COUNTA(AZ265:BB265)=0,AND(COUNTA(AZ265:BB265)=3,ISNUMBER(BB265))),0,1))&gt;0,"; An invoice is incomplete (needs No, Date and a number in Ex GST)","")&amp;IF((IF(T265="",0,IFERROR(--(EOMONTH(T265,0)&lt;&gt;S$5),1))+IF(W265="",0,IFERROR(--(EOMONTH(W265,0)&lt;&gt;V$5),1))+IF(Z265="",0,IFERROR(--(EOMONTH(Z265,0)&lt;&gt;Y$5),1))+IF(AC265="",0,IFERROR(--(EOMONTH(AC265,0)&lt;&gt;AB$5),1))+IF(AF265="",0,IFERROR(--(EOMONTH(AF265,0)&lt;&gt;AE$5),1))+IF(AI265="",0,IFERROR(--(EOMONTH(AI265,0)&lt;&gt;AH$5),1))+IF(AL265="",0,IFERROR(--(EOMONTH(AL265,0)&lt;&gt;AK$5),1))+IF(AO265="",0,IFERROR(--(EOMONTH(AO265,0)&lt;&gt;AN$5),1))+IF(AR265="",0,IFERROR(--(EOMONTH(AR265,0)&lt;&gt;AQ$5),1))+IF(AU265="",0,IFERROR(--(EOMONTH(AU265,0)&lt;&gt;AT$5),1))+IF(AX265="",0,IFERROR(--(EOMONTH(AX265,0)&lt;&gt;AW$5),1))+IF(BA265="",0,IFERROR(--(EOMONTH(BA265,0)&lt;&gt;AZ$5),1)))&gt;0,"; An invoice date is not in the month it is typed under",""),3,500))</f>
        <v/>
      </c>
      <c r="S265" s="12" t="n"/>
      <c r="T265" s="13" t="n"/>
      <c r="U265" s="14" t="n"/>
      <c r="V265" s="12" t="n"/>
      <c r="W265" s="13" t="n"/>
      <c r="X265" s="14" t="n"/>
      <c r="Y265" s="12" t="n"/>
      <c r="Z265" s="13" t="n"/>
      <c r="AA265" s="14" t="n"/>
      <c r="AB265" s="12" t="n"/>
      <c r="AC265" s="13" t="n"/>
      <c r="AD265" s="14" t="n"/>
      <c r="AE265" s="12" t="n"/>
      <c r="AF265" s="13" t="n"/>
      <c r="AG265" s="14" t="n"/>
      <c r="AH265" s="12" t="n"/>
      <c r="AI265" s="13" t="n"/>
      <c r="AJ265" s="14" t="n"/>
      <c r="AK265" s="12" t="n"/>
      <c r="AL265" s="13" t="n"/>
      <c r="AM265" s="14" t="n"/>
      <c r="AN265" s="12" t="n"/>
      <c r="AO265" s="13" t="n"/>
      <c r="AP265" s="14" t="n"/>
      <c r="AQ265" s="12" t="n"/>
      <c r="AR265" s="13" t="n"/>
      <c r="AS265" s="14" t="n"/>
      <c r="AT265" s="12" t="n"/>
      <c r="AU265" s="13" t="n"/>
      <c r="AV265" s="14" t="n"/>
      <c r="AW265" s="12" t="n"/>
      <c r="AX265" s="13" t="n"/>
      <c r="AY265" s="14" t="n"/>
      <c r="AZ265" s="12" t="n"/>
      <c r="BA265" s="13" t="n"/>
      <c r="BB265" s="14" t="n"/>
      <c r="BC265" s="11">
        <f>IF(O265="","",IF(J265="GST 10%",ROUND(O265*set_GSTRate,2),0))</f>
        <v/>
      </c>
      <c r="BD265" s="11">
        <f>IF(O265="","",O265+BC265)</f>
        <v/>
      </c>
      <c r="BE265" s="15">
        <f>IF(O265="","",COUNTA(S265,V265,Y265,AB265,AE265,AH265,AK265,AN265,AQ265,AT265,AW265,AZ265))</f>
        <v/>
      </c>
      <c r="BF265" s="16">
        <f>IF(COUNT(T265,W265,Z265,AC265,AF265,AI265,AL265,AO265,AR265,AU265,AX265,BA265)=0,"",MAX(T265,W265,Z265,AC265,AF265,AI265,AL265,AO265,AR265,AU265,AX265,BA265))</f>
        <v/>
      </c>
      <c r="BG265" s="10">
        <f>MID(IF(S265="","",", "&amp;S265)&amp;IF(V265="","",", "&amp;V265)&amp;IF(Y265="","",", "&amp;Y265)&amp;IF(AB265="","",", "&amp;AB265)&amp;IF(AE265="","",", "&amp;AE265)&amp;IF(AH265="","",", "&amp;AH265)&amp;IF(AK265="","",", "&amp;AK265)&amp;IF(AN265="","",", "&amp;AN265)&amp;IF(AQ265="","",", "&amp;AQ265)&amp;IF(AT265="","",", "&amp;AT265)&amp;IF(AW265="","",", "&amp;AW265)&amp;IF(AZ265="","",", "&amp;AZ265),3,500)</f>
        <v/>
      </c>
      <c r="BH265" s="12" t="n"/>
      <c r="BI265" s="15">
        <f>IFERROR(MATCH($A265,IF($B265="Onsite",tbl_Onsite[Row ID],IF($B265="Production",tbl_Production[Row ID],tbl_Consulting[Row ID])),0),"")</f>
        <v/>
      </c>
    </row>
    <row r="266">
      <c r="A266" s="10" t="inlineStr">
        <is>
          <t>ONS-0260</t>
        </is>
      </c>
      <c r="B266" s="10" t="inlineStr">
        <is>
          <t>Onsite</t>
        </is>
      </c>
      <c r="C266" s="10">
        <f>IF($BI266="","",IF($B266="Onsite",INDEX(tbl_Onsite[Job Number],$BI266),IF($B266="Production",INDEX(tbl_Production[Job Number],$BI266),INDEX(tbl_Consulting[Job Number],$BI266)))&amp;"")</f>
        <v/>
      </c>
      <c r="D266" s="10">
        <f>IF($BI266="","",IF($B266="Onsite",INDEX(tbl_Onsite[Client],$BI266),IF($B266="Production",INDEX(tbl_Production[Client],$BI266),INDEX(tbl_Consulting[Client],$BI266)))&amp;"")</f>
        <v/>
      </c>
      <c r="E266" s="10">
        <f>IF($C266="","",IF(COUNTIF(lst_Jobs,$C266)&gt;0,"OK","CHECK"))</f>
        <v/>
      </c>
      <c r="F266" s="10">
        <f>IF($C266="","",IFERROR(INDEX(lst_JobName,MATCH($C266,lst_Jobs,0)),""))</f>
        <v/>
      </c>
      <c r="G266" s="10">
        <f>IF($BI266="","",IF($B266="Onsite",INDEX(tbl_Onsite[Job Description],$BI266),IF($B266="Production",INDEX(tbl_Production[Job Description],$BI266),INDEX(tbl_Consulting[Job Description],$BI266)))&amp;"")</f>
        <v/>
      </c>
      <c r="H266" s="10">
        <f>IF($BI266="","",IF($B266="Onsite",INDEX(tbl_Onsite[Cost Centre],$BI266),IF($B266="Production",INDEX(tbl_Production[Cost Centre],$BI266),INDEX(tbl_Consulting[Cost Centre],$BI266)))&amp;"")</f>
        <v/>
      </c>
      <c r="I266" s="10">
        <f>IF($BI266="","",IF($B266="Onsite",INDEX(tbl_Onsite[Invoice Type],$BI266),IF($B266="Production",INDEX(tbl_Production[Invoice Type],$BI266),INDEX(tbl_Consulting[Invoice Type],$BI266)))&amp;"")</f>
        <v/>
      </c>
      <c r="J266" s="10">
        <f>IF($BI266="","",IF($B266="Onsite",INDEX(tbl_Onsite[Tax Code],$BI266),IF($B266="Production",INDEX(tbl_Production[Tax Code],$BI266),INDEX(tbl_Consulting[Tax Code],$BI266)))&amp;"")</f>
        <v/>
      </c>
      <c r="K266" s="10">
        <f>IF(H266="","",IFERROR(INDEX(lst_CCtoGL,MATCH(H266,lst_CCforGL,0)),""))</f>
        <v/>
      </c>
      <c r="L266" s="10">
        <f>IF($BI266="","",IF($B266="Onsite",INDEX(tbl_Onsite[PO / Reference],$BI266),IF($B266="Production",INDEX(tbl_Production[Current RMS No],$BI266),INDEX(tbl_Consulting[Qwilr Quote],$BI266)))&amp;"")</f>
        <v/>
      </c>
      <c r="M266" s="10">
        <f>IF($BI266="","",IF($B266="Onsite",INDEX(tbl_Onsite[Notes],$BI266),IF($B266="Production",INDEX(tbl_Production[Notes],$BI266),INDEX(tbl_Consulting[Notes],$BI266)))&amp;"")</f>
        <v/>
      </c>
      <c r="N266" s="11">
        <f>IF($BI266="","",IF(IF($B266="Onsite",INDEX(tbl_Onsite[Expected Revenue Ex GST],$BI266),IF($B266="Production",INDEX(tbl_Production[Expected Revenue Ex GST],$BI266),INDEX(tbl_Consulting[Expected Revenue Ex GST],$BI266)))="","",IF($B266="Onsite",INDEX(tbl_Onsite[Expected Revenue Ex GST],$BI266),IF($B266="Production",INDEX(tbl_Production[Expected Revenue Ex GST],$BI266),INDEX(tbl_Consulting[Expected Revenue Ex GST],$BI266)))))</f>
        <v/>
      </c>
      <c r="O266" s="11">
        <f>IF(AND($C266="",NOT(COUNTA($S266:$BB266)&gt;0)),"",SUM(U266,X266,AA266,AD266,AG266,AJ266,AM266,AP266,AS266,AV266,AY266,BB266))</f>
        <v/>
      </c>
      <c r="P266" s="11">
        <f>IF(O266="","",N(N266)-O266)</f>
        <v/>
      </c>
      <c r="Q266" s="10">
        <f>IF(O266="","",IF($C266="","Invoice on empty job row",IF(N266="",IF(ROUND(O266,2)=0,"No dept value","Invoiced - no dept value"),IF(ROUND(O266,2)=0,"Not invoiced - to invoice",IF(ROUND(P266,2)=0,"Agrees",IF(P266&gt;0,"Dept higher - to invoice","Xero higher - check dept"))))))</f>
        <v/>
      </c>
      <c r="R266" s="10">
        <f>IF(AND($C266="",NOT(COUNTA($S266:$BB266)&gt;0),$BI266&lt;&gt;""),"",MID(IF($BI266="","; Row ID not found on the department sheet - a row was deleted","")&amp;IF(AND($C266="",COUNTA($S266:$BB266)&gt;0),"; Invoice entered but the department row has no job number","")&amp;IF(E266="CHECK","; Job number not in the Xero job list","")&amp;IF(AND($C266&lt;&gt;"",COUNTIF($C$7:$C$1506,$C266)&gt;1),"; Job number on more than one row","")&amp;IF(AND($C266&lt;&gt;"",H266=""),"; Dept has not set a cost centre","")&amp;IF(AND($C266&lt;&gt;"",J266=""),"; Dept has not set a tax code","")&amp;IF(AND($C266&lt;&gt;"",N266=""),"; Dept has not entered an expected value","")&amp;IF((IF(OR(COUNTA(S266:U266)=0,AND(COUNTA(S266:U266)=3,ISNUMBER(U266))),0,1)+IF(OR(COUNTA(V266:X266)=0,AND(COUNTA(V266:X266)=3,ISNUMBER(X266))),0,1)+IF(OR(COUNTA(Y266:AA266)=0,AND(COUNTA(Y266:AA266)=3,ISNUMBER(AA266))),0,1)+IF(OR(COUNTA(AB266:AD266)=0,AND(COUNTA(AB266:AD266)=3,ISNUMBER(AD266))),0,1)+IF(OR(COUNTA(AE266:AG266)=0,AND(COUNTA(AE266:AG266)=3,ISNUMBER(AG266))),0,1)+IF(OR(COUNTA(AH266:AJ266)=0,AND(COUNTA(AH266:AJ266)=3,ISNUMBER(AJ266))),0,1)+IF(OR(COUNTA(AK266:AM266)=0,AND(COUNTA(AK266:AM266)=3,ISNUMBER(AM266))),0,1)+IF(OR(COUNTA(AN266:AP266)=0,AND(COUNTA(AN266:AP266)=3,ISNUMBER(AP266))),0,1)+IF(OR(COUNTA(AQ266:AS266)=0,AND(COUNTA(AQ266:AS266)=3,ISNUMBER(AS266))),0,1)+IF(OR(COUNTA(AT266:AV266)=0,AND(COUNTA(AT266:AV266)=3,ISNUMBER(AV266))),0,1)+IF(OR(COUNTA(AW266:AY266)=0,AND(COUNTA(AW266:AY266)=3,ISNUMBER(AY266))),0,1)+IF(OR(COUNTA(AZ266:BB266)=0,AND(COUNTA(AZ266:BB266)=3,ISNUMBER(BB266))),0,1))&gt;0,"; An invoice is incomplete (needs No, Date and a number in Ex GST)","")&amp;IF((IF(T266="",0,IFERROR(--(EOMONTH(T266,0)&lt;&gt;S$5),1))+IF(W266="",0,IFERROR(--(EOMONTH(W266,0)&lt;&gt;V$5),1))+IF(Z266="",0,IFERROR(--(EOMONTH(Z266,0)&lt;&gt;Y$5),1))+IF(AC266="",0,IFERROR(--(EOMONTH(AC266,0)&lt;&gt;AB$5),1))+IF(AF266="",0,IFERROR(--(EOMONTH(AF266,0)&lt;&gt;AE$5),1))+IF(AI266="",0,IFERROR(--(EOMONTH(AI266,0)&lt;&gt;AH$5),1))+IF(AL266="",0,IFERROR(--(EOMONTH(AL266,0)&lt;&gt;AK$5),1))+IF(AO266="",0,IFERROR(--(EOMONTH(AO266,0)&lt;&gt;AN$5),1))+IF(AR266="",0,IFERROR(--(EOMONTH(AR266,0)&lt;&gt;AQ$5),1))+IF(AU266="",0,IFERROR(--(EOMONTH(AU266,0)&lt;&gt;AT$5),1))+IF(AX266="",0,IFERROR(--(EOMONTH(AX266,0)&lt;&gt;AW$5),1))+IF(BA266="",0,IFERROR(--(EOMONTH(BA266,0)&lt;&gt;AZ$5),1)))&gt;0,"; An invoice date is not in the month it is typed under",""),3,500))</f>
        <v/>
      </c>
      <c r="S266" s="12" t="n"/>
      <c r="T266" s="13" t="n"/>
      <c r="U266" s="14" t="n"/>
      <c r="V266" s="12" t="n"/>
      <c r="W266" s="13" t="n"/>
      <c r="X266" s="14" t="n"/>
      <c r="Y266" s="12" t="n"/>
      <c r="Z266" s="13" t="n"/>
      <c r="AA266" s="14" t="n"/>
      <c r="AB266" s="12" t="n"/>
      <c r="AC266" s="13" t="n"/>
      <c r="AD266" s="14" t="n"/>
      <c r="AE266" s="12" t="n"/>
      <c r="AF266" s="13" t="n"/>
      <c r="AG266" s="14" t="n"/>
      <c r="AH266" s="12" t="n"/>
      <c r="AI266" s="13" t="n"/>
      <c r="AJ266" s="14" t="n"/>
      <c r="AK266" s="12" t="n"/>
      <c r="AL266" s="13" t="n"/>
      <c r="AM266" s="14" t="n"/>
      <c r="AN266" s="12" t="n"/>
      <c r="AO266" s="13" t="n"/>
      <c r="AP266" s="14" t="n"/>
      <c r="AQ266" s="12" t="n"/>
      <c r="AR266" s="13" t="n"/>
      <c r="AS266" s="14" t="n"/>
      <c r="AT266" s="12" t="n"/>
      <c r="AU266" s="13" t="n"/>
      <c r="AV266" s="14" t="n"/>
      <c r="AW266" s="12" t="n"/>
      <c r="AX266" s="13" t="n"/>
      <c r="AY266" s="14" t="n"/>
      <c r="AZ266" s="12" t="n"/>
      <c r="BA266" s="13" t="n"/>
      <c r="BB266" s="14" t="n"/>
      <c r="BC266" s="11">
        <f>IF(O266="","",IF(J266="GST 10%",ROUND(O266*set_GSTRate,2),0))</f>
        <v/>
      </c>
      <c r="BD266" s="11">
        <f>IF(O266="","",O266+BC266)</f>
        <v/>
      </c>
      <c r="BE266" s="15">
        <f>IF(O266="","",COUNTA(S266,V266,Y266,AB266,AE266,AH266,AK266,AN266,AQ266,AT266,AW266,AZ266))</f>
        <v/>
      </c>
      <c r="BF266" s="16">
        <f>IF(COUNT(T266,W266,Z266,AC266,AF266,AI266,AL266,AO266,AR266,AU266,AX266,BA266)=0,"",MAX(T266,W266,Z266,AC266,AF266,AI266,AL266,AO266,AR266,AU266,AX266,BA266))</f>
        <v/>
      </c>
      <c r="BG266" s="10">
        <f>MID(IF(S266="","",", "&amp;S266)&amp;IF(V266="","",", "&amp;V266)&amp;IF(Y266="","",", "&amp;Y266)&amp;IF(AB266="","",", "&amp;AB266)&amp;IF(AE266="","",", "&amp;AE266)&amp;IF(AH266="","",", "&amp;AH266)&amp;IF(AK266="","",", "&amp;AK266)&amp;IF(AN266="","",", "&amp;AN266)&amp;IF(AQ266="","",", "&amp;AQ266)&amp;IF(AT266="","",", "&amp;AT266)&amp;IF(AW266="","",", "&amp;AW266)&amp;IF(AZ266="","",", "&amp;AZ266),3,500)</f>
        <v/>
      </c>
      <c r="BH266" s="12" t="n"/>
      <c r="BI266" s="15">
        <f>IFERROR(MATCH($A266,IF($B266="Onsite",tbl_Onsite[Row ID],IF($B266="Production",tbl_Production[Row ID],tbl_Consulting[Row ID])),0),"")</f>
        <v/>
      </c>
    </row>
    <row r="267">
      <c r="A267" s="10" t="inlineStr">
        <is>
          <t>ONS-0261</t>
        </is>
      </c>
      <c r="B267" s="10" t="inlineStr">
        <is>
          <t>Onsite</t>
        </is>
      </c>
      <c r="C267" s="10">
        <f>IF($BI267="","",IF($B267="Onsite",INDEX(tbl_Onsite[Job Number],$BI267),IF($B267="Production",INDEX(tbl_Production[Job Number],$BI267),INDEX(tbl_Consulting[Job Number],$BI267)))&amp;"")</f>
        <v/>
      </c>
      <c r="D267" s="10">
        <f>IF($BI267="","",IF($B267="Onsite",INDEX(tbl_Onsite[Client],$BI267),IF($B267="Production",INDEX(tbl_Production[Client],$BI267),INDEX(tbl_Consulting[Client],$BI267)))&amp;"")</f>
        <v/>
      </c>
      <c r="E267" s="10">
        <f>IF($C267="","",IF(COUNTIF(lst_Jobs,$C267)&gt;0,"OK","CHECK"))</f>
        <v/>
      </c>
      <c r="F267" s="10">
        <f>IF($C267="","",IFERROR(INDEX(lst_JobName,MATCH($C267,lst_Jobs,0)),""))</f>
        <v/>
      </c>
      <c r="G267" s="10">
        <f>IF($BI267="","",IF($B267="Onsite",INDEX(tbl_Onsite[Job Description],$BI267),IF($B267="Production",INDEX(tbl_Production[Job Description],$BI267),INDEX(tbl_Consulting[Job Description],$BI267)))&amp;"")</f>
        <v/>
      </c>
      <c r="H267" s="10">
        <f>IF($BI267="","",IF($B267="Onsite",INDEX(tbl_Onsite[Cost Centre],$BI267),IF($B267="Production",INDEX(tbl_Production[Cost Centre],$BI267),INDEX(tbl_Consulting[Cost Centre],$BI267)))&amp;"")</f>
        <v/>
      </c>
      <c r="I267" s="10">
        <f>IF($BI267="","",IF($B267="Onsite",INDEX(tbl_Onsite[Invoice Type],$BI267),IF($B267="Production",INDEX(tbl_Production[Invoice Type],$BI267),INDEX(tbl_Consulting[Invoice Type],$BI267)))&amp;"")</f>
        <v/>
      </c>
      <c r="J267" s="10">
        <f>IF($BI267="","",IF($B267="Onsite",INDEX(tbl_Onsite[Tax Code],$BI267),IF($B267="Production",INDEX(tbl_Production[Tax Code],$BI267),INDEX(tbl_Consulting[Tax Code],$BI267)))&amp;"")</f>
        <v/>
      </c>
      <c r="K267" s="10">
        <f>IF(H267="","",IFERROR(INDEX(lst_CCtoGL,MATCH(H267,lst_CCforGL,0)),""))</f>
        <v/>
      </c>
      <c r="L267" s="10">
        <f>IF($BI267="","",IF($B267="Onsite",INDEX(tbl_Onsite[PO / Reference],$BI267),IF($B267="Production",INDEX(tbl_Production[Current RMS No],$BI267),INDEX(tbl_Consulting[Qwilr Quote],$BI267)))&amp;"")</f>
        <v/>
      </c>
      <c r="M267" s="10">
        <f>IF($BI267="","",IF($B267="Onsite",INDEX(tbl_Onsite[Notes],$BI267),IF($B267="Production",INDEX(tbl_Production[Notes],$BI267),INDEX(tbl_Consulting[Notes],$BI267)))&amp;"")</f>
        <v/>
      </c>
      <c r="N267" s="11">
        <f>IF($BI267="","",IF(IF($B267="Onsite",INDEX(tbl_Onsite[Expected Revenue Ex GST],$BI267),IF($B267="Production",INDEX(tbl_Production[Expected Revenue Ex GST],$BI267),INDEX(tbl_Consulting[Expected Revenue Ex GST],$BI267)))="","",IF($B267="Onsite",INDEX(tbl_Onsite[Expected Revenue Ex GST],$BI267),IF($B267="Production",INDEX(tbl_Production[Expected Revenue Ex GST],$BI267),INDEX(tbl_Consulting[Expected Revenue Ex GST],$BI267)))))</f>
        <v/>
      </c>
      <c r="O267" s="11">
        <f>IF(AND($C267="",NOT(COUNTA($S267:$BB267)&gt;0)),"",SUM(U267,X267,AA267,AD267,AG267,AJ267,AM267,AP267,AS267,AV267,AY267,BB267))</f>
        <v/>
      </c>
      <c r="P267" s="11">
        <f>IF(O267="","",N(N267)-O267)</f>
        <v/>
      </c>
      <c r="Q267" s="10">
        <f>IF(O267="","",IF($C267="","Invoice on empty job row",IF(N267="",IF(ROUND(O267,2)=0,"No dept value","Invoiced - no dept value"),IF(ROUND(O267,2)=0,"Not invoiced - to invoice",IF(ROUND(P267,2)=0,"Agrees",IF(P267&gt;0,"Dept higher - to invoice","Xero higher - check dept"))))))</f>
        <v/>
      </c>
      <c r="R267" s="10">
        <f>IF(AND($C267="",NOT(COUNTA($S267:$BB267)&gt;0),$BI267&lt;&gt;""),"",MID(IF($BI267="","; Row ID not found on the department sheet - a row was deleted","")&amp;IF(AND($C267="",COUNTA($S267:$BB267)&gt;0),"; Invoice entered but the department row has no job number","")&amp;IF(E267="CHECK","; Job number not in the Xero job list","")&amp;IF(AND($C267&lt;&gt;"",COUNTIF($C$7:$C$1506,$C267)&gt;1),"; Job number on more than one row","")&amp;IF(AND($C267&lt;&gt;"",H267=""),"; Dept has not set a cost centre","")&amp;IF(AND($C267&lt;&gt;"",J267=""),"; Dept has not set a tax code","")&amp;IF(AND($C267&lt;&gt;"",N267=""),"; Dept has not entered an expected value","")&amp;IF((IF(OR(COUNTA(S267:U267)=0,AND(COUNTA(S267:U267)=3,ISNUMBER(U267))),0,1)+IF(OR(COUNTA(V267:X267)=0,AND(COUNTA(V267:X267)=3,ISNUMBER(X267))),0,1)+IF(OR(COUNTA(Y267:AA267)=0,AND(COUNTA(Y267:AA267)=3,ISNUMBER(AA267))),0,1)+IF(OR(COUNTA(AB267:AD267)=0,AND(COUNTA(AB267:AD267)=3,ISNUMBER(AD267))),0,1)+IF(OR(COUNTA(AE267:AG267)=0,AND(COUNTA(AE267:AG267)=3,ISNUMBER(AG267))),0,1)+IF(OR(COUNTA(AH267:AJ267)=0,AND(COUNTA(AH267:AJ267)=3,ISNUMBER(AJ267))),0,1)+IF(OR(COUNTA(AK267:AM267)=0,AND(COUNTA(AK267:AM267)=3,ISNUMBER(AM267))),0,1)+IF(OR(COUNTA(AN267:AP267)=0,AND(COUNTA(AN267:AP267)=3,ISNUMBER(AP267))),0,1)+IF(OR(COUNTA(AQ267:AS267)=0,AND(COUNTA(AQ267:AS267)=3,ISNUMBER(AS267))),0,1)+IF(OR(COUNTA(AT267:AV267)=0,AND(COUNTA(AT267:AV267)=3,ISNUMBER(AV267))),0,1)+IF(OR(COUNTA(AW267:AY267)=0,AND(COUNTA(AW267:AY267)=3,ISNUMBER(AY267))),0,1)+IF(OR(COUNTA(AZ267:BB267)=0,AND(COUNTA(AZ267:BB267)=3,ISNUMBER(BB267))),0,1))&gt;0,"; An invoice is incomplete (needs No, Date and a number in Ex GST)","")&amp;IF((IF(T267="",0,IFERROR(--(EOMONTH(T267,0)&lt;&gt;S$5),1))+IF(W267="",0,IFERROR(--(EOMONTH(W267,0)&lt;&gt;V$5),1))+IF(Z267="",0,IFERROR(--(EOMONTH(Z267,0)&lt;&gt;Y$5),1))+IF(AC267="",0,IFERROR(--(EOMONTH(AC267,0)&lt;&gt;AB$5),1))+IF(AF267="",0,IFERROR(--(EOMONTH(AF267,0)&lt;&gt;AE$5),1))+IF(AI267="",0,IFERROR(--(EOMONTH(AI267,0)&lt;&gt;AH$5),1))+IF(AL267="",0,IFERROR(--(EOMONTH(AL267,0)&lt;&gt;AK$5),1))+IF(AO267="",0,IFERROR(--(EOMONTH(AO267,0)&lt;&gt;AN$5),1))+IF(AR267="",0,IFERROR(--(EOMONTH(AR267,0)&lt;&gt;AQ$5),1))+IF(AU267="",0,IFERROR(--(EOMONTH(AU267,0)&lt;&gt;AT$5),1))+IF(AX267="",0,IFERROR(--(EOMONTH(AX267,0)&lt;&gt;AW$5),1))+IF(BA267="",0,IFERROR(--(EOMONTH(BA267,0)&lt;&gt;AZ$5),1)))&gt;0,"; An invoice date is not in the month it is typed under",""),3,500))</f>
        <v/>
      </c>
      <c r="S267" s="12" t="n"/>
      <c r="T267" s="13" t="n"/>
      <c r="U267" s="14" t="n"/>
      <c r="V267" s="12" t="n"/>
      <c r="W267" s="13" t="n"/>
      <c r="X267" s="14" t="n"/>
      <c r="Y267" s="12" t="n"/>
      <c r="Z267" s="13" t="n"/>
      <c r="AA267" s="14" t="n"/>
      <c r="AB267" s="12" t="n"/>
      <c r="AC267" s="13" t="n"/>
      <c r="AD267" s="14" t="n"/>
      <c r="AE267" s="12" t="n"/>
      <c r="AF267" s="13" t="n"/>
      <c r="AG267" s="14" t="n"/>
      <c r="AH267" s="12" t="n"/>
      <c r="AI267" s="13" t="n"/>
      <c r="AJ267" s="14" t="n"/>
      <c r="AK267" s="12" t="n"/>
      <c r="AL267" s="13" t="n"/>
      <c r="AM267" s="14" t="n"/>
      <c r="AN267" s="12" t="n"/>
      <c r="AO267" s="13" t="n"/>
      <c r="AP267" s="14" t="n"/>
      <c r="AQ267" s="12" t="n"/>
      <c r="AR267" s="13" t="n"/>
      <c r="AS267" s="14" t="n"/>
      <c r="AT267" s="12" t="n"/>
      <c r="AU267" s="13" t="n"/>
      <c r="AV267" s="14" t="n"/>
      <c r="AW267" s="12" t="n"/>
      <c r="AX267" s="13" t="n"/>
      <c r="AY267" s="14" t="n"/>
      <c r="AZ267" s="12" t="n"/>
      <c r="BA267" s="13" t="n"/>
      <c r="BB267" s="14" t="n"/>
      <c r="BC267" s="11">
        <f>IF(O267="","",IF(J267="GST 10%",ROUND(O267*set_GSTRate,2),0))</f>
        <v/>
      </c>
      <c r="BD267" s="11">
        <f>IF(O267="","",O267+BC267)</f>
        <v/>
      </c>
      <c r="BE267" s="15">
        <f>IF(O267="","",COUNTA(S267,V267,Y267,AB267,AE267,AH267,AK267,AN267,AQ267,AT267,AW267,AZ267))</f>
        <v/>
      </c>
      <c r="BF267" s="16">
        <f>IF(COUNT(T267,W267,Z267,AC267,AF267,AI267,AL267,AO267,AR267,AU267,AX267,BA267)=0,"",MAX(T267,W267,Z267,AC267,AF267,AI267,AL267,AO267,AR267,AU267,AX267,BA267))</f>
        <v/>
      </c>
      <c r="BG267" s="10">
        <f>MID(IF(S267="","",", "&amp;S267)&amp;IF(V267="","",", "&amp;V267)&amp;IF(Y267="","",", "&amp;Y267)&amp;IF(AB267="","",", "&amp;AB267)&amp;IF(AE267="","",", "&amp;AE267)&amp;IF(AH267="","",", "&amp;AH267)&amp;IF(AK267="","",", "&amp;AK267)&amp;IF(AN267="","",", "&amp;AN267)&amp;IF(AQ267="","",", "&amp;AQ267)&amp;IF(AT267="","",", "&amp;AT267)&amp;IF(AW267="","",", "&amp;AW267)&amp;IF(AZ267="","",", "&amp;AZ267),3,500)</f>
        <v/>
      </c>
      <c r="BH267" s="12" t="n"/>
      <c r="BI267" s="15">
        <f>IFERROR(MATCH($A267,IF($B267="Onsite",tbl_Onsite[Row ID],IF($B267="Production",tbl_Production[Row ID],tbl_Consulting[Row ID])),0),"")</f>
        <v/>
      </c>
    </row>
    <row r="268">
      <c r="A268" s="10" t="inlineStr">
        <is>
          <t>ONS-0262</t>
        </is>
      </c>
      <c r="B268" s="10" t="inlineStr">
        <is>
          <t>Onsite</t>
        </is>
      </c>
      <c r="C268" s="10">
        <f>IF($BI268="","",IF($B268="Onsite",INDEX(tbl_Onsite[Job Number],$BI268),IF($B268="Production",INDEX(tbl_Production[Job Number],$BI268),INDEX(tbl_Consulting[Job Number],$BI268)))&amp;"")</f>
        <v/>
      </c>
      <c r="D268" s="10">
        <f>IF($BI268="","",IF($B268="Onsite",INDEX(tbl_Onsite[Client],$BI268),IF($B268="Production",INDEX(tbl_Production[Client],$BI268),INDEX(tbl_Consulting[Client],$BI268)))&amp;"")</f>
        <v/>
      </c>
      <c r="E268" s="10">
        <f>IF($C268="","",IF(COUNTIF(lst_Jobs,$C268)&gt;0,"OK","CHECK"))</f>
        <v/>
      </c>
      <c r="F268" s="10">
        <f>IF($C268="","",IFERROR(INDEX(lst_JobName,MATCH($C268,lst_Jobs,0)),""))</f>
        <v/>
      </c>
      <c r="G268" s="10">
        <f>IF($BI268="","",IF($B268="Onsite",INDEX(tbl_Onsite[Job Description],$BI268),IF($B268="Production",INDEX(tbl_Production[Job Description],$BI268),INDEX(tbl_Consulting[Job Description],$BI268)))&amp;"")</f>
        <v/>
      </c>
      <c r="H268" s="10">
        <f>IF($BI268="","",IF($B268="Onsite",INDEX(tbl_Onsite[Cost Centre],$BI268),IF($B268="Production",INDEX(tbl_Production[Cost Centre],$BI268),INDEX(tbl_Consulting[Cost Centre],$BI268)))&amp;"")</f>
        <v/>
      </c>
      <c r="I268" s="10">
        <f>IF($BI268="","",IF($B268="Onsite",INDEX(tbl_Onsite[Invoice Type],$BI268),IF($B268="Production",INDEX(tbl_Production[Invoice Type],$BI268),INDEX(tbl_Consulting[Invoice Type],$BI268)))&amp;"")</f>
        <v/>
      </c>
      <c r="J268" s="10">
        <f>IF($BI268="","",IF($B268="Onsite",INDEX(tbl_Onsite[Tax Code],$BI268),IF($B268="Production",INDEX(tbl_Production[Tax Code],$BI268),INDEX(tbl_Consulting[Tax Code],$BI268)))&amp;"")</f>
        <v/>
      </c>
      <c r="K268" s="10">
        <f>IF(H268="","",IFERROR(INDEX(lst_CCtoGL,MATCH(H268,lst_CCforGL,0)),""))</f>
        <v/>
      </c>
      <c r="L268" s="10">
        <f>IF($BI268="","",IF($B268="Onsite",INDEX(tbl_Onsite[PO / Reference],$BI268),IF($B268="Production",INDEX(tbl_Production[Current RMS No],$BI268),INDEX(tbl_Consulting[Qwilr Quote],$BI268)))&amp;"")</f>
        <v/>
      </c>
      <c r="M268" s="10">
        <f>IF($BI268="","",IF($B268="Onsite",INDEX(tbl_Onsite[Notes],$BI268),IF($B268="Production",INDEX(tbl_Production[Notes],$BI268),INDEX(tbl_Consulting[Notes],$BI268)))&amp;"")</f>
        <v/>
      </c>
      <c r="N268" s="11">
        <f>IF($BI268="","",IF(IF($B268="Onsite",INDEX(tbl_Onsite[Expected Revenue Ex GST],$BI268),IF($B268="Production",INDEX(tbl_Production[Expected Revenue Ex GST],$BI268),INDEX(tbl_Consulting[Expected Revenue Ex GST],$BI268)))="","",IF($B268="Onsite",INDEX(tbl_Onsite[Expected Revenue Ex GST],$BI268),IF($B268="Production",INDEX(tbl_Production[Expected Revenue Ex GST],$BI268),INDEX(tbl_Consulting[Expected Revenue Ex GST],$BI268)))))</f>
        <v/>
      </c>
      <c r="O268" s="11">
        <f>IF(AND($C268="",NOT(COUNTA($S268:$BB268)&gt;0)),"",SUM(U268,X268,AA268,AD268,AG268,AJ268,AM268,AP268,AS268,AV268,AY268,BB268))</f>
        <v/>
      </c>
      <c r="P268" s="11">
        <f>IF(O268="","",N(N268)-O268)</f>
        <v/>
      </c>
      <c r="Q268" s="10">
        <f>IF(O268="","",IF($C268="","Invoice on empty job row",IF(N268="",IF(ROUND(O268,2)=0,"No dept value","Invoiced - no dept value"),IF(ROUND(O268,2)=0,"Not invoiced - to invoice",IF(ROUND(P268,2)=0,"Agrees",IF(P268&gt;0,"Dept higher - to invoice","Xero higher - check dept"))))))</f>
        <v/>
      </c>
      <c r="R268" s="10">
        <f>IF(AND($C268="",NOT(COUNTA($S268:$BB268)&gt;0),$BI268&lt;&gt;""),"",MID(IF($BI268="","; Row ID not found on the department sheet - a row was deleted","")&amp;IF(AND($C268="",COUNTA($S268:$BB268)&gt;0),"; Invoice entered but the department row has no job number","")&amp;IF(E268="CHECK","; Job number not in the Xero job list","")&amp;IF(AND($C268&lt;&gt;"",COUNTIF($C$7:$C$1506,$C268)&gt;1),"; Job number on more than one row","")&amp;IF(AND($C268&lt;&gt;"",H268=""),"; Dept has not set a cost centre","")&amp;IF(AND($C268&lt;&gt;"",J268=""),"; Dept has not set a tax code","")&amp;IF(AND($C268&lt;&gt;"",N268=""),"; Dept has not entered an expected value","")&amp;IF((IF(OR(COUNTA(S268:U268)=0,AND(COUNTA(S268:U268)=3,ISNUMBER(U268))),0,1)+IF(OR(COUNTA(V268:X268)=0,AND(COUNTA(V268:X268)=3,ISNUMBER(X268))),0,1)+IF(OR(COUNTA(Y268:AA268)=0,AND(COUNTA(Y268:AA268)=3,ISNUMBER(AA268))),0,1)+IF(OR(COUNTA(AB268:AD268)=0,AND(COUNTA(AB268:AD268)=3,ISNUMBER(AD268))),0,1)+IF(OR(COUNTA(AE268:AG268)=0,AND(COUNTA(AE268:AG268)=3,ISNUMBER(AG268))),0,1)+IF(OR(COUNTA(AH268:AJ268)=0,AND(COUNTA(AH268:AJ268)=3,ISNUMBER(AJ268))),0,1)+IF(OR(COUNTA(AK268:AM268)=0,AND(COUNTA(AK268:AM268)=3,ISNUMBER(AM268))),0,1)+IF(OR(COUNTA(AN268:AP268)=0,AND(COUNTA(AN268:AP268)=3,ISNUMBER(AP268))),0,1)+IF(OR(COUNTA(AQ268:AS268)=0,AND(COUNTA(AQ268:AS268)=3,ISNUMBER(AS268))),0,1)+IF(OR(COUNTA(AT268:AV268)=0,AND(COUNTA(AT268:AV268)=3,ISNUMBER(AV268))),0,1)+IF(OR(COUNTA(AW268:AY268)=0,AND(COUNTA(AW268:AY268)=3,ISNUMBER(AY268))),0,1)+IF(OR(COUNTA(AZ268:BB268)=0,AND(COUNTA(AZ268:BB268)=3,ISNUMBER(BB268))),0,1))&gt;0,"; An invoice is incomplete (needs No, Date and a number in Ex GST)","")&amp;IF((IF(T268="",0,IFERROR(--(EOMONTH(T268,0)&lt;&gt;S$5),1))+IF(W268="",0,IFERROR(--(EOMONTH(W268,0)&lt;&gt;V$5),1))+IF(Z268="",0,IFERROR(--(EOMONTH(Z268,0)&lt;&gt;Y$5),1))+IF(AC268="",0,IFERROR(--(EOMONTH(AC268,0)&lt;&gt;AB$5),1))+IF(AF268="",0,IFERROR(--(EOMONTH(AF268,0)&lt;&gt;AE$5),1))+IF(AI268="",0,IFERROR(--(EOMONTH(AI268,0)&lt;&gt;AH$5),1))+IF(AL268="",0,IFERROR(--(EOMONTH(AL268,0)&lt;&gt;AK$5),1))+IF(AO268="",0,IFERROR(--(EOMONTH(AO268,0)&lt;&gt;AN$5),1))+IF(AR268="",0,IFERROR(--(EOMONTH(AR268,0)&lt;&gt;AQ$5),1))+IF(AU268="",0,IFERROR(--(EOMONTH(AU268,0)&lt;&gt;AT$5),1))+IF(AX268="",0,IFERROR(--(EOMONTH(AX268,0)&lt;&gt;AW$5),1))+IF(BA268="",0,IFERROR(--(EOMONTH(BA268,0)&lt;&gt;AZ$5),1)))&gt;0,"; An invoice date is not in the month it is typed under",""),3,500))</f>
        <v/>
      </c>
      <c r="S268" s="12" t="n"/>
      <c r="T268" s="13" t="n"/>
      <c r="U268" s="14" t="n"/>
      <c r="V268" s="12" t="n"/>
      <c r="W268" s="13" t="n"/>
      <c r="X268" s="14" t="n"/>
      <c r="Y268" s="12" t="n"/>
      <c r="Z268" s="13" t="n"/>
      <c r="AA268" s="14" t="n"/>
      <c r="AB268" s="12" t="n"/>
      <c r="AC268" s="13" t="n"/>
      <c r="AD268" s="14" t="n"/>
      <c r="AE268" s="12" t="n"/>
      <c r="AF268" s="13" t="n"/>
      <c r="AG268" s="14" t="n"/>
      <c r="AH268" s="12" t="n"/>
      <c r="AI268" s="13" t="n"/>
      <c r="AJ268" s="14" t="n"/>
      <c r="AK268" s="12" t="n"/>
      <c r="AL268" s="13" t="n"/>
      <c r="AM268" s="14" t="n"/>
      <c r="AN268" s="12" t="n"/>
      <c r="AO268" s="13" t="n"/>
      <c r="AP268" s="14" t="n"/>
      <c r="AQ268" s="12" t="n"/>
      <c r="AR268" s="13" t="n"/>
      <c r="AS268" s="14" t="n"/>
      <c r="AT268" s="12" t="n"/>
      <c r="AU268" s="13" t="n"/>
      <c r="AV268" s="14" t="n"/>
      <c r="AW268" s="12" t="n"/>
      <c r="AX268" s="13" t="n"/>
      <c r="AY268" s="14" t="n"/>
      <c r="AZ268" s="12" t="n"/>
      <c r="BA268" s="13" t="n"/>
      <c r="BB268" s="14" t="n"/>
      <c r="BC268" s="11">
        <f>IF(O268="","",IF(J268="GST 10%",ROUND(O268*set_GSTRate,2),0))</f>
        <v/>
      </c>
      <c r="BD268" s="11">
        <f>IF(O268="","",O268+BC268)</f>
        <v/>
      </c>
      <c r="BE268" s="15">
        <f>IF(O268="","",COUNTA(S268,V268,Y268,AB268,AE268,AH268,AK268,AN268,AQ268,AT268,AW268,AZ268))</f>
        <v/>
      </c>
      <c r="BF268" s="16">
        <f>IF(COUNT(T268,W268,Z268,AC268,AF268,AI268,AL268,AO268,AR268,AU268,AX268,BA268)=0,"",MAX(T268,W268,Z268,AC268,AF268,AI268,AL268,AO268,AR268,AU268,AX268,BA268))</f>
        <v/>
      </c>
      <c r="BG268" s="10">
        <f>MID(IF(S268="","",", "&amp;S268)&amp;IF(V268="","",", "&amp;V268)&amp;IF(Y268="","",", "&amp;Y268)&amp;IF(AB268="","",", "&amp;AB268)&amp;IF(AE268="","",", "&amp;AE268)&amp;IF(AH268="","",", "&amp;AH268)&amp;IF(AK268="","",", "&amp;AK268)&amp;IF(AN268="","",", "&amp;AN268)&amp;IF(AQ268="","",", "&amp;AQ268)&amp;IF(AT268="","",", "&amp;AT268)&amp;IF(AW268="","",", "&amp;AW268)&amp;IF(AZ268="","",", "&amp;AZ268),3,500)</f>
        <v/>
      </c>
      <c r="BH268" s="12" t="n"/>
      <c r="BI268" s="15">
        <f>IFERROR(MATCH($A268,IF($B268="Onsite",tbl_Onsite[Row ID],IF($B268="Production",tbl_Production[Row ID],tbl_Consulting[Row ID])),0),"")</f>
        <v/>
      </c>
    </row>
    <row r="269">
      <c r="A269" s="10" t="inlineStr">
        <is>
          <t>ONS-0263</t>
        </is>
      </c>
      <c r="B269" s="10" t="inlineStr">
        <is>
          <t>Onsite</t>
        </is>
      </c>
      <c r="C269" s="10">
        <f>IF($BI269="","",IF($B269="Onsite",INDEX(tbl_Onsite[Job Number],$BI269),IF($B269="Production",INDEX(tbl_Production[Job Number],$BI269),INDEX(tbl_Consulting[Job Number],$BI269)))&amp;"")</f>
        <v/>
      </c>
      <c r="D269" s="10">
        <f>IF($BI269="","",IF($B269="Onsite",INDEX(tbl_Onsite[Client],$BI269),IF($B269="Production",INDEX(tbl_Production[Client],$BI269),INDEX(tbl_Consulting[Client],$BI269)))&amp;"")</f>
        <v/>
      </c>
      <c r="E269" s="10">
        <f>IF($C269="","",IF(COUNTIF(lst_Jobs,$C269)&gt;0,"OK","CHECK"))</f>
        <v/>
      </c>
      <c r="F269" s="10">
        <f>IF($C269="","",IFERROR(INDEX(lst_JobName,MATCH($C269,lst_Jobs,0)),""))</f>
        <v/>
      </c>
      <c r="G269" s="10">
        <f>IF($BI269="","",IF($B269="Onsite",INDEX(tbl_Onsite[Job Description],$BI269),IF($B269="Production",INDEX(tbl_Production[Job Description],$BI269),INDEX(tbl_Consulting[Job Description],$BI269)))&amp;"")</f>
        <v/>
      </c>
      <c r="H269" s="10">
        <f>IF($BI269="","",IF($B269="Onsite",INDEX(tbl_Onsite[Cost Centre],$BI269),IF($B269="Production",INDEX(tbl_Production[Cost Centre],$BI269),INDEX(tbl_Consulting[Cost Centre],$BI269)))&amp;"")</f>
        <v/>
      </c>
      <c r="I269" s="10">
        <f>IF($BI269="","",IF($B269="Onsite",INDEX(tbl_Onsite[Invoice Type],$BI269),IF($B269="Production",INDEX(tbl_Production[Invoice Type],$BI269),INDEX(tbl_Consulting[Invoice Type],$BI269)))&amp;"")</f>
        <v/>
      </c>
      <c r="J269" s="10">
        <f>IF($BI269="","",IF($B269="Onsite",INDEX(tbl_Onsite[Tax Code],$BI269),IF($B269="Production",INDEX(tbl_Production[Tax Code],$BI269),INDEX(tbl_Consulting[Tax Code],$BI269)))&amp;"")</f>
        <v/>
      </c>
      <c r="K269" s="10">
        <f>IF(H269="","",IFERROR(INDEX(lst_CCtoGL,MATCH(H269,lst_CCforGL,0)),""))</f>
        <v/>
      </c>
      <c r="L269" s="10">
        <f>IF($BI269="","",IF($B269="Onsite",INDEX(tbl_Onsite[PO / Reference],$BI269),IF($B269="Production",INDEX(tbl_Production[Current RMS No],$BI269),INDEX(tbl_Consulting[Qwilr Quote],$BI269)))&amp;"")</f>
        <v/>
      </c>
      <c r="M269" s="10">
        <f>IF($BI269="","",IF($B269="Onsite",INDEX(tbl_Onsite[Notes],$BI269),IF($B269="Production",INDEX(tbl_Production[Notes],$BI269),INDEX(tbl_Consulting[Notes],$BI269)))&amp;"")</f>
        <v/>
      </c>
      <c r="N269" s="11">
        <f>IF($BI269="","",IF(IF($B269="Onsite",INDEX(tbl_Onsite[Expected Revenue Ex GST],$BI269),IF($B269="Production",INDEX(tbl_Production[Expected Revenue Ex GST],$BI269),INDEX(tbl_Consulting[Expected Revenue Ex GST],$BI269)))="","",IF($B269="Onsite",INDEX(tbl_Onsite[Expected Revenue Ex GST],$BI269),IF($B269="Production",INDEX(tbl_Production[Expected Revenue Ex GST],$BI269),INDEX(tbl_Consulting[Expected Revenue Ex GST],$BI269)))))</f>
        <v/>
      </c>
      <c r="O269" s="11">
        <f>IF(AND($C269="",NOT(COUNTA($S269:$BB269)&gt;0)),"",SUM(U269,X269,AA269,AD269,AG269,AJ269,AM269,AP269,AS269,AV269,AY269,BB269))</f>
        <v/>
      </c>
      <c r="P269" s="11">
        <f>IF(O269="","",N(N269)-O269)</f>
        <v/>
      </c>
      <c r="Q269" s="10">
        <f>IF(O269="","",IF($C269="","Invoice on empty job row",IF(N269="",IF(ROUND(O269,2)=0,"No dept value","Invoiced - no dept value"),IF(ROUND(O269,2)=0,"Not invoiced - to invoice",IF(ROUND(P269,2)=0,"Agrees",IF(P269&gt;0,"Dept higher - to invoice","Xero higher - check dept"))))))</f>
        <v/>
      </c>
      <c r="R269" s="10">
        <f>IF(AND($C269="",NOT(COUNTA($S269:$BB269)&gt;0),$BI269&lt;&gt;""),"",MID(IF($BI269="","; Row ID not found on the department sheet - a row was deleted","")&amp;IF(AND($C269="",COUNTA($S269:$BB269)&gt;0),"; Invoice entered but the department row has no job number","")&amp;IF(E269="CHECK","; Job number not in the Xero job list","")&amp;IF(AND($C269&lt;&gt;"",COUNTIF($C$7:$C$1506,$C269)&gt;1),"; Job number on more than one row","")&amp;IF(AND($C269&lt;&gt;"",H269=""),"; Dept has not set a cost centre","")&amp;IF(AND($C269&lt;&gt;"",J269=""),"; Dept has not set a tax code","")&amp;IF(AND($C269&lt;&gt;"",N269=""),"; Dept has not entered an expected value","")&amp;IF((IF(OR(COUNTA(S269:U269)=0,AND(COUNTA(S269:U269)=3,ISNUMBER(U269))),0,1)+IF(OR(COUNTA(V269:X269)=0,AND(COUNTA(V269:X269)=3,ISNUMBER(X269))),0,1)+IF(OR(COUNTA(Y269:AA269)=0,AND(COUNTA(Y269:AA269)=3,ISNUMBER(AA269))),0,1)+IF(OR(COUNTA(AB269:AD269)=0,AND(COUNTA(AB269:AD269)=3,ISNUMBER(AD269))),0,1)+IF(OR(COUNTA(AE269:AG269)=0,AND(COUNTA(AE269:AG269)=3,ISNUMBER(AG269))),0,1)+IF(OR(COUNTA(AH269:AJ269)=0,AND(COUNTA(AH269:AJ269)=3,ISNUMBER(AJ269))),0,1)+IF(OR(COUNTA(AK269:AM269)=0,AND(COUNTA(AK269:AM269)=3,ISNUMBER(AM269))),0,1)+IF(OR(COUNTA(AN269:AP269)=0,AND(COUNTA(AN269:AP269)=3,ISNUMBER(AP269))),0,1)+IF(OR(COUNTA(AQ269:AS269)=0,AND(COUNTA(AQ269:AS269)=3,ISNUMBER(AS269))),0,1)+IF(OR(COUNTA(AT269:AV269)=0,AND(COUNTA(AT269:AV269)=3,ISNUMBER(AV269))),0,1)+IF(OR(COUNTA(AW269:AY269)=0,AND(COUNTA(AW269:AY269)=3,ISNUMBER(AY269))),0,1)+IF(OR(COUNTA(AZ269:BB269)=0,AND(COUNTA(AZ269:BB269)=3,ISNUMBER(BB269))),0,1))&gt;0,"; An invoice is incomplete (needs No, Date and a number in Ex GST)","")&amp;IF((IF(T269="",0,IFERROR(--(EOMONTH(T269,0)&lt;&gt;S$5),1))+IF(W269="",0,IFERROR(--(EOMONTH(W269,0)&lt;&gt;V$5),1))+IF(Z269="",0,IFERROR(--(EOMONTH(Z269,0)&lt;&gt;Y$5),1))+IF(AC269="",0,IFERROR(--(EOMONTH(AC269,0)&lt;&gt;AB$5),1))+IF(AF269="",0,IFERROR(--(EOMONTH(AF269,0)&lt;&gt;AE$5),1))+IF(AI269="",0,IFERROR(--(EOMONTH(AI269,0)&lt;&gt;AH$5),1))+IF(AL269="",0,IFERROR(--(EOMONTH(AL269,0)&lt;&gt;AK$5),1))+IF(AO269="",0,IFERROR(--(EOMONTH(AO269,0)&lt;&gt;AN$5),1))+IF(AR269="",0,IFERROR(--(EOMONTH(AR269,0)&lt;&gt;AQ$5),1))+IF(AU269="",0,IFERROR(--(EOMONTH(AU269,0)&lt;&gt;AT$5),1))+IF(AX269="",0,IFERROR(--(EOMONTH(AX269,0)&lt;&gt;AW$5),1))+IF(BA269="",0,IFERROR(--(EOMONTH(BA269,0)&lt;&gt;AZ$5),1)))&gt;0,"; An invoice date is not in the month it is typed under",""),3,500))</f>
        <v/>
      </c>
      <c r="S269" s="12" t="n"/>
      <c r="T269" s="13" t="n"/>
      <c r="U269" s="14" t="n"/>
      <c r="V269" s="12" t="n"/>
      <c r="W269" s="13" t="n"/>
      <c r="X269" s="14" t="n"/>
      <c r="Y269" s="12" t="n"/>
      <c r="Z269" s="13" t="n"/>
      <c r="AA269" s="14" t="n"/>
      <c r="AB269" s="12" t="n"/>
      <c r="AC269" s="13" t="n"/>
      <c r="AD269" s="14" t="n"/>
      <c r="AE269" s="12" t="n"/>
      <c r="AF269" s="13" t="n"/>
      <c r="AG269" s="14" t="n"/>
      <c r="AH269" s="12" t="n"/>
      <c r="AI269" s="13" t="n"/>
      <c r="AJ269" s="14" t="n"/>
      <c r="AK269" s="12" t="n"/>
      <c r="AL269" s="13" t="n"/>
      <c r="AM269" s="14" t="n"/>
      <c r="AN269" s="12" t="n"/>
      <c r="AO269" s="13" t="n"/>
      <c r="AP269" s="14" t="n"/>
      <c r="AQ269" s="12" t="n"/>
      <c r="AR269" s="13" t="n"/>
      <c r="AS269" s="14" t="n"/>
      <c r="AT269" s="12" t="n"/>
      <c r="AU269" s="13" t="n"/>
      <c r="AV269" s="14" t="n"/>
      <c r="AW269" s="12" t="n"/>
      <c r="AX269" s="13" t="n"/>
      <c r="AY269" s="14" t="n"/>
      <c r="AZ269" s="12" t="n"/>
      <c r="BA269" s="13" t="n"/>
      <c r="BB269" s="14" t="n"/>
      <c r="BC269" s="11">
        <f>IF(O269="","",IF(J269="GST 10%",ROUND(O269*set_GSTRate,2),0))</f>
        <v/>
      </c>
      <c r="BD269" s="11">
        <f>IF(O269="","",O269+BC269)</f>
        <v/>
      </c>
      <c r="BE269" s="15">
        <f>IF(O269="","",COUNTA(S269,V269,Y269,AB269,AE269,AH269,AK269,AN269,AQ269,AT269,AW269,AZ269))</f>
        <v/>
      </c>
      <c r="BF269" s="16">
        <f>IF(COUNT(T269,W269,Z269,AC269,AF269,AI269,AL269,AO269,AR269,AU269,AX269,BA269)=0,"",MAX(T269,W269,Z269,AC269,AF269,AI269,AL269,AO269,AR269,AU269,AX269,BA269))</f>
        <v/>
      </c>
      <c r="BG269" s="10">
        <f>MID(IF(S269="","",", "&amp;S269)&amp;IF(V269="","",", "&amp;V269)&amp;IF(Y269="","",", "&amp;Y269)&amp;IF(AB269="","",", "&amp;AB269)&amp;IF(AE269="","",", "&amp;AE269)&amp;IF(AH269="","",", "&amp;AH269)&amp;IF(AK269="","",", "&amp;AK269)&amp;IF(AN269="","",", "&amp;AN269)&amp;IF(AQ269="","",", "&amp;AQ269)&amp;IF(AT269="","",", "&amp;AT269)&amp;IF(AW269="","",", "&amp;AW269)&amp;IF(AZ269="","",", "&amp;AZ269),3,500)</f>
        <v/>
      </c>
      <c r="BH269" s="12" t="n"/>
      <c r="BI269" s="15">
        <f>IFERROR(MATCH($A269,IF($B269="Onsite",tbl_Onsite[Row ID],IF($B269="Production",tbl_Production[Row ID],tbl_Consulting[Row ID])),0),"")</f>
        <v/>
      </c>
    </row>
    <row r="270">
      <c r="A270" s="10" t="inlineStr">
        <is>
          <t>ONS-0264</t>
        </is>
      </c>
      <c r="B270" s="10" t="inlineStr">
        <is>
          <t>Onsite</t>
        </is>
      </c>
      <c r="C270" s="10">
        <f>IF($BI270="","",IF($B270="Onsite",INDEX(tbl_Onsite[Job Number],$BI270),IF($B270="Production",INDEX(tbl_Production[Job Number],$BI270),INDEX(tbl_Consulting[Job Number],$BI270)))&amp;"")</f>
        <v/>
      </c>
      <c r="D270" s="10">
        <f>IF($BI270="","",IF($B270="Onsite",INDEX(tbl_Onsite[Client],$BI270),IF($B270="Production",INDEX(tbl_Production[Client],$BI270),INDEX(tbl_Consulting[Client],$BI270)))&amp;"")</f>
        <v/>
      </c>
      <c r="E270" s="10">
        <f>IF($C270="","",IF(COUNTIF(lst_Jobs,$C270)&gt;0,"OK","CHECK"))</f>
        <v/>
      </c>
      <c r="F270" s="10">
        <f>IF($C270="","",IFERROR(INDEX(lst_JobName,MATCH($C270,lst_Jobs,0)),""))</f>
        <v/>
      </c>
      <c r="G270" s="10">
        <f>IF($BI270="","",IF($B270="Onsite",INDEX(tbl_Onsite[Job Description],$BI270),IF($B270="Production",INDEX(tbl_Production[Job Description],$BI270),INDEX(tbl_Consulting[Job Description],$BI270)))&amp;"")</f>
        <v/>
      </c>
      <c r="H270" s="10">
        <f>IF($BI270="","",IF($B270="Onsite",INDEX(tbl_Onsite[Cost Centre],$BI270),IF($B270="Production",INDEX(tbl_Production[Cost Centre],$BI270),INDEX(tbl_Consulting[Cost Centre],$BI270)))&amp;"")</f>
        <v/>
      </c>
      <c r="I270" s="10">
        <f>IF($BI270="","",IF($B270="Onsite",INDEX(tbl_Onsite[Invoice Type],$BI270),IF($B270="Production",INDEX(tbl_Production[Invoice Type],$BI270),INDEX(tbl_Consulting[Invoice Type],$BI270)))&amp;"")</f>
        <v/>
      </c>
      <c r="J270" s="10">
        <f>IF($BI270="","",IF($B270="Onsite",INDEX(tbl_Onsite[Tax Code],$BI270),IF($B270="Production",INDEX(tbl_Production[Tax Code],$BI270),INDEX(tbl_Consulting[Tax Code],$BI270)))&amp;"")</f>
        <v/>
      </c>
      <c r="K270" s="10">
        <f>IF(H270="","",IFERROR(INDEX(lst_CCtoGL,MATCH(H270,lst_CCforGL,0)),""))</f>
        <v/>
      </c>
      <c r="L270" s="10">
        <f>IF($BI270="","",IF($B270="Onsite",INDEX(tbl_Onsite[PO / Reference],$BI270),IF($B270="Production",INDEX(tbl_Production[Current RMS No],$BI270),INDEX(tbl_Consulting[Qwilr Quote],$BI270)))&amp;"")</f>
        <v/>
      </c>
      <c r="M270" s="10">
        <f>IF($BI270="","",IF($B270="Onsite",INDEX(tbl_Onsite[Notes],$BI270),IF($B270="Production",INDEX(tbl_Production[Notes],$BI270),INDEX(tbl_Consulting[Notes],$BI270)))&amp;"")</f>
        <v/>
      </c>
      <c r="N270" s="11">
        <f>IF($BI270="","",IF(IF($B270="Onsite",INDEX(tbl_Onsite[Expected Revenue Ex GST],$BI270),IF($B270="Production",INDEX(tbl_Production[Expected Revenue Ex GST],$BI270),INDEX(tbl_Consulting[Expected Revenue Ex GST],$BI270)))="","",IF($B270="Onsite",INDEX(tbl_Onsite[Expected Revenue Ex GST],$BI270),IF($B270="Production",INDEX(tbl_Production[Expected Revenue Ex GST],$BI270),INDEX(tbl_Consulting[Expected Revenue Ex GST],$BI270)))))</f>
        <v/>
      </c>
      <c r="O270" s="11">
        <f>IF(AND($C270="",NOT(COUNTA($S270:$BB270)&gt;0)),"",SUM(U270,X270,AA270,AD270,AG270,AJ270,AM270,AP270,AS270,AV270,AY270,BB270))</f>
        <v/>
      </c>
      <c r="P270" s="11">
        <f>IF(O270="","",N(N270)-O270)</f>
        <v/>
      </c>
      <c r="Q270" s="10">
        <f>IF(O270="","",IF($C270="","Invoice on empty job row",IF(N270="",IF(ROUND(O270,2)=0,"No dept value","Invoiced - no dept value"),IF(ROUND(O270,2)=0,"Not invoiced - to invoice",IF(ROUND(P270,2)=0,"Agrees",IF(P270&gt;0,"Dept higher - to invoice","Xero higher - check dept"))))))</f>
        <v/>
      </c>
      <c r="R270" s="10">
        <f>IF(AND($C270="",NOT(COUNTA($S270:$BB270)&gt;0),$BI270&lt;&gt;""),"",MID(IF($BI270="","; Row ID not found on the department sheet - a row was deleted","")&amp;IF(AND($C270="",COUNTA($S270:$BB270)&gt;0),"; Invoice entered but the department row has no job number","")&amp;IF(E270="CHECK","; Job number not in the Xero job list","")&amp;IF(AND($C270&lt;&gt;"",COUNTIF($C$7:$C$1506,$C270)&gt;1),"; Job number on more than one row","")&amp;IF(AND($C270&lt;&gt;"",H270=""),"; Dept has not set a cost centre","")&amp;IF(AND($C270&lt;&gt;"",J270=""),"; Dept has not set a tax code","")&amp;IF(AND($C270&lt;&gt;"",N270=""),"; Dept has not entered an expected value","")&amp;IF((IF(OR(COUNTA(S270:U270)=0,AND(COUNTA(S270:U270)=3,ISNUMBER(U270))),0,1)+IF(OR(COUNTA(V270:X270)=0,AND(COUNTA(V270:X270)=3,ISNUMBER(X270))),0,1)+IF(OR(COUNTA(Y270:AA270)=0,AND(COUNTA(Y270:AA270)=3,ISNUMBER(AA270))),0,1)+IF(OR(COUNTA(AB270:AD270)=0,AND(COUNTA(AB270:AD270)=3,ISNUMBER(AD270))),0,1)+IF(OR(COUNTA(AE270:AG270)=0,AND(COUNTA(AE270:AG270)=3,ISNUMBER(AG270))),0,1)+IF(OR(COUNTA(AH270:AJ270)=0,AND(COUNTA(AH270:AJ270)=3,ISNUMBER(AJ270))),0,1)+IF(OR(COUNTA(AK270:AM270)=0,AND(COUNTA(AK270:AM270)=3,ISNUMBER(AM270))),0,1)+IF(OR(COUNTA(AN270:AP270)=0,AND(COUNTA(AN270:AP270)=3,ISNUMBER(AP270))),0,1)+IF(OR(COUNTA(AQ270:AS270)=0,AND(COUNTA(AQ270:AS270)=3,ISNUMBER(AS270))),0,1)+IF(OR(COUNTA(AT270:AV270)=0,AND(COUNTA(AT270:AV270)=3,ISNUMBER(AV270))),0,1)+IF(OR(COUNTA(AW270:AY270)=0,AND(COUNTA(AW270:AY270)=3,ISNUMBER(AY270))),0,1)+IF(OR(COUNTA(AZ270:BB270)=0,AND(COUNTA(AZ270:BB270)=3,ISNUMBER(BB270))),0,1))&gt;0,"; An invoice is incomplete (needs No, Date and a number in Ex GST)","")&amp;IF((IF(T270="",0,IFERROR(--(EOMONTH(T270,0)&lt;&gt;S$5),1))+IF(W270="",0,IFERROR(--(EOMONTH(W270,0)&lt;&gt;V$5),1))+IF(Z270="",0,IFERROR(--(EOMONTH(Z270,0)&lt;&gt;Y$5),1))+IF(AC270="",0,IFERROR(--(EOMONTH(AC270,0)&lt;&gt;AB$5),1))+IF(AF270="",0,IFERROR(--(EOMONTH(AF270,0)&lt;&gt;AE$5),1))+IF(AI270="",0,IFERROR(--(EOMONTH(AI270,0)&lt;&gt;AH$5),1))+IF(AL270="",0,IFERROR(--(EOMONTH(AL270,0)&lt;&gt;AK$5),1))+IF(AO270="",0,IFERROR(--(EOMONTH(AO270,0)&lt;&gt;AN$5),1))+IF(AR270="",0,IFERROR(--(EOMONTH(AR270,0)&lt;&gt;AQ$5),1))+IF(AU270="",0,IFERROR(--(EOMONTH(AU270,0)&lt;&gt;AT$5),1))+IF(AX270="",0,IFERROR(--(EOMONTH(AX270,0)&lt;&gt;AW$5),1))+IF(BA270="",0,IFERROR(--(EOMONTH(BA270,0)&lt;&gt;AZ$5),1)))&gt;0,"; An invoice date is not in the month it is typed under",""),3,500))</f>
        <v/>
      </c>
      <c r="S270" s="12" t="n"/>
      <c r="T270" s="13" t="n"/>
      <c r="U270" s="14" t="n"/>
      <c r="V270" s="12" t="n"/>
      <c r="W270" s="13" t="n"/>
      <c r="X270" s="14" t="n"/>
      <c r="Y270" s="12" t="n"/>
      <c r="Z270" s="13" t="n"/>
      <c r="AA270" s="14" t="n"/>
      <c r="AB270" s="12" t="n"/>
      <c r="AC270" s="13" t="n"/>
      <c r="AD270" s="14" t="n"/>
      <c r="AE270" s="12" t="n"/>
      <c r="AF270" s="13" t="n"/>
      <c r="AG270" s="14" t="n"/>
      <c r="AH270" s="12" t="n"/>
      <c r="AI270" s="13" t="n"/>
      <c r="AJ270" s="14" t="n"/>
      <c r="AK270" s="12" t="n"/>
      <c r="AL270" s="13" t="n"/>
      <c r="AM270" s="14" t="n"/>
      <c r="AN270" s="12" t="n"/>
      <c r="AO270" s="13" t="n"/>
      <c r="AP270" s="14" t="n"/>
      <c r="AQ270" s="12" t="n"/>
      <c r="AR270" s="13" t="n"/>
      <c r="AS270" s="14" t="n"/>
      <c r="AT270" s="12" t="n"/>
      <c r="AU270" s="13" t="n"/>
      <c r="AV270" s="14" t="n"/>
      <c r="AW270" s="12" t="n"/>
      <c r="AX270" s="13" t="n"/>
      <c r="AY270" s="14" t="n"/>
      <c r="AZ270" s="12" t="n"/>
      <c r="BA270" s="13" t="n"/>
      <c r="BB270" s="14" t="n"/>
      <c r="BC270" s="11">
        <f>IF(O270="","",IF(J270="GST 10%",ROUND(O270*set_GSTRate,2),0))</f>
        <v/>
      </c>
      <c r="BD270" s="11">
        <f>IF(O270="","",O270+BC270)</f>
        <v/>
      </c>
      <c r="BE270" s="15">
        <f>IF(O270="","",COUNTA(S270,V270,Y270,AB270,AE270,AH270,AK270,AN270,AQ270,AT270,AW270,AZ270))</f>
        <v/>
      </c>
      <c r="BF270" s="16">
        <f>IF(COUNT(T270,W270,Z270,AC270,AF270,AI270,AL270,AO270,AR270,AU270,AX270,BA270)=0,"",MAX(T270,W270,Z270,AC270,AF270,AI270,AL270,AO270,AR270,AU270,AX270,BA270))</f>
        <v/>
      </c>
      <c r="BG270" s="10">
        <f>MID(IF(S270="","",", "&amp;S270)&amp;IF(V270="","",", "&amp;V270)&amp;IF(Y270="","",", "&amp;Y270)&amp;IF(AB270="","",", "&amp;AB270)&amp;IF(AE270="","",", "&amp;AE270)&amp;IF(AH270="","",", "&amp;AH270)&amp;IF(AK270="","",", "&amp;AK270)&amp;IF(AN270="","",", "&amp;AN270)&amp;IF(AQ270="","",", "&amp;AQ270)&amp;IF(AT270="","",", "&amp;AT270)&amp;IF(AW270="","",", "&amp;AW270)&amp;IF(AZ270="","",", "&amp;AZ270),3,500)</f>
        <v/>
      </c>
      <c r="BH270" s="12" t="n"/>
      <c r="BI270" s="15">
        <f>IFERROR(MATCH($A270,IF($B270="Onsite",tbl_Onsite[Row ID],IF($B270="Production",tbl_Production[Row ID],tbl_Consulting[Row ID])),0),"")</f>
        <v/>
      </c>
    </row>
    <row r="271">
      <c r="A271" s="10" t="inlineStr">
        <is>
          <t>ONS-0265</t>
        </is>
      </c>
      <c r="B271" s="10" t="inlineStr">
        <is>
          <t>Onsite</t>
        </is>
      </c>
      <c r="C271" s="10">
        <f>IF($BI271="","",IF($B271="Onsite",INDEX(tbl_Onsite[Job Number],$BI271),IF($B271="Production",INDEX(tbl_Production[Job Number],$BI271),INDEX(tbl_Consulting[Job Number],$BI271)))&amp;"")</f>
        <v/>
      </c>
      <c r="D271" s="10">
        <f>IF($BI271="","",IF($B271="Onsite",INDEX(tbl_Onsite[Client],$BI271),IF($B271="Production",INDEX(tbl_Production[Client],$BI271),INDEX(tbl_Consulting[Client],$BI271)))&amp;"")</f>
        <v/>
      </c>
      <c r="E271" s="10">
        <f>IF($C271="","",IF(COUNTIF(lst_Jobs,$C271)&gt;0,"OK","CHECK"))</f>
        <v/>
      </c>
      <c r="F271" s="10">
        <f>IF($C271="","",IFERROR(INDEX(lst_JobName,MATCH($C271,lst_Jobs,0)),""))</f>
        <v/>
      </c>
      <c r="G271" s="10">
        <f>IF($BI271="","",IF($B271="Onsite",INDEX(tbl_Onsite[Job Description],$BI271),IF($B271="Production",INDEX(tbl_Production[Job Description],$BI271),INDEX(tbl_Consulting[Job Description],$BI271)))&amp;"")</f>
        <v/>
      </c>
      <c r="H271" s="10">
        <f>IF($BI271="","",IF($B271="Onsite",INDEX(tbl_Onsite[Cost Centre],$BI271),IF($B271="Production",INDEX(tbl_Production[Cost Centre],$BI271),INDEX(tbl_Consulting[Cost Centre],$BI271)))&amp;"")</f>
        <v/>
      </c>
      <c r="I271" s="10">
        <f>IF($BI271="","",IF($B271="Onsite",INDEX(tbl_Onsite[Invoice Type],$BI271),IF($B271="Production",INDEX(tbl_Production[Invoice Type],$BI271),INDEX(tbl_Consulting[Invoice Type],$BI271)))&amp;"")</f>
        <v/>
      </c>
      <c r="J271" s="10">
        <f>IF($BI271="","",IF($B271="Onsite",INDEX(tbl_Onsite[Tax Code],$BI271),IF($B271="Production",INDEX(tbl_Production[Tax Code],$BI271),INDEX(tbl_Consulting[Tax Code],$BI271)))&amp;"")</f>
        <v/>
      </c>
      <c r="K271" s="10">
        <f>IF(H271="","",IFERROR(INDEX(lst_CCtoGL,MATCH(H271,lst_CCforGL,0)),""))</f>
        <v/>
      </c>
      <c r="L271" s="10">
        <f>IF($BI271="","",IF($B271="Onsite",INDEX(tbl_Onsite[PO / Reference],$BI271),IF($B271="Production",INDEX(tbl_Production[Current RMS No],$BI271),INDEX(tbl_Consulting[Qwilr Quote],$BI271)))&amp;"")</f>
        <v/>
      </c>
      <c r="M271" s="10">
        <f>IF($BI271="","",IF($B271="Onsite",INDEX(tbl_Onsite[Notes],$BI271),IF($B271="Production",INDEX(tbl_Production[Notes],$BI271),INDEX(tbl_Consulting[Notes],$BI271)))&amp;"")</f>
        <v/>
      </c>
      <c r="N271" s="11">
        <f>IF($BI271="","",IF(IF($B271="Onsite",INDEX(tbl_Onsite[Expected Revenue Ex GST],$BI271),IF($B271="Production",INDEX(tbl_Production[Expected Revenue Ex GST],$BI271),INDEX(tbl_Consulting[Expected Revenue Ex GST],$BI271)))="","",IF($B271="Onsite",INDEX(tbl_Onsite[Expected Revenue Ex GST],$BI271),IF($B271="Production",INDEX(tbl_Production[Expected Revenue Ex GST],$BI271),INDEX(tbl_Consulting[Expected Revenue Ex GST],$BI271)))))</f>
        <v/>
      </c>
      <c r="O271" s="11">
        <f>IF(AND($C271="",NOT(COUNTA($S271:$BB271)&gt;0)),"",SUM(U271,X271,AA271,AD271,AG271,AJ271,AM271,AP271,AS271,AV271,AY271,BB271))</f>
        <v/>
      </c>
      <c r="P271" s="11">
        <f>IF(O271="","",N(N271)-O271)</f>
        <v/>
      </c>
      <c r="Q271" s="10">
        <f>IF(O271="","",IF($C271="","Invoice on empty job row",IF(N271="",IF(ROUND(O271,2)=0,"No dept value","Invoiced - no dept value"),IF(ROUND(O271,2)=0,"Not invoiced - to invoice",IF(ROUND(P271,2)=0,"Agrees",IF(P271&gt;0,"Dept higher - to invoice","Xero higher - check dept"))))))</f>
        <v/>
      </c>
      <c r="R271" s="10">
        <f>IF(AND($C271="",NOT(COUNTA($S271:$BB271)&gt;0),$BI271&lt;&gt;""),"",MID(IF($BI271="","; Row ID not found on the department sheet - a row was deleted","")&amp;IF(AND($C271="",COUNTA($S271:$BB271)&gt;0),"; Invoice entered but the department row has no job number","")&amp;IF(E271="CHECK","; Job number not in the Xero job list","")&amp;IF(AND($C271&lt;&gt;"",COUNTIF($C$7:$C$1506,$C271)&gt;1),"; Job number on more than one row","")&amp;IF(AND($C271&lt;&gt;"",H271=""),"; Dept has not set a cost centre","")&amp;IF(AND($C271&lt;&gt;"",J271=""),"; Dept has not set a tax code","")&amp;IF(AND($C271&lt;&gt;"",N271=""),"; Dept has not entered an expected value","")&amp;IF((IF(OR(COUNTA(S271:U271)=0,AND(COUNTA(S271:U271)=3,ISNUMBER(U271))),0,1)+IF(OR(COUNTA(V271:X271)=0,AND(COUNTA(V271:X271)=3,ISNUMBER(X271))),0,1)+IF(OR(COUNTA(Y271:AA271)=0,AND(COUNTA(Y271:AA271)=3,ISNUMBER(AA271))),0,1)+IF(OR(COUNTA(AB271:AD271)=0,AND(COUNTA(AB271:AD271)=3,ISNUMBER(AD271))),0,1)+IF(OR(COUNTA(AE271:AG271)=0,AND(COUNTA(AE271:AG271)=3,ISNUMBER(AG271))),0,1)+IF(OR(COUNTA(AH271:AJ271)=0,AND(COUNTA(AH271:AJ271)=3,ISNUMBER(AJ271))),0,1)+IF(OR(COUNTA(AK271:AM271)=0,AND(COUNTA(AK271:AM271)=3,ISNUMBER(AM271))),0,1)+IF(OR(COUNTA(AN271:AP271)=0,AND(COUNTA(AN271:AP271)=3,ISNUMBER(AP271))),0,1)+IF(OR(COUNTA(AQ271:AS271)=0,AND(COUNTA(AQ271:AS271)=3,ISNUMBER(AS271))),0,1)+IF(OR(COUNTA(AT271:AV271)=0,AND(COUNTA(AT271:AV271)=3,ISNUMBER(AV271))),0,1)+IF(OR(COUNTA(AW271:AY271)=0,AND(COUNTA(AW271:AY271)=3,ISNUMBER(AY271))),0,1)+IF(OR(COUNTA(AZ271:BB271)=0,AND(COUNTA(AZ271:BB271)=3,ISNUMBER(BB271))),0,1))&gt;0,"; An invoice is incomplete (needs No, Date and a number in Ex GST)","")&amp;IF((IF(T271="",0,IFERROR(--(EOMONTH(T271,0)&lt;&gt;S$5),1))+IF(W271="",0,IFERROR(--(EOMONTH(W271,0)&lt;&gt;V$5),1))+IF(Z271="",0,IFERROR(--(EOMONTH(Z271,0)&lt;&gt;Y$5),1))+IF(AC271="",0,IFERROR(--(EOMONTH(AC271,0)&lt;&gt;AB$5),1))+IF(AF271="",0,IFERROR(--(EOMONTH(AF271,0)&lt;&gt;AE$5),1))+IF(AI271="",0,IFERROR(--(EOMONTH(AI271,0)&lt;&gt;AH$5),1))+IF(AL271="",0,IFERROR(--(EOMONTH(AL271,0)&lt;&gt;AK$5),1))+IF(AO271="",0,IFERROR(--(EOMONTH(AO271,0)&lt;&gt;AN$5),1))+IF(AR271="",0,IFERROR(--(EOMONTH(AR271,0)&lt;&gt;AQ$5),1))+IF(AU271="",0,IFERROR(--(EOMONTH(AU271,0)&lt;&gt;AT$5),1))+IF(AX271="",0,IFERROR(--(EOMONTH(AX271,0)&lt;&gt;AW$5),1))+IF(BA271="",0,IFERROR(--(EOMONTH(BA271,0)&lt;&gt;AZ$5),1)))&gt;0,"; An invoice date is not in the month it is typed under",""),3,500))</f>
        <v/>
      </c>
      <c r="S271" s="12" t="n"/>
      <c r="T271" s="13" t="n"/>
      <c r="U271" s="14" t="n"/>
      <c r="V271" s="12" t="n"/>
      <c r="W271" s="13" t="n"/>
      <c r="X271" s="14" t="n"/>
      <c r="Y271" s="12" t="n"/>
      <c r="Z271" s="13" t="n"/>
      <c r="AA271" s="14" t="n"/>
      <c r="AB271" s="12" t="n"/>
      <c r="AC271" s="13" t="n"/>
      <c r="AD271" s="14" t="n"/>
      <c r="AE271" s="12" t="n"/>
      <c r="AF271" s="13" t="n"/>
      <c r="AG271" s="14" t="n"/>
      <c r="AH271" s="12" t="n"/>
      <c r="AI271" s="13" t="n"/>
      <c r="AJ271" s="14" t="n"/>
      <c r="AK271" s="12" t="n"/>
      <c r="AL271" s="13" t="n"/>
      <c r="AM271" s="14" t="n"/>
      <c r="AN271" s="12" t="n"/>
      <c r="AO271" s="13" t="n"/>
      <c r="AP271" s="14" t="n"/>
      <c r="AQ271" s="12" t="n"/>
      <c r="AR271" s="13" t="n"/>
      <c r="AS271" s="14" t="n"/>
      <c r="AT271" s="12" t="n"/>
      <c r="AU271" s="13" t="n"/>
      <c r="AV271" s="14" t="n"/>
      <c r="AW271" s="12" t="n"/>
      <c r="AX271" s="13" t="n"/>
      <c r="AY271" s="14" t="n"/>
      <c r="AZ271" s="12" t="n"/>
      <c r="BA271" s="13" t="n"/>
      <c r="BB271" s="14" t="n"/>
      <c r="BC271" s="11">
        <f>IF(O271="","",IF(J271="GST 10%",ROUND(O271*set_GSTRate,2),0))</f>
        <v/>
      </c>
      <c r="BD271" s="11">
        <f>IF(O271="","",O271+BC271)</f>
        <v/>
      </c>
      <c r="BE271" s="15">
        <f>IF(O271="","",COUNTA(S271,V271,Y271,AB271,AE271,AH271,AK271,AN271,AQ271,AT271,AW271,AZ271))</f>
        <v/>
      </c>
      <c r="BF271" s="16">
        <f>IF(COUNT(T271,W271,Z271,AC271,AF271,AI271,AL271,AO271,AR271,AU271,AX271,BA271)=0,"",MAX(T271,W271,Z271,AC271,AF271,AI271,AL271,AO271,AR271,AU271,AX271,BA271))</f>
        <v/>
      </c>
      <c r="BG271" s="10">
        <f>MID(IF(S271="","",", "&amp;S271)&amp;IF(V271="","",", "&amp;V271)&amp;IF(Y271="","",", "&amp;Y271)&amp;IF(AB271="","",", "&amp;AB271)&amp;IF(AE271="","",", "&amp;AE271)&amp;IF(AH271="","",", "&amp;AH271)&amp;IF(AK271="","",", "&amp;AK271)&amp;IF(AN271="","",", "&amp;AN271)&amp;IF(AQ271="","",", "&amp;AQ271)&amp;IF(AT271="","",", "&amp;AT271)&amp;IF(AW271="","",", "&amp;AW271)&amp;IF(AZ271="","",", "&amp;AZ271),3,500)</f>
        <v/>
      </c>
      <c r="BH271" s="12" t="n"/>
      <c r="BI271" s="15">
        <f>IFERROR(MATCH($A271,IF($B271="Onsite",tbl_Onsite[Row ID],IF($B271="Production",tbl_Production[Row ID],tbl_Consulting[Row ID])),0),"")</f>
        <v/>
      </c>
    </row>
    <row r="272">
      <c r="A272" s="10" t="inlineStr">
        <is>
          <t>ONS-0266</t>
        </is>
      </c>
      <c r="B272" s="10" t="inlineStr">
        <is>
          <t>Onsite</t>
        </is>
      </c>
      <c r="C272" s="10">
        <f>IF($BI272="","",IF($B272="Onsite",INDEX(tbl_Onsite[Job Number],$BI272),IF($B272="Production",INDEX(tbl_Production[Job Number],$BI272),INDEX(tbl_Consulting[Job Number],$BI272)))&amp;"")</f>
        <v/>
      </c>
      <c r="D272" s="10">
        <f>IF($BI272="","",IF($B272="Onsite",INDEX(tbl_Onsite[Client],$BI272),IF($B272="Production",INDEX(tbl_Production[Client],$BI272),INDEX(tbl_Consulting[Client],$BI272)))&amp;"")</f>
        <v/>
      </c>
      <c r="E272" s="10">
        <f>IF($C272="","",IF(COUNTIF(lst_Jobs,$C272)&gt;0,"OK","CHECK"))</f>
        <v/>
      </c>
      <c r="F272" s="10">
        <f>IF($C272="","",IFERROR(INDEX(lst_JobName,MATCH($C272,lst_Jobs,0)),""))</f>
        <v/>
      </c>
      <c r="G272" s="10">
        <f>IF($BI272="","",IF($B272="Onsite",INDEX(tbl_Onsite[Job Description],$BI272),IF($B272="Production",INDEX(tbl_Production[Job Description],$BI272),INDEX(tbl_Consulting[Job Description],$BI272)))&amp;"")</f>
        <v/>
      </c>
      <c r="H272" s="10">
        <f>IF($BI272="","",IF($B272="Onsite",INDEX(tbl_Onsite[Cost Centre],$BI272),IF($B272="Production",INDEX(tbl_Production[Cost Centre],$BI272),INDEX(tbl_Consulting[Cost Centre],$BI272)))&amp;"")</f>
        <v/>
      </c>
      <c r="I272" s="10">
        <f>IF($BI272="","",IF($B272="Onsite",INDEX(tbl_Onsite[Invoice Type],$BI272),IF($B272="Production",INDEX(tbl_Production[Invoice Type],$BI272),INDEX(tbl_Consulting[Invoice Type],$BI272)))&amp;"")</f>
        <v/>
      </c>
      <c r="J272" s="10">
        <f>IF($BI272="","",IF($B272="Onsite",INDEX(tbl_Onsite[Tax Code],$BI272),IF($B272="Production",INDEX(tbl_Production[Tax Code],$BI272),INDEX(tbl_Consulting[Tax Code],$BI272)))&amp;"")</f>
        <v/>
      </c>
      <c r="K272" s="10">
        <f>IF(H272="","",IFERROR(INDEX(lst_CCtoGL,MATCH(H272,lst_CCforGL,0)),""))</f>
        <v/>
      </c>
      <c r="L272" s="10">
        <f>IF($BI272="","",IF($B272="Onsite",INDEX(tbl_Onsite[PO / Reference],$BI272),IF($B272="Production",INDEX(tbl_Production[Current RMS No],$BI272),INDEX(tbl_Consulting[Qwilr Quote],$BI272)))&amp;"")</f>
        <v/>
      </c>
      <c r="M272" s="10">
        <f>IF($BI272="","",IF($B272="Onsite",INDEX(tbl_Onsite[Notes],$BI272),IF($B272="Production",INDEX(tbl_Production[Notes],$BI272),INDEX(tbl_Consulting[Notes],$BI272)))&amp;"")</f>
        <v/>
      </c>
      <c r="N272" s="11">
        <f>IF($BI272="","",IF(IF($B272="Onsite",INDEX(tbl_Onsite[Expected Revenue Ex GST],$BI272),IF($B272="Production",INDEX(tbl_Production[Expected Revenue Ex GST],$BI272),INDEX(tbl_Consulting[Expected Revenue Ex GST],$BI272)))="","",IF($B272="Onsite",INDEX(tbl_Onsite[Expected Revenue Ex GST],$BI272),IF($B272="Production",INDEX(tbl_Production[Expected Revenue Ex GST],$BI272),INDEX(tbl_Consulting[Expected Revenue Ex GST],$BI272)))))</f>
        <v/>
      </c>
      <c r="O272" s="11">
        <f>IF(AND($C272="",NOT(COUNTA($S272:$BB272)&gt;0)),"",SUM(U272,X272,AA272,AD272,AG272,AJ272,AM272,AP272,AS272,AV272,AY272,BB272))</f>
        <v/>
      </c>
      <c r="P272" s="11">
        <f>IF(O272="","",N(N272)-O272)</f>
        <v/>
      </c>
      <c r="Q272" s="10">
        <f>IF(O272="","",IF($C272="","Invoice on empty job row",IF(N272="",IF(ROUND(O272,2)=0,"No dept value","Invoiced - no dept value"),IF(ROUND(O272,2)=0,"Not invoiced - to invoice",IF(ROUND(P272,2)=0,"Agrees",IF(P272&gt;0,"Dept higher - to invoice","Xero higher - check dept"))))))</f>
        <v/>
      </c>
      <c r="R272" s="10">
        <f>IF(AND($C272="",NOT(COUNTA($S272:$BB272)&gt;0),$BI272&lt;&gt;""),"",MID(IF($BI272="","; Row ID not found on the department sheet - a row was deleted","")&amp;IF(AND($C272="",COUNTA($S272:$BB272)&gt;0),"; Invoice entered but the department row has no job number","")&amp;IF(E272="CHECK","; Job number not in the Xero job list","")&amp;IF(AND($C272&lt;&gt;"",COUNTIF($C$7:$C$1506,$C272)&gt;1),"; Job number on more than one row","")&amp;IF(AND($C272&lt;&gt;"",H272=""),"; Dept has not set a cost centre","")&amp;IF(AND($C272&lt;&gt;"",J272=""),"; Dept has not set a tax code","")&amp;IF(AND($C272&lt;&gt;"",N272=""),"; Dept has not entered an expected value","")&amp;IF((IF(OR(COUNTA(S272:U272)=0,AND(COUNTA(S272:U272)=3,ISNUMBER(U272))),0,1)+IF(OR(COUNTA(V272:X272)=0,AND(COUNTA(V272:X272)=3,ISNUMBER(X272))),0,1)+IF(OR(COUNTA(Y272:AA272)=0,AND(COUNTA(Y272:AA272)=3,ISNUMBER(AA272))),0,1)+IF(OR(COUNTA(AB272:AD272)=0,AND(COUNTA(AB272:AD272)=3,ISNUMBER(AD272))),0,1)+IF(OR(COUNTA(AE272:AG272)=0,AND(COUNTA(AE272:AG272)=3,ISNUMBER(AG272))),0,1)+IF(OR(COUNTA(AH272:AJ272)=0,AND(COUNTA(AH272:AJ272)=3,ISNUMBER(AJ272))),0,1)+IF(OR(COUNTA(AK272:AM272)=0,AND(COUNTA(AK272:AM272)=3,ISNUMBER(AM272))),0,1)+IF(OR(COUNTA(AN272:AP272)=0,AND(COUNTA(AN272:AP272)=3,ISNUMBER(AP272))),0,1)+IF(OR(COUNTA(AQ272:AS272)=0,AND(COUNTA(AQ272:AS272)=3,ISNUMBER(AS272))),0,1)+IF(OR(COUNTA(AT272:AV272)=0,AND(COUNTA(AT272:AV272)=3,ISNUMBER(AV272))),0,1)+IF(OR(COUNTA(AW272:AY272)=0,AND(COUNTA(AW272:AY272)=3,ISNUMBER(AY272))),0,1)+IF(OR(COUNTA(AZ272:BB272)=0,AND(COUNTA(AZ272:BB272)=3,ISNUMBER(BB272))),0,1))&gt;0,"; An invoice is incomplete (needs No, Date and a number in Ex GST)","")&amp;IF((IF(T272="",0,IFERROR(--(EOMONTH(T272,0)&lt;&gt;S$5),1))+IF(W272="",0,IFERROR(--(EOMONTH(W272,0)&lt;&gt;V$5),1))+IF(Z272="",0,IFERROR(--(EOMONTH(Z272,0)&lt;&gt;Y$5),1))+IF(AC272="",0,IFERROR(--(EOMONTH(AC272,0)&lt;&gt;AB$5),1))+IF(AF272="",0,IFERROR(--(EOMONTH(AF272,0)&lt;&gt;AE$5),1))+IF(AI272="",0,IFERROR(--(EOMONTH(AI272,0)&lt;&gt;AH$5),1))+IF(AL272="",0,IFERROR(--(EOMONTH(AL272,0)&lt;&gt;AK$5),1))+IF(AO272="",0,IFERROR(--(EOMONTH(AO272,0)&lt;&gt;AN$5),1))+IF(AR272="",0,IFERROR(--(EOMONTH(AR272,0)&lt;&gt;AQ$5),1))+IF(AU272="",0,IFERROR(--(EOMONTH(AU272,0)&lt;&gt;AT$5),1))+IF(AX272="",0,IFERROR(--(EOMONTH(AX272,0)&lt;&gt;AW$5),1))+IF(BA272="",0,IFERROR(--(EOMONTH(BA272,0)&lt;&gt;AZ$5),1)))&gt;0,"; An invoice date is not in the month it is typed under",""),3,500))</f>
        <v/>
      </c>
      <c r="S272" s="12" t="n"/>
      <c r="T272" s="13" t="n"/>
      <c r="U272" s="14" t="n"/>
      <c r="V272" s="12" t="n"/>
      <c r="W272" s="13" t="n"/>
      <c r="X272" s="14" t="n"/>
      <c r="Y272" s="12" t="n"/>
      <c r="Z272" s="13" t="n"/>
      <c r="AA272" s="14" t="n"/>
      <c r="AB272" s="12" t="n"/>
      <c r="AC272" s="13" t="n"/>
      <c r="AD272" s="14" t="n"/>
      <c r="AE272" s="12" t="n"/>
      <c r="AF272" s="13" t="n"/>
      <c r="AG272" s="14" t="n"/>
      <c r="AH272" s="12" t="n"/>
      <c r="AI272" s="13" t="n"/>
      <c r="AJ272" s="14" t="n"/>
      <c r="AK272" s="12" t="n"/>
      <c r="AL272" s="13" t="n"/>
      <c r="AM272" s="14" t="n"/>
      <c r="AN272" s="12" t="n"/>
      <c r="AO272" s="13" t="n"/>
      <c r="AP272" s="14" t="n"/>
      <c r="AQ272" s="12" t="n"/>
      <c r="AR272" s="13" t="n"/>
      <c r="AS272" s="14" t="n"/>
      <c r="AT272" s="12" t="n"/>
      <c r="AU272" s="13" t="n"/>
      <c r="AV272" s="14" t="n"/>
      <c r="AW272" s="12" t="n"/>
      <c r="AX272" s="13" t="n"/>
      <c r="AY272" s="14" t="n"/>
      <c r="AZ272" s="12" t="n"/>
      <c r="BA272" s="13" t="n"/>
      <c r="BB272" s="14" t="n"/>
      <c r="BC272" s="11">
        <f>IF(O272="","",IF(J272="GST 10%",ROUND(O272*set_GSTRate,2),0))</f>
        <v/>
      </c>
      <c r="BD272" s="11">
        <f>IF(O272="","",O272+BC272)</f>
        <v/>
      </c>
      <c r="BE272" s="15">
        <f>IF(O272="","",COUNTA(S272,V272,Y272,AB272,AE272,AH272,AK272,AN272,AQ272,AT272,AW272,AZ272))</f>
        <v/>
      </c>
      <c r="BF272" s="16">
        <f>IF(COUNT(T272,W272,Z272,AC272,AF272,AI272,AL272,AO272,AR272,AU272,AX272,BA272)=0,"",MAX(T272,W272,Z272,AC272,AF272,AI272,AL272,AO272,AR272,AU272,AX272,BA272))</f>
        <v/>
      </c>
      <c r="BG272" s="10">
        <f>MID(IF(S272="","",", "&amp;S272)&amp;IF(V272="","",", "&amp;V272)&amp;IF(Y272="","",", "&amp;Y272)&amp;IF(AB272="","",", "&amp;AB272)&amp;IF(AE272="","",", "&amp;AE272)&amp;IF(AH272="","",", "&amp;AH272)&amp;IF(AK272="","",", "&amp;AK272)&amp;IF(AN272="","",", "&amp;AN272)&amp;IF(AQ272="","",", "&amp;AQ272)&amp;IF(AT272="","",", "&amp;AT272)&amp;IF(AW272="","",", "&amp;AW272)&amp;IF(AZ272="","",", "&amp;AZ272),3,500)</f>
        <v/>
      </c>
      <c r="BH272" s="12" t="n"/>
      <c r="BI272" s="15">
        <f>IFERROR(MATCH($A272,IF($B272="Onsite",tbl_Onsite[Row ID],IF($B272="Production",tbl_Production[Row ID],tbl_Consulting[Row ID])),0),"")</f>
        <v/>
      </c>
    </row>
    <row r="273">
      <c r="A273" s="10" t="inlineStr">
        <is>
          <t>ONS-0267</t>
        </is>
      </c>
      <c r="B273" s="10" t="inlineStr">
        <is>
          <t>Onsite</t>
        </is>
      </c>
      <c r="C273" s="10">
        <f>IF($BI273="","",IF($B273="Onsite",INDEX(tbl_Onsite[Job Number],$BI273),IF($B273="Production",INDEX(tbl_Production[Job Number],$BI273),INDEX(tbl_Consulting[Job Number],$BI273)))&amp;"")</f>
        <v/>
      </c>
      <c r="D273" s="10">
        <f>IF($BI273="","",IF($B273="Onsite",INDEX(tbl_Onsite[Client],$BI273),IF($B273="Production",INDEX(tbl_Production[Client],$BI273),INDEX(tbl_Consulting[Client],$BI273)))&amp;"")</f>
        <v/>
      </c>
      <c r="E273" s="10">
        <f>IF($C273="","",IF(COUNTIF(lst_Jobs,$C273)&gt;0,"OK","CHECK"))</f>
        <v/>
      </c>
      <c r="F273" s="10">
        <f>IF($C273="","",IFERROR(INDEX(lst_JobName,MATCH($C273,lst_Jobs,0)),""))</f>
        <v/>
      </c>
      <c r="G273" s="10">
        <f>IF($BI273="","",IF($B273="Onsite",INDEX(tbl_Onsite[Job Description],$BI273),IF($B273="Production",INDEX(tbl_Production[Job Description],$BI273),INDEX(tbl_Consulting[Job Description],$BI273)))&amp;"")</f>
        <v/>
      </c>
      <c r="H273" s="10">
        <f>IF($BI273="","",IF($B273="Onsite",INDEX(tbl_Onsite[Cost Centre],$BI273),IF($B273="Production",INDEX(tbl_Production[Cost Centre],$BI273),INDEX(tbl_Consulting[Cost Centre],$BI273)))&amp;"")</f>
        <v/>
      </c>
      <c r="I273" s="10">
        <f>IF($BI273="","",IF($B273="Onsite",INDEX(tbl_Onsite[Invoice Type],$BI273),IF($B273="Production",INDEX(tbl_Production[Invoice Type],$BI273),INDEX(tbl_Consulting[Invoice Type],$BI273)))&amp;"")</f>
        <v/>
      </c>
      <c r="J273" s="10">
        <f>IF($BI273="","",IF($B273="Onsite",INDEX(tbl_Onsite[Tax Code],$BI273),IF($B273="Production",INDEX(tbl_Production[Tax Code],$BI273),INDEX(tbl_Consulting[Tax Code],$BI273)))&amp;"")</f>
        <v/>
      </c>
      <c r="K273" s="10">
        <f>IF(H273="","",IFERROR(INDEX(lst_CCtoGL,MATCH(H273,lst_CCforGL,0)),""))</f>
        <v/>
      </c>
      <c r="L273" s="10">
        <f>IF($BI273="","",IF($B273="Onsite",INDEX(tbl_Onsite[PO / Reference],$BI273),IF($B273="Production",INDEX(tbl_Production[Current RMS No],$BI273),INDEX(tbl_Consulting[Qwilr Quote],$BI273)))&amp;"")</f>
        <v/>
      </c>
      <c r="M273" s="10">
        <f>IF($BI273="","",IF($B273="Onsite",INDEX(tbl_Onsite[Notes],$BI273),IF($B273="Production",INDEX(tbl_Production[Notes],$BI273),INDEX(tbl_Consulting[Notes],$BI273)))&amp;"")</f>
        <v/>
      </c>
      <c r="N273" s="11">
        <f>IF($BI273="","",IF(IF($B273="Onsite",INDEX(tbl_Onsite[Expected Revenue Ex GST],$BI273),IF($B273="Production",INDEX(tbl_Production[Expected Revenue Ex GST],$BI273),INDEX(tbl_Consulting[Expected Revenue Ex GST],$BI273)))="","",IF($B273="Onsite",INDEX(tbl_Onsite[Expected Revenue Ex GST],$BI273),IF($B273="Production",INDEX(tbl_Production[Expected Revenue Ex GST],$BI273),INDEX(tbl_Consulting[Expected Revenue Ex GST],$BI273)))))</f>
        <v/>
      </c>
      <c r="O273" s="11">
        <f>IF(AND($C273="",NOT(COUNTA($S273:$BB273)&gt;0)),"",SUM(U273,X273,AA273,AD273,AG273,AJ273,AM273,AP273,AS273,AV273,AY273,BB273))</f>
        <v/>
      </c>
      <c r="P273" s="11">
        <f>IF(O273="","",N(N273)-O273)</f>
        <v/>
      </c>
      <c r="Q273" s="10">
        <f>IF(O273="","",IF($C273="","Invoice on empty job row",IF(N273="",IF(ROUND(O273,2)=0,"No dept value","Invoiced - no dept value"),IF(ROUND(O273,2)=0,"Not invoiced - to invoice",IF(ROUND(P273,2)=0,"Agrees",IF(P273&gt;0,"Dept higher - to invoice","Xero higher - check dept"))))))</f>
        <v/>
      </c>
      <c r="R273" s="10">
        <f>IF(AND($C273="",NOT(COUNTA($S273:$BB273)&gt;0),$BI273&lt;&gt;""),"",MID(IF($BI273="","; Row ID not found on the department sheet - a row was deleted","")&amp;IF(AND($C273="",COUNTA($S273:$BB273)&gt;0),"; Invoice entered but the department row has no job number","")&amp;IF(E273="CHECK","; Job number not in the Xero job list","")&amp;IF(AND($C273&lt;&gt;"",COUNTIF($C$7:$C$1506,$C273)&gt;1),"; Job number on more than one row","")&amp;IF(AND($C273&lt;&gt;"",H273=""),"; Dept has not set a cost centre","")&amp;IF(AND($C273&lt;&gt;"",J273=""),"; Dept has not set a tax code","")&amp;IF(AND($C273&lt;&gt;"",N273=""),"; Dept has not entered an expected value","")&amp;IF((IF(OR(COUNTA(S273:U273)=0,AND(COUNTA(S273:U273)=3,ISNUMBER(U273))),0,1)+IF(OR(COUNTA(V273:X273)=0,AND(COUNTA(V273:X273)=3,ISNUMBER(X273))),0,1)+IF(OR(COUNTA(Y273:AA273)=0,AND(COUNTA(Y273:AA273)=3,ISNUMBER(AA273))),0,1)+IF(OR(COUNTA(AB273:AD273)=0,AND(COUNTA(AB273:AD273)=3,ISNUMBER(AD273))),0,1)+IF(OR(COUNTA(AE273:AG273)=0,AND(COUNTA(AE273:AG273)=3,ISNUMBER(AG273))),0,1)+IF(OR(COUNTA(AH273:AJ273)=0,AND(COUNTA(AH273:AJ273)=3,ISNUMBER(AJ273))),0,1)+IF(OR(COUNTA(AK273:AM273)=0,AND(COUNTA(AK273:AM273)=3,ISNUMBER(AM273))),0,1)+IF(OR(COUNTA(AN273:AP273)=0,AND(COUNTA(AN273:AP273)=3,ISNUMBER(AP273))),0,1)+IF(OR(COUNTA(AQ273:AS273)=0,AND(COUNTA(AQ273:AS273)=3,ISNUMBER(AS273))),0,1)+IF(OR(COUNTA(AT273:AV273)=0,AND(COUNTA(AT273:AV273)=3,ISNUMBER(AV273))),0,1)+IF(OR(COUNTA(AW273:AY273)=0,AND(COUNTA(AW273:AY273)=3,ISNUMBER(AY273))),0,1)+IF(OR(COUNTA(AZ273:BB273)=0,AND(COUNTA(AZ273:BB273)=3,ISNUMBER(BB273))),0,1))&gt;0,"; An invoice is incomplete (needs No, Date and a number in Ex GST)","")&amp;IF((IF(T273="",0,IFERROR(--(EOMONTH(T273,0)&lt;&gt;S$5),1))+IF(W273="",0,IFERROR(--(EOMONTH(W273,0)&lt;&gt;V$5),1))+IF(Z273="",0,IFERROR(--(EOMONTH(Z273,0)&lt;&gt;Y$5),1))+IF(AC273="",0,IFERROR(--(EOMONTH(AC273,0)&lt;&gt;AB$5),1))+IF(AF273="",0,IFERROR(--(EOMONTH(AF273,0)&lt;&gt;AE$5),1))+IF(AI273="",0,IFERROR(--(EOMONTH(AI273,0)&lt;&gt;AH$5),1))+IF(AL273="",0,IFERROR(--(EOMONTH(AL273,0)&lt;&gt;AK$5),1))+IF(AO273="",0,IFERROR(--(EOMONTH(AO273,0)&lt;&gt;AN$5),1))+IF(AR273="",0,IFERROR(--(EOMONTH(AR273,0)&lt;&gt;AQ$5),1))+IF(AU273="",0,IFERROR(--(EOMONTH(AU273,0)&lt;&gt;AT$5),1))+IF(AX273="",0,IFERROR(--(EOMONTH(AX273,0)&lt;&gt;AW$5),1))+IF(BA273="",0,IFERROR(--(EOMONTH(BA273,0)&lt;&gt;AZ$5),1)))&gt;0,"; An invoice date is not in the month it is typed under",""),3,500))</f>
        <v/>
      </c>
      <c r="S273" s="12" t="n"/>
      <c r="T273" s="13" t="n"/>
      <c r="U273" s="14" t="n"/>
      <c r="V273" s="12" t="n"/>
      <c r="W273" s="13" t="n"/>
      <c r="X273" s="14" t="n"/>
      <c r="Y273" s="12" t="n"/>
      <c r="Z273" s="13" t="n"/>
      <c r="AA273" s="14" t="n"/>
      <c r="AB273" s="12" t="n"/>
      <c r="AC273" s="13" t="n"/>
      <c r="AD273" s="14" t="n"/>
      <c r="AE273" s="12" t="n"/>
      <c r="AF273" s="13" t="n"/>
      <c r="AG273" s="14" t="n"/>
      <c r="AH273" s="12" t="n"/>
      <c r="AI273" s="13" t="n"/>
      <c r="AJ273" s="14" t="n"/>
      <c r="AK273" s="12" t="n"/>
      <c r="AL273" s="13" t="n"/>
      <c r="AM273" s="14" t="n"/>
      <c r="AN273" s="12" t="n"/>
      <c r="AO273" s="13" t="n"/>
      <c r="AP273" s="14" t="n"/>
      <c r="AQ273" s="12" t="n"/>
      <c r="AR273" s="13" t="n"/>
      <c r="AS273" s="14" t="n"/>
      <c r="AT273" s="12" t="n"/>
      <c r="AU273" s="13" t="n"/>
      <c r="AV273" s="14" t="n"/>
      <c r="AW273" s="12" t="n"/>
      <c r="AX273" s="13" t="n"/>
      <c r="AY273" s="14" t="n"/>
      <c r="AZ273" s="12" t="n"/>
      <c r="BA273" s="13" t="n"/>
      <c r="BB273" s="14" t="n"/>
      <c r="BC273" s="11">
        <f>IF(O273="","",IF(J273="GST 10%",ROUND(O273*set_GSTRate,2),0))</f>
        <v/>
      </c>
      <c r="BD273" s="11">
        <f>IF(O273="","",O273+BC273)</f>
        <v/>
      </c>
      <c r="BE273" s="15">
        <f>IF(O273="","",COUNTA(S273,V273,Y273,AB273,AE273,AH273,AK273,AN273,AQ273,AT273,AW273,AZ273))</f>
        <v/>
      </c>
      <c r="BF273" s="16">
        <f>IF(COUNT(T273,W273,Z273,AC273,AF273,AI273,AL273,AO273,AR273,AU273,AX273,BA273)=0,"",MAX(T273,W273,Z273,AC273,AF273,AI273,AL273,AO273,AR273,AU273,AX273,BA273))</f>
        <v/>
      </c>
      <c r="BG273" s="10">
        <f>MID(IF(S273="","",", "&amp;S273)&amp;IF(V273="","",", "&amp;V273)&amp;IF(Y273="","",", "&amp;Y273)&amp;IF(AB273="","",", "&amp;AB273)&amp;IF(AE273="","",", "&amp;AE273)&amp;IF(AH273="","",", "&amp;AH273)&amp;IF(AK273="","",", "&amp;AK273)&amp;IF(AN273="","",", "&amp;AN273)&amp;IF(AQ273="","",", "&amp;AQ273)&amp;IF(AT273="","",", "&amp;AT273)&amp;IF(AW273="","",", "&amp;AW273)&amp;IF(AZ273="","",", "&amp;AZ273),3,500)</f>
        <v/>
      </c>
      <c r="BH273" s="12" t="n"/>
      <c r="BI273" s="15">
        <f>IFERROR(MATCH($A273,IF($B273="Onsite",tbl_Onsite[Row ID],IF($B273="Production",tbl_Production[Row ID],tbl_Consulting[Row ID])),0),"")</f>
        <v/>
      </c>
    </row>
    <row r="274">
      <c r="A274" s="10" t="inlineStr">
        <is>
          <t>ONS-0268</t>
        </is>
      </c>
      <c r="B274" s="10" t="inlineStr">
        <is>
          <t>Onsite</t>
        </is>
      </c>
      <c r="C274" s="10">
        <f>IF($BI274="","",IF($B274="Onsite",INDEX(tbl_Onsite[Job Number],$BI274),IF($B274="Production",INDEX(tbl_Production[Job Number],$BI274),INDEX(tbl_Consulting[Job Number],$BI274)))&amp;"")</f>
        <v/>
      </c>
      <c r="D274" s="10">
        <f>IF($BI274="","",IF($B274="Onsite",INDEX(tbl_Onsite[Client],$BI274),IF($B274="Production",INDEX(tbl_Production[Client],$BI274),INDEX(tbl_Consulting[Client],$BI274)))&amp;"")</f>
        <v/>
      </c>
      <c r="E274" s="10">
        <f>IF($C274="","",IF(COUNTIF(lst_Jobs,$C274)&gt;0,"OK","CHECK"))</f>
        <v/>
      </c>
      <c r="F274" s="10">
        <f>IF($C274="","",IFERROR(INDEX(lst_JobName,MATCH($C274,lst_Jobs,0)),""))</f>
        <v/>
      </c>
      <c r="G274" s="10">
        <f>IF($BI274="","",IF($B274="Onsite",INDEX(tbl_Onsite[Job Description],$BI274),IF($B274="Production",INDEX(tbl_Production[Job Description],$BI274),INDEX(tbl_Consulting[Job Description],$BI274)))&amp;"")</f>
        <v/>
      </c>
      <c r="H274" s="10">
        <f>IF($BI274="","",IF($B274="Onsite",INDEX(tbl_Onsite[Cost Centre],$BI274),IF($B274="Production",INDEX(tbl_Production[Cost Centre],$BI274),INDEX(tbl_Consulting[Cost Centre],$BI274)))&amp;"")</f>
        <v/>
      </c>
      <c r="I274" s="10">
        <f>IF($BI274="","",IF($B274="Onsite",INDEX(tbl_Onsite[Invoice Type],$BI274),IF($B274="Production",INDEX(tbl_Production[Invoice Type],$BI274),INDEX(tbl_Consulting[Invoice Type],$BI274)))&amp;"")</f>
        <v/>
      </c>
      <c r="J274" s="10">
        <f>IF($BI274="","",IF($B274="Onsite",INDEX(tbl_Onsite[Tax Code],$BI274),IF($B274="Production",INDEX(tbl_Production[Tax Code],$BI274),INDEX(tbl_Consulting[Tax Code],$BI274)))&amp;"")</f>
        <v/>
      </c>
      <c r="K274" s="10">
        <f>IF(H274="","",IFERROR(INDEX(lst_CCtoGL,MATCH(H274,lst_CCforGL,0)),""))</f>
        <v/>
      </c>
      <c r="L274" s="10">
        <f>IF($BI274="","",IF($B274="Onsite",INDEX(tbl_Onsite[PO / Reference],$BI274),IF($B274="Production",INDEX(tbl_Production[Current RMS No],$BI274),INDEX(tbl_Consulting[Qwilr Quote],$BI274)))&amp;"")</f>
        <v/>
      </c>
      <c r="M274" s="10">
        <f>IF($BI274="","",IF($B274="Onsite",INDEX(tbl_Onsite[Notes],$BI274),IF($B274="Production",INDEX(tbl_Production[Notes],$BI274),INDEX(tbl_Consulting[Notes],$BI274)))&amp;"")</f>
        <v/>
      </c>
      <c r="N274" s="11">
        <f>IF($BI274="","",IF(IF($B274="Onsite",INDEX(tbl_Onsite[Expected Revenue Ex GST],$BI274),IF($B274="Production",INDEX(tbl_Production[Expected Revenue Ex GST],$BI274),INDEX(tbl_Consulting[Expected Revenue Ex GST],$BI274)))="","",IF($B274="Onsite",INDEX(tbl_Onsite[Expected Revenue Ex GST],$BI274),IF($B274="Production",INDEX(tbl_Production[Expected Revenue Ex GST],$BI274),INDEX(tbl_Consulting[Expected Revenue Ex GST],$BI274)))))</f>
        <v/>
      </c>
      <c r="O274" s="11">
        <f>IF(AND($C274="",NOT(COUNTA($S274:$BB274)&gt;0)),"",SUM(U274,X274,AA274,AD274,AG274,AJ274,AM274,AP274,AS274,AV274,AY274,BB274))</f>
        <v/>
      </c>
      <c r="P274" s="11">
        <f>IF(O274="","",N(N274)-O274)</f>
        <v/>
      </c>
      <c r="Q274" s="10">
        <f>IF(O274="","",IF($C274="","Invoice on empty job row",IF(N274="",IF(ROUND(O274,2)=0,"No dept value","Invoiced - no dept value"),IF(ROUND(O274,2)=0,"Not invoiced - to invoice",IF(ROUND(P274,2)=0,"Agrees",IF(P274&gt;0,"Dept higher - to invoice","Xero higher - check dept"))))))</f>
        <v/>
      </c>
      <c r="R274" s="10">
        <f>IF(AND($C274="",NOT(COUNTA($S274:$BB274)&gt;0),$BI274&lt;&gt;""),"",MID(IF($BI274="","; Row ID not found on the department sheet - a row was deleted","")&amp;IF(AND($C274="",COUNTA($S274:$BB274)&gt;0),"; Invoice entered but the department row has no job number","")&amp;IF(E274="CHECK","; Job number not in the Xero job list","")&amp;IF(AND($C274&lt;&gt;"",COUNTIF($C$7:$C$1506,$C274)&gt;1),"; Job number on more than one row","")&amp;IF(AND($C274&lt;&gt;"",H274=""),"; Dept has not set a cost centre","")&amp;IF(AND($C274&lt;&gt;"",J274=""),"; Dept has not set a tax code","")&amp;IF(AND($C274&lt;&gt;"",N274=""),"; Dept has not entered an expected value","")&amp;IF((IF(OR(COUNTA(S274:U274)=0,AND(COUNTA(S274:U274)=3,ISNUMBER(U274))),0,1)+IF(OR(COUNTA(V274:X274)=0,AND(COUNTA(V274:X274)=3,ISNUMBER(X274))),0,1)+IF(OR(COUNTA(Y274:AA274)=0,AND(COUNTA(Y274:AA274)=3,ISNUMBER(AA274))),0,1)+IF(OR(COUNTA(AB274:AD274)=0,AND(COUNTA(AB274:AD274)=3,ISNUMBER(AD274))),0,1)+IF(OR(COUNTA(AE274:AG274)=0,AND(COUNTA(AE274:AG274)=3,ISNUMBER(AG274))),0,1)+IF(OR(COUNTA(AH274:AJ274)=0,AND(COUNTA(AH274:AJ274)=3,ISNUMBER(AJ274))),0,1)+IF(OR(COUNTA(AK274:AM274)=0,AND(COUNTA(AK274:AM274)=3,ISNUMBER(AM274))),0,1)+IF(OR(COUNTA(AN274:AP274)=0,AND(COUNTA(AN274:AP274)=3,ISNUMBER(AP274))),0,1)+IF(OR(COUNTA(AQ274:AS274)=0,AND(COUNTA(AQ274:AS274)=3,ISNUMBER(AS274))),0,1)+IF(OR(COUNTA(AT274:AV274)=0,AND(COUNTA(AT274:AV274)=3,ISNUMBER(AV274))),0,1)+IF(OR(COUNTA(AW274:AY274)=0,AND(COUNTA(AW274:AY274)=3,ISNUMBER(AY274))),0,1)+IF(OR(COUNTA(AZ274:BB274)=0,AND(COUNTA(AZ274:BB274)=3,ISNUMBER(BB274))),0,1))&gt;0,"; An invoice is incomplete (needs No, Date and a number in Ex GST)","")&amp;IF((IF(T274="",0,IFERROR(--(EOMONTH(T274,0)&lt;&gt;S$5),1))+IF(W274="",0,IFERROR(--(EOMONTH(W274,0)&lt;&gt;V$5),1))+IF(Z274="",0,IFERROR(--(EOMONTH(Z274,0)&lt;&gt;Y$5),1))+IF(AC274="",0,IFERROR(--(EOMONTH(AC274,0)&lt;&gt;AB$5),1))+IF(AF274="",0,IFERROR(--(EOMONTH(AF274,0)&lt;&gt;AE$5),1))+IF(AI274="",0,IFERROR(--(EOMONTH(AI274,0)&lt;&gt;AH$5),1))+IF(AL274="",0,IFERROR(--(EOMONTH(AL274,0)&lt;&gt;AK$5),1))+IF(AO274="",0,IFERROR(--(EOMONTH(AO274,0)&lt;&gt;AN$5),1))+IF(AR274="",0,IFERROR(--(EOMONTH(AR274,0)&lt;&gt;AQ$5),1))+IF(AU274="",0,IFERROR(--(EOMONTH(AU274,0)&lt;&gt;AT$5),1))+IF(AX274="",0,IFERROR(--(EOMONTH(AX274,0)&lt;&gt;AW$5),1))+IF(BA274="",0,IFERROR(--(EOMONTH(BA274,0)&lt;&gt;AZ$5),1)))&gt;0,"; An invoice date is not in the month it is typed under",""),3,500))</f>
        <v/>
      </c>
      <c r="S274" s="12" t="n"/>
      <c r="T274" s="13" t="n"/>
      <c r="U274" s="14" t="n"/>
      <c r="V274" s="12" t="n"/>
      <c r="W274" s="13" t="n"/>
      <c r="X274" s="14" t="n"/>
      <c r="Y274" s="12" t="n"/>
      <c r="Z274" s="13" t="n"/>
      <c r="AA274" s="14" t="n"/>
      <c r="AB274" s="12" t="n"/>
      <c r="AC274" s="13" t="n"/>
      <c r="AD274" s="14" t="n"/>
      <c r="AE274" s="12" t="n"/>
      <c r="AF274" s="13" t="n"/>
      <c r="AG274" s="14" t="n"/>
      <c r="AH274" s="12" t="n"/>
      <c r="AI274" s="13" t="n"/>
      <c r="AJ274" s="14" t="n"/>
      <c r="AK274" s="12" t="n"/>
      <c r="AL274" s="13" t="n"/>
      <c r="AM274" s="14" t="n"/>
      <c r="AN274" s="12" t="n"/>
      <c r="AO274" s="13" t="n"/>
      <c r="AP274" s="14" t="n"/>
      <c r="AQ274" s="12" t="n"/>
      <c r="AR274" s="13" t="n"/>
      <c r="AS274" s="14" t="n"/>
      <c r="AT274" s="12" t="n"/>
      <c r="AU274" s="13" t="n"/>
      <c r="AV274" s="14" t="n"/>
      <c r="AW274" s="12" t="n"/>
      <c r="AX274" s="13" t="n"/>
      <c r="AY274" s="14" t="n"/>
      <c r="AZ274" s="12" t="n"/>
      <c r="BA274" s="13" t="n"/>
      <c r="BB274" s="14" t="n"/>
      <c r="BC274" s="11">
        <f>IF(O274="","",IF(J274="GST 10%",ROUND(O274*set_GSTRate,2),0))</f>
        <v/>
      </c>
      <c r="BD274" s="11">
        <f>IF(O274="","",O274+BC274)</f>
        <v/>
      </c>
      <c r="BE274" s="15">
        <f>IF(O274="","",COUNTA(S274,V274,Y274,AB274,AE274,AH274,AK274,AN274,AQ274,AT274,AW274,AZ274))</f>
        <v/>
      </c>
      <c r="BF274" s="16">
        <f>IF(COUNT(T274,W274,Z274,AC274,AF274,AI274,AL274,AO274,AR274,AU274,AX274,BA274)=0,"",MAX(T274,W274,Z274,AC274,AF274,AI274,AL274,AO274,AR274,AU274,AX274,BA274))</f>
        <v/>
      </c>
      <c r="BG274" s="10">
        <f>MID(IF(S274="","",", "&amp;S274)&amp;IF(V274="","",", "&amp;V274)&amp;IF(Y274="","",", "&amp;Y274)&amp;IF(AB274="","",", "&amp;AB274)&amp;IF(AE274="","",", "&amp;AE274)&amp;IF(AH274="","",", "&amp;AH274)&amp;IF(AK274="","",", "&amp;AK274)&amp;IF(AN274="","",", "&amp;AN274)&amp;IF(AQ274="","",", "&amp;AQ274)&amp;IF(AT274="","",", "&amp;AT274)&amp;IF(AW274="","",", "&amp;AW274)&amp;IF(AZ274="","",", "&amp;AZ274),3,500)</f>
        <v/>
      </c>
      <c r="BH274" s="12" t="n"/>
      <c r="BI274" s="15">
        <f>IFERROR(MATCH($A274,IF($B274="Onsite",tbl_Onsite[Row ID],IF($B274="Production",tbl_Production[Row ID],tbl_Consulting[Row ID])),0),"")</f>
        <v/>
      </c>
    </row>
    <row r="275">
      <c r="A275" s="10" t="inlineStr">
        <is>
          <t>ONS-0269</t>
        </is>
      </c>
      <c r="B275" s="10" t="inlineStr">
        <is>
          <t>Onsite</t>
        </is>
      </c>
      <c r="C275" s="10">
        <f>IF($BI275="","",IF($B275="Onsite",INDEX(tbl_Onsite[Job Number],$BI275),IF($B275="Production",INDEX(tbl_Production[Job Number],$BI275),INDEX(tbl_Consulting[Job Number],$BI275)))&amp;"")</f>
        <v/>
      </c>
      <c r="D275" s="10">
        <f>IF($BI275="","",IF($B275="Onsite",INDEX(tbl_Onsite[Client],$BI275),IF($B275="Production",INDEX(tbl_Production[Client],$BI275),INDEX(tbl_Consulting[Client],$BI275)))&amp;"")</f>
        <v/>
      </c>
      <c r="E275" s="10">
        <f>IF($C275="","",IF(COUNTIF(lst_Jobs,$C275)&gt;0,"OK","CHECK"))</f>
        <v/>
      </c>
      <c r="F275" s="10">
        <f>IF($C275="","",IFERROR(INDEX(lst_JobName,MATCH($C275,lst_Jobs,0)),""))</f>
        <v/>
      </c>
      <c r="G275" s="10">
        <f>IF($BI275="","",IF($B275="Onsite",INDEX(tbl_Onsite[Job Description],$BI275),IF($B275="Production",INDEX(tbl_Production[Job Description],$BI275),INDEX(tbl_Consulting[Job Description],$BI275)))&amp;"")</f>
        <v/>
      </c>
      <c r="H275" s="10">
        <f>IF($BI275="","",IF($B275="Onsite",INDEX(tbl_Onsite[Cost Centre],$BI275),IF($B275="Production",INDEX(tbl_Production[Cost Centre],$BI275),INDEX(tbl_Consulting[Cost Centre],$BI275)))&amp;"")</f>
        <v/>
      </c>
      <c r="I275" s="10">
        <f>IF($BI275="","",IF($B275="Onsite",INDEX(tbl_Onsite[Invoice Type],$BI275),IF($B275="Production",INDEX(tbl_Production[Invoice Type],$BI275),INDEX(tbl_Consulting[Invoice Type],$BI275)))&amp;"")</f>
        <v/>
      </c>
      <c r="J275" s="10">
        <f>IF($BI275="","",IF($B275="Onsite",INDEX(tbl_Onsite[Tax Code],$BI275),IF($B275="Production",INDEX(tbl_Production[Tax Code],$BI275),INDEX(tbl_Consulting[Tax Code],$BI275)))&amp;"")</f>
        <v/>
      </c>
      <c r="K275" s="10">
        <f>IF(H275="","",IFERROR(INDEX(lst_CCtoGL,MATCH(H275,lst_CCforGL,0)),""))</f>
        <v/>
      </c>
      <c r="L275" s="10">
        <f>IF($BI275="","",IF($B275="Onsite",INDEX(tbl_Onsite[PO / Reference],$BI275),IF($B275="Production",INDEX(tbl_Production[Current RMS No],$BI275),INDEX(tbl_Consulting[Qwilr Quote],$BI275)))&amp;"")</f>
        <v/>
      </c>
      <c r="M275" s="10">
        <f>IF($BI275="","",IF($B275="Onsite",INDEX(tbl_Onsite[Notes],$BI275),IF($B275="Production",INDEX(tbl_Production[Notes],$BI275),INDEX(tbl_Consulting[Notes],$BI275)))&amp;"")</f>
        <v/>
      </c>
      <c r="N275" s="11">
        <f>IF($BI275="","",IF(IF($B275="Onsite",INDEX(tbl_Onsite[Expected Revenue Ex GST],$BI275),IF($B275="Production",INDEX(tbl_Production[Expected Revenue Ex GST],$BI275),INDEX(tbl_Consulting[Expected Revenue Ex GST],$BI275)))="","",IF($B275="Onsite",INDEX(tbl_Onsite[Expected Revenue Ex GST],$BI275),IF($B275="Production",INDEX(tbl_Production[Expected Revenue Ex GST],$BI275),INDEX(tbl_Consulting[Expected Revenue Ex GST],$BI275)))))</f>
        <v/>
      </c>
      <c r="O275" s="11">
        <f>IF(AND($C275="",NOT(COUNTA($S275:$BB275)&gt;0)),"",SUM(U275,X275,AA275,AD275,AG275,AJ275,AM275,AP275,AS275,AV275,AY275,BB275))</f>
        <v/>
      </c>
      <c r="P275" s="11">
        <f>IF(O275="","",N(N275)-O275)</f>
        <v/>
      </c>
      <c r="Q275" s="10">
        <f>IF(O275="","",IF($C275="","Invoice on empty job row",IF(N275="",IF(ROUND(O275,2)=0,"No dept value","Invoiced - no dept value"),IF(ROUND(O275,2)=0,"Not invoiced - to invoice",IF(ROUND(P275,2)=0,"Agrees",IF(P275&gt;0,"Dept higher - to invoice","Xero higher - check dept"))))))</f>
        <v/>
      </c>
      <c r="R275" s="10">
        <f>IF(AND($C275="",NOT(COUNTA($S275:$BB275)&gt;0),$BI275&lt;&gt;""),"",MID(IF($BI275="","; Row ID not found on the department sheet - a row was deleted","")&amp;IF(AND($C275="",COUNTA($S275:$BB275)&gt;0),"; Invoice entered but the department row has no job number","")&amp;IF(E275="CHECK","; Job number not in the Xero job list","")&amp;IF(AND($C275&lt;&gt;"",COUNTIF($C$7:$C$1506,$C275)&gt;1),"; Job number on more than one row","")&amp;IF(AND($C275&lt;&gt;"",H275=""),"; Dept has not set a cost centre","")&amp;IF(AND($C275&lt;&gt;"",J275=""),"; Dept has not set a tax code","")&amp;IF(AND($C275&lt;&gt;"",N275=""),"; Dept has not entered an expected value","")&amp;IF((IF(OR(COUNTA(S275:U275)=0,AND(COUNTA(S275:U275)=3,ISNUMBER(U275))),0,1)+IF(OR(COUNTA(V275:X275)=0,AND(COUNTA(V275:X275)=3,ISNUMBER(X275))),0,1)+IF(OR(COUNTA(Y275:AA275)=0,AND(COUNTA(Y275:AA275)=3,ISNUMBER(AA275))),0,1)+IF(OR(COUNTA(AB275:AD275)=0,AND(COUNTA(AB275:AD275)=3,ISNUMBER(AD275))),0,1)+IF(OR(COUNTA(AE275:AG275)=0,AND(COUNTA(AE275:AG275)=3,ISNUMBER(AG275))),0,1)+IF(OR(COUNTA(AH275:AJ275)=0,AND(COUNTA(AH275:AJ275)=3,ISNUMBER(AJ275))),0,1)+IF(OR(COUNTA(AK275:AM275)=0,AND(COUNTA(AK275:AM275)=3,ISNUMBER(AM275))),0,1)+IF(OR(COUNTA(AN275:AP275)=0,AND(COUNTA(AN275:AP275)=3,ISNUMBER(AP275))),0,1)+IF(OR(COUNTA(AQ275:AS275)=0,AND(COUNTA(AQ275:AS275)=3,ISNUMBER(AS275))),0,1)+IF(OR(COUNTA(AT275:AV275)=0,AND(COUNTA(AT275:AV275)=3,ISNUMBER(AV275))),0,1)+IF(OR(COUNTA(AW275:AY275)=0,AND(COUNTA(AW275:AY275)=3,ISNUMBER(AY275))),0,1)+IF(OR(COUNTA(AZ275:BB275)=0,AND(COUNTA(AZ275:BB275)=3,ISNUMBER(BB275))),0,1))&gt;0,"; An invoice is incomplete (needs No, Date and a number in Ex GST)","")&amp;IF((IF(T275="",0,IFERROR(--(EOMONTH(T275,0)&lt;&gt;S$5),1))+IF(W275="",0,IFERROR(--(EOMONTH(W275,0)&lt;&gt;V$5),1))+IF(Z275="",0,IFERROR(--(EOMONTH(Z275,0)&lt;&gt;Y$5),1))+IF(AC275="",0,IFERROR(--(EOMONTH(AC275,0)&lt;&gt;AB$5),1))+IF(AF275="",0,IFERROR(--(EOMONTH(AF275,0)&lt;&gt;AE$5),1))+IF(AI275="",0,IFERROR(--(EOMONTH(AI275,0)&lt;&gt;AH$5),1))+IF(AL275="",0,IFERROR(--(EOMONTH(AL275,0)&lt;&gt;AK$5),1))+IF(AO275="",0,IFERROR(--(EOMONTH(AO275,0)&lt;&gt;AN$5),1))+IF(AR275="",0,IFERROR(--(EOMONTH(AR275,0)&lt;&gt;AQ$5),1))+IF(AU275="",0,IFERROR(--(EOMONTH(AU275,0)&lt;&gt;AT$5),1))+IF(AX275="",0,IFERROR(--(EOMONTH(AX275,0)&lt;&gt;AW$5),1))+IF(BA275="",0,IFERROR(--(EOMONTH(BA275,0)&lt;&gt;AZ$5),1)))&gt;0,"; An invoice date is not in the month it is typed under",""),3,500))</f>
        <v/>
      </c>
      <c r="S275" s="12" t="n"/>
      <c r="T275" s="13" t="n"/>
      <c r="U275" s="14" t="n"/>
      <c r="V275" s="12" t="n"/>
      <c r="W275" s="13" t="n"/>
      <c r="X275" s="14" t="n"/>
      <c r="Y275" s="12" t="n"/>
      <c r="Z275" s="13" t="n"/>
      <c r="AA275" s="14" t="n"/>
      <c r="AB275" s="12" t="n"/>
      <c r="AC275" s="13" t="n"/>
      <c r="AD275" s="14" t="n"/>
      <c r="AE275" s="12" t="n"/>
      <c r="AF275" s="13" t="n"/>
      <c r="AG275" s="14" t="n"/>
      <c r="AH275" s="12" t="n"/>
      <c r="AI275" s="13" t="n"/>
      <c r="AJ275" s="14" t="n"/>
      <c r="AK275" s="12" t="n"/>
      <c r="AL275" s="13" t="n"/>
      <c r="AM275" s="14" t="n"/>
      <c r="AN275" s="12" t="n"/>
      <c r="AO275" s="13" t="n"/>
      <c r="AP275" s="14" t="n"/>
      <c r="AQ275" s="12" t="n"/>
      <c r="AR275" s="13" t="n"/>
      <c r="AS275" s="14" t="n"/>
      <c r="AT275" s="12" t="n"/>
      <c r="AU275" s="13" t="n"/>
      <c r="AV275" s="14" t="n"/>
      <c r="AW275" s="12" t="n"/>
      <c r="AX275" s="13" t="n"/>
      <c r="AY275" s="14" t="n"/>
      <c r="AZ275" s="12" t="n"/>
      <c r="BA275" s="13" t="n"/>
      <c r="BB275" s="14" t="n"/>
      <c r="BC275" s="11">
        <f>IF(O275="","",IF(J275="GST 10%",ROUND(O275*set_GSTRate,2),0))</f>
        <v/>
      </c>
      <c r="BD275" s="11">
        <f>IF(O275="","",O275+BC275)</f>
        <v/>
      </c>
      <c r="BE275" s="15">
        <f>IF(O275="","",COUNTA(S275,V275,Y275,AB275,AE275,AH275,AK275,AN275,AQ275,AT275,AW275,AZ275))</f>
        <v/>
      </c>
      <c r="BF275" s="16">
        <f>IF(COUNT(T275,W275,Z275,AC275,AF275,AI275,AL275,AO275,AR275,AU275,AX275,BA275)=0,"",MAX(T275,W275,Z275,AC275,AF275,AI275,AL275,AO275,AR275,AU275,AX275,BA275))</f>
        <v/>
      </c>
      <c r="BG275" s="10">
        <f>MID(IF(S275="","",", "&amp;S275)&amp;IF(V275="","",", "&amp;V275)&amp;IF(Y275="","",", "&amp;Y275)&amp;IF(AB275="","",", "&amp;AB275)&amp;IF(AE275="","",", "&amp;AE275)&amp;IF(AH275="","",", "&amp;AH275)&amp;IF(AK275="","",", "&amp;AK275)&amp;IF(AN275="","",", "&amp;AN275)&amp;IF(AQ275="","",", "&amp;AQ275)&amp;IF(AT275="","",", "&amp;AT275)&amp;IF(AW275="","",", "&amp;AW275)&amp;IF(AZ275="","",", "&amp;AZ275),3,500)</f>
        <v/>
      </c>
      <c r="BH275" s="12" t="n"/>
      <c r="BI275" s="15">
        <f>IFERROR(MATCH($A275,IF($B275="Onsite",tbl_Onsite[Row ID],IF($B275="Production",tbl_Production[Row ID],tbl_Consulting[Row ID])),0),"")</f>
        <v/>
      </c>
    </row>
    <row r="276">
      <c r="A276" s="10" t="inlineStr">
        <is>
          <t>ONS-0270</t>
        </is>
      </c>
      <c r="B276" s="10" t="inlineStr">
        <is>
          <t>Onsite</t>
        </is>
      </c>
      <c r="C276" s="10">
        <f>IF($BI276="","",IF($B276="Onsite",INDEX(tbl_Onsite[Job Number],$BI276),IF($B276="Production",INDEX(tbl_Production[Job Number],$BI276),INDEX(tbl_Consulting[Job Number],$BI276)))&amp;"")</f>
        <v/>
      </c>
      <c r="D276" s="10">
        <f>IF($BI276="","",IF($B276="Onsite",INDEX(tbl_Onsite[Client],$BI276),IF($B276="Production",INDEX(tbl_Production[Client],$BI276),INDEX(tbl_Consulting[Client],$BI276)))&amp;"")</f>
        <v/>
      </c>
      <c r="E276" s="10">
        <f>IF($C276="","",IF(COUNTIF(lst_Jobs,$C276)&gt;0,"OK","CHECK"))</f>
        <v/>
      </c>
      <c r="F276" s="10">
        <f>IF($C276="","",IFERROR(INDEX(lst_JobName,MATCH($C276,lst_Jobs,0)),""))</f>
        <v/>
      </c>
      <c r="G276" s="10">
        <f>IF($BI276="","",IF($B276="Onsite",INDEX(tbl_Onsite[Job Description],$BI276),IF($B276="Production",INDEX(tbl_Production[Job Description],$BI276),INDEX(tbl_Consulting[Job Description],$BI276)))&amp;"")</f>
        <v/>
      </c>
      <c r="H276" s="10">
        <f>IF($BI276="","",IF($B276="Onsite",INDEX(tbl_Onsite[Cost Centre],$BI276),IF($B276="Production",INDEX(tbl_Production[Cost Centre],$BI276),INDEX(tbl_Consulting[Cost Centre],$BI276)))&amp;"")</f>
        <v/>
      </c>
      <c r="I276" s="10">
        <f>IF($BI276="","",IF($B276="Onsite",INDEX(tbl_Onsite[Invoice Type],$BI276),IF($B276="Production",INDEX(tbl_Production[Invoice Type],$BI276),INDEX(tbl_Consulting[Invoice Type],$BI276)))&amp;"")</f>
        <v/>
      </c>
      <c r="J276" s="10">
        <f>IF($BI276="","",IF($B276="Onsite",INDEX(tbl_Onsite[Tax Code],$BI276),IF($B276="Production",INDEX(tbl_Production[Tax Code],$BI276),INDEX(tbl_Consulting[Tax Code],$BI276)))&amp;"")</f>
        <v/>
      </c>
      <c r="K276" s="10">
        <f>IF(H276="","",IFERROR(INDEX(lst_CCtoGL,MATCH(H276,lst_CCforGL,0)),""))</f>
        <v/>
      </c>
      <c r="L276" s="10">
        <f>IF($BI276="","",IF($B276="Onsite",INDEX(tbl_Onsite[PO / Reference],$BI276),IF($B276="Production",INDEX(tbl_Production[Current RMS No],$BI276),INDEX(tbl_Consulting[Qwilr Quote],$BI276)))&amp;"")</f>
        <v/>
      </c>
      <c r="M276" s="10">
        <f>IF($BI276="","",IF($B276="Onsite",INDEX(tbl_Onsite[Notes],$BI276),IF($B276="Production",INDEX(tbl_Production[Notes],$BI276),INDEX(tbl_Consulting[Notes],$BI276)))&amp;"")</f>
        <v/>
      </c>
      <c r="N276" s="11">
        <f>IF($BI276="","",IF(IF($B276="Onsite",INDEX(tbl_Onsite[Expected Revenue Ex GST],$BI276),IF($B276="Production",INDEX(tbl_Production[Expected Revenue Ex GST],$BI276),INDEX(tbl_Consulting[Expected Revenue Ex GST],$BI276)))="","",IF($B276="Onsite",INDEX(tbl_Onsite[Expected Revenue Ex GST],$BI276),IF($B276="Production",INDEX(tbl_Production[Expected Revenue Ex GST],$BI276),INDEX(tbl_Consulting[Expected Revenue Ex GST],$BI276)))))</f>
        <v/>
      </c>
      <c r="O276" s="11">
        <f>IF(AND($C276="",NOT(COUNTA($S276:$BB276)&gt;0)),"",SUM(U276,X276,AA276,AD276,AG276,AJ276,AM276,AP276,AS276,AV276,AY276,BB276))</f>
        <v/>
      </c>
      <c r="P276" s="11">
        <f>IF(O276="","",N(N276)-O276)</f>
        <v/>
      </c>
      <c r="Q276" s="10">
        <f>IF(O276="","",IF($C276="","Invoice on empty job row",IF(N276="",IF(ROUND(O276,2)=0,"No dept value","Invoiced - no dept value"),IF(ROUND(O276,2)=0,"Not invoiced - to invoice",IF(ROUND(P276,2)=0,"Agrees",IF(P276&gt;0,"Dept higher - to invoice","Xero higher - check dept"))))))</f>
        <v/>
      </c>
      <c r="R276" s="10">
        <f>IF(AND($C276="",NOT(COUNTA($S276:$BB276)&gt;0),$BI276&lt;&gt;""),"",MID(IF($BI276="","; Row ID not found on the department sheet - a row was deleted","")&amp;IF(AND($C276="",COUNTA($S276:$BB276)&gt;0),"; Invoice entered but the department row has no job number","")&amp;IF(E276="CHECK","; Job number not in the Xero job list","")&amp;IF(AND($C276&lt;&gt;"",COUNTIF($C$7:$C$1506,$C276)&gt;1),"; Job number on more than one row","")&amp;IF(AND($C276&lt;&gt;"",H276=""),"; Dept has not set a cost centre","")&amp;IF(AND($C276&lt;&gt;"",J276=""),"; Dept has not set a tax code","")&amp;IF(AND($C276&lt;&gt;"",N276=""),"; Dept has not entered an expected value","")&amp;IF((IF(OR(COUNTA(S276:U276)=0,AND(COUNTA(S276:U276)=3,ISNUMBER(U276))),0,1)+IF(OR(COUNTA(V276:X276)=0,AND(COUNTA(V276:X276)=3,ISNUMBER(X276))),0,1)+IF(OR(COUNTA(Y276:AA276)=0,AND(COUNTA(Y276:AA276)=3,ISNUMBER(AA276))),0,1)+IF(OR(COUNTA(AB276:AD276)=0,AND(COUNTA(AB276:AD276)=3,ISNUMBER(AD276))),0,1)+IF(OR(COUNTA(AE276:AG276)=0,AND(COUNTA(AE276:AG276)=3,ISNUMBER(AG276))),0,1)+IF(OR(COUNTA(AH276:AJ276)=0,AND(COUNTA(AH276:AJ276)=3,ISNUMBER(AJ276))),0,1)+IF(OR(COUNTA(AK276:AM276)=0,AND(COUNTA(AK276:AM276)=3,ISNUMBER(AM276))),0,1)+IF(OR(COUNTA(AN276:AP276)=0,AND(COUNTA(AN276:AP276)=3,ISNUMBER(AP276))),0,1)+IF(OR(COUNTA(AQ276:AS276)=0,AND(COUNTA(AQ276:AS276)=3,ISNUMBER(AS276))),0,1)+IF(OR(COUNTA(AT276:AV276)=0,AND(COUNTA(AT276:AV276)=3,ISNUMBER(AV276))),0,1)+IF(OR(COUNTA(AW276:AY276)=0,AND(COUNTA(AW276:AY276)=3,ISNUMBER(AY276))),0,1)+IF(OR(COUNTA(AZ276:BB276)=0,AND(COUNTA(AZ276:BB276)=3,ISNUMBER(BB276))),0,1))&gt;0,"; An invoice is incomplete (needs No, Date and a number in Ex GST)","")&amp;IF((IF(T276="",0,IFERROR(--(EOMONTH(T276,0)&lt;&gt;S$5),1))+IF(W276="",0,IFERROR(--(EOMONTH(W276,0)&lt;&gt;V$5),1))+IF(Z276="",0,IFERROR(--(EOMONTH(Z276,0)&lt;&gt;Y$5),1))+IF(AC276="",0,IFERROR(--(EOMONTH(AC276,0)&lt;&gt;AB$5),1))+IF(AF276="",0,IFERROR(--(EOMONTH(AF276,0)&lt;&gt;AE$5),1))+IF(AI276="",0,IFERROR(--(EOMONTH(AI276,0)&lt;&gt;AH$5),1))+IF(AL276="",0,IFERROR(--(EOMONTH(AL276,0)&lt;&gt;AK$5),1))+IF(AO276="",0,IFERROR(--(EOMONTH(AO276,0)&lt;&gt;AN$5),1))+IF(AR276="",0,IFERROR(--(EOMONTH(AR276,0)&lt;&gt;AQ$5),1))+IF(AU276="",0,IFERROR(--(EOMONTH(AU276,0)&lt;&gt;AT$5),1))+IF(AX276="",0,IFERROR(--(EOMONTH(AX276,0)&lt;&gt;AW$5),1))+IF(BA276="",0,IFERROR(--(EOMONTH(BA276,0)&lt;&gt;AZ$5),1)))&gt;0,"; An invoice date is not in the month it is typed under",""),3,500))</f>
        <v/>
      </c>
      <c r="S276" s="12" t="n"/>
      <c r="T276" s="13" t="n"/>
      <c r="U276" s="14" t="n"/>
      <c r="V276" s="12" t="n"/>
      <c r="W276" s="13" t="n"/>
      <c r="X276" s="14" t="n"/>
      <c r="Y276" s="12" t="n"/>
      <c r="Z276" s="13" t="n"/>
      <c r="AA276" s="14" t="n"/>
      <c r="AB276" s="12" t="n"/>
      <c r="AC276" s="13" t="n"/>
      <c r="AD276" s="14" t="n"/>
      <c r="AE276" s="12" t="n"/>
      <c r="AF276" s="13" t="n"/>
      <c r="AG276" s="14" t="n"/>
      <c r="AH276" s="12" t="n"/>
      <c r="AI276" s="13" t="n"/>
      <c r="AJ276" s="14" t="n"/>
      <c r="AK276" s="12" t="n"/>
      <c r="AL276" s="13" t="n"/>
      <c r="AM276" s="14" t="n"/>
      <c r="AN276" s="12" t="n"/>
      <c r="AO276" s="13" t="n"/>
      <c r="AP276" s="14" t="n"/>
      <c r="AQ276" s="12" t="n"/>
      <c r="AR276" s="13" t="n"/>
      <c r="AS276" s="14" t="n"/>
      <c r="AT276" s="12" t="n"/>
      <c r="AU276" s="13" t="n"/>
      <c r="AV276" s="14" t="n"/>
      <c r="AW276" s="12" t="n"/>
      <c r="AX276" s="13" t="n"/>
      <c r="AY276" s="14" t="n"/>
      <c r="AZ276" s="12" t="n"/>
      <c r="BA276" s="13" t="n"/>
      <c r="BB276" s="14" t="n"/>
      <c r="BC276" s="11">
        <f>IF(O276="","",IF(J276="GST 10%",ROUND(O276*set_GSTRate,2),0))</f>
        <v/>
      </c>
      <c r="BD276" s="11">
        <f>IF(O276="","",O276+BC276)</f>
        <v/>
      </c>
      <c r="BE276" s="15">
        <f>IF(O276="","",COUNTA(S276,V276,Y276,AB276,AE276,AH276,AK276,AN276,AQ276,AT276,AW276,AZ276))</f>
        <v/>
      </c>
      <c r="BF276" s="16">
        <f>IF(COUNT(T276,W276,Z276,AC276,AF276,AI276,AL276,AO276,AR276,AU276,AX276,BA276)=0,"",MAX(T276,W276,Z276,AC276,AF276,AI276,AL276,AO276,AR276,AU276,AX276,BA276))</f>
        <v/>
      </c>
      <c r="BG276" s="10">
        <f>MID(IF(S276="","",", "&amp;S276)&amp;IF(V276="","",", "&amp;V276)&amp;IF(Y276="","",", "&amp;Y276)&amp;IF(AB276="","",", "&amp;AB276)&amp;IF(AE276="","",", "&amp;AE276)&amp;IF(AH276="","",", "&amp;AH276)&amp;IF(AK276="","",", "&amp;AK276)&amp;IF(AN276="","",", "&amp;AN276)&amp;IF(AQ276="","",", "&amp;AQ276)&amp;IF(AT276="","",", "&amp;AT276)&amp;IF(AW276="","",", "&amp;AW276)&amp;IF(AZ276="","",", "&amp;AZ276),3,500)</f>
        <v/>
      </c>
      <c r="BH276" s="12" t="n"/>
      <c r="BI276" s="15">
        <f>IFERROR(MATCH($A276,IF($B276="Onsite",tbl_Onsite[Row ID],IF($B276="Production",tbl_Production[Row ID],tbl_Consulting[Row ID])),0),"")</f>
        <v/>
      </c>
    </row>
    <row r="277">
      <c r="A277" s="10" t="inlineStr">
        <is>
          <t>ONS-0271</t>
        </is>
      </c>
      <c r="B277" s="10" t="inlineStr">
        <is>
          <t>Onsite</t>
        </is>
      </c>
      <c r="C277" s="10">
        <f>IF($BI277="","",IF($B277="Onsite",INDEX(tbl_Onsite[Job Number],$BI277),IF($B277="Production",INDEX(tbl_Production[Job Number],$BI277),INDEX(tbl_Consulting[Job Number],$BI277)))&amp;"")</f>
        <v/>
      </c>
      <c r="D277" s="10">
        <f>IF($BI277="","",IF($B277="Onsite",INDEX(tbl_Onsite[Client],$BI277),IF($B277="Production",INDEX(tbl_Production[Client],$BI277),INDEX(tbl_Consulting[Client],$BI277)))&amp;"")</f>
        <v/>
      </c>
      <c r="E277" s="10">
        <f>IF($C277="","",IF(COUNTIF(lst_Jobs,$C277)&gt;0,"OK","CHECK"))</f>
        <v/>
      </c>
      <c r="F277" s="10">
        <f>IF($C277="","",IFERROR(INDEX(lst_JobName,MATCH($C277,lst_Jobs,0)),""))</f>
        <v/>
      </c>
      <c r="G277" s="10">
        <f>IF($BI277="","",IF($B277="Onsite",INDEX(tbl_Onsite[Job Description],$BI277),IF($B277="Production",INDEX(tbl_Production[Job Description],$BI277),INDEX(tbl_Consulting[Job Description],$BI277)))&amp;"")</f>
        <v/>
      </c>
      <c r="H277" s="10">
        <f>IF($BI277="","",IF($B277="Onsite",INDEX(tbl_Onsite[Cost Centre],$BI277),IF($B277="Production",INDEX(tbl_Production[Cost Centre],$BI277),INDEX(tbl_Consulting[Cost Centre],$BI277)))&amp;"")</f>
        <v/>
      </c>
      <c r="I277" s="10">
        <f>IF($BI277="","",IF($B277="Onsite",INDEX(tbl_Onsite[Invoice Type],$BI277),IF($B277="Production",INDEX(tbl_Production[Invoice Type],$BI277),INDEX(tbl_Consulting[Invoice Type],$BI277)))&amp;"")</f>
        <v/>
      </c>
      <c r="J277" s="10">
        <f>IF($BI277="","",IF($B277="Onsite",INDEX(tbl_Onsite[Tax Code],$BI277),IF($B277="Production",INDEX(tbl_Production[Tax Code],$BI277),INDEX(tbl_Consulting[Tax Code],$BI277)))&amp;"")</f>
        <v/>
      </c>
      <c r="K277" s="10">
        <f>IF(H277="","",IFERROR(INDEX(lst_CCtoGL,MATCH(H277,lst_CCforGL,0)),""))</f>
        <v/>
      </c>
      <c r="L277" s="10">
        <f>IF($BI277="","",IF($B277="Onsite",INDEX(tbl_Onsite[PO / Reference],$BI277),IF($B277="Production",INDEX(tbl_Production[Current RMS No],$BI277),INDEX(tbl_Consulting[Qwilr Quote],$BI277)))&amp;"")</f>
        <v/>
      </c>
      <c r="M277" s="10">
        <f>IF($BI277="","",IF($B277="Onsite",INDEX(tbl_Onsite[Notes],$BI277),IF($B277="Production",INDEX(tbl_Production[Notes],$BI277),INDEX(tbl_Consulting[Notes],$BI277)))&amp;"")</f>
        <v/>
      </c>
      <c r="N277" s="11">
        <f>IF($BI277="","",IF(IF($B277="Onsite",INDEX(tbl_Onsite[Expected Revenue Ex GST],$BI277),IF($B277="Production",INDEX(tbl_Production[Expected Revenue Ex GST],$BI277),INDEX(tbl_Consulting[Expected Revenue Ex GST],$BI277)))="","",IF($B277="Onsite",INDEX(tbl_Onsite[Expected Revenue Ex GST],$BI277),IF($B277="Production",INDEX(tbl_Production[Expected Revenue Ex GST],$BI277),INDEX(tbl_Consulting[Expected Revenue Ex GST],$BI277)))))</f>
        <v/>
      </c>
      <c r="O277" s="11">
        <f>IF(AND($C277="",NOT(COUNTA($S277:$BB277)&gt;0)),"",SUM(U277,X277,AA277,AD277,AG277,AJ277,AM277,AP277,AS277,AV277,AY277,BB277))</f>
        <v/>
      </c>
      <c r="P277" s="11">
        <f>IF(O277="","",N(N277)-O277)</f>
        <v/>
      </c>
      <c r="Q277" s="10">
        <f>IF(O277="","",IF($C277="","Invoice on empty job row",IF(N277="",IF(ROUND(O277,2)=0,"No dept value","Invoiced - no dept value"),IF(ROUND(O277,2)=0,"Not invoiced - to invoice",IF(ROUND(P277,2)=0,"Agrees",IF(P277&gt;0,"Dept higher - to invoice","Xero higher - check dept"))))))</f>
        <v/>
      </c>
      <c r="R277" s="10">
        <f>IF(AND($C277="",NOT(COUNTA($S277:$BB277)&gt;0),$BI277&lt;&gt;""),"",MID(IF($BI277="","; Row ID not found on the department sheet - a row was deleted","")&amp;IF(AND($C277="",COUNTA($S277:$BB277)&gt;0),"; Invoice entered but the department row has no job number","")&amp;IF(E277="CHECK","; Job number not in the Xero job list","")&amp;IF(AND($C277&lt;&gt;"",COUNTIF($C$7:$C$1506,$C277)&gt;1),"; Job number on more than one row","")&amp;IF(AND($C277&lt;&gt;"",H277=""),"; Dept has not set a cost centre","")&amp;IF(AND($C277&lt;&gt;"",J277=""),"; Dept has not set a tax code","")&amp;IF(AND($C277&lt;&gt;"",N277=""),"; Dept has not entered an expected value","")&amp;IF((IF(OR(COUNTA(S277:U277)=0,AND(COUNTA(S277:U277)=3,ISNUMBER(U277))),0,1)+IF(OR(COUNTA(V277:X277)=0,AND(COUNTA(V277:X277)=3,ISNUMBER(X277))),0,1)+IF(OR(COUNTA(Y277:AA277)=0,AND(COUNTA(Y277:AA277)=3,ISNUMBER(AA277))),0,1)+IF(OR(COUNTA(AB277:AD277)=0,AND(COUNTA(AB277:AD277)=3,ISNUMBER(AD277))),0,1)+IF(OR(COUNTA(AE277:AG277)=0,AND(COUNTA(AE277:AG277)=3,ISNUMBER(AG277))),0,1)+IF(OR(COUNTA(AH277:AJ277)=0,AND(COUNTA(AH277:AJ277)=3,ISNUMBER(AJ277))),0,1)+IF(OR(COUNTA(AK277:AM277)=0,AND(COUNTA(AK277:AM277)=3,ISNUMBER(AM277))),0,1)+IF(OR(COUNTA(AN277:AP277)=0,AND(COUNTA(AN277:AP277)=3,ISNUMBER(AP277))),0,1)+IF(OR(COUNTA(AQ277:AS277)=0,AND(COUNTA(AQ277:AS277)=3,ISNUMBER(AS277))),0,1)+IF(OR(COUNTA(AT277:AV277)=0,AND(COUNTA(AT277:AV277)=3,ISNUMBER(AV277))),0,1)+IF(OR(COUNTA(AW277:AY277)=0,AND(COUNTA(AW277:AY277)=3,ISNUMBER(AY277))),0,1)+IF(OR(COUNTA(AZ277:BB277)=0,AND(COUNTA(AZ277:BB277)=3,ISNUMBER(BB277))),0,1))&gt;0,"; An invoice is incomplete (needs No, Date and a number in Ex GST)","")&amp;IF((IF(T277="",0,IFERROR(--(EOMONTH(T277,0)&lt;&gt;S$5),1))+IF(W277="",0,IFERROR(--(EOMONTH(W277,0)&lt;&gt;V$5),1))+IF(Z277="",0,IFERROR(--(EOMONTH(Z277,0)&lt;&gt;Y$5),1))+IF(AC277="",0,IFERROR(--(EOMONTH(AC277,0)&lt;&gt;AB$5),1))+IF(AF277="",0,IFERROR(--(EOMONTH(AF277,0)&lt;&gt;AE$5),1))+IF(AI277="",0,IFERROR(--(EOMONTH(AI277,0)&lt;&gt;AH$5),1))+IF(AL277="",0,IFERROR(--(EOMONTH(AL277,0)&lt;&gt;AK$5),1))+IF(AO277="",0,IFERROR(--(EOMONTH(AO277,0)&lt;&gt;AN$5),1))+IF(AR277="",0,IFERROR(--(EOMONTH(AR277,0)&lt;&gt;AQ$5),1))+IF(AU277="",0,IFERROR(--(EOMONTH(AU277,0)&lt;&gt;AT$5),1))+IF(AX277="",0,IFERROR(--(EOMONTH(AX277,0)&lt;&gt;AW$5),1))+IF(BA277="",0,IFERROR(--(EOMONTH(BA277,0)&lt;&gt;AZ$5),1)))&gt;0,"; An invoice date is not in the month it is typed under",""),3,500))</f>
        <v/>
      </c>
      <c r="S277" s="12" t="n"/>
      <c r="T277" s="13" t="n"/>
      <c r="U277" s="14" t="n"/>
      <c r="V277" s="12" t="n"/>
      <c r="W277" s="13" t="n"/>
      <c r="X277" s="14" t="n"/>
      <c r="Y277" s="12" t="n"/>
      <c r="Z277" s="13" t="n"/>
      <c r="AA277" s="14" t="n"/>
      <c r="AB277" s="12" t="n"/>
      <c r="AC277" s="13" t="n"/>
      <c r="AD277" s="14" t="n"/>
      <c r="AE277" s="12" t="n"/>
      <c r="AF277" s="13" t="n"/>
      <c r="AG277" s="14" t="n"/>
      <c r="AH277" s="12" t="n"/>
      <c r="AI277" s="13" t="n"/>
      <c r="AJ277" s="14" t="n"/>
      <c r="AK277" s="12" t="n"/>
      <c r="AL277" s="13" t="n"/>
      <c r="AM277" s="14" t="n"/>
      <c r="AN277" s="12" t="n"/>
      <c r="AO277" s="13" t="n"/>
      <c r="AP277" s="14" t="n"/>
      <c r="AQ277" s="12" t="n"/>
      <c r="AR277" s="13" t="n"/>
      <c r="AS277" s="14" t="n"/>
      <c r="AT277" s="12" t="n"/>
      <c r="AU277" s="13" t="n"/>
      <c r="AV277" s="14" t="n"/>
      <c r="AW277" s="12" t="n"/>
      <c r="AX277" s="13" t="n"/>
      <c r="AY277" s="14" t="n"/>
      <c r="AZ277" s="12" t="n"/>
      <c r="BA277" s="13" t="n"/>
      <c r="BB277" s="14" t="n"/>
      <c r="BC277" s="11">
        <f>IF(O277="","",IF(J277="GST 10%",ROUND(O277*set_GSTRate,2),0))</f>
        <v/>
      </c>
      <c r="BD277" s="11">
        <f>IF(O277="","",O277+BC277)</f>
        <v/>
      </c>
      <c r="BE277" s="15">
        <f>IF(O277="","",COUNTA(S277,V277,Y277,AB277,AE277,AH277,AK277,AN277,AQ277,AT277,AW277,AZ277))</f>
        <v/>
      </c>
      <c r="BF277" s="16">
        <f>IF(COUNT(T277,W277,Z277,AC277,AF277,AI277,AL277,AO277,AR277,AU277,AX277,BA277)=0,"",MAX(T277,W277,Z277,AC277,AF277,AI277,AL277,AO277,AR277,AU277,AX277,BA277))</f>
        <v/>
      </c>
      <c r="BG277" s="10">
        <f>MID(IF(S277="","",", "&amp;S277)&amp;IF(V277="","",", "&amp;V277)&amp;IF(Y277="","",", "&amp;Y277)&amp;IF(AB277="","",", "&amp;AB277)&amp;IF(AE277="","",", "&amp;AE277)&amp;IF(AH277="","",", "&amp;AH277)&amp;IF(AK277="","",", "&amp;AK277)&amp;IF(AN277="","",", "&amp;AN277)&amp;IF(AQ277="","",", "&amp;AQ277)&amp;IF(AT277="","",", "&amp;AT277)&amp;IF(AW277="","",", "&amp;AW277)&amp;IF(AZ277="","",", "&amp;AZ277),3,500)</f>
        <v/>
      </c>
      <c r="BH277" s="12" t="n"/>
      <c r="BI277" s="15">
        <f>IFERROR(MATCH($A277,IF($B277="Onsite",tbl_Onsite[Row ID],IF($B277="Production",tbl_Production[Row ID],tbl_Consulting[Row ID])),0),"")</f>
        <v/>
      </c>
    </row>
    <row r="278">
      <c r="A278" s="10" t="inlineStr">
        <is>
          <t>ONS-0272</t>
        </is>
      </c>
      <c r="B278" s="10" t="inlineStr">
        <is>
          <t>Onsite</t>
        </is>
      </c>
      <c r="C278" s="10">
        <f>IF($BI278="","",IF($B278="Onsite",INDEX(tbl_Onsite[Job Number],$BI278),IF($B278="Production",INDEX(tbl_Production[Job Number],$BI278),INDEX(tbl_Consulting[Job Number],$BI278)))&amp;"")</f>
        <v/>
      </c>
      <c r="D278" s="10">
        <f>IF($BI278="","",IF($B278="Onsite",INDEX(tbl_Onsite[Client],$BI278),IF($B278="Production",INDEX(tbl_Production[Client],$BI278),INDEX(tbl_Consulting[Client],$BI278)))&amp;"")</f>
        <v/>
      </c>
      <c r="E278" s="10">
        <f>IF($C278="","",IF(COUNTIF(lst_Jobs,$C278)&gt;0,"OK","CHECK"))</f>
        <v/>
      </c>
      <c r="F278" s="10">
        <f>IF($C278="","",IFERROR(INDEX(lst_JobName,MATCH($C278,lst_Jobs,0)),""))</f>
        <v/>
      </c>
      <c r="G278" s="10">
        <f>IF($BI278="","",IF($B278="Onsite",INDEX(tbl_Onsite[Job Description],$BI278),IF($B278="Production",INDEX(tbl_Production[Job Description],$BI278),INDEX(tbl_Consulting[Job Description],$BI278)))&amp;"")</f>
        <v/>
      </c>
      <c r="H278" s="10">
        <f>IF($BI278="","",IF($B278="Onsite",INDEX(tbl_Onsite[Cost Centre],$BI278),IF($B278="Production",INDEX(tbl_Production[Cost Centre],$BI278),INDEX(tbl_Consulting[Cost Centre],$BI278)))&amp;"")</f>
        <v/>
      </c>
      <c r="I278" s="10">
        <f>IF($BI278="","",IF($B278="Onsite",INDEX(tbl_Onsite[Invoice Type],$BI278),IF($B278="Production",INDEX(tbl_Production[Invoice Type],$BI278),INDEX(tbl_Consulting[Invoice Type],$BI278)))&amp;"")</f>
        <v/>
      </c>
      <c r="J278" s="10">
        <f>IF($BI278="","",IF($B278="Onsite",INDEX(tbl_Onsite[Tax Code],$BI278),IF($B278="Production",INDEX(tbl_Production[Tax Code],$BI278),INDEX(tbl_Consulting[Tax Code],$BI278)))&amp;"")</f>
        <v/>
      </c>
      <c r="K278" s="10">
        <f>IF(H278="","",IFERROR(INDEX(lst_CCtoGL,MATCH(H278,lst_CCforGL,0)),""))</f>
        <v/>
      </c>
      <c r="L278" s="10">
        <f>IF($BI278="","",IF($B278="Onsite",INDEX(tbl_Onsite[PO / Reference],$BI278),IF($B278="Production",INDEX(tbl_Production[Current RMS No],$BI278),INDEX(tbl_Consulting[Qwilr Quote],$BI278)))&amp;"")</f>
        <v/>
      </c>
      <c r="M278" s="10">
        <f>IF($BI278="","",IF($B278="Onsite",INDEX(tbl_Onsite[Notes],$BI278),IF($B278="Production",INDEX(tbl_Production[Notes],$BI278),INDEX(tbl_Consulting[Notes],$BI278)))&amp;"")</f>
        <v/>
      </c>
      <c r="N278" s="11">
        <f>IF($BI278="","",IF(IF($B278="Onsite",INDEX(tbl_Onsite[Expected Revenue Ex GST],$BI278),IF($B278="Production",INDEX(tbl_Production[Expected Revenue Ex GST],$BI278),INDEX(tbl_Consulting[Expected Revenue Ex GST],$BI278)))="","",IF($B278="Onsite",INDEX(tbl_Onsite[Expected Revenue Ex GST],$BI278),IF($B278="Production",INDEX(tbl_Production[Expected Revenue Ex GST],$BI278),INDEX(tbl_Consulting[Expected Revenue Ex GST],$BI278)))))</f>
        <v/>
      </c>
      <c r="O278" s="11">
        <f>IF(AND($C278="",NOT(COUNTA($S278:$BB278)&gt;0)),"",SUM(U278,X278,AA278,AD278,AG278,AJ278,AM278,AP278,AS278,AV278,AY278,BB278))</f>
        <v/>
      </c>
      <c r="P278" s="11">
        <f>IF(O278="","",N(N278)-O278)</f>
        <v/>
      </c>
      <c r="Q278" s="10">
        <f>IF(O278="","",IF($C278="","Invoice on empty job row",IF(N278="",IF(ROUND(O278,2)=0,"No dept value","Invoiced - no dept value"),IF(ROUND(O278,2)=0,"Not invoiced - to invoice",IF(ROUND(P278,2)=0,"Agrees",IF(P278&gt;0,"Dept higher - to invoice","Xero higher - check dept"))))))</f>
        <v/>
      </c>
      <c r="R278" s="10">
        <f>IF(AND($C278="",NOT(COUNTA($S278:$BB278)&gt;0),$BI278&lt;&gt;""),"",MID(IF($BI278="","; Row ID not found on the department sheet - a row was deleted","")&amp;IF(AND($C278="",COUNTA($S278:$BB278)&gt;0),"; Invoice entered but the department row has no job number","")&amp;IF(E278="CHECK","; Job number not in the Xero job list","")&amp;IF(AND($C278&lt;&gt;"",COUNTIF($C$7:$C$1506,$C278)&gt;1),"; Job number on more than one row","")&amp;IF(AND($C278&lt;&gt;"",H278=""),"; Dept has not set a cost centre","")&amp;IF(AND($C278&lt;&gt;"",J278=""),"; Dept has not set a tax code","")&amp;IF(AND($C278&lt;&gt;"",N278=""),"; Dept has not entered an expected value","")&amp;IF((IF(OR(COUNTA(S278:U278)=0,AND(COUNTA(S278:U278)=3,ISNUMBER(U278))),0,1)+IF(OR(COUNTA(V278:X278)=0,AND(COUNTA(V278:X278)=3,ISNUMBER(X278))),0,1)+IF(OR(COUNTA(Y278:AA278)=0,AND(COUNTA(Y278:AA278)=3,ISNUMBER(AA278))),0,1)+IF(OR(COUNTA(AB278:AD278)=0,AND(COUNTA(AB278:AD278)=3,ISNUMBER(AD278))),0,1)+IF(OR(COUNTA(AE278:AG278)=0,AND(COUNTA(AE278:AG278)=3,ISNUMBER(AG278))),0,1)+IF(OR(COUNTA(AH278:AJ278)=0,AND(COUNTA(AH278:AJ278)=3,ISNUMBER(AJ278))),0,1)+IF(OR(COUNTA(AK278:AM278)=0,AND(COUNTA(AK278:AM278)=3,ISNUMBER(AM278))),0,1)+IF(OR(COUNTA(AN278:AP278)=0,AND(COUNTA(AN278:AP278)=3,ISNUMBER(AP278))),0,1)+IF(OR(COUNTA(AQ278:AS278)=0,AND(COUNTA(AQ278:AS278)=3,ISNUMBER(AS278))),0,1)+IF(OR(COUNTA(AT278:AV278)=0,AND(COUNTA(AT278:AV278)=3,ISNUMBER(AV278))),0,1)+IF(OR(COUNTA(AW278:AY278)=0,AND(COUNTA(AW278:AY278)=3,ISNUMBER(AY278))),0,1)+IF(OR(COUNTA(AZ278:BB278)=0,AND(COUNTA(AZ278:BB278)=3,ISNUMBER(BB278))),0,1))&gt;0,"; An invoice is incomplete (needs No, Date and a number in Ex GST)","")&amp;IF((IF(T278="",0,IFERROR(--(EOMONTH(T278,0)&lt;&gt;S$5),1))+IF(W278="",0,IFERROR(--(EOMONTH(W278,0)&lt;&gt;V$5),1))+IF(Z278="",0,IFERROR(--(EOMONTH(Z278,0)&lt;&gt;Y$5),1))+IF(AC278="",0,IFERROR(--(EOMONTH(AC278,0)&lt;&gt;AB$5),1))+IF(AF278="",0,IFERROR(--(EOMONTH(AF278,0)&lt;&gt;AE$5),1))+IF(AI278="",0,IFERROR(--(EOMONTH(AI278,0)&lt;&gt;AH$5),1))+IF(AL278="",0,IFERROR(--(EOMONTH(AL278,0)&lt;&gt;AK$5),1))+IF(AO278="",0,IFERROR(--(EOMONTH(AO278,0)&lt;&gt;AN$5),1))+IF(AR278="",0,IFERROR(--(EOMONTH(AR278,0)&lt;&gt;AQ$5),1))+IF(AU278="",0,IFERROR(--(EOMONTH(AU278,0)&lt;&gt;AT$5),1))+IF(AX278="",0,IFERROR(--(EOMONTH(AX278,0)&lt;&gt;AW$5),1))+IF(BA278="",0,IFERROR(--(EOMONTH(BA278,0)&lt;&gt;AZ$5),1)))&gt;0,"; An invoice date is not in the month it is typed under",""),3,500))</f>
        <v/>
      </c>
      <c r="S278" s="12" t="n"/>
      <c r="T278" s="13" t="n"/>
      <c r="U278" s="14" t="n"/>
      <c r="V278" s="12" t="n"/>
      <c r="W278" s="13" t="n"/>
      <c r="X278" s="14" t="n"/>
      <c r="Y278" s="12" t="n"/>
      <c r="Z278" s="13" t="n"/>
      <c r="AA278" s="14" t="n"/>
      <c r="AB278" s="12" t="n"/>
      <c r="AC278" s="13" t="n"/>
      <c r="AD278" s="14" t="n"/>
      <c r="AE278" s="12" t="n"/>
      <c r="AF278" s="13" t="n"/>
      <c r="AG278" s="14" t="n"/>
      <c r="AH278" s="12" t="n"/>
      <c r="AI278" s="13" t="n"/>
      <c r="AJ278" s="14" t="n"/>
      <c r="AK278" s="12" t="n"/>
      <c r="AL278" s="13" t="n"/>
      <c r="AM278" s="14" t="n"/>
      <c r="AN278" s="12" t="n"/>
      <c r="AO278" s="13" t="n"/>
      <c r="AP278" s="14" t="n"/>
      <c r="AQ278" s="12" t="n"/>
      <c r="AR278" s="13" t="n"/>
      <c r="AS278" s="14" t="n"/>
      <c r="AT278" s="12" t="n"/>
      <c r="AU278" s="13" t="n"/>
      <c r="AV278" s="14" t="n"/>
      <c r="AW278" s="12" t="n"/>
      <c r="AX278" s="13" t="n"/>
      <c r="AY278" s="14" t="n"/>
      <c r="AZ278" s="12" t="n"/>
      <c r="BA278" s="13" t="n"/>
      <c r="BB278" s="14" t="n"/>
      <c r="BC278" s="11">
        <f>IF(O278="","",IF(J278="GST 10%",ROUND(O278*set_GSTRate,2),0))</f>
        <v/>
      </c>
      <c r="BD278" s="11">
        <f>IF(O278="","",O278+BC278)</f>
        <v/>
      </c>
      <c r="BE278" s="15">
        <f>IF(O278="","",COUNTA(S278,V278,Y278,AB278,AE278,AH278,AK278,AN278,AQ278,AT278,AW278,AZ278))</f>
        <v/>
      </c>
      <c r="BF278" s="16">
        <f>IF(COUNT(T278,W278,Z278,AC278,AF278,AI278,AL278,AO278,AR278,AU278,AX278,BA278)=0,"",MAX(T278,W278,Z278,AC278,AF278,AI278,AL278,AO278,AR278,AU278,AX278,BA278))</f>
        <v/>
      </c>
      <c r="BG278" s="10">
        <f>MID(IF(S278="","",", "&amp;S278)&amp;IF(V278="","",", "&amp;V278)&amp;IF(Y278="","",", "&amp;Y278)&amp;IF(AB278="","",", "&amp;AB278)&amp;IF(AE278="","",", "&amp;AE278)&amp;IF(AH278="","",", "&amp;AH278)&amp;IF(AK278="","",", "&amp;AK278)&amp;IF(AN278="","",", "&amp;AN278)&amp;IF(AQ278="","",", "&amp;AQ278)&amp;IF(AT278="","",", "&amp;AT278)&amp;IF(AW278="","",", "&amp;AW278)&amp;IF(AZ278="","",", "&amp;AZ278),3,500)</f>
        <v/>
      </c>
      <c r="BH278" s="12" t="n"/>
      <c r="BI278" s="15">
        <f>IFERROR(MATCH($A278,IF($B278="Onsite",tbl_Onsite[Row ID],IF($B278="Production",tbl_Production[Row ID],tbl_Consulting[Row ID])),0),"")</f>
        <v/>
      </c>
    </row>
    <row r="279">
      <c r="A279" s="10" t="inlineStr">
        <is>
          <t>ONS-0273</t>
        </is>
      </c>
      <c r="B279" s="10" t="inlineStr">
        <is>
          <t>Onsite</t>
        </is>
      </c>
      <c r="C279" s="10">
        <f>IF($BI279="","",IF($B279="Onsite",INDEX(tbl_Onsite[Job Number],$BI279),IF($B279="Production",INDEX(tbl_Production[Job Number],$BI279),INDEX(tbl_Consulting[Job Number],$BI279)))&amp;"")</f>
        <v/>
      </c>
      <c r="D279" s="10">
        <f>IF($BI279="","",IF($B279="Onsite",INDEX(tbl_Onsite[Client],$BI279),IF($B279="Production",INDEX(tbl_Production[Client],$BI279),INDEX(tbl_Consulting[Client],$BI279)))&amp;"")</f>
        <v/>
      </c>
      <c r="E279" s="10">
        <f>IF($C279="","",IF(COUNTIF(lst_Jobs,$C279)&gt;0,"OK","CHECK"))</f>
        <v/>
      </c>
      <c r="F279" s="10">
        <f>IF($C279="","",IFERROR(INDEX(lst_JobName,MATCH($C279,lst_Jobs,0)),""))</f>
        <v/>
      </c>
      <c r="G279" s="10">
        <f>IF($BI279="","",IF($B279="Onsite",INDEX(tbl_Onsite[Job Description],$BI279),IF($B279="Production",INDEX(tbl_Production[Job Description],$BI279),INDEX(tbl_Consulting[Job Description],$BI279)))&amp;"")</f>
        <v/>
      </c>
      <c r="H279" s="10">
        <f>IF($BI279="","",IF($B279="Onsite",INDEX(tbl_Onsite[Cost Centre],$BI279),IF($B279="Production",INDEX(tbl_Production[Cost Centre],$BI279),INDEX(tbl_Consulting[Cost Centre],$BI279)))&amp;"")</f>
        <v/>
      </c>
      <c r="I279" s="10">
        <f>IF($BI279="","",IF($B279="Onsite",INDEX(tbl_Onsite[Invoice Type],$BI279),IF($B279="Production",INDEX(tbl_Production[Invoice Type],$BI279),INDEX(tbl_Consulting[Invoice Type],$BI279)))&amp;"")</f>
        <v/>
      </c>
      <c r="J279" s="10">
        <f>IF($BI279="","",IF($B279="Onsite",INDEX(tbl_Onsite[Tax Code],$BI279),IF($B279="Production",INDEX(tbl_Production[Tax Code],$BI279),INDEX(tbl_Consulting[Tax Code],$BI279)))&amp;"")</f>
        <v/>
      </c>
      <c r="K279" s="10">
        <f>IF(H279="","",IFERROR(INDEX(lst_CCtoGL,MATCH(H279,lst_CCforGL,0)),""))</f>
        <v/>
      </c>
      <c r="L279" s="10">
        <f>IF($BI279="","",IF($B279="Onsite",INDEX(tbl_Onsite[PO / Reference],$BI279),IF($B279="Production",INDEX(tbl_Production[Current RMS No],$BI279),INDEX(tbl_Consulting[Qwilr Quote],$BI279)))&amp;"")</f>
        <v/>
      </c>
      <c r="M279" s="10">
        <f>IF($BI279="","",IF($B279="Onsite",INDEX(tbl_Onsite[Notes],$BI279),IF($B279="Production",INDEX(tbl_Production[Notes],$BI279),INDEX(tbl_Consulting[Notes],$BI279)))&amp;"")</f>
        <v/>
      </c>
      <c r="N279" s="11">
        <f>IF($BI279="","",IF(IF($B279="Onsite",INDEX(tbl_Onsite[Expected Revenue Ex GST],$BI279),IF($B279="Production",INDEX(tbl_Production[Expected Revenue Ex GST],$BI279),INDEX(tbl_Consulting[Expected Revenue Ex GST],$BI279)))="","",IF($B279="Onsite",INDEX(tbl_Onsite[Expected Revenue Ex GST],$BI279),IF($B279="Production",INDEX(tbl_Production[Expected Revenue Ex GST],$BI279),INDEX(tbl_Consulting[Expected Revenue Ex GST],$BI279)))))</f>
        <v/>
      </c>
      <c r="O279" s="11">
        <f>IF(AND($C279="",NOT(COUNTA($S279:$BB279)&gt;0)),"",SUM(U279,X279,AA279,AD279,AG279,AJ279,AM279,AP279,AS279,AV279,AY279,BB279))</f>
        <v/>
      </c>
      <c r="P279" s="11">
        <f>IF(O279="","",N(N279)-O279)</f>
        <v/>
      </c>
      <c r="Q279" s="10">
        <f>IF(O279="","",IF($C279="","Invoice on empty job row",IF(N279="",IF(ROUND(O279,2)=0,"No dept value","Invoiced - no dept value"),IF(ROUND(O279,2)=0,"Not invoiced - to invoice",IF(ROUND(P279,2)=0,"Agrees",IF(P279&gt;0,"Dept higher - to invoice","Xero higher - check dept"))))))</f>
        <v/>
      </c>
      <c r="R279" s="10">
        <f>IF(AND($C279="",NOT(COUNTA($S279:$BB279)&gt;0),$BI279&lt;&gt;""),"",MID(IF($BI279="","; Row ID not found on the department sheet - a row was deleted","")&amp;IF(AND($C279="",COUNTA($S279:$BB279)&gt;0),"; Invoice entered but the department row has no job number","")&amp;IF(E279="CHECK","; Job number not in the Xero job list","")&amp;IF(AND($C279&lt;&gt;"",COUNTIF($C$7:$C$1506,$C279)&gt;1),"; Job number on more than one row","")&amp;IF(AND($C279&lt;&gt;"",H279=""),"; Dept has not set a cost centre","")&amp;IF(AND($C279&lt;&gt;"",J279=""),"; Dept has not set a tax code","")&amp;IF(AND($C279&lt;&gt;"",N279=""),"; Dept has not entered an expected value","")&amp;IF((IF(OR(COUNTA(S279:U279)=0,AND(COUNTA(S279:U279)=3,ISNUMBER(U279))),0,1)+IF(OR(COUNTA(V279:X279)=0,AND(COUNTA(V279:X279)=3,ISNUMBER(X279))),0,1)+IF(OR(COUNTA(Y279:AA279)=0,AND(COUNTA(Y279:AA279)=3,ISNUMBER(AA279))),0,1)+IF(OR(COUNTA(AB279:AD279)=0,AND(COUNTA(AB279:AD279)=3,ISNUMBER(AD279))),0,1)+IF(OR(COUNTA(AE279:AG279)=0,AND(COUNTA(AE279:AG279)=3,ISNUMBER(AG279))),0,1)+IF(OR(COUNTA(AH279:AJ279)=0,AND(COUNTA(AH279:AJ279)=3,ISNUMBER(AJ279))),0,1)+IF(OR(COUNTA(AK279:AM279)=0,AND(COUNTA(AK279:AM279)=3,ISNUMBER(AM279))),0,1)+IF(OR(COUNTA(AN279:AP279)=0,AND(COUNTA(AN279:AP279)=3,ISNUMBER(AP279))),0,1)+IF(OR(COUNTA(AQ279:AS279)=0,AND(COUNTA(AQ279:AS279)=3,ISNUMBER(AS279))),0,1)+IF(OR(COUNTA(AT279:AV279)=0,AND(COUNTA(AT279:AV279)=3,ISNUMBER(AV279))),0,1)+IF(OR(COUNTA(AW279:AY279)=0,AND(COUNTA(AW279:AY279)=3,ISNUMBER(AY279))),0,1)+IF(OR(COUNTA(AZ279:BB279)=0,AND(COUNTA(AZ279:BB279)=3,ISNUMBER(BB279))),0,1))&gt;0,"; An invoice is incomplete (needs No, Date and a number in Ex GST)","")&amp;IF((IF(T279="",0,IFERROR(--(EOMONTH(T279,0)&lt;&gt;S$5),1))+IF(W279="",0,IFERROR(--(EOMONTH(W279,0)&lt;&gt;V$5),1))+IF(Z279="",0,IFERROR(--(EOMONTH(Z279,0)&lt;&gt;Y$5),1))+IF(AC279="",0,IFERROR(--(EOMONTH(AC279,0)&lt;&gt;AB$5),1))+IF(AF279="",0,IFERROR(--(EOMONTH(AF279,0)&lt;&gt;AE$5),1))+IF(AI279="",0,IFERROR(--(EOMONTH(AI279,0)&lt;&gt;AH$5),1))+IF(AL279="",0,IFERROR(--(EOMONTH(AL279,0)&lt;&gt;AK$5),1))+IF(AO279="",0,IFERROR(--(EOMONTH(AO279,0)&lt;&gt;AN$5),1))+IF(AR279="",0,IFERROR(--(EOMONTH(AR279,0)&lt;&gt;AQ$5),1))+IF(AU279="",0,IFERROR(--(EOMONTH(AU279,0)&lt;&gt;AT$5),1))+IF(AX279="",0,IFERROR(--(EOMONTH(AX279,0)&lt;&gt;AW$5),1))+IF(BA279="",0,IFERROR(--(EOMONTH(BA279,0)&lt;&gt;AZ$5),1)))&gt;0,"; An invoice date is not in the month it is typed under",""),3,500))</f>
        <v/>
      </c>
      <c r="S279" s="12" t="n"/>
      <c r="T279" s="13" t="n"/>
      <c r="U279" s="14" t="n"/>
      <c r="V279" s="12" t="n"/>
      <c r="W279" s="13" t="n"/>
      <c r="X279" s="14" t="n"/>
      <c r="Y279" s="12" t="n"/>
      <c r="Z279" s="13" t="n"/>
      <c r="AA279" s="14" t="n"/>
      <c r="AB279" s="12" t="n"/>
      <c r="AC279" s="13" t="n"/>
      <c r="AD279" s="14" t="n"/>
      <c r="AE279" s="12" t="n"/>
      <c r="AF279" s="13" t="n"/>
      <c r="AG279" s="14" t="n"/>
      <c r="AH279" s="12" t="n"/>
      <c r="AI279" s="13" t="n"/>
      <c r="AJ279" s="14" t="n"/>
      <c r="AK279" s="12" t="n"/>
      <c r="AL279" s="13" t="n"/>
      <c r="AM279" s="14" t="n"/>
      <c r="AN279" s="12" t="n"/>
      <c r="AO279" s="13" t="n"/>
      <c r="AP279" s="14" t="n"/>
      <c r="AQ279" s="12" t="n"/>
      <c r="AR279" s="13" t="n"/>
      <c r="AS279" s="14" t="n"/>
      <c r="AT279" s="12" t="n"/>
      <c r="AU279" s="13" t="n"/>
      <c r="AV279" s="14" t="n"/>
      <c r="AW279" s="12" t="n"/>
      <c r="AX279" s="13" t="n"/>
      <c r="AY279" s="14" t="n"/>
      <c r="AZ279" s="12" t="n"/>
      <c r="BA279" s="13" t="n"/>
      <c r="BB279" s="14" t="n"/>
      <c r="BC279" s="11">
        <f>IF(O279="","",IF(J279="GST 10%",ROUND(O279*set_GSTRate,2),0))</f>
        <v/>
      </c>
      <c r="BD279" s="11">
        <f>IF(O279="","",O279+BC279)</f>
        <v/>
      </c>
      <c r="BE279" s="15">
        <f>IF(O279="","",COUNTA(S279,V279,Y279,AB279,AE279,AH279,AK279,AN279,AQ279,AT279,AW279,AZ279))</f>
        <v/>
      </c>
      <c r="BF279" s="16">
        <f>IF(COUNT(T279,W279,Z279,AC279,AF279,AI279,AL279,AO279,AR279,AU279,AX279,BA279)=0,"",MAX(T279,W279,Z279,AC279,AF279,AI279,AL279,AO279,AR279,AU279,AX279,BA279))</f>
        <v/>
      </c>
      <c r="BG279" s="10">
        <f>MID(IF(S279="","",", "&amp;S279)&amp;IF(V279="","",", "&amp;V279)&amp;IF(Y279="","",", "&amp;Y279)&amp;IF(AB279="","",", "&amp;AB279)&amp;IF(AE279="","",", "&amp;AE279)&amp;IF(AH279="","",", "&amp;AH279)&amp;IF(AK279="","",", "&amp;AK279)&amp;IF(AN279="","",", "&amp;AN279)&amp;IF(AQ279="","",", "&amp;AQ279)&amp;IF(AT279="","",", "&amp;AT279)&amp;IF(AW279="","",", "&amp;AW279)&amp;IF(AZ279="","",", "&amp;AZ279),3,500)</f>
        <v/>
      </c>
      <c r="BH279" s="12" t="n"/>
      <c r="BI279" s="15">
        <f>IFERROR(MATCH($A279,IF($B279="Onsite",tbl_Onsite[Row ID],IF($B279="Production",tbl_Production[Row ID],tbl_Consulting[Row ID])),0),"")</f>
        <v/>
      </c>
    </row>
    <row r="280">
      <c r="A280" s="10" t="inlineStr">
        <is>
          <t>ONS-0274</t>
        </is>
      </c>
      <c r="B280" s="10" t="inlineStr">
        <is>
          <t>Onsite</t>
        </is>
      </c>
      <c r="C280" s="10">
        <f>IF($BI280="","",IF($B280="Onsite",INDEX(tbl_Onsite[Job Number],$BI280),IF($B280="Production",INDEX(tbl_Production[Job Number],$BI280),INDEX(tbl_Consulting[Job Number],$BI280)))&amp;"")</f>
        <v/>
      </c>
      <c r="D280" s="10">
        <f>IF($BI280="","",IF($B280="Onsite",INDEX(tbl_Onsite[Client],$BI280),IF($B280="Production",INDEX(tbl_Production[Client],$BI280),INDEX(tbl_Consulting[Client],$BI280)))&amp;"")</f>
        <v/>
      </c>
      <c r="E280" s="10">
        <f>IF($C280="","",IF(COUNTIF(lst_Jobs,$C280)&gt;0,"OK","CHECK"))</f>
        <v/>
      </c>
      <c r="F280" s="10">
        <f>IF($C280="","",IFERROR(INDEX(lst_JobName,MATCH($C280,lst_Jobs,0)),""))</f>
        <v/>
      </c>
      <c r="G280" s="10">
        <f>IF($BI280="","",IF($B280="Onsite",INDEX(tbl_Onsite[Job Description],$BI280),IF($B280="Production",INDEX(tbl_Production[Job Description],$BI280),INDEX(tbl_Consulting[Job Description],$BI280)))&amp;"")</f>
        <v/>
      </c>
      <c r="H280" s="10">
        <f>IF($BI280="","",IF($B280="Onsite",INDEX(tbl_Onsite[Cost Centre],$BI280),IF($B280="Production",INDEX(tbl_Production[Cost Centre],$BI280),INDEX(tbl_Consulting[Cost Centre],$BI280)))&amp;"")</f>
        <v/>
      </c>
      <c r="I280" s="10">
        <f>IF($BI280="","",IF($B280="Onsite",INDEX(tbl_Onsite[Invoice Type],$BI280),IF($B280="Production",INDEX(tbl_Production[Invoice Type],$BI280),INDEX(tbl_Consulting[Invoice Type],$BI280)))&amp;"")</f>
        <v/>
      </c>
      <c r="J280" s="10">
        <f>IF($BI280="","",IF($B280="Onsite",INDEX(tbl_Onsite[Tax Code],$BI280),IF($B280="Production",INDEX(tbl_Production[Tax Code],$BI280),INDEX(tbl_Consulting[Tax Code],$BI280)))&amp;"")</f>
        <v/>
      </c>
      <c r="K280" s="10">
        <f>IF(H280="","",IFERROR(INDEX(lst_CCtoGL,MATCH(H280,lst_CCforGL,0)),""))</f>
        <v/>
      </c>
      <c r="L280" s="10">
        <f>IF($BI280="","",IF($B280="Onsite",INDEX(tbl_Onsite[PO / Reference],$BI280),IF($B280="Production",INDEX(tbl_Production[Current RMS No],$BI280),INDEX(tbl_Consulting[Qwilr Quote],$BI280)))&amp;"")</f>
        <v/>
      </c>
      <c r="M280" s="10">
        <f>IF($BI280="","",IF($B280="Onsite",INDEX(tbl_Onsite[Notes],$BI280),IF($B280="Production",INDEX(tbl_Production[Notes],$BI280),INDEX(tbl_Consulting[Notes],$BI280)))&amp;"")</f>
        <v/>
      </c>
      <c r="N280" s="11">
        <f>IF($BI280="","",IF(IF($B280="Onsite",INDEX(tbl_Onsite[Expected Revenue Ex GST],$BI280),IF($B280="Production",INDEX(tbl_Production[Expected Revenue Ex GST],$BI280),INDEX(tbl_Consulting[Expected Revenue Ex GST],$BI280)))="","",IF($B280="Onsite",INDEX(tbl_Onsite[Expected Revenue Ex GST],$BI280),IF($B280="Production",INDEX(tbl_Production[Expected Revenue Ex GST],$BI280),INDEX(tbl_Consulting[Expected Revenue Ex GST],$BI280)))))</f>
        <v/>
      </c>
      <c r="O280" s="11">
        <f>IF(AND($C280="",NOT(COUNTA($S280:$BB280)&gt;0)),"",SUM(U280,X280,AA280,AD280,AG280,AJ280,AM280,AP280,AS280,AV280,AY280,BB280))</f>
        <v/>
      </c>
      <c r="P280" s="11">
        <f>IF(O280="","",N(N280)-O280)</f>
        <v/>
      </c>
      <c r="Q280" s="10">
        <f>IF(O280="","",IF($C280="","Invoice on empty job row",IF(N280="",IF(ROUND(O280,2)=0,"No dept value","Invoiced - no dept value"),IF(ROUND(O280,2)=0,"Not invoiced - to invoice",IF(ROUND(P280,2)=0,"Agrees",IF(P280&gt;0,"Dept higher - to invoice","Xero higher - check dept"))))))</f>
        <v/>
      </c>
      <c r="R280" s="10">
        <f>IF(AND($C280="",NOT(COUNTA($S280:$BB280)&gt;0),$BI280&lt;&gt;""),"",MID(IF($BI280="","; Row ID not found on the department sheet - a row was deleted","")&amp;IF(AND($C280="",COUNTA($S280:$BB280)&gt;0),"; Invoice entered but the department row has no job number","")&amp;IF(E280="CHECK","; Job number not in the Xero job list","")&amp;IF(AND($C280&lt;&gt;"",COUNTIF($C$7:$C$1506,$C280)&gt;1),"; Job number on more than one row","")&amp;IF(AND($C280&lt;&gt;"",H280=""),"; Dept has not set a cost centre","")&amp;IF(AND($C280&lt;&gt;"",J280=""),"; Dept has not set a tax code","")&amp;IF(AND($C280&lt;&gt;"",N280=""),"; Dept has not entered an expected value","")&amp;IF((IF(OR(COUNTA(S280:U280)=0,AND(COUNTA(S280:U280)=3,ISNUMBER(U280))),0,1)+IF(OR(COUNTA(V280:X280)=0,AND(COUNTA(V280:X280)=3,ISNUMBER(X280))),0,1)+IF(OR(COUNTA(Y280:AA280)=0,AND(COUNTA(Y280:AA280)=3,ISNUMBER(AA280))),0,1)+IF(OR(COUNTA(AB280:AD280)=0,AND(COUNTA(AB280:AD280)=3,ISNUMBER(AD280))),0,1)+IF(OR(COUNTA(AE280:AG280)=0,AND(COUNTA(AE280:AG280)=3,ISNUMBER(AG280))),0,1)+IF(OR(COUNTA(AH280:AJ280)=0,AND(COUNTA(AH280:AJ280)=3,ISNUMBER(AJ280))),0,1)+IF(OR(COUNTA(AK280:AM280)=0,AND(COUNTA(AK280:AM280)=3,ISNUMBER(AM280))),0,1)+IF(OR(COUNTA(AN280:AP280)=0,AND(COUNTA(AN280:AP280)=3,ISNUMBER(AP280))),0,1)+IF(OR(COUNTA(AQ280:AS280)=0,AND(COUNTA(AQ280:AS280)=3,ISNUMBER(AS280))),0,1)+IF(OR(COUNTA(AT280:AV280)=0,AND(COUNTA(AT280:AV280)=3,ISNUMBER(AV280))),0,1)+IF(OR(COUNTA(AW280:AY280)=0,AND(COUNTA(AW280:AY280)=3,ISNUMBER(AY280))),0,1)+IF(OR(COUNTA(AZ280:BB280)=0,AND(COUNTA(AZ280:BB280)=3,ISNUMBER(BB280))),0,1))&gt;0,"; An invoice is incomplete (needs No, Date and a number in Ex GST)","")&amp;IF((IF(T280="",0,IFERROR(--(EOMONTH(T280,0)&lt;&gt;S$5),1))+IF(W280="",0,IFERROR(--(EOMONTH(W280,0)&lt;&gt;V$5),1))+IF(Z280="",0,IFERROR(--(EOMONTH(Z280,0)&lt;&gt;Y$5),1))+IF(AC280="",0,IFERROR(--(EOMONTH(AC280,0)&lt;&gt;AB$5),1))+IF(AF280="",0,IFERROR(--(EOMONTH(AF280,0)&lt;&gt;AE$5),1))+IF(AI280="",0,IFERROR(--(EOMONTH(AI280,0)&lt;&gt;AH$5),1))+IF(AL280="",0,IFERROR(--(EOMONTH(AL280,0)&lt;&gt;AK$5),1))+IF(AO280="",0,IFERROR(--(EOMONTH(AO280,0)&lt;&gt;AN$5),1))+IF(AR280="",0,IFERROR(--(EOMONTH(AR280,0)&lt;&gt;AQ$5),1))+IF(AU280="",0,IFERROR(--(EOMONTH(AU280,0)&lt;&gt;AT$5),1))+IF(AX280="",0,IFERROR(--(EOMONTH(AX280,0)&lt;&gt;AW$5),1))+IF(BA280="",0,IFERROR(--(EOMONTH(BA280,0)&lt;&gt;AZ$5),1)))&gt;0,"; An invoice date is not in the month it is typed under",""),3,500))</f>
        <v/>
      </c>
      <c r="S280" s="12" t="n"/>
      <c r="T280" s="13" t="n"/>
      <c r="U280" s="14" t="n"/>
      <c r="V280" s="12" t="n"/>
      <c r="W280" s="13" t="n"/>
      <c r="X280" s="14" t="n"/>
      <c r="Y280" s="12" t="n"/>
      <c r="Z280" s="13" t="n"/>
      <c r="AA280" s="14" t="n"/>
      <c r="AB280" s="12" t="n"/>
      <c r="AC280" s="13" t="n"/>
      <c r="AD280" s="14" t="n"/>
      <c r="AE280" s="12" t="n"/>
      <c r="AF280" s="13" t="n"/>
      <c r="AG280" s="14" t="n"/>
      <c r="AH280" s="12" t="n"/>
      <c r="AI280" s="13" t="n"/>
      <c r="AJ280" s="14" t="n"/>
      <c r="AK280" s="12" t="n"/>
      <c r="AL280" s="13" t="n"/>
      <c r="AM280" s="14" t="n"/>
      <c r="AN280" s="12" t="n"/>
      <c r="AO280" s="13" t="n"/>
      <c r="AP280" s="14" t="n"/>
      <c r="AQ280" s="12" t="n"/>
      <c r="AR280" s="13" t="n"/>
      <c r="AS280" s="14" t="n"/>
      <c r="AT280" s="12" t="n"/>
      <c r="AU280" s="13" t="n"/>
      <c r="AV280" s="14" t="n"/>
      <c r="AW280" s="12" t="n"/>
      <c r="AX280" s="13" t="n"/>
      <c r="AY280" s="14" t="n"/>
      <c r="AZ280" s="12" t="n"/>
      <c r="BA280" s="13" t="n"/>
      <c r="BB280" s="14" t="n"/>
      <c r="BC280" s="11">
        <f>IF(O280="","",IF(J280="GST 10%",ROUND(O280*set_GSTRate,2),0))</f>
        <v/>
      </c>
      <c r="BD280" s="11">
        <f>IF(O280="","",O280+BC280)</f>
        <v/>
      </c>
      <c r="BE280" s="15">
        <f>IF(O280="","",COUNTA(S280,V280,Y280,AB280,AE280,AH280,AK280,AN280,AQ280,AT280,AW280,AZ280))</f>
        <v/>
      </c>
      <c r="BF280" s="16">
        <f>IF(COUNT(T280,W280,Z280,AC280,AF280,AI280,AL280,AO280,AR280,AU280,AX280,BA280)=0,"",MAX(T280,W280,Z280,AC280,AF280,AI280,AL280,AO280,AR280,AU280,AX280,BA280))</f>
        <v/>
      </c>
      <c r="BG280" s="10">
        <f>MID(IF(S280="","",", "&amp;S280)&amp;IF(V280="","",", "&amp;V280)&amp;IF(Y280="","",", "&amp;Y280)&amp;IF(AB280="","",", "&amp;AB280)&amp;IF(AE280="","",", "&amp;AE280)&amp;IF(AH280="","",", "&amp;AH280)&amp;IF(AK280="","",", "&amp;AK280)&amp;IF(AN280="","",", "&amp;AN280)&amp;IF(AQ280="","",", "&amp;AQ280)&amp;IF(AT280="","",", "&amp;AT280)&amp;IF(AW280="","",", "&amp;AW280)&amp;IF(AZ280="","",", "&amp;AZ280),3,500)</f>
        <v/>
      </c>
      <c r="BH280" s="12" t="n"/>
      <c r="BI280" s="15">
        <f>IFERROR(MATCH($A280,IF($B280="Onsite",tbl_Onsite[Row ID],IF($B280="Production",tbl_Production[Row ID],tbl_Consulting[Row ID])),0),"")</f>
        <v/>
      </c>
    </row>
    <row r="281">
      <c r="A281" s="10" t="inlineStr">
        <is>
          <t>ONS-0275</t>
        </is>
      </c>
      <c r="B281" s="10" t="inlineStr">
        <is>
          <t>Onsite</t>
        </is>
      </c>
      <c r="C281" s="10">
        <f>IF($BI281="","",IF($B281="Onsite",INDEX(tbl_Onsite[Job Number],$BI281),IF($B281="Production",INDEX(tbl_Production[Job Number],$BI281),INDEX(tbl_Consulting[Job Number],$BI281)))&amp;"")</f>
        <v/>
      </c>
      <c r="D281" s="10">
        <f>IF($BI281="","",IF($B281="Onsite",INDEX(tbl_Onsite[Client],$BI281),IF($B281="Production",INDEX(tbl_Production[Client],$BI281),INDEX(tbl_Consulting[Client],$BI281)))&amp;"")</f>
        <v/>
      </c>
      <c r="E281" s="10">
        <f>IF($C281="","",IF(COUNTIF(lst_Jobs,$C281)&gt;0,"OK","CHECK"))</f>
        <v/>
      </c>
      <c r="F281" s="10">
        <f>IF($C281="","",IFERROR(INDEX(lst_JobName,MATCH($C281,lst_Jobs,0)),""))</f>
        <v/>
      </c>
      <c r="G281" s="10">
        <f>IF($BI281="","",IF($B281="Onsite",INDEX(tbl_Onsite[Job Description],$BI281),IF($B281="Production",INDEX(tbl_Production[Job Description],$BI281),INDEX(tbl_Consulting[Job Description],$BI281)))&amp;"")</f>
        <v/>
      </c>
      <c r="H281" s="10">
        <f>IF($BI281="","",IF($B281="Onsite",INDEX(tbl_Onsite[Cost Centre],$BI281),IF($B281="Production",INDEX(tbl_Production[Cost Centre],$BI281),INDEX(tbl_Consulting[Cost Centre],$BI281)))&amp;"")</f>
        <v/>
      </c>
      <c r="I281" s="10">
        <f>IF($BI281="","",IF($B281="Onsite",INDEX(tbl_Onsite[Invoice Type],$BI281),IF($B281="Production",INDEX(tbl_Production[Invoice Type],$BI281),INDEX(tbl_Consulting[Invoice Type],$BI281)))&amp;"")</f>
        <v/>
      </c>
      <c r="J281" s="10">
        <f>IF($BI281="","",IF($B281="Onsite",INDEX(tbl_Onsite[Tax Code],$BI281),IF($B281="Production",INDEX(tbl_Production[Tax Code],$BI281),INDEX(tbl_Consulting[Tax Code],$BI281)))&amp;"")</f>
        <v/>
      </c>
      <c r="K281" s="10">
        <f>IF(H281="","",IFERROR(INDEX(lst_CCtoGL,MATCH(H281,lst_CCforGL,0)),""))</f>
        <v/>
      </c>
      <c r="L281" s="10">
        <f>IF($BI281="","",IF($B281="Onsite",INDEX(tbl_Onsite[PO / Reference],$BI281),IF($B281="Production",INDEX(tbl_Production[Current RMS No],$BI281),INDEX(tbl_Consulting[Qwilr Quote],$BI281)))&amp;"")</f>
        <v/>
      </c>
      <c r="M281" s="10">
        <f>IF($BI281="","",IF($B281="Onsite",INDEX(tbl_Onsite[Notes],$BI281),IF($B281="Production",INDEX(tbl_Production[Notes],$BI281),INDEX(tbl_Consulting[Notes],$BI281)))&amp;"")</f>
        <v/>
      </c>
      <c r="N281" s="11">
        <f>IF($BI281="","",IF(IF($B281="Onsite",INDEX(tbl_Onsite[Expected Revenue Ex GST],$BI281),IF($B281="Production",INDEX(tbl_Production[Expected Revenue Ex GST],$BI281),INDEX(tbl_Consulting[Expected Revenue Ex GST],$BI281)))="","",IF($B281="Onsite",INDEX(tbl_Onsite[Expected Revenue Ex GST],$BI281),IF($B281="Production",INDEX(tbl_Production[Expected Revenue Ex GST],$BI281),INDEX(tbl_Consulting[Expected Revenue Ex GST],$BI281)))))</f>
        <v/>
      </c>
      <c r="O281" s="11">
        <f>IF(AND($C281="",NOT(COUNTA($S281:$BB281)&gt;0)),"",SUM(U281,X281,AA281,AD281,AG281,AJ281,AM281,AP281,AS281,AV281,AY281,BB281))</f>
        <v/>
      </c>
      <c r="P281" s="11">
        <f>IF(O281="","",N(N281)-O281)</f>
        <v/>
      </c>
      <c r="Q281" s="10">
        <f>IF(O281="","",IF($C281="","Invoice on empty job row",IF(N281="",IF(ROUND(O281,2)=0,"No dept value","Invoiced - no dept value"),IF(ROUND(O281,2)=0,"Not invoiced - to invoice",IF(ROUND(P281,2)=0,"Agrees",IF(P281&gt;0,"Dept higher - to invoice","Xero higher - check dept"))))))</f>
        <v/>
      </c>
      <c r="R281" s="10">
        <f>IF(AND($C281="",NOT(COUNTA($S281:$BB281)&gt;0),$BI281&lt;&gt;""),"",MID(IF($BI281="","; Row ID not found on the department sheet - a row was deleted","")&amp;IF(AND($C281="",COUNTA($S281:$BB281)&gt;0),"; Invoice entered but the department row has no job number","")&amp;IF(E281="CHECK","; Job number not in the Xero job list","")&amp;IF(AND($C281&lt;&gt;"",COUNTIF($C$7:$C$1506,$C281)&gt;1),"; Job number on more than one row","")&amp;IF(AND($C281&lt;&gt;"",H281=""),"; Dept has not set a cost centre","")&amp;IF(AND($C281&lt;&gt;"",J281=""),"; Dept has not set a tax code","")&amp;IF(AND($C281&lt;&gt;"",N281=""),"; Dept has not entered an expected value","")&amp;IF((IF(OR(COUNTA(S281:U281)=0,AND(COUNTA(S281:U281)=3,ISNUMBER(U281))),0,1)+IF(OR(COUNTA(V281:X281)=0,AND(COUNTA(V281:X281)=3,ISNUMBER(X281))),0,1)+IF(OR(COUNTA(Y281:AA281)=0,AND(COUNTA(Y281:AA281)=3,ISNUMBER(AA281))),0,1)+IF(OR(COUNTA(AB281:AD281)=0,AND(COUNTA(AB281:AD281)=3,ISNUMBER(AD281))),0,1)+IF(OR(COUNTA(AE281:AG281)=0,AND(COUNTA(AE281:AG281)=3,ISNUMBER(AG281))),0,1)+IF(OR(COUNTA(AH281:AJ281)=0,AND(COUNTA(AH281:AJ281)=3,ISNUMBER(AJ281))),0,1)+IF(OR(COUNTA(AK281:AM281)=0,AND(COUNTA(AK281:AM281)=3,ISNUMBER(AM281))),0,1)+IF(OR(COUNTA(AN281:AP281)=0,AND(COUNTA(AN281:AP281)=3,ISNUMBER(AP281))),0,1)+IF(OR(COUNTA(AQ281:AS281)=0,AND(COUNTA(AQ281:AS281)=3,ISNUMBER(AS281))),0,1)+IF(OR(COUNTA(AT281:AV281)=0,AND(COUNTA(AT281:AV281)=3,ISNUMBER(AV281))),0,1)+IF(OR(COUNTA(AW281:AY281)=0,AND(COUNTA(AW281:AY281)=3,ISNUMBER(AY281))),0,1)+IF(OR(COUNTA(AZ281:BB281)=0,AND(COUNTA(AZ281:BB281)=3,ISNUMBER(BB281))),0,1))&gt;0,"; An invoice is incomplete (needs No, Date and a number in Ex GST)","")&amp;IF((IF(T281="",0,IFERROR(--(EOMONTH(T281,0)&lt;&gt;S$5),1))+IF(W281="",0,IFERROR(--(EOMONTH(W281,0)&lt;&gt;V$5),1))+IF(Z281="",0,IFERROR(--(EOMONTH(Z281,0)&lt;&gt;Y$5),1))+IF(AC281="",0,IFERROR(--(EOMONTH(AC281,0)&lt;&gt;AB$5),1))+IF(AF281="",0,IFERROR(--(EOMONTH(AF281,0)&lt;&gt;AE$5),1))+IF(AI281="",0,IFERROR(--(EOMONTH(AI281,0)&lt;&gt;AH$5),1))+IF(AL281="",0,IFERROR(--(EOMONTH(AL281,0)&lt;&gt;AK$5),1))+IF(AO281="",0,IFERROR(--(EOMONTH(AO281,0)&lt;&gt;AN$5),1))+IF(AR281="",0,IFERROR(--(EOMONTH(AR281,0)&lt;&gt;AQ$5),1))+IF(AU281="",0,IFERROR(--(EOMONTH(AU281,0)&lt;&gt;AT$5),1))+IF(AX281="",0,IFERROR(--(EOMONTH(AX281,0)&lt;&gt;AW$5),1))+IF(BA281="",0,IFERROR(--(EOMONTH(BA281,0)&lt;&gt;AZ$5),1)))&gt;0,"; An invoice date is not in the month it is typed under",""),3,500))</f>
        <v/>
      </c>
      <c r="S281" s="12" t="n"/>
      <c r="T281" s="13" t="n"/>
      <c r="U281" s="14" t="n"/>
      <c r="V281" s="12" t="n"/>
      <c r="W281" s="13" t="n"/>
      <c r="X281" s="14" t="n"/>
      <c r="Y281" s="12" t="n"/>
      <c r="Z281" s="13" t="n"/>
      <c r="AA281" s="14" t="n"/>
      <c r="AB281" s="12" t="n"/>
      <c r="AC281" s="13" t="n"/>
      <c r="AD281" s="14" t="n"/>
      <c r="AE281" s="12" t="n"/>
      <c r="AF281" s="13" t="n"/>
      <c r="AG281" s="14" t="n"/>
      <c r="AH281" s="12" t="n"/>
      <c r="AI281" s="13" t="n"/>
      <c r="AJ281" s="14" t="n"/>
      <c r="AK281" s="12" t="n"/>
      <c r="AL281" s="13" t="n"/>
      <c r="AM281" s="14" t="n"/>
      <c r="AN281" s="12" t="n"/>
      <c r="AO281" s="13" t="n"/>
      <c r="AP281" s="14" t="n"/>
      <c r="AQ281" s="12" t="n"/>
      <c r="AR281" s="13" t="n"/>
      <c r="AS281" s="14" t="n"/>
      <c r="AT281" s="12" t="n"/>
      <c r="AU281" s="13" t="n"/>
      <c r="AV281" s="14" t="n"/>
      <c r="AW281" s="12" t="n"/>
      <c r="AX281" s="13" t="n"/>
      <c r="AY281" s="14" t="n"/>
      <c r="AZ281" s="12" t="n"/>
      <c r="BA281" s="13" t="n"/>
      <c r="BB281" s="14" t="n"/>
      <c r="BC281" s="11">
        <f>IF(O281="","",IF(J281="GST 10%",ROUND(O281*set_GSTRate,2),0))</f>
        <v/>
      </c>
      <c r="BD281" s="11">
        <f>IF(O281="","",O281+BC281)</f>
        <v/>
      </c>
      <c r="BE281" s="15">
        <f>IF(O281="","",COUNTA(S281,V281,Y281,AB281,AE281,AH281,AK281,AN281,AQ281,AT281,AW281,AZ281))</f>
        <v/>
      </c>
      <c r="BF281" s="16">
        <f>IF(COUNT(T281,W281,Z281,AC281,AF281,AI281,AL281,AO281,AR281,AU281,AX281,BA281)=0,"",MAX(T281,W281,Z281,AC281,AF281,AI281,AL281,AO281,AR281,AU281,AX281,BA281))</f>
        <v/>
      </c>
      <c r="BG281" s="10">
        <f>MID(IF(S281="","",", "&amp;S281)&amp;IF(V281="","",", "&amp;V281)&amp;IF(Y281="","",", "&amp;Y281)&amp;IF(AB281="","",", "&amp;AB281)&amp;IF(AE281="","",", "&amp;AE281)&amp;IF(AH281="","",", "&amp;AH281)&amp;IF(AK281="","",", "&amp;AK281)&amp;IF(AN281="","",", "&amp;AN281)&amp;IF(AQ281="","",", "&amp;AQ281)&amp;IF(AT281="","",", "&amp;AT281)&amp;IF(AW281="","",", "&amp;AW281)&amp;IF(AZ281="","",", "&amp;AZ281),3,500)</f>
        <v/>
      </c>
      <c r="BH281" s="12" t="n"/>
      <c r="BI281" s="15">
        <f>IFERROR(MATCH($A281,IF($B281="Onsite",tbl_Onsite[Row ID],IF($B281="Production",tbl_Production[Row ID],tbl_Consulting[Row ID])),0),"")</f>
        <v/>
      </c>
    </row>
    <row r="282">
      <c r="A282" s="10" t="inlineStr">
        <is>
          <t>ONS-0276</t>
        </is>
      </c>
      <c r="B282" s="10" t="inlineStr">
        <is>
          <t>Onsite</t>
        </is>
      </c>
      <c r="C282" s="10">
        <f>IF($BI282="","",IF($B282="Onsite",INDEX(tbl_Onsite[Job Number],$BI282),IF($B282="Production",INDEX(tbl_Production[Job Number],$BI282),INDEX(tbl_Consulting[Job Number],$BI282)))&amp;"")</f>
        <v/>
      </c>
      <c r="D282" s="10">
        <f>IF($BI282="","",IF($B282="Onsite",INDEX(tbl_Onsite[Client],$BI282),IF($B282="Production",INDEX(tbl_Production[Client],$BI282),INDEX(tbl_Consulting[Client],$BI282)))&amp;"")</f>
        <v/>
      </c>
      <c r="E282" s="10">
        <f>IF($C282="","",IF(COUNTIF(lst_Jobs,$C282)&gt;0,"OK","CHECK"))</f>
        <v/>
      </c>
      <c r="F282" s="10">
        <f>IF($C282="","",IFERROR(INDEX(lst_JobName,MATCH($C282,lst_Jobs,0)),""))</f>
        <v/>
      </c>
      <c r="G282" s="10">
        <f>IF($BI282="","",IF($B282="Onsite",INDEX(tbl_Onsite[Job Description],$BI282),IF($B282="Production",INDEX(tbl_Production[Job Description],$BI282),INDEX(tbl_Consulting[Job Description],$BI282)))&amp;"")</f>
        <v/>
      </c>
      <c r="H282" s="10">
        <f>IF($BI282="","",IF($B282="Onsite",INDEX(tbl_Onsite[Cost Centre],$BI282),IF($B282="Production",INDEX(tbl_Production[Cost Centre],$BI282),INDEX(tbl_Consulting[Cost Centre],$BI282)))&amp;"")</f>
        <v/>
      </c>
      <c r="I282" s="10">
        <f>IF($BI282="","",IF($B282="Onsite",INDEX(tbl_Onsite[Invoice Type],$BI282),IF($B282="Production",INDEX(tbl_Production[Invoice Type],$BI282),INDEX(tbl_Consulting[Invoice Type],$BI282)))&amp;"")</f>
        <v/>
      </c>
      <c r="J282" s="10">
        <f>IF($BI282="","",IF($B282="Onsite",INDEX(tbl_Onsite[Tax Code],$BI282),IF($B282="Production",INDEX(tbl_Production[Tax Code],$BI282),INDEX(tbl_Consulting[Tax Code],$BI282)))&amp;"")</f>
        <v/>
      </c>
      <c r="K282" s="10">
        <f>IF(H282="","",IFERROR(INDEX(lst_CCtoGL,MATCH(H282,lst_CCforGL,0)),""))</f>
        <v/>
      </c>
      <c r="L282" s="10">
        <f>IF($BI282="","",IF($B282="Onsite",INDEX(tbl_Onsite[PO / Reference],$BI282),IF($B282="Production",INDEX(tbl_Production[Current RMS No],$BI282),INDEX(tbl_Consulting[Qwilr Quote],$BI282)))&amp;"")</f>
        <v/>
      </c>
      <c r="M282" s="10">
        <f>IF($BI282="","",IF($B282="Onsite",INDEX(tbl_Onsite[Notes],$BI282),IF($B282="Production",INDEX(tbl_Production[Notes],$BI282),INDEX(tbl_Consulting[Notes],$BI282)))&amp;"")</f>
        <v/>
      </c>
      <c r="N282" s="11">
        <f>IF($BI282="","",IF(IF($B282="Onsite",INDEX(tbl_Onsite[Expected Revenue Ex GST],$BI282),IF($B282="Production",INDEX(tbl_Production[Expected Revenue Ex GST],$BI282),INDEX(tbl_Consulting[Expected Revenue Ex GST],$BI282)))="","",IF($B282="Onsite",INDEX(tbl_Onsite[Expected Revenue Ex GST],$BI282),IF($B282="Production",INDEX(tbl_Production[Expected Revenue Ex GST],$BI282),INDEX(tbl_Consulting[Expected Revenue Ex GST],$BI282)))))</f>
        <v/>
      </c>
      <c r="O282" s="11">
        <f>IF(AND($C282="",NOT(COUNTA($S282:$BB282)&gt;0)),"",SUM(U282,X282,AA282,AD282,AG282,AJ282,AM282,AP282,AS282,AV282,AY282,BB282))</f>
        <v/>
      </c>
      <c r="P282" s="11">
        <f>IF(O282="","",N(N282)-O282)</f>
        <v/>
      </c>
      <c r="Q282" s="10">
        <f>IF(O282="","",IF($C282="","Invoice on empty job row",IF(N282="",IF(ROUND(O282,2)=0,"No dept value","Invoiced - no dept value"),IF(ROUND(O282,2)=0,"Not invoiced - to invoice",IF(ROUND(P282,2)=0,"Agrees",IF(P282&gt;0,"Dept higher - to invoice","Xero higher - check dept"))))))</f>
        <v/>
      </c>
      <c r="R282" s="10">
        <f>IF(AND($C282="",NOT(COUNTA($S282:$BB282)&gt;0),$BI282&lt;&gt;""),"",MID(IF($BI282="","; Row ID not found on the department sheet - a row was deleted","")&amp;IF(AND($C282="",COUNTA($S282:$BB282)&gt;0),"; Invoice entered but the department row has no job number","")&amp;IF(E282="CHECK","; Job number not in the Xero job list","")&amp;IF(AND($C282&lt;&gt;"",COUNTIF($C$7:$C$1506,$C282)&gt;1),"; Job number on more than one row","")&amp;IF(AND($C282&lt;&gt;"",H282=""),"; Dept has not set a cost centre","")&amp;IF(AND($C282&lt;&gt;"",J282=""),"; Dept has not set a tax code","")&amp;IF(AND($C282&lt;&gt;"",N282=""),"; Dept has not entered an expected value","")&amp;IF((IF(OR(COUNTA(S282:U282)=0,AND(COUNTA(S282:U282)=3,ISNUMBER(U282))),0,1)+IF(OR(COUNTA(V282:X282)=0,AND(COUNTA(V282:X282)=3,ISNUMBER(X282))),0,1)+IF(OR(COUNTA(Y282:AA282)=0,AND(COUNTA(Y282:AA282)=3,ISNUMBER(AA282))),0,1)+IF(OR(COUNTA(AB282:AD282)=0,AND(COUNTA(AB282:AD282)=3,ISNUMBER(AD282))),0,1)+IF(OR(COUNTA(AE282:AG282)=0,AND(COUNTA(AE282:AG282)=3,ISNUMBER(AG282))),0,1)+IF(OR(COUNTA(AH282:AJ282)=0,AND(COUNTA(AH282:AJ282)=3,ISNUMBER(AJ282))),0,1)+IF(OR(COUNTA(AK282:AM282)=0,AND(COUNTA(AK282:AM282)=3,ISNUMBER(AM282))),0,1)+IF(OR(COUNTA(AN282:AP282)=0,AND(COUNTA(AN282:AP282)=3,ISNUMBER(AP282))),0,1)+IF(OR(COUNTA(AQ282:AS282)=0,AND(COUNTA(AQ282:AS282)=3,ISNUMBER(AS282))),0,1)+IF(OR(COUNTA(AT282:AV282)=0,AND(COUNTA(AT282:AV282)=3,ISNUMBER(AV282))),0,1)+IF(OR(COUNTA(AW282:AY282)=0,AND(COUNTA(AW282:AY282)=3,ISNUMBER(AY282))),0,1)+IF(OR(COUNTA(AZ282:BB282)=0,AND(COUNTA(AZ282:BB282)=3,ISNUMBER(BB282))),0,1))&gt;0,"; An invoice is incomplete (needs No, Date and a number in Ex GST)","")&amp;IF((IF(T282="",0,IFERROR(--(EOMONTH(T282,0)&lt;&gt;S$5),1))+IF(W282="",0,IFERROR(--(EOMONTH(W282,0)&lt;&gt;V$5),1))+IF(Z282="",0,IFERROR(--(EOMONTH(Z282,0)&lt;&gt;Y$5),1))+IF(AC282="",0,IFERROR(--(EOMONTH(AC282,0)&lt;&gt;AB$5),1))+IF(AF282="",0,IFERROR(--(EOMONTH(AF282,0)&lt;&gt;AE$5),1))+IF(AI282="",0,IFERROR(--(EOMONTH(AI282,0)&lt;&gt;AH$5),1))+IF(AL282="",0,IFERROR(--(EOMONTH(AL282,0)&lt;&gt;AK$5),1))+IF(AO282="",0,IFERROR(--(EOMONTH(AO282,0)&lt;&gt;AN$5),1))+IF(AR282="",0,IFERROR(--(EOMONTH(AR282,0)&lt;&gt;AQ$5),1))+IF(AU282="",0,IFERROR(--(EOMONTH(AU282,0)&lt;&gt;AT$5),1))+IF(AX282="",0,IFERROR(--(EOMONTH(AX282,0)&lt;&gt;AW$5),1))+IF(BA282="",0,IFERROR(--(EOMONTH(BA282,0)&lt;&gt;AZ$5),1)))&gt;0,"; An invoice date is not in the month it is typed under",""),3,500))</f>
        <v/>
      </c>
      <c r="S282" s="12" t="n"/>
      <c r="T282" s="13" t="n"/>
      <c r="U282" s="14" t="n"/>
      <c r="V282" s="12" t="n"/>
      <c r="W282" s="13" t="n"/>
      <c r="X282" s="14" t="n"/>
      <c r="Y282" s="12" t="n"/>
      <c r="Z282" s="13" t="n"/>
      <c r="AA282" s="14" t="n"/>
      <c r="AB282" s="12" t="n"/>
      <c r="AC282" s="13" t="n"/>
      <c r="AD282" s="14" t="n"/>
      <c r="AE282" s="12" t="n"/>
      <c r="AF282" s="13" t="n"/>
      <c r="AG282" s="14" t="n"/>
      <c r="AH282" s="12" t="n"/>
      <c r="AI282" s="13" t="n"/>
      <c r="AJ282" s="14" t="n"/>
      <c r="AK282" s="12" t="n"/>
      <c r="AL282" s="13" t="n"/>
      <c r="AM282" s="14" t="n"/>
      <c r="AN282" s="12" t="n"/>
      <c r="AO282" s="13" t="n"/>
      <c r="AP282" s="14" t="n"/>
      <c r="AQ282" s="12" t="n"/>
      <c r="AR282" s="13" t="n"/>
      <c r="AS282" s="14" t="n"/>
      <c r="AT282" s="12" t="n"/>
      <c r="AU282" s="13" t="n"/>
      <c r="AV282" s="14" t="n"/>
      <c r="AW282" s="12" t="n"/>
      <c r="AX282" s="13" t="n"/>
      <c r="AY282" s="14" t="n"/>
      <c r="AZ282" s="12" t="n"/>
      <c r="BA282" s="13" t="n"/>
      <c r="BB282" s="14" t="n"/>
      <c r="BC282" s="11">
        <f>IF(O282="","",IF(J282="GST 10%",ROUND(O282*set_GSTRate,2),0))</f>
        <v/>
      </c>
      <c r="BD282" s="11">
        <f>IF(O282="","",O282+BC282)</f>
        <v/>
      </c>
      <c r="BE282" s="15">
        <f>IF(O282="","",COUNTA(S282,V282,Y282,AB282,AE282,AH282,AK282,AN282,AQ282,AT282,AW282,AZ282))</f>
        <v/>
      </c>
      <c r="BF282" s="16">
        <f>IF(COUNT(T282,W282,Z282,AC282,AF282,AI282,AL282,AO282,AR282,AU282,AX282,BA282)=0,"",MAX(T282,W282,Z282,AC282,AF282,AI282,AL282,AO282,AR282,AU282,AX282,BA282))</f>
        <v/>
      </c>
      <c r="BG282" s="10">
        <f>MID(IF(S282="","",", "&amp;S282)&amp;IF(V282="","",", "&amp;V282)&amp;IF(Y282="","",", "&amp;Y282)&amp;IF(AB282="","",", "&amp;AB282)&amp;IF(AE282="","",", "&amp;AE282)&amp;IF(AH282="","",", "&amp;AH282)&amp;IF(AK282="","",", "&amp;AK282)&amp;IF(AN282="","",", "&amp;AN282)&amp;IF(AQ282="","",", "&amp;AQ282)&amp;IF(AT282="","",", "&amp;AT282)&amp;IF(AW282="","",", "&amp;AW282)&amp;IF(AZ282="","",", "&amp;AZ282),3,500)</f>
        <v/>
      </c>
      <c r="BH282" s="12" t="n"/>
      <c r="BI282" s="15">
        <f>IFERROR(MATCH($A282,IF($B282="Onsite",tbl_Onsite[Row ID],IF($B282="Production",tbl_Production[Row ID],tbl_Consulting[Row ID])),0),"")</f>
        <v/>
      </c>
    </row>
    <row r="283">
      <c r="A283" s="10" t="inlineStr">
        <is>
          <t>ONS-0277</t>
        </is>
      </c>
      <c r="B283" s="10" t="inlineStr">
        <is>
          <t>Onsite</t>
        </is>
      </c>
      <c r="C283" s="10">
        <f>IF($BI283="","",IF($B283="Onsite",INDEX(tbl_Onsite[Job Number],$BI283),IF($B283="Production",INDEX(tbl_Production[Job Number],$BI283),INDEX(tbl_Consulting[Job Number],$BI283)))&amp;"")</f>
        <v/>
      </c>
      <c r="D283" s="10">
        <f>IF($BI283="","",IF($B283="Onsite",INDEX(tbl_Onsite[Client],$BI283),IF($B283="Production",INDEX(tbl_Production[Client],$BI283),INDEX(tbl_Consulting[Client],$BI283)))&amp;"")</f>
        <v/>
      </c>
      <c r="E283" s="10">
        <f>IF($C283="","",IF(COUNTIF(lst_Jobs,$C283)&gt;0,"OK","CHECK"))</f>
        <v/>
      </c>
      <c r="F283" s="10">
        <f>IF($C283="","",IFERROR(INDEX(lst_JobName,MATCH($C283,lst_Jobs,0)),""))</f>
        <v/>
      </c>
      <c r="G283" s="10">
        <f>IF($BI283="","",IF($B283="Onsite",INDEX(tbl_Onsite[Job Description],$BI283),IF($B283="Production",INDEX(tbl_Production[Job Description],$BI283),INDEX(tbl_Consulting[Job Description],$BI283)))&amp;"")</f>
        <v/>
      </c>
      <c r="H283" s="10">
        <f>IF($BI283="","",IF($B283="Onsite",INDEX(tbl_Onsite[Cost Centre],$BI283),IF($B283="Production",INDEX(tbl_Production[Cost Centre],$BI283),INDEX(tbl_Consulting[Cost Centre],$BI283)))&amp;"")</f>
        <v/>
      </c>
      <c r="I283" s="10">
        <f>IF($BI283="","",IF($B283="Onsite",INDEX(tbl_Onsite[Invoice Type],$BI283),IF($B283="Production",INDEX(tbl_Production[Invoice Type],$BI283),INDEX(tbl_Consulting[Invoice Type],$BI283)))&amp;"")</f>
        <v/>
      </c>
      <c r="J283" s="10">
        <f>IF($BI283="","",IF($B283="Onsite",INDEX(tbl_Onsite[Tax Code],$BI283),IF($B283="Production",INDEX(tbl_Production[Tax Code],$BI283),INDEX(tbl_Consulting[Tax Code],$BI283)))&amp;"")</f>
        <v/>
      </c>
      <c r="K283" s="10">
        <f>IF(H283="","",IFERROR(INDEX(lst_CCtoGL,MATCH(H283,lst_CCforGL,0)),""))</f>
        <v/>
      </c>
      <c r="L283" s="10">
        <f>IF($BI283="","",IF($B283="Onsite",INDEX(tbl_Onsite[PO / Reference],$BI283),IF($B283="Production",INDEX(tbl_Production[Current RMS No],$BI283),INDEX(tbl_Consulting[Qwilr Quote],$BI283)))&amp;"")</f>
        <v/>
      </c>
      <c r="M283" s="10">
        <f>IF($BI283="","",IF($B283="Onsite",INDEX(tbl_Onsite[Notes],$BI283),IF($B283="Production",INDEX(tbl_Production[Notes],$BI283),INDEX(tbl_Consulting[Notes],$BI283)))&amp;"")</f>
        <v/>
      </c>
      <c r="N283" s="11">
        <f>IF($BI283="","",IF(IF($B283="Onsite",INDEX(tbl_Onsite[Expected Revenue Ex GST],$BI283),IF($B283="Production",INDEX(tbl_Production[Expected Revenue Ex GST],$BI283),INDEX(tbl_Consulting[Expected Revenue Ex GST],$BI283)))="","",IF($B283="Onsite",INDEX(tbl_Onsite[Expected Revenue Ex GST],$BI283),IF($B283="Production",INDEX(tbl_Production[Expected Revenue Ex GST],$BI283),INDEX(tbl_Consulting[Expected Revenue Ex GST],$BI283)))))</f>
        <v/>
      </c>
      <c r="O283" s="11">
        <f>IF(AND($C283="",NOT(COUNTA($S283:$BB283)&gt;0)),"",SUM(U283,X283,AA283,AD283,AG283,AJ283,AM283,AP283,AS283,AV283,AY283,BB283))</f>
        <v/>
      </c>
      <c r="P283" s="11">
        <f>IF(O283="","",N(N283)-O283)</f>
        <v/>
      </c>
      <c r="Q283" s="10">
        <f>IF(O283="","",IF($C283="","Invoice on empty job row",IF(N283="",IF(ROUND(O283,2)=0,"No dept value","Invoiced - no dept value"),IF(ROUND(O283,2)=0,"Not invoiced - to invoice",IF(ROUND(P283,2)=0,"Agrees",IF(P283&gt;0,"Dept higher - to invoice","Xero higher - check dept"))))))</f>
        <v/>
      </c>
      <c r="R283" s="10">
        <f>IF(AND($C283="",NOT(COUNTA($S283:$BB283)&gt;0),$BI283&lt;&gt;""),"",MID(IF($BI283="","; Row ID not found on the department sheet - a row was deleted","")&amp;IF(AND($C283="",COUNTA($S283:$BB283)&gt;0),"; Invoice entered but the department row has no job number","")&amp;IF(E283="CHECK","; Job number not in the Xero job list","")&amp;IF(AND($C283&lt;&gt;"",COUNTIF($C$7:$C$1506,$C283)&gt;1),"; Job number on more than one row","")&amp;IF(AND($C283&lt;&gt;"",H283=""),"; Dept has not set a cost centre","")&amp;IF(AND($C283&lt;&gt;"",J283=""),"; Dept has not set a tax code","")&amp;IF(AND($C283&lt;&gt;"",N283=""),"; Dept has not entered an expected value","")&amp;IF((IF(OR(COUNTA(S283:U283)=0,AND(COUNTA(S283:U283)=3,ISNUMBER(U283))),0,1)+IF(OR(COUNTA(V283:X283)=0,AND(COUNTA(V283:X283)=3,ISNUMBER(X283))),0,1)+IF(OR(COUNTA(Y283:AA283)=0,AND(COUNTA(Y283:AA283)=3,ISNUMBER(AA283))),0,1)+IF(OR(COUNTA(AB283:AD283)=0,AND(COUNTA(AB283:AD283)=3,ISNUMBER(AD283))),0,1)+IF(OR(COUNTA(AE283:AG283)=0,AND(COUNTA(AE283:AG283)=3,ISNUMBER(AG283))),0,1)+IF(OR(COUNTA(AH283:AJ283)=0,AND(COUNTA(AH283:AJ283)=3,ISNUMBER(AJ283))),0,1)+IF(OR(COUNTA(AK283:AM283)=0,AND(COUNTA(AK283:AM283)=3,ISNUMBER(AM283))),0,1)+IF(OR(COUNTA(AN283:AP283)=0,AND(COUNTA(AN283:AP283)=3,ISNUMBER(AP283))),0,1)+IF(OR(COUNTA(AQ283:AS283)=0,AND(COUNTA(AQ283:AS283)=3,ISNUMBER(AS283))),0,1)+IF(OR(COUNTA(AT283:AV283)=0,AND(COUNTA(AT283:AV283)=3,ISNUMBER(AV283))),0,1)+IF(OR(COUNTA(AW283:AY283)=0,AND(COUNTA(AW283:AY283)=3,ISNUMBER(AY283))),0,1)+IF(OR(COUNTA(AZ283:BB283)=0,AND(COUNTA(AZ283:BB283)=3,ISNUMBER(BB283))),0,1))&gt;0,"; An invoice is incomplete (needs No, Date and a number in Ex GST)","")&amp;IF((IF(T283="",0,IFERROR(--(EOMONTH(T283,0)&lt;&gt;S$5),1))+IF(W283="",0,IFERROR(--(EOMONTH(W283,0)&lt;&gt;V$5),1))+IF(Z283="",0,IFERROR(--(EOMONTH(Z283,0)&lt;&gt;Y$5),1))+IF(AC283="",0,IFERROR(--(EOMONTH(AC283,0)&lt;&gt;AB$5),1))+IF(AF283="",0,IFERROR(--(EOMONTH(AF283,0)&lt;&gt;AE$5),1))+IF(AI283="",0,IFERROR(--(EOMONTH(AI283,0)&lt;&gt;AH$5),1))+IF(AL283="",0,IFERROR(--(EOMONTH(AL283,0)&lt;&gt;AK$5),1))+IF(AO283="",0,IFERROR(--(EOMONTH(AO283,0)&lt;&gt;AN$5),1))+IF(AR283="",0,IFERROR(--(EOMONTH(AR283,0)&lt;&gt;AQ$5),1))+IF(AU283="",0,IFERROR(--(EOMONTH(AU283,0)&lt;&gt;AT$5),1))+IF(AX283="",0,IFERROR(--(EOMONTH(AX283,0)&lt;&gt;AW$5),1))+IF(BA283="",0,IFERROR(--(EOMONTH(BA283,0)&lt;&gt;AZ$5),1)))&gt;0,"; An invoice date is not in the month it is typed under",""),3,500))</f>
        <v/>
      </c>
      <c r="S283" s="12" t="n"/>
      <c r="T283" s="13" t="n"/>
      <c r="U283" s="14" t="n"/>
      <c r="V283" s="12" t="n"/>
      <c r="W283" s="13" t="n"/>
      <c r="X283" s="14" t="n"/>
      <c r="Y283" s="12" t="n"/>
      <c r="Z283" s="13" t="n"/>
      <c r="AA283" s="14" t="n"/>
      <c r="AB283" s="12" t="n"/>
      <c r="AC283" s="13" t="n"/>
      <c r="AD283" s="14" t="n"/>
      <c r="AE283" s="12" t="n"/>
      <c r="AF283" s="13" t="n"/>
      <c r="AG283" s="14" t="n"/>
      <c r="AH283" s="12" t="n"/>
      <c r="AI283" s="13" t="n"/>
      <c r="AJ283" s="14" t="n"/>
      <c r="AK283" s="12" t="n"/>
      <c r="AL283" s="13" t="n"/>
      <c r="AM283" s="14" t="n"/>
      <c r="AN283" s="12" t="n"/>
      <c r="AO283" s="13" t="n"/>
      <c r="AP283" s="14" t="n"/>
      <c r="AQ283" s="12" t="n"/>
      <c r="AR283" s="13" t="n"/>
      <c r="AS283" s="14" t="n"/>
      <c r="AT283" s="12" t="n"/>
      <c r="AU283" s="13" t="n"/>
      <c r="AV283" s="14" t="n"/>
      <c r="AW283" s="12" t="n"/>
      <c r="AX283" s="13" t="n"/>
      <c r="AY283" s="14" t="n"/>
      <c r="AZ283" s="12" t="n"/>
      <c r="BA283" s="13" t="n"/>
      <c r="BB283" s="14" t="n"/>
      <c r="BC283" s="11">
        <f>IF(O283="","",IF(J283="GST 10%",ROUND(O283*set_GSTRate,2),0))</f>
        <v/>
      </c>
      <c r="BD283" s="11">
        <f>IF(O283="","",O283+BC283)</f>
        <v/>
      </c>
      <c r="BE283" s="15">
        <f>IF(O283="","",COUNTA(S283,V283,Y283,AB283,AE283,AH283,AK283,AN283,AQ283,AT283,AW283,AZ283))</f>
        <v/>
      </c>
      <c r="BF283" s="16">
        <f>IF(COUNT(T283,W283,Z283,AC283,AF283,AI283,AL283,AO283,AR283,AU283,AX283,BA283)=0,"",MAX(T283,W283,Z283,AC283,AF283,AI283,AL283,AO283,AR283,AU283,AX283,BA283))</f>
        <v/>
      </c>
      <c r="BG283" s="10">
        <f>MID(IF(S283="","",", "&amp;S283)&amp;IF(V283="","",", "&amp;V283)&amp;IF(Y283="","",", "&amp;Y283)&amp;IF(AB283="","",", "&amp;AB283)&amp;IF(AE283="","",", "&amp;AE283)&amp;IF(AH283="","",", "&amp;AH283)&amp;IF(AK283="","",", "&amp;AK283)&amp;IF(AN283="","",", "&amp;AN283)&amp;IF(AQ283="","",", "&amp;AQ283)&amp;IF(AT283="","",", "&amp;AT283)&amp;IF(AW283="","",", "&amp;AW283)&amp;IF(AZ283="","",", "&amp;AZ283),3,500)</f>
        <v/>
      </c>
      <c r="BH283" s="12" t="n"/>
      <c r="BI283" s="15">
        <f>IFERROR(MATCH($A283,IF($B283="Onsite",tbl_Onsite[Row ID],IF($B283="Production",tbl_Production[Row ID],tbl_Consulting[Row ID])),0),"")</f>
        <v/>
      </c>
    </row>
    <row r="284">
      <c r="A284" s="10" t="inlineStr">
        <is>
          <t>ONS-0278</t>
        </is>
      </c>
      <c r="B284" s="10" t="inlineStr">
        <is>
          <t>Onsite</t>
        </is>
      </c>
      <c r="C284" s="10">
        <f>IF($BI284="","",IF($B284="Onsite",INDEX(tbl_Onsite[Job Number],$BI284),IF($B284="Production",INDEX(tbl_Production[Job Number],$BI284),INDEX(tbl_Consulting[Job Number],$BI284)))&amp;"")</f>
        <v/>
      </c>
      <c r="D284" s="10">
        <f>IF($BI284="","",IF($B284="Onsite",INDEX(tbl_Onsite[Client],$BI284),IF($B284="Production",INDEX(tbl_Production[Client],$BI284),INDEX(tbl_Consulting[Client],$BI284)))&amp;"")</f>
        <v/>
      </c>
      <c r="E284" s="10">
        <f>IF($C284="","",IF(COUNTIF(lst_Jobs,$C284)&gt;0,"OK","CHECK"))</f>
        <v/>
      </c>
      <c r="F284" s="10">
        <f>IF($C284="","",IFERROR(INDEX(lst_JobName,MATCH($C284,lst_Jobs,0)),""))</f>
        <v/>
      </c>
      <c r="G284" s="10">
        <f>IF($BI284="","",IF($B284="Onsite",INDEX(tbl_Onsite[Job Description],$BI284),IF($B284="Production",INDEX(tbl_Production[Job Description],$BI284),INDEX(tbl_Consulting[Job Description],$BI284)))&amp;"")</f>
        <v/>
      </c>
      <c r="H284" s="10">
        <f>IF($BI284="","",IF($B284="Onsite",INDEX(tbl_Onsite[Cost Centre],$BI284),IF($B284="Production",INDEX(tbl_Production[Cost Centre],$BI284),INDEX(tbl_Consulting[Cost Centre],$BI284)))&amp;"")</f>
        <v/>
      </c>
      <c r="I284" s="10">
        <f>IF($BI284="","",IF($B284="Onsite",INDEX(tbl_Onsite[Invoice Type],$BI284),IF($B284="Production",INDEX(tbl_Production[Invoice Type],$BI284),INDEX(tbl_Consulting[Invoice Type],$BI284)))&amp;"")</f>
        <v/>
      </c>
      <c r="J284" s="10">
        <f>IF($BI284="","",IF($B284="Onsite",INDEX(tbl_Onsite[Tax Code],$BI284),IF($B284="Production",INDEX(tbl_Production[Tax Code],$BI284),INDEX(tbl_Consulting[Tax Code],$BI284)))&amp;"")</f>
        <v/>
      </c>
      <c r="K284" s="10">
        <f>IF(H284="","",IFERROR(INDEX(lst_CCtoGL,MATCH(H284,lst_CCforGL,0)),""))</f>
        <v/>
      </c>
      <c r="L284" s="10">
        <f>IF($BI284="","",IF($B284="Onsite",INDEX(tbl_Onsite[PO / Reference],$BI284),IF($B284="Production",INDEX(tbl_Production[Current RMS No],$BI284),INDEX(tbl_Consulting[Qwilr Quote],$BI284)))&amp;"")</f>
        <v/>
      </c>
      <c r="M284" s="10">
        <f>IF($BI284="","",IF($B284="Onsite",INDEX(tbl_Onsite[Notes],$BI284),IF($B284="Production",INDEX(tbl_Production[Notes],$BI284),INDEX(tbl_Consulting[Notes],$BI284)))&amp;"")</f>
        <v/>
      </c>
      <c r="N284" s="11">
        <f>IF($BI284="","",IF(IF($B284="Onsite",INDEX(tbl_Onsite[Expected Revenue Ex GST],$BI284),IF($B284="Production",INDEX(tbl_Production[Expected Revenue Ex GST],$BI284),INDEX(tbl_Consulting[Expected Revenue Ex GST],$BI284)))="","",IF($B284="Onsite",INDEX(tbl_Onsite[Expected Revenue Ex GST],$BI284),IF($B284="Production",INDEX(tbl_Production[Expected Revenue Ex GST],$BI284),INDEX(tbl_Consulting[Expected Revenue Ex GST],$BI284)))))</f>
        <v/>
      </c>
      <c r="O284" s="11">
        <f>IF(AND($C284="",NOT(COUNTA($S284:$BB284)&gt;0)),"",SUM(U284,X284,AA284,AD284,AG284,AJ284,AM284,AP284,AS284,AV284,AY284,BB284))</f>
        <v/>
      </c>
      <c r="P284" s="11">
        <f>IF(O284="","",N(N284)-O284)</f>
        <v/>
      </c>
      <c r="Q284" s="10">
        <f>IF(O284="","",IF($C284="","Invoice on empty job row",IF(N284="",IF(ROUND(O284,2)=0,"No dept value","Invoiced - no dept value"),IF(ROUND(O284,2)=0,"Not invoiced - to invoice",IF(ROUND(P284,2)=0,"Agrees",IF(P284&gt;0,"Dept higher - to invoice","Xero higher - check dept"))))))</f>
        <v/>
      </c>
      <c r="R284" s="10">
        <f>IF(AND($C284="",NOT(COUNTA($S284:$BB284)&gt;0),$BI284&lt;&gt;""),"",MID(IF($BI284="","; Row ID not found on the department sheet - a row was deleted","")&amp;IF(AND($C284="",COUNTA($S284:$BB284)&gt;0),"; Invoice entered but the department row has no job number","")&amp;IF(E284="CHECK","; Job number not in the Xero job list","")&amp;IF(AND($C284&lt;&gt;"",COUNTIF($C$7:$C$1506,$C284)&gt;1),"; Job number on more than one row","")&amp;IF(AND($C284&lt;&gt;"",H284=""),"; Dept has not set a cost centre","")&amp;IF(AND($C284&lt;&gt;"",J284=""),"; Dept has not set a tax code","")&amp;IF(AND($C284&lt;&gt;"",N284=""),"; Dept has not entered an expected value","")&amp;IF((IF(OR(COUNTA(S284:U284)=0,AND(COUNTA(S284:U284)=3,ISNUMBER(U284))),0,1)+IF(OR(COUNTA(V284:X284)=0,AND(COUNTA(V284:X284)=3,ISNUMBER(X284))),0,1)+IF(OR(COUNTA(Y284:AA284)=0,AND(COUNTA(Y284:AA284)=3,ISNUMBER(AA284))),0,1)+IF(OR(COUNTA(AB284:AD284)=0,AND(COUNTA(AB284:AD284)=3,ISNUMBER(AD284))),0,1)+IF(OR(COUNTA(AE284:AG284)=0,AND(COUNTA(AE284:AG284)=3,ISNUMBER(AG284))),0,1)+IF(OR(COUNTA(AH284:AJ284)=0,AND(COUNTA(AH284:AJ284)=3,ISNUMBER(AJ284))),0,1)+IF(OR(COUNTA(AK284:AM284)=0,AND(COUNTA(AK284:AM284)=3,ISNUMBER(AM284))),0,1)+IF(OR(COUNTA(AN284:AP284)=0,AND(COUNTA(AN284:AP284)=3,ISNUMBER(AP284))),0,1)+IF(OR(COUNTA(AQ284:AS284)=0,AND(COUNTA(AQ284:AS284)=3,ISNUMBER(AS284))),0,1)+IF(OR(COUNTA(AT284:AV284)=0,AND(COUNTA(AT284:AV284)=3,ISNUMBER(AV284))),0,1)+IF(OR(COUNTA(AW284:AY284)=0,AND(COUNTA(AW284:AY284)=3,ISNUMBER(AY284))),0,1)+IF(OR(COUNTA(AZ284:BB284)=0,AND(COUNTA(AZ284:BB284)=3,ISNUMBER(BB284))),0,1))&gt;0,"; An invoice is incomplete (needs No, Date and a number in Ex GST)","")&amp;IF((IF(T284="",0,IFERROR(--(EOMONTH(T284,0)&lt;&gt;S$5),1))+IF(W284="",0,IFERROR(--(EOMONTH(W284,0)&lt;&gt;V$5),1))+IF(Z284="",0,IFERROR(--(EOMONTH(Z284,0)&lt;&gt;Y$5),1))+IF(AC284="",0,IFERROR(--(EOMONTH(AC284,0)&lt;&gt;AB$5),1))+IF(AF284="",0,IFERROR(--(EOMONTH(AF284,0)&lt;&gt;AE$5),1))+IF(AI284="",0,IFERROR(--(EOMONTH(AI284,0)&lt;&gt;AH$5),1))+IF(AL284="",0,IFERROR(--(EOMONTH(AL284,0)&lt;&gt;AK$5),1))+IF(AO284="",0,IFERROR(--(EOMONTH(AO284,0)&lt;&gt;AN$5),1))+IF(AR284="",0,IFERROR(--(EOMONTH(AR284,0)&lt;&gt;AQ$5),1))+IF(AU284="",0,IFERROR(--(EOMONTH(AU284,0)&lt;&gt;AT$5),1))+IF(AX284="",0,IFERROR(--(EOMONTH(AX284,0)&lt;&gt;AW$5),1))+IF(BA284="",0,IFERROR(--(EOMONTH(BA284,0)&lt;&gt;AZ$5),1)))&gt;0,"; An invoice date is not in the month it is typed under",""),3,500))</f>
        <v/>
      </c>
      <c r="S284" s="12" t="n"/>
      <c r="T284" s="13" t="n"/>
      <c r="U284" s="14" t="n"/>
      <c r="V284" s="12" t="n"/>
      <c r="W284" s="13" t="n"/>
      <c r="X284" s="14" t="n"/>
      <c r="Y284" s="12" t="n"/>
      <c r="Z284" s="13" t="n"/>
      <c r="AA284" s="14" t="n"/>
      <c r="AB284" s="12" t="n"/>
      <c r="AC284" s="13" t="n"/>
      <c r="AD284" s="14" t="n"/>
      <c r="AE284" s="12" t="n"/>
      <c r="AF284" s="13" t="n"/>
      <c r="AG284" s="14" t="n"/>
      <c r="AH284" s="12" t="n"/>
      <c r="AI284" s="13" t="n"/>
      <c r="AJ284" s="14" t="n"/>
      <c r="AK284" s="12" t="n"/>
      <c r="AL284" s="13" t="n"/>
      <c r="AM284" s="14" t="n"/>
      <c r="AN284" s="12" t="n"/>
      <c r="AO284" s="13" t="n"/>
      <c r="AP284" s="14" t="n"/>
      <c r="AQ284" s="12" t="n"/>
      <c r="AR284" s="13" t="n"/>
      <c r="AS284" s="14" t="n"/>
      <c r="AT284" s="12" t="n"/>
      <c r="AU284" s="13" t="n"/>
      <c r="AV284" s="14" t="n"/>
      <c r="AW284" s="12" t="n"/>
      <c r="AX284" s="13" t="n"/>
      <c r="AY284" s="14" t="n"/>
      <c r="AZ284" s="12" t="n"/>
      <c r="BA284" s="13" t="n"/>
      <c r="BB284" s="14" t="n"/>
      <c r="BC284" s="11">
        <f>IF(O284="","",IF(J284="GST 10%",ROUND(O284*set_GSTRate,2),0))</f>
        <v/>
      </c>
      <c r="BD284" s="11">
        <f>IF(O284="","",O284+BC284)</f>
        <v/>
      </c>
      <c r="BE284" s="15">
        <f>IF(O284="","",COUNTA(S284,V284,Y284,AB284,AE284,AH284,AK284,AN284,AQ284,AT284,AW284,AZ284))</f>
        <v/>
      </c>
      <c r="BF284" s="16">
        <f>IF(COUNT(T284,W284,Z284,AC284,AF284,AI284,AL284,AO284,AR284,AU284,AX284,BA284)=0,"",MAX(T284,W284,Z284,AC284,AF284,AI284,AL284,AO284,AR284,AU284,AX284,BA284))</f>
        <v/>
      </c>
      <c r="BG284" s="10">
        <f>MID(IF(S284="","",", "&amp;S284)&amp;IF(V284="","",", "&amp;V284)&amp;IF(Y284="","",", "&amp;Y284)&amp;IF(AB284="","",", "&amp;AB284)&amp;IF(AE284="","",", "&amp;AE284)&amp;IF(AH284="","",", "&amp;AH284)&amp;IF(AK284="","",", "&amp;AK284)&amp;IF(AN284="","",", "&amp;AN284)&amp;IF(AQ284="","",", "&amp;AQ284)&amp;IF(AT284="","",", "&amp;AT284)&amp;IF(AW284="","",", "&amp;AW284)&amp;IF(AZ284="","",", "&amp;AZ284),3,500)</f>
        <v/>
      </c>
      <c r="BH284" s="12" t="n"/>
      <c r="BI284" s="15">
        <f>IFERROR(MATCH($A284,IF($B284="Onsite",tbl_Onsite[Row ID],IF($B284="Production",tbl_Production[Row ID],tbl_Consulting[Row ID])),0),"")</f>
        <v/>
      </c>
    </row>
    <row r="285">
      <c r="A285" s="10" t="inlineStr">
        <is>
          <t>ONS-0279</t>
        </is>
      </c>
      <c r="B285" s="10" t="inlineStr">
        <is>
          <t>Onsite</t>
        </is>
      </c>
      <c r="C285" s="10">
        <f>IF($BI285="","",IF($B285="Onsite",INDEX(tbl_Onsite[Job Number],$BI285),IF($B285="Production",INDEX(tbl_Production[Job Number],$BI285),INDEX(tbl_Consulting[Job Number],$BI285)))&amp;"")</f>
        <v/>
      </c>
      <c r="D285" s="10">
        <f>IF($BI285="","",IF($B285="Onsite",INDEX(tbl_Onsite[Client],$BI285),IF($B285="Production",INDEX(tbl_Production[Client],$BI285),INDEX(tbl_Consulting[Client],$BI285)))&amp;"")</f>
        <v/>
      </c>
      <c r="E285" s="10">
        <f>IF($C285="","",IF(COUNTIF(lst_Jobs,$C285)&gt;0,"OK","CHECK"))</f>
        <v/>
      </c>
      <c r="F285" s="10">
        <f>IF($C285="","",IFERROR(INDEX(lst_JobName,MATCH($C285,lst_Jobs,0)),""))</f>
        <v/>
      </c>
      <c r="G285" s="10">
        <f>IF($BI285="","",IF($B285="Onsite",INDEX(tbl_Onsite[Job Description],$BI285),IF($B285="Production",INDEX(tbl_Production[Job Description],$BI285),INDEX(tbl_Consulting[Job Description],$BI285)))&amp;"")</f>
        <v/>
      </c>
      <c r="H285" s="10">
        <f>IF($BI285="","",IF($B285="Onsite",INDEX(tbl_Onsite[Cost Centre],$BI285),IF($B285="Production",INDEX(tbl_Production[Cost Centre],$BI285),INDEX(tbl_Consulting[Cost Centre],$BI285)))&amp;"")</f>
        <v/>
      </c>
      <c r="I285" s="10">
        <f>IF($BI285="","",IF($B285="Onsite",INDEX(tbl_Onsite[Invoice Type],$BI285),IF($B285="Production",INDEX(tbl_Production[Invoice Type],$BI285),INDEX(tbl_Consulting[Invoice Type],$BI285)))&amp;"")</f>
        <v/>
      </c>
      <c r="J285" s="10">
        <f>IF($BI285="","",IF($B285="Onsite",INDEX(tbl_Onsite[Tax Code],$BI285),IF($B285="Production",INDEX(tbl_Production[Tax Code],$BI285),INDEX(tbl_Consulting[Tax Code],$BI285)))&amp;"")</f>
        <v/>
      </c>
      <c r="K285" s="10">
        <f>IF(H285="","",IFERROR(INDEX(lst_CCtoGL,MATCH(H285,lst_CCforGL,0)),""))</f>
        <v/>
      </c>
      <c r="L285" s="10">
        <f>IF($BI285="","",IF($B285="Onsite",INDEX(tbl_Onsite[PO / Reference],$BI285),IF($B285="Production",INDEX(tbl_Production[Current RMS No],$BI285),INDEX(tbl_Consulting[Qwilr Quote],$BI285)))&amp;"")</f>
        <v/>
      </c>
      <c r="M285" s="10">
        <f>IF($BI285="","",IF($B285="Onsite",INDEX(tbl_Onsite[Notes],$BI285),IF($B285="Production",INDEX(tbl_Production[Notes],$BI285),INDEX(tbl_Consulting[Notes],$BI285)))&amp;"")</f>
        <v/>
      </c>
      <c r="N285" s="11">
        <f>IF($BI285="","",IF(IF($B285="Onsite",INDEX(tbl_Onsite[Expected Revenue Ex GST],$BI285),IF($B285="Production",INDEX(tbl_Production[Expected Revenue Ex GST],$BI285),INDEX(tbl_Consulting[Expected Revenue Ex GST],$BI285)))="","",IF($B285="Onsite",INDEX(tbl_Onsite[Expected Revenue Ex GST],$BI285),IF($B285="Production",INDEX(tbl_Production[Expected Revenue Ex GST],$BI285),INDEX(tbl_Consulting[Expected Revenue Ex GST],$BI285)))))</f>
        <v/>
      </c>
      <c r="O285" s="11">
        <f>IF(AND($C285="",NOT(COUNTA($S285:$BB285)&gt;0)),"",SUM(U285,X285,AA285,AD285,AG285,AJ285,AM285,AP285,AS285,AV285,AY285,BB285))</f>
        <v/>
      </c>
      <c r="P285" s="11">
        <f>IF(O285="","",N(N285)-O285)</f>
        <v/>
      </c>
      <c r="Q285" s="10">
        <f>IF(O285="","",IF($C285="","Invoice on empty job row",IF(N285="",IF(ROUND(O285,2)=0,"No dept value","Invoiced - no dept value"),IF(ROUND(O285,2)=0,"Not invoiced - to invoice",IF(ROUND(P285,2)=0,"Agrees",IF(P285&gt;0,"Dept higher - to invoice","Xero higher - check dept"))))))</f>
        <v/>
      </c>
      <c r="R285" s="10">
        <f>IF(AND($C285="",NOT(COUNTA($S285:$BB285)&gt;0),$BI285&lt;&gt;""),"",MID(IF($BI285="","; Row ID not found on the department sheet - a row was deleted","")&amp;IF(AND($C285="",COUNTA($S285:$BB285)&gt;0),"; Invoice entered but the department row has no job number","")&amp;IF(E285="CHECK","; Job number not in the Xero job list","")&amp;IF(AND($C285&lt;&gt;"",COUNTIF($C$7:$C$1506,$C285)&gt;1),"; Job number on more than one row","")&amp;IF(AND($C285&lt;&gt;"",H285=""),"; Dept has not set a cost centre","")&amp;IF(AND($C285&lt;&gt;"",J285=""),"; Dept has not set a tax code","")&amp;IF(AND($C285&lt;&gt;"",N285=""),"; Dept has not entered an expected value","")&amp;IF((IF(OR(COUNTA(S285:U285)=0,AND(COUNTA(S285:U285)=3,ISNUMBER(U285))),0,1)+IF(OR(COUNTA(V285:X285)=0,AND(COUNTA(V285:X285)=3,ISNUMBER(X285))),0,1)+IF(OR(COUNTA(Y285:AA285)=0,AND(COUNTA(Y285:AA285)=3,ISNUMBER(AA285))),0,1)+IF(OR(COUNTA(AB285:AD285)=0,AND(COUNTA(AB285:AD285)=3,ISNUMBER(AD285))),0,1)+IF(OR(COUNTA(AE285:AG285)=0,AND(COUNTA(AE285:AG285)=3,ISNUMBER(AG285))),0,1)+IF(OR(COUNTA(AH285:AJ285)=0,AND(COUNTA(AH285:AJ285)=3,ISNUMBER(AJ285))),0,1)+IF(OR(COUNTA(AK285:AM285)=0,AND(COUNTA(AK285:AM285)=3,ISNUMBER(AM285))),0,1)+IF(OR(COUNTA(AN285:AP285)=0,AND(COUNTA(AN285:AP285)=3,ISNUMBER(AP285))),0,1)+IF(OR(COUNTA(AQ285:AS285)=0,AND(COUNTA(AQ285:AS285)=3,ISNUMBER(AS285))),0,1)+IF(OR(COUNTA(AT285:AV285)=0,AND(COUNTA(AT285:AV285)=3,ISNUMBER(AV285))),0,1)+IF(OR(COUNTA(AW285:AY285)=0,AND(COUNTA(AW285:AY285)=3,ISNUMBER(AY285))),0,1)+IF(OR(COUNTA(AZ285:BB285)=0,AND(COUNTA(AZ285:BB285)=3,ISNUMBER(BB285))),0,1))&gt;0,"; An invoice is incomplete (needs No, Date and a number in Ex GST)","")&amp;IF((IF(T285="",0,IFERROR(--(EOMONTH(T285,0)&lt;&gt;S$5),1))+IF(W285="",0,IFERROR(--(EOMONTH(W285,0)&lt;&gt;V$5),1))+IF(Z285="",0,IFERROR(--(EOMONTH(Z285,0)&lt;&gt;Y$5),1))+IF(AC285="",0,IFERROR(--(EOMONTH(AC285,0)&lt;&gt;AB$5),1))+IF(AF285="",0,IFERROR(--(EOMONTH(AF285,0)&lt;&gt;AE$5),1))+IF(AI285="",0,IFERROR(--(EOMONTH(AI285,0)&lt;&gt;AH$5),1))+IF(AL285="",0,IFERROR(--(EOMONTH(AL285,0)&lt;&gt;AK$5),1))+IF(AO285="",0,IFERROR(--(EOMONTH(AO285,0)&lt;&gt;AN$5),1))+IF(AR285="",0,IFERROR(--(EOMONTH(AR285,0)&lt;&gt;AQ$5),1))+IF(AU285="",0,IFERROR(--(EOMONTH(AU285,0)&lt;&gt;AT$5),1))+IF(AX285="",0,IFERROR(--(EOMONTH(AX285,0)&lt;&gt;AW$5),1))+IF(BA285="",0,IFERROR(--(EOMONTH(BA285,0)&lt;&gt;AZ$5),1)))&gt;0,"; An invoice date is not in the month it is typed under",""),3,500))</f>
        <v/>
      </c>
      <c r="S285" s="12" t="n"/>
      <c r="T285" s="13" t="n"/>
      <c r="U285" s="14" t="n"/>
      <c r="V285" s="12" t="n"/>
      <c r="W285" s="13" t="n"/>
      <c r="X285" s="14" t="n"/>
      <c r="Y285" s="12" t="n"/>
      <c r="Z285" s="13" t="n"/>
      <c r="AA285" s="14" t="n"/>
      <c r="AB285" s="12" t="n"/>
      <c r="AC285" s="13" t="n"/>
      <c r="AD285" s="14" t="n"/>
      <c r="AE285" s="12" t="n"/>
      <c r="AF285" s="13" t="n"/>
      <c r="AG285" s="14" t="n"/>
      <c r="AH285" s="12" t="n"/>
      <c r="AI285" s="13" t="n"/>
      <c r="AJ285" s="14" t="n"/>
      <c r="AK285" s="12" t="n"/>
      <c r="AL285" s="13" t="n"/>
      <c r="AM285" s="14" t="n"/>
      <c r="AN285" s="12" t="n"/>
      <c r="AO285" s="13" t="n"/>
      <c r="AP285" s="14" t="n"/>
      <c r="AQ285" s="12" t="n"/>
      <c r="AR285" s="13" t="n"/>
      <c r="AS285" s="14" t="n"/>
      <c r="AT285" s="12" t="n"/>
      <c r="AU285" s="13" t="n"/>
      <c r="AV285" s="14" t="n"/>
      <c r="AW285" s="12" t="n"/>
      <c r="AX285" s="13" t="n"/>
      <c r="AY285" s="14" t="n"/>
      <c r="AZ285" s="12" t="n"/>
      <c r="BA285" s="13" t="n"/>
      <c r="BB285" s="14" t="n"/>
      <c r="BC285" s="11">
        <f>IF(O285="","",IF(J285="GST 10%",ROUND(O285*set_GSTRate,2),0))</f>
        <v/>
      </c>
      <c r="BD285" s="11">
        <f>IF(O285="","",O285+BC285)</f>
        <v/>
      </c>
      <c r="BE285" s="15">
        <f>IF(O285="","",COUNTA(S285,V285,Y285,AB285,AE285,AH285,AK285,AN285,AQ285,AT285,AW285,AZ285))</f>
        <v/>
      </c>
      <c r="BF285" s="16">
        <f>IF(COUNT(T285,W285,Z285,AC285,AF285,AI285,AL285,AO285,AR285,AU285,AX285,BA285)=0,"",MAX(T285,W285,Z285,AC285,AF285,AI285,AL285,AO285,AR285,AU285,AX285,BA285))</f>
        <v/>
      </c>
      <c r="BG285" s="10">
        <f>MID(IF(S285="","",", "&amp;S285)&amp;IF(V285="","",", "&amp;V285)&amp;IF(Y285="","",", "&amp;Y285)&amp;IF(AB285="","",", "&amp;AB285)&amp;IF(AE285="","",", "&amp;AE285)&amp;IF(AH285="","",", "&amp;AH285)&amp;IF(AK285="","",", "&amp;AK285)&amp;IF(AN285="","",", "&amp;AN285)&amp;IF(AQ285="","",", "&amp;AQ285)&amp;IF(AT285="","",", "&amp;AT285)&amp;IF(AW285="","",", "&amp;AW285)&amp;IF(AZ285="","",", "&amp;AZ285),3,500)</f>
        <v/>
      </c>
      <c r="BH285" s="12" t="n"/>
      <c r="BI285" s="15">
        <f>IFERROR(MATCH($A285,IF($B285="Onsite",tbl_Onsite[Row ID],IF($B285="Production",tbl_Production[Row ID],tbl_Consulting[Row ID])),0),"")</f>
        <v/>
      </c>
    </row>
    <row r="286">
      <c r="A286" s="10" t="inlineStr">
        <is>
          <t>ONS-0280</t>
        </is>
      </c>
      <c r="B286" s="10" t="inlineStr">
        <is>
          <t>Onsite</t>
        </is>
      </c>
      <c r="C286" s="10">
        <f>IF($BI286="","",IF($B286="Onsite",INDEX(tbl_Onsite[Job Number],$BI286),IF($B286="Production",INDEX(tbl_Production[Job Number],$BI286),INDEX(tbl_Consulting[Job Number],$BI286)))&amp;"")</f>
        <v/>
      </c>
      <c r="D286" s="10">
        <f>IF($BI286="","",IF($B286="Onsite",INDEX(tbl_Onsite[Client],$BI286),IF($B286="Production",INDEX(tbl_Production[Client],$BI286),INDEX(tbl_Consulting[Client],$BI286)))&amp;"")</f>
        <v/>
      </c>
      <c r="E286" s="10">
        <f>IF($C286="","",IF(COUNTIF(lst_Jobs,$C286)&gt;0,"OK","CHECK"))</f>
        <v/>
      </c>
      <c r="F286" s="10">
        <f>IF($C286="","",IFERROR(INDEX(lst_JobName,MATCH($C286,lst_Jobs,0)),""))</f>
        <v/>
      </c>
      <c r="G286" s="10">
        <f>IF($BI286="","",IF($B286="Onsite",INDEX(tbl_Onsite[Job Description],$BI286),IF($B286="Production",INDEX(tbl_Production[Job Description],$BI286),INDEX(tbl_Consulting[Job Description],$BI286)))&amp;"")</f>
        <v/>
      </c>
      <c r="H286" s="10">
        <f>IF($BI286="","",IF($B286="Onsite",INDEX(tbl_Onsite[Cost Centre],$BI286),IF($B286="Production",INDEX(tbl_Production[Cost Centre],$BI286),INDEX(tbl_Consulting[Cost Centre],$BI286)))&amp;"")</f>
        <v/>
      </c>
      <c r="I286" s="10">
        <f>IF($BI286="","",IF($B286="Onsite",INDEX(tbl_Onsite[Invoice Type],$BI286),IF($B286="Production",INDEX(tbl_Production[Invoice Type],$BI286),INDEX(tbl_Consulting[Invoice Type],$BI286)))&amp;"")</f>
        <v/>
      </c>
      <c r="J286" s="10">
        <f>IF($BI286="","",IF($B286="Onsite",INDEX(tbl_Onsite[Tax Code],$BI286),IF($B286="Production",INDEX(tbl_Production[Tax Code],$BI286),INDEX(tbl_Consulting[Tax Code],$BI286)))&amp;"")</f>
        <v/>
      </c>
      <c r="K286" s="10">
        <f>IF(H286="","",IFERROR(INDEX(lst_CCtoGL,MATCH(H286,lst_CCforGL,0)),""))</f>
        <v/>
      </c>
      <c r="L286" s="10">
        <f>IF($BI286="","",IF($B286="Onsite",INDEX(tbl_Onsite[PO / Reference],$BI286),IF($B286="Production",INDEX(tbl_Production[Current RMS No],$BI286),INDEX(tbl_Consulting[Qwilr Quote],$BI286)))&amp;"")</f>
        <v/>
      </c>
      <c r="M286" s="10">
        <f>IF($BI286="","",IF($B286="Onsite",INDEX(tbl_Onsite[Notes],$BI286),IF($B286="Production",INDEX(tbl_Production[Notes],$BI286),INDEX(tbl_Consulting[Notes],$BI286)))&amp;"")</f>
        <v/>
      </c>
      <c r="N286" s="11">
        <f>IF($BI286="","",IF(IF($B286="Onsite",INDEX(tbl_Onsite[Expected Revenue Ex GST],$BI286),IF($B286="Production",INDEX(tbl_Production[Expected Revenue Ex GST],$BI286),INDEX(tbl_Consulting[Expected Revenue Ex GST],$BI286)))="","",IF($B286="Onsite",INDEX(tbl_Onsite[Expected Revenue Ex GST],$BI286),IF($B286="Production",INDEX(tbl_Production[Expected Revenue Ex GST],$BI286),INDEX(tbl_Consulting[Expected Revenue Ex GST],$BI286)))))</f>
        <v/>
      </c>
      <c r="O286" s="11">
        <f>IF(AND($C286="",NOT(COUNTA($S286:$BB286)&gt;0)),"",SUM(U286,X286,AA286,AD286,AG286,AJ286,AM286,AP286,AS286,AV286,AY286,BB286))</f>
        <v/>
      </c>
      <c r="P286" s="11">
        <f>IF(O286="","",N(N286)-O286)</f>
        <v/>
      </c>
      <c r="Q286" s="10">
        <f>IF(O286="","",IF($C286="","Invoice on empty job row",IF(N286="",IF(ROUND(O286,2)=0,"No dept value","Invoiced - no dept value"),IF(ROUND(O286,2)=0,"Not invoiced - to invoice",IF(ROUND(P286,2)=0,"Agrees",IF(P286&gt;0,"Dept higher - to invoice","Xero higher - check dept"))))))</f>
        <v/>
      </c>
      <c r="R286" s="10">
        <f>IF(AND($C286="",NOT(COUNTA($S286:$BB286)&gt;0),$BI286&lt;&gt;""),"",MID(IF($BI286="","; Row ID not found on the department sheet - a row was deleted","")&amp;IF(AND($C286="",COUNTA($S286:$BB286)&gt;0),"; Invoice entered but the department row has no job number","")&amp;IF(E286="CHECK","; Job number not in the Xero job list","")&amp;IF(AND($C286&lt;&gt;"",COUNTIF($C$7:$C$1506,$C286)&gt;1),"; Job number on more than one row","")&amp;IF(AND($C286&lt;&gt;"",H286=""),"; Dept has not set a cost centre","")&amp;IF(AND($C286&lt;&gt;"",J286=""),"; Dept has not set a tax code","")&amp;IF(AND($C286&lt;&gt;"",N286=""),"; Dept has not entered an expected value","")&amp;IF((IF(OR(COUNTA(S286:U286)=0,AND(COUNTA(S286:U286)=3,ISNUMBER(U286))),0,1)+IF(OR(COUNTA(V286:X286)=0,AND(COUNTA(V286:X286)=3,ISNUMBER(X286))),0,1)+IF(OR(COUNTA(Y286:AA286)=0,AND(COUNTA(Y286:AA286)=3,ISNUMBER(AA286))),0,1)+IF(OR(COUNTA(AB286:AD286)=0,AND(COUNTA(AB286:AD286)=3,ISNUMBER(AD286))),0,1)+IF(OR(COUNTA(AE286:AG286)=0,AND(COUNTA(AE286:AG286)=3,ISNUMBER(AG286))),0,1)+IF(OR(COUNTA(AH286:AJ286)=0,AND(COUNTA(AH286:AJ286)=3,ISNUMBER(AJ286))),0,1)+IF(OR(COUNTA(AK286:AM286)=0,AND(COUNTA(AK286:AM286)=3,ISNUMBER(AM286))),0,1)+IF(OR(COUNTA(AN286:AP286)=0,AND(COUNTA(AN286:AP286)=3,ISNUMBER(AP286))),0,1)+IF(OR(COUNTA(AQ286:AS286)=0,AND(COUNTA(AQ286:AS286)=3,ISNUMBER(AS286))),0,1)+IF(OR(COUNTA(AT286:AV286)=0,AND(COUNTA(AT286:AV286)=3,ISNUMBER(AV286))),0,1)+IF(OR(COUNTA(AW286:AY286)=0,AND(COUNTA(AW286:AY286)=3,ISNUMBER(AY286))),0,1)+IF(OR(COUNTA(AZ286:BB286)=0,AND(COUNTA(AZ286:BB286)=3,ISNUMBER(BB286))),0,1))&gt;0,"; An invoice is incomplete (needs No, Date and a number in Ex GST)","")&amp;IF((IF(T286="",0,IFERROR(--(EOMONTH(T286,0)&lt;&gt;S$5),1))+IF(W286="",0,IFERROR(--(EOMONTH(W286,0)&lt;&gt;V$5),1))+IF(Z286="",0,IFERROR(--(EOMONTH(Z286,0)&lt;&gt;Y$5),1))+IF(AC286="",0,IFERROR(--(EOMONTH(AC286,0)&lt;&gt;AB$5),1))+IF(AF286="",0,IFERROR(--(EOMONTH(AF286,0)&lt;&gt;AE$5),1))+IF(AI286="",0,IFERROR(--(EOMONTH(AI286,0)&lt;&gt;AH$5),1))+IF(AL286="",0,IFERROR(--(EOMONTH(AL286,0)&lt;&gt;AK$5),1))+IF(AO286="",0,IFERROR(--(EOMONTH(AO286,0)&lt;&gt;AN$5),1))+IF(AR286="",0,IFERROR(--(EOMONTH(AR286,0)&lt;&gt;AQ$5),1))+IF(AU286="",0,IFERROR(--(EOMONTH(AU286,0)&lt;&gt;AT$5),1))+IF(AX286="",0,IFERROR(--(EOMONTH(AX286,0)&lt;&gt;AW$5),1))+IF(BA286="",0,IFERROR(--(EOMONTH(BA286,0)&lt;&gt;AZ$5),1)))&gt;0,"; An invoice date is not in the month it is typed under",""),3,500))</f>
        <v/>
      </c>
      <c r="S286" s="12" t="n"/>
      <c r="T286" s="13" t="n"/>
      <c r="U286" s="14" t="n"/>
      <c r="V286" s="12" t="n"/>
      <c r="W286" s="13" t="n"/>
      <c r="X286" s="14" t="n"/>
      <c r="Y286" s="12" t="n"/>
      <c r="Z286" s="13" t="n"/>
      <c r="AA286" s="14" t="n"/>
      <c r="AB286" s="12" t="n"/>
      <c r="AC286" s="13" t="n"/>
      <c r="AD286" s="14" t="n"/>
      <c r="AE286" s="12" t="n"/>
      <c r="AF286" s="13" t="n"/>
      <c r="AG286" s="14" t="n"/>
      <c r="AH286" s="12" t="n"/>
      <c r="AI286" s="13" t="n"/>
      <c r="AJ286" s="14" t="n"/>
      <c r="AK286" s="12" t="n"/>
      <c r="AL286" s="13" t="n"/>
      <c r="AM286" s="14" t="n"/>
      <c r="AN286" s="12" t="n"/>
      <c r="AO286" s="13" t="n"/>
      <c r="AP286" s="14" t="n"/>
      <c r="AQ286" s="12" t="n"/>
      <c r="AR286" s="13" t="n"/>
      <c r="AS286" s="14" t="n"/>
      <c r="AT286" s="12" t="n"/>
      <c r="AU286" s="13" t="n"/>
      <c r="AV286" s="14" t="n"/>
      <c r="AW286" s="12" t="n"/>
      <c r="AX286" s="13" t="n"/>
      <c r="AY286" s="14" t="n"/>
      <c r="AZ286" s="12" t="n"/>
      <c r="BA286" s="13" t="n"/>
      <c r="BB286" s="14" t="n"/>
      <c r="BC286" s="11">
        <f>IF(O286="","",IF(J286="GST 10%",ROUND(O286*set_GSTRate,2),0))</f>
        <v/>
      </c>
      <c r="BD286" s="11">
        <f>IF(O286="","",O286+BC286)</f>
        <v/>
      </c>
      <c r="BE286" s="15">
        <f>IF(O286="","",COUNTA(S286,V286,Y286,AB286,AE286,AH286,AK286,AN286,AQ286,AT286,AW286,AZ286))</f>
        <v/>
      </c>
      <c r="BF286" s="16">
        <f>IF(COUNT(T286,W286,Z286,AC286,AF286,AI286,AL286,AO286,AR286,AU286,AX286,BA286)=0,"",MAX(T286,W286,Z286,AC286,AF286,AI286,AL286,AO286,AR286,AU286,AX286,BA286))</f>
        <v/>
      </c>
      <c r="BG286" s="10">
        <f>MID(IF(S286="","",", "&amp;S286)&amp;IF(V286="","",", "&amp;V286)&amp;IF(Y286="","",", "&amp;Y286)&amp;IF(AB286="","",", "&amp;AB286)&amp;IF(AE286="","",", "&amp;AE286)&amp;IF(AH286="","",", "&amp;AH286)&amp;IF(AK286="","",", "&amp;AK286)&amp;IF(AN286="","",", "&amp;AN286)&amp;IF(AQ286="","",", "&amp;AQ286)&amp;IF(AT286="","",", "&amp;AT286)&amp;IF(AW286="","",", "&amp;AW286)&amp;IF(AZ286="","",", "&amp;AZ286),3,500)</f>
        <v/>
      </c>
      <c r="BH286" s="12" t="n"/>
      <c r="BI286" s="15">
        <f>IFERROR(MATCH($A286,IF($B286="Onsite",tbl_Onsite[Row ID],IF($B286="Production",tbl_Production[Row ID],tbl_Consulting[Row ID])),0),"")</f>
        <v/>
      </c>
    </row>
    <row r="287">
      <c r="A287" s="10" t="inlineStr">
        <is>
          <t>ONS-0281</t>
        </is>
      </c>
      <c r="B287" s="10" t="inlineStr">
        <is>
          <t>Onsite</t>
        </is>
      </c>
      <c r="C287" s="10">
        <f>IF($BI287="","",IF($B287="Onsite",INDEX(tbl_Onsite[Job Number],$BI287),IF($B287="Production",INDEX(tbl_Production[Job Number],$BI287),INDEX(tbl_Consulting[Job Number],$BI287)))&amp;"")</f>
        <v/>
      </c>
      <c r="D287" s="10">
        <f>IF($BI287="","",IF($B287="Onsite",INDEX(tbl_Onsite[Client],$BI287),IF($B287="Production",INDEX(tbl_Production[Client],$BI287),INDEX(tbl_Consulting[Client],$BI287)))&amp;"")</f>
        <v/>
      </c>
      <c r="E287" s="10">
        <f>IF($C287="","",IF(COUNTIF(lst_Jobs,$C287)&gt;0,"OK","CHECK"))</f>
        <v/>
      </c>
      <c r="F287" s="10">
        <f>IF($C287="","",IFERROR(INDEX(lst_JobName,MATCH($C287,lst_Jobs,0)),""))</f>
        <v/>
      </c>
      <c r="G287" s="10">
        <f>IF($BI287="","",IF($B287="Onsite",INDEX(tbl_Onsite[Job Description],$BI287),IF($B287="Production",INDEX(tbl_Production[Job Description],$BI287),INDEX(tbl_Consulting[Job Description],$BI287)))&amp;"")</f>
        <v/>
      </c>
      <c r="H287" s="10">
        <f>IF($BI287="","",IF($B287="Onsite",INDEX(tbl_Onsite[Cost Centre],$BI287),IF($B287="Production",INDEX(tbl_Production[Cost Centre],$BI287),INDEX(tbl_Consulting[Cost Centre],$BI287)))&amp;"")</f>
        <v/>
      </c>
      <c r="I287" s="10">
        <f>IF($BI287="","",IF($B287="Onsite",INDEX(tbl_Onsite[Invoice Type],$BI287),IF($B287="Production",INDEX(tbl_Production[Invoice Type],$BI287),INDEX(tbl_Consulting[Invoice Type],$BI287)))&amp;"")</f>
        <v/>
      </c>
      <c r="J287" s="10">
        <f>IF($BI287="","",IF($B287="Onsite",INDEX(tbl_Onsite[Tax Code],$BI287),IF($B287="Production",INDEX(tbl_Production[Tax Code],$BI287),INDEX(tbl_Consulting[Tax Code],$BI287)))&amp;"")</f>
        <v/>
      </c>
      <c r="K287" s="10">
        <f>IF(H287="","",IFERROR(INDEX(lst_CCtoGL,MATCH(H287,lst_CCforGL,0)),""))</f>
        <v/>
      </c>
      <c r="L287" s="10">
        <f>IF($BI287="","",IF($B287="Onsite",INDEX(tbl_Onsite[PO / Reference],$BI287),IF($B287="Production",INDEX(tbl_Production[Current RMS No],$BI287),INDEX(tbl_Consulting[Qwilr Quote],$BI287)))&amp;"")</f>
        <v/>
      </c>
      <c r="M287" s="10">
        <f>IF($BI287="","",IF($B287="Onsite",INDEX(tbl_Onsite[Notes],$BI287),IF($B287="Production",INDEX(tbl_Production[Notes],$BI287),INDEX(tbl_Consulting[Notes],$BI287)))&amp;"")</f>
        <v/>
      </c>
      <c r="N287" s="11">
        <f>IF($BI287="","",IF(IF($B287="Onsite",INDEX(tbl_Onsite[Expected Revenue Ex GST],$BI287),IF($B287="Production",INDEX(tbl_Production[Expected Revenue Ex GST],$BI287),INDEX(tbl_Consulting[Expected Revenue Ex GST],$BI287)))="","",IF($B287="Onsite",INDEX(tbl_Onsite[Expected Revenue Ex GST],$BI287),IF($B287="Production",INDEX(tbl_Production[Expected Revenue Ex GST],$BI287),INDEX(tbl_Consulting[Expected Revenue Ex GST],$BI287)))))</f>
        <v/>
      </c>
      <c r="O287" s="11">
        <f>IF(AND($C287="",NOT(COUNTA($S287:$BB287)&gt;0)),"",SUM(U287,X287,AA287,AD287,AG287,AJ287,AM287,AP287,AS287,AV287,AY287,BB287))</f>
        <v/>
      </c>
      <c r="P287" s="11">
        <f>IF(O287="","",N(N287)-O287)</f>
        <v/>
      </c>
      <c r="Q287" s="10">
        <f>IF(O287="","",IF($C287="","Invoice on empty job row",IF(N287="",IF(ROUND(O287,2)=0,"No dept value","Invoiced - no dept value"),IF(ROUND(O287,2)=0,"Not invoiced - to invoice",IF(ROUND(P287,2)=0,"Agrees",IF(P287&gt;0,"Dept higher - to invoice","Xero higher - check dept"))))))</f>
        <v/>
      </c>
      <c r="R287" s="10">
        <f>IF(AND($C287="",NOT(COUNTA($S287:$BB287)&gt;0),$BI287&lt;&gt;""),"",MID(IF($BI287="","; Row ID not found on the department sheet - a row was deleted","")&amp;IF(AND($C287="",COUNTA($S287:$BB287)&gt;0),"; Invoice entered but the department row has no job number","")&amp;IF(E287="CHECK","; Job number not in the Xero job list","")&amp;IF(AND($C287&lt;&gt;"",COUNTIF($C$7:$C$1506,$C287)&gt;1),"; Job number on more than one row","")&amp;IF(AND($C287&lt;&gt;"",H287=""),"; Dept has not set a cost centre","")&amp;IF(AND($C287&lt;&gt;"",J287=""),"; Dept has not set a tax code","")&amp;IF(AND($C287&lt;&gt;"",N287=""),"; Dept has not entered an expected value","")&amp;IF((IF(OR(COUNTA(S287:U287)=0,AND(COUNTA(S287:U287)=3,ISNUMBER(U287))),0,1)+IF(OR(COUNTA(V287:X287)=0,AND(COUNTA(V287:X287)=3,ISNUMBER(X287))),0,1)+IF(OR(COUNTA(Y287:AA287)=0,AND(COUNTA(Y287:AA287)=3,ISNUMBER(AA287))),0,1)+IF(OR(COUNTA(AB287:AD287)=0,AND(COUNTA(AB287:AD287)=3,ISNUMBER(AD287))),0,1)+IF(OR(COUNTA(AE287:AG287)=0,AND(COUNTA(AE287:AG287)=3,ISNUMBER(AG287))),0,1)+IF(OR(COUNTA(AH287:AJ287)=0,AND(COUNTA(AH287:AJ287)=3,ISNUMBER(AJ287))),0,1)+IF(OR(COUNTA(AK287:AM287)=0,AND(COUNTA(AK287:AM287)=3,ISNUMBER(AM287))),0,1)+IF(OR(COUNTA(AN287:AP287)=0,AND(COUNTA(AN287:AP287)=3,ISNUMBER(AP287))),0,1)+IF(OR(COUNTA(AQ287:AS287)=0,AND(COUNTA(AQ287:AS287)=3,ISNUMBER(AS287))),0,1)+IF(OR(COUNTA(AT287:AV287)=0,AND(COUNTA(AT287:AV287)=3,ISNUMBER(AV287))),0,1)+IF(OR(COUNTA(AW287:AY287)=0,AND(COUNTA(AW287:AY287)=3,ISNUMBER(AY287))),0,1)+IF(OR(COUNTA(AZ287:BB287)=0,AND(COUNTA(AZ287:BB287)=3,ISNUMBER(BB287))),0,1))&gt;0,"; An invoice is incomplete (needs No, Date and a number in Ex GST)","")&amp;IF((IF(T287="",0,IFERROR(--(EOMONTH(T287,0)&lt;&gt;S$5),1))+IF(W287="",0,IFERROR(--(EOMONTH(W287,0)&lt;&gt;V$5),1))+IF(Z287="",0,IFERROR(--(EOMONTH(Z287,0)&lt;&gt;Y$5),1))+IF(AC287="",0,IFERROR(--(EOMONTH(AC287,0)&lt;&gt;AB$5),1))+IF(AF287="",0,IFERROR(--(EOMONTH(AF287,0)&lt;&gt;AE$5),1))+IF(AI287="",0,IFERROR(--(EOMONTH(AI287,0)&lt;&gt;AH$5),1))+IF(AL287="",0,IFERROR(--(EOMONTH(AL287,0)&lt;&gt;AK$5),1))+IF(AO287="",0,IFERROR(--(EOMONTH(AO287,0)&lt;&gt;AN$5),1))+IF(AR287="",0,IFERROR(--(EOMONTH(AR287,0)&lt;&gt;AQ$5),1))+IF(AU287="",0,IFERROR(--(EOMONTH(AU287,0)&lt;&gt;AT$5),1))+IF(AX287="",0,IFERROR(--(EOMONTH(AX287,0)&lt;&gt;AW$5),1))+IF(BA287="",0,IFERROR(--(EOMONTH(BA287,0)&lt;&gt;AZ$5),1)))&gt;0,"; An invoice date is not in the month it is typed under",""),3,500))</f>
        <v/>
      </c>
      <c r="S287" s="12" t="n"/>
      <c r="T287" s="13" t="n"/>
      <c r="U287" s="14" t="n"/>
      <c r="V287" s="12" t="n"/>
      <c r="W287" s="13" t="n"/>
      <c r="X287" s="14" t="n"/>
      <c r="Y287" s="12" t="n"/>
      <c r="Z287" s="13" t="n"/>
      <c r="AA287" s="14" t="n"/>
      <c r="AB287" s="12" t="n"/>
      <c r="AC287" s="13" t="n"/>
      <c r="AD287" s="14" t="n"/>
      <c r="AE287" s="12" t="n"/>
      <c r="AF287" s="13" t="n"/>
      <c r="AG287" s="14" t="n"/>
      <c r="AH287" s="12" t="n"/>
      <c r="AI287" s="13" t="n"/>
      <c r="AJ287" s="14" t="n"/>
      <c r="AK287" s="12" t="n"/>
      <c r="AL287" s="13" t="n"/>
      <c r="AM287" s="14" t="n"/>
      <c r="AN287" s="12" t="n"/>
      <c r="AO287" s="13" t="n"/>
      <c r="AP287" s="14" t="n"/>
      <c r="AQ287" s="12" t="n"/>
      <c r="AR287" s="13" t="n"/>
      <c r="AS287" s="14" t="n"/>
      <c r="AT287" s="12" t="n"/>
      <c r="AU287" s="13" t="n"/>
      <c r="AV287" s="14" t="n"/>
      <c r="AW287" s="12" t="n"/>
      <c r="AX287" s="13" t="n"/>
      <c r="AY287" s="14" t="n"/>
      <c r="AZ287" s="12" t="n"/>
      <c r="BA287" s="13" t="n"/>
      <c r="BB287" s="14" t="n"/>
      <c r="BC287" s="11">
        <f>IF(O287="","",IF(J287="GST 10%",ROUND(O287*set_GSTRate,2),0))</f>
        <v/>
      </c>
      <c r="BD287" s="11">
        <f>IF(O287="","",O287+BC287)</f>
        <v/>
      </c>
      <c r="BE287" s="15">
        <f>IF(O287="","",COUNTA(S287,V287,Y287,AB287,AE287,AH287,AK287,AN287,AQ287,AT287,AW287,AZ287))</f>
        <v/>
      </c>
      <c r="BF287" s="16">
        <f>IF(COUNT(T287,W287,Z287,AC287,AF287,AI287,AL287,AO287,AR287,AU287,AX287,BA287)=0,"",MAX(T287,W287,Z287,AC287,AF287,AI287,AL287,AO287,AR287,AU287,AX287,BA287))</f>
        <v/>
      </c>
      <c r="BG287" s="10">
        <f>MID(IF(S287="","",", "&amp;S287)&amp;IF(V287="","",", "&amp;V287)&amp;IF(Y287="","",", "&amp;Y287)&amp;IF(AB287="","",", "&amp;AB287)&amp;IF(AE287="","",", "&amp;AE287)&amp;IF(AH287="","",", "&amp;AH287)&amp;IF(AK287="","",", "&amp;AK287)&amp;IF(AN287="","",", "&amp;AN287)&amp;IF(AQ287="","",", "&amp;AQ287)&amp;IF(AT287="","",", "&amp;AT287)&amp;IF(AW287="","",", "&amp;AW287)&amp;IF(AZ287="","",", "&amp;AZ287),3,500)</f>
        <v/>
      </c>
      <c r="BH287" s="12" t="n"/>
      <c r="BI287" s="15">
        <f>IFERROR(MATCH($A287,IF($B287="Onsite",tbl_Onsite[Row ID],IF($B287="Production",tbl_Production[Row ID],tbl_Consulting[Row ID])),0),"")</f>
        <v/>
      </c>
    </row>
    <row r="288">
      <c r="A288" s="10" t="inlineStr">
        <is>
          <t>ONS-0282</t>
        </is>
      </c>
      <c r="B288" s="10" t="inlineStr">
        <is>
          <t>Onsite</t>
        </is>
      </c>
      <c r="C288" s="10">
        <f>IF($BI288="","",IF($B288="Onsite",INDEX(tbl_Onsite[Job Number],$BI288),IF($B288="Production",INDEX(tbl_Production[Job Number],$BI288),INDEX(tbl_Consulting[Job Number],$BI288)))&amp;"")</f>
        <v/>
      </c>
      <c r="D288" s="10">
        <f>IF($BI288="","",IF($B288="Onsite",INDEX(tbl_Onsite[Client],$BI288),IF($B288="Production",INDEX(tbl_Production[Client],$BI288),INDEX(tbl_Consulting[Client],$BI288)))&amp;"")</f>
        <v/>
      </c>
      <c r="E288" s="10">
        <f>IF($C288="","",IF(COUNTIF(lst_Jobs,$C288)&gt;0,"OK","CHECK"))</f>
        <v/>
      </c>
      <c r="F288" s="10">
        <f>IF($C288="","",IFERROR(INDEX(lst_JobName,MATCH($C288,lst_Jobs,0)),""))</f>
        <v/>
      </c>
      <c r="G288" s="10">
        <f>IF($BI288="","",IF($B288="Onsite",INDEX(tbl_Onsite[Job Description],$BI288),IF($B288="Production",INDEX(tbl_Production[Job Description],$BI288),INDEX(tbl_Consulting[Job Description],$BI288)))&amp;"")</f>
        <v/>
      </c>
      <c r="H288" s="10">
        <f>IF($BI288="","",IF($B288="Onsite",INDEX(tbl_Onsite[Cost Centre],$BI288),IF($B288="Production",INDEX(tbl_Production[Cost Centre],$BI288),INDEX(tbl_Consulting[Cost Centre],$BI288)))&amp;"")</f>
        <v/>
      </c>
      <c r="I288" s="10">
        <f>IF($BI288="","",IF($B288="Onsite",INDEX(tbl_Onsite[Invoice Type],$BI288),IF($B288="Production",INDEX(tbl_Production[Invoice Type],$BI288),INDEX(tbl_Consulting[Invoice Type],$BI288)))&amp;"")</f>
        <v/>
      </c>
      <c r="J288" s="10">
        <f>IF($BI288="","",IF($B288="Onsite",INDEX(tbl_Onsite[Tax Code],$BI288),IF($B288="Production",INDEX(tbl_Production[Tax Code],$BI288),INDEX(tbl_Consulting[Tax Code],$BI288)))&amp;"")</f>
        <v/>
      </c>
      <c r="K288" s="10">
        <f>IF(H288="","",IFERROR(INDEX(lst_CCtoGL,MATCH(H288,lst_CCforGL,0)),""))</f>
        <v/>
      </c>
      <c r="L288" s="10">
        <f>IF($BI288="","",IF($B288="Onsite",INDEX(tbl_Onsite[PO / Reference],$BI288),IF($B288="Production",INDEX(tbl_Production[Current RMS No],$BI288),INDEX(tbl_Consulting[Qwilr Quote],$BI288)))&amp;"")</f>
        <v/>
      </c>
      <c r="M288" s="10">
        <f>IF($BI288="","",IF($B288="Onsite",INDEX(tbl_Onsite[Notes],$BI288),IF($B288="Production",INDEX(tbl_Production[Notes],$BI288),INDEX(tbl_Consulting[Notes],$BI288)))&amp;"")</f>
        <v/>
      </c>
      <c r="N288" s="11">
        <f>IF($BI288="","",IF(IF($B288="Onsite",INDEX(tbl_Onsite[Expected Revenue Ex GST],$BI288),IF($B288="Production",INDEX(tbl_Production[Expected Revenue Ex GST],$BI288),INDEX(tbl_Consulting[Expected Revenue Ex GST],$BI288)))="","",IF($B288="Onsite",INDEX(tbl_Onsite[Expected Revenue Ex GST],$BI288),IF($B288="Production",INDEX(tbl_Production[Expected Revenue Ex GST],$BI288),INDEX(tbl_Consulting[Expected Revenue Ex GST],$BI288)))))</f>
        <v/>
      </c>
      <c r="O288" s="11">
        <f>IF(AND($C288="",NOT(COUNTA($S288:$BB288)&gt;0)),"",SUM(U288,X288,AA288,AD288,AG288,AJ288,AM288,AP288,AS288,AV288,AY288,BB288))</f>
        <v/>
      </c>
      <c r="P288" s="11">
        <f>IF(O288="","",N(N288)-O288)</f>
        <v/>
      </c>
      <c r="Q288" s="10">
        <f>IF(O288="","",IF($C288="","Invoice on empty job row",IF(N288="",IF(ROUND(O288,2)=0,"No dept value","Invoiced - no dept value"),IF(ROUND(O288,2)=0,"Not invoiced - to invoice",IF(ROUND(P288,2)=0,"Agrees",IF(P288&gt;0,"Dept higher - to invoice","Xero higher - check dept"))))))</f>
        <v/>
      </c>
      <c r="R288" s="10">
        <f>IF(AND($C288="",NOT(COUNTA($S288:$BB288)&gt;0),$BI288&lt;&gt;""),"",MID(IF($BI288="","; Row ID not found on the department sheet - a row was deleted","")&amp;IF(AND($C288="",COUNTA($S288:$BB288)&gt;0),"; Invoice entered but the department row has no job number","")&amp;IF(E288="CHECK","; Job number not in the Xero job list","")&amp;IF(AND($C288&lt;&gt;"",COUNTIF($C$7:$C$1506,$C288)&gt;1),"; Job number on more than one row","")&amp;IF(AND($C288&lt;&gt;"",H288=""),"; Dept has not set a cost centre","")&amp;IF(AND($C288&lt;&gt;"",J288=""),"; Dept has not set a tax code","")&amp;IF(AND($C288&lt;&gt;"",N288=""),"; Dept has not entered an expected value","")&amp;IF((IF(OR(COUNTA(S288:U288)=0,AND(COUNTA(S288:U288)=3,ISNUMBER(U288))),0,1)+IF(OR(COUNTA(V288:X288)=0,AND(COUNTA(V288:X288)=3,ISNUMBER(X288))),0,1)+IF(OR(COUNTA(Y288:AA288)=0,AND(COUNTA(Y288:AA288)=3,ISNUMBER(AA288))),0,1)+IF(OR(COUNTA(AB288:AD288)=0,AND(COUNTA(AB288:AD288)=3,ISNUMBER(AD288))),0,1)+IF(OR(COUNTA(AE288:AG288)=0,AND(COUNTA(AE288:AG288)=3,ISNUMBER(AG288))),0,1)+IF(OR(COUNTA(AH288:AJ288)=0,AND(COUNTA(AH288:AJ288)=3,ISNUMBER(AJ288))),0,1)+IF(OR(COUNTA(AK288:AM288)=0,AND(COUNTA(AK288:AM288)=3,ISNUMBER(AM288))),0,1)+IF(OR(COUNTA(AN288:AP288)=0,AND(COUNTA(AN288:AP288)=3,ISNUMBER(AP288))),0,1)+IF(OR(COUNTA(AQ288:AS288)=0,AND(COUNTA(AQ288:AS288)=3,ISNUMBER(AS288))),0,1)+IF(OR(COUNTA(AT288:AV288)=0,AND(COUNTA(AT288:AV288)=3,ISNUMBER(AV288))),0,1)+IF(OR(COUNTA(AW288:AY288)=0,AND(COUNTA(AW288:AY288)=3,ISNUMBER(AY288))),0,1)+IF(OR(COUNTA(AZ288:BB288)=0,AND(COUNTA(AZ288:BB288)=3,ISNUMBER(BB288))),0,1))&gt;0,"; An invoice is incomplete (needs No, Date and a number in Ex GST)","")&amp;IF((IF(T288="",0,IFERROR(--(EOMONTH(T288,0)&lt;&gt;S$5),1))+IF(W288="",0,IFERROR(--(EOMONTH(W288,0)&lt;&gt;V$5),1))+IF(Z288="",0,IFERROR(--(EOMONTH(Z288,0)&lt;&gt;Y$5),1))+IF(AC288="",0,IFERROR(--(EOMONTH(AC288,0)&lt;&gt;AB$5),1))+IF(AF288="",0,IFERROR(--(EOMONTH(AF288,0)&lt;&gt;AE$5),1))+IF(AI288="",0,IFERROR(--(EOMONTH(AI288,0)&lt;&gt;AH$5),1))+IF(AL288="",0,IFERROR(--(EOMONTH(AL288,0)&lt;&gt;AK$5),1))+IF(AO288="",0,IFERROR(--(EOMONTH(AO288,0)&lt;&gt;AN$5),1))+IF(AR288="",0,IFERROR(--(EOMONTH(AR288,0)&lt;&gt;AQ$5),1))+IF(AU288="",0,IFERROR(--(EOMONTH(AU288,0)&lt;&gt;AT$5),1))+IF(AX288="",0,IFERROR(--(EOMONTH(AX288,0)&lt;&gt;AW$5),1))+IF(BA288="",0,IFERROR(--(EOMONTH(BA288,0)&lt;&gt;AZ$5),1)))&gt;0,"; An invoice date is not in the month it is typed under",""),3,500))</f>
        <v/>
      </c>
      <c r="S288" s="12" t="n"/>
      <c r="T288" s="13" t="n"/>
      <c r="U288" s="14" t="n"/>
      <c r="V288" s="12" t="n"/>
      <c r="W288" s="13" t="n"/>
      <c r="X288" s="14" t="n"/>
      <c r="Y288" s="12" t="n"/>
      <c r="Z288" s="13" t="n"/>
      <c r="AA288" s="14" t="n"/>
      <c r="AB288" s="12" t="n"/>
      <c r="AC288" s="13" t="n"/>
      <c r="AD288" s="14" t="n"/>
      <c r="AE288" s="12" t="n"/>
      <c r="AF288" s="13" t="n"/>
      <c r="AG288" s="14" t="n"/>
      <c r="AH288" s="12" t="n"/>
      <c r="AI288" s="13" t="n"/>
      <c r="AJ288" s="14" t="n"/>
      <c r="AK288" s="12" t="n"/>
      <c r="AL288" s="13" t="n"/>
      <c r="AM288" s="14" t="n"/>
      <c r="AN288" s="12" t="n"/>
      <c r="AO288" s="13" t="n"/>
      <c r="AP288" s="14" t="n"/>
      <c r="AQ288" s="12" t="n"/>
      <c r="AR288" s="13" t="n"/>
      <c r="AS288" s="14" t="n"/>
      <c r="AT288" s="12" t="n"/>
      <c r="AU288" s="13" t="n"/>
      <c r="AV288" s="14" t="n"/>
      <c r="AW288" s="12" t="n"/>
      <c r="AX288" s="13" t="n"/>
      <c r="AY288" s="14" t="n"/>
      <c r="AZ288" s="12" t="n"/>
      <c r="BA288" s="13" t="n"/>
      <c r="BB288" s="14" t="n"/>
      <c r="BC288" s="11">
        <f>IF(O288="","",IF(J288="GST 10%",ROUND(O288*set_GSTRate,2),0))</f>
        <v/>
      </c>
      <c r="BD288" s="11">
        <f>IF(O288="","",O288+BC288)</f>
        <v/>
      </c>
      <c r="BE288" s="15">
        <f>IF(O288="","",COUNTA(S288,V288,Y288,AB288,AE288,AH288,AK288,AN288,AQ288,AT288,AW288,AZ288))</f>
        <v/>
      </c>
      <c r="BF288" s="16">
        <f>IF(COUNT(T288,W288,Z288,AC288,AF288,AI288,AL288,AO288,AR288,AU288,AX288,BA288)=0,"",MAX(T288,W288,Z288,AC288,AF288,AI288,AL288,AO288,AR288,AU288,AX288,BA288))</f>
        <v/>
      </c>
      <c r="BG288" s="10">
        <f>MID(IF(S288="","",", "&amp;S288)&amp;IF(V288="","",", "&amp;V288)&amp;IF(Y288="","",", "&amp;Y288)&amp;IF(AB288="","",", "&amp;AB288)&amp;IF(AE288="","",", "&amp;AE288)&amp;IF(AH288="","",", "&amp;AH288)&amp;IF(AK288="","",", "&amp;AK288)&amp;IF(AN288="","",", "&amp;AN288)&amp;IF(AQ288="","",", "&amp;AQ288)&amp;IF(AT288="","",", "&amp;AT288)&amp;IF(AW288="","",", "&amp;AW288)&amp;IF(AZ288="","",", "&amp;AZ288),3,500)</f>
        <v/>
      </c>
      <c r="BH288" s="12" t="n"/>
      <c r="BI288" s="15">
        <f>IFERROR(MATCH($A288,IF($B288="Onsite",tbl_Onsite[Row ID],IF($B288="Production",tbl_Production[Row ID],tbl_Consulting[Row ID])),0),"")</f>
        <v/>
      </c>
    </row>
    <row r="289">
      <c r="A289" s="10" t="inlineStr">
        <is>
          <t>ONS-0283</t>
        </is>
      </c>
      <c r="B289" s="10" t="inlineStr">
        <is>
          <t>Onsite</t>
        </is>
      </c>
      <c r="C289" s="10">
        <f>IF($BI289="","",IF($B289="Onsite",INDEX(tbl_Onsite[Job Number],$BI289),IF($B289="Production",INDEX(tbl_Production[Job Number],$BI289),INDEX(tbl_Consulting[Job Number],$BI289)))&amp;"")</f>
        <v/>
      </c>
      <c r="D289" s="10">
        <f>IF($BI289="","",IF($B289="Onsite",INDEX(tbl_Onsite[Client],$BI289),IF($B289="Production",INDEX(tbl_Production[Client],$BI289),INDEX(tbl_Consulting[Client],$BI289)))&amp;"")</f>
        <v/>
      </c>
      <c r="E289" s="10">
        <f>IF($C289="","",IF(COUNTIF(lst_Jobs,$C289)&gt;0,"OK","CHECK"))</f>
        <v/>
      </c>
      <c r="F289" s="10">
        <f>IF($C289="","",IFERROR(INDEX(lst_JobName,MATCH($C289,lst_Jobs,0)),""))</f>
        <v/>
      </c>
      <c r="G289" s="10">
        <f>IF($BI289="","",IF($B289="Onsite",INDEX(tbl_Onsite[Job Description],$BI289),IF($B289="Production",INDEX(tbl_Production[Job Description],$BI289),INDEX(tbl_Consulting[Job Description],$BI289)))&amp;"")</f>
        <v/>
      </c>
      <c r="H289" s="10">
        <f>IF($BI289="","",IF($B289="Onsite",INDEX(tbl_Onsite[Cost Centre],$BI289),IF($B289="Production",INDEX(tbl_Production[Cost Centre],$BI289),INDEX(tbl_Consulting[Cost Centre],$BI289)))&amp;"")</f>
        <v/>
      </c>
      <c r="I289" s="10">
        <f>IF($BI289="","",IF($B289="Onsite",INDEX(tbl_Onsite[Invoice Type],$BI289),IF($B289="Production",INDEX(tbl_Production[Invoice Type],$BI289),INDEX(tbl_Consulting[Invoice Type],$BI289)))&amp;"")</f>
        <v/>
      </c>
      <c r="J289" s="10">
        <f>IF($BI289="","",IF($B289="Onsite",INDEX(tbl_Onsite[Tax Code],$BI289),IF($B289="Production",INDEX(tbl_Production[Tax Code],$BI289),INDEX(tbl_Consulting[Tax Code],$BI289)))&amp;"")</f>
        <v/>
      </c>
      <c r="K289" s="10">
        <f>IF(H289="","",IFERROR(INDEX(lst_CCtoGL,MATCH(H289,lst_CCforGL,0)),""))</f>
        <v/>
      </c>
      <c r="L289" s="10">
        <f>IF($BI289="","",IF($B289="Onsite",INDEX(tbl_Onsite[PO / Reference],$BI289),IF($B289="Production",INDEX(tbl_Production[Current RMS No],$BI289),INDEX(tbl_Consulting[Qwilr Quote],$BI289)))&amp;"")</f>
        <v/>
      </c>
      <c r="M289" s="10">
        <f>IF($BI289="","",IF($B289="Onsite",INDEX(tbl_Onsite[Notes],$BI289),IF($B289="Production",INDEX(tbl_Production[Notes],$BI289),INDEX(tbl_Consulting[Notes],$BI289)))&amp;"")</f>
        <v/>
      </c>
      <c r="N289" s="11">
        <f>IF($BI289="","",IF(IF($B289="Onsite",INDEX(tbl_Onsite[Expected Revenue Ex GST],$BI289),IF($B289="Production",INDEX(tbl_Production[Expected Revenue Ex GST],$BI289),INDEX(tbl_Consulting[Expected Revenue Ex GST],$BI289)))="","",IF($B289="Onsite",INDEX(tbl_Onsite[Expected Revenue Ex GST],$BI289),IF($B289="Production",INDEX(tbl_Production[Expected Revenue Ex GST],$BI289),INDEX(tbl_Consulting[Expected Revenue Ex GST],$BI289)))))</f>
        <v/>
      </c>
      <c r="O289" s="11">
        <f>IF(AND($C289="",NOT(COUNTA($S289:$BB289)&gt;0)),"",SUM(U289,X289,AA289,AD289,AG289,AJ289,AM289,AP289,AS289,AV289,AY289,BB289))</f>
        <v/>
      </c>
      <c r="P289" s="11">
        <f>IF(O289="","",N(N289)-O289)</f>
        <v/>
      </c>
      <c r="Q289" s="10">
        <f>IF(O289="","",IF($C289="","Invoice on empty job row",IF(N289="",IF(ROUND(O289,2)=0,"No dept value","Invoiced - no dept value"),IF(ROUND(O289,2)=0,"Not invoiced - to invoice",IF(ROUND(P289,2)=0,"Agrees",IF(P289&gt;0,"Dept higher - to invoice","Xero higher - check dept"))))))</f>
        <v/>
      </c>
      <c r="R289" s="10">
        <f>IF(AND($C289="",NOT(COUNTA($S289:$BB289)&gt;0),$BI289&lt;&gt;""),"",MID(IF($BI289="","; Row ID not found on the department sheet - a row was deleted","")&amp;IF(AND($C289="",COUNTA($S289:$BB289)&gt;0),"; Invoice entered but the department row has no job number","")&amp;IF(E289="CHECK","; Job number not in the Xero job list","")&amp;IF(AND($C289&lt;&gt;"",COUNTIF($C$7:$C$1506,$C289)&gt;1),"; Job number on more than one row","")&amp;IF(AND($C289&lt;&gt;"",H289=""),"; Dept has not set a cost centre","")&amp;IF(AND($C289&lt;&gt;"",J289=""),"; Dept has not set a tax code","")&amp;IF(AND($C289&lt;&gt;"",N289=""),"; Dept has not entered an expected value","")&amp;IF((IF(OR(COUNTA(S289:U289)=0,AND(COUNTA(S289:U289)=3,ISNUMBER(U289))),0,1)+IF(OR(COUNTA(V289:X289)=0,AND(COUNTA(V289:X289)=3,ISNUMBER(X289))),0,1)+IF(OR(COUNTA(Y289:AA289)=0,AND(COUNTA(Y289:AA289)=3,ISNUMBER(AA289))),0,1)+IF(OR(COUNTA(AB289:AD289)=0,AND(COUNTA(AB289:AD289)=3,ISNUMBER(AD289))),0,1)+IF(OR(COUNTA(AE289:AG289)=0,AND(COUNTA(AE289:AG289)=3,ISNUMBER(AG289))),0,1)+IF(OR(COUNTA(AH289:AJ289)=0,AND(COUNTA(AH289:AJ289)=3,ISNUMBER(AJ289))),0,1)+IF(OR(COUNTA(AK289:AM289)=0,AND(COUNTA(AK289:AM289)=3,ISNUMBER(AM289))),0,1)+IF(OR(COUNTA(AN289:AP289)=0,AND(COUNTA(AN289:AP289)=3,ISNUMBER(AP289))),0,1)+IF(OR(COUNTA(AQ289:AS289)=0,AND(COUNTA(AQ289:AS289)=3,ISNUMBER(AS289))),0,1)+IF(OR(COUNTA(AT289:AV289)=0,AND(COUNTA(AT289:AV289)=3,ISNUMBER(AV289))),0,1)+IF(OR(COUNTA(AW289:AY289)=0,AND(COUNTA(AW289:AY289)=3,ISNUMBER(AY289))),0,1)+IF(OR(COUNTA(AZ289:BB289)=0,AND(COUNTA(AZ289:BB289)=3,ISNUMBER(BB289))),0,1))&gt;0,"; An invoice is incomplete (needs No, Date and a number in Ex GST)","")&amp;IF((IF(T289="",0,IFERROR(--(EOMONTH(T289,0)&lt;&gt;S$5),1))+IF(W289="",0,IFERROR(--(EOMONTH(W289,0)&lt;&gt;V$5),1))+IF(Z289="",0,IFERROR(--(EOMONTH(Z289,0)&lt;&gt;Y$5),1))+IF(AC289="",0,IFERROR(--(EOMONTH(AC289,0)&lt;&gt;AB$5),1))+IF(AF289="",0,IFERROR(--(EOMONTH(AF289,0)&lt;&gt;AE$5),1))+IF(AI289="",0,IFERROR(--(EOMONTH(AI289,0)&lt;&gt;AH$5),1))+IF(AL289="",0,IFERROR(--(EOMONTH(AL289,0)&lt;&gt;AK$5),1))+IF(AO289="",0,IFERROR(--(EOMONTH(AO289,0)&lt;&gt;AN$5),1))+IF(AR289="",0,IFERROR(--(EOMONTH(AR289,0)&lt;&gt;AQ$5),1))+IF(AU289="",0,IFERROR(--(EOMONTH(AU289,0)&lt;&gt;AT$5),1))+IF(AX289="",0,IFERROR(--(EOMONTH(AX289,0)&lt;&gt;AW$5),1))+IF(BA289="",0,IFERROR(--(EOMONTH(BA289,0)&lt;&gt;AZ$5),1)))&gt;0,"; An invoice date is not in the month it is typed under",""),3,500))</f>
        <v/>
      </c>
      <c r="S289" s="12" t="n"/>
      <c r="T289" s="13" t="n"/>
      <c r="U289" s="14" t="n"/>
      <c r="V289" s="12" t="n"/>
      <c r="W289" s="13" t="n"/>
      <c r="X289" s="14" t="n"/>
      <c r="Y289" s="12" t="n"/>
      <c r="Z289" s="13" t="n"/>
      <c r="AA289" s="14" t="n"/>
      <c r="AB289" s="12" t="n"/>
      <c r="AC289" s="13" t="n"/>
      <c r="AD289" s="14" t="n"/>
      <c r="AE289" s="12" t="n"/>
      <c r="AF289" s="13" t="n"/>
      <c r="AG289" s="14" t="n"/>
      <c r="AH289" s="12" t="n"/>
      <c r="AI289" s="13" t="n"/>
      <c r="AJ289" s="14" t="n"/>
      <c r="AK289" s="12" t="n"/>
      <c r="AL289" s="13" t="n"/>
      <c r="AM289" s="14" t="n"/>
      <c r="AN289" s="12" t="n"/>
      <c r="AO289" s="13" t="n"/>
      <c r="AP289" s="14" t="n"/>
      <c r="AQ289" s="12" t="n"/>
      <c r="AR289" s="13" t="n"/>
      <c r="AS289" s="14" t="n"/>
      <c r="AT289" s="12" t="n"/>
      <c r="AU289" s="13" t="n"/>
      <c r="AV289" s="14" t="n"/>
      <c r="AW289" s="12" t="n"/>
      <c r="AX289" s="13" t="n"/>
      <c r="AY289" s="14" t="n"/>
      <c r="AZ289" s="12" t="n"/>
      <c r="BA289" s="13" t="n"/>
      <c r="BB289" s="14" t="n"/>
      <c r="BC289" s="11">
        <f>IF(O289="","",IF(J289="GST 10%",ROUND(O289*set_GSTRate,2),0))</f>
        <v/>
      </c>
      <c r="BD289" s="11">
        <f>IF(O289="","",O289+BC289)</f>
        <v/>
      </c>
      <c r="BE289" s="15">
        <f>IF(O289="","",COUNTA(S289,V289,Y289,AB289,AE289,AH289,AK289,AN289,AQ289,AT289,AW289,AZ289))</f>
        <v/>
      </c>
      <c r="BF289" s="16">
        <f>IF(COUNT(T289,W289,Z289,AC289,AF289,AI289,AL289,AO289,AR289,AU289,AX289,BA289)=0,"",MAX(T289,W289,Z289,AC289,AF289,AI289,AL289,AO289,AR289,AU289,AX289,BA289))</f>
        <v/>
      </c>
      <c r="BG289" s="10">
        <f>MID(IF(S289="","",", "&amp;S289)&amp;IF(V289="","",", "&amp;V289)&amp;IF(Y289="","",", "&amp;Y289)&amp;IF(AB289="","",", "&amp;AB289)&amp;IF(AE289="","",", "&amp;AE289)&amp;IF(AH289="","",", "&amp;AH289)&amp;IF(AK289="","",", "&amp;AK289)&amp;IF(AN289="","",", "&amp;AN289)&amp;IF(AQ289="","",", "&amp;AQ289)&amp;IF(AT289="","",", "&amp;AT289)&amp;IF(AW289="","",", "&amp;AW289)&amp;IF(AZ289="","",", "&amp;AZ289),3,500)</f>
        <v/>
      </c>
      <c r="BH289" s="12" t="n"/>
      <c r="BI289" s="15">
        <f>IFERROR(MATCH($A289,IF($B289="Onsite",tbl_Onsite[Row ID],IF($B289="Production",tbl_Production[Row ID],tbl_Consulting[Row ID])),0),"")</f>
        <v/>
      </c>
    </row>
    <row r="290">
      <c r="A290" s="10" t="inlineStr">
        <is>
          <t>ONS-0284</t>
        </is>
      </c>
      <c r="B290" s="10" t="inlineStr">
        <is>
          <t>Onsite</t>
        </is>
      </c>
      <c r="C290" s="10">
        <f>IF($BI290="","",IF($B290="Onsite",INDEX(tbl_Onsite[Job Number],$BI290),IF($B290="Production",INDEX(tbl_Production[Job Number],$BI290),INDEX(tbl_Consulting[Job Number],$BI290)))&amp;"")</f>
        <v/>
      </c>
      <c r="D290" s="10">
        <f>IF($BI290="","",IF($B290="Onsite",INDEX(tbl_Onsite[Client],$BI290),IF($B290="Production",INDEX(tbl_Production[Client],$BI290),INDEX(tbl_Consulting[Client],$BI290)))&amp;"")</f>
        <v/>
      </c>
      <c r="E290" s="10">
        <f>IF($C290="","",IF(COUNTIF(lst_Jobs,$C290)&gt;0,"OK","CHECK"))</f>
        <v/>
      </c>
      <c r="F290" s="10">
        <f>IF($C290="","",IFERROR(INDEX(lst_JobName,MATCH($C290,lst_Jobs,0)),""))</f>
        <v/>
      </c>
      <c r="G290" s="10">
        <f>IF($BI290="","",IF($B290="Onsite",INDEX(tbl_Onsite[Job Description],$BI290),IF($B290="Production",INDEX(tbl_Production[Job Description],$BI290),INDEX(tbl_Consulting[Job Description],$BI290)))&amp;"")</f>
        <v/>
      </c>
      <c r="H290" s="10">
        <f>IF($BI290="","",IF($B290="Onsite",INDEX(tbl_Onsite[Cost Centre],$BI290),IF($B290="Production",INDEX(tbl_Production[Cost Centre],$BI290),INDEX(tbl_Consulting[Cost Centre],$BI290)))&amp;"")</f>
        <v/>
      </c>
      <c r="I290" s="10">
        <f>IF($BI290="","",IF($B290="Onsite",INDEX(tbl_Onsite[Invoice Type],$BI290),IF($B290="Production",INDEX(tbl_Production[Invoice Type],$BI290),INDEX(tbl_Consulting[Invoice Type],$BI290)))&amp;"")</f>
        <v/>
      </c>
      <c r="J290" s="10">
        <f>IF($BI290="","",IF($B290="Onsite",INDEX(tbl_Onsite[Tax Code],$BI290),IF($B290="Production",INDEX(tbl_Production[Tax Code],$BI290),INDEX(tbl_Consulting[Tax Code],$BI290)))&amp;"")</f>
        <v/>
      </c>
      <c r="K290" s="10">
        <f>IF(H290="","",IFERROR(INDEX(lst_CCtoGL,MATCH(H290,lst_CCforGL,0)),""))</f>
        <v/>
      </c>
      <c r="L290" s="10">
        <f>IF($BI290="","",IF($B290="Onsite",INDEX(tbl_Onsite[PO / Reference],$BI290),IF($B290="Production",INDEX(tbl_Production[Current RMS No],$BI290),INDEX(tbl_Consulting[Qwilr Quote],$BI290)))&amp;"")</f>
        <v/>
      </c>
      <c r="M290" s="10">
        <f>IF($BI290="","",IF($B290="Onsite",INDEX(tbl_Onsite[Notes],$BI290),IF($B290="Production",INDEX(tbl_Production[Notes],$BI290),INDEX(tbl_Consulting[Notes],$BI290)))&amp;"")</f>
        <v/>
      </c>
      <c r="N290" s="11">
        <f>IF($BI290="","",IF(IF($B290="Onsite",INDEX(tbl_Onsite[Expected Revenue Ex GST],$BI290),IF($B290="Production",INDEX(tbl_Production[Expected Revenue Ex GST],$BI290),INDEX(tbl_Consulting[Expected Revenue Ex GST],$BI290)))="","",IF($B290="Onsite",INDEX(tbl_Onsite[Expected Revenue Ex GST],$BI290),IF($B290="Production",INDEX(tbl_Production[Expected Revenue Ex GST],$BI290),INDEX(tbl_Consulting[Expected Revenue Ex GST],$BI290)))))</f>
        <v/>
      </c>
      <c r="O290" s="11">
        <f>IF(AND($C290="",NOT(COUNTA($S290:$BB290)&gt;0)),"",SUM(U290,X290,AA290,AD290,AG290,AJ290,AM290,AP290,AS290,AV290,AY290,BB290))</f>
        <v/>
      </c>
      <c r="P290" s="11">
        <f>IF(O290="","",N(N290)-O290)</f>
        <v/>
      </c>
      <c r="Q290" s="10">
        <f>IF(O290="","",IF($C290="","Invoice on empty job row",IF(N290="",IF(ROUND(O290,2)=0,"No dept value","Invoiced - no dept value"),IF(ROUND(O290,2)=0,"Not invoiced - to invoice",IF(ROUND(P290,2)=0,"Agrees",IF(P290&gt;0,"Dept higher - to invoice","Xero higher - check dept"))))))</f>
        <v/>
      </c>
      <c r="R290" s="10">
        <f>IF(AND($C290="",NOT(COUNTA($S290:$BB290)&gt;0),$BI290&lt;&gt;""),"",MID(IF($BI290="","; Row ID not found on the department sheet - a row was deleted","")&amp;IF(AND($C290="",COUNTA($S290:$BB290)&gt;0),"; Invoice entered but the department row has no job number","")&amp;IF(E290="CHECK","; Job number not in the Xero job list","")&amp;IF(AND($C290&lt;&gt;"",COUNTIF($C$7:$C$1506,$C290)&gt;1),"; Job number on more than one row","")&amp;IF(AND($C290&lt;&gt;"",H290=""),"; Dept has not set a cost centre","")&amp;IF(AND($C290&lt;&gt;"",J290=""),"; Dept has not set a tax code","")&amp;IF(AND($C290&lt;&gt;"",N290=""),"; Dept has not entered an expected value","")&amp;IF((IF(OR(COUNTA(S290:U290)=0,AND(COUNTA(S290:U290)=3,ISNUMBER(U290))),0,1)+IF(OR(COUNTA(V290:X290)=0,AND(COUNTA(V290:X290)=3,ISNUMBER(X290))),0,1)+IF(OR(COUNTA(Y290:AA290)=0,AND(COUNTA(Y290:AA290)=3,ISNUMBER(AA290))),0,1)+IF(OR(COUNTA(AB290:AD290)=0,AND(COUNTA(AB290:AD290)=3,ISNUMBER(AD290))),0,1)+IF(OR(COUNTA(AE290:AG290)=0,AND(COUNTA(AE290:AG290)=3,ISNUMBER(AG290))),0,1)+IF(OR(COUNTA(AH290:AJ290)=0,AND(COUNTA(AH290:AJ290)=3,ISNUMBER(AJ290))),0,1)+IF(OR(COUNTA(AK290:AM290)=0,AND(COUNTA(AK290:AM290)=3,ISNUMBER(AM290))),0,1)+IF(OR(COUNTA(AN290:AP290)=0,AND(COUNTA(AN290:AP290)=3,ISNUMBER(AP290))),0,1)+IF(OR(COUNTA(AQ290:AS290)=0,AND(COUNTA(AQ290:AS290)=3,ISNUMBER(AS290))),0,1)+IF(OR(COUNTA(AT290:AV290)=0,AND(COUNTA(AT290:AV290)=3,ISNUMBER(AV290))),0,1)+IF(OR(COUNTA(AW290:AY290)=0,AND(COUNTA(AW290:AY290)=3,ISNUMBER(AY290))),0,1)+IF(OR(COUNTA(AZ290:BB290)=0,AND(COUNTA(AZ290:BB290)=3,ISNUMBER(BB290))),0,1))&gt;0,"; An invoice is incomplete (needs No, Date and a number in Ex GST)","")&amp;IF((IF(T290="",0,IFERROR(--(EOMONTH(T290,0)&lt;&gt;S$5),1))+IF(W290="",0,IFERROR(--(EOMONTH(W290,0)&lt;&gt;V$5),1))+IF(Z290="",0,IFERROR(--(EOMONTH(Z290,0)&lt;&gt;Y$5),1))+IF(AC290="",0,IFERROR(--(EOMONTH(AC290,0)&lt;&gt;AB$5),1))+IF(AF290="",0,IFERROR(--(EOMONTH(AF290,0)&lt;&gt;AE$5),1))+IF(AI290="",0,IFERROR(--(EOMONTH(AI290,0)&lt;&gt;AH$5),1))+IF(AL290="",0,IFERROR(--(EOMONTH(AL290,0)&lt;&gt;AK$5),1))+IF(AO290="",0,IFERROR(--(EOMONTH(AO290,0)&lt;&gt;AN$5),1))+IF(AR290="",0,IFERROR(--(EOMONTH(AR290,0)&lt;&gt;AQ$5),1))+IF(AU290="",0,IFERROR(--(EOMONTH(AU290,0)&lt;&gt;AT$5),1))+IF(AX290="",0,IFERROR(--(EOMONTH(AX290,0)&lt;&gt;AW$5),1))+IF(BA290="",0,IFERROR(--(EOMONTH(BA290,0)&lt;&gt;AZ$5),1)))&gt;0,"; An invoice date is not in the month it is typed under",""),3,500))</f>
        <v/>
      </c>
      <c r="S290" s="12" t="n"/>
      <c r="T290" s="13" t="n"/>
      <c r="U290" s="14" t="n"/>
      <c r="V290" s="12" t="n"/>
      <c r="W290" s="13" t="n"/>
      <c r="X290" s="14" t="n"/>
      <c r="Y290" s="12" t="n"/>
      <c r="Z290" s="13" t="n"/>
      <c r="AA290" s="14" t="n"/>
      <c r="AB290" s="12" t="n"/>
      <c r="AC290" s="13" t="n"/>
      <c r="AD290" s="14" t="n"/>
      <c r="AE290" s="12" t="n"/>
      <c r="AF290" s="13" t="n"/>
      <c r="AG290" s="14" t="n"/>
      <c r="AH290" s="12" t="n"/>
      <c r="AI290" s="13" t="n"/>
      <c r="AJ290" s="14" t="n"/>
      <c r="AK290" s="12" t="n"/>
      <c r="AL290" s="13" t="n"/>
      <c r="AM290" s="14" t="n"/>
      <c r="AN290" s="12" t="n"/>
      <c r="AO290" s="13" t="n"/>
      <c r="AP290" s="14" t="n"/>
      <c r="AQ290" s="12" t="n"/>
      <c r="AR290" s="13" t="n"/>
      <c r="AS290" s="14" t="n"/>
      <c r="AT290" s="12" t="n"/>
      <c r="AU290" s="13" t="n"/>
      <c r="AV290" s="14" t="n"/>
      <c r="AW290" s="12" t="n"/>
      <c r="AX290" s="13" t="n"/>
      <c r="AY290" s="14" t="n"/>
      <c r="AZ290" s="12" t="n"/>
      <c r="BA290" s="13" t="n"/>
      <c r="BB290" s="14" t="n"/>
      <c r="BC290" s="11">
        <f>IF(O290="","",IF(J290="GST 10%",ROUND(O290*set_GSTRate,2),0))</f>
        <v/>
      </c>
      <c r="BD290" s="11">
        <f>IF(O290="","",O290+BC290)</f>
        <v/>
      </c>
      <c r="BE290" s="15">
        <f>IF(O290="","",COUNTA(S290,V290,Y290,AB290,AE290,AH290,AK290,AN290,AQ290,AT290,AW290,AZ290))</f>
        <v/>
      </c>
      <c r="BF290" s="16">
        <f>IF(COUNT(T290,W290,Z290,AC290,AF290,AI290,AL290,AO290,AR290,AU290,AX290,BA290)=0,"",MAX(T290,W290,Z290,AC290,AF290,AI290,AL290,AO290,AR290,AU290,AX290,BA290))</f>
        <v/>
      </c>
      <c r="BG290" s="10">
        <f>MID(IF(S290="","",", "&amp;S290)&amp;IF(V290="","",", "&amp;V290)&amp;IF(Y290="","",", "&amp;Y290)&amp;IF(AB290="","",", "&amp;AB290)&amp;IF(AE290="","",", "&amp;AE290)&amp;IF(AH290="","",", "&amp;AH290)&amp;IF(AK290="","",", "&amp;AK290)&amp;IF(AN290="","",", "&amp;AN290)&amp;IF(AQ290="","",", "&amp;AQ290)&amp;IF(AT290="","",", "&amp;AT290)&amp;IF(AW290="","",", "&amp;AW290)&amp;IF(AZ290="","",", "&amp;AZ290),3,500)</f>
        <v/>
      </c>
      <c r="BH290" s="12" t="n"/>
      <c r="BI290" s="15">
        <f>IFERROR(MATCH($A290,IF($B290="Onsite",tbl_Onsite[Row ID],IF($B290="Production",tbl_Production[Row ID],tbl_Consulting[Row ID])),0),"")</f>
        <v/>
      </c>
    </row>
    <row r="291">
      <c r="A291" s="10" t="inlineStr">
        <is>
          <t>ONS-0285</t>
        </is>
      </c>
      <c r="B291" s="10" t="inlineStr">
        <is>
          <t>Onsite</t>
        </is>
      </c>
      <c r="C291" s="10">
        <f>IF($BI291="","",IF($B291="Onsite",INDEX(tbl_Onsite[Job Number],$BI291),IF($B291="Production",INDEX(tbl_Production[Job Number],$BI291),INDEX(tbl_Consulting[Job Number],$BI291)))&amp;"")</f>
        <v/>
      </c>
      <c r="D291" s="10">
        <f>IF($BI291="","",IF($B291="Onsite",INDEX(tbl_Onsite[Client],$BI291),IF($B291="Production",INDEX(tbl_Production[Client],$BI291),INDEX(tbl_Consulting[Client],$BI291)))&amp;"")</f>
        <v/>
      </c>
      <c r="E291" s="10">
        <f>IF($C291="","",IF(COUNTIF(lst_Jobs,$C291)&gt;0,"OK","CHECK"))</f>
        <v/>
      </c>
      <c r="F291" s="10">
        <f>IF($C291="","",IFERROR(INDEX(lst_JobName,MATCH($C291,lst_Jobs,0)),""))</f>
        <v/>
      </c>
      <c r="G291" s="10">
        <f>IF($BI291="","",IF($B291="Onsite",INDEX(tbl_Onsite[Job Description],$BI291),IF($B291="Production",INDEX(tbl_Production[Job Description],$BI291),INDEX(tbl_Consulting[Job Description],$BI291)))&amp;"")</f>
        <v/>
      </c>
      <c r="H291" s="10">
        <f>IF($BI291="","",IF($B291="Onsite",INDEX(tbl_Onsite[Cost Centre],$BI291),IF($B291="Production",INDEX(tbl_Production[Cost Centre],$BI291),INDEX(tbl_Consulting[Cost Centre],$BI291)))&amp;"")</f>
        <v/>
      </c>
      <c r="I291" s="10">
        <f>IF($BI291="","",IF($B291="Onsite",INDEX(tbl_Onsite[Invoice Type],$BI291),IF($B291="Production",INDEX(tbl_Production[Invoice Type],$BI291),INDEX(tbl_Consulting[Invoice Type],$BI291)))&amp;"")</f>
        <v/>
      </c>
      <c r="J291" s="10">
        <f>IF($BI291="","",IF($B291="Onsite",INDEX(tbl_Onsite[Tax Code],$BI291),IF($B291="Production",INDEX(tbl_Production[Tax Code],$BI291),INDEX(tbl_Consulting[Tax Code],$BI291)))&amp;"")</f>
        <v/>
      </c>
      <c r="K291" s="10">
        <f>IF(H291="","",IFERROR(INDEX(lst_CCtoGL,MATCH(H291,lst_CCforGL,0)),""))</f>
        <v/>
      </c>
      <c r="L291" s="10">
        <f>IF($BI291="","",IF($B291="Onsite",INDEX(tbl_Onsite[PO / Reference],$BI291),IF($B291="Production",INDEX(tbl_Production[Current RMS No],$BI291),INDEX(tbl_Consulting[Qwilr Quote],$BI291)))&amp;"")</f>
        <v/>
      </c>
      <c r="M291" s="10">
        <f>IF($BI291="","",IF($B291="Onsite",INDEX(tbl_Onsite[Notes],$BI291),IF($B291="Production",INDEX(tbl_Production[Notes],$BI291),INDEX(tbl_Consulting[Notes],$BI291)))&amp;"")</f>
        <v/>
      </c>
      <c r="N291" s="11">
        <f>IF($BI291="","",IF(IF($B291="Onsite",INDEX(tbl_Onsite[Expected Revenue Ex GST],$BI291),IF($B291="Production",INDEX(tbl_Production[Expected Revenue Ex GST],$BI291),INDEX(tbl_Consulting[Expected Revenue Ex GST],$BI291)))="","",IF($B291="Onsite",INDEX(tbl_Onsite[Expected Revenue Ex GST],$BI291),IF($B291="Production",INDEX(tbl_Production[Expected Revenue Ex GST],$BI291),INDEX(tbl_Consulting[Expected Revenue Ex GST],$BI291)))))</f>
        <v/>
      </c>
      <c r="O291" s="11">
        <f>IF(AND($C291="",NOT(COUNTA($S291:$BB291)&gt;0)),"",SUM(U291,X291,AA291,AD291,AG291,AJ291,AM291,AP291,AS291,AV291,AY291,BB291))</f>
        <v/>
      </c>
      <c r="P291" s="11">
        <f>IF(O291="","",N(N291)-O291)</f>
        <v/>
      </c>
      <c r="Q291" s="10">
        <f>IF(O291="","",IF($C291="","Invoice on empty job row",IF(N291="",IF(ROUND(O291,2)=0,"No dept value","Invoiced - no dept value"),IF(ROUND(O291,2)=0,"Not invoiced - to invoice",IF(ROUND(P291,2)=0,"Agrees",IF(P291&gt;0,"Dept higher - to invoice","Xero higher - check dept"))))))</f>
        <v/>
      </c>
      <c r="R291" s="10">
        <f>IF(AND($C291="",NOT(COUNTA($S291:$BB291)&gt;0),$BI291&lt;&gt;""),"",MID(IF($BI291="","; Row ID not found on the department sheet - a row was deleted","")&amp;IF(AND($C291="",COUNTA($S291:$BB291)&gt;0),"; Invoice entered but the department row has no job number","")&amp;IF(E291="CHECK","; Job number not in the Xero job list","")&amp;IF(AND($C291&lt;&gt;"",COUNTIF($C$7:$C$1506,$C291)&gt;1),"; Job number on more than one row","")&amp;IF(AND($C291&lt;&gt;"",H291=""),"; Dept has not set a cost centre","")&amp;IF(AND($C291&lt;&gt;"",J291=""),"; Dept has not set a tax code","")&amp;IF(AND($C291&lt;&gt;"",N291=""),"; Dept has not entered an expected value","")&amp;IF((IF(OR(COUNTA(S291:U291)=0,AND(COUNTA(S291:U291)=3,ISNUMBER(U291))),0,1)+IF(OR(COUNTA(V291:X291)=0,AND(COUNTA(V291:X291)=3,ISNUMBER(X291))),0,1)+IF(OR(COUNTA(Y291:AA291)=0,AND(COUNTA(Y291:AA291)=3,ISNUMBER(AA291))),0,1)+IF(OR(COUNTA(AB291:AD291)=0,AND(COUNTA(AB291:AD291)=3,ISNUMBER(AD291))),0,1)+IF(OR(COUNTA(AE291:AG291)=0,AND(COUNTA(AE291:AG291)=3,ISNUMBER(AG291))),0,1)+IF(OR(COUNTA(AH291:AJ291)=0,AND(COUNTA(AH291:AJ291)=3,ISNUMBER(AJ291))),0,1)+IF(OR(COUNTA(AK291:AM291)=0,AND(COUNTA(AK291:AM291)=3,ISNUMBER(AM291))),0,1)+IF(OR(COUNTA(AN291:AP291)=0,AND(COUNTA(AN291:AP291)=3,ISNUMBER(AP291))),0,1)+IF(OR(COUNTA(AQ291:AS291)=0,AND(COUNTA(AQ291:AS291)=3,ISNUMBER(AS291))),0,1)+IF(OR(COUNTA(AT291:AV291)=0,AND(COUNTA(AT291:AV291)=3,ISNUMBER(AV291))),0,1)+IF(OR(COUNTA(AW291:AY291)=0,AND(COUNTA(AW291:AY291)=3,ISNUMBER(AY291))),0,1)+IF(OR(COUNTA(AZ291:BB291)=0,AND(COUNTA(AZ291:BB291)=3,ISNUMBER(BB291))),0,1))&gt;0,"; An invoice is incomplete (needs No, Date and a number in Ex GST)","")&amp;IF((IF(T291="",0,IFERROR(--(EOMONTH(T291,0)&lt;&gt;S$5),1))+IF(W291="",0,IFERROR(--(EOMONTH(W291,0)&lt;&gt;V$5),1))+IF(Z291="",0,IFERROR(--(EOMONTH(Z291,0)&lt;&gt;Y$5),1))+IF(AC291="",0,IFERROR(--(EOMONTH(AC291,0)&lt;&gt;AB$5),1))+IF(AF291="",0,IFERROR(--(EOMONTH(AF291,0)&lt;&gt;AE$5),1))+IF(AI291="",0,IFERROR(--(EOMONTH(AI291,0)&lt;&gt;AH$5),1))+IF(AL291="",0,IFERROR(--(EOMONTH(AL291,0)&lt;&gt;AK$5),1))+IF(AO291="",0,IFERROR(--(EOMONTH(AO291,0)&lt;&gt;AN$5),1))+IF(AR291="",0,IFERROR(--(EOMONTH(AR291,0)&lt;&gt;AQ$5),1))+IF(AU291="",0,IFERROR(--(EOMONTH(AU291,0)&lt;&gt;AT$5),1))+IF(AX291="",0,IFERROR(--(EOMONTH(AX291,0)&lt;&gt;AW$5),1))+IF(BA291="",0,IFERROR(--(EOMONTH(BA291,0)&lt;&gt;AZ$5),1)))&gt;0,"; An invoice date is not in the month it is typed under",""),3,500))</f>
        <v/>
      </c>
      <c r="S291" s="12" t="n"/>
      <c r="T291" s="13" t="n"/>
      <c r="U291" s="14" t="n"/>
      <c r="V291" s="12" t="n"/>
      <c r="W291" s="13" t="n"/>
      <c r="X291" s="14" t="n"/>
      <c r="Y291" s="12" t="n"/>
      <c r="Z291" s="13" t="n"/>
      <c r="AA291" s="14" t="n"/>
      <c r="AB291" s="12" t="n"/>
      <c r="AC291" s="13" t="n"/>
      <c r="AD291" s="14" t="n"/>
      <c r="AE291" s="12" t="n"/>
      <c r="AF291" s="13" t="n"/>
      <c r="AG291" s="14" t="n"/>
      <c r="AH291" s="12" t="n"/>
      <c r="AI291" s="13" t="n"/>
      <c r="AJ291" s="14" t="n"/>
      <c r="AK291" s="12" t="n"/>
      <c r="AL291" s="13" t="n"/>
      <c r="AM291" s="14" t="n"/>
      <c r="AN291" s="12" t="n"/>
      <c r="AO291" s="13" t="n"/>
      <c r="AP291" s="14" t="n"/>
      <c r="AQ291" s="12" t="n"/>
      <c r="AR291" s="13" t="n"/>
      <c r="AS291" s="14" t="n"/>
      <c r="AT291" s="12" t="n"/>
      <c r="AU291" s="13" t="n"/>
      <c r="AV291" s="14" t="n"/>
      <c r="AW291" s="12" t="n"/>
      <c r="AX291" s="13" t="n"/>
      <c r="AY291" s="14" t="n"/>
      <c r="AZ291" s="12" t="n"/>
      <c r="BA291" s="13" t="n"/>
      <c r="BB291" s="14" t="n"/>
      <c r="BC291" s="11">
        <f>IF(O291="","",IF(J291="GST 10%",ROUND(O291*set_GSTRate,2),0))</f>
        <v/>
      </c>
      <c r="BD291" s="11">
        <f>IF(O291="","",O291+BC291)</f>
        <v/>
      </c>
      <c r="BE291" s="15">
        <f>IF(O291="","",COUNTA(S291,V291,Y291,AB291,AE291,AH291,AK291,AN291,AQ291,AT291,AW291,AZ291))</f>
        <v/>
      </c>
      <c r="BF291" s="16">
        <f>IF(COUNT(T291,W291,Z291,AC291,AF291,AI291,AL291,AO291,AR291,AU291,AX291,BA291)=0,"",MAX(T291,W291,Z291,AC291,AF291,AI291,AL291,AO291,AR291,AU291,AX291,BA291))</f>
        <v/>
      </c>
      <c r="BG291" s="10">
        <f>MID(IF(S291="","",", "&amp;S291)&amp;IF(V291="","",", "&amp;V291)&amp;IF(Y291="","",", "&amp;Y291)&amp;IF(AB291="","",", "&amp;AB291)&amp;IF(AE291="","",", "&amp;AE291)&amp;IF(AH291="","",", "&amp;AH291)&amp;IF(AK291="","",", "&amp;AK291)&amp;IF(AN291="","",", "&amp;AN291)&amp;IF(AQ291="","",", "&amp;AQ291)&amp;IF(AT291="","",", "&amp;AT291)&amp;IF(AW291="","",", "&amp;AW291)&amp;IF(AZ291="","",", "&amp;AZ291),3,500)</f>
        <v/>
      </c>
      <c r="BH291" s="12" t="n"/>
      <c r="BI291" s="15">
        <f>IFERROR(MATCH($A291,IF($B291="Onsite",tbl_Onsite[Row ID],IF($B291="Production",tbl_Production[Row ID],tbl_Consulting[Row ID])),0),"")</f>
        <v/>
      </c>
    </row>
    <row r="292">
      <c r="A292" s="10" t="inlineStr">
        <is>
          <t>ONS-0286</t>
        </is>
      </c>
      <c r="B292" s="10" t="inlineStr">
        <is>
          <t>Onsite</t>
        </is>
      </c>
      <c r="C292" s="10">
        <f>IF($BI292="","",IF($B292="Onsite",INDEX(tbl_Onsite[Job Number],$BI292),IF($B292="Production",INDEX(tbl_Production[Job Number],$BI292),INDEX(tbl_Consulting[Job Number],$BI292)))&amp;"")</f>
        <v/>
      </c>
      <c r="D292" s="10">
        <f>IF($BI292="","",IF($B292="Onsite",INDEX(tbl_Onsite[Client],$BI292),IF($B292="Production",INDEX(tbl_Production[Client],$BI292),INDEX(tbl_Consulting[Client],$BI292)))&amp;"")</f>
        <v/>
      </c>
      <c r="E292" s="10">
        <f>IF($C292="","",IF(COUNTIF(lst_Jobs,$C292)&gt;0,"OK","CHECK"))</f>
        <v/>
      </c>
      <c r="F292" s="10">
        <f>IF($C292="","",IFERROR(INDEX(lst_JobName,MATCH($C292,lst_Jobs,0)),""))</f>
        <v/>
      </c>
      <c r="G292" s="10">
        <f>IF($BI292="","",IF($B292="Onsite",INDEX(tbl_Onsite[Job Description],$BI292),IF($B292="Production",INDEX(tbl_Production[Job Description],$BI292),INDEX(tbl_Consulting[Job Description],$BI292)))&amp;"")</f>
        <v/>
      </c>
      <c r="H292" s="10">
        <f>IF($BI292="","",IF($B292="Onsite",INDEX(tbl_Onsite[Cost Centre],$BI292),IF($B292="Production",INDEX(tbl_Production[Cost Centre],$BI292),INDEX(tbl_Consulting[Cost Centre],$BI292)))&amp;"")</f>
        <v/>
      </c>
      <c r="I292" s="10">
        <f>IF($BI292="","",IF($B292="Onsite",INDEX(tbl_Onsite[Invoice Type],$BI292),IF($B292="Production",INDEX(tbl_Production[Invoice Type],$BI292),INDEX(tbl_Consulting[Invoice Type],$BI292)))&amp;"")</f>
        <v/>
      </c>
      <c r="J292" s="10">
        <f>IF($BI292="","",IF($B292="Onsite",INDEX(tbl_Onsite[Tax Code],$BI292),IF($B292="Production",INDEX(tbl_Production[Tax Code],$BI292),INDEX(tbl_Consulting[Tax Code],$BI292)))&amp;"")</f>
        <v/>
      </c>
      <c r="K292" s="10">
        <f>IF(H292="","",IFERROR(INDEX(lst_CCtoGL,MATCH(H292,lst_CCforGL,0)),""))</f>
        <v/>
      </c>
      <c r="L292" s="10">
        <f>IF($BI292="","",IF($B292="Onsite",INDEX(tbl_Onsite[PO / Reference],$BI292),IF($B292="Production",INDEX(tbl_Production[Current RMS No],$BI292),INDEX(tbl_Consulting[Qwilr Quote],$BI292)))&amp;"")</f>
        <v/>
      </c>
      <c r="M292" s="10">
        <f>IF($BI292="","",IF($B292="Onsite",INDEX(tbl_Onsite[Notes],$BI292),IF($B292="Production",INDEX(tbl_Production[Notes],$BI292),INDEX(tbl_Consulting[Notes],$BI292)))&amp;"")</f>
        <v/>
      </c>
      <c r="N292" s="11">
        <f>IF($BI292="","",IF(IF($B292="Onsite",INDEX(tbl_Onsite[Expected Revenue Ex GST],$BI292),IF($B292="Production",INDEX(tbl_Production[Expected Revenue Ex GST],$BI292),INDEX(tbl_Consulting[Expected Revenue Ex GST],$BI292)))="","",IF($B292="Onsite",INDEX(tbl_Onsite[Expected Revenue Ex GST],$BI292),IF($B292="Production",INDEX(tbl_Production[Expected Revenue Ex GST],$BI292),INDEX(tbl_Consulting[Expected Revenue Ex GST],$BI292)))))</f>
        <v/>
      </c>
      <c r="O292" s="11">
        <f>IF(AND($C292="",NOT(COUNTA($S292:$BB292)&gt;0)),"",SUM(U292,X292,AA292,AD292,AG292,AJ292,AM292,AP292,AS292,AV292,AY292,BB292))</f>
        <v/>
      </c>
      <c r="P292" s="11">
        <f>IF(O292="","",N(N292)-O292)</f>
        <v/>
      </c>
      <c r="Q292" s="10">
        <f>IF(O292="","",IF($C292="","Invoice on empty job row",IF(N292="",IF(ROUND(O292,2)=0,"No dept value","Invoiced - no dept value"),IF(ROUND(O292,2)=0,"Not invoiced - to invoice",IF(ROUND(P292,2)=0,"Agrees",IF(P292&gt;0,"Dept higher - to invoice","Xero higher - check dept"))))))</f>
        <v/>
      </c>
      <c r="R292" s="10">
        <f>IF(AND($C292="",NOT(COUNTA($S292:$BB292)&gt;0),$BI292&lt;&gt;""),"",MID(IF($BI292="","; Row ID not found on the department sheet - a row was deleted","")&amp;IF(AND($C292="",COUNTA($S292:$BB292)&gt;0),"; Invoice entered but the department row has no job number","")&amp;IF(E292="CHECK","; Job number not in the Xero job list","")&amp;IF(AND($C292&lt;&gt;"",COUNTIF($C$7:$C$1506,$C292)&gt;1),"; Job number on more than one row","")&amp;IF(AND($C292&lt;&gt;"",H292=""),"; Dept has not set a cost centre","")&amp;IF(AND($C292&lt;&gt;"",J292=""),"; Dept has not set a tax code","")&amp;IF(AND($C292&lt;&gt;"",N292=""),"; Dept has not entered an expected value","")&amp;IF((IF(OR(COUNTA(S292:U292)=0,AND(COUNTA(S292:U292)=3,ISNUMBER(U292))),0,1)+IF(OR(COUNTA(V292:X292)=0,AND(COUNTA(V292:X292)=3,ISNUMBER(X292))),0,1)+IF(OR(COUNTA(Y292:AA292)=0,AND(COUNTA(Y292:AA292)=3,ISNUMBER(AA292))),0,1)+IF(OR(COUNTA(AB292:AD292)=0,AND(COUNTA(AB292:AD292)=3,ISNUMBER(AD292))),0,1)+IF(OR(COUNTA(AE292:AG292)=0,AND(COUNTA(AE292:AG292)=3,ISNUMBER(AG292))),0,1)+IF(OR(COUNTA(AH292:AJ292)=0,AND(COUNTA(AH292:AJ292)=3,ISNUMBER(AJ292))),0,1)+IF(OR(COUNTA(AK292:AM292)=0,AND(COUNTA(AK292:AM292)=3,ISNUMBER(AM292))),0,1)+IF(OR(COUNTA(AN292:AP292)=0,AND(COUNTA(AN292:AP292)=3,ISNUMBER(AP292))),0,1)+IF(OR(COUNTA(AQ292:AS292)=0,AND(COUNTA(AQ292:AS292)=3,ISNUMBER(AS292))),0,1)+IF(OR(COUNTA(AT292:AV292)=0,AND(COUNTA(AT292:AV292)=3,ISNUMBER(AV292))),0,1)+IF(OR(COUNTA(AW292:AY292)=0,AND(COUNTA(AW292:AY292)=3,ISNUMBER(AY292))),0,1)+IF(OR(COUNTA(AZ292:BB292)=0,AND(COUNTA(AZ292:BB292)=3,ISNUMBER(BB292))),0,1))&gt;0,"; An invoice is incomplete (needs No, Date and a number in Ex GST)","")&amp;IF((IF(T292="",0,IFERROR(--(EOMONTH(T292,0)&lt;&gt;S$5),1))+IF(W292="",0,IFERROR(--(EOMONTH(W292,0)&lt;&gt;V$5),1))+IF(Z292="",0,IFERROR(--(EOMONTH(Z292,0)&lt;&gt;Y$5),1))+IF(AC292="",0,IFERROR(--(EOMONTH(AC292,0)&lt;&gt;AB$5),1))+IF(AF292="",0,IFERROR(--(EOMONTH(AF292,0)&lt;&gt;AE$5),1))+IF(AI292="",0,IFERROR(--(EOMONTH(AI292,0)&lt;&gt;AH$5),1))+IF(AL292="",0,IFERROR(--(EOMONTH(AL292,0)&lt;&gt;AK$5),1))+IF(AO292="",0,IFERROR(--(EOMONTH(AO292,0)&lt;&gt;AN$5),1))+IF(AR292="",0,IFERROR(--(EOMONTH(AR292,0)&lt;&gt;AQ$5),1))+IF(AU292="",0,IFERROR(--(EOMONTH(AU292,0)&lt;&gt;AT$5),1))+IF(AX292="",0,IFERROR(--(EOMONTH(AX292,0)&lt;&gt;AW$5),1))+IF(BA292="",0,IFERROR(--(EOMONTH(BA292,0)&lt;&gt;AZ$5),1)))&gt;0,"; An invoice date is not in the month it is typed under",""),3,500))</f>
        <v/>
      </c>
      <c r="S292" s="12" t="n"/>
      <c r="T292" s="13" t="n"/>
      <c r="U292" s="14" t="n"/>
      <c r="V292" s="12" t="n"/>
      <c r="W292" s="13" t="n"/>
      <c r="X292" s="14" t="n"/>
      <c r="Y292" s="12" t="n"/>
      <c r="Z292" s="13" t="n"/>
      <c r="AA292" s="14" t="n"/>
      <c r="AB292" s="12" t="n"/>
      <c r="AC292" s="13" t="n"/>
      <c r="AD292" s="14" t="n"/>
      <c r="AE292" s="12" t="n"/>
      <c r="AF292" s="13" t="n"/>
      <c r="AG292" s="14" t="n"/>
      <c r="AH292" s="12" t="n"/>
      <c r="AI292" s="13" t="n"/>
      <c r="AJ292" s="14" t="n"/>
      <c r="AK292" s="12" t="n"/>
      <c r="AL292" s="13" t="n"/>
      <c r="AM292" s="14" t="n"/>
      <c r="AN292" s="12" t="n"/>
      <c r="AO292" s="13" t="n"/>
      <c r="AP292" s="14" t="n"/>
      <c r="AQ292" s="12" t="n"/>
      <c r="AR292" s="13" t="n"/>
      <c r="AS292" s="14" t="n"/>
      <c r="AT292" s="12" t="n"/>
      <c r="AU292" s="13" t="n"/>
      <c r="AV292" s="14" t="n"/>
      <c r="AW292" s="12" t="n"/>
      <c r="AX292" s="13" t="n"/>
      <c r="AY292" s="14" t="n"/>
      <c r="AZ292" s="12" t="n"/>
      <c r="BA292" s="13" t="n"/>
      <c r="BB292" s="14" t="n"/>
      <c r="BC292" s="11">
        <f>IF(O292="","",IF(J292="GST 10%",ROUND(O292*set_GSTRate,2),0))</f>
        <v/>
      </c>
      <c r="BD292" s="11">
        <f>IF(O292="","",O292+BC292)</f>
        <v/>
      </c>
      <c r="BE292" s="15">
        <f>IF(O292="","",COUNTA(S292,V292,Y292,AB292,AE292,AH292,AK292,AN292,AQ292,AT292,AW292,AZ292))</f>
        <v/>
      </c>
      <c r="BF292" s="16">
        <f>IF(COUNT(T292,W292,Z292,AC292,AF292,AI292,AL292,AO292,AR292,AU292,AX292,BA292)=0,"",MAX(T292,W292,Z292,AC292,AF292,AI292,AL292,AO292,AR292,AU292,AX292,BA292))</f>
        <v/>
      </c>
      <c r="BG292" s="10">
        <f>MID(IF(S292="","",", "&amp;S292)&amp;IF(V292="","",", "&amp;V292)&amp;IF(Y292="","",", "&amp;Y292)&amp;IF(AB292="","",", "&amp;AB292)&amp;IF(AE292="","",", "&amp;AE292)&amp;IF(AH292="","",", "&amp;AH292)&amp;IF(AK292="","",", "&amp;AK292)&amp;IF(AN292="","",", "&amp;AN292)&amp;IF(AQ292="","",", "&amp;AQ292)&amp;IF(AT292="","",", "&amp;AT292)&amp;IF(AW292="","",", "&amp;AW292)&amp;IF(AZ292="","",", "&amp;AZ292),3,500)</f>
        <v/>
      </c>
      <c r="BH292" s="12" t="n"/>
      <c r="BI292" s="15">
        <f>IFERROR(MATCH($A292,IF($B292="Onsite",tbl_Onsite[Row ID],IF($B292="Production",tbl_Production[Row ID],tbl_Consulting[Row ID])),0),"")</f>
        <v/>
      </c>
    </row>
    <row r="293">
      <c r="A293" s="10" t="inlineStr">
        <is>
          <t>ONS-0287</t>
        </is>
      </c>
      <c r="B293" s="10" t="inlineStr">
        <is>
          <t>Onsite</t>
        </is>
      </c>
      <c r="C293" s="10">
        <f>IF($BI293="","",IF($B293="Onsite",INDEX(tbl_Onsite[Job Number],$BI293),IF($B293="Production",INDEX(tbl_Production[Job Number],$BI293),INDEX(tbl_Consulting[Job Number],$BI293)))&amp;"")</f>
        <v/>
      </c>
      <c r="D293" s="10">
        <f>IF($BI293="","",IF($B293="Onsite",INDEX(tbl_Onsite[Client],$BI293),IF($B293="Production",INDEX(tbl_Production[Client],$BI293),INDEX(tbl_Consulting[Client],$BI293)))&amp;"")</f>
        <v/>
      </c>
      <c r="E293" s="10">
        <f>IF($C293="","",IF(COUNTIF(lst_Jobs,$C293)&gt;0,"OK","CHECK"))</f>
        <v/>
      </c>
      <c r="F293" s="10">
        <f>IF($C293="","",IFERROR(INDEX(lst_JobName,MATCH($C293,lst_Jobs,0)),""))</f>
        <v/>
      </c>
      <c r="G293" s="10">
        <f>IF($BI293="","",IF($B293="Onsite",INDEX(tbl_Onsite[Job Description],$BI293),IF($B293="Production",INDEX(tbl_Production[Job Description],$BI293),INDEX(tbl_Consulting[Job Description],$BI293)))&amp;"")</f>
        <v/>
      </c>
      <c r="H293" s="10">
        <f>IF($BI293="","",IF($B293="Onsite",INDEX(tbl_Onsite[Cost Centre],$BI293),IF($B293="Production",INDEX(tbl_Production[Cost Centre],$BI293),INDEX(tbl_Consulting[Cost Centre],$BI293)))&amp;"")</f>
        <v/>
      </c>
      <c r="I293" s="10">
        <f>IF($BI293="","",IF($B293="Onsite",INDEX(tbl_Onsite[Invoice Type],$BI293),IF($B293="Production",INDEX(tbl_Production[Invoice Type],$BI293),INDEX(tbl_Consulting[Invoice Type],$BI293)))&amp;"")</f>
        <v/>
      </c>
      <c r="J293" s="10">
        <f>IF($BI293="","",IF($B293="Onsite",INDEX(tbl_Onsite[Tax Code],$BI293),IF($B293="Production",INDEX(tbl_Production[Tax Code],$BI293),INDEX(tbl_Consulting[Tax Code],$BI293)))&amp;"")</f>
        <v/>
      </c>
      <c r="K293" s="10">
        <f>IF(H293="","",IFERROR(INDEX(lst_CCtoGL,MATCH(H293,lst_CCforGL,0)),""))</f>
        <v/>
      </c>
      <c r="L293" s="10">
        <f>IF($BI293="","",IF($B293="Onsite",INDEX(tbl_Onsite[PO / Reference],$BI293),IF($B293="Production",INDEX(tbl_Production[Current RMS No],$BI293),INDEX(tbl_Consulting[Qwilr Quote],$BI293)))&amp;"")</f>
        <v/>
      </c>
      <c r="M293" s="10">
        <f>IF($BI293="","",IF($B293="Onsite",INDEX(tbl_Onsite[Notes],$BI293),IF($B293="Production",INDEX(tbl_Production[Notes],$BI293),INDEX(tbl_Consulting[Notes],$BI293)))&amp;"")</f>
        <v/>
      </c>
      <c r="N293" s="11">
        <f>IF($BI293="","",IF(IF($B293="Onsite",INDEX(tbl_Onsite[Expected Revenue Ex GST],$BI293),IF($B293="Production",INDEX(tbl_Production[Expected Revenue Ex GST],$BI293),INDEX(tbl_Consulting[Expected Revenue Ex GST],$BI293)))="","",IF($B293="Onsite",INDEX(tbl_Onsite[Expected Revenue Ex GST],$BI293),IF($B293="Production",INDEX(tbl_Production[Expected Revenue Ex GST],$BI293),INDEX(tbl_Consulting[Expected Revenue Ex GST],$BI293)))))</f>
        <v/>
      </c>
      <c r="O293" s="11">
        <f>IF(AND($C293="",NOT(COUNTA($S293:$BB293)&gt;0)),"",SUM(U293,X293,AA293,AD293,AG293,AJ293,AM293,AP293,AS293,AV293,AY293,BB293))</f>
        <v/>
      </c>
      <c r="P293" s="11">
        <f>IF(O293="","",N(N293)-O293)</f>
        <v/>
      </c>
      <c r="Q293" s="10">
        <f>IF(O293="","",IF($C293="","Invoice on empty job row",IF(N293="",IF(ROUND(O293,2)=0,"No dept value","Invoiced - no dept value"),IF(ROUND(O293,2)=0,"Not invoiced - to invoice",IF(ROUND(P293,2)=0,"Agrees",IF(P293&gt;0,"Dept higher - to invoice","Xero higher - check dept"))))))</f>
        <v/>
      </c>
      <c r="R293" s="10">
        <f>IF(AND($C293="",NOT(COUNTA($S293:$BB293)&gt;0),$BI293&lt;&gt;""),"",MID(IF($BI293="","; Row ID not found on the department sheet - a row was deleted","")&amp;IF(AND($C293="",COUNTA($S293:$BB293)&gt;0),"; Invoice entered but the department row has no job number","")&amp;IF(E293="CHECK","; Job number not in the Xero job list","")&amp;IF(AND($C293&lt;&gt;"",COUNTIF($C$7:$C$1506,$C293)&gt;1),"; Job number on more than one row","")&amp;IF(AND($C293&lt;&gt;"",H293=""),"; Dept has not set a cost centre","")&amp;IF(AND($C293&lt;&gt;"",J293=""),"; Dept has not set a tax code","")&amp;IF(AND($C293&lt;&gt;"",N293=""),"; Dept has not entered an expected value","")&amp;IF((IF(OR(COUNTA(S293:U293)=0,AND(COUNTA(S293:U293)=3,ISNUMBER(U293))),0,1)+IF(OR(COUNTA(V293:X293)=0,AND(COUNTA(V293:X293)=3,ISNUMBER(X293))),0,1)+IF(OR(COUNTA(Y293:AA293)=0,AND(COUNTA(Y293:AA293)=3,ISNUMBER(AA293))),0,1)+IF(OR(COUNTA(AB293:AD293)=0,AND(COUNTA(AB293:AD293)=3,ISNUMBER(AD293))),0,1)+IF(OR(COUNTA(AE293:AG293)=0,AND(COUNTA(AE293:AG293)=3,ISNUMBER(AG293))),0,1)+IF(OR(COUNTA(AH293:AJ293)=0,AND(COUNTA(AH293:AJ293)=3,ISNUMBER(AJ293))),0,1)+IF(OR(COUNTA(AK293:AM293)=0,AND(COUNTA(AK293:AM293)=3,ISNUMBER(AM293))),0,1)+IF(OR(COUNTA(AN293:AP293)=0,AND(COUNTA(AN293:AP293)=3,ISNUMBER(AP293))),0,1)+IF(OR(COUNTA(AQ293:AS293)=0,AND(COUNTA(AQ293:AS293)=3,ISNUMBER(AS293))),0,1)+IF(OR(COUNTA(AT293:AV293)=0,AND(COUNTA(AT293:AV293)=3,ISNUMBER(AV293))),0,1)+IF(OR(COUNTA(AW293:AY293)=0,AND(COUNTA(AW293:AY293)=3,ISNUMBER(AY293))),0,1)+IF(OR(COUNTA(AZ293:BB293)=0,AND(COUNTA(AZ293:BB293)=3,ISNUMBER(BB293))),0,1))&gt;0,"; An invoice is incomplete (needs No, Date and a number in Ex GST)","")&amp;IF((IF(T293="",0,IFERROR(--(EOMONTH(T293,0)&lt;&gt;S$5),1))+IF(W293="",0,IFERROR(--(EOMONTH(W293,0)&lt;&gt;V$5),1))+IF(Z293="",0,IFERROR(--(EOMONTH(Z293,0)&lt;&gt;Y$5),1))+IF(AC293="",0,IFERROR(--(EOMONTH(AC293,0)&lt;&gt;AB$5),1))+IF(AF293="",0,IFERROR(--(EOMONTH(AF293,0)&lt;&gt;AE$5),1))+IF(AI293="",0,IFERROR(--(EOMONTH(AI293,0)&lt;&gt;AH$5),1))+IF(AL293="",0,IFERROR(--(EOMONTH(AL293,0)&lt;&gt;AK$5),1))+IF(AO293="",0,IFERROR(--(EOMONTH(AO293,0)&lt;&gt;AN$5),1))+IF(AR293="",0,IFERROR(--(EOMONTH(AR293,0)&lt;&gt;AQ$5),1))+IF(AU293="",0,IFERROR(--(EOMONTH(AU293,0)&lt;&gt;AT$5),1))+IF(AX293="",0,IFERROR(--(EOMONTH(AX293,0)&lt;&gt;AW$5),1))+IF(BA293="",0,IFERROR(--(EOMONTH(BA293,0)&lt;&gt;AZ$5),1)))&gt;0,"; An invoice date is not in the month it is typed under",""),3,500))</f>
        <v/>
      </c>
      <c r="S293" s="12" t="n"/>
      <c r="T293" s="13" t="n"/>
      <c r="U293" s="14" t="n"/>
      <c r="V293" s="12" t="n"/>
      <c r="W293" s="13" t="n"/>
      <c r="X293" s="14" t="n"/>
      <c r="Y293" s="12" t="n"/>
      <c r="Z293" s="13" t="n"/>
      <c r="AA293" s="14" t="n"/>
      <c r="AB293" s="12" t="n"/>
      <c r="AC293" s="13" t="n"/>
      <c r="AD293" s="14" t="n"/>
      <c r="AE293" s="12" t="n"/>
      <c r="AF293" s="13" t="n"/>
      <c r="AG293" s="14" t="n"/>
      <c r="AH293" s="12" t="n"/>
      <c r="AI293" s="13" t="n"/>
      <c r="AJ293" s="14" t="n"/>
      <c r="AK293" s="12" t="n"/>
      <c r="AL293" s="13" t="n"/>
      <c r="AM293" s="14" t="n"/>
      <c r="AN293" s="12" t="n"/>
      <c r="AO293" s="13" t="n"/>
      <c r="AP293" s="14" t="n"/>
      <c r="AQ293" s="12" t="n"/>
      <c r="AR293" s="13" t="n"/>
      <c r="AS293" s="14" t="n"/>
      <c r="AT293" s="12" t="n"/>
      <c r="AU293" s="13" t="n"/>
      <c r="AV293" s="14" t="n"/>
      <c r="AW293" s="12" t="n"/>
      <c r="AX293" s="13" t="n"/>
      <c r="AY293" s="14" t="n"/>
      <c r="AZ293" s="12" t="n"/>
      <c r="BA293" s="13" t="n"/>
      <c r="BB293" s="14" t="n"/>
      <c r="BC293" s="11">
        <f>IF(O293="","",IF(J293="GST 10%",ROUND(O293*set_GSTRate,2),0))</f>
        <v/>
      </c>
      <c r="BD293" s="11">
        <f>IF(O293="","",O293+BC293)</f>
        <v/>
      </c>
      <c r="BE293" s="15">
        <f>IF(O293="","",COUNTA(S293,V293,Y293,AB293,AE293,AH293,AK293,AN293,AQ293,AT293,AW293,AZ293))</f>
        <v/>
      </c>
      <c r="BF293" s="16">
        <f>IF(COUNT(T293,W293,Z293,AC293,AF293,AI293,AL293,AO293,AR293,AU293,AX293,BA293)=0,"",MAX(T293,W293,Z293,AC293,AF293,AI293,AL293,AO293,AR293,AU293,AX293,BA293))</f>
        <v/>
      </c>
      <c r="BG293" s="10">
        <f>MID(IF(S293="","",", "&amp;S293)&amp;IF(V293="","",", "&amp;V293)&amp;IF(Y293="","",", "&amp;Y293)&amp;IF(AB293="","",", "&amp;AB293)&amp;IF(AE293="","",", "&amp;AE293)&amp;IF(AH293="","",", "&amp;AH293)&amp;IF(AK293="","",", "&amp;AK293)&amp;IF(AN293="","",", "&amp;AN293)&amp;IF(AQ293="","",", "&amp;AQ293)&amp;IF(AT293="","",", "&amp;AT293)&amp;IF(AW293="","",", "&amp;AW293)&amp;IF(AZ293="","",", "&amp;AZ293),3,500)</f>
        <v/>
      </c>
      <c r="BH293" s="12" t="n"/>
      <c r="BI293" s="15">
        <f>IFERROR(MATCH($A293,IF($B293="Onsite",tbl_Onsite[Row ID],IF($B293="Production",tbl_Production[Row ID],tbl_Consulting[Row ID])),0),"")</f>
        <v/>
      </c>
    </row>
    <row r="294">
      <c r="A294" s="10" t="inlineStr">
        <is>
          <t>ONS-0288</t>
        </is>
      </c>
      <c r="B294" s="10" t="inlineStr">
        <is>
          <t>Onsite</t>
        </is>
      </c>
      <c r="C294" s="10">
        <f>IF($BI294="","",IF($B294="Onsite",INDEX(tbl_Onsite[Job Number],$BI294),IF($B294="Production",INDEX(tbl_Production[Job Number],$BI294),INDEX(tbl_Consulting[Job Number],$BI294)))&amp;"")</f>
        <v/>
      </c>
      <c r="D294" s="10">
        <f>IF($BI294="","",IF($B294="Onsite",INDEX(tbl_Onsite[Client],$BI294),IF($B294="Production",INDEX(tbl_Production[Client],$BI294),INDEX(tbl_Consulting[Client],$BI294)))&amp;"")</f>
        <v/>
      </c>
      <c r="E294" s="10">
        <f>IF($C294="","",IF(COUNTIF(lst_Jobs,$C294)&gt;0,"OK","CHECK"))</f>
        <v/>
      </c>
      <c r="F294" s="10">
        <f>IF($C294="","",IFERROR(INDEX(lst_JobName,MATCH($C294,lst_Jobs,0)),""))</f>
        <v/>
      </c>
      <c r="G294" s="10">
        <f>IF($BI294="","",IF($B294="Onsite",INDEX(tbl_Onsite[Job Description],$BI294),IF($B294="Production",INDEX(tbl_Production[Job Description],$BI294),INDEX(tbl_Consulting[Job Description],$BI294)))&amp;"")</f>
        <v/>
      </c>
      <c r="H294" s="10">
        <f>IF($BI294="","",IF($B294="Onsite",INDEX(tbl_Onsite[Cost Centre],$BI294),IF($B294="Production",INDEX(tbl_Production[Cost Centre],$BI294),INDEX(tbl_Consulting[Cost Centre],$BI294)))&amp;"")</f>
        <v/>
      </c>
      <c r="I294" s="10">
        <f>IF($BI294="","",IF($B294="Onsite",INDEX(tbl_Onsite[Invoice Type],$BI294),IF($B294="Production",INDEX(tbl_Production[Invoice Type],$BI294),INDEX(tbl_Consulting[Invoice Type],$BI294)))&amp;"")</f>
        <v/>
      </c>
      <c r="J294" s="10">
        <f>IF($BI294="","",IF($B294="Onsite",INDEX(tbl_Onsite[Tax Code],$BI294),IF($B294="Production",INDEX(tbl_Production[Tax Code],$BI294),INDEX(tbl_Consulting[Tax Code],$BI294)))&amp;"")</f>
        <v/>
      </c>
      <c r="K294" s="10">
        <f>IF(H294="","",IFERROR(INDEX(lst_CCtoGL,MATCH(H294,lst_CCforGL,0)),""))</f>
        <v/>
      </c>
      <c r="L294" s="10">
        <f>IF($BI294="","",IF($B294="Onsite",INDEX(tbl_Onsite[PO / Reference],$BI294),IF($B294="Production",INDEX(tbl_Production[Current RMS No],$BI294),INDEX(tbl_Consulting[Qwilr Quote],$BI294)))&amp;"")</f>
        <v/>
      </c>
      <c r="M294" s="10">
        <f>IF($BI294="","",IF($B294="Onsite",INDEX(tbl_Onsite[Notes],$BI294),IF($B294="Production",INDEX(tbl_Production[Notes],$BI294),INDEX(tbl_Consulting[Notes],$BI294)))&amp;"")</f>
        <v/>
      </c>
      <c r="N294" s="11">
        <f>IF($BI294="","",IF(IF($B294="Onsite",INDEX(tbl_Onsite[Expected Revenue Ex GST],$BI294),IF($B294="Production",INDEX(tbl_Production[Expected Revenue Ex GST],$BI294),INDEX(tbl_Consulting[Expected Revenue Ex GST],$BI294)))="","",IF($B294="Onsite",INDEX(tbl_Onsite[Expected Revenue Ex GST],$BI294),IF($B294="Production",INDEX(tbl_Production[Expected Revenue Ex GST],$BI294),INDEX(tbl_Consulting[Expected Revenue Ex GST],$BI294)))))</f>
        <v/>
      </c>
      <c r="O294" s="11">
        <f>IF(AND($C294="",NOT(COUNTA($S294:$BB294)&gt;0)),"",SUM(U294,X294,AA294,AD294,AG294,AJ294,AM294,AP294,AS294,AV294,AY294,BB294))</f>
        <v/>
      </c>
      <c r="P294" s="11">
        <f>IF(O294="","",N(N294)-O294)</f>
        <v/>
      </c>
      <c r="Q294" s="10">
        <f>IF(O294="","",IF($C294="","Invoice on empty job row",IF(N294="",IF(ROUND(O294,2)=0,"No dept value","Invoiced - no dept value"),IF(ROUND(O294,2)=0,"Not invoiced - to invoice",IF(ROUND(P294,2)=0,"Agrees",IF(P294&gt;0,"Dept higher - to invoice","Xero higher - check dept"))))))</f>
        <v/>
      </c>
      <c r="R294" s="10">
        <f>IF(AND($C294="",NOT(COUNTA($S294:$BB294)&gt;0),$BI294&lt;&gt;""),"",MID(IF($BI294="","; Row ID not found on the department sheet - a row was deleted","")&amp;IF(AND($C294="",COUNTA($S294:$BB294)&gt;0),"; Invoice entered but the department row has no job number","")&amp;IF(E294="CHECK","; Job number not in the Xero job list","")&amp;IF(AND($C294&lt;&gt;"",COUNTIF($C$7:$C$1506,$C294)&gt;1),"; Job number on more than one row","")&amp;IF(AND($C294&lt;&gt;"",H294=""),"; Dept has not set a cost centre","")&amp;IF(AND($C294&lt;&gt;"",J294=""),"; Dept has not set a tax code","")&amp;IF(AND($C294&lt;&gt;"",N294=""),"; Dept has not entered an expected value","")&amp;IF((IF(OR(COUNTA(S294:U294)=0,AND(COUNTA(S294:U294)=3,ISNUMBER(U294))),0,1)+IF(OR(COUNTA(V294:X294)=0,AND(COUNTA(V294:X294)=3,ISNUMBER(X294))),0,1)+IF(OR(COUNTA(Y294:AA294)=0,AND(COUNTA(Y294:AA294)=3,ISNUMBER(AA294))),0,1)+IF(OR(COUNTA(AB294:AD294)=0,AND(COUNTA(AB294:AD294)=3,ISNUMBER(AD294))),0,1)+IF(OR(COUNTA(AE294:AG294)=0,AND(COUNTA(AE294:AG294)=3,ISNUMBER(AG294))),0,1)+IF(OR(COUNTA(AH294:AJ294)=0,AND(COUNTA(AH294:AJ294)=3,ISNUMBER(AJ294))),0,1)+IF(OR(COUNTA(AK294:AM294)=0,AND(COUNTA(AK294:AM294)=3,ISNUMBER(AM294))),0,1)+IF(OR(COUNTA(AN294:AP294)=0,AND(COUNTA(AN294:AP294)=3,ISNUMBER(AP294))),0,1)+IF(OR(COUNTA(AQ294:AS294)=0,AND(COUNTA(AQ294:AS294)=3,ISNUMBER(AS294))),0,1)+IF(OR(COUNTA(AT294:AV294)=0,AND(COUNTA(AT294:AV294)=3,ISNUMBER(AV294))),0,1)+IF(OR(COUNTA(AW294:AY294)=0,AND(COUNTA(AW294:AY294)=3,ISNUMBER(AY294))),0,1)+IF(OR(COUNTA(AZ294:BB294)=0,AND(COUNTA(AZ294:BB294)=3,ISNUMBER(BB294))),0,1))&gt;0,"; An invoice is incomplete (needs No, Date and a number in Ex GST)","")&amp;IF((IF(T294="",0,IFERROR(--(EOMONTH(T294,0)&lt;&gt;S$5),1))+IF(W294="",0,IFERROR(--(EOMONTH(W294,0)&lt;&gt;V$5),1))+IF(Z294="",0,IFERROR(--(EOMONTH(Z294,0)&lt;&gt;Y$5),1))+IF(AC294="",0,IFERROR(--(EOMONTH(AC294,0)&lt;&gt;AB$5),1))+IF(AF294="",0,IFERROR(--(EOMONTH(AF294,0)&lt;&gt;AE$5),1))+IF(AI294="",0,IFERROR(--(EOMONTH(AI294,0)&lt;&gt;AH$5),1))+IF(AL294="",0,IFERROR(--(EOMONTH(AL294,0)&lt;&gt;AK$5),1))+IF(AO294="",0,IFERROR(--(EOMONTH(AO294,0)&lt;&gt;AN$5),1))+IF(AR294="",0,IFERROR(--(EOMONTH(AR294,0)&lt;&gt;AQ$5),1))+IF(AU294="",0,IFERROR(--(EOMONTH(AU294,0)&lt;&gt;AT$5),1))+IF(AX294="",0,IFERROR(--(EOMONTH(AX294,0)&lt;&gt;AW$5),1))+IF(BA294="",0,IFERROR(--(EOMONTH(BA294,0)&lt;&gt;AZ$5),1)))&gt;0,"; An invoice date is not in the month it is typed under",""),3,500))</f>
        <v/>
      </c>
      <c r="S294" s="12" t="n"/>
      <c r="T294" s="13" t="n"/>
      <c r="U294" s="14" t="n"/>
      <c r="V294" s="12" t="n"/>
      <c r="W294" s="13" t="n"/>
      <c r="X294" s="14" t="n"/>
      <c r="Y294" s="12" t="n"/>
      <c r="Z294" s="13" t="n"/>
      <c r="AA294" s="14" t="n"/>
      <c r="AB294" s="12" t="n"/>
      <c r="AC294" s="13" t="n"/>
      <c r="AD294" s="14" t="n"/>
      <c r="AE294" s="12" t="n"/>
      <c r="AF294" s="13" t="n"/>
      <c r="AG294" s="14" t="n"/>
      <c r="AH294" s="12" t="n"/>
      <c r="AI294" s="13" t="n"/>
      <c r="AJ294" s="14" t="n"/>
      <c r="AK294" s="12" t="n"/>
      <c r="AL294" s="13" t="n"/>
      <c r="AM294" s="14" t="n"/>
      <c r="AN294" s="12" t="n"/>
      <c r="AO294" s="13" t="n"/>
      <c r="AP294" s="14" t="n"/>
      <c r="AQ294" s="12" t="n"/>
      <c r="AR294" s="13" t="n"/>
      <c r="AS294" s="14" t="n"/>
      <c r="AT294" s="12" t="n"/>
      <c r="AU294" s="13" t="n"/>
      <c r="AV294" s="14" t="n"/>
      <c r="AW294" s="12" t="n"/>
      <c r="AX294" s="13" t="n"/>
      <c r="AY294" s="14" t="n"/>
      <c r="AZ294" s="12" t="n"/>
      <c r="BA294" s="13" t="n"/>
      <c r="BB294" s="14" t="n"/>
      <c r="BC294" s="11">
        <f>IF(O294="","",IF(J294="GST 10%",ROUND(O294*set_GSTRate,2),0))</f>
        <v/>
      </c>
      <c r="BD294" s="11">
        <f>IF(O294="","",O294+BC294)</f>
        <v/>
      </c>
      <c r="BE294" s="15">
        <f>IF(O294="","",COUNTA(S294,V294,Y294,AB294,AE294,AH294,AK294,AN294,AQ294,AT294,AW294,AZ294))</f>
        <v/>
      </c>
      <c r="BF294" s="16">
        <f>IF(COUNT(T294,W294,Z294,AC294,AF294,AI294,AL294,AO294,AR294,AU294,AX294,BA294)=0,"",MAX(T294,W294,Z294,AC294,AF294,AI294,AL294,AO294,AR294,AU294,AX294,BA294))</f>
        <v/>
      </c>
      <c r="BG294" s="10">
        <f>MID(IF(S294="","",", "&amp;S294)&amp;IF(V294="","",", "&amp;V294)&amp;IF(Y294="","",", "&amp;Y294)&amp;IF(AB294="","",", "&amp;AB294)&amp;IF(AE294="","",", "&amp;AE294)&amp;IF(AH294="","",", "&amp;AH294)&amp;IF(AK294="","",", "&amp;AK294)&amp;IF(AN294="","",", "&amp;AN294)&amp;IF(AQ294="","",", "&amp;AQ294)&amp;IF(AT294="","",", "&amp;AT294)&amp;IF(AW294="","",", "&amp;AW294)&amp;IF(AZ294="","",", "&amp;AZ294),3,500)</f>
        <v/>
      </c>
      <c r="BH294" s="12" t="n"/>
      <c r="BI294" s="15">
        <f>IFERROR(MATCH($A294,IF($B294="Onsite",tbl_Onsite[Row ID],IF($B294="Production",tbl_Production[Row ID],tbl_Consulting[Row ID])),0),"")</f>
        <v/>
      </c>
    </row>
    <row r="295">
      <c r="A295" s="10" t="inlineStr">
        <is>
          <t>ONS-0289</t>
        </is>
      </c>
      <c r="B295" s="10" t="inlineStr">
        <is>
          <t>Onsite</t>
        </is>
      </c>
      <c r="C295" s="10">
        <f>IF($BI295="","",IF($B295="Onsite",INDEX(tbl_Onsite[Job Number],$BI295),IF($B295="Production",INDEX(tbl_Production[Job Number],$BI295),INDEX(tbl_Consulting[Job Number],$BI295)))&amp;"")</f>
        <v/>
      </c>
      <c r="D295" s="10">
        <f>IF($BI295="","",IF($B295="Onsite",INDEX(tbl_Onsite[Client],$BI295),IF($B295="Production",INDEX(tbl_Production[Client],$BI295),INDEX(tbl_Consulting[Client],$BI295)))&amp;"")</f>
        <v/>
      </c>
      <c r="E295" s="10">
        <f>IF($C295="","",IF(COUNTIF(lst_Jobs,$C295)&gt;0,"OK","CHECK"))</f>
        <v/>
      </c>
      <c r="F295" s="10">
        <f>IF($C295="","",IFERROR(INDEX(lst_JobName,MATCH($C295,lst_Jobs,0)),""))</f>
        <v/>
      </c>
      <c r="G295" s="10">
        <f>IF($BI295="","",IF($B295="Onsite",INDEX(tbl_Onsite[Job Description],$BI295),IF($B295="Production",INDEX(tbl_Production[Job Description],$BI295),INDEX(tbl_Consulting[Job Description],$BI295)))&amp;"")</f>
        <v/>
      </c>
      <c r="H295" s="10">
        <f>IF($BI295="","",IF($B295="Onsite",INDEX(tbl_Onsite[Cost Centre],$BI295),IF($B295="Production",INDEX(tbl_Production[Cost Centre],$BI295),INDEX(tbl_Consulting[Cost Centre],$BI295)))&amp;"")</f>
        <v/>
      </c>
      <c r="I295" s="10">
        <f>IF($BI295="","",IF($B295="Onsite",INDEX(tbl_Onsite[Invoice Type],$BI295),IF($B295="Production",INDEX(tbl_Production[Invoice Type],$BI295),INDEX(tbl_Consulting[Invoice Type],$BI295)))&amp;"")</f>
        <v/>
      </c>
      <c r="J295" s="10">
        <f>IF($BI295="","",IF($B295="Onsite",INDEX(tbl_Onsite[Tax Code],$BI295),IF($B295="Production",INDEX(tbl_Production[Tax Code],$BI295),INDEX(tbl_Consulting[Tax Code],$BI295)))&amp;"")</f>
        <v/>
      </c>
      <c r="K295" s="10">
        <f>IF(H295="","",IFERROR(INDEX(lst_CCtoGL,MATCH(H295,lst_CCforGL,0)),""))</f>
        <v/>
      </c>
      <c r="L295" s="10">
        <f>IF($BI295="","",IF($B295="Onsite",INDEX(tbl_Onsite[PO / Reference],$BI295),IF($B295="Production",INDEX(tbl_Production[Current RMS No],$BI295),INDEX(tbl_Consulting[Qwilr Quote],$BI295)))&amp;"")</f>
        <v/>
      </c>
      <c r="M295" s="10">
        <f>IF($BI295="","",IF($B295="Onsite",INDEX(tbl_Onsite[Notes],$BI295),IF($B295="Production",INDEX(tbl_Production[Notes],$BI295),INDEX(tbl_Consulting[Notes],$BI295)))&amp;"")</f>
        <v/>
      </c>
      <c r="N295" s="11">
        <f>IF($BI295="","",IF(IF($B295="Onsite",INDEX(tbl_Onsite[Expected Revenue Ex GST],$BI295),IF($B295="Production",INDEX(tbl_Production[Expected Revenue Ex GST],$BI295),INDEX(tbl_Consulting[Expected Revenue Ex GST],$BI295)))="","",IF($B295="Onsite",INDEX(tbl_Onsite[Expected Revenue Ex GST],$BI295),IF($B295="Production",INDEX(tbl_Production[Expected Revenue Ex GST],$BI295),INDEX(tbl_Consulting[Expected Revenue Ex GST],$BI295)))))</f>
        <v/>
      </c>
      <c r="O295" s="11">
        <f>IF(AND($C295="",NOT(COUNTA($S295:$BB295)&gt;0)),"",SUM(U295,X295,AA295,AD295,AG295,AJ295,AM295,AP295,AS295,AV295,AY295,BB295))</f>
        <v/>
      </c>
      <c r="P295" s="11">
        <f>IF(O295="","",N(N295)-O295)</f>
        <v/>
      </c>
      <c r="Q295" s="10">
        <f>IF(O295="","",IF($C295="","Invoice on empty job row",IF(N295="",IF(ROUND(O295,2)=0,"No dept value","Invoiced - no dept value"),IF(ROUND(O295,2)=0,"Not invoiced - to invoice",IF(ROUND(P295,2)=0,"Agrees",IF(P295&gt;0,"Dept higher - to invoice","Xero higher - check dept"))))))</f>
        <v/>
      </c>
      <c r="R295" s="10">
        <f>IF(AND($C295="",NOT(COUNTA($S295:$BB295)&gt;0),$BI295&lt;&gt;""),"",MID(IF($BI295="","; Row ID not found on the department sheet - a row was deleted","")&amp;IF(AND($C295="",COUNTA($S295:$BB295)&gt;0),"; Invoice entered but the department row has no job number","")&amp;IF(E295="CHECK","; Job number not in the Xero job list","")&amp;IF(AND($C295&lt;&gt;"",COUNTIF($C$7:$C$1506,$C295)&gt;1),"; Job number on more than one row","")&amp;IF(AND($C295&lt;&gt;"",H295=""),"; Dept has not set a cost centre","")&amp;IF(AND($C295&lt;&gt;"",J295=""),"; Dept has not set a tax code","")&amp;IF(AND($C295&lt;&gt;"",N295=""),"; Dept has not entered an expected value","")&amp;IF((IF(OR(COUNTA(S295:U295)=0,AND(COUNTA(S295:U295)=3,ISNUMBER(U295))),0,1)+IF(OR(COUNTA(V295:X295)=0,AND(COUNTA(V295:X295)=3,ISNUMBER(X295))),0,1)+IF(OR(COUNTA(Y295:AA295)=0,AND(COUNTA(Y295:AA295)=3,ISNUMBER(AA295))),0,1)+IF(OR(COUNTA(AB295:AD295)=0,AND(COUNTA(AB295:AD295)=3,ISNUMBER(AD295))),0,1)+IF(OR(COUNTA(AE295:AG295)=0,AND(COUNTA(AE295:AG295)=3,ISNUMBER(AG295))),0,1)+IF(OR(COUNTA(AH295:AJ295)=0,AND(COUNTA(AH295:AJ295)=3,ISNUMBER(AJ295))),0,1)+IF(OR(COUNTA(AK295:AM295)=0,AND(COUNTA(AK295:AM295)=3,ISNUMBER(AM295))),0,1)+IF(OR(COUNTA(AN295:AP295)=0,AND(COUNTA(AN295:AP295)=3,ISNUMBER(AP295))),0,1)+IF(OR(COUNTA(AQ295:AS295)=0,AND(COUNTA(AQ295:AS295)=3,ISNUMBER(AS295))),0,1)+IF(OR(COUNTA(AT295:AV295)=0,AND(COUNTA(AT295:AV295)=3,ISNUMBER(AV295))),0,1)+IF(OR(COUNTA(AW295:AY295)=0,AND(COUNTA(AW295:AY295)=3,ISNUMBER(AY295))),0,1)+IF(OR(COUNTA(AZ295:BB295)=0,AND(COUNTA(AZ295:BB295)=3,ISNUMBER(BB295))),0,1))&gt;0,"; An invoice is incomplete (needs No, Date and a number in Ex GST)","")&amp;IF((IF(T295="",0,IFERROR(--(EOMONTH(T295,0)&lt;&gt;S$5),1))+IF(W295="",0,IFERROR(--(EOMONTH(W295,0)&lt;&gt;V$5),1))+IF(Z295="",0,IFERROR(--(EOMONTH(Z295,0)&lt;&gt;Y$5),1))+IF(AC295="",0,IFERROR(--(EOMONTH(AC295,0)&lt;&gt;AB$5),1))+IF(AF295="",0,IFERROR(--(EOMONTH(AF295,0)&lt;&gt;AE$5),1))+IF(AI295="",0,IFERROR(--(EOMONTH(AI295,0)&lt;&gt;AH$5),1))+IF(AL295="",0,IFERROR(--(EOMONTH(AL295,0)&lt;&gt;AK$5),1))+IF(AO295="",0,IFERROR(--(EOMONTH(AO295,0)&lt;&gt;AN$5),1))+IF(AR295="",0,IFERROR(--(EOMONTH(AR295,0)&lt;&gt;AQ$5),1))+IF(AU295="",0,IFERROR(--(EOMONTH(AU295,0)&lt;&gt;AT$5),1))+IF(AX295="",0,IFERROR(--(EOMONTH(AX295,0)&lt;&gt;AW$5),1))+IF(BA295="",0,IFERROR(--(EOMONTH(BA295,0)&lt;&gt;AZ$5),1)))&gt;0,"; An invoice date is not in the month it is typed under",""),3,500))</f>
        <v/>
      </c>
      <c r="S295" s="12" t="n"/>
      <c r="T295" s="13" t="n"/>
      <c r="U295" s="14" t="n"/>
      <c r="V295" s="12" t="n"/>
      <c r="W295" s="13" t="n"/>
      <c r="X295" s="14" t="n"/>
      <c r="Y295" s="12" t="n"/>
      <c r="Z295" s="13" t="n"/>
      <c r="AA295" s="14" t="n"/>
      <c r="AB295" s="12" t="n"/>
      <c r="AC295" s="13" t="n"/>
      <c r="AD295" s="14" t="n"/>
      <c r="AE295" s="12" t="n"/>
      <c r="AF295" s="13" t="n"/>
      <c r="AG295" s="14" t="n"/>
      <c r="AH295" s="12" t="n"/>
      <c r="AI295" s="13" t="n"/>
      <c r="AJ295" s="14" t="n"/>
      <c r="AK295" s="12" t="n"/>
      <c r="AL295" s="13" t="n"/>
      <c r="AM295" s="14" t="n"/>
      <c r="AN295" s="12" t="n"/>
      <c r="AO295" s="13" t="n"/>
      <c r="AP295" s="14" t="n"/>
      <c r="AQ295" s="12" t="n"/>
      <c r="AR295" s="13" t="n"/>
      <c r="AS295" s="14" t="n"/>
      <c r="AT295" s="12" t="n"/>
      <c r="AU295" s="13" t="n"/>
      <c r="AV295" s="14" t="n"/>
      <c r="AW295" s="12" t="n"/>
      <c r="AX295" s="13" t="n"/>
      <c r="AY295" s="14" t="n"/>
      <c r="AZ295" s="12" t="n"/>
      <c r="BA295" s="13" t="n"/>
      <c r="BB295" s="14" t="n"/>
      <c r="BC295" s="11">
        <f>IF(O295="","",IF(J295="GST 10%",ROUND(O295*set_GSTRate,2),0))</f>
        <v/>
      </c>
      <c r="BD295" s="11">
        <f>IF(O295="","",O295+BC295)</f>
        <v/>
      </c>
      <c r="BE295" s="15">
        <f>IF(O295="","",COUNTA(S295,V295,Y295,AB295,AE295,AH295,AK295,AN295,AQ295,AT295,AW295,AZ295))</f>
        <v/>
      </c>
      <c r="BF295" s="16">
        <f>IF(COUNT(T295,W295,Z295,AC295,AF295,AI295,AL295,AO295,AR295,AU295,AX295,BA295)=0,"",MAX(T295,W295,Z295,AC295,AF295,AI295,AL295,AO295,AR295,AU295,AX295,BA295))</f>
        <v/>
      </c>
      <c r="BG295" s="10">
        <f>MID(IF(S295="","",", "&amp;S295)&amp;IF(V295="","",", "&amp;V295)&amp;IF(Y295="","",", "&amp;Y295)&amp;IF(AB295="","",", "&amp;AB295)&amp;IF(AE295="","",", "&amp;AE295)&amp;IF(AH295="","",", "&amp;AH295)&amp;IF(AK295="","",", "&amp;AK295)&amp;IF(AN295="","",", "&amp;AN295)&amp;IF(AQ295="","",", "&amp;AQ295)&amp;IF(AT295="","",", "&amp;AT295)&amp;IF(AW295="","",", "&amp;AW295)&amp;IF(AZ295="","",", "&amp;AZ295),3,500)</f>
        <v/>
      </c>
      <c r="BH295" s="12" t="n"/>
      <c r="BI295" s="15">
        <f>IFERROR(MATCH($A295,IF($B295="Onsite",tbl_Onsite[Row ID],IF($B295="Production",tbl_Production[Row ID],tbl_Consulting[Row ID])),0),"")</f>
        <v/>
      </c>
    </row>
    <row r="296">
      <c r="A296" s="10" t="inlineStr">
        <is>
          <t>ONS-0290</t>
        </is>
      </c>
      <c r="B296" s="10" t="inlineStr">
        <is>
          <t>Onsite</t>
        </is>
      </c>
      <c r="C296" s="10">
        <f>IF($BI296="","",IF($B296="Onsite",INDEX(tbl_Onsite[Job Number],$BI296),IF($B296="Production",INDEX(tbl_Production[Job Number],$BI296),INDEX(tbl_Consulting[Job Number],$BI296)))&amp;"")</f>
        <v/>
      </c>
      <c r="D296" s="10">
        <f>IF($BI296="","",IF($B296="Onsite",INDEX(tbl_Onsite[Client],$BI296),IF($B296="Production",INDEX(tbl_Production[Client],$BI296),INDEX(tbl_Consulting[Client],$BI296)))&amp;"")</f>
        <v/>
      </c>
      <c r="E296" s="10">
        <f>IF($C296="","",IF(COUNTIF(lst_Jobs,$C296)&gt;0,"OK","CHECK"))</f>
        <v/>
      </c>
      <c r="F296" s="10">
        <f>IF($C296="","",IFERROR(INDEX(lst_JobName,MATCH($C296,lst_Jobs,0)),""))</f>
        <v/>
      </c>
      <c r="G296" s="10">
        <f>IF($BI296="","",IF($B296="Onsite",INDEX(tbl_Onsite[Job Description],$BI296),IF($B296="Production",INDEX(tbl_Production[Job Description],$BI296),INDEX(tbl_Consulting[Job Description],$BI296)))&amp;"")</f>
        <v/>
      </c>
      <c r="H296" s="10">
        <f>IF($BI296="","",IF($B296="Onsite",INDEX(tbl_Onsite[Cost Centre],$BI296),IF($B296="Production",INDEX(tbl_Production[Cost Centre],$BI296),INDEX(tbl_Consulting[Cost Centre],$BI296)))&amp;"")</f>
        <v/>
      </c>
      <c r="I296" s="10">
        <f>IF($BI296="","",IF($B296="Onsite",INDEX(tbl_Onsite[Invoice Type],$BI296),IF($B296="Production",INDEX(tbl_Production[Invoice Type],$BI296),INDEX(tbl_Consulting[Invoice Type],$BI296)))&amp;"")</f>
        <v/>
      </c>
      <c r="J296" s="10">
        <f>IF($BI296="","",IF($B296="Onsite",INDEX(tbl_Onsite[Tax Code],$BI296),IF($B296="Production",INDEX(tbl_Production[Tax Code],$BI296),INDEX(tbl_Consulting[Tax Code],$BI296)))&amp;"")</f>
        <v/>
      </c>
      <c r="K296" s="10">
        <f>IF(H296="","",IFERROR(INDEX(lst_CCtoGL,MATCH(H296,lst_CCforGL,0)),""))</f>
        <v/>
      </c>
      <c r="L296" s="10">
        <f>IF($BI296="","",IF($B296="Onsite",INDEX(tbl_Onsite[PO / Reference],$BI296),IF($B296="Production",INDEX(tbl_Production[Current RMS No],$BI296),INDEX(tbl_Consulting[Qwilr Quote],$BI296)))&amp;"")</f>
        <v/>
      </c>
      <c r="M296" s="10">
        <f>IF($BI296="","",IF($B296="Onsite",INDEX(tbl_Onsite[Notes],$BI296),IF($B296="Production",INDEX(tbl_Production[Notes],$BI296),INDEX(tbl_Consulting[Notes],$BI296)))&amp;"")</f>
        <v/>
      </c>
      <c r="N296" s="11">
        <f>IF($BI296="","",IF(IF($B296="Onsite",INDEX(tbl_Onsite[Expected Revenue Ex GST],$BI296),IF($B296="Production",INDEX(tbl_Production[Expected Revenue Ex GST],$BI296),INDEX(tbl_Consulting[Expected Revenue Ex GST],$BI296)))="","",IF($B296="Onsite",INDEX(tbl_Onsite[Expected Revenue Ex GST],$BI296),IF($B296="Production",INDEX(tbl_Production[Expected Revenue Ex GST],$BI296),INDEX(tbl_Consulting[Expected Revenue Ex GST],$BI296)))))</f>
        <v/>
      </c>
      <c r="O296" s="11">
        <f>IF(AND($C296="",NOT(COUNTA($S296:$BB296)&gt;0)),"",SUM(U296,X296,AA296,AD296,AG296,AJ296,AM296,AP296,AS296,AV296,AY296,BB296))</f>
        <v/>
      </c>
      <c r="P296" s="11">
        <f>IF(O296="","",N(N296)-O296)</f>
        <v/>
      </c>
      <c r="Q296" s="10">
        <f>IF(O296="","",IF($C296="","Invoice on empty job row",IF(N296="",IF(ROUND(O296,2)=0,"No dept value","Invoiced - no dept value"),IF(ROUND(O296,2)=0,"Not invoiced - to invoice",IF(ROUND(P296,2)=0,"Agrees",IF(P296&gt;0,"Dept higher - to invoice","Xero higher - check dept"))))))</f>
        <v/>
      </c>
      <c r="R296" s="10">
        <f>IF(AND($C296="",NOT(COUNTA($S296:$BB296)&gt;0),$BI296&lt;&gt;""),"",MID(IF($BI296="","; Row ID not found on the department sheet - a row was deleted","")&amp;IF(AND($C296="",COUNTA($S296:$BB296)&gt;0),"; Invoice entered but the department row has no job number","")&amp;IF(E296="CHECK","; Job number not in the Xero job list","")&amp;IF(AND($C296&lt;&gt;"",COUNTIF($C$7:$C$1506,$C296)&gt;1),"; Job number on more than one row","")&amp;IF(AND($C296&lt;&gt;"",H296=""),"; Dept has not set a cost centre","")&amp;IF(AND($C296&lt;&gt;"",J296=""),"; Dept has not set a tax code","")&amp;IF(AND($C296&lt;&gt;"",N296=""),"; Dept has not entered an expected value","")&amp;IF((IF(OR(COUNTA(S296:U296)=0,AND(COUNTA(S296:U296)=3,ISNUMBER(U296))),0,1)+IF(OR(COUNTA(V296:X296)=0,AND(COUNTA(V296:X296)=3,ISNUMBER(X296))),0,1)+IF(OR(COUNTA(Y296:AA296)=0,AND(COUNTA(Y296:AA296)=3,ISNUMBER(AA296))),0,1)+IF(OR(COUNTA(AB296:AD296)=0,AND(COUNTA(AB296:AD296)=3,ISNUMBER(AD296))),0,1)+IF(OR(COUNTA(AE296:AG296)=0,AND(COUNTA(AE296:AG296)=3,ISNUMBER(AG296))),0,1)+IF(OR(COUNTA(AH296:AJ296)=0,AND(COUNTA(AH296:AJ296)=3,ISNUMBER(AJ296))),0,1)+IF(OR(COUNTA(AK296:AM296)=0,AND(COUNTA(AK296:AM296)=3,ISNUMBER(AM296))),0,1)+IF(OR(COUNTA(AN296:AP296)=0,AND(COUNTA(AN296:AP296)=3,ISNUMBER(AP296))),0,1)+IF(OR(COUNTA(AQ296:AS296)=0,AND(COUNTA(AQ296:AS296)=3,ISNUMBER(AS296))),0,1)+IF(OR(COUNTA(AT296:AV296)=0,AND(COUNTA(AT296:AV296)=3,ISNUMBER(AV296))),0,1)+IF(OR(COUNTA(AW296:AY296)=0,AND(COUNTA(AW296:AY296)=3,ISNUMBER(AY296))),0,1)+IF(OR(COUNTA(AZ296:BB296)=0,AND(COUNTA(AZ296:BB296)=3,ISNUMBER(BB296))),0,1))&gt;0,"; An invoice is incomplete (needs No, Date and a number in Ex GST)","")&amp;IF((IF(T296="",0,IFERROR(--(EOMONTH(T296,0)&lt;&gt;S$5),1))+IF(W296="",0,IFERROR(--(EOMONTH(W296,0)&lt;&gt;V$5),1))+IF(Z296="",0,IFERROR(--(EOMONTH(Z296,0)&lt;&gt;Y$5),1))+IF(AC296="",0,IFERROR(--(EOMONTH(AC296,0)&lt;&gt;AB$5),1))+IF(AF296="",0,IFERROR(--(EOMONTH(AF296,0)&lt;&gt;AE$5),1))+IF(AI296="",0,IFERROR(--(EOMONTH(AI296,0)&lt;&gt;AH$5),1))+IF(AL296="",0,IFERROR(--(EOMONTH(AL296,0)&lt;&gt;AK$5),1))+IF(AO296="",0,IFERROR(--(EOMONTH(AO296,0)&lt;&gt;AN$5),1))+IF(AR296="",0,IFERROR(--(EOMONTH(AR296,0)&lt;&gt;AQ$5),1))+IF(AU296="",0,IFERROR(--(EOMONTH(AU296,0)&lt;&gt;AT$5),1))+IF(AX296="",0,IFERROR(--(EOMONTH(AX296,0)&lt;&gt;AW$5),1))+IF(BA296="",0,IFERROR(--(EOMONTH(BA296,0)&lt;&gt;AZ$5),1)))&gt;0,"; An invoice date is not in the month it is typed under",""),3,500))</f>
        <v/>
      </c>
      <c r="S296" s="12" t="n"/>
      <c r="T296" s="13" t="n"/>
      <c r="U296" s="14" t="n"/>
      <c r="V296" s="12" t="n"/>
      <c r="W296" s="13" t="n"/>
      <c r="X296" s="14" t="n"/>
      <c r="Y296" s="12" t="n"/>
      <c r="Z296" s="13" t="n"/>
      <c r="AA296" s="14" t="n"/>
      <c r="AB296" s="12" t="n"/>
      <c r="AC296" s="13" t="n"/>
      <c r="AD296" s="14" t="n"/>
      <c r="AE296" s="12" t="n"/>
      <c r="AF296" s="13" t="n"/>
      <c r="AG296" s="14" t="n"/>
      <c r="AH296" s="12" t="n"/>
      <c r="AI296" s="13" t="n"/>
      <c r="AJ296" s="14" t="n"/>
      <c r="AK296" s="12" t="n"/>
      <c r="AL296" s="13" t="n"/>
      <c r="AM296" s="14" t="n"/>
      <c r="AN296" s="12" t="n"/>
      <c r="AO296" s="13" t="n"/>
      <c r="AP296" s="14" t="n"/>
      <c r="AQ296" s="12" t="n"/>
      <c r="AR296" s="13" t="n"/>
      <c r="AS296" s="14" t="n"/>
      <c r="AT296" s="12" t="n"/>
      <c r="AU296" s="13" t="n"/>
      <c r="AV296" s="14" t="n"/>
      <c r="AW296" s="12" t="n"/>
      <c r="AX296" s="13" t="n"/>
      <c r="AY296" s="14" t="n"/>
      <c r="AZ296" s="12" t="n"/>
      <c r="BA296" s="13" t="n"/>
      <c r="BB296" s="14" t="n"/>
      <c r="BC296" s="11">
        <f>IF(O296="","",IF(J296="GST 10%",ROUND(O296*set_GSTRate,2),0))</f>
        <v/>
      </c>
      <c r="BD296" s="11">
        <f>IF(O296="","",O296+BC296)</f>
        <v/>
      </c>
      <c r="BE296" s="15">
        <f>IF(O296="","",COUNTA(S296,V296,Y296,AB296,AE296,AH296,AK296,AN296,AQ296,AT296,AW296,AZ296))</f>
        <v/>
      </c>
      <c r="BF296" s="16">
        <f>IF(COUNT(T296,W296,Z296,AC296,AF296,AI296,AL296,AO296,AR296,AU296,AX296,BA296)=0,"",MAX(T296,W296,Z296,AC296,AF296,AI296,AL296,AO296,AR296,AU296,AX296,BA296))</f>
        <v/>
      </c>
      <c r="BG296" s="10">
        <f>MID(IF(S296="","",", "&amp;S296)&amp;IF(V296="","",", "&amp;V296)&amp;IF(Y296="","",", "&amp;Y296)&amp;IF(AB296="","",", "&amp;AB296)&amp;IF(AE296="","",", "&amp;AE296)&amp;IF(AH296="","",", "&amp;AH296)&amp;IF(AK296="","",", "&amp;AK296)&amp;IF(AN296="","",", "&amp;AN296)&amp;IF(AQ296="","",", "&amp;AQ296)&amp;IF(AT296="","",", "&amp;AT296)&amp;IF(AW296="","",", "&amp;AW296)&amp;IF(AZ296="","",", "&amp;AZ296),3,500)</f>
        <v/>
      </c>
      <c r="BH296" s="12" t="n"/>
      <c r="BI296" s="15">
        <f>IFERROR(MATCH($A296,IF($B296="Onsite",tbl_Onsite[Row ID],IF($B296="Production",tbl_Production[Row ID],tbl_Consulting[Row ID])),0),"")</f>
        <v/>
      </c>
    </row>
    <row r="297">
      <c r="A297" s="10" t="inlineStr">
        <is>
          <t>ONS-0291</t>
        </is>
      </c>
      <c r="B297" s="10" t="inlineStr">
        <is>
          <t>Onsite</t>
        </is>
      </c>
      <c r="C297" s="10">
        <f>IF($BI297="","",IF($B297="Onsite",INDEX(tbl_Onsite[Job Number],$BI297),IF($B297="Production",INDEX(tbl_Production[Job Number],$BI297),INDEX(tbl_Consulting[Job Number],$BI297)))&amp;"")</f>
        <v/>
      </c>
      <c r="D297" s="10">
        <f>IF($BI297="","",IF($B297="Onsite",INDEX(tbl_Onsite[Client],$BI297),IF($B297="Production",INDEX(tbl_Production[Client],$BI297),INDEX(tbl_Consulting[Client],$BI297)))&amp;"")</f>
        <v/>
      </c>
      <c r="E297" s="10">
        <f>IF($C297="","",IF(COUNTIF(lst_Jobs,$C297)&gt;0,"OK","CHECK"))</f>
        <v/>
      </c>
      <c r="F297" s="10">
        <f>IF($C297="","",IFERROR(INDEX(lst_JobName,MATCH($C297,lst_Jobs,0)),""))</f>
        <v/>
      </c>
      <c r="G297" s="10">
        <f>IF($BI297="","",IF($B297="Onsite",INDEX(tbl_Onsite[Job Description],$BI297),IF($B297="Production",INDEX(tbl_Production[Job Description],$BI297),INDEX(tbl_Consulting[Job Description],$BI297)))&amp;"")</f>
        <v/>
      </c>
      <c r="H297" s="10">
        <f>IF($BI297="","",IF($B297="Onsite",INDEX(tbl_Onsite[Cost Centre],$BI297),IF($B297="Production",INDEX(tbl_Production[Cost Centre],$BI297),INDEX(tbl_Consulting[Cost Centre],$BI297)))&amp;"")</f>
        <v/>
      </c>
      <c r="I297" s="10">
        <f>IF($BI297="","",IF($B297="Onsite",INDEX(tbl_Onsite[Invoice Type],$BI297),IF($B297="Production",INDEX(tbl_Production[Invoice Type],$BI297),INDEX(tbl_Consulting[Invoice Type],$BI297)))&amp;"")</f>
        <v/>
      </c>
      <c r="J297" s="10">
        <f>IF($BI297="","",IF($B297="Onsite",INDEX(tbl_Onsite[Tax Code],$BI297),IF($B297="Production",INDEX(tbl_Production[Tax Code],$BI297),INDEX(tbl_Consulting[Tax Code],$BI297)))&amp;"")</f>
        <v/>
      </c>
      <c r="K297" s="10">
        <f>IF(H297="","",IFERROR(INDEX(lst_CCtoGL,MATCH(H297,lst_CCforGL,0)),""))</f>
        <v/>
      </c>
      <c r="L297" s="10">
        <f>IF($BI297="","",IF($B297="Onsite",INDEX(tbl_Onsite[PO / Reference],$BI297),IF($B297="Production",INDEX(tbl_Production[Current RMS No],$BI297),INDEX(tbl_Consulting[Qwilr Quote],$BI297)))&amp;"")</f>
        <v/>
      </c>
      <c r="M297" s="10">
        <f>IF($BI297="","",IF($B297="Onsite",INDEX(tbl_Onsite[Notes],$BI297),IF($B297="Production",INDEX(tbl_Production[Notes],$BI297),INDEX(tbl_Consulting[Notes],$BI297)))&amp;"")</f>
        <v/>
      </c>
      <c r="N297" s="11">
        <f>IF($BI297="","",IF(IF($B297="Onsite",INDEX(tbl_Onsite[Expected Revenue Ex GST],$BI297),IF($B297="Production",INDEX(tbl_Production[Expected Revenue Ex GST],$BI297),INDEX(tbl_Consulting[Expected Revenue Ex GST],$BI297)))="","",IF($B297="Onsite",INDEX(tbl_Onsite[Expected Revenue Ex GST],$BI297),IF($B297="Production",INDEX(tbl_Production[Expected Revenue Ex GST],$BI297),INDEX(tbl_Consulting[Expected Revenue Ex GST],$BI297)))))</f>
        <v/>
      </c>
      <c r="O297" s="11">
        <f>IF(AND($C297="",NOT(COUNTA($S297:$BB297)&gt;0)),"",SUM(U297,X297,AA297,AD297,AG297,AJ297,AM297,AP297,AS297,AV297,AY297,BB297))</f>
        <v/>
      </c>
      <c r="P297" s="11">
        <f>IF(O297="","",N(N297)-O297)</f>
        <v/>
      </c>
      <c r="Q297" s="10">
        <f>IF(O297="","",IF($C297="","Invoice on empty job row",IF(N297="",IF(ROUND(O297,2)=0,"No dept value","Invoiced - no dept value"),IF(ROUND(O297,2)=0,"Not invoiced - to invoice",IF(ROUND(P297,2)=0,"Agrees",IF(P297&gt;0,"Dept higher - to invoice","Xero higher - check dept"))))))</f>
        <v/>
      </c>
      <c r="R297" s="10">
        <f>IF(AND($C297="",NOT(COUNTA($S297:$BB297)&gt;0),$BI297&lt;&gt;""),"",MID(IF($BI297="","; Row ID not found on the department sheet - a row was deleted","")&amp;IF(AND($C297="",COUNTA($S297:$BB297)&gt;0),"; Invoice entered but the department row has no job number","")&amp;IF(E297="CHECK","; Job number not in the Xero job list","")&amp;IF(AND($C297&lt;&gt;"",COUNTIF($C$7:$C$1506,$C297)&gt;1),"; Job number on more than one row","")&amp;IF(AND($C297&lt;&gt;"",H297=""),"; Dept has not set a cost centre","")&amp;IF(AND($C297&lt;&gt;"",J297=""),"; Dept has not set a tax code","")&amp;IF(AND($C297&lt;&gt;"",N297=""),"; Dept has not entered an expected value","")&amp;IF((IF(OR(COUNTA(S297:U297)=0,AND(COUNTA(S297:U297)=3,ISNUMBER(U297))),0,1)+IF(OR(COUNTA(V297:X297)=0,AND(COUNTA(V297:X297)=3,ISNUMBER(X297))),0,1)+IF(OR(COUNTA(Y297:AA297)=0,AND(COUNTA(Y297:AA297)=3,ISNUMBER(AA297))),0,1)+IF(OR(COUNTA(AB297:AD297)=0,AND(COUNTA(AB297:AD297)=3,ISNUMBER(AD297))),0,1)+IF(OR(COUNTA(AE297:AG297)=0,AND(COUNTA(AE297:AG297)=3,ISNUMBER(AG297))),0,1)+IF(OR(COUNTA(AH297:AJ297)=0,AND(COUNTA(AH297:AJ297)=3,ISNUMBER(AJ297))),0,1)+IF(OR(COUNTA(AK297:AM297)=0,AND(COUNTA(AK297:AM297)=3,ISNUMBER(AM297))),0,1)+IF(OR(COUNTA(AN297:AP297)=0,AND(COUNTA(AN297:AP297)=3,ISNUMBER(AP297))),0,1)+IF(OR(COUNTA(AQ297:AS297)=0,AND(COUNTA(AQ297:AS297)=3,ISNUMBER(AS297))),0,1)+IF(OR(COUNTA(AT297:AV297)=0,AND(COUNTA(AT297:AV297)=3,ISNUMBER(AV297))),0,1)+IF(OR(COUNTA(AW297:AY297)=0,AND(COUNTA(AW297:AY297)=3,ISNUMBER(AY297))),0,1)+IF(OR(COUNTA(AZ297:BB297)=0,AND(COUNTA(AZ297:BB297)=3,ISNUMBER(BB297))),0,1))&gt;0,"; An invoice is incomplete (needs No, Date and a number in Ex GST)","")&amp;IF((IF(T297="",0,IFERROR(--(EOMONTH(T297,0)&lt;&gt;S$5),1))+IF(W297="",0,IFERROR(--(EOMONTH(W297,0)&lt;&gt;V$5),1))+IF(Z297="",0,IFERROR(--(EOMONTH(Z297,0)&lt;&gt;Y$5),1))+IF(AC297="",0,IFERROR(--(EOMONTH(AC297,0)&lt;&gt;AB$5),1))+IF(AF297="",0,IFERROR(--(EOMONTH(AF297,0)&lt;&gt;AE$5),1))+IF(AI297="",0,IFERROR(--(EOMONTH(AI297,0)&lt;&gt;AH$5),1))+IF(AL297="",0,IFERROR(--(EOMONTH(AL297,0)&lt;&gt;AK$5),1))+IF(AO297="",0,IFERROR(--(EOMONTH(AO297,0)&lt;&gt;AN$5),1))+IF(AR297="",0,IFERROR(--(EOMONTH(AR297,0)&lt;&gt;AQ$5),1))+IF(AU297="",0,IFERROR(--(EOMONTH(AU297,0)&lt;&gt;AT$5),1))+IF(AX297="",0,IFERROR(--(EOMONTH(AX297,0)&lt;&gt;AW$5),1))+IF(BA297="",0,IFERROR(--(EOMONTH(BA297,0)&lt;&gt;AZ$5),1)))&gt;0,"; An invoice date is not in the month it is typed under",""),3,500))</f>
        <v/>
      </c>
      <c r="S297" s="12" t="n"/>
      <c r="T297" s="13" t="n"/>
      <c r="U297" s="14" t="n"/>
      <c r="V297" s="12" t="n"/>
      <c r="W297" s="13" t="n"/>
      <c r="X297" s="14" t="n"/>
      <c r="Y297" s="12" t="n"/>
      <c r="Z297" s="13" t="n"/>
      <c r="AA297" s="14" t="n"/>
      <c r="AB297" s="12" t="n"/>
      <c r="AC297" s="13" t="n"/>
      <c r="AD297" s="14" t="n"/>
      <c r="AE297" s="12" t="n"/>
      <c r="AF297" s="13" t="n"/>
      <c r="AG297" s="14" t="n"/>
      <c r="AH297" s="12" t="n"/>
      <c r="AI297" s="13" t="n"/>
      <c r="AJ297" s="14" t="n"/>
      <c r="AK297" s="12" t="n"/>
      <c r="AL297" s="13" t="n"/>
      <c r="AM297" s="14" t="n"/>
      <c r="AN297" s="12" t="n"/>
      <c r="AO297" s="13" t="n"/>
      <c r="AP297" s="14" t="n"/>
      <c r="AQ297" s="12" t="n"/>
      <c r="AR297" s="13" t="n"/>
      <c r="AS297" s="14" t="n"/>
      <c r="AT297" s="12" t="n"/>
      <c r="AU297" s="13" t="n"/>
      <c r="AV297" s="14" t="n"/>
      <c r="AW297" s="12" t="n"/>
      <c r="AX297" s="13" t="n"/>
      <c r="AY297" s="14" t="n"/>
      <c r="AZ297" s="12" t="n"/>
      <c r="BA297" s="13" t="n"/>
      <c r="BB297" s="14" t="n"/>
      <c r="BC297" s="11">
        <f>IF(O297="","",IF(J297="GST 10%",ROUND(O297*set_GSTRate,2),0))</f>
        <v/>
      </c>
      <c r="BD297" s="11">
        <f>IF(O297="","",O297+BC297)</f>
        <v/>
      </c>
      <c r="BE297" s="15">
        <f>IF(O297="","",COUNTA(S297,V297,Y297,AB297,AE297,AH297,AK297,AN297,AQ297,AT297,AW297,AZ297))</f>
        <v/>
      </c>
      <c r="BF297" s="16">
        <f>IF(COUNT(T297,W297,Z297,AC297,AF297,AI297,AL297,AO297,AR297,AU297,AX297,BA297)=0,"",MAX(T297,W297,Z297,AC297,AF297,AI297,AL297,AO297,AR297,AU297,AX297,BA297))</f>
        <v/>
      </c>
      <c r="BG297" s="10">
        <f>MID(IF(S297="","",", "&amp;S297)&amp;IF(V297="","",", "&amp;V297)&amp;IF(Y297="","",", "&amp;Y297)&amp;IF(AB297="","",", "&amp;AB297)&amp;IF(AE297="","",", "&amp;AE297)&amp;IF(AH297="","",", "&amp;AH297)&amp;IF(AK297="","",", "&amp;AK297)&amp;IF(AN297="","",", "&amp;AN297)&amp;IF(AQ297="","",", "&amp;AQ297)&amp;IF(AT297="","",", "&amp;AT297)&amp;IF(AW297="","",", "&amp;AW297)&amp;IF(AZ297="","",", "&amp;AZ297),3,500)</f>
        <v/>
      </c>
      <c r="BH297" s="12" t="n"/>
      <c r="BI297" s="15">
        <f>IFERROR(MATCH($A297,IF($B297="Onsite",tbl_Onsite[Row ID],IF($B297="Production",tbl_Production[Row ID],tbl_Consulting[Row ID])),0),"")</f>
        <v/>
      </c>
    </row>
    <row r="298">
      <c r="A298" s="10" t="inlineStr">
        <is>
          <t>ONS-0292</t>
        </is>
      </c>
      <c r="B298" s="10" t="inlineStr">
        <is>
          <t>Onsite</t>
        </is>
      </c>
      <c r="C298" s="10">
        <f>IF($BI298="","",IF($B298="Onsite",INDEX(tbl_Onsite[Job Number],$BI298),IF($B298="Production",INDEX(tbl_Production[Job Number],$BI298),INDEX(tbl_Consulting[Job Number],$BI298)))&amp;"")</f>
        <v/>
      </c>
      <c r="D298" s="10">
        <f>IF($BI298="","",IF($B298="Onsite",INDEX(tbl_Onsite[Client],$BI298),IF($B298="Production",INDEX(tbl_Production[Client],$BI298),INDEX(tbl_Consulting[Client],$BI298)))&amp;"")</f>
        <v/>
      </c>
      <c r="E298" s="10">
        <f>IF($C298="","",IF(COUNTIF(lst_Jobs,$C298)&gt;0,"OK","CHECK"))</f>
        <v/>
      </c>
      <c r="F298" s="10">
        <f>IF($C298="","",IFERROR(INDEX(lst_JobName,MATCH($C298,lst_Jobs,0)),""))</f>
        <v/>
      </c>
      <c r="G298" s="10">
        <f>IF($BI298="","",IF($B298="Onsite",INDEX(tbl_Onsite[Job Description],$BI298),IF($B298="Production",INDEX(tbl_Production[Job Description],$BI298),INDEX(tbl_Consulting[Job Description],$BI298)))&amp;"")</f>
        <v/>
      </c>
      <c r="H298" s="10">
        <f>IF($BI298="","",IF($B298="Onsite",INDEX(tbl_Onsite[Cost Centre],$BI298),IF($B298="Production",INDEX(tbl_Production[Cost Centre],$BI298),INDEX(tbl_Consulting[Cost Centre],$BI298)))&amp;"")</f>
        <v/>
      </c>
      <c r="I298" s="10">
        <f>IF($BI298="","",IF($B298="Onsite",INDEX(tbl_Onsite[Invoice Type],$BI298),IF($B298="Production",INDEX(tbl_Production[Invoice Type],$BI298),INDEX(tbl_Consulting[Invoice Type],$BI298)))&amp;"")</f>
        <v/>
      </c>
      <c r="J298" s="10">
        <f>IF($BI298="","",IF($B298="Onsite",INDEX(tbl_Onsite[Tax Code],$BI298),IF($B298="Production",INDEX(tbl_Production[Tax Code],$BI298),INDEX(tbl_Consulting[Tax Code],$BI298)))&amp;"")</f>
        <v/>
      </c>
      <c r="K298" s="10">
        <f>IF(H298="","",IFERROR(INDEX(lst_CCtoGL,MATCH(H298,lst_CCforGL,0)),""))</f>
        <v/>
      </c>
      <c r="L298" s="10">
        <f>IF($BI298="","",IF($B298="Onsite",INDEX(tbl_Onsite[PO / Reference],$BI298),IF($B298="Production",INDEX(tbl_Production[Current RMS No],$BI298),INDEX(tbl_Consulting[Qwilr Quote],$BI298)))&amp;"")</f>
        <v/>
      </c>
      <c r="M298" s="10">
        <f>IF($BI298="","",IF($B298="Onsite",INDEX(tbl_Onsite[Notes],$BI298),IF($B298="Production",INDEX(tbl_Production[Notes],$BI298),INDEX(tbl_Consulting[Notes],$BI298)))&amp;"")</f>
        <v/>
      </c>
      <c r="N298" s="11">
        <f>IF($BI298="","",IF(IF($B298="Onsite",INDEX(tbl_Onsite[Expected Revenue Ex GST],$BI298),IF($B298="Production",INDEX(tbl_Production[Expected Revenue Ex GST],$BI298),INDEX(tbl_Consulting[Expected Revenue Ex GST],$BI298)))="","",IF($B298="Onsite",INDEX(tbl_Onsite[Expected Revenue Ex GST],$BI298),IF($B298="Production",INDEX(tbl_Production[Expected Revenue Ex GST],$BI298),INDEX(tbl_Consulting[Expected Revenue Ex GST],$BI298)))))</f>
        <v/>
      </c>
      <c r="O298" s="11">
        <f>IF(AND($C298="",NOT(COUNTA($S298:$BB298)&gt;0)),"",SUM(U298,X298,AA298,AD298,AG298,AJ298,AM298,AP298,AS298,AV298,AY298,BB298))</f>
        <v/>
      </c>
      <c r="P298" s="11">
        <f>IF(O298="","",N(N298)-O298)</f>
        <v/>
      </c>
      <c r="Q298" s="10">
        <f>IF(O298="","",IF($C298="","Invoice on empty job row",IF(N298="",IF(ROUND(O298,2)=0,"No dept value","Invoiced - no dept value"),IF(ROUND(O298,2)=0,"Not invoiced - to invoice",IF(ROUND(P298,2)=0,"Agrees",IF(P298&gt;0,"Dept higher - to invoice","Xero higher - check dept"))))))</f>
        <v/>
      </c>
      <c r="R298" s="10">
        <f>IF(AND($C298="",NOT(COUNTA($S298:$BB298)&gt;0),$BI298&lt;&gt;""),"",MID(IF($BI298="","; Row ID not found on the department sheet - a row was deleted","")&amp;IF(AND($C298="",COUNTA($S298:$BB298)&gt;0),"; Invoice entered but the department row has no job number","")&amp;IF(E298="CHECK","; Job number not in the Xero job list","")&amp;IF(AND($C298&lt;&gt;"",COUNTIF($C$7:$C$1506,$C298)&gt;1),"; Job number on more than one row","")&amp;IF(AND($C298&lt;&gt;"",H298=""),"; Dept has not set a cost centre","")&amp;IF(AND($C298&lt;&gt;"",J298=""),"; Dept has not set a tax code","")&amp;IF(AND($C298&lt;&gt;"",N298=""),"; Dept has not entered an expected value","")&amp;IF((IF(OR(COUNTA(S298:U298)=0,AND(COUNTA(S298:U298)=3,ISNUMBER(U298))),0,1)+IF(OR(COUNTA(V298:X298)=0,AND(COUNTA(V298:X298)=3,ISNUMBER(X298))),0,1)+IF(OR(COUNTA(Y298:AA298)=0,AND(COUNTA(Y298:AA298)=3,ISNUMBER(AA298))),0,1)+IF(OR(COUNTA(AB298:AD298)=0,AND(COUNTA(AB298:AD298)=3,ISNUMBER(AD298))),0,1)+IF(OR(COUNTA(AE298:AG298)=0,AND(COUNTA(AE298:AG298)=3,ISNUMBER(AG298))),0,1)+IF(OR(COUNTA(AH298:AJ298)=0,AND(COUNTA(AH298:AJ298)=3,ISNUMBER(AJ298))),0,1)+IF(OR(COUNTA(AK298:AM298)=0,AND(COUNTA(AK298:AM298)=3,ISNUMBER(AM298))),0,1)+IF(OR(COUNTA(AN298:AP298)=0,AND(COUNTA(AN298:AP298)=3,ISNUMBER(AP298))),0,1)+IF(OR(COUNTA(AQ298:AS298)=0,AND(COUNTA(AQ298:AS298)=3,ISNUMBER(AS298))),0,1)+IF(OR(COUNTA(AT298:AV298)=0,AND(COUNTA(AT298:AV298)=3,ISNUMBER(AV298))),0,1)+IF(OR(COUNTA(AW298:AY298)=0,AND(COUNTA(AW298:AY298)=3,ISNUMBER(AY298))),0,1)+IF(OR(COUNTA(AZ298:BB298)=0,AND(COUNTA(AZ298:BB298)=3,ISNUMBER(BB298))),0,1))&gt;0,"; An invoice is incomplete (needs No, Date and a number in Ex GST)","")&amp;IF((IF(T298="",0,IFERROR(--(EOMONTH(T298,0)&lt;&gt;S$5),1))+IF(W298="",0,IFERROR(--(EOMONTH(W298,0)&lt;&gt;V$5),1))+IF(Z298="",0,IFERROR(--(EOMONTH(Z298,0)&lt;&gt;Y$5),1))+IF(AC298="",0,IFERROR(--(EOMONTH(AC298,0)&lt;&gt;AB$5),1))+IF(AF298="",0,IFERROR(--(EOMONTH(AF298,0)&lt;&gt;AE$5),1))+IF(AI298="",0,IFERROR(--(EOMONTH(AI298,0)&lt;&gt;AH$5),1))+IF(AL298="",0,IFERROR(--(EOMONTH(AL298,0)&lt;&gt;AK$5),1))+IF(AO298="",0,IFERROR(--(EOMONTH(AO298,0)&lt;&gt;AN$5),1))+IF(AR298="",0,IFERROR(--(EOMONTH(AR298,0)&lt;&gt;AQ$5),1))+IF(AU298="",0,IFERROR(--(EOMONTH(AU298,0)&lt;&gt;AT$5),1))+IF(AX298="",0,IFERROR(--(EOMONTH(AX298,0)&lt;&gt;AW$5),1))+IF(BA298="",0,IFERROR(--(EOMONTH(BA298,0)&lt;&gt;AZ$5),1)))&gt;0,"; An invoice date is not in the month it is typed under",""),3,500))</f>
        <v/>
      </c>
      <c r="S298" s="12" t="n"/>
      <c r="T298" s="13" t="n"/>
      <c r="U298" s="14" t="n"/>
      <c r="V298" s="12" t="n"/>
      <c r="W298" s="13" t="n"/>
      <c r="X298" s="14" t="n"/>
      <c r="Y298" s="12" t="n"/>
      <c r="Z298" s="13" t="n"/>
      <c r="AA298" s="14" t="n"/>
      <c r="AB298" s="12" t="n"/>
      <c r="AC298" s="13" t="n"/>
      <c r="AD298" s="14" t="n"/>
      <c r="AE298" s="12" t="n"/>
      <c r="AF298" s="13" t="n"/>
      <c r="AG298" s="14" t="n"/>
      <c r="AH298" s="12" t="n"/>
      <c r="AI298" s="13" t="n"/>
      <c r="AJ298" s="14" t="n"/>
      <c r="AK298" s="12" t="n"/>
      <c r="AL298" s="13" t="n"/>
      <c r="AM298" s="14" t="n"/>
      <c r="AN298" s="12" t="n"/>
      <c r="AO298" s="13" t="n"/>
      <c r="AP298" s="14" t="n"/>
      <c r="AQ298" s="12" t="n"/>
      <c r="AR298" s="13" t="n"/>
      <c r="AS298" s="14" t="n"/>
      <c r="AT298" s="12" t="n"/>
      <c r="AU298" s="13" t="n"/>
      <c r="AV298" s="14" t="n"/>
      <c r="AW298" s="12" t="n"/>
      <c r="AX298" s="13" t="n"/>
      <c r="AY298" s="14" t="n"/>
      <c r="AZ298" s="12" t="n"/>
      <c r="BA298" s="13" t="n"/>
      <c r="BB298" s="14" t="n"/>
      <c r="BC298" s="11">
        <f>IF(O298="","",IF(J298="GST 10%",ROUND(O298*set_GSTRate,2),0))</f>
        <v/>
      </c>
      <c r="BD298" s="11">
        <f>IF(O298="","",O298+BC298)</f>
        <v/>
      </c>
      <c r="BE298" s="15">
        <f>IF(O298="","",COUNTA(S298,V298,Y298,AB298,AE298,AH298,AK298,AN298,AQ298,AT298,AW298,AZ298))</f>
        <v/>
      </c>
      <c r="BF298" s="16">
        <f>IF(COUNT(T298,W298,Z298,AC298,AF298,AI298,AL298,AO298,AR298,AU298,AX298,BA298)=0,"",MAX(T298,W298,Z298,AC298,AF298,AI298,AL298,AO298,AR298,AU298,AX298,BA298))</f>
        <v/>
      </c>
      <c r="BG298" s="10">
        <f>MID(IF(S298="","",", "&amp;S298)&amp;IF(V298="","",", "&amp;V298)&amp;IF(Y298="","",", "&amp;Y298)&amp;IF(AB298="","",", "&amp;AB298)&amp;IF(AE298="","",", "&amp;AE298)&amp;IF(AH298="","",", "&amp;AH298)&amp;IF(AK298="","",", "&amp;AK298)&amp;IF(AN298="","",", "&amp;AN298)&amp;IF(AQ298="","",", "&amp;AQ298)&amp;IF(AT298="","",", "&amp;AT298)&amp;IF(AW298="","",", "&amp;AW298)&amp;IF(AZ298="","",", "&amp;AZ298),3,500)</f>
        <v/>
      </c>
      <c r="BH298" s="12" t="n"/>
      <c r="BI298" s="15">
        <f>IFERROR(MATCH($A298,IF($B298="Onsite",tbl_Onsite[Row ID],IF($B298="Production",tbl_Production[Row ID],tbl_Consulting[Row ID])),0),"")</f>
        <v/>
      </c>
    </row>
    <row r="299">
      <c r="A299" s="10" t="inlineStr">
        <is>
          <t>ONS-0293</t>
        </is>
      </c>
      <c r="B299" s="10" t="inlineStr">
        <is>
          <t>Onsite</t>
        </is>
      </c>
      <c r="C299" s="10">
        <f>IF($BI299="","",IF($B299="Onsite",INDEX(tbl_Onsite[Job Number],$BI299),IF($B299="Production",INDEX(tbl_Production[Job Number],$BI299),INDEX(tbl_Consulting[Job Number],$BI299)))&amp;"")</f>
        <v/>
      </c>
      <c r="D299" s="10">
        <f>IF($BI299="","",IF($B299="Onsite",INDEX(tbl_Onsite[Client],$BI299),IF($B299="Production",INDEX(tbl_Production[Client],$BI299),INDEX(tbl_Consulting[Client],$BI299)))&amp;"")</f>
        <v/>
      </c>
      <c r="E299" s="10">
        <f>IF($C299="","",IF(COUNTIF(lst_Jobs,$C299)&gt;0,"OK","CHECK"))</f>
        <v/>
      </c>
      <c r="F299" s="10">
        <f>IF($C299="","",IFERROR(INDEX(lst_JobName,MATCH($C299,lst_Jobs,0)),""))</f>
        <v/>
      </c>
      <c r="G299" s="10">
        <f>IF($BI299="","",IF($B299="Onsite",INDEX(tbl_Onsite[Job Description],$BI299),IF($B299="Production",INDEX(tbl_Production[Job Description],$BI299),INDEX(tbl_Consulting[Job Description],$BI299)))&amp;"")</f>
        <v/>
      </c>
      <c r="H299" s="10">
        <f>IF($BI299="","",IF($B299="Onsite",INDEX(tbl_Onsite[Cost Centre],$BI299),IF($B299="Production",INDEX(tbl_Production[Cost Centre],$BI299),INDEX(tbl_Consulting[Cost Centre],$BI299)))&amp;"")</f>
        <v/>
      </c>
      <c r="I299" s="10">
        <f>IF($BI299="","",IF($B299="Onsite",INDEX(tbl_Onsite[Invoice Type],$BI299),IF($B299="Production",INDEX(tbl_Production[Invoice Type],$BI299),INDEX(tbl_Consulting[Invoice Type],$BI299)))&amp;"")</f>
        <v/>
      </c>
      <c r="J299" s="10">
        <f>IF($BI299="","",IF($B299="Onsite",INDEX(tbl_Onsite[Tax Code],$BI299),IF($B299="Production",INDEX(tbl_Production[Tax Code],$BI299),INDEX(tbl_Consulting[Tax Code],$BI299)))&amp;"")</f>
        <v/>
      </c>
      <c r="K299" s="10">
        <f>IF(H299="","",IFERROR(INDEX(lst_CCtoGL,MATCH(H299,lst_CCforGL,0)),""))</f>
        <v/>
      </c>
      <c r="L299" s="10">
        <f>IF($BI299="","",IF($B299="Onsite",INDEX(tbl_Onsite[PO / Reference],$BI299),IF($B299="Production",INDEX(tbl_Production[Current RMS No],$BI299),INDEX(tbl_Consulting[Qwilr Quote],$BI299)))&amp;"")</f>
        <v/>
      </c>
      <c r="M299" s="10">
        <f>IF($BI299="","",IF($B299="Onsite",INDEX(tbl_Onsite[Notes],$BI299),IF($B299="Production",INDEX(tbl_Production[Notes],$BI299),INDEX(tbl_Consulting[Notes],$BI299)))&amp;"")</f>
        <v/>
      </c>
      <c r="N299" s="11">
        <f>IF($BI299="","",IF(IF($B299="Onsite",INDEX(tbl_Onsite[Expected Revenue Ex GST],$BI299),IF($B299="Production",INDEX(tbl_Production[Expected Revenue Ex GST],$BI299),INDEX(tbl_Consulting[Expected Revenue Ex GST],$BI299)))="","",IF($B299="Onsite",INDEX(tbl_Onsite[Expected Revenue Ex GST],$BI299),IF($B299="Production",INDEX(tbl_Production[Expected Revenue Ex GST],$BI299),INDEX(tbl_Consulting[Expected Revenue Ex GST],$BI299)))))</f>
        <v/>
      </c>
      <c r="O299" s="11">
        <f>IF(AND($C299="",NOT(COUNTA($S299:$BB299)&gt;0)),"",SUM(U299,X299,AA299,AD299,AG299,AJ299,AM299,AP299,AS299,AV299,AY299,BB299))</f>
        <v/>
      </c>
      <c r="P299" s="11">
        <f>IF(O299="","",N(N299)-O299)</f>
        <v/>
      </c>
      <c r="Q299" s="10">
        <f>IF(O299="","",IF($C299="","Invoice on empty job row",IF(N299="",IF(ROUND(O299,2)=0,"No dept value","Invoiced - no dept value"),IF(ROUND(O299,2)=0,"Not invoiced - to invoice",IF(ROUND(P299,2)=0,"Agrees",IF(P299&gt;0,"Dept higher - to invoice","Xero higher - check dept"))))))</f>
        <v/>
      </c>
      <c r="R299" s="10">
        <f>IF(AND($C299="",NOT(COUNTA($S299:$BB299)&gt;0),$BI299&lt;&gt;""),"",MID(IF($BI299="","; Row ID not found on the department sheet - a row was deleted","")&amp;IF(AND($C299="",COUNTA($S299:$BB299)&gt;0),"; Invoice entered but the department row has no job number","")&amp;IF(E299="CHECK","; Job number not in the Xero job list","")&amp;IF(AND($C299&lt;&gt;"",COUNTIF($C$7:$C$1506,$C299)&gt;1),"; Job number on more than one row","")&amp;IF(AND($C299&lt;&gt;"",H299=""),"; Dept has not set a cost centre","")&amp;IF(AND($C299&lt;&gt;"",J299=""),"; Dept has not set a tax code","")&amp;IF(AND($C299&lt;&gt;"",N299=""),"; Dept has not entered an expected value","")&amp;IF((IF(OR(COUNTA(S299:U299)=0,AND(COUNTA(S299:U299)=3,ISNUMBER(U299))),0,1)+IF(OR(COUNTA(V299:X299)=0,AND(COUNTA(V299:X299)=3,ISNUMBER(X299))),0,1)+IF(OR(COUNTA(Y299:AA299)=0,AND(COUNTA(Y299:AA299)=3,ISNUMBER(AA299))),0,1)+IF(OR(COUNTA(AB299:AD299)=0,AND(COUNTA(AB299:AD299)=3,ISNUMBER(AD299))),0,1)+IF(OR(COUNTA(AE299:AG299)=0,AND(COUNTA(AE299:AG299)=3,ISNUMBER(AG299))),0,1)+IF(OR(COUNTA(AH299:AJ299)=0,AND(COUNTA(AH299:AJ299)=3,ISNUMBER(AJ299))),0,1)+IF(OR(COUNTA(AK299:AM299)=0,AND(COUNTA(AK299:AM299)=3,ISNUMBER(AM299))),0,1)+IF(OR(COUNTA(AN299:AP299)=0,AND(COUNTA(AN299:AP299)=3,ISNUMBER(AP299))),0,1)+IF(OR(COUNTA(AQ299:AS299)=0,AND(COUNTA(AQ299:AS299)=3,ISNUMBER(AS299))),0,1)+IF(OR(COUNTA(AT299:AV299)=0,AND(COUNTA(AT299:AV299)=3,ISNUMBER(AV299))),0,1)+IF(OR(COUNTA(AW299:AY299)=0,AND(COUNTA(AW299:AY299)=3,ISNUMBER(AY299))),0,1)+IF(OR(COUNTA(AZ299:BB299)=0,AND(COUNTA(AZ299:BB299)=3,ISNUMBER(BB299))),0,1))&gt;0,"; An invoice is incomplete (needs No, Date and a number in Ex GST)","")&amp;IF((IF(T299="",0,IFERROR(--(EOMONTH(T299,0)&lt;&gt;S$5),1))+IF(W299="",0,IFERROR(--(EOMONTH(W299,0)&lt;&gt;V$5),1))+IF(Z299="",0,IFERROR(--(EOMONTH(Z299,0)&lt;&gt;Y$5),1))+IF(AC299="",0,IFERROR(--(EOMONTH(AC299,0)&lt;&gt;AB$5),1))+IF(AF299="",0,IFERROR(--(EOMONTH(AF299,0)&lt;&gt;AE$5),1))+IF(AI299="",0,IFERROR(--(EOMONTH(AI299,0)&lt;&gt;AH$5),1))+IF(AL299="",0,IFERROR(--(EOMONTH(AL299,0)&lt;&gt;AK$5),1))+IF(AO299="",0,IFERROR(--(EOMONTH(AO299,0)&lt;&gt;AN$5),1))+IF(AR299="",0,IFERROR(--(EOMONTH(AR299,0)&lt;&gt;AQ$5),1))+IF(AU299="",0,IFERROR(--(EOMONTH(AU299,0)&lt;&gt;AT$5),1))+IF(AX299="",0,IFERROR(--(EOMONTH(AX299,0)&lt;&gt;AW$5),1))+IF(BA299="",0,IFERROR(--(EOMONTH(BA299,0)&lt;&gt;AZ$5),1)))&gt;0,"; An invoice date is not in the month it is typed under",""),3,500))</f>
        <v/>
      </c>
      <c r="S299" s="12" t="n"/>
      <c r="T299" s="13" t="n"/>
      <c r="U299" s="14" t="n"/>
      <c r="V299" s="12" t="n"/>
      <c r="W299" s="13" t="n"/>
      <c r="X299" s="14" t="n"/>
      <c r="Y299" s="12" t="n"/>
      <c r="Z299" s="13" t="n"/>
      <c r="AA299" s="14" t="n"/>
      <c r="AB299" s="12" t="n"/>
      <c r="AC299" s="13" t="n"/>
      <c r="AD299" s="14" t="n"/>
      <c r="AE299" s="12" t="n"/>
      <c r="AF299" s="13" t="n"/>
      <c r="AG299" s="14" t="n"/>
      <c r="AH299" s="12" t="n"/>
      <c r="AI299" s="13" t="n"/>
      <c r="AJ299" s="14" t="n"/>
      <c r="AK299" s="12" t="n"/>
      <c r="AL299" s="13" t="n"/>
      <c r="AM299" s="14" t="n"/>
      <c r="AN299" s="12" t="n"/>
      <c r="AO299" s="13" t="n"/>
      <c r="AP299" s="14" t="n"/>
      <c r="AQ299" s="12" t="n"/>
      <c r="AR299" s="13" t="n"/>
      <c r="AS299" s="14" t="n"/>
      <c r="AT299" s="12" t="n"/>
      <c r="AU299" s="13" t="n"/>
      <c r="AV299" s="14" t="n"/>
      <c r="AW299" s="12" t="n"/>
      <c r="AX299" s="13" t="n"/>
      <c r="AY299" s="14" t="n"/>
      <c r="AZ299" s="12" t="n"/>
      <c r="BA299" s="13" t="n"/>
      <c r="BB299" s="14" t="n"/>
      <c r="BC299" s="11">
        <f>IF(O299="","",IF(J299="GST 10%",ROUND(O299*set_GSTRate,2),0))</f>
        <v/>
      </c>
      <c r="BD299" s="11">
        <f>IF(O299="","",O299+BC299)</f>
        <v/>
      </c>
      <c r="BE299" s="15">
        <f>IF(O299="","",COUNTA(S299,V299,Y299,AB299,AE299,AH299,AK299,AN299,AQ299,AT299,AW299,AZ299))</f>
        <v/>
      </c>
      <c r="BF299" s="16">
        <f>IF(COUNT(T299,W299,Z299,AC299,AF299,AI299,AL299,AO299,AR299,AU299,AX299,BA299)=0,"",MAX(T299,W299,Z299,AC299,AF299,AI299,AL299,AO299,AR299,AU299,AX299,BA299))</f>
        <v/>
      </c>
      <c r="BG299" s="10">
        <f>MID(IF(S299="","",", "&amp;S299)&amp;IF(V299="","",", "&amp;V299)&amp;IF(Y299="","",", "&amp;Y299)&amp;IF(AB299="","",", "&amp;AB299)&amp;IF(AE299="","",", "&amp;AE299)&amp;IF(AH299="","",", "&amp;AH299)&amp;IF(AK299="","",", "&amp;AK299)&amp;IF(AN299="","",", "&amp;AN299)&amp;IF(AQ299="","",", "&amp;AQ299)&amp;IF(AT299="","",", "&amp;AT299)&amp;IF(AW299="","",", "&amp;AW299)&amp;IF(AZ299="","",", "&amp;AZ299),3,500)</f>
        <v/>
      </c>
      <c r="BH299" s="12" t="n"/>
      <c r="BI299" s="15">
        <f>IFERROR(MATCH($A299,IF($B299="Onsite",tbl_Onsite[Row ID],IF($B299="Production",tbl_Production[Row ID],tbl_Consulting[Row ID])),0),"")</f>
        <v/>
      </c>
    </row>
    <row r="300">
      <c r="A300" s="10" t="inlineStr">
        <is>
          <t>ONS-0294</t>
        </is>
      </c>
      <c r="B300" s="10" t="inlineStr">
        <is>
          <t>Onsite</t>
        </is>
      </c>
      <c r="C300" s="10">
        <f>IF($BI300="","",IF($B300="Onsite",INDEX(tbl_Onsite[Job Number],$BI300),IF($B300="Production",INDEX(tbl_Production[Job Number],$BI300),INDEX(tbl_Consulting[Job Number],$BI300)))&amp;"")</f>
        <v/>
      </c>
      <c r="D300" s="10">
        <f>IF($BI300="","",IF($B300="Onsite",INDEX(tbl_Onsite[Client],$BI300),IF($B300="Production",INDEX(tbl_Production[Client],$BI300),INDEX(tbl_Consulting[Client],$BI300)))&amp;"")</f>
        <v/>
      </c>
      <c r="E300" s="10">
        <f>IF($C300="","",IF(COUNTIF(lst_Jobs,$C300)&gt;0,"OK","CHECK"))</f>
        <v/>
      </c>
      <c r="F300" s="10">
        <f>IF($C300="","",IFERROR(INDEX(lst_JobName,MATCH($C300,lst_Jobs,0)),""))</f>
        <v/>
      </c>
      <c r="G300" s="10">
        <f>IF($BI300="","",IF($B300="Onsite",INDEX(tbl_Onsite[Job Description],$BI300),IF($B300="Production",INDEX(tbl_Production[Job Description],$BI300),INDEX(tbl_Consulting[Job Description],$BI300)))&amp;"")</f>
        <v/>
      </c>
      <c r="H300" s="10">
        <f>IF($BI300="","",IF($B300="Onsite",INDEX(tbl_Onsite[Cost Centre],$BI300),IF($B300="Production",INDEX(tbl_Production[Cost Centre],$BI300),INDEX(tbl_Consulting[Cost Centre],$BI300)))&amp;"")</f>
        <v/>
      </c>
      <c r="I300" s="10">
        <f>IF($BI300="","",IF($B300="Onsite",INDEX(tbl_Onsite[Invoice Type],$BI300),IF($B300="Production",INDEX(tbl_Production[Invoice Type],$BI300),INDEX(tbl_Consulting[Invoice Type],$BI300)))&amp;"")</f>
        <v/>
      </c>
      <c r="J300" s="10">
        <f>IF($BI300="","",IF($B300="Onsite",INDEX(tbl_Onsite[Tax Code],$BI300),IF($B300="Production",INDEX(tbl_Production[Tax Code],$BI300),INDEX(tbl_Consulting[Tax Code],$BI300)))&amp;"")</f>
        <v/>
      </c>
      <c r="K300" s="10">
        <f>IF(H300="","",IFERROR(INDEX(lst_CCtoGL,MATCH(H300,lst_CCforGL,0)),""))</f>
        <v/>
      </c>
      <c r="L300" s="10">
        <f>IF($BI300="","",IF($B300="Onsite",INDEX(tbl_Onsite[PO / Reference],$BI300),IF($B300="Production",INDEX(tbl_Production[Current RMS No],$BI300),INDEX(tbl_Consulting[Qwilr Quote],$BI300)))&amp;"")</f>
        <v/>
      </c>
      <c r="M300" s="10">
        <f>IF($BI300="","",IF($B300="Onsite",INDEX(tbl_Onsite[Notes],$BI300),IF($B300="Production",INDEX(tbl_Production[Notes],$BI300),INDEX(tbl_Consulting[Notes],$BI300)))&amp;"")</f>
        <v/>
      </c>
      <c r="N300" s="11">
        <f>IF($BI300="","",IF(IF($B300="Onsite",INDEX(tbl_Onsite[Expected Revenue Ex GST],$BI300),IF($B300="Production",INDEX(tbl_Production[Expected Revenue Ex GST],$BI300),INDEX(tbl_Consulting[Expected Revenue Ex GST],$BI300)))="","",IF($B300="Onsite",INDEX(tbl_Onsite[Expected Revenue Ex GST],$BI300),IF($B300="Production",INDEX(tbl_Production[Expected Revenue Ex GST],$BI300),INDEX(tbl_Consulting[Expected Revenue Ex GST],$BI300)))))</f>
        <v/>
      </c>
      <c r="O300" s="11">
        <f>IF(AND($C300="",NOT(COUNTA($S300:$BB300)&gt;0)),"",SUM(U300,X300,AA300,AD300,AG300,AJ300,AM300,AP300,AS300,AV300,AY300,BB300))</f>
        <v/>
      </c>
      <c r="P300" s="11">
        <f>IF(O300="","",N(N300)-O300)</f>
        <v/>
      </c>
      <c r="Q300" s="10">
        <f>IF(O300="","",IF($C300="","Invoice on empty job row",IF(N300="",IF(ROUND(O300,2)=0,"No dept value","Invoiced - no dept value"),IF(ROUND(O300,2)=0,"Not invoiced - to invoice",IF(ROUND(P300,2)=0,"Agrees",IF(P300&gt;0,"Dept higher - to invoice","Xero higher - check dept"))))))</f>
        <v/>
      </c>
      <c r="R300" s="10">
        <f>IF(AND($C300="",NOT(COUNTA($S300:$BB300)&gt;0),$BI300&lt;&gt;""),"",MID(IF($BI300="","; Row ID not found on the department sheet - a row was deleted","")&amp;IF(AND($C300="",COUNTA($S300:$BB300)&gt;0),"; Invoice entered but the department row has no job number","")&amp;IF(E300="CHECK","; Job number not in the Xero job list","")&amp;IF(AND($C300&lt;&gt;"",COUNTIF($C$7:$C$1506,$C300)&gt;1),"; Job number on more than one row","")&amp;IF(AND($C300&lt;&gt;"",H300=""),"; Dept has not set a cost centre","")&amp;IF(AND($C300&lt;&gt;"",J300=""),"; Dept has not set a tax code","")&amp;IF(AND($C300&lt;&gt;"",N300=""),"; Dept has not entered an expected value","")&amp;IF((IF(OR(COUNTA(S300:U300)=0,AND(COUNTA(S300:U300)=3,ISNUMBER(U300))),0,1)+IF(OR(COUNTA(V300:X300)=0,AND(COUNTA(V300:X300)=3,ISNUMBER(X300))),0,1)+IF(OR(COUNTA(Y300:AA300)=0,AND(COUNTA(Y300:AA300)=3,ISNUMBER(AA300))),0,1)+IF(OR(COUNTA(AB300:AD300)=0,AND(COUNTA(AB300:AD300)=3,ISNUMBER(AD300))),0,1)+IF(OR(COUNTA(AE300:AG300)=0,AND(COUNTA(AE300:AG300)=3,ISNUMBER(AG300))),0,1)+IF(OR(COUNTA(AH300:AJ300)=0,AND(COUNTA(AH300:AJ300)=3,ISNUMBER(AJ300))),0,1)+IF(OR(COUNTA(AK300:AM300)=0,AND(COUNTA(AK300:AM300)=3,ISNUMBER(AM300))),0,1)+IF(OR(COUNTA(AN300:AP300)=0,AND(COUNTA(AN300:AP300)=3,ISNUMBER(AP300))),0,1)+IF(OR(COUNTA(AQ300:AS300)=0,AND(COUNTA(AQ300:AS300)=3,ISNUMBER(AS300))),0,1)+IF(OR(COUNTA(AT300:AV300)=0,AND(COUNTA(AT300:AV300)=3,ISNUMBER(AV300))),0,1)+IF(OR(COUNTA(AW300:AY300)=0,AND(COUNTA(AW300:AY300)=3,ISNUMBER(AY300))),0,1)+IF(OR(COUNTA(AZ300:BB300)=0,AND(COUNTA(AZ300:BB300)=3,ISNUMBER(BB300))),0,1))&gt;0,"; An invoice is incomplete (needs No, Date and a number in Ex GST)","")&amp;IF((IF(T300="",0,IFERROR(--(EOMONTH(T300,0)&lt;&gt;S$5),1))+IF(W300="",0,IFERROR(--(EOMONTH(W300,0)&lt;&gt;V$5),1))+IF(Z300="",0,IFERROR(--(EOMONTH(Z300,0)&lt;&gt;Y$5),1))+IF(AC300="",0,IFERROR(--(EOMONTH(AC300,0)&lt;&gt;AB$5),1))+IF(AF300="",0,IFERROR(--(EOMONTH(AF300,0)&lt;&gt;AE$5),1))+IF(AI300="",0,IFERROR(--(EOMONTH(AI300,0)&lt;&gt;AH$5),1))+IF(AL300="",0,IFERROR(--(EOMONTH(AL300,0)&lt;&gt;AK$5),1))+IF(AO300="",0,IFERROR(--(EOMONTH(AO300,0)&lt;&gt;AN$5),1))+IF(AR300="",0,IFERROR(--(EOMONTH(AR300,0)&lt;&gt;AQ$5),1))+IF(AU300="",0,IFERROR(--(EOMONTH(AU300,0)&lt;&gt;AT$5),1))+IF(AX300="",0,IFERROR(--(EOMONTH(AX300,0)&lt;&gt;AW$5),1))+IF(BA300="",0,IFERROR(--(EOMONTH(BA300,0)&lt;&gt;AZ$5),1)))&gt;0,"; An invoice date is not in the month it is typed under",""),3,500))</f>
        <v/>
      </c>
      <c r="S300" s="12" t="n"/>
      <c r="T300" s="13" t="n"/>
      <c r="U300" s="14" t="n"/>
      <c r="V300" s="12" t="n"/>
      <c r="W300" s="13" t="n"/>
      <c r="X300" s="14" t="n"/>
      <c r="Y300" s="12" t="n"/>
      <c r="Z300" s="13" t="n"/>
      <c r="AA300" s="14" t="n"/>
      <c r="AB300" s="12" t="n"/>
      <c r="AC300" s="13" t="n"/>
      <c r="AD300" s="14" t="n"/>
      <c r="AE300" s="12" t="n"/>
      <c r="AF300" s="13" t="n"/>
      <c r="AG300" s="14" t="n"/>
      <c r="AH300" s="12" t="n"/>
      <c r="AI300" s="13" t="n"/>
      <c r="AJ300" s="14" t="n"/>
      <c r="AK300" s="12" t="n"/>
      <c r="AL300" s="13" t="n"/>
      <c r="AM300" s="14" t="n"/>
      <c r="AN300" s="12" t="n"/>
      <c r="AO300" s="13" t="n"/>
      <c r="AP300" s="14" t="n"/>
      <c r="AQ300" s="12" t="n"/>
      <c r="AR300" s="13" t="n"/>
      <c r="AS300" s="14" t="n"/>
      <c r="AT300" s="12" t="n"/>
      <c r="AU300" s="13" t="n"/>
      <c r="AV300" s="14" t="n"/>
      <c r="AW300" s="12" t="n"/>
      <c r="AX300" s="13" t="n"/>
      <c r="AY300" s="14" t="n"/>
      <c r="AZ300" s="12" t="n"/>
      <c r="BA300" s="13" t="n"/>
      <c r="BB300" s="14" t="n"/>
      <c r="BC300" s="11">
        <f>IF(O300="","",IF(J300="GST 10%",ROUND(O300*set_GSTRate,2),0))</f>
        <v/>
      </c>
      <c r="BD300" s="11">
        <f>IF(O300="","",O300+BC300)</f>
        <v/>
      </c>
      <c r="BE300" s="15">
        <f>IF(O300="","",COUNTA(S300,V300,Y300,AB300,AE300,AH300,AK300,AN300,AQ300,AT300,AW300,AZ300))</f>
        <v/>
      </c>
      <c r="BF300" s="16">
        <f>IF(COUNT(T300,W300,Z300,AC300,AF300,AI300,AL300,AO300,AR300,AU300,AX300,BA300)=0,"",MAX(T300,W300,Z300,AC300,AF300,AI300,AL300,AO300,AR300,AU300,AX300,BA300))</f>
        <v/>
      </c>
      <c r="BG300" s="10">
        <f>MID(IF(S300="","",", "&amp;S300)&amp;IF(V300="","",", "&amp;V300)&amp;IF(Y300="","",", "&amp;Y300)&amp;IF(AB300="","",", "&amp;AB300)&amp;IF(AE300="","",", "&amp;AE300)&amp;IF(AH300="","",", "&amp;AH300)&amp;IF(AK300="","",", "&amp;AK300)&amp;IF(AN300="","",", "&amp;AN300)&amp;IF(AQ300="","",", "&amp;AQ300)&amp;IF(AT300="","",", "&amp;AT300)&amp;IF(AW300="","",", "&amp;AW300)&amp;IF(AZ300="","",", "&amp;AZ300),3,500)</f>
        <v/>
      </c>
      <c r="BH300" s="12" t="n"/>
      <c r="BI300" s="15">
        <f>IFERROR(MATCH($A300,IF($B300="Onsite",tbl_Onsite[Row ID],IF($B300="Production",tbl_Production[Row ID],tbl_Consulting[Row ID])),0),"")</f>
        <v/>
      </c>
    </row>
    <row r="301">
      <c r="A301" s="10" t="inlineStr">
        <is>
          <t>ONS-0295</t>
        </is>
      </c>
      <c r="B301" s="10" t="inlineStr">
        <is>
          <t>Onsite</t>
        </is>
      </c>
      <c r="C301" s="10">
        <f>IF($BI301="","",IF($B301="Onsite",INDEX(tbl_Onsite[Job Number],$BI301),IF($B301="Production",INDEX(tbl_Production[Job Number],$BI301),INDEX(tbl_Consulting[Job Number],$BI301)))&amp;"")</f>
        <v/>
      </c>
      <c r="D301" s="10">
        <f>IF($BI301="","",IF($B301="Onsite",INDEX(tbl_Onsite[Client],$BI301),IF($B301="Production",INDEX(tbl_Production[Client],$BI301),INDEX(tbl_Consulting[Client],$BI301)))&amp;"")</f>
        <v/>
      </c>
      <c r="E301" s="10">
        <f>IF($C301="","",IF(COUNTIF(lst_Jobs,$C301)&gt;0,"OK","CHECK"))</f>
        <v/>
      </c>
      <c r="F301" s="10">
        <f>IF($C301="","",IFERROR(INDEX(lst_JobName,MATCH($C301,lst_Jobs,0)),""))</f>
        <v/>
      </c>
      <c r="G301" s="10">
        <f>IF($BI301="","",IF($B301="Onsite",INDEX(tbl_Onsite[Job Description],$BI301),IF($B301="Production",INDEX(tbl_Production[Job Description],$BI301),INDEX(tbl_Consulting[Job Description],$BI301)))&amp;"")</f>
        <v/>
      </c>
      <c r="H301" s="10">
        <f>IF($BI301="","",IF($B301="Onsite",INDEX(tbl_Onsite[Cost Centre],$BI301),IF($B301="Production",INDEX(tbl_Production[Cost Centre],$BI301),INDEX(tbl_Consulting[Cost Centre],$BI301)))&amp;"")</f>
        <v/>
      </c>
      <c r="I301" s="10">
        <f>IF($BI301="","",IF($B301="Onsite",INDEX(tbl_Onsite[Invoice Type],$BI301),IF($B301="Production",INDEX(tbl_Production[Invoice Type],$BI301),INDEX(tbl_Consulting[Invoice Type],$BI301)))&amp;"")</f>
        <v/>
      </c>
      <c r="J301" s="10">
        <f>IF($BI301="","",IF($B301="Onsite",INDEX(tbl_Onsite[Tax Code],$BI301),IF($B301="Production",INDEX(tbl_Production[Tax Code],$BI301),INDEX(tbl_Consulting[Tax Code],$BI301)))&amp;"")</f>
        <v/>
      </c>
      <c r="K301" s="10">
        <f>IF(H301="","",IFERROR(INDEX(lst_CCtoGL,MATCH(H301,lst_CCforGL,0)),""))</f>
        <v/>
      </c>
      <c r="L301" s="10">
        <f>IF($BI301="","",IF($B301="Onsite",INDEX(tbl_Onsite[PO / Reference],$BI301),IF($B301="Production",INDEX(tbl_Production[Current RMS No],$BI301),INDEX(tbl_Consulting[Qwilr Quote],$BI301)))&amp;"")</f>
        <v/>
      </c>
      <c r="M301" s="10">
        <f>IF($BI301="","",IF($B301="Onsite",INDEX(tbl_Onsite[Notes],$BI301),IF($B301="Production",INDEX(tbl_Production[Notes],$BI301),INDEX(tbl_Consulting[Notes],$BI301)))&amp;"")</f>
        <v/>
      </c>
      <c r="N301" s="11">
        <f>IF($BI301="","",IF(IF($B301="Onsite",INDEX(tbl_Onsite[Expected Revenue Ex GST],$BI301),IF($B301="Production",INDEX(tbl_Production[Expected Revenue Ex GST],$BI301),INDEX(tbl_Consulting[Expected Revenue Ex GST],$BI301)))="","",IF($B301="Onsite",INDEX(tbl_Onsite[Expected Revenue Ex GST],$BI301),IF($B301="Production",INDEX(tbl_Production[Expected Revenue Ex GST],$BI301),INDEX(tbl_Consulting[Expected Revenue Ex GST],$BI301)))))</f>
        <v/>
      </c>
      <c r="O301" s="11">
        <f>IF(AND($C301="",NOT(COUNTA($S301:$BB301)&gt;0)),"",SUM(U301,X301,AA301,AD301,AG301,AJ301,AM301,AP301,AS301,AV301,AY301,BB301))</f>
        <v/>
      </c>
      <c r="P301" s="11">
        <f>IF(O301="","",N(N301)-O301)</f>
        <v/>
      </c>
      <c r="Q301" s="10">
        <f>IF(O301="","",IF($C301="","Invoice on empty job row",IF(N301="",IF(ROUND(O301,2)=0,"No dept value","Invoiced - no dept value"),IF(ROUND(O301,2)=0,"Not invoiced - to invoice",IF(ROUND(P301,2)=0,"Agrees",IF(P301&gt;0,"Dept higher - to invoice","Xero higher - check dept"))))))</f>
        <v/>
      </c>
      <c r="R301" s="10">
        <f>IF(AND($C301="",NOT(COUNTA($S301:$BB301)&gt;0),$BI301&lt;&gt;""),"",MID(IF($BI301="","; Row ID not found on the department sheet - a row was deleted","")&amp;IF(AND($C301="",COUNTA($S301:$BB301)&gt;0),"; Invoice entered but the department row has no job number","")&amp;IF(E301="CHECK","; Job number not in the Xero job list","")&amp;IF(AND($C301&lt;&gt;"",COUNTIF($C$7:$C$1506,$C301)&gt;1),"; Job number on more than one row","")&amp;IF(AND($C301&lt;&gt;"",H301=""),"; Dept has not set a cost centre","")&amp;IF(AND($C301&lt;&gt;"",J301=""),"; Dept has not set a tax code","")&amp;IF(AND($C301&lt;&gt;"",N301=""),"; Dept has not entered an expected value","")&amp;IF((IF(OR(COUNTA(S301:U301)=0,AND(COUNTA(S301:U301)=3,ISNUMBER(U301))),0,1)+IF(OR(COUNTA(V301:X301)=0,AND(COUNTA(V301:X301)=3,ISNUMBER(X301))),0,1)+IF(OR(COUNTA(Y301:AA301)=0,AND(COUNTA(Y301:AA301)=3,ISNUMBER(AA301))),0,1)+IF(OR(COUNTA(AB301:AD301)=0,AND(COUNTA(AB301:AD301)=3,ISNUMBER(AD301))),0,1)+IF(OR(COUNTA(AE301:AG301)=0,AND(COUNTA(AE301:AG301)=3,ISNUMBER(AG301))),0,1)+IF(OR(COUNTA(AH301:AJ301)=0,AND(COUNTA(AH301:AJ301)=3,ISNUMBER(AJ301))),0,1)+IF(OR(COUNTA(AK301:AM301)=0,AND(COUNTA(AK301:AM301)=3,ISNUMBER(AM301))),0,1)+IF(OR(COUNTA(AN301:AP301)=0,AND(COUNTA(AN301:AP301)=3,ISNUMBER(AP301))),0,1)+IF(OR(COUNTA(AQ301:AS301)=0,AND(COUNTA(AQ301:AS301)=3,ISNUMBER(AS301))),0,1)+IF(OR(COUNTA(AT301:AV301)=0,AND(COUNTA(AT301:AV301)=3,ISNUMBER(AV301))),0,1)+IF(OR(COUNTA(AW301:AY301)=0,AND(COUNTA(AW301:AY301)=3,ISNUMBER(AY301))),0,1)+IF(OR(COUNTA(AZ301:BB301)=0,AND(COUNTA(AZ301:BB301)=3,ISNUMBER(BB301))),0,1))&gt;0,"; An invoice is incomplete (needs No, Date and a number in Ex GST)","")&amp;IF((IF(T301="",0,IFERROR(--(EOMONTH(T301,0)&lt;&gt;S$5),1))+IF(W301="",0,IFERROR(--(EOMONTH(W301,0)&lt;&gt;V$5),1))+IF(Z301="",0,IFERROR(--(EOMONTH(Z301,0)&lt;&gt;Y$5),1))+IF(AC301="",0,IFERROR(--(EOMONTH(AC301,0)&lt;&gt;AB$5),1))+IF(AF301="",0,IFERROR(--(EOMONTH(AF301,0)&lt;&gt;AE$5),1))+IF(AI301="",0,IFERROR(--(EOMONTH(AI301,0)&lt;&gt;AH$5),1))+IF(AL301="",0,IFERROR(--(EOMONTH(AL301,0)&lt;&gt;AK$5),1))+IF(AO301="",0,IFERROR(--(EOMONTH(AO301,0)&lt;&gt;AN$5),1))+IF(AR301="",0,IFERROR(--(EOMONTH(AR301,0)&lt;&gt;AQ$5),1))+IF(AU301="",0,IFERROR(--(EOMONTH(AU301,0)&lt;&gt;AT$5),1))+IF(AX301="",0,IFERROR(--(EOMONTH(AX301,0)&lt;&gt;AW$5),1))+IF(BA301="",0,IFERROR(--(EOMONTH(BA301,0)&lt;&gt;AZ$5),1)))&gt;0,"; An invoice date is not in the month it is typed under",""),3,500))</f>
        <v/>
      </c>
      <c r="S301" s="12" t="n"/>
      <c r="T301" s="13" t="n"/>
      <c r="U301" s="14" t="n"/>
      <c r="V301" s="12" t="n"/>
      <c r="W301" s="13" t="n"/>
      <c r="X301" s="14" t="n"/>
      <c r="Y301" s="12" t="n"/>
      <c r="Z301" s="13" t="n"/>
      <c r="AA301" s="14" t="n"/>
      <c r="AB301" s="12" t="n"/>
      <c r="AC301" s="13" t="n"/>
      <c r="AD301" s="14" t="n"/>
      <c r="AE301" s="12" t="n"/>
      <c r="AF301" s="13" t="n"/>
      <c r="AG301" s="14" t="n"/>
      <c r="AH301" s="12" t="n"/>
      <c r="AI301" s="13" t="n"/>
      <c r="AJ301" s="14" t="n"/>
      <c r="AK301" s="12" t="n"/>
      <c r="AL301" s="13" t="n"/>
      <c r="AM301" s="14" t="n"/>
      <c r="AN301" s="12" t="n"/>
      <c r="AO301" s="13" t="n"/>
      <c r="AP301" s="14" t="n"/>
      <c r="AQ301" s="12" t="n"/>
      <c r="AR301" s="13" t="n"/>
      <c r="AS301" s="14" t="n"/>
      <c r="AT301" s="12" t="n"/>
      <c r="AU301" s="13" t="n"/>
      <c r="AV301" s="14" t="n"/>
      <c r="AW301" s="12" t="n"/>
      <c r="AX301" s="13" t="n"/>
      <c r="AY301" s="14" t="n"/>
      <c r="AZ301" s="12" t="n"/>
      <c r="BA301" s="13" t="n"/>
      <c r="BB301" s="14" t="n"/>
      <c r="BC301" s="11">
        <f>IF(O301="","",IF(J301="GST 10%",ROUND(O301*set_GSTRate,2),0))</f>
        <v/>
      </c>
      <c r="BD301" s="11">
        <f>IF(O301="","",O301+BC301)</f>
        <v/>
      </c>
      <c r="BE301" s="15">
        <f>IF(O301="","",COUNTA(S301,V301,Y301,AB301,AE301,AH301,AK301,AN301,AQ301,AT301,AW301,AZ301))</f>
        <v/>
      </c>
      <c r="BF301" s="16">
        <f>IF(COUNT(T301,W301,Z301,AC301,AF301,AI301,AL301,AO301,AR301,AU301,AX301,BA301)=0,"",MAX(T301,W301,Z301,AC301,AF301,AI301,AL301,AO301,AR301,AU301,AX301,BA301))</f>
        <v/>
      </c>
      <c r="BG301" s="10">
        <f>MID(IF(S301="","",", "&amp;S301)&amp;IF(V301="","",", "&amp;V301)&amp;IF(Y301="","",", "&amp;Y301)&amp;IF(AB301="","",", "&amp;AB301)&amp;IF(AE301="","",", "&amp;AE301)&amp;IF(AH301="","",", "&amp;AH301)&amp;IF(AK301="","",", "&amp;AK301)&amp;IF(AN301="","",", "&amp;AN301)&amp;IF(AQ301="","",", "&amp;AQ301)&amp;IF(AT301="","",", "&amp;AT301)&amp;IF(AW301="","",", "&amp;AW301)&amp;IF(AZ301="","",", "&amp;AZ301),3,500)</f>
        <v/>
      </c>
      <c r="BH301" s="12" t="n"/>
      <c r="BI301" s="15">
        <f>IFERROR(MATCH($A301,IF($B301="Onsite",tbl_Onsite[Row ID],IF($B301="Production",tbl_Production[Row ID],tbl_Consulting[Row ID])),0),"")</f>
        <v/>
      </c>
    </row>
    <row r="302">
      <c r="A302" s="10" t="inlineStr">
        <is>
          <t>ONS-0296</t>
        </is>
      </c>
      <c r="B302" s="10" t="inlineStr">
        <is>
          <t>Onsite</t>
        </is>
      </c>
      <c r="C302" s="10">
        <f>IF($BI302="","",IF($B302="Onsite",INDEX(tbl_Onsite[Job Number],$BI302),IF($B302="Production",INDEX(tbl_Production[Job Number],$BI302),INDEX(tbl_Consulting[Job Number],$BI302)))&amp;"")</f>
        <v/>
      </c>
      <c r="D302" s="10">
        <f>IF($BI302="","",IF($B302="Onsite",INDEX(tbl_Onsite[Client],$BI302),IF($B302="Production",INDEX(tbl_Production[Client],$BI302),INDEX(tbl_Consulting[Client],$BI302)))&amp;"")</f>
        <v/>
      </c>
      <c r="E302" s="10">
        <f>IF($C302="","",IF(COUNTIF(lst_Jobs,$C302)&gt;0,"OK","CHECK"))</f>
        <v/>
      </c>
      <c r="F302" s="10">
        <f>IF($C302="","",IFERROR(INDEX(lst_JobName,MATCH($C302,lst_Jobs,0)),""))</f>
        <v/>
      </c>
      <c r="G302" s="10">
        <f>IF($BI302="","",IF($B302="Onsite",INDEX(tbl_Onsite[Job Description],$BI302),IF($B302="Production",INDEX(tbl_Production[Job Description],$BI302),INDEX(tbl_Consulting[Job Description],$BI302)))&amp;"")</f>
        <v/>
      </c>
      <c r="H302" s="10">
        <f>IF($BI302="","",IF($B302="Onsite",INDEX(tbl_Onsite[Cost Centre],$BI302),IF($B302="Production",INDEX(tbl_Production[Cost Centre],$BI302),INDEX(tbl_Consulting[Cost Centre],$BI302)))&amp;"")</f>
        <v/>
      </c>
      <c r="I302" s="10">
        <f>IF($BI302="","",IF($B302="Onsite",INDEX(tbl_Onsite[Invoice Type],$BI302),IF($B302="Production",INDEX(tbl_Production[Invoice Type],$BI302),INDEX(tbl_Consulting[Invoice Type],$BI302)))&amp;"")</f>
        <v/>
      </c>
      <c r="J302" s="10">
        <f>IF($BI302="","",IF($B302="Onsite",INDEX(tbl_Onsite[Tax Code],$BI302),IF($B302="Production",INDEX(tbl_Production[Tax Code],$BI302),INDEX(tbl_Consulting[Tax Code],$BI302)))&amp;"")</f>
        <v/>
      </c>
      <c r="K302" s="10">
        <f>IF(H302="","",IFERROR(INDEX(lst_CCtoGL,MATCH(H302,lst_CCforGL,0)),""))</f>
        <v/>
      </c>
      <c r="L302" s="10">
        <f>IF($BI302="","",IF($B302="Onsite",INDEX(tbl_Onsite[PO / Reference],$BI302),IF($B302="Production",INDEX(tbl_Production[Current RMS No],$BI302),INDEX(tbl_Consulting[Qwilr Quote],$BI302)))&amp;"")</f>
        <v/>
      </c>
      <c r="M302" s="10">
        <f>IF($BI302="","",IF($B302="Onsite",INDEX(tbl_Onsite[Notes],$BI302),IF($B302="Production",INDEX(tbl_Production[Notes],$BI302),INDEX(tbl_Consulting[Notes],$BI302)))&amp;"")</f>
        <v/>
      </c>
      <c r="N302" s="11">
        <f>IF($BI302="","",IF(IF($B302="Onsite",INDEX(tbl_Onsite[Expected Revenue Ex GST],$BI302),IF($B302="Production",INDEX(tbl_Production[Expected Revenue Ex GST],$BI302),INDEX(tbl_Consulting[Expected Revenue Ex GST],$BI302)))="","",IF($B302="Onsite",INDEX(tbl_Onsite[Expected Revenue Ex GST],$BI302),IF($B302="Production",INDEX(tbl_Production[Expected Revenue Ex GST],$BI302),INDEX(tbl_Consulting[Expected Revenue Ex GST],$BI302)))))</f>
        <v/>
      </c>
      <c r="O302" s="11">
        <f>IF(AND($C302="",NOT(COUNTA($S302:$BB302)&gt;0)),"",SUM(U302,X302,AA302,AD302,AG302,AJ302,AM302,AP302,AS302,AV302,AY302,BB302))</f>
        <v/>
      </c>
      <c r="P302" s="11">
        <f>IF(O302="","",N(N302)-O302)</f>
        <v/>
      </c>
      <c r="Q302" s="10">
        <f>IF(O302="","",IF($C302="","Invoice on empty job row",IF(N302="",IF(ROUND(O302,2)=0,"No dept value","Invoiced - no dept value"),IF(ROUND(O302,2)=0,"Not invoiced - to invoice",IF(ROUND(P302,2)=0,"Agrees",IF(P302&gt;0,"Dept higher - to invoice","Xero higher - check dept"))))))</f>
        <v/>
      </c>
      <c r="R302" s="10">
        <f>IF(AND($C302="",NOT(COUNTA($S302:$BB302)&gt;0),$BI302&lt;&gt;""),"",MID(IF($BI302="","; Row ID not found on the department sheet - a row was deleted","")&amp;IF(AND($C302="",COUNTA($S302:$BB302)&gt;0),"; Invoice entered but the department row has no job number","")&amp;IF(E302="CHECK","; Job number not in the Xero job list","")&amp;IF(AND($C302&lt;&gt;"",COUNTIF($C$7:$C$1506,$C302)&gt;1),"; Job number on more than one row","")&amp;IF(AND($C302&lt;&gt;"",H302=""),"; Dept has not set a cost centre","")&amp;IF(AND($C302&lt;&gt;"",J302=""),"; Dept has not set a tax code","")&amp;IF(AND($C302&lt;&gt;"",N302=""),"; Dept has not entered an expected value","")&amp;IF((IF(OR(COUNTA(S302:U302)=0,AND(COUNTA(S302:U302)=3,ISNUMBER(U302))),0,1)+IF(OR(COUNTA(V302:X302)=0,AND(COUNTA(V302:X302)=3,ISNUMBER(X302))),0,1)+IF(OR(COUNTA(Y302:AA302)=0,AND(COUNTA(Y302:AA302)=3,ISNUMBER(AA302))),0,1)+IF(OR(COUNTA(AB302:AD302)=0,AND(COUNTA(AB302:AD302)=3,ISNUMBER(AD302))),0,1)+IF(OR(COUNTA(AE302:AG302)=0,AND(COUNTA(AE302:AG302)=3,ISNUMBER(AG302))),0,1)+IF(OR(COUNTA(AH302:AJ302)=0,AND(COUNTA(AH302:AJ302)=3,ISNUMBER(AJ302))),0,1)+IF(OR(COUNTA(AK302:AM302)=0,AND(COUNTA(AK302:AM302)=3,ISNUMBER(AM302))),0,1)+IF(OR(COUNTA(AN302:AP302)=0,AND(COUNTA(AN302:AP302)=3,ISNUMBER(AP302))),0,1)+IF(OR(COUNTA(AQ302:AS302)=0,AND(COUNTA(AQ302:AS302)=3,ISNUMBER(AS302))),0,1)+IF(OR(COUNTA(AT302:AV302)=0,AND(COUNTA(AT302:AV302)=3,ISNUMBER(AV302))),0,1)+IF(OR(COUNTA(AW302:AY302)=0,AND(COUNTA(AW302:AY302)=3,ISNUMBER(AY302))),0,1)+IF(OR(COUNTA(AZ302:BB302)=0,AND(COUNTA(AZ302:BB302)=3,ISNUMBER(BB302))),0,1))&gt;0,"; An invoice is incomplete (needs No, Date and a number in Ex GST)","")&amp;IF((IF(T302="",0,IFERROR(--(EOMONTH(T302,0)&lt;&gt;S$5),1))+IF(W302="",0,IFERROR(--(EOMONTH(W302,0)&lt;&gt;V$5),1))+IF(Z302="",0,IFERROR(--(EOMONTH(Z302,0)&lt;&gt;Y$5),1))+IF(AC302="",0,IFERROR(--(EOMONTH(AC302,0)&lt;&gt;AB$5),1))+IF(AF302="",0,IFERROR(--(EOMONTH(AF302,0)&lt;&gt;AE$5),1))+IF(AI302="",0,IFERROR(--(EOMONTH(AI302,0)&lt;&gt;AH$5),1))+IF(AL302="",0,IFERROR(--(EOMONTH(AL302,0)&lt;&gt;AK$5),1))+IF(AO302="",0,IFERROR(--(EOMONTH(AO302,0)&lt;&gt;AN$5),1))+IF(AR302="",0,IFERROR(--(EOMONTH(AR302,0)&lt;&gt;AQ$5),1))+IF(AU302="",0,IFERROR(--(EOMONTH(AU302,0)&lt;&gt;AT$5),1))+IF(AX302="",0,IFERROR(--(EOMONTH(AX302,0)&lt;&gt;AW$5),1))+IF(BA302="",0,IFERROR(--(EOMONTH(BA302,0)&lt;&gt;AZ$5),1)))&gt;0,"; An invoice date is not in the month it is typed under",""),3,500))</f>
        <v/>
      </c>
      <c r="S302" s="12" t="n"/>
      <c r="T302" s="13" t="n"/>
      <c r="U302" s="14" t="n"/>
      <c r="V302" s="12" t="n"/>
      <c r="W302" s="13" t="n"/>
      <c r="X302" s="14" t="n"/>
      <c r="Y302" s="12" t="n"/>
      <c r="Z302" s="13" t="n"/>
      <c r="AA302" s="14" t="n"/>
      <c r="AB302" s="12" t="n"/>
      <c r="AC302" s="13" t="n"/>
      <c r="AD302" s="14" t="n"/>
      <c r="AE302" s="12" t="n"/>
      <c r="AF302" s="13" t="n"/>
      <c r="AG302" s="14" t="n"/>
      <c r="AH302" s="12" t="n"/>
      <c r="AI302" s="13" t="n"/>
      <c r="AJ302" s="14" t="n"/>
      <c r="AK302" s="12" t="n"/>
      <c r="AL302" s="13" t="n"/>
      <c r="AM302" s="14" t="n"/>
      <c r="AN302" s="12" t="n"/>
      <c r="AO302" s="13" t="n"/>
      <c r="AP302" s="14" t="n"/>
      <c r="AQ302" s="12" t="n"/>
      <c r="AR302" s="13" t="n"/>
      <c r="AS302" s="14" t="n"/>
      <c r="AT302" s="12" t="n"/>
      <c r="AU302" s="13" t="n"/>
      <c r="AV302" s="14" t="n"/>
      <c r="AW302" s="12" t="n"/>
      <c r="AX302" s="13" t="n"/>
      <c r="AY302" s="14" t="n"/>
      <c r="AZ302" s="12" t="n"/>
      <c r="BA302" s="13" t="n"/>
      <c r="BB302" s="14" t="n"/>
      <c r="BC302" s="11">
        <f>IF(O302="","",IF(J302="GST 10%",ROUND(O302*set_GSTRate,2),0))</f>
        <v/>
      </c>
      <c r="BD302" s="11">
        <f>IF(O302="","",O302+BC302)</f>
        <v/>
      </c>
      <c r="BE302" s="15">
        <f>IF(O302="","",COUNTA(S302,V302,Y302,AB302,AE302,AH302,AK302,AN302,AQ302,AT302,AW302,AZ302))</f>
        <v/>
      </c>
      <c r="BF302" s="16">
        <f>IF(COUNT(T302,W302,Z302,AC302,AF302,AI302,AL302,AO302,AR302,AU302,AX302,BA302)=0,"",MAX(T302,W302,Z302,AC302,AF302,AI302,AL302,AO302,AR302,AU302,AX302,BA302))</f>
        <v/>
      </c>
      <c r="BG302" s="10">
        <f>MID(IF(S302="","",", "&amp;S302)&amp;IF(V302="","",", "&amp;V302)&amp;IF(Y302="","",", "&amp;Y302)&amp;IF(AB302="","",", "&amp;AB302)&amp;IF(AE302="","",", "&amp;AE302)&amp;IF(AH302="","",", "&amp;AH302)&amp;IF(AK302="","",", "&amp;AK302)&amp;IF(AN302="","",", "&amp;AN302)&amp;IF(AQ302="","",", "&amp;AQ302)&amp;IF(AT302="","",", "&amp;AT302)&amp;IF(AW302="","",", "&amp;AW302)&amp;IF(AZ302="","",", "&amp;AZ302),3,500)</f>
        <v/>
      </c>
      <c r="BH302" s="12" t="n"/>
      <c r="BI302" s="15">
        <f>IFERROR(MATCH($A302,IF($B302="Onsite",tbl_Onsite[Row ID],IF($B302="Production",tbl_Production[Row ID],tbl_Consulting[Row ID])),0),"")</f>
        <v/>
      </c>
    </row>
    <row r="303">
      <c r="A303" s="10" t="inlineStr">
        <is>
          <t>ONS-0297</t>
        </is>
      </c>
      <c r="B303" s="10" t="inlineStr">
        <is>
          <t>Onsite</t>
        </is>
      </c>
      <c r="C303" s="10">
        <f>IF($BI303="","",IF($B303="Onsite",INDEX(tbl_Onsite[Job Number],$BI303),IF($B303="Production",INDEX(tbl_Production[Job Number],$BI303),INDEX(tbl_Consulting[Job Number],$BI303)))&amp;"")</f>
        <v/>
      </c>
      <c r="D303" s="10">
        <f>IF($BI303="","",IF($B303="Onsite",INDEX(tbl_Onsite[Client],$BI303),IF($B303="Production",INDEX(tbl_Production[Client],$BI303),INDEX(tbl_Consulting[Client],$BI303)))&amp;"")</f>
        <v/>
      </c>
      <c r="E303" s="10">
        <f>IF($C303="","",IF(COUNTIF(lst_Jobs,$C303)&gt;0,"OK","CHECK"))</f>
        <v/>
      </c>
      <c r="F303" s="10">
        <f>IF($C303="","",IFERROR(INDEX(lst_JobName,MATCH($C303,lst_Jobs,0)),""))</f>
        <v/>
      </c>
      <c r="G303" s="10">
        <f>IF($BI303="","",IF($B303="Onsite",INDEX(tbl_Onsite[Job Description],$BI303),IF($B303="Production",INDEX(tbl_Production[Job Description],$BI303),INDEX(tbl_Consulting[Job Description],$BI303)))&amp;"")</f>
        <v/>
      </c>
      <c r="H303" s="10">
        <f>IF($BI303="","",IF($B303="Onsite",INDEX(tbl_Onsite[Cost Centre],$BI303),IF($B303="Production",INDEX(tbl_Production[Cost Centre],$BI303),INDEX(tbl_Consulting[Cost Centre],$BI303)))&amp;"")</f>
        <v/>
      </c>
      <c r="I303" s="10">
        <f>IF($BI303="","",IF($B303="Onsite",INDEX(tbl_Onsite[Invoice Type],$BI303),IF($B303="Production",INDEX(tbl_Production[Invoice Type],$BI303),INDEX(tbl_Consulting[Invoice Type],$BI303)))&amp;"")</f>
        <v/>
      </c>
      <c r="J303" s="10">
        <f>IF($BI303="","",IF($B303="Onsite",INDEX(tbl_Onsite[Tax Code],$BI303),IF($B303="Production",INDEX(tbl_Production[Tax Code],$BI303),INDEX(tbl_Consulting[Tax Code],$BI303)))&amp;"")</f>
        <v/>
      </c>
      <c r="K303" s="10">
        <f>IF(H303="","",IFERROR(INDEX(lst_CCtoGL,MATCH(H303,lst_CCforGL,0)),""))</f>
        <v/>
      </c>
      <c r="L303" s="10">
        <f>IF($BI303="","",IF($B303="Onsite",INDEX(tbl_Onsite[PO / Reference],$BI303),IF($B303="Production",INDEX(tbl_Production[Current RMS No],$BI303),INDEX(tbl_Consulting[Qwilr Quote],$BI303)))&amp;"")</f>
        <v/>
      </c>
      <c r="M303" s="10">
        <f>IF($BI303="","",IF($B303="Onsite",INDEX(tbl_Onsite[Notes],$BI303),IF($B303="Production",INDEX(tbl_Production[Notes],$BI303),INDEX(tbl_Consulting[Notes],$BI303)))&amp;"")</f>
        <v/>
      </c>
      <c r="N303" s="11">
        <f>IF($BI303="","",IF(IF($B303="Onsite",INDEX(tbl_Onsite[Expected Revenue Ex GST],$BI303),IF($B303="Production",INDEX(tbl_Production[Expected Revenue Ex GST],$BI303),INDEX(tbl_Consulting[Expected Revenue Ex GST],$BI303)))="","",IF($B303="Onsite",INDEX(tbl_Onsite[Expected Revenue Ex GST],$BI303),IF($B303="Production",INDEX(tbl_Production[Expected Revenue Ex GST],$BI303),INDEX(tbl_Consulting[Expected Revenue Ex GST],$BI303)))))</f>
        <v/>
      </c>
      <c r="O303" s="11">
        <f>IF(AND($C303="",NOT(COUNTA($S303:$BB303)&gt;0)),"",SUM(U303,X303,AA303,AD303,AG303,AJ303,AM303,AP303,AS303,AV303,AY303,BB303))</f>
        <v/>
      </c>
      <c r="P303" s="11">
        <f>IF(O303="","",N(N303)-O303)</f>
        <v/>
      </c>
      <c r="Q303" s="10">
        <f>IF(O303="","",IF($C303="","Invoice on empty job row",IF(N303="",IF(ROUND(O303,2)=0,"No dept value","Invoiced - no dept value"),IF(ROUND(O303,2)=0,"Not invoiced - to invoice",IF(ROUND(P303,2)=0,"Agrees",IF(P303&gt;0,"Dept higher - to invoice","Xero higher - check dept"))))))</f>
        <v/>
      </c>
      <c r="R303" s="10">
        <f>IF(AND($C303="",NOT(COUNTA($S303:$BB303)&gt;0),$BI303&lt;&gt;""),"",MID(IF($BI303="","; Row ID not found on the department sheet - a row was deleted","")&amp;IF(AND($C303="",COUNTA($S303:$BB303)&gt;0),"; Invoice entered but the department row has no job number","")&amp;IF(E303="CHECK","; Job number not in the Xero job list","")&amp;IF(AND($C303&lt;&gt;"",COUNTIF($C$7:$C$1506,$C303)&gt;1),"; Job number on more than one row","")&amp;IF(AND($C303&lt;&gt;"",H303=""),"; Dept has not set a cost centre","")&amp;IF(AND($C303&lt;&gt;"",J303=""),"; Dept has not set a tax code","")&amp;IF(AND($C303&lt;&gt;"",N303=""),"; Dept has not entered an expected value","")&amp;IF((IF(OR(COUNTA(S303:U303)=0,AND(COUNTA(S303:U303)=3,ISNUMBER(U303))),0,1)+IF(OR(COUNTA(V303:X303)=0,AND(COUNTA(V303:X303)=3,ISNUMBER(X303))),0,1)+IF(OR(COUNTA(Y303:AA303)=0,AND(COUNTA(Y303:AA303)=3,ISNUMBER(AA303))),0,1)+IF(OR(COUNTA(AB303:AD303)=0,AND(COUNTA(AB303:AD303)=3,ISNUMBER(AD303))),0,1)+IF(OR(COUNTA(AE303:AG303)=0,AND(COUNTA(AE303:AG303)=3,ISNUMBER(AG303))),0,1)+IF(OR(COUNTA(AH303:AJ303)=0,AND(COUNTA(AH303:AJ303)=3,ISNUMBER(AJ303))),0,1)+IF(OR(COUNTA(AK303:AM303)=0,AND(COUNTA(AK303:AM303)=3,ISNUMBER(AM303))),0,1)+IF(OR(COUNTA(AN303:AP303)=0,AND(COUNTA(AN303:AP303)=3,ISNUMBER(AP303))),0,1)+IF(OR(COUNTA(AQ303:AS303)=0,AND(COUNTA(AQ303:AS303)=3,ISNUMBER(AS303))),0,1)+IF(OR(COUNTA(AT303:AV303)=0,AND(COUNTA(AT303:AV303)=3,ISNUMBER(AV303))),0,1)+IF(OR(COUNTA(AW303:AY303)=0,AND(COUNTA(AW303:AY303)=3,ISNUMBER(AY303))),0,1)+IF(OR(COUNTA(AZ303:BB303)=0,AND(COUNTA(AZ303:BB303)=3,ISNUMBER(BB303))),0,1))&gt;0,"; An invoice is incomplete (needs No, Date and a number in Ex GST)","")&amp;IF((IF(T303="",0,IFERROR(--(EOMONTH(T303,0)&lt;&gt;S$5),1))+IF(W303="",0,IFERROR(--(EOMONTH(W303,0)&lt;&gt;V$5),1))+IF(Z303="",0,IFERROR(--(EOMONTH(Z303,0)&lt;&gt;Y$5),1))+IF(AC303="",0,IFERROR(--(EOMONTH(AC303,0)&lt;&gt;AB$5),1))+IF(AF303="",0,IFERROR(--(EOMONTH(AF303,0)&lt;&gt;AE$5),1))+IF(AI303="",0,IFERROR(--(EOMONTH(AI303,0)&lt;&gt;AH$5),1))+IF(AL303="",0,IFERROR(--(EOMONTH(AL303,0)&lt;&gt;AK$5),1))+IF(AO303="",0,IFERROR(--(EOMONTH(AO303,0)&lt;&gt;AN$5),1))+IF(AR303="",0,IFERROR(--(EOMONTH(AR303,0)&lt;&gt;AQ$5),1))+IF(AU303="",0,IFERROR(--(EOMONTH(AU303,0)&lt;&gt;AT$5),1))+IF(AX303="",0,IFERROR(--(EOMONTH(AX303,0)&lt;&gt;AW$5),1))+IF(BA303="",0,IFERROR(--(EOMONTH(BA303,0)&lt;&gt;AZ$5),1)))&gt;0,"; An invoice date is not in the month it is typed under",""),3,500))</f>
        <v/>
      </c>
      <c r="S303" s="12" t="n"/>
      <c r="T303" s="13" t="n"/>
      <c r="U303" s="14" t="n"/>
      <c r="V303" s="12" t="n"/>
      <c r="W303" s="13" t="n"/>
      <c r="X303" s="14" t="n"/>
      <c r="Y303" s="12" t="n"/>
      <c r="Z303" s="13" t="n"/>
      <c r="AA303" s="14" t="n"/>
      <c r="AB303" s="12" t="n"/>
      <c r="AC303" s="13" t="n"/>
      <c r="AD303" s="14" t="n"/>
      <c r="AE303" s="12" t="n"/>
      <c r="AF303" s="13" t="n"/>
      <c r="AG303" s="14" t="n"/>
      <c r="AH303" s="12" t="n"/>
      <c r="AI303" s="13" t="n"/>
      <c r="AJ303" s="14" t="n"/>
      <c r="AK303" s="12" t="n"/>
      <c r="AL303" s="13" t="n"/>
      <c r="AM303" s="14" t="n"/>
      <c r="AN303" s="12" t="n"/>
      <c r="AO303" s="13" t="n"/>
      <c r="AP303" s="14" t="n"/>
      <c r="AQ303" s="12" t="n"/>
      <c r="AR303" s="13" t="n"/>
      <c r="AS303" s="14" t="n"/>
      <c r="AT303" s="12" t="n"/>
      <c r="AU303" s="13" t="n"/>
      <c r="AV303" s="14" t="n"/>
      <c r="AW303" s="12" t="n"/>
      <c r="AX303" s="13" t="n"/>
      <c r="AY303" s="14" t="n"/>
      <c r="AZ303" s="12" t="n"/>
      <c r="BA303" s="13" t="n"/>
      <c r="BB303" s="14" t="n"/>
      <c r="BC303" s="11">
        <f>IF(O303="","",IF(J303="GST 10%",ROUND(O303*set_GSTRate,2),0))</f>
        <v/>
      </c>
      <c r="BD303" s="11">
        <f>IF(O303="","",O303+BC303)</f>
        <v/>
      </c>
      <c r="BE303" s="15">
        <f>IF(O303="","",COUNTA(S303,V303,Y303,AB303,AE303,AH303,AK303,AN303,AQ303,AT303,AW303,AZ303))</f>
        <v/>
      </c>
      <c r="BF303" s="16">
        <f>IF(COUNT(T303,W303,Z303,AC303,AF303,AI303,AL303,AO303,AR303,AU303,AX303,BA303)=0,"",MAX(T303,W303,Z303,AC303,AF303,AI303,AL303,AO303,AR303,AU303,AX303,BA303))</f>
        <v/>
      </c>
      <c r="BG303" s="10">
        <f>MID(IF(S303="","",", "&amp;S303)&amp;IF(V303="","",", "&amp;V303)&amp;IF(Y303="","",", "&amp;Y303)&amp;IF(AB303="","",", "&amp;AB303)&amp;IF(AE303="","",", "&amp;AE303)&amp;IF(AH303="","",", "&amp;AH303)&amp;IF(AK303="","",", "&amp;AK303)&amp;IF(AN303="","",", "&amp;AN303)&amp;IF(AQ303="","",", "&amp;AQ303)&amp;IF(AT303="","",", "&amp;AT303)&amp;IF(AW303="","",", "&amp;AW303)&amp;IF(AZ303="","",", "&amp;AZ303),3,500)</f>
        <v/>
      </c>
      <c r="BH303" s="12" t="n"/>
      <c r="BI303" s="15">
        <f>IFERROR(MATCH($A303,IF($B303="Onsite",tbl_Onsite[Row ID],IF($B303="Production",tbl_Production[Row ID],tbl_Consulting[Row ID])),0),"")</f>
        <v/>
      </c>
    </row>
    <row r="304">
      <c r="A304" s="10" t="inlineStr">
        <is>
          <t>ONS-0298</t>
        </is>
      </c>
      <c r="B304" s="10" t="inlineStr">
        <is>
          <t>Onsite</t>
        </is>
      </c>
      <c r="C304" s="10">
        <f>IF($BI304="","",IF($B304="Onsite",INDEX(tbl_Onsite[Job Number],$BI304),IF($B304="Production",INDEX(tbl_Production[Job Number],$BI304),INDEX(tbl_Consulting[Job Number],$BI304)))&amp;"")</f>
        <v/>
      </c>
      <c r="D304" s="10">
        <f>IF($BI304="","",IF($B304="Onsite",INDEX(tbl_Onsite[Client],$BI304),IF($B304="Production",INDEX(tbl_Production[Client],$BI304),INDEX(tbl_Consulting[Client],$BI304)))&amp;"")</f>
        <v/>
      </c>
      <c r="E304" s="10">
        <f>IF($C304="","",IF(COUNTIF(lst_Jobs,$C304)&gt;0,"OK","CHECK"))</f>
        <v/>
      </c>
      <c r="F304" s="10">
        <f>IF($C304="","",IFERROR(INDEX(lst_JobName,MATCH($C304,lst_Jobs,0)),""))</f>
        <v/>
      </c>
      <c r="G304" s="10">
        <f>IF($BI304="","",IF($B304="Onsite",INDEX(tbl_Onsite[Job Description],$BI304),IF($B304="Production",INDEX(tbl_Production[Job Description],$BI304),INDEX(tbl_Consulting[Job Description],$BI304)))&amp;"")</f>
        <v/>
      </c>
      <c r="H304" s="10">
        <f>IF($BI304="","",IF($B304="Onsite",INDEX(tbl_Onsite[Cost Centre],$BI304),IF($B304="Production",INDEX(tbl_Production[Cost Centre],$BI304),INDEX(tbl_Consulting[Cost Centre],$BI304)))&amp;"")</f>
        <v/>
      </c>
      <c r="I304" s="10">
        <f>IF($BI304="","",IF($B304="Onsite",INDEX(tbl_Onsite[Invoice Type],$BI304),IF($B304="Production",INDEX(tbl_Production[Invoice Type],$BI304),INDEX(tbl_Consulting[Invoice Type],$BI304)))&amp;"")</f>
        <v/>
      </c>
      <c r="J304" s="10">
        <f>IF($BI304="","",IF($B304="Onsite",INDEX(tbl_Onsite[Tax Code],$BI304),IF($B304="Production",INDEX(tbl_Production[Tax Code],$BI304),INDEX(tbl_Consulting[Tax Code],$BI304)))&amp;"")</f>
        <v/>
      </c>
      <c r="K304" s="10">
        <f>IF(H304="","",IFERROR(INDEX(lst_CCtoGL,MATCH(H304,lst_CCforGL,0)),""))</f>
        <v/>
      </c>
      <c r="L304" s="10">
        <f>IF($BI304="","",IF($B304="Onsite",INDEX(tbl_Onsite[PO / Reference],$BI304),IF($B304="Production",INDEX(tbl_Production[Current RMS No],$BI304),INDEX(tbl_Consulting[Qwilr Quote],$BI304)))&amp;"")</f>
        <v/>
      </c>
      <c r="M304" s="10">
        <f>IF($BI304="","",IF($B304="Onsite",INDEX(tbl_Onsite[Notes],$BI304),IF($B304="Production",INDEX(tbl_Production[Notes],$BI304),INDEX(tbl_Consulting[Notes],$BI304)))&amp;"")</f>
        <v/>
      </c>
      <c r="N304" s="11">
        <f>IF($BI304="","",IF(IF($B304="Onsite",INDEX(tbl_Onsite[Expected Revenue Ex GST],$BI304),IF($B304="Production",INDEX(tbl_Production[Expected Revenue Ex GST],$BI304),INDEX(tbl_Consulting[Expected Revenue Ex GST],$BI304)))="","",IF($B304="Onsite",INDEX(tbl_Onsite[Expected Revenue Ex GST],$BI304),IF($B304="Production",INDEX(tbl_Production[Expected Revenue Ex GST],$BI304),INDEX(tbl_Consulting[Expected Revenue Ex GST],$BI304)))))</f>
        <v/>
      </c>
      <c r="O304" s="11">
        <f>IF(AND($C304="",NOT(COUNTA($S304:$BB304)&gt;0)),"",SUM(U304,X304,AA304,AD304,AG304,AJ304,AM304,AP304,AS304,AV304,AY304,BB304))</f>
        <v/>
      </c>
      <c r="P304" s="11">
        <f>IF(O304="","",N(N304)-O304)</f>
        <v/>
      </c>
      <c r="Q304" s="10">
        <f>IF(O304="","",IF($C304="","Invoice on empty job row",IF(N304="",IF(ROUND(O304,2)=0,"No dept value","Invoiced - no dept value"),IF(ROUND(O304,2)=0,"Not invoiced - to invoice",IF(ROUND(P304,2)=0,"Agrees",IF(P304&gt;0,"Dept higher - to invoice","Xero higher - check dept"))))))</f>
        <v/>
      </c>
      <c r="R304" s="10">
        <f>IF(AND($C304="",NOT(COUNTA($S304:$BB304)&gt;0),$BI304&lt;&gt;""),"",MID(IF($BI304="","; Row ID not found on the department sheet - a row was deleted","")&amp;IF(AND($C304="",COUNTA($S304:$BB304)&gt;0),"; Invoice entered but the department row has no job number","")&amp;IF(E304="CHECK","; Job number not in the Xero job list","")&amp;IF(AND($C304&lt;&gt;"",COUNTIF($C$7:$C$1506,$C304)&gt;1),"; Job number on more than one row","")&amp;IF(AND($C304&lt;&gt;"",H304=""),"; Dept has not set a cost centre","")&amp;IF(AND($C304&lt;&gt;"",J304=""),"; Dept has not set a tax code","")&amp;IF(AND($C304&lt;&gt;"",N304=""),"; Dept has not entered an expected value","")&amp;IF((IF(OR(COUNTA(S304:U304)=0,AND(COUNTA(S304:U304)=3,ISNUMBER(U304))),0,1)+IF(OR(COUNTA(V304:X304)=0,AND(COUNTA(V304:X304)=3,ISNUMBER(X304))),0,1)+IF(OR(COUNTA(Y304:AA304)=0,AND(COUNTA(Y304:AA304)=3,ISNUMBER(AA304))),0,1)+IF(OR(COUNTA(AB304:AD304)=0,AND(COUNTA(AB304:AD304)=3,ISNUMBER(AD304))),0,1)+IF(OR(COUNTA(AE304:AG304)=0,AND(COUNTA(AE304:AG304)=3,ISNUMBER(AG304))),0,1)+IF(OR(COUNTA(AH304:AJ304)=0,AND(COUNTA(AH304:AJ304)=3,ISNUMBER(AJ304))),0,1)+IF(OR(COUNTA(AK304:AM304)=0,AND(COUNTA(AK304:AM304)=3,ISNUMBER(AM304))),0,1)+IF(OR(COUNTA(AN304:AP304)=0,AND(COUNTA(AN304:AP304)=3,ISNUMBER(AP304))),0,1)+IF(OR(COUNTA(AQ304:AS304)=0,AND(COUNTA(AQ304:AS304)=3,ISNUMBER(AS304))),0,1)+IF(OR(COUNTA(AT304:AV304)=0,AND(COUNTA(AT304:AV304)=3,ISNUMBER(AV304))),0,1)+IF(OR(COUNTA(AW304:AY304)=0,AND(COUNTA(AW304:AY304)=3,ISNUMBER(AY304))),0,1)+IF(OR(COUNTA(AZ304:BB304)=0,AND(COUNTA(AZ304:BB304)=3,ISNUMBER(BB304))),0,1))&gt;0,"; An invoice is incomplete (needs No, Date and a number in Ex GST)","")&amp;IF((IF(T304="",0,IFERROR(--(EOMONTH(T304,0)&lt;&gt;S$5),1))+IF(W304="",0,IFERROR(--(EOMONTH(W304,0)&lt;&gt;V$5),1))+IF(Z304="",0,IFERROR(--(EOMONTH(Z304,0)&lt;&gt;Y$5),1))+IF(AC304="",0,IFERROR(--(EOMONTH(AC304,0)&lt;&gt;AB$5),1))+IF(AF304="",0,IFERROR(--(EOMONTH(AF304,0)&lt;&gt;AE$5),1))+IF(AI304="",0,IFERROR(--(EOMONTH(AI304,0)&lt;&gt;AH$5),1))+IF(AL304="",0,IFERROR(--(EOMONTH(AL304,0)&lt;&gt;AK$5),1))+IF(AO304="",0,IFERROR(--(EOMONTH(AO304,0)&lt;&gt;AN$5),1))+IF(AR304="",0,IFERROR(--(EOMONTH(AR304,0)&lt;&gt;AQ$5),1))+IF(AU304="",0,IFERROR(--(EOMONTH(AU304,0)&lt;&gt;AT$5),1))+IF(AX304="",0,IFERROR(--(EOMONTH(AX304,0)&lt;&gt;AW$5),1))+IF(BA304="",0,IFERROR(--(EOMONTH(BA304,0)&lt;&gt;AZ$5),1)))&gt;0,"; An invoice date is not in the month it is typed under",""),3,500))</f>
        <v/>
      </c>
      <c r="S304" s="12" t="n"/>
      <c r="T304" s="13" t="n"/>
      <c r="U304" s="14" t="n"/>
      <c r="V304" s="12" t="n"/>
      <c r="W304" s="13" t="n"/>
      <c r="X304" s="14" t="n"/>
      <c r="Y304" s="12" t="n"/>
      <c r="Z304" s="13" t="n"/>
      <c r="AA304" s="14" t="n"/>
      <c r="AB304" s="12" t="n"/>
      <c r="AC304" s="13" t="n"/>
      <c r="AD304" s="14" t="n"/>
      <c r="AE304" s="12" t="n"/>
      <c r="AF304" s="13" t="n"/>
      <c r="AG304" s="14" t="n"/>
      <c r="AH304" s="12" t="n"/>
      <c r="AI304" s="13" t="n"/>
      <c r="AJ304" s="14" t="n"/>
      <c r="AK304" s="12" t="n"/>
      <c r="AL304" s="13" t="n"/>
      <c r="AM304" s="14" t="n"/>
      <c r="AN304" s="12" t="n"/>
      <c r="AO304" s="13" t="n"/>
      <c r="AP304" s="14" t="n"/>
      <c r="AQ304" s="12" t="n"/>
      <c r="AR304" s="13" t="n"/>
      <c r="AS304" s="14" t="n"/>
      <c r="AT304" s="12" t="n"/>
      <c r="AU304" s="13" t="n"/>
      <c r="AV304" s="14" t="n"/>
      <c r="AW304" s="12" t="n"/>
      <c r="AX304" s="13" t="n"/>
      <c r="AY304" s="14" t="n"/>
      <c r="AZ304" s="12" t="n"/>
      <c r="BA304" s="13" t="n"/>
      <c r="BB304" s="14" t="n"/>
      <c r="BC304" s="11">
        <f>IF(O304="","",IF(J304="GST 10%",ROUND(O304*set_GSTRate,2),0))</f>
        <v/>
      </c>
      <c r="BD304" s="11">
        <f>IF(O304="","",O304+BC304)</f>
        <v/>
      </c>
      <c r="BE304" s="15">
        <f>IF(O304="","",COUNTA(S304,V304,Y304,AB304,AE304,AH304,AK304,AN304,AQ304,AT304,AW304,AZ304))</f>
        <v/>
      </c>
      <c r="BF304" s="16">
        <f>IF(COUNT(T304,W304,Z304,AC304,AF304,AI304,AL304,AO304,AR304,AU304,AX304,BA304)=0,"",MAX(T304,W304,Z304,AC304,AF304,AI304,AL304,AO304,AR304,AU304,AX304,BA304))</f>
        <v/>
      </c>
      <c r="BG304" s="10">
        <f>MID(IF(S304="","",", "&amp;S304)&amp;IF(V304="","",", "&amp;V304)&amp;IF(Y304="","",", "&amp;Y304)&amp;IF(AB304="","",", "&amp;AB304)&amp;IF(AE304="","",", "&amp;AE304)&amp;IF(AH304="","",", "&amp;AH304)&amp;IF(AK304="","",", "&amp;AK304)&amp;IF(AN304="","",", "&amp;AN304)&amp;IF(AQ304="","",", "&amp;AQ304)&amp;IF(AT304="","",", "&amp;AT304)&amp;IF(AW304="","",", "&amp;AW304)&amp;IF(AZ304="","",", "&amp;AZ304),3,500)</f>
        <v/>
      </c>
      <c r="BH304" s="12" t="n"/>
      <c r="BI304" s="15">
        <f>IFERROR(MATCH($A304,IF($B304="Onsite",tbl_Onsite[Row ID],IF($B304="Production",tbl_Production[Row ID],tbl_Consulting[Row ID])),0),"")</f>
        <v/>
      </c>
    </row>
    <row r="305">
      <c r="A305" s="10" t="inlineStr">
        <is>
          <t>ONS-0299</t>
        </is>
      </c>
      <c r="B305" s="10" t="inlineStr">
        <is>
          <t>Onsite</t>
        </is>
      </c>
      <c r="C305" s="10">
        <f>IF($BI305="","",IF($B305="Onsite",INDEX(tbl_Onsite[Job Number],$BI305),IF($B305="Production",INDEX(tbl_Production[Job Number],$BI305),INDEX(tbl_Consulting[Job Number],$BI305)))&amp;"")</f>
        <v/>
      </c>
      <c r="D305" s="10">
        <f>IF($BI305="","",IF($B305="Onsite",INDEX(tbl_Onsite[Client],$BI305),IF($B305="Production",INDEX(tbl_Production[Client],$BI305),INDEX(tbl_Consulting[Client],$BI305)))&amp;"")</f>
        <v/>
      </c>
      <c r="E305" s="10">
        <f>IF($C305="","",IF(COUNTIF(lst_Jobs,$C305)&gt;0,"OK","CHECK"))</f>
        <v/>
      </c>
      <c r="F305" s="10">
        <f>IF($C305="","",IFERROR(INDEX(lst_JobName,MATCH($C305,lst_Jobs,0)),""))</f>
        <v/>
      </c>
      <c r="G305" s="10">
        <f>IF($BI305="","",IF($B305="Onsite",INDEX(tbl_Onsite[Job Description],$BI305),IF($B305="Production",INDEX(tbl_Production[Job Description],$BI305),INDEX(tbl_Consulting[Job Description],$BI305)))&amp;"")</f>
        <v/>
      </c>
      <c r="H305" s="10">
        <f>IF($BI305="","",IF($B305="Onsite",INDEX(tbl_Onsite[Cost Centre],$BI305),IF($B305="Production",INDEX(tbl_Production[Cost Centre],$BI305),INDEX(tbl_Consulting[Cost Centre],$BI305)))&amp;"")</f>
        <v/>
      </c>
      <c r="I305" s="10">
        <f>IF($BI305="","",IF($B305="Onsite",INDEX(tbl_Onsite[Invoice Type],$BI305),IF($B305="Production",INDEX(tbl_Production[Invoice Type],$BI305),INDEX(tbl_Consulting[Invoice Type],$BI305)))&amp;"")</f>
        <v/>
      </c>
      <c r="J305" s="10">
        <f>IF($BI305="","",IF($B305="Onsite",INDEX(tbl_Onsite[Tax Code],$BI305),IF($B305="Production",INDEX(tbl_Production[Tax Code],$BI305),INDEX(tbl_Consulting[Tax Code],$BI305)))&amp;"")</f>
        <v/>
      </c>
      <c r="K305" s="10">
        <f>IF(H305="","",IFERROR(INDEX(lst_CCtoGL,MATCH(H305,lst_CCforGL,0)),""))</f>
        <v/>
      </c>
      <c r="L305" s="10">
        <f>IF($BI305="","",IF($B305="Onsite",INDEX(tbl_Onsite[PO / Reference],$BI305),IF($B305="Production",INDEX(tbl_Production[Current RMS No],$BI305),INDEX(tbl_Consulting[Qwilr Quote],$BI305)))&amp;"")</f>
        <v/>
      </c>
      <c r="M305" s="10">
        <f>IF($BI305="","",IF($B305="Onsite",INDEX(tbl_Onsite[Notes],$BI305),IF($B305="Production",INDEX(tbl_Production[Notes],$BI305),INDEX(tbl_Consulting[Notes],$BI305)))&amp;"")</f>
        <v/>
      </c>
      <c r="N305" s="11">
        <f>IF($BI305="","",IF(IF($B305="Onsite",INDEX(tbl_Onsite[Expected Revenue Ex GST],$BI305),IF($B305="Production",INDEX(tbl_Production[Expected Revenue Ex GST],$BI305),INDEX(tbl_Consulting[Expected Revenue Ex GST],$BI305)))="","",IF($B305="Onsite",INDEX(tbl_Onsite[Expected Revenue Ex GST],$BI305),IF($B305="Production",INDEX(tbl_Production[Expected Revenue Ex GST],$BI305),INDEX(tbl_Consulting[Expected Revenue Ex GST],$BI305)))))</f>
        <v/>
      </c>
      <c r="O305" s="11">
        <f>IF(AND($C305="",NOT(COUNTA($S305:$BB305)&gt;0)),"",SUM(U305,X305,AA305,AD305,AG305,AJ305,AM305,AP305,AS305,AV305,AY305,BB305))</f>
        <v/>
      </c>
      <c r="P305" s="11">
        <f>IF(O305="","",N(N305)-O305)</f>
        <v/>
      </c>
      <c r="Q305" s="10">
        <f>IF(O305="","",IF($C305="","Invoice on empty job row",IF(N305="",IF(ROUND(O305,2)=0,"No dept value","Invoiced - no dept value"),IF(ROUND(O305,2)=0,"Not invoiced - to invoice",IF(ROUND(P305,2)=0,"Agrees",IF(P305&gt;0,"Dept higher - to invoice","Xero higher - check dept"))))))</f>
        <v/>
      </c>
      <c r="R305" s="10">
        <f>IF(AND($C305="",NOT(COUNTA($S305:$BB305)&gt;0),$BI305&lt;&gt;""),"",MID(IF($BI305="","; Row ID not found on the department sheet - a row was deleted","")&amp;IF(AND($C305="",COUNTA($S305:$BB305)&gt;0),"; Invoice entered but the department row has no job number","")&amp;IF(E305="CHECK","; Job number not in the Xero job list","")&amp;IF(AND($C305&lt;&gt;"",COUNTIF($C$7:$C$1506,$C305)&gt;1),"; Job number on more than one row","")&amp;IF(AND($C305&lt;&gt;"",H305=""),"; Dept has not set a cost centre","")&amp;IF(AND($C305&lt;&gt;"",J305=""),"; Dept has not set a tax code","")&amp;IF(AND($C305&lt;&gt;"",N305=""),"; Dept has not entered an expected value","")&amp;IF((IF(OR(COUNTA(S305:U305)=0,AND(COUNTA(S305:U305)=3,ISNUMBER(U305))),0,1)+IF(OR(COUNTA(V305:X305)=0,AND(COUNTA(V305:X305)=3,ISNUMBER(X305))),0,1)+IF(OR(COUNTA(Y305:AA305)=0,AND(COUNTA(Y305:AA305)=3,ISNUMBER(AA305))),0,1)+IF(OR(COUNTA(AB305:AD305)=0,AND(COUNTA(AB305:AD305)=3,ISNUMBER(AD305))),0,1)+IF(OR(COUNTA(AE305:AG305)=0,AND(COUNTA(AE305:AG305)=3,ISNUMBER(AG305))),0,1)+IF(OR(COUNTA(AH305:AJ305)=0,AND(COUNTA(AH305:AJ305)=3,ISNUMBER(AJ305))),0,1)+IF(OR(COUNTA(AK305:AM305)=0,AND(COUNTA(AK305:AM305)=3,ISNUMBER(AM305))),0,1)+IF(OR(COUNTA(AN305:AP305)=0,AND(COUNTA(AN305:AP305)=3,ISNUMBER(AP305))),0,1)+IF(OR(COUNTA(AQ305:AS305)=0,AND(COUNTA(AQ305:AS305)=3,ISNUMBER(AS305))),0,1)+IF(OR(COUNTA(AT305:AV305)=0,AND(COUNTA(AT305:AV305)=3,ISNUMBER(AV305))),0,1)+IF(OR(COUNTA(AW305:AY305)=0,AND(COUNTA(AW305:AY305)=3,ISNUMBER(AY305))),0,1)+IF(OR(COUNTA(AZ305:BB305)=0,AND(COUNTA(AZ305:BB305)=3,ISNUMBER(BB305))),0,1))&gt;0,"; An invoice is incomplete (needs No, Date and a number in Ex GST)","")&amp;IF((IF(T305="",0,IFERROR(--(EOMONTH(T305,0)&lt;&gt;S$5),1))+IF(W305="",0,IFERROR(--(EOMONTH(W305,0)&lt;&gt;V$5),1))+IF(Z305="",0,IFERROR(--(EOMONTH(Z305,0)&lt;&gt;Y$5),1))+IF(AC305="",0,IFERROR(--(EOMONTH(AC305,0)&lt;&gt;AB$5),1))+IF(AF305="",0,IFERROR(--(EOMONTH(AF305,0)&lt;&gt;AE$5),1))+IF(AI305="",0,IFERROR(--(EOMONTH(AI305,0)&lt;&gt;AH$5),1))+IF(AL305="",0,IFERROR(--(EOMONTH(AL305,0)&lt;&gt;AK$5),1))+IF(AO305="",0,IFERROR(--(EOMONTH(AO305,0)&lt;&gt;AN$5),1))+IF(AR305="",0,IFERROR(--(EOMONTH(AR305,0)&lt;&gt;AQ$5),1))+IF(AU305="",0,IFERROR(--(EOMONTH(AU305,0)&lt;&gt;AT$5),1))+IF(AX305="",0,IFERROR(--(EOMONTH(AX305,0)&lt;&gt;AW$5),1))+IF(BA305="",0,IFERROR(--(EOMONTH(BA305,0)&lt;&gt;AZ$5),1)))&gt;0,"; An invoice date is not in the month it is typed under",""),3,500))</f>
        <v/>
      </c>
      <c r="S305" s="12" t="n"/>
      <c r="T305" s="13" t="n"/>
      <c r="U305" s="14" t="n"/>
      <c r="V305" s="12" t="n"/>
      <c r="W305" s="13" t="n"/>
      <c r="X305" s="14" t="n"/>
      <c r="Y305" s="12" t="n"/>
      <c r="Z305" s="13" t="n"/>
      <c r="AA305" s="14" t="n"/>
      <c r="AB305" s="12" t="n"/>
      <c r="AC305" s="13" t="n"/>
      <c r="AD305" s="14" t="n"/>
      <c r="AE305" s="12" t="n"/>
      <c r="AF305" s="13" t="n"/>
      <c r="AG305" s="14" t="n"/>
      <c r="AH305" s="12" t="n"/>
      <c r="AI305" s="13" t="n"/>
      <c r="AJ305" s="14" t="n"/>
      <c r="AK305" s="12" t="n"/>
      <c r="AL305" s="13" t="n"/>
      <c r="AM305" s="14" t="n"/>
      <c r="AN305" s="12" t="n"/>
      <c r="AO305" s="13" t="n"/>
      <c r="AP305" s="14" t="n"/>
      <c r="AQ305" s="12" t="n"/>
      <c r="AR305" s="13" t="n"/>
      <c r="AS305" s="14" t="n"/>
      <c r="AT305" s="12" t="n"/>
      <c r="AU305" s="13" t="n"/>
      <c r="AV305" s="14" t="n"/>
      <c r="AW305" s="12" t="n"/>
      <c r="AX305" s="13" t="n"/>
      <c r="AY305" s="14" t="n"/>
      <c r="AZ305" s="12" t="n"/>
      <c r="BA305" s="13" t="n"/>
      <c r="BB305" s="14" t="n"/>
      <c r="BC305" s="11">
        <f>IF(O305="","",IF(J305="GST 10%",ROUND(O305*set_GSTRate,2),0))</f>
        <v/>
      </c>
      <c r="BD305" s="11">
        <f>IF(O305="","",O305+BC305)</f>
        <v/>
      </c>
      <c r="BE305" s="15">
        <f>IF(O305="","",COUNTA(S305,V305,Y305,AB305,AE305,AH305,AK305,AN305,AQ305,AT305,AW305,AZ305))</f>
        <v/>
      </c>
      <c r="BF305" s="16">
        <f>IF(COUNT(T305,W305,Z305,AC305,AF305,AI305,AL305,AO305,AR305,AU305,AX305,BA305)=0,"",MAX(T305,W305,Z305,AC305,AF305,AI305,AL305,AO305,AR305,AU305,AX305,BA305))</f>
        <v/>
      </c>
      <c r="BG305" s="10">
        <f>MID(IF(S305="","",", "&amp;S305)&amp;IF(V305="","",", "&amp;V305)&amp;IF(Y305="","",", "&amp;Y305)&amp;IF(AB305="","",", "&amp;AB305)&amp;IF(AE305="","",", "&amp;AE305)&amp;IF(AH305="","",", "&amp;AH305)&amp;IF(AK305="","",", "&amp;AK305)&amp;IF(AN305="","",", "&amp;AN305)&amp;IF(AQ305="","",", "&amp;AQ305)&amp;IF(AT305="","",", "&amp;AT305)&amp;IF(AW305="","",", "&amp;AW305)&amp;IF(AZ305="","",", "&amp;AZ305),3,500)</f>
        <v/>
      </c>
      <c r="BH305" s="12" t="n"/>
      <c r="BI305" s="15">
        <f>IFERROR(MATCH($A305,IF($B305="Onsite",tbl_Onsite[Row ID],IF($B305="Production",tbl_Production[Row ID],tbl_Consulting[Row ID])),0),"")</f>
        <v/>
      </c>
    </row>
    <row r="306">
      <c r="A306" s="10" t="inlineStr">
        <is>
          <t>ONS-0300</t>
        </is>
      </c>
      <c r="B306" s="10" t="inlineStr">
        <is>
          <t>Onsite</t>
        </is>
      </c>
      <c r="C306" s="10">
        <f>IF($BI306="","",IF($B306="Onsite",INDEX(tbl_Onsite[Job Number],$BI306),IF($B306="Production",INDEX(tbl_Production[Job Number],$BI306),INDEX(tbl_Consulting[Job Number],$BI306)))&amp;"")</f>
        <v/>
      </c>
      <c r="D306" s="10">
        <f>IF($BI306="","",IF($B306="Onsite",INDEX(tbl_Onsite[Client],$BI306),IF($B306="Production",INDEX(tbl_Production[Client],$BI306),INDEX(tbl_Consulting[Client],$BI306)))&amp;"")</f>
        <v/>
      </c>
      <c r="E306" s="10">
        <f>IF($C306="","",IF(COUNTIF(lst_Jobs,$C306)&gt;0,"OK","CHECK"))</f>
        <v/>
      </c>
      <c r="F306" s="10">
        <f>IF($C306="","",IFERROR(INDEX(lst_JobName,MATCH($C306,lst_Jobs,0)),""))</f>
        <v/>
      </c>
      <c r="G306" s="10">
        <f>IF($BI306="","",IF($B306="Onsite",INDEX(tbl_Onsite[Job Description],$BI306),IF($B306="Production",INDEX(tbl_Production[Job Description],$BI306),INDEX(tbl_Consulting[Job Description],$BI306)))&amp;"")</f>
        <v/>
      </c>
      <c r="H306" s="10">
        <f>IF($BI306="","",IF($B306="Onsite",INDEX(tbl_Onsite[Cost Centre],$BI306),IF($B306="Production",INDEX(tbl_Production[Cost Centre],$BI306),INDEX(tbl_Consulting[Cost Centre],$BI306)))&amp;"")</f>
        <v/>
      </c>
      <c r="I306" s="10">
        <f>IF($BI306="","",IF($B306="Onsite",INDEX(tbl_Onsite[Invoice Type],$BI306),IF($B306="Production",INDEX(tbl_Production[Invoice Type],$BI306),INDEX(tbl_Consulting[Invoice Type],$BI306)))&amp;"")</f>
        <v/>
      </c>
      <c r="J306" s="10">
        <f>IF($BI306="","",IF($B306="Onsite",INDEX(tbl_Onsite[Tax Code],$BI306),IF($B306="Production",INDEX(tbl_Production[Tax Code],$BI306),INDEX(tbl_Consulting[Tax Code],$BI306)))&amp;"")</f>
        <v/>
      </c>
      <c r="K306" s="10">
        <f>IF(H306="","",IFERROR(INDEX(lst_CCtoGL,MATCH(H306,lst_CCforGL,0)),""))</f>
        <v/>
      </c>
      <c r="L306" s="10">
        <f>IF($BI306="","",IF($B306="Onsite",INDEX(tbl_Onsite[PO / Reference],$BI306),IF($B306="Production",INDEX(tbl_Production[Current RMS No],$BI306),INDEX(tbl_Consulting[Qwilr Quote],$BI306)))&amp;"")</f>
        <v/>
      </c>
      <c r="M306" s="10">
        <f>IF($BI306="","",IF($B306="Onsite",INDEX(tbl_Onsite[Notes],$BI306),IF($B306="Production",INDEX(tbl_Production[Notes],$BI306),INDEX(tbl_Consulting[Notes],$BI306)))&amp;"")</f>
        <v/>
      </c>
      <c r="N306" s="11">
        <f>IF($BI306="","",IF(IF($B306="Onsite",INDEX(tbl_Onsite[Expected Revenue Ex GST],$BI306),IF($B306="Production",INDEX(tbl_Production[Expected Revenue Ex GST],$BI306),INDEX(tbl_Consulting[Expected Revenue Ex GST],$BI306)))="","",IF($B306="Onsite",INDEX(tbl_Onsite[Expected Revenue Ex GST],$BI306),IF($B306="Production",INDEX(tbl_Production[Expected Revenue Ex GST],$BI306),INDEX(tbl_Consulting[Expected Revenue Ex GST],$BI306)))))</f>
        <v/>
      </c>
      <c r="O306" s="11">
        <f>IF(AND($C306="",NOT(COUNTA($S306:$BB306)&gt;0)),"",SUM(U306,X306,AA306,AD306,AG306,AJ306,AM306,AP306,AS306,AV306,AY306,BB306))</f>
        <v/>
      </c>
      <c r="P306" s="11">
        <f>IF(O306="","",N(N306)-O306)</f>
        <v/>
      </c>
      <c r="Q306" s="10">
        <f>IF(O306="","",IF($C306="","Invoice on empty job row",IF(N306="",IF(ROUND(O306,2)=0,"No dept value","Invoiced - no dept value"),IF(ROUND(O306,2)=0,"Not invoiced - to invoice",IF(ROUND(P306,2)=0,"Agrees",IF(P306&gt;0,"Dept higher - to invoice","Xero higher - check dept"))))))</f>
        <v/>
      </c>
      <c r="R306" s="10">
        <f>IF(AND($C306="",NOT(COUNTA($S306:$BB306)&gt;0),$BI306&lt;&gt;""),"",MID(IF($BI306="","; Row ID not found on the department sheet - a row was deleted","")&amp;IF(AND($C306="",COUNTA($S306:$BB306)&gt;0),"; Invoice entered but the department row has no job number","")&amp;IF(E306="CHECK","; Job number not in the Xero job list","")&amp;IF(AND($C306&lt;&gt;"",COUNTIF($C$7:$C$1506,$C306)&gt;1),"; Job number on more than one row","")&amp;IF(AND($C306&lt;&gt;"",H306=""),"; Dept has not set a cost centre","")&amp;IF(AND($C306&lt;&gt;"",J306=""),"; Dept has not set a tax code","")&amp;IF(AND($C306&lt;&gt;"",N306=""),"; Dept has not entered an expected value","")&amp;IF((IF(OR(COUNTA(S306:U306)=0,AND(COUNTA(S306:U306)=3,ISNUMBER(U306))),0,1)+IF(OR(COUNTA(V306:X306)=0,AND(COUNTA(V306:X306)=3,ISNUMBER(X306))),0,1)+IF(OR(COUNTA(Y306:AA306)=0,AND(COUNTA(Y306:AA306)=3,ISNUMBER(AA306))),0,1)+IF(OR(COUNTA(AB306:AD306)=0,AND(COUNTA(AB306:AD306)=3,ISNUMBER(AD306))),0,1)+IF(OR(COUNTA(AE306:AG306)=0,AND(COUNTA(AE306:AG306)=3,ISNUMBER(AG306))),0,1)+IF(OR(COUNTA(AH306:AJ306)=0,AND(COUNTA(AH306:AJ306)=3,ISNUMBER(AJ306))),0,1)+IF(OR(COUNTA(AK306:AM306)=0,AND(COUNTA(AK306:AM306)=3,ISNUMBER(AM306))),0,1)+IF(OR(COUNTA(AN306:AP306)=0,AND(COUNTA(AN306:AP306)=3,ISNUMBER(AP306))),0,1)+IF(OR(COUNTA(AQ306:AS306)=0,AND(COUNTA(AQ306:AS306)=3,ISNUMBER(AS306))),0,1)+IF(OR(COUNTA(AT306:AV306)=0,AND(COUNTA(AT306:AV306)=3,ISNUMBER(AV306))),0,1)+IF(OR(COUNTA(AW306:AY306)=0,AND(COUNTA(AW306:AY306)=3,ISNUMBER(AY306))),0,1)+IF(OR(COUNTA(AZ306:BB306)=0,AND(COUNTA(AZ306:BB306)=3,ISNUMBER(BB306))),0,1))&gt;0,"; An invoice is incomplete (needs No, Date and a number in Ex GST)","")&amp;IF((IF(T306="",0,IFERROR(--(EOMONTH(T306,0)&lt;&gt;S$5),1))+IF(W306="",0,IFERROR(--(EOMONTH(W306,0)&lt;&gt;V$5),1))+IF(Z306="",0,IFERROR(--(EOMONTH(Z306,0)&lt;&gt;Y$5),1))+IF(AC306="",0,IFERROR(--(EOMONTH(AC306,0)&lt;&gt;AB$5),1))+IF(AF306="",0,IFERROR(--(EOMONTH(AF306,0)&lt;&gt;AE$5),1))+IF(AI306="",0,IFERROR(--(EOMONTH(AI306,0)&lt;&gt;AH$5),1))+IF(AL306="",0,IFERROR(--(EOMONTH(AL306,0)&lt;&gt;AK$5),1))+IF(AO306="",0,IFERROR(--(EOMONTH(AO306,0)&lt;&gt;AN$5),1))+IF(AR306="",0,IFERROR(--(EOMONTH(AR306,0)&lt;&gt;AQ$5),1))+IF(AU306="",0,IFERROR(--(EOMONTH(AU306,0)&lt;&gt;AT$5),1))+IF(AX306="",0,IFERROR(--(EOMONTH(AX306,0)&lt;&gt;AW$5),1))+IF(BA306="",0,IFERROR(--(EOMONTH(BA306,0)&lt;&gt;AZ$5),1)))&gt;0,"; An invoice date is not in the month it is typed under",""),3,500))</f>
        <v/>
      </c>
      <c r="S306" s="12" t="n"/>
      <c r="T306" s="13" t="n"/>
      <c r="U306" s="14" t="n"/>
      <c r="V306" s="12" t="n"/>
      <c r="W306" s="13" t="n"/>
      <c r="X306" s="14" t="n"/>
      <c r="Y306" s="12" t="n"/>
      <c r="Z306" s="13" t="n"/>
      <c r="AA306" s="14" t="n"/>
      <c r="AB306" s="12" t="n"/>
      <c r="AC306" s="13" t="n"/>
      <c r="AD306" s="14" t="n"/>
      <c r="AE306" s="12" t="n"/>
      <c r="AF306" s="13" t="n"/>
      <c r="AG306" s="14" t="n"/>
      <c r="AH306" s="12" t="n"/>
      <c r="AI306" s="13" t="n"/>
      <c r="AJ306" s="14" t="n"/>
      <c r="AK306" s="12" t="n"/>
      <c r="AL306" s="13" t="n"/>
      <c r="AM306" s="14" t="n"/>
      <c r="AN306" s="12" t="n"/>
      <c r="AO306" s="13" t="n"/>
      <c r="AP306" s="14" t="n"/>
      <c r="AQ306" s="12" t="n"/>
      <c r="AR306" s="13" t="n"/>
      <c r="AS306" s="14" t="n"/>
      <c r="AT306" s="12" t="n"/>
      <c r="AU306" s="13" t="n"/>
      <c r="AV306" s="14" t="n"/>
      <c r="AW306" s="12" t="n"/>
      <c r="AX306" s="13" t="n"/>
      <c r="AY306" s="14" t="n"/>
      <c r="AZ306" s="12" t="n"/>
      <c r="BA306" s="13" t="n"/>
      <c r="BB306" s="14" t="n"/>
      <c r="BC306" s="11">
        <f>IF(O306="","",IF(J306="GST 10%",ROUND(O306*set_GSTRate,2),0))</f>
        <v/>
      </c>
      <c r="BD306" s="11">
        <f>IF(O306="","",O306+BC306)</f>
        <v/>
      </c>
      <c r="BE306" s="15">
        <f>IF(O306="","",COUNTA(S306,V306,Y306,AB306,AE306,AH306,AK306,AN306,AQ306,AT306,AW306,AZ306))</f>
        <v/>
      </c>
      <c r="BF306" s="16">
        <f>IF(COUNT(T306,W306,Z306,AC306,AF306,AI306,AL306,AO306,AR306,AU306,AX306,BA306)=0,"",MAX(T306,W306,Z306,AC306,AF306,AI306,AL306,AO306,AR306,AU306,AX306,BA306))</f>
        <v/>
      </c>
      <c r="BG306" s="10">
        <f>MID(IF(S306="","",", "&amp;S306)&amp;IF(V306="","",", "&amp;V306)&amp;IF(Y306="","",", "&amp;Y306)&amp;IF(AB306="","",", "&amp;AB306)&amp;IF(AE306="","",", "&amp;AE306)&amp;IF(AH306="","",", "&amp;AH306)&amp;IF(AK306="","",", "&amp;AK306)&amp;IF(AN306="","",", "&amp;AN306)&amp;IF(AQ306="","",", "&amp;AQ306)&amp;IF(AT306="","",", "&amp;AT306)&amp;IF(AW306="","",", "&amp;AW306)&amp;IF(AZ306="","",", "&amp;AZ306),3,500)</f>
        <v/>
      </c>
      <c r="BH306" s="12" t="n"/>
      <c r="BI306" s="15">
        <f>IFERROR(MATCH($A306,IF($B306="Onsite",tbl_Onsite[Row ID],IF($B306="Production",tbl_Production[Row ID],tbl_Consulting[Row ID])),0),"")</f>
        <v/>
      </c>
    </row>
    <row r="307">
      <c r="A307" s="10" t="inlineStr">
        <is>
          <t>ONS-0301</t>
        </is>
      </c>
      <c r="B307" s="10" t="inlineStr">
        <is>
          <t>Onsite</t>
        </is>
      </c>
      <c r="C307" s="10">
        <f>IF($BI307="","",IF($B307="Onsite",INDEX(tbl_Onsite[Job Number],$BI307),IF($B307="Production",INDEX(tbl_Production[Job Number],$BI307),INDEX(tbl_Consulting[Job Number],$BI307)))&amp;"")</f>
        <v/>
      </c>
      <c r="D307" s="10">
        <f>IF($BI307="","",IF($B307="Onsite",INDEX(tbl_Onsite[Client],$BI307),IF($B307="Production",INDEX(tbl_Production[Client],$BI307),INDEX(tbl_Consulting[Client],$BI307)))&amp;"")</f>
        <v/>
      </c>
      <c r="E307" s="10">
        <f>IF($C307="","",IF(COUNTIF(lst_Jobs,$C307)&gt;0,"OK","CHECK"))</f>
        <v/>
      </c>
      <c r="F307" s="10">
        <f>IF($C307="","",IFERROR(INDEX(lst_JobName,MATCH($C307,lst_Jobs,0)),""))</f>
        <v/>
      </c>
      <c r="G307" s="10">
        <f>IF($BI307="","",IF($B307="Onsite",INDEX(tbl_Onsite[Job Description],$BI307),IF($B307="Production",INDEX(tbl_Production[Job Description],$BI307),INDEX(tbl_Consulting[Job Description],$BI307)))&amp;"")</f>
        <v/>
      </c>
      <c r="H307" s="10">
        <f>IF($BI307="","",IF($B307="Onsite",INDEX(tbl_Onsite[Cost Centre],$BI307),IF($B307="Production",INDEX(tbl_Production[Cost Centre],$BI307),INDEX(tbl_Consulting[Cost Centre],$BI307)))&amp;"")</f>
        <v/>
      </c>
      <c r="I307" s="10">
        <f>IF($BI307="","",IF($B307="Onsite",INDEX(tbl_Onsite[Invoice Type],$BI307),IF($B307="Production",INDEX(tbl_Production[Invoice Type],$BI307),INDEX(tbl_Consulting[Invoice Type],$BI307)))&amp;"")</f>
        <v/>
      </c>
      <c r="J307" s="10">
        <f>IF($BI307="","",IF($B307="Onsite",INDEX(tbl_Onsite[Tax Code],$BI307),IF($B307="Production",INDEX(tbl_Production[Tax Code],$BI307),INDEX(tbl_Consulting[Tax Code],$BI307)))&amp;"")</f>
        <v/>
      </c>
      <c r="K307" s="10">
        <f>IF(H307="","",IFERROR(INDEX(lst_CCtoGL,MATCH(H307,lst_CCforGL,0)),""))</f>
        <v/>
      </c>
      <c r="L307" s="10">
        <f>IF($BI307="","",IF($B307="Onsite",INDEX(tbl_Onsite[PO / Reference],$BI307),IF($B307="Production",INDEX(tbl_Production[Current RMS No],$BI307),INDEX(tbl_Consulting[Qwilr Quote],$BI307)))&amp;"")</f>
        <v/>
      </c>
      <c r="M307" s="10">
        <f>IF($BI307="","",IF($B307="Onsite",INDEX(tbl_Onsite[Notes],$BI307),IF($B307="Production",INDEX(tbl_Production[Notes],$BI307),INDEX(tbl_Consulting[Notes],$BI307)))&amp;"")</f>
        <v/>
      </c>
      <c r="N307" s="11">
        <f>IF($BI307="","",IF(IF($B307="Onsite",INDEX(tbl_Onsite[Expected Revenue Ex GST],$BI307),IF($B307="Production",INDEX(tbl_Production[Expected Revenue Ex GST],$BI307),INDEX(tbl_Consulting[Expected Revenue Ex GST],$BI307)))="","",IF($B307="Onsite",INDEX(tbl_Onsite[Expected Revenue Ex GST],$BI307),IF($B307="Production",INDEX(tbl_Production[Expected Revenue Ex GST],$BI307),INDEX(tbl_Consulting[Expected Revenue Ex GST],$BI307)))))</f>
        <v/>
      </c>
      <c r="O307" s="11">
        <f>IF(AND($C307="",NOT(COUNTA($S307:$BB307)&gt;0)),"",SUM(U307,X307,AA307,AD307,AG307,AJ307,AM307,AP307,AS307,AV307,AY307,BB307))</f>
        <v/>
      </c>
      <c r="P307" s="11">
        <f>IF(O307="","",N(N307)-O307)</f>
        <v/>
      </c>
      <c r="Q307" s="10">
        <f>IF(O307="","",IF($C307="","Invoice on empty job row",IF(N307="",IF(ROUND(O307,2)=0,"No dept value","Invoiced - no dept value"),IF(ROUND(O307,2)=0,"Not invoiced - to invoice",IF(ROUND(P307,2)=0,"Agrees",IF(P307&gt;0,"Dept higher - to invoice","Xero higher - check dept"))))))</f>
        <v/>
      </c>
      <c r="R307" s="10">
        <f>IF(AND($C307="",NOT(COUNTA($S307:$BB307)&gt;0),$BI307&lt;&gt;""),"",MID(IF($BI307="","; Row ID not found on the department sheet - a row was deleted","")&amp;IF(AND($C307="",COUNTA($S307:$BB307)&gt;0),"; Invoice entered but the department row has no job number","")&amp;IF(E307="CHECK","; Job number not in the Xero job list","")&amp;IF(AND($C307&lt;&gt;"",COUNTIF($C$7:$C$1506,$C307)&gt;1),"; Job number on more than one row","")&amp;IF(AND($C307&lt;&gt;"",H307=""),"; Dept has not set a cost centre","")&amp;IF(AND($C307&lt;&gt;"",J307=""),"; Dept has not set a tax code","")&amp;IF(AND($C307&lt;&gt;"",N307=""),"; Dept has not entered an expected value","")&amp;IF((IF(OR(COUNTA(S307:U307)=0,AND(COUNTA(S307:U307)=3,ISNUMBER(U307))),0,1)+IF(OR(COUNTA(V307:X307)=0,AND(COUNTA(V307:X307)=3,ISNUMBER(X307))),0,1)+IF(OR(COUNTA(Y307:AA307)=0,AND(COUNTA(Y307:AA307)=3,ISNUMBER(AA307))),0,1)+IF(OR(COUNTA(AB307:AD307)=0,AND(COUNTA(AB307:AD307)=3,ISNUMBER(AD307))),0,1)+IF(OR(COUNTA(AE307:AG307)=0,AND(COUNTA(AE307:AG307)=3,ISNUMBER(AG307))),0,1)+IF(OR(COUNTA(AH307:AJ307)=0,AND(COUNTA(AH307:AJ307)=3,ISNUMBER(AJ307))),0,1)+IF(OR(COUNTA(AK307:AM307)=0,AND(COUNTA(AK307:AM307)=3,ISNUMBER(AM307))),0,1)+IF(OR(COUNTA(AN307:AP307)=0,AND(COUNTA(AN307:AP307)=3,ISNUMBER(AP307))),0,1)+IF(OR(COUNTA(AQ307:AS307)=0,AND(COUNTA(AQ307:AS307)=3,ISNUMBER(AS307))),0,1)+IF(OR(COUNTA(AT307:AV307)=0,AND(COUNTA(AT307:AV307)=3,ISNUMBER(AV307))),0,1)+IF(OR(COUNTA(AW307:AY307)=0,AND(COUNTA(AW307:AY307)=3,ISNUMBER(AY307))),0,1)+IF(OR(COUNTA(AZ307:BB307)=0,AND(COUNTA(AZ307:BB307)=3,ISNUMBER(BB307))),0,1))&gt;0,"; An invoice is incomplete (needs No, Date and a number in Ex GST)","")&amp;IF((IF(T307="",0,IFERROR(--(EOMONTH(T307,0)&lt;&gt;S$5),1))+IF(W307="",0,IFERROR(--(EOMONTH(W307,0)&lt;&gt;V$5),1))+IF(Z307="",0,IFERROR(--(EOMONTH(Z307,0)&lt;&gt;Y$5),1))+IF(AC307="",0,IFERROR(--(EOMONTH(AC307,0)&lt;&gt;AB$5),1))+IF(AF307="",0,IFERROR(--(EOMONTH(AF307,0)&lt;&gt;AE$5),1))+IF(AI307="",0,IFERROR(--(EOMONTH(AI307,0)&lt;&gt;AH$5),1))+IF(AL307="",0,IFERROR(--(EOMONTH(AL307,0)&lt;&gt;AK$5),1))+IF(AO307="",0,IFERROR(--(EOMONTH(AO307,0)&lt;&gt;AN$5),1))+IF(AR307="",0,IFERROR(--(EOMONTH(AR307,0)&lt;&gt;AQ$5),1))+IF(AU307="",0,IFERROR(--(EOMONTH(AU307,0)&lt;&gt;AT$5),1))+IF(AX307="",0,IFERROR(--(EOMONTH(AX307,0)&lt;&gt;AW$5),1))+IF(BA307="",0,IFERROR(--(EOMONTH(BA307,0)&lt;&gt;AZ$5),1)))&gt;0,"; An invoice date is not in the month it is typed under",""),3,500))</f>
        <v/>
      </c>
      <c r="S307" s="12" t="n"/>
      <c r="T307" s="13" t="n"/>
      <c r="U307" s="14" t="n"/>
      <c r="V307" s="12" t="n"/>
      <c r="W307" s="13" t="n"/>
      <c r="X307" s="14" t="n"/>
      <c r="Y307" s="12" t="n"/>
      <c r="Z307" s="13" t="n"/>
      <c r="AA307" s="14" t="n"/>
      <c r="AB307" s="12" t="n"/>
      <c r="AC307" s="13" t="n"/>
      <c r="AD307" s="14" t="n"/>
      <c r="AE307" s="12" t="n"/>
      <c r="AF307" s="13" t="n"/>
      <c r="AG307" s="14" t="n"/>
      <c r="AH307" s="12" t="n"/>
      <c r="AI307" s="13" t="n"/>
      <c r="AJ307" s="14" t="n"/>
      <c r="AK307" s="12" t="n"/>
      <c r="AL307" s="13" t="n"/>
      <c r="AM307" s="14" t="n"/>
      <c r="AN307" s="12" t="n"/>
      <c r="AO307" s="13" t="n"/>
      <c r="AP307" s="14" t="n"/>
      <c r="AQ307" s="12" t="n"/>
      <c r="AR307" s="13" t="n"/>
      <c r="AS307" s="14" t="n"/>
      <c r="AT307" s="12" t="n"/>
      <c r="AU307" s="13" t="n"/>
      <c r="AV307" s="14" t="n"/>
      <c r="AW307" s="12" t="n"/>
      <c r="AX307" s="13" t="n"/>
      <c r="AY307" s="14" t="n"/>
      <c r="AZ307" s="12" t="n"/>
      <c r="BA307" s="13" t="n"/>
      <c r="BB307" s="14" t="n"/>
      <c r="BC307" s="11">
        <f>IF(O307="","",IF(J307="GST 10%",ROUND(O307*set_GSTRate,2),0))</f>
        <v/>
      </c>
      <c r="BD307" s="11">
        <f>IF(O307="","",O307+BC307)</f>
        <v/>
      </c>
      <c r="BE307" s="15">
        <f>IF(O307="","",COUNTA(S307,V307,Y307,AB307,AE307,AH307,AK307,AN307,AQ307,AT307,AW307,AZ307))</f>
        <v/>
      </c>
      <c r="BF307" s="16">
        <f>IF(COUNT(T307,W307,Z307,AC307,AF307,AI307,AL307,AO307,AR307,AU307,AX307,BA307)=0,"",MAX(T307,W307,Z307,AC307,AF307,AI307,AL307,AO307,AR307,AU307,AX307,BA307))</f>
        <v/>
      </c>
      <c r="BG307" s="10">
        <f>MID(IF(S307="","",", "&amp;S307)&amp;IF(V307="","",", "&amp;V307)&amp;IF(Y307="","",", "&amp;Y307)&amp;IF(AB307="","",", "&amp;AB307)&amp;IF(AE307="","",", "&amp;AE307)&amp;IF(AH307="","",", "&amp;AH307)&amp;IF(AK307="","",", "&amp;AK307)&amp;IF(AN307="","",", "&amp;AN307)&amp;IF(AQ307="","",", "&amp;AQ307)&amp;IF(AT307="","",", "&amp;AT307)&amp;IF(AW307="","",", "&amp;AW307)&amp;IF(AZ307="","",", "&amp;AZ307),3,500)</f>
        <v/>
      </c>
      <c r="BH307" s="12" t="n"/>
      <c r="BI307" s="15">
        <f>IFERROR(MATCH($A307,IF($B307="Onsite",tbl_Onsite[Row ID],IF($B307="Production",tbl_Production[Row ID],tbl_Consulting[Row ID])),0),"")</f>
        <v/>
      </c>
    </row>
    <row r="308">
      <c r="A308" s="10" t="inlineStr">
        <is>
          <t>ONS-0302</t>
        </is>
      </c>
      <c r="B308" s="10" t="inlineStr">
        <is>
          <t>Onsite</t>
        </is>
      </c>
      <c r="C308" s="10">
        <f>IF($BI308="","",IF($B308="Onsite",INDEX(tbl_Onsite[Job Number],$BI308),IF($B308="Production",INDEX(tbl_Production[Job Number],$BI308),INDEX(tbl_Consulting[Job Number],$BI308)))&amp;"")</f>
        <v/>
      </c>
      <c r="D308" s="10">
        <f>IF($BI308="","",IF($B308="Onsite",INDEX(tbl_Onsite[Client],$BI308),IF($B308="Production",INDEX(tbl_Production[Client],$BI308),INDEX(tbl_Consulting[Client],$BI308)))&amp;"")</f>
        <v/>
      </c>
      <c r="E308" s="10">
        <f>IF($C308="","",IF(COUNTIF(lst_Jobs,$C308)&gt;0,"OK","CHECK"))</f>
        <v/>
      </c>
      <c r="F308" s="10">
        <f>IF($C308="","",IFERROR(INDEX(lst_JobName,MATCH($C308,lst_Jobs,0)),""))</f>
        <v/>
      </c>
      <c r="G308" s="10">
        <f>IF($BI308="","",IF($B308="Onsite",INDEX(tbl_Onsite[Job Description],$BI308),IF($B308="Production",INDEX(tbl_Production[Job Description],$BI308),INDEX(tbl_Consulting[Job Description],$BI308)))&amp;"")</f>
        <v/>
      </c>
      <c r="H308" s="10">
        <f>IF($BI308="","",IF($B308="Onsite",INDEX(tbl_Onsite[Cost Centre],$BI308),IF($B308="Production",INDEX(tbl_Production[Cost Centre],$BI308),INDEX(tbl_Consulting[Cost Centre],$BI308)))&amp;"")</f>
        <v/>
      </c>
      <c r="I308" s="10">
        <f>IF($BI308="","",IF($B308="Onsite",INDEX(tbl_Onsite[Invoice Type],$BI308),IF($B308="Production",INDEX(tbl_Production[Invoice Type],$BI308),INDEX(tbl_Consulting[Invoice Type],$BI308)))&amp;"")</f>
        <v/>
      </c>
      <c r="J308" s="10">
        <f>IF($BI308="","",IF($B308="Onsite",INDEX(tbl_Onsite[Tax Code],$BI308),IF($B308="Production",INDEX(tbl_Production[Tax Code],$BI308),INDEX(tbl_Consulting[Tax Code],$BI308)))&amp;"")</f>
        <v/>
      </c>
      <c r="K308" s="10">
        <f>IF(H308="","",IFERROR(INDEX(lst_CCtoGL,MATCH(H308,lst_CCforGL,0)),""))</f>
        <v/>
      </c>
      <c r="L308" s="10">
        <f>IF($BI308="","",IF($B308="Onsite",INDEX(tbl_Onsite[PO / Reference],$BI308),IF($B308="Production",INDEX(tbl_Production[Current RMS No],$BI308),INDEX(tbl_Consulting[Qwilr Quote],$BI308)))&amp;"")</f>
        <v/>
      </c>
      <c r="M308" s="10">
        <f>IF($BI308="","",IF($B308="Onsite",INDEX(tbl_Onsite[Notes],$BI308),IF($B308="Production",INDEX(tbl_Production[Notes],$BI308),INDEX(tbl_Consulting[Notes],$BI308)))&amp;"")</f>
        <v/>
      </c>
      <c r="N308" s="11">
        <f>IF($BI308="","",IF(IF($B308="Onsite",INDEX(tbl_Onsite[Expected Revenue Ex GST],$BI308),IF($B308="Production",INDEX(tbl_Production[Expected Revenue Ex GST],$BI308),INDEX(tbl_Consulting[Expected Revenue Ex GST],$BI308)))="","",IF($B308="Onsite",INDEX(tbl_Onsite[Expected Revenue Ex GST],$BI308),IF($B308="Production",INDEX(tbl_Production[Expected Revenue Ex GST],$BI308),INDEX(tbl_Consulting[Expected Revenue Ex GST],$BI308)))))</f>
        <v/>
      </c>
      <c r="O308" s="11">
        <f>IF(AND($C308="",NOT(COUNTA($S308:$BB308)&gt;0)),"",SUM(U308,X308,AA308,AD308,AG308,AJ308,AM308,AP308,AS308,AV308,AY308,BB308))</f>
        <v/>
      </c>
      <c r="P308" s="11">
        <f>IF(O308="","",N(N308)-O308)</f>
        <v/>
      </c>
      <c r="Q308" s="10">
        <f>IF(O308="","",IF($C308="","Invoice on empty job row",IF(N308="",IF(ROUND(O308,2)=0,"No dept value","Invoiced - no dept value"),IF(ROUND(O308,2)=0,"Not invoiced - to invoice",IF(ROUND(P308,2)=0,"Agrees",IF(P308&gt;0,"Dept higher - to invoice","Xero higher - check dept"))))))</f>
        <v/>
      </c>
      <c r="R308" s="10">
        <f>IF(AND($C308="",NOT(COUNTA($S308:$BB308)&gt;0),$BI308&lt;&gt;""),"",MID(IF($BI308="","; Row ID not found on the department sheet - a row was deleted","")&amp;IF(AND($C308="",COUNTA($S308:$BB308)&gt;0),"; Invoice entered but the department row has no job number","")&amp;IF(E308="CHECK","; Job number not in the Xero job list","")&amp;IF(AND($C308&lt;&gt;"",COUNTIF($C$7:$C$1506,$C308)&gt;1),"; Job number on more than one row","")&amp;IF(AND($C308&lt;&gt;"",H308=""),"; Dept has not set a cost centre","")&amp;IF(AND($C308&lt;&gt;"",J308=""),"; Dept has not set a tax code","")&amp;IF(AND($C308&lt;&gt;"",N308=""),"; Dept has not entered an expected value","")&amp;IF((IF(OR(COUNTA(S308:U308)=0,AND(COUNTA(S308:U308)=3,ISNUMBER(U308))),0,1)+IF(OR(COUNTA(V308:X308)=0,AND(COUNTA(V308:X308)=3,ISNUMBER(X308))),0,1)+IF(OR(COUNTA(Y308:AA308)=0,AND(COUNTA(Y308:AA308)=3,ISNUMBER(AA308))),0,1)+IF(OR(COUNTA(AB308:AD308)=0,AND(COUNTA(AB308:AD308)=3,ISNUMBER(AD308))),0,1)+IF(OR(COUNTA(AE308:AG308)=0,AND(COUNTA(AE308:AG308)=3,ISNUMBER(AG308))),0,1)+IF(OR(COUNTA(AH308:AJ308)=0,AND(COUNTA(AH308:AJ308)=3,ISNUMBER(AJ308))),0,1)+IF(OR(COUNTA(AK308:AM308)=0,AND(COUNTA(AK308:AM308)=3,ISNUMBER(AM308))),0,1)+IF(OR(COUNTA(AN308:AP308)=0,AND(COUNTA(AN308:AP308)=3,ISNUMBER(AP308))),0,1)+IF(OR(COUNTA(AQ308:AS308)=0,AND(COUNTA(AQ308:AS308)=3,ISNUMBER(AS308))),0,1)+IF(OR(COUNTA(AT308:AV308)=0,AND(COUNTA(AT308:AV308)=3,ISNUMBER(AV308))),0,1)+IF(OR(COUNTA(AW308:AY308)=0,AND(COUNTA(AW308:AY308)=3,ISNUMBER(AY308))),0,1)+IF(OR(COUNTA(AZ308:BB308)=0,AND(COUNTA(AZ308:BB308)=3,ISNUMBER(BB308))),0,1))&gt;0,"; An invoice is incomplete (needs No, Date and a number in Ex GST)","")&amp;IF((IF(T308="",0,IFERROR(--(EOMONTH(T308,0)&lt;&gt;S$5),1))+IF(W308="",0,IFERROR(--(EOMONTH(W308,0)&lt;&gt;V$5),1))+IF(Z308="",0,IFERROR(--(EOMONTH(Z308,0)&lt;&gt;Y$5),1))+IF(AC308="",0,IFERROR(--(EOMONTH(AC308,0)&lt;&gt;AB$5),1))+IF(AF308="",0,IFERROR(--(EOMONTH(AF308,0)&lt;&gt;AE$5),1))+IF(AI308="",0,IFERROR(--(EOMONTH(AI308,0)&lt;&gt;AH$5),1))+IF(AL308="",0,IFERROR(--(EOMONTH(AL308,0)&lt;&gt;AK$5),1))+IF(AO308="",0,IFERROR(--(EOMONTH(AO308,0)&lt;&gt;AN$5),1))+IF(AR308="",0,IFERROR(--(EOMONTH(AR308,0)&lt;&gt;AQ$5),1))+IF(AU308="",0,IFERROR(--(EOMONTH(AU308,0)&lt;&gt;AT$5),1))+IF(AX308="",0,IFERROR(--(EOMONTH(AX308,0)&lt;&gt;AW$5),1))+IF(BA308="",0,IFERROR(--(EOMONTH(BA308,0)&lt;&gt;AZ$5),1)))&gt;0,"; An invoice date is not in the month it is typed under",""),3,500))</f>
        <v/>
      </c>
      <c r="S308" s="12" t="n"/>
      <c r="T308" s="13" t="n"/>
      <c r="U308" s="14" t="n"/>
      <c r="V308" s="12" t="n"/>
      <c r="W308" s="13" t="n"/>
      <c r="X308" s="14" t="n"/>
      <c r="Y308" s="12" t="n"/>
      <c r="Z308" s="13" t="n"/>
      <c r="AA308" s="14" t="n"/>
      <c r="AB308" s="12" t="n"/>
      <c r="AC308" s="13" t="n"/>
      <c r="AD308" s="14" t="n"/>
      <c r="AE308" s="12" t="n"/>
      <c r="AF308" s="13" t="n"/>
      <c r="AG308" s="14" t="n"/>
      <c r="AH308" s="12" t="n"/>
      <c r="AI308" s="13" t="n"/>
      <c r="AJ308" s="14" t="n"/>
      <c r="AK308" s="12" t="n"/>
      <c r="AL308" s="13" t="n"/>
      <c r="AM308" s="14" t="n"/>
      <c r="AN308" s="12" t="n"/>
      <c r="AO308" s="13" t="n"/>
      <c r="AP308" s="14" t="n"/>
      <c r="AQ308" s="12" t="n"/>
      <c r="AR308" s="13" t="n"/>
      <c r="AS308" s="14" t="n"/>
      <c r="AT308" s="12" t="n"/>
      <c r="AU308" s="13" t="n"/>
      <c r="AV308" s="14" t="n"/>
      <c r="AW308" s="12" t="n"/>
      <c r="AX308" s="13" t="n"/>
      <c r="AY308" s="14" t="n"/>
      <c r="AZ308" s="12" t="n"/>
      <c r="BA308" s="13" t="n"/>
      <c r="BB308" s="14" t="n"/>
      <c r="BC308" s="11">
        <f>IF(O308="","",IF(J308="GST 10%",ROUND(O308*set_GSTRate,2),0))</f>
        <v/>
      </c>
      <c r="BD308" s="11">
        <f>IF(O308="","",O308+BC308)</f>
        <v/>
      </c>
      <c r="BE308" s="15">
        <f>IF(O308="","",COUNTA(S308,V308,Y308,AB308,AE308,AH308,AK308,AN308,AQ308,AT308,AW308,AZ308))</f>
        <v/>
      </c>
      <c r="BF308" s="16">
        <f>IF(COUNT(T308,W308,Z308,AC308,AF308,AI308,AL308,AO308,AR308,AU308,AX308,BA308)=0,"",MAX(T308,W308,Z308,AC308,AF308,AI308,AL308,AO308,AR308,AU308,AX308,BA308))</f>
        <v/>
      </c>
      <c r="BG308" s="10">
        <f>MID(IF(S308="","",", "&amp;S308)&amp;IF(V308="","",", "&amp;V308)&amp;IF(Y308="","",", "&amp;Y308)&amp;IF(AB308="","",", "&amp;AB308)&amp;IF(AE308="","",", "&amp;AE308)&amp;IF(AH308="","",", "&amp;AH308)&amp;IF(AK308="","",", "&amp;AK308)&amp;IF(AN308="","",", "&amp;AN308)&amp;IF(AQ308="","",", "&amp;AQ308)&amp;IF(AT308="","",", "&amp;AT308)&amp;IF(AW308="","",", "&amp;AW308)&amp;IF(AZ308="","",", "&amp;AZ308),3,500)</f>
        <v/>
      </c>
      <c r="BH308" s="12" t="n"/>
      <c r="BI308" s="15">
        <f>IFERROR(MATCH($A308,IF($B308="Onsite",tbl_Onsite[Row ID],IF($B308="Production",tbl_Production[Row ID],tbl_Consulting[Row ID])),0),"")</f>
        <v/>
      </c>
    </row>
    <row r="309">
      <c r="A309" s="10" t="inlineStr">
        <is>
          <t>ONS-0303</t>
        </is>
      </c>
      <c r="B309" s="10" t="inlineStr">
        <is>
          <t>Onsite</t>
        </is>
      </c>
      <c r="C309" s="10">
        <f>IF($BI309="","",IF($B309="Onsite",INDEX(tbl_Onsite[Job Number],$BI309),IF($B309="Production",INDEX(tbl_Production[Job Number],$BI309),INDEX(tbl_Consulting[Job Number],$BI309)))&amp;"")</f>
        <v/>
      </c>
      <c r="D309" s="10">
        <f>IF($BI309="","",IF($B309="Onsite",INDEX(tbl_Onsite[Client],$BI309),IF($B309="Production",INDEX(tbl_Production[Client],$BI309),INDEX(tbl_Consulting[Client],$BI309)))&amp;"")</f>
        <v/>
      </c>
      <c r="E309" s="10">
        <f>IF($C309="","",IF(COUNTIF(lst_Jobs,$C309)&gt;0,"OK","CHECK"))</f>
        <v/>
      </c>
      <c r="F309" s="10">
        <f>IF($C309="","",IFERROR(INDEX(lst_JobName,MATCH($C309,lst_Jobs,0)),""))</f>
        <v/>
      </c>
      <c r="G309" s="10">
        <f>IF($BI309="","",IF($B309="Onsite",INDEX(tbl_Onsite[Job Description],$BI309),IF($B309="Production",INDEX(tbl_Production[Job Description],$BI309),INDEX(tbl_Consulting[Job Description],$BI309)))&amp;"")</f>
        <v/>
      </c>
      <c r="H309" s="10">
        <f>IF($BI309="","",IF($B309="Onsite",INDEX(tbl_Onsite[Cost Centre],$BI309),IF($B309="Production",INDEX(tbl_Production[Cost Centre],$BI309),INDEX(tbl_Consulting[Cost Centre],$BI309)))&amp;"")</f>
        <v/>
      </c>
      <c r="I309" s="10">
        <f>IF($BI309="","",IF($B309="Onsite",INDEX(tbl_Onsite[Invoice Type],$BI309),IF($B309="Production",INDEX(tbl_Production[Invoice Type],$BI309),INDEX(tbl_Consulting[Invoice Type],$BI309)))&amp;"")</f>
        <v/>
      </c>
      <c r="J309" s="10">
        <f>IF($BI309="","",IF($B309="Onsite",INDEX(tbl_Onsite[Tax Code],$BI309),IF($B309="Production",INDEX(tbl_Production[Tax Code],$BI309),INDEX(tbl_Consulting[Tax Code],$BI309)))&amp;"")</f>
        <v/>
      </c>
      <c r="K309" s="10">
        <f>IF(H309="","",IFERROR(INDEX(lst_CCtoGL,MATCH(H309,lst_CCforGL,0)),""))</f>
        <v/>
      </c>
      <c r="L309" s="10">
        <f>IF($BI309="","",IF($B309="Onsite",INDEX(tbl_Onsite[PO / Reference],$BI309),IF($B309="Production",INDEX(tbl_Production[Current RMS No],$BI309),INDEX(tbl_Consulting[Qwilr Quote],$BI309)))&amp;"")</f>
        <v/>
      </c>
      <c r="M309" s="10">
        <f>IF($BI309="","",IF($B309="Onsite",INDEX(tbl_Onsite[Notes],$BI309),IF($B309="Production",INDEX(tbl_Production[Notes],$BI309),INDEX(tbl_Consulting[Notes],$BI309)))&amp;"")</f>
        <v/>
      </c>
      <c r="N309" s="11">
        <f>IF($BI309="","",IF(IF($B309="Onsite",INDEX(tbl_Onsite[Expected Revenue Ex GST],$BI309),IF($B309="Production",INDEX(tbl_Production[Expected Revenue Ex GST],$BI309),INDEX(tbl_Consulting[Expected Revenue Ex GST],$BI309)))="","",IF($B309="Onsite",INDEX(tbl_Onsite[Expected Revenue Ex GST],$BI309),IF($B309="Production",INDEX(tbl_Production[Expected Revenue Ex GST],$BI309),INDEX(tbl_Consulting[Expected Revenue Ex GST],$BI309)))))</f>
        <v/>
      </c>
      <c r="O309" s="11">
        <f>IF(AND($C309="",NOT(COUNTA($S309:$BB309)&gt;0)),"",SUM(U309,X309,AA309,AD309,AG309,AJ309,AM309,AP309,AS309,AV309,AY309,BB309))</f>
        <v/>
      </c>
      <c r="P309" s="11">
        <f>IF(O309="","",N(N309)-O309)</f>
        <v/>
      </c>
      <c r="Q309" s="10">
        <f>IF(O309="","",IF($C309="","Invoice on empty job row",IF(N309="",IF(ROUND(O309,2)=0,"No dept value","Invoiced - no dept value"),IF(ROUND(O309,2)=0,"Not invoiced - to invoice",IF(ROUND(P309,2)=0,"Agrees",IF(P309&gt;0,"Dept higher - to invoice","Xero higher - check dept"))))))</f>
        <v/>
      </c>
      <c r="R309" s="10">
        <f>IF(AND($C309="",NOT(COUNTA($S309:$BB309)&gt;0),$BI309&lt;&gt;""),"",MID(IF($BI309="","; Row ID not found on the department sheet - a row was deleted","")&amp;IF(AND($C309="",COUNTA($S309:$BB309)&gt;0),"; Invoice entered but the department row has no job number","")&amp;IF(E309="CHECK","; Job number not in the Xero job list","")&amp;IF(AND($C309&lt;&gt;"",COUNTIF($C$7:$C$1506,$C309)&gt;1),"; Job number on more than one row","")&amp;IF(AND($C309&lt;&gt;"",H309=""),"; Dept has not set a cost centre","")&amp;IF(AND($C309&lt;&gt;"",J309=""),"; Dept has not set a tax code","")&amp;IF(AND($C309&lt;&gt;"",N309=""),"; Dept has not entered an expected value","")&amp;IF((IF(OR(COUNTA(S309:U309)=0,AND(COUNTA(S309:U309)=3,ISNUMBER(U309))),0,1)+IF(OR(COUNTA(V309:X309)=0,AND(COUNTA(V309:X309)=3,ISNUMBER(X309))),0,1)+IF(OR(COUNTA(Y309:AA309)=0,AND(COUNTA(Y309:AA309)=3,ISNUMBER(AA309))),0,1)+IF(OR(COUNTA(AB309:AD309)=0,AND(COUNTA(AB309:AD309)=3,ISNUMBER(AD309))),0,1)+IF(OR(COUNTA(AE309:AG309)=0,AND(COUNTA(AE309:AG309)=3,ISNUMBER(AG309))),0,1)+IF(OR(COUNTA(AH309:AJ309)=0,AND(COUNTA(AH309:AJ309)=3,ISNUMBER(AJ309))),0,1)+IF(OR(COUNTA(AK309:AM309)=0,AND(COUNTA(AK309:AM309)=3,ISNUMBER(AM309))),0,1)+IF(OR(COUNTA(AN309:AP309)=0,AND(COUNTA(AN309:AP309)=3,ISNUMBER(AP309))),0,1)+IF(OR(COUNTA(AQ309:AS309)=0,AND(COUNTA(AQ309:AS309)=3,ISNUMBER(AS309))),0,1)+IF(OR(COUNTA(AT309:AV309)=0,AND(COUNTA(AT309:AV309)=3,ISNUMBER(AV309))),0,1)+IF(OR(COUNTA(AW309:AY309)=0,AND(COUNTA(AW309:AY309)=3,ISNUMBER(AY309))),0,1)+IF(OR(COUNTA(AZ309:BB309)=0,AND(COUNTA(AZ309:BB309)=3,ISNUMBER(BB309))),0,1))&gt;0,"; An invoice is incomplete (needs No, Date and a number in Ex GST)","")&amp;IF((IF(T309="",0,IFERROR(--(EOMONTH(T309,0)&lt;&gt;S$5),1))+IF(W309="",0,IFERROR(--(EOMONTH(W309,0)&lt;&gt;V$5),1))+IF(Z309="",0,IFERROR(--(EOMONTH(Z309,0)&lt;&gt;Y$5),1))+IF(AC309="",0,IFERROR(--(EOMONTH(AC309,0)&lt;&gt;AB$5),1))+IF(AF309="",0,IFERROR(--(EOMONTH(AF309,0)&lt;&gt;AE$5),1))+IF(AI309="",0,IFERROR(--(EOMONTH(AI309,0)&lt;&gt;AH$5),1))+IF(AL309="",0,IFERROR(--(EOMONTH(AL309,0)&lt;&gt;AK$5),1))+IF(AO309="",0,IFERROR(--(EOMONTH(AO309,0)&lt;&gt;AN$5),1))+IF(AR309="",0,IFERROR(--(EOMONTH(AR309,0)&lt;&gt;AQ$5),1))+IF(AU309="",0,IFERROR(--(EOMONTH(AU309,0)&lt;&gt;AT$5),1))+IF(AX309="",0,IFERROR(--(EOMONTH(AX309,0)&lt;&gt;AW$5),1))+IF(BA309="",0,IFERROR(--(EOMONTH(BA309,0)&lt;&gt;AZ$5),1)))&gt;0,"; An invoice date is not in the month it is typed under",""),3,500))</f>
        <v/>
      </c>
      <c r="S309" s="12" t="n"/>
      <c r="T309" s="13" t="n"/>
      <c r="U309" s="14" t="n"/>
      <c r="V309" s="12" t="n"/>
      <c r="W309" s="13" t="n"/>
      <c r="X309" s="14" t="n"/>
      <c r="Y309" s="12" t="n"/>
      <c r="Z309" s="13" t="n"/>
      <c r="AA309" s="14" t="n"/>
      <c r="AB309" s="12" t="n"/>
      <c r="AC309" s="13" t="n"/>
      <c r="AD309" s="14" t="n"/>
      <c r="AE309" s="12" t="n"/>
      <c r="AF309" s="13" t="n"/>
      <c r="AG309" s="14" t="n"/>
      <c r="AH309" s="12" t="n"/>
      <c r="AI309" s="13" t="n"/>
      <c r="AJ309" s="14" t="n"/>
      <c r="AK309" s="12" t="n"/>
      <c r="AL309" s="13" t="n"/>
      <c r="AM309" s="14" t="n"/>
      <c r="AN309" s="12" t="n"/>
      <c r="AO309" s="13" t="n"/>
      <c r="AP309" s="14" t="n"/>
      <c r="AQ309" s="12" t="n"/>
      <c r="AR309" s="13" t="n"/>
      <c r="AS309" s="14" t="n"/>
      <c r="AT309" s="12" t="n"/>
      <c r="AU309" s="13" t="n"/>
      <c r="AV309" s="14" t="n"/>
      <c r="AW309" s="12" t="n"/>
      <c r="AX309" s="13" t="n"/>
      <c r="AY309" s="14" t="n"/>
      <c r="AZ309" s="12" t="n"/>
      <c r="BA309" s="13" t="n"/>
      <c r="BB309" s="14" t="n"/>
      <c r="BC309" s="11">
        <f>IF(O309="","",IF(J309="GST 10%",ROUND(O309*set_GSTRate,2),0))</f>
        <v/>
      </c>
      <c r="BD309" s="11">
        <f>IF(O309="","",O309+BC309)</f>
        <v/>
      </c>
      <c r="BE309" s="15">
        <f>IF(O309="","",COUNTA(S309,V309,Y309,AB309,AE309,AH309,AK309,AN309,AQ309,AT309,AW309,AZ309))</f>
        <v/>
      </c>
      <c r="BF309" s="16">
        <f>IF(COUNT(T309,W309,Z309,AC309,AF309,AI309,AL309,AO309,AR309,AU309,AX309,BA309)=0,"",MAX(T309,W309,Z309,AC309,AF309,AI309,AL309,AO309,AR309,AU309,AX309,BA309))</f>
        <v/>
      </c>
      <c r="BG309" s="10">
        <f>MID(IF(S309="","",", "&amp;S309)&amp;IF(V309="","",", "&amp;V309)&amp;IF(Y309="","",", "&amp;Y309)&amp;IF(AB309="","",", "&amp;AB309)&amp;IF(AE309="","",", "&amp;AE309)&amp;IF(AH309="","",", "&amp;AH309)&amp;IF(AK309="","",", "&amp;AK309)&amp;IF(AN309="","",", "&amp;AN309)&amp;IF(AQ309="","",", "&amp;AQ309)&amp;IF(AT309="","",", "&amp;AT309)&amp;IF(AW309="","",", "&amp;AW309)&amp;IF(AZ309="","",", "&amp;AZ309),3,500)</f>
        <v/>
      </c>
      <c r="BH309" s="12" t="n"/>
      <c r="BI309" s="15">
        <f>IFERROR(MATCH($A309,IF($B309="Onsite",tbl_Onsite[Row ID],IF($B309="Production",tbl_Production[Row ID],tbl_Consulting[Row ID])),0),"")</f>
        <v/>
      </c>
    </row>
    <row r="310">
      <c r="A310" s="10" t="inlineStr">
        <is>
          <t>ONS-0304</t>
        </is>
      </c>
      <c r="B310" s="10" t="inlineStr">
        <is>
          <t>Onsite</t>
        </is>
      </c>
      <c r="C310" s="10">
        <f>IF($BI310="","",IF($B310="Onsite",INDEX(tbl_Onsite[Job Number],$BI310),IF($B310="Production",INDEX(tbl_Production[Job Number],$BI310),INDEX(tbl_Consulting[Job Number],$BI310)))&amp;"")</f>
        <v/>
      </c>
      <c r="D310" s="10">
        <f>IF($BI310="","",IF($B310="Onsite",INDEX(tbl_Onsite[Client],$BI310),IF($B310="Production",INDEX(tbl_Production[Client],$BI310),INDEX(tbl_Consulting[Client],$BI310)))&amp;"")</f>
        <v/>
      </c>
      <c r="E310" s="10">
        <f>IF($C310="","",IF(COUNTIF(lst_Jobs,$C310)&gt;0,"OK","CHECK"))</f>
        <v/>
      </c>
      <c r="F310" s="10">
        <f>IF($C310="","",IFERROR(INDEX(lst_JobName,MATCH($C310,lst_Jobs,0)),""))</f>
        <v/>
      </c>
      <c r="G310" s="10">
        <f>IF($BI310="","",IF($B310="Onsite",INDEX(tbl_Onsite[Job Description],$BI310),IF($B310="Production",INDEX(tbl_Production[Job Description],$BI310),INDEX(tbl_Consulting[Job Description],$BI310)))&amp;"")</f>
        <v/>
      </c>
      <c r="H310" s="10">
        <f>IF($BI310="","",IF($B310="Onsite",INDEX(tbl_Onsite[Cost Centre],$BI310),IF($B310="Production",INDEX(tbl_Production[Cost Centre],$BI310),INDEX(tbl_Consulting[Cost Centre],$BI310)))&amp;"")</f>
        <v/>
      </c>
      <c r="I310" s="10">
        <f>IF($BI310="","",IF($B310="Onsite",INDEX(tbl_Onsite[Invoice Type],$BI310),IF($B310="Production",INDEX(tbl_Production[Invoice Type],$BI310),INDEX(tbl_Consulting[Invoice Type],$BI310)))&amp;"")</f>
        <v/>
      </c>
      <c r="J310" s="10">
        <f>IF($BI310="","",IF($B310="Onsite",INDEX(tbl_Onsite[Tax Code],$BI310),IF($B310="Production",INDEX(tbl_Production[Tax Code],$BI310),INDEX(tbl_Consulting[Tax Code],$BI310)))&amp;"")</f>
        <v/>
      </c>
      <c r="K310" s="10">
        <f>IF(H310="","",IFERROR(INDEX(lst_CCtoGL,MATCH(H310,lst_CCforGL,0)),""))</f>
        <v/>
      </c>
      <c r="L310" s="10">
        <f>IF($BI310="","",IF($B310="Onsite",INDEX(tbl_Onsite[PO / Reference],$BI310),IF($B310="Production",INDEX(tbl_Production[Current RMS No],$BI310),INDEX(tbl_Consulting[Qwilr Quote],$BI310)))&amp;"")</f>
        <v/>
      </c>
      <c r="M310" s="10">
        <f>IF($BI310="","",IF($B310="Onsite",INDEX(tbl_Onsite[Notes],$BI310),IF($B310="Production",INDEX(tbl_Production[Notes],$BI310),INDEX(tbl_Consulting[Notes],$BI310)))&amp;"")</f>
        <v/>
      </c>
      <c r="N310" s="11">
        <f>IF($BI310="","",IF(IF($B310="Onsite",INDEX(tbl_Onsite[Expected Revenue Ex GST],$BI310),IF($B310="Production",INDEX(tbl_Production[Expected Revenue Ex GST],$BI310),INDEX(tbl_Consulting[Expected Revenue Ex GST],$BI310)))="","",IF($B310="Onsite",INDEX(tbl_Onsite[Expected Revenue Ex GST],$BI310),IF($B310="Production",INDEX(tbl_Production[Expected Revenue Ex GST],$BI310),INDEX(tbl_Consulting[Expected Revenue Ex GST],$BI310)))))</f>
        <v/>
      </c>
      <c r="O310" s="11">
        <f>IF(AND($C310="",NOT(COUNTA($S310:$BB310)&gt;0)),"",SUM(U310,X310,AA310,AD310,AG310,AJ310,AM310,AP310,AS310,AV310,AY310,BB310))</f>
        <v/>
      </c>
      <c r="P310" s="11">
        <f>IF(O310="","",N(N310)-O310)</f>
        <v/>
      </c>
      <c r="Q310" s="10">
        <f>IF(O310="","",IF($C310="","Invoice on empty job row",IF(N310="",IF(ROUND(O310,2)=0,"No dept value","Invoiced - no dept value"),IF(ROUND(O310,2)=0,"Not invoiced - to invoice",IF(ROUND(P310,2)=0,"Agrees",IF(P310&gt;0,"Dept higher - to invoice","Xero higher - check dept"))))))</f>
        <v/>
      </c>
      <c r="R310" s="10">
        <f>IF(AND($C310="",NOT(COUNTA($S310:$BB310)&gt;0),$BI310&lt;&gt;""),"",MID(IF($BI310="","; Row ID not found on the department sheet - a row was deleted","")&amp;IF(AND($C310="",COUNTA($S310:$BB310)&gt;0),"; Invoice entered but the department row has no job number","")&amp;IF(E310="CHECK","; Job number not in the Xero job list","")&amp;IF(AND($C310&lt;&gt;"",COUNTIF($C$7:$C$1506,$C310)&gt;1),"; Job number on more than one row","")&amp;IF(AND($C310&lt;&gt;"",H310=""),"; Dept has not set a cost centre","")&amp;IF(AND($C310&lt;&gt;"",J310=""),"; Dept has not set a tax code","")&amp;IF(AND($C310&lt;&gt;"",N310=""),"; Dept has not entered an expected value","")&amp;IF((IF(OR(COUNTA(S310:U310)=0,AND(COUNTA(S310:U310)=3,ISNUMBER(U310))),0,1)+IF(OR(COUNTA(V310:X310)=0,AND(COUNTA(V310:X310)=3,ISNUMBER(X310))),0,1)+IF(OR(COUNTA(Y310:AA310)=0,AND(COUNTA(Y310:AA310)=3,ISNUMBER(AA310))),0,1)+IF(OR(COUNTA(AB310:AD310)=0,AND(COUNTA(AB310:AD310)=3,ISNUMBER(AD310))),0,1)+IF(OR(COUNTA(AE310:AG310)=0,AND(COUNTA(AE310:AG310)=3,ISNUMBER(AG310))),0,1)+IF(OR(COUNTA(AH310:AJ310)=0,AND(COUNTA(AH310:AJ310)=3,ISNUMBER(AJ310))),0,1)+IF(OR(COUNTA(AK310:AM310)=0,AND(COUNTA(AK310:AM310)=3,ISNUMBER(AM310))),0,1)+IF(OR(COUNTA(AN310:AP310)=0,AND(COUNTA(AN310:AP310)=3,ISNUMBER(AP310))),0,1)+IF(OR(COUNTA(AQ310:AS310)=0,AND(COUNTA(AQ310:AS310)=3,ISNUMBER(AS310))),0,1)+IF(OR(COUNTA(AT310:AV310)=0,AND(COUNTA(AT310:AV310)=3,ISNUMBER(AV310))),0,1)+IF(OR(COUNTA(AW310:AY310)=0,AND(COUNTA(AW310:AY310)=3,ISNUMBER(AY310))),0,1)+IF(OR(COUNTA(AZ310:BB310)=0,AND(COUNTA(AZ310:BB310)=3,ISNUMBER(BB310))),0,1))&gt;0,"; An invoice is incomplete (needs No, Date and a number in Ex GST)","")&amp;IF((IF(T310="",0,IFERROR(--(EOMONTH(T310,0)&lt;&gt;S$5),1))+IF(W310="",0,IFERROR(--(EOMONTH(W310,0)&lt;&gt;V$5),1))+IF(Z310="",0,IFERROR(--(EOMONTH(Z310,0)&lt;&gt;Y$5),1))+IF(AC310="",0,IFERROR(--(EOMONTH(AC310,0)&lt;&gt;AB$5),1))+IF(AF310="",0,IFERROR(--(EOMONTH(AF310,0)&lt;&gt;AE$5),1))+IF(AI310="",0,IFERROR(--(EOMONTH(AI310,0)&lt;&gt;AH$5),1))+IF(AL310="",0,IFERROR(--(EOMONTH(AL310,0)&lt;&gt;AK$5),1))+IF(AO310="",0,IFERROR(--(EOMONTH(AO310,0)&lt;&gt;AN$5),1))+IF(AR310="",0,IFERROR(--(EOMONTH(AR310,0)&lt;&gt;AQ$5),1))+IF(AU310="",0,IFERROR(--(EOMONTH(AU310,0)&lt;&gt;AT$5),1))+IF(AX310="",0,IFERROR(--(EOMONTH(AX310,0)&lt;&gt;AW$5),1))+IF(BA310="",0,IFERROR(--(EOMONTH(BA310,0)&lt;&gt;AZ$5),1)))&gt;0,"; An invoice date is not in the month it is typed under",""),3,500))</f>
        <v/>
      </c>
      <c r="S310" s="12" t="n"/>
      <c r="T310" s="13" t="n"/>
      <c r="U310" s="14" t="n"/>
      <c r="V310" s="12" t="n"/>
      <c r="W310" s="13" t="n"/>
      <c r="X310" s="14" t="n"/>
      <c r="Y310" s="12" t="n"/>
      <c r="Z310" s="13" t="n"/>
      <c r="AA310" s="14" t="n"/>
      <c r="AB310" s="12" t="n"/>
      <c r="AC310" s="13" t="n"/>
      <c r="AD310" s="14" t="n"/>
      <c r="AE310" s="12" t="n"/>
      <c r="AF310" s="13" t="n"/>
      <c r="AG310" s="14" t="n"/>
      <c r="AH310" s="12" t="n"/>
      <c r="AI310" s="13" t="n"/>
      <c r="AJ310" s="14" t="n"/>
      <c r="AK310" s="12" t="n"/>
      <c r="AL310" s="13" t="n"/>
      <c r="AM310" s="14" t="n"/>
      <c r="AN310" s="12" t="n"/>
      <c r="AO310" s="13" t="n"/>
      <c r="AP310" s="14" t="n"/>
      <c r="AQ310" s="12" t="n"/>
      <c r="AR310" s="13" t="n"/>
      <c r="AS310" s="14" t="n"/>
      <c r="AT310" s="12" t="n"/>
      <c r="AU310" s="13" t="n"/>
      <c r="AV310" s="14" t="n"/>
      <c r="AW310" s="12" t="n"/>
      <c r="AX310" s="13" t="n"/>
      <c r="AY310" s="14" t="n"/>
      <c r="AZ310" s="12" t="n"/>
      <c r="BA310" s="13" t="n"/>
      <c r="BB310" s="14" t="n"/>
      <c r="BC310" s="11">
        <f>IF(O310="","",IF(J310="GST 10%",ROUND(O310*set_GSTRate,2),0))</f>
        <v/>
      </c>
      <c r="BD310" s="11">
        <f>IF(O310="","",O310+BC310)</f>
        <v/>
      </c>
      <c r="BE310" s="15">
        <f>IF(O310="","",COUNTA(S310,V310,Y310,AB310,AE310,AH310,AK310,AN310,AQ310,AT310,AW310,AZ310))</f>
        <v/>
      </c>
      <c r="BF310" s="16">
        <f>IF(COUNT(T310,W310,Z310,AC310,AF310,AI310,AL310,AO310,AR310,AU310,AX310,BA310)=0,"",MAX(T310,W310,Z310,AC310,AF310,AI310,AL310,AO310,AR310,AU310,AX310,BA310))</f>
        <v/>
      </c>
      <c r="BG310" s="10">
        <f>MID(IF(S310="","",", "&amp;S310)&amp;IF(V310="","",", "&amp;V310)&amp;IF(Y310="","",", "&amp;Y310)&amp;IF(AB310="","",", "&amp;AB310)&amp;IF(AE310="","",", "&amp;AE310)&amp;IF(AH310="","",", "&amp;AH310)&amp;IF(AK310="","",", "&amp;AK310)&amp;IF(AN310="","",", "&amp;AN310)&amp;IF(AQ310="","",", "&amp;AQ310)&amp;IF(AT310="","",", "&amp;AT310)&amp;IF(AW310="","",", "&amp;AW310)&amp;IF(AZ310="","",", "&amp;AZ310),3,500)</f>
        <v/>
      </c>
      <c r="BH310" s="12" t="n"/>
      <c r="BI310" s="15">
        <f>IFERROR(MATCH($A310,IF($B310="Onsite",tbl_Onsite[Row ID],IF($B310="Production",tbl_Production[Row ID],tbl_Consulting[Row ID])),0),"")</f>
        <v/>
      </c>
    </row>
    <row r="311">
      <c r="A311" s="10" t="inlineStr">
        <is>
          <t>ONS-0305</t>
        </is>
      </c>
      <c r="B311" s="10" t="inlineStr">
        <is>
          <t>Onsite</t>
        </is>
      </c>
      <c r="C311" s="10">
        <f>IF($BI311="","",IF($B311="Onsite",INDEX(tbl_Onsite[Job Number],$BI311),IF($B311="Production",INDEX(tbl_Production[Job Number],$BI311),INDEX(tbl_Consulting[Job Number],$BI311)))&amp;"")</f>
        <v/>
      </c>
      <c r="D311" s="10">
        <f>IF($BI311="","",IF($B311="Onsite",INDEX(tbl_Onsite[Client],$BI311),IF($B311="Production",INDEX(tbl_Production[Client],$BI311),INDEX(tbl_Consulting[Client],$BI311)))&amp;"")</f>
        <v/>
      </c>
      <c r="E311" s="10">
        <f>IF($C311="","",IF(COUNTIF(lst_Jobs,$C311)&gt;0,"OK","CHECK"))</f>
        <v/>
      </c>
      <c r="F311" s="10">
        <f>IF($C311="","",IFERROR(INDEX(lst_JobName,MATCH($C311,lst_Jobs,0)),""))</f>
        <v/>
      </c>
      <c r="G311" s="10">
        <f>IF($BI311="","",IF($B311="Onsite",INDEX(tbl_Onsite[Job Description],$BI311),IF($B311="Production",INDEX(tbl_Production[Job Description],$BI311),INDEX(tbl_Consulting[Job Description],$BI311)))&amp;"")</f>
        <v/>
      </c>
      <c r="H311" s="10">
        <f>IF($BI311="","",IF($B311="Onsite",INDEX(tbl_Onsite[Cost Centre],$BI311),IF($B311="Production",INDEX(tbl_Production[Cost Centre],$BI311),INDEX(tbl_Consulting[Cost Centre],$BI311)))&amp;"")</f>
        <v/>
      </c>
      <c r="I311" s="10">
        <f>IF($BI311="","",IF($B311="Onsite",INDEX(tbl_Onsite[Invoice Type],$BI311),IF($B311="Production",INDEX(tbl_Production[Invoice Type],$BI311),INDEX(tbl_Consulting[Invoice Type],$BI311)))&amp;"")</f>
        <v/>
      </c>
      <c r="J311" s="10">
        <f>IF($BI311="","",IF($B311="Onsite",INDEX(tbl_Onsite[Tax Code],$BI311),IF($B311="Production",INDEX(tbl_Production[Tax Code],$BI311),INDEX(tbl_Consulting[Tax Code],$BI311)))&amp;"")</f>
        <v/>
      </c>
      <c r="K311" s="10">
        <f>IF(H311="","",IFERROR(INDEX(lst_CCtoGL,MATCH(H311,lst_CCforGL,0)),""))</f>
        <v/>
      </c>
      <c r="L311" s="10">
        <f>IF($BI311="","",IF($B311="Onsite",INDEX(tbl_Onsite[PO / Reference],$BI311),IF($B311="Production",INDEX(tbl_Production[Current RMS No],$BI311),INDEX(tbl_Consulting[Qwilr Quote],$BI311)))&amp;"")</f>
        <v/>
      </c>
      <c r="M311" s="10">
        <f>IF($BI311="","",IF($B311="Onsite",INDEX(tbl_Onsite[Notes],$BI311),IF($B311="Production",INDEX(tbl_Production[Notes],$BI311),INDEX(tbl_Consulting[Notes],$BI311)))&amp;"")</f>
        <v/>
      </c>
      <c r="N311" s="11">
        <f>IF($BI311="","",IF(IF($B311="Onsite",INDEX(tbl_Onsite[Expected Revenue Ex GST],$BI311),IF($B311="Production",INDEX(tbl_Production[Expected Revenue Ex GST],$BI311),INDEX(tbl_Consulting[Expected Revenue Ex GST],$BI311)))="","",IF($B311="Onsite",INDEX(tbl_Onsite[Expected Revenue Ex GST],$BI311),IF($B311="Production",INDEX(tbl_Production[Expected Revenue Ex GST],$BI311),INDEX(tbl_Consulting[Expected Revenue Ex GST],$BI311)))))</f>
        <v/>
      </c>
      <c r="O311" s="11">
        <f>IF(AND($C311="",NOT(COUNTA($S311:$BB311)&gt;0)),"",SUM(U311,X311,AA311,AD311,AG311,AJ311,AM311,AP311,AS311,AV311,AY311,BB311))</f>
        <v/>
      </c>
      <c r="P311" s="11">
        <f>IF(O311="","",N(N311)-O311)</f>
        <v/>
      </c>
      <c r="Q311" s="10">
        <f>IF(O311="","",IF($C311="","Invoice on empty job row",IF(N311="",IF(ROUND(O311,2)=0,"No dept value","Invoiced - no dept value"),IF(ROUND(O311,2)=0,"Not invoiced - to invoice",IF(ROUND(P311,2)=0,"Agrees",IF(P311&gt;0,"Dept higher - to invoice","Xero higher - check dept"))))))</f>
        <v/>
      </c>
      <c r="R311" s="10">
        <f>IF(AND($C311="",NOT(COUNTA($S311:$BB311)&gt;0),$BI311&lt;&gt;""),"",MID(IF($BI311="","; Row ID not found on the department sheet - a row was deleted","")&amp;IF(AND($C311="",COUNTA($S311:$BB311)&gt;0),"; Invoice entered but the department row has no job number","")&amp;IF(E311="CHECK","; Job number not in the Xero job list","")&amp;IF(AND($C311&lt;&gt;"",COUNTIF($C$7:$C$1506,$C311)&gt;1),"; Job number on more than one row","")&amp;IF(AND($C311&lt;&gt;"",H311=""),"; Dept has not set a cost centre","")&amp;IF(AND($C311&lt;&gt;"",J311=""),"; Dept has not set a tax code","")&amp;IF(AND($C311&lt;&gt;"",N311=""),"; Dept has not entered an expected value","")&amp;IF((IF(OR(COUNTA(S311:U311)=0,AND(COUNTA(S311:U311)=3,ISNUMBER(U311))),0,1)+IF(OR(COUNTA(V311:X311)=0,AND(COUNTA(V311:X311)=3,ISNUMBER(X311))),0,1)+IF(OR(COUNTA(Y311:AA311)=0,AND(COUNTA(Y311:AA311)=3,ISNUMBER(AA311))),0,1)+IF(OR(COUNTA(AB311:AD311)=0,AND(COUNTA(AB311:AD311)=3,ISNUMBER(AD311))),0,1)+IF(OR(COUNTA(AE311:AG311)=0,AND(COUNTA(AE311:AG311)=3,ISNUMBER(AG311))),0,1)+IF(OR(COUNTA(AH311:AJ311)=0,AND(COUNTA(AH311:AJ311)=3,ISNUMBER(AJ311))),0,1)+IF(OR(COUNTA(AK311:AM311)=0,AND(COUNTA(AK311:AM311)=3,ISNUMBER(AM311))),0,1)+IF(OR(COUNTA(AN311:AP311)=0,AND(COUNTA(AN311:AP311)=3,ISNUMBER(AP311))),0,1)+IF(OR(COUNTA(AQ311:AS311)=0,AND(COUNTA(AQ311:AS311)=3,ISNUMBER(AS311))),0,1)+IF(OR(COUNTA(AT311:AV311)=0,AND(COUNTA(AT311:AV311)=3,ISNUMBER(AV311))),0,1)+IF(OR(COUNTA(AW311:AY311)=0,AND(COUNTA(AW311:AY311)=3,ISNUMBER(AY311))),0,1)+IF(OR(COUNTA(AZ311:BB311)=0,AND(COUNTA(AZ311:BB311)=3,ISNUMBER(BB311))),0,1))&gt;0,"; An invoice is incomplete (needs No, Date and a number in Ex GST)","")&amp;IF((IF(T311="",0,IFERROR(--(EOMONTH(T311,0)&lt;&gt;S$5),1))+IF(W311="",0,IFERROR(--(EOMONTH(W311,0)&lt;&gt;V$5),1))+IF(Z311="",0,IFERROR(--(EOMONTH(Z311,0)&lt;&gt;Y$5),1))+IF(AC311="",0,IFERROR(--(EOMONTH(AC311,0)&lt;&gt;AB$5),1))+IF(AF311="",0,IFERROR(--(EOMONTH(AF311,0)&lt;&gt;AE$5),1))+IF(AI311="",0,IFERROR(--(EOMONTH(AI311,0)&lt;&gt;AH$5),1))+IF(AL311="",0,IFERROR(--(EOMONTH(AL311,0)&lt;&gt;AK$5),1))+IF(AO311="",0,IFERROR(--(EOMONTH(AO311,0)&lt;&gt;AN$5),1))+IF(AR311="",0,IFERROR(--(EOMONTH(AR311,0)&lt;&gt;AQ$5),1))+IF(AU311="",0,IFERROR(--(EOMONTH(AU311,0)&lt;&gt;AT$5),1))+IF(AX311="",0,IFERROR(--(EOMONTH(AX311,0)&lt;&gt;AW$5),1))+IF(BA311="",0,IFERROR(--(EOMONTH(BA311,0)&lt;&gt;AZ$5),1)))&gt;0,"; An invoice date is not in the month it is typed under",""),3,500))</f>
        <v/>
      </c>
      <c r="S311" s="12" t="n"/>
      <c r="T311" s="13" t="n"/>
      <c r="U311" s="14" t="n"/>
      <c r="V311" s="12" t="n"/>
      <c r="W311" s="13" t="n"/>
      <c r="X311" s="14" t="n"/>
      <c r="Y311" s="12" t="n"/>
      <c r="Z311" s="13" t="n"/>
      <c r="AA311" s="14" t="n"/>
      <c r="AB311" s="12" t="n"/>
      <c r="AC311" s="13" t="n"/>
      <c r="AD311" s="14" t="n"/>
      <c r="AE311" s="12" t="n"/>
      <c r="AF311" s="13" t="n"/>
      <c r="AG311" s="14" t="n"/>
      <c r="AH311" s="12" t="n"/>
      <c r="AI311" s="13" t="n"/>
      <c r="AJ311" s="14" t="n"/>
      <c r="AK311" s="12" t="n"/>
      <c r="AL311" s="13" t="n"/>
      <c r="AM311" s="14" t="n"/>
      <c r="AN311" s="12" t="n"/>
      <c r="AO311" s="13" t="n"/>
      <c r="AP311" s="14" t="n"/>
      <c r="AQ311" s="12" t="n"/>
      <c r="AR311" s="13" t="n"/>
      <c r="AS311" s="14" t="n"/>
      <c r="AT311" s="12" t="n"/>
      <c r="AU311" s="13" t="n"/>
      <c r="AV311" s="14" t="n"/>
      <c r="AW311" s="12" t="n"/>
      <c r="AX311" s="13" t="n"/>
      <c r="AY311" s="14" t="n"/>
      <c r="AZ311" s="12" t="n"/>
      <c r="BA311" s="13" t="n"/>
      <c r="BB311" s="14" t="n"/>
      <c r="BC311" s="11">
        <f>IF(O311="","",IF(J311="GST 10%",ROUND(O311*set_GSTRate,2),0))</f>
        <v/>
      </c>
      <c r="BD311" s="11">
        <f>IF(O311="","",O311+BC311)</f>
        <v/>
      </c>
      <c r="BE311" s="15">
        <f>IF(O311="","",COUNTA(S311,V311,Y311,AB311,AE311,AH311,AK311,AN311,AQ311,AT311,AW311,AZ311))</f>
        <v/>
      </c>
      <c r="BF311" s="16">
        <f>IF(COUNT(T311,W311,Z311,AC311,AF311,AI311,AL311,AO311,AR311,AU311,AX311,BA311)=0,"",MAX(T311,W311,Z311,AC311,AF311,AI311,AL311,AO311,AR311,AU311,AX311,BA311))</f>
        <v/>
      </c>
      <c r="BG311" s="10">
        <f>MID(IF(S311="","",", "&amp;S311)&amp;IF(V311="","",", "&amp;V311)&amp;IF(Y311="","",", "&amp;Y311)&amp;IF(AB311="","",", "&amp;AB311)&amp;IF(AE311="","",", "&amp;AE311)&amp;IF(AH311="","",", "&amp;AH311)&amp;IF(AK311="","",", "&amp;AK311)&amp;IF(AN311="","",", "&amp;AN311)&amp;IF(AQ311="","",", "&amp;AQ311)&amp;IF(AT311="","",", "&amp;AT311)&amp;IF(AW311="","",", "&amp;AW311)&amp;IF(AZ311="","",", "&amp;AZ311),3,500)</f>
        <v/>
      </c>
      <c r="BH311" s="12" t="n"/>
      <c r="BI311" s="15">
        <f>IFERROR(MATCH($A311,IF($B311="Onsite",tbl_Onsite[Row ID],IF($B311="Production",tbl_Production[Row ID],tbl_Consulting[Row ID])),0),"")</f>
        <v/>
      </c>
    </row>
    <row r="312">
      <c r="A312" s="10" t="inlineStr">
        <is>
          <t>ONS-0306</t>
        </is>
      </c>
      <c r="B312" s="10" t="inlineStr">
        <is>
          <t>Onsite</t>
        </is>
      </c>
      <c r="C312" s="10">
        <f>IF($BI312="","",IF($B312="Onsite",INDEX(tbl_Onsite[Job Number],$BI312),IF($B312="Production",INDEX(tbl_Production[Job Number],$BI312),INDEX(tbl_Consulting[Job Number],$BI312)))&amp;"")</f>
        <v/>
      </c>
      <c r="D312" s="10">
        <f>IF($BI312="","",IF($B312="Onsite",INDEX(tbl_Onsite[Client],$BI312),IF($B312="Production",INDEX(tbl_Production[Client],$BI312),INDEX(tbl_Consulting[Client],$BI312)))&amp;"")</f>
        <v/>
      </c>
      <c r="E312" s="10">
        <f>IF($C312="","",IF(COUNTIF(lst_Jobs,$C312)&gt;0,"OK","CHECK"))</f>
        <v/>
      </c>
      <c r="F312" s="10">
        <f>IF($C312="","",IFERROR(INDEX(lst_JobName,MATCH($C312,lst_Jobs,0)),""))</f>
        <v/>
      </c>
      <c r="G312" s="10">
        <f>IF($BI312="","",IF($B312="Onsite",INDEX(tbl_Onsite[Job Description],$BI312),IF($B312="Production",INDEX(tbl_Production[Job Description],$BI312),INDEX(tbl_Consulting[Job Description],$BI312)))&amp;"")</f>
        <v/>
      </c>
      <c r="H312" s="10">
        <f>IF($BI312="","",IF($B312="Onsite",INDEX(tbl_Onsite[Cost Centre],$BI312),IF($B312="Production",INDEX(tbl_Production[Cost Centre],$BI312),INDEX(tbl_Consulting[Cost Centre],$BI312)))&amp;"")</f>
        <v/>
      </c>
      <c r="I312" s="10">
        <f>IF($BI312="","",IF($B312="Onsite",INDEX(tbl_Onsite[Invoice Type],$BI312),IF($B312="Production",INDEX(tbl_Production[Invoice Type],$BI312),INDEX(tbl_Consulting[Invoice Type],$BI312)))&amp;"")</f>
        <v/>
      </c>
      <c r="J312" s="10">
        <f>IF($BI312="","",IF($B312="Onsite",INDEX(tbl_Onsite[Tax Code],$BI312),IF($B312="Production",INDEX(tbl_Production[Tax Code],$BI312),INDEX(tbl_Consulting[Tax Code],$BI312)))&amp;"")</f>
        <v/>
      </c>
      <c r="K312" s="10">
        <f>IF(H312="","",IFERROR(INDEX(lst_CCtoGL,MATCH(H312,lst_CCforGL,0)),""))</f>
        <v/>
      </c>
      <c r="L312" s="10">
        <f>IF($BI312="","",IF($B312="Onsite",INDEX(tbl_Onsite[PO / Reference],$BI312),IF($B312="Production",INDEX(tbl_Production[Current RMS No],$BI312),INDEX(tbl_Consulting[Qwilr Quote],$BI312)))&amp;"")</f>
        <v/>
      </c>
      <c r="M312" s="10">
        <f>IF($BI312="","",IF($B312="Onsite",INDEX(tbl_Onsite[Notes],$BI312),IF($B312="Production",INDEX(tbl_Production[Notes],$BI312),INDEX(tbl_Consulting[Notes],$BI312)))&amp;"")</f>
        <v/>
      </c>
      <c r="N312" s="11">
        <f>IF($BI312="","",IF(IF($B312="Onsite",INDEX(tbl_Onsite[Expected Revenue Ex GST],$BI312),IF($B312="Production",INDEX(tbl_Production[Expected Revenue Ex GST],$BI312),INDEX(tbl_Consulting[Expected Revenue Ex GST],$BI312)))="","",IF($B312="Onsite",INDEX(tbl_Onsite[Expected Revenue Ex GST],$BI312),IF($B312="Production",INDEX(tbl_Production[Expected Revenue Ex GST],$BI312),INDEX(tbl_Consulting[Expected Revenue Ex GST],$BI312)))))</f>
        <v/>
      </c>
      <c r="O312" s="11">
        <f>IF(AND($C312="",NOT(COUNTA($S312:$BB312)&gt;0)),"",SUM(U312,X312,AA312,AD312,AG312,AJ312,AM312,AP312,AS312,AV312,AY312,BB312))</f>
        <v/>
      </c>
      <c r="P312" s="11">
        <f>IF(O312="","",N(N312)-O312)</f>
        <v/>
      </c>
      <c r="Q312" s="10">
        <f>IF(O312="","",IF($C312="","Invoice on empty job row",IF(N312="",IF(ROUND(O312,2)=0,"No dept value","Invoiced - no dept value"),IF(ROUND(O312,2)=0,"Not invoiced - to invoice",IF(ROUND(P312,2)=0,"Agrees",IF(P312&gt;0,"Dept higher - to invoice","Xero higher - check dept"))))))</f>
        <v/>
      </c>
      <c r="R312" s="10">
        <f>IF(AND($C312="",NOT(COUNTA($S312:$BB312)&gt;0),$BI312&lt;&gt;""),"",MID(IF($BI312="","; Row ID not found on the department sheet - a row was deleted","")&amp;IF(AND($C312="",COUNTA($S312:$BB312)&gt;0),"; Invoice entered but the department row has no job number","")&amp;IF(E312="CHECK","; Job number not in the Xero job list","")&amp;IF(AND($C312&lt;&gt;"",COUNTIF($C$7:$C$1506,$C312)&gt;1),"; Job number on more than one row","")&amp;IF(AND($C312&lt;&gt;"",H312=""),"; Dept has not set a cost centre","")&amp;IF(AND($C312&lt;&gt;"",J312=""),"; Dept has not set a tax code","")&amp;IF(AND($C312&lt;&gt;"",N312=""),"; Dept has not entered an expected value","")&amp;IF((IF(OR(COUNTA(S312:U312)=0,AND(COUNTA(S312:U312)=3,ISNUMBER(U312))),0,1)+IF(OR(COUNTA(V312:X312)=0,AND(COUNTA(V312:X312)=3,ISNUMBER(X312))),0,1)+IF(OR(COUNTA(Y312:AA312)=0,AND(COUNTA(Y312:AA312)=3,ISNUMBER(AA312))),0,1)+IF(OR(COUNTA(AB312:AD312)=0,AND(COUNTA(AB312:AD312)=3,ISNUMBER(AD312))),0,1)+IF(OR(COUNTA(AE312:AG312)=0,AND(COUNTA(AE312:AG312)=3,ISNUMBER(AG312))),0,1)+IF(OR(COUNTA(AH312:AJ312)=0,AND(COUNTA(AH312:AJ312)=3,ISNUMBER(AJ312))),0,1)+IF(OR(COUNTA(AK312:AM312)=0,AND(COUNTA(AK312:AM312)=3,ISNUMBER(AM312))),0,1)+IF(OR(COUNTA(AN312:AP312)=0,AND(COUNTA(AN312:AP312)=3,ISNUMBER(AP312))),0,1)+IF(OR(COUNTA(AQ312:AS312)=0,AND(COUNTA(AQ312:AS312)=3,ISNUMBER(AS312))),0,1)+IF(OR(COUNTA(AT312:AV312)=0,AND(COUNTA(AT312:AV312)=3,ISNUMBER(AV312))),0,1)+IF(OR(COUNTA(AW312:AY312)=0,AND(COUNTA(AW312:AY312)=3,ISNUMBER(AY312))),0,1)+IF(OR(COUNTA(AZ312:BB312)=0,AND(COUNTA(AZ312:BB312)=3,ISNUMBER(BB312))),0,1))&gt;0,"; An invoice is incomplete (needs No, Date and a number in Ex GST)","")&amp;IF((IF(T312="",0,IFERROR(--(EOMONTH(T312,0)&lt;&gt;S$5),1))+IF(W312="",0,IFERROR(--(EOMONTH(W312,0)&lt;&gt;V$5),1))+IF(Z312="",0,IFERROR(--(EOMONTH(Z312,0)&lt;&gt;Y$5),1))+IF(AC312="",0,IFERROR(--(EOMONTH(AC312,0)&lt;&gt;AB$5),1))+IF(AF312="",0,IFERROR(--(EOMONTH(AF312,0)&lt;&gt;AE$5),1))+IF(AI312="",0,IFERROR(--(EOMONTH(AI312,0)&lt;&gt;AH$5),1))+IF(AL312="",0,IFERROR(--(EOMONTH(AL312,0)&lt;&gt;AK$5),1))+IF(AO312="",0,IFERROR(--(EOMONTH(AO312,0)&lt;&gt;AN$5),1))+IF(AR312="",0,IFERROR(--(EOMONTH(AR312,0)&lt;&gt;AQ$5),1))+IF(AU312="",0,IFERROR(--(EOMONTH(AU312,0)&lt;&gt;AT$5),1))+IF(AX312="",0,IFERROR(--(EOMONTH(AX312,0)&lt;&gt;AW$5),1))+IF(BA312="",0,IFERROR(--(EOMONTH(BA312,0)&lt;&gt;AZ$5),1)))&gt;0,"; An invoice date is not in the month it is typed under",""),3,500))</f>
        <v/>
      </c>
      <c r="S312" s="12" t="n"/>
      <c r="T312" s="13" t="n"/>
      <c r="U312" s="14" t="n"/>
      <c r="V312" s="12" t="n"/>
      <c r="W312" s="13" t="n"/>
      <c r="X312" s="14" t="n"/>
      <c r="Y312" s="12" t="n"/>
      <c r="Z312" s="13" t="n"/>
      <c r="AA312" s="14" t="n"/>
      <c r="AB312" s="12" t="n"/>
      <c r="AC312" s="13" t="n"/>
      <c r="AD312" s="14" t="n"/>
      <c r="AE312" s="12" t="n"/>
      <c r="AF312" s="13" t="n"/>
      <c r="AG312" s="14" t="n"/>
      <c r="AH312" s="12" t="n"/>
      <c r="AI312" s="13" t="n"/>
      <c r="AJ312" s="14" t="n"/>
      <c r="AK312" s="12" t="n"/>
      <c r="AL312" s="13" t="n"/>
      <c r="AM312" s="14" t="n"/>
      <c r="AN312" s="12" t="n"/>
      <c r="AO312" s="13" t="n"/>
      <c r="AP312" s="14" t="n"/>
      <c r="AQ312" s="12" t="n"/>
      <c r="AR312" s="13" t="n"/>
      <c r="AS312" s="14" t="n"/>
      <c r="AT312" s="12" t="n"/>
      <c r="AU312" s="13" t="n"/>
      <c r="AV312" s="14" t="n"/>
      <c r="AW312" s="12" t="n"/>
      <c r="AX312" s="13" t="n"/>
      <c r="AY312" s="14" t="n"/>
      <c r="AZ312" s="12" t="n"/>
      <c r="BA312" s="13" t="n"/>
      <c r="BB312" s="14" t="n"/>
      <c r="BC312" s="11">
        <f>IF(O312="","",IF(J312="GST 10%",ROUND(O312*set_GSTRate,2),0))</f>
        <v/>
      </c>
      <c r="BD312" s="11">
        <f>IF(O312="","",O312+BC312)</f>
        <v/>
      </c>
      <c r="BE312" s="15">
        <f>IF(O312="","",COUNTA(S312,V312,Y312,AB312,AE312,AH312,AK312,AN312,AQ312,AT312,AW312,AZ312))</f>
        <v/>
      </c>
      <c r="BF312" s="16">
        <f>IF(COUNT(T312,W312,Z312,AC312,AF312,AI312,AL312,AO312,AR312,AU312,AX312,BA312)=0,"",MAX(T312,W312,Z312,AC312,AF312,AI312,AL312,AO312,AR312,AU312,AX312,BA312))</f>
        <v/>
      </c>
      <c r="BG312" s="10">
        <f>MID(IF(S312="","",", "&amp;S312)&amp;IF(V312="","",", "&amp;V312)&amp;IF(Y312="","",", "&amp;Y312)&amp;IF(AB312="","",", "&amp;AB312)&amp;IF(AE312="","",", "&amp;AE312)&amp;IF(AH312="","",", "&amp;AH312)&amp;IF(AK312="","",", "&amp;AK312)&amp;IF(AN312="","",", "&amp;AN312)&amp;IF(AQ312="","",", "&amp;AQ312)&amp;IF(AT312="","",", "&amp;AT312)&amp;IF(AW312="","",", "&amp;AW312)&amp;IF(AZ312="","",", "&amp;AZ312),3,500)</f>
        <v/>
      </c>
      <c r="BH312" s="12" t="n"/>
      <c r="BI312" s="15">
        <f>IFERROR(MATCH($A312,IF($B312="Onsite",tbl_Onsite[Row ID],IF($B312="Production",tbl_Production[Row ID],tbl_Consulting[Row ID])),0),"")</f>
        <v/>
      </c>
    </row>
    <row r="313">
      <c r="A313" s="10" t="inlineStr">
        <is>
          <t>ONS-0307</t>
        </is>
      </c>
      <c r="B313" s="10" t="inlineStr">
        <is>
          <t>Onsite</t>
        </is>
      </c>
      <c r="C313" s="10">
        <f>IF($BI313="","",IF($B313="Onsite",INDEX(tbl_Onsite[Job Number],$BI313),IF($B313="Production",INDEX(tbl_Production[Job Number],$BI313),INDEX(tbl_Consulting[Job Number],$BI313)))&amp;"")</f>
        <v/>
      </c>
      <c r="D313" s="10">
        <f>IF($BI313="","",IF($B313="Onsite",INDEX(tbl_Onsite[Client],$BI313),IF($B313="Production",INDEX(tbl_Production[Client],$BI313),INDEX(tbl_Consulting[Client],$BI313)))&amp;"")</f>
        <v/>
      </c>
      <c r="E313" s="10">
        <f>IF($C313="","",IF(COUNTIF(lst_Jobs,$C313)&gt;0,"OK","CHECK"))</f>
        <v/>
      </c>
      <c r="F313" s="10">
        <f>IF($C313="","",IFERROR(INDEX(lst_JobName,MATCH($C313,lst_Jobs,0)),""))</f>
        <v/>
      </c>
      <c r="G313" s="10">
        <f>IF($BI313="","",IF($B313="Onsite",INDEX(tbl_Onsite[Job Description],$BI313),IF($B313="Production",INDEX(tbl_Production[Job Description],$BI313),INDEX(tbl_Consulting[Job Description],$BI313)))&amp;"")</f>
        <v/>
      </c>
      <c r="H313" s="10">
        <f>IF($BI313="","",IF($B313="Onsite",INDEX(tbl_Onsite[Cost Centre],$BI313),IF($B313="Production",INDEX(tbl_Production[Cost Centre],$BI313),INDEX(tbl_Consulting[Cost Centre],$BI313)))&amp;"")</f>
        <v/>
      </c>
      <c r="I313" s="10">
        <f>IF($BI313="","",IF($B313="Onsite",INDEX(tbl_Onsite[Invoice Type],$BI313),IF($B313="Production",INDEX(tbl_Production[Invoice Type],$BI313),INDEX(tbl_Consulting[Invoice Type],$BI313)))&amp;"")</f>
        <v/>
      </c>
      <c r="J313" s="10">
        <f>IF($BI313="","",IF($B313="Onsite",INDEX(tbl_Onsite[Tax Code],$BI313),IF($B313="Production",INDEX(tbl_Production[Tax Code],$BI313),INDEX(tbl_Consulting[Tax Code],$BI313)))&amp;"")</f>
        <v/>
      </c>
      <c r="K313" s="10">
        <f>IF(H313="","",IFERROR(INDEX(lst_CCtoGL,MATCH(H313,lst_CCforGL,0)),""))</f>
        <v/>
      </c>
      <c r="L313" s="10">
        <f>IF($BI313="","",IF($B313="Onsite",INDEX(tbl_Onsite[PO / Reference],$BI313),IF($B313="Production",INDEX(tbl_Production[Current RMS No],$BI313),INDEX(tbl_Consulting[Qwilr Quote],$BI313)))&amp;"")</f>
        <v/>
      </c>
      <c r="M313" s="10">
        <f>IF($BI313="","",IF($B313="Onsite",INDEX(tbl_Onsite[Notes],$BI313),IF($B313="Production",INDEX(tbl_Production[Notes],$BI313),INDEX(tbl_Consulting[Notes],$BI313)))&amp;"")</f>
        <v/>
      </c>
      <c r="N313" s="11">
        <f>IF($BI313="","",IF(IF($B313="Onsite",INDEX(tbl_Onsite[Expected Revenue Ex GST],$BI313),IF($B313="Production",INDEX(tbl_Production[Expected Revenue Ex GST],$BI313),INDEX(tbl_Consulting[Expected Revenue Ex GST],$BI313)))="","",IF($B313="Onsite",INDEX(tbl_Onsite[Expected Revenue Ex GST],$BI313),IF($B313="Production",INDEX(tbl_Production[Expected Revenue Ex GST],$BI313),INDEX(tbl_Consulting[Expected Revenue Ex GST],$BI313)))))</f>
        <v/>
      </c>
      <c r="O313" s="11">
        <f>IF(AND($C313="",NOT(COUNTA($S313:$BB313)&gt;0)),"",SUM(U313,X313,AA313,AD313,AG313,AJ313,AM313,AP313,AS313,AV313,AY313,BB313))</f>
        <v/>
      </c>
      <c r="P313" s="11">
        <f>IF(O313="","",N(N313)-O313)</f>
        <v/>
      </c>
      <c r="Q313" s="10">
        <f>IF(O313="","",IF($C313="","Invoice on empty job row",IF(N313="",IF(ROUND(O313,2)=0,"No dept value","Invoiced - no dept value"),IF(ROUND(O313,2)=0,"Not invoiced - to invoice",IF(ROUND(P313,2)=0,"Agrees",IF(P313&gt;0,"Dept higher - to invoice","Xero higher - check dept"))))))</f>
        <v/>
      </c>
      <c r="R313" s="10">
        <f>IF(AND($C313="",NOT(COUNTA($S313:$BB313)&gt;0),$BI313&lt;&gt;""),"",MID(IF($BI313="","; Row ID not found on the department sheet - a row was deleted","")&amp;IF(AND($C313="",COUNTA($S313:$BB313)&gt;0),"; Invoice entered but the department row has no job number","")&amp;IF(E313="CHECK","; Job number not in the Xero job list","")&amp;IF(AND($C313&lt;&gt;"",COUNTIF($C$7:$C$1506,$C313)&gt;1),"; Job number on more than one row","")&amp;IF(AND($C313&lt;&gt;"",H313=""),"; Dept has not set a cost centre","")&amp;IF(AND($C313&lt;&gt;"",J313=""),"; Dept has not set a tax code","")&amp;IF(AND($C313&lt;&gt;"",N313=""),"; Dept has not entered an expected value","")&amp;IF((IF(OR(COUNTA(S313:U313)=0,AND(COUNTA(S313:U313)=3,ISNUMBER(U313))),0,1)+IF(OR(COUNTA(V313:X313)=0,AND(COUNTA(V313:X313)=3,ISNUMBER(X313))),0,1)+IF(OR(COUNTA(Y313:AA313)=0,AND(COUNTA(Y313:AA313)=3,ISNUMBER(AA313))),0,1)+IF(OR(COUNTA(AB313:AD313)=0,AND(COUNTA(AB313:AD313)=3,ISNUMBER(AD313))),0,1)+IF(OR(COUNTA(AE313:AG313)=0,AND(COUNTA(AE313:AG313)=3,ISNUMBER(AG313))),0,1)+IF(OR(COUNTA(AH313:AJ313)=0,AND(COUNTA(AH313:AJ313)=3,ISNUMBER(AJ313))),0,1)+IF(OR(COUNTA(AK313:AM313)=0,AND(COUNTA(AK313:AM313)=3,ISNUMBER(AM313))),0,1)+IF(OR(COUNTA(AN313:AP313)=0,AND(COUNTA(AN313:AP313)=3,ISNUMBER(AP313))),0,1)+IF(OR(COUNTA(AQ313:AS313)=0,AND(COUNTA(AQ313:AS313)=3,ISNUMBER(AS313))),0,1)+IF(OR(COUNTA(AT313:AV313)=0,AND(COUNTA(AT313:AV313)=3,ISNUMBER(AV313))),0,1)+IF(OR(COUNTA(AW313:AY313)=0,AND(COUNTA(AW313:AY313)=3,ISNUMBER(AY313))),0,1)+IF(OR(COUNTA(AZ313:BB313)=0,AND(COUNTA(AZ313:BB313)=3,ISNUMBER(BB313))),0,1))&gt;0,"; An invoice is incomplete (needs No, Date and a number in Ex GST)","")&amp;IF((IF(T313="",0,IFERROR(--(EOMONTH(T313,0)&lt;&gt;S$5),1))+IF(W313="",0,IFERROR(--(EOMONTH(W313,0)&lt;&gt;V$5),1))+IF(Z313="",0,IFERROR(--(EOMONTH(Z313,0)&lt;&gt;Y$5),1))+IF(AC313="",0,IFERROR(--(EOMONTH(AC313,0)&lt;&gt;AB$5),1))+IF(AF313="",0,IFERROR(--(EOMONTH(AF313,0)&lt;&gt;AE$5),1))+IF(AI313="",0,IFERROR(--(EOMONTH(AI313,0)&lt;&gt;AH$5),1))+IF(AL313="",0,IFERROR(--(EOMONTH(AL313,0)&lt;&gt;AK$5),1))+IF(AO313="",0,IFERROR(--(EOMONTH(AO313,0)&lt;&gt;AN$5),1))+IF(AR313="",0,IFERROR(--(EOMONTH(AR313,0)&lt;&gt;AQ$5),1))+IF(AU313="",0,IFERROR(--(EOMONTH(AU313,0)&lt;&gt;AT$5),1))+IF(AX313="",0,IFERROR(--(EOMONTH(AX313,0)&lt;&gt;AW$5),1))+IF(BA313="",0,IFERROR(--(EOMONTH(BA313,0)&lt;&gt;AZ$5),1)))&gt;0,"; An invoice date is not in the month it is typed under",""),3,500))</f>
        <v/>
      </c>
      <c r="S313" s="12" t="n"/>
      <c r="T313" s="13" t="n"/>
      <c r="U313" s="14" t="n"/>
      <c r="V313" s="12" t="n"/>
      <c r="W313" s="13" t="n"/>
      <c r="X313" s="14" t="n"/>
      <c r="Y313" s="12" t="n"/>
      <c r="Z313" s="13" t="n"/>
      <c r="AA313" s="14" t="n"/>
      <c r="AB313" s="12" t="n"/>
      <c r="AC313" s="13" t="n"/>
      <c r="AD313" s="14" t="n"/>
      <c r="AE313" s="12" t="n"/>
      <c r="AF313" s="13" t="n"/>
      <c r="AG313" s="14" t="n"/>
      <c r="AH313" s="12" t="n"/>
      <c r="AI313" s="13" t="n"/>
      <c r="AJ313" s="14" t="n"/>
      <c r="AK313" s="12" t="n"/>
      <c r="AL313" s="13" t="n"/>
      <c r="AM313" s="14" t="n"/>
      <c r="AN313" s="12" t="n"/>
      <c r="AO313" s="13" t="n"/>
      <c r="AP313" s="14" t="n"/>
      <c r="AQ313" s="12" t="n"/>
      <c r="AR313" s="13" t="n"/>
      <c r="AS313" s="14" t="n"/>
      <c r="AT313" s="12" t="n"/>
      <c r="AU313" s="13" t="n"/>
      <c r="AV313" s="14" t="n"/>
      <c r="AW313" s="12" t="n"/>
      <c r="AX313" s="13" t="n"/>
      <c r="AY313" s="14" t="n"/>
      <c r="AZ313" s="12" t="n"/>
      <c r="BA313" s="13" t="n"/>
      <c r="BB313" s="14" t="n"/>
      <c r="BC313" s="11">
        <f>IF(O313="","",IF(J313="GST 10%",ROUND(O313*set_GSTRate,2),0))</f>
        <v/>
      </c>
      <c r="BD313" s="11">
        <f>IF(O313="","",O313+BC313)</f>
        <v/>
      </c>
      <c r="BE313" s="15">
        <f>IF(O313="","",COUNTA(S313,V313,Y313,AB313,AE313,AH313,AK313,AN313,AQ313,AT313,AW313,AZ313))</f>
        <v/>
      </c>
      <c r="BF313" s="16">
        <f>IF(COUNT(T313,W313,Z313,AC313,AF313,AI313,AL313,AO313,AR313,AU313,AX313,BA313)=0,"",MAX(T313,W313,Z313,AC313,AF313,AI313,AL313,AO313,AR313,AU313,AX313,BA313))</f>
        <v/>
      </c>
      <c r="BG313" s="10">
        <f>MID(IF(S313="","",", "&amp;S313)&amp;IF(V313="","",", "&amp;V313)&amp;IF(Y313="","",", "&amp;Y313)&amp;IF(AB313="","",", "&amp;AB313)&amp;IF(AE313="","",", "&amp;AE313)&amp;IF(AH313="","",", "&amp;AH313)&amp;IF(AK313="","",", "&amp;AK313)&amp;IF(AN313="","",", "&amp;AN313)&amp;IF(AQ313="","",", "&amp;AQ313)&amp;IF(AT313="","",", "&amp;AT313)&amp;IF(AW313="","",", "&amp;AW313)&amp;IF(AZ313="","",", "&amp;AZ313),3,500)</f>
        <v/>
      </c>
      <c r="BH313" s="12" t="n"/>
      <c r="BI313" s="15">
        <f>IFERROR(MATCH($A313,IF($B313="Onsite",tbl_Onsite[Row ID],IF($B313="Production",tbl_Production[Row ID],tbl_Consulting[Row ID])),0),"")</f>
        <v/>
      </c>
    </row>
    <row r="314">
      <c r="A314" s="10" t="inlineStr">
        <is>
          <t>ONS-0308</t>
        </is>
      </c>
      <c r="B314" s="10" t="inlineStr">
        <is>
          <t>Onsite</t>
        </is>
      </c>
      <c r="C314" s="10">
        <f>IF($BI314="","",IF($B314="Onsite",INDEX(tbl_Onsite[Job Number],$BI314),IF($B314="Production",INDEX(tbl_Production[Job Number],$BI314),INDEX(tbl_Consulting[Job Number],$BI314)))&amp;"")</f>
        <v/>
      </c>
      <c r="D314" s="10">
        <f>IF($BI314="","",IF($B314="Onsite",INDEX(tbl_Onsite[Client],$BI314),IF($B314="Production",INDEX(tbl_Production[Client],$BI314),INDEX(tbl_Consulting[Client],$BI314)))&amp;"")</f>
        <v/>
      </c>
      <c r="E314" s="10">
        <f>IF($C314="","",IF(COUNTIF(lst_Jobs,$C314)&gt;0,"OK","CHECK"))</f>
        <v/>
      </c>
      <c r="F314" s="10">
        <f>IF($C314="","",IFERROR(INDEX(lst_JobName,MATCH($C314,lst_Jobs,0)),""))</f>
        <v/>
      </c>
      <c r="G314" s="10">
        <f>IF($BI314="","",IF($B314="Onsite",INDEX(tbl_Onsite[Job Description],$BI314),IF($B314="Production",INDEX(tbl_Production[Job Description],$BI314),INDEX(tbl_Consulting[Job Description],$BI314)))&amp;"")</f>
        <v/>
      </c>
      <c r="H314" s="10">
        <f>IF($BI314="","",IF($B314="Onsite",INDEX(tbl_Onsite[Cost Centre],$BI314),IF($B314="Production",INDEX(tbl_Production[Cost Centre],$BI314),INDEX(tbl_Consulting[Cost Centre],$BI314)))&amp;"")</f>
        <v/>
      </c>
      <c r="I314" s="10">
        <f>IF($BI314="","",IF($B314="Onsite",INDEX(tbl_Onsite[Invoice Type],$BI314),IF($B314="Production",INDEX(tbl_Production[Invoice Type],$BI314),INDEX(tbl_Consulting[Invoice Type],$BI314)))&amp;"")</f>
        <v/>
      </c>
      <c r="J314" s="10">
        <f>IF($BI314="","",IF($B314="Onsite",INDEX(tbl_Onsite[Tax Code],$BI314),IF($B314="Production",INDEX(tbl_Production[Tax Code],$BI314),INDEX(tbl_Consulting[Tax Code],$BI314)))&amp;"")</f>
        <v/>
      </c>
      <c r="K314" s="10">
        <f>IF(H314="","",IFERROR(INDEX(lst_CCtoGL,MATCH(H314,lst_CCforGL,0)),""))</f>
        <v/>
      </c>
      <c r="L314" s="10">
        <f>IF($BI314="","",IF($B314="Onsite",INDEX(tbl_Onsite[PO / Reference],$BI314),IF($B314="Production",INDEX(tbl_Production[Current RMS No],$BI314),INDEX(tbl_Consulting[Qwilr Quote],$BI314)))&amp;"")</f>
        <v/>
      </c>
      <c r="M314" s="10">
        <f>IF($BI314="","",IF($B314="Onsite",INDEX(tbl_Onsite[Notes],$BI314),IF($B314="Production",INDEX(tbl_Production[Notes],$BI314),INDEX(tbl_Consulting[Notes],$BI314)))&amp;"")</f>
        <v/>
      </c>
      <c r="N314" s="11">
        <f>IF($BI314="","",IF(IF($B314="Onsite",INDEX(tbl_Onsite[Expected Revenue Ex GST],$BI314),IF($B314="Production",INDEX(tbl_Production[Expected Revenue Ex GST],$BI314),INDEX(tbl_Consulting[Expected Revenue Ex GST],$BI314)))="","",IF($B314="Onsite",INDEX(tbl_Onsite[Expected Revenue Ex GST],$BI314),IF($B314="Production",INDEX(tbl_Production[Expected Revenue Ex GST],$BI314),INDEX(tbl_Consulting[Expected Revenue Ex GST],$BI314)))))</f>
        <v/>
      </c>
      <c r="O314" s="11">
        <f>IF(AND($C314="",NOT(COUNTA($S314:$BB314)&gt;0)),"",SUM(U314,X314,AA314,AD314,AG314,AJ314,AM314,AP314,AS314,AV314,AY314,BB314))</f>
        <v/>
      </c>
      <c r="P314" s="11">
        <f>IF(O314="","",N(N314)-O314)</f>
        <v/>
      </c>
      <c r="Q314" s="10">
        <f>IF(O314="","",IF($C314="","Invoice on empty job row",IF(N314="",IF(ROUND(O314,2)=0,"No dept value","Invoiced - no dept value"),IF(ROUND(O314,2)=0,"Not invoiced - to invoice",IF(ROUND(P314,2)=0,"Agrees",IF(P314&gt;0,"Dept higher - to invoice","Xero higher - check dept"))))))</f>
        <v/>
      </c>
      <c r="R314" s="10">
        <f>IF(AND($C314="",NOT(COUNTA($S314:$BB314)&gt;0),$BI314&lt;&gt;""),"",MID(IF($BI314="","; Row ID not found on the department sheet - a row was deleted","")&amp;IF(AND($C314="",COUNTA($S314:$BB314)&gt;0),"; Invoice entered but the department row has no job number","")&amp;IF(E314="CHECK","; Job number not in the Xero job list","")&amp;IF(AND($C314&lt;&gt;"",COUNTIF($C$7:$C$1506,$C314)&gt;1),"; Job number on more than one row","")&amp;IF(AND($C314&lt;&gt;"",H314=""),"; Dept has not set a cost centre","")&amp;IF(AND($C314&lt;&gt;"",J314=""),"; Dept has not set a tax code","")&amp;IF(AND($C314&lt;&gt;"",N314=""),"; Dept has not entered an expected value","")&amp;IF((IF(OR(COUNTA(S314:U314)=0,AND(COUNTA(S314:U314)=3,ISNUMBER(U314))),0,1)+IF(OR(COUNTA(V314:X314)=0,AND(COUNTA(V314:X314)=3,ISNUMBER(X314))),0,1)+IF(OR(COUNTA(Y314:AA314)=0,AND(COUNTA(Y314:AA314)=3,ISNUMBER(AA314))),0,1)+IF(OR(COUNTA(AB314:AD314)=0,AND(COUNTA(AB314:AD314)=3,ISNUMBER(AD314))),0,1)+IF(OR(COUNTA(AE314:AG314)=0,AND(COUNTA(AE314:AG314)=3,ISNUMBER(AG314))),0,1)+IF(OR(COUNTA(AH314:AJ314)=0,AND(COUNTA(AH314:AJ314)=3,ISNUMBER(AJ314))),0,1)+IF(OR(COUNTA(AK314:AM314)=0,AND(COUNTA(AK314:AM314)=3,ISNUMBER(AM314))),0,1)+IF(OR(COUNTA(AN314:AP314)=0,AND(COUNTA(AN314:AP314)=3,ISNUMBER(AP314))),0,1)+IF(OR(COUNTA(AQ314:AS314)=0,AND(COUNTA(AQ314:AS314)=3,ISNUMBER(AS314))),0,1)+IF(OR(COUNTA(AT314:AV314)=0,AND(COUNTA(AT314:AV314)=3,ISNUMBER(AV314))),0,1)+IF(OR(COUNTA(AW314:AY314)=0,AND(COUNTA(AW314:AY314)=3,ISNUMBER(AY314))),0,1)+IF(OR(COUNTA(AZ314:BB314)=0,AND(COUNTA(AZ314:BB314)=3,ISNUMBER(BB314))),0,1))&gt;0,"; An invoice is incomplete (needs No, Date and a number in Ex GST)","")&amp;IF((IF(T314="",0,IFERROR(--(EOMONTH(T314,0)&lt;&gt;S$5),1))+IF(W314="",0,IFERROR(--(EOMONTH(W314,0)&lt;&gt;V$5),1))+IF(Z314="",0,IFERROR(--(EOMONTH(Z314,0)&lt;&gt;Y$5),1))+IF(AC314="",0,IFERROR(--(EOMONTH(AC314,0)&lt;&gt;AB$5),1))+IF(AF314="",0,IFERROR(--(EOMONTH(AF314,0)&lt;&gt;AE$5),1))+IF(AI314="",0,IFERROR(--(EOMONTH(AI314,0)&lt;&gt;AH$5),1))+IF(AL314="",0,IFERROR(--(EOMONTH(AL314,0)&lt;&gt;AK$5),1))+IF(AO314="",0,IFERROR(--(EOMONTH(AO314,0)&lt;&gt;AN$5),1))+IF(AR314="",0,IFERROR(--(EOMONTH(AR314,0)&lt;&gt;AQ$5),1))+IF(AU314="",0,IFERROR(--(EOMONTH(AU314,0)&lt;&gt;AT$5),1))+IF(AX314="",0,IFERROR(--(EOMONTH(AX314,0)&lt;&gt;AW$5),1))+IF(BA314="",0,IFERROR(--(EOMONTH(BA314,0)&lt;&gt;AZ$5),1)))&gt;0,"; An invoice date is not in the month it is typed under",""),3,500))</f>
        <v/>
      </c>
      <c r="S314" s="12" t="n"/>
      <c r="T314" s="13" t="n"/>
      <c r="U314" s="14" t="n"/>
      <c r="V314" s="12" t="n"/>
      <c r="W314" s="13" t="n"/>
      <c r="X314" s="14" t="n"/>
      <c r="Y314" s="12" t="n"/>
      <c r="Z314" s="13" t="n"/>
      <c r="AA314" s="14" t="n"/>
      <c r="AB314" s="12" t="n"/>
      <c r="AC314" s="13" t="n"/>
      <c r="AD314" s="14" t="n"/>
      <c r="AE314" s="12" t="n"/>
      <c r="AF314" s="13" t="n"/>
      <c r="AG314" s="14" t="n"/>
      <c r="AH314" s="12" t="n"/>
      <c r="AI314" s="13" t="n"/>
      <c r="AJ314" s="14" t="n"/>
      <c r="AK314" s="12" t="n"/>
      <c r="AL314" s="13" t="n"/>
      <c r="AM314" s="14" t="n"/>
      <c r="AN314" s="12" t="n"/>
      <c r="AO314" s="13" t="n"/>
      <c r="AP314" s="14" t="n"/>
      <c r="AQ314" s="12" t="n"/>
      <c r="AR314" s="13" t="n"/>
      <c r="AS314" s="14" t="n"/>
      <c r="AT314" s="12" t="n"/>
      <c r="AU314" s="13" t="n"/>
      <c r="AV314" s="14" t="n"/>
      <c r="AW314" s="12" t="n"/>
      <c r="AX314" s="13" t="n"/>
      <c r="AY314" s="14" t="n"/>
      <c r="AZ314" s="12" t="n"/>
      <c r="BA314" s="13" t="n"/>
      <c r="BB314" s="14" t="n"/>
      <c r="BC314" s="11">
        <f>IF(O314="","",IF(J314="GST 10%",ROUND(O314*set_GSTRate,2),0))</f>
        <v/>
      </c>
      <c r="BD314" s="11">
        <f>IF(O314="","",O314+BC314)</f>
        <v/>
      </c>
      <c r="BE314" s="15">
        <f>IF(O314="","",COUNTA(S314,V314,Y314,AB314,AE314,AH314,AK314,AN314,AQ314,AT314,AW314,AZ314))</f>
        <v/>
      </c>
      <c r="BF314" s="16">
        <f>IF(COUNT(T314,W314,Z314,AC314,AF314,AI314,AL314,AO314,AR314,AU314,AX314,BA314)=0,"",MAX(T314,W314,Z314,AC314,AF314,AI314,AL314,AO314,AR314,AU314,AX314,BA314))</f>
        <v/>
      </c>
      <c r="BG314" s="10">
        <f>MID(IF(S314="","",", "&amp;S314)&amp;IF(V314="","",", "&amp;V314)&amp;IF(Y314="","",", "&amp;Y314)&amp;IF(AB314="","",", "&amp;AB314)&amp;IF(AE314="","",", "&amp;AE314)&amp;IF(AH314="","",", "&amp;AH314)&amp;IF(AK314="","",", "&amp;AK314)&amp;IF(AN314="","",", "&amp;AN314)&amp;IF(AQ314="","",", "&amp;AQ314)&amp;IF(AT314="","",", "&amp;AT314)&amp;IF(AW314="","",", "&amp;AW314)&amp;IF(AZ314="","",", "&amp;AZ314),3,500)</f>
        <v/>
      </c>
      <c r="BH314" s="12" t="n"/>
      <c r="BI314" s="15">
        <f>IFERROR(MATCH($A314,IF($B314="Onsite",tbl_Onsite[Row ID],IF($B314="Production",tbl_Production[Row ID],tbl_Consulting[Row ID])),0),"")</f>
        <v/>
      </c>
    </row>
    <row r="315">
      <c r="A315" s="10" t="inlineStr">
        <is>
          <t>ONS-0309</t>
        </is>
      </c>
      <c r="B315" s="10" t="inlineStr">
        <is>
          <t>Onsite</t>
        </is>
      </c>
      <c r="C315" s="10">
        <f>IF($BI315="","",IF($B315="Onsite",INDEX(tbl_Onsite[Job Number],$BI315),IF($B315="Production",INDEX(tbl_Production[Job Number],$BI315),INDEX(tbl_Consulting[Job Number],$BI315)))&amp;"")</f>
        <v/>
      </c>
      <c r="D315" s="10">
        <f>IF($BI315="","",IF($B315="Onsite",INDEX(tbl_Onsite[Client],$BI315),IF($B315="Production",INDEX(tbl_Production[Client],$BI315),INDEX(tbl_Consulting[Client],$BI315)))&amp;"")</f>
        <v/>
      </c>
      <c r="E315" s="10">
        <f>IF($C315="","",IF(COUNTIF(lst_Jobs,$C315)&gt;0,"OK","CHECK"))</f>
        <v/>
      </c>
      <c r="F315" s="10">
        <f>IF($C315="","",IFERROR(INDEX(lst_JobName,MATCH($C315,lst_Jobs,0)),""))</f>
        <v/>
      </c>
      <c r="G315" s="10">
        <f>IF($BI315="","",IF($B315="Onsite",INDEX(tbl_Onsite[Job Description],$BI315),IF($B315="Production",INDEX(tbl_Production[Job Description],$BI315),INDEX(tbl_Consulting[Job Description],$BI315)))&amp;"")</f>
        <v/>
      </c>
      <c r="H315" s="10">
        <f>IF($BI315="","",IF($B315="Onsite",INDEX(tbl_Onsite[Cost Centre],$BI315),IF($B315="Production",INDEX(tbl_Production[Cost Centre],$BI315),INDEX(tbl_Consulting[Cost Centre],$BI315)))&amp;"")</f>
        <v/>
      </c>
      <c r="I315" s="10">
        <f>IF($BI315="","",IF($B315="Onsite",INDEX(tbl_Onsite[Invoice Type],$BI315),IF($B315="Production",INDEX(tbl_Production[Invoice Type],$BI315),INDEX(tbl_Consulting[Invoice Type],$BI315)))&amp;"")</f>
        <v/>
      </c>
      <c r="J315" s="10">
        <f>IF($BI315="","",IF($B315="Onsite",INDEX(tbl_Onsite[Tax Code],$BI315),IF($B315="Production",INDEX(tbl_Production[Tax Code],$BI315),INDEX(tbl_Consulting[Tax Code],$BI315)))&amp;"")</f>
        <v/>
      </c>
      <c r="K315" s="10">
        <f>IF(H315="","",IFERROR(INDEX(lst_CCtoGL,MATCH(H315,lst_CCforGL,0)),""))</f>
        <v/>
      </c>
      <c r="L315" s="10">
        <f>IF($BI315="","",IF($B315="Onsite",INDEX(tbl_Onsite[PO / Reference],$BI315),IF($B315="Production",INDEX(tbl_Production[Current RMS No],$BI315),INDEX(tbl_Consulting[Qwilr Quote],$BI315)))&amp;"")</f>
        <v/>
      </c>
      <c r="M315" s="10">
        <f>IF($BI315="","",IF($B315="Onsite",INDEX(tbl_Onsite[Notes],$BI315),IF($B315="Production",INDEX(tbl_Production[Notes],$BI315),INDEX(tbl_Consulting[Notes],$BI315)))&amp;"")</f>
        <v/>
      </c>
      <c r="N315" s="11">
        <f>IF($BI315="","",IF(IF($B315="Onsite",INDEX(tbl_Onsite[Expected Revenue Ex GST],$BI315),IF($B315="Production",INDEX(tbl_Production[Expected Revenue Ex GST],$BI315),INDEX(tbl_Consulting[Expected Revenue Ex GST],$BI315)))="","",IF($B315="Onsite",INDEX(tbl_Onsite[Expected Revenue Ex GST],$BI315),IF($B315="Production",INDEX(tbl_Production[Expected Revenue Ex GST],$BI315),INDEX(tbl_Consulting[Expected Revenue Ex GST],$BI315)))))</f>
        <v/>
      </c>
      <c r="O315" s="11">
        <f>IF(AND($C315="",NOT(COUNTA($S315:$BB315)&gt;0)),"",SUM(U315,X315,AA315,AD315,AG315,AJ315,AM315,AP315,AS315,AV315,AY315,BB315))</f>
        <v/>
      </c>
      <c r="P315" s="11">
        <f>IF(O315="","",N(N315)-O315)</f>
        <v/>
      </c>
      <c r="Q315" s="10">
        <f>IF(O315="","",IF($C315="","Invoice on empty job row",IF(N315="",IF(ROUND(O315,2)=0,"No dept value","Invoiced - no dept value"),IF(ROUND(O315,2)=0,"Not invoiced - to invoice",IF(ROUND(P315,2)=0,"Agrees",IF(P315&gt;0,"Dept higher - to invoice","Xero higher - check dept"))))))</f>
        <v/>
      </c>
      <c r="R315" s="10">
        <f>IF(AND($C315="",NOT(COUNTA($S315:$BB315)&gt;0),$BI315&lt;&gt;""),"",MID(IF($BI315="","; Row ID not found on the department sheet - a row was deleted","")&amp;IF(AND($C315="",COUNTA($S315:$BB315)&gt;0),"; Invoice entered but the department row has no job number","")&amp;IF(E315="CHECK","; Job number not in the Xero job list","")&amp;IF(AND($C315&lt;&gt;"",COUNTIF($C$7:$C$1506,$C315)&gt;1),"; Job number on more than one row","")&amp;IF(AND($C315&lt;&gt;"",H315=""),"; Dept has not set a cost centre","")&amp;IF(AND($C315&lt;&gt;"",J315=""),"; Dept has not set a tax code","")&amp;IF(AND($C315&lt;&gt;"",N315=""),"; Dept has not entered an expected value","")&amp;IF((IF(OR(COUNTA(S315:U315)=0,AND(COUNTA(S315:U315)=3,ISNUMBER(U315))),0,1)+IF(OR(COUNTA(V315:X315)=0,AND(COUNTA(V315:X315)=3,ISNUMBER(X315))),0,1)+IF(OR(COUNTA(Y315:AA315)=0,AND(COUNTA(Y315:AA315)=3,ISNUMBER(AA315))),0,1)+IF(OR(COUNTA(AB315:AD315)=0,AND(COUNTA(AB315:AD315)=3,ISNUMBER(AD315))),0,1)+IF(OR(COUNTA(AE315:AG315)=0,AND(COUNTA(AE315:AG315)=3,ISNUMBER(AG315))),0,1)+IF(OR(COUNTA(AH315:AJ315)=0,AND(COUNTA(AH315:AJ315)=3,ISNUMBER(AJ315))),0,1)+IF(OR(COUNTA(AK315:AM315)=0,AND(COUNTA(AK315:AM315)=3,ISNUMBER(AM315))),0,1)+IF(OR(COUNTA(AN315:AP315)=0,AND(COUNTA(AN315:AP315)=3,ISNUMBER(AP315))),0,1)+IF(OR(COUNTA(AQ315:AS315)=0,AND(COUNTA(AQ315:AS315)=3,ISNUMBER(AS315))),0,1)+IF(OR(COUNTA(AT315:AV315)=0,AND(COUNTA(AT315:AV315)=3,ISNUMBER(AV315))),0,1)+IF(OR(COUNTA(AW315:AY315)=0,AND(COUNTA(AW315:AY315)=3,ISNUMBER(AY315))),0,1)+IF(OR(COUNTA(AZ315:BB315)=0,AND(COUNTA(AZ315:BB315)=3,ISNUMBER(BB315))),0,1))&gt;0,"; An invoice is incomplete (needs No, Date and a number in Ex GST)","")&amp;IF((IF(T315="",0,IFERROR(--(EOMONTH(T315,0)&lt;&gt;S$5),1))+IF(W315="",0,IFERROR(--(EOMONTH(W315,0)&lt;&gt;V$5),1))+IF(Z315="",0,IFERROR(--(EOMONTH(Z315,0)&lt;&gt;Y$5),1))+IF(AC315="",0,IFERROR(--(EOMONTH(AC315,0)&lt;&gt;AB$5),1))+IF(AF315="",0,IFERROR(--(EOMONTH(AF315,0)&lt;&gt;AE$5),1))+IF(AI315="",0,IFERROR(--(EOMONTH(AI315,0)&lt;&gt;AH$5),1))+IF(AL315="",0,IFERROR(--(EOMONTH(AL315,0)&lt;&gt;AK$5),1))+IF(AO315="",0,IFERROR(--(EOMONTH(AO315,0)&lt;&gt;AN$5),1))+IF(AR315="",0,IFERROR(--(EOMONTH(AR315,0)&lt;&gt;AQ$5),1))+IF(AU315="",0,IFERROR(--(EOMONTH(AU315,0)&lt;&gt;AT$5),1))+IF(AX315="",0,IFERROR(--(EOMONTH(AX315,0)&lt;&gt;AW$5),1))+IF(BA315="",0,IFERROR(--(EOMONTH(BA315,0)&lt;&gt;AZ$5),1)))&gt;0,"; An invoice date is not in the month it is typed under",""),3,500))</f>
        <v/>
      </c>
      <c r="S315" s="12" t="n"/>
      <c r="T315" s="13" t="n"/>
      <c r="U315" s="14" t="n"/>
      <c r="V315" s="12" t="n"/>
      <c r="W315" s="13" t="n"/>
      <c r="X315" s="14" t="n"/>
      <c r="Y315" s="12" t="n"/>
      <c r="Z315" s="13" t="n"/>
      <c r="AA315" s="14" t="n"/>
      <c r="AB315" s="12" t="n"/>
      <c r="AC315" s="13" t="n"/>
      <c r="AD315" s="14" t="n"/>
      <c r="AE315" s="12" t="n"/>
      <c r="AF315" s="13" t="n"/>
      <c r="AG315" s="14" t="n"/>
      <c r="AH315" s="12" t="n"/>
      <c r="AI315" s="13" t="n"/>
      <c r="AJ315" s="14" t="n"/>
      <c r="AK315" s="12" t="n"/>
      <c r="AL315" s="13" t="n"/>
      <c r="AM315" s="14" t="n"/>
      <c r="AN315" s="12" t="n"/>
      <c r="AO315" s="13" t="n"/>
      <c r="AP315" s="14" t="n"/>
      <c r="AQ315" s="12" t="n"/>
      <c r="AR315" s="13" t="n"/>
      <c r="AS315" s="14" t="n"/>
      <c r="AT315" s="12" t="n"/>
      <c r="AU315" s="13" t="n"/>
      <c r="AV315" s="14" t="n"/>
      <c r="AW315" s="12" t="n"/>
      <c r="AX315" s="13" t="n"/>
      <c r="AY315" s="14" t="n"/>
      <c r="AZ315" s="12" t="n"/>
      <c r="BA315" s="13" t="n"/>
      <c r="BB315" s="14" t="n"/>
      <c r="BC315" s="11">
        <f>IF(O315="","",IF(J315="GST 10%",ROUND(O315*set_GSTRate,2),0))</f>
        <v/>
      </c>
      <c r="BD315" s="11">
        <f>IF(O315="","",O315+BC315)</f>
        <v/>
      </c>
      <c r="BE315" s="15">
        <f>IF(O315="","",COUNTA(S315,V315,Y315,AB315,AE315,AH315,AK315,AN315,AQ315,AT315,AW315,AZ315))</f>
        <v/>
      </c>
      <c r="BF315" s="16">
        <f>IF(COUNT(T315,W315,Z315,AC315,AF315,AI315,AL315,AO315,AR315,AU315,AX315,BA315)=0,"",MAX(T315,W315,Z315,AC315,AF315,AI315,AL315,AO315,AR315,AU315,AX315,BA315))</f>
        <v/>
      </c>
      <c r="BG315" s="10">
        <f>MID(IF(S315="","",", "&amp;S315)&amp;IF(V315="","",", "&amp;V315)&amp;IF(Y315="","",", "&amp;Y315)&amp;IF(AB315="","",", "&amp;AB315)&amp;IF(AE315="","",", "&amp;AE315)&amp;IF(AH315="","",", "&amp;AH315)&amp;IF(AK315="","",", "&amp;AK315)&amp;IF(AN315="","",", "&amp;AN315)&amp;IF(AQ315="","",", "&amp;AQ315)&amp;IF(AT315="","",", "&amp;AT315)&amp;IF(AW315="","",", "&amp;AW315)&amp;IF(AZ315="","",", "&amp;AZ315),3,500)</f>
        <v/>
      </c>
      <c r="BH315" s="12" t="n"/>
      <c r="BI315" s="15">
        <f>IFERROR(MATCH($A315,IF($B315="Onsite",tbl_Onsite[Row ID],IF($B315="Production",tbl_Production[Row ID],tbl_Consulting[Row ID])),0),"")</f>
        <v/>
      </c>
    </row>
    <row r="316">
      <c r="A316" s="10" t="inlineStr">
        <is>
          <t>ONS-0310</t>
        </is>
      </c>
      <c r="B316" s="10" t="inlineStr">
        <is>
          <t>Onsite</t>
        </is>
      </c>
      <c r="C316" s="10">
        <f>IF($BI316="","",IF($B316="Onsite",INDEX(tbl_Onsite[Job Number],$BI316),IF($B316="Production",INDEX(tbl_Production[Job Number],$BI316),INDEX(tbl_Consulting[Job Number],$BI316)))&amp;"")</f>
        <v/>
      </c>
      <c r="D316" s="10">
        <f>IF($BI316="","",IF($B316="Onsite",INDEX(tbl_Onsite[Client],$BI316),IF($B316="Production",INDEX(tbl_Production[Client],$BI316),INDEX(tbl_Consulting[Client],$BI316)))&amp;"")</f>
        <v/>
      </c>
      <c r="E316" s="10">
        <f>IF($C316="","",IF(COUNTIF(lst_Jobs,$C316)&gt;0,"OK","CHECK"))</f>
        <v/>
      </c>
      <c r="F316" s="10">
        <f>IF($C316="","",IFERROR(INDEX(lst_JobName,MATCH($C316,lst_Jobs,0)),""))</f>
        <v/>
      </c>
      <c r="G316" s="10">
        <f>IF($BI316="","",IF($B316="Onsite",INDEX(tbl_Onsite[Job Description],$BI316),IF($B316="Production",INDEX(tbl_Production[Job Description],$BI316),INDEX(tbl_Consulting[Job Description],$BI316)))&amp;"")</f>
        <v/>
      </c>
      <c r="H316" s="10">
        <f>IF($BI316="","",IF($B316="Onsite",INDEX(tbl_Onsite[Cost Centre],$BI316),IF($B316="Production",INDEX(tbl_Production[Cost Centre],$BI316),INDEX(tbl_Consulting[Cost Centre],$BI316)))&amp;"")</f>
        <v/>
      </c>
      <c r="I316" s="10">
        <f>IF($BI316="","",IF($B316="Onsite",INDEX(tbl_Onsite[Invoice Type],$BI316),IF($B316="Production",INDEX(tbl_Production[Invoice Type],$BI316),INDEX(tbl_Consulting[Invoice Type],$BI316)))&amp;"")</f>
        <v/>
      </c>
      <c r="J316" s="10">
        <f>IF($BI316="","",IF($B316="Onsite",INDEX(tbl_Onsite[Tax Code],$BI316),IF($B316="Production",INDEX(tbl_Production[Tax Code],$BI316),INDEX(tbl_Consulting[Tax Code],$BI316)))&amp;"")</f>
        <v/>
      </c>
      <c r="K316" s="10">
        <f>IF(H316="","",IFERROR(INDEX(lst_CCtoGL,MATCH(H316,lst_CCforGL,0)),""))</f>
        <v/>
      </c>
      <c r="L316" s="10">
        <f>IF($BI316="","",IF($B316="Onsite",INDEX(tbl_Onsite[PO / Reference],$BI316),IF($B316="Production",INDEX(tbl_Production[Current RMS No],$BI316),INDEX(tbl_Consulting[Qwilr Quote],$BI316)))&amp;"")</f>
        <v/>
      </c>
      <c r="M316" s="10">
        <f>IF($BI316="","",IF($B316="Onsite",INDEX(tbl_Onsite[Notes],$BI316),IF($B316="Production",INDEX(tbl_Production[Notes],$BI316),INDEX(tbl_Consulting[Notes],$BI316)))&amp;"")</f>
        <v/>
      </c>
      <c r="N316" s="11">
        <f>IF($BI316="","",IF(IF($B316="Onsite",INDEX(tbl_Onsite[Expected Revenue Ex GST],$BI316),IF($B316="Production",INDEX(tbl_Production[Expected Revenue Ex GST],$BI316),INDEX(tbl_Consulting[Expected Revenue Ex GST],$BI316)))="","",IF($B316="Onsite",INDEX(tbl_Onsite[Expected Revenue Ex GST],$BI316),IF($B316="Production",INDEX(tbl_Production[Expected Revenue Ex GST],$BI316),INDEX(tbl_Consulting[Expected Revenue Ex GST],$BI316)))))</f>
        <v/>
      </c>
      <c r="O316" s="11">
        <f>IF(AND($C316="",NOT(COUNTA($S316:$BB316)&gt;0)),"",SUM(U316,X316,AA316,AD316,AG316,AJ316,AM316,AP316,AS316,AV316,AY316,BB316))</f>
        <v/>
      </c>
      <c r="P316" s="11">
        <f>IF(O316="","",N(N316)-O316)</f>
        <v/>
      </c>
      <c r="Q316" s="10">
        <f>IF(O316="","",IF($C316="","Invoice on empty job row",IF(N316="",IF(ROUND(O316,2)=0,"No dept value","Invoiced - no dept value"),IF(ROUND(O316,2)=0,"Not invoiced - to invoice",IF(ROUND(P316,2)=0,"Agrees",IF(P316&gt;0,"Dept higher - to invoice","Xero higher - check dept"))))))</f>
        <v/>
      </c>
      <c r="R316" s="10">
        <f>IF(AND($C316="",NOT(COUNTA($S316:$BB316)&gt;0),$BI316&lt;&gt;""),"",MID(IF($BI316="","; Row ID not found on the department sheet - a row was deleted","")&amp;IF(AND($C316="",COUNTA($S316:$BB316)&gt;0),"; Invoice entered but the department row has no job number","")&amp;IF(E316="CHECK","; Job number not in the Xero job list","")&amp;IF(AND($C316&lt;&gt;"",COUNTIF($C$7:$C$1506,$C316)&gt;1),"; Job number on more than one row","")&amp;IF(AND($C316&lt;&gt;"",H316=""),"; Dept has not set a cost centre","")&amp;IF(AND($C316&lt;&gt;"",J316=""),"; Dept has not set a tax code","")&amp;IF(AND($C316&lt;&gt;"",N316=""),"; Dept has not entered an expected value","")&amp;IF((IF(OR(COUNTA(S316:U316)=0,AND(COUNTA(S316:U316)=3,ISNUMBER(U316))),0,1)+IF(OR(COUNTA(V316:X316)=0,AND(COUNTA(V316:X316)=3,ISNUMBER(X316))),0,1)+IF(OR(COUNTA(Y316:AA316)=0,AND(COUNTA(Y316:AA316)=3,ISNUMBER(AA316))),0,1)+IF(OR(COUNTA(AB316:AD316)=0,AND(COUNTA(AB316:AD316)=3,ISNUMBER(AD316))),0,1)+IF(OR(COUNTA(AE316:AG316)=0,AND(COUNTA(AE316:AG316)=3,ISNUMBER(AG316))),0,1)+IF(OR(COUNTA(AH316:AJ316)=0,AND(COUNTA(AH316:AJ316)=3,ISNUMBER(AJ316))),0,1)+IF(OR(COUNTA(AK316:AM316)=0,AND(COUNTA(AK316:AM316)=3,ISNUMBER(AM316))),0,1)+IF(OR(COUNTA(AN316:AP316)=0,AND(COUNTA(AN316:AP316)=3,ISNUMBER(AP316))),0,1)+IF(OR(COUNTA(AQ316:AS316)=0,AND(COUNTA(AQ316:AS316)=3,ISNUMBER(AS316))),0,1)+IF(OR(COUNTA(AT316:AV316)=0,AND(COUNTA(AT316:AV316)=3,ISNUMBER(AV316))),0,1)+IF(OR(COUNTA(AW316:AY316)=0,AND(COUNTA(AW316:AY316)=3,ISNUMBER(AY316))),0,1)+IF(OR(COUNTA(AZ316:BB316)=0,AND(COUNTA(AZ316:BB316)=3,ISNUMBER(BB316))),0,1))&gt;0,"; An invoice is incomplete (needs No, Date and a number in Ex GST)","")&amp;IF((IF(T316="",0,IFERROR(--(EOMONTH(T316,0)&lt;&gt;S$5),1))+IF(W316="",0,IFERROR(--(EOMONTH(W316,0)&lt;&gt;V$5),1))+IF(Z316="",0,IFERROR(--(EOMONTH(Z316,0)&lt;&gt;Y$5),1))+IF(AC316="",0,IFERROR(--(EOMONTH(AC316,0)&lt;&gt;AB$5),1))+IF(AF316="",0,IFERROR(--(EOMONTH(AF316,0)&lt;&gt;AE$5),1))+IF(AI316="",0,IFERROR(--(EOMONTH(AI316,0)&lt;&gt;AH$5),1))+IF(AL316="",0,IFERROR(--(EOMONTH(AL316,0)&lt;&gt;AK$5),1))+IF(AO316="",0,IFERROR(--(EOMONTH(AO316,0)&lt;&gt;AN$5),1))+IF(AR316="",0,IFERROR(--(EOMONTH(AR316,0)&lt;&gt;AQ$5),1))+IF(AU316="",0,IFERROR(--(EOMONTH(AU316,0)&lt;&gt;AT$5),1))+IF(AX316="",0,IFERROR(--(EOMONTH(AX316,0)&lt;&gt;AW$5),1))+IF(BA316="",0,IFERROR(--(EOMONTH(BA316,0)&lt;&gt;AZ$5),1)))&gt;0,"; An invoice date is not in the month it is typed under",""),3,500))</f>
        <v/>
      </c>
      <c r="S316" s="12" t="n"/>
      <c r="T316" s="13" t="n"/>
      <c r="U316" s="14" t="n"/>
      <c r="V316" s="12" t="n"/>
      <c r="W316" s="13" t="n"/>
      <c r="X316" s="14" t="n"/>
      <c r="Y316" s="12" t="n"/>
      <c r="Z316" s="13" t="n"/>
      <c r="AA316" s="14" t="n"/>
      <c r="AB316" s="12" t="n"/>
      <c r="AC316" s="13" t="n"/>
      <c r="AD316" s="14" t="n"/>
      <c r="AE316" s="12" t="n"/>
      <c r="AF316" s="13" t="n"/>
      <c r="AG316" s="14" t="n"/>
      <c r="AH316" s="12" t="n"/>
      <c r="AI316" s="13" t="n"/>
      <c r="AJ316" s="14" t="n"/>
      <c r="AK316" s="12" t="n"/>
      <c r="AL316" s="13" t="n"/>
      <c r="AM316" s="14" t="n"/>
      <c r="AN316" s="12" t="n"/>
      <c r="AO316" s="13" t="n"/>
      <c r="AP316" s="14" t="n"/>
      <c r="AQ316" s="12" t="n"/>
      <c r="AR316" s="13" t="n"/>
      <c r="AS316" s="14" t="n"/>
      <c r="AT316" s="12" t="n"/>
      <c r="AU316" s="13" t="n"/>
      <c r="AV316" s="14" t="n"/>
      <c r="AW316" s="12" t="n"/>
      <c r="AX316" s="13" t="n"/>
      <c r="AY316" s="14" t="n"/>
      <c r="AZ316" s="12" t="n"/>
      <c r="BA316" s="13" t="n"/>
      <c r="BB316" s="14" t="n"/>
      <c r="BC316" s="11">
        <f>IF(O316="","",IF(J316="GST 10%",ROUND(O316*set_GSTRate,2),0))</f>
        <v/>
      </c>
      <c r="BD316" s="11">
        <f>IF(O316="","",O316+BC316)</f>
        <v/>
      </c>
      <c r="BE316" s="15">
        <f>IF(O316="","",COUNTA(S316,V316,Y316,AB316,AE316,AH316,AK316,AN316,AQ316,AT316,AW316,AZ316))</f>
        <v/>
      </c>
      <c r="BF316" s="16">
        <f>IF(COUNT(T316,W316,Z316,AC316,AF316,AI316,AL316,AO316,AR316,AU316,AX316,BA316)=0,"",MAX(T316,W316,Z316,AC316,AF316,AI316,AL316,AO316,AR316,AU316,AX316,BA316))</f>
        <v/>
      </c>
      <c r="BG316" s="10">
        <f>MID(IF(S316="","",", "&amp;S316)&amp;IF(V316="","",", "&amp;V316)&amp;IF(Y316="","",", "&amp;Y316)&amp;IF(AB316="","",", "&amp;AB316)&amp;IF(AE316="","",", "&amp;AE316)&amp;IF(AH316="","",", "&amp;AH316)&amp;IF(AK316="","",", "&amp;AK316)&amp;IF(AN316="","",", "&amp;AN316)&amp;IF(AQ316="","",", "&amp;AQ316)&amp;IF(AT316="","",", "&amp;AT316)&amp;IF(AW316="","",", "&amp;AW316)&amp;IF(AZ316="","",", "&amp;AZ316),3,500)</f>
        <v/>
      </c>
      <c r="BH316" s="12" t="n"/>
      <c r="BI316" s="15">
        <f>IFERROR(MATCH($A316,IF($B316="Onsite",tbl_Onsite[Row ID],IF($B316="Production",tbl_Production[Row ID],tbl_Consulting[Row ID])),0),"")</f>
        <v/>
      </c>
    </row>
    <row r="317">
      <c r="A317" s="10" t="inlineStr">
        <is>
          <t>ONS-0311</t>
        </is>
      </c>
      <c r="B317" s="10" t="inlineStr">
        <is>
          <t>Onsite</t>
        </is>
      </c>
      <c r="C317" s="10">
        <f>IF($BI317="","",IF($B317="Onsite",INDEX(tbl_Onsite[Job Number],$BI317),IF($B317="Production",INDEX(tbl_Production[Job Number],$BI317),INDEX(tbl_Consulting[Job Number],$BI317)))&amp;"")</f>
        <v/>
      </c>
      <c r="D317" s="10">
        <f>IF($BI317="","",IF($B317="Onsite",INDEX(tbl_Onsite[Client],$BI317),IF($B317="Production",INDEX(tbl_Production[Client],$BI317),INDEX(tbl_Consulting[Client],$BI317)))&amp;"")</f>
        <v/>
      </c>
      <c r="E317" s="10">
        <f>IF($C317="","",IF(COUNTIF(lst_Jobs,$C317)&gt;0,"OK","CHECK"))</f>
        <v/>
      </c>
      <c r="F317" s="10">
        <f>IF($C317="","",IFERROR(INDEX(lst_JobName,MATCH($C317,lst_Jobs,0)),""))</f>
        <v/>
      </c>
      <c r="G317" s="10">
        <f>IF($BI317="","",IF($B317="Onsite",INDEX(tbl_Onsite[Job Description],$BI317),IF($B317="Production",INDEX(tbl_Production[Job Description],$BI317),INDEX(tbl_Consulting[Job Description],$BI317)))&amp;"")</f>
        <v/>
      </c>
      <c r="H317" s="10">
        <f>IF($BI317="","",IF($B317="Onsite",INDEX(tbl_Onsite[Cost Centre],$BI317),IF($B317="Production",INDEX(tbl_Production[Cost Centre],$BI317),INDEX(tbl_Consulting[Cost Centre],$BI317)))&amp;"")</f>
        <v/>
      </c>
      <c r="I317" s="10">
        <f>IF($BI317="","",IF($B317="Onsite",INDEX(tbl_Onsite[Invoice Type],$BI317),IF($B317="Production",INDEX(tbl_Production[Invoice Type],$BI317),INDEX(tbl_Consulting[Invoice Type],$BI317)))&amp;"")</f>
        <v/>
      </c>
      <c r="J317" s="10">
        <f>IF($BI317="","",IF($B317="Onsite",INDEX(tbl_Onsite[Tax Code],$BI317),IF($B317="Production",INDEX(tbl_Production[Tax Code],$BI317),INDEX(tbl_Consulting[Tax Code],$BI317)))&amp;"")</f>
        <v/>
      </c>
      <c r="K317" s="10">
        <f>IF(H317="","",IFERROR(INDEX(lst_CCtoGL,MATCH(H317,lst_CCforGL,0)),""))</f>
        <v/>
      </c>
      <c r="L317" s="10">
        <f>IF($BI317="","",IF($B317="Onsite",INDEX(tbl_Onsite[PO / Reference],$BI317),IF($B317="Production",INDEX(tbl_Production[Current RMS No],$BI317),INDEX(tbl_Consulting[Qwilr Quote],$BI317)))&amp;"")</f>
        <v/>
      </c>
      <c r="M317" s="10">
        <f>IF($BI317="","",IF($B317="Onsite",INDEX(tbl_Onsite[Notes],$BI317),IF($B317="Production",INDEX(tbl_Production[Notes],$BI317),INDEX(tbl_Consulting[Notes],$BI317)))&amp;"")</f>
        <v/>
      </c>
      <c r="N317" s="11">
        <f>IF($BI317="","",IF(IF($B317="Onsite",INDEX(tbl_Onsite[Expected Revenue Ex GST],$BI317),IF($B317="Production",INDEX(tbl_Production[Expected Revenue Ex GST],$BI317),INDEX(tbl_Consulting[Expected Revenue Ex GST],$BI317)))="","",IF($B317="Onsite",INDEX(tbl_Onsite[Expected Revenue Ex GST],$BI317),IF($B317="Production",INDEX(tbl_Production[Expected Revenue Ex GST],$BI317),INDEX(tbl_Consulting[Expected Revenue Ex GST],$BI317)))))</f>
        <v/>
      </c>
      <c r="O317" s="11">
        <f>IF(AND($C317="",NOT(COUNTA($S317:$BB317)&gt;0)),"",SUM(U317,X317,AA317,AD317,AG317,AJ317,AM317,AP317,AS317,AV317,AY317,BB317))</f>
        <v/>
      </c>
      <c r="P317" s="11">
        <f>IF(O317="","",N(N317)-O317)</f>
        <v/>
      </c>
      <c r="Q317" s="10">
        <f>IF(O317="","",IF($C317="","Invoice on empty job row",IF(N317="",IF(ROUND(O317,2)=0,"No dept value","Invoiced - no dept value"),IF(ROUND(O317,2)=0,"Not invoiced - to invoice",IF(ROUND(P317,2)=0,"Agrees",IF(P317&gt;0,"Dept higher - to invoice","Xero higher - check dept"))))))</f>
        <v/>
      </c>
      <c r="R317" s="10">
        <f>IF(AND($C317="",NOT(COUNTA($S317:$BB317)&gt;0),$BI317&lt;&gt;""),"",MID(IF($BI317="","; Row ID not found on the department sheet - a row was deleted","")&amp;IF(AND($C317="",COUNTA($S317:$BB317)&gt;0),"; Invoice entered but the department row has no job number","")&amp;IF(E317="CHECK","; Job number not in the Xero job list","")&amp;IF(AND($C317&lt;&gt;"",COUNTIF($C$7:$C$1506,$C317)&gt;1),"; Job number on more than one row","")&amp;IF(AND($C317&lt;&gt;"",H317=""),"; Dept has not set a cost centre","")&amp;IF(AND($C317&lt;&gt;"",J317=""),"; Dept has not set a tax code","")&amp;IF(AND($C317&lt;&gt;"",N317=""),"; Dept has not entered an expected value","")&amp;IF((IF(OR(COUNTA(S317:U317)=0,AND(COUNTA(S317:U317)=3,ISNUMBER(U317))),0,1)+IF(OR(COUNTA(V317:X317)=0,AND(COUNTA(V317:X317)=3,ISNUMBER(X317))),0,1)+IF(OR(COUNTA(Y317:AA317)=0,AND(COUNTA(Y317:AA317)=3,ISNUMBER(AA317))),0,1)+IF(OR(COUNTA(AB317:AD317)=0,AND(COUNTA(AB317:AD317)=3,ISNUMBER(AD317))),0,1)+IF(OR(COUNTA(AE317:AG317)=0,AND(COUNTA(AE317:AG317)=3,ISNUMBER(AG317))),0,1)+IF(OR(COUNTA(AH317:AJ317)=0,AND(COUNTA(AH317:AJ317)=3,ISNUMBER(AJ317))),0,1)+IF(OR(COUNTA(AK317:AM317)=0,AND(COUNTA(AK317:AM317)=3,ISNUMBER(AM317))),0,1)+IF(OR(COUNTA(AN317:AP317)=0,AND(COUNTA(AN317:AP317)=3,ISNUMBER(AP317))),0,1)+IF(OR(COUNTA(AQ317:AS317)=0,AND(COUNTA(AQ317:AS317)=3,ISNUMBER(AS317))),0,1)+IF(OR(COUNTA(AT317:AV317)=0,AND(COUNTA(AT317:AV317)=3,ISNUMBER(AV317))),0,1)+IF(OR(COUNTA(AW317:AY317)=0,AND(COUNTA(AW317:AY317)=3,ISNUMBER(AY317))),0,1)+IF(OR(COUNTA(AZ317:BB317)=0,AND(COUNTA(AZ317:BB317)=3,ISNUMBER(BB317))),0,1))&gt;0,"; An invoice is incomplete (needs No, Date and a number in Ex GST)","")&amp;IF((IF(T317="",0,IFERROR(--(EOMONTH(T317,0)&lt;&gt;S$5),1))+IF(W317="",0,IFERROR(--(EOMONTH(W317,0)&lt;&gt;V$5),1))+IF(Z317="",0,IFERROR(--(EOMONTH(Z317,0)&lt;&gt;Y$5),1))+IF(AC317="",0,IFERROR(--(EOMONTH(AC317,0)&lt;&gt;AB$5),1))+IF(AF317="",0,IFERROR(--(EOMONTH(AF317,0)&lt;&gt;AE$5),1))+IF(AI317="",0,IFERROR(--(EOMONTH(AI317,0)&lt;&gt;AH$5),1))+IF(AL317="",0,IFERROR(--(EOMONTH(AL317,0)&lt;&gt;AK$5),1))+IF(AO317="",0,IFERROR(--(EOMONTH(AO317,0)&lt;&gt;AN$5),1))+IF(AR317="",0,IFERROR(--(EOMONTH(AR317,0)&lt;&gt;AQ$5),1))+IF(AU317="",0,IFERROR(--(EOMONTH(AU317,0)&lt;&gt;AT$5),1))+IF(AX317="",0,IFERROR(--(EOMONTH(AX317,0)&lt;&gt;AW$5),1))+IF(BA317="",0,IFERROR(--(EOMONTH(BA317,0)&lt;&gt;AZ$5),1)))&gt;0,"; An invoice date is not in the month it is typed under",""),3,500))</f>
        <v/>
      </c>
      <c r="S317" s="12" t="n"/>
      <c r="T317" s="13" t="n"/>
      <c r="U317" s="14" t="n"/>
      <c r="V317" s="12" t="n"/>
      <c r="W317" s="13" t="n"/>
      <c r="X317" s="14" t="n"/>
      <c r="Y317" s="12" t="n"/>
      <c r="Z317" s="13" t="n"/>
      <c r="AA317" s="14" t="n"/>
      <c r="AB317" s="12" t="n"/>
      <c r="AC317" s="13" t="n"/>
      <c r="AD317" s="14" t="n"/>
      <c r="AE317" s="12" t="n"/>
      <c r="AF317" s="13" t="n"/>
      <c r="AG317" s="14" t="n"/>
      <c r="AH317" s="12" t="n"/>
      <c r="AI317" s="13" t="n"/>
      <c r="AJ317" s="14" t="n"/>
      <c r="AK317" s="12" t="n"/>
      <c r="AL317" s="13" t="n"/>
      <c r="AM317" s="14" t="n"/>
      <c r="AN317" s="12" t="n"/>
      <c r="AO317" s="13" t="n"/>
      <c r="AP317" s="14" t="n"/>
      <c r="AQ317" s="12" t="n"/>
      <c r="AR317" s="13" t="n"/>
      <c r="AS317" s="14" t="n"/>
      <c r="AT317" s="12" t="n"/>
      <c r="AU317" s="13" t="n"/>
      <c r="AV317" s="14" t="n"/>
      <c r="AW317" s="12" t="n"/>
      <c r="AX317" s="13" t="n"/>
      <c r="AY317" s="14" t="n"/>
      <c r="AZ317" s="12" t="n"/>
      <c r="BA317" s="13" t="n"/>
      <c r="BB317" s="14" t="n"/>
      <c r="BC317" s="11">
        <f>IF(O317="","",IF(J317="GST 10%",ROUND(O317*set_GSTRate,2),0))</f>
        <v/>
      </c>
      <c r="BD317" s="11">
        <f>IF(O317="","",O317+BC317)</f>
        <v/>
      </c>
      <c r="BE317" s="15">
        <f>IF(O317="","",COUNTA(S317,V317,Y317,AB317,AE317,AH317,AK317,AN317,AQ317,AT317,AW317,AZ317))</f>
        <v/>
      </c>
      <c r="BF317" s="16">
        <f>IF(COUNT(T317,W317,Z317,AC317,AF317,AI317,AL317,AO317,AR317,AU317,AX317,BA317)=0,"",MAX(T317,W317,Z317,AC317,AF317,AI317,AL317,AO317,AR317,AU317,AX317,BA317))</f>
        <v/>
      </c>
      <c r="BG317" s="10">
        <f>MID(IF(S317="","",", "&amp;S317)&amp;IF(V317="","",", "&amp;V317)&amp;IF(Y317="","",", "&amp;Y317)&amp;IF(AB317="","",", "&amp;AB317)&amp;IF(AE317="","",", "&amp;AE317)&amp;IF(AH317="","",", "&amp;AH317)&amp;IF(AK317="","",", "&amp;AK317)&amp;IF(AN317="","",", "&amp;AN317)&amp;IF(AQ317="","",", "&amp;AQ317)&amp;IF(AT317="","",", "&amp;AT317)&amp;IF(AW317="","",", "&amp;AW317)&amp;IF(AZ317="","",", "&amp;AZ317),3,500)</f>
        <v/>
      </c>
      <c r="BH317" s="12" t="n"/>
      <c r="BI317" s="15">
        <f>IFERROR(MATCH($A317,IF($B317="Onsite",tbl_Onsite[Row ID],IF($B317="Production",tbl_Production[Row ID],tbl_Consulting[Row ID])),0),"")</f>
        <v/>
      </c>
    </row>
    <row r="318">
      <c r="A318" s="10" t="inlineStr">
        <is>
          <t>ONS-0312</t>
        </is>
      </c>
      <c r="B318" s="10" t="inlineStr">
        <is>
          <t>Onsite</t>
        </is>
      </c>
      <c r="C318" s="10">
        <f>IF($BI318="","",IF($B318="Onsite",INDEX(tbl_Onsite[Job Number],$BI318),IF($B318="Production",INDEX(tbl_Production[Job Number],$BI318),INDEX(tbl_Consulting[Job Number],$BI318)))&amp;"")</f>
        <v/>
      </c>
      <c r="D318" s="10">
        <f>IF($BI318="","",IF($B318="Onsite",INDEX(tbl_Onsite[Client],$BI318),IF($B318="Production",INDEX(tbl_Production[Client],$BI318),INDEX(tbl_Consulting[Client],$BI318)))&amp;"")</f>
        <v/>
      </c>
      <c r="E318" s="10">
        <f>IF($C318="","",IF(COUNTIF(lst_Jobs,$C318)&gt;0,"OK","CHECK"))</f>
        <v/>
      </c>
      <c r="F318" s="10">
        <f>IF($C318="","",IFERROR(INDEX(lst_JobName,MATCH($C318,lst_Jobs,0)),""))</f>
        <v/>
      </c>
      <c r="G318" s="10">
        <f>IF($BI318="","",IF($B318="Onsite",INDEX(tbl_Onsite[Job Description],$BI318),IF($B318="Production",INDEX(tbl_Production[Job Description],$BI318),INDEX(tbl_Consulting[Job Description],$BI318)))&amp;"")</f>
        <v/>
      </c>
      <c r="H318" s="10">
        <f>IF($BI318="","",IF($B318="Onsite",INDEX(tbl_Onsite[Cost Centre],$BI318),IF($B318="Production",INDEX(tbl_Production[Cost Centre],$BI318),INDEX(tbl_Consulting[Cost Centre],$BI318)))&amp;"")</f>
        <v/>
      </c>
      <c r="I318" s="10">
        <f>IF($BI318="","",IF($B318="Onsite",INDEX(tbl_Onsite[Invoice Type],$BI318),IF($B318="Production",INDEX(tbl_Production[Invoice Type],$BI318),INDEX(tbl_Consulting[Invoice Type],$BI318)))&amp;"")</f>
        <v/>
      </c>
      <c r="J318" s="10">
        <f>IF($BI318="","",IF($B318="Onsite",INDEX(tbl_Onsite[Tax Code],$BI318),IF($B318="Production",INDEX(tbl_Production[Tax Code],$BI318),INDEX(tbl_Consulting[Tax Code],$BI318)))&amp;"")</f>
        <v/>
      </c>
      <c r="K318" s="10">
        <f>IF(H318="","",IFERROR(INDEX(lst_CCtoGL,MATCH(H318,lst_CCforGL,0)),""))</f>
        <v/>
      </c>
      <c r="L318" s="10">
        <f>IF($BI318="","",IF($B318="Onsite",INDEX(tbl_Onsite[PO / Reference],$BI318),IF($B318="Production",INDEX(tbl_Production[Current RMS No],$BI318),INDEX(tbl_Consulting[Qwilr Quote],$BI318)))&amp;"")</f>
        <v/>
      </c>
      <c r="M318" s="10">
        <f>IF($BI318="","",IF($B318="Onsite",INDEX(tbl_Onsite[Notes],$BI318),IF($B318="Production",INDEX(tbl_Production[Notes],$BI318),INDEX(tbl_Consulting[Notes],$BI318)))&amp;"")</f>
        <v/>
      </c>
      <c r="N318" s="11">
        <f>IF($BI318="","",IF(IF($B318="Onsite",INDEX(tbl_Onsite[Expected Revenue Ex GST],$BI318),IF($B318="Production",INDEX(tbl_Production[Expected Revenue Ex GST],$BI318),INDEX(tbl_Consulting[Expected Revenue Ex GST],$BI318)))="","",IF($B318="Onsite",INDEX(tbl_Onsite[Expected Revenue Ex GST],$BI318),IF($B318="Production",INDEX(tbl_Production[Expected Revenue Ex GST],$BI318),INDEX(tbl_Consulting[Expected Revenue Ex GST],$BI318)))))</f>
        <v/>
      </c>
      <c r="O318" s="11">
        <f>IF(AND($C318="",NOT(COUNTA($S318:$BB318)&gt;0)),"",SUM(U318,X318,AA318,AD318,AG318,AJ318,AM318,AP318,AS318,AV318,AY318,BB318))</f>
        <v/>
      </c>
      <c r="P318" s="11">
        <f>IF(O318="","",N(N318)-O318)</f>
        <v/>
      </c>
      <c r="Q318" s="10">
        <f>IF(O318="","",IF($C318="","Invoice on empty job row",IF(N318="",IF(ROUND(O318,2)=0,"No dept value","Invoiced - no dept value"),IF(ROUND(O318,2)=0,"Not invoiced - to invoice",IF(ROUND(P318,2)=0,"Agrees",IF(P318&gt;0,"Dept higher - to invoice","Xero higher - check dept"))))))</f>
        <v/>
      </c>
      <c r="R318" s="10">
        <f>IF(AND($C318="",NOT(COUNTA($S318:$BB318)&gt;0),$BI318&lt;&gt;""),"",MID(IF($BI318="","; Row ID not found on the department sheet - a row was deleted","")&amp;IF(AND($C318="",COUNTA($S318:$BB318)&gt;0),"; Invoice entered but the department row has no job number","")&amp;IF(E318="CHECK","; Job number not in the Xero job list","")&amp;IF(AND($C318&lt;&gt;"",COUNTIF($C$7:$C$1506,$C318)&gt;1),"; Job number on more than one row","")&amp;IF(AND($C318&lt;&gt;"",H318=""),"; Dept has not set a cost centre","")&amp;IF(AND($C318&lt;&gt;"",J318=""),"; Dept has not set a tax code","")&amp;IF(AND($C318&lt;&gt;"",N318=""),"; Dept has not entered an expected value","")&amp;IF((IF(OR(COUNTA(S318:U318)=0,AND(COUNTA(S318:U318)=3,ISNUMBER(U318))),0,1)+IF(OR(COUNTA(V318:X318)=0,AND(COUNTA(V318:X318)=3,ISNUMBER(X318))),0,1)+IF(OR(COUNTA(Y318:AA318)=0,AND(COUNTA(Y318:AA318)=3,ISNUMBER(AA318))),0,1)+IF(OR(COUNTA(AB318:AD318)=0,AND(COUNTA(AB318:AD318)=3,ISNUMBER(AD318))),0,1)+IF(OR(COUNTA(AE318:AG318)=0,AND(COUNTA(AE318:AG318)=3,ISNUMBER(AG318))),0,1)+IF(OR(COUNTA(AH318:AJ318)=0,AND(COUNTA(AH318:AJ318)=3,ISNUMBER(AJ318))),0,1)+IF(OR(COUNTA(AK318:AM318)=0,AND(COUNTA(AK318:AM318)=3,ISNUMBER(AM318))),0,1)+IF(OR(COUNTA(AN318:AP318)=0,AND(COUNTA(AN318:AP318)=3,ISNUMBER(AP318))),0,1)+IF(OR(COUNTA(AQ318:AS318)=0,AND(COUNTA(AQ318:AS318)=3,ISNUMBER(AS318))),0,1)+IF(OR(COUNTA(AT318:AV318)=0,AND(COUNTA(AT318:AV318)=3,ISNUMBER(AV318))),0,1)+IF(OR(COUNTA(AW318:AY318)=0,AND(COUNTA(AW318:AY318)=3,ISNUMBER(AY318))),0,1)+IF(OR(COUNTA(AZ318:BB318)=0,AND(COUNTA(AZ318:BB318)=3,ISNUMBER(BB318))),0,1))&gt;0,"; An invoice is incomplete (needs No, Date and a number in Ex GST)","")&amp;IF((IF(T318="",0,IFERROR(--(EOMONTH(T318,0)&lt;&gt;S$5),1))+IF(W318="",0,IFERROR(--(EOMONTH(W318,0)&lt;&gt;V$5),1))+IF(Z318="",0,IFERROR(--(EOMONTH(Z318,0)&lt;&gt;Y$5),1))+IF(AC318="",0,IFERROR(--(EOMONTH(AC318,0)&lt;&gt;AB$5),1))+IF(AF318="",0,IFERROR(--(EOMONTH(AF318,0)&lt;&gt;AE$5),1))+IF(AI318="",0,IFERROR(--(EOMONTH(AI318,0)&lt;&gt;AH$5),1))+IF(AL318="",0,IFERROR(--(EOMONTH(AL318,0)&lt;&gt;AK$5),1))+IF(AO318="",0,IFERROR(--(EOMONTH(AO318,0)&lt;&gt;AN$5),1))+IF(AR318="",0,IFERROR(--(EOMONTH(AR318,0)&lt;&gt;AQ$5),1))+IF(AU318="",0,IFERROR(--(EOMONTH(AU318,0)&lt;&gt;AT$5),1))+IF(AX318="",0,IFERROR(--(EOMONTH(AX318,0)&lt;&gt;AW$5),1))+IF(BA318="",0,IFERROR(--(EOMONTH(BA318,0)&lt;&gt;AZ$5),1)))&gt;0,"; An invoice date is not in the month it is typed under",""),3,500))</f>
        <v/>
      </c>
      <c r="S318" s="12" t="n"/>
      <c r="T318" s="13" t="n"/>
      <c r="U318" s="14" t="n"/>
      <c r="V318" s="12" t="n"/>
      <c r="W318" s="13" t="n"/>
      <c r="X318" s="14" t="n"/>
      <c r="Y318" s="12" t="n"/>
      <c r="Z318" s="13" t="n"/>
      <c r="AA318" s="14" t="n"/>
      <c r="AB318" s="12" t="n"/>
      <c r="AC318" s="13" t="n"/>
      <c r="AD318" s="14" t="n"/>
      <c r="AE318" s="12" t="n"/>
      <c r="AF318" s="13" t="n"/>
      <c r="AG318" s="14" t="n"/>
      <c r="AH318" s="12" t="n"/>
      <c r="AI318" s="13" t="n"/>
      <c r="AJ318" s="14" t="n"/>
      <c r="AK318" s="12" t="n"/>
      <c r="AL318" s="13" t="n"/>
      <c r="AM318" s="14" t="n"/>
      <c r="AN318" s="12" t="n"/>
      <c r="AO318" s="13" t="n"/>
      <c r="AP318" s="14" t="n"/>
      <c r="AQ318" s="12" t="n"/>
      <c r="AR318" s="13" t="n"/>
      <c r="AS318" s="14" t="n"/>
      <c r="AT318" s="12" t="n"/>
      <c r="AU318" s="13" t="n"/>
      <c r="AV318" s="14" t="n"/>
      <c r="AW318" s="12" t="n"/>
      <c r="AX318" s="13" t="n"/>
      <c r="AY318" s="14" t="n"/>
      <c r="AZ318" s="12" t="n"/>
      <c r="BA318" s="13" t="n"/>
      <c r="BB318" s="14" t="n"/>
      <c r="BC318" s="11">
        <f>IF(O318="","",IF(J318="GST 10%",ROUND(O318*set_GSTRate,2),0))</f>
        <v/>
      </c>
      <c r="BD318" s="11">
        <f>IF(O318="","",O318+BC318)</f>
        <v/>
      </c>
      <c r="BE318" s="15">
        <f>IF(O318="","",COUNTA(S318,V318,Y318,AB318,AE318,AH318,AK318,AN318,AQ318,AT318,AW318,AZ318))</f>
        <v/>
      </c>
      <c r="BF318" s="16">
        <f>IF(COUNT(T318,W318,Z318,AC318,AF318,AI318,AL318,AO318,AR318,AU318,AX318,BA318)=0,"",MAX(T318,W318,Z318,AC318,AF318,AI318,AL318,AO318,AR318,AU318,AX318,BA318))</f>
        <v/>
      </c>
      <c r="BG318" s="10">
        <f>MID(IF(S318="","",", "&amp;S318)&amp;IF(V318="","",", "&amp;V318)&amp;IF(Y318="","",", "&amp;Y318)&amp;IF(AB318="","",", "&amp;AB318)&amp;IF(AE318="","",", "&amp;AE318)&amp;IF(AH318="","",", "&amp;AH318)&amp;IF(AK318="","",", "&amp;AK318)&amp;IF(AN318="","",", "&amp;AN318)&amp;IF(AQ318="","",", "&amp;AQ318)&amp;IF(AT318="","",", "&amp;AT318)&amp;IF(AW318="","",", "&amp;AW318)&amp;IF(AZ318="","",", "&amp;AZ318),3,500)</f>
        <v/>
      </c>
      <c r="BH318" s="12" t="n"/>
      <c r="BI318" s="15">
        <f>IFERROR(MATCH($A318,IF($B318="Onsite",tbl_Onsite[Row ID],IF($B318="Production",tbl_Production[Row ID],tbl_Consulting[Row ID])),0),"")</f>
        <v/>
      </c>
    </row>
    <row r="319">
      <c r="A319" s="10" t="inlineStr">
        <is>
          <t>ONS-0313</t>
        </is>
      </c>
      <c r="B319" s="10" t="inlineStr">
        <is>
          <t>Onsite</t>
        </is>
      </c>
      <c r="C319" s="10">
        <f>IF($BI319="","",IF($B319="Onsite",INDEX(tbl_Onsite[Job Number],$BI319),IF($B319="Production",INDEX(tbl_Production[Job Number],$BI319),INDEX(tbl_Consulting[Job Number],$BI319)))&amp;"")</f>
        <v/>
      </c>
      <c r="D319" s="10">
        <f>IF($BI319="","",IF($B319="Onsite",INDEX(tbl_Onsite[Client],$BI319),IF($B319="Production",INDEX(tbl_Production[Client],$BI319),INDEX(tbl_Consulting[Client],$BI319)))&amp;"")</f>
        <v/>
      </c>
      <c r="E319" s="10">
        <f>IF($C319="","",IF(COUNTIF(lst_Jobs,$C319)&gt;0,"OK","CHECK"))</f>
        <v/>
      </c>
      <c r="F319" s="10">
        <f>IF($C319="","",IFERROR(INDEX(lst_JobName,MATCH($C319,lst_Jobs,0)),""))</f>
        <v/>
      </c>
      <c r="G319" s="10">
        <f>IF($BI319="","",IF($B319="Onsite",INDEX(tbl_Onsite[Job Description],$BI319),IF($B319="Production",INDEX(tbl_Production[Job Description],$BI319),INDEX(tbl_Consulting[Job Description],$BI319)))&amp;"")</f>
        <v/>
      </c>
      <c r="H319" s="10">
        <f>IF($BI319="","",IF($B319="Onsite",INDEX(tbl_Onsite[Cost Centre],$BI319),IF($B319="Production",INDEX(tbl_Production[Cost Centre],$BI319),INDEX(tbl_Consulting[Cost Centre],$BI319)))&amp;"")</f>
        <v/>
      </c>
      <c r="I319" s="10">
        <f>IF($BI319="","",IF($B319="Onsite",INDEX(tbl_Onsite[Invoice Type],$BI319),IF($B319="Production",INDEX(tbl_Production[Invoice Type],$BI319),INDEX(tbl_Consulting[Invoice Type],$BI319)))&amp;"")</f>
        <v/>
      </c>
      <c r="J319" s="10">
        <f>IF($BI319="","",IF($B319="Onsite",INDEX(tbl_Onsite[Tax Code],$BI319),IF($B319="Production",INDEX(tbl_Production[Tax Code],$BI319),INDEX(tbl_Consulting[Tax Code],$BI319)))&amp;"")</f>
        <v/>
      </c>
      <c r="K319" s="10">
        <f>IF(H319="","",IFERROR(INDEX(lst_CCtoGL,MATCH(H319,lst_CCforGL,0)),""))</f>
        <v/>
      </c>
      <c r="L319" s="10">
        <f>IF($BI319="","",IF($B319="Onsite",INDEX(tbl_Onsite[PO / Reference],$BI319),IF($B319="Production",INDEX(tbl_Production[Current RMS No],$BI319),INDEX(tbl_Consulting[Qwilr Quote],$BI319)))&amp;"")</f>
        <v/>
      </c>
      <c r="M319" s="10">
        <f>IF($BI319="","",IF($B319="Onsite",INDEX(tbl_Onsite[Notes],$BI319),IF($B319="Production",INDEX(tbl_Production[Notes],$BI319),INDEX(tbl_Consulting[Notes],$BI319)))&amp;"")</f>
        <v/>
      </c>
      <c r="N319" s="11">
        <f>IF($BI319="","",IF(IF($B319="Onsite",INDEX(tbl_Onsite[Expected Revenue Ex GST],$BI319),IF($B319="Production",INDEX(tbl_Production[Expected Revenue Ex GST],$BI319),INDEX(tbl_Consulting[Expected Revenue Ex GST],$BI319)))="","",IF($B319="Onsite",INDEX(tbl_Onsite[Expected Revenue Ex GST],$BI319),IF($B319="Production",INDEX(tbl_Production[Expected Revenue Ex GST],$BI319),INDEX(tbl_Consulting[Expected Revenue Ex GST],$BI319)))))</f>
        <v/>
      </c>
      <c r="O319" s="11">
        <f>IF(AND($C319="",NOT(COUNTA($S319:$BB319)&gt;0)),"",SUM(U319,X319,AA319,AD319,AG319,AJ319,AM319,AP319,AS319,AV319,AY319,BB319))</f>
        <v/>
      </c>
      <c r="P319" s="11">
        <f>IF(O319="","",N(N319)-O319)</f>
        <v/>
      </c>
      <c r="Q319" s="10">
        <f>IF(O319="","",IF($C319="","Invoice on empty job row",IF(N319="",IF(ROUND(O319,2)=0,"No dept value","Invoiced - no dept value"),IF(ROUND(O319,2)=0,"Not invoiced - to invoice",IF(ROUND(P319,2)=0,"Agrees",IF(P319&gt;0,"Dept higher - to invoice","Xero higher - check dept"))))))</f>
        <v/>
      </c>
      <c r="R319" s="10">
        <f>IF(AND($C319="",NOT(COUNTA($S319:$BB319)&gt;0),$BI319&lt;&gt;""),"",MID(IF($BI319="","; Row ID not found on the department sheet - a row was deleted","")&amp;IF(AND($C319="",COUNTA($S319:$BB319)&gt;0),"; Invoice entered but the department row has no job number","")&amp;IF(E319="CHECK","; Job number not in the Xero job list","")&amp;IF(AND($C319&lt;&gt;"",COUNTIF($C$7:$C$1506,$C319)&gt;1),"; Job number on more than one row","")&amp;IF(AND($C319&lt;&gt;"",H319=""),"; Dept has not set a cost centre","")&amp;IF(AND($C319&lt;&gt;"",J319=""),"; Dept has not set a tax code","")&amp;IF(AND($C319&lt;&gt;"",N319=""),"; Dept has not entered an expected value","")&amp;IF((IF(OR(COUNTA(S319:U319)=0,AND(COUNTA(S319:U319)=3,ISNUMBER(U319))),0,1)+IF(OR(COUNTA(V319:X319)=0,AND(COUNTA(V319:X319)=3,ISNUMBER(X319))),0,1)+IF(OR(COUNTA(Y319:AA319)=0,AND(COUNTA(Y319:AA319)=3,ISNUMBER(AA319))),0,1)+IF(OR(COUNTA(AB319:AD319)=0,AND(COUNTA(AB319:AD319)=3,ISNUMBER(AD319))),0,1)+IF(OR(COUNTA(AE319:AG319)=0,AND(COUNTA(AE319:AG319)=3,ISNUMBER(AG319))),0,1)+IF(OR(COUNTA(AH319:AJ319)=0,AND(COUNTA(AH319:AJ319)=3,ISNUMBER(AJ319))),0,1)+IF(OR(COUNTA(AK319:AM319)=0,AND(COUNTA(AK319:AM319)=3,ISNUMBER(AM319))),0,1)+IF(OR(COUNTA(AN319:AP319)=0,AND(COUNTA(AN319:AP319)=3,ISNUMBER(AP319))),0,1)+IF(OR(COUNTA(AQ319:AS319)=0,AND(COUNTA(AQ319:AS319)=3,ISNUMBER(AS319))),0,1)+IF(OR(COUNTA(AT319:AV319)=0,AND(COUNTA(AT319:AV319)=3,ISNUMBER(AV319))),0,1)+IF(OR(COUNTA(AW319:AY319)=0,AND(COUNTA(AW319:AY319)=3,ISNUMBER(AY319))),0,1)+IF(OR(COUNTA(AZ319:BB319)=0,AND(COUNTA(AZ319:BB319)=3,ISNUMBER(BB319))),0,1))&gt;0,"; An invoice is incomplete (needs No, Date and a number in Ex GST)","")&amp;IF((IF(T319="",0,IFERROR(--(EOMONTH(T319,0)&lt;&gt;S$5),1))+IF(W319="",0,IFERROR(--(EOMONTH(W319,0)&lt;&gt;V$5),1))+IF(Z319="",0,IFERROR(--(EOMONTH(Z319,0)&lt;&gt;Y$5),1))+IF(AC319="",0,IFERROR(--(EOMONTH(AC319,0)&lt;&gt;AB$5),1))+IF(AF319="",0,IFERROR(--(EOMONTH(AF319,0)&lt;&gt;AE$5),1))+IF(AI319="",0,IFERROR(--(EOMONTH(AI319,0)&lt;&gt;AH$5),1))+IF(AL319="",0,IFERROR(--(EOMONTH(AL319,0)&lt;&gt;AK$5),1))+IF(AO319="",0,IFERROR(--(EOMONTH(AO319,0)&lt;&gt;AN$5),1))+IF(AR319="",0,IFERROR(--(EOMONTH(AR319,0)&lt;&gt;AQ$5),1))+IF(AU319="",0,IFERROR(--(EOMONTH(AU319,0)&lt;&gt;AT$5),1))+IF(AX319="",0,IFERROR(--(EOMONTH(AX319,0)&lt;&gt;AW$5),1))+IF(BA319="",0,IFERROR(--(EOMONTH(BA319,0)&lt;&gt;AZ$5),1)))&gt;0,"; An invoice date is not in the month it is typed under",""),3,500))</f>
        <v/>
      </c>
      <c r="S319" s="12" t="n"/>
      <c r="T319" s="13" t="n"/>
      <c r="U319" s="14" t="n"/>
      <c r="V319" s="12" t="n"/>
      <c r="W319" s="13" t="n"/>
      <c r="X319" s="14" t="n"/>
      <c r="Y319" s="12" t="n"/>
      <c r="Z319" s="13" t="n"/>
      <c r="AA319" s="14" t="n"/>
      <c r="AB319" s="12" t="n"/>
      <c r="AC319" s="13" t="n"/>
      <c r="AD319" s="14" t="n"/>
      <c r="AE319" s="12" t="n"/>
      <c r="AF319" s="13" t="n"/>
      <c r="AG319" s="14" t="n"/>
      <c r="AH319" s="12" t="n"/>
      <c r="AI319" s="13" t="n"/>
      <c r="AJ319" s="14" t="n"/>
      <c r="AK319" s="12" t="n"/>
      <c r="AL319" s="13" t="n"/>
      <c r="AM319" s="14" t="n"/>
      <c r="AN319" s="12" t="n"/>
      <c r="AO319" s="13" t="n"/>
      <c r="AP319" s="14" t="n"/>
      <c r="AQ319" s="12" t="n"/>
      <c r="AR319" s="13" t="n"/>
      <c r="AS319" s="14" t="n"/>
      <c r="AT319" s="12" t="n"/>
      <c r="AU319" s="13" t="n"/>
      <c r="AV319" s="14" t="n"/>
      <c r="AW319" s="12" t="n"/>
      <c r="AX319" s="13" t="n"/>
      <c r="AY319" s="14" t="n"/>
      <c r="AZ319" s="12" t="n"/>
      <c r="BA319" s="13" t="n"/>
      <c r="BB319" s="14" t="n"/>
      <c r="BC319" s="11">
        <f>IF(O319="","",IF(J319="GST 10%",ROUND(O319*set_GSTRate,2),0))</f>
        <v/>
      </c>
      <c r="BD319" s="11">
        <f>IF(O319="","",O319+BC319)</f>
        <v/>
      </c>
      <c r="BE319" s="15">
        <f>IF(O319="","",COUNTA(S319,V319,Y319,AB319,AE319,AH319,AK319,AN319,AQ319,AT319,AW319,AZ319))</f>
        <v/>
      </c>
      <c r="BF319" s="16">
        <f>IF(COUNT(T319,W319,Z319,AC319,AF319,AI319,AL319,AO319,AR319,AU319,AX319,BA319)=0,"",MAX(T319,W319,Z319,AC319,AF319,AI319,AL319,AO319,AR319,AU319,AX319,BA319))</f>
        <v/>
      </c>
      <c r="BG319" s="10">
        <f>MID(IF(S319="","",", "&amp;S319)&amp;IF(V319="","",", "&amp;V319)&amp;IF(Y319="","",", "&amp;Y319)&amp;IF(AB319="","",", "&amp;AB319)&amp;IF(AE319="","",", "&amp;AE319)&amp;IF(AH319="","",", "&amp;AH319)&amp;IF(AK319="","",", "&amp;AK319)&amp;IF(AN319="","",", "&amp;AN319)&amp;IF(AQ319="","",", "&amp;AQ319)&amp;IF(AT319="","",", "&amp;AT319)&amp;IF(AW319="","",", "&amp;AW319)&amp;IF(AZ319="","",", "&amp;AZ319),3,500)</f>
        <v/>
      </c>
      <c r="BH319" s="12" t="n"/>
      <c r="BI319" s="15">
        <f>IFERROR(MATCH($A319,IF($B319="Onsite",tbl_Onsite[Row ID],IF($B319="Production",tbl_Production[Row ID],tbl_Consulting[Row ID])),0),"")</f>
        <v/>
      </c>
    </row>
    <row r="320">
      <c r="A320" s="10" t="inlineStr">
        <is>
          <t>ONS-0314</t>
        </is>
      </c>
      <c r="B320" s="10" t="inlineStr">
        <is>
          <t>Onsite</t>
        </is>
      </c>
      <c r="C320" s="10">
        <f>IF($BI320="","",IF($B320="Onsite",INDEX(tbl_Onsite[Job Number],$BI320),IF($B320="Production",INDEX(tbl_Production[Job Number],$BI320),INDEX(tbl_Consulting[Job Number],$BI320)))&amp;"")</f>
        <v/>
      </c>
      <c r="D320" s="10">
        <f>IF($BI320="","",IF($B320="Onsite",INDEX(tbl_Onsite[Client],$BI320),IF($B320="Production",INDEX(tbl_Production[Client],$BI320),INDEX(tbl_Consulting[Client],$BI320)))&amp;"")</f>
        <v/>
      </c>
      <c r="E320" s="10">
        <f>IF($C320="","",IF(COUNTIF(lst_Jobs,$C320)&gt;0,"OK","CHECK"))</f>
        <v/>
      </c>
      <c r="F320" s="10">
        <f>IF($C320="","",IFERROR(INDEX(lst_JobName,MATCH($C320,lst_Jobs,0)),""))</f>
        <v/>
      </c>
      <c r="G320" s="10">
        <f>IF($BI320="","",IF($B320="Onsite",INDEX(tbl_Onsite[Job Description],$BI320),IF($B320="Production",INDEX(tbl_Production[Job Description],$BI320),INDEX(tbl_Consulting[Job Description],$BI320)))&amp;"")</f>
        <v/>
      </c>
      <c r="H320" s="10">
        <f>IF($BI320="","",IF($B320="Onsite",INDEX(tbl_Onsite[Cost Centre],$BI320),IF($B320="Production",INDEX(tbl_Production[Cost Centre],$BI320),INDEX(tbl_Consulting[Cost Centre],$BI320)))&amp;"")</f>
        <v/>
      </c>
      <c r="I320" s="10">
        <f>IF($BI320="","",IF($B320="Onsite",INDEX(tbl_Onsite[Invoice Type],$BI320),IF($B320="Production",INDEX(tbl_Production[Invoice Type],$BI320),INDEX(tbl_Consulting[Invoice Type],$BI320)))&amp;"")</f>
        <v/>
      </c>
      <c r="J320" s="10">
        <f>IF($BI320="","",IF($B320="Onsite",INDEX(tbl_Onsite[Tax Code],$BI320),IF($B320="Production",INDEX(tbl_Production[Tax Code],$BI320),INDEX(tbl_Consulting[Tax Code],$BI320)))&amp;"")</f>
        <v/>
      </c>
      <c r="K320" s="10">
        <f>IF(H320="","",IFERROR(INDEX(lst_CCtoGL,MATCH(H320,lst_CCforGL,0)),""))</f>
        <v/>
      </c>
      <c r="L320" s="10">
        <f>IF($BI320="","",IF($B320="Onsite",INDEX(tbl_Onsite[PO / Reference],$BI320),IF($B320="Production",INDEX(tbl_Production[Current RMS No],$BI320),INDEX(tbl_Consulting[Qwilr Quote],$BI320)))&amp;"")</f>
        <v/>
      </c>
      <c r="M320" s="10">
        <f>IF($BI320="","",IF($B320="Onsite",INDEX(tbl_Onsite[Notes],$BI320),IF($B320="Production",INDEX(tbl_Production[Notes],$BI320),INDEX(tbl_Consulting[Notes],$BI320)))&amp;"")</f>
        <v/>
      </c>
      <c r="N320" s="11">
        <f>IF($BI320="","",IF(IF($B320="Onsite",INDEX(tbl_Onsite[Expected Revenue Ex GST],$BI320),IF($B320="Production",INDEX(tbl_Production[Expected Revenue Ex GST],$BI320),INDEX(tbl_Consulting[Expected Revenue Ex GST],$BI320)))="","",IF($B320="Onsite",INDEX(tbl_Onsite[Expected Revenue Ex GST],$BI320),IF($B320="Production",INDEX(tbl_Production[Expected Revenue Ex GST],$BI320),INDEX(tbl_Consulting[Expected Revenue Ex GST],$BI320)))))</f>
        <v/>
      </c>
      <c r="O320" s="11">
        <f>IF(AND($C320="",NOT(COUNTA($S320:$BB320)&gt;0)),"",SUM(U320,X320,AA320,AD320,AG320,AJ320,AM320,AP320,AS320,AV320,AY320,BB320))</f>
        <v/>
      </c>
      <c r="P320" s="11">
        <f>IF(O320="","",N(N320)-O320)</f>
        <v/>
      </c>
      <c r="Q320" s="10">
        <f>IF(O320="","",IF($C320="","Invoice on empty job row",IF(N320="",IF(ROUND(O320,2)=0,"No dept value","Invoiced - no dept value"),IF(ROUND(O320,2)=0,"Not invoiced - to invoice",IF(ROUND(P320,2)=0,"Agrees",IF(P320&gt;0,"Dept higher - to invoice","Xero higher - check dept"))))))</f>
        <v/>
      </c>
      <c r="R320" s="10">
        <f>IF(AND($C320="",NOT(COUNTA($S320:$BB320)&gt;0),$BI320&lt;&gt;""),"",MID(IF($BI320="","; Row ID not found on the department sheet - a row was deleted","")&amp;IF(AND($C320="",COUNTA($S320:$BB320)&gt;0),"; Invoice entered but the department row has no job number","")&amp;IF(E320="CHECK","; Job number not in the Xero job list","")&amp;IF(AND($C320&lt;&gt;"",COUNTIF($C$7:$C$1506,$C320)&gt;1),"; Job number on more than one row","")&amp;IF(AND($C320&lt;&gt;"",H320=""),"; Dept has not set a cost centre","")&amp;IF(AND($C320&lt;&gt;"",J320=""),"; Dept has not set a tax code","")&amp;IF(AND($C320&lt;&gt;"",N320=""),"; Dept has not entered an expected value","")&amp;IF((IF(OR(COUNTA(S320:U320)=0,AND(COUNTA(S320:U320)=3,ISNUMBER(U320))),0,1)+IF(OR(COUNTA(V320:X320)=0,AND(COUNTA(V320:X320)=3,ISNUMBER(X320))),0,1)+IF(OR(COUNTA(Y320:AA320)=0,AND(COUNTA(Y320:AA320)=3,ISNUMBER(AA320))),0,1)+IF(OR(COUNTA(AB320:AD320)=0,AND(COUNTA(AB320:AD320)=3,ISNUMBER(AD320))),0,1)+IF(OR(COUNTA(AE320:AG320)=0,AND(COUNTA(AE320:AG320)=3,ISNUMBER(AG320))),0,1)+IF(OR(COUNTA(AH320:AJ320)=0,AND(COUNTA(AH320:AJ320)=3,ISNUMBER(AJ320))),0,1)+IF(OR(COUNTA(AK320:AM320)=0,AND(COUNTA(AK320:AM320)=3,ISNUMBER(AM320))),0,1)+IF(OR(COUNTA(AN320:AP320)=0,AND(COUNTA(AN320:AP320)=3,ISNUMBER(AP320))),0,1)+IF(OR(COUNTA(AQ320:AS320)=0,AND(COUNTA(AQ320:AS320)=3,ISNUMBER(AS320))),0,1)+IF(OR(COUNTA(AT320:AV320)=0,AND(COUNTA(AT320:AV320)=3,ISNUMBER(AV320))),0,1)+IF(OR(COUNTA(AW320:AY320)=0,AND(COUNTA(AW320:AY320)=3,ISNUMBER(AY320))),0,1)+IF(OR(COUNTA(AZ320:BB320)=0,AND(COUNTA(AZ320:BB320)=3,ISNUMBER(BB320))),0,1))&gt;0,"; An invoice is incomplete (needs No, Date and a number in Ex GST)","")&amp;IF((IF(T320="",0,IFERROR(--(EOMONTH(T320,0)&lt;&gt;S$5),1))+IF(W320="",0,IFERROR(--(EOMONTH(W320,0)&lt;&gt;V$5),1))+IF(Z320="",0,IFERROR(--(EOMONTH(Z320,0)&lt;&gt;Y$5),1))+IF(AC320="",0,IFERROR(--(EOMONTH(AC320,0)&lt;&gt;AB$5),1))+IF(AF320="",0,IFERROR(--(EOMONTH(AF320,0)&lt;&gt;AE$5),1))+IF(AI320="",0,IFERROR(--(EOMONTH(AI320,0)&lt;&gt;AH$5),1))+IF(AL320="",0,IFERROR(--(EOMONTH(AL320,0)&lt;&gt;AK$5),1))+IF(AO320="",0,IFERROR(--(EOMONTH(AO320,0)&lt;&gt;AN$5),1))+IF(AR320="",0,IFERROR(--(EOMONTH(AR320,0)&lt;&gt;AQ$5),1))+IF(AU320="",0,IFERROR(--(EOMONTH(AU320,0)&lt;&gt;AT$5),1))+IF(AX320="",0,IFERROR(--(EOMONTH(AX320,0)&lt;&gt;AW$5),1))+IF(BA320="",0,IFERROR(--(EOMONTH(BA320,0)&lt;&gt;AZ$5),1)))&gt;0,"; An invoice date is not in the month it is typed under",""),3,500))</f>
        <v/>
      </c>
      <c r="S320" s="12" t="n"/>
      <c r="T320" s="13" t="n"/>
      <c r="U320" s="14" t="n"/>
      <c r="V320" s="12" t="n"/>
      <c r="W320" s="13" t="n"/>
      <c r="X320" s="14" t="n"/>
      <c r="Y320" s="12" t="n"/>
      <c r="Z320" s="13" t="n"/>
      <c r="AA320" s="14" t="n"/>
      <c r="AB320" s="12" t="n"/>
      <c r="AC320" s="13" t="n"/>
      <c r="AD320" s="14" t="n"/>
      <c r="AE320" s="12" t="n"/>
      <c r="AF320" s="13" t="n"/>
      <c r="AG320" s="14" t="n"/>
      <c r="AH320" s="12" t="n"/>
      <c r="AI320" s="13" t="n"/>
      <c r="AJ320" s="14" t="n"/>
      <c r="AK320" s="12" t="n"/>
      <c r="AL320" s="13" t="n"/>
      <c r="AM320" s="14" t="n"/>
      <c r="AN320" s="12" t="n"/>
      <c r="AO320" s="13" t="n"/>
      <c r="AP320" s="14" t="n"/>
      <c r="AQ320" s="12" t="n"/>
      <c r="AR320" s="13" t="n"/>
      <c r="AS320" s="14" t="n"/>
      <c r="AT320" s="12" t="n"/>
      <c r="AU320" s="13" t="n"/>
      <c r="AV320" s="14" t="n"/>
      <c r="AW320" s="12" t="n"/>
      <c r="AX320" s="13" t="n"/>
      <c r="AY320" s="14" t="n"/>
      <c r="AZ320" s="12" t="n"/>
      <c r="BA320" s="13" t="n"/>
      <c r="BB320" s="14" t="n"/>
      <c r="BC320" s="11">
        <f>IF(O320="","",IF(J320="GST 10%",ROUND(O320*set_GSTRate,2),0))</f>
        <v/>
      </c>
      <c r="BD320" s="11">
        <f>IF(O320="","",O320+BC320)</f>
        <v/>
      </c>
      <c r="BE320" s="15">
        <f>IF(O320="","",COUNTA(S320,V320,Y320,AB320,AE320,AH320,AK320,AN320,AQ320,AT320,AW320,AZ320))</f>
        <v/>
      </c>
      <c r="BF320" s="16">
        <f>IF(COUNT(T320,W320,Z320,AC320,AF320,AI320,AL320,AO320,AR320,AU320,AX320,BA320)=0,"",MAX(T320,W320,Z320,AC320,AF320,AI320,AL320,AO320,AR320,AU320,AX320,BA320))</f>
        <v/>
      </c>
      <c r="BG320" s="10">
        <f>MID(IF(S320="","",", "&amp;S320)&amp;IF(V320="","",", "&amp;V320)&amp;IF(Y320="","",", "&amp;Y320)&amp;IF(AB320="","",", "&amp;AB320)&amp;IF(AE320="","",", "&amp;AE320)&amp;IF(AH320="","",", "&amp;AH320)&amp;IF(AK320="","",", "&amp;AK320)&amp;IF(AN320="","",", "&amp;AN320)&amp;IF(AQ320="","",", "&amp;AQ320)&amp;IF(AT320="","",", "&amp;AT320)&amp;IF(AW320="","",", "&amp;AW320)&amp;IF(AZ320="","",", "&amp;AZ320),3,500)</f>
        <v/>
      </c>
      <c r="BH320" s="12" t="n"/>
      <c r="BI320" s="15">
        <f>IFERROR(MATCH($A320,IF($B320="Onsite",tbl_Onsite[Row ID],IF($B320="Production",tbl_Production[Row ID],tbl_Consulting[Row ID])),0),"")</f>
        <v/>
      </c>
    </row>
    <row r="321">
      <c r="A321" s="10" t="inlineStr">
        <is>
          <t>ONS-0315</t>
        </is>
      </c>
      <c r="B321" s="10" t="inlineStr">
        <is>
          <t>Onsite</t>
        </is>
      </c>
      <c r="C321" s="10">
        <f>IF($BI321="","",IF($B321="Onsite",INDEX(tbl_Onsite[Job Number],$BI321),IF($B321="Production",INDEX(tbl_Production[Job Number],$BI321),INDEX(tbl_Consulting[Job Number],$BI321)))&amp;"")</f>
        <v/>
      </c>
      <c r="D321" s="10">
        <f>IF($BI321="","",IF($B321="Onsite",INDEX(tbl_Onsite[Client],$BI321),IF($B321="Production",INDEX(tbl_Production[Client],$BI321),INDEX(tbl_Consulting[Client],$BI321)))&amp;"")</f>
        <v/>
      </c>
      <c r="E321" s="10">
        <f>IF($C321="","",IF(COUNTIF(lst_Jobs,$C321)&gt;0,"OK","CHECK"))</f>
        <v/>
      </c>
      <c r="F321" s="10">
        <f>IF($C321="","",IFERROR(INDEX(lst_JobName,MATCH($C321,lst_Jobs,0)),""))</f>
        <v/>
      </c>
      <c r="G321" s="10">
        <f>IF($BI321="","",IF($B321="Onsite",INDEX(tbl_Onsite[Job Description],$BI321),IF($B321="Production",INDEX(tbl_Production[Job Description],$BI321),INDEX(tbl_Consulting[Job Description],$BI321)))&amp;"")</f>
        <v/>
      </c>
      <c r="H321" s="10">
        <f>IF($BI321="","",IF($B321="Onsite",INDEX(tbl_Onsite[Cost Centre],$BI321),IF($B321="Production",INDEX(tbl_Production[Cost Centre],$BI321),INDEX(tbl_Consulting[Cost Centre],$BI321)))&amp;"")</f>
        <v/>
      </c>
      <c r="I321" s="10">
        <f>IF($BI321="","",IF($B321="Onsite",INDEX(tbl_Onsite[Invoice Type],$BI321),IF($B321="Production",INDEX(tbl_Production[Invoice Type],$BI321),INDEX(tbl_Consulting[Invoice Type],$BI321)))&amp;"")</f>
        <v/>
      </c>
      <c r="J321" s="10">
        <f>IF($BI321="","",IF($B321="Onsite",INDEX(tbl_Onsite[Tax Code],$BI321),IF($B321="Production",INDEX(tbl_Production[Tax Code],$BI321),INDEX(tbl_Consulting[Tax Code],$BI321)))&amp;"")</f>
        <v/>
      </c>
      <c r="K321" s="10">
        <f>IF(H321="","",IFERROR(INDEX(lst_CCtoGL,MATCH(H321,lst_CCforGL,0)),""))</f>
        <v/>
      </c>
      <c r="L321" s="10">
        <f>IF($BI321="","",IF($B321="Onsite",INDEX(tbl_Onsite[PO / Reference],$BI321),IF($B321="Production",INDEX(tbl_Production[Current RMS No],$BI321),INDEX(tbl_Consulting[Qwilr Quote],$BI321)))&amp;"")</f>
        <v/>
      </c>
      <c r="M321" s="10">
        <f>IF($BI321="","",IF($B321="Onsite",INDEX(tbl_Onsite[Notes],$BI321),IF($B321="Production",INDEX(tbl_Production[Notes],$BI321),INDEX(tbl_Consulting[Notes],$BI321)))&amp;"")</f>
        <v/>
      </c>
      <c r="N321" s="11">
        <f>IF($BI321="","",IF(IF($B321="Onsite",INDEX(tbl_Onsite[Expected Revenue Ex GST],$BI321),IF($B321="Production",INDEX(tbl_Production[Expected Revenue Ex GST],$BI321),INDEX(tbl_Consulting[Expected Revenue Ex GST],$BI321)))="","",IF($B321="Onsite",INDEX(tbl_Onsite[Expected Revenue Ex GST],$BI321),IF($B321="Production",INDEX(tbl_Production[Expected Revenue Ex GST],$BI321),INDEX(tbl_Consulting[Expected Revenue Ex GST],$BI321)))))</f>
        <v/>
      </c>
      <c r="O321" s="11">
        <f>IF(AND($C321="",NOT(COUNTA($S321:$BB321)&gt;0)),"",SUM(U321,X321,AA321,AD321,AG321,AJ321,AM321,AP321,AS321,AV321,AY321,BB321))</f>
        <v/>
      </c>
      <c r="P321" s="11">
        <f>IF(O321="","",N(N321)-O321)</f>
        <v/>
      </c>
      <c r="Q321" s="10">
        <f>IF(O321="","",IF($C321="","Invoice on empty job row",IF(N321="",IF(ROUND(O321,2)=0,"No dept value","Invoiced - no dept value"),IF(ROUND(O321,2)=0,"Not invoiced - to invoice",IF(ROUND(P321,2)=0,"Agrees",IF(P321&gt;0,"Dept higher - to invoice","Xero higher - check dept"))))))</f>
        <v/>
      </c>
      <c r="R321" s="10">
        <f>IF(AND($C321="",NOT(COUNTA($S321:$BB321)&gt;0),$BI321&lt;&gt;""),"",MID(IF($BI321="","; Row ID not found on the department sheet - a row was deleted","")&amp;IF(AND($C321="",COUNTA($S321:$BB321)&gt;0),"; Invoice entered but the department row has no job number","")&amp;IF(E321="CHECK","; Job number not in the Xero job list","")&amp;IF(AND($C321&lt;&gt;"",COUNTIF($C$7:$C$1506,$C321)&gt;1),"; Job number on more than one row","")&amp;IF(AND($C321&lt;&gt;"",H321=""),"; Dept has not set a cost centre","")&amp;IF(AND($C321&lt;&gt;"",J321=""),"; Dept has not set a tax code","")&amp;IF(AND($C321&lt;&gt;"",N321=""),"; Dept has not entered an expected value","")&amp;IF((IF(OR(COUNTA(S321:U321)=0,AND(COUNTA(S321:U321)=3,ISNUMBER(U321))),0,1)+IF(OR(COUNTA(V321:X321)=0,AND(COUNTA(V321:X321)=3,ISNUMBER(X321))),0,1)+IF(OR(COUNTA(Y321:AA321)=0,AND(COUNTA(Y321:AA321)=3,ISNUMBER(AA321))),0,1)+IF(OR(COUNTA(AB321:AD321)=0,AND(COUNTA(AB321:AD321)=3,ISNUMBER(AD321))),0,1)+IF(OR(COUNTA(AE321:AG321)=0,AND(COUNTA(AE321:AG321)=3,ISNUMBER(AG321))),0,1)+IF(OR(COUNTA(AH321:AJ321)=0,AND(COUNTA(AH321:AJ321)=3,ISNUMBER(AJ321))),0,1)+IF(OR(COUNTA(AK321:AM321)=0,AND(COUNTA(AK321:AM321)=3,ISNUMBER(AM321))),0,1)+IF(OR(COUNTA(AN321:AP321)=0,AND(COUNTA(AN321:AP321)=3,ISNUMBER(AP321))),0,1)+IF(OR(COUNTA(AQ321:AS321)=0,AND(COUNTA(AQ321:AS321)=3,ISNUMBER(AS321))),0,1)+IF(OR(COUNTA(AT321:AV321)=0,AND(COUNTA(AT321:AV321)=3,ISNUMBER(AV321))),0,1)+IF(OR(COUNTA(AW321:AY321)=0,AND(COUNTA(AW321:AY321)=3,ISNUMBER(AY321))),0,1)+IF(OR(COUNTA(AZ321:BB321)=0,AND(COUNTA(AZ321:BB321)=3,ISNUMBER(BB321))),0,1))&gt;0,"; An invoice is incomplete (needs No, Date and a number in Ex GST)","")&amp;IF((IF(T321="",0,IFERROR(--(EOMONTH(T321,0)&lt;&gt;S$5),1))+IF(W321="",0,IFERROR(--(EOMONTH(W321,0)&lt;&gt;V$5),1))+IF(Z321="",0,IFERROR(--(EOMONTH(Z321,0)&lt;&gt;Y$5),1))+IF(AC321="",0,IFERROR(--(EOMONTH(AC321,0)&lt;&gt;AB$5),1))+IF(AF321="",0,IFERROR(--(EOMONTH(AF321,0)&lt;&gt;AE$5),1))+IF(AI321="",0,IFERROR(--(EOMONTH(AI321,0)&lt;&gt;AH$5),1))+IF(AL321="",0,IFERROR(--(EOMONTH(AL321,0)&lt;&gt;AK$5),1))+IF(AO321="",0,IFERROR(--(EOMONTH(AO321,0)&lt;&gt;AN$5),1))+IF(AR321="",0,IFERROR(--(EOMONTH(AR321,0)&lt;&gt;AQ$5),1))+IF(AU321="",0,IFERROR(--(EOMONTH(AU321,0)&lt;&gt;AT$5),1))+IF(AX321="",0,IFERROR(--(EOMONTH(AX321,0)&lt;&gt;AW$5),1))+IF(BA321="",0,IFERROR(--(EOMONTH(BA321,0)&lt;&gt;AZ$5),1)))&gt;0,"; An invoice date is not in the month it is typed under",""),3,500))</f>
        <v/>
      </c>
      <c r="S321" s="12" t="n"/>
      <c r="T321" s="13" t="n"/>
      <c r="U321" s="14" t="n"/>
      <c r="V321" s="12" t="n"/>
      <c r="W321" s="13" t="n"/>
      <c r="X321" s="14" t="n"/>
      <c r="Y321" s="12" t="n"/>
      <c r="Z321" s="13" t="n"/>
      <c r="AA321" s="14" t="n"/>
      <c r="AB321" s="12" t="n"/>
      <c r="AC321" s="13" t="n"/>
      <c r="AD321" s="14" t="n"/>
      <c r="AE321" s="12" t="n"/>
      <c r="AF321" s="13" t="n"/>
      <c r="AG321" s="14" t="n"/>
      <c r="AH321" s="12" t="n"/>
      <c r="AI321" s="13" t="n"/>
      <c r="AJ321" s="14" t="n"/>
      <c r="AK321" s="12" t="n"/>
      <c r="AL321" s="13" t="n"/>
      <c r="AM321" s="14" t="n"/>
      <c r="AN321" s="12" t="n"/>
      <c r="AO321" s="13" t="n"/>
      <c r="AP321" s="14" t="n"/>
      <c r="AQ321" s="12" t="n"/>
      <c r="AR321" s="13" t="n"/>
      <c r="AS321" s="14" t="n"/>
      <c r="AT321" s="12" t="n"/>
      <c r="AU321" s="13" t="n"/>
      <c r="AV321" s="14" t="n"/>
      <c r="AW321" s="12" t="n"/>
      <c r="AX321" s="13" t="n"/>
      <c r="AY321" s="14" t="n"/>
      <c r="AZ321" s="12" t="n"/>
      <c r="BA321" s="13" t="n"/>
      <c r="BB321" s="14" t="n"/>
      <c r="BC321" s="11">
        <f>IF(O321="","",IF(J321="GST 10%",ROUND(O321*set_GSTRate,2),0))</f>
        <v/>
      </c>
      <c r="BD321" s="11">
        <f>IF(O321="","",O321+BC321)</f>
        <v/>
      </c>
      <c r="BE321" s="15">
        <f>IF(O321="","",COUNTA(S321,V321,Y321,AB321,AE321,AH321,AK321,AN321,AQ321,AT321,AW321,AZ321))</f>
        <v/>
      </c>
      <c r="BF321" s="16">
        <f>IF(COUNT(T321,W321,Z321,AC321,AF321,AI321,AL321,AO321,AR321,AU321,AX321,BA321)=0,"",MAX(T321,W321,Z321,AC321,AF321,AI321,AL321,AO321,AR321,AU321,AX321,BA321))</f>
        <v/>
      </c>
      <c r="BG321" s="10">
        <f>MID(IF(S321="","",", "&amp;S321)&amp;IF(V321="","",", "&amp;V321)&amp;IF(Y321="","",", "&amp;Y321)&amp;IF(AB321="","",", "&amp;AB321)&amp;IF(AE321="","",", "&amp;AE321)&amp;IF(AH321="","",", "&amp;AH321)&amp;IF(AK321="","",", "&amp;AK321)&amp;IF(AN321="","",", "&amp;AN321)&amp;IF(AQ321="","",", "&amp;AQ321)&amp;IF(AT321="","",", "&amp;AT321)&amp;IF(AW321="","",", "&amp;AW321)&amp;IF(AZ321="","",", "&amp;AZ321),3,500)</f>
        <v/>
      </c>
      <c r="BH321" s="12" t="n"/>
      <c r="BI321" s="15">
        <f>IFERROR(MATCH($A321,IF($B321="Onsite",tbl_Onsite[Row ID],IF($B321="Production",tbl_Production[Row ID],tbl_Consulting[Row ID])),0),"")</f>
        <v/>
      </c>
    </row>
    <row r="322">
      <c r="A322" s="10" t="inlineStr">
        <is>
          <t>ONS-0316</t>
        </is>
      </c>
      <c r="B322" s="10" t="inlineStr">
        <is>
          <t>Onsite</t>
        </is>
      </c>
      <c r="C322" s="10">
        <f>IF($BI322="","",IF($B322="Onsite",INDEX(tbl_Onsite[Job Number],$BI322),IF($B322="Production",INDEX(tbl_Production[Job Number],$BI322),INDEX(tbl_Consulting[Job Number],$BI322)))&amp;"")</f>
        <v/>
      </c>
      <c r="D322" s="10">
        <f>IF($BI322="","",IF($B322="Onsite",INDEX(tbl_Onsite[Client],$BI322),IF($B322="Production",INDEX(tbl_Production[Client],$BI322),INDEX(tbl_Consulting[Client],$BI322)))&amp;"")</f>
        <v/>
      </c>
      <c r="E322" s="10">
        <f>IF($C322="","",IF(COUNTIF(lst_Jobs,$C322)&gt;0,"OK","CHECK"))</f>
        <v/>
      </c>
      <c r="F322" s="10">
        <f>IF($C322="","",IFERROR(INDEX(lst_JobName,MATCH($C322,lst_Jobs,0)),""))</f>
        <v/>
      </c>
      <c r="G322" s="10">
        <f>IF($BI322="","",IF($B322="Onsite",INDEX(tbl_Onsite[Job Description],$BI322),IF($B322="Production",INDEX(tbl_Production[Job Description],$BI322),INDEX(tbl_Consulting[Job Description],$BI322)))&amp;"")</f>
        <v/>
      </c>
      <c r="H322" s="10">
        <f>IF($BI322="","",IF($B322="Onsite",INDEX(tbl_Onsite[Cost Centre],$BI322),IF($B322="Production",INDEX(tbl_Production[Cost Centre],$BI322),INDEX(tbl_Consulting[Cost Centre],$BI322)))&amp;"")</f>
        <v/>
      </c>
      <c r="I322" s="10">
        <f>IF($BI322="","",IF($B322="Onsite",INDEX(tbl_Onsite[Invoice Type],$BI322),IF($B322="Production",INDEX(tbl_Production[Invoice Type],$BI322),INDEX(tbl_Consulting[Invoice Type],$BI322)))&amp;"")</f>
        <v/>
      </c>
      <c r="J322" s="10">
        <f>IF($BI322="","",IF($B322="Onsite",INDEX(tbl_Onsite[Tax Code],$BI322),IF($B322="Production",INDEX(tbl_Production[Tax Code],$BI322),INDEX(tbl_Consulting[Tax Code],$BI322)))&amp;"")</f>
        <v/>
      </c>
      <c r="K322" s="10">
        <f>IF(H322="","",IFERROR(INDEX(lst_CCtoGL,MATCH(H322,lst_CCforGL,0)),""))</f>
        <v/>
      </c>
      <c r="L322" s="10">
        <f>IF($BI322="","",IF($B322="Onsite",INDEX(tbl_Onsite[PO / Reference],$BI322),IF($B322="Production",INDEX(tbl_Production[Current RMS No],$BI322),INDEX(tbl_Consulting[Qwilr Quote],$BI322)))&amp;"")</f>
        <v/>
      </c>
      <c r="M322" s="10">
        <f>IF($BI322="","",IF($B322="Onsite",INDEX(tbl_Onsite[Notes],$BI322),IF($B322="Production",INDEX(tbl_Production[Notes],$BI322),INDEX(tbl_Consulting[Notes],$BI322)))&amp;"")</f>
        <v/>
      </c>
      <c r="N322" s="11">
        <f>IF($BI322="","",IF(IF($B322="Onsite",INDEX(tbl_Onsite[Expected Revenue Ex GST],$BI322),IF($B322="Production",INDEX(tbl_Production[Expected Revenue Ex GST],$BI322),INDEX(tbl_Consulting[Expected Revenue Ex GST],$BI322)))="","",IF($B322="Onsite",INDEX(tbl_Onsite[Expected Revenue Ex GST],$BI322),IF($B322="Production",INDEX(tbl_Production[Expected Revenue Ex GST],$BI322),INDEX(tbl_Consulting[Expected Revenue Ex GST],$BI322)))))</f>
        <v/>
      </c>
      <c r="O322" s="11">
        <f>IF(AND($C322="",NOT(COUNTA($S322:$BB322)&gt;0)),"",SUM(U322,X322,AA322,AD322,AG322,AJ322,AM322,AP322,AS322,AV322,AY322,BB322))</f>
        <v/>
      </c>
      <c r="P322" s="11">
        <f>IF(O322="","",N(N322)-O322)</f>
        <v/>
      </c>
      <c r="Q322" s="10">
        <f>IF(O322="","",IF($C322="","Invoice on empty job row",IF(N322="",IF(ROUND(O322,2)=0,"No dept value","Invoiced - no dept value"),IF(ROUND(O322,2)=0,"Not invoiced - to invoice",IF(ROUND(P322,2)=0,"Agrees",IF(P322&gt;0,"Dept higher - to invoice","Xero higher - check dept"))))))</f>
        <v/>
      </c>
      <c r="R322" s="10">
        <f>IF(AND($C322="",NOT(COUNTA($S322:$BB322)&gt;0),$BI322&lt;&gt;""),"",MID(IF($BI322="","; Row ID not found on the department sheet - a row was deleted","")&amp;IF(AND($C322="",COUNTA($S322:$BB322)&gt;0),"; Invoice entered but the department row has no job number","")&amp;IF(E322="CHECK","; Job number not in the Xero job list","")&amp;IF(AND($C322&lt;&gt;"",COUNTIF($C$7:$C$1506,$C322)&gt;1),"; Job number on more than one row","")&amp;IF(AND($C322&lt;&gt;"",H322=""),"; Dept has not set a cost centre","")&amp;IF(AND($C322&lt;&gt;"",J322=""),"; Dept has not set a tax code","")&amp;IF(AND($C322&lt;&gt;"",N322=""),"; Dept has not entered an expected value","")&amp;IF((IF(OR(COUNTA(S322:U322)=0,AND(COUNTA(S322:U322)=3,ISNUMBER(U322))),0,1)+IF(OR(COUNTA(V322:X322)=0,AND(COUNTA(V322:X322)=3,ISNUMBER(X322))),0,1)+IF(OR(COUNTA(Y322:AA322)=0,AND(COUNTA(Y322:AA322)=3,ISNUMBER(AA322))),0,1)+IF(OR(COUNTA(AB322:AD322)=0,AND(COUNTA(AB322:AD322)=3,ISNUMBER(AD322))),0,1)+IF(OR(COUNTA(AE322:AG322)=0,AND(COUNTA(AE322:AG322)=3,ISNUMBER(AG322))),0,1)+IF(OR(COUNTA(AH322:AJ322)=0,AND(COUNTA(AH322:AJ322)=3,ISNUMBER(AJ322))),0,1)+IF(OR(COUNTA(AK322:AM322)=0,AND(COUNTA(AK322:AM322)=3,ISNUMBER(AM322))),0,1)+IF(OR(COUNTA(AN322:AP322)=0,AND(COUNTA(AN322:AP322)=3,ISNUMBER(AP322))),0,1)+IF(OR(COUNTA(AQ322:AS322)=0,AND(COUNTA(AQ322:AS322)=3,ISNUMBER(AS322))),0,1)+IF(OR(COUNTA(AT322:AV322)=0,AND(COUNTA(AT322:AV322)=3,ISNUMBER(AV322))),0,1)+IF(OR(COUNTA(AW322:AY322)=0,AND(COUNTA(AW322:AY322)=3,ISNUMBER(AY322))),0,1)+IF(OR(COUNTA(AZ322:BB322)=0,AND(COUNTA(AZ322:BB322)=3,ISNUMBER(BB322))),0,1))&gt;0,"; An invoice is incomplete (needs No, Date and a number in Ex GST)","")&amp;IF((IF(T322="",0,IFERROR(--(EOMONTH(T322,0)&lt;&gt;S$5),1))+IF(W322="",0,IFERROR(--(EOMONTH(W322,0)&lt;&gt;V$5),1))+IF(Z322="",0,IFERROR(--(EOMONTH(Z322,0)&lt;&gt;Y$5),1))+IF(AC322="",0,IFERROR(--(EOMONTH(AC322,0)&lt;&gt;AB$5),1))+IF(AF322="",0,IFERROR(--(EOMONTH(AF322,0)&lt;&gt;AE$5),1))+IF(AI322="",0,IFERROR(--(EOMONTH(AI322,0)&lt;&gt;AH$5),1))+IF(AL322="",0,IFERROR(--(EOMONTH(AL322,0)&lt;&gt;AK$5),1))+IF(AO322="",0,IFERROR(--(EOMONTH(AO322,0)&lt;&gt;AN$5),1))+IF(AR322="",0,IFERROR(--(EOMONTH(AR322,0)&lt;&gt;AQ$5),1))+IF(AU322="",0,IFERROR(--(EOMONTH(AU322,0)&lt;&gt;AT$5),1))+IF(AX322="",0,IFERROR(--(EOMONTH(AX322,0)&lt;&gt;AW$5),1))+IF(BA322="",0,IFERROR(--(EOMONTH(BA322,0)&lt;&gt;AZ$5),1)))&gt;0,"; An invoice date is not in the month it is typed under",""),3,500))</f>
        <v/>
      </c>
      <c r="S322" s="12" t="n"/>
      <c r="T322" s="13" t="n"/>
      <c r="U322" s="14" t="n"/>
      <c r="V322" s="12" t="n"/>
      <c r="W322" s="13" t="n"/>
      <c r="X322" s="14" t="n"/>
      <c r="Y322" s="12" t="n"/>
      <c r="Z322" s="13" t="n"/>
      <c r="AA322" s="14" t="n"/>
      <c r="AB322" s="12" t="n"/>
      <c r="AC322" s="13" t="n"/>
      <c r="AD322" s="14" t="n"/>
      <c r="AE322" s="12" t="n"/>
      <c r="AF322" s="13" t="n"/>
      <c r="AG322" s="14" t="n"/>
      <c r="AH322" s="12" t="n"/>
      <c r="AI322" s="13" t="n"/>
      <c r="AJ322" s="14" t="n"/>
      <c r="AK322" s="12" t="n"/>
      <c r="AL322" s="13" t="n"/>
      <c r="AM322" s="14" t="n"/>
      <c r="AN322" s="12" t="n"/>
      <c r="AO322" s="13" t="n"/>
      <c r="AP322" s="14" t="n"/>
      <c r="AQ322" s="12" t="n"/>
      <c r="AR322" s="13" t="n"/>
      <c r="AS322" s="14" t="n"/>
      <c r="AT322" s="12" t="n"/>
      <c r="AU322" s="13" t="n"/>
      <c r="AV322" s="14" t="n"/>
      <c r="AW322" s="12" t="n"/>
      <c r="AX322" s="13" t="n"/>
      <c r="AY322" s="14" t="n"/>
      <c r="AZ322" s="12" t="n"/>
      <c r="BA322" s="13" t="n"/>
      <c r="BB322" s="14" t="n"/>
      <c r="BC322" s="11">
        <f>IF(O322="","",IF(J322="GST 10%",ROUND(O322*set_GSTRate,2),0))</f>
        <v/>
      </c>
      <c r="BD322" s="11">
        <f>IF(O322="","",O322+BC322)</f>
        <v/>
      </c>
      <c r="BE322" s="15">
        <f>IF(O322="","",COUNTA(S322,V322,Y322,AB322,AE322,AH322,AK322,AN322,AQ322,AT322,AW322,AZ322))</f>
        <v/>
      </c>
      <c r="BF322" s="16">
        <f>IF(COUNT(T322,W322,Z322,AC322,AF322,AI322,AL322,AO322,AR322,AU322,AX322,BA322)=0,"",MAX(T322,W322,Z322,AC322,AF322,AI322,AL322,AO322,AR322,AU322,AX322,BA322))</f>
        <v/>
      </c>
      <c r="BG322" s="10">
        <f>MID(IF(S322="","",", "&amp;S322)&amp;IF(V322="","",", "&amp;V322)&amp;IF(Y322="","",", "&amp;Y322)&amp;IF(AB322="","",", "&amp;AB322)&amp;IF(AE322="","",", "&amp;AE322)&amp;IF(AH322="","",", "&amp;AH322)&amp;IF(AK322="","",", "&amp;AK322)&amp;IF(AN322="","",", "&amp;AN322)&amp;IF(AQ322="","",", "&amp;AQ322)&amp;IF(AT322="","",", "&amp;AT322)&amp;IF(AW322="","",", "&amp;AW322)&amp;IF(AZ322="","",", "&amp;AZ322),3,500)</f>
        <v/>
      </c>
      <c r="BH322" s="12" t="n"/>
      <c r="BI322" s="15">
        <f>IFERROR(MATCH($A322,IF($B322="Onsite",tbl_Onsite[Row ID],IF($B322="Production",tbl_Production[Row ID],tbl_Consulting[Row ID])),0),"")</f>
        <v/>
      </c>
    </row>
    <row r="323">
      <c r="A323" s="10" t="inlineStr">
        <is>
          <t>ONS-0317</t>
        </is>
      </c>
      <c r="B323" s="10" t="inlineStr">
        <is>
          <t>Onsite</t>
        </is>
      </c>
      <c r="C323" s="10">
        <f>IF($BI323="","",IF($B323="Onsite",INDEX(tbl_Onsite[Job Number],$BI323),IF($B323="Production",INDEX(tbl_Production[Job Number],$BI323),INDEX(tbl_Consulting[Job Number],$BI323)))&amp;"")</f>
        <v/>
      </c>
      <c r="D323" s="10">
        <f>IF($BI323="","",IF($B323="Onsite",INDEX(tbl_Onsite[Client],$BI323),IF($B323="Production",INDEX(tbl_Production[Client],$BI323),INDEX(tbl_Consulting[Client],$BI323)))&amp;"")</f>
        <v/>
      </c>
      <c r="E323" s="10">
        <f>IF($C323="","",IF(COUNTIF(lst_Jobs,$C323)&gt;0,"OK","CHECK"))</f>
        <v/>
      </c>
      <c r="F323" s="10">
        <f>IF($C323="","",IFERROR(INDEX(lst_JobName,MATCH($C323,lst_Jobs,0)),""))</f>
        <v/>
      </c>
      <c r="G323" s="10">
        <f>IF($BI323="","",IF($B323="Onsite",INDEX(tbl_Onsite[Job Description],$BI323),IF($B323="Production",INDEX(tbl_Production[Job Description],$BI323),INDEX(tbl_Consulting[Job Description],$BI323)))&amp;"")</f>
        <v/>
      </c>
      <c r="H323" s="10">
        <f>IF($BI323="","",IF($B323="Onsite",INDEX(tbl_Onsite[Cost Centre],$BI323),IF($B323="Production",INDEX(tbl_Production[Cost Centre],$BI323),INDEX(tbl_Consulting[Cost Centre],$BI323)))&amp;"")</f>
        <v/>
      </c>
      <c r="I323" s="10">
        <f>IF($BI323="","",IF($B323="Onsite",INDEX(tbl_Onsite[Invoice Type],$BI323),IF($B323="Production",INDEX(tbl_Production[Invoice Type],$BI323),INDEX(tbl_Consulting[Invoice Type],$BI323)))&amp;"")</f>
        <v/>
      </c>
      <c r="J323" s="10">
        <f>IF($BI323="","",IF($B323="Onsite",INDEX(tbl_Onsite[Tax Code],$BI323),IF($B323="Production",INDEX(tbl_Production[Tax Code],$BI323),INDEX(tbl_Consulting[Tax Code],$BI323)))&amp;"")</f>
        <v/>
      </c>
      <c r="K323" s="10">
        <f>IF(H323="","",IFERROR(INDEX(lst_CCtoGL,MATCH(H323,lst_CCforGL,0)),""))</f>
        <v/>
      </c>
      <c r="L323" s="10">
        <f>IF($BI323="","",IF($B323="Onsite",INDEX(tbl_Onsite[PO / Reference],$BI323),IF($B323="Production",INDEX(tbl_Production[Current RMS No],$BI323),INDEX(tbl_Consulting[Qwilr Quote],$BI323)))&amp;"")</f>
        <v/>
      </c>
      <c r="M323" s="10">
        <f>IF($BI323="","",IF($B323="Onsite",INDEX(tbl_Onsite[Notes],$BI323),IF($B323="Production",INDEX(tbl_Production[Notes],$BI323),INDEX(tbl_Consulting[Notes],$BI323)))&amp;"")</f>
        <v/>
      </c>
      <c r="N323" s="11">
        <f>IF($BI323="","",IF(IF($B323="Onsite",INDEX(tbl_Onsite[Expected Revenue Ex GST],$BI323),IF($B323="Production",INDEX(tbl_Production[Expected Revenue Ex GST],$BI323),INDEX(tbl_Consulting[Expected Revenue Ex GST],$BI323)))="","",IF($B323="Onsite",INDEX(tbl_Onsite[Expected Revenue Ex GST],$BI323),IF($B323="Production",INDEX(tbl_Production[Expected Revenue Ex GST],$BI323),INDEX(tbl_Consulting[Expected Revenue Ex GST],$BI323)))))</f>
        <v/>
      </c>
      <c r="O323" s="11">
        <f>IF(AND($C323="",NOT(COUNTA($S323:$BB323)&gt;0)),"",SUM(U323,X323,AA323,AD323,AG323,AJ323,AM323,AP323,AS323,AV323,AY323,BB323))</f>
        <v/>
      </c>
      <c r="P323" s="11">
        <f>IF(O323="","",N(N323)-O323)</f>
        <v/>
      </c>
      <c r="Q323" s="10">
        <f>IF(O323="","",IF($C323="","Invoice on empty job row",IF(N323="",IF(ROUND(O323,2)=0,"No dept value","Invoiced - no dept value"),IF(ROUND(O323,2)=0,"Not invoiced - to invoice",IF(ROUND(P323,2)=0,"Agrees",IF(P323&gt;0,"Dept higher - to invoice","Xero higher - check dept"))))))</f>
        <v/>
      </c>
      <c r="R323" s="10">
        <f>IF(AND($C323="",NOT(COUNTA($S323:$BB323)&gt;0),$BI323&lt;&gt;""),"",MID(IF($BI323="","; Row ID not found on the department sheet - a row was deleted","")&amp;IF(AND($C323="",COUNTA($S323:$BB323)&gt;0),"; Invoice entered but the department row has no job number","")&amp;IF(E323="CHECK","; Job number not in the Xero job list","")&amp;IF(AND($C323&lt;&gt;"",COUNTIF($C$7:$C$1506,$C323)&gt;1),"; Job number on more than one row","")&amp;IF(AND($C323&lt;&gt;"",H323=""),"; Dept has not set a cost centre","")&amp;IF(AND($C323&lt;&gt;"",J323=""),"; Dept has not set a tax code","")&amp;IF(AND($C323&lt;&gt;"",N323=""),"; Dept has not entered an expected value","")&amp;IF((IF(OR(COUNTA(S323:U323)=0,AND(COUNTA(S323:U323)=3,ISNUMBER(U323))),0,1)+IF(OR(COUNTA(V323:X323)=0,AND(COUNTA(V323:X323)=3,ISNUMBER(X323))),0,1)+IF(OR(COUNTA(Y323:AA323)=0,AND(COUNTA(Y323:AA323)=3,ISNUMBER(AA323))),0,1)+IF(OR(COUNTA(AB323:AD323)=0,AND(COUNTA(AB323:AD323)=3,ISNUMBER(AD323))),0,1)+IF(OR(COUNTA(AE323:AG323)=0,AND(COUNTA(AE323:AG323)=3,ISNUMBER(AG323))),0,1)+IF(OR(COUNTA(AH323:AJ323)=0,AND(COUNTA(AH323:AJ323)=3,ISNUMBER(AJ323))),0,1)+IF(OR(COUNTA(AK323:AM323)=0,AND(COUNTA(AK323:AM323)=3,ISNUMBER(AM323))),0,1)+IF(OR(COUNTA(AN323:AP323)=0,AND(COUNTA(AN323:AP323)=3,ISNUMBER(AP323))),0,1)+IF(OR(COUNTA(AQ323:AS323)=0,AND(COUNTA(AQ323:AS323)=3,ISNUMBER(AS323))),0,1)+IF(OR(COUNTA(AT323:AV323)=0,AND(COUNTA(AT323:AV323)=3,ISNUMBER(AV323))),0,1)+IF(OR(COUNTA(AW323:AY323)=0,AND(COUNTA(AW323:AY323)=3,ISNUMBER(AY323))),0,1)+IF(OR(COUNTA(AZ323:BB323)=0,AND(COUNTA(AZ323:BB323)=3,ISNUMBER(BB323))),0,1))&gt;0,"; An invoice is incomplete (needs No, Date and a number in Ex GST)","")&amp;IF((IF(T323="",0,IFERROR(--(EOMONTH(T323,0)&lt;&gt;S$5),1))+IF(W323="",0,IFERROR(--(EOMONTH(W323,0)&lt;&gt;V$5),1))+IF(Z323="",0,IFERROR(--(EOMONTH(Z323,0)&lt;&gt;Y$5),1))+IF(AC323="",0,IFERROR(--(EOMONTH(AC323,0)&lt;&gt;AB$5),1))+IF(AF323="",0,IFERROR(--(EOMONTH(AF323,0)&lt;&gt;AE$5),1))+IF(AI323="",0,IFERROR(--(EOMONTH(AI323,0)&lt;&gt;AH$5),1))+IF(AL323="",0,IFERROR(--(EOMONTH(AL323,0)&lt;&gt;AK$5),1))+IF(AO323="",0,IFERROR(--(EOMONTH(AO323,0)&lt;&gt;AN$5),1))+IF(AR323="",0,IFERROR(--(EOMONTH(AR323,0)&lt;&gt;AQ$5),1))+IF(AU323="",0,IFERROR(--(EOMONTH(AU323,0)&lt;&gt;AT$5),1))+IF(AX323="",0,IFERROR(--(EOMONTH(AX323,0)&lt;&gt;AW$5),1))+IF(BA323="",0,IFERROR(--(EOMONTH(BA323,0)&lt;&gt;AZ$5),1)))&gt;0,"; An invoice date is not in the month it is typed under",""),3,500))</f>
        <v/>
      </c>
      <c r="S323" s="12" t="n"/>
      <c r="T323" s="13" t="n"/>
      <c r="U323" s="14" t="n"/>
      <c r="V323" s="12" t="n"/>
      <c r="W323" s="13" t="n"/>
      <c r="X323" s="14" t="n"/>
      <c r="Y323" s="12" t="n"/>
      <c r="Z323" s="13" t="n"/>
      <c r="AA323" s="14" t="n"/>
      <c r="AB323" s="12" t="n"/>
      <c r="AC323" s="13" t="n"/>
      <c r="AD323" s="14" t="n"/>
      <c r="AE323" s="12" t="n"/>
      <c r="AF323" s="13" t="n"/>
      <c r="AG323" s="14" t="n"/>
      <c r="AH323" s="12" t="n"/>
      <c r="AI323" s="13" t="n"/>
      <c r="AJ323" s="14" t="n"/>
      <c r="AK323" s="12" t="n"/>
      <c r="AL323" s="13" t="n"/>
      <c r="AM323" s="14" t="n"/>
      <c r="AN323" s="12" t="n"/>
      <c r="AO323" s="13" t="n"/>
      <c r="AP323" s="14" t="n"/>
      <c r="AQ323" s="12" t="n"/>
      <c r="AR323" s="13" t="n"/>
      <c r="AS323" s="14" t="n"/>
      <c r="AT323" s="12" t="n"/>
      <c r="AU323" s="13" t="n"/>
      <c r="AV323" s="14" t="n"/>
      <c r="AW323" s="12" t="n"/>
      <c r="AX323" s="13" t="n"/>
      <c r="AY323" s="14" t="n"/>
      <c r="AZ323" s="12" t="n"/>
      <c r="BA323" s="13" t="n"/>
      <c r="BB323" s="14" t="n"/>
      <c r="BC323" s="11">
        <f>IF(O323="","",IF(J323="GST 10%",ROUND(O323*set_GSTRate,2),0))</f>
        <v/>
      </c>
      <c r="BD323" s="11">
        <f>IF(O323="","",O323+BC323)</f>
        <v/>
      </c>
      <c r="BE323" s="15">
        <f>IF(O323="","",COUNTA(S323,V323,Y323,AB323,AE323,AH323,AK323,AN323,AQ323,AT323,AW323,AZ323))</f>
        <v/>
      </c>
      <c r="BF323" s="16">
        <f>IF(COUNT(T323,W323,Z323,AC323,AF323,AI323,AL323,AO323,AR323,AU323,AX323,BA323)=0,"",MAX(T323,W323,Z323,AC323,AF323,AI323,AL323,AO323,AR323,AU323,AX323,BA323))</f>
        <v/>
      </c>
      <c r="BG323" s="10">
        <f>MID(IF(S323="","",", "&amp;S323)&amp;IF(V323="","",", "&amp;V323)&amp;IF(Y323="","",", "&amp;Y323)&amp;IF(AB323="","",", "&amp;AB323)&amp;IF(AE323="","",", "&amp;AE323)&amp;IF(AH323="","",", "&amp;AH323)&amp;IF(AK323="","",", "&amp;AK323)&amp;IF(AN323="","",", "&amp;AN323)&amp;IF(AQ323="","",", "&amp;AQ323)&amp;IF(AT323="","",", "&amp;AT323)&amp;IF(AW323="","",", "&amp;AW323)&amp;IF(AZ323="","",", "&amp;AZ323),3,500)</f>
        <v/>
      </c>
      <c r="BH323" s="12" t="n"/>
      <c r="BI323" s="15">
        <f>IFERROR(MATCH($A323,IF($B323="Onsite",tbl_Onsite[Row ID],IF($B323="Production",tbl_Production[Row ID],tbl_Consulting[Row ID])),0),"")</f>
        <v/>
      </c>
    </row>
    <row r="324">
      <c r="A324" s="10" t="inlineStr">
        <is>
          <t>ONS-0318</t>
        </is>
      </c>
      <c r="B324" s="10" t="inlineStr">
        <is>
          <t>Onsite</t>
        </is>
      </c>
      <c r="C324" s="10">
        <f>IF($BI324="","",IF($B324="Onsite",INDEX(tbl_Onsite[Job Number],$BI324),IF($B324="Production",INDEX(tbl_Production[Job Number],$BI324),INDEX(tbl_Consulting[Job Number],$BI324)))&amp;"")</f>
        <v/>
      </c>
      <c r="D324" s="10">
        <f>IF($BI324="","",IF($B324="Onsite",INDEX(tbl_Onsite[Client],$BI324),IF($B324="Production",INDEX(tbl_Production[Client],$BI324),INDEX(tbl_Consulting[Client],$BI324)))&amp;"")</f>
        <v/>
      </c>
      <c r="E324" s="10">
        <f>IF($C324="","",IF(COUNTIF(lst_Jobs,$C324)&gt;0,"OK","CHECK"))</f>
        <v/>
      </c>
      <c r="F324" s="10">
        <f>IF($C324="","",IFERROR(INDEX(lst_JobName,MATCH($C324,lst_Jobs,0)),""))</f>
        <v/>
      </c>
      <c r="G324" s="10">
        <f>IF($BI324="","",IF($B324="Onsite",INDEX(tbl_Onsite[Job Description],$BI324),IF($B324="Production",INDEX(tbl_Production[Job Description],$BI324),INDEX(tbl_Consulting[Job Description],$BI324)))&amp;"")</f>
        <v/>
      </c>
      <c r="H324" s="10">
        <f>IF($BI324="","",IF($B324="Onsite",INDEX(tbl_Onsite[Cost Centre],$BI324),IF($B324="Production",INDEX(tbl_Production[Cost Centre],$BI324),INDEX(tbl_Consulting[Cost Centre],$BI324)))&amp;"")</f>
        <v/>
      </c>
      <c r="I324" s="10">
        <f>IF($BI324="","",IF($B324="Onsite",INDEX(tbl_Onsite[Invoice Type],$BI324),IF($B324="Production",INDEX(tbl_Production[Invoice Type],$BI324),INDEX(tbl_Consulting[Invoice Type],$BI324)))&amp;"")</f>
        <v/>
      </c>
      <c r="J324" s="10">
        <f>IF($BI324="","",IF($B324="Onsite",INDEX(tbl_Onsite[Tax Code],$BI324),IF($B324="Production",INDEX(tbl_Production[Tax Code],$BI324),INDEX(tbl_Consulting[Tax Code],$BI324)))&amp;"")</f>
        <v/>
      </c>
      <c r="K324" s="10">
        <f>IF(H324="","",IFERROR(INDEX(lst_CCtoGL,MATCH(H324,lst_CCforGL,0)),""))</f>
        <v/>
      </c>
      <c r="L324" s="10">
        <f>IF($BI324="","",IF($B324="Onsite",INDEX(tbl_Onsite[PO / Reference],$BI324),IF($B324="Production",INDEX(tbl_Production[Current RMS No],$BI324),INDEX(tbl_Consulting[Qwilr Quote],$BI324)))&amp;"")</f>
        <v/>
      </c>
      <c r="M324" s="10">
        <f>IF($BI324="","",IF($B324="Onsite",INDEX(tbl_Onsite[Notes],$BI324),IF($B324="Production",INDEX(tbl_Production[Notes],$BI324),INDEX(tbl_Consulting[Notes],$BI324)))&amp;"")</f>
        <v/>
      </c>
      <c r="N324" s="11">
        <f>IF($BI324="","",IF(IF($B324="Onsite",INDEX(tbl_Onsite[Expected Revenue Ex GST],$BI324),IF($B324="Production",INDEX(tbl_Production[Expected Revenue Ex GST],$BI324),INDEX(tbl_Consulting[Expected Revenue Ex GST],$BI324)))="","",IF($B324="Onsite",INDEX(tbl_Onsite[Expected Revenue Ex GST],$BI324),IF($B324="Production",INDEX(tbl_Production[Expected Revenue Ex GST],$BI324),INDEX(tbl_Consulting[Expected Revenue Ex GST],$BI324)))))</f>
        <v/>
      </c>
      <c r="O324" s="11">
        <f>IF(AND($C324="",NOT(COUNTA($S324:$BB324)&gt;0)),"",SUM(U324,X324,AA324,AD324,AG324,AJ324,AM324,AP324,AS324,AV324,AY324,BB324))</f>
        <v/>
      </c>
      <c r="P324" s="11">
        <f>IF(O324="","",N(N324)-O324)</f>
        <v/>
      </c>
      <c r="Q324" s="10">
        <f>IF(O324="","",IF($C324="","Invoice on empty job row",IF(N324="",IF(ROUND(O324,2)=0,"No dept value","Invoiced - no dept value"),IF(ROUND(O324,2)=0,"Not invoiced - to invoice",IF(ROUND(P324,2)=0,"Agrees",IF(P324&gt;0,"Dept higher - to invoice","Xero higher - check dept"))))))</f>
        <v/>
      </c>
      <c r="R324" s="10">
        <f>IF(AND($C324="",NOT(COUNTA($S324:$BB324)&gt;0),$BI324&lt;&gt;""),"",MID(IF($BI324="","; Row ID not found on the department sheet - a row was deleted","")&amp;IF(AND($C324="",COUNTA($S324:$BB324)&gt;0),"; Invoice entered but the department row has no job number","")&amp;IF(E324="CHECK","; Job number not in the Xero job list","")&amp;IF(AND($C324&lt;&gt;"",COUNTIF($C$7:$C$1506,$C324)&gt;1),"; Job number on more than one row","")&amp;IF(AND($C324&lt;&gt;"",H324=""),"; Dept has not set a cost centre","")&amp;IF(AND($C324&lt;&gt;"",J324=""),"; Dept has not set a tax code","")&amp;IF(AND($C324&lt;&gt;"",N324=""),"; Dept has not entered an expected value","")&amp;IF((IF(OR(COUNTA(S324:U324)=0,AND(COUNTA(S324:U324)=3,ISNUMBER(U324))),0,1)+IF(OR(COUNTA(V324:X324)=0,AND(COUNTA(V324:X324)=3,ISNUMBER(X324))),0,1)+IF(OR(COUNTA(Y324:AA324)=0,AND(COUNTA(Y324:AA324)=3,ISNUMBER(AA324))),0,1)+IF(OR(COUNTA(AB324:AD324)=0,AND(COUNTA(AB324:AD324)=3,ISNUMBER(AD324))),0,1)+IF(OR(COUNTA(AE324:AG324)=0,AND(COUNTA(AE324:AG324)=3,ISNUMBER(AG324))),0,1)+IF(OR(COUNTA(AH324:AJ324)=0,AND(COUNTA(AH324:AJ324)=3,ISNUMBER(AJ324))),0,1)+IF(OR(COUNTA(AK324:AM324)=0,AND(COUNTA(AK324:AM324)=3,ISNUMBER(AM324))),0,1)+IF(OR(COUNTA(AN324:AP324)=0,AND(COUNTA(AN324:AP324)=3,ISNUMBER(AP324))),0,1)+IF(OR(COUNTA(AQ324:AS324)=0,AND(COUNTA(AQ324:AS324)=3,ISNUMBER(AS324))),0,1)+IF(OR(COUNTA(AT324:AV324)=0,AND(COUNTA(AT324:AV324)=3,ISNUMBER(AV324))),0,1)+IF(OR(COUNTA(AW324:AY324)=0,AND(COUNTA(AW324:AY324)=3,ISNUMBER(AY324))),0,1)+IF(OR(COUNTA(AZ324:BB324)=0,AND(COUNTA(AZ324:BB324)=3,ISNUMBER(BB324))),0,1))&gt;0,"; An invoice is incomplete (needs No, Date and a number in Ex GST)","")&amp;IF((IF(T324="",0,IFERROR(--(EOMONTH(T324,0)&lt;&gt;S$5),1))+IF(W324="",0,IFERROR(--(EOMONTH(W324,0)&lt;&gt;V$5),1))+IF(Z324="",0,IFERROR(--(EOMONTH(Z324,0)&lt;&gt;Y$5),1))+IF(AC324="",0,IFERROR(--(EOMONTH(AC324,0)&lt;&gt;AB$5),1))+IF(AF324="",0,IFERROR(--(EOMONTH(AF324,0)&lt;&gt;AE$5),1))+IF(AI324="",0,IFERROR(--(EOMONTH(AI324,0)&lt;&gt;AH$5),1))+IF(AL324="",0,IFERROR(--(EOMONTH(AL324,0)&lt;&gt;AK$5),1))+IF(AO324="",0,IFERROR(--(EOMONTH(AO324,0)&lt;&gt;AN$5),1))+IF(AR324="",0,IFERROR(--(EOMONTH(AR324,0)&lt;&gt;AQ$5),1))+IF(AU324="",0,IFERROR(--(EOMONTH(AU324,0)&lt;&gt;AT$5),1))+IF(AX324="",0,IFERROR(--(EOMONTH(AX324,0)&lt;&gt;AW$5),1))+IF(BA324="",0,IFERROR(--(EOMONTH(BA324,0)&lt;&gt;AZ$5),1)))&gt;0,"; An invoice date is not in the month it is typed under",""),3,500))</f>
        <v/>
      </c>
      <c r="S324" s="12" t="n"/>
      <c r="T324" s="13" t="n"/>
      <c r="U324" s="14" t="n"/>
      <c r="V324" s="12" t="n"/>
      <c r="W324" s="13" t="n"/>
      <c r="X324" s="14" t="n"/>
      <c r="Y324" s="12" t="n"/>
      <c r="Z324" s="13" t="n"/>
      <c r="AA324" s="14" t="n"/>
      <c r="AB324" s="12" t="n"/>
      <c r="AC324" s="13" t="n"/>
      <c r="AD324" s="14" t="n"/>
      <c r="AE324" s="12" t="n"/>
      <c r="AF324" s="13" t="n"/>
      <c r="AG324" s="14" t="n"/>
      <c r="AH324" s="12" t="n"/>
      <c r="AI324" s="13" t="n"/>
      <c r="AJ324" s="14" t="n"/>
      <c r="AK324" s="12" t="n"/>
      <c r="AL324" s="13" t="n"/>
      <c r="AM324" s="14" t="n"/>
      <c r="AN324" s="12" t="n"/>
      <c r="AO324" s="13" t="n"/>
      <c r="AP324" s="14" t="n"/>
      <c r="AQ324" s="12" t="n"/>
      <c r="AR324" s="13" t="n"/>
      <c r="AS324" s="14" t="n"/>
      <c r="AT324" s="12" t="n"/>
      <c r="AU324" s="13" t="n"/>
      <c r="AV324" s="14" t="n"/>
      <c r="AW324" s="12" t="n"/>
      <c r="AX324" s="13" t="n"/>
      <c r="AY324" s="14" t="n"/>
      <c r="AZ324" s="12" t="n"/>
      <c r="BA324" s="13" t="n"/>
      <c r="BB324" s="14" t="n"/>
      <c r="BC324" s="11">
        <f>IF(O324="","",IF(J324="GST 10%",ROUND(O324*set_GSTRate,2),0))</f>
        <v/>
      </c>
      <c r="BD324" s="11">
        <f>IF(O324="","",O324+BC324)</f>
        <v/>
      </c>
      <c r="BE324" s="15">
        <f>IF(O324="","",COUNTA(S324,V324,Y324,AB324,AE324,AH324,AK324,AN324,AQ324,AT324,AW324,AZ324))</f>
        <v/>
      </c>
      <c r="BF324" s="16">
        <f>IF(COUNT(T324,W324,Z324,AC324,AF324,AI324,AL324,AO324,AR324,AU324,AX324,BA324)=0,"",MAX(T324,W324,Z324,AC324,AF324,AI324,AL324,AO324,AR324,AU324,AX324,BA324))</f>
        <v/>
      </c>
      <c r="BG324" s="10">
        <f>MID(IF(S324="","",", "&amp;S324)&amp;IF(V324="","",", "&amp;V324)&amp;IF(Y324="","",", "&amp;Y324)&amp;IF(AB324="","",", "&amp;AB324)&amp;IF(AE324="","",", "&amp;AE324)&amp;IF(AH324="","",", "&amp;AH324)&amp;IF(AK324="","",", "&amp;AK324)&amp;IF(AN324="","",", "&amp;AN324)&amp;IF(AQ324="","",", "&amp;AQ324)&amp;IF(AT324="","",", "&amp;AT324)&amp;IF(AW324="","",", "&amp;AW324)&amp;IF(AZ324="","",", "&amp;AZ324),3,500)</f>
        <v/>
      </c>
      <c r="BH324" s="12" t="n"/>
      <c r="BI324" s="15">
        <f>IFERROR(MATCH($A324,IF($B324="Onsite",tbl_Onsite[Row ID],IF($B324="Production",tbl_Production[Row ID],tbl_Consulting[Row ID])),0),"")</f>
        <v/>
      </c>
    </row>
    <row r="325">
      <c r="A325" s="10" t="inlineStr">
        <is>
          <t>ONS-0319</t>
        </is>
      </c>
      <c r="B325" s="10" t="inlineStr">
        <is>
          <t>Onsite</t>
        </is>
      </c>
      <c r="C325" s="10">
        <f>IF($BI325="","",IF($B325="Onsite",INDEX(tbl_Onsite[Job Number],$BI325),IF($B325="Production",INDEX(tbl_Production[Job Number],$BI325),INDEX(tbl_Consulting[Job Number],$BI325)))&amp;"")</f>
        <v/>
      </c>
      <c r="D325" s="10">
        <f>IF($BI325="","",IF($B325="Onsite",INDEX(tbl_Onsite[Client],$BI325),IF($B325="Production",INDEX(tbl_Production[Client],$BI325),INDEX(tbl_Consulting[Client],$BI325)))&amp;"")</f>
        <v/>
      </c>
      <c r="E325" s="10">
        <f>IF($C325="","",IF(COUNTIF(lst_Jobs,$C325)&gt;0,"OK","CHECK"))</f>
        <v/>
      </c>
      <c r="F325" s="10">
        <f>IF($C325="","",IFERROR(INDEX(lst_JobName,MATCH($C325,lst_Jobs,0)),""))</f>
        <v/>
      </c>
      <c r="G325" s="10">
        <f>IF($BI325="","",IF($B325="Onsite",INDEX(tbl_Onsite[Job Description],$BI325),IF($B325="Production",INDEX(tbl_Production[Job Description],$BI325),INDEX(tbl_Consulting[Job Description],$BI325)))&amp;"")</f>
        <v/>
      </c>
      <c r="H325" s="10">
        <f>IF($BI325="","",IF($B325="Onsite",INDEX(tbl_Onsite[Cost Centre],$BI325),IF($B325="Production",INDEX(tbl_Production[Cost Centre],$BI325),INDEX(tbl_Consulting[Cost Centre],$BI325)))&amp;"")</f>
        <v/>
      </c>
      <c r="I325" s="10">
        <f>IF($BI325="","",IF($B325="Onsite",INDEX(tbl_Onsite[Invoice Type],$BI325),IF($B325="Production",INDEX(tbl_Production[Invoice Type],$BI325),INDEX(tbl_Consulting[Invoice Type],$BI325)))&amp;"")</f>
        <v/>
      </c>
      <c r="J325" s="10">
        <f>IF($BI325="","",IF($B325="Onsite",INDEX(tbl_Onsite[Tax Code],$BI325),IF($B325="Production",INDEX(tbl_Production[Tax Code],$BI325),INDEX(tbl_Consulting[Tax Code],$BI325)))&amp;"")</f>
        <v/>
      </c>
      <c r="K325" s="10">
        <f>IF(H325="","",IFERROR(INDEX(lst_CCtoGL,MATCH(H325,lst_CCforGL,0)),""))</f>
        <v/>
      </c>
      <c r="L325" s="10">
        <f>IF($BI325="","",IF($B325="Onsite",INDEX(tbl_Onsite[PO / Reference],$BI325),IF($B325="Production",INDEX(tbl_Production[Current RMS No],$BI325),INDEX(tbl_Consulting[Qwilr Quote],$BI325)))&amp;"")</f>
        <v/>
      </c>
      <c r="M325" s="10">
        <f>IF($BI325="","",IF($B325="Onsite",INDEX(tbl_Onsite[Notes],$BI325),IF($B325="Production",INDEX(tbl_Production[Notes],$BI325),INDEX(tbl_Consulting[Notes],$BI325)))&amp;"")</f>
        <v/>
      </c>
      <c r="N325" s="11">
        <f>IF($BI325="","",IF(IF($B325="Onsite",INDEX(tbl_Onsite[Expected Revenue Ex GST],$BI325),IF($B325="Production",INDEX(tbl_Production[Expected Revenue Ex GST],$BI325),INDEX(tbl_Consulting[Expected Revenue Ex GST],$BI325)))="","",IF($B325="Onsite",INDEX(tbl_Onsite[Expected Revenue Ex GST],$BI325),IF($B325="Production",INDEX(tbl_Production[Expected Revenue Ex GST],$BI325),INDEX(tbl_Consulting[Expected Revenue Ex GST],$BI325)))))</f>
        <v/>
      </c>
      <c r="O325" s="11">
        <f>IF(AND($C325="",NOT(COUNTA($S325:$BB325)&gt;0)),"",SUM(U325,X325,AA325,AD325,AG325,AJ325,AM325,AP325,AS325,AV325,AY325,BB325))</f>
        <v/>
      </c>
      <c r="P325" s="11">
        <f>IF(O325="","",N(N325)-O325)</f>
        <v/>
      </c>
      <c r="Q325" s="10">
        <f>IF(O325="","",IF($C325="","Invoice on empty job row",IF(N325="",IF(ROUND(O325,2)=0,"No dept value","Invoiced - no dept value"),IF(ROUND(O325,2)=0,"Not invoiced - to invoice",IF(ROUND(P325,2)=0,"Agrees",IF(P325&gt;0,"Dept higher - to invoice","Xero higher - check dept"))))))</f>
        <v/>
      </c>
      <c r="R325" s="10">
        <f>IF(AND($C325="",NOT(COUNTA($S325:$BB325)&gt;0),$BI325&lt;&gt;""),"",MID(IF($BI325="","; Row ID not found on the department sheet - a row was deleted","")&amp;IF(AND($C325="",COUNTA($S325:$BB325)&gt;0),"; Invoice entered but the department row has no job number","")&amp;IF(E325="CHECK","; Job number not in the Xero job list","")&amp;IF(AND($C325&lt;&gt;"",COUNTIF($C$7:$C$1506,$C325)&gt;1),"; Job number on more than one row","")&amp;IF(AND($C325&lt;&gt;"",H325=""),"; Dept has not set a cost centre","")&amp;IF(AND($C325&lt;&gt;"",J325=""),"; Dept has not set a tax code","")&amp;IF(AND($C325&lt;&gt;"",N325=""),"; Dept has not entered an expected value","")&amp;IF((IF(OR(COUNTA(S325:U325)=0,AND(COUNTA(S325:U325)=3,ISNUMBER(U325))),0,1)+IF(OR(COUNTA(V325:X325)=0,AND(COUNTA(V325:X325)=3,ISNUMBER(X325))),0,1)+IF(OR(COUNTA(Y325:AA325)=0,AND(COUNTA(Y325:AA325)=3,ISNUMBER(AA325))),0,1)+IF(OR(COUNTA(AB325:AD325)=0,AND(COUNTA(AB325:AD325)=3,ISNUMBER(AD325))),0,1)+IF(OR(COUNTA(AE325:AG325)=0,AND(COUNTA(AE325:AG325)=3,ISNUMBER(AG325))),0,1)+IF(OR(COUNTA(AH325:AJ325)=0,AND(COUNTA(AH325:AJ325)=3,ISNUMBER(AJ325))),0,1)+IF(OR(COUNTA(AK325:AM325)=0,AND(COUNTA(AK325:AM325)=3,ISNUMBER(AM325))),0,1)+IF(OR(COUNTA(AN325:AP325)=0,AND(COUNTA(AN325:AP325)=3,ISNUMBER(AP325))),0,1)+IF(OR(COUNTA(AQ325:AS325)=0,AND(COUNTA(AQ325:AS325)=3,ISNUMBER(AS325))),0,1)+IF(OR(COUNTA(AT325:AV325)=0,AND(COUNTA(AT325:AV325)=3,ISNUMBER(AV325))),0,1)+IF(OR(COUNTA(AW325:AY325)=0,AND(COUNTA(AW325:AY325)=3,ISNUMBER(AY325))),0,1)+IF(OR(COUNTA(AZ325:BB325)=0,AND(COUNTA(AZ325:BB325)=3,ISNUMBER(BB325))),0,1))&gt;0,"; An invoice is incomplete (needs No, Date and a number in Ex GST)","")&amp;IF((IF(T325="",0,IFERROR(--(EOMONTH(T325,0)&lt;&gt;S$5),1))+IF(W325="",0,IFERROR(--(EOMONTH(W325,0)&lt;&gt;V$5),1))+IF(Z325="",0,IFERROR(--(EOMONTH(Z325,0)&lt;&gt;Y$5),1))+IF(AC325="",0,IFERROR(--(EOMONTH(AC325,0)&lt;&gt;AB$5),1))+IF(AF325="",0,IFERROR(--(EOMONTH(AF325,0)&lt;&gt;AE$5),1))+IF(AI325="",0,IFERROR(--(EOMONTH(AI325,0)&lt;&gt;AH$5),1))+IF(AL325="",0,IFERROR(--(EOMONTH(AL325,0)&lt;&gt;AK$5),1))+IF(AO325="",0,IFERROR(--(EOMONTH(AO325,0)&lt;&gt;AN$5),1))+IF(AR325="",0,IFERROR(--(EOMONTH(AR325,0)&lt;&gt;AQ$5),1))+IF(AU325="",0,IFERROR(--(EOMONTH(AU325,0)&lt;&gt;AT$5),1))+IF(AX325="",0,IFERROR(--(EOMONTH(AX325,0)&lt;&gt;AW$5),1))+IF(BA325="",0,IFERROR(--(EOMONTH(BA325,0)&lt;&gt;AZ$5),1)))&gt;0,"; An invoice date is not in the month it is typed under",""),3,500))</f>
        <v/>
      </c>
      <c r="S325" s="12" t="n"/>
      <c r="T325" s="13" t="n"/>
      <c r="U325" s="14" t="n"/>
      <c r="V325" s="12" t="n"/>
      <c r="W325" s="13" t="n"/>
      <c r="X325" s="14" t="n"/>
      <c r="Y325" s="12" t="n"/>
      <c r="Z325" s="13" t="n"/>
      <c r="AA325" s="14" t="n"/>
      <c r="AB325" s="12" t="n"/>
      <c r="AC325" s="13" t="n"/>
      <c r="AD325" s="14" t="n"/>
      <c r="AE325" s="12" t="n"/>
      <c r="AF325" s="13" t="n"/>
      <c r="AG325" s="14" t="n"/>
      <c r="AH325" s="12" t="n"/>
      <c r="AI325" s="13" t="n"/>
      <c r="AJ325" s="14" t="n"/>
      <c r="AK325" s="12" t="n"/>
      <c r="AL325" s="13" t="n"/>
      <c r="AM325" s="14" t="n"/>
      <c r="AN325" s="12" t="n"/>
      <c r="AO325" s="13" t="n"/>
      <c r="AP325" s="14" t="n"/>
      <c r="AQ325" s="12" t="n"/>
      <c r="AR325" s="13" t="n"/>
      <c r="AS325" s="14" t="n"/>
      <c r="AT325" s="12" t="n"/>
      <c r="AU325" s="13" t="n"/>
      <c r="AV325" s="14" t="n"/>
      <c r="AW325" s="12" t="n"/>
      <c r="AX325" s="13" t="n"/>
      <c r="AY325" s="14" t="n"/>
      <c r="AZ325" s="12" t="n"/>
      <c r="BA325" s="13" t="n"/>
      <c r="BB325" s="14" t="n"/>
      <c r="BC325" s="11">
        <f>IF(O325="","",IF(J325="GST 10%",ROUND(O325*set_GSTRate,2),0))</f>
        <v/>
      </c>
      <c r="BD325" s="11">
        <f>IF(O325="","",O325+BC325)</f>
        <v/>
      </c>
      <c r="BE325" s="15">
        <f>IF(O325="","",COUNTA(S325,V325,Y325,AB325,AE325,AH325,AK325,AN325,AQ325,AT325,AW325,AZ325))</f>
        <v/>
      </c>
      <c r="BF325" s="16">
        <f>IF(COUNT(T325,W325,Z325,AC325,AF325,AI325,AL325,AO325,AR325,AU325,AX325,BA325)=0,"",MAX(T325,W325,Z325,AC325,AF325,AI325,AL325,AO325,AR325,AU325,AX325,BA325))</f>
        <v/>
      </c>
      <c r="BG325" s="10">
        <f>MID(IF(S325="","",", "&amp;S325)&amp;IF(V325="","",", "&amp;V325)&amp;IF(Y325="","",", "&amp;Y325)&amp;IF(AB325="","",", "&amp;AB325)&amp;IF(AE325="","",", "&amp;AE325)&amp;IF(AH325="","",", "&amp;AH325)&amp;IF(AK325="","",", "&amp;AK325)&amp;IF(AN325="","",", "&amp;AN325)&amp;IF(AQ325="","",", "&amp;AQ325)&amp;IF(AT325="","",", "&amp;AT325)&amp;IF(AW325="","",", "&amp;AW325)&amp;IF(AZ325="","",", "&amp;AZ325),3,500)</f>
        <v/>
      </c>
      <c r="BH325" s="12" t="n"/>
      <c r="BI325" s="15">
        <f>IFERROR(MATCH($A325,IF($B325="Onsite",tbl_Onsite[Row ID],IF($B325="Production",tbl_Production[Row ID],tbl_Consulting[Row ID])),0),"")</f>
        <v/>
      </c>
    </row>
    <row r="326">
      <c r="A326" s="10" t="inlineStr">
        <is>
          <t>ONS-0320</t>
        </is>
      </c>
      <c r="B326" s="10" t="inlineStr">
        <is>
          <t>Onsite</t>
        </is>
      </c>
      <c r="C326" s="10">
        <f>IF($BI326="","",IF($B326="Onsite",INDEX(tbl_Onsite[Job Number],$BI326),IF($B326="Production",INDEX(tbl_Production[Job Number],$BI326),INDEX(tbl_Consulting[Job Number],$BI326)))&amp;"")</f>
        <v/>
      </c>
      <c r="D326" s="10">
        <f>IF($BI326="","",IF($B326="Onsite",INDEX(tbl_Onsite[Client],$BI326),IF($B326="Production",INDEX(tbl_Production[Client],$BI326),INDEX(tbl_Consulting[Client],$BI326)))&amp;"")</f>
        <v/>
      </c>
      <c r="E326" s="10">
        <f>IF($C326="","",IF(COUNTIF(lst_Jobs,$C326)&gt;0,"OK","CHECK"))</f>
        <v/>
      </c>
      <c r="F326" s="10">
        <f>IF($C326="","",IFERROR(INDEX(lst_JobName,MATCH($C326,lst_Jobs,0)),""))</f>
        <v/>
      </c>
      <c r="G326" s="10">
        <f>IF($BI326="","",IF($B326="Onsite",INDEX(tbl_Onsite[Job Description],$BI326),IF($B326="Production",INDEX(tbl_Production[Job Description],$BI326),INDEX(tbl_Consulting[Job Description],$BI326)))&amp;"")</f>
        <v/>
      </c>
      <c r="H326" s="10">
        <f>IF($BI326="","",IF($B326="Onsite",INDEX(tbl_Onsite[Cost Centre],$BI326),IF($B326="Production",INDEX(tbl_Production[Cost Centre],$BI326),INDEX(tbl_Consulting[Cost Centre],$BI326)))&amp;"")</f>
        <v/>
      </c>
      <c r="I326" s="10">
        <f>IF($BI326="","",IF($B326="Onsite",INDEX(tbl_Onsite[Invoice Type],$BI326),IF($B326="Production",INDEX(tbl_Production[Invoice Type],$BI326),INDEX(tbl_Consulting[Invoice Type],$BI326)))&amp;"")</f>
        <v/>
      </c>
      <c r="J326" s="10">
        <f>IF($BI326="","",IF($B326="Onsite",INDEX(tbl_Onsite[Tax Code],$BI326),IF($B326="Production",INDEX(tbl_Production[Tax Code],$BI326),INDEX(tbl_Consulting[Tax Code],$BI326)))&amp;"")</f>
        <v/>
      </c>
      <c r="K326" s="10">
        <f>IF(H326="","",IFERROR(INDEX(lst_CCtoGL,MATCH(H326,lst_CCforGL,0)),""))</f>
        <v/>
      </c>
      <c r="L326" s="10">
        <f>IF($BI326="","",IF($B326="Onsite",INDEX(tbl_Onsite[PO / Reference],$BI326),IF($B326="Production",INDEX(tbl_Production[Current RMS No],$BI326),INDEX(tbl_Consulting[Qwilr Quote],$BI326)))&amp;"")</f>
        <v/>
      </c>
      <c r="M326" s="10">
        <f>IF($BI326="","",IF($B326="Onsite",INDEX(tbl_Onsite[Notes],$BI326),IF($B326="Production",INDEX(tbl_Production[Notes],$BI326),INDEX(tbl_Consulting[Notes],$BI326)))&amp;"")</f>
        <v/>
      </c>
      <c r="N326" s="11">
        <f>IF($BI326="","",IF(IF($B326="Onsite",INDEX(tbl_Onsite[Expected Revenue Ex GST],$BI326),IF($B326="Production",INDEX(tbl_Production[Expected Revenue Ex GST],$BI326),INDEX(tbl_Consulting[Expected Revenue Ex GST],$BI326)))="","",IF($B326="Onsite",INDEX(tbl_Onsite[Expected Revenue Ex GST],$BI326),IF($B326="Production",INDEX(tbl_Production[Expected Revenue Ex GST],$BI326),INDEX(tbl_Consulting[Expected Revenue Ex GST],$BI326)))))</f>
        <v/>
      </c>
      <c r="O326" s="11">
        <f>IF(AND($C326="",NOT(COUNTA($S326:$BB326)&gt;0)),"",SUM(U326,X326,AA326,AD326,AG326,AJ326,AM326,AP326,AS326,AV326,AY326,BB326))</f>
        <v/>
      </c>
      <c r="P326" s="11">
        <f>IF(O326="","",N(N326)-O326)</f>
        <v/>
      </c>
      <c r="Q326" s="10">
        <f>IF(O326="","",IF($C326="","Invoice on empty job row",IF(N326="",IF(ROUND(O326,2)=0,"No dept value","Invoiced - no dept value"),IF(ROUND(O326,2)=0,"Not invoiced - to invoice",IF(ROUND(P326,2)=0,"Agrees",IF(P326&gt;0,"Dept higher - to invoice","Xero higher - check dept"))))))</f>
        <v/>
      </c>
      <c r="R326" s="10">
        <f>IF(AND($C326="",NOT(COUNTA($S326:$BB326)&gt;0),$BI326&lt;&gt;""),"",MID(IF($BI326="","; Row ID not found on the department sheet - a row was deleted","")&amp;IF(AND($C326="",COUNTA($S326:$BB326)&gt;0),"; Invoice entered but the department row has no job number","")&amp;IF(E326="CHECK","; Job number not in the Xero job list","")&amp;IF(AND($C326&lt;&gt;"",COUNTIF($C$7:$C$1506,$C326)&gt;1),"; Job number on more than one row","")&amp;IF(AND($C326&lt;&gt;"",H326=""),"; Dept has not set a cost centre","")&amp;IF(AND($C326&lt;&gt;"",J326=""),"; Dept has not set a tax code","")&amp;IF(AND($C326&lt;&gt;"",N326=""),"; Dept has not entered an expected value","")&amp;IF((IF(OR(COUNTA(S326:U326)=0,AND(COUNTA(S326:U326)=3,ISNUMBER(U326))),0,1)+IF(OR(COUNTA(V326:X326)=0,AND(COUNTA(V326:X326)=3,ISNUMBER(X326))),0,1)+IF(OR(COUNTA(Y326:AA326)=0,AND(COUNTA(Y326:AA326)=3,ISNUMBER(AA326))),0,1)+IF(OR(COUNTA(AB326:AD326)=0,AND(COUNTA(AB326:AD326)=3,ISNUMBER(AD326))),0,1)+IF(OR(COUNTA(AE326:AG326)=0,AND(COUNTA(AE326:AG326)=3,ISNUMBER(AG326))),0,1)+IF(OR(COUNTA(AH326:AJ326)=0,AND(COUNTA(AH326:AJ326)=3,ISNUMBER(AJ326))),0,1)+IF(OR(COUNTA(AK326:AM326)=0,AND(COUNTA(AK326:AM326)=3,ISNUMBER(AM326))),0,1)+IF(OR(COUNTA(AN326:AP326)=0,AND(COUNTA(AN326:AP326)=3,ISNUMBER(AP326))),0,1)+IF(OR(COUNTA(AQ326:AS326)=0,AND(COUNTA(AQ326:AS326)=3,ISNUMBER(AS326))),0,1)+IF(OR(COUNTA(AT326:AV326)=0,AND(COUNTA(AT326:AV326)=3,ISNUMBER(AV326))),0,1)+IF(OR(COUNTA(AW326:AY326)=0,AND(COUNTA(AW326:AY326)=3,ISNUMBER(AY326))),0,1)+IF(OR(COUNTA(AZ326:BB326)=0,AND(COUNTA(AZ326:BB326)=3,ISNUMBER(BB326))),0,1))&gt;0,"; An invoice is incomplete (needs No, Date and a number in Ex GST)","")&amp;IF((IF(T326="",0,IFERROR(--(EOMONTH(T326,0)&lt;&gt;S$5),1))+IF(W326="",0,IFERROR(--(EOMONTH(W326,0)&lt;&gt;V$5),1))+IF(Z326="",0,IFERROR(--(EOMONTH(Z326,0)&lt;&gt;Y$5),1))+IF(AC326="",0,IFERROR(--(EOMONTH(AC326,0)&lt;&gt;AB$5),1))+IF(AF326="",0,IFERROR(--(EOMONTH(AF326,0)&lt;&gt;AE$5),1))+IF(AI326="",0,IFERROR(--(EOMONTH(AI326,0)&lt;&gt;AH$5),1))+IF(AL326="",0,IFERROR(--(EOMONTH(AL326,0)&lt;&gt;AK$5),1))+IF(AO326="",0,IFERROR(--(EOMONTH(AO326,0)&lt;&gt;AN$5),1))+IF(AR326="",0,IFERROR(--(EOMONTH(AR326,0)&lt;&gt;AQ$5),1))+IF(AU326="",0,IFERROR(--(EOMONTH(AU326,0)&lt;&gt;AT$5),1))+IF(AX326="",0,IFERROR(--(EOMONTH(AX326,0)&lt;&gt;AW$5),1))+IF(BA326="",0,IFERROR(--(EOMONTH(BA326,0)&lt;&gt;AZ$5),1)))&gt;0,"; An invoice date is not in the month it is typed under",""),3,500))</f>
        <v/>
      </c>
      <c r="S326" s="12" t="n"/>
      <c r="T326" s="13" t="n"/>
      <c r="U326" s="14" t="n"/>
      <c r="V326" s="12" t="n"/>
      <c r="W326" s="13" t="n"/>
      <c r="X326" s="14" t="n"/>
      <c r="Y326" s="12" t="n"/>
      <c r="Z326" s="13" t="n"/>
      <c r="AA326" s="14" t="n"/>
      <c r="AB326" s="12" t="n"/>
      <c r="AC326" s="13" t="n"/>
      <c r="AD326" s="14" t="n"/>
      <c r="AE326" s="12" t="n"/>
      <c r="AF326" s="13" t="n"/>
      <c r="AG326" s="14" t="n"/>
      <c r="AH326" s="12" t="n"/>
      <c r="AI326" s="13" t="n"/>
      <c r="AJ326" s="14" t="n"/>
      <c r="AK326" s="12" t="n"/>
      <c r="AL326" s="13" t="n"/>
      <c r="AM326" s="14" t="n"/>
      <c r="AN326" s="12" t="n"/>
      <c r="AO326" s="13" t="n"/>
      <c r="AP326" s="14" t="n"/>
      <c r="AQ326" s="12" t="n"/>
      <c r="AR326" s="13" t="n"/>
      <c r="AS326" s="14" t="n"/>
      <c r="AT326" s="12" t="n"/>
      <c r="AU326" s="13" t="n"/>
      <c r="AV326" s="14" t="n"/>
      <c r="AW326" s="12" t="n"/>
      <c r="AX326" s="13" t="n"/>
      <c r="AY326" s="14" t="n"/>
      <c r="AZ326" s="12" t="n"/>
      <c r="BA326" s="13" t="n"/>
      <c r="BB326" s="14" t="n"/>
      <c r="BC326" s="11">
        <f>IF(O326="","",IF(J326="GST 10%",ROUND(O326*set_GSTRate,2),0))</f>
        <v/>
      </c>
      <c r="BD326" s="11">
        <f>IF(O326="","",O326+BC326)</f>
        <v/>
      </c>
      <c r="BE326" s="15">
        <f>IF(O326="","",COUNTA(S326,V326,Y326,AB326,AE326,AH326,AK326,AN326,AQ326,AT326,AW326,AZ326))</f>
        <v/>
      </c>
      <c r="BF326" s="16">
        <f>IF(COUNT(T326,W326,Z326,AC326,AF326,AI326,AL326,AO326,AR326,AU326,AX326,BA326)=0,"",MAX(T326,W326,Z326,AC326,AF326,AI326,AL326,AO326,AR326,AU326,AX326,BA326))</f>
        <v/>
      </c>
      <c r="BG326" s="10">
        <f>MID(IF(S326="","",", "&amp;S326)&amp;IF(V326="","",", "&amp;V326)&amp;IF(Y326="","",", "&amp;Y326)&amp;IF(AB326="","",", "&amp;AB326)&amp;IF(AE326="","",", "&amp;AE326)&amp;IF(AH326="","",", "&amp;AH326)&amp;IF(AK326="","",", "&amp;AK326)&amp;IF(AN326="","",", "&amp;AN326)&amp;IF(AQ326="","",", "&amp;AQ326)&amp;IF(AT326="","",", "&amp;AT326)&amp;IF(AW326="","",", "&amp;AW326)&amp;IF(AZ326="","",", "&amp;AZ326),3,500)</f>
        <v/>
      </c>
      <c r="BH326" s="12" t="n"/>
      <c r="BI326" s="15">
        <f>IFERROR(MATCH($A326,IF($B326="Onsite",tbl_Onsite[Row ID],IF($B326="Production",tbl_Production[Row ID],tbl_Consulting[Row ID])),0),"")</f>
        <v/>
      </c>
    </row>
    <row r="327">
      <c r="A327" s="10" t="inlineStr">
        <is>
          <t>ONS-0321</t>
        </is>
      </c>
      <c r="B327" s="10" t="inlineStr">
        <is>
          <t>Onsite</t>
        </is>
      </c>
      <c r="C327" s="10">
        <f>IF($BI327="","",IF($B327="Onsite",INDEX(tbl_Onsite[Job Number],$BI327),IF($B327="Production",INDEX(tbl_Production[Job Number],$BI327),INDEX(tbl_Consulting[Job Number],$BI327)))&amp;"")</f>
        <v/>
      </c>
      <c r="D327" s="10">
        <f>IF($BI327="","",IF($B327="Onsite",INDEX(tbl_Onsite[Client],$BI327),IF($B327="Production",INDEX(tbl_Production[Client],$BI327),INDEX(tbl_Consulting[Client],$BI327)))&amp;"")</f>
        <v/>
      </c>
      <c r="E327" s="10">
        <f>IF($C327="","",IF(COUNTIF(lst_Jobs,$C327)&gt;0,"OK","CHECK"))</f>
        <v/>
      </c>
      <c r="F327" s="10">
        <f>IF($C327="","",IFERROR(INDEX(lst_JobName,MATCH($C327,lst_Jobs,0)),""))</f>
        <v/>
      </c>
      <c r="G327" s="10">
        <f>IF($BI327="","",IF($B327="Onsite",INDEX(tbl_Onsite[Job Description],$BI327),IF($B327="Production",INDEX(tbl_Production[Job Description],$BI327),INDEX(tbl_Consulting[Job Description],$BI327)))&amp;"")</f>
        <v/>
      </c>
      <c r="H327" s="10">
        <f>IF($BI327="","",IF($B327="Onsite",INDEX(tbl_Onsite[Cost Centre],$BI327),IF($B327="Production",INDEX(tbl_Production[Cost Centre],$BI327),INDEX(tbl_Consulting[Cost Centre],$BI327)))&amp;"")</f>
        <v/>
      </c>
      <c r="I327" s="10">
        <f>IF($BI327="","",IF($B327="Onsite",INDEX(tbl_Onsite[Invoice Type],$BI327),IF($B327="Production",INDEX(tbl_Production[Invoice Type],$BI327),INDEX(tbl_Consulting[Invoice Type],$BI327)))&amp;"")</f>
        <v/>
      </c>
      <c r="J327" s="10">
        <f>IF($BI327="","",IF($B327="Onsite",INDEX(tbl_Onsite[Tax Code],$BI327),IF($B327="Production",INDEX(tbl_Production[Tax Code],$BI327),INDEX(tbl_Consulting[Tax Code],$BI327)))&amp;"")</f>
        <v/>
      </c>
      <c r="K327" s="10">
        <f>IF(H327="","",IFERROR(INDEX(lst_CCtoGL,MATCH(H327,lst_CCforGL,0)),""))</f>
        <v/>
      </c>
      <c r="L327" s="10">
        <f>IF($BI327="","",IF($B327="Onsite",INDEX(tbl_Onsite[PO / Reference],$BI327),IF($B327="Production",INDEX(tbl_Production[Current RMS No],$BI327),INDEX(tbl_Consulting[Qwilr Quote],$BI327)))&amp;"")</f>
        <v/>
      </c>
      <c r="M327" s="10">
        <f>IF($BI327="","",IF($B327="Onsite",INDEX(tbl_Onsite[Notes],$BI327),IF($B327="Production",INDEX(tbl_Production[Notes],$BI327),INDEX(tbl_Consulting[Notes],$BI327)))&amp;"")</f>
        <v/>
      </c>
      <c r="N327" s="11">
        <f>IF($BI327="","",IF(IF($B327="Onsite",INDEX(tbl_Onsite[Expected Revenue Ex GST],$BI327),IF($B327="Production",INDEX(tbl_Production[Expected Revenue Ex GST],$BI327),INDEX(tbl_Consulting[Expected Revenue Ex GST],$BI327)))="","",IF($B327="Onsite",INDEX(tbl_Onsite[Expected Revenue Ex GST],$BI327),IF($B327="Production",INDEX(tbl_Production[Expected Revenue Ex GST],$BI327),INDEX(tbl_Consulting[Expected Revenue Ex GST],$BI327)))))</f>
        <v/>
      </c>
      <c r="O327" s="11">
        <f>IF(AND($C327="",NOT(COUNTA($S327:$BB327)&gt;0)),"",SUM(U327,X327,AA327,AD327,AG327,AJ327,AM327,AP327,AS327,AV327,AY327,BB327))</f>
        <v/>
      </c>
      <c r="P327" s="11">
        <f>IF(O327="","",N(N327)-O327)</f>
        <v/>
      </c>
      <c r="Q327" s="10">
        <f>IF(O327="","",IF($C327="","Invoice on empty job row",IF(N327="",IF(ROUND(O327,2)=0,"No dept value","Invoiced - no dept value"),IF(ROUND(O327,2)=0,"Not invoiced - to invoice",IF(ROUND(P327,2)=0,"Agrees",IF(P327&gt;0,"Dept higher - to invoice","Xero higher - check dept"))))))</f>
        <v/>
      </c>
      <c r="R327" s="10">
        <f>IF(AND($C327="",NOT(COUNTA($S327:$BB327)&gt;0),$BI327&lt;&gt;""),"",MID(IF($BI327="","; Row ID not found on the department sheet - a row was deleted","")&amp;IF(AND($C327="",COUNTA($S327:$BB327)&gt;0),"; Invoice entered but the department row has no job number","")&amp;IF(E327="CHECK","; Job number not in the Xero job list","")&amp;IF(AND($C327&lt;&gt;"",COUNTIF($C$7:$C$1506,$C327)&gt;1),"; Job number on more than one row","")&amp;IF(AND($C327&lt;&gt;"",H327=""),"; Dept has not set a cost centre","")&amp;IF(AND($C327&lt;&gt;"",J327=""),"; Dept has not set a tax code","")&amp;IF(AND($C327&lt;&gt;"",N327=""),"; Dept has not entered an expected value","")&amp;IF((IF(OR(COUNTA(S327:U327)=0,AND(COUNTA(S327:U327)=3,ISNUMBER(U327))),0,1)+IF(OR(COUNTA(V327:X327)=0,AND(COUNTA(V327:X327)=3,ISNUMBER(X327))),0,1)+IF(OR(COUNTA(Y327:AA327)=0,AND(COUNTA(Y327:AA327)=3,ISNUMBER(AA327))),0,1)+IF(OR(COUNTA(AB327:AD327)=0,AND(COUNTA(AB327:AD327)=3,ISNUMBER(AD327))),0,1)+IF(OR(COUNTA(AE327:AG327)=0,AND(COUNTA(AE327:AG327)=3,ISNUMBER(AG327))),0,1)+IF(OR(COUNTA(AH327:AJ327)=0,AND(COUNTA(AH327:AJ327)=3,ISNUMBER(AJ327))),0,1)+IF(OR(COUNTA(AK327:AM327)=0,AND(COUNTA(AK327:AM327)=3,ISNUMBER(AM327))),0,1)+IF(OR(COUNTA(AN327:AP327)=0,AND(COUNTA(AN327:AP327)=3,ISNUMBER(AP327))),0,1)+IF(OR(COUNTA(AQ327:AS327)=0,AND(COUNTA(AQ327:AS327)=3,ISNUMBER(AS327))),0,1)+IF(OR(COUNTA(AT327:AV327)=0,AND(COUNTA(AT327:AV327)=3,ISNUMBER(AV327))),0,1)+IF(OR(COUNTA(AW327:AY327)=0,AND(COUNTA(AW327:AY327)=3,ISNUMBER(AY327))),0,1)+IF(OR(COUNTA(AZ327:BB327)=0,AND(COUNTA(AZ327:BB327)=3,ISNUMBER(BB327))),0,1))&gt;0,"; An invoice is incomplete (needs No, Date and a number in Ex GST)","")&amp;IF((IF(T327="",0,IFERROR(--(EOMONTH(T327,0)&lt;&gt;S$5),1))+IF(W327="",0,IFERROR(--(EOMONTH(W327,0)&lt;&gt;V$5),1))+IF(Z327="",0,IFERROR(--(EOMONTH(Z327,0)&lt;&gt;Y$5),1))+IF(AC327="",0,IFERROR(--(EOMONTH(AC327,0)&lt;&gt;AB$5),1))+IF(AF327="",0,IFERROR(--(EOMONTH(AF327,0)&lt;&gt;AE$5),1))+IF(AI327="",0,IFERROR(--(EOMONTH(AI327,0)&lt;&gt;AH$5),1))+IF(AL327="",0,IFERROR(--(EOMONTH(AL327,0)&lt;&gt;AK$5),1))+IF(AO327="",0,IFERROR(--(EOMONTH(AO327,0)&lt;&gt;AN$5),1))+IF(AR327="",0,IFERROR(--(EOMONTH(AR327,0)&lt;&gt;AQ$5),1))+IF(AU327="",0,IFERROR(--(EOMONTH(AU327,0)&lt;&gt;AT$5),1))+IF(AX327="",0,IFERROR(--(EOMONTH(AX327,0)&lt;&gt;AW$5),1))+IF(BA327="",0,IFERROR(--(EOMONTH(BA327,0)&lt;&gt;AZ$5),1)))&gt;0,"; An invoice date is not in the month it is typed under",""),3,500))</f>
        <v/>
      </c>
      <c r="S327" s="12" t="n"/>
      <c r="T327" s="13" t="n"/>
      <c r="U327" s="14" t="n"/>
      <c r="V327" s="12" t="n"/>
      <c r="W327" s="13" t="n"/>
      <c r="X327" s="14" t="n"/>
      <c r="Y327" s="12" t="n"/>
      <c r="Z327" s="13" t="n"/>
      <c r="AA327" s="14" t="n"/>
      <c r="AB327" s="12" t="n"/>
      <c r="AC327" s="13" t="n"/>
      <c r="AD327" s="14" t="n"/>
      <c r="AE327" s="12" t="n"/>
      <c r="AF327" s="13" t="n"/>
      <c r="AG327" s="14" t="n"/>
      <c r="AH327" s="12" t="n"/>
      <c r="AI327" s="13" t="n"/>
      <c r="AJ327" s="14" t="n"/>
      <c r="AK327" s="12" t="n"/>
      <c r="AL327" s="13" t="n"/>
      <c r="AM327" s="14" t="n"/>
      <c r="AN327" s="12" t="n"/>
      <c r="AO327" s="13" t="n"/>
      <c r="AP327" s="14" t="n"/>
      <c r="AQ327" s="12" t="n"/>
      <c r="AR327" s="13" t="n"/>
      <c r="AS327" s="14" t="n"/>
      <c r="AT327" s="12" t="n"/>
      <c r="AU327" s="13" t="n"/>
      <c r="AV327" s="14" t="n"/>
      <c r="AW327" s="12" t="n"/>
      <c r="AX327" s="13" t="n"/>
      <c r="AY327" s="14" t="n"/>
      <c r="AZ327" s="12" t="n"/>
      <c r="BA327" s="13" t="n"/>
      <c r="BB327" s="14" t="n"/>
      <c r="BC327" s="11">
        <f>IF(O327="","",IF(J327="GST 10%",ROUND(O327*set_GSTRate,2),0))</f>
        <v/>
      </c>
      <c r="BD327" s="11">
        <f>IF(O327="","",O327+BC327)</f>
        <v/>
      </c>
      <c r="BE327" s="15">
        <f>IF(O327="","",COUNTA(S327,V327,Y327,AB327,AE327,AH327,AK327,AN327,AQ327,AT327,AW327,AZ327))</f>
        <v/>
      </c>
      <c r="BF327" s="16">
        <f>IF(COUNT(T327,W327,Z327,AC327,AF327,AI327,AL327,AO327,AR327,AU327,AX327,BA327)=0,"",MAX(T327,W327,Z327,AC327,AF327,AI327,AL327,AO327,AR327,AU327,AX327,BA327))</f>
        <v/>
      </c>
      <c r="BG327" s="10">
        <f>MID(IF(S327="","",", "&amp;S327)&amp;IF(V327="","",", "&amp;V327)&amp;IF(Y327="","",", "&amp;Y327)&amp;IF(AB327="","",", "&amp;AB327)&amp;IF(AE327="","",", "&amp;AE327)&amp;IF(AH327="","",", "&amp;AH327)&amp;IF(AK327="","",", "&amp;AK327)&amp;IF(AN327="","",", "&amp;AN327)&amp;IF(AQ327="","",", "&amp;AQ327)&amp;IF(AT327="","",", "&amp;AT327)&amp;IF(AW327="","",", "&amp;AW327)&amp;IF(AZ327="","",", "&amp;AZ327),3,500)</f>
        <v/>
      </c>
      <c r="BH327" s="12" t="n"/>
      <c r="BI327" s="15">
        <f>IFERROR(MATCH($A327,IF($B327="Onsite",tbl_Onsite[Row ID],IF($B327="Production",tbl_Production[Row ID],tbl_Consulting[Row ID])),0),"")</f>
        <v/>
      </c>
    </row>
    <row r="328">
      <c r="A328" s="10" t="inlineStr">
        <is>
          <t>ONS-0322</t>
        </is>
      </c>
      <c r="B328" s="10" t="inlineStr">
        <is>
          <t>Onsite</t>
        </is>
      </c>
      <c r="C328" s="10">
        <f>IF($BI328="","",IF($B328="Onsite",INDEX(tbl_Onsite[Job Number],$BI328),IF($B328="Production",INDEX(tbl_Production[Job Number],$BI328),INDEX(tbl_Consulting[Job Number],$BI328)))&amp;"")</f>
        <v/>
      </c>
      <c r="D328" s="10">
        <f>IF($BI328="","",IF($B328="Onsite",INDEX(tbl_Onsite[Client],$BI328),IF($B328="Production",INDEX(tbl_Production[Client],$BI328),INDEX(tbl_Consulting[Client],$BI328)))&amp;"")</f>
        <v/>
      </c>
      <c r="E328" s="10">
        <f>IF($C328="","",IF(COUNTIF(lst_Jobs,$C328)&gt;0,"OK","CHECK"))</f>
        <v/>
      </c>
      <c r="F328" s="10">
        <f>IF($C328="","",IFERROR(INDEX(lst_JobName,MATCH($C328,lst_Jobs,0)),""))</f>
        <v/>
      </c>
      <c r="G328" s="10">
        <f>IF($BI328="","",IF($B328="Onsite",INDEX(tbl_Onsite[Job Description],$BI328),IF($B328="Production",INDEX(tbl_Production[Job Description],$BI328),INDEX(tbl_Consulting[Job Description],$BI328)))&amp;"")</f>
        <v/>
      </c>
      <c r="H328" s="10">
        <f>IF($BI328="","",IF($B328="Onsite",INDEX(tbl_Onsite[Cost Centre],$BI328),IF($B328="Production",INDEX(tbl_Production[Cost Centre],$BI328),INDEX(tbl_Consulting[Cost Centre],$BI328)))&amp;"")</f>
        <v/>
      </c>
      <c r="I328" s="10">
        <f>IF($BI328="","",IF($B328="Onsite",INDEX(tbl_Onsite[Invoice Type],$BI328),IF($B328="Production",INDEX(tbl_Production[Invoice Type],$BI328),INDEX(tbl_Consulting[Invoice Type],$BI328)))&amp;"")</f>
        <v/>
      </c>
      <c r="J328" s="10">
        <f>IF($BI328="","",IF($B328="Onsite",INDEX(tbl_Onsite[Tax Code],$BI328),IF($B328="Production",INDEX(tbl_Production[Tax Code],$BI328),INDEX(tbl_Consulting[Tax Code],$BI328)))&amp;"")</f>
        <v/>
      </c>
      <c r="K328" s="10">
        <f>IF(H328="","",IFERROR(INDEX(lst_CCtoGL,MATCH(H328,lst_CCforGL,0)),""))</f>
        <v/>
      </c>
      <c r="L328" s="10">
        <f>IF($BI328="","",IF($B328="Onsite",INDEX(tbl_Onsite[PO / Reference],$BI328),IF($B328="Production",INDEX(tbl_Production[Current RMS No],$BI328),INDEX(tbl_Consulting[Qwilr Quote],$BI328)))&amp;"")</f>
        <v/>
      </c>
      <c r="M328" s="10">
        <f>IF($BI328="","",IF($B328="Onsite",INDEX(tbl_Onsite[Notes],$BI328),IF($B328="Production",INDEX(tbl_Production[Notes],$BI328),INDEX(tbl_Consulting[Notes],$BI328)))&amp;"")</f>
        <v/>
      </c>
      <c r="N328" s="11">
        <f>IF($BI328="","",IF(IF($B328="Onsite",INDEX(tbl_Onsite[Expected Revenue Ex GST],$BI328),IF($B328="Production",INDEX(tbl_Production[Expected Revenue Ex GST],$BI328),INDEX(tbl_Consulting[Expected Revenue Ex GST],$BI328)))="","",IF($B328="Onsite",INDEX(tbl_Onsite[Expected Revenue Ex GST],$BI328),IF($B328="Production",INDEX(tbl_Production[Expected Revenue Ex GST],$BI328),INDEX(tbl_Consulting[Expected Revenue Ex GST],$BI328)))))</f>
        <v/>
      </c>
      <c r="O328" s="11">
        <f>IF(AND($C328="",NOT(COUNTA($S328:$BB328)&gt;0)),"",SUM(U328,X328,AA328,AD328,AG328,AJ328,AM328,AP328,AS328,AV328,AY328,BB328))</f>
        <v/>
      </c>
      <c r="P328" s="11">
        <f>IF(O328="","",N(N328)-O328)</f>
        <v/>
      </c>
      <c r="Q328" s="10">
        <f>IF(O328="","",IF($C328="","Invoice on empty job row",IF(N328="",IF(ROUND(O328,2)=0,"No dept value","Invoiced - no dept value"),IF(ROUND(O328,2)=0,"Not invoiced - to invoice",IF(ROUND(P328,2)=0,"Agrees",IF(P328&gt;0,"Dept higher - to invoice","Xero higher - check dept"))))))</f>
        <v/>
      </c>
      <c r="R328" s="10">
        <f>IF(AND($C328="",NOT(COUNTA($S328:$BB328)&gt;0),$BI328&lt;&gt;""),"",MID(IF($BI328="","; Row ID not found on the department sheet - a row was deleted","")&amp;IF(AND($C328="",COUNTA($S328:$BB328)&gt;0),"; Invoice entered but the department row has no job number","")&amp;IF(E328="CHECK","; Job number not in the Xero job list","")&amp;IF(AND($C328&lt;&gt;"",COUNTIF($C$7:$C$1506,$C328)&gt;1),"; Job number on more than one row","")&amp;IF(AND($C328&lt;&gt;"",H328=""),"; Dept has not set a cost centre","")&amp;IF(AND($C328&lt;&gt;"",J328=""),"; Dept has not set a tax code","")&amp;IF(AND($C328&lt;&gt;"",N328=""),"; Dept has not entered an expected value","")&amp;IF((IF(OR(COUNTA(S328:U328)=0,AND(COUNTA(S328:U328)=3,ISNUMBER(U328))),0,1)+IF(OR(COUNTA(V328:X328)=0,AND(COUNTA(V328:X328)=3,ISNUMBER(X328))),0,1)+IF(OR(COUNTA(Y328:AA328)=0,AND(COUNTA(Y328:AA328)=3,ISNUMBER(AA328))),0,1)+IF(OR(COUNTA(AB328:AD328)=0,AND(COUNTA(AB328:AD328)=3,ISNUMBER(AD328))),0,1)+IF(OR(COUNTA(AE328:AG328)=0,AND(COUNTA(AE328:AG328)=3,ISNUMBER(AG328))),0,1)+IF(OR(COUNTA(AH328:AJ328)=0,AND(COUNTA(AH328:AJ328)=3,ISNUMBER(AJ328))),0,1)+IF(OR(COUNTA(AK328:AM328)=0,AND(COUNTA(AK328:AM328)=3,ISNUMBER(AM328))),0,1)+IF(OR(COUNTA(AN328:AP328)=0,AND(COUNTA(AN328:AP328)=3,ISNUMBER(AP328))),0,1)+IF(OR(COUNTA(AQ328:AS328)=0,AND(COUNTA(AQ328:AS328)=3,ISNUMBER(AS328))),0,1)+IF(OR(COUNTA(AT328:AV328)=0,AND(COUNTA(AT328:AV328)=3,ISNUMBER(AV328))),0,1)+IF(OR(COUNTA(AW328:AY328)=0,AND(COUNTA(AW328:AY328)=3,ISNUMBER(AY328))),0,1)+IF(OR(COUNTA(AZ328:BB328)=0,AND(COUNTA(AZ328:BB328)=3,ISNUMBER(BB328))),0,1))&gt;0,"; An invoice is incomplete (needs No, Date and a number in Ex GST)","")&amp;IF((IF(T328="",0,IFERROR(--(EOMONTH(T328,0)&lt;&gt;S$5),1))+IF(W328="",0,IFERROR(--(EOMONTH(W328,0)&lt;&gt;V$5),1))+IF(Z328="",0,IFERROR(--(EOMONTH(Z328,0)&lt;&gt;Y$5),1))+IF(AC328="",0,IFERROR(--(EOMONTH(AC328,0)&lt;&gt;AB$5),1))+IF(AF328="",0,IFERROR(--(EOMONTH(AF328,0)&lt;&gt;AE$5),1))+IF(AI328="",0,IFERROR(--(EOMONTH(AI328,0)&lt;&gt;AH$5),1))+IF(AL328="",0,IFERROR(--(EOMONTH(AL328,0)&lt;&gt;AK$5),1))+IF(AO328="",0,IFERROR(--(EOMONTH(AO328,0)&lt;&gt;AN$5),1))+IF(AR328="",0,IFERROR(--(EOMONTH(AR328,0)&lt;&gt;AQ$5),1))+IF(AU328="",0,IFERROR(--(EOMONTH(AU328,0)&lt;&gt;AT$5),1))+IF(AX328="",0,IFERROR(--(EOMONTH(AX328,0)&lt;&gt;AW$5),1))+IF(BA328="",0,IFERROR(--(EOMONTH(BA328,0)&lt;&gt;AZ$5),1)))&gt;0,"; An invoice date is not in the month it is typed under",""),3,500))</f>
        <v/>
      </c>
      <c r="S328" s="12" t="n"/>
      <c r="T328" s="13" t="n"/>
      <c r="U328" s="14" t="n"/>
      <c r="V328" s="12" t="n"/>
      <c r="W328" s="13" t="n"/>
      <c r="X328" s="14" t="n"/>
      <c r="Y328" s="12" t="n"/>
      <c r="Z328" s="13" t="n"/>
      <c r="AA328" s="14" t="n"/>
      <c r="AB328" s="12" t="n"/>
      <c r="AC328" s="13" t="n"/>
      <c r="AD328" s="14" t="n"/>
      <c r="AE328" s="12" t="n"/>
      <c r="AF328" s="13" t="n"/>
      <c r="AG328" s="14" t="n"/>
      <c r="AH328" s="12" t="n"/>
      <c r="AI328" s="13" t="n"/>
      <c r="AJ328" s="14" t="n"/>
      <c r="AK328" s="12" t="n"/>
      <c r="AL328" s="13" t="n"/>
      <c r="AM328" s="14" t="n"/>
      <c r="AN328" s="12" t="n"/>
      <c r="AO328" s="13" t="n"/>
      <c r="AP328" s="14" t="n"/>
      <c r="AQ328" s="12" t="n"/>
      <c r="AR328" s="13" t="n"/>
      <c r="AS328" s="14" t="n"/>
      <c r="AT328" s="12" t="n"/>
      <c r="AU328" s="13" t="n"/>
      <c r="AV328" s="14" t="n"/>
      <c r="AW328" s="12" t="n"/>
      <c r="AX328" s="13" t="n"/>
      <c r="AY328" s="14" t="n"/>
      <c r="AZ328" s="12" t="n"/>
      <c r="BA328" s="13" t="n"/>
      <c r="BB328" s="14" t="n"/>
      <c r="BC328" s="11">
        <f>IF(O328="","",IF(J328="GST 10%",ROUND(O328*set_GSTRate,2),0))</f>
        <v/>
      </c>
      <c r="BD328" s="11">
        <f>IF(O328="","",O328+BC328)</f>
        <v/>
      </c>
      <c r="BE328" s="15">
        <f>IF(O328="","",COUNTA(S328,V328,Y328,AB328,AE328,AH328,AK328,AN328,AQ328,AT328,AW328,AZ328))</f>
        <v/>
      </c>
      <c r="BF328" s="16">
        <f>IF(COUNT(T328,W328,Z328,AC328,AF328,AI328,AL328,AO328,AR328,AU328,AX328,BA328)=0,"",MAX(T328,W328,Z328,AC328,AF328,AI328,AL328,AO328,AR328,AU328,AX328,BA328))</f>
        <v/>
      </c>
      <c r="BG328" s="10">
        <f>MID(IF(S328="","",", "&amp;S328)&amp;IF(V328="","",", "&amp;V328)&amp;IF(Y328="","",", "&amp;Y328)&amp;IF(AB328="","",", "&amp;AB328)&amp;IF(AE328="","",", "&amp;AE328)&amp;IF(AH328="","",", "&amp;AH328)&amp;IF(AK328="","",", "&amp;AK328)&amp;IF(AN328="","",", "&amp;AN328)&amp;IF(AQ328="","",", "&amp;AQ328)&amp;IF(AT328="","",", "&amp;AT328)&amp;IF(AW328="","",", "&amp;AW328)&amp;IF(AZ328="","",", "&amp;AZ328),3,500)</f>
        <v/>
      </c>
      <c r="BH328" s="12" t="n"/>
      <c r="BI328" s="15">
        <f>IFERROR(MATCH($A328,IF($B328="Onsite",tbl_Onsite[Row ID],IF($B328="Production",tbl_Production[Row ID],tbl_Consulting[Row ID])),0),"")</f>
        <v/>
      </c>
    </row>
    <row r="329">
      <c r="A329" s="10" t="inlineStr">
        <is>
          <t>ONS-0323</t>
        </is>
      </c>
      <c r="B329" s="10" t="inlineStr">
        <is>
          <t>Onsite</t>
        </is>
      </c>
      <c r="C329" s="10">
        <f>IF($BI329="","",IF($B329="Onsite",INDEX(tbl_Onsite[Job Number],$BI329),IF($B329="Production",INDEX(tbl_Production[Job Number],$BI329),INDEX(tbl_Consulting[Job Number],$BI329)))&amp;"")</f>
        <v/>
      </c>
      <c r="D329" s="10">
        <f>IF($BI329="","",IF($B329="Onsite",INDEX(tbl_Onsite[Client],$BI329),IF($B329="Production",INDEX(tbl_Production[Client],$BI329),INDEX(tbl_Consulting[Client],$BI329)))&amp;"")</f>
        <v/>
      </c>
      <c r="E329" s="10">
        <f>IF($C329="","",IF(COUNTIF(lst_Jobs,$C329)&gt;0,"OK","CHECK"))</f>
        <v/>
      </c>
      <c r="F329" s="10">
        <f>IF($C329="","",IFERROR(INDEX(lst_JobName,MATCH($C329,lst_Jobs,0)),""))</f>
        <v/>
      </c>
      <c r="G329" s="10">
        <f>IF($BI329="","",IF($B329="Onsite",INDEX(tbl_Onsite[Job Description],$BI329),IF($B329="Production",INDEX(tbl_Production[Job Description],$BI329),INDEX(tbl_Consulting[Job Description],$BI329)))&amp;"")</f>
        <v/>
      </c>
      <c r="H329" s="10">
        <f>IF($BI329="","",IF($B329="Onsite",INDEX(tbl_Onsite[Cost Centre],$BI329),IF($B329="Production",INDEX(tbl_Production[Cost Centre],$BI329),INDEX(tbl_Consulting[Cost Centre],$BI329)))&amp;"")</f>
        <v/>
      </c>
      <c r="I329" s="10">
        <f>IF($BI329="","",IF($B329="Onsite",INDEX(tbl_Onsite[Invoice Type],$BI329),IF($B329="Production",INDEX(tbl_Production[Invoice Type],$BI329),INDEX(tbl_Consulting[Invoice Type],$BI329)))&amp;"")</f>
        <v/>
      </c>
      <c r="J329" s="10">
        <f>IF($BI329="","",IF($B329="Onsite",INDEX(tbl_Onsite[Tax Code],$BI329),IF($B329="Production",INDEX(tbl_Production[Tax Code],$BI329),INDEX(tbl_Consulting[Tax Code],$BI329)))&amp;"")</f>
        <v/>
      </c>
      <c r="K329" s="10">
        <f>IF(H329="","",IFERROR(INDEX(lst_CCtoGL,MATCH(H329,lst_CCforGL,0)),""))</f>
        <v/>
      </c>
      <c r="L329" s="10">
        <f>IF($BI329="","",IF($B329="Onsite",INDEX(tbl_Onsite[PO / Reference],$BI329),IF($B329="Production",INDEX(tbl_Production[Current RMS No],$BI329),INDEX(tbl_Consulting[Qwilr Quote],$BI329)))&amp;"")</f>
        <v/>
      </c>
      <c r="M329" s="10">
        <f>IF($BI329="","",IF($B329="Onsite",INDEX(tbl_Onsite[Notes],$BI329),IF($B329="Production",INDEX(tbl_Production[Notes],$BI329),INDEX(tbl_Consulting[Notes],$BI329)))&amp;"")</f>
        <v/>
      </c>
      <c r="N329" s="11">
        <f>IF($BI329="","",IF(IF($B329="Onsite",INDEX(tbl_Onsite[Expected Revenue Ex GST],$BI329),IF($B329="Production",INDEX(tbl_Production[Expected Revenue Ex GST],$BI329),INDEX(tbl_Consulting[Expected Revenue Ex GST],$BI329)))="","",IF($B329="Onsite",INDEX(tbl_Onsite[Expected Revenue Ex GST],$BI329),IF($B329="Production",INDEX(tbl_Production[Expected Revenue Ex GST],$BI329),INDEX(tbl_Consulting[Expected Revenue Ex GST],$BI329)))))</f>
        <v/>
      </c>
      <c r="O329" s="11">
        <f>IF(AND($C329="",NOT(COUNTA($S329:$BB329)&gt;0)),"",SUM(U329,X329,AA329,AD329,AG329,AJ329,AM329,AP329,AS329,AV329,AY329,BB329))</f>
        <v/>
      </c>
      <c r="P329" s="11">
        <f>IF(O329="","",N(N329)-O329)</f>
        <v/>
      </c>
      <c r="Q329" s="10">
        <f>IF(O329="","",IF($C329="","Invoice on empty job row",IF(N329="",IF(ROUND(O329,2)=0,"No dept value","Invoiced - no dept value"),IF(ROUND(O329,2)=0,"Not invoiced - to invoice",IF(ROUND(P329,2)=0,"Agrees",IF(P329&gt;0,"Dept higher - to invoice","Xero higher - check dept"))))))</f>
        <v/>
      </c>
      <c r="R329" s="10">
        <f>IF(AND($C329="",NOT(COUNTA($S329:$BB329)&gt;0),$BI329&lt;&gt;""),"",MID(IF($BI329="","; Row ID not found on the department sheet - a row was deleted","")&amp;IF(AND($C329="",COUNTA($S329:$BB329)&gt;0),"; Invoice entered but the department row has no job number","")&amp;IF(E329="CHECK","; Job number not in the Xero job list","")&amp;IF(AND($C329&lt;&gt;"",COUNTIF($C$7:$C$1506,$C329)&gt;1),"; Job number on more than one row","")&amp;IF(AND($C329&lt;&gt;"",H329=""),"; Dept has not set a cost centre","")&amp;IF(AND($C329&lt;&gt;"",J329=""),"; Dept has not set a tax code","")&amp;IF(AND($C329&lt;&gt;"",N329=""),"; Dept has not entered an expected value","")&amp;IF((IF(OR(COUNTA(S329:U329)=0,AND(COUNTA(S329:U329)=3,ISNUMBER(U329))),0,1)+IF(OR(COUNTA(V329:X329)=0,AND(COUNTA(V329:X329)=3,ISNUMBER(X329))),0,1)+IF(OR(COUNTA(Y329:AA329)=0,AND(COUNTA(Y329:AA329)=3,ISNUMBER(AA329))),0,1)+IF(OR(COUNTA(AB329:AD329)=0,AND(COUNTA(AB329:AD329)=3,ISNUMBER(AD329))),0,1)+IF(OR(COUNTA(AE329:AG329)=0,AND(COUNTA(AE329:AG329)=3,ISNUMBER(AG329))),0,1)+IF(OR(COUNTA(AH329:AJ329)=0,AND(COUNTA(AH329:AJ329)=3,ISNUMBER(AJ329))),0,1)+IF(OR(COUNTA(AK329:AM329)=0,AND(COUNTA(AK329:AM329)=3,ISNUMBER(AM329))),0,1)+IF(OR(COUNTA(AN329:AP329)=0,AND(COUNTA(AN329:AP329)=3,ISNUMBER(AP329))),0,1)+IF(OR(COUNTA(AQ329:AS329)=0,AND(COUNTA(AQ329:AS329)=3,ISNUMBER(AS329))),0,1)+IF(OR(COUNTA(AT329:AV329)=0,AND(COUNTA(AT329:AV329)=3,ISNUMBER(AV329))),0,1)+IF(OR(COUNTA(AW329:AY329)=0,AND(COUNTA(AW329:AY329)=3,ISNUMBER(AY329))),0,1)+IF(OR(COUNTA(AZ329:BB329)=0,AND(COUNTA(AZ329:BB329)=3,ISNUMBER(BB329))),0,1))&gt;0,"; An invoice is incomplete (needs No, Date and a number in Ex GST)","")&amp;IF((IF(T329="",0,IFERROR(--(EOMONTH(T329,0)&lt;&gt;S$5),1))+IF(W329="",0,IFERROR(--(EOMONTH(W329,0)&lt;&gt;V$5),1))+IF(Z329="",0,IFERROR(--(EOMONTH(Z329,0)&lt;&gt;Y$5),1))+IF(AC329="",0,IFERROR(--(EOMONTH(AC329,0)&lt;&gt;AB$5),1))+IF(AF329="",0,IFERROR(--(EOMONTH(AF329,0)&lt;&gt;AE$5),1))+IF(AI329="",0,IFERROR(--(EOMONTH(AI329,0)&lt;&gt;AH$5),1))+IF(AL329="",0,IFERROR(--(EOMONTH(AL329,0)&lt;&gt;AK$5),1))+IF(AO329="",0,IFERROR(--(EOMONTH(AO329,0)&lt;&gt;AN$5),1))+IF(AR329="",0,IFERROR(--(EOMONTH(AR329,0)&lt;&gt;AQ$5),1))+IF(AU329="",0,IFERROR(--(EOMONTH(AU329,0)&lt;&gt;AT$5),1))+IF(AX329="",0,IFERROR(--(EOMONTH(AX329,0)&lt;&gt;AW$5),1))+IF(BA329="",0,IFERROR(--(EOMONTH(BA329,0)&lt;&gt;AZ$5),1)))&gt;0,"; An invoice date is not in the month it is typed under",""),3,500))</f>
        <v/>
      </c>
      <c r="S329" s="12" t="n"/>
      <c r="T329" s="13" t="n"/>
      <c r="U329" s="14" t="n"/>
      <c r="V329" s="12" t="n"/>
      <c r="W329" s="13" t="n"/>
      <c r="X329" s="14" t="n"/>
      <c r="Y329" s="12" t="n"/>
      <c r="Z329" s="13" t="n"/>
      <c r="AA329" s="14" t="n"/>
      <c r="AB329" s="12" t="n"/>
      <c r="AC329" s="13" t="n"/>
      <c r="AD329" s="14" t="n"/>
      <c r="AE329" s="12" t="n"/>
      <c r="AF329" s="13" t="n"/>
      <c r="AG329" s="14" t="n"/>
      <c r="AH329" s="12" t="n"/>
      <c r="AI329" s="13" t="n"/>
      <c r="AJ329" s="14" t="n"/>
      <c r="AK329" s="12" t="n"/>
      <c r="AL329" s="13" t="n"/>
      <c r="AM329" s="14" t="n"/>
      <c r="AN329" s="12" t="n"/>
      <c r="AO329" s="13" t="n"/>
      <c r="AP329" s="14" t="n"/>
      <c r="AQ329" s="12" t="n"/>
      <c r="AR329" s="13" t="n"/>
      <c r="AS329" s="14" t="n"/>
      <c r="AT329" s="12" t="n"/>
      <c r="AU329" s="13" t="n"/>
      <c r="AV329" s="14" t="n"/>
      <c r="AW329" s="12" t="n"/>
      <c r="AX329" s="13" t="n"/>
      <c r="AY329" s="14" t="n"/>
      <c r="AZ329" s="12" t="n"/>
      <c r="BA329" s="13" t="n"/>
      <c r="BB329" s="14" t="n"/>
      <c r="BC329" s="11">
        <f>IF(O329="","",IF(J329="GST 10%",ROUND(O329*set_GSTRate,2),0))</f>
        <v/>
      </c>
      <c r="BD329" s="11">
        <f>IF(O329="","",O329+BC329)</f>
        <v/>
      </c>
      <c r="BE329" s="15">
        <f>IF(O329="","",COUNTA(S329,V329,Y329,AB329,AE329,AH329,AK329,AN329,AQ329,AT329,AW329,AZ329))</f>
        <v/>
      </c>
      <c r="BF329" s="16">
        <f>IF(COUNT(T329,W329,Z329,AC329,AF329,AI329,AL329,AO329,AR329,AU329,AX329,BA329)=0,"",MAX(T329,W329,Z329,AC329,AF329,AI329,AL329,AO329,AR329,AU329,AX329,BA329))</f>
        <v/>
      </c>
      <c r="BG329" s="10">
        <f>MID(IF(S329="","",", "&amp;S329)&amp;IF(V329="","",", "&amp;V329)&amp;IF(Y329="","",", "&amp;Y329)&amp;IF(AB329="","",", "&amp;AB329)&amp;IF(AE329="","",", "&amp;AE329)&amp;IF(AH329="","",", "&amp;AH329)&amp;IF(AK329="","",", "&amp;AK329)&amp;IF(AN329="","",", "&amp;AN329)&amp;IF(AQ329="","",", "&amp;AQ329)&amp;IF(AT329="","",", "&amp;AT329)&amp;IF(AW329="","",", "&amp;AW329)&amp;IF(AZ329="","",", "&amp;AZ329),3,500)</f>
        <v/>
      </c>
      <c r="BH329" s="12" t="n"/>
      <c r="BI329" s="15">
        <f>IFERROR(MATCH($A329,IF($B329="Onsite",tbl_Onsite[Row ID],IF($B329="Production",tbl_Production[Row ID],tbl_Consulting[Row ID])),0),"")</f>
        <v/>
      </c>
    </row>
    <row r="330">
      <c r="A330" s="10" t="inlineStr">
        <is>
          <t>ONS-0324</t>
        </is>
      </c>
      <c r="B330" s="10" t="inlineStr">
        <is>
          <t>Onsite</t>
        </is>
      </c>
      <c r="C330" s="10">
        <f>IF($BI330="","",IF($B330="Onsite",INDEX(tbl_Onsite[Job Number],$BI330),IF($B330="Production",INDEX(tbl_Production[Job Number],$BI330),INDEX(tbl_Consulting[Job Number],$BI330)))&amp;"")</f>
        <v/>
      </c>
      <c r="D330" s="10">
        <f>IF($BI330="","",IF($B330="Onsite",INDEX(tbl_Onsite[Client],$BI330),IF($B330="Production",INDEX(tbl_Production[Client],$BI330),INDEX(tbl_Consulting[Client],$BI330)))&amp;"")</f>
        <v/>
      </c>
      <c r="E330" s="10">
        <f>IF($C330="","",IF(COUNTIF(lst_Jobs,$C330)&gt;0,"OK","CHECK"))</f>
        <v/>
      </c>
      <c r="F330" s="10">
        <f>IF($C330="","",IFERROR(INDEX(lst_JobName,MATCH($C330,lst_Jobs,0)),""))</f>
        <v/>
      </c>
      <c r="G330" s="10">
        <f>IF($BI330="","",IF($B330="Onsite",INDEX(tbl_Onsite[Job Description],$BI330),IF($B330="Production",INDEX(tbl_Production[Job Description],$BI330),INDEX(tbl_Consulting[Job Description],$BI330)))&amp;"")</f>
        <v/>
      </c>
      <c r="H330" s="10">
        <f>IF($BI330="","",IF($B330="Onsite",INDEX(tbl_Onsite[Cost Centre],$BI330),IF($B330="Production",INDEX(tbl_Production[Cost Centre],$BI330),INDEX(tbl_Consulting[Cost Centre],$BI330)))&amp;"")</f>
        <v/>
      </c>
      <c r="I330" s="10">
        <f>IF($BI330="","",IF($B330="Onsite",INDEX(tbl_Onsite[Invoice Type],$BI330),IF($B330="Production",INDEX(tbl_Production[Invoice Type],$BI330),INDEX(tbl_Consulting[Invoice Type],$BI330)))&amp;"")</f>
        <v/>
      </c>
      <c r="J330" s="10">
        <f>IF($BI330="","",IF($B330="Onsite",INDEX(tbl_Onsite[Tax Code],$BI330),IF($B330="Production",INDEX(tbl_Production[Tax Code],$BI330),INDEX(tbl_Consulting[Tax Code],$BI330)))&amp;"")</f>
        <v/>
      </c>
      <c r="K330" s="10">
        <f>IF(H330="","",IFERROR(INDEX(lst_CCtoGL,MATCH(H330,lst_CCforGL,0)),""))</f>
        <v/>
      </c>
      <c r="L330" s="10">
        <f>IF($BI330="","",IF($B330="Onsite",INDEX(tbl_Onsite[PO / Reference],$BI330),IF($B330="Production",INDEX(tbl_Production[Current RMS No],$BI330),INDEX(tbl_Consulting[Qwilr Quote],$BI330)))&amp;"")</f>
        <v/>
      </c>
      <c r="M330" s="10">
        <f>IF($BI330="","",IF($B330="Onsite",INDEX(tbl_Onsite[Notes],$BI330),IF($B330="Production",INDEX(tbl_Production[Notes],$BI330),INDEX(tbl_Consulting[Notes],$BI330)))&amp;"")</f>
        <v/>
      </c>
      <c r="N330" s="11">
        <f>IF($BI330="","",IF(IF($B330="Onsite",INDEX(tbl_Onsite[Expected Revenue Ex GST],$BI330),IF($B330="Production",INDEX(tbl_Production[Expected Revenue Ex GST],$BI330),INDEX(tbl_Consulting[Expected Revenue Ex GST],$BI330)))="","",IF($B330="Onsite",INDEX(tbl_Onsite[Expected Revenue Ex GST],$BI330),IF($B330="Production",INDEX(tbl_Production[Expected Revenue Ex GST],$BI330),INDEX(tbl_Consulting[Expected Revenue Ex GST],$BI330)))))</f>
        <v/>
      </c>
      <c r="O330" s="11">
        <f>IF(AND($C330="",NOT(COUNTA($S330:$BB330)&gt;0)),"",SUM(U330,X330,AA330,AD330,AG330,AJ330,AM330,AP330,AS330,AV330,AY330,BB330))</f>
        <v/>
      </c>
      <c r="P330" s="11">
        <f>IF(O330="","",N(N330)-O330)</f>
        <v/>
      </c>
      <c r="Q330" s="10">
        <f>IF(O330="","",IF($C330="","Invoice on empty job row",IF(N330="",IF(ROUND(O330,2)=0,"No dept value","Invoiced - no dept value"),IF(ROUND(O330,2)=0,"Not invoiced - to invoice",IF(ROUND(P330,2)=0,"Agrees",IF(P330&gt;0,"Dept higher - to invoice","Xero higher - check dept"))))))</f>
        <v/>
      </c>
      <c r="R330" s="10">
        <f>IF(AND($C330="",NOT(COUNTA($S330:$BB330)&gt;0),$BI330&lt;&gt;""),"",MID(IF($BI330="","; Row ID not found on the department sheet - a row was deleted","")&amp;IF(AND($C330="",COUNTA($S330:$BB330)&gt;0),"; Invoice entered but the department row has no job number","")&amp;IF(E330="CHECK","; Job number not in the Xero job list","")&amp;IF(AND($C330&lt;&gt;"",COUNTIF($C$7:$C$1506,$C330)&gt;1),"; Job number on more than one row","")&amp;IF(AND($C330&lt;&gt;"",H330=""),"; Dept has not set a cost centre","")&amp;IF(AND($C330&lt;&gt;"",J330=""),"; Dept has not set a tax code","")&amp;IF(AND($C330&lt;&gt;"",N330=""),"; Dept has not entered an expected value","")&amp;IF((IF(OR(COUNTA(S330:U330)=0,AND(COUNTA(S330:U330)=3,ISNUMBER(U330))),0,1)+IF(OR(COUNTA(V330:X330)=0,AND(COUNTA(V330:X330)=3,ISNUMBER(X330))),0,1)+IF(OR(COUNTA(Y330:AA330)=0,AND(COUNTA(Y330:AA330)=3,ISNUMBER(AA330))),0,1)+IF(OR(COUNTA(AB330:AD330)=0,AND(COUNTA(AB330:AD330)=3,ISNUMBER(AD330))),0,1)+IF(OR(COUNTA(AE330:AG330)=0,AND(COUNTA(AE330:AG330)=3,ISNUMBER(AG330))),0,1)+IF(OR(COUNTA(AH330:AJ330)=0,AND(COUNTA(AH330:AJ330)=3,ISNUMBER(AJ330))),0,1)+IF(OR(COUNTA(AK330:AM330)=0,AND(COUNTA(AK330:AM330)=3,ISNUMBER(AM330))),0,1)+IF(OR(COUNTA(AN330:AP330)=0,AND(COUNTA(AN330:AP330)=3,ISNUMBER(AP330))),0,1)+IF(OR(COUNTA(AQ330:AS330)=0,AND(COUNTA(AQ330:AS330)=3,ISNUMBER(AS330))),0,1)+IF(OR(COUNTA(AT330:AV330)=0,AND(COUNTA(AT330:AV330)=3,ISNUMBER(AV330))),0,1)+IF(OR(COUNTA(AW330:AY330)=0,AND(COUNTA(AW330:AY330)=3,ISNUMBER(AY330))),0,1)+IF(OR(COUNTA(AZ330:BB330)=0,AND(COUNTA(AZ330:BB330)=3,ISNUMBER(BB330))),0,1))&gt;0,"; An invoice is incomplete (needs No, Date and a number in Ex GST)","")&amp;IF((IF(T330="",0,IFERROR(--(EOMONTH(T330,0)&lt;&gt;S$5),1))+IF(W330="",0,IFERROR(--(EOMONTH(W330,0)&lt;&gt;V$5),1))+IF(Z330="",0,IFERROR(--(EOMONTH(Z330,0)&lt;&gt;Y$5),1))+IF(AC330="",0,IFERROR(--(EOMONTH(AC330,0)&lt;&gt;AB$5),1))+IF(AF330="",0,IFERROR(--(EOMONTH(AF330,0)&lt;&gt;AE$5),1))+IF(AI330="",0,IFERROR(--(EOMONTH(AI330,0)&lt;&gt;AH$5),1))+IF(AL330="",0,IFERROR(--(EOMONTH(AL330,0)&lt;&gt;AK$5),1))+IF(AO330="",0,IFERROR(--(EOMONTH(AO330,0)&lt;&gt;AN$5),1))+IF(AR330="",0,IFERROR(--(EOMONTH(AR330,0)&lt;&gt;AQ$5),1))+IF(AU330="",0,IFERROR(--(EOMONTH(AU330,0)&lt;&gt;AT$5),1))+IF(AX330="",0,IFERROR(--(EOMONTH(AX330,0)&lt;&gt;AW$5),1))+IF(BA330="",0,IFERROR(--(EOMONTH(BA330,0)&lt;&gt;AZ$5),1)))&gt;0,"; An invoice date is not in the month it is typed under",""),3,500))</f>
        <v/>
      </c>
      <c r="S330" s="12" t="n"/>
      <c r="T330" s="13" t="n"/>
      <c r="U330" s="14" t="n"/>
      <c r="V330" s="12" t="n"/>
      <c r="W330" s="13" t="n"/>
      <c r="X330" s="14" t="n"/>
      <c r="Y330" s="12" t="n"/>
      <c r="Z330" s="13" t="n"/>
      <c r="AA330" s="14" t="n"/>
      <c r="AB330" s="12" t="n"/>
      <c r="AC330" s="13" t="n"/>
      <c r="AD330" s="14" t="n"/>
      <c r="AE330" s="12" t="n"/>
      <c r="AF330" s="13" t="n"/>
      <c r="AG330" s="14" t="n"/>
      <c r="AH330" s="12" t="n"/>
      <c r="AI330" s="13" t="n"/>
      <c r="AJ330" s="14" t="n"/>
      <c r="AK330" s="12" t="n"/>
      <c r="AL330" s="13" t="n"/>
      <c r="AM330" s="14" t="n"/>
      <c r="AN330" s="12" t="n"/>
      <c r="AO330" s="13" t="n"/>
      <c r="AP330" s="14" t="n"/>
      <c r="AQ330" s="12" t="n"/>
      <c r="AR330" s="13" t="n"/>
      <c r="AS330" s="14" t="n"/>
      <c r="AT330" s="12" t="n"/>
      <c r="AU330" s="13" t="n"/>
      <c r="AV330" s="14" t="n"/>
      <c r="AW330" s="12" t="n"/>
      <c r="AX330" s="13" t="n"/>
      <c r="AY330" s="14" t="n"/>
      <c r="AZ330" s="12" t="n"/>
      <c r="BA330" s="13" t="n"/>
      <c r="BB330" s="14" t="n"/>
      <c r="BC330" s="11">
        <f>IF(O330="","",IF(J330="GST 10%",ROUND(O330*set_GSTRate,2),0))</f>
        <v/>
      </c>
      <c r="BD330" s="11">
        <f>IF(O330="","",O330+BC330)</f>
        <v/>
      </c>
      <c r="BE330" s="15">
        <f>IF(O330="","",COUNTA(S330,V330,Y330,AB330,AE330,AH330,AK330,AN330,AQ330,AT330,AW330,AZ330))</f>
        <v/>
      </c>
      <c r="BF330" s="16">
        <f>IF(COUNT(T330,W330,Z330,AC330,AF330,AI330,AL330,AO330,AR330,AU330,AX330,BA330)=0,"",MAX(T330,W330,Z330,AC330,AF330,AI330,AL330,AO330,AR330,AU330,AX330,BA330))</f>
        <v/>
      </c>
      <c r="BG330" s="10">
        <f>MID(IF(S330="","",", "&amp;S330)&amp;IF(V330="","",", "&amp;V330)&amp;IF(Y330="","",", "&amp;Y330)&amp;IF(AB330="","",", "&amp;AB330)&amp;IF(AE330="","",", "&amp;AE330)&amp;IF(AH330="","",", "&amp;AH330)&amp;IF(AK330="","",", "&amp;AK330)&amp;IF(AN330="","",", "&amp;AN330)&amp;IF(AQ330="","",", "&amp;AQ330)&amp;IF(AT330="","",", "&amp;AT330)&amp;IF(AW330="","",", "&amp;AW330)&amp;IF(AZ330="","",", "&amp;AZ330),3,500)</f>
        <v/>
      </c>
      <c r="BH330" s="12" t="n"/>
      <c r="BI330" s="15">
        <f>IFERROR(MATCH($A330,IF($B330="Onsite",tbl_Onsite[Row ID],IF($B330="Production",tbl_Production[Row ID],tbl_Consulting[Row ID])),0),"")</f>
        <v/>
      </c>
    </row>
    <row r="331">
      <c r="A331" s="10" t="inlineStr">
        <is>
          <t>ONS-0325</t>
        </is>
      </c>
      <c r="B331" s="10" t="inlineStr">
        <is>
          <t>Onsite</t>
        </is>
      </c>
      <c r="C331" s="10">
        <f>IF($BI331="","",IF($B331="Onsite",INDEX(tbl_Onsite[Job Number],$BI331),IF($B331="Production",INDEX(tbl_Production[Job Number],$BI331),INDEX(tbl_Consulting[Job Number],$BI331)))&amp;"")</f>
        <v/>
      </c>
      <c r="D331" s="10">
        <f>IF($BI331="","",IF($B331="Onsite",INDEX(tbl_Onsite[Client],$BI331),IF($B331="Production",INDEX(tbl_Production[Client],$BI331),INDEX(tbl_Consulting[Client],$BI331)))&amp;"")</f>
        <v/>
      </c>
      <c r="E331" s="10">
        <f>IF($C331="","",IF(COUNTIF(lst_Jobs,$C331)&gt;0,"OK","CHECK"))</f>
        <v/>
      </c>
      <c r="F331" s="10">
        <f>IF($C331="","",IFERROR(INDEX(lst_JobName,MATCH($C331,lst_Jobs,0)),""))</f>
        <v/>
      </c>
      <c r="G331" s="10">
        <f>IF($BI331="","",IF($B331="Onsite",INDEX(tbl_Onsite[Job Description],$BI331),IF($B331="Production",INDEX(tbl_Production[Job Description],$BI331),INDEX(tbl_Consulting[Job Description],$BI331)))&amp;"")</f>
        <v/>
      </c>
      <c r="H331" s="10">
        <f>IF($BI331="","",IF($B331="Onsite",INDEX(tbl_Onsite[Cost Centre],$BI331),IF($B331="Production",INDEX(tbl_Production[Cost Centre],$BI331),INDEX(tbl_Consulting[Cost Centre],$BI331)))&amp;"")</f>
        <v/>
      </c>
      <c r="I331" s="10">
        <f>IF($BI331="","",IF($B331="Onsite",INDEX(tbl_Onsite[Invoice Type],$BI331),IF($B331="Production",INDEX(tbl_Production[Invoice Type],$BI331),INDEX(tbl_Consulting[Invoice Type],$BI331)))&amp;"")</f>
        <v/>
      </c>
      <c r="J331" s="10">
        <f>IF($BI331="","",IF($B331="Onsite",INDEX(tbl_Onsite[Tax Code],$BI331),IF($B331="Production",INDEX(tbl_Production[Tax Code],$BI331),INDEX(tbl_Consulting[Tax Code],$BI331)))&amp;"")</f>
        <v/>
      </c>
      <c r="K331" s="10">
        <f>IF(H331="","",IFERROR(INDEX(lst_CCtoGL,MATCH(H331,lst_CCforGL,0)),""))</f>
        <v/>
      </c>
      <c r="L331" s="10">
        <f>IF($BI331="","",IF($B331="Onsite",INDEX(tbl_Onsite[PO / Reference],$BI331),IF($B331="Production",INDEX(tbl_Production[Current RMS No],$BI331),INDEX(tbl_Consulting[Qwilr Quote],$BI331)))&amp;"")</f>
        <v/>
      </c>
      <c r="M331" s="10">
        <f>IF($BI331="","",IF($B331="Onsite",INDEX(tbl_Onsite[Notes],$BI331),IF($B331="Production",INDEX(tbl_Production[Notes],$BI331),INDEX(tbl_Consulting[Notes],$BI331)))&amp;"")</f>
        <v/>
      </c>
      <c r="N331" s="11">
        <f>IF($BI331="","",IF(IF($B331="Onsite",INDEX(tbl_Onsite[Expected Revenue Ex GST],$BI331),IF($B331="Production",INDEX(tbl_Production[Expected Revenue Ex GST],$BI331),INDEX(tbl_Consulting[Expected Revenue Ex GST],$BI331)))="","",IF($B331="Onsite",INDEX(tbl_Onsite[Expected Revenue Ex GST],$BI331),IF($B331="Production",INDEX(tbl_Production[Expected Revenue Ex GST],$BI331),INDEX(tbl_Consulting[Expected Revenue Ex GST],$BI331)))))</f>
        <v/>
      </c>
      <c r="O331" s="11">
        <f>IF(AND($C331="",NOT(COUNTA($S331:$BB331)&gt;0)),"",SUM(U331,X331,AA331,AD331,AG331,AJ331,AM331,AP331,AS331,AV331,AY331,BB331))</f>
        <v/>
      </c>
      <c r="P331" s="11">
        <f>IF(O331="","",N(N331)-O331)</f>
        <v/>
      </c>
      <c r="Q331" s="10">
        <f>IF(O331="","",IF($C331="","Invoice on empty job row",IF(N331="",IF(ROUND(O331,2)=0,"No dept value","Invoiced - no dept value"),IF(ROUND(O331,2)=0,"Not invoiced - to invoice",IF(ROUND(P331,2)=0,"Agrees",IF(P331&gt;0,"Dept higher - to invoice","Xero higher - check dept"))))))</f>
        <v/>
      </c>
      <c r="R331" s="10">
        <f>IF(AND($C331="",NOT(COUNTA($S331:$BB331)&gt;0),$BI331&lt;&gt;""),"",MID(IF($BI331="","; Row ID not found on the department sheet - a row was deleted","")&amp;IF(AND($C331="",COUNTA($S331:$BB331)&gt;0),"; Invoice entered but the department row has no job number","")&amp;IF(E331="CHECK","; Job number not in the Xero job list","")&amp;IF(AND($C331&lt;&gt;"",COUNTIF($C$7:$C$1506,$C331)&gt;1),"; Job number on more than one row","")&amp;IF(AND($C331&lt;&gt;"",H331=""),"; Dept has not set a cost centre","")&amp;IF(AND($C331&lt;&gt;"",J331=""),"; Dept has not set a tax code","")&amp;IF(AND($C331&lt;&gt;"",N331=""),"; Dept has not entered an expected value","")&amp;IF((IF(OR(COUNTA(S331:U331)=0,AND(COUNTA(S331:U331)=3,ISNUMBER(U331))),0,1)+IF(OR(COUNTA(V331:X331)=0,AND(COUNTA(V331:X331)=3,ISNUMBER(X331))),0,1)+IF(OR(COUNTA(Y331:AA331)=0,AND(COUNTA(Y331:AA331)=3,ISNUMBER(AA331))),0,1)+IF(OR(COUNTA(AB331:AD331)=0,AND(COUNTA(AB331:AD331)=3,ISNUMBER(AD331))),0,1)+IF(OR(COUNTA(AE331:AG331)=0,AND(COUNTA(AE331:AG331)=3,ISNUMBER(AG331))),0,1)+IF(OR(COUNTA(AH331:AJ331)=0,AND(COUNTA(AH331:AJ331)=3,ISNUMBER(AJ331))),0,1)+IF(OR(COUNTA(AK331:AM331)=0,AND(COUNTA(AK331:AM331)=3,ISNUMBER(AM331))),0,1)+IF(OR(COUNTA(AN331:AP331)=0,AND(COUNTA(AN331:AP331)=3,ISNUMBER(AP331))),0,1)+IF(OR(COUNTA(AQ331:AS331)=0,AND(COUNTA(AQ331:AS331)=3,ISNUMBER(AS331))),0,1)+IF(OR(COUNTA(AT331:AV331)=0,AND(COUNTA(AT331:AV331)=3,ISNUMBER(AV331))),0,1)+IF(OR(COUNTA(AW331:AY331)=0,AND(COUNTA(AW331:AY331)=3,ISNUMBER(AY331))),0,1)+IF(OR(COUNTA(AZ331:BB331)=0,AND(COUNTA(AZ331:BB331)=3,ISNUMBER(BB331))),0,1))&gt;0,"; An invoice is incomplete (needs No, Date and a number in Ex GST)","")&amp;IF((IF(T331="",0,IFERROR(--(EOMONTH(T331,0)&lt;&gt;S$5),1))+IF(W331="",0,IFERROR(--(EOMONTH(W331,0)&lt;&gt;V$5),1))+IF(Z331="",0,IFERROR(--(EOMONTH(Z331,0)&lt;&gt;Y$5),1))+IF(AC331="",0,IFERROR(--(EOMONTH(AC331,0)&lt;&gt;AB$5),1))+IF(AF331="",0,IFERROR(--(EOMONTH(AF331,0)&lt;&gt;AE$5),1))+IF(AI331="",0,IFERROR(--(EOMONTH(AI331,0)&lt;&gt;AH$5),1))+IF(AL331="",0,IFERROR(--(EOMONTH(AL331,0)&lt;&gt;AK$5),1))+IF(AO331="",0,IFERROR(--(EOMONTH(AO331,0)&lt;&gt;AN$5),1))+IF(AR331="",0,IFERROR(--(EOMONTH(AR331,0)&lt;&gt;AQ$5),1))+IF(AU331="",0,IFERROR(--(EOMONTH(AU331,0)&lt;&gt;AT$5),1))+IF(AX331="",0,IFERROR(--(EOMONTH(AX331,0)&lt;&gt;AW$5),1))+IF(BA331="",0,IFERROR(--(EOMONTH(BA331,0)&lt;&gt;AZ$5),1)))&gt;0,"; An invoice date is not in the month it is typed under",""),3,500))</f>
        <v/>
      </c>
      <c r="S331" s="12" t="n"/>
      <c r="T331" s="13" t="n"/>
      <c r="U331" s="14" t="n"/>
      <c r="V331" s="12" t="n"/>
      <c r="W331" s="13" t="n"/>
      <c r="X331" s="14" t="n"/>
      <c r="Y331" s="12" t="n"/>
      <c r="Z331" s="13" t="n"/>
      <c r="AA331" s="14" t="n"/>
      <c r="AB331" s="12" t="n"/>
      <c r="AC331" s="13" t="n"/>
      <c r="AD331" s="14" t="n"/>
      <c r="AE331" s="12" t="n"/>
      <c r="AF331" s="13" t="n"/>
      <c r="AG331" s="14" t="n"/>
      <c r="AH331" s="12" t="n"/>
      <c r="AI331" s="13" t="n"/>
      <c r="AJ331" s="14" t="n"/>
      <c r="AK331" s="12" t="n"/>
      <c r="AL331" s="13" t="n"/>
      <c r="AM331" s="14" t="n"/>
      <c r="AN331" s="12" t="n"/>
      <c r="AO331" s="13" t="n"/>
      <c r="AP331" s="14" t="n"/>
      <c r="AQ331" s="12" t="n"/>
      <c r="AR331" s="13" t="n"/>
      <c r="AS331" s="14" t="n"/>
      <c r="AT331" s="12" t="n"/>
      <c r="AU331" s="13" t="n"/>
      <c r="AV331" s="14" t="n"/>
      <c r="AW331" s="12" t="n"/>
      <c r="AX331" s="13" t="n"/>
      <c r="AY331" s="14" t="n"/>
      <c r="AZ331" s="12" t="n"/>
      <c r="BA331" s="13" t="n"/>
      <c r="BB331" s="14" t="n"/>
      <c r="BC331" s="11">
        <f>IF(O331="","",IF(J331="GST 10%",ROUND(O331*set_GSTRate,2),0))</f>
        <v/>
      </c>
      <c r="BD331" s="11">
        <f>IF(O331="","",O331+BC331)</f>
        <v/>
      </c>
      <c r="BE331" s="15">
        <f>IF(O331="","",COUNTA(S331,V331,Y331,AB331,AE331,AH331,AK331,AN331,AQ331,AT331,AW331,AZ331))</f>
        <v/>
      </c>
      <c r="BF331" s="16">
        <f>IF(COUNT(T331,W331,Z331,AC331,AF331,AI331,AL331,AO331,AR331,AU331,AX331,BA331)=0,"",MAX(T331,W331,Z331,AC331,AF331,AI331,AL331,AO331,AR331,AU331,AX331,BA331))</f>
        <v/>
      </c>
      <c r="BG331" s="10">
        <f>MID(IF(S331="","",", "&amp;S331)&amp;IF(V331="","",", "&amp;V331)&amp;IF(Y331="","",", "&amp;Y331)&amp;IF(AB331="","",", "&amp;AB331)&amp;IF(AE331="","",", "&amp;AE331)&amp;IF(AH331="","",", "&amp;AH331)&amp;IF(AK331="","",", "&amp;AK331)&amp;IF(AN331="","",", "&amp;AN331)&amp;IF(AQ331="","",", "&amp;AQ331)&amp;IF(AT331="","",", "&amp;AT331)&amp;IF(AW331="","",", "&amp;AW331)&amp;IF(AZ331="","",", "&amp;AZ331),3,500)</f>
        <v/>
      </c>
      <c r="BH331" s="12" t="n"/>
      <c r="BI331" s="15">
        <f>IFERROR(MATCH($A331,IF($B331="Onsite",tbl_Onsite[Row ID],IF($B331="Production",tbl_Production[Row ID],tbl_Consulting[Row ID])),0),"")</f>
        <v/>
      </c>
    </row>
    <row r="332">
      <c r="A332" s="10" t="inlineStr">
        <is>
          <t>ONS-0326</t>
        </is>
      </c>
      <c r="B332" s="10" t="inlineStr">
        <is>
          <t>Onsite</t>
        </is>
      </c>
      <c r="C332" s="10">
        <f>IF($BI332="","",IF($B332="Onsite",INDEX(tbl_Onsite[Job Number],$BI332),IF($B332="Production",INDEX(tbl_Production[Job Number],$BI332),INDEX(tbl_Consulting[Job Number],$BI332)))&amp;"")</f>
        <v/>
      </c>
      <c r="D332" s="10">
        <f>IF($BI332="","",IF($B332="Onsite",INDEX(tbl_Onsite[Client],$BI332),IF($B332="Production",INDEX(tbl_Production[Client],$BI332),INDEX(tbl_Consulting[Client],$BI332)))&amp;"")</f>
        <v/>
      </c>
      <c r="E332" s="10">
        <f>IF($C332="","",IF(COUNTIF(lst_Jobs,$C332)&gt;0,"OK","CHECK"))</f>
        <v/>
      </c>
      <c r="F332" s="10">
        <f>IF($C332="","",IFERROR(INDEX(lst_JobName,MATCH($C332,lst_Jobs,0)),""))</f>
        <v/>
      </c>
      <c r="G332" s="10">
        <f>IF($BI332="","",IF($B332="Onsite",INDEX(tbl_Onsite[Job Description],$BI332),IF($B332="Production",INDEX(tbl_Production[Job Description],$BI332),INDEX(tbl_Consulting[Job Description],$BI332)))&amp;"")</f>
        <v/>
      </c>
      <c r="H332" s="10">
        <f>IF($BI332="","",IF($B332="Onsite",INDEX(tbl_Onsite[Cost Centre],$BI332),IF($B332="Production",INDEX(tbl_Production[Cost Centre],$BI332),INDEX(tbl_Consulting[Cost Centre],$BI332)))&amp;"")</f>
        <v/>
      </c>
      <c r="I332" s="10">
        <f>IF($BI332="","",IF($B332="Onsite",INDEX(tbl_Onsite[Invoice Type],$BI332),IF($B332="Production",INDEX(tbl_Production[Invoice Type],$BI332),INDEX(tbl_Consulting[Invoice Type],$BI332)))&amp;"")</f>
        <v/>
      </c>
      <c r="J332" s="10">
        <f>IF($BI332="","",IF($B332="Onsite",INDEX(tbl_Onsite[Tax Code],$BI332),IF($B332="Production",INDEX(tbl_Production[Tax Code],$BI332),INDEX(tbl_Consulting[Tax Code],$BI332)))&amp;"")</f>
        <v/>
      </c>
      <c r="K332" s="10">
        <f>IF(H332="","",IFERROR(INDEX(lst_CCtoGL,MATCH(H332,lst_CCforGL,0)),""))</f>
        <v/>
      </c>
      <c r="L332" s="10">
        <f>IF($BI332="","",IF($B332="Onsite",INDEX(tbl_Onsite[PO / Reference],$BI332),IF($B332="Production",INDEX(tbl_Production[Current RMS No],$BI332),INDEX(tbl_Consulting[Qwilr Quote],$BI332)))&amp;"")</f>
        <v/>
      </c>
      <c r="M332" s="10">
        <f>IF($BI332="","",IF($B332="Onsite",INDEX(tbl_Onsite[Notes],$BI332),IF($B332="Production",INDEX(tbl_Production[Notes],$BI332),INDEX(tbl_Consulting[Notes],$BI332)))&amp;"")</f>
        <v/>
      </c>
      <c r="N332" s="11">
        <f>IF($BI332="","",IF(IF($B332="Onsite",INDEX(tbl_Onsite[Expected Revenue Ex GST],$BI332),IF($B332="Production",INDEX(tbl_Production[Expected Revenue Ex GST],$BI332),INDEX(tbl_Consulting[Expected Revenue Ex GST],$BI332)))="","",IF($B332="Onsite",INDEX(tbl_Onsite[Expected Revenue Ex GST],$BI332),IF($B332="Production",INDEX(tbl_Production[Expected Revenue Ex GST],$BI332),INDEX(tbl_Consulting[Expected Revenue Ex GST],$BI332)))))</f>
        <v/>
      </c>
      <c r="O332" s="11">
        <f>IF(AND($C332="",NOT(COUNTA($S332:$BB332)&gt;0)),"",SUM(U332,X332,AA332,AD332,AG332,AJ332,AM332,AP332,AS332,AV332,AY332,BB332))</f>
        <v/>
      </c>
      <c r="P332" s="11">
        <f>IF(O332="","",N(N332)-O332)</f>
        <v/>
      </c>
      <c r="Q332" s="10">
        <f>IF(O332="","",IF($C332="","Invoice on empty job row",IF(N332="",IF(ROUND(O332,2)=0,"No dept value","Invoiced - no dept value"),IF(ROUND(O332,2)=0,"Not invoiced - to invoice",IF(ROUND(P332,2)=0,"Agrees",IF(P332&gt;0,"Dept higher - to invoice","Xero higher - check dept"))))))</f>
        <v/>
      </c>
      <c r="R332" s="10">
        <f>IF(AND($C332="",NOT(COUNTA($S332:$BB332)&gt;0),$BI332&lt;&gt;""),"",MID(IF($BI332="","; Row ID not found on the department sheet - a row was deleted","")&amp;IF(AND($C332="",COUNTA($S332:$BB332)&gt;0),"; Invoice entered but the department row has no job number","")&amp;IF(E332="CHECK","; Job number not in the Xero job list","")&amp;IF(AND($C332&lt;&gt;"",COUNTIF($C$7:$C$1506,$C332)&gt;1),"; Job number on more than one row","")&amp;IF(AND($C332&lt;&gt;"",H332=""),"; Dept has not set a cost centre","")&amp;IF(AND($C332&lt;&gt;"",J332=""),"; Dept has not set a tax code","")&amp;IF(AND($C332&lt;&gt;"",N332=""),"; Dept has not entered an expected value","")&amp;IF((IF(OR(COUNTA(S332:U332)=0,AND(COUNTA(S332:U332)=3,ISNUMBER(U332))),0,1)+IF(OR(COUNTA(V332:X332)=0,AND(COUNTA(V332:X332)=3,ISNUMBER(X332))),0,1)+IF(OR(COUNTA(Y332:AA332)=0,AND(COUNTA(Y332:AA332)=3,ISNUMBER(AA332))),0,1)+IF(OR(COUNTA(AB332:AD332)=0,AND(COUNTA(AB332:AD332)=3,ISNUMBER(AD332))),0,1)+IF(OR(COUNTA(AE332:AG332)=0,AND(COUNTA(AE332:AG332)=3,ISNUMBER(AG332))),0,1)+IF(OR(COUNTA(AH332:AJ332)=0,AND(COUNTA(AH332:AJ332)=3,ISNUMBER(AJ332))),0,1)+IF(OR(COUNTA(AK332:AM332)=0,AND(COUNTA(AK332:AM332)=3,ISNUMBER(AM332))),0,1)+IF(OR(COUNTA(AN332:AP332)=0,AND(COUNTA(AN332:AP332)=3,ISNUMBER(AP332))),0,1)+IF(OR(COUNTA(AQ332:AS332)=0,AND(COUNTA(AQ332:AS332)=3,ISNUMBER(AS332))),0,1)+IF(OR(COUNTA(AT332:AV332)=0,AND(COUNTA(AT332:AV332)=3,ISNUMBER(AV332))),0,1)+IF(OR(COUNTA(AW332:AY332)=0,AND(COUNTA(AW332:AY332)=3,ISNUMBER(AY332))),0,1)+IF(OR(COUNTA(AZ332:BB332)=0,AND(COUNTA(AZ332:BB332)=3,ISNUMBER(BB332))),0,1))&gt;0,"; An invoice is incomplete (needs No, Date and a number in Ex GST)","")&amp;IF((IF(T332="",0,IFERROR(--(EOMONTH(T332,0)&lt;&gt;S$5),1))+IF(W332="",0,IFERROR(--(EOMONTH(W332,0)&lt;&gt;V$5),1))+IF(Z332="",0,IFERROR(--(EOMONTH(Z332,0)&lt;&gt;Y$5),1))+IF(AC332="",0,IFERROR(--(EOMONTH(AC332,0)&lt;&gt;AB$5),1))+IF(AF332="",0,IFERROR(--(EOMONTH(AF332,0)&lt;&gt;AE$5),1))+IF(AI332="",0,IFERROR(--(EOMONTH(AI332,0)&lt;&gt;AH$5),1))+IF(AL332="",0,IFERROR(--(EOMONTH(AL332,0)&lt;&gt;AK$5),1))+IF(AO332="",0,IFERROR(--(EOMONTH(AO332,0)&lt;&gt;AN$5),1))+IF(AR332="",0,IFERROR(--(EOMONTH(AR332,0)&lt;&gt;AQ$5),1))+IF(AU332="",0,IFERROR(--(EOMONTH(AU332,0)&lt;&gt;AT$5),1))+IF(AX332="",0,IFERROR(--(EOMONTH(AX332,0)&lt;&gt;AW$5),1))+IF(BA332="",0,IFERROR(--(EOMONTH(BA332,0)&lt;&gt;AZ$5),1)))&gt;0,"; An invoice date is not in the month it is typed under",""),3,500))</f>
        <v/>
      </c>
      <c r="S332" s="12" t="n"/>
      <c r="T332" s="13" t="n"/>
      <c r="U332" s="14" t="n"/>
      <c r="V332" s="12" t="n"/>
      <c r="W332" s="13" t="n"/>
      <c r="X332" s="14" t="n"/>
      <c r="Y332" s="12" t="n"/>
      <c r="Z332" s="13" t="n"/>
      <c r="AA332" s="14" t="n"/>
      <c r="AB332" s="12" t="n"/>
      <c r="AC332" s="13" t="n"/>
      <c r="AD332" s="14" t="n"/>
      <c r="AE332" s="12" t="n"/>
      <c r="AF332" s="13" t="n"/>
      <c r="AG332" s="14" t="n"/>
      <c r="AH332" s="12" t="n"/>
      <c r="AI332" s="13" t="n"/>
      <c r="AJ332" s="14" t="n"/>
      <c r="AK332" s="12" t="n"/>
      <c r="AL332" s="13" t="n"/>
      <c r="AM332" s="14" t="n"/>
      <c r="AN332" s="12" t="n"/>
      <c r="AO332" s="13" t="n"/>
      <c r="AP332" s="14" t="n"/>
      <c r="AQ332" s="12" t="n"/>
      <c r="AR332" s="13" t="n"/>
      <c r="AS332" s="14" t="n"/>
      <c r="AT332" s="12" t="n"/>
      <c r="AU332" s="13" t="n"/>
      <c r="AV332" s="14" t="n"/>
      <c r="AW332" s="12" t="n"/>
      <c r="AX332" s="13" t="n"/>
      <c r="AY332" s="14" t="n"/>
      <c r="AZ332" s="12" t="n"/>
      <c r="BA332" s="13" t="n"/>
      <c r="BB332" s="14" t="n"/>
      <c r="BC332" s="11">
        <f>IF(O332="","",IF(J332="GST 10%",ROUND(O332*set_GSTRate,2),0))</f>
        <v/>
      </c>
      <c r="BD332" s="11">
        <f>IF(O332="","",O332+BC332)</f>
        <v/>
      </c>
      <c r="BE332" s="15">
        <f>IF(O332="","",COUNTA(S332,V332,Y332,AB332,AE332,AH332,AK332,AN332,AQ332,AT332,AW332,AZ332))</f>
        <v/>
      </c>
      <c r="BF332" s="16">
        <f>IF(COUNT(T332,W332,Z332,AC332,AF332,AI332,AL332,AO332,AR332,AU332,AX332,BA332)=0,"",MAX(T332,W332,Z332,AC332,AF332,AI332,AL332,AO332,AR332,AU332,AX332,BA332))</f>
        <v/>
      </c>
      <c r="BG332" s="10">
        <f>MID(IF(S332="","",", "&amp;S332)&amp;IF(V332="","",", "&amp;V332)&amp;IF(Y332="","",", "&amp;Y332)&amp;IF(AB332="","",", "&amp;AB332)&amp;IF(AE332="","",", "&amp;AE332)&amp;IF(AH332="","",", "&amp;AH332)&amp;IF(AK332="","",", "&amp;AK332)&amp;IF(AN332="","",", "&amp;AN332)&amp;IF(AQ332="","",", "&amp;AQ332)&amp;IF(AT332="","",", "&amp;AT332)&amp;IF(AW332="","",", "&amp;AW332)&amp;IF(AZ332="","",", "&amp;AZ332),3,500)</f>
        <v/>
      </c>
      <c r="BH332" s="12" t="n"/>
      <c r="BI332" s="15">
        <f>IFERROR(MATCH($A332,IF($B332="Onsite",tbl_Onsite[Row ID],IF($B332="Production",tbl_Production[Row ID],tbl_Consulting[Row ID])),0),"")</f>
        <v/>
      </c>
    </row>
    <row r="333">
      <c r="A333" s="10" t="inlineStr">
        <is>
          <t>ONS-0327</t>
        </is>
      </c>
      <c r="B333" s="10" t="inlineStr">
        <is>
          <t>Onsite</t>
        </is>
      </c>
      <c r="C333" s="10">
        <f>IF($BI333="","",IF($B333="Onsite",INDEX(tbl_Onsite[Job Number],$BI333),IF($B333="Production",INDEX(tbl_Production[Job Number],$BI333),INDEX(tbl_Consulting[Job Number],$BI333)))&amp;"")</f>
        <v/>
      </c>
      <c r="D333" s="10">
        <f>IF($BI333="","",IF($B333="Onsite",INDEX(tbl_Onsite[Client],$BI333),IF($B333="Production",INDEX(tbl_Production[Client],$BI333),INDEX(tbl_Consulting[Client],$BI333)))&amp;"")</f>
        <v/>
      </c>
      <c r="E333" s="10">
        <f>IF($C333="","",IF(COUNTIF(lst_Jobs,$C333)&gt;0,"OK","CHECK"))</f>
        <v/>
      </c>
      <c r="F333" s="10">
        <f>IF($C333="","",IFERROR(INDEX(lst_JobName,MATCH($C333,lst_Jobs,0)),""))</f>
        <v/>
      </c>
      <c r="G333" s="10">
        <f>IF($BI333="","",IF($B333="Onsite",INDEX(tbl_Onsite[Job Description],$BI333),IF($B333="Production",INDEX(tbl_Production[Job Description],$BI333),INDEX(tbl_Consulting[Job Description],$BI333)))&amp;"")</f>
        <v/>
      </c>
      <c r="H333" s="10">
        <f>IF($BI333="","",IF($B333="Onsite",INDEX(tbl_Onsite[Cost Centre],$BI333),IF($B333="Production",INDEX(tbl_Production[Cost Centre],$BI333),INDEX(tbl_Consulting[Cost Centre],$BI333)))&amp;"")</f>
        <v/>
      </c>
      <c r="I333" s="10">
        <f>IF($BI333="","",IF($B333="Onsite",INDEX(tbl_Onsite[Invoice Type],$BI333),IF($B333="Production",INDEX(tbl_Production[Invoice Type],$BI333),INDEX(tbl_Consulting[Invoice Type],$BI333)))&amp;"")</f>
        <v/>
      </c>
      <c r="J333" s="10">
        <f>IF($BI333="","",IF($B333="Onsite",INDEX(tbl_Onsite[Tax Code],$BI333),IF($B333="Production",INDEX(tbl_Production[Tax Code],$BI333),INDEX(tbl_Consulting[Tax Code],$BI333)))&amp;"")</f>
        <v/>
      </c>
      <c r="K333" s="10">
        <f>IF(H333="","",IFERROR(INDEX(lst_CCtoGL,MATCH(H333,lst_CCforGL,0)),""))</f>
        <v/>
      </c>
      <c r="L333" s="10">
        <f>IF($BI333="","",IF($B333="Onsite",INDEX(tbl_Onsite[PO / Reference],$BI333),IF($B333="Production",INDEX(tbl_Production[Current RMS No],$BI333),INDEX(tbl_Consulting[Qwilr Quote],$BI333)))&amp;"")</f>
        <v/>
      </c>
      <c r="M333" s="10">
        <f>IF($BI333="","",IF($B333="Onsite",INDEX(tbl_Onsite[Notes],$BI333),IF($B333="Production",INDEX(tbl_Production[Notes],$BI333),INDEX(tbl_Consulting[Notes],$BI333)))&amp;"")</f>
        <v/>
      </c>
      <c r="N333" s="11">
        <f>IF($BI333="","",IF(IF($B333="Onsite",INDEX(tbl_Onsite[Expected Revenue Ex GST],$BI333),IF($B333="Production",INDEX(tbl_Production[Expected Revenue Ex GST],$BI333),INDEX(tbl_Consulting[Expected Revenue Ex GST],$BI333)))="","",IF($B333="Onsite",INDEX(tbl_Onsite[Expected Revenue Ex GST],$BI333),IF($B333="Production",INDEX(tbl_Production[Expected Revenue Ex GST],$BI333),INDEX(tbl_Consulting[Expected Revenue Ex GST],$BI333)))))</f>
        <v/>
      </c>
      <c r="O333" s="11">
        <f>IF(AND($C333="",NOT(COUNTA($S333:$BB333)&gt;0)),"",SUM(U333,X333,AA333,AD333,AG333,AJ333,AM333,AP333,AS333,AV333,AY333,BB333))</f>
        <v/>
      </c>
      <c r="P333" s="11">
        <f>IF(O333="","",N(N333)-O333)</f>
        <v/>
      </c>
      <c r="Q333" s="10">
        <f>IF(O333="","",IF($C333="","Invoice on empty job row",IF(N333="",IF(ROUND(O333,2)=0,"No dept value","Invoiced - no dept value"),IF(ROUND(O333,2)=0,"Not invoiced - to invoice",IF(ROUND(P333,2)=0,"Agrees",IF(P333&gt;0,"Dept higher - to invoice","Xero higher - check dept"))))))</f>
        <v/>
      </c>
      <c r="R333" s="10">
        <f>IF(AND($C333="",NOT(COUNTA($S333:$BB333)&gt;0),$BI333&lt;&gt;""),"",MID(IF($BI333="","; Row ID not found on the department sheet - a row was deleted","")&amp;IF(AND($C333="",COUNTA($S333:$BB333)&gt;0),"; Invoice entered but the department row has no job number","")&amp;IF(E333="CHECK","; Job number not in the Xero job list","")&amp;IF(AND($C333&lt;&gt;"",COUNTIF($C$7:$C$1506,$C333)&gt;1),"; Job number on more than one row","")&amp;IF(AND($C333&lt;&gt;"",H333=""),"; Dept has not set a cost centre","")&amp;IF(AND($C333&lt;&gt;"",J333=""),"; Dept has not set a tax code","")&amp;IF(AND($C333&lt;&gt;"",N333=""),"; Dept has not entered an expected value","")&amp;IF((IF(OR(COUNTA(S333:U333)=0,AND(COUNTA(S333:U333)=3,ISNUMBER(U333))),0,1)+IF(OR(COUNTA(V333:X333)=0,AND(COUNTA(V333:X333)=3,ISNUMBER(X333))),0,1)+IF(OR(COUNTA(Y333:AA333)=0,AND(COUNTA(Y333:AA333)=3,ISNUMBER(AA333))),0,1)+IF(OR(COUNTA(AB333:AD333)=0,AND(COUNTA(AB333:AD333)=3,ISNUMBER(AD333))),0,1)+IF(OR(COUNTA(AE333:AG333)=0,AND(COUNTA(AE333:AG333)=3,ISNUMBER(AG333))),0,1)+IF(OR(COUNTA(AH333:AJ333)=0,AND(COUNTA(AH333:AJ333)=3,ISNUMBER(AJ333))),0,1)+IF(OR(COUNTA(AK333:AM333)=0,AND(COUNTA(AK333:AM333)=3,ISNUMBER(AM333))),0,1)+IF(OR(COUNTA(AN333:AP333)=0,AND(COUNTA(AN333:AP333)=3,ISNUMBER(AP333))),0,1)+IF(OR(COUNTA(AQ333:AS333)=0,AND(COUNTA(AQ333:AS333)=3,ISNUMBER(AS333))),0,1)+IF(OR(COUNTA(AT333:AV333)=0,AND(COUNTA(AT333:AV333)=3,ISNUMBER(AV333))),0,1)+IF(OR(COUNTA(AW333:AY333)=0,AND(COUNTA(AW333:AY333)=3,ISNUMBER(AY333))),0,1)+IF(OR(COUNTA(AZ333:BB333)=0,AND(COUNTA(AZ333:BB333)=3,ISNUMBER(BB333))),0,1))&gt;0,"; An invoice is incomplete (needs No, Date and a number in Ex GST)","")&amp;IF((IF(T333="",0,IFERROR(--(EOMONTH(T333,0)&lt;&gt;S$5),1))+IF(W333="",0,IFERROR(--(EOMONTH(W333,0)&lt;&gt;V$5),1))+IF(Z333="",0,IFERROR(--(EOMONTH(Z333,0)&lt;&gt;Y$5),1))+IF(AC333="",0,IFERROR(--(EOMONTH(AC333,0)&lt;&gt;AB$5),1))+IF(AF333="",0,IFERROR(--(EOMONTH(AF333,0)&lt;&gt;AE$5),1))+IF(AI333="",0,IFERROR(--(EOMONTH(AI333,0)&lt;&gt;AH$5),1))+IF(AL333="",0,IFERROR(--(EOMONTH(AL333,0)&lt;&gt;AK$5),1))+IF(AO333="",0,IFERROR(--(EOMONTH(AO333,0)&lt;&gt;AN$5),1))+IF(AR333="",0,IFERROR(--(EOMONTH(AR333,0)&lt;&gt;AQ$5),1))+IF(AU333="",0,IFERROR(--(EOMONTH(AU333,0)&lt;&gt;AT$5),1))+IF(AX333="",0,IFERROR(--(EOMONTH(AX333,0)&lt;&gt;AW$5),1))+IF(BA333="",0,IFERROR(--(EOMONTH(BA333,0)&lt;&gt;AZ$5),1)))&gt;0,"; An invoice date is not in the month it is typed under",""),3,500))</f>
        <v/>
      </c>
      <c r="S333" s="12" t="n"/>
      <c r="T333" s="13" t="n"/>
      <c r="U333" s="14" t="n"/>
      <c r="V333" s="12" t="n"/>
      <c r="W333" s="13" t="n"/>
      <c r="X333" s="14" t="n"/>
      <c r="Y333" s="12" t="n"/>
      <c r="Z333" s="13" t="n"/>
      <c r="AA333" s="14" t="n"/>
      <c r="AB333" s="12" t="n"/>
      <c r="AC333" s="13" t="n"/>
      <c r="AD333" s="14" t="n"/>
      <c r="AE333" s="12" t="n"/>
      <c r="AF333" s="13" t="n"/>
      <c r="AG333" s="14" t="n"/>
      <c r="AH333" s="12" t="n"/>
      <c r="AI333" s="13" t="n"/>
      <c r="AJ333" s="14" t="n"/>
      <c r="AK333" s="12" t="n"/>
      <c r="AL333" s="13" t="n"/>
      <c r="AM333" s="14" t="n"/>
      <c r="AN333" s="12" t="n"/>
      <c r="AO333" s="13" t="n"/>
      <c r="AP333" s="14" t="n"/>
      <c r="AQ333" s="12" t="n"/>
      <c r="AR333" s="13" t="n"/>
      <c r="AS333" s="14" t="n"/>
      <c r="AT333" s="12" t="n"/>
      <c r="AU333" s="13" t="n"/>
      <c r="AV333" s="14" t="n"/>
      <c r="AW333" s="12" t="n"/>
      <c r="AX333" s="13" t="n"/>
      <c r="AY333" s="14" t="n"/>
      <c r="AZ333" s="12" t="n"/>
      <c r="BA333" s="13" t="n"/>
      <c r="BB333" s="14" t="n"/>
      <c r="BC333" s="11">
        <f>IF(O333="","",IF(J333="GST 10%",ROUND(O333*set_GSTRate,2),0))</f>
        <v/>
      </c>
      <c r="BD333" s="11">
        <f>IF(O333="","",O333+BC333)</f>
        <v/>
      </c>
      <c r="BE333" s="15">
        <f>IF(O333="","",COUNTA(S333,V333,Y333,AB333,AE333,AH333,AK333,AN333,AQ333,AT333,AW333,AZ333))</f>
        <v/>
      </c>
      <c r="BF333" s="16">
        <f>IF(COUNT(T333,W333,Z333,AC333,AF333,AI333,AL333,AO333,AR333,AU333,AX333,BA333)=0,"",MAX(T333,W333,Z333,AC333,AF333,AI333,AL333,AO333,AR333,AU333,AX333,BA333))</f>
        <v/>
      </c>
      <c r="BG333" s="10">
        <f>MID(IF(S333="","",", "&amp;S333)&amp;IF(V333="","",", "&amp;V333)&amp;IF(Y333="","",", "&amp;Y333)&amp;IF(AB333="","",", "&amp;AB333)&amp;IF(AE333="","",", "&amp;AE333)&amp;IF(AH333="","",", "&amp;AH333)&amp;IF(AK333="","",", "&amp;AK333)&amp;IF(AN333="","",", "&amp;AN333)&amp;IF(AQ333="","",", "&amp;AQ333)&amp;IF(AT333="","",", "&amp;AT333)&amp;IF(AW333="","",", "&amp;AW333)&amp;IF(AZ333="","",", "&amp;AZ333),3,500)</f>
        <v/>
      </c>
      <c r="BH333" s="12" t="n"/>
      <c r="BI333" s="15">
        <f>IFERROR(MATCH($A333,IF($B333="Onsite",tbl_Onsite[Row ID],IF($B333="Production",tbl_Production[Row ID],tbl_Consulting[Row ID])),0),"")</f>
        <v/>
      </c>
    </row>
    <row r="334">
      <c r="A334" s="10" t="inlineStr">
        <is>
          <t>ONS-0328</t>
        </is>
      </c>
      <c r="B334" s="10" t="inlineStr">
        <is>
          <t>Onsite</t>
        </is>
      </c>
      <c r="C334" s="10">
        <f>IF($BI334="","",IF($B334="Onsite",INDEX(tbl_Onsite[Job Number],$BI334),IF($B334="Production",INDEX(tbl_Production[Job Number],$BI334),INDEX(tbl_Consulting[Job Number],$BI334)))&amp;"")</f>
        <v/>
      </c>
      <c r="D334" s="10">
        <f>IF($BI334="","",IF($B334="Onsite",INDEX(tbl_Onsite[Client],$BI334),IF($B334="Production",INDEX(tbl_Production[Client],$BI334),INDEX(tbl_Consulting[Client],$BI334)))&amp;"")</f>
        <v/>
      </c>
      <c r="E334" s="10">
        <f>IF($C334="","",IF(COUNTIF(lst_Jobs,$C334)&gt;0,"OK","CHECK"))</f>
        <v/>
      </c>
      <c r="F334" s="10">
        <f>IF($C334="","",IFERROR(INDEX(lst_JobName,MATCH($C334,lst_Jobs,0)),""))</f>
        <v/>
      </c>
      <c r="G334" s="10">
        <f>IF($BI334="","",IF($B334="Onsite",INDEX(tbl_Onsite[Job Description],$BI334),IF($B334="Production",INDEX(tbl_Production[Job Description],$BI334),INDEX(tbl_Consulting[Job Description],$BI334)))&amp;"")</f>
        <v/>
      </c>
      <c r="H334" s="10">
        <f>IF($BI334="","",IF($B334="Onsite",INDEX(tbl_Onsite[Cost Centre],$BI334),IF($B334="Production",INDEX(tbl_Production[Cost Centre],$BI334),INDEX(tbl_Consulting[Cost Centre],$BI334)))&amp;"")</f>
        <v/>
      </c>
      <c r="I334" s="10">
        <f>IF($BI334="","",IF($B334="Onsite",INDEX(tbl_Onsite[Invoice Type],$BI334),IF($B334="Production",INDEX(tbl_Production[Invoice Type],$BI334),INDEX(tbl_Consulting[Invoice Type],$BI334)))&amp;"")</f>
        <v/>
      </c>
      <c r="J334" s="10">
        <f>IF($BI334="","",IF($B334="Onsite",INDEX(tbl_Onsite[Tax Code],$BI334),IF($B334="Production",INDEX(tbl_Production[Tax Code],$BI334),INDEX(tbl_Consulting[Tax Code],$BI334)))&amp;"")</f>
        <v/>
      </c>
      <c r="K334" s="10">
        <f>IF(H334="","",IFERROR(INDEX(lst_CCtoGL,MATCH(H334,lst_CCforGL,0)),""))</f>
        <v/>
      </c>
      <c r="L334" s="10">
        <f>IF($BI334="","",IF($B334="Onsite",INDEX(tbl_Onsite[PO / Reference],$BI334),IF($B334="Production",INDEX(tbl_Production[Current RMS No],$BI334),INDEX(tbl_Consulting[Qwilr Quote],$BI334)))&amp;"")</f>
        <v/>
      </c>
      <c r="M334" s="10">
        <f>IF($BI334="","",IF($B334="Onsite",INDEX(tbl_Onsite[Notes],$BI334),IF($B334="Production",INDEX(tbl_Production[Notes],$BI334),INDEX(tbl_Consulting[Notes],$BI334)))&amp;"")</f>
        <v/>
      </c>
      <c r="N334" s="11">
        <f>IF($BI334="","",IF(IF($B334="Onsite",INDEX(tbl_Onsite[Expected Revenue Ex GST],$BI334),IF($B334="Production",INDEX(tbl_Production[Expected Revenue Ex GST],$BI334),INDEX(tbl_Consulting[Expected Revenue Ex GST],$BI334)))="","",IF($B334="Onsite",INDEX(tbl_Onsite[Expected Revenue Ex GST],$BI334),IF($B334="Production",INDEX(tbl_Production[Expected Revenue Ex GST],$BI334),INDEX(tbl_Consulting[Expected Revenue Ex GST],$BI334)))))</f>
        <v/>
      </c>
      <c r="O334" s="11">
        <f>IF(AND($C334="",NOT(COUNTA($S334:$BB334)&gt;0)),"",SUM(U334,X334,AA334,AD334,AG334,AJ334,AM334,AP334,AS334,AV334,AY334,BB334))</f>
        <v/>
      </c>
      <c r="P334" s="11">
        <f>IF(O334="","",N(N334)-O334)</f>
        <v/>
      </c>
      <c r="Q334" s="10">
        <f>IF(O334="","",IF($C334="","Invoice on empty job row",IF(N334="",IF(ROUND(O334,2)=0,"No dept value","Invoiced - no dept value"),IF(ROUND(O334,2)=0,"Not invoiced - to invoice",IF(ROUND(P334,2)=0,"Agrees",IF(P334&gt;0,"Dept higher - to invoice","Xero higher - check dept"))))))</f>
        <v/>
      </c>
      <c r="R334" s="10">
        <f>IF(AND($C334="",NOT(COUNTA($S334:$BB334)&gt;0),$BI334&lt;&gt;""),"",MID(IF($BI334="","; Row ID not found on the department sheet - a row was deleted","")&amp;IF(AND($C334="",COUNTA($S334:$BB334)&gt;0),"; Invoice entered but the department row has no job number","")&amp;IF(E334="CHECK","; Job number not in the Xero job list","")&amp;IF(AND($C334&lt;&gt;"",COUNTIF($C$7:$C$1506,$C334)&gt;1),"; Job number on more than one row","")&amp;IF(AND($C334&lt;&gt;"",H334=""),"; Dept has not set a cost centre","")&amp;IF(AND($C334&lt;&gt;"",J334=""),"; Dept has not set a tax code","")&amp;IF(AND($C334&lt;&gt;"",N334=""),"; Dept has not entered an expected value","")&amp;IF((IF(OR(COUNTA(S334:U334)=0,AND(COUNTA(S334:U334)=3,ISNUMBER(U334))),0,1)+IF(OR(COUNTA(V334:X334)=0,AND(COUNTA(V334:X334)=3,ISNUMBER(X334))),0,1)+IF(OR(COUNTA(Y334:AA334)=0,AND(COUNTA(Y334:AA334)=3,ISNUMBER(AA334))),0,1)+IF(OR(COUNTA(AB334:AD334)=0,AND(COUNTA(AB334:AD334)=3,ISNUMBER(AD334))),0,1)+IF(OR(COUNTA(AE334:AG334)=0,AND(COUNTA(AE334:AG334)=3,ISNUMBER(AG334))),0,1)+IF(OR(COUNTA(AH334:AJ334)=0,AND(COUNTA(AH334:AJ334)=3,ISNUMBER(AJ334))),0,1)+IF(OR(COUNTA(AK334:AM334)=0,AND(COUNTA(AK334:AM334)=3,ISNUMBER(AM334))),0,1)+IF(OR(COUNTA(AN334:AP334)=0,AND(COUNTA(AN334:AP334)=3,ISNUMBER(AP334))),0,1)+IF(OR(COUNTA(AQ334:AS334)=0,AND(COUNTA(AQ334:AS334)=3,ISNUMBER(AS334))),0,1)+IF(OR(COUNTA(AT334:AV334)=0,AND(COUNTA(AT334:AV334)=3,ISNUMBER(AV334))),0,1)+IF(OR(COUNTA(AW334:AY334)=0,AND(COUNTA(AW334:AY334)=3,ISNUMBER(AY334))),0,1)+IF(OR(COUNTA(AZ334:BB334)=0,AND(COUNTA(AZ334:BB334)=3,ISNUMBER(BB334))),0,1))&gt;0,"; An invoice is incomplete (needs No, Date and a number in Ex GST)","")&amp;IF((IF(T334="",0,IFERROR(--(EOMONTH(T334,0)&lt;&gt;S$5),1))+IF(W334="",0,IFERROR(--(EOMONTH(W334,0)&lt;&gt;V$5),1))+IF(Z334="",0,IFERROR(--(EOMONTH(Z334,0)&lt;&gt;Y$5),1))+IF(AC334="",0,IFERROR(--(EOMONTH(AC334,0)&lt;&gt;AB$5),1))+IF(AF334="",0,IFERROR(--(EOMONTH(AF334,0)&lt;&gt;AE$5),1))+IF(AI334="",0,IFERROR(--(EOMONTH(AI334,0)&lt;&gt;AH$5),1))+IF(AL334="",0,IFERROR(--(EOMONTH(AL334,0)&lt;&gt;AK$5),1))+IF(AO334="",0,IFERROR(--(EOMONTH(AO334,0)&lt;&gt;AN$5),1))+IF(AR334="",0,IFERROR(--(EOMONTH(AR334,0)&lt;&gt;AQ$5),1))+IF(AU334="",0,IFERROR(--(EOMONTH(AU334,0)&lt;&gt;AT$5),1))+IF(AX334="",0,IFERROR(--(EOMONTH(AX334,0)&lt;&gt;AW$5),1))+IF(BA334="",0,IFERROR(--(EOMONTH(BA334,0)&lt;&gt;AZ$5),1)))&gt;0,"; An invoice date is not in the month it is typed under",""),3,500))</f>
        <v/>
      </c>
      <c r="S334" s="12" t="n"/>
      <c r="T334" s="13" t="n"/>
      <c r="U334" s="14" t="n"/>
      <c r="V334" s="12" t="n"/>
      <c r="W334" s="13" t="n"/>
      <c r="X334" s="14" t="n"/>
      <c r="Y334" s="12" t="n"/>
      <c r="Z334" s="13" t="n"/>
      <c r="AA334" s="14" t="n"/>
      <c r="AB334" s="12" t="n"/>
      <c r="AC334" s="13" t="n"/>
      <c r="AD334" s="14" t="n"/>
      <c r="AE334" s="12" t="n"/>
      <c r="AF334" s="13" t="n"/>
      <c r="AG334" s="14" t="n"/>
      <c r="AH334" s="12" t="n"/>
      <c r="AI334" s="13" t="n"/>
      <c r="AJ334" s="14" t="n"/>
      <c r="AK334" s="12" t="n"/>
      <c r="AL334" s="13" t="n"/>
      <c r="AM334" s="14" t="n"/>
      <c r="AN334" s="12" t="n"/>
      <c r="AO334" s="13" t="n"/>
      <c r="AP334" s="14" t="n"/>
      <c r="AQ334" s="12" t="n"/>
      <c r="AR334" s="13" t="n"/>
      <c r="AS334" s="14" t="n"/>
      <c r="AT334" s="12" t="n"/>
      <c r="AU334" s="13" t="n"/>
      <c r="AV334" s="14" t="n"/>
      <c r="AW334" s="12" t="n"/>
      <c r="AX334" s="13" t="n"/>
      <c r="AY334" s="14" t="n"/>
      <c r="AZ334" s="12" t="n"/>
      <c r="BA334" s="13" t="n"/>
      <c r="BB334" s="14" t="n"/>
      <c r="BC334" s="11">
        <f>IF(O334="","",IF(J334="GST 10%",ROUND(O334*set_GSTRate,2),0))</f>
        <v/>
      </c>
      <c r="BD334" s="11">
        <f>IF(O334="","",O334+BC334)</f>
        <v/>
      </c>
      <c r="BE334" s="15">
        <f>IF(O334="","",COUNTA(S334,V334,Y334,AB334,AE334,AH334,AK334,AN334,AQ334,AT334,AW334,AZ334))</f>
        <v/>
      </c>
      <c r="BF334" s="16">
        <f>IF(COUNT(T334,W334,Z334,AC334,AF334,AI334,AL334,AO334,AR334,AU334,AX334,BA334)=0,"",MAX(T334,W334,Z334,AC334,AF334,AI334,AL334,AO334,AR334,AU334,AX334,BA334))</f>
        <v/>
      </c>
      <c r="BG334" s="10">
        <f>MID(IF(S334="","",", "&amp;S334)&amp;IF(V334="","",", "&amp;V334)&amp;IF(Y334="","",", "&amp;Y334)&amp;IF(AB334="","",", "&amp;AB334)&amp;IF(AE334="","",", "&amp;AE334)&amp;IF(AH334="","",", "&amp;AH334)&amp;IF(AK334="","",", "&amp;AK334)&amp;IF(AN334="","",", "&amp;AN334)&amp;IF(AQ334="","",", "&amp;AQ334)&amp;IF(AT334="","",", "&amp;AT334)&amp;IF(AW334="","",", "&amp;AW334)&amp;IF(AZ334="","",", "&amp;AZ334),3,500)</f>
        <v/>
      </c>
      <c r="BH334" s="12" t="n"/>
      <c r="BI334" s="15">
        <f>IFERROR(MATCH($A334,IF($B334="Onsite",tbl_Onsite[Row ID],IF($B334="Production",tbl_Production[Row ID],tbl_Consulting[Row ID])),0),"")</f>
        <v/>
      </c>
    </row>
    <row r="335">
      <c r="A335" s="10" t="inlineStr">
        <is>
          <t>ONS-0329</t>
        </is>
      </c>
      <c r="B335" s="10" t="inlineStr">
        <is>
          <t>Onsite</t>
        </is>
      </c>
      <c r="C335" s="10">
        <f>IF($BI335="","",IF($B335="Onsite",INDEX(tbl_Onsite[Job Number],$BI335),IF($B335="Production",INDEX(tbl_Production[Job Number],$BI335),INDEX(tbl_Consulting[Job Number],$BI335)))&amp;"")</f>
        <v/>
      </c>
      <c r="D335" s="10">
        <f>IF($BI335="","",IF($B335="Onsite",INDEX(tbl_Onsite[Client],$BI335),IF($B335="Production",INDEX(tbl_Production[Client],$BI335),INDEX(tbl_Consulting[Client],$BI335)))&amp;"")</f>
        <v/>
      </c>
      <c r="E335" s="10">
        <f>IF($C335="","",IF(COUNTIF(lst_Jobs,$C335)&gt;0,"OK","CHECK"))</f>
        <v/>
      </c>
      <c r="F335" s="10">
        <f>IF($C335="","",IFERROR(INDEX(lst_JobName,MATCH($C335,lst_Jobs,0)),""))</f>
        <v/>
      </c>
      <c r="G335" s="10">
        <f>IF($BI335="","",IF($B335="Onsite",INDEX(tbl_Onsite[Job Description],$BI335),IF($B335="Production",INDEX(tbl_Production[Job Description],$BI335),INDEX(tbl_Consulting[Job Description],$BI335)))&amp;"")</f>
        <v/>
      </c>
      <c r="H335" s="10">
        <f>IF($BI335="","",IF($B335="Onsite",INDEX(tbl_Onsite[Cost Centre],$BI335),IF($B335="Production",INDEX(tbl_Production[Cost Centre],$BI335),INDEX(tbl_Consulting[Cost Centre],$BI335)))&amp;"")</f>
        <v/>
      </c>
      <c r="I335" s="10">
        <f>IF($BI335="","",IF($B335="Onsite",INDEX(tbl_Onsite[Invoice Type],$BI335),IF($B335="Production",INDEX(tbl_Production[Invoice Type],$BI335),INDEX(tbl_Consulting[Invoice Type],$BI335)))&amp;"")</f>
        <v/>
      </c>
      <c r="J335" s="10">
        <f>IF($BI335="","",IF($B335="Onsite",INDEX(tbl_Onsite[Tax Code],$BI335),IF($B335="Production",INDEX(tbl_Production[Tax Code],$BI335),INDEX(tbl_Consulting[Tax Code],$BI335)))&amp;"")</f>
        <v/>
      </c>
      <c r="K335" s="10">
        <f>IF(H335="","",IFERROR(INDEX(lst_CCtoGL,MATCH(H335,lst_CCforGL,0)),""))</f>
        <v/>
      </c>
      <c r="L335" s="10">
        <f>IF($BI335="","",IF($B335="Onsite",INDEX(tbl_Onsite[PO / Reference],$BI335),IF($B335="Production",INDEX(tbl_Production[Current RMS No],$BI335),INDEX(tbl_Consulting[Qwilr Quote],$BI335)))&amp;"")</f>
        <v/>
      </c>
      <c r="M335" s="10">
        <f>IF($BI335="","",IF($B335="Onsite",INDEX(tbl_Onsite[Notes],$BI335),IF($B335="Production",INDEX(tbl_Production[Notes],$BI335),INDEX(tbl_Consulting[Notes],$BI335)))&amp;"")</f>
        <v/>
      </c>
      <c r="N335" s="11">
        <f>IF($BI335="","",IF(IF($B335="Onsite",INDEX(tbl_Onsite[Expected Revenue Ex GST],$BI335),IF($B335="Production",INDEX(tbl_Production[Expected Revenue Ex GST],$BI335),INDEX(tbl_Consulting[Expected Revenue Ex GST],$BI335)))="","",IF($B335="Onsite",INDEX(tbl_Onsite[Expected Revenue Ex GST],$BI335),IF($B335="Production",INDEX(tbl_Production[Expected Revenue Ex GST],$BI335),INDEX(tbl_Consulting[Expected Revenue Ex GST],$BI335)))))</f>
        <v/>
      </c>
      <c r="O335" s="11">
        <f>IF(AND($C335="",NOT(COUNTA($S335:$BB335)&gt;0)),"",SUM(U335,X335,AA335,AD335,AG335,AJ335,AM335,AP335,AS335,AV335,AY335,BB335))</f>
        <v/>
      </c>
      <c r="P335" s="11">
        <f>IF(O335="","",N(N335)-O335)</f>
        <v/>
      </c>
      <c r="Q335" s="10">
        <f>IF(O335="","",IF($C335="","Invoice on empty job row",IF(N335="",IF(ROUND(O335,2)=0,"No dept value","Invoiced - no dept value"),IF(ROUND(O335,2)=0,"Not invoiced - to invoice",IF(ROUND(P335,2)=0,"Agrees",IF(P335&gt;0,"Dept higher - to invoice","Xero higher - check dept"))))))</f>
        <v/>
      </c>
      <c r="R335" s="10">
        <f>IF(AND($C335="",NOT(COUNTA($S335:$BB335)&gt;0),$BI335&lt;&gt;""),"",MID(IF($BI335="","; Row ID not found on the department sheet - a row was deleted","")&amp;IF(AND($C335="",COUNTA($S335:$BB335)&gt;0),"; Invoice entered but the department row has no job number","")&amp;IF(E335="CHECK","; Job number not in the Xero job list","")&amp;IF(AND($C335&lt;&gt;"",COUNTIF($C$7:$C$1506,$C335)&gt;1),"; Job number on more than one row","")&amp;IF(AND($C335&lt;&gt;"",H335=""),"; Dept has not set a cost centre","")&amp;IF(AND($C335&lt;&gt;"",J335=""),"; Dept has not set a tax code","")&amp;IF(AND($C335&lt;&gt;"",N335=""),"; Dept has not entered an expected value","")&amp;IF((IF(OR(COUNTA(S335:U335)=0,AND(COUNTA(S335:U335)=3,ISNUMBER(U335))),0,1)+IF(OR(COUNTA(V335:X335)=0,AND(COUNTA(V335:X335)=3,ISNUMBER(X335))),0,1)+IF(OR(COUNTA(Y335:AA335)=0,AND(COUNTA(Y335:AA335)=3,ISNUMBER(AA335))),0,1)+IF(OR(COUNTA(AB335:AD335)=0,AND(COUNTA(AB335:AD335)=3,ISNUMBER(AD335))),0,1)+IF(OR(COUNTA(AE335:AG335)=0,AND(COUNTA(AE335:AG335)=3,ISNUMBER(AG335))),0,1)+IF(OR(COUNTA(AH335:AJ335)=0,AND(COUNTA(AH335:AJ335)=3,ISNUMBER(AJ335))),0,1)+IF(OR(COUNTA(AK335:AM335)=0,AND(COUNTA(AK335:AM335)=3,ISNUMBER(AM335))),0,1)+IF(OR(COUNTA(AN335:AP335)=0,AND(COUNTA(AN335:AP335)=3,ISNUMBER(AP335))),0,1)+IF(OR(COUNTA(AQ335:AS335)=0,AND(COUNTA(AQ335:AS335)=3,ISNUMBER(AS335))),0,1)+IF(OR(COUNTA(AT335:AV335)=0,AND(COUNTA(AT335:AV335)=3,ISNUMBER(AV335))),0,1)+IF(OR(COUNTA(AW335:AY335)=0,AND(COUNTA(AW335:AY335)=3,ISNUMBER(AY335))),0,1)+IF(OR(COUNTA(AZ335:BB335)=0,AND(COUNTA(AZ335:BB335)=3,ISNUMBER(BB335))),0,1))&gt;0,"; An invoice is incomplete (needs No, Date and a number in Ex GST)","")&amp;IF((IF(T335="",0,IFERROR(--(EOMONTH(T335,0)&lt;&gt;S$5),1))+IF(W335="",0,IFERROR(--(EOMONTH(W335,0)&lt;&gt;V$5),1))+IF(Z335="",0,IFERROR(--(EOMONTH(Z335,0)&lt;&gt;Y$5),1))+IF(AC335="",0,IFERROR(--(EOMONTH(AC335,0)&lt;&gt;AB$5),1))+IF(AF335="",0,IFERROR(--(EOMONTH(AF335,0)&lt;&gt;AE$5),1))+IF(AI335="",0,IFERROR(--(EOMONTH(AI335,0)&lt;&gt;AH$5),1))+IF(AL335="",0,IFERROR(--(EOMONTH(AL335,0)&lt;&gt;AK$5),1))+IF(AO335="",0,IFERROR(--(EOMONTH(AO335,0)&lt;&gt;AN$5),1))+IF(AR335="",0,IFERROR(--(EOMONTH(AR335,0)&lt;&gt;AQ$5),1))+IF(AU335="",0,IFERROR(--(EOMONTH(AU335,0)&lt;&gt;AT$5),1))+IF(AX335="",0,IFERROR(--(EOMONTH(AX335,0)&lt;&gt;AW$5),1))+IF(BA335="",0,IFERROR(--(EOMONTH(BA335,0)&lt;&gt;AZ$5),1)))&gt;0,"; An invoice date is not in the month it is typed under",""),3,500))</f>
        <v/>
      </c>
      <c r="S335" s="12" t="n"/>
      <c r="T335" s="13" t="n"/>
      <c r="U335" s="14" t="n"/>
      <c r="V335" s="12" t="n"/>
      <c r="W335" s="13" t="n"/>
      <c r="X335" s="14" t="n"/>
      <c r="Y335" s="12" t="n"/>
      <c r="Z335" s="13" t="n"/>
      <c r="AA335" s="14" t="n"/>
      <c r="AB335" s="12" t="n"/>
      <c r="AC335" s="13" t="n"/>
      <c r="AD335" s="14" t="n"/>
      <c r="AE335" s="12" t="n"/>
      <c r="AF335" s="13" t="n"/>
      <c r="AG335" s="14" t="n"/>
      <c r="AH335" s="12" t="n"/>
      <c r="AI335" s="13" t="n"/>
      <c r="AJ335" s="14" t="n"/>
      <c r="AK335" s="12" t="n"/>
      <c r="AL335" s="13" t="n"/>
      <c r="AM335" s="14" t="n"/>
      <c r="AN335" s="12" t="n"/>
      <c r="AO335" s="13" t="n"/>
      <c r="AP335" s="14" t="n"/>
      <c r="AQ335" s="12" t="n"/>
      <c r="AR335" s="13" t="n"/>
      <c r="AS335" s="14" t="n"/>
      <c r="AT335" s="12" t="n"/>
      <c r="AU335" s="13" t="n"/>
      <c r="AV335" s="14" t="n"/>
      <c r="AW335" s="12" t="n"/>
      <c r="AX335" s="13" t="n"/>
      <c r="AY335" s="14" t="n"/>
      <c r="AZ335" s="12" t="n"/>
      <c r="BA335" s="13" t="n"/>
      <c r="BB335" s="14" t="n"/>
      <c r="BC335" s="11">
        <f>IF(O335="","",IF(J335="GST 10%",ROUND(O335*set_GSTRate,2),0))</f>
        <v/>
      </c>
      <c r="BD335" s="11">
        <f>IF(O335="","",O335+BC335)</f>
        <v/>
      </c>
      <c r="BE335" s="15">
        <f>IF(O335="","",COUNTA(S335,V335,Y335,AB335,AE335,AH335,AK335,AN335,AQ335,AT335,AW335,AZ335))</f>
        <v/>
      </c>
      <c r="BF335" s="16">
        <f>IF(COUNT(T335,W335,Z335,AC335,AF335,AI335,AL335,AO335,AR335,AU335,AX335,BA335)=0,"",MAX(T335,W335,Z335,AC335,AF335,AI335,AL335,AO335,AR335,AU335,AX335,BA335))</f>
        <v/>
      </c>
      <c r="BG335" s="10">
        <f>MID(IF(S335="","",", "&amp;S335)&amp;IF(V335="","",", "&amp;V335)&amp;IF(Y335="","",", "&amp;Y335)&amp;IF(AB335="","",", "&amp;AB335)&amp;IF(AE335="","",", "&amp;AE335)&amp;IF(AH335="","",", "&amp;AH335)&amp;IF(AK335="","",", "&amp;AK335)&amp;IF(AN335="","",", "&amp;AN335)&amp;IF(AQ335="","",", "&amp;AQ335)&amp;IF(AT335="","",", "&amp;AT335)&amp;IF(AW335="","",", "&amp;AW335)&amp;IF(AZ335="","",", "&amp;AZ335),3,500)</f>
        <v/>
      </c>
      <c r="BH335" s="12" t="n"/>
      <c r="BI335" s="15">
        <f>IFERROR(MATCH($A335,IF($B335="Onsite",tbl_Onsite[Row ID],IF($B335="Production",tbl_Production[Row ID],tbl_Consulting[Row ID])),0),"")</f>
        <v/>
      </c>
    </row>
    <row r="336">
      <c r="A336" s="10" t="inlineStr">
        <is>
          <t>ONS-0330</t>
        </is>
      </c>
      <c r="B336" s="10" t="inlineStr">
        <is>
          <t>Onsite</t>
        </is>
      </c>
      <c r="C336" s="10">
        <f>IF($BI336="","",IF($B336="Onsite",INDEX(tbl_Onsite[Job Number],$BI336),IF($B336="Production",INDEX(tbl_Production[Job Number],$BI336),INDEX(tbl_Consulting[Job Number],$BI336)))&amp;"")</f>
        <v/>
      </c>
      <c r="D336" s="10">
        <f>IF($BI336="","",IF($B336="Onsite",INDEX(tbl_Onsite[Client],$BI336),IF($B336="Production",INDEX(tbl_Production[Client],$BI336),INDEX(tbl_Consulting[Client],$BI336)))&amp;"")</f>
        <v/>
      </c>
      <c r="E336" s="10">
        <f>IF($C336="","",IF(COUNTIF(lst_Jobs,$C336)&gt;0,"OK","CHECK"))</f>
        <v/>
      </c>
      <c r="F336" s="10">
        <f>IF($C336="","",IFERROR(INDEX(lst_JobName,MATCH($C336,lst_Jobs,0)),""))</f>
        <v/>
      </c>
      <c r="G336" s="10">
        <f>IF($BI336="","",IF($B336="Onsite",INDEX(tbl_Onsite[Job Description],$BI336),IF($B336="Production",INDEX(tbl_Production[Job Description],$BI336),INDEX(tbl_Consulting[Job Description],$BI336)))&amp;"")</f>
        <v/>
      </c>
      <c r="H336" s="10">
        <f>IF($BI336="","",IF($B336="Onsite",INDEX(tbl_Onsite[Cost Centre],$BI336),IF($B336="Production",INDEX(tbl_Production[Cost Centre],$BI336),INDEX(tbl_Consulting[Cost Centre],$BI336)))&amp;"")</f>
        <v/>
      </c>
      <c r="I336" s="10">
        <f>IF($BI336="","",IF($B336="Onsite",INDEX(tbl_Onsite[Invoice Type],$BI336),IF($B336="Production",INDEX(tbl_Production[Invoice Type],$BI336),INDEX(tbl_Consulting[Invoice Type],$BI336)))&amp;"")</f>
        <v/>
      </c>
      <c r="J336" s="10">
        <f>IF($BI336="","",IF($B336="Onsite",INDEX(tbl_Onsite[Tax Code],$BI336),IF($B336="Production",INDEX(tbl_Production[Tax Code],$BI336),INDEX(tbl_Consulting[Tax Code],$BI336)))&amp;"")</f>
        <v/>
      </c>
      <c r="K336" s="10">
        <f>IF(H336="","",IFERROR(INDEX(lst_CCtoGL,MATCH(H336,lst_CCforGL,0)),""))</f>
        <v/>
      </c>
      <c r="L336" s="10">
        <f>IF($BI336="","",IF($B336="Onsite",INDEX(tbl_Onsite[PO / Reference],$BI336),IF($B336="Production",INDEX(tbl_Production[Current RMS No],$BI336),INDEX(tbl_Consulting[Qwilr Quote],$BI336)))&amp;"")</f>
        <v/>
      </c>
      <c r="M336" s="10">
        <f>IF($BI336="","",IF($B336="Onsite",INDEX(tbl_Onsite[Notes],$BI336),IF($B336="Production",INDEX(tbl_Production[Notes],$BI336),INDEX(tbl_Consulting[Notes],$BI336)))&amp;"")</f>
        <v/>
      </c>
      <c r="N336" s="11">
        <f>IF($BI336="","",IF(IF($B336="Onsite",INDEX(tbl_Onsite[Expected Revenue Ex GST],$BI336),IF($B336="Production",INDEX(tbl_Production[Expected Revenue Ex GST],$BI336),INDEX(tbl_Consulting[Expected Revenue Ex GST],$BI336)))="","",IF($B336="Onsite",INDEX(tbl_Onsite[Expected Revenue Ex GST],$BI336),IF($B336="Production",INDEX(tbl_Production[Expected Revenue Ex GST],$BI336),INDEX(tbl_Consulting[Expected Revenue Ex GST],$BI336)))))</f>
        <v/>
      </c>
      <c r="O336" s="11">
        <f>IF(AND($C336="",NOT(COUNTA($S336:$BB336)&gt;0)),"",SUM(U336,X336,AA336,AD336,AG336,AJ336,AM336,AP336,AS336,AV336,AY336,BB336))</f>
        <v/>
      </c>
      <c r="P336" s="11">
        <f>IF(O336="","",N(N336)-O336)</f>
        <v/>
      </c>
      <c r="Q336" s="10">
        <f>IF(O336="","",IF($C336="","Invoice on empty job row",IF(N336="",IF(ROUND(O336,2)=0,"No dept value","Invoiced - no dept value"),IF(ROUND(O336,2)=0,"Not invoiced - to invoice",IF(ROUND(P336,2)=0,"Agrees",IF(P336&gt;0,"Dept higher - to invoice","Xero higher - check dept"))))))</f>
        <v/>
      </c>
      <c r="R336" s="10">
        <f>IF(AND($C336="",NOT(COUNTA($S336:$BB336)&gt;0),$BI336&lt;&gt;""),"",MID(IF($BI336="","; Row ID not found on the department sheet - a row was deleted","")&amp;IF(AND($C336="",COUNTA($S336:$BB336)&gt;0),"; Invoice entered but the department row has no job number","")&amp;IF(E336="CHECK","; Job number not in the Xero job list","")&amp;IF(AND($C336&lt;&gt;"",COUNTIF($C$7:$C$1506,$C336)&gt;1),"; Job number on more than one row","")&amp;IF(AND($C336&lt;&gt;"",H336=""),"; Dept has not set a cost centre","")&amp;IF(AND($C336&lt;&gt;"",J336=""),"; Dept has not set a tax code","")&amp;IF(AND($C336&lt;&gt;"",N336=""),"; Dept has not entered an expected value","")&amp;IF((IF(OR(COUNTA(S336:U336)=0,AND(COUNTA(S336:U336)=3,ISNUMBER(U336))),0,1)+IF(OR(COUNTA(V336:X336)=0,AND(COUNTA(V336:X336)=3,ISNUMBER(X336))),0,1)+IF(OR(COUNTA(Y336:AA336)=0,AND(COUNTA(Y336:AA336)=3,ISNUMBER(AA336))),0,1)+IF(OR(COUNTA(AB336:AD336)=0,AND(COUNTA(AB336:AD336)=3,ISNUMBER(AD336))),0,1)+IF(OR(COUNTA(AE336:AG336)=0,AND(COUNTA(AE336:AG336)=3,ISNUMBER(AG336))),0,1)+IF(OR(COUNTA(AH336:AJ336)=0,AND(COUNTA(AH336:AJ336)=3,ISNUMBER(AJ336))),0,1)+IF(OR(COUNTA(AK336:AM336)=0,AND(COUNTA(AK336:AM336)=3,ISNUMBER(AM336))),0,1)+IF(OR(COUNTA(AN336:AP336)=0,AND(COUNTA(AN336:AP336)=3,ISNUMBER(AP336))),0,1)+IF(OR(COUNTA(AQ336:AS336)=0,AND(COUNTA(AQ336:AS336)=3,ISNUMBER(AS336))),0,1)+IF(OR(COUNTA(AT336:AV336)=0,AND(COUNTA(AT336:AV336)=3,ISNUMBER(AV336))),0,1)+IF(OR(COUNTA(AW336:AY336)=0,AND(COUNTA(AW336:AY336)=3,ISNUMBER(AY336))),0,1)+IF(OR(COUNTA(AZ336:BB336)=0,AND(COUNTA(AZ336:BB336)=3,ISNUMBER(BB336))),0,1))&gt;0,"; An invoice is incomplete (needs No, Date and a number in Ex GST)","")&amp;IF((IF(T336="",0,IFERROR(--(EOMONTH(T336,0)&lt;&gt;S$5),1))+IF(W336="",0,IFERROR(--(EOMONTH(W336,0)&lt;&gt;V$5),1))+IF(Z336="",0,IFERROR(--(EOMONTH(Z336,0)&lt;&gt;Y$5),1))+IF(AC336="",0,IFERROR(--(EOMONTH(AC336,0)&lt;&gt;AB$5),1))+IF(AF336="",0,IFERROR(--(EOMONTH(AF336,0)&lt;&gt;AE$5),1))+IF(AI336="",0,IFERROR(--(EOMONTH(AI336,0)&lt;&gt;AH$5),1))+IF(AL336="",0,IFERROR(--(EOMONTH(AL336,0)&lt;&gt;AK$5),1))+IF(AO336="",0,IFERROR(--(EOMONTH(AO336,0)&lt;&gt;AN$5),1))+IF(AR336="",0,IFERROR(--(EOMONTH(AR336,0)&lt;&gt;AQ$5),1))+IF(AU336="",0,IFERROR(--(EOMONTH(AU336,0)&lt;&gt;AT$5),1))+IF(AX336="",0,IFERROR(--(EOMONTH(AX336,0)&lt;&gt;AW$5),1))+IF(BA336="",0,IFERROR(--(EOMONTH(BA336,0)&lt;&gt;AZ$5),1)))&gt;0,"; An invoice date is not in the month it is typed under",""),3,500))</f>
        <v/>
      </c>
      <c r="S336" s="12" t="n"/>
      <c r="T336" s="13" t="n"/>
      <c r="U336" s="14" t="n"/>
      <c r="V336" s="12" t="n"/>
      <c r="W336" s="13" t="n"/>
      <c r="X336" s="14" t="n"/>
      <c r="Y336" s="12" t="n"/>
      <c r="Z336" s="13" t="n"/>
      <c r="AA336" s="14" t="n"/>
      <c r="AB336" s="12" t="n"/>
      <c r="AC336" s="13" t="n"/>
      <c r="AD336" s="14" t="n"/>
      <c r="AE336" s="12" t="n"/>
      <c r="AF336" s="13" t="n"/>
      <c r="AG336" s="14" t="n"/>
      <c r="AH336" s="12" t="n"/>
      <c r="AI336" s="13" t="n"/>
      <c r="AJ336" s="14" t="n"/>
      <c r="AK336" s="12" t="n"/>
      <c r="AL336" s="13" t="n"/>
      <c r="AM336" s="14" t="n"/>
      <c r="AN336" s="12" t="n"/>
      <c r="AO336" s="13" t="n"/>
      <c r="AP336" s="14" t="n"/>
      <c r="AQ336" s="12" t="n"/>
      <c r="AR336" s="13" t="n"/>
      <c r="AS336" s="14" t="n"/>
      <c r="AT336" s="12" t="n"/>
      <c r="AU336" s="13" t="n"/>
      <c r="AV336" s="14" t="n"/>
      <c r="AW336" s="12" t="n"/>
      <c r="AX336" s="13" t="n"/>
      <c r="AY336" s="14" t="n"/>
      <c r="AZ336" s="12" t="n"/>
      <c r="BA336" s="13" t="n"/>
      <c r="BB336" s="14" t="n"/>
      <c r="BC336" s="11">
        <f>IF(O336="","",IF(J336="GST 10%",ROUND(O336*set_GSTRate,2),0))</f>
        <v/>
      </c>
      <c r="BD336" s="11">
        <f>IF(O336="","",O336+BC336)</f>
        <v/>
      </c>
      <c r="BE336" s="15">
        <f>IF(O336="","",COUNTA(S336,V336,Y336,AB336,AE336,AH336,AK336,AN336,AQ336,AT336,AW336,AZ336))</f>
        <v/>
      </c>
      <c r="BF336" s="16">
        <f>IF(COUNT(T336,W336,Z336,AC336,AF336,AI336,AL336,AO336,AR336,AU336,AX336,BA336)=0,"",MAX(T336,W336,Z336,AC336,AF336,AI336,AL336,AO336,AR336,AU336,AX336,BA336))</f>
        <v/>
      </c>
      <c r="BG336" s="10">
        <f>MID(IF(S336="","",", "&amp;S336)&amp;IF(V336="","",", "&amp;V336)&amp;IF(Y336="","",", "&amp;Y336)&amp;IF(AB336="","",", "&amp;AB336)&amp;IF(AE336="","",", "&amp;AE336)&amp;IF(AH336="","",", "&amp;AH336)&amp;IF(AK336="","",", "&amp;AK336)&amp;IF(AN336="","",", "&amp;AN336)&amp;IF(AQ336="","",", "&amp;AQ336)&amp;IF(AT336="","",", "&amp;AT336)&amp;IF(AW336="","",", "&amp;AW336)&amp;IF(AZ336="","",", "&amp;AZ336),3,500)</f>
        <v/>
      </c>
      <c r="BH336" s="12" t="n"/>
      <c r="BI336" s="15">
        <f>IFERROR(MATCH($A336,IF($B336="Onsite",tbl_Onsite[Row ID],IF($B336="Production",tbl_Production[Row ID],tbl_Consulting[Row ID])),0),"")</f>
        <v/>
      </c>
    </row>
    <row r="337">
      <c r="A337" s="10" t="inlineStr">
        <is>
          <t>ONS-0331</t>
        </is>
      </c>
      <c r="B337" s="10" t="inlineStr">
        <is>
          <t>Onsite</t>
        </is>
      </c>
      <c r="C337" s="10">
        <f>IF($BI337="","",IF($B337="Onsite",INDEX(tbl_Onsite[Job Number],$BI337),IF($B337="Production",INDEX(tbl_Production[Job Number],$BI337),INDEX(tbl_Consulting[Job Number],$BI337)))&amp;"")</f>
        <v/>
      </c>
      <c r="D337" s="10">
        <f>IF($BI337="","",IF($B337="Onsite",INDEX(tbl_Onsite[Client],$BI337),IF($B337="Production",INDEX(tbl_Production[Client],$BI337),INDEX(tbl_Consulting[Client],$BI337)))&amp;"")</f>
        <v/>
      </c>
      <c r="E337" s="10">
        <f>IF($C337="","",IF(COUNTIF(lst_Jobs,$C337)&gt;0,"OK","CHECK"))</f>
        <v/>
      </c>
      <c r="F337" s="10">
        <f>IF($C337="","",IFERROR(INDEX(lst_JobName,MATCH($C337,lst_Jobs,0)),""))</f>
        <v/>
      </c>
      <c r="G337" s="10">
        <f>IF($BI337="","",IF($B337="Onsite",INDEX(tbl_Onsite[Job Description],$BI337),IF($B337="Production",INDEX(tbl_Production[Job Description],$BI337),INDEX(tbl_Consulting[Job Description],$BI337)))&amp;"")</f>
        <v/>
      </c>
      <c r="H337" s="10">
        <f>IF($BI337="","",IF($B337="Onsite",INDEX(tbl_Onsite[Cost Centre],$BI337),IF($B337="Production",INDEX(tbl_Production[Cost Centre],$BI337),INDEX(tbl_Consulting[Cost Centre],$BI337)))&amp;"")</f>
        <v/>
      </c>
      <c r="I337" s="10">
        <f>IF($BI337="","",IF($B337="Onsite",INDEX(tbl_Onsite[Invoice Type],$BI337),IF($B337="Production",INDEX(tbl_Production[Invoice Type],$BI337),INDEX(tbl_Consulting[Invoice Type],$BI337)))&amp;"")</f>
        <v/>
      </c>
      <c r="J337" s="10">
        <f>IF($BI337="","",IF($B337="Onsite",INDEX(tbl_Onsite[Tax Code],$BI337),IF($B337="Production",INDEX(tbl_Production[Tax Code],$BI337),INDEX(tbl_Consulting[Tax Code],$BI337)))&amp;"")</f>
        <v/>
      </c>
      <c r="K337" s="10">
        <f>IF(H337="","",IFERROR(INDEX(lst_CCtoGL,MATCH(H337,lst_CCforGL,0)),""))</f>
        <v/>
      </c>
      <c r="L337" s="10">
        <f>IF($BI337="","",IF($B337="Onsite",INDEX(tbl_Onsite[PO / Reference],$BI337),IF($B337="Production",INDEX(tbl_Production[Current RMS No],$BI337),INDEX(tbl_Consulting[Qwilr Quote],$BI337)))&amp;"")</f>
        <v/>
      </c>
      <c r="M337" s="10">
        <f>IF($BI337="","",IF($B337="Onsite",INDEX(tbl_Onsite[Notes],$BI337),IF($B337="Production",INDEX(tbl_Production[Notes],$BI337),INDEX(tbl_Consulting[Notes],$BI337)))&amp;"")</f>
        <v/>
      </c>
      <c r="N337" s="11">
        <f>IF($BI337="","",IF(IF($B337="Onsite",INDEX(tbl_Onsite[Expected Revenue Ex GST],$BI337),IF($B337="Production",INDEX(tbl_Production[Expected Revenue Ex GST],$BI337),INDEX(tbl_Consulting[Expected Revenue Ex GST],$BI337)))="","",IF($B337="Onsite",INDEX(tbl_Onsite[Expected Revenue Ex GST],$BI337),IF($B337="Production",INDEX(tbl_Production[Expected Revenue Ex GST],$BI337),INDEX(tbl_Consulting[Expected Revenue Ex GST],$BI337)))))</f>
        <v/>
      </c>
      <c r="O337" s="11">
        <f>IF(AND($C337="",NOT(COUNTA($S337:$BB337)&gt;0)),"",SUM(U337,X337,AA337,AD337,AG337,AJ337,AM337,AP337,AS337,AV337,AY337,BB337))</f>
        <v/>
      </c>
      <c r="P337" s="11">
        <f>IF(O337="","",N(N337)-O337)</f>
        <v/>
      </c>
      <c r="Q337" s="10">
        <f>IF(O337="","",IF($C337="","Invoice on empty job row",IF(N337="",IF(ROUND(O337,2)=0,"No dept value","Invoiced - no dept value"),IF(ROUND(O337,2)=0,"Not invoiced - to invoice",IF(ROUND(P337,2)=0,"Agrees",IF(P337&gt;0,"Dept higher - to invoice","Xero higher - check dept"))))))</f>
        <v/>
      </c>
      <c r="R337" s="10">
        <f>IF(AND($C337="",NOT(COUNTA($S337:$BB337)&gt;0),$BI337&lt;&gt;""),"",MID(IF($BI337="","; Row ID not found on the department sheet - a row was deleted","")&amp;IF(AND($C337="",COUNTA($S337:$BB337)&gt;0),"; Invoice entered but the department row has no job number","")&amp;IF(E337="CHECK","; Job number not in the Xero job list","")&amp;IF(AND($C337&lt;&gt;"",COUNTIF($C$7:$C$1506,$C337)&gt;1),"; Job number on more than one row","")&amp;IF(AND($C337&lt;&gt;"",H337=""),"; Dept has not set a cost centre","")&amp;IF(AND($C337&lt;&gt;"",J337=""),"; Dept has not set a tax code","")&amp;IF(AND($C337&lt;&gt;"",N337=""),"; Dept has not entered an expected value","")&amp;IF((IF(OR(COUNTA(S337:U337)=0,AND(COUNTA(S337:U337)=3,ISNUMBER(U337))),0,1)+IF(OR(COUNTA(V337:X337)=0,AND(COUNTA(V337:X337)=3,ISNUMBER(X337))),0,1)+IF(OR(COUNTA(Y337:AA337)=0,AND(COUNTA(Y337:AA337)=3,ISNUMBER(AA337))),0,1)+IF(OR(COUNTA(AB337:AD337)=0,AND(COUNTA(AB337:AD337)=3,ISNUMBER(AD337))),0,1)+IF(OR(COUNTA(AE337:AG337)=0,AND(COUNTA(AE337:AG337)=3,ISNUMBER(AG337))),0,1)+IF(OR(COUNTA(AH337:AJ337)=0,AND(COUNTA(AH337:AJ337)=3,ISNUMBER(AJ337))),0,1)+IF(OR(COUNTA(AK337:AM337)=0,AND(COUNTA(AK337:AM337)=3,ISNUMBER(AM337))),0,1)+IF(OR(COUNTA(AN337:AP337)=0,AND(COUNTA(AN337:AP337)=3,ISNUMBER(AP337))),0,1)+IF(OR(COUNTA(AQ337:AS337)=0,AND(COUNTA(AQ337:AS337)=3,ISNUMBER(AS337))),0,1)+IF(OR(COUNTA(AT337:AV337)=0,AND(COUNTA(AT337:AV337)=3,ISNUMBER(AV337))),0,1)+IF(OR(COUNTA(AW337:AY337)=0,AND(COUNTA(AW337:AY337)=3,ISNUMBER(AY337))),0,1)+IF(OR(COUNTA(AZ337:BB337)=0,AND(COUNTA(AZ337:BB337)=3,ISNUMBER(BB337))),0,1))&gt;0,"; An invoice is incomplete (needs No, Date and a number in Ex GST)","")&amp;IF((IF(T337="",0,IFERROR(--(EOMONTH(T337,0)&lt;&gt;S$5),1))+IF(W337="",0,IFERROR(--(EOMONTH(W337,0)&lt;&gt;V$5),1))+IF(Z337="",0,IFERROR(--(EOMONTH(Z337,0)&lt;&gt;Y$5),1))+IF(AC337="",0,IFERROR(--(EOMONTH(AC337,0)&lt;&gt;AB$5),1))+IF(AF337="",0,IFERROR(--(EOMONTH(AF337,0)&lt;&gt;AE$5),1))+IF(AI337="",0,IFERROR(--(EOMONTH(AI337,0)&lt;&gt;AH$5),1))+IF(AL337="",0,IFERROR(--(EOMONTH(AL337,0)&lt;&gt;AK$5),1))+IF(AO337="",0,IFERROR(--(EOMONTH(AO337,0)&lt;&gt;AN$5),1))+IF(AR337="",0,IFERROR(--(EOMONTH(AR337,0)&lt;&gt;AQ$5),1))+IF(AU337="",0,IFERROR(--(EOMONTH(AU337,0)&lt;&gt;AT$5),1))+IF(AX337="",0,IFERROR(--(EOMONTH(AX337,0)&lt;&gt;AW$5),1))+IF(BA337="",0,IFERROR(--(EOMONTH(BA337,0)&lt;&gt;AZ$5),1)))&gt;0,"; An invoice date is not in the month it is typed under",""),3,500))</f>
        <v/>
      </c>
      <c r="S337" s="12" t="n"/>
      <c r="T337" s="13" t="n"/>
      <c r="U337" s="14" t="n"/>
      <c r="V337" s="12" t="n"/>
      <c r="W337" s="13" t="n"/>
      <c r="X337" s="14" t="n"/>
      <c r="Y337" s="12" t="n"/>
      <c r="Z337" s="13" t="n"/>
      <c r="AA337" s="14" t="n"/>
      <c r="AB337" s="12" t="n"/>
      <c r="AC337" s="13" t="n"/>
      <c r="AD337" s="14" t="n"/>
      <c r="AE337" s="12" t="n"/>
      <c r="AF337" s="13" t="n"/>
      <c r="AG337" s="14" t="n"/>
      <c r="AH337" s="12" t="n"/>
      <c r="AI337" s="13" t="n"/>
      <c r="AJ337" s="14" t="n"/>
      <c r="AK337" s="12" t="n"/>
      <c r="AL337" s="13" t="n"/>
      <c r="AM337" s="14" t="n"/>
      <c r="AN337" s="12" t="n"/>
      <c r="AO337" s="13" t="n"/>
      <c r="AP337" s="14" t="n"/>
      <c r="AQ337" s="12" t="n"/>
      <c r="AR337" s="13" t="n"/>
      <c r="AS337" s="14" t="n"/>
      <c r="AT337" s="12" t="n"/>
      <c r="AU337" s="13" t="n"/>
      <c r="AV337" s="14" t="n"/>
      <c r="AW337" s="12" t="n"/>
      <c r="AX337" s="13" t="n"/>
      <c r="AY337" s="14" t="n"/>
      <c r="AZ337" s="12" t="n"/>
      <c r="BA337" s="13" t="n"/>
      <c r="BB337" s="14" t="n"/>
      <c r="BC337" s="11">
        <f>IF(O337="","",IF(J337="GST 10%",ROUND(O337*set_GSTRate,2),0))</f>
        <v/>
      </c>
      <c r="BD337" s="11">
        <f>IF(O337="","",O337+BC337)</f>
        <v/>
      </c>
      <c r="BE337" s="15">
        <f>IF(O337="","",COUNTA(S337,V337,Y337,AB337,AE337,AH337,AK337,AN337,AQ337,AT337,AW337,AZ337))</f>
        <v/>
      </c>
      <c r="BF337" s="16">
        <f>IF(COUNT(T337,W337,Z337,AC337,AF337,AI337,AL337,AO337,AR337,AU337,AX337,BA337)=0,"",MAX(T337,W337,Z337,AC337,AF337,AI337,AL337,AO337,AR337,AU337,AX337,BA337))</f>
        <v/>
      </c>
      <c r="BG337" s="10">
        <f>MID(IF(S337="","",", "&amp;S337)&amp;IF(V337="","",", "&amp;V337)&amp;IF(Y337="","",", "&amp;Y337)&amp;IF(AB337="","",", "&amp;AB337)&amp;IF(AE337="","",", "&amp;AE337)&amp;IF(AH337="","",", "&amp;AH337)&amp;IF(AK337="","",", "&amp;AK337)&amp;IF(AN337="","",", "&amp;AN337)&amp;IF(AQ337="","",", "&amp;AQ337)&amp;IF(AT337="","",", "&amp;AT337)&amp;IF(AW337="","",", "&amp;AW337)&amp;IF(AZ337="","",", "&amp;AZ337),3,500)</f>
        <v/>
      </c>
      <c r="BH337" s="12" t="n"/>
      <c r="BI337" s="15">
        <f>IFERROR(MATCH($A337,IF($B337="Onsite",tbl_Onsite[Row ID],IF($B337="Production",tbl_Production[Row ID],tbl_Consulting[Row ID])),0),"")</f>
        <v/>
      </c>
    </row>
    <row r="338">
      <c r="A338" s="10" t="inlineStr">
        <is>
          <t>ONS-0332</t>
        </is>
      </c>
      <c r="B338" s="10" t="inlineStr">
        <is>
          <t>Onsite</t>
        </is>
      </c>
      <c r="C338" s="10">
        <f>IF($BI338="","",IF($B338="Onsite",INDEX(tbl_Onsite[Job Number],$BI338),IF($B338="Production",INDEX(tbl_Production[Job Number],$BI338),INDEX(tbl_Consulting[Job Number],$BI338)))&amp;"")</f>
        <v/>
      </c>
      <c r="D338" s="10">
        <f>IF($BI338="","",IF($B338="Onsite",INDEX(tbl_Onsite[Client],$BI338),IF($B338="Production",INDEX(tbl_Production[Client],$BI338),INDEX(tbl_Consulting[Client],$BI338)))&amp;"")</f>
        <v/>
      </c>
      <c r="E338" s="10">
        <f>IF($C338="","",IF(COUNTIF(lst_Jobs,$C338)&gt;0,"OK","CHECK"))</f>
        <v/>
      </c>
      <c r="F338" s="10">
        <f>IF($C338="","",IFERROR(INDEX(lst_JobName,MATCH($C338,lst_Jobs,0)),""))</f>
        <v/>
      </c>
      <c r="G338" s="10">
        <f>IF($BI338="","",IF($B338="Onsite",INDEX(tbl_Onsite[Job Description],$BI338),IF($B338="Production",INDEX(tbl_Production[Job Description],$BI338),INDEX(tbl_Consulting[Job Description],$BI338)))&amp;"")</f>
        <v/>
      </c>
      <c r="H338" s="10">
        <f>IF($BI338="","",IF($B338="Onsite",INDEX(tbl_Onsite[Cost Centre],$BI338),IF($B338="Production",INDEX(tbl_Production[Cost Centre],$BI338),INDEX(tbl_Consulting[Cost Centre],$BI338)))&amp;"")</f>
        <v/>
      </c>
      <c r="I338" s="10">
        <f>IF($BI338="","",IF($B338="Onsite",INDEX(tbl_Onsite[Invoice Type],$BI338),IF($B338="Production",INDEX(tbl_Production[Invoice Type],$BI338),INDEX(tbl_Consulting[Invoice Type],$BI338)))&amp;"")</f>
        <v/>
      </c>
      <c r="J338" s="10">
        <f>IF($BI338="","",IF($B338="Onsite",INDEX(tbl_Onsite[Tax Code],$BI338),IF($B338="Production",INDEX(tbl_Production[Tax Code],$BI338),INDEX(tbl_Consulting[Tax Code],$BI338)))&amp;"")</f>
        <v/>
      </c>
      <c r="K338" s="10">
        <f>IF(H338="","",IFERROR(INDEX(lst_CCtoGL,MATCH(H338,lst_CCforGL,0)),""))</f>
        <v/>
      </c>
      <c r="L338" s="10">
        <f>IF($BI338="","",IF($B338="Onsite",INDEX(tbl_Onsite[PO / Reference],$BI338),IF($B338="Production",INDEX(tbl_Production[Current RMS No],$BI338),INDEX(tbl_Consulting[Qwilr Quote],$BI338)))&amp;"")</f>
        <v/>
      </c>
      <c r="M338" s="10">
        <f>IF($BI338="","",IF($B338="Onsite",INDEX(tbl_Onsite[Notes],$BI338),IF($B338="Production",INDEX(tbl_Production[Notes],$BI338),INDEX(tbl_Consulting[Notes],$BI338)))&amp;"")</f>
        <v/>
      </c>
      <c r="N338" s="11">
        <f>IF($BI338="","",IF(IF($B338="Onsite",INDEX(tbl_Onsite[Expected Revenue Ex GST],$BI338),IF($B338="Production",INDEX(tbl_Production[Expected Revenue Ex GST],$BI338),INDEX(tbl_Consulting[Expected Revenue Ex GST],$BI338)))="","",IF($B338="Onsite",INDEX(tbl_Onsite[Expected Revenue Ex GST],$BI338),IF($B338="Production",INDEX(tbl_Production[Expected Revenue Ex GST],$BI338),INDEX(tbl_Consulting[Expected Revenue Ex GST],$BI338)))))</f>
        <v/>
      </c>
      <c r="O338" s="11">
        <f>IF(AND($C338="",NOT(COUNTA($S338:$BB338)&gt;0)),"",SUM(U338,X338,AA338,AD338,AG338,AJ338,AM338,AP338,AS338,AV338,AY338,BB338))</f>
        <v/>
      </c>
      <c r="P338" s="11">
        <f>IF(O338="","",N(N338)-O338)</f>
        <v/>
      </c>
      <c r="Q338" s="10">
        <f>IF(O338="","",IF($C338="","Invoice on empty job row",IF(N338="",IF(ROUND(O338,2)=0,"No dept value","Invoiced - no dept value"),IF(ROUND(O338,2)=0,"Not invoiced - to invoice",IF(ROUND(P338,2)=0,"Agrees",IF(P338&gt;0,"Dept higher - to invoice","Xero higher - check dept"))))))</f>
        <v/>
      </c>
      <c r="R338" s="10">
        <f>IF(AND($C338="",NOT(COUNTA($S338:$BB338)&gt;0),$BI338&lt;&gt;""),"",MID(IF($BI338="","; Row ID not found on the department sheet - a row was deleted","")&amp;IF(AND($C338="",COUNTA($S338:$BB338)&gt;0),"; Invoice entered but the department row has no job number","")&amp;IF(E338="CHECK","; Job number not in the Xero job list","")&amp;IF(AND($C338&lt;&gt;"",COUNTIF($C$7:$C$1506,$C338)&gt;1),"; Job number on more than one row","")&amp;IF(AND($C338&lt;&gt;"",H338=""),"; Dept has not set a cost centre","")&amp;IF(AND($C338&lt;&gt;"",J338=""),"; Dept has not set a tax code","")&amp;IF(AND($C338&lt;&gt;"",N338=""),"; Dept has not entered an expected value","")&amp;IF((IF(OR(COUNTA(S338:U338)=0,AND(COUNTA(S338:U338)=3,ISNUMBER(U338))),0,1)+IF(OR(COUNTA(V338:X338)=0,AND(COUNTA(V338:X338)=3,ISNUMBER(X338))),0,1)+IF(OR(COUNTA(Y338:AA338)=0,AND(COUNTA(Y338:AA338)=3,ISNUMBER(AA338))),0,1)+IF(OR(COUNTA(AB338:AD338)=0,AND(COUNTA(AB338:AD338)=3,ISNUMBER(AD338))),0,1)+IF(OR(COUNTA(AE338:AG338)=0,AND(COUNTA(AE338:AG338)=3,ISNUMBER(AG338))),0,1)+IF(OR(COUNTA(AH338:AJ338)=0,AND(COUNTA(AH338:AJ338)=3,ISNUMBER(AJ338))),0,1)+IF(OR(COUNTA(AK338:AM338)=0,AND(COUNTA(AK338:AM338)=3,ISNUMBER(AM338))),0,1)+IF(OR(COUNTA(AN338:AP338)=0,AND(COUNTA(AN338:AP338)=3,ISNUMBER(AP338))),0,1)+IF(OR(COUNTA(AQ338:AS338)=0,AND(COUNTA(AQ338:AS338)=3,ISNUMBER(AS338))),0,1)+IF(OR(COUNTA(AT338:AV338)=0,AND(COUNTA(AT338:AV338)=3,ISNUMBER(AV338))),0,1)+IF(OR(COUNTA(AW338:AY338)=0,AND(COUNTA(AW338:AY338)=3,ISNUMBER(AY338))),0,1)+IF(OR(COUNTA(AZ338:BB338)=0,AND(COUNTA(AZ338:BB338)=3,ISNUMBER(BB338))),0,1))&gt;0,"; An invoice is incomplete (needs No, Date and a number in Ex GST)","")&amp;IF((IF(T338="",0,IFERROR(--(EOMONTH(T338,0)&lt;&gt;S$5),1))+IF(W338="",0,IFERROR(--(EOMONTH(W338,0)&lt;&gt;V$5),1))+IF(Z338="",0,IFERROR(--(EOMONTH(Z338,0)&lt;&gt;Y$5),1))+IF(AC338="",0,IFERROR(--(EOMONTH(AC338,0)&lt;&gt;AB$5),1))+IF(AF338="",0,IFERROR(--(EOMONTH(AF338,0)&lt;&gt;AE$5),1))+IF(AI338="",0,IFERROR(--(EOMONTH(AI338,0)&lt;&gt;AH$5),1))+IF(AL338="",0,IFERROR(--(EOMONTH(AL338,0)&lt;&gt;AK$5),1))+IF(AO338="",0,IFERROR(--(EOMONTH(AO338,0)&lt;&gt;AN$5),1))+IF(AR338="",0,IFERROR(--(EOMONTH(AR338,0)&lt;&gt;AQ$5),1))+IF(AU338="",0,IFERROR(--(EOMONTH(AU338,0)&lt;&gt;AT$5),1))+IF(AX338="",0,IFERROR(--(EOMONTH(AX338,0)&lt;&gt;AW$5),1))+IF(BA338="",0,IFERROR(--(EOMONTH(BA338,0)&lt;&gt;AZ$5),1)))&gt;0,"; An invoice date is not in the month it is typed under",""),3,500))</f>
        <v/>
      </c>
      <c r="S338" s="12" t="n"/>
      <c r="T338" s="13" t="n"/>
      <c r="U338" s="14" t="n"/>
      <c r="V338" s="12" t="n"/>
      <c r="W338" s="13" t="n"/>
      <c r="X338" s="14" t="n"/>
      <c r="Y338" s="12" t="n"/>
      <c r="Z338" s="13" t="n"/>
      <c r="AA338" s="14" t="n"/>
      <c r="AB338" s="12" t="n"/>
      <c r="AC338" s="13" t="n"/>
      <c r="AD338" s="14" t="n"/>
      <c r="AE338" s="12" t="n"/>
      <c r="AF338" s="13" t="n"/>
      <c r="AG338" s="14" t="n"/>
      <c r="AH338" s="12" t="n"/>
      <c r="AI338" s="13" t="n"/>
      <c r="AJ338" s="14" t="n"/>
      <c r="AK338" s="12" t="n"/>
      <c r="AL338" s="13" t="n"/>
      <c r="AM338" s="14" t="n"/>
      <c r="AN338" s="12" t="n"/>
      <c r="AO338" s="13" t="n"/>
      <c r="AP338" s="14" t="n"/>
      <c r="AQ338" s="12" t="n"/>
      <c r="AR338" s="13" t="n"/>
      <c r="AS338" s="14" t="n"/>
      <c r="AT338" s="12" t="n"/>
      <c r="AU338" s="13" t="n"/>
      <c r="AV338" s="14" t="n"/>
      <c r="AW338" s="12" t="n"/>
      <c r="AX338" s="13" t="n"/>
      <c r="AY338" s="14" t="n"/>
      <c r="AZ338" s="12" t="n"/>
      <c r="BA338" s="13" t="n"/>
      <c r="BB338" s="14" t="n"/>
      <c r="BC338" s="11">
        <f>IF(O338="","",IF(J338="GST 10%",ROUND(O338*set_GSTRate,2),0))</f>
        <v/>
      </c>
      <c r="BD338" s="11">
        <f>IF(O338="","",O338+BC338)</f>
        <v/>
      </c>
      <c r="BE338" s="15">
        <f>IF(O338="","",COUNTA(S338,V338,Y338,AB338,AE338,AH338,AK338,AN338,AQ338,AT338,AW338,AZ338))</f>
        <v/>
      </c>
      <c r="BF338" s="16">
        <f>IF(COUNT(T338,W338,Z338,AC338,AF338,AI338,AL338,AO338,AR338,AU338,AX338,BA338)=0,"",MAX(T338,W338,Z338,AC338,AF338,AI338,AL338,AO338,AR338,AU338,AX338,BA338))</f>
        <v/>
      </c>
      <c r="BG338" s="10">
        <f>MID(IF(S338="","",", "&amp;S338)&amp;IF(V338="","",", "&amp;V338)&amp;IF(Y338="","",", "&amp;Y338)&amp;IF(AB338="","",", "&amp;AB338)&amp;IF(AE338="","",", "&amp;AE338)&amp;IF(AH338="","",", "&amp;AH338)&amp;IF(AK338="","",", "&amp;AK338)&amp;IF(AN338="","",", "&amp;AN338)&amp;IF(AQ338="","",", "&amp;AQ338)&amp;IF(AT338="","",", "&amp;AT338)&amp;IF(AW338="","",", "&amp;AW338)&amp;IF(AZ338="","",", "&amp;AZ338),3,500)</f>
        <v/>
      </c>
      <c r="BH338" s="12" t="n"/>
      <c r="BI338" s="15">
        <f>IFERROR(MATCH($A338,IF($B338="Onsite",tbl_Onsite[Row ID],IF($B338="Production",tbl_Production[Row ID],tbl_Consulting[Row ID])),0),"")</f>
        <v/>
      </c>
    </row>
    <row r="339">
      <c r="A339" s="10" t="inlineStr">
        <is>
          <t>ONS-0333</t>
        </is>
      </c>
      <c r="B339" s="10" t="inlineStr">
        <is>
          <t>Onsite</t>
        </is>
      </c>
      <c r="C339" s="10">
        <f>IF($BI339="","",IF($B339="Onsite",INDEX(tbl_Onsite[Job Number],$BI339),IF($B339="Production",INDEX(tbl_Production[Job Number],$BI339),INDEX(tbl_Consulting[Job Number],$BI339)))&amp;"")</f>
        <v/>
      </c>
      <c r="D339" s="10">
        <f>IF($BI339="","",IF($B339="Onsite",INDEX(tbl_Onsite[Client],$BI339),IF($B339="Production",INDEX(tbl_Production[Client],$BI339),INDEX(tbl_Consulting[Client],$BI339)))&amp;"")</f>
        <v/>
      </c>
      <c r="E339" s="10">
        <f>IF($C339="","",IF(COUNTIF(lst_Jobs,$C339)&gt;0,"OK","CHECK"))</f>
        <v/>
      </c>
      <c r="F339" s="10">
        <f>IF($C339="","",IFERROR(INDEX(lst_JobName,MATCH($C339,lst_Jobs,0)),""))</f>
        <v/>
      </c>
      <c r="G339" s="10">
        <f>IF($BI339="","",IF($B339="Onsite",INDEX(tbl_Onsite[Job Description],$BI339),IF($B339="Production",INDEX(tbl_Production[Job Description],$BI339),INDEX(tbl_Consulting[Job Description],$BI339)))&amp;"")</f>
        <v/>
      </c>
      <c r="H339" s="10">
        <f>IF($BI339="","",IF($B339="Onsite",INDEX(tbl_Onsite[Cost Centre],$BI339),IF($B339="Production",INDEX(tbl_Production[Cost Centre],$BI339),INDEX(tbl_Consulting[Cost Centre],$BI339)))&amp;"")</f>
        <v/>
      </c>
      <c r="I339" s="10">
        <f>IF($BI339="","",IF($B339="Onsite",INDEX(tbl_Onsite[Invoice Type],$BI339),IF($B339="Production",INDEX(tbl_Production[Invoice Type],$BI339),INDEX(tbl_Consulting[Invoice Type],$BI339)))&amp;"")</f>
        <v/>
      </c>
      <c r="J339" s="10">
        <f>IF($BI339="","",IF($B339="Onsite",INDEX(tbl_Onsite[Tax Code],$BI339),IF($B339="Production",INDEX(tbl_Production[Tax Code],$BI339),INDEX(tbl_Consulting[Tax Code],$BI339)))&amp;"")</f>
        <v/>
      </c>
      <c r="K339" s="10">
        <f>IF(H339="","",IFERROR(INDEX(lst_CCtoGL,MATCH(H339,lst_CCforGL,0)),""))</f>
        <v/>
      </c>
      <c r="L339" s="10">
        <f>IF($BI339="","",IF($B339="Onsite",INDEX(tbl_Onsite[PO / Reference],$BI339),IF($B339="Production",INDEX(tbl_Production[Current RMS No],$BI339),INDEX(tbl_Consulting[Qwilr Quote],$BI339)))&amp;"")</f>
        <v/>
      </c>
      <c r="M339" s="10">
        <f>IF($BI339="","",IF($B339="Onsite",INDEX(tbl_Onsite[Notes],$BI339),IF($B339="Production",INDEX(tbl_Production[Notes],$BI339),INDEX(tbl_Consulting[Notes],$BI339)))&amp;"")</f>
        <v/>
      </c>
      <c r="N339" s="11">
        <f>IF($BI339="","",IF(IF($B339="Onsite",INDEX(tbl_Onsite[Expected Revenue Ex GST],$BI339),IF($B339="Production",INDEX(tbl_Production[Expected Revenue Ex GST],$BI339),INDEX(tbl_Consulting[Expected Revenue Ex GST],$BI339)))="","",IF($B339="Onsite",INDEX(tbl_Onsite[Expected Revenue Ex GST],$BI339),IF($B339="Production",INDEX(tbl_Production[Expected Revenue Ex GST],$BI339),INDEX(tbl_Consulting[Expected Revenue Ex GST],$BI339)))))</f>
        <v/>
      </c>
      <c r="O339" s="11">
        <f>IF(AND($C339="",NOT(COUNTA($S339:$BB339)&gt;0)),"",SUM(U339,X339,AA339,AD339,AG339,AJ339,AM339,AP339,AS339,AV339,AY339,BB339))</f>
        <v/>
      </c>
      <c r="P339" s="11">
        <f>IF(O339="","",N(N339)-O339)</f>
        <v/>
      </c>
      <c r="Q339" s="10">
        <f>IF(O339="","",IF($C339="","Invoice on empty job row",IF(N339="",IF(ROUND(O339,2)=0,"No dept value","Invoiced - no dept value"),IF(ROUND(O339,2)=0,"Not invoiced - to invoice",IF(ROUND(P339,2)=0,"Agrees",IF(P339&gt;0,"Dept higher - to invoice","Xero higher - check dept"))))))</f>
        <v/>
      </c>
      <c r="R339" s="10">
        <f>IF(AND($C339="",NOT(COUNTA($S339:$BB339)&gt;0),$BI339&lt;&gt;""),"",MID(IF($BI339="","; Row ID not found on the department sheet - a row was deleted","")&amp;IF(AND($C339="",COUNTA($S339:$BB339)&gt;0),"; Invoice entered but the department row has no job number","")&amp;IF(E339="CHECK","; Job number not in the Xero job list","")&amp;IF(AND($C339&lt;&gt;"",COUNTIF($C$7:$C$1506,$C339)&gt;1),"; Job number on more than one row","")&amp;IF(AND($C339&lt;&gt;"",H339=""),"; Dept has not set a cost centre","")&amp;IF(AND($C339&lt;&gt;"",J339=""),"; Dept has not set a tax code","")&amp;IF(AND($C339&lt;&gt;"",N339=""),"; Dept has not entered an expected value","")&amp;IF((IF(OR(COUNTA(S339:U339)=0,AND(COUNTA(S339:U339)=3,ISNUMBER(U339))),0,1)+IF(OR(COUNTA(V339:X339)=0,AND(COUNTA(V339:X339)=3,ISNUMBER(X339))),0,1)+IF(OR(COUNTA(Y339:AA339)=0,AND(COUNTA(Y339:AA339)=3,ISNUMBER(AA339))),0,1)+IF(OR(COUNTA(AB339:AD339)=0,AND(COUNTA(AB339:AD339)=3,ISNUMBER(AD339))),0,1)+IF(OR(COUNTA(AE339:AG339)=0,AND(COUNTA(AE339:AG339)=3,ISNUMBER(AG339))),0,1)+IF(OR(COUNTA(AH339:AJ339)=0,AND(COUNTA(AH339:AJ339)=3,ISNUMBER(AJ339))),0,1)+IF(OR(COUNTA(AK339:AM339)=0,AND(COUNTA(AK339:AM339)=3,ISNUMBER(AM339))),0,1)+IF(OR(COUNTA(AN339:AP339)=0,AND(COUNTA(AN339:AP339)=3,ISNUMBER(AP339))),0,1)+IF(OR(COUNTA(AQ339:AS339)=0,AND(COUNTA(AQ339:AS339)=3,ISNUMBER(AS339))),0,1)+IF(OR(COUNTA(AT339:AV339)=0,AND(COUNTA(AT339:AV339)=3,ISNUMBER(AV339))),0,1)+IF(OR(COUNTA(AW339:AY339)=0,AND(COUNTA(AW339:AY339)=3,ISNUMBER(AY339))),0,1)+IF(OR(COUNTA(AZ339:BB339)=0,AND(COUNTA(AZ339:BB339)=3,ISNUMBER(BB339))),0,1))&gt;0,"; An invoice is incomplete (needs No, Date and a number in Ex GST)","")&amp;IF((IF(T339="",0,IFERROR(--(EOMONTH(T339,0)&lt;&gt;S$5),1))+IF(W339="",0,IFERROR(--(EOMONTH(W339,0)&lt;&gt;V$5),1))+IF(Z339="",0,IFERROR(--(EOMONTH(Z339,0)&lt;&gt;Y$5),1))+IF(AC339="",0,IFERROR(--(EOMONTH(AC339,0)&lt;&gt;AB$5),1))+IF(AF339="",0,IFERROR(--(EOMONTH(AF339,0)&lt;&gt;AE$5),1))+IF(AI339="",0,IFERROR(--(EOMONTH(AI339,0)&lt;&gt;AH$5),1))+IF(AL339="",0,IFERROR(--(EOMONTH(AL339,0)&lt;&gt;AK$5),1))+IF(AO339="",0,IFERROR(--(EOMONTH(AO339,0)&lt;&gt;AN$5),1))+IF(AR339="",0,IFERROR(--(EOMONTH(AR339,0)&lt;&gt;AQ$5),1))+IF(AU339="",0,IFERROR(--(EOMONTH(AU339,0)&lt;&gt;AT$5),1))+IF(AX339="",0,IFERROR(--(EOMONTH(AX339,0)&lt;&gt;AW$5),1))+IF(BA339="",0,IFERROR(--(EOMONTH(BA339,0)&lt;&gt;AZ$5),1)))&gt;0,"; An invoice date is not in the month it is typed under",""),3,500))</f>
        <v/>
      </c>
      <c r="S339" s="12" t="n"/>
      <c r="T339" s="13" t="n"/>
      <c r="U339" s="14" t="n"/>
      <c r="V339" s="12" t="n"/>
      <c r="W339" s="13" t="n"/>
      <c r="X339" s="14" t="n"/>
      <c r="Y339" s="12" t="n"/>
      <c r="Z339" s="13" t="n"/>
      <c r="AA339" s="14" t="n"/>
      <c r="AB339" s="12" t="n"/>
      <c r="AC339" s="13" t="n"/>
      <c r="AD339" s="14" t="n"/>
      <c r="AE339" s="12" t="n"/>
      <c r="AF339" s="13" t="n"/>
      <c r="AG339" s="14" t="n"/>
      <c r="AH339" s="12" t="n"/>
      <c r="AI339" s="13" t="n"/>
      <c r="AJ339" s="14" t="n"/>
      <c r="AK339" s="12" t="n"/>
      <c r="AL339" s="13" t="n"/>
      <c r="AM339" s="14" t="n"/>
      <c r="AN339" s="12" t="n"/>
      <c r="AO339" s="13" t="n"/>
      <c r="AP339" s="14" t="n"/>
      <c r="AQ339" s="12" t="n"/>
      <c r="AR339" s="13" t="n"/>
      <c r="AS339" s="14" t="n"/>
      <c r="AT339" s="12" t="n"/>
      <c r="AU339" s="13" t="n"/>
      <c r="AV339" s="14" t="n"/>
      <c r="AW339" s="12" t="n"/>
      <c r="AX339" s="13" t="n"/>
      <c r="AY339" s="14" t="n"/>
      <c r="AZ339" s="12" t="n"/>
      <c r="BA339" s="13" t="n"/>
      <c r="BB339" s="14" t="n"/>
      <c r="BC339" s="11">
        <f>IF(O339="","",IF(J339="GST 10%",ROUND(O339*set_GSTRate,2),0))</f>
        <v/>
      </c>
      <c r="BD339" s="11">
        <f>IF(O339="","",O339+BC339)</f>
        <v/>
      </c>
      <c r="BE339" s="15">
        <f>IF(O339="","",COUNTA(S339,V339,Y339,AB339,AE339,AH339,AK339,AN339,AQ339,AT339,AW339,AZ339))</f>
        <v/>
      </c>
      <c r="BF339" s="16">
        <f>IF(COUNT(T339,W339,Z339,AC339,AF339,AI339,AL339,AO339,AR339,AU339,AX339,BA339)=0,"",MAX(T339,W339,Z339,AC339,AF339,AI339,AL339,AO339,AR339,AU339,AX339,BA339))</f>
        <v/>
      </c>
      <c r="BG339" s="10">
        <f>MID(IF(S339="","",", "&amp;S339)&amp;IF(V339="","",", "&amp;V339)&amp;IF(Y339="","",", "&amp;Y339)&amp;IF(AB339="","",", "&amp;AB339)&amp;IF(AE339="","",", "&amp;AE339)&amp;IF(AH339="","",", "&amp;AH339)&amp;IF(AK339="","",", "&amp;AK339)&amp;IF(AN339="","",", "&amp;AN339)&amp;IF(AQ339="","",", "&amp;AQ339)&amp;IF(AT339="","",", "&amp;AT339)&amp;IF(AW339="","",", "&amp;AW339)&amp;IF(AZ339="","",", "&amp;AZ339),3,500)</f>
        <v/>
      </c>
      <c r="BH339" s="12" t="n"/>
      <c r="BI339" s="15">
        <f>IFERROR(MATCH($A339,IF($B339="Onsite",tbl_Onsite[Row ID],IF($B339="Production",tbl_Production[Row ID],tbl_Consulting[Row ID])),0),"")</f>
        <v/>
      </c>
    </row>
    <row r="340">
      <c r="A340" s="10" t="inlineStr">
        <is>
          <t>ONS-0334</t>
        </is>
      </c>
      <c r="B340" s="10" t="inlineStr">
        <is>
          <t>Onsite</t>
        </is>
      </c>
      <c r="C340" s="10">
        <f>IF($BI340="","",IF($B340="Onsite",INDEX(tbl_Onsite[Job Number],$BI340),IF($B340="Production",INDEX(tbl_Production[Job Number],$BI340),INDEX(tbl_Consulting[Job Number],$BI340)))&amp;"")</f>
        <v/>
      </c>
      <c r="D340" s="10">
        <f>IF($BI340="","",IF($B340="Onsite",INDEX(tbl_Onsite[Client],$BI340),IF($B340="Production",INDEX(tbl_Production[Client],$BI340),INDEX(tbl_Consulting[Client],$BI340)))&amp;"")</f>
        <v/>
      </c>
      <c r="E340" s="10">
        <f>IF($C340="","",IF(COUNTIF(lst_Jobs,$C340)&gt;0,"OK","CHECK"))</f>
        <v/>
      </c>
      <c r="F340" s="10">
        <f>IF($C340="","",IFERROR(INDEX(lst_JobName,MATCH($C340,lst_Jobs,0)),""))</f>
        <v/>
      </c>
      <c r="G340" s="10">
        <f>IF($BI340="","",IF($B340="Onsite",INDEX(tbl_Onsite[Job Description],$BI340),IF($B340="Production",INDEX(tbl_Production[Job Description],$BI340),INDEX(tbl_Consulting[Job Description],$BI340)))&amp;"")</f>
        <v/>
      </c>
      <c r="H340" s="10">
        <f>IF($BI340="","",IF($B340="Onsite",INDEX(tbl_Onsite[Cost Centre],$BI340),IF($B340="Production",INDEX(tbl_Production[Cost Centre],$BI340),INDEX(tbl_Consulting[Cost Centre],$BI340)))&amp;"")</f>
        <v/>
      </c>
      <c r="I340" s="10">
        <f>IF($BI340="","",IF($B340="Onsite",INDEX(tbl_Onsite[Invoice Type],$BI340),IF($B340="Production",INDEX(tbl_Production[Invoice Type],$BI340),INDEX(tbl_Consulting[Invoice Type],$BI340)))&amp;"")</f>
        <v/>
      </c>
      <c r="J340" s="10">
        <f>IF($BI340="","",IF($B340="Onsite",INDEX(tbl_Onsite[Tax Code],$BI340),IF($B340="Production",INDEX(tbl_Production[Tax Code],$BI340),INDEX(tbl_Consulting[Tax Code],$BI340)))&amp;"")</f>
        <v/>
      </c>
      <c r="K340" s="10">
        <f>IF(H340="","",IFERROR(INDEX(lst_CCtoGL,MATCH(H340,lst_CCforGL,0)),""))</f>
        <v/>
      </c>
      <c r="L340" s="10">
        <f>IF($BI340="","",IF($B340="Onsite",INDEX(tbl_Onsite[PO / Reference],$BI340),IF($B340="Production",INDEX(tbl_Production[Current RMS No],$BI340),INDEX(tbl_Consulting[Qwilr Quote],$BI340)))&amp;"")</f>
        <v/>
      </c>
      <c r="M340" s="10">
        <f>IF($BI340="","",IF($B340="Onsite",INDEX(tbl_Onsite[Notes],$BI340),IF($B340="Production",INDEX(tbl_Production[Notes],$BI340),INDEX(tbl_Consulting[Notes],$BI340)))&amp;"")</f>
        <v/>
      </c>
      <c r="N340" s="11">
        <f>IF($BI340="","",IF(IF($B340="Onsite",INDEX(tbl_Onsite[Expected Revenue Ex GST],$BI340),IF($B340="Production",INDEX(tbl_Production[Expected Revenue Ex GST],$BI340),INDEX(tbl_Consulting[Expected Revenue Ex GST],$BI340)))="","",IF($B340="Onsite",INDEX(tbl_Onsite[Expected Revenue Ex GST],$BI340),IF($B340="Production",INDEX(tbl_Production[Expected Revenue Ex GST],$BI340),INDEX(tbl_Consulting[Expected Revenue Ex GST],$BI340)))))</f>
        <v/>
      </c>
      <c r="O340" s="11">
        <f>IF(AND($C340="",NOT(COUNTA($S340:$BB340)&gt;0)),"",SUM(U340,X340,AA340,AD340,AG340,AJ340,AM340,AP340,AS340,AV340,AY340,BB340))</f>
        <v/>
      </c>
      <c r="P340" s="11">
        <f>IF(O340="","",N(N340)-O340)</f>
        <v/>
      </c>
      <c r="Q340" s="10">
        <f>IF(O340="","",IF($C340="","Invoice on empty job row",IF(N340="",IF(ROUND(O340,2)=0,"No dept value","Invoiced - no dept value"),IF(ROUND(O340,2)=0,"Not invoiced - to invoice",IF(ROUND(P340,2)=0,"Agrees",IF(P340&gt;0,"Dept higher - to invoice","Xero higher - check dept"))))))</f>
        <v/>
      </c>
      <c r="R340" s="10">
        <f>IF(AND($C340="",NOT(COUNTA($S340:$BB340)&gt;0),$BI340&lt;&gt;""),"",MID(IF($BI340="","; Row ID not found on the department sheet - a row was deleted","")&amp;IF(AND($C340="",COUNTA($S340:$BB340)&gt;0),"; Invoice entered but the department row has no job number","")&amp;IF(E340="CHECK","; Job number not in the Xero job list","")&amp;IF(AND($C340&lt;&gt;"",COUNTIF($C$7:$C$1506,$C340)&gt;1),"; Job number on more than one row","")&amp;IF(AND($C340&lt;&gt;"",H340=""),"; Dept has not set a cost centre","")&amp;IF(AND($C340&lt;&gt;"",J340=""),"; Dept has not set a tax code","")&amp;IF(AND($C340&lt;&gt;"",N340=""),"; Dept has not entered an expected value","")&amp;IF((IF(OR(COUNTA(S340:U340)=0,AND(COUNTA(S340:U340)=3,ISNUMBER(U340))),0,1)+IF(OR(COUNTA(V340:X340)=0,AND(COUNTA(V340:X340)=3,ISNUMBER(X340))),0,1)+IF(OR(COUNTA(Y340:AA340)=0,AND(COUNTA(Y340:AA340)=3,ISNUMBER(AA340))),0,1)+IF(OR(COUNTA(AB340:AD340)=0,AND(COUNTA(AB340:AD340)=3,ISNUMBER(AD340))),0,1)+IF(OR(COUNTA(AE340:AG340)=0,AND(COUNTA(AE340:AG340)=3,ISNUMBER(AG340))),0,1)+IF(OR(COUNTA(AH340:AJ340)=0,AND(COUNTA(AH340:AJ340)=3,ISNUMBER(AJ340))),0,1)+IF(OR(COUNTA(AK340:AM340)=0,AND(COUNTA(AK340:AM340)=3,ISNUMBER(AM340))),0,1)+IF(OR(COUNTA(AN340:AP340)=0,AND(COUNTA(AN340:AP340)=3,ISNUMBER(AP340))),0,1)+IF(OR(COUNTA(AQ340:AS340)=0,AND(COUNTA(AQ340:AS340)=3,ISNUMBER(AS340))),0,1)+IF(OR(COUNTA(AT340:AV340)=0,AND(COUNTA(AT340:AV340)=3,ISNUMBER(AV340))),0,1)+IF(OR(COUNTA(AW340:AY340)=0,AND(COUNTA(AW340:AY340)=3,ISNUMBER(AY340))),0,1)+IF(OR(COUNTA(AZ340:BB340)=0,AND(COUNTA(AZ340:BB340)=3,ISNUMBER(BB340))),0,1))&gt;0,"; An invoice is incomplete (needs No, Date and a number in Ex GST)","")&amp;IF((IF(T340="",0,IFERROR(--(EOMONTH(T340,0)&lt;&gt;S$5),1))+IF(W340="",0,IFERROR(--(EOMONTH(W340,0)&lt;&gt;V$5),1))+IF(Z340="",0,IFERROR(--(EOMONTH(Z340,0)&lt;&gt;Y$5),1))+IF(AC340="",0,IFERROR(--(EOMONTH(AC340,0)&lt;&gt;AB$5),1))+IF(AF340="",0,IFERROR(--(EOMONTH(AF340,0)&lt;&gt;AE$5),1))+IF(AI340="",0,IFERROR(--(EOMONTH(AI340,0)&lt;&gt;AH$5),1))+IF(AL340="",0,IFERROR(--(EOMONTH(AL340,0)&lt;&gt;AK$5),1))+IF(AO340="",0,IFERROR(--(EOMONTH(AO340,0)&lt;&gt;AN$5),1))+IF(AR340="",0,IFERROR(--(EOMONTH(AR340,0)&lt;&gt;AQ$5),1))+IF(AU340="",0,IFERROR(--(EOMONTH(AU340,0)&lt;&gt;AT$5),1))+IF(AX340="",0,IFERROR(--(EOMONTH(AX340,0)&lt;&gt;AW$5),1))+IF(BA340="",0,IFERROR(--(EOMONTH(BA340,0)&lt;&gt;AZ$5),1)))&gt;0,"; An invoice date is not in the month it is typed under",""),3,500))</f>
        <v/>
      </c>
      <c r="S340" s="12" t="n"/>
      <c r="T340" s="13" t="n"/>
      <c r="U340" s="14" t="n"/>
      <c r="V340" s="12" t="n"/>
      <c r="W340" s="13" t="n"/>
      <c r="X340" s="14" t="n"/>
      <c r="Y340" s="12" t="n"/>
      <c r="Z340" s="13" t="n"/>
      <c r="AA340" s="14" t="n"/>
      <c r="AB340" s="12" t="n"/>
      <c r="AC340" s="13" t="n"/>
      <c r="AD340" s="14" t="n"/>
      <c r="AE340" s="12" t="n"/>
      <c r="AF340" s="13" t="n"/>
      <c r="AG340" s="14" t="n"/>
      <c r="AH340" s="12" t="n"/>
      <c r="AI340" s="13" t="n"/>
      <c r="AJ340" s="14" t="n"/>
      <c r="AK340" s="12" t="n"/>
      <c r="AL340" s="13" t="n"/>
      <c r="AM340" s="14" t="n"/>
      <c r="AN340" s="12" t="n"/>
      <c r="AO340" s="13" t="n"/>
      <c r="AP340" s="14" t="n"/>
      <c r="AQ340" s="12" t="n"/>
      <c r="AR340" s="13" t="n"/>
      <c r="AS340" s="14" t="n"/>
      <c r="AT340" s="12" t="n"/>
      <c r="AU340" s="13" t="n"/>
      <c r="AV340" s="14" t="n"/>
      <c r="AW340" s="12" t="n"/>
      <c r="AX340" s="13" t="n"/>
      <c r="AY340" s="14" t="n"/>
      <c r="AZ340" s="12" t="n"/>
      <c r="BA340" s="13" t="n"/>
      <c r="BB340" s="14" t="n"/>
      <c r="BC340" s="11">
        <f>IF(O340="","",IF(J340="GST 10%",ROUND(O340*set_GSTRate,2),0))</f>
        <v/>
      </c>
      <c r="BD340" s="11">
        <f>IF(O340="","",O340+BC340)</f>
        <v/>
      </c>
      <c r="BE340" s="15">
        <f>IF(O340="","",COUNTA(S340,V340,Y340,AB340,AE340,AH340,AK340,AN340,AQ340,AT340,AW340,AZ340))</f>
        <v/>
      </c>
      <c r="BF340" s="16">
        <f>IF(COUNT(T340,W340,Z340,AC340,AF340,AI340,AL340,AO340,AR340,AU340,AX340,BA340)=0,"",MAX(T340,W340,Z340,AC340,AF340,AI340,AL340,AO340,AR340,AU340,AX340,BA340))</f>
        <v/>
      </c>
      <c r="BG340" s="10">
        <f>MID(IF(S340="","",", "&amp;S340)&amp;IF(V340="","",", "&amp;V340)&amp;IF(Y340="","",", "&amp;Y340)&amp;IF(AB340="","",", "&amp;AB340)&amp;IF(AE340="","",", "&amp;AE340)&amp;IF(AH340="","",", "&amp;AH340)&amp;IF(AK340="","",", "&amp;AK340)&amp;IF(AN340="","",", "&amp;AN340)&amp;IF(AQ340="","",", "&amp;AQ340)&amp;IF(AT340="","",", "&amp;AT340)&amp;IF(AW340="","",", "&amp;AW340)&amp;IF(AZ340="","",", "&amp;AZ340),3,500)</f>
        <v/>
      </c>
      <c r="BH340" s="12" t="n"/>
      <c r="BI340" s="15">
        <f>IFERROR(MATCH($A340,IF($B340="Onsite",tbl_Onsite[Row ID],IF($B340="Production",tbl_Production[Row ID],tbl_Consulting[Row ID])),0),"")</f>
        <v/>
      </c>
    </row>
    <row r="341">
      <c r="A341" s="10" t="inlineStr">
        <is>
          <t>ONS-0335</t>
        </is>
      </c>
      <c r="B341" s="10" t="inlineStr">
        <is>
          <t>Onsite</t>
        </is>
      </c>
      <c r="C341" s="10">
        <f>IF($BI341="","",IF($B341="Onsite",INDEX(tbl_Onsite[Job Number],$BI341),IF($B341="Production",INDEX(tbl_Production[Job Number],$BI341),INDEX(tbl_Consulting[Job Number],$BI341)))&amp;"")</f>
        <v/>
      </c>
      <c r="D341" s="10">
        <f>IF($BI341="","",IF($B341="Onsite",INDEX(tbl_Onsite[Client],$BI341),IF($B341="Production",INDEX(tbl_Production[Client],$BI341),INDEX(tbl_Consulting[Client],$BI341)))&amp;"")</f>
        <v/>
      </c>
      <c r="E341" s="10">
        <f>IF($C341="","",IF(COUNTIF(lst_Jobs,$C341)&gt;0,"OK","CHECK"))</f>
        <v/>
      </c>
      <c r="F341" s="10">
        <f>IF($C341="","",IFERROR(INDEX(lst_JobName,MATCH($C341,lst_Jobs,0)),""))</f>
        <v/>
      </c>
      <c r="G341" s="10">
        <f>IF($BI341="","",IF($B341="Onsite",INDEX(tbl_Onsite[Job Description],$BI341),IF($B341="Production",INDEX(tbl_Production[Job Description],$BI341),INDEX(tbl_Consulting[Job Description],$BI341)))&amp;"")</f>
        <v/>
      </c>
      <c r="H341" s="10">
        <f>IF($BI341="","",IF($B341="Onsite",INDEX(tbl_Onsite[Cost Centre],$BI341),IF($B341="Production",INDEX(tbl_Production[Cost Centre],$BI341),INDEX(tbl_Consulting[Cost Centre],$BI341)))&amp;"")</f>
        <v/>
      </c>
      <c r="I341" s="10">
        <f>IF($BI341="","",IF($B341="Onsite",INDEX(tbl_Onsite[Invoice Type],$BI341),IF($B341="Production",INDEX(tbl_Production[Invoice Type],$BI341),INDEX(tbl_Consulting[Invoice Type],$BI341)))&amp;"")</f>
        <v/>
      </c>
      <c r="J341" s="10">
        <f>IF($BI341="","",IF($B341="Onsite",INDEX(tbl_Onsite[Tax Code],$BI341),IF($B341="Production",INDEX(tbl_Production[Tax Code],$BI341),INDEX(tbl_Consulting[Tax Code],$BI341)))&amp;"")</f>
        <v/>
      </c>
      <c r="K341" s="10">
        <f>IF(H341="","",IFERROR(INDEX(lst_CCtoGL,MATCH(H341,lst_CCforGL,0)),""))</f>
        <v/>
      </c>
      <c r="L341" s="10">
        <f>IF($BI341="","",IF($B341="Onsite",INDEX(tbl_Onsite[PO / Reference],$BI341),IF($B341="Production",INDEX(tbl_Production[Current RMS No],$BI341),INDEX(tbl_Consulting[Qwilr Quote],$BI341)))&amp;"")</f>
        <v/>
      </c>
      <c r="M341" s="10">
        <f>IF($BI341="","",IF($B341="Onsite",INDEX(tbl_Onsite[Notes],$BI341),IF($B341="Production",INDEX(tbl_Production[Notes],$BI341),INDEX(tbl_Consulting[Notes],$BI341)))&amp;"")</f>
        <v/>
      </c>
      <c r="N341" s="11">
        <f>IF($BI341="","",IF(IF($B341="Onsite",INDEX(tbl_Onsite[Expected Revenue Ex GST],$BI341),IF($B341="Production",INDEX(tbl_Production[Expected Revenue Ex GST],$BI341),INDEX(tbl_Consulting[Expected Revenue Ex GST],$BI341)))="","",IF($B341="Onsite",INDEX(tbl_Onsite[Expected Revenue Ex GST],$BI341),IF($B341="Production",INDEX(tbl_Production[Expected Revenue Ex GST],$BI341),INDEX(tbl_Consulting[Expected Revenue Ex GST],$BI341)))))</f>
        <v/>
      </c>
      <c r="O341" s="11">
        <f>IF(AND($C341="",NOT(COUNTA($S341:$BB341)&gt;0)),"",SUM(U341,X341,AA341,AD341,AG341,AJ341,AM341,AP341,AS341,AV341,AY341,BB341))</f>
        <v/>
      </c>
      <c r="P341" s="11">
        <f>IF(O341="","",N(N341)-O341)</f>
        <v/>
      </c>
      <c r="Q341" s="10">
        <f>IF(O341="","",IF($C341="","Invoice on empty job row",IF(N341="",IF(ROUND(O341,2)=0,"No dept value","Invoiced - no dept value"),IF(ROUND(O341,2)=0,"Not invoiced - to invoice",IF(ROUND(P341,2)=0,"Agrees",IF(P341&gt;0,"Dept higher - to invoice","Xero higher - check dept"))))))</f>
        <v/>
      </c>
      <c r="R341" s="10">
        <f>IF(AND($C341="",NOT(COUNTA($S341:$BB341)&gt;0),$BI341&lt;&gt;""),"",MID(IF($BI341="","; Row ID not found on the department sheet - a row was deleted","")&amp;IF(AND($C341="",COUNTA($S341:$BB341)&gt;0),"; Invoice entered but the department row has no job number","")&amp;IF(E341="CHECK","; Job number not in the Xero job list","")&amp;IF(AND($C341&lt;&gt;"",COUNTIF($C$7:$C$1506,$C341)&gt;1),"; Job number on more than one row","")&amp;IF(AND($C341&lt;&gt;"",H341=""),"; Dept has not set a cost centre","")&amp;IF(AND($C341&lt;&gt;"",J341=""),"; Dept has not set a tax code","")&amp;IF(AND($C341&lt;&gt;"",N341=""),"; Dept has not entered an expected value","")&amp;IF((IF(OR(COUNTA(S341:U341)=0,AND(COUNTA(S341:U341)=3,ISNUMBER(U341))),0,1)+IF(OR(COUNTA(V341:X341)=0,AND(COUNTA(V341:X341)=3,ISNUMBER(X341))),0,1)+IF(OR(COUNTA(Y341:AA341)=0,AND(COUNTA(Y341:AA341)=3,ISNUMBER(AA341))),0,1)+IF(OR(COUNTA(AB341:AD341)=0,AND(COUNTA(AB341:AD341)=3,ISNUMBER(AD341))),0,1)+IF(OR(COUNTA(AE341:AG341)=0,AND(COUNTA(AE341:AG341)=3,ISNUMBER(AG341))),0,1)+IF(OR(COUNTA(AH341:AJ341)=0,AND(COUNTA(AH341:AJ341)=3,ISNUMBER(AJ341))),0,1)+IF(OR(COUNTA(AK341:AM341)=0,AND(COUNTA(AK341:AM341)=3,ISNUMBER(AM341))),0,1)+IF(OR(COUNTA(AN341:AP341)=0,AND(COUNTA(AN341:AP341)=3,ISNUMBER(AP341))),0,1)+IF(OR(COUNTA(AQ341:AS341)=0,AND(COUNTA(AQ341:AS341)=3,ISNUMBER(AS341))),0,1)+IF(OR(COUNTA(AT341:AV341)=0,AND(COUNTA(AT341:AV341)=3,ISNUMBER(AV341))),0,1)+IF(OR(COUNTA(AW341:AY341)=0,AND(COUNTA(AW341:AY341)=3,ISNUMBER(AY341))),0,1)+IF(OR(COUNTA(AZ341:BB341)=0,AND(COUNTA(AZ341:BB341)=3,ISNUMBER(BB341))),0,1))&gt;0,"; An invoice is incomplete (needs No, Date and a number in Ex GST)","")&amp;IF((IF(T341="",0,IFERROR(--(EOMONTH(T341,0)&lt;&gt;S$5),1))+IF(W341="",0,IFERROR(--(EOMONTH(W341,0)&lt;&gt;V$5),1))+IF(Z341="",0,IFERROR(--(EOMONTH(Z341,0)&lt;&gt;Y$5),1))+IF(AC341="",0,IFERROR(--(EOMONTH(AC341,0)&lt;&gt;AB$5),1))+IF(AF341="",0,IFERROR(--(EOMONTH(AF341,0)&lt;&gt;AE$5),1))+IF(AI341="",0,IFERROR(--(EOMONTH(AI341,0)&lt;&gt;AH$5),1))+IF(AL341="",0,IFERROR(--(EOMONTH(AL341,0)&lt;&gt;AK$5),1))+IF(AO341="",0,IFERROR(--(EOMONTH(AO341,0)&lt;&gt;AN$5),1))+IF(AR341="",0,IFERROR(--(EOMONTH(AR341,0)&lt;&gt;AQ$5),1))+IF(AU341="",0,IFERROR(--(EOMONTH(AU341,0)&lt;&gt;AT$5),1))+IF(AX341="",0,IFERROR(--(EOMONTH(AX341,0)&lt;&gt;AW$5),1))+IF(BA341="",0,IFERROR(--(EOMONTH(BA341,0)&lt;&gt;AZ$5),1)))&gt;0,"; An invoice date is not in the month it is typed under",""),3,500))</f>
        <v/>
      </c>
      <c r="S341" s="12" t="n"/>
      <c r="T341" s="13" t="n"/>
      <c r="U341" s="14" t="n"/>
      <c r="V341" s="12" t="n"/>
      <c r="W341" s="13" t="n"/>
      <c r="X341" s="14" t="n"/>
      <c r="Y341" s="12" t="n"/>
      <c r="Z341" s="13" t="n"/>
      <c r="AA341" s="14" t="n"/>
      <c r="AB341" s="12" t="n"/>
      <c r="AC341" s="13" t="n"/>
      <c r="AD341" s="14" t="n"/>
      <c r="AE341" s="12" t="n"/>
      <c r="AF341" s="13" t="n"/>
      <c r="AG341" s="14" t="n"/>
      <c r="AH341" s="12" t="n"/>
      <c r="AI341" s="13" t="n"/>
      <c r="AJ341" s="14" t="n"/>
      <c r="AK341" s="12" t="n"/>
      <c r="AL341" s="13" t="n"/>
      <c r="AM341" s="14" t="n"/>
      <c r="AN341" s="12" t="n"/>
      <c r="AO341" s="13" t="n"/>
      <c r="AP341" s="14" t="n"/>
      <c r="AQ341" s="12" t="n"/>
      <c r="AR341" s="13" t="n"/>
      <c r="AS341" s="14" t="n"/>
      <c r="AT341" s="12" t="n"/>
      <c r="AU341" s="13" t="n"/>
      <c r="AV341" s="14" t="n"/>
      <c r="AW341" s="12" t="n"/>
      <c r="AX341" s="13" t="n"/>
      <c r="AY341" s="14" t="n"/>
      <c r="AZ341" s="12" t="n"/>
      <c r="BA341" s="13" t="n"/>
      <c r="BB341" s="14" t="n"/>
      <c r="BC341" s="11">
        <f>IF(O341="","",IF(J341="GST 10%",ROUND(O341*set_GSTRate,2),0))</f>
        <v/>
      </c>
      <c r="BD341" s="11">
        <f>IF(O341="","",O341+BC341)</f>
        <v/>
      </c>
      <c r="BE341" s="15">
        <f>IF(O341="","",COUNTA(S341,V341,Y341,AB341,AE341,AH341,AK341,AN341,AQ341,AT341,AW341,AZ341))</f>
        <v/>
      </c>
      <c r="BF341" s="16">
        <f>IF(COUNT(T341,W341,Z341,AC341,AF341,AI341,AL341,AO341,AR341,AU341,AX341,BA341)=0,"",MAX(T341,W341,Z341,AC341,AF341,AI341,AL341,AO341,AR341,AU341,AX341,BA341))</f>
        <v/>
      </c>
      <c r="BG341" s="10">
        <f>MID(IF(S341="","",", "&amp;S341)&amp;IF(V341="","",", "&amp;V341)&amp;IF(Y341="","",", "&amp;Y341)&amp;IF(AB341="","",", "&amp;AB341)&amp;IF(AE341="","",", "&amp;AE341)&amp;IF(AH341="","",", "&amp;AH341)&amp;IF(AK341="","",", "&amp;AK341)&amp;IF(AN341="","",", "&amp;AN341)&amp;IF(AQ341="","",", "&amp;AQ341)&amp;IF(AT341="","",", "&amp;AT341)&amp;IF(AW341="","",", "&amp;AW341)&amp;IF(AZ341="","",", "&amp;AZ341),3,500)</f>
        <v/>
      </c>
      <c r="BH341" s="12" t="n"/>
      <c r="BI341" s="15">
        <f>IFERROR(MATCH($A341,IF($B341="Onsite",tbl_Onsite[Row ID],IF($B341="Production",tbl_Production[Row ID],tbl_Consulting[Row ID])),0),"")</f>
        <v/>
      </c>
    </row>
    <row r="342">
      <c r="A342" s="10" t="inlineStr">
        <is>
          <t>ONS-0336</t>
        </is>
      </c>
      <c r="B342" s="10" t="inlineStr">
        <is>
          <t>Onsite</t>
        </is>
      </c>
      <c r="C342" s="10">
        <f>IF($BI342="","",IF($B342="Onsite",INDEX(tbl_Onsite[Job Number],$BI342),IF($B342="Production",INDEX(tbl_Production[Job Number],$BI342),INDEX(tbl_Consulting[Job Number],$BI342)))&amp;"")</f>
        <v/>
      </c>
      <c r="D342" s="10">
        <f>IF($BI342="","",IF($B342="Onsite",INDEX(tbl_Onsite[Client],$BI342),IF($B342="Production",INDEX(tbl_Production[Client],$BI342),INDEX(tbl_Consulting[Client],$BI342)))&amp;"")</f>
        <v/>
      </c>
      <c r="E342" s="10">
        <f>IF($C342="","",IF(COUNTIF(lst_Jobs,$C342)&gt;0,"OK","CHECK"))</f>
        <v/>
      </c>
      <c r="F342" s="10">
        <f>IF($C342="","",IFERROR(INDEX(lst_JobName,MATCH($C342,lst_Jobs,0)),""))</f>
        <v/>
      </c>
      <c r="G342" s="10">
        <f>IF($BI342="","",IF($B342="Onsite",INDEX(tbl_Onsite[Job Description],$BI342),IF($B342="Production",INDEX(tbl_Production[Job Description],$BI342),INDEX(tbl_Consulting[Job Description],$BI342)))&amp;"")</f>
        <v/>
      </c>
      <c r="H342" s="10">
        <f>IF($BI342="","",IF($B342="Onsite",INDEX(tbl_Onsite[Cost Centre],$BI342),IF($B342="Production",INDEX(tbl_Production[Cost Centre],$BI342),INDEX(tbl_Consulting[Cost Centre],$BI342)))&amp;"")</f>
        <v/>
      </c>
      <c r="I342" s="10">
        <f>IF($BI342="","",IF($B342="Onsite",INDEX(tbl_Onsite[Invoice Type],$BI342),IF($B342="Production",INDEX(tbl_Production[Invoice Type],$BI342),INDEX(tbl_Consulting[Invoice Type],$BI342)))&amp;"")</f>
        <v/>
      </c>
      <c r="J342" s="10">
        <f>IF($BI342="","",IF($B342="Onsite",INDEX(tbl_Onsite[Tax Code],$BI342),IF($B342="Production",INDEX(tbl_Production[Tax Code],$BI342),INDEX(tbl_Consulting[Tax Code],$BI342)))&amp;"")</f>
        <v/>
      </c>
      <c r="K342" s="10">
        <f>IF(H342="","",IFERROR(INDEX(lst_CCtoGL,MATCH(H342,lst_CCforGL,0)),""))</f>
        <v/>
      </c>
      <c r="L342" s="10">
        <f>IF($BI342="","",IF($B342="Onsite",INDEX(tbl_Onsite[PO / Reference],$BI342),IF($B342="Production",INDEX(tbl_Production[Current RMS No],$BI342),INDEX(tbl_Consulting[Qwilr Quote],$BI342)))&amp;"")</f>
        <v/>
      </c>
      <c r="M342" s="10">
        <f>IF($BI342="","",IF($B342="Onsite",INDEX(tbl_Onsite[Notes],$BI342),IF($B342="Production",INDEX(tbl_Production[Notes],$BI342),INDEX(tbl_Consulting[Notes],$BI342)))&amp;"")</f>
        <v/>
      </c>
      <c r="N342" s="11">
        <f>IF($BI342="","",IF(IF($B342="Onsite",INDEX(tbl_Onsite[Expected Revenue Ex GST],$BI342),IF($B342="Production",INDEX(tbl_Production[Expected Revenue Ex GST],$BI342),INDEX(tbl_Consulting[Expected Revenue Ex GST],$BI342)))="","",IF($B342="Onsite",INDEX(tbl_Onsite[Expected Revenue Ex GST],$BI342),IF($B342="Production",INDEX(tbl_Production[Expected Revenue Ex GST],$BI342),INDEX(tbl_Consulting[Expected Revenue Ex GST],$BI342)))))</f>
        <v/>
      </c>
      <c r="O342" s="11">
        <f>IF(AND($C342="",NOT(COUNTA($S342:$BB342)&gt;0)),"",SUM(U342,X342,AA342,AD342,AG342,AJ342,AM342,AP342,AS342,AV342,AY342,BB342))</f>
        <v/>
      </c>
      <c r="P342" s="11">
        <f>IF(O342="","",N(N342)-O342)</f>
        <v/>
      </c>
      <c r="Q342" s="10">
        <f>IF(O342="","",IF($C342="","Invoice on empty job row",IF(N342="",IF(ROUND(O342,2)=0,"No dept value","Invoiced - no dept value"),IF(ROUND(O342,2)=0,"Not invoiced - to invoice",IF(ROUND(P342,2)=0,"Agrees",IF(P342&gt;0,"Dept higher - to invoice","Xero higher - check dept"))))))</f>
        <v/>
      </c>
      <c r="R342" s="10">
        <f>IF(AND($C342="",NOT(COUNTA($S342:$BB342)&gt;0),$BI342&lt;&gt;""),"",MID(IF($BI342="","; Row ID not found on the department sheet - a row was deleted","")&amp;IF(AND($C342="",COUNTA($S342:$BB342)&gt;0),"; Invoice entered but the department row has no job number","")&amp;IF(E342="CHECK","; Job number not in the Xero job list","")&amp;IF(AND($C342&lt;&gt;"",COUNTIF($C$7:$C$1506,$C342)&gt;1),"; Job number on more than one row","")&amp;IF(AND($C342&lt;&gt;"",H342=""),"; Dept has not set a cost centre","")&amp;IF(AND($C342&lt;&gt;"",J342=""),"; Dept has not set a tax code","")&amp;IF(AND($C342&lt;&gt;"",N342=""),"; Dept has not entered an expected value","")&amp;IF((IF(OR(COUNTA(S342:U342)=0,AND(COUNTA(S342:U342)=3,ISNUMBER(U342))),0,1)+IF(OR(COUNTA(V342:X342)=0,AND(COUNTA(V342:X342)=3,ISNUMBER(X342))),0,1)+IF(OR(COUNTA(Y342:AA342)=0,AND(COUNTA(Y342:AA342)=3,ISNUMBER(AA342))),0,1)+IF(OR(COUNTA(AB342:AD342)=0,AND(COUNTA(AB342:AD342)=3,ISNUMBER(AD342))),0,1)+IF(OR(COUNTA(AE342:AG342)=0,AND(COUNTA(AE342:AG342)=3,ISNUMBER(AG342))),0,1)+IF(OR(COUNTA(AH342:AJ342)=0,AND(COUNTA(AH342:AJ342)=3,ISNUMBER(AJ342))),0,1)+IF(OR(COUNTA(AK342:AM342)=0,AND(COUNTA(AK342:AM342)=3,ISNUMBER(AM342))),0,1)+IF(OR(COUNTA(AN342:AP342)=0,AND(COUNTA(AN342:AP342)=3,ISNUMBER(AP342))),0,1)+IF(OR(COUNTA(AQ342:AS342)=0,AND(COUNTA(AQ342:AS342)=3,ISNUMBER(AS342))),0,1)+IF(OR(COUNTA(AT342:AV342)=0,AND(COUNTA(AT342:AV342)=3,ISNUMBER(AV342))),0,1)+IF(OR(COUNTA(AW342:AY342)=0,AND(COUNTA(AW342:AY342)=3,ISNUMBER(AY342))),0,1)+IF(OR(COUNTA(AZ342:BB342)=0,AND(COUNTA(AZ342:BB342)=3,ISNUMBER(BB342))),0,1))&gt;0,"; An invoice is incomplete (needs No, Date and a number in Ex GST)","")&amp;IF((IF(T342="",0,IFERROR(--(EOMONTH(T342,0)&lt;&gt;S$5),1))+IF(W342="",0,IFERROR(--(EOMONTH(W342,0)&lt;&gt;V$5),1))+IF(Z342="",0,IFERROR(--(EOMONTH(Z342,0)&lt;&gt;Y$5),1))+IF(AC342="",0,IFERROR(--(EOMONTH(AC342,0)&lt;&gt;AB$5),1))+IF(AF342="",0,IFERROR(--(EOMONTH(AF342,0)&lt;&gt;AE$5),1))+IF(AI342="",0,IFERROR(--(EOMONTH(AI342,0)&lt;&gt;AH$5),1))+IF(AL342="",0,IFERROR(--(EOMONTH(AL342,0)&lt;&gt;AK$5),1))+IF(AO342="",0,IFERROR(--(EOMONTH(AO342,0)&lt;&gt;AN$5),1))+IF(AR342="",0,IFERROR(--(EOMONTH(AR342,0)&lt;&gt;AQ$5),1))+IF(AU342="",0,IFERROR(--(EOMONTH(AU342,0)&lt;&gt;AT$5),1))+IF(AX342="",0,IFERROR(--(EOMONTH(AX342,0)&lt;&gt;AW$5),1))+IF(BA342="",0,IFERROR(--(EOMONTH(BA342,0)&lt;&gt;AZ$5),1)))&gt;0,"; An invoice date is not in the month it is typed under",""),3,500))</f>
        <v/>
      </c>
      <c r="S342" s="12" t="n"/>
      <c r="T342" s="13" t="n"/>
      <c r="U342" s="14" t="n"/>
      <c r="V342" s="12" t="n"/>
      <c r="W342" s="13" t="n"/>
      <c r="X342" s="14" t="n"/>
      <c r="Y342" s="12" t="n"/>
      <c r="Z342" s="13" t="n"/>
      <c r="AA342" s="14" t="n"/>
      <c r="AB342" s="12" t="n"/>
      <c r="AC342" s="13" t="n"/>
      <c r="AD342" s="14" t="n"/>
      <c r="AE342" s="12" t="n"/>
      <c r="AF342" s="13" t="n"/>
      <c r="AG342" s="14" t="n"/>
      <c r="AH342" s="12" t="n"/>
      <c r="AI342" s="13" t="n"/>
      <c r="AJ342" s="14" t="n"/>
      <c r="AK342" s="12" t="n"/>
      <c r="AL342" s="13" t="n"/>
      <c r="AM342" s="14" t="n"/>
      <c r="AN342" s="12" t="n"/>
      <c r="AO342" s="13" t="n"/>
      <c r="AP342" s="14" t="n"/>
      <c r="AQ342" s="12" t="n"/>
      <c r="AR342" s="13" t="n"/>
      <c r="AS342" s="14" t="n"/>
      <c r="AT342" s="12" t="n"/>
      <c r="AU342" s="13" t="n"/>
      <c r="AV342" s="14" t="n"/>
      <c r="AW342" s="12" t="n"/>
      <c r="AX342" s="13" t="n"/>
      <c r="AY342" s="14" t="n"/>
      <c r="AZ342" s="12" t="n"/>
      <c r="BA342" s="13" t="n"/>
      <c r="BB342" s="14" t="n"/>
      <c r="BC342" s="11">
        <f>IF(O342="","",IF(J342="GST 10%",ROUND(O342*set_GSTRate,2),0))</f>
        <v/>
      </c>
      <c r="BD342" s="11">
        <f>IF(O342="","",O342+BC342)</f>
        <v/>
      </c>
      <c r="BE342" s="15">
        <f>IF(O342="","",COUNTA(S342,V342,Y342,AB342,AE342,AH342,AK342,AN342,AQ342,AT342,AW342,AZ342))</f>
        <v/>
      </c>
      <c r="BF342" s="16">
        <f>IF(COUNT(T342,W342,Z342,AC342,AF342,AI342,AL342,AO342,AR342,AU342,AX342,BA342)=0,"",MAX(T342,W342,Z342,AC342,AF342,AI342,AL342,AO342,AR342,AU342,AX342,BA342))</f>
        <v/>
      </c>
      <c r="BG342" s="10">
        <f>MID(IF(S342="","",", "&amp;S342)&amp;IF(V342="","",", "&amp;V342)&amp;IF(Y342="","",", "&amp;Y342)&amp;IF(AB342="","",", "&amp;AB342)&amp;IF(AE342="","",", "&amp;AE342)&amp;IF(AH342="","",", "&amp;AH342)&amp;IF(AK342="","",", "&amp;AK342)&amp;IF(AN342="","",", "&amp;AN342)&amp;IF(AQ342="","",", "&amp;AQ342)&amp;IF(AT342="","",", "&amp;AT342)&amp;IF(AW342="","",", "&amp;AW342)&amp;IF(AZ342="","",", "&amp;AZ342),3,500)</f>
        <v/>
      </c>
      <c r="BH342" s="12" t="n"/>
      <c r="BI342" s="15">
        <f>IFERROR(MATCH($A342,IF($B342="Onsite",tbl_Onsite[Row ID],IF($B342="Production",tbl_Production[Row ID],tbl_Consulting[Row ID])),0),"")</f>
        <v/>
      </c>
    </row>
    <row r="343">
      <c r="A343" s="10" t="inlineStr">
        <is>
          <t>ONS-0337</t>
        </is>
      </c>
      <c r="B343" s="10" t="inlineStr">
        <is>
          <t>Onsite</t>
        </is>
      </c>
      <c r="C343" s="10">
        <f>IF($BI343="","",IF($B343="Onsite",INDEX(tbl_Onsite[Job Number],$BI343),IF($B343="Production",INDEX(tbl_Production[Job Number],$BI343),INDEX(tbl_Consulting[Job Number],$BI343)))&amp;"")</f>
        <v/>
      </c>
      <c r="D343" s="10">
        <f>IF($BI343="","",IF($B343="Onsite",INDEX(tbl_Onsite[Client],$BI343),IF($B343="Production",INDEX(tbl_Production[Client],$BI343),INDEX(tbl_Consulting[Client],$BI343)))&amp;"")</f>
        <v/>
      </c>
      <c r="E343" s="10">
        <f>IF($C343="","",IF(COUNTIF(lst_Jobs,$C343)&gt;0,"OK","CHECK"))</f>
        <v/>
      </c>
      <c r="F343" s="10">
        <f>IF($C343="","",IFERROR(INDEX(lst_JobName,MATCH($C343,lst_Jobs,0)),""))</f>
        <v/>
      </c>
      <c r="G343" s="10">
        <f>IF($BI343="","",IF($B343="Onsite",INDEX(tbl_Onsite[Job Description],$BI343),IF($B343="Production",INDEX(tbl_Production[Job Description],$BI343),INDEX(tbl_Consulting[Job Description],$BI343)))&amp;"")</f>
        <v/>
      </c>
      <c r="H343" s="10">
        <f>IF($BI343="","",IF($B343="Onsite",INDEX(tbl_Onsite[Cost Centre],$BI343),IF($B343="Production",INDEX(tbl_Production[Cost Centre],$BI343),INDEX(tbl_Consulting[Cost Centre],$BI343)))&amp;"")</f>
        <v/>
      </c>
      <c r="I343" s="10">
        <f>IF($BI343="","",IF($B343="Onsite",INDEX(tbl_Onsite[Invoice Type],$BI343),IF($B343="Production",INDEX(tbl_Production[Invoice Type],$BI343),INDEX(tbl_Consulting[Invoice Type],$BI343)))&amp;"")</f>
        <v/>
      </c>
      <c r="J343" s="10">
        <f>IF($BI343="","",IF($B343="Onsite",INDEX(tbl_Onsite[Tax Code],$BI343),IF($B343="Production",INDEX(tbl_Production[Tax Code],$BI343),INDEX(tbl_Consulting[Tax Code],$BI343)))&amp;"")</f>
        <v/>
      </c>
      <c r="K343" s="10">
        <f>IF(H343="","",IFERROR(INDEX(lst_CCtoGL,MATCH(H343,lst_CCforGL,0)),""))</f>
        <v/>
      </c>
      <c r="L343" s="10">
        <f>IF($BI343="","",IF($B343="Onsite",INDEX(tbl_Onsite[PO / Reference],$BI343),IF($B343="Production",INDEX(tbl_Production[Current RMS No],$BI343),INDEX(tbl_Consulting[Qwilr Quote],$BI343)))&amp;"")</f>
        <v/>
      </c>
      <c r="M343" s="10">
        <f>IF($BI343="","",IF($B343="Onsite",INDEX(tbl_Onsite[Notes],$BI343),IF($B343="Production",INDEX(tbl_Production[Notes],$BI343),INDEX(tbl_Consulting[Notes],$BI343)))&amp;"")</f>
        <v/>
      </c>
      <c r="N343" s="11">
        <f>IF($BI343="","",IF(IF($B343="Onsite",INDEX(tbl_Onsite[Expected Revenue Ex GST],$BI343),IF($B343="Production",INDEX(tbl_Production[Expected Revenue Ex GST],$BI343),INDEX(tbl_Consulting[Expected Revenue Ex GST],$BI343)))="","",IF($B343="Onsite",INDEX(tbl_Onsite[Expected Revenue Ex GST],$BI343),IF($B343="Production",INDEX(tbl_Production[Expected Revenue Ex GST],$BI343),INDEX(tbl_Consulting[Expected Revenue Ex GST],$BI343)))))</f>
        <v/>
      </c>
      <c r="O343" s="11">
        <f>IF(AND($C343="",NOT(COUNTA($S343:$BB343)&gt;0)),"",SUM(U343,X343,AA343,AD343,AG343,AJ343,AM343,AP343,AS343,AV343,AY343,BB343))</f>
        <v/>
      </c>
      <c r="P343" s="11">
        <f>IF(O343="","",N(N343)-O343)</f>
        <v/>
      </c>
      <c r="Q343" s="10">
        <f>IF(O343="","",IF($C343="","Invoice on empty job row",IF(N343="",IF(ROUND(O343,2)=0,"No dept value","Invoiced - no dept value"),IF(ROUND(O343,2)=0,"Not invoiced - to invoice",IF(ROUND(P343,2)=0,"Agrees",IF(P343&gt;0,"Dept higher - to invoice","Xero higher - check dept"))))))</f>
        <v/>
      </c>
      <c r="R343" s="10">
        <f>IF(AND($C343="",NOT(COUNTA($S343:$BB343)&gt;0),$BI343&lt;&gt;""),"",MID(IF($BI343="","; Row ID not found on the department sheet - a row was deleted","")&amp;IF(AND($C343="",COUNTA($S343:$BB343)&gt;0),"; Invoice entered but the department row has no job number","")&amp;IF(E343="CHECK","; Job number not in the Xero job list","")&amp;IF(AND($C343&lt;&gt;"",COUNTIF($C$7:$C$1506,$C343)&gt;1),"; Job number on more than one row","")&amp;IF(AND($C343&lt;&gt;"",H343=""),"; Dept has not set a cost centre","")&amp;IF(AND($C343&lt;&gt;"",J343=""),"; Dept has not set a tax code","")&amp;IF(AND($C343&lt;&gt;"",N343=""),"; Dept has not entered an expected value","")&amp;IF((IF(OR(COUNTA(S343:U343)=0,AND(COUNTA(S343:U343)=3,ISNUMBER(U343))),0,1)+IF(OR(COUNTA(V343:X343)=0,AND(COUNTA(V343:X343)=3,ISNUMBER(X343))),0,1)+IF(OR(COUNTA(Y343:AA343)=0,AND(COUNTA(Y343:AA343)=3,ISNUMBER(AA343))),0,1)+IF(OR(COUNTA(AB343:AD343)=0,AND(COUNTA(AB343:AD343)=3,ISNUMBER(AD343))),0,1)+IF(OR(COUNTA(AE343:AG343)=0,AND(COUNTA(AE343:AG343)=3,ISNUMBER(AG343))),0,1)+IF(OR(COUNTA(AH343:AJ343)=0,AND(COUNTA(AH343:AJ343)=3,ISNUMBER(AJ343))),0,1)+IF(OR(COUNTA(AK343:AM343)=0,AND(COUNTA(AK343:AM343)=3,ISNUMBER(AM343))),0,1)+IF(OR(COUNTA(AN343:AP343)=0,AND(COUNTA(AN343:AP343)=3,ISNUMBER(AP343))),0,1)+IF(OR(COUNTA(AQ343:AS343)=0,AND(COUNTA(AQ343:AS343)=3,ISNUMBER(AS343))),0,1)+IF(OR(COUNTA(AT343:AV343)=0,AND(COUNTA(AT343:AV343)=3,ISNUMBER(AV343))),0,1)+IF(OR(COUNTA(AW343:AY343)=0,AND(COUNTA(AW343:AY343)=3,ISNUMBER(AY343))),0,1)+IF(OR(COUNTA(AZ343:BB343)=0,AND(COUNTA(AZ343:BB343)=3,ISNUMBER(BB343))),0,1))&gt;0,"; An invoice is incomplete (needs No, Date and a number in Ex GST)","")&amp;IF((IF(T343="",0,IFERROR(--(EOMONTH(T343,0)&lt;&gt;S$5),1))+IF(W343="",0,IFERROR(--(EOMONTH(W343,0)&lt;&gt;V$5),1))+IF(Z343="",0,IFERROR(--(EOMONTH(Z343,0)&lt;&gt;Y$5),1))+IF(AC343="",0,IFERROR(--(EOMONTH(AC343,0)&lt;&gt;AB$5),1))+IF(AF343="",0,IFERROR(--(EOMONTH(AF343,0)&lt;&gt;AE$5),1))+IF(AI343="",0,IFERROR(--(EOMONTH(AI343,0)&lt;&gt;AH$5),1))+IF(AL343="",0,IFERROR(--(EOMONTH(AL343,0)&lt;&gt;AK$5),1))+IF(AO343="",0,IFERROR(--(EOMONTH(AO343,0)&lt;&gt;AN$5),1))+IF(AR343="",0,IFERROR(--(EOMONTH(AR343,0)&lt;&gt;AQ$5),1))+IF(AU343="",0,IFERROR(--(EOMONTH(AU343,0)&lt;&gt;AT$5),1))+IF(AX343="",0,IFERROR(--(EOMONTH(AX343,0)&lt;&gt;AW$5),1))+IF(BA343="",0,IFERROR(--(EOMONTH(BA343,0)&lt;&gt;AZ$5),1)))&gt;0,"; An invoice date is not in the month it is typed under",""),3,500))</f>
        <v/>
      </c>
      <c r="S343" s="12" t="n"/>
      <c r="T343" s="13" t="n"/>
      <c r="U343" s="14" t="n"/>
      <c r="V343" s="12" t="n"/>
      <c r="W343" s="13" t="n"/>
      <c r="X343" s="14" t="n"/>
      <c r="Y343" s="12" t="n"/>
      <c r="Z343" s="13" t="n"/>
      <c r="AA343" s="14" t="n"/>
      <c r="AB343" s="12" t="n"/>
      <c r="AC343" s="13" t="n"/>
      <c r="AD343" s="14" t="n"/>
      <c r="AE343" s="12" t="n"/>
      <c r="AF343" s="13" t="n"/>
      <c r="AG343" s="14" t="n"/>
      <c r="AH343" s="12" t="n"/>
      <c r="AI343" s="13" t="n"/>
      <c r="AJ343" s="14" t="n"/>
      <c r="AK343" s="12" t="n"/>
      <c r="AL343" s="13" t="n"/>
      <c r="AM343" s="14" t="n"/>
      <c r="AN343" s="12" t="n"/>
      <c r="AO343" s="13" t="n"/>
      <c r="AP343" s="14" t="n"/>
      <c r="AQ343" s="12" t="n"/>
      <c r="AR343" s="13" t="n"/>
      <c r="AS343" s="14" t="n"/>
      <c r="AT343" s="12" t="n"/>
      <c r="AU343" s="13" t="n"/>
      <c r="AV343" s="14" t="n"/>
      <c r="AW343" s="12" t="n"/>
      <c r="AX343" s="13" t="n"/>
      <c r="AY343" s="14" t="n"/>
      <c r="AZ343" s="12" t="n"/>
      <c r="BA343" s="13" t="n"/>
      <c r="BB343" s="14" t="n"/>
      <c r="BC343" s="11">
        <f>IF(O343="","",IF(J343="GST 10%",ROUND(O343*set_GSTRate,2),0))</f>
        <v/>
      </c>
      <c r="BD343" s="11">
        <f>IF(O343="","",O343+BC343)</f>
        <v/>
      </c>
      <c r="BE343" s="15">
        <f>IF(O343="","",COUNTA(S343,V343,Y343,AB343,AE343,AH343,AK343,AN343,AQ343,AT343,AW343,AZ343))</f>
        <v/>
      </c>
      <c r="BF343" s="16">
        <f>IF(COUNT(T343,W343,Z343,AC343,AF343,AI343,AL343,AO343,AR343,AU343,AX343,BA343)=0,"",MAX(T343,W343,Z343,AC343,AF343,AI343,AL343,AO343,AR343,AU343,AX343,BA343))</f>
        <v/>
      </c>
      <c r="BG343" s="10">
        <f>MID(IF(S343="","",", "&amp;S343)&amp;IF(V343="","",", "&amp;V343)&amp;IF(Y343="","",", "&amp;Y343)&amp;IF(AB343="","",", "&amp;AB343)&amp;IF(AE343="","",", "&amp;AE343)&amp;IF(AH343="","",", "&amp;AH343)&amp;IF(AK343="","",", "&amp;AK343)&amp;IF(AN343="","",", "&amp;AN343)&amp;IF(AQ343="","",", "&amp;AQ343)&amp;IF(AT343="","",", "&amp;AT343)&amp;IF(AW343="","",", "&amp;AW343)&amp;IF(AZ343="","",", "&amp;AZ343),3,500)</f>
        <v/>
      </c>
      <c r="BH343" s="12" t="n"/>
      <c r="BI343" s="15">
        <f>IFERROR(MATCH($A343,IF($B343="Onsite",tbl_Onsite[Row ID],IF($B343="Production",tbl_Production[Row ID],tbl_Consulting[Row ID])),0),"")</f>
        <v/>
      </c>
    </row>
    <row r="344">
      <c r="A344" s="10" t="inlineStr">
        <is>
          <t>ONS-0338</t>
        </is>
      </c>
      <c r="B344" s="10" t="inlineStr">
        <is>
          <t>Onsite</t>
        </is>
      </c>
      <c r="C344" s="10">
        <f>IF($BI344="","",IF($B344="Onsite",INDEX(tbl_Onsite[Job Number],$BI344),IF($B344="Production",INDEX(tbl_Production[Job Number],$BI344),INDEX(tbl_Consulting[Job Number],$BI344)))&amp;"")</f>
        <v/>
      </c>
      <c r="D344" s="10">
        <f>IF($BI344="","",IF($B344="Onsite",INDEX(tbl_Onsite[Client],$BI344),IF($B344="Production",INDEX(tbl_Production[Client],$BI344),INDEX(tbl_Consulting[Client],$BI344)))&amp;"")</f>
        <v/>
      </c>
      <c r="E344" s="10">
        <f>IF($C344="","",IF(COUNTIF(lst_Jobs,$C344)&gt;0,"OK","CHECK"))</f>
        <v/>
      </c>
      <c r="F344" s="10">
        <f>IF($C344="","",IFERROR(INDEX(lst_JobName,MATCH($C344,lst_Jobs,0)),""))</f>
        <v/>
      </c>
      <c r="G344" s="10">
        <f>IF($BI344="","",IF($B344="Onsite",INDEX(tbl_Onsite[Job Description],$BI344),IF($B344="Production",INDEX(tbl_Production[Job Description],$BI344),INDEX(tbl_Consulting[Job Description],$BI344)))&amp;"")</f>
        <v/>
      </c>
      <c r="H344" s="10">
        <f>IF($BI344="","",IF($B344="Onsite",INDEX(tbl_Onsite[Cost Centre],$BI344),IF($B344="Production",INDEX(tbl_Production[Cost Centre],$BI344),INDEX(tbl_Consulting[Cost Centre],$BI344)))&amp;"")</f>
        <v/>
      </c>
      <c r="I344" s="10">
        <f>IF($BI344="","",IF($B344="Onsite",INDEX(tbl_Onsite[Invoice Type],$BI344),IF($B344="Production",INDEX(tbl_Production[Invoice Type],$BI344),INDEX(tbl_Consulting[Invoice Type],$BI344)))&amp;"")</f>
        <v/>
      </c>
      <c r="J344" s="10">
        <f>IF($BI344="","",IF($B344="Onsite",INDEX(tbl_Onsite[Tax Code],$BI344),IF($B344="Production",INDEX(tbl_Production[Tax Code],$BI344),INDEX(tbl_Consulting[Tax Code],$BI344)))&amp;"")</f>
        <v/>
      </c>
      <c r="K344" s="10">
        <f>IF(H344="","",IFERROR(INDEX(lst_CCtoGL,MATCH(H344,lst_CCforGL,0)),""))</f>
        <v/>
      </c>
      <c r="L344" s="10">
        <f>IF($BI344="","",IF($B344="Onsite",INDEX(tbl_Onsite[PO / Reference],$BI344),IF($B344="Production",INDEX(tbl_Production[Current RMS No],$BI344),INDEX(tbl_Consulting[Qwilr Quote],$BI344)))&amp;"")</f>
        <v/>
      </c>
      <c r="M344" s="10">
        <f>IF($BI344="","",IF($B344="Onsite",INDEX(tbl_Onsite[Notes],$BI344),IF($B344="Production",INDEX(tbl_Production[Notes],$BI344),INDEX(tbl_Consulting[Notes],$BI344)))&amp;"")</f>
        <v/>
      </c>
      <c r="N344" s="11">
        <f>IF($BI344="","",IF(IF($B344="Onsite",INDEX(tbl_Onsite[Expected Revenue Ex GST],$BI344),IF($B344="Production",INDEX(tbl_Production[Expected Revenue Ex GST],$BI344),INDEX(tbl_Consulting[Expected Revenue Ex GST],$BI344)))="","",IF($B344="Onsite",INDEX(tbl_Onsite[Expected Revenue Ex GST],$BI344),IF($B344="Production",INDEX(tbl_Production[Expected Revenue Ex GST],$BI344),INDEX(tbl_Consulting[Expected Revenue Ex GST],$BI344)))))</f>
        <v/>
      </c>
      <c r="O344" s="11">
        <f>IF(AND($C344="",NOT(COUNTA($S344:$BB344)&gt;0)),"",SUM(U344,X344,AA344,AD344,AG344,AJ344,AM344,AP344,AS344,AV344,AY344,BB344))</f>
        <v/>
      </c>
      <c r="P344" s="11">
        <f>IF(O344="","",N(N344)-O344)</f>
        <v/>
      </c>
      <c r="Q344" s="10">
        <f>IF(O344="","",IF($C344="","Invoice on empty job row",IF(N344="",IF(ROUND(O344,2)=0,"No dept value","Invoiced - no dept value"),IF(ROUND(O344,2)=0,"Not invoiced - to invoice",IF(ROUND(P344,2)=0,"Agrees",IF(P344&gt;0,"Dept higher - to invoice","Xero higher - check dept"))))))</f>
        <v/>
      </c>
      <c r="R344" s="10">
        <f>IF(AND($C344="",NOT(COUNTA($S344:$BB344)&gt;0),$BI344&lt;&gt;""),"",MID(IF($BI344="","; Row ID not found on the department sheet - a row was deleted","")&amp;IF(AND($C344="",COUNTA($S344:$BB344)&gt;0),"; Invoice entered but the department row has no job number","")&amp;IF(E344="CHECK","; Job number not in the Xero job list","")&amp;IF(AND($C344&lt;&gt;"",COUNTIF($C$7:$C$1506,$C344)&gt;1),"; Job number on more than one row","")&amp;IF(AND($C344&lt;&gt;"",H344=""),"; Dept has not set a cost centre","")&amp;IF(AND($C344&lt;&gt;"",J344=""),"; Dept has not set a tax code","")&amp;IF(AND($C344&lt;&gt;"",N344=""),"; Dept has not entered an expected value","")&amp;IF((IF(OR(COUNTA(S344:U344)=0,AND(COUNTA(S344:U344)=3,ISNUMBER(U344))),0,1)+IF(OR(COUNTA(V344:X344)=0,AND(COUNTA(V344:X344)=3,ISNUMBER(X344))),0,1)+IF(OR(COUNTA(Y344:AA344)=0,AND(COUNTA(Y344:AA344)=3,ISNUMBER(AA344))),0,1)+IF(OR(COUNTA(AB344:AD344)=0,AND(COUNTA(AB344:AD344)=3,ISNUMBER(AD344))),0,1)+IF(OR(COUNTA(AE344:AG344)=0,AND(COUNTA(AE344:AG344)=3,ISNUMBER(AG344))),0,1)+IF(OR(COUNTA(AH344:AJ344)=0,AND(COUNTA(AH344:AJ344)=3,ISNUMBER(AJ344))),0,1)+IF(OR(COUNTA(AK344:AM344)=0,AND(COUNTA(AK344:AM344)=3,ISNUMBER(AM344))),0,1)+IF(OR(COUNTA(AN344:AP344)=0,AND(COUNTA(AN344:AP344)=3,ISNUMBER(AP344))),0,1)+IF(OR(COUNTA(AQ344:AS344)=0,AND(COUNTA(AQ344:AS344)=3,ISNUMBER(AS344))),0,1)+IF(OR(COUNTA(AT344:AV344)=0,AND(COUNTA(AT344:AV344)=3,ISNUMBER(AV344))),0,1)+IF(OR(COUNTA(AW344:AY344)=0,AND(COUNTA(AW344:AY344)=3,ISNUMBER(AY344))),0,1)+IF(OR(COUNTA(AZ344:BB344)=0,AND(COUNTA(AZ344:BB344)=3,ISNUMBER(BB344))),0,1))&gt;0,"; An invoice is incomplete (needs No, Date and a number in Ex GST)","")&amp;IF((IF(T344="",0,IFERROR(--(EOMONTH(T344,0)&lt;&gt;S$5),1))+IF(W344="",0,IFERROR(--(EOMONTH(W344,0)&lt;&gt;V$5),1))+IF(Z344="",0,IFERROR(--(EOMONTH(Z344,0)&lt;&gt;Y$5),1))+IF(AC344="",0,IFERROR(--(EOMONTH(AC344,0)&lt;&gt;AB$5),1))+IF(AF344="",0,IFERROR(--(EOMONTH(AF344,0)&lt;&gt;AE$5),1))+IF(AI344="",0,IFERROR(--(EOMONTH(AI344,0)&lt;&gt;AH$5),1))+IF(AL344="",0,IFERROR(--(EOMONTH(AL344,0)&lt;&gt;AK$5),1))+IF(AO344="",0,IFERROR(--(EOMONTH(AO344,0)&lt;&gt;AN$5),1))+IF(AR344="",0,IFERROR(--(EOMONTH(AR344,0)&lt;&gt;AQ$5),1))+IF(AU344="",0,IFERROR(--(EOMONTH(AU344,0)&lt;&gt;AT$5),1))+IF(AX344="",0,IFERROR(--(EOMONTH(AX344,0)&lt;&gt;AW$5),1))+IF(BA344="",0,IFERROR(--(EOMONTH(BA344,0)&lt;&gt;AZ$5),1)))&gt;0,"; An invoice date is not in the month it is typed under",""),3,500))</f>
        <v/>
      </c>
      <c r="S344" s="12" t="n"/>
      <c r="T344" s="13" t="n"/>
      <c r="U344" s="14" t="n"/>
      <c r="V344" s="12" t="n"/>
      <c r="W344" s="13" t="n"/>
      <c r="X344" s="14" t="n"/>
      <c r="Y344" s="12" t="n"/>
      <c r="Z344" s="13" t="n"/>
      <c r="AA344" s="14" t="n"/>
      <c r="AB344" s="12" t="n"/>
      <c r="AC344" s="13" t="n"/>
      <c r="AD344" s="14" t="n"/>
      <c r="AE344" s="12" t="n"/>
      <c r="AF344" s="13" t="n"/>
      <c r="AG344" s="14" t="n"/>
      <c r="AH344" s="12" t="n"/>
      <c r="AI344" s="13" t="n"/>
      <c r="AJ344" s="14" t="n"/>
      <c r="AK344" s="12" t="n"/>
      <c r="AL344" s="13" t="n"/>
      <c r="AM344" s="14" t="n"/>
      <c r="AN344" s="12" t="n"/>
      <c r="AO344" s="13" t="n"/>
      <c r="AP344" s="14" t="n"/>
      <c r="AQ344" s="12" t="n"/>
      <c r="AR344" s="13" t="n"/>
      <c r="AS344" s="14" t="n"/>
      <c r="AT344" s="12" t="n"/>
      <c r="AU344" s="13" t="n"/>
      <c r="AV344" s="14" t="n"/>
      <c r="AW344" s="12" t="n"/>
      <c r="AX344" s="13" t="n"/>
      <c r="AY344" s="14" t="n"/>
      <c r="AZ344" s="12" t="n"/>
      <c r="BA344" s="13" t="n"/>
      <c r="BB344" s="14" t="n"/>
      <c r="BC344" s="11">
        <f>IF(O344="","",IF(J344="GST 10%",ROUND(O344*set_GSTRate,2),0))</f>
        <v/>
      </c>
      <c r="BD344" s="11">
        <f>IF(O344="","",O344+BC344)</f>
        <v/>
      </c>
      <c r="BE344" s="15">
        <f>IF(O344="","",COUNTA(S344,V344,Y344,AB344,AE344,AH344,AK344,AN344,AQ344,AT344,AW344,AZ344))</f>
        <v/>
      </c>
      <c r="BF344" s="16">
        <f>IF(COUNT(T344,W344,Z344,AC344,AF344,AI344,AL344,AO344,AR344,AU344,AX344,BA344)=0,"",MAX(T344,W344,Z344,AC344,AF344,AI344,AL344,AO344,AR344,AU344,AX344,BA344))</f>
        <v/>
      </c>
      <c r="BG344" s="10">
        <f>MID(IF(S344="","",", "&amp;S344)&amp;IF(V344="","",", "&amp;V344)&amp;IF(Y344="","",", "&amp;Y344)&amp;IF(AB344="","",", "&amp;AB344)&amp;IF(AE344="","",", "&amp;AE344)&amp;IF(AH344="","",", "&amp;AH344)&amp;IF(AK344="","",", "&amp;AK344)&amp;IF(AN344="","",", "&amp;AN344)&amp;IF(AQ344="","",", "&amp;AQ344)&amp;IF(AT344="","",", "&amp;AT344)&amp;IF(AW344="","",", "&amp;AW344)&amp;IF(AZ344="","",", "&amp;AZ344),3,500)</f>
        <v/>
      </c>
      <c r="BH344" s="12" t="n"/>
      <c r="BI344" s="15">
        <f>IFERROR(MATCH($A344,IF($B344="Onsite",tbl_Onsite[Row ID],IF($B344="Production",tbl_Production[Row ID],tbl_Consulting[Row ID])),0),"")</f>
        <v/>
      </c>
    </row>
    <row r="345">
      <c r="A345" s="10" t="inlineStr">
        <is>
          <t>ONS-0339</t>
        </is>
      </c>
      <c r="B345" s="10" t="inlineStr">
        <is>
          <t>Onsite</t>
        </is>
      </c>
      <c r="C345" s="10">
        <f>IF($BI345="","",IF($B345="Onsite",INDEX(tbl_Onsite[Job Number],$BI345),IF($B345="Production",INDEX(tbl_Production[Job Number],$BI345),INDEX(tbl_Consulting[Job Number],$BI345)))&amp;"")</f>
        <v/>
      </c>
      <c r="D345" s="10">
        <f>IF($BI345="","",IF($B345="Onsite",INDEX(tbl_Onsite[Client],$BI345),IF($B345="Production",INDEX(tbl_Production[Client],$BI345),INDEX(tbl_Consulting[Client],$BI345)))&amp;"")</f>
        <v/>
      </c>
      <c r="E345" s="10">
        <f>IF($C345="","",IF(COUNTIF(lst_Jobs,$C345)&gt;0,"OK","CHECK"))</f>
        <v/>
      </c>
      <c r="F345" s="10">
        <f>IF($C345="","",IFERROR(INDEX(lst_JobName,MATCH($C345,lst_Jobs,0)),""))</f>
        <v/>
      </c>
      <c r="G345" s="10">
        <f>IF($BI345="","",IF($B345="Onsite",INDEX(tbl_Onsite[Job Description],$BI345),IF($B345="Production",INDEX(tbl_Production[Job Description],$BI345),INDEX(tbl_Consulting[Job Description],$BI345)))&amp;"")</f>
        <v/>
      </c>
      <c r="H345" s="10">
        <f>IF($BI345="","",IF($B345="Onsite",INDEX(tbl_Onsite[Cost Centre],$BI345),IF($B345="Production",INDEX(tbl_Production[Cost Centre],$BI345),INDEX(tbl_Consulting[Cost Centre],$BI345)))&amp;"")</f>
        <v/>
      </c>
      <c r="I345" s="10">
        <f>IF($BI345="","",IF($B345="Onsite",INDEX(tbl_Onsite[Invoice Type],$BI345),IF($B345="Production",INDEX(tbl_Production[Invoice Type],$BI345),INDEX(tbl_Consulting[Invoice Type],$BI345)))&amp;"")</f>
        <v/>
      </c>
      <c r="J345" s="10">
        <f>IF($BI345="","",IF($B345="Onsite",INDEX(tbl_Onsite[Tax Code],$BI345),IF($B345="Production",INDEX(tbl_Production[Tax Code],$BI345),INDEX(tbl_Consulting[Tax Code],$BI345)))&amp;"")</f>
        <v/>
      </c>
      <c r="K345" s="10">
        <f>IF(H345="","",IFERROR(INDEX(lst_CCtoGL,MATCH(H345,lst_CCforGL,0)),""))</f>
        <v/>
      </c>
      <c r="L345" s="10">
        <f>IF($BI345="","",IF($B345="Onsite",INDEX(tbl_Onsite[PO / Reference],$BI345),IF($B345="Production",INDEX(tbl_Production[Current RMS No],$BI345),INDEX(tbl_Consulting[Qwilr Quote],$BI345)))&amp;"")</f>
        <v/>
      </c>
      <c r="M345" s="10">
        <f>IF($BI345="","",IF($B345="Onsite",INDEX(tbl_Onsite[Notes],$BI345),IF($B345="Production",INDEX(tbl_Production[Notes],$BI345),INDEX(tbl_Consulting[Notes],$BI345)))&amp;"")</f>
        <v/>
      </c>
      <c r="N345" s="11">
        <f>IF($BI345="","",IF(IF($B345="Onsite",INDEX(tbl_Onsite[Expected Revenue Ex GST],$BI345),IF($B345="Production",INDEX(tbl_Production[Expected Revenue Ex GST],$BI345),INDEX(tbl_Consulting[Expected Revenue Ex GST],$BI345)))="","",IF($B345="Onsite",INDEX(tbl_Onsite[Expected Revenue Ex GST],$BI345),IF($B345="Production",INDEX(tbl_Production[Expected Revenue Ex GST],$BI345),INDEX(tbl_Consulting[Expected Revenue Ex GST],$BI345)))))</f>
        <v/>
      </c>
      <c r="O345" s="11">
        <f>IF(AND($C345="",NOT(COUNTA($S345:$BB345)&gt;0)),"",SUM(U345,X345,AA345,AD345,AG345,AJ345,AM345,AP345,AS345,AV345,AY345,BB345))</f>
        <v/>
      </c>
      <c r="P345" s="11">
        <f>IF(O345="","",N(N345)-O345)</f>
        <v/>
      </c>
      <c r="Q345" s="10">
        <f>IF(O345="","",IF($C345="","Invoice on empty job row",IF(N345="",IF(ROUND(O345,2)=0,"No dept value","Invoiced - no dept value"),IF(ROUND(O345,2)=0,"Not invoiced - to invoice",IF(ROUND(P345,2)=0,"Agrees",IF(P345&gt;0,"Dept higher - to invoice","Xero higher - check dept"))))))</f>
        <v/>
      </c>
      <c r="R345" s="10">
        <f>IF(AND($C345="",NOT(COUNTA($S345:$BB345)&gt;0),$BI345&lt;&gt;""),"",MID(IF($BI345="","; Row ID not found on the department sheet - a row was deleted","")&amp;IF(AND($C345="",COUNTA($S345:$BB345)&gt;0),"; Invoice entered but the department row has no job number","")&amp;IF(E345="CHECK","; Job number not in the Xero job list","")&amp;IF(AND($C345&lt;&gt;"",COUNTIF($C$7:$C$1506,$C345)&gt;1),"; Job number on more than one row","")&amp;IF(AND($C345&lt;&gt;"",H345=""),"; Dept has not set a cost centre","")&amp;IF(AND($C345&lt;&gt;"",J345=""),"; Dept has not set a tax code","")&amp;IF(AND($C345&lt;&gt;"",N345=""),"; Dept has not entered an expected value","")&amp;IF((IF(OR(COUNTA(S345:U345)=0,AND(COUNTA(S345:U345)=3,ISNUMBER(U345))),0,1)+IF(OR(COUNTA(V345:X345)=0,AND(COUNTA(V345:X345)=3,ISNUMBER(X345))),0,1)+IF(OR(COUNTA(Y345:AA345)=0,AND(COUNTA(Y345:AA345)=3,ISNUMBER(AA345))),0,1)+IF(OR(COUNTA(AB345:AD345)=0,AND(COUNTA(AB345:AD345)=3,ISNUMBER(AD345))),0,1)+IF(OR(COUNTA(AE345:AG345)=0,AND(COUNTA(AE345:AG345)=3,ISNUMBER(AG345))),0,1)+IF(OR(COUNTA(AH345:AJ345)=0,AND(COUNTA(AH345:AJ345)=3,ISNUMBER(AJ345))),0,1)+IF(OR(COUNTA(AK345:AM345)=0,AND(COUNTA(AK345:AM345)=3,ISNUMBER(AM345))),0,1)+IF(OR(COUNTA(AN345:AP345)=0,AND(COUNTA(AN345:AP345)=3,ISNUMBER(AP345))),0,1)+IF(OR(COUNTA(AQ345:AS345)=0,AND(COUNTA(AQ345:AS345)=3,ISNUMBER(AS345))),0,1)+IF(OR(COUNTA(AT345:AV345)=0,AND(COUNTA(AT345:AV345)=3,ISNUMBER(AV345))),0,1)+IF(OR(COUNTA(AW345:AY345)=0,AND(COUNTA(AW345:AY345)=3,ISNUMBER(AY345))),0,1)+IF(OR(COUNTA(AZ345:BB345)=0,AND(COUNTA(AZ345:BB345)=3,ISNUMBER(BB345))),0,1))&gt;0,"; An invoice is incomplete (needs No, Date and a number in Ex GST)","")&amp;IF((IF(T345="",0,IFERROR(--(EOMONTH(T345,0)&lt;&gt;S$5),1))+IF(W345="",0,IFERROR(--(EOMONTH(W345,0)&lt;&gt;V$5),1))+IF(Z345="",0,IFERROR(--(EOMONTH(Z345,0)&lt;&gt;Y$5),1))+IF(AC345="",0,IFERROR(--(EOMONTH(AC345,0)&lt;&gt;AB$5),1))+IF(AF345="",0,IFERROR(--(EOMONTH(AF345,0)&lt;&gt;AE$5),1))+IF(AI345="",0,IFERROR(--(EOMONTH(AI345,0)&lt;&gt;AH$5),1))+IF(AL345="",0,IFERROR(--(EOMONTH(AL345,0)&lt;&gt;AK$5),1))+IF(AO345="",0,IFERROR(--(EOMONTH(AO345,0)&lt;&gt;AN$5),1))+IF(AR345="",0,IFERROR(--(EOMONTH(AR345,0)&lt;&gt;AQ$5),1))+IF(AU345="",0,IFERROR(--(EOMONTH(AU345,0)&lt;&gt;AT$5),1))+IF(AX345="",0,IFERROR(--(EOMONTH(AX345,0)&lt;&gt;AW$5),1))+IF(BA345="",0,IFERROR(--(EOMONTH(BA345,0)&lt;&gt;AZ$5),1)))&gt;0,"; An invoice date is not in the month it is typed under",""),3,500))</f>
        <v/>
      </c>
      <c r="S345" s="12" t="n"/>
      <c r="T345" s="13" t="n"/>
      <c r="U345" s="14" t="n"/>
      <c r="V345" s="12" t="n"/>
      <c r="W345" s="13" t="n"/>
      <c r="X345" s="14" t="n"/>
      <c r="Y345" s="12" t="n"/>
      <c r="Z345" s="13" t="n"/>
      <c r="AA345" s="14" t="n"/>
      <c r="AB345" s="12" t="n"/>
      <c r="AC345" s="13" t="n"/>
      <c r="AD345" s="14" t="n"/>
      <c r="AE345" s="12" t="n"/>
      <c r="AF345" s="13" t="n"/>
      <c r="AG345" s="14" t="n"/>
      <c r="AH345" s="12" t="n"/>
      <c r="AI345" s="13" t="n"/>
      <c r="AJ345" s="14" t="n"/>
      <c r="AK345" s="12" t="n"/>
      <c r="AL345" s="13" t="n"/>
      <c r="AM345" s="14" t="n"/>
      <c r="AN345" s="12" t="n"/>
      <c r="AO345" s="13" t="n"/>
      <c r="AP345" s="14" t="n"/>
      <c r="AQ345" s="12" t="n"/>
      <c r="AR345" s="13" t="n"/>
      <c r="AS345" s="14" t="n"/>
      <c r="AT345" s="12" t="n"/>
      <c r="AU345" s="13" t="n"/>
      <c r="AV345" s="14" t="n"/>
      <c r="AW345" s="12" t="n"/>
      <c r="AX345" s="13" t="n"/>
      <c r="AY345" s="14" t="n"/>
      <c r="AZ345" s="12" t="n"/>
      <c r="BA345" s="13" t="n"/>
      <c r="BB345" s="14" t="n"/>
      <c r="BC345" s="11">
        <f>IF(O345="","",IF(J345="GST 10%",ROUND(O345*set_GSTRate,2),0))</f>
        <v/>
      </c>
      <c r="BD345" s="11">
        <f>IF(O345="","",O345+BC345)</f>
        <v/>
      </c>
      <c r="BE345" s="15">
        <f>IF(O345="","",COUNTA(S345,V345,Y345,AB345,AE345,AH345,AK345,AN345,AQ345,AT345,AW345,AZ345))</f>
        <v/>
      </c>
      <c r="BF345" s="16">
        <f>IF(COUNT(T345,W345,Z345,AC345,AF345,AI345,AL345,AO345,AR345,AU345,AX345,BA345)=0,"",MAX(T345,W345,Z345,AC345,AF345,AI345,AL345,AO345,AR345,AU345,AX345,BA345))</f>
        <v/>
      </c>
      <c r="BG345" s="10">
        <f>MID(IF(S345="","",", "&amp;S345)&amp;IF(V345="","",", "&amp;V345)&amp;IF(Y345="","",", "&amp;Y345)&amp;IF(AB345="","",", "&amp;AB345)&amp;IF(AE345="","",", "&amp;AE345)&amp;IF(AH345="","",", "&amp;AH345)&amp;IF(AK345="","",", "&amp;AK345)&amp;IF(AN345="","",", "&amp;AN345)&amp;IF(AQ345="","",", "&amp;AQ345)&amp;IF(AT345="","",", "&amp;AT345)&amp;IF(AW345="","",", "&amp;AW345)&amp;IF(AZ345="","",", "&amp;AZ345),3,500)</f>
        <v/>
      </c>
      <c r="BH345" s="12" t="n"/>
      <c r="BI345" s="15">
        <f>IFERROR(MATCH($A345,IF($B345="Onsite",tbl_Onsite[Row ID],IF($B345="Production",tbl_Production[Row ID],tbl_Consulting[Row ID])),0),"")</f>
        <v/>
      </c>
    </row>
    <row r="346">
      <c r="A346" s="10" t="inlineStr">
        <is>
          <t>ONS-0340</t>
        </is>
      </c>
      <c r="B346" s="10" t="inlineStr">
        <is>
          <t>Onsite</t>
        </is>
      </c>
      <c r="C346" s="10">
        <f>IF($BI346="","",IF($B346="Onsite",INDEX(tbl_Onsite[Job Number],$BI346),IF($B346="Production",INDEX(tbl_Production[Job Number],$BI346),INDEX(tbl_Consulting[Job Number],$BI346)))&amp;"")</f>
        <v/>
      </c>
      <c r="D346" s="10">
        <f>IF($BI346="","",IF($B346="Onsite",INDEX(tbl_Onsite[Client],$BI346),IF($B346="Production",INDEX(tbl_Production[Client],$BI346),INDEX(tbl_Consulting[Client],$BI346)))&amp;"")</f>
        <v/>
      </c>
      <c r="E346" s="10">
        <f>IF($C346="","",IF(COUNTIF(lst_Jobs,$C346)&gt;0,"OK","CHECK"))</f>
        <v/>
      </c>
      <c r="F346" s="10">
        <f>IF($C346="","",IFERROR(INDEX(lst_JobName,MATCH($C346,lst_Jobs,0)),""))</f>
        <v/>
      </c>
      <c r="G346" s="10">
        <f>IF($BI346="","",IF($B346="Onsite",INDEX(tbl_Onsite[Job Description],$BI346),IF($B346="Production",INDEX(tbl_Production[Job Description],$BI346),INDEX(tbl_Consulting[Job Description],$BI346)))&amp;"")</f>
        <v/>
      </c>
      <c r="H346" s="10">
        <f>IF($BI346="","",IF($B346="Onsite",INDEX(tbl_Onsite[Cost Centre],$BI346),IF($B346="Production",INDEX(tbl_Production[Cost Centre],$BI346),INDEX(tbl_Consulting[Cost Centre],$BI346)))&amp;"")</f>
        <v/>
      </c>
      <c r="I346" s="10">
        <f>IF($BI346="","",IF($B346="Onsite",INDEX(tbl_Onsite[Invoice Type],$BI346),IF($B346="Production",INDEX(tbl_Production[Invoice Type],$BI346),INDEX(tbl_Consulting[Invoice Type],$BI346)))&amp;"")</f>
        <v/>
      </c>
      <c r="J346" s="10">
        <f>IF($BI346="","",IF($B346="Onsite",INDEX(tbl_Onsite[Tax Code],$BI346),IF($B346="Production",INDEX(tbl_Production[Tax Code],$BI346),INDEX(tbl_Consulting[Tax Code],$BI346)))&amp;"")</f>
        <v/>
      </c>
      <c r="K346" s="10">
        <f>IF(H346="","",IFERROR(INDEX(lst_CCtoGL,MATCH(H346,lst_CCforGL,0)),""))</f>
        <v/>
      </c>
      <c r="L346" s="10">
        <f>IF($BI346="","",IF($B346="Onsite",INDEX(tbl_Onsite[PO / Reference],$BI346),IF($B346="Production",INDEX(tbl_Production[Current RMS No],$BI346),INDEX(tbl_Consulting[Qwilr Quote],$BI346)))&amp;"")</f>
        <v/>
      </c>
      <c r="M346" s="10">
        <f>IF($BI346="","",IF($B346="Onsite",INDEX(tbl_Onsite[Notes],$BI346),IF($B346="Production",INDEX(tbl_Production[Notes],$BI346),INDEX(tbl_Consulting[Notes],$BI346)))&amp;"")</f>
        <v/>
      </c>
      <c r="N346" s="11">
        <f>IF($BI346="","",IF(IF($B346="Onsite",INDEX(tbl_Onsite[Expected Revenue Ex GST],$BI346),IF($B346="Production",INDEX(tbl_Production[Expected Revenue Ex GST],$BI346),INDEX(tbl_Consulting[Expected Revenue Ex GST],$BI346)))="","",IF($B346="Onsite",INDEX(tbl_Onsite[Expected Revenue Ex GST],$BI346),IF($B346="Production",INDEX(tbl_Production[Expected Revenue Ex GST],$BI346),INDEX(tbl_Consulting[Expected Revenue Ex GST],$BI346)))))</f>
        <v/>
      </c>
      <c r="O346" s="11">
        <f>IF(AND($C346="",NOT(COUNTA($S346:$BB346)&gt;0)),"",SUM(U346,X346,AA346,AD346,AG346,AJ346,AM346,AP346,AS346,AV346,AY346,BB346))</f>
        <v/>
      </c>
      <c r="P346" s="11">
        <f>IF(O346="","",N(N346)-O346)</f>
        <v/>
      </c>
      <c r="Q346" s="10">
        <f>IF(O346="","",IF($C346="","Invoice on empty job row",IF(N346="",IF(ROUND(O346,2)=0,"No dept value","Invoiced - no dept value"),IF(ROUND(O346,2)=0,"Not invoiced - to invoice",IF(ROUND(P346,2)=0,"Agrees",IF(P346&gt;0,"Dept higher - to invoice","Xero higher - check dept"))))))</f>
        <v/>
      </c>
      <c r="R346" s="10">
        <f>IF(AND($C346="",NOT(COUNTA($S346:$BB346)&gt;0),$BI346&lt;&gt;""),"",MID(IF($BI346="","; Row ID not found on the department sheet - a row was deleted","")&amp;IF(AND($C346="",COUNTA($S346:$BB346)&gt;0),"; Invoice entered but the department row has no job number","")&amp;IF(E346="CHECK","; Job number not in the Xero job list","")&amp;IF(AND($C346&lt;&gt;"",COUNTIF($C$7:$C$1506,$C346)&gt;1),"; Job number on more than one row","")&amp;IF(AND($C346&lt;&gt;"",H346=""),"; Dept has not set a cost centre","")&amp;IF(AND($C346&lt;&gt;"",J346=""),"; Dept has not set a tax code","")&amp;IF(AND($C346&lt;&gt;"",N346=""),"; Dept has not entered an expected value","")&amp;IF((IF(OR(COUNTA(S346:U346)=0,AND(COUNTA(S346:U346)=3,ISNUMBER(U346))),0,1)+IF(OR(COUNTA(V346:X346)=0,AND(COUNTA(V346:X346)=3,ISNUMBER(X346))),0,1)+IF(OR(COUNTA(Y346:AA346)=0,AND(COUNTA(Y346:AA346)=3,ISNUMBER(AA346))),0,1)+IF(OR(COUNTA(AB346:AD346)=0,AND(COUNTA(AB346:AD346)=3,ISNUMBER(AD346))),0,1)+IF(OR(COUNTA(AE346:AG346)=0,AND(COUNTA(AE346:AG346)=3,ISNUMBER(AG346))),0,1)+IF(OR(COUNTA(AH346:AJ346)=0,AND(COUNTA(AH346:AJ346)=3,ISNUMBER(AJ346))),0,1)+IF(OR(COUNTA(AK346:AM346)=0,AND(COUNTA(AK346:AM346)=3,ISNUMBER(AM346))),0,1)+IF(OR(COUNTA(AN346:AP346)=0,AND(COUNTA(AN346:AP346)=3,ISNUMBER(AP346))),0,1)+IF(OR(COUNTA(AQ346:AS346)=0,AND(COUNTA(AQ346:AS346)=3,ISNUMBER(AS346))),0,1)+IF(OR(COUNTA(AT346:AV346)=0,AND(COUNTA(AT346:AV346)=3,ISNUMBER(AV346))),0,1)+IF(OR(COUNTA(AW346:AY346)=0,AND(COUNTA(AW346:AY346)=3,ISNUMBER(AY346))),0,1)+IF(OR(COUNTA(AZ346:BB346)=0,AND(COUNTA(AZ346:BB346)=3,ISNUMBER(BB346))),0,1))&gt;0,"; An invoice is incomplete (needs No, Date and a number in Ex GST)","")&amp;IF((IF(T346="",0,IFERROR(--(EOMONTH(T346,0)&lt;&gt;S$5),1))+IF(W346="",0,IFERROR(--(EOMONTH(W346,0)&lt;&gt;V$5),1))+IF(Z346="",0,IFERROR(--(EOMONTH(Z346,0)&lt;&gt;Y$5),1))+IF(AC346="",0,IFERROR(--(EOMONTH(AC346,0)&lt;&gt;AB$5),1))+IF(AF346="",0,IFERROR(--(EOMONTH(AF346,0)&lt;&gt;AE$5),1))+IF(AI346="",0,IFERROR(--(EOMONTH(AI346,0)&lt;&gt;AH$5),1))+IF(AL346="",0,IFERROR(--(EOMONTH(AL346,0)&lt;&gt;AK$5),1))+IF(AO346="",0,IFERROR(--(EOMONTH(AO346,0)&lt;&gt;AN$5),1))+IF(AR346="",0,IFERROR(--(EOMONTH(AR346,0)&lt;&gt;AQ$5),1))+IF(AU346="",0,IFERROR(--(EOMONTH(AU346,0)&lt;&gt;AT$5),1))+IF(AX346="",0,IFERROR(--(EOMONTH(AX346,0)&lt;&gt;AW$5),1))+IF(BA346="",0,IFERROR(--(EOMONTH(BA346,0)&lt;&gt;AZ$5),1)))&gt;0,"; An invoice date is not in the month it is typed under",""),3,500))</f>
        <v/>
      </c>
      <c r="S346" s="12" t="n"/>
      <c r="T346" s="13" t="n"/>
      <c r="U346" s="14" t="n"/>
      <c r="V346" s="12" t="n"/>
      <c r="W346" s="13" t="n"/>
      <c r="X346" s="14" t="n"/>
      <c r="Y346" s="12" t="n"/>
      <c r="Z346" s="13" t="n"/>
      <c r="AA346" s="14" t="n"/>
      <c r="AB346" s="12" t="n"/>
      <c r="AC346" s="13" t="n"/>
      <c r="AD346" s="14" t="n"/>
      <c r="AE346" s="12" t="n"/>
      <c r="AF346" s="13" t="n"/>
      <c r="AG346" s="14" t="n"/>
      <c r="AH346" s="12" t="n"/>
      <c r="AI346" s="13" t="n"/>
      <c r="AJ346" s="14" t="n"/>
      <c r="AK346" s="12" t="n"/>
      <c r="AL346" s="13" t="n"/>
      <c r="AM346" s="14" t="n"/>
      <c r="AN346" s="12" t="n"/>
      <c r="AO346" s="13" t="n"/>
      <c r="AP346" s="14" t="n"/>
      <c r="AQ346" s="12" t="n"/>
      <c r="AR346" s="13" t="n"/>
      <c r="AS346" s="14" t="n"/>
      <c r="AT346" s="12" t="n"/>
      <c r="AU346" s="13" t="n"/>
      <c r="AV346" s="14" t="n"/>
      <c r="AW346" s="12" t="n"/>
      <c r="AX346" s="13" t="n"/>
      <c r="AY346" s="14" t="n"/>
      <c r="AZ346" s="12" t="n"/>
      <c r="BA346" s="13" t="n"/>
      <c r="BB346" s="14" t="n"/>
      <c r="BC346" s="11">
        <f>IF(O346="","",IF(J346="GST 10%",ROUND(O346*set_GSTRate,2),0))</f>
        <v/>
      </c>
      <c r="BD346" s="11">
        <f>IF(O346="","",O346+BC346)</f>
        <v/>
      </c>
      <c r="BE346" s="15">
        <f>IF(O346="","",COUNTA(S346,V346,Y346,AB346,AE346,AH346,AK346,AN346,AQ346,AT346,AW346,AZ346))</f>
        <v/>
      </c>
      <c r="BF346" s="16">
        <f>IF(COUNT(T346,W346,Z346,AC346,AF346,AI346,AL346,AO346,AR346,AU346,AX346,BA346)=0,"",MAX(T346,W346,Z346,AC346,AF346,AI346,AL346,AO346,AR346,AU346,AX346,BA346))</f>
        <v/>
      </c>
      <c r="BG346" s="10">
        <f>MID(IF(S346="","",", "&amp;S346)&amp;IF(V346="","",", "&amp;V346)&amp;IF(Y346="","",", "&amp;Y346)&amp;IF(AB346="","",", "&amp;AB346)&amp;IF(AE346="","",", "&amp;AE346)&amp;IF(AH346="","",", "&amp;AH346)&amp;IF(AK346="","",", "&amp;AK346)&amp;IF(AN346="","",", "&amp;AN346)&amp;IF(AQ346="","",", "&amp;AQ346)&amp;IF(AT346="","",", "&amp;AT346)&amp;IF(AW346="","",", "&amp;AW346)&amp;IF(AZ346="","",", "&amp;AZ346),3,500)</f>
        <v/>
      </c>
      <c r="BH346" s="12" t="n"/>
      <c r="BI346" s="15">
        <f>IFERROR(MATCH($A346,IF($B346="Onsite",tbl_Onsite[Row ID],IF($B346="Production",tbl_Production[Row ID],tbl_Consulting[Row ID])),0),"")</f>
        <v/>
      </c>
    </row>
    <row r="347">
      <c r="A347" s="10" t="inlineStr">
        <is>
          <t>ONS-0341</t>
        </is>
      </c>
      <c r="B347" s="10" t="inlineStr">
        <is>
          <t>Onsite</t>
        </is>
      </c>
      <c r="C347" s="10">
        <f>IF($BI347="","",IF($B347="Onsite",INDEX(tbl_Onsite[Job Number],$BI347),IF($B347="Production",INDEX(tbl_Production[Job Number],$BI347),INDEX(tbl_Consulting[Job Number],$BI347)))&amp;"")</f>
        <v/>
      </c>
      <c r="D347" s="10">
        <f>IF($BI347="","",IF($B347="Onsite",INDEX(tbl_Onsite[Client],$BI347),IF($B347="Production",INDEX(tbl_Production[Client],$BI347),INDEX(tbl_Consulting[Client],$BI347)))&amp;"")</f>
        <v/>
      </c>
      <c r="E347" s="10">
        <f>IF($C347="","",IF(COUNTIF(lst_Jobs,$C347)&gt;0,"OK","CHECK"))</f>
        <v/>
      </c>
      <c r="F347" s="10">
        <f>IF($C347="","",IFERROR(INDEX(lst_JobName,MATCH($C347,lst_Jobs,0)),""))</f>
        <v/>
      </c>
      <c r="G347" s="10">
        <f>IF($BI347="","",IF($B347="Onsite",INDEX(tbl_Onsite[Job Description],$BI347),IF($B347="Production",INDEX(tbl_Production[Job Description],$BI347),INDEX(tbl_Consulting[Job Description],$BI347)))&amp;"")</f>
        <v/>
      </c>
      <c r="H347" s="10">
        <f>IF($BI347="","",IF($B347="Onsite",INDEX(tbl_Onsite[Cost Centre],$BI347),IF($B347="Production",INDEX(tbl_Production[Cost Centre],$BI347),INDEX(tbl_Consulting[Cost Centre],$BI347)))&amp;"")</f>
        <v/>
      </c>
      <c r="I347" s="10">
        <f>IF($BI347="","",IF($B347="Onsite",INDEX(tbl_Onsite[Invoice Type],$BI347),IF($B347="Production",INDEX(tbl_Production[Invoice Type],$BI347),INDEX(tbl_Consulting[Invoice Type],$BI347)))&amp;"")</f>
        <v/>
      </c>
      <c r="J347" s="10">
        <f>IF($BI347="","",IF($B347="Onsite",INDEX(tbl_Onsite[Tax Code],$BI347),IF($B347="Production",INDEX(tbl_Production[Tax Code],$BI347),INDEX(tbl_Consulting[Tax Code],$BI347)))&amp;"")</f>
        <v/>
      </c>
      <c r="K347" s="10">
        <f>IF(H347="","",IFERROR(INDEX(lst_CCtoGL,MATCH(H347,lst_CCforGL,0)),""))</f>
        <v/>
      </c>
      <c r="L347" s="10">
        <f>IF($BI347="","",IF($B347="Onsite",INDEX(tbl_Onsite[PO / Reference],$BI347),IF($B347="Production",INDEX(tbl_Production[Current RMS No],$BI347),INDEX(tbl_Consulting[Qwilr Quote],$BI347)))&amp;"")</f>
        <v/>
      </c>
      <c r="M347" s="10">
        <f>IF($BI347="","",IF($B347="Onsite",INDEX(tbl_Onsite[Notes],$BI347),IF($B347="Production",INDEX(tbl_Production[Notes],$BI347),INDEX(tbl_Consulting[Notes],$BI347)))&amp;"")</f>
        <v/>
      </c>
      <c r="N347" s="11">
        <f>IF($BI347="","",IF(IF($B347="Onsite",INDEX(tbl_Onsite[Expected Revenue Ex GST],$BI347),IF($B347="Production",INDEX(tbl_Production[Expected Revenue Ex GST],$BI347),INDEX(tbl_Consulting[Expected Revenue Ex GST],$BI347)))="","",IF($B347="Onsite",INDEX(tbl_Onsite[Expected Revenue Ex GST],$BI347),IF($B347="Production",INDEX(tbl_Production[Expected Revenue Ex GST],$BI347),INDEX(tbl_Consulting[Expected Revenue Ex GST],$BI347)))))</f>
        <v/>
      </c>
      <c r="O347" s="11">
        <f>IF(AND($C347="",NOT(COUNTA($S347:$BB347)&gt;0)),"",SUM(U347,X347,AA347,AD347,AG347,AJ347,AM347,AP347,AS347,AV347,AY347,BB347))</f>
        <v/>
      </c>
      <c r="P347" s="11">
        <f>IF(O347="","",N(N347)-O347)</f>
        <v/>
      </c>
      <c r="Q347" s="10">
        <f>IF(O347="","",IF($C347="","Invoice on empty job row",IF(N347="",IF(ROUND(O347,2)=0,"No dept value","Invoiced - no dept value"),IF(ROUND(O347,2)=0,"Not invoiced - to invoice",IF(ROUND(P347,2)=0,"Agrees",IF(P347&gt;0,"Dept higher - to invoice","Xero higher - check dept"))))))</f>
        <v/>
      </c>
      <c r="R347" s="10">
        <f>IF(AND($C347="",NOT(COUNTA($S347:$BB347)&gt;0),$BI347&lt;&gt;""),"",MID(IF($BI347="","; Row ID not found on the department sheet - a row was deleted","")&amp;IF(AND($C347="",COUNTA($S347:$BB347)&gt;0),"; Invoice entered but the department row has no job number","")&amp;IF(E347="CHECK","; Job number not in the Xero job list","")&amp;IF(AND($C347&lt;&gt;"",COUNTIF($C$7:$C$1506,$C347)&gt;1),"; Job number on more than one row","")&amp;IF(AND($C347&lt;&gt;"",H347=""),"; Dept has not set a cost centre","")&amp;IF(AND($C347&lt;&gt;"",J347=""),"; Dept has not set a tax code","")&amp;IF(AND($C347&lt;&gt;"",N347=""),"; Dept has not entered an expected value","")&amp;IF((IF(OR(COUNTA(S347:U347)=0,AND(COUNTA(S347:U347)=3,ISNUMBER(U347))),0,1)+IF(OR(COUNTA(V347:X347)=0,AND(COUNTA(V347:X347)=3,ISNUMBER(X347))),0,1)+IF(OR(COUNTA(Y347:AA347)=0,AND(COUNTA(Y347:AA347)=3,ISNUMBER(AA347))),0,1)+IF(OR(COUNTA(AB347:AD347)=0,AND(COUNTA(AB347:AD347)=3,ISNUMBER(AD347))),0,1)+IF(OR(COUNTA(AE347:AG347)=0,AND(COUNTA(AE347:AG347)=3,ISNUMBER(AG347))),0,1)+IF(OR(COUNTA(AH347:AJ347)=0,AND(COUNTA(AH347:AJ347)=3,ISNUMBER(AJ347))),0,1)+IF(OR(COUNTA(AK347:AM347)=0,AND(COUNTA(AK347:AM347)=3,ISNUMBER(AM347))),0,1)+IF(OR(COUNTA(AN347:AP347)=0,AND(COUNTA(AN347:AP347)=3,ISNUMBER(AP347))),0,1)+IF(OR(COUNTA(AQ347:AS347)=0,AND(COUNTA(AQ347:AS347)=3,ISNUMBER(AS347))),0,1)+IF(OR(COUNTA(AT347:AV347)=0,AND(COUNTA(AT347:AV347)=3,ISNUMBER(AV347))),0,1)+IF(OR(COUNTA(AW347:AY347)=0,AND(COUNTA(AW347:AY347)=3,ISNUMBER(AY347))),0,1)+IF(OR(COUNTA(AZ347:BB347)=0,AND(COUNTA(AZ347:BB347)=3,ISNUMBER(BB347))),0,1))&gt;0,"; An invoice is incomplete (needs No, Date and a number in Ex GST)","")&amp;IF((IF(T347="",0,IFERROR(--(EOMONTH(T347,0)&lt;&gt;S$5),1))+IF(W347="",0,IFERROR(--(EOMONTH(W347,0)&lt;&gt;V$5),1))+IF(Z347="",0,IFERROR(--(EOMONTH(Z347,0)&lt;&gt;Y$5),1))+IF(AC347="",0,IFERROR(--(EOMONTH(AC347,0)&lt;&gt;AB$5),1))+IF(AF347="",0,IFERROR(--(EOMONTH(AF347,0)&lt;&gt;AE$5),1))+IF(AI347="",0,IFERROR(--(EOMONTH(AI347,0)&lt;&gt;AH$5),1))+IF(AL347="",0,IFERROR(--(EOMONTH(AL347,0)&lt;&gt;AK$5),1))+IF(AO347="",0,IFERROR(--(EOMONTH(AO347,0)&lt;&gt;AN$5),1))+IF(AR347="",0,IFERROR(--(EOMONTH(AR347,0)&lt;&gt;AQ$5),1))+IF(AU347="",0,IFERROR(--(EOMONTH(AU347,0)&lt;&gt;AT$5),1))+IF(AX347="",0,IFERROR(--(EOMONTH(AX347,0)&lt;&gt;AW$5),1))+IF(BA347="",0,IFERROR(--(EOMONTH(BA347,0)&lt;&gt;AZ$5),1)))&gt;0,"; An invoice date is not in the month it is typed under",""),3,500))</f>
        <v/>
      </c>
      <c r="S347" s="12" t="n"/>
      <c r="T347" s="13" t="n"/>
      <c r="U347" s="14" t="n"/>
      <c r="V347" s="12" t="n"/>
      <c r="W347" s="13" t="n"/>
      <c r="X347" s="14" t="n"/>
      <c r="Y347" s="12" t="n"/>
      <c r="Z347" s="13" t="n"/>
      <c r="AA347" s="14" t="n"/>
      <c r="AB347" s="12" t="n"/>
      <c r="AC347" s="13" t="n"/>
      <c r="AD347" s="14" t="n"/>
      <c r="AE347" s="12" t="n"/>
      <c r="AF347" s="13" t="n"/>
      <c r="AG347" s="14" t="n"/>
      <c r="AH347" s="12" t="n"/>
      <c r="AI347" s="13" t="n"/>
      <c r="AJ347" s="14" t="n"/>
      <c r="AK347" s="12" t="n"/>
      <c r="AL347" s="13" t="n"/>
      <c r="AM347" s="14" t="n"/>
      <c r="AN347" s="12" t="n"/>
      <c r="AO347" s="13" t="n"/>
      <c r="AP347" s="14" t="n"/>
      <c r="AQ347" s="12" t="n"/>
      <c r="AR347" s="13" t="n"/>
      <c r="AS347" s="14" t="n"/>
      <c r="AT347" s="12" t="n"/>
      <c r="AU347" s="13" t="n"/>
      <c r="AV347" s="14" t="n"/>
      <c r="AW347" s="12" t="n"/>
      <c r="AX347" s="13" t="n"/>
      <c r="AY347" s="14" t="n"/>
      <c r="AZ347" s="12" t="n"/>
      <c r="BA347" s="13" t="n"/>
      <c r="BB347" s="14" t="n"/>
      <c r="BC347" s="11">
        <f>IF(O347="","",IF(J347="GST 10%",ROUND(O347*set_GSTRate,2),0))</f>
        <v/>
      </c>
      <c r="BD347" s="11">
        <f>IF(O347="","",O347+BC347)</f>
        <v/>
      </c>
      <c r="BE347" s="15">
        <f>IF(O347="","",COUNTA(S347,V347,Y347,AB347,AE347,AH347,AK347,AN347,AQ347,AT347,AW347,AZ347))</f>
        <v/>
      </c>
      <c r="BF347" s="16">
        <f>IF(COUNT(T347,W347,Z347,AC347,AF347,AI347,AL347,AO347,AR347,AU347,AX347,BA347)=0,"",MAX(T347,W347,Z347,AC347,AF347,AI347,AL347,AO347,AR347,AU347,AX347,BA347))</f>
        <v/>
      </c>
      <c r="BG347" s="10">
        <f>MID(IF(S347="","",", "&amp;S347)&amp;IF(V347="","",", "&amp;V347)&amp;IF(Y347="","",", "&amp;Y347)&amp;IF(AB347="","",", "&amp;AB347)&amp;IF(AE347="","",", "&amp;AE347)&amp;IF(AH347="","",", "&amp;AH347)&amp;IF(AK347="","",", "&amp;AK347)&amp;IF(AN347="","",", "&amp;AN347)&amp;IF(AQ347="","",", "&amp;AQ347)&amp;IF(AT347="","",", "&amp;AT347)&amp;IF(AW347="","",", "&amp;AW347)&amp;IF(AZ347="","",", "&amp;AZ347),3,500)</f>
        <v/>
      </c>
      <c r="BH347" s="12" t="n"/>
      <c r="BI347" s="15">
        <f>IFERROR(MATCH($A347,IF($B347="Onsite",tbl_Onsite[Row ID],IF($B347="Production",tbl_Production[Row ID],tbl_Consulting[Row ID])),0),"")</f>
        <v/>
      </c>
    </row>
    <row r="348">
      <c r="A348" s="10" t="inlineStr">
        <is>
          <t>ONS-0342</t>
        </is>
      </c>
      <c r="B348" s="10" t="inlineStr">
        <is>
          <t>Onsite</t>
        </is>
      </c>
      <c r="C348" s="10">
        <f>IF($BI348="","",IF($B348="Onsite",INDEX(tbl_Onsite[Job Number],$BI348),IF($B348="Production",INDEX(tbl_Production[Job Number],$BI348),INDEX(tbl_Consulting[Job Number],$BI348)))&amp;"")</f>
        <v/>
      </c>
      <c r="D348" s="10">
        <f>IF($BI348="","",IF($B348="Onsite",INDEX(tbl_Onsite[Client],$BI348),IF($B348="Production",INDEX(tbl_Production[Client],$BI348),INDEX(tbl_Consulting[Client],$BI348)))&amp;"")</f>
        <v/>
      </c>
      <c r="E348" s="10">
        <f>IF($C348="","",IF(COUNTIF(lst_Jobs,$C348)&gt;0,"OK","CHECK"))</f>
        <v/>
      </c>
      <c r="F348" s="10">
        <f>IF($C348="","",IFERROR(INDEX(lst_JobName,MATCH($C348,lst_Jobs,0)),""))</f>
        <v/>
      </c>
      <c r="G348" s="10">
        <f>IF($BI348="","",IF($B348="Onsite",INDEX(tbl_Onsite[Job Description],$BI348),IF($B348="Production",INDEX(tbl_Production[Job Description],$BI348),INDEX(tbl_Consulting[Job Description],$BI348)))&amp;"")</f>
        <v/>
      </c>
      <c r="H348" s="10">
        <f>IF($BI348="","",IF($B348="Onsite",INDEX(tbl_Onsite[Cost Centre],$BI348),IF($B348="Production",INDEX(tbl_Production[Cost Centre],$BI348),INDEX(tbl_Consulting[Cost Centre],$BI348)))&amp;"")</f>
        <v/>
      </c>
      <c r="I348" s="10">
        <f>IF($BI348="","",IF($B348="Onsite",INDEX(tbl_Onsite[Invoice Type],$BI348),IF($B348="Production",INDEX(tbl_Production[Invoice Type],$BI348),INDEX(tbl_Consulting[Invoice Type],$BI348)))&amp;"")</f>
        <v/>
      </c>
      <c r="J348" s="10">
        <f>IF($BI348="","",IF($B348="Onsite",INDEX(tbl_Onsite[Tax Code],$BI348),IF($B348="Production",INDEX(tbl_Production[Tax Code],$BI348),INDEX(tbl_Consulting[Tax Code],$BI348)))&amp;"")</f>
        <v/>
      </c>
      <c r="K348" s="10">
        <f>IF(H348="","",IFERROR(INDEX(lst_CCtoGL,MATCH(H348,lst_CCforGL,0)),""))</f>
        <v/>
      </c>
      <c r="L348" s="10">
        <f>IF($BI348="","",IF($B348="Onsite",INDEX(tbl_Onsite[PO / Reference],$BI348),IF($B348="Production",INDEX(tbl_Production[Current RMS No],$BI348),INDEX(tbl_Consulting[Qwilr Quote],$BI348)))&amp;"")</f>
        <v/>
      </c>
      <c r="M348" s="10">
        <f>IF($BI348="","",IF($B348="Onsite",INDEX(tbl_Onsite[Notes],$BI348),IF($B348="Production",INDEX(tbl_Production[Notes],$BI348),INDEX(tbl_Consulting[Notes],$BI348)))&amp;"")</f>
        <v/>
      </c>
      <c r="N348" s="11">
        <f>IF($BI348="","",IF(IF($B348="Onsite",INDEX(tbl_Onsite[Expected Revenue Ex GST],$BI348),IF($B348="Production",INDEX(tbl_Production[Expected Revenue Ex GST],$BI348),INDEX(tbl_Consulting[Expected Revenue Ex GST],$BI348)))="","",IF($B348="Onsite",INDEX(tbl_Onsite[Expected Revenue Ex GST],$BI348),IF($B348="Production",INDEX(tbl_Production[Expected Revenue Ex GST],$BI348),INDEX(tbl_Consulting[Expected Revenue Ex GST],$BI348)))))</f>
        <v/>
      </c>
      <c r="O348" s="11">
        <f>IF(AND($C348="",NOT(COUNTA($S348:$BB348)&gt;0)),"",SUM(U348,X348,AA348,AD348,AG348,AJ348,AM348,AP348,AS348,AV348,AY348,BB348))</f>
        <v/>
      </c>
      <c r="P348" s="11">
        <f>IF(O348="","",N(N348)-O348)</f>
        <v/>
      </c>
      <c r="Q348" s="10">
        <f>IF(O348="","",IF($C348="","Invoice on empty job row",IF(N348="",IF(ROUND(O348,2)=0,"No dept value","Invoiced - no dept value"),IF(ROUND(O348,2)=0,"Not invoiced - to invoice",IF(ROUND(P348,2)=0,"Agrees",IF(P348&gt;0,"Dept higher - to invoice","Xero higher - check dept"))))))</f>
        <v/>
      </c>
      <c r="R348" s="10">
        <f>IF(AND($C348="",NOT(COUNTA($S348:$BB348)&gt;0),$BI348&lt;&gt;""),"",MID(IF($BI348="","; Row ID not found on the department sheet - a row was deleted","")&amp;IF(AND($C348="",COUNTA($S348:$BB348)&gt;0),"; Invoice entered but the department row has no job number","")&amp;IF(E348="CHECK","; Job number not in the Xero job list","")&amp;IF(AND($C348&lt;&gt;"",COUNTIF($C$7:$C$1506,$C348)&gt;1),"; Job number on more than one row","")&amp;IF(AND($C348&lt;&gt;"",H348=""),"; Dept has not set a cost centre","")&amp;IF(AND($C348&lt;&gt;"",J348=""),"; Dept has not set a tax code","")&amp;IF(AND($C348&lt;&gt;"",N348=""),"; Dept has not entered an expected value","")&amp;IF((IF(OR(COUNTA(S348:U348)=0,AND(COUNTA(S348:U348)=3,ISNUMBER(U348))),0,1)+IF(OR(COUNTA(V348:X348)=0,AND(COUNTA(V348:X348)=3,ISNUMBER(X348))),0,1)+IF(OR(COUNTA(Y348:AA348)=0,AND(COUNTA(Y348:AA348)=3,ISNUMBER(AA348))),0,1)+IF(OR(COUNTA(AB348:AD348)=0,AND(COUNTA(AB348:AD348)=3,ISNUMBER(AD348))),0,1)+IF(OR(COUNTA(AE348:AG348)=0,AND(COUNTA(AE348:AG348)=3,ISNUMBER(AG348))),0,1)+IF(OR(COUNTA(AH348:AJ348)=0,AND(COUNTA(AH348:AJ348)=3,ISNUMBER(AJ348))),0,1)+IF(OR(COUNTA(AK348:AM348)=0,AND(COUNTA(AK348:AM348)=3,ISNUMBER(AM348))),0,1)+IF(OR(COUNTA(AN348:AP348)=0,AND(COUNTA(AN348:AP348)=3,ISNUMBER(AP348))),0,1)+IF(OR(COUNTA(AQ348:AS348)=0,AND(COUNTA(AQ348:AS348)=3,ISNUMBER(AS348))),0,1)+IF(OR(COUNTA(AT348:AV348)=0,AND(COUNTA(AT348:AV348)=3,ISNUMBER(AV348))),0,1)+IF(OR(COUNTA(AW348:AY348)=0,AND(COUNTA(AW348:AY348)=3,ISNUMBER(AY348))),0,1)+IF(OR(COUNTA(AZ348:BB348)=0,AND(COUNTA(AZ348:BB348)=3,ISNUMBER(BB348))),0,1))&gt;0,"; An invoice is incomplete (needs No, Date and a number in Ex GST)","")&amp;IF((IF(T348="",0,IFERROR(--(EOMONTH(T348,0)&lt;&gt;S$5),1))+IF(W348="",0,IFERROR(--(EOMONTH(W348,0)&lt;&gt;V$5),1))+IF(Z348="",0,IFERROR(--(EOMONTH(Z348,0)&lt;&gt;Y$5),1))+IF(AC348="",0,IFERROR(--(EOMONTH(AC348,0)&lt;&gt;AB$5),1))+IF(AF348="",0,IFERROR(--(EOMONTH(AF348,0)&lt;&gt;AE$5),1))+IF(AI348="",0,IFERROR(--(EOMONTH(AI348,0)&lt;&gt;AH$5),1))+IF(AL348="",0,IFERROR(--(EOMONTH(AL348,0)&lt;&gt;AK$5),1))+IF(AO348="",0,IFERROR(--(EOMONTH(AO348,0)&lt;&gt;AN$5),1))+IF(AR348="",0,IFERROR(--(EOMONTH(AR348,0)&lt;&gt;AQ$5),1))+IF(AU348="",0,IFERROR(--(EOMONTH(AU348,0)&lt;&gt;AT$5),1))+IF(AX348="",0,IFERROR(--(EOMONTH(AX348,0)&lt;&gt;AW$5),1))+IF(BA348="",0,IFERROR(--(EOMONTH(BA348,0)&lt;&gt;AZ$5),1)))&gt;0,"; An invoice date is not in the month it is typed under",""),3,500))</f>
        <v/>
      </c>
      <c r="S348" s="12" t="n"/>
      <c r="T348" s="13" t="n"/>
      <c r="U348" s="14" t="n"/>
      <c r="V348" s="12" t="n"/>
      <c r="W348" s="13" t="n"/>
      <c r="X348" s="14" t="n"/>
      <c r="Y348" s="12" t="n"/>
      <c r="Z348" s="13" t="n"/>
      <c r="AA348" s="14" t="n"/>
      <c r="AB348" s="12" t="n"/>
      <c r="AC348" s="13" t="n"/>
      <c r="AD348" s="14" t="n"/>
      <c r="AE348" s="12" t="n"/>
      <c r="AF348" s="13" t="n"/>
      <c r="AG348" s="14" t="n"/>
      <c r="AH348" s="12" t="n"/>
      <c r="AI348" s="13" t="n"/>
      <c r="AJ348" s="14" t="n"/>
      <c r="AK348" s="12" t="n"/>
      <c r="AL348" s="13" t="n"/>
      <c r="AM348" s="14" t="n"/>
      <c r="AN348" s="12" t="n"/>
      <c r="AO348" s="13" t="n"/>
      <c r="AP348" s="14" t="n"/>
      <c r="AQ348" s="12" t="n"/>
      <c r="AR348" s="13" t="n"/>
      <c r="AS348" s="14" t="n"/>
      <c r="AT348" s="12" t="n"/>
      <c r="AU348" s="13" t="n"/>
      <c r="AV348" s="14" t="n"/>
      <c r="AW348" s="12" t="n"/>
      <c r="AX348" s="13" t="n"/>
      <c r="AY348" s="14" t="n"/>
      <c r="AZ348" s="12" t="n"/>
      <c r="BA348" s="13" t="n"/>
      <c r="BB348" s="14" t="n"/>
      <c r="BC348" s="11">
        <f>IF(O348="","",IF(J348="GST 10%",ROUND(O348*set_GSTRate,2),0))</f>
        <v/>
      </c>
      <c r="BD348" s="11">
        <f>IF(O348="","",O348+BC348)</f>
        <v/>
      </c>
      <c r="BE348" s="15">
        <f>IF(O348="","",COUNTA(S348,V348,Y348,AB348,AE348,AH348,AK348,AN348,AQ348,AT348,AW348,AZ348))</f>
        <v/>
      </c>
      <c r="BF348" s="16">
        <f>IF(COUNT(T348,W348,Z348,AC348,AF348,AI348,AL348,AO348,AR348,AU348,AX348,BA348)=0,"",MAX(T348,W348,Z348,AC348,AF348,AI348,AL348,AO348,AR348,AU348,AX348,BA348))</f>
        <v/>
      </c>
      <c r="BG348" s="10">
        <f>MID(IF(S348="","",", "&amp;S348)&amp;IF(V348="","",", "&amp;V348)&amp;IF(Y348="","",", "&amp;Y348)&amp;IF(AB348="","",", "&amp;AB348)&amp;IF(AE348="","",", "&amp;AE348)&amp;IF(AH348="","",", "&amp;AH348)&amp;IF(AK348="","",", "&amp;AK348)&amp;IF(AN348="","",", "&amp;AN348)&amp;IF(AQ348="","",", "&amp;AQ348)&amp;IF(AT348="","",", "&amp;AT348)&amp;IF(AW348="","",", "&amp;AW348)&amp;IF(AZ348="","",", "&amp;AZ348),3,500)</f>
        <v/>
      </c>
      <c r="BH348" s="12" t="n"/>
      <c r="BI348" s="15">
        <f>IFERROR(MATCH($A348,IF($B348="Onsite",tbl_Onsite[Row ID],IF($B348="Production",tbl_Production[Row ID],tbl_Consulting[Row ID])),0),"")</f>
        <v/>
      </c>
    </row>
    <row r="349">
      <c r="A349" s="10" t="inlineStr">
        <is>
          <t>ONS-0343</t>
        </is>
      </c>
      <c r="B349" s="10" t="inlineStr">
        <is>
          <t>Onsite</t>
        </is>
      </c>
      <c r="C349" s="10">
        <f>IF($BI349="","",IF($B349="Onsite",INDEX(tbl_Onsite[Job Number],$BI349),IF($B349="Production",INDEX(tbl_Production[Job Number],$BI349),INDEX(tbl_Consulting[Job Number],$BI349)))&amp;"")</f>
        <v/>
      </c>
      <c r="D349" s="10">
        <f>IF($BI349="","",IF($B349="Onsite",INDEX(tbl_Onsite[Client],$BI349),IF($B349="Production",INDEX(tbl_Production[Client],$BI349),INDEX(tbl_Consulting[Client],$BI349)))&amp;"")</f>
        <v/>
      </c>
      <c r="E349" s="10">
        <f>IF($C349="","",IF(COUNTIF(lst_Jobs,$C349)&gt;0,"OK","CHECK"))</f>
        <v/>
      </c>
      <c r="F349" s="10">
        <f>IF($C349="","",IFERROR(INDEX(lst_JobName,MATCH($C349,lst_Jobs,0)),""))</f>
        <v/>
      </c>
      <c r="G349" s="10">
        <f>IF($BI349="","",IF($B349="Onsite",INDEX(tbl_Onsite[Job Description],$BI349),IF($B349="Production",INDEX(tbl_Production[Job Description],$BI349),INDEX(tbl_Consulting[Job Description],$BI349)))&amp;"")</f>
        <v/>
      </c>
      <c r="H349" s="10">
        <f>IF($BI349="","",IF($B349="Onsite",INDEX(tbl_Onsite[Cost Centre],$BI349),IF($B349="Production",INDEX(tbl_Production[Cost Centre],$BI349),INDEX(tbl_Consulting[Cost Centre],$BI349)))&amp;"")</f>
        <v/>
      </c>
      <c r="I349" s="10">
        <f>IF($BI349="","",IF($B349="Onsite",INDEX(tbl_Onsite[Invoice Type],$BI349),IF($B349="Production",INDEX(tbl_Production[Invoice Type],$BI349),INDEX(tbl_Consulting[Invoice Type],$BI349)))&amp;"")</f>
        <v/>
      </c>
      <c r="J349" s="10">
        <f>IF($BI349="","",IF($B349="Onsite",INDEX(tbl_Onsite[Tax Code],$BI349),IF($B349="Production",INDEX(tbl_Production[Tax Code],$BI349),INDEX(tbl_Consulting[Tax Code],$BI349)))&amp;"")</f>
        <v/>
      </c>
      <c r="K349" s="10">
        <f>IF(H349="","",IFERROR(INDEX(lst_CCtoGL,MATCH(H349,lst_CCforGL,0)),""))</f>
        <v/>
      </c>
      <c r="L349" s="10">
        <f>IF($BI349="","",IF($B349="Onsite",INDEX(tbl_Onsite[PO / Reference],$BI349),IF($B349="Production",INDEX(tbl_Production[Current RMS No],$BI349),INDEX(tbl_Consulting[Qwilr Quote],$BI349)))&amp;"")</f>
        <v/>
      </c>
      <c r="M349" s="10">
        <f>IF($BI349="","",IF($B349="Onsite",INDEX(tbl_Onsite[Notes],$BI349),IF($B349="Production",INDEX(tbl_Production[Notes],$BI349),INDEX(tbl_Consulting[Notes],$BI349)))&amp;"")</f>
        <v/>
      </c>
      <c r="N349" s="11">
        <f>IF($BI349="","",IF(IF($B349="Onsite",INDEX(tbl_Onsite[Expected Revenue Ex GST],$BI349),IF($B349="Production",INDEX(tbl_Production[Expected Revenue Ex GST],$BI349),INDEX(tbl_Consulting[Expected Revenue Ex GST],$BI349)))="","",IF($B349="Onsite",INDEX(tbl_Onsite[Expected Revenue Ex GST],$BI349),IF($B349="Production",INDEX(tbl_Production[Expected Revenue Ex GST],$BI349),INDEX(tbl_Consulting[Expected Revenue Ex GST],$BI349)))))</f>
        <v/>
      </c>
      <c r="O349" s="11">
        <f>IF(AND($C349="",NOT(COUNTA($S349:$BB349)&gt;0)),"",SUM(U349,X349,AA349,AD349,AG349,AJ349,AM349,AP349,AS349,AV349,AY349,BB349))</f>
        <v/>
      </c>
      <c r="P349" s="11">
        <f>IF(O349="","",N(N349)-O349)</f>
        <v/>
      </c>
      <c r="Q349" s="10">
        <f>IF(O349="","",IF($C349="","Invoice on empty job row",IF(N349="",IF(ROUND(O349,2)=0,"No dept value","Invoiced - no dept value"),IF(ROUND(O349,2)=0,"Not invoiced - to invoice",IF(ROUND(P349,2)=0,"Agrees",IF(P349&gt;0,"Dept higher - to invoice","Xero higher - check dept"))))))</f>
        <v/>
      </c>
      <c r="R349" s="10">
        <f>IF(AND($C349="",NOT(COUNTA($S349:$BB349)&gt;0),$BI349&lt;&gt;""),"",MID(IF($BI349="","; Row ID not found on the department sheet - a row was deleted","")&amp;IF(AND($C349="",COUNTA($S349:$BB349)&gt;0),"; Invoice entered but the department row has no job number","")&amp;IF(E349="CHECK","; Job number not in the Xero job list","")&amp;IF(AND($C349&lt;&gt;"",COUNTIF($C$7:$C$1506,$C349)&gt;1),"; Job number on more than one row","")&amp;IF(AND($C349&lt;&gt;"",H349=""),"; Dept has not set a cost centre","")&amp;IF(AND($C349&lt;&gt;"",J349=""),"; Dept has not set a tax code","")&amp;IF(AND($C349&lt;&gt;"",N349=""),"; Dept has not entered an expected value","")&amp;IF((IF(OR(COUNTA(S349:U349)=0,AND(COUNTA(S349:U349)=3,ISNUMBER(U349))),0,1)+IF(OR(COUNTA(V349:X349)=0,AND(COUNTA(V349:X349)=3,ISNUMBER(X349))),0,1)+IF(OR(COUNTA(Y349:AA349)=0,AND(COUNTA(Y349:AA349)=3,ISNUMBER(AA349))),0,1)+IF(OR(COUNTA(AB349:AD349)=0,AND(COUNTA(AB349:AD349)=3,ISNUMBER(AD349))),0,1)+IF(OR(COUNTA(AE349:AG349)=0,AND(COUNTA(AE349:AG349)=3,ISNUMBER(AG349))),0,1)+IF(OR(COUNTA(AH349:AJ349)=0,AND(COUNTA(AH349:AJ349)=3,ISNUMBER(AJ349))),0,1)+IF(OR(COUNTA(AK349:AM349)=0,AND(COUNTA(AK349:AM349)=3,ISNUMBER(AM349))),0,1)+IF(OR(COUNTA(AN349:AP349)=0,AND(COUNTA(AN349:AP349)=3,ISNUMBER(AP349))),0,1)+IF(OR(COUNTA(AQ349:AS349)=0,AND(COUNTA(AQ349:AS349)=3,ISNUMBER(AS349))),0,1)+IF(OR(COUNTA(AT349:AV349)=0,AND(COUNTA(AT349:AV349)=3,ISNUMBER(AV349))),0,1)+IF(OR(COUNTA(AW349:AY349)=0,AND(COUNTA(AW349:AY349)=3,ISNUMBER(AY349))),0,1)+IF(OR(COUNTA(AZ349:BB349)=0,AND(COUNTA(AZ349:BB349)=3,ISNUMBER(BB349))),0,1))&gt;0,"; An invoice is incomplete (needs No, Date and a number in Ex GST)","")&amp;IF((IF(T349="",0,IFERROR(--(EOMONTH(T349,0)&lt;&gt;S$5),1))+IF(W349="",0,IFERROR(--(EOMONTH(W349,0)&lt;&gt;V$5),1))+IF(Z349="",0,IFERROR(--(EOMONTH(Z349,0)&lt;&gt;Y$5),1))+IF(AC349="",0,IFERROR(--(EOMONTH(AC349,0)&lt;&gt;AB$5),1))+IF(AF349="",0,IFERROR(--(EOMONTH(AF349,0)&lt;&gt;AE$5),1))+IF(AI349="",0,IFERROR(--(EOMONTH(AI349,0)&lt;&gt;AH$5),1))+IF(AL349="",0,IFERROR(--(EOMONTH(AL349,0)&lt;&gt;AK$5),1))+IF(AO349="",0,IFERROR(--(EOMONTH(AO349,0)&lt;&gt;AN$5),1))+IF(AR349="",0,IFERROR(--(EOMONTH(AR349,0)&lt;&gt;AQ$5),1))+IF(AU349="",0,IFERROR(--(EOMONTH(AU349,0)&lt;&gt;AT$5),1))+IF(AX349="",0,IFERROR(--(EOMONTH(AX349,0)&lt;&gt;AW$5),1))+IF(BA349="",0,IFERROR(--(EOMONTH(BA349,0)&lt;&gt;AZ$5),1)))&gt;0,"; An invoice date is not in the month it is typed under",""),3,500))</f>
        <v/>
      </c>
      <c r="S349" s="12" t="n"/>
      <c r="T349" s="13" t="n"/>
      <c r="U349" s="14" t="n"/>
      <c r="V349" s="12" t="n"/>
      <c r="W349" s="13" t="n"/>
      <c r="X349" s="14" t="n"/>
      <c r="Y349" s="12" t="n"/>
      <c r="Z349" s="13" t="n"/>
      <c r="AA349" s="14" t="n"/>
      <c r="AB349" s="12" t="n"/>
      <c r="AC349" s="13" t="n"/>
      <c r="AD349" s="14" t="n"/>
      <c r="AE349" s="12" t="n"/>
      <c r="AF349" s="13" t="n"/>
      <c r="AG349" s="14" t="n"/>
      <c r="AH349" s="12" t="n"/>
      <c r="AI349" s="13" t="n"/>
      <c r="AJ349" s="14" t="n"/>
      <c r="AK349" s="12" t="n"/>
      <c r="AL349" s="13" t="n"/>
      <c r="AM349" s="14" t="n"/>
      <c r="AN349" s="12" t="n"/>
      <c r="AO349" s="13" t="n"/>
      <c r="AP349" s="14" t="n"/>
      <c r="AQ349" s="12" t="n"/>
      <c r="AR349" s="13" t="n"/>
      <c r="AS349" s="14" t="n"/>
      <c r="AT349" s="12" t="n"/>
      <c r="AU349" s="13" t="n"/>
      <c r="AV349" s="14" t="n"/>
      <c r="AW349" s="12" t="n"/>
      <c r="AX349" s="13" t="n"/>
      <c r="AY349" s="14" t="n"/>
      <c r="AZ349" s="12" t="n"/>
      <c r="BA349" s="13" t="n"/>
      <c r="BB349" s="14" t="n"/>
      <c r="BC349" s="11">
        <f>IF(O349="","",IF(J349="GST 10%",ROUND(O349*set_GSTRate,2),0))</f>
        <v/>
      </c>
      <c r="BD349" s="11">
        <f>IF(O349="","",O349+BC349)</f>
        <v/>
      </c>
      <c r="BE349" s="15">
        <f>IF(O349="","",COUNTA(S349,V349,Y349,AB349,AE349,AH349,AK349,AN349,AQ349,AT349,AW349,AZ349))</f>
        <v/>
      </c>
      <c r="BF349" s="16">
        <f>IF(COUNT(T349,W349,Z349,AC349,AF349,AI349,AL349,AO349,AR349,AU349,AX349,BA349)=0,"",MAX(T349,W349,Z349,AC349,AF349,AI349,AL349,AO349,AR349,AU349,AX349,BA349))</f>
        <v/>
      </c>
      <c r="BG349" s="10">
        <f>MID(IF(S349="","",", "&amp;S349)&amp;IF(V349="","",", "&amp;V349)&amp;IF(Y349="","",", "&amp;Y349)&amp;IF(AB349="","",", "&amp;AB349)&amp;IF(AE349="","",", "&amp;AE349)&amp;IF(AH349="","",", "&amp;AH349)&amp;IF(AK349="","",", "&amp;AK349)&amp;IF(AN349="","",", "&amp;AN349)&amp;IF(AQ349="","",", "&amp;AQ349)&amp;IF(AT349="","",", "&amp;AT349)&amp;IF(AW349="","",", "&amp;AW349)&amp;IF(AZ349="","",", "&amp;AZ349),3,500)</f>
        <v/>
      </c>
      <c r="BH349" s="12" t="n"/>
      <c r="BI349" s="15">
        <f>IFERROR(MATCH($A349,IF($B349="Onsite",tbl_Onsite[Row ID],IF($B349="Production",tbl_Production[Row ID],tbl_Consulting[Row ID])),0),"")</f>
        <v/>
      </c>
    </row>
    <row r="350">
      <c r="A350" s="10" t="inlineStr">
        <is>
          <t>ONS-0344</t>
        </is>
      </c>
      <c r="B350" s="10" t="inlineStr">
        <is>
          <t>Onsite</t>
        </is>
      </c>
      <c r="C350" s="10">
        <f>IF($BI350="","",IF($B350="Onsite",INDEX(tbl_Onsite[Job Number],$BI350),IF($B350="Production",INDEX(tbl_Production[Job Number],$BI350),INDEX(tbl_Consulting[Job Number],$BI350)))&amp;"")</f>
        <v/>
      </c>
      <c r="D350" s="10">
        <f>IF($BI350="","",IF($B350="Onsite",INDEX(tbl_Onsite[Client],$BI350),IF($B350="Production",INDEX(tbl_Production[Client],$BI350),INDEX(tbl_Consulting[Client],$BI350)))&amp;"")</f>
        <v/>
      </c>
      <c r="E350" s="10">
        <f>IF($C350="","",IF(COUNTIF(lst_Jobs,$C350)&gt;0,"OK","CHECK"))</f>
        <v/>
      </c>
      <c r="F350" s="10">
        <f>IF($C350="","",IFERROR(INDEX(lst_JobName,MATCH($C350,lst_Jobs,0)),""))</f>
        <v/>
      </c>
      <c r="G350" s="10">
        <f>IF($BI350="","",IF($B350="Onsite",INDEX(tbl_Onsite[Job Description],$BI350),IF($B350="Production",INDEX(tbl_Production[Job Description],$BI350),INDEX(tbl_Consulting[Job Description],$BI350)))&amp;"")</f>
        <v/>
      </c>
      <c r="H350" s="10">
        <f>IF($BI350="","",IF($B350="Onsite",INDEX(tbl_Onsite[Cost Centre],$BI350),IF($B350="Production",INDEX(tbl_Production[Cost Centre],$BI350),INDEX(tbl_Consulting[Cost Centre],$BI350)))&amp;"")</f>
        <v/>
      </c>
      <c r="I350" s="10">
        <f>IF($BI350="","",IF($B350="Onsite",INDEX(tbl_Onsite[Invoice Type],$BI350),IF($B350="Production",INDEX(tbl_Production[Invoice Type],$BI350),INDEX(tbl_Consulting[Invoice Type],$BI350)))&amp;"")</f>
        <v/>
      </c>
      <c r="J350" s="10">
        <f>IF($BI350="","",IF($B350="Onsite",INDEX(tbl_Onsite[Tax Code],$BI350),IF($B350="Production",INDEX(tbl_Production[Tax Code],$BI350),INDEX(tbl_Consulting[Tax Code],$BI350)))&amp;"")</f>
        <v/>
      </c>
      <c r="K350" s="10">
        <f>IF(H350="","",IFERROR(INDEX(lst_CCtoGL,MATCH(H350,lst_CCforGL,0)),""))</f>
        <v/>
      </c>
      <c r="L350" s="10">
        <f>IF($BI350="","",IF($B350="Onsite",INDEX(tbl_Onsite[PO / Reference],$BI350),IF($B350="Production",INDEX(tbl_Production[Current RMS No],$BI350),INDEX(tbl_Consulting[Qwilr Quote],$BI350)))&amp;"")</f>
        <v/>
      </c>
      <c r="M350" s="10">
        <f>IF($BI350="","",IF($B350="Onsite",INDEX(tbl_Onsite[Notes],$BI350),IF($B350="Production",INDEX(tbl_Production[Notes],$BI350),INDEX(tbl_Consulting[Notes],$BI350)))&amp;"")</f>
        <v/>
      </c>
      <c r="N350" s="11">
        <f>IF($BI350="","",IF(IF($B350="Onsite",INDEX(tbl_Onsite[Expected Revenue Ex GST],$BI350),IF($B350="Production",INDEX(tbl_Production[Expected Revenue Ex GST],$BI350),INDEX(tbl_Consulting[Expected Revenue Ex GST],$BI350)))="","",IF($B350="Onsite",INDEX(tbl_Onsite[Expected Revenue Ex GST],$BI350),IF($B350="Production",INDEX(tbl_Production[Expected Revenue Ex GST],$BI350),INDEX(tbl_Consulting[Expected Revenue Ex GST],$BI350)))))</f>
        <v/>
      </c>
      <c r="O350" s="11">
        <f>IF(AND($C350="",NOT(COUNTA($S350:$BB350)&gt;0)),"",SUM(U350,X350,AA350,AD350,AG350,AJ350,AM350,AP350,AS350,AV350,AY350,BB350))</f>
        <v/>
      </c>
      <c r="P350" s="11">
        <f>IF(O350="","",N(N350)-O350)</f>
        <v/>
      </c>
      <c r="Q350" s="10">
        <f>IF(O350="","",IF($C350="","Invoice on empty job row",IF(N350="",IF(ROUND(O350,2)=0,"No dept value","Invoiced - no dept value"),IF(ROUND(O350,2)=0,"Not invoiced - to invoice",IF(ROUND(P350,2)=0,"Agrees",IF(P350&gt;0,"Dept higher - to invoice","Xero higher - check dept"))))))</f>
        <v/>
      </c>
      <c r="R350" s="10">
        <f>IF(AND($C350="",NOT(COUNTA($S350:$BB350)&gt;0),$BI350&lt;&gt;""),"",MID(IF($BI350="","; Row ID not found on the department sheet - a row was deleted","")&amp;IF(AND($C350="",COUNTA($S350:$BB350)&gt;0),"; Invoice entered but the department row has no job number","")&amp;IF(E350="CHECK","; Job number not in the Xero job list","")&amp;IF(AND($C350&lt;&gt;"",COUNTIF($C$7:$C$1506,$C350)&gt;1),"; Job number on more than one row","")&amp;IF(AND($C350&lt;&gt;"",H350=""),"; Dept has not set a cost centre","")&amp;IF(AND($C350&lt;&gt;"",J350=""),"; Dept has not set a tax code","")&amp;IF(AND($C350&lt;&gt;"",N350=""),"; Dept has not entered an expected value","")&amp;IF((IF(OR(COUNTA(S350:U350)=0,AND(COUNTA(S350:U350)=3,ISNUMBER(U350))),0,1)+IF(OR(COUNTA(V350:X350)=0,AND(COUNTA(V350:X350)=3,ISNUMBER(X350))),0,1)+IF(OR(COUNTA(Y350:AA350)=0,AND(COUNTA(Y350:AA350)=3,ISNUMBER(AA350))),0,1)+IF(OR(COUNTA(AB350:AD350)=0,AND(COUNTA(AB350:AD350)=3,ISNUMBER(AD350))),0,1)+IF(OR(COUNTA(AE350:AG350)=0,AND(COUNTA(AE350:AG350)=3,ISNUMBER(AG350))),0,1)+IF(OR(COUNTA(AH350:AJ350)=0,AND(COUNTA(AH350:AJ350)=3,ISNUMBER(AJ350))),0,1)+IF(OR(COUNTA(AK350:AM350)=0,AND(COUNTA(AK350:AM350)=3,ISNUMBER(AM350))),0,1)+IF(OR(COUNTA(AN350:AP350)=0,AND(COUNTA(AN350:AP350)=3,ISNUMBER(AP350))),0,1)+IF(OR(COUNTA(AQ350:AS350)=0,AND(COUNTA(AQ350:AS350)=3,ISNUMBER(AS350))),0,1)+IF(OR(COUNTA(AT350:AV350)=0,AND(COUNTA(AT350:AV350)=3,ISNUMBER(AV350))),0,1)+IF(OR(COUNTA(AW350:AY350)=0,AND(COUNTA(AW350:AY350)=3,ISNUMBER(AY350))),0,1)+IF(OR(COUNTA(AZ350:BB350)=0,AND(COUNTA(AZ350:BB350)=3,ISNUMBER(BB350))),0,1))&gt;0,"; An invoice is incomplete (needs No, Date and a number in Ex GST)","")&amp;IF((IF(T350="",0,IFERROR(--(EOMONTH(T350,0)&lt;&gt;S$5),1))+IF(W350="",0,IFERROR(--(EOMONTH(W350,0)&lt;&gt;V$5),1))+IF(Z350="",0,IFERROR(--(EOMONTH(Z350,0)&lt;&gt;Y$5),1))+IF(AC350="",0,IFERROR(--(EOMONTH(AC350,0)&lt;&gt;AB$5),1))+IF(AF350="",0,IFERROR(--(EOMONTH(AF350,0)&lt;&gt;AE$5),1))+IF(AI350="",0,IFERROR(--(EOMONTH(AI350,0)&lt;&gt;AH$5),1))+IF(AL350="",0,IFERROR(--(EOMONTH(AL350,0)&lt;&gt;AK$5),1))+IF(AO350="",0,IFERROR(--(EOMONTH(AO350,0)&lt;&gt;AN$5),1))+IF(AR350="",0,IFERROR(--(EOMONTH(AR350,0)&lt;&gt;AQ$5),1))+IF(AU350="",0,IFERROR(--(EOMONTH(AU350,0)&lt;&gt;AT$5),1))+IF(AX350="",0,IFERROR(--(EOMONTH(AX350,0)&lt;&gt;AW$5),1))+IF(BA350="",0,IFERROR(--(EOMONTH(BA350,0)&lt;&gt;AZ$5),1)))&gt;0,"; An invoice date is not in the month it is typed under",""),3,500))</f>
        <v/>
      </c>
      <c r="S350" s="12" t="n"/>
      <c r="T350" s="13" t="n"/>
      <c r="U350" s="14" t="n"/>
      <c r="V350" s="12" t="n"/>
      <c r="W350" s="13" t="n"/>
      <c r="X350" s="14" t="n"/>
      <c r="Y350" s="12" t="n"/>
      <c r="Z350" s="13" t="n"/>
      <c r="AA350" s="14" t="n"/>
      <c r="AB350" s="12" t="n"/>
      <c r="AC350" s="13" t="n"/>
      <c r="AD350" s="14" t="n"/>
      <c r="AE350" s="12" t="n"/>
      <c r="AF350" s="13" t="n"/>
      <c r="AG350" s="14" t="n"/>
      <c r="AH350" s="12" t="n"/>
      <c r="AI350" s="13" t="n"/>
      <c r="AJ350" s="14" t="n"/>
      <c r="AK350" s="12" t="n"/>
      <c r="AL350" s="13" t="n"/>
      <c r="AM350" s="14" t="n"/>
      <c r="AN350" s="12" t="n"/>
      <c r="AO350" s="13" t="n"/>
      <c r="AP350" s="14" t="n"/>
      <c r="AQ350" s="12" t="n"/>
      <c r="AR350" s="13" t="n"/>
      <c r="AS350" s="14" t="n"/>
      <c r="AT350" s="12" t="n"/>
      <c r="AU350" s="13" t="n"/>
      <c r="AV350" s="14" t="n"/>
      <c r="AW350" s="12" t="n"/>
      <c r="AX350" s="13" t="n"/>
      <c r="AY350" s="14" t="n"/>
      <c r="AZ350" s="12" t="n"/>
      <c r="BA350" s="13" t="n"/>
      <c r="BB350" s="14" t="n"/>
      <c r="BC350" s="11">
        <f>IF(O350="","",IF(J350="GST 10%",ROUND(O350*set_GSTRate,2),0))</f>
        <v/>
      </c>
      <c r="BD350" s="11">
        <f>IF(O350="","",O350+BC350)</f>
        <v/>
      </c>
      <c r="BE350" s="15">
        <f>IF(O350="","",COUNTA(S350,V350,Y350,AB350,AE350,AH350,AK350,AN350,AQ350,AT350,AW350,AZ350))</f>
        <v/>
      </c>
      <c r="BF350" s="16">
        <f>IF(COUNT(T350,W350,Z350,AC350,AF350,AI350,AL350,AO350,AR350,AU350,AX350,BA350)=0,"",MAX(T350,W350,Z350,AC350,AF350,AI350,AL350,AO350,AR350,AU350,AX350,BA350))</f>
        <v/>
      </c>
      <c r="BG350" s="10">
        <f>MID(IF(S350="","",", "&amp;S350)&amp;IF(V350="","",", "&amp;V350)&amp;IF(Y350="","",", "&amp;Y350)&amp;IF(AB350="","",", "&amp;AB350)&amp;IF(AE350="","",", "&amp;AE350)&amp;IF(AH350="","",", "&amp;AH350)&amp;IF(AK350="","",", "&amp;AK350)&amp;IF(AN350="","",", "&amp;AN350)&amp;IF(AQ350="","",", "&amp;AQ350)&amp;IF(AT350="","",", "&amp;AT350)&amp;IF(AW350="","",", "&amp;AW350)&amp;IF(AZ350="","",", "&amp;AZ350),3,500)</f>
        <v/>
      </c>
      <c r="BH350" s="12" t="n"/>
      <c r="BI350" s="15">
        <f>IFERROR(MATCH($A350,IF($B350="Onsite",tbl_Onsite[Row ID],IF($B350="Production",tbl_Production[Row ID],tbl_Consulting[Row ID])),0),"")</f>
        <v/>
      </c>
    </row>
    <row r="351">
      <c r="A351" s="10" t="inlineStr">
        <is>
          <t>ONS-0345</t>
        </is>
      </c>
      <c r="B351" s="10" t="inlineStr">
        <is>
          <t>Onsite</t>
        </is>
      </c>
      <c r="C351" s="10">
        <f>IF($BI351="","",IF($B351="Onsite",INDEX(tbl_Onsite[Job Number],$BI351),IF($B351="Production",INDEX(tbl_Production[Job Number],$BI351),INDEX(tbl_Consulting[Job Number],$BI351)))&amp;"")</f>
        <v/>
      </c>
      <c r="D351" s="10">
        <f>IF($BI351="","",IF($B351="Onsite",INDEX(tbl_Onsite[Client],$BI351),IF($B351="Production",INDEX(tbl_Production[Client],$BI351),INDEX(tbl_Consulting[Client],$BI351)))&amp;"")</f>
        <v/>
      </c>
      <c r="E351" s="10">
        <f>IF($C351="","",IF(COUNTIF(lst_Jobs,$C351)&gt;0,"OK","CHECK"))</f>
        <v/>
      </c>
      <c r="F351" s="10">
        <f>IF($C351="","",IFERROR(INDEX(lst_JobName,MATCH($C351,lst_Jobs,0)),""))</f>
        <v/>
      </c>
      <c r="G351" s="10">
        <f>IF($BI351="","",IF($B351="Onsite",INDEX(tbl_Onsite[Job Description],$BI351),IF($B351="Production",INDEX(tbl_Production[Job Description],$BI351),INDEX(tbl_Consulting[Job Description],$BI351)))&amp;"")</f>
        <v/>
      </c>
      <c r="H351" s="10">
        <f>IF($BI351="","",IF($B351="Onsite",INDEX(tbl_Onsite[Cost Centre],$BI351),IF($B351="Production",INDEX(tbl_Production[Cost Centre],$BI351),INDEX(tbl_Consulting[Cost Centre],$BI351)))&amp;"")</f>
        <v/>
      </c>
      <c r="I351" s="10">
        <f>IF($BI351="","",IF($B351="Onsite",INDEX(tbl_Onsite[Invoice Type],$BI351),IF($B351="Production",INDEX(tbl_Production[Invoice Type],$BI351),INDEX(tbl_Consulting[Invoice Type],$BI351)))&amp;"")</f>
        <v/>
      </c>
      <c r="J351" s="10">
        <f>IF($BI351="","",IF($B351="Onsite",INDEX(tbl_Onsite[Tax Code],$BI351),IF($B351="Production",INDEX(tbl_Production[Tax Code],$BI351),INDEX(tbl_Consulting[Tax Code],$BI351)))&amp;"")</f>
        <v/>
      </c>
      <c r="K351" s="10">
        <f>IF(H351="","",IFERROR(INDEX(lst_CCtoGL,MATCH(H351,lst_CCforGL,0)),""))</f>
        <v/>
      </c>
      <c r="L351" s="10">
        <f>IF($BI351="","",IF($B351="Onsite",INDEX(tbl_Onsite[PO / Reference],$BI351),IF($B351="Production",INDEX(tbl_Production[Current RMS No],$BI351),INDEX(tbl_Consulting[Qwilr Quote],$BI351)))&amp;"")</f>
        <v/>
      </c>
      <c r="M351" s="10">
        <f>IF($BI351="","",IF($B351="Onsite",INDEX(tbl_Onsite[Notes],$BI351),IF($B351="Production",INDEX(tbl_Production[Notes],$BI351),INDEX(tbl_Consulting[Notes],$BI351)))&amp;"")</f>
        <v/>
      </c>
      <c r="N351" s="11">
        <f>IF($BI351="","",IF(IF($B351="Onsite",INDEX(tbl_Onsite[Expected Revenue Ex GST],$BI351),IF($B351="Production",INDEX(tbl_Production[Expected Revenue Ex GST],$BI351),INDEX(tbl_Consulting[Expected Revenue Ex GST],$BI351)))="","",IF($B351="Onsite",INDEX(tbl_Onsite[Expected Revenue Ex GST],$BI351),IF($B351="Production",INDEX(tbl_Production[Expected Revenue Ex GST],$BI351),INDEX(tbl_Consulting[Expected Revenue Ex GST],$BI351)))))</f>
        <v/>
      </c>
      <c r="O351" s="11">
        <f>IF(AND($C351="",NOT(COUNTA($S351:$BB351)&gt;0)),"",SUM(U351,X351,AA351,AD351,AG351,AJ351,AM351,AP351,AS351,AV351,AY351,BB351))</f>
        <v/>
      </c>
      <c r="P351" s="11">
        <f>IF(O351="","",N(N351)-O351)</f>
        <v/>
      </c>
      <c r="Q351" s="10">
        <f>IF(O351="","",IF($C351="","Invoice on empty job row",IF(N351="",IF(ROUND(O351,2)=0,"No dept value","Invoiced - no dept value"),IF(ROUND(O351,2)=0,"Not invoiced - to invoice",IF(ROUND(P351,2)=0,"Agrees",IF(P351&gt;0,"Dept higher - to invoice","Xero higher - check dept"))))))</f>
        <v/>
      </c>
      <c r="R351" s="10">
        <f>IF(AND($C351="",NOT(COUNTA($S351:$BB351)&gt;0),$BI351&lt;&gt;""),"",MID(IF($BI351="","; Row ID not found on the department sheet - a row was deleted","")&amp;IF(AND($C351="",COUNTA($S351:$BB351)&gt;0),"; Invoice entered but the department row has no job number","")&amp;IF(E351="CHECK","; Job number not in the Xero job list","")&amp;IF(AND($C351&lt;&gt;"",COUNTIF($C$7:$C$1506,$C351)&gt;1),"; Job number on more than one row","")&amp;IF(AND($C351&lt;&gt;"",H351=""),"; Dept has not set a cost centre","")&amp;IF(AND($C351&lt;&gt;"",J351=""),"; Dept has not set a tax code","")&amp;IF(AND($C351&lt;&gt;"",N351=""),"; Dept has not entered an expected value","")&amp;IF((IF(OR(COUNTA(S351:U351)=0,AND(COUNTA(S351:U351)=3,ISNUMBER(U351))),0,1)+IF(OR(COUNTA(V351:X351)=0,AND(COUNTA(V351:X351)=3,ISNUMBER(X351))),0,1)+IF(OR(COUNTA(Y351:AA351)=0,AND(COUNTA(Y351:AA351)=3,ISNUMBER(AA351))),0,1)+IF(OR(COUNTA(AB351:AD351)=0,AND(COUNTA(AB351:AD351)=3,ISNUMBER(AD351))),0,1)+IF(OR(COUNTA(AE351:AG351)=0,AND(COUNTA(AE351:AG351)=3,ISNUMBER(AG351))),0,1)+IF(OR(COUNTA(AH351:AJ351)=0,AND(COUNTA(AH351:AJ351)=3,ISNUMBER(AJ351))),0,1)+IF(OR(COUNTA(AK351:AM351)=0,AND(COUNTA(AK351:AM351)=3,ISNUMBER(AM351))),0,1)+IF(OR(COUNTA(AN351:AP351)=0,AND(COUNTA(AN351:AP351)=3,ISNUMBER(AP351))),0,1)+IF(OR(COUNTA(AQ351:AS351)=0,AND(COUNTA(AQ351:AS351)=3,ISNUMBER(AS351))),0,1)+IF(OR(COUNTA(AT351:AV351)=0,AND(COUNTA(AT351:AV351)=3,ISNUMBER(AV351))),0,1)+IF(OR(COUNTA(AW351:AY351)=0,AND(COUNTA(AW351:AY351)=3,ISNUMBER(AY351))),0,1)+IF(OR(COUNTA(AZ351:BB351)=0,AND(COUNTA(AZ351:BB351)=3,ISNUMBER(BB351))),0,1))&gt;0,"; An invoice is incomplete (needs No, Date and a number in Ex GST)","")&amp;IF((IF(T351="",0,IFERROR(--(EOMONTH(T351,0)&lt;&gt;S$5),1))+IF(W351="",0,IFERROR(--(EOMONTH(W351,0)&lt;&gt;V$5),1))+IF(Z351="",0,IFERROR(--(EOMONTH(Z351,0)&lt;&gt;Y$5),1))+IF(AC351="",0,IFERROR(--(EOMONTH(AC351,0)&lt;&gt;AB$5),1))+IF(AF351="",0,IFERROR(--(EOMONTH(AF351,0)&lt;&gt;AE$5),1))+IF(AI351="",0,IFERROR(--(EOMONTH(AI351,0)&lt;&gt;AH$5),1))+IF(AL351="",0,IFERROR(--(EOMONTH(AL351,0)&lt;&gt;AK$5),1))+IF(AO351="",0,IFERROR(--(EOMONTH(AO351,0)&lt;&gt;AN$5),1))+IF(AR351="",0,IFERROR(--(EOMONTH(AR351,0)&lt;&gt;AQ$5),1))+IF(AU351="",0,IFERROR(--(EOMONTH(AU351,0)&lt;&gt;AT$5),1))+IF(AX351="",0,IFERROR(--(EOMONTH(AX351,0)&lt;&gt;AW$5),1))+IF(BA351="",0,IFERROR(--(EOMONTH(BA351,0)&lt;&gt;AZ$5),1)))&gt;0,"; An invoice date is not in the month it is typed under",""),3,500))</f>
        <v/>
      </c>
      <c r="S351" s="12" t="n"/>
      <c r="T351" s="13" t="n"/>
      <c r="U351" s="14" t="n"/>
      <c r="V351" s="12" t="n"/>
      <c r="W351" s="13" t="n"/>
      <c r="X351" s="14" t="n"/>
      <c r="Y351" s="12" t="n"/>
      <c r="Z351" s="13" t="n"/>
      <c r="AA351" s="14" t="n"/>
      <c r="AB351" s="12" t="n"/>
      <c r="AC351" s="13" t="n"/>
      <c r="AD351" s="14" t="n"/>
      <c r="AE351" s="12" t="n"/>
      <c r="AF351" s="13" t="n"/>
      <c r="AG351" s="14" t="n"/>
      <c r="AH351" s="12" t="n"/>
      <c r="AI351" s="13" t="n"/>
      <c r="AJ351" s="14" t="n"/>
      <c r="AK351" s="12" t="n"/>
      <c r="AL351" s="13" t="n"/>
      <c r="AM351" s="14" t="n"/>
      <c r="AN351" s="12" t="n"/>
      <c r="AO351" s="13" t="n"/>
      <c r="AP351" s="14" t="n"/>
      <c r="AQ351" s="12" t="n"/>
      <c r="AR351" s="13" t="n"/>
      <c r="AS351" s="14" t="n"/>
      <c r="AT351" s="12" t="n"/>
      <c r="AU351" s="13" t="n"/>
      <c r="AV351" s="14" t="n"/>
      <c r="AW351" s="12" t="n"/>
      <c r="AX351" s="13" t="n"/>
      <c r="AY351" s="14" t="n"/>
      <c r="AZ351" s="12" t="n"/>
      <c r="BA351" s="13" t="n"/>
      <c r="BB351" s="14" t="n"/>
      <c r="BC351" s="11">
        <f>IF(O351="","",IF(J351="GST 10%",ROUND(O351*set_GSTRate,2),0))</f>
        <v/>
      </c>
      <c r="BD351" s="11">
        <f>IF(O351="","",O351+BC351)</f>
        <v/>
      </c>
      <c r="BE351" s="15">
        <f>IF(O351="","",COUNTA(S351,V351,Y351,AB351,AE351,AH351,AK351,AN351,AQ351,AT351,AW351,AZ351))</f>
        <v/>
      </c>
      <c r="BF351" s="16">
        <f>IF(COUNT(T351,W351,Z351,AC351,AF351,AI351,AL351,AO351,AR351,AU351,AX351,BA351)=0,"",MAX(T351,W351,Z351,AC351,AF351,AI351,AL351,AO351,AR351,AU351,AX351,BA351))</f>
        <v/>
      </c>
      <c r="BG351" s="10">
        <f>MID(IF(S351="","",", "&amp;S351)&amp;IF(V351="","",", "&amp;V351)&amp;IF(Y351="","",", "&amp;Y351)&amp;IF(AB351="","",", "&amp;AB351)&amp;IF(AE351="","",", "&amp;AE351)&amp;IF(AH351="","",", "&amp;AH351)&amp;IF(AK351="","",", "&amp;AK351)&amp;IF(AN351="","",", "&amp;AN351)&amp;IF(AQ351="","",", "&amp;AQ351)&amp;IF(AT351="","",", "&amp;AT351)&amp;IF(AW351="","",", "&amp;AW351)&amp;IF(AZ351="","",", "&amp;AZ351),3,500)</f>
        <v/>
      </c>
      <c r="BH351" s="12" t="n"/>
      <c r="BI351" s="15">
        <f>IFERROR(MATCH($A351,IF($B351="Onsite",tbl_Onsite[Row ID],IF($B351="Production",tbl_Production[Row ID],tbl_Consulting[Row ID])),0),"")</f>
        <v/>
      </c>
    </row>
    <row r="352">
      <c r="A352" s="10" t="inlineStr">
        <is>
          <t>ONS-0346</t>
        </is>
      </c>
      <c r="B352" s="10" t="inlineStr">
        <is>
          <t>Onsite</t>
        </is>
      </c>
      <c r="C352" s="10">
        <f>IF($BI352="","",IF($B352="Onsite",INDEX(tbl_Onsite[Job Number],$BI352),IF($B352="Production",INDEX(tbl_Production[Job Number],$BI352),INDEX(tbl_Consulting[Job Number],$BI352)))&amp;"")</f>
        <v/>
      </c>
      <c r="D352" s="10">
        <f>IF($BI352="","",IF($B352="Onsite",INDEX(tbl_Onsite[Client],$BI352),IF($B352="Production",INDEX(tbl_Production[Client],$BI352),INDEX(tbl_Consulting[Client],$BI352)))&amp;"")</f>
        <v/>
      </c>
      <c r="E352" s="10">
        <f>IF($C352="","",IF(COUNTIF(lst_Jobs,$C352)&gt;0,"OK","CHECK"))</f>
        <v/>
      </c>
      <c r="F352" s="10">
        <f>IF($C352="","",IFERROR(INDEX(lst_JobName,MATCH($C352,lst_Jobs,0)),""))</f>
        <v/>
      </c>
      <c r="G352" s="10">
        <f>IF($BI352="","",IF($B352="Onsite",INDEX(tbl_Onsite[Job Description],$BI352),IF($B352="Production",INDEX(tbl_Production[Job Description],$BI352),INDEX(tbl_Consulting[Job Description],$BI352)))&amp;"")</f>
        <v/>
      </c>
      <c r="H352" s="10">
        <f>IF($BI352="","",IF($B352="Onsite",INDEX(tbl_Onsite[Cost Centre],$BI352),IF($B352="Production",INDEX(tbl_Production[Cost Centre],$BI352),INDEX(tbl_Consulting[Cost Centre],$BI352)))&amp;"")</f>
        <v/>
      </c>
      <c r="I352" s="10">
        <f>IF($BI352="","",IF($B352="Onsite",INDEX(tbl_Onsite[Invoice Type],$BI352),IF($B352="Production",INDEX(tbl_Production[Invoice Type],$BI352),INDEX(tbl_Consulting[Invoice Type],$BI352)))&amp;"")</f>
        <v/>
      </c>
      <c r="J352" s="10">
        <f>IF($BI352="","",IF($B352="Onsite",INDEX(tbl_Onsite[Tax Code],$BI352),IF($B352="Production",INDEX(tbl_Production[Tax Code],$BI352),INDEX(tbl_Consulting[Tax Code],$BI352)))&amp;"")</f>
        <v/>
      </c>
      <c r="K352" s="10">
        <f>IF(H352="","",IFERROR(INDEX(lst_CCtoGL,MATCH(H352,lst_CCforGL,0)),""))</f>
        <v/>
      </c>
      <c r="L352" s="10">
        <f>IF($BI352="","",IF($B352="Onsite",INDEX(tbl_Onsite[PO / Reference],$BI352),IF($B352="Production",INDEX(tbl_Production[Current RMS No],$BI352),INDEX(tbl_Consulting[Qwilr Quote],$BI352)))&amp;"")</f>
        <v/>
      </c>
      <c r="M352" s="10">
        <f>IF($BI352="","",IF($B352="Onsite",INDEX(tbl_Onsite[Notes],$BI352),IF($B352="Production",INDEX(tbl_Production[Notes],$BI352),INDEX(tbl_Consulting[Notes],$BI352)))&amp;"")</f>
        <v/>
      </c>
      <c r="N352" s="11">
        <f>IF($BI352="","",IF(IF($B352="Onsite",INDEX(tbl_Onsite[Expected Revenue Ex GST],$BI352),IF($B352="Production",INDEX(tbl_Production[Expected Revenue Ex GST],$BI352),INDEX(tbl_Consulting[Expected Revenue Ex GST],$BI352)))="","",IF($B352="Onsite",INDEX(tbl_Onsite[Expected Revenue Ex GST],$BI352),IF($B352="Production",INDEX(tbl_Production[Expected Revenue Ex GST],$BI352),INDEX(tbl_Consulting[Expected Revenue Ex GST],$BI352)))))</f>
        <v/>
      </c>
      <c r="O352" s="11">
        <f>IF(AND($C352="",NOT(COUNTA($S352:$BB352)&gt;0)),"",SUM(U352,X352,AA352,AD352,AG352,AJ352,AM352,AP352,AS352,AV352,AY352,BB352))</f>
        <v/>
      </c>
      <c r="P352" s="11">
        <f>IF(O352="","",N(N352)-O352)</f>
        <v/>
      </c>
      <c r="Q352" s="10">
        <f>IF(O352="","",IF($C352="","Invoice on empty job row",IF(N352="",IF(ROUND(O352,2)=0,"No dept value","Invoiced - no dept value"),IF(ROUND(O352,2)=0,"Not invoiced - to invoice",IF(ROUND(P352,2)=0,"Agrees",IF(P352&gt;0,"Dept higher - to invoice","Xero higher - check dept"))))))</f>
        <v/>
      </c>
      <c r="R352" s="10">
        <f>IF(AND($C352="",NOT(COUNTA($S352:$BB352)&gt;0),$BI352&lt;&gt;""),"",MID(IF($BI352="","; Row ID not found on the department sheet - a row was deleted","")&amp;IF(AND($C352="",COUNTA($S352:$BB352)&gt;0),"; Invoice entered but the department row has no job number","")&amp;IF(E352="CHECK","; Job number not in the Xero job list","")&amp;IF(AND($C352&lt;&gt;"",COUNTIF($C$7:$C$1506,$C352)&gt;1),"; Job number on more than one row","")&amp;IF(AND($C352&lt;&gt;"",H352=""),"; Dept has not set a cost centre","")&amp;IF(AND($C352&lt;&gt;"",J352=""),"; Dept has not set a tax code","")&amp;IF(AND($C352&lt;&gt;"",N352=""),"; Dept has not entered an expected value","")&amp;IF((IF(OR(COUNTA(S352:U352)=0,AND(COUNTA(S352:U352)=3,ISNUMBER(U352))),0,1)+IF(OR(COUNTA(V352:X352)=0,AND(COUNTA(V352:X352)=3,ISNUMBER(X352))),0,1)+IF(OR(COUNTA(Y352:AA352)=0,AND(COUNTA(Y352:AA352)=3,ISNUMBER(AA352))),0,1)+IF(OR(COUNTA(AB352:AD352)=0,AND(COUNTA(AB352:AD352)=3,ISNUMBER(AD352))),0,1)+IF(OR(COUNTA(AE352:AG352)=0,AND(COUNTA(AE352:AG352)=3,ISNUMBER(AG352))),0,1)+IF(OR(COUNTA(AH352:AJ352)=0,AND(COUNTA(AH352:AJ352)=3,ISNUMBER(AJ352))),0,1)+IF(OR(COUNTA(AK352:AM352)=0,AND(COUNTA(AK352:AM352)=3,ISNUMBER(AM352))),0,1)+IF(OR(COUNTA(AN352:AP352)=0,AND(COUNTA(AN352:AP352)=3,ISNUMBER(AP352))),0,1)+IF(OR(COUNTA(AQ352:AS352)=0,AND(COUNTA(AQ352:AS352)=3,ISNUMBER(AS352))),0,1)+IF(OR(COUNTA(AT352:AV352)=0,AND(COUNTA(AT352:AV352)=3,ISNUMBER(AV352))),0,1)+IF(OR(COUNTA(AW352:AY352)=0,AND(COUNTA(AW352:AY352)=3,ISNUMBER(AY352))),0,1)+IF(OR(COUNTA(AZ352:BB352)=0,AND(COUNTA(AZ352:BB352)=3,ISNUMBER(BB352))),0,1))&gt;0,"; An invoice is incomplete (needs No, Date and a number in Ex GST)","")&amp;IF((IF(T352="",0,IFERROR(--(EOMONTH(T352,0)&lt;&gt;S$5),1))+IF(W352="",0,IFERROR(--(EOMONTH(W352,0)&lt;&gt;V$5),1))+IF(Z352="",0,IFERROR(--(EOMONTH(Z352,0)&lt;&gt;Y$5),1))+IF(AC352="",0,IFERROR(--(EOMONTH(AC352,0)&lt;&gt;AB$5),1))+IF(AF352="",0,IFERROR(--(EOMONTH(AF352,0)&lt;&gt;AE$5),1))+IF(AI352="",0,IFERROR(--(EOMONTH(AI352,0)&lt;&gt;AH$5),1))+IF(AL352="",0,IFERROR(--(EOMONTH(AL352,0)&lt;&gt;AK$5),1))+IF(AO352="",0,IFERROR(--(EOMONTH(AO352,0)&lt;&gt;AN$5),1))+IF(AR352="",0,IFERROR(--(EOMONTH(AR352,0)&lt;&gt;AQ$5),1))+IF(AU352="",0,IFERROR(--(EOMONTH(AU352,0)&lt;&gt;AT$5),1))+IF(AX352="",0,IFERROR(--(EOMONTH(AX352,0)&lt;&gt;AW$5),1))+IF(BA352="",0,IFERROR(--(EOMONTH(BA352,0)&lt;&gt;AZ$5),1)))&gt;0,"; An invoice date is not in the month it is typed under",""),3,500))</f>
        <v/>
      </c>
      <c r="S352" s="12" t="n"/>
      <c r="T352" s="13" t="n"/>
      <c r="U352" s="14" t="n"/>
      <c r="V352" s="12" t="n"/>
      <c r="W352" s="13" t="n"/>
      <c r="X352" s="14" t="n"/>
      <c r="Y352" s="12" t="n"/>
      <c r="Z352" s="13" t="n"/>
      <c r="AA352" s="14" t="n"/>
      <c r="AB352" s="12" t="n"/>
      <c r="AC352" s="13" t="n"/>
      <c r="AD352" s="14" t="n"/>
      <c r="AE352" s="12" t="n"/>
      <c r="AF352" s="13" t="n"/>
      <c r="AG352" s="14" t="n"/>
      <c r="AH352" s="12" t="n"/>
      <c r="AI352" s="13" t="n"/>
      <c r="AJ352" s="14" t="n"/>
      <c r="AK352" s="12" t="n"/>
      <c r="AL352" s="13" t="n"/>
      <c r="AM352" s="14" t="n"/>
      <c r="AN352" s="12" t="n"/>
      <c r="AO352" s="13" t="n"/>
      <c r="AP352" s="14" t="n"/>
      <c r="AQ352" s="12" t="n"/>
      <c r="AR352" s="13" t="n"/>
      <c r="AS352" s="14" t="n"/>
      <c r="AT352" s="12" t="n"/>
      <c r="AU352" s="13" t="n"/>
      <c r="AV352" s="14" t="n"/>
      <c r="AW352" s="12" t="n"/>
      <c r="AX352" s="13" t="n"/>
      <c r="AY352" s="14" t="n"/>
      <c r="AZ352" s="12" t="n"/>
      <c r="BA352" s="13" t="n"/>
      <c r="BB352" s="14" t="n"/>
      <c r="BC352" s="11">
        <f>IF(O352="","",IF(J352="GST 10%",ROUND(O352*set_GSTRate,2),0))</f>
        <v/>
      </c>
      <c r="BD352" s="11">
        <f>IF(O352="","",O352+BC352)</f>
        <v/>
      </c>
      <c r="BE352" s="15">
        <f>IF(O352="","",COUNTA(S352,V352,Y352,AB352,AE352,AH352,AK352,AN352,AQ352,AT352,AW352,AZ352))</f>
        <v/>
      </c>
      <c r="BF352" s="16">
        <f>IF(COUNT(T352,W352,Z352,AC352,AF352,AI352,AL352,AO352,AR352,AU352,AX352,BA352)=0,"",MAX(T352,W352,Z352,AC352,AF352,AI352,AL352,AO352,AR352,AU352,AX352,BA352))</f>
        <v/>
      </c>
      <c r="BG352" s="10">
        <f>MID(IF(S352="","",", "&amp;S352)&amp;IF(V352="","",", "&amp;V352)&amp;IF(Y352="","",", "&amp;Y352)&amp;IF(AB352="","",", "&amp;AB352)&amp;IF(AE352="","",", "&amp;AE352)&amp;IF(AH352="","",", "&amp;AH352)&amp;IF(AK352="","",", "&amp;AK352)&amp;IF(AN352="","",", "&amp;AN352)&amp;IF(AQ352="","",", "&amp;AQ352)&amp;IF(AT352="","",", "&amp;AT352)&amp;IF(AW352="","",", "&amp;AW352)&amp;IF(AZ352="","",", "&amp;AZ352),3,500)</f>
        <v/>
      </c>
      <c r="BH352" s="12" t="n"/>
      <c r="BI352" s="15">
        <f>IFERROR(MATCH($A352,IF($B352="Onsite",tbl_Onsite[Row ID],IF($B352="Production",tbl_Production[Row ID],tbl_Consulting[Row ID])),0),"")</f>
        <v/>
      </c>
    </row>
    <row r="353">
      <c r="A353" s="10" t="inlineStr">
        <is>
          <t>ONS-0347</t>
        </is>
      </c>
      <c r="B353" s="10" t="inlineStr">
        <is>
          <t>Onsite</t>
        </is>
      </c>
      <c r="C353" s="10">
        <f>IF($BI353="","",IF($B353="Onsite",INDEX(tbl_Onsite[Job Number],$BI353),IF($B353="Production",INDEX(tbl_Production[Job Number],$BI353),INDEX(tbl_Consulting[Job Number],$BI353)))&amp;"")</f>
        <v/>
      </c>
      <c r="D353" s="10">
        <f>IF($BI353="","",IF($B353="Onsite",INDEX(tbl_Onsite[Client],$BI353),IF($B353="Production",INDEX(tbl_Production[Client],$BI353),INDEX(tbl_Consulting[Client],$BI353)))&amp;"")</f>
        <v/>
      </c>
      <c r="E353" s="10">
        <f>IF($C353="","",IF(COUNTIF(lst_Jobs,$C353)&gt;0,"OK","CHECK"))</f>
        <v/>
      </c>
      <c r="F353" s="10">
        <f>IF($C353="","",IFERROR(INDEX(lst_JobName,MATCH($C353,lst_Jobs,0)),""))</f>
        <v/>
      </c>
      <c r="G353" s="10">
        <f>IF($BI353="","",IF($B353="Onsite",INDEX(tbl_Onsite[Job Description],$BI353),IF($B353="Production",INDEX(tbl_Production[Job Description],$BI353),INDEX(tbl_Consulting[Job Description],$BI353)))&amp;"")</f>
        <v/>
      </c>
      <c r="H353" s="10">
        <f>IF($BI353="","",IF($B353="Onsite",INDEX(tbl_Onsite[Cost Centre],$BI353),IF($B353="Production",INDEX(tbl_Production[Cost Centre],$BI353),INDEX(tbl_Consulting[Cost Centre],$BI353)))&amp;"")</f>
        <v/>
      </c>
      <c r="I353" s="10">
        <f>IF($BI353="","",IF($B353="Onsite",INDEX(tbl_Onsite[Invoice Type],$BI353),IF($B353="Production",INDEX(tbl_Production[Invoice Type],$BI353),INDEX(tbl_Consulting[Invoice Type],$BI353)))&amp;"")</f>
        <v/>
      </c>
      <c r="J353" s="10">
        <f>IF($BI353="","",IF($B353="Onsite",INDEX(tbl_Onsite[Tax Code],$BI353),IF($B353="Production",INDEX(tbl_Production[Tax Code],$BI353),INDEX(tbl_Consulting[Tax Code],$BI353)))&amp;"")</f>
        <v/>
      </c>
      <c r="K353" s="10">
        <f>IF(H353="","",IFERROR(INDEX(lst_CCtoGL,MATCH(H353,lst_CCforGL,0)),""))</f>
        <v/>
      </c>
      <c r="L353" s="10">
        <f>IF($BI353="","",IF($B353="Onsite",INDEX(tbl_Onsite[PO / Reference],$BI353),IF($B353="Production",INDEX(tbl_Production[Current RMS No],$BI353),INDEX(tbl_Consulting[Qwilr Quote],$BI353)))&amp;"")</f>
        <v/>
      </c>
      <c r="M353" s="10">
        <f>IF($BI353="","",IF($B353="Onsite",INDEX(tbl_Onsite[Notes],$BI353),IF($B353="Production",INDEX(tbl_Production[Notes],$BI353),INDEX(tbl_Consulting[Notes],$BI353)))&amp;"")</f>
        <v/>
      </c>
      <c r="N353" s="11">
        <f>IF($BI353="","",IF(IF($B353="Onsite",INDEX(tbl_Onsite[Expected Revenue Ex GST],$BI353),IF($B353="Production",INDEX(tbl_Production[Expected Revenue Ex GST],$BI353),INDEX(tbl_Consulting[Expected Revenue Ex GST],$BI353)))="","",IF($B353="Onsite",INDEX(tbl_Onsite[Expected Revenue Ex GST],$BI353),IF($B353="Production",INDEX(tbl_Production[Expected Revenue Ex GST],$BI353),INDEX(tbl_Consulting[Expected Revenue Ex GST],$BI353)))))</f>
        <v/>
      </c>
      <c r="O353" s="11">
        <f>IF(AND($C353="",NOT(COUNTA($S353:$BB353)&gt;0)),"",SUM(U353,X353,AA353,AD353,AG353,AJ353,AM353,AP353,AS353,AV353,AY353,BB353))</f>
        <v/>
      </c>
      <c r="P353" s="11">
        <f>IF(O353="","",N(N353)-O353)</f>
        <v/>
      </c>
      <c r="Q353" s="10">
        <f>IF(O353="","",IF($C353="","Invoice on empty job row",IF(N353="",IF(ROUND(O353,2)=0,"No dept value","Invoiced - no dept value"),IF(ROUND(O353,2)=0,"Not invoiced - to invoice",IF(ROUND(P353,2)=0,"Agrees",IF(P353&gt;0,"Dept higher - to invoice","Xero higher - check dept"))))))</f>
        <v/>
      </c>
      <c r="R353" s="10">
        <f>IF(AND($C353="",NOT(COUNTA($S353:$BB353)&gt;0),$BI353&lt;&gt;""),"",MID(IF($BI353="","; Row ID not found on the department sheet - a row was deleted","")&amp;IF(AND($C353="",COUNTA($S353:$BB353)&gt;0),"; Invoice entered but the department row has no job number","")&amp;IF(E353="CHECK","; Job number not in the Xero job list","")&amp;IF(AND($C353&lt;&gt;"",COUNTIF($C$7:$C$1506,$C353)&gt;1),"; Job number on more than one row","")&amp;IF(AND($C353&lt;&gt;"",H353=""),"; Dept has not set a cost centre","")&amp;IF(AND($C353&lt;&gt;"",J353=""),"; Dept has not set a tax code","")&amp;IF(AND($C353&lt;&gt;"",N353=""),"; Dept has not entered an expected value","")&amp;IF((IF(OR(COUNTA(S353:U353)=0,AND(COUNTA(S353:U353)=3,ISNUMBER(U353))),0,1)+IF(OR(COUNTA(V353:X353)=0,AND(COUNTA(V353:X353)=3,ISNUMBER(X353))),0,1)+IF(OR(COUNTA(Y353:AA353)=0,AND(COUNTA(Y353:AA353)=3,ISNUMBER(AA353))),0,1)+IF(OR(COUNTA(AB353:AD353)=0,AND(COUNTA(AB353:AD353)=3,ISNUMBER(AD353))),0,1)+IF(OR(COUNTA(AE353:AG353)=0,AND(COUNTA(AE353:AG353)=3,ISNUMBER(AG353))),0,1)+IF(OR(COUNTA(AH353:AJ353)=0,AND(COUNTA(AH353:AJ353)=3,ISNUMBER(AJ353))),0,1)+IF(OR(COUNTA(AK353:AM353)=0,AND(COUNTA(AK353:AM353)=3,ISNUMBER(AM353))),0,1)+IF(OR(COUNTA(AN353:AP353)=0,AND(COUNTA(AN353:AP353)=3,ISNUMBER(AP353))),0,1)+IF(OR(COUNTA(AQ353:AS353)=0,AND(COUNTA(AQ353:AS353)=3,ISNUMBER(AS353))),0,1)+IF(OR(COUNTA(AT353:AV353)=0,AND(COUNTA(AT353:AV353)=3,ISNUMBER(AV353))),0,1)+IF(OR(COUNTA(AW353:AY353)=0,AND(COUNTA(AW353:AY353)=3,ISNUMBER(AY353))),0,1)+IF(OR(COUNTA(AZ353:BB353)=0,AND(COUNTA(AZ353:BB353)=3,ISNUMBER(BB353))),0,1))&gt;0,"; An invoice is incomplete (needs No, Date and a number in Ex GST)","")&amp;IF((IF(T353="",0,IFERROR(--(EOMONTH(T353,0)&lt;&gt;S$5),1))+IF(W353="",0,IFERROR(--(EOMONTH(W353,0)&lt;&gt;V$5),1))+IF(Z353="",0,IFERROR(--(EOMONTH(Z353,0)&lt;&gt;Y$5),1))+IF(AC353="",0,IFERROR(--(EOMONTH(AC353,0)&lt;&gt;AB$5),1))+IF(AF353="",0,IFERROR(--(EOMONTH(AF353,0)&lt;&gt;AE$5),1))+IF(AI353="",0,IFERROR(--(EOMONTH(AI353,0)&lt;&gt;AH$5),1))+IF(AL353="",0,IFERROR(--(EOMONTH(AL353,0)&lt;&gt;AK$5),1))+IF(AO353="",0,IFERROR(--(EOMONTH(AO353,0)&lt;&gt;AN$5),1))+IF(AR353="",0,IFERROR(--(EOMONTH(AR353,0)&lt;&gt;AQ$5),1))+IF(AU353="",0,IFERROR(--(EOMONTH(AU353,0)&lt;&gt;AT$5),1))+IF(AX353="",0,IFERROR(--(EOMONTH(AX353,0)&lt;&gt;AW$5),1))+IF(BA353="",0,IFERROR(--(EOMONTH(BA353,0)&lt;&gt;AZ$5),1)))&gt;0,"; An invoice date is not in the month it is typed under",""),3,500))</f>
        <v/>
      </c>
      <c r="S353" s="12" t="n"/>
      <c r="T353" s="13" t="n"/>
      <c r="U353" s="14" t="n"/>
      <c r="V353" s="12" t="n"/>
      <c r="W353" s="13" t="n"/>
      <c r="X353" s="14" t="n"/>
      <c r="Y353" s="12" t="n"/>
      <c r="Z353" s="13" t="n"/>
      <c r="AA353" s="14" t="n"/>
      <c r="AB353" s="12" t="n"/>
      <c r="AC353" s="13" t="n"/>
      <c r="AD353" s="14" t="n"/>
      <c r="AE353" s="12" t="n"/>
      <c r="AF353" s="13" t="n"/>
      <c r="AG353" s="14" t="n"/>
      <c r="AH353" s="12" t="n"/>
      <c r="AI353" s="13" t="n"/>
      <c r="AJ353" s="14" t="n"/>
      <c r="AK353" s="12" t="n"/>
      <c r="AL353" s="13" t="n"/>
      <c r="AM353" s="14" t="n"/>
      <c r="AN353" s="12" t="n"/>
      <c r="AO353" s="13" t="n"/>
      <c r="AP353" s="14" t="n"/>
      <c r="AQ353" s="12" t="n"/>
      <c r="AR353" s="13" t="n"/>
      <c r="AS353" s="14" t="n"/>
      <c r="AT353" s="12" t="n"/>
      <c r="AU353" s="13" t="n"/>
      <c r="AV353" s="14" t="n"/>
      <c r="AW353" s="12" t="n"/>
      <c r="AX353" s="13" t="n"/>
      <c r="AY353" s="14" t="n"/>
      <c r="AZ353" s="12" t="n"/>
      <c r="BA353" s="13" t="n"/>
      <c r="BB353" s="14" t="n"/>
      <c r="BC353" s="11">
        <f>IF(O353="","",IF(J353="GST 10%",ROUND(O353*set_GSTRate,2),0))</f>
        <v/>
      </c>
      <c r="BD353" s="11">
        <f>IF(O353="","",O353+BC353)</f>
        <v/>
      </c>
      <c r="BE353" s="15">
        <f>IF(O353="","",COUNTA(S353,V353,Y353,AB353,AE353,AH353,AK353,AN353,AQ353,AT353,AW353,AZ353))</f>
        <v/>
      </c>
      <c r="BF353" s="16">
        <f>IF(COUNT(T353,W353,Z353,AC353,AF353,AI353,AL353,AO353,AR353,AU353,AX353,BA353)=0,"",MAX(T353,W353,Z353,AC353,AF353,AI353,AL353,AO353,AR353,AU353,AX353,BA353))</f>
        <v/>
      </c>
      <c r="BG353" s="10">
        <f>MID(IF(S353="","",", "&amp;S353)&amp;IF(V353="","",", "&amp;V353)&amp;IF(Y353="","",", "&amp;Y353)&amp;IF(AB353="","",", "&amp;AB353)&amp;IF(AE353="","",", "&amp;AE353)&amp;IF(AH353="","",", "&amp;AH353)&amp;IF(AK353="","",", "&amp;AK353)&amp;IF(AN353="","",", "&amp;AN353)&amp;IF(AQ353="","",", "&amp;AQ353)&amp;IF(AT353="","",", "&amp;AT353)&amp;IF(AW353="","",", "&amp;AW353)&amp;IF(AZ353="","",", "&amp;AZ353),3,500)</f>
        <v/>
      </c>
      <c r="BH353" s="12" t="n"/>
      <c r="BI353" s="15">
        <f>IFERROR(MATCH($A353,IF($B353="Onsite",tbl_Onsite[Row ID],IF($B353="Production",tbl_Production[Row ID],tbl_Consulting[Row ID])),0),"")</f>
        <v/>
      </c>
    </row>
    <row r="354">
      <c r="A354" s="10" t="inlineStr">
        <is>
          <t>ONS-0348</t>
        </is>
      </c>
      <c r="B354" s="10" t="inlineStr">
        <is>
          <t>Onsite</t>
        </is>
      </c>
      <c r="C354" s="10">
        <f>IF($BI354="","",IF($B354="Onsite",INDEX(tbl_Onsite[Job Number],$BI354),IF($B354="Production",INDEX(tbl_Production[Job Number],$BI354),INDEX(tbl_Consulting[Job Number],$BI354)))&amp;"")</f>
        <v/>
      </c>
      <c r="D354" s="10">
        <f>IF($BI354="","",IF($B354="Onsite",INDEX(tbl_Onsite[Client],$BI354),IF($B354="Production",INDEX(tbl_Production[Client],$BI354),INDEX(tbl_Consulting[Client],$BI354)))&amp;"")</f>
        <v/>
      </c>
      <c r="E354" s="10">
        <f>IF($C354="","",IF(COUNTIF(lst_Jobs,$C354)&gt;0,"OK","CHECK"))</f>
        <v/>
      </c>
      <c r="F354" s="10">
        <f>IF($C354="","",IFERROR(INDEX(lst_JobName,MATCH($C354,lst_Jobs,0)),""))</f>
        <v/>
      </c>
      <c r="G354" s="10">
        <f>IF($BI354="","",IF($B354="Onsite",INDEX(tbl_Onsite[Job Description],$BI354),IF($B354="Production",INDEX(tbl_Production[Job Description],$BI354),INDEX(tbl_Consulting[Job Description],$BI354)))&amp;"")</f>
        <v/>
      </c>
      <c r="H354" s="10">
        <f>IF($BI354="","",IF($B354="Onsite",INDEX(tbl_Onsite[Cost Centre],$BI354),IF($B354="Production",INDEX(tbl_Production[Cost Centre],$BI354),INDEX(tbl_Consulting[Cost Centre],$BI354)))&amp;"")</f>
        <v/>
      </c>
      <c r="I354" s="10">
        <f>IF($BI354="","",IF($B354="Onsite",INDEX(tbl_Onsite[Invoice Type],$BI354),IF($B354="Production",INDEX(tbl_Production[Invoice Type],$BI354),INDEX(tbl_Consulting[Invoice Type],$BI354)))&amp;"")</f>
        <v/>
      </c>
      <c r="J354" s="10">
        <f>IF($BI354="","",IF($B354="Onsite",INDEX(tbl_Onsite[Tax Code],$BI354),IF($B354="Production",INDEX(tbl_Production[Tax Code],$BI354),INDEX(tbl_Consulting[Tax Code],$BI354)))&amp;"")</f>
        <v/>
      </c>
      <c r="K354" s="10">
        <f>IF(H354="","",IFERROR(INDEX(lst_CCtoGL,MATCH(H354,lst_CCforGL,0)),""))</f>
        <v/>
      </c>
      <c r="L354" s="10">
        <f>IF($BI354="","",IF($B354="Onsite",INDEX(tbl_Onsite[PO / Reference],$BI354),IF($B354="Production",INDEX(tbl_Production[Current RMS No],$BI354),INDEX(tbl_Consulting[Qwilr Quote],$BI354)))&amp;"")</f>
        <v/>
      </c>
      <c r="M354" s="10">
        <f>IF($BI354="","",IF($B354="Onsite",INDEX(tbl_Onsite[Notes],$BI354),IF($B354="Production",INDEX(tbl_Production[Notes],$BI354),INDEX(tbl_Consulting[Notes],$BI354)))&amp;"")</f>
        <v/>
      </c>
      <c r="N354" s="11">
        <f>IF($BI354="","",IF(IF($B354="Onsite",INDEX(tbl_Onsite[Expected Revenue Ex GST],$BI354),IF($B354="Production",INDEX(tbl_Production[Expected Revenue Ex GST],$BI354),INDEX(tbl_Consulting[Expected Revenue Ex GST],$BI354)))="","",IF($B354="Onsite",INDEX(tbl_Onsite[Expected Revenue Ex GST],$BI354),IF($B354="Production",INDEX(tbl_Production[Expected Revenue Ex GST],$BI354),INDEX(tbl_Consulting[Expected Revenue Ex GST],$BI354)))))</f>
        <v/>
      </c>
      <c r="O354" s="11">
        <f>IF(AND($C354="",NOT(COUNTA($S354:$BB354)&gt;0)),"",SUM(U354,X354,AA354,AD354,AG354,AJ354,AM354,AP354,AS354,AV354,AY354,BB354))</f>
        <v/>
      </c>
      <c r="P354" s="11">
        <f>IF(O354="","",N(N354)-O354)</f>
        <v/>
      </c>
      <c r="Q354" s="10">
        <f>IF(O354="","",IF($C354="","Invoice on empty job row",IF(N354="",IF(ROUND(O354,2)=0,"No dept value","Invoiced - no dept value"),IF(ROUND(O354,2)=0,"Not invoiced - to invoice",IF(ROUND(P354,2)=0,"Agrees",IF(P354&gt;0,"Dept higher - to invoice","Xero higher - check dept"))))))</f>
        <v/>
      </c>
      <c r="R354" s="10">
        <f>IF(AND($C354="",NOT(COUNTA($S354:$BB354)&gt;0),$BI354&lt;&gt;""),"",MID(IF($BI354="","; Row ID not found on the department sheet - a row was deleted","")&amp;IF(AND($C354="",COUNTA($S354:$BB354)&gt;0),"; Invoice entered but the department row has no job number","")&amp;IF(E354="CHECK","; Job number not in the Xero job list","")&amp;IF(AND($C354&lt;&gt;"",COUNTIF($C$7:$C$1506,$C354)&gt;1),"; Job number on more than one row","")&amp;IF(AND($C354&lt;&gt;"",H354=""),"; Dept has not set a cost centre","")&amp;IF(AND($C354&lt;&gt;"",J354=""),"; Dept has not set a tax code","")&amp;IF(AND($C354&lt;&gt;"",N354=""),"; Dept has not entered an expected value","")&amp;IF((IF(OR(COUNTA(S354:U354)=0,AND(COUNTA(S354:U354)=3,ISNUMBER(U354))),0,1)+IF(OR(COUNTA(V354:X354)=0,AND(COUNTA(V354:X354)=3,ISNUMBER(X354))),0,1)+IF(OR(COUNTA(Y354:AA354)=0,AND(COUNTA(Y354:AA354)=3,ISNUMBER(AA354))),0,1)+IF(OR(COUNTA(AB354:AD354)=0,AND(COUNTA(AB354:AD354)=3,ISNUMBER(AD354))),0,1)+IF(OR(COUNTA(AE354:AG354)=0,AND(COUNTA(AE354:AG354)=3,ISNUMBER(AG354))),0,1)+IF(OR(COUNTA(AH354:AJ354)=0,AND(COUNTA(AH354:AJ354)=3,ISNUMBER(AJ354))),0,1)+IF(OR(COUNTA(AK354:AM354)=0,AND(COUNTA(AK354:AM354)=3,ISNUMBER(AM354))),0,1)+IF(OR(COUNTA(AN354:AP354)=0,AND(COUNTA(AN354:AP354)=3,ISNUMBER(AP354))),0,1)+IF(OR(COUNTA(AQ354:AS354)=0,AND(COUNTA(AQ354:AS354)=3,ISNUMBER(AS354))),0,1)+IF(OR(COUNTA(AT354:AV354)=0,AND(COUNTA(AT354:AV354)=3,ISNUMBER(AV354))),0,1)+IF(OR(COUNTA(AW354:AY354)=0,AND(COUNTA(AW354:AY354)=3,ISNUMBER(AY354))),0,1)+IF(OR(COUNTA(AZ354:BB354)=0,AND(COUNTA(AZ354:BB354)=3,ISNUMBER(BB354))),0,1))&gt;0,"; An invoice is incomplete (needs No, Date and a number in Ex GST)","")&amp;IF((IF(T354="",0,IFERROR(--(EOMONTH(T354,0)&lt;&gt;S$5),1))+IF(W354="",0,IFERROR(--(EOMONTH(W354,0)&lt;&gt;V$5),1))+IF(Z354="",0,IFERROR(--(EOMONTH(Z354,0)&lt;&gt;Y$5),1))+IF(AC354="",0,IFERROR(--(EOMONTH(AC354,0)&lt;&gt;AB$5),1))+IF(AF354="",0,IFERROR(--(EOMONTH(AF354,0)&lt;&gt;AE$5),1))+IF(AI354="",0,IFERROR(--(EOMONTH(AI354,0)&lt;&gt;AH$5),1))+IF(AL354="",0,IFERROR(--(EOMONTH(AL354,0)&lt;&gt;AK$5),1))+IF(AO354="",0,IFERROR(--(EOMONTH(AO354,0)&lt;&gt;AN$5),1))+IF(AR354="",0,IFERROR(--(EOMONTH(AR354,0)&lt;&gt;AQ$5),1))+IF(AU354="",0,IFERROR(--(EOMONTH(AU354,0)&lt;&gt;AT$5),1))+IF(AX354="",0,IFERROR(--(EOMONTH(AX354,0)&lt;&gt;AW$5),1))+IF(BA354="",0,IFERROR(--(EOMONTH(BA354,0)&lt;&gt;AZ$5),1)))&gt;0,"; An invoice date is not in the month it is typed under",""),3,500))</f>
        <v/>
      </c>
      <c r="S354" s="12" t="n"/>
      <c r="T354" s="13" t="n"/>
      <c r="U354" s="14" t="n"/>
      <c r="V354" s="12" t="n"/>
      <c r="W354" s="13" t="n"/>
      <c r="X354" s="14" t="n"/>
      <c r="Y354" s="12" t="n"/>
      <c r="Z354" s="13" t="n"/>
      <c r="AA354" s="14" t="n"/>
      <c r="AB354" s="12" t="n"/>
      <c r="AC354" s="13" t="n"/>
      <c r="AD354" s="14" t="n"/>
      <c r="AE354" s="12" t="n"/>
      <c r="AF354" s="13" t="n"/>
      <c r="AG354" s="14" t="n"/>
      <c r="AH354" s="12" t="n"/>
      <c r="AI354" s="13" t="n"/>
      <c r="AJ354" s="14" t="n"/>
      <c r="AK354" s="12" t="n"/>
      <c r="AL354" s="13" t="n"/>
      <c r="AM354" s="14" t="n"/>
      <c r="AN354" s="12" t="n"/>
      <c r="AO354" s="13" t="n"/>
      <c r="AP354" s="14" t="n"/>
      <c r="AQ354" s="12" t="n"/>
      <c r="AR354" s="13" t="n"/>
      <c r="AS354" s="14" t="n"/>
      <c r="AT354" s="12" t="n"/>
      <c r="AU354" s="13" t="n"/>
      <c r="AV354" s="14" t="n"/>
      <c r="AW354" s="12" t="n"/>
      <c r="AX354" s="13" t="n"/>
      <c r="AY354" s="14" t="n"/>
      <c r="AZ354" s="12" t="n"/>
      <c r="BA354" s="13" t="n"/>
      <c r="BB354" s="14" t="n"/>
      <c r="BC354" s="11">
        <f>IF(O354="","",IF(J354="GST 10%",ROUND(O354*set_GSTRate,2),0))</f>
        <v/>
      </c>
      <c r="BD354" s="11">
        <f>IF(O354="","",O354+BC354)</f>
        <v/>
      </c>
      <c r="BE354" s="15">
        <f>IF(O354="","",COUNTA(S354,V354,Y354,AB354,AE354,AH354,AK354,AN354,AQ354,AT354,AW354,AZ354))</f>
        <v/>
      </c>
      <c r="BF354" s="16">
        <f>IF(COUNT(T354,W354,Z354,AC354,AF354,AI354,AL354,AO354,AR354,AU354,AX354,BA354)=0,"",MAX(T354,W354,Z354,AC354,AF354,AI354,AL354,AO354,AR354,AU354,AX354,BA354))</f>
        <v/>
      </c>
      <c r="BG354" s="10">
        <f>MID(IF(S354="","",", "&amp;S354)&amp;IF(V354="","",", "&amp;V354)&amp;IF(Y354="","",", "&amp;Y354)&amp;IF(AB354="","",", "&amp;AB354)&amp;IF(AE354="","",", "&amp;AE354)&amp;IF(AH354="","",", "&amp;AH354)&amp;IF(AK354="","",", "&amp;AK354)&amp;IF(AN354="","",", "&amp;AN354)&amp;IF(AQ354="","",", "&amp;AQ354)&amp;IF(AT354="","",", "&amp;AT354)&amp;IF(AW354="","",", "&amp;AW354)&amp;IF(AZ354="","",", "&amp;AZ354),3,500)</f>
        <v/>
      </c>
      <c r="BH354" s="12" t="n"/>
      <c r="BI354" s="15">
        <f>IFERROR(MATCH($A354,IF($B354="Onsite",tbl_Onsite[Row ID],IF($B354="Production",tbl_Production[Row ID],tbl_Consulting[Row ID])),0),"")</f>
        <v/>
      </c>
    </row>
    <row r="355">
      <c r="A355" s="10" t="inlineStr">
        <is>
          <t>ONS-0349</t>
        </is>
      </c>
      <c r="B355" s="10" t="inlineStr">
        <is>
          <t>Onsite</t>
        </is>
      </c>
      <c r="C355" s="10">
        <f>IF($BI355="","",IF($B355="Onsite",INDEX(tbl_Onsite[Job Number],$BI355),IF($B355="Production",INDEX(tbl_Production[Job Number],$BI355),INDEX(tbl_Consulting[Job Number],$BI355)))&amp;"")</f>
        <v/>
      </c>
      <c r="D355" s="10">
        <f>IF($BI355="","",IF($B355="Onsite",INDEX(tbl_Onsite[Client],$BI355),IF($B355="Production",INDEX(tbl_Production[Client],$BI355),INDEX(tbl_Consulting[Client],$BI355)))&amp;"")</f>
        <v/>
      </c>
      <c r="E355" s="10">
        <f>IF($C355="","",IF(COUNTIF(lst_Jobs,$C355)&gt;0,"OK","CHECK"))</f>
        <v/>
      </c>
      <c r="F355" s="10">
        <f>IF($C355="","",IFERROR(INDEX(lst_JobName,MATCH($C355,lst_Jobs,0)),""))</f>
        <v/>
      </c>
      <c r="G355" s="10">
        <f>IF($BI355="","",IF($B355="Onsite",INDEX(tbl_Onsite[Job Description],$BI355),IF($B355="Production",INDEX(tbl_Production[Job Description],$BI355),INDEX(tbl_Consulting[Job Description],$BI355)))&amp;"")</f>
        <v/>
      </c>
      <c r="H355" s="10">
        <f>IF($BI355="","",IF($B355="Onsite",INDEX(tbl_Onsite[Cost Centre],$BI355),IF($B355="Production",INDEX(tbl_Production[Cost Centre],$BI355),INDEX(tbl_Consulting[Cost Centre],$BI355)))&amp;"")</f>
        <v/>
      </c>
      <c r="I355" s="10">
        <f>IF($BI355="","",IF($B355="Onsite",INDEX(tbl_Onsite[Invoice Type],$BI355),IF($B355="Production",INDEX(tbl_Production[Invoice Type],$BI355),INDEX(tbl_Consulting[Invoice Type],$BI355)))&amp;"")</f>
        <v/>
      </c>
      <c r="J355" s="10">
        <f>IF($BI355="","",IF($B355="Onsite",INDEX(tbl_Onsite[Tax Code],$BI355),IF($B355="Production",INDEX(tbl_Production[Tax Code],$BI355),INDEX(tbl_Consulting[Tax Code],$BI355)))&amp;"")</f>
        <v/>
      </c>
      <c r="K355" s="10">
        <f>IF(H355="","",IFERROR(INDEX(lst_CCtoGL,MATCH(H355,lst_CCforGL,0)),""))</f>
        <v/>
      </c>
      <c r="L355" s="10">
        <f>IF($BI355="","",IF($B355="Onsite",INDEX(tbl_Onsite[PO / Reference],$BI355),IF($B355="Production",INDEX(tbl_Production[Current RMS No],$BI355),INDEX(tbl_Consulting[Qwilr Quote],$BI355)))&amp;"")</f>
        <v/>
      </c>
      <c r="M355" s="10">
        <f>IF($BI355="","",IF($B355="Onsite",INDEX(tbl_Onsite[Notes],$BI355),IF($B355="Production",INDEX(tbl_Production[Notes],$BI355),INDEX(tbl_Consulting[Notes],$BI355)))&amp;"")</f>
        <v/>
      </c>
      <c r="N355" s="11">
        <f>IF($BI355="","",IF(IF($B355="Onsite",INDEX(tbl_Onsite[Expected Revenue Ex GST],$BI355),IF($B355="Production",INDEX(tbl_Production[Expected Revenue Ex GST],$BI355),INDEX(tbl_Consulting[Expected Revenue Ex GST],$BI355)))="","",IF($B355="Onsite",INDEX(tbl_Onsite[Expected Revenue Ex GST],$BI355),IF($B355="Production",INDEX(tbl_Production[Expected Revenue Ex GST],$BI355),INDEX(tbl_Consulting[Expected Revenue Ex GST],$BI355)))))</f>
        <v/>
      </c>
      <c r="O355" s="11">
        <f>IF(AND($C355="",NOT(COUNTA($S355:$BB355)&gt;0)),"",SUM(U355,X355,AA355,AD355,AG355,AJ355,AM355,AP355,AS355,AV355,AY355,BB355))</f>
        <v/>
      </c>
      <c r="P355" s="11">
        <f>IF(O355="","",N(N355)-O355)</f>
        <v/>
      </c>
      <c r="Q355" s="10">
        <f>IF(O355="","",IF($C355="","Invoice on empty job row",IF(N355="",IF(ROUND(O355,2)=0,"No dept value","Invoiced - no dept value"),IF(ROUND(O355,2)=0,"Not invoiced - to invoice",IF(ROUND(P355,2)=0,"Agrees",IF(P355&gt;0,"Dept higher - to invoice","Xero higher - check dept"))))))</f>
        <v/>
      </c>
      <c r="R355" s="10">
        <f>IF(AND($C355="",NOT(COUNTA($S355:$BB355)&gt;0),$BI355&lt;&gt;""),"",MID(IF($BI355="","; Row ID not found on the department sheet - a row was deleted","")&amp;IF(AND($C355="",COUNTA($S355:$BB355)&gt;0),"; Invoice entered but the department row has no job number","")&amp;IF(E355="CHECK","; Job number not in the Xero job list","")&amp;IF(AND($C355&lt;&gt;"",COUNTIF($C$7:$C$1506,$C355)&gt;1),"; Job number on more than one row","")&amp;IF(AND($C355&lt;&gt;"",H355=""),"; Dept has not set a cost centre","")&amp;IF(AND($C355&lt;&gt;"",J355=""),"; Dept has not set a tax code","")&amp;IF(AND($C355&lt;&gt;"",N355=""),"; Dept has not entered an expected value","")&amp;IF((IF(OR(COUNTA(S355:U355)=0,AND(COUNTA(S355:U355)=3,ISNUMBER(U355))),0,1)+IF(OR(COUNTA(V355:X355)=0,AND(COUNTA(V355:X355)=3,ISNUMBER(X355))),0,1)+IF(OR(COUNTA(Y355:AA355)=0,AND(COUNTA(Y355:AA355)=3,ISNUMBER(AA355))),0,1)+IF(OR(COUNTA(AB355:AD355)=0,AND(COUNTA(AB355:AD355)=3,ISNUMBER(AD355))),0,1)+IF(OR(COUNTA(AE355:AG355)=0,AND(COUNTA(AE355:AG355)=3,ISNUMBER(AG355))),0,1)+IF(OR(COUNTA(AH355:AJ355)=0,AND(COUNTA(AH355:AJ355)=3,ISNUMBER(AJ355))),0,1)+IF(OR(COUNTA(AK355:AM355)=0,AND(COUNTA(AK355:AM355)=3,ISNUMBER(AM355))),0,1)+IF(OR(COUNTA(AN355:AP355)=0,AND(COUNTA(AN355:AP355)=3,ISNUMBER(AP355))),0,1)+IF(OR(COUNTA(AQ355:AS355)=0,AND(COUNTA(AQ355:AS355)=3,ISNUMBER(AS355))),0,1)+IF(OR(COUNTA(AT355:AV355)=0,AND(COUNTA(AT355:AV355)=3,ISNUMBER(AV355))),0,1)+IF(OR(COUNTA(AW355:AY355)=0,AND(COUNTA(AW355:AY355)=3,ISNUMBER(AY355))),0,1)+IF(OR(COUNTA(AZ355:BB355)=0,AND(COUNTA(AZ355:BB355)=3,ISNUMBER(BB355))),0,1))&gt;0,"; An invoice is incomplete (needs No, Date and a number in Ex GST)","")&amp;IF((IF(T355="",0,IFERROR(--(EOMONTH(T355,0)&lt;&gt;S$5),1))+IF(W355="",0,IFERROR(--(EOMONTH(W355,0)&lt;&gt;V$5),1))+IF(Z355="",0,IFERROR(--(EOMONTH(Z355,0)&lt;&gt;Y$5),1))+IF(AC355="",0,IFERROR(--(EOMONTH(AC355,0)&lt;&gt;AB$5),1))+IF(AF355="",0,IFERROR(--(EOMONTH(AF355,0)&lt;&gt;AE$5),1))+IF(AI355="",0,IFERROR(--(EOMONTH(AI355,0)&lt;&gt;AH$5),1))+IF(AL355="",0,IFERROR(--(EOMONTH(AL355,0)&lt;&gt;AK$5),1))+IF(AO355="",0,IFERROR(--(EOMONTH(AO355,0)&lt;&gt;AN$5),1))+IF(AR355="",0,IFERROR(--(EOMONTH(AR355,0)&lt;&gt;AQ$5),1))+IF(AU355="",0,IFERROR(--(EOMONTH(AU355,0)&lt;&gt;AT$5),1))+IF(AX355="",0,IFERROR(--(EOMONTH(AX355,0)&lt;&gt;AW$5),1))+IF(BA355="",0,IFERROR(--(EOMONTH(BA355,0)&lt;&gt;AZ$5),1)))&gt;0,"; An invoice date is not in the month it is typed under",""),3,500))</f>
        <v/>
      </c>
      <c r="S355" s="12" t="n"/>
      <c r="T355" s="13" t="n"/>
      <c r="U355" s="14" t="n"/>
      <c r="V355" s="12" t="n"/>
      <c r="W355" s="13" t="n"/>
      <c r="X355" s="14" t="n"/>
      <c r="Y355" s="12" t="n"/>
      <c r="Z355" s="13" t="n"/>
      <c r="AA355" s="14" t="n"/>
      <c r="AB355" s="12" t="n"/>
      <c r="AC355" s="13" t="n"/>
      <c r="AD355" s="14" t="n"/>
      <c r="AE355" s="12" t="n"/>
      <c r="AF355" s="13" t="n"/>
      <c r="AG355" s="14" t="n"/>
      <c r="AH355" s="12" t="n"/>
      <c r="AI355" s="13" t="n"/>
      <c r="AJ355" s="14" t="n"/>
      <c r="AK355" s="12" t="n"/>
      <c r="AL355" s="13" t="n"/>
      <c r="AM355" s="14" t="n"/>
      <c r="AN355" s="12" t="n"/>
      <c r="AO355" s="13" t="n"/>
      <c r="AP355" s="14" t="n"/>
      <c r="AQ355" s="12" t="n"/>
      <c r="AR355" s="13" t="n"/>
      <c r="AS355" s="14" t="n"/>
      <c r="AT355" s="12" t="n"/>
      <c r="AU355" s="13" t="n"/>
      <c r="AV355" s="14" t="n"/>
      <c r="AW355" s="12" t="n"/>
      <c r="AX355" s="13" t="n"/>
      <c r="AY355" s="14" t="n"/>
      <c r="AZ355" s="12" t="n"/>
      <c r="BA355" s="13" t="n"/>
      <c r="BB355" s="14" t="n"/>
      <c r="BC355" s="11">
        <f>IF(O355="","",IF(J355="GST 10%",ROUND(O355*set_GSTRate,2),0))</f>
        <v/>
      </c>
      <c r="BD355" s="11">
        <f>IF(O355="","",O355+BC355)</f>
        <v/>
      </c>
      <c r="BE355" s="15">
        <f>IF(O355="","",COUNTA(S355,V355,Y355,AB355,AE355,AH355,AK355,AN355,AQ355,AT355,AW355,AZ355))</f>
        <v/>
      </c>
      <c r="BF355" s="16">
        <f>IF(COUNT(T355,W355,Z355,AC355,AF355,AI355,AL355,AO355,AR355,AU355,AX355,BA355)=0,"",MAX(T355,W355,Z355,AC355,AF355,AI355,AL355,AO355,AR355,AU355,AX355,BA355))</f>
        <v/>
      </c>
      <c r="BG355" s="10">
        <f>MID(IF(S355="","",", "&amp;S355)&amp;IF(V355="","",", "&amp;V355)&amp;IF(Y355="","",", "&amp;Y355)&amp;IF(AB355="","",", "&amp;AB355)&amp;IF(AE355="","",", "&amp;AE355)&amp;IF(AH355="","",", "&amp;AH355)&amp;IF(AK355="","",", "&amp;AK355)&amp;IF(AN355="","",", "&amp;AN355)&amp;IF(AQ355="","",", "&amp;AQ355)&amp;IF(AT355="","",", "&amp;AT355)&amp;IF(AW355="","",", "&amp;AW355)&amp;IF(AZ355="","",", "&amp;AZ355),3,500)</f>
        <v/>
      </c>
      <c r="BH355" s="12" t="n"/>
      <c r="BI355" s="15">
        <f>IFERROR(MATCH($A355,IF($B355="Onsite",tbl_Onsite[Row ID],IF($B355="Production",tbl_Production[Row ID],tbl_Consulting[Row ID])),0),"")</f>
        <v/>
      </c>
    </row>
    <row r="356">
      <c r="A356" s="10" t="inlineStr">
        <is>
          <t>ONS-0350</t>
        </is>
      </c>
      <c r="B356" s="10" t="inlineStr">
        <is>
          <t>Onsite</t>
        </is>
      </c>
      <c r="C356" s="10">
        <f>IF($BI356="","",IF($B356="Onsite",INDEX(tbl_Onsite[Job Number],$BI356),IF($B356="Production",INDEX(tbl_Production[Job Number],$BI356),INDEX(tbl_Consulting[Job Number],$BI356)))&amp;"")</f>
        <v/>
      </c>
      <c r="D356" s="10">
        <f>IF($BI356="","",IF($B356="Onsite",INDEX(tbl_Onsite[Client],$BI356),IF($B356="Production",INDEX(tbl_Production[Client],$BI356),INDEX(tbl_Consulting[Client],$BI356)))&amp;"")</f>
        <v/>
      </c>
      <c r="E356" s="10">
        <f>IF($C356="","",IF(COUNTIF(lst_Jobs,$C356)&gt;0,"OK","CHECK"))</f>
        <v/>
      </c>
      <c r="F356" s="10">
        <f>IF($C356="","",IFERROR(INDEX(lst_JobName,MATCH($C356,lst_Jobs,0)),""))</f>
        <v/>
      </c>
      <c r="G356" s="10">
        <f>IF($BI356="","",IF($B356="Onsite",INDEX(tbl_Onsite[Job Description],$BI356),IF($B356="Production",INDEX(tbl_Production[Job Description],$BI356),INDEX(tbl_Consulting[Job Description],$BI356)))&amp;"")</f>
        <v/>
      </c>
      <c r="H356" s="10">
        <f>IF($BI356="","",IF($B356="Onsite",INDEX(tbl_Onsite[Cost Centre],$BI356),IF($B356="Production",INDEX(tbl_Production[Cost Centre],$BI356),INDEX(tbl_Consulting[Cost Centre],$BI356)))&amp;"")</f>
        <v/>
      </c>
      <c r="I356" s="10">
        <f>IF($BI356="","",IF($B356="Onsite",INDEX(tbl_Onsite[Invoice Type],$BI356),IF($B356="Production",INDEX(tbl_Production[Invoice Type],$BI356),INDEX(tbl_Consulting[Invoice Type],$BI356)))&amp;"")</f>
        <v/>
      </c>
      <c r="J356" s="10">
        <f>IF($BI356="","",IF($B356="Onsite",INDEX(tbl_Onsite[Tax Code],$BI356),IF($B356="Production",INDEX(tbl_Production[Tax Code],$BI356),INDEX(tbl_Consulting[Tax Code],$BI356)))&amp;"")</f>
        <v/>
      </c>
      <c r="K356" s="10">
        <f>IF(H356="","",IFERROR(INDEX(lst_CCtoGL,MATCH(H356,lst_CCforGL,0)),""))</f>
        <v/>
      </c>
      <c r="L356" s="10">
        <f>IF($BI356="","",IF($B356="Onsite",INDEX(tbl_Onsite[PO / Reference],$BI356),IF($B356="Production",INDEX(tbl_Production[Current RMS No],$BI356),INDEX(tbl_Consulting[Qwilr Quote],$BI356)))&amp;"")</f>
        <v/>
      </c>
      <c r="M356" s="10">
        <f>IF($BI356="","",IF($B356="Onsite",INDEX(tbl_Onsite[Notes],$BI356),IF($B356="Production",INDEX(tbl_Production[Notes],$BI356),INDEX(tbl_Consulting[Notes],$BI356)))&amp;"")</f>
        <v/>
      </c>
      <c r="N356" s="11">
        <f>IF($BI356="","",IF(IF($B356="Onsite",INDEX(tbl_Onsite[Expected Revenue Ex GST],$BI356),IF($B356="Production",INDEX(tbl_Production[Expected Revenue Ex GST],$BI356),INDEX(tbl_Consulting[Expected Revenue Ex GST],$BI356)))="","",IF($B356="Onsite",INDEX(tbl_Onsite[Expected Revenue Ex GST],$BI356),IF($B356="Production",INDEX(tbl_Production[Expected Revenue Ex GST],$BI356),INDEX(tbl_Consulting[Expected Revenue Ex GST],$BI356)))))</f>
        <v/>
      </c>
      <c r="O356" s="11">
        <f>IF(AND($C356="",NOT(COUNTA($S356:$BB356)&gt;0)),"",SUM(U356,X356,AA356,AD356,AG356,AJ356,AM356,AP356,AS356,AV356,AY356,BB356))</f>
        <v/>
      </c>
      <c r="P356" s="11">
        <f>IF(O356="","",N(N356)-O356)</f>
        <v/>
      </c>
      <c r="Q356" s="10">
        <f>IF(O356="","",IF($C356="","Invoice on empty job row",IF(N356="",IF(ROUND(O356,2)=0,"No dept value","Invoiced - no dept value"),IF(ROUND(O356,2)=0,"Not invoiced - to invoice",IF(ROUND(P356,2)=0,"Agrees",IF(P356&gt;0,"Dept higher - to invoice","Xero higher - check dept"))))))</f>
        <v/>
      </c>
      <c r="R356" s="10">
        <f>IF(AND($C356="",NOT(COUNTA($S356:$BB356)&gt;0),$BI356&lt;&gt;""),"",MID(IF($BI356="","; Row ID not found on the department sheet - a row was deleted","")&amp;IF(AND($C356="",COUNTA($S356:$BB356)&gt;0),"; Invoice entered but the department row has no job number","")&amp;IF(E356="CHECK","; Job number not in the Xero job list","")&amp;IF(AND($C356&lt;&gt;"",COUNTIF($C$7:$C$1506,$C356)&gt;1),"; Job number on more than one row","")&amp;IF(AND($C356&lt;&gt;"",H356=""),"; Dept has not set a cost centre","")&amp;IF(AND($C356&lt;&gt;"",J356=""),"; Dept has not set a tax code","")&amp;IF(AND($C356&lt;&gt;"",N356=""),"; Dept has not entered an expected value","")&amp;IF((IF(OR(COUNTA(S356:U356)=0,AND(COUNTA(S356:U356)=3,ISNUMBER(U356))),0,1)+IF(OR(COUNTA(V356:X356)=0,AND(COUNTA(V356:X356)=3,ISNUMBER(X356))),0,1)+IF(OR(COUNTA(Y356:AA356)=0,AND(COUNTA(Y356:AA356)=3,ISNUMBER(AA356))),0,1)+IF(OR(COUNTA(AB356:AD356)=0,AND(COUNTA(AB356:AD356)=3,ISNUMBER(AD356))),0,1)+IF(OR(COUNTA(AE356:AG356)=0,AND(COUNTA(AE356:AG356)=3,ISNUMBER(AG356))),0,1)+IF(OR(COUNTA(AH356:AJ356)=0,AND(COUNTA(AH356:AJ356)=3,ISNUMBER(AJ356))),0,1)+IF(OR(COUNTA(AK356:AM356)=0,AND(COUNTA(AK356:AM356)=3,ISNUMBER(AM356))),0,1)+IF(OR(COUNTA(AN356:AP356)=0,AND(COUNTA(AN356:AP356)=3,ISNUMBER(AP356))),0,1)+IF(OR(COUNTA(AQ356:AS356)=0,AND(COUNTA(AQ356:AS356)=3,ISNUMBER(AS356))),0,1)+IF(OR(COUNTA(AT356:AV356)=0,AND(COUNTA(AT356:AV356)=3,ISNUMBER(AV356))),0,1)+IF(OR(COUNTA(AW356:AY356)=0,AND(COUNTA(AW356:AY356)=3,ISNUMBER(AY356))),0,1)+IF(OR(COUNTA(AZ356:BB356)=0,AND(COUNTA(AZ356:BB356)=3,ISNUMBER(BB356))),0,1))&gt;0,"; An invoice is incomplete (needs No, Date and a number in Ex GST)","")&amp;IF((IF(T356="",0,IFERROR(--(EOMONTH(T356,0)&lt;&gt;S$5),1))+IF(W356="",0,IFERROR(--(EOMONTH(W356,0)&lt;&gt;V$5),1))+IF(Z356="",0,IFERROR(--(EOMONTH(Z356,0)&lt;&gt;Y$5),1))+IF(AC356="",0,IFERROR(--(EOMONTH(AC356,0)&lt;&gt;AB$5),1))+IF(AF356="",0,IFERROR(--(EOMONTH(AF356,0)&lt;&gt;AE$5),1))+IF(AI356="",0,IFERROR(--(EOMONTH(AI356,0)&lt;&gt;AH$5),1))+IF(AL356="",0,IFERROR(--(EOMONTH(AL356,0)&lt;&gt;AK$5),1))+IF(AO356="",0,IFERROR(--(EOMONTH(AO356,0)&lt;&gt;AN$5),1))+IF(AR356="",0,IFERROR(--(EOMONTH(AR356,0)&lt;&gt;AQ$5),1))+IF(AU356="",0,IFERROR(--(EOMONTH(AU356,0)&lt;&gt;AT$5),1))+IF(AX356="",0,IFERROR(--(EOMONTH(AX356,0)&lt;&gt;AW$5),1))+IF(BA356="",0,IFERROR(--(EOMONTH(BA356,0)&lt;&gt;AZ$5),1)))&gt;0,"; An invoice date is not in the month it is typed under",""),3,500))</f>
        <v/>
      </c>
      <c r="S356" s="12" t="n"/>
      <c r="T356" s="13" t="n"/>
      <c r="U356" s="14" t="n"/>
      <c r="V356" s="12" t="n"/>
      <c r="W356" s="13" t="n"/>
      <c r="X356" s="14" t="n"/>
      <c r="Y356" s="12" t="n"/>
      <c r="Z356" s="13" t="n"/>
      <c r="AA356" s="14" t="n"/>
      <c r="AB356" s="12" t="n"/>
      <c r="AC356" s="13" t="n"/>
      <c r="AD356" s="14" t="n"/>
      <c r="AE356" s="12" t="n"/>
      <c r="AF356" s="13" t="n"/>
      <c r="AG356" s="14" t="n"/>
      <c r="AH356" s="12" t="n"/>
      <c r="AI356" s="13" t="n"/>
      <c r="AJ356" s="14" t="n"/>
      <c r="AK356" s="12" t="n"/>
      <c r="AL356" s="13" t="n"/>
      <c r="AM356" s="14" t="n"/>
      <c r="AN356" s="12" t="n"/>
      <c r="AO356" s="13" t="n"/>
      <c r="AP356" s="14" t="n"/>
      <c r="AQ356" s="12" t="n"/>
      <c r="AR356" s="13" t="n"/>
      <c r="AS356" s="14" t="n"/>
      <c r="AT356" s="12" t="n"/>
      <c r="AU356" s="13" t="n"/>
      <c r="AV356" s="14" t="n"/>
      <c r="AW356" s="12" t="n"/>
      <c r="AX356" s="13" t="n"/>
      <c r="AY356" s="14" t="n"/>
      <c r="AZ356" s="12" t="n"/>
      <c r="BA356" s="13" t="n"/>
      <c r="BB356" s="14" t="n"/>
      <c r="BC356" s="11">
        <f>IF(O356="","",IF(J356="GST 10%",ROUND(O356*set_GSTRate,2),0))</f>
        <v/>
      </c>
      <c r="BD356" s="11">
        <f>IF(O356="","",O356+BC356)</f>
        <v/>
      </c>
      <c r="BE356" s="15">
        <f>IF(O356="","",COUNTA(S356,V356,Y356,AB356,AE356,AH356,AK356,AN356,AQ356,AT356,AW356,AZ356))</f>
        <v/>
      </c>
      <c r="BF356" s="16">
        <f>IF(COUNT(T356,W356,Z356,AC356,AF356,AI356,AL356,AO356,AR356,AU356,AX356,BA356)=0,"",MAX(T356,W356,Z356,AC356,AF356,AI356,AL356,AO356,AR356,AU356,AX356,BA356))</f>
        <v/>
      </c>
      <c r="BG356" s="10">
        <f>MID(IF(S356="","",", "&amp;S356)&amp;IF(V356="","",", "&amp;V356)&amp;IF(Y356="","",", "&amp;Y356)&amp;IF(AB356="","",", "&amp;AB356)&amp;IF(AE356="","",", "&amp;AE356)&amp;IF(AH356="","",", "&amp;AH356)&amp;IF(AK356="","",", "&amp;AK356)&amp;IF(AN356="","",", "&amp;AN356)&amp;IF(AQ356="","",", "&amp;AQ356)&amp;IF(AT356="","",", "&amp;AT356)&amp;IF(AW356="","",", "&amp;AW356)&amp;IF(AZ356="","",", "&amp;AZ356),3,500)</f>
        <v/>
      </c>
      <c r="BH356" s="12" t="n"/>
      <c r="BI356" s="15">
        <f>IFERROR(MATCH($A356,IF($B356="Onsite",tbl_Onsite[Row ID],IF($B356="Production",tbl_Production[Row ID],tbl_Consulting[Row ID])),0),"")</f>
        <v/>
      </c>
    </row>
    <row r="357">
      <c r="A357" s="10" t="inlineStr">
        <is>
          <t>ONS-0351</t>
        </is>
      </c>
      <c r="B357" s="10" t="inlineStr">
        <is>
          <t>Onsite</t>
        </is>
      </c>
      <c r="C357" s="10">
        <f>IF($BI357="","",IF($B357="Onsite",INDEX(tbl_Onsite[Job Number],$BI357),IF($B357="Production",INDEX(tbl_Production[Job Number],$BI357),INDEX(tbl_Consulting[Job Number],$BI357)))&amp;"")</f>
        <v/>
      </c>
      <c r="D357" s="10">
        <f>IF($BI357="","",IF($B357="Onsite",INDEX(tbl_Onsite[Client],$BI357),IF($B357="Production",INDEX(tbl_Production[Client],$BI357),INDEX(tbl_Consulting[Client],$BI357)))&amp;"")</f>
        <v/>
      </c>
      <c r="E357" s="10">
        <f>IF($C357="","",IF(COUNTIF(lst_Jobs,$C357)&gt;0,"OK","CHECK"))</f>
        <v/>
      </c>
      <c r="F357" s="10">
        <f>IF($C357="","",IFERROR(INDEX(lst_JobName,MATCH($C357,lst_Jobs,0)),""))</f>
        <v/>
      </c>
      <c r="G357" s="10">
        <f>IF($BI357="","",IF($B357="Onsite",INDEX(tbl_Onsite[Job Description],$BI357),IF($B357="Production",INDEX(tbl_Production[Job Description],$BI357),INDEX(tbl_Consulting[Job Description],$BI357)))&amp;"")</f>
        <v/>
      </c>
      <c r="H357" s="10">
        <f>IF($BI357="","",IF($B357="Onsite",INDEX(tbl_Onsite[Cost Centre],$BI357),IF($B357="Production",INDEX(tbl_Production[Cost Centre],$BI357),INDEX(tbl_Consulting[Cost Centre],$BI357)))&amp;"")</f>
        <v/>
      </c>
      <c r="I357" s="10">
        <f>IF($BI357="","",IF($B357="Onsite",INDEX(tbl_Onsite[Invoice Type],$BI357),IF($B357="Production",INDEX(tbl_Production[Invoice Type],$BI357),INDEX(tbl_Consulting[Invoice Type],$BI357)))&amp;"")</f>
        <v/>
      </c>
      <c r="J357" s="10">
        <f>IF($BI357="","",IF($B357="Onsite",INDEX(tbl_Onsite[Tax Code],$BI357),IF($B357="Production",INDEX(tbl_Production[Tax Code],$BI357),INDEX(tbl_Consulting[Tax Code],$BI357)))&amp;"")</f>
        <v/>
      </c>
      <c r="K357" s="10">
        <f>IF(H357="","",IFERROR(INDEX(lst_CCtoGL,MATCH(H357,lst_CCforGL,0)),""))</f>
        <v/>
      </c>
      <c r="L357" s="10">
        <f>IF($BI357="","",IF($B357="Onsite",INDEX(tbl_Onsite[PO / Reference],$BI357),IF($B357="Production",INDEX(tbl_Production[Current RMS No],$BI357),INDEX(tbl_Consulting[Qwilr Quote],$BI357)))&amp;"")</f>
        <v/>
      </c>
      <c r="M357" s="10">
        <f>IF($BI357="","",IF($B357="Onsite",INDEX(tbl_Onsite[Notes],$BI357),IF($B357="Production",INDEX(tbl_Production[Notes],$BI357),INDEX(tbl_Consulting[Notes],$BI357)))&amp;"")</f>
        <v/>
      </c>
      <c r="N357" s="11">
        <f>IF($BI357="","",IF(IF($B357="Onsite",INDEX(tbl_Onsite[Expected Revenue Ex GST],$BI357),IF($B357="Production",INDEX(tbl_Production[Expected Revenue Ex GST],$BI357),INDEX(tbl_Consulting[Expected Revenue Ex GST],$BI357)))="","",IF($B357="Onsite",INDEX(tbl_Onsite[Expected Revenue Ex GST],$BI357),IF($B357="Production",INDEX(tbl_Production[Expected Revenue Ex GST],$BI357),INDEX(tbl_Consulting[Expected Revenue Ex GST],$BI357)))))</f>
        <v/>
      </c>
      <c r="O357" s="11">
        <f>IF(AND($C357="",NOT(COUNTA($S357:$BB357)&gt;0)),"",SUM(U357,X357,AA357,AD357,AG357,AJ357,AM357,AP357,AS357,AV357,AY357,BB357))</f>
        <v/>
      </c>
      <c r="P357" s="11">
        <f>IF(O357="","",N(N357)-O357)</f>
        <v/>
      </c>
      <c r="Q357" s="10">
        <f>IF(O357="","",IF($C357="","Invoice on empty job row",IF(N357="",IF(ROUND(O357,2)=0,"No dept value","Invoiced - no dept value"),IF(ROUND(O357,2)=0,"Not invoiced - to invoice",IF(ROUND(P357,2)=0,"Agrees",IF(P357&gt;0,"Dept higher - to invoice","Xero higher - check dept"))))))</f>
        <v/>
      </c>
      <c r="R357" s="10">
        <f>IF(AND($C357="",NOT(COUNTA($S357:$BB357)&gt;0),$BI357&lt;&gt;""),"",MID(IF($BI357="","; Row ID not found on the department sheet - a row was deleted","")&amp;IF(AND($C357="",COUNTA($S357:$BB357)&gt;0),"; Invoice entered but the department row has no job number","")&amp;IF(E357="CHECK","; Job number not in the Xero job list","")&amp;IF(AND($C357&lt;&gt;"",COUNTIF($C$7:$C$1506,$C357)&gt;1),"; Job number on more than one row","")&amp;IF(AND($C357&lt;&gt;"",H357=""),"; Dept has not set a cost centre","")&amp;IF(AND($C357&lt;&gt;"",J357=""),"; Dept has not set a tax code","")&amp;IF(AND($C357&lt;&gt;"",N357=""),"; Dept has not entered an expected value","")&amp;IF((IF(OR(COUNTA(S357:U357)=0,AND(COUNTA(S357:U357)=3,ISNUMBER(U357))),0,1)+IF(OR(COUNTA(V357:X357)=0,AND(COUNTA(V357:X357)=3,ISNUMBER(X357))),0,1)+IF(OR(COUNTA(Y357:AA357)=0,AND(COUNTA(Y357:AA357)=3,ISNUMBER(AA357))),0,1)+IF(OR(COUNTA(AB357:AD357)=0,AND(COUNTA(AB357:AD357)=3,ISNUMBER(AD357))),0,1)+IF(OR(COUNTA(AE357:AG357)=0,AND(COUNTA(AE357:AG357)=3,ISNUMBER(AG357))),0,1)+IF(OR(COUNTA(AH357:AJ357)=0,AND(COUNTA(AH357:AJ357)=3,ISNUMBER(AJ357))),0,1)+IF(OR(COUNTA(AK357:AM357)=0,AND(COUNTA(AK357:AM357)=3,ISNUMBER(AM357))),0,1)+IF(OR(COUNTA(AN357:AP357)=0,AND(COUNTA(AN357:AP357)=3,ISNUMBER(AP357))),0,1)+IF(OR(COUNTA(AQ357:AS357)=0,AND(COUNTA(AQ357:AS357)=3,ISNUMBER(AS357))),0,1)+IF(OR(COUNTA(AT357:AV357)=0,AND(COUNTA(AT357:AV357)=3,ISNUMBER(AV357))),0,1)+IF(OR(COUNTA(AW357:AY357)=0,AND(COUNTA(AW357:AY357)=3,ISNUMBER(AY357))),0,1)+IF(OR(COUNTA(AZ357:BB357)=0,AND(COUNTA(AZ357:BB357)=3,ISNUMBER(BB357))),0,1))&gt;0,"; An invoice is incomplete (needs No, Date and a number in Ex GST)","")&amp;IF((IF(T357="",0,IFERROR(--(EOMONTH(T357,0)&lt;&gt;S$5),1))+IF(W357="",0,IFERROR(--(EOMONTH(W357,0)&lt;&gt;V$5),1))+IF(Z357="",0,IFERROR(--(EOMONTH(Z357,0)&lt;&gt;Y$5),1))+IF(AC357="",0,IFERROR(--(EOMONTH(AC357,0)&lt;&gt;AB$5),1))+IF(AF357="",0,IFERROR(--(EOMONTH(AF357,0)&lt;&gt;AE$5),1))+IF(AI357="",0,IFERROR(--(EOMONTH(AI357,0)&lt;&gt;AH$5),1))+IF(AL357="",0,IFERROR(--(EOMONTH(AL357,0)&lt;&gt;AK$5),1))+IF(AO357="",0,IFERROR(--(EOMONTH(AO357,0)&lt;&gt;AN$5),1))+IF(AR357="",0,IFERROR(--(EOMONTH(AR357,0)&lt;&gt;AQ$5),1))+IF(AU357="",0,IFERROR(--(EOMONTH(AU357,0)&lt;&gt;AT$5),1))+IF(AX357="",0,IFERROR(--(EOMONTH(AX357,0)&lt;&gt;AW$5),1))+IF(BA357="",0,IFERROR(--(EOMONTH(BA357,0)&lt;&gt;AZ$5),1)))&gt;0,"; An invoice date is not in the month it is typed under",""),3,500))</f>
        <v/>
      </c>
      <c r="S357" s="12" t="n"/>
      <c r="T357" s="13" t="n"/>
      <c r="U357" s="14" t="n"/>
      <c r="V357" s="12" t="n"/>
      <c r="W357" s="13" t="n"/>
      <c r="X357" s="14" t="n"/>
      <c r="Y357" s="12" t="n"/>
      <c r="Z357" s="13" t="n"/>
      <c r="AA357" s="14" t="n"/>
      <c r="AB357" s="12" t="n"/>
      <c r="AC357" s="13" t="n"/>
      <c r="AD357" s="14" t="n"/>
      <c r="AE357" s="12" t="n"/>
      <c r="AF357" s="13" t="n"/>
      <c r="AG357" s="14" t="n"/>
      <c r="AH357" s="12" t="n"/>
      <c r="AI357" s="13" t="n"/>
      <c r="AJ357" s="14" t="n"/>
      <c r="AK357" s="12" t="n"/>
      <c r="AL357" s="13" t="n"/>
      <c r="AM357" s="14" t="n"/>
      <c r="AN357" s="12" t="n"/>
      <c r="AO357" s="13" t="n"/>
      <c r="AP357" s="14" t="n"/>
      <c r="AQ357" s="12" t="n"/>
      <c r="AR357" s="13" t="n"/>
      <c r="AS357" s="14" t="n"/>
      <c r="AT357" s="12" t="n"/>
      <c r="AU357" s="13" t="n"/>
      <c r="AV357" s="14" t="n"/>
      <c r="AW357" s="12" t="n"/>
      <c r="AX357" s="13" t="n"/>
      <c r="AY357" s="14" t="n"/>
      <c r="AZ357" s="12" t="n"/>
      <c r="BA357" s="13" t="n"/>
      <c r="BB357" s="14" t="n"/>
      <c r="BC357" s="11">
        <f>IF(O357="","",IF(J357="GST 10%",ROUND(O357*set_GSTRate,2),0))</f>
        <v/>
      </c>
      <c r="BD357" s="11">
        <f>IF(O357="","",O357+BC357)</f>
        <v/>
      </c>
      <c r="BE357" s="15">
        <f>IF(O357="","",COUNTA(S357,V357,Y357,AB357,AE357,AH357,AK357,AN357,AQ357,AT357,AW357,AZ357))</f>
        <v/>
      </c>
      <c r="BF357" s="16">
        <f>IF(COUNT(T357,W357,Z357,AC357,AF357,AI357,AL357,AO357,AR357,AU357,AX357,BA357)=0,"",MAX(T357,W357,Z357,AC357,AF357,AI357,AL357,AO357,AR357,AU357,AX357,BA357))</f>
        <v/>
      </c>
      <c r="BG357" s="10">
        <f>MID(IF(S357="","",", "&amp;S357)&amp;IF(V357="","",", "&amp;V357)&amp;IF(Y357="","",", "&amp;Y357)&amp;IF(AB357="","",", "&amp;AB357)&amp;IF(AE357="","",", "&amp;AE357)&amp;IF(AH357="","",", "&amp;AH357)&amp;IF(AK357="","",", "&amp;AK357)&amp;IF(AN357="","",", "&amp;AN357)&amp;IF(AQ357="","",", "&amp;AQ357)&amp;IF(AT357="","",", "&amp;AT357)&amp;IF(AW357="","",", "&amp;AW357)&amp;IF(AZ357="","",", "&amp;AZ357),3,500)</f>
        <v/>
      </c>
      <c r="BH357" s="12" t="n"/>
      <c r="BI357" s="15">
        <f>IFERROR(MATCH($A357,IF($B357="Onsite",tbl_Onsite[Row ID],IF($B357="Production",tbl_Production[Row ID],tbl_Consulting[Row ID])),0),"")</f>
        <v/>
      </c>
    </row>
    <row r="358">
      <c r="A358" s="10" t="inlineStr">
        <is>
          <t>ONS-0352</t>
        </is>
      </c>
      <c r="B358" s="10" t="inlineStr">
        <is>
          <t>Onsite</t>
        </is>
      </c>
      <c r="C358" s="10">
        <f>IF($BI358="","",IF($B358="Onsite",INDEX(tbl_Onsite[Job Number],$BI358),IF($B358="Production",INDEX(tbl_Production[Job Number],$BI358),INDEX(tbl_Consulting[Job Number],$BI358)))&amp;"")</f>
        <v/>
      </c>
      <c r="D358" s="10">
        <f>IF($BI358="","",IF($B358="Onsite",INDEX(tbl_Onsite[Client],$BI358),IF($B358="Production",INDEX(tbl_Production[Client],$BI358),INDEX(tbl_Consulting[Client],$BI358)))&amp;"")</f>
        <v/>
      </c>
      <c r="E358" s="10">
        <f>IF($C358="","",IF(COUNTIF(lst_Jobs,$C358)&gt;0,"OK","CHECK"))</f>
        <v/>
      </c>
      <c r="F358" s="10">
        <f>IF($C358="","",IFERROR(INDEX(lst_JobName,MATCH($C358,lst_Jobs,0)),""))</f>
        <v/>
      </c>
      <c r="G358" s="10">
        <f>IF($BI358="","",IF($B358="Onsite",INDEX(tbl_Onsite[Job Description],$BI358),IF($B358="Production",INDEX(tbl_Production[Job Description],$BI358),INDEX(tbl_Consulting[Job Description],$BI358)))&amp;"")</f>
        <v/>
      </c>
      <c r="H358" s="10">
        <f>IF($BI358="","",IF($B358="Onsite",INDEX(tbl_Onsite[Cost Centre],$BI358),IF($B358="Production",INDEX(tbl_Production[Cost Centre],$BI358),INDEX(tbl_Consulting[Cost Centre],$BI358)))&amp;"")</f>
        <v/>
      </c>
      <c r="I358" s="10">
        <f>IF($BI358="","",IF($B358="Onsite",INDEX(tbl_Onsite[Invoice Type],$BI358),IF($B358="Production",INDEX(tbl_Production[Invoice Type],$BI358),INDEX(tbl_Consulting[Invoice Type],$BI358)))&amp;"")</f>
        <v/>
      </c>
      <c r="J358" s="10">
        <f>IF($BI358="","",IF($B358="Onsite",INDEX(tbl_Onsite[Tax Code],$BI358),IF($B358="Production",INDEX(tbl_Production[Tax Code],$BI358),INDEX(tbl_Consulting[Tax Code],$BI358)))&amp;"")</f>
        <v/>
      </c>
      <c r="K358" s="10">
        <f>IF(H358="","",IFERROR(INDEX(lst_CCtoGL,MATCH(H358,lst_CCforGL,0)),""))</f>
        <v/>
      </c>
      <c r="L358" s="10">
        <f>IF($BI358="","",IF($B358="Onsite",INDEX(tbl_Onsite[PO / Reference],$BI358),IF($B358="Production",INDEX(tbl_Production[Current RMS No],$BI358),INDEX(tbl_Consulting[Qwilr Quote],$BI358)))&amp;"")</f>
        <v/>
      </c>
      <c r="M358" s="10">
        <f>IF($BI358="","",IF($B358="Onsite",INDEX(tbl_Onsite[Notes],$BI358),IF($B358="Production",INDEX(tbl_Production[Notes],$BI358),INDEX(tbl_Consulting[Notes],$BI358)))&amp;"")</f>
        <v/>
      </c>
      <c r="N358" s="11">
        <f>IF($BI358="","",IF(IF($B358="Onsite",INDEX(tbl_Onsite[Expected Revenue Ex GST],$BI358),IF($B358="Production",INDEX(tbl_Production[Expected Revenue Ex GST],$BI358),INDEX(tbl_Consulting[Expected Revenue Ex GST],$BI358)))="","",IF($B358="Onsite",INDEX(tbl_Onsite[Expected Revenue Ex GST],$BI358),IF($B358="Production",INDEX(tbl_Production[Expected Revenue Ex GST],$BI358),INDEX(tbl_Consulting[Expected Revenue Ex GST],$BI358)))))</f>
        <v/>
      </c>
      <c r="O358" s="11">
        <f>IF(AND($C358="",NOT(COUNTA($S358:$BB358)&gt;0)),"",SUM(U358,X358,AA358,AD358,AG358,AJ358,AM358,AP358,AS358,AV358,AY358,BB358))</f>
        <v/>
      </c>
      <c r="P358" s="11">
        <f>IF(O358="","",N(N358)-O358)</f>
        <v/>
      </c>
      <c r="Q358" s="10">
        <f>IF(O358="","",IF($C358="","Invoice on empty job row",IF(N358="",IF(ROUND(O358,2)=0,"No dept value","Invoiced - no dept value"),IF(ROUND(O358,2)=0,"Not invoiced - to invoice",IF(ROUND(P358,2)=0,"Agrees",IF(P358&gt;0,"Dept higher - to invoice","Xero higher - check dept"))))))</f>
        <v/>
      </c>
      <c r="R358" s="10">
        <f>IF(AND($C358="",NOT(COUNTA($S358:$BB358)&gt;0),$BI358&lt;&gt;""),"",MID(IF($BI358="","; Row ID not found on the department sheet - a row was deleted","")&amp;IF(AND($C358="",COUNTA($S358:$BB358)&gt;0),"; Invoice entered but the department row has no job number","")&amp;IF(E358="CHECK","; Job number not in the Xero job list","")&amp;IF(AND($C358&lt;&gt;"",COUNTIF($C$7:$C$1506,$C358)&gt;1),"; Job number on more than one row","")&amp;IF(AND($C358&lt;&gt;"",H358=""),"; Dept has not set a cost centre","")&amp;IF(AND($C358&lt;&gt;"",J358=""),"; Dept has not set a tax code","")&amp;IF(AND($C358&lt;&gt;"",N358=""),"; Dept has not entered an expected value","")&amp;IF((IF(OR(COUNTA(S358:U358)=0,AND(COUNTA(S358:U358)=3,ISNUMBER(U358))),0,1)+IF(OR(COUNTA(V358:X358)=0,AND(COUNTA(V358:X358)=3,ISNUMBER(X358))),0,1)+IF(OR(COUNTA(Y358:AA358)=0,AND(COUNTA(Y358:AA358)=3,ISNUMBER(AA358))),0,1)+IF(OR(COUNTA(AB358:AD358)=0,AND(COUNTA(AB358:AD358)=3,ISNUMBER(AD358))),0,1)+IF(OR(COUNTA(AE358:AG358)=0,AND(COUNTA(AE358:AG358)=3,ISNUMBER(AG358))),0,1)+IF(OR(COUNTA(AH358:AJ358)=0,AND(COUNTA(AH358:AJ358)=3,ISNUMBER(AJ358))),0,1)+IF(OR(COUNTA(AK358:AM358)=0,AND(COUNTA(AK358:AM358)=3,ISNUMBER(AM358))),0,1)+IF(OR(COUNTA(AN358:AP358)=0,AND(COUNTA(AN358:AP358)=3,ISNUMBER(AP358))),0,1)+IF(OR(COUNTA(AQ358:AS358)=0,AND(COUNTA(AQ358:AS358)=3,ISNUMBER(AS358))),0,1)+IF(OR(COUNTA(AT358:AV358)=0,AND(COUNTA(AT358:AV358)=3,ISNUMBER(AV358))),0,1)+IF(OR(COUNTA(AW358:AY358)=0,AND(COUNTA(AW358:AY358)=3,ISNUMBER(AY358))),0,1)+IF(OR(COUNTA(AZ358:BB358)=0,AND(COUNTA(AZ358:BB358)=3,ISNUMBER(BB358))),0,1))&gt;0,"; An invoice is incomplete (needs No, Date and a number in Ex GST)","")&amp;IF((IF(T358="",0,IFERROR(--(EOMONTH(T358,0)&lt;&gt;S$5),1))+IF(W358="",0,IFERROR(--(EOMONTH(W358,0)&lt;&gt;V$5),1))+IF(Z358="",0,IFERROR(--(EOMONTH(Z358,0)&lt;&gt;Y$5),1))+IF(AC358="",0,IFERROR(--(EOMONTH(AC358,0)&lt;&gt;AB$5),1))+IF(AF358="",0,IFERROR(--(EOMONTH(AF358,0)&lt;&gt;AE$5),1))+IF(AI358="",0,IFERROR(--(EOMONTH(AI358,0)&lt;&gt;AH$5),1))+IF(AL358="",0,IFERROR(--(EOMONTH(AL358,0)&lt;&gt;AK$5),1))+IF(AO358="",0,IFERROR(--(EOMONTH(AO358,0)&lt;&gt;AN$5),1))+IF(AR358="",0,IFERROR(--(EOMONTH(AR358,0)&lt;&gt;AQ$5),1))+IF(AU358="",0,IFERROR(--(EOMONTH(AU358,0)&lt;&gt;AT$5),1))+IF(AX358="",0,IFERROR(--(EOMONTH(AX358,0)&lt;&gt;AW$5),1))+IF(BA358="",0,IFERROR(--(EOMONTH(BA358,0)&lt;&gt;AZ$5),1)))&gt;0,"; An invoice date is not in the month it is typed under",""),3,500))</f>
        <v/>
      </c>
      <c r="S358" s="12" t="n"/>
      <c r="T358" s="13" t="n"/>
      <c r="U358" s="14" t="n"/>
      <c r="V358" s="12" t="n"/>
      <c r="W358" s="13" t="n"/>
      <c r="X358" s="14" t="n"/>
      <c r="Y358" s="12" t="n"/>
      <c r="Z358" s="13" t="n"/>
      <c r="AA358" s="14" t="n"/>
      <c r="AB358" s="12" t="n"/>
      <c r="AC358" s="13" t="n"/>
      <c r="AD358" s="14" t="n"/>
      <c r="AE358" s="12" t="n"/>
      <c r="AF358" s="13" t="n"/>
      <c r="AG358" s="14" t="n"/>
      <c r="AH358" s="12" t="n"/>
      <c r="AI358" s="13" t="n"/>
      <c r="AJ358" s="14" t="n"/>
      <c r="AK358" s="12" t="n"/>
      <c r="AL358" s="13" t="n"/>
      <c r="AM358" s="14" t="n"/>
      <c r="AN358" s="12" t="n"/>
      <c r="AO358" s="13" t="n"/>
      <c r="AP358" s="14" t="n"/>
      <c r="AQ358" s="12" t="n"/>
      <c r="AR358" s="13" t="n"/>
      <c r="AS358" s="14" t="n"/>
      <c r="AT358" s="12" t="n"/>
      <c r="AU358" s="13" t="n"/>
      <c r="AV358" s="14" t="n"/>
      <c r="AW358" s="12" t="n"/>
      <c r="AX358" s="13" t="n"/>
      <c r="AY358" s="14" t="n"/>
      <c r="AZ358" s="12" t="n"/>
      <c r="BA358" s="13" t="n"/>
      <c r="BB358" s="14" t="n"/>
      <c r="BC358" s="11">
        <f>IF(O358="","",IF(J358="GST 10%",ROUND(O358*set_GSTRate,2),0))</f>
        <v/>
      </c>
      <c r="BD358" s="11">
        <f>IF(O358="","",O358+BC358)</f>
        <v/>
      </c>
      <c r="BE358" s="15">
        <f>IF(O358="","",COUNTA(S358,V358,Y358,AB358,AE358,AH358,AK358,AN358,AQ358,AT358,AW358,AZ358))</f>
        <v/>
      </c>
      <c r="BF358" s="16">
        <f>IF(COUNT(T358,W358,Z358,AC358,AF358,AI358,AL358,AO358,AR358,AU358,AX358,BA358)=0,"",MAX(T358,W358,Z358,AC358,AF358,AI358,AL358,AO358,AR358,AU358,AX358,BA358))</f>
        <v/>
      </c>
      <c r="BG358" s="10">
        <f>MID(IF(S358="","",", "&amp;S358)&amp;IF(V358="","",", "&amp;V358)&amp;IF(Y358="","",", "&amp;Y358)&amp;IF(AB358="","",", "&amp;AB358)&amp;IF(AE358="","",", "&amp;AE358)&amp;IF(AH358="","",", "&amp;AH358)&amp;IF(AK358="","",", "&amp;AK358)&amp;IF(AN358="","",", "&amp;AN358)&amp;IF(AQ358="","",", "&amp;AQ358)&amp;IF(AT358="","",", "&amp;AT358)&amp;IF(AW358="","",", "&amp;AW358)&amp;IF(AZ358="","",", "&amp;AZ358),3,500)</f>
        <v/>
      </c>
      <c r="BH358" s="12" t="n"/>
      <c r="BI358" s="15">
        <f>IFERROR(MATCH($A358,IF($B358="Onsite",tbl_Onsite[Row ID],IF($B358="Production",tbl_Production[Row ID],tbl_Consulting[Row ID])),0),"")</f>
        <v/>
      </c>
    </row>
    <row r="359">
      <c r="A359" s="10" t="inlineStr">
        <is>
          <t>ONS-0353</t>
        </is>
      </c>
      <c r="B359" s="10" t="inlineStr">
        <is>
          <t>Onsite</t>
        </is>
      </c>
      <c r="C359" s="10">
        <f>IF($BI359="","",IF($B359="Onsite",INDEX(tbl_Onsite[Job Number],$BI359),IF($B359="Production",INDEX(tbl_Production[Job Number],$BI359),INDEX(tbl_Consulting[Job Number],$BI359)))&amp;"")</f>
        <v/>
      </c>
      <c r="D359" s="10">
        <f>IF($BI359="","",IF($B359="Onsite",INDEX(tbl_Onsite[Client],$BI359),IF($B359="Production",INDEX(tbl_Production[Client],$BI359),INDEX(tbl_Consulting[Client],$BI359)))&amp;"")</f>
        <v/>
      </c>
      <c r="E359" s="10">
        <f>IF($C359="","",IF(COUNTIF(lst_Jobs,$C359)&gt;0,"OK","CHECK"))</f>
        <v/>
      </c>
      <c r="F359" s="10">
        <f>IF($C359="","",IFERROR(INDEX(lst_JobName,MATCH($C359,lst_Jobs,0)),""))</f>
        <v/>
      </c>
      <c r="G359" s="10">
        <f>IF($BI359="","",IF($B359="Onsite",INDEX(tbl_Onsite[Job Description],$BI359),IF($B359="Production",INDEX(tbl_Production[Job Description],$BI359),INDEX(tbl_Consulting[Job Description],$BI359)))&amp;"")</f>
        <v/>
      </c>
      <c r="H359" s="10">
        <f>IF($BI359="","",IF($B359="Onsite",INDEX(tbl_Onsite[Cost Centre],$BI359),IF($B359="Production",INDEX(tbl_Production[Cost Centre],$BI359),INDEX(tbl_Consulting[Cost Centre],$BI359)))&amp;"")</f>
        <v/>
      </c>
      <c r="I359" s="10">
        <f>IF($BI359="","",IF($B359="Onsite",INDEX(tbl_Onsite[Invoice Type],$BI359),IF($B359="Production",INDEX(tbl_Production[Invoice Type],$BI359),INDEX(tbl_Consulting[Invoice Type],$BI359)))&amp;"")</f>
        <v/>
      </c>
      <c r="J359" s="10">
        <f>IF($BI359="","",IF($B359="Onsite",INDEX(tbl_Onsite[Tax Code],$BI359),IF($B359="Production",INDEX(tbl_Production[Tax Code],$BI359),INDEX(tbl_Consulting[Tax Code],$BI359)))&amp;"")</f>
        <v/>
      </c>
      <c r="K359" s="10">
        <f>IF(H359="","",IFERROR(INDEX(lst_CCtoGL,MATCH(H359,lst_CCforGL,0)),""))</f>
        <v/>
      </c>
      <c r="L359" s="10">
        <f>IF($BI359="","",IF($B359="Onsite",INDEX(tbl_Onsite[PO / Reference],$BI359),IF($B359="Production",INDEX(tbl_Production[Current RMS No],$BI359),INDEX(tbl_Consulting[Qwilr Quote],$BI359)))&amp;"")</f>
        <v/>
      </c>
      <c r="M359" s="10">
        <f>IF($BI359="","",IF($B359="Onsite",INDEX(tbl_Onsite[Notes],$BI359),IF($B359="Production",INDEX(tbl_Production[Notes],$BI359),INDEX(tbl_Consulting[Notes],$BI359)))&amp;"")</f>
        <v/>
      </c>
      <c r="N359" s="11">
        <f>IF($BI359="","",IF(IF($B359="Onsite",INDEX(tbl_Onsite[Expected Revenue Ex GST],$BI359),IF($B359="Production",INDEX(tbl_Production[Expected Revenue Ex GST],$BI359),INDEX(tbl_Consulting[Expected Revenue Ex GST],$BI359)))="","",IF($B359="Onsite",INDEX(tbl_Onsite[Expected Revenue Ex GST],$BI359),IF($B359="Production",INDEX(tbl_Production[Expected Revenue Ex GST],$BI359),INDEX(tbl_Consulting[Expected Revenue Ex GST],$BI359)))))</f>
        <v/>
      </c>
      <c r="O359" s="11">
        <f>IF(AND($C359="",NOT(COUNTA($S359:$BB359)&gt;0)),"",SUM(U359,X359,AA359,AD359,AG359,AJ359,AM359,AP359,AS359,AV359,AY359,BB359))</f>
        <v/>
      </c>
      <c r="P359" s="11">
        <f>IF(O359="","",N(N359)-O359)</f>
        <v/>
      </c>
      <c r="Q359" s="10">
        <f>IF(O359="","",IF($C359="","Invoice on empty job row",IF(N359="",IF(ROUND(O359,2)=0,"No dept value","Invoiced - no dept value"),IF(ROUND(O359,2)=0,"Not invoiced - to invoice",IF(ROUND(P359,2)=0,"Agrees",IF(P359&gt;0,"Dept higher - to invoice","Xero higher - check dept"))))))</f>
        <v/>
      </c>
      <c r="R359" s="10">
        <f>IF(AND($C359="",NOT(COUNTA($S359:$BB359)&gt;0),$BI359&lt;&gt;""),"",MID(IF($BI359="","; Row ID not found on the department sheet - a row was deleted","")&amp;IF(AND($C359="",COUNTA($S359:$BB359)&gt;0),"; Invoice entered but the department row has no job number","")&amp;IF(E359="CHECK","; Job number not in the Xero job list","")&amp;IF(AND($C359&lt;&gt;"",COUNTIF($C$7:$C$1506,$C359)&gt;1),"; Job number on more than one row","")&amp;IF(AND($C359&lt;&gt;"",H359=""),"; Dept has not set a cost centre","")&amp;IF(AND($C359&lt;&gt;"",J359=""),"; Dept has not set a tax code","")&amp;IF(AND($C359&lt;&gt;"",N359=""),"; Dept has not entered an expected value","")&amp;IF((IF(OR(COUNTA(S359:U359)=0,AND(COUNTA(S359:U359)=3,ISNUMBER(U359))),0,1)+IF(OR(COUNTA(V359:X359)=0,AND(COUNTA(V359:X359)=3,ISNUMBER(X359))),0,1)+IF(OR(COUNTA(Y359:AA359)=0,AND(COUNTA(Y359:AA359)=3,ISNUMBER(AA359))),0,1)+IF(OR(COUNTA(AB359:AD359)=0,AND(COUNTA(AB359:AD359)=3,ISNUMBER(AD359))),0,1)+IF(OR(COUNTA(AE359:AG359)=0,AND(COUNTA(AE359:AG359)=3,ISNUMBER(AG359))),0,1)+IF(OR(COUNTA(AH359:AJ359)=0,AND(COUNTA(AH359:AJ359)=3,ISNUMBER(AJ359))),0,1)+IF(OR(COUNTA(AK359:AM359)=0,AND(COUNTA(AK359:AM359)=3,ISNUMBER(AM359))),0,1)+IF(OR(COUNTA(AN359:AP359)=0,AND(COUNTA(AN359:AP359)=3,ISNUMBER(AP359))),0,1)+IF(OR(COUNTA(AQ359:AS359)=0,AND(COUNTA(AQ359:AS359)=3,ISNUMBER(AS359))),0,1)+IF(OR(COUNTA(AT359:AV359)=0,AND(COUNTA(AT359:AV359)=3,ISNUMBER(AV359))),0,1)+IF(OR(COUNTA(AW359:AY359)=0,AND(COUNTA(AW359:AY359)=3,ISNUMBER(AY359))),0,1)+IF(OR(COUNTA(AZ359:BB359)=0,AND(COUNTA(AZ359:BB359)=3,ISNUMBER(BB359))),0,1))&gt;0,"; An invoice is incomplete (needs No, Date and a number in Ex GST)","")&amp;IF((IF(T359="",0,IFERROR(--(EOMONTH(T359,0)&lt;&gt;S$5),1))+IF(W359="",0,IFERROR(--(EOMONTH(W359,0)&lt;&gt;V$5),1))+IF(Z359="",0,IFERROR(--(EOMONTH(Z359,0)&lt;&gt;Y$5),1))+IF(AC359="",0,IFERROR(--(EOMONTH(AC359,0)&lt;&gt;AB$5),1))+IF(AF359="",0,IFERROR(--(EOMONTH(AF359,0)&lt;&gt;AE$5),1))+IF(AI359="",0,IFERROR(--(EOMONTH(AI359,0)&lt;&gt;AH$5),1))+IF(AL359="",0,IFERROR(--(EOMONTH(AL359,0)&lt;&gt;AK$5),1))+IF(AO359="",0,IFERROR(--(EOMONTH(AO359,0)&lt;&gt;AN$5),1))+IF(AR359="",0,IFERROR(--(EOMONTH(AR359,0)&lt;&gt;AQ$5),1))+IF(AU359="",0,IFERROR(--(EOMONTH(AU359,0)&lt;&gt;AT$5),1))+IF(AX359="",0,IFERROR(--(EOMONTH(AX359,0)&lt;&gt;AW$5),1))+IF(BA359="",0,IFERROR(--(EOMONTH(BA359,0)&lt;&gt;AZ$5),1)))&gt;0,"; An invoice date is not in the month it is typed under",""),3,500))</f>
        <v/>
      </c>
      <c r="S359" s="12" t="n"/>
      <c r="T359" s="13" t="n"/>
      <c r="U359" s="14" t="n"/>
      <c r="V359" s="12" t="n"/>
      <c r="W359" s="13" t="n"/>
      <c r="X359" s="14" t="n"/>
      <c r="Y359" s="12" t="n"/>
      <c r="Z359" s="13" t="n"/>
      <c r="AA359" s="14" t="n"/>
      <c r="AB359" s="12" t="n"/>
      <c r="AC359" s="13" t="n"/>
      <c r="AD359" s="14" t="n"/>
      <c r="AE359" s="12" t="n"/>
      <c r="AF359" s="13" t="n"/>
      <c r="AG359" s="14" t="n"/>
      <c r="AH359" s="12" t="n"/>
      <c r="AI359" s="13" t="n"/>
      <c r="AJ359" s="14" t="n"/>
      <c r="AK359" s="12" t="n"/>
      <c r="AL359" s="13" t="n"/>
      <c r="AM359" s="14" t="n"/>
      <c r="AN359" s="12" t="n"/>
      <c r="AO359" s="13" t="n"/>
      <c r="AP359" s="14" t="n"/>
      <c r="AQ359" s="12" t="n"/>
      <c r="AR359" s="13" t="n"/>
      <c r="AS359" s="14" t="n"/>
      <c r="AT359" s="12" t="n"/>
      <c r="AU359" s="13" t="n"/>
      <c r="AV359" s="14" t="n"/>
      <c r="AW359" s="12" t="n"/>
      <c r="AX359" s="13" t="n"/>
      <c r="AY359" s="14" t="n"/>
      <c r="AZ359" s="12" t="n"/>
      <c r="BA359" s="13" t="n"/>
      <c r="BB359" s="14" t="n"/>
      <c r="BC359" s="11">
        <f>IF(O359="","",IF(J359="GST 10%",ROUND(O359*set_GSTRate,2),0))</f>
        <v/>
      </c>
      <c r="BD359" s="11">
        <f>IF(O359="","",O359+BC359)</f>
        <v/>
      </c>
      <c r="BE359" s="15">
        <f>IF(O359="","",COUNTA(S359,V359,Y359,AB359,AE359,AH359,AK359,AN359,AQ359,AT359,AW359,AZ359))</f>
        <v/>
      </c>
      <c r="BF359" s="16">
        <f>IF(COUNT(T359,W359,Z359,AC359,AF359,AI359,AL359,AO359,AR359,AU359,AX359,BA359)=0,"",MAX(T359,W359,Z359,AC359,AF359,AI359,AL359,AO359,AR359,AU359,AX359,BA359))</f>
        <v/>
      </c>
      <c r="BG359" s="10">
        <f>MID(IF(S359="","",", "&amp;S359)&amp;IF(V359="","",", "&amp;V359)&amp;IF(Y359="","",", "&amp;Y359)&amp;IF(AB359="","",", "&amp;AB359)&amp;IF(AE359="","",", "&amp;AE359)&amp;IF(AH359="","",", "&amp;AH359)&amp;IF(AK359="","",", "&amp;AK359)&amp;IF(AN359="","",", "&amp;AN359)&amp;IF(AQ359="","",", "&amp;AQ359)&amp;IF(AT359="","",", "&amp;AT359)&amp;IF(AW359="","",", "&amp;AW359)&amp;IF(AZ359="","",", "&amp;AZ359),3,500)</f>
        <v/>
      </c>
      <c r="BH359" s="12" t="n"/>
      <c r="BI359" s="15">
        <f>IFERROR(MATCH($A359,IF($B359="Onsite",tbl_Onsite[Row ID],IF($B359="Production",tbl_Production[Row ID],tbl_Consulting[Row ID])),0),"")</f>
        <v/>
      </c>
    </row>
    <row r="360">
      <c r="A360" s="10" t="inlineStr">
        <is>
          <t>ONS-0354</t>
        </is>
      </c>
      <c r="B360" s="10" t="inlineStr">
        <is>
          <t>Onsite</t>
        </is>
      </c>
      <c r="C360" s="10">
        <f>IF($BI360="","",IF($B360="Onsite",INDEX(tbl_Onsite[Job Number],$BI360),IF($B360="Production",INDEX(tbl_Production[Job Number],$BI360),INDEX(tbl_Consulting[Job Number],$BI360)))&amp;"")</f>
        <v/>
      </c>
      <c r="D360" s="10">
        <f>IF($BI360="","",IF($B360="Onsite",INDEX(tbl_Onsite[Client],$BI360),IF($B360="Production",INDEX(tbl_Production[Client],$BI360),INDEX(tbl_Consulting[Client],$BI360)))&amp;"")</f>
        <v/>
      </c>
      <c r="E360" s="10">
        <f>IF($C360="","",IF(COUNTIF(lst_Jobs,$C360)&gt;0,"OK","CHECK"))</f>
        <v/>
      </c>
      <c r="F360" s="10">
        <f>IF($C360="","",IFERROR(INDEX(lst_JobName,MATCH($C360,lst_Jobs,0)),""))</f>
        <v/>
      </c>
      <c r="G360" s="10">
        <f>IF($BI360="","",IF($B360="Onsite",INDEX(tbl_Onsite[Job Description],$BI360),IF($B360="Production",INDEX(tbl_Production[Job Description],$BI360),INDEX(tbl_Consulting[Job Description],$BI360)))&amp;"")</f>
        <v/>
      </c>
      <c r="H360" s="10">
        <f>IF($BI360="","",IF($B360="Onsite",INDEX(tbl_Onsite[Cost Centre],$BI360),IF($B360="Production",INDEX(tbl_Production[Cost Centre],$BI360),INDEX(tbl_Consulting[Cost Centre],$BI360)))&amp;"")</f>
        <v/>
      </c>
      <c r="I360" s="10">
        <f>IF($BI360="","",IF($B360="Onsite",INDEX(tbl_Onsite[Invoice Type],$BI360),IF($B360="Production",INDEX(tbl_Production[Invoice Type],$BI360),INDEX(tbl_Consulting[Invoice Type],$BI360)))&amp;"")</f>
        <v/>
      </c>
      <c r="J360" s="10">
        <f>IF($BI360="","",IF($B360="Onsite",INDEX(tbl_Onsite[Tax Code],$BI360),IF($B360="Production",INDEX(tbl_Production[Tax Code],$BI360),INDEX(tbl_Consulting[Tax Code],$BI360)))&amp;"")</f>
        <v/>
      </c>
      <c r="K360" s="10">
        <f>IF(H360="","",IFERROR(INDEX(lst_CCtoGL,MATCH(H360,lst_CCforGL,0)),""))</f>
        <v/>
      </c>
      <c r="L360" s="10">
        <f>IF($BI360="","",IF($B360="Onsite",INDEX(tbl_Onsite[PO / Reference],$BI360),IF($B360="Production",INDEX(tbl_Production[Current RMS No],$BI360),INDEX(tbl_Consulting[Qwilr Quote],$BI360)))&amp;"")</f>
        <v/>
      </c>
      <c r="M360" s="10">
        <f>IF($BI360="","",IF($B360="Onsite",INDEX(tbl_Onsite[Notes],$BI360),IF($B360="Production",INDEX(tbl_Production[Notes],$BI360),INDEX(tbl_Consulting[Notes],$BI360)))&amp;"")</f>
        <v/>
      </c>
      <c r="N360" s="11">
        <f>IF($BI360="","",IF(IF($B360="Onsite",INDEX(tbl_Onsite[Expected Revenue Ex GST],$BI360),IF($B360="Production",INDEX(tbl_Production[Expected Revenue Ex GST],$BI360),INDEX(tbl_Consulting[Expected Revenue Ex GST],$BI360)))="","",IF($B360="Onsite",INDEX(tbl_Onsite[Expected Revenue Ex GST],$BI360),IF($B360="Production",INDEX(tbl_Production[Expected Revenue Ex GST],$BI360),INDEX(tbl_Consulting[Expected Revenue Ex GST],$BI360)))))</f>
        <v/>
      </c>
      <c r="O360" s="11">
        <f>IF(AND($C360="",NOT(COUNTA($S360:$BB360)&gt;0)),"",SUM(U360,X360,AA360,AD360,AG360,AJ360,AM360,AP360,AS360,AV360,AY360,BB360))</f>
        <v/>
      </c>
      <c r="P360" s="11">
        <f>IF(O360="","",N(N360)-O360)</f>
        <v/>
      </c>
      <c r="Q360" s="10">
        <f>IF(O360="","",IF($C360="","Invoice on empty job row",IF(N360="",IF(ROUND(O360,2)=0,"No dept value","Invoiced - no dept value"),IF(ROUND(O360,2)=0,"Not invoiced - to invoice",IF(ROUND(P360,2)=0,"Agrees",IF(P360&gt;0,"Dept higher - to invoice","Xero higher - check dept"))))))</f>
        <v/>
      </c>
      <c r="R360" s="10">
        <f>IF(AND($C360="",NOT(COUNTA($S360:$BB360)&gt;0),$BI360&lt;&gt;""),"",MID(IF($BI360="","; Row ID not found on the department sheet - a row was deleted","")&amp;IF(AND($C360="",COUNTA($S360:$BB360)&gt;0),"; Invoice entered but the department row has no job number","")&amp;IF(E360="CHECK","; Job number not in the Xero job list","")&amp;IF(AND($C360&lt;&gt;"",COUNTIF($C$7:$C$1506,$C360)&gt;1),"; Job number on more than one row","")&amp;IF(AND($C360&lt;&gt;"",H360=""),"; Dept has not set a cost centre","")&amp;IF(AND($C360&lt;&gt;"",J360=""),"; Dept has not set a tax code","")&amp;IF(AND($C360&lt;&gt;"",N360=""),"; Dept has not entered an expected value","")&amp;IF((IF(OR(COUNTA(S360:U360)=0,AND(COUNTA(S360:U360)=3,ISNUMBER(U360))),0,1)+IF(OR(COUNTA(V360:X360)=0,AND(COUNTA(V360:X360)=3,ISNUMBER(X360))),0,1)+IF(OR(COUNTA(Y360:AA360)=0,AND(COUNTA(Y360:AA360)=3,ISNUMBER(AA360))),0,1)+IF(OR(COUNTA(AB360:AD360)=0,AND(COUNTA(AB360:AD360)=3,ISNUMBER(AD360))),0,1)+IF(OR(COUNTA(AE360:AG360)=0,AND(COUNTA(AE360:AG360)=3,ISNUMBER(AG360))),0,1)+IF(OR(COUNTA(AH360:AJ360)=0,AND(COUNTA(AH360:AJ360)=3,ISNUMBER(AJ360))),0,1)+IF(OR(COUNTA(AK360:AM360)=0,AND(COUNTA(AK360:AM360)=3,ISNUMBER(AM360))),0,1)+IF(OR(COUNTA(AN360:AP360)=0,AND(COUNTA(AN360:AP360)=3,ISNUMBER(AP360))),0,1)+IF(OR(COUNTA(AQ360:AS360)=0,AND(COUNTA(AQ360:AS360)=3,ISNUMBER(AS360))),0,1)+IF(OR(COUNTA(AT360:AV360)=0,AND(COUNTA(AT360:AV360)=3,ISNUMBER(AV360))),0,1)+IF(OR(COUNTA(AW360:AY360)=0,AND(COUNTA(AW360:AY360)=3,ISNUMBER(AY360))),0,1)+IF(OR(COUNTA(AZ360:BB360)=0,AND(COUNTA(AZ360:BB360)=3,ISNUMBER(BB360))),0,1))&gt;0,"; An invoice is incomplete (needs No, Date and a number in Ex GST)","")&amp;IF((IF(T360="",0,IFERROR(--(EOMONTH(T360,0)&lt;&gt;S$5),1))+IF(W360="",0,IFERROR(--(EOMONTH(W360,0)&lt;&gt;V$5),1))+IF(Z360="",0,IFERROR(--(EOMONTH(Z360,0)&lt;&gt;Y$5),1))+IF(AC360="",0,IFERROR(--(EOMONTH(AC360,0)&lt;&gt;AB$5),1))+IF(AF360="",0,IFERROR(--(EOMONTH(AF360,0)&lt;&gt;AE$5),1))+IF(AI360="",0,IFERROR(--(EOMONTH(AI360,0)&lt;&gt;AH$5),1))+IF(AL360="",0,IFERROR(--(EOMONTH(AL360,0)&lt;&gt;AK$5),1))+IF(AO360="",0,IFERROR(--(EOMONTH(AO360,0)&lt;&gt;AN$5),1))+IF(AR360="",0,IFERROR(--(EOMONTH(AR360,0)&lt;&gt;AQ$5),1))+IF(AU360="",0,IFERROR(--(EOMONTH(AU360,0)&lt;&gt;AT$5),1))+IF(AX360="",0,IFERROR(--(EOMONTH(AX360,0)&lt;&gt;AW$5),1))+IF(BA360="",0,IFERROR(--(EOMONTH(BA360,0)&lt;&gt;AZ$5),1)))&gt;0,"; An invoice date is not in the month it is typed under",""),3,500))</f>
        <v/>
      </c>
      <c r="S360" s="12" t="n"/>
      <c r="T360" s="13" t="n"/>
      <c r="U360" s="14" t="n"/>
      <c r="V360" s="12" t="n"/>
      <c r="W360" s="13" t="n"/>
      <c r="X360" s="14" t="n"/>
      <c r="Y360" s="12" t="n"/>
      <c r="Z360" s="13" t="n"/>
      <c r="AA360" s="14" t="n"/>
      <c r="AB360" s="12" t="n"/>
      <c r="AC360" s="13" t="n"/>
      <c r="AD360" s="14" t="n"/>
      <c r="AE360" s="12" t="n"/>
      <c r="AF360" s="13" t="n"/>
      <c r="AG360" s="14" t="n"/>
      <c r="AH360" s="12" t="n"/>
      <c r="AI360" s="13" t="n"/>
      <c r="AJ360" s="14" t="n"/>
      <c r="AK360" s="12" t="n"/>
      <c r="AL360" s="13" t="n"/>
      <c r="AM360" s="14" t="n"/>
      <c r="AN360" s="12" t="n"/>
      <c r="AO360" s="13" t="n"/>
      <c r="AP360" s="14" t="n"/>
      <c r="AQ360" s="12" t="n"/>
      <c r="AR360" s="13" t="n"/>
      <c r="AS360" s="14" t="n"/>
      <c r="AT360" s="12" t="n"/>
      <c r="AU360" s="13" t="n"/>
      <c r="AV360" s="14" t="n"/>
      <c r="AW360" s="12" t="n"/>
      <c r="AX360" s="13" t="n"/>
      <c r="AY360" s="14" t="n"/>
      <c r="AZ360" s="12" t="n"/>
      <c r="BA360" s="13" t="n"/>
      <c r="BB360" s="14" t="n"/>
      <c r="BC360" s="11">
        <f>IF(O360="","",IF(J360="GST 10%",ROUND(O360*set_GSTRate,2),0))</f>
        <v/>
      </c>
      <c r="BD360" s="11">
        <f>IF(O360="","",O360+BC360)</f>
        <v/>
      </c>
      <c r="BE360" s="15">
        <f>IF(O360="","",COUNTA(S360,V360,Y360,AB360,AE360,AH360,AK360,AN360,AQ360,AT360,AW360,AZ360))</f>
        <v/>
      </c>
      <c r="BF360" s="16">
        <f>IF(COUNT(T360,W360,Z360,AC360,AF360,AI360,AL360,AO360,AR360,AU360,AX360,BA360)=0,"",MAX(T360,W360,Z360,AC360,AF360,AI360,AL360,AO360,AR360,AU360,AX360,BA360))</f>
        <v/>
      </c>
      <c r="BG360" s="10">
        <f>MID(IF(S360="","",", "&amp;S360)&amp;IF(V360="","",", "&amp;V360)&amp;IF(Y360="","",", "&amp;Y360)&amp;IF(AB360="","",", "&amp;AB360)&amp;IF(AE360="","",", "&amp;AE360)&amp;IF(AH360="","",", "&amp;AH360)&amp;IF(AK360="","",", "&amp;AK360)&amp;IF(AN360="","",", "&amp;AN360)&amp;IF(AQ360="","",", "&amp;AQ360)&amp;IF(AT360="","",", "&amp;AT360)&amp;IF(AW360="","",", "&amp;AW360)&amp;IF(AZ360="","",", "&amp;AZ360),3,500)</f>
        <v/>
      </c>
      <c r="BH360" s="12" t="n"/>
      <c r="BI360" s="15">
        <f>IFERROR(MATCH($A360,IF($B360="Onsite",tbl_Onsite[Row ID],IF($B360="Production",tbl_Production[Row ID],tbl_Consulting[Row ID])),0),"")</f>
        <v/>
      </c>
    </row>
    <row r="361">
      <c r="A361" s="10" t="inlineStr">
        <is>
          <t>ONS-0355</t>
        </is>
      </c>
      <c r="B361" s="10" t="inlineStr">
        <is>
          <t>Onsite</t>
        </is>
      </c>
      <c r="C361" s="10">
        <f>IF($BI361="","",IF($B361="Onsite",INDEX(tbl_Onsite[Job Number],$BI361),IF($B361="Production",INDEX(tbl_Production[Job Number],$BI361),INDEX(tbl_Consulting[Job Number],$BI361)))&amp;"")</f>
        <v/>
      </c>
      <c r="D361" s="10">
        <f>IF($BI361="","",IF($B361="Onsite",INDEX(tbl_Onsite[Client],$BI361),IF($B361="Production",INDEX(tbl_Production[Client],$BI361),INDEX(tbl_Consulting[Client],$BI361)))&amp;"")</f>
        <v/>
      </c>
      <c r="E361" s="10">
        <f>IF($C361="","",IF(COUNTIF(lst_Jobs,$C361)&gt;0,"OK","CHECK"))</f>
        <v/>
      </c>
      <c r="F361" s="10">
        <f>IF($C361="","",IFERROR(INDEX(lst_JobName,MATCH($C361,lst_Jobs,0)),""))</f>
        <v/>
      </c>
      <c r="G361" s="10">
        <f>IF($BI361="","",IF($B361="Onsite",INDEX(tbl_Onsite[Job Description],$BI361),IF($B361="Production",INDEX(tbl_Production[Job Description],$BI361),INDEX(tbl_Consulting[Job Description],$BI361)))&amp;"")</f>
        <v/>
      </c>
      <c r="H361" s="10">
        <f>IF($BI361="","",IF($B361="Onsite",INDEX(tbl_Onsite[Cost Centre],$BI361),IF($B361="Production",INDEX(tbl_Production[Cost Centre],$BI361),INDEX(tbl_Consulting[Cost Centre],$BI361)))&amp;"")</f>
        <v/>
      </c>
      <c r="I361" s="10">
        <f>IF($BI361="","",IF($B361="Onsite",INDEX(tbl_Onsite[Invoice Type],$BI361),IF($B361="Production",INDEX(tbl_Production[Invoice Type],$BI361),INDEX(tbl_Consulting[Invoice Type],$BI361)))&amp;"")</f>
        <v/>
      </c>
      <c r="J361" s="10">
        <f>IF($BI361="","",IF($B361="Onsite",INDEX(tbl_Onsite[Tax Code],$BI361),IF($B361="Production",INDEX(tbl_Production[Tax Code],$BI361),INDEX(tbl_Consulting[Tax Code],$BI361)))&amp;"")</f>
        <v/>
      </c>
      <c r="K361" s="10">
        <f>IF(H361="","",IFERROR(INDEX(lst_CCtoGL,MATCH(H361,lst_CCforGL,0)),""))</f>
        <v/>
      </c>
      <c r="L361" s="10">
        <f>IF($BI361="","",IF($B361="Onsite",INDEX(tbl_Onsite[PO / Reference],$BI361),IF($B361="Production",INDEX(tbl_Production[Current RMS No],$BI361),INDEX(tbl_Consulting[Qwilr Quote],$BI361)))&amp;"")</f>
        <v/>
      </c>
      <c r="M361" s="10">
        <f>IF($BI361="","",IF($B361="Onsite",INDEX(tbl_Onsite[Notes],$BI361),IF($B361="Production",INDEX(tbl_Production[Notes],$BI361),INDEX(tbl_Consulting[Notes],$BI361)))&amp;"")</f>
        <v/>
      </c>
      <c r="N361" s="11">
        <f>IF($BI361="","",IF(IF($B361="Onsite",INDEX(tbl_Onsite[Expected Revenue Ex GST],$BI361),IF($B361="Production",INDEX(tbl_Production[Expected Revenue Ex GST],$BI361),INDEX(tbl_Consulting[Expected Revenue Ex GST],$BI361)))="","",IF($B361="Onsite",INDEX(tbl_Onsite[Expected Revenue Ex GST],$BI361),IF($B361="Production",INDEX(tbl_Production[Expected Revenue Ex GST],$BI361),INDEX(tbl_Consulting[Expected Revenue Ex GST],$BI361)))))</f>
        <v/>
      </c>
      <c r="O361" s="11">
        <f>IF(AND($C361="",NOT(COUNTA($S361:$BB361)&gt;0)),"",SUM(U361,X361,AA361,AD361,AG361,AJ361,AM361,AP361,AS361,AV361,AY361,BB361))</f>
        <v/>
      </c>
      <c r="P361" s="11">
        <f>IF(O361="","",N(N361)-O361)</f>
        <v/>
      </c>
      <c r="Q361" s="10">
        <f>IF(O361="","",IF($C361="","Invoice on empty job row",IF(N361="",IF(ROUND(O361,2)=0,"No dept value","Invoiced - no dept value"),IF(ROUND(O361,2)=0,"Not invoiced - to invoice",IF(ROUND(P361,2)=0,"Agrees",IF(P361&gt;0,"Dept higher - to invoice","Xero higher - check dept"))))))</f>
        <v/>
      </c>
      <c r="R361" s="10">
        <f>IF(AND($C361="",NOT(COUNTA($S361:$BB361)&gt;0),$BI361&lt;&gt;""),"",MID(IF($BI361="","; Row ID not found on the department sheet - a row was deleted","")&amp;IF(AND($C361="",COUNTA($S361:$BB361)&gt;0),"; Invoice entered but the department row has no job number","")&amp;IF(E361="CHECK","; Job number not in the Xero job list","")&amp;IF(AND($C361&lt;&gt;"",COUNTIF($C$7:$C$1506,$C361)&gt;1),"; Job number on more than one row","")&amp;IF(AND($C361&lt;&gt;"",H361=""),"; Dept has not set a cost centre","")&amp;IF(AND($C361&lt;&gt;"",J361=""),"; Dept has not set a tax code","")&amp;IF(AND($C361&lt;&gt;"",N361=""),"; Dept has not entered an expected value","")&amp;IF((IF(OR(COUNTA(S361:U361)=0,AND(COUNTA(S361:U361)=3,ISNUMBER(U361))),0,1)+IF(OR(COUNTA(V361:X361)=0,AND(COUNTA(V361:X361)=3,ISNUMBER(X361))),0,1)+IF(OR(COUNTA(Y361:AA361)=0,AND(COUNTA(Y361:AA361)=3,ISNUMBER(AA361))),0,1)+IF(OR(COUNTA(AB361:AD361)=0,AND(COUNTA(AB361:AD361)=3,ISNUMBER(AD361))),0,1)+IF(OR(COUNTA(AE361:AG361)=0,AND(COUNTA(AE361:AG361)=3,ISNUMBER(AG361))),0,1)+IF(OR(COUNTA(AH361:AJ361)=0,AND(COUNTA(AH361:AJ361)=3,ISNUMBER(AJ361))),0,1)+IF(OR(COUNTA(AK361:AM361)=0,AND(COUNTA(AK361:AM361)=3,ISNUMBER(AM361))),0,1)+IF(OR(COUNTA(AN361:AP361)=0,AND(COUNTA(AN361:AP361)=3,ISNUMBER(AP361))),0,1)+IF(OR(COUNTA(AQ361:AS361)=0,AND(COUNTA(AQ361:AS361)=3,ISNUMBER(AS361))),0,1)+IF(OR(COUNTA(AT361:AV361)=0,AND(COUNTA(AT361:AV361)=3,ISNUMBER(AV361))),0,1)+IF(OR(COUNTA(AW361:AY361)=0,AND(COUNTA(AW361:AY361)=3,ISNUMBER(AY361))),0,1)+IF(OR(COUNTA(AZ361:BB361)=0,AND(COUNTA(AZ361:BB361)=3,ISNUMBER(BB361))),0,1))&gt;0,"; An invoice is incomplete (needs No, Date and a number in Ex GST)","")&amp;IF((IF(T361="",0,IFERROR(--(EOMONTH(T361,0)&lt;&gt;S$5),1))+IF(W361="",0,IFERROR(--(EOMONTH(W361,0)&lt;&gt;V$5),1))+IF(Z361="",0,IFERROR(--(EOMONTH(Z361,0)&lt;&gt;Y$5),1))+IF(AC361="",0,IFERROR(--(EOMONTH(AC361,0)&lt;&gt;AB$5),1))+IF(AF361="",0,IFERROR(--(EOMONTH(AF361,0)&lt;&gt;AE$5),1))+IF(AI361="",0,IFERROR(--(EOMONTH(AI361,0)&lt;&gt;AH$5),1))+IF(AL361="",0,IFERROR(--(EOMONTH(AL361,0)&lt;&gt;AK$5),1))+IF(AO361="",0,IFERROR(--(EOMONTH(AO361,0)&lt;&gt;AN$5),1))+IF(AR361="",0,IFERROR(--(EOMONTH(AR361,0)&lt;&gt;AQ$5),1))+IF(AU361="",0,IFERROR(--(EOMONTH(AU361,0)&lt;&gt;AT$5),1))+IF(AX361="",0,IFERROR(--(EOMONTH(AX361,0)&lt;&gt;AW$5),1))+IF(BA361="",0,IFERROR(--(EOMONTH(BA361,0)&lt;&gt;AZ$5),1)))&gt;0,"; An invoice date is not in the month it is typed under",""),3,500))</f>
        <v/>
      </c>
      <c r="S361" s="12" t="n"/>
      <c r="T361" s="13" t="n"/>
      <c r="U361" s="14" t="n"/>
      <c r="V361" s="12" t="n"/>
      <c r="W361" s="13" t="n"/>
      <c r="X361" s="14" t="n"/>
      <c r="Y361" s="12" t="n"/>
      <c r="Z361" s="13" t="n"/>
      <c r="AA361" s="14" t="n"/>
      <c r="AB361" s="12" t="n"/>
      <c r="AC361" s="13" t="n"/>
      <c r="AD361" s="14" t="n"/>
      <c r="AE361" s="12" t="n"/>
      <c r="AF361" s="13" t="n"/>
      <c r="AG361" s="14" t="n"/>
      <c r="AH361" s="12" t="n"/>
      <c r="AI361" s="13" t="n"/>
      <c r="AJ361" s="14" t="n"/>
      <c r="AK361" s="12" t="n"/>
      <c r="AL361" s="13" t="n"/>
      <c r="AM361" s="14" t="n"/>
      <c r="AN361" s="12" t="n"/>
      <c r="AO361" s="13" t="n"/>
      <c r="AP361" s="14" t="n"/>
      <c r="AQ361" s="12" t="n"/>
      <c r="AR361" s="13" t="n"/>
      <c r="AS361" s="14" t="n"/>
      <c r="AT361" s="12" t="n"/>
      <c r="AU361" s="13" t="n"/>
      <c r="AV361" s="14" t="n"/>
      <c r="AW361" s="12" t="n"/>
      <c r="AX361" s="13" t="n"/>
      <c r="AY361" s="14" t="n"/>
      <c r="AZ361" s="12" t="n"/>
      <c r="BA361" s="13" t="n"/>
      <c r="BB361" s="14" t="n"/>
      <c r="BC361" s="11">
        <f>IF(O361="","",IF(J361="GST 10%",ROUND(O361*set_GSTRate,2),0))</f>
        <v/>
      </c>
      <c r="BD361" s="11">
        <f>IF(O361="","",O361+BC361)</f>
        <v/>
      </c>
      <c r="BE361" s="15">
        <f>IF(O361="","",COUNTA(S361,V361,Y361,AB361,AE361,AH361,AK361,AN361,AQ361,AT361,AW361,AZ361))</f>
        <v/>
      </c>
      <c r="BF361" s="16">
        <f>IF(COUNT(T361,W361,Z361,AC361,AF361,AI361,AL361,AO361,AR361,AU361,AX361,BA361)=0,"",MAX(T361,W361,Z361,AC361,AF361,AI361,AL361,AO361,AR361,AU361,AX361,BA361))</f>
        <v/>
      </c>
      <c r="BG361" s="10">
        <f>MID(IF(S361="","",", "&amp;S361)&amp;IF(V361="","",", "&amp;V361)&amp;IF(Y361="","",", "&amp;Y361)&amp;IF(AB361="","",", "&amp;AB361)&amp;IF(AE361="","",", "&amp;AE361)&amp;IF(AH361="","",", "&amp;AH361)&amp;IF(AK361="","",", "&amp;AK361)&amp;IF(AN361="","",", "&amp;AN361)&amp;IF(AQ361="","",", "&amp;AQ361)&amp;IF(AT361="","",", "&amp;AT361)&amp;IF(AW361="","",", "&amp;AW361)&amp;IF(AZ361="","",", "&amp;AZ361),3,500)</f>
        <v/>
      </c>
      <c r="BH361" s="12" t="n"/>
      <c r="BI361" s="15">
        <f>IFERROR(MATCH($A361,IF($B361="Onsite",tbl_Onsite[Row ID],IF($B361="Production",tbl_Production[Row ID],tbl_Consulting[Row ID])),0),"")</f>
        <v/>
      </c>
    </row>
    <row r="362">
      <c r="A362" s="10" t="inlineStr">
        <is>
          <t>ONS-0356</t>
        </is>
      </c>
      <c r="B362" s="10" t="inlineStr">
        <is>
          <t>Onsite</t>
        </is>
      </c>
      <c r="C362" s="10">
        <f>IF($BI362="","",IF($B362="Onsite",INDEX(tbl_Onsite[Job Number],$BI362),IF($B362="Production",INDEX(tbl_Production[Job Number],$BI362),INDEX(tbl_Consulting[Job Number],$BI362)))&amp;"")</f>
        <v/>
      </c>
      <c r="D362" s="10">
        <f>IF($BI362="","",IF($B362="Onsite",INDEX(tbl_Onsite[Client],$BI362),IF($B362="Production",INDEX(tbl_Production[Client],$BI362),INDEX(tbl_Consulting[Client],$BI362)))&amp;"")</f>
        <v/>
      </c>
      <c r="E362" s="10">
        <f>IF($C362="","",IF(COUNTIF(lst_Jobs,$C362)&gt;0,"OK","CHECK"))</f>
        <v/>
      </c>
      <c r="F362" s="10">
        <f>IF($C362="","",IFERROR(INDEX(lst_JobName,MATCH($C362,lst_Jobs,0)),""))</f>
        <v/>
      </c>
      <c r="G362" s="10">
        <f>IF($BI362="","",IF($B362="Onsite",INDEX(tbl_Onsite[Job Description],$BI362),IF($B362="Production",INDEX(tbl_Production[Job Description],$BI362),INDEX(tbl_Consulting[Job Description],$BI362)))&amp;"")</f>
        <v/>
      </c>
      <c r="H362" s="10">
        <f>IF($BI362="","",IF($B362="Onsite",INDEX(tbl_Onsite[Cost Centre],$BI362),IF($B362="Production",INDEX(tbl_Production[Cost Centre],$BI362),INDEX(tbl_Consulting[Cost Centre],$BI362)))&amp;"")</f>
        <v/>
      </c>
      <c r="I362" s="10">
        <f>IF($BI362="","",IF($B362="Onsite",INDEX(tbl_Onsite[Invoice Type],$BI362),IF($B362="Production",INDEX(tbl_Production[Invoice Type],$BI362),INDEX(tbl_Consulting[Invoice Type],$BI362)))&amp;"")</f>
        <v/>
      </c>
      <c r="J362" s="10">
        <f>IF($BI362="","",IF($B362="Onsite",INDEX(tbl_Onsite[Tax Code],$BI362),IF($B362="Production",INDEX(tbl_Production[Tax Code],$BI362),INDEX(tbl_Consulting[Tax Code],$BI362)))&amp;"")</f>
        <v/>
      </c>
      <c r="K362" s="10">
        <f>IF(H362="","",IFERROR(INDEX(lst_CCtoGL,MATCH(H362,lst_CCforGL,0)),""))</f>
        <v/>
      </c>
      <c r="L362" s="10">
        <f>IF($BI362="","",IF($B362="Onsite",INDEX(tbl_Onsite[PO / Reference],$BI362),IF($B362="Production",INDEX(tbl_Production[Current RMS No],$BI362),INDEX(tbl_Consulting[Qwilr Quote],$BI362)))&amp;"")</f>
        <v/>
      </c>
      <c r="M362" s="10">
        <f>IF($BI362="","",IF($B362="Onsite",INDEX(tbl_Onsite[Notes],$BI362),IF($B362="Production",INDEX(tbl_Production[Notes],$BI362),INDEX(tbl_Consulting[Notes],$BI362)))&amp;"")</f>
        <v/>
      </c>
      <c r="N362" s="11">
        <f>IF($BI362="","",IF(IF($B362="Onsite",INDEX(tbl_Onsite[Expected Revenue Ex GST],$BI362),IF($B362="Production",INDEX(tbl_Production[Expected Revenue Ex GST],$BI362),INDEX(tbl_Consulting[Expected Revenue Ex GST],$BI362)))="","",IF($B362="Onsite",INDEX(tbl_Onsite[Expected Revenue Ex GST],$BI362),IF($B362="Production",INDEX(tbl_Production[Expected Revenue Ex GST],$BI362),INDEX(tbl_Consulting[Expected Revenue Ex GST],$BI362)))))</f>
        <v/>
      </c>
      <c r="O362" s="11">
        <f>IF(AND($C362="",NOT(COUNTA($S362:$BB362)&gt;0)),"",SUM(U362,X362,AA362,AD362,AG362,AJ362,AM362,AP362,AS362,AV362,AY362,BB362))</f>
        <v/>
      </c>
      <c r="P362" s="11">
        <f>IF(O362="","",N(N362)-O362)</f>
        <v/>
      </c>
      <c r="Q362" s="10">
        <f>IF(O362="","",IF($C362="","Invoice on empty job row",IF(N362="",IF(ROUND(O362,2)=0,"No dept value","Invoiced - no dept value"),IF(ROUND(O362,2)=0,"Not invoiced - to invoice",IF(ROUND(P362,2)=0,"Agrees",IF(P362&gt;0,"Dept higher - to invoice","Xero higher - check dept"))))))</f>
        <v/>
      </c>
      <c r="R362" s="10">
        <f>IF(AND($C362="",NOT(COUNTA($S362:$BB362)&gt;0),$BI362&lt;&gt;""),"",MID(IF($BI362="","; Row ID not found on the department sheet - a row was deleted","")&amp;IF(AND($C362="",COUNTA($S362:$BB362)&gt;0),"; Invoice entered but the department row has no job number","")&amp;IF(E362="CHECK","; Job number not in the Xero job list","")&amp;IF(AND($C362&lt;&gt;"",COUNTIF($C$7:$C$1506,$C362)&gt;1),"; Job number on more than one row","")&amp;IF(AND($C362&lt;&gt;"",H362=""),"; Dept has not set a cost centre","")&amp;IF(AND($C362&lt;&gt;"",J362=""),"; Dept has not set a tax code","")&amp;IF(AND($C362&lt;&gt;"",N362=""),"; Dept has not entered an expected value","")&amp;IF((IF(OR(COUNTA(S362:U362)=0,AND(COUNTA(S362:U362)=3,ISNUMBER(U362))),0,1)+IF(OR(COUNTA(V362:X362)=0,AND(COUNTA(V362:X362)=3,ISNUMBER(X362))),0,1)+IF(OR(COUNTA(Y362:AA362)=0,AND(COUNTA(Y362:AA362)=3,ISNUMBER(AA362))),0,1)+IF(OR(COUNTA(AB362:AD362)=0,AND(COUNTA(AB362:AD362)=3,ISNUMBER(AD362))),0,1)+IF(OR(COUNTA(AE362:AG362)=0,AND(COUNTA(AE362:AG362)=3,ISNUMBER(AG362))),0,1)+IF(OR(COUNTA(AH362:AJ362)=0,AND(COUNTA(AH362:AJ362)=3,ISNUMBER(AJ362))),0,1)+IF(OR(COUNTA(AK362:AM362)=0,AND(COUNTA(AK362:AM362)=3,ISNUMBER(AM362))),0,1)+IF(OR(COUNTA(AN362:AP362)=0,AND(COUNTA(AN362:AP362)=3,ISNUMBER(AP362))),0,1)+IF(OR(COUNTA(AQ362:AS362)=0,AND(COUNTA(AQ362:AS362)=3,ISNUMBER(AS362))),0,1)+IF(OR(COUNTA(AT362:AV362)=0,AND(COUNTA(AT362:AV362)=3,ISNUMBER(AV362))),0,1)+IF(OR(COUNTA(AW362:AY362)=0,AND(COUNTA(AW362:AY362)=3,ISNUMBER(AY362))),0,1)+IF(OR(COUNTA(AZ362:BB362)=0,AND(COUNTA(AZ362:BB362)=3,ISNUMBER(BB362))),0,1))&gt;0,"; An invoice is incomplete (needs No, Date and a number in Ex GST)","")&amp;IF((IF(T362="",0,IFERROR(--(EOMONTH(T362,0)&lt;&gt;S$5),1))+IF(W362="",0,IFERROR(--(EOMONTH(W362,0)&lt;&gt;V$5),1))+IF(Z362="",0,IFERROR(--(EOMONTH(Z362,0)&lt;&gt;Y$5),1))+IF(AC362="",0,IFERROR(--(EOMONTH(AC362,0)&lt;&gt;AB$5),1))+IF(AF362="",0,IFERROR(--(EOMONTH(AF362,0)&lt;&gt;AE$5),1))+IF(AI362="",0,IFERROR(--(EOMONTH(AI362,0)&lt;&gt;AH$5),1))+IF(AL362="",0,IFERROR(--(EOMONTH(AL362,0)&lt;&gt;AK$5),1))+IF(AO362="",0,IFERROR(--(EOMONTH(AO362,0)&lt;&gt;AN$5),1))+IF(AR362="",0,IFERROR(--(EOMONTH(AR362,0)&lt;&gt;AQ$5),1))+IF(AU362="",0,IFERROR(--(EOMONTH(AU362,0)&lt;&gt;AT$5),1))+IF(AX362="",0,IFERROR(--(EOMONTH(AX362,0)&lt;&gt;AW$5),1))+IF(BA362="",0,IFERROR(--(EOMONTH(BA362,0)&lt;&gt;AZ$5),1)))&gt;0,"; An invoice date is not in the month it is typed under",""),3,500))</f>
        <v/>
      </c>
      <c r="S362" s="12" t="n"/>
      <c r="T362" s="13" t="n"/>
      <c r="U362" s="14" t="n"/>
      <c r="V362" s="12" t="n"/>
      <c r="W362" s="13" t="n"/>
      <c r="X362" s="14" t="n"/>
      <c r="Y362" s="12" t="n"/>
      <c r="Z362" s="13" t="n"/>
      <c r="AA362" s="14" t="n"/>
      <c r="AB362" s="12" t="n"/>
      <c r="AC362" s="13" t="n"/>
      <c r="AD362" s="14" t="n"/>
      <c r="AE362" s="12" t="n"/>
      <c r="AF362" s="13" t="n"/>
      <c r="AG362" s="14" t="n"/>
      <c r="AH362" s="12" t="n"/>
      <c r="AI362" s="13" t="n"/>
      <c r="AJ362" s="14" t="n"/>
      <c r="AK362" s="12" t="n"/>
      <c r="AL362" s="13" t="n"/>
      <c r="AM362" s="14" t="n"/>
      <c r="AN362" s="12" t="n"/>
      <c r="AO362" s="13" t="n"/>
      <c r="AP362" s="14" t="n"/>
      <c r="AQ362" s="12" t="n"/>
      <c r="AR362" s="13" t="n"/>
      <c r="AS362" s="14" t="n"/>
      <c r="AT362" s="12" t="n"/>
      <c r="AU362" s="13" t="n"/>
      <c r="AV362" s="14" t="n"/>
      <c r="AW362" s="12" t="n"/>
      <c r="AX362" s="13" t="n"/>
      <c r="AY362" s="14" t="n"/>
      <c r="AZ362" s="12" t="n"/>
      <c r="BA362" s="13" t="n"/>
      <c r="BB362" s="14" t="n"/>
      <c r="BC362" s="11">
        <f>IF(O362="","",IF(J362="GST 10%",ROUND(O362*set_GSTRate,2),0))</f>
        <v/>
      </c>
      <c r="BD362" s="11">
        <f>IF(O362="","",O362+BC362)</f>
        <v/>
      </c>
      <c r="BE362" s="15">
        <f>IF(O362="","",COUNTA(S362,V362,Y362,AB362,AE362,AH362,AK362,AN362,AQ362,AT362,AW362,AZ362))</f>
        <v/>
      </c>
      <c r="BF362" s="16">
        <f>IF(COUNT(T362,W362,Z362,AC362,AF362,AI362,AL362,AO362,AR362,AU362,AX362,BA362)=0,"",MAX(T362,W362,Z362,AC362,AF362,AI362,AL362,AO362,AR362,AU362,AX362,BA362))</f>
        <v/>
      </c>
      <c r="BG362" s="10">
        <f>MID(IF(S362="","",", "&amp;S362)&amp;IF(V362="","",", "&amp;V362)&amp;IF(Y362="","",", "&amp;Y362)&amp;IF(AB362="","",", "&amp;AB362)&amp;IF(AE362="","",", "&amp;AE362)&amp;IF(AH362="","",", "&amp;AH362)&amp;IF(AK362="","",", "&amp;AK362)&amp;IF(AN362="","",", "&amp;AN362)&amp;IF(AQ362="","",", "&amp;AQ362)&amp;IF(AT362="","",", "&amp;AT362)&amp;IF(AW362="","",", "&amp;AW362)&amp;IF(AZ362="","",", "&amp;AZ362),3,500)</f>
        <v/>
      </c>
      <c r="BH362" s="12" t="n"/>
      <c r="BI362" s="15">
        <f>IFERROR(MATCH($A362,IF($B362="Onsite",tbl_Onsite[Row ID],IF($B362="Production",tbl_Production[Row ID],tbl_Consulting[Row ID])),0),"")</f>
        <v/>
      </c>
    </row>
    <row r="363">
      <c r="A363" s="10" t="inlineStr">
        <is>
          <t>ONS-0357</t>
        </is>
      </c>
      <c r="B363" s="10" t="inlineStr">
        <is>
          <t>Onsite</t>
        </is>
      </c>
      <c r="C363" s="10">
        <f>IF($BI363="","",IF($B363="Onsite",INDEX(tbl_Onsite[Job Number],$BI363),IF($B363="Production",INDEX(tbl_Production[Job Number],$BI363),INDEX(tbl_Consulting[Job Number],$BI363)))&amp;"")</f>
        <v/>
      </c>
      <c r="D363" s="10">
        <f>IF($BI363="","",IF($B363="Onsite",INDEX(tbl_Onsite[Client],$BI363),IF($B363="Production",INDEX(tbl_Production[Client],$BI363),INDEX(tbl_Consulting[Client],$BI363)))&amp;"")</f>
        <v/>
      </c>
      <c r="E363" s="10">
        <f>IF($C363="","",IF(COUNTIF(lst_Jobs,$C363)&gt;0,"OK","CHECK"))</f>
        <v/>
      </c>
      <c r="F363" s="10">
        <f>IF($C363="","",IFERROR(INDEX(lst_JobName,MATCH($C363,lst_Jobs,0)),""))</f>
        <v/>
      </c>
      <c r="G363" s="10">
        <f>IF($BI363="","",IF($B363="Onsite",INDEX(tbl_Onsite[Job Description],$BI363),IF($B363="Production",INDEX(tbl_Production[Job Description],$BI363),INDEX(tbl_Consulting[Job Description],$BI363)))&amp;"")</f>
        <v/>
      </c>
      <c r="H363" s="10">
        <f>IF($BI363="","",IF($B363="Onsite",INDEX(tbl_Onsite[Cost Centre],$BI363),IF($B363="Production",INDEX(tbl_Production[Cost Centre],$BI363),INDEX(tbl_Consulting[Cost Centre],$BI363)))&amp;"")</f>
        <v/>
      </c>
      <c r="I363" s="10">
        <f>IF($BI363="","",IF($B363="Onsite",INDEX(tbl_Onsite[Invoice Type],$BI363),IF($B363="Production",INDEX(tbl_Production[Invoice Type],$BI363),INDEX(tbl_Consulting[Invoice Type],$BI363)))&amp;"")</f>
        <v/>
      </c>
      <c r="J363" s="10">
        <f>IF($BI363="","",IF($B363="Onsite",INDEX(tbl_Onsite[Tax Code],$BI363),IF($B363="Production",INDEX(tbl_Production[Tax Code],$BI363),INDEX(tbl_Consulting[Tax Code],$BI363)))&amp;"")</f>
        <v/>
      </c>
      <c r="K363" s="10">
        <f>IF(H363="","",IFERROR(INDEX(lst_CCtoGL,MATCH(H363,lst_CCforGL,0)),""))</f>
        <v/>
      </c>
      <c r="L363" s="10">
        <f>IF($BI363="","",IF($B363="Onsite",INDEX(tbl_Onsite[PO / Reference],$BI363),IF($B363="Production",INDEX(tbl_Production[Current RMS No],$BI363),INDEX(tbl_Consulting[Qwilr Quote],$BI363)))&amp;"")</f>
        <v/>
      </c>
      <c r="M363" s="10">
        <f>IF($BI363="","",IF($B363="Onsite",INDEX(tbl_Onsite[Notes],$BI363),IF($B363="Production",INDEX(tbl_Production[Notes],$BI363),INDEX(tbl_Consulting[Notes],$BI363)))&amp;"")</f>
        <v/>
      </c>
      <c r="N363" s="11">
        <f>IF($BI363="","",IF(IF($B363="Onsite",INDEX(tbl_Onsite[Expected Revenue Ex GST],$BI363),IF($B363="Production",INDEX(tbl_Production[Expected Revenue Ex GST],$BI363),INDEX(tbl_Consulting[Expected Revenue Ex GST],$BI363)))="","",IF($B363="Onsite",INDEX(tbl_Onsite[Expected Revenue Ex GST],$BI363),IF($B363="Production",INDEX(tbl_Production[Expected Revenue Ex GST],$BI363),INDEX(tbl_Consulting[Expected Revenue Ex GST],$BI363)))))</f>
        <v/>
      </c>
      <c r="O363" s="11">
        <f>IF(AND($C363="",NOT(COUNTA($S363:$BB363)&gt;0)),"",SUM(U363,X363,AA363,AD363,AG363,AJ363,AM363,AP363,AS363,AV363,AY363,BB363))</f>
        <v/>
      </c>
      <c r="P363" s="11">
        <f>IF(O363="","",N(N363)-O363)</f>
        <v/>
      </c>
      <c r="Q363" s="10">
        <f>IF(O363="","",IF($C363="","Invoice on empty job row",IF(N363="",IF(ROUND(O363,2)=0,"No dept value","Invoiced - no dept value"),IF(ROUND(O363,2)=0,"Not invoiced - to invoice",IF(ROUND(P363,2)=0,"Agrees",IF(P363&gt;0,"Dept higher - to invoice","Xero higher - check dept"))))))</f>
        <v/>
      </c>
      <c r="R363" s="10">
        <f>IF(AND($C363="",NOT(COUNTA($S363:$BB363)&gt;0),$BI363&lt;&gt;""),"",MID(IF($BI363="","; Row ID not found on the department sheet - a row was deleted","")&amp;IF(AND($C363="",COUNTA($S363:$BB363)&gt;0),"; Invoice entered but the department row has no job number","")&amp;IF(E363="CHECK","; Job number not in the Xero job list","")&amp;IF(AND($C363&lt;&gt;"",COUNTIF($C$7:$C$1506,$C363)&gt;1),"; Job number on more than one row","")&amp;IF(AND($C363&lt;&gt;"",H363=""),"; Dept has not set a cost centre","")&amp;IF(AND($C363&lt;&gt;"",J363=""),"; Dept has not set a tax code","")&amp;IF(AND($C363&lt;&gt;"",N363=""),"; Dept has not entered an expected value","")&amp;IF((IF(OR(COUNTA(S363:U363)=0,AND(COUNTA(S363:U363)=3,ISNUMBER(U363))),0,1)+IF(OR(COUNTA(V363:X363)=0,AND(COUNTA(V363:X363)=3,ISNUMBER(X363))),0,1)+IF(OR(COUNTA(Y363:AA363)=0,AND(COUNTA(Y363:AA363)=3,ISNUMBER(AA363))),0,1)+IF(OR(COUNTA(AB363:AD363)=0,AND(COUNTA(AB363:AD363)=3,ISNUMBER(AD363))),0,1)+IF(OR(COUNTA(AE363:AG363)=0,AND(COUNTA(AE363:AG363)=3,ISNUMBER(AG363))),0,1)+IF(OR(COUNTA(AH363:AJ363)=0,AND(COUNTA(AH363:AJ363)=3,ISNUMBER(AJ363))),0,1)+IF(OR(COUNTA(AK363:AM363)=0,AND(COUNTA(AK363:AM363)=3,ISNUMBER(AM363))),0,1)+IF(OR(COUNTA(AN363:AP363)=0,AND(COUNTA(AN363:AP363)=3,ISNUMBER(AP363))),0,1)+IF(OR(COUNTA(AQ363:AS363)=0,AND(COUNTA(AQ363:AS363)=3,ISNUMBER(AS363))),0,1)+IF(OR(COUNTA(AT363:AV363)=0,AND(COUNTA(AT363:AV363)=3,ISNUMBER(AV363))),0,1)+IF(OR(COUNTA(AW363:AY363)=0,AND(COUNTA(AW363:AY363)=3,ISNUMBER(AY363))),0,1)+IF(OR(COUNTA(AZ363:BB363)=0,AND(COUNTA(AZ363:BB363)=3,ISNUMBER(BB363))),0,1))&gt;0,"; An invoice is incomplete (needs No, Date and a number in Ex GST)","")&amp;IF((IF(T363="",0,IFERROR(--(EOMONTH(T363,0)&lt;&gt;S$5),1))+IF(W363="",0,IFERROR(--(EOMONTH(W363,0)&lt;&gt;V$5),1))+IF(Z363="",0,IFERROR(--(EOMONTH(Z363,0)&lt;&gt;Y$5),1))+IF(AC363="",0,IFERROR(--(EOMONTH(AC363,0)&lt;&gt;AB$5),1))+IF(AF363="",0,IFERROR(--(EOMONTH(AF363,0)&lt;&gt;AE$5),1))+IF(AI363="",0,IFERROR(--(EOMONTH(AI363,0)&lt;&gt;AH$5),1))+IF(AL363="",0,IFERROR(--(EOMONTH(AL363,0)&lt;&gt;AK$5),1))+IF(AO363="",0,IFERROR(--(EOMONTH(AO363,0)&lt;&gt;AN$5),1))+IF(AR363="",0,IFERROR(--(EOMONTH(AR363,0)&lt;&gt;AQ$5),1))+IF(AU363="",0,IFERROR(--(EOMONTH(AU363,0)&lt;&gt;AT$5),1))+IF(AX363="",0,IFERROR(--(EOMONTH(AX363,0)&lt;&gt;AW$5),1))+IF(BA363="",0,IFERROR(--(EOMONTH(BA363,0)&lt;&gt;AZ$5),1)))&gt;0,"; An invoice date is not in the month it is typed under",""),3,500))</f>
        <v/>
      </c>
      <c r="S363" s="12" t="n"/>
      <c r="T363" s="13" t="n"/>
      <c r="U363" s="14" t="n"/>
      <c r="V363" s="12" t="n"/>
      <c r="W363" s="13" t="n"/>
      <c r="X363" s="14" t="n"/>
      <c r="Y363" s="12" t="n"/>
      <c r="Z363" s="13" t="n"/>
      <c r="AA363" s="14" t="n"/>
      <c r="AB363" s="12" t="n"/>
      <c r="AC363" s="13" t="n"/>
      <c r="AD363" s="14" t="n"/>
      <c r="AE363" s="12" t="n"/>
      <c r="AF363" s="13" t="n"/>
      <c r="AG363" s="14" t="n"/>
      <c r="AH363" s="12" t="n"/>
      <c r="AI363" s="13" t="n"/>
      <c r="AJ363" s="14" t="n"/>
      <c r="AK363" s="12" t="n"/>
      <c r="AL363" s="13" t="n"/>
      <c r="AM363" s="14" t="n"/>
      <c r="AN363" s="12" t="n"/>
      <c r="AO363" s="13" t="n"/>
      <c r="AP363" s="14" t="n"/>
      <c r="AQ363" s="12" t="n"/>
      <c r="AR363" s="13" t="n"/>
      <c r="AS363" s="14" t="n"/>
      <c r="AT363" s="12" t="n"/>
      <c r="AU363" s="13" t="n"/>
      <c r="AV363" s="14" t="n"/>
      <c r="AW363" s="12" t="n"/>
      <c r="AX363" s="13" t="n"/>
      <c r="AY363" s="14" t="n"/>
      <c r="AZ363" s="12" t="n"/>
      <c r="BA363" s="13" t="n"/>
      <c r="BB363" s="14" t="n"/>
      <c r="BC363" s="11">
        <f>IF(O363="","",IF(J363="GST 10%",ROUND(O363*set_GSTRate,2),0))</f>
        <v/>
      </c>
      <c r="BD363" s="11">
        <f>IF(O363="","",O363+BC363)</f>
        <v/>
      </c>
      <c r="BE363" s="15">
        <f>IF(O363="","",COUNTA(S363,V363,Y363,AB363,AE363,AH363,AK363,AN363,AQ363,AT363,AW363,AZ363))</f>
        <v/>
      </c>
      <c r="BF363" s="16">
        <f>IF(COUNT(T363,W363,Z363,AC363,AF363,AI363,AL363,AO363,AR363,AU363,AX363,BA363)=0,"",MAX(T363,W363,Z363,AC363,AF363,AI363,AL363,AO363,AR363,AU363,AX363,BA363))</f>
        <v/>
      </c>
      <c r="BG363" s="10">
        <f>MID(IF(S363="","",", "&amp;S363)&amp;IF(V363="","",", "&amp;V363)&amp;IF(Y363="","",", "&amp;Y363)&amp;IF(AB363="","",", "&amp;AB363)&amp;IF(AE363="","",", "&amp;AE363)&amp;IF(AH363="","",", "&amp;AH363)&amp;IF(AK363="","",", "&amp;AK363)&amp;IF(AN363="","",", "&amp;AN363)&amp;IF(AQ363="","",", "&amp;AQ363)&amp;IF(AT363="","",", "&amp;AT363)&amp;IF(AW363="","",", "&amp;AW363)&amp;IF(AZ363="","",", "&amp;AZ363),3,500)</f>
        <v/>
      </c>
      <c r="BH363" s="12" t="n"/>
      <c r="BI363" s="15">
        <f>IFERROR(MATCH($A363,IF($B363="Onsite",tbl_Onsite[Row ID],IF($B363="Production",tbl_Production[Row ID],tbl_Consulting[Row ID])),0),"")</f>
        <v/>
      </c>
    </row>
    <row r="364">
      <c r="A364" s="10" t="inlineStr">
        <is>
          <t>ONS-0358</t>
        </is>
      </c>
      <c r="B364" s="10" t="inlineStr">
        <is>
          <t>Onsite</t>
        </is>
      </c>
      <c r="C364" s="10">
        <f>IF($BI364="","",IF($B364="Onsite",INDEX(tbl_Onsite[Job Number],$BI364),IF($B364="Production",INDEX(tbl_Production[Job Number],$BI364),INDEX(tbl_Consulting[Job Number],$BI364)))&amp;"")</f>
        <v/>
      </c>
      <c r="D364" s="10">
        <f>IF($BI364="","",IF($B364="Onsite",INDEX(tbl_Onsite[Client],$BI364),IF($B364="Production",INDEX(tbl_Production[Client],$BI364),INDEX(tbl_Consulting[Client],$BI364)))&amp;"")</f>
        <v/>
      </c>
      <c r="E364" s="10">
        <f>IF($C364="","",IF(COUNTIF(lst_Jobs,$C364)&gt;0,"OK","CHECK"))</f>
        <v/>
      </c>
      <c r="F364" s="10">
        <f>IF($C364="","",IFERROR(INDEX(lst_JobName,MATCH($C364,lst_Jobs,0)),""))</f>
        <v/>
      </c>
      <c r="G364" s="10">
        <f>IF($BI364="","",IF($B364="Onsite",INDEX(tbl_Onsite[Job Description],$BI364),IF($B364="Production",INDEX(tbl_Production[Job Description],$BI364),INDEX(tbl_Consulting[Job Description],$BI364)))&amp;"")</f>
        <v/>
      </c>
      <c r="H364" s="10">
        <f>IF($BI364="","",IF($B364="Onsite",INDEX(tbl_Onsite[Cost Centre],$BI364),IF($B364="Production",INDEX(tbl_Production[Cost Centre],$BI364),INDEX(tbl_Consulting[Cost Centre],$BI364)))&amp;"")</f>
        <v/>
      </c>
      <c r="I364" s="10">
        <f>IF($BI364="","",IF($B364="Onsite",INDEX(tbl_Onsite[Invoice Type],$BI364),IF($B364="Production",INDEX(tbl_Production[Invoice Type],$BI364),INDEX(tbl_Consulting[Invoice Type],$BI364)))&amp;"")</f>
        <v/>
      </c>
      <c r="J364" s="10">
        <f>IF($BI364="","",IF($B364="Onsite",INDEX(tbl_Onsite[Tax Code],$BI364),IF($B364="Production",INDEX(tbl_Production[Tax Code],$BI364),INDEX(tbl_Consulting[Tax Code],$BI364)))&amp;"")</f>
        <v/>
      </c>
      <c r="K364" s="10">
        <f>IF(H364="","",IFERROR(INDEX(lst_CCtoGL,MATCH(H364,lst_CCforGL,0)),""))</f>
        <v/>
      </c>
      <c r="L364" s="10">
        <f>IF($BI364="","",IF($B364="Onsite",INDEX(tbl_Onsite[PO / Reference],$BI364),IF($B364="Production",INDEX(tbl_Production[Current RMS No],$BI364),INDEX(tbl_Consulting[Qwilr Quote],$BI364)))&amp;"")</f>
        <v/>
      </c>
      <c r="M364" s="10">
        <f>IF($BI364="","",IF($B364="Onsite",INDEX(tbl_Onsite[Notes],$BI364),IF($B364="Production",INDEX(tbl_Production[Notes],$BI364),INDEX(tbl_Consulting[Notes],$BI364)))&amp;"")</f>
        <v/>
      </c>
      <c r="N364" s="11">
        <f>IF($BI364="","",IF(IF($B364="Onsite",INDEX(tbl_Onsite[Expected Revenue Ex GST],$BI364),IF($B364="Production",INDEX(tbl_Production[Expected Revenue Ex GST],$BI364),INDEX(tbl_Consulting[Expected Revenue Ex GST],$BI364)))="","",IF($B364="Onsite",INDEX(tbl_Onsite[Expected Revenue Ex GST],$BI364),IF($B364="Production",INDEX(tbl_Production[Expected Revenue Ex GST],$BI364),INDEX(tbl_Consulting[Expected Revenue Ex GST],$BI364)))))</f>
        <v/>
      </c>
      <c r="O364" s="11">
        <f>IF(AND($C364="",NOT(COUNTA($S364:$BB364)&gt;0)),"",SUM(U364,X364,AA364,AD364,AG364,AJ364,AM364,AP364,AS364,AV364,AY364,BB364))</f>
        <v/>
      </c>
      <c r="P364" s="11">
        <f>IF(O364="","",N(N364)-O364)</f>
        <v/>
      </c>
      <c r="Q364" s="10">
        <f>IF(O364="","",IF($C364="","Invoice on empty job row",IF(N364="",IF(ROUND(O364,2)=0,"No dept value","Invoiced - no dept value"),IF(ROUND(O364,2)=0,"Not invoiced - to invoice",IF(ROUND(P364,2)=0,"Agrees",IF(P364&gt;0,"Dept higher - to invoice","Xero higher - check dept"))))))</f>
        <v/>
      </c>
      <c r="R364" s="10">
        <f>IF(AND($C364="",NOT(COUNTA($S364:$BB364)&gt;0),$BI364&lt;&gt;""),"",MID(IF($BI364="","; Row ID not found on the department sheet - a row was deleted","")&amp;IF(AND($C364="",COUNTA($S364:$BB364)&gt;0),"; Invoice entered but the department row has no job number","")&amp;IF(E364="CHECK","; Job number not in the Xero job list","")&amp;IF(AND($C364&lt;&gt;"",COUNTIF($C$7:$C$1506,$C364)&gt;1),"; Job number on more than one row","")&amp;IF(AND($C364&lt;&gt;"",H364=""),"; Dept has not set a cost centre","")&amp;IF(AND($C364&lt;&gt;"",J364=""),"; Dept has not set a tax code","")&amp;IF(AND($C364&lt;&gt;"",N364=""),"; Dept has not entered an expected value","")&amp;IF((IF(OR(COUNTA(S364:U364)=0,AND(COUNTA(S364:U364)=3,ISNUMBER(U364))),0,1)+IF(OR(COUNTA(V364:X364)=0,AND(COUNTA(V364:X364)=3,ISNUMBER(X364))),0,1)+IF(OR(COUNTA(Y364:AA364)=0,AND(COUNTA(Y364:AA364)=3,ISNUMBER(AA364))),0,1)+IF(OR(COUNTA(AB364:AD364)=0,AND(COUNTA(AB364:AD364)=3,ISNUMBER(AD364))),0,1)+IF(OR(COUNTA(AE364:AG364)=0,AND(COUNTA(AE364:AG364)=3,ISNUMBER(AG364))),0,1)+IF(OR(COUNTA(AH364:AJ364)=0,AND(COUNTA(AH364:AJ364)=3,ISNUMBER(AJ364))),0,1)+IF(OR(COUNTA(AK364:AM364)=0,AND(COUNTA(AK364:AM364)=3,ISNUMBER(AM364))),0,1)+IF(OR(COUNTA(AN364:AP364)=0,AND(COUNTA(AN364:AP364)=3,ISNUMBER(AP364))),0,1)+IF(OR(COUNTA(AQ364:AS364)=0,AND(COUNTA(AQ364:AS364)=3,ISNUMBER(AS364))),0,1)+IF(OR(COUNTA(AT364:AV364)=0,AND(COUNTA(AT364:AV364)=3,ISNUMBER(AV364))),0,1)+IF(OR(COUNTA(AW364:AY364)=0,AND(COUNTA(AW364:AY364)=3,ISNUMBER(AY364))),0,1)+IF(OR(COUNTA(AZ364:BB364)=0,AND(COUNTA(AZ364:BB364)=3,ISNUMBER(BB364))),0,1))&gt;0,"; An invoice is incomplete (needs No, Date and a number in Ex GST)","")&amp;IF((IF(T364="",0,IFERROR(--(EOMONTH(T364,0)&lt;&gt;S$5),1))+IF(W364="",0,IFERROR(--(EOMONTH(W364,0)&lt;&gt;V$5),1))+IF(Z364="",0,IFERROR(--(EOMONTH(Z364,0)&lt;&gt;Y$5),1))+IF(AC364="",0,IFERROR(--(EOMONTH(AC364,0)&lt;&gt;AB$5),1))+IF(AF364="",0,IFERROR(--(EOMONTH(AF364,0)&lt;&gt;AE$5),1))+IF(AI364="",0,IFERROR(--(EOMONTH(AI364,0)&lt;&gt;AH$5),1))+IF(AL364="",0,IFERROR(--(EOMONTH(AL364,0)&lt;&gt;AK$5),1))+IF(AO364="",0,IFERROR(--(EOMONTH(AO364,0)&lt;&gt;AN$5),1))+IF(AR364="",0,IFERROR(--(EOMONTH(AR364,0)&lt;&gt;AQ$5),1))+IF(AU364="",0,IFERROR(--(EOMONTH(AU364,0)&lt;&gt;AT$5),1))+IF(AX364="",0,IFERROR(--(EOMONTH(AX364,0)&lt;&gt;AW$5),1))+IF(BA364="",0,IFERROR(--(EOMONTH(BA364,0)&lt;&gt;AZ$5),1)))&gt;0,"; An invoice date is not in the month it is typed under",""),3,500))</f>
        <v/>
      </c>
      <c r="S364" s="12" t="n"/>
      <c r="T364" s="13" t="n"/>
      <c r="U364" s="14" t="n"/>
      <c r="V364" s="12" t="n"/>
      <c r="W364" s="13" t="n"/>
      <c r="X364" s="14" t="n"/>
      <c r="Y364" s="12" t="n"/>
      <c r="Z364" s="13" t="n"/>
      <c r="AA364" s="14" t="n"/>
      <c r="AB364" s="12" t="n"/>
      <c r="AC364" s="13" t="n"/>
      <c r="AD364" s="14" t="n"/>
      <c r="AE364" s="12" t="n"/>
      <c r="AF364" s="13" t="n"/>
      <c r="AG364" s="14" t="n"/>
      <c r="AH364" s="12" t="n"/>
      <c r="AI364" s="13" t="n"/>
      <c r="AJ364" s="14" t="n"/>
      <c r="AK364" s="12" t="n"/>
      <c r="AL364" s="13" t="n"/>
      <c r="AM364" s="14" t="n"/>
      <c r="AN364" s="12" t="n"/>
      <c r="AO364" s="13" t="n"/>
      <c r="AP364" s="14" t="n"/>
      <c r="AQ364" s="12" t="n"/>
      <c r="AR364" s="13" t="n"/>
      <c r="AS364" s="14" t="n"/>
      <c r="AT364" s="12" t="n"/>
      <c r="AU364" s="13" t="n"/>
      <c r="AV364" s="14" t="n"/>
      <c r="AW364" s="12" t="n"/>
      <c r="AX364" s="13" t="n"/>
      <c r="AY364" s="14" t="n"/>
      <c r="AZ364" s="12" t="n"/>
      <c r="BA364" s="13" t="n"/>
      <c r="BB364" s="14" t="n"/>
      <c r="BC364" s="11">
        <f>IF(O364="","",IF(J364="GST 10%",ROUND(O364*set_GSTRate,2),0))</f>
        <v/>
      </c>
      <c r="BD364" s="11">
        <f>IF(O364="","",O364+BC364)</f>
        <v/>
      </c>
      <c r="BE364" s="15">
        <f>IF(O364="","",COUNTA(S364,V364,Y364,AB364,AE364,AH364,AK364,AN364,AQ364,AT364,AW364,AZ364))</f>
        <v/>
      </c>
      <c r="BF364" s="16">
        <f>IF(COUNT(T364,W364,Z364,AC364,AF364,AI364,AL364,AO364,AR364,AU364,AX364,BA364)=0,"",MAX(T364,W364,Z364,AC364,AF364,AI364,AL364,AO364,AR364,AU364,AX364,BA364))</f>
        <v/>
      </c>
      <c r="BG364" s="10">
        <f>MID(IF(S364="","",", "&amp;S364)&amp;IF(V364="","",", "&amp;V364)&amp;IF(Y364="","",", "&amp;Y364)&amp;IF(AB364="","",", "&amp;AB364)&amp;IF(AE364="","",", "&amp;AE364)&amp;IF(AH364="","",", "&amp;AH364)&amp;IF(AK364="","",", "&amp;AK364)&amp;IF(AN364="","",", "&amp;AN364)&amp;IF(AQ364="","",", "&amp;AQ364)&amp;IF(AT364="","",", "&amp;AT364)&amp;IF(AW364="","",", "&amp;AW364)&amp;IF(AZ364="","",", "&amp;AZ364),3,500)</f>
        <v/>
      </c>
      <c r="BH364" s="12" t="n"/>
      <c r="BI364" s="15">
        <f>IFERROR(MATCH($A364,IF($B364="Onsite",tbl_Onsite[Row ID],IF($B364="Production",tbl_Production[Row ID],tbl_Consulting[Row ID])),0),"")</f>
        <v/>
      </c>
    </row>
    <row r="365">
      <c r="A365" s="10" t="inlineStr">
        <is>
          <t>ONS-0359</t>
        </is>
      </c>
      <c r="B365" s="10" t="inlineStr">
        <is>
          <t>Onsite</t>
        </is>
      </c>
      <c r="C365" s="10">
        <f>IF($BI365="","",IF($B365="Onsite",INDEX(tbl_Onsite[Job Number],$BI365),IF($B365="Production",INDEX(tbl_Production[Job Number],$BI365),INDEX(tbl_Consulting[Job Number],$BI365)))&amp;"")</f>
        <v/>
      </c>
      <c r="D365" s="10">
        <f>IF($BI365="","",IF($B365="Onsite",INDEX(tbl_Onsite[Client],$BI365),IF($B365="Production",INDEX(tbl_Production[Client],$BI365),INDEX(tbl_Consulting[Client],$BI365)))&amp;"")</f>
        <v/>
      </c>
      <c r="E365" s="10">
        <f>IF($C365="","",IF(COUNTIF(lst_Jobs,$C365)&gt;0,"OK","CHECK"))</f>
        <v/>
      </c>
      <c r="F365" s="10">
        <f>IF($C365="","",IFERROR(INDEX(lst_JobName,MATCH($C365,lst_Jobs,0)),""))</f>
        <v/>
      </c>
      <c r="G365" s="10">
        <f>IF($BI365="","",IF($B365="Onsite",INDEX(tbl_Onsite[Job Description],$BI365),IF($B365="Production",INDEX(tbl_Production[Job Description],$BI365),INDEX(tbl_Consulting[Job Description],$BI365)))&amp;"")</f>
        <v/>
      </c>
      <c r="H365" s="10">
        <f>IF($BI365="","",IF($B365="Onsite",INDEX(tbl_Onsite[Cost Centre],$BI365),IF($B365="Production",INDEX(tbl_Production[Cost Centre],$BI365),INDEX(tbl_Consulting[Cost Centre],$BI365)))&amp;"")</f>
        <v/>
      </c>
      <c r="I365" s="10">
        <f>IF($BI365="","",IF($B365="Onsite",INDEX(tbl_Onsite[Invoice Type],$BI365),IF($B365="Production",INDEX(tbl_Production[Invoice Type],$BI365),INDEX(tbl_Consulting[Invoice Type],$BI365)))&amp;"")</f>
        <v/>
      </c>
      <c r="J365" s="10">
        <f>IF($BI365="","",IF($B365="Onsite",INDEX(tbl_Onsite[Tax Code],$BI365),IF($B365="Production",INDEX(tbl_Production[Tax Code],$BI365),INDEX(tbl_Consulting[Tax Code],$BI365)))&amp;"")</f>
        <v/>
      </c>
      <c r="K365" s="10">
        <f>IF(H365="","",IFERROR(INDEX(lst_CCtoGL,MATCH(H365,lst_CCforGL,0)),""))</f>
        <v/>
      </c>
      <c r="L365" s="10">
        <f>IF($BI365="","",IF($B365="Onsite",INDEX(tbl_Onsite[PO / Reference],$BI365),IF($B365="Production",INDEX(tbl_Production[Current RMS No],$BI365),INDEX(tbl_Consulting[Qwilr Quote],$BI365)))&amp;"")</f>
        <v/>
      </c>
      <c r="M365" s="10">
        <f>IF($BI365="","",IF($B365="Onsite",INDEX(tbl_Onsite[Notes],$BI365),IF($B365="Production",INDEX(tbl_Production[Notes],$BI365),INDEX(tbl_Consulting[Notes],$BI365)))&amp;"")</f>
        <v/>
      </c>
      <c r="N365" s="11">
        <f>IF($BI365="","",IF(IF($B365="Onsite",INDEX(tbl_Onsite[Expected Revenue Ex GST],$BI365),IF($B365="Production",INDEX(tbl_Production[Expected Revenue Ex GST],$BI365),INDEX(tbl_Consulting[Expected Revenue Ex GST],$BI365)))="","",IF($B365="Onsite",INDEX(tbl_Onsite[Expected Revenue Ex GST],$BI365),IF($B365="Production",INDEX(tbl_Production[Expected Revenue Ex GST],$BI365),INDEX(tbl_Consulting[Expected Revenue Ex GST],$BI365)))))</f>
        <v/>
      </c>
      <c r="O365" s="11">
        <f>IF(AND($C365="",NOT(COUNTA($S365:$BB365)&gt;0)),"",SUM(U365,X365,AA365,AD365,AG365,AJ365,AM365,AP365,AS365,AV365,AY365,BB365))</f>
        <v/>
      </c>
      <c r="P365" s="11">
        <f>IF(O365="","",N(N365)-O365)</f>
        <v/>
      </c>
      <c r="Q365" s="10">
        <f>IF(O365="","",IF($C365="","Invoice on empty job row",IF(N365="",IF(ROUND(O365,2)=0,"No dept value","Invoiced - no dept value"),IF(ROUND(O365,2)=0,"Not invoiced - to invoice",IF(ROUND(P365,2)=0,"Agrees",IF(P365&gt;0,"Dept higher - to invoice","Xero higher - check dept"))))))</f>
        <v/>
      </c>
      <c r="R365" s="10">
        <f>IF(AND($C365="",NOT(COUNTA($S365:$BB365)&gt;0),$BI365&lt;&gt;""),"",MID(IF($BI365="","; Row ID not found on the department sheet - a row was deleted","")&amp;IF(AND($C365="",COUNTA($S365:$BB365)&gt;0),"; Invoice entered but the department row has no job number","")&amp;IF(E365="CHECK","; Job number not in the Xero job list","")&amp;IF(AND($C365&lt;&gt;"",COUNTIF($C$7:$C$1506,$C365)&gt;1),"; Job number on more than one row","")&amp;IF(AND($C365&lt;&gt;"",H365=""),"; Dept has not set a cost centre","")&amp;IF(AND($C365&lt;&gt;"",J365=""),"; Dept has not set a tax code","")&amp;IF(AND($C365&lt;&gt;"",N365=""),"; Dept has not entered an expected value","")&amp;IF((IF(OR(COUNTA(S365:U365)=0,AND(COUNTA(S365:U365)=3,ISNUMBER(U365))),0,1)+IF(OR(COUNTA(V365:X365)=0,AND(COUNTA(V365:X365)=3,ISNUMBER(X365))),0,1)+IF(OR(COUNTA(Y365:AA365)=0,AND(COUNTA(Y365:AA365)=3,ISNUMBER(AA365))),0,1)+IF(OR(COUNTA(AB365:AD365)=0,AND(COUNTA(AB365:AD365)=3,ISNUMBER(AD365))),0,1)+IF(OR(COUNTA(AE365:AG365)=0,AND(COUNTA(AE365:AG365)=3,ISNUMBER(AG365))),0,1)+IF(OR(COUNTA(AH365:AJ365)=0,AND(COUNTA(AH365:AJ365)=3,ISNUMBER(AJ365))),0,1)+IF(OR(COUNTA(AK365:AM365)=0,AND(COUNTA(AK365:AM365)=3,ISNUMBER(AM365))),0,1)+IF(OR(COUNTA(AN365:AP365)=0,AND(COUNTA(AN365:AP365)=3,ISNUMBER(AP365))),0,1)+IF(OR(COUNTA(AQ365:AS365)=0,AND(COUNTA(AQ365:AS365)=3,ISNUMBER(AS365))),0,1)+IF(OR(COUNTA(AT365:AV365)=0,AND(COUNTA(AT365:AV365)=3,ISNUMBER(AV365))),0,1)+IF(OR(COUNTA(AW365:AY365)=0,AND(COUNTA(AW365:AY365)=3,ISNUMBER(AY365))),0,1)+IF(OR(COUNTA(AZ365:BB365)=0,AND(COUNTA(AZ365:BB365)=3,ISNUMBER(BB365))),0,1))&gt;0,"; An invoice is incomplete (needs No, Date and a number in Ex GST)","")&amp;IF((IF(T365="",0,IFERROR(--(EOMONTH(T365,0)&lt;&gt;S$5),1))+IF(W365="",0,IFERROR(--(EOMONTH(W365,0)&lt;&gt;V$5),1))+IF(Z365="",0,IFERROR(--(EOMONTH(Z365,0)&lt;&gt;Y$5),1))+IF(AC365="",0,IFERROR(--(EOMONTH(AC365,0)&lt;&gt;AB$5),1))+IF(AF365="",0,IFERROR(--(EOMONTH(AF365,0)&lt;&gt;AE$5),1))+IF(AI365="",0,IFERROR(--(EOMONTH(AI365,0)&lt;&gt;AH$5),1))+IF(AL365="",0,IFERROR(--(EOMONTH(AL365,0)&lt;&gt;AK$5),1))+IF(AO365="",0,IFERROR(--(EOMONTH(AO365,0)&lt;&gt;AN$5),1))+IF(AR365="",0,IFERROR(--(EOMONTH(AR365,0)&lt;&gt;AQ$5),1))+IF(AU365="",0,IFERROR(--(EOMONTH(AU365,0)&lt;&gt;AT$5),1))+IF(AX365="",0,IFERROR(--(EOMONTH(AX365,0)&lt;&gt;AW$5),1))+IF(BA365="",0,IFERROR(--(EOMONTH(BA365,0)&lt;&gt;AZ$5),1)))&gt;0,"; An invoice date is not in the month it is typed under",""),3,500))</f>
        <v/>
      </c>
      <c r="S365" s="12" t="n"/>
      <c r="T365" s="13" t="n"/>
      <c r="U365" s="14" t="n"/>
      <c r="V365" s="12" t="n"/>
      <c r="W365" s="13" t="n"/>
      <c r="X365" s="14" t="n"/>
      <c r="Y365" s="12" t="n"/>
      <c r="Z365" s="13" t="n"/>
      <c r="AA365" s="14" t="n"/>
      <c r="AB365" s="12" t="n"/>
      <c r="AC365" s="13" t="n"/>
      <c r="AD365" s="14" t="n"/>
      <c r="AE365" s="12" t="n"/>
      <c r="AF365" s="13" t="n"/>
      <c r="AG365" s="14" t="n"/>
      <c r="AH365" s="12" t="n"/>
      <c r="AI365" s="13" t="n"/>
      <c r="AJ365" s="14" t="n"/>
      <c r="AK365" s="12" t="n"/>
      <c r="AL365" s="13" t="n"/>
      <c r="AM365" s="14" t="n"/>
      <c r="AN365" s="12" t="n"/>
      <c r="AO365" s="13" t="n"/>
      <c r="AP365" s="14" t="n"/>
      <c r="AQ365" s="12" t="n"/>
      <c r="AR365" s="13" t="n"/>
      <c r="AS365" s="14" t="n"/>
      <c r="AT365" s="12" t="n"/>
      <c r="AU365" s="13" t="n"/>
      <c r="AV365" s="14" t="n"/>
      <c r="AW365" s="12" t="n"/>
      <c r="AX365" s="13" t="n"/>
      <c r="AY365" s="14" t="n"/>
      <c r="AZ365" s="12" t="n"/>
      <c r="BA365" s="13" t="n"/>
      <c r="BB365" s="14" t="n"/>
      <c r="BC365" s="11">
        <f>IF(O365="","",IF(J365="GST 10%",ROUND(O365*set_GSTRate,2),0))</f>
        <v/>
      </c>
      <c r="BD365" s="11">
        <f>IF(O365="","",O365+BC365)</f>
        <v/>
      </c>
      <c r="BE365" s="15">
        <f>IF(O365="","",COUNTA(S365,V365,Y365,AB365,AE365,AH365,AK365,AN365,AQ365,AT365,AW365,AZ365))</f>
        <v/>
      </c>
      <c r="BF365" s="16">
        <f>IF(COUNT(T365,W365,Z365,AC365,AF365,AI365,AL365,AO365,AR365,AU365,AX365,BA365)=0,"",MAX(T365,W365,Z365,AC365,AF365,AI365,AL365,AO365,AR365,AU365,AX365,BA365))</f>
        <v/>
      </c>
      <c r="BG365" s="10">
        <f>MID(IF(S365="","",", "&amp;S365)&amp;IF(V365="","",", "&amp;V365)&amp;IF(Y365="","",", "&amp;Y365)&amp;IF(AB365="","",", "&amp;AB365)&amp;IF(AE365="","",", "&amp;AE365)&amp;IF(AH365="","",", "&amp;AH365)&amp;IF(AK365="","",", "&amp;AK365)&amp;IF(AN365="","",", "&amp;AN365)&amp;IF(AQ365="","",", "&amp;AQ365)&amp;IF(AT365="","",", "&amp;AT365)&amp;IF(AW365="","",", "&amp;AW365)&amp;IF(AZ365="","",", "&amp;AZ365),3,500)</f>
        <v/>
      </c>
      <c r="BH365" s="12" t="n"/>
      <c r="BI365" s="15">
        <f>IFERROR(MATCH($A365,IF($B365="Onsite",tbl_Onsite[Row ID],IF($B365="Production",tbl_Production[Row ID],tbl_Consulting[Row ID])),0),"")</f>
        <v/>
      </c>
    </row>
    <row r="366">
      <c r="A366" s="10" t="inlineStr">
        <is>
          <t>ONS-0360</t>
        </is>
      </c>
      <c r="B366" s="10" t="inlineStr">
        <is>
          <t>Onsite</t>
        </is>
      </c>
      <c r="C366" s="10">
        <f>IF($BI366="","",IF($B366="Onsite",INDEX(tbl_Onsite[Job Number],$BI366),IF($B366="Production",INDEX(tbl_Production[Job Number],$BI366),INDEX(tbl_Consulting[Job Number],$BI366)))&amp;"")</f>
        <v/>
      </c>
      <c r="D366" s="10">
        <f>IF($BI366="","",IF($B366="Onsite",INDEX(tbl_Onsite[Client],$BI366),IF($B366="Production",INDEX(tbl_Production[Client],$BI366),INDEX(tbl_Consulting[Client],$BI366)))&amp;"")</f>
        <v/>
      </c>
      <c r="E366" s="10">
        <f>IF($C366="","",IF(COUNTIF(lst_Jobs,$C366)&gt;0,"OK","CHECK"))</f>
        <v/>
      </c>
      <c r="F366" s="10">
        <f>IF($C366="","",IFERROR(INDEX(lst_JobName,MATCH($C366,lst_Jobs,0)),""))</f>
        <v/>
      </c>
      <c r="G366" s="10">
        <f>IF($BI366="","",IF($B366="Onsite",INDEX(tbl_Onsite[Job Description],$BI366),IF($B366="Production",INDEX(tbl_Production[Job Description],$BI366),INDEX(tbl_Consulting[Job Description],$BI366)))&amp;"")</f>
        <v/>
      </c>
      <c r="H366" s="10">
        <f>IF($BI366="","",IF($B366="Onsite",INDEX(tbl_Onsite[Cost Centre],$BI366),IF($B366="Production",INDEX(tbl_Production[Cost Centre],$BI366),INDEX(tbl_Consulting[Cost Centre],$BI366)))&amp;"")</f>
        <v/>
      </c>
      <c r="I366" s="10">
        <f>IF($BI366="","",IF($B366="Onsite",INDEX(tbl_Onsite[Invoice Type],$BI366),IF($B366="Production",INDEX(tbl_Production[Invoice Type],$BI366),INDEX(tbl_Consulting[Invoice Type],$BI366)))&amp;"")</f>
        <v/>
      </c>
      <c r="J366" s="10">
        <f>IF($BI366="","",IF($B366="Onsite",INDEX(tbl_Onsite[Tax Code],$BI366),IF($B366="Production",INDEX(tbl_Production[Tax Code],$BI366),INDEX(tbl_Consulting[Tax Code],$BI366)))&amp;"")</f>
        <v/>
      </c>
      <c r="K366" s="10">
        <f>IF(H366="","",IFERROR(INDEX(lst_CCtoGL,MATCH(H366,lst_CCforGL,0)),""))</f>
        <v/>
      </c>
      <c r="L366" s="10">
        <f>IF($BI366="","",IF($B366="Onsite",INDEX(tbl_Onsite[PO / Reference],$BI366),IF($B366="Production",INDEX(tbl_Production[Current RMS No],$BI366),INDEX(tbl_Consulting[Qwilr Quote],$BI366)))&amp;"")</f>
        <v/>
      </c>
      <c r="M366" s="10">
        <f>IF($BI366="","",IF($B366="Onsite",INDEX(tbl_Onsite[Notes],$BI366),IF($B366="Production",INDEX(tbl_Production[Notes],$BI366),INDEX(tbl_Consulting[Notes],$BI366)))&amp;"")</f>
        <v/>
      </c>
      <c r="N366" s="11">
        <f>IF($BI366="","",IF(IF($B366="Onsite",INDEX(tbl_Onsite[Expected Revenue Ex GST],$BI366),IF($B366="Production",INDEX(tbl_Production[Expected Revenue Ex GST],$BI366),INDEX(tbl_Consulting[Expected Revenue Ex GST],$BI366)))="","",IF($B366="Onsite",INDEX(tbl_Onsite[Expected Revenue Ex GST],$BI366),IF($B366="Production",INDEX(tbl_Production[Expected Revenue Ex GST],$BI366),INDEX(tbl_Consulting[Expected Revenue Ex GST],$BI366)))))</f>
        <v/>
      </c>
      <c r="O366" s="11">
        <f>IF(AND($C366="",NOT(COUNTA($S366:$BB366)&gt;0)),"",SUM(U366,X366,AA366,AD366,AG366,AJ366,AM366,AP366,AS366,AV366,AY366,BB366))</f>
        <v/>
      </c>
      <c r="P366" s="11">
        <f>IF(O366="","",N(N366)-O366)</f>
        <v/>
      </c>
      <c r="Q366" s="10">
        <f>IF(O366="","",IF($C366="","Invoice on empty job row",IF(N366="",IF(ROUND(O366,2)=0,"No dept value","Invoiced - no dept value"),IF(ROUND(O366,2)=0,"Not invoiced - to invoice",IF(ROUND(P366,2)=0,"Agrees",IF(P366&gt;0,"Dept higher - to invoice","Xero higher - check dept"))))))</f>
        <v/>
      </c>
      <c r="R366" s="10">
        <f>IF(AND($C366="",NOT(COUNTA($S366:$BB366)&gt;0),$BI366&lt;&gt;""),"",MID(IF($BI366="","; Row ID not found on the department sheet - a row was deleted","")&amp;IF(AND($C366="",COUNTA($S366:$BB366)&gt;0),"; Invoice entered but the department row has no job number","")&amp;IF(E366="CHECK","; Job number not in the Xero job list","")&amp;IF(AND($C366&lt;&gt;"",COUNTIF($C$7:$C$1506,$C366)&gt;1),"; Job number on more than one row","")&amp;IF(AND($C366&lt;&gt;"",H366=""),"; Dept has not set a cost centre","")&amp;IF(AND($C366&lt;&gt;"",J366=""),"; Dept has not set a tax code","")&amp;IF(AND($C366&lt;&gt;"",N366=""),"; Dept has not entered an expected value","")&amp;IF((IF(OR(COUNTA(S366:U366)=0,AND(COUNTA(S366:U366)=3,ISNUMBER(U366))),0,1)+IF(OR(COUNTA(V366:X366)=0,AND(COUNTA(V366:X366)=3,ISNUMBER(X366))),0,1)+IF(OR(COUNTA(Y366:AA366)=0,AND(COUNTA(Y366:AA366)=3,ISNUMBER(AA366))),0,1)+IF(OR(COUNTA(AB366:AD366)=0,AND(COUNTA(AB366:AD366)=3,ISNUMBER(AD366))),0,1)+IF(OR(COUNTA(AE366:AG366)=0,AND(COUNTA(AE366:AG366)=3,ISNUMBER(AG366))),0,1)+IF(OR(COUNTA(AH366:AJ366)=0,AND(COUNTA(AH366:AJ366)=3,ISNUMBER(AJ366))),0,1)+IF(OR(COUNTA(AK366:AM366)=0,AND(COUNTA(AK366:AM366)=3,ISNUMBER(AM366))),0,1)+IF(OR(COUNTA(AN366:AP366)=0,AND(COUNTA(AN366:AP366)=3,ISNUMBER(AP366))),0,1)+IF(OR(COUNTA(AQ366:AS366)=0,AND(COUNTA(AQ366:AS366)=3,ISNUMBER(AS366))),0,1)+IF(OR(COUNTA(AT366:AV366)=0,AND(COUNTA(AT366:AV366)=3,ISNUMBER(AV366))),0,1)+IF(OR(COUNTA(AW366:AY366)=0,AND(COUNTA(AW366:AY366)=3,ISNUMBER(AY366))),0,1)+IF(OR(COUNTA(AZ366:BB366)=0,AND(COUNTA(AZ366:BB366)=3,ISNUMBER(BB366))),0,1))&gt;0,"; An invoice is incomplete (needs No, Date and a number in Ex GST)","")&amp;IF((IF(T366="",0,IFERROR(--(EOMONTH(T366,0)&lt;&gt;S$5),1))+IF(W366="",0,IFERROR(--(EOMONTH(W366,0)&lt;&gt;V$5),1))+IF(Z366="",0,IFERROR(--(EOMONTH(Z366,0)&lt;&gt;Y$5),1))+IF(AC366="",0,IFERROR(--(EOMONTH(AC366,0)&lt;&gt;AB$5),1))+IF(AF366="",0,IFERROR(--(EOMONTH(AF366,0)&lt;&gt;AE$5),1))+IF(AI366="",0,IFERROR(--(EOMONTH(AI366,0)&lt;&gt;AH$5),1))+IF(AL366="",0,IFERROR(--(EOMONTH(AL366,0)&lt;&gt;AK$5),1))+IF(AO366="",0,IFERROR(--(EOMONTH(AO366,0)&lt;&gt;AN$5),1))+IF(AR366="",0,IFERROR(--(EOMONTH(AR366,0)&lt;&gt;AQ$5),1))+IF(AU366="",0,IFERROR(--(EOMONTH(AU366,0)&lt;&gt;AT$5),1))+IF(AX366="",0,IFERROR(--(EOMONTH(AX366,0)&lt;&gt;AW$5),1))+IF(BA366="",0,IFERROR(--(EOMONTH(BA366,0)&lt;&gt;AZ$5),1)))&gt;0,"; An invoice date is not in the month it is typed under",""),3,500))</f>
        <v/>
      </c>
      <c r="S366" s="12" t="n"/>
      <c r="T366" s="13" t="n"/>
      <c r="U366" s="14" t="n"/>
      <c r="V366" s="12" t="n"/>
      <c r="W366" s="13" t="n"/>
      <c r="X366" s="14" t="n"/>
      <c r="Y366" s="12" t="n"/>
      <c r="Z366" s="13" t="n"/>
      <c r="AA366" s="14" t="n"/>
      <c r="AB366" s="12" t="n"/>
      <c r="AC366" s="13" t="n"/>
      <c r="AD366" s="14" t="n"/>
      <c r="AE366" s="12" t="n"/>
      <c r="AF366" s="13" t="n"/>
      <c r="AG366" s="14" t="n"/>
      <c r="AH366" s="12" t="n"/>
      <c r="AI366" s="13" t="n"/>
      <c r="AJ366" s="14" t="n"/>
      <c r="AK366" s="12" t="n"/>
      <c r="AL366" s="13" t="n"/>
      <c r="AM366" s="14" t="n"/>
      <c r="AN366" s="12" t="n"/>
      <c r="AO366" s="13" t="n"/>
      <c r="AP366" s="14" t="n"/>
      <c r="AQ366" s="12" t="n"/>
      <c r="AR366" s="13" t="n"/>
      <c r="AS366" s="14" t="n"/>
      <c r="AT366" s="12" t="n"/>
      <c r="AU366" s="13" t="n"/>
      <c r="AV366" s="14" t="n"/>
      <c r="AW366" s="12" t="n"/>
      <c r="AX366" s="13" t="n"/>
      <c r="AY366" s="14" t="n"/>
      <c r="AZ366" s="12" t="n"/>
      <c r="BA366" s="13" t="n"/>
      <c r="BB366" s="14" t="n"/>
      <c r="BC366" s="11">
        <f>IF(O366="","",IF(J366="GST 10%",ROUND(O366*set_GSTRate,2),0))</f>
        <v/>
      </c>
      <c r="BD366" s="11">
        <f>IF(O366="","",O366+BC366)</f>
        <v/>
      </c>
      <c r="BE366" s="15">
        <f>IF(O366="","",COUNTA(S366,V366,Y366,AB366,AE366,AH366,AK366,AN366,AQ366,AT366,AW366,AZ366))</f>
        <v/>
      </c>
      <c r="BF366" s="16">
        <f>IF(COUNT(T366,W366,Z366,AC366,AF366,AI366,AL366,AO366,AR366,AU366,AX366,BA366)=0,"",MAX(T366,W366,Z366,AC366,AF366,AI366,AL366,AO366,AR366,AU366,AX366,BA366))</f>
        <v/>
      </c>
      <c r="BG366" s="10">
        <f>MID(IF(S366="","",", "&amp;S366)&amp;IF(V366="","",", "&amp;V366)&amp;IF(Y366="","",", "&amp;Y366)&amp;IF(AB366="","",", "&amp;AB366)&amp;IF(AE366="","",", "&amp;AE366)&amp;IF(AH366="","",", "&amp;AH366)&amp;IF(AK366="","",", "&amp;AK366)&amp;IF(AN366="","",", "&amp;AN366)&amp;IF(AQ366="","",", "&amp;AQ366)&amp;IF(AT366="","",", "&amp;AT366)&amp;IF(AW366="","",", "&amp;AW366)&amp;IF(AZ366="","",", "&amp;AZ366),3,500)</f>
        <v/>
      </c>
      <c r="BH366" s="12" t="n"/>
      <c r="BI366" s="15">
        <f>IFERROR(MATCH($A366,IF($B366="Onsite",tbl_Onsite[Row ID],IF($B366="Production",tbl_Production[Row ID],tbl_Consulting[Row ID])),0),"")</f>
        <v/>
      </c>
    </row>
    <row r="367">
      <c r="A367" s="10" t="inlineStr">
        <is>
          <t>ONS-0361</t>
        </is>
      </c>
      <c r="B367" s="10" t="inlineStr">
        <is>
          <t>Onsite</t>
        </is>
      </c>
      <c r="C367" s="10">
        <f>IF($BI367="","",IF($B367="Onsite",INDEX(tbl_Onsite[Job Number],$BI367),IF($B367="Production",INDEX(tbl_Production[Job Number],$BI367),INDEX(tbl_Consulting[Job Number],$BI367)))&amp;"")</f>
        <v/>
      </c>
      <c r="D367" s="10">
        <f>IF($BI367="","",IF($B367="Onsite",INDEX(tbl_Onsite[Client],$BI367),IF($B367="Production",INDEX(tbl_Production[Client],$BI367),INDEX(tbl_Consulting[Client],$BI367)))&amp;"")</f>
        <v/>
      </c>
      <c r="E367" s="10">
        <f>IF($C367="","",IF(COUNTIF(lst_Jobs,$C367)&gt;0,"OK","CHECK"))</f>
        <v/>
      </c>
      <c r="F367" s="10">
        <f>IF($C367="","",IFERROR(INDEX(lst_JobName,MATCH($C367,lst_Jobs,0)),""))</f>
        <v/>
      </c>
      <c r="G367" s="10">
        <f>IF($BI367="","",IF($B367="Onsite",INDEX(tbl_Onsite[Job Description],$BI367),IF($B367="Production",INDEX(tbl_Production[Job Description],$BI367),INDEX(tbl_Consulting[Job Description],$BI367)))&amp;"")</f>
        <v/>
      </c>
      <c r="H367" s="10">
        <f>IF($BI367="","",IF($B367="Onsite",INDEX(tbl_Onsite[Cost Centre],$BI367),IF($B367="Production",INDEX(tbl_Production[Cost Centre],$BI367),INDEX(tbl_Consulting[Cost Centre],$BI367)))&amp;"")</f>
        <v/>
      </c>
      <c r="I367" s="10">
        <f>IF($BI367="","",IF($B367="Onsite",INDEX(tbl_Onsite[Invoice Type],$BI367),IF($B367="Production",INDEX(tbl_Production[Invoice Type],$BI367),INDEX(tbl_Consulting[Invoice Type],$BI367)))&amp;"")</f>
        <v/>
      </c>
      <c r="J367" s="10">
        <f>IF($BI367="","",IF($B367="Onsite",INDEX(tbl_Onsite[Tax Code],$BI367),IF($B367="Production",INDEX(tbl_Production[Tax Code],$BI367),INDEX(tbl_Consulting[Tax Code],$BI367)))&amp;"")</f>
        <v/>
      </c>
      <c r="K367" s="10">
        <f>IF(H367="","",IFERROR(INDEX(lst_CCtoGL,MATCH(H367,lst_CCforGL,0)),""))</f>
        <v/>
      </c>
      <c r="L367" s="10">
        <f>IF($BI367="","",IF($B367="Onsite",INDEX(tbl_Onsite[PO / Reference],$BI367),IF($B367="Production",INDEX(tbl_Production[Current RMS No],$BI367),INDEX(tbl_Consulting[Qwilr Quote],$BI367)))&amp;"")</f>
        <v/>
      </c>
      <c r="M367" s="10">
        <f>IF($BI367="","",IF($B367="Onsite",INDEX(tbl_Onsite[Notes],$BI367),IF($B367="Production",INDEX(tbl_Production[Notes],$BI367),INDEX(tbl_Consulting[Notes],$BI367)))&amp;"")</f>
        <v/>
      </c>
      <c r="N367" s="11">
        <f>IF($BI367="","",IF(IF($B367="Onsite",INDEX(tbl_Onsite[Expected Revenue Ex GST],$BI367),IF($B367="Production",INDEX(tbl_Production[Expected Revenue Ex GST],$BI367),INDEX(tbl_Consulting[Expected Revenue Ex GST],$BI367)))="","",IF($B367="Onsite",INDEX(tbl_Onsite[Expected Revenue Ex GST],$BI367),IF($B367="Production",INDEX(tbl_Production[Expected Revenue Ex GST],$BI367),INDEX(tbl_Consulting[Expected Revenue Ex GST],$BI367)))))</f>
        <v/>
      </c>
      <c r="O367" s="11">
        <f>IF(AND($C367="",NOT(COUNTA($S367:$BB367)&gt;0)),"",SUM(U367,X367,AA367,AD367,AG367,AJ367,AM367,AP367,AS367,AV367,AY367,BB367))</f>
        <v/>
      </c>
      <c r="P367" s="11">
        <f>IF(O367="","",N(N367)-O367)</f>
        <v/>
      </c>
      <c r="Q367" s="10">
        <f>IF(O367="","",IF($C367="","Invoice on empty job row",IF(N367="",IF(ROUND(O367,2)=0,"No dept value","Invoiced - no dept value"),IF(ROUND(O367,2)=0,"Not invoiced - to invoice",IF(ROUND(P367,2)=0,"Agrees",IF(P367&gt;0,"Dept higher - to invoice","Xero higher - check dept"))))))</f>
        <v/>
      </c>
      <c r="R367" s="10">
        <f>IF(AND($C367="",NOT(COUNTA($S367:$BB367)&gt;0),$BI367&lt;&gt;""),"",MID(IF($BI367="","; Row ID not found on the department sheet - a row was deleted","")&amp;IF(AND($C367="",COUNTA($S367:$BB367)&gt;0),"; Invoice entered but the department row has no job number","")&amp;IF(E367="CHECK","; Job number not in the Xero job list","")&amp;IF(AND($C367&lt;&gt;"",COUNTIF($C$7:$C$1506,$C367)&gt;1),"; Job number on more than one row","")&amp;IF(AND($C367&lt;&gt;"",H367=""),"; Dept has not set a cost centre","")&amp;IF(AND($C367&lt;&gt;"",J367=""),"; Dept has not set a tax code","")&amp;IF(AND($C367&lt;&gt;"",N367=""),"; Dept has not entered an expected value","")&amp;IF((IF(OR(COUNTA(S367:U367)=0,AND(COUNTA(S367:U367)=3,ISNUMBER(U367))),0,1)+IF(OR(COUNTA(V367:X367)=0,AND(COUNTA(V367:X367)=3,ISNUMBER(X367))),0,1)+IF(OR(COUNTA(Y367:AA367)=0,AND(COUNTA(Y367:AA367)=3,ISNUMBER(AA367))),0,1)+IF(OR(COUNTA(AB367:AD367)=0,AND(COUNTA(AB367:AD367)=3,ISNUMBER(AD367))),0,1)+IF(OR(COUNTA(AE367:AG367)=0,AND(COUNTA(AE367:AG367)=3,ISNUMBER(AG367))),0,1)+IF(OR(COUNTA(AH367:AJ367)=0,AND(COUNTA(AH367:AJ367)=3,ISNUMBER(AJ367))),0,1)+IF(OR(COUNTA(AK367:AM367)=0,AND(COUNTA(AK367:AM367)=3,ISNUMBER(AM367))),0,1)+IF(OR(COUNTA(AN367:AP367)=0,AND(COUNTA(AN367:AP367)=3,ISNUMBER(AP367))),0,1)+IF(OR(COUNTA(AQ367:AS367)=0,AND(COUNTA(AQ367:AS367)=3,ISNUMBER(AS367))),0,1)+IF(OR(COUNTA(AT367:AV367)=0,AND(COUNTA(AT367:AV367)=3,ISNUMBER(AV367))),0,1)+IF(OR(COUNTA(AW367:AY367)=0,AND(COUNTA(AW367:AY367)=3,ISNUMBER(AY367))),0,1)+IF(OR(COUNTA(AZ367:BB367)=0,AND(COUNTA(AZ367:BB367)=3,ISNUMBER(BB367))),0,1))&gt;0,"; An invoice is incomplete (needs No, Date and a number in Ex GST)","")&amp;IF((IF(T367="",0,IFERROR(--(EOMONTH(T367,0)&lt;&gt;S$5),1))+IF(W367="",0,IFERROR(--(EOMONTH(W367,0)&lt;&gt;V$5),1))+IF(Z367="",0,IFERROR(--(EOMONTH(Z367,0)&lt;&gt;Y$5),1))+IF(AC367="",0,IFERROR(--(EOMONTH(AC367,0)&lt;&gt;AB$5),1))+IF(AF367="",0,IFERROR(--(EOMONTH(AF367,0)&lt;&gt;AE$5),1))+IF(AI367="",0,IFERROR(--(EOMONTH(AI367,0)&lt;&gt;AH$5),1))+IF(AL367="",0,IFERROR(--(EOMONTH(AL367,0)&lt;&gt;AK$5),1))+IF(AO367="",0,IFERROR(--(EOMONTH(AO367,0)&lt;&gt;AN$5),1))+IF(AR367="",0,IFERROR(--(EOMONTH(AR367,0)&lt;&gt;AQ$5),1))+IF(AU367="",0,IFERROR(--(EOMONTH(AU367,0)&lt;&gt;AT$5),1))+IF(AX367="",0,IFERROR(--(EOMONTH(AX367,0)&lt;&gt;AW$5),1))+IF(BA367="",0,IFERROR(--(EOMONTH(BA367,0)&lt;&gt;AZ$5),1)))&gt;0,"; An invoice date is not in the month it is typed under",""),3,500))</f>
        <v/>
      </c>
      <c r="S367" s="12" t="n"/>
      <c r="T367" s="13" t="n"/>
      <c r="U367" s="14" t="n"/>
      <c r="V367" s="12" t="n"/>
      <c r="W367" s="13" t="n"/>
      <c r="X367" s="14" t="n"/>
      <c r="Y367" s="12" t="n"/>
      <c r="Z367" s="13" t="n"/>
      <c r="AA367" s="14" t="n"/>
      <c r="AB367" s="12" t="n"/>
      <c r="AC367" s="13" t="n"/>
      <c r="AD367" s="14" t="n"/>
      <c r="AE367" s="12" t="n"/>
      <c r="AF367" s="13" t="n"/>
      <c r="AG367" s="14" t="n"/>
      <c r="AH367" s="12" t="n"/>
      <c r="AI367" s="13" t="n"/>
      <c r="AJ367" s="14" t="n"/>
      <c r="AK367" s="12" t="n"/>
      <c r="AL367" s="13" t="n"/>
      <c r="AM367" s="14" t="n"/>
      <c r="AN367" s="12" t="n"/>
      <c r="AO367" s="13" t="n"/>
      <c r="AP367" s="14" t="n"/>
      <c r="AQ367" s="12" t="n"/>
      <c r="AR367" s="13" t="n"/>
      <c r="AS367" s="14" t="n"/>
      <c r="AT367" s="12" t="n"/>
      <c r="AU367" s="13" t="n"/>
      <c r="AV367" s="14" t="n"/>
      <c r="AW367" s="12" t="n"/>
      <c r="AX367" s="13" t="n"/>
      <c r="AY367" s="14" t="n"/>
      <c r="AZ367" s="12" t="n"/>
      <c r="BA367" s="13" t="n"/>
      <c r="BB367" s="14" t="n"/>
      <c r="BC367" s="11">
        <f>IF(O367="","",IF(J367="GST 10%",ROUND(O367*set_GSTRate,2),0))</f>
        <v/>
      </c>
      <c r="BD367" s="11">
        <f>IF(O367="","",O367+BC367)</f>
        <v/>
      </c>
      <c r="BE367" s="15">
        <f>IF(O367="","",COUNTA(S367,V367,Y367,AB367,AE367,AH367,AK367,AN367,AQ367,AT367,AW367,AZ367))</f>
        <v/>
      </c>
      <c r="BF367" s="16">
        <f>IF(COUNT(T367,W367,Z367,AC367,AF367,AI367,AL367,AO367,AR367,AU367,AX367,BA367)=0,"",MAX(T367,W367,Z367,AC367,AF367,AI367,AL367,AO367,AR367,AU367,AX367,BA367))</f>
        <v/>
      </c>
      <c r="BG367" s="10">
        <f>MID(IF(S367="","",", "&amp;S367)&amp;IF(V367="","",", "&amp;V367)&amp;IF(Y367="","",", "&amp;Y367)&amp;IF(AB367="","",", "&amp;AB367)&amp;IF(AE367="","",", "&amp;AE367)&amp;IF(AH367="","",", "&amp;AH367)&amp;IF(AK367="","",", "&amp;AK367)&amp;IF(AN367="","",", "&amp;AN367)&amp;IF(AQ367="","",", "&amp;AQ367)&amp;IF(AT367="","",", "&amp;AT367)&amp;IF(AW367="","",", "&amp;AW367)&amp;IF(AZ367="","",", "&amp;AZ367),3,500)</f>
        <v/>
      </c>
      <c r="BH367" s="12" t="n"/>
      <c r="BI367" s="15">
        <f>IFERROR(MATCH($A367,IF($B367="Onsite",tbl_Onsite[Row ID],IF($B367="Production",tbl_Production[Row ID],tbl_Consulting[Row ID])),0),"")</f>
        <v/>
      </c>
    </row>
    <row r="368">
      <c r="A368" s="10" t="inlineStr">
        <is>
          <t>ONS-0362</t>
        </is>
      </c>
      <c r="B368" s="10" t="inlineStr">
        <is>
          <t>Onsite</t>
        </is>
      </c>
      <c r="C368" s="10">
        <f>IF($BI368="","",IF($B368="Onsite",INDEX(tbl_Onsite[Job Number],$BI368),IF($B368="Production",INDEX(tbl_Production[Job Number],$BI368),INDEX(tbl_Consulting[Job Number],$BI368)))&amp;"")</f>
        <v/>
      </c>
      <c r="D368" s="10">
        <f>IF($BI368="","",IF($B368="Onsite",INDEX(tbl_Onsite[Client],$BI368),IF($B368="Production",INDEX(tbl_Production[Client],$BI368),INDEX(tbl_Consulting[Client],$BI368)))&amp;"")</f>
        <v/>
      </c>
      <c r="E368" s="10">
        <f>IF($C368="","",IF(COUNTIF(lst_Jobs,$C368)&gt;0,"OK","CHECK"))</f>
        <v/>
      </c>
      <c r="F368" s="10">
        <f>IF($C368="","",IFERROR(INDEX(lst_JobName,MATCH($C368,lst_Jobs,0)),""))</f>
        <v/>
      </c>
      <c r="G368" s="10">
        <f>IF($BI368="","",IF($B368="Onsite",INDEX(tbl_Onsite[Job Description],$BI368),IF($B368="Production",INDEX(tbl_Production[Job Description],$BI368),INDEX(tbl_Consulting[Job Description],$BI368)))&amp;"")</f>
        <v/>
      </c>
      <c r="H368" s="10">
        <f>IF($BI368="","",IF($B368="Onsite",INDEX(tbl_Onsite[Cost Centre],$BI368),IF($B368="Production",INDEX(tbl_Production[Cost Centre],$BI368),INDEX(tbl_Consulting[Cost Centre],$BI368)))&amp;"")</f>
        <v/>
      </c>
      <c r="I368" s="10">
        <f>IF($BI368="","",IF($B368="Onsite",INDEX(tbl_Onsite[Invoice Type],$BI368),IF($B368="Production",INDEX(tbl_Production[Invoice Type],$BI368),INDEX(tbl_Consulting[Invoice Type],$BI368)))&amp;"")</f>
        <v/>
      </c>
      <c r="J368" s="10">
        <f>IF($BI368="","",IF($B368="Onsite",INDEX(tbl_Onsite[Tax Code],$BI368),IF($B368="Production",INDEX(tbl_Production[Tax Code],$BI368),INDEX(tbl_Consulting[Tax Code],$BI368)))&amp;"")</f>
        <v/>
      </c>
      <c r="K368" s="10">
        <f>IF(H368="","",IFERROR(INDEX(lst_CCtoGL,MATCH(H368,lst_CCforGL,0)),""))</f>
        <v/>
      </c>
      <c r="L368" s="10">
        <f>IF($BI368="","",IF($B368="Onsite",INDEX(tbl_Onsite[PO / Reference],$BI368),IF($B368="Production",INDEX(tbl_Production[Current RMS No],$BI368),INDEX(tbl_Consulting[Qwilr Quote],$BI368)))&amp;"")</f>
        <v/>
      </c>
      <c r="M368" s="10">
        <f>IF($BI368="","",IF($B368="Onsite",INDEX(tbl_Onsite[Notes],$BI368),IF($B368="Production",INDEX(tbl_Production[Notes],$BI368),INDEX(tbl_Consulting[Notes],$BI368)))&amp;"")</f>
        <v/>
      </c>
      <c r="N368" s="11">
        <f>IF($BI368="","",IF(IF($B368="Onsite",INDEX(tbl_Onsite[Expected Revenue Ex GST],$BI368),IF($B368="Production",INDEX(tbl_Production[Expected Revenue Ex GST],$BI368),INDEX(tbl_Consulting[Expected Revenue Ex GST],$BI368)))="","",IF($B368="Onsite",INDEX(tbl_Onsite[Expected Revenue Ex GST],$BI368),IF($B368="Production",INDEX(tbl_Production[Expected Revenue Ex GST],$BI368),INDEX(tbl_Consulting[Expected Revenue Ex GST],$BI368)))))</f>
        <v/>
      </c>
      <c r="O368" s="11">
        <f>IF(AND($C368="",NOT(COUNTA($S368:$BB368)&gt;0)),"",SUM(U368,X368,AA368,AD368,AG368,AJ368,AM368,AP368,AS368,AV368,AY368,BB368))</f>
        <v/>
      </c>
      <c r="P368" s="11">
        <f>IF(O368="","",N(N368)-O368)</f>
        <v/>
      </c>
      <c r="Q368" s="10">
        <f>IF(O368="","",IF($C368="","Invoice on empty job row",IF(N368="",IF(ROUND(O368,2)=0,"No dept value","Invoiced - no dept value"),IF(ROUND(O368,2)=0,"Not invoiced - to invoice",IF(ROUND(P368,2)=0,"Agrees",IF(P368&gt;0,"Dept higher - to invoice","Xero higher - check dept"))))))</f>
        <v/>
      </c>
      <c r="R368" s="10">
        <f>IF(AND($C368="",NOT(COUNTA($S368:$BB368)&gt;0),$BI368&lt;&gt;""),"",MID(IF($BI368="","; Row ID not found on the department sheet - a row was deleted","")&amp;IF(AND($C368="",COUNTA($S368:$BB368)&gt;0),"; Invoice entered but the department row has no job number","")&amp;IF(E368="CHECK","; Job number not in the Xero job list","")&amp;IF(AND($C368&lt;&gt;"",COUNTIF($C$7:$C$1506,$C368)&gt;1),"; Job number on more than one row","")&amp;IF(AND($C368&lt;&gt;"",H368=""),"; Dept has not set a cost centre","")&amp;IF(AND($C368&lt;&gt;"",J368=""),"; Dept has not set a tax code","")&amp;IF(AND($C368&lt;&gt;"",N368=""),"; Dept has not entered an expected value","")&amp;IF((IF(OR(COUNTA(S368:U368)=0,AND(COUNTA(S368:U368)=3,ISNUMBER(U368))),0,1)+IF(OR(COUNTA(V368:X368)=0,AND(COUNTA(V368:X368)=3,ISNUMBER(X368))),0,1)+IF(OR(COUNTA(Y368:AA368)=0,AND(COUNTA(Y368:AA368)=3,ISNUMBER(AA368))),0,1)+IF(OR(COUNTA(AB368:AD368)=0,AND(COUNTA(AB368:AD368)=3,ISNUMBER(AD368))),0,1)+IF(OR(COUNTA(AE368:AG368)=0,AND(COUNTA(AE368:AG368)=3,ISNUMBER(AG368))),0,1)+IF(OR(COUNTA(AH368:AJ368)=0,AND(COUNTA(AH368:AJ368)=3,ISNUMBER(AJ368))),0,1)+IF(OR(COUNTA(AK368:AM368)=0,AND(COUNTA(AK368:AM368)=3,ISNUMBER(AM368))),0,1)+IF(OR(COUNTA(AN368:AP368)=0,AND(COUNTA(AN368:AP368)=3,ISNUMBER(AP368))),0,1)+IF(OR(COUNTA(AQ368:AS368)=0,AND(COUNTA(AQ368:AS368)=3,ISNUMBER(AS368))),0,1)+IF(OR(COUNTA(AT368:AV368)=0,AND(COUNTA(AT368:AV368)=3,ISNUMBER(AV368))),0,1)+IF(OR(COUNTA(AW368:AY368)=0,AND(COUNTA(AW368:AY368)=3,ISNUMBER(AY368))),0,1)+IF(OR(COUNTA(AZ368:BB368)=0,AND(COUNTA(AZ368:BB368)=3,ISNUMBER(BB368))),0,1))&gt;0,"; An invoice is incomplete (needs No, Date and a number in Ex GST)","")&amp;IF((IF(T368="",0,IFERROR(--(EOMONTH(T368,0)&lt;&gt;S$5),1))+IF(W368="",0,IFERROR(--(EOMONTH(W368,0)&lt;&gt;V$5),1))+IF(Z368="",0,IFERROR(--(EOMONTH(Z368,0)&lt;&gt;Y$5),1))+IF(AC368="",0,IFERROR(--(EOMONTH(AC368,0)&lt;&gt;AB$5),1))+IF(AF368="",0,IFERROR(--(EOMONTH(AF368,0)&lt;&gt;AE$5),1))+IF(AI368="",0,IFERROR(--(EOMONTH(AI368,0)&lt;&gt;AH$5),1))+IF(AL368="",0,IFERROR(--(EOMONTH(AL368,0)&lt;&gt;AK$5),1))+IF(AO368="",0,IFERROR(--(EOMONTH(AO368,0)&lt;&gt;AN$5),1))+IF(AR368="",0,IFERROR(--(EOMONTH(AR368,0)&lt;&gt;AQ$5),1))+IF(AU368="",0,IFERROR(--(EOMONTH(AU368,0)&lt;&gt;AT$5),1))+IF(AX368="",0,IFERROR(--(EOMONTH(AX368,0)&lt;&gt;AW$5),1))+IF(BA368="",0,IFERROR(--(EOMONTH(BA368,0)&lt;&gt;AZ$5),1)))&gt;0,"; An invoice date is not in the month it is typed under",""),3,500))</f>
        <v/>
      </c>
      <c r="S368" s="12" t="n"/>
      <c r="T368" s="13" t="n"/>
      <c r="U368" s="14" t="n"/>
      <c r="V368" s="12" t="n"/>
      <c r="W368" s="13" t="n"/>
      <c r="X368" s="14" t="n"/>
      <c r="Y368" s="12" t="n"/>
      <c r="Z368" s="13" t="n"/>
      <c r="AA368" s="14" t="n"/>
      <c r="AB368" s="12" t="n"/>
      <c r="AC368" s="13" t="n"/>
      <c r="AD368" s="14" t="n"/>
      <c r="AE368" s="12" t="n"/>
      <c r="AF368" s="13" t="n"/>
      <c r="AG368" s="14" t="n"/>
      <c r="AH368" s="12" t="n"/>
      <c r="AI368" s="13" t="n"/>
      <c r="AJ368" s="14" t="n"/>
      <c r="AK368" s="12" t="n"/>
      <c r="AL368" s="13" t="n"/>
      <c r="AM368" s="14" t="n"/>
      <c r="AN368" s="12" t="n"/>
      <c r="AO368" s="13" t="n"/>
      <c r="AP368" s="14" t="n"/>
      <c r="AQ368" s="12" t="n"/>
      <c r="AR368" s="13" t="n"/>
      <c r="AS368" s="14" t="n"/>
      <c r="AT368" s="12" t="n"/>
      <c r="AU368" s="13" t="n"/>
      <c r="AV368" s="14" t="n"/>
      <c r="AW368" s="12" t="n"/>
      <c r="AX368" s="13" t="n"/>
      <c r="AY368" s="14" t="n"/>
      <c r="AZ368" s="12" t="n"/>
      <c r="BA368" s="13" t="n"/>
      <c r="BB368" s="14" t="n"/>
      <c r="BC368" s="11">
        <f>IF(O368="","",IF(J368="GST 10%",ROUND(O368*set_GSTRate,2),0))</f>
        <v/>
      </c>
      <c r="BD368" s="11">
        <f>IF(O368="","",O368+BC368)</f>
        <v/>
      </c>
      <c r="BE368" s="15">
        <f>IF(O368="","",COUNTA(S368,V368,Y368,AB368,AE368,AH368,AK368,AN368,AQ368,AT368,AW368,AZ368))</f>
        <v/>
      </c>
      <c r="BF368" s="16">
        <f>IF(COUNT(T368,W368,Z368,AC368,AF368,AI368,AL368,AO368,AR368,AU368,AX368,BA368)=0,"",MAX(T368,W368,Z368,AC368,AF368,AI368,AL368,AO368,AR368,AU368,AX368,BA368))</f>
        <v/>
      </c>
      <c r="BG368" s="10">
        <f>MID(IF(S368="","",", "&amp;S368)&amp;IF(V368="","",", "&amp;V368)&amp;IF(Y368="","",", "&amp;Y368)&amp;IF(AB368="","",", "&amp;AB368)&amp;IF(AE368="","",", "&amp;AE368)&amp;IF(AH368="","",", "&amp;AH368)&amp;IF(AK368="","",", "&amp;AK368)&amp;IF(AN368="","",", "&amp;AN368)&amp;IF(AQ368="","",", "&amp;AQ368)&amp;IF(AT368="","",", "&amp;AT368)&amp;IF(AW368="","",", "&amp;AW368)&amp;IF(AZ368="","",", "&amp;AZ368),3,500)</f>
        <v/>
      </c>
      <c r="BH368" s="12" t="n"/>
      <c r="BI368" s="15">
        <f>IFERROR(MATCH($A368,IF($B368="Onsite",tbl_Onsite[Row ID],IF($B368="Production",tbl_Production[Row ID],tbl_Consulting[Row ID])),0),"")</f>
        <v/>
      </c>
    </row>
    <row r="369">
      <c r="A369" s="10" t="inlineStr">
        <is>
          <t>ONS-0363</t>
        </is>
      </c>
      <c r="B369" s="10" t="inlineStr">
        <is>
          <t>Onsite</t>
        </is>
      </c>
      <c r="C369" s="10">
        <f>IF($BI369="","",IF($B369="Onsite",INDEX(tbl_Onsite[Job Number],$BI369),IF($B369="Production",INDEX(tbl_Production[Job Number],$BI369),INDEX(tbl_Consulting[Job Number],$BI369)))&amp;"")</f>
        <v/>
      </c>
      <c r="D369" s="10">
        <f>IF($BI369="","",IF($B369="Onsite",INDEX(tbl_Onsite[Client],$BI369),IF($B369="Production",INDEX(tbl_Production[Client],$BI369),INDEX(tbl_Consulting[Client],$BI369)))&amp;"")</f>
        <v/>
      </c>
      <c r="E369" s="10">
        <f>IF($C369="","",IF(COUNTIF(lst_Jobs,$C369)&gt;0,"OK","CHECK"))</f>
        <v/>
      </c>
      <c r="F369" s="10">
        <f>IF($C369="","",IFERROR(INDEX(lst_JobName,MATCH($C369,lst_Jobs,0)),""))</f>
        <v/>
      </c>
      <c r="G369" s="10">
        <f>IF($BI369="","",IF($B369="Onsite",INDEX(tbl_Onsite[Job Description],$BI369),IF($B369="Production",INDEX(tbl_Production[Job Description],$BI369),INDEX(tbl_Consulting[Job Description],$BI369)))&amp;"")</f>
        <v/>
      </c>
      <c r="H369" s="10">
        <f>IF($BI369="","",IF($B369="Onsite",INDEX(tbl_Onsite[Cost Centre],$BI369),IF($B369="Production",INDEX(tbl_Production[Cost Centre],$BI369),INDEX(tbl_Consulting[Cost Centre],$BI369)))&amp;"")</f>
        <v/>
      </c>
      <c r="I369" s="10">
        <f>IF($BI369="","",IF($B369="Onsite",INDEX(tbl_Onsite[Invoice Type],$BI369),IF($B369="Production",INDEX(tbl_Production[Invoice Type],$BI369),INDEX(tbl_Consulting[Invoice Type],$BI369)))&amp;"")</f>
        <v/>
      </c>
      <c r="J369" s="10">
        <f>IF($BI369="","",IF($B369="Onsite",INDEX(tbl_Onsite[Tax Code],$BI369),IF($B369="Production",INDEX(tbl_Production[Tax Code],$BI369),INDEX(tbl_Consulting[Tax Code],$BI369)))&amp;"")</f>
        <v/>
      </c>
      <c r="K369" s="10">
        <f>IF(H369="","",IFERROR(INDEX(lst_CCtoGL,MATCH(H369,lst_CCforGL,0)),""))</f>
        <v/>
      </c>
      <c r="L369" s="10">
        <f>IF($BI369="","",IF($B369="Onsite",INDEX(tbl_Onsite[PO / Reference],$BI369),IF($B369="Production",INDEX(tbl_Production[Current RMS No],$BI369),INDEX(tbl_Consulting[Qwilr Quote],$BI369)))&amp;"")</f>
        <v/>
      </c>
      <c r="M369" s="10">
        <f>IF($BI369="","",IF($B369="Onsite",INDEX(tbl_Onsite[Notes],$BI369),IF($B369="Production",INDEX(tbl_Production[Notes],$BI369),INDEX(tbl_Consulting[Notes],$BI369)))&amp;"")</f>
        <v/>
      </c>
      <c r="N369" s="11">
        <f>IF($BI369="","",IF(IF($B369="Onsite",INDEX(tbl_Onsite[Expected Revenue Ex GST],$BI369),IF($B369="Production",INDEX(tbl_Production[Expected Revenue Ex GST],$BI369),INDEX(tbl_Consulting[Expected Revenue Ex GST],$BI369)))="","",IF($B369="Onsite",INDEX(tbl_Onsite[Expected Revenue Ex GST],$BI369),IF($B369="Production",INDEX(tbl_Production[Expected Revenue Ex GST],$BI369),INDEX(tbl_Consulting[Expected Revenue Ex GST],$BI369)))))</f>
        <v/>
      </c>
      <c r="O369" s="11">
        <f>IF(AND($C369="",NOT(COUNTA($S369:$BB369)&gt;0)),"",SUM(U369,X369,AA369,AD369,AG369,AJ369,AM369,AP369,AS369,AV369,AY369,BB369))</f>
        <v/>
      </c>
      <c r="P369" s="11">
        <f>IF(O369="","",N(N369)-O369)</f>
        <v/>
      </c>
      <c r="Q369" s="10">
        <f>IF(O369="","",IF($C369="","Invoice on empty job row",IF(N369="",IF(ROUND(O369,2)=0,"No dept value","Invoiced - no dept value"),IF(ROUND(O369,2)=0,"Not invoiced - to invoice",IF(ROUND(P369,2)=0,"Agrees",IF(P369&gt;0,"Dept higher - to invoice","Xero higher - check dept"))))))</f>
        <v/>
      </c>
      <c r="R369" s="10">
        <f>IF(AND($C369="",NOT(COUNTA($S369:$BB369)&gt;0),$BI369&lt;&gt;""),"",MID(IF($BI369="","; Row ID not found on the department sheet - a row was deleted","")&amp;IF(AND($C369="",COUNTA($S369:$BB369)&gt;0),"; Invoice entered but the department row has no job number","")&amp;IF(E369="CHECK","; Job number not in the Xero job list","")&amp;IF(AND($C369&lt;&gt;"",COUNTIF($C$7:$C$1506,$C369)&gt;1),"; Job number on more than one row","")&amp;IF(AND($C369&lt;&gt;"",H369=""),"; Dept has not set a cost centre","")&amp;IF(AND($C369&lt;&gt;"",J369=""),"; Dept has not set a tax code","")&amp;IF(AND($C369&lt;&gt;"",N369=""),"; Dept has not entered an expected value","")&amp;IF((IF(OR(COUNTA(S369:U369)=0,AND(COUNTA(S369:U369)=3,ISNUMBER(U369))),0,1)+IF(OR(COUNTA(V369:X369)=0,AND(COUNTA(V369:X369)=3,ISNUMBER(X369))),0,1)+IF(OR(COUNTA(Y369:AA369)=0,AND(COUNTA(Y369:AA369)=3,ISNUMBER(AA369))),0,1)+IF(OR(COUNTA(AB369:AD369)=0,AND(COUNTA(AB369:AD369)=3,ISNUMBER(AD369))),0,1)+IF(OR(COUNTA(AE369:AG369)=0,AND(COUNTA(AE369:AG369)=3,ISNUMBER(AG369))),0,1)+IF(OR(COUNTA(AH369:AJ369)=0,AND(COUNTA(AH369:AJ369)=3,ISNUMBER(AJ369))),0,1)+IF(OR(COUNTA(AK369:AM369)=0,AND(COUNTA(AK369:AM369)=3,ISNUMBER(AM369))),0,1)+IF(OR(COUNTA(AN369:AP369)=0,AND(COUNTA(AN369:AP369)=3,ISNUMBER(AP369))),0,1)+IF(OR(COUNTA(AQ369:AS369)=0,AND(COUNTA(AQ369:AS369)=3,ISNUMBER(AS369))),0,1)+IF(OR(COUNTA(AT369:AV369)=0,AND(COUNTA(AT369:AV369)=3,ISNUMBER(AV369))),0,1)+IF(OR(COUNTA(AW369:AY369)=0,AND(COUNTA(AW369:AY369)=3,ISNUMBER(AY369))),0,1)+IF(OR(COUNTA(AZ369:BB369)=0,AND(COUNTA(AZ369:BB369)=3,ISNUMBER(BB369))),0,1))&gt;0,"; An invoice is incomplete (needs No, Date and a number in Ex GST)","")&amp;IF((IF(T369="",0,IFERROR(--(EOMONTH(T369,0)&lt;&gt;S$5),1))+IF(W369="",0,IFERROR(--(EOMONTH(W369,0)&lt;&gt;V$5),1))+IF(Z369="",0,IFERROR(--(EOMONTH(Z369,0)&lt;&gt;Y$5),1))+IF(AC369="",0,IFERROR(--(EOMONTH(AC369,0)&lt;&gt;AB$5),1))+IF(AF369="",0,IFERROR(--(EOMONTH(AF369,0)&lt;&gt;AE$5),1))+IF(AI369="",0,IFERROR(--(EOMONTH(AI369,0)&lt;&gt;AH$5),1))+IF(AL369="",0,IFERROR(--(EOMONTH(AL369,0)&lt;&gt;AK$5),1))+IF(AO369="",0,IFERROR(--(EOMONTH(AO369,0)&lt;&gt;AN$5),1))+IF(AR369="",0,IFERROR(--(EOMONTH(AR369,0)&lt;&gt;AQ$5),1))+IF(AU369="",0,IFERROR(--(EOMONTH(AU369,0)&lt;&gt;AT$5),1))+IF(AX369="",0,IFERROR(--(EOMONTH(AX369,0)&lt;&gt;AW$5),1))+IF(BA369="",0,IFERROR(--(EOMONTH(BA369,0)&lt;&gt;AZ$5),1)))&gt;0,"; An invoice date is not in the month it is typed under",""),3,500))</f>
        <v/>
      </c>
      <c r="S369" s="12" t="n"/>
      <c r="T369" s="13" t="n"/>
      <c r="U369" s="14" t="n"/>
      <c r="V369" s="12" t="n"/>
      <c r="W369" s="13" t="n"/>
      <c r="X369" s="14" t="n"/>
      <c r="Y369" s="12" t="n"/>
      <c r="Z369" s="13" t="n"/>
      <c r="AA369" s="14" t="n"/>
      <c r="AB369" s="12" t="n"/>
      <c r="AC369" s="13" t="n"/>
      <c r="AD369" s="14" t="n"/>
      <c r="AE369" s="12" t="n"/>
      <c r="AF369" s="13" t="n"/>
      <c r="AG369" s="14" t="n"/>
      <c r="AH369" s="12" t="n"/>
      <c r="AI369" s="13" t="n"/>
      <c r="AJ369" s="14" t="n"/>
      <c r="AK369" s="12" t="n"/>
      <c r="AL369" s="13" t="n"/>
      <c r="AM369" s="14" t="n"/>
      <c r="AN369" s="12" t="n"/>
      <c r="AO369" s="13" t="n"/>
      <c r="AP369" s="14" t="n"/>
      <c r="AQ369" s="12" t="n"/>
      <c r="AR369" s="13" t="n"/>
      <c r="AS369" s="14" t="n"/>
      <c r="AT369" s="12" t="n"/>
      <c r="AU369" s="13" t="n"/>
      <c r="AV369" s="14" t="n"/>
      <c r="AW369" s="12" t="n"/>
      <c r="AX369" s="13" t="n"/>
      <c r="AY369" s="14" t="n"/>
      <c r="AZ369" s="12" t="n"/>
      <c r="BA369" s="13" t="n"/>
      <c r="BB369" s="14" t="n"/>
      <c r="BC369" s="11">
        <f>IF(O369="","",IF(J369="GST 10%",ROUND(O369*set_GSTRate,2),0))</f>
        <v/>
      </c>
      <c r="BD369" s="11">
        <f>IF(O369="","",O369+BC369)</f>
        <v/>
      </c>
      <c r="BE369" s="15">
        <f>IF(O369="","",COUNTA(S369,V369,Y369,AB369,AE369,AH369,AK369,AN369,AQ369,AT369,AW369,AZ369))</f>
        <v/>
      </c>
      <c r="BF369" s="16">
        <f>IF(COUNT(T369,W369,Z369,AC369,AF369,AI369,AL369,AO369,AR369,AU369,AX369,BA369)=0,"",MAX(T369,W369,Z369,AC369,AF369,AI369,AL369,AO369,AR369,AU369,AX369,BA369))</f>
        <v/>
      </c>
      <c r="BG369" s="10">
        <f>MID(IF(S369="","",", "&amp;S369)&amp;IF(V369="","",", "&amp;V369)&amp;IF(Y369="","",", "&amp;Y369)&amp;IF(AB369="","",", "&amp;AB369)&amp;IF(AE369="","",", "&amp;AE369)&amp;IF(AH369="","",", "&amp;AH369)&amp;IF(AK369="","",", "&amp;AK369)&amp;IF(AN369="","",", "&amp;AN369)&amp;IF(AQ369="","",", "&amp;AQ369)&amp;IF(AT369="","",", "&amp;AT369)&amp;IF(AW369="","",", "&amp;AW369)&amp;IF(AZ369="","",", "&amp;AZ369),3,500)</f>
        <v/>
      </c>
      <c r="BH369" s="12" t="n"/>
      <c r="BI369" s="15">
        <f>IFERROR(MATCH($A369,IF($B369="Onsite",tbl_Onsite[Row ID],IF($B369="Production",tbl_Production[Row ID],tbl_Consulting[Row ID])),0),"")</f>
        <v/>
      </c>
    </row>
    <row r="370">
      <c r="A370" s="10" t="inlineStr">
        <is>
          <t>ONS-0364</t>
        </is>
      </c>
      <c r="B370" s="10" t="inlineStr">
        <is>
          <t>Onsite</t>
        </is>
      </c>
      <c r="C370" s="10">
        <f>IF($BI370="","",IF($B370="Onsite",INDEX(tbl_Onsite[Job Number],$BI370),IF($B370="Production",INDEX(tbl_Production[Job Number],$BI370),INDEX(tbl_Consulting[Job Number],$BI370)))&amp;"")</f>
        <v/>
      </c>
      <c r="D370" s="10">
        <f>IF($BI370="","",IF($B370="Onsite",INDEX(tbl_Onsite[Client],$BI370),IF($B370="Production",INDEX(tbl_Production[Client],$BI370),INDEX(tbl_Consulting[Client],$BI370)))&amp;"")</f>
        <v/>
      </c>
      <c r="E370" s="10">
        <f>IF($C370="","",IF(COUNTIF(lst_Jobs,$C370)&gt;0,"OK","CHECK"))</f>
        <v/>
      </c>
      <c r="F370" s="10">
        <f>IF($C370="","",IFERROR(INDEX(lst_JobName,MATCH($C370,lst_Jobs,0)),""))</f>
        <v/>
      </c>
      <c r="G370" s="10">
        <f>IF($BI370="","",IF($B370="Onsite",INDEX(tbl_Onsite[Job Description],$BI370),IF($B370="Production",INDEX(tbl_Production[Job Description],$BI370),INDEX(tbl_Consulting[Job Description],$BI370)))&amp;"")</f>
        <v/>
      </c>
      <c r="H370" s="10">
        <f>IF($BI370="","",IF($B370="Onsite",INDEX(tbl_Onsite[Cost Centre],$BI370),IF($B370="Production",INDEX(tbl_Production[Cost Centre],$BI370),INDEX(tbl_Consulting[Cost Centre],$BI370)))&amp;"")</f>
        <v/>
      </c>
      <c r="I370" s="10">
        <f>IF($BI370="","",IF($B370="Onsite",INDEX(tbl_Onsite[Invoice Type],$BI370),IF($B370="Production",INDEX(tbl_Production[Invoice Type],$BI370),INDEX(tbl_Consulting[Invoice Type],$BI370)))&amp;"")</f>
        <v/>
      </c>
      <c r="J370" s="10">
        <f>IF($BI370="","",IF($B370="Onsite",INDEX(tbl_Onsite[Tax Code],$BI370),IF($B370="Production",INDEX(tbl_Production[Tax Code],$BI370),INDEX(tbl_Consulting[Tax Code],$BI370)))&amp;"")</f>
        <v/>
      </c>
      <c r="K370" s="10">
        <f>IF(H370="","",IFERROR(INDEX(lst_CCtoGL,MATCH(H370,lst_CCforGL,0)),""))</f>
        <v/>
      </c>
      <c r="L370" s="10">
        <f>IF($BI370="","",IF($B370="Onsite",INDEX(tbl_Onsite[PO / Reference],$BI370),IF($B370="Production",INDEX(tbl_Production[Current RMS No],$BI370),INDEX(tbl_Consulting[Qwilr Quote],$BI370)))&amp;"")</f>
        <v/>
      </c>
      <c r="M370" s="10">
        <f>IF($BI370="","",IF($B370="Onsite",INDEX(tbl_Onsite[Notes],$BI370),IF($B370="Production",INDEX(tbl_Production[Notes],$BI370),INDEX(tbl_Consulting[Notes],$BI370)))&amp;"")</f>
        <v/>
      </c>
      <c r="N370" s="11">
        <f>IF($BI370="","",IF(IF($B370="Onsite",INDEX(tbl_Onsite[Expected Revenue Ex GST],$BI370),IF($B370="Production",INDEX(tbl_Production[Expected Revenue Ex GST],$BI370),INDEX(tbl_Consulting[Expected Revenue Ex GST],$BI370)))="","",IF($B370="Onsite",INDEX(tbl_Onsite[Expected Revenue Ex GST],$BI370),IF($B370="Production",INDEX(tbl_Production[Expected Revenue Ex GST],$BI370),INDEX(tbl_Consulting[Expected Revenue Ex GST],$BI370)))))</f>
        <v/>
      </c>
      <c r="O370" s="11">
        <f>IF(AND($C370="",NOT(COUNTA($S370:$BB370)&gt;0)),"",SUM(U370,X370,AA370,AD370,AG370,AJ370,AM370,AP370,AS370,AV370,AY370,BB370))</f>
        <v/>
      </c>
      <c r="P370" s="11">
        <f>IF(O370="","",N(N370)-O370)</f>
        <v/>
      </c>
      <c r="Q370" s="10">
        <f>IF(O370="","",IF($C370="","Invoice on empty job row",IF(N370="",IF(ROUND(O370,2)=0,"No dept value","Invoiced - no dept value"),IF(ROUND(O370,2)=0,"Not invoiced - to invoice",IF(ROUND(P370,2)=0,"Agrees",IF(P370&gt;0,"Dept higher - to invoice","Xero higher - check dept"))))))</f>
        <v/>
      </c>
      <c r="R370" s="10">
        <f>IF(AND($C370="",NOT(COUNTA($S370:$BB370)&gt;0),$BI370&lt;&gt;""),"",MID(IF($BI370="","; Row ID not found on the department sheet - a row was deleted","")&amp;IF(AND($C370="",COUNTA($S370:$BB370)&gt;0),"; Invoice entered but the department row has no job number","")&amp;IF(E370="CHECK","; Job number not in the Xero job list","")&amp;IF(AND($C370&lt;&gt;"",COUNTIF($C$7:$C$1506,$C370)&gt;1),"; Job number on more than one row","")&amp;IF(AND($C370&lt;&gt;"",H370=""),"; Dept has not set a cost centre","")&amp;IF(AND($C370&lt;&gt;"",J370=""),"; Dept has not set a tax code","")&amp;IF(AND($C370&lt;&gt;"",N370=""),"; Dept has not entered an expected value","")&amp;IF((IF(OR(COUNTA(S370:U370)=0,AND(COUNTA(S370:U370)=3,ISNUMBER(U370))),0,1)+IF(OR(COUNTA(V370:X370)=0,AND(COUNTA(V370:X370)=3,ISNUMBER(X370))),0,1)+IF(OR(COUNTA(Y370:AA370)=0,AND(COUNTA(Y370:AA370)=3,ISNUMBER(AA370))),0,1)+IF(OR(COUNTA(AB370:AD370)=0,AND(COUNTA(AB370:AD370)=3,ISNUMBER(AD370))),0,1)+IF(OR(COUNTA(AE370:AG370)=0,AND(COUNTA(AE370:AG370)=3,ISNUMBER(AG370))),0,1)+IF(OR(COUNTA(AH370:AJ370)=0,AND(COUNTA(AH370:AJ370)=3,ISNUMBER(AJ370))),0,1)+IF(OR(COUNTA(AK370:AM370)=0,AND(COUNTA(AK370:AM370)=3,ISNUMBER(AM370))),0,1)+IF(OR(COUNTA(AN370:AP370)=0,AND(COUNTA(AN370:AP370)=3,ISNUMBER(AP370))),0,1)+IF(OR(COUNTA(AQ370:AS370)=0,AND(COUNTA(AQ370:AS370)=3,ISNUMBER(AS370))),0,1)+IF(OR(COUNTA(AT370:AV370)=0,AND(COUNTA(AT370:AV370)=3,ISNUMBER(AV370))),0,1)+IF(OR(COUNTA(AW370:AY370)=0,AND(COUNTA(AW370:AY370)=3,ISNUMBER(AY370))),0,1)+IF(OR(COUNTA(AZ370:BB370)=0,AND(COUNTA(AZ370:BB370)=3,ISNUMBER(BB370))),0,1))&gt;0,"; An invoice is incomplete (needs No, Date and a number in Ex GST)","")&amp;IF((IF(T370="",0,IFERROR(--(EOMONTH(T370,0)&lt;&gt;S$5),1))+IF(W370="",0,IFERROR(--(EOMONTH(W370,0)&lt;&gt;V$5),1))+IF(Z370="",0,IFERROR(--(EOMONTH(Z370,0)&lt;&gt;Y$5),1))+IF(AC370="",0,IFERROR(--(EOMONTH(AC370,0)&lt;&gt;AB$5),1))+IF(AF370="",0,IFERROR(--(EOMONTH(AF370,0)&lt;&gt;AE$5),1))+IF(AI370="",0,IFERROR(--(EOMONTH(AI370,0)&lt;&gt;AH$5),1))+IF(AL370="",0,IFERROR(--(EOMONTH(AL370,0)&lt;&gt;AK$5),1))+IF(AO370="",0,IFERROR(--(EOMONTH(AO370,0)&lt;&gt;AN$5),1))+IF(AR370="",0,IFERROR(--(EOMONTH(AR370,0)&lt;&gt;AQ$5),1))+IF(AU370="",0,IFERROR(--(EOMONTH(AU370,0)&lt;&gt;AT$5),1))+IF(AX370="",0,IFERROR(--(EOMONTH(AX370,0)&lt;&gt;AW$5),1))+IF(BA370="",0,IFERROR(--(EOMONTH(BA370,0)&lt;&gt;AZ$5),1)))&gt;0,"; An invoice date is not in the month it is typed under",""),3,500))</f>
        <v/>
      </c>
      <c r="S370" s="12" t="n"/>
      <c r="T370" s="13" t="n"/>
      <c r="U370" s="14" t="n"/>
      <c r="V370" s="12" t="n"/>
      <c r="W370" s="13" t="n"/>
      <c r="X370" s="14" t="n"/>
      <c r="Y370" s="12" t="n"/>
      <c r="Z370" s="13" t="n"/>
      <c r="AA370" s="14" t="n"/>
      <c r="AB370" s="12" t="n"/>
      <c r="AC370" s="13" t="n"/>
      <c r="AD370" s="14" t="n"/>
      <c r="AE370" s="12" t="n"/>
      <c r="AF370" s="13" t="n"/>
      <c r="AG370" s="14" t="n"/>
      <c r="AH370" s="12" t="n"/>
      <c r="AI370" s="13" t="n"/>
      <c r="AJ370" s="14" t="n"/>
      <c r="AK370" s="12" t="n"/>
      <c r="AL370" s="13" t="n"/>
      <c r="AM370" s="14" t="n"/>
      <c r="AN370" s="12" t="n"/>
      <c r="AO370" s="13" t="n"/>
      <c r="AP370" s="14" t="n"/>
      <c r="AQ370" s="12" t="n"/>
      <c r="AR370" s="13" t="n"/>
      <c r="AS370" s="14" t="n"/>
      <c r="AT370" s="12" t="n"/>
      <c r="AU370" s="13" t="n"/>
      <c r="AV370" s="14" t="n"/>
      <c r="AW370" s="12" t="n"/>
      <c r="AX370" s="13" t="n"/>
      <c r="AY370" s="14" t="n"/>
      <c r="AZ370" s="12" t="n"/>
      <c r="BA370" s="13" t="n"/>
      <c r="BB370" s="14" t="n"/>
      <c r="BC370" s="11">
        <f>IF(O370="","",IF(J370="GST 10%",ROUND(O370*set_GSTRate,2),0))</f>
        <v/>
      </c>
      <c r="BD370" s="11">
        <f>IF(O370="","",O370+BC370)</f>
        <v/>
      </c>
      <c r="BE370" s="15">
        <f>IF(O370="","",COUNTA(S370,V370,Y370,AB370,AE370,AH370,AK370,AN370,AQ370,AT370,AW370,AZ370))</f>
        <v/>
      </c>
      <c r="BF370" s="16">
        <f>IF(COUNT(T370,W370,Z370,AC370,AF370,AI370,AL370,AO370,AR370,AU370,AX370,BA370)=0,"",MAX(T370,W370,Z370,AC370,AF370,AI370,AL370,AO370,AR370,AU370,AX370,BA370))</f>
        <v/>
      </c>
      <c r="BG370" s="10">
        <f>MID(IF(S370="","",", "&amp;S370)&amp;IF(V370="","",", "&amp;V370)&amp;IF(Y370="","",", "&amp;Y370)&amp;IF(AB370="","",", "&amp;AB370)&amp;IF(AE370="","",", "&amp;AE370)&amp;IF(AH370="","",", "&amp;AH370)&amp;IF(AK370="","",", "&amp;AK370)&amp;IF(AN370="","",", "&amp;AN370)&amp;IF(AQ370="","",", "&amp;AQ370)&amp;IF(AT370="","",", "&amp;AT370)&amp;IF(AW370="","",", "&amp;AW370)&amp;IF(AZ370="","",", "&amp;AZ370),3,500)</f>
        <v/>
      </c>
      <c r="BH370" s="12" t="n"/>
      <c r="BI370" s="15">
        <f>IFERROR(MATCH($A370,IF($B370="Onsite",tbl_Onsite[Row ID],IF($B370="Production",tbl_Production[Row ID],tbl_Consulting[Row ID])),0),"")</f>
        <v/>
      </c>
    </row>
    <row r="371">
      <c r="A371" s="10" t="inlineStr">
        <is>
          <t>ONS-0365</t>
        </is>
      </c>
      <c r="B371" s="10" t="inlineStr">
        <is>
          <t>Onsite</t>
        </is>
      </c>
      <c r="C371" s="10">
        <f>IF($BI371="","",IF($B371="Onsite",INDEX(tbl_Onsite[Job Number],$BI371),IF($B371="Production",INDEX(tbl_Production[Job Number],$BI371),INDEX(tbl_Consulting[Job Number],$BI371)))&amp;"")</f>
        <v/>
      </c>
      <c r="D371" s="10">
        <f>IF($BI371="","",IF($B371="Onsite",INDEX(tbl_Onsite[Client],$BI371),IF($B371="Production",INDEX(tbl_Production[Client],$BI371),INDEX(tbl_Consulting[Client],$BI371)))&amp;"")</f>
        <v/>
      </c>
      <c r="E371" s="10">
        <f>IF($C371="","",IF(COUNTIF(lst_Jobs,$C371)&gt;0,"OK","CHECK"))</f>
        <v/>
      </c>
      <c r="F371" s="10">
        <f>IF($C371="","",IFERROR(INDEX(lst_JobName,MATCH($C371,lst_Jobs,0)),""))</f>
        <v/>
      </c>
      <c r="G371" s="10">
        <f>IF($BI371="","",IF($B371="Onsite",INDEX(tbl_Onsite[Job Description],$BI371),IF($B371="Production",INDEX(tbl_Production[Job Description],$BI371),INDEX(tbl_Consulting[Job Description],$BI371)))&amp;"")</f>
        <v/>
      </c>
      <c r="H371" s="10">
        <f>IF($BI371="","",IF($B371="Onsite",INDEX(tbl_Onsite[Cost Centre],$BI371),IF($B371="Production",INDEX(tbl_Production[Cost Centre],$BI371),INDEX(tbl_Consulting[Cost Centre],$BI371)))&amp;"")</f>
        <v/>
      </c>
      <c r="I371" s="10">
        <f>IF($BI371="","",IF($B371="Onsite",INDEX(tbl_Onsite[Invoice Type],$BI371),IF($B371="Production",INDEX(tbl_Production[Invoice Type],$BI371),INDEX(tbl_Consulting[Invoice Type],$BI371)))&amp;"")</f>
        <v/>
      </c>
      <c r="J371" s="10">
        <f>IF($BI371="","",IF($B371="Onsite",INDEX(tbl_Onsite[Tax Code],$BI371),IF($B371="Production",INDEX(tbl_Production[Tax Code],$BI371),INDEX(tbl_Consulting[Tax Code],$BI371)))&amp;"")</f>
        <v/>
      </c>
      <c r="K371" s="10">
        <f>IF(H371="","",IFERROR(INDEX(lst_CCtoGL,MATCH(H371,lst_CCforGL,0)),""))</f>
        <v/>
      </c>
      <c r="L371" s="10">
        <f>IF($BI371="","",IF($B371="Onsite",INDEX(tbl_Onsite[PO / Reference],$BI371),IF($B371="Production",INDEX(tbl_Production[Current RMS No],$BI371),INDEX(tbl_Consulting[Qwilr Quote],$BI371)))&amp;"")</f>
        <v/>
      </c>
      <c r="M371" s="10">
        <f>IF($BI371="","",IF($B371="Onsite",INDEX(tbl_Onsite[Notes],$BI371),IF($B371="Production",INDEX(tbl_Production[Notes],$BI371),INDEX(tbl_Consulting[Notes],$BI371)))&amp;"")</f>
        <v/>
      </c>
      <c r="N371" s="11">
        <f>IF($BI371="","",IF(IF($B371="Onsite",INDEX(tbl_Onsite[Expected Revenue Ex GST],$BI371),IF($B371="Production",INDEX(tbl_Production[Expected Revenue Ex GST],$BI371),INDEX(tbl_Consulting[Expected Revenue Ex GST],$BI371)))="","",IF($B371="Onsite",INDEX(tbl_Onsite[Expected Revenue Ex GST],$BI371),IF($B371="Production",INDEX(tbl_Production[Expected Revenue Ex GST],$BI371),INDEX(tbl_Consulting[Expected Revenue Ex GST],$BI371)))))</f>
        <v/>
      </c>
      <c r="O371" s="11">
        <f>IF(AND($C371="",NOT(COUNTA($S371:$BB371)&gt;0)),"",SUM(U371,X371,AA371,AD371,AG371,AJ371,AM371,AP371,AS371,AV371,AY371,BB371))</f>
        <v/>
      </c>
      <c r="P371" s="11">
        <f>IF(O371="","",N(N371)-O371)</f>
        <v/>
      </c>
      <c r="Q371" s="10">
        <f>IF(O371="","",IF($C371="","Invoice on empty job row",IF(N371="",IF(ROUND(O371,2)=0,"No dept value","Invoiced - no dept value"),IF(ROUND(O371,2)=0,"Not invoiced - to invoice",IF(ROUND(P371,2)=0,"Agrees",IF(P371&gt;0,"Dept higher - to invoice","Xero higher - check dept"))))))</f>
        <v/>
      </c>
      <c r="R371" s="10">
        <f>IF(AND($C371="",NOT(COUNTA($S371:$BB371)&gt;0),$BI371&lt;&gt;""),"",MID(IF($BI371="","; Row ID not found on the department sheet - a row was deleted","")&amp;IF(AND($C371="",COUNTA($S371:$BB371)&gt;0),"; Invoice entered but the department row has no job number","")&amp;IF(E371="CHECK","; Job number not in the Xero job list","")&amp;IF(AND($C371&lt;&gt;"",COUNTIF($C$7:$C$1506,$C371)&gt;1),"; Job number on more than one row","")&amp;IF(AND($C371&lt;&gt;"",H371=""),"; Dept has not set a cost centre","")&amp;IF(AND($C371&lt;&gt;"",J371=""),"; Dept has not set a tax code","")&amp;IF(AND($C371&lt;&gt;"",N371=""),"; Dept has not entered an expected value","")&amp;IF((IF(OR(COUNTA(S371:U371)=0,AND(COUNTA(S371:U371)=3,ISNUMBER(U371))),0,1)+IF(OR(COUNTA(V371:X371)=0,AND(COUNTA(V371:X371)=3,ISNUMBER(X371))),0,1)+IF(OR(COUNTA(Y371:AA371)=0,AND(COUNTA(Y371:AA371)=3,ISNUMBER(AA371))),0,1)+IF(OR(COUNTA(AB371:AD371)=0,AND(COUNTA(AB371:AD371)=3,ISNUMBER(AD371))),0,1)+IF(OR(COUNTA(AE371:AG371)=0,AND(COUNTA(AE371:AG371)=3,ISNUMBER(AG371))),0,1)+IF(OR(COUNTA(AH371:AJ371)=0,AND(COUNTA(AH371:AJ371)=3,ISNUMBER(AJ371))),0,1)+IF(OR(COUNTA(AK371:AM371)=0,AND(COUNTA(AK371:AM371)=3,ISNUMBER(AM371))),0,1)+IF(OR(COUNTA(AN371:AP371)=0,AND(COUNTA(AN371:AP371)=3,ISNUMBER(AP371))),0,1)+IF(OR(COUNTA(AQ371:AS371)=0,AND(COUNTA(AQ371:AS371)=3,ISNUMBER(AS371))),0,1)+IF(OR(COUNTA(AT371:AV371)=0,AND(COUNTA(AT371:AV371)=3,ISNUMBER(AV371))),0,1)+IF(OR(COUNTA(AW371:AY371)=0,AND(COUNTA(AW371:AY371)=3,ISNUMBER(AY371))),0,1)+IF(OR(COUNTA(AZ371:BB371)=0,AND(COUNTA(AZ371:BB371)=3,ISNUMBER(BB371))),0,1))&gt;0,"; An invoice is incomplete (needs No, Date and a number in Ex GST)","")&amp;IF((IF(T371="",0,IFERROR(--(EOMONTH(T371,0)&lt;&gt;S$5),1))+IF(W371="",0,IFERROR(--(EOMONTH(W371,0)&lt;&gt;V$5),1))+IF(Z371="",0,IFERROR(--(EOMONTH(Z371,0)&lt;&gt;Y$5),1))+IF(AC371="",0,IFERROR(--(EOMONTH(AC371,0)&lt;&gt;AB$5),1))+IF(AF371="",0,IFERROR(--(EOMONTH(AF371,0)&lt;&gt;AE$5),1))+IF(AI371="",0,IFERROR(--(EOMONTH(AI371,0)&lt;&gt;AH$5),1))+IF(AL371="",0,IFERROR(--(EOMONTH(AL371,0)&lt;&gt;AK$5),1))+IF(AO371="",0,IFERROR(--(EOMONTH(AO371,0)&lt;&gt;AN$5),1))+IF(AR371="",0,IFERROR(--(EOMONTH(AR371,0)&lt;&gt;AQ$5),1))+IF(AU371="",0,IFERROR(--(EOMONTH(AU371,0)&lt;&gt;AT$5),1))+IF(AX371="",0,IFERROR(--(EOMONTH(AX371,0)&lt;&gt;AW$5),1))+IF(BA371="",0,IFERROR(--(EOMONTH(BA371,0)&lt;&gt;AZ$5),1)))&gt;0,"; An invoice date is not in the month it is typed under",""),3,500))</f>
        <v/>
      </c>
      <c r="S371" s="12" t="n"/>
      <c r="T371" s="13" t="n"/>
      <c r="U371" s="14" t="n"/>
      <c r="V371" s="12" t="n"/>
      <c r="W371" s="13" t="n"/>
      <c r="X371" s="14" t="n"/>
      <c r="Y371" s="12" t="n"/>
      <c r="Z371" s="13" t="n"/>
      <c r="AA371" s="14" t="n"/>
      <c r="AB371" s="12" t="n"/>
      <c r="AC371" s="13" t="n"/>
      <c r="AD371" s="14" t="n"/>
      <c r="AE371" s="12" t="n"/>
      <c r="AF371" s="13" t="n"/>
      <c r="AG371" s="14" t="n"/>
      <c r="AH371" s="12" t="n"/>
      <c r="AI371" s="13" t="n"/>
      <c r="AJ371" s="14" t="n"/>
      <c r="AK371" s="12" t="n"/>
      <c r="AL371" s="13" t="n"/>
      <c r="AM371" s="14" t="n"/>
      <c r="AN371" s="12" t="n"/>
      <c r="AO371" s="13" t="n"/>
      <c r="AP371" s="14" t="n"/>
      <c r="AQ371" s="12" t="n"/>
      <c r="AR371" s="13" t="n"/>
      <c r="AS371" s="14" t="n"/>
      <c r="AT371" s="12" t="n"/>
      <c r="AU371" s="13" t="n"/>
      <c r="AV371" s="14" t="n"/>
      <c r="AW371" s="12" t="n"/>
      <c r="AX371" s="13" t="n"/>
      <c r="AY371" s="14" t="n"/>
      <c r="AZ371" s="12" t="n"/>
      <c r="BA371" s="13" t="n"/>
      <c r="BB371" s="14" t="n"/>
      <c r="BC371" s="11">
        <f>IF(O371="","",IF(J371="GST 10%",ROUND(O371*set_GSTRate,2),0))</f>
        <v/>
      </c>
      <c r="BD371" s="11">
        <f>IF(O371="","",O371+BC371)</f>
        <v/>
      </c>
      <c r="BE371" s="15">
        <f>IF(O371="","",COUNTA(S371,V371,Y371,AB371,AE371,AH371,AK371,AN371,AQ371,AT371,AW371,AZ371))</f>
        <v/>
      </c>
      <c r="BF371" s="16">
        <f>IF(COUNT(T371,W371,Z371,AC371,AF371,AI371,AL371,AO371,AR371,AU371,AX371,BA371)=0,"",MAX(T371,W371,Z371,AC371,AF371,AI371,AL371,AO371,AR371,AU371,AX371,BA371))</f>
        <v/>
      </c>
      <c r="BG371" s="10">
        <f>MID(IF(S371="","",", "&amp;S371)&amp;IF(V371="","",", "&amp;V371)&amp;IF(Y371="","",", "&amp;Y371)&amp;IF(AB371="","",", "&amp;AB371)&amp;IF(AE371="","",", "&amp;AE371)&amp;IF(AH371="","",", "&amp;AH371)&amp;IF(AK371="","",", "&amp;AK371)&amp;IF(AN371="","",", "&amp;AN371)&amp;IF(AQ371="","",", "&amp;AQ371)&amp;IF(AT371="","",", "&amp;AT371)&amp;IF(AW371="","",", "&amp;AW371)&amp;IF(AZ371="","",", "&amp;AZ371),3,500)</f>
        <v/>
      </c>
      <c r="BH371" s="12" t="n"/>
      <c r="BI371" s="15">
        <f>IFERROR(MATCH($A371,IF($B371="Onsite",tbl_Onsite[Row ID],IF($B371="Production",tbl_Production[Row ID],tbl_Consulting[Row ID])),0),"")</f>
        <v/>
      </c>
    </row>
    <row r="372">
      <c r="A372" s="10" t="inlineStr">
        <is>
          <t>ONS-0366</t>
        </is>
      </c>
      <c r="B372" s="10" t="inlineStr">
        <is>
          <t>Onsite</t>
        </is>
      </c>
      <c r="C372" s="10">
        <f>IF($BI372="","",IF($B372="Onsite",INDEX(tbl_Onsite[Job Number],$BI372),IF($B372="Production",INDEX(tbl_Production[Job Number],$BI372),INDEX(tbl_Consulting[Job Number],$BI372)))&amp;"")</f>
        <v/>
      </c>
      <c r="D372" s="10">
        <f>IF($BI372="","",IF($B372="Onsite",INDEX(tbl_Onsite[Client],$BI372),IF($B372="Production",INDEX(tbl_Production[Client],$BI372),INDEX(tbl_Consulting[Client],$BI372)))&amp;"")</f>
        <v/>
      </c>
      <c r="E372" s="10">
        <f>IF($C372="","",IF(COUNTIF(lst_Jobs,$C372)&gt;0,"OK","CHECK"))</f>
        <v/>
      </c>
      <c r="F372" s="10">
        <f>IF($C372="","",IFERROR(INDEX(lst_JobName,MATCH($C372,lst_Jobs,0)),""))</f>
        <v/>
      </c>
      <c r="G372" s="10">
        <f>IF($BI372="","",IF($B372="Onsite",INDEX(tbl_Onsite[Job Description],$BI372),IF($B372="Production",INDEX(tbl_Production[Job Description],$BI372),INDEX(tbl_Consulting[Job Description],$BI372)))&amp;"")</f>
        <v/>
      </c>
      <c r="H372" s="10">
        <f>IF($BI372="","",IF($B372="Onsite",INDEX(tbl_Onsite[Cost Centre],$BI372),IF($B372="Production",INDEX(tbl_Production[Cost Centre],$BI372),INDEX(tbl_Consulting[Cost Centre],$BI372)))&amp;"")</f>
        <v/>
      </c>
      <c r="I372" s="10">
        <f>IF($BI372="","",IF($B372="Onsite",INDEX(tbl_Onsite[Invoice Type],$BI372),IF($B372="Production",INDEX(tbl_Production[Invoice Type],$BI372),INDEX(tbl_Consulting[Invoice Type],$BI372)))&amp;"")</f>
        <v/>
      </c>
      <c r="J372" s="10">
        <f>IF($BI372="","",IF($B372="Onsite",INDEX(tbl_Onsite[Tax Code],$BI372),IF($B372="Production",INDEX(tbl_Production[Tax Code],$BI372),INDEX(tbl_Consulting[Tax Code],$BI372)))&amp;"")</f>
        <v/>
      </c>
      <c r="K372" s="10">
        <f>IF(H372="","",IFERROR(INDEX(lst_CCtoGL,MATCH(H372,lst_CCforGL,0)),""))</f>
        <v/>
      </c>
      <c r="L372" s="10">
        <f>IF($BI372="","",IF($B372="Onsite",INDEX(tbl_Onsite[PO / Reference],$BI372),IF($B372="Production",INDEX(tbl_Production[Current RMS No],$BI372),INDEX(tbl_Consulting[Qwilr Quote],$BI372)))&amp;"")</f>
        <v/>
      </c>
      <c r="M372" s="10">
        <f>IF($BI372="","",IF($B372="Onsite",INDEX(tbl_Onsite[Notes],$BI372),IF($B372="Production",INDEX(tbl_Production[Notes],$BI372),INDEX(tbl_Consulting[Notes],$BI372)))&amp;"")</f>
        <v/>
      </c>
      <c r="N372" s="11">
        <f>IF($BI372="","",IF(IF($B372="Onsite",INDEX(tbl_Onsite[Expected Revenue Ex GST],$BI372),IF($B372="Production",INDEX(tbl_Production[Expected Revenue Ex GST],$BI372),INDEX(tbl_Consulting[Expected Revenue Ex GST],$BI372)))="","",IF($B372="Onsite",INDEX(tbl_Onsite[Expected Revenue Ex GST],$BI372),IF($B372="Production",INDEX(tbl_Production[Expected Revenue Ex GST],$BI372),INDEX(tbl_Consulting[Expected Revenue Ex GST],$BI372)))))</f>
        <v/>
      </c>
      <c r="O372" s="11">
        <f>IF(AND($C372="",NOT(COUNTA($S372:$BB372)&gt;0)),"",SUM(U372,X372,AA372,AD372,AG372,AJ372,AM372,AP372,AS372,AV372,AY372,BB372))</f>
        <v/>
      </c>
      <c r="P372" s="11">
        <f>IF(O372="","",N(N372)-O372)</f>
        <v/>
      </c>
      <c r="Q372" s="10">
        <f>IF(O372="","",IF($C372="","Invoice on empty job row",IF(N372="",IF(ROUND(O372,2)=0,"No dept value","Invoiced - no dept value"),IF(ROUND(O372,2)=0,"Not invoiced - to invoice",IF(ROUND(P372,2)=0,"Agrees",IF(P372&gt;0,"Dept higher - to invoice","Xero higher - check dept"))))))</f>
        <v/>
      </c>
      <c r="R372" s="10">
        <f>IF(AND($C372="",NOT(COUNTA($S372:$BB372)&gt;0),$BI372&lt;&gt;""),"",MID(IF($BI372="","; Row ID not found on the department sheet - a row was deleted","")&amp;IF(AND($C372="",COUNTA($S372:$BB372)&gt;0),"; Invoice entered but the department row has no job number","")&amp;IF(E372="CHECK","; Job number not in the Xero job list","")&amp;IF(AND($C372&lt;&gt;"",COUNTIF($C$7:$C$1506,$C372)&gt;1),"; Job number on more than one row","")&amp;IF(AND($C372&lt;&gt;"",H372=""),"; Dept has not set a cost centre","")&amp;IF(AND($C372&lt;&gt;"",J372=""),"; Dept has not set a tax code","")&amp;IF(AND($C372&lt;&gt;"",N372=""),"; Dept has not entered an expected value","")&amp;IF((IF(OR(COUNTA(S372:U372)=0,AND(COUNTA(S372:U372)=3,ISNUMBER(U372))),0,1)+IF(OR(COUNTA(V372:X372)=0,AND(COUNTA(V372:X372)=3,ISNUMBER(X372))),0,1)+IF(OR(COUNTA(Y372:AA372)=0,AND(COUNTA(Y372:AA372)=3,ISNUMBER(AA372))),0,1)+IF(OR(COUNTA(AB372:AD372)=0,AND(COUNTA(AB372:AD372)=3,ISNUMBER(AD372))),0,1)+IF(OR(COUNTA(AE372:AG372)=0,AND(COUNTA(AE372:AG372)=3,ISNUMBER(AG372))),0,1)+IF(OR(COUNTA(AH372:AJ372)=0,AND(COUNTA(AH372:AJ372)=3,ISNUMBER(AJ372))),0,1)+IF(OR(COUNTA(AK372:AM372)=0,AND(COUNTA(AK372:AM372)=3,ISNUMBER(AM372))),0,1)+IF(OR(COUNTA(AN372:AP372)=0,AND(COUNTA(AN372:AP372)=3,ISNUMBER(AP372))),0,1)+IF(OR(COUNTA(AQ372:AS372)=0,AND(COUNTA(AQ372:AS372)=3,ISNUMBER(AS372))),0,1)+IF(OR(COUNTA(AT372:AV372)=0,AND(COUNTA(AT372:AV372)=3,ISNUMBER(AV372))),0,1)+IF(OR(COUNTA(AW372:AY372)=0,AND(COUNTA(AW372:AY372)=3,ISNUMBER(AY372))),0,1)+IF(OR(COUNTA(AZ372:BB372)=0,AND(COUNTA(AZ372:BB372)=3,ISNUMBER(BB372))),0,1))&gt;0,"; An invoice is incomplete (needs No, Date and a number in Ex GST)","")&amp;IF((IF(T372="",0,IFERROR(--(EOMONTH(T372,0)&lt;&gt;S$5),1))+IF(W372="",0,IFERROR(--(EOMONTH(W372,0)&lt;&gt;V$5),1))+IF(Z372="",0,IFERROR(--(EOMONTH(Z372,0)&lt;&gt;Y$5),1))+IF(AC372="",0,IFERROR(--(EOMONTH(AC372,0)&lt;&gt;AB$5),1))+IF(AF372="",0,IFERROR(--(EOMONTH(AF372,0)&lt;&gt;AE$5),1))+IF(AI372="",0,IFERROR(--(EOMONTH(AI372,0)&lt;&gt;AH$5),1))+IF(AL372="",0,IFERROR(--(EOMONTH(AL372,0)&lt;&gt;AK$5),1))+IF(AO372="",0,IFERROR(--(EOMONTH(AO372,0)&lt;&gt;AN$5),1))+IF(AR372="",0,IFERROR(--(EOMONTH(AR372,0)&lt;&gt;AQ$5),1))+IF(AU372="",0,IFERROR(--(EOMONTH(AU372,0)&lt;&gt;AT$5),1))+IF(AX372="",0,IFERROR(--(EOMONTH(AX372,0)&lt;&gt;AW$5),1))+IF(BA372="",0,IFERROR(--(EOMONTH(BA372,0)&lt;&gt;AZ$5),1)))&gt;0,"; An invoice date is not in the month it is typed under",""),3,500))</f>
        <v/>
      </c>
      <c r="S372" s="12" t="n"/>
      <c r="T372" s="13" t="n"/>
      <c r="U372" s="14" t="n"/>
      <c r="V372" s="12" t="n"/>
      <c r="W372" s="13" t="n"/>
      <c r="X372" s="14" t="n"/>
      <c r="Y372" s="12" t="n"/>
      <c r="Z372" s="13" t="n"/>
      <c r="AA372" s="14" t="n"/>
      <c r="AB372" s="12" t="n"/>
      <c r="AC372" s="13" t="n"/>
      <c r="AD372" s="14" t="n"/>
      <c r="AE372" s="12" t="n"/>
      <c r="AF372" s="13" t="n"/>
      <c r="AG372" s="14" t="n"/>
      <c r="AH372" s="12" t="n"/>
      <c r="AI372" s="13" t="n"/>
      <c r="AJ372" s="14" t="n"/>
      <c r="AK372" s="12" t="n"/>
      <c r="AL372" s="13" t="n"/>
      <c r="AM372" s="14" t="n"/>
      <c r="AN372" s="12" t="n"/>
      <c r="AO372" s="13" t="n"/>
      <c r="AP372" s="14" t="n"/>
      <c r="AQ372" s="12" t="n"/>
      <c r="AR372" s="13" t="n"/>
      <c r="AS372" s="14" t="n"/>
      <c r="AT372" s="12" t="n"/>
      <c r="AU372" s="13" t="n"/>
      <c r="AV372" s="14" t="n"/>
      <c r="AW372" s="12" t="n"/>
      <c r="AX372" s="13" t="n"/>
      <c r="AY372" s="14" t="n"/>
      <c r="AZ372" s="12" t="n"/>
      <c r="BA372" s="13" t="n"/>
      <c r="BB372" s="14" t="n"/>
      <c r="BC372" s="11">
        <f>IF(O372="","",IF(J372="GST 10%",ROUND(O372*set_GSTRate,2),0))</f>
        <v/>
      </c>
      <c r="BD372" s="11">
        <f>IF(O372="","",O372+BC372)</f>
        <v/>
      </c>
      <c r="BE372" s="15">
        <f>IF(O372="","",COUNTA(S372,V372,Y372,AB372,AE372,AH372,AK372,AN372,AQ372,AT372,AW372,AZ372))</f>
        <v/>
      </c>
      <c r="BF372" s="16">
        <f>IF(COUNT(T372,W372,Z372,AC372,AF372,AI372,AL372,AO372,AR372,AU372,AX372,BA372)=0,"",MAX(T372,W372,Z372,AC372,AF372,AI372,AL372,AO372,AR372,AU372,AX372,BA372))</f>
        <v/>
      </c>
      <c r="BG372" s="10">
        <f>MID(IF(S372="","",", "&amp;S372)&amp;IF(V372="","",", "&amp;V372)&amp;IF(Y372="","",", "&amp;Y372)&amp;IF(AB372="","",", "&amp;AB372)&amp;IF(AE372="","",", "&amp;AE372)&amp;IF(AH372="","",", "&amp;AH372)&amp;IF(AK372="","",", "&amp;AK372)&amp;IF(AN372="","",", "&amp;AN372)&amp;IF(AQ372="","",", "&amp;AQ372)&amp;IF(AT372="","",", "&amp;AT372)&amp;IF(AW372="","",", "&amp;AW372)&amp;IF(AZ372="","",", "&amp;AZ372),3,500)</f>
        <v/>
      </c>
      <c r="BH372" s="12" t="n"/>
      <c r="BI372" s="15">
        <f>IFERROR(MATCH($A372,IF($B372="Onsite",tbl_Onsite[Row ID],IF($B372="Production",tbl_Production[Row ID],tbl_Consulting[Row ID])),0),"")</f>
        <v/>
      </c>
    </row>
    <row r="373">
      <c r="A373" s="10" t="inlineStr">
        <is>
          <t>ONS-0367</t>
        </is>
      </c>
      <c r="B373" s="10" t="inlineStr">
        <is>
          <t>Onsite</t>
        </is>
      </c>
      <c r="C373" s="10">
        <f>IF($BI373="","",IF($B373="Onsite",INDEX(tbl_Onsite[Job Number],$BI373),IF($B373="Production",INDEX(tbl_Production[Job Number],$BI373),INDEX(tbl_Consulting[Job Number],$BI373)))&amp;"")</f>
        <v/>
      </c>
      <c r="D373" s="10">
        <f>IF($BI373="","",IF($B373="Onsite",INDEX(tbl_Onsite[Client],$BI373),IF($B373="Production",INDEX(tbl_Production[Client],$BI373),INDEX(tbl_Consulting[Client],$BI373)))&amp;"")</f>
        <v/>
      </c>
      <c r="E373" s="10">
        <f>IF($C373="","",IF(COUNTIF(lst_Jobs,$C373)&gt;0,"OK","CHECK"))</f>
        <v/>
      </c>
      <c r="F373" s="10">
        <f>IF($C373="","",IFERROR(INDEX(lst_JobName,MATCH($C373,lst_Jobs,0)),""))</f>
        <v/>
      </c>
      <c r="G373" s="10">
        <f>IF($BI373="","",IF($B373="Onsite",INDEX(tbl_Onsite[Job Description],$BI373),IF($B373="Production",INDEX(tbl_Production[Job Description],$BI373),INDEX(tbl_Consulting[Job Description],$BI373)))&amp;"")</f>
        <v/>
      </c>
      <c r="H373" s="10">
        <f>IF($BI373="","",IF($B373="Onsite",INDEX(tbl_Onsite[Cost Centre],$BI373),IF($B373="Production",INDEX(tbl_Production[Cost Centre],$BI373),INDEX(tbl_Consulting[Cost Centre],$BI373)))&amp;"")</f>
        <v/>
      </c>
      <c r="I373" s="10">
        <f>IF($BI373="","",IF($B373="Onsite",INDEX(tbl_Onsite[Invoice Type],$BI373),IF($B373="Production",INDEX(tbl_Production[Invoice Type],$BI373),INDEX(tbl_Consulting[Invoice Type],$BI373)))&amp;"")</f>
        <v/>
      </c>
      <c r="J373" s="10">
        <f>IF($BI373="","",IF($B373="Onsite",INDEX(tbl_Onsite[Tax Code],$BI373),IF($B373="Production",INDEX(tbl_Production[Tax Code],$BI373),INDEX(tbl_Consulting[Tax Code],$BI373)))&amp;"")</f>
        <v/>
      </c>
      <c r="K373" s="10">
        <f>IF(H373="","",IFERROR(INDEX(lst_CCtoGL,MATCH(H373,lst_CCforGL,0)),""))</f>
        <v/>
      </c>
      <c r="L373" s="10">
        <f>IF($BI373="","",IF($B373="Onsite",INDEX(tbl_Onsite[PO / Reference],$BI373),IF($B373="Production",INDEX(tbl_Production[Current RMS No],$BI373),INDEX(tbl_Consulting[Qwilr Quote],$BI373)))&amp;"")</f>
        <v/>
      </c>
      <c r="M373" s="10">
        <f>IF($BI373="","",IF($B373="Onsite",INDEX(tbl_Onsite[Notes],$BI373),IF($B373="Production",INDEX(tbl_Production[Notes],$BI373),INDEX(tbl_Consulting[Notes],$BI373)))&amp;"")</f>
        <v/>
      </c>
      <c r="N373" s="11">
        <f>IF($BI373="","",IF(IF($B373="Onsite",INDEX(tbl_Onsite[Expected Revenue Ex GST],$BI373),IF($B373="Production",INDEX(tbl_Production[Expected Revenue Ex GST],$BI373),INDEX(tbl_Consulting[Expected Revenue Ex GST],$BI373)))="","",IF($B373="Onsite",INDEX(tbl_Onsite[Expected Revenue Ex GST],$BI373),IF($B373="Production",INDEX(tbl_Production[Expected Revenue Ex GST],$BI373),INDEX(tbl_Consulting[Expected Revenue Ex GST],$BI373)))))</f>
        <v/>
      </c>
      <c r="O373" s="11">
        <f>IF(AND($C373="",NOT(COUNTA($S373:$BB373)&gt;0)),"",SUM(U373,X373,AA373,AD373,AG373,AJ373,AM373,AP373,AS373,AV373,AY373,BB373))</f>
        <v/>
      </c>
      <c r="P373" s="11">
        <f>IF(O373="","",N(N373)-O373)</f>
        <v/>
      </c>
      <c r="Q373" s="10">
        <f>IF(O373="","",IF($C373="","Invoice on empty job row",IF(N373="",IF(ROUND(O373,2)=0,"No dept value","Invoiced - no dept value"),IF(ROUND(O373,2)=0,"Not invoiced - to invoice",IF(ROUND(P373,2)=0,"Agrees",IF(P373&gt;0,"Dept higher - to invoice","Xero higher - check dept"))))))</f>
        <v/>
      </c>
      <c r="R373" s="10">
        <f>IF(AND($C373="",NOT(COUNTA($S373:$BB373)&gt;0),$BI373&lt;&gt;""),"",MID(IF($BI373="","; Row ID not found on the department sheet - a row was deleted","")&amp;IF(AND($C373="",COUNTA($S373:$BB373)&gt;0),"; Invoice entered but the department row has no job number","")&amp;IF(E373="CHECK","; Job number not in the Xero job list","")&amp;IF(AND($C373&lt;&gt;"",COUNTIF($C$7:$C$1506,$C373)&gt;1),"; Job number on more than one row","")&amp;IF(AND($C373&lt;&gt;"",H373=""),"; Dept has not set a cost centre","")&amp;IF(AND($C373&lt;&gt;"",J373=""),"; Dept has not set a tax code","")&amp;IF(AND($C373&lt;&gt;"",N373=""),"; Dept has not entered an expected value","")&amp;IF((IF(OR(COUNTA(S373:U373)=0,AND(COUNTA(S373:U373)=3,ISNUMBER(U373))),0,1)+IF(OR(COUNTA(V373:X373)=0,AND(COUNTA(V373:X373)=3,ISNUMBER(X373))),0,1)+IF(OR(COUNTA(Y373:AA373)=0,AND(COUNTA(Y373:AA373)=3,ISNUMBER(AA373))),0,1)+IF(OR(COUNTA(AB373:AD373)=0,AND(COUNTA(AB373:AD373)=3,ISNUMBER(AD373))),0,1)+IF(OR(COUNTA(AE373:AG373)=0,AND(COUNTA(AE373:AG373)=3,ISNUMBER(AG373))),0,1)+IF(OR(COUNTA(AH373:AJ373)=0,AND(COUNTA(AH373:AJ373)=3,ISNUMBER(AJ373))),0,1)+IF(OR(COUNTA(AK373:AM373)=0,AND(COUNTA(AK373:AM373)=3,ISNUMBER(AM373))),0,1)+IF(OR(COUNTA(AN373:AP373)=0,AND(COUNTA(AN373:AP373)=3,ISNUMBER(AP373))),0,1)+IF(OR(COUNTA(AQ373:AS373)=0,AND(COUNTA(AQ373:AS373)=3,ISNUMBER(AS373))),0,1)+IF(OR(COUNTA(AT373:AV373)=0,AND(COUNTA(AT373:AV373)=3,ISNUMBER(AV373))),0,1)+IF(OR(COUNTA(AW373:AY373)=0,AND(COUNTA(AW373:AY373)=3,ISNUMBER(AY373))),0,1)+IF(OR(COUNTA(AZ373:BB373)=0,AND(COUNTA(AZ373:BB373)=3,ISNUMBER(BB373))),0,1))&gt;0,"; An invoice is incomplete (needs No, Date and a number in Ex GST)","")&amp;IF((IF(T373="",0,IFERROR(--(EOMONTH(T373,0)&lt;&gt;S$5),1))+IF(W373="",0,IFERROR(--(EOMONTH(W373,0)&lt;&gt;V$5),1))+IF(Z373="",0,IFERROR(--(EOMONTH(Z373,0)&lt;&gt;Y$5),1))+IF(AC373="",0,IFERROR(--(EOMONTH(AC373,0)&lt;&gt;AB$5),1))+IF(AF373="",0,IFERROR(--(EOMONTH(AF373,0)&lt;&gt;AE$5),1))+IF(AI373="",0,IFERROR(--(EOMONTH(AI373,0)&lt;&gt;AH$5),1))+IF(AL373="",0,IFERROR(--(EOMONTH(AL373,0)&lt;&gt;AK$5),1))+IF(AO373="",0,IFERROR(--(EOMONTH(AO373,0)&lt;&gt;AN$5),1))+IF(AR373="",0,IFERROR(--(EOMONTH(AR373,0)&lt;&gt;AQ$5),1))+IF(AU373="",0,IFERROR(--(EOMONTH(AU373,0)&lt;&gt;AT$5),1))+IF(AX373="",0,IFERROR(--(EOMONTH(AX373,0)&lt;&gt;AW$5),1))+IF(BA373="",0,IFERROR(--(EOMONTH(BA373,0)&lt;&gt;AZ$5),1)))&gt;0,"; An invoice date is not in the month it is typed under",""),3,500))</f>
        <v/>
      </c>
      <c r="S373" s="12" t="n"/>
      <c r="T373" s="13" t="n"/>
      <c r="U373" s="14" t="n"/>
      <c r="V373" s="12" t="n"/>
      <c r="W373" s="13" t="n"/>
      <c r="X373" s="14" t="n"/>
      <c r="Y373" s="12" t="n"/>
      <c r="Z373" s="13" t="n"/>
      <c r="AA373" s="14" t="n"/>
      <c r="AB373" s="12" t="n"/>
      <c r="AC373" s="13" t="n"/>
      <c r="AD373" s="14" t="n"/>
      <c r="AE373" s="12" t="n"/>
      <c r="AF373" s="13" t="n"/>
      <c r="AG373" s="14" t="n"/>
      <c r="AH373" s="12" t="n"/>
      <c r="AI373" s="13" t="n"/>
      <c r="AJ373" s="14" t="n"/>
      <c r="AK373" s="12" t="n"/>
      <c r="AL373" s="13" t="n"/>
      <c r="AM373" s="14" t="n"/>
      <c r="AN373" s="12" t="n"/>
      <c r="AO373" s="13" t="n"/>
      <c r="AP373" s="14" t="n"/>
      <c r="AQ373" s="12" t="n"/>
      <c r="AR373" s="13" t="n"/>
      <c r="AS373" s="14" t="n"/>
      <c r="AT373" s="12" t="n"/>
      <c r="AU373" s="13" t="n"/>
      <c r="AV373" s="14" t="n"/>
      <c r="AW373" s="12" t="n"/>
      <c r="AX373" s="13" t="n"/>
      <c r="AY373" s="14" t="n"/>
      <c r="AZ373" s="12" t="n"/>
      <c r="BA373" s="13" t="n"/>
      <c r="BB373" s="14" t="n"/>
      <c r="BC373" s="11">
        <f>IF(O373="","",IF(J373="GST 10%",ROUND(O373*set_GSTRate,2),0))</f>
        <v/>
      </c>
      <c r="BD373" s="11">
        <f>IF(O373="","",O373+BC373)</f>
        <v/>
      </c>
      <c r="BE373" s="15">
        <f>IF(O373="","",COUNTA(S373,V373,Y373,AB373,AE373,AH373,AK373,AN373,AQ373,AT373,AW373,AZ373))</f>
        <v/>
      </c>
      <c r="BF373" s="16">
        <f>IF(COUNT(T373,W373,Z373,AC373,AF373,AI373,AL373,AO373,AR373,AU373,AX373,BA373)=0,"",MAX(T373,W373,Z373,AC373,AF373,AI373,AL373,AO373,AR373,AU373,AX373,BA373))</f>
        <v/>
      </c>
      <c r="BG373" s="10">
        <f>MID(IF(S373="","",", "&amp;S373)&amp;IF(V373="","",", "&amp;V373)&amp;IF(Y373="","",", "&amp;Y373)&amp;IF(AB373="","",", "&amp;AB373)&amp;IF(AE373="","",", "&amp;AE373)&amp;IF(AH373="","",", "&amp;AH373)&amp;IF(AK373="","",", "&amp;AK373)&amp;IF(AN373="","",", "&amp;AN373)&amp;IF(AQ373="","",", "&amp;AQ373)&amp;IF(AT373="","",", "&amp;AT373)&amp;IF(AW373="","",", "&amp;AW373)&amp;IF(AZ373="","",", "&amp;AZ373),3,500)</f>
        <v/>
      </c>
      <c r="BH373" s="12" t="n"/>
      <c r="BI373" s="15">
        <f>IFERROR(MATCH($A373,IF($B373="Onsite",tbl_Onsite[Row ID],IF($B373="Production",tbl_Production[Row ID],tbl_Consulting[Row ID])),0),"")</f>
        <v/>
      </c>
    </row>
    <row r="374">
      <c r="A374" s="10" t="inlineStr">
        <is>
          <t>ONS-0368</t>
        </is>
      </c>
      <c r="B374" s="10" t="inlineStr">
        <is>
          <t>Onsite</t>
        </is>
      </c>
      <c r="C374" s="10">
        <f>IF($BI374="","",IF($B374="Onsite",INDEX(tbl_Onsite[Job Number],$BI374),IF($B374="Production",INDEX(tbl_Production[Job Number],$BI374),INDEX(tbl_Consulting[Job Number],$BI374)))&amp;"")</f>
        <v/>
      </c>
      <c r="D374" s="10">
        <f>IF($BI374="","",IF($B374="Onsite",INDEX(tbl_Onsite[Client],$BI374),IF($B374="Production",INDEX(tbl_Production[Client],$BI374),INDEX(tbl_Consulting[Client],$BI374)))&amp;"")</f>
        <v/>
      </c>
      <c r="E374" s="10">
        <f>IF($C374="","",IF(COUNTIF(lst_Jobs,$C374)&gt;0,"OK","CHECK"))</f>
        <v/>
      </c>
      <c r="F374" s="10">
        <f>IF($C374="","",IFERROR(INDEX(lst_JobName,MATCH($C374,lst_Jobs,0)),""))</f>
        <v/>
      </c>
      <c r="G374" s="10">
        <f>IF($BI374="","",IF($B374="Onsite",INDEX(tbl_Onsite[Job Description],$BI374),IF($B374="Production",INDEX(tbl_Production[Job Description],$BI374),INDEX(tbl_Consulting[Job Description],$BI374)))&amp;"")</f>
        <v/>
      </c>
      <c r="H374" s="10">
        <f>IF($BI374="","",IF($B374="Onsite",INDEX(tbl_Onsite[Cost Centre],$BI374),IF($B374="Production",INDEX(tbl_Production[Cost Centre],$BI374),INDEX(tbl_Consulting[Cost Centre],$BI374)))&amp;"")</f>
        <v/>
      </c>
      <c r="I374" s="10">
        <f>IF($BI374="","",IF($B374="Onsite",INDEX(tbl_Onsite[Invoice Type],$BI374),IF($B374="Production",INDEX(tbl_Production[Invoice Type],$BI374),INDEX(tbl_Consulting[Invoice Type],$BI374)))&amp;"")</f>
        <v/>
      </c>
      <c r="J374" s="10">
        <f>IF($BI374="","",IF($B374="Onsite",INDEX(tbl_Onsite[Tax Code],$BI374),IF($B374="Production",INDEX(tbl_Production[Tax Code],$BI374),INDEX(tbl_Consulting[Tax Code],$BI374)))&amp;"")</f>
        <v/>
      </c>
      <c r="K374" s="10">
        <f>IF(H374="","",IFERROR(INDEX(lst_CCtoGL,MATCH(H374,lst_CCforGL,0)),""))</f>
        <v/>
      </c>
      <c r="L374" s="10">
        <f>IF($BI374="","",IF($B374="Onsite",INDEX(tbl_Onsite[PO / Reference],$BI374),IF($B374="Production",INDEX(tbl_Production[Current RMS No],$BI374),INDEX(tbl_Consulting[Qwilr Quote],$BI374)))&amp;"")</f>
        <v/>
      </c>
      <c r="M374" s="10">
        <f>IF($BI374="","",IF($B374="Onsite",INDEX(tbl_Onsite[Notes],$BI374),IF($B374="Production",INDEX(tbl_Production[Notes],$BI374),INDEX(tbl_Consulting[Notes],$BI374)))&amp;"")</f>
        <v/>
      </c>
      <c r="N374" s="11">
        <f>IF($BI374="","",IF(IF($B374="Onsite",INDEX(tbl_Onsite[Expected Revenue Ex GST],$BI374),IF($B374="Production",INDEX(tbl_Production[Expected Revenue Ex GST],$BI374),INDEX(tbl_Consulting[Expected Revenue Ex GST],$BI374)))="","",IF($B374="Onsite",INDEX(tbl_Onsite[Expected Revenue Ex GST],$BI374),IF($B374="Production",INDEX(tbl_Production[Expected Revenue Ex GST],$BI374),INDEX(tbl_Consulting[Expected Revenue Ex GST],$BI374)))))</f>
        <v/>
      </c>
      <c r="O374" s="11">
        <f>IF(AND($C374="",NOT(COUNTA($S374:$BB374)&gt;0)),"",SUM(U374,X374,AA374,AD374,AG374,AJ374,AM374,AP374,AS374,AV374,AY374,BB374))</f>
        <v/>
      </c>
      <c r="P374" s="11">
        <f>IF(O374="","",N(N374)-O374)</f>
        <v/>
      </c>
      <c r="Q374" s="10">
        <f>IF(O374="","",IF($C374="","Invoice on empty job row",IF(N374="",IF(ROUND(O374,2)=0,"No dept value","Invoiced - no dept value"),IF(ROUND(O374,2)=0,"Not invoiced - to invoice",IF(ROUND(P374,2)=0,"Agrees",IF(P374&gt;0,"Dept higher - to invoice","Xero higher - check dept"))))))</f>
        <v/>
      </c>
      <c r="R374" s="10">
        <f>IF(AND($C374="",NOT(COUNTA($S374:$BB374)&gt;0),$BI374&lt;&gt;""),"",MID(IF($BI374="","; Row ID not found on the department sheet - a row was deleted","")&amp;IF(AND($C374="",COUNTA($S374:$BB374)&gt;0),"; Invoice entered but the department row has no job number","")&amp;IF(E374="CHECK","; Job number not in the Xero job list","")&amp;IF(AND($C374&lt;&gt;"",COUNTIF($C$7:$C$1506,$C374)&gt;1),"; Job number on more than one row","")&amp;IF(AND($C374&lt;&gt;"",H374=""),"; Dept has not set a cost centre","")&amp;IF(AND($C374&lt;&gt;"",J374=""),"; Dept has not set a tax code","")&amp;IF(AND($C374&lt;&gt;"",N374=""),"; Dept has not entered an expected value","")&amp;IF((IF(OR(COUNTA(S374:U374)=0,AND(COUNTA(S374:U374)=3,ISNUMBER(U374))),0,1)+IF(OR(COUNTA(V374:X374)=0,AND(COUNTA(V374:X374)=3,ISNUMBER(X374))),0,1)+IF(OR(COUNTA(Y374:AA374)=0,AND(COUNTA(Y374:AA374)=3,ISNUMBER(AA374))),0,1)+IF(OR(COUNTA(AB374:AD374)=0,AND(COUNTA(AB374:AD374)=3,ISNUMBER(AD374))),0,1)+IF(OR(COUNTA(AE374:AG374)=0,AND(COUNTA(AE374:AG374)=3,ISNUMBER(AG374))),0,1)+IF(OR(COUNTA(AH374:AJ374)=0,AND(COUNTA(AH374:AJ374)=3,ISNUMBER(AJ374))),0,1)+IF(OR(COUNTA(AK374:AM374)=0,AND(COUNTA(AK374:AM374)=3,ISNUMBER(AM374))),0,1)+IF(OR(COUNTA(AN374:AP374)=0,AND(COUNTA(AN374:AP374)=3,ISNUMBER(AP374))),0,1)+IF(OR(COUNTA(AQ374:AS374)=0,AND(COUNTA(AQ374:AS374)=3,ISNUMBER(AS374))),0,1)+IF(OR(COUNTA(AT374:AV374)=0,AND(COUNTA(AT374:AV374)=3,ISNUMBER(AV374))),0,1)+IF(OR(COUNTA(AW374:AY374)=0,AND(COUNTA(AW374:AY374)=3,ISNUMBER(AY374))),0,1)+IF(OR(COUNTA(AZ374:BB374)=0,AND(COUNTA(AZ374:BB374)=3,ISNUMBER(BB374))),0,1))&gt;0,"; An invoice is incomplete (needs No, Date and a number in Ex GST)","")&amp;IF((IF(T374="",0,IFERROR(--(EOMONTH(T374,0)&lt;&gt;S$5),1))+IF(W374="",0,IFERROR(--(EOMONTH(W374,0)&lt;&gt;V$5),1))+IF(Z374="",0,IFERROR(--(EOMONTH(Z374,0)&lt;&gt;Y$5),1))+IF(AC374="",0,IFERROR(--(EOMONTH(AC374,0)&lt;&gt;AB$5),1))+IF(AF374="",0,IFERROR(--(EOMONTH(AF374,0)&lt;&gt;AE$5),1))+IF(AI374="",0,IFERROR(--(EOMONTH(AI374,0)&lt;&gt;AH$5),1))+IF(AL374="",0,IFERROR(--(EOMONTH(AL374,0)&lt;&gt;AK$5),1))+IF(AO374="",0,IFERROR(--(EOMONTH(AO374,0)&lt;&gt;AN$5),1))+IF(AR374="",0,IFERROR(--(EOMONTH(AR374,0)&lt;&gt;AQ$5),1))+IF(AU374="",0,IFERROR(--(EOMONTH(AU374,0)&lt;&gt;AT$5),1))+IF(AX374="",0,IFERROR(--(EOMONTH(AX374,0)&lt;&gt;AW$5),1))+IF(BA374="",0,IFERROR(--(EOMONTH(BA374,0)&lt;&gt;AZ$5),1)))&gt;0,"; An invoice date is not in the month it is typed under",""),3,500))</f>
        <v/>
      </c>
      <c r="S374" s="12" t="n"/>
      <c r="T374" s="13" t="n"/>
      <c r="U374" s="14" t="n"/>
      <c r="V374" s="12" t="n"/>
      <c r="W374" s="13" t="n"/>
      <c r="X374" s="14" t="n"/>
      <c r="Y374" s="12" t="n"/>
      <c r="Z374" s="13" t="n"/>
      <c r="AA374" s="14" t="n"/>
      <c r="AB374" s="12" t="n"/>
      <c r="AC374" s="13" t="n"/>
      <c r="AD374" s="14" t="n"/>
      <c r="AE374" s="12" t="n"/>
      <c r="AF374" s="13" t="n"/>
      <c r="AG374" s="14" t="n"/>
      <c r="AH374" s="12" t="n"/>
      <c r="AI374" s="13" t="n"/>
      <c r="AJ374" s="14" t="n"/>
      <c r="AK374" s="12" t="n"/>
      <c r="AL374" s="13" t="n"/>
      <c r="AM374" s="14" t="n"/>
      <c r="AN374" s="12" t="n"/>
      <c r="AO374" s="13" t="n"/>
      <c r="AP374" s="14" t="n"/>
      <c r="AQ374" s="12" t="n"/>
      <c r="AR374" s="13" t="n"/>
      <c r="AS374" s="14" t="n"/>
      <c r="AT374" s="12" t="n"/>
      <c r="AU374" s="13" t="n"/>
      <c r="AV374" s="14" t="n"/>
      <c r="AW374" s="12" t="n"/>
      <c r="AX374" s="13" t="n"/>
      <c r="AY374" s="14" t="n"/>
      <c r="AZ374" s="12" t="n"/>
      <c r="BA374" s="13" t="n"/>
      <c r="BB374" s="14" t="n"/>
      <c r="BC374" s="11">
        <f>IF(O374="","",IF(J374="GST 10%",ROUND(O374*set_GSTRate,2),0))</f>
        <v/>
      </c>
      <c r="BD374" s="11">
        <f>IF(O374="","",O374+BC374)</f>
        <v/>
      </c>
      <c r="BE374" s="15">
        <f>IF(O374="","",COUNTA(S374,V374,Y374,AB374,AE374,AH374,AK374,AN374,AQ374,AT374,AW374,AZ374))</f>
        <v/>
      </c>
      <c r="BF374" s="16">
        <f>IF(COUNT(T374,W374,Z374,AC374,AF374,AI374,AL374,AO374,AR374,AU374,AX374,BA374)=0,"",MAX(T374,W374,Z374,AC374,AF374,AI374,AL374,AO374,AR374,AU374,AX374,BA374))</f>
        <v/>
      </c>
      <c r="BG374" s="10">
        <f>MID(IF(S374="","",", "&amp;S374)&amp;IF(V374="","",", "&amp;V374)&amp;IF(Y374="","",", "&amp;Y374)&amp;IF(AB374="","",", "&amp;AB374)&amp;IF(AE374="","",", "&amp;AE374)&amp;IF(AH374="","",", "&amp;AH374)&amp;IF(AK374="","",", "&amp;AK374)&amp;IF(AN374="","",", "&amp;AN374)&amp;IF(AQ374="","",", "&amp;AQ374)&amp;IF(AT374="","",", "&amp;AT374)&amp;IF(AW374="","",", "&amp;AW374)&amp;IF(AZ374="","",", "&amp;AZ374),3,500)</f>
        <v/>
      </c>
      <c r="BH374" s="12" t="n"/>
      <c r="BI374" s="15">
        <f>IFERROR(MATCH($A374,IF($B374="Onsite",tbl_Onsite[Row ID],IF($B374="Production",tbl_Production[Row ID],tbl_Consulting[Row ID])),0),"")</f>
        <v/>
      </c>
    </row>
    <row r="375">
      <c r="A375" s="10" t="inlineStr">
        <is>
          <t>ONS-0369</t>
        </is>
      </c>
      <c r="B375" s="10" t="inlineStr">
        <is>
          <t>Onsite</t>
        </is>
      </c>
      <c r="C375" s="10">
        <f>IF($BI375="","",IF($B375="Onsite",INDEX(tbl_Onsite[Job Number],$BI375),IF($B375="Production",INDEX(tbl_Production[Job Number],$BI375),INDEX(tbl_Consulting[Job Number],$BI375)))&amp;"")</f>
        <v/>
      </c>
      <c r="D375" s="10">
        <f>IF($BI375="","",IF($B375="Onsite",INDEX(tbl_Onsite[Client],$BI375),IF($B375="Production",INDEX(tbl_Production[Client],$BI375),INDEX(tbl_Consulting[Client],$BI375)))&amp;"")</f>
        <v/>
      </c>
      <c r="E375" s="10">
        <f>IF($C375="","",IF(COUNTIF(lst_Jobs,$C375)&gt;0,"OK","CHECK"))</f>
        <v/>
      </c>
      <c r="F375" s="10">
        <f>IF($C375="","",IFERROR(INDEX(lst_JobName,MATCH($C375,lst_Jobs,0)),""))</f>
        <v/>
      </c>
      <c r="G375" s="10">
        <f>IF($BI375="","",IF($B375="Onsite",INDEX(tbl_Onsite[Job Description],$BI375),IF($B375="Production",INDEX(tbl_Production[Job Description],$BI375),INDEX(tbl_Consulting[Job Description],$BI375)))&amp;"")</f>
        <v/>
      </c>
      <c r="H375" s="10">
        <f>IF($BI375="","",IF($B375="Onsite",INDEX(tbl_Onsite[Cost Centre],$BI375),IF($B375="Production",INDEX(tbl_Production[Cost Centre],$BI375),INDEX(tbl_Consulting[Cost Centre],$BI375)))&amp;"")</f>
        <v/>
      </c>
      <c r="I375" s="10">
        <f>IF($BI375="","",IF($B375="Onsite",INDEX(tbl_Onsite[Invoice Type],$BI375),IF($B375="Production",INDEX(tbl_Production[Invoice Type],$BI375),INDEX(tbl_Consulting[Invoice Type],$BI375)))&amp;"")</f>
        <v/>
      </c>
      <c r="J375" s="10">
        <f>IF($BI375="","",IF($B375="Onsite",INDEX(tbl_Onsite[Tax Code],$BI375),IF($B375="Production",INDEX(tbl_Production[Tax Code],$BI375),INDEX(tbl_Consulting[Tax Code],$BI375)))&amp;"")</f>
        <v/>
      </c>
      <c r="K375" s="10">
        <f>IF(H375="","",IFERROR(INDEX(lst_CCtoGL,MATCH(H375,lst_CCforGL,0)),""))</f>
        <v/>
      </c>
      <c r="L375" s="10">
        <f>IF($BI375="","",IF($B375="Onsite",INDEX(tbl_Onsite[PO / Reference],$BI375),IF($B375="Production",INDEX(tbl_Production[Current RMS No],$BI375),INDEX(tbl_Consulting[Qwilr Quote],$BI375)))&amp;"")</f>
        <v/>
      </c>
      <c r="M375" s="10">
        <f>IF($BI375="","",IF($B375="Onsite",INDEX(tbl_Onsite[Notes],$BI375),IF($B375="Production",INDEX(tbl_Production[Notes],$BI375),INDEX(tbl_Consulting[Notes],$BI375)))&amp;"")</f>
        <v/>
      </c>
      <c r="N375" s="11">
        <f>IF($BI375="","",IF(IF($B375="Onsite",INDEX(tbl_Onsite[Expected Revenue Ex GST],$BI375),IF($B375="Production",INDEX(tbl_Production[Expected Revenue Ex GST],$BI375),INDEX(tbl_Consulting[Expected Revenue Ex GST],$BI375)))="","",IF($B375="Onsite",INDEX(tbl_Onsite[Expected Revenue Ex GST],$BI375),IF($B375="Production",INDEX(tbl_Production[Expected Revenue Ex GST],$BI375),INDEX(tbl_Consulting[Expected Revenue Ex GST],$BI375)))))</f>
        <v/>
      </c>
      <c r="O375" s="11">
        <f>IF(AND($C375="",NOT(COUNTA($S375:$BB375)&gt;0)),"",SUM(U375,X375,AA375,AD375,AG375,AJ375,AM375,AP375,AS375,AV375,AY375,BB375))</f>
        <v/>
      </c>
      <c r="P375" s="11">
        <f>IF(O375="","",N(N375)-O375)</f>
        <v/>
      </c>
      <c r="Q375" s="10">
        <f>IF(O375="","",IF($C375="","Invoice on empty job row",IF(N375="",IF(ROUND(O375,2)=0,"No dept value","Invoiced - no dept value"),IF(ROUND(O375,2)=0,"Not invoiced - to invoice",IF(ROUND(P375,2)=0,"Agrees",IF(P375&gt;0,"Dept higher - to invoice","Xero higher - check dept"))))))</f>
        <v/>
      </c>
      <c r="R375" s="10">
        <f>IF(AND($C375="",NOT(COUNTA($S375:$BB375)&gt;0),$BI375&lt;&gt;""),"",MID(IF($BI375="","; Row ID not found on the department sheet - a row was deleted","")&amp;IF(AND($C375="",COUNTA($S375:$BB375)&gt;0),"; Invoice entered but the department row has no job number","")&amp;IF(E375="CHECK","; Job number not in the Xero job list","")&amp;IF(AND($C375&lt;&gt;"",COUNTIF($C$7:$C$1506,$C375)&gt;1),"; Job number on more than one row","")&amp;IF(AND($C375&lt;&gt;"",H375=""),"; Dept has not set a cost centre","")&amp;IF(AND($C375&lt;&gt;"",J375=""),"; Dept has not set a tax code","")&amp;IF(AND($C375&lt;&gt;"",N375=""),"; Dept has not entered an expected value","")&amp;IF((IF(OR(COUNTA(S375:U375)=0,AND(COUNTA(S375:U375)=3,ISNUMBER(U375))),0,1)+IF(OR(COUNTA(V375:X375)=0,AND(COUNTA(V375:X375)=3,ISNUMBER(X375))),0,1)+IF(OR(COUNTA(Y375:AA375)=0,AND(COUNTA(Y375:AA375)=3,ISNUMBER(AA375))),0,1)+IF(OR(COUNTA(AB375:AD375)=0,AND(COUNTA(AB375:AD375)=3,ISNUMBER(AD375))),0,1)+IF(OR(COUNTA(AE375:AG375)=0,AND(COUNTA(AE375:AG375)=3,ISNUMBER(AG375))),0,1)+IF(OR(COUNTA(AH375:AJ375)=0,AND(COUNTA(AH375:AJ375)=3,ISNUMBER(AJ375))),0,1)+IF(OR(COUNTA(AK375:AM375)=0,AND(COUNTA(AK375:AM375)=3,ISNUMBER(AM375))),0,1)+IF(OR(COUNTA(AN375:AP375)=0,AND(COUNTA(AN375:AP375)=3,ISNUMBER(AP375))),0,1)+IF(OR(COUNTA(AQ375:AS375)=0,AND(COUNTA(AQ375:AS375)=3,ISNUMBER(AS375))),0,1)+IF(OR(COUNTA(AT375:AV375)=0,AND(COUNTA(AT375:AV375)=3,ISNUMBER(AV375))),0,1)+IF(OR(COUNTA(AW375:AY375)=0,AND(COUNTA(AW375:AY375)=3,ISNUMBER(AY375))),0,1)+IF(OR(COUNTA(AZ375:BB375)=0,AND(COUNTA(AZ375:BB375)=3,ISNUMBER(BB375))),0,1))&gt;0,"; An invoice is incomplete (needs No, Date and a number in Ex GST)","")&amp;IF((IF(T375="",0,IFERROR(--(EOMONTH(T375,0)&lt;&gt;S$5),1))+IF(W375="",0,IFERROR(--(EOMONTH(W375,0)&lt;&gt;V$5),1))+IF(Z375="",0,IFERROR(--(EOMONTH(Z375,0)&lt;&gt;Y$5),1))+IF(AC375="",0,IFERROR(--(EOMONTH(AC375,0)&lt;&gt;AB$5),1))+IF(AF375="",0,IFERROR(--(EOMONTH(AF375,0)&lt;&gt;AE$5),1))+IF(AI375="",0,IFERROR(--(EOMONTH(AI375,0)&lt;&gt;AH$5),1))+IF(AL375="",0,IFERROR(--(EOMONTH(AL375,0)&lt;&gt;AK$5),1))+IF(AO375="",0,IFERROR(--(EOMONTH(AO375,0)&lt;&gt;AN$5),1))+IF(AR375="",0,IFERROR(--(EOMONTH(AR375,0)&lt;&gt;AQ$5),1))+IF(AU375="",0,IFERROR(--(EOMONTH(AU375,0)&lt;&gt;AT$5),1))+IF(AX375="",0,IFERROR(--(EOMONTH(AX375,0)&lt;&gt;AW$5),1))+IF(BA375="",0,IFERROR(--(EOMONTH(BA375,0)&lt;&gt;AZ$5),1)))&gt;0,"; An invoice date is not in the month it is typed under",""),3,500))</f>
        <v/>
      </c>
      <c r="S375" s="12" t="n"/>
      <c r="T375" s="13" t="n"/>
      <c r="U375" s="14" t="n"/>
      <c r="V375" s="12" t="n"/>
      <c r="W375" s="13" t="n"/>
      <c r="X375" s="14" t="n"/>
      <c r="Y375" s="12" t="n"/>
      <c r="Z375" s="13" t="n"/>
      <c r="AA375" s="14" t="n"/>
      <c r="AB375" s="12" t="n"/>
      <c r="AC375" s="13" t="n"/>
      <c r="AD375" s="14" t="n"/>
      <c r="AE375" s="12" t="n"/>
      <c r="AF375" s="13" t="n"/>
      <c r="AG375" s="14" t="n"/>
      <c r="AH375" s="12" t="n"/>
      <c r="AI375" s="13" t="n"/>
      <c r="AJ375" s="14" t="n"/>
      <c r="AK375" s="12" t="n"/>
      <c r="AL375" s="13" t="n"/>
      <c r="AM375" s="14" t="n"/>
      <c r="AN375" s="12" t="n"/>
      <c r="AO375" s="13" t="n"/>
      <c r="AP375" s="14" t="n"/>
      <c r="AQ375" s="12" t="n"/>
      <c r="AR375" s="13" t="n"/>
      <c r="AS375" s="14" t="n"/>
      <c r="AT375" s="12" t="n"/>
      <c r="AU375" s="13" t="n"/>
      <c r="AV375" s="14" t="n"/>
      <c r="AW375" s="12" t="n"/>
      <c r="AX375" s="13" t="n"/>
      <c r="AY375" s="14" t="n"/>
      <c r="AZ375" s="12" t="n"/>
      <c r="BA375" s="13" t="n"/>
      <c r="BB375" s="14" t="n"/>
      <c r="BC375" s="11">
        <f>IF(O375="","",IF(J375="GST 10%",ROUND(O375*set_GSTRate,2),0))</f>
        <v/>
      </c>
      <c r="BD375" s="11">
        <f>IF(O375="","",O375+BC375)</f>
        <v/>
      </c>
      <c r="BE375" s="15">
        <f>IF(O375="","",COUNTA(S375,V375,Y375,AB375,AE375,AH375,AK375,AN375,AQ375,AT375,AW375,AZ375))</f>
        <v/>
      </c>
      <c r="BF375" s="16">
        <f>IF(COUNT(T375,W375,Z375,AC375,AF375,AI375,AL375,AO375,AR375,AU375,AX375,BA375)=0,"",MAX(T375,W375,Z375,AC375,AF375,AI375,AL375,AO375,AR375,AU375,AX375,BA375))</f>
        <v/>
      </c>
      <c r="BG375" s="10">
        <f>MID(IF(S375="","",", "&amp;S375)&amp;IF(V375="","",", "&amp;V375)&amp;IF(Y375="","",", "&amp;Y375)&amp;IF(AB375="","",", "&amp;AB375)&amp;IF(AE375="","",", "&amp;AE375)&amp;IF(AH375="","",", "&amp;AH375)&amp;IF(AK375="","",", "&amp;AK375)&amp;IF(AN375="","",", "&amp;AN375)&amp;IF(AQ375="","",", "&amp;AQ375)&amp;IF(AT375="","",", "&amp;AT375)&amp;IF(AW375="","",", "&amp;AW375)&amp;IF(AZ375="","",", "&amp;AZ375),3,500)</f>
        <v/>
      </c>
      <c r="BH375" s="12" t="n"/>
      <c r="BI375" s="15">
        <f>IFERROR(MATCH($A375,IF($B375="Onsite",tbl_Onsite[Row ID],IF($B375="Production",tbl_Production[Row ID],tbl_Consulting[Row ID])),0),"")</f>
        <v/>
      </c>
    </row>
    <row r="376">
      <c r="A376" s="10" t="inlineStr">
        <is>
          <t>ONS-0370</t>
        </is>
      </c>
      <c r="B376" s="10" t="inlineStr">
        <is>
          <t>Onsite</t>
        </is>
      </c>
      <c r="C376" s="10">
        <f>IF($BI376="","",IF($B376="Onsite",INDEX(tbl_Onsite[Job Number],$BI376),IF($B376="Production",INDEX(tbl_Production[Job Number],$BI376),INDEX(tbl_Consulting[Job Number],$BI376)))&amp;"")</f>
        <v/>
      </c>
      <c r="D376" s="10">
        <f>IF($BI376="","",IF($B376="Onsite",INDEX(tbl_Onsite[Client],$BI376),IF($B376="Production",INDEX(tbl_Production[Client],$BI376),INDEX(tbl_Consulting[Client],$BI376)))&amp;"")</f>
        <v/>
      </c>
      <c r="E376" s="10">
        <f>IF($C376="","",IF(COUNTIF(lst_Jobs,$C376)&gt;0,"OK","CHECK"))</f>
        <v/>
      </c>
      <c r="F376" s="10">
        <f>IF($C376="","",IFERROR(INDEX(lst_JobName,MATCH($C376,lst_Jobs,0)),""))</f>
        <v/>
      </c>
      <c r="G376" s="10">
        <f>IF($BI376="","",IF($B376="Onsite",INDEX(tbl_Onsite[Job Description],$BI376),IF($B376="Production",INDEX(tbl_Production[Job Description],$BI376),INDEX(tbl_Consulting[Job Description],$BI376)))&amp;"")</f>
        <v/>
      </c>
      <c r="H376" s="10">
        <f>IF($BI376="","",IF($B376="Onsite",INDEX(tbl_Onsite[Cost Centre],$BI376),IF($B376="Production",INDEX(tbl_Production[Cost Centre],$BI376),INDEX(tbl_Consulting[Cost Centre],$BI376)))&amp;"")</f>
        <v/>
      </c>
      <c r="I376" s="10">
        <f>IF($BI376="","",IF($B376="Onsite",INDEX(tbl_Onsite[Invoice Type],$BI376),IF($B376="Production",INDEX(tbl_Production[Invoice Type],$BI376),INDEX(tbl_Consulting[Invoice Type],$BI376)))&amp;"")</f>
        <v/>
      </c>
      <c r="J376" s="10">
        <f>IF($BI376="","",IF($B376="Onsite",INDEX(tbl_Onsite[Tax Code],$BI376),IF($B376="Production",INDEX(tbl_Production[Tax Code],$BI376),INDEX(tbl_Consulting[Tax Code],$BI376)))&amp;"")</f>
        <v/>
      </c>
      <c r="K376" s="10">
        <f>IF(H376="","",IFERROR(INDEX(lst_CCtoGL,MATCH(H376,lst_CCforGL,0)),""))</f>
        <v/>
      </c>
      <c r="L376" s="10">
        <f>IF($BI376="","",IF($B376="Onsite",INDEX(tbl_Onsite[PO / Reference],$BI376),IF($B376="Production",INDEX(tbl_Production[Current RMS No],$BI376),INDEX(tbl_Consulting[Qwilr Quote],$BI376)))&amp;"")</f>
        <v/>
      </c>
      <c r="M376" s="10">
        <f>IF($BI376="","",IF($B376="Onsite",INDEX(tbl_Onsite[Notes],$BI376),IF($B376="Production",INDEX(tbl_Production[Notes],$BI376),INDEX(tbl_Consulting[Notes],$BI376)))&amp;"")</f>
        <v/>
      </c>
      <c r="N376" s="11">
        <f>IF($BI376="","",IF(IF($B376="Onsite",INDEX(tbl_Onsite[Expected Revenue Ex GST],$BI376),IF($B376="Production",INDEX(tbl_Production[Expected Revenue Ex GST],$BI376),INDEX(tbl_Consulting[Expected Revenue Ex GST],$BI376)))="","",IF($B376="Onsite",INDEX(tbl_Onsite[Expected Revenue Ex GST],$BI376),IF($B376="Production",INDEX(tbl_Production[Expected Revenue Ex GST],$BI376),INDEX(tbl_Consulting[Expected Revenue Ex GST],$BI376)))))</f>
        <v/>
      </c>
      <c r="O376" s="11">
        <f>IF(AND($C376="",NOT(COUNTA($S376:$BB376)&gt;0)),"",SUM(U376,X376,AA376,AD376,AG376,AJ376,AM376,AP376,AS376,AV376,AY376,BB376))</f>
        <v/>
      </c>
      <c r="P376" s="11">
        <f>IF(O376="","",N(N376)-O376)</f>
        <v/>
      </c>
      <c r="Q376" s="10">
        <f>IF(O376="","",IF($C376="","Invoice on empty job row",IF(N376="",IF(ROUND(O376,2)=0,"No dept value","Invoiced - no dept value"),IF(ROUND(O376,2)=0,"Not invoiced - to invoice",IF(ROUND(P376,2)=0,"Agrees",IF(P376&gt;0,"Dept higher - to invoice","Xero higher - check dept"))))))</f>
        <v/>
      </c>
      <c r="R376" s="10">
        <f>IF(AND($C376="",NOT(COUNTA($S376:$BB376)&gt;0),$BI376&lt;&gt;""),"",MID(IF($BI376="","; Row ID not found on the department sheet - a row was deleted","")&amp;IF(AND($C376="",COUNTA($S376:$BB376)&gt;0),"; Invoice entered but the department row has no job number","")&amp;IF(E376="CHECK","; Job number not in the Xero job list","")&amp;IF(AND($C376&lt;&gt;"",COUNTIF($C$7:$C$1506,$C376)&gt;1),"; Job number on more than one row","")&amp;IF(AND($C376&lt;&gt;"",H376=""),"; Dept has not set a cost centre","")&amp;IF(AND($C376&lt;&gt;"",J376=""),"; Dept has not set a tax code","")&amp;IF(AND($C376&lt;&gt;"",N376=""),"; Dept has not entered an expected value","")&amp;IF((IF(OR(COUNTA(S376:U376)=0,AND(COUNTA(S376:U376)=3,ISNUMBER(U376))),0,1)+IF(OR(COUNTA(V376:X376)=0,AND(COUNTA(V376:X376)=3,ISNUMBER(X376))),0,1)+IF(OR(COUNTA(Y376:AA376)=0,AND(COUNTA(Y376:AA376)=3,ISNUMBER(AA376))),0,1)+IF(OR(COUNTA(AB376:AD376)=0,AND(COUNTA(AB376:AD376)=3,ISNUMBER(AD376))),0,1)+IF(OR(COUNTA(AE376:AG376)=0,AND(COUNTA(AE376:AG376)=3,ISNUMBER(AG376))),0,1)+IF(OR(COUNTA(AH376:AJ376)=0,AND(COUNTA(AH376:AJ376)=3,ISNUMBER(AJ376))),0,1)+IF(OR(COUNTA(AK376:AM376)=0,AND(COUNTA(AK376:AM376)=3,ISNUMBER(AM376))),0,1)+IF(OR(COUNTA(AN376:AP376)=0,AND(COUNTA(AN376:AP376)=3,ISNUMBER(AP376))),0,1)+IF(OR(COUNTA(AQ376:AS376)=0,AND(COUNTA(AQ376:AS376)=3,ISNUMBER(AS376))),0,1)+IF(OR(COUNTA(AT376:AV376)=0,AND(COUNTA(AT376:AV376)=3,ISNUMBER(AV376))),0,1)+IF(OR(COUNTA(AW376:AY376)=0,AND(COUNTA(AW376:AY376)=3,ISNUMBER(AY376))),0,1)+IF(OR(COUNTA(AZ376:BB376)=0,AND(COUNTA(AZ376:BB376)=3,ISNUMBER(BB376))),0,1))&gt;0,"; An invoice is incomplete (needs No, Date and a number in Ex GST)","")&amp;IF((IF(T376="",0,IFERROR(--(EOMONTH(T376,0)&lt;&gt;S$5),1))+IF(W376="",0,IFERROR(--(EOMONTH(W376,0)&lt;&gt;V$5),1))+IF(Z376="",0,IFERROR(--(EOMONTH(Z376,0)&lt;&gt;Y$5),1))+IF(AC376="",0,IFERROR(--(EOMONTH(AC376,0)&lt;&gt;AB$5),1))+IF(AF376="",0,IFERROR(--(EOMONTH(AF376,0)&lt;&gt;AE$5),1))+IF(AI376="",0,IFERROR(--(EOMONTH(AI376,0)&lt;&gt;AH$5),1))+IF(AL376="",0,IFERROR(--(EOMONTH(AL376,0)&lt;&gt;AK$5),1))+IF(AO376="",0,IFERROR(--(EOMONTH(AO376,0)&lt;&gt;AN$5),1))+IF(AR376="",0,IFERROR(--(EOMONTH(AR376,0)&lt;&gt;AQ$5),1))+IF(AU376="",0,IFERROR(--(EOMONTH(AU376,0)&lt;&gt;AT$5),1))+IF(AX376="",0,IFERROR(--(EOMONTH(AX376,0)&lt;&gt;AW$5),1))+IF(BA376="",0,IFERROR(--(EOMONTH(BA376,0)&lt;&gt;AZ$5),1)))&gt;0,"; An invoice date is not in the month it is typed under",""),3,500))</f>
        <v/>
      </c>
      <c r="S376" s="12" t="n"/>
      <c r="T376" s="13" t="n"/>
      <c r="U376" s="14" t="n"/>
      <c r="V376" s="12" t="n"/>
      <c r="W376" s="13" t="n"/>
      <c r="X376" s="14" t="n"/>
      <c r="Y376" s="12" t="n"/>
      <c r="Z376" s="13" t="n"/>
      <c r="AA376" s="14" t="n"/>
      <c r="AB376" s="12" t="n"/>
      <c r="AC376" s="13" t="n"/>
      <c r="AD376" s="14" t="n"/>
      <c r="AE376" s="12" t="n"/>
      <c r="AF376" s="13" t="n"/>
      <c r="AG376" s="14" t="n"/>
      <c r="AH376" s="12" t="n"/>
      <c r="AI376" s="13" t="n"/>
      <c r="AJ376" s="14" t="n"/>
      <c r="AK376" s="12" t="n"/>
      <c r="AL376" s="13" t="n"/>
      <c r="AM376" s="14" t="n"/>
      <c r="AN376" s="12" t="n"/>
      <c r="AO376" s="13" t="n"/>
      <c r="AP376" s="14" t="n"/>
      <c r="AQ376" s="12" t="n"/>
      <c r="AR376" s="13" t="n"/>
      <c r="AS376" s="14" t="n"/>
      <c r="AT376" s="12" t="n"/>
      <c r="AU376" s="13" t="n"/>
      <c r="AV376" s="14" t="n"/>
      <c r="AW376" s="12" t="n"/>
      <c r="AX376" s="13" t="n"/>
      <c r="AY376" s="14" t="n"/>
      <c r="AZ376" s="12" t="n"/>
      <c r="BA376" s="13" t="n"/>
      <c r="BB376" s="14" t="n"/>
      <c r="BC376" s="11">
        <f>IF(O376="","",IF(J376="GST 10%",ROUND(O376*set_GSTRate,2),0))</f>
        <v/>
      </c>
      <c r="BD376" s="11">
        <f>IF(O376="","",O376+BC376)</f>
        <v/>
      </c>
      <c r="BE376" s="15">
        <f>IF(O376="","",COUNTA(S376,V376,Y376,AB376,AE376,AH376,AK376,AN376,AQ376,AT376,AW376,AZ376))</f>
        <v/>
      </c>
      <c r="BF376" s="16">
        <f>IF(COUNT(T376,W376,Z376,AC376,AF376,AI376,AL376,AO376,AR376,AU376,AX376,BA376)=0,"",MAX(T376,W376,Z376,AC376,AF376,AI376,AL376,AO376,AR376,AU376,AX376,BA376))</f>
        <v/>
      </c>
      <c r="BG376" s="10">
        <f>MID(IF(S376="","",", "&amp;S376)&amp;IF(V376="","",", "&amp;V376)&amp;IF(Y376="","",", "&amp;Y376)&amp;IF(AB376="","",", "&amp;AB376)&amp;IF(AE376="","",", "&amp;AE376)&amp;IF(AH376="","",", "&amp;AH376)&amp;IF(AK376="","",", "&amp;AK376)&amp;IF(AN376="","",", "&amp;AN376)&amp;IF(AQ376="","",", "&amp;AQ376)&amp;IF(AT376="","",", "&amp;AT376)&amp;IF(AW376="","",", "&amp;AW376)&amp;IF(AZ376="","",", "&amp;AZ376),3,500)</f>
        <v/>
      </c>
      <c r="BH376" s="12" t="n"/>
      <c r="BI376" s="15">
        <f>IFERROR(MATCH($A376,IF($B376="Onsite",tbl_Onsite[Row ID],IF($B376="Production",tbl_Production[Row ID],tbl_Consulting[Row ID])),0),"")</f>
        <v/>
      </c>
    </row>
    <row r="377">
      <c r="A377" s="10" t="inlineStr">
        <is>
          <t>ONS-0371</t>
        </is>
      </c>
      <c r="B377" s="10" t="inlineStr">
        <is>
          <t>Onsite</t>
        </is>
      </c>
      <c r="C377" s="10">
        <f>IF($BI377="","",IF($B377="Onsite",INDEX(tbl_Onsite[Job Number],$BI377),IF($B377="Production",INDEX(tbl_Production[Job Number],$BI377),INDEX(tbl_Consulting[Job Number],$BI377)))&amp;"")</f>
        <v/>
      </c>
      <c r="D377" s="10">
        <f>IF($BI377="","",IF($B377="Onsite",INDEX(tbl_Onsite[Client],$BI377),IF($B377="Production",INDEX(tbl_Production[Client],$BI377),INDEX(tbl_Consulting[Client],$BI377)))&amp;"")</f>
        <v/>
      </c>
      <c r="E377" s="10">
        <f>IF($C377="","",IF(COUNTIF(lst_Jobs,$C377)&gt;0,"OK","CHECK"))</f>
        <v/>
      </c>
      <c r="F377" s="10">
        <f>IF($C377="","",IFERROR(INDEX(lst_JobName,MATCH($C377,lst_Jobs,0)),""))</f>
        <v/>
      </c>
      <c r="G377" s="10">
        <f>IF($BI377="","",IF($B377="Onsite",INDEX(tbl_Onsite[Job Description],$BI377),IF($B377="Production",INDEX(tbl_Production[Job Description],$BI377),INDEX(tbl_Consulting[Job Description],$BI377)))&amp;"")</f>
        <v/>
      </c>
      <c r="H377" s="10">
        <f>IF($BI377="","",IF($B377="Onsite",INDEX(tbl_Onsite[Cost Centre],$BI377),IF($B377="Production",INDEX(tbl_Production[Cost Centre],$BI377),INDEX(tbl_Consulting[Cost Centre],$BI377)))&amp;"")</f>
        <v/>
      </c>
      <c r="I377" s="10">
        <f>IF($BI377="","",IF($B377="Onsite",INDEX(tbl_Onsite[Invoice Type],$BI377),IF($B377="Production",INDEX(tbl_Production[Invoice Type],$BI377),INDEX(tbl_Consulting[Invoice Type],$BI377)))&amp;"")</f>
        <v/>
      </c>
      <c r="J377" s="10">
        <f>IF($BI377="","",IF($B377="Onsite",INDEX(tbl_Onsite[Tax Code],$BI377),IF($B377="Production",INDEX(tbl_Production[Tax Code],$BI377),INDEX(tbl_Consulting[Tax Code],$BI377)))&amp;"")</f>
        <v/>
      </c>
      <c r="K377" s="10">
        <f>IF(H377="","",IFERROR(INDEX(lst_CCtoGL,MATCH(H377,lst_CCforGL,0)),""))</f>
        <v/>
      </c>
      <c r="L377" s="10">
        <f>IF($BI377="","",IF($B377="Onsite",INDEX(tbl_Onsite[PO / Reference],$BI377),IF($B377="Production",INDEX(tbl_Production[Current RMS No],$BI377),INDEX(tbl_Consulting[Qwilr Quote],$BI377)))&amp;"")</f>
        <v/>
      </c>
      <c r="M377" s="10">
        <f>IF($BI377="","",IF($B377="Onsite",INDEX(tbl_Onsite[Notes],$BI377),IF($B377="Production",INDEX(tbl_Production[Notes],$BI377),INDEX(tbl_Consulting[Notes],$BI377)))&amp;"")</f>
        <v/>
      </c>
      <c r="N377" s="11">
        <f>IF($BI377="","",IF(IF($B377="Onsite",INDEX(tbl_Onsite[Expected Revenue Ex GST],$BI377),IF($B377="Production",INDEX(tbl_Production[Expected Revenue Ex GST],$BI377),INDEX(tbl_Consulting[Expected Revenue Ex GST],$BI377)))="","",IF($B377="Onsite",INDEX(tbl_Onsite[Expected Revenue Ex GST],$BI377),IF($B377="Production",INDEX(tbl_Production[Expected Revenue Ex GST],$BI377),INDEX(tbl_Consulting[Expected Revenue Ex GST],$BI377)))))</f>
        <v/>
      </c>
      <c r="O377" s="11">
        <f>IF(AND($C377="",NOT(COUNTA($S377:$BB377)&gt;0)),"",SUM(U377,X377,AA377,AD377,AG377,AJ377,AM377,AP377,AS377,AV377,AY377,BB377))</f>
        <v/>
      </c>
      <c r="P377" s="11">
        <f>IF(O377="","",N(N377)-O377)</f>
        <v/>
      </c>
      <c r="Q377" s="10">
        <f>IF(O377="","",IF($C377="","Invoice on empty job row",IF(N377="",IF(ROUND(O377,2)=0,"No dept value","Invoiced - no dept value"),IF(ROUND(O377,2)=0,"Not invoiced - to invoice",IF(ROUND(P377,2)=0,"Agrees",IF(P377&gt;0,"Dept higher - to invoice","Xero higher - check dept"))))))</f>
        <v/>
      </c>
      <c r="R377" s="10">
        <f>IF(AND($C377="",NOT(COUNTA($S377:$BB377)&gt;0),$BI377&lt;&gt;""),"",MID(IF($BI377="","; Row ID not found on the department sheet - a row was deleted","")&amp;IF(AND($C377="",COUNTA($S377:$BB377)&gt;0),"; Invoice entered but the department row has no job number","")&amp;IF(E377="CHECK","; Job number not in the Xero job list","")&amp;IF(AND($C377&lt;&gt;"",COUNTIF($C$7:$C$1506,$C377)&gt;1),"; Job number on more than one row","")&amp;IF(AND($C377&lt;&gt;"",H377=""),"; Dept has not set a cost centre","")&amp;IF(AND($C377&lt;&gt;"",J377=""),"; Dept has not set a tax code","")&amp;IF(AND($C377&lt;&gt;"",N377=""),"; Dept has not entered an expected value","")&amp;IF((IF(OR(COUNTA(S377:U377)=0,AND(COUNTA(S377:U377)=3,ISNUMBER(U377))),0,1)+IF(OR(COUNTA(V377:X377)=0,AND(COUNTA(V377:X377)=3,ISNUMBER(X377))),0,1)+IF(OR(COUNTA(Y377:AA377)=0,AND(COUNTA(Y377:AA377)=3,ISNUMBER(AA377))),0,1)+IF(OR(COUNTA(AB377:AD377)=0,AND(COUNTA(AB377:AD377)=3,ISNUMBER(AD377))),0,1)+IF(OR(COUNTA(AE377:AG377)=0,AND(COUNTA(AE377:AG377)=3,ISNUMBER(AG377))),0,1)+IF(OR(COUNTA(AH377:AJ377)=0,AND(COUNTA(AH377:AJ377)=3,ISNUMBER(AJ377))),0,1)+IF(OR(COUNTA(AK377:AM377)=0,AND(COUNTA(AK377:AM377)=3,ISNUMBER(AM377))),0,1)+IF(OR(COUNTA(AN377:AP377)=0,AND(COUNTA(AN377:AP377)=3,ISNUMBER(AP377))),0,1)+IF(OR(COUNTA(AQ377:AS377)=0,AND(COUNTA(AQ377:AS377)=3,ISNUMBER(AS377))),0,1)+IF(OR(COUNTA(AT377:AV377)=0,AND(COUNTA(AT377:AV377)=3,ISNUMBER(AV377))),0,1)+IF(OR(COUNTA(AW377:AY377)=0,AND(COUNTA(AW377:AY377)=3,ISNUMBER(AY377))),0,1)+IF(OR(COUNTA(AZ377:BB377)=0,AND(COUNTA(AZ377:BB377)=3,ISNUMBER(BB377))),0,1))&gt;0,"; An invoice is incomplete (needs No, Date and a number in Ex GST)","")&amp;IF((IF(T377="",0,IFERROR(--(EOMONTH(T377,0)&lt;&gt;S$5),1))+IF(W377="",0,IFERROR(--(EOMONTH(W377,0)&lt;&gt;V$5),1))+IF(Z377="",0,IFERROR(--(EOMONTH(Z377,0)&lt;&gt;Y$5),1))+IF(AC377="",0,IFERROR(--(EOMONTH(AC377,0)&lt;&gt;AB$5),1))+IF(AF377="",0,IFERROR(--(EOMONTH(AF377,0)&lt;&gt;AE$5),1))+IF(AI377="",0,IFERROR(--(EOMONTH(AI377,0)&lt;&gt;AH$5),1))+IF(AL377="",0,IFERROR(--(EOMONTH(AL377,0)&lt;&gt;AK$5),1))+IF(AO377="",0,IFERROR(--(EOMONTH(AO377,0)&lt;&gt;AN$5),1))+IF(AR377="",0,IFERROR(--(EOMONTH(AR377,0)&lt;&gt;AQ$5),1))+IF(AU377="",0,IFERROR(--(EOMONTH(AU377,0)&lt;&gt;AT$5),1))+IF(AX377="",0,IFERROR(--(EOMONTH(AX377,0)&lt;&gt;AW$5),1))+IF(BA377="",0,IFERROR(--(EOMONTH(BA377,0)&lt;&gt;AZ$5),1)))&gt;0,"; An invoice date is not in the month it is typed under",""),3,500))</f>
        <v/>
      </c>
      <c r="S377" s="12" t="n"/>
      <c r="T377" s="13" t="n"/>
      <c r="U377" s="14" t="n"/>
      <c r="V377" s="12" t="n"/>
      <c r="W377" s="13" t="n"/>
      <c r="X377" s="14" t="n"/>
      <c r="Y377" s="12" t="n"/>
      <c r="Z377" s="13" t="n"/>
      <c r="AA377" s="14" t="n"/>
      <c r="AB377" s="12" t="n"/>
      <c r="AC377" s="13" t="n"/>
      <c r="AD377" s="14" t="n"/>
      <c r="AE377" s="12" t="n"/>
      <c r="AF377" s="13" t="n"/>
      <c r="AG377" s="14" t="n"/>
      <c r="AH377" s="12" t="n"/>
      <c r="AI377" s="13" t="n"/>
      <c r="AJ377" s="14" t="n"/>
      <c r="AK377" s="12" t="n"/>
      <c r="AL377" s="13" t="n"/>
      <c r="AM377" s="14" t="n"/>
      <c r="AN377" s="12" t="n"/>
      <c r="AO377" s="13" t="n"/>
      <c r="AP377" s="14" t="n"/>
      <c r="AQ377" s="12" t="n"/>
      <c r="AR377" s="13" t="n"/>
      <c r="AS377" s="14" t="n"/>
      <c r="AT377" s="12" t="n"/>
      <c r="AU377" s="13" t="n"/>
      <c r="AV377" s="14" t="n"/>
      <c r="AW377" s="12" t="n"/>
      <c r="AX377" s="13" t="n"/>
      <c r="AY377" s="14" t="n"/>
      <c r="AZ377" s="12" t="n"/>
      <c r="BA377" s="13" t="n"/>
      <c r="BB377" s="14" t="n"/>
      <c r="BC377" s="11">
        <f>IF(O377="","",IF(J377="GST 10%",ROUND(O377*set_GSTRate,2),0))</f>
        <v/>
      </c>
      <c r="BD377" s="11">
        <f>IF(O377="","",O377+BC377)</f>
        <v/>
      </c>
      <c r="BE377" s="15">
        <f>IF(O377="","",COUNTA(S377,V377,Y377,AB377,AE377,AH377,AK377,AN377,AQ377,AT377,AW377,AZ377))</f>
        <v/>
      </c>
      <c r="BF377" s="16">
        <f>IF(COUNT(T377,W377,Z377,AC377,AF377,AI377,AL377,AO377,AR377,AU377,AX377,BA377)=0,"",MAX(T377,W377,Z377,AC377,AF377,AI377,AL377,AO377,AR377,AU377,AX377,BA377))</f>
        <v/>
      </c>
      <c r="BG377" s="10">
        <f>MID(IF(S377="","",", "&amp;S377)&amp;IF(V377="","",", "&amp;V377)&amp;IF(Y377="","",", "&amp;Y377)&amp;IF(AB377="","",", "&amp;AB377)&amp;IF(AE377="","",", "&amp;AE377)&amp;IF(AH377="","",", "&amp;AH377)&amp;IF(AK377="","",", "&amp;AK377)&amp;IF(AN377="","",", "&amp;AN377)&amp;IF(AQ377="","",", "&amp;AQ377)&amp;IF(AT377="","",", "&amp;AT377)&amp;IF(AW377="","",", "&amp;AW377)&amp;IF(AZ377="","",", "&amp;AZ377),3,500)</f>
        <v/>
      </c>
      <c r="BH377" s="12" t="n"/>
      <c r="BI377" s="15">
        <f>IFERROR(MATCH($A377,IF($B377="Onsite",tbl_Onsite[Row ID],IF($B377="Production",tbl_Production[Row ID],tbl_Consulting[Row ID])),0),"")</f>
        <v/>
      </c>
    </row>
    <row r="378">
      <c r="A378" s="10" t="inlineStr">
        <is>
          <t>ONS-0372</t>
        </is>
      </c>
      <c r="B378" s="10" t="inlineStr">
        <is>
          <t>Onsite</t>
        </is>
      </c>
      <c r="C378" s="10">
        <f>IF($BI378="","",IF($B378="Onsite",INDEX(tbl_Onsite[Job Number],$BI378),IF($B378="Production",INDEX(tbl_Production[Job Number],$BI378),INDEX(tbl_Consulting[Job Number],$BI378)))&amp;"")</f>
        <v/>
      </c>
      <c r="D378" s="10">
        <f>IF($BI378="","",IF($B378="Onsite",INDEX(tbl_Onsite[Client],$BI378),IF($B378="Production",INDEX(tbl_Production[Client],$BI378),INDEX(tbl_Consulting[Client],$BI378)))&amp;"")</f>
        <v/>
      </c>
      <c r="E378" s="10">
        <f>IF($C378="","",IF(COUNTIF(lst_Jobs,$C378)&gt;0,"OK","CHECK"))</f>
        <v/>
      </c>
      <c r="F378" s="10">
        <f>IF($C378="","",IFERROR(INDEX(lst_JobName,MATCH($C378,lst_Jobs,0)),""))</f>
        <v/>
      </c>
      <c r="G378" s="10">
        <f>IF($BI378="","",IF($B378="Onsite",INDEX(tbl_Onsite[Job Description],$BI378),IF($B378="Production",INDEX(tbl_Production[Job Description],$BI378),INDEX(tbl_Consulting[Job Description],$BI378)))&amp;"")</f>
        <v/>
      </c>
      <c r="H378" s="10">
        <f>IF($BI378="","",IF($B378="Onsite",INDEX(tbl_Onsite[Cost Centre],$BI378),IF($B378="Production",INDEX(tbl_Production[Cost Centre],$BI378),INDEX(tbl_Consulting[Cost Centre],$BI378)))&amp;"")</f>
        <v/>
      </c>
      <c r="I378" s="10">
        <f>IF($BI378="","",IF($B378="Onsite",INDEX(tbl_Onsite[Invoice Type],$BI378),IF($B378="Production",INDEX(tbl_Production[Invoice Type],$BI378),INDEX(tbl_Consulting[Invoice Type],$BI378)))&amp;"")</f>
        <v/>
      </c>
      <c r="J378" s="10">
        <f>IF($BI378="","",IF($B378="Onsite",INDEX(tbl_Onsite[Tax Code],$BI378),IF($B378="Production",INDEX(tbl_Production[Tax Code],$BI378),INDEX(tbl_Consulting[Tax Code],$BI378)))&amp;"")</f>
        <v/>
      </c>
      <c r="K378" s="10">
        <f>IF(H378="","",IFERROR(INDEX(lst_CCtoGL,MATCH(H378,lst_CCforGL,0)),""))</f>
        <v/>
      </c>
      <c r="L378" s="10">
        <f>IF($BI378="","",IF($B378="Onsite",INDEX(tbl_Onsite[PO / Reference],$BI378),IF($B378="Production",INDEX(tbl_Production[Current RMS No],$BI378),INDEX(tbl_Consulting[Qwilr Quote],$BI378)))&amp;"")</f>
        <v/>
      </c>
      <c r="M378" s="10">
        <f>IF($BI378="","",IF($B378="Onsite",INDEX(tbl_Onsite[Notes],$BI378),IF($B378="Production",INDEX(tbl_Production[Notes],$BI378),INDEX(tbl_Consulting[Notes],$BI378)))&amp;"")</f>
        <v/>
      </c>
      <c r="N378" s="11">
        <f>IF($BI378="","",IF(IF($B378="Onsite",INDEX(tbl_Onsite[Expected Revenue Ex GST],$BI378),IF($B378="Production",INDEX(tbl_Production[Expected Revenue Ex GST],$BI378),INDEX(tbl_Consulting[Expected Revenue Ex GST],$BI378)))="","",IF($B378="Onsite",INDEX(tbl_Onsite[Expected Revenue Ex GST],$BI378),IF($B378="Production",INDEX(tbl_Production[Expected Revenue Ex GST],$BI378),INDEX(tbl_Consulting[Expected Revenue Ex GST],$BI378)))))</f>
        <v/>
      </c>
      <c r="O378" s="11">
        <f>IF(AND($C378="",NOT(COUNTA($S378:$BB378)&gt;0)),"",SUM(U378,X378,AA378,AD378,AG378,AJ378,AM378,AP378,AS378,AV378,AY378,BB378))</f>
        <v/>
      </c>
      <c r="P378" s="11">
        <f>IF(O378="","",N(N378)-O378)</f>
        <v/>
      </c>
      <c r="Q378" s="10">
        <f>IF(O378="","",IF($C378="","Invoice on empty job row",IF(N378="",IF(ROUND(O378,2)=0,"No dept value","Invoiced - no dept value"),IF(ROUND(O378,2)=0,"Not invoiced - to invoice",IF(ROUND(P378,2)=0,"Agrees",IF(P378&gt;0,"Dept higher - to invoice","Xero higher - check dept"))))))</f>
        <v/>
      </c>
      <c r="R378" s="10">
        <f>IF(AND($C378="",NOT(COUNTA($S378:$BB378)&gt;0),$BI378&lt;&gt;""),"",MID(IF($BI378="","; Row ID not found on the department sheet - a row was deleted","")&amp;IF(AND($C378="",COUNTA($S378:$BB378)&gt;0),"; Invoice entered but the department row has no job number","")&amp;IF(E378="CHECK","; Job number not in the Xero job list","")&amp;IF(AND($C378&lt;&gt;"",COUNTIF($C$7:$C$1506,$C378)&gt;1),"; Job number on more than one row","")&amp;IF(AND($C378&lt;&gt;"",H378=""),"; Dept has not set a cost centre","")&amp;IF(AND($C378&lt;&gt;"",J378=""),"; Dept has not set a tax code","")&amp;IF(AND($C378&lt;&gt;"",N378=""),"; Dept has not entered an expected value","")&amp;IF((IF(OR(COUNTA(S378:U378)=0,AND(COUNTA(S378:U378)=3,ISNUMBER(U378))),0,1)+IF(OR(COUNTA(V378:X378)=0,AND(COUNTA(V378:X378)=3,ISNUMBER(X378))),0,1)+IF(OR(COUNTA(Y378:AA378)=0,AND(COUNTA(Y378:AA378)=3,ISNUMBER(AA378))),0,1)+IF(OR(COUNTA(AB378:AD378)=0,AND(COUNTA(AB378:AD378)=3,ISNUMBER(AD378))),0,1)+IF(OR(COUNTA(AE378:AG378)=0,AND(COUNTA(AE378:AG378)=3,ISNUMBER(AG378))),0,1)+IF(OR(COUNTA(AH378:AJ378)=0,AND(COUNTA(AH378:AJ378)=3,ISNUMBER(AJ378))),0,1)+IF(OR(COUNTA(AK378:AM378)=0,AND(COUNTA(AK378:AM378)=3,ISNUMBER(AM378))),0,1)+IF(OR(COUNTA(AN378:AP378)=0,AND(COUNTA(AN378:AP378)=3,ISNUMBER(AP378))),0,1)+IF(OR(COUNTA(AQ378:AS378)=0,AND(COUNTA(AQ378:AS378)=3,ISNUMBER(AS378))),0,1)+IF(OR(COUNTA(AT378:AV378)=0,AND(COUNTA(AT378:AV378)=3,ISNUMBER(AV378))),0,1)+IF(OR(COUNTA(AW378:AY378)=0,AND(COUNTA(AW378:AY378)=3,ISNUMBER(AY378))),0,1)+IF(OR(COUNTA(AZ378:BB378)=0,AND(COUNTA(AZ378:BB378)=3,ISNUMBER(BB378))),0,1))&gt;0,"; An invoice is incomplete (needs No, Date and a number in Ex GST)","")&amp;IF((IF(T378="",0,IFERROR(--(EOMONTH(T378,0)&lt;&gt;S$5),1))+IF(W378="",0,IFERROR(--(EOMONTH(W378,0)&lt;&gt;V$5),1))+IF(Z378="",0,IFERROR(--(EOMONTH(Z378,0)&lt;&gt;Y$5),1))+IF(AC378="",0,IFERROR(--(EOMONTH(AC378,0)&lt;&gt;AB$5),1))+IF(AF378="",0,IFERROR(--(EOMONTH(AF378,0)&lt;&gt;AE$5),1))+IF(AI378="",0,IFERROR(--(EOMONTH(AI378,0)&lt;&gt;AH$5),1))+IF(AL378="",0,IFERROR(--(EOMONTH(AL378,0)&lt;&gt;AK$5),1))+IF(AO378="",0,IFERROR(--(EOMONTH(AO378,0)&lt;&gt;AN$5),1))+IF(AR378="",0,IFERROR(--(EOMONTH(AR378,0)&lt;&gt;AQ$5),1))+IF(AU378="",0,IFERROR(--(EOMONTH(AU378,0)&lt;&gt;AT$5),1))+IF(AX378="",0,IFERROR(--(EOMONTH(AX378,0)&lt;&gt;AW$5),1))+IF(BA378="",0,IFERROR(--(EOMONTH(BA378,0)&lt;&gt;AZ$5),1)))&gt;0,"; An invoice date is not in the month it is typed under",""),3,500))</f>
        <v/>
      </c>
      <c r="S378" s="12" t="n"/>
      <c r="T378" s="13" t="n"/>
      <c r="U378" s="14" t="n"/>
      <c r="V378" s="12" t="n"/>
      <c r="W378" s="13" t="n"/>
      <c r="X378" s="14" t="n"/>
      <c r="Y378" s="12" t="n"/>
      <c r="Z378" s="13" t="n"/>
      <c r="AA378" s="14" t="n"/>
      <c r="AB378" s="12" t="n"/>
      <c r="AC378" s="13" t="n"/>
      <c r="AD378" s="14" t="n"/>
      <c r="AE378" s="12" t="n"/>
      <c r="AF378" s="13" t="n"/>
      <c r="AG378" s="14" t="n"/>
      <c r="AH378" s="12" t="n"/>
      <c r="AI378" s="13" t="n"/>
      <c r="AJ378" s="14" t="n"/>
      <c r="AK378" s="12" t="n"/>
      <c r="AL378" s="13" t="n"/>
      <c r="AM378" s="14" t="n"/>
      <c r="AN378" s="12" t="n"/>
      <c r="AO378" s="13" t="n"/>
      <c r="AP378" s="14" t="n"/>
      <c r="AQ378" s="12" t="n"/>
      <c r="AR378" s="13" t="n"/>
      <c r="AS378" s="14" t="n"/>
      <c r="AT378" s="12" t="n"/>
      <c r="AU378" s="13" t="n"/>
      <c r="AV378" s="14" t="n"/>
      <c r="AW378" s="12" t="n"/>
      <c r="AX378" s="13" t="n"/>
      <c r="AY378" s="14" t="n"/>
      <c r="AZ378" s="12" t="n"/>
      <c r="BA378" s="13" t="n"/>
      <c r="BB378" s="14" t="n"/>
      <c r="BC378" s="11">
        <f>IF(O378="","",IF(J378="GST 10%",ROUND(O378*set_GSTRate,2),0))</f>
        <v/>
      </c>
      <c r="BD378" s="11">
        <f>IF(O378="","",O378+BC378)</f>
        <v/>
      </c>
      <c r="BE378" s="15">
        <f>IF(O378="","",COUNTA(S378,V378,Y378,AB378,AE378,AH378,AK378,AN378,AQ378,AT378,AW378,AZ378))</f>
        <v/>
      </c>
      <c r="BF378" s="16">
        <f>IF(COUNT(T378,W378,Z378,AC378,AF378,AI378,AL378,AO378,AR378,AU378,AX378,BA378)=0,"",MAX(T378,W378,Z378,AC378,AF378,AI378,AL378,AO378,AR378,AU378,AX378,BA378))</f>
        <v/>
      </c>
      <c r="BG378" s="10">
        <f>MID(IF(S378="","",", "&amp;S378)&amp;IF(V378="","",", "&amp;V378)&amp;IF(Y378="","",", "&amp;Y378)&amp;IF(AB378="","",", "&amp;AB378)&amp;IF(AE378="","",", "&amp;AE378)&amp;IF(AH378="","",", "&amp;AH378)&amp;IF(AK378="","",", "&amp;AK378)&amp;IF(AN378="","",", "&amp;AN378)&amp;IF(AQ378="","",", "&amp;AQ378)&amp;IF(AT378="","",", "&amp;AT378)&amp;IF(AW378="","",", "&amp;AW378)&amp;IF(AZ378="","",", "&amp;AZ378),3,500)</f>
        <v/>
      </c>
      <c r="BH378" s="12" t="n"/>
      <c r="BI378" s="15">
        <f>IFERROR(MATCH($A378,IF($B378="Onsite",tbl_Onsite[Row ID],IF($B378="Production",tbl_Production[Row ID],tbl_Consulting[Row ID])),0),"")</f>
        <v/>
      </c>
    </row>
    <row r="379">
      <c r="A379" s="10" t="inlineStr">
        <is>
          <t>ONS-0373</t>
        </is>
      </c>
      <c r="B379" s="10" t="inlineStr">
        <is>
          <t>Onsite</t>
        </is>
      </c>
      <c r="C379" s="10">
        <f>IF($BI379="","",IF($B379="Onsite",INDEX(tbl_Onsite[Job Number],$BI379),IF($B379="Production",INDEX(tbl_Production[Job Number],$BI379),INDEX(tbl_Consulting[Job Number],$BI379)))&amp;"")</f>
        <v/>
      </c>
      <c r="D379" s="10">
        <f>IF($BI379="","",IF($B379="Onsite",INDEX(tbl_Onsite[Client],$BI379),IF($B379="Production",INDEX(tbl_Production[Client],$BI379),INDEX(tbl_Consulting[Client],$BI379)))&amp;"")</f>
        <v/>
      </c>
      <c r="E379" s="10">
        <f>IF($C379="","",IF(COUNTIF(lst_Jobs,$C379)&gt;0,"OK","CHECK"))</f>
        <v/>
      </c>
      <c r="F379" s="10">
        <f>IF($C379="","",IFERROR(INDEX(lst_JobName,MATCH($C379,lst_Jobs,0)),""))</f>
        <v/>
      </c>
      <c r="G379" s="10">
        <f>IF($BI379="","",IF($B379="Onsite",INDEX(tbl_Onsite[Job Description],$BI379),IF($B379="Production",INDEX(tbl_Production[Job Description],$BI379),INDEX(tbl_Consulting[Job Description],$BI379)))&amp;"")</f>
        <v/>
      </c>
      <c r="H379" s="10">
        <f>IF($BI379="","",IF($B379="Onsite",INDEX(tbl_Onsite[Cost Centre],$BI379),IF($B379="Production",INDEX(tbl_Production[Cost Centre],$BI379),INDEX(tbl_Consulting[Cost Centre],$BI379)))&amp;"")</f>
        <v/>
      </c>
      <c r="I379" s="10">
        <f>IF($BI379="","",IF($B379="Onsite",INDEX(tbl_Onsite[Invoice Type],$BI379),IF($B379="Production",INDEX(tbl_Production[Invoice Type],$BI379),INDEX(tbl_Consulting[Invoice Type],$BI379)))&amp;"")</f>
        <v/>
      </c>
      <c r="J379" s="10">
        <f>IF($BI379="","",IF($B379="Onsite",INDEX(tbl_Onsite[Tax Code],$BI379),IF($B379="Production",INDEX(tbl_Production[Tax Code],$BI379),INDEX(tbl_Consulting[Tax Code],$BI379)))&amp;"")</f>
        <v/>
      </c>
      <c r="K379" s="10">
        <f>IF(H379="","",IFERROR(INDEX(lst_CCtoGL,MATCH(H379,lst_CCforGL,0)),""))</f>
        <v/>
      </c>
      <c r="L379" s="10">
        <f>IF($BI379="","",IF($B379="Onsite",INDEX(tbl_Onsite[PO / Reference],$BI379),IF($B379="Production",INDEX(tbl_Production[Current RMS No],$BI379),INDEX(tbl_Consulting[Qwilr Quote],$BI379)))&amp;"")</f>
        <v/>
      </c>
      <c r="M379" s="10">
        <f>IF($BI379="","",IF($B379="Onsite",INDEX(tbl_Onsite[Notes],$BI379),IF($B379="Production",INDEX(tbl_Production[Notes],$BI379),INDEX(tbl_Consulting[Notes],$BI379)))&amp;"")</f>
        <v/>
      </c>
      <c r="N379" s="11">
        <f>IF($BI379="","",IF(IF($B379="Onsite",INDEX(tbl_Onsite[Expected Revenue Ex GST],$BI379),IF($B379="Production",INDEX(tbl_Production[Expected Revenue Ex GST],$BI379),INDEX(tbl_Consulting[Expected Revenue Ex GST],$BI379)))="","",IF($B379="Onsite",INDEX(tbl_Onsite[Expected Revenue Ex GST],$BI379),IF($B379="Production",INDEX(tbl_Production[Expected Revenue Ex GST],$BI379),INDEX(tbl_Consulting[Expected Revenue Ex GST],$BI379)))))</f>
        <v/>
      </c>
      <c r="O379" s="11">
        <f>IF(AND($C379="",NOT(COUNTA($S379:$BB379)&gt;0)),"",SUM(U379,X379,AA379,AD379,AG379,AJ379,AM379,AP379,AS379,AV379,AY379,BB379))</f>
        <v/>
      </c>
      <c r="P379" s="11">
        <f>IF(O379="","",N(N379)-O379)</f>
        <v/>
      </c>
      <c r="Q379" s="10">
        <f>IF(O379="","",IF($C379="","Invoice on empty job row",IF(N379="",IF(ROUND(O379,2)=0,"No dept value","Invoiced - no dept value"),IF(ROUND(O379,2)=0,"Not invoiced - to invoice",IF(ROUND(P379,2)=0,"Agrees",IF(P379&gt;0,"Dept higher - to invoice","Xero higher - check dept"))))))</f>
        <v/>
      </c>
      <c r="R379" s="10">
        <f>IF(AND($C379="",NOT(COUNTA($S379:$BB379)&gt;0),$BI379&lt;&gt;""),"",MID(IF($BI379="","; Row ID not found on the department sheet - a row was deleted","")&amp;IF(AND($C379="",COUNTA($S379:$BB379)&gt;0),"; Invoice entered but the department row has no job number","")&amp;IF(E379="CHECK","; Job number not in the Xero job list","")&amp;IF(AND($C379&lt;&gt;"",COUNTIF($C$7:$C$1506,$C379)&gt;1),"; Job number on more than one row","")&amp;IF(AND($C379&lt;&gt;"",H379=""),"; Dept has not set a cost centre","")&amp;IF(AND($C379&lt;&gt;"",J379=""),"; Dept has not set a tax code","")&amp;IF(AND($C379&lt;&gt;"",N379=""),"; Dept has not entered an expected value","")&amp;IF((IF(OR(COUNTA(S379:U379)=0,AND(COUNTA(S379:U379)=3,ISNUMBER(U379))),0,1)+IF(OR(COUNTA(V379:X379)=0,AND(COUNTA(V379:X379)=3,ISNUMBER(X379))),0,1)+IF(OR(COUNTA(Y379:AA379)=0,AND(COUNTA(Y379:AA379)=3,ISNUMBER(AA379))),0,1)+IF(OR(COUNTA(AB379:AD379)=0,AND(COUNTA(AB379:AD379)=3,ISNUMBER(AD379))),0,1)+IF(OR(COUNTA(AE379:AG379)=0,AND(COUNTA(AE379:AG379)=3,ISNUMBER(AG379))),0,1)+IF(OR(COUNTA(AH379:AJ379)=0,AND(COUNTA(AH379:AJ379)=3,ISNUMBER(AJ379))),0,1)+IF(OR(COUNTA(AK379:AM379)=0,AND(COUNTA(AK379:AM379)=3,ISNUMBER(AM379))),0,1)+IF(OR(COUNTA(AN379:AP379)=0,AND(COUNTA(AN379:AP379)=3,ISNUMBER(AP379))),0,1)+IF(OR(COUNTA(AQ379:AS379)=0,AND(COUNTA(AQ379:AS379)=3,ISNUMBER(AS379))),0,1)+IF(OR(COUNTA(AT379:AV379)=0,AND(COUNTA(AT379:AV379)=3,ISNUMBER(AV379))),0,1)+IF(OR(COUNTA(AW379:AY379)=0,AND(COUNTA(AW379:AY379)=3,ISNUMBER(AY379))),0,1)+IF(OR(COUNTA(AZ379:BB379)=0,AND(COUNTA(AZ379:BB379)=3,ISNUMBER(BB379))),0,1))&gt;0,"; An invoice is incomplete (needs No, Date and a number in Ex GST)","")&amp;IF((IF(T379="",0,IFERROR(--(EOMONTH(T379,0)&lt;&gt;S$5),1))+IF(W379="",0,IFERROR(--(EOMONTH(W379,0)&lt;&gt;V$5),1))+IF(Z379="",0,IFERROR(--(EOMONTH(Z379,0)&lt;&gt;Y$5),1))+IF(AC379="",0,IFERROR(--(EOMONTH(AC379,0)&lt;&gt;AB$5),1))+IF(AF379="",0,IFERROR(--(EOMONTH(AF379,0)&lt;&gt;AE$5),1))+IF(AI379="",0,IFERROR(--(EOMONTH(AI379,0)&lt;&gt;AH$5),1))+IF(AL379="",0,IFERROR(--(EOMONTH(AL379,0)&lt;&gt;AK$5),1))+IF(AO379="",0,IFERROR(--(EOMONTH(AO379,0)&lt;&gt;AN$5),1))+IF(AR379="",0,IFERROR(--(EOMONTH(AR379,0)&lt;&gt;AQ$5),1))+IF(AU379="",0,IFERROR(--(EOMONTH(AU379,0)&lt;&gt;AT$5),1))+IF(AX379="",0,IFERROR(--(EOMONTH(AX379,0)&lt;&gt;AW$5),1))+IF(BA379="",0,IFERROR(--(EOMONTH(BA379,0)&lt;&gt;AZ$5),1)))&gt;0,"; An invoice date is not in the month it is typed under",""),3,500))</f>
        <v/>
      </c>
      <c r="S379" s="12" t="n"/>
      <c r="T379" s="13" t="n"/>
      <c r="U379" s="14" t="n"/>
      <c r="V379" s="12" t="n"/>
      <c r="W379" s="13" t="n"/>
      <c r="X379" s="14" t="n"/>
      <c r="Y379" s="12" t="n"/>
      <c r="Z379" s="13" t="n"/>
      <c r="AA379" s="14" t="n"/>
      <c r="AB379" s="12" t="n"/>
      <c r="AC379" s="13" t="n"/>
      <c r="AD379" s="14" t="n"/>
      <c r="AE379" s="12" t="n"/>
      <c r="AF379" s="13" t="n"/>
      <c r="AG379" s="14" t="n"/>
      <c r="AH379" s="12" t="n"/>
      <c r="AI379" s="13" t="n"/>
      <c r="AJ379" s="14" t="n"/>
      <c r="AK379" s="12" t="n"/>
      <c r="AL379" s="13" t="n"/>
      <c r="AM379" s="14" t="n"/>
      <c r="AN379" s="12" t="n"/>
      <c r="AO379" s="13" t="n"/>
      <c r="AP379" s="14" t="n"/>
      <c r="AQ379" s="12" t="n"/>
      <c r="AR379" s="13" t="n"/>
      <c r="AS379" s="14" t="n"/>
      <c r="AT379" s="12" t="n"/>
      <c r="AU379" s="13" t="n"/>
      <c r="AV379" s="14" t="n"/>
      <c r="AW379" s="12" t="n"/>
      <c r="AX379" s="13" t="n"/>
      <c r="AY379" s="14" t="n"/>
      <c r="AZ379" s="12" t="n"/>
      <c r="BA379" s="13" t="n"/>
      <c r="BB379" s="14" t="n"/>
      <c r="BC379" s="11">
        <f>IF(O379="","",IF(J379="GST 10%",ROUND(O379*set_GSTRate,2),0))</f>
        <v/>
      </c>
      <c r="BD379" s="11">
        <f>IF(O379="","",O379+BC379)</f>
        <v/>
      </c>
      <c r="BE379" s="15">
        <f>IF(O379="","",COUNTA(S379,V379,Y379,AB379,AE379,AH379,AK379,AN379,AQ379,AT379,AW379,AZ379))</f>
        <v/>
      </c>
      <c r="BF379" s="16">
        <f>IF(COUNT(T379,W379,Z379,AC379,AF379,AI379,AL379,AO379,AR379,AU379,AX379,BA379)=0,"",MAX(T379,W379,Z379,AC379,AF379,AI379,AL379,AO379,AR379,AU379,AX379,BA379))</f>
        <v/>
      </c>
      <c r="BG379" s="10">
        <f>MID(IF(S379="","",", "&amp;S379)&amp;IF(V379="","",", "&amp;V379)&amp;IF(Y379="","",", "&amp;Y379)&amp;IF(AB379="","",", "&amp;AB379)&amp;IF(AE379="","",", "&amp;AE379)&amp;IF(AH379="","",", "&amp;AH379)&amp;IF(AK379="","",", "&amp;AK379)&amp;IF(AN379="","",", "&amp;AN379)&amp;IF(AQ379="","",", "&amp;AQ379)&amp;IF(AT379="","",", "&amp;AT379)&amp;IF(AW379="","",", "&amp;AW379)&amp;IF(AZ379="","",", "&amp;AZ379),3,500)</f>
        <v/>
      </c>
      <c r="BH379" s="12" t="n"/>
      <c r="BI379" s="15">
        <f>IFERROR(MATCH($A379,IF($B379="Onsite",tbl_Onsite[Row ID],IF($B379="Production",tbl_Production[Row ID],tbl_Consulting[Row ID])),0),"")</f>
        <v/>
      </c>
    </row>
    <row r="380">
      <c r="A380" s="10" t="inlineStr">
        <is>
          <t>ONS-0374</t>
        </is>
      </c>
      <c r="B380" s="10" t="inlineStr">
        <is>
          <t>Onsite</t>
        </is>
      </c>
      <c r="C380" s="10">
        <f>IF($BI380="","",IF($B380="Onsite",INDEX(tbl_Onsite[Job Number],$BI380),IF($B380="Production",INDEX(tbl_Production[Job Number],$BI380),INDEX(tbl_Consulting[Job Number],$BI380)))&amp;"")</f>
        <v/>
      </c>
      <c r="D380" s="10">
        <f>IF($BI380="","",IF($B380="Onsite",INDEX(tbl_Onsite[Client],$BI380),IF($B380="Production",INDEX(tbl_Production[Client],$BI380),INDEX(tbl_Consulting[Client],$BI380)))&amp;"")</f>
        <v/>
      </c>
      <c r="E380" s="10">
        <f>IF($C380="","",IF(COUNTIF(lst_Jobs,$C380)&gt;0,"OK","CHECK"))</f>
        <v/>
      </c>
      <c r="F380" s="10">
        <f>IF($C380="","",IFERROR(INDEX(lst_JobName,MATCH($C380,lst_Jobs,0)),""))</f>
        <v/>
      </c>
      <c r="G380" s="10">
        <f>IF($BI380="","",IF($B380="Onsite",INDEX(tbl_Onsite[Job Description],$BI380),IF($B380="Production",INDEX(tbl_Production[Job Description],$BI380),INDEX(tbl_Consulting[Job Description],$BI380)))&amp;"")</f>
        <v/>
      </c>
      <c r="H380" s="10">
        <f>IF($BI380="","",IF($B380="Onsite",INDEX(tbl_Onsite[Cost Centre],$BI380),IF($B380="Production",INDEX(tbl_Production[Cost Centre],$BI380),INDEX(tbl_Consulting[Cost Centre],$BI380)))&amp;"")</f>
        <v/>
      </c>
      <c r="I380" s="10">
        <f>IF($BI380="","",IF($B380="Onsite",INDEX(tbl_Onsite[Invoice Type],$BI380),IF($B380="Production",INDEX(tbl_Production[Invoice Type],$BI380),INDEX(tbl_Consulting[Invoice Type],$BI380)))&amp;"")</f>
        <v/>
      </c>
      <c r="J380" s="10">
        <f>IF($BI380="","",IF($B380="Onsite",INDEX(tbl_Onsite[Tax Code],$BI380),IF($B380="Production",INDEX(tbl_Production[Tax Code],$BI380),INDEX(tbl_Consulting[Tax Code],$BI380)))&amp;"")</f>
        <v/>
      </c>
      <c r="K380" s="10">
        <f>IF(H380="","",IFERROR(INDEX(lst_CCtoGL,MATCH(H380,lst_CCforGL,0)),""))</f>
        <v/>
      </c>
      <c r="L380" s="10">
        <f>IF($BI380="","",IF($B380="Onsite",INDEX(tbl_Onsite[PO / Reference],$BI380),IF($B380="Production",INDEX(tbl_Production[Current RMS No],$BI380),INDEX(tbl_Consulting[Qwilr Quote],$BI380)))&amp;"")</f>
        <v/>
      </c>
      <c r="M380" s="10">
        <f>IF($BI380="","",IF($B380="Onsite",INDEX(tbl_Onsite[Notes],$BI380),IF($B380="Production",INDEX(tbl_Production[Notes],$BI380),INDEX(tbl_Consulting[Notes],$BI380)))&amp;"")</f>
        <v/>
      </c>
      <c r="N380" s="11">
        <f>IF($BI380="","",IF(IF($B380="Onsite",INDEX(tbl_Onsite[Expected Revenue Ex GST],$BI380),IF($B380="Production",INDEX(tbl_Production[Expected Revenue Ex GST],$BI380),INDEX(tbl_Consulting[Expected Revenue Ex GST],$BI380)))="","",IF($B380="Onsite",INDEX(tbl_Onsite[Expected Revenue Ex GST],$BI380),IF($B380="Production",INDEX(tbl_Production[Expected Revenue Ex GST],$BI380),INDEX(tbl_Consulting[Expected Revenue Ex GST],$BI380)))))</f>
        <v/>
      </c>
      <c r="O380" s="11">
        <f>IF(AND($C380="",NOT(COUNTA($S380:$BB380)&gt;0)),"",SUM(U380,X380,AA380,AD380,AG380,AJ380,AM380,AP380,AS380,AV380,AY380,BB380))</f>
        <v/>
      </c>
      <c r="P380" s="11">
        <f>IF(O380="","",N(N380)-O380)</f>
        <v/>
      </c>
      <c r="Q380" s="10">
        <f>IF(O380="","",IF($C380="","Invoice on empty job row",IF(N380="",IF(ROUND(O380,2)=0,"No dept value","Invoiced - no dept value"),IF(ROUND(O380,2)=0,"Not invoiced - to invoice",IF(ROUND(P380,2)=0,"Agrees",IF(P380&gt;0,"Dept higher - to invoice","Xero higher - check dept"))))))</f>
        <v/>
      </c>
      <c r="R380" s="10">
        <f>IF(AND($C380="",NOT(COUNTA($S380:$BB380)&gt;0),$BI380&lt;&gt;""),"",MID(IF($BI380="","; Row ID not found on the department sheet - a row was deleted","")&amp;IF(AND($C380="",COUNTA($S380:$BB380)&gt;0),"; Invoice entered but the department row has no job number","")&amp;IF(E380="CHECK","; Job number not in the Xero job list","")&amp;IF(AND($C380&lt;&gt;"",COUNTIF($C$7:$C$1506,$C380)&gt;1),"; Job number on more than one row","")&amp;IF(AND($C380&lt;&gt;"",H380=""),"; Dept has not set a cost centre","")&amp;IF(AND($C380&lt;&gt;"",J380=""),"; Dept has not set a tax code","")&amp;IF(AND($C380&lt;&gt;"",N380=""),"; Dept has not entered an expected value","")&amp;IF((IF(OR(COUNTA(S380:U380)=0,AND(COUNTA(S380:U380)=3,ISNUMBER(U380))),0,1)+IF(OR(COUNTA(V380:X380)=0,AND(COUNTA(V380:X380)=3,ISNUMBER(X380))),0,1)+IF(OR(COUNTA(Y380:AA380)=0,AND(COUNTA(Y380:AA380)=3,ISNUMBER(AA380))),0,1)+IF(OR(COUNTA(AB380:AD380)=0,AND(COUNTA(AB380:AD380)=3,ISNUMBER(AD380))),0,1)+IF(OR(COUNTA(AE380:AG380)=0,AND(COUNTA(AE380:AG380)=3,ISNUMBER(AG380))),0,1)+IF(OR(COUNTA(AH380:AJ380)=0,AND(COUNTA(AH380:AJ380)=3,ISNUMBER(AJ380))),0,1)+IF(OR(COUNTA(AK380:AM380)=0,AND(COUNTA(AK380:AM380)=3,ISNUMBER(AM380))),0,1)+IF(OR(COUNTA(AN380:AP380)=0,AND(COUNTA(AN380:AP380)=3,ISNUMBER(AP380))),0,1)+IF(OR(COUNTA(AQ380:AS380)=0,AND(COUNTA(AQ380:AS380)=3,ISNUMBER(AS380))),0,1)+IF(OR(COUNTA(AT380:AV380)=0,AND(COUNTA(AT380:AV380)=3,ISNUMBER(AV380))),0,1)+IF(OR(COUNTA(AW380:AY380)=0,AND(COUNTA(AW380:AY380)=3,ISNUMBER(AY380))),0,1)+IF(OR(COUNTA(AZ380:BB380)=0,AND(COUNTA(AZ380:BB380)=3,ISNUMBER(BB380))),0,1))&gt;0,"; An invoice is incomplete (needs No, Date and a number in Ex GST)","")&amp;IF((IF(T380="",0,IFERROR(--(EOMONTH(T380,0)&lt;&gt;S$5),1))+IF(W380="",0,IFERROR(--(EOMONTH(W380,0)&lt;&gt;V$5),1))+IF(Z380="",0,IFERROR(--(EOMONTH(Z380,0)&lt;&gt;Y$5),1))+IF(AC380="",0,IFERROR(--(EOMONTH(AC380,0)&lt;&gt;AB$5),1))+IF(AF380="",0,IFERROR(--(EOMONTH(AF380,0)&lt;&gt;AE$5),1))+IF(AI380="",0,IFERROR(--(EOMONTH(AI380,0)&lt;&gt;AH$5),1))+IF(AL380="",0,IFERROR(--(EOMONTH(AL380,0)&lt;&gt;AK$5),1))+IF(AO380="",0,IFERROR(--(EOMONTH(AO380,0)&lt;&gt;AN$5),1))+IF(AR380="",0,IFERROR(--(EOMONTH(AR380,0)&lt;&gt;AQ$5),1))+IF(AU380="",0,IFERROR(--(EOMONTH(AU380,0)&lt;&gt;AT$5),1))+IF(AX380="",0,IFERROR(--(EOMONTH(AX380,0)&lt;&gt;AW$5),1))+IF(BA380="",0,IFERROR(--(EOMONTH(BA380,0)&lt;&gt;AZ$5),1)))&gt;0,"; An invoice date is not in the month it is typed under",""),3,500))</f>
        <v/>
      </c>
      <c r="S380" s="12" t="n"/>
      <c r="T380" s="13" t="n"/>
      <c r="U380" s="14" t="n"/>
      <c r="V380" s="12" t="n"/>
      <c r="W380" s="13" t="n"/>
      <c r="X380" s="14" t="n"/>
      <c r="Y380" s="12" t="n"/>
      <c r="Z380" s="13" t="n"/>
      <c r="AA380" s="14" t="n"/>
      <c r="AB380" s="12" t="n"/>
      <c r="AC380" s="13" t="n"/>
      <c r="AD380" s="14" t="n"/>
      <c r="AE380" s="12" t="n"/>
      <c r="AF380" s="13" t="n"/>
      <c r="AG380" s="14" t="n"/>
      <c r="AH380" s="12" t="n"/>
      <c r="AI380" s="13" t="n"/>
      <c r="AJ380" s="14" t="n"/>
      <c r="AK380" s="12" t="n"/>
      <c r="AL380" s="13" t="n"/>
      <c r="AM380" s="14" t="n"/>
      <c r="AN380" s="12" t="n"/>
      <c r="AO380" s="13" t="n"/>
      <c r="AP380" s="14" t="n"/>
      <c r="AQ380" s="12" t="n"/>
      <c r="AR380" s="13" t="n"/>
      <c r="AS380" s="14" t="n"/>
      <c r="AT380" s="12" t="n"/>
      <c r="AU380" s="13" t="n"/>
      <c r="AV380" s="14" t="n"/>
      <c r="AW380" s="12" t="n"/>
      <c r="AX380" s="13" t="n"/>
      <c r="AY380" s="14" t="n"/>
      <c r="AZ380" s="12" t="n"/>
      <c r="BA380" s="13" t="n"/>
      <c r="BB380" s="14" t="n"/>
      <c r="BC380" s="11">
        <f>IF(O380="","",IF(J380="GST 10%",ROUND(O380*set_GSTRate,2),0))</f>
        <v/>
      </c>
      <c r="BD380" s="11">
        <f>IF(O380="","",O380+BC380)</f>
        <v/>
      </c>
      <c r="BE380" s="15">
        <f>IF(O380="","",COUNTA(S380,V380,Y380,AB380,AE380,AH380,AK380,AN380,AQ380,AT380,AW380,AZ380))</f>
        <v/>
      </c>
      <c r="BF380" s="16">
        <f>IF(COUNT(T380,W380,Z380,AC380,AF380,AI380,AL380,AO380,AR380,AU380,AX380,BA380)=0,"",MAX(T380,W380,Z380,AC380,AF380,AI380,AL380,AO380,AR380,AU380,AX380,BA380))</f>
        <v/>
      </c>
      <c r="BG380" s="10">
        <f>MID(IF(S380="","",", "&amp;S380)&amp;IF(V380="","",", "&amp;V380)&amp;IF(Y380="","",", "&amp;Y380)&amp;IF(AB380="","",", "&amp;AB380)&amp;IF(AE380="","",", "&amp;AE380)&amp;IF(AH380="","",", "&amp;AH380)&amp;IF(AK380="","",", "&amp;AK380)&amp;IF(AN380="","",", "&amp;AN380)&amp;IF(AQ380="","",", "&amp;AQ380)&amp;IF(AT380="","",", "&amp;AT380)&amp;IF(AW380="","",", "&amp;AW380)&amp;IF(AZ380="","",", "&amp;AZ380),3,500)</f>
        <v/>
      </c>
      <c r="BH380" s="12" t="n"/>
      <c r="BI380" s="15">
        <f>IFERROR(MATCH($A380,IF($B380="Onsite",tbl_Onsite[Row ID],IF($B380="Production",tbl_Production[Row ID],tbl_Consulting[Row ID])),0),"")</f>
        <v/>
      </c>
    </row>
    <row r="381">
      <c r="A381" s="10" t="inlineStr">
        <is>
          <t>ONS-0375</t>
        </is>
      </c>
      <c r="B381" s="10" t="inlineStr">
        <is>
          <t>Onsite</t>
        </is>
      </c>
      <c r="C381" s="10">
        <f>IF($BI381="","",IF($B381="Onsite",INDEX(tbl_Onsite[Job Number],$BI381),IF($B381="Production",INDEX(tbl_Production[Job Number],$BI381),INDEX(tbl_Consulting[Job Number],$BI381)))&amp;"")</f>
        <v/>
      </c>
      <c r="D381" s="10">
        <f>IF($BI381="","",IF($B381="Onsite",INDEX(tbl_Onsite[Client],$BI381),IF($B381="Production",INDEX(tbl_Production[Client],$BI381),INDEX(tbl_Consulting[Client],$BI381)))&amp;"")</f>
        <v/>
      </c>
      <c r="E381" s="10">
        <f>IF($C381="","",IF(COUNTIF(lst_Jobs,$C381)&gt;0,"OK","CHECK"))</f>
        <v/>
      </c>
      <c r="F381" s="10">
        <f>IF($C381="","",IFERROR(INDEX(lst_JobName,MATCH($C381,lst_Jobs,0)),""))</f>
        <v/>
      </c>
      <c r="G381" s="10">
        <f>IF($BI381="","",IF($B381="Onsite",INDEX(tbl_Onsite[Job Description],$BI381),IF($B381="Production",INDEX(tbl_Production[Job Description],$BI381),INDEX(tbl_Consulting[Job Description],$BI381)))&amp;"")</f>
        <v/>
      </c>
      <c r="H381" s="10">
        <f>IF($BI381="","",IF($B381="Onsite",INDEX(tbl_Onsite[Cost Centre],$BI381),IF($B381="Production",INDEX(tbl_Production[Cost Centre],$BI381),INDEX(tbl_Consulting[Cost Centre],$BI381)))&amp;"")</f>
        <v/>
      </c>
      <c r="I381" s="10">
        <f>IF($BI381="","",IF($B381="Onsite",INDEX(tbl_Onsite[Invoice Type],$BI381),IF($B381="Production",INDEX(tbl_Production[Invoice Type],$BI381),INDEX(tbl_Consulting[Invoice Type],$BI381)))&amp;"")</f>
        <v/>
      </c>
      <c r="J381" s="10">
        <f>IF($BI381="","",IF($B381="Onsite",INDEX(tbl_Onsite[Tax Code],$BI381),IF($B381="Production",INDEX(tbl_Production[Tax Code],$BI381),INDEX(tbl_Consulting[Tax Code],$BI381)))&amp;"")</f>
        <v/>
      </c>
      <c r="K381" s="10">
        <f>IF(H381="","",IFERROR(INDEX(lst_CCtoGL,MATCH(H381,lst_CCforGL,0)),""))</f>
        <v/>
      </c>
      <c r="L381" s="10">
        <f>IF($BI381="","",IF($B381="Onsite",INDEX(tbl_Onsite[PO / Reference],$BI381),IF($B381="Production",INDEX(tbl_Production[Current RMS No],$BI381),INDEX(tbl_Consulting[Qwilr Quote],$BI381)))&amp;"")</f>
        <v/>
      </c>
      <c r="M381" s="10">
        <f>IF($BI381="","",IF($B381="Onsite",INDEX(tbl_Onsite[Notes],$BI381),IF($B381="Production",INDEX(tbl_Production[Notes],$BI381),INDEX(tbl_Consulting[Notes],$BI381)))&amp;"")</f>
        <v/>
      </c>
      <c r="N381" s="11">
        <f>IF($BI381="","",IF(IF($B381="Onsite",INDEX(tbl_Onsite[Expected Revenue Ex GST],$BI381),IF($B381="Production",INDEX(tbl_Production[Expected Revenue Ex GST],$BI381),INDEX(tbl_Consulting[Expected Revenue Ex GST],$BI381)))="","",IF($B381="Onsite",INDEX(tbl_Onsite[Expected Revenue Ex GST],$BI381),IF($B381="Production",INDEX(tbl_Production[Expected Revenue Ex GST],$BI381),INDEX(tbl_Consulting[Expected Revenue Ex GST],$BI381)))))</f>
        <v/>
      </c>
      <c r="O381" s="11">
        <f>IF(AND($C381="",NOT(COUNTA($S381:$BB381)&gt;0)),"",SUM(U381,X381,AA381,AD381,AG381,AJ381,AM381,AP381,AS381,AV381,AY381,BB381))</f>
        <v/>
      </c>
      <c r="P381" s="11">
        <f>IF(O381="","",N(N381)-O381)</f>
        <v/>
      </c>
      <c r="Q381" s="10">
        <f>IF(O381="","",IF($C381="","Invoice on empty job row",IF(N381="",IF(ROUND(O381,2)=0,"No dept value","Invoiced - no dept value"),IF(ROUND(O381,2)=0,"Not invoiced - to invoice",IF(ROUND(P381,2)=0,"Agrees",IF(P381&gt;0,"Dept higher - to invoice","Xero higher - check dept"))))))</f>
        <v/>
      </c>
      <c r="R381" s="10">
        <f>IF(AND($C381="",NOT(COUNTA($S381:$BB381)&gt;0),$BI381&lt;&gt;""),"",MID(IF($BI381="","; Row ID not found on the department sheet - a row was deleted","")&amp;IF(AND($C381="",COUNTA($S381:$BB381)&gt;0),"; Invoice entered but the department row has no job number","")&amp;IF(E381="CHECK","; Job number not in the Xero job list","")&amp;IF(AND($C381&lt;&gt;"",COUNTIF($C$7:$C$1506,$C381)&gt;1),"; Job number on more than one row","")&amp;IF(AND($C381&lt;&gt;"",H381=""),"; Dept has not set a cost centre","")&amp;IF(AND($C381&lt;&gt;"",J381=""),"; Dept has not set a tax code","")&amp;IF(AND($C381&lt;&gt;"",N381=""),"; Dept has not entered an expected value","")&amp;IF((IF(OR(COUNTA(S381:U381)=0,AND(COUNTA(S381:U381)=3,ISNUMBER(U381))),0,1)+IF(OR(COUNTA(V381:X381)=0,AND(COUNTA(V381:X381)=3,ISNUMBER(X381))),0,1)+IF(OR(COUNTA(Y381:AA381)=0,AND(COUNTA(Y381:AA381)=3,ISNUMBER(AA381))),0,1)+IF(OR(COUNTA(AB381:AD381)=0,AND(COUNTA(AB381:AD381)=3,ISNUMBER(AD381))),0,1)+IF(OR(COUNTA(AE381:AG381)=0,AND(COUNTA(AE381:AG381)=3,ISNUMBER(AG381))),0,1)+IF(OR(COUNTA(AH381:AJ381)=0,AND(COUNTA(AH381:AJ381)=3,ISNUMBER(AJ381))),0,1)+IF(OR(COUNTA(AK381:AM381)=0,AND(COUNTA(AK381:AM381)=3,ISNUMBER(AM381))),0,1)+IF(OR(COUNTA(AN381:AP381)=0,AND(COUNTA(AN381:AP381)=3,ISNUMBER(AP381))),0,1)+IF(OR(COUNTA(AQ381:AS381)=0,AND(COUNTA(AQ381:AS381)=3,ISNUMBER(AS381))),0,1)+IF(OR(COUNTA(AT381:AV381)=0,AND(COUNTA(AT381:AV381)=3,ISNUMBER(AV381))),0,1)+IF(OR(COUNTA(AW381:AY381)=0,AND(COUNTA(AW381:AY381)=3,ISNUMBER(AY381))),0,1)+IF(OR(COUNTA(AZ381:BB381)=0,AND(COUNTA(AZ381:BB381)=3,ISNUMBER(BB381))),0,1))&gt;0,"; An invoice is incomplete (needs No, Date and a number in Ex GST)","")&amp;IF((IF(T381="",0,IFERROR(--(EOMONTH(T381,0)&lt;&gt;S$5),1))+IF(W381="",0,IFERROR(--(EOMONTH(W381,0)&lt;&gt;V$5),1))+IF(Z381="",0,IFERROR(--(EOMONTH(Z381,0)&lt;&gt;Y$5),1))+IF(AC381="",0,IFERROR(--(EOMONTH(AC381,0)&lt;&gt;AB$5),1))+IF(AF381="",0,IFERROR(--(EOMONTH(AF381,0)&lt;&gt;AE$5),1))+IF(AI381="",0,IFERROR(--(EOMONTH(AI381,0)&lt;&gt;AH$5),1))+IF(AL381="",0,IFERROR(--(EOMONTH(AL381,0)&lt;&gt;AK$5),1))+IF(AO381="",0,IFERROR(--(EOMONTH(AO381,0)&lt;&gt;AN$5),1))+IF(AR381="",0,IFERROR(--(EOMONTH(AR381,0)&lt;&gt;AQ$5),1))+IF(AU381="",0,IFERROR(--(EOMONTH(AU381,0)&lt;&gt;AT$5),1))+IF(AX381="",0,IFERROR(--(EOMONTH(AX381,0)&lt;&gt;AW$5),1))+IF(BA381="",0,IFERROR(--(EOMONTH(BA381,0)&lt;&gt;AZ$5),1)))&gt;0,"; An invoice date is not in the month it is typed under",""),3,500))</f>
        <v/>
      </c>
      <c r="S381" s="12" t="n"/>
      <c r="T381" s="13" t="n"/>
      <c r="U381" s="14" t="n"/>
      <c r="V381" s="12" t="n"/>
      <c r="W381" s="13" t="n"/>
      <c r="X381" s="14" t="n"/>
      <c r="Y381" s="12" t="n"/>
      <c r="Z381" s="13" t="n"/>
      <c r="AA381" s="14" t="n"/>
      <c r="AB381" s="12" t="n"/>
      <c r="AC381" s="13" t="n"/>
      <c r="AD381" s="14" t="n"/>
      <c r="AE381" s="12" t="n"/>
      <c r="AF381" s="13" t="n"/>
      <c r="AG381" s="14" t="n"/>
      <c r="AH381" s="12" t="n"/>
      <c r="AI381" s="13" t="n"/>
      <c r="AJ381" s="14" t="n"/>
      <c r="AK381" s="12" t="n"/>
      <c r="AL381" s="13" t="n"/>
      <c r="AM381" s="14" t="n"/>
      <c r="AN381" s="12" t="n"/>
      <c r="AO381" s="13" t="n"/>
      <c r="AP381" s="14" t="n"/>
      <c r="AQ381" s="12" t="n"/>
      <c r="AR381" s="13" t="n"/>
      <c r="AS381" s="14" t="n"/>
      <c r="AT381" s="12" t="n"/>
      <c r="AU381" s="13" t="n"/>
      <c r="AV381" s="14" t="n"/>
      <c r="AW381" s="12" t="n"/>
      <c r="AX381" s="13" t="n"/>
      <c r="AY381" s="14" t="n"/>
      <c r="AZ381" s="12" t="n"/>
      <c r="BA381" s="13" t="n"/>
      <c r="BB381" s="14" t="n"/>
      <c r="BC381" s="11">
        <f>IF(O381="","",IF(J381="GST 10%",ROUND(O381*set_GSTRate,2),0))</f>
        <v/>
      </c>
      <c r="BD381" s="11">
        <f>IF(O381="","",O381+BC381)</f>
        <v/>
      </c>
      <c r="BE381" s="15">
        <f>IF(O381="","",COUNTA(S381,V381,Y381,AB381,AE381,AH381,AK381,AN381,AQ381,AT381,AW381,AZ381))</f>
        <v/>
      </c>
      <c r="BF381" s="16">
        <f>IF(COUNT(T381,W381,Z381,AC381,AF381,AI381,AL381,AO381,AR381,AU381,AX381,BA381)=0,"",MAX(T381,W381,Z381,AC381,AF381,AI381,AL381,AO381,AR381,AU381,AX381,BA381))</f>
        <v/>
      </c>
      <c r="BG381" s="10">
        <f>MID(IF(S381="","",", "&amp;S381)&amp;IF(V381="","",", "&amp;V381)&amp;IF(Y381="","",", "&amp;Y381)&amp;IF(AB381="","",", "&amp;AB381)&amp;IF(AE381="","",", "&amp;AE381)&amp;IF(AH381="","",", "&amp;AH381)&amp;IF(AK381="","",", "&amp;AK381)&amp;IF(AN381="","",", "&amp;AN381)&amp;IF(AQ381="","",", "&amp;AQ381)&amp;IF(AT381="","",", "&amp;AT381)&amp;IF(AW381="","",", "&amp;AW381)&amp;IF(AZ381="","",", "&amp;AZ381),3,500)</f>
        <v/>
      </c>
      <c r="BH381" s="12" t="n"/>
      <c r="BI381" s="15">
        <f>IFERROR(MATCH($A381,IF($B381="Onsite",tbl_Onsite[Row ID],IF($B381="Production",tbl_Production[Row ID],tbl_Consulting[Row ID])),0),"")</f>
        <v/>
      </c>
    </row>
    <row r="382">
      <c r="A382" s="10" t="inlineStr">
        <is>
          <t>ONS-0376</t>
        </is>
      </c>
      <c r="B382" s="10" t="inlineStr">
        <is>
          <t>Onsite</t>
        </is>
      </c>
      <c r="C382" s="10">
        <f>IF($BI382="","",IF($B382="Onsite",INDEX(tbl_Onsite[Job Number],$BI382),IF($B382="Production",INDEX(tbl_Production[Job Number],$BI382),INDEX(tbl_Consulting[Job Number],$BI382)))&amp;"")</f>
        <v/>
      </c>
      <c r="D382" s="10">
        <f>IF($BI382="","",IF($B382="Onsite",INDEX(tbl_Onsite[Client],$BI382),IF($B382="Production",INDEX(tbl_Production[Client],$BI382),INDEX(tbl_Consulting[Client],$BI382)))&amp;"")</f>
        <v/>
      </c>
      <c r="E382" s="10">
        <f>IF($C382="","",IF(COUNTIF(lst_Jobs,$C382)&gt;0,"OK","CHECK"))</f>
        <v/>
      </c>
      <c r="F382" s="10">
        <f>IF($C382="","",IFERROR(INDEX(lst_JobName,MATCH($C382,lst_Jobs,0)),""))</f>
        <v/>
      </c>
      <c r="G382" s="10">
        <f>IF($BI382="","",IF($B382="Onsite",INDEX(tbl_Onsite[Job Description],$BI382),IF($B382="Production",INDEX(tbl_Production[Job Description],$BI382),INDEX(tbl_Consulting[Job Description],$BI382)))&amp;"")</f>
        <v/>
      </c>
      <c r="H382" s="10">
        <f>IF($BI382="","",IF($B382="Onsite",INDEX(tbl_Onsite[Cost Centre],$BI382),IF($B382="Production",INDEX(tbl_Production[Cost Centre],$BI382),INDEX(tbl_Consulting[Cost Centre],$BI382)))&amp;"")</f>
        <v/>
      </c>
      <c r="I382" s="10">
        <f>IF($BI382="","",IF($B382="Onsite",INDEX(tbl_Onsite[Invoice Type],$BI382),IF($B382="Production",INDEX(tbl_Production[Invoice Type],$BI382),INDEX(tbl_Consulting[Invoice Type],$BI382)))&amp;"")</f>
        <v/>
      </c>
      <c r="J382" s="10">
        <f>IF($BI382="","",IF($B382="Onsite",INDEX(tbl_Onsite[Tax Code],$BI382),IF($B382="Production",INDEX(tbl_Production[Tax Code],$BI382),INDEX(tbl_Consulting[Tax Code],$BI382)))&amp;"")</f>
        <v/>
      </c>
      <c r="K382" s="10">
        <f>IF(H382="","",IFERROR(INDEX(lst_CCtoGL,MATCH(H382,lst_CCforGL,0)),""))</f>
        <v/>
      </c>
      <c r="L382" s="10">
        <f>IF($BI382="","",IF($B382="Onsite",INDEX(tbl_Onsite[PO / Reference],$BI382),IF($B382="Production",INDEX(tbl_Production[Current RMS No],$BI382),INDEX(tbl_Consulting[Qwilr Quote],$BI382)))&amp;"")</f>
        <v/>
      </c>
      <c r="M382" s="10">
        <f>IF($BI382="","",IF($B382="Onsite",INDEX(tbl_Onsite[Notes],$BI382),IF($B382="Production",INDEX(tbl_Production[Notes],$BI382),INDEX(tbl_Consulting[Notes],$BI382)))&amp;"")</f>
        <v/>
      </c>
      <c r="N382" s="11">
        <f>IF($BI382="","",IF(IF($B382="Onsite",INDEX(tbl_Onsite[Expected Revenue Ex GST],$BI382),IF($B382="Production",INDEX(tbl_Production[Expected Revenue Ex GST],$BI382),INDEX(tbl_Consulting[Expected Revenue Ex GST],$BI382)))="","",IF($B382="Onsite",INDEX(tbl_Onsite[Expected Revenue Ex GST],$BI382),IF($B382="Production",INDEX(tbl_Production[Expected Revenue Ex GST],$BI382),INDEX(tbl_Consulting[Expected Revenue Ex GST],$BI382)))))</f>
        <v/>
      </c>
      <c r="O382" s="11">
        <f>IF(AND($C382="",NOT(COUNTA($S382:$BB382)&gt;0)),"",SUM(U382,X382,AA382,AD382,AG382,AJ382,AM382,AP382,AS382,AV382,AY382,BB382))</f>
        <v/>
      </c>
      <c r="P382" s="11">
        <f>IF(O382="","",N(N382)-O382)</f>
        <v/>
      </c>
      <c r="Q382" s="10">
        <f>IF(O382="","",IF($C382="","Invoice on empty job row",IF(N382="",IF(ROUND(O382,2)=0,"No dept value","Invoiced - no dept value"),IF(ROUND(O382,2)=0,"Not invoiced - to invoice",IF(ROUND(P382,2)=0,"Agrees",IF(P382&gt;0,"Dept higher - to invoice","Xero higher - check dept"))))))</f>
        <v/>
      </c>
      <c r="R382" s="10">
        <f>IF(AND($C382="",NOT(COUNTA($S382:$BB382)&gt;0),$BI382&lt;&gt;""),"",MID(IF($BI382="","; Row ID not found on the department sheet - a row was deleted","")&amp;IF(AND($C382="",COUNTA($S382:$BB382)&gt;0),"; Invoice entered but the department row has no job number","")&amp;IF(E382="CHECK","; Job number not in the Xero job list","")&amp;IF(AND($C382&lt;&gt;"",COUNTIF($C$7:$C$1506,$C382)&gt;1),"; Job number on more than one row","")&amp;IF(AND($C382&lt;&gt;"",H382=""),"; Dept has not set a cost centre","")&amp;IF(AND($C382&lt;&gt;"",J382=""),"; Dept has not set a tax code","")&amp;IF(AND($C382&lt;&gt;"",N382=""),"; Dept has not entered an expected value","")&amp;IF((IF(OR(COUNTA(S382:U382)=0,AND(COUNTA(S382:U382)=3,ISNUMBER(U382))),0,1)+IF(OR(COUNTA(V382:X382)=0,AND(COUNTA(V382:X382)=3,ISNUMBER(X382))),0,1)+IF(OR(COUNTA(Y382:AA382)=0,AND(COUNTA(Y382:AA382)=3,ISNUMBER(AA382))),0,1)+IF(OR(COUNTA(AB382:AD382)=0,AND(COUNTA(AB382:AD382)=3,ISNUMBER(AD382))),0,1)+IF(OR(COUNTA(AE382:AG382)=0,AND(COUNTA(AE382:AG382)=3,ISNUMBER(AG382))),0,1)+IF(OR(COUNTA(AH382:AJ382)=0,AND(COUNTA(AH382:AJ382)=3,ISNUMBER(AJ382))),0,1)+IF(OR(COUNTA(AK382:AM382)=0,AND(COUNTA(AK382:AM382)=3,ISNUMBER(AM382))),0,1)+IF(OR(COUNTA(AN382:AP382)=0,AND(COUNTA(AN382:AP382)=3,ISNUMBER(AP382))),0,1)+IF(OR(COUNTA(AQ382:AS382)=0,AND(COUNTA(AQ382:AS382)=3,ISNUMBER(AS382))),0,1)+IF(OR(COUNTA(AT382:AV382)=0,AND(COUNTA(AT382:AV382)=3,ISNUMBER(AV382))),0,1)+IF(OR(COUNTA(AW382:AY382)=0,AND(COUNTA(AW382:AY382)=3,ISNUMBER(AY382))),0,1)+IF(OR(COUNTA(AZ382:BB382)=0,AND(COUNTA(AZ382:BB382)=3,ISNUMBER(BB382))),0,1))&gt;0,"; An invoice is incomplete (needs No, Date and a number in Ex GST)","")&amp;IF((IF(T382="",0,IFERROR(--(EOMONTH(T382,0)&lt;&gt;S$5),1))+IF(W382="",0,IFERROR(--(EOMONTH(W382,0)&lt;&gt;V$5),1))+IF(Z382="",0,IFERROR(--(EOMONTH(Z382,0)&lt;&gt;Y$5),1))+IF(AC382="",0,IFERROR(--(EOMONTH(AC382,0)&lt;&gt;AB$5),1))+IF(AF382="",0,IFERROR(--(EOMONTH(AF382,0)&lt;&gt;AE$5),1))+IF(AI382="",0,IFERROR(--(EOMONTH(AI382,0)&lt;&gt;AH$5),1))+IF(AL382="",0,IFERROR(--(EOMONTH(AL382,0)&lt;&gt;AK$5),1))+IF(AO382="",0,IFERROR(--(EOMONTH(AO382,0)&lt;&gt;AN$5),1))+IF(AR382="",0,IFERROR(--(EOMONTH(AR382,0)&lt;&gt;AQ$5),1))+IF(AU382="",0,IFERROR(--(EOMONTH(AU382,0)&lt;&gt;AT$5),1))+IF(AX382="",0,IFERROR(--(EOMONTH(AX382,0)&lt;&gt;AW$5),1))+IF(BA382="",0,IFERROR(--(EOMONTH(BA382,0)&lt;&gt;AZ$5),1)))&gt;0,"; An invoice date is not in the month it is typed under",""),3,500))</f>
        <v/>
      </c>
      <c r="S382" s="12" t="n"/>
      <c r="T382" s="13" t="n"/>
      <c r="U382" s="14" t="n"/>
      <c r="V382" s="12" t="n"/>
      <c r="W382" s="13" t="n"/>
      <c r="X382" s="14" t="n"/>
      <c r="Y382" s="12" t="n"/>
      <c r="Z382" s="13" t="n"/>
      <c r="AA382" s="14" t="n"/>
      <c r="AB382" s="12" t="n"/>
      <c r="AC382" s="13" t="n"/>
      <c r="AD382" s="14" t="n"/>
      <c r="AE382" s="12" t="n"/>
      <c r="AF382" s="13" t="n"/>
      <c r="AG382" s="14" t="n"/>
      <c r="AH382" s="12" t="n"/>
      <c r="AI382" s="13" t="n"/>
      <c r="AJ382" s="14" t="n"/>
      <c r="AK382" s="12" t="n"/>
      <c r="AL382" s="13" t="n"/>
      <c r="AM382" s="14" t="n"/>
      <c r="AN382" s="12" t="n"/>
      <c r="AO382" s="13" t="n"/>
      <c r="AP382" s="14" t="n"/>
      <c r="AQ382" s="12" t="n"/>
      <c r="AR382" s="13" t="n"/>
      <c r="AS382" s="14" t="n"/>
      <c r="AT382" s="12" t="n"/>
      <c r="AU382" s="13" t="n"/>
      <c r="AV382" s="14" t="n"/>
      <c r="AW382" s="12" t="n"/>
      <c r="AX382" s="13" t="n"/>
      <c r="AY382" s="14" t="n"/>
      <c r="AZ382" s="12" t="n"/>
      <c r="BA382" s="13" t="n"/>
      <c r="BB382" s="14" t="n"/>
      <c r="BC382" s="11">
        <f>IF(O382="","",IF(J382="GST 10%",ROUND(O382*set_GSTRate,2),0))</f>
        <v/>
      </c>
      <c r="BD382" s="11">
        <f>IF(O382="","",O382+BC382)</f>
        <v/>
      </c>
      <c r="BE382" s="15">
        <f>IF(O382="","",COUNTA(S382,V382,Y382,AB382,AE382,AH382,AK382,AN382,AQ382,AT382,AW382,AZ382))</f>
        <v/>
      </c>
      <c r="BF382" s="16">
        <f>IF(COUNT(T382,W382,Z382,AC382,AF382,AI382,AL382,AO382,AR382,AU382,AX382,BA382)=0,"",MAX(T382,W382,Z382,AC382,AF382,AI382,AL382,AO382,AR382,AU382,AX382,BA382))</f>
        <v/>
      </c>
      <c r="BG382" s="10">
        <f>MID(IF(S382="","",", "&amp;S382)&amp;IF(V382="","",", "&amp;V382)&amp;IF(Y382="","",", "&amp;Y382)&amp;IF(AB382="","",", "&amp;AB382)&amp;IF(AE382="","",", "&amp;AE382)&amp;IF(AH382="","",", "&amp;AH382)&amp;IF(AK382="","",", "&amp;AK382)&amp;IF(AN382="","",", "&amp;AN382)&amp;IF(AQ382="","",", "&amp;AQ382)&amp;IF(AT382="","",", "&amp;AT382)&amp;IF(AW382="","",", "&amp;AW382)&amp;IF(AZ382="","",", "&amp;AZ382),3,500)</f>
        <v/>
      </c>
      <c r="BH382" s="12" t="n"/>
      <c r="BI382" s="15">
        <f>IFERROR(MATCH($A382,IF($B382="Onsite",tbl_Onsite[Row ID],IF($B382="Production",tbl_Production[Row ID],tbl_Consulting[Row ID])),0),"")</f>
        <v/>
      </c>
    </row>
    <row r="383">
      <c r="A383" s="10" t="inlineStr">
        <is>
          <t>ONS-0377</t>
        </is>
      </c>
      <c r="B383" s="10" t="inlineStr">
        <is>
          <t>Onsite</t>
        </is>
      </c>
      <c r="C383" s="10">
        <f>IF($BI383="","",IF($B383="Onsite",INDEX(tbl_Onsite[Job Number],$BI383),IF($B383="Production",INDEX(tbl_Production[Job Number],$BI383),INDEX(tbl_Consulting[Job Number],$BI383)))&amp;"")</f>
        <v/>
      </c>
      <c r="D383" s="10">
        <f>IF($BI383="","",IF($B383="Onsite",INDEX(tbl_Onsite[Client],$BI383),IF($B383="Production",INDEX(tbl_Production[Client],$BI383),INDEX(tbl_Consulting[Client],$BI383)))&amp;"")</f>
        <v/>
      </c>
      <c r="E383" s="10">
        <f>IF($C383="","",IF(COUNTIF(lst_Jobs,$C383)&gt;0,"OK","CHECK"))</f>
        <v/>
      </c>
      <c r="F383" s="10">
        <f>IF($C383="","",IFERROR(INDEX(lst_JobName,MATCH($C383,lst_Jobs,0)),""))</f>
        <v/>
      </c>
      <c r="G383" s="10">
        <f>IF($BI383="","",IF($B383="Onsite",INDEX(tbl_Onsite[Job Description],$BI383),IF($B383="Production",INDEX(tbl_Production[Job Description],$BI383),INDEX(tbl_Consulting[Job Description],$BI383)))&amp;"")</f>
        <v/>
      </c>
      <c r="H383" s="10">
        <f>IF($BI383="","",IF($B383="Onsite",INDEX(tbl_Onsite[Cost Centre],$BI383),IF($B383="Production",INDEX(tbl_Production[Cost Centre],$BI383),INDEX(tbl_Consulting[Cost Centre],$BI383)))&amp;"")</f>
        <v/>
      </c>
      <c r="I383" s="10">
        <f>IF($BI383="","",IF($B383="Onsite",INDEX(tbl_Onsite[Invoice Type],$BI383),IF($B383="Production",INDEX(tbl_Production[Invoice Type],$BI383),INDEX(tbl_Consulting[Invoice Type],$BI383)))&amp;"")</f>
        <v/>
      </c>
      <c r="J383" s="10">
        <f>IF($BI383="","",IF($B383="Onsite",INDEX(tbl_Onsite[Tax Code],$BI383),IF($B383="Production",INDEX(tbl_Production[Tax Code],$BI383),INDEX(tbl_Consulting[Tax Code],$BI383)))&amp;"")</f>
        <v/>
      </c>
      <c r="K383" s="10">
        <f>IF(H383="","",IFERROR(INDEX(lst_CCtoGL,MATCH(H383,lst_CCforGL,0)),""))</f>
        <v/>
      </c>
      <c r="L383" s="10">
        <f>IF($BI383="","",IF($B383="Onsite",INDEX(tbl_Onsite[PO / Reference],$BI383),IF($B383="Production",INDEX(tbl_Production[Current RMS No],$BI383),INDEX(tbl_Consulting[Qwilr Quote],$BI383)))&amp;"")</f>
        <v/>
      </c>
      <c r="M383" s="10">
        <f>IF($BI383="","",IF($B383="Onsite",INDEX(tbl_Onsite[Notes],$BI383),IF($B383="Production",INDEX(tbl_Production[Notes],$BI383),INDEX(tbl_Consulting[Notes],$BI383)))&amp;"")</f>
        <v/>
      </c>
      <c r="N383" s="11">
        <f>IF($BI383="","",IF(IF($B383="Onsite",INDEX(tbl_Onsite[Expected Revenue Ex GST],$BI383),IF($B383="Production",INDEX(tbl_Production[Expected Revenue Ex GST],$BI383),INDEX(tbl_Consulting[Expected Revenue Ex GST],$BI383)))="","",IF($B383="Onsite",INDEX(tbl_Onsite[Expected Revenue Ex GST],$BI383),IF($B383="Production",INDEX(tbl_Production[Expected Revenue Ex GST],$BI383),INDEX(tbl_Consulting[Expected Revenue Ex GST],$BI383)))))</f>
        <v/>
      </c>
      <c r="O383" s="11">
        <f>IF(AND($C383="",NOT(COUNTA($S383:$BB383)&gt;0)),"",SUM(U383,X383,AA383,AD383,AG383,AJ383,AM383,AP383,AS383,AV383,AY383,BB383))</f>
        <v/>
      </c>
      <c r="P383" s="11">
        <f>IF(O383="","",N(N383)-O383)</f>
        <v/>
      </c>
      <c r="Q383" s="10">
        <f>IF(O383="","",IF($C383="","Invoice on empty job row",IF(N383="",IF(ROUND(O383,2)=0,"No dept value","Invoiced - no dept value"),IF(ROUND(O383,2)=0,"Not invoiced - to invoice",IF(ROUND(P383,2)=0,"Agrees",IF(P383&gt;0,"Dept higher - to invoice","Xero higher - check dept"))))))</f>
        <v/>
      </c>
      <c r="R383" s="10">
        <f>IF(AND($C383="",NOT(COUNTA($S383:$BB383)&gt;0),$BI383&lt;&gt;""),"",MID(IF($BI383="","; Row ID not found on the department sheet - a row was deleted","")&amp;IF(AND($C383="",COUNTA($S383:$BB383)&gt;0),"; Invoice entered but the department row has no job number","")&amp;IF(E383="CHECK","; Job number not in the Xero job list","")&amp;IF(AND($C383&lt;&gt;"",COUNTIF($C$7:$C$1506,$C383)&gt;1),"; Job number on more than one row","")&amp;IF(AND($C383&lt;&gt;"",H383=""),"; Dept has not set a cost centre","")&amp;IF(AND($C383&lt;&gt;"",J383=""),"; Dept has not set a tax code","")&amp;IF(AND($C383&lt;&gt;"",N383=""),"; Dept has not entered an expected value","")&amp;IF((IF(OR(COUNTA(S383:U383)=0,AND(COUNTA(S383:U383)=3,ISNUMBER(U383))),0,1)+IF(OR(COUNTA(V383:X383)=0,AND(COUNTA(V383:X383)=3,ISNUMBER(X383))),0,1)+IF(OR(COUNTA(Y383:AA383)=0,AND(COUNTA(Y383:AA383)=3,ISNUMBER(AA383))),0,1)+IF(OR(COUNTA(AB383:AD383)=0,AND(COUNTA(AB383:AD383)=3,ISNUMBER(AD383))),0,1)+IF(OR(COUNTA(AE383:AG383)=0,AND(COUNTA(AE383:AG383)=3,ISNUMBER(AG383))),0,1)+IF(OR(COUNTA(AH383:AJ383)=0,AND(COUNTA(AH383:AJ383)=3,ISNUMBER(AJ383))),0,1)+IF(OR(COUNTA(AK383:AM383)=0,AND(COUNTA(AK383:AM383)=3,ISNUMBER(AM383))),0,1)+IF(OR(COUNTA(AN383:AP383)=0,AND(COUNTA(AN383:AP383)=3,ISNUMBER(AP383))),0,1)+IF(OR(COUNTA(AQ383:AS383)=0,AND(COUNTA(AQ383:AS383)=3,ISNUMBER(AS383))),0,1)+IF(OR(COUNTA(AT383:AV383)=0,AND(COUNTA(AT383:AV383)=3,ISNUMBER(AV383))),0,1)+IF(OR(COUNTA(AW383:AY383)=0,AND(COUNTA(AW383:AY383)=3,ISNUMBER(AY383))),0,1)+IF(OR(COUNTA(AZ383:BB383)=0,AND(COUNTA(AZ383:BB383)=3,ISNUMBER(BB383))),0,1))&gt;0,"; An invoice is incomplete (needs No, Date and a number in Ex GST)","")&amp;IF((IF(T383="",0,IFERROR(--(EOMONTH(T383,0)&lt;&gt;S$5),1))+IF(W383="",0,IFERROR(--(EOMONTH(W383,0)&lt;&gt;V$5),1))+IF(Z383="",0,IFERROR(--(EOMONTH(Z383,0)&lt;&gt;Y$5),1))+IF(AC383="",0,IFERROR(--(EOMONTH(AC383,0)&lt;&gt;AB$5),1))+IF(AF383="",0,IFERROR(--(EOMONTH(AF383,0)&lt;&gt;AE$5),1))+IF(AI383="",0,IFERROR(--(EOMONTH(AI383,0)&lt;&gt;AH$5),1))+IF(AL383="",0,IFERROR(--(EOMONTH(AL383,0)&lt;&gt;AK$5),1))+IF(AO383="",0,IFERROR(--(EOMONTH(AO383,0)&lt;&gt;AN$5),1))+IF(AR383="",0,IFERROR(--(EOMONTH(AR383,0)&lt;&gt;AQ$5),1))+IF(AU383="",0,IFERROR(--(EOMONTH(AU383,0)&lt;&gt;AT$5),1))+IF(AX383="",0,IFERROR(--(EOMONTH(AX383,0)&lt;&gt;AW$5),1))+IF(BA383="",0,IFERROR(--(EOMONTH(BA383,0)&lt;&gt;AZ$5),1)))&gt;0,"; An invoice date is not in the month it is typed under",""),3,500))</f>
        <v/>
      </c>
      <c r="S383" s="12" t="n"/>
      <c r="T383" s="13" t="n"/>
      <c r="U383" s="14" t="n"/>
      <c r="V383" s="12" t="n"/>
      <c r="W383" s="13" t="n"/>
      <c r="X383" s="14" t="n"/>
      <c r="Y383" s="12" t="n"/>
      <c r="Z383" s="13" t="n"/>
      <c r="AA383" s="14" t="n"/>
      <c r="AB383" s="12" t="n"/>
      <c r="AC383" s="13" t="n"/>
      <c r="AD383" s="14" t="n"/>
      <c r="AE383" s="12" t="n"/>
      <c r="AF383" s="13" t="n"/>
      <c r="AG383" s="14" t="n"/>
      <c r="AH383" s="12" t="n"/>
      <c r="AI383" s="13" t="n"/>
      <c r="AJ383" s="14" t="n"/>
      <c r="AK383" s="12" t="n"/>
      <c r="AL383" s="13" t="n"/>
      <c r="AM383" s="14" t="n"/>
      <c r="AN383" s="12" t="n"/>
      <c r="AO383" s="13" t="n"/>
      <c r="AP383" s="14" t="n"/>
      <c r="AQ383" s="12" t="n"/>
      <c r="AR383" s="13" t="n"/>
      <c r="AS383" s="14" t="n"/>
      <c r="AT383" s="12" t="n"/>
      <c r="AU383" s="13" t="n"/>
      <c r="AV383" s="14" t="n"/>
      <c r="AW383" s="12" t="n"/>
      <c r="AX383" s="13" t="n"/>
      <c r="AY383" s="14" t="n"/>
      <c r="AZ383" s="12" t="n"/>
      <c r="BA383" s="13" t="n"/>
      <c r="BB383" s="14" t="n"/>
      <c r="BC383" s="11">
        <f>IF(O383="","",IF(J383="GST 10%",ROUND(O383*set_GSTRate,2),0))</f>
        <v/>
      </c>
      <c r="BD383" s="11">
        <f>IF(O383="","",O383+BC383)</f>
        <v/>
      </c>
      <c r="BE383" s="15">
        <f>IF(O383="","",COUNTA(S383,V383,Y383,AB383,AE383,AH383,AK383,AN383,AQ383,AT383,AW383,AZ383))</f>
        <v/>
      </c>
      <c r="BF383" s="16">
        <f>IF(COUNT(T383,W383,Z383,AC383,AF383,AI383,AL383,AO383,AR383,AU383,AX383,BA383)=0,"",MAX(T383,W383,Z383,AC383,AF383,AI383,AL383,AO383,AR383,AU383,AX383,BA383))</f>
        <v/>
      </c>
      <c r="BG383" s="10">
        <f>MID(IF(S383="","",", "&amp;S383)&amp;IF(V383="","",", "&amp;V383)&amp;IF(Y383="","",", "&amp;Y383)&amp;IF(AB383="","",", "&amp;AB383)&amp;IF(AE383="","",", "&amp;AE383)&amp;IF(AH383="","",", "&amp;AH383)&amp;IF(AK383="","",", "&amp;AK383)&amp;IF(AN383="","",", "&amp;AN383)&amp;IF(AQ383="","",", "&amp;AQ383)&amp;IF(AT383="","",", "&amp;AT383)&amp;IF(AW383="","",", "&amp;AW383)&amp;IF(AZ383="","",", "&amp;AZ383),3,500)</f>
        <v/>
      </c>
      <c r="BH383" s="12" t="n"/>
      <c r="BI383" s="15">
        <f>IFERROR(MATCH($A383,IF($B383="Onsite",tbl_Onsite[Row ID],IF($B383="Production",tbl_Production[Row ID],tbl_Consulting[Row ID])),0),"")</f>
        <v/>
      </c>
    </row>
    <row r="384">
      <c r="A384" s="10" t="inlineStr">
        <is>
          <t>ONS-0378</t>
        </is>
      </c>
      <c r="B384" s="10" t="inlineStr">
        <is>
          <t>Onsite</t>
        </is>
      </c>
      <c r="C384" s="10">
        <f>IF($BI384="","",IF($B384="Onsite",INDEX(tbl_Onsite[Job Number],$BI384),IF($B384="Production",INDEX(tbl_Production[Job Number],$BI384),INDEX(tbl_Consulting[Job Number],$BI384)))&amp;"")</f>
        <v/>
      </c>
      <c r="D384" s="10">
        <f>IF($BI384="","",IF($B384="Onsite",INDEX(tbl_Onsite[Client],$BI384),IF($B384="Production",INDEX(tbl_Production[Client],$BI384),INDEX(tbl_Consulting[Client],$BI384)))&amp;"")</f>
        <v/>
      </c>
      <c r="E384" s="10">
        <f>IF($C384="","",IF(COUNTIF(lst_Jobs,$C384)&gt;0,"OK","CHECK"))</f>
        <v/>
      </c>
      <c r="F384" s="10">
        <f>IF($C384="","",IFERROR(INDEX(lst_JobName,MATCH($C384,lst_Jobs,0)),""))</f>
        <v/>
      </c>
      <c r="G384" s="10">
        <f>IF($BI384="","",IF($B384="Onsite",INDEX(tbl_Onsite[Job Description],$BI384),IF($B384="Production",INDEX(tbl_Production[Job Description],$BI384),INDEX(tbl_Consulting[Job Description],$BI384)))&amp;"")</f>
        <v/>
      </c>
      <c r="H384" s="10">
        <f>IF($BI384="","",IF($B384="Onsite",INDEX(tbl_Onsite[Cost Centre],$BI384),IF($B384="Production",INDEX(tbl_Production[Cost Centre],$BI384),INDEX(tbl_Consulting[Cost Centre],$BI384)))&amp;"")</f>
        <v/>
      </c>
      <c r="I384" s="10">
        <f>IF($BI384="","",IF($B384="Onsite",INDEX(tbl_Onsite[Invoice Type],$BI384),IF($B384="Production",INDEX(tbl_Production[Invoice Type],$BI384),INDEX(tbl_Consulting[Invoice Type],$BI384)))&amp;"")</f>
        <v/>
      </c>
      <c r="J384" s="10">
        <f>IF($BI384="","",IF($B384="Onsite",INDEX(tbl_Onsite[Tax Code],$BI384),IF($B384="Production",INDEX(tbl_Production[Tax Code],$BI384),INDEX(tbl_Consulting[Tax Code],$BI384)))&amp;"")</f>
        <v/>
      </c>
      <c r="K384" s="10">
        <f>IF(H384="","",IFERROR(INDEX(lst_CCtoGL,MATCH(H384,lst_CCforGL,0)),""))</f>
        <v/>
      </c>
      <c r="L384" s="10">
        <f>IF($BI384="","",IF($B384="Onsite",INDEX(tbl_Onsite[PO / Reference],$BI384),IF($B384="Production",INDEX(tbl_Production[Current RMS No],$BI384),INDEX(tbl_Consulting[Qwilr Quote],$BI384)))&amp;"")</f>
        <v/>
      </c>
      <c r="M384" s="10">
        <f>IF($BI384="","",IF($B384="Onsite",INDEX(tbl_Onsite[Notes],$BI384),IF($B384="Production",INDEX(tbl_Production[Notes],$BI384),INDEX(tbl_Consulting[Notes],$BI384)))&amp;"")</f>
        <v/>
      </c>
      <c r="N384" s="11">
        <f>IF($BI384="","",IF(IF($B384="Onsite",INDEX(tbl_Onsite[Expected Revenue Ex GST],$BI384),IF($B384="Production",INDEX(tbl_Production[Expected Revenue Ex GST],$BI384),INDEX(tbl_Consulting[Expected Revenue Ex GST],$BI384)))="","",IF($B384="Onsite",INDEX(tbl_Onsite[Expected Revenue Ex GST],$BI384),IF($B384="Production",INDEX(tbl_Production[Expected Revenue Ex GST],$BI384),INDEX(tbl_Consulting[Expected Revenue Ex GST],$BI384)))))</f>
        <v/>
      </c>
      <c r="O384" s="11">
        <f>IF(AND($C384="",NOT(COUNTA($S384:$BB384)&gt;0)),"",SUM(U384,X384,AA384,AD384,AG384,AJ384,AM384,AP384,AS384,AV384,AY384,BB384))</f>
        <v/>
      </c>
      <c r="P384" s="11">
        <f>IF(O384="","",N(N384)-O384)</f>
        <v/>
      </c>
      <c r="Q384" s="10">
        <f>IF(O384="","",IF($C384="","Invoice on empty job row",IF(N384="",IF(ROUND(O384,2)=0,"No dept value","Invoiced - no dept value"),IF(ROUND(O384,2)=0,"Not invoiced - to invoice",IF(ROUND(P384,2)=0,"Agrees",IF(P384&gt;0,"Dept higher - to invoice","Xero higher - check dept"))))))</f>
        <v/>
      </c>
      <c r="R384" s="10">
        <f>IF(AND($C384="",NOT(COUNTA($S384:$BB384)&gt;0),$BI384&lt;&gt;""),"",MID(IF($BI384="","; Row ID not found on the department sheet - a row was deleted","")&amp;IF(AND($C384="",COUNTA($S384:$BB384)&gt;0),"; Invoice entered but the department row has no job number","")&amp;IF(E384="CHECK","; Job number not in the Xero job list","")&amp;IF(AND($C384&lt;&gt;"",COUNTIF($C$7:$C$1506,$C384)&gt;1),"; Job number on more than one row","")&amp;IF(AND($C384&lt;&gt;"",H384=""),"; Dept has not set a cost centre","")&amp;IF(AND($C384&lt;&gt;"",J384=""),"; Dept has not set a tax code","")&amp;IF(AND($C384&lt;&gt;"",N384=""),"; Dept has not entered an expected value","")&amp;IF((IF(OR(COUNTA(S384:U384)=0,AND(COUNTA(S384:U384)=3,ISNUMBER(U384))),0,1)+IF(OR(COUNTA(V384:X384)=0,AND(COUNTA(V384:X384)=3,ISNUMBER(X384))),0,1)+IF(OR(COUNTA(Y384:AA384)=0,AND(COUNTA(Y384:AA384)=3,ISNUMBER(AA384))),0,1)+IF(OR(COUNTA(AB384:AD384)=0,AND(COUNTA(AB384:AD384)=3,ISNUMBER(AD384))),0,1)+IF(OR(COUNTA(AE384:AG384)=0,AND(COUNTA(AE384:AG384)=3,ISNUMBER(AG384))),0,1)+IF(OR(COUNTA(AH384:AJ384)=0,AND(COUNTA(AH384:AJ384)=3,ISNUMBER(AJ384))),0,1)+IF(OR(COUNTA(AK384:AM384)=0,AND(COUNTA(AK384:AM384)=3,ISNUMBER(AM384))),0,1)+IF(OR(COUNTA(AN384:AP384)=0,AND(COUNTA(AN384:AP384)=3,ISNUMBER(AP384))),0,1)+IF(OR(COUNTA(AQ384:AS384)=0,AND(COUNTA(AQ384:AS384)=3,ISNUMBER(AS384))),0,1)+IF(OR(COUNTA(AT384:AV384)=0,AND(COUNTA(AT384:AV384)=3,ISNUMBER(AV384))),0,1)+IF(OR(COUNTA(AW384:AY384)=0,AND(COUNTA(AW384:AY384)=3,ISNUMBER(AY384))),0,1)+IF(OR(COUNTA(AZ384:BB384)=0,AND(COUNTA(AZ384:BB384)=3,ISNUMBER(BB384))),0,1))&gt;0,"; An invoice is incomplete (needs No, Date and a number in Ex GST)","")&amp;IF((IF(T384="",0,IFERROR(--(EOMONTH(T384,0)&lt;&gt;S$5),1))+IF(W384="",0,IFERROR(--(EOMONTH(W384,0)&lt;&gt;V$5),1))+IF(Z384="",0,IFERROR(--(EOMONTH(Z384,0)&lt;&gt;Y$5),1))+IF(AC384="",0,IFERROR(--(EOMONTH(AC384,0)&lt;&gt;AB$5),1))+IF(AF384="",0,IFERROR(--(EOMONTH(AF384,0)&lt;&gt;AE$5),1))+IF(AI384="",0,IFERROR(--(EOMONTH(AI384,0)&lt;&gt;AH$5),1))+IF(AL384="",0,IFERROR(--(EOMONTH(AL384,0)&lt;&gt;AK$5),1))+IF(AO384="",0,IFERROR(--(EOMONTH(AO384,0)&lt;&gt;AN$5),1))+IF(AR384="",0,IFERROR(--(EOMONTH(AR384,0)&lt;&gt;AQ$5),1))+IF(AU384="",0,IFERROR(--(EOMONTH(AU384,0)&lt;&gt;AT$5),1))+IF(AX384="",0,IFERROR(--(EOMONTH(AX384,0)&lt;&gt;AW$5),1))+IF(BA384="",0,IFERROR(--(EOMONTH(BA384,0)&lt;&gt;AZ$5),1)))&gt;0,"; An invoice date is not in the month it is typed under",""),3,500))</f>
        <v/>
      </c>
      <c r="S384" s="12" t="n"/>
      <c r="T384" s="13" t="n"/>
      <c r="U384" s="14" t="n"/>
      <c r="V384" s="12" t="n"/>
      <c r="W384" s="13" t="n"/>
      <c r="X384" s="14" t="n"/>
      <c r="Y384" s="12" t="n"/>
      <c r="Z384" s="13" t="n"/>
      <c r="AA384" s="14" t="n"/>
      <c r="AB384" s="12" t="n"/>
      <c r="AC384" s="13" t="n"/>
      <c r="AD384" s="14" t="n"/>
      <c r="AE384" s="12" t="n"/>
      <c r="AF384" s="13" t="n"/>
      <c r="AG384" s="14" t="n"/>
      <c r="AH384" s="12" t="n"/>
      <c r="AI384" s="13" t="n"/>
      <c r="AJ384" s="14" t="n"/>
      <c r="AK384" s="12" t="n"/>
      <c r="AL384" s="13" t="n"/>
      <c r="AM384" s="14" t="n"/>
      <c r="AN384" s="12" t="n"/>
      <c r="AO384" s="13" t="n"/>
      <c r="AP384" s="14" t="n"/>
      <c r="AQ384" s="12" t="n"/>
      <c r="AR384" s="13" t="n"/>
      <c r="AS384" s="14" t="n"/>
      <c r="AT384" s="12" t="n"/>
      <c r="AU384" s="13" t="n"/>
      <c r="AV384" s="14" t="n"/>
      <c r="AW384" s="12" t="n"/>
      <c r="AX384" s="13" t="n"/>
      <c r="AY384" s="14" t="n"/>
      <c r="AZ384" s="12" t="n"/>
      <c r="BA384" s="13" t="n"/>
      <c r="BB384" s="14" t="n"/>
      <c r="BC384" s="11">
        <f>IF(O384="","",IF(J384="GST 10%",ROUND(O384*set_GSTRate,2),0))</f>
        <v/>
      </c>
      <c r="BD384" s="11">
        <f>IF(O384="","",O384+BC384)</f>
        <v/>
      </c>
      <c r="BE384" s="15">
        <f>IF(O384="","",COUNTA(S384,V384,Y384,AB384,AE384,AH384,AK384,AN384,AQ384,AT384,AW384,AZ384))</f>
        <v/>
      </c>
      <c r="BF384" s="16">
        <f>IF(COUNT(T384,W384,Z384,AC384,AF384,AI384,AL384,AO384,AR384,AU384,AX384,BA384)=0,"",MAX(T384,W384,Z384,AC384,AF384,AI384,AL384,AO384,AR384,AU384,AX384,BA384))</f>
        <v/>
      </c>
      <c r="BG384" s="10">
        <f>MID(IF(S384="","",", "&amp;S384)&amp;IF(V384="","",", "&amp;V384)&amp;IF(Y384="","",", "&amp;Y384)&amp;IF(AB384="","",", "&amp;AB384)&amp;IF(AE384="","",", "&amp;AE384)&amp;IF(AH384="","",", "&amp;AH384)&amp;IF(AK384="","",", "&amp;AK384)&amp;IF(AN384="","",", "&amp;AN384)&amp;IF(AQ384="","",", "&amp;AQ384)&amp;IF(AT384="","",", "&amp;AT384)&amp;IF(AW384="","",", "&amp;AW384)&amp;IF(AZ384="","",", "&amp;AZ384),3,500)</f>
        <v/>
      </c>
      <c r="BH384" s="12" t="n"/>
      <c r="BI384" s="15">
        <f>IFERROR(MATCH($A384,IF($B384="Onsite",tbl_Onsite[Row ID],IF($B384="Production",tbl_Production[Row ID],tbl_Consulting[Row ID])),0),"")</f>
        <v/>
      </c>
    </row>
    <row r="385">
      <c r="A385" s="10" t="inlineStr">
        <is>
          <t>ONS-0379</t>
        </is>
      </c>
      <c r="B385" s="10" t="inlineStr">
        <is>
          <t>Onsite</t>
        </is>
      </c>
      <c r="C385" s="10">
        <f>IF($BI385="","",IF($B385="Onsite",INDEX(tbl_Onsite[Job Number],$BI385),IF($B385="Production",INDEX(tbl_Production[Job Number],$BI385),INDEX(tbl_Consulting[Job Number],$BI385)))&amp;"")</f>
        <v/>
      </c>
      <c r="D385" s="10">
        <f>IF($BI385="","",IF($B385="Onsite",INDEX(tbl_Onsite[Client],$BI385),IF($B385="Production",INDEX(tbl_Production[Client],$BI385),INDEX(tbl_Consulting[Client],$BI385)))&amp;"")</f>
        <v/>
      </c>
      <c r="E385" s="10">
        <f>IF($C385="","",IF(COUNTIF(lst_Jobs,$C385)&gt;0,"OK","CHECK"))</f>
        <v/>
      </c>
      <c r="F385" s="10">
        <f>IF($C385="","",IFERROR(INDEX(lst_JobName,MATCH($C385,lst_Jobs,0)),""))</f>
        <v/>
      </c>
      <c r="G385" s="10">
        <f>IF($BI385="","",IF($B385="Onsite",INDEX(tbl_Onsite[Job Description],$BI385),IF($B385="Production",INDEX(tbl_Production[Job Description],$BI385),INDEX(tbl_Consulting[Job Description],$BI385)))&amp;"")</f>
        <v/>
      </c>
      <c r="H385" s="10">
        <f>IF($BI385="","",IF($B385="Onsite",INDEX(tbl_Onsite[Cost Centre],$BI385),IF($B385="Production",INDEX(tbl_Production[Cost Centre],$BI385),INDEX(tbl_Consulting[Cost Centre],$BI385)))&amp;"")</f>
        <v/>
      </c>
      <c r="I385" s="10">
        <f>IF($BI385="","",IF($B385="Onsite",INDEX(tbl_Onsite[Invoice Type],$BI385),IF($B385="Production",INDEX(tbl_Production[Invoice Type],$BI385),INDEX(tbl_Consulting[Invoice Type],$BI385)))&amp;"")</f>
        <v/>
      </c>
      <c r="J385" s="10">
        <f>IF($BI385="","",IF($B385="Onsite",INDEX(tbl_Onsite[Tax Code],$BI385),IF($B385="Production",INDEX(tbl_Production[Tax Code],$BI385),INDEX(tbl_Consulting[Tax Code],$BI385)))&amp;"")</f>
        <v/>
      </c>
      <c r="K385" s="10">
        <f>IF(H385="","",IFERROR(INDEX(lst_CCtoGL,MATCH(H385,lst_CCforGL,0)),""))</f>
        <v/>
      </c>
      <c r="L385" s="10">
        <f>IF($BI385="","",IF($B385="Onsite",INDEX(tbl_Onsite[PO / Reference],$BI385),IF($B385="Production",INDEX(tbl_Production[Current RMS No],$BI385),INDEX(tbl_Consulting[Qwilr Quote],$BI385)))&amp;"")</f>
        <v/>
      </c>
      <c r="M385" s="10">
        <f>IF($BI385="","",IF($B385="Onsite",INDEX(tbl_Onsite[Notes],$BI385),IF($B385="Production",INDEX(tbl_Production[Notes],$BI385),INDEX(tbl_Consulting[Notes],$BI385)))&amp;"")</f>
        <v/>
      </c>
      <c r="N385" s="11">
        <f>IF($BI385="","",IF(IF($B385="Onsite",INDEX(tbl_Onsite[Expected Revenue Ex GST],$BI385),IF($B385="Production",INDEX(tbl_Production[Expected Revenue Ex GST],$BI385),INDEX(tbl_Consulting[Expected Revenue Ex GST],$BI385)))="","",IF($B385="Onsite",INDEX(tbl_Onsite[Expected Revenue Ex GST],$BI385),IF($B385="Production",INDEX(tbl_Production[Expected Revenue Ex GST],$BI385),INDEX(tbl_Consulting[Expected Revenue Ex GST],$BI385)))))</f>
        <v/>
      </c>
      <c r="O385" s="11">
        <f>IF(AND($C385="",NOT(COUNTA($S385:$BB385)&gt;0)),"",SUM(U385,X385,AA385,AD385,AG385,AJ385,AM385,AP385,AS385,AV385,AY385,BB385))</f>
        <v/>
      </c>
      <c r="P385" s="11">
        <f>IF(O385="","",N(N385)-O385)</f>
        <v/>
      </c>
      <c r="Q385" s="10">
        <f>IF(O385="","",IF($C385="","Invoice on empty job row",IF(N385="",IF(ROUND(O385,2)=0,"No dept value","Invoiced - no dept value"),IF(ROUND(O385,2)=0,"Not invoiced - to invoice",IF(ROUND(P385,2)=0,"Agrees",IF(P385&gt;0,"Dept higher - to invoice","Xero higher - check dept"))))))</f>
        <v/>
      </c>
      <c r="R385" s="10">
        <f>IF(AND($C385="",NOT(COUNTA($S385:$BB385)&gt;0),$BI385&lt;&gt;""),"",MID(IF($BI385="","; Row ID not found on the department sheet - a row was deleted","")&amp;IF(AND($C385="",COUNTA($S385:$BB385)&gt;0),"; Invoice entered but the department row has no job number","")&amp;IF(E385="CHECK","; Job number not in the Xero job list","")&amp;IF(AND($C385&lt;&gt;"",COUNTIF($C$7:$C$1506,$C385)&gt;1),"; Job number on more than one row","")&amp;IF(AND($C385&lt;&gt;"",H385=""),"; Dept has not set a cost centre","")&amp;IF(AND($C385&lt;&gt;"",J385=""),"; Dept has not set a tax code","")&amp;IF(AND($C385&lt;&gt;"",N385=""),"; Dept has not entered an expected value","")&amp;IF((IF(OR(COUNTA(S385:U385)=0,AND(COUNTA(S385:U385)=3,ISNUMBER(U385))),0,1)+IF(OR(COUNTA(V385:X385)=0,AND(COUNTA(V385:X385)=3,ISNUMBER(X385))),0,1)+IF(OR(COUNTA(Y385:AA385)=0,AND(COUNTA(Y385:AA385)=3,ISNUMBER(AA385))),0,1)+IF(OR(COUNTA(AB385:AD385)=0,AND(COUNTA(AB385:AD385)=3,ISNUMBER(AD385))),0,1)+IF(OR(COUNTA(AE385:AG385)=0,AND(COUNTA(AE385:AG385)=3,ISNUMBER(AG385))),0,1)+IF(OR(COUNTA(AH385:AJ385)=0,AND(COUNTA(AH385:AJ385)=3,ISNUMBER(AJ385))),0,1)+IF(OR(COUNTA(AK385:AM385)=0,AND(COUNTA(AK385:AM385)=3,ISNUMBER(AM385))),0,1)+IF(OR(COUNTA(AN385:AP385)=0,AND(COUNTA(AN385:AP385)=3,ISNUMBER(AP385))),0,1)+IF(OR(COUNTA(AQ385:AS385)=0,AND(COUNTA(AQ385:AS385)=3,ISNUMBER(AS385))),0,1)+IF(OR(COUNTA(AT385:AV385)=0,AND(COUNTA(AT385:AV385)=3,ISNUMBER(AV385))),0,1)+IF(OR(COUNTA(AW385:AY385)=0,AND(COUNTA(AW385:AY385)=3,ISNUMBER(AY385))),0,1)+IF(OR(COUNTA(AZ385:BB385)=0,AND(COUNTA(AZ385:BB385)=3,ISNUMBER(BB385))),0,1))&gt;0,"; An invoice is incomplete (needs No, Date and a number in Ex GST)","")&amp;IF((IF(T385="",0,IFERROR(--(EOMONTH(T385,0)&lt;&gt;S$5),1))+IF(W385="",0,IFERROR(--(EOMONTH(W385,0)&lt;&gt;V$5),1))+IF(Z385="",0,IFERROR(--(EOMONTH(Z385,0)&lt;&gt;Y$5),1))+IF(AC385="",0,IFERROR(--(EOMONTH(AC385,0)&lt;&gt;AB$5),1))+IF(AF385="",0,IFERROR(--(EOMONTH(AF385,0)&lt;&gt;AE$5),1))+IF(AI385="",0,IFERROR(--(EOMONTH(AI385,0)&lt;&gt;AH$5),1))+IF(AL385="",0,IFERROR(--(EOMONTH(AL385,0)&lt;&gt;AK$5),1))+IF(AO385="",0,IFERROR(--(EOMONTH(AO385,0)&lt;&gt;AN$5),1))+IF(AR385="",0,IFERROR(--(EOMONTH(AR385,0)&lt;&gt;AQ$5),1))+IF(AU385="",0,IFERROR(--(EOMONTH(AU385,0)&lt;&gt;AT$5),1))+IF(AX385="",0,IFERROR(--(EOMONTH(AX385,0)&lt;&gt;AW$5),1))+IF(BA385="",0,IFERROR(--(EOMONTH(BA385,0)&lt;&gt;AZ$5),1)))&gt;0,"; An invoice date is not in the month it is typed under",""),3,500))</f>
        <v/>
      </c>
      <c r="S385" s="12" t="n"/>
      <c r="T385" s="13" t="n"/>
      <c r="U385" s="14" t="n"/>
      <c r="V385" s="12" t="n"/>
      <c r="W385" s="13" t="n"/>
      <c r="X385" s="14" t="n"/>
      <c r="Y385" s="12" t="n"/>
      <c r="Z385" s="13" t="n"/>
      <c r="AA385" s="14" t="n"/>
      <c r="AB385" s="12" t="n"/>
      <c r="AC385" s="13" t="n"/>
      <c r="AD385" s="14" t="n"/>
      <c r="AE385" s="12" t="n"/>
      <c r="AF385" s="13" t="n"/>
      <c r="AG385" s="14" t="n"/>
      <c r="AH385" s="12" t="n"/>
      <c r="AI385" s="13" t="n"/>
      <c r="AJ385" s="14" t="n"/>
      <c r="AK385" s="12" t="n"/>
      <c r="AL385" s="13" t="n"/>
      <c r="AM385" s="14" t="n"/>
      <c r="AN385" s="12" t="n"/>
      <c r="AO385" s="13" t="n"/>
      <c r="AP385" s="14" t="n"/>
      <c r="AQ385" s="12" t="n"/>
      <c r="AR385" s="13" t="n"/>
      <c r="AS385" s="14" t="n"/>
      <c r="AT385" s="12" t="n"/>
      <c r="AU385" s="13" t="n"/>
      <c r="AV385" s="14" t="n"/>
      <c r="AW385" s="12" t="n"/>
      <c r="AX385" s="13" t="n"/>
      <c r="AY385" s="14" t="n"/>
      <c r="AZ385" s="12" t="n"/>
      <c r="BA385" s="13" t="n"/>
      <c r="BB385" s="14" t="n"/>
      <c r="BC385" s="11">
        <f>IF(O385="","",IF(J385="GST 10%",ROUND(O385*set_GSTRate,2),0))</f>
        <v/>
      </c>
      <c r="BD385" s="11">
        <f>IF(O385="","",O385+BC385)</f>
        <v/>
      </c>
      <c r="BE385" s="15">
        <f>IF(O385="","",COUNTA(S385,V385,Y385,AB385,AE385,AH385,AK385,AN385,AQ385,AT385,AW385,AZ385))</f>
        <v/>
      </c>
      <c r="BF385" s="16">
        <f>IF(COUNT(T385,W385,Z385,AC385,AF385,AI385,AL385,AO385,AR385,AU385,AX385,BA385)=0,"",MAX(T385,W385,Z385,AC385,AF385,AI385,AL385,AO385,AR385,AU385,AX385,BA385))</f>
        <v/>
      </c>
      <c r="BG385" s="10">
        <f>MID(IF(S385="","",", "&amp;S385)&amp;IF(V385="","",", "&amp;V385)&amp;IF(Y385="","",", "&amp;Y385)&amp;IF(AB385="","",", "&amp;AB385)&amp;IF(AE385="","",", "&amp;AE385)&amp;IF(AH385="","",", "&amp;AH385)&amp;IF(AK385="","",", "&amp;AK385)&amp;IF(AN385="","",", "&amp;AN385)&amp;IF(AQ385="","",", "&amp;AQ385)&amp;IF(AT385="","",", "&amp;AT385)&amp;IF(AW385="","",", "&amp;AW385)&amp;IF(AZ385="","",", "&amp;AZ385),3,500)</f>
        <v/>
      </c>
      <c r="BH385" s="12" t="n"/>
      <c r="BI385" s="15">
        <f>IFERROR(MATCH($A385,IF($B385="Onsite",tbl_Onsite[Row ID],IF($B385="Production",tbl_Production[Row ID],tbl_Consulting[Row ID])),0),"")</f>
        <v/>
      </c>
    </row>
    <row r="386">
      <c r="A386" s="10" t="inlineStr">
        <is>
          <t>ONS-0380</t>
        </is>
      </c>
      <c r="B386" s="10" t="inlineStr">
        <is>
          <t>Onsite</t>
        </is>
      </c>
      <c r="C386" s="10">
        <f>IF($BI386="","",IF($B386="Onsite",INDEX(tbl_Onsite[Job Number],$BI386),IF($B386="Production",INDEX(tbl_Production[Job Number],$BI386),INDEX(tbl_Consulting[Job Number],$BI386)))&amp;"")</f>
        <v/>
      </c>
      <c r="D386" s="10">
        <f>IF($BI386="","",IF($B386="Onsite",INDEX(tbl_Onsite[Client],$BI386),IF($B386="Production",INDEX(tbl_Production[Client],$BI386),INDEX(tbl_Consulting[Client],$BI386)))&amp;"")</f>
        <v/>
      </c>
      <c r="E386" s="10">
        <f>IF($C386="","",IF(COUNTIF(lst_Jobs,$C386)&gt;0,"OK","CHECK"))</f>
        <v/>
      </c>
      <c r="F386" s="10">
        <f>IF($C386="","",IFERROR(INDEX(lst_JobName,MATCH($C386,lst_Jobs,0)),""))</f>
        <v/>
      </c>
      <c r="G386" s="10">
        <f>IF($BI386="","",IF($B386="Onsite",INDEX(tbl_Onsite[Job Description],$BI386),IF($B386="Production",INDEX(tbl_Production[Job Description],$BI386),INDEX(tbl_Consulting[Job Description],$BI386)))&amp;"")</f>
        <v/>
      </c>
      <c r="H386" s="10">
        <f>IF($BI386="","",IF($B386="Onsite",INDEX(tbl_Onsite[Cost Centre],$BI386),IF($B386="Production",INDEX(tbl_Production[Cost Centre],$BI386),INDEX(tbl_Consulting[Cost Centre],$BI386)))&amp;"")</f>
        <v/>
      </c>
      <c r="I386" s="10">
        <f>IF($BI386="","",IF($B386="Onsite",INDEX(tbl_Onsite[Invoice Type],$BI386),IF($B386="Production",INDEX(tbl_Production[Invoice Type],$BI386),INDEX(tbl_Consulting[Invoice Type],$BI386)))&amp;"")</f>
        <v/>
      </c>
      <c r="J386" s="10">
        <f>IF($BI386="","",IF($B386="Onsite",INDEX(tbl_Onsite[Tax Code],$BI386),IF($B386="Production",INDEX(tbl_Production[Tax Code],$BI386),INDEX(tbl_Consulting[Tax Code],$BI386)))&amp;"")</f>
        <v/>
      </c>
      <c r="K386" s="10">
        <f>IF(H386="","",IFERROR(INDEX(lst_CCtoGL,MATCH(H386,lst_CCforGL,0)),""))</f>
        <v/>
      </c>
      <c r="L386" s="10">
        <f>IF($BI386="","",IF($B386="Onsite",INDEX(tbl_Onsite[PO / Reference],$BI386),IF($B386="Production",INDEX(tbl_Production[Current RMS No],$BI386),INDEX(tbl_Consulting[Qwilr Quote],$BI386)))&amp;"")</f>
        <v/>
      </c>
      <c r="M386" s="10">
        <f>IF($BI386="","",IF($B386="Onsite",INDEX(tbl_Onsite[Notes],$BI386),IF($B386="Production",INDEX(tbl_Production[Notes],$BI386),INDEX(tbl_Consulting[Notes],$BI386)))&amp;"")</f>
        <v/>
      </c>
      <c r="N386" s="11">
        <f>IF($BI386="","",IF(IF($B386="Onsite",INDEX(tbl_Onsite[Expected Revenue Ex GST],$BI386),IF($B386="Production",INDEX(tbl_Production[Expected Revenue Ex GST],$BI386),INDEX(tbl_Consulting[Expected Revenue Ex GST],$BI386)))="","",IF($B386="Onsite",INDEX(tbl_Onsite[Expected Revenue Ex GST],$BI386),IF($B386="Production",INDEX(tbl_Production[Expected Revenue Ex GST],$BI386),INDEX(tbl_Consulting[Expected Revenue Ex GST],$BI386)))))</f>
        <v/>
      </c>
      <c r="O386" s="11">
        <f>IF(AND($C386="",NOT(COUNTA($S386:$BB386)&gt;0)),"",SUM(U386,X386,AA386,AD386,AG386,AJ386,AM386,AP386,AS386,AV386,AY386,BB386))</f>
        <v/>
      </c>
      <c r="P386" s="11">
        <f>IF(O386="","",N(N386)-O386)</f>
        <v/>
      </c>
      <c r="Q386" s="10">
        <f>IF(O386="","",IF($C386="","Invoice on empty job row",IF(N386="",IF(ROUND(O386,2)=0,"No dept value","Invoiced - no dept value"),IF(ROUND(O386,2)=0,"Not invoiced - to invoice",IF(ROUND(P386,2)=0,"Agrees",IF(P386&gt;0,"Dept higher - to invoice","Xero higher - check dept"))))))</f>
        <v/>
      </c>
      <c r="R386" s="10">
        <f>IF(AND($C386="",NOT(COUNTA($S386:$BB386)&gt;0),$BI386&lt;&gt;""),"",MID(IF($BI386="","; Row ID not found on the department sheet - a row was deleted","")&amp;IF(AND($C386="",COUNTA($S386:$BB386)&gt;0),"; Invoice entered but the department row has no job number","")&amp;IF(E386="CHECK","; Job number not in the Xero job list","")&amp;IF(AND($C386&lt;&gt;"",COUNTIF($C$7:$C$1506,$C386)&gt;1),"; Job number on more than one row","")&amp;IF(AND($C386&lt;&gt;"",H386=""),"; Dept has not set a cost centre","")&amp;IF(AND($C386&lt;&gt;"",J386=""),"; Dept has not set a tax code","")&amp;IF(AND($C386&lt;&gt;"",N386=""),"; Dept has not entered an expected value","")&amp;IF((IF(OR(COUNTA(S386:U386)=0,AND(COUNTA(S386:U386)=3,ISNUMBER(U386))),0,1)+IF(OR(COUNTA(V386:X386)=0,AND(COUNTA(V386:X386)=3,ISNUMBER(X386))),0,1)+IF(OR(COUNTA(Y386:AA386)=0,AND(COUNTA(Y386:AA386)=3,ISNUMBER(AA386))),0,1)+IF(OR(COUNTA(AB386:AD386)=0,AND(COUNTA(AB386:AD386)=3,ISNUMBER(AD386))),0,1)+IF(OR(COUNTA(AE386:AG386)=0,AND(COUNTA(AE386:AG386)=3,ISNUMBER(AG386))),0,1)+IF(OR(COUNTA(AH386:AJ386)=0,AND(COUNTA(AH386:AJ386)=3,ISNUMBER(AJ386))),0,1)+IF(OR(COUNTA(AK386:AM386)=0,AND(COUNTA(AK386:AM386)=3,ISNUMBER(AM386))),0,1)+IF(OR(COUNTA(AN386:AP386)=0,AND(COUNTA(AN386:AP386)=3,ISNUMBER(AP386))),0,1)+IF(OR(COUNTA(AQ386:AS386)=0,AND(COUNTA(AQ386:AS386)=3,ISNUMBER(AS386))),0,1)+IF(OR(COUNTA(AT386:AV386)=0,AND(COUNTA(AT386:AV386)=3,ISNUMBER(AV386))),0,1)+IF(OR(COUNTA(AW386:AY386)=0,AND(COUNTA(AW386:AY386)=3,ISNUMBER(AY386))),0,1)+IF(OR(COUNTA(AZ386:BB386)=0,AND(COUNTA(AZ386:BB386)=3,ISNUMBER(BB386))),0,1))&gt;0,"; An invoice is incomplete (needs No, Date and a number in Ex GST)","")&amp;IF((IF(T386="",0,IFERROR(--(EOMONTH(T386,0)&lt;&gt;S$5),1))+IF(W386="",0,IFERROR(--(EOMONTH(W386,0)&lt;&gt;V$5),1))+IF(Z386="",0,IFERROR(--(EOMONTH(Z386,0)&lt;&gt;Y$5),1))+IF(AC386="",0,IFERROR(--(EOMONTH(AC386,0)&lt;&gt;AB$5),1))+IF(AF386="",0,IFERROR(--(EOMONTH(AF386,0)&lt;&gt;AE$5),1))+IF(AI386="",0,IFERROR(--(EOMONTH(AI386,0)&lt;&gt;AH$5),1))+IF(AL386="",0,IFERROR(--(EOMONTH(AL386,0)&lt;&gt;AK$5),1))+IF(AO386="",0,IFERROR(--(EOMONTH(AO386,0)&lt;&gt;AN$5),1))+IF(AR386="",0,IFERROR(--(EOMONTH(AR386,0)&lt;&gt;AQ$5),1))+IF(AU386="",0,IFERROR(--(EOMONTH(AU386,0)&lt;&gt;AT$5),1))+IF(AX386="",0,IFERROR(--(EOMONTH(AX386,0)&lt;&gt;AW$5),1))+IF(BA386="",0,IFERROR(--(EOMONTH(BA386,0)&lt;&gt;AZ$5),1)))&gt;0,"; An invoice date is not in the month it is typed under",""),3,500))</f>
        <v/>
      </c>
      <c r="S386" s="12" t="n"/>
      <c r="T386" s="13" t="n"/>
      <c r="U386" s="14" t="n"/>
      <c r="V386" s="12" t="n"/>
      <c r="W386" s="13" t="n"/>
      <c r="X386" s="14" t="n"/>
      <c r="Y386" s="12" t="n"/>
      <c r="Z386" s="13" t="n"/>
      <c r="AA386" s="14" t="n"/>
      <c r="AB386" s="12" t="n"/>
      <c r="AC386" s="13" t="n"/>
      <c r="AD386" s="14" t="n"/>
      <c r="AE386" s="12" t="n"/>
      <c r="AF386" s="13" t="n"/>
      <c r="AG386" s="14" t="n"/>
      <c r="AH386" s="12" t="n"/>
      <c r="AI386" s="13" t="n"/>
      <c r="AJ386" s="14" t="n"/>
      <c r="AK386" s="12" t="n"/>
      <c r="AL386" s="13" t="n"/>
      <c r="AM386" s="14" t="n"/>
      <c r="AN386" s="12" t="n"/>
      <c r="AO386" s="13" t="n"/>
      <c r="AP386" s="14" t="n"/>
      <c r="AQ386" s="12" t="n"/>
      <c r="AR386" s="13" t="n"/>
      <c r="AS386" s="14" t="n"/>
      <c r="AT386" s="12" t="n"/>
      <c r="AU386" s="13" t="n"/>
      <c r="AV386" s="14" t="n"/>
      <c r="AW386" s="12" t="n"/>
      <c r="AX386" s="13" t="n"/>
      <c r="AY386" s="14" t="n"/>
      <c r="AZ386" s="12" t="n"/>
      <c r="BA386" s="13" t="n"/>
      <c r="BB386" s="14" t="n"/>
      <c r="BC386" s="11">
        <f>IF(O386="","",IF(J386="GST 10%",ROUND(O386*set_GSTRate,2),0))</f>
        <v/>
      </c>
      <c r="BD386" s="11">
        <f>IF(O386="","",O386+BC386)</f>
        <v/>
      </c>
      <c r="BE386" s="15">
        <f>IF(O386="","",COUNTA(S386,V386,Y386,AB386,AE386,AH386,AK386,AN386,AQ386,AT386,AW386,AZ386))</f>
        <v/>
      </c>
      <c r="BF386" s="16">
        <f>IF(COUNT(T386,W386,Z386,AC386,AF386,AI386,AL386,AO386,AR386,AU386,AX386,BA386)=0,"",MAX(T386,W386,Z386,AC386,AF386,AI386,AL386,AO386,AR386,AU386,AX386,BA386))</f>
        <v/>
      </c>
      <c r="BG386" s="10">
        <f>MID(IF(S386="","",", "&amp;S386)&amp;IF(V386="","",", "&amp;V386)&amp;IF(Y386="","",", "&amp;Y386)&amp;IF(AB386="","",", "&amp;AB386)&amp;IF(AE386="","",", "&amp;AE386)&amp;IF(AH386="","",", "&amp;AH386)&amp;IF(AK386="","",", "&amp;AK386)&amp;IF(AN386="","",", "&amp;AN386)&amp;IF(AQ386="","",", "&amp;AQ386)&amp;IF(AT386="","",", "&amp;AT386)&amp;IF(AW386="","",", "&amp;AW386)&amp;IF(AZ386="","",", "&amp;AZ386),3,500)</f>
        <v/>
      </c>
      <c r="BH386" s="12" t="n"/>
      <c r="BI386" s="15">
        <f>IFERROR(MATCH($A386,IF($B386="Onsite",tbl_Onsite[Row ID],IF($B386="Production",tbl_Production[Row ID],tbl_Consulting[Row ID])),0),"")</f>
        <v/>
      </c>
    </row>
    <row r="387">
      <c r="A387" s="10" t="inlineStr">
        <is>
          <t>ONS-0381</t>
        </is>
      </c>
      <c r="B387" s="10" t="inlineStr">
        <is>
          <t>Onsite</t>
        </is>
      </c>
      <c r="C387" s="10">
        <f>IF($BI387="","",IF($B387="Onsite",INDEX(tbl_Onsite[Job Number],$BI387),IF($B387="Production",INDEX(tbl_Production[Job Number],$BI387),INDEX(tbl_Consulting[Job Number],$BI387)))&amp;"")</f>
        <v/>
      </c>
      <c r="D387" s="10">
        <f>IF($BI387="","",IF($B387="Onsite",INDEX(tbl_Onsite[Client],$BI387),IF($B387="Production",INDEX(tbl_Production[Client],$BI387),INDEX(tbl_Consulting[Client],$BI387)))&amp;"")</f>
        <v/>
      </c>
      <c r="E387" s="10">
        <f>IF($C387="","",IF(COUNTIF(lst_Jobs,$C387)&gt;0,"OK","CHECK"))</f>
        <v/>
      </c>
      <c r="F387" s="10">
        <f>IF($C387="","",IFERROR(INDEX(lst_JobName,MATCH($C387,lst_Jobs,0)),""))</f>
        <v/>
      </c>
      <c r="G387" s="10">
        <f>IF($BI387="","",IF($B387="Onsite",INDEX(tbl_Onsite[Job Description],$BI387),IF($B387="Production",INDEX(tbl_Production[Job Description],$BI387),INDEX(tbl_Consulting[Job Description],$BI387)))&amp;"")</f>
        <v/>
      </c>
      <c r="H387" s="10">
        <f>IF($BI387="","",IF($B387="Onsite",INDEX(tbl_Onsite[Cost Centre],$BI387),IF($B387="Production",INDEX(tbl_Production[Cost Centre],$BI387),INDEX(tbl_Consulting[Cost Centre],$BI387)))&amp;"")</f>
        <v/>
      </c>
      <c r="I387" s="10">
        <f>IF($BI387="","",IF($B387="Onsite",INDEX(tbl_Onsite[Invoice Type],$BI387),IF($B387="Production",INDEX(tbl_Production[Invoice Type],$BI387),INDEX(tbl_Consulting[Invoice Type],$BI387)))&amp;"")</f>
        <v/>
      </c>
      <c r="J387" s="10">
        <f>IF($BI387="","",IF($B387="Onsite",INDEX(tbl_Onsite[Tax Code],$BI387),IF($B387="Production",INDEX(tbl_Production[Tax Code],$BI387),INDEX(tbl_Consulting[Tax Code],$BI387)))&amp;"")</f>
        <v/>
      </c>
      <c r="K387" s="10">
        <f>IF(H387="","",IFERROR(INDEX(lst_CCtoGL,MATCH(H387,lst_CCforGL,0)),""))</f>
        <v/>
      </c>
      <c r="L387" s="10">
        <f>IF($BI387="","",IF($B387="Onsite",INDEX(tbl_Onsite[PO / Reference],$BI387),IF($B387="Production",INDEX(tbl_Production[Current RMS No],$BI387),INDEX(tbl_Consulting[Qwilr Quote],$BI387)))&amp;"")</f>
        <v/>
      </c>
      <c r="M387" s="10">
        <f>IF($BI387="","",IF($B387="Onsite",INDEX(tbl_Onsite[Notes],$BI387),IF($B387="Production",INDEX(tbl_Production[Notes],$BI387),INDEX(tbl_Consulting[Notes],$BI387)))&amp;"")</f>
        <v/>
      </c>
      <c r="N387" s="11">
        <f>IF($BI387="","",IF(IF($B387="Onsite",INDEX(tbl_Onsite[Expected Revenue Ex GST],$BI387),IF($B387="Production",INDEX(tbl_Production[Expected Revenue Ex GST],$BI387),INDEX(tbl_Consulting[Expected Revenue Ex GST],$BI387)))="","",IF($B387="Onsite",INDEX(tbl_Onsite[Expected Revenue Ex GST],$BI387),IF($B387="Production",INDEX(tbl_Production[Expected Revenue Ex GST],$BI387),INDEX(tbl_Consulting[Expected Revenue Ex GST],$BI387)))))</f>
        <v/>
      </c>
      <c r="O387" s="11">
        <f>IF(AND($C387="",NOT(COUNTA($S387:$BB387)&gt;0)),"",SUM(U387,X387,AA387,AD387,AG387,AJ387,AM387,AP387,AS387,AV387,AY387,BB387))</f>
        <v/>
      </c>
      <c r="P387" s="11">
        <f>IF(O387="","",N(N387)-O387)</f>
        <v/>
      </c>
      <c r="Q387" s="10">
        <f>IF(O387="","",IF($C387="","Invoice on empty job row",IF(N387="",IF(ROUND(O387,2)=0,"No dept value","Invoiced - no dept value"),IF(ROUND(O387,2)=0,"Not invoiced - to invoice",IF(ROUND(P387,2)=0,"Agrees",IF(P387&gt;0,"Dept higher - to invoice","Xero higher - check dept"))))))</f>
        <v/>
      </c>
      <c r="R387" s="10">
        <f>IF(AND($C387="",NOT(COUNTA($S387:$BB387)&gt;0),$BI387&lt;&gt;""),"",MID(IF($BI387="","; Row ID not found on the department sheet - a row was deleted","")&amp;IF(AND($C387="",COUNTA($S387:$BB387)&gt;0),"; Invoice entered but the department row has no job number","")&amp;IF(E387="CHECK","; Job number not in the Xero job list","")&amp;IF(AND($C387&lt;&gt;"",COUNTIF($C$7:$C$1506,$C387)&gt;1),"; Job number on more than one row","")&amp;IF(AND($C387&lt;&gt;"",H387=""),"; Dept has not set a cost centre","")&amp;IF(AND($C387&lt;&gt;"",J387=""),"; Dept has not set a tax code","")&amp;IF(AND($C387&lt;&gt;"",N387=""),"; Dept has not entered an expected value","")&amp;IF((IF(OR(COUNTA(S387:U387)=0,AND(COUNTA(S387:U387)=3,ISNUMBER(U387))),0,1)+IF(OR(COUNTA(V387:X387)=0,AND(COUNTA(V387:X387)=3,ISNUMBER(X387))),0,1)+IF(OR(COUNTA(Y387:AA387)=0,AND(COUNTA(Y387:AA387)=3,ISNUMBER(AA387))),0,1)+IF(OR(COUNTA(AB387:AD387)=0,AND(COUNTA(AB387:AD387)=3,ISNUMBER(AD387))),0,1)+IF(OR(COUNTA(AE387:AG387)=0,AND(COUNTA(AE387:AG387)=3,ISNUMBER(AG387))),0,1)+IF(OR(COUNTA(AH387:AJ387)=0,AND(COUNTA(AH387:AJ387)=3,ISNUMBER(AJ387))),0,1)+IF(OR(COUNTA(AK387:AM387)=0,AND(COUNTA(AK387:AM387)=3,ISNUMBER(AM387))),0,1)+IF(OR(COUNTA(AN387:AP387)=0,AND(COUNTA(AN387:AP387)=3,ISNUMBER(AP387))),0,1)+IF(OR(COUNTA(AQ387:AS387)=0,AND(COUNTA(AQ387:AS387)=3,ISNUMBER(AS387))),0,1)+IF(OR(COUNTA(AT387:AV387)=0,AND(COUNTA(AT387:AV387)=3,ISNUMBER(AV387))),0,1)+IF(OR(COUNTA(AW387:AY387)=0,AND(COUNTA(AW387:AY387)=3,ISNUMBER(AY387))),0,1)+IF(OR(COUNTA(AZ387:BB387)=0,AND(COUNTA(AZ387:BB387)=3,ISNUMBER(BB387))),0,1))&gt;0,"; An invoice is incomplete (needs No, Date and a number in Ex GST)","")&amp;IF((IF(T387="",0,IFERROR(--(EOMONTH(T387,0)&lt;&gt;S$5),1))+IF(W387="",0,IFERROR(--(EOMONTH(W387,0)&lt;&gt;V$5),1))+IF(Z387="",0,IFERROR(--(EOMONTH(Z387,0)&lt;&gt;Y$5),1))+IF(AC387="",0,IFERROR(--(EOMONTH(AC387,0)&lt;&gt;AB$5),1))+IF(AF387="",0,IFERROR(--(EOMONTH(AF387,0)&lt;&gt;AE$5),1))+IF(AI387="",0,IFERROR(--(EOMONTH(AI387,0)&lt;&gt;AH$5),1))+IF(AL387="",0,IFERROR(--(EOMONTH(AL387,0)&lt;&gt;AK$5),1))+IF(AO387="",0,IFERROR(--(EOMONTH(AO387,0)&lt;&gt;AN$5),1))+IF(AR387="",0,IFERROR(--(EOMONTH(AR387,0)&lt;&gt;AQ$5),1))+IF(AU387="",0,IFERROR(--(EOMONTH(AU387,0)&lt;&gt;AT$5),1))+IF(AX387="",0,IFERROR(--(EOMONTH(AX387,0)&lt;&gt;AW$5),1))+IF(BA387="",0,IFERROR(--(EOMONTH(BA387,0)&lt;&gt;AZ$5),1)))&gt;0,"; An invoice date is not in the month it is typed under",""),3,500))</f>
        <v/>
      </c>
      <c r="S387" s="12" t="n"/>
      <c r="T387" s="13" t="n"/>
      <c r="U387" s="14" t="n"/>
      <c r="V387" s="12" t="n"/>
      <c r="W387" s="13" t="n"/>
      <c r="X387" s="14" t="n"/>
      <c r="Y387" s="12" t="n"/>
      <c r="Z387" s="13" t="n"/>
      <c r="AA387" s="14" t="n"/>
      <c r="AB387" s="12" t="n"/>
      <c r="AC387" s="13" t="n"/>
      <c r="AD387" s="14" t="n"/>
      <c r="AE387" s="12" t="n"/>
      <c r="AF387" s="13" t="n"/>
      <c r="AG387" s="14" t="n"/>
      <c r="AH387" s="12" t="n"/>
      <c r="AI387" s="13" t="n"/>
      <c r="AJ387" s="14" t="n"/>
      <c r="AK387" s="12" t="n"/>
      <c r="AL387" s="13" t="n"/>
      <c r="AM387" s="14" t="n"/>
      <c r="AN387" s="12" t="n"/>
      <c r="AO387" s="13" t="n"/>
      <c r="AP387" s="14" t="n"/>
      <c r="AQ387" s="12" t="n"/>
      <c r="AR387" s="13" t="n"/>
      <c r="AS387" s="14" t="n"/>
      <c r="AT387" s="12" t="n"/>
      <c r="AU387" s="13" t="n"/>
      <c r="AV387" s="14" t="n"/>
      <c r="AW387" s="12" t="n"/>
      <c r="AX387" s="13" t="n"/>
      <c r="AY387" s="14" t="n"/>
      <c r="AZ387" s="12" t="n"/>
      <c r="BA387" s="13" t="n"/>
      <c r="BB387" s="14" t="n"/>
      <c r="BC387" s="11">
        <f>IF(O387="","",IF(J387="GST 10%",ROUND(O387*set_GSTRate,2),0))</f>
        <v/>
      </c>
      <c r="BD387" s="11">
        <f>IF(O387="","",O387+BC387)</f>
        <v/>
      </c>
      <c r="BE387" s="15">
        <f>IF(O387="","",COUNTA(S387,V387,Y387,AB387,AE387,AH387,AK387,AN387,AQ387,AT387,AW387,AZ387))</f>
        <v/>
      </c>
      <c r="BF387" s="16">
        <f>IF(COUNT(T387,W387,Z387,AC387,AF387,AI387,AL387,AO387,AR387,AU387,AX387,BA387)=0,"",MAX(T387,W387,Z387,AC387,AF387,AI387,AL387,AO387,AR387,AU387,AX387,BA387))</f>
        <v/>
      </c>
      <c r="BG387" s="10">
        <f>MID(IF(S387="","",", "&amp;S387)&amp;IF(V387="","",", "&amp;V387)&amp;IF(Y387="","",", "&amp;Y387)&amp;IF(AB387="","",", "&amp;AB387)&amp;IF(AE387="","",", "&amp;AE387)&amp;IF(AH387="","",", "&amp;AH387)&amp;IF(AK387="","",", "&amp;AK387)&amp;IF(AN387="","",", "&amp;AN387)&amp;IF(AQ387="","",", "&amp;AQ387)&amp;IF(AT387="","",", "&amp;AT387)&amp;IF(AW387="","",", "&amp;AW387)&amp;IF(AZ387="","",", "&amp;AZ387),3,500)</f>
        <v/>
      </c>
      <c r="BH387" s="12" t="n"/>
      <c r="BI387" s="15">
        <f>IFERROR(MATCH($A387,IF($B387="Onsite",tbl_Onsite[Row ID],IF($B387="Production",tbl_Production[Row ID],tbl_Consulting[Row ID])),0),"")</f>
        <v/>
      </c>
    </row>
    <row r="388">
      <c r="A388" s="10" t="inlineStr">
        <is>
          <t>ONS-0382</t>
        </is>
      </c>
      <c r="B388" s="10" t="inlineStr">
        <is>
          <t>Onsite</t>
        </is>
      </c>
      <c r="C388" s="10">
        <f>IF($BI388="","",IF($B388="Onsite",INDEX(tbl_Onsite[Job Number],$BI388),IF($B388="Production",INDEX(tbl_Production[Job Number],$BI388),INDEX(tbl_Consulting[Job Number],$BI388)))&amp;"")</f>
        <v/>
      </c>
      <c r="D388" s="10">
        <f>IF($BI388="","",IF($B388="Onsite",INDEX(tbl_Onsite[Client],$BI388),IF($B388="Production",INDEX(tbl_Production[Client],$BI388),INDEX(tbl_Consulting[Client],$BI388)))&amp;"")</f>
        <v/>
      </c>
      <c r="E388" s="10">
        <f>IF($C388="","",IF(COUNTIF(lst_Jobs,$C388)&gt;0,"OK","CHECK"))</f>
        <v/>
      </c>
      <c r="F388" s="10">
        <f>IF($C388="","",IFERROR(INDEX(lst_JobName,MATCH($C388,lst_Jobs,0)),""))</f>
        <v/>
      </c>
      <c r="G388" s="10">
        <f>IF($BI388="","",IF($B388="Onsite",INDEX(tbl_Onsite[Job Description],$BI388),IF($B388="Production",INDEX(tbl_Production[Job Description],$BI388),INDEX(tbl_Consulting[Job Description],$BI388)))&amp;"")</f>
        <v/>
      </c>
      <c r="H388" s="10">
        <f>IF($BI388="","",IF($B388="Onsite",INDEX(tbl_Onsite[Cost Centre],$BI388),IF($B388="Production",INDEX(tbl_Production[Cost Centre],$BI388),INDEX(tbl_Consulting[Cost Centre],$BI388)))&amp;"")</f>
        <v/>
      </c>
      <c r="I388" s="10">
        <f>IF($BI388="","",IF($B388="Onsite",INDEX(tbl_Onsite[Invoice Type],$BI388),IF($B388="Production",INDEX(tbl_Production[Invoice Type],$BI388),INDEX(tbl_Consulting[Invoice Type],$BI388)))&amp;"")</f>
        <v/>
      </c>
      <c r="J388" s="10">
        <f>IF($BI388="","",IF($B388="Onsite",INDEX(tbl_Onsite[Tax Code],$BI388),IF($B388="Production",INDEX(tbl_Production[Tax Code],$BI388),INDEX(tbl_Consulting[Tax Code],$BI388)))&amp;"")</f>
        <v/>
      </c>
      <c r="K388" s="10">
        <f>IF(H388="","",IFERROR(INDEX(lst_CCtoGL,MATCH(H388,lst_CCforGL,0)),""))</f>
        <v/>
      </c>
      <c r="L388" s="10">
        <f>IF($BI388="","",IF($B388="Onsite",INDEX(tbl_Onsite[PO / Reference],$BI388),IF($B388="Production",INDEX(tbl_Production[Current RMS No],$BI388),INDEX(tbl_Consulting[Qwilr Quote],$BI388)))&amp;"")</f>
        <v/>
      </c>
      <c r="M388" s="10">
        <f>IF($BI388="","",IF($B388="Onsite",INDEX(tbl_Onsite[Notes],$BI388),IF($B388="Production",INDEX(tbl_Production[Notes],$BI388),INDEX(tbl_Consulting[Notes],$BI388)))&amp;"")</f>
        <v/>
      </c>
      <c r="N388" s="11">
        <f>IF($BI388="","",IF(IF($B388="Onsite",INDEX(tbl_Onsite[Expected Revenue Ex GST],$BI388),IF($B388="Production",INDEX(tbl_Production[Expected Revenue Ex GST],$BI388),INDEX(tbl_Consulting[Expected Revenue Ex GST],$BI388)))="","",IF($B388="Onsite",INDEX(tbl_Onsite[Expected Revenue Ex GST],$BI388),IF($B388="Production",INDEX(tbl_Production[Expected Revenue Ex GST],$BI388),INDEX(tbl_Consulting[Expected Revenue Ex GST],$BI388)))))</f>
        <v/>
      </c>
      <c r="O388" s="11">
        <f>IF(AND($C388="",NOT(COUNTA($S388:$BB388)&gt;0)),"",SUM(U388,X388,AA388,AD388,AG388,AJ388,AM388,AP388,AS388,AV388,AY388,BB388))</f>
        <v/>
      </c>
      <c r="P388" s="11">
        <f>IF(O388="","",N(N388)-O388)</f>
        <v/>
      </c>
      <c r="Q388" s="10">
        <f>IF(O388="","",IF($C388="","Invoice on empty job row",IF(N388="",IF(ROUND(O388,2)=0,"No dept value","Invoiced - no dept value"),IF(ROUND(O388,2)=0,"Not invoiced - to invoice",IF(ROUND(P388,2)=0,"Agrees",IF(P388&gt;0,"Dept higher - to invoice","Xero higher - check dept"))))))</f>
        <v/>
      </c>
      <c r="R388" s="10">
        <f>IF(AND($C388="",NOT(COUNTA($S388:$BB388)&gt;0),$BI388&lt;&gt;""),"",MID(IF($BI388="","; Row ID not found on the department sheet - a row was deleted","")&amp;IF(AND($C388="",COUNTA($S388:$BB388)&gt;0),"; Invoice entered but the department row has no job number","")&amp;IF(E388="CHECK","; Job number not in the Xero job list","")&amp;IF(AND($C388&lt;&gt;"",COUNTIF($C$7:$C$1506,$C388)&gt;1),"; Job number on more than one row","")&amp;IF(AND($C388&lt;&gt;"",H388=""),"; Dept has not set a cost centre","")&amp;IF(AND($C388&lt;&gt;"",J388=""),"; Dept has not set a tax code","")&amp;IF(AND($C388&lt;&gt;"",N388=""),"; Dept has not entered an expected value","")&amp;IF((IF(OR(COUNTA(S388:U388)=0,AND(COUNTA(S388:U388)=3,ISNUMBER(U388))),0,1)+IF(OR(COUNTA(V388:X388)=0,AND(COUNTA(V388:X388)=3,ISNUMBER(X388))),0,1)+IF(OR(COUNTA(Y388:AA388)=0,AND(COUNTA(Y388:AA388)=3,ISNUMBER(AA388))),0,1)+IF(OR(COUNTA(AB388:AD388)=0,AND(COUNTA(AB388:AD388)=3,ISNUMBER(AD388))),0,1)+IF(OR(COUNTA(AE388:AG388)=0,AND(COUNTA(AE388:AG388)=3,ISNUMBER(AG388))),0,1)+IF(OR(COUNTA(AH388:AJ388)=0,AND(COUNTA(AH388:AJ388)=3,ISNUMBER(AJ388))),0,1)+IF(OR(COUNTA(AK388:AM388)=0,AND(COUNTA(AK388:AM388)=3,ISNUMBER(AM388))),0,1)+IF(OR(COUNTA(AN388:AP388)=0,AND(COUNTA(AN388:AP388)=3,ISNUMBER(AP388))),0,1)+IF(OR(COUNTA(AQ388:AS388)=0,AND(COUNTA(AQ388:AS388)=3,ISNUMBER(AS388))),0,1)+IF(OR(COUNTA(AT388:AV388)=0,AND(COUNTA(AT388:AV388)=3,ISNUMBER(AV388))),0,1)+IF(OR(COUNTA(AW388:AY388)=0,AND(COUNTA(AW388:AY388)=3,ISNUMBER(AY388))),0,1)+IF(OR(COUNTA(AZ388:BB388)=0,AND(COUNTA(AZ388:BB388)=3,ISNUMBER(BB388))),0,1))&gt;0,"; An invoice is incomplete (needs No, Date and a number in Ex GST)","")&amp;IF((IF(T388="",0,IFERROR(--(EOMONTH(T388,0)&lt;&gt;S$5),1))+IF(W388="",0,IFERROR(--(EOMONTH(W388,0)&lt;&gt;V$5),1))+IF(Z388="",0,IFERROR(--(EOMONTH(Z388,0)&lt;&gt;Y$5),1))+IF(AC388="",0,IFERROR(--(EOMONTH(AC388,0)&lt;&gt;AB$5),1))+IF(AF388="",0,IFERROR(--(EOMONTH(AF388,0)&lt;&gt;AE$5),1))+IF(AI388="",0,IFERROR(--(EOMONTH(AI388,0)&lt;&gt;AH$5),1))+IF(AL388="",0,IFERROR(--(EOMONTH(AL388,0)&lt;&gt;AK$5),1))+IF(AO388="",0,IFERROR(--(EOMONTH(AO388,0)&lt;&gt;AN$5),1))+IF(AR388="",0,IFERROR(--(EOMONTH(AR388,0)&lt;&gt;AQ$5),1))+IF(AU388="",0,IFERROR(--(EOMONTH(AU388,0)&lt;&gt;AT$5),1))+IF(AX388="",0,IFERROR(--(EOMONTH(AX388,0)&lt;&gt;AW$5),1))+IF(BA388="",0,IFERROR(--(EOMONTH(BA388,0)&lt;&gt;AZ$5),1)))&gt;0,"; An invoice date is not in the month it is typed under",""),3,500))</f>
        <v/>
      </c>
      <c r="S388" s="12" t="n"/>
      <c r="T388" s="13" t="n"/>
      <c r="U388" s="14" t="n"/>
      <c r="V388" s="12" t="n"/>
      <c r="W388" s="13" t="n"/>
      <c r="X388" s="14" t="n"/>
      <c r="Y388" s="12" t="n"/>
      <c r="Z388" s="13" t="n"/>
      <c r="AA388" s="14" t="n"/>
      <c r="AB388" s="12" t="n"/>
      <c r="AC388" s="13" t="n"/>
      <c r="AD388" s="14" t="n"/>
      <c r="AE388" s="12" t="n"/>
      <c r="AF388" s="13" t="n"/>
      <c r="AG388" s="14" t="n"/>
      <c r="AH388" s="12" t="n"/>
      <c r="AI388" s="13" t="n"/>
      <c r="AJ388" s="14" t="n"/>
      <c r="AK388" s="12" t="n"/>
      <c r="AL388" s="13" t="n"/>
      <c r="AM388" s="14" t="n"/>
      <c r="AN388" s="12" t="n"/>
      <c r="AO388" s="13" t="n"/>
      <c r="AP388" s="14" t="n"/>
      <c r="AQ388" s="12" t="n"/>
      <c r="AR388" s="13" t="n"/>
      <c r="AS388" s="14" t="n"/>
      <c r="AT388" s="12" t="n"/>
      <c r="AU388" s="13" t="n"/>
      <c r="AV388" s="14" t="n"/>
      <c r="AW388" s="12" t="n"/>
      <c r="AX388" s="13" t="n"/>
      <c r="AY388" s="14" t="n"/>
      <c r="AZ388" s="12" t="n"/>
      <c r="BA388" s="13" t="n"/>
      <c r="BB388" s="14" t="n"/>
      <c r="BC388" s="11">
        <f>IF(O388="","",IF(J388="GST 10%",ROUND(O388*set_GSTRate,2),0))</f>
        <v/>
      </c>
      <c r="BD388" s="11">
        <f>IF(O388="","",O388+BC388)</f>
        <v/>
      </c>
      <c r="BE388" s="15">
        <f>IF(O388="","",COUNTA(S388,V388,Y388,AB388,AE388,AH388,AK388,AN388,AQ388,AT388,AW388,AZ388))</f>
        <v/>
      </c>
      <c r="BF388" s="16">
        <f>IF(COUNT(T388,W388,Z388,AC388,AF388,AI388,AL388,AO388,AR388,AU388,AX388,BA388)=0,"",MAX(T388,W388,Z388,AC388,AF388,AI388,AL388,AO388,AR388,AU388,AX388,BA388))</f>
        <v/>
      </c>
      <c r="BG388" s="10">
        <f>MID(IF(S388="","",", "&amp;S388)&amp;IF(V388="","",", "&amp;V388)&amp;IF(Y388="","",", "&amp;Y388)&amp;IF(AB388="","",", "&amp;AB388)&amp;IF(AE388="","",", "&amp;AE388)&amp;IF(AH388="","",", "&amp;AH388)&amp;IF(AK388="","",", "&amp;AK388)&amp;IF(AN388="","",", "&amp;AN388)&amp;IF(AQ388="","",", "&amp;AQ388)&amp;IF(AT388="","",", "&amp;AT388)&amp;IF(AW388="","",", "&amp;AW388)&amp;IF(AZ388="","",", "&amp;AZ388),3,500)</f>
        <v/>
      </c>
      <c r="BH388" s="12" t="n"/>
      <c r="BI388" s="15">
        <f>IFERROR(MATCH($A388,IF($B388="Onsite",tbl_Onsite[Row ID],IF($B388="Production",tbl_Production[Row ID],tbl_Consulting[Row ID])),0),"")</f>
        <v/>
      </c>
    </row>
    <row r="389">
      <c r="A389" s="10" t="inlineStr">
        <is>
          <t>ONS-0383</t>
        </is>
      </c>
      <c r="B389" s="10" t="inlineStr">
        <is>
          <t>Onsite</t>
        </is>
      </c>
      <c r="C389" s="10">
        <f>IF($BI389="","",IF($B389="Onsite",INDEX(tbl_Onsite[Job Number],$BI389),IF($B389="Production",INDEX(tbl_Production[Job Number],$BI389),INDEX(tbl_Consulting[Job Number],$BI389)))&amp;"")</f>
        <v/>
      </c>
      <c r="D389" s="10">
        <f>IF($BI389="","",IF($B389="Onsite",INDEX(tbl_Onsite[Client],$BI389),IF($B389="Production",INDEX(tbl_Production[Client],$BI389),INDEX(tbl_Consulting[Client],$BI389)))&amp;"")</f>
        <v/>
      </c>
      <c r="E389" s="10">
        <f>IF($C389="","",IF(COUNTIF(lst_Jobs,$C389)&gt;0,"OK","CHECK"))</f>
        <v/>
      </c>
      <c r="F389" s="10">
        <f>IF($C389="","",IFERROR(INDEX(lst_JobName,MATCH($C389,lst_Jobs,0)),""))</f>
        <v/>
      </c>
      <c r="G389" s="10">
        <f>IF($BI389="","",IF($B389="Onsite",INDEX(tbl_Onsite[Job Description],$BI389),IF($B389="Production",INDEX(tbl_Production[Job Description],$BI389),INDEX(tbl_Consulting[Job Description],$BI389)))&amp;"")</f>
        <v/>
      </c>
      <c r="H389" s="10">
        <f>IF($BI389="","",IF($B389="Onsite",INDEX(tbl_Onsite[Cost Centre],$BI389),IF($B389="Production",INDEX(tbl_Production[Cost Centre],$BI389),INDEX(tbl_Consulting[Cost Centre],$BI389)))&amp;"")</f>
        <v/>
      </c>
      <c r="I389" s="10">
        <f>IF($BI389="","",IF($B389="Onsite",INDEX(tbl_Onsite[Invoice Type],$BI389),IF($B389="Production",INDEX(tbl_Production[Invoice Type],$BI389),INDEX(tbl_Consulting[Invoice Type],$BI389)))&amp;"")</f>
        <v/>
      </c>
      <c r="J389" s="10">
        <f>IF($BI389="","",IF($B389="Onsite",INDEX(tbl_Onsite[Tax Code],$BI389),IF($B389="Production",INDEX(tbl_Production[Tax Code],$BI389),INDEX(tbl_Consulting[Tax Code],$BI389)))&amp;"")</f>
        <v/>
      </c>
      <c r="K389" s="10">
        <f>IF(H389="","",IFERROR(INDEX(lst_CCtoGL,MATCH(H389,lst_CCforGL,0)),""))</f>
        <v/>
      </c>
      <c r="L389" s="10">
        <f>IF($BI389="","",IF($B389="Onsite",INDEX(tbl_Onsite[PO / Reference],$BI389),IF($B389="Production",INDEX(tbl_Production[Current RMS No],$BI389),INDEX(tbl_Consulting[Qwilr Quote],$BI389)))&amp;"")</f>
        <v/>
      </c>
      <c r="M389" s="10">
        <f>IF($BI389="","",IF($B389="Onsite",INDEX(tbl_Onsite[Notes],$BI389),IF($B389="Production",INDEX(tbl_Production[Notes],$BI389),INDEX(tbl_Consulting[Notes],$BI389)))&amp;"")</f>
        <v/>
      </c>
      <c r="N389" s="11">
        <f>IF($BI389="","",IF(IF($B389="Onsite",INDEX(tbl_Onsite[Expected Revenue Ex GST],$BI389),IF($B389="Production",INDEX(tbl_Production[Expected Revenue Ex GST],$BI389),INDEX(tbl_Consulting[Expected Revenue Ex GST],$BI389)))="","",IF($B389="Onsite",INDEX(tbl_Onsite[Expected Revenue Ex GST],$BI389),IF($B389="Production",INDEX(tbl_Production[Expected Revenue Ex GST],$BI389),INDEX(tbl_Consulting[Expected Revenue Ex GST],$BI389)))))</f>
        <v/>
      </c>
      <c r="O389" s="11">
        <f>IF(AND($C389="",NOT(COUNTA($S389:$BB389)&gt;0)),"",SUM(U389,X389,AA389,AD389,AG389,AJ389,AM389,AP389,AS389,AV389,AY389,BB389))</f>
        <v/>
      </c>
      <c r="P389" s="11">
        <f>IF(O389="","",N(N389)-O389)</f>
        <v/>
      </c>
      <c r="Q389" s="10">
        <f>IF(O389="","",IF($C389="","Invoice on empty job row",IF(N389="",IF(ROUND(O389,2)=0,"No dept value","Invoiced - no dept value"),IF(ROUND(O389,2)=0,"Not invoiced - to invoice",IF(ROUND(P389,2)=0,"Agrees",IF(P389&gt;0,"Dept higher - to invoice","Xero higher - check dept"))))))</f>
        <v/>
      </c>
      <c r="R389" s="10">
        <f>IF(AND($C389="",NOT(COUNTA($S389:$BB389)&gt;0),$BI389&lt;&gt;""),"",MID(IF($BI389="","; Row ID not found on the department sheet - a row was deleted","")&amp;IF(AND($C389="",COUNTA($S389:$BB389)&gt;0),"; Invoice entered but the department row has no job number","")&amp;IF(E389="CHECK","; Job number not in the Xero job list","")&amp;IF(AND($C389&lt;&gt;"",COUNTIF($C$7:$C$1506,$C389)&gt;1),"; Job number on more than one row","")&amp;IF(AND($C389&lt;&gt;"",H389=""),"; Dept has not set a cost centre","")&amp;IF(AND($C389&lt;&gt;"",J389=""),"; Dept has not set a tax code","")&amp;IF(AND($C389&lt;&gt;"",N389=""),"; Dept has not entered an expected value","")&amp;IF((IF(OR(COUNTA(S389:U389)=0,AND(COUNTA(S389:U389)=3,ISNUMBER(U389))),0,1)+IF(OR(COUNTA(V389:X389)=0,AND(COUNTA(V389:X389)=3,ISNUMBER(X389))),0,1)+IF(OR(COUNTA(Y389:AA389)=0,AND(COUNTA(Y389:AA389)=3,ISNUMBER(AA389))),0,1)+IF(OR(COUNTA(AB389:AD389)=0,AND(COUNTA(AB389:AD389)=3,ISNUMBER(AD389))),0,1)+IF(OR(COUNTA(AE389:AG389)=0,AND(COUNTA(AE389:AG389)=3,ISNUMBER(AG389))),0,1)+IF(OR(COUNTA(AH389:AJ389)=0,AND(COUNTA(AH389:AJ389)=3,ISNUMBER(AJ389))),0,1)+IF(OR(COUNTA(AK389:AM389)=0,AND(COUNTA(AK389:AM389)=3,ISNUMBER(AM389))),0,1)+IF(OR(COUNTA(AN389:AP389)=0,AND(COUNTA(AN389:AP389)=3,ISNUMBER(AP389))),0,1)+IF(OR(COUNTA(AQ389:AS389)=0,AND(COUNTA(AQ389:AS389)=3,ISNUMBER(AS389))),0,1)+IF(OR(COUNTA(AT389:AV389)=0,AND(COUNTA(AT389:AV389)=3,ISNUMBER(AV389))),0,1)+IF(OR(COUNTA(AW389:AY389)=0,AND(COUNTA(AW389:AY389)=3,ISNUMBER(AY389))),0,1)+IF(OR(COUNTA(AZ389:BB389)=0,AND(COUNTA(AZ389:BB389)=3,ISNUMBER(BB389))),0,1))&gt;0,"; An invoice is incomplete (needs No, Date and a number in Ex GST)","")&amp;IF((IF(T389="",0,IFERROR(--(EOMONTH(T389,0)&lt;&gt;S$5),1))+IF(W389="",0,IFERROR(--(EOMONTH(W389,0)&lt;&gt;V$5),1))+IF(Z389="",0,IFERROR(--(EOMONTH(Z389,0)&lt;&gt;Y$5),1))+IF(AC389="",0,IFERROR(--(EOMONTH(AC389,0)&lt;&gt;AB$5),1))+IF(AF389="",0,IFERROR(--(EOMONTH(AF389,0)&lt;&gt;AE$5),1))+IF(AI389="",0,IFERROR(--(EOMONTH(AI389,0)&lt;&gt;AH$5),1))+IF(AL389="",0,IFERROR(--(EOMONTH(AL389,0)&lt;&gt;AK$5),1))+IF(AO389="",0,IFERROR(--(EOMONTH(AO389,0)&lt;&gt;AN$5),1))+IF(AR389="",0,IFERROR(--(EOMONTH(AR389,0)&lt;&gt;AQ$5),1))+IF(AU389="",0,IFERROR(--(EOMONTH(AU389,0)&lt;&gt;AT$5),1))+IF(AX389="",0,IFERROR(--(EOMONTH(AX389,0)&lt;&gt;AW$5),1))+IF(BA389="",0,IFERROR(--(EOMONTH(BA389,0)&lt;&gt;AZ$5),1)))&gt;0,"; An invoice date is not in the month it is typed under",""),3,500))</f>
        <v/>
      </c>
      <c r="S389" s="12" t="n"/>
      <c r="T389" s="13" t="n"/>
      <c r="U389" s="14" t="n"/>
      <c r="V389" s="12" t="n"/>
      <c r="W389" s="13" t="n"/>
      <c r="X389" s="14" t="n"/>
      <c r="Y389" s="12" t="n"/>
      <c r="Z389" s="13" t="n"/>
      <c r="AA389" s="14" t="n"/>
      <c r="AB389" s="12" t="n"/>
      <c r="AC389" s="13" t="n"/>
      <c r="AD389" s="14" t="n"/>
      <c r="AE389" s="12" t="n"/>
      <c r="AF389" s="13" t="n"/>
      <c r="AG389" s="14" t="n"/>
      <c r="AH389" s="12" t="n"/>
      <c r="AI389" s="13" t="n"/>
      <c r="AJ389" s="14" t="n"/>
      <c r="AK389" s="12" t="n"/>
      <c r="AL389" s="13" t="n"/>
      <c r="AM389" s="14" t="n"/>
      <c r="AN389" s="12" t="n"/>
      <c r="AO389" s="13" t="n"/>
      <c r="AP389" s="14" t="n"/>
      <c r="AQ389" s="12" t="n"/>
      <c r="AR389" s="13" t="n"/>
      <c r="AS389" s="14" t="n"/>
      <c r="AT389" s="12" t="n"/>
      <c r="AU389" s="13" t="n"/>
      <c r="AV389" s="14" t="n"/>
      <c r="AW389" s="12" t="n"/>
      <c r="AX389" s="13" t="n"/>
      <c r="AY389" s="14" t="n"/>
      <c r="AZ389" s="12" t="n"/>
      <c r="BA389" s="13" t="n"/>
      <c r="BB389" s="14" t="n"/>
      <c r="BC389" s="11">
        <f>IF(O389="","",IF(J389="GST 10%",ROUND(O389*set_GSTRate,2),0))</f>
        <v/>
      </c>
      <c r="BD389" s="11">
        <f>IF(O389="","",O389+BC389)</f>
        <v/>
      </c>
      <c r="BE389" s="15">
        <f>IF(O389="","",COUNTA(S389,V389,Y389,AB389,AE389,AH389,AK389,AN389,AQ389,AT389,AW389,AZ389))</f>
        <v/>
      </c>
      <c r="BF389" s="16">
        <f>IF(COUNT(T389,W389,Z389,AC389,AF389,AI389,AL389,AO389,AR389,AU389,AX389,BA389)=0,"",MAX(T389,W389,Z389,AC389,AF389,AI389,AL389,AO389,AR389,AU389,AX389,BA389))</f>
        <v/>
      </c>
      <c r="BG389" s="10">
        <f>MID(IF(S389="","",", "&amp;S389)&amp;IF(V389="","",", "&amp;V389)&amp;IF(Y389="","",", "&amp;Y389)&amp;IF(AB389="","",", "&amp;AB389)&amp;IF(AE389="","",", "&amp;AE389)&amp;IF(AH389="","",", "&amp;AH389)&amp;IF(AK389="","",", "&amp;AK389)&amp;IF(AN389="","",", "&amp;AN389)&amp;IF(AQ389="","",", "&amp;AQ389)&amp;IF(AT389="","",", "&amp;AT389)&amp;IF(AW389="","",", "&amp;AW389)&amp;IF(AZ389="","",", "&amp;AZ389),3,500)</f>
        <v/>
      </c>
      <c r="BH389" s="12" t="n"/>
      <c r="BI389" s="15">
        <f>IFERROR(MATCH($A389,IF($B389="Onsite",tbl_Onsite[Row ID],IF($B389="Production",tbl_Production[Row ID],tbl_Consulting[Row ID])),0),"")</f>
        <v/>
      </c>
    </row>
    <row r="390">
      <c r="A390" s="10" t="inlineStr">
        <is>
          <t>ONS-0384</t>
        </is>
      </c>
      <c r="B390" s="10" t="inlineStr">
        <is>
          <t>Onsite</t>
        </is>
      </c>
      <c r="C390" s="10">
        <f>IF($BI390="","",IF($B390="Onsite",INDEX(tbl_Onsite[Job Number],$BI390),IF($B390="Production",INDEX(tbl_Production[Job Number],$BI390),INDEX(tbl_Consulting[Job Number],$BI390)))&amp;"")</f>
        <v/>
      </c>
      <c r="D390" s="10">
        <f>IF($BI390="","",IF($B390="Onsite",INDEX(tbl_Onsite[Client],$BI390),IF($B390="Production",INDEX(tbl_Production[Client],$BI390),INDEX(tbl_Consulting[Client],$BI390)))&amp;"")</f>
        <v/>
      </c>
      <c r="E390" s="10">
        <f>IF($C390="","",IF(COUNTIF(lst_Jobs,$C390)&gt;0,"OK","CHECK"))</f>
        <v/>
      </c>
      <c r="F390" s="10">
        <f>IF($C390="","",IFERROR(INDEX(lst_JobName,MATCH($C390,lst_Jobs,0)),""))</f>
        <v/>
      </c>
      <c r="G390" s="10">
        <f>IF($BI390="","",IF($B390="Onsite",INDEX(tbl_Onsite[Job Description],$BI390),IF($B390="Production",INDEX(tbl_Production[Job Description],$BI390),INDEX(tbl_Consulting[Job Description],$BI390)))&amp;"")</f>
        <v/>
      </c>
      <c r="H390" s="10">
        <f>IF($BI390="","",IF($B390="Onsite",INDEX(tbl_Onsite[Cost Centre],$BI390),IF($B390="Production",INDEX(tbl_Production[Cost Centre],$BI390),INDEX(tbl_Consulting[Cost Centre],$BI390)))&amp;"")</f>
        <v/>
      </c>
      <c r="I390" s="10">
        <f>IF($BI390="","",IF($B390="Onsite",INDEX(tbl_Onsite[Invoice Type],$BI390),IF($B390="Production",INDEX(tbl_Production[Invoice Type],$BI390),INDEX(tbl_Consulting[Invoice Type],$BI390)))&amp;"")</f>
        <v/>
      </c>
      <c r="J390" s="10">
        <f>IF($BI390="","",IF($B390="Onsite",INDEX(tbl_Onsite[Tax Code],$BI390),IF($B390="Production",INDEX(tbl_Production[Tax Code],$BI390),INDEX(tbl_Consulting[Tax Code],$BI390)))&amp;"")</f>
        <v/>
      </c>
      <c r="K390" s="10">
        <f>IF(H390="","",IFERROR(INDEX(lst_CCtoGL,MATCH(H390,lst_CCforGL,0)),""))</f>
        <v/>
      </c>
      <c r="L390" s="10">
        <f>IF($BI390="","",IF($B390="Onsite",INDEX(tbl_Onsite[PO / Reference],$BI390),IF($B390="Production",INDEX(tbl_Production[Current RMS No],$BI390),INDEX(tbl_Consulting[Qwilr Quote],$BI390)))&amp;"")</f>
        <v/>
      </c>
      <c r="M390" s="10">
        <f>IF($BI390="","",IF($B390="Onsite",INDEX(tbl_Onsite[Notes],$BI390),IF($B390="Production",INDEX(tbl_Production[Notes],$BI390),INDEX(tbl_Consulting[Notes],$BI390)))&amp;"")</f>
        <v/>
      </c>
      <c r="N390" s="11">
        <f>IF($BI390="","",IF(IF($B390="Onsite",INDEX(tbl_Onsite[Expected Revenue Ex GST],$BI390),IF($B390="Production",INDEX(tbl_Production[Expected Revenue Ex GST],$BI390),INDEX(tbl_Consulting[Expected Revenue Ex GST],$BI390)))="","",IF($B390="Onsite",INDEX(tbl_Onsite[Expected Revenue Ex GST],$BI390),IF($B390="Production",INDEX(tbl_Production[Expected Revenue Ex GST],$BI390),INDEX(tbl_Consulting[Expected Revenue Ex GST],$BI390)))))</f>
        <v/>
      </c>
      <c r="O390" s="11">
        <f>IF(AND($C390="",NOT(COUNTA($S390:$BB390)&gt;0)),"",SUM(U390,X390,AA390,AD390,AG390,AJ390,AM390,AP390,AS390,AV390,AY390,BB390))</f>
        <v/>
      </c>
      <c r="P390" s="11">
        <f>IF(O390="","",N(N390)-O390)</f>
        <v/>
      </c>
      <c r="Q390" s="10">
        <f>IF(O390="","",IF($C390="","Invoice on empty job row",IF(N390="",IF(ROUND(O390,2)=0,"No dept value","Invoiced - no dept value"),IF(ROUND(O390,2)=0,"Not invoiced - to invoice",IF(ROUND(P390,2)=0,"Agrees",IF(P390&gt;0,"Dept higher - to invoice","Xero higher - check dept"))))))</f>
        <v/>
      </c>
      <c r="R390" s="10">
        <f>IF(AND($C390="",NOT(COUNTA($S390:$BB390)&gt;0),$BI390&lt;&gt;""),"",MID(IF($BI390="","; Row ID not found on the department sheet - a row was deleted","")&amp;IF(AND($C390="",COUNTA($S390:$BB390)&gt;0),"; Invoice entered but the department row has no job number","")&amp;IF(E390="CHECK","; Job number not in the Xero job list","")&amp;IF(AND($C390&lt;&gt;"",COUNTIF($C$7:$C$1506,$C390)&gt;1),"; Job number on more than one row","")&amp;IF(AND($C390&lt;&gt;"",H390=""),"; Dept has not set a cost centre","")&amp;IF(AND($C390&lt;&gt;"",J390=""),"; Dept has not set a tax code","")&amp;IF(AND($C390&lt;&gt;"",N390=""),"; Dept has not entered an expected value","")&amp;IF((IF(OR(COUNTA(S390:U390)=0,AND(COUNTA(S390:U390)=3,ISNUMBER(U390))),0,1)+IF(OR(COUNTA(V390:X390)=0,AND(COUNTA(V390:X390)=3,ISNUMBER(X390))),0,1)+IF(OR(COUNTA(Y390:AA390)=0,AND(COUNTA(Y390:AA390)=3,ISNUMBER(AA390))),0,1)+IF(OR(COUNTA(AB390:AD390)=0,AND(COUNTA(AB390:AD390)=3,ISNUMBER(AD390))),0,1)+IF(OR(COUNTA(AE390:AG390)=0,AND(COUNTA(AE390:AG390)=3,ISNUMBER(AG390))),0,1)+IF(OR(COUNTA(AH390:AJ390)=0,AND(COUNTA(AH390:AJ390)=3,ISNUMBER(AJ390))),0,1)+IF(OR(COUNTA(AK390:AM390)=0,AND(COUNTA(AK390:AM390)=3,ISNUMBER(AM390))),0,1)+IF(OR(COUNTA(AN390:AP390)=0,AND(COUNTA(AN390:AP390)=3,ISNUMBER(AP390))),0,1)+IF(OR(COUNTA(AQ390:AS390)=0,AND(COUNTA(AQ390:AS390)=3,ISNUMBER(AS390))),0,1)+IF(OR(COUNTA(AT390:AV390)=0,AND(COUNTA(AT390:AV390)=3,ISNUMBER(AV390))),0,1)+IF(OR(COUNTA(AW390:AY390)=0,AND(COUNTA(AW390:AY390)=3,ISNUMBER(AY390))),0,1)+IF(OR(COUNTA(AZ390:BB390)=0,AND(COUNTA(AZ390:BB390)=3,ISNUMBER(BB390))),0,1))&gt;0,"; An invoice is incomplete (needs No, Date and a number in Ex GST)","")&amp;IF((IF(T390="",0,IFERROR(--(EOMONTH(T390,0)&lt;&gt;S$5),1))+IF(W390="",0,IFERROR(--(EOMONTH(W390,0)&lt;&gt;V$5),1))+IF(Z390="",0,IFERROR(--(EOMONTH(Z390,0)&lt;&gt;Y$5),1))+IF(AC390="",0,IFERROR(--(EOMONTH(AC390,0)&lt;&gt;AB$5),1))+IF(AF390="",0,IFERROR(--(EOMONTH(AF390,0)&lt;&gt;AE$5),1))+IF(AI390="",0,IFERROR(--(EOMONTH(AI390,0)&lt;&gt;AH$5),1))+IF(AL390="",0,IFERROR(--(EOMONTH(AL390,0)&lt;&gt;AK$5),1))+IF(AO390="",0,IFERROR(--(EOMONTH(AO390,0)&lt;&gt;AN$5),1))+IF(AR390="",0,IFERROR(--(EOMONTH(AR390,0)&lt;&gt;AQ$5),1))+IF(AU390="",0,IFERROR(--(EOMONTH(AU390,0)&lt;&gt;AT$5),1))+IF(AX390="",0,IFERROR(--(EOMONTH(AX390,0)&lt;&gt;AW$5),1))+IF(BA390="",0,IFERROR(--(EOMONTH(BA390,0)&lt;&gt;AZ$5),1)))&gt;0,"; An invoice date is not in the month it is typed under",""),3,500))</f>
        <v/>
      </c>
      <c r="S390" s="12" t="n"/>
      <c r="T390" s="13" t="n"/>
      <c r="U390" s="14" t="n"/>
      <c r="V390" s="12" t="n"/>
      <c r="W390" s="13" t="n"/>
      <c r="X390" s="14" t="n"/>
      <c r="Y390" s="12" t="n"/>
      <c r="Z390" s="13" t="n"/>
      <c r="AA390" s="14" t="n"/>
      <c r="AB390" s="12" t="n"/>
      <c r="AC390" s="13" t="n"/>
      <c r="AD390" s="14" t="n"/>
      <c r="AE390" s="12" t="n"/>
      <c r="AF390" s="13" t="n"/>
      <c r="AG390" s="14" t="n"/>
      <c r="AH390" s="12" t="n"/>
      <c r="AI390" s="13" t="n"/>
      <c r="AJ390" s="14" t="n"/>
      <c r="AK390" s="12" t="n"/>
      <c r="AL390" s="13" t="n"/>
      <c r="AM390" s="14" t="n"/>
      <c r="AN390" s="12" t="n"/>
      <c r="AO390" s="13" t="n"/>
      <c r="AP390" s="14" t="n"/>
      <c r="AQ390" s="12" t="n"/>
      <c r="AR390" s="13" t="n"/>
      <c r="AS390" s="14" t="n"/>
      <c r="AT390" s="12" t="n"/>
      <c r="AU390" s="13" t="n"/>
      <c r="AV390" s="14" t="n"/>
      <c r="AW390" s="12" t="n"/>
      <c r="AX390" s="13" t="n"/>
      <c r="AY390" s="14" t="n"/>
      <c r="AZ390" s="12" t="n"/>
      <c r="BA390" s="13" t="n"/>
      <c r="BB390" s="14" t="n"/>
      <c r="BC390" s="11">
        <f>IF(O390="","",IF(J390="GST 10%",ROUND(O390*set_GSTRate,2),0))</f>
        <v/>
      </c>
      <c r="BD390" s="11">
        <f>IF(O390="","",O390+BC390)</f>
        <v/>
      </c>
      <c r="BE390" s="15">
        <f>IF(O390="","",COUNTA(S390,V390,Y390,AB390,AE390,AH390,AK390,AN390,AQ390,AT390,AW390,AZ390))</f>
        <v/>
      </c>
      <c r="BF390" s="16">
        <f>IF(COUNT(T390,W390,Z390,AC390,AF390,AI390,AL390,AO390,AR390,AU390,AX390,BA390)=0,"",MAX(T390,W390,Z390,AC390,AF390,AI390,AL390,AO390,AR390,AU390,AX390,BA390))</f>
        <v/>
      </c>
      <c r="BG390" s="10">
        <f>MID(IF(S390="","",", "&amp;S390)&amp;IF(V390="","",", "&amp;V390)&amp;IF(Y390="","",", "&amp;Y390)&amp;IF(AB390="","",", "&amp;AB390)&amp;IF(AE390="","",", "&amp;AE390)&amp;IF(AH390="","",", "&amp;AH390)&amp;IF(AK390="","",", "&amp;AK390)&amp;IF(AN390="","",", "&amp;AN390)&amp;IF(AQ390="","",", "&amp;AQ390)&amp;IF(AT390="","",", "&amp;AT390)&amp;IF(AW390="","",", "&amp;AW390)&amp;IF(AZ390="","",", "&amp;AZ390),3,500)</f>
        <v/>
      </c>
      <c r="BH390" s="12" t="n"/>
      <c r="BI390" s="15">
        <f>IFERROR(MATCH($A390,IF($B390="Onsite",tbl_Onsite[Row ID],IF($B390="Production",tbl_Production[Row ID],tbl_Consulting[Row ID])),0),"")</f>
        <v/>
      </c>
    </row>
    <row r="391">
      <c r="A391" s="10" t="inlineStr">
        <is>
          <t>ONS-0385</t>
        </is>
      </c>
      <c r="B391" s="10" t="inlineStr">
        <is>
          <t>Onsite</t>
        </is>
      </c>
      <c r="C391" s="10">
        <f>IF($BI391="","",IF($B391="Onsite",INDEX(tbl_Onsite[Job Number],$BI391),IF($B391="Production",INDEX(tbl_Production[Job Number],$BI391),INDEX(tbl_Consulting[Job Number],$BI391)))&amp;"")</f>
        <v/>
      </c>
      <c r="D391" s="10">
        <f>IF($BI391="","",IF($B391="Onsite",INDEX(tbl_Onsite[Client],$BI391),IF($B391="Production",INDEX(tbl_Production[Client],$BI391),INDEX(tbl_Consulting[Client],$BI391)))&amp;"")</f>
        <v/>
      </c>
      <c r="E391" s="10">
        <f>IF($C391="","",IF(COUNTIF(lst_Jobs,$C391)&gt;0,"OK","CHECK"))</f>
        <v/>
      </c>
      <c r="F391" s="10">
        <f>IF($C391="","",IFERROR(INDEX(lst_JobName,MATCH($C391,lst_Jobs,0)),""))</f>
        <v/>
      </c>
      <c r="G391" s="10">
        <f>IF($BI391="","",IF($B391="Onsite",INDEX(tbl_Onsite[Job Description],$BI391),IF($B391="Production",INDEX(tbl_Production[Job Description],$BI391),INDEX(tbl_Consulting[Job Description],$BI391)))&amp;"")</f>
        <v/>
      </c>
      <c r="H391" s="10">
        <f>IF($BI391="","",IF($B391="Onsite",INDEX(tbl_Onsite[Cost Centre],$BI391),IF($B391="Production",INDEX(tbl_Production[Cost Centre],$BI391),INDEX(tbl_Consulting[Cost Centre],$BI391)))&amp;"")</f>
        <v/>
      </c>
      <c r="I391" s="10">
        <f>IF($BI391="","",IF($B391="Onsite",INDEX(tbl_Onsite[Invoice Type],$BI391),IF($B391="Production",INDEX(tbl_Production[Invoice Type],$BI391),INDEX(tbl_Consulting[Invoice Type],$BI391)))&amp;"")</f>
        <v/>
      </c>
      <c r="J391" s="10">
        <f>IF($BI391="","",IF($B391="Onsite",INDEX(tbl_Onsite[Tax Code],$BI391),IF($B391="Production",INDEX(tbl_Production[Tax Code],$BI391),INDEX(tbl_Consulting[Tax Code],$BI391)))&amp;"")</f>
        <v/>
      </c>
      <c r="K391" s="10">
        <f>IF(H391="","",IFERROR(INDEX(lst_CCtoGL,MATCH(H391,lst_CCforGL,0)),""))</f>
        <v/>
      </c>
      <c r="L391" s="10">
        <f>IF($BI391="","",IF($B391="Onsite",INDEX(tbl_Onsite[PO / Reference],$BI391),IF($B391="Production",INDEX(tbl_Production[Current RMS No],$BI391),INDEX(tbl_Consulting[Qwilr Quote],$BI391)))&amp;"")</f>
        <v/>
      </c>
      <c r="M391" s="10">
        <f>IF($BI391="","",IF($B391="Onsite",INDEX(tbl_Onsite[Notes],$BI391),IF($B391="Production",INDEX(tbl_Production[Notes],$BI391),INDEX(tbl_Consulting[Notes],$BI391)))&amp;"")</f>
        <v/>
      </c>
      <c r="N391" s="11">
        <f>IF($BI391="","",IF(IF($B391="Onsite",INDEX(tbl_Onsite[Expected Revenue Ex GST],$BI391),IF($B391="Production",INDEX(tbl_Production[Expected Revenue Ex GST],$BI391),INDEX(tbl_Consulting[Expected Revenue Ex GST],$BI391)))="","",IF($B391="Onsite",INDEX(tbl_Onsite[Expected Revenue Ex GST],$BI391),IF($B391="Production",INDEX(tbl_Production[Expected Revenue Ex GST],$BI391),INDEX(tbl_Consulting[Expected Revenue Ex GST],$BI391)))))</f>
        <v/>
      </c>
      <c r="O391" s="11">
        <f>IF(AND($C391="",NOT(COUNTA($S391:$BB391)&gt;0)),"",SUM(U391,X391,AA391,AD391,AG391,AJ391,AM391,AP391,AS391,AV391,AY391,BB391))</f>
        <v/>
      </c>
      <c r="P391" s="11">
        <f>IF(O391="","",N(N391)-O391)</f>
        <v/>
      </c>
      <c r="Q391" s="10">
        <f>IF(O391="","",IF($C391="","Invoice on empty job row",IF(N391="",IF(ROUND(O391,2)=0,"No dept value","Invoiced - no dept value"),IF(ROUND(O391,2)=0,"Not invoiced - to invoice",IF(ROUND(P391,2)=0,"Agrees",IF(P391&gt;0,"Dept higher - to invoice","Xero higher - check dept"))))))</f>
        <v/>
      </c>
      <c r="R391" s="10">
        <f>IF(AND($C391="",NOT(COUNTA($S391:$BB391)&gt;0),$BI391&lt;&gt;""),"",MID(IF($BI391="","; Row ID not found on the department sheet - a row was deleted","")&amp;IF(AND($C391="",COUNTA($S391:$BB391)&gt;0),"; Invoice entered but the department row has no job number","")&amp;IF(E391="CHECK","; Job number not in the Xero job list","")&amp;IF(AND($C391&lt;&gt;"",COUNTIF($C$7:$C$1506,$C391)&gt;1),"; Job number on more than one row","")&amp;IF(AND($C391&lt;&gt;"",H391=""),"; Dept has not set a cost centre","")&amp;IF(AND($C391&lt;&gt;"",J391=""),"; Dept has not set a tax code","")&amp;IF(AND($C391&lt;&gt;"",N391=""),"; Dept has not entered an expected value","")&amp;IF((IF(OR(COUNTA(S391:U391)=0,AND(COUNTA(S391:U391)=3,ISNUMBER(U391))),0,1)+IF(OR(COUNTA(V391:X391)=0,AND(COUNTA(V391:X391)=3,ISNUMBER(X391))),0,1)+IF(OR(COUNTA(Y391:AA391)=0,AND(COUNTA(Y391:AA391)=3,ISNUMBER(AA391))),0,1)+IF(OR(COUNTA(AB391:AD391)=0,AND(COUNTA(AB391:AD391)=3,ISNUMBER(AD391))),0,1)+IF(OR(COUNTA(AE391:AG391)=0,AND(COUNTA(AE391:AG391)=3,ISNUMBER(AG391))),0,1)+IF(OR(COUNTA(AH391:AJ391)=0,AND(COUNTA(AH391:AJ391)=3,ISNUMBER(AJ391))),0,1)+IF(OR(COUNTA(AK391:AM391)=0,AND(COUNTA(AK391:AM391)=3,ISNUMBER(AM391))),0,1)+IF(OR(COUNTA(AN391:AP391)=0,AND(COUNTA(AN391:AP391)=3,ISNUMBER(AP391))),0,1)+IF(OR(COUNTA(AQ391:AS391)=0,AND(COUNTA(AQ391:AS391)=3,ISNUMBER(AS391))),0,1)+IF(OR(COUNTA(AT391:AV391)=0,AND(COUNTA(AT391:AV391)=3,ISNUMBER(AV391))),0,1)+IF(OR(COUNTA(AW391:AY391)=0,AND(COUNTA(AW391:AY391)=3,ISNUMBER(AY391))),0,1)+IF(OR(COUNTA(AZ391:BB391)=0,AND(COUNTA(AZ391:BB391)=3,ISNUMBER(BB391))),0,1))&gt;0,"; An invoice is incomplete (needs No, Date and a number in Ex GST)","")&amp;IF((IF(T391="",0,IFERROR(--(EOMONTH(T391,0)&lt;&gt;S$5),1))+IF(W391="",0,IFERROR(--(EOMONTH(W391,0)&lt;&gt;V$5),1))+IF(Z391="",0,IFERROR(--(EOMONTH(Z391,0)&lt;&gt;Y$5),1))+IF(AC391="",0,IFERROR(--(EOMONTH(AC391,0)&lt;&gt;AB$5),1))+IF(AF391="",0,IFERROR(--(EOMONTH(AF391,0)&lt;&gt;AE$5),1))+IF(AI391="",0,IFERROR(--(EOMONTH(AI391,0)&lt;&gt;AH$5),1))+IF(AL391="",0,IFERROR(--(EOMONTH(AL391,0)&lt;&gt;AK$5),1))+IF(AO391="",0,IFERROR(--(EOMONTH(AO391,0)&lt;&gt;AN$5),1))+IF(AR391="",0,IFERROR(--(EOMONTH(AR391,0)&lt;&gt;AQ$5),1))+IF(AU391="",0,IFERROR(--(EOMONTH(AU391,0)&lt;&gt;AT$5),1))+IF(AX391="",0,IFERROR(--(EOMONTH(AX391,0)&lt;&gt;AW$5),1))+IF(BA391="",0,IFERROR(--(EOMONTH(BA391,0)&lt;&gt;AZ$5),1)))&gt;0,"; An invoice date is not in the month it is typed under",""),3,500))</f>
        <v/>
      </c>
      <c r="S391" s="12" t="n"/>
      <c r="T391" s="13" t="n"/>
      <c r="U391" s="14" t="n"/>
      <c r="V391" s="12" t="n"/>
      <c r="W391" s="13" t="n"/>
      <c r="X391" s="14" t="n"/>
      <c r="Y391" s="12" t="n"/>
      <c r="Z391" s="13" t="n"/>
      <c r="AA391" s="14" t="n"/>
      <c r="AB391" s="12" t="n"/>
      <c r="AC391" s="13" t="n"/>
      <c r="AD391" s="14" t="n"/>
      <c r="AE391" s="12" t="n"/>
      <c r="AF391" s="13" t="n"/>
      <c r="AG391" s="14" t="n"/>
      <c r="AH391" s="12" t="n"/>
      <c r="AI391" s="13" t="n"/>
      <c r="AJ391" s="14" t="n"/>
      <c r="AK391" s="12" t="n"/>
      <c r="AL391" s="13" t="n"/>
      <c r="AM391" s="14" t="n"/>
      <c r="AN391" s="12" t="n"/>
      <c r="AO391" s="13" t="n"/>
      <c r="AP391" s="14" t="n"/>
      <c r="AQ391" s="12" t="n"/>
      <c r="AR391" s="13" t="n"/>
      <c r="AS391" s="14" t="n"/>
      <c r="AT391" s="12" t="n"/>
      <c r="AU391" s="13" t="n"/>
      <c r="AV391" s="14" t="n"/>
      <c r="AW391" s="12" t="n"/>
      <c r="AX391" s="13" t="n"/>
      <c r="AY391" s="14" t="n"/>
      <c r="AZ391" s="12" t="n"/>
      <c r="BA391" s="13" t="n"/>
      <c r="BB391" s="14" t="n"/>
      <c r="BC391" s="11">
        <f>IF(O391="","",IF(J391="GST 10%",ROUND(O391*set_GSTRate,2),0))</f>
        <v/>
      </c>
      <c r="BD391" s="11">
        <f>IF(O391="","",O391+BC391)</f>
        <v/>
      </c>
      <c r="BE391" s="15">
        <f>IF(O391="","",COUNTA(S391,V391,Y391,AB391,AE391,AH391,AK391,AN391,AQ391,AT391,AW391,AZ391))</f>
        <v/>
      </c>
      <c r="BF391" s="16">
        <f>IF(COUNT(T391,W391,Z391,AC391,AF391,AI391,AL391,AO391,AR391,AU391,AX391,BA391)=0,"",MAX(T391,W391,Z391,AC391,AF391,AI391,AL391,AO391,AR391,AU391,AX391,BA391))</f>
        <v/>
      </c>
      <c r="BG391" s="10">
        <f>MID(IF(S391="","",", "&amp;S391)&amp;IF(V391="","",", "&amp;V391)&amp;IF(Y391="","",", "&amp;Y391)&amp;IF(AB391="","",", "&amp;AB391)&amp;IF(AE391="","",", "&amp;AE391)&amp;IF(AH391="","",", "&amp;AH391)&amp;IF(AK391="","",", "&amp;AK391)&amp;IF(AN391="","",", "&amp;AN391)&amp;IF(AQ391="","",", "&amp;AQ391)&amp;IF(AT391="","",", "&amp;AT391)&amp;IF(AW391="","",", "&amp;AW391)&amp;IF(AZ391="","",", "&amp;AZ391),3,500)</f>
        <v/>
      </c>
      <c r="BH391" s="12" t="n"/>
      <c r="BI391" s="15">
        <f>IFERROR(MATCH($A391,IF($B391="Onsite",tbl_Onsite[Row ID],IF($B391="Production",tbl_Production[Row ID],tbl_Consulting[Row ID])),0),"")</f>
        <v/>
      </c>
    </row>
    <row r="392">
      <c r="A392" s="10" t="inlineStr">
        <is>
          <t>ONS-0386</t>
        </is>
      </c>
      <c r="B392" s="10" t="inlineStr">
        <is>
          <t>Onsite</t>
        </is>
      </c>
      <c r="C392" s="10">
        <f>IF($BI392="","",IF($B392="Onsite",INDEX(tbl_Onsite[Job Number],$BI392),IF($B392="Production",INDEX(tbl_Production[Job Number],$BI392),INDEX(tbl_Consulting[Job Number],$BI392)))&amp;"")</f>
        <v/>
      </c>
      <c r="D392" s="10">
        <f>IF($BI392="","",IF($B392="Onsite",INDEX(tbl_Onsite[Client],$BI392),IF($B392="Production",INDEX(tbl_Production[Client],$BI392),INDEX(tbl_Consulting[Client],$BI392)))&amp;"")</f>
        <v/>
      </c>
      <c r="E392" s="10">
        <f>IF($C392="","",IF(COUNTIF(lst_Jobs,$C392)&gt;0,"OK","CHECK"))</f>
        <v/>
      </c>
      <c r="F392" s="10">
        <f>IF($C392="","",IFERROR(INDEX(lst_JobName,MATCH($C392,lst_Jobs,0)),""))</f>
        <v/>
      </c>
      <c r="G392" s="10">
        <f>IF($BI392="","",IF($B392="Onsite",INDEX(tbl_Onsite[Job Description],$BI392),IF($B392="Production",INDEX(tbl_Production[Job Description],$BI392),INDEX(tbl_Consulting[Job Description],$BI392)))&amp;"")</f>
        <v/>
      </c>
      <c r="H392" s="10">
        <f>IF($BI392="","",IF($B392="Onsite",INDEX(tbl_Onsite[Cost Centre],$BI392),IF($B392="Production",INDEX(tbl_Production[Cost Centre],$BI392),INDEX(tbl_Consulting[Cost Centre],$BI392)))&amp;"")</f>
        <v/>
      </c>
      <c r="I392" s="10">
        <f>IF($BI392="","",IF($B392="Onsite",INDEX(tbl_Onsite[Invoice Type],$BI392),IF($B392="Production",INDEX(tbl_Production[Invoice Type],$BI392),INDEX(tbl_Consulting[Invoice Type],$BI392)))&amp;"")</f>
        <v/>
      </c>
      <c r="J392" s="10">
        <f>IF($BI392="","",IF($B392="Onsite",INDEX(tbl_Onsite[Tax Code],$BI392),IF($B392="Production",INDEX(tbl_Production[Tax Code],$BI392),INDEX(tbl_Consulting[Tax Code],$BI392)))&amp;"")</f>
        <v/>
      </c>
      <c r="K392" s="10">
        <f>IF(H392="","",IFERROR(INDEX(lst_CCtoGL,MATCH(H392,lst_CCforGL,0)),""))</f>
        <v/>
      </c>
      <c r="L392" s="10">
        <f>IF($BI392="","",IF($B392="Onsite",INDEX(tbl_Onsite[PO / Reference],$BI392),IF($B392="Production",INDEX(tbl_Production[Current RMS No],$BI392),INDEX(tbl_Consulting[Qwilr Quote],$BI392)))&amp;"")</f>
        <v/>
      </c>
      <c r="M392" s="10">
        <f>IF($BI392="","",IF($B392="Onsite",INDEX(tbl_Onsite[Notes],$BI392),IF($B392="Production",INDEX(tbl_Production[Notes],$BI392),INDEX(tbl_Consulting[Notes],$BI392)))&amp;"")</f>
        <v/>
      </c>
      <c r="N392" s="11">
        <f>IF($BI392="","",IF(IF($B392="Onsite",INDEX(tbl_Onsite[Expected Revenue Ex GST],$BI392),IF($B392="Production",INDEX(tbl_Production[Expected Revenue Ex GST],$BI392),INDEX(tbl_Consulting[Expected Revenue Ex GST],$BI392)))="","",IF($B392="Onsite",INDEX(tbl_Onsite[Expected Revenue Ex GST],$BI392),IF($B392="Production",INDEX(tbl_Production[Expected Revenue Ex GST],$BI392),INDEX(tbl_Consulting[Expected Revenue Ex GST],$BI392)))))</f>
        <v/>
      </c>
      <c r="O392" s="11">
        <f>IF(AND($C392="",NOT(COUNTA($S392:$BB392)&gt;0)),"",SUM(U392,X392,AA392,AD392,AG392,AJ392,AM392,AP392,AS392,AV392,AY392,BB392))</f>
        <v/>
      </c>
      <c r="P392" s="11">
        <f>IF(O392="","",N(N392)-O392)</f>
        <v/>
      </c>
      <c r="Q392" s="10">
        <f>IF(O392="","",IF($C392="","Invoice on empty job row",IF(N392="",IF(ROUND(O392,2)=0,"No dept value","Invoiced - no dept value"),IF(ROUND(O392,2)=0,"Not invoiced - to invoice",IF(ROUND(P392,2)=0,"Agrees",IF(P392&gt;0,"Dept higher - to invoice","Xero higher - check dept"))))))</f>
        <v/>
      </c>
      <c r="R392" s="10">
        <f>IF(AND($C392="",NOT(COUNTA($S392:$BB392)&gt;0),$BI392&lt;&gt;""),"",MID(IF($BI392="","; Row ID not found on the department sheet - a row was deleted","")&amp;IF(AND($C392="",COUNTA($S392:$BB392)&gt;0),"; Invoice entered but the department row has no job number","")&amp;IF(E392="CHECK","; Job number not in the Xero job list","")&amp;IF(AND($C392&lt;&gt;"",COUNTIF($C$7:$C$1506,$C392)&gt;1),"; Job number on more than one row","")&amp;IF(AND($C392&lt;&gt;"",H392=""),"; Dept has not set a cost centre","")&amp;IF(AND($C392&lt;&gt;"",J392=""),"; Dept has not set a tax code","")&amp;IF(AND($C392&lt;&gt;"",N392=""),"; Dept has not entered an expected value","")&amp;IF((IF(OR(COUNTA(S392:U392)=0,AND(COUNTA(S392:U392)=3,ISNUMBER(U392))),0,1)+IF(OR(COUNTA(V392:X392)=0,AND(COUNTA(V392:X392)=3,ISNUMBER(X392))),0,1)+IF(OR(COUNTA(Y392:AA392)=0,AND(COUNTA(Y392:AA392)=3,ISNUMBER(AA392))),0,1)+IF(OR(COUNTA(AB392:AD392)=0,AND(COUNTA(AB392:AD392)=3,ISNUMBER(AD392))),0,1)+IF(OR(COUNTA(AE392:AG392)=0,AND(COUNTA(AE392:AG392)=3,ISNUMBER(AG392))),0,1)+IF(OR(COUNTA(AH392:AJ392)=0,AND(COUNTA(AH392:AJ392)=3,ISNUMBER(AJ392))),0,1)+IF(OR(COUNTA(AK392:AM392)=0,AND(COUNTA(AK392:AM392)=3,ISNUMBER(AM392))),0,1)+IF(OR(COUNTA(AN392:AP392)=0,AND(COUNTA(AN392:AP392)=3,ISNUMBER(AP392))),0,1)+IF(OR(COUNTA(AQ392:AS392)=0,AND(COUNTA(AQ392:AS392)=3,ISNUMBER(AS392))),0,1)+IF(OR(COUNTA(AT392:AV392)=0,AND(COUNTA(AT392:AV392)=3,ISNUMBER(AV392))),0,1)+IF(OR(COUNTA(AW392:AY392)=0,AND(COUNTA(AW392:AY392)=3,ISNUMBER(AY392))),0,1)+IF(OR(COUNTA(AZ392:BB392)=0,AND(COUNTA(AZ392:BB392)=3,ISNUMBER(BB392))),0,1))&gt;0,"; An invoice is incomplete (needs No, Date and a number in Ex GST)","")&amp;IF((IF(T392="",0,IFERROR(--(EOMONTH(T392,0)&lt;&gt;S$5),1))+IF(W392="",0,IFERROR(--(EOMONTH(W392,0)&lt;&gt;V$5),1))+IF(Z392="",0,IFERROR(--(EOMONTH(Z392,0)&lt;&gt;Y$5),1))+IF(AC392="",0,IFERROR(--(EOMONTH(AC392,0)&lt;&gt;AB$5),1))+IF(AF392="",0,IFERROR(--(EOMONTH(AF392,0)&lt;&gt;AE$5),1))+IF(AI392="",0,IFERROR(--(EOMONTH(AI392,0)&lt;&gt;AH$5),1))+IF(AL392="",0,IFERROR(--(EOMONTH(AL392,0)&lt;&gt;AK$5),1))+IF(AO392="",0,IFERROR(--(EOMONTH(AO392,0)&lt;&gt;AN$5),1))+IF(AR392="",0,IFERROR(--(EOMONTH(AR392,0)&lt;&gt;AQ$5),1))+IF(AU392="",0,IFERROR(--(EOMONTH(AU392,0)&lt;&gt;AT$5),1))+IF(AX392="",0,IFERROR(--(EOMONTH(AX392,0)&lt;&gt;AW$5),1))+IF(BA392="",0,IFERROR(--(EOMONTH(BA392,0)&lt;&gt;AZ$5),1)))&gt;0,"; An invoice date is not in the month it is typed under",""),3,500))</f>
        <v/>
      </c>
      <c r="S392" s="12" t="n"/>
      <c r="T392" s="13" t="n"/>
      <c r="U392" s="14" t="n"/>
      <c r="V392" s="12" t="n"/>
      <c r="W392" s="13" t="n"/>
      <c r="X392" s="14" t="n"/>
      <c r="Y392" s="12" t="n"/>
      <c r="Z392" s="13" t="n"/>
      <c r="AA392" s="14" t="n"/>
      <c r="AB392" s="12" t="n"/>
      <c r="AC392" s="13" t="n"/>
      <c r="AD392" s="14" t="n"/>
      <c r="AE392" s="12" t="n"/>
      <c r="AF392" s="13" t="n"/>
      <c r="AG392" s="14" t="n"/>
      <c r="AH392" s="12" t="n"/>
      <c r="AI392" s="13" t="n"/>
      <c r="AJ392" s="14" t="n"/>
      <c r="AK392" s="12" t="n"/>
      <c r="AL392" s="13" t="n"/>
      <c r="AM392" s="14" t="n"/>
      <c r="AN392" s="12" t="n"/>
      <c r="AO392" s="13" t="n"/>
      <c r="AP392" s="14" t="n"/>
      <c r="AQ392" s="12" t="n"/>
      <c r="AR392" s="13" t="n"/>
      <c r="AS392" s="14" t="n"/>
      <c r="AT392" s="12" t="n"/>
      <c r="AU392" s="13" t="n"/>
      <c r="AV392" s="14" t="n"/>
      <c r="AW392" s="12" t="n"/>
      <c r="AX392" s="13" t="n"/>
      <c r="AY392" s="14" t="n"/>
      <c r="AZ392" s="12" t="n"/>
      <c r="BA392" s="13" t="n"/>
      <c r="BB392" s="14" t="n"/>
      <c r="BC392" s="11">
        <f>IF(O392="","",IF(J392="GST 10%",ROUND(O392*set_GSTRate,2),0))</f>
        <v/>
      </c>
      <c r="BD392" s="11">
        <f>IF(O392="","",O392+BC392)</f>
        <v/>
      </c>
      <c r="BE392" s="15">
        <f>IF(O392="","",COUNTA(S392,V392,Y392,AB392,AE392,AH392,AK392,AN392,AQ392,AT392,AW392,AZ392))</f>
        <v/>
      </c>
      <c r="BF392" s="16">
        <f>IF(COUNT(T392,W392,Z392,AC392,AF392,AI392,AL392,AO392,AR392,AU392,AX392,BA392)=0,"",MAX(T392,W392,Z392,AC392,AF392,AI392,AL392,AO392,AR392,AU392,AX392,BA392))</f>
        <v/>
      </c>
      <c r="BG392" s="10">
        <f>MID(IF(S392="","",", "&amp;S392)&amp;IF(V392="","",", "&amp;V392)&amp;IF(Y392="","",", "&amp;Y392)&amp;IF(AB392="","",", "&amp;AB392)&amp;IF(AE392="","",", "&amp;AE392)&amp;IF(AH392="","",", "&amp;AH392)&amp;IF(AK392="","",", "&amp;AK392)&amp;IF(AN392="","",", "&amp;AN392)&amp;IF(AQ392="","",", "&amp;AQ392)&amp;IF(AT392="","",", "&amp;AT392)&amp;IF(AW392="","",", "&amp;AW392)&amp;IF(AZ392="","",", "&amp;AZ392),3,500)</f>
        <v/>
      </c>
      <c r="BH392" s="12" t="n"/>
      <c r="BI392" s="15">
        <f>IFERROR(MATCH($A392,IF($B392="Onsite",tbl_Onsite[Row ID],IF($B392="Production",tbl_Production[Row ID],tbl_Consulting[Row ID])),0),"")</f>
        <v/>
      </c>
    </row>
    <row r="393">
      <c r="A393" s="10" t="inlineStr">
        <is>
          <t>ONS-0387</t>
        </is>
      </c>
      <c r="B393" s="10" t="inlineStr">
        <is>
          <t>Onsite</t>
        </is>
      </c>
      <c r="C393" s="10">
        <f>IF($BI393="","",IF($B393="Onsite",INDEX(tbl_Onsite[Job Number],$BI393),IF($B393="Production",INDEX(tbl_Production[Job Number],$BI393),INDEX(tbl_Consulting[Job Number],$BI393)))&amp;"")</f>
        <v/>
      </c>
      <c r="D393" s="10">
        <f>IF($BI393="","",IF($B393="Onsite",INDEX(tbl_Onsite[Client],$BI393),IF($B393="Production",INDEX(tbl_Production[Client],$BI393),INDEX(tbl_Consulting[Client],$BI393)))&amp;"")</f>
        <v/>
      </c>
      <c r="E393" s="10">
        <f>IF($C393="","",IF(COUNTIF(lst_Jobs,$C393)&gt;0,"OK","CHECK"))</f>
        <v/>
      </c>
      <c r="F393" s="10">
        <f>IF($C393="","",IFERROR(INDEX(lst_JobName,MATCH($C393,lst_Jobs,0)),""))</f>
        <v/>
      </c>
      <c r="G393" s="10">
        <f>IF($BI393="","",IF($B393="Onsite",INDEX(tbl_Onsite[Job Description],$BI393),IF($B393="Production",INDEX(tbl_Production[Job Description],$BI393),INDEX(tbl_Consulting[Job Description],$BI393)))&amp;"")</f>
        <v/>
      </c>
      <c r="H393" s="10">
        <f>IF($BI393="","",IF($B393="Onsite",INDEX(tbl_Onsite[Cost Centre],$BI393),IF($B393="Production",INDEX(tbl_Production[Cost Centre],$BI393),INDEX(tbl_Consulting[Cost Centre],$BI393)))&amp;"")</f>
        <v/>
      </c>
      <c r="I393" s="10">
        <f>IF($BI393="","",IF($B393="Onsite",INDEX(tbl_Onsite[Invoice Type],$BI393),IF($B393="Production",INDEX(tbl_Production[Invoice Type],$BI393),INDEX(tbl_Consulting[Invoice Type],$BI393)))&amp;"")</f>
        <v/>
      </c>
      <c r="J393" s="10">
        <f>IF($BI393="","",IF($B393="Onsite",INDEX(tbl_Onsite[Tax Code],$BI393),IF($B393="Production",INDEX(tbl_Production[Tax Code],$BI393),INDEX(tbl_Consulting[Tax Code],$BI393)))&amp;"")</f>
        <v/>
      </c>
      <c r="K393" s="10">
        <f>IF(H393="","",IFERROR(INDEX(lst_CCtoGL,MATCH(H393,lst_CCforGL,0)),""))</f>
        <v/>
      </c>
      <c r="L393" s="10">
        <f>IF($BI393="","",IF($B393="Onsite",INDEX(tbl_Onsite[PO / Reference],$BI393),IF($B393="Production",INDEX(tbl_Production[Current RMS No],$BI393),INDEX(tbl_Consulting[Qwilr Quote],$BI393)))&amp;"")</f>
        <v/>
      </c>
      <c r="M393" s="10">
        <f>IF($BI393="","",IF($B393="Onsite",INDEX(tbl_Onsite[Notes],$BI393),IF($B393="Production",INDEX(tbl_Production[Notes],$BI393),INDEX(tbl_Consulting[Notes],$BI393)))&amp;"")</f>
        <v/>
      </c>
      <c r="N393" s="11">
        <f>IF($BI393="","",IF(IF($B393="Onsite",INDEX(tbl_Onsite[Expected Revenue Ex GST],$BI393),IF($B393="Production",INDEX(tbl_Production[Expected Revenue Ex GST],$BI393),INDEX(tbl_Consulting[Expected Revenue Ex GST],$BI393)))="","",IF($B393="Onsite",INDEX(tbl_Onsite[Expected Revenue Ex GST],$BI393),IF($B393="Production",INDEX(tbl_Production[Expected Revenue Ex GST],$BI393),INDEX(tbl_Consulting[Expected Revenue Ex GST],$BI393)))))</f>
        <v/>
      </c>
      <c r="O393" s="11">
        <f>IF(AND($C393="",NOT(COUNTA($S393:$BB393)&gt;0)),"",SUM(U393,X393,AA393,AD393,AG393,AJ393,AM393,AP393,AS393,AV393,AY393,BB393))</f>
        <v/>
      </c>
      <c r="P393" s="11">
        <f>IF(O393="","",N(N393)-O393)</f>
        <v/>
      </c>
      <c r="Q393" s="10">
        <f>IF(O393="","",IF($C393="","Invoice on empty job row",IF(N393="",IF(ROUND(O393,2)=0,"No dept value","Invoiced - no dept value"),IF(ROUND(O393,2)=0,"Not invoiced - to invoice",IF(ROUND(P393,2)=0,"Agrees",IF(P393&gt;0,"Dept higher - to invoice","Xero higher - check dept"))))))</f>
        <v/>
      </c>
      <c r="R393" s="10">
        <f>IF(AND($C393="",NOT(COUNTA($S393:$BB393)&gt;0),$BI393&lt;&gt;""),"",MID(IF($BI393="","; Row ID not found on the department sheet - a row was deleted","")&amp;IF(AND($C393="",COUNTA($S393:$BB393)&gt;0),"; Invoice entered but the department row has no job number","")&amp;IF(E393="CHECK","; Job number not in the Xero job list","")&amp;IF(AND($C393&lt;&gt;"",COUNTIF($C$7:$C$1506,$C393)&gt;1),"; Job number on more than one row","")&amp;IF(AND($C393&lt;&gt;"",H393=""),"; Dept has not set a cost centre","")&amp;IF(AND($C393&lt;&gt;"",J393=""),"; Dept has not set a tax code","")&amp;IF(AND($C393&lt;&gt;"",N393=""),"; Dept has not entered an expected value","")&amp;IF((IF(OR(COUNTA(S393:U393)=0,AND(COUNTA(S393:U393)=3,ISNUMBER(U393))),0,1)+IF(OR(COUNTA(V393:X393)=0,AND(COUNTA(V393:X393)=3,ISNUMBER(X393))),0,1)+IF(OR(COUNTA(Y393:AA393)=0,AND(COUNTA(Y393:AA393)=3,ISNUMBER(AA393))),0,1)+IF(OR(COUNTA(AB393:AD393)=0,AND(COUNTA(AB393:AD393)=3,ISNUMBER(AD393))),0,1)+IF(OR(COUNTA(AE393:AG393)=0,AND(COUNTA(AE393:AG393)=3,ISNUMBER(AG393))),0,1)+IF(OR(COUNTA(AH393:AJ393)=0,AND(COUNTA(AH393:AJ393)=3,ISNUMBER(AJ393))),0,1)+IF(OR(COUNTA(AK393:AM393)=0,AND(COUNTA(AK393:AM393)=3,ISNUMBER(AM393))),0,1)+IF(OR(COUNTA(AN393:AP393)=0,AND(COUNTA(AN393:AP393)=3,ISNUMBER(AP393))),0,1)+IF(OR(COUNTA(AQ393:AS393)=0,AND(COUNTA(AQ393:AS393)=3,ISNUMBER(AS393))),0,1)+IF(OR(COUNTA(AT393:AV393)=0,AND(COUNTA(AT393:AV393)=3,ISNUMBER(AV393))),0,1)+IF(OR(COUNTA(AW393:AY393)=0,AND(COUNTA(AW393:AY393)=3,ISNUMBER(AY393))),0,1)+IF(OR(COUNTA(AZ393:BB393)=0,AND(COUNTA(AZ393:BB393)=3,ISNUMBER(BB393))),0,1))&gt;0,"; An invoice is incomplete (needs No, Date and a number in Ex GST)","")&amp;IF((IF(T393="",0,IFERROR(--(EOMONTH(T393,0)&lt;&gt;S$5),1))+IF(W393="",0,IFERROR(--(EOMONTH(W393,0)&lt;&gt;V$5),1))+IF(Z393="",0,IFERROR(--(EOMONTH(Z393,0)&lt;&gt;Y$5),1))+IF(AC393="",0,IFERROR(--(EOMONTH(AC393,0)&lt;&gt;AB$5),1))+IF(AF393="",0,IFERROR(--(EOMONTH(AF393,0)&lt;&gt;AE$5),1))+IF(AI393="",0,IFERROR(--(EOMONTH(AI393,0)&lt;&gt;AH$5),1))+IF(AL393="",0,IFERROR(--(EOMONTH(AL393,0)&lt;&gt;AK$5),1))+IF(AO393="",0,IFERROR(--(EOMONTH(AO393,0)&lt;&gt;AN$5),1))+IF(AR393="",0,IFERROR(--(EOMONTH(AR393,0)&lt;&gt;AQ$5),1))+IF(AU393="",0,IFERROR(--(EOMONTH(AU393,0)&lt;&gt;AT$5),1))+IF(AX393="",0,IFERROR(--(EOMONTH(AX393,0)&lt;&gt;AW$5),1))+IF(BA393="",0,IFERROR(--(EOMONTH(BA393,0)&lt;&gt;AZ$5),1)))&gt;0,"; An invoice date is not in the month it is typed under",""),3,500))</f>
        <v/>
      </c>
      <c r="S393" s="12" t="n"/>
      <c r="T393" s="13" t="n"/>
      <c r="U393" s="14" t="n"/>
      <c r="V393" s="12" t="n"/>
      <c r="W393" s="13" t="n"/>
      <c r="X393" s="14" t="n"/>
      <c r="Y393" s="12" t="n"/>
      <c r="Z393" s="13" t="n"/>
      <c r="AA393" s="14" t="n"/>
      <c r="AB393" s="12" t="n"/>
      <c r="AC393" s="13" t="n"/>
      <c r="AD393" s="14" t="n"/>
      <c r="AE393" s="12" t="n"/>
      <c r="AF393" s="13" t="n"/>
      <c r="AG393" s="14" t="n"/>
      <c r="AH393" s="12" t="n"/>
      <c r="AI393" s="13" t="n"/>
      <c r="AJ393" s="14" t="n"/>
      <c r="AK393" s="12" t="n"/>
      <c r="AL393" s="13" t="n"/>
      <c r="AM393" s="14" t="n"/>
      <c r="AN393" s="12" t="n"/>
      <c r="AO393" s="13" t="n"/>
      <c r="AP393" s="14" t="n"/>
      <c r="AQ393" s="12" t="n"/>
      <c r="AR393" s="13" t="n"/>
      <c r="AS393" s="14" t="n"/>
      <c r="AT393" s="12" t="n"/>
      <c r="AU393" s="13" t="n"/>
      <c r="AV393" s="14" t="n"/>
      <c r="AW393" s="12" t="n"/>
      <c r="AX393" s="13" t="n"/>
      <c r="AY393" s="14" t="n"/>
      <c r="AZ393" s="12" t="n"/>
      <c r="BA393" s="13" t="n"/>
      <c r="BB393" s="14" t="n"/>
      <c r="BC393" s="11">
        <f>IF(O393="","",IF(J393="GST 10%",ROUND(O393*set_GSTRate,2),0))</f>
        <v/>
      </c>
      <c r="BD393" s="11">
        <f>IF(O393="","",O393+BC393)</f>
        <v/>
      </c>
      <c r="BE393" s="15">
        <f>IF(O393="","",COUNTA(S393,V393,Y393,AB393,AE393,AH393,AK393,AN393,AQ393,AT393,AW393,AZ393))</f>
        <v/>
      </c>
      <c r="BF393" s="16">
        <f>IF(COUNT(T393,W393,Z393,AC393,AF393,AI393,AL393,AO393,AR393,AU393,AX393,BA393)=0,"",MAX(T393,W393,Z393,AC393,AF393,AI393,AL393,AO393,AR393,AU393,AX393,BA393))</f>
        <v/>
      </c>
      <c r="BG393" s="10">
        <f>MID(IF(S393="","",", "&amp;S393)&amp;IF(V393="","",", "&amp;V393)&amp;IF(Y393="","",", "&amp;Y393)&amp;IF(AB393="","",", "&amp;AB393)&amp;IF(AE393="","",", "&amp;AE393)&amp;IF(AH393="","",", "&amp;AH393)&amp;IF(AK393="","",", "&amp;AK393)&amp;IF(AN393="","",", "&amp;AN393)&amp;IF(AQ393="","",", "&amp;AQ393)&amp;IF(AT393="","",", "&amp;AT393)&amp;IF(AW393="","",", "&amp;AW393)&amp;IF(AZ393="","",", "&amp;AZ393),3,500)</f>
        <v/>
      </c>
      <c r="BH393" s="12" t="n"/>
      <c r="BI393" s="15">
        <f>IFERROR(MATCH($A393,IF($B393="Onsite",tbl_Onsite[Row ID],IF($B393="Production",tbl_Production[Row ID],tbl_Consulting[Row ID])),0),"")</f>
        <v/>
      </c>
    </row>
    <row r="394">
      <c r="A394" s="10" t="inlineStr">
        <is>
          <t>ONS-0388</t>
        </is>
      </c>
      <c r="B394" s="10" t="inlineStr">
        <is>
          <t>Onsite</t>
        </is>
      </c>
      <c r="C394" s="10">
        <f>IF($BI394="","",IF($B394="Onsite",INDEX(tbl_Onsite[Job Number],$BI394),IF($B394="Production",INDEX(tbl_Production[Job Number],$BI394),INDEX(tbl_Consulting[Job Number],$BI394)))&amp;"")</f>
        <v/>
      </c>
      <c r="D394" s="10">
        <f>IF($BI394="","",IF($B394="Onsite",INDEX(tbl_Onsite[Client],$BI394),IF($B394="Production",INDEX(tbl_Production[Client],$BI394),INDEX(tbl_Consulting[Client],$BI394)))&amp;"")</f>
        <v/>
      </c>
      <c r="E394" s="10">
        <f>IF($C394="","",IF(COUNTIF(lst_Jobs,$C394)&gt;0,"OK","CHECK"))</f>
        <v/>
      </c>
      <c r="F394" s="10">
        <f>IF($C394="","",IFERROR(INDEX(lst_JobName,MATCH($C394,lst_Jobs,0)),""))</f>
        <v/>
      </c>
      <c r="G394" s="10">
        <f>IF($BI394="","",IF($B394="Onsite",INDEX(tbl_Onsite[Job Description],$BI394),IF($B394="Production",INDEX(tbl_Production[Job Description],$BI394),INDEX(tbl_Consulting[Job Description],$BI394)))&amp;"")</f>
        <v/>
      </c>
      <c r="H394" s="10">
        <f>IF($BI394="","",IF($B394="Onsite",INDEX(tbl_Onsite[Cost Centre],$BI394),IF($B394="Production",INDEX(tbl_Production[Cost Centre],$BI394),INDEX(tbl_Consulting[Cost Centre],$BI394)))&amp;"")</f>
        <v/>
      </c>
      <c r="I394" s="10">
        <f>IF($BI394="","",IF($B394="Onsite",INDEX(tbl_Onsite[Invoice Type],$BI394),IF($B394="Production",INDEX(tbl_Production[Invoice Type],$BI394),INDEX(tbl_Consulting[Invoice Type],$BI394)))&amp;"")</f>
        <v/>
      </c>
      <c r="J394" s="10">
        <f>IF($BI394="","",IF($B394="Onsite",INDEX(tbl_Onsite[Tax Code],$BI394),IF($B394="Production",INDEX(tbl_Production[Tax Code],$BI394),INDEX(tbl_Consulting[Tax Code],$BI394)))&amp;"")</f>
        <v/>
      </c>
      <c r="K394" s="10">
        <f>IF(H394="","",IFERROR(INDEX(lst_CCtoGL,MATCH(H394,lst_CCforGL,0)),""))</f>
        <v/>
      </c>
      <c r="L394" s="10">
        <f>IF($BI394="","",IF($B394="Onsite",INDEX(tbl_Onsite[PO / Reference],$BI394),IF($B394="Production",INDEX(tbl_Production[Current RMS No],$BI394),INDEX(tbl_Consulting[Qwilr Quote],$BI394)))&amp;"")</f>
        <v/>
      </c>
      <c r="M394" s="10">
        <f>IF($BI394="","",IF($B394="Onsite",INDEX(tbl_Onsite[Notes],$BI394),IF($B394="Production",INDEX(tbl_Production[Notes],$BI394),INDEX(tbl_Consulting[Notes],$BI394)))&amp;"")</f>
        <v/>
      </c>
      <c r="N394" s="11">
        <f>IF($BI394="","",IF(IF($B394="Onsite",INDEX(tbl_Onsite[Expected Revenue Ex GST],$BI394),IF($B394="Production",INDEX(tbl_Production[Expected Revenue Ex GST],$BI394),INDEX(tbl_Consulting[Expected Revenue Ex GST],$BI394)))="","",IF($B394="Onsite",INDEX(tbl_Onsite[Expected Revenue Ex GST],$BI394),IF($B394="Production",INDEX(tbl_Production[Expected Revenue Ex GST],$BI394),INDEX(tbl_Consulting[Expected Revenue Ex GST],$BI394)))))</f>
        <v/>
      </c>
      <c r="O394" s="11">
        <f>IF(AND($C394="",NOT(COUNTA($S394:$BB394)&gt;0)),"",SUM(U394,X394,AA394,AD394,AG394,AJ394,AM394,AP394,AS394,AV394,AY394,BB394))</f>
        <v/>
      </c>
      <c r="P394" s="11">
        <f>IF(O394="","",N(N394)-O394)</f>
        <v/>
      </c>
      <c r="Q394" s="10">
        <f>IF(O394="","",IF($C394="","Invoice on empty job row",IF(N394="",IF(ROUND(O394,2)=0,"No dept value","Invoiced - no dept value"),IF(ROUND(O394,2)=0,"Not invoiced - to invoice",IF(ROUND(P394,2)=0,"Agrees",IF(P394&gt;0,"Dept higher - to invoice","Xero higher - check dept"))))))</f>
        <v/>
      </c>
      <c r="R394" s="10">
        <f>IF(AND($C394="",NOT(COUNTA($S394:$BB394)&gt;0),$BI394&lt;&gt;""),"",MID(IF($BI394="","; Row ID not found on the department sheet - a row was deleted","")&amp;IF(AND($C394="",COUNTA($S394:$BB394)&gt;0),"; Invoice entered but the department row has no job number","")&amp;IF(E394="CHECK","; Job number not in the Xero job list","")&amp;IF(AND($C394&lt;&gt;"",COUNTIF($C$7:$C$1506,$C394)&gt;1),"; Job number on more than one row","")&amp;IF(AND($C394&lt;&gt;"",H394=""),"; Dept has not set a cost centre","")&amp;IF(AND($C394&lt;&gt;"",J394=""),"; Dept has not set a tax code","")&amp;IF(AND($C394&lt;&gt;"",N394=""),"; Dept has not entered an expected value","")&amp;IF((IF(OR(COUNTA(S394:U394)=0,AND(COUNTA(S394:U394)=3,ISNUMBER(U394))),0,1)+IF(OR(COUNTA(V394:X394)=0,AND(COUNTA(V394:X394)=3,ISNUMBER(X394))),0,1)+IF(OR(COUNTA(Y394:AA394)=0,AND(COUNTA(Y394:AA394)=3,ISNUMBER(AA394))),0,1)+IF(OR(COUNTA(AB394:AD394)=0,AND(COUNTA(AB394:AD394)=3,ISNUMBER(AD394))),0,1)+IF(OR(COUNTA(AE394:AG394)=0,AND(COUNTA(AE394:AG394)=3,ISNUMBER(AG394))),0,1)+IF(OR(COUNTA(AH394:AJ394)=0,AND(COUNTA(AH394:AJ394)=3,ISNUMBER(AJ394))),0,1)+IF(OR(COUNTA(AK394:AM394)=0,AND(COUNTA(AK394:AM394)=3,ISNUMBER(AM394))),0,1)+IF(OR(COUNTA(AN394:AP394)=0,AND(COUNTA(AN394:AP394)=3,ISNUMBER(AP394))),0,1)+IF(OR(COUNTA(AQ394:AS394)=0,AND(COUNTA(AQ394:AS394)=3,ISNUMBER(AS394))),0,1)+IF(OR(COUNTA(AT394:AV394)=0,AND(COUNTA(AT394:AV394)=3,ISNUMBER(AV394))),0,1)+IF(OR(COUNTA(AW394:AY394)=0,AND(COUNTA(AW394:AY394)=3,ISNUMBER(AY394))),0,1)+IF(OR(COUNTA(AZ394:BB394)=0,AND(COUNTA(AZ394:BB394)=3,ISNUMBER(BB394))),0,1))&gt;0,"; An invoice is incomplete (needs No, Date and a number in Ex GST)","")&amp;IF((IF(T394="",0,IFERROR(--(EOMONTH(T394,0)&lt;&gt;S$5),1))+IF(W394="",0,IFERROR(--(EOMONTH(W394,0)&lt;&gt;V$5),1))+IF(Z394="",0,IFERROR(--(EOMONTH(Z394,0)&lt;&gt;Y$5),1))+IF(AC394="",0,IFERROR(--(EOMONTH(AC394,0)&lt;&gt;AB$5),1))+IF(AF394="",0,IFERROR(--(EOMONTH(AF394,0)&lt;&gt;AE$5),1))+IF(AI394="",0,IFERROR(--(EOMONTH(AI394,0)&lt;&gt;AH$5),1))+IF(AL394="",0,IFERROR(--(EOMONTH(AL394,0)&lt;&gt;AK$5),1))+IF(AO394="",0,IFERROR(--(EOMONTH(AO394,0)&lt;&gt;AN$5),1))+IF(AR394="",0,IFERROR(--(EOMONTH(AR394,0)&lt;&gt;AQ$5),1))+IF(AU394="",0,IFERROR(--(EOMONTH(AU394,0)&lt;&gt;AT$5),1))+IF(AX394="",0,IFERROR(--(EOMONTH(AX394,0)&lt;&gt;AW$5),1))+IF(BA394="",0,IFERROR(--(EOMONTH(BA394,0)&lt;&gt;AZ$5),1)))&gt;0,"; An invoice date is not in the month it is typed under",""),3,500))</f>
        <v/>
      </c>
      <c r="S394" s="12" t="n"/>
      <c r="T394" s="13" t="n"/>
      <c r="U394" s="14" t="n"/>
      <c r="V394" s="12" t="n"/>
      <c r="W394" s="13" t="n"/>
      <c r="X394" s="14" t="n"/>
      <c r="Y394" s="12" t="n"/>
      <c r="Z394" s="13" t="n"/>
      <c r="AA394" s="14" t="n"/>
      <c r="AB394" s="12" t="n"/>
      <c r="AC394" s="13" t="n"/>
      <c r="AD394" s="14" t="n"/>
      <c r="AE394" s="12" t="n"/>
      <c r="AF394" s="13" t="n"/>
      <c r="AG394" s="14" t="n"/>
      <c r="AH394" s="12" t="n"/>
      <c r="AI394" s="13" t="n"/>
      <c r="AJ394" s="14" t="n"/>
      <c r="AK394" s="12" t="n"/>
      <c r="AL394" s="13" t="n"/>
      <c r="AM394" s="14" t="n"/>
      <c r="AN394" s="12" t="n"/>
      <c r="AO394" s="13" t="n"/>
      <c r="AP394" s="14" t="n"/>
      <c r="AQ394" s="12" t="n"/>
      <c r="AR394" s="13" t="n"/>
      <c r="AS394" s="14" t="n"/>
      <c r="AT394" s="12" t="n"/>
      <c r="AU394" s="13" t="n"/>
      <c r="AV394" s="14" t="n"/>
      <c r="AW394" s="12" t="n"/>
      <c r="AX394" s="13" t="n"/>
      <c r="AY394" s="14" t="n"/>
      <c r="AZ394" s="12" t="n"/>
      <c r="BA394" s="13" t="n"/>
      <c r="BB394" s="14" t="n"/>
      <c r="BC394" s="11">
        <f>IF(O394="","",IF(J394="GST 10%",ROUND(O394*set_GSTRate,2),0))</f>
        <v/>
      </c>
      <c r="BD394" s="11">
        <f>IF(O394="","",O394+BC394)</f>
        <v/>
      </c>
      <c r="BE394" s="15">
        <f>IF(O394="","",COUNTA(S394,V394,Y394,AB394,AE394,AH394,AK394,AN394,AQ394,AT394,AW394,AZ394))</f>
        <v/>
      </c>
      <c r="BF394" s="16">
        <f>IF(COUNT(T394,W394,Z394,AC394,AF394,AI394,AL394,AO394,AR394,AU394,AX394,BA394)=0,"",MAX(T394,W394,Z394,AC394,AF394,AI394,AL394,AO394,AR394,AU394,AX394,BA394))</f>
        <v/>
      </c>
      <c r="BG394" s="10">
        <f>MID(IF(S394="","",", "&amp;S394)&amp;IF(V394="","",", "&amp;V394)&amp;IF(Y394="","",", "&amp;Y394)&amp;IF(AB394="","",", "&amp;AB394)&amp;IF(AE394="","",", "&amp;AE394)&amp;IF(AH394="","",", "&amp;AH394)&amp;IF(AK394="","",", "&amp;AK394)&amp;IF(AN394="","",", "&amp;AN394)&amp;IF(AQ394="","",", "&amp;AQ394)&amp;IF(AT394="","",", "&amp;AT394)&amp;IF(AW394="","",", "&amp;AW394)&amp;IF(AZ394="","",", "&amp;AZ394),3,500)</f>
        <v/>
      </c>
      <c r="BH394" s="12" t="n"/>
      <c r="BI394" s="15">
        <f>IFERROR(MATCH($A394,IF($B394="Onsite",tbl_Onsite[Row ID],IF($B394="Production",tbl_Production[Row ID],tbl_Consulting[Row ID])),0),"")</f>
        <v/>
      </c>
    </row>
    <row r="395">
      <c r="A395" s="10" t="inlineStr">
        <is>
          <t>ONS-0389</t>
        </is>
      </c>
      <c r="B395" s="10" t="inlineStr">
        <is>
          <t>Onsite</t>
        </is>
      </c>
      <c r="C395" s="10">
        <f>IF($BI395="","",IF($B395="Onsite",INDEX(tbl_Onsite[Job Number],$BI395),IF($B395="Production",INDEX(tbl_Production[Job Number],$BI395),INDEX(tbl_Consulting[Job Number],$BI395)))&amp;"")</f>
        <v/>
      </c>
      <c r="D395" s="10">
        <f>IF($BI395="","",IF($B395="Onsite",INDEX(tbl_Onsite[Client],$BI395),IF($B395="Production",INDEX(tbl_Production[Client],$BI395),INDEX(tbl_Consulting[Client],$BI395)))&amp;"")</f>
        <v/>
      </c>
      <c r="E395" s="10">
        <f>IF($C395="","",IF(COUNTIF(lst_Jobs,$C395)&gt;0,"OK","CHECK"))</f>
        <v/>
      </c>
      <c r="F395" s="10">
        <f>IF($C395="","",IFERROR(INDEX(lst_JobName,MATCH($C395,lst_Jobs,0)),""))</f>
        <v/>
      </c>
      <c r="G395" s="10">
        <f>IF($BI395="","",IF($B395="Onsite",INDEX(tbl_Onsite[Job Description],$BI395),IF($B395="Production",INDEX(tbl_Production[Job Description],$BI395),INDEX(tbl_Consulting[Job Description],$BI395)))&amp;"")</f>
        <v/>
      </c>
      <c r="H395" s="10">
        <f>IF($BI395="","",IF($B395="Onsite",INDEX(tbl_Onsite[Cost Centre],$BI395),IF($B395="Production",INDEX(tbl_Production[Cost Centre],$BI395),INDEX(tbl_Consulting[Cost Centre],$BI395)))&amp;"")</f>
        <v/>
      </c>
      <c r="I395" s="10">
        <f>IF($BI395="","",IF($B395="Onsite",INDEX(tbl_Onsite[Invoice Type],$BI395),IF($B395="Production",INDEX(tbl_Production[Invoice Type],$BI395),INDEX(tbl_Consulting[Invoice Type],$BI395)))&amp;"")</f>
        <v/>
      </c>
      <c r="J395" s="10">
        <f>IF($BI395="","",IF($B395="Onsite",INDEX(tbl_Onsite[Tax Code],$BI395),IF($B395="Production",INDEX(tbl_Production[Tax Code],$BI395),INDEX(tbl_Consulting[Tax Code],$BI395)))&amp;"")</f>
        <v/>
      </c>
      <c r="K395" s="10">
        <f>IF(H395="","",IFERROR(INDEX(lst_CCtoGL,MATCH(H395,lst_CCforGL,0)),""))</f>
        <v/>
      </c>
      <c r="L395" s="10">
        <f>IF($BI395="","",IF($B395="Onsite",INDEX(tbl_Onsite[PO / Reference],$BI395),IF($B395="Production",INDEX(tbl_Production[Current RMS No],$BI395),INDEX(tbl_Consulting[Qwilr Quote],$BI395)))&amp;"")</f>
        <v/>
      </c>
      <c r="M395" s="10">
        <f>IF($BI395="","",IF($B395="Onsite",INDEX(tbl_Onsite[Notes],$BI395),IF($B395="Production",INDEX(tbl_Production[Notes],$BI395),INDEX(tbl_Consulting[Notes],$BI395)))&amp;"")</f>
        <v/>
      </c>
      <c r="N395" s="11">
        <f>IF($BI395="","",IF(IF($B395="Onsite",INDEX(tbl_Onsite[Expected Revenue Ex GST],$BI395),IF($B395="Production",INDEX(tbl_Production[Expected Revenue Ex GST],$BI395),INDEX(tbl_Consulting[Expected Revenue Ex GST],$BI395)))="","",IF($B395="Onsite",INDEX(tbl_Onsite[Expected Revenue Ex GST],$BI395),IF($B395="Production",INDEX(tbl_Production[Expected Revenue Ex GST],$BI395),INDEX(tbl_Consulting[Expected Revenue Ex GST],$BI395)))))</f>
        <v/>
      </c>
      <c r="O395" s="11">
        <f>IF(AND($C395="",NOT(COUNTA($S395:$BB395)&gt;0)),"",SUM(U395,X395,AA395,AD395,AG395,AJ395,AM395,AP395,AS395,AV395,AY395,BB395))</f>
        <v/>
      </c>
      <c r="P395" s="11">
        <f>IF(O395="","",N(N395)-O395)</f>
        <v/>
      </c>
      <c r="Q395" s="10">
        <f>IF(O395="","",IF($C395="","Invoice on empty job row",IF(N395="",IF(ROUND(O395,2)=0,"No dept value","Invoiced - no dept value"),IF(ROUND(O395,2)=0,"Not invoiced - to invoice",IF(ROUND(P395,2)=0,"Agrees",IF(P395&gt;0,"Dept higher - to invoice","Xero higher - check dept"))))))</f>
        <v/>
      </c>
      <c r="R395" s="10">
        <f>IF(AND($C395="",NOT(COUNTA($S395:$BB395)&gt;0),$BI395&lt;&gt;""),"",MID(IF($BI395="","; Row ID not found on the department sheet - a row was deleted","")&amp;IF(AND($C395="",COUNTA($S395:$BB395)&gt;0),"; Invoice entered but the department row has no job number","")&amp;IF(E395="CHECK","; Job number not in the Xero job list","")&amp;IF(AND($C395&lt;&gt;"",COUNTIF($C$7:$C$1506,$C395)&gt;1),"; Job number on more than one row","")&amp;IF(AND($C395&lt;&gt;"",H395=""),"; Dept has not set a cost centre","")&amp;IF(AND($C395&lt;&gt;"",J395=""),"; Dept has not set a tax code","")&amp;IF(AND($C395&lt;&gt;"",N395=""),"; Dept has not entered an expected value","")&amp;IF((IF(OR(COUNTA(S395:U395)=0,AND(COUNTA(S395:U395)=3,ISNUMBER(U395))),0,1)+IF(OR(COUNTA(V395:X395)=0,AND(COUNTA(V395:X395)=3,ISNUMBER(X395))),0,1)+IF(OR(COUNTA(Y395:AA395)=0,AND(COUNTA(Y395:AA395)=3,ISNUMBER(AA395))),0,1)+IF(OR(COUNTA(AB395:AD395)=0,AND(COUNTA(AB395:AD395)=3,ISNUMBER(AD395))),0,1)+IF(OR(COUNTA(AE395:AG395)=0,AND(COUNTA(AE395:AG395)=3,ISNUMBER(AG395))),0,1)+IF(OR(COUNTA(AH395:AJ395)=0,AND(COUNTA(AH395:AJ395)=3,ISNUMBER(AJ395))),0,1)+IF(OR(COUNTA(AK395:AM395)=0,AND(COUNTA(AK395:AM395)=3,ISNUMBER(AM395))),0,1)+IF(OR(COUNTA(AN395:AP395)=0,AND(COUNTA(AN395:AP395)=3,ISNUMBER(AP395))),0,1)+IF(OR(COUNTA(AQ395:AS395)=0,AND(COUNTA(AQ395:AS395)=3,ISNUMBER(AS395))),0,1)+IF(OR(COUNTA(AT395:AV395)=0,AND(COUNTA(AT395:AV395)=3,ISNUMBER(AV395))),0,1)+IF(OR(COUNTA(AW395:AY395)=0,AND(COUNTA(AW395:AY395)=3,ISNUMBER(AY395))),0,1)+IF(OR(COUNTA(AZ395:BB395)=0,AND(COUNTA(AZ395:BB395)=3,ISNUMBER(BB395))),0,1))&gt;0,"; An invoice is incomplete (needs No, Date and a number in Ex GST)","")&amp;IF((IF(T395="",0,IFERROR(--(EOMONTH(T395,0)&lt;&gt;S$5),1))+IF(W395="",0,IFERROR(--(EOMONTH(W395,0)&lt;&gt;V$5),1))+IF(Z395="",0,IFERROR(--(EOMONTH(Z395,0)&lt;&gt;Y$5),1))+IF(AC395="",0,IFERROR(--(EOMONTH(AC395,0)&lt;&gt;AB$5),1))+IF(AF395="",0,IFERROR(--(EOMONTH(AF395,0)&lt;&gt;AE$5),1))+IF(AI395="",0,IFERROR(--(EOMONTH(AI395,0)&lt;&gt;AH$5),1))+IF(AL395="",0,IFERROR(--(EOMONTH(AL395,0)&lt;&gt;AK$5),1))+IF(AO395="",0,IFERROR(--(EOMONTH(AO395,0)&lt;&gt;AN$5),1))+IF(AR395="",0,IFERROR(--(EOMONTH(AR395,0)&lt;&gt;AQ$5),1))+IF(AU395="",0,IFERROR(--(EOMONTH(AU395,0)&lt;&gt;AT$5),1))+IF(AX395="",0,IFERROR(--(EOMONTH(AX395,0)&lt;&gt;AW$5),1))+IF(BA395="",0,IFERROR(--(EOMONTH(BA395,0)&lt;&gt;AZ$5),1)))&gt;0,"; An invoice date is not in the month it is typed under",""),3,500))</f>
        <v/>
      </c>
      <c r="S395" s="12" t="n"/>
      <c r="T395" s="13" t="n"/>
      <c r="U395" s="14" t="n"/>
      <c r="V395" s="12" t="n"/>
      <c r="W395" s="13" t="n"/>
      <c r="X395" s="14" t="n"/>
      <c r="Y395" s="12" t="n"/>
      <c r="Z395" s="13" t="n"/>
      <c r="AA395" s="14" t="n"/>
      <c r="AB395" s="12" t="n"/>
      <c r="AC395" s="13" t="n"/>
      <c r="AD395" s="14" t="n"/>
      <c r="AE395" s="12" t="n"/>
      <c r="AF395" s="13" t="n"/>
      <c r="AG395" s="14" t="n"/>
      <c r="AH395" s="12" t="n"/>
      <c r="AI395" s="13" t="n"/>
      <c r="AJ395" s="14" t="n"/>
      <c r="AK395" s="12" t="n"/>
      <c r="AL395" s="13" t="n"/>
      <c r="AM395" s="14" t="n"/>
      <c r="AN395" s="12" t="n"/>
      <c r="AO395" s="13" t="n"/>
      <c r="AP395" s="14" t="n"/>
      <c r="AQ395" s="12" t="n"/>
      <c r="AR395" s="13" t="n"/>
      <c r="AS395" s="14" t="n"/>
      <c r="AT395" s="12" t="n"/>
      <c r="AU395" s="13" t="n"/>
      <c r="AV395" s="14" t="n"/>
      <c r="AW395" s="12" t="n"/>
      <c r="AX395" s="13" t="n"/>
      <c r="AY395" s="14" t="n"/>
      <c r="AZ395" s="12" t="n"/>
      <c r="BA395" s="13" t="n"/>
      <c r="BB395" s="14" t="n"/>
      <c r="BC395" s="11">
        <f>IF(O395="","",IF(J395="GST 10%",ROUND(O395*set_GSTRate,2),0))</f>
        <v/>
      </c>
      <c r="BD395" s="11">
        <f>IF(O395="","",O395+BC395)</f>
        <v/>
      </c>
      <c r="BE395" s="15">
        <f>IF(O395="","",COUNTA(S395,V395,Y395,AB395,AE395,AH395,AK395,AN395,AQ395,AT395,AW395,AZ395))</f>
        <v/>
      </c>
      <c r="BF395" s="16">
        <f>IF(COUNT(T395,W395,Z395,AC395,AF395,AI395,AL395,AO395,AR395,AU395,AX395,BA395)=0,"",MAX(T395,W395,Z395,AC395,AF395,AI395,AL395,AO395,AR395,AU395,AX395,BA395))</f>
        <v/>
      </c>
      <c r="BG395" s="10">
        <f>MID(IF(S395="","",", "&amp;S395)&amp;IF(V395="","",", "&amp;V395)&amp;IF(Y395="","",", "&amp;Y395)&amp;IF(AB395="","",", "&amp;AB395)&amp;IF(AE395="","",", "&amp;AE395)&amp;IF(AH395="","",", "&amp;AH395)&amp;IF(AK395="","",", "&amp;AK395)&amp;IF(AN395="","",", "&amp;AN395)&amp;IF(AQ395="","",", "&amp;AQ395)&amp;IF(AT395="","",", "&amp;AT395)&amp;IF(AW395="","",", "&amp;AW395)&amp;IF(AZ395="","",", "&amp;AZ395),3,500)</f>
        <v/>
      </c>
      <c r="BH395" s="12" t="n"/>
      <c r="BI395" s="15">
        <f>IFERROR(MATCH($A395,IF($B395="Onsite",tbl_Onsite[Row ID],IF($B395="Production",tbl_Production[Row ID],tbl_Consulting[Row ID])),0),"")</f>
        <v/>
      </c>
    </row>
    <row r="396">
      <c r="A396" s="10" t="inlineStr">
        <is>
          <t>ONS-0390</t>
        </is>
      </c>
      <c r="B396" s="10" t="inlineStr">
        <is>
          <t>Onsite</t>
        </is>
      </c>
      <c r="C396" s="10">
        <f>IF($BI396="","",IF($B396="Onsite",INDEX(tbl_Onsite[Job Number],$BI396),IF($B396="Production",INDEX(tbl_Production[Job Number],$BI396),INDEX(tbl_Consulting[Job Number],$BI396)))&amp;"")</f>
        <v/>
      </c>
      <c r="D396" s="10">
        <f>IF($BI396="","",IF($B396="Onsite",INDEX(tbl_Onsite[Client],$BI396),IF($B396="Production",INDEX(tbl_Production[Client],$BI396),INDEX(tbl_Consulting[Client],$BI396)))&amp;"")</f>
        <v/>
      </c>
      <c r="E396" s="10">
        <f>IF($C396="","",IF(COUNTIF(lst_Jobs,$C396)&gt;0,"OK","CHECK"))</f>
        <v/>
      </c>
      <c r="F396" s="10">
        <f>IF($C396="","",IFERROR(INDEX(lst_JobName,MATCH($C396,lst_Jobs,0)),""))</f>
        <v/>
      </c>
      <c r="G396" s="10">
        <f>IF($BI396="","",IF($B396="Onsite",INDEX(tbl_Onsite[Job Description],$BI396),IF($B396="Production",INDEX(tbl_Production[Job Description],$BI396),INDEX(tbl_Consulting[Job Description],$BI396)))&amp;"")</f>
        <v/>
      </c>
      <c r="H396" s="10">
        <f>IF($BI396="","",IF($B396="Onsite",INDEX(tbl_Onsite[Cost Centre],$BI396),IF($B396="Production",INDEX(tbl_Production[Cost Centre],$BI396),INDEX(tbl_Consulting[Cost Centre],$BI396)))&amp;"")</f>
        <v/>
      </c>
      <c r="I396" s="10">
        <f>IF($BI396="","",IF($B396="Onsite",INDEX(tbl_Onsite[Invoice Type],$BI396),IF($B396="Production",INDEX(tbl_Production[Invoice Type],$BI396),INDEX(tbl_Consulting[Invoice Type],$BI396)))&amp;"")</f>
        <v/>
      </c>
      <c r="J396" s="10">
        <f>IF($BI396="","",IF($B396="Onsite",INDEX(tbl_Onsite[Tax Code],$BI396),IF($B396="Production",INDEX(tbl_Production[Tax Code],$BI396),INDEX(tbl_Consulting[Tax Code],$BI396)))&amp;"")</f>
        <v/>
      </c>
      <c r="K396" s="10">
        <f>IF(H396="","",IFERROR(INDEX(lst_CCtoGL,MATCH(H396,lst_CCforGL,0)),""))</f>
        <v/>
      </c>
      <c r="L396" s="10">
        <f>IF($BI396="","",IF($B396="Onsite",INDEX(tbl_Onsite[PO / Reference],$BI396),IF($B396="Production",INDEX(tbl_Production[Current RMS No],$BI396),INDEX(tbl_Consulting[Qwilr Quote],$BI396)))&amp;"")</f>
        <v/>
      </c>
      <c r="M396" s="10">
        <f>IF($BI396="","",IF($B396="Onsite",INDEX(tbl_Onsite[Notes],$BI396),IF($B396="Production",INDEX(tbl_Production[Notes],$BI396),INDEX(tbl_Consulting[Notes],$BI396)))&amp;"")</f>
        <v/>
      </c>
      <c r="N396" s="11">
        <f>IF($BI396="","",IF(IF($B396="Onsite",INDEX(tbl_Onsite[Expected Revenue Ex GST],$BI396),IF($B396="Production",INDEX(tbl_Production[Expected Revenue Ex GST],$BI396),INDEX(tbl_Consulting[Expected Revenue Ex GST],$BI396)))="","",IF($B396="Onsite",INDEX(tbl_Onsite[Expected Revenue Ex GST],$BI396),IF($B396="Production",INDEX(tbl_Production[Expected Revenue Ex GST],$BI396),INDEX(tbl_Consulting[Expected Revenue Ex GST],$BI396)))))</f>
        <v/>
      </c>
      <c r="O396" s="11">
        <f>IF(AND($C396="",NOT(COUNTA($S396:$BB396)&gt;0)),"",SUM(U396,X396,AA396,AD396,AG396,AJ396,AM396,AP396,AS396,AV396,AY396,BB396))</f>
        <v/>
      </c>
      <c r="P396" s="11">
        <f>IF(O396="","",N(N396)-O396)</f>
        <v/>
      </c>
      <c r="Q396" s="10">
        <f>IF(O396="","",IF($C396="","Invoice on empty job row",IF(N396="",IF(ROUND(O396,2)=0,"No dept value","Invoiced - no dept value"),IF(ROUND(O396,2)=0,"Not invoiced - to invoice",IF(ROUND(P396,2)=0,"Agrees",IF(P396&gt;0,"Dept higher - to invoice","Xero higher - check dept"))))))</f>
        <v/>
      </c>
      <c r="R396" s="10">
        <f>IF(AND($C396="",NOT(COUNTA($S396:$BB396)&gt;0),$BI396&lt;&gt;""),"",MID(IF($BI396="","; Row ID not found on the department sheet - a row was deleted","")&amp;IF(AND($C396="",COUNTA($S396:$BB396)&gt;0),"; Invoice entered but the department row has no job number","")&amp;IF(E396="CHECK","; Job number not in the Xero job list","")&amp;IF(AND($C396&lt;&gt;"",COUNTIF($C$7:$C$1506,$C396)&gt;1),"; Job number on more than one row","")&amp;IF(AND($C396&lt;&gt;"",H396=""),"; Dept has not set a cost centre","")&amp;IF(AND($C396&lt;&gt;"",J396=""),"; Dept has not set a tax code","")&amp;IF(AND($C396&lt;&gt;"",N396=""),"; Dept has not entered an expected value","")&amp;IF((IF(OR(COUNTA(S396:U396)=0,AND(COUNTA(S396:U396)=3,ISNUMBER(U396))),0,1)+IF(OR(COUNTA(V396:X396)=0,AND(COUNTA(V396:X396)=3,ISNUMBER(X396))),0,1)+IF(OR(COUNTA(Y396:AA396)=0,AND(COUNTA(Y396:AA396)=3,ISNUMBER(AA396))),0,1)+IF(OR(COUNTA(AB396:AD396)=0,AND(COUNTA(AB396:AD396)=3,ISNUMBER(AD396))),0,1)+IF(OR(COUNTA(AE396:AG396)=0,AND(COUNTA(AE396:AG396)=3,ISNUMBER(AG396))),0,1)+IF(OR(COUNTA(AH396:AJ396)=0,AND(COUNTA(AH396:AJ396)=3,ISNUMBER(AJ396))),0,1)+IF(OR(COUNTA(AK396:AM396)=0,AND(COUNTA(AK396:AM396)=3,ISNUMBER(AM396))),0,1)+IF(OR(COUNTA(AN396:AP396)=0,AND(COUNTA(AN396:AP396)=3,ISNUMBER(AP396))),0,1)+IF(OR(COUNTA(AQ396:AS396)=0,AND(COUNTA(AQ396:AS396)=3,ISNUMBER(AS396))),0,1)+IF(OR(COUNTA(AT396:AV396)=0,AND(COUNTA(AT396:AV396)=3,ISNUMBER(AV396))),0,1)+IF(OR(COUNTA(AW396:AY396)=0,AND(COUNTA(AW396:AY396)=3,ISNUMBER(AY396))),0,1)+IF(OR(COUNTA(AZ396:BB396)=0,AND(COUNTA(AZ396:BB396)=3,ISNUMBER(BB396))),0,1))&gt;0,"; An invoice is incomplete (needs No, Date and a number in Ex GST)","")&amp;IF((IF(T396="",0,IFERROR(--(EOMONTH(T396,0)&lt;&gt;S$5),1))+IF(W396="",0,IFERROR(--(EOMONTH(W396,0)&lt;&gt;V$5),1))+IF(Z396="",0,IFERROR(--(EOMONTH(Z396,0)&lt;&gt;Y$5),1))+IF(AC396="",0,IFERROR(--(EOMONTH(AC396,0)&lt;&gt;AB$5),1))+IF(AF396="",0,IFERROR(--(EOMONTH(AF396,0)&lt;&gt;AE$5),1))+IF(AI396="",0,IFERROR(--(EOMONTH(AI396,0)&lt;&gt;AH$5),1))+IF(AL396="",0,IFERROR(--(EOMONTH(AL396,0)&lt;&gt;AK$5),1))+IF(AO396="",0,IFERROR(--(EOMONTH(AO396,0)&lt;&gt;AN$5),1))+IF(AR396="",0,IFERROR(--(EOMONTH(AR396,0)&lt;&gt;AQ$5),1))+IF(AU396="",0,IFERROR(--(EOMONTH(AU396,0)&lt;&gt;AT$5),1))+IF(AX396="",0,IFERROR(--(EOMONTH(AX396,0)&lt;&gt;AW$5),1))+IF(BA396="",0,IFERROR(--(EOMONTH(BA396,0)&lt;&gt;AZ$5),1)))&gt;0,"; An invoice date is not in the month it is typed under",""),3,500))</f>
        <v/>
      </c>
      <c r="S396" s="12" t="n"/>
      <c r="T396" s="13" t="n"/>
      <c r="U396" s="14" t="n"/>
      <c r="V396" s="12" t="n"/>
      <c r="W396" s="13" t="n"/>
      <c r="X396" s="14" t="n"/>
      <c r="Y396" s="12" t="n"/>
      <c r="Z396" s="13" t="n"/>
      <c r="AA396" s="14" t="n"/>
      <c r="AB396" s="12" t="n"/>
      <c r="AC396" s="13" t="n"/>
      <c r="AD396" s="14" t="n"/>
      <c r="AE396" s="12" t="n"/>
      <c r="AF396" s="13" t="n"/>
      <c r="AG396" s="14" t="n"/>
      <c r="AH396" s="12" t="n"/>
      <c r="AI396" s="13" t="n"/>
      <c r="AJ396" s="14" t="n"/>
      <c r="AK396" s="12" t="n"/>
      <c r="AL396" s="13" t="n"/>
      <c r="AM396" s="14" t="n"/>
      <c r="AN396" s="12" t="n"/>
      <c r="AO396" s="13" t="n"/>
      <c r="AP396" s="14" t="n"/>
      <c r="AQ396" s="12" t="n"/>
      <c r="AR396" s="13" t="n"/>
      <c r="AS396" s="14" t="n"/>
      <c r="AT396" s="12" t="n"/>
      <c r="AU396" s="13" t="n"/>
      <c r="AV396" s="14" t="n"/>
      <c r="AW396" s="12" t="n"/>
      <c r="AX396" s="13" t="n"/>
      <c r="AY396" s="14" t="n"/>
      <c r="AZ396" s="12" t="n"/>
      <c r="BA396" s="13" t="n"/>
      <c r="BB396" s="14" t="n"/>
      <c r="BC396" s="11">
        <f>IF(O396="","",IF(J396="GST 10%",ROUND(O396*set_GSTRate,2),0))</f>
        <v/>
      </c>
      <c r="BD396" s="11">
        <f>IF(O396="","",O396+BC396)</f>
        <v/>
      </c>
      <c r="BE396" s="15">
        <f>IF(O396="","",COUNTA(S396,V396,Y396,AB396,AE396,AH396,AK396,AN396,AQ396,AT396,AW396,AZ396))</f>
        <v/>
      </c>
      <c r="BF396" s="16">
        <f>IF(COUNT(T396,W396,Z396,AC396,AF396,AI396,AL396,AO396,AR396,AU396,AX396,BA396)=0,"",MAX(T396,W396,Z396,AC396,AF396,AI396,AL396,AO396,AR396,AU396,AX396,BA396))</f>
        <v/>
      </c>
      <c r="BG396" s="10">
        <f>MID(IF(S396="","",", "&amp;S396)&amp;IF(V396="","",", "&amp;V396)&amp;IF(Y396="","",", "&amp;Y396)&amp;IF(AB396="","",", "&amp;AB396)&amp;IF(AE396="","",", "&amp;AE396)&amp;IF(AH396="","",", "&amp;AH396)&amp;IF(AK396="","",", "&amp;AK396)&amp;IF(AN396="","",", "&amp;AN396)&amp;IF(AQ396="","",", "&amp;AQ396)&amp;IF(AT396="","",", "&amp;AT396)&amp;IF(AW396="","",", "&amp;AW396)&amp;IF(AZ396="","",", "&amp;AZ396),3,500)</f>
        <v/>
      </c>
      <c r="BH396" s="12" t="n"/>
      <c r="BI396" s="15">
        <f>IFERROR(MATCH($A396,IF($B396="Onsite",tbl_Onsite[Row ID],IF($B396="Production",tbl_Production[Row ID],tbl_Consulting[Row ID])),0),"")</f>
        <v/>
      </c>
    </row>
    <row r="397">
      <c r="A397" s="10" t="inlineStr">
        <is>
          <t>ONS-0391</t>
        </is>
      </c>
      <c r="B397" s="10" t="inlineStr">
        <is>
          <t>Onsite</t>
        </is>
      </c>
      <c r="C397" s="10">
        <f>IF($BI397="","",IF($B397="Onsite",INDEX(tbl_Onsite[Job Number],$BI397),IF($B397="Production",INDEX(tbl_Production[Job Number],$BI397),INDEX(tbl_Consulting[Job Number],$BI397)))&amp;"")</f>
        <v/>
      </c>
      <c r="D397" s="10">
        <f>IF($BI397="","",IF($B397="Onsite",INDEX(tbl_Onsite[Client],$BI397),IF($B397="Production",INDEX(tbl_Production[Client],$BI397),INDEX(tbl_Consulting[Client],$BI397)))&amp;"")</f>
        <v/>
      </c>
      <c r="E397" s="10">
        <f>IF($C397="","",IF(COUNTIF(lst_Jobs,$C397)&gt;0,"OK","CHECK"))</f>
        <v/>
      </c>
      <c r="F397" s="10">
        <f>IF($C397="","",IFERROR(INDEX(lst_JobName,MATCH($C397,lst_Jobs,0)),""))</f>
        <v/>
      </c>
      <c r="G397" s="10">
        <f>IF($BI397="","",IF($B397="Onsite",INDEX(tbl_Onsite[Job Description],$BI397),IF($B397="Production",INDEX(tbl_Production[Job Description],$BI397),INDEX(tbl_Consulting[Job Description],$BI397)))&amp;"")</f>
        <v/>
      </c>
      <c r="H397" s="10">
        <f>IF($BI397="","",IF($B397="Onsite",INDEX(tbl_Onsite[Cost Centre],$BI397),IF($B397="Production",INDEX(tbl_Production[Cost Centre],$BI397),INDEX(tbl_Consulting[Cost Centre],$BI397)))&amp;"")</f>
        <v/>
      </c>
      <c r="I397" s="10">
        <f>IF($BI397="","",IF($B397="Onsite",INDEX(tbl_Onsite[Invoice Type],$BI397),IF($B397="Production",INDEX(tbl_Production[Invoice Type],$BI397),INDEX(tbl_Consulting[Invoice Type],$BI397)))&amp;"")</f>
        <v/>
      </c>
      <c r="J397" s="10">
        <f>IF($BI397="","",IF($B397="Onsite",INDEX(tbl_Onsite[Tax Code],$BI397),IF($B397="Production",INDEX(tbl_Production[Tax Code],$BI397),INDEX(tbl_Consulting[Tax Code],$BI397)))&amp;"")</f>
        <v/>
      </c>
      <c r="K397" s="10">
        <f>IF(H397="","",IFERROR(INDEX(lst_CCtoGL,MATCH(H397,lst_CCforGL,0)),""))</f>
        <v/>
      </c>
      <c r="L397" s="10">
        <f>IF($BI397="","",IF($B397="Onsite",INDEX(tbl_Onsite[PO / Reference],$BI397),IF($B397="Production",INDEX(tbl_Production[Current RMS No],$BI397),INDEX(tbl_Consulting[Qwilr Quote],$BI397)))&amp;"")</f>
        <v/>
      </c>
      <c r="M397" s="10">
        <f>IF($BI397="","",IF($B397="Onsite",INDEX(tbl_Onsite[Notes],$BI397),IF($B397="Production",INDEX(tbl_Production[Notes],$BI397),INDEX(tbl_Consulting[Notes],$BI397)))&amp;"")</f>
        <v/>
      </c>
      <c r="N397" s="11">
        <f>IF($BI397="","",IF(IF($B397="Onsite",INDEX(tbl_Onsite[Expected Revenue Ex GST],$BI397),IF($B397="Production",INDEX(tbl_Production[Expected Revenue Ex GST],$BI397),INDEX(tbl_Consulting[Expected Revenue Ex GST],$BI397)))="","",IF($B397="Onsite",INDEX(tbl_Onsite[Expected Revenue Ex GST],$BI397),IF($B397="Production",INDEX(tbl_Production[Expected Revenue Ex GST],$BI397),INDEX(tbl_Consulting[Expected Revenue Ex GST],$BI397)))))</f>
        <v/>
      </c>
      <c r="O397" s="11">
        <f>IF(AND($C397="",NOT(COUNTA($S397:$BB397)&gt;0)),"",SUM(U397,X397,AA397,AD397,AG397,AJ397,AM397,AP397,AS397,AV397,AY397,BB397))</f>
        <v/>
      </c>
      <c r="P397" s="11">
        <f>IF(O397="","",N(N397)-O397)</f>
        <v/>
      </c>
      <c r="Q397" s="10">
        <f>IF(O397="","",IF($C397="","Invoice on empty job row",IF(N397="",IF(ROUND(O397,2)=0,"No dept value","Invoiced - no dept value"),IF(ROUND(O397,2)=0,"Not invoiced - to invoice",IF(ROUND(P397,2)=0,"Agrees",IF(P397&gt;0,"Dept higher - to invoice","Xero higher - check dept"))))))</f>
        <v/>
      </c>
      <c r="R397" s="10">
        <f>IF(AND($C397="",NOT(COUNTA($S397:$BB397)&gt;0),$BI397&lt;&gt;""),"",MID(IF($BI397="","; Row ID not found on the department sheet - a row was deleted","")&amp;IF(AND($C397="",COUNTA($S397:$BB397)&gt;0),"; Invoice entered but the department row has no job number","")&amp;IF(E397="CHECK","; Job number not in the Xero job list","")&amp;IF(AND($C397&lt;&gt;"",COUNTIF($C$7:$C$1506,$C397)&gt;1),"; Job number on more than one row","")&amp;IF(AND($C397&lt;&gt;"",H397=""),"; Dept has not set a cost centre","")&amp;IF(AND($C397&lt;&gt;"",J397=""),"; Dept has not set a tax code","")&amp;IF(AND($C397&lt;&gt;"",N397=""),"; Dept has not entered an expected value","")&amp;IF((IF(OR(COUNTA(S397:U397)=0,AND(COUNTA(S397:U397)=3,ISNUMBER(U397))),0,1)+IF(OR(COUNTA(V397:X397)=0,AND(COUNTA(V397:X397)=3,ISNUMBER(X397))),0,1)+IF(OR(COUNTA(Y397:AA397)=0,AND(COUNTA(Y397:AA397)=3,ISNUMBER(AA397))),0,1)+IF(OR(COUNTA(AB397:AD397)=0,AND(COUNTA(AB397:AD397)=3,ISNUMBER(AD397))),0,1)+IF(OR(COUNTA(AE397:AG397)=0,AND(COUNTA(AE397:AG397)=3,ISNUMBER(AG397))),0,1)+IF(OR(COUNTA(AH397:AJ397)=0,AND(COUNTA(AH397:AJ397)=3,ISNUMBER(AJ397))),0,1)+IF(OR(COUNTA(AK397:AM397)=0,AND(COUNTA(AK397:AM397)=3,ISNUMBER(AM397))),0,1)+IF(OR(COUNTA(AN397:AP397)=0,AND(COUNTA(AN397:AP397)=3,ISNUMBER(AP397))),0,1)+IF(OR(COUNTA(AQ397:AS397)=0,AND(COUNTA(AQ397:AS397)=3,ISNUMBER(AS397))),0,1)+IF(OR(COUNTA(AT397:AV397)=0,AND(COUNTA(AT397:AV397)=3,ISNUMBER(AV397))),0,1)+IF(OR(COUNTA(AW397:AY397)=0,AND(COUNTA(AW397:AY397)=3,ISNUMBER(AY397))),0,1)+IF(OR(COUNTA(AZ397:BB397)=0,AND(COUNTA(AZ397:BB397)=3,ISNUMBER(BB397))),0,1))&gt;0,"; An invoice is incomplete (needs No, Date and a number in Ex GST)","")&amp;IF((IF(T397="",0,IFERROR(--(EOMONTH(T397,0)&lt;&gt;S$5),1))+IF(W397="",0,IFERROR(--(EOMONTH(W397,0)&lt;&gt;V$5),1))+IF(Z397="",0,IFERROR(--(EOMONTH(Z397,0)&lt;&gt;Y$5),1))+IF(AC397="",0,IFERROR(--(EOMONTH(AC397,0)&lt;&gt;AB$5),1))+IF(AF397="",0,IFERROR(--(EOMONTH(AF397,0)&lt;&gt;AE$5),1))+IF(AI397="",0,IFERROR(--(EOMONTH(AI397,0)&lt;&gt;AH$5),1))+IF(AL397="",0,IFERROR(--(EOMONTH(AL397,0)&lt;&gt;AK$5),1))+IF(AO397="",0,IFERROR(--(EOMONTH(AO397,0)&lt;&gt;AN$5),1))+IF(AR397="",0,IFERROR(--(EOMONTH(AR397,0)&lt;&gt;AQ$5),1))+IF(AU397="",0,IFERROR(--(EOMONTH(AU397,0)&lt;&gt;AT$5),1))+IF(AX397="",0,IFERROR(--(EOMONTH(AX397,0)&lt;&gt;AW$5),1))+IF(BA397="",0,IFERROR(--(EOMONTH(BA397,0)&lt;&gt;AZ$5),1)))&gt;0,"; An invoice date is not in the month it is typed under",""),3,500))</f>
        <v/>
      </c>
      <c r="S397" s="12" t="n"/>
      <c r="T397" s="13" t="n"/>
      <c r="U397" s="14" t="n"/>
      <c r="V397" s="12" t="n"/>
      <c r="W397" s="13" t="n"/>
      <c r="X397" s="14" t="n"/>
      <c r="Y397" s="12" t="n"/>
      <c r="Z397" s="13" t="n"/>
      <c r="AA397" s="14" t="n"/>
      <c r="AB397" s="12" t="n"/>
      <c r="AC397" s="13" t="n"/>
      <c r="AD397" s="14" t="n"/>
      <c r="AE397" s="12" t="n"/>
      <c r="AF397" s="13" t="n"/>
      <c r="AG397" s="14" t="n"/>
      <c r="AH397" s="12" t="n"/>
      <c r="AI397" s="13" t="n"/>
      <c r="AJ397" s="14" t="n"/>
      <c r="AK397" s="12" t="n"/>
      <c r="AL397" s="13" t="n"/>
      <c r="AM397" s="14" t="n"/>
      <c r="AN397" s="12" t="n"/>
      <c r="AO397" s="13" t="n"/>
      <c r="AP397" s="14" t="n"/>
      <c r="AQ397" s="12" t="n"/>
      <c r="AR397" s="13" t="n"/>
      <c r="AS397" s="14" t="n"/>
      <c r="AT397" s="12" t="n"/>
      <c r="AU397" s="13" t="n"/>
      <c r="AV397" s="14" t="n"/>
      <c r="AW397" s="12" t="n"/>
      <c r="AX397" s="13" t="n"/>
      <c r="AY397" s="14" t="n"/>
      <c r="AZ397" s="12" t="n"/>
      <c r="BA397" s="13" t="n"/>
      <c r="BB397" s="14" t="n"/>
      <c r="BC397" s="11">
        <f>IF(O397="","",IF(J397="GST 10%",ROUND(O397*set_GSTRate,2),0))</f>
        <v/>
      </c>
      <c r="BD397" s="11">
        <f>IF(O397="","",O397+BC397)</f>
        <v/>
      </c>
      <c r="BE397" s="15">
        <f>IF(O397="","",COUNTA(S397,V397,Y397,AB397,AE397,AH397,AK397,AN397,AQ397,AT397,AW397,AZ397))</f>
        <v/>
      </c>
      <c r="BF397" s="16">
        <f>IF(COUNT(T397,W397,Z397,AC397,AF397,AI397,AL397,AO397,AR397,AU397,AX397,BA397)=0,"",MAX(T397,W397,Z397,AC397,AF397,AI397,AL397,AO397,AR397,AU397,AX397,BA397))</f>
        <v/>
      </c>
      <c r="BG397" s="10">
        <f>MID(IF(S397="","",", "&amp;S397)&amp;IF(V397="","",", "&amp;V397)&amp;IF(Y397="","",", "&amp;Y397)&amp;IF(AB397="","",", "&amp;AB397)&amp;IF(AE397="","",", "&amp;AE397)&amp;IF(AH397="","",", "&amp;AH397)&amp;IF(AK397="","",", "&amp;AK397)&amp;IF(AN397="","",", "&amp;AN397)&amp;IF(AQ397="","",", "&amp;AQ397)&amp;IF(AT397="","",", "&amp;AT397)&amp;IF(AW397="","",", "&amp;AW397)&amp;IF(AZ397="","",", "&amp;AZ397),3,500)</f>
        <v/>
      </c>
      <c r="BH397" s="12" t="n"/>
      <c r="BI397" s="15">
        <f>IFERROR(MATCH($A397,IF($B397="Onsite",tbl_Onsite[Row ID],IF($B397="Production",tbl_Production[Row ID],tbl_Consulting[Row ID])),0),"")</f>
        <v/>
      </c>
    </row>
    <row r="398">
      <c r="A398" s="10" t="inlineStr">
        <is>
          <t>ONS-0392</t>
        </is>
      </c>
      <c r="B398" s="10" t="inlineStr">
        <is>
          <t>Onsite</t>
        </is>
      </c>
      <c r="C398" s="10">
        <f>IF($BI398="","",IF($B398="Onsite",INDEX(tbl_Onsite[Job Number],$BI398),IF($B398="Production",INDEX(tbl_Production[Job Number],$BI398),INDEX(tbl_Consulting[Job Number],$BI398)))&amp;"")</f>
        <v/>
      </c>
      <c r="D398" s="10">
        <f>IF($BI398="","",IF($B398="Onsite",INDEX(tbl_Onsite[Client],$BI398),IF($B398="Production",INDEX(tbl_Production[Client],$BI398),INDEX(tbl_Consulting[Client],$BI398)))&amp;"")</f>
        <v/>
      </c>
      <c r="E398" s="10">
        <f>IF($C398="","",IF(COUNTIF(lst_Jobs,$C398)&gt;0,"OK","CHECK"))</f>
        <v/>
      </c>
      <c r="F398" s="10">
        <f>IF($C398="","",IFERROR(INDEX(lst_JobName,MATCH($C398,lst_Jobs,0)),""))</f>
        <v/>
      </c>
      <c r="G398" s="10">
        <f>IF($BI398="","",IF($B398="Onsite",INDEX(tbl_Onsite[Job Description],$BI398),IF($B398="Production",INDEX(tbl_Production[Job Description],$BI398),INDEX(tbl_Consulting[Job Description],$BI398)))&amp;"")</f>
        <v/>
      </c>
      <c r="H398" s="10">
        <f>IF($BI398="","",IF($B398="Onsite",INDEX(tbl_Onsite[Cost Centre],$BI398),IF($B398="Production",INDEX(tbl_Production[Cost Centre],$BI398),INDEX(tbl_Consulting[Cost Centre],$BI398)))&amp;"")</f>
        <v/>
      </c>
      <c r="I398" s="10">
        <f>IF($BI398="","",IF($B398="Onsite",INDEX(tbl_Onsite[Invoice Type],$BI398),IF($B398="Production",INDEX(tbl_Production[Invoice Type],$BI398),INDEX(tbl_Consulting[Invoice Type],$BI398)))&amp;"")</f>
        <v/>
      </c>
      <c r="J398" s="10">
        <f>IF($BI398="","",IF($B398="Onsite",INDEX(tbl_Onsite[Tax Code],$BI398),IF($B398="Production",INDEX(tbl_Production[Tax Code],$BI398),INDEX(tbl_Consulting[Tax Code],$BI398)))&amp;"")</f>
        <v/>
      </c>
      <c r="K398" s="10">
        <f>IF(H398="","",IFERROR(INDEX(lst_CCtoGL,MATCH(H398,lst_CCforGL,0)),""))</f>
        <v/>
      </c>
      <c r="L398" s="10">
        <f>IF($BI398="","",IF($B398="Onsite",INDEX(tbl_Onsite[PO / Reference],$BI398),IF($B398="Production",INDEX(tbl_Production[Current RMS No],$BI398),INDEX(tbl_Consulting[Qwilr Quote],$BI398)))&amp;"")</f>
        <v/>
      </c>
      <c r="M398" s="10">
        <f>IF($BI398="","",IF($B398="Onsite",INDEX(tbl_Onsite[Notes],$BI398),IF($B398="Production",INDEX(tbl_Production[Notes],$BI398),INDEX(tbl_Consulting[Notes],$BI398)))&amp;"")</f>
        <v/>
      </c>
      <c r="N398" s="11">
        <f>IF($BI398="","",IF(IF($B398="Onsite",INDEX(tbl_Onsite[Expected Revenue Ex GST],$BI398),IF($B398="Production",INDEX(tbl_Production[Expected Revenue Ex GST],$BI398),INDEX(tbl_Consulting[Expected Revenue Ex GST],$BI398)))="","",IF($B398="Onsite",INDEX(tbl_Onsite[Expected Revenue Ex GST],$BI398),IF($B398="Production",INDEX(tbl_Production[Expected Revenue Ex GST],$BI398),INDEX(tbl_Consulting[Expected Revenue Ex GST],$BI398)))))</f>
        <v/>
      </c>
      <c r="O398" s="11">
        <f>IF(AND($C398="",NOT(COUNTA($S398:$BB398)&gt;0)),"",SUM(U398,X398,AA398,AD398,AG398,AJ398,AM398,AP398,AS398,AV398,AY398,BB398))</f>
        <v/>
      </c>
      <c r="P398" s="11">
        <f>IF(O398="","",N(N398)-O398)</f>
        <v/>
      </c>
      <c r="Q398" s="10">
        <f>IF(O398="","",IF($C398="","Invoice on empty job row",IF(N398="",IF(ROUND(O398,2)=0,"No dept value","Invoiced - no dept value"),IF(ROUND(O398,2)=0,"Not invoiced - to invoice",IF(ROUND(P398,2)=0,"Agrees",IF(P398&gt;0,"Dept higher - to invoice","Xero higher - check dept"))))))</f>
        <v/>
      </c>
      <c r="R398" s="10">
        <f>IF(AND($C398="",NOT(COUNTA($S398:$BB398)&gt;0),$BI398&lt;&gt;""),"",MID(IF($BI398="","; Row ID not found on the department sheet - a row was deleted","")&amp;IF(AND($C398="",COUNTA($S398:$BB398)&gt;0),"; Invoice entered but the department row has no job number","")&amp;IF(E398="CHECK","; Job number not in the Xero job list","")&amp;IF(AND($C398&lt;&gt;"",COUNTIF($C$7:$C$1506,$C398)&gt;1),"; Job number on more than one row","")&amp;IF(AND($C398&lt;&gt;"",H398=""),"; Dept has not set a cost centre","")&amp;IF(AND($C398&lt;&gt;"",J398=""),"; Dept has not set a tax code","")&amp;IF(AND($C398&lt;&gt;"",N398=""),"; Dept has not entered an expected value","")&amp;IF((IF(OR(COUNTA(S398:U398)=0,AND(COUNTA(S398:U398)=3,ISNUMBER(U398))),0,1)+IF(OR(COUNTA(V398:X398)=0,AND(COUNTA(V398:X398)=3,ISNUMBER(X398))),0,1)+IF(OR(COUNTA(Y398:AA398)=0,AND(COUNTA(Y398:AA398)=3,ISNUMBER(AA398))),0,1)+IF(OR(COUNTA(AB398:AD398)=0,AND(COUNTA(AB398:AD398)=3,ISNUMBER(AD398))),0,1)+IF(OR(COUNTA(AE398:AG398)=0,AND(COUNTA(AE398:AG398)=3,ISNUMBER(AG398))),0,1)+IF(OR(COUNTA(AH398:AJ398)=0,AND(COUNTA(AH398:AJ398)=3,ISNUMBER(AJ398))),0,1)+IF(OR(COUNTA(AK398:AM398)=0,AND(COUNTA(AK398:AM398)=3,ISNUMBER(AM398))),0,1)+IF(OR(COUNTA(AN398:AP398)=0,AND(COUNTA(AN398:AP398)=3,ISNUMBER(AP398))),0,1)+IF(OR(COUNTA(AQ398:AS398)=0,AND(COUNTA(AQ398:AS398)=3,ISNUMBER(AS398))),0,1)+IF(OR(COUNTA(AT398:AV398)=0,AND(COUNTA(AT398:AV398)=3,ISNUMBER(AV398))),0,1)+IF(OR(COUNTA(AW398:AY398)=0,AND(COUNTA(AW398:AY398)=3,ISNUMBER(AY398))),0,1)+IF(OR(COUNTA(AZ398:BB398)=0,AND(COUNTA(AZ398:BB398)=3,ISNUMBER(BB398))),0,1))&gt;0,"; An invoice is incomplete (needs No, Date and a number in Ex GST)","")&amp;IF((IF(T398="",0,IFERROR(--(EOMONTH(T398,0)&lt;&gt;S$5),1))+IF(W398="",0,IFERROR(--(EOMONTH(W398,0)&lt;&gt;V$5),1))+IF(Z398="",0,IFERROR(--(EOMONTH(Z398,0)&lt;&gt;Y$5),1))+IF(AC398="",0,IFERROR(--(EOMONTH(AC398,0)&lt;&gt;AB$5),1))+IF(AF398="",0,IFERROR(--(EOMONTH(AF398,0)&lt;&gt;AE$5),1))+IF(AI398="",0,IFERROR(--(EOMONTH(AI398,0)&lt;&gt;AH$5),1))+IF(AL398="",0,IFERROR(--(EOMONTH(AL398,0)&lt;&gt;AK$5),1))+IF(AO398="",0,IFERROR(--(EOMONTH(AO398,0)&lt;&gt;AN$5),1))+IF(AR398="",0,IFERROR(--(EOMONTH(AR398,0)&lt;&gt;AQ$5),1))+IF(AU398="",0,IFERROR(--(EOMONTH(AU398,0)&lt;&gt;AT$5),1))+IF(AX398="",0,IFERROR(--(EOMONTH(AX398,0)&lt;&gt;AW$5),1))+IF(BA398="",0,IFERROR(--(EOMONTH(BA398,0)&lt;&gt;AZ$5),1)))&gt;0,"; An invoice date is not in the month it is typed under",""),3,500))</f>
        <v/>
      </c>
      <c r="S398" s="12" t="n"/>
      <c r="T398" s="13" t="n"/>
      <c r="U398" s="14" t="n"/>
      <c r="V398" s="12" t="n"/>
      <c r="W398" s="13" t="n"/>
      <c r="X398" s="14" t="n"/>
      <c r="Y398" s="12" t="n"/>
      <c r="Z398" s="13" t="n"/>
      <c r="AA398" s="14" t="n"/>
      <c r="AB398" s="12" t="n"/>
      <c r="AC398" s="13" t="n"/>
      <c r="AD398" s="14" t="n"/>
      <c r="AE398" s="12" t="n"/>
      <c r="AF398" s="13" t="n"/>
      <c r="AG398" s="14" t="n"/>
      <c r="AH398" s="12" t="n"/>
      <c r="AI398" s="13" t="n"/>
      <c r="AJ398" s="14" t="n"/>
      <c r="AK398" s="12" t="n"/>
      <c r="AL398" s="13" t="n"/>
      <c r="AM398" s="14" t="n"/>
      <c r="AN398" s="12" t="n"/>
      <c r="AO398" s="13" t="n"/>
      <c r="AP398" s="14" t="n"/>
      <c r="AQ398" s="12" t="n"/>
      <c r="AR398" s="13" t="n"/>
      <c r="AS398" s="14" t="n"/>
      <c r="AT398" s="12" t="n"/>
      <c r="AU398" s="13" t="n"/>
      <c r="AV398" s="14" t="n"/>
      <c r="AW398" s="12" t="n"/>
      <c r="AX398" s="13" t="n"/>
      <c r="AY398" s="14" t="n"/>
      <c r="AZ398" s="12" t="n"/>
      <c r="BA398" s="13" t="n"/>
      <c r="BB398" s="14" t="n"/>
      <c r="BC398" s="11">
        <f>IF(O398="","",IF(J398="GST 10%",ROUND(O398*set_GSTRate,2),0))</f>
        <v/>
      </c>
      <c r="BD398" s="11">
        <f>IF(O398="","",O398+BC398)</f>
        <v/>
      </c>
      <c r="BE398" s="15">
        <f>IF(O398="","",COUNTA(S398,V398,Y398,AB398,AE398,AH398,AK398,AN398,AQ398,AT398,AW398,AZ398))</f>
        <v/>
      </c>
      <c r="BF398" s="16">
        <f>IF(COUNT(T398,W398,Z398,AC398,AF398,AI398,AL398,AO398,AR398,AU398,AX398,BA398)=0,"",MAX(T398,W398,Z398,AC398,AF398,AI398,AL398,AO398,AR398,AU398,AX398,BA398))</f>
        <v/>
      </c>
      <c r="BG398" s="10">
        <f>MID(IF(S398="","",", "&amp;S398)&amp;IF(V398="","",", "&amp;V398)&amp;IF(Y398="","",", "&amp;Y398)&amp;IF(AB398="","",", "&amp;AB398)&amp;IF(AE398="","",", "&amp;AE398)&amp;IF(AH398="","",", "&amp;AH398)&amp;IF(AK398="","",", "&amp;AK398)&amp;IF(AN398="","",", "&amp;AN398)&amp;IF(AQ398="","",", "&amp;AQ398)&amp;IF(AT398="","",", "&amp;AT398)&amp;IF(AW398="","",", "&amp;AW398)&amp;IF(AZ398="","",", "&amp;AZ398),3,500)</f>
        <v/>
      </c>
      <c r="BH398" s="12" t="n"/>
      <c r="BI398" s="15">
        <f>IFERROR(MATCH($A398,IF($B398="Onsite",tbl_Onsite[Row ID],IF($B398="Production",tbl_Production[Row ID],tbl_Consulting[Row ID])),0),"")</f>
        <v/>
      </c>
    </row>
    <row r="399">
      <c r="A399" s="10" t="inlineStr">
        <is>
          <t>ONS-0393</t>
        </is>
      </c>
      <c r="B399" s="10" t="inlineStr">
        <is>
          <t>Onsite</t>
        </is>
      </c>
      <c r="C399" s="10">
        <f>IF($BI399="","",IF($B399="Onsite",INDEX(tbl_Onsite[Job Number],$BI399),IF($B399="Production",INDEX(tbl_Production[Job Number],$BI399),INDEX(tbl_Consulting[Job Number],$BI399)))&amp;"")</f>
        <v/>
      </c>
      <c r="D399" s="10">
        <f>IF($BI399="","",IF($B399="Onsite",INDEX(tbl_Onsite[Client],$BI399),IF($B399="Production",INDEX(tbl_Production[Client],$BI399),INDEX(tbl_Consulting[Client],$BI399)))&amp;"")</f>
        <v/>
      </c>
      <c r="E399" s="10">
        <f>IF($C399="","",IF(COUNTIF(lst_Jobs,$C399)&gt;0,"OK","CHECK"))</f>
        <v/>
      </c>
      <c r="F399" s="10">
        <f>IF($C399="","",IFERROR(INDEX(lst_JobName,MATCH($C399,lst_Jobs,0)),""))</f>
        <v/>
      </c>
      <c r="G399" s="10">
        <f>IF($BI399="","",IF($B399="Onsite",INDEX(tbl_Onsite[Job Description],$BI399),IF($B399="Production",INDEX(tbl_Production[Job Description],$BI399),INDEX(tbl_Consulting[Job Description],$BI399)))&amp;"")</f>
        <v/>
      </c>
      <c r="H399" s="10">
        <f>IF($BI399="","",IF($B399="Onsite",INDEX(tbl_Onsite[Cost Centre],$BI399),IF($B399="Production",INDEX(tbl_Production[Cost Centre],$BI399),INDEX(tbl_Consulting[Cost Centre],$BI399)))&amp;"")</f>
        <v/>
      </c>
      <c r="I399" s="10">
        <f>IF($BI399="","",IF($B399="Onsite",INDEX(tbl_Onsite[Invoice Type],$BI399),IF($B399="Production",INDEX(tbl_Production[Invoice Type],$BI399),INDEX(tbl_Consulting[Invoice Type],$BI399)))&amp;"")</f>
        <v/>
      </c>
      <c r="J399" s="10">
        <f>IF($BI399="","",IF($B399="Onsite",INDEX(tbl_Onsite[Tax Code],$BI399),IF($B399="Production",INDEX(tbl_Production[Tax Code],$BI399),INDEX(tbl_Consulting[Tax Code],$BI399)))&amp;"")</f>
        <v/>
      </c>
      <c r="K399" s="10">
        <f>IF(H399="","",IFERROR(INDEX(lst_CCtoGL,MATCH(H399,lst_CCforGL,0)),""))</f>
        <v/>
      </c>
      <c r="L399" s="10">
        <f>IF($BI399="","",IF($B399="Onsite",INDEX(tbl_Onsite[PO / Reference],$BI399),IF($B399="Production",INDEX(tbl_Production[Current RMS No],$BI399),INDEX(tbl_Consulting[Qwilr Quote],$BI399)))&amp;"")</f>
        <v/>
      </c>
      <c r="M399" s="10">
        <f>IF($BI399="","",IF($B399="Onsite",INDEX(tbl_Onsite[Notes],$BI399),IF($B399="Production",INDEX(tbl_Production[Notes],$BI399),INDEX(tbl_Consulting[Notes],$BI399)))&amp;"")</f>
        <v/>
      </c>
      <c r="N399" s="11">
        <f>IF($BI399="","",IF(IF($B399="Onsite",INDEX(tbl_Onsite[Expected Revenue Ex GST],$BI399),IF($B399="Production",INDEX(tbl_Production[Expected Revenue Ex GST],$BI399),INDEX(tbl_Consulting[Expected Revenue Ex GST],$BI399)))="","",IF($B399="Onsite",INDEX(tbl_Onsite[Expected Revenue Ex GST],$BI399),IF($B399="Production",INDEX(tbl_Production[Expected Revenue Ex GST],$BI399),INDEX(tbl_Consulting[Expected Revenue Ex GST],$BI399)))))</f>
        <v/>
      </c>
      <c r="O399" s="11">
        <f>IF(AND($C399="",NOT(COUNTA($S399:$BB399)&gt;0)),"",SUM(U399,X399,AA399,AD399,AG399,AJ399,AM399,AP399,AS399,AV399,AY399,BB399))</f>
        <v/>
      </c>
      <c r="P399" s="11">
        <f>IF(O399="","",N(N399)-O399)</f>
        <v/>
      </c>
      <c r="Q399" s="10">
        <f>IF(O399="","",IF($C399="","Invoice on empty job row",IF(N399="",IF(ROUND(O399,2)=0,"No dept value","Invoiced - no dept value"),IF(ROUND(O399,2)=0,"Not invoiced - to invoice",IF(ROUND(P399,2)=0,"Agrees",IF(P399&gt;0,"Dept higher - to invoice","Xero higher - check dept"))))))</f>
        <v/>
      </c>
      <c r="R399" s="10">
        <f>IF(AND($C399="",NOT(COUNTA($S399:$BB399)&gt;0),$BI399&lt;&gt;""),"",MID(IF($BI399="","; Row ID not found on the department sheet - a row was deleted","")&amp;IF(AND($C399="",COUNTA($S399:$BB399)&gt;0),"; Invoice entered but the department row has no job number","")&amp;IF(E399="CHECK","; Job number not in the Xero job list","")&amp;IF(AND($C399&lt;&gt;"",COUNTIF($C$7:$C$1506,$C399)&gt;1),"; Job number on more than one row","")&amp;IF(AND($C399&lt;&gt;"",H399=""),"; Dept has not set a cost centre","")&amp;IF(AND($C399&lt;&gt;"",J399=""),"; Dept has not set a tax code","")&amp;IF(AND($C399&lt;&gt;"",N399=""),"; Dept has not entered an expected value","")&amp;IF((IF(OR(COUNTA(S399:U399)=0,AND(COUNTA(S399:U399)=3,ISNUMBER(U399))),0,1)+IF(OR(COUNTA(V399:X399)=0,AND(COUNTA(V399:X399)=3,ISNUMBER(X399))),0,1)+IF(OR(COUNTA(Y399:AA399)=0,AND(COUNTA(Y399:AA399)=3,ISNUMBER(AA399))),0,1)+IF(OR(COUNTA(AB399:AD399)=0,AND(COUNTA(AB399:AD399)=3,ISNUMBER(AD399))),0,1)+IF(OR(COUNTA(AE399:AG399)=0,AND(COUNTA(AE399:AG399)=3,ISNUMBER(AG399))),0,1)+IF(OR(COUNTA(AH399:AJ399)=0,AND(COUNTA(AH399:AJ399)=3,ISNUMBER(AJ399))),0,1)+IF(OR(COUNTA(AK399:AM399)=0,AND(COUNTA(AK399:AM399)=3,ISNUMBER(AM399))),0,1)+IF(OR(COUNTA(AN399:AP399)=0,AND(COUNTA(AN399:AP399)=3,ISNUMBER(AP399))),0,1)+IF(OR(COUNTA(AQ399:AS399)=0,AND(COUNTA(AQ399:AS399)=3,ISNUMBER(AS399))),0,1)+IF(OR(COUNTA(AT399:AV399)=0,AND(COUNTA(AT399:AV399)=3,ISNUMBER(AV399))),0,1)+IF(OR(COUNTA(AW399:AY399)=0,AND(COUNTA(AW399:AY399)=3,ISNUMBER(AY399))),0,1)+IF(OR(COUNTA(AZ399:BB399)=0,AND(COUNTA(AZ399:BB399)=3,ISNUMBER(BB399))),0,1))&gt;0,"; An invoice is incomplete (needs No, Date and a number in Ex GST)","")&amp;IF((IF(T399="",0,IFERROR(--(EOMONTH(T399,0)&lt;&gt;S$5),1))+IF(W399="",0,IFERROR(--(EOMONTH(W399,0)&lt;&gt;V$5),1))+IF(Z399="",0,IFERROR(--(EOMONTH(Z399,0)&lt;&gt;Y$5),1))+IF(AC399="",0,IFERROR(--(EOMONTH(AC399,0)&lt;&gt;AB$5),1))+IF(AF399="",0,IFERROR(--(EOMONTH(AF399,0)&lt;&gt;AE$5),1))+IF(AI399="",0,IFERROR(--(EOMONTH(AI399,0)&lt;&gt;AH$5),1))+IF(AL399="",0,IFERROR(--(EOMONTH(AL399,0)&lt;&gt;AK$5),1))+IF(AO399="",0,IFERROR(--(EOMONTH(AO399,0)&lt;&gt;AN$5),1))+IF(AR399="",0,IFERROR(--(EOMONTH(AR399,0)&lt;&gt;AQ$5),1))+IF(AU399="",0,IFERROR(--(EOMONTH(AU399,0)&lt;&gt;AT$5),1))+IF(AX399="",0,IFERROR(--(EOMONTH(AX399,0)&lt;&gt;AW$5),1))+IF(BA399="",0,IFERROR(--(EOMONTH(BA399,0)&lt;&gt;AZ$5),1)))&gt;0,"; An invoice date is not in the month it is typed under",""),3,500))</f>
        <v/>
      </c>
      <c r="S399" s="12" t="n"/>
      <c r="T399" s="13" t="n"/>
      <c r="U399" s="14" t="n"/>
      <c r="V399" s="12" t="n"/>
      <c r="W399" s="13" t="n"/>
      <c r="X399" s="14" t="n"/>
      <c r="Y399" s="12" t="n"/>
      <c r="Z399" s="13" t="n"/>
      <c r="AA399" s="14" t="n"/>
      <c r="AB399" s="12" t="n"/>
      <c r="AC399" s="13" t="n"/>
      <c r="AD399" s="14" t="n"/>
      <c r="AE399" s="12" t="n"/>
      <c r="AF399" s="13" t="n"/>
      <c r="AG399" s="14" t="n"/>
      <c r="AH399" s="12" t="n"/>
      <c r="AI399" s="13" t="n"/>
      <c r="AJ399" s="14" t="n"/>
      <c r="AK399" s="12" t="n"/>
      <c r="AL399" s="13" t="n"/>
      <c r="AM399" s="14" t="n"/>
      <c r="AN399" s="12" t="n"/>
      <c r="AO399" s="13" t="n"/>
      <c r="AP399" s="14" t="n"/>
      <c r="AQ399" s="12" t="n"/>
      <c r="AR399" s="13" t="n"/>
      <c r="AS399" s="14" t="n"/>
      <c r="AT399" s="12" t="n"/>
      <c r="AU399" s="13" t="n"/>
      <c r="AV399" s="14" t="n"/>
      <c r="AW399" s="12" t="n"/>
      <c r="AX399" s="13" t="n"/>
      <c r="AY399" s="14" t="n"/>
      <c r="AZ399" s="12" t="n"/>
      <c r="BA399" s="13" t="n"/>
      <c r="BB399" s="14" t="n"/>
      <c r="BC399" s="11">
        <f>IF(O399="","",IF(J399="GST 10%",ROUND(O399*set_GSTRate,2),0))</f>
        <v/>
      </c>
      <c r="BD399" s="11">
        <f>IF(O399="","",O399+BC399)</f>
        <v/>
      </c>
      <c r="BE399" s="15">
        <f>IF(O399="","",COUNTA(S399,V399,Y399,AB399,AE399,AH399,AK399,AN399,AQ399,AT399,AW399,AZ399))</f>
        <v/>
      </c>
      <c r="BF399" s="16">
        <f>IF(COUNT(T399,W399,Z399,AC399,AF399,AI399,AL399,AO399,AR399,AU399,AX399,BA399)=0,"",MAX(T399,W399,Z399,AC399,AF399,AI399,AL399,AO399,AR399,AU399,AX399,BA399))</f>
        <v/>
      </c>
      <c r="BG399" s="10">
        <f>MID(IF(S399="","",", "&amp;S399)&amp;IF(V399="","",", "&amp;V399)&amp;IF(Y399="","",", "&amp;Y399)&amp;IF(AB399="","",", "&amp;AB399)&amp;IF(AE399="","",", "&amp;AE399)&amp;IF(AH399="","",", "&amp;AH399)&amp;IF(AK399="","",", "&amp;AK399)&amp;IF(AN399="","",", "&amp;AN399)&amp;IF(AQ399="","",", "&amp;AQ399)&amp;IF(AT399="","",", "&amp;AT399)&amp;IF(AW399="","",", "&amp;AW399)&amp;IF(AZ399="","",", "&amp;AZ399),3,500)</f>
        <v/>
      </c>
      <c r="BH399" s="12" t="n"/>
      <c r="BI399" s="15">
        <f>IFERROR(MATCH($A399,IF($B399="Onsite",tbl_Onsite[Row ID],IF($B399="Production",tbl_Production[Row ID],tbl_Consulting[Row ID])),0),"")</f>
        <v/>
      </c>
    </row>
    <row r="400">
      <c r="A400" s="10" t="inlineStr">
        <is>
          <t>ONS-0394</t>
        </is>
      </c>
      <c r="B400" s="10" t="inlineStr">
        <is>
          <t>Onsite</t>
        </is>
      </c>
      <c r="C400" s="10">
        <f>IF($BI400="","",IF($B400="Onsite",INDEX(tbl_Onsite[Job Number],$BI400),IF($B400="Production",INDEX(tbl_Production[Job Number],$BI400),INDEX(tbl_Consulting[Job Number],$BI400)))&amp;"")</f>
        <v/>
      </c>
      <c r="D400" s="10">
        <f>IF($BI400="","",IF($B400="Onsite",INDEX(tbl_Onsite[Client],$BI400),IF($B400="Production",INDEX(tbl_Production[Client],$BI400),INDEX(tbl_Consulting[Client],$BI400)))&amp;"")</f>
        <v/>
      </c>
      <c r="E400" s="10">
        <f>IF($C400="","",IF(COUNTIF(lst_Jobs,$C400)&gt;0,"OK","CHECK"))</f>
        <v/>
      </c>
      <c r="F400" s="10">
        <f>IF($C400="","",IFERROR(INDEX(lst_JobName,MATCH($C400,lst_Jobs,0)),""))</f>
        <v/>
      </c>
      <c r="G400" s="10">
        <f>IF($BI400="","",IF($B400="Onsite",INDEX(tbl_Onsite[Job Description],$BI400),IF($B400="Production",INDEX(tbl_Production[Job Description],$BI400),INDEX(tbl_Consulting[Job Description],$BI400)))&amp;"")</f>
        <v/>
      </c>
      <c r="H400" s="10">
        <f>IF($BI400="","",IF($B400="Onsite",INDEX(tbl_Onsite[Cost Centre],$BI400),IF($B400="Production",INDEX(tbl_Production[Cost Centre],$BI400),INDEX(tbl_Consulting[Cost Centre],$BI400)))&amp;"")</f>
        <v/>
      </c>
      <c r="I400" s="10">
        <f>IF($BI400="","",IF($B400="Onsite",INDEX(tbl_Onsite[Invoice Type],$BI400),IF($B400="Production",INDEX(tbl_Production[Invoice Type],$BI400),INDEX(tbl_Consulting[Invoice Type],$BI400)))&amp;"")</f>
        <v/>
      </c>
      <c r="J400" s="10">
        <f>IF($BI400="","",IF($B400="Onsite",INDEX(tbl_Onsite[Tax Code],$BI400),IF($B400="Production",INDEX(tbl_Production[Tax Code],$BI400),INDEX(tbl_Consulting[Tax Code],$BI400)))&amp;"")</f>
        <v/>
      </c>
      <c r="K400" s="10">
        <f>IF(H400="","",IFERROR(INDEX(lst_CCtoGL,MATCH(H400,lst_CCforGL,0)),""))</f>
        <v/>
      </c>
      <c r="L400" s="10">
        <f>IF($BI400="","",IF($B400="Onsite",INDEX(tbl_Onsite[PO / Reference],$BI400),IF($B400="Production",INDEX(tbl_Production[Current RMS No],$BI400),INDEX(tbl_Consulting[Qwilr Quote],$BI400)))&amp;"")</f>
        <v/>
      </c>
      <c r="M400" s="10">
        <f>IF($BI400="","",IF($B400="Onsite",INDEX(tbl_Onsite[Notes],$BI400),IF($B400="Production",INDEX(tbl_Production[Notes],$BI400),INDEX(tbl_Consulting[Notes],$BI400)))&amp;"")</f>
        <v/>
      </c>
      <c r="N400" s="11">
        <f>IF($BI400="","",IF(IF($B400="Onsite",INDEX(tbl_Onsite[Expected Revenue Ex GST],$BI400),IF($B400="Production",INDEX(tbl_Production[Expected Revenue Ex GST],$BI400),INDEX(tbl_Consulting[Expected Revenue Ex GST],$BI400)))="","",IF($B400="Onsite",INDEX(tbl_Onsite[Expected Revenue Ex GST],$BI400),IF($B400="Production",INDEX(tbl_Production[Expected Revenue Ex GST],$BI400),INDEX(tbl_Consulting[Expected Revenue Ex GST],$BI400)))))</f>
        <v/>
      </c>
      <c r="O400" s="11">
        <f>IF(AND($C400="",NOT(COUNTA($S400:$BB400)&gt;0)),"",SUM(U400,X400,AA400,AD400,AG400,AJ400,AM400,AP400,AS400,AV400,AY400,BB400))</f>
        <v/>
      </c>
      <c r="P400" s="11">
        <f>IF(O400="","",N(N400)-O400)</f>
        <v/>
      </c>
      <c r="Q400" s="10">
        <f>IF(O400="","",IF($C400="","Invoice on empty job row",IF(N400="",IF(ROUND(O400,2)=0,"No dept value","Invoiced - no dept value"),IF(ROUND(O400,2)=0,"Not invoiced - to invoice",IF(ROUND(P400,2)=0,"Agrees",IF(P400&gt;0,"Dept higher - to invoice","Xero higher - check dept"))))))</f>
        <v/>
      </c>
      <c r="R400" s="10">
        <f>IF(AND($C400="",NOT(COUNTA($S400:$BB400)&gt;0),$BI400&lt;&gt;""),"",MID(IF($BI400="","; Row ID not found on the department sheet - a row was deleted","")&amp;IF(AND($C400="",COUNTA($S400:$BB400)&gt;0),"; Invoice entered but the department row has no job number","")&amp;IF(E400="CHECK","; Job number not in the Xero job list","")&amp;IF(AND($C400&lt;&gt;"",COUNTIF($C$7:$C$1506,$C400)&gt;1),"; Job number on more than one row","")&amp;IF(AND($C400&lt;&gt;"",H400=""),"; Dept has not set a cost centre","")&amp;IF(AND($C400&lt;&gt;"",J400=""),"; Dept has not set a tax code","")&amp;IF(AND($C400&lt;&gt;"",N400=""),"; Dept has not entered an expected value","")&amp;IF((IF(OR(COUNTA(S400:U400)=0,AND(COUNTA(S400:U400)=3,ISNUMBER(U400))),0,1)+IF(OR(COUNTA(V400:X400)=0,AND(COUNTA(V400:X400)=3,ISNUMBER(X400))),0,1)+IF(OR(COUNTA(Y400:AA400)=0,AND(COUNTA(Y400:AA400)=3,ISNUMBER(AA400))),0,1)+IF(OR(COUNTA(AB400:AD400)=0,AND(COUNTA(AB400:AD400)=3,ISNUMBER(AD400))),0,1)+IF(OR(COUNTA(AE400:AG400)=0,AND(COUNTA(AE400:AG400)=3,ISNUMBER(AG400))),0,1)+IF(OR(COUNTA(AH400:AJ400)=0,AND(COUNTA(AH400:AJ400)=3,ISNUMBER(AJ400))),0,1)+IF(OR(COUNTA(AK400:AM400)=0,AND(COUNTA(AK400:AM400)=3,ISNUMBER(AM400))),0,1)+IF(OR(COUNTA(AN400:AP400)=0,AND(COUNTA(AN400:AP400)=3,ISNUMBER(AP400))),0,1)+IF(OR(COUNTA(AQ400:AS400)=0,AND(COUNTA(AQ400:AS400)=3,ISNUMBER(AS400))),0,1)+IF(OR(COUNTA(AT400:AV400)=0,AND(COUNTA(AT400:AV400)=3,ISNUMBER(AV400))),0,1)+IF(OR(COUNTA(AW400:AY400)=0,AND(COUNTA(AW400:AY400)=3,ISNUMBER(AY400))),0,1)+IF(OR(COUNTA(AZ400:BB400)=0,AND(COUNTA(AZ400:BB400)=3,ISNUMBER(BB400))),0,1))&gt;0,"; An invoice is incomplete (needs No, Date and a number in Ex GST)","")&amp;IF((IF(T400="",0,IFERROR(--(EOMONTH(T400,0)&lt;&gt;S$5),1))+IF(W400="",0,IFERROR(--(EOMONTH(W400,0)&lt;&gt;V$5),1))+IF(Z400="",0,IFERROR(--(EOMONTH(Z400,0)&lt;&gt;Y$5),1))+IF(AC400="",0,IFERROR(--(EOMONTH(AC400,0)&lt;&gt;AB$5),1))+IF(AF400="",0,IFERROR(--(EOMONTH(AF400,0)&lt;&gt;AE$5),1))+IF(AI400="",0,IFERROR(--(EOMONTH(AI400,0)&lt;&gt;AH$5),1))+IF(AL400="",0,IFERROR(--(EOMONTH(AL400,0)&lt;&gt;AK$5),1))+IF(AO400="",0,IFERROR(--(EOMONTH(AO400,0)&lt;&gt;AN$5),1))+IF(AR400="",0,IFERROR(--(EOMONTH(AR400,0)&lt;&gt;AQ$5),1))+IF(AU400="",0,IFERROR(--(EOMONTH(AU400,0)&lt;&gt;AT$5),1))+IF(AX400="",0,IFERROR(--(EOMONTH(AX400,0)&lt;&gt;AW$5),1))+IF(BA400="",0,IFERROR(--(EOMONTH(BA400,0)&lt;&gt;AZ$5),1)))&gt;0,"; An invoice date is not in the month it is typed under",""),3,500))</f>
        <v/>
      </c>
      <c r="S400" s="12" t="n"/>
      <c r="T400" s="13" t="n"/>
      <c r="U400" s="14" t="n"/>
      <c r="V400" s="12" t="n"/>
      <c r="W400" s="13" t="n"/>
      <c r="X400" s="14" t="n"/>
      <c r="Y400" s="12" t="n"/>
      <c r="Z400" s="13" t="n"/>
      <c r="AA400" s="14" t="n"/>
      <c r="AB400" s="12" t="n"/>
      <c r="AC400" s="13" t="n"/>
      <c r="AD400" s="14" t="n"/>
      <c r="AE400" s="12" t="n"/>
      <c r="AF400" s="13" t="n"/>
      <c r="AG400" s="14" t="n"/>
      <c r="AH400" s="12" t="n"/>
      <c r="AI400" s="13" t="n"/>
      <c r="AJ400" s="14" t="n"/>
      <c r="AK400" s="12" t="n"/>
      <c r="AL400" s="13" t="n"/>
      <c r="AM400" s="14" t="n"/>
      <c r="AN400" s="12" t="n"/>
      <c r="AO400" s="13" t="n"/>
      <c r="AP400" s="14" t="n"/>
      <c r="AQ400" s="12" t="n"/>
      <c r="AR400" s="13" t="n"/>
      <c r="AS400" s="14" t="n"/>
      <c r="AT400" s="12" t="n"/>
      <c r="AU400" s="13" t="n"/>
      <c r="AV400" s="14" t="n"/>
      <c r="AW400" s="12" t="n"/>
      <c r="AX400" s="13" t="n"/>
      <c r="AY400" s="14" t="n"/>
      <c r="AZ400" s="12" t="n"/>
      <c r="BA400" s="13" t="n"/>
      <c r="BB400" s="14" t="n"/>
      <c r="BC400" s="11">
        <f>IF(O400="","",IF(J400="GST 10%",ROUND(O400*set_GSTRate,2),0))</f>
        <v/>
      </c>
      <c r="BD400" s="11">
        <f>IF(O400="","",O400+BC400)</f>
        <v/>
      </c>
      <c r="BE400" s="15">
        <f>IF(O400="","",COUNTA(S400,V400,Y400,AB400,AE400,AH400,AK400,AN400,AQ400,AT400,AW400,AZ400))</f>
        <v/>
      </c>
      <c r="BF400" s="16">
        <f>IF(COUNT(T400,W400,Z400,AC400,AF400,AI400,AL400,AO400,AR400,AU400,AX400,BA400)=0,"",MAX(T400,W400,Z400,AC400,AF400,AI400,AL400,AO400,AR400,AU400,AX400,BA400))</f>
        <v/>
      </c>
      <c r="BG400" s="10">
        <f>MID(IF(S400="","",", "&amp;S400)&amp;IF(V400="","",", "&amp;V400)&amp;IF(Y400="","",", "&amp;Y400)&amp;IF(AB400="","",", "&amp;AB400)&amp;IF(AE400="","",", "&amp;AE400)&amp;IF(AH400="","",", "&amp;AH400)&amp;IF(AK400="","",", "&amp;AK400)&amp;IF(AN400="","",", "&amp;AN400)&amp;IF(AQ400="","",", "&amp;AQ400)&amp;IF(AT400="","",", "&amp;AT400)&amp;IF(AW400="","",", "&amp;AW400)&amp;IF(AZ400="","",", "&amp;AZ400),3,500)</f>
        <v/>
      </c>
      <c r="BH400" s="12" t="n"/>
      <c r="BI400" s="15">
        <f>IFERROR(MATCH($A400,IF($B400="Onsite",tbl_Onsite[Row ID],IF($B400="Production",tbl_Production[Row ID],tbl_Consulting[Row ID])),0),"")</f>
        <v/>
      </c>
    </row>
    <row r="401">
      <c r="A401" s="10" t="inlineStr">
        <is>
          <t>ONS-0395</t>
        </is>
      </c>
      <c r="B401" s="10" t="inlineStr">
        <is>
          <t>Onsite</t>
        </is>
      </c>
      <c r="C401" s="10">
        <f>IF($BI401="","",IF($B401="Onsite",INDEX(tbl_Onsite[Job Number],$BI401),IF($B401="Production",INDEX(tbl_Production[Job Number],$BI401),INDEX(tbl_Consulting[Job Number],$BI401)))&amp;"")</f>
        <v/>
      </c>
      <c r="D401" s="10">
        <f>IF($BI401="","",IF($B401="Onsite",INDEX(tbl_Onsite[Client],$BI401),IF($B401="Production",INDEX(tbl_Production[Client],$BI401),INDEX(tbl_Consulting[Client],$BI401)))&amp;"")</f>
        <v/>
      </c>
      <c r="E401" s="10">
        <f>IF($C401="","",IF(COUNTIF(lst_Jobs,$C401)&gt;0,"OK","CHECK"))</f>
        <v/>
      </c>
      <c r="F401" s="10">
        <f>IF($C401="","",IFERROR(INDEX(lst_JobName,MATCH($C401,lst_Jobs,0)),""))</f>
        <v/>
      </c>
      <c r="G401" s="10">
        <f>IF($BI401="","",IF($B401="Onsite",INDEX(tbl_Onsite[Job Description],$BI401),IF($B401="Production",INDEX(tbl_Production[Job Description],$BI401),INDEX(tbl_Consulting[Job Description],$BI401)))&amp;"")</f>
        <v/>
      </c>
      <c r="H401" s="10">
        <f>IF($BI401="","",IF($B401="Onsite",INDEX(tbl_Onsite[Cost Centre],$BI401),IF($B401="Production",INDEX(tbl_Production[Cost Centre],$BI401),INDEX(tbl_Consulting[Cost Centre],$BI401)))&amp;"")</f>
        <v/>
      </c>
      <c r="I401" s="10">
        <f>IF($BI401="","",IF($B401="Onsite",INDEX(tbl_Onsite[Invoice Type],$BI401),IF($B401="Production",INDEX(tbl_Production[Invoice Type],$BI401),INDEX(tbl_Consulting[Invoice Type],$BI401)))&amp;"")</f>
        <v/>
      </c>
      <c r="J401" s="10">
        <f>IF($BI401="","",IF($B401="Onsite",INDEX(tbl_Onsite[Tax Code],$BI401),IF($B401="Production",INDEX(tbl_Production[Tax Code],$BI401),INDEX(tbl_Consulting[Tax Code],$BI401)))&amp;"")</f>
        <v/>
      </c>
      <c r="K401" s="10">
        <f>IF(H401="","",IFERROR(INDEX(lst_CCtoGL,MATCH(H401,lst_CCforGL,0)),""))</f>
        <v/>
      </c>
      <c r="L401" s="10">
        <f>IF($BI401="","",IF($B401="Onsite",INDEX(tbl_Onsite[PO / Reference],$BI401),IF($B401="Production",INDEX(tbl_Production[Current RMS No],$BI401),INDEX(tbl_Consulting[Qwilr Quote],$BI401)))&amp;"")</f>
        <v/>
      </c>
      <c r="M401" s="10">
        <f>IF($BI401="","",IF($B401="Onsite",INDEX(tbl_Onsite[Notes],$BI401),IF($B401="Production",INDEX(tbl_Production[Notes],$BI401),INDEX(tbl_Consulting[Notes],$BI401)))&amp;"")</f>
        <v/>
      </c>
      <c r="N401" s="11">
        <f>IF($BI401="","",IF(IF($B401="Onsite",INDEX(tbl_Onsite[Expected Revenue Ex GST],$BI401),IF($B401="Production",INDEX(tbl_Production[Expected Revenue Ex GST],$BI401),INDEX(tbl_Consulting[Expected Revenue Ex GST],$BI401)))="","",IF($B401="Onsite",INDEX(tbl_Onsite[Expected Revenue Ex GST],$BI401),IF($B401="Production",INDEX(tbl_Production[Expected Revenue Ex GST],$BI401),INDEX(tbl_Consulting[Expected Revenue Ex GST],$BI401)))))</f>
        <v/>
      </c>
      <c r="O401" s="11">
        <f>IF(AND($C401="",NOT(COUNTA($S401:$BB401)&gt;0)),"",SUM(U401,X401,AA401,AD401,AG401,AJ401,AM401,AP401,AS401,AV401,AY401,BB401))</f>
        <v/>
      </c>
      <c r="P401" s="11">
        <f>IF(O401="","",N(N401)-O401)</f>
        <v/>
      </c>
      <c r="Q401" s="10">
        <f>IF(O401="","",IF($C401="","Invoice on empty job row",IF(N401="",IF(ROUND(O401,2)=0,"No dept value","Invoiced - no dept value"),IF(ROUND(O401,2)=0,"Not invoiced - to invoice",IF(ROUND(P401,2)=0,"Agrees",IF(P401&gt;0,"Dept higher - to invoice","Xero higher - check dept"))))))</f>
        <v/>
      </c>
      <c r="R401" s="10">
        <f>IF(AND($C401="",NOT(COUNTA($S401:$BB401)&gt;0),$BI401&lt;&gt;""),"",MID(IF($BI401="","; Row ID not found on the department sheet - a row was deleted","")&amp;IF(AND($C401="",COUNTA($S401:$BB401)&gt;0),"; Invoice entered but the department row has no job number","")&amp;IF(E401="CHECK","; Job number not in the Xero job list","")&amp;IF(AND($C401&lt;&gt;"",COUNTIF($C$7:$C$1506,$C401)&gt;1),"; Job number on more than one row","")&amp;IF(AND($C401&lt;&gt;"",H401=""),"; Dept has not set a cost centre","")&amp;IF(AND($C401&lt;&gt;"",J401=""),"; Dept has not set a tax code","")&amp;IF(AND($C401&lt;&gt;"",N401=""),"; Dept has not entered an expected value","")&amp;IF((IF(OR(COUNTA(S401:U401)=0,AND(COUNTA(S401:U401)=3,ISNUMBER(U401))),0,1)+IF(OR(COUNTA(V401:X401)=0,AND(COUNTA(V401:X401)=3,ISNUMBER(X401))),0,1)+IF(OR(COUNTA(Y401:AA401)=0,AND(COUNTA(Y401:AA401)=3,ISNUMBER(AA401))),0,1)+IF(OR(COUNTA(AB401:AD401)=0,AND(COUNTA(AB401:AD401)=3,ISNUMBER(AD401))),0,1)+IF(OR(COUNTA(AE401:AG401)=0,AND(COUNTA(AE401:AG401)=3,ISNUMBER(AG401))),0,1)+IF(OR(COUNTA(AH401:AJ401)=0,AND(COUNTA(AH401:AJ401)=3,ISNUMBER(AJ401))),0,1)+IF(OR(COUNTA(AK401:AM401)=0,AND(COUNTA(AK401:AM401)=3,ISNUMBER(AM401))),0,1)+IF(OR(COUNTA(AN401:AP401)=0,AND(COUNTA(AN401:AP401)=3,ISNUMBER(AP401))),0,1)+IF(OR(COUNTA(AQ401:AS401)=0,AND(COUNTA(AQ401:AS401)=3,ISNUMBER(AS401))),0,1)+IF(OR(COUNTA(AT401:AV401)=0,AND(COUNTA(AT401:AV401)=3,ISNUMBER(AV401))),0,1)+IF(OR(COUNTA(AW401:AY401)=0,AND(COUNTA(AW401:AY401)=3,ISNUMBER(AY401))),0,1)+IF(OR(COUNTA(AZ401:BB401)=0,AND(COUNTA(AZ401:BB401)=3,ISNUMBER(BB401))),0,1))&gt;0,"; An invoice is incomplete (needs No, Date and a number in Ex GST)","")&amp;IF((IF(T401="",0,IFERROR(--(EOMONTH(T401,0)&lt;&gt;S$5),1))+IF(W401="",0,IFERROR(--(EOMONTH(W401,0)&lt;&gt;V$5),1))+IF(Z401="",0,IFERROR(--(EOMONTH(Z401,0)&lt;&gt;Y$5),1))+IF(AC401="",0,IFERROR(--(EOMONTH(AC401,0)&lt;&gt;AB$5),1))+IF(AF401="",0,IFERROR(--(EOMONTH(AF401,0)&lt;&gt;AE$5),1))+IF(AI401="",0,IFERROR(--(EOMONTH(AI401,0)&lt;&gt;AH$5),1))+IF(AL401="",0,IFERROR(--(EOMONTH(AL401,0)&lt;&gt;AK$5),1))+IF(AO401="",0,IFERROR(--(EOMONTH(AO401,0)&lt;&gt;AN$5),1))+IF(AR401="",0,IFERROR(--(EOMONTH(AR401,0)&lt;&gt;AQ$5),1))+IF(AU401="",0,IFERROR(--(EOMONTH(AU401,0)&lt;&gt;AT$5),1))+IF(AX401="",0,IFERROR(--(EOMONTH(AX401,0)&lt;&gt;AW$5),1))+IF(BA401="",0,IFERROR(--(EOMONTH(BA401,0)&lt;&gt;AZ$5),1)))&gt;0,"; An invoice date is not in the month it is typed under",""),3,500))</f>
        <v/>
      </c>
      <c r="S401" s="12" t="n"/>
      <c r="T401" s="13" t="n"/>
      <c r="U401" s="14" t="n"/>
      <c r="V401" s="12" t="n"/>
      <c r="W401" s="13" t="n"/>
      <c r="X401" s="14" t="n"/>
      <c r="Y401" s="12" t="n"/>
      <c r="Z401" s="13" t="n"/>
      <c r="AA401" s="14" t="n"/>
      <c r="AB401" s="12" t="n"/>
      <c r="AC401" s="13" t="n"/>
      <c r="AD401" s="14" t="n"/>
      <c r="AE401" s="12" t="n"/>
      <c r="AF401" s="13" t="n"/>
      <c r="AG401" s="14" t="n"/>
      <c r="AH401" s="12" t="n"/>
      <c r="AI401" s="13" t="n"/>
      <c r="AJ401" s="14" t="n"/>
      <c r="AK401" s="12" t="n"/>
      <c r="AL401" s="13" t="n"/>
      <c r="AM401" s="14" t="n"/>
      <c r="AN401" s="12" t="n"/>
      <c r="AO401" s="13" t="n"/>
      <c r="AP401" s="14" t="n"/>
      <c r="AQ401" s="12" t="n"/>
      <c r="AR401" s="13" t="n"/>
      <c r="AS401" s="14" t="n"/>
      <c r="AT401" s="12" t="n"/>
      <c r="AU401" s="13" t="n"/>
      <c r="AV401" s="14" t="n"/>
      <c r="AW401" s="12" t="n"/>
      <c r="AX401" s="13" t="n"/>
      <c r="AY401" s="14" t="n"/>
      <c r="AZ401" s="12" t="n"/>
      <c r="BA401" s="13" t="n"/>
      <c r="BB401" s="14" t="n"/>
      <c r="BC401" s="11">
        <f>IF(O401="","",IF(J401="GST 10%",ROUND(O401*set_GSTRate,2),0))</f>
        <v/>
      </c>
      <c r="BD401" s="11">
        <f>IF(O401="","",O401+BC401)</f>
        <v/>
      </c>
      <c r="BE401" s="15">
        <f>IF(O401="","",COUNTA(S401,V401,Y401,AB401,AE401,AH401,AK401,AN401,AQ401,AT401,AW401,AZ401))</f>
        <v/>
      </c>
      <c r="BF401" s="16">
        <f>IF(COUNT(T401,W401,Z401,AC401,AF401,AI401,AL401,AO401,AR401,AU401,AX401,BA401)=0,"",MAX(T401,W401,Z401,AC401,AF401,AI401,AL401,AO401,AR401,AU401,AX401,BA401))</f>
        <v/>
      </c>
      <c r="BG401" s="10">
        <f>MID(IF(S401="","",", "&amp;S401)&amp;IF(V401="","",", "&amp;V401)&amp;IF(Y401="","",", "&amp;Y401)&amp;IF(AB401="","",", "&amp;AB401)&amp;IF(AE401="","",", "&amp;AE401)&amp;IF(AH401="","",", "&amp;AH401)&amp;IF(AK401="","",", "&amp;AK401)&amp;IF(AN401="","",", "&amp;AN401)&amp;IF(AQ401="","",", "&amp;AQ401)&amp;IF(AT401="","",", "&amp;AT401)&amp;IF(AW401="","",", "&amp;AW401)&amp;IF(AZ401="","",", "&amp;AZ401),3,500)</f>
        <v/>
      </c>
      <c r="BH401" s="12" t="n"/>
      <c r="BI401" s="15">
        <f>IFERROR(MATCH($A401,IF($B401="Onsite",tbl_Onsite[Row ID],IF($B401="Production",tbl_Production[Row ID],tbl_Consulting[Row ID])),0),"")</f>
        <v/>
      </c>
    </row>
    <row r="402">
      <c r="A402" s="10" t="inlineStr">
        <is>
          <t>ONS-0396</t>
        </is>
      </c>
      <c r="B402" s="10" t="inlineStr">
        <is>
          <t>Onsite</t>
        </is>
      </c>
      <c r="C402" s="10">
        <f>IF($BI402="","",IF($B402="Onsite",INDEX(tbl_Onsite[Job Number],$BI402),IF($B402="Production",INDEX(tbl_Production[Job Number],$BI402),INDEX(tbl_Consulting[Job Number],$BI402)))&amp;"")</f>
        <v/>
      </c>
      <c r="D402" s="10">
        <f>IF($BI402="","",IF($B402="Onsite",INDEX(tbl_Onsite[Client],$BI402),IF($B402="Production",INDEX(tbl_Production[Client],$BI402),INDEX(tbl_Consulting[Client],$BI402)))&amp;"")</f>
        <v/>
      </c>
      <c r="E402" s="10">
        <f>IF($C402="","",IF(COUNTIF(lst_Jobs,$C402)&gt;0,"OK","CHECK"))</f>
        <v/>
      </c>
      <c r="F402" s="10">
        <f>IF($C402="","",IFERROR(INDEX(lst_JobName,MATCH($C402,lst_Jobs,0)),""))</f>
        <v/>
      </c>
      <c r="G402" s="10">
        <f>IF($BI402="","",IF($B402="Onsite",INDEX(tbl_Onsite[Job Description],$BI402),IF($B402="Production",INDEX(tbl_Production[Job Description],$BI402),INDEX(tbl_Consulting[Job Description],$BI402)))&amp;"")</f>
        <v/>
      </c>
      <c r="H402" s="10">
        <f>IF($BI402="","",IF($B402="Onsite",INDEX(tbl_Onsite[Cost Centre],$BI402),IF($B402="Production",INDEX(tbl_Production[Cost Centre],$BI402),INDEX(tbl_Consulting[Cost Centre],$BI402)))&amp;"")</f>
        <v/>
      </c>
      <c r="I402" s="10">
        <f>IF($BI402="","",IF($B402="Onsite",INDEX(tbl_Onsite[Invoice Type],$BI402),IF($B402="Production",INDEX(tbl_Production[Invoice Type],$BI402),INDEX(tbl_Consulting[Invoice Type],$BI402)))&amp;"")</f>
        <v/>
      </c>
      <c r="J402" s="10">
        <f>IF($BI402="","",IF($B402="Onsite",INDEX(tbl_Onsite[Tax Code],$BI402),IF($B402="Production",INDEX(tbl_Production[Tax Code],$BI402),INDEX(tbl_Consulting[Tax Code],$BI402)))&amp;"")</f>
        <v/>
      </c>
      <c r="K402" s="10">
        <f>IF(H402="","",IFERROR(INDEX(lst_CCtoGL,MATCH(H402,lst_CCforGL,0)),""))</f>
        <v/>
      </c>
      <c r="L402" s="10">
        <f>IF($BI402="","",IF($B402="Onsite",INDEX(tbl_Onsite[PO / Reference],$BI402),IF($B402="Production",INDEX(tbl_Production[Current RMS No],$BI402),INDEX(tbl_Consulting[Qwilr Quote],$BI402)))&amp;"")</f>
        <v/>
      </c>
      <c r="M402" s="10">
        <f>IF($BI402="","",IF($B402="Onsite",INDEX(tbl_Onsite[Notes],$BI402),IF($B402="Production",INDEX(tbl_Production[Notes],$BI402),INDEX(tbl_Consulting[Notes],$BI402)))&amp;"")</f>
        <v/>
      </c>
      <c r="N402" s="11">
        <f>IF($BI402="","",IF(IF($B402="Onsite",INDEX(tbl_Onsite[Expected Revenue Ex GST],$BI402),IF($B402="Production",INDEX(tbl_Production[Expected Revenue Ex GST],$BI402),INDEX(tbl_Consulting[Expected Revenue Ex GST],$BI402)))="","",IF($B402="Onsite",INDEX(tbl_Onsite[Expected Revenue Ex GST],$BI402),IF($B402="Production",INDEX(tbl_Production[Expected Revenue Ex GST],$BI402),INDEX(tbl_Consulting[Expected Revenue Ex GST],$BI402)))))</f>
        <v/>
      </c>
      <c r="O402" s="11">
        <f>IF(AND($C402="",NOT(COUNTA($S402:$BB402)&gt;0)),"",SUM(U402,X402,AA402,AD402,AG402,AJ402,AM402,AP402,AS402,AV402,AY402,BB402))</f>
        <v/>
      </c>
      <c r="P402" s="11">
        <f>IF(O402="","",N(N402)-O402)</f>
        <v/>
      </c>
      <c r="Q402" s="10">
        <f>IF(O402="","",IF($C402="","Invoice on empty job row",IF(N402="",IF(ROUND(O402,2)=0,"No dept value","Invoiced - no dept value"),IF(ROUND(O402,2)=0,"Not invoiced - to invoice",IF(ROUND(P402,2)=0,"Agrees",IF(P402&gt;0,"Dept higher - to invoice","Xero higher - check dept"))))))</f>
        <v/>
      </c>
      <c r="R402" s="10">
        <f>IF(AND($C402="",NOT(COUNTA($S402:$BB402)&gt;0),$BI402&lt;&gt;""),"",MID(IF($BI402="","; Row ID not found on the department sheet - a row was deleted","")&amp;IF(AND($C402="",COUNTA($S402:$BB402)&gt;0),"; Invoice entered but the department row has no job number","")&amp;IF(E402="CHECK","; Job number not in the Xero job list","")&amp;IF(AND($C402&lt;&gt;"",COUNTIF($C$7:$C$1506,$C402)&gt;1),"; Job number on more than one row","")&amp;IF(AND($C402&lt;&gt;"",H402=""),"; Dept has not set a cost centre","")&amp;IF(AND($C402&lt;&gt;"",J402=""),"; Dept has not set a tax code","")&amp;IF(AND($C402&lt;&gt;"",N402=""),"; Dept has not entered an expected value","")&amp;IF((IF(OR(COUNTA(S402:U402)=0,AND(COUNTA(S402:U402)=3,ISNUMBER(U402))),0,1)+IF(OR(COUNTA(V402:X402)=0,AND(COUNTA(V402:X402)=3,ISNUMBER(X402))),0,1)+IF(OR(COUNTA(Y402:AA402)=0,AND(COUNTA(Y402:AA402)=3,ISNUMBER(AA402))),0,1)+IF(OR(COUNTA(AB402:AD402)=0,AND(COUNTA(AB402:AD402)=3,ISNUMBER(AD402))),0,1)+IF(OR(COUNTA(AE402:AG402)=0,AND(COUNTA(AE402:AG402)=3,ISNUMBER(AG402))),0,1)+IF(OR(COUNTA(AH402:AJ402)=0,AND(COUNTA(AH402:AJ402)=3,ISNUMBER(AJ402))),0,1)+IF(OR(COUNTA(AK402:AM402)=0,AND(COUNTA(AK402:AM402)=3,ISNUMBER(AM402))),0,1)+IF(OR(COUNTA(AN402:AP402)=0,AND(COUNTA(AN402:AP402)=3,ISNUMBER(AP402))),0,1)+IF(OR(COUNTA(AQ402:AS402)=0,AND(COUNTA(AQ402:AS402)=3,ISNUMBER(AS402))),0,1)+IF(OR(COUNTA(AT402:AV402)=0,AND(COUNTA(AT402:AV402)=3,ISNUMBER(AV402))),0,1)+IF(OR(COUNTA(AW402:AY402)=0,AND(COUNTA(AW402:AY402)=3,ISNUMBER(AY402))),0,1)+IF(OR(COUNTA(AZ402:BB402)=0,AND(COUNTA(AZ402:BB402)=3,ISNUMBER(BB402))),0,1))&gt;0,"; An invoice is incomplete (needs No, Date and a number in Ex GST)","")&amp;IF((IF(T402="",0,IFERROR(--(EOMONTH(T402,0)&lt;&gt;S$5),1))+IF(W402="",0,IFERROR(--(EOMONTH(W402,0)&lt;&gt;V$5),1))+IF(Z402="",0,IFERROR(--(EOMONTH(Z402,0)&lt;&gt;Y$5),1))+IF(AC402="",0,IFERROR(--(EOMONTH(AC402,0)&lt;&gt;AB$5),1))+IF(AF402="",0,IFERROR(--(EOMONTH(AF402,0)&lt;&gt;AE$5),1))+IF(AI402="",0,IFERROR(--(EOMONTH(AI402,0)&lt;&gt;AH$5),1))+IF(AL402="",0,IFERROR(--(EOMONTH(AL402,0)&lt;&gt;AK$5),1))+IF(AO402="",0,IFERROR(--(EOMONTH(AO402,0)&lt;&gt;AN$5),1))+IF(AR402="",0,IFERROR(--(EOMONTH(AR402,0)&lt;&gt;AQ$5),1))+IF(AU402="",0,IFERROR(--(EOMONTH(AU402,0)&lt;&gt;AT$5),1))+IF(AX402="",0,IFERROR(--(EOMONTH(AX402,0)&lt;&gt;AW$5),1))+IF(BA402="",0,IFERROR(--(EOMONTH(BA402,0)&lt;&gt;AZ$5),1)))&gt;0,"; An invoice date is not in the month it is typed under",""),3,500))</f>
        <v/>
      </c>
      <c r="S402" s="12" t="n"/>
      <c r="T402" s="13" t="n"/>
      <c r="U402" s="14" t="n"/>
      <c r="V402" s="12" t="n"/>
      <c r="W402" s="13" t="n"/>
      <c r="X402" s="14" t="n"/>
      <c r="Y402" s="12" t="n"/>
      <c r="Z402" s="13" t="n"/>
      <c r="AA402" s="14" t="n"/>
      <c r="AB402" s="12" t="n"/>
      <c r="AC402" s="13" t="n"/>
      <c r="AD402" s="14" t="n"/>
      <c r="AE402" s="12" t="n"/>
      <c r="AF402" s="13" t="n"/>
      <c r="AG402" s="14" t="n"/>
      <c r="AH402" s="12" t="n"/>
      <c r="AI402" s="13" t="n"/>
      <c r="AJ402" s="14" t="n"/>
      <c r="AK402" s="12" t="n"/>
      <c r="AL402" s="13" t="n"/>
      <c r="AM402" s="14" t="n"/>
      <c r="AN402" s="12" t="n"/>
      <c r="AO402" s="13" t="n"/>
      <c r="AP402" s="14" t="n"/>
      <c r="AQ402" s="12" t="n"/>
      <c r="AR402" s="13" t="n"/>
      <c r="AS402" s="14" t="n"/>
      <c r="AT402" s="12" t="n"/>
      <c r="AU402" s="13" t="n"/>
      <c r="AV402" s="14" t="n"/>
      <c r="AW402" s="12" t="n"/>
      <c r="AX402" s="13" t="n"/>
      <c r="AY402" s="14" t="n"/>
      <c r="AZ402" s="12" t="n"/>
      <c r="BA402" s="13" t="n"/>
      <c r="BB402" s="14" t="n"/>
      <c r="BC402" s="11">
        <f>IF(O402="","",IF(J402="GST 10%",ROUND(O402*set_GSTRate,2),0))</f>
        <v/>
      </c>
      <c r="BD402" s="11">
        <f>IF(O402="","",O402+BC402)</f>
        <v/>
      </c>
      <c r="BE402" s="15">
        <f>IF(O402="","",COUNTA(S402,V402,Y402,AB402,AE402,AH402,AK402,AN402,AQ402,AT402,AW402,AZ402))</f>
        <v/>
      </c>
      <c r="BF402" s="16">
        <f>IF(COUNT(T402,W402,Z402,AC402,AF402,AI402,AL402,AO402,AR402,AU402,AX402,BA402)=0,"",MAX(T402,W402,Z402,AC402,AF402,AI402,AL402,AO402,AR402,AU402,AX402,BA402))</f>
        <v/>
      </c>
      <c r="BG402" s="10">
        <f>MID(IF(S402="","",", "&amp;S402)&amp;IF(V402="","",", "&amp;V402)&amp;IF(Y402="","",", "&amp;Y402)&amp;IF(AB402="","",", "&amp;AB402)&amp;IF(AE402="","",", "&amp;AE402)&amp;IF(AH402="","",", "&amp;AH402)&amp;IF(AK402="","",", "&amp;AK402)&amp;IF(AN402="","",", "&amp;AN402)&amp;IF(AQ402="","",", "&amp;AQ402)&amp;IF(AT402="","",", "&amp;AT402)&amp;IF(AW402="","",", "&amp;AW402)&amp;IF(AZ402="","",", "&amp;AZ402),3,500)</f>
        <v/>
      </c>
      <c r="BH402" s="12" t="n"/>
      <c r="BI402" s="15">
        <f>IFERROR(MATCH($A402,IF($B402="Onsite",tbl_Onsite[Row ID],IF($B402="Production",tbl_Production[Row ID],tbl_Consulting[Row ID])),0),"")</f>
        <v/>
      </c>
    </row>
    <row r="403">
      <c r="A403" s="10" t="inlineStr">
        <is>
          <t>ONS-0397</t>
        </is>
      </c>
      <c r="B403" s="10" t="inlineStr">
        <is>
          <t>Onsite</t>
        </is>
      </c>
      <c r="C403" s="10">
        <f>IF($BI403="","",IF($B403="Onsite",INDEX(tbl_Onsite[Job Number],$BI403),IF($B403="Production",INDEX(tbl_Production[Job Number],$BI403),INDEX(tbl_Consulting[Job Number],$BI403)))&amp;"")</f>
        <v/>
      </c>
      <c r="D403" s="10">
        <f>IF($BI403="","",IF($B403="Onsite",INDEX(tbl_Onsite[Client],$BI403),IF($B403="Production",INDEX(tbl_Production[Client],$BI403),INDEX(tbl_Consulting[Client],$BI403)))&amp;"")</f>
        <v/>
      </c>
      <c r="E403" s="10">
        <f>IF($C403="","",IF(COUNTIF(lst_Jobs,$C403)&gt;0,"OK","CHECK"))</f>
        <v/>
      </c>
      <c r="F403" s="10">
        <f>IF($C403="","",IFERROR(INDEX(lst_JobName,MATCH($C403,lst_Jobs,0)),""))</f>
        <v/>
      </c>
      <c r="G403" s="10">
        <f>IF($BI403="","",IF($B403="Onsite",INDEX(tbl_Onsite[Job Description],$BI403),IF($B403="Production",INDEX(tbl_Production[Job Description],$BI403),INDEX(tbl_Consulting[Job Description],$BI403)))&amp;"")</f>
        <v/>
      </c>
      <c r="H403" s="10">
        <f>IF($BI403="","",IF($B403="Onsite",INDEX(tbl_Onsite[Cost Centre],$BI403),IF($B403="Production",INDEX(tbl_Production[Cost Centre],$BI403),INDEX(tbl_Consulting[Cost Centre],$BI403)))&amp;"")</f>
        <v/>
      </c>
      <c r="I403" s="10">
        <f>IF($BI403="","",IF($B403="Onsite",INDEX(tbl_Onsite[Invoice Type],$BI403),IF($B403="Production",INDEX(tbl_Production[Invoice Type],$BI403),INDEX(tbl_Consulting[Invoice Type],$BI403)))&amp;"")</f>
        <v/>
      </c>
      <c r="J403" s="10">
        <f>IF($BI403="","",IF($B403="Onsite",INDEX(tbl_Onsite[Tax Code],$BI403),IF($B403="Production",INDEX(tbl_Production[Tax Code],$BI403),INDEX(tbl_Consulting[Tax Code],$BI403)))&amp;"")</f>
        <v/>
      </c>
      <c r="K403" s="10">
        <f>IF(H403="","",IFERROR(INDEX(lst_CCtoGL,MATCH(H403,lst_CCforGL,0)),""))</f>
        <v/>
      </c>
      <c r="L403" s="10">
        <f>IF($BI403="","",IF($B403="Onsite",INDEX(tbl_Onsite[PO / Reference],$BI403),IF($B403="Production",INDEX(tbl_Production[Current RMS No],$BI403),INDEX(tbl_Consulting[Qwilr Quote],$BI403)))&amp;"")</f>
        <v/>
      </c>
      <c r="M403" s="10">
        <f>IF($BI403="","",IF($B403="Onsite",INDEX(tbl_Onsite[Notes],$BI403),IF($B403="Production",INDEX(tbl_Production[Notes],$BI403),INDEX(tbl_Consulting[Notes],$BI403)))&amp;"")</f>
        <v/>
      </c>
      <c r="N403" s="11">
        <f>IF($BI403="","",IF(IF($B403="Onsite",INDEX(tbl_Onsite[Expected Revenue Ex GST],$BI403),IF($B403="Production",INDEX(tbl_Production[Expected Revenue Ex GST],$BI403),INDEX(tbl_Consulting[Expected Revenue Ex GST],$BI403)))="","",IF($B403="Onsite",INDEX(tbl_Onsite[Expected Revenue Ex GST],$BI403),IF($B403="Production",INDEX(tbl_Production[Expected Revenue Ex GST],$BI403),INDEX(tbl_Consulting[Expected Revenue Ex GST],$BI403)))))</f>
        <v/>
      </c>
      <c r="O403" s="11">
        <f>IF(AND($C403="",NOT(COUNTA($S403:$BB403)&gt;0)),"",SUM(U403,X403,AA403,AD403,AG403,AJ403,AM403,AP403,AS403,AV403,AY403,BB403))</f>
        <v/>
      </c>
      <c r="P403" s="11">
        <f>IF(O403="","",N(N403)-O403)</f>
        <v/>
      </c>
      <c r="Q403" s="10">
        <f>IF(O403="","",IF($C403="","Invoice on empty job row",IF(N403="",IF(ROUND(O403,2)=0,"No dept value","Invoiced - no dept value"),IF(ROUND(O403,2)=0,"Not invoiced - to invoice",IF(ROUND(P403,2)=0,"Agrees",IF(P403&gt;0,"Dept higher - to invoice","Xero higher - check dept"))))))</f>
        <v/>
      </c>
      <c r="R403" s="10">
        <f>IF(AND($C403="",NOT(COUNTA($S403:$BB403)&gt;0),$BI403&lt;&gt;""),"",MID(IF($BI403="","; Row ID not found on the department sheet - a row was deleted","")&amp;IF(AND($C403="",COUNTA($S403:$BB403)&gt;0),"; Invoice entered but the department row has no job number","")&amp;IF(E403="CHECK","; Job number not in the Xero job list","")&amp;IF(AND($C403&lt;&gt;"",COUNTIF($C$7:$C$1506,$C403)&gt;1),"; Job number on more than one row","")&amp;IF(AND($C403&lt;&gt;"",H403=""),"; Dept has not set a cost centre","")&amp;IF(AND($C403&lt;&gt;"",J403=""),"; Dept has not set a tax code","")&amp;IF(AND($C403&lt;&gt;"",N403=""),"; Dept has not entered an expected value","")&amp;IF((IF(OR(COUNTA(S403:U403)=0,AND(COUNTA(S403:U403)=3,ISNUMBER(U403))),0,1)+IF(OR(COUNTA(V403:X403)=0,AND(COUNTA(V403:X403)=3,ISNUMBER(X403))),0,1)+IF(OR(COUNTA(Y403:AA403)=0,AND(COUNTA(Y403:AA403)=3,ISNUMBER(AA403))),0,1)+IF(OR(COUNTA(AB403:AD403)=0,AND(COUNTA(AB403:AD403)=3,ISNUMBER(AD403))),0,1)+IF(OR(COUNTA(AE403:AG403)=0,AND(COUNTA(AE403:AG403)=3,ISNUMBER(AG403))),0,1)+IF(OR(COUNTA(AH403:AJ403)=0,AND(COUNTA(AH403:AJ403)=3,ISNUMBER(AJ403))),0,1)+IF(OR(COUNTA(AK403:AM403)=0,AND(COUNTA(AK403:AM403)=3,ISNUMBER(AM403))),0,1)+IF(OR(COUNTA(AN403:AP403)=0,AND(COUNTA(AN403:AP403)=3,ISNUMBER(AP403))),0,1)+IF(OR(COUNTA(AQ403:AS403)=0,AND(COUNTA(AQ403:AS403)=3,ISNUMBER(AS403))),0,1)+IF(OR(COUNTA(AT403:AV403)=0,AND(COUNTA(AT403:AV403)=3,ISNUMBER(AV403))),0,1)+IF(OR(COUNTA(AW403:AY403)=0,AND(COUNTA(AW403:AY403)=3,ISNUMBER(AY403))),0,1)+IF(OR(COUNTA(AZ403:BB403)=0,AND(COUNTA(AZ403:BB403)=3,ISNUMBER(BB403))),0,1))&gt;0,"; An invoice is incomplete (needs No, Date and a number in Ex GST)","")&amp;IF((IF(T403="",0,IFERROR(--(EOMONTH(T403,0)&lt;&gt;S$5),1))+IF(W403="",0,IFERROR(--(EOMONTH(W403,0)&lt;&gt;V$5),1))+IF(Z403="",0,IFERROR(--(EOMONTH(Z403,0)&lt;&gt;Y$5),1))+IF(AC403="",0,IFERROR(--(EOMONTH(AC403,0)&lt;&gt;AB$5),1))+IF(AF403="",0,IFERROR(--(EOMONTH(AF403,0)&lt;&gt;AE$5),1))+IF(AI403="",0,IFERROR(--(EOMONTH(AI403,0)&lt;&gt;AH$5),1))+IF(AL403="",0,IFERROR(--(EOMONTH(AL403,0)&lt;&gt;AK$5),1))+IF(AO403="",0,IFERROR(--(EOMONTH(AO403,0)&lt;&gt;AN$5),1))+IF(AR403="",0,IFERROR(--(EOMONTH(AR403,0)&lt;&gt;AQ$5),1))+IF(AU403="",0,IFERROR(--(EOMONTH(AU403,0)&lt;&gt;AT$5),1))+IF(AX403="",0,IFERROR(--(EOMONTH(AX403,0)&lt;&gt;AW$5),1))+IF(BA403="",0,IFERROR(--(EOMONTH(BA403,0)&lt;&gt;AZ$5),1)))&gt;0,"; An invoice date is not in the month it is typed under",""),3,500))</f>
        <v/>
      </c>
      <c r="S403" s="12" t="n"/>
      <c r="T403" s="13" t="n"/>
      <c r="U403" s="14" t="n"/>
      <c r="V403" s="12" t="n"/>
      <c r="W403" s="13" t="n"/>
      <c r="X403" s="14" t="n"/>
      <c r="Y403" s="12" t="n"/>
      <c r="Z403" s="13" t="n"/>
      <c r="AA403" s="14" t="n"/>
      <c r="AB403" s="12" t="n"/>
      <c r="AC403" s="13" t="n"/>
      <c r="AD403" s="14" t="n"/>
      <c r="AE403" s="12" t="n"/>
      <c r="AF403" s="13" t="n"/>
      <c r="AG403" s="14" t="n"/>
      <c r="AH403" s="12" t="n"/>
      <c r="AI403" s="13" t="n"/>
      <c r="AJ403" s="14" t="n"/>
      <c r="AK403" s="12" t="n"/>
      <c r="AL403" s="13" t="n"/>
      <c r="AM403" s="14" t="n"/>
      <c r="AN403" s="12" t="n"/>
      <c r="AO403" s="13" t="n"/>
      <c r="AP403" s="14" t="n"/>
      <c r="AQ403" s="12" t="n"/>
      <c r="AR403" s="13" t="n"/>
      <c r="AS403" s="14" t="n"/>
      <c r="AT403" s="12" t="n"/>
      <c r="AU403" s="13" t="n"/>
      <c r="AV403" s="14" t="n"/>
      <c r="AW403" s="12" t="n"/>
      <c r="AX403" s="13" t="n"/>
      <c r="AY403" s="14" t="n"/>
      <c r="AZ403" s="12" t="n"/>
      <c r="BA403" s="13" t="n"/>
      <c r="BB403" s="14" t="n"/>
      <c r="BC403" s="11">
        <f>IF(O403="","",IF(J403="GST 10%",ROUND(O403*set_GSTRate,2),0))</f>
        <v/>
      </c>
      <c r="BD403" s="11">
        <f>IF(O403="","",O403+BC403)</f>
        <v/>
      </c>
      <c r="BE403" s="15">
        <f>IF(O403="","",COUNTA(S403,V403,Y403,AB403,AE403,AH403,AK403,AN403,AQ403,AT403,AW403,AZ403))</f>
        <v/>
      </c>
      <c r="BF403" s="16">
        <f>IF(COUNT(T403,W403,Z403,AC403,AF403,AI403,AL403,AO403,AR403,AU403,AX403,BA403)=0,"",MAX(T403,W403,Z403,AC403,AF403,AI403,AL403,AO403,AR403,AU403,AX403,BA403))</f>
        <v/>
      </c>
      <c r="BG403" s="10">
        <f>MID(IF(S403="","",", "&amp;S403)&amp;IF(V403="","",", "&amp;V403)&amp;IF(Y403="","",", "&amp;Y403)&amp;IF(AB403="","",", "&amp;AB403)&amp;IF(AE403="","",", "&amp;AE403)&amp;IF(AH403="","",", "&amp;AH403)&amp;IF(AK403="","",", "&amp;AK403)&amp;IF(AN403="","",", "&amp;AN403)&amp;IF(AQ403="","",", "&amp;AQ403)&amp;IF(AT403="","",", "&amp;AT403)&amp;IF(AW403="","",", "&amp;AW403)&amp;IF(AZ403="","",", "&amp;AZ403),3,500)</f>
        <v/>
      </c>
      <c r="BH403" s="12" t="n"/>
      <c r="BI403" s="15">
        <f>IFERROR(MATCH($A403,IF($B403="Onsite",tbl_Onsite[Row ID],IF($B403="Production",tbl_Production[Row ID],tbl_Consulting[Row ID])),0),"")</f>
        <v/>
      </c>
    </row>
    <row r="404">
      <c r="A404" s="10" t="inlineStr">
        <is>
          <t>ONS-0398</t>
        </is>
      </c>
      <c r="B404" s="10" t="inlineStr">
        <is>
          <t>Onsite</t>
        </is>
      </c>
      <c r="C404" s="10">
        <f>IF($BI404="","",IF($B404="Onsite",INDEX(tbl_Onsite[Job Number],$BI404),IF($B404="Production",INDEX(tbl_Production[Job Number],$BI404),INDEX(tbl_Consulting[Job Number],$BI404)))&amp;"")</f>
        <v/>
      </c>
      <c r="D404" s="10">
        <f>IF($BI404="","",IF($B404="Onsite",INDEX(tbl_Onsite[Client],$BI404),IF($B404="Production",INDEX(tbl_Production[Client],$BI404),INDEX(tbl_Consulting[Client],$BI404)))&amp;"")</f>
        <v/>
      </c>
      <c r="E404" s="10">
        <f>IF($C404="","",IF(COUNTIF(lst_Jobs,$C404)&gt;0,"OK","CHECK"))</f>
        <v/>
      </c>
      <c r="F404" s="10">
        <f>IF($C404="","",IFERROR(INDEX(lst_JobName,MATCH($C404,lst_Jobs,0)),""))</f>
        <v/>
      </c>
      <c r="G404" s="10">
        <f>IF($BI404="","",IF($B404="Onsite",INDEX(tbl_Onsite[Job Description],$BI404),IF($B404="Production",INDEX(tbl_Production[Job Description],$BI404),INDEX(tbl_Consulting[Job Description],$BI404)))&amp;"")</f>
        <v/>
      </c>
      <c r="H404" s="10">
        <f>IF($BI404="","",IF($B404="Onsite",INDEX(tbl_Onsite[Cost Centre],$BI404),IF($B404="Production",INDEX(tbl_Production[Cost Centre],$BI404),INDEX(tbl_Consulting[Cost Centre],$BI404)))&amp;"")</f>
        <v/>
      </c>
      <c r="I404" s="10">
        <f>IF($BI404="","",IF($B404="Onsite",INDEX(tbl_Onsite[Invoice Type],$BI404),IF($B404="Production",INDEX(tbl_Production[Invoice Type],$BI404),INDEX(tbl_Consulting[Invoice Type],$BI404)))&amp;"")</f>
        <v/>
      </c>
      <c r="J404" s="10">
        <f>IF($BI404="","",IF($B404="Onsite",INDEX(tbl_Onsite[Tax Code],$BI404),IF($B404="Production",INDEX(tbl_Production[Tax Code],$BI404),INDEX(tbl_Consulting[Tax Code],$BI404)))&amp;"")</f>
        <v/>
      </c>
      <c r="K404" s="10">
        <f>IF(H404="","",IFERROR(INDEX(lst_CCtoGL,MATCH(H404,lst_CCforGL,0)),""))</f>
        <v/>
      </c>
      <c r="L404" s="10">
        <f>IF($BI404="","",IF($B404="Onsite",INDEX(tbl_Onsite[PO / Reference],$BI404),IF($B404="Production",INDEX(tbl_Production[Current RMS No],$BI404),INDEX(tbl_Consulting[Qwilr Quote],$BI404)))&amp;"")</f>
        <v/>
      </c>
      <c r="M404" s="10">
        <f>IF($BI404="","",IF($B404="Onsite",INDEX(tbl_Onsite[Notes],$BI404),IF($B404="Production",INDEX(tbl_Production[Notes],$BI404),INDEX(tbl_Consulting[Notes],$BI404)))&amp;"")</f>
        <v/>
      </c>
      <c r="N404" s="11">
        <f>IF($BI404="","",IF(IF($B404="Onsite",INDEX(tbl_Onsite[Expected Revenue Ex GST],$BI404),IF($B404="Production",INDEX(tbl_Production[Expected Revenue Ex GST],$BI404),INDEX(tbl_Consulting[Expected Revenue Ex GST],$BI404)))="","",IF($B404="Onsite",INDEX(tbl_Onsite[Expected Revenue Ex GST],$BI404),IF($B404="Production",INDEX(tbl_Production[Expected Revenue Ex GST],$BI404),INDEX(tbl_Consulting[Expected Revenue Ex GST],$BI404)))))</f>
        <v/>
      </c>
      <c r="O404" s="11">
        <f>IF(AND($C404="",NOT(COUNTA($S404:$BB404)&gt;0)),"",SUM(U404,X404,AA404,AD404,AG404,AJ404,AM404,AP404,AS404,AV404,AY404,BB404))</f>
        <v/>
      </c>
      <c r="P404" s="11">
        <f>IF(O404="","",N(N404)-O404)</f>
        <v/>
      </c>
      <c r="Q404" s="10">
        <f>IF(O404="","",IF($C404="","Invoice on empty job row",IF(N404="",IF(ROUND(O404,2)=0,"No dept value","Invoiced - no dept value"),IF(ROUND(O404,2)=0,"Not invoiced - to invoice",IF(ROUND(P404,2)=0,"Agrees",IF(P404&gt;0,"Dept higher - to invoice","Xero higher - check dept"))))))</f>
        <v/>
      </c>
      <c r="R404" s="10">
        <f>IF(AND($C404="",NOT(COUNTA($S404:$BB404)&gt;0),$BI404&lt;&gt;""),"",MID(IF($BI404="","; Row ID not found on the department sheet - a row was deleted","")&amp;IF(AND($C404="",COUNTA($S404:$BB404)&gt;0),"; Invoice entered but the department row has no job number","")&amp;IF(E404="CHECK","; Job number not in the Xero job list","")&amp;IF(AND($C404&lt;&gt;"",COUNTIF($C$7:$C$1506,$C404)&gt;1),"; Job number on more than one row","")&amp;IF(AND($C404&lt;&gt;"",H404=""),"; Dept has not set a cost centre","")&amp;IF(AND($C404&lt;&gt;"",J404=""),"; Dept has not set a tax code","")&amp;IF(AND($C404&lt;&gt;"",N404=""),"; Dept has not entered an expected value","")&amp;IF((IF(OR(COUNTA(S404:U404)=0,AND(COUNTA(S404:U404)=3,ISNUMBER(U404))),0,1)+IF(OR(COUNTA(V404:X404)=0,AND(COUNTA(V404:X404)=3,ISNUMBER(X404))),0,1)+IF(OR(COUNTA(Y404:AA404)=0,AND(COUNTA(Y404:AA404)=3,ISNUMBER(AA404))),0,1)+IF(OR(COUNTA(AB404:AD404)=0,AND(COUNTA(AB404:AD404)=3,ISNUMBER(AD404))),0,1)+IF(OR(COUNTA(AE404:AG404)=0,AND(COUNTA(AE404:AG404)=3,ISNUMBER(AG404))),0,1)+IF(OR(COUNTA(AH404:AJ404)=0,AND(COUNTA(AH404:AJ404)=3,ISNUMBER(AJ404))),0,1)+IF(OR(COUNTA(AK404:AM404)=0,AND(COUNTA(AK404:AM404)=3,ISNUMBER(AM404))),0,1)+IF(OR(COUNTA(AN404:AP404)=0,AND(COUNTA(AN404:AP404)=3,ISNUMBER(AP404))),0,1)+IF(OR(COUNTA(AQ404:AS404)=0,AND(COUNTA(AQ404:AS404)=3,ISNUMBER(AS404))),0,1)+IF(OR(COUNTA(AT404:AV404)=0,AND(COUNTA(AT404:AV404)=3,ISNUMBER(AV404))),0,1)+IF(OR(COUNTA(AW404:AY404)=0,AND(COUNTA(AW404:AY404)=3,ISNUMBER(AY404))),0,1)+IF(OR(COUNTA(AZ404:BB404)=0,AND(COUNTA(AZ404:BB404)=3,ISNUMBER(BB404))),0,1))&gt;0,"; An invoice is incomplete (needs No, Date and a number in Ex GST)","")&amp;IF((IF(T404="",0,IFERROR(--(EOMONTH(T404,0)&lt;&gt;S$5),1))+IF(W404="",0,IFERROR(--(EOMONTH(W404,0)&lt;&gt;V$5),1))+IF(Z404="",0,IFERROR(--(EOMONTH(Z404,0)&lt;&gt;Y$5),1))+IF(AC404="",0,IFERROR(--(EOMONTH(AC404,0)&lt;&gt;AB$5),1))+IF(AF404="",0,IFERROR(--(EOMONTH(AF404,0)&lt;&gt;AE$5),1))+IF(AI404="",0,IFERROR(--(EOMONTH(AI404,0)&lt;&gt;AH$5),1))+IF(AL404="",0,IFERROR(--(EOMONTH(AL404,0)&lt;&gt;AK$5),1))+IF(AO404="",0,IFERROR(--(EOMONTH(AO404,0)&lt;&gt;AN$5),1))+IF(AR404="",0,IFERROR(--(EOMONTH(AR404,0)&lt;&gt;AQ$5),1))+IF(AU404="",0,IFERROR(--(EOMONTH(AU404,0)&lt;&gt;AT$5),1))+IF(AX404="",0,IFERROR(--(EOMONTH(AX404,0)&lt;&gt;AW$5),1))+IF(BA404="",0,IFERROR(--(EOMONTH(BA404,0)&lt;&gt;AZ$5),1)))&gt;0,"; An invoice date is not in the month it is typed under",""),3,500))</f>
        <v/>
      </c>
      <c r="S404" s="12" t="n"/>
      <c r="T404" s="13" t="n"/>
      <c r="U404" s="14" t="n"/>
      <c r="V404" s="12" t="n"/>
      <c r="W404" s="13" t="n"/>
      <c r="X404" s="14" t="n"/>
      <c r="Y404" s="12" t="n"/>
      <c r="Z404" s="13" t="n"/>
      <c r="AA404" s="14" t="n"/>
      <c r="AB404" s="12" t="n"/>
      <c r="AC404" s="13" t="n"/>
      <c r="AD404" s="14" t="n"/>
      <c r="AE404" s="12" t="n"/>
      <c r="AF404" s="13" t="n"/>
      <c r="AG404" s="14" t="n"/>
      <c r="AH404" s="12" t="n"/>
      <c r="AI404" s="13" t="n"/>
      <c r="AJ404" s="14" t="n"/>
      <c r="AK404" s="12" t="n"/>
      <c r="AL404" s="13" t="n"/>
      <c r="AM404" s="14" t="n"/>
      <c r="AN404" s="12" t="n"/>
      <c r="AO404" s="13" t="n"/>
      <c r="AP404" s="14" t="n"/>
      <c r="AQ404" s="12" t="n"/>
      <c r="AR404" s="13" t="n"/>
      <c r="AS404" s="14" t="n"/>
      <c r="AT404" s="12" t="n"/>
      <c r="AU404" s="13" t="n"/>
      <c r="AV404" s="14" t="n"/>
      <c r="AW404" s="12" t="n"/>
      <c r="AX404" s="13" t="n"/>
      <c r="AY404" s="14" t="n"/>
      <c r="AZ404" s="12" t="n"/>
      <c r="BA404" s="13" t="n"/>
      <c r="BB404" s="14" t="n"/>
      <c r="BC404" s="11">
        <f>IF(O404="","",IF(J404="GST 10%",ROUND(O404*set_GSTRate,2),0))</f>
        <v/>
      </c>
      <c r="BD404" s="11">
        <f>IF(O404="","",O404+BC404)</f>
        <v/>
      </c>
      <c r="BE404" s="15">
        <f>IF(O404="","",COUNTA(S404,V404,Y404,AB404,AE404,AH404,AK404,AN404,AQ404,AT404,AW404,AZ404))</f>
        <v/>
      </c>
      <c r="BF404" s="16">
        <f>IF(COUNT(T404,W404,Z404,AC404,AF404,AI404,AL404,AO404,AR404,AU404,AX404,BA404)=0,"",MAX(T404,W404,Z404,AC404,AF404,AI404,AL404,AO404,AR404,AU404,AX404,BA404))</f>
        <v/>
      </c>
      <c r="BG404" s="10">
        <f>MID(IF(S404="","",", "&amp;S404)&amp;IF(V404="","",", "&amp;V404)&amp;IF(Y404="","",", "&amp;Y404)&amp;IF(AB404="","",", "&amp;AB404)&amp;IF(AE404="","",", "&amp;AE404)&amp;IF(AH404="","",", "&amp;AH404)&amp;IF(AK404="","",", "&amp;AK404)&amp;IF(AN404="","",", "&amp;AN404)&amp;IF(AQ404="","",", "&amp;AQ404)&amp;IF(AT404="","",", "&amp;AT404)&amp;IF(AW404="","",", "&amp;AW404)&amp;IF(AZ404="","",", "&amp;AZ404),3,500)</f>
        <v/>
      </c>
      <c r="BH404" s="12" t="n"/>
      <c r="BI404" s="15">
        <f>IFERROR(MATCH($A404,IF($B404="Onsite",tbl_Onsite[Row ID],IF($B404="Production",tbl_Production[Row ID],tbl_Consulting[Row ID])),0),"")</f>
        <v/>
      </c>
    </row>
    <row r="405">
      <c r="A405" s="10" t="inlineStr">
        <is>
          <t>ONS-0399</t>
        </is>
      </c>
      <c r="B405" s="10" t="inlineStr">
        <is>
          <t>Onsite</t>
        </is>
      </c>
      <c r="C405" s="10">
        <f>IF($BI405="","",IF($B405="Onsite",INDEX(tbl_Onsite[Job Number],$BI405),IF($B405="Production",INDEX(tbl_Production[Job Number],$BI405),INDEX(tbl_Consulting[Job Number],$BI405)))&amp;"")</f>
        <v/>
      </c>
      <c r="D405" s="10">
        <f>IF($BI405="","",IF($B405="Onsite",INDEX(tbl_Onsite[Client],$BI405),IF($B405="Production",INDEX(tbl_Production[Client],$BI405),INDEX(tbl_Consulting[Client],$BI405)))&amp;"")</f>
        <v/>
      </c>
      <c r="E405" s="10">
        <f>IF($C405="","",IF(COUNTIF(lst_Jobs,$C405)&gt;0,"OK","CHECK"))</f>
        <v/>
      </c>
      <c r="F405" s="10">
        <f>IF($C405="","",IFERROR(INDEX(lst_JobName,MATCH($C405,lst_Jobs,0)),""))</f>
        <v/>
      </c>
      <c r="G405" s="10">
        <f>IF($BI405="","",IF($B405="Onsite",INDEX(tbl_Onsite[Job Description],$BI405),IF($B405="Production",INDEX(tbl_Production[Job Description],$BI405),INDEX(tbl_Consulting[Job Description],$BI405)))&amp;"")</f>
        <v/>
      </c>
      <c r="H405" s="10">
        <f>IF($BI405="","",IF($B405="Onsite",INDEX(tbl_Onsite[Cost Centre],$BI405),IF($B405="Production",INDEX(tbl_Production[Cost Centre],$BI405),INDEX(tbl_Consulting[Cost Centre],$BI405)))&amp;"")</f>
        <v/>
      </c>
      <c r="I405" s="10">
        <f>IF($BI405="","",IF($B405="Onsite",INDEX(tbl_Onsite[Invoice Type],$BI405),IF($B405="Production",INDEX(tbl_Production[Invoice Type],$BI405),INDEX(tbl_Consulting[Invoice Type],$BI405)))&amp;"")</f>
        <v/>
      </c>
      <c r="J405" s="10">
        <f>IF($BI405="","",IF($B405="Onsite",INDEX(tbl_Onsite[Tax Code],$BI405),IF($B405="Production",INDEX(tbl_Production[Tax Code],$BI405),INDEX(tbl_Consulting[Tax Code],$BI405)))&amp;"")</f>
        <v/>
      </c>
      <c r="K405" s="10">
        <f>IF(H405="","",IFERROR(INDEX(lst_CCtoGL,MATCH(H405,lst_CCforGL,0)),""))</f>
        <v/>
      </c>
      <c r="L405" s="10">
        <f>IF($BI405="","",IF($B405="Onsite",INDEX(tbl_Onsite[PO / Reference],$BI405),IF($B405="Production",INDEX(tbl_Production[Current RMS No],$BI405),INDEX(tbl_Consulting[Qwilr Quote],$BI405)))&amp;"")</f>
        <v/>
      </c>
      <c r="M405" s="10">
        <f>IF($BI405="","",IF($B405="Onsite",INDEX(tbl_Onsite[Notes],$BI405),IF($B405="Production",INDEX(tbl_Production[Notes],$BI405),INDEX(tbl_Consulting[Notes],$BI405)))&amp;"")</f>
        <v/>
      </c>
      <c r="N405" s="11">
        <f>IF($BI405="","",IF(IF($B405="Onsite",INDEX(tbl_Onsite[Expected Revenue Ex GST],$BI405),IF($B405="Production",INDEX(tbl_Production[Expected Revenue Ex GST],$BI405),INDEX(tbl_Consulting[Expected Revenue Ex GST],$BI405)))="","",IF($B405="Onsite",INDEX(tbl_Onsite[Expected Revenue Ex GST],$BI405),IF($B405="Production",INDEX(tbl_Production[Expected Revenue Ex GST],$BI405),INDEX(tbl_Consulting[Expected Revenue Ex GST],$BI405)))))</f>
        <v/>
      </c>
      <c r="O405" s="11">
        <f>IF(AND($C405="",NOT(COUNTA($S405:$BB405)&gt;0)),"",SUM(U405,X405,AA405,AD405,AG405,AJ405,AM405,AP405,AS405,AV405,AY405,BB405))</f>
        <v/>
      </c>
      <c r="P405" s="11">
        <f>IF(O405="","",N(N405)-O405)</f>
        <v/>
      </c>
      <c r="Q405" s="10">
        <f>IF(O405="","",IF($C405="","Invoice on empty job row",IF(N405="",IF(ROUND(O405,2)=0,"No dept value","Invoiced - no dept value"),IF(ROUND(O405,2)=0,"Not invoiced - to invoice",IF(ROUND(P405,2)=0,"Agrees",IF(P405&gt;0,"Dept higher - to invoice","Xero higher - check dept"))))))</f>
        <v/>
      </c>
      <c r="R405" s="10">
        <f>IF(AND($C405="",NOT(COUNTA($S405:$BB405)&gt;0),$BI405&lt;&gt;""),"",MID(IF($BI405="","; Row ID not found on the department sheet - a row was deleted","")&amp;IF(AND($C405="",COUNTA($S405:$BB405)&gt;0),"; Invoice entered but the department row has no job number","")&amp;IF(E405="CHECK","; Job number not in the Xero job list","")&amp;IF(AND($C405&lt;&gt;"",COUNTIF($C$7:$C$1506,$C405)&gt;1),"; Job number on more than one row","")&amp;IF(AND($C405&lt;&gt;"",H405=""),"; Dept has not set a cost centre","")&amp;IF(AND($C405&lt;&gt;"",J405=""),"; Dept has not set a tax code","")&amp;IF(AND($C405&lt;&gt;"",N405=""),"; Dept has not entered an expected value","")&amp;IF((IF(OR(COUNTA(S405:U405)=0,AND(COUNTA(S405:U405)=3,ISNUMBER(U405))),0,1)+IF(OR(COUNTA(V405:X405)=0,AND(COUNTA(V405:X405)=3,ISNUMBER(X405))),0,1)+IF(OR(COUNTA(Y405:AA405)=0,AND(COUNTA(Y405:AA405)=3,ISNUMBER(AA405))),0,1)+IF(OR(COUNTA(AB405:AD405)=0,AND(COUNTA(AB405:AD405)=3,ISNUMBER(AD405))),0,1)+IF(OR(COUNTA(AE405:AG405)=0,AND(COUNTA(AE405:AG405)=3,ISNUMBER(AG405))),0,1)+IF(OR(COUNTA(AH405:AJ405)=0,AND(COUNTA(AH405:AJ405)=3,ISNUMBER(AJ405))),0,1)+IF(OR(COUNTA(AK405:AM405)=0,AND(COUNTA(AK405:AM405)=3,ISNUMBER(AM405))),0,1)+IF(OR(COUNTA(AN405:AP405)=0,AND(COUNTA(AN405:AP405)=3,ISNUMBER(AP405))),0,1)+IF(OR(COUNTA(AQ405:AS405)=0,AND(COUNTA(AQ405:AS405)=3,ISNUMBER(AS405))),0,1)+IF(OR(COUNTA(AT405:AV405)=0,AND(COUNTA(AT405:AV405)=3,ISNUMBER(AV405))),0,1)+IF(OR(COUNTA(AW405:AY405)=0,AND(COUNTA(AW405:AY405)=3,ISNUMBER(AY405))),0,1)+IF(OR(COUNTA(AZ405:BB405)=0,AND(COUNTA(AZ405:BB405)=3,ISNUMBER(BB405))),0,1))&gt;0,"; An invoice is incomplete (needs No, Date and a number in Ex GST)","")&amp;IF((IF(T405="",0,IFERROR(--(EOMONTH(T405,0)&lt;&gt;S$5),1))+IF(W405="",0,IFERROR(--(EOMONTH(W405,0)&lt;&gt;V$5),1))+IF(Z405="",0,IFERROR(--(EOMONTH(Z405,0)&lt;&gt;Y$5),1))+IF(AC405="",0,IFERROR(--(EOMONTH(AC405,0)&lt;&gt;AB$5),1))+IF(AF405="",0,IFERROR(--(EOMONTH(AF405,0)&lt;&gt;AE$5),1))+IF(AI405="",0,IFERROR(--(EOMONTH(AI405,0)&lt;&gt;AH$5),1))+IF(AL405="",0,IFERROR(--(EOMONTH(AL405,0)&lt;&gt;AK$5),1))+IF(AO405="",0,IFERROR(--(EOMONTH(AO405,0)&lt;&gt;AN$5),1))+IF(AR405="",0,IFERROR(--(EOMONTH(AR405,0)&lt;&gt;AQ$5),1))+IF(AU405="",0,IFERROR(--(EOMONTH(AU405,0)&lt;&gt;AT$5),1))+IF(AX405="",0,IFERROR(--(EOMONTH(AX405,0)&lt;&gt;AW$5),1))+IF(BA405="",0,IFERROR(--(EOMONTH(BA405,0)&lt;&gt;AZ$5),1)))&gt;0,"; An invoice date is not in the month it is typed under",""),3,500))</f>
        <v/>
      </c>
      <c r="S405" s="12" t="n"/>
      <c r="T405" s="13" t="n"/>
      <c r="U405" s="14" t="n"/>
      <c r="V405" s="12" t="n"/>
      <c r="W405" s="13" t="n"/>
      <c r="X405" s="14" t="n"/>
      <c r="Y405" s="12" t="n"/>
      <c r="Z405" s="13" t="n"/>
      <c r="AA405" s="14" t="n"/>
      <c r="AB405" s="12" t="n"/>
      <c r="AC405" s="13" t="n"/>
      <c r="AD405" s="14" t="n"/>
      <c r="AE405" s="12" t="n"/>
      <c r="AF405" s="13" t="n"/>
      <c r="AG405" s="14" t="n"/>
      <c r="AH405" s="12" t="n"/>
      <c r="AI405" s="13" t="n"/>
      <c r="AJ405" s="14" t="n"/>
      <c r="AK405" s="12" t="n"/>
      <c r="AL405" s="13" t="n"/>
      <c r="AM405" s="14" t="n"/>
      <c r="AN405" s="12" t="n"/>
      <c r="AO405" s="13" t="n"/>
      <c r="AP405" s="14" t="n"/>
      <c r="AQ405" s="12" t="n"/>
      <c r="AR405" s="13" t="n"/>
      <c r="AS405" s="14" t="n"/>
      <c r="AT405" s="12" t="n"/>
      <c r="AU405" s="13" t="n"/>
      <c r="AV405" s="14" t="n"/>
      <c r="AW405" s="12" t="n"/>
      <c r="AX405" s="13" t="n"/>
      <c r="AY405" s="14" t="n"/>
      <c r="AZ405" s="12" t="n"/>
      <c r="BA405" s="13" t="n"/>
      <c r="BB405" s="14" t="n"/>
      <c r="BC405" s="11">
        <f>IF(O405="","",IF(J405="GST 10%",ROUND(O405*set_GSTRate,2),0))</f>
        <v/>
      </c>
      <c r="BD405" s="11">
        <f>IF(O405="","",O405+BC405)</f>
        <v/>
      </c>
      <c r="BE405" s="15">
        <f>IF(O405="","",COUNTA(S405,V405,Y405,AB405,AE405,AH405,AK405,AN405,AQ405,AT405,AW405,AZ405))</f>
        <v/>
      </c>
      <c r="BF405" s="16">
        <f>IF(COUNT(T405,W405,Z405,AC405,AF405,AI405,AL405,AO405,AR405,AU405,AX405,BA405)=0,"",MAX(T405,W405,Z405,AC405,AF405,AI405,AL405,AO405,AR405,AU405,AX405,BA405))</f>
        <v/>
      </c>
      <c r="BG405" s="10">
        <f>MID(IF(S405="","",", "&amp;S405)&amp;IF(V405="","",", "&amp;V405)&amp;IF(Y405="","",", "&amp;Y405)&amp;IF(AB405="","",", "&amp;AB405)&amp;IF(AE405="","",", "&amp;AE405)&amp;IF(AH405="","",", "&amp;AH405)&amp;IF(AK405="","",", "&amp;AK405)&amp;IF(AN405="","",", "&amp;AN405)&amp;IF(AQ405="","",", "&amp;AQ405)&amp;IF(AT405="","",", "&amp;AT405)&amp;IF(AW405="","",", "&amp;AW405)&amp;IF(AZ405="","",", "&amp;AZ405),3,500)</f>
        <v/>
      </c>
      <c r="BH405" s="12" t="n"/>
      <c r="BI405" s="15">
        <f>IFERROR(MATCH($A405,IF($B405="Onsite",tbl_Onsite[Row ID],IF($B405="Production",tbl_Production[Row ID],tbl_Consulting[Row ID])),0),"")</f>
        <v/>
      </c>
    </row>
    <row r="406">
      <c r="A406" s="10" t="inlineStr">
        <is>
          <t>ONS-0400</t>
        </is>
      </c>
      <c r="B406" s="10" t="inlineStr">
        <is>
          <t>Onsite</t>
        </is>
      </c>
      <c r="C406" s="10">
        <f>IF($BI406="","",IF($B406="Onsite",INDEX(tbl_Onsite[Job Number],$BI406),IF($B406="Production",INDEX(tbl_Production[Job Number],$BI406),INDEX(tbl_Consulting[Job Number],$BI406)))&amp;"")</f>
        <v/>
      </c>
      <c r="D406" s="10">
        <f>IF($BI406="","",IF($B406="Onsite",INDEX(tbl_Onsite[Client],$BI406),IF($B406="Production",INDEX(tbl_Production[Client],$BI406),INDEX(tbl_Consulting[Client],$BI406)))&amp;"")</f>
        <v/>
      </c>
      <c r="E406" s="10">
        <f>IF($C406="","",IF(COUNTIF(lst_Jobs,$C406)&gt;0,"OK","CHECK"))</f>
        <v/>
      </c>
      <c r="F406" s="10">
        <f>IF($C406="","",IFERROR(INDEX(lst_JobName,MATCH($C406,lst_Jobs,0)),""))</f>
        <v/>
      </c>
      <c r="G406" s="10">
        <f>IF($BI406="","",IF($B406="Onsite",INDEX(tbl_Onsite[Job Description],$BI406),IF($B406="Production",INDEX(tbl_Production[Job Description],$BI406),INDEX(tbl_Consulting[Job Description],$BI406)))&amp;"")</f>
        <v/>
      </c>
      <c r="H406" s="10">
        <f>IF($BI406="","",IF($B406="Onsite",INDEX(tbl_Onsite[Cost Centre],$BI406),IF($B406="Production",INDEX(tbl_Production[Cost Centre],$BI406),INDEX(tbl_Consulting[Cost Centre],$BI406)))&amp;"")</f>
        <v/>
      </c>
      <c r="I406" s="10">
        <f>IF($BI406="","",IF($B406="Onsite",INDEX(tbl_Onsite[Invoice Type],$BI406),IF($B406="Production",INDEX(tbl_Production[Invoice Type],$BI406),INDEX(tbl_Consulting[Invoice Type],$BI406)))&amp;"")</f>
        <v/>
      </c>
      <c r="J406" s="10">
        <f>IF($BI406="","",IF($B406="Onsite",INDEX(tbl_Onsite[Tax Code],$BI406),IF($B406="Production",INDEX(tbl_Production[Tax Code],$BI406),INDEX(tbl_Consulting[Tax Code],$BI406)))&amp;"")</f>
        <v/>
      </c>
      <c r="K406" s="10">
        <f>IF(H406="","",IFERROR(INDEX(lst_CCtoGL,MATCH(H406,lst_CCforGL,0)),""))</f>
        <v/>
      </c>
      <c r="L406" s="10">
        <f>IF($BI406="","",IF($B406="Onsite",INDEX(tbl_Onsite[PO / Reference],$BI406),IF($B406="Production",INDEX(tbl_Production[Current RMS No],$BI406),INDEX(tbl_Consulting[Qwilr Quote],$BI406)))&amp;"")</f>
        <v/>
      </c>
      <c r="M406" s="10">
        <f>IF($BI406="","",IF($B406="Onsite",INDEX(tbl_Onsite[Notes],$BI406),IF($B406="Production",INDEX(tbl_Production[Notes],$BI406),INDEX(tbl_Consulting[Notes],$BI406)))&amp;"")</f>
        <v/>
      </c>
      <c r="N406" s="11">
        <f>IF($BI406="","",IF(IF($B406="Onsite",INDEX(tbl_Onsite[Expected Revenue Ex GST],$BI406),IF($B406="Production",INDEX(tbl_Production[Expected Revenue Ex GST],$BI406),INDEX(tbl_Consulting[Expected Revenue Ex GST],$BI406)))="","",IF($B406="Onsite",INDEX(tbl_Onsite[Expected Revenue Ex GST],$BI406),IF($B406="Production",INDEX(tbl_Production[Expected Revenue Ex GST],$BI406),INDEX(tbl_Consulting[Expected Revenue Ex GST],$BI406)))))</f>
        <v/>
      </c>
      <c r="O406" s="11">
        <f>IF(AND($C406="",NOT(COUNTA($S406:$BB406)&gt;0)),"",SUM(U406,X406,AA406,AD406,AG406,AJ406,AM406,AP406,AS406,AV406,AY406,BB406))</f>
        <v/>
      </c>
      <c r="P406" s="11">
        <f>IF(O406="","",N(N406)-O406)</f>
        <v/>
      </c>
      <c r="Q406" s="10">
        <f>IF(O406="","",IF($C406="","Invoice on empty job row",IF(N406="",IF(ROUND(O406,2)=0,"No dept value","Invoiced - no dept value"),IF(ROUND(O406,2)=0,"Not invoiced - to invoice",IF(ROUND(P406,2)=0,"Agrees",IF(P406&gt;0,"Dept higher - to invoice","Xero higher - check dept"))))))</f>
        <v/>
      </c>
      <c r="R406" s="10">
        <f>IF(AND($C406="",NOT(COUNTA($S406:$BB406)&gt;0),$BI406&lt;&gt;""),"",MID(IF($BI406="","; Row ID not found on the department sheet - a row was deleted","")&amp;IF(AND($C406="",COUNTA($S406:$BB406)&gt;0),"; Invoice entered but the department row has no job number","")&amp;IF(E406="CHECK","; Job number not in the Xero job list","")&amp;IF(AND($C406&lt;&gt;"",COUNTIF($C$7:$C$1506,$C406)&gt;1),"; Job number on more than one row","")&amp;IF(AND($C406&lt;&gt;"",H406=""),"; Dept has not set a cost centre","")&amp;IF(AND($C406&lt;&gt;"",J406=""),"; Dept has not set a tax code","")&amp;IF(AND($C406&lt;&gt;"",N406=""),"; Dept has not entered an expected value","")&amp;IF((IF(OR(COUNTA(S406:U406)=0,AND(COUNTA(S406:U406)=3,ISNUMBER(U406))),0,1)+IF(OR(COUNTA(V406:X406)=0,AND(COUNTA(V406:X406)=3,ISNUMBER(X406))),0,1)+IF(OR(COUNTA(Y406:AA406)=0,AND(COUNTA(Y406:AA406)=3,ISNUMBER(AA406))),0,1)+IF(OR(COUNTA(AB406:AD406)=0,AND(COUNTA(AB406:AD406)=3,ISNUMBER(AD406))),0,1)+IF(OR(COUNTA(AE406:AG406)=0,AND(COUNTA(AE406:AG406)=3,ISNUMBER(AG406))),0,1)+IF(OR(COUNTA(AH406:AJ406)=0,AND(COUNTA(AH406:AJ406)=3,ISNUMBER(AJ406))),0,1)+IF(OR(COUNTA(AK406:AM406)=0,AND(COUNTA(AK406:AM406)=3,ISNUMBER(AM406))),0,1)+IF(OR(COUNTA(AN406:AP406)=0,AND(COUNTA(AN406:AP406)=3,ISNUMBER(AP406))),0,1)+IF(OR(COUNTA(AQ406:AS406)=0,AND(COUNTA(AQ406:AS406)=3,ISNUMBER(AS406))),0,1)+IF(OR(COUNTA(AT406:AV406)=0,AND(COUNTA(AT406:AV406)=3,ISNUMBER(AV406))),0,1)+IF(OR(COUNTA(AW406:AY406)=0,AND(COUNTA(AW406:AY406)=3,ISNUMBER(AY406))),0,1)+IF(OR(COUNTA(AZ406:BB406)=0,AND(COUNTA(AZ406:BB406)=3,ISNUMBER(BB406))),0,1))&gt;0,"; An invoice is incomplete (needs No, Date and a number in Ex GST)","")&amp;IF((IF(T406="",0,IFERROR(--(EOMONTH(T406,0)&lt;&gt;S$5),1))+IF(W406="",0,IFERROR(--(EOMONTH(W406,0)&lt;&gt;V$5),1))+IF(Z406="",0,IFERROR(--(EOMONTH(Z406,0)&lt;&gt;Y$5),1))+IF(AC406="",0,IFERROR(--(EOMONTH(AC406,0)&lt;&gt;AB$5),1))+IF(AF406="",0,IFERROR(--(EOMONTH(AF406,0)&lt;&gt;AE$5),1))+IF(AI406="",0,IFERROR(--(EOMONTH(AI406,0)&lt;&gt;AH$5),1))+IF(AL406="",0,IFERROR(--(EOMONTH(AL406,0)&lt;&gt;AK$5),1))+IF(AO406="",0,IFERROR(--(EOMONTH(AO406,0)&lt;&gt;AN$5),1))+IF(AR406="",0,IFERROR(--(EOMONTH(AR406,0)&lt;&gt;AQ$5),1))+IF(AU406="",0,IFERROR(--(EOMONTH(AU406,0)&lt;&gt;AT$5),1))+IF(AX406="",0,IFERROR(--(EOMONTH(AX406,0)&lt;&gt;AW$5),1))+IF(BA406="",0,IFERROR(--(EOMONTH(BA406,0)&lt;&gt;AZ$5),1)))&gt;0,"; An invoice date is not in the month it is typed under",""),3,500))</f>
        <v/>
      </c>
      <c r="S406" s="12" t="n"/>
      <c r="T406" s="13" t="n"/>
      <c r="U406" s="14" t="n"/>
      <c r="V406" s="12" t="n"/>
      <c r="W406" s="13" t="n"/>
      <c r="X406" s="14" t="n"/>
      <c r="Y406" s="12" t="n"/>
      <c r="Z406" s="13" t="n"/>
      <c r="AA406" s="14" t="n"/>
      <c r="AB406" s="12" t="n"/>
      <c r="AC406" s="13" t="n"/>
      <c r="AD406" s="14" t="n"/>
      <c r="AE406" s="12" t="n"/>
      <c r="AF406" s="13" t="n"/>
      <c r="AG406" s="14" t="n"/>
      <c r="AH406" s="12" t="n"/>
      <c r="AI406" s="13" t="n"/>
      <c r="AJ406" s="14" t="n"/>
      <c r="AK406" s="12" t="n"/>
      <c r="AL406" s="13" t="n"/>
      <c r="AM406" s="14" t="n"/>
      <c r="AN406" s="12" t="n"/>
      <c r="AO406" s="13" t="n"/>
      <c r="AP406" s="14" t="n"/>
      <c r="AQ406" s="12" t="n"/>
      <c r="AR406" s="13" t="n"/>
      <c r="AS406" s="14" t="n"/>
      <c r="AT406" s="12" t="n"/>
      <c r="AU406" s="13" t="n"/>
      <c r="AV406" s="14" t="n"/>
      <c r="AW406" s="12" t="n"/>
      <c r="AX406" s="13" t="n"/>
      <c r="AY406" s="14" t="n"/>
      <c r="AZ406" s="12" t="n"/>
      <c r="BA406" s="13" t="n"/>
      <c r="BB406" s="14" t="n"/>
      <c r="BC406" s="11">
        <f>IF(O406="","",IF(J406="GST 10%",ROUND(O406*set_GSTRate,2),0))</f>
        <v/>
      </c>
      <c r="BD406" s="11">
        <f>IF(O406="","",O406+BC406)</f>
        <v/>
      </c>
      <c r="BE406" s="15">
        <f>IF(O406="","",COUNTA(S406,V406,Y406,AB406,AE406,AH406,AK406,AN406,AQ406,AT406,AW406,AZ406))</f>
        <v/>
      </c>
      <c r="BF406" s="16">
        <f>IF(COUNT(T406,W406,Z406,AC406,AF406,AI406,AL406,AO406,AR406,AU406,AX406,BA406)=0,"",MAX(T406,W406,Z406,AC406,AF406,AI406,AL406,AO406,AR406,AU406,AX406,BA406))</f>
        <v/>
      </c>
      <c r="BG406" s="10">
        <f>MID(IF(S406="","",", "&amp;S406)&amp;IF(V406="","",", "&amp;V406)&amp;IF(Y406="","",", "&amp;Y406)&amp;IF(AB406="","",", "&amp;AB406)&amp;IF(AE406="","",", "&amp;AE406)&amp;IF(AH406="","",", "&amp;AH406)&amp;IF(AK406="","",", "&amp;AK406)&amp;IF(AN406="","",", "&amp;AN406)&amp;IF(AQ406="","",", "&amp;AQ406)&amp;IF(AT406="","",", "&amp;AT406)&amp;IF(AW406="","",", "&amp;AW406)&amp;IF(AZ406="","",", "&amp;AZ406),3,500)</f>
        <v/>
      </c>
      <c r="BH406" s="12" t="n"/>
      <c r="BI406" s="15">
        <f>IFERROR(MATCH($A406,IF($B406="Onsite",tbl_Onsite[Row ID],IF($B406="Production",tbl_Production[Row ID],tbl_Consulting[Row ID])),0),"")</f>
        <v/>
      </c>
    </row>
    <row r="407">
      <c r="A407" s="10" t="inlineStr">
        <is>
          <t>ONS-0401</t>
        </is>
      </c>
      <c r="B407" s="10" t="inlineStr">
        <is>
          <t>Onsite</t>
        </is>
      </c>
      <c r="C407" s="10">
        <f>IF($BI407="","",IF($B407="Onsite",INDEX(tbl_Onsite[Job Number],$BI407),IF($B407="Production",INDEX(tbl_Production[Job Number],$BI407),INDEX(tbl_Consulting[Job Number],$BI407)))&amp;"")</f>
        <v/>
      </c>
      <c r="D407" s="10">
        <f>IF($BI407="","",IF($B407="Onsite",INDEX(tbl_Onsite[Client],$BI407),IF($B407="Production",INDEX(tbl_Production[Client],$BI407),INDEX(tbl_Consulting[Client],$BI407)))&amp;"")</f>
        <v/>
      </c>
      <c r="E407" s="10">
        <f>IF($C407="","",IF(COUNTIF(lst_Jobs,$C407)&gt;0,"OK","CHECK"))</f>
        <v/>
      </c>
      <c r="F407" s="10">
        <f>IF($C407="","",IFERROR(INDEX(lst_JobName,MATCH($C407,lst_Jobs,0)),""))</f>
        <v/>
      </c>
      <c r="G407" s="10">
        <f>IF($BI407="","",IF($B407="Onsite",INDEX(tbl_Onsite[Job Description],$BI407),IF($B407="Production",INDEX(tbl_Production[Job Description],$BI407),INDEX(tbl_Consulting[Job Description],$BI407)))&amp;"")</f>
        <v/>
      </c>
      <c r="H407" s="10">
        <f>IF($BI407="","",IF($B407="Onsite",INDEX(tbl_Onsite[Cost Centre],$BI407),IF($B407="Production",INDEX(tbl_Production[Cost Centre],$BI407),INDEX(tbl_Consulting[Cost Centre],$BI407)))&amp;"")</f>
        <v/>
      </c>
      <c r="I407" s="10">
        <f>IF($BI407="","",IF($B407="Onsite",INDEX(tbl_Onsite[Invoice Type],$BI407),IF($B407="Production",INDEX(tbl_Production[Invoice Type],$BI407),INDEX(tbl_Consulting[Invoice Type],$BI407)))&amp;"")</f>
        <v/>
      </c>
      <c r="J407" s="10">
        <f>IF($BI407="","",IF($B407="Onsite",INDEX(tbl_Onsite[Tax Code],$BI407),IF($B407="Production",INDEX(tbl_Production[Tax Code],$BI407),INDEX(tbl_Consulting[Tax Code],$BI407)))&amp;"")</f>
        <v/>
      </c>
      <c r="K407" s="10">
        <f>IF(H407="","",IFERROR(INDEX(lst_CCtoGL,MATCH(H407,lst_CCforGL,0)),""))</f>
        <v/>
      </c>
      <c r="L407" s="10">
        <f>IF($BI407="","",IF($B407="Onsite",INDEX(tbl_Onsite[PO / Reference],$BI407),IF($B407="Production",INDEX(tbl_Production[Current RMS No],$BI407),INDEX(tbl_Consulting[Qwilr Quote],$BI407)))&amp;"")</f>
        <v/>
      </c>
      <c r="M407" s="10">
        <f>IF($BI407="","",IF($B407="Onsite",INDEX(tbl_Onsite[Notes],$BI407),IF($B407="Production",INDEX(tbl_Production[Notes],$BI407),INDEX(tbl_Consulting[Notes],$BI407)))&amp;"")</f>
        <v/>
      </c>
      <c r="N407" s="11">
        <f>IF($BI407="","",IF(IF($B407="Onsite",INDEX(tbl_Onsite[Expected Revenue Ex GST],$BI407),IF($B407="Production",INDEX(tbl_Production[Expected Revenue Ex GST],$BI407),INDEX(tbl_Consulting[Expected Revenue Ex GST],$BI407)))="","",IF($B407="Onsite",INDEX(tbl_Onsite[Expected Revenue Ex GST],$BI407),IF($B407="Production",INDEX(tbl_Production[Expected Revenue Ex GST],$BI407),INDEX(tbl_Consulting[Expected Revenue Ex GST],$BI407)))))</f>
        <v/>
      </c>
      <c r="O407" s="11">
        <f>IF(AND($C407="",NOT(COUNTA($S407:$BB407)&gt;0)),"",SUM(U407,X407,AA407,AD407,AG407,AJ407,AM407,AP407,AS407,AV407,AY407,BB407))</f>
        <v/>
      </c>
      <c r="P407" s="11">
        <f>IF(O407="","",N(N407)-O407)</f>
        <v/>
      </c>
      <c r="Q407" s="10">
        <f>IF(O407="","",IF($C407="","Invoice on empty job row",IF(N407="",IF(ROUND(O407,2)=0,"No dept value","Invoiced - no dept value"),IF(ROUND(O407,2)=0,"Not invoiced - to invoice",IF(ROUND(P407,2)=0,"Agrees",IF(P407&gt;0,"Dept higher - to invoice","Xero higher - check dept"))))))</f>
        <v/>
      </c>
      <c r="R407" s="10">
        <f>IF(AND($C407="",NOT(COUNTA($S407:$BB407)&gt;0),$BI407&lt;&gt;""),"",MID(IF($BI407="","; Row ID not found on the department sheet - a row was deleted","")&amp;IF(AND($C407="",COUNTA($S407:$BB407)&gt;0),"; Invoice entered but the department row has no job number","")&amp;IF(E407="CHECK","; Job number not in the Xero job list","")&amp;IF(AND($C407&lt;&gt;"",COUNTIF($C$7:$C$1506,$C407)&gt;1),"; Job number on more than one row","")&amp;IF(AND($C407&lt;&gt;"",H407=""),"; Dept has not set a cost centre","")&amp;IF(AND($C407&lt;&gt;"",J407=""),"; Dept has not set a tax code","")&amp;IF(AND($C407&lt;&gt;"",N407=""),"; Dept has not entered an expected value","")&amp;IF((IF(OR(COUNTA(S407:U407)=0,AND(COUNTA(S407:U407)=3,ISNUMBER(U407))),0,1)+IF(OR(COUNTA(V407:X407)=0,AND(COUNTA(V407:X407)=3,ISNUMBER(X407))),0,1)+IF(OR(COUNTA(Y407:AA407)=0,AND(COUNTA(Y407:AA407)=3,ISNUMBER(AA407))),0,1)+IF(OR(COUNTA(AB407:AD407)=0,AND(COUNTA(AB407:AD407)=3,ISNUMBER(AD407))),0,1)+IF(OR(COUNTA(AE407:AG407)=0,AND(COUNTA(AE407:AG407)=3,ISNUMBER(AG407))),0,1)+IF(OR(COUNTA(AH407:AJ407)=0,AND(COUNTA(AH407:AJ407)=3,ISNUMBER(AJ407))),0,1)+IF(OR(COUNTA(AK407:AM407)=0,AND(COUNTA(AK407:AM407)=3,ISNUMBER(AM407))),0,1)+IF(OR(COUNTA(AN407:AP407)=0,AND(COUNTA(AN407:AP407)=3,ISNUMBER(AP407))),0,1)+IF(OR(COUNTA(AQ407:AS407)=0,AND(COUNTA(AQ407:AS407)=3,ISNUMBER(AS407))),0,1)+IF(OR(COUNTA(AT407:AV407)=0,AND(COUNTA(AT407:AV407)=3,ISNUMBER(AV407))),0,1)+IF(OR(COUNTA(AW407:AY407)=0,AND(COUNTA(AW407:AY407)=3,ISNUMBER(AY407))),0,1)+IF(OR(COUNTA(AZ407:BB407)=0,AND(COUNTA(AZ407:BB407)=3,ISNUMBER(BB407))),0,1))&gt;0,"; An invoice is incomplete (needs No, Date and a number in Ex GST)","")&amp;IF((IF(T407="",0,IFERROR(--(EOMONTH(T407,0)&lt;&gt;S$5),1))+IF(W407="",0,IFERROR(--(EOMONTH(W407,0)&lt;&gt;V$5),1))+IF(Z407="",0,IFERROR(--(EOMONTH(Z407,0)&lt;&gt;Y$5),1))+IF(AC407="",0,IFERROR(--(EOMONTH(AC407,0)&lt;&gt;AB$5),1))+IF(AF407="",0,IFERROR(--(EOMONTH(AF407,0)&lt;&gt;AE$5),1))+IF(AI407="",0,IFERROR(--(EOMONTH(AI407,0)&lt;&gt;AH$5),1))+IF(AL407="",0,IFERROR(--(EOMONTH(AL407,0)&lt;&gt;AK$5),1))+IF(AO407="",0,IFERROR(--(EOMONTH(AO407,0)&lt;&gt;AN$5),1))+IF(AR407="",0,IFERROR(--(EOMONTH(AR407,0)&lt;&gt;AQ$5),1))+IF(AU407="",0,IFERROR(--(EOMONTH(AU407,0)&lt;&gt;AT$5),1))+IF(AX407="",0,IFERROR(--(EOMONTH(AX407,0)&lt;&gt;AW$5),1))+IF(BA407="",0,IFERROR(--(EOMONTH(BA407,0)&lt;&gt;AZ$5),1)))&gt;0,"; An invoice date is not in the month it is typed under",""),3,500))</f>
        <v/>
      </c>
      <c r="S407" s="12" t="n"/>
      <c r="T407" s="13" t="n"/>
      <c r="U407" s="14" t="n"/>
      <c r="V407" s="12" t="n"/>
      <c r="W407" s="13" t="n"/>
      <c r="X407" s="14" t="n"/>
      <c r="Y407" s="12" t="n"/>
      <c r="Z407" s="13" t="n"/>
      <c r="AA407" s="14" t="n"/>
      <c r="AB407" s="12" t="n"/>
      <c r="AC407" s="13" t="n"/>
      <c r="AD407" s="14" t="n"/>
      <c r="AE407" s="12" t="n"/>
      <c r="AF407" s="13" t="n"/>
      <c r="AG407" s="14" t="n"/>
      <c r="AH407" s="12" t="n"/>
      <c r="AI407" s="13" t="n"/>
      <c r="AJ407" s="14" t="n"/>
      <c r="AK407" s="12" t="n"/>
      <c r="AL407" s="13" t="n"/>
      <c r="AM407" s="14" t="n"/>
      <c r="AN407" s="12" t="n"/>
      <c r="AO407" s="13" t="n"/>
      <c r="AP407" s="14" t="n"/>
      <c r="AQ407" s="12" t="n"/>
      <c r="AR407" s="13" t="n"/>
      <c r="AS407" s="14" t="n"/>
      <c r="AT407" s="12" t="n"/>
      <c r="AU407" s="13" t="n"/>
      <c r="AV407" s="14" t="n"/>
      <c r="AW407" s="12" t="n"/>
      <c r="AX407" s="13" t="n"/>
      <c r="AY407" s="14" t="n"/>
      <c r="AZ407" s="12" t="n"/>
      <c r="BA407" s="13" t="n"/>
      <c r="BB407" s="14" t="n"/>
      <c r="BC407" s="11">
        <f>IF(O407="","",IF(J407="GST 10%",ROUND(O407*set_GSTRate,2),0))</f>
        <v/>
      </c>
      <c r="BD407" s="11">
        <f>IF(O407="","",O407+BC407)</f>
        <v/>
      </c>
      <c r="BE407" s="15">
        <f>IF(O407="","",COUNTA(S407,V407,Y407,AB407,AE407,AH407,AK407,AN407,AQ407,AT407,AW407,AZ407))</f>
        <v/>
      </c>
      <c r="BF407" s="16">
        <f>IF(COUNT(T407,W407,Z407,AC407,AF407,AI407,AL407,AO407,AR407,AU407,AX407,BA407)=0,"",MAX(T407,W407,Z407,AC407,AF407,AI407,AL407,AO407,AR407,AU407,AX407,BA407))</f>
        <v/>
      </c>
      <c r="BG407" s="10">
        <f>MID(IF(S407="","",", "&amp;S407)&amp;IF(V407="","",", "&amp;V407)&amp;IF(Y407="","",", "&amp;Y407)&amp;IF(AB407="","",", "&amp;AB407)&amp;IF(AE407="","",", "&amp;AE407)&amp;IF(AH407="","",", "&amp;AH407)&amp;IF(AK407="","",", "&amp;AK407)&amp;IF(AN407="","",", "&amp;AN407)&amp;IF(AQ407="","",", "&amp;AQ407)&amp;IF(AT407="","",", "&amp;AT407)&amp;IF(AW407="","",", "&amp;AW407)&amp;IF(AZ407="","",", "&amp;AZ407),3,500)</f>
        <v/>
      </c>
      <c r="BH407" s="12" t="n"/>
      <c r="BI407" s="15">
        <f>IFERROR(MATCH($A407,IF($B407="Onsite",tbl_Onsite[Row ID],IF($B407="Production",tbl_Production[Row ID],tbl_Consulting[Row ID])),0),"")</f>
        <v/>
      </c>
    </row>
    <row r="408">
      <c r="A408" s="10" t="inlineStr">
        <is>
          <t>ONS-0402</t>
        </is>
      </c>
      <c r="B408" s="10" t="inlineStr">
        <is>
          <t>Onsite</t>
        </is>
      </c>
      <c r="C408" s="10">
        <f>IF($BI408="","",IF($B408="Onsite",INDEX(tbl_Onsite[Job Number],$BI408),IF($B408="Production",INDEX(tbl_Production[Job Number],$BI408),INDEX(tbl_Consulting[Job Number],$BI408)))&amp;"")</f>
        <v/>
      </c>
      <c r="D408" s="10">
        <f>IF($BI408="","",IF($B408="Onsite",INDEX(tbl_Onsite[Client],$BI408),IF($B408="Production",INDEX(tbl_Production[Client],$BI408),INDEX(tbl_Consulting[Client],$BI408)))&amp;"")</f>
        <v/>
      </c>
      <c r="E408" s="10">
        <f>IF($C408="","",IF(COUNTIF(lst_Jobs,$C408)&gt;0,"OK","CHECK"))</f>
        <v/>
      </c>
      <c r="F408" s="10">
        <f>IF($C408="","",IFERROR(INDEX(lst_JobName,MATCH($C408,lst_Jobs,0)),""))</f>
        <v/>
      </c>
      <c r="G408" s="10">
        <f>IF($BI408="","",IF($B408="Onsite",INDEX(tbl_Onsite[Job Description],$BI408),IF($B408="Production",INDEX(tbl_Production[Job Description],$BI408),INDEX(tbl_Consulting[Job Description],$BI408)))&amp;"")</f>
        <v/>
      </c>
      <c r="H408" s="10">
        <f>IF($BI408="","",IF($B408="Onsite",INDEX(tbl_Onsite[Cost Centre],$BI408),IF($B408="Production",INDEX(tbl_Production[Cost Centre],$BI408),INDEX(tbl_Consulting[Cost Centre],$BI408)))&amp;"")</f>
        <v/>
      </c>
      <c r="I408" s="10">
        <f>IF($BI408="","",IF($B408="Onsite",INDEX(tbl_Onsite[Invoice Type],$BI408),IF($B408="Production",INDEX(tbl_Production[Invoice Type],$BI408),INDEX(tbl_Consulting[Invoice Type],$BI408)))&amp;"")</f>
        <v/>
      </c>
      <c r="J408" s="10">
        <f>IF($BI408="","",IF($B408="Onsite",INDEX(tbl_Onsite[Tax Code],$BI408),IF($B408="Production",INDEX(tbl_Production[Tax Code],$BI408),INDEX(tbl_Consulting[Tax Code],$BI408)))&amp;"")</f>
        <v/>
      </c>
      <c r="K408" s="10">
        <f>IF(H408="","",IFERROR(INDEX(lst_CCtoGL,MATCH(H408,lst_CCforGL,0)),""))</f>
        <v/>
      </c>
      <c r="L408" s="10">
        <f>IF($BI408="","",IF($B408="Onsite",INDEX(tbl_Onsite[PO / Reference],$BI408),IF($B408="Production",INDEX(tbl_Production[Current RMS No],$BI408),INDEX(tbl_Consulting[Qwilr Quote],$BI408)))&amp;"")</f>
        <v/>
      </c>
      <c r="M408" s="10">
        <f>IF($BI408="","",IF($B408="Onsite",INDEX(tbl_Onsite[Notes],$BI408),IF($B408="Production",INDEX(tbl_Production[Notes],$BI408),INDEX(tbl_Consulting[Notes],$BI408)))&amp;"")</f>
        <v/>
      </c>
      <c r="N408" s="11">
        <f>IF($BI408="","",IF(IF($B408="Onsite",INDEX(tbl_Onsite[Expected Revenue Ex GST],$BI408),IF($B408="Production",INDEX(tbl_Production[Expected Revenue Ex GST],$BI408),INDEX(tbl_Consulting[Expected Revenue Ex GST],$BI408)))="","",IF($B408="Onsite",INDEX(tbl_Onsite[Expected Revenue Ex GST],$BI408),IF($B408="Production",INDEX(tbl_Production[Expected Revenue Ex GST],$BI408),INDEX(tbl_Consulting[Expected Revenue Ex GST],$BI408)))))</f>
        <v/>
      </c>
      <c r="O408" s="11">
        <f>IF(AND($C408="",NOT(COUNTA($S408:$BB408)&gt;0)),"",SUM(U408,X408,AA408,AD408,AG408,AJ408,AM408,AP408,AS408,AV408,AY408,BB408))</f>
        <v/>
      </c>
      <c r="P408" s="11">
        <f>IF(O408="","",N(N408)-O408)</f>
        <v/>
      </c>
      <c r="Q408" s="10">
        <f>IF(O408="","",IF($C408="","Invoice on empty job row",IF(N408="",IF(ROUND(O408,2)=0,"No dept value","Invoiced - no dept value"),IF(ROUND(O408,2)=0,"Not invoiced - to invoice",IF(ROUND(P408,2)=0,"Agrees",IF(P408&gt;0,"Dept higher - to invoice","Xero higher - check dept"))))))</f>
        <v/>
      </c>
      <c r="R408" s="10">
        <f>IF(AND($C408="",NOT(COUNTA($S408:$BB408)&gt;0),$BI408&lt;&gt;""),"",MID(IF($BI408="","; Row ID not found on the department sheet - a row was deleted","")&amp;IF(AND($C408="",COUNTA($S408:$BB408)&gt;0),"; Invoice entered but the department row has no job number","")&amp;IF(E408="CHECK","; Job number not in the Xero job list","")&amp;IF(AND($C408&lt;&gt;"",COUNTIF($C$7:$C$1506,$C408)&gt;1),"; Job number on more than one row","")&amp;IF(AND($C408&lt;&gt;"",H408=""),"; Dept has not set a cost centre","")&amp;IF(AND($C408&lt;&gt;"",J408=""),"; Dept has not set a tax code","")&amp;IF(AND($C408&lt;&gt;"",N408=""),"; Dept has not entered an expected value","")&amp;IF((IF(OR(COUNTA(S408:U408)=0,AND(COUNTA(S408:U408)=3,ISNUMBER(U408))),0,1)+IF(OR(COUNTA(V408:X408)=0,AND(COUNTA(V408:X408)=3,ISNUMBER(X408))),0,1)+IF(OR(COUNTA(Y408:AA408)=0,AND(COUNTA(Y408:AA408)=3,ISNUMBER(AA408))),0,1)+IF(OR(COUNTA(AB408:AD408)=0,AND(COUNTA(AB408:AD408)=3,ISNUMBER(AD408))),0,1)+IF(OR(COUNTA(AE408:AG408)=0,AND(COUNTA(AE408:AG408)=3,ISNUMBER(AG408))),0,1)+IF(OR(COUNTA(AH408:AJ408)=0,AND(COUNTA(AH408:AJ408)=3,ISNUMBER(AJ408))),0,1)+IF(OR(COUNTA(AK408:AM408)=0,AND(COUNTA(AK408:AM408)=3,ISNUMBER(AM408))),0,1)+IF(OR(COUNTA(AN408:AP408)=0,AND(COUNTA(AN408:AP408)=3,ISNUMBER(AP408))),0,1)+IF(OR(COUNTA(AQ408:AS408)=0,AND(COUNTA(AQ408:AS408)=3,ISNUMBER(AS408))),0,1)+IF(OR(COUNTA(AT408:AV408)=0,AND(COUNTA(AT408:AV408)=3,ISNUMBER(AV408))),0,1)+IF(OR(COUNTA(AW408:AY408)=0,AND(COUNTA(AW408:AY408)=3,ISNUMBER(AY408))),0,1)+IF(OR(COUNTA(AZ408:BB408)=0,AND(COUNTA(AZ408:BB408)=3,ISNUMBER(BB408))),0,1))&gt;0,"; An invoice is incomplete (needs No, Date and a number in Ex GST)","")&amp;IF((IF(T408="",0,IFERROR(--(EOMONTH(T408,0)&lt;&gt;S$5),1))+IF(W408="",0,IFERROR(--(EOMONTH(W408,0)&lt;&gt;V$5),1))+IF(Z408="",0,IFERROR(--(EOMONTH(Z408,0)&lt;&gt;Y$5),1))+IF(AC408="",0,IFERROR(--(EOMONTH(AC408,0)&lt;&gt;AB$5),1))+IF(AF408="",0,IFERROR(--(EOMONTH(AF408,0)&lt;&gt;AE$5),1))+IF(AI408="",0,IFERROR(--(EOMONTH(AI408,0)&lt;&gt;AH$5),1))+IF(AL408="",0,IFERROR(--(EOMONTH(AL408,0)&lt;&gt;AK$5),1))+IF(AO408="",0,IFERROR(--(EOMONTH(AO408,0)&lt;&gt;AN$5),1))+IF(AR408="",0,IFERROR(--(EOMONTH(AR408,0)&lt;&gt;AQ$5),1))+IF(AU408="",0,IFERROR(--(EOMONTH(AU408,0)&lt;&gt;AT$5),1))+IF(AX408="",0,IFERROR(--(EOMONTH(AX408,0)&lt;&gt;AW$5),1))+IF(BA408="",0,IFERROR(--(EOMONTH(BA408,0)&lt;&gt;AZ$5),1)))&gt;0,"; An invoice date is not in the month it is typed under",""),3,500))</f>
        <v/>
      </c>
      <c r="S408" s="12" t="n"/>
      <c r="T408" s="13" t="n"/>
      <c r="U408" s="14" t="n"/>
      <c r="V408" s="12" t="n"/>
      <c r="W408" s="13" t="n"/>
      <c r="X408" s="14" t="n"/>
      <c r="Y408" s="12" t="n"/>
      <c r="Z408" s="13" t="n"/>
      <c r="AA408" s="14" t="n"/>
      <c r="AB408" s="12" t="n"/>
      <c r="AC408" s="13" t="n"/>
      <c r="AD408" s="14" t="n"/>
      <c r="AE408" s="12" t="n"/>
      <c r="AF408" s="13" t="n"/>
      <c r="AG408" s="14" t="n"/>
      <c r="AH408" s="12" t="n"/>
      <c r="AI408" s="13" t="n"/>
      <c r="AJ408" s="14" t="n"/>
      <c r="AK408" s="12" t="n"/>
      <c r="AL408" s="13" t="n"/>
      <c r="AM408" s="14" t="n"/>
      <c r="AN408" s="12" t="n"/>
      <c r="AO408" s="13" t="n"/>
      <c r="AP408" s="14" t="n"/>
      <c r="AQ408" s="12" t="n"/>
      <c r="AR408" s="13" t="n"/>
      <c r="AS408" s="14" t="n"/>
      <c r="AT408" s="12" t="n"/>
      <c r="AU408" s="13" t="n"/>
      <c r="AV408" s="14" t="n"/>
      <c r="AW408" s="12" t="n"/>
      <c r="AX408" s="13" t="n"/>
      <c r="AY408" s="14" t="n"/>
      <c r="AZ408" s="12" t="n"/>
      <c r="BA408" s="13" t="n"/>
      <c r="BB408" s="14" t="n"/>
      <c r="BC408" s="11">
        <f>IF(O408="","",IF(J408="GST 10%",ROUND(O408*set_GSTRate,2),0))</f>
        <v/>
      </c>
      <c r="BD408" s="11">
        <f>IF(O408="","",O408+BC408)</f>
        <v/>
      </c>
      <c r="BE408" s="15">
        <f>IF(O408="","",COUNTA(S408,V408,Y408,AB408,AE408,AH408,AK408,AN408,AQ408,AT408,AW408,AZ408))</f>
        <v/>
      </c>
      <c r="BF408" s="16">
        <f>IF(COUNT(T408,W408,Z408,AC408,AF408,AI408,AL408,AO408,AR408,AU408,AX408,BA408)=0,"",MAX(T408,W408,Z408,AC408,AF408,AI408,AL408,AO408,AR408,AU408,AX408,BA408))</f>
        <v/>
      </c>
      <c r="BG408" s="10">
        <f>MID(IF(S408="","",", "&amp;S408)&amp;IF(V408="","",", "&amp;V408)&amp;IF(Y408="","",", "&amp;Y408)&amp;IF(AB408="","",", "&amp;AB408)&amp;IF(AE408="","",", "&amp;AE408)&amp;IF(AH408="","",", "&amp;AH408)&amp;IF(AK408="","",", "&amp;AK408)&amp;IF(AN408="","",", "&amp;AN408)&amp;IF(AQ408="","",", "&amp;AQ408)&amp;IF(AT408="","",", "&amp;AT408)&amp;IF(AW408="","",", "&amp;AW408)&amp;IF(AZ408="","",", "&amp;AZ408),3,500)</f>
        <v/>
      </c>
      <c r="BH408" s="12" t="n"/>
      <c r="BI408" s="15">
        <f>IFERROR(MATCH($A408,IF($B408="Onsite",tbl_Onsite[Row ID],IF($B408="Production",tbl_Production[Row ID],tbl_Consulting[Row ID])),0),"")</f>
        <v/>
      </c>
    </row>
    <row r="409">
      <c r="A409" s="10" t="inlineStr">
        <is>
          <t>ONS-0403</t>
        </is>
      </c>
      <c r="B409" s="10" t="inlineStr">
        <is>
          <t>Onsite</t>
        </is>
      </c>
      <c r="C409" s="10">
        <f>IF($BI409="","",IF($B409="Onsite",INDEX(tbl_Onsite[Job Number],$BI409),IF($B409="Production",INDEX(tbl_Production[Job Number],$BI409),INDEX(tbl_Consulting[Job Number],$BI409)))&amp;"")</f>
        <v/>
      </c>
      <c r="D409" s="10">
        <f>IF($BI409="","",IF($B409="Onsite",INDEX(tbl_Onsite[Client],$BI409),IF($B409="Production",INDEX(tbl_Production[Client],$BI409),INDEX(tbl_Consulting[Client],$BI409)))&amp;"")</f>
        <v/>
      </c>
      <c r="E409" s="10">
        <f>IF($C409="","",IF(COUNTIF(lst_Jobs,$C409)&gt;0,"OK","CHECK"))</f>
        <v/>
      </c>
      <c r="F409" s="10">
        <f>IF($C409="","",IFERROR(INDEX(lst_JobName,MATCH($C409,lst_Jobs,0)),""))</f>
        <v/>
      </c>
      <c r="G409" s="10">
        <f>IF($BI409="","",IF($B409="Onsite",INDEX(tbl_Onsite[Job Description],$BI409),IF($B409="Production",INDEX(tbl_Production[Job Description],$BI409),INDEX(tbl_Consulting[Job Description],$BI409)))&amp;"")</f>
        <v/>
      </c>
      <c r="H409" s="10">
        <f>IF($BI409="","",IF($B409="Onsite",INDEX(tbl_Onsite[Cost Centre],$BI409),IF($B409="Production",INDEX(tbl_Production[Cost Centre],$BI409),INDEX(tbl_Consulting[Cost Centre],$BI409)))&amp;"")</f>
        <v/>
      </c>
      <c r="I409" s="10">
        <f>IF($BI409="","",IF($B409="Onsite",INDEX(tbl_Onsite[Invoice Type],$BI409),IF($B409="Production",INDEX(tbl_Production[Invoice Type],$BI409),INDEX(tbl_Consulting[Invoice Type],$BI409)))&amp;"")</f>
        <v/>
      </c>
      <c r="J409" s="10">
        <f>IF($BI409="","",IF($B409="Onsite",INDEX(tbl_Onsite[Tax Code],$BI409),IF($B409="Production",INDEX(tbl_Production[Tax Code],$BI409),INDEX(tbl_Consulting[Tax Code],$BI409)))&amp;"")</f>
        <v/>
      </c>
      <c r="K409" s="10">
        <f>IF(H409="","",IFERROR(INDEX(lst_CCtoGL,MATCH(H409,lst_CCforGL,0)),""))</f>
        <v/>
      </c>
      <c r="L409" s="10">
        <f>IF($BI409="","",IF($B409="Onsite",INDEX(tbl_Onsite[PO / Reference],$BI409),IF($B409="Production",INDEX(tbl_Production[Current RMS No],$BI409),INDEX(tbl_Consulting[Qwilr Quote],$BI409)))&amp;"")</f>
        <v/>
      </c>
      <c r="M409" s="10">
        <f>IF($BI409="","",IF($B409="Onsite",INDEX(tbl_Onsite[Notes],$BI409),IF($B409="Production",INDEX(tbl_Production[Notes],$BI409),INDEX(tbl_Consulting[Notes],$BI409)))&amp;"")</f>
        <v/>
      </c>
      <c r="N409" s="11">
        <f>IF($BI409="","",IF(IF($B409="Onsite",INDEX(tbl_Onsite[Expected Revenue Ex GST],$BI409),IF($B409="Production",INDEX(tbl_Production[Expected Revenue Ex GST],$BI409),INDEX(tbl_Consulting[Expected Revenue Ex GST],$BI409)))="","",IF($B409="Onsite",INDEX(tbl_Onsite[Expected Revenue Ex GST],$BI409),IF($B409="Production",INDEX(tbl_Production[Expected Revenue Ex GST],$BI409),INDEX(tbl_Consulting[Expected Revenue Ex GST],$BI409)))))</f>
        <v/>
      </c>
      <c r="O409" s="11">
        <f>IF(AND($C409="",NOT(COUNTA($S409:$BB409)&gt;0)),"",SUM(U409,X409,AA409,AD409,AG409,AJ409,AM409,AP409,AS409,AV409,AY409,BB409))</f>
        <v/>
      </c>
      <c r="P409" s="11">
        <f>IF(O409="","",N(N409)-O409)</f>
        <v/>
      </c>
      <c r="Q409" s="10">
        <f>IF(O409="","",IF($C409="","Invoice on empty job row",IF(N409="",IF(ROUND(O409,2)=0,"No dept value","Invoiced - no dept value"),IF(ROUND(O409,2)=0,"Not invoiced - to invoice",IF(ROUND(P409,2)=0,"Agrees",IF(P409&gt;0,"Dept higher - to invoice","Xero higher - check dept"))))))</f>
        <v/>
      </c>
      <c r="R409" s="10">
        <f>IF(AND($C409="",NOT(COUNTA($S409:$BB409)&gt;0),$BI409&lt;&gt;""),"",MID(IF($BI409="","; Row ID not found on the department sheet - a row was deleted","")&amp;IF(AND($C409="",COUNTA($S409:$BB409)&gt;0),"; Invoice entered but the department row has no job number","")&amp;IF(E409="CHECK","; Job number not in the Xero job list","")&amp;IF(AND($C409&lt;&gt;"",COUNTIF($C$7:$C$1506,$C409)&gt;1),"; Job number on more than one row","")&amp;IF(AND($C409&lt;&gt;"",H409=""),"; Dept has not set a cost centre","")&amp;IF(AND($C409&lt;&gt;"",J409=""),"; Dept has not set a tax code","")&amp;IF(AND($C409&lt;&gt;"",N409=""),"; Dept has not entered an expected value","")&amp;IF((IF(OR(COUNTA(S409:U409)=0,AND(COUNTA(S409:U409)=3,ISNUMBER(U409))),0,1)+IF(OR(COUNTA(V409:X409)=0,AND(COUNTA(V409:X409)=3,ISNUMBER(X409))),0,1)+IF(OR(COUNTA(Y409:AA409)=0,AND(COUNTA(Y409:AA409)=3,ISNUMBER(AA409))),0,1)+IF(OR(COUNTA(AB409:AD409)=0,AND(COUNTA(AB409:AD409)=3,ISNUMBER(AD409))),0,1)+IF(OR(COUNTA(AE409:AG409)=0,AND(COUNTA(AE409:AG409)=3,ISNUMBER(AG409))),0,1)+IF(OR(COUNTA(AH409:AJ409)=0,AND(COUNTA(AH409:AJ409)=3,ISNUMBER(AJ409))),0,1)+IF(OR(COUNTA(AK409:AM409)=0,AND(COUNTA(AK409:AM409)=3,ISNUMBER(AM409))),0,1)+IF(OR(COUNTA(AN409:AP409)=0,AND(COUNTA(AN409:AP409)=3,ISNUMBER(AP409))),0,1)+IF(OR(COUNTA(AQ409:AS409)=0,AND(COUNTA(AQ409:AS409)=3,ISNUMBER(AS409))),0,1)+IF(OR(COUNTA(AT409:AV409)=0,AND(COUNTA(AT409:AV409)=3,ISNUMBER(AV409))),0,1)+IF(OR(COUNTA(AW409:AY409)=0,AND(COUNTA(AW409:AY409)=3,ISNUMBER(AY409))),0,1)+IF(OR(COUNTA(AZ409:BB409)=0,AND(COUNTA(AZ409:BB409)=3,ISNUMBER(BB409))),0,1))&gt;0,"; An invoice is incomplete (needs No, Date and a number in Ex GST)","")&amp;IF((IF(T409="",0,IFERROR(--(EOMONTH(T409,0)&lt;&gt;S$5),1))+IF(W409="",0,IFERROR(--(EOMONTH(W409,0)&lt;&gt;V$5),1))+IF(Z409="",0,IFERROR(--(EOMONTH(Z409,0)&lt;&gt;Y$5),1))+IF(AC409="",0,IFERROR(--(EOMONTH(AC409,0)&lt;&gt;AB$5),1))+IF(AF409="",0,IFERROR(--(EOMONTH(AF409,0)&lt;&gt;AE$5),1))+IF(AI409="",0,IFERROR(--(EOMONTH(AI409,0)&lt;&gt;AH$5),1))+IF(AL409="",0,IFERROR(--(EOMONTH(AL409,0)&lt;&gt;AK$5),1))+IF(AO409="",0,IFERROR(--(EOMONTH(AO409,0)&lt;&gt;AN$5),1))+IF(AR409="",0,IFERROR(--(EOMONTH(AR409,0)&lt;&gt;AQ$5),1))+IF(AU409="",0,IFERROR(--(EOMONTH(AU409,0)&lt;&gt;AT$5),1))+IF(AX409="",0,IFERROR(--(EOMONTH(AX409,0)&lt;&gt;AW$5),1))+IF(BA409="",0,IFERROR(--(EOMONTH(BA409,0)&lt;&gt;AZ$5),1)))&gt;0,"; An invoice date is not in the month it is typed under",""),3,500))</f>
        <v/>
      </c>
      <c r="S409" s="12" t="n"/>
      <c r="T409" s="13" t="n"/>
      <c r="U409" s="14" t="n"/>
      <c r="V409" s="12" t="n"/>
      <c r="W409" s="13" t="n"/>
      <c r="X409" s="14" t="n"/>
      <c r="Y409" s="12" t="n"/>
      <c r="Z409" s="13" t="n"/>
      <c r="AA409" s="14" t="n"/>
      <c r="AB409" s="12" t="n"/>
      <c r="AC409" s="13" t="n"/>
      <c r="AD409" s="14" t="n"/>
      <c r="AE409" s="12" t="n"/>
      <c r="AF409" s="13" t="n"/>
      <c r="AG409" s="14" t="n"/>
      <c r="AH409" s="12" t="n"/>
      <c r="AI409" s="13" t="n"/>
      <c r="AJ409" s="14" t="n"/>
      <c r="AK409" s="12" t="n"/>
      <c r="AL409" s="13" t="n"/>
      <c r="AM409" s="14" t="n"/>
      <c r="AN409" s="12" t="n"/>
      <c r="AO409" s="13" t="n"/>
      <c r="AP409" s="14" t="n"/>
      <c r="AQ409" s="12" t="n"/>
      <c r="AR409" s="13" t="n"/>
      <c r="AS409" s="14" t="n"/>
      <c r="AT409" s="12" t="n"/>
      <c r="AU409" s="13" t="n"/>
      <c r="AV409" s="14" t="n"/>
      <c r="AW409" s="12" t="n"/>
      <c r="AX409" s="13" t="n"/>
      <c r="AY409" s="14" t="n"/>
      <c r="AZ409" s="12" t="n"/>
      <c r="BA409" s="13" t="n"/>
      <c r="BB409" s="14" t="n"/>
      <c r="BC409" s="11">
        <f>IF(O409="","",IF(J409="GST 10%",ROUND(O409*set_GSTRate,2),0))</f>
        <v/>
      </c>
      <c r="BD409" s="11">
        <f>IF(O409="","",O409+BC409)</f>
        <v/>
      </c>
      <c r="BE409" s="15">
        <f>IF(O409="","",COUNTA(S409,V409,Y409,AB409,AE409,AH409,AK409,AN409,AQ409,AT409,AW409,AZ409))</f>
        <v/>
      </c>
      <c r="BF409" s="16">
        <f>IF(COUNT(T409,W409,Z409,AC409,AF409,AI409,AL409,AO409,AR409,AU409,AX409,BA409)=0,"",MAX(T409,W409,Z409,AC409,AF409,AI409,AL409,AO409,AR409,AU409,AX409,BA409))</f>
        <v/>
      </c>
      <c r="BG409" s="10">
        <f>MID(IF(S409="","",", "&amp;S409)&amp;IF(V409="","",", "&amp;V409)&amp;IF(Y409="","",", "&amp;Y409)&amp;IF(AB409="","",", "&amp;AB409)&amp;IF(AE409="","",", "&amp;AE409)&amp;IF(AH409="","",", "&amp;AH409)&amp;IF(AK409="","",", "&amp;AK409)&amp;IF(AN409="","",", "&amp;AN409)&amp;IF(AQ409="","",", "&amp;AQ409)&amp;IF(AT409="","",", "&amp;AT409)&amp;IF(AW409="","",", "&amp;AW409)&amp;IF(AZ409="","",", "&amp;AZ409),3,500)</f>
        <v/>
      </c>
      <c r="BH409" s="12" t="n"/>
      <c r="BI409" s="15">
        <f>IFERROR(MATCH($A409,IF($B409="Onsite",tbl_Onsite[Row ID],IF($B409="Production",tbl_Production[Row ID],tbl_Consulting[Row ID])),0),"")</f>
        <v/>
      </c>
    </row>
    <row r="410">
      <c r="A410" s="10" t="inlineStr">
        <is>
          <t>ONS-0404</t>
        </is>
      </c>
      <c r="B410" s="10" t="inlineStr">
        <is>
          <t>Onsite</t>
        </is>
      </c>
      <c r="C410" s="10">
        <f>IF($BI410="","",IF($B410="Onsite",INDEX(tbl_Onsite[Job Number],$BI410),IF($B410="Production",INDEX(tbl_Production[Job Number],$BI410),INDEX(tbl_Consulting[Job Number],$BI410)))&amp;"")</f>
        <v/>
      </c>
      <c r="D410" s="10">
        <f>IF($BI410="","",IF($B410="Onsite",INDEX(tbl_Onsite[Client],$BI410),IF($B410="Production",INDEX(tbl_Production[Client],$BI410),INDEX(tbl_Consulting[Client],$BI410)))&amp;"")</f>
        <v/>
      </c>
      <c r="E410" s="10">
        <f>IF($C410="","",IF(COUNTIF(lst_Jobs,$C410)&gt;0,"OK","CHECK"))</f>
        <v/>
      </c>
      <c r="F410" s="10">
        <f>IF($C410="","",IFERROR(INDEX(lst_JobName,MATCH($C410,lst_Jobs,0)),""))</f>
        <v/>
      </c>
      <c r="G410" s="10">
        <f>IF($BI410="","",IF($B410="Onsite",INDEX(tbl_Onsite[Job Description],$BI410),IF($B410="Production",INDEX(tbl_Production[Job Description],$BI410),INDEX(tbl_Consulting[Job Description],$BI410)))&amp;"")</f>
        <v/>
      </c>
      <c r="H410" s="10">
        <f>IF($BI410="","",IF($B410="Onsite",INDEX(tbl_Onsite[Cost Centre],$BI410),IF($B410="Production",INDEX(tbl_Production[Cost Centre],$BI410),INDEX(tbl_Consulting[Cost Centre],$BI410)))&amp;"")</f>
        <v/>
      </c>
      <c r="I410" s="10">
        <f>IF($BI410="","",IF($B410="Onsite",INDEX(tbl_Onsite[Invoice Type],$BI410),IF($B410="Production",INDEX(tbl_Production[Invoice Type],$BI410),INDEX(tbl_Consulting[Invoice Type],$BI410)))&amp;"")</f>
        <v/>
      </c>
      <c r="J410" s="10">
        <f>IF($BI410="","",IF($B410="Onsite",INDEX(tbl_Onsite[Tax Code],$BI410),IF($B410="Production",INDEX(tbl_Production[Tax Code],$BI410),INDEX(tbl_Consulting[Tax Code],$BI410)))&amp;"")</f>
        <v/>
      </c>
      <c r="K410" s="10">
        <f>IF(H410="","",IFERROR(INDEX(lst_CCtoGL,MATCH(H410,lst_CCforGL,0)),""))</f>
        <v/>
      </c>
      <c r="L410" s="10">
        <f>IF($BI410="","",IF($B410="Onsite",INDEX(tbl_Onsite[PO / Reference],$BI410),IF($B410="Production",INDEX(tbl_Production[Current RMS No],$BI410),INDEX(tbl_Consulting[Qwilr Quote],$BI410)))&amp;"")</f>
        <v/>
      </c>
      <c r="M410" s="10">
        <f>IF($BI410="","",IF($B410="Onsite",INDEX(tbl_Onsite[Notes],$BI410),IF($B410="Production",INDEX(tbl_Production[Notes],$BI410),INDEX(tbl_Consulting[Notes],$BI410)))&amp;"")</f>
        <v/>
      </c>
      <c r="N410" s="11">
        <f>IF($BI410="","",IF(IF($B410="Onsite",INDEX(tbl_Onsite[Expected Revenue Ex GST],$BI410),IF($B410="Production",INDEX(tbl_Production[Expected Revenue Ex GST],$BI410),INDEX(tbl_Consulting[Expected Revenue Ex GST],$BI410)))="","",IF($B410="Onsite",INDEX(tbl_Onsite[Expected Revenue Ex GST],$BI410),IF($B410="Production",INDEX(tbl_Production[Expected Revenue Ex GST],$BI410),INDEX(tbl_Consulting[Expected Revenue Ex GST],$BI410)))))</f>
        <v/>
      </c>
      <c r="O410" s="11">
        <f>IF(AND($C410="",NOT(COUNTA($S410:$BB410)&gt;0)),"",SUM(U410,X410,AA410,AD410,AG410,AJ410,AM410,AP410,AS410,AV410,AY410,BB410))</f>
        <v/>
      </c>
      <c r="P410" s="11">
        <f>IF(O410="","",N(N410)-O410)</f>
        <v/>
      </c>
      <c r="Q410" s="10">
        <f>IF(O410="","",IF($C410="","Invoice on empty job row",IF(N410="",IF(ROUND(O410,2)=0,"No dept value","Invoiced - no dept value"),IF(ROUND(O410,2)=0,"Not invoiced - to invoice",IF(ROUND(P410,2)=0,"Agrees",IF(P410&gt;0,"Dept higher - to invoice","Xero higher - check dept"))))))</f>
        <v/>
      </c>
      <c r="R410" s="10">
        <f>IF(AND($C410="",NOT(COUNTA($S410:$BB410)&gt;0),$BI410&lt;&gt;""),"",MID(IF($BI410="","; Row ID not found on the department sheet - a row was deleted","")&amp;IF(AND($C410="",COUNTA($S410:$BB410)&gt;0),"; Invoice entered but the department row has no job number","")&amp;IF(E410="CHECK","; Job number not in the Xero job list","")&amp;IF(AND($C410&lt;&gt;"",COUNTIF($C$7:$C$1506,$C410)&gt;1),"; Job number on more than one row","")&amp;IF(AND($C410&lt;&gt;"",H410=""),"; Dept has not set a cost centre","")&amp;IF(AND($C410&lt;&gt;"",J410=""),"; Dept has not set a tax code","")&amp;IF(AND($C410&lt;&gt;"",N410=""),"; Dept has not entered an expected value","")&amp;IF((IF(OR(COUNTA(S410:U410)=0,AND(COUNTA(S410:U410)=3,ISNUMBER(U410))),0,1)+IF(OR(COUNTA(V410:X410)=0,AND(COUNTA(V410:X410)=3,ISNUMBER(X410))),0,1)+IF(OR(COUNTA(Y410:AA410)=0,AND(COUNTA(Y410:AA410)=3,ISNUMBER(AA410))),0,1)+IF(OR(COUNTA(AB410:AD410)=0,AND(COUNTA(AB410:AD410)=3,ISNUMBER(AD410))),0,1)+IF(OR(COUNTA(AE410:AG410)=0,AND(COUNTA(AE410:AG410)=3,ISNUMBER(AG410))),0,1)+IF(OR(COUNTA(AH410:AJ410)=0,AND(COUNTA(AH410:AJ410)=3,ISNUMBER(AJ410))),0,1)+IF(OR(COUNTA(AK410:AM410)=0,AND(COUNTA(AK410:AM410)=3,ISNUMBER(AM410))),0,1)+IF(OR(COUNTA(AN410:AP410)=0,AND(COUNTA(AN410:AP410)=3,ISNUMBER(AP410))),0,1)+IF(OR(COUNTA(AQ410:AS410)=0,AND(COUNTA(AQ410:AS410)=3,ISNUMBER(AS410))),0,1)+IF(OR(COUNTA(AT410:AV410)=0,AND(COUNTA(AT410:AV410)=3,ISNUMBER(AV410))),0,1)+IF(OR(COUNTA(AW410:AY410)=0,AND(COUNTA(AW410:AY410)=3,ISNUMBER(AY410))),0,1)+IF(OR(COUNTA(AZ410:BB410)=0,AND(COUNTA(AZ410:BB410)=3,ISNUMBER(BB410))),0,1))&gt;0,"; An invoice is incomplete (needs No, Date and a number in Ex GST)","")&amp;IF((IF(T410="",0,IFERROR(--(EOMONTH(T410,0)&lt;&gt;S$5),1))+IF(W410="",0,IFERROR(--(EOMONTH(W410,0)&lt;&gt;V$5),1))+IF(Z410="",0,IFERROR(--(EOMONTH(Z410,0)&lt;&gt;Y$5),1))+IF(AC410="",0,IFERROR(--(EOMONTH(AC410,0)&lt;&gt;AB$5),1))+IF(AF410="",0,IFERROR(--(EOMONTH(AF410,0)&lt;&gt;AE$5),1))+IF(AI410="",0,IFERROR(--(EOMONTH(AI410,0)&lt;&gt;AH$5),1))+IF(AL410="",0,IFERROR(--(EOMONTH(AL410,0)&lt;&gt;AK$5),1))+IF(AO410="",0,IFERROR(--(EOMONTH(AO410,0)&lt;&gt;AN$5),1))+IF(AR410="",0,IFERROR(--(EOMONTH(AR410,0)&lt;&gt;AQ$5),1))+IF(AU410="",0,IFERROR(--(EOMONTH(AU410,0)&lt;&gt;AT$5),1))+IF(AX410="",0,IFERROR(--(EOMONTH(AX410,0)&lt;&gt;AW$5),1))+IF(BA410="",0,IFERROR(--(EOMONTH(BA410,0)&lt;&gt;AZ$5),1)))&gt;0,"; An invoice date is not in the month it is typed under",""),3,500))</f>
        <v/>
      </c>
      <c r="S410" s="12" t="n"/>
      <c r="T410" s="13" t="n"/>
      <c r="U410" s="14" t="n"/>
      <c r="V410" s="12" t="n"/>
      <c r="W410" s="13" t="n"/>
      <c r="X410" s="14" t="n"/>
      <c r="Y410" s="12" t="n"/>
      <c r="Z410" s="13" t="n"/>
      <c r="AA410" s="14" t="n"/>
      <c r="AB410" s="12" t="n"/>
      <c r="AC410" s="13" t="n"/>
      <c r="AD410" s="14" t="n"/>
      <c r="AE410" s="12" t="n"/>
      <c r="AF410" s="13" t="n"/>
      <c r="AG410" s="14" t="n"/>
      <c r="AH410" s="12" t="n"/>
      <c r="AI410" s="13" t="n"/>
      <c r="AJ410" s="14" t="n"/>
      <c r="AK410" s="12" t="n"/>
      <c r="AL410" s="13" t="n"/>
      <c r="AM410" s="14" t="n"/>
      <c r="AN410" s="12" t="n"/>
      <c r="AO410" s="13" t="n"/>
      <c r="AP410" s="14" t="n"/>
      <c r="AQ410" s="12" t="n"/>
      <c r="AR410" s="13" t="n"/>
      <c r="AS410" s="14" t="n"/>
      <c r="AT410" s="12" t="n"/>
      <c r="AU410" s="13" t="n"/>
      <c r="AV410" s="14" t="n"/>
      <c r="AW410" s="12" t="n"/>
      <c r="AX410" s="13" t="n"/>
      <c r="AY410" s="14" t="n"/>
      <c r="AZ410" s="12" t="n"/>
      <c r="BA410" s="13" t="n"/>
      <c r="BB410" s="14" t="n"/>
      <c r="BC410" s="11">
        <f>IF(O410="","",IF(J410="GST 10%",ROUND(O410*set_GSTRate,2),0))</f>
        <v/>
      </c>
      <c r="BD410" s="11">
        <f>IF(O410="","",O410+BC410)</f>
        <v/>
      </c>
      <c r="BE410" s="15">
        <f>IF(O410="","",COUNTA(S410,V410,Y410,AB410,AE410,AH410,AK410,AN410,AQ410,AT410,AW410,AZ410))</f>
        <v/>
      </c>
      <c r="BF410" s="16">
        <f>IF(COUNT(T410,W410,Z410,AC410,AF410,AI410,AL410,AO410,AR410,AU410,AX410,BA410)=0,"",MAX(T410,W410,Z410,AC410,AF410,AI410,AL410,AO410,AR410,AU410,AX410,BA410))</f>
        <v/>
      </c>
      <c r="BG410" s="10">
        <f>MID(IF(S410="","",", "&amp;S410)&amp;IF(V410="","",", "&amp;V410)&amp;IF(Y410="","",", "&amp;Y410)&amp;IF(AB410="","",", "&amp;AB410)&amp;IF(AE410="","",", "&amp;AE410)&amp;IF(AH410="","",", "&amp;AH410)&amp;IF(AK410="","",", "&amp;AK410)&amp;IF(AN410="","",", "&amp;AN410)&amp;IF(AQ410="","",", "&amp;AQ410)&amp;IF(AT410="","",", "&amp;AT410)&amp;IF(AW410="","",", "&amp;AW410)&amp;IF(AZ410="","",", "&amp;AZ410),3,500)</f>
        <v/>
      </c>
      <c r="BH410" s="12" t="n"/>
      <c r="BI410" s="15">
        <f>IFERROR(MATCH($A410,IF($B410="Onsite",tbl_Onsite[Row ID],IF($B410="Production",tbl_Production[Row ID],tbl_Consulting[Row ID])),0),"")</f>
        <v/>
      </c>
    </row>
    <row r="411">
      <c r="A411" s="10" t="inlineStr">
        <is>
          <t>ONS-0405</t>
        </is>
      </c>
      <c r="B411" s="10" t="inlineStr">
        <is>
          <t>Onsite</t>
        </is>
      </c>
      <c r="C411" s="10">
        <f>IF($BI411="","",IF($B411="Onsite",INDEX(tbl_Onsite[Job Number],$BI411),IF($B411="Production",INDEX(tbl_Production[Job Number],$BI411),INDEX(tbl_Consulting[Job Number],$BI411)))&amp;"")</f>
        <v/>
      </c>
      <c r="D411" s="10">
        <f>IF($BI411="","",IF($B411="Onsite",INDEX(tbl_Onsite[Client],$BI411),IF($B411="Production",INDEX(tbl_Production[Client],$BI411),INDEX(tbl_Consulting[Client],$BI411)))&amp;"")</f>
        <v/>
      </c>
      <c r="E411" s="10">
        <f>IF($C411="","",IF(COUNTIF(lst_Jobs,$C411)&gt;0,"OK","CHECK"))</f>
        <v/>
      </c>
      <c r="F411" s="10">
        <f>IF($C411="","",IFERROR(INDEX(lst_JobName,MATCH($C411,lst_Jobs,0)),""))</f>
        <v/>
      </c>
      <c r="G411" s="10">
        <f>IF($BI411="","",IF($B411="Onsite",INDEX(tbl_Onsite[Job Description],$BI411),IF($B411="Production",INDEX(tbl_Production[Job Description],$BI411),INDEX(tbl_Consulting[Job Description],$BI411)))&amp;"")</f>
        <v/>
      </c>
      <c r="H411" s="10">
        <f>IF($BI411="","",IF($B411="Onsite",INDEX(tbl_Onsite[Cost Centre],$BI411),IF($B411="Production",INDEX(tbl_Production[Cost Centre],$BI411),INDEX(tbl_Consulting[Cost Centre],$BI411)))&amp;"")</f>
        <v/>
      </c>
      <c r="I411" s="10">
        <f>IF($BI411="","",IF($B411="Onsite",INDEX(tbl_Onsite[Invoice Type],$BI411),IF($B411="Production",INDEX(tbl_Production[Invoice Type],$BI411),INDEX(tbl_Consulting[Invoice Type],$BI411)))&amp;"")</f>
        <v/>
      </c>
      <c r="J411" s="10">
        <f>IF($BI411="","",IF($B411="Onsite",INDEX(tbl_Onsite[Tax Code],$BI411),IF($B411="Production",INDEX(tbl_Production[Tax Code],$BI411),INDEX(tbl_Consulting[Tax Code],$BI411)))&amp;"")</f>
        <v/>
      </c>
      <c r="K411" s="10">
        <f>IF(H411="","",IFERROR(INDEX(lst_CCtoGL,MATCH(H411,lst_CCforGL,0)),""))</f>
        <v/>
      </c>
      <c r="L411" s="10">
        <f>IF($BI411="","",IF($B411="Onsite",INDEX(tbl_Onsite[PO / Reference],$BI411),IF($B411="Production",INDEX(tbl_Production[Current RMS No],$BI411),INDEX(tbl_Consulting[Qwilr Quote],$BI411)))&amp;"")</f>
        <v/>
      </c>
      <c r="M411" s="10">
        <f>IF($BI411="","",IF($B411="Onsite",INDEX(tbl_Onsite[Notes],$BI411),IF($B411="Production",INDEX(tbl_Production[Notes],$BI411),INDEX(tbl_Consulting[Notes],$BI411)))&amp;"")</f>
        <v/>
      </c>
      <c r="N411" s="11">
        <f>IF($BI411="","",IF(IF($B411="Onsite",INDEX(tbl_Onsite[Expected Revenue Ex GST],$BI411),IF($B411="Production",INDEX(tbl_Production[Expected Revenue Ex GST],$BI411),INDEX(tbl_Consulting[Expected Revenue Ex GST],$BI411)))="","",IF($B411="Onsite",INDEX(tbl_Onsite[Expected Revenue Ex GST],$BI411),IF($B411="Production",INDEX(tbl_Production[Expected Revenue Ex GST],$BI411),INDEX(tbl_Consulting[Expected Revenue Ex GST],$BI411)))))</f>
        <v/>
      </c>
      <c r="O411" s="11">
        <f>IF(AND($C411="",NOT(COUNTA($S411:$BB411)&gt;0)),"",SUM(U411,X411,AA411,AD411,AG411,AJ411,AM411,AP411,AS411,AV411,AY411,BB411))</f>
        <v/>
      </c>
      <c r="P411" s="11">
        <f>IF(O411="","",N(N411)-O411)</f>
        <v/>
      </c>
      <c r="Q411" s="10">
        <f>IF(O411="","",IF($C411="","Invoice on empty job row",IF(N411="",IF(ROUND(O411,2)=0,"No dept value","Invoiced - no dept value"),IF(ROUND(O411,2)=0,"Not invoiced - to invoice",IF(ROUND(P411,2)=0,"Agrees",IF(P411&gt;0,"Dept higher - to invoice","Xero higher - check dept"))))))</f>
        <v/>
      </c>
      <c r="R411" s="10">
        <f>IF(AND($C411="",NOT(COUNTA($S411:$BB411)&gt;0),$BI411&lt;&gt;""),"",MID(IF($BI411="","; Row ID not found on the department sheet - a row was deleted","")&amp;IF(AND($C411="",COUNTA($S411:$BB411)&gt;0),"; Invoice entered but the department row has no job number","")&amp;IF(E411="CHECK","; Job number not in the Xero job list","")&amp;IF(AND($C411&lt;&gt;"",COUNTIF($C$7:$C$1506,$C411)&gt;1),"; Job number on more than one row","")&amp;IF(AND($C411&lt;&gt;"",H411=""),"; Dept has not set a cost centre","")&amp;IF(AND($C411&lt;&gt;"",J411=""),"; Dept has not set a tax code","")&amp;IF(AND($C411&lt;&gt;"",N411=""),"; Dept has not entered an expected value","")&amp;IF((IF(OR(COUNTA(S411:U411)=0,AND(COUNTA(S411:U411)=3,ISNUMBER(U411))),0,1)+IF(OR(COUNTA(V411:X411)=0,AND(COUNTA(V411:X411)=3,ISNUMBER(X411))),0,1)+IF(OR(COUNTA(Y411:AA411)=0,AND(COUNTA(Y411:AA411)=3,ISNUMBER(AA411))),0,1)+IF(OR(COUNTA(AB411:AD411)=0,AND(COUNTA(AB411:AD411)=3,ISNUMBER(AD411))),0,1)+IF(OR(COUNTA(AE411:AG411)=0,AND(COUNTA(AE411:AG411)=3,ISNUMBER(AG411))),0,1)+IF(OR(COUNTA(AH411:AJ411)=0,AND(COUNTA(AH411:AJ411)=3,ISNUMBER(AJ411))),0,1)+IF(OR(COUNTA(AK411:AM411)=0,AND(COUNTA(AK411:AM411)=3,ISNUMBER(AM411))),0,1)+IF(OR(COUNTA(AN411:AP411)=0,AND(COUNTA(AN411:AP411)=3,ISNUMBER(AP411))),0,1)+IF(OR(COUNTA(AQ411:AS411)=0,AND(COUNTA(AQ411:AS411)=3,ISNUMBER(AS411))),0,1)+IF(OR(COUNTA(AT411:AV411)=0,AND(COUNTA(AT411:AV411)=3,ISNUMBER(AV411))),0,1)+IF(OR(COUNTA(AW411:AY411)=0,AND(COUNTA(AW411:AY411)=3,ISNUMBER(AY411))),0,1)+IF(OR(COUNTA(AZ411:BB411)=0,AND(COUNTA(AZ411:BB411)=3,ISNUMBER(BB411))),0,1))&gt;0,"; An invoice is incomplete (needs No, Date and a number in Ex GST)","")&amp;IF((IF(T411="",0,IFERROR(--(EOMONTH(T411,0)&lt;&gt;S$5),1))+IF(W411="",0,IFERROR(--(EOMONTH(W411,0)&lt;&gt;V$5),1))+IF(Z411="",0,IFERROR(--(EOMONTH(Z411,0)&lt;&gt;Y$5),1))+IF(AC411="",0,IFERROR(--(EOMONTH(AC411,0)&lt;&gt;AB$5),1))+IF(AF411="",0,IFERROR(--(EOMONTH(AF411,0)&lt;&gt;AE$5),1))+IF(AI411="",0,IFERROR(--(EOMONTH(AI411,0)&lt;&gt;AH$5),1))+IF(AL411="",0,IFERROR(--(EOMONTH(AL411,0)&lt;&gt;AK$5),1))+IF(AO411="",0,IFERROR(--(EOMONTH(AO411,0)&lt;&gt;AN$5),1))+IF(AR411="",0,IFERROR(--(EOMONTH(AR411,0)&lt;&gt;AQ$5),1))+IF(AU411="",0,IFERROR(--(EOMONTH(AU411,0)&lt;&gt;AT$5),1))+IF(AX411="",0,IFERROR(--(EOMONTH(AX411,0)&lt;&gt;AW$5),1))+IF(BA411="",0,IFERROR(--(EOMONTH(BA411,0)&lt;&gt;AZ$5),1)))&gt;0,"; An invoice date is not in the month it is typed under",""),3,500))</f>
        <v/>
      </c>
      <c r="S411" s="12" t="n"/>
      <c r="T411" s="13" t="n"/>
      <c r="U411" s="14" t="n"/>
      <c r="V411" s="12" t="n"/>
      <c r="W411" s="13" t="n"/>
      <c r="X411" s="14" t="n"/>
      <c r="Y411" s="12" t="n"/>
      <c r="Z411" s="13" t="n"/>
      <c r="AA411" s="14" t="n"/>
      <c r="AB411" s="12" t="n"/>
      <c r="AC411" s="13" t="n"/>
      <c r="AD411" s="14" t="n"/>
      <c r="AE411" s="12" t="n"/>
      <c r="AF411" s="13" t="n"/>
      <c r="AG411" s="14" t="n"/>
      <c r="AH411" s="12" t="n"/>
      <c r="AI411" s="13" t="n"/>
      <c r="AJ411" s="14" t="n"/>
      <c r="AK411" s="12" t="n"/>
      <c r="AL411" s="13" t="n"/>
      <c r="AM411" s="14" t="n"/>
      <c r="AN411" s="12" t="n"/>
      <c r="AO411" s="13" t="n"/>
      <c r="AP411" s="14" t="n"/>
      <c r="AQ411" s="12" t="n"/>
      <c r="AR411" s="13" t="n"/>
      <c r="AS411" s="14" t="n"/>
      <c r="AT411" s="12" t="n"/>
      <c r="AU411" s="13" t="n"/>
      <c r="AV411" s="14" t="n"/>
      <c r="AW411" s="12" t="n"/>
      <c r="AX411" s="13" t="n"/>
      <c r="AY411" s="14" t="n"/>
      <c r="AZ411" s="12" t="n"/>
      <c r="BA411" s="13" t="n"/>
      <c r="BB411" s="14" t="n"/>
      <c r="BC411" s="11">
        <f>IF(O411="","",IF(J411="GST 10%",ROUND(O411*set_GSTRate,2),0))</f>
        <v/>
      </c>
      <c r="BD411" s="11">
        <f>IF(O411="","",O411+BC411)</f>
        <v/>
      </c>
      <c r="BE411" s="15">
        <f>IF(O411="","",COUNTA(S411,V411,Y411,AB411,AE411,AH411,AK411,AN411,AQ411,AT411,AW411,AZ411))</f>
        <v/>
      </c>
      <c r="BF411" s="16">
        <f>IF(COUNT(T411,W411,Z411,AC411,AF411,AI411,AL411,AO411,AR411,AU411,AX411,BA411)=0,"",MAX(T411,W411,Z411,AC411,AF411,AI411,AL411,AO411,AR411,AU411,AX411,BA411))</f>
        <v/>
      </c>
      <c r="BG411" s="10">
        <f>MID(IF(S411="","",", "&amp;S411)&amp;IF(V411="","",", "&amp;V411)&amp;IF(Y411="","",", "&amp;Y411)&amp;IF(AB411="","",", "&amp;AB411)&amp;IF(AE411="","",", "&amp;AE411)&amp;IF(AH411="","",", "&amp;AH411)&amp;IF(AK411="","",", "&amp;AK411)&amp;IF(AN411="","",", "&amp;AN411)&amp;IF(AQ411="","",", "&amp;AQ411)&amp;IF(AT411="","",", "&amp;AT411)&amp;IF(AW411="","",", "&amp;AW411)&amp;IF(AZ411="","",", "&amp;AZ411),3,500)</f>
        <v/>
      </c>
      <c r="BH411" s="12" t="n"/>
      <c r="BI411" s="15">
        <f>IFERROR(MATCH($A411,IF($B411="Onsite",tbl_Onsite[Row ID],IF($B411="Production",tbl_Production[Row ID],tbl_Consulting[Row ID])),0),"")</f>
        <v/>
      </c>
    </row>
    <row r="412">
      <c r="A412" s="10" t="inlineStr">
        <is>
          <t>ONS-0406</t>
        </is>
      </c>
      <c r="B412" s="10" t="inlineStr">
        <is>
          <t>Onsite</t>
        </is>
      </c>
      <c r="C412" s="10">
        <f>IF($BI412="","",IF($B412="Onsite",INDEX(tbl_Onsite[Job Number],$BI412),IF($B412="Production",INDEX(tbl_Production[Job Number],$BI412),INDEX(tbl_Consulting[Job Number],$BI412)))&amp;"")</f>
        <v/>
      </c>
      <c r="D412" s="10">
        <f>IF($BI412="","",IF($B412="Onsite",INDEX(tbl_Onsite[Client],$BI412),IF($B412="Production",INDEX(tbl_Production[Client],$BI412),INDEX(tbl_Consulting[Client],$BI412)))&amp;"")</f>
        <v/>
      </c>
      <c r="E412" s="10">
        <f>IF($C412="","",IF(COUNTIF(lst_Jobs,$C412)&gt;0,"OK","CHECK"))</f>
        <v/>
      </c>
      <c r="F412" s="10">
        <f>IF($C412="","",IFERROR(INDEX(lst_JobName,MATCH($C412,lst_Jobs,0)),""))</f>
        <v/>
      </c>
      <c r="G412" s="10">
        <f>IF($BI412="","",IF($B412="Onsite",INDEX(tbl_Onsite[Job Description],$BI412),IF($B412="Production",INDEX(tbl_Production[Job Description],$BI412),INDEX(tbl_Consulting[Job Description],$BI412)))&amp;"")</f>
        <v/>
      </c>
      <c r="H412" s="10">
        <f>IF($BI412="","",IF($B412="Onsite",INDEX(tbl_Onsite[Cost Centre],$BI412),IF($B412="Production",INDEX(tbl_Production[Cost Centre],$BI412),INDEX(tbl_Consulting[Cost Centre],$BI412)))&amp;"")</f>
        <v/>
      </c>
      <c r="I412" s="10">
        <f>IF($BI412="","",IF($B412="Onsite",INDEX(tbl_Onsite[Invoice Type],$BI412),IF($B412="Production",INDEX(tbl_Production[Invoice Type],$BI412),INDEX(tbl_Consulting[Invoice Type],$BI412)))&amp;"")</f>
        <v/>
      </c>
      <c r="J412" s="10">
        <f>IF($BI412="","",IF($B412="Onsite",INDEX(tbl_Onsite[Tax Code],$BI412),IF($B412="Production",INDEX(tbl_Production[Tax Code],$BI412),INDEX(tbl_Consulting[Tax Code],$BI412)))&amp;"")</f>
        <v/>
      </c>
      <c r="K412" s="10">
        <f>IF(H412="","",IFERROR(INDEX(lst_CCtoGL,MATCH(H412,lst_CCforGL,0)),""))</f>
        <v/>
      </c>
      <c r="L412" s="10">
        <f>IF($BI412="","",IF($B412="Onsite",INDEX(tbl_Onsite[PO / Reference],$BI412),IF($B412="Production",INDEX(tbl_Production[Current RMS No],$BI412),INDEX(tbl_Consulting[Qwilr Quote],$BI412)))&amp;"")</f>
        <v/>
      </c>
      <c r="M412" s="10">
        <f>IF($BI412="","",IF($B412="Onsite",INDEX(tbl_Onsite[Notes],$BI412),IF($B412="Production",INDEX(tbl_Production[Notes],$BI412),INDEX(tbl_Consulting[Notes],$BI412)))&amp;"")</f>
        <v/>
      </c>
      <c r="N412" s="11">
        <f>IF($BI412="","",IF(IF($B412="Onsite",INDEX(tbl_Onsite[Expected Revenue Ex GST],$BI412),IF($B412="Production",INDEX(tbl_Production[Expected Revenue Ex GST],$BI412),INDEX(tbl_Consulting[Expected Revenue Ex GST],$BI412)))="","",IF($B412="Onsite",INDEX(tbl_Onsite[Expected Revenue Ex GST],$BI412),IF($B412="Production",INDEX(tbl_Production[Expected Revenue Ex GST],$BI412),INDEX(tbl_Consulting[Expected Revenue Ex GST],$BI412)))))</f>
        <v/>
      </c>
      <c r="O412" s="11">
        <f>IF(AND($C412="",NOT(COUNTA($S412:$BB412)&gt;0)),"",SUM(U412,X412,AA412,AD412,AG412,AJ412,AM412,AP412,AS412,AV412,AY412,BB412))</f>
        <v/>
      </c>
      <c r="P412" s="11">
        <f>IF(O412="","",N(N412)-O412)</f>
        <v/>
      </c>
      <c r="Q412" s="10">
        <f>IF(O412="","",IF($C412="","Invoice on empty job row",IF(N412="",IF(ROUND(O412,2)=0,"No dept value","Invoiced - no dept value"),IF(ROUND(O412,2)=0,"Not invoiced - to invoice",IF(ROUND(P412,2)=0,"Agrees",IF(P412&gt;0,"Dept higher - to invoice","Xero higher - check dept"))))))</f>
        <v/>
      </c>
      <c r="R412" s="10">
        <f>IF(AND($C412="",NOT(COUNTA($S412:$BB412)&gt;0),$BI412&lt;&gt;""),"",MID(IF($BI412="","; Row ID not found on the department sheet - a row was deleted","")&amp;IF(AND($C412="",COUNTA($S412:$BB412)&gt;0),"; Invoice entered but the department row has no job number","")&amp;IF(E412="CHECK","; Job number not in the Xero job list","")&amp;IF(AND($C412&lt;&gt;"",COUNTIF($C$7:$C$1506,$C412)&gt;1),"; Job number on more than one row","")&amp;IF(AND($C412&lt;&gt;"",H412=""),"; Dept has not set a cost centre","")&amp;IF(AND($C412&lt;&gt;"",J412=""),"; Dept has not set a tax code","")&amp;IF(AND($C412&lt;&gt;"",N412=""),"; Dept has not entered an expected value","")&amp;IF((IF(OR(COUNTA(S412:U412)=0,AND(COUNTA(S412:U412)=3,ISNUMBER(U412))),0,1)+IF(OR(COUNTA(V412:X412)=0,AND(COUNTA(V412:X412)=3,ISNUMBER(X412))),0,1)+IF(OR(COUNTA(Y412:AA412)=0,AND(COUNTA(Y412:AA412)=3,ISNUMBER(AA412))),0,1)+IF(OR(COUNTA(AB412:AD412)=0,AND(COUNTA(AB412:AD412)=3,ISNUMBER(AD412))),0,1)+IF(OR(COUNTA(AE412:AG412)=0,AND(COUNTA(AE412:AG412)=3,ISNUMBER(AG412))),0,1)+IF(OR(COUNTA(AH412:AJ412)=0,AND(COUNTA(AH412:AJ412)=3,ISNUMBER(AJ412))),0,1)+IF(OR(COUNTA(AK412:AM412)=0,AND(COUNTA(AK412:AM412)=3,ISNUMBER(AM412))),0,1)+IF(OR(COUNTA(AN412:AP412)=0,AND(COUNTA(AN412:AP412)=3,ISNUMBER(AP412))),0,1)+IF(OR(COUNTA(AQ412:AS412)=0,AND(COUNTA(AQ412:AS412)=3,ISNUMBER(AS412))),0,1)+IF(OR(COUNTA(AT412:AV412)=0,AND(COUNTA(AT412:AV412)=3,ISNUMBER(AV412))),0,1)+IF(OR(COUNTA(AW412:AY412)=0,AND(COUNTA(AW412:AY412)=3,ISNUMBER(AY412))),0,1)+IF(OR(COUNTA(AZ412:BB412)=0,AND(COUNTA(AZ412:BB412)=3,ISNUMBER(BB412))),0,1))&gt;0,"; An invoice is incomplete (needs No, Date and a number in Ex GST)","")&amp;IF((IF(T412="",0,IFERROR(--(EOMONTH(T412,0)&lt;&gt;S$5),1))+IF(W412="",0,IFERROR(--(EOMONTH(W412,0)&lt;&gt;V$5),1))+IF(Z412="",0,IFERROR(--(EOMONTH(Z412,0)&lt;&gt;Y$5),1))+IF(AC412="",0,IFERROR(--(EOMONTH(AC412,0)&lt;&gt;AB$5),1))+IF(AF412="",0,IFERROR(--(EOMONTH(AF412,0)&lt;&gt;AE$5),1))+IF(AI412="",0,IFERROR(--(EOMONTH(AI412,0)&lt;&gt;AH$5),1))+IF(AL412="",0,IFERROR(--(EOMONTH(AL412,0)&lt;&gt;AK$5),1))+IF(AO412="",0,IFERROR(--(EOMONTH(AO412,0)&lt;&gt;AN$5),1))+IF(AR412="",0,IFERROR(--(EOMONTH(AR412,0)&lt;&gt;AQ$5),1))+IF(AU412="",0,IFERROR(--(EOMONTH(AU412,0)&lt;&gt;AT$5),1))+IF(AX412="",0,IFERROR(--(EOMONTH(AX412,0)&lt;&gt;AW$5),1))+IF(BA412="",0,IFERROR(--(EOMONTH(BA412,0)&lt;&gt;AZ$5),1)))&gt;0,"; An invoice date is not in the month it is typed under",""),3,500))</f>
        <v/>
      </c>
      <c r="S412" s="12" t="n"/>
      <c r="T412" s="13" t="n"/>
      <c r="U412" s="14" t="n"/>
      <c r="V412" s="12" t="n"/>
      <c r="W412" s="13" t="n"/>
      <c r="X412" s="14" t="n"/>
      <c r="Y412" s="12" t="n"/>
      <c r="Z412" s="13" t="n"/>
      <c r="AA412" s="14" t="n"/>
      <c r="AB412" s="12" t="n"/>
      <c r="AC412" s="13" t="n"/>
      <c r="AD412" s="14" t="n"/>
      <c r="AE412" s="12" t="n"/>
      <c r="AF412" s="13" t="n"/>
      <c r="AG412" s="14" t="n"/>
      <c r="AH412" s="12" t="n"/>
      <c r="AI412" s="13" t="n"/>
      <c r="AJ412" s="14" t="n"/>
      <c r="AK412" s="12" t="n"/>
      <c r="AL412" s="13" t="n"/>
      <c r="AM412" s="14" t="n"/>
      <c r="AN412" s="12" t="n"/>
      <c r="AO412" s="13" t="n"/>
      <c r="AP412" s="14" t="n"/>
      <c r="AQ412" s="12" t="n"/>
      <c r="AR412" s="13" t="n"/>
      <c r="AS412" s="14" t="n"/>
      <c r="AT412" s="12" t="n"/>
      <c r="AU412" s="13" t="n"/>
      <c r="AV412" s="14" t="n"/>
      <c r="AW412" s="12" t="n"/>
      <c r="AX412" s="13" t="n"/>
      <c r="AY412" s="14" t="n"/>
      <c r="AZ412" s="12" t="n"/>
      <c r="BA412" s="13" t="n"/>
      <c r="BB412" s="14" t="n"/>
      <c r="BC412" s="11">
        <f>IF(O412="","",IF(J412="GST 10%",ROUND(O412*set_GSTRate,2),0))</f>
        <v/>
      </c>
      <c r="BD412" s="11">
        <f>IF(O412="","",O412+BC412)</f>
        <v/>
      </c>
      <c r="BE412" s="15">
        <f>IF(O412="","",COUNTA(S412,V412,Y412,AB412,AE412,AH412,AK412,AN412,AQ412,AT412,AW412,AZ412))</f>
        <v/>
      </c>
      <c r="BF412" s="16">
        <f>IF(COUNT(T412,W412,Z412,AC412,AF412,AI412,AL412,AO412,AR412,AU412,AX412,BA412)=0,"",MAX(T412,W412,Z412,AC412,AF412,AI412,AL412,AO412,AR412,AU412,AX412,BA412))</f>
        <v/>
      </c>
      <c r="BG412" s="10">
        <f>MID(IF(S412="","",", "&amp;S412)&amp;IF(V412="","",", "&amp;V412)&amp;IF(Y412="","",", "&amp;Y412)&amp;IF(AB412="","",", "&amp;AB412)&amp;IF(AE412="","",", "&amp;AE412)&amp;IF(AH412="","",", "&amp;AH412)&amp;IF(AK412="","",", "&amp;AK412)&amp;IF(AN412="","",", "&amp;AN412)&amp;IF(AQ412="","",", "&amp;AQ412)&amp;IF(AT412="","",", "&amp;AT412)&amp;IF(AW412="","",", "&amp;AW412)&amp;IF(AZ412="","",", "&amp;AZ412),3,500)</f>
        <v/>
      </c>
      <c r="BH412" s="12" t="n"/>
      <c r="BI412" s="15">
        <f>IFERROR(MATCH($A412,IF($B412="Onsite",tbl_Onsite[Row ID],IF($B412="Production",tbl_Production[Row ID],tbl_Consulting[Row ID])),0),"")</f>
        <v/>
      </c>
    </row>
    <row r="413">
      <c r="A413" s="10" t="inlineStr">
        <is>
          <t>ONS-0407</t>
        </is>
      </c>
      <c r="B413" s="10" t="inlineStr">
        <is>
          <t>Onsite</t>
        </is>
      </c>
      <c r="C413" s="10">
        <f>IF($BI413="","",IF($B413="Onsite",INDEX(tbl_Onsite[Job Number],$BI413),IF($B413="Production",INDEX(tbl_Production[Job Number],$BI413),INDEX(tbl_Consulting[Job Number],$BI413)))&amp;"")</f>
        <v/>
      </c>
      <c r="D413" s="10">
        <f>IF($BI413="","",IF($B413="Onsite",INDEX(tbl_Onsite[Client],$BI413),IF($B413="Production",INDEX(tbl_Production[Client],$BI413),INDEX(tbl_Consulting[Client],$BI413)))&amp;"")</f>
        <v/>
      </c>
      <c r="E413" s="10">
        <f>IF($C413="","",IF(COUNTIF(lst_Jobs,$C413)&gt;0,"OK","CHECK"))</f>
        <v/>
      </c>
      <c r="F413" s="10">
        <f>IF($C413="","",IFERROR(INDEX(lst_JobName,MATCH($C413,lst_Jobs,0)),""))</f>
        <v/>
      </c>
      <c r="G413" s="10">
        <f>IF($BI413="","",IF($B413="Onsite",INDEX(tbl_Onsite[Job Description],$BI413),IF($B413="Production",INDEX(tbl_Production[Job Description],$BI413),INDEX(tbl_Consulting[Job Description],$BI413)))&amp;"")</f>
        <v/>
      </c>
      <c r="H413" s="10">
        <f>IF($BI413="","",IF($B413="Onsite",INDEX(tbl_Onsite[Cost Centre],$BI413),IF($B413="Production",INDEX(tbl_Production[Cost Centre],$BI413),INDEX(tbl_Consulting[Cost Centre],$BI413)))&amp;"")</f>
        <v/>
      </c>
      <c r="I413" s="10">
        <f>IF($BI413="","",IF($B413="Onsite",INDEX(tbl_Onsite[Invoice Type],$BI413),IF($B413="Production",INDEX(tbl_Production[Invoice Type],$BI413),INDEX(tbl_Consulting[Invoice Type],$BI413)))&amp;"")</f>
        <v/>
      </c>
      <c r="J413" s="10">
        <f>IF($BI413="","",IF($B413="Onsite",INDEX(tbl_Onsite[Tax Code],$BI413),IF($B413="Production",INDEX(tbl_Production[Tax Code],$BI413),INDEX(tbl_Consulting[Tax Code],$BI413)))&amp;"")</f>
        <v/>
      </c>
      <c r="K413" s="10">
        <f>IF(H413="","",IFERROR(INDEX(lst_CCtoGL,MATCH(H413,lst_CCforGL,0)),""))</f>
        <v/>
      </c>
      <c r="L413" s="10">
        <f>IF($BI413="","",IF($B413="Onsite",INDEX(tbl_Onsite[PO / Reference],$BI413),IF($B413="Production",INDEX(tbl_Production[Current RMS No],$BI413),INDEX(tbl_Consulting[Qwilr Quote],$BI413)))&amp;"")</f>
        <v/>
      </c>
      <c r="M413" s="10">
        <f>IF($BI413="","",IF($B413="Onsite",INDEX(tbl_Onsite[Notes],$BI413),IF($B413="Production",INDEX(tbl_Production[Notes],$BI413),INDEX(tbl_Consulting[Notes],$BI413)))&amp;"")</f>
        <v/>
      </c>
      <c r="N413" s="11">
        <f>IF($BI413="","",IF(IF($B413="Onsite",INDEX(tbl_Onsite[Expected Revenue Ex GST],$BI413),IF($B413="Production",INDEX(tbl_Production[Expected Revenue Ex GST],$BI413),INDEX(tbl_Consulting[Expected Revenue Ex GST],$BI413)))="","",IF($B413="Onsite",INDEX(tbl_Onsite[Expected Revenue Ex GST],$BI413),IF($B413="Production",INDEX(tbl_Production[Expected Revenue Ex GST],$BI413),INDEX(tbl_Consulting[Expected Revenue Ex GST],$BI413)))))</f>
        <v/>
      </c>
      <c r="O413" s="11">
        <f>IF(AND($C413="",NOT(COUNTA($S413:$BB413)&gt;0)),"",SUM(U413,X413,AA413,AD413,AG413,AJ413,AM413,AP413,AS413,AV413,AY413,BB413))</f>
        <v/>
      </c>
      <c r="P413" s="11">
        <f>IF(O413="","",N(N413)-O413)</f>
        <v/>
      </c>
      <c r="Q413" s="10">
        <f>IF(O413="","",IF($C413="","Invoice on empty job row",IF(N413="",IF(ROUND(O413,2)=0,"No dept value","Invoiced - no dept value"),IF(ROUND(O413,2)=0,"Not invoiced - to invoice",IF(ROUND(P413,2)=0,"Agrees",IF(P413&gt;0,"Dept higher - to invoice","Xero higher - check dept"))))))</f>
        <v/>
      </c>
      <c r="R413" s="10">
        <f>IF(AND($C413="",NOT(COUNTA($S413:$BB413)&gt;0),$BI413&lt;&gt;""),"",MID(IF($BI413="","; Row ID not found on the department sheet - a row was deleted","")&amp;IF(AND($C413="",COUNTA($S413:$BB413)&gt;0),"; Invoice entered but the department row has no job number","")&amp;IF(E413="CHECK","; Job number not in the Xero job list","")&amp;IF(AND($C413&lt;&gt;"",COUNTIF($C$7:$C$1506,$C413)&gt;1),"; Job number on more than one row","")&amp;IF(AND($C413&lt;&gt;"",H413=""),"; Dept has not set a cost centre","")&amp;IF(AND($C413&lt;&gt;"",J413=""),"; Dept has not set a tax code","")&amp;IF(AND($C413&lt;&gt;"",N413=""),"; Dept has not entered an expected value","")&amp;IF((IF(OR(COUNTA(S413:U413)=0,AND(COUNTA(S413:U413)=3,ISNUMBER(U413))),0,1)+IF(OR(COUNTA(V413:X413)=0,AND(COUNTA(V413:X413)=3,ISNUMBER(X413))),0,1)+IF(OR(COUNTA(Y413:AA413)=0,AND(COUNTA(Y413:AA413)=3,ISNUMBER(AA413))),0,1)+IF(OR(COUNTA(AB413:AD413)=0,AND(COUNTA(AB413:AD413)=3,ISNUMBER(AD413))),0,1)+IF(OR(COUNTA(AE413:AG413)=0,AND(COUNTA(AE413:AG413)=3,ISNUMBER(AG413))),0,1)+IF(OR(COUNTA(AH413:AJ413)=0,AND(COUNTA(AH413:AJ413)=3,ISNUMBER(AJ413))),0,1)+IF(OR(COUNTA(AK413:AM413)=0,AND(COUNTA(AK413:AM413)=3,ISNUMBER(AM413))),0,1)+IF(OR(COUNTA(AN413:AP413)=0,AND(COUNTA(AN413:AP413)=3,ISNUMBER(AP413))),0,1)+IF(OR(COUNTA(AQ413:AS413)=0,AND(COUNTA(AQ413:AS413)=3,ISNUMBER(AS413))),0,1)+IF(OR(COUNTA(AT413:AV413)=0,AND(COUNTA(AT413:AV413)=3,ISNUMBER(AV413))),0,1)+IF(OR(COUNTA(AW413:AY413)=0,AND(COUNTA(AW413:AY413)=3,ISNUMBER(AY413))),0,1)+IF(OR(COUNTA(AZ413:BB413)=0,AND(COUNTA(AZ413:BB413)=3,ISNUMBER(BB413))),0,1))&gt;0,"; An invoice is incomplete (needs No, Date and a number in Ex GST)","")&amp;IF((IF(T413="",0,IFERROR(--(EOMONTH(T413,0)&lt;&gt;S$5),1))+IF(W413="",0,IFERROR(--(EOMONTH(W413,0)&lt;&gt;V$5),1))+IF(Z413="",0,IFERROR(--(EOMONTH(Z413,0)&lt;&gt;Y$5),1))+IF(AC413="",0,IFERROR(--(EOMONTH(AC413,0)&lt;&gt;AB$5),1))+IF(AF413="",0,IFERROR(--(EOMONTH(AF413,0)&lt;&gt;AE$5),1))+IF(AI413="",0,IFERROR(--(EOMONTH(AI413,0)&lt;&gt;AH$5),1))+IF(AL413="",0,IFERROR(--(EOMONTH(AL413,0)&lt;&gt;AK$5),1))+IF(AO413="",0,IFERROR(--(EOMONTH(AO413,0)&lt;&gt;AN$5),1))+IF(AR413="",0,IFERROR(--(EOMONTH(AR413,0)&lt;&gt;AQ$5),1))+IF(AU413="",0,IFERROR(--(EOMONTH(AU413,0)&lt;&gt;AT$5),1))+IF(AX413="",0,IFERROR(--(EOMONTH(AX413,0)&lt;&gt;AW$5),1))+IF(BA413="",0,IFERROR(--(EOMONTH(BA413,0)&lt;&gt;AZ$5),1)))&gt;0,"; An invoice date is not in the month it is typed under",""),3,500))</f>
        <v/>
      </c>
      <c r="S413" s="12" t="n"/>
      <c r="T413" s="13" t="n"/>
      <c r="U413" s="14" t="n"/>
      <c r="V413" s="12" t="n"/>
      <c r="W413" s="13" t="n"/>
      <c r="X413" s="14" t="n"/>
      <c r="Y413" s="12" t="n"/>
      <c r="Z413" s="13" t="n"/>
      <c r="AA413" s="14" t="n"/>
      <c r="AB413" s="12" t="n"/>
      <c r="AC413" s="13" t="n"/>
      <c r="AD413" s="14" t="n"/>
      <c r="AE413" s="12" t="n"/>
      <c r="AF413" s="13" t="n"/>
      <c r="AG413" s="14" t="n"/>
      <c r="AH413" s="12" t="n"/>
      <c r="AI413" s="13" t="n"/>
      <c r="AJ413" s="14" t="n"/>
      <c r="AK413" s="12" t="n"/>
      <c r="AL413" s="13" t="n"/>
      <c r="AM413" s="14" t="n"/>
      <c r="AN413" s="12" t="n"/>
      <c r="AO413" s="13" t="n"/>
      <c r="AP413" s="14" t="n"/>
      <c r="AQ413" s="12" t="n"/>
      <c r="AR413" s="13" t="n"/>
      <c r="AS413" s="14" t="n"/>
      <c r="AT413" s="12" t="n"/>
      <c r="AU413" s="13" t="n"/>
      <c r="AV413" s="14" t="n"/>
      <c r="AW413" s="12" t="n"/>
      <c r="AX413" s="13" t="n"/>
      <c r="AY413" s="14" t="n"/>
      <c r="AZ413" s="12" t="n"/>
      <c r="BA413" s="13" t="n"/>
      <c r="BB413" s="14" t="n"/>
      <c r="BC413" s="11">
        <f>IF(O413="","",IF(J413="GST 10%",ROUND(O413*set_GSTRate,2),0))</f>
        <v/>
      </c>
      <c r="BD413" s="11">
        <f>IF(O413="","",O413+BC413)</f>
        <v/>
      </c>
      <c r="BE413" s="15">
        <f>IF(O413="","",COUNTA(S413,V413,Y413,AB413,AE413,AH413,AK413,AN413,AQ413,AT413,AW413,AZ413))</f>
        <v/>
      </c>
      <c r="BF413" s="16">
        <f>IF(COUNT(T413,W413,Z413,AC413,AF413,AI413,AL413,AO413,AR413,AU413,AX413,BA413)=0,"",MAX(T413,W413,Z413,AC413,AF413,AI413,AL413,AO413,AR413,AU413,AX413,BA413))</f>
        <v/>
      </c>
      <c r="BG413" s="10">
        <f>MID(IF(S413="","",", "&amp;S413)&amp;IF(V413="","",", "&amp;V413)&amp;IF(Y413="","",", "&amp;Y413)&amp;IF(AB413="","",", "&amp;AB413)&amp;IF(AE413="","",", "&amp;AE413)&amp;IF(AH413="","",", "&amp;AH413)&amp;IF(AK413="","",", "&amp;AK413)&amp;IF(AN413="","",", "&amp;AN413)&amp;IF(AQ413="","",", "&amp;AQ413)&amp;IF(AT413="","",", "&amp;AT413)&amp;IF(AW413="","",", "&amp;AW413)&amp;IF(AZ413="","",", "&amp;AZ413),3,500)</f>
        <v/>
      </c>
      <c r="BH413" s="12" t="n"/>
      <c r="BI413" s="15">
        <f>IFERROR(MATCH($A413,IF($B413="Onsite",tbl_Onsite[Row ID],IF($B413="Production",tbl_Production[Row ID],tbl_Consulting[Row ID])),0),"")</f>
        <v/>
      </c>
    </row>
    <row r="414">
      <c r="A414" s="10" t="inlineStr">
        <is>
          <t>ONS-0408</t>
        </is>
      </c>
      <c r="B414" s="10" t="inlineStr">
        <is>
          <t>Onsite</t>
        </is>
      </c>
      <c r="C414" s="10">
        <f>IF($BI414="","",IF($B414="Onsite",INDEX(tbl_Onsite[Job Number],$BI414),IF($B414="Production",INDEX(tbl_Production[Job Number],$BI414),INDEX(tbl_Consulting[Job Number],$BI414)))&amp;"")</f>
        <v/>
      </c>
      <c r="D414" s="10">
        <f>IF($BI414="","",IF($B414="Onsite",INDEX(tbl_Onsite[Client],$BI414),IF($B414="Production",INDEX(tbl_Production[Client],$BI414),INDEX(tbl_Consulting[Client],$BI414)))&amp;"")</f>
        <v/>
      </c>
      <c r="E414" s="10">
        <f>IF($C414="","",IF(COUNTIF(lst_Jobs,$C414)&gt;0,"OK","CHECK"))</f>
        <v/>
      </c>
      <c r="F414" s="10">
        <f>IF($C414="","",IFERROR(INDEX(lst_JobName,MATCH($C414,lst_Jobs,0)),""))</f>
        <v/>
      </c>
      <c r="G414" s="10">
        <f>IF($BI414="","",IF($B414="Onsite",INDEX(tbl_Onsite[Job Description],$BI414),IF($B414="Production",INDEX(tbl_Production[Job Description],$BI414),INDEX(tbl_Consulting[Job Description],$BI414)))&amp;"")</f>
        <v/>
      </c>
      <c r="H414" s="10">
        <f>IF($BI414="","",IF($B414="Onsite",INDEX(tbl_Onsite[Cost Centre],$BI414),IF($B414="Production",INDEX(tbl_Production[Cost Centre],$BI414),INDEX(tbl_Consulting[Cost Centre],$BI414)))&amp;"")</f>
        <v/>
      </c>
      <c r="I414" s="10">
        <f>IF($BI414="","",IF($B414="Onsite",INDEX(tbl_Onsite[Invoice Type],$BI414),IF($B414="Production",INDEX(tbl_Production[Invoice Type],$BI414),INDEX(tbl_Consulting[Invoice Type],$BI414)))&amp;"")</f>
        <v/>
      </c>
      <c r="J414" s="10">
        <f>IF($BI414="","",IF($B414="Onsite",INDEX(tbl_Onsite[Tax Code],$BI414),IF($B414="Production",INDEX(tbl_Production[Tax Code],$BI414),INDEX(tbl_Consulting[Tax Code],$BI414)))&amp;"")</f>
        <v/>
      </c>
      <c r="K414" s="10">
        <f>IF(H414="","",IFERROR(INDEX(lst_CCtoGL,MATCH(H414,lst_CCforGL,0)),""))</f>
        <v/>
      </c>
      <c r="L414" s="10">
        <f>IF($BI414="","",IF($B414="Onsite",INDEX(tbl_Onsite[PO / Reference],$BI414),IF($B414="Production",INDEX(tbl_Production[Current RMS No],$BI414),INDEX(tbl_Consulting[Qwilr Quote],$BI414)))&amp;"")</f>
        <v/>
      </c>
      <c r="M414" s="10">
        <f>IF($BI414="","",IF($B414="Onsite",INDEX(tbl_Onsite[Notes],$BI414),IF($B414="Production",INDEX(tbl_Production[Notes],$BI414),INDEX(tbl_Consulting[Notes],$BI414)))&amp;"")</f>
        <v/>
      </c>
      <c r="N414" s="11">
        <f>IF($BI414="","",IF(IF($B414="Onsite",INDEX(tbl_Onsite[Expected Revenue Ex GST],$BI414),IF($B414="Production",INDEX(tbl_Production[Expected Revenue Ex GST],$BI414),INDEX(tbl_Consulting[Expected Revenue Ex GST],$BI414)))="","",IF($B414="Onsite",INDEX(tbl_Onsite[Expected Revenue Ex GST],$BI414),IF($B414="Production",INDEX(tbl_Production[Expected Revenue Ex GST],$BI414),INDEX(tbl_Consulting[Expected Revenue Ex GST],$BI414)))))</f>
        <v/>
      </c>
      <c r="O414" s="11">
        <f>IF(AND($C414="",NOT(COUNTA($S414:$BB414)&gt;0)),"",SUM(U414,X414,AA414,AD414,AG414,AJ414,AM414,AP414,AS414,AV414,AY414,BB414))</f>
        <v/>
      </c>
      <c r="P414" s="11">
        <f>IF(O414="","",N(N414)-O414)</f>
        <v/>
      </c>
      <c r="Q414" s="10">
        <f>IF(O414="","",IF($C414="","Invoice on empty job row",IF(N414="",IF(ROUND(O414,2)=0,"No dept value","Invoiced - no dept value"),IF(ROUND(O414,2)=0,"Not invoiced - to invoice",IF(ROUND(P414,2)=0,"Agrees",IF(P414&gt;0,"Dept higher - to invoice","Xero higher - check dept"))))))</f>
        <v/>
      </c>
      <c r="R414" s="10">
        <f>IF(AND($C414="",NOT(COUNTA($S414:$BB414)&gt;0),$BI414&lt;&gt;""),"",MID(IF($BI414="","; Row ID not found on the department sheet - a row was deleted","")&amp;IF(AND($C414="",COUNTA($S414:$BB414)&gt;0),"; Invoice entered but the department row has no job number","")&amp;IF(E414="CHECK","; Job number not in the Xero job list","")&amp;IF(AND($C414&lt;&gt;"",COUNTIF($C$7:$C$1506,$C414)&gt;1),"; Job number on more than one row","")&amp;IF(AND($C414&lt;&gt;"",H414=""),"; Dept has not set a cost centre","")&amp;IF(AND($C414&lt;&gt;"",J414=""),"; Dept has not set a tax code","")&amp;IF(AND($C414&lt;&gt;"",N414=""),"; Dept has not entered an expected value","")&amp;IF((IF(OR(COUNTA(S414:U414)=0,AND(COUNTA(S414:U414)=3,ISNUMBER(U414))),0,1)+IF(OR(COUNTA(V414:X414)=0,AND(COUNTA(V414:X414)=3,ISNUMBER(X414))),0,1)+IF(OR(COUNTA(Y414:AA414)=0,AND(COUNTA(Y414:AA414)=3,ISNUMBER(AA414))),0,1)+IF(OR(COUNTA(AB414:AD414)=0,AND(COUNTA(AB414:AD414)=3,ISNUMBER(AD414))),0,1)+IF(OR(COUNTA(AE414:AG414)=0,AND(COUNTA(AE414:AG414)=3,ISNUMBER(AG414))),0,1)+IF(OR(COUNTA(AH414:AJ414)=0,AND(COUNTA(AH414:AJ414)=3,ISNUMBER(AJ414))),0,1)+IF(OR(COUNTA(AK414:AM414)=0,AND(COUNTA(AK414:AM414)=3,ISNUMBER(AM414))),0,1)+IF(OR(COUNTA(AN414:AP414)=0,AND(COUNTA(AN414:AP414)=3,ISNUMBER(AP414))),0,1)+IF(OR(COUNTA(AQ414:AS414)=0,AND(COUNTA(AQ414:AS414)=3,ISNUMBER(AS414))),0,1)+IF(OR(COUNTA(AT414:AV414)=0,AND(COUNTA(AT414:AV414)=3,ISNUMBER(AV414))),0,1)+IF(OR(COUNTA(AW414:AY414)=0,AND(COUNTA(AW414:AY414)=3,ISNUMBER(AY414))),0,1)+IF(OR(COUNTA(AZ414:BB414)=0,AND(COUNTA(AZ414:BB414)=3,ISNUMBER(BB414))),0,1))&gt;0,"; An invoice is incomplete (needs No, Date and a number in Ex GST)","")&amp;IF((IF(T414="",0,IFERROR(--(EOMONTH(T414,0)&lt;&gt;S$5),1))+IF(W414="",0,IFERROR(--(EOMONTH(W414,0)&lt;&gt;V$5),1))+IF(Z414="",0,IFERROR(--(EOMONTH(Z414,0)&lt;&gt;Y$5),1))+IF(AC414="",0,IFERROR(--(EOMONTH(AC414,0)&lt;&gt;AB$5),1))+IF(AF414="",0,IFERROR(--(EOMONTH(AF414,0)&lt;&gt;AE$5),1))+IF(AI414="",0,IFERROR(--(EOMONTH(AI414,0)&lt;&gt;AH$5),1))+IF(AL414="",0,IFERROR(--(EOMONTH(AL414,0)&lt;&gt;AK$5),1))+IF(AO414="",0,IFERROR(--(EOMONTH(AO414,0)&lt;&gt;AN$5),1))+IF(AR414="",0,IFERROR(--(EOMONTH(AR414,0)&lt;&gt;AQ$5),1))+IF(AU414="",0,IFERROR(--(EOMONTH(AU414,0)&lt;&gt;AT$5),1))+IF(AX414="",0,IFERROR(--(EOMONTH(AX414,0)&lt;&gt;AW$5),1))+IF(BA414="",0,IFERROR(--(EOMONTH(BA414,0)&lt;&gt;AZ$5),1)))&gt;0,"; An invoice date is not in the month it is typed under",""),3,500))</f>
        <v/>
      </c>
      <c r="S414" s="12" t="n"/>
      <c r="T414" s="13" t="n"/>
      <c r="U414" s="14" t="n"/>
      <c r="V414" s="12" t="n"/>
      <c r="W414" s="13" t="n"/>
      <c r="X414" s="14" t="n"/>
      <c r="Y414" s="12" t="n"/>
      <c r="Z414" s="13" t="n"/>
      <c r="AA414" s="14" t="n"/>
      <c r="AB414" s="12" t="n"/>
      <c r="AC414" s="13" t="n"/>
      <c r="AD414" s="14" t="n"/>
      <c r="AE414" s="12" t="n"/>
      <c r="AF414" s="13" t="n"/>
      <c r="AG414" s="14" t="n"/>
      <c r="AH414" s="12" t="n"/>
      <c r="AI414" s="13" t="n"/>
      <c r="AJ414" s="14" t="n"/>
      <c r="AK414" s="12" t="n"/>
      <c r="AL414" s="13" t="n"/>
      <c r="AM414" s="14" t="n"/>
      <c r="AN414" s="12" t="n"/>
      <c r="AO414" s="13" t="n"/>
      <c r="AP414" s="14" t="n"/>
      <c r="AQ414" s="12" t="n"/>
      <c r="AR414" s="13" t="n"/>
      <c r="AS414" s="14" t="n"/>
      <c r="AT414" s="12" t="n"/>
      <c r="AU414" s="13" t="n"/>
      <c r="AV414" s="14" t="n"/>
      <c r="AW414" s="12" t="n"/>
      <c r="AX414" s="13" t="n"/>
      <c r="AY414" s="14" t="n"/>
      <c r="AZ414" s="12" t="n"/>
      <c r="BA414" s="13" t="n"/>
      <c r="BB414" s="14" t="n"/>
      <c r="BC414" s="11">
        <f>IF(O414="","",IF(J414="GST 10%",ROUND(O414*set_GSTRate,2),0))</f>
        <v/>
      </c>
      <c r="BD414" s="11">
        <f>IF(O414="","",O414+BC414)</f>
        <v/>
      </c>
      <c r="BE414" s="15">
        <f>IF(O414="","",COUNTA(S414,V414,Y414,AB414,AE414,AH414,AK414,AN414,AQ414,AT414,AW414,AZ414))</f>
        <v/>
      </c>
      <c r="BF414" s="16">
        <f>IF(COUNT(T414,W414,Z414,AC414,AF414,AI414,AL414,AO414,AR414,AU414,AX414,BA414)=0,"",MAX(T414,W414,Z414,AC414,AF414,AI414,AL414,AO414,AR414,AU414,AX414,BA414))</f>
        <v/>
      </c>
      <c r="BG414" s="10">
        <f>MID(IF(S414="","",", "&amp;S414)&amp;IF(V414="","",", "&amp;V414)&amp;IF(Y414="","",", "&amp;Y414)&amp;IF(AB414="","",", "&amp;AB414)&amp;IF(AE414="","",", "&amp;AE414)&amp;IF(AH414="","",", "&amp;AH414)&amp;IF(AK414="","",", "&amp;AK414)&amp;IF(AN414="","",", "&amp;AN414)&amp;IF(AQ414="","",", "&amp;AQ414)&amp;IF(AT414="","",", "&amp;AT414)&amp;IF(AW414="","",", "&amp;AW414)&amp;IF(AZ414="","",", "&amp;AZ414),3,500)</f>
        <v/>
      </c>
      <c r="BH414" s="12" t="n"/>
      <c r="BI414" s="15">
        <f>IFERROR(MATCH($A414,IF($B414="Onsite",tbl_Onsite[Row ID],IF($B414="Production",tbl_Production[Row ID],tbl_Consulting[Row ID])),0),"")</f>
        <v/>
      </c>
    </row>
    <row r="415">
      <c r="A415" s="10" t="inlineStr">
        <is>
          <t>ONS-0409</t>
        </is>
      </c>
      <c r="B415" s="10" t="inlineStr">
        <is>
          <t>Onsite</t>
        </is>
      </c>
      <c r="C415" s="10">
        <f>IF($BI415="","",IF($B415="Onsite",INDEX(tbl_Onsite[Job Number],$BI415),IF($B415="Production",INDEX(tbl_Production[Job Number],$BI415),INDEX(tbl_Consulting[Job Number],$BI415)))&amp;"")</f>
        <v/>
      </c>
      <c r="D415" s="10">
        <f>IF($BI415="","",IF($B415="Onsite",INDEX(tbl_Onsite[Client],$BI415),IF($B415="Production",INDEX(tbl_Production[Client],$BI415),INDEX(tbl_Consulting[Client],$BI415)))&amp;"")</f>
        <v/>
      </c>
      <c r="E415" s="10">
        <f>IF($C415="","",IF(COUNTIF(lst_Jobs,$C415)&gt;0,"OK","CHECK"))</f>
        <v/>
      </c>
      <c r="F415" s="10">
        <f>IF($C415="","",IFERROR(INDEX(lst_JobName,MATCH($C415,lst_Jobs,0)),""))</f>
        <v/>
      </c>
      <c r="G415" s="10">
        <f>IF($BI415="","",IF($B415="Onsite",INDEX(tbl_Onsite[Job Description],$BI415),IF($B415="Production",INDEX(tbl_Production[Job Description],$BI415),INDEX(tbl_Consulting[Job Description],$BI415)))&amp;"")</f>
        <v/>
      </c>
      <c r="H415" s="10">
        <f>IF($BI415="","",IF($B415="Onsite",INDEX(tbl_Onsite[Cost Centre],$BI415),IF($B415="Production",INDEX(tbl_Production[Cost Centre],$BI415),INDEX(tbl_Consulting[Cost Centre],$BI415)))&amp;"")</f>
        <v/>
      </c>
      <c r="I415" s="10">
        <f>IF($BI415="","",IF($B415="Onsite",INDEX(tbl_Onsite[Invoice Type],$BI415),IF($B415="Production",INDEX(tbl_Production[Invoice Type],$BI415),INDEX(tbl_Consulting[Invoice Type],$BI415)))&amp;"")</f>
        <v/>
      </c>
      <c r="J415" s="10">
        <f>IF($BI415="","",IF($B415="Onsite",INDEX(tbl_Onsite[Tax Code],$BI415),IF($B415="Production",INDEX(tbl_Production[Tax Code],$BI415),INDEX(tbl_Consulting[Tax Code],$BI415)))&amp;"")</f>
        <v/>
      </c>
      <c r="K415" s="10">
        <f>IF(H415="","",IFERROR(INDEX(lst_CCtoGL,MATCH(H415,lst_CCforGL,0)),""))</f>
        <v/>
      </c>
      <c r="L415" s="10">
        <f>IF($BI415="","",IF($B415="Onsite",INDEX(tbl_Onsite[PO / Reference],$BI415),IF($B415="Production",INDEX(tbl_Production[Current RMS No],$BI415),INDEX(tbl_Consulting[Qwilr Quote],$BI415)))&amp;"")</f>
        <v/>
      </c>
      <c r="M415" s="10">
        <f>IF($BI415="","",IF($B415="Onsite",INDEX(tbl_Onsite[Notes],$BI415),IF($B415="Production",INDEX(tbl_Production[Notes],$BI415),INDEX(tbl_Consulting[Notes],$BI415)))&amp;"")</f>
        <v/>
      </c>
      <c r="N415" s="11">
        <f>IF($BI415="","",IF(IF($B415="Onsite",INDEX(tbl_Onsite[Expected Revenue Ex GST],$BI415),IF($B415="Production",INDEX(tbl_Production[Expected Revenue Ex GST],$BI415),INDEX(tbl_Consulting[Expected Revenue Ex GST],$BI415)))="","",IF($B415="Onsite",INDEX(tbl_Onsite[Expected Revenue Ex GST],$BI415),IF($B415="Production",INDEX(tbl_Production[Expected Revenue Ex GST],$BI415),INDEX(tbl_Consulting[Expected Revenue Ex GST],$BI415)))))</f>
        <v/>
      </c>
      <c r="O415" s="11">
        <f>IF(AND($C415="",NOT(COUNTA($S415:$BB415)&gt;0)),"",SUM(U415,X415,AA415,AD415,AG415,AJ415,AM415,AP415,AS415,AV415,AY415,BB415))</f>
        <v/>
      </c>
      <c r="P415" s="11">
        <f>IF(O415="","",N(N415)-O415)</f>
        <v/>
      </c>
      <c r="Q415" s="10">
        <f>IF(O415="","",IF($C415="","Invoice on empty job row",IF(N415="",IF(ROUND(O415,2)=0,"No dept value","Invoiced - no dept value"),IF(ROUND(O415,2)=0,"Not invoiced - to invoice",IF(ROUND(P415,2)=0,"Agrees",IF(P415&gt;0,"Dept higher - to invoice","Xero higher - check dept"))))))</f>
        <v/>
      </c>
      <c r="R415" s="10">
        <f>IF(AND($C415="",NOT(COUNTA($S415:$BB415)&gt;0),$BI415&lt;&gt;""),"",MID(IF($BI415="","; Row ID not found on the department sheet - a row was deleted","")&amp;IF(AND($C415="",COUNTA($S415:$BB415)&gt;0),"; Invoice entered but the department row has no job number","")&amp;IF(E415="CHECK","; Job number not in the Xero job list","")&amp;IF(AND($C415&lt;&gt;"",COUNTIF($C$7:$C$1506,$C415)&gt;1),"; Job number on more than one row","")&amp;IF(AND($C415&lt;&gt;"",H415=""),"; Dept has not set a cost centre","")&amp;IF(AND($C415&lt;&gt;"",J415=""),"; Dept has not set a tax code","")&amp;IF(AND($C415&lt;&gt;"",N415=""),"; Dept has not entered an expected value","")&amp;IF((IF(OR(COUNTA(S415:U415)=0,AND(COUNTA(S415:U415)=3,ISNUMBER(U415))),0,1)+IF(OR(COUNTA(V415:X415)=0,AND(COUNTA(V415:X415)=3,ISNUMBER(X415))),0,1)+IF(OR(COUNTA(Y415:AA415)=0,AND(COUNTA(Y415:AA415)=3,ISNUMBER(AA415))),0,1)+IF(OR(COUNTA(AB415:AD415)=0,AND(COUNTA(AB415:AD415)=3,ISNUMBER(AD415))),0,1)+IF(OR(COUNTA(AE415:AG415)=0,AND(COUNTA(AE415:AG415)=3,ISNUMBER(AG415))),0,1)+IF(OR(COUNTA(AH415:AJ415)=0,AND(COUNTA(AH415:AJ415)=3,ISNUMBER(AJ415))),0,1)+IF(OR(COUNTA(AK415:AM415)=0,AND(COUNTA(AK415:AM415)=3,ISNUMBER(AM415))),0,1)+IF(OR(COUNTA(AN415:AP415)=0,AND(COUNTA(AN415:AP415)=3,ISNUMBER(AP415))),0,1)+IF(OR(COUNTA(AQ415:AS415)=0,AND(COUNTA(AQ415:AS415)=3,ISNUMBER(AS415))),0,1)+IF(OR(COUNTA(AT415:AV415)=0,AND(COUNTA(AT415:AV415)=3,ISNUMBER(AV415))),0,1)+IF(OR(COUNTA(AW415:AY415)=0,AND(COUNTA(AW415:AY415)=3,ISNUMBER(AY415))),0,1)+IF(OR(COUNTA(AZ415:BB415)=0,AND(COUNTA(AZ415:BB415)=3,ISNUMBER(BB415))),0,1))&gt;0,"; An invoice is incomplete (needs No, Date and a number in Ex GST)","")&amp;IF((IF(T415="",0,IFERROR(--(EOMONTH(T415,0)&lt;&gt;S$5),1))+IF(W415="",0,IFERROR(--(EOMONTH(W415,0)&lt;&gt;V$5),1))+IF(Z415="",0,IFERROR(--(EOMONTH(Z415,0)&lt;&gt;Y$5),1))+IF(AC415="",0,IFERROR(--(EOMONTH(AC415,0)&lt;&gt;AB$5),1))+IF(AF415="",0,IFERROR(--(EOMONTH(AF415,0)&lt;&gt;AE$5),1))+IF(AI415="",0,IFERROR(--(EOMONTH(AI415,0)&lt;&gt;AH$5),1))+IF(AL415="",0,IFERROR(--(EOMONTH(AL415,0)&lt;&gt;AK$5),1))+IF(AO415="",0,IFERROR(--(EOMONTH(AO415,0)&lt;&gt;AN$5),1))+IF(AR415="",0,IFERROR(--(EOMONTH(AR415,0)&lt;&gt;AQ$5),1))+IF(AU415="",0,IFERROR(--(EOMONTH(AU415,0)&lt;&gt;AT$5),1))+IF(AX415="",0,IFERROR(--(EOMONTH(AX415,0)&lt;&gt;AW$5),1))+IF(BA415="",0,IFERROR(--(EOMONTH(BA415,0)&lt;&gt;AZ$5),1)))&gt;0,"; An invoice date is not in the month it is typed under",""),3,500))</f>
        <v/>
      </c>
      <c r="S415" s="12" t="n"/>
      <c r="T415" s="13" t="n"/>
      <c r="U415" s="14" t="n"/>
      <c r="V415" s="12" t="n"/>
      <c r="W415" s="13" t="n"/>
      <c r="X415" s="14" t="n"/>
      <c r="Y415" s="12" t="n"/>
      <c r="Z415" s="13" t="n"/>
      <c r="AA415" s="14" t="n"/>
      <c r="AB415" s="12" t="n"/>
      <c r="AC415" s="13" t="n"/>
      <c r="AD415" s="14" t="n"/>
      <c r="AE415" s="12" t="n"/>
      <c r="AF415" s="13" t="n"/>
      <c r="AG415" s="14" t="n"/>
      <c r="AH415" s="12" t="n"/>
      <c r="AI415" s="13" t="n"/>
      <c r="AJ415" s="14" t="n"/>
      <c r="AK415" s="12" t="n"/>
      <c r="AL415" s="13" t="n"/>
      <c r="AM415" s="14" t="n"/>
      <c r="AN415" s="12" t="n"/>
      <c r="AO415" s="13" t="n"/>
      <c r="AP415" s="14" t="n"/>
      <c r="AQ415" s="12" t="n"/>
      <c r="AR415" s="13" t="n"/>
      <c r="AS415" s="14" t="n"/>
      <c r="AT415" s="12" t="n"/>
      <c r="AU415" s="13" t="n"/>
      <c r="AV415" s="14" t="n"/>
      <c r="AW415" s="12" t="n"/>
      <c r="AX415" s="13" t="n"/>
      <c r="AY415" s="14" t="n"/>
      <c r="AZ415" s="12" t="n"/>
      <c r="BA415" s="13" t="n"/>
      <c r="BB415" s="14" t="n"/>
      <c r="BC415" s="11">
        <f>IF(O415="","",IF(J415="GST 10%",ROUND(O415*set_GSTRate,2),0))</f>
        <v/>
      </c>
      <c r="BD415" s="11">
        <f>IF(O415="","",O415+BC415)</f>
        <v/>
      </c>
      <c r="BE415" s="15">
        <f>IF(O415="","",COUNTA(S415,V415,Y415,AB415,AE415,AH415,AK415,AN415,AQ415,AT415,AW415,AZ415))</f>
        <v/>
      </c>
      <c r="BF415" s="16">
        <f>IF(COUNT(T415,W415,Z415,AC415,AF415,AI415,AL415,AO415,AR415,AU415,AX415,BA415)=0,"",MAX(T415,W415,Z415,AC415,AF415,AI415,AL415,AO415,AR415,AU415,AX415,BA415))</f>
        <v/>
      </c>
      <c r="BG415" s="10">
        <f>MID(IF(S415="","",", "&amp;S415)&amp;IF(V415="","",", "&amp;V415)&amp;IF(Y415="","",", "&amp;Y415)&amp;IF(AB415="","",", "&amp;AB415)&amp;IF(AE415="","",", "&amp;AE415)&amp;IF(AH415="","",", "&amp;AH415)&amp;IF(AK415="","",", "&amp;AK415)&amp;IF(AN415="","",", "&amp;AN415)&amp;IF(AQ415="","",", "&amp;AQ415)&amp;IF(AT415="","",", "&amp;AT415)&amp;IF(AW415="","",", "&amp;AW415)&amp;IF(AZ415="","",", "&amp;AZ415),3,500)</f>
        <v/>
      </c>
      <c r="BH415" s="12" t="n"/>
      <c r="BI415" s="15">
        <f>IFERROR(MATCH($A415,IF($B415="Onsite",tbl_Onsite[Row ID],IF($B415="Production",tbl_Production[Row ID],tbl_Consulting[Row ID])),0),"")</f>
        <v/>
      </c>
    </row>
    <row r="416">
      <c r="A416" s="10" t="inlineStr">
        <is>
          <t>ONS-0410</t>
        </is>
      </c>
      <c r="B416" s="10" t="inlineStr">
        <is>
          <t>Onsite</t>
        </is>
      </c>
      <c r="C416" s="10">
        <f>IF($BI416="","",IF($B416="Onsite",INDEX(tbl_Onsite[Job Number],$BI416),IF($B416="Production",INDEX(tbl_Production[Job Number],$BI416),INDEX(tbl_Consulting[Job Number],$BI416)))&amp;"")</f>
        <v/>
      </c>
      <c r="D416" s="10">
        <f>IF($BI416="","",IF($B416="Onsite",INDEX(tbl_Onsite[Client],$BI416),IF($B416="Production",INDEX(tbl_Production[Client],$BI416),INDEX(tbl_Consulting[Client],$BI416)))&amp;"")</f>
        <v/>
      </c>
      <c r="E416" s="10">
        <f>IF($C416="","",IF(COUNTIF(lst_Jobs,$C416)&gt;0,"OK","CHECK"))</f>
        <v/>
      </c>
      <c r="F416" s="10">
        <f>IF($C416="","",IFERROR(INDEX(lst_JobName,MATCH($C416,lst_Jobs,0)),""))</f>
        <v/>
      </c>
      <c r="G416" s="10">
        <f>IF($BI416="","",IF($B416="Onsite",INDEX(tbl_Onsite[Job Description],$BI416),IF($B416="Production",INDEX(tbl_Production[Job Description],$BI416),INDEX(tbl_Consulting[Job Description],$BI416)))&amp;"")</f>
        <v/>
      </c>
      <c r="H416" s="10">
        <f>IF($BI416="","",IF($B416="Onsite",INDEX(tbl_Onsite[Cost Centre],$BI416),IF($B416="Production",INDEX(tbl_Production[Cost Centre],$BI416),INDEX(tbl_Consulting[Cost Centre],$BI416)))&amp;"")</f>
        <v/>
      </c>
      <c r="I416" s="10">
        <f>IF($BI416="","",IF($B416="Onsite",INDEX(tbl_Onsite[Invoice Type],$BI416),IF($B416="Production",INDEX(tbl_Production[Invoice Type],$BI416),INDEX(tbl_Consulting[Invoice Type],$BI416)))&amp;"")</f>
        <v/>
      </c>
      <c r="J416" s="10">
        <f>IF($BI416="","",IF($B416="Onsite",INDEX(tbl_Onsite[Tax Code],$BI416),IF($B416="Production",INDEX(tbl_Production[Tax Code],$BI416),INDEX(tbl_Consulting[Tax Code],$BI416)))&amp;"")</f>
        <v/>
      </c>
      <c r="K416" s="10">
        <f>IF(H416="","",IFERROR(INDEX(lst_CCtoGL,MATCH(H416,lst_CCforGL,0)),""))</f>
        <v/>
      </c>
      <c r="L416" s="10">
        <f>IF($BI416="","",IF($B416="Onsite",INDEX(tbl_Onsite[PO / Reference],$BI416),IF($B416="Production",INDEX(tbl_Production[Current RMS No],$BI416),INDEX(tbl_Consulting[Qwilr Quote],$BI416)))&amp;"")</f>
        <v/>
      </c>
      <c r="M416" s="10">
        <f>IF($BI416="","",IF($B416="Onsite",INDEX(tbl_Onsite[Notes],$BI416),IF($B416="Production",INDEX(tbl_Production[Notes],$BI416),INDEX(tbl_Consulting[Notes],$BI416)))&amp;"")</f>
        <v/>
      </c>
      <c r="N416" s="11">
        <f>IF($BI416="","",IF(IF($B416="Onsite",INDEX(tbl_Onsite[Expected Revenue Ex GST],$BI416),IF($B416="Production",INDEX(tbl_Production[Expected Revenue Ex GST],$BI416),INDEX(tbl_Consulting[Expected Revenue Ex GST],$BI416)))="","",IF($B416="Onsite",INDEX(tbl_Onsite[Expected Revenue Ex GST],$BI416),IF($B416="Production",INDEX(tbl_Production[Expected Revenue Ex GST],$BI416),INDEX(tbl_Consulting[Expected Revenue Ex GST],$BI416)))))</f>
        <v/>
      </c>
      <c r="O416" s="11">
        <f>IF(AND($C416="",NOT(COUNTA($S416:$BB416)&gt;0)),"",SUM(U416,X416,AA416,AD416,AG416,AJ416,AM416,AP416,AS416,AV416,AY416,BB416))</f>
        <v/>
      </c>
      <c r="P416" s="11">
        <f>IF(O416="","",N(N416)-O416)</f>
        <v/>
      </c>
      <c r="Q416" s="10">
        <f>IF(O416="","",IF($C416="","Invoice on empty job row",IF(N416="",IF(ROUND(O416,2)=0,"No dept value","Invoiced - no dept value"),IF(ROUND(O416,2)=0,"Not invoiced - to invoice",IF(ROUND(P416,2)=0,"Agrees",IF(P416&gt;0,"Dept higher - to invoice","Xero higher - check dept"))))))</f>
        <v/>
      </c>
      <c r="R416" s="10">
        <f>IF(AND($C416="",NOT(COUNTA($S416:$BB416)&gt;0),$BI416&lt;&gt;""),"",MID(IF($BI416="","; Row ID not found on the department sheet - a row was deleted","")&amp;IF(AND($C416="",COUNTA($S416:$BB416)&gt;0),"; Invoice entered but the department row has no job number","")&amp;IF(E416="CHECK","; Job number not in the Xero job list","")&amp;IF(AND($C416&lt;&gt;"",COUNTIF($C$7:$C$1506,$C416)&gt;1),"; Job number on more than one row","")&amp;IF(AND($C416&lt;&gt;"",H416=""),"; Dept has not set a cost centre","")&amp;IF(AND($C416&lt;&gt;"",J416=""),"; Dept has not set a tax code","")&amp;IF(AND($C416&lt;&gt;"",N416=""),"; Dept has not entered an expected value","")&amp;IF((IF(OR(COUNTA(S416:U416)=0,AND(COUNTA(S416:U416)=3,ISNUMBER(U416))),0,1)+IF(OR(COUNTA(V416:X416)=0,AND(COUNTA(V416:X416)=3,ISNUMBER(X416))),0,1)+IF(OR(COUNTA(Y416:AA416)=0,AND(COUNTA(Y416:AA416)=3,ISNUMBER(AA416))),0,1)+IF(OR(COUNTA(AB416:AD416)=0,AND(COUNTA(AB416:AD416)=3,ISNUMBER(AD416))),0,1)+IF(OR(COUNTA(AE416:AG416)=0,AND(COUNTA(AE416:AG416)=3,ISNUMBER(AG416))),0,1)+IF(OR(COUNTA(AH416:AJ416)=0,AND(COUNTA(AH416:AJ416)=3,ISNUMBER(AJ416))),0,1)+IF(OR(COUNTA(AK416:AM416)=0,AND(COUNTA(AK416:AM416)=3,ISNUMBER(AM416))),0,1)+IF(OR(COUNTA(AN416:AP416)=0,AND(COUNTA(AN416:AP416)=3,ISNUMBER(AP416))),0,1)+IF(OR(COUNTA(AQ416:AS416)=0,AND(COUNTA(AQ416:AS416)=3,ISNUMBER(AS416))),0,1)+IF(OR(COUNTA(AT416:AV416)=0,AND(COUNTA(AT416:AV416)=3,ISNUMBER(AV416))),0,1)+IF(OR(COUNTA(AW416:AY416)=0,AND(COUNTA(AW416:AY416)=3,ISNUMBER(AY416))),0,1)+IF(OR(COUNTA(AZ416:BB416)=0,AND(COUNTA(AZ416:BB416)=3,ISNUMBER(BB416))),0,1))&gt;0,"; An invoice is incomplete (needs No, Date and a number in Ex GST)","")&amp;IF((IF(T416="",0,IFERROR(--(EOMONTH(T416,0)&lt;&gt;S$5),1))+IF(W416="",0,IFERROR(--(EOMONTH(W416,0)&lt;&gt;V$5),1))+IF(Z416="",0,IFERROR(--(EOMONTH(Z416,0)&lt;&gt;Y$5),1))+IF(AC416="",0,IFERROR(--(EOMONTH(AC416,0)&lt;&gt;AB$5),1))+IF(AF416="",0,IFERROR(--(EOMONTH(AF416,0)&lt;&gt;AE$5),1))+IF(AI416="",0,IFERROR(--(EOMONTH(AI416,0)&lt;&gt;AH$5),1))+IF(AL416="",0,IFERROR(--(EOMONTH(AL416,0)&lt;&gt;AK$5),1))+IF(AO416="",0,IFERROR(--(EOMONTH(AO416,0)&lt;&gt;AN$5),1))+IF(AR416="",0,IFERROR(--(EOMONTH(AR416,0)&lt;&gt;AQ$5),1))+IF(AU416="",0,IFERROR(--(EOMONTH(AU416,0)&lt;&gt;AT$5),1))+IF(AX416="",0,IFERROR(--(EOMONTH(AX416,0)&lt;&gt;AW$5),1))+IF(BA416="",0,IFERROR(--(EOMONTH(BA416,0)&lt;&gt;AZ$5),1)))&gt;0,"; An invoice date is not in the month it is typed under",""),3,500))</f>
        <v/>
      </c>
      <c r="S416" s="12" t="n"/>
      <c r="T416" s="13" t="n"/>
      <c r="U416" s="14" t="n"/>
      <c r="V416" s="12" t="n"/>
      <c r="W416" s="13" t="n"/>
      <c r="X416" s="14" t="n"/>
      <c r="Y416" s="12" t="n"/>
      <c r="Z416" s="13" t="n"/>
      <c r="AA416" s="14" t="n"/>
      <c r="AB416" s="12" t="n"/>
      <c r="AC416" s="13" t="n"/>
      <c r="AD416" s="14" t="n"/>
      <c r="AE416" s="12" t="n"/>
      <c r="AF416" s="13" t="n"/>
      <c r="AG416" s="14" t="n"/>
      <c r="AH416" s="12" t="n"/>
      <c r="AI416" s="13" t="n"/>
      <c r="AJ416" s="14" t="n"/>
      <c r="AK416" s="12" t="n"/>
      <c r="AL416" s="13" t="n"/>
      <c r="AM416" s="14" t="n"/>
      <c r="AN416" s="12" t="n"/>
      <c r="AO416" s="13" t="n"/>
      <c r="AP416" s="14" t="n"/>
      <c r="AQ416" s="12" t="n"/>
      <c r="AR416" s="13" t="n"/>
      <c r="AS416" s="14" t="n"/>
      <c r="AT416" s="12" t="n"/>
      <c r="AU416" s="13" t="n"/>
      <c r="AV416" s="14" t="n"/>
      <c r="AW416" s="12" t="n"/>
      <c r="AX416" s="13" t="n"/>
      <c r="AY416" s="14" t="n"/>
      <c r="AZ416" s="12" t="n"/>
      <c r="BA416" s="13" t="n"/>
      <c r="BB416" s="14" t="n"/>
      <c r="BC416" s="11">
        <f>IF(O416="","",IF(J416="GST 10%",ROUND(O416*set_GSTRate,2),0))</f>
        <v/>
      </c>
      <c r="BD416" s="11">
        <f>IF(O416="","",O416+BC416)</f>
        <v/>
      </c>
      <c r="BE416" s="15">
        <f>IF(O416="","",COUNTA(S416,V416,Y416,AB416,AE416,AH416,AK416,AN416,AQ416,AT416,AW416,AZ416))</f>
        <v/>
      </c>
      <c r="BF416" s="16">
        <f>IF(COUNT(T416,W416,Z416,AC416,AF416,AI416,AL416,AO416,AR416,AU416,AX416,BA416)=0,"",MAX(T416,W416,Z416,AC416,AF416,AI416,AL416,AO416,AR416,AU416,AX416,BA416))</f>
        <v/>
      </c>
      <c r="BG416" s="10">
        <f>MID(IF(S416="","",", "&amp;S416)&amp;IF(V416="","",", "&amp;V416)&amp;IF(Y416="","",", "&amp;Y416)&amp;IF(AB416="","",", "&amp;AB416)&amp;IF(AE416="","",", "&amp;AE416)&amp;IF(AH416="","",", "&amp;AH416)&amp;IF(AK416="","",", "&amp;AK416)&amp;IF(AN416="","",", "&amp;AN416)&amp;IF(AQ416="","",", "&amp;AQ416)&amp;IF(AT416="","",", "&amp;AT416)&amp;IF(AW416="","",", "&amp;AW416)&amp;IF(AZ416="","",", "&amp;AZ416),3,500)</f>
        <v/>
      </c>
      <c r="BH416" s="12" t="n"/>
      <c r="BI416" s="15">
        <f>IFERROR(MATCH($A416,IF($B416="Onsite",tbl_Onsite[Row ID],IF($B416="Production",tbl_Production[Row ID],tbl_Consulting[Row ID])),0),"")</f>
        <v/>
      </c>
    </row>
    <row r="417">
      <c r="A417" s="10" t="inlineStr">
        <is>
          <t>ONS-0411</t>
        </is>
      </c>
      <c r="B417" s="10" t="inlineStr">
        <is>
          <t>Onsite</t>
        </is>
      </c>
      <c r="C417" s="10">
        <f>IF($BI417="","",IF($B417="Onsite",INDEX(tbl_Onsite[Job Number],$BI417),IF($B417="Production",INDEX(tbl_Production[Job Number],$BI417),INDEX(tbl_Consulting[Job Number],$BI417)))&amp;"")</f>
        <v/>
      </c>
      <c r="D417" s="10">
        <f>IF($BI417="","",IF($B417="Onsite",INDEX(tbl_Onsite[Client],$BI417),IF($B417="Production",INDEX(tbl_Production[Client],$BI417),INDEX(tbl_Consulting[Client],$BI417)))&amp;"")</f>
        <v/>
      </c>
      <c r="E417" s="10">
        <f>IF($C417="","",IF(COUNTIF(lst_Jobs,$C417)&gt;0,"OK","CHECK"))</f>
        <v/>
      </c>
      <c r="F417" s="10">
        <f>IF($C417="","",IFERROR(INDEX(lst_JobName,MATCH($C417,lst_Jobs,0)),""))</f>
        <v/>
      </c>
      <c r="G417" s="10">
        <f>IF($BI417="","",IF($B417="Onsite",INDEX(tbl_Onsite[Job Description],$BI417),IF($B417="Production",INDEX(tbl_Production[Job Description],$BI417),INDEX(tbl_Consulting[Job Description],$BI417)))&amp;"")</f>
        <v/>
      </c>
      <c r="H417" s="10">
        <f>IF($BI417="","",IF($B417="Onsite",INDEX(tbl_Onsite[Cost Centre],$BI417),IF($B417="Production",INDEX(tbl_Production[Cost Centre],$BI417),INDEX(tbl_Consulting[Cost Centre],$BI417)))&amp;"")</f>
        <v/>
      </c>
      <c r="I417" s="10">
        <f>IF($BI417="","",IF($B417="Onsite",INDEX(tbl_Onsite[Invoice Type],$BI417),IF($B417="Production",INDEX(tbl_Production[Invoice Type],$BI417),INDEX(tbl_Consulting[Invoice Type],$BI417)))&amp;"")</f>
        <v/>
      </c>
      <c r="J417" s="10">
        <f>IF($BI417="","",IF($B417="Onsite",INDEX(tbl_Onsite[Tax Code],$BI417),IF($B417="Production",INDEX(tbl_Production[Tax Code],$BI417),INDEX(tbl_Consulting[Tax Code],$BI417)))&amp;"")</f>
        <v/>
      </c>
      <c r="K417" s="10">
        <f>IF(H417="","",IFERROR(INDEX(lst_CCtoGL,MATCH(H417,lst_CCforGL,0)),""))</f>
        <v/>
      </c>
      <c r="L417" s="10">
        <f>IF($BI417="","",IF($B417="Onsite",INDEX(tbl_Onsite[PO / Reference],$BI417),IF($B417="Production",INDEX(tbl_Production[Current RMS No],$BI417),INDEX(tbl_Consulting[Qwilr Quote],$BI417)))&amp;"")</f>
        <v/>
      </c>
      <c r="M417" s="10">
        <f>IF($BI417="","",IF($B417="Onsite",INDEX(tbl_Onsite[Notes],$BI417),IF($B417="Production",INDEX(tbl_Production[Notes],$BI417),INDEX(tbl_Consulting[Notes],$BI417)))&amp;"")</f>
        <v/>
      </c>
      <c r="N417" s="11">
        <f>IF($BI417="","",IF(IF($B417="Onsite",INDEX(tbl_Onsite[Expected Revenue Ex GST],$BI417),IF($B417="Production",INDEX(tbl_Production[Expected Revenue Ex GST],$BI417),INDEX(tbl_Consulting[Expected Revenue Ex GST],$BI417)))="","",IF($B417="Onsite",INDEX(tbl_Onsite[Expected Revenue Ex GST],$BI417),IF($B417="Production",INDEX(tbl_Production[Expected Revenue Ex GST],$BI417),INDEX(tbl_Consulting[Expected Revenue Ex GST],$BI417)))))</f>
        <v/>
      </c>
      <c r="O417" s="11">
        <f>IF(AND($C417="",NOT(COUNTA($S417:$BB417)&gt;0)),"",SUM(U417,X417,AA417,AD417,AG417,AJ417,AM417,AP417,AS417,AV417,AY417,BB417))</f>
        <v/>
      </c>
      <c r="P417" s="11">
        <f>IF(O417="","",N(N417)-O417)</f>
        <v/>
      </c>
      <c r="Q417" s="10">
        <f>IF(O417="","",IF($C417="","Invoice on empty job row",IF(N417="",IF(ROUND(O417,2)=0,"No dept value","Invoiced - no dept value"),IF(ROUND(O417,2)=0,"Not invoiced - to invoice",IF(ROUND(P417,2)=0,"Agrees",IF(P417&gt;0,"Dept higher - to invoice","Xero higher - check dept"))))))</f>
        <v/>
      </c>
      <c r="R417" s="10">
        <f>IF(AND($C417="",NOT(COUNTA($S417:$BB417)&gt;0),$BI417&lt;&gt;""),"",MID(IF($BI417="","; Row ID not found on the department sheet - a row was deleted","")&amp;IF(AND($C417="",COUNTA($S417:$BB417)&gt;0),"; Invoice entered but the department row has no job number","")&amp;IF(E417="CHECK","; Job number not in the Xero job list","")&amp;IF(AND($C417&lt;&gt;"",COUNTIF($C$7:$C$1506,$C417)&gt;1),"; Job number on more than one row","")&amp;IF(AND($C417&lt;&gt;"",H417=""),"; Dept has not set a cost centre","")&amp;IF(AND($C417&lt;&gt;"",J417=""),"; Dept has not set a tax code","")&amp;IF(AND($C417&lt;&gt;"",N417=""),"; Dept has not entered an expected value","")&amp;IF((IF(OR(COUNTA(S417:U417)=0,AND(COUNTA(S417:U417)=3,ISNUMBER(U417))),0,1)+IF(OR(COUNTA(V417:X417)=0,AND(COUNTA(V417:X417)=3,ISNUMBER(X417))),0,1)+IF(OR(COUNTA(Y417:AA417)=0,AND(COUNTA(Y417:AA417)=3,ISNUMBER(AA417))),0,1)+IF(OR(COUNTA(AB417:AD417)=0,AND(COUNTA(AB417:AD417)=3,ISNUMBER(AD417))),0,1)+IF(OR(COUNTA(AE417:AG417)=0,AND(COUNTA(AE417:AG417)=3,ISNUMBER(AG417))),0,1)+IF(OR(COUNTA(AH417:AJ417)=0,AND(COUNTA(AH417:AJ417)=3,ISNUMBER(AJ417))),0,1)+IF(OR(COUNTA(AK417:AM417)=0,AND(COUNTA(AK417:AM417)=3,ISNUMBER(AM417))),0,1)+IF(OR(COUNTA(AN417:AP417)=0,AND(COUNTA(AN417:AP417)=3,ISNUMBER(AP417))),0,1)+IF(OR(COUNTA(AQ417:AS417)=0,AND(COUNTA(AQ417:AS417)=3,ISNUMBER(AS417))),0,1)+IF(OR(COUNTA(AT417:AV417)=0,AND(COUNTA(AT417:AV417)=3,ISNUMBER(AV417))),0,1)+IF(OR(COUNTA(AW417:AY417)=0,AND(COUNTA(AW417:AY417)=3,ISNUMBER(AY417))),0,1)+IF(OR(COUNTA(AZ417:BB417)=0,AND(COUNTA(AZ417:BB417)=3,ISNUMBER(BB417))),0,1))&gt;0,"; An invoice is incomplete (needs No, Date and a number in Ex GST)","")&amp;IF((IF(T417="",0,IFERROR(--(EOMONTH(T417,0)&lt;&gt;S$5),1))+IF(W417="",0,IFERROR(--(EOMONTH(W417,0)&lt;&gt;V$5),1))+IF(Z417="",0,IFERROR(--(EOMONTH(Z417,0)&lt;&gt;Y$5),1))+IF(AC417="",0,IFERROR(--(EOMONTH(AC417,0)&lt;&gt;AB$5),1))+IF(AF417="",0,IFERROR(--(EOMONTH(AF417,0)&lt;&gt;AE$5),1))+IF(AI417="",0,IFERROR(--(EOMONTH(AI417,0)&lt;&gt;AH$5),1))+IF(AL417="",0,IFERROR(--(EOMONTH(AL417,0)&lt;&gt;AK$5),1))+IF(AO417="",0,IFERROR(--(EOMONTH(AO417,0)&lt;&gt;AN$5),1))+IF(AR417="",0,IFERROR(--(EOMONTH(AR417,0)&lt;&gt;AQ$5),1))+IF(AU417="",0,IFERROR(--(EOMONTH(AU417,0)&lt;&gt;AT$5),1))+IF(AX417="",0,IFERROR(--(EOMONTH(AX417,0)&lt;&gt;AW$5),1))+IF(BA417="",0,IFERROR(--(EOMONTH(BA417,0)&lt;&gt;AZ$5),1)))&gt;0,"; An invoice date is not in the month it is typed under",""),3,500))</f>
        <v/>
      </c>
      <c r="S417" s="12" t="n"/>
      <c r="T417" s="13" t="n"/>
      <c r="U417" s="14" t="n"/>
      <c r="V417" s="12" t="n"/>
      <c r="W417" s="13" t="n"/>
      <c r="X417" s="14" t="n"/>
      <c r="Y417" s="12" t="n"/>
      <c r="Z417" s="13" t="n"/>
      <c r="AA417" s="14" t="n"/>
      <c r="AB417" s="12" t="n"/>
      <c r="AC417" s="13" t="n"/>
      <c r="AD417" s="14" t="n"/>
      <c r="AE417" s="12" t="n"/>
      <c r="AF417" s="13" t="n"/>
      <c r="AG417" s="14" t="n"/>
      <c r="AH417" s="12" t="n"/>
      <c r="AI417" s="13" t="n"/>
      <c r="AJ417" s="14" t="n"/>
      <c r="AK417" s="12" t="n"/>
      <c r="AL417" s="13" t="n"/>
      <c r="AM417" s="14" t="n"/>
      <c r="AN417" s="12" t="n"/>
      <c r="AO417" s="13" t="n"/>
      <c r="AP417" s="14" t="n"/>
      <c r="AQ417" s="12" t="n"/>
      <c r="AR417" s="13" t="n"/>
      <c r="AS417" s="14" t="n"/>
      <c r="AT417" s="12" t="n"/>
      <c r="AU417" s="13" t="n"/>
      <c r="AV417" s="14" t="n"/>
      <c r="AW417" s="12" t="n"/>
      <c r="AX417" s="13" t="n"/>
      <c r="AY417" s="14" t="n"/>
      <c r="AZ417" s="12" t="n"/>
      <c r="BA417" s="13" t="n"/>
      <c r="BB417" s="14" t="n"/>
      <c r="BC417" s="11">
        <f>IF(O417="","",IF(J417="GST 10%",ROUND(O417*set_GSTRate,2),0))</f>
        <v/>
      </c>
      <c r="BD417" s="11">
        <f>IF(O417="","",O417+BC417)</f>
        <v/>
      </c>
      <c r="BE417" s="15">
        <f>IF(O417="","",COUNTA(S417,V417,Y417,AB417,AE417,AH417,AK417,AN417,AQ417,AT417,AW417,AZ417))</f>
        <v/>
      </c>
      <c r="BF417" s="16">
        <f>IF(COUNT(T417,W417,Z417,AC417,AF417,AI417,AL417,AO417,AR417,AU417,AX417,BA417)=0,"",MAX(T417,W417,Z417,AC417,AF417,AI417,AL417,AO417,AR417,AU417,AX417,BA417))</f>
        <v/>
      </c>
      <c r="BG417" s="10">
        <f>MID(IF(S417="","",", "&amp;S417)&amp;IF(V417="","",", "&amp;V417)&amp;IF(Y417="","",", "&amp;Y417)&amp;IF(AB417="","",", "&amp;AB417)&amp;IF(AE417="","",", "&amp;AE417)&amp;IF(AH417="","",", "&amp;AH417)&amp;IF(AK417="","",", "&amp;AK417)&amp;IF(AN417="","",", "&amp;AN417)&amp;IF(AQ417="","",", "&amp;AQ417)&amp;IF(AT417="","",", "&amp;AT417)&amp;IF(AW417="","",", "&amp;AW417)&amp;IF(AZ417="","",", "&amp;AZ417),3,500)</f>
        <v/>
      </c>
      <c r="BH417" s="12" t="n"/>
      <c r="BI417" s="15">
        <f>IFERROR(MATCH($A417,IF($B417="Onsite",tbl_Onsite[Row ID],IF($B417="Production",tbl_Production[Row ID],tbl_Consulting[Row ID])),0),"")</f>
        <v/>
      </c>
    </row>
    <row r="418">
      <c r="A418" s="10" t="inlineStr">
        <is>
          <t>ONS-0412</t>
        </is>
      </c>
      <c r="B418" s="10" t="inlineStr">
        <is>
          <t>Onsite</t>
        </is>
      </c>
      <c r="C418" s="10">
        <f>IF($BI418="","",IF($B418="Onsite",INDEX(tbl_Onsite[Job Number],$BI418),IF($B418="Production",INDEX(tbl_Production[Job Number],$BI418),INDEX(tbl_Consulting[Job Number],$BI418)))&amp;"")</f>
        <v/>
      </c>
      <c r="D418" s="10">
        <f>IF($BI418="","",IF($B418="Onsite",INDEX(tbl_Onsite[Client],$BI418),IF($B418="Production",INDEX(tbl_Production[Client],$BI418),INDEX(tbl_Consulting[Client],$BI418)))&amp;"")</f>
        <v/>
      </c>
      <c r="E418" s="10">
        <f>IF($C418="","",IF(COUNTIF(lst_Jobs,$C418)&gt;0,"OK","CHECK"))</f>
        <v/>
      </c>
      <c r="F418" s="10">
        <f>IF($C418="","",IFERROR(INDEX(lst_JobName,MATCH($C418,lst_Jobs,0)),""))</f>
        <v/>
      </c>
      <c r="G418" s="10">
        <f>IF($BI418="","",IF($B418="Onsite",INDEX(tbl_Onsite[Job Description],$BI418),IF($B418="Production",INDEX(tbl_Production[Job Description],$BI418),INDEX(tbl_Consulting[Job Description],$BI418)))&amp;"")</f>
        <v/>
      </c>
      <c r="H418" s="10">
        <f>IF($BI418="","",IF($B418="Onsite",INDEX(tbl_Onsite[Cost Centre],$BI418),IF($B418="Production",INDEX(tbl_Production[Cost Centre],$BI418),INDEX(tbl_Consulting[Cost Centre],$BI418)))&amp;"")</f>
        <v/>
      </c>
      <c r="I418" s="10">
        <f>IF($BI418="","",IF($B418="Onsite",INDEX(tbl_Onsite[Invoice Type],$BI418),IF($B418="Production",INDEX(tbl_Production[Invoice Type],$BI418),INDEX(tbl_Consulting[Invoice Type],$BI418)))&amp;"")</f>
        <v/>
      </c>
      <c r="J418" s="10">
        <f>IF($BI418="","",IF($B418="Onsite",INDEX(tbl_Onsite[Tax Code],$BI418),IF($B418="Production",INDEX(tbl_Production[Tax Code],$BI418),INDEX(tbl_Consulting[Tax Code],$BI418)))&amp;"")</f>
        <v/>
      </c>
      <c r="K418" s="10">
        <f>IF(H418="","",IFERROR(INDEX(lst_CCtoGL,MATCH(H418,lst_CCforGL,0)),""))</f>
        <v/>
      </c>
      <c r="L418" s="10">
        <f>IF($BI418="","",IF($B418="Onsite",INDEX(tbl_Onsite[PO / Reference],$BI418),IF($B418="Production",INDEX(tbl_Production[Current RMS No],$BI418),INDEX(tbl_Consulting[Qwilr Quote],$BI418)))&amp;"")</f>
        <v/>
      </c>
      <c r="M418" s="10">
        <f>IF($BI418="","",IF($B418="Onsite",INDEX(tbl_Onsite[Notes],$BI418),IF($B418="Production",INDEX(tbl_Production[Notes],$BI418),INDEX(tbl_Consulting[Notes],$BI418)))&amp;"")</f>
        <v/>
      </c>
      <c r="N418" s="11">
        <f>IF($BI418="","",IF(IF($B418="Onsite",INDEX(tbl_Onsite[Expected Revenue Ex GST],$BI418),IF($B418="Production",INDEX(tbl_Production[Expected Revenue Ex GST],$BI418),INDEX(tbl_Consulting[Expected Revenue Ex GST],$BI418)))="","",IF($B418="Onsite",INDEX(tbl_Onsite[Expected Revenue Ex GST],$BI418),IF($B418="Production",INDEX(tbl_Production[Expected Revenue Ex GST],$BI418),INDEX(tbl_Consulting[Expected Revenue Ex GST],$BI418)))))</f>
        <v/>
      </c>
      <c r="O418" s="11">
        <f>IF(AND($C418="",NOT(COUNTA($S418:$BB418)&gt;0)),"",SUM(U418,X418,AA418,AD418,AG418,AJ418,AM418,AP418,AS418,AV418,AY418,BB418))</f>
        <v/>
      </c>
      <c r="P418" s="11">
        <f>IF(O418="","",N(N418)-O418)</f>
        <v/>
      </c>
      <c r="Q418" s="10">
        <f>IF(O418="","",IF($C418="","Invoice on empty job row",IF(N418="",IF(ROUND(O418,2)=0,"No dept value","Invoiced - no dept value"),IF(ROUND(O418,2)=0,"Not invoiced - to invoice",IF(ROUND(P418,2)=0,"Agrees",IF(P418&gt;0,"Dept higher - to invoice","Xero higher - check dept"))))))</f>
        <v/>
      </c>
      <c r="R418" s="10">
        <f>IF(AND($C418="",NOT(COUNTA($S418:$BB418)&gt;0),$BI418&lt;&gt;""),"",MID(IF($BI418="","; Row ID not found on the department sheet - a row was deleted","")&amp;IF(AND($C418="",COUNTA($S418:$BB418)&gt;0),"; Invoice entered but the department row has no job number","")&amp;IF(E418="CHECK","; Job number not in the Xero job list","")&amp;IF(AND($C418&lt;&gt;"",COUNTIF($C$7:$C$1506,$C418)&gt;1),"; Job number on more than one row","")&amp;IF(AND($C418&lt;&gt;"",H418=""),"; Dept has not set a cost centre","")&amp;IF(AND($C418&lt;&gt;"",J418=""),"; Dept has not set a tax code","")&amp;IF(AND($C418&lt;&gt;"",N418=""),"; Dept has not entered an expected value","")&amp;IF((IF(OR(COUNTA(S418:U418)=0,AND(COUNTA(S418:U418)=3,ISNUMBER(U418))),0,1)+IF(OR(COUNTA(V418:X418)=0,AND(COUNTA(V418:X418)=3,ISNUMBER(X418))),0,1)+IF(OR(COUNTA(Y418:AA418)=0,AND(COUNTA(Y418:AA418)=3,ISNUMBER(AA418))),0,1)+IF(OR(COUNTA(AB418:AD418)=0,AND(COUNTA(AB418:AD418)=3,ISNUMBER(AD418))),0,1)+IF(OR(COUNTA(AE418:AG418)=0,AND(COUNTA(AE418:AG418)=3,ISNUMBER(AG418))),0,1)+IF(OR(COUNTA(AH418:AJ418)=0,AND(COUNTA(AH418:AJ418)=3,ISNUMBER(AJ418))),0,1)+IF(OR(COUNTA(AK418:AM418)=0,AND(COUNTA(AK418:AM418)=3,ISNUMBER(AM418))),0,1)+IF(OR(COUNTA(AN418:AP418)=0,AND(COUNTA(AN418:AP418)=3,ISNUMBER(AP418))),0,1)+IF(OR(COUNTA(AQ418:AS418)=0,AND(COUNTA(AQ418:AS418)=3,ISNUMBER(AS418))),0,1)+IF(OR(COUNTA(AT418:AV418)=0,AND(COUNTA(AT418:AV418)=3,ISNUMBER(AV418))),0,1)+IF(OR(COUNTA(AW418:AY418)=0,AND(COUNTA(AW418:AY418)=3,ISNUMBER(AY418))),0,1)+IF(OR(COUNTA(AZ418:BB418)=0,AND(COUNTA(AZ418:BB418)=3,ISNUMBER(BB418))),0,1))&gt;0,"; An invoice is incomplete (needs No, Date and a number in Ex GST)","")&amp;IF((IF(T418="",0,IFERROR(--(EOMONTH(T418,0)&lt;&gt;S$5),1))+IF(W418="",0,IFERROR(--(EOMONTH(W418,0)&lt;&gt;V$5),1))+IF(Z418="",0,IFERROR(--(EOMONTH(Z418,0)&lt;&gt;Y$5),1))+IF(AC418="",0,IFERROR(--(EOMONTH(AC418,0)&lt;&gt;AB$5),1))+IF(AF418="",0,IFERROR(--(EOMONTH(AF418,0)&lt;&gt;AE$5),1))+IF(AI418="",0,IFERROR(--(EOMONTH(AI418,0)&lt;&gt;AH$5),1))+IF(AL418="",0,IFERROR(--(EOMONTH(AL418,0)&lt;&gt;AK$5),1))+IF(AO418="",0,IFERROR(--(EOMONTH(AO418,0)&lt;&gt;AN$5),1))+IF(AR418="",0,IFERROR(--(EOMONTH(AR418,0)&lt;&gt;AQ$5),1))+IF(AU418="",0,IFERROR(--(EOMONTH(AU418,0)&lt;&gt;AT$5),1))+IF(AX418="",0,IFERROR(--(EOMONTH(AX418,0)&lt;&gt;AW$5),1))+IF(BA418="",0,IFERROR(--(EOMONTH(BA418,0)&lt;&gt;AZ$5),1)))&gt;0,"; An invoice date is not in the month it is typed under",""),3,500))</f>
        <v/>
      </c>
      <c r="S418" s="12" t="n"/>
      <c r="T418" s="13" t="n"/>
      <c r="U418" s="14" t="n"/>
      <c r="V418" s="12" t="n"/>
      <c r="W418" s="13" t="n"/>
      <c r="X418" s="14" t="n"/>
      <c r="Y418" s="12" t="n"/>
      <c r="Z418" s="13" t="n"/>
      <c r="AA418" s="14" t="n"/>
      <c r="AB418" s="12" t="n"/>
      <c r="AC418" s="13" t="n"/>
      <c r="AD418" s="14" t="n"/>
      <c r="AE418" s="12" t="n"/>
      <c r="AF418" s="13" t="n"/>
      <c r="AG418" s="14" t="n"/>
      <c r="AH418" s="12" t="n"/>
      <c r="AI418" s="13" t="n"/>
      <c r="AJ418" s="14" t="n"/>
      <c r="AK418" s="12" t="n"/>
      <c r="AL418" s="13" t="n"/>
      <c r="AM418" s="14" t="n"/>
      <c r="AN418" s="12" t="n"/>
      <c r="AO418" s="13" t="n"/>
      <c r="AP418" s="14" t="n"/>
      <c r="AQ418" s="12" t="n"/>
      <c r="AR418" s="13" t="n"/>
      <c r="AS418" s="14" t="n"/>
      <c r="AT418" s="12" t="n"/>
      <c r="AU418" s="13" t="n"/>
      <c r="AV418" s="14" t="n"/>
      <c r="AW418" s="12" t="n"/>
      <c r="AX418" s="13" t="n"/>
      <c r="AY418" s="14" t="n"/>
      <c r="AZ418" s="12" t="n"/>
      <c r="BA418" s="13" t="n"/>
      <c r="BB418" s="14" t="n"/>
      <c r="BC418" s="11">
        <f>IF(O418="","",IF(J418="GST 10%",ROUND(O418*set_GSTRate,2),0))</f>
        <v/>
      </c>
      <c r="BD418" s="11">
        <f>IF(O418="","",O418+BC418)</f>
        <v/>
      </c>
      <c r="BE418" s="15">
        <f>IF(O418="","",COUNTA(S418,V418,Y418,AB418,AE418,AH418,AK418,AN418,AQ418,AT418,AW418,AZ418))</f>
        <v/>
      </c>
      <c r="BF418" s="16">
        <f>IF(COUNT(T418,W418,Z418,AC418,AF418,AI418,AL418,AO418,AR418,AU418,AX418,BA418)=0,"",MAX(T418,W418,Z418,AC418,AF418,AI418,AL418,AO418,AR418,AU418,AX418,BA418))</f>
        <v/>
      </c>
      <c r="BG418" s="10">
        <f>MID(IF(S418="","",", "&amp;S418)&amp;IF(V418="","",", "&amp;V418)&amp;IF(Y418="","",", "&amp;Y418)&amp;IF(AB418="","",", "&amp;AB418)&amp;IF(AE418="","",", "&amp;AE418)&amp;IF(AH418="","",", "&amp;AH418)&amp;IF(AK418="","",", "&amp;AK418)&amp;IF(AN418="","",", "&amp;AN418)&amp;IF(AQ418="","",", "&amp;AQ418)&amp;IF(AT418="","",", "&amp;AT418)&amp;IF(AW418="","",", "&amp;AW418)&amp;IF(AZ418="","",", "&amp;AZ418),3,500)</f>
        <v/>
      </c>
      <c r="BH418" s="12" t="n"/>
      <c r="BI418" s="15">
        <f>IFERROR(MATCH($A418,IF($B418="Onsite",tbl_Onsite[Row ID],IF($B418="Production",tbl_Production[Row ID],tbl_Consulting[Row ID])),0),"")</f>
        <v/>
      </c>
    </row>
    <row r="419">
      <c r="A419" s="10" t="inlineStr">
        <is>
          <t>ONS-0413</t>
        </is>
      </c>
      <c r="B419" s="10" t="inlineStr">
        <is>
          <t>Onsite</t>
        </is>
      </c>
      <c r="C419" s="10">
        <f>IF($BI419="","",IF($B419="Onsite",INDEX(tbl_Onsite[Job Number],$BI419),IF($B419="Production",INDEX(tbl_Production[Job Number],$BI419),INDEX(tbl_Consulting[Job Number],$BI419)))&amp;"")</f>
        <v/>
      </c>
      <c r="D419" s="10">
        <f>IF($BI419="","",IF($B419="Onsite",INDEX(tbl_Onsite[Client],$BI419),IF($B419="Production",INDEX(tbl_Production[Client],$BI419),INDEX(tbl_Consulting[Client],$BI419)))&amp;"")</f>
        <v/>
      </c>
      <c r="E419" s="10">
        <f>IF($C419="","",IF(COUNTIF(lst_Jobs,$C419)&gt;0,"OK","CHECK"))</f>
        <v/>
      </c>
      <c r="F419" s="10">
        <f>IF($C419="","",IFERROR(INDEX(lst_JobName,MATCH($C419,lst_Jobs,0)),""))</f>
        <v/>
      </c>
      <c r="G419" s="10">
        <f>IF($BI419="","",IF($B419="Onsite",INDEX(tbl_Onsite[Job Description],$BI419),IF($B419="Production",INDEX(tbl_Production[Job Description],$BI419),INDEX(tbl_Consulting[Job Description],$BI419)))&amp;"")</f>
        <v/>
      </c>
      <c r="H419" s="10">
        <f>IF($BI419="","",IF($B419="Onsite",INDEX(tbl_Onsite[Cost Centre],$BI419),IF($B419="Production",INDEX(tbl_Production[Cost Centre],$BI419),INDEX(tbl_Consulting[Cost Centre],$BI419)))&amp;"")</f>
        <v/>
      </c>
      <c r="I419" s="10">
        <f>IF($BI419="","",IF($B419="Onsite",INDEX(tbl_Onsite[Invoice Type],$BI419),IF($B419="Production",INDEX(tbl_Production[Invoice Type],$BI419),INDEX(tbl_Consulting[Invoice Type],$BI419)))&amp;"")</f>
        <v/>
      </c>
      <c r="J419" s="10">
        <f>IF($BI419="","",IF($B419="Onsite",INDEX(tbl_Onsite[Tax Code],$BI419),IF($B419="Production",INDEX(tbl_Production[Tax Code],$BI419),INDEX(tbl_Consulting[Tax Code],$BI419)))&amp;"")</f>
        <v/>
      </c>
      <c r="K419" s="10">
        <f>IF(H419="","",IFERROR(INDEX(lst_CCtoGL,MATCH(H419,lst_CCforGL,0)),""))</f>
        <v/>
      </c>
      <c r="L419" s="10">
        <f>IF($BI419="","",IF($B419="Onsite",INDEX(tbl_Onsite[PO / Reference],$BI419),IF($B419="Production",INDEX(tbl_Production[Current RMS No],$BI419),INDEX(tbl_Consulting[Qwilr Quote],$BI419)))&amp;"")</f>
        <v/>
      </c>
      <c r="M419" s="10">
        <f>IF($BI419="","",IF($B419="Onsite",INDEX(tbl_Onsite[Notes],$BI419),IF($B419="Production",INDEX(tbl_Production[Notes],$BI419),INDEX(tbl_Consulting[Notes],$BI419)))&amp;"")</f>
        <v/>
      </c>
      <c r="N419" s="11">
        <f>IF($BI419="","",IF(IF($B419="Onsite",INDEX(tbl_Onsite[Expected Revenue Ex GST],$BI419),IF($B419="Production",INDEX(tbl_Production[Expected Revenue Ex GST],$BI419),INDEX(tbl_Consulting[Expected Revenue Ex GST],$BI419)))="","",IF($B419="Onsite",INDEX(tbl_Onsite[Expected Revenue Ex GST],$BI419),IF($B419="Production",INDEX(tbl_Production[Expected Revenue Ex GST],$BI419),INDEX(tbl_Consulting[Expected Revenue Ex GST],$BI419)))))</f>
        <v/>
      </c>
      <c r="O419" s="11">
        <f>IF(AND($C419="",NOT(COUNTA($S419:$BB419)&gt;0)),"",SUM(U419,X419,AA419,AD419,AG419,AJ419,AM419,AP419,AS419,AV419,AY419,BB419))</f>
        <v/>
      </c>
      <c r="P419" s="11">
        <f>IF(O419="","",N(N419)-O419)</f>
        <v/>
      </c>
      <c r="Q419" s="10">
        <f>IF(O419="","",IF($C419="","Invoice on empty job row",IF(N419="",IF(ROUND(O419,2)=0,"No dept value","Invoiced - no dept value"),IF(ROUND(O419,2)=0,"Not invoiced - to invoice",IF(ROUND(P419,2)=0,"Agrees",IF(P419&gt;0,"Dept higher - to invoice","Xero higher - check dept"))))))</f>
        <v/>
      </c>
      <c r="R419" s="10">
        <f>IF(AND($C419="",NOT(COUNTA($S419:$BB419)&gt;0),$BI419&lt;&gt;""),"",MID(IF($BI419="","; Row ID not found on the department sheet - a row was deleted","")&amp;IF(AND($C419="",COUNTA($S419:$BB419)&gt;0),"; Invoice entered but the department row has no job number","")&amp;IF(E419="CHECK","; Job number not in the Xero job list","")&amp;IF(AND($C419&lt;&gt;"",COUNTIF($C$7:$C$1506,$C419)&gt;1),"; Job number on more than one row","")&amp;IF(AND($C419&lt;&gt;"",H419=""),"; Dept has not set a cost centre","")&amp;IF(AND($C419&lt;&gt;"",J419=""),"; Dept has not set a tax code","")&amp;IF(AND($C419&lt;&gt;"",N419=""),"; Dept has not entered an expected value","")&amp;IF((IF(OR(COUNTA(S419:U419)=0,AND(COUNTA(S419:U419)=3,ISNUMBER(U419))),0,1)+IF(OR(COUNTA(V419:X419)=0,AND(COUNTA(V419:X419)=3,ISNUMBER(X419))),0,1)+IF(OR(COUNTA(Y419:AA419)=0,AND(COUNTA(Y419:AA419)=3,ISNUMBER(AA419))),0,1)+IF(OR(COUNTA(AB419:AD419)=0,AND(COUNTA(AB419:AD419)=3,ISNUMBER(AD419))),0,1)+IF(OR(COUNTA(AE419:AG419)=0,AND(COUNTA(AE419:AG419)=3,ISNUMBER(AG419))),0,1)+IF(OR(COUNTA(AH419:AJ419)=0,AND(COUNTA(AH419:AJ419)=3,ISNUMBER(AJ419))),0,1)+IF(OR(COUNTA(AK419:AM419)=0,AND(COUNTA(AK419:AM419)=3,ISNUMBER(AM419))),0,1)+IF(OR(COUNTA(AN419:AP419)=0,AND(COUNTA(AN419:AP419)=3,ISNUMBER(AP419))),0,1)+IF(OR(COUNTA(AQ419:AS419)=0,AND(COUNTA(AQ419:AS419)=3,ISNUMBER(AS419))),0,1)+IF(OR(COUNTA(AT419:AV419)=0,AND(COUNTA(AT419:AV419)=3,ISNUMBER(AV419))),0,1)+IF(OR(COUNTA(AW419:AY419)=0,AND(COUNTA(AW419:AY419)=3,ISNUMBER(AY419))),0,1)+IF(OR(COUNTA(AZ419:BB419)=0,AND(COUNTA(AZ419:BB419)=3,ISNUMBER(BB419))),0,1))&gt;0,"; An invoice is incomplete (needs No, Date and a number in Ex GST)","")&amp;IF((IF(T419="",0,IFERROR(--(EOMONTH(T419,0)&lt;&gt;S$5),1))+IF(W419="",0,IFERROR(--(EOMONTH(W419,0)&lt;&gt;V$5),1))+IF(Z419="",0,IFERROR(--(EOMONTH(Z419,0)&lt;&gt;Y$5),1))+IF(AC419="",0,IFERROR(--(EOMONTH(AC419,0)&lt;&gt;AB$5),1))+IF(AF419="",0,IFERROR(--(EOMONTH(AF419,0)&lt;&gt;AE$5),1))+IF(AI419="",0,IFERROR(--(EOMONTH(AI419,0)&lt;&gt;AH$5),1))+IF(AL419="",0,IFERROR(--(EOMONTH(AL419,0)&lt;&gt;AK$5),1))+IF(AO419="",0,IFERROR(--(EOMONTH(AO419,0)&lt;&gt;AN$5),1))+IF(AR419="",0,IFERROR(--(EOMONTH(AR419,0)&lt;&gt;AQ$5),1))+IF(AU419="",0,IFERROR(--(EOMONTH(AU419,0)&lt;&gt;AT$5),1))+IF(AX419="",0,IFERROR(--(EOMONTH(AX419,0)&lt;&gt;AW$5),1))+IF(BA419="",0,IFERROR(--(EOMONTH(BA419,0)&lt;&gt;AZ$5),1)))&gt;0,"; An invoice date is not in the month it is typed under",""),3,500))</f>
        <v/>
      </c>
      <c r="S419" s="12" t="n"/>
      <c r="T419" s="13" t="n"/>
      <c r="U419" s="14" t="n"/>
      <c r="V419" s="12" t="n"/>
      <c r="W419" s="13" t="n"/>
      <c r="X419" s="14" t="n"/>
      <c r="Y419" s="12" t="n"/>
      <c r="Z419" s="13" t="n"/>
      <c r="AA419" s="14" t="n"/>
      <c r="AB419" s="12" t="n"/>
      <c r="AC419" s="13" t="n"/>
      <c r="AD419" s="14" t="n"/>
      <c r="AE419" s="12" t="n"/>
      <c r="AF419" s="13" t="n"/>
      <c r="AG419" s="14" t="n"/>
      <c r="AH419" s="12" t="n"/>
      <c r="AI419" s="13" t="n"/>
      <c r="AJ419" s="14" t="n"/>
      <c r="AK419" s="12" t="n"/>
      <c r="AL419" s="13" t="n"/>
      <c r="AM419" s="14" t="n"/>
      <c r="AN419" s="12" t="n"/>
      <c r="AO419" s="13" t="n"/>
      <c r="AP419" s="14" t="n"/>
      <c r="AQ419" s="12" t="n"/>
      <c r="AR419" s="13" t="n"/>
      <c r="AS419" s="14" t="n"/>
      <c r="AT419" s="12" t="n"/>
      <c r="AU419" s="13" t="n"/>
      <c r="AV419" s="14" t="n"/>
      <c r="AW419" s="12" t="n"/>
      <c r="AX419" s="13" t="n"/>
      <c r="AY419" s="14" t="n"/>
      <c r="AZ419" s="12" t="n"/>
      <c r="BA419" s="13" t="n"/>
      <c r="BB419" s="14" t="n"/>
      <c r="BC419" s="11">
        <f>IF(O419="","",IF(J419="GST 10%",ROUND(O419*set_GSTRate,2),0))</f>
        <v/>
      </c>
      <c r="BD419" s="11">
        <f>IF(O419="","",O419+BC419)</f>
        <v/>
      </c>
      <c r="BE419" s="15">
        <f>IF(O419="","",COUNTA(S419,V419,Y419,AB419,AE419,AH419,AK419,AN419,AQ419,AT419,AW419,AZ419))</f>
        <v/>
      </c>
      <c r="BF419" s="16">
        <f>IF(COUNT(T419,W419,Z419,AC419,AF419,AI419,AL419,AO419,AR419,AU419,AX419,BA419)=0,"",MAX(T419,W419,Z419,AC419,AF419,AI419,AL419,AO419,AR419,AU419,AX419,BA419))</f>
        <v/>
      </c>
      <c r="BG419" s="10">
        <f>MID(IF(S419="","",", "&amp;S419)&amp;IF(V419="","",", "&amp;V419)&amp;IF(Y419="","",", "&amp;Y419)&amp;IF(AB419="","",", "&amp;AB419)&amp;IF(AE419="","",", "&amp;AE419)&amp;IF(AH419="","",", "&amp;AH419)&amp;IF(AK419="","",", "&amp;AK419)&amp;IF(AN419="","",", "&amp;AN419)&amp;IF(AQ419="","",", "&amp;AQ419)&amp;IF(AT419="","",", "&amp;AT419)&amp;IF(AW419="","",", "&amp;AW419)&amp;IF(AZ419="","",", "&amp;AZ419),3,500)</f>
        <v/>
      </c>
      <c r="BH419" s="12" t="n"/>
      <c r="BI419" s="15">
        <f>IFERROR(MATCH($A419,IF($B419="Onsite",tbl_Onsite[Row ID],IF($B419="Production",tbl_Production[Row ID],tbl_Consulting[Row ID])),0),"")</f>
        <v/>
      </c>
    </row>
    <row r="420">
      <c r="A420" s="10" t="inlineStr">
        <is>
          <t>ONS-0414</t>
        </is>
      </c>
      <c r="B420" s="10" t="inlineStr">
        <is>
          <t>Onsite</t>
        </is>
      </c>
      <c r="C420" s="10">
        <f>IF($BI420="","",IF($B420="Onsite",INDEX(tbl_Onsite[Job Number],$BI420),IF($B420="Production",INDEX(tbl_Production[Job Number],$BI420),INDEX(tbl_Consulting[Job Number],$BI420)))&amp;"")</f>
        <v/>
      </c>
      <c r="D420" s="10">
        <f>IF($BI420="","",IF($B420="Onsite",INDEX(tbl_Onsite[Client],$BI420),IF($B420="Production",INDEX(tbl_Production[Client],$BI420),INDEX(tbl_Consulting[Client],$BI420)))&amp;"")</f>
        <v/>
      </c>
      <c r="E420" s="10">
        <f>IF($C420="","",IF(COUNTIF(lst_Jobs,$C420)&gt;0,"OK","CHECK"))</f>
        <v/>
      </c>
      <c r="F420" s="10">
        <f>IF($C420="","",IFERROR(INDEX(lst_JobName,MATCH($C420,lst_Jobs,0)),""))</f>
        <v/>
      </c>
      <c r="G420" s="10">
        <f>IF($BI420="","",IF($B420="Onsite",INDEX(tbl_Onsite[Job Description],$BI420),IF($B420="Production",INDEX(tbl_Production[Job Description],$BI420),INDEX(tbl_Consulting[Job Description],$BI420)))&amp;"")</f>
        <v/>
      </c>
      <c r="H420" s="10">
        <f>IF($BI420="","",IF($B420="Onsite",INDEX(tbl_Onsite[Cost Centre],$BI420),IF($B420="Production",INDEX(tbl_Production[Cost Centre],$BI420),INDEX(tbl_Consulting[Cost Centre],$BI420)))&amp;"")</f>
        <v/>
      </c>
      <c r="I420" s="10">
        <f>IF($BI420="","",IF($B420="Onsite",INDEX(tbl_Onsite[Invoice Type],$BI420),IF($B420="Production",INDEX(tbl_Production[Invoice Type],$BI420),INDEX(tbl_Consulting[Invoice Type],$BI420)))&amp;"")</f>
        <v/>
      </c>
      <c r="J420" s="10">
        <f>IF($BI420="","",IF($B420="Onsite",INDEX(tbl_Onsite[Tax Code],$BI420),IF($B420="Production",INDEX(tbl_Production[Tax Code],$BI420),INDEX(tbl_Consulting[Tax Code],$BI420)))&amp;"")</f>
        <v/>
      </c>
      <c r="K420" s="10">
        <f>IF(H420="","",IFERROR(INDEX(lst_CCtoGL,MATCH(H420,lst_CCforGL,0)),""))</f>
        <v/>
      </c>
      <c r="L420" s="10">
        <f>IF($BI420="","",IF($B420="Onsite",INDEX(tbl_Onsite[PO / Reference],$BI420),IF($B420="Production",INDEX(tbl_Production[Current RMS No],$BI420),INDEX(tbl_Consulting[Qwilr Quote],$BI420)))&amp;"")</f>
        <v/>
      </c>
      <c r="M420" s="10">
        <f>IF($BI420="","",IF($B420="Onsite",INDEX(tbl_Onsite[Notes],$BI420),IF($B420="Production",INDEX(tbl_Production[Notes],$BI420),INDEX(tbl_Consulting[Notes],$BI420)))&amp;"")</f>
        <v/>
      </c>
      <c r="N420" s="11">
        <f>IF($BI420="","",IF(IF($B420="Onsite",INDEX(tbl_Onsite[Expected Revenue Ex GST],$BI420),IF($B420="Production",INDEX(tbl_Production[Expected Revenue Ex GST],$BI420),INDEX(tbl_Consulting[Expected Revenue Ex GST],$BI420)))="","",IF($B420="Onsite",INDEX(tbl_Onsite[Expected Revenue Ex GST],$BI420),IF($B420="Production",INDEX(tbl_Production[Expected Revenue Ex GST],$BI420),INDEX(tbl_Consulting[Expected Revenue Ex GST],$BI420)))))</f>
        <v/>
      </c>
      <c r="O420" s="11">
        <f>IF(AND($C420="",NOT(COUNTA($S420:$BB420)&gt;0)),"",SUM(U420,X420,AA420,AD420,AG420,AJ420,AM420,AP420,AS420,AV420,AY420,BB420))</f>
        <v/>
      </c>
      <c r="P420" s="11">
        <f>IF(O420="","",N(N420)-O420)</f>
        <v/>
      </c>
      <c r="Q420" s="10">
        <f>IF(O420="","",IF($C420="","Invoice on empty job row",IF(N420="",IF(ROUND(O420,2)=0,"No dept value","Invoiced - no dept value"),IF(ROUND(O420,2)=0,"Not invoiced - to invoice",IF(ROUND(P420,2)=0,"Agrees",IF(P420&gt;0,"Dept higher - to invoice","Xero higher - check dept"))))))</f>
        <v/>
      </c>
      <c r="R420" s="10">
        <f>IF(AND($C420="",NOT(COUNTA($S420:$BB420)&gt;0),$BI420&lt;&gt;""),"",MID(IF($BI420="","; Row ID not found on the department sheet - a row was deleted","")&amp;IF(AND($C420="",COUNTA($S420:$BB420)&gt;0),"; Invoice entered but the department row has no job number","")&amp;IF(E420="CHECK","; Job number not in the Xero job list","")&amp;IF(AND($C420&lt;&gt;"",COUNTIF($C$7:$C$1506,$C420)&gt;1),"; Job number on more than one row","")&amp;IF(AND($C420&lt;&gt;"",H420=""),"; Dept has not set a cost centre","")&amp;IF(AND($C420&lt;&gt;"",J420=""),"; Dept has not set a tax code","")&amp;IF(AND($C420&lt;&gt;"",N420=""),"; Dept has not entered an expected value","")&amp;IF((IF(OR(COUNTA(S420:U420)=0,AND(COUNTA(S420:U420)=3,ISNUMBER(U420))),0,1)+IF(OR(COUNTA(V420:X420)=0,AND(COUNTA(V420:X420)=3,ISNUMBER(X420))),0,1)+IF(OR(COUNTA(Y420:AA420)=0,AND(COUNTA(Y420:AA420)=3,ISNUMBER(AA420))),0,1)+IF(OR(COUNTA(AB420:AD420)=0,AND(COUNTA(AB420:AD420)=3,ISNUMBER(AD420))),0,1)+IF(OR(COUNTA(AE420:AG420)=0,AND(COUNTA(AE420:AG420)=3,ISNUMBER(AG420))),0,1)+IF(OR(COUNTA(AH420:AJ420)=0,AND(COUNTA(AH420:AJ420)=3,ISNUMBER(AJ420))),0,1)+IF(OR(COUNTA(AK420:AM420)=0,AND(COUNTA(AK420:AM420)=3,ISNUMBER(AM420))),0,1)+IF(OR(COUNTA(AN420:AP420)=0,AND(COUNTA(AN420:AP420)=3,ISNUMBER(AP420))),0,1)+IF(OR(COUNTA(AQ420:AS420)=0,AND(COUNTA(AQ420:AS420)=3,ISNUMBER(AS420))),0,1)+IF(OR(COUNTA(AT420:AV420)=0,AND(COUNTA(AT420:AV420)=3,ISNUMBER(AV420))),0,1)+IF(OR(COUNTA(AW420:AY420)=0,AND(COUNTA(AW420:AY420)=3,ISNUMBER(AY420))),0,1)+IF(OR(COUNTA(AZ420:BB420)=0,AND(COUNTA(AZ420:BB420)=3,ISNUMBER(BB420))),0,1))&gt;0,"; An invoice is incomplete (needs No, Date and a number in Ex GST)","")&amp;IF((IF(T420="",0,IFERROR(--(EOMONTH(T420,0)&lt;&gt;S$5),1))+IF(W420="",0,IFERROR(--(EOMONTH(W420,0)&lt;&gt;V$5),1))+IF(Z420="",0,IFERROR(--(EOMONTH(Z420,0)&lt;&gt;Y$5),1))+IF(AC420="",0,IFERROR(--(EOMONTH(AC420,0)&lt;&gt;AB$5),1))+IF(AF420="",0,IFERROR(--(EOMONTH(AF420,0)&lt;&gt;AE$5),1))+IF(AI420="",0,IFERROR(--(EOMONTH(AI420,0)&lt;&gt;AH$5),1))+IF(AL420="",0,IFERROR(--(EOMONTH(AL420,0)&lt;&gt;AK$5),1))+IF(AO420="",0,IFERROR(--(EOMONTH(AO420,0)&lt;&gt;AN$5),1))+IF(AR420="",0,IFERROR(--(EOMONTH(AR420,0)&lt;&gt;AQ$5),1))+IF(AU420="",0,IFERROR(--(EOMONTH(AU420,0)&lt;&gt;AT$5),1))+IF(AX420="",0,IFERROR(--(EOMONTH(AX420,0)&lt;&gt;AW$5),1))+IF(BA420="",0,IFERROR(--(EOMONTH(BA420,0)&lt;&gt;AZ$5),1)))&gt;0,"; An invoice date is not in the month it is typed under",""),3,500))</f>
        <v/>
      </c>
      <c r="S420" s="12" t="n"/>
      <c r="T420" s="13" t="n"/>
      <c r="U420" s="14" t="n"/>
      <c r="V420" s="12" t="n"/>
      <c r="W420" s="13" t="n"/>
      <c r="X420" s="14" t="n"/>
      <c r="Y420" s="12" t="n"/>
      <c r="Z420" s="13" t="n"/>
      <c r="AA420" s="14" t="n"/>
      <c r="AB420" s="12" t="n"/>
      <c r="AC420" s="13" t="n"/>
      <c r="AD420" s="14" t="n"/>
      <c r="AE420" s="12" t="n"/>
      <c r="AF420" s="13" t="n"/>
      <c r="AG420" s="14" t="n"/>
      <c r="AH420" s="12" t="n"/>
      <c r="AI420" s="13" t="n"/>
      <c r="AJ420" s="14" t="n"/>
      <c r="AK420" s="12" t="n"/>
      <c r="AL420" s="13" t="n"/>
      <c r="AM420" s="14" t="n"/>
      <c r="AN420" s="12" t="n"/>
      <c r="AO420" s="13" t="n"/>
      <c r="AP420" s="14" t="n"/>
      <c r="AQ420" s="12" t="n"/>
      <c r="AR420" s="13" t="n"/>
      <c r="AS420" s="14" t="n"/>
      <c r="AT420" s="12" t="n"/>
      <c r="AU420" s="13" t="n"/>
      <c r="AV420" s="14" t="n"/>
      <c r="AW420" s="12" t="n"/>
      <c r="AX420" s="13" t="n"/>
      <c r="AY420" s="14" t="n"/>
      <c r="AZ420" s="12" t="n"/>
      <c r="BA420" s="13" t="n"/>
      <c r="BB420" s="14" t="n"/>
      <c r="BC420" s="11">
        <f>IF(O420="","",IF(J420="GST 10%",ROUND(O420*set_GSTRate,2),0))</f>
        <v/>
      </c>
      <c r="BD420" s="11">
        <f>IF(O420="","",O420+BC420)</f>
        <v/>
      </c>
      <c r="BE420" s="15">
        <f>IF(O420="","",COUNTA(S420,V420,Y420,AB420,AE420,AH420,AK420,AN420,AQ420,AT420,AW420,AZ420))</f>
        <v/>
      </c>
      <c r="BF420" s="16">
        <f>IF(COUNT(T420,W420,Z420,AC420,AF420,AI420,AL420,AO420,AR420,AU420,AX420,BA420)=0,"",MAX(T420,W420,Z420,AC420,AF420,AI420,AL420,AO420,AR420,AU420,AX420,BA420))</f>
        <v/>
      </c>
      <c r="BG420" s="10">
        <f>MID(IF(S420="","",", "&amp;S420)&amp;IF(V420="","",", "&amp;V420)&amp;IF(Y420="","",", "&amp;Y420)&amp;IF(AB420="","",", "&amp;AB420)&amp;IF(AE420="","",", "&amp;AE420)&amp;IF(AH420="","",", "&amp;AH420)&amp;IF(AK420="","",", "&amp;AK420)&amp;IF(AN420="","",", "&amp;AN420)&amp;IF(AQ420="","",", "&amp;AQ420)&amp;IF(AT420="","",", "&amp;AT420)&amp;IF(AW420="","",", "&amp;AW420)&amp;IF(AZ420="","",", "&amp;AZ420),3,500)</f>
        <v/>
      </c>
      <c r="BH420" s="12" t="n"/>
      <c r="BI420" s="15">
        <f>IFERROR(MATCH($A420,IF($B420="Onsite",tbl_Onsite[Row ID],IF($B420="Production",tbl_Production[Row ID],tbl_Consulting[Row ID])),0),"")</f>
        <v/>
      </c>
    </row>
    <row r="421">
      <c r="A421" s="10" t="inlineStr">
        <is>
          <t>ONS-0415</t>
        </is>
      </c>
      <c r="B421" s="10" t="inlineStr">
        <is>
          <t>Onsite</t>
        </is>
      </c>
      <c r="C421" s="10">
        <f>IF($BI421="","",IF($B421="Onsite",INDEX(tbl_Onsite[Job Number],$BI421),IF($B421="Production",INDEX(tbl_Production[Job Number],$BI421),INDEX(tbl_Consulting[Job Number],$BI421)))&amp;"")</f>
        <v/>
      </c>
      <c r="D421" s="10">
        <f>IF($BI421="","",IF($B421="Onsite",INDEX(tbl_Onsite[Client],$BI421),IF($B421="Production",INDEX(tbl_Production[Client],$BI421),INDEX(tbl_Consulting[Client],$BI421)))&amp;"")</f>
        <v/>
      </c>
      <c r="E421" s="10">
        <f>IF($C421="","",IF(COUNTIF(lst_Jobs,$C421)&gt;0,"OK","CHECK"))</f>
        <v/>
      </c>
      <c r="F421" s="10">
        <f>IF($C421="","",IFERROR(INDEX(lst_JobName,MATCH($C421,lst_Jobs,0)),""))</f>
        <v/>
      </c>
      <c r="G421" s="10">
        <f>IF($BI421="","",IF($B421="Onsite",INDEX(tbl_Onsite[Job Description],$BI421),IF($B421="Production",INDEX(tbl_Production[Job Description],$BI421),INDEX(tbl_Consulting[Job Description],$BI421)))&amp;"")</f>
        <v/>
      </c>
      <c r="H421" s="10">
        <f>IF($BI421="","",IF($B421="Onsite",INDEX(tbl_Onsite[Cost Centre],$BI421),IF($B421="Production",INDEX(tbl_Production[Cost Centre],$BI421),INDEX(tbl_Consulting[Cost Centre],$BI421)))&amp;"")</f>
        <v/>
      </c>
      <c r="I421" s="10">
        <f>IF($BI421="","",IF($B421="Onsite",INDEX(tbl_Onsite[Invoice Type],$BI421),IF($B421="Production",INDEX(tbl_Production[Invoice Type],$BI421),INDEX(tbl_Consulting[Invoice Type],$BI421)))&amp;"")</f>
        <v/>
      </c>
      <c r="J421" s="10">
        <f>IF($BI421="","",IF($B421="Onsite",INDEX(tbl_Onsite[Tax Code],$BI421),IF($B421="Production",INDEX(tbl_Production[Tax Code],$BI421),INDEX(tbl_Consulting[Tax Code],$BI421)))&amp;"")</f>
        <v/>
      </c>
      <c r="K421" s="10">
        <f>IF(H421="","",IFERROR(INDEX(lst_CCtoGL,MATCH(H421,lst_CCforGL,0)),""))</f>
        <v/>
      </c>
      <c r="L421" s="10">
        <f>IF($BI421="","",IF($B421="Onsite",INDEX(tbl_Onsite[PO / Reference],$BI421),IF($B421="Production",INDEX(tbl_Production[Current RMS No],$BI421),INDEX(tbl_Consulting[Qwilr Quote],$BI421)))&amp;"")</f>
        <v/>
      </c>
      <c r="M421" s="10">
        <f>IF($BI421="","",IF($B421="Onsite",INDEX(tbl_Onsite[Notes],$BI421),IF($B421="Production",INDEX(tbl_Production[Notes],$BI421),INDEX(tbl_Consulting[Notes],$BI421)))&amp;"")</f>
        <v/>
      </c>
      <c r="N421" s="11">
        <f>IF($BI421="","",IF(IF($B421="Onsite",INDEX(tbl_Onsite[Expected Revenue Ex GST],$BI421),IF($B421="Production",INDEX(tbl_Production[Expected Revenue Ex GST],$BI421),INDEX(tbl_Consulting[Expected Revenue Ex GST],$BI421)))="","",IF($B421="Onsite",INDEX(tbl_Onsite[Expected Revenue Ex GST],$BI421),IF($B421="Production",INDEX(tbl_Production[Expected Revenue Ex GST],$BI421),INDEX(tbl_Consulting[Expected Revenue Ex GST],$BI421)))))</f>
        <v/>
      </c>
      <c r="O421" s="11">
        <f>IF(AND($C421="",NOT(COUNTA($S421:$BB421)&gt;0)),"",SUM(U421,X421,AA421,AD421,AG421,AJ421,AM421,AP421,AS421,AV421,AY421,BB421))</f>
        <v/>
      </c>
      <c r="P421" s="11">
        <f>IF(O421="","",N(N421)-O421)</f>
        <v/>
      </c>
      <c r="Q421" s="10">
        <f>IF(O421="","",IF($C421="","Invoice on empty job row",IF(N421="",IF(ROUND(O421,2)=0,"No dept value","Invoiced - no dept value"),IF(ROUND(O421,2)=0,"Not invoiced - to invoice",IF(ROUND(P421,2)=0,"Agrees",IF(P421&gt;0,"Dept higher - to invoice","Xero higher - check dept"))))))</f>
        <v/>
      </c>
      <c r="R421" s="10">
        <f>IF(AND($C421="",NOT(COUNTA($S421:$BB421)&gt;0),$BI421&lt;&gt;""),"",MID(IF($BI421="","; Row ID not found on the department sheet - a row was deleted","")&amp;IF(AND($C421="",COUNTA($S421:$BB421)&gt;0),"; Invoice entered but the department row has no job number","")&amp;IF(E421="CHECK","; Job number not in the Xero job list","")&amp;IF(AND($C421&lt;&gt;"",COUNTIF($C$7:$C$1506,$C421)&gt;1),"; Job number on more than one row","")&amp;IF(AND($C421&lt;&gt;"",H421=""),"; Dept has not set a cost centre","")&amp;IF(AND($C421&lt;&gt;"",J421=""),"; Dept has not set a tax code","")&amp;IF(AND($C421&lt;&gt;"",N421=""),"; Dept has not entered an expected value","")&amp;IF((IF(OR(COUNTA(S421:U421)=0,AND(COUNTA(S421:U421)=3,ISNUMBER(U421))),0,1)+IF(OR(COUNTA(V421:X421)=0,AND(COUNTA(V421:X421)=3,ISNUMBER(X421))),0,1)+IF(OR(COUNTA(Y421:AA421)=0,AND(COUNTA(Y421:AA421)=3,ISNUMBER(AA421))),0,1)+IF(OR(COUNTA(AB421:AD421)=0,AND(COUNTA(AB421:AD421)=3,ISNUMBER(AD421))),0,1)+IF(OR(COUNTA(AE421:AG421)=0,AND(COUNTA(AE421:AG421)=3,ISNUMBER(AG421))),0,1)+IF(OR(COUNTA(AH421:AJ421)=0,AND(COUNTA(AH421:AJ421)=3,ISNUMBER(AJ421))),0,1)+IF(OR(COUNTA(AK421:AM421)=0,AND(COUNTA(AK421:AM421)=3,ISNUMBER(AM421))),0,1)+IF(OR(COUNTA(AN421:AP421)=0,AND(COUNTA(AN421:AP421)=3,ISNUMBER(AP421))),0,1)+IF(OR(COUNTA(AQ421:AS421)=0,AND(COUNTA(AQ421:AS421)=3,ISNUMBER(AS421))),0,1)+IF(OR(COUNTA(AT421:AV421)=0,AND(COUNTA(AT421:AV421)=3,ISNUMBER(AV421))),0,1)+IF(OR(COUNTA(AW421:AY421)=0,AND(COUNTA(AW421:AY421)=3,ISNUMBER(AY421))),0,1)+IF(OR(COUNTA(AZ421:BB421)=0,AND(COUNTA(AZ421:BB421)=3,ISNUMBER(BB421))),0,1))&gt;0,"; An invoice is incomplete (needs No, Date and a number in Ex GST)","")&amp;IF((IF(T421="",0,IFERROR(--(EOMONTH(T421,0)&lt;&gt;S$5),1))+IF(W421="",0,IFERROR(--(EOMONTH(W421,0)&lt;&gt;V$5),1))+IF(Z421="",0,IFERROR(--(EOMONTH(Z421,0)&lt;&gt;Y$5),1))+IF(AC421="",0,IFERROR(--(EOMONTH(AC421,0)&lt;&gt;AB$5),1))+IF(AF421="",0,IFERROR(--(EOMONTH(AF421,0)&lt;&gt;AE$5),1))+IF(AI421="",0,IFERROR(--(EOMONTH(AI421,0)&lt;&gt;AH$5),1))+IF(AL421="",0,IFERROR(--(EOMONTH(AL421,0)&lt;&gt;AK$5),1))+IF(AO421="",0,IFERROR(--(EOMONTH(AO421,0)&lt;&gt;AN$5),1))+IF(AR421="",0,IFERROR(--(EOMONTH(AR421,0)&lt;&gt;AQ$5),1))+IF(AU421="",0,IFERROR(--(EOMONTH(AU421,0)&lt;&gt;AT$5),1))+IF(AX421="",0,IFERROR(--(EOMONTH(AX421,0)&lt;&gt;AW$5),1))+IF(BA421="",0,IFERROR(--(EOMONTH(BA421,0)&lt;&gt;AZ$5),1)))&gt;0,"; An invoice date is not in the month it is typed under",""),3,500))</f>
        <v/>
      </c>
      <c r="S421" s="12" t="n"/>
      <c r="T421" s="13" t="n"/>
      <c r="U421" s="14" t="n"/>
      <c r="V421" s="12" t="n"/>
      <c r="W421" s="13" t="n"/>
      <c r="X421" s="14" t="n"/>
      <c r="Y421" s="12" t="n"/>
      <c r="Z421" s="13" t="n"/>
      <c r="AA421" s="14" t="n"/>
      <c r="AB421" s="12" t="n"/>
      <c r="AC421" s="13" t="n"/>
      <c r="AD421" s="14" t="n"/>
      <c r="AE421" s="12" t="n"/>
      <c r="AF421" s="13" t="n"/>
      <c r="AG421" s="14" t="n"/>
      <c r="AH421" s="12" t="n"/>
      <c r="AI421" s="13" t="n"/>
      <c r="AJ421" s="14" t="n"/>
      <c r="AK421" s="12" t="n"/>
      <c r="AL421" s="13" t="n"/>
      <c r="AM421" s="14" t="n"/>
      <c r="AN421" s="12" t="n"/>
      <c r="AO421" s="13" t="n"/>
      <c r="AP421" s="14" t="n"/>
      <c r="AQ421" s="12" t="n"/>
      <c r="AR421" s="13" t="n"/>
      <c r="AS421" s="14" t="n"/>
      <c r="AT421" s="12" t="n"/>
      <c r="AU421" s="13" t="n"/>
      <c r="AV421" s="14" t="n"/>
      <c r="AW421" s="12" t="n"/>
      <c r="AX421" s="13" t="n"/>
      <c r="AY421" s="14" t="n"/>
      <c r="AZ421" s="12" t="n"/>
      <c r="BA421" s="13" t="n"/>
      <c r="BB421" s="14" t="n"/>
      <c r="BC421" s="11">
        <f>IF(O421="","",IF(J421="GST 10%",ROUND(O421*set_GSTRate,2),0))</f>
        <v/>
      </c>
      <c r="BD421" s="11">
        <f>IF(O421="","",O421+BC421)</f>
        <v/>
      </c>
      <c r="BE421" s="15">
        <f>IF(O421="","",COUNTA(S421,V421,Y421,AB421,AE421,AH421,AK421,AN421,AQ421,AT421,AW421,AZ421))</f>
        <v/>
      </c>
      <c r="BF421" s="16">
        <f>IF(COUNT(T421,W421,Z421,AC421,AF421,AI421,AL421,AO421,AR421,AU421,AX421,BA421)=0,"",MAX(T421,W421,Z421,AC421,AF421,AI421,AL421,AO421,AR421,AU421,AX421,BA421))</f>
        <v/>
      </c>
      <c r="BG421" s="10">
        <f>MID(IF(S421="","",", "&amp;S421)&amp;IF(V421="","",", "&amp;V421)&amp;IF(Y421="","",", "&amp;Y421)&amp;IF(AB421="","",", "&amp;AB421)&amp;IF(AE421="","",", "&amp;AE421)&amp;IF(AH421="","",", "&amp;AH421)&amp;IF(AK421="","",", "&amp;AK421)&amp;IF(AN421="","",", "&amp;AN421)&amp;IF(AQ421="","",", "&amp;AQ421)&amp;IF(AT421="","",", "&amp;AT421)&amp;IF(AW421="","",", "&amp;AW421)&amp;IF(AZ421="","",", "&amp;AZ421),3,500)</f>
        <v/>
      </c>
      <c r="BH421" s="12" t="n"/>
      <c r="BI421" s="15">
        <f>IFERROR(MATCH($A421,IF($B421="Onsite",tbl_Onsite[Row ID],IF($B421="Production",tbl_Production[Row ID],tbl_Consulting[Row ID])),0),"")</f>
        <v/>
      </c>
    </row>
    <row r="422">
      <c r="A422" s="10" t="inlineStr">
        <is>
          <t>ONS-0416</t>
        </is>
      </c>
      <c r="B422" s="10" t="inlineStr">
        <is>
          <t>Onsite</t>
        </is>
      </c>
      <c r="C422" s="10">
        <f>IF($BI422="","",IF($B422="Onsite",INDEX(tbl_Onsite[Job Number],$BI422),IF($B422="Production",INDEX(tbl_Production[Job Number],$BI422),INDEX(tbl_Consulting[Job Number],$BI422)))&amp;"")</f>
        <v/>
      </c>
      <c r="D422" s="10">
        <f>IF($BI422="","",IF($B422="Onsite",INDEX(tbl_Onsite[Client],$BI422),IF($B422="Production",INDEX(tbl_Production[Client],$BI422),INDEX(tbl_Consulting[Client],$BI422)))&amp;"")</f>
        <v/>
      </c>
      <c r="E422" s="10">
        <f>IF($C422="","",IF(COUNTIF(lst_Jobs,$C422)&gt;0,"OK","CHECK"))</f>
        <v/>
      </c>
      <c r="F422" s="10">
        <f>IF($C422="","",IFERROR(INDEX(lst_JobName,MATCH($C422,lst_Jobs,0)),""))</f>
        <v/>
      </c>
      <c r="G422" s="10">
        <f>IF($BI422="","",IF($B422="Onsite",INDEX(tbl_Onsite[Job Description],$BI422),IF($B422="Production",INDEX(tbl_Production[Job Description],$BI422),INDEX(tbl_Consulting[Job Description],$BI422)))&amp;"")</f>
        <v/>
      </c>
      <c r="H422" s="10">
        <f>IF($BI422="","",IF($B422="Onsite",INDEX(tbl_Onsite[Cost Centre],$BI422),IF($B422="Production",INDEX(tbl_Production[Cost Centre],$BI422),INDEX(tbl_Consulting[Cost Centre],$BI422)))&amp;"")</f>
        <v/>
      </c>
      <c r="I422" s="10">
        <f>IF($BI422="","",IF($B422="Onsite",INDEX(tbl_Onsite[Invoice Type],$BI422),IF($B422="Production",INDEX(tbl_Production[Invoice Type],$BI422),INDEX(tbl_Consulting[Invoice Type],$BI422)))&amp;"")</f>
        <v/>
      </c>
      <c r="J422" s="10">
        <f>IF($BI422="","",IF($B422="Onsite",INDEX(tbl_Onsite[Tax Code],$BI422),IF($B422="Production",INDEX(tbl_Production[Tax Code],$BI422),INDEX(tbl_Consulting[Tax Code],$BI422)))&amp;"")</f>
        <v/>
      </c>
      <c r="K422" s="10">
        <f>IF(H422="","",IFERROR(INDEX(lst_CCtoGL,MATCH(H422,lst_CCforGL,0)),""))</f>
        <v/>
      </c>
      <c r="L422" s="10">
        <f>IF($BI422="","",IF($B422="Onsite",INDEX(tbl_Onsite[PO / Reference],$BI422),IF($B422="Production",INDEX(tbl_Production[Current RMS No],$BI422),INDEX(tbl_Consulting[Qwilr Quote],$BI422)))&amp;"")</f>
        <v/>
      </c>
      <c r="M422" s="10">
        <f>IF($BI422="","",IF($B422="Onsite",INDEX(tbl_Onsite[Notes],$BI422),IF($B422="Production",INDEX(tbl_Production[Notes],$BI422),INDEX(tbl_Consulting[Notes],$BI422)))&amp;"")</f>
        <v/>
      </c>
      <c r="N422" s="11">
        <f>IF($BI422="","",IF(IF($B422="Onsite",INDEX(tbl_Onsite[Expected Revenue Ex GST],$BI422),IF($B422="Production",INDEX(tbl_Production[Expected Revenue Ex GST],$BI422),INDEX(tbl_Consulting[Expected Revenue Ex GST],$BI422)))="","",IF($B422="Onsite",INDEX(tbl_Onsite[Expected Revenue Ex GST],$BI422),IF($B422="Production",INDEX(tbl_Production[Expected Revenue Ex GST],$BI422),INDEX(tbl_Consulting[Expected Revenue Ex GST],$BI422)))))</f>
        <v/>
      </c>
      <c r="O422" s="11">
        <f>IF(AND($C422="",NOT(COUNTA($S422:$BB422)&gt;0)),"",SUM(U422,X422,AA422,AD422,AG422,AJ422,AM422,AP422,AS422,AV422,AY422,BB422))</f>
        <v/>
      </c>
      <c r="P422" s="11">
        <f>IF(O422="","",N(N422)-O422)</f>
        <v/>
      </c>
      <c r="Q422" s="10">
        <f>IF(O422="","",IF($C422="","Invoice on empty job row",IF(N422="",IF(ROUND(O422,2)=0,"No dept value","Invoiced - no dept value"),IF(ROUND(O422,2)=0,"Not invoiced - to invoice",IF(ROUND(P422,2)=0,"Agrees",IF(P422&gt;0,"Dept higher - to invoice","Xero higher - check dept"))))))</f>
        <v/>
      </c>
      <c r="R422" s="10">
        <f>IF(AND($C422="",NOT(COUNTA($S422:$BB422)&gt;0),$BI422&lt;&gt;""),"",MID(IF($BI422="","; Row ID not found on the department sheet - a row was deleted","")&amp;IF(AND($C422="",COUNTA($S422:$BB422)&gt;0),"; Invoice entered but the department row has no job number","")&amp;IF(E422="CHECK","; Job number not in the Xero job list","")&amp;IF(AND($C422&lt;&gt;"",COUNTIF($C$7:$C$1506,$C422)&gt;1),"; Job number on more than one row","")&amp;IF(AND($C422&lt;&gt;"",H422=""),"; Dept has not set a cost centre","")&amp;IF(AND($C422&lt;&gt;"",J422=""),"; Dept has not set a tax code","")&amp;IF(AND($C422&lt;&gt;"",N422=""),"; Dept has not entered an expected value","")&amp;IF((IF(OR(COUNTA(S422:U422)=0,AND(COUNTA(S422:U422)=3,ISNUMBER(U422))),0,1)+IF(OR(COUNTA(V422:X422)=0,AND(COUNTA(V422:X422)=3,ISNUMBER(X422))),0,1)+IF(OR(COUNTA(Y422:AA422)=0,AND(COUNTA(Y422:AA422)=3,ISNUMBER(AA422))),0,1)+IF(OR(COUNTA(AB422:AD422)=0,AND(COUNTA(AB422:AD422)=3,ISNUMBER(AD422))),0,1)+IF(OR(COUNTA(AE422:AG422)=0,AND(COUNTA(AE422:AG422)=3,ISNUMBER(AG422))),0,1)+IF(OR(COUNTA(AH422:AJ422)=0,AND(COUNTA(AH422:AJ422)=3,ISNUMBER(AJ422))),0,1)+IF(OR(COUNTA(AK422:AM422)=0,AND(COUNTA(AK422:AM422)=3,ISNUMBER(AM422))),0,1)+IF(OR(COUNTA(AN422:AP422)=0,AND(COUNTA(AN422:AP422)=3,ISNUMBER(AP422))),0,1)+IF(OR(COUNTA(AQ422:AS422)=0,AND(COUNTA(AQ422:AS422)=3,ISNUMBER(AS422))),0,1)+IF(OR(COUNTA(AT422:AV422)=0,AND(COUNTA(AT422:AV422)=3,ISNUMBER(AV422))),0,1)+IF(OR(COUNTA(AW422:AY422)=0,AND(COUNTA(AW422:AY422)=3,ISNUMBER(AY422))),0,1)+IF(OR(COUNTA(AZ422:BB422)=0,AND(COUNTA(AZ422:BB422)=3,ISNUMBER(BB422))),0,1))&gt;0,"; An invoice is incomplete (needs No, Date and a number in Ex GST)","")&amp;IF((IF(T422="",0,IFERROR(--(EOMONTH(T422,0)&lt;&gt;S$5),1))+IF(W422="",0,IFERROR(--(EOMONTH(W422,0)&lt;&gt;V$5),1))+IF(Z422="",0,IFERROR(--(EOMONTH(Z422,0)&lt;&gt;Y$5),1))+IF(AC422="",0,IFERROR(--(EOMONTH(AC422,0)&lt;&gt;AB$5),1))+IF(AF422="",0,IFERROR(--(EOMONTH(AF422,0)&lt;&gt;AE$5),1))+IF(AI422="",0,IFERROR(--(EOMONTH(AI422,0)&lt;&gt;AH$5),1))+IF(AL422="",0,IFERROR(--(EOMONTH(AL422,0)&lt;&gt;AK$5),1))+IF(AO422="",0,IFERROR(--(EOMONTH(AO422,0)&lt;&gt;AN$5),1))+IF(AR422="",0,IFERROR(--(EOMONTH(AR422,0)&lt;&gt;AQ$5),1))+IF(AU422="",0,IFERROR(--(EOMONTH(AU422,0)&lt;&gt;AT$5),1))+IF(AX422="",0,IFERROR(--(EOMONTH(AX422,0)&lt;&gt;AW$5),1))+IF(BA422="",0,IFERROR(--(EOMONTH(BA422,0)&lt;&gt;AZ$5),1)))&gt;0,"; An invoice date is not in the month it is typed under",""),3,500))</f>
        <v/>
      </c>
      <c r="S422" s="12" t="n"/>
      <c r="T422" s="13" t="n"/>
      <c r="U422" s="14" t="n"/>
      <c r="V422" s="12" t="n"/>
      <c r="W422" s="13" t="n"/>
      <c r="X422" s="14" t="n"/>
      <c r="Y422" s="12" t="n"/>
      <c r="Z422" s="13" t="n"/>
      <c r="AA422" s="14" t="n"/>
      <c r="AB422" s="12" t="n"/>
      <c r="AC422" s="13" t="n"/>
      <c r="AD422" s="14" t="n"/>
      <c r="AE422" s="12" t="n"/>
      <c r="AF422" s="13" t="n"/>
      <c r="AG422" s="14" t="n"/>
      <c r="AH422" s="12" t="n"/>
      <c r="AI422" s="13" t="n"/>
      <c r="AJ422" s="14" t="n"/>
      <c r="AK422" s="12" t="n"/>
      <c r="AL422" s="13" t="n"/>
      <c r="AM422" s="14" t="n"/>
      <c r="AN422" s="12" t="n"/>
      <c r="AO422" s="13" t="n"/>
      <c r="AP422" s="14" t="n"/>
      <c r="AQ422" s="12" t="n"/>
      <c r="AR422" s="13" t="n"/>
      <c r="AS422" s="14" t="n"/>
      <c r="AT422" s="12" t="n"/>
      <c r="AU422" s="13" t="n"/>
      <c r="AV422" s="14" t="n"/>
      <c r="AW422" s="12" t="n"/>
      <c r="AX422" s="13" t="n"/>
      <c r="AY422" s="14" t="n"/>
      <c r="AZ422" s="12" t="n"/>
      <c r="BA422" s="13" t="n"/>
      <c r="BB422" s="14" t="n"/>
      <c r="BC422" s="11">
        <f>IF(O422="","",IF(J422="GST 10%",ROUND(O422*set_GSTRate,2),0))</f>
        <v/>
      </c>
      <c r="BD422" s="11">
        <f>IF(O422="","",O422+BC422)</f>
        <v/>
      </c>
      <c r="BE422" s="15">
        <f>IF(O422="","",COUNTA(S422,V422,Y422,AB422,AE422,AH422,AK422,AN422,AQ422,AT422,AW422,AZ422))</f>
        <v/>
      </c>
      <c r="BF422" s="16">
        <f>IF(COUNT(T422,W422,Z422,AC422,AF422,AI422,AL422,AO422,AR422,AU422,AX422,BA422)=0,"",MAX(T422,W422,Z422,AC422,AF422,AI422,AL422,AO422,AR422,AU422,AX422,BA422))</f>
        <v/>
      </c>
      <c r="BG422" s="10">
        <f>MID(IF(S422="","",", "&amp;S422)&amp;IF(V422="","",", "&amp;V422)&amp;IF(Y422="","",", "&amp;Y422)&amp;IF(AB422="","",", "&amp;AB422)&amp;IF(AE422="","",", "&amp;AE422)&amp;IF(AH422="","",", "&amp;AH422)&amp;IF(AK422="","",", "&amp;AK422)&amp;IF(AN422="","",", "&amp;AN422)&amp;IF(AQ422="","",", "&amp;AQ422)&amp;IF(AT422="","",", "&amp;AT422)&amp;IF(AW422="","",", "&amp;AW422)&amp;IF(AZ422="","",", "&amp;AZ422),3,500)</f>
        <v/>
      </c>
      <c r="BH422" s="12" t="n"/>
      <c r="BI422" s="15">
        <f>IFERROR(MATCH($A422,IF($B422="Onsite",tbl_Onsite[Row ID],IF($B422="Production",tbl_Production[Row ID],tbl_Consulting[Row ID])),0),"")</f>
        <v/>
      </c>
    </row>
    <row r="423">
      <c r="A423" s="10" t="inlineStr">
        <is>
          <t>ONS-0417</t>
        </is>
      </c>
      <c r="B423" s="10" t="inlineStr">
        <is>
          <t>Onsite</t>
        </is>
      </c>
      <c r="C423" s="10">
        <f>IF($BI423="","",IF($B423="Onsite",INDEX(tbl_Onsite[Job Number],$BI423),IF($B423="Production",INDEX(tbl_Production[Job Number],$BI423),INDEX(tbl_Consulting[Job Number],$BI423)))&amp;"")</f>
        <v/>
      </c>
      <c r="D423" s="10">
        <f>IF($BI423="","",IF($B423="Onsite",INDEX(tbl_Onsite[Client],$BI423),IF($B423="Production",INDEX(tbl_Production[Client],$BI423),INDEX(tbl_Consulting[Client],$BI423)))&amp;"")</f>
        <v/>
      </c>
      <c r="E423" s="10">
        <f>IF($C423="","",IF(COUNTIF(lst_Jobs,$C423)&gt;0,"OK","CHECK"))</f>
        <v/>
      </c>
      <c r="F423" s="10">
        <f>IF($C423="","",IFERROR(INDEX(lst_JobName,MATCH($C423,lst_Jobs,0)),""))</f>
        <v/>
      </c>
      <c r="G423" s="10">
        <f>IF($BI423="","",IF($B423="Onsite",INDEX(tbl_Onsite[Job Description],$BI423),IF($B423="Production",INDEX(tbl_Production[Job Description],$BI423),INDEX(tbl_Consulting[Job Description],$BI423)))&amp;"")</f>
        <v/>
      </c>
      <c r="H423" s="10">
        <f>IF($BI423="","",IF($B423="Onsite",INDEX(tbl_Onsite[Cost Centre],$BI423),IF($B423="Production",INDEX(tbl_Production[Cost Centre],$BI423),INDEX(tbl_Consulting[Cost Centre],$BI423)))&amp;"")</f>
        <v/>
      </c>
      <c r="I423" s="10">
        <f>IF($BI423="","",IF($B423="Onsite",INDEX(tbl_Onsite[Invoice Type],$BI423),IF($B423="Production",INDEX(tbl_Production[Invoice Type],$BI423),INDEX(tbl_Consulting[Invoice Type],$BI423)))&amp;"")</f>
        <v/>
      </c>
      <c r="J423" s="10">
        <f>IF($BI423="","",IF($B423="Onsite",INDEX(tbl_Onsite[Tax Code],$BI423),IF($B423="Production",INDEX(tbl_Production[Tax Code],$BI423),INDEX(tbl_Consulting[Tax Code],$BI423)))&amp;"")</f>
        <v/>
      </c>
      <c r="K423" s="10">
        <f>IF(H423="","",IFERROR(INDEX(lst_CCtoGL,MATCH(H423,lst_CCforGL,0)),""))</f>
        <v/>
      </c>
      <c r="L423" s="10">
        <f>IF($BI423="","",IF($B423="Onsite",INDEX(tbl_Onsite[PO / Reference],$BI423),IF($B423="Production",INDEX(tbl_Production[Current RMS No],$BI423),INDEX(tbl_Consulting[Qwilr Quote],$BI423)))&amp;"")</f>
        <v/>
      </c>
      <c r="M423" s="10">
        <f>IF($BI423="","",IF($B423="Onsite",INDEX(tbl_Onsite[Notes],$BI423),IF($B423="Production",INDEX(tbl_Production[Notes],$BI423),INDEX(tbl_Consulting[Notes],$BI423)))&amp;"")</f>
        <v/>
      </c>
      <c r="N423" s="11">
        <f>IF($BI423="","",IF(IF($B423="Onsite",INDEX(tbl_Onsite[Expected Revenue Ex GST],$BI423),IF($B423="Production",INDEX(tbl_Production[Expected Revenue Ex GST],$BI423),INDEX(tbl_Consulting[Expected Revenue Ex GST],$BI423)))="","",IF($B423="Onsite",INDEX(tbl_Onsite[Expected Revenue Ex GST],$BI423),IF($B423="Production",INDEX(tbl_Production[Expected Revenue Ex GST],$BI423),INDEX(tbl_Consulting[Expected Revenue Ex GST],$BI423)))))</f>
        <v/>
      </c>
      <c r="O423" s="11">
        <f>IF(AND($C423="",NOT(COUNTA($S423:$BB423)&gt;0)),"",SUM(U423,X423,AA423,AD423,AG423,AJ423,AM423,AP423,AS423,AV423,AY423,BB423))</f>
        <v/>
      </c>
      <c r="P423" s="11">
        <f>IF(O423="","",N(N423)-O423)</f>
        <v/>
      </c>
      <c r="Q423" s="10">
        <f>IF(O423="","",IF($C423="","Invoice on empty job row",IF(N423="",IF(ROUND(O423,2)=0,"No dept value","Invoiced - no dept value"),IF(ROUND(O423,2)=0,"Not invoiced - to invoice",IF(ROUND(P423,2)=0,"Agrees",IF(P423&gt;0,"Dept higher - to invoice","Xero higher - check dept"))))))</f>
        <v/>
      </c>
      <c r="R423" s="10">
        <f>IF(AND($C423="",NOT(COUNTA($S423:$BB423)&gt;0),$BI423&lt;&gt;""),"",MID(IF($BI423="","; Row ID not found on the department sheet - a row was deleted","")&amp;IF(AND($C423="",COUNTA($S423:$BB423)&gt;0),"; Invoice entered but the department row has no job number","")&amp;IF(E423="CHECK","; Job number not in the Xero job list","")&amp;IF(AND($C423&lt;&gt;"",COUNTIF($C$7:$C$1506,$C423)&gt;1),"; Job number on more than one row","")&amp;IF(AND($C423&lt;&gt;"",H423=""),"; Dept has not set a cost centre","")&amp;IF(AND($C423&lt;&gt;"",J423=""),"; Dept has not set a tax code","")&amp;IF(AND($C423&lt;&gt;"",N423=""),"; Dept has not entered an expected value","")&amp;IF((IF(OR(COUNTA(S423:U423)=0,AND(COUNTA(S423:U423)=3,ISNUMBER(U423))),0,1)+IF(OR(COUNTA(V423:X423)=0,AND(COUNTA(V423:X423)=3,ISNUMBER(X423))),0,1)+IF(OR(COUNTA(Y423:AA423)=0,AND(COUNTA(Y423:AA423)=3,ISNUMBER(AA423))),0,1)+IF(OR(COUNTA(AB423:AD423)=0,AND(COUNTA(AB423:AD423)=3,ISNUMBER(AD423))),0,1)+IF(OR(COUNTA(AE423:AG423)=0,AND(COUNTA(AE423:AG423)=3,ISNUMBER(AG423))),0,1)+IF(OR(COUNTA(AH423:AJ423)=0,AND(COUNTA(AH423:AJ423)=3,ISNUMBER(AJ423))),0,1)+IF(OR(COUNTA(AK423:AM423)=0,AND(COUNTA(AK423:AM423)=3,ISNUMBER(AM423))),0,1)+IF(OR(COUNTA(AN423:AP423)=0,AND(COUNTA(AN423:AP423)=3,ISNUMBER(AP423))),0,1)+IF(OR(COUNTA(AQ423:AS423)=0,AND(COUNTA(AQ423:AS423)=3,ISNUMBER(AS423))),0,1)+IF(OR(COUNTA(AT423:AV423)=0,AND(COUNTA(AT423:AV423)=3,ISNUMBER(AV423))),0,1)+IF(OR(COUNTA(AW423:AY423)=0,AND(COUNTA(AW423:AY423)=3,ISNUMBER(AY423))),0,1)+IF(OR(COUNTA(AZ423:BB423)=0,AND(COUNTA(AZ423:BB423)=3,ISNUMBER(BB423))),0,1))&gt;0,"; An invoice is incomplete (needs No, Date and a number in Ex GST)","")&amp;IF((IF(T423="",0,IFERROR(--(EOMONTH(T423,0)&lt;&gt;S$5),1))+IF(W423="",0,IFERROR(--(EOMONTH(W423,0)&lt;&gt;V$5),1))+IF(Z423="",0,IFERROR(--(EOMONTH(Z423,0)&lt;&gt;Y$5),1))+IF(AC423="",0,IFERROR(--(EOMONTH(AC423,0)&lt;&gt;AB$5),1))+IF(AF423="",0,IFERROR(--(EOMONTH(AF423,0)&lt;&gt;AE$5),1))+IF(AI423="",0,IFERROR(--(EOMONTH(AI423,0)&lt;&gt;AH$5),1))+IF(AL423="",0,IFERROR(--(EOMONTH(AL423,0)&lt;&gt;AK$5),1))+IF(AO423="",0,IFERROR(--(EOMONTH(AO423,0)&lt;&gt;AN$5),1))+IF(AR423="",0,IFERROR(--(EOMONTH(AR423,0)&lt;&gt;AQ$5),1))+IF(AU423="",0,IFERROR(--(EOMONTH(AU423,0)&lt;&gt;AT$5),1))+IF(AX423="",0,IFERROR(--(EOMONTH(AX423,0)&lt;&gt;AW$5),1))+IF(BA423="",0,IFERROR(--(EOMONTH(BA423,0)&lt;&gt;AZ$5),1)))&gt;0,"; An invoice date is not in the month it is typed under",""),3,500))</f>
        <v/>
      </c>
      <c r="S423" s="12" t="n"/>
      <c r="T423" s="13" t="n"/>
      <c r="U423" s="14" t="n"/>
      <c r="V423" s="12" t="n"/>
      <c r="W423" s="13" t="n"/>
      <c r="X423" s="14" t="n"/>
      <c r="Y423" s="12" t="n"/>
      <c r="Z423" s="13" t="n"/>
      <c r="AA423" s="14" t="n"/>
      <c r="AB423" s="12" t="n"/>
      <c r="AC423" s="13" t="n"/>
      <c r="AD423" s="14" t="n"/>
      <c r="AE423" s="12" t="n"/>
      <c r="AF423" s="13" t="n"/>
      <c r="AG423" s="14" t="n"/>
      <c r="AH423" s="12" t="n"/>
      <c r="AI423" s="13" t="n"/>
      <c r="AJ423" s="14" t="n"/>
      <c r="AK423" s="12" t="n"/>
      <c r="AL423" s="13" t="n"/>
      <c r="AM423" s="14" t="n"/>
      <c r="AN423" s="12" t="n"/>
      <c r="AO423" s="13" t="n"/>
      <c r="AP423" s="14" t="n"/>
      <c r="AQ423" s="12" t="n"/>
      <c r="AR423" s="13" t="n"/>
      <c r="AS423" s="14" t="n"/>
      <c r="AT423" s="12" t="n"/>
      <c r="AU423" s="13" t="n"/>
      <c r="AV423" s="14" t="n"/>
      <c r="AW423" s="12" t="n"/>
      <c r="AX423" s="13" t="n"/>
      <c r="AY423" s="14" t="n"/>
      <c r="AZ423" s="12" t="n"/>
      <c r="BA423" s="13" t="n"/>
      <c r="BB423" s="14" t="n"/>
      <c r="BC423" s="11">
        <f>IF(O423="","",IF(J423="GST 10%",ROUND(O423*set_GSTRate,2),0))</f>
        <v/>
      </c>
      <c r="BD423" s="11">
        <f>IF(O423="","",O423+BC423)</f>
        <v/>
      </c>
      <c r="BE423" s="15">
        <f>IF(O423="","",COUNTA(S423,V423,Y423,AB423,AE423,AH423,AK423,AN423,AQ423,AT423,AW423,AZ423))</f>
        <v/>
      </c>
      <c r="BF423" s="16">
        <f>IF(COUNT(T423,W423,Z423,AC423,AF423,AI423,AL423,AO423,AR423,AU423,AX423,BA423)=0,"",MAX(T423,W423,Z423,AC423,AF423,AI423,AL423,AO423,AR423,AU423,AX423,BA423))</f>
        <v/>
      </c>
      <c r="BG423" s="10">
        <f>MID(IF(S423="","",", "&amp;S423)&amp;IF(V423="","",", "&amp;V423)&amp;IF(Y423="","",", "&amp;Y423)&amp;IF(AB423="","",", "&amp;AB423)&amp;IF(AE423="","",", "&amp;AE423)&amp;IF(AH423="","",", "&amp;AH423)&amp;IF(AK423="","",", "&amp;AK423)&amp;IF(AN423="","",", "&amp;AN423)&amp;IF(AQ423="","",", "&amp;AQ423)&amp;IF(AT423="","",", "&amp;AT423)&amp;IF(AW423="","",", "&amp;AW423)&amp;IF(AZ423="","",", "&amp;AZ423),3,500)</f>
        <v/>
      </c>
      <c r="BH423" s="12" t="n"/>
      <c r="BI423" s="15">
        <f>IFERROR(MATCH($A423,IF($B423="Onsite",tbl_Onsite[Row ID],IF($B423="Production",tbl_Production[Row ID],tbl_Consulting[Row ID])),0),"")</f>
        <v/>
      </c>
    </row>
    <row r="424">
      <c r="A424" s="10" t="inlineStr">
        <is>
          <t>ONS-0418</t>
        </is>
      </c>
      <c r="B424" s="10" t="inlineStr">
        <is>
          <t>Onsite</t>
        </is>
      </c>
      <c r="C424" s="10">
        <f>IF($BI424="","",IF($B424="Onsite",INDEX(tbl_Onsite[Job Number],$BI424),IF($B424="Production",INDEX(tbl_Production[Job Number],$BI424),INDEX(tbl_Consulting[Job Number],$BI424)))&amp;"")</f>
        <v/>
      </c>
      <c r="D424" s="10">
        <f>IF($BI424="","",IF($B424="Onsite",INDEX(tbl_Onsite[Client],$BI424),IF($B424="Production",INDEX(tbl_Production[Client],$BI424),INDEX(tbl_Consulting[Client],$BI424)))&amp;"")</f>
        <v/>
      </c>
      <c r="E424" s="10">
        <f>IF($C424="","",IF(COUNTIF(lst_Jobs,$C424)&gt;0,"OK","CHECK"))</f>
        <v/>
      </c>
      <c r="F424" s="10">
        <f>IF($C424="","",IFERROR(INDEX(lst_JobName,MATCH($C424,lst_Jobs,0)),""))</f>
        <v/>
      </c>
      <c r="G424" s="10">
        <f>IF($BI424="","",IF($B424="Onsite",INDEX(tbl_Onsite[Job Description],$BI424),IF($B424="Production",INDEX(tbl_Production[Job Description],$BI424),INDEX(tbl_Consulting[Job Description],$BI424)))&amp;"")</f>
        <v/>
      </c>
      <c r="H424" s="10">
        <f>IF($BI424="","",IF($B424="Onsite",INDEX(tbl_Onsite[Cost Centre],$BI424),IF($B424="Production",INDEX(tbl_Production[Cost Centre],$BI424),INDEX(tbl_Consulting[Cost Centre],$BI424)))&amp;"")</f>
        <v/>
      </c>
      <c r="I424" s="10">
        <f>IF($BI424="","",IF($B424="Onsite",INDEX(tbl_Onsite[Invoice Type],$BI424),IF($B424="Production",INDEX(tbl_Production[Invoice Type],$BI424),INDEX(tbl_Consulting[Invoice Type],$BI424)))&amp;"")</f>
        <v/>
      </c>
      <c r="J424" s="10">
        <f>IF($BI424="","",IF($B424="Onsite",INDEX(tbl_Onsite[Tax Code],$BI424),IF($B424="Production",INDEX(tbl_Production[Tax Code],$BI424),INDEX(tbl_Consulting[Tax Code],$BI424)))&amp;"")</f>
        <v/>
      </c>
      <c r="K424" s="10">
        <f>IF(H424="","",IFERROR(INDEX(lst_CCtoGL,MATCH(H424,lst_CCforGL,0)),""))</f>
        <v/>
      </c>
      <c r="L424" s="10">
        <f>IF($BI424="","",IF($B424="Onsite",INDEX(tbl_Onsite[PO / Reference],$BI424),IF($B424="Production",INDEX(tbl_Production[Current RMS No],$BI424),INDEX(tbl_Consulting[Qwilr Quote],$BI424)))&amp;"")</f>
        <v/>
      </c>
      <c r="M424" s="10">
        <f>IF($BI424="","",IF($B424="Onsite",INDEX(tbl_Onsite[Notes],$BI424),IF($B424="Production",INDEX(tbl_Production[Notes],$BI424),INDEX(tbl_Consulting[Notes],$BI424)))&amp;"")</f>
        <v/>
      </c>
      <c r="N424" s="11">
        <f>IF($BI424="","",IF(IF($B424="Onsite",INDEX(tbl_Onsite[Expected Revenue Ex GST],$BI424),IF($B424="Production",INDEX(tbl_Production[Expected Revenue Ex GST],$BI424),INDEX(tbl_Consulting[Expected Revenue Ex GST],$BI424)))="","",IF($B424="Onsite",INDEX(tbl_Onsite[Expected Revenue Ex GST],$BI424),IF($B424="Production",INDEX(tbl_Production[Expected Revenue Ex GST],$BI424),INDEX(tbl_Consulting[Expected Revenue Ex GST],$BI424)))))</f>
        <v/>
      </c>
      <c r="O424" s="11">
        <f>IF(AND($C424="",NOT(COUNTA($S424:$BB424)&gt;0)),"",SUM(U424,X424,AA424,AD424,AG424,AJ424,AM424,AP424,AS424,AV424,AY424,BB424))</f>
        <v/>
      </c>
      <c r="P424" s="11">
        <f>IF(O424="","",N(N424)-O424)</f>
        <v/>
      </c>
      <c r="Q424" s="10">
        <f>IF(O424="","",IF($C424="","Invoice on empty job row",IF(N424="",IF(ROUND(O424,2)=0,"No dept value","Invoiced - no dept value"),IF(ROUND(O424,2)=0,"Not invoiced - to invoice",IF(ROUND(P424,2)=0,"Agrees",IF(P424&gt;0,"Dept higher - to invoice","Xero higher - check dept"))))))</f>
        <v/>
      </c>
      <c r="R424" s="10">
        <f>IF(AND($C424="",NOT(COUNTA($S424:$BB424)&gt;0),$BI424&lt;&gt;""),"",MID(IF($BI424="","; Row ID not found on the department sheet - a row was deleted","")&amp;IF(AND($C424="",COUNTA($S424:$BB424)&gt;0),"; Invoice entered but the department row has no job number","")&amp;IF(E424="CHECK","; Job number not in the Xero job list","")&amp;IF(AND($C424&lt;&gt;"",COUNTIF($C$7:$C$1506,$C424)&gt;1),"; Job number on more than one row","")&amp;IF(AND($C424&lt;&gt;"",H424=""),"; Dept has not set a cost centre","")&amp;IF(AND($C424&lt;&gt;"",J424=""),"; Dept has not set a tax code","")&amp;IF(AND($C424&lt;&gt;"",N424=""),"; Dept has not entered an expected value","")&amp;IF((IF(OR(COUNTA(S424:U424)=0,AND(COUNTA(S424:U424)=3,ISNUMBER(U424))),0,1)+IF(OR(COUNTA(V424:X424)=0,AND(COUNTA(V424:X424)=3,ISNUMBER(X424))),0,1)+IF(OR(COUNTA(Y424:AA424)=0,AND(COUNTA(Y424:AA424)=3,ISNUMBER(AA424))),0,1)+IF(OR(COUNTA(AB424:AD424)=0,AND(COUNTA(AB424:AD424)=3,ISNUMBER(AD424))),0,1)+IF(OR(COUNTA(AE424:AG424)=0,AND(COUNTA(AE424:AG424)=3,ISNUMBER(AG424))),0,1)+IF(OR(COUNTA(AH424:AJ424)=0,AND(COUNTA(AH424:AJ424)=3,ISNUMBER(AJ424))),0,1)+IF(OR(COUNTA(AK424:AM424)=0,AND(COUNTA(AK424:AM424)=3,ISNUMBER(AM424))),0,1)+IF(OR(COUNTA(AN424:AP424)=0,AND(COUNTA(AN424:AP424)=3,ISNUMBER(AP424))),0,1)+IF(OR(COUNTA(AQ424:AS424)=0,AND(COUNTA(AQ424:AS424)=3,ISNUMBER(AS424))),0,1)+IF(OR(COUNTA(AT424:AV424)=0,AND(COUNTA(AT424:AV424)=3,ISNUMBER(AV424))),0,1)+IF(OR(COUNTA(AW424:AY424)=0,AND(COUNTA(AW424:AY424)=3,ISNUMBER(AY424))),0,1)+IF(OR(COUNTA(AZ424:BB424)=0,AND(COUNTA(AZ424:BB424)=3,ISNUMBER(BB424))),0,1))&gt;0,"; An invoice is incomplete (needs No, Date and a number in Ex GST)","")&amp;IF((IF(T424="",0,IFERROR(--(EOMONTH(T424,0)&lt;&gt;S$5),1))+IF(W424="",0,IFERROR(--(EOMONTH(W424,0)&lt;&gt;V$5),1))+IF(Z424="",0,IFERROR(--(EOMONTH(Z424,0)&lt;&gt;Y$5),1))+IF(AC424="",0,IFERROR(--(EOMONTH(AC424,0)&lt;&gt;AB$5),1))+IF(AF424="",0,IFERROR(--(EOMONTH(AF424,0)&lt;&gt;AE$5),1))+IF(AI424="",0,IFERROR(--(EOMONTH(AI424,0)&lt;&gt;AH$5),1))+IF(AL424="",0,IFERROR(--(EOMONTH(AL424,0)&lt;&gt;AK$5),1))+IF(AO424="",0,IFERROR(--(EOMONTH(AO424,0)&lt;&gt;AN$5),1))+IF(AR424="",0,IFERROR(--(EOMONTH(AR424,0)&lt;&gt;AQ$5),1))+IF(AU424="",0,IFERROR(--(EOMONTH(AU424,0)&lt;&gt;AT$5),1))+IF(AX424="",0,IFERROR(--(EOMONTH(AX424,0)&lt;&gt;AW$5),1))+IF(BA424="",0,IFERROR(--(EOMONTH(BA424,0)&lt;&gt;AZ$5),1)))&gt;0,"; An invoice date is not in the month it is typed under",""),3,500))</f>
        <v/>
      </c>
      <c r="S424" s="12" t="n"/>
      <c r="T424" s="13" t="n"/>
      <c r="U424" s="14" t="n"/>
      <c r="V424" s="12" t="n"/>
      <c r="W424" s="13" t="n"/>
      <c r="X424" s="14" t="n"/>
      <c r="Y424" s="12" t="n"/>
      <c r="Z424" s="13" t="n"/>
      <c r="AA424" s="14" t="n"/>
      <c r="AB424" s="12" t="n"/>
      <c r="AC424" s="13" t="n"/>
      <c r="AD424" s="14" t="n"/>
      <c r="AE424" s="12" t="n"/>
      <c r="AF424" s="13" t="n"/>
      <c r="AG424" s="14" t="n"/>
      <c r="AH424" s="12" t="n"/>
      <c r="AI424" s="13" t="n"/>
      <c r="AJ424" s="14" t="n"/>
      <c r="AK424" s="12" t="n"/>
      <c r="AL424" s="13" t="n"/>
      <c r="AM424" s="14" t="n"/>
      <c r="AN424" s="12" t="n"/>
      <c r="AO424" s="13" t="n"/>
      <c r="AP424" s="14" t="n"/>
      <c r="AQ424" s="12" t="n"/>
      <c r="AR424" s="13" t="n"/>
      <c r="AS424" s="14" t="n"/>
      <c r="AT424" s="12" t="n"/>
      <c r="AU424" s="13" t="n"/>
      <c r="AV424" s="14" t="n"/>
      <c r="AW424" s="12" t="n"/>
      <c r="AX424" s="13" t="n"/>
      <c r="AY424" s="14" t="n"/>
      <c r="AZ424" s="12" t="n"/>
      <c r="BA424" s="13" t="n"/>
      <c r="BB424" s="14" t="n"/>
      <c r="BC424" s="11">
        <f>IF(O424="","",IF(J424="GST 10%",ROUND(O424*set_GSTRate,2),0))</f>
        <v/>
      </c>
      <c r="BD424" s="11">
        <f>IF(O424="","",O424+BC424)</f>
        <v/>
      </c>
      <c r="BE424" s="15">
        <f>IF(O424="","",COUNTA(S424,V424,Y424,AB424,AE424,AH424,AK424,AN424,AQ424,AT424,AW424,AZ424))</f>
        <v/>
      </c>
      <c r="BF424" s="16">
        <f>IF(COUNT(T424,W424,Z424,AC424,AF424,AI424,AL424,AO424,AR424,AU424,AX424,BA424)=0,"",MAX(T424,W424,Z424,AC424,AF424,AI424,AL424,AO424,AR424,AU424,AX424,BA424))</f>
        <v/>
      </c>
      <c r="BG424" s="10">
        <f>MID(IF(S424="","",", "&amp;S424)&amp;IF(V424="","",", "&amp;V424)&amp;IF(Y424="","",", "&amp;Y424)&amp;IF(AB424="","",", "&amp;AB424)&amp;IF(AE424="","",", "&amp;AE424)&amp;IF(AH424="","",", "&amp;AH424)&amp;IF(AK424="","",", "&amp;AK424)&amp;IF(AN424="","",", "&amp;AN424)&amp;IF(AQ424="","",", "&amp;AQ424)&amp;IF(AT424="","",", "&amp;AT424)&amp;IF(AW424="","",", "&amp;AW424)&amp;IF(AZ424="","",", "&amp;AZ424),3,500)</f>
        <v/>
      </c>
      <c r="BH424" s="12" t="n"/>
      <c r="BI424" s="15">
        <f>IFERROR(MATCH($A424,IF($B424="Onsite",tbl_Onsite[Row ID],IF($B424="Production",tbl_Production[Row ID],tbl_Consulting[Row ID])),0),"")</f>
        <v/>
      </c>
    </row>
    <row r="425">
      <c r="A425" s="10" t="inlineStr">
        <is>
          <t>ONS-0419</t>
        </is>
      </c>
      <c r="B425" s="10" t="inlineStr">
        <is>
          <t>Onsite</t>
        </is>
      </c>
      <c r="C425" s="10">
        <f>IF($BI425="","",IF($B425="Onsite",INDEX(tbl_Onsite[Job Number],$BI425),IF($B425="Production",INDEX(tbl_Production[Job Number],$BI425),INDEX(tbl_Consulting[Job Number],$BI425)))&amp;"")</f>
        <v/>
      </c>
      <c r="D425" s="10">
        <f>IF($BI425="","",IF($B425="Onsite",INDEX(tbl_Onsite[Client],$BI425),IF($B425="Production",INDEX(tbl_Production[Client],$BI425),INDEX(tbl_Consulting[Client],$BI425)))&amp;"")</f>
        <v/>
      </c>
      <c r="E425" s="10">
        <f>IF($C425="","",IF(COUNTIF(lst_Jobs,$C425)&gt;0,"OK","CHECK"))</f>
        <v/>
      </c>
      <c r="F425" s="10">
        <f>IF($C425="","",IFERROR(INDEX(lst_JobName,MATCH($C425,lst_Jobs,0)),""))</f>
        <v/>
      </c>
      <c r="G425" s="10">
        <f>IF($BI425="","",IF($B425="Onsite",INDEX(tbl_Onsite[Job Description],$BI425),IF($B425="Production",INDEX(tbl_Production[Job Description],$BI425),INDEX(tbl_Consulting[Job Description],$BI425)))&amp;"")</f>
        <v/>
      </c>
      <c r="H425" s="10">
        <f>IF($BI425="","",IF($B425="Onsite",INDEX(tbl_Onsite[Cost Centre],$BI425),IF($B425="Production",INDEX(tbl_Production[Cost Centre],$BI425),INDEX(tbl_Consulting[Cost Centre],$BI425)))&amp;"")</f>
        <v/>
      </c>
      <c r="I425" s="10">
        <f>IF($BI425="","",IF($B425="Onsite",INDEX(tbl_Onsite[Invoice Type],$BI425),IF($B425="Production",INDEX(tbl_Production[Invoice Type],$BI425),INDEX(tbl_Consulting[Invoice Type],$BI425)))&amp;"")</f>
        <v/>
      </c>
      <c r="J425" s="10">
        <f>IF($BI425="","",IF($B425="Onsite",INDEX(tbl_Onsite[Tax Code],$BI425),IF($B425="Production",INDEX(tbl_Production[Tax Code],$BI425),INDEX(tbl_Consulting[Tax Code],$BI425)))&amp;"")</f>
        <v/>
      </c>
      <c r="K425" s="10">
        <f>IF(H425="","",IFERROR(INDEX(lst_CCtoGL,MATCH(H425,lst_CCforGL,0)),""))</f>
        <v/>
      </c>
      <c r="L425" s="10">
        <f>IF($BI425="","",IF($B425="Onsite",INDEX(tbl_Onsite[PO / Reference],$BI425),IF($B425="Production",INDEX(tbl_Production[Current RMS No],$BI425),INDEX(tbl_Consulting[Qwilr Quote],$BI425)))&amp;"")</f>
        <v/>
      </c>
      <c r="M425" s="10">
        <f>IF($BI425="","",IF($B425="Onsite",INDEX(tbl_Onsite[Notes],$BI425),IF($B425="Production",INDEX(tbl_Production[Notes],$BI425),INDEX(tbl_Consulting[Notes],$BI425)))&amp;"")</f>
        <v/>
      </c>
      <c r="N425" s="11">
        <f>IF($BI425="","",IF(IF($B425="Onsite",INDEX(tbl_Onsite[Expected Revenue Ex GST],$BI425),IF($B425="Production",INDEX(tbl_Production[Expected Revenue Ex GST],$BI425),INDEX(tbl_Consulting[Expected Revenue Ex GST],$BI425)))="","",IF($B425="Onsite",INDEX(tbl_Onsite[Expected Revenue Ex GST],$BI425),IF($B425="Production",INDEX(tbl_Production[Expected Revenue Ex GST],$BI425),INDEX(tbl_Consulting[Expected Revenue Ex GST],$BI425)))))</f>
        <v/>
      </c>
      <c r="O425" s="11">
        <f>IF(AND($C425="",NOT(COUNTA($S425:$BB425)&gt;0)),"",SUM(U425,X425,AA425,AD425,AG425,AJ425,AM425,AP425,AS425,AV425,AY425,BB425))</f>
        <v/>
      </c>
      <c r="P425" s="11">
        <f>IF(O425="","",N(N425)-O425)</f>
        <v/>
      </c>
      <c r="Q425" s="10">
        <f>IF(O425="","",IF($C425="","Invoice on empty job row",IF(N425="",IF(ROUND(O425,2)=0,"No dept value","Invoiced - no dept value"),IF(ROUND(O425,2)=0,"Not invoiced - to invoice",IF(ROUND(P425,2)=0,"Agrees",IF(P425&gt;0,"Dept higher - to invoice","Xero higher - check dept"))))))</f>
        <v/>
      </c>
      <c r="R425" s="10">
        <f>IF(AND($C425="",NOT(COUNTA($S425:$BB425)&gt;0),$BI425&lt;&gt;""),"",MID(IF($BI425="","; Row ID not found on the department sheet - a row was deleted","")&amp;IF(AND($C425="",COUNTA($S425:$BB425)&gt;0),"; Invoice entered but the department row has no job number","")&amp;IF(E425="CHECK","; Job number not in the Xero job list","")&amp;IF(AND($C425&lt;&gt;"",COUNTIF($C$7:$C$1506,$C425)&gt;1),"; Job number on more than one row","")&amp;IF(AND($C425&lt;&gt;"",H425=""),"; Dept has not set a cost centre","")&amp;IF(AND($C425&lt;&gt;"",J425=""),"; Dept has not set a tax code","")&amp;IF(AND($C425&lt;&gt;"",N425=""),"; Dept has not entered an expected value","")&amp;IF((IF(OR(COUNTA(S425:U425)=0,AND(COUNTA(S425:U425)=3,ISNUMBER(U425))),0,1)+IF(OR(COUNTA(V425:X425)=0,AND(COUNTA(V425:X425)=3,ISNUMBER(X425))),0,1)+IF(OR(COUNTA(Y425:AA425)=0,AND(COUNTA(Y425:AA425)=3,ISNUMBER(AA425))),0,1)+IF(OR(COUNTA(AB425:AD425)=0,AND(COUNTA(AB425:AD425)=3,ISNUMBER(AD425))),0,1)+IF(OR(COUNTA(AE425:AG425)=0,AND(COUNTA(AE425:AG425)=3,ISNUMBER(AG425))),0,1)+IF(OR(COUNTA(AH425:AJ425)=0,AND(COUNTA(AH425:AJ425)=3,ISNUMBER(AJ425))),0,1)+IF(OR(COUNTA(AK425:AM425)=0,AND(COUNTA(AK425:AM425)=3,ISNUMBER(AM425))),0,1)+IF(OR(COUNTA(AN425:AP425)=0,AND(COUNTA(AN425:AP425)=3,ISNUMBER(AP425))),0,1)+IF(OR(COUNTA(AQ425:AS425)=0,AND(COUNTA(AQ425:AS425)=3,ISNUMBER(AS425))),0,1)+IF(OR(COUNTA(AT425:AV425)=0,AND(COUNTA(AT425:AV425)=3,ISNUMBER(AV425))),0,1)+IF(OR(COUNTA(AW425:AY425)=0,AND(COUNTA(AW425:AY425)=3,ISNUMBER(AY425))),0,1)+IF(OR(COUNTA(AZ425:BB425)=0,AND(COUNTA(AZ425:BB425)=3,ISNUMBER(BB425))),0,1))&gt;0,"; An invoice is incomplete (needs No, Date and a number in Ex GST)","")&amp;IF((IF(T425="",0,IFERROR(--(EOMONTH(T425,0)&lt;&gt;S$5),1))+IF(W425="",0,IFERROR(--(EOMONTH(W425,0)&lt;&gt;V$5),1))+IF(Z425="",0,IFERROR(--(EOMONTH(Z425,0)&lt;&gt;Y$5),1))+IF(AC425="",0,IFERROR(--(EOMONTH(AC425,0)&lt;&gt;AB$5),1))+IF(AF425="",0,IFERROR(--(EOMONTH(AF425,0)&lt;&gt;AE$5),1))+IF(AI425="",0,IFERROR(--(EOMONTH(AI425,0)&lt;&gt;AH$5),1))+IF(AL425="",0,IFERROR(--(EOMONTH(AL425,0)&lt;&gt;AK$5),1))+IF(AO425="",0,IFERROR(--(EOMONTH(AO425,0)&lt;&gt;AN$5),1))+IF(AR425="",0,IFERROR(--(EOMONTH(AR425,0)&lt;&gt;AQ$5),1))+IF(AU425="",0,IFERROR(--(EOMONTH(AU425,0)&lt;&gt;AT$5),1))+IF(AX425="",0,IFERROR(--(EOMONTH(AX425,0)&lt;&gt;AW$5),1))+IF(BA425="",0,IFERROR(--(EOMONTH(BA425,0)&lt;&gt;AZ$5),1)))&gt;0,"; An invoice date is not in the month it is typed under",""),3,500))</f>
        <v/>
      </c>
      <c r="S425" s="12" t="n"/>
      <c r="T425" s="13" t="n"/>
      <c r="U425" s="14" t="n"/>
      <c r="V425" s="12" t="n"/>
      <c r="W425" s="13" t="n"/>
      <c r="X425" s="14" t="n"/>
      <c r="Y425" s="12" t="n"/>
      <c r="Z425" s="13" t="n"/>
      <c r="AA425" s="14" t="n"/>
      <c r="AB425" s="12" t="n"/>
      <c r="AC425" s="13" t="n"/>
      <c r="AD425" s="14" t="n"/>
      <c r="AE425" s="12" t="n"/>
      <c r="AF425" s="13" t="n"/>
      <c r="AG425" s="14" t="n"/>
      <c r="AH425" s="12" t="n"/>
      <c r="AI425" s="13" t="n"/>
      <c r="AJ425" s="14" t="n"/>
      <c r="AK425" s="12" t="n"/>
      <c r="AL425" s="13" t="n"/>
      <c r="AM425" s="14" t="n"/>
      <c r="AN425" s="12" t="n"/>
      <c r="AO425" s="13" t="n"/>
      <c r="AP425" s="14" t="n"/>
      <c r="AQ425" s="12" t="n"/>
      <c r="AR425" s="13" t="n"/>
      <c r="AS425" s="14" t="n"/>
      <c r="AT425" s="12" t="n"/>
      <c r="AU425" s="13" t="n"/>
      <c r="AV425" s="14" t="n"/>
      <c r="AW425" s="12" t="n"/>
      <c r="AX425" s="13" t="n"/>
      <c r="AY425" s="14" t="n"/>
      <c r="AZ425" s="12" t="n"/>
      <c r="BA425" s="13" t="n"/>
      <c r="BB425" s="14" t="n"/>
      <c r="BC425" s="11">
        <f>IF(O425="","",IF(J425="GST 10%",ROUND(O425*set_GSTRate,2),0))</f>
        <v/>
      </c>
      <c r="BD425" s="11">
        <f>IF(O425="","",O425+BC425)</f>
        <v/>
      </c>
      <c r="BE425" s="15">
        <f>IF(O425="","",COUNTA(S425,V425,Y425,AB425,AE425,AH425,AK425,AN425,AQ425,AT425,AW425,AZ425))</f>
        <v/>
      </c>
      <c r="BF425" s="16">
        <f>IF(COUNT(T425,W425,Z425,AC425,AF425,AI425,AL425,AO425,AR425,AU425,AX425,BA425)=0,"",MAX(T425,W425,Z425,AC425,AF425,AI425,AL425,AO425,AR425,AU425,AX425,BA425))</f>
        <v/>
      </c>
      <c r="BG425" s="10">
        <f>MID(IF(S425="","",", "&amp;S425)&amp;IF(V425="","",", "&amp;V425)&amp;IF(Y425="","",", "&amp;Y425)&amp;IF(AB425="","",", "&amp;AB425)&amp;IF(AE425="","",", "&amp;AE425)&amp;IF(AH425="","",", "&amp;AH425)&amp;IF(AK425="","",", "&amp;AK425)&amp;IF(AN425="","",", "&amp;AN425)&amp;IF(AQ425="","",", "&amp;AQ425)&amp;IF(AT425="","",", "&amp;AT425)&amp;IF(AW425="","",", "&amp;AW425)&amp;IF(AZ425="","",", "&amp;AZ425),3,500)</f>
        <v/>
      </c>
      <c r="BH425" s="12" t="n"/>
      <c r="BI425" s="15">
        <f>IFERROR(MATCH($A425,IF($B425="Onsite",tbl_Onsite[Row ID],IF($B425="Production",tbl_Production[Row ID],tbl_Consulting[Row ID])),0),"")</f>
        <v/>
      </c>
    </row>
    <row r="426">
      <c r="A426" s="10" t="inlineStr">
        <is>
          <t>ONS-0420</t>
        </is>
      </c>
      <c r="B426" s="10" t="inlineStr">
        <is>
          <t>Onsite</t>
        </is>
      </c>
      <c r="C426" s="10">
        <f>IF($BI426="","",IF($B426="Onsite",INDEX(tbl_Onsite[Job Number],$BI426),IF($B426="Production",INDEX(tbl_Production[Job Number],$BI426),INDEX(tbl_Consulting[Job Number],$BI426)))&amp;"")</f>
        <v/>
      </c>
      <c r="D426" s="10">
        <f>IF($BI426="","",IF($B426="Onsite",INDEX(tbl_Onsite[Client],$BI426),IF($B426="Production",INDEX(tbl_Production[Client],$BI426),INDEX(tbl_Consulting[Client],$BI426)))&amp;"")</f>
        <v/>
      </c>
      <c r="E426" s="10">
        <f>IF($C426="","",IF(COUNTIF(lst_Jobs,$C426)&gt;0,"OK","CHECK"))</f>
        <v/>
      </c>
      <c r="F426" s="10">
        <f>IF($C426="","",IFERROR(INDEX(lst_JobName,MATCH($C426,lst_Jobs,0)),""))</f>
        <v/>
      </c>
      <c r="G426" s="10">
        <f>IF($BI426="","",IF($B426="Onsite",INDEX(tbl_Onsite[Job Description],$BI426),IF($B426="Production",INDEX(tbl_Production[Job Description],$BI426),INDEX(tbl_Consulting[Job Description],$BI426)))&amp;"")</f>
        <v/>
      </c>
      <c r="H426" s="10">
        <f>IF($BI426="","",IF($B426="Onsite",INDEX(tbl_Onsite[Cost Centre],$BI426),IF($B426="Production",INDEX(tbl_Production[Cost Centre],$BI426),INDEX(tbl_Consulting[Cost Centre],$BI426)))&amp;"")</f>
        <v/>
      </c>
      <c r="I426" s="10">
        <f>IF($BI426="","",IF($B426="Onsite",INDEX(tbl_Onsite[Invoice Type],$BI426),IF($B426="Production",INDEX(tbl_Production[Invoice Type],$BI426),INDEX(tbl_Consulting[Invoice Type],$BI426)))&amp;"")</f>
        <v/>
      </c>
      <c r="J426" s="10">
        <f>IF($BI426="","",IF($B426="Onsite",INDEX(tbl_Onsite[Tax Code],$BI426),IF($B426="Production",INDEX(tbl_Production[Tax Code],$BI426),INDEX(tbl_Consulting[Tax Code],$BI426)))&amp;"")</f>
        <v/>
      </c>
      <c r="K426" s="10">
        <f>IF(H426="","",IFERROR(INDEX(lst_CCtoGL,MATCH(H426,lst_CCforGL,0)),""))</f>
        <v/>
      </c>
      <c r="L426" s="10">
        <f>IF($BI426="","",IF($B426="Onsite",INDEX(tbl_Onsite[PO / Reference],$BI426),IF($B426="Production",INDEX(tbl_Production[Current RMS No],$BI426),INDEX(tbl_Consulting[Qwilr Quote],$BI426)))&amp;"")</f>
        <v/>
      </c>
      <c r="M426" s="10">
        <f>IF($BI426="","",IF($B426="Onsite",INDEX(tbl_Onsite[Notes],$BI426),IF($B426="Production",INDEX(tbl_Production[Notes],$BI426),INDEX(tbl_Consulting[Notes],$BI426)))&amp;"")</f>
        <v/>
      </c>
      <c r="N426" s="11">
        <f>IF($BI426="","",IF(IF($B426="Onsite",INDEX(tbl_Onsite[Expected Revenue Ex GST],$BI426),IF($B426="Production",INDEX(tbl_Production[Expected Revenue Ex GST],$BI426),INDEX(tbl_Consulting[Expected Revenue Ex GST],$BI426)))="","",IF($B426="Onsite",INDEX(tbl_Onsite[Expected Revenue Ex GST],$BI426),IF($B426="Production",INDEX(tbl_Production[Expected Revenue Ex GST],$BI426),INDEX(tbl_Consulting[Expected Revenue Ex GST],$BI426)))))</f>
        <v/>
      </c>
      <c r="O426" s="11">
        <f>IF(AND($C426="",NOT(COUNTA($S426:$BB426)&gt;0)),"",SUM(U426,X426,AA426,AD426,AG426,AJ426,AM426,AP426,AS426,AV426,AY426,BB426))</f>
        <v/>
      </c>
      <c r="P426" s="11">
        <f>IF(O426="","",N(N426)-O426)</f>
        <v/>
      </c>
      <c r="Q426" s="10">
        <f>IF(O426="","",IF($C426="","Invoice on empty job row",IF(N426="",IF(ROUND(O426,2)=0,"No dept value","Invoiced - no dept value"),IF(ROUND(O426,2)=0,"Not invoiced - to invoice",IF(ROUND(P426,2)=0,"Agrees",IF(P426&gt;0,"Dept higher - to invoice","Xero higher - check dept"))))))</f>
        <v/>
      </c>
      <c r="R426" s="10">
        <f>IF(AND($C426="",NOT(COUNTA($S426:$BB426)&gt;0),$BI426&lt;&gt;""),"",MID(IF($BI426="","; Row ID not found on the department sheet - a row was deleted","")&amp;IF(AND($C426="",COUNTA($S426:$BB426)&gt;0),"; Invoice entered but the department row has no job number","")&amp;IF(E426="CHECK","; Job number not in the Xero job list","")&amp;IF(AND($C426&lt;&gt;"",COUNTIF($C$7:$C$1506,$C426)&gt;1),"; Job number on more than one row","")&amp;IF(AND($C426&lt;&gt;"",H426=""),"; Dept has not set a cost centre","")&amp;IF(AND($C426&lt;&gt;"",J426=""),"; Dept has not set a tax code","")&amp;IF(AND($C426&lt;&gt;"",N426=""),"; Dept has not entered an expected value","")&amp;IF((IF(OR(COUNTA(S426:U426)=0,AND(COUNTA(S426:U426)=3,ISNUMBER(U426))),0,1)+IF(OR(COUNTA(V426:X426)=0,AND(COUNTA(V426:X426)=3,ISNUMBER(X426))),0,1)+IF(OR(COUNTA(Y426:AA426)=0,AND(COUNTA(Y426:AA426)=3,ISNUMBER(AA426))),0,1)+IF(OR(COUNTA(AB426:AD426)=0,AND(COUNTA(AB426:AD426)=3,ISNUMBER(AD426))),0,1)+IF(OR(COUNTA(AE426:AG426)=0,AND(COUNTA(AE426:AG426)=3,ISNUMBER(AG426))),0,1)+IF(OR(COUNTA(AH426:AJ426)=0,AND(COUNTA(AH426:AJ426)=3,ISNUMBER(AJ426))),0,1)+IF(OR(COUNTA(AK426:AM426)=0,AND(COUNTA(AK426:AM426)=3,ISNUMBER(AM426))),0,1)+IF(OR(COUNTA(AN426:AP426)=0,AND(COUNTA(AN426:AP426)=3,ISNUMBER(AP426))),0,1)+IF(OR(COUNTA(AQ426:AS426)=0,AND(COUNTA(AQ426:AS426)=3,ISNUMBER(AS426))),0,1)+IF(OR(COUNTA(AT426:AV426)=0,AND(COUNTA(AT426:AV426)=3,ISNUMBER(AV426))),0,1)+IF(OR(COUNTA(AW426:AY426)=0,AND(COUNTA(AW426:AY426)=3,ISNUMBER(AY426))),0,1)+IF(OR(COUNTA(AZ426:BB426)=0,AND(COUNTA(AZ426:BB426)=3,ISNUMBER(BB426))),0,1))&gt;0,"; An invoice is incomplete (needs No, Date and a number in Ex GST)","")&amp;IF((IF(T426="",0,IFERROR(--(EOMONTH(T426,0)&lt;&gt;S$5),1))+IF(W426="",0,IFERROR(--(EOMONTH(W426,0)&lt;&gt;V$5),1))+IF(Z426="",0,IFERROR(--(EOMONTH(Z426,0)&lt;&gt;Y$5),1))+IF(AC426="",0,IFERROR(--(EOMONTH(AC426,0)&lt;&gt;AB$5),1))+IF(AF426="",0,IFERROR(--(EOMONTH(AF426,0)&lt;&gt;AE$5),1))+IF(AI426="",0,IFERROR(--(EOMONTH(AI426,0)&lt;&gt;AH$5),1))+IF(AL426="",0,IFERROR(--(EOMONTH(AL426,0)&lt;&gt;AK$5),1))+IF(AO426="",0,IFERROR(--(EOMONTH(AO426,0)&lt;&gt;AN$5),1))+IF(AR426="",0,IFERROR(--(EOMONTH(AR426,0)&lt;&gt;AQ$5),1))+IF(AU426="",0,IFERROR(--(EOMONTH(AU426,0)&lt;&gt;AT$5),1))+IF(AX426="",0,IFERROR(--(EOMONTH(AX426,0)&lt;&gt;AW$5),1))+IF(BA426="",0,IFERROR(--(EOMONTH(BA426,0)&lt;&gt;AZ$5),1)))&gt;0,"; An invoice date is not in the month it is typed under",""),3,500))</f>
        <v/>
      </c>
      <c r="S426" s="12" t="n"/>
      <c r="T426" s="13" t="n"/>
      <c r="U426" s="14" t="n"/>
      <c r="V426" s="12" t="n"/>
      <c r="W426" s="13" t="n"/>
      <c r="X426" s="14" t="n"/>
      <c r="Y426" s="12" t="n"/>
      <c r="Z426" s="13" t="n"/>
      <c r="AA426" s="14" t="n"/>
      <c r="AB426" s="12" t="n"/>
      <c r="AC426" s="13" t="n"/>
      <c r="AD426" s="14" t="n"/>
      <c r="AE426" s="12" t="n"/>
      <c r="AF426" s="13" t="n"/>
      <c r="AG426" s="14" t="n"/>
      <c r="AH426" s="12" t="n"/>
      <c r="AI426" s="13" t="n"/>
      <c r="AJ426" s="14" t="n"/>
      <c r="AK426" s="12" t="n"/>
      <c r="AL426" s="13" t="n"/>
      <c r="AM426" s="14" t="n"/>
      <c r="AN426" s="12" t="n"/>
      <c r="AO426" s="13" t="n"/>
      <c r="AP426" s="14" t="n"/>
      <c r="AQ426" s="12" t="n"/>
      <c r="AR426" s="13" t="n"/>
      <c r="AS426" s="14" t="n"/>
      <c r="AT426" s="12" t="n"/>
      <c r="AU426" s="13" t="n"/>
      <c r="AV426" s="14" t="n"/>
      <c r="AW426" s="12" t="n"/>
      <c r="AX426" s="13" t="n"/>
      <c r="AY426" s="14" t="n"/>
      <c r="AZ426" s="12" t="n"/>
      <c r="BA426" s="13" t="n"/>
      <c r="BB426" s="14" t="n"/>
      <c r="BC426" s="11">
        <f>IF(O426="","",IF(J426="GST 10%",ROUND(O426*set_GSTRate,2),0))</f>
        <v/>
      </c>
      <c r="BD426" s="11">
        <f>IF(O426="","",O426+BC426)</f>
        <v/>
      </c>
      <c r="BE426" s="15">
        <f>IF(O426="","",COUNTA(S426,V426,Y426,AB426,AE426,AH426,AK426,AN426,AQ426,AT426,AW426,AZ426))</f>
        <v/>
      </c>
      <c r="BF426" s="16">
        <f>IF(COUNT(T426,W426,Z426,AC426,AF426,AI426,AL426,AO426,AR426,AU426,AX426,BA426)=0,"",MAX(T426,W426,Z426,AC426,AF426,AI426,AL426,AO426,AR426,AU426,AX426,BA426))</f>
        <v/>
      </c>
      <c r="BG426" s="10">
        <f>MID(IF(S426="","",", "&amp;S426)&amp;IF(V426="","",", "&amp;V426)&amp;IF(Y426="","",", "&amp;Y426)&amp;IF(AB426="","",", "&amp;AB426)&amp;IF(AE426="","",", "&amp;AE426)&amp;IF(AH426="","",", "&amp;AH426)&amp;IF(AK426="","",", "&amp;AK426)&amp;IF(AN426="","",", "&amp;AN426)&amp;IF(AQ426="","",", "&amp;AQ426)&amp;IF(AT426="","",", "&amp;AT426)&amp;IF(AW426="","",", "&amp;AW426)&amp;IF(AZ426="","",", "&amp;AZ426),3,500)</f>
        <v/>
      </c>
      <c r="BH426" s="12" t="n"/>
      <c r="BI426" s="15">
        <f>IFERROR(MATCH($A426,IF($B426="Onsite",tbl_Onsite[Row ID],IF($B426="Production",tbl_Production[Row ID],tbl_Consulting[Row ID])),0),"")</f>
        <v/>
      </c>
    </row>
    <row r="427">
      <c r="A427" s="10" t="inlineStr">
        <is>
          <t>ONS-0421</t>
        </is>
      </c>
      <c r="B427" s="10" t="inlineStr">
        <is>
          <t>Onsite</t>
        </is>
      </c>
      <c r="C427" s="10">
        <f>IF($BI427="","",IF($B427="Onsite",INDEX(tbl_Onsite[Job Number],$BI427),IF($B427="Production",INDEX(tbl_Production[Job Number],$BI427),INDEX(tbl_Consulting[Job Number],$BI427)))&amp;"")</f>
        <v/>
      </c>
      <c r="D427" s="10">
        <f>IF($BI427="","",IF($B427="Onsite",INDEX(tbl_Onsite[Client],$BI427),IF($B427="Production",INDEX(tbl_Production[Client],$BI427),INDEX(tbl_Consulting[Client],$BI427)))&amp;"")</f>
        <v/>
      </c>
      <c r="E427" s="10">
        <f>IF($C427="","",IF(COUNTIF(lst_Jobs,$C427)&gt;0,"OK","CHECK"))</f>
        <v/>
      </c>
      <c r="F427" s="10">
        <f>IF($C427="","",IFERROR(INDEX(lst_JobName,MATCH($C427,lst_Jobs,0)),""))</f>
        <v/>
      </c>
      <c r="G427" s="10">
        <f>IF($BI427="","",IF($B427="Onsite",INDEX(tbl_Onsite[Job Description],$BI427),IF($B427="Production",INDEX(tbl_Production[Job Description],$BI427),INDEX(tbl_Consulting[Job Description],$BI427)))&amp;"")</f>
        <v/>
      </c>
      <c r="H427" s="10">
        <f>IF($BI427="","",IF($B427="Onsite",INDEX(tbl_Onsite[Cost Centre],$BI427),IF($B427="Production",INDEX(tbl_Production[Cost Centre],$BI427),INDEX(tbl_Consulting[Cost Centre],$BI427)))&amp;"")</f>
        <v/>
      </c>
      <c r="I427" s="10">
        <f>IF($BI427="","",IF($B427="Onsite",INDEX(tbl_Onsite[Invoice Type],$BI427),IF($B427="Production",INDEX(tbl_Production[Invoice Type],$BI427),INDEX(tbl_Consulting[Invoice Type],$BI427)))&amp;"")</f>
        <v/>
      </c>
      <c r="J427" s="10">
        <f>IF($BI427="","",IF($B427="Onsite",INDEX(tbl_Onsite[Tax Code],$BI427),IF($B427="Production",INDEX(tbl_Production[Tax Code],$BI427),INDEX(tbl_Consulting[Tax Code],$BI427)))&amp;"")</f>
        <v/>
      </c>
      <c r="K427" s="10">
        <f>IF(H427="","",IFERROR(INDEX(lst_CCtoGL,MATCH(H427,lst_CCforGL,0)),""))</f>
        <v/>
      </c>
      <c r="L427" s="10">
        <f>IF($BI427="","",IF($B427="Onsite",INDEX(tbl_Onsite[PO / Reference],$BI427),IF($B427="Production",INDEX(tbl_Production[Current RMS No],$BI427),INDEX(tbl_Consulting[Qwilr Quote],$BI427)))&amp;"")</f>
        <v/>
      </c>
      <c r="M427" s="10">
        <f>IF($BI427="","",IF($B427="Onsite",INDEX(tbl_Onsite[Notes],$BI427),IF($B427="Production",INDEX(tbl_Production[Notes],$BI427),INDEX(tbl_Consulting[Notes],$BI427)))&amp;"")</f>
        <v/>
      </c>
      <c r="N427" s="11">
        <f>IF($BI427="","",IF(IF($B427="Onsite",INDEX(tbl_Onsite[Expected Revenue Ex GST],$BI427),IF($B427="Production",INDEX(tbl_Production[Expected Revenue Ex GST],$BI427),INDEX(tbl_Consulting[Expected Revenue Ex GST],$BI427)))="","",IF($B427="Onsite",INDEX(tbl_Onsite[Expected Revenue Ex GST],$BI427),IF($B427="Production",INDEX(tbl_Production[Expected Revenue Ex GST],$BI427),INDEX(tbl_Consulting[Expected Revenue Ex GST],$BI427)))))</f>
        <v/>
      </c>
      <c r="O427" s="11">
        <f>IF(AND($C427="",NOT(COUNTA($S427:$BB427)&gt;0)),"",SUM(U427,X427,AA427,AD427,AG427,AJ427,AM427,AP427,AS427,AV427,AY427,BB427))</f>
        <v/>
      </c>
      <c r="P427" s="11">
        <f>IF(O427="","",N(N427)-O427)</f>
        <v/>
      </c>
      <c r="Q427" s="10">
        <f>IF(O427="","",IF($C427="","Invoice on empty job row",IF(N427="",IF(ROUND(O427,2)=0,"No dept value","Invoiced - no dept value"),IF(ROUND(O427,2)=0,"Not invoiced - to invoice",IF(ROUND(P427,2)=0,"Agrees",IF(P427&gt;0,"Dept higher - to invoice","Xero higher - check dept"))))))</f>
        <v/>
      </c>
      <c r="R427" s="10">
        <f>IF(AND($C427="",NOT(COUNTA($S427:$BB427)&gt;0),$BI427&lt;&gt;""),"",MID(IF($BI427="","; Row ID not found on the department sheet - a row was deleted","")&amp;IF(AND($C427="",COUNTA($S427:$BB427)&gt;0),"; Invoice entered but the department row has no job number","")&amp;IF(E427="CHECK","; Job number not in the Xero job list","")&amp;IF(AND($C427&lt;&gt;"",COUNTIF($C$7:$C$1506,$C427)&gt;1),"; Job number on more than one row","")&amp;IF(AND($C427&lt;&gt;"",H427=""),"; Dept has not set a cost centre","")&amp;IF(AND($C427&lt;&gt;"",J427=""),"; Dept has not set a tax code","")&amp;IF(AND($C427&lt;&gt;"",N427=""),"; Dept has not entered an expected value","")&amp;IF((IF(OR(COUNTA(S427:U427)=0,AND(COUNTA(S427:U427)=3,ISNUMBER(U427))),0,1)+IF(OR(COUNTA(V427:X427)=0,AND(COUNTA(V427:X427)=3,ISNUMBER(X427))),0,1)+IF(OR(COUNTA(Y427:AA427)=0,AND(COUNTA(Y427:AA427)=3,ISNUMBER(AA427))),0,1)+IF(OR(COUNTA(AB427:AD427)=0,AND(COUNTA(AB427:AD427)=3,ISNUMBER(AD427))),0,1)+IF(OR(COUNTA(AE427:AG427)=0,AND(COUNTA(AE427:AG427)=3,ISNUMBER(AG427))),0,1)+IF(OR(COUNTA(AH427:AJ427)=0,AND(COUNTA(AH427:AJ427)=3,ISNUMBER(AJ427))),0,1)+IF(OR(COUNTA(AK427:AM427)=0,AND(COUNTA(AK427:AM427)=3,ISNUMBER(AM427))),0,1)+IF(OR(COUNTA(AN427:AP427)=0,AND(COUNTA(AN427:AP427)=3,ISNUMBER(AP427))),0,1)+IF(OR(COUNTA(AQ427:AS427)=0,AND(COUNTA(AQ427:AS427)=3,ISNUMBER(AS427))),0,1)+IF(OR(COUNTA(AT427:AV427)=0,AND(COUNTA(AT427:AV427)=3,ISNUMBER(AV427))),0,1)+IF(OR(COUNTA(AW427:AY427)=0,AND(COUNTA(AW427:AY427)=3,ISNUMBER(AY427))),0,1)+IF(OR(COUNTA(AZ427:BB427)=0,AND(COUNTA(AZ427:BB427)=3,ISNUMBER(BB427))),0,1))&gt;0,"; An invoice is incomplete (needs No, Date and a number in Ex GST)","")&amp;IF((IF(T427="",0,IFERROR(--(EOMONTH(T427,0)&lt;&gt;S$5),1))+IF(W427="",0,IFERROR(--(EOMONTH(W427,0)&lt;&gt;V$5),1))+IF(Z427="",0,IFERROR(--(EOMONTH(Z427,0)&lt;&gt;Y$5),1))+IF(AC427="",0,IFERROR(--(EOMONTH(AC427,0)&lt;&gt;AB$5),1))+IF(AF427="",0,IFERROR(--(EOMONTH(AF427,0)&lt;&gt;AE$5),1))+IF(AI427="",0,IFERROR(--(EOMONTH(AI427,0)&lt;&gt;AH$5),1))+IF(AL427="",0,IFERROR(--(EOMONTH(AL427,0)&lt;&gt;AK$5),1))+IF(AO427="",0,IFERROR(--(EOMONTH(AO427,0)&lt;&gt;AN$5),1))+IF(AR427="",0,IFERROR(--(EOMONTH(AR427,0)&lt;&gt;AQ$5),1))+IF(AU427="",0,IFERROR(--(EOMONTH(AU427,0)&lt;&gt;AT$5),1))+IF(AX427="",0,IFERROR(--(EOMONTH(AX427,0)&lt;&gt;AW$5),1))+IF(BA427="",0,IFERROR(--(EOMONTH(BA427,0)&lt;&gt;AZ$5),1)))&gt;0,"; An invoice date is not in the month it is typed under",""),3,500))</f>
        <v/>
      </c>
      <c r="S427" s="12" t="n"/>
      <c r="T427" s="13" t="n"/>
      <c r="U427" s="14" t="n"/>
      <c r="V427" s="12" t="n"/>
      <c r="W427" s="13" t="n"/>
      <c r="X427" s="14" t="n"/>
      <c r="Y427" s="12" t="n"/>
      <c r="Z427" s="13" t="n"/>
      <c r="AA427" s="14" t="n"/>
      <c r="AB427" s="12" t="n"/>
      <c r="AC427" s="13" t="n"/>
      <c r="AD427" s="14" t="n"/>
      <c r="AE427" s="12" t="n"/>
      <c r="AF427" s="13" t="n"/>
      <c r="AG427" s="14" t="n"/>
      <c r="AH427" s="12" t="n"/>
      <c r="AI427" s="13" t="n"/>
      <c r="AJ427" s="14" t="n"/>
      <c r="AK427" s="12" t="n"/>
      <c r="AL427" s="13" t="n"/>
      <c r="AM427" s="14" t="n"/>
      <c r="AN427" s="12" t="n"/>
      <c r="AO427" s="13" t="n"/>
      <c r="AP427" s="14" t="n"/>
      <c r="AQ427" s="12" t="n"/>
      <c r="AR427" s="13" t="n"/>
      <c r="AS427" s="14" t="n"/>
      <c r="AT427" s="12" t="n"/>
      <c r="AU427" s="13" t="n"/>
      <c r="AV427" s="14" t="n"/>
      <c r="AW427" s="12" t="n"/>
      <c r="AX427" s="13" t="n"/>
      <c r="AY427" s="14" t="n"/>
      <c r="AZ427" s="12" t="n"/>
      <c r="BA427" s="13" t="n"/>
      <c r="BB427" s="14" t="n"/>
      <c r="BC427" s="11">
        <f>IF(O427="","",IF(J427="GST 10%",ROUND(O427*set_GSTRate,2),0))</f>
        <v/>
      </c>
      <c r="BD427" s="11">
        <f>IF(O427="","",O427+BC427)</f>
        <v/>
      </c>
      <c r="BE427" s="15">
        <f>IF(O427="","",COUNTA(S427,V427,Y427,AB427,AE427,AH427,AK427,AN427,AQ427,AT427,AW427,AZ427))</f>
        <v/>
      </c>
      <c r="BF427" s="16">
        <f>IF(COUNT(T427,W427,Z427,AC427,AF427,AI427,AL427,AO427,AR427,AU427,AX427,BA427)=0,"",MAX(T427,W427,Z427,AC427,AF427,AI427,AL427,AO427,AR427,AU427,AX427,BA427))</f>
        <v/>
      </c>
      <c r="BG427" s="10">
        <f>MID(IF(S427="","",", "&amp;S427)&amp;IF(V427="","",", "&amp;V427)&amp;IF(Y427="","",", "&amp;Y427)&amp;IF(AB427="","",", "&amp;AB427)&amp;IF(AE427="","",", "&amp;AE427)&amp;IF(AH427="","",", "&amp;AH427)&amp;IF(AK427="","",", "&amp;AK427)&amp;IF(AN427="","",", "&amp;AN427)&amp;IF(AQ427="","",", "&amp;AQ427)&amp;IF(AT427="","",", "&amp;AT427)&amp;IF(AW427="","",", "&amp;AW427)&amp;IF(AZ427="","",", "&amp;AZ427),3,500)</f>
        <v/>
      </c>
      <c r="BH427" s="12" t="n"/>
      <c r="BI427" s="15">
        <f>IFERROR(MATCH($A427,IF($B427="Onsite",tbl_Onsite[Row ID],IF($B427="Production",tbl_Production[Row ID],tbl_Consulting[Row ID])),0),"")</f>
        <v/>
      </c>
    </row>
    <row r="428">
      <c r="A428" s="10" t="inlineStr">
        <is>
          <t>ONS-0422</t>
        </is>
      </c>
      <c r="B428" s="10" t="inlineStr">
        <is>
          <t>Onsite</t>
        </is>
      </c>
      <c r="C428" s="10">
        <f>IF($BI428="","",IF($B428="Onsite",INDEX(tbl_Onsite[Job Number],$BI428),IF($B428="Production",INDEX(tbl_Production[Job Number],$BI428),INDEX(tbl_Consulting[Job Number],$BI428)))&amp;"")</f>
        <v/>
      </c>
      <c r="D428" s="10">
        <f>IF($BI428="","",IF($B428="Onsite",INDEX(tbl_Onsite[Client],$BI428),IF($B428="Production",INDEX(tbl_Production[Client],$BI428),INDEX(tbl_Consulting[Client],$BI428)))&amp;"")</f>
        <v/>
      </c>
      <c r="E428" s="10">
        <f>IF($C428="","",IF(COUNTIF(lst_Jobs,$C428)&gt;0,"OK","CHECK"))</f>
        <v/>
      </c>
      <c r="F428" s="10">
        <f>IF($C428="","",IFERROR(INDEX(lst_JobName,MATCH($C428,lst_Jobs,0)),""))</f>
        <v/>
      </c>
      <c r="G428" s="10">
        <f>IF($BI428="","",IF($B428="Onsite",INDEX(tbl_Onsite[Job Description],$BI428),IF($B428="Production",INDEX(tbl_Production[Job Description],$BI428),INDEX(tbl_Consulting[Job Description],$BI428)))&amp;"")</f>
        <v/>
      </c>
      <c r="H428" s="10">
        <f>IF($BI428="","",IF($B428="Onsite",INDEX(tbl_Onsite[Cost Centre],$BI428),IF($B428="Production",INDEX(tbl_Production[Cost Centre],$BI428),INDEX(tbl_Consulting[Cost Centre],$BI428)))&amp;"")</f>
        <v/>
      </c>
      <c r="I428" s="10">
        <f>IF($BI428="","",IF($B428="Onsite",INDEX(tbl_Onsite[Invoice Type],$BI428),IF($B428="Production",INDEX(tbl_Production[Invoice Type],$BI428),INDEX(tbl_Consulting[Invoice Type],$BI428)))&amp;"")</f>
        <v/>
      </c>
      <c r="J428" s="10">
        <f>IF($BI428="","",IF($B428="Onsite",INDEX(tbl_Onsite[Tax Code],$BI428),IF($B428="Production",INDEX(tbl_Production[Tax Code],$BI428),INDEX(tbl_Consulting[Tax Code],$BI428)))&amp;"")</f>
        <v/>
      </c>
      <c r="K428" s="10">
        <f>IF(H428="","",IFERROR(INDEX(lst_CCtoGL,MATCH(H428,lst_CCforGL,0)),""))</f>
        <v/>
      </c>
      <c r="L428" s="10">
        <f>IF($BI428="","",IF($B428="Onsite",INDEX(tbl_Onsite[PO / Reference],$BI428),IF($B428="Production",INDEX(tbl_Production[Current RMS No],$BI428),INDEX(tbl_Consulting[Qwilr Quote],$BI428)))&amp;"")</f>
        <v/>
      </c>
      <c r="M428" s="10">
        <f>IF($BI428="","",IF($B428="Onsite",INDEX(tbl_Onsite[Notes],$BI428),IF($B428="Production",INDEX(tbl_Production[Notes],$BI428),INDEX(tbl_Consulting[Notes],$BI428)))&amp;"")</f>
        <v/>
      </c>
      <c r="N428" s="11">
        <f>IF($BI428="","",IF(IF($B428="Onsite",INDEX(tbl_Onsite[Expected Revenue Ex GST],$BI428),IF($B428="Production",INDEX(tbl_Production[Expected Revenue Ex GST],$BI428),INDEX(tbl_Consulting[Expected Revenue Ex GST],$BI428)))="","",IF($B428="Onsite",INDEX(tbl_Onsite[Expected Revenue Ex GST],$BI428),IF($B428="Production",INDEX(tbl_Production[Expected Revenue Ex GST],$BI428),INDEX(tbl_Consulting[Expected Revenue Ex GST],$BI428)))))</f>
        <v/>
      </c>
      <c r="O428" s="11">
        <f>IF(AND($C428="",NOT(COUNTA($S428:$BB428)&gt;0)),"",SUM(U428,X428,AA428,AD428,AG428,AJ428,AM428,AP428,AS428,AV428,AY428,BB428))</f>
        <v/>
      </c>
      <c r="P428" s="11">
        <f>IF(O428="","",N(N428)-O428)</f>
        <v/>
      </c>
      <c r="Q428" s="10">
        <f>IF(O428="","",IF($C428="","Invoice on empty job row",IF(N428="",IF(ROUND(O428,2)=0,"No dept value","Invoiced - no dept value"),IF(ROUND(O428,2)=0,"Not invoiced - to invoice",IF(ROUND(P428,2)=0,"Agrees",IF(P428&gt;0,"Dept higher - to invoice","Xero higher - check dept"))))))</f>
        <v/>
      </c>
      <c r="R428" s="10">
        <f>IF(AND($C428="",NOT(COUNTA($S428:$BB428)&gt;0),$BI428&lt;&gt;""),"",MID(IF($BI428="","; Row ID not found on the department sheet - a row was deleted","")&amp;IF(AND($C428="",COUNTA($S428:$BB428)&gt;0),"; Invoice entered but the department row has no job number","")&amp;IF(E428="CHECK","; Job number not in the Xero job list","")&amp;IF(AND($C428&lt;&gt;"",COUNTIF($C$7:$C$1506,$C428)&gt;1),"; Job number on more than one row","")&amp;IF(AND($C428&lt;&gt;"",H428=""),"; Dept has not set a cost centre","")&amp;IF(AND($C428&lt;&gt;"",J428=""),"; Dept has not set a tax code","")&amp;IF(AND($C428&lt;&gt;"",N428=""),"; Dept has not entered an expected value","")&amp;IF((IF(OR(COUNTA(S428:U428)=0,AND(COUNTA(S428:U428)=3,ISNUMBER(U428))),0,1)+IF(OR(COUNTA(V428:X428)=0,AND(COUNTA(V428:X428)=3,ISNUMBER(X428))),0,1)+IF(OR(COUNTA(Y428:AA428)=0,AND(COUNTA(Y428:AA428)=3,ISNUMBER(AA428))),0,1)+IF(OR(COUNTA(AB428:AD428)=0,AND(COUNTA(AB428:AD428)=3,ISNUMBER(AD428))),0,1)+IF(OR(COUNTA(AE428:AG428)=0,AND(COUNTA(AE428:AG428)=3,ISNUMBER(AG428))),0,1)+IF(OR(COUNTA(AH428:AJ428)=0,AND(COUNTA(AH428:AJ428)=3,ISNUMBER(AJ428))),0,1)+IF(OR(COUNTA(AK428:AM428)=0,AND(COUNTA(AK428:AM428)=3,ISNUMBER(AM428))),0,1)+IF(OR(COUNTA(AN428:AP428)=0,AND(COUNTA(AN428:AP428)=3,ISNUMBER(AP428))),0,1)+IF(OR(COUNTA(AQ428:AS428)=0,AND(COUNTA(AQ428:AS428)=3,ISNUMBER(AS428))),0,1)+IF(OR(COUNTA(AT428:AV428)=0,AND(COUNTA(AT428:AV428)=3,ISNUMBER(AV428))),0,1)+IF(OR(COUNTA(AW428:AY428)=0,AND(COUNTA(AW428:AY428)=3,ISNUMBER(AY428))),0,1)+IF(OR(COUNTA(AZ428:BB428)=0,AND(COUNTA(AZ428:BB428)=3,ISNUMBER(BB428))),0,1))&gt;0,"; An invoice is incomplete (needs No, Date and a number in Ex GST)","")&amp;IF((IF(T428="",0,IFERROR(--(EOMONTH(T428,0)&lt;&gt;S$5),1))+IF(W428="",0,IFERROR(--(EOMONTH(W428,0)&lt;&gt;V$5),1))+IF(Z428="",0,IFERROR(--(EOMONTH(Z428,0)&lt;&gt;Y$5),1))+IF(AC428="",0,IFERROR(--(EOMONTH(AC428,0)&lt;&gt;AB$5),1))+IF(AF428="",0,IFERROR(--(EOMONTH(AF428,0)&lt;&gt;AE$5),1))+IF(AI428="",0,IFERROR(--(EOMONTH(AI428,0)&lt;&gt;AH$5),1))+IF(AL428="",0,IFERROR(--(EOMONTH(AL428,0)&lt;&gt;AK$5),1))+IF(AO428="",0,IFERROR(--(EOMONTH(AO428,0)&lt;&gt;AN$5),1))+IF(AR428="",0,IFERROR(--(EOMONTH(AR428,0)&lt;&gt;AQ$5),1))+IF(AU428="",0,IFERROR(--(EOMONTH(AU428,0)&lt;&gt;AT$5),1))+IF(AX428="",0,IFERROR(--(EOMONTH(AX428,0)&lt;&gt;AW$5),1))+IF(BA428="",0,IFERROR(--(EOMONTH(BA428,0)&lt;&gt;AZ$5),1)))&gt;0,"; An invoice date is not in the month it is typed under",""),3,500))</f>
        <v/>
      </c>
      <c r="S428" s="12" t="n"/>
      <c r="T428" s="13" t="n"/>
      <c r="U428" s="14" t="n"/>
      <c r="V428" s="12" t="n"/>
      <c r="W428" s="13" t="n"/>
      <c r="X428" s="14" t="n"/>
      <c r="Y428" s="12" t="n"/>
      <c r="Z428" s="13" t="n"/>
      <c r="AA428" s="14" t="n"/>
      <c r="AB428" s="12" t="n"/>
      <c r="AC428" s="13" t="n"/>
      <c r="AD428" s="14" t="n"/>
      <c r="AE428" s="12" t="n"/>
      <c r="AF428" s="13" t="n"/>
      <c r="AG428" s="14" t="n"/>
      <c r="AH428" s="12" t="n"/>
      <c r="AI428" s="13" t="n"/>
      <c r="AJ428" s="14" t="n"/>
      <c r="AK428" s="12" t="n"/>
      <c r="AL428" s="13" t="n"/>
      <c r="AM428" s="14" t="n"/>
      <c r="AN428" s="12" t="n"/>
      <c r="AO428" s="13" t="n"/>
      <c r="AP428" s="14" t="n"/>
      <c r="AQ428" s="12" t="n"/>
      <c r="AR428" s="13" t="n"/>
      <c r="AS428" s="14" t="n"/>
      <c r="AT428" s="12" t="n"/>
      <c r="AU428" s="13" t="n"/>
      <c r="AV428" s="14" t="n"/>
      <c r="AW428" s="12" t="n"/>
      <c r="AX428" s="13" t="n"/>
      <c r="AY428" s="14" t="n"/>
      <c r="AZ428" s="12" t="n"/>
      <c r="BA428" s="13" t="n"/>
      <c r="BB428" s="14" t="n"/>
      <c r="BC428" s="11">
        <f>IF(O428="","",IF(J428="GST 10%",ROUND(O428*set_GSTRate,2),0))</f>
        <v/>
      </c>
      <c r="BD428" s="11">
        <f>IF(O428="","",O428+BC428)</f>
        <v/>
      </c>
      <c r="BE428" s="15">
        <f>IF(O428="","",COUNTA(S428,V428,Y428,AB428,AE428,AH428,AK428,AN428,AQ428,AT428,AW428,AZ428))</f>
        <v/>
      </c>
      <c r="BF428" s="16">
        <f>IF(COUNT(T428,W428,Z428,AC428,AF428,AI428,AL428,AO428,AR428,AU428,AX428,BA428)=0,"",MAX(T428,W428,Z428,AC428,AF428,AI428,AL428,AO428,AR428,AU428,AX428,BA428))</f>
        <v/>
      </c>
      <c r="BG428" s="10">
        <f>MID(IF(S428="","",", "&amp;S428)&amp;IF(V428="","",", "&amp;V428)&amp;IF(Y428="","",", "&amp;Y428)&amp;IF(AB428="","",", "&amp;AB428)&amp;IF(AE428="","",", "&amp;AE428)&amp;IF(AH428="","",", "&amp;AH428)&amp;IF(AK428="","",", "&amp;AK428)&amp;IF(AN428="","",", "&amp;AN428)&amp;IF(AQ428="","",", "&amp;AQ428)&amp;IF(AT428="","",", "&amp;AT428)&amp;IF(AW428="","",", "&amp;AW428)&amp;IF(AZ428="","",", "&amp;AZ428),3,500)</f>
        <v/>
      </c>
      <c r="BH428" s="12" t="n"/>
      <c r="BI428" s="15">
        <f>IFERROR(MATCH($A428,IF($B428="Onsite",tbl_Onsite[Row ID],IF($B428="Production",tbl_Production[Row ID],tbl_Consulting[Row ID])),0),"")</f>
        <v/>
      </c>
    </row>
    <row r="429">
      <c r="A429" s="10" t="inlineStr">
        <is>
          <t>ONS-0423</t>
        </is>
      </c>
      <c r="B429" s="10" t="inlineStr">
        <is>
          <t>Onsite</t>
        </is>
      </c>
      <c r="C429" s="10">
        <f>IF($BI429="","",IF($B429="Onsite",INDEX(tbl_Onsite[Job Number],$BI429),IF($B429="Production",INDEX(tbl_Production[Job Number],$BI429),INDEX(tbl_Consulting[Job Number],$BI429)))&amp;"")</f>
        <v/>
      </c>
      <c r="D429" s="10">
        <f>IF($BI429="","",IF($B429="Onsite",INDEX(tbl_Onsite[Client],$BI429),IF($B429="Production",INDEX(tbl_Production[Client],$BI429),INDEX(tbl_Consulting[Client],$BI429)))&amp;"")</f>
        <v/>
      </c>
      <c r="E429" s="10">
        <f>IF($C429="","",IF(COUNTIF(lst_Jobs,$C429)&gt;0,"OK","CHECK"))</f>
        <v/>
      </c>
      <c r="F429" s="10">
        <f>IF($C429="","",IFERROR(INDEX(lst_JobName,MATCH($C429,lst_Jobs,0)),""))</f>
        <v/>
      </c>
      <c r="G429" s="10">
        <f>IF($BI429="","",IF($B429="Onsite",INDEX(tbl_Onsite[Job Description],$BI429),IF($B429="Production",INDEX(tbl_Production[Job Description],$BI429),INDEX(tbl_Consulting[Job Description],$BI429)))&amp;"")</f>
        <v/>
      </c>
      <c r="H429" s="10">
        <f>IF($BI429="","",IF($B429="Onsite",INDEX(tbl_Onsite[Cost Centre],$BI429),IF($B429="Production",INDEX(tbl_Production[Cost Centre],$BI429),INDEX(tbl_Consulting[Cost Centre],$BI429)))&amp;"")</f>
        <v/>
      </c>
      <c r="I429" s="10">
        <f>IF($BI429="","",IF($B429="Onsite",INDEX(tbl_Onsite[Invoice Type],$BI429),IF($B429="Production",INDEX(tbl_Production[Invoice Type],$BI429),INDEX(tbl_Consulting[Invoice Type],$BI429)))&amp;"")</f>
        <v/>
      </c>
      <c r="J429" s="10">
        <f>IF($BI429="","",IF($B429="Onsite",INDEX(tbl_Onsite[Tax Code],$BI429),IF($B429="Production",INDEX(tbl_Production[Tax Code],$BI429),INDEX(tbl_Consulting[Tax Code],$BI429)))&amp;"")</f>
        <v/>
      </c>
      <c r="K429" s="10">
        <f>IF(H429="","",IFERROR(INDEX(lst_CCtoGL,MATCH(H429,lst_CCforGL,0)),""))</f>
        <v/>
      </c>
      <c r="L429" s="10">
        <f>IF($BI429="","",IF($B429="Onsite",INDEX(tbl_Onsite[PO / Reference],$BI429),IF($B429="Production",INDEX(tbl_Production[Current RMS No],$BI429),INDEX(tbl_Consulting[Qwilr Quote],$BI429)))&amp;"")</f>
        <v/>
      </c>
      <c r="M429" s="10">
        <f>IF($BI429="","",IF($B429="Onsite",INDEX(tbl_Onsite[Notes],$BI429),IF($B429="Production",INDEX(tbl_Production[Notes],$BI429),INDEX(tbl_Consulting[Notes],$BI429)))&amp;"")</f>
        <v/>
      </c>
      <c r="N429" s="11">
        <f>IF($BI429="","",IF(IF($B429="Onsite",INDEX(tbl_Onsite[Expected Revenue Ex GST],$BI429),IF($B429="Production",INDEX(tbl_Production[Expected Revenue Ex GST],$BI429),INDEX(tbl_Consulting[Expected Revenue Ex GST],$BI429)))="","",IF($B429="Onsite",INDEX(tbl_Onsite[Expected Revenue Ex GST],$BI429),IF($B429="Production",INDEX(tbl_Production[Expected Revenue Ex GST],$BI429),INDEX(tbl_Consulting[Expected Revenue Ex GST],$BI429)))))</f>
        <v/>
      </c>
      <c r="O429" s="11">
        <f>IF(AND($C429="",NOT(COUNTA($S429:$BB429)&gt;0)),"",SUM(U429,X429,AA429,AD429,AG429,AJ429,AM429,AP429,AS429,AV429,AY429,BB429))</f>
        <v/>
      </c>
      <c r="P429" s="11">
        <f>IF(O429="","",N(N429)-O429)</f>
        <v/>
      </c>
      <c r="Q429" s="10">
        <f>IF(O429="","",IF($C429="","Invoice on empty job row",IF(N429="",IF(ROUND(O429,2)=0,"No dept value","Invoiced - no dept value"),IF(ROUND(O429,2)=0,"Not invoiced - to invoice",IF(ROUND(P429,2)=0,"Agrees",IF(P429&gt;0,"Dept higher - to invoice","Xero higher - check dept"))))))</f>
        <v/>
      </c>
      <c r="R429" s="10">
        <f>IF(AND($C429="",NOT(COUNTA($S429:$BB429)&gt;0),$BI429&lt;&gt;""),"",MID(IF($BI429="","; Row ID not found on the department sheet - a row was deleted","")&amp;IF(AND($C429="",COUNTA($S429:$BB429)&gt;0),"; Invoice entered but the department row has no job number","")&amp;IF(E429="CHECK","; Job number not in the Xero job list","")&amp;IF(AND($C429&lt;&gt;"",COUNTIF($C$7:$C$1506,$C429)&gt;1),"; Job number on more than one row","")&amp;IF(AND($C429&lt;&gt;"",H429=""),"; Dept has not set a cost centre","")&amp;IF(AND($C429&lt;&gt;"",J429=""),"; Dept has not set a tax code","")&amp;IF(AND($C429&lt;&gt;"",N429=""),"; Dept has not entered an expected value","")&amp;IF((IF(OR(COUNTA(S429:U429)=0,AND(COUNTA(S429:U429)=3,ISNUMBER(U429))),0,1)+IF(OR(COUNTA(V429:X429)=0,AND(COUNTA(V429:X429)=3,ISNUMBER(X429))),0,1)+IF(OR(COUNTA(Y429:AA429)=0,AND(COUNTA(Y429:AA429)=3,ISNUMBER(AA429))),0,1)+IF(OR(COUNTA(AB429:AD429)=0,AND(COUNTA(AB429:AD429)=3,ISNUMBER(AD429))),0,1)+IF(OR(COUNTA(AE429:AG429)=0,AND(COUNTA(AE429:AG429)=3,ISNUMBER(AG429))),0,1)+IF(OR(COUNTA(AH429:AJ429)=0,AND(COUNTA(AH429:AJ429)=3,ISNUMBER(AJ429))),0,1)+IF(OR(COUNTA(AK429:AM429)=0,AND(COUNTA(AK429:AM429)=3,ISNUMBER(AM429))),0,1)+IF(OR(COUNTA(AN429:AP429)=0,AND(COUNTA(AN429:AP429)=3,ISNUMBER(AP429))),0,1)+IF(OR(COUNTA(AQ429:AS429)=0,AND(COUNTA(AQ429:AS429)=3,ISNUMBER(AS429))),0,1)+IF(OR(COUNTA(AT429:AV429)=0,AND(COUNTA(AT429:AV429)=3,ISNUMBER(AV429))),0,1)+IF(OR(COUNTA(AW429:AY429)=0,AND(COUNTA(AW429:AY429)=3,ISNUMBER(AY429))),0,1)+IF(OR(COUNTA(AZ429:BB429)=0,AND(COUNTA(AZ429:BB429)=3,ISNUMBER(BB429))),0,1))&gt;0,"; An invoice is incomplete (needs No, Date and a number in Ex GST)","")&amp;IF((IF(T429="",0,IFERROR(--(EOMONTH(T429,0)&lt;&gt;S$5),1))+IF(W429="",0,IFERROR(--(EOMONTH(W429,0)&lt;&gt;V$5),1))+IF(Z429="",0,IFERROR(--(EOMONTH(Z429,0)&lt;&gt;Y$5),1))+IF(AC429="",0,IFERROR(--(EOMONTH(AC429,0)&lt;&gt;AB$5),1))+IF(AF429="",0,IFERROR(--(EOMONTH(AF429,0)&lt;&gt;AE$5),1))+IF(AI429="",0,IFERROR(--(EOMONTH(AI429,0)&lt;&gt;AH$5),1))+IF(AL429="",0,IFERROR(--(EOMONTH(AL429,0)&lt;&gt;AK$5),1))+IF(AO429="",0,IFERROR(--(EOMONTH(AO429,0)&lt;&gt;AN$5),1))+IF(AR429="",0,IFERROR(--(EOMONTH(AR429,0)&lt;&gt;AQ$5),1))+IF(AU429="",0,IFERROR(--(EOMONTH(AU429,0)&lt;&gt;AT$5),1))+IF(AX429="",0,IFERROR(--(EOMONTH(AX429,0)&lt;&gt;AW$5),1))+IF(BA429="",0,IFERROR(--(EOMONTH(BA429,0)&lt;&gt;AZ$5),1)))&gt;0,"; An invoice date is not in the month it is typed under",""),3,500))</f>
        <v/>
      </c>
      <c r="S429" s="12" t="n"/>
      <c r="T429" s="13" t="n"/>
      <c r="U429" s="14" t="n"/>
      <c r="V429" s="12" t="n"/>
      <c r="W429" s="13" t="n"/>
      <c r="X429" s="14" t="n"/>
      <c r="Y429" s="12" t="n"/>
      <c r="Z429" s="13" t="n"/>
      <c r="AA429" s="14" t="n"/>
      <c r="AB429" s="12" t="n"/>
      <c r="AC429" s="13" t="n"/>
      <c r="AD429" s="14" t="n"/>
      <c r="AE429" s="12" t="n"/>
      <c r="AF429" s="13" t="n"/>
      <c r="AG429" s="14" t="n"/>
      <c r="AH429" s="12" t="n"/>
      <c r="AI429" s="13" t="n"/>
      <c r="AJ429" s="14" t="n"/>
      <c r="AK429" s="12" t="n"/>
      <c r="AL429" s="13" t="n"/>
      <c r="AM429" s="14" t="n"/>
      <c r="AN429" s="12" t="n"/>
      <c r="AO429" s="13" t="n"/>
      <c r="AP429" s="14" t="n"/>
      <c r="AQ429" s="12" t="n"/>
      <c r="AR429" s="13" t="n"/>
      <c r="AS429" s="14" t="n"/>
      <c r="AT429" s="12" t="n"/>
      <c r="AU429" s="13" t="n"/>
      <c r="AV429" s="14" t="n"/>
      <c r="AW429" s="12" t="n"/>
      <c r="AX429" s="13" t="n"/>
      <c r="AY429" s="14" t="n"/>
      <c r="AZ429" s="12" t="n"/>
      <c r="BA429" s="13" t="n"/>
      <c r="BB429" s="14" t="n"/>
      <c r="BC429" s="11">
        <f>IF(O429="","",IF(J429="GST 10%",ROUND(O429*set_GSTRate,2),0))</f>
        <v/>
      </c>
      <c r="BD429" s="11">
        <f>IF(O429="","",O429+BC429)</f>
        <v/>
      </c>
      <c r="BE429" s="15">
        <f>IF(O429="","",COUNTA(S429,V429,Y429,AB429,AE429,AH429,AK429,AN429,AQ429,AT429,AW429,AZ429))</f>
        <v/>
      </c>
      <c r="BF429" s="16">
        <f>IF(COUNT(T429,W429,Z429,AC429,AF429,AI429,AL429,AO429,AR429,AU429,AX429,BA429)=0,"",MAX(T429,W429,Z429,AC429,AF429,AI429,AL429,AO429,AR429,AU429,AX429,BA429))</f>
        <v/>
      </c>
      <c r="BG429" s="10">
        <f>MID(IF(S429="","",", "&amp;S429)&amp;IF(V429="","",", "&amp;V429)&amp;IF(Y429="","",", "&amp;Y429)&amp;IF(AB429="","",", "&amp;AB429)&amp;IF(AE429="","",", "&amp;AE429)&amp;IF(AH429="","",", "&amp;AH429)&amp;IF(AK429="","",", "&amp;AK429)&amp;IF(AN429="","",", "&amp;AN429)&amp;IF(AQ429="","",", "&amp;AQ429)&amp;IF(AT429="","",", "&amp;AT429)&amp;IF(AW429="","",", "&amp;AW429)&amp;IF(AZ429="","",", "&amp;AZ429),3,500)</f>
        <v/>
      </c>
      <c r="BH429" s="12" t="n"/>
      <c r="BI429" s="15">
        <f>IFERROR(MATCH($A429,IF($B429="Onsite",tbl_Onsite[Row ID],IF($B429="Production",tbl_Production[Row ID],tbl_Consulting[Row ID])),0),"")</f>
        <v/>
      </c>
    </row>
    <row r="430">
      <c r="A430" s="10" t="inlineStr">
        <is>
          <t>ONS-0424</t>
        </is>
      </c>
      <c r="B430" s="10" t="inlineStr">
        <is>
          <t>Onsite</t>
        </is>
      </c>
      <c r="C430" s="10">
        <f>IF($BI430="","",IF($B430="Onsite",INDEX(tbl_Onsite[Job Number],$BI430),IF($B430="Production",INDEX(tbl_Production[Job Number],$BI430),INDEX(tbl_Consulting[Job Number],$BI430)))&amp;"")</f>
        <v/>
      </c>
      <c r="D430" s="10">
        <f>IF($BI430="","",IF($B430="Onsite",INDEX(tbl_Onsite[Client],$BI430),IF($B430="Production",INDEX(tbl_Production[Client],$BI430),INDEX(tbl_Consulting[Client],$BI430)))&amp;"")</f>
        <v/>
      </c>
      <c r="E430" s="10">
        <f>IF($C430="","",IF(COUNTIF(lst_Jobs,$C430)&gt;0,"OK","CHECK"))</f>
        <v/>
      </c>
      <c r="F430" s="10">
        <f>IF($C430="","",IFERROR(INDEX(lst_JobName,MATCH($C430,lst_Jobs,0)),""))</f>
        <v/>
      </c>
      <c r="G430" s="10">
        <f>IF($BI430="","",IF($B430="Onsite",INDEX(tbl_Onsite[Job Description],$BI430),IF($B430="Production",INDEX(tbl_Production[Job Description],$BI430),INDEX(tbl_Consulting[Job Description],$BI430)))&amp;"")</f>
        <v/>
      </c>
      <c r="H430" s="10">
        <f>IF($BI430="","",IF($B430="Onsite",INDEX(tbl_Onsite[Cost Centre],$BI430),IF($B430="Production",INDEX(tbl_Production[Cost Centre],$BI430),INDEX(tbl_Consulting[Cost Centre],$BI430)))&amp;"")</f>
        <v/>
      </c>
      <c r="I430" s="10">
        <f>IF($BI430="","",IF($B430="Onsite",INDEX(tbl_Onsite[Invoice Type],$BI430),IF($B430="Production",INDEX(tbl_Production[Invoice Type],$BI430),INDEX(tbl_Consulting[Invoice Type],$BI430)))&amp;"")</f>
        <v/>
      </c>
      <c r="J430" s="10">
        <f>IF($BI430="","",IF($B430="Onsite",INDEX(tbl_Onsite[Tax Code],$BI430),IF($B430="Production",INDEX(tbl_Production[Tax Code],$BI430),INDEX(tbl_Consulting[Tax Code],$BI430)))&amp;"")</f>
        <v/>
      </c>
      <c r="K430" s="10">
        <f>IF(H430="","",IFERROR(INDEX(lst_CCtoGL,MATCH(H430,lst_CCforGL,0)),""))</f>
        <v/>
      </c>
      <c r="L430" s="10">
        <f>IF($BI430="","",IF($B430="Onsite",INDEX(tbl_Onsite[PO / Reference],$BI430),IF($B430="Production",INDEX(tbl_Production[Current RMS No],$BI430),INDEX(tbl_Consulting[Qwilr Quote],$BI430)))&amp;"")</f>
        <v/>
      </c>
      <c r="M430" s="10">
        <f>IF($BI430="","",IF($B430="Onsite",INDEX(tbl_Onsite[Notes],$BI430),IF($B430="Production",INDEX(tbl_Production[Notes],$BI430),INDEX(tbl_Consulting[Notes],$BI430)))&amp;"")</f>
        <v/>
      </c>
      <c r="N430" s="11">
        <f>IF($BI430="","",IF(IF($B430="Onsite",INDEX(tbl_Onsite[Expected Revenue Ex GST],$BI430),IF($B430="Production",INDEX(tbl_Production[Expected Revenue Ex GST],$BI430),INDEX(tbl_Consulting[Expected Revenue Ex GST],$BI430)))="","",IF($B430="Onsite",INDEX(tbl_Onsite[Expected Revenue Ex GST],$BI430),IF($B430="Production",INDEX(tbl_Production[Expected Revenue Ex GST],$BI430),INDEX(tbl_Consulting[Expected Revenue Ex GST],$BI430)))))</f>
        <v/>
      </c>
      <c r="O430" s="11">
        <f>IF(AND($C430="",NOT(COUNTA($S430:$BB430)&gt;0)),"",SUM(U430,X430,AA430,AD430,AG430,AJ430,AM430,AP430,AS430,AV430,AY430,BB430))</f>
        <v/>
      </c>
      <c r="P430" s="11">
        <f>IF(O430="","",N(N430)-O430)</f>
        <v/>
      </c>
      <c r="Q430" s="10">
        <f>IF(O430="","",IF($C430="","Invoice on empty job row",IF(N430="",IF(ROUND(O430,2)=0,"No dept value","Invoiced - no dept value"),IF(ROUND(O430,2)=0,"Not invoiced - to invoice",IF(ROUND(P430,2)=0,"Agrees",IF(P430&gt;0,"Dept higher - to invoice","Xero higher - check dept"))))))</f>
        <v/>
      </c>
      <c r="R430" s="10">
        <f>IF(AND($C430="",NOT(COUNTA($S430:$BB430)&gt;0),$BI430&lt;&gt;""),"",MID(IF($BI430="","; Row ID not found on the department sheet - a row was deleted","")&amp;IF(AND($C430="",COUNTA($S430:$BB430)&gt;0),"; Invoice entered but the department row has no job number","")&amp;IF(E430="CHECK","; Job number not in the Xero job list","")&amp;IF(AND($C430&lt;&gt;"",COUNTIF($C$7:$C$1506,$C430)&gt;1),"; Job number on more than one row","")&amp;IF(AND($C430&lt;&gt;"",H430=""),"; Dept has not set a cost centre","")&amp;IF(AND($C430&lt;&gt;"",J430=""),"; Dept has not set a tax code","")&amp;IF(AND($C430&lt;&gt;"",N430=""),"; Dept has not entered an expected value","")&amp;IF((IF(OR(COUNTA(S430:U430)=0,AND(COUNTA(S430:U430)=3,ISNUMBER(U430))),0,1)+IF(OR(COUNTA(V430:X430)=0,AND(COUNTA(V430:X430)=3,ISNUMBER(X430))),0,1)+IF(OR(COUNTA(Y430:AA430)=0,AND(COUNTA(Y430:AA430)=3,ISNUMBER(AA430))),0,1)+IF(OR(COUNTA(AB430:AD430)=0,AND(COUNTA(AB430:AD430)=3,ISNUMBER(AD430))),0,1)+IF(OR(COUNTA(AE430:AG430)=0,AND(COUNTA(AE430:AG430)=3,ISNUMBER(AG430))),0,1)+IF(OR(COUNTA(AH430:AJ430)=0,AND(COUNTA(AH430:AJ430)=3,ISNUMBER(AJ430))),0,1)+IF(OR(COUNTA(AK430:AM430)=0,AND(COUNTA(AK430:AM430)=3,ISNUMBER(AM430))),0,1)+IF(OR(COUNTA(AN430:AP430)=0,AND(COUNTA(AN430:AP430)=3,ISNUMBER(AP430))),0,1)+IF(OR(COUNTA(AQ430:AS430)=0,AND(COUNTA(AQ430:AS430)=3,ISNUMBER(AS430))),0,1)+IF(OR(COUNTA(AT430:AV430)=0,AND(COUNTA(AT430:AV430)=3,ISNUMBER(AV430))),0,1)+IF(OR(COUNTA(AW430:AY430)=0,AND(COUNTA(AW430:AY430)=3,ISNUMBER(AY430))),0,1)+IF(OR(COUNTA(AZ430:BB430)=0,AND(COUNTA(AZ430:BB430)=3,ISNUMBER(BB430))),0,1))&gt;0,"; An invoice is incomplete (needs No, Date and a number in Ex GST)","")&amp;IF((IF(T430="",0,IFERROR(--(EOMONTH(T430,0)&lt;&gt;S$5),1))+IF(W430="",0,IFERROR(--(EOMONTH(W430,0)&lt;&gt;V$5),1))+IF(Z430="",0,IFERROR(--(EOMONTH(Z430,0)&lt;&gt;Y$5),1))+IF(AC430="",0,IFERROR(--(EOMONTH(AC430,0)&lt;&gt;AB$5),1))+IF(AF430="",0,IFERROR(--(EOMONTH(AF430,0)&lt;&gt;AE$5),1))+IF(AI430="",0,IFERROR(--(EOMONTH(AI430,0)&lt;&gt;AH$5),1))+IF(AL430="",0,IFERROR(--(EOMONTH(AL430,0)&lt;&gt;AK$5),1))+IF(AO430="",0,IFERROR(--(EOMONTH(AO430,0)&lt;&gt;AN$5),1))+IF(AR430="",0,IFERROR(--(EOMONTH(AR430,0)&lt;&gt;AQ$5),1))+IF(AU430="",0,IFERROR(--(EOMONTH(AU430,0)&lt;&gt;AT$5),1))+IF(AX430="",0,IFERROR(--(EOMONTH(AX430,0)&lt;&gt;AW$5),1))+IF(BA430="",0,IFERROR(--(EOMONTH(BA430,0)&lt;&gt;AZ$5),1)))&gt;0,"; An invoice date is not in the month it is typed under",""),3,500))</f>
        <v/>
      </c>
      <c r="S430" s="12" t="n"/>
      <c r="T430" s="13" t="n"/>
      <c r="U430" s="14" t="n"/>
      <c r="V430" s="12" t="n"/>
      <c r="W430" s="13" t="n"/>
      <c r="X430" s="14" t="n"/>
      <c r="Y430" s="12" t="n"/>
      <c r="Z430" s="13" t="n"/>
      <c r="AA430" s="14" t="n"/>
      <c r="AB430" s="12" t="n"/>
      <c r="AC430" s="13" t="n"/>
      <c r="AD430" s="14" t="n"/>
      <c r="AE430" s="12" t="n"/>
      <c r="AF430" s="13" t="n"/>
      <c r="AG430" s="14" t="n"/>
      <c r="AH430" s="12" t="n"/>
      <c r="AI430" s="13" t="n"/>
      <c r="AJ430" s="14" t="n"/>
      <c r="AK430" s="12" t="n"/>
      <c r="AL430" s="13" t="n"/>
      <c r="AM430" s="14" t="n"/>
      <c r="AN430" s="12" t="n"/>
      <c r="AO430" s="13" t="n"/>
      <c r="AP430" s="14" t="n"/>
      <c r="AQ430" s="12" t="n"/>
      <c r="AR430" s="13" t="n"/>
      <c r="AS430" s="14" t="n"/>
      <c r="AT430" s="12" t="n"/>
      <c r="AU430" s="13" t="n"/>
      <c r="AV430" s="14" t="n"/>
      <c r="AW430" s="12" t="n"/>
      <c r="AX430" s="13" t="n"/>
      <c r="AY430" s="14" t="n"/>
      <c r="AZ430" s="12" t="n"/>
      <c r="BA430" s="13" t="n"/>
      <c r="BB430" s="14" t="n"/>
      <c r="BC430" s="11">
        <f>IF(O430="","",IF(J430="GST 10%",ROUND(O430*set_GSTRate,2),0))</f>
        <v/>
      </c>
      <c r="BD430" s="11">
        <f>IF(O430="","",O430+BC430)</f>
        <v/>
      </c>
      <c r="BE430" s="15">
        <f>IF(O430="","",COUNTA(S430,V430,Y430,AB430,AE430,AH430,AK430,AN430,AQ430,AT430,AW430,AZ430))</f>
        <v/>
      </c>
      <c r="BF430" s="16">
        <f>IF(COUNT(T430,W430,Z430,AC430,AF430,AI430,AL430,AO430,AR430,AU430,AX430,BA430)=0,"",MAX(T430,W430,Z430,AC430,AF430,AI430,AL430,AO430,AR430,AU430,AX430,BA430))</f>
        <v/>
      </c>
      <c r="BG430" s="10">
        <f>MID(IF(S430="","",", "&amp;S430)&amp;IF(V430="","",", "&amp;V430)&amp;IF(Y430="","",", "&amp;Y430)&amp;IF(AB430="","",", "&amp;AB430)&amp;IF(AE430="","",", "&amp;AE430)&amp;IF(AH430="","",", "&amp;AH430)&amp;IF(AK430="","",", "&amp;AK430)&amp;IF(AN430="","",", "&amp;AN430)&amp;IF(AQ430="","",", "&amp;AQ430)&amp;IF(AT430="","",", "&amp;AT430)&amp;IF(AW430="","",", "&amp;AW430)&amp;IF(AZ430="","",", "&amp;AZ430),3,500)</f>
        <v/>
      </c>
      <c r="BH430" s="12" t="n"/>
      <c r="BI430" s="15">
        <f>IFERROR(MATCH($A430,IF($B430="Onsite",tbl_Onsite[Row ID],IF($B430="Production",tbl_Production[Row ID],tbl_Consulting[Row ID])),0),"")</f>
        <v/>
      </c>
    </row>
    <row r="431">
      <c r="A431" s="10" t="inlineStr">
        <is>
          <t>ONS-0425</t>
        </is>
      </c>
      <c r="B431" s="10" t="inlineStr">
        <is>
          <t>Onsite</t>
        </is>
      </c>
      <c r="C431" s="10">
        <f>IF($BI431="","",IF($B431="Onsite",INDEX(tbl_Onsite[Job Number],$BI431),IF($B431="Production",INDEX(tbl_Production[Job Number],$BI431),INDEX(tbl_Consulting[Job Number],$BI431)))&amp;"")</f>
        <v/>
      </c>
      <c r="D431" s="10">
        <f>IF($BI431="","",IF($B431="Onsite",INDEX(tbl_Onsite[Client],$BI431),IF($B431="Production",INDEX(tbl_Production[Client],$BI431),INDEX(tbl_Consulting[Client],$BI431)))&amp;"")</f>
        <v/>
      </c>
      <c r="E431" s="10">
        <f>IF($C431="","",IF(COUNTIF(lst_Jobs,$C431)&gt;0,"OK","CHECK"))</f>
        <v/>
      </c>
      <c r="F431" s="10">
        <f>IF($C431="","",IFERROR(INDEX(lst_JobName,MATCH($C431,lst_Jobs,0)),""))</f>
        <v/>
      </c>
      <c r="G431" s="10">
        <f>IF($BI431="","",IF($B431="Onsite",INDEX(tbl_Onsite[Job Description],$BI431),IF($B431="Production",INDEX(tbl_Production[Job Description],$BI431),INDEX(tbl_Consulting[Job Description],$BI431)))&amp;"")</f>
        <v/>
      </c>
      <c r="H431" s="10">
        <f>IF($BI431="","",IF($B431="Onsite",INDEX(tbl_Onsite[Cost Centre],$BI431),IF($B431="Production",INDEX(tbl_Production[Cost Centre],$BI431),INDEX(tbl_Consulting[Cost Centre],$BI431)))&amp;"")</f>
        <v/>
      </c>
      <c r="I431" s="10">
        <f>IF($BI431="","",IF($B431="Onsite",INDEX(tbl_Onsite[Invoice Type],$BI431),IF($B431="Production",INDEX(tbl_Production[Invoice Type],$BI431),INDEX(tbl_Consulting[Invoice Type],$BI431)))&amp;"")</f>
        <v/>
      </c>
      <c r="J431" s="10">
        <f>IF($BI431="","",IF($B431="Onsite",INDEX(tbl_Onsite[Tax Code],$BI431),IF($B431="Production",INDEX(tbl_Production[Tax Code],$BI431),INDEX(tbl_Consulting[Tax Code],$BI431)))&amp;"")</f>
        <v/>
      </c>
      <c r="K431" s="10">
        <f>IF(H431="","",IFERROR(INDEX(lst_CCtoGL,MATCH(H431,lst_CCforGL,0)),""))</f>
        <v/>
      </c>
      <c r="L431" s="10">
        <f>IF($BI431="","",IF($B431="Onsite",INDEX(tbl_Onsite[PO / Reference],$BI431),IF($B431="Production",INDEX(tbl_Production[Current RMS No],$BI431),INDEX(tbl_Consulting[Qwilr Quote],$BI431)))&amp;"")</f>
        <v/>
      </c>
      <c r="M431" s="10">
        <f>IF($BI431="","",IF($B431="Onsite",INDEX(tbl_Onsite[Notes],$BI431),IF($B431="Production",INDEX(tbl_Production[Notes],$BI431),INDEX(tbl_Consulting[Notes],$BI431)))&amp;"")</f>
        <v/>
      </c>
      <c r="N431" s="11">
        <f>IF($BI431="","",IF(IF($B431="Onsite",INDEX(tbl_Onsite[Expected Revenue Ex GST],$BI431),IF($B431="Production",INDEX(tbl_Production[Expected Revenue Ex GST],$BI431),INDEX(tbl_Consulting[Expected Revenue Ex GST],$BI431)))="","",IF($B431="Onsite",INDEX(tbl_Onsite[Expected Revenue Ex GST],$BI431),IF($B431="Production",INDEX(tbl_Production[Expected Revenue Ex GST],$BI431),INDEX(tbl_Consulting[Expected Revenue Ex GST],$BI431)))))</f>
        <v/>
      </c>
      <c r="O431" s="11">
        <f>IF(AND($C431="",NOT(COUNTA($S431:$BB431)&gt;0)),"",SUM(U431,X431,AA431,AD431,AG431,AJ431,AM431,AP431,AS431,AV431,AY431,BB431))</f>
        <v/>
      </c>
      <c r="P431" s="11">
        <f>IF(O431="","",N(N431)-O431)</f>
        <v/>
      </c>
      <c r="Q431" s="10">
        <f>IF(O431="","",IF($C431="","Invoice on empty job row",IF(N431="",IF(ROUND(O431,2)=0,"No dept value","Invoiced - no dept value"),IF(ROUND(O431,2)=0,"Not invoiced - to invoice",IF(ROUND(P431,2)=0,"Agrees",IF(P431&gt;0,"Dept higher - to invoice","Xero higher - check dept"))))))</f>
        <v/>
      </c>
      <c r="R431" s="10">
        <f>IF(AND($C431="",NOT(COUNTA($S431:$BB431)&gt;0),$BI431&lt;&gt;""),"",MID(IF($BI431="","; Row ID not found on the department sheet - a row was deleted","")&amp;IF(AND($C431="",COUNTA($S431:$BB431)&gt;0),"; Invoice entered but the department row has no job number","")&amp;IF(E431="CHECK","; Job number not in the Xero job list","")&amp;IF(AND($C431&lt;&gt;"",COUNTIF($C$7:$C$1506,$C431)&gt;1),"; Job number on more than one row","")&amp;IF(AND($C431&lt;&gt;"",H431=""),"; Dept has not set a cost centre","")&amp;IF(AND($C431&lt;&gt;"",J431=""),"; Dept has not set a tax code","")&amp;IF(AND($C431&lt;&gt;"",N431=""),"; Dept has not entered an expected value","")&amp;IF((IF(OR(COUNTA(S431:U431)=0,AND(COUNTA(S431:U431)=3,ISNUMBER(U431))),0,1)+IF(OR(COUNTA(V431:X431)=0,AND(COUNTA(V431:X431)=3,ISNUMBER(X431))),0,1)+IF(OR(COUNTA(Y431:AA431)=0,AND(COUNTA(Y431:AA431)=3,ISNUMBER(AA431))),0,1)+IF(OR(COUNTA(AB431:AD431)=0,AND(COUNTA(AB431:AD431)=3,ISNUMBER(AD431))),0,1)+IF(OR(COUNTA(AE431:AG431)=0,AND(COUNTA(AE431:AG431)=3,ISNUMBER(AG431))),0,1)+IF(OR(COUNTA(AH431:AJ431)=0,AND(COUNTA(AH431:AJ431)=3,ISNUMBER(AJ431))),0,1)+IF(OR(COUNTA(AK431:AM431)=0,AND(COUNTA(AK431:AM431)=3,ISNUMBER(AM431))),0,1)+IF(OR(COUNTA(AN431:AP431)=0,AND(COUNTA(AN431:AP431)=3,ISNUMBER(AP431))),0,1)+IF(OR(COUNTA(AQ431:AS431)=0,AND(COUNTA(AQ431:AS431)=3,ISNUMBER(AS431))),0,1)+IF(OR(COUNTA(AT431:AV431)=0,AND(COUNTA(AT431:AV431)=3,ISNUMBER(AV431))),0,1)+IF(OR(COUNTA(AW431:AY431)=0,AND(COUNTA(AW431:AY431)=3,ISNUMBER(AY431))),0,1)+IF(OR(COUNTA(AZ431:BB431)=0,AND(COUNTA(AZ431:BB431)=3,ISNUMBER(BB431))),0,1))&gt;0,"; An invoice is incomplete (needs No, Date and a number in Ex GST)","")&amp;IF((IF(T431="",0,IFERROR(--(EOMONTH(T431,0)&lt;&gt;S$5),1))+IF(W431="",0,IFERROR(--(EOMONTH(W431,0)&lt;&gt;V$5),1))+IF(Z431="",0,IFERROR(--(EOMONTH(Z431,0)&lt;&gt;Y$5),1))+IF(AC431="",0,IFERROR(--(EOMONTH(AC431,0)&lt;&gt;AB$5),1))+IF(AF431="",0,IFERROR(--(EOMONTH(AF431,0)&lt;&gt;AE$5),1))+IF(AI431="",0,IFERROR(--(EOMONTH(AI431,0)&lt;&gt;AH$5),1))+IF(AL431="",0,IFERROR(--(EOMONTH(AL431,0)&lt;&gt;AK$5),1))+IF(AO431="",0,IFERROR(--(EOMONTH(AO431,0)&lt;&gt;AN$5),1))+IF(AR431="",0,IFERROR(--(EOMONTH(AR431,0)&lt;&gt;AQ$5),1))+IF(AU431="",0,IFERROR(--(EOMONTH(AU431,0)&lt;&gt;AT$5),1))+IF(AX431="",0,IFERROR(--(EOMONTH(AX431,0)&lt;&gt;AW$5),1))+IF(BA431="",0,IFERROR(--(EOMONTH(BA431,0)&lt;&gt;AZ$5),1)))&gt;0,"; An invoice date is not in the month it is typed under",""),3,500))</f>
        <v/>
      </c>
      <c r="S431" s="12" t="n"/>
      <c r="T431" s="13" t="n"/>
      <c r="U431" s="14" t="n"/>
      <c r="V431" s="12" t="n"/>
      <c r="W431" s="13" t="n"/>
      <c r="X431" s="14" t="n"/>
      <c r="Y431" s="12" t="n"/>
      <c r="Z431" s="13" t="n"/>
      <c r="AA431" s="14" t="n"/>
      <c r="AB431" s="12" t="n"/>
      <c r="AC431" s="13" t="n"/>
      <c r="AD431" s="14" t="n"/>
      <c r="AE431" s="12" t="n"/>
      <c r="AF431" s="13" t="n"/>
      <c r="AG431" s="14" t="n"/>
      <c r="AH431" s="12" t="n"/>
      <c r="AI431" s="13" t="n"/>
      <c r="AJ431" s="14" t="n"/>
      <c r="AK431" s="12" t="n"/>
      <c r="AL431" s="13" t="n"/>
      <c r="AM431" s="14" t="n"/>
      <c r="AN431" s="12" t="n"/>
      <c r="AO431" s="13" t="n"/>
      <c r="AP431" s="14" t="n"/>
      <c r="AQ431" s="12" t="n"/>
      <c r="AR431" s="13" t="n"/>
      <c r="AS431" s="14" t="n"/>
      <c r="AT431" s="12" t="n"/>
      <c r="AU431" s="13" t="n"/>
      <c r="AV431" s="14" t="n"/>
      <c r="AW431" s="12" t="n"/>
      <c r="AX431" s="13" t="n"/>
      <c r="AY431" s="14" t="n"/>
      <c r="AZ431" s="12" t="n"/>
      <c r="BA431" s="13" t="n"/>
      <c r="BB431" s="14" t="n"/>
      <c r="BC431" s="11">
        <f>IF(O431="","",IF(J431="GST 10%",ROUND(O431*set_GSTRate,2),0))</f>
        <v/>
      </c>
      <c r="BD431" s="11">
        <f>IF(O431="","",O431+BC431)</f>
        <v/>
      </c>
      <c r="BE431" s="15">
        <f>IF(O431="","",COUNTA(S431,V431,Y431,AB431,AE431,AH431,AK431,AN431,AQ431,AT431,AW431,AZ431))</f>
        <v/>
      </c>
      <c r="BF431" s="16">
        <f>IF(COUNT(T431,W431,Z431,AC431,AF431,AI431,AL431,AO431,AR431,AU431,AX431,BA431)=0,"",MAX(T431,W431,Z431,AC431,AF431,AI431,AL431,AO431,AR431,AU431,AX431,BA431))</f>
        <v/>
      </c>
      <c r="BG431" s="10">
        <f>MID(IF(S431="","",", "&amp;S431)&amp;IF(V431="","",", "&amp;V431)&amp;IF(Y431="","",", "&amp;Y431)&amp;IF(AB431="","",", "&amp;AB431)&amp;IF(AE431="","",", "&amp;AE431)&amp;IF(AH431="","",", "&amp;AH431)&amp;IF(AK431="","",", "&amp;AK431)&amp;IF(AN431="","",", "&amp;AN431)&amp;IF(AQ431="","",", "&amp;AQ431)&amp;IF(AT431="","",", "&amp;AT431)&amp;IF(AW431="","",", "&amp;AW431)&amp;IF(AZ431="","",", "&amp;AZ431),3,500)</f>
        <v/>
      </c>
      <c r="BH431" s="12" t="n"/>
      <c r="BI431" s="15">
        <f>IFERROR(MATCH($A431,IF($B431="Onsite",tbl_Onsite[Row ID],IF($B431="Production",tbl_Production[Row ID],tbl_Consulting[Row ID])),0),"")</f>
        <v/>
      </c>
    </row>
    <row r="432">
      <c r="A432" s="10" t="inlineStr">
        <is>
          <t>ONS-0426</t>
        </is>
      </c>
      <c r="B432" s="10" t="inlineStr">
        <is>
          <t>Onsite</t>
        </is>
      </c>
      <c r="C432" s="10">
        <f>IF($BI432="","",IF($B432="Onsite",INDEX(tbl_Onsite[Job Number],$BI432),IF($B432="Production",INDEX(tbl_Production[Job Number],$BI432),INDEX(tbl_Consulting[Job Number],$BI432)))&amp;"")</f>
        <v/>
      </c>
      <c r="D432" s="10">
        <f>IF($BI432="","",IF($B432="Onsite",INDEX(tbl_Onsite[Client],$BI432),IF($B432="Production",INDEX(tbl_Production[Client],$BI432),INDEX(tbl_Consulting[Client],$BI432)))&amp;"")</f>
        <v/>
      </c>
      <c r="E432" s="10">
        <f>IF($C432="","",IF(COUNTIF(lst_Jobs,$C432)&gt;0,"OK","CHECK"))</f>
        <v/>
      </c>
      <c r="F432" s="10">
        <f>IF($C432="","",IFERROR(INDEX(lst_JobName,MATCH($C432,lst_Jobs,0)),""))</f>
        <v/>
      </c>
      <c r="G432" s="10">
        <f>IF($BI432="","",IF($B432="Onsite",INDEX(tbl_Onsite[Job Description],$BI432),IF($B432="Production",INDEX(tbl_Production[Job Description],$BI432),INDEX(tbl_Consulting[Job Description],$BI432)))&amp;"")</f>
        <v/>
      </c>
      <c r="H432" s="10">
        <f>IF($BI432="","",IF($B432="Onsite",INDEX(tbl_Onsite[Cost Centre],$BI432),IF($B432="Production",INDEX(tbl_Production[Cost Centre],$BI432),INDEX(tbl_Consulting[Cost Centre],$BI432)))&amp;"")</f>
        <v/>
      </c>
      <c r="I432" s="10">
        <f>IF($BI432="","",IF($B432="Onsite",INDEX(tbl_Onsite[Invoice Type],$BI432),IF($B432="Production",INDEX(tbl_Production[Invoice Type],$BI432),INDEX(tbl_Consulting[Invoice Type],$BI432)))&amp;"")</f>
        <v/>
      </c>
      <c r="J432" s="10">
        <f>IF($BI432="","",IF($B432="Onsite",INDEX(tbl_Onsite[Tax Code],$BI432),IF($B432="Production",INDEX(tbl_Production[Tax Code],$BI432),INDEX(tbl_Consulting[Tax Code],$BI432)))&amp;"")</f>
        <v/>
      </c>
      <c r="K432" s="10">
        <f>IF(H432="","",IFERROR(INDEX(lst_CCtoGL,MATCH(H432,lst_CCforGL,0)),""))</f>
        <v/>
      </c>
      <c r="L432" s="10">
        <f>IF($BI432="","",IF($B432="Onsite",INDEX(tbl_Onsite[PO / Reference],$BI432),IF($B432="Production",INDEX(tbl_Production[Current RMS No],$BI432),INDEX(tbl_Consulting[Qwilr Quote],$BI432)))&amp;"")</f>
        <v/>
      </c>
      <c r="M432" s="10">
        <f>IF($BI432="","",IF($B432="Onsite",INDEX(tbl_Onsite[Notes],$BI432),IF($B432="Production",INDEX(tbl_Production[Notes],$BI432),INDEX(tbl_Consulting[Notes],$BI432)))&amp;"")</f>
        <v/>
      </c>
      <c r="N432" s="11">
        <f>IF($BI432="","",IF(IF($B432="Onsite",INDEX(tbl_Onsite[Expected Revenue Ex GST],$BI432),IF($B432="Production",INDEX(tbl_Production[Expected Revenue Ex GST],$BI432),INDEX(tbl_Consulting[Expected Revenue Ex GST],$BI432)))="","",IF($B432="Onsite",INDEX(tbl_Onsite[Expected Revenue Ex GST],$BI432),IF($B432="Production",INDEX(tbl_Production[Expected Revenue Ex GST],$BI432),INDEX(tbl_Consulting[Expected Revenue Ex GST],$BI432)))))</f>
        <v/>
      </c>
      <c r="O432" s="11">
        <f>IF(AND($C432="",NOT(COUNTA($S432:$BB432)&gt;0)),"",SUM(U432,X432,AA432,AD432,AG432,AJ432,AM432,AP432,AS432,AV432,AY432,BB432))</f>
        <v/>
      </c>
      <c r="P432" s="11">
        <f>IF(O432="","",N(N432)-O432)</f>
        <v/>
      </c>
      <c r="Q432" s="10">
        <f>IF(O432="","",IF($C432="","Invoice on empty job row",IF(N432="",IF(ROUND(O432,2)=0,"No dept value","Invoiced - no dept value"),IF(ROUND(O432,2)=0,"Not invoiced - to invoice",IF(ROUND(P432,2)=0,"Agrees",IF(P432&gt;0,"Dept higher - to invoice","Xero higher - check dept"))))))</f>
        <v/>
      </c>
      <c r="R432" s="10">
        <f>IF(AND($C432="",NOT(COUNTA($S432:$BB432)&gt;0),$BI432&lt;&gt;""),"",MID(IF($BI432="","; Row ID not found on the department sheet - a row was deleted","")&amp;IF(AND($C432="",COUNTA($S432:$BB432)&gt;0),"; Invoice entered but the department row has no job number","")&amp;IF(E432="CHECK","; Job number not in the Xero job list","")&amp;IF(AND($C432&lt;&gt;"",COUNTIF($C$7:$C$1506,$C432)&gt;1),"; Job number on more than one row","")&amp;IF(AND($C432&lt;&gt;"",H432=""),"; Dept has not set a cost centre","")&amp;IF(AND($C432&lt;&gt;"",J432=""),"; Dept has not set a tax code","")&amp;IF(AND($C432&lt;&gt;"",N432=""),"; Dept has not entered an expected value","")&amp;IF((IF(OR(COUNTA(S432:U432)=0,AND(COUNTA(S432:U432)=3,ISNUMBER(U432))),0,1)+IF(OR(COUNTA(V432:X432)=0,AND(COUNTA(V432:X432)=3,ISNUMBER(X432))),0,1)+IF(OR(COUNTA(Y432:AA432)=0,AND(COUNTA(Y432:AA432)=3,ISNUMBER(AA432))),0,1)+IF(OR(COUNTA(AB432:AD432)=0,AND(COUNTA(AB432:AD432)=3,ISNUMBER(AD432))),0,1)+IF(OR(COUNTA(AE432:AG432)=0,AND(COUNTA(AE432:AG432)=3,ISNUMBER(AG432))),0,1)+IF(OR(COUNTA(AH432:AJ432)=0,AND(COUNTA(AH432:AJ432)=3,ISNUMBER(AJ432))),0,1)+IF(OR(COUNTA(AK432:AM432)=0,AND(COUNTA(AK432:AM432)=3,ISNUMBER(AM432))),0,1)+IF(OR(COUNTA(AN432:AP432)=0,AND(COUNTA(AN432:AP432)=3,ISNUMBER(AP432))),0,1)+IF(OR(COUNTA(AQ432:AS432)=0,AND(COUNTA(AQ432:AS432)=3,ISNUMBER(AS432))),0,1)+IF(OR(COUNTA(AT432:AV432)=0,AND(COUNTA(AT432:AV432)=3,ISNUMBER(AV432))),0,1)+IF(OR(COUNTA(AW432:AY432)=0,AND(COUNTA(AW432:AY432)=3,ISNUMBER(AY432))),0,1)+IF(OR(COUNTA(AZ432:BB432)=0,AND(COUNTA(AZ432:BB432)=3,ISNUMBER(BB432))),0,1))&gt;0,"; An invoice is incomplete (needs No, Date and a number in Ex GST)","")&amp;IF((IF(T432="",0,IFERROR(--(EOMONTH(T432,0)&lt;&gt;S$5),1))+IF(W432="",0,IFERROR(--(EOMONTH(W432,0)&lt;&gt;V$5),1))+IF(Z432="",0,IFERROR(--(EOMONTH(Z432,0)&lt;&gt;Y$5),1))+IF(AC432="",0,IFERROR(--(EOMONTH(AC432,0)&lt;&gt;AB$5),1))+IF(AF432="",0,IFERROR(--(EOMONTH(AF432,0)&lt;&gt;AE$5),1))+IF(AI432="",0,IFERROR(--(EOMONTH(AI432,0)&lt;&gt;AH$5),1))+IF(AL432="",0,IFERROR(--(EOMONTH(AL432,0)&lt;&gt;AK$5),1))+IF(AO432="",0,IFERROR(--(EOMONTH(AO432,0)&lt;&gt;AN$5),1))+IF(AR432="",0,IFERROR(--(EOMONTH(AR432,0)&lt;&gt;AQ$5),1))+IF(AU432="",0,IFERROR(--(EOMONTH(AU432,0)&lt;&gt;AT$5),1))+IF(AX432="",0,IFERROR(--(EOMONTH(AX432,0)&lt;&gt;AW$5),1))+IF(BA432="",0,IFERROR(--(EOMONTH(BA432,0)&lt;&gt;AZ$5),1)))&gt;0,"; An invoice date is not in the month it is typed under",""),3,500))</f>
        <v/>
      </c>
      <c r="S432" s="12" t="n"/>
      <c r="T432" s="13" t="n"/>
      <c r="U432" s="14" t="n"/>
      <c r="V432" s="12" t="n"/>
      <c r="W432" s="13" t="n"/>
      <c r="X432" s="14" t="n"/>
      <c r="Y432" s="12" t="n"/>
      <c r="Z432" s="13" t="n"/>
      <c r="AA432" s="14" t="n"/>
      <c r="AB432" s="12" t="n"/>
      <c r="AC432" s="13" t="n"/>
      <c r="AD432" s="14" t="n"/>
      <c r="AE432" s="12" t="n"/>
      <c r="AF432" s="13" t="n"/>
      <c r="AG432" s="14" t="n"/>
      <c r="AH432" s="12" t="n"/>
      <c r="AI432" s="13" t="n"/>
      <c r="AJ432" s="14" t="n"/>
      <c r="AK432" s="12" t="n"/>
      <c r="AL432" s="13" t="n"/>
      <c r="AM432" s="14" t="n"/>
      <c r="AN432" s="12" t="n"/>
      <c r="AO432" s="13" t="n"/>
      <c r="AP432" s="14" t="n"/>
      <c r="AQ432" s="12" t="n"/>
      <c r="AR432" s="13" t="n"/>
      <c r="AS432" s="14" t="n"/>
      <c r="AT432" s="12" t="n"/>
      <c r="AU432" s="13" t="n"/>
      <c r="AV432" s="14" t="n"/>
      <c r="AW432" s="12" t="n"/>
      <c r="AX432" s="13" t="n"/>
      <c r="AY432" s="14" t="n"/>
      <c r="AZ432" s="12" t="n"/>
      <c r="BA432" s="13" t="n"/>
      <c r="BB432" s="14" t="n"/>
      <c r="BC432" s="11">
        <f>IF(O432="","",IF(J432="GST 10%",ROUND(O432*set_GSTRate,2),0))</f>
        <v/>
      </c>
      <c r="BD432" s="11">
        <f>IF(O432="","",O432+BC432)</f>
        <v/>
      </c>
      <c r="BE432" s="15">
        <f>IF(O432="","",COUNTA(S432,V432,Y432,AB432,AE432,AH432,AK432,AN432,AQ432,AT432,AW432,AZ432))</f>
        <v/>
      </c>
      <c r="BF432" s="16">
        <f>IF(COUNT(T432,W432,Z432,AC432,AF432,AI432,AL432,AO432,AR432,AU432,AX432,BA432)=0,"",MAX(T432,W432,Z432,AC432,AF432,AI432,AL432,AO432,AR432,AU432,AX432,BA432))</f>
        <v/>
      </c>
      <c r="BG432" s="10">
        <f>MID(IF(S432="","",", "&amp;S432)&amp;IF(V432="","",", "&amp;V432)&amp;IF(Y432="","",", "&amp;Y432)&amp;IF(AB432="","",", "&amp;AB432)&amp;IF(AE432="","",", "&amp;AE432)&amp;IF(AH432="","",", "&amp;AH432)&amp;IF(AK432="","",", "&amp;AK432)&amp;IF(AN432="","",", "&amp;AN432)&amp;IF(AQ432="","",", "&amp;AQ432)&amp;IF(AT432="","",", "&amp;AT432)&amp;IF(AW432="","",", "&amp;AW432)&amp;IF(AZ432="","",", "&amp;AZ432),3,500)</f>
        <v/>
      </c>
      <c r="BH432" s="12" t="n"/>
      <c r="BI432" s="15">
        <f>IFERROR(MATCH($A432,IF($B432="Onsite",tbl_Onsite[Row ID],IF($B432="Production",tbl_Production[Row ID],tbl_Consulting[Row ID])),0),"")</f>
        <v/>
      </c>
    </row>
    <row r="433">
      <c r="A433" s="10" t="inlineStr">
        <is>
          <t>ONS-0427</t>
        </is>
      </c>
      <c r="B433" s="10" t="inlineStr">
        <is>
          <t>Onsite</t>
        </is>
      </c>
      <c r="C433" s="10">
        <f>IF($BI433="","",IF($B433="Onsite",INDEX(tbl_Onsite[Job Number],$BI433),IF($B433="Production",INDEX(tbl_Production[Job Number],$BI433),INDEX(tbl_Consulting[Job Number],$BI433)))&amp;"")</f>
        <v/>
      </c>
      <c r="D433" s="10">
        <f>IF($BI433="","",IF($B433="Onsite",INDEX(tbl_Onsite[Client],$BI433),IF($B433="Production",INDEX(tbl_Production[Client],$BI433),INDEX(tbl_Consulting[Client],$BI433)))&amp;"")</f>
        <v/>
      </c>
      <c r="E433" s="10">
        <f>IF($C433="","",IF(COUNTIF(lst_Jobs,$C433)&gt;0,"OK","CHECK"))</f>
        <v/>
      </c>
      <c r="F433" s="10">
        <f>IF($C433="","",IFERROR(INDEX(lst_JobName,MATCH($C433,lst_Jobs,0)),""))</f>
        <v/>
      </c>
      <c r="G433" s="10">
        <f>IF($BI433="","",IF($B433="Onsite",INDEX(tbl_Onsite[Job Description],$BI433),IF($B433="Production",INDEX(tbl_Production[Job Description],$BI433),INDEX(tbl_Consulting[Job Description],$BI433)))&amp;"")</f>
        <v/>
      </c>
      <c r="H433" s="10">
        <f>IF($BI433="","",IF($B433="Onsite",INDEX(tbl_Onsite[Cost Centre],$BI433),IF($B433="Production",INDEX(tbl_Production[Cost Centre],$BI433),INDEX(tbl_Consulting[Cost Centre],$BI433)))&amp;"")</f>
        <v/>
      </c>
      <c r="I433" s="10">
        <f>IF($BI433="","",IF($B433="Onsite",INDEX(tbl_Onsite[Invoice Type],$BI433),IF($B433="Production",INDEX(tbl_Production[Invoice Type],$BI433),INDEX(tbl_Consulting[Invoice Type],$BI433)))&amp;"")</f>
        <v/>
      </c>
      <c r="J433" s="10">
        <f>IF($BI433="","",IF($B433="Onsite",INDEX(tbl_Onsite[Tax Code],$BI433),IF($B433="Production",INDEX(tbl_Production[Tax Code],$BI433),INDEX(tbl_Consulting[Tax Code],$BI433)))&amp;"")</f>
        <v/>
      </c>
      <c r="K433" s="10">
        <f>IF(H433="","",IFERROR(INDEX(lst_CCtoGL,MATCH(H433,lst_CCforGL,0)),""))</f>
        <v/>
      </c>
      <c r="L433" s="10">
        <f>IF($BI433="","",IF($B433="Onsite",INDEX(tbl_Onsite[PO / Reference],$BI433),IF($B433="Production",INDEX(tbl_Production[Current RMS No],$BI433),INDEX(tbl_Consulting[Qwilr Quote],$BI433)))&amp;"")</f>
        <v/>
      </c>
      <c r="M433" s="10">
        <f>IF($BI433="","",IF($B433="Onsite",INDEX(tbl_Onsite[Notes],$BI433),IF($B433="Production",INDEX(tbl_Production[Notes],$BI433),INDEX(tbl_Consulting[Notes],$BI433)))&amp;"")</f>
        <v/>
      </c>
      <c r="N433" s="11">
        <f>IF($BI433="","",IF(IF($B433="Onsite",INDEX(tbl_Onsite[Expected Revenue Ex GST],$BI433),IF($B433="Production",INDEX(tbl_Production[Expected Revenue Ex GST],$BI433),INDEX(tbl_Consulting[Expected Revenue Ex GST],$BI433)))="","",IF($B433="Onsite",INDEX(tbl_Onsite[Expected Revenue Ex GST],$BI433),IF($B433="Production",INDEX(tbl_Production[Expected Revenue Ex GST],$BI433),INDEX(tbl_Consulting[Expected Revenue Ex GST],$BI433)))))</f>
        <v/>
      </c>
      <c r="O433" s="11">
        <f>IF(AND($C433="",NOT(COUNTA($S433:$BB433)&gt;0)),"",SUM(U433,X433,AA433,AD433,AG433,AJ433,AM433,AP433,AS433,AV433,AY433,BB433))</f>
        <v/>
      </c>
      <c r="P433" s="11">
        <f>IF(O433="","",N(N433)-O433)</f>
        <v/>
      </c>
      <c r="Q433" s="10">
        <f>IF(O433="","",IF($C433="","Invoice on empty job row",IF(N433="",IF(ROUND(O433,2)=0,"No dept value","Invoiced - no dept value"),IF(ROUND(O433,2)=0,"Not invoiced - to invoice",IF(ROUND(P433,2)=0,"Agrees",IF(P433&gt;0,"Dept higher - to invoice","Xero higher - check dept"))))))</f>
        <v/>
      </c>
      <c r="R433" s="10">
        <f>IF(AND($C433="",NOT(COUNTA($S433:$BB433)&gt;0),$BI433&lt;&gt;""),"",MID(IF($BI433="","; Row ID not found on the department sheet - a row was deleted","")&amp;IF(AND($C433="",COUNTA($S433:$BB433)&gt;0),"; Invoice entered but the department row has no job number","")&amp;IF(E433="CHECK","; Job number not in the Xero job list","")&amp;IF(AND($C433&lt;&gt;"",COUNTIF($C$7:$C$1506,$C433)&gt;1),"; Job number on more than one row","")&amp;IF(AND($C433&lt;&gt;"",H433=""),"; Dept has not set a cost centre","")&amp;IF(AND($C433&lt;&gt;"",J433=""),"; Dept has not set a tax code","")&amp;IF(AND($C433&lt;&gt;"",N433=""),"; Dept has not entered an expected value","")&amp;IF((IF(OR(COUNTA(S433:U433)=0,AND(COUNTA(S433:U433)=3,ISNUMBER(U433))),0,1)+IF(OR(COUNTA(V433:X433)=0,AND(COUNTA(V433:X433)=3,ISNUMBER(X433))),0,1)+IF(OR(COUNTA(Y433:AA433)=0,AND(COUNTA(Y433:AA433)=3,ISNUMBER(AA433))),0,1)+IF(OR(COUNTA(AB433:AD433)=0,AND(COUNTA(AB433:AD433)=3,ISNUMBER(AD433))),0,1)+IF(OR(COUNTA(AE433:AG433)=0,AND(COUNTA(AE433:AG433)=3,ISNUMBER(AG433))),0,1)+IF(OR(COUNTA(AH433:AJ433)=0,AND(COUNTA(AH433:AJ433)=3,ISNUMBER(AJ433))),0,1)+IF(OR(COUNTA(AK433:AM433)=0,AND(COUNTA(AK433:AM433)=3,ISNUMBER(AM433))),0,1)+IF(OR(COUNTA(AN433:AP433)=0,AND(COUNTA(AN433:AP433)=3,ISNUMBER(AP433))),0,1)+IF(OR(COUNTA(AQ433:AS433)=0,AND(COUNTA(AQ433:AS433)=3,ISNUMBER(AS433))),0,1)+IF(OR(COUNTA(AT433:AV433)=0,AND(COUNTA(AT433:AV433)=3,ISNUMBER(AV433))),0,1)+IF(OR(COUNTA(AW433:AY433)=0,AND(COUNTA(AW433:AY433)=3,ISNUMBER(AY433))),0,1)+IF(OR(COUNTA(AZ433:BB433)=0,AND(COUNTA(AZ433:BB433)=3,ISNUMBER(BB433))),0,1))&gt;0,"; An invoice is incomplete (needs No, Date and a number in Ex GST)","")&amp;IF((IF(T433="",0,IFERROR(--(EOMONTH(T433,0)&lt;&gt;S$5),1))+IF(W433="",0,IFERROR(--(EOMONTH(W433,0)&lt;&gt;V$5),1))+IF(Z433="",0,IFERROR(--(EOMONTH(Z433,0)&lt;&gt;Y$5),1))+IF(AC433="",0,IFERROR(--(EOMONTH(AC433,0)&lt;&gt;AB$5),1))+IF(AF433="",0,IFERROR(--(EOMONTH(AF433,0)&lt;&gt;AE$5),1))+IF(AI433="",0,IFERROR(--(EOMONTH(AI433,0)&lt;&gt;AH$5),1))+IF(AL433="",0,IFERROR(--(EOMONTH(AL433,0)&lt;&gt;AK$5),1))+IF(AO433="",0,IFERROR(--(EOMONTH(AO433,0)&lt;&gt;AN$5),1))+IF(AR433="",0,IFERROR(--(EOMONTH(AR433,0)&lt;&gt;AQ$5),1))+IF(AU433="",0,IFERROR(--(EOMONTH(AU433,0)&lt;&gt;AT$5),1))+IF(AX433="",0,IFERROR(--(EOMONTH(AX433,0)&lt;&gt;AW$5),1))+IF(BA433="",0,IFERROR(--(EOMONTH(BA433,0)&lt;&gt;AZ$5),1)))&gt;0,"; An invoice date is not in the month it is typed under",""),3,500))</f>
        <v/>
      </c>
      <c r="S433" s="12" t="n"/>
      <c r="T433" s="13" t="n"/>
      <c r="U433" s="14" t="n"/>
      <c r="V433" s="12" t="n"/>
      <c r="W433" s="13" t="n"/>
      <c r="X433" s="14" t="n"/>
      <c r="Y433" s="12" t="n"/>
      <c r="Z433" s="13" t="n"/>
      <c r="AA433" s="14" t="n"/>
      <c r="AB433" s="12" t="n"/>
      <c r="AC433" s="13" t="n"/>
      <c r="AD433" s="14" t="n"/>
      <c r="AE433" s="12" t="n"/>
      <c r="AF433" s="13" t="n"/>
      <c r="AG433" s="14" t="n"/>
      <c r="AH433" s="12" t="n"/>
      <c r="AI433" s="13" t="n"/>
      <c r="AJ433" s="14" t="n"/>
      <c r="AK433" s="12" t="n"/>
      <c r="AL433" s="13" t="n"/>
      <c r="AM433" s="14" t="n"/>
      <c r="AN433" s="12" t="n"/>
      <c r="AO433" s="13" t="n"/>
      <c r="AP433" s="14" t="n"/>
      <c r="AQ433" s="12" t="n"/>
      <c r="AR433" s="13" t="n"/>
      <c r="AS433" s="14" t="n"/>
      <c r="AT433" s="12" t="n"/>
      <c r="AU433" s="13" t="n"/>
      <c r="AV433" s="14" t="n"/>
      <c r="AW433" s="12" t="n"/>
      <c r="AX433" s="13" t="n"/>
      <c r="AY433" s="14" t="n"/>
      <c r="AZ433" s="12" t="n"/>
      <c r="BA433" s="13" t="n"/>
      <c r="BB433" s="14" t="n"/>
      <c r="BC433" s="11">
        <f>IF(O433="","",IF(J433="GST 10%",ROUND(O433*set_GSTRate,2),0))</f>
        <v/>
      </c>
      <c r="BD433" s="11">
        <f>IF(O433="","",O433+BC433)</f>
        <v/>
      </c>
      <c r="BE433" s="15">
        <f>IF(O433="","",COUNTA(S433,V433,Y433,AB433,AE433,AH433,AK433,AN433,AQ433,AT433,AW433,AZ433))</f>
        <v/>
      </c>
      <c r="BF433" s="16">
        <f>IF(COUNT(T433,W433,Z433,AC433,AF433,AI433,AL433,AO433,AR433,AU433,AX433,BA433)=0,"",MAX(T433,W433,Z433,AC433,AF433,AI433,AL433,AO433,AR433,AU433,AX433,BA433))</f>
        <v/>
      </c>
      <c r="BG433" s="10">
        <f>MID(IF(S433="","",", "&amp;S433)&amp;IF(V433="","",", "&amp;V433)&amp;IF(Y433="","",", "&amp;Y433)&amp;IF(AB433="","",", "&amp;AB433)&amp;IF(AE433="","",", "&amp;AE433)&amp;IF(AH433="","",", "&amp;AH433)&amp;IF(AK433="","",", "&amp;AK433)&amp;IF(AN433="","",", "&amp;AN433)&amp;IF(AQ433="","",", "&amp;AQ433)&amp;IF(AT433="","",", "&amp;AT433)&amp;IF(AW433="","",", "&amp;AW433)&amp;IF(AZ433="","",", "&amp;AZ433),3,500)</f>
        <v/>
      </c>
      <c r="BH433" s="12" t="n"/>
      <c r="BI433" s="15">
        <f>IFERROR(MATCH($A433,IF($B433="Onsite",tbl_Onsite[Row ID],IF($B433="Production",tbl_Production[Row ID],tbl_Consulting[Row ID])),0),"")</f>
        <v/>
      </c>
    </row>
    <row r="434">
      <c r="A434" s="10" t="inlineStr">
        <is>
          <t>ONS-0428</t>
        </is>
      </c>
      <c r="B434" s="10" t="inlineStr">
        <is>
          <t>Onsite</t>
        </is>
      </c>
      <c r="C434" s="10">
        <f>IF($BI434="","",IF($B434="Onsite",INDEX(tbl_Onsite[Job Number],$BI434),IF($B434="Production",INDEX(tbl_Production[Job Number],$BI434),INDEX(tbl_Consulting[Job Number],$BI434)))&amp;"")</f>
        <v/>
      </c>
      <c r="D434" s="10">
        <f>IF($BI434="","",IF($B434="Onsite",INDEX(tbl_Onsite[Client],$BI434),IF($B434="Production",INDEX(tbl_Production[Client],$BI434),INDEX(tbl_Consulting[Client],$BI434)))&amp;"")</f>
        <v/>
      </c>
      <c r="E434" s="10">
        <f>IF($C434="","",IF(COUNTIF(lst_Jobs,$C434)&gt;0,"OK","CHECK"))</f>
        <v/>
      </c>
      <c r="F434" s="10">
        <f>IF($C434="","",IFERROR(INDEX(lst_JobName,MATCH($C434,lst_Jobs,0)),""))</f>
        <v/>
      </c>
      <c r="G434" s="10">
        <f>IF($BI434="","",IF($B434="Onsite",INDEX(tbl_Onsite[Job Description],$BI434),IF($B434="Production",INDEX(tbl_Production[Job Description],$BI434),INDEX(tbl_Consulting[Job Description],$BI434)))&amp;"")</f>
        <v/>
      </c>
      <c r="H434" s="10">
        <f>IF($BI434="","",IF($B434="Onsite",INDEX(tbl_Onsite[Cost Centre],$BI434),IF($B434="Production",INDEX(tbl_Production[Cost Centre],$BI434),INDEX(tbl_Consulting[Cost Centre],$BI434)))&amp;"")</f>
        <v/>
      </c>
      <c r="I434" s="10">
        <f>IF($BI434="","",IF($B434="Onsite",INDEX(tbl_Onsite[Invoice Type],$BI434),IF($B434="Production",INDEX(tbl_Production[Invoice Type],$BI434),INDEX(tbl_Consulting[Invoice Type],$BI434)))&amp;"")</f>
        <v/>
      </c>
      <c r="J434" s="10">
        <f>IF($BI434="","",IF($B434="Onsite",INDEX(tbl_Onsite[Tax Code],$BI434),IF($B434="Production",INDEX(tbl_Production[Tax Code],$BI434),INDEX(tbl_Consulting[Tax Code],$BI434)))&amp;"")</f>
        <v/>
      </c>
      <c r="K434" s="10">
        <f>IF(H434="","",IFERROR(INDEX(lst_CCtoGL,MATCH(H434,lst_CCforGL,0)),""))</f>
        <v/>
      </c>
      <c r="L434" s="10">
        <f>IF($BI434="","",IF($B434="Onsite",INDEX(tbl_Onsite[PO / Reference],$BI434),IF($B434="Production",INDEX(tbl_Production[Current RMS No],$BI434),INDEX(tbl_Consulting[Qwilr Quote],$BI434)))&amp;"")</f>
        <v/>
      </c>
      <c r="M434" s="10">
        <f>IF($BI434="","",IF($B434="Onsite",INDEX(tbl_Onsite[Notes],$BI434),IF($B434="Production",INDEX(tbl_Production[Notes],$BI434),INDEX(tbl_Consulting[Notes],$BI434)))&amp;"")</f>
        <v/>
      </c>
      <c r="N434" s="11">
        <f>IF($BI434="","",IF(IF($B434="Onsite",INDEX(tbl_Onsite[Expected Revenue Ex GST],$BI434),IF($B434="Production",INDEX(tbl_Production[Expected Revenue Ex GST],$BI434),INDEX(tbl_Consulting[Expected Revenue Ex GST],$BI434)))="","",IF($B434="Onsite",INDEX(tbl_Onsite[Expected Revenue Ex GST],$BI434),IF($B434="Production",INDEX(tbl_Production[Expected Revenue Ex GST],$BI434),INDEX(tbl_Consulting[Expected Revenue Ex GST],$BI434)))))</f>
        <v/>
      </c>
      <c r="O434" s="11">
        <f>IF(AND($C434="",NOT(COUNTA($S434:$BB434)&gt;0)),"",SUM(U434,X434,AA434,AD434,AG434,AJ434,AM434,AP434,AS434,AV434,AY434,BB434))</f>
        <v/>
      </c>
      <c r="P434" s="11">
        <f>IF(O434="","",N(N434)-O434)</f>
        <v/>
      </c>
      <c r="Q434" s="10">
        <f>IF(O434="","",IF($C434="","Invoice on empty job row",IF(N434="",IF(ROUND(O434,2)=0,"No dept value","Invoiced - no dept value"),IF(ROUND(O434,2)=0,"Not invoiced - to invoice",IF(ROUND(P434,2)=0,"Agrees",IF(P434&gt;0,"Dept higher - to invoice","Xero higher - check dept"))))))</f>
        <v/>
      </c>
      <c r="R434" s="10">
        <f>IF(AND($C434="",NOT(COUNTA($S434:$BB434)&gt;0),$BI434&lt;&gt;""),"",MID(IF($BI434="","; Row ID not found on the department sheet - a row was deleted","")&amp;IF(AND($C434="",COUNTA($S434:$BB434)&gt;0),"; Invoice entered but the department row has no job number","")&amp;IF(E434="CHECK","; Job number not in the Xero job list","")&amp;IF(AND($C434&lt;&gt;"",COUNTIF($C$7:$C$1506,$C434)&gt;1),"; Job number on more than one row","")&amp;IF(AND($C434&lt;&gt;"",H434=""),"; Dept has not set a cost centre","")&amp;IF(AND($C434&lt;&gt;"",J434=""),"; Dept has not set a tax code","")&amp;IF(AND($C434&lt;&gt;"",N434=""),"; Dept has not entered an expected value","")&amp;IF((IF(OR(COUNTA(S434:U434)=0,AND(COUNTA(S434:U434)=3,ISNUMBER(U434))),0,1)+IF(OR(COUNTA(V434:X434)=0,AND(COUNTA(V434:X434)=3,ISNUMBER(X434))),0,1)+IF(OR(COUNTA(Y434:AA434)=0,AND(COUNTA(Y434:AA434)=3,ISNUMBER(AA434))),0,1)+IF(OR(COUNTA(AB434:AD434)=0,AND(COUNTA(AB434:AD434)=3,ISNUMBER(AD434))),0,1)+IF(OR(COUNTA(AE434:AG434)=0,AND(COUNTA(AE434:AG434)=3,ISNUMBER(AG434))),0,1)+IF(OR(COUNTA(AH434:AJ434)=0,AND(COUNTA(AH434:AJ434)=3,ISNUMBER(AJ434))),0,1)+IF(OR(COUNTA(AK434:AM434)=0,AND(COUNTA(AK434:AM434)=3,ISNUMBER(AM434))),0,1)+IF(OR(COUNTA(AN434:AP434)=0,AND(COUNTA(AN434:AP434)=3,ISNUMBER(AP434))),0,1)+IF(OR(COUNTA(AQ434:AS434)=0,AND(COUNTA(AQ434:AS434)=3,ISNUMBER(AS434))),0,1)+IF(OR(COUNTA(AT434:AV434)=0,AND(COUNTA(AT434:AV434)=3,ISNUMBER(AV434))),0,1)+IF(OR(COUNTA(AW434:AY434)=0,AND(COUNTA(AW434:AY434)=3,ISNUMBER(AY434))),0,1)+IF(OR(COUNTA(AZ434:BB434)=0,AND(COUNTA(AZ434:BB434)=3,ISNUMBER(BB434))),0,1))&gt;0,"; An invoice is incomplete (needs No, Date and a number in Ex GST)","")&amp;IF((IF(T434="",0,IFERROR(--(EOMONTH(T434,0)&lt;&gt;S$5),1))+IF(W434="",0,IFERROR(--(EOMONTH(W434,0)&lt;&gt;V$5),1))+IF(Z434="",0,IFERROR(--(EOMONTH(Z434,0)&lt;&gt;Y$5),1))+IF(AC434="",0,IFERROR(--(EOMONTH(AC434,0)&lt;&gt;AB$5),1))+IF(AF434="",0,IFERROR(--(EOMONTH(AF434,0)&lt;&gt;AE$5),1))+IF(AI434="",0,IFERROR(--(EOMONTH(AI434,0)&lt;&gt;AH$5),1))+IF(AL434="",0,IFERROR(--(EOMONTH(AL434,0)&lt;&gt;AK$5),1))+IF(AO434="",0,IFERROR(--(EOMONTH(AO434,0)&lt;&gt;AN$5),1))+IF(AR434="",0,IFERROR(--(EOMONTH(AR434,0)&lt;&gt;AQ$5),1))+IF(AU434="",0,IFERROR(--(EOMONTH(AU434,0)&lt;&gt;AT$5),1))+IF(AX434="",0,IFERROR(--(EOMONTH(AX434,0)&lt;&gt;AW$5),1))+IF(BA434="",0,IFERROR(--(EOMONTH(BA434,0)&lt;&gt;AZ$5),1)))&gt;0,"; An invoice date is not in the month it is typed under",""),3,500))</f>
        <v/>
      </c>
      <c r="S434" s="12" t="n"/>
      <c r="T434" s="13" t="n"/>
      <c r="U434" s="14" t="n"/>
      <c r="V434" s="12" t="n"/>
      <c r="W434" s="13" t="n"/>
      <c r="X434" s="14" t="n"/>
      <c r="Y434" s="12" t="n"/>
      <c r="Z434" s="13" t="n"/>
      <c r="AA434" s="14" t="n"/>
      <c r="AB434" s="12" t="n"/>
      <c r="AC434" s="13" t="n"/>
      <c r="AD434" s="14" t="n"/>
      <c r="AE434" s="12" t="n"/>
      <c r="AF434" s="13" t="n"/>
      <c r="AG434" s="14" t="n"/>
      <c r="AH434" s="12" t="n"/>
      <c r="AI434" s="13" t="n"/>
      <c r="AJ434" s="14" t="n"/>
      <c r="AK434" s="12" t="n"/>
      <c r="AL434" s="13" t="n"/>
      <c r="AM434" s="14" t="n"/>
      <c r="AN434" s="12" t="n"/>
      <c r="AO434" s="13" t="n"/>
      <c r="AP434" s="14" t="n"/>
      <c r="AQ434" s="12" t="n"/>
      <c r="AR434" s="13" t="n"/>
      <c r="AS434" s="14" t="n"/>
      <c r="AT434" s="12" t="n"/>
      <c r="AU434" s="13" t="n"/>
      <c r="AV434" s="14" t="n"/>
      <c r="AW434" s="12" t="n"/>
      <c r="AX434" s="13" t="n"/>
      <c r="AY434" s="14" t="n"/>
      <c r="AZ434" s="12" t="n"/>
      <c r="BA434" s="13" t="n"/>
      <c r="BB434" s="14" t="n"/>
      <c r="BC434" s="11">
        <f>IF(O434="","",IF(J434="GST 10%",ROUND(O434*set_GSTRate,2),0))</f>
        <v/>
      </c>
      <c r="BD434" s="11">
        <f>IF(O434="","",O434+BC434)</f>
        <v/>
      </c>
      <c r="BE434" s="15">
        <f>IF(O434="","",COUNTA(S434,V434,Y434,AB434,AE434,AH434,AK434,AN434,AQ434,AT434,AW434,AZ434))</f>
        <v/>
      </c>
      <c r="BF434" s="16">
        <f>IF(COUNT(T434,W434,Z434,AC434,AF434,AI434,AL434,AO434,AR434,AU434,AX434,BA434)=0,"",MAX(T434,W434,Z434,AC434,AF434,AI434,AL434,AO434,AR434,AU434,AX434,BA434))</f>
        <v/>
      </c>
      <c r="BG434" s="10">
        <f>MID(IF(S434="","",", "&amp;S434)&amp;IF(V434="","",", "&amp;V434)&amp;IF(Y434="","",", "&amp;Y434)&amp;IF(AB434="","",", "&amp;AB434)&amp;IF(AE434="","",", "&amp;AE434)&amp;IF(AH434="","",", "&amp;AH434)&amp;IF(AK434="","",", "&amp;AK434)&amp;IF(AN434="","",", "&amp;AN434)&amp;IF(AQ434="","",", "&amp;AQ434)&amp;IF(AT434="","",", "&amp;AT434)&amp;IF(AW434="","",", "&amp;AW434)&amp;IF(AZ434="","",", "&amp;AZ434),3,500)</f>
        <v/>
      </c>
      <c r="BH434" s="12" t="n"/>
      <c r="BI434" s="15">
        <f>IFERROR(MATCH($A434,IF($B434="Onsite",tbl_Onsite[Row ID],IF($B434="Production",tbl_Production[Row ID],tbl_Consulting[Row ID])),0),"")</f>
        <v/>
      </c>
    </row>
    <row r="435">
      <c r="A435" s="10" t="inlineStr">
        <is>
          <t>ONS-0429</t>
        </is>
      </c>
      <c r="B435" s="10" t="inlineStr">
        <is>
          <t>Onsite</t>
        </is>
      </c>
      <c r="C435" s="10">
        <f>IF($BI435="","",IF($B435="Onsite",INDEX(tbl_Onsite[Job Number],$BI435),IF($B435="Production",INDEX(tbl_Production[Job Number],$BI435),INDEX(tbl_Consulting[Job Number],$BI435)))&amp;"")</f>
        <v/>
      </c>
      <c r="D435" s="10">
        <f>IF($BI435="","",IF($B435="Onsite",INDEX(tbl_Onsite[Client],$BI435),IF($B435="Production",INDEX(tbl_Production[Client],$BI435),INDEX(tbl_Consulting[Client],$BI435)))&amp;"")</f>
        <v/>
      </c>
      <c r="E435" s="10">
        <f>IF($C435="","",IF(COUNTIF(lst_Jobs,$C435)&gt;0,"OK","CHECK"))</f>
        <v/>
      </c>
      <c r="F435" s="10">
        <f>IF($C435="","",IFERROR(INDEX(lst_JobName,MATCH($C435,lst_Jobs,0)),""))</f>
        <v/>
      </c>
      <c r="G435" s="10">
        <f>IF($BI435="","",IF($B435="Onsite",INDEX(tbl_Onsite[Job Description],$BI435),IF($B435="Production",INDEX(tbl_Production[Job Description],$BI435),INDEX(tbl_Consulting[Job Description],$BI435)))&amp;"")</f>
        <v/>
      </c>
      <c r="H435" s="10">
        <f>IF($BI435="","",IF($B435="Onsite",INDEX(tbl_Onsite[Cost Centre],$BI435),IF($B435="Production",INDEX(tbl_Production[Cost Centre],$BI435),INDEX(tbl_Consulting[Cost Centre],$BI435)))&amp;"")</f>
        <v/>
      </c>
      <c r="I435" s="10">
        <f>IF($BI435="","",IF($B435="Onsite",INDEX(tbl_Onsite[Invoice Type],$BI435),IF($B435="Production",INDEX(tbl_Production[Invoice Type],$BI435),INDEX(tbl_Consulting[Invoice Type],$BI435)))&amp;"")</f>
        <v/>
      </c>
      <c r="J435" s="10">
        <f>IF($BI435="","",IF($B435="Onsite",INDEX(tbl_Onsite[Tax Code],$BI435),IF($B435="Production",INDEX(tbl_Production[Tax Code],$BI435),INDEX(tbl_Consulting[Tax Code],$BI435)))&amp;"")</f>
        <v/>
      </c>
      <c r="K435" s="10">
        <f>IF(H435="","",IFERROR(INDEX(lst_CCtoGL,MATCH(H435,lst_CCforGL,0)),""))</f>
        <v/>
      </c>
      <c r="L435" s="10">
        <f>IF($BI435="","",IF($B435="Onsite",INDEX(tbl_Onsite[PO / Reference],$BI435),IF($B435="Production",INDEX(tbl_Production[Current RMS No],$BI435),INDEX(tbl_Consulting[Qwilr Quote],$BI435)))&amp;"")</f>
        <v/>
      </c>
      <c r="M435" s="10">
        <f>IF($BI435="","",IF($B435="Onsite",INDEX(tbl_Onsite[Notes],$BI435),IF($B435="Production",INDEX(tbl_Production[Notes],$BI435),INDEX(tbl_Consulting[Notes],$BI435)))&amp;"")</f>
        <v/>
      </c>
      <c r="N435" s="11">
        <f>IF($BI435="","",IF(IF($B435="Onsite",INDEX(tbl_Onsite[Expected Revenue Ex GST],$BI435),IF($B435="Production",INDEX(tbl_Production[Expected Revenue Ex GST],$BI435),INDEX(tbl_Consulting[Expected Revenue Ex GST],$BI435)))="","",IF($B435="Onsite",INDEX(tbl_Onsite[Expected Revenue Ex GST],$BI435),IF($B435="Production",INDEX(tbl_Production[Expected Revenue Ex GST],$BI435),INDEX(tbl_Consulting[Expected Revenue Ex GST],$BI435)))))</f>
        <v/>
      </c>
      <c r="O435" s="11">
        <f>IF(AND($C435="",NOT(COUNTA($S435:$BB435)&gt;0)),"",SUM(U435,X435,AA435,AD435,AG435,AJ435,AM435,AP435,AS435,AV435,AY435,BB435))</f>
        <v/>
      </c>
      <c r="P435" s="11">
        <f>IF(O435="","",N(N435)-O435)</f>
        <v/>
      </c>
      <c r="Q435" s="10">
        <f>IF(O435="","",IF($C435="","Invoice on empty job row",IF(N435="",IF(ROUND(O435,2)=0,"No dept value","Invoiced - no dept value"),IF(ROUND(O435,2)=0,"Not invoiced - to invoice",IF(ROUND(P435,2)=0,"Agrees",IF(P435&gt;0,"Dept higher - to invoice","Xero higher - check dept"))))))</f>
        <v/>
      </c>
      <c r="R435" s="10">
        <f>IF(AND($C435="",NOT(COUNTA($S435:$BB435)&gt;0),$BI435&lt;&gt;""),"",MID(IF($BI435="","; Row ID not found on the department sheet - a row was deleted","")&amp;IF(AND($C435="",COUNTA($S435:$BB435)&gt;0),"; Invoice entered but the department row has no job number","")&amp;IF(E435="CHECK","; Job number not in the Xero job list","")&amp;IF(AND($C435&lt;&gt;"",COUNTIF($C$7:$C$1506,$C435)&gt;1),"; Job number on more than one row","")&amp;IF(AND($C435&lt;&gt;"",H435=""),"; Dept has not set a cost centre","")&amp;IF(AND($C435&lt;&gt;"",J435=""),"; Dept has not set a tax code","")&amp;IF(AND($C435&lt;&gt;"",N435=""),"; Dept has not entered an expected value","")&amp;IF((IF(OR(COUNTA(S435:U435)=0,AND(COUNTA(S435:U435)=3,ISNUMBER(U435))),0,1)+IF(OR(COUNTA(V435:X435)=0,AND(COUNTA(V435:X435)=3,ISNUMBER(X435))),0,1)+IF(OR(COUNTA(Y435:AA435)=0,AND(COUNTA(Y435:AA435)=3,ISNUMBER(AA435))),0,1)+IF(OR(COUNTA(AB435:AD435)=0,AND(COUNTA(AB435:AD435)=3,ISNUMBER(AD435))),0,1)+IF(OR(COUNTA(AE435:AG435)=0,AND(COUNTA(AE435:AG435)=3,ISNUMBER(AG435))),0,1)+IF(OR(COUNTA(AH435:AJ435)=0,AND(COUNTA(AH435:AJ435)=3,ISNUMBER(AJ435))),0,1)+IF(OR(COUNTA(AK435:AM435)=0,AND(COUNTA(AK435:AM435)=3,ISNUMBER(AM435))),0,1)+IF(OR(COUNTA(AN435:AP435)=0,AND(COUNTA(AN435:AP435)=3,ISNUMBER(AP435))),0,1)+IF(OR(COUNTA(AQ435:AS435)=0,AND(COUNTA(AQ435:AS435)=3,ISNUMBER(AS435))),0,1)+IF(OR(COUNTA(AT435:AV435)=0,AND(COUNTA(AT435:AV435)=3,ISNUMBER(AV435))),0,1)+IF(OR(COUNTA(AW435:AY435)=0,AND(COUNTA(AW435:AY435)=3,ISNUMBER(AY435))),0,1)+IF(OR(COUNTA(AZ435:BB435)=0,AND(COUNTA(AZ435:BB435)=3,ISNUMBER(BB435))),0,1))&gt;0,"; An invoice is incomplete (needs No, Date and a number in Ex GST)","")&amp;IF((IF(T435="",0,IFERROR(--(EOMONTH(T435,0)&lt;&gt;S$5),1))+IF(W435="",0,IFERROR(--(EOMONTH(W435,0)&lt;&gt;V$5),1))+IF(Z435="",0,IFERROR(--(EOMONTH(Z435,0)&lt;&gt;Y$5),1))+IF(AC435="",0,IFERROR(--(EOMONTH(AC435,0)&lt;&gt;AB$5),1))+IF(AF435="",0,IFERROR(--(EOMONTH(AF435,0)&lt;&gt;AE$5),1))+IF(AI435="",0,IFERROR(--(EOMONTH(AI435,0)&lt;&gt;AH$5),1))+IF(AL435="",0,IFERROR(--(EOMONTH(AL435,0)&lt;&gt;AK$5),1))+IF(AO435="",0,IFERROR(--(EOMONTH(AO435,0)&lt;&gt;AN$5),1))+IF(AR435="",0,IFERROR(--(EOMONTH(AR435,0)&lt;&gt;AQ$5),1))+IF(AU435="",0,IFERROR(--(EOMONTH(AU435,0)&lt;&gt;AT$5),1))+IF(AX435="",0,IFERROR(--(EOMONTH(AX435,0)&lt;&gt;AW$5),1))+IF(BA435="",0,IFERROR(--(EOMONTH(BA435,0)&lt;&gt;AZ$5),1)))&gt;0,"; An invoice date is not in the month it is typed under",""),3,500))</f>
        <v/>
      </c>
      <c r="S435" s="12" t="n"/>
      <c r="T435" s="13" t="n"/>
      <c r="U435" s="14" t="n"/>
      <c r="V435" s="12" t="n"/>
      <c r="W435" s="13" t="n"/>
      <c r="X435" s="14" t="n"/>
      <c r="Y435" s="12" t="n"/>
      <c r="Z435" s="13" t="n"/>
      <c r="AA435" s="14" t="n"/>
      <c r="AB435" s="12" t="n"/>
      <c r="AC435" s="13" t="n"/>
      <c r="AD435" s="14" t="n"/>
      <c r="AE435" s="12" t="n"/>
      <c r="AF435" s="13" t="n"/>
      <c r="AG435" s="14" t="n"/>
      <c r="AH435" s="12" t="n"/>
      <c r="AI435" s="13" t="n"/>
      <c r="AJ435" s="14" t="n"/>
      <c r="AK435" s="12" t="n"/>
      <c r="AL435" s="13" t="n"/>
      <c r="AM435" s="14" t="n"/>
      <c r="AN435" s="12" t="n"/>
      <c r="AO435" s="13" t="n"/>
      <c r="AP435" s="14" t="n"/>
      <c r="AQ435" s="12" t="n"/>
      <c r="AR435" s="13" t="n"/>
      <c r="AS435" s="14" t="n"/>
      <c r="AT435" s="12" t="n"/>
      <c r="AU435" s="13" t="n"/>
      <c r="AV435" s="14" t="n"/>
      <c r="AW435" s="12" t="n"/>
      <c r="AX435" s="13" t="n"/>
      <c r="AY435" s="14" t="n"/>
      <c r="AZ435" s="12" t="n"/>
      <c r="BA435" s="13" t="n"/>
      <c r="BB435" s="14" t="n"/>
      <c r="BC435" s="11">
        <f>IF(O435="","",IF(J435="GST 10%",ROUND(O435*set_GSTRate,2),0))</f>
        <v/>
      </c>
      <c r="BD435" s="11">
        <f>IF(O435="","",O435+BC435)</f>
        <v/>
      </c>
      <c r="BE435" s="15">
        <f>IF(O435="","",COUNTA(S435,V435,Y435,AB435,AE435,AH435,AK435,AN435,AQ435,AT435,AW435,AZ435))</f>
        <v/>
      </c>
      <c r="BF435" s="16">
        <f>IF(COUNT(T435,W435,Z435,AC435,AF435,AI435,AL435,AO435,AR435,AU435,AX435,BA435)=0,"",MAX(T435,W435,Z435,AC435,AF435,AI435,AL435,AO435,AR435,AU435,AX435,BA435))</f>
        <v/>
      </c>
      <c r="BG435" s="10">
        <f>MID(IF(S435="","",", "&amp;S435)&amp;IF(V435="","",", "&amp;V435)&amp;IF(Y435="","",", "&amp;Y435)&amp;IF(AB435="","",", "&amp;AB435)&amp;IF(AE435="","",", "&amp;AE435)&amp;IF(AH435="","",", "&amp;AH435)&amp;IF(AK435="","",", "&amp;AK435)&amp;IF(AN435="","",", "&amp;AN435)&amp;IF(AQ435="","",", "&amp;AQ435)&amp;IF(AT435="","",", "&amp;AT435)&amp;IF(AW435="","",", "&amp;AW435)&amp;IF(AZ435="","",", "&amp;AZ435),3,500)</f>
        <v/>
      </c>
      <c r="BH435" s="12" t="n"/>
      <c r="BI435" s="15">
        <f>IFERROR(MATCH($A435,IF($B435="Onsite",tbl_Onsite[Row ID],IF($B435="Production",tbl_Production[Row ID],tbl_Consulting[Row ID])),0),"")</f>
        <v/>
      </c>
    </row>
    <row r="436">
      <c r="A436" s="10" t="inlineStr">
        <is>
          <t>ONS-0430</t>
        </is>
      </c>
      <c r="B436" s="10" t="inlineStr">
        <is>
          <t>Onsite</t>
        </is>
      </c>
      <c r="C436" s="10">
        <f>IF($BI436="","",IF($B436="Onsite",INDEX(tbl_Onsite[Job Number],$BI436),IF($B436="Production",INDEX(tbl_Production[Job Number],$BI436),INDEX(tbl_Consulting[Job Number],$BI436)))&amp;"")</f>
        <v/>
      </c>
      <c r="D436" s="10">
        <f>IF($BI436="","",IF($B436="Onsite",INDEX(tbl_Onsite[Client],$BI436),IF($B436="Production",INDEX(tbl_Production[Client],$BI436),INDEX(tbl_Consulting[Client],$BI436)))&amp;"")</f>
        <v/>
      </c>
      <c r="E436" s="10">
        <f>IF($C436="","",IF(COUNTIF(lst_Jobs,$C436)&gt;0,"OK","CHECK"))</f>
        <v/>
      </c>
      <c r="F436" s="10">
        <f>IF($C436="","",IFERROR(INDEX(lst_JobName,MATCH($C436,lst_Jobs,0)),""))</f>
        <v/>
      </c>
      <c r="G436" s="10">
        <f>IF($BI436="","",IF($B436="Onsite",INDEX(tbl_Onsite[Job Description],$BI436),IF($B436="Production",INDEX(tbl_Production[Job Description],$BI436),INDEX(tbl_Consulting[Job Description],$BI436)))&amp;"")</f>
        <v/>
      </c>
      <c r="H436" s="10">
        <f>IF($BI436="","",IF($B436="Onsite",INDEX(tbl_Onsite[Cost Centre],$BI436),IF($B436="Production",INDEX(tbl_Production[Cost Centre],$BI436),INDEX(tbl_Consulting[Cost Centre],$BI436)))&amp;"")</f>
        <v/>
      </c>
      <c r="I436" s="10">
        <f>IF($BI436="","",IF($B436="Onsite",INDEX(tbl_Onsite[Invoice Type],$BI436),IF($B436="Production",INDEX(tbl_Production[Invoice Type],$BI436),INDEX(tbl_Consulting[Invoice Type],$BI436)))&amp;"")</f>
        <v/>
      </c>
      <c r="J436" s="10">
        <f>IF($BI436="","",IF($B436="Onsite",INDEX(tbl_Onsite[Tax Code],$BI436),IF($B436="Production",INDEX(tbl_Production[Tax Code],$BI436),INDEX(tbl_Consulting[Tax Code],$BI436)))&amp;"")</f>
        <v/>
      </c>
      <c r="K436" s="10">
        <f>IF(H436="","",IFERROR(INDEX(lst_CCtoGL,MATCH(H436,lst_CCforGL,0)),""))</f>
        <v/>
      </c>
      <c r="L436" s="10">
        <f>IF($BI436="","",IF($B436="Onsite",INDEX(tbl_Onsite[PO / Reference],$BI436),IF($B436="Production",INDEX(tbl_Production[Current RMS No],$BI436),INDEX(tbl_Consulting[Qwilr Quote],$BI436)))&amp;"")</f>
        <v/>
      </c>
      <c r="M436" s="10">
        <f>IF($BI436="","",IF($B436="Onsite",INDEX(tbl_Onsite[Notes],$BI436),IF($B436="Production",INDEX(tbl_Production[Notes],$BI436),INDEX(tbl_Consulting[Notes],$BI436)))&amp;"")</f>
        <v/>
      </c>
      <c r="N436" s="11">
        <f>IF($BI436="","",IF(IF($B436="Onsite",INDEX(tbl_Onsite[Expected Revenue Ex GST],$BI436),IF($B436="Production",INDEX(tbl_Production[Expected Revenue Ex GST],$BI436),INDEX(tbl_Consulting[Expected Revenue Ex GST],$BI436)))="","",IF($B436="Onsite",INDEX(tbl_Onsite[Expected Revenue Ex GST],$BI436),IF($B436="Production",INDEX(tbl_Production[Expected Revenue Ex GST],$BI436),INDEX(tbl_Consulting[Expected Revenue Ex GST],$BI436)))))</f>
        <v/>
      </c>
      <c r="O436" s="11">
        <f>IF(AND($C436="",NOT(COUNTA($S436:$BB436)&gt;0)),"",SUM(U436,X436,AA436,AD436,AG436,AJ436,AM436,AP436,AS436,AV436,AY436,BB436))</f>
        <v/>
      </c>
      <c r="P436" s="11">
        <f>IF(O436="","",N(N436)-O436)</f>
        <v/>
      </c>
      <c r="Q436" s="10">
        <f>IF(O436="","",IF($C436="","Invoice on empty job row",IF(N436="",IF(ROUND(O436,2)=0,"No dept value","Invoiced - no dept value"),IF(ROUND(O436,2)=0,"Not invoiced - to invoice",IF(ROUND(P436,2)=0,"Agrees",IF(P436&gt;0,"Dept higher - to invoice","Xero higher - check dept"))))))</f>
        <v/>
      </c>
      <c r="R436" s="10">
        <f>IF(AND($C436="",NOT(COUNTA($S436:$BB436)&gt;0),$BI436&lt;&gt;""),"",MID(IF($BI436="","; Row ID not found on the department sheet - a row was deleted","")&amp;IF(AND($C436="",COUNTA($S436:$BB436)&gt;0),"; Invoice entered but the department row has no job number","")&amp;IF(E436="CHECK","; Job number not in the Xero job list","")&amp;IF(AND($C436&lt;&gt;"",COUNTIF($C$7:$C$1506,$C436)&gt;1),"; Job number on more than one row","")&amp;IF(AND($C436&lt;&gt;"",H436=""),"; Dept has not set a cost centre","")&amp;IF(AND($C436&lt;&gt;"",J436=""),"; Dept has not set a tax code","")&amp;IF(AND($C436&lt;&gt;"",N436=""),"; Dept has not entered an expected value","")&amp;IF((IF(OR(COUNTA(S436:U436)=0,AND(COUNTA(S436:U436)=3,ISNUMBER(U436))),0,1)+IF(OR(COUNTA(V436:X436)=0,AND(COUNTA(V436:X436)=3,ISNUMBER(X436))),0,1)+IF(OR(COUNTA(Y436:AA436)=0,AND(COUNTA(Y436:AA436)=3,ISNUMBER(AA436))),0,1)+IF(OR(COUNTA(AB436:AD436)=0,AND(COUNTA(AB436:AD436)=3,ISNUMBER(AD436))),0,1)+IF(OR(COUNTA(AE436:AG436)=0,AND(COUNTA(AE436:AG436)=3,ISNUMBER(AG436))),0,1)+IF(OR(COUNTA(AH436:AJ436)=0,AND(COUNTA(AH436:AJ436)=3,ISNUMBER(AJ436))),0,1)+IF(OR(COUNTA(AK436:AM436)=0,AND(COUNTA(AK436:AM436)=3,ISNUMBER(AM436))),0,1)+IF(OR(COUNTA(AN436:AP436)=0,AND(COUNTA(AN436:AP436)=3,ISNUMBER(AP436))),0,1)+IF(OR(COUNTA(AQ436:AS436)=0,AND(COUNTA(AQ436:AS436)=3,ISNUMBER(AS436))),0,1)+IF(OR(COUNTA(AT436:AV436)=0,AND(COUNTA(AT436:AV436)=3,ISNUMBER(AV436))),0,1)+IF(OR(COUNTA(AW436:AY436)=0,AND(COUNTA(AW436:AY436)=3,ISNUMBER(AY436))),0,1)+IF(OR(COUNTA(AZ436:BB436)=0,AND(COUNTA(AZ436:BB436)=3,ISNUMBER(BB436))),0,1))&gt;0,"; An invoice is incomplete (needs No, Date and a number in Ex GST)","")&amp;IF((IF(T436="",0,IFERROR(--(EOMONTH(T436,0)&lt;&gt;S$5),1))+IF(W436="",0,IFERROR(--(EOMONTH(W436,0)&lt;&gt;V$5),1))+IF(Z436="",0,IFERROR(--(EOMONTH(Z436,0)&lt;&gt;Y$5),1))+IF(AC436="",0,IFERROR(--(EOMONTH(AC436,0)&lt;&gt;AB$5),1))+IF(AF436="",0,IFERROR(--(EOMONTH(AF436,0)&lt;&gt;AE$5),1))+IF(AI436="",0,IFERROR(--(EOMONTH(AI436,0)&lt;&gt;AH$5),1))+IF(AL436="",0,IFERROR(--(EOMONTH(AL436,0)&lt;&gt;AK$5),1))+IF(AO436="",0,IFERROR(--(EOMONTH(AO436,0)&lt;&gt;AN$5),1))+IF(AR436="",0,IFERROR(--(EOMONTH(AR436,0)&lt;&gt;AQ$5),1))+IF(AU436="",0,IFERROR(--(EOMONTH(AU436,0)&lt;&gt;AT$5),1))+IF(AX436="",0,IFERROR(--(EOMONTH(AX436,0)&lt;&gt;AW$5),1))+IF(BA436="",0,IFERROR(--(EOMONTH(BA436,0)&lt;&gt;AZ$5),1)))&gt;0,"; An invoice date is not in the month it is typed under",""),3,500))</f>
        <v/>
      </c>
      <c r="S436" s="12" t="n"/>
      <c r="T436" s="13" t="n"/>
      <c r="U436" s="14" t="n"/>
      <c r="V436" s="12" t="n"/>
      <c r="W436" s="13" t="n"/>
      <c r="X436" s="14" t="n"/>
      <c r="Y436" s="12" t="n"/>
      <c r="Z436" s="13" t="n"/>
      <c r="AA436" s="14" t="n"/>
      <c r="AB436" s="12" t="n"/>
      <c r="AC436" s="13" t="n"/>
      <c r="AD436" s="14" t="n"/>
      <c r="AE436" s="12" t="n"/>
      <c r="AF436" s="13" t="n"/>
      <c r="AG436" s="14" t="n"/>
      <c r="AH436" s="12" t="n"/>
      <c r="AI436" s="13" t="n"/>
      <c r="AJ436" s="14" t="n"/>
      <c r="AK436" s="12" t="n"/>
      <c r="AL436" s="13" t="n"/>
      <c r="AM436" s="14" t="n"/>
      <c r="AN436" s="12" t="n"/>
      <c r="AO436" s="13" t="n"/>
      <c r="AP436" s="14" t="n"/>
      <c r="AQ436" s="12" t="n"/>
      <c r="AR436" s="13" t="n"/>
      <c r="AS436" s="14" t="n"/>
      <c r="AT436" s="12" t="n"/>
      <c r="AU436" s="13" t="n"/>
      <c r="AV436" s="14" t="n"/>
      <c r="AW436" s="12" t="n"/>
      <c r="AX436" s="13" t="n"/>
      <c r="AY436" s="14" t="n"/>
      <c r="AZ436" s="12" t="n"/>
      <c r="BA436" s="13" t="n"/>
      <c r="BB436" s="14" t="n"/>
      <c r="BC436" s="11">
        <f>IF(O436="","",IF(J436="GST 10%",ROUND(O436*set_GSTRate,2),0))</f>
        <v/>
      </c>
      <c r="BD436" s="11">
        <f>IF(O436="","",O436+BC436)</f>
        <v/>
      </c>
      <c r="BE436" s="15">
        <f>IF(O436="","",COUNTA(S436,V436,Y436,AB436,AE436,AH436,AK436,AN436,AQ436,AT436,AW436,AZ436))</f>
        <v/>
      </c>
      <c r="BF436" s="16">
        <f>IF(COUNT(T436,W436,Z436,AC436,AF436,AI436,AL436,AO436,AR436,AU436,AX436,BA436)=0,"",MAX(T436,W436,Z436,AC436,AF436,AI436,AL436,AO436,AR436,AU436,AX436,BA436))</f>
        <v/>
      </c>
      <c r="BG436" s="10">
        <f>MID(IF(S436="","",", "&amp;S436)&amp;IF(V436="","",", "&amp;V436)&amp;IF(Y436="","",", "&amp;Y436)&amp;IF(AB436="","",", "&amp;AB436)&amp;IF(AE436="","",", "&amp;AE436)&amp;IF(AH436="","",", "&amp;AH436)&amp;IF(AK436="","",", "&amp;AK436)&amp;IF(AN436="","",", "&amp;AN436)&amp;IF(AQ436="","",", "&amp;AQ436)&amp;IF(AT436="","",", "&amp;AT436)&amp;IF(AW436="","",", "&amp;AW436)&amp;IF(AZ436="","",", "&amp;AZ436),3,500)</f>
        <v/>
      </c>
      <c r="BH436" s="12" t="n"/>
      <c r="BI436" s="15">
        <f>IFERROR(MATCH($A436,IF($B436="Onsite",tbl_Onsite[Row ID],IF($B436="Production",tbl_Production[Row ID],tbl_Consulting[Row ID])),0),"")</f>
        <v/>
      </c>
    </row>
    <row r="437">
      <c r="A437" s="10" t="inlineStr">
        <is>
          <t>ONS-0431</t>
        </is>
      </c>
      <c r="B437" s="10" t="inlineStr">
        <is>
          <t>Onsite</t>
        </is>
      </c>
      <c r="C437" s="10">
        <f>IF($BI437="","",IF($B437="Onsite",INDEX(tbl_Onsite[Job Number],$BI437),IF($B437="Production",INDEX(tbl_Production[Job Number],$BI437),INDEX(tbl_Consulting[Job Number],$BI437)))&amp;"")</f>
        <v/>
      </c>
      <c r="D437" s="10">
        <f>IF($BI437="","",IF($B437="Onsite",INDEX(tbl_Onsite[Client],$BI437),IF($B437="Production",INDEX(tbl_Production[Client],$BI437),INDEX(tbl_Consulting[Client],$BI437)))&amp;"")</f>
        <v/>
      </c>
      <c r="E437" s="10">
        <f>IF($C437="","",IF(COUNTIF(lst_Jobs,$C437)&gt;0,"OK","CHECK"))</f>
        <v/>
      </c>
      <c r="F437" s="10">
        <f>IF($C437="","",IFERROR(INDEX(lst_JobName,MATCH($C437,lst_Jobs,0)),""))</f>
        <v/>
      </c>
      <c r="G437" s="10">
        <f>IF($BI437="","",IF($B437="Onsite",INDEX(tbl_Onsite[Job Description],$BI437),IF($B437="Production",INDEX(tbl_Production[Job Description],$BI437),INDEX(tbl_Consulting[Job Description],$BI437)))&amp;"")</f>
        <v/>
      </c>
      <c r="H437" s="10">
        <f>IF($BI437="","",IF($B437="Onsite",INDEX(tbl_Onsite[Cost Centre],$BI437),IF($B437="Production",INDEX(tbl_Production[Cost Centre],$BI437),INDEX(tbl_Consulting[Cost Centre],$BI437)))&amp;"")</f>
        <v/>
      </c>
      <c r="I437" s="10">
        <f>IF($BI437="","",IF($B437="Onsite",INDEX(tbl_Onsite[Invoice Type],$BI437),IF($B437="Production",INDEX(tbl_Production[Invoice Type],$BI437),INDEX(tbl_Consulting[Invoice Type],$BI437)))&amp;"")</f>
        <v/>
      </c>
      <c r="J437" s="10">
        <f>IF($BI437="","",IF($B437="Onsite",INDEX(tbl_Onsite[Tax Code],$BI437),IF($B437="Production",INDEX(tbl_Production[Tax Code],$BI437),INDEX(tbl_Consulting[Tax Code],$BI437)))&amp;"")</f>
        <v/>
      </c>
      <c r="K437" s="10">
        <f>IF(H437="","",IFERROR(INDEX(lst_CCtoGL,MATCH(H437,lst_CCforGL,0)),""))</f>
        <v/>
      </c>
      <c r="L437" s="10">
        <f>IF($BI437="","",IF($B437="Onsite",INDEX(tbl_Onsite[PO / Reference],$BI437),IF($B437="Production",INDEX(tbl_Production[Current RMS No],$BI437),INDEX(tbl_Consulting[Qwilr Quote],$BI437)))&amp;"")</f>
        <v/>
      </c>
      <c r="M437" s="10">
        <f>IF($BI437="","",IF($B437="Onsite",INDEX(tbl_Onsite[Notes],$BI437),IF($B437="Production",INDEX(tbl_Production[Notes],$BI437),INDEX(tbl_Consulting[Notes],$BI437)))&amp;"")</f>
        <v/>
      </c>
      <c r="N437" s="11">
        <f>IF($BI437="","",IF(IF($B437="Onsite",INDEX(tbl_Onsite[Expected Revenue Ex GST],$BI437),IF($B437="Production",INDEX(tbl_Production[Expected Revenue Ex GST],$BI437),INDEX(tbl_Consulting[Expected Revenue Ex GST],$BI437)))="","",IF($B437="Onsite",INDEX(tbl_Onsite[Expected Revenue Ex GST],$BI437),IF($B437="Production",INDEX(tbl_Production[Expected Revenue Ex GST],$BI437),INDEX(tbl_Consulting[Expected Revenue Ex GST],$BI437)))))</f>
        <v/>
      </c>
      <c r="O437" s="11">
        <f>IF(AND($C437="",NOT(COUNTA($S437:$BB437)&gt;0)),"",SUM(U437,X437,AA437,AD437,AG437,AJ437,AM437,AP437,AS437,AV437,AY437,BB437))</f>
        <v/>
      </c>
      <c r="P437" s="11">
        <f>IF(O437="","",N(N437)-O437)</f>
        <v/>
      </c>
      <c r="Q437" s="10">
        <f>IF(O437="","",IF($C437="","Invoice on empty job row",IF(N437="",IF(ROUND(O437,2)=0,"No dept value","Invoiced - no dept value"),IF(ROUND(O437,2)=0,"Not invoiced - to invoice",IF(ROUND(P437,2)=0,"Agrees",IF(P437&gt;0,"Dept higher - to invoice","Xero higher - check dept"))))))</f>
        <v/>
      </c>
      <c r="R437" s="10">
        <f>IF(AND($C437="",NOT(COUNTA($S437:$BB437)&gt;0),$BI437&lt;&gt;""),"",MID(IF($BI437="","; Row ID not found on the department sheet - a row was deleted","")&amp;IF(AND($C437="",COUNTA($S437:$BB437)&gt;0),"; Invoice entered but the department row has no job number","")&amp;IF(E437="CHECK","; Job number not in the Xero job list","")&amp;IF(AND($C437&lt;&gt;"",COUNTIF($C$7:$C$1506,$C437)&gt;1),"; Job number on more than one row","")&amp;IF(AND($C437&lt;&gt;"",H437=""),"; Dept has not set a cost centre","")&amp;IF(AND($C437&lt;&gt;"",J437=""),"; Dept has not set a tax code","")&amp;IF(AND($C437&lt;&gt;"",N437=""),"; Dept has not entered an expected value","")&amp;IF((IF(OR(COUNTA(S437:U437)=0,AND(COUNTA(S437:U437)=3,ISNUMBER(U437))),0,1)+IF(OR(COUNTA(V437:X437)=0,AND(COUNTA(V437:X437)=3,ISNUMBER(X437))),0,1)+IF(OR(COUNTA(Y437:AA437)=0,AND(COUNTA(Y437:AA437)=3,ISNUMBER(AA437))),0,1)+IF(OR(COUNTA(AB437:AD437)=0,AND(COUNTA(AB437:AD437)=3,ISNUMBER(AD437))),0,1)+IF(OR(COUNTA(AE437:AG437)=0,AND(COUNTA(AE437:AG437)=3,ISNUMBER(AG437))),0,1)+IF(OR(COUNTA(AH437:AJ437)=0,AND(COUNTA(AH437:AJ437)=3,ISNUMBER(AJ437))),0,1)+IF(OR(COUNTA(AK437:AM437)=0,AND(COUNTA(AK437:AM437)=3,ISNUMBER(AM437))),0,1)+IF(OR(COUNTA(AN437:AP437)=0,AND(COUNTA(AN437:AP437)=3,ISNUMBER(AP437))),0,1)+IF(OR(COUNTA(AQ437:AS437)=0,AND(COUNTA(AQ437:AS437)=3,ISNUMBER(AS437))),0,1)+IF(OR(COUNTA(AT437:AV437)=0,AND(COUNTA(AT437:AV437)=3,ISNUMBER(AV437))),0,1)+IF(OR(COUNTA(AW437:AY437)=0,AND(COUNTA(AW437:AY437)=3,ISNUMBER(AY437))),0,1)+IF(OR(COUNTA(AZ437:BB437)=0,AND(COUNTA(AZ437:BB437)=3,ISNUMBER(BB437))),0,1))&gt;0,"; An invoice is incomplete (needs No, Date and a number in Ex GST)","")&amp;IF((IF(T437="",0,IFERROR(--(EOMONTH(T437,0)&lt;&gt;S$5),1))+IF(W437="",0,IFERROR(--(EOMONTH(W437,0)&lt;&gt;V$5),1))+IF(Z437="",0,IFERROR(--(EOMONTH(Z437,0)&lt;&gt;Y$5),1))+IF(AC437="",0,IFERROR(--(EOMONTH(AC437,0)&lt;&gt;AB$5),1))+IF(AF437="",0,IFERROR(--(EOMONTH(AF437,0)&lt;&gt;AE$5),1))+IF(AI437="",0,IFERROR(--(EOMONTH(AI437,0)&lt;&gt;AH$5),1))+IF(AL437="",0,IFERROR(--(EOMONTH(AL437,0)&lt;&gt;AK$5),1))+IF(AO437="",0,IFERROR(--(EOMONTH(AO437,0)&lt;&gt;AN$5),1))+IF(AR437="",0,IFERROR(--(EOMONTH(AR437,0)&lt;&gt;AQ$5),1))+IF(AU437="",0,IFERROR(--(EOMONTH(AU437,0)&lt;&gt;AT$5),1))+IF(AX437="",0,IFERROR(--(EOMONTH(AX437,0)&lt;&gt;AW$5),1))+IF(BA437="",0,IFERROR(--(EOMONTH(BA437,0)&lt;&gt;AZ$5),1)))&gt;0,"; An invoice date is not in the month it is typed under",""),3,500))</f>
        <v/>
      </c>
      <c r="S437" s="12" t="n"/>
      <c r="T437" s="13" t="n"/>
      <c r="U437" s="14" t="n"/>
      <c r="V437" s="12" t="n"/>
      <c r="W437" s="13" t="n"/>
      <c r="X437" s="14" t="n"/>
      <c r="Y437" s="12" t="n"/>
      <c r="Z437" s="13" t="n"/>
      <c r="AA437" s="14" t="n"/>
      <c r="AB437" s="12" t="n"/>
      <c r="AC437" s="13" t="n"/>
      <c r="AD437" s="14" t="n"/>
      <c r="AE437" s="12" t="n"/>
      <c r="AF437" s="13" t="n"/>
      <c r="AG437" s="14" t="n"/>
      <c r="AH437" s="12" t="n"/>
      <c r="AI437" s="13" t="n"/>
      <c r="AJ437" s="14" t="n"/>
      <c r="AK437" s="12" t="n"/>
      <c r="AL437" s="13" t="n"/>
      <c r="AM437" s="14" t="n"/>
      <c r="AN437" s="12" t="n"/>
      <c r="AO437" s="13" t="n"/>
      <c r="AP437" s="14" t="n"/>
      <c r="AQ437" s="12" t="n"/>
      <c r="AR437" s="13" t="n"/>
      <c r="AS437" s="14" t="n"/>
      <c r="AT437" s="12" t="n"/>
      <c r="AU437" s="13" t="n"/>
      <c r="AV437" s="14" t="n"/>
      <c r="AW437" s="12" t="n"/>
      <c r="AX437" s="13" t="n"/>
      <c r="AY437" s="14" t="n"/>
      <c r="AZ437" s="12" t="n"/>
      <c r="BA437" s="13" t="n"/>
      <c r="BB437" s="14" t="n"/>
      <c r="BC437" s="11">
        <f>IF(O437="","",IF(J437="GST 10%",ROUND(O437*set_GSTRate,2),0))</f>
        <v/>
      </c>
      <c r="BD437" s="11">
        <f>IF(O437="","",O437+BC437)</f>
        <v/>
      </c>
      <c r="BE437" s="15">
        <f>IF(O437="","",COUNTA(S437,V437,Y437,AB437,AE437,AH437,AK437,AN437,AQ437,AT437,AW437,AZ437))</f>
        <v/>
      </c>
      <c r="BF437" s="16">
        <f>IF(COUNT(T437,W437,Z437,AC437,AF437,AI437,AL437,AO437,AR437,AU437,AX437,BA437)=0,"",MAX(T437,W437,Z437,AC437,AF437,AI437,AL437,AO437,AR437,AU437,AX437,BA437))</f>
        <v/>
      </c>
      <c r="BG437" s="10">
        <f>MID(IF(S437="","",", "&amp;S437)&amp;IF(V437="","",", "&amp;V437)&amp;IF(Y437="","",", "&amp;Y437)&amp;IF(AB437="","",", "&amp;AB437)&amp;IF(AE437="","",", "&amp;AE437)&amp;IF(AH437="","",", "&amp;AH437)&amp;IF(AK437="","",", "&amp;AK437)&amp;IF(AN437="","",", "&amp;AN437)&amp;IF(AQ437="","",", "&amp;AQ437)&amp;IF(AT437="","",", "&amp;AT437)&amp;IF(AW437="","",", "&amp;AW437)&amp;IF(AZ437="","",", "&amp;AZ437),3,500)</f>
        <v/>
      </c>
      <c r="BH437" s="12" t="n"/>
      <c r="BI437" s="15">
        <f>IFERROR(MATCH($A437,IF($B437="Onsite",tbl_Onsite[Row ID],IF($B437="Production",tbl_Production[Row ID],tbl_Consulting[Row ID])),0),"")</f>
        <v/>
      </c>
    </row>
    <row r="438">
      <c r="A438" s="10" t="inlineStr">
        <is>
          <t>ONS-0432</t>
        </is>
      </c>
      <c r="B438" s="10" t="inlineStr">
        <is>
          <t>Onsite</t>
        </is>
      </c>
      <c r="C438" s="10">
        <f>IF($BI438="","",IF($B438="Onsite",INDEX(tbl_Onsite[Job Number],$BI438),IF($B438="Production",INDEX(tbl_Production[Job Number],$BI438),INDEX(tbl_Consulting[Job Number],$BI438)))&amp;"")</f>
        <v/>
      </c>
      <c r="D438" s="10">
        <f>IF($BI438="","",IF($B438="Onsite",INDEX(tbl_Onsite[Client],$BI438),IF($B438="Production",INDEX(tbl_Production[Client],$BI438),INDEX(tbl_Consulting[Client],$BI438)))&amp;"")</f>
        <v/>
      </c>
      <c r="E438" s="10">
        <f>IF($C438="","",IF(COUNTIF(lst_Jobs,$C438)&gt;0,"OK","CHECK"))</f>
        <v/>
      </c>
      <c r="F438" s="10">
        <f>IF($C438="","",IFERROR(INDEX(lst_JobName,MATCH($C438,lst_Jobs,0)),""))</f>
        <v/>
      </c>
      <c r="G438" s="10">
        <f>IF($BI438="","",IF($B438="Onsite",INDEX(tbl_Onsite[Job Description],$BI438),IF($B438="Production",INDEX(tbl_Production[Job Description],$BI438),INDEX(tbl_Consulting[Job Description],$BI438)))&amp;"")</f>
        <v/>
      </c>
      <c r="H438" s="10">
        <f>IF($BI438="","",IF($B438="Onsite",INDEX(tbl_Onsite[Cost Centre],$BI438),IF($B438="Production",INDEX(tbl_Production[Cost Centre],$BI438),INDEX(tbl_Consulting[Cost Centre],$BI438)))&amp;"")</f>
        <v/>
      </c>
      <c r="I438" s="10">
        <f>IF($BI438="","",IF($B438="Onsite",INDEX(tbl_Onsite[Invoice Type],$BI438),IF($B438="Production",INDEX(tbl_Production[Invoice Type],$BI438),INDEX(tbl_Consulting[Invoice Type],$BI438)))&amp;"")</f>
        <v/>
      </c>
      <c r="J438" s="10">
        <f>IF($BI438="","",IF($B438="Onsite",INDEX(tbl_Onsite[Tax Code],$BI438),IF($B438="Production",INDEX(tbl_Production[Tax Code],$BI438),INDEX(tbl_Consulting[Tax Code],$BI438)))&amp;"")</f>
        <v/>
      </c>
      <c r="K438" s="10">
        <f>IF(H438="","",IFERROR(INDEX(lst_CCtoGL,MATCH(H438,lst_CCforGL,0)),""))</f>
        <v/>
      </c>
      <c r="L438" s="10">
        <f>IF($BI438="","",IF($B438="Onsite",INDEX(tbl_Onsite[PO / Reference],$BI438),IF($B438="Production",INDEX(tbl_Production[Current RMS No],$BI438),INDEX(tbl_Consulting[Qwilr Quote],$BI438)))&amp;"")</f>
        <v/>
      </c>
      <c r="M438" s="10">
        <f>IF($BI438="","",IF($B438="Onsite",INDEX(tbl_Onsite[Notes],$BI438),IF($B438="Production",INDEX(tbl_Production[Notes],$BI438),INDEX(tbl_Consulting[Notes],$BI438)))&amp;"")</f>
        <v/>
      </c>
      <c r="N438" s="11">
        <f>IF($BI438="","",IF(IF($B438="Onsite",INDEX(tbl_Onsite[Expected Revenue Ex GST],$BI438),IF($B438="Production",INDEX(tbl_Production[Expected Revenue Ex GST],$BI438),INDEX(tbl_Consulting[Expected Revenue Ex GST],$BI438)))="","",IF($B438="Onsite",INDEX(tbl_Onsite[Expected Revenue Ex GST],$BI438),IF($B438="Production",INDEX(tbl_Production[Expected Revenue Ex GST],$BI438),INDEX(tbl_Consulting[Expected Revenue Ex GST],$BI438)))))</f>
        <v/>
      </c>
      <c r="O438" s="11">
        <f>IF(AND($C438="",NOT(COUNTA($S438:$BB438)&gt;0)),"",SUM(U438,X438,AA438,AD438,AG438,AJ438,AM438,AP438,AS438,AV438,AY438,BB438))</f>
        <v/>
      </c>
      <c r="P438" s="11">
        <f>IF(O438="","",N(N438)-O438)</f>
        <v/>
      </c>
      <c r="Q438" s="10">
        <f>IF(O438="","",IF($C438="","Invoice on empty job row",IF(N438="",IF(ROUND(O438,2)=0,"No dept value","Invoiced - no dept value"),IF(ROUND(O438,2)=0,"Not invoiced - to invoice",IF(ROUND(P438,2)=0,"Agrees",IF(P438&gt;0,"Dept higher - to invoice","Xero higher - check dept"))))))</f>
        <v/>
      </c>
      <c r="R438" s="10">
        <f>IF(AND($C438="",NOT(COUNTA($S438:$BB438)&gt;0),$BI438&lt;&gt;""),"",MID(IF($BI438="","; Row ID not found on the department sheet - a row was deleted","")&amp;IF(AND($C438="",COUNTA($S438:$BB438)&gt;0),"; Invoice entered but the department row has no job number","")&amp;IF(E438="CHECK","; Job number not in the Xero job list","")&amp;IF(AND($C438&lt;&gt;"",COUNTIF($C$7:$C$1506,$C438)&gt;1),"; Job number on more than one row","")&amp;IF(AND($C438&lt;&gt;"",H438=""),"; Dept has not set a cost centre","")&amp;IF(AND($C438&lt;&gt;"",J438=""),"; Dept has not set a tax code","")&amp;IF(AND($C438&lt;&gt;"",N438=""),"; Dept has not entered an expected value","")&amp;IF((IF(OR(COUNTA(S438:U438)=0,AND(COUNTA(S438:U438)=3,ISNUMBER(U438))),0,1)+IF(OR(COUNTA(V438:X438)=0,AND(COUNTA(V438:X438)=3,ISNUMBER(X438))),0,1)+IF(OR(COUNTA(Y438:AA438)=0,AND(COUNTA(Y438:AA438)=3,ISNUMBER(AA438))),0,1)+IF(OR(COUNTA(AB438:AD438)=0,AND(COUNTA(AB438:AD438)=3,ISNUMBER(AD438))),0,1)+IF(OR(COUNTA(AE438:AG438)=0,AND(COUNTA(AE438:AG438)=3,ISNUMBER(AG438))),0,1)+IF(OR(COUNTA(AH438:AJ438)=0,AND(COUNTA(AH438:AJ438)=3,ISNUMBER(AJ438))),0,1)+IF(OR(COUNTA(AK438:AM438)=0,AND(COUNTA(AK438:AM438)=3,ISNUMBER(AM438))),0,1)+IF(OR(COUNTA(AN438:AP438)=0,AND(COUNTA(AN438:AP438)=3,ISNUMBER(AP438))),0,1)+IF(OR(COUNTA(AQ438:AS438)=0,AND(COUNTA(AQ438:AS438)=3,ISNUMBER(AS438))),0,1)+IF(OR(COUNTA(AT438:AV438)=0,AND(COUNTA(AT438:AV438)=3,ISNUMBER(AV438))),0,1)+IF(OR(COUNTA(AW438:AY438)=0,AND(COUNTA(AW438:AY438)=3,ISNUMBER(AY438))),0,1)+IF(OR(COUNTA(AZ438:BB438)=0,AND(COUNTA(AZ438:BB438)=3,ISNUMBER(BB438))),0,1))&gt;0,"; An invoice is incomplete (needs No, Date and a number in Ex GST)","")&amp;IF((IF(T438="",0,IFERROR(--(EOMONTH(T438,0)&lt;&gt;S$5),1))+IF(W438="",0,IFERROR(--(EOMONTH(W438,0)&lt;&gt;V$5),1))+IF(Z438="",0,IFERROR(--(EOMONTH(Z438,0)&lt;&gt;Y$5),1))+IF(AC438="",0,IFERROR(--(EOMONTH(AC438,0)&lt;&gt;AB$5),1))+IF(AF438="",0,IFERROR(--(EOMONTH(AF438,0)&lt;&gt;AE$5),1))+IF(AI438="",0,IFERROR(--(EOMONTH(AI438,0)&lt;&gt;AH$5),1))+IF(AL438="",0,IFERROR(--(EOMONTH(AL438,0)&lt;&gt;AK$5),1))+IF(AO438="",0,IFERROR(--(EOMONTH(AO438,0)&lt;&gt;AN$5),1))+IF(AR438="",0,IFERROR(--(EOMONTH(AR438,0)&lt;&gt;AQ$5),1))+IF(AU438="",0,IFERROR(--(EOMONTH(AU438,0)&lt;&gt;AT$5),1))+IF(AX438="",0,IFERROR(--(EOMONTH(AX438,0)&lt;&gt;AW$5),1))+IF(BA438="",0,IFERROR(--(EOMONTH(BA438,0)&lt;&gt;AZ$5),1)))&gt;0,"; An invoice date is not in the month it is typed under",""),3,500))</f>
        <v/>
      </c>
      <c r="S438" s="12" t="n"/>
      <c r="T438" s="13" t="n"/>
      <c r="U438" s="14" t="n"/>
      <c r="V438" s="12" t="n"/>
      <c r="W438" s="13" t="n"/>
      <c r="X438" s="14" t="n"/>
      <c r="Y438" s="12" t="n"/>
      <c r="Z438" s="13" t="n"/>
      <c r="AA438" s="14" t="n"/>
      <c r="AB438" s="12" t="n"/>
      <c r="AC438" s="13" t="n"/>
      <c r="AD438" s="14" t="n"/>
      <c r="AE438" s="12" t="n"/>
      <c r="AF438" s="13" t="n"/>
      <c r="AG438" s="14" t="n"/>
      <c r="AH438" s="12" t="n"/>
      <c r="AI438" s="13" t="n"/>
      <c r="AJ438" s="14" t="n"/>
      <c r="AK438" s="12" t="n"/>
      <c r="AL438" s="13" t="n"/>
      <c r="AM438" s="14" t="n"/>
      <c r="AN438" s="12" t="n"/>
      <c r="AO438" s="13" t="n"/>
      <c r="AP438" s="14" t="n"/>
      <c r="AQ438" s="12" t="n"/>
      <c r="AR438" s="13" t="n"/>
      <c r="AS438" s="14" t="n"/>
      <c r="AT438" s="12" t="n"/>
      <c r="AU438" s="13" t="n"/>
      <c r="AV438" s="14" t="n"/>
      <c r="AW438" s="12" t="n"/>
      <c r="AX438" s="13" t="n"/>
      <c r="AY438" s="14" t="n"/>
      <c r="AZ438" s="12" t="n"/>
      <c r="BA438" s="13" t="n"/>
      <c r="BB438" s="14" t="n"/>
      <c r="BC438" s="11">
        <f>IF(O438="","",IF(J438="GST 10%",ROUND(O438*set_GSTRate,2),0))</f>
        <v/>
      </c>
      <c r="BD438" s="11">
        <f>IF(O438="","",O438+BC438)</f>
        <v/>
      </c>
      <c r="BE438" s="15">
        <f>IF(O438="","",COUNTA(S438,V438,Y438,AB438,AE438,AH438,AK438,AN438,AQ438,AT438,AW438,AZ438))</f>
        <v/>
      </c>
      <c r="BF438" s="16">
        <f>IF(COUNT(T438,W438,Z438,AC438,AF438,AI438,AL438,AO438,AR438,AU438,AX438,BA438)=0,"",MAX(T438,W438,Z438,AC438,AF438,AI438,AL438,AO438,AR438,AU438,AX438,BA438))</f>
        <v/>
      </c>
      <c r="BG438" s="10">
        <f>MID(IF(S438="","",", "&amp;S438)&amp;IF(V438="","",", "&amp;V438)&amp;IF(Y438="","",", "&amp;Y438)&amp;IF(AB438="","",", "&amp;AB438)&amp;IF(AE438="","",", "&amp;AE438)&amp;IF(AH438="","",", "&amp;AH438)&amp;IF(AK438="","",", "&amp;AK438)&amp;IF(AN438="","",", "&amp;AN438)&amp;IF(AQ438="","",", "&amp;AQ438)&amp;IF(AT438="","",", "&amp;AT438)&amp;IF(AW438="","",", "&amp;AW438)&amp;IF(AZ438="","",", "&amp;AZ438),3,500)</f>
        <v/>
      </c>
      <c r="BH438" s="12" t="n"/>
      <c r="BI438" s="15">
        <f>IFERROR(MATCH($A438,IF($B438="Onsite",tbl_Onsite[Row ID],IF($B438="Production",tbl_Production[Row ID],tbl_Consulting[Row ID])),0),"")</f>
        <v/>
      </c>
    </row>
    <row r="439">
      <c r="A439" s="10" t="inlineStr">
        <is>
          <t>ONS-0433</t>
        </is>
      </c>
      <c r="B439" s="10" t="inlineStr">
        <is>
          <t>Onsite</t>
        </is>
      </c>
      <c r="C439" s="10">
        <f>IF($BI439="","",IF($B439="Onsite",INDEX(tbl_Onsite[Job Number],$BI439),IF($B439="Production",INDEX(tbl_Production[Job Number],$BI439),INDEX(tbl_Consulting[Job Number],$BI439)))&amp;"")</f>
        <v/>
      </c>
      <c r="D439" s="10">
        <f>IF($BI439="","",IF($B439="Onsite",INDEX(tbl_Onsite[Client],$BI439),IF($B439="Production",INDEX(tbl_Production[Client],$BI439),INDEX(tbl_Consulting[Client],$BI439)))&amp;"")</f>
        <v/>
      </c>
      <c r="E439" s="10">
        <f>IF($C439="","",IF(COUNTIF(lst_Jobs,$C439)&gt;0,"OK","CHECK"))</f>
        <v/>
      </c>
      <c r="F439" s="10">
        <f>IF($C439="","",IFERROR(INDEX(lst_JobName,MATCH($C439,lst_Jobs,0)),""))</f>
        <v/>
      </c>
      <c r="G439" s="10">
        <f>IF($BI439="","",IF($B439="Onsite",INDEX(tbl_Onsite[Job Description],$BI439),IF($B439="Production",INDEX(tbl_Production[Job Description],$BI439),INDEX(tbl_Consulting[Job Description],$BI439)))&amp;"")</f>
        <v/>
      </c>
      <c r="H439" s="10">
        <f>IF($BI439="","",IF($B439="Onsite",INDEX(tbl_Onsite[Cost Centre],$BI439),IF($B439="Production",INDEX(tbl_Production[Cost Centre],$BI439),INDEX(tbl_Consulting[Cost Centre],$BI439)))&amp;"")</f>
        <v/>
      </c>
      <c r="I439" s="10">
        <f>IF($BI439="","",IF($B439="Onsite",INDEX(tbl_Onsite[Invoice Type],$BI439),IF($B439="Production",INDEX(tbl_Production[Invoice Type],$BI439),INDEX(tbl_Consulting[Invoice Type],$BI439)))&amp;"")</f>
        <v/>
      </c>
      <c r="J439" s="10">
        <f>IF($BI439="","",IF($B439="Onsite",INDEX(tbl_Onsite[Tax Code],$BI439),IF($B439="Production",INDEX(tbl_Production[Tax Code],$BI439),INDEX(tbl_Consulting[Tax Code],$BI439)))&amp;"")</f>
        <v/>
      </c>
      <c r="K439" s="10">
        <f>IF(H439="","",IFERROR(INDEX(lst_CCtoGL,MATCH(H439,lst_CCforGL,0)),""))</f>
        <v/>
      </c>
      <c r="L439" s="10">
        <f>IF($BI439="","",IF($B439="Onsite",INDEX(tbl_Onsite[PO / Reference],$BI439),IF($B439="Production",INDEX(tbl_Production[Current RMS No],$BI439),INDEX(tbl_Consulting[Qwilr Quote],$BI439)))&amp;"")</f>
        <v/>
      </c>
      <c r="M439" s="10">
        <f>IF($BI439="","",IF($B439="Onsite",INDEX(tbl_Onsite[Notes],$BI439),IF($B439="Production",INDEX(tbl_Production[Notes],$BI439),INDEX(tbl_Consulting[Notes],$BI439)))&amp;"")</f>
        <v/>
      </c>
      <c r="N439" s="11">
        <f>IF($BI439="","",IF(IF($B439="Onsite",INDEX(tbl_Onsite[Expected Revenue Ex GST],$BI439),IF($B439="Production",INDEX(tbl_Production[Expected Revenue Ex GST],$BI439),INDEX(tbl_Consulting[Expected Revenue Ex GST],$BI439)))="","",IF($B439="Onsite",INDEX(tbl_Onsite[Expected Revenue Ex GST],$BI439),IF($B439="Production",INDEX(tbl_Production[Expected Revenue Ex GST],$BI439),INDEX(tbl_Consulting[Expected Revenue Ex GST],$BI439)))))</f>
        <v/>
      </c>
      <c r="O439" s="11">
        <f>IF(AND($C439="",NOT(COUNTA($S439:$BB439)&gt;0)),"",SUM(U439,X439,AA439,AD439,AG439,AJ439,AM439,AP439,AS439,AV439,AY439,BB439))</f>
        <v/>
      </c>
      <c r="P439" s="11">
        <f>IF(O439="","",N(N439)-O439)</f>
        <v/>
      </c>
      <c r="Q439" s="10">
        <f>IF(O439="","",IF($C439="","Invoice on empty job row",IF(N439="",IF(ROUND(O439,2)=0,"No dept value","Invoiced - no dept value"),IF(ROUND(O439,2)=0,"Not invoiced - to invoice",IF(ROUND(P439,2)=0,"Agrees",IF(P439&gt;0,"Dept higher - to invoice","Xero higher - check dept"))))))</f>
        <v/>
      </c>
      <c r="R439" s="10">
        <f>IF(AND($C439="",NOT(COUNTA($S439:$BB439)&gt;0),$BI439&lt;&gt;""),"",MID(IF($BI439="","; Row ID not found on the department sheet - a row was deleted","")&amp;IF(AND($C439="",COUNTA($S439:$BB439)&gt;0),"; Invoice entered but the department row has no job number","")&amp;IF(E439="CHECK","; Job number not in the Xero job list","")&amp;IF(AND($C439&lt;&gt;"",COUNTIF($C$7:$C$1506,$C439)&gt;1),"; Job number on more than one row","")&amp;IF(AND($C439&lt;&gt;"",H439=""),"; Dept has not set a cost centre","")&amp;IF(AND($C439&lt;&gt;"",J439=""),"; Dept has not set a tax code","")&amp;IF(AND($C439&lt;&gt;"",N439=""),"; Dept has not entered an expected value","")&amp;IF((IF(OR(COUNTA(S439:U439)=0,AND(COUNTA(S439:U439)=3,ISNUMBER(U439))),0,1)+IF(OR(COUNTA(V439:X439)=0,AND(COUNTA(V439:X439)=3,ISNUMBER(X439))),0,1)+IF(OR(COUNTA(Y439:AA439)=0,AND(COUNTA(Y439:AA439)=3,ISNUMBER(AA439))),0,1)+IF(OR(COUNTA(AB439:AD439)=0,AND(COUNTA(AB439:AD439)=3,ISNUMBER(AD439))),0,1)+IF(OR(COUNTA(AE439:AG439)=0,AND(COUNTA(AE439:AG439)=3,ISNUMBER(AG439))),0,1)+IF(OR(COUNTA(AH439:AJ439)=0,AND(COUNTA(AH439:AJ439)=3,ISNUMBER(AJ439))),0,1)+IF(OR(COUNTA(AK439:AM439)=0,AND(COUNTA(AK439:AM439)=3,ISNUMBER(AM439))),0,1)+IF(OR(COUNTA(AN439:AP439)=0,AND(COUNTA(AN439:AP439)=3,ISNUMBER(AP439))),0,1)+IF(OR(COUNTA(AQ439:AS439)=0,AND(COUNTA(AQ439:AS439)=3,ISNUMBER(AS439))),0,1)+IF(OR(COUNTA(AT439:AV439)=0,AND(COUNTA(AT439:AV439)=3,ISNUMBER(AV439))),0,1)+IF(OR(COUNTA(AW439:AY439)=0,AND(COUNTA(AW439:AY439)=3,ISNUMBER(AY439))),0,1)+IF(OR(COUNTA(AZ439:BB439)=0,AND(COUNTA(AZ439:BB439)=3,ISNUMBER(BB439))),0,1))&gt;0,"; An invoice is incomplete (needs No, Date and a number in Ex GST)","")&amp;IF((IF(T439="",0,IFERROR(--(EOMONTH(T439,0)&lt;&gt;S$5),1))+IF(W439="",0,IFERROR(--(EOMONTH(W439,0)&lt;&gt;V$5),1))+IF(Z439="",0,IFERROR(--(EOMONTH(Z439,0)&lt;&gt;Y$5),1))+IF(AC439="",0,IFERROR(--(EOMONTH(AC439,0)&lt;&gt;AB$5),1))+IF(AF439="",0,IFERROR(--(EOMONTH(AF439,0)&lt;&gt;AE$5),1))+IF(AI439="",0,IFERROR(--(EOMONTH(AI439,0)&lt;&gt;AH$5),1))+IF(AL439="",0,IFERROR(--(EOMONTH(AL439,0)&lt;&gt;AK$5),1))+IF(AO439="",0,IFERROR(--(EOMONTH(AO439,0)&lt;&gt;AN$5),1))+IF(AR439="",0,IFERROR(--(EOMONTH(AR439,0)&lt;&gt;AQ$5),1))+IF(AU439="",0,IFERROR(--(EOMONTH(AU439,0)&lt;&gt;AT$5),1))+IF(AX439="",0,IFERROR(--(EOMONTH(AX439,0)&lt;&gt;AW$5),1))+IF(BA439="",0,IFERROR(--(EOMONTH(BA439,0)&lt;&gt;AZ$5),1)))&gt;0,"; An invoice date is not in the month it is typed under",""),3,500))</f>
        <v/>
      </c>
      <c r="S439" s="12" t="n"/>
      <c r="T439" s="13" t="n"/>
      <c r="U439" s="14" t="n"/>
      <c r="V439" s="12" t="n"/>
      <c r="W439" s="13" t="n"/>
      <c r="X439" s="14" t="n"/>
      <c r="Y439" s="12" t="n"/>
      <c r="Z439" s="13" t="n"/>
      <c r="AA439" s="14" t="n"/>
      <c r="AB439" s="12" t="n"/>
      <c r="AC439" s="13" t="n"/>
      <c r="AD439" s="14" t="n"/>
      <c r="AE439" s="12" t="n"/>
      <c r="AF439" s="13" t="n"/>
      <c r="AG439" s="14" t="n"/>
      <c r="AH439" s="12" t="n"/>
      <c r="AI439" s="13" t="n"/>
      <c r="AJ439" s="14" t="n"/>
      <c r="AK439" s="12" t="n"/>
      <c r="AL439" s="13" t="n"/>
      <c r="AM439" s="14" t="n"/>
      <c r="AN439" s="12" t="n"/>
      <c r="AO439" s="13" t="n"/>
      <c r="AP439" s="14" t="n"/>
      <c r="AQ439" s="12" t="n"/>
      <c r="AR439" s="13" t="n"/>
      <c r="AS439" s="14" t="n"/>
      <c r="AT439" s="12" t="n"/>
      <c r="AU439" s="13" t="n"/>
      <c r="AV439" s="14" t="n"/>
      <c r="AW439" s="12" t="n"/>
      <c r="AX439" s="13" t="n"/>
      <c r="AY439" s="14" t="n"/>
      <c r="AZ439" s="12" t="n"/>
      <c r="BA439" s="13" t="n"/>
      <c r="BB439" s="14" t="n"/>
      <c r="BC439" s="11">
        <f>IF(O439="","",IF(J439="GST 10%",ROUND(O439*set_GSTRate,2),0))</f>
        <v/>
      </c>
      <c r="BD439" s="11">
        <f>IF(O439="","",O439+BC439)</f>
        <v/>
      </c>
      <c r="BE439" s="15">
        <f>IF(O439="","",COUNTA(S439,V439,Y439,AB439,AE439,AH439,AK439,AN439,AQ439,AT439,AW439,AZ439))</f>
        <v/>
      </c>
      <c r="BF439" s="16">
        <f>IF(COUNT(T439,W439,Z439,AC439,AF439,AI439,AL439,AO439,AR439,AU439,AX439,BA439)=0,"",MAX(T439,W439,Z439,AC439,AF439,AI439,AL439,AO439,AR439,AU439,AX439,BA439))</f>
        <v/>
      </c>
      <c r="BG439" s="10">
        <f>MID(IF(S439="","",", "&amp;S439)&amp;IF(V439="","",", "&amp;V439)&amp;IF(Y439="","",", "&amp;Y439)&amp;IF(AB439="","",", "&amp;AB439)&amp;IF(AE439="","",", "&amp;AE439)&amp;IF(AH439="","",", "&amp;AH439)&amp;IF(AK439="","",", "&amp;AK439)&amp;IF(AN439="","",", "&amp;AN439)&amp;IF(AQ439="","",", "&amp;AQ439)&amp;IF(AT439="","",", "&amp;AT439)&amp;IF(AW439="","",", "&amp;AW439)&amp;IF(AZ439="","",", "&amp;AZ439),3,500)</f>
        <v/>
      </c>
      <c r="BH439" s="12" t="n"/>
      <c r="BI439" s="15">
        <f>IFERROR(MATCH($A439,IF($B439="Onsite",tbl_Onsite[Row ID],IF($B439="Production",tbl_Production[Row ID],tbl_Consulting[Row ID])),0),"")</f>
        <v/>
      </c>
    </row>
    <row r="440">
      <c r="A440" s="10" t="inlineStr">
        <is>
          <t>ONS-0434</t>
        </is>
      </c>
      <c r="B440" s="10" t="inlineStr">
        <is>
          <t>Onsite</t>
        </is>
      </c>
      <c r="C440" s="10">
        <f>IF($BI440="","",IF($B440="Onsite",INDEX(tbl_Onsite[Job Number],$BI440),IF($B440="Production",INDEX(tbl_Production[Job Number],$BI440),INDEX(tbl_Consulting[Job Number],$BI440)))&amp;"")</f>
        <v/>
      </c>
      <c r="D440" s="10">
        <f>IF($BI440="","",IF($B440="Onsite",INDEX(tbl_Onsite[Client],$BI440),IF($B440="Production",INDEX(tbl_Production[Client],$BI440),INDEX(tbl_Consulting[Client],$BI440)))&amp;"")</f>
        <v/>
      </c>
      <c r="E440" s="10">
        <f>IF($C440="","",IF(COUNTIF(lst_Jobs,$C440)&gt;0,"OK","CHECK"))</f>
        <v/>
      </c>
      <c r="F440" s="10">
        <f>IF($C440="","",IFERROR(INDEX(lst_JobName,MATCH($C440,lst_Jobs,0)),""))</f>
        <v/>
      </c>
      <c r="G440" s="10">
        <f>IF($BI440="","",IF($B440="Onsite",INDEX(tbl_Onsite[Job Description],$BI440),IF($B440="Production",INDEX(tbl_Production[Job Description],$BI440),INDEX(tbl_Consulting[Job Description],$BI440)))&amp;"")</f>
        <v/>
      </c>
      <c r="H440" s="10">
        <f>IF($BI440="","",IF($B440="Onsite",INDEX(tbl_Onsite[Cost Centre],$BI440),IF($B440="Production",INDEX(tbl_Production[Cost Centre],$BI440),INDEX(tbl_Consulting[Cost Centre],$BI440)))&amp;"")</f>
        <v/>
      </c>
      <c r="I440" s="10">
        <f>IF($BI440="","",IF($B440="Onsite",INDEX(tbl_Onsite[Invoice Type],$BI440),IF($B440="Production",INDEX(tbl_Production[Invoice Type],$BI440),INDEX(tbl_Consulting[Invoice Type],$BI440)))&amp;"")</f>
        <v/>
      </c>
      <c r="J440" s="10">
        <f>IF($BI440="","",IF($B440="Onsite",INDEX(tbl_Onsite[Tax Code],$BI440),IF($B440="Production",INDEX(tbl_Production[Tax Code],$BI440),INDEX(tbl_Consulting[Tax Code],$BI440)))&amp;"")</f>
        <v/>
      </c>
      <c r="K440" s="10">
        <f>IF(H440="","",IFERROR(INDEX(lst_CCtoGL,MATCH(H440,lst_CCforGL,0)),""))</f>
        <v/>
      </c>
      <c r="L440" s="10">
        <f>IF($BI440="","",IF($B440="Onsite",INDEX(tbl_Onsite[PO / Reference],$BI440),IF($B440="Production",INDEX(tbl_Production[Current RMS No],$BI440),INDEX(tbl_Consulting[Qwilr Quote],$BI440)))&amp;"")</f>
        <v/>
      </c>
      <c r="M440" s="10">
        <f>IF($BI440="","",IF($B440="Onsite",INDEX(tbl_Onsite[Notes],$BI440),IF($B440="Production",INDEX(tbl_Production[Notes],$BI440),INDEX(tbl_Consulting[Notes],$BI440)))&amp;"")</f>
        <v/>
      </c>
      <c r="N440" s="11">
        <f>IF($BI440="","",IF(IF($B440="Onsite",INDEX(tbl_Onsite[Expected Revenue Ex GST],$BI440),IF($B440="Production",INDEX(tbl_Production[Expected Revenue Ex GST],$BI440),INDEX(tbl_Consulting[Expected Revenue Ex GST],$BI440)))="","",IF($B440="Onsite",INDEX(tbl_Onsite[Expected Revenue Ex GST],$BI440),IF($B440="Production",INDEX(tbl_Production[Expected Revenue Ex GST],$BI440),INDEX(tbl_Consulting[Expected Revenue Ex GST],$BI440)))))</f>
        <v/>
      </c>
      <c r="O440" s="11">
        <f>IF(AND($C440="",NOT(COUNTA($S440:$BB440)&gt;0)),"",SUM(U440,X440,AA440,AD440,AG440,AJ440,AM440,AP440,AS440,AV440,AY440,BB440))</f>
        <v/>
      </c>
      <c r="P440" s="11">
        <f>IF(O440="","",N(N440)-O440)</f>
        <v/>
      </c>
      <c r="Q440" s="10">
        <f>IF(O440="","",IF($C440="","Invoice on empty job row",IF(N440="",IF(ROUND(O440,2)=0,"No dept value","Invoiced - no dept value"),IF(ROUND(O440,2)=0,"Not invoiced - to invoice",IF(ROUND(P440,2)=0,"Agrees",IF(P440&gt;0,"Dept higher - to invoice","Xero higher - check dept"))))))</f>
        <v/>
      </c>
      <c r="R440" s="10">
        <f>IF(AND($C440="",NOT(COUNTA($S440:$BB440)&gt;0),$BI440&lt;&gt;""),"",MID(IF($BI440="","; Row ID not found on the department sheet - a row was deleted","")&amp;IF(AND($C440="",COUNTA($S440:$BB440)&gt;0),"; Invoice entered but the department row has no job number","")&amp;IF(E440="CHECK","; Job number not in the Xero job list","")&amp;IF(AND($C440&lt;&gt;"",COUNTIF($C$7:$C$1506,$C440)&gt;1),"; Job number on more than one row","")&amp;IF(AND($C440&lt;&gt;"",H440=""),"; Dept has not set a cost centre","")&amp;IF(AND($C440&lt;&gt;"",J440=""),"; Dept has not set a tax code","")&amp;IF(AND($C440&lt;&gt;"",N440=""),"; Dept has not entered an expected value","")&amp;IF((IF(OR(COUNTA(S440:U440)=0,AND(COUNTA(S440:U440)=3,ISNUMBER(U440))),0,1)+IF(OR(COUNTA(V440:X440)=0,AND(COUNTA(V440:X440)=3,ISNUMBER(X440))),0,1)+IF(OR(COUNTA(Y440:AA440)=0,AND(COUNTA(Y440:AA440)=3,ISNUMBER(AA440))),0,1)+IF(OR(COUNTA(AB440:AD440)=0,AND(COUNTA(AB440:AD440)=3,ISNUMBER(AD440))),0,1)+IF(OR(COUNTA(AE440:AG440)=0,AND(COUNTA(AE440:AG440)=3,ISNUMBER(AG440))),0,1)+IF(OR(COUNTA(AH440:AJ440)=0,AND(COUNTA(AH440:AJ440)=3,ISNUMBER(AJ440))),0,1)+IF(OR(COUNTA(AK440:AM440)=0,AND(COUNTA(AK440:AM440)=3,ISNUMBER(AM440))),0,1)+IF(OR(COUNTA(AN440:AP440)=0,AND(COUNTA(AN440:AP440)=3,ISNUMBER(AP440))),0,1)+IF(OR(COUNTA(AQ440:AS440)=0,AND(COUNTA(AQ440:AS440)=3,ISNUMBER(AS440))),0,1)+IF(OR(COUNTA(AT440:AV440)=0,AND(COUNTA(AT440:AV440)=3,ISNUMBER(AV440))),0,1)+IF(OR(COUNTA(AW440:AY440)=0,AND(COUNTA(AW440:AY440)=3,ISNUMBER(AY440))),0,1)+IF(OR(COUNTA(AZ440:BB440)=0,AND(COUNTA(AZ440:BB440)=3,ISNUMBER(BB440))),0,1))&gt;0,"; An invoice is incomplete (needs No, Date and a number in Ex GST)","")&amp;IF((IF(T440="",0,IFERROR(--(EOMONTH(T440,0)&lt;&gt;S$5),1))+IF(W440="",0,IFERROR(--(EOMONTH(W440,0)&lt;&gt;V$5),1))+IF(Z440="",0,IFERROR(--(EOMONTH(Z440,0)&lt;&gt;Y$5),1))+IF(AC440="",0,IFERROR(--(EOMONTH(AC440,0)&lt;&gt;AB$5),1))+IF(AF440="",0,IFERROR(--(EOMONTH(AF440,0)&lt;&gt;AE$5),1))+IF(AI440="",0,IFERROR(--(EOMONTH(AI440,0)&lt;&gt;AH$5),1))+IF(AL440="",0,IFERROR(--(EOMONTH(AL440,0)&lt;&gt;AK$5),1))+IF(AO440="",0,IFERROR(--(EOMONTH(AO440,0)&lt;&gt;AN$5),1))+IF(AR440="",0,IFERROR(--(EOMONTH(AR440,0)&lt;&gt;AQ$5),1))+IF(AU440="",0,IFERROR(--(EOMONTH(AU440,0)&lt;&gt;AT$5),1))+IF(AX440="",0,IFERROR(--(EOMONTH(AX440,0)&lt;&gt;AW$5),1))+IF(BA440="",0,IFERROR(--(EOMONTH(BA440,0)&lt;&gt;AZ$5),1)))&gt;0,"; An invoice date is not in the month it is typed under",""),3,500))</f>
        <v/>
      </c>
      <c r="S440" s="12" t="n"/>
      <c r="T440" s="13" t="n"/>
      <c r="U440" s="14" t="n"/>
      <c r="V440" s="12" t="n"/>
      <c r="W440" s="13" t="n"/>
      <c r="X440" s="14" t="n"/>
      <c r="Y440" s="12" t="n"/>
      <c r="Z440" s="13" t="n"/>
      <c r="AA440" s="14" t="n"/>
      <c r="AB440" s="12" t="n"/>
      <c r="AC440" s="13" t="n"/>
      <c r="AD440" s="14" t="n"/>
      <c r="AE440" s="12" t="n"/>
      <c r="AF440" s="13" t="n"/>
      <c r="AG440" s="14" t="n"/>
      <c r="AH440" s="12" t="n"/>
      <c r="AI440" s="13" t="n"/>
      <c r="AJ440" s="14" t="n"/>
      <c r="AK440" s="12" t="n"/>
      <c r="AL440" s="13" t="n"/>
      <c r="AM440" s="14" t="n"/>
      <c r="AN440" s="12" t="n"/>
      <c r="AO440" s="13" t="n"/>
      <c r="AP440" s="14" t="n"/>
      <c r="AQ440" s="12" t="n"/>
      <c r="AR440" s="13" t="n"/>
      <c r="AS440" s="14" t="n"/>
      <c r="AT440" s="12" t="n"/>
      <c r="AU440" s="13" t="n"/>
      <c r="AV440" s="14" t="n"/>
      <c r="AW440" s="12" t="n"/>
      <c r="AX440" s="13" t="n"/>
      <c r="AY440" s="14" t="n"/>
      <c r="AZ440" s="12" t="n"/>
      <c r="BA440" s="13" t="n"/>
      <c r="BB440" s="14" t="n"/>
      <c r="BC440" s="11">
        <f>IF(O440="","",IF(J440="GST 10%",ROUND(O440*set_GSTRate,2),0))</f>
        <v/>
      </c>
      <c r="BD440" s="11">
        <f>IF(O440="","",O440+BC440)</f>
        <v/>
      </c>
      <c r="BE440" s="15">
        <f>IF(O440="","",COUNTA(S440,V440,Y440,AB440,AE440,AH440,AK440,AN440,AQ440,AT440,AW440,AZ440))</f>
        <v/>
      </c>
      <c r="BF440" s="16">
        <f>IF(COUNT(T440,W440,Z440,AC440,AF440,AI440,AL440,AO440,AR440,AU440,AX440,BA440)=0,"",MAX(T440,W440,Z440,AC440,AF440,AI440,AL440,AO440,AR440,AU440,AX440,BA440))</f>
        <v/>
      </c>
      <c r="BG440" s="10">
        <f>MID(IF(S440="","",", "&amp;S440)&amp;IF(V440="","",", "&amp;V440)&amp;IF(Y440="","",", "&amp;Y440)&amp;IF(AB440="","",", "&amp;AB440)&amp;IF(AE440="","",", "&amp;AE440)&amp;IF(AH440="","",", "&amp;AH440)&amp;IF(AK440="","",", "&amp;AK440)&amp;IF(AN440="","",", "&amp;AN440)&amp;IF(AQ440="","",", "&amp;AQ440)&amp;IF(AT440="","",", "&amp;AT440)&amp;IF(AW440="","",", "&amp;AW440)&amp;IF(AZ440="","",", "&amp;AZ440),3,500)</f>
        <v/>
      </c>
      <c r="BH440" s="12" t="n"/>
      <c r="BI440" s="15">
        <f>IFERROR(MATCH($A440,IF($B440="Onsite",tbl_Onsite[Row ID],IF($B440="Production",tbl_Production[Row ID],tbl_Consulting[Row ID])),0),"")</f>
        <v/>
      </c>
    </row>
    <row r="441">
      <c r="A441" s="10" t="inlineStr">
        <is>
          <t>ONS-0435</t>
        </is>
      </c>
      <c r="B441" s="10" t="inlineStr">
        <is>
          <t>Onsite</t>
        </is>
      </c>
      <c r="C441" s="10">
        <f>IF($BI441="","",IF($B441="Onsite",INDEX(tbl_Onsite[Job Number],$BI441),IF($B441="Production",INDEX(tbl_Production[Job Number],$BI441),INDEX(tbl_Consulting[Job Number],$BI441)))&amp;"")</f>
        <v/>
      </c>
      <c r="D441" s="10">
        <f>IF($BI441="","",IF($B441="Onsite",INDEX(tbl_Onsite[Client],$BI441),IF($B441="Production",INDEX(tbl_Production[Client],$BI441),INDEX(tbl_Consulting[Client],$BI441)))&amp;"")</f>
        <v/>
      </c>
      <c r="E441" s="10">
        <f>IF($C441="","",IF(COUNTIF(lst_Jobs,$C441)&gt;0,"OK","CHECK"))</f>
        <v/>
      </c>
      <c r="F441" s="10">
        <f>IF($C441="","",IFERROR(INDEX(lst_JobName,MATCH($C441,lst_Jobs,0)),""))</f>
        <v/>
      </c>
      <c r="G441" s="10">
        <f>IF($BI441="","",IF($B441="Onsite",INDEX(tbl_Onsite[Job Description],$BI441),IF($B441="Production",INDEX(tbl_Production[Job Description],$BI441),INDEX(tbl_Consulting[Job Description],$BI441)))&amp;"")</f>
        <v/>
      </c>
      <c r="H441" s="10">
        <f>IF($BI441="","",IF($B441="Onsite",INDEX(tbl_Onsite[Cost Centre],$BI441),IF($B441="Production",INDEX(tbl_Production[Cost Centre],$BI441),INDEX(tbl_Consulting[Cost Centre],$BI441)))&amp;"")</f>
        <v/>
      </c>
      <c r="I441" s="10">
        <f>IF($BI441="","",IF($B441="Onsite",INDEX(tbl_Onsite[Invoice Type],$BI441),IF($B441="Production",INDEX(tbl_Production[Invoice Type],$BI441),INDEX(tbl_Consulting[Invoice Type],$BI441)))&amp;"")</f>
        <v/>
      </c>
      <c r="J441" s="10">
        <f>IF($BI441="","",IF($B441="Onsite",INDEX(tbl_Onsite[Tax Code],$BI441),IF($B441="Production",INDEX(tbl_Production[Tax Code],$BI441),INDEX(tbl_Consulting[Tax Code],$BI441)))&amp;"")</f>
        <v/>
      </c>
      <c r="K441" s="10">
        <f>IF(H441="","",IFERROR(INDEX(lst_CCtoGL,MATCH(H441,lst_CCforGL,0)),""))</f>
        <v/>
      </c>
      <c r="L441" s="10">
        <f>IF($BI441="","",IF($B441="Onsite",INDEX(tbl_Onsite[PO / Reference],$BI441),IF($B441="Production",INDEX(tbl_Production[Current RMS No],$BI441),INDEX(tbl_Consulting[Qwilr Quote],$BI441)))&amp;"")</f>
        <v/>
      </c>
      <c r="M441" s="10">
        <f>IF($BI441="","",IF($B441="Onsite",INDEX(tbl_Onsite[Notes],$BI441),IF($B441="Production",INDEX(tbl_Production[Notes],$BI441),INDEX(tbl_Consulting[Notes],$BI441)))&amp;"")</f>
        <v/>
      </c>
      <c r="N441" s="11">
        <f>IF($BI441="","",IF(IF($B441="Onsite",INDEX(tbl_Onsite[Expected Revenue Ex GST],$BI441),IF($B441="Production",INDEX(tbl_Production[Expected Revenue Ex GST],$BI441),INDEX(tbl_Consulting[Expected Revenue Ex GST],$BI441)))="","",IF($B441="Onsite",INDEX(tbl_Onsite[Expected Revenue Ex GST],$BI441),IF($B441="Production",INDEX(tbl_Production[Expected Revenue Ex GST],$BI441),INDEX(tbl_Consulting[Expected Revenue Ex GST],$BI441)))))</f>
        <v/>
      </c>
      <c r="O441" s="11">
        <f>IF(AND($C441="",NOT(COUNTA($S441:$BB441)&gt;0)),"",SUM(U441,X441,AA441,AD441,AG441,AJ441,AM441,AP441,AS441,AV441,AY441,BB441))</f>
        <v/>
      </c>
      <c r="P441" s="11">
        <f>IF(O441="","",N(N441)-O441)</f>
        <v/>
      </c>
      <c r="Q441" s="10">
        <f>IF(O441="","",IF($C441="","Invoice on empty job row",IF(N441="",IF(ROUND(O441,2)=0,"No dept value","Invoiced - no dept value"),IF(ROUND(O441,2)=0,"Not invoiced - to invoice",IF(ROUND(P441,2)=0,"Agrees",IF(P441&gt;0,"Dept higher - to invoice","Xero higher - check dept"))))))</f>
        <v/>
      </c>
      <c r="R441" s="10">
        <f>IF(AND($C441="",NOT(COUNTA($S441:$BB441)&gt;0),$BI441&lt;&gt;""),"",MID(IF($BI441="","; Row ID not found on the department sheet - a row was deleted","")&amp;IF(AND($C441="",COUNTA($S441:$BB441)&gt;0),"; Invoice entered but the department row has no job number","")&amp;IF(E441="CHECK","; Job number not in the Xero job list","")&amp;IF(AND($C441&lt;&gt;"",COUNTIF($C$7:$C$1506,$C441)&gt;1),"; Job number on more than one row","")&amp;IF(AND($C441&lt;&gt;"",H441=""),"; Dept has not set a cost centre","")&amp;IF(AND($C441&lt;&gt;"",J441=""),"; Dept has not set a tax code","")&amp;IF(AND($C441&lt;&gt;"",N441=""),"; Dept has not entered an expected value","")&amp;IF((IF(OR(COUNTA(S441:U441)=0,AND(COUNTA(S441:U441)=3,ISNUMBER(U441))),0,1)+IF(OR(COUNTA(V441:X441)=0,AND(COUNTA(V441:X441)=3,ISNUMBER(X441))),0,1)+IF(OR(COUNTA(Y441:AA441)=0,AND(COUNTA(Y441:AA441)=3,ISNUMBER(AA441))),0,1)+IF(OR(COUNTA(AB441:AD441)=0,AND(COUNTA(AB441:AD441)=3,ISNUMBER(AD441))),0,1)+IF(OR(COUNTA(AE441:AG441)=0,AND(COUNTA(AE441:AG441)=3,ISNUMBER(AG441))),0,1)+IF(OR(COUNTA(AH441:AJ441)=0,AND(COUNTA(AH441:AJ441)=3,ISNUMBER(AJ441))),0,1)+IF(OR(COUNTA(AK441:AM441)=0,AND(COUNTA(AK441:AM441)=3,ISNUMBER(AM441))),0,1)+IF(OR(COUNTA(AN441:AP441)=0,AND(COUNTA(AN441:AP441)=3,ISNUMBER(AP441))),0,1)+IF(OR(COUNTA(AQ441:AS441)=0,AND(COUNTA(AQ441:AS441)=3,ISNUMBER(AS441))),0,1)+IF(OR(COUNTA(AT441:AV441)=0,AND(COUNTA(AT441:AV441)=3,ISNUMBER(AV441))),0,1)+IF(OR(COUNTA(AW441:AY441)=0,AND(COUNTA(AW441:AY441)=3,ISNUMBER(AY441))),0,1)+IF(OR(COUNTA(AZ441:BB441)=0,AND(COUNTA(AZ441:BB441)=3,ISNUMBER(BB441))),0,1))&gt;0,"; An invoice is incomplete (needs No, Date and a number in Ex GST)","")&amp;IF((IF(T441="",0,IFERROR(--(EOMONTH(T441,0)&lt;&gt;S$5),1))+IF(W441="",0,IFERROR(--(EOMONTH(W441,0)&lt;&gt;V$5),1))+IF(Z441="",0,IFERROR(--(EOMONTH(Z441,0)&lt;&gt;Y$5),1))+IF(AC441="",0,IFERROR(--(EOMONTH(AC441,0)&lt;&gt;AB$5),1))+IF(AF441="",0,IFERROR(--(EOMONTH(AF441,0)&lt;&gt;AE$5),1))+IF(AI441="",0,IFERROR(--(EOMONTH(AI441,0)&lt;&gt;AH$5),1))+IF(AL441="",0,IFERROR(--(EOMONTH(AL441,0)&lt;&gt;AK$5),1))+IF(AO441="",0,IFERROR(--(EOMONTH(AO441,0)&lt;&gt;AN$5),1))+IF(AR441="",0,IFERROR(--(EOMONTH(AR441,0)&lt;&gt;AQ$5),1))+IF(AU441="",0,IFERROR(--(EOMONTH(AU441,0)&lt;&gt;AT$5),1))+IF(AX441="",0,IFERROR(--(EOMONTH(AX441,0)&lt;&gt;AW$5),1))+IF(BA441="",0,IFERROR(--(EOMONTH(BA441,0)&lt;&gt;AZ$5),1)))&gt;0,"; An invoice date is not in the month it is typed under",""),3,500))</f>
        <v/>
      </c>
      <c r="S441" s="12" t="n"/>
      <c r="T441" s="13" t="n"/>
      <c r="U441" s="14" t="n"/>
      <c r="V441" s="12" t="n"/>
      <c r="W441" s="13" t="n"/>
      <c r="X441" s="14" t="n"/>
      <c r="Y441" s="12" t="n"/>
      <c r="Z441" s="13" t="n"/>
      <c r="AA441" s="14" t="n"/>
      <c r="AB441" s="12" t="n"/>
      <c r="AC441" s="13" t="n"/>
      <c r="AD441" s="14" t="n"/>
      <c r="AE441" s="12" t="n"/>
      <c r="AF441" s="13" t="n"/>
      <c r="AG441" s="14" t="n"/>
      <c r="AH441" s="12" t="n"/>
      <c r="AI441" s="13" t="n"/>
      <c r="AJ441" s="14" t="n"/>
      <c r="AK441" s="12" t="n"/>
      <c r="AL441" s="13" t="n"/>
      <c r="AM441" s="14" t="n"/>
      <c r="AN441" s="12" t="n"/>
      <c r="AO441" s="13" t="n"/>
      <c r="AP441" s="14" t="n"/>
      <c r="AQ441" s="12" t="n"/>
      <c r="AR441" s="13" t="n"/>
      <c r="AS441" s="14" t="n"/>
      <c r="AT441" s="12" t="n"/>
      <c r="AU441" s="13" t="n"/>
      <c r="AV441" s="14" t="n"/>
      <c r="AW441" s="12" t="n"/>
      <c r="AX441" s="13" t="n"/>
      <c r="AY441" s="14" t="n"/>
      <c r="AZ441" s="12" t="n"/>
      <c r="BA441" s="13" t="n"/>
      <c r="BB441" s="14" t="n"/>
      <c r="BC441" s="11">
        <f>IF(O441="","",IF(J441="GST 10%",ROUND(O441*set_GSTRate,2),0))</f>
        <v/>
      </c>
      <c r="BD441" s="11">
        <f>IF(O441="","",O441+BC441)</f>
        <v/>
      </c>
      <c r="BE441" s="15">
        <f>IF(O441="","",COUNTA(S441,V441,Y441,AB441,AE441,AH441,AK441,AN441,AQ441,AT441,AW441,AZ441))</f>
        <v/>
      </c>
      <c r="BF441" s="16">
        <f>IF(COUNT(T441,W441,Z441,AC441,AF441,AI441,AL441,AO441,AR441,AU441,AX441,BA441)=0,"",MAX(T441,W441,Z441,AC441,AF441,AI441,AL441,AO441,AR441,AU441,AX441,BA441))</f>
        <v/>
      </c>
      <c r="BG441" s="10">
        <f>MID(IF(S441="","",", "&amp;S441)&amp;IF(V441="","",", "&amp;V441)&amp;IF(Y441="","",", "&amp;Y441)&amp;IF(AB441="","",", "&amp;AB441)&amp;IF(AE441="","",", "&amp;AE441)&amp;IF(AH441="","",", "&amp;AH441)&amp;IF(AK441="","",", "&amp;AK441)&amp;IF(AN441="","",", "&amp;AN441)&amp;IF(AQ441="","",", "&amp;AQ441)&amp;IF(AT441="","",", "&amp;AT441)&amp;IF(AW441="","",", "&amp;AW441)&amp;IF(AZ441="","",", "&amp;AZ441),3,500)</f>
        <v/>
      </c>
      <c r="BH441" s="12" t="n"/>
      <c r="BI441" s="15">
        <f>IFERROR(MATCH($A441,IF($B441="Onsite",tbl_Onsite[Row ID],IF($B441="Production",tbl_Production[Row ID],tbl_Consulting[Row ID])),0),"")</f>
        <v/>
      </c>
    </row>
    <row r="442">
      <c r="A442" s="10" t="inlineStr">
        <is>
          <t>ONS-0436</t>
        </is>
      </c>
      <c r="B442" s="10" t="inlineStr">
        <is>
          <t>Onsite</t>
        </is>
      </c>
      <c r="C442" s="10">
        <f>IF($BI442="","",IF($B442="Onsite",INDEX(tbl_Onsite[Job Number],$BI442),IF($B442="Production",INDEX(tbl_Production[Job Number],$BI442),INDEX(tbl_Consulting[Job Number],$BI442)))&amp;"")</f>
        <v/>
      </c>
      <c r="D442" s="10">
        <f>IF($BI442="","",IF($B442="Onsite",INDEX(tbl_Onsite[Client],$BI442),IF($B442="Production",INDEX(tbl_Production[Client],$BI442),INDEX(tbl_Consulting[Client],$BI442)))&amp;"")</f>
        <v/>
      </c>
      <c r="E442" s="10">
        <f>IF($C442="","",IF(COUNTIF(lst_Jobs,$C442)&gt;0,"OK","CHECK"))</f>
        <v/>
      </c>
      <c r="F442" s="10">
        <f>IF($C442="","",IFERROR(INDEX(lst_JobName,MATCH($C442,lst_Jobs,0)),""))</f>
        <v/>
      </c>
      <c r="G442" s="10">
        <f>IF($BI442="","",IF($B442="Onsite",INDEX(tbl_Onsite[Job Description],$BI442),IF($B442="Production",INDEX(tbl_Production[Job Description],$BI442),INDEX(tbl_Consulting[Job Description],$BI442)))&amp;"")</f>
        <v/>
      </c>
      <c r="H442" s="10">
        <f>IF($BI442="","",IF($B442="Onsite",INDEX(tbl_Onsite[Cost Centre],$BI442),IF($B442="Production",INDEX(tbl_Production[Cost Centre],$BI442),INDEX(tbl_Consulting[Cost Centre],$BI442)))&amp;"")</f>
        <v/>
      </c>
      <c r="I442" s="10">
        <f>IF($BI442="","",IF($B442="Onsite",INDEX(tbl_Onsite[Invoice Type],$BI442),IF($B442="Production",INDEX(tbl_Production[Invoice Type],$BI442),INDEX(tbl_Consulting[Invoice Type],$BI442)))&amp;"")</f>
        <v/>
      </c>
      <c r="J442" s="10">
        <f>IF($BI442="","",IF($B442="Onsite",INDEX(tbl_Onsite[Tax Code],$BI442),IF($B442="Production",INDEX(tbl_Production[Tax Code],$BI442),INDEX(tbl_Consulting[Tax Code],$BI442)))&amp;"")</f>
        <v/>
      </c>
      <c r="K442" s="10">
        <f>IF(H442="","",IFERROR(INDEX(lst_CCtoGL,MATCH(H442,lst_CCforGL,0)),""))</f>
        <v/>
      </c>
      <c r="L442" s="10">
        <f>IF($BI442="","",IF($B442="Onsite",INDEX(tbl_Onsite[PO / Reference],$BI442),IF($B442="Production",INDEX(tbl_Production[Current RMS No],$BI442),INDEX(tbl_Consulting[Qwilr Quote],$BI442)))&amp;"")</f>
        <v/>
      </c>
      <c r="M442" s="10">
        <f>IF($BI442="","",IF($B442="Onsite",INDEX(tbl_Onsite[Notes],$BI442),IF($B442="Production",INDEX(tbl_Production[Notes],$BI442),INDEX(tbl_Consulting[Notes],$BI442)))&amp;"")</f>
        <v/>
      </c>
      <c r="N442" s="11">
        <f>IF($BI442="","",IF(IF($B442="Onsite",INDEX(tbl_Onsite[Expected Revenue Ex GST],$BI442),IF($B442="Production",INDEX(tbl_Production[Expected Revenue Ex GST],$BI442),INDEX(tbl_Consulting[Expected Revenue Ex GST],$BI442)))="","",IF($B442="Onsite",INDEX(tbl_Onsite[Expected Revenue Ex GST],$BI442),IF($B442="Production",INDEX(tbl_Production[Expected Revenue Ex GST],$BI442),INDEX(tbl_Consulting[Expected Revenue Ex GST],$BI442)))))</f>
        <v/>
      </c>
      <c r="O442" s="11">
        <f>IF(AND($C442="",NOT(COUNTA($S442:$BB442)&gt;0)),"",SUM(U442,X442,AA442,AD442,AG442,AJ442,AM442,AP442,AS442,AV442,AY442,BB442))</f>
        <v/>
      </c>
      <c r="P442" s="11">
        <f>IF(O442="","",N(N442)-O442)</f>
        <v/>
      </c>
      <c r="Q442" s="10">
        <f>IF(O442="","",IF($C442="","Invoice on empty job row",IF(N442="",IF(ROUND(O442,2)=0,"No dept value","Invoiced - no dept value"),IF(ROUND(O442,2)=0,"Not invoiced - to invoice",IF(ROUND(P442,2)=0,"Agrees",IF(P442&gt;0,"Dept higher - to invoice","Xero higher - check dept"))))))</f>
        <v/>
      </c>
      <c r="R442" s="10">
        <f>IF(AND($C442="",NOT(COUNTA($S442:$BB442)&gt;0),$BI442&lt;&gt;""),"",MID(IF($BI442="","; Row ID not found on the department sheet - a row was deleted","")&amp;IF(AND($C442="",COUNTA($S442:$BB442)&gt;0),"; Invoice entered but the department row has no job number","")&amp;IF(E442="CHECK","; Job number not in the Xero job list","")&amp;IF(AND($C442&lt;&gt;"",COUNTIF($C$7:$C$1506,$C442)&gt;1),"; Job number on more than one row","")&amp;IF(AND($C442&lt;&gt;"",H442=""),"; Dept has not set a cost centre","")&amp;IF(AND($C442&lt;&gt;"",J442=""),"; Dept has not set a tax code","")&amp;IF(AND($C442&lt;&gt;"",N442=""),"; Dept has not entered an expected value","")&amp;IF((IF(OR(COUNTA(S442:U442)=0,AND(COUNTA(S442:U442)=3,ISNUMBER(U442))),0,1)+IF(OR(COUNTA(V442:X442)=0,AND(COUNTA(V442:X442)=3,ISNUMBER(X442))),0,1)+IF(OR(COUNTA(Y442:AA442)=0,AND(COUNTA(Y442:AA442)=3,ISNUMBER(AA442))),0,1)+IF(OR(COUNTA(AB442:AD442)=0,AND(COUNTA(AB442:AD442)=3,ISNUMBER(AD442))),0,1)+IF(OR(COUNTA(AE442:AG442)=0,AND(COUNTA(AE442:AG442)=3,ISNUMBER(AG442))),0,1)+IF(OR(COUNTA(AH442:AJ442)=0,AND(COUNTA(AH442:AJ442)=3,ISNUMBER(AJ442))),0,1)+IF(OR(COUNTA(AK442:AM442)=0,AND(COUNTA(AK442:AM442)=3,ISNUMBER(AM442))),0,1)+IF(OR(COUNTA(AN442:AP442)=0,AND(COUNTA(AN442:AP442)=3,ISNUMBER(AP442))),0,1)+IF(OR(COUNTA(AQ442:AS442)=0,AND(COUNTA(AQ442:AS442)=3,ISNUMBER(AS442))),0,1)+IF(OR(COUNTA(AT442:AV442)=0,AND(COUNTA(AT442:AV442)=3,ISNUMBER(AV442))),0,1)+IF(OR(COUNTA(AW442:AY442)=0,AND(COUNTA(AW442:AY442)=3,ISNUMBER(AY442))),0,1)+IF(OR(COUNTA(AZ442:BB442)=0,AND(COUNTA(AZ442:BB442)=3,ISNUMBER(BB442))),0,1))&gt;0,"; An invoice is incomplete (needs No, Date and a number in Ex GST)","")&amp;IF((IF(T442="",0,IFERROR(--(EOMONTH(T442,0)&lt;&gt;S$5),1))+IF(W442="",0,IFERROR(--(EOMONTH(W442,0)&lt;&gt;V$5),1))+IF(Z442="",0,IFERROR(--(EOMONTH(Z442,0)&lt;&gt;Y$5),1))+IF(AC442="",0,IFERROR(--(EOMONTH(AC442,0)&lt;&gt;AB$5),1))+IF(AF442="",0,IFERROR(--(EOMONTH(AF442,0)&lt;&gt;AE$5),1))+IF(AI442="",0,IFERROR(--(EOMONTH(AI442,0)&lt;&gt;AH$5),1))+IF(AL442="",0,IFERROR(--(EOMONTH(AL442,0)&lt;&gt;AK$5),1))+IF(AO442="",0,IFERROR(--(EOMONTH(AO442,0)&lt;&gt;AN$5),1))+IF(AR442="",0,IFERROR(--(EOMONTH(AR442,0)&lt;&gt;AQ$5),1))+IF(AU442="",0,IFERROR(--(EOMONTH(AU442,0)&lt;&gt;AT$5),1))+IF(AX442="",0,IFERROR(--(EOMONTH(AX442,0)&lt;&gt;AW$5),1))+IF(BA442="",0,IFERROR(--(EOMONTH(BA442,0)&lt;&gt;AZ$5),1)))&gt;0,"; An invoice date is not in the month it is typed under",""),3,500))</f>
        <v/>
      </c>
      <c r="S442" s="12" t="n"/>
      <c r="T442" s="13" t="n"/>
      <c r="U442" s="14" t="n"/>
      <c r="V442" s="12" t="n"/>
      <c r="W442" s="13" t="n"/>
      <c r="X442" s="14" t="n"/>
      <c r="Y442" s="12" t="n"/>
      <c r="Z442" s="13" t="n"/>
      <c r="AA442" s="14" t="n"/>
      <c r="AB442" s="12" t="n"/>
      <c r="AC442" s="13" t="n"/>
      <c r="AD442" s="14" t="n"/>
      <c r="AE442" s="12" t="n"/>
      <c r="AF442" s="13" t="n"/>
      <c r="AG442" s="14" t="n"/>
      <c r="AH442" s="12" t="n"/>
      <c r="AI442" s="13" t="n"/>
      <c r="AJ442" s="14" t="n"/>
      <c r="AK442" s="12" t="n"/>
      <c r="AL442" s="13" t="n"/>
      <c r="AM442" s="14" t="n"/>
      <c r="AN442" s="12" t="n"/>
      <c r="AO442" s="13" t="n"/>
      <c r="AP442" s="14" t="n"/>
      <c r="AQ442" s="12" t="n"/>
      <c r="AR442" s="13" t="n"/>
      <c r="AS442" s="14" t="n"/>
      <c r="AT442" s="12" t="n"/>
      <c r="AU442" s="13" t="n"/>
      <c r="AV442" s="14" t="n"/>
      <c r="AW442" s="12" t="n"/>
      <c r="AX442" s="13" t="n"/>
      <c r="AY442" s="14" t="n"/>
      <c r="AZ442" s="12" t="n"/>
      <c r="BA442" s="13" t="n"/>
      <c r="BB442" s="14" t="n"/>
      <c r="BC442" s="11">
        <f>IF(O442="","",IF(J442="GST 10%",ROUND(O442*set_GSTRate,2),0))</f>
        <v/>
      </c>
      <c r="BD442" s="11">
        <f>IF(O442="","",O442+BC442)</f>
        <v/>
      </c>
      <c r="BE442" s="15">
        <f>IF(O442="","",COUNTA(S442,V442,Y442,AB442,AE442,AH442,AK442,AN442,AQ442,AT442,AW442,AZ442))</f>
        <v/>
      </c>
      <c r="BF442" s="16">
        <f>IF(COUNT(T442,W442,Z442,AC442,AF442,AI442,AL442,AO442,AR442,AU442,AX442,BA442)=0,"",MAX(T442,W442,Z442,AC442,AF442,AI442,AL442,AO442,AR442,AU442,AX442,BA442))</f>
        <v/>
      </c>
      <c r="BG442" s="10">
        <f>MID(IF(S442="","",", "&amp;S442)&amp;IF(V442="","",", "&amp;V442)&amp;IF(Y442="","",", "&amp;Y442)&amp;IF(AB442="","",", "&amp;AB442)&amp;IF(AE442="","",", "&amp;AE442)&amp;IF(AH442="","",", "&amp;AH442)&amp;IF(AK442="","",", "&amp;AK442)&amp;IF(AN442="","",", "&amp;AN442)&amp;IF(AQ442="","",", "&amp;AQ442)&amp;IF(AT442="","",", "&amp;AT442)&amp;IF(AW442="","",", "&amp;AW442)&amp;IF(AZ442="","",", "&amp;AZ442),3,500)</f>
        <v/>
      </c>
      <c r="BH442" s="12" t="n"/>
      <c r="BI442" s="15">
        <f>IFERROR(MATCH($A442,IF($B442="Onsite",tbl_Onsite[Row ID],IF($B442="Production",tbl_Production[Row ID],tbl_Consulting[Row ID])),0),"")</f>
        <v/>
      </c>
    </row>
    <row r="443">
      <c r="A443" s="10" t="inlineStr">
        <is>
          <t>ONS-0437</t>
        </is>
      </c>
      <c r="B443" s="10" t="inlineStr">
        <is>
          <t>Onsite</t>
        </is>
      </c>
      <c r="C443" s="10">
        <f>IF($BI443="","",IF($B443="Onsite",INDEX(tbl_Onsite[Job Number],$BI443),IF($B443="Production",INDEX(tbl_Production[Job Number],$BI443),INDEX(tbl_Consulting[Job Number],$BI443)))&amp;"")</f>
        <v/>
      </c>
      <c r="D443" s="10">
        <f>IF($BI443="","",IF($B443="Onsite",INDEX(tbl_Onsite[Client],$BI443),IF($B443="Production",INDEX(tbl_Production[Client],$BI443),INDEX(tbl_Consulting[Client],$BI443)))&amp;"")</f>
        <v/>
      </c>
      <c r="E443" s="10">
        <f>IF($C443="","",IF(COUNTIF(lst_Jobs,$C443)&gt;0,"OK","CHECK"))</f>
        <v/>
      </c>
      <c r="F443" s="10">
        <f>IF($C443="","",IFERROR(INDEX(lst_JobName,MATCH($C443,lst_Jobs,0)),""))</f>
        <v/>
      </c>
      <c r="G443" s="10">
        <f>IF($BI443="","",IF($B443="Onsite",INDEX(tbl_Onsite[Job Description],$BI443),IF($B443="Production",INDEX(tbl_Production[Job Description],$BI443),INDEX(tbl_Consulting[Job Description],$BI443)))&amp;"")</f>
        <v/>
      </c>
      <c r="H443" s="10">
        <f>IF($BI443="","",IF($B443="Onsite",INDEX(tbl_Onsite[Cost Centre],$BI443),IF($B443="Production",INDEX(tbl_Production[Cost Centre],$BI443),INDEX(tbl_Consulting[Cost Centre],$BI443)))&amp;"")</f>
        <v/>
      </c>
      <c r="I443" s="10">
        <f>IF($BI443="","",IF($B443="Onsite",INDEX(tbl_Onsite[Invoice Type],$BI443),IF($B443="Production",INDEX(tbl_Production[Invoice Type],$BI443),INDEX(tbl_Consulting[Invoice Type],$BI443)))&amp;"")</f>
        <v/>
      </c>
      <c r="J443" s="10">
        <f>IF($BI443="","",IF($B443="Onsite",INDEX(tbl_Onsite[Tax Code],$BI443),IF($B443="Production",INDEX(tbl_Production[Tax Code],$BI443),INDEX(tbl_Consulting[Tax Code],$BI443)))&amp;"")</f>
        <v/>
      </c>
      <c r="K443" s="10">
        <f>IF(H443="","",IFERROR(INDEX(lst_CCtoGL,MATCH(H443,lst_CCforGL,0)),""))</f>
        <v/>
      </c>
      <c r="L443" s="10">
        <f>IF($BI443="","",IF($B443="Onsite",INDEX(tbl_Onsite[PO / Reference],$BI443),IF($B443="Production",INDEX(tbl_Production[Current RMS No],$BI443),INDEX(tbl_Consulting[Qwilr Quote],$BI443)))&amp;"")</f>
        <v/>
      </c>
      <c r="M443" s="10">
        <f>IF($BI443="","",IF($B443="Onsite",INDEX(tbl_Onsite[Notes],$BI443),IF($B443="Production",INDEX(tbl_Production[Notes],$BI443),INDEX(tbl_Consulting[Notes],$BI443)))&amp;"")</f>
        <v/>
      </c>
      <c r="N443" s="11">
        <f>IF($BI443="","",IF(IF($B443="Onsite",INDEX(tbl_Onsite[Expected Revenue Ex GST],$BI443),IF($B443="Production",INDEX(tbl_Production[Expected Revenue Ex GST],$BI443),INDEX(tbl_Consulting[Expected Revenue Ex GST],$BI443)))="","",IF($B443="Onsite",INDEX(tbl_Onsite[Expected Revenue Ex GST],$BI443),IF($B443="Production",INDEX(tbl_Production[Expected Revenue Ex GST],$BI443),INDEX(tbl_Consulting[Expected Revenue Ex GST],$BI443)))))</f>
        <v/>
      </c>
      <c r="O443" s="11">
        <f>IF(AND($C443="",NOT(COUNTA($S443:$BB443)&gt;0)),"",SUM(U443,X443,AA443,AD443,AG443,AJ443,AM443,AP443,AS443,AV443,AY443,BB443))</f>
        <v/>
      </c>
      <c r="P443" s="11">
        <f>IF(O443="","",N(N443)-O443)</f>
        <v/>
      </c>
      <c r="Q443" s="10">
        <f>IF(O443="","",IF($C443="","Invoice on empty job row",IF(N443="",IF(ROUND(O443,2)=0,"No dept value","Invoiced - no dept value"),IF(ROUND(O443,2)=0,"Not invoiced - to invoice",IF(ROUND(P443,2)=0,"Agrees",IF(P443&gt;0,"Dept higher - to invoice","Xero higher - check dept"))))))</f>
        <v/>
      </c>
      <c r="R443" s="10">
        <f>IF(AND($C443="",NOT(COUNTA($S443:$BB443)&gt;0),$BI443&lt;&gt;""),"",MID(IF($BI443="","; Row ID not found on the department sheet - a row was deleted","")&amp;IF(AND($C443="",COUNTA($S443:$BB443)&gt;0),"; Invoice entered but the department row has no job number","")&amp;IF(E443="CHECK","; Job number not in the Xero job list","")&amp;IF(AND($C443&lt;&gt;"",COUNTIF($C$7:$C$1506,$C443)&gt;1),"; Job number on more than one row","")&amp;IF(AND($C443&lt;&gt;"",H443=""),"; Dept has not set a cost centre","")&amp;IF(AND($C443&lt;&gt;"",J443=""),"; Dept has not set a tax code","")&amp;IF(AND($C443&lt;&gt;"",N443=""),"; Dept has not entered an expected value","")&amp;IF((IF(OR(COUNTA(S443:U443)=0,AND(COUNTA(S443:U443)=3,ISNUMBER(U443))),0,1)+IF(OR(COUNTA(V443:X443)=0,AND(COUNTA(V443:X443)=3,ISNUMBER(X443))),0,1)+IF(OR(COUNTA(Y443:AA443)=0,AND(COUNTA(Y443:AA443)=3,ISNUMBER(AA443))),0,1)+IF(OR(COUNTA(AB443:AD443)=0,AND(COUNTA(AB443:AD443)=3,ISNUMBER(AD443))),0,1)+IF(OR(COUNTA(AE443:AG443)=0,AND(COUNTA(AE443:AG443)=3,ISNUMBER(AG443))),0,1)+IF(OR(COUNTA(AH443:AJ443)=0,AND(COUNTA(AH443:AJ443)=3,ISNUMBER(AJ443))),0,1)+IF(OR(COUNTA(AK443:AM443)=0,AND(COUNTA(AK443:AM443)=3,ISNUMBER(AM443))),0,1)+IF(OR(COUNTA(AN443:AP443)=0,AND(COUNTA(AN443:AP443)=3,ISNUMBER(AP443))),0,1)+IF(OR(COUNTA(AQ443:AS443)=0,AND(COUNTA(AQ443:AS443)=3,ISNUMBER(AS443))),0,1)+IF(OR(COUNTA(AT443:AV443)=0,AND(COUNTA(AT443:AV443)=3,ISNUMBER(AV443))),0,1)+IF(OR(COUNTA(AW443:AY443)=0,AND(COUNTA(AW443:AY443)=3,ISNUMBER(AY443))),0,1)+IF(OR(COUNTA(AZ443:BB443)=0,AND(COUNTA(AZ443:BB443)=3,ISNUMBER(BB443))),0,1))&gt;0,"; An invoice is incomplete (needs No, Date and a number in Ex GST)","")&amp;IF((IF(T443="",0,IFERROR(--(EOMONTH(T443,0)&lt;&gt;S$5),1))+IF(W443="",0,IFERROR(--(EOMONTH(W443,0)&lt;&gt;V$5),1))+IF(Z443="",0,IFERROR(--(EOMONTH(Z443,0)&lt;&gt;Y$5),1))+IF(AC443="",0,IFERROR(--(EOMONTH(AC443,0)&lt;&gt;AB$5),1))+IF(AF443="",0,IFERROR(--(EOMONTH(AF443,0)&lt;&gt;AE$5),1))+IF(AI443="",0,IFERROR(--(EOMONTH(AI443,0)&lt;&gt;AH$5),1))+IF(AL443="",0,IFERROR(--(EOMONTH(AL443,0)&lt;&gt;AK$5),1))+IF(AO443="",0,IFERROR(--(EOMONTH(AO443,0)&lt;&gt;AN$5),1))+IF(AR443="",0,IFERROR(--(EOMONTH(AR443,0)&lt;&gt;AQ$5),1))+IF(AU443="",0,IFERROR(--(EOMONTH(AU443,0)&lt;&gt;AT$5),1))+IF(AX443="",0,IFERROR(--(EOMONTH(AX443,0)&lt;&gt;AW$5),1))+IF(BA443="",0,IFERROR(--(EOMONTH(BA443,0)&lt;&gt;AZ$5),1)))&gt;0,"; An invoice date is not in the month it is typed under",""),3,500))</f>
        <v/>
      </c>
      <c r="S443" s="12" t="n"/>
      <c r="T443" s="13" t="n"/>
      <c r="U443" s="14" t="n"/>
      <c r="V443" s="12" t="n"/>
      <c r="W443" s="13" t="n"/>
      <c r="X443" s="14" t="n"/>
      <c r="Y443" s="12" t="n"/>
      <c r="Z443" s="13" t="n"/>
      <c r="AA443" s="14" t="n"/>
      <c r="AB443" s="12" t="n"/>
      <c r="AC443" s="13" t="n"/>
      <c r="AD443" s="14" t="n"/>
      <c r="AE443" s="12" t="n"/>
      <c r="AF443" s="13" t="n"/>
      <c r="AG443" s="14" t="n"/>
      <c r="AH443" s="12" t="n"/>
      <c r="AI443" s="13" t="n"/>
      <c r="AJ443" s="14" t="n"/>
      <c r="AK443" s="12" t="n"/>
      <c r="AL443" s="13" t="n"/>
      <c r="AM443" s="14" t="n"/>
      <c r="AN443" s="12" t="n"/>
      <c r="AO443" s="13" t="n"/>
      <c r="AP443" s="14" t="n"/>
      <c r="AQ443" s="12" t="n"/>
      <c r="AR443" s="13" t="n"/>
      <c r="AS443" s="14" t="n"/>
      <c r="AT443" s="12" t="n"/>
      <c r="AU443" s="13" t="n"/>
      <c r="AV443" s="14" t="n"/>
      <c r="AW443" s="12" t="n"/>
      <c r="AX443" s="13" t="n"/>
      <c r="AY443" s="14" t="n"/>
      <c r="AZ443" s="12" t="n"/>
      <c r="BA443" s="13" t="n"/>
      <c r="BB443" s="14" t="n"/>
      <c r="BC443" s="11">
        <f>IF(O443="","",IF(J443="GST 10%",ROUND(O443*set_GSTRate,2),0))</f>
        <v/>
      </c>
      <c r="BD443" s="11">
        <f>IF(O443="","",O443+BC443)</f>
        <v/>
      </c>
      <c r="BE443" s="15">
        <f>IF(O443="","",COUNTA(S443,V443,Y443,AB443,AE443,AH443,AK443,AN443,AQ443,AT443,AW443,AZ443))</f>
        <v/>
      </c>
      <c r="BF443" s="16">
        <f>IF(COUNT(T443,W443,Z443,AC443,AF443,AI443,AL443,AO443,AR443,AU443,AX443,BA443)=0,"",MAX(T443,W443,Z443,AC443,AF443,AI443,AL443,AO443,AR443,AU443,AX443,BA443))</f>
        <v/>
      </c>
      <c r="BG443" s="10">
        <f>MID(IF(S443="","",", "&amp;S443)&amp;IF(V443="","",", "&amp;V443)&amp;IF(Y443="","",", "&amp;Y443)&amp;IF(AB443="","",", "&amp;AB443)&amp;IF(AE443="","",", "&amp;AE443)&amp;IF(AH443="","",", "&amp;AH443)&amp;IF(AK443="","",", "&amp;AK443)&amp;IF(AN443="","",", "&amp;AN443)&amp;IF(AQ443="","",", "&amp;AQ443)&amp;IF(AT443="","",", "&amp;AT443)&amp;IF(AW443="","",", "&amp;AW443)&amp;IF(AZ443="","",", "&amp;AZ443),3,500)</f>
        <v/>
      </c>
      <c r="BH443" s="12" t="n"/>
      <c r="BI443" s="15">
        <f>IFERROR(MATCH($A443,IF($B443="Onsite",tbl_Onsite[Row ID],IF($B443="Production",tbl_Production[Row ID],tbl_Consulting[Row ID])),0),"")</f>
        <v/>
      </c>
    </row>
    <row r="444">
      <c r="A444" s="10" t="inlineStr">
        <is>
          <t>ONS-0438</t>
        </is>
      </c>
      <c r="B444" s="10" t="inlineStr">
        <is>
          <t>Onsite</t>
        </is>
      </c>
      <c r="C444" s="10">
        <f>IF($BI444="","",IF($B444="Onsite",INDEX(tbl_Onsite[Job Number],$BI444),IF($B444="Production",INDEX(tbl_Production[Job Number],$BI444),INDEX(tbl_Consulting[Job Number],$BI444)))&amp;"")</f>
        <v/>
      </c>
      <c r="D444" s="10">
        <f>IF($BI444="","",IF($B444="Onsite",INDEX(tbl_Onsite[Client],$BI444),IF($B444="Production",INDEX(tbl_Production[Client],$BI444),INDEX(tbl_Consulting[Client],$BI444)))&amp;"")</f>
        <v/>
      </c>
      <c r="E444" s="10">
        <f>IF($C444="","",IF(COUNTIF(lst_Jobs,$C444)&gt;0,"OK","CHECK"))</f>
        <v/>
      </c>
      <c r="F444" s="10">
        <f>IF($C444="","",IFERROR(INDEX(lst_JobName,MATCH($C444,lst_Jobs,0)),""))</f>
        <v/>
      </c>
      <c r="G444" s="10">
        <f>IF($BI444="","",IF($B444="Onsite",INDEX(tbl_Onsite[Job Description],$BI444),IF($B444="Production",INDEX(tbl_Production[Job Description],$BI444),INDEX(tbl_Consulting[Job Description],$BI444)))&amp;"")</f>
        <v/>
      </c>
      <c r="H444" s="10">
        <f>IF($BI444="","",IF($B444="Onsite",INDEX(tbl_Onsite[Cost Centre],$BI444),IF($B444="Production",INDEX(tbl_Production[Cost Centre],$BI444),INDEX(tbl_Consulting[Cost Centre],$BI444)))&amp;"")</f>
        <v/>
      </c>
      <c r="I444" s="10">
        <f>IF($BI444="","",IF($B444="Onsite",INDEX(tbl_Onsite[Invoice Type],$BI444),IF($B444="Production",INDEX(tbl_Production[Invoice Type],$BI444),INDEX(tbl_Consulting[Invoice Type],$BI444)))&amp;"")</f>
        <v/>
      </c>
      <c r="J444" s="10">
        <f>IF($BI444="","",IF($B444="Onsite",INDEX(tbl_Onsite[Tax Code],$BI444),IF($B444="Production",INDEX(tbl_Production[Tax Code],$BI444),INDEX(tbl_Consulting[Tax Code],$BI444)))&amp;"")</f>
        <v/>
      </c>
      <c r="K444" s="10">
        <f>IF(H444="","",IFERROR(INDEX(lst_CCtoGL,MATCH(H444,lst_CCforGL,0)),""))</f>
        <v/>
      </c>
      <c r="L444" s="10">
        <f>IF($BI444="","",IF($B444="Onsite",INDEX(tbl_Onsite[PO / Reference],$BI444),IF($B444="Production",INDEX(tbl_Production[Current RMS No],$BI444),INDEX(tbl_Consulting[Qwilr Quote],$BI444)))&amp;"")</f>
        <v/>
      </c>
      <c r="M444" s="10">
        <f>IF($BI444="","",IF($B444="Onsite",INDEX(tbl_Onsite[Notes],$BI444),IF($B444="Production",INDEX(tbl_Production[Notes],$BI444),INDEX(tbl_Consulting[Notes],$BI444)))&amp;"")</f>
        <v/>
      </c>
      <c r="N444" s="11">
        <f>IF($BI444="","",IF(IF($B444="Onsite",INDEX(tbl_Onsite[Expected Revenue Ex GST],$BI444),IF($B444="Production",INDEX(tbl_Production[Expected Revenue Ex GST],$BI444),INDEX(tbl_Consulting[Expected Revenue Ex GST],$BI444)))="","",IF($B444="Onsite",INDEX(tbl_Onsite[Expected Revenue Ex GST],$BI444),IF($B444="Production",INDEX(tbl_Production[Expected Revenue Ex GST],$BI444),INDEX(tbl_Consulting[Expected Revenue Ex GST],$BI444)))))</f>
        <v/>
      </c>
      <c r="O444" s="11">
        <f>IF(AND($C444="",NOT(COUNTA($S444:$BB444)&gt;0)),"",SUM(U444,X444,AA444,AD444,AG444,AJ444,AM444,AP444,AS444,AV444,AY444,BB444))</f>
        <v/>
      </c>
      <c r="P444" s="11">
        <f>IF(O444="","",N(N444)-O444)</f>
        <v/>
      </c>
      <c r="Q444" s="10">
        <f>IF(O444="","",IF($C444="","Invoice on empty job row",IF(N444="",IF(ROUND(O444,2)=0,"No dept value","Invoiced - no dept value"),IF(ROUND(O444,2)=0,"Not invoiced - to invoice",IF(ROUND(P444,2)=0,"Agrees",IF(P444&gt;0,"Dept higher - to invoice","Xero higher - check dept"))))))</f>
        <v/>
      </c>
      <c r="R444" s="10">
        <f>IF(AND($C444="",NOT(COUNTA($S444:$BB444)&gt;0),$BI444&lt;&gt;""),"",MID(IF($BI444="","; Row ID not found on the department sheet - a row was deleted","")&amp;IF(AND($C444="",COUNTA($S444:$BB444)&gt;0),"; Invoice entered but the department row has no job number","")&amp;IF(E444="CHECK","; Job number not in the Xero job list","")&amp;IF(AND($C444&lt;&gt;"",COUNTIF($C$7:$C$1506,$C444)&gt;1),"; Job number on more than one row","")&amp;IF(AND($C444&lt;&gt;"",H444=""),"; Dept has not set a cost centre","")&amp;IF(AND($C444&lt;&gt;"",J444=""),"; Dept has not set a tax code","")&amp;IF(AND($C444&lt;&gt;"",N444=""),"; Dept has not entered an expected value","")&amp;IF((IF(OR(COUNTA(S444:U444)=0,AND(COUNTA(S444:U444)=3,ISNUMBER(U444))),0,1)+IF(OR(COUNTA(V444:X444)=0,AND(COUNTA(V444:X444)=3,ISNUMBER(X444))),0,1)+IF(OR(COUNTA(Y444:AA444)=0,AND(COUNTA(Y444:AA444)=3,ISNUMBER(AA444))),0,1)+IF(OR(COUNTA(AB444:AD444)=0,AND(COUNTA(AB444:AD444)=3,ISNUMBER(AD444))),0,1)+IF(OR(COUNTA(AE444:AG444)=0,AND(COUNTA(AE444:AG444)=3,ISNUMBER(AG444))),0,1)+IF(OR(COUNTA(AH444:AJ444)=0,AND(COUNTA(AH444:AJ444)=3,ISNUMBER(AJ444))),0,1)+IF(OR(COUNTA(AK444:AM444)=0,AND(COUNTA(AK444:AM444)=3,ISNUMBER(AM444))),0,1)+IF(OR(COUNTA(AN444:AP444)=0,AND(COUNTA(AN444:AP444)=3,ISNUMBER(AP444))),0,1)+IF(OR(COUNTA(AQ444:AS444)=0,AND(COUNTA(AQ444:AS444)=3,ISNUMBER(AS444))),0,1)+IF(OR(COUNTA(AT444:AV444)=0,AND(COUNTA(AT444:AV444)=3,ISNUMBER(AV444))),0,1)+IF(OR(COUNTA(AW444:AY444)=0,AND(COUNTA(AW444:AY444)=3,ISNUMBER(AY444))),0,1)+IF(OR(COUNTA(AZ444:BB444)=0,AND(COUNTA(AZ444:BB444)=3,ISNUMBER(BB444))),0,1))&gt;0,"; An invoice is incomplete (needs No, Date and a number in Ex GST)","")&amp;IF((IF(T444="",0,IFERROR(--(EOMONTH(T444,0)&lt;&gt;S$5),1))+IF(W444="",0,IFERROR(--(EOMONTH(W444,0)&lt;&gt;V$5),1))+IF(Z444="",0,IFERROR(--(EOMONTH(Z444,0)&lt;&gt;Y$5),1))+IF(AC444="",0,IFERROR(--(EOMONTH(AC444,0)&lt;&gt;AB$5),1))+IF(AF444="",0,IFERROR(--(EOMONTH(AF444,0)&lt;&gt;AE$5),1))+IF(AI444="",0,IFERROR(--(EOMONTH(AI444,0)&lt;&gt;AH$5),1))+IF(AL444="",0,IFERROR(--(EOMONTH(AL444,0)&lt;&gt;AK$5),1))+IF(AO444="",0,IFERROR(--(EOMONTH(AO444,0)&lt;&gt;AN$5),1))+IF(AR444="",0,IFERROR(--(EOMONTH(AR444,0)&lt;&gt;AQ$5),1))+IF(AU444="",0,IFERROR(--(EOMONTH(AU444,0)&lt;&gt;AT$5),1))+IF(AX444="",0,IFERROR(--(EOMONTH(AX444,0)&lt;&gt;AW$5),1))+IF(BA444="",0,IFERROR(--(EOMONTH(BA444,0)&lt;&gt;AZ$5),1)))&gt;0,"; An invoice date is not in the month it is typed under",""),3,500))</f>
        <v/>
      </c>
      <c r="S444" s="12" t="n"/>
      <c r="T444" s="13" t="n"/>
      <c r="U444" s="14" t="n"/>
      <c r="V444" s="12" t="n"/>
      <c r="W444" s="13" t="n"/>
      <c r="X444" s="14" t="n"/>
      <c r="Y444" s="12" t="n"/>
      <c r="Z444" s="13" t="n"/>
      <c r="AA444" s="14" t="n"/>
      <c r="AB444" s="12" t="n"/>
      <c r="AC444" s="13" t="n"/>
      <c r="AD444" s="14" t="n"/>
      <c r="AE444" s="12" t="n"/>
      <c r="AF444" s="13" t="n"/>
      <c r="AG444" s="14" t="n"/>
      <c r="AH444" s="12" t="n"/>
      <c r="AI444" s="13" t="n"/>
      <c r="AJ444" s="14" t="n"/>
      <c r="AK444" s="12" t="n"/>
      <c r="AL444" s="13" t="n"/>
      <c r="AM444" s="14" t="n"/>
      <c r="AN444" s="12" t="n"/>
      <c r="AO444" s="13" t="n"/>
      <c r="AP444" s="14" t="n"/>
      <c r="AQ444" s="12" t="n"/>
      <c r="AR444" s="13" t="n"/>
      <c r="AS444" s="14" t="n"/>
      <c r="AT444" s="12" t="n"/>
      <c r="AU444" s="13" t="n"/>
      <c r="AV444" s="14" t="n"/>
      <c r="AW444" s="12" t="n"/>
      <c r="AX444" s="13" t="n"/>
      <c r="AY444" s="14" t="n"/>
      <c r="AZ444" s="12" t="n"/>
      <c r="BA444" s="13" t="n"/>
      <c r="BB444" s="14" t="n"/>
      <c r="BC444" s="11">
        <f>IF(O444="","",IF(J444="GST 10%",ROUND(O444*set_GSTRate,2),0))</f>
        <v/>
      </c>
      <c r="BD444" s="11">
        <f>IF(O444="","",O444+BC444)</f>
        <v/>
      </c>
      <c r="BE444" s="15">
        <f>IF(O444="","",COUNTA(S444,V444,Y444,AB444,AE444,AH444,AK444,AN444,AQ444,AT444,AW444,AZ444))</f>
        <v/>
      </c>
      <c r="BF444" s="16">
        <f>IF(COUNT(T444,W444,Z444,AC444,AF444,AI444,AL444,AO444,AR444,AU444,AX444,BA444)=0,"",MAX(T444,W444,Z444,AC444,AF444,AI444,AL444,AO444,AR444,AU444,AX444,BA444))</f>
        <v/>
      </c>
      <c r="BG444" s="10">
        <f>MID(IF(S444="","",", "&amp;S444)&amp;IF(V444="","",", "&amp;V444)&amp;IF(Y444="","",", "&amp;Y444)&amp;IF(AB444="","",", "&amp;AB444)&amp;IF(AE444="","",", "&amp;AE444)&amp;IF(AH444="","",", "&amp;AH444)&amp;IF(AK444="","",", "&amp;AK444)&amp;IF(AN444="","",", "&amp;AN444)&amp;IF(AQ444="","",", "&amp;AQ444)&amp;IF(AT444="","",", "&amp;AT444)&amp;IF(AW444="","",", "&amp;AW444)&amp;IF(AZ444="","",", "&amp;AZ444),3,500)</f>
        <v/>
      </c>
      <c r="BH444" s="12" t="n"/>
      <c r="BI444" s="15">
        <f>IFERROR(MATCH($A444,IF($B444="Onsite",tbl_Onsite[Row ID],IF($B444="Production",tbl_Production[Row ID],tbl_Consulting[Row ID])),0),"")</f>
        <v/>
      </c>
    </row>
    <row r="445">
      <c r="A445" s="10" t="inlineStr">
        <is>
          <t>ONS-0439</t>
        </is>
      </c>
      <c r="B445" s="10" t="inlineStr">
        <is>
          <t>Onsite</t>
        </is>
      </c>
      <c r="C445" s="10">
        <f>IF($BI445="","",IF($B445="Onsite",INDEX(tbl_Onsite[Job Number],$BI445),IF($B445="Production",INDEX(tbl_Production[Job Number],$BI445),INDEX(tbl_Consulting[Job Number],$BI445)))&amp;"")</f>
        <v/>
      </c>
      <c r="D445" s="10">
        <f>IF($BI445="","",IF($B445="Onsite",INDEX(tbl_Onsite[Client],$BI445),IF($B445="Production",INDEX(tbl_Production[Client],$BI445),INDEX(tbl_Consulting[Client],$BI445)))&amp;"")</f>
        <v/>
      </c>
      <c r="E445" s="10">
        <f>IF($C445="","",IF(COUNTIF(lst_Jobs,$C445)&gt;0,"OK","CHECK"))</f>
        <v/>
      </c>
      <c r="F445" s="10">
        <f>IF($C445="","",IFERROR(INDEX(lst_JobName,MATCH($C445,lst_Jobs,0)),""))</f>
        <v/>
      </c>
      <c r="G445" s="10">
        <f>IF($BI445="","",IF($B445="Onsite",INDEX(tbl_Onsite[Job Description],$BI445),IF($B445="Production",INDEX(tbl_Production[Job Description],$BI445),INDEX(tbl_Consulting[Job Description],$BI445)))&amp;"")</f>
        <v/>
      </c>
      <c r="H445" s="10">
        <f>IF($BI445="","",IF($B445="Onsite",INDEX(tbl_Onsite[Cost Centre],$BI445),IF($B445="Production",INDEX(tbl_Production[Cost Centre],$BI445),INDEX(tbl_Consulting[Cost Centre],$BI445)))&amp;"")</f>
        <v/>
      </c>
      <c r="I445" s="10">
        <f>IF($BI445="","",IF($B445="Onsite",INDEX(tbl_Onsite[Invoice Type],$BI445),IF($B445="Production",INDEX(tbl_Production[Invoice Type],$BI445),INDEX(tbl_Consulting[Invoice Type],$BI445)))&amp;"")</f>
        <v/>
      </c>
      <c r="J445" s="10">
        <f>IF($BI445="","",IF($B445="Onsite",INDEX(tbl_Onsite[Tax Code],$BI445),IF($B445="Production",INDEX(tbl_Production[Tax Code],$BI445),INDEX(tbl_Consulting[Tax Code],$BI445)))&amp;"")</f>
        <v/>
      </c>
      <c r="K445" s="10">
        <f>IF(H445="","",IFERROR(INDEX(lst_CCtoGL,MATCH(H445,lst_CCforGL,0)),""))</f>
        <v/>
      </c>
      <c r="L445" s="10">
        <f>IF($BI445="","",IF($B445="Onsite",INDEX(tbl_Onsite[PO / Reference],$BI445),IF($B445="Production",INDEX(tbl_Production[Current RMS No],$BI445),INDEX(tbl_Consulting[Qwilr Quote],$BI445)))&amp;"")</f>
        <v/>
      </c>
      <c r="M445" s="10">
        <f>IF($BI445="","",IF($B445="Onsite",INDEX(tbl_Onsite[Notes],$BI445),IF($B445="Production",INDEX(tbl_Production[Notes],$BI445),INDEX(tbl_Consulting[Notes],$BI445)))&amp;"")</f>
        <v/>
      </c>
      <c r="N445" s="11">
        <f>IF($BI445="","",IF(IF($B445="Onsite",INDEX(tbl_Onsite[Expected Revenue Ex GST],$BI445),IF($B445="Production",INDEX(tbl_Production[Expected Revenue Ex GST],$BI445),INDEX(tbl_Consulting[Expected Revenue Ex GST],$BI445)))="","",IF($B445="Onsite",INDEX(tbl_Onsite[Expected Revenue Ex GST],$BI445),IF($B445="Production",INDEX(tbl_Production[Expected Revenue Ex GST],$BI445),INDEX(tbl_Consulting[Expected Revenue Ex GST],$BI445)))))</f>
        <v/>
      </c>
      <c r="O445" s="11">
        <f>IF(AND($C445="",NOT(COUNTA($S445:$BB445)&gt;0)),"",SUM(U445,X445,AA445,AD445,AG445,AJ445,AM445,AP445,AS445,AV445,AY445,BB445))</f>
        <v/>
      </c>
      <c r="P445" s="11">
        <f>IF(O445="","",N(N445)-O445)</f>
        <v/>
      </c>
      <c r="Q445" s="10">
        <f>IF(O445="","",IF($C445="","Invoice on empty job row",IF(N445="",IF(ROUND(O445,2)=0,"No dept value","Invoiced - no dept value"),IF(ROUND(O445,2)=0,"Not invoiced - to invoice",IF(ROUND(P445,2)=0,"Agrees",IF(P445&gt;0,"Dept higher - to invoice","Xero higher - check dept"))))))</f>
        <v/>
      </c>
      <c r="R445" s="10">
        <f>IF(AND($C445="",NOT(COUNTA($S445:$BB445)&gt;0),$BI445&lt;&gt;""),"",MID(IF($BI445="","; Row ID not found on the department sheet - a row was deleted","")&amp;IF(AND($C445="",COUNTA($S445:$BB445)&gt;0),"; Invoice entered but the department row has no job number","")&amp;IF(E445="CHECK","; Job number not in the Xero job list","")&amp;IF(AND($C445&lt;&gt;"",COUNTIF($C$7:$C$1506,$C445)&gt;1),"; Job number on more than one row","")&amp;IF(AND($C445&lt;&gt;"",H445=""),"; Dept has not set a cost centre","")&amp;IF(AND($C445&lt;&gt;"",J445=""),"; Dept has not set a tax code","")&amp;IF(AND($C445&lt;&gt;"",N445=""),"; Dept has not entered an expected value","")&amp;IF((IF(OR(COUNTA(S445:U445)=0,AND(COUNTA(S445:U445)=3,ISNUMBER(U445))),0,1)+IF(OR(COUNTA(V445:X445)=0,AND(COUNTA(V445:X445)=3,ISNUMBER(X445))),0,1)+IF(OR(COUNTA(Y445:AA445)=0,AND(COUNTA(Y445:AA445)=3,ISNUMBER(AA445))),0,1)+IF(OR(COUNTA(AB445:AD445)=0,AND(COUNTA(AB445:AD445)=3,ISNUMBER(AD445))),0,1)+IF(OR(COUNTA(AE445:AG445)=0,AND(COUNTA(AE445:AG445)=3,ISNUMBER(AG445))),0,1)+IF(OR(COUNTA(AH445:AJ445)=0,AND(COUNTA(AH445:AJ445)=3,ISNUMBER(AJ445))),0,1)+IF(OR(COUNTA(AK445:AM445)=0,AND(COUNTA(AK445:AM445)=3,ISNUMBER(AM445))),0,1)+IF(OR(COUNTA(AN445:AP445)=0,AND(COUNTA(AN445:AP445)=3,ISNUMBER(AP445))),0,1)+IF(OR(COUNTA(AQ445:AS445)=0,AND(COUNTA(AQ445:AS445)=3,ISNUMBER(AS445))),0,1)+IF(OR(COUNTA(AT445:AV445)=0,AND(COUNTA(AT445:AV445)=3,ISNUMBER(AV445))),0,1)+IF(OR(COUNTA(AW445:AY445)=0,AND(COUNTA(AW445:AY445)=3,ISNUMBER(AY445))),0,1)+IF(OR(COUNTA(AZ445:BB445)=0,AND(COUNTA(AZ445:BB445)=3,ISNUMBER(BB445))),0,1))&gt;0,"; An invoice is incomplete (needs No, Date and a number in Ex GST)","")&amp;IF((IF(T445="",0,IFERROR(--(EOMONTH(T445,0)&lt;&gt;S$5),1))+IF(W445="",0,IFERROR(--(EOMONTH(W445,0)&lt;&gt;V$5),1))+IF(Z445="",0,IFERROR(--(EOMONTH(Z445,0)&lt;&gt;Y$5),1))+IF(AC445="",0,IFERROR(--(EOMONTH(AC445,0)&lt;&gt;AB$5),1))+IF(AF445="",0,IFERROR(--(EOMONTH(AF445,0)&lt;&gt;AE$5),1))+IF(AI445="",0,IFERROR(--(EOMONTH(AI445,0)&lt;&gt;AH$5),1))+IF(AL445="",0,IFERROR(--(EOMONTH(AL445,0)&lt;&gt;AK$5),1))+IF(AO445="",0,IFERROR(--(EOMONTH(AO445,0)&lt;&gt;AN$5),1))+IF(AR445="",0,IFERROR(--(EOMONTH(AR445,0)&lt;&gt;AQ$5),1))+IF(AU445="",0,IFERROR(--(EOMONTH(AU445,0)&lt;&gt;AT$5),1))+IF(AX445="",0,IFERROR(--(EOMONTH(AX445,0)&lt;&gt;AW$5),1))+IF(BA445="",0,IFERROR(--(EOMONTH(BA445,0)&lt;&gt;AZ$5),1)))&gt;0,"; An invoice date is not in the month it is typed under",""),3,500))</f>
        <v/>
      </c>
      <c r="S445" s="12" t="n"/>
      <c r="T445" s="13" t="n"/>
      <c r="U445" s="14" t="n"/>
      <c r="V445" s="12" t="n"/>
      <c r="W445" s="13" t="n"/>
      <c r="X445" s="14" t="n"/>
      <c r="Y445" s="12" t="n"/>
      <c r="Z445" s="13" t="n"/>
      <c r="AA445" s="14" t="n"/>
      <c r="AB445" s="12" t="n"/>
      <c r="AC445" s="13" t="n"/>
      <c r="AD445" s="14" t="n"/>
      <c r="AE445" s="12" t="n"/>
      <c r="AF445" s="13" t="n"/>
      <c r="AG445" s="14" t="n"/>
      <c r="AH445" s="12" t="n"/>
      <c r="AI445" s="13" t="n"/>
      <c r="AJ445" s="14" t="n"/>
      <c r="AK445" s="12" t="n"/>
      <c r="AL445" s="13" t="n"/>
      <c r="AM445" s="14" t="n"/>
      <c r="AN445" s="12" t="n"/>
      <c r="AO445" s="13" t="n"/>
      <c r="AP445" s="14" t="n"/>
      <c r="AQ445" s="12" t="n"/>
      <c r="AR445" s="13" t="n"/>
      <c r="AS445" s="14" t="n"/>
      <c r="AT445" s="12" t="n"/>
      <c r="AU445" s="13" t="n"/>
      <c r="AV445" s="14" t="n"/>
      <c r="AW445" s="12" t="n"/>
      <c r="AX445" s="13" t="n"/>
      <c r="AY445" s="14" t="n"/>
      <c r="AZ445" s="12" t="n"/>
      <c r="BA445" s="13" t="n"/>
      <c r="BB445" s="14" t="n"/>
      <c r="BC445" s="11">
        <f>IF(O445="","",IF(J445="GST 10%",ROUND(O445*set_GSTRate,2),0))</f>
        <v/>
      </c>
      <c r="BD445" s="11">
        <f>IF(O445="","",O445+BC445)</f>
        <v/>
      </c>
      <c r="BE445" s="15">
        <f>IF(O445="","",COUNTA(S445,V445,Y445,AB445,AE445,AH445,AK445,AN445,AQ445,AT445,AW445,AZ445))</f>
        <v/>
      </c>
      <c r="BF445" s="16">
        <f>IF(COUNT(T445,W445,Z445,AC445,AF445,AI445,AL445,AO445,AR445,AU445,AX445,BA445)=0,"",MAX(T445,W445,Z445,AC445,AF445,AI445,AL445,AO445,AR445,AU445,AX445,BA445))</f>
        <v/>
      </c>
      <c r="BG445" s="10">
        <f>MID(IF(S445="","",", "&amp;S445)&amp;IF(V445="","",", "&amp;V445)&amp;IF(Y445="","",", "&amp;Y445)&amp;IF(AB445="","",", "&amp;AB445)&amp;IF(AE445="","",", "&amp;AE445)&amp;IF(AH445="","",", "&amp;AH445)&amp;IF(AK445="","",", "&amp;AK445)&amp;IF(AN445="","",", "&amp;AN445)&amp;IF(AQ445="","",", "&amp;AQ445)&amp;IF(AT445="","",", "&amp;AT445)&amp;IF(AW445="","",", "&amp;AW445)&amp;IF(AZ445="","",", "&amp;AZ445),3,500)</f>
        <v/>
      </c>
      <c r="BH445" s="12" t="n"/>
      <c r="BI445" s="15">
        <f>IFERROR(MATCH($A445,IF($B445="Onsite",tbl_Onsite[Row ID],IF($B445="Production",tbl_Production[Row ID],tbl_Consulting[Row ID])),0),"")</f>
        <v/>
      </c>
    </row>
    <row r="446">
      <c r="A446" s="10" t="inlineStr">
        <is>
          <t>ONS-0440</t>
        </is>
      </c>
      <c r="B446" s="10" t="inlineStr">
        <is>
          <t>Onsite</t>
        </is>
      </c>
      <c r="C446" s="10">
        <f>IF($BI446="","",IF($B446="Onsite",INDEX(tbl_Onsite[Job Number],$BI446),IF($B446="Production",INDEX(tbl_Production[Job Number],$BI446),INDEX(tbl_Consulting[Job Number],$BI446)))&amp;"")</f>
        <v/>
      </c>
      <c r="D446" s="10">
        <f>IF($BI446="","",IF($B446="Onsite",INDEX(tbl_Onsite[Client],$BI446),IF($B446="Production",INDEX(tbl_Production[Client],$BI446),INDEX(tbl_Consulting[Client],$BI446)))&amp;"")</f>
        <v/>
      </c>
      <c r="E446" s="10">
        <f>IF($C446="","",IF(COUNTIF(lst_Jobs,$C446)&gt;0,"OK","CHECK"))</f>
        <v/>
      </c>
      <c r="F446" s="10">
        <f>IF($C446="","",IFERROR(INDEX(lst_JobName,MATCH($C446,lst_Jobs,0)),""))</f>
        <v/>
      </c>
      <c r="G446" s="10">
        <f>IF($BI446="","",IF($B446="Onsite",INDEX(tbl_Onsite[Job Description],$BI446),IF($B446="Production",INDEX(tbl_Production[Job Description],$BI446),INDEX(tbl_Consulting[Job Description],$BI446)))&amp;"")</f>
        <v/>
      </c>
      <c r="H446" s="10">
        <f>IF($BI446="","",IF($B446="Onsite",INDEX(tbl_Onsite[Cost Centre],$BI446),IF($B446="Production",INDEX(tbl_Production[Cost Centre],$BI446),INDEX(tbl_Consulting[Cost Centre],$BI446)))&amp;"")</f>
        <v/>
      </c>
      <c r="I446" s="10">
        <f>IF($BI446="","",IF($B446="Onsite",INDEX(tbl_Onsite[Invoice Type],$BI446),IF($B446="Production",INDEX(tbl_Production[Invoice Type],$BI446),INDEX(tbl_Consulting[Invoice Type],$BI446)))&amp;"")</f>
        <v/>
      </c>
      <c r="J446" s="10">
        <f>IF($BI446="","",IF($B446="Onsite",INDEX(tbl_Onsite[Tax Code],$BI446),IF($B446="Production",INDEX(tbl_Production[Tax Code],$BI446),INDEX(tbl_Consulting[Tax Code],$BI446)))&amp;"")</f>
        <v/>
      </c>
      <c r="K446" s="10">
        <f>IF(H446="","",IFERROR(INDEX(lst_CCtoGL,MATCH(H446,lst_CCforGL,0)),""))</f>
        <v/>
      </c>
      <c r="L446" s="10">
        <f>IF($BI446="","",IF($B446="Onsite",INDEX(tbl_Onsite[PO / Reference],$BI446),IF($B446="Production",INDEX(tbl_Production[Current RMS No],$BI446),INDEX(tbl_Consulting[Qwilr Quote],$BI446)))&amp;"")</f>
        <v/>
      </c>
      <c r="M446" s="10">
        <f>IF($BI446="","",IF($B446="Onsite",INDEX(tbl_Onsite[Notes],$BI446),IF($B446="Production",INDEX(tbl_Production[Notes],$BI446),INDEX(tbl_Consulting[Notes],$BI446)))&amp;"")</f>
        <v/>
      </c>
      <c r="N446" s="11">
        <f>IF($BI446="","",IF(IF($B446="Onsite",INDEX(tbl_Onsite[Expected Revenue Ex GST],$BI446),IF($B446="Production",INDEX(tbl_Production[Expected Revenue Ex GST],$BI446),INDEX(tbl_Consulting[Expected Revenue Ex GST],$BI446)))="","",IF($B446="Onsite",INDEX(tbl_Onsite[Expected Revenue Ex GST],$BI446),IF($B446="Production",INDEX(tbl_Production[Expected Revenue Ex GST],$BI446),INDEX(tbl_Consulting[Expected Revenue Ex GST],$BI446)))))</f>
        <v/>
      </c>
      <c r="O446" s="11">
        <f>IF(AND($C446="",NOT(COUNTA($S446:$BB446)&gt;0)),"",SUM(U446,X446,AA446,AD446,AG446,AJ446,AM446,AP446,AS446,AV446,AY446,BB446))</f>
        <v/>
      </c>
      <c r="P446" s="11">
        <f>IF(O446="","",N(N446)-O446)</f>
        <v/>
      </c>
      <c r="Q446" s="10">
        <f>IF(O446="","",IF($C446="","Invoice on empty job row",IF(N446="",IF(ROUND(O446,2)=0,"No dept value","Invoiced - no dept value"),IF(ROUND(O446,2)=0,"Not invoiced - to invoice",IF(ROUND(P446,2)=0,"Agrees",IF(P446&gt;0,"Dept higher - to invoice","Xero higher - check dept"))))))</f>
        <v/>
      </c>
      <c r="R446" s="10">
        <f>IF(AND($C446="",NOT(COUNTA($S446:$BB446)&gt;0),$BI446&lt;&gt;""),"",MID(IF($BI446="","; Row ID not found on the department sheet - a row was deleted","")&amp;IF(AND($C446="",COUNTA($S446:$BB446)&gt;0),"; Invoice entered but the department row has no job number","")&amp;IF(E446="CHECK","; Job number not in the Xero job list","")&amp;IF(AND($C446&lt;&gt;"",COUNTIF($C$7:$C$1506,$C446)&gt;1),"; Job number on more than one row","")&amp;IF(AND($C446&lt;&gt;"",H446=""),"; Dept has not set a cost centre","")&amp;IF(AND($C446&lt;&gt;"",J446=""),"; Dept has not set a tax code","")&amp;IF(AND($C446&lt;&gt;"",N446=""),"; Dept has not entered an expected value","")&amp;IF((IF(OR(COUNTA(S446:U446)=0,AND(COUNTA(S446:U446)=3,ISNUMBER(U446))),0,1)+IF(OR(COUNTA(V446:X446)=0,AND(COUNTA(V446:X446)=3,ISNUMBER(X446))),0,1)+IF(OR(COUNTA(Y446:AA446)=0,AND(COUNTA(Y446:AA446)=3,ISNUMBER(AA446))),0,1)+IF(OR(COUNTA(AB446:AD446)=0,AND(COUNTA(AB446:AD446)=3,ISNUMBER(AD446))),0,1)+IF(OR(COUNTA(AE446:AG446)=0,AND(COUNTA(AE446:AG446)=3,ISNUMBER(AG446))),0,1)+IF(OR(COUNTA(AH446:AJ446)=0,AND(COUNTA(AH446:AJ446)=3,ISNUMBER(AJ446))),0,1)+IF(OR(COUNTA(AK446:AM446)=0,AND(COUNTA(AK446:AM446)=3,ISNUMBER(AM446))),0,1)+IF(OR(COUNTA(AN446:AP446)=0,AND(COUNTA(AN446:AP446)=3,ISNUMBER(AP446))),0,1)+IF(OR(COUNTA(AQ446:AS446)=0,AND(COUNTA(AQ446:AS446)=3,ISNUMBER(AS446))),0,1)+IF(OR(COUNTA(AT446:AV446)=0,AND(COUNTA(AT446:AV446)=3,ISNUMBER(AV446))),0,1)+IF(OR(COUNTA(AW446:AY446)=0,AND(COUNTA(AW446:AY446)=3,ISNUMBER(AY446))),0,1)+IF(OR(COUNTA(AZ446:BB446)=0,AND(COUNTA(AZ446:BB446)=3,ISNUMBER(BB446))),0,1))&gt;0,"; An invoice is incomplete (needs No, Date and a number in Ex GST)","")&amp;IF((IF(T446="",0,IFERROR(--(EOMONTH(T446,0)&lt;&gt;S$5),1))+IF(W446="",0,IFERROR(--(EOMONTH(W446,0)&lt;&gt;V$5),1))+IF(Z446="",0,IFERROR(--(EOMONTH(Z446,0)&lt;&gt;Y$5),1))+IF(AC446="",0,IFERROR(--(EOMONTH(AC446,0)&lt;&gt;AB$5),1))+IF(AF446="",0,IFERROR(--(EOMONTH(AF446,0)&lt;&gt;AE$5),1))+IF(AI446="",0,IFERROR(--(EOMONTH(AI446,0)&lt;&gt;AH$5),1))+IF(AL446="",0,IFERROR(--(EOMONTH(AL446,0)&lt;&gt;AK$5),1))+IF(AO446="",0,IFERROR(--(EOMONTH(AO446,0)&lt;&gt;AN$5),1))+IF(AR446="",0,IFERROR(--(EOMONTH(AR446,0)&lt;&gt;AQ$5),1))+IF(AU446="",0,IFERROR(--(EOMONTH(AU446,0)&lt;&gt;AT$5),1))+IF(AX446="",0,IFERROR(--(EOMONTH(AX446,0)&lt;&gt;AW$5),1))+IF(BA446="",0,IFERROR(--(EOMONTH(BA446,0)&lt;&gt;AZ$5),1)))&gt;0,"; An invoice date is not in the month it is typed under",""),3,500))</f>
        <v/>
      </c>
      <c r="S446" s="12" t="n"/>
      <c r="T446" s="13" t="n"/>
      <c r="U446" s="14" t="n"/>
      <c r="V446" s="12" t="n"/>
      <c r="W446" s="13" t="n"/>
      <c r="X446" s="14" t="n"/>
      <c r="Y446" s="12" t="n"/>
      <c r="Z446" s="13" t="n"/>
      <c r="AA446" s="14" t="n"/>
      <c r="AB446" s="12" t="n"/>
      <c r="AC446" s="13" t="n"/>
      <c r="AD446" s="14" t="n"/>
      <c r="AE446" s="12" t="n"/>
      <c r="AF446" s="13" t="n"/>
      <c r="AG446" s="14" t="n"/>
      <c r="AH446" s="12" t="n"/>
      <c r="AI446" s="13" t="n"/>
      <c r="AJ446" s="14" t="n"/>
      <c r="AK446" s="12" t="n"/>
      <c r="AL446" s="13" t="n"/>
      <c r="AM446" s="14" t="n"/>
      <c r="AN446" s="12" t="n"/>
      <c r="AO446" s="13" t="n"/>
      <c r="AP446" s="14" t="n"/>
      <c r="AQ446" s="12" t="n"/>
      <c r="AR446" s="13" t="n"/>
      <c r="AS446" s="14" t="n"/>
      <c r="AT446" s="12" t="n"/>
      <c r="AU446" s="13" t="n"/>
      <c r="AV446" s="14" t="n"/>
      <c r="AW446" s="12" t="n"/>
      <c r="AX446" s="13" t="n"/>
      <c r="AY446" s="14" t="n"/>
      <c r="AZ446" s="12" t="n"/>
      <c r="BA446" s="13" t="n"/>
      <c r="BB446" s="14" t="n"/>
      <c r="BC446" s="11">
        <f>IF(O446="","",IF(J446="GST 10%",ROUND(O446*set_GSTRate,2),0))</f>
        <v/>
      </c>
      <c r="BD446" s="11">
        <f>IF(O446="","",O446+BC446)</f>
        <v/>
      </c>
      <c r="BE446" s="15">
        <f>IF(O446="","",COUNTA(S446,V446,Y446,AB446,AE446,AH446,AK446,AN446,AQ446,AT446,AW446,AZ446))</f>
        <v/>
      </c>
      <c r="BF446" s="16">
        <f>IF(COUNT(T446,W446,Z446,AC446,AF446,AI446,AL446,AO446,AR446,AU446,AX446,BA446)=0,"",MAX(T446,W446,Z446,AC446,AF446,AI446,AL446,AO446,AR446,AU446,AX446,BA446))</f>
        <v/>
      </c>
      <c r="BG446" s="10">
        <f>MID(IF(S446="","",", "&amp;S446)&amp;IF(V446="","",", "&amp;V446)&amp;IF(Y446="","",", "&amp;Y446)&amp;IF(AB446="","",", "&amp;AB446)&amp;IF(AE446="","",", "&amp;AE446)&amp;IF(AH446="","",", "&amp;AH446)&amp;IF(AK446="","",", "&amp;AK446)&amp;IF(AN446="","",", "&amp;AN446)&amp;IF(AQ446="","",", "&amp;AQ446)&amp;IF(AT446="","",", "&amp;AT446)&amp;IF(AW446="","",", "&amp;AW446)&amp;IF(AZ446="","",", "&amp;AZ446),3,500)</f>
        <v/>
      </c>
      <c r="BH446" s="12" t="n"/>
      <c r="BI446" s="15">
        <f>IFERROR(MATCH($A446,IF($B446="Onsite",tbl_Onsite[Row ID],IF($B446="Production",tbl_Production[Row ID],tbl_Consulting[Row ID])),0),"")</f>
        <v/>
      </c>
    </row>
    <row r="447">
      <c r="A447" s="10" t="inlineStr">
        <is>
          <t>ONS-0441</t>
        </is>
      </c>
      <c r="B447" s="10" t="inlineStr">
        <is>
          <t>Onsite</t>
        </is>
      </c>
      <c r="C447" s="10">
        <f>IF($BI447="","",IF($B447="Onsite",INDEX(tbl_Onsite[Job Number],$BI447),IF($B447="Production",INDEX(tbl_Production[Job Number],$BI447),INDEX(tbl_Consulting[Job Number],$BI447)))&amp;"")</f>
        <v/>
      </c>
      <c r="D447" s="10">
        <f>IF($BI447="","",IF($B447="Onsite",INDEX(tbl_Onsite[Client],$BI447),IF($B447="Production",INDEX(tbl_Production[Client],$BI447),INDEX(tbl_Consulting[Client],$BI447)))&amp;"")</f>
        <v/>
      </c>
      <c r="E447" s="10">
        <f>IF($C447="","",IF(COUNTIF(lst_Jobs,$C447)&gt;0,"OK","CHECK"))</f>
        <v/>
      </c>
      <c r="F447" s="10">
        <f>IF($C447="","",IFERROR(INDEX(lst_JobName,MATCH($C447,lst_Jobs,0)),""))</f>
        <v/>
      </c>
      <c r="G447" s="10">
        <f>IF($BI447="","",IF($B447="Onsite",INDEX(tbl_Onsite[Job Description],$BI447),IF($B447="Production",INDEX(tbl_Production[Job Description],$BI447),INDEX(tbl_Consulting[Job Description],$BI447)))&amp;"")</f>
        <v/>
      </c>
      <c r="H447" s="10">
        <f>IF($BI447="","",IF($B447="Onsite",INDEX(tbl_Onsite[Cost Centre],$BI447),IF($B447="Production",INDEX(tbl_Production[Cost Centre],$BI447),INDEX(tbl_Consulting[Cost Centre],$BI447)))&amp;"")</f>
        <v/>
      </c>
      <c r="I447" s="10">
        <f>IF($BI447="","",IF($B447="Onsite",INDEX(tbl_Onsite[Invoice Type],$BI447),IF($B447="Production",INDEX(tbl_Production[Invoice Type],$BI447),INDEX(tbl_Consulting[Invoice Type],$BI447)))&amp;"")</f>
        <v/>
      </c>
      <c r="J447" s="10">
        <f>IF($BI447="","",IF($B447="Onsite",INDEX(tbl_Onsite[Tax Code],$BI447),IF($B447="Production",INDEX(tbl_Production[Tax Code],$BI447),INDEX(tbl_Consulting[Tax Code],$BI447)))&amp;"")</f>
        <v/>
      </c>
      <c r="K447" s="10">
        <f>IF(H447="","",IFERROR(INDEX(lst_CCtoGL,MATCH(H447,lst_CCforGL,0)),""))</f>
        <v/>
      </c>
      <c r="L447" s="10">
        <f>IF($BI447="","",IF($B447="Onsite",INDEX(tbl_Onsite[PO / Reference],$BI447),IF($B447="Production",INDEX(tbl_Production[Current RMS No],$BI447),INDEX(tbl_Consulting[Qwilr Quote],$BI447)))&amp;"")</f>
        <v/>
      </c>
      <c r="M447" s="10">
        <f>IF($BI447="","",IF($B447="Onsite",INDEX(tbl_Onsite[Notes],$BI447),IF($B447="Production",INDEX(tbl_Production[Notes],$BI447),INDEX(tbl_Consulting[Notes],$BI447)))&amp;"")</f>
        <v/>
      </c>
      <c r="N447" s="11">
        <f>IF($BI447="","",IF(IF($B447="Onsite",INDEX(tbl_Onsite[Expected Revenue Ex GST],$BI447),IF($B447="Production",INDEX(tbl_Production[Expected Revenue Ex GST],$BI447),INDEX(tbl_Consulting[Expected Revenue Ex GST],$BI447)))="","",IF($B447="Onsite",INDEX(tbl_Onsite[Expected Revenue Ex GST],$BI447),IF($B447="Production",INDEX(tbl_Production[Expected Revenue Ex GST],$BI447),INDEX(tbl_Consulting[Expected Revenue Ex GST],$BI447)))))</f>
        <v/>
      </c>
      <c r="O447" s="11">
        <f>IF(AND($C447="",NOT(COUNTA($S447:$BB447)&gt;0)),"",SUM(U447,X447,AA447,AD447,AG447,AJ447,AM447,AP447,AS447,AV447,AY447,BB447))</f>
        <v/>
      </c>
      <c r="P447" s="11">
        <f>IF(O447="","",N(N447)-O447)</f>
        <v/>
      </c>
      <c r="Q447" s="10">
        <f>IF(O447="","",IF($C447="","Invoice on empty job row",IF(N447="",IF(ROUND(O447,2)=0,"No dept value","Invoiced - no dept value"),IF(ROUND(O447,2)=0,"Not invoiced - to invoice",IF(ROUND(P447,2)=0,"Agrees",IF(P447&gt;0,"Dept higher - to invoice","Xero higher - check dept"))))))</f>
        <v/>
      </c>
      <c r="R447" s="10">
        <f>IF(AND($C447="",NOT(COUNTA($S447:$BB447)&gt;0),$BI447&lt;&gt;""),"",MID(IF($BI447="","; Row ID not found on the department sheet - a row was deleted","")&amp;IF(AND($C447="",COUNTA($S447:$BB447)&gt;0),"; Invoice entered but the department row has no job number","")&amp;IF(E447="CHECK","; Job number not in the Xero job list","")&amp;IF(AND($C447&lt;&gt;"",COUNTIF($C$7:$C$1506,$C447)&gt;1),"; Job number on more than one row","")&amp;IF(AND($C447&lt;&gt;"",H447=""),"; Dept has not set a cost centre","")&amp;IF(AND($C447&lt;&gt;"",J447=""),"; Dept has not set a tax code","")&amp;IF(AND($C447&lt;&gt;"",N447=""),"; Dept has not entered an expected value","")&amp;IF((IF(OR(COUNTA(S447:U447)=0,AND(COUNTA(S447:U447)=3,ISNUMBER(U447))),0,1)+IF(OR(COUNTA(V447:X447)=0,AND(COUNTA(V447:X447)=3,ISNUMBER(X447))),0,1)+IF(OR(COUNTA(Y447:AA447)=0,AND(COUNTA(Y447:AA447)=3,ISNUMBER(AA447))),0,1)+IF(OR(COUNTA(AB447:AD447)=0,AND(COUNTA(AB447:AD447)=3,ISNUMBER(AD447))),0,1)+IF(OR(COUNTA(AE447:AG447)=0,AND(COUNTA(AE447:AG447)=3,ISNUMBER(AG447))),0,1)+IF(OR(COUNTA(AH447:AJ447)=0,AND(COUNTA(AH447:AJ447)=3,ISNUMBER(AJ447))),0,1)+IF(OR(COUNTA(AK447:AM447)=0,AND(COUNTA(AK447:AM447)=3,ISNUMBER(AM447))),0,1)+IF(OR(COUNTA(AN447:AP447)=0,AND(COUNTA(AN447:AP447)=3,ISNUMBER(AP447))),0,1)+IF(OR(COUNTA(AQ447:AS447)=0,AND(COUNTA(AQ447:AS447)=3,ISNUMBER(AS447))),0,1)+IF(OR(COUNTA(AT447:AV447)=0,AND(COUNTA(AT447:AV447)=3,ISNUMBER(AV447))),0,1)+IF(OR(COUNTA(AW447:AY447)=0,AND(COUNTA(AW447:AY447)=3,ISNUMBER(AY447))),0,1)+IF(OR(COUNTA(AZ447:BB447)=0,AND(COUNTA(AZ447:BB447)=3,ISNUMBER(BB447))),0,1))&gt;0,"; An invoice is incomplete (needs No, Date and a number in Ex GST)","")&amp;IF((IF(T447="",0,IFERROR(--(EOMONTH(T447,0)&lt;&gt;S$5),1))+IF(W447="",0,IFERROR(--(EOMONTH(W447,0)&lt;&gt;V$5),1))+IF(Z447="",0,IFERROR(--(EOMONTH(Z447,0)&lt;&gt;Y$5),1))+IF(AC447="",0,IFERROR(--(EOMONTH(AC447,0)&lt;&gt;AB$5),1))+IF(AF447="",0,IFERROR(--(EOMONTH(AF447,0)&lt;&gt;AE$5),1))+IF(AI447="",0,IFERROR(--(EOMONTH(AI447,0)&lt;&gt;AH$5),1))+IF(AL447="",0,IFERROR(--(EOMONTH(AL447,0)&lt;&gt;AK$5),1))+IF(AO447="",0,IFERROR(--(EOMONTH(AO447,0)&lt;&gt;AN$5),1))+IF(AR447="",0,IFERROR(--(EOMONTH(AR447,0)&lt;&gt;AQ$5),1))+IF(AU447="",0,IFERROR(--(EOMONTH(AU447,0)&lt;&gt;AT$5),1))+IF(AX447="",0,IFERROR(--(EOMONTH(AX447,0)&lt;&gt;AW$5),1))+IF(BA447="",0,IFERROR(--(EOMONTH(BA447,0)&lt;&gt;AZ$5),1)))&gt;0,"; An invoice date is not in the month it is typed under",""),3,500))</f>
        <v/>
      </c>
      <c r="S447" s="12" t="n"/>
      <c r="T447" s="13" t="n"/>
      <c r="U447" s="14" t="n"/>
      <c r="V447" s="12" t="n"/>
      <c r="W447" s="13" t="n"/>
      <c r="X447" s="14" t="n"/>
      <c r="Y447" s="12" t="n"/>
      <c r="Z447" s="13" t="n"/>
      <c r="AA447" s="14" t="n"/>
      <c r="AB447" s="12" t="n"/>
      <c r="AC447" s="13" t="n"/>
      <c r="AD447" s="14" t="n"/>
      <c r="AE447" s="12" t="n"/>
      <c r="AF447" s="13" t="n"/>
      <c r="AG447" s="14" t="n"/>
      <c r="AH447" s="12" t="n"/>
      <c r="AI447" s="13" t="n"/>
      <c r="AJ447" s="14" t="n"/>
      <c r="AK447" s="12" t="n"/>
      <c r="AL447" s="13" t="n"/>
      <c r="AM447" s="14" t="n"/>
      <c r="AN447" s="12" t="n"/>
      <c r="AO447" s="13" t="n"/>
      <c r="AP447" s="14" t="n"/>
      <c r="AQ447" s="12" t="n"/>
      <c r="AR447" s="13" t="n"/>
      <c r="AS447" s="14" t="n"/>
      <c r="AT447" s="12" t="n"/>
      <c r="AU447" s="13" t="n"/>
      <c r="AV447" s="14" t="n"/>
      <c r="AW447" s="12" t="n"/>
      <c r="AX447" s="13" t="n"/>
      <c r="AY447" s="14" t="n"/>
      <c r="AZ447" s="12" t="n"/>
      <c r="BA447" s="13" t="n"/>
      <c r="BB447" s="14" t="n"/>
      <c r="BC447" s="11">
        <f>IF(O447="","",IF(J447="GST 10%",ROUND(O447*set_GSTRate,2),0))</f>
        <v/>
      </c>
      <c r="BD447" s="11">
        <f>IF(O447="","",O447+BC447)</f>
        <v/>
      </c>
      <c r="BE447" s="15">
        <f>IF(O447="","",COUNTA(S447,V447,Y447,AB447,AE447,AH447,AK447,AN447,AQ447,AT447,AW447,AZ447))</f>
        <v/>
      </c>
      <c r="BF447" s="16">
        <f>IF(COUNT(T447,W447,Z447,AC447,AF447,AI447,AL447,AO447,AR447,AU447,AX447,BA447)=0,"",MAX(T447,W447,Z447,AC447,AF447,AI447,AL447,AO447,AR447,AU447,AX447,BA447))</f>
        <v/>
      </c>
      <c r="BG447" s="10">
        <f>MID(IF(S447="","",", "&amp;S447)&amp;IF(V447="","",", "&amp;V447)&amp;IF(Y447="","",", "&amp;Y447)&amp;IF(AB447="","",", "&amp;AB447)&amp;IF(AE447="","",", "&amp;AE447)&amp;IF(AH447="","",", "&amp;AH447)&amp;IF(AK447="","",", "&amp;AK447)&amp;IF(AN447="","",", "&amp;AN447)&amp;IF(AQ447="","",", "&amp;AQ447)&amp;IF(AT447="","",", "&amp;AT447)&amp;IF(AW447="","",", "&amp;AW447)&amp;IF(AZ447="","",", "&amp;AZ447),3,500)</f>
        <v/>
      </c>
      <c r="BH447" s="12" t="n"/>
      <c r="BI447" s="15">
        <f>IFERROR(MATCH($A447,IF($B447="Onsite",tbl_Onsite[Row ID],IF($B447="Production",tbl_Production[Row ID],tbl_Consulting[Row ID])),0),"")</f>
        <v/>
      </c>
    </row>
    <row r="448">
      <c r="A448" s="10" t="inlineStr">
        <is>
          <t>ONS-0442</t>
        </is>
      </c>
      <c r="B448" s="10" t="inlineStr">
        <is>
          <t>Onsite</t>
        </is>
      </c>
      <c r="C448" s="10">
        <f>IF($BI448="","",IF($B448="Onsite",INDEX(tbl_Onsite[Job Number],$BI448),IF($B448="Production",INDEX(tbl_Production[Job Number],$BI448),INDEX(tbl_Consulting[Job Number],$BI448)))&amp;"")</f>
        <v/>
      </c>
      <c r="D448" s="10">
        <f>IF($BI448="","",IF($B448="Onsite",INDEX(tbl_Onsite[Client],$BI448),IF($B448="Production",INDEX(tbl_Production[Client],$BI448),INDEX(tbl_Consulting[Client],$BI448)))&amp;"")</f>
        <v/>
      </c>
      <c r="E448" s="10">
        <f>IF($C448="","",IF(COUNTIF(lst_Jobs,$C448)&gt;0,"OK","CHECK"))</f>
        <v/>
      </c>
      <c r="F448" s="10">
        <f>IF($C448="","",IFERROR(INDEX(lst_JobName,MATCH($C448,lst_Jobs,0)),""))</f>
        <v/>
      </c>
      <c r="G448" s="10">
        <f>IF($BI448="","",IF($B448="Onsite",INDEX(tbl_Onsite[Job Description],$BI448),IF($B448="Production",INDEX(tbl_Production[Job Description],$BI448),INDEX(tbl_Consulting[Job Description],$BI448)))&amp;"")</f>
        <v/>
      </c>
      <c r="H448" s="10">
        <f>IF($BI448="","",IF($B448="Onsite",INDEX(tbl_Onsite[Cost Centre],$BI448),IF($B448="Production",INDEX(tbl_Production[Cost Centre],$BI448),INDEX(tbl_Consulting[Cost Centre],$BI448)))&amp;"")</f>
        <v/>
      </c>
      <c r="I448" s="10">
        <f>IF($BI448="","",IF($B448="Onsite",INDEX(tbl_Onsite[Invoice Type],$BI448),IF($B448="Production",INDEX(tbl_Production[Invoice Type],$BI448),INDEX(tbl_Consulting[Invoice Type],$BI448)))&amp;"")</f>
        <v/>
      </c>
      <c r="J448" s="10">
        <f>IF($BI448="","",IF($B448="Onsite",INDEX(tbl_Onsite[Tax Code],$BI448),IF($B448="Production",INDEX(tbl_Production[Tax Code],$BI448),INDEX(tbl_Consulting[Tax Code],$BI448)))&amp;"")</f>
        <v/>
      </c>
      <c r="K448" s="10">
        <f>IF(H448="","",IFERROR(INDEX(lst_CCtoGL,MATCH(H448,lst_CCforGL,0)),""))</f>
        <v/>
      </c>
      <c r="L448" s="10">
        <f>IF($BI448="","",IF($B448="Onsite",INDEX(tbl_Onsite[PO / Reference],$BI448),IF($B448="Production",INDEX(tbl_Production[Current RMS No],$BI448),INDEX(tbl_Consulting[Qwilr Quote],$BI448)))&amp;"")</f>
        <v/>
      </c>
      <c r="M448" s="10">
        <f>IF($BI448="","",IF($B448="Onsite",INDEX(tbl_Onsite[Notes],$BI448),IF($B448="Production",INDEX(tbl_Production[Notes],$BI448),INDEX(tbl_Consulting[Notes],$BI448)))&amp;"")</f>
        <v/>
      </c>
      <c r="N448" s="11">
        <f>IF($BI448="","",IF(IF($B448="Onsite",INDEX(tbl_Onsite[Expected Revenue Ex GST],$BI448),IF($B448="Production",INDEX(tbl_Production[Expected Revenue Ex GST],$BI448),INDEX(tbl_Consulting[Expected Revenue Ex GST],$BI448)))="","",IF($B448="Onsite",INDEX(tbl_Onsite[Expected Revenue Ex GST],$BI448),IF($B448="Production",INDEX(tbl_Production[Expected Revenue Ex GST],$BI448),INDEX(tbl_Consulting[Expected Revenue Ex GST],$BI448)))))</f>
        <v/>
      </c>
      <c r="O448" s="11">
        <f>IF(AND($C448="",NOT(COUNTA($S448:$BB448)&gt;0)),"",SUM(U448,X448,AA448,AD448,AG448,AJ448,AM448,AP448,AS448,AV448,AY448,BB448))</f>
        <v/>
      </c>
      <c r="P448" s="11">
        <f>IF(O448="","",N(N448)-O448)</f>
        <v/>
      </c>
      <c r="Q448" s="10">
        <f>IF(O448="","",IF($C448="","Invoice on empty job row",IF(N448="",IF(ROUND(O448,2)=0,"No dept value","Invoiced - no dept value"),IF(ROUND(O448,2)=0,"Not invoiced - to invoice",IF(ROUND(P448,2)=0,"Agrees",IF(P448&gt;0,"Dept higher - to invoice","Xero higher - check dept"))))))</f>
        <v/>
      </c>
      <c r="R448" s="10">
        <f>IF(AND($C448="",NOT(COUNTA($S448:$BB448)&gt;0),$BI448&lt;&gt;""),"",MID(IF($BI448="","; Row ID not found on the department sheet - a row was deleted","")&amp;IF(AND($C448="",COUNTA($S448:$BB448)&gt;0),"; Invoice entered but the department row has no job number","")&amp;IF(E448="CHECK","; Job number not in the Xero job list","")&amp;IF(AND($C448&lt;&gt;"",COUNTIF($C$7:$C$1506,$C448)&gt;1),"; Job number on more than one row","")&amp;IF(AND($C448&lt;&gt;"",H448=""),"; Dept has not set a cost centre","")&amp;IF(AND($C448&lt;&gt;"",J448=""),"; Dept has not set a tax code","")&amp;IF(AND($C448&lt;&gt;"",N448=""),"; Dept has not entered an expected value","")&amp;IF((IF(OR(COUNTA(S448:U448)=0,AND(COUNTA(S448:U448)=3,ISNUMBER(U448))),0,1)+IF(OR(COUNTA(V448:X448)=0,AND(COUNTA(V448:X448)=3,ISNUMBER(X448))),0,1)+IF(OR(COUNTA(Y448:AA448)=0,AND(COUNTA(Y448:AA448)=3,ISNUMBER(AA448))),0,1)+IF(OR(COUNTA(AB448:AD448)=0,AND(COUNTA(AB448:AD448)=3,ISNUMBER(AD448))),0,1)+IF(OR(COUNTA(AE448:AG448)=0,AND(COUNTA(AE448:AG448)=3,ISNUMBER(AG448))),0,1)+IF(OR(COUNTA(AH448:AJ448)=0,AND(COUNTA(AH448:AJ448)=3,ISNUMBER(AJ448))),0,1)+IF(OR(COUNTA(AK448:AM448)=0,AND(COUNTA(AK448:AM448)=3,ISNUMBER(AM448))),0,1)+IF(OR(COUNTA(AN448:AP448)=0,AND(COUNTA(AN448:AP448)=3,ISNUMBER(AP448))),0,1)+IF(OR(COUNTA(AQ448:AS448)=0,AND(COUNTA(AQ448:AS448)=3,ISNUMBER(AS448))),0,1)+IF(OR(COUNTA(AT448:AV448)=0,AND(COUNTA(AT448:AV448)=3,ISNUMBER(AV448))),0,1)+IF(OR(COUNTA(AW448:AY448)=0,AND(COUNTA(AW448:AY448)=3,ISNUMBER(AY448))),0,1)+IF(OR(COUNTA(AZ448:BB448)=0,AND(COUNTA(AZ448:BB448)=3,ISNUMBER(BB448))),0,1))&gt;0,"; An invoice is incomplete (needs No, Date and a number in Ex GST)","")&amp;IF((IF(T448="",0,IFERROR(--(EOMONTH(T448,0)&lt;&gt;S$5),1))+IF(W448="",0,IFERROR(--(EOMONTH(W448,0)&lt;&gt;V$5),1))+IF(Z448="",0,IFERROR(--(EOMONTH(Z448,0)&lt;&gt;Y$5),1))+IF(AC448="",0,IFERROR(--(EOMONTH(AC448,0)&lt;&gt;AB$5),1))+IF(AF448="",0,IFERROR(--(EOMONTH(AF448,0)&lt;&gt;AE$5),1))+IF(AI448="",0,IFERROR(--(EOMONTH(AI448,0)&lt;&gt;AH$5),1))+IF(AL448="",0,IFERROR(--(EOMONTH(AL448,0)&lt;&gt;AK$5),1))+IF(AO448="",0,IFERROR(--(EOMONTH(AO448,0)&lt;&gt;AN$5),1))+IF(AR448="",0,IFERROR(--(EOMONTH(AR448,0)&lt;&gt;AQ$5),1))+IF(AU448="",0,IFERROR(--(EOMONTH(AU448,0)&lt;&gt;AT$5),1))+IF(AX448="",0,IFERROR(--(EOMONTH(AX448,0)&lt;&gt;AW$5),1))+IF(BA448="",0,IFERROR(--(EOMONTH(BA448,0)&lt;&gt;AZ$5),1)))&gt;0,"; An invoice date is not in the month it is typed under",""),3,500))</f>
        <v/>
      </c>
      <c r="S448" s="12" t="n"/>
      <c r="T448" s="13" t="n"/>
      <c r="U448" s="14" t="n"/>
      <c r="V448" s="12" t="n"/>
      <c r="W448" s="13" t="n"/>
      <c r="X448" s="14" t="n"/>
      <c r="Y448" s="12" t="n"/>
      <c r="Z448" s="13" t="n"/>
      <c r="AA448" s="14" t="n"/>
      <c r="AB448" s="12" t="n"/>
      <c r="AC448" s="13" t="n"/>
      <c r="AD448" s="14" t="n"/>
      <c r="AE448" s="12" t="n"/>
      <c r="AF448" s="13" t="n"/>
      <c r="AG448" s="14" t="n"/>
      <c r="AH448" s="12" t="n"/>
      <c r="AI448" s="13" t="n"/>
      <c r="AJ448" s="14" t="n"/>
      <c r="AK448" s="12" t="n"/>
      <c r="AL448" s="13" t="n"/>
      <c r="AM448" s="14" t="n"/>
      <c r="AN448" s="12" t="n"/>
      <c r="AO448" s="13" t="n"/>
      <c r="AP448" s="14" t="n"/>
      <c r="AQ448" s="12" t="n"/>
      <c r="AR448" s="13" t="n"/>
      <c r="AS448" s="14" t="n"/>
      <c r="AT448" s="12" t="n"/>
      <c r="AU448" s="13" t="n"/>
      <c r="AV448" s="14" t="n"/>
      <c r="AW448" s="12" t="n"/>
      <c r="AX448" s="13" t="n"/>
      <c r="AY448" s="14" t="n"/>
      <c r="AZ448" s="12" t="n"/>
      <c r="BA448" s="13" t="n"/>
      <c r="BB448" s="14" t="n"/>
      <c r="BC448" s="11">
        <f>IF(O448="","",IF(J448="GST 10%",ROUND(O448*set_GSTRate,2),0))</f>
        <v/>
      </c>
      <c r="BD448" s="11">
        <f>IF(O448="","",O448+BC448)</f>
        <v/>
      </c>
      <c r="BE448" s="15">
        <f>IF(O448="","",COUNTA(S448,V448,Y448,AB448,AE448,AH448,AK448,AN448,AQ448,AT448,AW448,AZ448))</f>
        <v/>
      </c>
      <c r="BF448" s="16">
        <f>IF(COUNT(T448,W448,Z448,AC448,AF448,AI448,AL448,AO448,AR448,AU448,AX448,BA448)=0,"",MAX(T448,W448,Z448,AC448,AF448,AI448,AL448,AO448,AR448,AU448,AX448,BA448))</f>
        <v/>
      </c>
      <c r="BG448" s="10">
        <f>MID(IF(S448="","",", "&amp;S448)&amp;IF(V448="","",", "&amp;V448)&amp;IF(Y448="","",", "&amp;Y448)&amp;IF(AB448="","",", "&amp;AB448)&amp;IF(AE448="","",", "&amp;AE448)&amp;IF(AH448="","",", "&amp;AH448)&amp;IF(AK448="","",", "&amp;AK448)&amp;IF(AN448="","",", "&amp;AN448)&amp;IF(AQ448="","",", "&amp;AQ448)&amp;IF(AT448="","",", "&amp;AT448)&amp;IF(AW448="","",", "&amp;AW448)&amp;IF(AZ448="","",", "&amp;AZ448),3,500)</f>
        <v/>
      </c>
      <c r="BH448" s="12" t="n"/>
      <c r="BI448" s="15">
        <f>IFERROR(MATCH($A448,IF($B448="Onsite",tbl_Onsite[Row ID],IF($B448="Production",tbl_Production[Row ID],tbl_Consulting[Row ID])),0),"")</f>
        <v/>
      </c>
    </row>
    <row r="449">
      <c r="A449" s="10" t="inlineStr">
        <is>
          <t>ONS-0443</t>
        </is>
      </c>
      <c r="B449" s="10" t="inlineStr">
        <is>
          <t>Onsite</t>
        </is>
      </c>
      <c r="C449" s="10">
        <f>IF($BI449="","",IF($B449="Onsite",INDEX(tbl_Onsite[Job Number],$BI449),IF($B449="Production",INDEX(tbl_Production[Job Number],$BI449),INDEX(tbl_Consulting[Job Number],$BI449)))&amp;"")</f>
        <v/>
      </c>
      <c r="D449" s="10">
        <f>IF($BI449="","",IF($B449="Onsite",INDEX(tbl_Onsite[Client],$BI449),IF($B449="Production",INDEX(tbl_Production[Client],$BI449),INDEX(tbl_Consulting[Client],$BI449)))&amp;"")</f>
        <v/>
      </c>
      <c r="E449" s="10">
        <f>IF($C449="","",IF(COUNTIF(lst_Jobs,$C449)&gt;0,"OK","CHECK"))</f>
        <v/>
      </c>
      <c r="F449" s="10">
        <f>IF($C449="","",IFERROR(INDEX(lst_JobName,MATCH($C449,lst_Jobs,0)),""))</f>
        <v/>
      </c>
      <c r="G449" s="10">
        <f>IF($BI449="","",IF($B449="Onsite",INDEX(tbl_Onsite[Job Description],$BI449),IF($B449="Production",INDEX(tbl_Production[Job Description],$BI449),INDEX(tbl_Consulting[Job Description],$BI449)))&amp;"")</f>
        <v/>
      </c>
      <c r="H449" s="10">
        <f>IF($BI449="","",IF($B449="Onsite",INDEX(tbl_Onsite[Cost Centre],$BI449),IF($B449="Production",INDEX(tbl_Production[Cost Centre],$BI449),INDEX(tbl_Consulting[Cost Centre],$BI449)))&amp;"")</f>
        <v/>
      </c>
      <c r="I449" s="10">
        <f>IF($BI449="","",IF($B449="Onsite",INDEX(tbl_Onsite[Invoice Type],$BI449),IF($B449="Production",INDEX(tbl_Production[Invoice Type],$BI449),INDEX(tbl_Consulting[Invoice Type],$BI449)))&amp;"")</f>
        <v/>
      </c>
      <c r="J449" s="10">
        <f>IF($BI449="","",IF($B449="Onsite",INDEX(tbl_Onsite[Tax Code],$BI449),IF($B449="Production",INDEX(tbl_Production[Tax Code],$BI449),INDEX(tbl_Consulting[Tax Code],$BI449)))&amp;"")</f>
        <v/>
      </c>
      <c r="K449" s="10">
        <f>IF(H449="","",IFERROR(INDEX(lst_CCtoGL,MATCH(H449,lst_CCforGL,0)),""))</f>
        <v/>
      </c>
      <c r="L449" s="10">
        <f>IF($BI449="","",IF($B449="Onsite",INDEX(tbl_Onsite[PO / Reference],$BI449),IF($B449="Production",INDEX(tbl_Production[Current RMS No],$BI449),INDEX(tbl_Consulting[Qwilr Quote],$BI449)))&amp;"")</f>
        <v/>
      </c>
      <c r="M449" s="10">
        <f>IF($BI449="","",IF($B449="Onsite",INDEX(tbl_Onsite[Notes],$BI449),IF($B449="Production",INDEX(tbl_Production[Notes],$BI449),INDEX(tbl_Consulting[Notes],$BI449)))&amp;"")</f>
        <v/>
      </c>
      <c r="N449" s="11">
        <f>IF($BI449="","",IF(IF($B449="Onsite",INDEX(tbl_Onsite[Expected Revenue Ex GST],$BI449),IF($B449="Production",INDEX(tbl_Production[Expected Revenue Ex GST],$BI449),INDEX(tbl_Consulting[Expected Revenue Ex GST],$BI449)))="","",IF($B449="Onsite",INDEX(tbl_Onsite[Expected Revenue Ex GST],$BI449),IF($B449="Production",INDEX(tbl_Production[Expected Revenue Ex GST],$BI449),INDEX(tbl_Consulting[Expected Revenue Ex GST],$BI449)))))</f>
        <v/>
      </c>
      <c r="O449" s="11">
        <f>IF(AND($C449="",NOT(COUNTA($S449:$BB449)&gt;0)),"",SUM(U449,X449,AA449,AD449,AG449,AJ449,AM449,AP449,AS449,AV449,AY449,BB449))</f>
        <v/>
      </c>
      <c r="P449" s="11">
        <f>IF(O449="","",N(N449)-O449)</f>
        <v/>
      </c>
      <c r="Q449" s="10">
        <f>IF(O449="","",IF($C449="","Invoice on empty job row",IF(N449="",IF(ROUND(O449,2)=0,"No dept value","Invoiced - no dept value"),IF(ROUND(O449,2)=0,"Not invoiced - to invoice",IF(ROUND(P449,2)=0,"Agrees",IF(P449&gt;0,"Dept higher - to invoice","Xero higher - check dept"))))))</f>
        <v/>
      </c>
      <c r="R449" s="10">
        <f>IF(AND($C449="",NOT(COUNTA($S449:$BB449)&gt;0),$BI449&lt;&gt;""),"",MID(IF($BI449="","; Row ID not found on the department sheet - a row was deleted","")&amp;IF(AND($C449="",COUNTA($S449:$BB449)&gt;0),"; Invoice entered but the department row has no job number","")&amp;IF(E449="CHECK","; Job number not in the Xero job list","")&amp;IF(AND($C449&lt;&gt;"",COUNTIF($C$7:$C$1506,$C449)&gt;1),"; Job number on more than one row","")&amp;IF(AND($C449&lt;&gt;"",H449=""),"; Dept has not set a cost centre","")&amp;IF(AND($C449&lt;&gt;"",J449=""),"; Dept has not set a tax code","")&amp;IF(AND($C449&lt;&gt;"",N449=""),"; Dept has not entered an expected value","")&amp;IF((IF(OR(COUNTA(S449:U449)=0,AND(COUNTA(S449:U449)=3,ISNUMBER(U449))),0,1)+IF(OR(COUNTA(V449:X449)=0,AND(COUNTA(V449:X449)=3,ISNUMBER(X449))),0,1)+IF(OR(COUNTA(Y449:AA449)=0,AND(COUNTA(Y449:AA449)=3,ISNUMBER(AA449))),0,1)+IF(OR(COUNTA(AB449:AD449)=0,AND(COUNTA(AB449:AD449)=3,ISNUMBER(AD449))),0,1)+IF(OR(COUNTA(AE449:AG449)=0,AND(COUNTA(AE449:AG449)=3,ISNUMBER(AG449))),0,1)+IF(OR(COUNTA(AH449:AJ449)=0,AND(COUNTA(AH449:AJ449)=3,ISNUMBER(AJ449))),0,1)+IF(OR(COUNTA(AK449:AM449)=0,AND(COUNTA(AK449:AM449)=3,ISNUMBER(AM449))),0,1)+IF(OR(COUNTA(AN449:AP449)=0,AND(COUNTA(AN449:AP449)=3,ISNUMBER(AP449))),0,1)+IF(OR(COUNTA(AQ449:AS449)=0,AND(COUNTA(AQ449:AS449)=3,ISNUMBER(AS449))),0,1)+IF(OR(COUNTA(AT449:AV449)=0,AND(COUNTA(AT449:AV449)=3,ISNUMBER(AV449))),0,1)+IF(OR(COUNTA(AW449:AY449)=0,AND(COUNTA(AW449:AY449)=3,ISNUMBER(AY449))),0,1)+IF(OR(COUNTA(AZ449:BB449)=0,AND(COUNTA(AZ449:BB449)=3,ISNUMBER(BB449))),0,1))&gt;0,"; An invoice is incomplete (needs No, Date and a number in Ex GST)","")&amp;IF((IF(T449="",0,IFERROR(--(EOMONTH(T449,0)&lt;&gt;S$5),1))+IF(W449="",0,IFERROR(--(EOMONTH(W449,0)&lt;&gt;V$5),1))+IF(Z449="",0,IFERROR(--(EOMONTH(Z449,0)&lt;&gt;Y$5),1))+IF(AC449="",0,IFERROR(--(EOMONTH(AC449,0)&lt;&gt;AB$5),1))+IF(AF449="",0,IFERROR(--(EOMONTH(AF449,0)&lt;&gt;AE$5),1))+IF(AI449="",0,IFERROR(--(EOMONTH(AI449,0)&lt;&gt;AH$5),1))+IF(AL449="",0,IFERROR(--(EOMONTH(AL449,0)&lt;&gt;AK$5),1))+IF(AO449="",0,IFERROR(--(EOMONTH(AO449,0)&lt;&gt;AN$5),1))+IF(AR449="",0,IFERROR(--(EOMONTH(AR449,0)&lt;&gt;AQ$5),1))+IF(AU449="",0,IFERROR(--(EOMONTH(AU449,0)&lt;&gt;AT$5),1))+IF(AX449="",0,IFERROR(--(EOMONTH(AX449,0)&lt;&gt;AW$5),1))+IF(BA449="",0,IFERROR(--(EOMONTH(BA449,0)&lt;&gt;AZ$5),1)))&gt;0,"; An invoice date is not in the month it is typed under",""),3,500))</f>
        <v/>
      </c>
      <c r="S449" s="12" t="n"/>
      <c r="T449" s="13" t="n"/>
      <c r="U449" s="14" t="n"/>
      <c r="V449" s="12" t="n"/>
      <c r="W449" s="13" t="n"/>
      <c r="X449" s="14" t="n"/>
      <c r="Y449" s="12" t="n"/>
      <c r="Z449" s="13" t="n"/>
      <c r="AA449" s="14" t="n"/>
      <c r="AB449" s="12" t="n"/>
      <c r="AC449" s="13" t="n"/>
      <c r="AD449" s="14" t="n"/>
      <c r="AE449" s="12" t="n"/>
      <c r="AF449" s="13" t="n"/>
      <c r="AG449" s="14" t="n"/>
      <c r="AH449" s="12" t="n"/>
      <c r="AI449" s="13" t="n"/>
      <c r="AJ449" s="14" t="n"/>
      <c r="AK449" s="12" t="n"/>
      <c r="AL449" s="13" t="n"/>
      <c r="AM449" s="14" t="n"/>
      <c r="AN449" s="12" t="n"/>
      <c r="AO449" s="13" t="n"/>
      <c r="AP449" s="14" t="n"/>
      <c r="AQ449" s="12" t="n"/>
      <c r="AR449" s="13" t="n"/>
      <c r="AS449" s="14" t="n"/>
      <c r="AT449" s="12" t="n"/>
      <c r="AU449" s="13" t="n"/>
      <c r="AV449" s="14" t="n"/>
      <c r="AW449" s="12" t="n"/>
      <c r="AX449" s="13" t="n"/>
      <c r="AY449" s="14" t="n"/>
      <c r="AZ449" s="12" t="n"/>
      <c r="BA449" s="13" t="n"/>
      <c r="BB449" s="14" t="n"/>
      <c r="BC449" s="11">
        <f>IF(O449="","",IF(J449="GST 10%",ROUND(O449*set_GSTRate,2),0))</f>
        <v/>
      </c>
      <c r="BD449" s="11">
        <f>IF(O449="","",O449+BC449)</f>
        <v/>
      </c>
      <c r="BE449" s="15">
        <f>IF(O449="","",COUNTA(S449,V449,Y449,AB449,AE449,AH449,AK449,AN449,AQ449,AT449,AW449,AZ449))</f>
        <v/>
      </c>
      <c r="BF449" s="16">
        <f>IF(COUNT(T449,W449,Z449,AC449,AF449,AI449,AL449,AO449,AR449,AU449,AX449,BA449)=0,"",MAX(T449,W449,Z449,AC449,AF449,AI449,AL449,AO449,AR449,AU449,AX449,BA449))</f>
        <v/>
      </c>
      <c r="BG449" s="10">
        <f>MID(IF(S449="","",", "&amp;S449)&amp;IF(V449="","",", "&amp;V449)&amp;IF(Y449="","",", "&amp;Y449)&amp;IF(AB449="","",", "&amp;AB449)&amp;IF(AE449="","",", "&amp;AE449)&amp;IF(AH449="","",", "&amp;AH449)&amp;IF(AK449="","",", "&amp;AK449)&amp;IF(AN449="","",", "&amp;AN449)&amp;IF(AQ449="","",", "&amp;AQ449)&amp;IF(AT449="","",", "&amp;AT449)&amp;IF(AW449="","",", "&amp;AW449)&amp;IF(AZ449="","",", "&amp;AZ449),3,500)</f>
        <v/>
      </c>
      <c r="BH449" s="12" t="n"/>
      <c r="BI449" s="15">
        <f>IFERROR(MATCH($A449,IF($B449="Onsite",tbl_Onsite[Row ID],IF($B449="Production",tbl_Production[Row ID],tbl_Consulting[Row ID])),0),"")</f>
        <v/>
      </c>
    </row>
    <row r="450">
      <c r="A450" s="10" t="inlineStr">
        <is>
          <t>ONS-0444</t>
        </is>
      </c>
      <c r="B450" s="10" t="inlineStr">
        <is>
          <t>Onsite</t>
        </is>
      </c>
      <c r="C450" s="10">
        <f>IF($BI450="","",IF($B450="Onsite",INDEX(tbl_Onsite[Job Number],$BI450),IF($B450="Production",INDEX(tbl_Production[Job Number],$BI450),INDEX(tbl_Consulting[Job Number],$BI450)))&amp;"")</f>
        <v/>
      </c>
      <c r="D450" s="10">
        <f>IF($BI450="","",IF($B450="Onsite",INDEX(tbl_Onsite[Client],$BI450),IF($B450="Production",INDEX(tbl_Production[Client],$BI450),INDEX(tbl_Consulting[Client],$BI450)))&amp;"")</f>
        <v/>
      </c>
      <c r="E450" s="10">
        <f>IF($C450="","",IF(COUNTIF(lst_Jobs,$C450)&gt;0,"OK","CHECK"))</f>
        <v/>
      </c>
      <c r="F450" s="10">
        <f>IF($C450="","",IFERROR(INDEX(lst_JobName,MATCH($C450,lst_Jobs,0)),""))</f>
        <v/>
      </c>
      <c r="G450" s="10">
        <f>IF($BI450="","",IF($B450="Onsite",INDEX(tbl_Onsite[Job Description],$BI450),IF($B450="Production",INDEX(tbl_Production[Job Description],$BI450),INDEX(tbl_Consulting[Job Description],$BI450)))&amp;"")</f>
        <v/>
      </c>
      <c r="H450" s="10">
        <f>IF($BI450="","",IF($B450="Onsite",INDEX(tbl_Onsite[Cost Centre],$BI450),IF($B450="Production",INDEX(tbl_Production[Cost Centre],$BI450),INDEX(tbl_Consulting[Cost Centre],$BI450)))&amp;"")</f>
        <v/>
      </c>
      <c r="I450" s="10">
        <f>IF($BI450="","",IF($B450="Onsite",INDEX(tbl_Onsite[Invoice Type],$BI450),IF($B450="Production",INDEX(tbl_Production[Invoice Type],$BI450),INDEX(tbl_Consulting[Invoice Type],$BI450)))&amp;"")</f>
        <v/>
      </c>
      <c r="J450" s="10">
        <f>IF($BI450="","",IF($B450="Onsite",INDEX(tbl_Onsite[Tax Code],$BI450),IF($B450="Production",INDEX(tbl_Production[Tax Code],$BI450),INDEX(tbl_Consulting[Tax Code],$BI450)))&amp;"")</f>
        <v/>
      </c>
      <c r="K450" s="10">
        <f>IF(H450="","",IFERROR(INDEX(lst_CCtoGL,MATCH(H450,lst_CCforGL,0)),""))</f>
        <v/>
      </c>
      <c r="L450" s="10">
        <f>IF($BI450="","",IF($B450="Onsite",INDEX(tbl_Onsite[PO / Reference],$BI450),IF($B450="Production",INDEX(tbl_Production[Current RMS No],$BI450),INDEX(tbl_Consulting[Qwilr Quote],$BI450)))&amp;"")</f>
        <v/>
      </c>
      <c r="M450" s="10">
        <f>IF($BI450="","",IF($B450="Onsite",INDEX(tbl_Onsite[Notes],$BI450),IF($B450="Production",INDEX(tbl_Production[Notes],$BI450),INDEX(tbl_Consulting[Notes],$BI450)))&amp;"")</f>
        <v/>
      </c>
      <c r="N450" s="11">
        <f>IF($BI450="","",IF(IF($B450="Onsite",INDEX(tbl_Onsite[Expected Revenue Ex GST],$BI450),IF($B450="Production",INDEX(tbl_Production[Expected Revenue Ex GST],$BI450),INDEX(tbl_Consulting[Expected Revenue Ex GST],$BI450)))="","",IF($B450="Onsite",INDEX(tbl_Onsite[Expected Revenue Ex GST],$BI450),IF($B450="Production",INDEX(tbl_Production[Expected Revenue Ex GST],$BI450),INDEX(tbl_Consulting[Expected Revenue Ex GST],$BI450)))))</f>
        <v/>
      </c>
      <c r="O450" s="11">
        <f>IF(AND($C450="",NOT(COUNTA($S450:$BB450)&gt;0)),"",SUM(U450,X450,AA450,AD450,AG450,AJ450,AM450,AP450,AS450,AV450,AY450,BB450))</f>
        <v/>
      </c>
      <c r="P450" s="11">
        <f>IF(O450="","",N(N450)-O450)</f>
        <v/>
      </c>
      <c r="Q450" s="10">
        <f>IF(O450="","",IF($C450="","Invoice on empty job row",IF(N450="",IF(ROUND(O450,2)=0,"No dept value","Invoiced - no dept value"),IF(ROUND(O450,2)=0,"Not invoiced - to invoice",IF(ROUND(P450,2)=0,"Agrees",IF(P450&gt;0,"Dept higher - to invoice","Xero higher - check dept"))))))</f>
        <v/>
      </c>
      <c r="R450" s="10">
        <f>IF(AND($C450="",NOT(COUNTA($S450:$BB450)&gt;0),$BI450&lt;&gt;""),"",MID(IF($BI450="","; Row ID not found on the department sheet - a row was deleted","")&amp;IF(AND($C450="",COUNTA($S450:$BB450)&gt;0),"; Invoice entered but the department row has no job number","")&amp;IF(E450="CHECK","; Job number not in the Xero job list","")&amp;IF(AND($C450&lt;&gt;"",COUNTIF($C$7:$C$1506,$C450)&gt;1),"; Job number on more than one row","")&amp;IF(AND($C450&lt;&gt;"",H450=""),"; Dept has not set a cost centre","")&amp;IF(AND($C450&lt;&gt;"",J450=""),"; Dept has not set a tax code","")&amp;IF(AND($C450&lt;&gt;"",N450=""),"; Dept has not entered an expected value","")&amp;IF((IF(OR(COUNTA(S450:U450)=0,AND(COUNTA(S450:U450)=3,ISNUMBER(U450))),0,1)+IF(OR(COUNTA(V450:X450)=0,AND(COUNTA(V450:X450)=3,ISNUMBER(X450))),0,1)+IF(OR(COUNTA(Y450:AA450)=0,AND(COUNTA(Y450:AA450)=3,ISNUMBER(AA450))),0,1)+IF(OR(COUNTA(AB450:AD450)=0,AND(COUNTA(AB450:AD450)=3,ISNUMBER(AD450))),0,1)+IF(OR(COUNTA(AE450:AG450)=0,AND(COUNTA(AE450:AG450)=3,ISNUMBER(AG450))),0,1)+IF(OR(COUNTA(AH450:AJ450)=0,AND(COUNTA(AH450:AJ450)=3,ISNUMBER(AJ450))),0,1)+IF(OR(COUNTA(AK450:AM450)=0,AND(COUNTA(AK450:AM450)=3,ISNUMBER(AM450))),0,1)+IF(OR(COUNTA(AN450:AP450)=0,AND(COUNTA(AN450:AP450)=3,ISNUMBER(AP450))),0,1)+IF(OR(COUNTA(AQ450:AS450)=0,AND(COUNTA(AQ450:AS450)=3,ISNUMBER(AS450))),0,1)+IF(OR(COUNTA(AT450:AV450)=0,AND(COUNTA(AT450:AV450)=3,ISNUMBER(AV450))),0,1)+IF(OR(COUNTA(AW450:AY450)=0,AND(COUNTA(AW450:AY450)=3,ISNUMBER(AY450))),0,1)+IF(OR(COUNTA(AZ450:BB450)=0,AND(COUNTA(AZ450:BB450)=3,ISNUMBER(BB450))),0,1))&gt;0,"; An invoice is incomplete (needs No, Date and a number in Ex GST)","")&amp;IF((IF(T450="",0,IFERROR(--(EOMONTH(T450,0)&lt;&gt;S$5),1))+IF(W450="",0,IFERROR(--(EOMONTH(W450,0)&lt;&gt;V$5),1))+IF(Z450="",0,IFERROR(--(EOMONTH(Z450,0)&lt;&gt;Y$5),1))+IF(AC450="",0,IFERROR(--(EOMONTH(AC450,0)&lt;&gt;AB$5),1))+IF(AF450="",0,IFERROR(--(EOMONTH(AF450,0)&lt;&gt;AE$5),1))+IF(AI450="",0,IFERROR(--(EOMONTH(AI450,0)&lt;&gt;AH$5),1))+IF(AL450="",0,IFERROR(--(EOMONTH(AL450,0)&lt;&gt;AK$5),1))+IF(AO450="",0,IFERROR(--(EOMONTH(AO450,0)&lt;&gt;AN$5),1))+IF(AR450="",0,IFERROR(--(EOMONTH(AR450,0)&lt;&gt;AQ$5),1))+IF(AU450="",0,IFERROR(--(EOMONTH(AU450,0)&lt;&gt;AT$5),1))+IF(AX450="",0,IFERROR(--(EOMONTH(AX450,0)&lt;&gt;AW$5),1))+IF(BA450="",0,IFERROR(--(EOMONTH(BA450,0)&lt;&gt;AZ$5),1)))&gt;0,"; An invoice date is not in the month it is typed under",""),3,500))</f>
        <v/>
      </c>
      <c r="S450" s="12" t="n"/>
      <c r="T450" s="13" t="n"/>
      <c r="U450" s="14" t="n"/>
      <c r="V450" s="12" t="n"/>
      <c r="W450" s="13" t="n"/>
      <c r="X450" s="14" t="n"/>
      <c r="Y450" s="12" t="n"/>
      <c r="Z450" s="13" t="n"/>
      <c r="AA450" s="14" t="n"/>
      <c r="AB450" s="12" t="n"/>
      <c r="AC450" s="13" t="n"/>
      <c r="AD450" s="14" t="n"/>
      <c r="AE450" s="12" t="n"/>
      <c r="AF450" s="13" t="n"/>
      <c r="AG450" s="14" t="n"/>
      <c r="AH450" s="12" t="n"/>
      <c r="AI450" s="13" t="n"/>
      <c r="AJ450" s="14" t="n"/>
      <c r="AK450" s="12" t="n"/>
      <c r="AL450" s="13" t="n"/>
      <c r="AM450" s="14" t="n"/>
      <c r="AN450" s="12" t="n"/>
      <c r="AO450" s="13" t="n"/>
      <c r="AP450" s="14" t="n"/>
      <c r="AQ450" s="12" t="n"/>
      <c r="AR450" s="13" t="n"/>
      <c r="AS450" s="14" t="n"/>
      <c r="AT450" s="12" t="n"/>
      <c r="AU450" s="13" t="n"/>
      <c r="AV450" s="14" t="n"/>
      <c r="AW450" s="12" t="n"/>
      <c r="AX450" s="13" t="n"/>
      <c r="AY450" s="14" t="n"/>
      <c r="AZ450" s="12" t="n"/>
      <c r="BA450" s="13" t="n"/>
      <c r="BB450" s="14" t="n"/>
      <c r="BC450" s="11">
        <f>IF(O450="","",IF(J450="GST 10%",ROUND(O450*set_GSTRate,2),0))</f>
        <v/>
      </c>
      <c r="BD450" s="11">
        <f>IF(O450="","",O450+BC450)</f>
        <v/>
      </c>
      <c r="BE450" s="15">
        <f>IF(O450="","",COUNTA(S450,V450,Y450,AB450,AE450,AH450,AK450,AN450,AQ450,AT450,AW450,AZ450))</f>
        <v/>
      </c>
      <c r="BF450" s="16">
        <f>IF(COUNT(T450,W450,Z450,AC450,AF450,AI450,AL450,AO450,AR450,AU450,AX450,BA450)=0,"",MAX(T450,W450,Z450,AC450,AF450,AI450,AL450,AO450,AR450,AU450,AX450,BA450))</f>
        <v/>
      </c>
      <c r="BG450" s="10">
        <f>MID(IF(S450="","",", "&amp;S450)&amp;IF(V450="","",", "&amp;V450)&amp;IF(Y450="","",", "&amp;Y450)&amp;IF(AB450="","",", "&amp;AB450)&amp;IF(AE450="","",", "&amp;AE450)&amp;IF(AH450="","",", "&amp;AH450)&amp;IF(AK450="","",", "&amp;AK450)&amp;IF(AN450="","",", "&amp;AN450)&amp;IF(AQ450="","",", "&amp;AQ450)&amp;IF(AT450="","",", "&amp;AT450)&amp;IF(AW450="","",", "&amp;AW450)&amp;IF(AZ450="","",", "&amp;AZ450),3,500)</f>
        <v/>
      </c>
      <c r="BH450" s="12" t="n"/>
      <c r="BI450" s="15">
        <f>IFERROR(MATCH($A450,IF($B450="Onsite",tbl_Onsite[Row ID],IF($B450="Production",tbl_Production[Row ID],tbl_Consulting[Row ID])),0),"")</f>
        <v/>
      </c>
    </row>
    <row r="451">
      <c r="A451" s="10" t="inlineStr">
        <is>
          <t>ONS-0445</t>
        </is>
      </c>
      <c r="B451" s="10" t="inlineStr">
        <is>
          <t>Onsite</t>
        </is>
      </c>
      <c r="C451" s="10">
        <f>IF($BI451="","",IF($B451="Onsite",INDEX(tbl_Onsite[Job Number],$BI451),IF($B451="Production",INDEX(tbl_Production[Job Number],$BI451),INDEX(tbl_Consulting[Job Number],$BI451)))&amp;"")</f>
        <v/>
      </c>
      <c r="D451" s="10">
        <f>IF($BI451="","",IF($B451="Onsite",INDEX(tbl_Onsite[Client],$BI451),IF($B451="Production",INDEX(tbl_Production[Client],$BI451),INDEX(tbl_Consulting[Client],$BI451)))&amp;"")</f>
        <v/>
      </c>
      <c r="E451" s="10">
        <f>IF($C451="","",IF(COUNTIF(lst_Jobs,$C451)&gt;0,"OK","CHECK"))</f>
        <v/>
      </c>
      <c r="F451" s="10">
        <f>IF($C451="","",IFERROR(INDEX(lst_JobName,MATCH($C451,lst_Jobs,0)),""))</f>
        <v/>
      </c>
      <c r="G451" s="10">
        <f>IF($BI451="","",IF($B451="Onsite",INDEX(tbl_Onsite[Job Description],$BI451),IF($B451="Production",INDEX(tbl_Production[Job Description],$BI451),INDEX(tbl_Consulting[Job Description],$BI451)))&amp;"")</f>
        <v/>
      </c>
      <c r="H451" s="10">
        <f>IF($BI451="","",IF($B451="Onsite",INDEX(tbl_Onsite[Cost Centre],$BI451),IF($B451="Production",INDEX(tbl_Production[Cost Centre],$BI451),INDEX(tbl_Consulting[Cost Centre],$BI451)))&amp;"")</f>
        <v/>
      </c>
      <c r="I451" s="10">
        <f>IF($BI451="","",IF($B451="Onsite",INDEX(tbl_Onsite[Invoice Type],$BI451),IF($B451="Production",INDEX(tbl_Production[Invoice Type],$BI451),INDEX(tbl_Consulting[Invoice Type],$BI451)))&amp;"")</f>
        <v/>
      </c>
      <c r="J451" s="10">
        <f>IF($BI451="","",IF($B451="Onsite",INDEX(tbl_Onsite[Tax Code],$BI451),IF($B451="Production",INDEX(tbl_Production[Tax Code],$BI451),INDEX(tbl_Consulting[Tax Code],$BI451)))&amp;"")</f>
        <v/>
      </c>
      <c r="K451" s="10">
        <f>IF(H451="","",IFERROR(INDEX(lst_CCtoGL,MATCH(H451,lst_CCforGL,0)),""))</f>
        <v/>
      </c>
      <c r="L451" s="10">
        <f>IF($BI451="","",IF($B451="Onsite",INDEX(tbl_Onsite[PO / Reference],$BI451),IF($B451="Production",INDEX(tbl_Production[Current RMS No],$BI451),INDEX(tbl_Consulting[Qwilr Quote],$BI451)))&amp;"")</f>
        <v/>
      </c>
      <c r="M451" s="10">
        <f>IF($BI451="","",IF($B451="Onsite",INDEX(tbl_Onsite[Notes],$BI451),IF($B451="Production",INDEX(tbl_Production[Notes],$BI451),INDEX(tbl_Consulting[Notes],$BI451)))&amp;"")</f>
        <v/>
      </c>
      <c r="N451" s="11">
        <f>IF($BI451="","",IF(IF($B451="Onsite",INDEX(tbl_Onsite[Expected Revenue Ex GST],$BI451),IF($B451="Production",INDEX(tbl_Production[Expected Revenue Ex GST],$BI451),INDEX(tbl_Consulting[Expected Revenue Ex GST],$BI451)))="","",IF($B451="Onsite",INDEX(tbl_Onsite[Expected Revenue Ex GST],$BI451),IF($B451="Production",INDEX(tbl_Production[Expected Revenue Ex GST],$BI451),INDEX(tbl_Consulting[Expected Revenue Ex GST],$BI451)))))</f>
        <v/>
      </c>
      <c r="O451" s="11">
        <f>IF(AND($C451="",NOT(COUNTA($S451:$BB451)&gt;0)),"",SUM(U451,X451,AA451,AD451,AG451,AJ451,AM451,AP451,AS451,AV451,AY451,BB451))</f>
        <v/>
      </c>
      <c r="P451" s="11">
        <f>IF(O451="","",N(N451)-O451)</f>
        <v/>
      </c>
      <c r="Q451" s="10">
        <f>IF(O451="","",IF($C451="","Invoice on empty job row",IF(N451="",IF(ROUND(O451,2)=0,"No dept value","Invoiced - no dept value"),IF(ROUND(O451,2)=0,"Not invoiced - to invoice",IF(ROUND(P451,2)=0,"Agrees",IF(P451&gt;0,"Dept higher - to invoice","Xero higher - check dept"))))))</f>
        <v/>
      </c>
      <c r="R451" s="10">
        <f>IF(AND($C451="",NOT(COUNTA($S451:$BB451)&gt;0),$BI451&lt;&gt;""),"",MID(IF($BI451="","; Row ID not found on the department sheet - a row was deleted","")&amp;IF(AND($C451="",COUNTA($S451:$BB451)&gt;0),"; Invoice entered but the department row has no job number","")&amp;IF(E451="CHECK","; Job number not in the Xero job list","")&amp;IF(AND($C451&lt;&gt;"",COUNTIF($C$7:$C$1506,$C451)&gt;1),"; Job number on more than one row","")&amp;IF(AND($C451&lt;&gt;"",H451=""),"; Dept has not set a cost centre","")&amp;IF(AND($C451&lt;&gt;"",J451=""),"; Dept has not set a tax code","")&amp;IF(AND($C451&lt;&gt;"",N451=""),"; Dept has not entered an expected value","")&amp;IF((IF(OR(COUNTA(S451:U451)=0,AND(COUNTA(S451:U451)=3,ISNUMBER(U451))),0,1)+IF(OR(COUNTA(V451:X451)=0,AND(COUNTA(V451:X451)=3,ISNUMBER(X451))),0,1)+IF(OR(COUNTA(Y451:AA451)=0,AND(COUNTA(Y451:AA451)=3,ISNUMBER(AA451))),0,1)+IF(OR(COUNTA(AB451:AD451)=0,AND(COUNTA(AB451:AD451)=3,ISNUMBER(AD451))),0,1)+IF(OR(COUNTA(AE451:AG451)=0,AND(COUNTA(AE451:AG451)=3,ISNUMBER(AG451))),0,1)+IF(OR(COUNTA(AH451:AJ451)=0,AND(COUNTA(AH451:AJ451)=3,ISNUMBER(AJ451))),0,1)+IF(OR(COUNTA(AK451:AM451)=0,AND(COUNTA(AK451:AM451)=3,ISNUMBER(AM451))),0,1)+IF(OR(COUNTA(AN451:AP451)=0,AND(COUNTA(AN451:AP451)=3,ISNUMBER(AP451))),0,1)+IF(OR(COUNTA(AQ451:AS451)=0,AND(COUNTA(AQ451:AS451)=3,ISNUMBER(AS451))),0,1)+IF(OR(COUNTA(AT451:AV451)=0,AND(COUNTA(AT451:AV451)=3,ISNUMBER(AV451))),0,1)+IF(OR(COUNTA(AW451:AY451)=0,AND(COUNTA(AW451:AY451)=3,ISNUMBER(AY451))),0,1)+IF(OR(COUNTA(AZ451:BB451)=0,AND(COUNTA(AZ451:BB451)=3,ISNUMBER(BB451))),0,1))&gt;0,"; An invoice is incomplete (needs No, Date and a number in Ex GST)","")&amp;IF((IF(T451="",0,IFERROR(--(EOMONTH(T451,0)&lt;&gt;S$5),1))+IF(W451="",0,IFERROR(--(EOMONTH(W451,0)&lt;&gt;V$5),1))+IF(Z451="",0,IFERROR(--(EOMONTH(Z451,0)&lt;&gt;Y$5),1))+IF(AC451="",0,IFERROR(--(EOMONTH(AC451,0)&lt;&gt;AB$5),1))+IF(AF451="",0,IFERROR(--(EOMONTH(AF451,0)&lt;&gt;AE$5),1))+IF(AI451="",0,IFERROR(--(EOMONTH(AI451,0)&lt;&gt;AH$5),1))+IF(AL451="",0,IFERROR(--(EOMONTH(AL451,0)&lt;&gt;AK$5),1))+IF(AO451="",0,IFERROR(--(EOMONTH(AO451,0)&lt;&gt;AN$5),1))+IF(AR451="",0,IFERROR(--(EOMONTH(AR451,0)&lt;&gt;AQ$5),1))+IF(AU451="",0,IFERROR(--(EOMONTH(AU451,0)&lt;&gt;AT$5),1))+IF(AX451="",0,IFERROR(--(EOMONTH(AX451,0)&lt;&gt;AW$5),1))+IF(BA451="",0,IFERROR(--(EOMONTH(BA451,0)&lt;&gt;AZ$5),1)))&gt;0,"; An invoice date is not in the month it is typed under",""),3,500))</f>
        <v/>
      </c>
      <c r="S451" s="12" t="n"/>
      <c r="T451" s="13" t="n"/>
      <c r="U451" s="14" t="n"/>
      <c r="V451" s="12" t="n"/>
      <c r="W451" s="13" t="n"/>
      <c r="X451" s="14" t="n"/>
      <c r="Y451" s="12" t="n"/>
      <c r="Z451" s="13" t="n"/>
      <c r="AA451" s="14" t="n"/>
      <c r="AB451" s="12" t="n"/>
      <c r="AC451" s="13" t="n"/>
      <c r="AD451" s="14" t="n"/>
      <c r="AE451" s="12" t="n"/>
      <c r="AF451" s="13" t="n"/>
      <c r="AG451" s="14" t="n"/>
      <c r="AH451" s="12" t="n"/>
      <c r="AI451" s="13" t="n"/>
      <c r="AJ451" s="14" t="n"/>
      <c r="AK451" s="12" t="n"/>
      <c r="AL451" s="13" t="n"/>
      <c r="AM451" s="14" t="n"/>
      <c r="AN451" s="12" t="n"/>
      <c r="AO451" s="13" t="n"/>
      <c r="AP451" s="14" t="n"/>
      <c r="AQ451" s="12" t="n"/>
      <c r="AR451" s="13" t="n"/>
      <c r="AS451" s="14" t="n"/>
      <c r="AT451" s="12" t="n"/>
      <c r="AU451" s="13" t="n"/>
      <c r="AV451" s="14" t="n"/>
      <c r="AW451" s="12" t="n"/>
      <c r="AX451" s="13" t="n"/>
      <c r="AY451" s="14" t="n"/>
      <c r="AZ451" s="12" t="n"/>
      <c r="BA451" s="13" t="n"/>
      <c r="BB451" s="14" t="n"/>
      <c r="BC451" s="11">
        <f>IF(O451="","",IF(J451="GST 10%",ROUND(O451*set_GSTRate,2),0))</f>
        <v/>
      </c>
      <c r="BD451" s="11">
        <f>IF(O451="","",O451+BC451)</f>
        <v/>
      </c>
      <c r="BE451" s="15">
        <f>IF(O451="","",COUNTA(S451,V451,Y451,AB451,AE451,AH451,AK451,AN451,AQ451,AT451,AW451,AZ451))</f>
        <v/>
      </c>
      <c r="BF451" s="16">
        <f>IF(COUNT(T451,W451,Z451,AC451,AF451,AI451,AL451,AO451,AR451,AU451,AX451,BA451)=0,"",MAX(T451,W451,Z451,AC451,AF451,AI451,AL451,AO451,AR451,AU451,AX451,BA451))</f>
        <v/>
      </c>
      <c r="BG451" s="10">
        <f>MID(IF(S451="","",", "&amp;S451)&amp;IF(V451="","",", "&amp;V451)&amp;IF(Y451="","",", "&amp;Y451)&amp;IF(AB451="","",", "&amp;AB451)&amp;IF(AE451="","",", "&amp;AE451)&amp;IF(AH451="","",", "&amp;AH451)&amp;IF(AK451="","",", "&amp;AK451)&amp;IF(AN451="","",", "&amp;AN451)&amp;IF(AQ451="","",", "&amp;AQ451)&amp;IF(AT451="","",", "&amp;AT451)&amp;IF(AW451="","",", "&amp;AW451)&amp;IF(AZ451="","",", "&amp;AZ451),3,500)</f>
        <v/>
      </c>
      <c r="BH451" s="12" t="n"/>
      <c r="BI451" s="15">
        <f>IFERROR(MATCH($A451,IF($B451="Onsite",tbl_Onsite[Row ID],IF($B451="Production",tbl_Production[Row ID],tbl_Consulting[Row ID])),0),"")</f>
        <v/>
      </c>
    </row>
    <row r="452">
      <c r="A452" s="10" t="inlineStr">
        <is>
          <t>ONS-0446</t>
        </is>
      </c>
      <c r="B452" s="10" t="inlineStr">
        <is>
          <t>Onsite</t>
        </is>
      </c>
      <c r="C452" s="10">
        <f>IF($BI452="","",IF($B452="Onsite",INDEX(tbl_Onsite[Job Number],$BI452),IF($B452="Production",INDEX(tbl_Production[Job Number],$BI452),INDEX(tbl_Consulting[Job Number],$BI452)))&amp;"")</f>
        <v/>
      </c>
      <c r="D452" s="10">
        <f>IF($BI452="","",IF($B452="Onsite",INDEX(tbl_Onsite[Client],$BI452),IF($B452="Production",INDEX(tbl_Production[Client],$BI452),INDEX(tbl_Consulting[Client],$BI452)))&amp;"")</f>
        <v/>
      </c>
      <c r="E452" s="10">
        <f>IF($C452="","",IF(COUNTIF(lst_Jobs,$C452)&gt;0,"OK","CHECK"))</f>
        <v/>
      </c>
      <c r="F452" s="10">
        <f>IF($C452="","",IFERROR(INDEX(lst_JobName,MATCH($C452,lst_Jobs,0)),""))</f>
        <v/>
      </c>
      <c r="G452" s="10">
        <f>IF($BI452="","",IF($B452="Onsite",INDEX(tbl_Onsite[Job Description],$BI452),IF($B452="Production",INDEX(tbl_Production[Job Description],$BI452),INDEX(tbl_Consulting[Job Description],$BI452)))&amp;"")</f>
        <v/>
      </c>
      <c r="H452" s="10">
        <f>IF($BI452="","",IF($B452="Onsite",INDEX(tbl_Onsite[Cost Centre],$BI452),IF($B452="Production",INDEX(tbl_Production[Cost Centre],$BI452),INDEX(tbl_Consulting[Cost Centre],$BI452)))&amp;"")</f>
        <v/>
      </c>
      <c r="I452" s="10">
        <f>IF($BI452="","",IF($B452="Onsite",INDEX(tbl_Onsite[Invoice Type],$BI452),IF($B452="Production",INDEX(tbl_Production[Invoice Type],$BI452),INDEX(tbl_Consulting[Invoice Type],$BI452)))&amp;"")</f>
        <v/>
      </c>
      <c r="J452" s="10">
        <f>IF($BI452="","",IF($B452="Onsite",INDEX(tbl_Onsite[Tax Code],$BI452),IF($B452="Production",INDEX(tbl_Production[Tax Code],$BI452),INDEX(tbl_Consulting[Tax Code],$BI452)))&amp;"")</f>
        <v/>
      </c>
      <c r="K452" s="10">
        <f>IF(H452="","",IFERROR(INDEX(lst_CCtoGL,MATCH(H452,lst_CCforGL,0)),""))</f>
        <v/>
      </c>
      <c r="L452" s="10">
        <f>IF($BI452="","",IF($B452="Onsite",INDEX(tbl_Onsite[PO / Reference],$BI452),IF($B452="Production",INDEX(tbl_Production[Current RMS No],$BI452),INDEX(tbl_Consulting[Qwilr Quote],$BI452)))&amp;"")</f>
        <v/>
      </c>
      <c r="M452" s="10">
        <f>IF($BI452="","",IF($B452="Onsite",INDEX(tbl_Onsite[Notes],$BI452),IF($B452="Production",INDEX(tbl_Production[Notes],$BI452),INDEX(tbl_Consulting[Notes],$BI452)))&amp;"")</f>
        <v/>
      </c>
      <c r="N452" s="11">
        <f>IF($BI452="","",IF(IF($B452="Onsite",INDEX(tbl_Onsite[Expected Revenue Ex GST],$BI452),IF($B452="Production",INDEX(tbl_Production[Expected Revenue Ex GST],$BI452),INDEX(tbl_Consulting[Expected Revenue Ex GST],$BI452)))="","",IF($B452="Onsite",INDEX(tbl_Onsite[Expected Revenue Ex GST],$BI452),IF($B452="Production",INDEX(tbl_Production[Expected Revenue Ex GST],$BI452),INDEX(tbl_Consulting[Expected Revenue Ex GST],$BI452)))))</f>
        <v/>
      </c>
      <c r="O452" s="11">
        <f>IF(AND($C452="",NOT(COUNTA($S452:$BB452)&gt;0)),"",SUM(U452,X452,AA452,AD452,AG452,AJ452,AM452,AP452,AS452,AV452,AY452,BB452))</f>
        <v/>
      </c>
      <c r="P452" s="11">
        <f>IF(O452="","",N(N452)-O452)</f>
        <v/>
      </c>
      <c r="Q452" s="10">
        <f>IF(O452="","",IF($C452="","Invoice on empty job row",IF(N452="",IF(ROUND(O452,2)=0,"No dept value","Invoiced - no dept value"),IF(ROUND(O452,2)=0,"Not invoiced - to invoice",IF(ROUND(P452,2)=0,"Agrees",IF(P452&gt;0,"Dept higher - to invoice","Xero higher - check dept"))))))</f>
        <v/>
      </c>
      <c r="R452" s="10">
        <f>IF(AND($C452="",NOT(COUNTA($S452:$BB452)&gt;0),$BI452&lt;&gt;""),"",MID(IF($BI452="","; Row ID not found on the department sheet - a row was deleted","")&amp;IF(AND($C452="",COUNTA($S452:$BB452)&gt;0),"; Invoice entered but the department row has no job number","")&amp;IF(E452="CHECK","; Job number not in the Xero job list","")&amp;IF(AND($C452&lt;&gt;"",COUNTIF($C$7:$C$1506,$C452)&gt;1),"; Job number on more than one row","")&amp;IF(AND($C452&lt;&gt;"",H452=""),"; Dept has not set a cost centre","")&amp;IF(AND($C452&lt;&gt;"",J452=""),"; Dept has not set a tax code","")&amp;IF(AND($C452&lt;&gt;"",N452=""),"; Dept has not entered an expected value","")&amp;IF((IF(OR(COUNTA(S452:U452)=0,AND(COUNTA(S452:U452)=3,ISNUMBER(U452))),0,1)+IF(OR(COUNTA(V452:X452)=0,AND(COUNTA(V452:X452)=3,ISNUMBER(X452))),0,1)+IF(OR(COUNTA(Y452:AA452)=0,AND(COUNTA(Y452:AA452)=3,ISNUMBER(AA452))),0,1)+IF(OR(COUNTA(AB452:AD452)=0,AND(COUNTA(AB452:AD452)=3,ISNUMBER(AD452))),0,1)+IF(OR(COUNTA(AE452:AG452)=0,AND(COUNTA(AE452:AG452)=3,ISNUMBER(AG452))),0,1)+IF(OR(COUNTA(AH452:AJ452)=0,AND(COUNTA(AH452:AJ452)=3,ISNUMBER(AJ452))),0,1)+IF(OR(COUNTA(AK452:AM452)=0,AND(COUNTA(AK452:AM452)=3,ISNUMBER(AM452))),0,1)+IF(OR(COUNTA(AN452:AP452)=0,AND(COUNTA(AN452:AP452)=3,ISNUMBER(AP452))),0,1)+IF(OR(COUNTA(AQ452:AS452)=0,AND(COUNTA(AQ452:AS452)=3,ISNUMBER(AS452))),0,1)+IF(OR(COUNTA(AT452:AV452)=0,AND(COUNTA(AT452:AV452)=3,ISNUMBER(AV452))),0,1)+IF(OR(COUNTA(AW452:AY452)=0,AND(COUNTA(AW452:AY452)=3,ISNUMBER(AY452))),0,1)+IF(OR(COUNTA(AZ452:BB452)=0,AND(COUNTA(AZ452:BB452)=3,ISNUMBER(BB452))),0,1))&gt;0,"; An invoice is incomplete (needs No, Date and a number in Ex GST)","")&amp;IF((IF(T452="",0,IFERROR(--(EOMONTH(T452,0)&lt;&gt;S$5),1))+IF(W452="",0,IFERROR(--(EOMONTH(W452,0)&lt;&gt;V$5),1))+IF(Z452="",0,IFERROR(--(EOMONTH(Z452,0)&lt;&gt;Y$5),1))+IF(AC452="",0,IFERROR(--(EOMONTH(AC452,0)&lt;&gt;AB$5),1))+IF(AF452="",0,IFERROR(--(EOMONTH(AF452,0)&lt;&gt;AE$5),1))+IF(AI452="",0,IFERROR(--(EOMONTH(AI452,0)&lt;&gt;AH$5),1))+IF(AL452="",0,IFERROR(--(EOMONTH(AL452,0)&lt;&gt;AK$5),1))+IF(AO452="",0,IFERROR(--(EOMONTH(AO452,0)&lt;&gt;AN$5),1))+IF(AR452="",0,IFERROR(--(EOMONTH(AR452,0)&lt;&gt;AQ$5),1))+IF(AU452="",0,IFERROR(--(EOMONTH(AU452,0)&lt;&gt;AT$5),1))+IF(AX452="",0,IFERROR(--(EOMONTH(AX452,0)&lt;&gt;AW$5),1))+IF(BA452="",0,IFERROR(--(EOMONTH(BA452,0)&lt;&gt;AZ$5),1)))&gt;0,"; An invoice date is not in the month it is typed under",""),3,500))</f>
        <v/>
      </c>
      <c r="S452" s="12" t="n"/>
      <c r="T452" s="13" t="n"/>
      <c r="U452" s="14" t="n"/>
      <c r="V452" s="12" t="n"/>
      <c r="W452" s="13" t="n"/>
      <c r="X452" s="14" t="n"/>
      <c r="Y452" s="12" t="n"/>
      <c r="Z452" s="13" t="n"/>
      <c r="AA452" s="14" t="n"/>
      <c r="AB452" s="12" t="n"/>
      <c r="AC452" s="13" t="n"/>
      <c r="AD452" s="14" t="n"/>
      <c r="AE452" s="12" t="n"/>
      <c r="AF452" s="13" t="n"/>
      <c r="AG452" s="14" t="n"/>
      <c r="AH452" s="12" t="n"/>
      <c r="AI452" s="13" t="n"/>
      <c r="AJ452" s="14" t="n"/>
      <c r="AK452" s="12" t="n"/>
      <c r="AL452" s="13" t="n"/>
      <c r="AM452" s="14" t="n"/>
      <c r="AN452" s="12" t="n"/>
      <c r="AO452" s="13" t="n"/>
      <c r="AP452" s="14" t="n"/>
      <c r="AQ452" s="12" t="n"/>
      <c r="AR452" s="13" t="n"/>
      <c r="AS452" s="14" t="n"/>
      <c r="AT452" s="12" t="n"/>
      <c r="AU452" s="13" t="n"/>
      <c r="AV452" s="14" t="n"/>
      <c r="AW452" s="12" t="n"/>
      <c r="AX452" s="13" t="n"/>
      <c r="AY452" s="14" t="n"/>
      <c r="AZ452" s="12" t="n"/>
      <c r="BA452" s="13" t="n"/>
      <c r="BB452" s="14" t="n"/>
      <c r="BC452" s="11">
        <f>IF(O452="","",IF(J452="GST 10%",ROUND(O452*set_GSTRate,2),0))</f>
        <v/>
      </c>
      <c r="BD452" s="11">
        <f>IF(O452="","",O452+BC452)</f>
        <v/>
      </c>
      <c r="BE452" s="15">
        <f>IF(O452="","",COUNTA(S452,V452,Y452,AB452,AE452,AH452,AK452,AN452,AQ452,AT452,AW452,AZ452))</f>
        <v/>
      </c>
      <c r="BF452" s="16">
        <f>IF(COUNT(T452,W452,Z452,AC452,AF452,AI452,AL452,AO452,AR452,AU452,AX452,BA452)=0,"",MAX(T452,W452,Z452,AC452,AF452,AI452,AL452,AO452,AR452,AU452,AX452,BA452))</f>
        <v/>
      </c>
      <c r="BG452" s="10">
        <f>MID(IF(S452="","",", "&amp;S452)&amp;IF(V452="","",", "&amp;V452)&amp;IF(Y452="","",", "&amp;Y452)&amp;IF(AB452="","",", "&amp;AB452)&amp;IF(AE452="","",", "&amp;AE452)&amp;IF(AH452="","",", "&amp;AH452)&amp;IF(AK452="","",", "&amp;AK452)&amp;IF(AN452="","",", "&amp;AN452)&amp;IF(AQ452="","",", "&amp;AQ452)&amp;IF(AT452="","",", "&amp;AT452)&amp;IF(AW452="","",", "&amp;AW452)&amp;IF(AZ452="","",", "&amp;AZ452),3,500)</f>
        <v/>
      </c>
      <c r="BH452" s="12" t="n"/>
      <c r="BI452" s="15">
        <f>IFERROR(MATCH($A452,IF($B452="Onsite",tbl_Onsite[Row ID],IF($B452="Production",tbl_Production[Row ID],tbl_Consulting[Row ID])),0),"")</f>
        <v/>
      </c>
    </row>
    <row r="453">
      <c r="A453" s="10" t="inlineStr">
        <is>
          <t>ONS-0447</t>
        </is>
      </c>
      <c r="B453" s="10" t="inlineStr">
        <is>
          <t>Onsite</t>
        </is>
      </c>
      <c r="C453" s="10">
        <f>IF($BI453="","",IF($B453="Onsite",INDEX(tbl_Onsite[Job Number],$BI453),IF($B453="Production",INDEX(tbl_Production[Job Number],$BI453),INDEX(tbl_Consulting[Job Number],$BI453)))&amp;"")</f>
        <v/>
      </c>
      <c r="D453" s="10">
        <f>IF($BI453="","",IF($B453="Onsite",INDEX(tbl_Onsite[Client],$BI453),IF($B453="Production",INDEX(tbl_Production[Client],$BI453),INDEX(tbl_Consulting[Client],$BI453)))&amp;"")</f>
        <v/>
      </c>
      <c r="E453" s="10">
        <f>IF($C453="","",IF(COUNTIF(lst_Jobs,$C453)&gt;0,"OK","CHECK"))</f>
        <v/>
      </c>
      <c r="F453" s="10">
        <f>IF($C453="","",IFERROR(INDEX(lst_JobName,MATCH($C453,lst_Jobs,0)),""))</f>
        <v/>
      </c>
      <c r="G453" s="10">
        <f>IF($BI453="","",IF($B453="Onsite",INDEX(tbl_Onsite[Job Description],$BI453),IF($B453="Production",INDEX(tbl_Production[Job Description],$BI453),INDEX(tbl_Consulting[Job Description],$BI453)))&amp;"")</f>
        <v/>
      </c>
      <c r="H453" s="10">
        <f>IF($BI453="","",IF($B453="Onsite",INDEX(tbl_Onsite[Cost Centre],$BI453),IF($B453="Production",INDEX(tbl_Production[Cost Centre],$BI453),INDEX(tbl_Consulting[Cost Centre],$BI453)))&amp;"")</f>
        <v/>
      </c>
      <c r="I453" s="10">
        <f>IF($BI453="","",IF($B453="Onsite",INDEX(tbl_Onsite[Invoice Type],$BI453),IF($B453="Production",INDEX(tbl_Production[Invoice Type],$BI453),INDEX(tbl_Consulting[Invoice Type],$BI453)))&amp;"")</f>
        <v/>
      </c>
      <c r="J453" s="10">
        <f>IF($BI453="","",IF($B453="Onsite",INDEX(tbl_Onsite[Tax Code],$BI453),IF($B453="Production",INDEX(tbl_Production[Tax Code],$BI453),INDEX(tbl_Consulting[Tax Code],$BI453)))&amp;"")</f>
        <v/>
      </c>
      <c r="K453" s="10">
        <f>IF(H453="","",IFERROR(INDEX(lst_CCtoGL,MATCH(H453,lst_CCforGL,0)),""))</f>
        <v/>
      </c>
      <c r="L453" s="10">
        <f>IF($BI453="","",IF($B453="Onsite",INDEX(tbl_Onsite[PO / Reference],$BI453),IF($B453="Production",INDEX(tbl_Production[Current RMS No],$BI453),INDEX(tbl_Consulting[Qwilr Quote],$BI453)))&amp;"")</f>
        <v/>
      </c>
      <c r="M453" s="10">
        <f>IF($BI453="","",IF($B453="Onsite",INDEX(tbl_Onsite[Notes],$BI453),IF($B453="Production",INDEX(tbl_Production[Notes],$BI453),INDEX(tbl_Consulting[Notes],$BI453)))&amp;"")</f>
        <v/>
      </c>
      <c r="N453" s="11">
        <f>IF($BI453="","",IF(IF($B453="Onsite",INDEX(tbl_Onsite[Expected Revenue Ex GST],$BI453),IF($B453="Production",INDEX(tbl_Production[Expected Revenue Ex GST],$BI453),INDEX(tbl_Consulting[Expected Revenue Ex GST],$BI453)))="","",IF($B453="Onsite",INDEX(tbl_Onsite[Expected Revenue Ex GST],$BI453),IF($B453="Production",INDEX(tbl_Production[Expected Revenue Ex GST],$BI453),INDEX(tbl_Consulting[Expected Revenue Ex GST],$BI453)))))</f>
        <v/>
      </c>
      <c r="O453" s="11">
        <f>IF(AND($C453="",NOT(COUNTA($S453:$BB453)&gt;0)),"",SUM(U453,X453,AA453,AD453,AG453,AJ453,AM453,AP453,AS453,AV453,AY453,BB453))</f>
        <v/>
      </c>
      <c r="P453" s="11">
        <f>IF(O453="","",N(N453)-O453)</f>
        <v/>
      </c>
      <c r="Q453" s="10">
        <f>IF(O453="","",IF($C453="","Invoice on empty job row",IF(N453="",IF(ROUND(O453,2)=0,"No dept value","Invoiced - no dept value"),IF(ROUND(O453,2)=0,"Not invoiced - to invoice",IF(ROUND(P453,2)=0,"Agrees",IF(P453&gt;0,"Dept higher - to invoice","Xero higher - check dept"))))))</f>
        <v/>
      </c>
      <c r="R453" s="10">
        <f>IF(AND($C453="",NOT(COUNTA($S453:$BB453)&gt;0),$BI453&lt;&gt;""),"",MID(IF($BI453="","; Row ID not found on the department sheet - a row was deleted","")&amp;IF(AND($C453="",COUNTA($S453:$BB453)&gt;0),"; Invoice entered but the department row has no job number","")&amp;IF(E453="CHECK","; Job number not in the Xero job list","")&amp;IF(AND($C453&lt;&gt;"",COUNTIF($C$7:$C$1506,$C453)&gt;1),"; Job number on more than one row","")&amp;IF(AND($C453&lt;&gt;"",H453=""),"; Dept has not set a cost centre","")&amp;IF(AND($C453&lt;&gt;"",J453=""),"; Dept has not set a tax code","")&amp;IF(AND($C453&lt;&gt;"",N453=""),"; Dept has not entered an expected value","")&amp;IF((IF(OR(COUNTA(S453:U453)=0,AND(COUNTA(S453:U453)=3,ISNUMBER(U453))),0,1)+IF(OR(COUNTA(V453:X453)=0,AND(COUNTA(V453:X453)=3,ISNUMBER(X453))),0,1)+IF(OR(COUNTA(Y453:AA453)=0,AND(COUNTA(Y453:AA453)=3,ISNUMBER(AA453))),0,1)+IF(OR(COUNTA(AB453:AD453)=0,AND(COUNTA(AB453:AD453)=3,ISNUMBER(AD453))),0,1)+IF(OR(COUNTA(AE453:AG453)=0,AND(COUNTA(AE453:AG453)=3,ISNUMBER(AG453))),0,1)+IF(OR(COUNTA(AH453:AJ453)=0,AND(COUNTA(AH453:AJ453)=3,ISNUMBER(AJ453))),0,1)+IF(OR(COUNTA(AK453:AM453)=0,AND(COUNTA(AK453:AM453)=3,ISNUMBER(AM453))),0,1)+IF(OR(COUNTA(AN453:AP453)=0,AND(COUNTA(AN453:AP453)=3,ISNUMBER(AP453))),0,1)+IF(OR(COUNTA(AQ453:AS453)=0,AND(COUNTA(AQ453:AS453)=3,ISNUMBER(AS453))),0,1)+IF(OR(COUNTA(AT453:AV453)=0,AND(COUNTA(AT453:AV453)=3,ISNUMBER(AV453))),0,1)+IF(OR(COUNTA(AW453:AY453)=0,AND(COUNTA(AW453:AY453)=3,ISNUMBER(AY453))),0,1)+IF(OR(COUNTA(AZ453:BB453)=0,AND(COUNTA(AZ453:BB453)=3,ISNUMBER(BB453))),0,1))&gt;0,"; An invoice is incomplete (needs No, Date and a number in Ex GST)","")&amp;IF((IF(T453="",0,IFERROR(--(EOMONTH(T453,0)&lt;&gt;S$5),1))+IF(W453="",0,IFERROR(--(EOMONTH(W453,0)&lt;&gt;V$5),1))+IF(Z453="",0,IFERROR(--(EOMONTH(Z453,0)&lt;&gt;Y$5),1))+IF(AC453="",0,IFERROR(--(EOMONTH(AC453,0)&lt;&gt;AB$5),1))+IF(AF453="",0,IFERROR(--(EOMONTH(AF453,0)&lt;&gt;AE$5),1))+IF(AI453="",0,IFERROR(--(EOMONTH(AI453,0)&lt;&gt;AH$5),1))+IF(AL453="",0,IFERROR(--(EOMONTH(AL453,0)&lt;&gt;AK$5),1))+IF(AO453="",0,IFERROR(--(EOMONTH(AO453,0)&lt;&gt;AN$5),1))+IF(AR453="",0,IFERROR(--(EOMONTH(AR453,0)&lt;&gt;AQ$5),1))+IF(AU453="",0,IFERROR(--(EOMONTH(AU453,0)&lt;&gt;AT$5),1))+IF(AX453="",0,IFERROR(--(EOMONTH(AX453,0)&lt;&gt;AW$5),1))+IF(BA453="",0,IFERROR(--(EOMONTH(BA453,0)&lt;&gt;AZ$5),1)))&gt;0,"; An invoice date is not in the month it is typed under",""),3,500))</f>
        <v/>
      </c>
      <c r="S453" s="12" t="n"/>
      <c r="T453" s="13" t="n"/>
      <c r="U453" s="14" t="n"/>
      <c r="V453" s="12" t="n"/>
      <c r="W453" s="13" t="n"/>
      <c r="X453" s="14" t="n"/>
      <c r="Y453" s="12" t="n"/>
      <c r="Z453" s="13" t="n"/>
      <c r="AA453" s="14" t="n"/>
      <c r="AB453" s="12" t="n"/>
      <c r="AC453" s="13" t="n"/>
      <c r="AD453" s="14" t="n"/>
      <c r="AE453" s="12" t="n"/>
      <c r="AF453" s="13" t="n"/>
      <c r="AG453" s="14" t="n"/>
      <c r="AH453" s="12" t="n"/>
      <c r="AI453" s="13" t="n"/>
      <c r="AJ453" s="14" t="n"/>
      <c r="AK453" s="12" t="n"/>
      <c r="AL453" s="13" t="n"/>
      <c r="AM453" s="14" t="n"/>
      <c r="AN453" s="12" t="n"/>
      <c r="AO453" s="13" t="n"/>
      <c r="AP453" s="14" t="n"/>
      <c r="AQ453" s="12" t="n"/>
      <c r="AR453" s="13" t="n"/>
      <c r="AS453" s="14" t="n"/>
      <c r="AT453" s="12" t="n"/>
      <c r="AU453" s="13" t="n"/>
      <c r="AV453" s="14" t="n"/>
      <c r="AW453" s="12" t="n"/>
      <c r="AX453" s="13" t="n"/>
      <c r="AY453" s="14" t="n"/>
      <c r="AZ453" s="12" t="n"/>
      <c r="BA453" s="13" t="n"/>
      <c r="BB453" s="14" t="n"/>
      <c r="BC453" s="11">
        <f>IF(O453="","",IF(J453="GST 10%",ROUND(O453*set_GSTRate,2),0))</f>
        <v/>
      </c>
      <c r="BD453" s="11">
        <f>IF(O453="","",O453+BC453)</f>
        <v/>
      </c>
      <c r="BE453" s="15">
        <f>IF(O453="","",COUNTA(S453,V453,Y453,AB453,AE453,AH453,AK453,AN453,AQ453,AT453,AW453,AZ453))</f>
        <v/>
      </c>
      <c r="BF453" s="16">
        <f>IF(COUNT(T453,W453,Z453,AC453,AF453,AI453,AL453,AO453,AR453,AU453,AX453,BA453)=0,"",MAX(T453,W453,Z453,AC453,AF453,AI453,AL453,AO453,AR453,AU453,AX453,BA453))</f>
        <v/>
      </c>
      <c r="BG453" s="10">
        <f>MID(IF(S453="","",", "&amp;S453)&amp;IF(V453="","",", "&amp;V453)&amp;IF(Y453="","",", "&amp;Y453)&amp;IF(AB453="","",", "&amp;AB453)&amp;IF(AE453="","",", "&amp;AE453)&amp;IF(AH453="","",", "&amp;AH453)&amp;IF(AK453="","",", "&amp;AK453)&amp;IF(AN453="","",", "&amp;AN453)&amp;IF(AQ453="","",", "&amp;AQ453)&amp;IF(AT453="","",", "&amp;AT453)&amp;IF(AW453="","",", "&amp;AW453)&amp;IF(AZ453="","",", "&amp;AZ453),3,500)</f>
        <v/>
      </c>
      <c r="BH453" s="12" t="n"/>
      <c r="BI453" s="15">
        <f>IFERROR(MATCH($A453,IF($B453="Onsite",tbl_Onsite[Row ID],IF($B453="Production",tbl_Production[Row ID],tbl_Consulting[Row ID])),0),"")</f>
        <v/>
      </c>
    </row>
    <row r="454">
      <c r="A454" s="10" t="inlineStr">
        <is>
          <t>ONS-0448</t>
        </is>
      </c>
      <c r="B454" s="10" t="inlineStr">
        <is>
          <t>Onsite</t>
        </is>
      </c>
      <c r="C454" s="10">
        <f>IF($BI454="","",IF($B454="Onsite",INDEX(tbl_Onsite[Job Number],$BI454),IF($B454="Production",INDEX(tbl_Production[Job Number],$BI454),INDEX(tbl_Consulting[Job Number],$BI454)))&amp;"")</f>
        <v/>
      </c>
      <c r="D454" s="10">
        <f>IF($BI454="","",IF($B454="Onsite",INDEX(tbl_Onsite[Client],$BI454),IF($B454="Production",INDEX(tbl_Production[Client],$BI454),INDEX(tbl_Consulting[Client],$BI454)))&amp;"")</f>
        <v/>
      </c>
      <c r="E454" s="10">
        <f>IF($C454="","",IF(COUNTIF(lst_Jobs,$C454)&gt;0,"OK","CHECK"))</f>
        <v/>
      </c>
      <c r="F454" s="10">
        <f>IF($C454="","",IFERROR(INDEX(lst_JobName,MATCH($C454,lst_Jobs,0)),""))</f>
        <v/>
      </c>
      <c r="G454" s="10">
        <f>IF($BI454="","",IF($B454="Onsite",INDEX(tbl_Onsite[Job Description],$BI454),IF($B454="Production",INDEX(tbl_Production[Job Description],$BI454),INDEX(tbl_Consulting[Job Description],$BI454)))&amp;"")</f>
        <v/>
      </c>
      <c r="H454" s="10">
        <f>IF($BI454="","",IF($B454="Onsite",INDEX(tbl_Onsite[Cost Centre],$BI454),IF($B454="Production",INDEX(tbl_Production[Cost Centre],$BI454),INDEX(tbl_Consulting[Cost Centre],$BI454)))&amp;"")</f>
        <v/>
      </c>
      <c r="I454" s="10">
        <f>IF($BI454="","",IF($B454="Onsite",INDEX(tbl_Onsite[Invoice Type],$BI454),IF($B454="Production",INDEX(tbl_Production[Invoice Type],$BI454),INDEX(tbl_Consulting[Invoice Type],$BI454)))&amp;"")</f>
        <v/>
      </c>
      <c r="J454" s="10">
        <f>IF($BI454="","",IF($B454="Onsite",INDEX(tbl_Onsite[Tax Code],$BI454),IF($B454="Production",INDEX(tbl_Production[Tax Code],$BI454),INDEX(tbl_Consulting[Tax Code],$BI454)))&amp;"")</f>
        <v/>
      </c>
      <c r="K454" s="10">
        <f>IF(H454="","",IFERROR(INDEX(lst_CCtoGL,MATCH(H454,lst_CCforGL,0)),""))</f>
        <v/>
      </c>
      <c r="L454" s="10">
        <f>IF($BI454="","",IF($B454="Onsite",INDEX(tbl_Onsite[PO / Reference],$BI454),IF($B454="Production",INDEX(tbl_Production[Current RMS No],$BI454),INDEX(tbl_Consulting[Qwilr Quote],$BI454)))&amp;"")</f>
        <v/>
      </c>
      <c r="M454" s="10">
        <f>IF($BI454="","",IF($B454="Onsite",INDEX(tbl_Onsite[Notes],$BI454),IF($B454="Production",INDEX(tbl_Production[Notes],$BI454),INDEX(tbl_Consulting[Notes],$BI454)))&amp;"")</f>
        <v/>
      </c>
      <c r="N454" s="11">
        <f>IF($BI454="","",IF(IF($B454="Onsite",INDEX(tbl_Onsite[Expected Revenue Ex GST],$BI454),IF($B454="Production",INDEX(tbl_Production[Expected Revenue Ex GST],$BI454),INDEX(tbl_Consulting[Expected Revenue Ex GST],$BI454)))="","",IF($B454="Onsite",INDEX(tbl_Onsite[Expected Revenue Ex GST],$BI454),IF($B454="Production",INDEX(tbl_Production[Expected Revenue Ex GST],$BI454),INDEX(tbl_Consulting[Expected Revenue Ex GST],$BI454)))))</f>
        <v/>
      </c>
      <c r="O454" s="11">
        <f>IF(AND($C454="",NOT(COUNTA($S454:$BB454)&gt;0)),"",SUM(U454,X454,AA454,AD454,AG454,AJ454,AM454,AP454,AS454,AV454,AY454,BB454))</f>
        <v/>
      </c>
      <c r="P454" s="11">
        <f>IF(O454="","",N(N454)-O454)</f>
        <v/>
      </c>
      <c r="Q454" s="10">
        <f>IF(O454="","",IF($C454="","Invoice on empty job row",IF(N454="",IF(ROUND(O454,2)=0,"No dept value","Invoiced - no dept value"),IF(ROUND(O454,2)=0,"Not invoiced - to invoice",IF(ROUND(P454,2)=0,"Agrees",IF(P454&gt;0,"Dept higher - to invoice","Xero higher - check dept"))))))</f>
        <v/>
      </c>
      <c r="R454" s="10">
        <f>IF(AND($C454="",NOT(COUNTA($S454:$BB454)&gt;0),$BI454&lt;&gt;""),"",MID(IF($BI454="","; Row ID not found on the department sheet - a row was deleted","")&amp;IF(AND($C454="",COUNTA($S454:$BB454)&gt;0),"; Invoice entered but the department row has no job number","")&amp;IF(E454="CHECK","; Job number not in the Xero job list","")&amp;IF(AND($C454&lt;&gt;"",COUNTIF($C$7:$C$1506,$C454)&gt;1),"; Job number on more than one row","")&amp;IF(AND($C454&lt;&gt;"",H454=""),"; Dept has not set a cost centre","")&amp;IF(AND($C454&lt;&gt;"",J454=""),"; Dept has not set a tax code","")&amp;IF(AND($C454&lt;&gt;"",N454=""),"; Dept has not entered an expected value","")&amp;IF((IF(OR(COUNTA(S454:U454)=0,AND(COUNTA(S454:U454)=3,ISNUMBER(U454))),0,1)+IF(OR(COUNTA(V454:X454)=0,AND(COUNTA(V454:X454)=3,ISNUMBER(X454))),0,1)+IF(OR(COUNTA(Y454:AA454)=0,AND(COUNTA(Y454:AA454)=3,ISNUMBER(AA454))),0,1)+IF(OR(COUNTA(AB454:AD454)=0,AND(COUNTA(AB454:AD454)=3,ISNUMBER(AD454))),0,1)+IF(OR(COUNTA(AE454:AG454)=0,AND(COUNTA(AE454:AG454)=3,ISNUMBER(AG454))),0,1)+IF(OR(COUNTA(AH454:AJ454)=0,AND(COUNTA(AH454:AJ454)=3,ISNUMBER(AJ454))),0,1)+IF(OR(COUNTA(AK454:AM454)=0,AND(COUNTA(AK454:AM454)=3,ISNUMBER(AM454))),0,1)+IF(OR(COUNTA(AN454:AP454)=0,AND(COUNTA(AN454:AP454)=3,ISNUMBER(AP454))),0,1)+IF(OR(COUNTA(AQ454:AS454)=0,AND(COUNTA(AQ454:AS454)=3,ISNUMBER(AS454))),0,1)+IF(OR(COUNTA(AT454:AV454)=0,AND(COUNTA(AT454:AV454)=3,ISNUMBER(AV454))),0,1)+IF(OR(COUNTA(AW454:AY454)=0,AND(COUNTA(AW454:AY454)=3,ISNUMBER(AY454))),0,1)+IF(OR(COUNTA(AZ454:BB454)=0,AND(COUNTA(AZ454:BB454)=3,ISNUMBER(BB454))),0,1))&gt;0,"; An invoice is incomplete (needs No, Date and a number in Ex GST)","")&amp;IF((IF(T454="",0,IFERROR(--(EOMONTH(T454,0)&lt;&gt;S$5),1))+IF(W454="",0,IFERROR(--(EOMONTH(W454,0)&lt;&gt;V$5),1))+IF(Z454="",0,IFERROR(--(EOMONTH(Z454,0)&lt;&gt;Y$5),1))+IF(AC454="",0,IFERROR(--(EOMONTH(AC454,0)&lt;&gt;AB$5),1))+IF(AF454="",0,IFERROR(--(EOMONTH(AF454,0)&lt;&gt;AE$5),1))+IF(AI454="",0,IFERROR(--(EOMONTH(AI454,0)&lt;&gt;AH$5),1))+IF(AL454="",0,IFERROR(--(EOMONTH(AL454,0)&lt;&gt;AK$5),1))+IF(AO454="",0,IFERROR(--(EOMONTH(AO454,0)&lt;&gt;AN$5),1))+IF(AR454="",0,IFERROR(--(EOMONTH(AR454,0)&lt;&gt;AQ$5),1))+IF(AU454="",0,IFERROR(--(EOMONTH(AU454,0)&lt;&gt;AT$5),1))+IF(AX454="",0,IFERROR(--(EOMONTH(AX454,0)&lt;&gt;AW$5),1))+IF(BA454="",0,IFERROR(--(EOMONTH(BA454,0)&lt;&gt;AZ$5),1)))&gt;0,"; An invoice date is not in the month it is typed under",""),3,500))</f>
        <v/>
      </c>
      <c r="S454" s="12" t="n"/>
      <c r="T454" s="13" t="n"/>
      <c r="U454" s="14" t="n"/>
      <c r="V454" s="12" t="n"/>
      <c r="W454" s="13" t="n"/>
      <c r="X454" s="14" t="n"/>
      <c r="Y454" s="12" t="n"/>
      <c r="Z454" s="13" t="n"/>
      <c r="AA454" s="14" t="n"/>
      <c r="AB454" s="12" t="n"/>
      <c r="AC454" s="13" t="n"/>
      <c r="AD454" s="14" t="n"/>
      <c r="AE454" s="12" t="n"/>
      <c r="AF454" s="13" t="n"/>
      <c r="AG454" s="14" t="n"/>
      <c r="AH454" s="12" t="n"/>
      <c r="AI454" s="13" t="n"/>
      <c r="AJ454" s="14" t="n"/>
      <c r="AK454" s="12" t="n"/>
      <c r="AL454" s="13" t="n"/>
      <c r="AM454" s="14" t="n"/>
      <c r="AN454" s="12" t="n"/>
      <c r="AO454" s="13" t="n"/>
      <c r="AP454" s="14" t="n"/>
      <c r="AQ454" s="12" t="n"/>
      <c r="AR454" s="13" t="n"/>
      <c r="AS454" s="14" t="n"/>
      <c r="AT454" s="12" t="n"/>
      <c r="AU454" s="13" t="n"/>
      <c r="AV454" s="14" t="n"/>
      <c r="AW454" s="12" t="n"/>
      <c r="AX454" s="13" t="n"/>
      <c r="AY454" s="14" t="n"/>
      <c r="AZ454" s="12" t="n"/>
      <c r="BA454" s="13" t="n"/>
      <c r="BB454" s="14" t="n"/>
      <c r="BC454" s="11">
        <f>IF(O454="","",IF(J454="GST 10%",ROUND(O454*set_GSTRate,2),0))</f>
        <v/>
      </c>
      <c r="BD454" s="11">
        <f>IF(O454="","",O454+BC454)</f>
        <v/>
      </c>
      <c r="BE454" s="15">
        <f>IF(O454="","",COUNTA(S454,V454,Y454,AB454,AE454,AH454,AK454,AN454,AQ454,AT454,AW454,AZ454))</f>
        <v/>
      </c>
      <c r="BF454" s="16">
        <f>IF(COUNT(T454,W454,Z454,AC454,AF454,AI454,AL454,AO454,AR454,AU454,AX454,BA454)=0,"",MAX(T454,W454,Z454,AC454,AF454,AI454,AL454,AO454,AR454,AU454,AX454,BA454))</f>
        <v/>
      </c>
      <c r="BG454" s="10">
        <f>MID(IF(S454="","",", "&amp;S454)&amp;IF(V454="","",", "&amp;V454)&amp;IF(Y454="","",", "&amp;Y454)&amp;IF(AB454="","",", "&amp;AB454)&amp;IF(AE454="","",", "&amp;AE454)&amp;IF(AH454="","",", "&amp;AH454)&amp;IF(AK454="","",", "&amp;AK454)&amp;IF(AN454="","",", "&amp;AN454)&amp;IF(AQ454="","",", "&amp;AQ454)&amp;IF(AT454="","",", "&amp;AT454)&amp;IF(AW454="","",", "&amp;AW454)&amp;IF(AZ454="","",", "&amp;AZ454),3,500)</f>
        <v/>
      </c>
      <c r="BH454" s="12" t="n"/>
      <c r="BI454" s="15">
        <f>IFERROR(MATCH($A454,IF($B454="Onsite",tbl_Onsite[Row ID],IF($B454="Production",tbl_Production[Row ID],tbl_Consulting[Row ID])),0),"")</f>
        <v/>
      </c>
    </row>
    <row r="455">
      <c r="A455" s="10" t="inlineStr">
        <is>
          <t>ONS-0449</t>
        </is>
      </c>
      <c r="B455" s="10" t="inlineStr">
        <is>
          <t>Onsite</t>
        </is>
      </c>
      <c r="C455" s="10">
        <f>IF($BI455="","",IF($B455="Onsite",INDEX(tbl_Onsite[Job Number],$BI455),IF($B455="Production",INDEX(tbl_Production[Job Number],$BI455),INDEX(tbl_Consulting[Job Number],$BI455)))&amp;"")</f>
        <v/>
      </c>
      <c r="D455" s="10">
        <f>IF($BI455="","",IF($B455="Onsite",INDEX(tbl_Onsite[Client],$BI455),IF($B455="Production",INDEX(tbl_Production[Client],$BI455),INDEX(tbl_Consulting[Client],$BI455)))&amp;"")</f>
        <v/>
      </c>
      <c r="E455" s="10">
        <f>IF($C455="","",IF(COUNTIF(lst_Jobs,$C455)&gt;0,"OK","CHECK"))</f>
        <v/>
      </c>
      <c r="F455" s="10">
        <f>IF($C455="","",IFERROR(INDEX(lst_JobName,MATCH($C455,lst_Jobs,0)),""))</f>
        <v/>
      </c>
      <c r="G455" s="10">
        <f>IF($BI455="","",IF($B455="Onsite",INDEX(tbl_Onsite[Job Description],$BI455),IF($B455="Production",INDEX(tbl_Production[Job Description],$BI455),INDEX(tbl_Consulting[Job Description],$BI455)))&amp;"")</f>
        <v/>
      </c>
      <c r="H455" s="10">
        <f>IF($BI455="","",IF($B455="Onsite",INDEX(tbl_Onsite[Cost Centre],$BI455),IF($B455="Production",INDEX(tbl_Production[Cost Centre],$BI455),INDEX(tbl_Consulting[Cost Centre],$BI455)))&amp;"")</f>
        <v/>
      </c>
      <c r="I455" s="10">
        <f>IF($BI455="","",IF($B455="Onsite",INDEX(tbl_Onsite[Invoice Type],$BI455),IF($B455="Production",INDEX(tbl_Production[Invoice Type],$BI455),INDEX(tbl_Consulting[Invoice Type],$BI455)))&amp;"")</f>
        <v/>
      </c>
      <c r="J455" s="10">
        <f>IF($BI455="","",IF($B455="Onsite",INDEX(tbl_Onsite[Tax Code],$BI455),IF($B455="Production",INDEX(tbl_Production[Tax Code],$BI455),INDEX(tbl_Consulting[Tax Code],$BI455)))&amp;"")</f>
        <v/>
      </c>
      <c r="K455" s="10">
        <f>IF(H455="","",IFERROR(INDEX(lst_CCtoGL,MATCH(H455,lst_CCforGL,0)),""))</f>
        <v/>
      </c>
      <c r="L455" s="10">
        <f>IF($BI455="","",IF($B455="Onsite",INDEX(tbl_Onsite[PO / Reference],$BI455),IF($B455="Production",INDEX(tbl_Production[Current RMS No],$BI455),INDEX(tbl_Consulting[Qwilr Quote],$BI455)))&amp;"")</f>
        <v/>
      </c>
      <c r="M455" s="10">
        <f>IF($BI455="","",IF($B455="Onsite",INDEX(tbl_Onsite[Notes],$BI455),IF($B455="Production",INDEX(tbl_Production[Notes],$BI455),INDEX(tbl_Consulting[Notes],$BI455)))&amp;"")</f>
        <v/>
      </c>
      <c r="N455" s="11">
        <f>IF($BI455="","",IF(IF($B455="Onsite",INDEX(tbl_Onsite[Expected Revenue Ex GST],$BI455),IF($B455="Production",INDEX(tbl_Production[Expected Revenue Ex GST],$BI455),INDEX(tbl_Consulting[Expected Revenue Ex GST],$BI455)))="","",IF($B455="Onsite",INDEX(tbl_Onsite[Expected Revenue Ex GST],$BI455),IF($B455="Production",INDEX(tbl_Production[Expected Revenue Ex GST],$BI455),INDEX(tbl_Consulting[Expected Revenue Ex GST],$BI455)))))</f>
        <v/>
      </c>
      <c r="O455" s="11">
        <f>IF(AND($C455="",NOT(COUNTA($S455:$BB455)&gt;0)),"",SUM(U455,X455,AA455,AD455,AG455,AJ455,AM455,AP455,AS455,AV455,AY455,BB455))</f>
        <v/>
      </c>
      <c r="P455" s="11">
        <f>IF(O455="","",N(N455)-O455)</f>
        <v/>
      </c>
      <c r="Q455" s="10">
        <f>IF(O455="","",IF($C455="","Invoice on empty job row",IF(N455="",IF(ROUND(O455,2)=0,"No dept value","Invoiced - no dept value"),IF(ROUND(O455,2)=0,"Not invoiced - to invoice",IF(ROUND(P455,2)=0,"Agrees",IF(P455&gt;0,"Dept higher - to invoice","Xero higher - check dept"))))))</f>
        <v/>
      </c>
      <c r="R455" s="10">
        <f>IF(AND($C455="",NOT(COUNTA($S455:$BB455)&gt;0),$BI455&lt;&gt;""),"",MID(IF($BI455="","; Row ID not found on the department sheet - a row was deleted","")&amp;IF(AND($C455="",COUNTA($S455:$BB455)&gt;0),"; Invoice entered but the department row has no job number","")&amp;IF(E455="CHECK","; Job number not in the Xero job list","")&amp;IF(AND($C455&lt;&gt;"",COUNTIF($C$7:$C$1506,$C455)&gt;1),"; Job number on more than one row","")&amp;IF(AND($C455&lt;&gt;"",H455=""),"; Dept has not set a cost centre","")&amp;IF(AND($C455&lt;&gt;"",J455=""),"; Dept has not set a tax code","")&amp;IF(AND($C455&lt;&gt;"",N455=""),"; Dept has not entered an expected value","")&amp;IF((IF(OR(COUNTA(S455:U455)=0,AND(COUNTA(S455:U455)=3,ISNUMBER(U455))),0,1)+IF(OR(COUNTA(V455:X455)=0,AND(COUNTA(V455:X455)=3,ISNUMBER(X455))),0,1)+IF(OR(COUNTA(Y455:AA455)=0,AND(COUNTA(Y455:AA455)=3,ISNUMBER(AA455))),0,1)+IF(OR(COUNTA(AB455:AD455)=0,AND(COUNTA(AB455:AD455)=3,ISNUMBER(AD455))),0,1)+IF(OR(COUNTA(AE455:AG455)=0,AND(COUNTA(AE455:AG455)=3,ISNUMBER(AG455))),0,1)+IF(OR(COUNTA(AH455:AJ455)=0,AND(COUNTA(AH455:AJ455)=3,ISNUMBER(AJ455))),0,1)+IF(OR(COUNTA(AK455:AM455)=0,AND(COUNTA(AK455:AM455)=3,ISNUMBER(AM455))),0,1)+IF(OR(COUNTA(AN455:AP455)=0,AND(COUNTA(AN455:AP455)=3,ISNUMBER(AP455))),0,1)+IF(OR(COUNTA(AQ455:AS455)=0,AND(COUNTA(AQ455:AS455)=3,ISNUMBER(AS455))),0,1)+IF(OR(COUNTA(AT455:AV455)=0,AND(COUNTA(AT455:AV455)=3,ISNUMBER(AV455))),0,1)+IF(OR(COUNTA(AW455:AY455)=0,AND(COUNTA(AW455:AY455)=3,ISNUMBER(AY455))),0,1)+IF(OR(COUNTA(AZ455:BB455)=0,AND(COUNTA(AZ455:BB455)=3,ISNUMBER(BB455))),0,1))&gt;0,"; An invoice is incomplete (needs No, Date and a number in Ex GST)","")&amp;IF((IF(T455="",0,IFERROR(--(EOMONTH(T455,0)&lt;&gt;S$5),1))+IF(W455="",0,IFERROR(--(EOMONTH(W455,0)&lt;&gt;V$5),1))+IF(Z455="",0,IFERROR(--(EOMONTH(Z455,0)&lt;&gt;Y$5),1))+IF(AC455="",0,IFERROR(--(EOMONTH(AC455,0)&lt;&gt;AB$5),1))+IF(AF455="",0,IFERROR(--(EOMONTH(AF455,0)&lt;&gt;AE$5),1))+IF(AI455="",0,IFERROR(--(EOMONTH(AI455,0)&lt;&gt;AH$5),1))+IF(AL455="",0,IFERROR(--(EOMONTH(AL455,0)&lt;&gt;AK$5),1))+IF(AO455="",0,IFERROR(--(EOMONTH(AO455,0)&lt;&gt;AN$5),1))+IF(AR455="",0,IFERROR(--(EOMONTH(AR455,0)&lt;&gt;AQ$5),1))+IF(AU455="",0,IFERROR(--(EOMONTH(AU455,0)&lt;&gt;AT$5),1))+IF(AX455="",0,IFERROR(--(EOMONTH(AX455,0)&lt;&gt;AW$5),1))+IF(BA455="",0,IFERROR(--(EOMONTH(BA455,0)&lt;&gt;AZ$5),1)))&gt;0,"; An invoice date is not in the month it is typed under",""),3,500))</f>
        <v/>
      </c>
      <c r="S455" s="12" t="n"/>
      <c r="T455" s="13" t="n"/>
      <c r="U455" s="14" t="n"/>
      <c r="V455" s="12" t="n"/>
      <c r="W455" s="13" t="n"/>
      <c r="X455" s="14" t="n"/>
      <c r="Y455" s="12" t="n"/>
      <c r="Z455" s="13" t="n"/>
      <c r="AA455" s="14" t="n"/>
      <c r="AB455" s="12" t="n"/>
      <c r="AC455" s="13" t="n"/>
      <c r="AD455" s="14" t="n"/>
      <c r="AE455" s="12" t="n"/>
      <c r="AF455" s="13" t="n"/>
      <c r="AG455" s="14" t="n"/>
      <c r="AH455" s="12" t="n"/>
      <c r="AI455" s="13" t="n"/>
      <c r="AJ455" s="14" t="n"/>
      <c r="AK455" s="12" t="n"/>
      <c r="AL455" s="13" t="n"/>
      <c r="AM455" s="14" t="n"/>
      <c r="AN455" s="12" t="n"/>
      <c r="AO455" s="13" t="n"/>
      <c r="AP455" s="14" t="n"/>
      <c r="AQ455" s="12" t="n"/>
      <c r="AR455" s="13" t="n"/>
      <c r="AS455" s="14" t="n"/>
      <c r="AT455" s="12" t="n"/>
      <c r="AU455" s="13" t="n"/>
      <c r="AV455" s="14" t="n"/>
      <c r="AW455" s="12" t="n"/>
      <c r="AX455" s="13" t="n"/>
      <c r="AY455" s="14" t="n"/>
      <c r="AZ455" s="12" t="n"/>
      <c r="BA455" s="13" t="n"/>
      <c r="BB455" s="14" t="n"/>
      <c r="BC455" s="11">
        <f>IF(O455="","",IF(J455="GST 10%",ROUND(O455*set_GSTRate,2),0))</f>
        <v/>
      </c>
      <c r="BD455" s="11">
        <f>IF(O455="","",O455+BC455)</f>
        <v/>
      </c>
      <c r="BE455" s="15">
        <f>IF(O455="","",COUNTA(S455,V455,Y455,AB455,AE455,AH455,AK455,AN455,AQ455,AT455,AW455,AZ455))</f>
        <v/>
      </c>
      <c r="BF455" s="16">
        <f>IF(COUNT(T455,W455,Z455,AC455,AF455,AI455,AL455,AO455,AR455,AU455,AX455,BA455)=0,"",MAX(T455,W455,Z455,AC455,AF455,AI455,AL455,AO455,AR455,AU455,AX455,BA455))</f>
        <v/>
      </c>
      <c r="BG455" s="10">
        <f>MID(IF(S455="","",", "&amp;S455)&amp;IF(V455="","",", "&amp;V455)&amp;IF(Y455="","",", "&amp;Y455)&amp;IF(AB455="","",", "&amp;AB455)&amp;IF(AE455="","",", "&amp;AE455)&amp;IF(AH455="","",", "&amp;AH455)&amp;IF(AK455="","",", "&amp;AK455)&amp;IF(AN455="","",", "&amp;AN455)&amp;IF(AQ455="","",", "&amp;AQ455)&amp;IF(AT455="","",", "&amp;AT455)&amp;IF(AW455="","",", "&amp;AW455)&amp;IF(AZ455="","",", "&amp;AZ455),3,500)</f>
        <v/>
      </c>
      <c r="BH455" s="12" t="n"/>
      <c r="BI455" s="15">
        <f>IFERROR(MATCH($A455,IF($B455="Onsite",tbl_Onsite[Row ID],IF($B455="Production",tbl_Production[Row ID],tbl_Consulting[Row ID])),0),"")</f>
        <v/>
      </c>
    </row>
    <row r="456">
      <c r="A456" s="10" t="inlineStr">
        <is>
          <t>ONS-0450</t>
        </is>
      </c>
      <c r="B456" s="10" t="inlineStr">
        <is>
          <t>Onsite</t>
        </is>
      </c>
      <c r="C456" s="10">
        <f>IF($BI456="","",IF($B456="Onsite",INDEX(tbl_Onsite[Job Number],$BI456),IF($B456="Production",INDEX(tbl_Production[Job Number],$BI456),INDEX(tbl_Consulting[Job Number],$BI456)))&amp;"")</f>
        <v/>
      </c>
      <c r="D456" s="10">
        <f>IF($BI456="","",IF($B456="Onsite",INDEX(tbl_Onsite[Client],$BI456),IF($B456="Production",INDEX(tbl_Production[Client],$BI456),INDEX(tbl_Consulting[Client],$BI456)))&amp;"")</f>
        <v/>
      </c>
      <c r="E456" s="10">
        <f>IF($C456="","",IF(COUNTIF(lst_Jobs,$C456)&gt;0,"OK","CHECK"))</f>
        <v/>
      </c>
      <c r="F456" s="10">
        <f>IF($C456="","",IFERROR(INDEX(lst_JobName,MATCH($C456,lst_Jobs,0)),""))</f>
        <v/>
      </c>
      <c r="G456" s="10">
        <f>IF($BI456="","",IF($B456="Onsite",INDEX(tbl_Onsite[Job Description],$BI456),IF($B456="Production",INDEX(tbl_Production[Job Description],$BI456),INDEX(tbl_Consulting[Job Description],$BI456)))&amp;"")</f>
        <v/>
      </c>
      <c r="H456" s="10">
        <f>IF($BI456="","",IF($B456="Onsite",INDEX(tbl_Onsite[Cost Centre],$BI456),IF($B456="Production",INDEX(tbl_Production[Cost Centre],$BI456),INDEX(tbl_Consulting[Cost Centre],$BI456)))&amp;"")</f>
        <v/>
      </c>
      <c r="I456" s="10">
        <f>IF($BI456="","",IF($B456="Onsite",INDEX(tbl_Onsite[Invoice Type],$BI456),IF($B456="Production",INDEX(tbl_Production[Invoice Type],$BI456),INDEX(tbl_Consulting[Invoice Type],$BI456)))&amp;"")</f>
        <v/>
      </c>
      <c r="J456" s="10">
        <f>IF($BI456="","",IF($B456="Onsite",INDEX(tbl_Onsite[Tax Code],$BI456),IF($B456="Production",INDEX(tbl_Production[Tax Code],$BI456),INDEX(tbl_Consulting[Tax Code],$BI456)))&amp;"")</f>
        <v/>
      </c>
      <c r="K456" s="10">
        <f>IF(H456="","",IFERROR(INDEX(lst_CCtoGL,MATCH(H456,lst_CCforGL,0)),""))</f>
        <v/>
      </c>
      <c r="L456" s="10">
        <f>IF($BI456="","",IF($B456="Onsite",INDEX(tbl_Onsite[PO / Reference],$BI456),IF($B456="Production",INDEX(tbl_Production[Current RMS No],$BI456),INDEX(tbl_Consulting[Qwilr Quote],$BI456)))&amp;"")</f>
        <v/>
      </c>
      <c r="M456" s="10">
        <f>IF($BI456="","",IF($B456="Onsite",INDEX(tbl_Onsite[Notes],$BI456),IF($B456="Production",INDEX(tbl_Production[Notes],$BI456),INDEX(tbl_Consulting[Notes],$BI456)))&amp;"")</f>
        <v/>
      </c>
      <c r="N456" s="11">
        <f>IF($BI456="","",IF(IF($B456="Onsite",INDEX(tbl_Onsite[Expected Revenue Ex GST],$BI456),IF($B456="Production",INDEX(tbl_Production[Expected Revenue Ex GST],$BI456),INDEX(tbl_Consulting[Expected Revenue Ex GST],$BI456)))="","",IF($B456="Onsite",INDEX(tbl_Onsite[Expected Revenue Ex GST],$BI456),IF($B456="Production",INDEX(tbl_Production[Expected Revenue Ex GST],$BI456),INDEX(tbl_Consulting[Expected Revenue Ex GST],$BI456)))))</f>
        <v/>
      </c>
      <c r="O456" s="11">
        <f>IF(AND($C456="",NOT(COUNTA($S456:$BB456)&gt;0)),"",SUM(U456,X456,AA456,AD456,AG456,AJ456,AM456,AP456,AS456,AV456,AY456,BB456))</f>
        <v/>
      </c>
      <c r="P456" s="11">
        <f>IF(O456="","",N(N456)-O456)</f>
        <v/>
      </c>
      <c r="Q456" s="10">
        <f>IF(O456="","",IF($C456="","Invoice on empty job row",IF(N456="",IF(ROUND(O456,2)=0,"No dept value","Invoiced - no dept value"),IF(ROUND(O456,2)=0,"Not invoiced - to invoice",IF(ROUND(P456,2)=0,"Agrees",IF(P456&gt;0,"Dept higher - to invoice","Xero higher - check dept"))))))</f>
        <v/>
      </c>
      <c r="R456" s="10">
        <f>IF(AND($C456="",NOT(COUNTA($S456:$BB456)&gt;0),$BI456&lt;&gt;""),"",MID(IF($BI456="","; Row ID not found on the department sheet - a row was deleted","")&amp;IF(AND($C456="",COUNTA($S456:$BB456)&gt;0),"; Invoice entered but the department row has no job number","")&amp;IF(E456="CHECK","; Job number not in the Xero job list","")&amp;IF(AND($C456&lt;&gt;"",COUNTIF($C$7:$C$1506,$C456)&gt;1),"; Job number on more than one row","")&amp;IF(AND($C456&lt;&gt;"",H456=""),"; Dept has not set a cost centre","")&amp;IF(AND($C456&lt;&gt;"",J456=""),"; Dept has not set a tax code","")&amp;IF(AND($C456&lt;&gt;"",N456=""),"; Dept has not entered an expected value","")&amp;IF((IF(OR(COUNTA(S456:U456)=0,AND(COUNTA(S456:U456)=3,ISNUMBER(U456))),0,1)+IF(OR(COUNTA(V456:X456)=0,AND(COUNTA(V456:X456)=3,ISNUMBER(X456))),0,1)+IF(OR(COUNTA(Y456:AA456)=0,AND(COUNTA(Y456:AA456)=3,ISNUMBER(AA456))),0,1)+IF(OR(COUNTA(AB456:AD456)=0,AND(COUNTA(AB456:AD456)=3,ISNUMBER(AD456))),0,1)+IF(OR(COUNTA(AE456:AG456)=0,AND(COUNTA(AE456:AG456)=3,ISNUMBER(AG456))),0,1)+IF(OR(COUNTA(AH456:AJ456)=0,AND(COUNTA(AH456:AJ456)=3,ISNUMBER(AJ456))),0,1)+IF(OR(COUNTA(AK456:AM456)=0,AND(COUNTA(AK456:AM456)=3,ISNUMBER(AM456))),0,1)+IF(OR(COUNTA(AN456:AP456)=0,AND(COUNTA(AN456:AP456)=3,ISNUMBER(AP456))),0,1)+IF(OR(COUNTA(AQ456:AS456)=0,AND(COUNTA(AQ456:AS456)=3,ISNUMBER(AS456))),0,1)+IF(OR(COUNTA(AT456:AV456)=0,AND(COUNTA(AT456:AV456)=3,ISNUMBER(AV456))),0,1)+IF(OR(COUNTA(AW456:AY456)=0,AND(COUNTA(AW456:AY456)=3,ISNUMBER(AY456))),0,1)+IF(OR(COUNTA(AZ456:BB456)=0,AND(COUNTA(AZ456:BB456)=3,ISNUMBER(BB456))),0,1))&gt;0,"; An invoice is incomplete (needs No, Date and a number in Ex GST)","")&amp;IF((IF(T456="",0,IFERROR(--(EOMONTH(T456,0)&lt;&gt;S$5),1))+IF(W456="",0,IFERROR(--(EOMONTH(W456,0)&lt;&gt;V$5),1))+IF(Z456="",0,IFERROR(--(EOMONTH(Z456,0)&lt;&gt;Y$5),1))+IF(AC456="",0,IFERROR(--(EOMONTH(AC456,0)&lt;&gt;AB$5),1))+IF(AF456="",0,IFERROR(--(EOMONTH(AF456,0)&lt;&gt;AE$5),1))+IF(AI456="",0,IFERROR(--(EOMONTH(AI456,0)&lt;&gt;AH$5),1))+IF(AL456="",0,IFERROR(--(EOMONTH(AL456,0)&lt;&gt;AK$5),1))+IF(AO456="",0,IFERROR(--(EOMONTH(AO456,0)&lt;&gt;AN$5),1))+IF(AR456="",0,IFERROR(--(EOMONTH(AR456,0)&lt;&gt;AQ$5),1))+IF(AU456="",0,IFERROR(--(EOMONTH(AU456,0)&lt;&gt;AT$5),1))+IF(AX456="",0,IFERROR(--(EOMONTH(AX456,0)&lt;&gt;AW$5),1))+IF(BA456="",0,IFERROR(--(EOMONTH(BA456,0)&lt;&gt;AZ$5),1)))&gt;0,"; An invoice date is not in the month it is typed under",""),3,500))</f>
        <v/>
      </c>
      <c r="S456" s="12" t="n"/>
      <c r="T456" s="13" t="n"/>
      <c r="U456" s="14" t="n"/>
      <c r="V456" s="12" t="n"/>
      <c r="W456" s="13" t="n"/>
      <c r="X456" s="14" t="n"/>
      <c r="Y456" s="12" t="n"/>
      <c r="Z456" s="13" t="n"/>
      <c r="AA456" s="14" t="n"/>
      <c r="AB456" s="12" t="n"/>
      <c r="AC456" s="13" t="n"/>
      <c r="AD456" s="14" t="n"/>
      <c r="AE456" s="12" t="n"/>
      <c r="AF456" s="13" t="n"/>
      <c r="AG456" s="14" t="n"/>
      <c r="AH456" s="12" t="n"/>
      <c r="AI456" s="13" t="n"/>
      <c r="AJ456" s="14" t="n"/>
      <c r="AK456" s="12" t="n"/>
      <c r="AL456" s="13" t="n"/>
      <c r="AM456" s="14" t="n"/>
      <c r="AN456" s="12" t="n"/>
      <c r="AO456" s="13" t="n"/>
      <c r="AP456" s="14" t="n"/>
      <c r="AQ456" s="12" t="n"/>
      <c r="AR456" s="13" t="n"/>
      <c r="AS456" s="14" t="n"/>
      <c r="AT456" s="12" t="n"/>
      <c r="AU456" s="13" t="n"/>
      <c r="AV456" s="14" t="n"/>
      <c r="AW456" s="12" t="n"/>
      <c r="AX456" s="13" t="n"/>
      <c r="AY456" s="14" t="n"/>
      <c r="AZ456" s="12" t="n"/>
      <c r="BA456" s="13" t="n"/>
      <c r="BB456" s="14" t="n"/>
      <c r="BC456" s="11">
        <f>IF(O456="","",IF(J456="GST 10%",ROUND(O456*set_GSTRate,2),0))</f>
        <v/>
      </c>
      <c r="BD456" s="11">
        <f>IF(O456="","",O456+BC456)</f>
        <v/>
      </c>
      <c r="BE456" s="15">
        <f>IF(O456="","",COUNTA(S456,V456,Y456,AB456,AE456,AH456,AK456,AN456,AQ456,AT456,AW456,AZ456))</f>
        <v/>
      </c>
      <c r="BF456" s="16">
        <f>IF(COUNT(T456,W456,Z456,AC456,AF456,AI456,AL456,AO456,AR456,AU456,AX456,BA456)=0,"",MAX(T456,W456,Z456,AC456,AF456,AI456,AL456,AO456,AR456,AU456,AX456,BA456))</f>
        <v/>
      </c>
      <c r="BG456" s="10">
        <f>MID(IF(S456="","",", "&amp;S456)&amp;IF(V456="","",", "&amp;V456)&amp;IF(Y456="","",", "&amp;Y456)&amp;IF(AB456="","",", "&amp;AB456)&amp;IF(AE456="","",", "&amp;AE456)&amp;IF(AH456="","",", "&amp;AH456)&amp;IF(AK456="","",", "&amp;AK456)&amp;IF(AN456="","",", "&amp;AN456)&amp;IF(AQ456="","",", "&amp;AQ456)&amp;IF(AT456="","",", "&amp;AT456)&amp;IF(AW456="","",", "&amp;AW456)&amp;IF(AZ456="","",", "&amp;AZ456),3,500)</f>
        <v/>
      </c>
      <c r="BH456" s="12" t="n"/>
      <c r="BI456" s="15">
        <f>IFERROR(MATCH($A456,IF($B456="Onsite",tbl_Onsite[Row ID],IF($B456="Production",tbl_Production[Row ID],tbl_Consulting[Row ID])),0),"")</f>
        <v/>
      </c>
    </row>
    <row r="457">
      <c r="A457" s="10" t="inlineStr">
        <is>
          <t>ONS-0451</t>
        </is>
      </c>
      <c r="B457" s="10" t="inlineStr">
        <is>
          <t>Onsite</t>
        </is>
      </c>
      <c r="C457" s="10">
        <f>IF($BI457="","",IF($B457="Onsite",INDEX(tbl_Onsite[Job Number],$BI457),IF($B457="Production",INDEX(tbl_Production[Job Number],$BI457),INDEX(tbl_Consulting[Job Number],$BI457)))&amp;"")</f>
        <v/>
      </c>
      <c r="D457" s="10">
        <f>IF($BI457="","",IF($B457="Onsite",INDEX(tbl_Onsite[Client],$BI457),IF($B457="Production",INDEX(tbl_Production[Client],$BI457),INDEX(tbl_Consulting[Client],$BI457)))&amp;"")</f>
        <v/>
      </c>
      <c r="E457" s="10">
        <f>IF($C457="","",IF(COUNTIF(lst_Jobs,$C457)&gt;0,"OK","CHECK"))</f>
        <v/>
      </c>
      <c r="F457" s="10">
        <f>IF($C457="","",IFERROR(INDEX(lst_JobName,MATCH($C457,lst_Jobs,0)),""))</f>
        <v/>
      </c>
      <c r="G457" s="10">
        <f>IF($BI457="","",IF($B457="Onsite",INDEX(tbl_Onsite[Job Description],$BI457),IF($B457="Production",INDEX(tbl_Production[Job Description],$BI457),INDEX(tbl_Consulting[Job Description],$BI457)))&amp;"")</f>
        <v/>
      </c>
      <c r="H457" s="10">
        <f>IF($BI457="","",IF($B457="Onsite",INDEX(tbl_Onsite[Cost Centre],$BI457),IF($B457="Production",INDEX(tbl_Production[Cost Centre],$BI457),INDEX(tbl_Consulting[Cost Centre],$BI457)))&amp;"")</f>
        <v/>
      </c>
      <c r="I457" s="10">
        <f>IF($BI457="","",IF($B457="Onsite",INDEX(tbl_Onsite[Invoice Type],$BI457),IF($B457="Production",INDEX(tbl_Production[Invoice Type],$BI457),INDEX(tbl_Consulting[Invoice Type],$BI457)))&amp;"")</f>
        <v/>
      </c>
      <c r="J457" s="10">
        <f>IF($BI457="","",IF($B457="Onsite",INDEX(tbl_Onsite[Tax Code],$BI457),IF($B457="Production",INDEX(tbl_Production[Tax Code],$BI457),INDEX(tbl_Consulting[Tax Code],$BI457)))&amp;"")</f>
        <v/>
      </c>
      <c r="K457" s="10">
        <f>IF(H457="","",IFERROR(INDEX(lst_CCtoGL,MATCH(H457,lst_CCforGL,0)),""))</f>
        <v/>
      </c>
      <c r="L457" s="10">
        <f>IF($BI457="","",IF($B457="Onsite",INDEX(tbl_Onsite[PO / Reference],$BI457),IF($B457="Production",INDEX(tbl_Production[Current RMS No],$BI457),INDEX(tbl_Consulting[Qwilr Quote],$BI457)))&amp;"")</f>
        <v/>
      </c>
      <c r="M457" s="10">
        <f>IF($BI457="","",IF($B457="Onsite",INDEX(tbl_Onsite[Notes],$BI457),IF($B457="Production",INDEX(tbl_Production[Notes],$BI457),INDEX(tbl_Consulting[Notes],$BI457)))&amp;"")</f>
        <v/>
      </c>
      <c r="N457" s="11">
        <f>IF($BI457="","",IF(IF($B457="Onsite",INDEX(tbl_Onsite[Expected Revenue Ex GST],$BI457),IF($B457="Production",INDEX(tbl_Production[Expected Revenue Ex GST],$BI457),INDEX(tbl_Consulting[Expected Revenue Ex GST],$BI457)))="","",IF($B457="Onsite",INDEX(tbl_Onsite[Expected Revenue Ex GST],$BI457),IF($B457="Production",INDEX(tbl_Production[Expected Revenue Ex GST],$BI457),INDEX(tbl_Consulting[Expected Revenue Ex GST],$BI457)))))</f>
        <v/>
      </c>
      <c r="O457" s="11">
        <f>IF(AND($C457="",NOT(COUNTA($S457:$BB457)&gt;0)),"",SUM(U457,X457,AA457,AD457,AG457,AJ457,AM457,AP457,AS457,AV457,AY457,BB457))</f>
        <v/>
      </c>
      <c r="P457" s="11">
        <f>IF(O457="","",N(N457)-O457)</f>
        <v/>
      </c>
      <c r="Q457" s="10">
        <f>IF(O457="","",IF($C457="","Invoice on empty job row",IF(N457="",IF(ROUND(O457,2)=0,"No dept value","Invoiced - no dept value"),IF(ROUND(O457,2)=0,"Not invoiced - to invoice",IF(ROUND(P457,2)=0,"Agrees",IF(P457&gt;0,"Dept higher - to invoice","Xero higher - check dept"))))))</f>
        <v/>
      </c>
      <c r="R457" s="10">
        <f>IF(AND($C457="",NOT(COUNTA($S457:$BB457)&gt;0),$BI457&lt;&gt;""),"",MID(IF($BI457="","; Row ID not found on the department sheet - a row was deleted","")&amp;IF(AND($C457="",COUNTA($S457:$BB457)&gt;0),"; Invoice entered but the department row has no job number","")&amp;IF(E457="CHECK","; Job number not in the Xero job list","")&amp;IF(AND($C457&lt;&gt;"",COUNTIF($C$7:$C$1506,$C457)&gt;1),"; Job number on more than one row","")&amp;IF(AND($C457&lt;&gt;"",H457=""),"; Dept has not set a cost centre","")&amp;IF(AND($C457&lt;&gt;"",J457=""),"; Dept has not set a tax code","")&amp;IF(AND($C457&lt;&gt;"",N457=""),"; Dept has not entered an expected value","")&amp;IF((IF(OR(COUNTA(S457:U457)=0,AND(COUNTA(S457:U457)=3,ISNUMBER(U457))),0,1)+IF(OR(COUNTA(V457:X457)=0,AND(COUNTA(V457:X457)=3,ISNUMBER(X457))),0,1)+IF(OR(COUNTA(Y457:AA457)=0,AND(COUNTA(Y457:AA457)=3,ISNUMBER(AA457))),0,1)+IF(OR(COUNTA(AB457:AD457)=0,AND(COUNTA(AB457:AD457)=3,ISNUMBER(AD457))),0,1)+IF(OR(COUNTA(AE457:AG457)=0,AND(COUNTA(AE457:AG457)=3,ISNUMBER(AG457))),0,1)+IF(OR(COUNTA(AH457:AJ457)=0,AND(COUNTA(AH457:AJ457)=3,ISNUMBER(AJ457))),0,1)+IF(OR(COUNTA(AK457:AM457)=0,AND(COUNTA(AK457:AM457)=3,ISNUMBER(AM457))),0,1)+IF(OR(COUNTA(AN457:AP457)=0,AND(COUNTA(AN457:AP457)=3,ISNUMBER(AP457))),0,1)+IF(OR(COUNTA(AQ457:AS457)=0,AND(COUNTA(AQ457:AS457)=3,ISNUMBER(AS457))),0,1)+IF(OR(COUNTA(AT457:AV457)=0,AND(COUNTA(AT457:AV457)=3,ISNUMBER(AV457))),0,1)+IF(OR(COUNTA(AW457:AY457)=0,AND(COUNTA(AW457:AY457)=3,ISNUMBER(AY457))),0,1)+IF(OR(COUNTA(AZ457:BB457)=0,AND(COUNTA(AZ457:BB457)=3,ISNUMBER(BB457))),0,1))&gt;0,"; An invoice is incomplete (needs No, Date and a number in Ex GST)","")&amp;IF((IF(T457="",0,IFERROR(--(EOMONTH(T457,0)&lt;&gt;S$5),1))+IF(W457="",0,IFERROR(--(EOMONTH(W457,0)&lt;&gt;V$5),1))+IF(Z457="",0,IFERROR(--(EOMONTH(Z457,0)&lt;&gt;Y$5),1))+IF(AC457="",0,IFERROR(--(EOMONTH(AC457,0)&lt;&gt;AB$5),1))+IF(AF457="",0,IFERROR(--(EOMONTH(AF457,0)&lt;&gt;AE$5),1))+IF(AI457="",0,IFERROR(--(EOMONTH(AI457,0)&lt;&gt;AH$5),1))+IF(AL457="",0,IFERROR(--(EOMONTH(AL457,0)&lt;&gt;AK$5),1))+IF(AO457="",0,IFERROR(--(EOMONTH(AO457,0)&lt;&gt;AN$5),1))+IF(AR457="",0,IFERROR(--(EOMONTH(AR457,0)&lt;&gt;AQ$5),1))+IF(AU457="",0,IFERROR(--(EOMONTH(AU457,0)&lt;&gt;AT$5),1))+IF(AX457="",0,IFERROR(--(EOMONTH(AX457,0)&lt;&gt;AW$5),1))+IF(BA457="",0,IFERROR(--(EOMONTH(BA457,0)&lt;&gt;AZ$5),1)))&gt;0,"; An invoice date is not in the month it is typed under",""),3,500))</f>
        <v/>
      </c>
      <c r="S457" s="12" t="n"/>
      <c r="T457" s="13" t="n"/>
      <c r="U457" s="14" t="n"/>
      <c r="V457" s="12" t="n"/>
      <c r="W457" s="13" t="n"/>
      <c r="X457" s="14" t="n"/>
      <c r="Y457" s="12" t="n"/>
      <c r="Z457" s="13" t="n"/>
      <c r="AA457" s="14" t="n"/>
      <c r="AB457" s="12" t="n"/>
      <c r="AC457" s="13" t="n"/>
      <c r="AD457" s="14" t="n"/>
      <c r="AE457" s="12" t="n"/>
      <c r="AF457" s="13" t="n"/>
      <c r="AG457" s="14" t="n"/>
      <c r="AH457" s="12" t="n"/>
      <c r="AI457" s="13" t="n"/>
      <c r="AJ457" s="14" t="n"/>
      <c r="AK457" s="12" t="n"/>
      <c r="AL457" s="13" t="n"/>
      <c r="AM457" s="14" t="n"/>
      <c r="AN457" s="12" t="n"/>
      <c r="AO457" s="13" t="n"/>
      <c r="AP457" s="14" t="n"/>
      <c r="AQ457" s="12" t="n"/>
      <c r="AR457" s="13" t="n"/>
      <c r="AS457" s="14" t="n"/>
      <c r="AT457" s="12" t="n"/>
      <c r="AU457" s="13" t="n"/>
      <c r="AV457" s="14" t="n"/>
      <c r="AW457" s="12" t="n"/>
      <c r="AX457" s="13" t="n"/>
      <c r="AY457" s="14" t="n"/>
      <c r="AZ457" s="12" t="n"/>
      <c r="BA457" s="13" t="n"/>
      <c r="BB457" s="14" t="n"/>
      <c r="BC457" s="11">
        <f>IF(O457="","",IF(J457="GST 10%",ROUND(O457*set_GSTRate,2),0))</f>
        <v/>
      </c>
      <c r="BD457" s="11">
        <f>IF(O457="","",O457+BC457)</f>
        <v/>
      </c>
      <c r="BE457" s="15">
        <f>IF(O457="","",COUNTA(S457,V457,Y457,AB457,AE457,AH457,AK457,AN457,AQ457,AT457,AW457,AZ457))</f>
        <v/>
      </c>
      <c r="BF457" s="16">
        <f>IF(COUNT(T457,W457,Z457,AC457,AF457,AI457,AL457,AO457,AR457,AU457,AX457,BA457)=0,"",MAX(T457,W457,Z457,AC457,AF457,AI457,AL457,AO457,AR457,AU457,AX457,BA457))</f>
        <v/>
      </c>
      <c r="BG457" s="10">
        <f>MID(IF(S457="","",", "&amp;S457)&amp;IF(V457="","",", "&amp;V457)&amp;IF(Y457="","",", "&amp;Y457)&amp;IF(AB457="","",", "&amp;AB457)&amp;IF(AE457="","",", "&amp;AE457)&amp;IF(AH457="","",", "&amp;AH457)&amp;IF(AK457="","",", "&amp;AK457)&amp;IF(AN457="","",", "&amp;AN457)&amp;IF(AQ457="","",", "&amp;AQ457)&amp;IF(AT457="","",", "&amp;AT457)&amp;IF(AW457="","",", "&amp;AW457)&amp;IF(AZ457="","",", "&amp;AZ457),3,500)</f>
        <v/>
      </c>
      <c r="BH457" s="12" t="n"/>
      <c r="BI457" s="15">
        <f>IFERROR(MATCH($A457,IF($B457="Onsite",tbl_Onsite[Row ID],IF($B457="Production",tbl_Production[Row ID],tbl_Consulting[Row ID])),0),"")</f>
        <v/>
      </c>
    </row>
    <row r="458">
      <c r="A458" s="10" t="inlineStr">
        <is>
          <t>ONS-0452</t>
        </is>
      </c>
      <c r="B458" s="10" t="inlineStr">
        <is>
          <t>Onsite</t>
        </is>
      </c>
      <c r="C458" s="10">
        <f>IF($BI458="","",IF($B458="Onsite",INDEX(tbl_Onsite[Job Number],$BI458),IF($B458="Production",INDEX(tbl_Production[Job Number],$BI458),INDEX(tbl_Consulting[Job Number],$BI458)))&amp;"")</f>
        <v/>
      </c>
      <c r="D458" s="10">
        <f>IF($BI458="","",IF($B458="Onsite",INDEX(tbl_Onsite[Client],$BI458),IF($B458="Production",INDEX(tbl_Production[Client],$BI458),INDEX(tbl_Consulting[Client],$BI458)))&amp;"")</f>
        <v/>
      </c>
      <c r="E458" s="10">
        <f>IF($C458="","",IF(COUNTIF(lst_Jobs,$C458)&gt;0,"OK","CHECK"))</f>
        <v/>
      </c>
      <c r="F458" s="10">
        <f>IF($C458="","",IFERROR(INDEX(lst_JobName,MATCH($C458,lst_Jobs,0)),""))</f>
        <v/>
      </c>
      <c r="G458" s="10">
        <f>IF($BI458="","",IF($B458="Onsite",INDEX(tbl_Onsite[Job Description],$BI458),IF($B458="Production",INDEX(tbl_Production[Job Description],$BI458),INDEX(tbl_Consulting[Job Description],$BI458)))&amp;"")</f>
        <v/>
      </c>
      <c r="H458" s="10">
        <f>IF($BI458="","",IF($B458="Onsite",INDEX(tbl_Onsite[Cost Centre],$BI458),IF($B458="Production",INDEX(tbl_Production[Cost Centre],$BI458),INDEX(tbl_Consulting[Cost Centre],$BI458)))&amp;"")</f>
        <v/>
      </c>
      <c r="I458" s="10">
        <f>IF($BI458="","",IF($B458="Onsite",INDEX(tbl_Onsite[Invoice Type],$BI458),IF($B458="Production",INDEX(tbl_Production[Invoice Type],$BI458),INDEX(tbl_Consulting[Invoice Type],$BI458)))&amp;"")</f>
        <v/>
      </c>
      <c r="J458" s="10">
        <f>IF($BI458="","",IF($B458="Onsite",INDEX(tbl_Onsite[Tax Code],$BI458),IF($B458="Production",INDEX(tbl_Production[Tax Code],$BI458),INDEX(tbl_Consulting[Tax Code],$BI458)))&amp;"")</f>
        <v/>
      </c>
      <c r="K458" s="10">
        <f>IF(H458="","",IFERROR(INDEX(lst_CCtoGL,MATCH(H458,lst_CCforGL,0)),""))</f>
        <v/>
      </c>
      <c r="L458" s="10">
        <f>IF($BI458="","",IF($B458="Onsite",INDEX(tbl_Onsite[PO / Reference],$BI458),IF($B458="Production",INDEX(tbl_Production[Current RMS No],$BI458),INDEX(tbl_Consulting[Qwilr Quote],$BI458)))&amp;"")</f>
        <v/>
      </c>
      <c r="M458" s="10">
        <f>IF($BI458="","",IF($B458="Onsite",INDEX(tbl_Onsite[Notes],$BI458),IF($B458="Production",INDEX(tbl_Production[Notes],$BI458),INDEX(tbl_Consulting[Notes],$BI458)))&amp;"")</f>
        <v/>
      </c>
      <c r="N458" s="11">
        <f>IF($BI458="","",IF(IF($B458="Onsite",INDEX(tbl_Onsite[Expected Revenue Ex GST],$BI458),IF($B458="Production",INDEX(tbl_Production[Expected Revenue Ex GST],$BI458),INDEX(tbl_Consulting[Expected Revenue Ex GST],$BI458)))="","",IF($B458="Onsite",INDEX(tbl_Onsite[Expected Revenue Ex GST],$BI458),IF($B458="Production",INDEX(tbl_Production[Expected Revenue Ex GST],$BI458),INDEX(tbl_Consulting[Expected Revenue Ex GST],$BI458)))))</f>
        <v/>
      </c>
      <c r="O458" s="11">
        <f>IF(AND($C458="",NOT(COUNTA($S458:$BB458)&gt;0)),"",SUM(U458,X458,AA458,AD458,AG458,AJ458,AM458,AP458,AS458,AV458,AY458,BB458))</f>
        <v/>
      </c>
      <c r="P458" s="11">
        <f>IF(O458="","",N(N458)-O458)</f>
        <v/>
      </c>
      <c r="Q458" s="10">
        <f>IF(O458="","",IF($C458="","Invoice on empty job row",IF(N458="",IF(ROUND(O458,2)=0,"No dept value","Invoiced - no dept value"),IF(ROUND(O458,2)=0,"Not invoiced - to invoice",IF(ROUND(P458,2)=0,"Agrees",IF(P458&gt;0,"Dept higher - to invoice","Xero higher - check dept"))))))</f>
        <v/>
      </c>
      <c r="R458" s="10">
        <f>IF(AND($C458="",NOT(COUNTA($S458:$BB458)&gt;0),$BI458&lt;&gt;""),"",MID(IF($BI458="","; Row ID not found on the department sheet - a row was deleted","")&amp;IF(AND($C458="",COUNTA($S458:$BB458)&gt;0),"; Invoice entered but the department row has no job number","")&amp;IF(E458="CHECK","; Job number not in the Xero job list","")&amp;IF(AND($C458&lt;&gt;"",COUNTIF($C$7:$C$1506,$C458)&gt;1),"; Job number on more than one row","")&amp;IF(AND($C458&lt;&gt;"",H458=""),"; Dept has not set a cost centre","")&amp;IF(AND($C458&lt;&gt;"",J458=""),"; Dept has not set a tax code","")&amp;IF(AND($C458&lt;&gt;"",N458=""),"; Dept has not entered an expected value","")&amp;IF((IF(OR(COUNTA(S458:U458)=0,AND(COUNTA(S458:U458)=3,ISNUMBER(U458))),0,1)+IF(OR(COUNTA(V458:X458)=0,AND(COUNTA(V458:X458)=3,ISNUMBER(X458))),0,1)+IF(OR(COUNTA(Y458:AA458)=0,AND(COUNTA(Y458:AA458)=3,ISNUMBER(AA458))),0,1)+IF(OR(COUNTA(AB458:AD458)=0,AND(COUNTA(AB458:AD458)=3,ISNUMBER(AD458))),0,1)+IF(OR(COUNTA(AE458:AG458)=0,AND(COUNTA(AE458:AG458)=3,ISNUMBER(AG458))),0,1)+IF(OR(COUNTA(AH458:AJ458)=0,AND(COUNTA(AH458:AJ458)=3,ISNUMBER(AJ458))),0,1)+IF(OR(COUNTA(AK458:AM458)=0,AND(COUNTA(AK458:AM458)=3,ISNUMBER(AM458))),0,1)+IF(OR(COUNTA(AN458:AP458)=0,AND(COUNTA(AN458:AP458)=3,ISNUMBER(AP458))),0,1)+IF(OR(COUNTA(AQ458:AS458)=0,AND(COUNTA(AQ458:AS458)=3,ISNUMBER(AS458))),0,1)+IF(OR(COUNTA(AT458:AV458)=0,AND(COUNTA(AT458:AV458)=3,ISNUMBER(AV458))),0,1)+IF(OR(COUNTA(AW458:AY458)=0,AND(COUNTA(AW458:AY458)=3,ISNUMBER(AY458))),0,1)+IF(OR(COUNTA(AZ458:BB458)=0,AND(COUNTA(AZ458:BB458)=3,ISNUMBER(BB458))),0,1))&gt;0,"; An invoice is incomplete (needs No, Date and a number in Ex GST)","")&amp;IF((IF(T458="",0,IFERROR(--(EOMONTH(T458,0)&lt;&gt;S$5),1))+IF(W458="",0,IFERROR(--(EOMONTH(W458,0)&lt;&gt;V$5),1))+IF(Z458="",0,IFERROR(--(EOMONTH(Z458,0)&lt;&gt;Y$5),1))+IF(AC458="",0,IFERROR(--(EOMONTH(AC458,0)&lt;&gt;AB$5),1))+IF(AF458="",0,IFERROR(--(EOMONTH(AF458,0)&lt;&gt;AE$5),1))+IF(AI458="",0,IFERROR(--(EOMONTH(AI458,0)&lt;&gt;AH$5),1))+IF(AL458="",0,IFERROR(--(EOMONTH(AL458,0)&lt;&gt;AK$5),1))+IF(AO458="",0,IFERROR(--(EOMONTH(AO458,0)&lt;&gt;AN$5),1))+IF(AR458="",0,IFERROR(--(EOMONTH(AR458,0)&lt;&gt;AQ$5),1))+IF(AU458="",0,IFERROR(--(EOMONTH(AU458,0)&lt;&gt;AT$5),1))+IF(AX458="",0,IFERROR(--(EOMONTH(AX458,0)&lt;&gt;AW$5),1))+IF(BA458="",0,IFERROR(--(EOMONTH(BA458,0)&lt;&gt;AZ$5),1)))&gt;0,"; An invoice date is not in the month it is typed under",""),3,500))</f>
        <v/>
      </c>
      <c r="S458" s="12" t="n"/>
      <c r="T458" s="13" t="n"/>
      <c r="U458" s="14" t="n"/>
      <c r="V458" s="12" t="n"/>
      <c r="W458" s="13" t="n"/>
      <c r="X458" s="14" t="n"/>
      <c r="Y458" s="12" t="n"/>
      <c r="Z458" s="13" t="n"/>
      <c r="AA458" s="14" t="n"/>
      <c r="AB458" s="12" t="n"/>
      <c r="AC458" s="13" t="n"/>
      <c r="AD458" s="14" t="n"/>
      <c r="AE458" s="12" t="n"/>
      <c r="AF458" s="13" t="n"/>
      <c r="AG458" s="14" t="n"/>
      <c r="AH458" s="12" t="n"/>
      <c r="AI458" s="13" t="n"/>
      <c r="AJ458" s="14" t="n"/>
      <c r="AK458" s="12" t="n"/>
      <c r="AL458" s="13" t="n"/>
      <c r="AM458" s="14" t="n"/>
      <c r="AN458" s="12" t="n"/>
      <c r="AO458" s="13" t="n"/>
      <c r="AP458" s="14" t="n"/>
      <c r="AQ458" s="12" t="n"/>
      <c r="AR458" s="13" t="n"/>
      <c r="AS458" s="14" t="n"/>
      <c r="AT458" s="12" t="n"/>
      <c r="AU458" s="13" t="n"/>
      <c r="AV458" s="14" t="n"/>
      <c r="AW458" s="12" t="n"/>
      <c r="AX458" s="13" t="n"/>
      <c r="AY458" s="14" t="n"/>
      <c r="AZ458" s="12" t="n"/>
      <c r="BA458" s="13" t="n"/>
      <c r="BB458" s="14" t="n"/>
      <c r="BC458" s="11">
        <f>IF(O458="","",IF(J458="GST 10%",ROUND(O458*set_GSTRate,2),0))</f>
        <v/>
      </c>
      <c r="BD458" s="11">
        <f>IF(O458="","",O458+BC458)</f>
        <v/>
      </c>
      <c r="BE458" s="15">
        <f>IF(O458="","",COUNTA(S458,V458,Y458,AB458,AE458,AH458,AK458,AN458,AQ458,AT458,AW458,AZ458))</f>
        <v/>
      </c>
      <c r="BF458" s="16">
        <f>IF(COUNT(T458,W458,Z458,AC458,AF458,AI458,AL458,AO458,AR458,AU458,AX458,BA458)=0,"",MAX(T458,W458,Z458,AC458,AF458,AI458,AL458,AO458,AR458,AU458,AX458,BA458))</f>
        <v/>
      </c>
      <c r="BG458" s="10">
        <f>MID(IF(S458="","",", "&amp;S458)&amp;IF(V458="","",", "&amp;V458)&amp;IF(Y458="","",", "&amp;Y458)&amp;IF(AB458="","",", "&amp;AB458)&amp;IF(AE458="","",", "&amp;AE458)&amp;IF(AH458="","",", "&amp;AH458)&amp;IF(AK458="","",", "&amp;AK458)&amp;IF(AN458="","",", "&amp;AN458)&amp;IF(AQ458="","",", "&amp;AQ458)&amp;IF(AT458="","",", "&amp;AT458)&amp;IF(AW458="","",", "&amp;AW458)&amp;IF(AZ458="","",", "&amp;AZ458),3,500)</f>
        <v/>
      </c>
      <c r="BH458" s="12" t="n"/>
      <c r="BI458" s="15">
        <f>IFERROR(MATCH($A458,IF($B458="Onsite",tbl_Onsite[Row ID],IF($B458="Production",tbl_Production[Row ID],tbl_Consulting[Row ID])),0),"")</f>
        <v/>
      </c>
    </row>
    <row r="459">
      <c r="A459" s="10" t="inlineStr">
        <is>
          <t>ONS-0453</t>
        </is>
      </c>
      <c r="B459" s="10" t="inlineStr">
        <is>
          <t>Onsite</t>
        </is>
      </c>
      <c r="C459" s="10">
        <f>IF($BI459="","",IF($B459="Onsite",INDEX(tbl_Onsite[Job Number],$BI459),IF($B459="Production",INDEX(tbl_Production[Job Number],$BI459),INDEX(tbl_Consulting[Job Number],$BI459)))&amp;"")</f>
        <v/>
      </c>
      <c r="D459" s="10">
        <f>IF($BI459="","",IF($B459="Onsite",INDEX(tbl_Onsite[Client],$BI459),IF($B459="Production",INDEX(tbl_Production[Client],$BI459),INDEX(tbl_Consulting[Client],$BI459)))&amp;"")</f>
        <v/>
      </c>
      <c r="E459" s="10">
        <f>IF($C459="","",IF(COUNTIF(lst_Jobs,$C459)&gt;0,"OK","CHECK"))</f>
        <v/>
      </c>
      <c r="F459" s="10">
        <f>IF($C459="","",IFERROR(INDEX(lst_JobName,MATCH($C459,lst_Jobs,0)),""))</f>
        <v/>
      </c>
      <c r="G459" s="10">
        <f>IF($BI459="","",IF($B459="Onsite",INDEX(tbl_Onsite[Job Description],$BI459),IF($B459="Production",INDEX(tbl_Production[Job Description],$BI459),INDEX(tbl_Consulting[Job Description],$BI459)))&amp;"")</f>
        <v/>
      </c>
      <c r="H459" s="10">
        <f>IF($BI459="","",IF($B459="Onsite",INDEX(tbl_Onsite[Cost Centre],$BI459),IF($B459="Production",INDEX(tbl_Production[Cost Centre],$BI459),INDEX(tbl_Consulting[Cost Centre],$BI459)))&amp;"")</f>
        <v/>
      </c>
      <c r="I459" s="10">
        <f>IF($BI459="","",IF($B459="Onsite",INDEX(tbl_Onsite[Invoice Type],$BI459),IF($B459="Production",INDEX(tbl_Production[Invoice Type],$BI459),INDEX(tbl_Consulting[Invoice Type],$BI459)))&amp;"")</f>
        <v/>
      </c>
      <c r="J459" s="10">
        <f>IF($BI459="","",IF($B459="Onsite",INDEX(tbl_Onsite[Tax Code],$BI459),IF($B459="Production",INDEX(tbl_Production[Tax Code],$BI459),INDEX(tbl_Consulting[Tax Code],$BI459)))&amp;"")</f>
        <v/>
      </c>
      <c r="K459" s="10">
        <f>IF(H459="","",IFERROR(INDEX(lst_CCtoGL,MATCH(H459,lst_CCforGL,0)),""))</f>
        <v/>
      </c>
      <c r="L459" s="10">
        <f>IF($BI459="","",IF($B459="Onsite",INDEX(tbl_Onsite[PO / Reference],$BI459),IF($B459="Production",INDEX(tbl_Production[Current RMS No],$BI459),INDEX(tbl_Consulting[Qwilr Quote],$BI459)))&amp;"")</f>
        <v/>
      </c>
      <c r="M459" s="10">
        <f>IF($BI459="","",IF($B459="Onsite",INDEX(tbl_Onsite[Notes],$BI459),IF($B459="Production",INDEX(tbl_Production[Notes],$BI459),INDEX(tbl_Consulting[Notes],$BI459)))&amp;"")</f>
        <v/>
      </c>
      <c r="N459" s="11">
        <f>IF($BI459="","",IF(IF($B459="Onsite",INDEX(tbl_Onsite[Expected Revenue Ex GST],$BI459),IF($B459="Production",INDEX(tbl_Production[Expected Revenue Ex GST],$BI459),INDEX(tbl_Consulting[Expected Revenue Ex GST],$BI459)))="","",IF($B459="Onsite",INDEX(tbl_Onsite[Expected Revenue Ex GST],$BI459),IF($B459="Production",INDEX(tbl_Production[Expected Revenue Ex GST],$BI459),INDEX(tbl_Consulting[Expected Revenue Ex GST],$BI459)))))</f>
        <v/>
      </c>
      <c r="O459" s="11">
        <f>IF(AND($C459="",NOT(COUNTA($S459:$BB459)&gt;0)),"",SUM(U459,X459,AA459,AD459,AG459,AJ459,AM459,AP459,AS459,AV459,AY459,BB459))</f>
        <v/>
      </c>
      <c r="P459" s="11">
        <f>IF(O459="","",N(N459)-O459)</f>
        <v/>
      </c>
      <c r="Q459" s="10">
        <f>IF(O459="","",IF($C459="","Invoice on empty job row",IF(N459="",IF(ROUND(O459,2)=0,"No dept value","Invoiced - no dept value"),IF(ROUND(O459,2)=0,"Not invoiced - to invoice",IF(ROUND(P459,2)=0,"Agrees",IF(P459&gt;0,"Dept higher - to invoice","Xero higher - check dept"))))))</f>
        <v/>
      </c>
      <c r="R459" s="10">
        <f>IF(AND($C459="",NOT(COUNTA($S459:$BB459)&gt;0),$BI459&lt;&gt;""),"",MID(IF($BI459="","; Row ID not found on the department sheet - a row was deleted","")&amp;IF(AND($C459="",COUNTA($S459:$BB459)&gt;0),"; Invoice entered but the department row has no job number","")&amp;IF(E459="CHECK","; Job number not in the Xero job list","")&amp;IF(AND($C459&lt;&gt;"",COUNTIF($C$7:$C$1506,$C459)&gt;1),"; Job number on more than one row","")&amp;IF(AND($C459&lt;&gt;"",H459=""),"; Dept has not set a cost centre","")&amp;IF(AND($C459&lt;&gt;"",J459=""),"; Dept has not set a tax code","")&amp;IF(AND($C459&lt;&gt;"",N459=""),"; Dept has not entered an expected value","")&amp;IF((IF(OR(COUNTA(S459:U459)=0,AND(COUNTA(S459:U459)=3,ISNUMBER(U459))),0,1)+IF(OR(COUNTA(V459:X459)=0,AND(COUNTA(V459:X459)=3,ISNUMBER(X459))),0,1)+IF(OR(COUNTA(Y459:AA459)=0,AND(COUNTA(Y459:AA459)=3,ISNUMBER(AA459))),0,1)+IF(OR(COUNTA(AB459:AD459)=0,AND(COUNTA(AB459:AD459)=3,ISNUMBER(AD459))),0,1)+IF(OR(COUNTA(AE459:AG459)=0,AND(COUNTA(AE459:AG459)=3,ISNUMBER(AG459))),0,1)+IF(OR(COUNTA(AH459:AJ459)=0,AND(COUNTA(AH459:AJ459)=3,ISNUMBER(AJ459))),0,1)+IF(OR(COUNTA(AK459:AM459)=0,AND(COUNTA(AK459:AM459)=3,ISNUMBER(AM459))),0,1)+IF(OR(COUNTA(AN459:AP459)=0,AND(COUNTA(AN459:AP459)=3,ISNUMBER(AP459))),0,1)+IF(OR(COUNTA(AQ459:AS459)=0,AND(COUNTA(AQ459:AS459)=3,ISNUMBER(AS459))),0,1)+IF(OR(COUNTA(AT459:AV459)=0,AND(COUNTA(AT459:AV459)=3,ISNUMBER(AV459))),0,1)+IF(OR(COUNTA(AW459:AY459)=0,AND(COUNTA(AW459:AY459)=3,ISNUMBER(AY459))),0,1)+IF(OR(COUNTA(AZ459:BB459)=0,AND(COUNTA(AZ459:BB459)=3,ISNUMBER(BB459))),0,1))&gt;0,"; An invoice is incomplete (needs No, Date and a number in Ex GST)","")&amp;IF((IF(T459="",0,IFERROR(--(EOMONTH(T459,0)&lt;&gt;S$5),1))+IF(W459="",0,IFERROR(--(EOMONTH(W459,0)&lt;&gt;V$5),1))+IF(Z459="",0,IFERROR(--(EOMONTH(Z459,0)&lt;&gt;Y$5),1))+IF(AC459="",0,IFERROR(--(EOMONTH(AC459,0)&lt;&gt;AB$5),1))+IF(AF459="",0,IFERROR(--(EOMONTH(AF459,0)&lt;&gt;AE$5),1))+IF(AI459="",0,IFERROR(--(EOMONTH(AI459,0)&lt;&gt;AH$5),1))+IF(AL459="",0,IFERROR(--(EOMONTH(AL459,0)&lt;&gt;AK$5),1))+IF(AO459="",0,IFERROR(--(EOMONTH(AO459,0)&lt;&gt;AN$5),1))+IF(AR459="",0,IFERROR(--(EOMONTH(AR459,0)&lt;&gt;AQ$5),1))+IF(AU459="",0,IFERROR(--(EOMONTH(AU459,0)&lt;&gt;AT$5),1))+IF(AX459="",0,IFERROR(--(EOMONTH(AX459,0)&lt;&gt;AW$5),1))+IF(BA459="",0,IFERROR(--(EOMONTH(BA459,0)&lt;&gt;AZ$5),1)))&gt;0,"; An invoice date is not in the month it is typed under",""),3,500))</f>
        <v/>
      </c>
      <c r="S459" s="12" t="n"/>
      <c r="T459" s="13" t="n"/>
      <c r="U459" s="14" t="n"/>
      <c r="V459" s="12" t="n"/>
      <c r="W459" s="13" t="n"/>
      <c r="X459" s="14" t="n"/>
      <c r="Y459" s="12" t="n"/>
      <c r="Z459" s="13" t="n"/>
      <c r="AA459" s="14" t="n"/>
      <c r="AB459" s="12" t="n"/>
      <c r="AC459" s="13" t="n"/>
      <c r="AD459" s="14" t="n"/>
      <c r="AE459" s="12" t="n"/>
      <c r="AF459" s="13" t="n"/>
      <c r="AG459" s="14" t="n"/>
      <c r="AH459" s="12" t="n"/>
      <c r="AI459" s="13" t="n"/>
      <c r="AJ459" s="14" t="n"/>
      <c r="AK459" s="12" t="n"/>
      <c r="AL459" s="13" t="n"/>
      <c r="AM459" s="14" t="n"/>
      <c r="AN459" s="12" t="n"/>
      <c r="AO459" s="13" t="n"/>
      <c r="AP459" s="14" t="n"/>
      <c r="AQ459" s="12" t="n"/>
      <c r="AR459" s="13" t="n"/>
      <c r="AS459" s="14" t="n"/>
      <c r="AT459" s="12" t="n"/>
      <c r="AU459" s="13" t="n"/>
      <c r="AV459" s="14" t="n"/>
      <c r="AW459" s="12" t="n"/>
      <c r="AX459" s="13" t="n"/>
      <c r="AY459" s="14" t="n"/>
      <c r="AZ459" s="12" t="n"/>
      <c r="BA459" s="13" t="n"/>
      <c r="BB459" s="14" t="n"/>
      <c r="BC459" s="11">
        <f>IF(O459="","",IF(J459="GST 10%",ROUND(O459*set_GSTRate,2),0))</f>
        <v/>
      </c>
      <c r="BD459" s="11">
        <f>IF(O459="","",O459+BC459)</f>
        <v/>
      </c>
      <c r="BE459" s="15">
        <f>IF(O459="","",COUNTA(S459,V459,Y459,AB459,AE459,AH459,AK459,AN459,AQ459,AT459,AW459,AZ459))</f>
        <v/>
      </c>
      <c r="BF459" s="16">
        <f>IF(COUNT(T459,W459,Z459,AC459,AF459,AI459,AL459,AO459,AR459,AU459,AX459,BA459)=0,"",MAX(T459,W459,Z459,AC459,AF459,AI459,AL459,AO459,AR459,AU459,AX459,BA459))</f>
        <v/>
      </c>
      <c r="BG459" s="10">
        <f>MID(IF(S459="","",", "&amp;S459)&amp;IF(V459="","",", "&amp;V459)&amp;IF(Y459="","",", "&amp;Y459)&amp;IF(AB459="","",", "&amp;AB459)&amp;IF(AE459="","",", "&amp;AE459)&amp;IF(AH459="","",", "&amp;AH459)&amp;IF(AK459="","",", "&amp;AK459)&amp;IF(AN459="","",", "&amp;AN459)&amp;IF(AQ459="","",", "&amp;AQ459)&amp;IF(AT459="","",", "&amp;AT459)&amp;IF(AW459="","",", "&amp;AW459)&amp;IF(AZ459="","",", "&amp;AZ459),3,500)</f>
        <v/>
      </c>
      <c r="BH459" s="12" t="n"/>
      <c r="BI459" s="15">
        <f>IFERROR(MATCH($A459,IF($B459="Onsite",tbl_Onsite[Row ID],IF($B459="Production",tbl_Production[Row ID],tbl_Consulting[Row ID])),0),"")</f>
        <v/>
      </c>
    </row>
    <row r="460">
      <c r="A460" s="10" t="inlineStr">
        <is>
          <t>ONS-0454</t>
        </is>
      </c>
      <c r="B460" s="10" t="inlineStr">
        <is>
          <t>Onsite</t>
        </is>
      </c>
      <c r="C460" s="10">
        <f>IF($BI460="","",IF($B460="Onsite",INDEX(tbl_Onsite[Job Number],$BI460),IF($B460="Production",INDEX(tbl_Production[Job Number],$BI460),INDEX(tbl_Consulting[Job Number],$BI460)))&amp;"")</f>
        <v/>
      </c>
      <c r="D460" s="10">
        <f>IF($BI460="","",IF($B460="Onsite",INDEX(tbl_Onsite[Client],$BI460),IF($B460="Production",INDEX(tbl_Production[Client],$BI460),INDEX(tbl_Consulting[Client],$BI460)))&amp;"")</f>
        <v/>
      </c>
      <c r="E460" s="10">
        <f>IF($C460="","",IF(COUNTIF(lst_Jobs,$C460)&gt;0,"OK","CHECK"))</f>
        <v/>
      </c>
      <c r="F460" s="10">
        <f>IF($C460="","",IFERROR(INDEX(lst_JobName,MATCH($C460,lst_Jobs,0)),""))</f>
        <v/>
      </c>
      <c r="G460" s="10">
        <f>IF($BI460="","",IF($B460="Onsite",INDEX(tbl_Onsite[Job Description],$BI460),IF($B460="Production",INDEX(tbl_Production[Job Description],$BI460),INDEX(tbl_Consulting[Job Description],$BI460)))&amp;"")</f>
        <v/>
      </c>
      <c r="H460" s="10">
        <f>IF($BI460="","",IF($B460="Onsite",INDEX(tbl_Onsite[Cost Centre],$BI460),IF($B460="Production",INDEX(tbl_Production[Cost Centre],$BI460),INDEX(tbl_Consulting[Cost Centre],$BI460)))&amp;"")</f>
        <v/>
      </c>
      <c r="I460" s="10">
        <f>IF($BI460="","",IF($B460="Onsite",INDEX(tbl_Onsite[Invoice Type],$BI460),IF($B460="Production",INDEX(tbl_Production[Invoice Type],$BI460),INDEX(tbl_Consulting[Invoice Type],$BI460)))&amp;"")</f>
        <v/>
      </c>
      <c r="J460" s="10">
        <f>IF($BI460="","",IF($B460="Onsite",INDEX(tbl_Onsite[Tax Code],$BI460),IF($B460="Production",INDEX(tbl_Production[Tax Code],$BI460),INDEX(tbl_Consulting[Tax Code],$BI460)))&amp;"")</f>
        <v/>
      </c>
      <c r="K460" s="10">
        <f>IF(H460="","",IFERROR(INDEX(lst_CCtoGL,MATCH(H460,lst_CCforGL,0)),""))</f>
        <v/>
      </c>
      <c r="L460" s="10">
        <f>IF($BI460="","",IF($B460="Onsite",INDEX(tbl_Onsite[PO / Reference],$BI460),IF($B460="Production",INDEX(tbl_Production[Current RMS No],$BI460),INDEX(tbl_Consulting[Qwilr Quote],$BI460)))&amp;"")</f>
        <v/>
      </c>
      <c r="M460" s="10">
        <f>IF($BI460="","",IF($B460="Onsite",INDEX(tbl_Onsite[Notes],$BI460),IF($B460="Production",INDEX(tbl_Production[Notes],$BI460),INDEX(tbl_Consulting[Notes],$BI460)))&amp;"")</f>
        <v/>
      </c>
      <c r="N460" s="11">
        <f>IF($BI460="","",IF(IF($B460="Onsite",INDEX(tbl_Onsite[Expected Revenue Ex GST],$BI460),IF($B460="Production",INDEX(tbl_Production[Expected Revenue Ex GST],$BI460),INDEX(tbl_Consulting[Expected Revenue Ex GST],$BI460)))="","",IF($B460="Onsite",INDEX(tbl_Onsite[Expected Revenue Ex GST],$BI460),IF($B460="Production",INDEX(tbl_Production[Expected Revenue Ex GST],$BI460),INDEX(tbl_Consulting[Expected Revenue Ex GST],$BI460)))))</f>
        <v/>
      </c>
      <c r="O460" s="11">
        <f>IF(AND($C460="",NOT(COUNTA($S460:$BB460)&gt;0)),"",SUM(U460,X460,AA460,AD460,AG460,AJ460,AM460,AP460,AS460,AV460,AY460,BB460))</f>
        <v/>
      </c>
      <c r="P460" s="11">
        <f>IF(O460="","",N(N460)-O460)</f>
        <v/>
      </c>
      <c r="Q460" s="10">
        <f>IF(O460="","",IF($C460="","Invoice on empty job row",IF(N460="",IF(ROUND(O460,2)=0,"No dept value","Invoiced - no dept value"),IF(ROUND(O460,2)=0,"Not invoiced - to invoice",IF(ROUND(P460,2)=0,"Agrees",IF(P460&gt;0,"Dept higher - to invoice","Xero higher - check dept"))))))</f>
        <v/>
      </c>
      <c r="R460" s="10">
        <f>IF(AND($C460="",NOT(COUNTA($S460:$BB460)&gt;0),$BI460&lt;&gt;""),"",MID(IF($BI460="","; Row ID not found on the department sheet - a row was deleted","")&amp;IF(AND($C460="",COUNTA($S460:$BB460)&gt;0),"; Invoice entered but the department row has no job number","")&amp;IF(E460="CHECK","; Job number not in the Xero job list","")&amp;IF(AND($C460&lt;&gt;"",COUNTIF($C$7:$C$1506,$C460)&gt;1),"; Job number on more than one row","")&amp;IF(AND($C460&lt;&gt;"",H460=""),"; Dept has not set a cost centre","")&amp;IF(AND($C460&lt;&gt;"",J460=""),"; Dept has not set a tax code","")&amp;IF(AND($C460&lt;&gt;"",N460=""),"; Dept has not entered an expected value","")&amp;IF((IF(OR(COUNTA(S460:U460)=0,AND(COUNTA(S460:U460)=3,ISNUMBER(U460))),0,1)+IF(OR(COUNTA(V460:X460)=0,AND(COUNTA(V460:X460)=3,ISNUMBER(X460))),0,1)+IF(OR(COUNTA(Y460:AA460)=0,AND(COUNTA(Y460:AA460)=3,ISNUMBER(AA460))),0,1)+IF(OR(COUNTA(AB460:AD460)=0,AND(COUNTA(AB460:AD460)=3,ISNUMBER(AD460))),0,1)+IF(OR(COUNTA(AE460:AG460)=0,AND(COUNTA(AE460:AG460)=3,ISNUMBER(AG460))),0,1)+IF(OR(COUNTA(AH460:AJ460)=0,AND(COUNTA(AH460:AJ460)=3,ISNUMBER(AJ460))),0,1)+IF(OR(COUNTA(AK460:AM460)=0,AND(COUNTA(AK460:AM460)=3,ISNUMBER(AM460))),0,1)+IF(OR(COUNTA(AN460:AP460)=0,AND(COUNTA(AN460:AP460)=3,ISNUMBER(AP460))),0,1)+IF(OR(COUNTA(AQ460:AS460)=0,AND(COUNTA(AQ460:AS460)=3,ISNUMBER(AS460))),0,1)+IF(OR(COUNTA(AT460:AV460)=0,AND(COUNTA(AT460:AV460)=3,ISNUMBER(AV460))),0,1)+IF(OR(COUNTA(AW460:AY460)=0,AND(COUNTA(AW460:AY460)=3,ISNUMBER(AY460))),0,1)+IF(OR(COUNTA(AZ460:BB460)=0,AND(COUNTA(AZ460:BB460)=3,ISNUMBER(BB460))),0,1))&gt;0,"; An invoice is incomplete (needs No, Date and a number in Ex GST)","")&amp;IF((IF(T460="",0,IFERROR(--(EOMONTH(T460,0)&lt;&gt;S$5),1))+IF(W460="",0,IFERROR(--(EOMONTH(W460,0)&lt;&gt;V$5),1))+IF(Z460="",0,IFERROR(--(EOMONTH(Z460,0)&lt;&gt;Y$5),1))+IF(AC460="",0,IFERROR(--(EOMONTH(AC460,0)&lt;&gt;AB$5),1))+IF(AF460="",0,IFERROR(--(EOMONTH(AF460,0)&lt;&gt;AE$5),1))+IF(AI460="",0,IFERROR(--(EOMONTH(AI460,0)&lt;&gt;AH$5),1))+IF(AL460="",0,IFERROR(--(EOMONTH(AL460,0)&lt;&gt;AK$5),1))+IF(AO460="",0,IFERROR(--(EOMONTH(AO460,0)&lt;&gt;AN$5),1))+IF(AR460="",0,IFERROR(--(EOMONTH(AR460,0)&lt;&gt;AQ$5),1))+IF(AU460="",0,IFERROR(--(EOMONTH(AU460,0)&lt;&gt;AT$5),1))+IF(AX460="",0,IFERROR(--(EOMONTH(AX460,0)&lt;&gt;AW$5),1))+IF(BA460="",0,IFERROR(--(EOMONTH(BA460,0)&lt;&gt;AZ$5),1)))&gt;0,"; An invoice date is not in the month it is typed under",""),3,500))</f>
        <v/>
      </c>
      <c r="S460" s="12" t="n"/>
      <c r="T460" s="13" t="n"/>
      <c r="U460" s="14" t="n"/>
      <c r="V460" s="12" t="n"/>
      <c r="W460" s="13" t="n"/>
      <c r="X460" s="14" t="n"/>
      <c r="Y460" s="12" t="n"/>
      <c r="Z460" s="13" t="n"/>
      <c r="AA460" s="14" t="n"/>
      <c r="AB460" s="12" t="n"/>
      <c r="AC460" s="13" t="n"/>
      <c r="AD460" s="14" t="n"/>
      <c r="AE460" s="12" t="n"/>
      <c r="AF460" s="13" t="n"/>
      <c r="AG460" s="14" t="n"/>
      <c r="AH460" s="12" t="n"/>
      <c r="AI460" s="13" t="n"/>
      <c r="AJ460" s="14" t="n"/>
      <c r="AK460" s="12" t="n"/>
      <c r="AL460" s="13" t="n"/>
      <c r="AM460" s="14" t="n"/>
      <c r="AN460" s="12" t="n"/>
      <c r="AO460" s="13" t="n"/>
      <c r="AP460" s="14" t="n"/>
      <c r="AQ460" s="12" t="n"/>
      <c r="AR460" s="13" t="n"/>
      <c r="AS460" s="14" t="n"/>
      <c r="AT460" s="12" t="n"/>
      <c r="AU460" s="13" t="n"/>
      <c r="AV460" s="14" t="n"/>
      <c r="AW460" s="12" t="n"/>
      <c r="AX460" s="13" t="n"/>
      <c r="AY460" s="14" t="n"/>
      <c r="AZ460" s="12" t="n"/>
      <c r="BA460" s="13" t="n"/>
      <c r="BB460" s="14" t="n"/>
      <c r="BC460" s="11">
        <f>IF(O460="","",IF(J460="GST 10%",ROUND(O460*set_GSTRate,2),0))</f>
        <v/>
      </c>
      <c r="BD460" s="11">
        <f>IF(O460="","",O460+BC460)</f>
        <v/>
      </c>
      <c r="BE460" s="15">
        <f>IF(O460="","",COUNTA(S460,V460,Y460,AB460,AE460,AH460,AK460,AN460,AQ460,AT460,AW460,AZ460))</f>
        <v/>
      </c>
      <c r="BF460" s="16">
        <f>IF(COUNT(T460,W460,Z460,AC460,AF460,AI460,AL460,AO460,AR460,AU460,AX460,BA460)=0,"",MAX(T460,W460,Z460,AC460,AF460,AI460,AL460,AO460,AR460,AU460,AX460,BA460))</f>
        <v/>
      </c>
      <c r="BG460" s="10">
        <f>MID(IF(S460="","",", "&amp;S460)&amp;IF(V460="","",", "&amp;V460)&amp;IF(Y460="","",", "&amp;Y460)&amp;IF(AB460="","",", "&amp;AB460)&amp;IF(AE460="","",", "&amp;AE460)&amp;IF(AH460="","",", "&amp;AH460)&amp;IF(AK460="","",", "&amp;AK460)&amp;IF(AN460="","",", "&amp;AN460)&amp;IF(AQ460="","",", "&amp;AQ460)&amp;IF(AT460="","",", "&amp;AT460)&amp;IF(AW460="","",", "&amp;AW460)&amp;IF(AZ460="","",", "&amp;AZ460),3,500)</f>
        <v/>
      </c>
      <c r="BH460" s="12" t="n"/>
      <c r="BI460" s="15">
        <f>IFERROR(MATCH($A460,IF($B460="Onsite",tbl_Onsite[Row ID],IF($B460="Production",tbl_Production[Row ID],tbl_Consulting[Row ID])),0),"")</f>
        <v/>
      </c>
    </row>
    <row r="461">
      <c r="A461" s="10" t="inlineStr">
        <is>
          <t>ONS-0455</t>
        </is>
      </c>
      <c r="B461" s="10" t="inlineStr">
        <is>
          <t>Onsite</t>
        </is>
      </c>
      <c r="C461" s="10">
        <f>IF($BI461="","",IF($B461="Onsite",INDEX(tbl_Onsite[Job Number],$BI461),IF($B461="Production",INDEX(tbl_Production[Job Number],$BI461),INDEX(tbl_Consulting[Job Number],$BI461)))&amp;"")</f>
        <v/>
      </c>
      <c r="D461" s="10">
        <f>IF($BI461="","",IF($B461="Onsite",INDEX(tbl_Onsite[Client],$BI461),IF($B461="Production",INDEX(tbl_Production[Client],$BI461),INDEX(tbl_Consulting[Client],$BI461)))&amp;"")</f>
        <v/>
      </c>
      <c r="E461" s="10">
        <f>IF($C461="","",IF(COUNTIF(lst_Jobs,$C461)&gt;0,"OK","CHECK"))</f>
        <v/>
      </c>
      <c r="F461" s="10">
        <f>IF($C461="","",IFERROR(INDEX(lst_JobName,MATCH($C461,lst_Jobs,0)),""))</f>
        <v/>
      </c>
      <c r="G461" s="10">
        <f>IF($BI461="","",IF($B461="Onsite",INDEX(tbl_Onsite[Job Description],$BI461),IF($B461="Production",INDEX(tbl_Production[Job Description],$BI461),INDEX(tbl_Consulting[Job Description],$BI461)))&amp;"")</f>
        <v/>
      </c>
      <c r="H461" s="10">
        <f>IF($BI461="","",IF($B461="Onsite",INDEX(tbl_Onsite[Cost Centre],$BI461),IF($B461="Production",INDEX(tbl_Production[Cost Centre],$BI461),INDEX(tbl_Consulting[Cost Centre],$BI461)))&amp;"")</f>
        <v/>
      </c>
      <c r="I461" s="10">
        <f>IF($BI461="","",IF($B461="Onsite",INDEX(tbl_Onsite[Invoice Type],$BI461),IF($B461="Production",INDEX(tbl_Production[Invoice Type],$BI461),INDEX(tbl_Consulting[Invoice Type],$BI461)))&amp;"")</f>
        <v/>
      </c>
      <c r="J461" s="10">
        <f>IF($BI461="","",IF($B461="Onsite",INDEX(tbl_Onsite[Tax Code],$BI461),IF($B461="Production",INDEX(tbl_Production[Tax Code],$BI461),INDEX(tbl_Consulting[Tax Code],$BI461)))&amp;"")</f>
        <v/>
      </c>
      <c r="K461" s="10">
        <f>IF(H461="","",IFERROR(INDEX(lst_CCtoGL,MATCH(H461,lst_CCforGL,0)),""))</f>
        <v/>
      </c>
      <c r="L461" s="10">
        <f>IF($BI461="","",IF($B461="Onsite",INDEX(tbl_Onsite[PO / Reference],$BI461),IF($B461="Production",INDEX(tbl_Production[Current RMS No],$BI461),INDEX(tbl_Consulting[Qwilr Quote],$BI461)))&amp;"")</f>
        <v/>
      </c>
      <c r="M461" s="10">
        <f>IF($BI461="","",IF($B461="Onsite",INDEX(tbl_Onsite[Notes],$BI461),IF($B461="Production",INDEX(tbl_Production[Notes],$BI461),INDEX(tbl_Consulting[Notes],$BI461)))&amp;"")</f>
        <v/>
      </c>
      <c r="N461" s="11">
        <f>IF($BI461="","",IF(IF($B461="Onsite",INDEX(tbl_Onsite[Expected Revenue Ex GST],$BI461),IF($B461="Production",INDEX(tbl_Production[Expected Revenue Ex GST],$BI461),INDEX(tbl_Consulting[Expected Revenue Ex GST],$BI461)))="","",IF($B461="Onsite",INDEX(tbl_Onsite[Expected Revenue Ex GST],$BI461),IF($B461="Production",INDEX(tbl_Production[Expected Revenue Ex GST],$BI461),INDEX(tbl_Consulting[Expected Revenue Ex GST],$BI461)))))</f>
        <v/>
      </c>
      <c r="O461" s="11">
        <f>IF(AND($C461="",NOT(COUNTA($S461:$BB461)&gt;0)),"",SUM(U461,X461,AA461,AD461,AG461,AJ461,AM461,AP461,AS461,AV461,AY461,BB461))</f>
        <v/>
      </c>
      <c r="P461" s="11">
        <f>IF(O461="","",N(N461)-O461)</f>
        <v/>
      </c>
      <c r="Q461" s="10">
        <f>IF(O461="","",IF($C461="","Invoice on empty job row",IF(N461="",IF(ROUND(O461,2)=0,"No dept value","Invoiced - no dept value"),IF(ROUND(O461,2)=0,"Not invoiced - to invoice",IF(ROUND(P461,2)=0,"Agrees",IF(P461&gt;0,"Dept higher - to invoice","Xero higher - check dept"))))))</f>
        <v/>
      </c>
      <c r="R461" s="10">
        <f>IF(AND($C461="",NOT(COUNTA($S461:$BB461)&gt;0),$BI461&lt;&gt;""),"",MID(IF($BI461="","; Row ID not found on the department sheet - a row was deleted","")&amp;IF(AND($C461="",COUNTA($S461:$BB461)&gt;0),"; Invoice entered but the department row has no job number","")&amp;IF(E461="CHECK","; Job number not in the Xero job list","")&amp;IF(AND($C461&lt;&gt;"",COUNTIF($C$7:$C$1506,$C461)&gt;1),"; Job number on more than one row","")&amp;IF(AND($C461&lt;&gt;"",H461=""),"; Dept has not set a cost centre","")&amp;IF(AND($C461&lt;&gt;"",J461=""),"; Dept has not set a tax code","")&amp;IF(AND($C461&lt;&gt;"",N461=""),"; Dept has not entered an expected value","")&amp;IF((IF(OR(COUNTA(S461:U461)=0,AND(COUNTA(S461:U461)=3,ISNUMBER(U461))),0,1)+IF(OR(COUNTA(V461:X461)=0,AND(COUNTA(V461:X461)=3,ISNUMBER(X461))),0,1)+IF(OR(COUNTA(Y461:AA461)=0,AND(COUNTA(Y461:AA461)=3,ISNUMBER(AA461))),0,1)+IF(OR(COUNTA(AB461:AD461)=0,AND(COUNTA(AB461:AD461)=3,ISNUMBER(AD461))),0,1)+IF(OR(COUNTA(AE461:AG461)=0,AND(COUNTA(AE461:AG461)=3,ISNUMBER(AG461))),0,1)+IF(OR(COUNTA(AH461:AJ461)=0,AND(COUNTA(AH461:AJ461)=3,ISNUMBER(AJ461))),0,1)+IF(OR(COUNTA(AK461:AM461)=0,AND(COUNTA(AK461:AM461)=3,ISNUMBER(AM461))),0,1)+IF(OR(COUNTA(AN461:AP461)=0,AND(COUNTA(AN461:AP461)=3,ISNUMBER(AP461))),0,1)+IF(OR(COUNTA(AQ461:AS461)=0,AND(COUNTA(AQ461:AS461)=3,ISNUMBER(AS461))),0,1)+IF(OR(COUNTA(AT461:AV461)=0,AND(COUNTA(AT461:AV461)=3,ISNUMBER(AV461))),0,1)+IF(OR(COUNTA(AW461:AY461)=0,AND(COUNTA(AW461:AY461)=3,ISNUMBER(AY461))),0,1)+IF(OR(COUNTA(AZ461:BB461)=0,AND(COUNTA(AZ461:BB461)=3,ISNUMBER(BB461))),0,1))&gt;0,"; An invoice is incomplete (needs No, Date and a number in Ex GST)","")&amp;IF((IF(T461="",0,IFERROR(--(EOMONTH(T461,0)&lt;&gt;S$5),1))+IF(W461="",0,IFERROR(--(EOMONTH(W461,0)&lt;&gt;V$5),1))+IF(Z461="",0,IFERROR(--(EOMONTH(Z461,0)&lt;&gt;Y$5),1))+IF(AC461="",0,IFERROR(--(EOMONTH(AC461,0)&lt;&gt;AB$5),1))+IF(AF461="",0,IFERROR(--(EOMONTH(AF461,0)&lt;&gt;AE$5),1))+IF(AI461="",0,IFERROR(--(EOMONTH(AI461,0)&lt;&gt;AH$5),1))+IF(AL461="",0,IFERROR(--(EOMONTH(AL461,0)&lt;&gt;AK$5),1))+IF(AO461="",0,IFERROR(--(EOMONTH(AO461,0)&lt;&gt;AN$5),1))+IF(AR461="",0,IFERROR(--(EOMONTH(AR461,0)&lt;&gt;AQ$5),1))+IF(AU461="",0,IFERROR(--(EOMONTH(AU461,0)&lt;&gt;AT$5),1))+IF(AX461="",0,IFERROR(--(EOMONTH(AX461,0)&lt;&gt;AW$5),1))+IF(BA461="",0,IFERROR(--(EOMONTH(BA461,0)&lt;&gt;AZ$5),1)))&gt;0,"; An invoice date is not in the month it is typed under",""),3,500))</f>
        <v/>
      </c>
      <c r="S461" s="12" t="n"/>
      <c r="T461" s="13" t="n"/>
      <c r="U461" s="14" t="n"/>
      <c r="V461" s="12" t="n"/>
      <c r="W461" s="13" t="n"/>
      <c r="X461" s="14" t="n"/>
      <c r="Y461" s="12" t="n"/>
      <c r="Z461" s="13" t="n"/>
      <c r="AA461" s="14" t="n"/>
      <c r="AB461" s="12" t="n"/>
      <c r="AC461" s="13" t="n"/>
      <c r="AD461" s="14" t="n"/>
      <c r="AE461" s="12" t="n"/>
      <c r="AF461" s="13" t="n"/>
      <c r="AG461" s="14" t="n"/>
      <c r="AH461" s="12" t="n"/>
      <c r="AI461" s="13" t="n"/>
      <c r="AJ461" s="14" t="n"/>
      <c r="AK461" s="12" t="n"/>
      <c r="AL461" s="13" t="n"/>
      <c r="AM461" s="14" t="n"/>
      <c r="AN461" s="12" t="n"/>
      <c r="AO461" s="13" t="n"/>
      <c r="AP461" s="14" t="n"/>
      <c r="AQ461" s="12" t="n"/>
      <c r="AR461" s="13" t="n"/>
      <c r="AS461" s="14" t="n"/>
      <c r="AT461" s="12" t="n"/>
      <c r="AU461" s="13" t="n"/>
      <c r="AV461" s="14" t="n"/>
      <c r="AW461" s="12" t="n"/>
      <c r="AX461" s="13" t="n"/>
      <c r="AY461" s="14" t="n"/>
      <c r="AZ461" s="12" t="n"/>
      <c r="BA461" s="13" t="n"/>
      <c r="BB461" s="14" t="n"/>
      <c r="BC461" s="11">
        <f>IF(O461="","",IF(J461="GST 10%",ROUND(O461*set_GSTRate,2),0))</f>
        <v/>
      </c>
      <c r="BD461" s="11">
        <f>IF(O461="","",O461+BC461)</f>
        <v/>
      </c>
      <c r="BE461" s="15">
        <f>IF(O461="","",COUNTA(S461,V461,Y461,AB461,AE461,AH461,AK461,AN461,AQ461,AT461,AW461,AZ461))</f>
        <v/>
      </c>
      <c r="BF461" s="16">
        <f>IF(COUNT(T461,W461,Z461,AC461,AF461,AI461,AL461,AO461,AR461,AU461,AX461,BA461)=0,"",MAX(T461,W461,Z461,AC461,AF461,AI461,AL461,AO461,AR461,AU461,AX461,BA461))</f>
        <v/>
      </c>
      <c r="BG461" s="10">
        <f>MID(IF(S461="","",", "&amp;S461)&amp;IF(V461="","",", "&amp;V461)&amp;IF(Y461="","",", "&amp;Y461)&amp;IF(AB461="","",", "&amp;AB461)&amp;IF(AE461="","",", "&amp;AE461)&amp;IF(AH461="","",", "&amp;AH461)&amp;IF(AK461="","",", "&amp;AK461)&amp;IF(AN461="","",", "&amp;AN461)&amp;IF(AQ461="","",", "&amp;AQ461)&amp;IF(AT461="","",", "&amp;AT461)&amp;IF(AW461="","",", "&amp;AW461)&amp;IF(AZ461="","",", "&amp;AZ461),3,500)</f>
        <v/>
      </c>
      <c r="BH461" s="12" t="n"/>
      <c r="BI461" s="15">
        <f>IFERROR(MATCH($A461,IF($B461="Onsite",tbl_Onsite[Row ID],IF($B461="Production",tbl_Production[Row ID],tbl_Consulting[Row ID])),0),"")</f>
        <v/>
      </c>
    </row>
    <row r="462">
      <c r="A462" s="10" t="inlineStr">
        <is>
          <t>ONS-0456</t>
        </is>
      </c>
      <c r="B462" s="10" t="inlineStr">
        <is>
          <t>Onsite</t>
        </is>
      </c>
      <c r="C462" s="10">
        <f>IF($BI462="","",IF($B462="Onsite",INDEX(tbl_Onsite[Job Number],$BI462),IF($B462="Production",INDEX(tbl_Production[Job Number],$BI462),INDEX(tbl_Consulting[Job Number],$BI462)))&amp;"")</f>
        <v/>
      </c>
      <c r="D462" s="10">
        <f>IF($BI462="","",IF($B462="Onsite",INDEX(tbl_Onsite[Client],$BI462),IF($B462="Production",INDEX(tbl_Production[Client],$BI462),INDEX(tbl_Consulting[Client],$BI462)))&amp;"")</f>
        <v/>
      </c>
      <c r="E462" s="10">
        <f>IF($C462="","",IF(COUNTIF(lst_Jobs,$C462)&gt;0,"OK","CHECK"))</f>
        <v/>
      </c>
      <c r="F462" s="10">
        <f>IF($C462="","",IFERROR(INDEX(lst_JobName,MATCH($C462,lst_Jobs,0)),""))</f>
        <v/>
      </c>
      <c r="G462" s="10">
        <f>IF($BI462="","",IF($B462="Onsite",INDEX(tbl_Onsite[Job Description],$BI462),IF($B462="Production",INDEX(tbl_Production[Job Description],$BI462),INDEX(tbl_Consulting[Job Description],$BI462)))&amp;"")</f>
        <v/>
      </c>
      <c r="H462" s="10">
        <f>IF($BI462="","",IF($B462="Onsite",INDEX(tbl_Onsite[Cost Centre],$BI462),IF($B462="Production",INDEX(tbl_Production[Cost Centre],$BI462),INDEX(tbl_Consulting[Cost Centre],$BI462)))&amp;"")</f>
        <v/>
      </c>
      <c r="I462" s="10">
        <f>IF($BI462="","",IF($B462="Onsite",INDEX(tbl_Onsite[Invoice Type],$BI462),IF($B462="Production",INDEX(tbl_Production[Invoice Type],$BI462),INDEX(tbl_Consulting[Invoice Type],$BI462)))&amp;"")</f>
        <v/>
      </c>
      <c r="J462" s="10">
        <f>IF($BI462="","",IF($B462="Onsite",INDEX(tbl_Onsite[Tax Code],$BI462),IF($B462="Production",INDEX(tbl_Production[Tax Code],$BI462),INDEX(tbl_Consulting[Tax Code],$BI462)))&amp;"")</f>
        <v/>
      </c>
      <c r="K462" s="10">
        <f>IF(H462="","",IFERROR(INDEX(lst_CCtoGL,MATCH(H462,lst_CCforGL,0)),""))</f>
        <v/>
      </c>
      <c r="L462" s="10">
        <f>IF($BI462="","",IF($B462="Onsite",INDEX(tbl_Onsite[PO / Reference],$BI462),IF($B462="Production",INDEX(tbl_Production[Current RMS No],$BI462),INDEX(tbl_Consulting[Qwilr Quote],$BI462)))&amp;"")</f>
        <v/>
      </c>
      <c r="M462" s="10">
        <f>IF($BI462="","",IF($B462="Onsite",INDEX(tbl_Onsite[Notes],$BI462),IF($B462="Production",INDEX(tbl_Production[Notes],$BI462),INDEX(tbl_Consulting[Notes],$BI462)))&amp;"")</f>
        <v/>
      </c>
      <c r="N462" s="11">
        <f>IF($BI462="","",IF(IF($B462="Onsite",INDEX(tbl_Onsite[Expected Revenue Ex GST],$BI462),IF($B462="Production",INDEX(tbl_Production[Expected Revenue Ex GST],$BI462),INDEX(tbl_Consulting[Expected Revenue Ex GST],$BI462)))="","",IF($B462="Onsite",INDEX(tbl_Onsite[Expected Revenue Ex GST],$BI462),IF($B462="Production",INDEX(tbl_Production[Expected Revenue Ex GST],$BI462),INDEX(tbl_Consulting[Expected Revenue Ex GST],$BI462)))))</f>
        <v/>
      </c>
      <c r="O462" s="11">
        <f>IF(AND($C462="",NOT(COUNTA($S462:$BB462)&gt;0)),"",SUM(U462,X462,AA462,AD462,AG462,AJ462,AM462,AP462,AS462,AV462,AY462,BB462))</f>
        <v/>
      </c>
      <c r="P462" s="11">
        <f>IF(O462="","",N(N462)-O462)</f>
        <v/>
      </c>
      <c r="Q462" s="10">
        <f>IF(O462="","",IF($C462="","Invoice on empty job row",IF(N462="",IF(ROUND(O462,2)=0,"No dept value","Invoiced - no dept value"),IF(ROUND(O462,2)=0,"Not invoiced - to invoice",IF(ROUND(P462,2)=0,"Agrees",IF(P462&gt;0,"Dept higher - to invoice","Xero higher - check dept"))))))</f>
        <v/>
      </c>
      <c r="R462" s="10">
        <f>IF(AND($C462="",NOT(COUNTA($S462:$BB462)&gt;0),$BI462&lt;&gt;""),"",MID(IF($BI462="","; Row ID not found on the department sheet - a row was deleted","")&amp;IF(AND($C462="",COUNTA($S462:$BB462)&gt;0),"; Invoice entered but the department row has no job number","")&amp;IF(E462="CHECK","; Job number not in the Xero job list","")&amp;IF(AND($C462&lt;&gt;"",COUNTIF($C$7:$C$1506,$C462)&gt;1),"; Job number on more than one row","")&amp;IF(AND($C462&lt;&gt;"",H462=""),"; Dept has not set a cost centre","")&amp;IF(AND($C462&lt;&gt;"",J462=""),"; Dept has not set a tax code","")&amp;IF(AND($C462&lt;&gt;"",N462=""),"; Dept has not entered an expected value","")&amp;IF((IF(OR(COUNTA(S462:U462)=0,AND(COUNTA(S462:U462)=3,ISNUMBER(U462))),0,1)+IF(OR(COUNTA(V462:X462)=0,AND(COUNTA(V462:X462)=3,ISNUMBER(X462))),0,1)+IF(OR(COUNTA(Y462:AA462)=0,AND(COUNTA(Y462:AA462)=3,ISNUMBER(AA462))),0,1)+IF(OR(COUNTA(AB462:AD462)=0,AND(COUNTA(AB462:AD462)=3,ISNUMBER(AD462))),0,1)+IF(OR(COUNTA(AE462:AG462)=0,AND(COUNTA(AE462:AG462)=3,ISNUMBER(AG462))),0,1)+IF(OR(COUNTA(AH462:AJ462)=0,AND(COUNTA(AH462:AJ462)=3,ISNUMBER(AJ462))),0,1)+IF(OR(COUNTA(AK462:AM462)=0,AND(COUNTA(AK462:AM462)=3,ISNUMBER(AM462))),0,1)+IF(OR(COUNTA(AN462:AP462)=0,AND(COUNTA(AN462:AP462)=3,ISNUMBER(AP462))),0,1)+IF(OR(COUNTA(AQ462:AS462)=0,AND(COUNTA(AQ462:AS462)=3,ISNUMBER(AS462))),0,1)+IF(OR(COUNTA(AT462:AV462)=0,AND(COUNTA(AT462:AV462)=3,ISNUMBER(AV462))),0,1)+IF(OR(COUNTA(AW462:AY462)=0,AND(COUNTA(AW462:AY462)=3,ISNUMBER(AY462))),0,1)+IF(OR(COUNTA(AZ462:BB462)=0,AND(COUNTA(AZ462:BB462)=3,ISNUMBER(BB462))),0,1))&gt;0,"; An invoice is incomplete (needs No, Date and a number in Ex GST)","")&amp;IF((IF(T462="",0,IFERROR(--(EOMONTH(T462,0)&lt;&gt;S$5),1))+IF(W462="",0,IFERROR(--(EOMONTH(W462,0)&lt;&gt;V$5),1))+IF(Z462="",0,IFERROR(--(EOMONTH(Z462,0)&lt;&gt;Y$5),1))+IF(AC462="",0,IFERROR(--(EOMONTH(AC462,0)&lt;&gt;AB$5),1))+IF(AF462="",0,IFERROR(--(EOMONTH(AF462,0)&lt;&gt;AE$5),1))+IF(AI462="",0,IFERROR(--(EOMONTH(AI462,0)&lt;&gt;AH$5),1))+IF(AL462="",0,IFERROR(--(EOMONTH(AL462,0)&lt;&gt;AK$5),1))+IF(AO462="",0,IFERROR(--(EOMONTH(AO462,0)&lt;&gt;AN$5),1))+IF(AR462="",0,IFERROR(--(EOMONTH(AR462,0)&lt;&gt;AQ$5),1))+IF(AU462="",0,IFERROR(--(EOMONTH(AU462,0)&lt;&gt;AT$5),1))+IF(AX462="",0,IFERROR(--(EOMONTH(AX462,0)&lt;&gt;AW$5),1))+IF(BA462="",0,IFERROR(--(EOMONTH(BA462,0)&lt;&gt;AZ$5),1)))&gt;0,"; An invoice date is not in the month it is typed under",""),3,500))</f>
        <v/>
      </c>
      <c r="S462" s="12" t="n"/>
      <c r="T462" s="13" t="n"/>
      <c r="U462" s="14" t="n"/>
      <c r="V462" s="12" t="n"/>
      <c r="W462" s="13" t="n"/>
      <c r="X462" s="14" t="n"/>
      <c r="Y462" s="12" t="n"/>
      <c r="Z462" s="13" t="n"/>
      <c r="AA462" s="14" t="n"/>
      <c r="AB462" s="12" t="n"/>
      <c r="AC462" s="13" t="n"/>
      <c r="AD462" s="14" t="n"/>
      <c r="AE462" s="12" t="n"/>
      <c r="AF462" s="13" t="n"/>
      <c r="AG462" s="14" t="n"/>
      <c r="AH462" s="12" t="n"/>
      <c r="AI462" s="13" t="n"/>
      <c r="AJ462" s="14" t="n"/>
      <c r="AK462" s="12" t="n"/>
      <c r="AL462" s="13" t="n"/>
      <c r="AM462" s="14" t="n"/>
      <c r="AN462" s="12" t="n"/>
      <c r="AO462" s="13" t="n"/>
      <c r="AP462" s="14" t="n"/>
      <c r="AQ462" s="12" t="n"/>
      <c r="AR462" s="13" t="n"/>
      <c r="AS462" s="14" t="n"/>
      <c r="AT462" s="12" t="n"/>
      <c r="AU462" s="13" t="n"/>
      <c r="AV462" s="14" t="n"/>
      <c r="AW462" s="12" t="n"/>
      <c r="AX462" s="13" t="n"/>
      <c r="AY462" s="14" t="n"/>
      <c r="AZ462" s="12" t="n"/>
      <c r="BA462" s="13" t="n"/>
      <c r="BB462" s="14" t="n"/>
      <c r="BC462" s="11">
        <f>IF(O462="","",IF(J462="GST 10%",ROUND(O462*set_GSTRate,2),0))</f>
        <v/>
      </c>
      <c r="BD462" s="11">
        <f>IF(O462="","",O462+BC462)</f>
        <v/>
      </c>
      <c r="BE462" s="15">
        <f>IF(O462="","",COUNTA(S462,V462,Y462,AB462,AE462,AH462,AK462,AN462,AQ462,AT462,AW462,AZ462))</f>
        <v/>
      </c>
      <c r="BF462" s="16">
        <f>IF(COUNT(T462,W462,Z462,AC462,AF462,AI462,AL462,AO462,AR462,AU462,AX462,BA462)=0,"",MAX(T462,W462,Z462,AC462,AF462,AI462,AL462,AO462,AR462,AU462,AX462,BA462))</f>
        <v/>
      </c>
      <c r="BG462" s="10">
        <f>MID(IF(S462="","",", "&amp;S462)&amp;IF(V462="","",", "&amp;V462)&amp;IF(Y462="","",", "&amp;Y462)&amp;IF(AB462="","",", "&amp;AB462)&amp;IF(AE462="","",", "&amp;AE462)&amp;IF(AH462="","",", "&amp;AH462)&amp;IF(AK462="","",", "&amp;AK462)&amp;IF(AN462="","",", "&amp;AN462)&amp;IF(AQ462="","",", "&amp;AQ462)&amp;IF(AT462="","",", "&amp;AT462)&amp;IF(AW462="","",", "&amp;AW462)&amp;IF(AZ462="","",", "&amp;AZ462),3,500)</f>
        <v/>
      </c>
      <c r="BH462" s="12" t="n"/>
      <c r="BI462" s="15">
        <f>IFERROR(MATCH($A462,IF($B462="Onsite",tbl_Onsite[Row ID],IF($B462="Production",tbl_Production[Row ID],tbl_Consulting[Row ID])),0),"")</f>
        <v/>
      </c>
    </row>
    <row r="463">
      <c r="A463" s="10" t="inlineStr">
        <is>
          <t>ONS-0457</t>
        </is>
      </c>
      <c r="B463" s="10" t="inlineStr">
        <is>
          <t>Onsite</t>
        </is>
      </c>
      <c r="C463" s="10">
        <f>IF($BI463="","",IF($B463="Onsite",INDEX(tbl_Onsite[Job Number],$BI463),IF($B463="Production",INDEX(tbl_Production[Job Number],$BI463),INDEX(tbl_Consulting[Job Number],$BI463)))&amp;"")</f>
        <v/>
      </c>
      <c r="D463" s="10">
        <f>IF($BI463="","",IF($B463="Onsite",INDEX(tbl_Onsite[Client],$BI463),IF($B463="Production",INDEX(tbl_Production[Client],$BI463),INDEX(tbl_Consulting[Client],$BI463)))&amp;"")</f>
        <v/>
      </c>
      <c r="E463" s="10">
        <f>IF($C463="","",IF(COUNTIF(lst_Jobs,$C463)&gt;0,"OK","CHECK"))</f>
        <v/>
      </c>
      <c r="F463" s="10">
        <f>IF($C463="","",IFERROR(INDEX(lst_JobName,MATCH($C463,lst_Jobs,0)),""))</f>
        <v/>
      </c>
      <c r="G463" s="10">
        <f>IF($BI463="","",IF($B463="Onsite",INDEX(tbl_Onsite[Job Description],$BI463),IF($B463="Production",INDEX(tbl_Production[Job Description],$BI463),INDEX(tbl_Consulting[Job Description],$BI463)))&amp;"")</f>
        <v/>
      </c>
      <c r="H463" s="10">
        <f>IF($BI463="","",IF($B463="Onsite",INDEX(tbl_Onsite[Cost Centre],$BI463),IF($B463="Production",INDEX(tbl_Production[Cost Centre],$BI463),INDEX(tbl_Consulting[Cost Centre],$BI463)))&amp;"")</f>
        <v/>
      </c>
      <c r="I463" s="10">
        <f>IF($BI463="","",IF($B463="Onsite",INDEX(tbl_Onsite[Invoice Type],$BI463),IF($B463="Production",INDEX(tbl_Production[Invoice Type],$BI463),INDEX(tbl_Consulting[Invoice Type],$BI463)))&amp;"")</f>
        <v/>
      </c>
      <c r="J463" s="10">
        <f>IF($BI463="","",IF($B463="Onsite",INDEX(tbl_Onsite[Tax Code],$BI463),IF($B463="Production",INDEX(tbl_Production[Tax Code],$BI463),INDEX(tbl_Consulting[Tax Code],$BI463)))&amp;"")</f>
        <v/>
      </c>
      <c r="K463" s="10">
        <f>IF(H463="","",IFERROR(INDEX(lst_CCtoGL,MATCH(H463,lst_CCforGL,0)),""))</f>
        <v/>
      </c>
      <c r="L463" s="10">
        <f>IF($BI463="","",IF($B463="Onsite",INDEX(tbl_Onsite[PO / Reference],$BI463),IF($B463="Production",INDEX(tbl_Production[Current RMS No],$BI463),INDEX(tbl_Consulting[Qwilr Quote],$BI463)))&amp;"")</f>
        <v/>
      </c>
      <c r="M463" s="10">
        <f>IF($BI463="","",IF($B463="Onsite",INDEX(tbl_Onsite[Notes],$BI463),IF($B463="Production",INDEX(tbl_Production[Notes],$BI463),INDEX(tbl_Consulting[Notes],$BI463)))&amp;"")</f>
        <v/>
      </c>
      <c r="N463" s="11">
        <f>IF($BI463="","",IF(IF($B463="Onsite",INDEX(tbl_Onsite[Expected Revenue Ex GST],$BI463),IF($B463="Production",INDEX(tbl_Production[Expected Revenue Ex GST],$BI463),INDEX(tbl_Consulting[Expected Revenue Ex GST],$BI463)))="","",IF($B463="Onsite",INDEX(tbl_Onsite[Expected Revenue Ex GST],$BI463),IF($B463="Production",INDEX(tbl_Production[Expected Revenue Ex GST],$BI463),INDEX(tbl_Consulting[Expected Revenue Ex GST],$BI463)))))</f>
        <v/>
      </c>
      <c r="O463" s="11">
        <f>IF(AND($C463="",NOT(COUNTA($S463:$BB463)&gt;0)),"",SUM(U463,X463,AA463,AD463,AG463,AJ463,AM463,AP463,AS463,AV463,AY463,BB463))</f>
        <v/>
      </c>
      <c r="P463" s="11">
        <f>IF(O463="","",N(N463)-O463)</f>
        <v/>
      </c>
      <c r="Q463" s="10">
        <f>IF(O463="","",IF($C463="","Invoice on empty job row",IF(N463="",IF(ROUND(O463,2)=0,"No dept value","Invoiced - no dept value"),IF(ROUND(O463,2)=0,"Not invoiced - to invoice",IF(ROUND(P463,2)=0,"Agrees",IF(P463&gt;0,"Dept higher - to invoice","Xero higher - check dept"))))))</f>
        <v/>
      </c>
      <c r="R463" s="10">
        <f>IF(AND($C463="",NOT(COUNTA($S463:$BB463)&gt;0),$BI463&lt;&gt;""),"",MID(IF($BI463="","; Row ID not found on the department sheet - a row was deleted","")&amp;IF(AND($C463="",COUNTA($S463:$BB463)&gt;0),"; Invoice entered but the department row has no job number","")&amp;IF(E463="CHECK","; Job number not in the Xero job list","")&amp;IF(AND($C463&lt;&gt;"",COUNTIF($C$7:$C$1506,$C463)&gt;1),"; Job number on more than one row","")&amp;IF(AND($C463&lt;&gt;"",H463=""),"; Dept has not set a cost centre","")&amp;IF(AND($C463&lt;&gt;"",J463=""),"; Dept has not set a tax code","")&amp;IF(AND($C463&lt;&gt;"",N463=""),"; Dept has not entered an expected value","")&amp;IF((IF(OR(COUNTA(S463:U463)=0,AND(COUNTA(S463:U463)=3,ISNUMBER(U463))),0,1)+IF(OR(COUNTA(V463:X463)=0,AND(COUNTA(V463:X463)=3,ISNUMBER(X463))),0,1)+IF(OR(COUNTA(Y463:AA463)=0,AND(COUNTA(Y463:AA463)=3,ISNUMBER(AA463))),0,1)+IF(OR(COUNTA(AB463:AD463)=0,AND(COUNTA(AB463:AD463)=3,ISNUMBER(AD463))),0,1)+IF(OR(COUNTA(AE463:AG463)=0,AND(COUNTA(AE463:AG463)=3,ISNUMBER(AG463))),0,1)+IF(OR(COUNTA(AH463:AJ463)=0,AND(COUNTA(AH463:AJ463)=3,ISNUMBER(AJ463))),0,1)+IF(OR(COUNTA(AK463:AM463)=0,AND(COUNTA(AK463:AM463)=3,ISNUMBER(AM463))),0,1)+IF(OR(COUNTA(AN463:AP463)=0,AND(COUNTA(AN463:AP463)=3,ISNUMBER(AP463))),0,1)+IF(OR(COUNTA(AQ463:AS463)=0,AND(COUNTA(AQ463:AS463)=3,ISNUMBER(AS463))),0,1)+IF(OR(COUNTA(AT463:AV463)=0,AND(COUNTA(AT463:AV463)=3,ISNUMBER(AV463))),0,1)+IF(OR(COUNTA(AW463:AY463)=0,AND(COUNTA(AW463:AY463)=3,ISNUMBER(AY463))),0,1)+IF(OR(COUNTA(AZ463:BB463)=0,AND(COUNTA(AZ463:BB463)=3,ISNUMBER(BB463))),0,1))&gt;0,"; An invoice is incomplete (needs No, Date and a number in Ex GST)","")&amp;IF((IF(T463="",0,IFERROR(--(EOMONTH(T463,0)&lt;&gt;S$5),1))+IF(W463="",0,IFERROR(--(EOMONTH(W463,0)&lt;&gt;V$5),1))+IF(Z463="",0,IFERROR(--(EOMONTH(Z463,0)&lt;&gt;Y$5),1))+IF(AC463="",0,IFERROR(--(EOMONTH(AC463,0)&lt;&gt;AB$5),1))+IF(AF463="",0,IFERROR(--(EOMONTH(AF463,0)&lt;&gt;AE$5),1))+IF(AI463="",0,IFERROR(--(EOMONTH(AI463,0)&lt;&gt;AH$5),1))+IF(AL463="",0,IFERROR(--(EOMONTH(AL463,0)&lt;&gt;AK$5),1))+IF(AO463="",0,IFERROR(--(EOMONTH(AO463,0)&lt;&gt;AN$5),1))+IF(AR463="",0,IFERROR(--(EOMONTH(AR463,0)&lt;&gt;AQ$5),1))+IF(AU463="",0,IFERROR(--(EOMONTH(AU463,0)&lt;&gt;AT$5),1))+IF(AX463="",0,IFERROR(--(EOMONTH(AX463,0)&lt;&gt;AW$5),1))+IF(BA463="",0,IFERROR(--(EOMONTH(BA463,0)&lt;&gt;AZ$5),1)))&gt;0,"; An invoice date is not in the month it is typed under",""),3,500))</f>
        <v/>
      </c>
      <c r="S463" s="12" t="n"/>
      <c r="T463" s="13" t="n"/>
      <c r="U463" s="14" t="n"/>
      <c r="V463" s="12" t="n"/>
      <c r="W463" s="13" t="n"/>
      <c r="X463" s="14" t="n"/>
      <c r="Y463" s="12" t="n"/>
      <c r="Z463" s="13" t="n"/>
      <c r="AA463" s="14" t="n"/>
      <c r="AB463" s="12" t="n"/>
      <c r="AC463" s="13" t="n"/>
      <c r="AD463" s="14" t="n"/>
      <c r="AE463" s="12" t="n"/>
      <c r="AF463" s="13" t="n"/>
      <c r="AG463" s="14" t="n"/>
      <c r="AH463" s="12" t="n"/>
      <c r="AI463" s="13" t="n"/>
      <c r="AJ463" s="14" t="n"/>
      <c r="AK463" s="12" t="n"/>
      <c r="AL463" s="13" t="n"/>
      <c r="AM463" s="14" t="n"/>
      <c r="AN463" s="12" t="n"/>
      <c r="AO463" s="13" t="n"/>
      <c r="AP463" s="14" t="n"/>
      <c r="AQ463" s="12" t="n"/>
      <c r="AR463" s="13" t="n"/>
      <c r="AS463" s="14" t="n"/>
      <c r="AT463" s="12" t="n"/>
      <c r="AU463" s="13" t="n"/>
      <c r="AV463" s="14" t="n"/>
      <c r="AW463" s="12" t="n"/>
      <c r="AX463" s="13" t="n"/>
      <c r="AY463" s="14" t="n"/>
      <c r="AZ463" s="12" t="n"/>
      <c r="BA463" s="13" t="n"/>
      <c r="BB463" s="14" t="n"/>
      <c r="BC463" s="11">
        <f>IF(O463="","",IF(J463="GST 10%",ROUND(O463*set_GSTRate,2),0))</f>
        <v/>
      </c>
      <c r="BD463" s="11">
        <f>IF(O463="","",O463+BC463)</f>
        <v/>
      </c>
      <c r="BE463" s="15">
        <f>IF(O463="","",COUNTA(S463,V463,Y463,AB463,AE463,AH463,AK463,AN463,AQ463,AT463,AW463,AZ463))</f>
        <v/>
      </c>
      <c r="BF463" s="16">
        <f>IF(COUNT(T463,W463,Z463,AC463,AF463,AI463,AL463,AO463,AR463,AU463,AX463,BA463)=0,"",MAX(T463,W463,Z463,AC463,AF463,AI463,AL463,AO463,AR463,AU463,AX463,BA463))</f>
        <v/>
      </c>
      <c r="BG463" s="10">
        <f>MID(IF(S463="","",", "&amp;S463)&amp;IF(V463="","",", "&amp;V463)&amp;IF(Y463="","",", "&amp;Y463)&amp;IF(AB463="","",", "&amp;AB463)&amp;IF(AE463="","",", "&amp;AE463)&amp;IF(AH463="","",", "&amp;AH463)&amp;IF(AK463="","",", "&amp;AK463)&amp;IF(AN463="","",", "&amp;AN463)&amp;IF(AQ463="","",", "&amp;AQ463)&amp;IF(AT463="","",", "&amp;AT463)&amp;IF(AW463="","",", "&amp;AW463)&amp;IF(AZ463="","",", "&amp;AZ463),3,500)</f>
        <v/>
      </c>
      <c r="BH463" s="12" t="n"/>
      <c r="BI463" s="15">
        <f>IFERROR(MATCH($A463,IF($B463="Onsite",tbl_Onsite[Row ID],IF($B463="Production",tbl_Production[Row ID],tbl_Consulting[Row ID])),0),"")</f>
        <v/>
      </c>
    </row>
    <row r="464">
      <c r="A464" s="10" t="inlineStr">
        <is>
          <t>ONS-0458</t>
        </is>
      </c>
      <c r="B464" s="10" t="inlineStr">
        <is>
          <t>Onsite</t>
        </is>
      </c>
      <c r="C464" s="10">
        <f>IF($BI464="","",IF($B464="Onsite",INDEX(tbl_Onsite[Job Number],$BI464),IF($B464="Production",INDEX(tbl_Production[Job Number],$BI464),INDEX(tbl_Consulting[Job Number],$BI464)))&amp;"")</f>
        <v/>
      </c>
      <c r="D464" s="10">
        <f>IF($BI464="","",IF($B464="Onsite",INDEX(tbl_Onsite[Client],$BI464),IF($B464="Production",INDEX(tbl_Production[Client],$BI464),INDEX(tbl_Consulting[Client],$BI464)))&amp;"")</f>
        <v/>
      </c>
      <c r="E464" s="10">
        <f>IF($C464="","",IF(COUNTIF(lst_Jobs,$C464)&gt;0,"OK","CHECK"))</f>
        <v/>
      </c>
      <c r="F464" s="10">
        <f>IF($C464="","",IFERROR(INDEX(lst_JobName,MATCH($C464,lst_Jobs,0)),""))</f>
        <v/>
      </c>
      <c r="G464" s="10">
        <f>IF($BI464="","",IF($B464="Onsite",INDEX(tbl_Onsite[Job Description],$BI464),IF($B464="Production",INDEX(tbl_Production[Job Description],$BI464),INDEX(tbl_Consulting[Job Description],$BI464)))&amp;"")</f>
        <v/>
      </c>
      <c r="H464" s="10">
        <f>IF($BI464="","",IF($B464="Onsite",INDEX(tbl_Onsite[Cost Centre],$BI464),IF($B464="Production",INDEX(tbl_Production[Cost Centre],$BI464),INDEX(tbl_Consulting[Cost Centre],$BI464)))&amp;"")</f>
        <v/>
      </c>
      <c r="I464" s="10">
        <f>IF($BI464="","",IF($B464="Onsite",INDEX(tbl_Onsite[Invoice Type],$BI464),IF($B464="Production",INDEX(tbl_Production[Invoice Type],$BI464),INDEX(tbl_Consulting[Invoice Type],$BI464)))&amp;"")</f>
        <v/>
      </c>
      <c r="J464" s="10">
        <f>IF($BI464="","",IF($B464="Onsite",INDEX(tbl_Onsite[Tax Code],$BI464),IF($B464="Production",INDEX(tbl_Production[Tax Code],$BI464),INDEX(tbl_Consulting[Tax Code],$BI464)))&amp;"")</f>
        <v/>
      </c>
      <c r="K464" s="10">
        <f>IF(H464="","",IFERROR(INDEX(lst_CCtoGL,MATCH(H464,lst_CCforGL,0)),""))</f>
        <v/>
      </c>
      <c r="L464" s="10">
        <f>IF($BI464="","",IF($B464="Onsite",INDEX(tbl_Onsite[PO / Reference],$BI464),IF($B464="Production",INDEX(tbl_Production[Current RMS No],$BI464),INDEX(tbl_Consulting[Qwilr Quote],$BI464)))&amp;"")</f>
        <v/>
      </c>
      <c r="M464" s="10">
        <f>IF($BI464="","",IF($B464="Onsite",INDEX(tbl_Onsite[Notes],$BI464),IF($B464="Production",INDEX(tbl_Production[Notes],$BI464),INDEX(tbl_Consulting[Notes],$BI464)))&amp;"")</f>
        <v/>
      </c>
      <c r="N464" s="11">
        <f>IF($BI464="","",IF(IF($B464="Onsite",INDEX(tbl_Onsite[Expected Revenue Ex GST],$BI464),IF($B464="Production",INDEX(tbl_Production[Expected Revenue Ex GST],$BI464),INDEX(tbl_Consulting[Expected Revenue Ex GST],$BI464)))="","",IF($B464="Onsite",INDEX(tbl_Onsite[Expected Revenue Ex GST],$BI464),IF($B464="Production",INDEX(tbl_Production[Expected Revenue Ex GST],$BI464),INDEX(tbl_Consulting[Expected Revenue Ex GST],$BI464)))))</f>
        <v/>
      </c>
      <c r="O464" s="11">
        <f>IF(AND($C464="",NOT(COUNTA($S464:$BB464)&gt;0)),"",SUM(U464,X464,AA464,AD464,AG464,AJ464,AM464,AP464,AS464,AV464,AY464,BB464))</f>
        <v/>
      </c>
      <c r="P464" s="11">
        <f>IF(O464="","",N(N464)-O464)</f>
        <v/>
      </c>
      <c r="Q464" s="10">
        <f>IF(O464="","",IF($C464="","Invoice on empty job row",IF(N464="",IF(ROUND(O464,2)=0,"No dept value","Invoiced - no dept value"),IF(ROUND(O464,2)=0,"Not invoiced - to invoice",IF(ROUND(P464,2)=0,"Agrees",IF(P464&gt;0,"Dept higher - to invoice","Xero higher - check dept"))))))</f>
        <v/>
      </c>
      <c r="R464" s="10">
        <f>IF(AND($C464="",NOT(COUNTA($S464:$BB464)&gt;0),$BI464&lt;&gt;""),"",MID(IF($BI464="","; Row ID not found on the department sheet - a row was deleted","")&amp;IF(AND($C464="",COUNTA($S464:$BB464)&gt;0),"; Invoice entered but the department row has no job number","")&amp;IF(E464="CHECK","; Job number not in the Xero job list","")&amp;IF(AND($C464&lt;&gt;"",COUNTIF($C$7:$C$1506,$C464)&gt;1),"; Job number on more than one row","")&amp;IF(AND($C464&lt;&gt;"",H464=""),"; Dept has not set a cost centre","")&amp;IF(AND($C464&lt;&gt;"",J464=""),"; Dept has not set a tax code","")&amp;IF(AND($C464&lt;&gt;"",N464=""),"; Dept has not entered an expected value","")&amp;IF((IF(OR(COUNTA(S464:U464)=0,AND(COUNTA(S464:U464)=3,ISNUMBER(U464))),0,1)+IF(OR(COUNTA(V464:X464)=0,AND(COUNTA(V464:X464)=3,ISNUMBER(X464))),0,1)+IF(OR(COUNTA(Y464:AA464)=0,AND(COUNTA(Y464:AA464)=3,ISNUMBER(AA464))),0,1)+IF(OR(COUNTA(AB464:AD464)=0,AND(COUNTA(AB464:AD464)=3,ISNUMBER(AD464))),0,1)+IF(OR(COUNTA(AE464:AG464)=0,AND(COUNTA(AE464:AG464)=3,ISNUMBER(AG464))),0,1)+IF(OR(COUNTA(AH464:AJ464)=0,AND(COUNTA(AH464:AJ464)=3,ISNUMBER(AJ464))),0,1)+IF(OR(COUNTA(AK464:AM464)=0,AND(COUNTA(AK464:AM464)=3,ISNUMBER(AM464))),0,1)+IF(OR(COUNTA(AN464:AP464)=0,AND(COUNTA(AN464:AP464)=3,ISNUMBER(AP464))),0,1)+IF(OR(COUNTA(AQ464:AS464)=0,AND(COUNTA(AQ464:AS464)=3,ISNUMBER(AS464))),0,1)+IF(OR(COUNTA(AT464:AV464)=0,AND(COUNTA(AT464:AV464)=3,ISNUMBER(AV464))),0,1)+IF(OR(COUNTA(AW464:AY464)=0,AND(COUNTA(AW464:AY464)=3,ISNUMBER(AY464))),0,1)+IF(OR(COUNTA(AZ464:BB464)=0,AND(COUNTA(AZ464:BB464)=3,ISNUMBER(BB464))),0,1))&gt;0,"; An invoice is incomplete (needs No, Date and a number in Ex GST)","")&amp;IF((IF(T464="",0,IFERROR(--(EOMONTH(T464,0)&lt;&gt;S$5),1))+IF(W464="",0,IFERROR(--(EOMONTH(W464,0)&lt;&gt;V$5),1))+IF(Z464="",0,IFERROR(--(EOMONTH(Z464,0)&lt;&gt;Y$5),1))+IF(AC464="",0,IFERROR(--(EOMONTH(AC464,0)&lt;&gt;AB$5),1))+IF(AF464="",0,IFERROR(--(EOMONTH(AF464,0)&lt;&gt;AE$5),1))+IF(AI464="",0,IFERROR(--(EOMONTH(AI464,0)&lt;&gt;AH$5),1))+IF(AL464="",0,IFERROR(--(EOMONTH(AL464,0)&lt;&gt;AK$5),1))+IF(AO464="",0,IFERROR(--(EOMONTH(AO464,0)&lt;&gt;AN$5),1))+IF(AR464="",0,IFERROR(--(EOMONTH(AR464,0)&lt;&gt;AQ$5),1))+IF(AU464="",0,IFERROR(--(EOMONTH(AU464,0)&lt;&gt;AT$5),1))+IF(AX464="",0,IFERROR(--(EOMONTH(AX464,0)&lt;&gt;AW$5),1))+IF(BA464="",0,IFERROR(--(EOMONTH(BA464,0)&lt;&gt;AZ$5),1)))&gt;0,"; An invoice date is not in the month it is typed under",""),3,500))</f>
        <v/>
      </c>
      <c r="S464" s="12" t="n"/>
      <c r="T464" s="13" t="n"/>
      <c r="U464" s="14" t="n"/>
      <c r="V464" s="12" t="n"/>
      <c r="W464" s="13" t="n"/>
      <c r="X464" s="14" t="n"/>
      <c r="Y464" s="12" t="n"/>
      <c r="Z464" s="13" t="n"/>
      <c r="AA464" s="14" t="n"/>
      <c r="AB464" s="12" t="n"/>
      <c r="AC464" s="13" t="n"/>
      <c r="AD464" s="14" t="n"/>
      <c r="AE464" s="12" t="n"/>
      <c r="AF464" s="13" t="n"/>
      <c r="AG464" s="14" t="n"/>
      <c r="AH464" s="12" t="n"/>
      <c r="AI464" s="13" t="n"/>
      <c r="AJ464" s="14" t="n"/>
      <c r="AK464" s="12" t="n"/>
      <c r="AL464" s="13" t="n"/>
      <c r="AM464" s="14" t="n"/>
      <c r="AN464" s="12" t="n"/>
      <c r="AO464" s="13" t="n"/>
      <c r="AP464" s="14" t="n"/>
      <c r="AQ464" s="12" t="n"/>
      <c r="AR464" s="13" t="n"/>
      <c r="AS464" s="14" t="n"/>
      <c r="AT464" s="12" t="n"/>
      <c r="AU464" s="13" t="n"/>
      <c r="AV464" s="14" t="n"/>
      <c r="AW464" s="12" t="n"/>
      <c r="AX464" s="13" t="n"/>
      <c r="AY464" s="14" t="n"/>
      <c r="AZ464" s="12" t="n"/>
      <c r="BA464" s="13" t="n"/>
      <c r="BB464" s="14" t="n"/>
      <c r="BC464" s="11">
        <f>IF(O464="","",IF(J464="GST 10%",ROUND(O464*set_GSTRate,2),0))</f>
        <v/>
      </c>
      <c r="BD464" s="11">
        <f>IF(O464="","",O464+BC464)</f>
        <v/>
      </c>
      <c r="BE464" s="15">
        <f>IF(O464="","",COUNTA(S464,V464,Y464,AB464,AE464,AH464,AK464,AN464,AQ464,AT464,AW464,AZ464))</f>
        <v/>
      </c>
      <c r="BF464" s="16">
        <f>IF(COUNT(T464,W464,Z464,AC464,AF464,AI464,AL464,AO464,AR464,AU464,AX464,BA464)=0,"",MAX(T464,W464,Z464,AC464,AF464,AI464,AL464,AO464,AR464,AU464,AX464,BA464))</f>
        <v/>
      </c>
      <c r="BG464" s="10">
        <f>MID(IF(S464="","",", "&amp;S464)&amp;IF(V464="","",", "&amp;V464)&amp;IF(Y464="","",", "&amp;Y464)&amp;IF(AB464="","",", "&amp;AB464)&amp;IF(AE464="","",", "&amp;AE464)&amp;IF(AH464="","",", "&amp;AH464)&amp;IF(AK464="","",", "&amp;AK464)&amp;IF(AN464="","",", "&amp;AN464)&amp;IF(AQ464="","",", "&amp;AQ464)&amp;IF(AT464="","",", "&amp;AT464)&amp;IF(AW464="","",", "&amp;AW464)&amp;IF(AZ464="","",", "&amp;AZ464),3,500)</f>
        <v/>
      </c>
      <c r="BH464" s="12" t="n"/>
      <c r="BI464" s="15">
        <f>IFERROR(MATCH($A464,IF($B464="Onsite",tbl_Onsite[Row ID],IF($B464="Production",tbl_Production[Row ID],tbl_Consulting[Row ID])),0),"")</f>
        <v/>
      </c>
    </row>
    <row r="465">
      <c r="A465" s="10" t="inlineStr">
        <is>
          <t>ONS-0459</t>
        </is>
      </c>
      <c r="B465" s="10" t="inlineStr">
        <is>
          <t>Onsite</t>
        </is>
      </c>
      <c r="C465" s="10">
        <f>IF($BI465="","",IF($B465="Onsite",INDEX(tbl_Onsite[Job Number],$BI465),IF($B465="Production",INDEX(tbl_Production[Job Number],$BI465),INDEX(tbl_Consulting[Job Number],$BI465)))&amp;"")</f>
        <v/>
      </c>
      <c r="D465" s="10">
        <f>IF($BI465="","",IF($B465="Onsite",INDEX(tbl_Onsite[Client],$BI465),IF($B465="Production",INDEX(tbl_Production[Client],$BI465),INDEX(tbl_Consulting[Client],$BI465)))&amp;"")</f>
        <v/>
      </c>
      <c r="E465" s="10">
        <f>IF($C465="","",IF(COUNTIF(lst_Jobs,$C465)&gt;0,"OK","CHECK"))</f>
        <v/>
      </c>
      <c r="F465" s="10">
        <f>IF($C465="","",IFERROR(INDEX(lst_JobName,MATCH($C465,lst_Jobs,0)),""))</f>
        <v/>
      </c>
      <c r="G465" s="10">
        <f>IF($BI465="","",IF($B465="Onsite",INDEX(tbl_Onsite[Job Description],$BI465),IF($B465="Production",INDEX(tbl_Production[Job Description],$BI465),INDEX(tbl_Consulting[Job Description],$BI465)))&amp;"")</f>
        <v/>
      </c>
      <c r="H465" s="10">
        <f>IF($BI465="","",IF($B465="Onsite",INDEX(tbl_Onsite[Cost Centre],$BI465),IF($B465="Production",INDEX(tbl_Production[Cost Centre],$BI465),INDEX(tbl_Consulting[Cost Centre],$BI465)))&amp;"")</f>
        <v/>
      </c>
      <c r="I465" s="10">
        <f>IF($BI465="","",IF($B465="Onsite",INDEX(tbl_Onsite[Invoice Type],$BI465),IF($B465="Production",INDEX(tbl_Production[Invoice Type],$BI465),INDEX(tbl_Consulting[Invoice Type],$BI465)))&amp;"")</f>
        <v/>
      </c>
      <c r="J465" s="10">
        <f>IF($BI465="","",IF($B465="Onsite",INDEX(tbl_Onsite[Tax Code],$BI465),IF($B465="Production",INDEX(tbl_Production[Tax Code],$BI465),INDEX(tbl_Consulting[Tax Code],$BI465)))&amp;"")</f>
        <v/>
      </c>
      <c r="K465" s="10">
        <f>IF(H465="","",IFERROR(INDEX(lst_CCtoGL,MATCH(H465,lst_CCforGL,0)),""))</f>
        <v/>
      </c>
      <c r="L465" s="10">
        <f>IF($BI465="","",IF($B465="Onsite",INDEX(tbl_Onsite[PO / Reference],$BI465),IF($B465="Production",INDEX(tbl_Production[Current RMS No],$BI465),INDEX(tbl_Consulting[Qwilr Quote],$BI465)))&amp;"")</f>
        <v/>
      </c>
      <c r="M465" s="10">
        <f>IF($BI465="","",IF($B465="Onsite",INDEX(tbl_Onsite[Notes],$BI465),IF($B465="Production",INDEX(tbl_Production[Notes],$BI465),INDEX(tbl_Consulting[Notes],$BI465)))&amp;"")</f>
        <v/>
      </c>
      <c r="N465" s="11">
        <f>IF($BI465="","",IF(IF($B465="Onsite",INDEX(tbl_Onsite[Expected Revenue Ex GST],$BI465),IF($B465="Production",INDEX(tbl_Production[Expected Revenue Ex GST],$BI465),INDEX(tbl_Consulting[Expected Revenue Ex GST],$BI465)))="","",IF($B465="Onsite",INDEX(tbl_Onsite[Expected Revenue Ex GST],$BI465),IF($B465="Production",INDEX(tbl_Production[Expected Revenue Ex GST],$BI465),INDEX(tbl_Consulting[Expected Revenue Ex GST],$BI465)))))</f>
        <v/>
      </c>
      <c r="O465" s="11">
        <f>IF(AND($C465="",NOT(COUNTA($S465:$BB465)&gt;0)),"",SUM(U465,X465,AA465,AD465,AG465,AJ465,AM465,AP465,AS465,AV465,AY465,BB465))</f>
        <v/>
      </c>
      <c r="P465" s="11">
        <f>IF(O465="","",N(N465)-O465)</f>
        <v/>
      </c>
      <c r="Q465" s="10">
        <f>IF(O465="","",IF($C465="","Invoice on empty job row",IF(N465="",IF(ROUND(O465,2)=0,"No dept value","Invoiced - no dept value"),IF(ROUND(O465,2)=0,"Not invoiced - to invoice",IF(ROUND(P465,2)=0,"Agrees",IF(P465&gt;0,"Dept higher - to invoice","Xero higher - check dept"))))))</f>
        <v/>
      </c>
      <c r="R465" s="10">
        <f>IF(AND($C465="",NOT(COUNTA($S465:$BB465)&gt;0),$BI465&lt;&gt;""),"",MID(IF($BI465="","; Row ID not found on the department sheet - a row was deleted","")&amp;IF(AND($C465="",COUNTA($S465:$BB465)&gt;0),"; Invoice entered but the department row has no job number","")&amp;IF(E465="CHECK","; Job number not in the Xero job list","")&amp;IF(AND($C465&lt;&gt;"",COUNTIF($C$7:$C$1506,$C465)&gt;1),"; Job number on more than one row","")&amp;IF(AND($C465&lt;&gt;"",H465=""),"; Dept has not set a cost centre","")&amp;IF(AND($C465&lt;&gt;"",J465=""),"; Dept has not set a tax code","")&amp;IF(AND($C465&lt;&gt;"",N465=""),"; Dept has not entered an expected value","")&amp;IF((IF(OR(COUNTA(S465:U465)=0,AND(COUNTA(S465:U465)=3,ISNUMBER(U465))),0,1)+IF(OR(COUNTA(V465:X465)=0,AND(COUNTA(V465:X465)=3,ISNUMBER(X465))),0,1)+IF(OR(COUNTA(Y465:AA465)=0,AND(COUNTA(Y465:AA465)=3,ISNUMBER(AA465))),0,1)+IF(OR(COUNTA(AB465:AD465)=0,AND(COUNTA(AB465:AD465)=3,ISNUMBER(AD465))),0,1)+IF(OR(COUNTA(AE465:AG465)=0,AND(COUNTA(AE465:AG465)=3,ISNUMBER(AG465))),0,1)+IF(OR(COUNTA(AH465:AJ465)=0,AND(COUNTA(AH465:AJ465)=3,ISNUMBER(AJ465))),0,1)+IF(OR(COUNTA(AK465:AM465)=0,AND(COUNTA(AK465:AM465)=3,ISNUMBER(AM465))),0,1)+IF(OR(COUNTA(AN465:AP465)=0,AND(COUNTA(AN465:AP465)=3,ISNUMBER(AP465))),0,1)+IF(OR(COUNTA(AQ465:AS465)=0,AND(COUNTA(AQ465:AS465)=3,ISNUMBER(AS465))),0,1)+IF(OR(COUNTA(AT465:AV465)=0,AND(COUNTA(AT465:AV465)=3,ISNUMBER(AV465))),0,1)+IF(OR(COUNTA(AW465:AY465)=0,AND(COUNTA(AW465:AY465)=3,ISNUMBER(AY465))),0,1)+IF(OR(COUNTA(AZ465:BB465)=0,AND(COUNTA(AZ465:BB465)=3,ISNUMBER(BB465))),0,1))&gt;0,"; An invoice is incomplete (needs No, Date and a number in Ex GST)","")&amp;IF((IF(T465="",0,IFERROR(--(EOMONTH(T465,0)&lt;&gt;S$5),1))+IF(W465="",0,IFERROR(--(EOMONTH(W465,0)&lt;&gt;V$5),1))+IF(Z465="",0,IFERROR(--(EOMONTH(Z465,0)&lt;&gt;Y$5),1))+IF(AC465="",0,IFERROR(--(EOMONTH(AC465,0)&lt;&gt;AB$5),1))+IF(AF465="",0,IFERROR(--(EOMONTH(AF465,0)&lt;&gt;AE$5),1))+IF(AI465="",0,IFERROR(--(EOMONTH(AI465,0)&lt;&gt;AH$5),1))+IF(AL465="",0,IFERROR(--(EOMONTH(AL465,0)&lt;&gt;AK$5),1))+IF(AO465="",0,IFERROR(--(EOMONTH(AO465,0)&lt;&gt;AN$5),1))+IF(AR465="",0,IFERROR(--(EOMONTH(AR465,0)&lt;&gt;AQ$5),1))+IF(AU465="",0,IFERROR(--(EOMONTH(AU465,0)&lt;&gt;AT$5),1))+IF(AX465="",0,IFERROR(--(EOMONTH(AX465,0)&lt;&gt;AW$5),1))+IF(BA465="",0,IFERROR(--(EOMONTH(BA465,0)&lt;&gt;AZ$5),1)))&gt;0,"; An invoice date is not in the month it is typed under",""),3,500))</f>
        <v/>
      </c>
      <c r="S465" s="12" t="n"/>
      <c r="T465" s="13" t="n"/>
      <c r="U465" s="14" t="n"/>
      <c r="V465" s="12" t="n"/>
      <c r="W465" s="13" t="n"/>
      <c r="X465" s="14" t="n"/>
      <c r="Y465" s="12" t="n"/>
      <c r="Z465" s="13" t="n"/>
      <c r="AA465" s="14" t="n"/>
      <c r="AB465" s="12" t="n"/>
      <c r="AC465" s="13" t="n"/>
      <c r="AD465" s="14" t="n"/>
      <c r="AE465" s="12" t="n"/>
      <c r="AF465" s="13" t="n"/>
      <c r="AG465" s="14" t="n"/>
      <c r="AH465" s="12" t="n"/>
      <c r="AI465" s="13" t="n"/>
      <c r="AJ465" s="14" t="n"/>
      <c r="AK465" s="12" t="n"/>
      <c r="AL465" s="13" t="n"/>
      <c r="AM465" s="14" t="n"/>
      <c r="AN465" s="12" t="n"/>
      <c r="AO465" s="13" t="n"/>
      <c r="AP465" s="14" t="n"/>
      <c r="AQ465" s="12" t="n"/>
      <c r="AR465" s="13" t="n"/>
      <c r="AS465" s="14" t="n"/>
      <c r="AT465" s="12" t="n"/>
      <c r="AU465" s="13" t="n"/>
      <c r="AV465" s="14" t="n"/>
      <c r="AW465" s="12" t="n"/>
      <c r="AX465" s="13" t="n"/>
      <c r="AY465" s="14" t="n"/>
      <c r="AZ465" s="12" t="n"/>
      <c r="BA465" s="13" t="n"/>
      <c r="BB465" s="14" t="n"/>
      <c r="BC465" s="11">
        <f>IF(O465="","",IF(J465="GST 10%",ROUND(O465*set_GSTRate,2),0))</f>
        <v/>
      </c>
      <c r="BD465" s="11">
        <f>IF(O465="","",O465+BC465)</f>
        <v/>
      </c>
      <c r="BE465" s="15">
        <f>IF(O465="","",COUNTA(S465,V465,Y465,AB465,AE465,AH465,AK465,AN465,AQ465,AT465,AW465,AZ465))</f>
        <v/>
      </c>
      <c r="BF465" s="16">
        <f>IF(COUNT(T465,W465,Z465,AC465,AF465,AI465,AL465,AO465,AR465,AU465,AX465,BA465)=0,"",MAX(T465,W465,Z465,AC465,AF465,AI465,AL465,AO465,AR465,AU465,AX465,BA465))</f>
        <v/>
      </c>
      <c r="BG465" s="10">
        <f>MID(IF(S465="","",", "&amp;S465)&amp;IF(V465="","",", "&amp;V465)&amp;IF(Y465="","",", "&amp;Y465)&amp;IF(AB465="","",", "&amp;AB465)&amp;IF(AE465="","",", "&amp;AE465)&amp;IF(AH465="","",", "&amp;AH465)&amp;IF(AK465="","",", "&amp;AK465)&amp;IF(AN465="","",", "&amp;AN465)&amp;IF(AQ465="","",", "&amp;AQ465)&amp;IF(AT465="","",", "&amp;AT465)&amp;IF(AW465="","",", "&amp;AW465)&amp;IF(AZ465="","",", "&amp;AZ465),3,500)</f>
        <v/>
      </c>
      <c r="BH465" s="12" t="n"/>
      <c r="BI465" s="15">
        <f>IFERROR(MATCH($A465,IF($B465="Onsite",tbl_Onsite[Row ID],IF($B465="Production",tbl_Production[Row ID],tbl_Consulting[Row ID])),0),"")</f>
        <v/>
      </c>
    </row>
    <row r="466">
      <c r="A466" s="10" t="inlineStr">
        <is>
          <t>ONS-0460</t>
        </is>
      </c>
      <c r="B466" s="10" t="inlineStr">
        <is>
          <t>Onsite</t>
        </is>
      </c>
      <c r="C466" s="10">
        <f>IF($BI466="","",IF($B466="Onsite",INDEX(tbl_Onsite[Job Number],$BI466),IF($B466="Production",INDEX(tbl_Production[Job Number],$BI466),INDEX(tbl_Consulting[Job Number],$BI466)))&amp;"")</f>
        <v/>
      </c>
      <c r="D466" s="10">
        <f>IF($BI466="","",IF($B466="Onsite",INDEX(tbl_Onsite[Client],$BI466),IF($B466="Production",INDEX(tbl_Production[Client],$BI466),INDEX(tbl_Consulting[Client],$BI466)))&amp;"")</f>
        <v/>
      </c>
      <c r="E466" s="10">
        <f>IF($C466="","",IF(COUNTIF(lst_Jobs,$C466)&gt;0,"OK","CHECK"))</f>
        <v/>
      </c>
      <c r="F466" s="10">
        <f>IF($C466="","",IFERROR(INDEX(lst_JobName,MATCH($C466,lst_Jobs,0)),""))</f>
        <v/>
      </c>
      <c r="G466" s="10">
        <f>IF($BI466="","",IF($B466="Onsite",INDEX(tbl_Onsite[Job Description],$BI466),IF($B466="Production",INDEX(tbl_Production[Job Description],$BI466),INDEX(tbl_Consulting[Job Description],$BI466)))&amp;"")</f>
        <v/>
      </c>
      <c r="H466" s="10">
        <f>IF($BI466="","",IF($B466="Onsite",INDEX(tbl_Onsite[Cost Centre],$BI466),IF($B466="Production",INDEX(tbl_Production[Cost Centre],$BI466),INDEX(tbl_Consulting[Cost Centre],$BI466)))&amp;"")</f>
        <v/>
      </c>
      <c r="I466" s="10">
        <f>IF($BI466="","",IF($B466="Onsite",INDEX(tbl_Onsite[Invoice Type],$BI466),IF($B466="Production",INDEX(tbl_Production[Invoice Type],$BI466),INDEX(tbl_Consulting[Invoice Type],$BI466)))&amp;"")</f>
        <v/>
      </c>
      <c r="J466" s="10">
        <f>IF($BI466="","",IF($B466="Onsite",INDEX(tbl_Onsite[Tax Code],$BI466),IF($B466="Production",INDEX(tbl_Production[Tax Code],$BI466),INDEX(tbl_Consulting[Tax Code],$BI466)))&amp;"")</f>
        <v/>
      </c>
      <c r="K466" s="10">
        <f>IF(H466="","",IFERROR(INDEX(lst_CCtoGL,MATCH(H466,lst_CCforGL,0)),""))</f>
        <v/>
      </c>
      <c r="L466" s="10">
        <f>IF($BI466="","",IF($B466="Onsite",INDEX(tbl_Onsite[PO / Reference],$BI466),IF($B466="Production",INDEX(tbl_Production[Current RMS No],$BI466),INDEX(tbl_Consulting[Qwilr Quote],$BI466)))&amp;"")</f>
        <v/>
      </c>
      <c r="M466" s="10">
        <f>IF($BI466="","",IF($B466="Onsite",INDEX(tbl_Onsite[Notes],$BI466),IF($B466="Production",INDEX(tbl_Production[Notes],$BI466),INDEX(tbl_Consulting[Notes],$BI466)))&amp;"")</f>
        <v/>
      </c>
      <c r="N466" s="11">
        <f>IF($BI466="","",IF(IF($B466="Onsite",INDEX(tbl_Onsite[Expected Revenue Ex GST],$BI466),IF($B466="Production",INDEX(tbl_Production[Expected Revenue Ex GST],$BI466),INDEX(tbl_Consulting[Expected Revenue Ex GST],$BI466)))="","",IF($B466="Onsite",INDEX(tbl_Onsite[Expected Revenue Ex GST],$BI466),IF($B466="Production",INDEX(tbl_Production[Expected Revenue Ex GST],$BI466),INDEX(tbl_Consulting[Expected Revenue Ex GST],$BI466)))))</f>
        <v/>
      </c>
      <c r="O466" s="11">
        <f>IF(AND($C466="",NOT(COUNTA($S466:$BB466)&gt;0)),"",SUM(U466,X466,AA466,AD466,AG466,AJ466,AM466,AP466,AS466,AV466,AY466,BB466))</f>
        <v/>
      </c>
      <c r="P466" s="11">
        <f>IF(O466="","",N(N466)-O466)</f>
        <v/>
      </c>
      <c r="Q466" s="10">
        <f>IF(O466="","",IF($C466="","Invoice on empty job row",IF(N466="",IF(ROUND(O466,2)=0,"No dept value","Invoiced - no dept value"),IF(ROUND(O466,2)=0,"Not invoiced - to invoice",IF(ROUND(P466,2)=0,"Agrees",IF(P466&gt;0,"Dept higher - to invoice","Xero higher - check dept"))))))</f>
        <v/>
      </c>
      <c r="R466" s="10">
        <f>IF(AND($C466="",NOT(COUNTA($S466:$BB466)&gt;0),$BI466&lt;&gt;""),"",MID(IF($BI466="","; Row ID not found on the department sheet - a row was deleted","")&amp;IF(AND($C466="",COUNTA($S466:$BB466)&gt;0),"; Invoice entered but the department row has no job number","")&amp;IF(E466="CHECK","; Job number not in the Xero job list","")&amp;IF(AND($C466&lt;&gt;"",COUNTIF($C$7:$C$1506,$C466)&gt;1),"; Job number on more than one row","")&amp;IF(AND($C466&lt;&gt;"",H466=""),"; Dept has not set a cost centre","")&amp;IF(AND($C466&lt;&gt;"",J466=""),"; Dept has not set a tax code","")&amp;IF(AND($C466&lt;&gt;"",N466=""),"; Dept has not entered an expected value","")&amp;IF((IF(OR(COUNTA(S466:U466)=0,AND(COUNTA(S466:U466)=3,ISNUMBER(U466))),0,1)+IF(OR(COUNTA(V466:X466)=0,AND(COUNTA(V466:X466)=3,ISNUMBER(X466))),0,1)+IF(OR(COUNTA(Y466:AA466)=0,AND(COUNTA(Y466:AA466)=3,ISNUMBER(AA466))),0,1)+IF(OR(COUNTA(AB466:AD466)=0,AND(COUNTA(AB466:AD466)=3,ISNUMBER(AD466))),0,1)+IF(OR(COUNTA(AE466:AG466)=0,AND(COUNTA(AE466:AG466)=3,ISNUMBER(AG466))),0,1)+IF(OR(COUNTA(AH466:AJ466)=0,AND(COUNTA(AH466:AJ466)=3,ISNUMBER(AJ466))),0,1)+IF(OR(COUNTA(AK466:AM466)=0,AND(COUNTA(AK466:AM466)=3,ISNUMBER(AM466))),0,1)+IF(OR(COUNTA(AN466:AP466)=0,AND(COUNTA(AN466:AP466)=3,ISNUMBER(AP466))),0,1)+IF(OR(COUNTA(AQ466:AS466)=0,AND(COUNTA(AQ466:AS466)=3,ISNUMBER(AS466))),0,1)+IF(OR(COUNTA(AT466:AV466)=0,AND(COUNTA(AT466:AV466)=3,ISNUMBER(AV466))),0,1)+IF(OR(COUNTA(AW466:AY466)=0,AND(COUNTA(AW466:AY466)=3,ISNUMBER(AY466))),0,1)+IF(OR(COUNTA(AZ466:BB466)=0,AND(COUNTA(AZ466:BB466)=3,ISNUMBER(BB466))),0,1))&gt;0,"; An invoice is incomplete (needs No, Date and a number in Ex GST)","")&amp;IF((IF(T466="",0,IFERROR(--(EOMONTH(T466,0)&lt;&gt;S$5),1))+IF(W466="",0,IFERROR(--(EOMONTH(W466,0)&lt;&gt;V$5),1))+IF(Z466="",0,IFERROR(--(EOMONTH(Z466,0)&lt;&gt;Y$5),1))+IF(AC466="",0,IFERROR(--(EOMONTH(AC466,0)&lt;&gt;AB$5),1))+IF(AF466="",0,IFERROR(--(EOMONTH(AF466,0)&lt;&gt;AE$5),1))+IF(AI466="",0,IFERROR(--(EOMONTH(AI466,0)&lt;&gt;AH$5),1))+IF(AL466="",0,IFERROR(--(EOMONTH(AL466,0)&lt;&gt;AK$5),1))+IF(AO466="",0,IFERROR(--(EOMONTH(AO466,0)&lt;&gt;AN$5),1))+IF(AR466="",0,IFERROR(--(EOMONTH(AR466,0)&lt;&gt;AQ$5),1))+IF(AU466="",0,IFERROR(--(EOMONTH(AU466,0)&lt;&gt;AT$5),1))+IF(AX466="",0,IFERROR(--(EOMONTH(AX466,0)&lt;&gt;AW$5),1))+IF(BA466="",0,IFERROR(--(EOMONTH(BA466,0)&lt;&gt;AZ$5),1)))&gt;0,"; An invoice date is not in the month it is typed under",""),3,500))</f>
        <v/>
      </c>
      <c r="S466" s="12" t="n"/>
      <c r="T466" s="13" t="n"/>
      <c r="U466" s="14" t="n"/>
      <c r="V466" s="12" t="n"/>
      <c r="W466" s="13" t="n"/>
      <c r="X466" s="14" t="n"/>
      <c r="Y466" s="12" t="n"/>
      <c r="Z466" s="13" t="n"/>
      <c r="AA466" s="14" t="n"/>
      <c r="AB466" s="12" t="n"/>
      <c r="AC466" s="13" t="n"/>
      <c r="AD466" s="14" t="n"/>
      <c r="AE466" s="12" t="n"/>
      <c r="AF466" s="13" t="n"/>
      <c r="AG466" s="14" t="n"/>
      <c r="AH466" s="12" t="n"/>
      <c r="AI466" s="13" t="n"/>
      <c r="AJ466" s="14" t="n"/>
      <c r="AK466" s="12" t="n"/>
      <c r="AL466" s="13" t="n"/>
      <c r="AM466" s="14" t="n"/>
      <c r="AN466" s="12" t="n"/>
      <c r="AO466" s="13" t="n"/>
      <c r="AP466" s="14" t="n"/>
      <c r="AQ466" s="12" t="n"/>
      <c r="AR466" s="13" t="n"/>
      <c r="AS466" s="14" t="n"/>
      <c r="AT466" s="12" t="n"/>
      <c r="AU466" s="13" t="n"/>
      <c r="AV466" s="14" t="n"/>
      <c r="AW466" s="12" t="n"/>
      <c r="AX466" s="13" t="n"/>
      <c r="AY466" s="14" t="n"/>
      <c r="AZ466" s="12" t="n"/>
      <c r="BA466" s="13" t="n"/>
      <c r="BB466" s="14" t="n"/>
      <c r="BC466" s="11">
        <f>IF(O466="","",IF(J466="GST 10%",ROUND(O466*set_GSTRate,2),0))</f>
        <v/>
      </c>
      <c r="BD466" s="11">
        <f>IF(O466="","",O466+BC466)</f>
        <v/>
      </c>
      <c r="BE466" s="15">
        <f>IF(O466="","",COUNTA(S466,V466,Y466,AB466,AE466,AH466,AK466,AN466,AQ466,AT466,AW466,AZ466))</f>
        <v/>
      </c>
      <c r="BF466" s="16">
        <f>IF(COUNT(T466,W466,Z466,AC466,AF466,AI466,AL466,AO466,AR466,AU466,AX466,BA466)=0,"",MAX(T466,W466,Z466,AC466,AF466,AI466,AL466,AO466,AR466,AU466,AX466,BA466))</f>
        <v/>
      </c>
      <c r="BG466" s="10">
        <f>MID(IF(S466="","",", "&amp;S466)&amp;IF(V466="","",", "&amp;V466)&amp;IF(Y466="","",", "&amp;Y466)&amp;IF(AB466="","",", "&amp;AB466)&amp;IF(AE466="","",", "&amp;AE466)&amp;IF(AH466="","",", "&amp;AH466)&amp;IF(AK466="","",", "&amp;AK466)&amp;IF(AN466="","",", "&amp;AN466)&amp;IF(AQ466="","",", "&amp;AQ466)&amp;IF(AT466="","",", "&amp;AT466)&amp;IF(AW466="","",", "&amp;AW466)&amp;IF(AZ466="","",", "&amp;AZ466),3,500)</f>
        <v/>
      </c>
      <c r="BH466" s="12" t="n"/>
      <c r="BI466" s="15">
        <f>IFERROR(MATCH($A466,IF($B466="Onsite",tbl_Onsite[Row ID],IF($B466="Production",tbl_Production[Row ID],tbl_Consulting[Row ID])),0),"")</f>
        <v/>
      </c>
    </row>
    <row r="467">
      <c r="A467" s="10" t="inlineStr">
        <is>
          <t>ONS-0461</t>
        </is>
      </c>
      <c r="B467" s="10" t="inlineStr">
        <is>
          <t>Onsite</t>
        </is>
      </c>
      <c r="C467" s="10">
        <f>IF($BI467="","",IF($B467="Onsite",INDEX(tbl_Onsite[Job Number],$BI467),IF($B467="Production",INDEX(tbl_Production[Job Number],$BI467),INDEX(tbl_Consulting[Job Number],$BI467)))&amp;"")</f>
        <v/>
      </c>
      <c r="D467" s="10">
        <f>IF($BI467="","",IF($B467="Onsite",INDEX(tbl_Onsite[Client],$BI467),IF($B467="Production",INDEX(tbl_Production[Client],$BI467),INDEX(tbl_Consulting[Client],$BI467)))&amp;"")</f>
        <v/>
      </c>
      <c r="E467" s="10">
        <f>IF($C467="","",IF(COUNTIF(lst_Jobs,$C467)&gt;0,"OK","CHECK"))</f>
        <v/>
      </c>
      <c r="F467" s="10">
        <f>IF($C467="","",IFERROR(INDEX(lst_JobName,MATCH($C467,lst_Jobs,0)),""))</f>
        <v/>
      </c>
      <c r="G467" s="10">
        <f>IF($BI467="","",IF($B467="Onsite",INDEX(tbl_Onsite[Job Description],$BI467),IF($B467="Production",INDEX(tbl_Production[Job Description],$BI467),INDEX(tbl_Consulting[Job Description],$BI467)))&amp;"")</f>
        <v/>
      </c>
      <c r="H467" s="10">
        <f>IF($BI467="","",IF($B467="Onsite",INDEX(tbl_Onsite[Cost Centre],$BI467),IF($B467="Production",INDEX(tbl_Production[Cost Centre],$BI467),INDEX(tbl_Consulting[Cost Centre],$BI467)))&amp;"")</f>
        <v/>
      </c>
      <c r="I467" s="10">
        <f>IF($BI467="","",IF($B467="Onsite",INDEX(tbl_Onsite[Invoice Type],$BI467),IF($B467="Production",INDEX(tbl_Production[Invoice Type],$BI467),INDEX(tbl_Consulting[Invoice Type],$BI467)))&amp;"")</f>
        <v/>
      </c>
      <c r="J467" s="10">
        <f>IF($BI467="","",IF($B467="Onsite",INDEX(tbl_Onsite[Tax Code],$BI467),IF($B467="Production",INDEX(tbl_Production[Tax Code],$BI467),INDEX(tbl_Consulting[Tax Code],$BI467)))&amp;"")</f>
        <v/>
      </c>
      <c r="K467" s="10">
        <f>IF(H467="","",IFERROR(INDEX(lst_CCtoGL,MATCH(H467,lst_CCforGL,0)),""))</f>
        <v/>
      </c>
      <c r="L467" s="10">
        <f>IF($BI467="","",IF($B467="Onsite",INDEX(tbl_Onsite[PO / Reference],$BI467),IF($B467="Production",INDEX(tbl_Production[Current RMS No],$BI467),INDEX(tbl_Consulting[Qwilr Quote],$BI467)))&amp;"")</f>
        <v/>
      </c>
      <c r="M467" s="10">
        <f>IF($BI467="","",IF($B467="Onsite",INDEX(tbl_Onsite[Notes],$BI467),IF($B467="Production",INDEX(tbl_Production[Notes],$BI467),INDEX(tbl_Consulting[Notes],$BI467)))&amp;"")</f>
        <v/>
      </c>
      <c r="N467" s="11">
        <f>IF($BI467="","",IF(IF($B467="Onsite",INDEX(tbl_Onsite[Expected Revenue Ex GST],$BI467),IF($B467="Production",INDEX(tbl_Production[Expected Revenue Ex GST],$BI467),INDEX(tbl_Consulting[Expected Revenue Ex GST],$BI467)))="","",IF($B467="Onsite",INDEX(tbl_Onsite[Expected Revenue Ex GST],$BI467),IF($B467="Production",INDEX(tbl_Production[Expected Revenue Ex GST],$BI467),INDEX(tbl_Consulting[Expected Revenue Ex GST],$BI467)))))</f>
        <v/>
      </c>
      <c r="O467" s="11">
        <f>IF(AND($C467="",NOT(COUNTA($S467:$BB467)&gt;0)),"",SUM(U467,X467,AA467,AD467,AG467,AJ467,AM467,AP467,AS467,AV467,AY467,BB467))</f>
        <v/>
      </c>
      <c r="P467" s="11">
        <f>IF(O467="","",N(N467)-O467)</f>
        <v/>
      </c>
      <c r="Q467" s="10">
        <f>IF(O467="","",IF($C467="","Invoice on empty job row",IF(N467="",IF(ROUND(O467,2)=0,"No dept value","Invoiced - no dept value"),IF(ROUND(O467,2)=0,"Not invoiced - to invoice",IF(ROUND(P467,2)=0,"Agrees",IF(P467&gt;0,"Dept higher - to invoice","Xero higher - check dept"))))))</f>
        <v/>
      </c>
      <c r="R467" s="10">
        <f>IF(AND($C467="",NOT(COUNTA($S467:$BB467)&gt;0),$BI467&lt;&gt;""),"",MID(IF($BI467="","; Row ID not found on the department sheet - a row was deleted","")&amp;IF(AND($C467="",COUNTA($S467:$BB467)&gt;0),"; Invoice entered but the department row has no job number","")&amp;IF(E467="CHECK","; Job number not in the Xero job list","")&amp;IF(AND($C467&lt;&gt;"",COUNTIF($C$7:$C$1506,$C467)&gt;1),"; Job number on more than one row","")&amp;IF(AND($C467&lt;&gt;"",H467=""),"; Dept has not set a cost centre","")&amp;IF(AND($C467&lt;&gt;"",J467=""),"; Dept has not set a tax code","")&amp;IF(AND($C467&lt;&gt;"",N467=""),"; Dept has not entered an expected value","")&amp;IF((IF(OR(COUNTA(S467:U467)=0,AND(COUNTA(S467:U467)=3,ISNUMBER(U467))),0,1)+IF(OR(COUNTA(V467:X467)=0,AND(COUNTA(V467:X467)=3,ISNUMBER(X467))),0,1)+IF(OR(COUNTA(Y467:AA467)=0,AND(COUNTA(Y467:AA467)=3,ISNUMBER(AA467))),0,1)+IF(OR(COUNTA(AB467:AD467)=0,AND(COUNTA(AB467:AD467)=3,ISNUMBER(AD467))),0,1)+IF(OR(COUNTA(AE467:AG467)=0,AND(COUNTA(AE467:AG467)=3,ISNUMBER(AG467))),0,1)+IF(OR(COUNTA(AH467:AJ467)=0,AND(COUNTA(AH467:AJ467)=3,ISNUMBER(AJ467))),0,1)+IF(OR(COUNTA(AK467:AM467)=0,AND(COUNTA(AK467:AM467)=3,ISNUMBER(AM467))),0,1)+IF(OR(COUNTA(AN467:AP467)=0,AND(COUNTA(AN467:AP467)=3,ISNUMBER(AP467))),0,1)+IF(OR(COUNTA(AQ467:AS467)=0,AND(COUNTA(AQ467:AS467)=3,ISNUMBER(AS467))),0,1)+IF(OR(COUNTA(AT467:AV467)=0,AND(COUNTA(AT467:AV467)=3,ISNUMBER(AV467))),0,1)+IF(OR(COUNTA(AW467:AY467)=0,AND(COUNTA(AW467:AY467)=3,ISNUMBER(AY467))),0,1)+IF(OR(COUNTA(AZ467:BB467)=0,AND(COUNTA(AZ467:BB467)=3,ISNUMBER(BB467))),0,1))&gt;0,"; An invoice is incomplete (needs No, Date and a number in Ex GST)","")&amp;IF((IF(T467="",0,IFERROR(--(EOMONTH(T467,0)&lt;&gt;S$5),1))+IF(W467="",0,IFERROR(--(EOMONTH(W467,0)&lt;&gt;V$5),1))+IF(Z467="",0,IFERROR(--(EOMONTH(Z467,0)&lt;&gt;Y$5),1))+IF(AC467="",0,IFERROR(--(EOMONTH(AC467,0)&lt;&gt;AB$5),1))+IF(AF467="",0,IFERROR(--(EOMONTH(AF467,0)&lt;&gt;AE$5),1))+IF(AI467="",0,IFERROR(--(EOMONTH(AI467,0)&lt;&gt;AH$5),1))+IF(AL467="",0,IFERROR(--(EOMONTH(AL467,0)&lt;&gt;AK$5),1))+IF(AO467="",0,IFERROR(--(EOMONTH(AO467,0)&lt;&gt;AN$5),1))+IF(AR467="",0,IFERROR(--(EOMONTH(AR467,0)&lt;&gt;AQ$5),1))+IF(AU467="",0,IFERROR(--(EOMONTH(AU467,0)&lt;&gt;AT$5),1))+IF(AX467="",0,IFERROR(--(EOMONTH(AX467,0)&lt;&gt;AW$5),1))+IF(BA467="",0,IFERROR(--(EOMONTH(BA467,0)&lt;&gt;AZ$5),1)))&gt;0,"; An invoice date is not in the month it is typed under",""),3,500))</f>
        <v/>
      </c>
      <c r="S467" s="12" t="n"/>
      <c r="T467" s="13" t="n"/>
      <c r="U467" s="14" t="n"/>
      <c r="V467" s="12" t="n"/>
      <c r="W467" s="13" t="n"/>
      <c r="X467" s="14" t="n"/>
      <c r="Y467" s="12" t="n"/>
      <c r="Z467" s="13" t="n"/>
      <c r="AA467" s="14" t="n"/>
      <c r="AB467" s="12" t="n"/>
      <c r="AC467" s="13" t="n"/>
      <c r="AD467" s="14" t="n"/>
      <c r="AE467" s="12" t="n"/>
      <c r="AF467" s="13" t="n"/>
      <c r="AG467" s="14" t="n"/>
      <c r="AH467" s="12" t="n"/>
      <c r="AI467" s="13" t="n"/>
      <c r="AJ467" s="14" t="n"/>
      <c r="AK467" s="12" t="n"/>
      <c r="AL467" s="13" t="n"/>
      <c r="AM467" s="14" t="n"/>
      <c r="AN467" s="12" t="n"/>
      <c r="AO467" s="13" t="n"/>
      <c r="AP467" s="14" t="n"/>
      <c r="AQ467" s="12" t="n"/>
      <c r="AR467" s="13" t="n"/>
      <c r="AS467" s="14" t="n"/>
      <c r="AT467" s="12" t="n"/>
      <c r="AU467" s="13" t="n"/>
      <c r="AV467" s="14" t="n"/>
      <c r="AW467" s="12" t="n"/>
      <c r="AX467" s="13" t="n"/>
      <c r="AY467" s="14" t="n"/>
      <c r="AZ467" s="12" t="n"/>
      <c r="BA467" s="13" t="n"/>
      <c r="BB467" s="14" t="n"/>
      <c r="BC467" s="11">
        <f>IF(O467="","",IF(J467="GST 10%",ROUND(O467*set_GSTRate,2),0))</f>
        <v/>
      </c>
      <c r="BD467" s="11">
        <f>IF(O467="","",O467+BC467)</f>
        <v/>
      </c>
      <c r="BE467" s="15">
        <f>IF(O467="","",COUNTA(S467,V467,Y467,AB467,AE467,AH467,AK467,AN467,AQ467,AT467,AW467,AZ467))</f>
        <v/>
      </c>
      <c r="BF467" s="16">
        <f>IF(COUNT(T467,W467,Z467,AC467,AF467,AI467,AL467,AO467,AR467,AU467,AX467,BA467)=0,"",MAX(T467,W467,Z467,AC467,AF467,AI467,AL467,AO467,AR467,AU467,AX467,BA467))</f>
        <v/>
      </c>
      <c r="BG467" s="10">
        <f>MID(IF(S467="","",", "&amp;S467)&amp;IF(V467="","",", "&amp;V467)&amp;IF(Y467="","",", "&amp;Y467)&amp;IF(AB467="","",", "&amp;AB467)&amp;IF(AE467="","",", "&amp;AE467)&amp;IF(AH467="","",", "&amp;AH467)&amp;IF(AK467="","",", "&amp;AK467)&amp;IF(AN467="","",", "&amp;AN467)&amp;IF(AQ467="","",", "&amp;AQ467)&amp;IF(AT467="","",", "&amp;AT467)&amp;IF(AW467="","",", "&amp;AW467)&amp;IF(AZ467="","",", "&amp;AZ467),3,500)</f>
        <v/>
      </c>
      <c r="BH467" s="12" t="n"/>
      <c r="BI467" s="15">
        <f>IFERROR(MATCH($A467,IF($B467="Onsite",tbl_Onsite[Row ID],IF($B467="Production",tbl_Production[Row ID],tbl_Consulting[Row ID])),0),"")</f>
        <v/>
      </c>
    </row>
    <row r="468">
      <c r="A468" s="10" t="inlineStr">
        <is>
          <t>ONS-0462</t>
        </is>
      </c>
      <c r="B468" s="10" t="inlineStr">
        <is>
          <t>Onsite</t>
        </is>
      </c>
      <c r="C468" s="10">
        <f>IF($BI468="","",IF($B468="Onsite",INDEX(tbl_Onsite[Job Number],$BI468),IF($B468="Production",INDEX(tbl_Production[Job Number],$BI468),INDEX(tbl_Consulting[Job Number],$BI468)))&amp;"")</f>
        <v/>
      </c>
      <c r="D468" s="10">
        <f>IF($BI468="","",IF($B468="Onsite",INDEX(tbl_Onsite[Client],$BI468),IF($B468="Production",INDEX(tbl_Production[Client],$BI468),INDEX(tbl_Consulting[Client],$BI468)))&amp;"")</f>
        <v/>
      </c>
      <c r="E468" s="10">
        <f>IF($C468="","",IF(COUNTIF(lst_Jobs,$C468)&gt;0,"OK","CHECK"))</f>
        <v/>
      </c>
      <c r="F468" s="10">
        <f>IF($C468="","",IFERROR(INDEX(lst_JobName,MATCH($C468,lst_Jobs,0)),""))</f>
        <v/>
      </c>
      <c r="G468" s="10">
        <f>IF($BI468="","",IF($B468="Onsite",INDEX(tbl_Onsite[Job Description],$BI468),IF($B468="Production",INDEX(tbl_Production[Job Description],$BI468),INDEX(tbl_Consulting[Job Description],$BI468)))&amp;"")</f>
        <v/>
      </c>
      <c r="H468" s="10">
        <f>IF($BI468="","",IF($B468="Onsite",INDEX(tbl_Onsite[Cost Centre],$BI468),IF($B468="Production",INDEX(tbl_Production[Cost Centre],$BI468),INDEX(tbl_Consulting[Cost Centre],$BI468)))&amp;"")</f>
        <v/>
      </c>
      <c r="I468" s="10">
        <f>IF($BI468="","",IF($B468="Onsite",INDEX(tbl_Onsite[Invoice Type],$BI468),IF($B468="Production",INDEX(tbl_Production[Invoice Type],$BI468),INDEX(tbl_Consulting[Invoice Type],$BI468)))&amp;"")</f>
        <v/>
      </c>
      <c r="J468" s="10">
        <f>IF($BI468="","",IF($B468="Onsite",INDEX(tbl_Onsite[Tax Code],$BI468),IF($B468="Production",INDEX(tbl_Production[Tax Code],$BI468),INDEX(tbl_Consulting[Tax Code],$BI468)))&amp;"")</f>
        <v/>
      </c>
      <c r="K468" s="10">
        <f>IF(H468="","",IFERROR(INDEX(lst_CCtoGL,MATCH(H468,lst_CCforGL,0)),""))</f>
        <v/>
      </c>
      <c r="L468" s="10">
        <f>IF($BI468="","",IF($B468="Onsite",INDEX(tbl_Onsite[PO / Reference],$BI468),IF($B468="Production",INDEX(tbl_Production[Current RMS No],$BI468),INDEX(tbl_Consulting[Qwilr Quote],$BI468)))&amp;"")</f>
        <v/>
      </c>
      <c r="M468" s="10">
        <f>IF($BI468="","",IF($B468="Onsite",INDEX(tbl_Onsite[Notes],$BI468),IF($B468="Production",INDEX(tbl_Production[Notes],$BI468),INDEX(tbl_Consulting[Notes],$BI468)))&amp;"")</f>
        <v/>
      </c>
      <c r="N468" s="11">
        <f>IF($BI468="","",IF(IF($B468="Onsite",INDEX(tbl_Onsite[Expected Revenue Ex GST],$BI468),IF($B468="Production",INDEX(tbl_Production[Expected Revenue Ex GST],$BI468),INDEX(tbl_Consulting[Expected Revenue Ex GST],$BI468)))="","",IF($B468="Onsite",INDEX(tbl_Onsite[Expected Revenue Ex GST],$BI468),IF($B468="Production",INDEX(tbl_Production[Expected Revenue Ex GST],$BI468),INDEX(tbl_Consulting[Expected Revenue Ex GST],$BI468)))))</f>
        <v/>
      </c>
      <c r="O468" s="11">
        <f>IF(AND($C468="",NOT(COUNTA($S468:$BB468)&gt;0)),"",SUM(U468,X468,AA468,AD468,AG468,AJ468,AM468,AP468,AS468,AV468,AY468,BB468))</f>
        <v/>
      </c>
      <c r="P468" s="11">
        <f>IF(O468="","",N(N468)-O468)</f>
        <v/>
      </c>
      <c r="Q468" s="10">
        <f>IF(O468="","",IF($C468="","Invoice on empty job row",IF(N468="",IF(ROUND(O468,2)=0,"No dept value","Invoiced - no dept value"),IF(ROUND(O468,2)=0,"Not invoiced - to invoice",IF(ROUND(P468,2)=0,"Agrees",IF(P468&gt;0,"Dept higher - to invoice","Xero higher - check dept"))))))</f>
        <v/>
      </c>
      <c r="R468" s="10">
        <f>IF(AND($C468="",NOT(COUNTA($S468:$BB468)&gt;0),$BI468&lt;&gt;""),"",MID(IF($BI468="","; Row ID not found on the department sheet - a row was deleted","")&amp;IF(AND($C468="",COUNTA($S468:$BB468)&gt;0),"; Invoice entered but the department row has no job number","")&amp;IF(E468="CHECK","; Job number not in the Xero job list","")&amp;IF(AND($C468&lt;&gt;"",COUNTIF($C$7:$C$1506,$C468)&gt;1),"; Job number on more than one row","")&amp;IF(AND($C468&lt;&gt;"",H468=""),"; Dept has not set a cost centre","")&amp;IF(AND($C468&lt;&gt;"",J468=""),"; Dept has not set a tax code","")&amp;IF(AND($C468&lt;&gt;"",N468=""),"; Dept has not entered an expected value","")&amp;IF((IF(OR(COUNTA(S468:U468)=0,AND(COUNTA(S468:U468)=3,ISNUMBER(U468))),0,1)+IF(OR(COUNTA(V468:X468)=0,AND(COUNTA(V468:X468)=3,ISNUMBER(X468))),0,1)+IF(OR(COUNTA(Y468:AA468)=0,AND(COUNTA(Y468:AA468)=3,ISNUMBER(AA468))),0,1)+IF(OR(COUNTA(AB468:AD468)=0,AND(COUNTA(AB468:AD468)=3,ISNUMBER(AD468))),0,1)+IF(OR(COUNTA(AE468:AG468)=0,AND(COUNTA(AE468:AG468)=3,ISNUMBER(AG468))),0,1)+IF(OR(COUNTA(AH468:AJ468)=0,AND(COUNTA(AH468:AJ468)=3,ISNUMBER(AJ468))),0,1)+IF(OR(COUNTA(AK468:AM468)=0,AND(COUNTA(AK468:AM468)=3,ISNUMBER(AM468))),0,1)+IF(OR(COUNTA(AN468:AP468)=0,AND(COUNTA(AN468:AP468)=3,ISNUMBER(AP468))),0,1)+IF(OR(COUNTA(AQ468:AS468)=0,AND(COUNTA(AQ468:AS468)=3,ISNUMBER(AS468))),0,1)+IF(OR(COUNTA(AT468:AV468)=0,AND(COUNTA(AT468:AV468)=3,ISNUMBER(AV468))),0,1)+IF(OR(COUNTA(AW468:AY468)=0,AND(COUNTA(AW468:AY468)=3,ISNUMBER(AY468))),0,1)+IF(OR(COUNTA(AZ468:BB468)=0,AND(COUNTA(AZ468:BB468)=3,ISNUMBER(BB468))),0,1))&gt;0,"; An invoice is incomplete (needs No, Date and a number in Ex GST)","")&amp;IF((IF(T468="",0,IFERROR(--(EOMONTH(T468,0)&lt;&gt;S$5),1))+IF(W468="",0,IFERROR(--(EOMONTH(W468,0)&lt;&gt;V$5),1))+IF(Z468="",0,IFERROR(--(EOMONTH(Z468,0)&lt;&gt;Y$5),1))+IF(AC468="",0,IFERROR(--(EOMONTH(AC468,0)&lt;&gt;AB$5),1))+IF(AF468="",0,IFERROR(--(EOMONTH(AF468,0)&lt;&gt;AE$5),1))+IF(AI468="",0,IFERROR(--(EOMONTH(AI468,0)&lt;&gt;AH$5),1))+IF(AL468="",0,IFERROR(--(EOMONTH(AL468,0)&lt;&gt;AK$5),1))+IF(AO468="",0,IFERROR(--(EOMONTH(AO468,0)&lt;&gt;AN$5),1))+IF(AR468="",0,IFERROR(--(EOMONTH(AR468,0)&lt;&gt;AQ$5),1))+IF(AU468="",0,IFERROR(--(EOMONTH(AU468,0)&lt;&gt;AT$5),1))+IF(AX468="",0,IFERROR(--(EOMONTH(AX468,0)&lt;&gt;AW$5),1))+IF(BA468="",0,IFERROR(--(EOMONTH(BA468,0)&lt;&gt;AZ$5),1)))&gt;0,"; An invoice date is not in the month it is typed under",""),3,500))</f>
        <v/>
      </c>
      <c r="S468" s="12" t="n"/>
      <c r="T468" s="13" t="n"/>
      <c r="U468" s="14" t="n"/>
      <c r="V468" s="12" t="n"/>
      <c r="W468" s="13" t="n"/>
      <c r="X468" s="14" t="n"/>
      <c r="Y468" s="12" t="n"/>
      <c r="Z468" s="13" t="n"/>
      <c r="AA468" s="14" t="n"/>
      <c r="AB468" s="12" t="n"/>
      <c r="AC468" s="13" t="n"/>
      <c r="AD468" s="14" t="n"/>
      <c r="AE468" s="12" t="n"/>
      <c r="AF468" s="13" t="n"/>
      <c r="AG468" s="14" t="n"/>
      <c r="AH468" s="12" t="n"/>
      <c r="AI468" s="13" t="n"/>
      <c r="AJ468" s="14" t="n"/>
      <c r="AK468" s="12" t="n"/>
      <c r="AL468" s="13" t="n"/>
      <c r="AM468" s="14" t="n"/>
      <c r="AN468" s="12" t="n"/>
      <c r="AO468" s="13" t="n"/>
      <c r="AP468" s="14" t="n"/>
      <c r="AQ468" s="12" t="n"/>
      <c r="AR468" s="13" t="n"/>
      <c r="AS468" s="14" t="n"/>
      <c r="AT468" s="12" t="n"/>
      <c r="AU468" s="13" t="n"/>
      <c r="AV468" s="14" t="n"/>
      <c r="AW468" s="12" t="n"/>
      <c r="AX468" s="13" t="n"/>
      <c r="AY468" s="14" t="n"/>
      <c r="AZ468" s="12" t="n"/>
      <c r="BA468" s="13" t="n"/>
      <c r="BB468" s="14" t="n"/>
      <c r="BC468" s="11">
        <f>IF(O468="","",IF(J468="GST 10%",ROUND(O468*set_GSTRate,2),0))</f>
        <v/>
      </c>
      <c r="BD468" s="11">
        <f>IF(O468="","",O468+BC468)</f>
        <v/>
      </c>
      <c r="BE468" s="15">
        <f>IF(O468="","",COUNTA(S468,V468,Y468,AB468,AE468,AH468,AK468,AN468,AQ468,AT468,AW468,AZ468))</f>
        <v/>
      </c>
      <c r="BF468" s="16">
        <f>IF(COUNT(T468,W468,Z468,AC468,AF468,AI468,AL468,AO468,AR468,AU468,AX468,BA468)=0,"",MAX(T468,W468,Z468,AC468,AF468,AI468,AL468,AO468,AR468,AU468,AX468,BA468))</f>
        <v/>
      </c>
      <c r="BG468" s="10">
        <f>MID(IF(S468="","",", "&amp;S468)&amp;IF(V468="","",", "&amp;V468)&amp;IF(Y468="","",", "&amp;Y468)&amp;IF(AB468="","",", "&amp;AB468)&amp;IF(AE468="","",", "&amp;AE468)&amp;IF(AH468="","",", "&amp;AH468)&amp;IF(AK468="","",", "&amp;AK468)&amp;IF(AN468="","",", "&amp;AN468)&amp;IF(AQ468="","",", "&amp;AQ468)&amp;IF(AT468="","",", "&amp;AT468)&amp;IF(AW468="","",", "&amp;AW468)&amp;IF(AZ468="","",", "&amp;AZ468),3,500)</f>
        <v/>
      </c>
      <c r="BH468" s="12" t="n"/>
      <c r="BI468" s="15">
        <f>IFERROR(MATCH($A468,IF($B468="Onsite",tbl_Onsite[Row ID],IF($B468="Production",tbl_Production[Row ID],tbl_Consulting[Row ID])),0),"")</f>
        <v/>
      </c>
    </row>
    <row r="469">
      <c r="A469" s="10" t="inlineStr">
        <is>
          <t>ONS-0463</t>
        </is>
      </c>
      <c r="B469" s="10" t="inlineStr">
        <is>
          <t>Onsite</t>
        </is>
      </c>
      <c r="C469" s="10">
        <f>IF($BI469="","",IF($B469="Onsite",INDEX(tbl_Onsite[Job Number],$BI469),IF($B469="Production",INDEX(tbl_Production[Job Number],$BI469),INDEX(tbl_Consulting[Job Number],$BI469)))&amp;"")</f>
        <v/>
      </c>
      <c r="D469" s="10">
        <f>IF($BI469="","",IF($B469="Onsite",INDEX(tbl_Onsite[Client],$BI469),IF($B469="Production",INDEX(tbl_Production[Client],$BI469),INDEX(tbl_Consulting[Client],$BI469)))&amp;"")</f>
        <v/>
      </c>
      <c r="E469" s="10">
        <f>IF($C469="","",IF(COUNTIF(lst_Jobs,$C469)&gt;0,"OK","CHECK"))</f>
        <v/>
      </c>
      <c r="F469" s="10">
        <f>IF($C469="","",IFERROR(INDEX(lst_JobName,MATCH($C469,lst_Jobs,0)),""))</f>
        <v/>
      </c>
      <c r="G469" s="10">
        <f>IF($BI469="","",IF($B469="Onsite",INDEX(tbl_Onsite[Job Description],$BI469),IF($B469="Production",INDEX(tbl_Production[Job Description],$BI469),INDEX(tbl_Consulting[Job Description],$BI469)))&amp;"")</f>
        <v/>
      </c>
      <c r="H469" s="10">
        <f>IF($BI469="","",IF($B469="Onsite",INDEX(tbl_Onsite[Cost Centre],$BI469),IF($B469="Production",INDEX(tbl_Production[Cost Centre],$BI469),INDEX(tbl_Consulting[Cost Centre],$BI469)))&amp;"")</f>
        <v/>
      </c>
      <c r="I469" s="10">
        <f>IF($BI469="","",IF($B469="Onsite",INDEX(tbl_Onsite[Invoice Type],$BI469),IF($B469="Production",INDEX(tbl_Production[Invoice Type],$BI469),INDEX(tbl_Consulting[Invoice Type],$BI469)))&amp;"")</f>
        <v/>
      </c>
      <c r="J469" s="10">
        <f>IF($BI469="","",IF($B469="Onsite",INDEX(tbl_Onsite[Tax Code],$BI469),IF($B469="Production",INDEX(tbl_Production[Tax Code],$BI469),INDEX(tbl_Consulting[Tax Code],$BI469)))&amp;"")</f>
        <v/>
      </c>
      <c r="K469" s="10">
        <f>IF(H469="","",IFERROR(INDEX(lst_CCtoGL,MATCH(H469,lst_CCforGL,0)),""))</f>
        <v/>
      </c>
      <c r="L469" s="10">
        <f>IF($BI469="","",IF($B469="Onsite",INDEX(tbl_Onsite[PO / Reference],$BI469),IF($B469="Production",INDEX(tbl_Production[Current RMS No],$BI469),INDEX(tbl_Consulting[Qwilr Quote],$BI469)))&amp;"")</f>
        <v/>
      </c>
      <c r="M469" s="10">
        <f>IF($BI469="","",IF($B469="Onsite",INDEX(tbl_Onsite[Notes],$BI469),IF($B469="Production",INDEX(tbl_Production[Notes],$BI469),INDEX(tbl_Consulting[Notes],$BI469)))&amp;"")</f>
        <v/>
      </c>
      <c r="N469" s="11">
        <f>IF($BI469="","",IF(IF($B469="Onsite",INDEX(tbl_Onsite[Expected Revenue Ex GST],$BI469),IF($B469="Production",INDEX(tbl_Production[Expected Revenue Ex GST],$BI469),INDEX(tbl_Consulting[Expected Revenue Ex GST],$BI469)))="","",IF($B469="Onsite",INDEX(tbl_Onsite[Expected Revenue Ex GST],$BI469),IF($B469="Production",INDEX(tbl_Production[Expected Revenue Ex GST],$BI469),INDEX(tbl_Consulting[Expected Revenue Ex GST],$BI469)))))</f>
        <v/>
      </c>
      <c r="O469" s="11">
        <f>IF(AND($C469="",NOT(COUNTA($S469:$BB469)&gt;0)),"",SUM(U469,X469,AA469,AD469,AG469,AJ469,AM469,AP469,AS469,AV469,AY469,BB469))</f>
        <v/>
      </c>
      <c r="P469" s="11">
        <f>IF(O469="","",N(N469)-O469)</f>
        <v/>
      </c>
      <c r="Q469" s="10">
        <f>IF(O469="","",IF($C469="","Invoice on empty job row",IF(N469="",IF(ROUND(O469,2)=0,"No dept value","Invoiced - no dept value"),IF(ROUND(O469,2)=0,"Not invoiced - to invoice",IF(ROUND(P469,2)=0,"Agrees",IF(P469&gt;0,"Dept higher - to invoice","Xero higher - check dept"))))))</f>
        <v/>
      </c>
      <c r="R469" s="10">
        <f>IF(AND($C469="",NOT(COUNTA($S469:$BB469)&gt;0),$BI469&lt;&gt;""),"",MID(IF($BI469="","; Row ID not found on the department sheet - a row was deleted","")&amp;IF(AND($C469="",COUNTA($S469:$BB469)&gt;0),"; Invoice entered but the department row has no job number","")&amp;IF(E469="CHECK","; Job number not in the Xero job list","")&amp;IF(AND($C469&lt;&gt;"",COUNTIF($C$7:$C$1506,$C469)&gt;1),"; Job number on more than one row","")&amp;IF(AND($C469&lt;&gt;"",H469=""),"; Dept has not set a cost centre","")&amp;IF(AND($C469&lt;&gt;"",J469=""),"; Dept has not set a tax code","")&amp;IF(AND($C469&lt;&gt;"",N469=""),"; Dept has not entered an expected value","")&amp;IF((IF(OR(COUNTA(S469:U469)=0,AND(COUNTA(S469:U469)=3,ISNUMBER(U469))),0,1)+IF(OR(COUNTA(V469:X469)=0,AND(COUNTA(V469:X469)=3,ISNUMBER(X469))),0,1)+IF(OR(COUNTA(Y469:AA469)=0,AND(COUNTA(Y469:AA469)=3,ISNUMBER(AA469))),0,1)+IF(OR(COUNTA(AB469:AD469)=0,AND(COUNTA(AB469:AD469)=3,ISNUMBER(AD469))),0,1)+IF(OR(COUNTA(AE469:AG469)=0,AND(COUNTA(AE469:AG469)=3,ISNUMBER(AG469))),0,1)+IF(OR(COUNTA(AH469:AJ469)=0,AND(COUNTA(AH469:AJ469)=3,ISNUMBER(AJ469))),0,1)+IF(OR(COUNTA(AK469:AM469)=0,AND(COUNTA(AK469:AM469)=3,ISNUMBER(AM469))),0,1)+IF(OR(COUNTA(AN469:AP469)=0,AND(COUNTA(AN469:AP469)=3,ISNUMBER(AP469))),0,1)+IF(OR(COUNTA(AQ469:AS469)=0,AND(COUNTA(AQ469:AS469)=3,ISNUMBER(AS469))),0,1)+IF(OR(COUNTA(AT469:AV469)=0,AND(COUNTA(AT469:AV469)=3,ISNUMBER(AV469))),0,1)+IF(OR(COUNTA(AW469:AY469)=0,AND(COUNTA(AW469:AY469)=3,ISNUMBER(AY469))),0,1)+IF(OR(COUNTA(AZ469:BB469)=0,AND(COUNTA(AZ469:BB469)=3,ISNUMBER(BB469))),0,1))&gt;0,"; An invoice is incomplete (needs No, Date and a number in Ex GST)","")&amp;IF((IF(T469="",0,IFERROR(--(EOMONTH(T469,0)&lt;&gt;S$5),1))+IF(W469="",0,IFERROR(--(EOMONTH(W469,0)&lt;&gt;V$5),1))+IF(Z469="",0,IFERROR(--(EOMONTH(Z469,0)&lt;&gt;Y$5),1))+IF(AC469="",0,IFERROR(--(EOMONTH(AC469,0)&lt;&gt;AB$5),1))+IF(AF469="",0,IFERROR(--(EOMONTH(AF469,0)&lt;&gt;AE$5),1))+IF(AI469="",0,IFERROR(--(EOMONTH(AI469,0)&lt;&gt;AH$5),1))+IF(AL469="",0,IFERROR(--(EOMONTH(AL469,0)&lt;&gt;AK$5),1))+IF(AO469="",0,IFERROR(--(EOMONTH(AO469,0)&lt;&gt;AN$5),1))+IF(AR469="",0,IFERROR(--(EOMONTH(AR469,0)&lt;&gt;AQ$5),1))+IF(AU469="",0,IFERROR(--(EOMONTH(AU469,0)&lt;&gt;AT$5),1))+IF(AX469="",0,IFERROR(--(EOMONTH(AX469,0)&lt;&gt;AW$5),1))+IF(BA469="",0,IFERROR(--(EOMONTH(BA469,0)&lt;&gt;AZ$5),1)))&gt;0,"; An invoice date is not in the month it is typed under",""),3,500))</f>
        <v/>
      </c>
      <c r="S469" s="12" t="n"/>
      <c r="T469" s="13" t="n"/>
      <c r="U469" s="14" t="n"/>
      <c r="V469" s="12" t="n"/>
      <c r="W469" s="13" t="n"/>
      <c r="X469" s="14" t="n"/>
      <c r="Y469" s="12" t="n"/>
      <c r="Z469" s="13" t="n"/>
      <c r="AA469" s="14" t="n"/>
      <c r="AB469" s="12" t="n"/>
      <c r="AC469" s="13" t="n"/>
      <c r="AD469" s="14" t="n"/>
      <c r="AE469" s="12" t="n"/>
      <c r="AF469" s="13" t="n"/>
      <c r="AG469" s="14" t="n"/>
      <c r="AH469" s="12" t="n"/>
      <c r="AI469" s="13" t="n"/>
      <c r="AJ469" s="14" t="n"/>
      <c r="AK469" s="12" t="n"/>
      <c r="AL469" s="13" t="n"/>
      <c r="AM469" s="14" t="n"/>
      <c r="AN469" s="12" t="n"/>
      <c r="AO469" s="13" t="n"/>
      <c r="AP469" s="14" t="n"/>
      <c r="AQ469" s="12" t="n"/>
      <c r="AR469" s="13" t="n"/>
      <c r="AS469" s="14" t="n"/>
      <c r="AT469" s="12" t="n"/>
      <c r="AU469" s="13" t="n"/>
      <c r="AV469" s="14" t="n"/>
      <c r="AW469" s="12" t="n"/>
      <c r="AX469" s="13" t="n"/>
      <c r="AY469" s="14" t="n"/>
      <c r="AZ469" s="12" t="n"/>
      <c r="BA469" s="13" t="n"/>
      <c r="BB469" s="14" t="n"/>
      <c r="BC469" s="11">
        <f>IF(O469="","",IF(J469="GST 10%",ROUND(O469*set_GSTRate,2),0))</f>
        <v/>
      </c>
      <c r="BD469" s="11">
        <f>IF(O469="","",O469+BC469)</f>
        <v/>
      </c>
      <c r="BE469" s="15">
        <f>IF(O469="","",COUNTA(S469,V469,Y469,AB469,AE469,AH469,AK469,AN469,AQ469,AT469,AW469,AZ469))</f>
        <v/>
      </c>
      <c r="BF469" s="16">
        <f>IF(COUNT(T469,W469,Z469,AC469,AF469,AI469,AL469,AO469,AR469,AU469,AX469,BA469)=0,"",MAX(T469,W469,Z469,AC469,AF469,AI469,AL469,AO469,AR469,AU469,AX469,BA469))</f>
        <v/>
      </c>
      <c r="BG469" s="10">
        <f>MID(IF(S469="","",", "&amp;S469)&amp;IF(V469="","",", "&amp;V469)&amp;IF(Y469="","",", "&amp;Y469)&amp;IF(AB469="","",", "&amp;AB469)&amp;IF(AE469="","",", "&amp;AE469)&amp;IF(AH469="","",", "&amp;AH469)&amp;IF(AK469="","",", "&amp;AK469)&amp;IF(AN469="","",", "&amp;AN469)&amp;IF(AQ469="","",", "&amp;AQ469)&amp;IF(AT469="","",", "&amp;AT469)&amp;IF(AW469="","",", "&amp;AW469)&amp;IF(AZ469="","",", "&amp;AZ469),3,500)</f>
        <v/>
      </c>
      <c r="BH469" s="12" t="n"/>
      <c r="BI469" s="15">
        <f>IFERROR(MATCH($A469,IF($B469="Onsite",tbl_Onsite[Row ID],IF($B469="Production",tbl_Production[Row ID],tbl_Consulting[Row ID])),0),"")</f>
        <v/>
      </c>
    </row>
    <row r="470">
      <c r="A470" s="10" t="inlineStr">
        <is>
          <t>ONS-0464</t>
        </is>
      </c>
      <c r="B470" s="10" t="inlineStr">
        <is>
          <t>Onsite</t>
        </is>
      </c>
      <c r="C470" s="10">
        <f>IF($BI470="","",IF($B470="Onsite",INDEX(tbl_Onsite[Job Number],$BI470),IF($B470="Production",INDEX(tbl_Production[Job Number],$BI470),INDEX(tbl_Consulting[Job Number],$BI470)))&amp;"")</f>
        <v/>
      </c>
      <c r="D470" s="10">
        <f>IF($BI470="","",IF($B470="Onsite",INDEX(tbl_Onsite[Client],$BI470),IF($B470="Production",INDEX(tbl_Production[Client],$BI470),INDEX(tbl_Consulting[Client],$BI470)))&amp;"")</f>
        <v/>
      </c>
      <c r="E470" s="10">
        <f>IF($C470="","",IF(COUNTIF(lst_Jobs,$C470)&gt;0,"OK","CHECK"))</f>
        <v/>
      </c>
      <c r="F470" s="10">
        <f>IF($C470="","",IFERROR(INDEX(lst_JobName,MATCH($C470,lst_Jobs,0)),""))</f>
        <v/>
      </c>
      <c r="G470" s="10">
        <f>IF($BI470="","",IF($B470="Onsite",INDEX(tbl_Onsite[Job Description],$BI470),IF($B470="Production",INDEX(tbl_Production[Job Description],$BI470),INDEX(tbl_Consulting[Job Description],$BI470)))&amp;"")</f>
        <v/>
      </c>
      <c r="H470" s="10">
        <f>IF($BI470="","",IF($B470="Onsite",INDEX(tbl_Onsite[Cost Centre],$BI470),IF($B470="Production",INDEX(tbl_Production[Cost Centre],$BI470),INDEX(tbl_Consulting[Cost Centre],$BI470)))&amp;"")</f>
        <v/>
      </c>
      <c r="I470" s="10">
        <f>IF($BI470="","",IF($B470="Onsite",INDEX(tbl_Onsite[Invoice Type],$BI470),IF($B470="Production",INDEX(tbl_Production[Invoice Type],$BI470),INDEX(tbl_Consulting[Invoice Type],$BI470)))&amp;"")</f>
        <v/>
      </c>
      <c r="J470" s="10">
        <f>IF($BI470="","",IF($B470="Onsite",INDEX(tbl_Onsite[Tax Code],$BI470),IF($B470="Production",INDEX(tbl_Production[Tax Code],$BI470),INDEX(tbl_Consulting[Tax Code],$BI470)))&amp;"")</f>
        <v/>
      </c>
      <c r="K470" s="10">
        <f>IF(H470="","",IFERROR(INDEX(lst_CCtoGL,MATCH(H470,lst_CCforGL,0)),""))</f>
        <v/>
      </c>
      <c r="L470" s="10">
        <f>IF($BI470="","",IF($B470="Onsite",INDEX(tbl_Onsite[PO / Reference],$BI470),IF($B470="Production",INDEX(tbl_Production[Current RMS No],$BI470),INDEX(tbl_Consulting[Qwilr Quote],$BI470)))&amp;"")</f>
        <v/>
      </c>
      <c r="M470" s="10">
        <f>IF($BI470="","",IF($B470="Onsite",INDEX(tbl_Onsite[Notes],$BI470),IF($B470="Production",INDEX(tbl_Production[Notes],$BI470),INDEX(tbl_Consulting[Notes],$BI470)))&amp;"")</f>
        <v/>
      </c>
      <c r="N470" s="11">
        <f>IF($BI470="","",IF(IF($B470="Onsite",INDEX(tbl_Onsite[Expected Revenue Ex GST],$BI470),IF($B470="Production",INDEX(tbl_Production[Expected Revenue Ex GST],$BI470),INDEX(tbl_Consulting[Expected Revenue Ex GST],$BI470)))="","",IF($B470="Onsite",INDEX(tbl_Onsite[Expected Revenue Ex GST],$BI470),IF($B470="Production",INDEX(tbl_Production[Expected Revenue Ex GST],$BI470),INDEX(tbl_Consulting[Expected Revenue Ex GST],$BI470)))))</f>
        <v/>
      </c>
      <c r="O470" s="11">
        <f>IF(AND($C470="",NOT(COUNTA($S470:$BB470)&gt;0)),"",SUM(U470,X470,AA470,AD470,AG470,AJ470,AM470,AP470,AS470,AV470,AY470,BB470))</f>
        <v/>
      </c>
      <c r="P470" s="11">
        <f>IF(O470="","",N(N470)-O470)</f>
        <v/>
      </c>
      <c r="Q470" s="10">
        <f>IF(O470="","",IF($C470="","Invoice on empty job row",IF(N470="",IF(ROUND(O470,2)=0,"No dept value","Invoiced - no dept value"),IF(ROUND(O470,2)=0,"Not invoiced - to invoice",IF(ROUND(P470,2)=0,"Agrees",IF(P470&gt;0,"Dept higher - to invoice","Xero higher - check dept"))))))</f>
        <v/>
      </c>
      <c r="R470" s="10">
        <f>IF(AND($C470="",NOT(COUNTA($S470:$BB470)&gt;0),$BI470&lt;&gt;""),"",MID(IF($BI470="","; Row ID not found on the department sheet - a row was deleted","")&amp;IF(AND($C470="",COUNTA($S470:$BB470)&gt;0),"; Invoice entered but the department row has no job number","")&amp;IF(E470="CHECK","; Job number not in the Xero job list","")&amp;IF(AND($C470&lt;&gt;"",COUNTIF($C$7:$C$1506,$C470)&gt;1),"; Job number on more than one row","")&amp;IF(AND($C470&lt;&gt;"",H470=""),"; Dept has not set a cost centre","")&amp;IF(AND($C470&lt;&gt;"",J470=""),"; Dept has not set a tax code","")&amp;IF(AND($C470&lt;&gt;"",N470=""),"; Dept has not entered an expected value","")&amp;IF((IF(OR(COUNTA(S470:U470)=0,AND(COUNTA(S470:U470)=3,ISNUMBER(U470))),0,1)+IF(OR(COUNTA(V470:X470)=0,AND(COUNTA(V470:X470)=3,ISNUMBER(X470))),0,1)+IF(OR(COUNTA(Y470:AA470)=0,AND(COUNTA(Y470:AA470)=3,ISNUMBER(AA470))),0,1)+IF(OR(COUNTA(AB470:AD470)=0,AND(COUNTA(AB470:AD470)=3,ISNUMBER(AD470))),0,1)+IF(OR(COUNTA(AE470:AG470)=0,AND(COUNTA(AE470:AG470)=3,ISNUMBER(AG470))),0,1)+IF(OR(COUNTA(AH470:AJ470)=0,AND(COUNTA(AH470:AJ470)=3,ISNUMBER(AJ470))),0,1)+IF(OR(COUNTA(AK470:AM470)=0,AND(COUNTA(AK470:AM470)=3,ISNUMBER(AM470))),0,1)+IF(OR(COUNTA(AN470:AP470)=0,AND(COUNTA(AN470:AP470)=3,ISNUMBER(AP470))),0,1)+IF(OR(COUNTA(AQ470:AS470)=0,AND(COUNTA(AQ470:AS470)=3,ISNUMBER(AS470))),0,1)+IF(OR(COUNTA(AT470:AV470)=0,AND(COUNTA(AT470:AV470)=3,ISNUMBER(AV470))),0,1)+IF(OR(COUNTA(AW470:AY470)=0,AND(COUNTA(AW470:AY470)=3,ISNUMBER(AY470))),0,1)+IF(OR(COUNTA(AZ470:BB470)=0,AND(COUNTA(AZ470:BB470)=3,ISNUMBER(BB470))),0,1))&gt;0,"; An invoice is incomplete (needs No, Date and a number in Ex GST)","")&amp;IF((IF(T470="",0,IFERROR(--(EOMONTH(T470,0)&lt;&gt;S$5),1))+IF(W470="",0,IFERROR(--(EOMONTH(W470,0)&lt;&gt;V$5),1))+IF(Z470="",0,IFERROR(--(EOMONTH(Z470,0)&lt;&gt;Y$5),1))+IF(AC470="",0,IFERROR(--(EOMONTH(AC470,0)&lt;&gt;AB$5),1))+IF(AF470="",0,IFERROR(--(EOMONTH(AF470,0)&lt;&gt;AE$5),1))+IF(AI470="",0,IFERROR(--(EOMONTH(AI470,0)&lt;&gt;AH$5),1))+IF(AL470="",0,IFERROR(--(EOMONTH(AL470,0)&lt;&gt;AK$5),1))+IF(AO470="",0,IFERROR(--(EOMONTH(AO470,0)&lt;&gt;AN$5),1))+IF(AR470="",0,IFERROR(--(EOMONTH(AR470,0)&lt;&gt;AQ$5),1))+IF(AU470="",0,IFERROR(--(EOMONTH(AU470,0)&lt;&gt;AT$5),1))+IF(AX470="",0,IFERROR(--(EOMONTH(AX470,0)&lt;&gt;AW$5),1))+IF(BA470="",0,IFERROR(--(EOMONTH(BA470,0)&lt;&gt;AZ$5),1)))&gt;0,"; An invoice date is not in the month it is typed under",""),3,500))</f>
        <v/>
      </c>
      <c r="S470" s="12" t="n"/>
      <c r="T470" s="13" t="n"/>
      <c r="U470" s="14" t="n"/>
      <c r="V470" s="12" t="n"/>
      <c r="W470" s="13" t="n"/>
      <c r="X470" s="14" t="n"/>
      <c r="Y470" s="12" t="n"/>
      <c r="Z470" s="13" t="n"/>
      <c r="AA470" s="14" t="n"/>
      <c r="AB470" s="12" t="n"/>
      <c r="AC470" s="13" t="n"/>
      <c r="AD470" s="14" t="n"/>
      <c r="AE470" s="12" t="n"/>
      <c r="AF470" s="13" t="n"/>
      <c r="AG470" s="14" t="n"/>
      <c r="AH470" s="12" t="n"/>
      <c r="AI470" s="13" t="n"/>
      <c r="AJ470" s="14" t="n"/>
      <c r="AK470" s="12" t="n"/>
      <c r="AL470" s="13" t="n"/>
      <c r="AM470" s="14" t="n"/>
      <c r="AN470" s="12" t="n"/>
      <c r="AO470" s="13" t="n"/>
      <c r="AP470" s="14" t="n"/>
      <c r="AQ470" s="12" t="n"/>
      <c r="AR470" s="13" t="n"/>
      <c r="AS470" s="14" t="n"/>
      <c r="AT470" s="12" t="n"/>
      <c r="AU470" s="13" t="n"/>
      <c r="AV470" s="14" t="n"/>
      <c r="AW470" s="12" t="n"/>
      <c r="AX470" s="13" t="n"/>
      <c r="AY470" s="14" t="n"/>
      <c r="AZ470" s="12" t="n"/>
      <c r="BA470" s="13" t="n"/>
      <c r="BB470" s="14" t="n"/>
      <c r="BC470" s="11">
        <f>IF(O470="","",IF(J470="GST 10%",ROUND(O470*set_GSTRate,2),0))</f>
        <v/>
      </c>
      <c r="BD470" s="11">
        <f>IF(O470="","",O470+BC470)</f>
        <v/>
      </c>
      <c r="BE470" s="15">
        <f>IF(O470="","",COUNTA(S470,V470,Y470,AB470,AE470,AH470,AK470,AN470,AQ470,AT470,AW470,AZ470))</f>
        <v/>
      </c>
      <c r="BF470" s="16">
        <f>IF(COUNT(T470,W470,Z470,AC470,AF470,AI470,AL470,AO470,AR470,AU470,AX470,BA470)=0,"",MAX(T470,W470,Z470,AC470,AF470,AI470,AL470,AO470,AR470,AU470,AX470,BA470))</f>
        <v/>
      </c>
      <c r="BG470" s="10">
        <f>MID(IF(S470="","",", "&amp;S470)&amp;IF(V470="","",", "&amp;V470)&amp;IF(Y470="","",", "&amp;Y470)&amp;IF(AB470="","",", "&amp;AB470)&amp;IF(AE470="","",", "&amp;AE470)&amp;IF(AH470="","",", "&amp;AH470)&amp;IF(AK470="","",", "&amp;AK470)&amp;IF(AN470="","",", "&amp;AN470)&amp;IF(AQ470="","",", "&amp;AQ470)&amp;IF(AT470="","",", "&amp;AT470)&amp;IF(AW470="","",", "&amp;AW470)&amp;IF(AZ470="","",", "&amp;AZ470),3,500)</f>
        <v/>
      </c>
      <c r="BH470" s="12" t="n"/>
      <c r="BI470" s="15">
        <f>IFERROR(MATCH($A470,IF($B470="Onsite",tbl_Onsite[Row ID],IF($B470="Production",tbl_Production[Row ID],tbl_Consulting[Row ID])),0),"")</f>
        <v/>
      </c>
    </row>
    <row r="471">
      <c r="A471" s="10" t="inlineStr">
        <is>
          <t>ONS-0465</t>
        </is>
      </c>
      <c r="B471" s="10" t="inlineStr">
        <is>
          <t>Onsite</t>
        </is>
      </c>
      <c r="C471" s="10">
        <f>IF($BI471="","",IF($B471="Onsite",INDEX(tbl_Onsite[Job Number],$BI471),IF($B471="Production",INDEX(tbl_Production[Job Number],$BI471),INDEX(tbl_Consulting[Job Number],$BI471)))&amp;"")</f>
        <v/>
      </c>
      <c r="D471" s="10">
        <f>IF($BI471="","",IF($B471="Onsite",INDEX(tbl_Onsite[Client],$BI471),IF($B471="Production",INDEX(tbl_Production[Client],$BI471),INDEX(tbl_Consulting[Client],$BI471)))&amp;"")</f>
        <v/>
      </c>
      <c r="E471" s="10">
        <f>IF($C471="","",IF(COUNTIF(lst_Jobs,$C471)&gt;0,"OK","CHECK"))</f>
        <v/>
      </c>
      <c r="F471" s="10">
        <f>IF($C471="","",IFERROR(INDEX(lst_JobName,MATCH($C471,lst_Jobs,0)),""))</f>
        <v/>
      </c>
      <c r="G471" s="10">
        <f>IF($BI471="","",IF($B471="Onsite",INDEX(tbl_Onsite[Job Description],$BI471),IF($B471="Production",INDEX(tbl_Production[Job Description],$BI471),INDEX(tbl_Consulting[Job Description],$BI471)))&amp;"")</f>
        <v/>
      </c>
      <c r="H471" s="10">
        <f>IF($BI471="","",IF($B471="Onsite",INDEX(tbl_Onsite[Cost Centre],$BI471),IF($B471="Production",INDEX(tbl_Production[Cost Centre],$BI471),INDEX(tbl_Consulting[Cost Centre],$BI471)))&amp;"")</f>
        <v/>
      </c>
      <c r="I471" s="10">
        <f>IF($BI471="","",IF($B471="Onsite",INDEX(tbl_Onsite[Invoice Type],$BI471),IF($B471="Production",INDEX(tbl_Production[Invoice Type],$BI471),INDEX(tbl_Consulting[Invoice Type],$BI471)))&amp;"")</f>
        <v/>
      </c>
      <c r="J471" s="10">
        <f>IF($BI471="","",IF($B471="Onsite",INDEX(tbl_Onsite[Tax Code],$BI471),IF($B471="Production",INDEX(tbl_Production[Tax Code],$BI471),INDEX(tbl_Consulting[Tax Code],$BI471)))&amp;"")</f>
        <v/>
      </c>
      <c r="K471" s="10">
        <f>IF(H471="","",IFERROR(INDEX(lst_CCtoGL,MATCH(H471,lst_CCforGL,0)),""))</f>
        <v/>
      </c>
      <c r="L471" s="10">
        <f>IF($BI471="","",IF($B471="Onsite",INDEX(tbl_Onsite[PO / Reference],$BI471),IF($B471="Production",INDEX(tbl_Production[Current RMS No],$BI471),INDEX(tbl_Consulting[Qwilr Quote],$BI471)))&amp;"")</f>
        <v/>
      </c>
      <c r="M471" s="10">
        <f>IF($BI471="","",IF($B471="Onsite",INDEX(tbl_Onsite[Notes],$BI471),IF($B471="Production",INDEX(tbl_Production[Notes],$BI471),INDEX(tbl_Consulting[Notes],$BI471)))&amp;"")</f>
        <v/>
      </c>
      <c r="N471" s="11">
        <f>IF($BI471="","",IF(IF($B471="Onsite",INDEX(tbl_Onsite[Expected Revenue Ex GST],$BI471),IF($B471="Production",INDEX(tbl_Production[Expected Revenue Ex GST],$BI471),INDEX(tbl_Consulting[Expected Revenue Ex GST],$BI471)))="","",IF($B471="Onsite",INDEX(tbl_Onsite[Expected Revenue Ex GST],$BI471),IF($B471="Production",INDEX(tbl_Production[Expected Revenue Ex GST],$BI471),INDEX(tbl_Consulting[Expected Revenue Ex GST],$BI471)))))</f>
        <v/>
      </c>
      <c r="O471" s="11">
        <f>IF(AND($C471="",NOT(COUNTA($S471:$BB471)&gt;0)),"",SUM(U471,X471,AA471,AD471,AG471,AJ471,AM471,AP471,AS471,AV471,AY471,BB471))</f>
        <v/>
      </c>
      <c r="P471" s="11">
        <f>IF(O471="","",N(N471)-O471)</f>
        <v/>
      </c>
      <c r="Q471" s="10">
        <f>IF(O471="","",IF($C471="","Invoice on empty job row",IF(N471="",IF(ROUND(O471,2)=0,"No dept value","Invoiced - no dept value"),IF(ROUND(O471,2)=0,"Not invoiced - to invoice",IF(ROUND(P471,2)=0,"Agrees",IF(P471&gt;0,"Dept higher - to invoice","Xero higher - check dept"))))))</f>
        <v/>
      </c>
      <c r="R471" s="10">
        <f>IF(AND($C471="",NOT(COUNTA($S471:$BB471)&gt;0),$BI471&lt;&gt;""),"",MID(IF($BI471="","; Row ID not found on the department sheet - a row was deleted","")&amp;IF(AND($C471="",COUNTA($S471:$BB471)&gt;0),"; Invoice entered but the department row has no job number","")&amp;IF(E471="CHECK","; Job number not in the Xero job list","")&amp;IF(AND($C471&lt;&gt;"",COUNTIF($C$7:$C$1506,$C471)&gt;1),"; Job number on more than one row","")&amp;IF(AND($C471&lt;&gt;"",H471=""),"; Dept has not set a cost centre","")&amp;IF(AND($C471&lt;&gt;"",J471=""),"; Dept has not set a tax code","")&amp;IF(AND($C471&lt;&gt;"",N471=""),"; Dept has not entered an expected value","")&amp;IF((IF(OR(COUNTA(S471:U471)=0,AND(COUNTA(S471:U471)=3,ISNUMBER(U471))),0,1)+IF(OR(COUNTA(V471:X471)=0,AND(COUNTA(V471:X471)=3,ISNUMBER(X471))),0,1)+IF(OR(COUNTA(Y471:AA471)=0,AND(COUNTA(Y471:AA471)=3,ISNUMBER(AA471))),0,1)+IF(OR(COUNTA(AB471:AD471)=0,AND(COUNTA(AB471:AD471)=3,ISNUMBER(AD471))),0,1)+IF(OR(COUNTA(AE471:AG471)=0,AND(COUNTA(AE471:AG471)=3,ISNUMBER(AG471))),0,1)+IF(OR(COUNTA(AH471:AJ471)=0,AND(COUNTA(AH471:AJ471)=3,ISNUMBER(AJ471))),0,1)+IF(OR(COUNTA(AK471:AM471)=0,AND(COUNTA(AK471:AM471)=3,ISNUMBER(AM471))),0,1)+IF(OR(COUNTA(AN471:AP471)=0,AND(COUNTA(AN471:AP471)=3,ISNUMBER(AP471))),0,1)+IF(OR(COUNTA(AQ471:AS471)=0,AND(COUNTA(AQ471:AS471)=3,ISNUMBER(AS471))),0,1)+IF(OR(COUNTA(AT471:AV471)=0,AND(COUNTA(AT471:AV471)=3,ISNUMBER(AV471))),0,1)+IF(OR(COUNTA(AW471:AY471)=0,AND(COUNTA(AW471:AY471)=3,ISNUMBER(AY471))),0,1)+IF(OR(COUNTA(AZ471:BB471)=0,AND(COUNTA(AZ471:BB471)=3,ISNUMBER(BB471))),0,1))&gt;0,"; An invoice is incomplete (needs No, Date and a number in Ex GST)","")&amp;IF((IF(T471="",0,IFERROR(--(EOMONTH(T471,0)&lt;&gt;S$5),1))+IF(W471="",0,IFERROR(--(EOMONTH(W471,0)&lt;&gt;V$5),1))+IF(Z471="",0,IFERROR(--(EOMONTH(Z471,0)&lt;&gt;Y$5),1))+IF(AC471="",0,IFERROR(--(EOMONTH(AC471,0)&lt;&gt;AB$5),1))+IF(AF471="",0,IFERROR(--(EOMONTH(AF471,0)&lt;&gt;AE$5),1))+IF(AI471="",0,IFERROR(--(EOMONTH(AI471,0)&lt;&gt;AH$5),1))+IF(AL471="",0,IFERROR(--(EOMONTH(AL471,0)&lt;&gt;AK$5),1))+IF(AO471="",0,IFERROR(--(EOMONTH(AO471,0)&lt;&gt;AN$5),1))+IF(AR471="",0,IFERROR(--(EOMONTH(AR471,0)&lt;&gt;AQ$5),1))+IF(AU471="",0,IFERROR(--(EOMONTH(AU471,0)&lt;&gt;AT$5),1))+IF(AX471="",0,IFERROR(--(EOMONTH(AX471,0)&lt;&gt;AW$5),1))+IF(BA471="",0,IFERROR(--(EOMONTH(BA471,0)&lt;&gt;AZ$5),1)))&gt;0,"; An invoice date is not in the month it is typed under",""),3,500))</f>
        <v/>
      </c>
      <c r="S471" s="12" t="n"/>
      <c r="T471" s="13" t="n"/>
      <c r="U471" s="14" t="n"/>
      <c r="V471" s="12" t="n"/>
      <c r="W471" s="13" t="n"/>
      <c r="X471" s="14" t="n"/>
      <c r="Y471" s="12" t="n"/>
      <c r="Z471" s="13" t="n"/>
      <c r="AA471" s="14" t="n"/>
      <c r="AB471" s="12" t="n"/>
      <c r="AC471" s="13" t="n"/>
      <c r="AD471" s="14" t="n"/>
      <c r="AE471" s="12" t="n"/>
      <c r="AF471" s="13" t="n"/>
      <c r="AG471" s="14" t="n"/>
      <c r="AH471" s="12" t="n"/>
      <c r="AI471" s="13" t="n"/>
      <c r="AJ471" s="14" t="n"/>
      <c r="AK471" s="12" t="n"/>
      <c r="AL471" s="13" t="n"/>
      <c r="AM471" s="14" t="n"/>
      <c r="AN471" s="12" t="n"/>
      <c r="AO471" s="13" t="n"/>
      <c r="AP471" s="14" t="n"/>
      <c r="AQ471" s="12" t="n"/>
      <c r="AR471" s="13" t="n"/>
      <c r="AS471" s="14" t="n"/>
      <c r="AT471" s="12" t="n"/>
      <c r="AU471" s="13" t="n"/>
      <c r="AV471" s="14" t="n"/>
      <c r="AW471" s="12" t="n"/>
      <c r="AX471" s="13" t="n"/>
      <c r="AY471" s="14" t="n"/>
      <c r="AZ471" s="12" t="n"/>
      <c r="BA471" s="13" t="n"/>
      <c r="BB471" s="14" t="n"/>
      <c r="BC471" s="11">
        <f>IF(O471="","",IF(J471="GST 10%",ROUND(O471*set_GSTRate,2),0))</f>
        <v/>
      </c>
      <c r="BD471" s="11">
        <f>IF(O471="","",O471+BC471)</f>
        <v/>
      </c>
      <c r="BE471" s="15">
        <f>IF(O471="","",COUNTA(S471,V471,Y471,AB471,AE471,AH471,AK471,AN471,AQ471,AT471,AW471,AZ471))</f>
        <v/>
      </c>
      <c r="BF471" s="16">
        <f>IF(COUNT(T471,W471,Z471,AC471,AF471,AI471,AL471,AO471,AR471,AU471,AX471,BA471)=0,"",MAX(T471,W471,Z471,AC471,AF471,AI471,AL471,AO471,AR471,AU471,AX471,BA471))</f>
        <v/>
      </c>
      <c r="BG471" s="10">
        <f>MID(IF(S471="","",", "&amp;S471)&amp;IF(V471="","",", "&amp;V471)&amp;IF(Y471="","",", "&amp;Y471)&amp;IF(AB471="","",", "&amp;AB471)&amp;IF(AE471="","",", "&amp;AE471)&amp;IF(AH471="","",", "&amp;AH471)&amp;IF(AK471="","",", "&amp;AK471)&amp;IF(AN471="","",", "&amp;AN471)&amp;IF(AQ471="","",", "&amp;AQ471)&amp;IF(AT471="","",", "&amp;AT471)&amp;IF(AW471="","",", "&amp;AW471)&amp;IF(AZ471="","",", "&amp;AZ471),3,500)</f>
        <v/>
      </c>
      <c r="BH471" s="12" t="n"/>
      <c r="BI471" s="15">
        <f>IFERROR(MATCH($A471,IF($B471="Onsite",tbl_Onsite[Row ID],IF($B471="Production",tbl_Production[Row ID],tbl_Consulting[Row ID])),0),"")</f>
        <v/>
      </c>
    </row>
    <row r="472">
      <c r="A472" s="10" t="inlineStr">
        <is>
          <t>ONS-0466</t>
        </is>
      </c>
      <c r="B472" s="10" t="inlineStr">
        <is>
          <t>Onsite</t>
        </is>
      </c>
      <c r="C472" s="10">
        <f>IF($BI472="","",IF($B472="Onsite",INDEX(tbl_Onsite[Job Number],$BI472),IF($B472="Production",INDEX(tbl_Production[Job Number],$BI472),INDEX(tbl_Consulting[Job Number],$BI472)))&amp;"")</f>
        <v/>
      </c>
      <c r="D472" s="10">
        <f>IF($BI472="","",IF($B472="Onsite",INDEX(tbl_Onsite[Client],$BI472),IF($B472="Production",INDEX(tbl_Production[Client],$BI472),INDEX(tbl_Consulting[Client],$BI472)))&amp;"")</f>
        <v/>
      </c>
      <c r="E472" s="10">
        <f>IF($C472="","",IF(COUNTIF(lst_Jobs,$C472)&gt;0,"OK","CHECK"))</f>
        <v/>
      </c>
      <c r="F472" s="10">
        <f>IF($C472="","",IFERROR(INDEX(lst_JobName,MATCH($C472,lst_Jobs,0)),""))</f>
        <v/>
      </c>
      <c r="G472" s="10">
        <f>IF($BI472="","",IF($B472="Onsite",INDEX(tbl_Onsite[Job Description],$BI472),IF($B472="Production",INDEX(tbl_Production[Job Description],$BI472),INDEX(tbl_Consulting[Job Description],$BI472)))&amp;"")</f>
        <v/>
      </c>
      <c r="H472" s="10">
        <f>IF($BI472="","",IF($B472="Onsite",INDEX(tbl_Onsite[Cost Centre],$BI472),IF($B472="Production",INDEX(tbl_Production[Cost Centre],$BI472),INDEX(tbl_Consulting[Cost Centre],$BI472)))&amp;"")</f>
        <v/>
      </c>
      <c r="I472" s="10">
        <f>IF($BI472="","",IF($B472="Onsite",INDEX(tbl_Onsite[Invoice Type],$BI472),IF($B472="Production",INDEX(tbl_Production[Invoice Type],$BI472),INDEX(tbl_Consulting[Invoice Type],$BI472)))&amp;"")</f>
        <v/>
      </c>
      <c r="J472" s="10">
        <f>IF($BI472="","",IF($B472="Onsite",INDEX(tbl_Onsite[Tax Code],$BI472),IF($B472="Production",INDEX(tbl_Production[Tax Code],$BI472),INDEX(tbl_Consulting[Tax Code],$BI472)))&amp;"")</f>
        <v/>
      </c>
      <c r="K472" s="10">
        <f>IF(H472="","",IFERROR(INDEX(lst_CCtoGL,MATCH(H472,lst_CCforGL,0)),""))</f>
        <v/>
      </c>
      <c r="L472" s="10">
        <f>IF($BI472="","",IF($B472="Onsite",INDEX(tbl_Onsite[PO / Reference],$BI472),IF($B472="Production",INDEX(tbl_Production[Current RMS No],$BI472),INDEX(tbl_Consulting[Qwilr Quote],$BI472)))&amp;"")</f>
        <v/>
      </c>
      <c r="M472" s="10">
        <f>IF($BI472="","",IF($B472="Onsite",INDEX(tbl_Onsite[Notes],$BI472),IF($B472="Production",INDEX(tbl_Production[Notes],$BI472),INDEX(tbl_Consulting[Notes],$BI472)))&amp;"")</f>
        <v/>
      </c>
      <c r="N472" s="11">
        <f>IF($BI472="","",IF(IF($B472="Onsite",INDEX(tbl_Onsite[Expected Revenue Ex GST],$BI472),IF($B472="Production",INDEX(tbl_Production[Expected Revenue Ex GST],$BI472),INDEX(tbl_Consulting[Expected Revenue Ex GST],$BI472)))="","",IF($B472="Onsite",INDEX(tbl_Onsite[Expected Revenue Ex GST],$BI472),IF($B472="Production",INDEX(tbl_Production[Expected Revenue Ex GST],$BI472),INDEX(tbl_Consulting[Expected Revenue Ex GST],$BI472)))))</f>
        <v/>
      </c>
      <c r="O472" s="11">
        <f>IF(AND($C472="",NOT(COUNTA($S472:$BB472)&gt;0)),"",SUM(U472,X472,AA472,AD472,AG472,AJ472,AM472,AP472,AS472,AV472,AY472,BB472))</f>
        <v/>
      </c>
      <c r="P472" s="11">
        <f>IF(O472="","",N(N472)-O472)</f>
        <v/>
      </c>
      <c r="Q472" s="10">
        <f>IF(O472="","",IF($C472="","Invoice on empty job row",IF(N472="",IF(ROUND(O472,2)=0,"No dept value","Invoiced - no dept value"),IF(ROUND(O472,2)=0,"Not invoiced - to invoice",IF(ROUND(P472,2)=0,"Agrees",IF(P472&gt;0,"Dept higher - to invoice","Xero higher - check dept"))))))</f>
        <v/>
      </c>
      <c r="R472" s="10">
        <f>IF(AND($C472="",NOT(COUNTA($S472:$BB472)&gt;0),$BI472&lt;&gt;""),"",MID(IF($BI472="","; Row ID not found on the department sheet - a row was deleted","")&amp;IF(AND($C472="",COUNTA($S472:$BB472)&gt;0),"; Invoice entered but the department row has no job number","")&amp;IF(E472="CHECK","; Job number not in the Xero job list","")&amp;IF(AND($C472&lt;&gt;"",COUNTIF($C$7:$C$1506,$C472)&gt;1),"; Job number on more than one row","")&amp;IF(AND($C472&lt;&gt;"",H472=""),"; Dept has not set a cost centre","")&amp;IF(AND($C472&lt;&gt;"",J472=""),"; Dept has not set a tax code","")&amp;IF(AND($C472&lt;&gt;"",N472=""),"; Dept has not entered an expected value","")&amp;IF((IF(OR(COUNTA(S472:U472)=0,AND(COUNTA(S472:U472)=3,ISNUMBER(U472))),0,1)+IF(OR(COUNTA(V472:X472)=0,AND(COUNTA(V472:X472)=3,ISNUMBER(X472))),0,1)+IF(OR(COUNTA(Y472:AA472)=0,AND(COUNTA(Y472:AA472)=3,ISNUMBER(AA472))),0,1)+IF(OR(COUNTA(AB472:AD472)=0,AND(COUNTA(AB472:AD472)=3,ISNUMBER(AD472))),0,1)+IF(OR(COUNTA(AE472:AG472)=0,AND(COUNTA(AE472:AG472)=3,ISNUMBER(AG472))),0,1)+IF(OR(COUNTA(AH472:AJ472)=0,AND(COUNTA(AH472:AJ472)=3,ISNUMBER(AJ472))),0,1)+IF(OR(COUNTA(AK472:AM472)=0,AND(COUNTA(AK472:AM472)=3,ISNUMBER(AM472))),0,1)+IF(OR(COUNTA(AN472:AP472)=0,AND(COUNTA(AN472:AP472)=3,ISNUMBER(AP472))),0,1)+IF(OR(COUNTA(AQ472:AS472)=0,AND(COUNTA(AQ472:AS472)=3,ISNUMBER(AS472))),0,1)+IF(OR(COUNTA(AT472:AV472)=0,AND(COUNTA(AT472:AV472)=3,ISNUMBER(AV472))),0,1)+IF(OR(COUNTA(AW472:AY472)=0,AND(COUNTA(AW472:AY472)=3,ISNUMBER(AY472))),0,1)+IF(OR(COUNTA(AZ472:BB472)=0,AND(COUNTA(AZ472:BB472)=3,ISNUMBER(BB472))),0,1))&gt;0,"; An invoice is incomplete (needs No, Date and a number in Ex GST)","")&amp;IF((IF(T472="",0,IFERROR(--(EOMONTH(T472,0)&lt;&gt;S$5),1))+IF(W472="",0,IFERROR(--(EOMONTH(W472,0)&lt;&gt;V$5),1))+IF(Z472="",0,IFERROR(--(EOMONTH(Z472,0)&lt;&gt;Y$5),1))+IF(AC472="",0,IFERROR(--(EOMONTH(AC472,0)&lt;&gt;AB$5),1))+IF(AF472="",0,IFERROR(--(EOMONTH(AF472,0)&lt;&gt;AE$5),1))+IF(AI472="",0,IFERROR(--(EOMONTH(AI472,0)&lt;&gt;AH$5),1))+IF(AL472="",0,IFERROR(--(EOMONTH(AL472,0)&lt;&gt;AK$5),1))+IF(AO472="",0,IFERROR(--(EOMONTH(AO472,0)&lt;&gt;AN$5),1))+IF(AR472="",0,IFERROR(--(EOMONTH(AR472,0)&lt;&gt;AQ$5),1))+IF(AU472="",0,IFERROR(--(EOMONTH(AU472,0)&lt;&gt;AT$5),1))+IF(AX472="",0,IFERROR(--(EOMONTH(AX472,0)&lt;&gt;AW$5),1))+IF(BA472="",0,IFERROR(--(EOMONTH(BA472,0)&lt;&gt;AZ$5),1)))&gt;0,"; An invoice date is not in the month it is typed under",""),3,500))</f>
        <v/>
      </c>
      <c r="S472" s="12" t="n"/>
      <c r="T472" s="13" t="n"/>
      <c r="U472" s="14" t="n"/>
      <c r="V472" s="12" t="n"/>
      <c r="W472" s="13" t="n"/>
      <c r="X472" s="14" t="n"/>
      <c r="Y472" s="12" t="n"/>
      <c r="Z472" s="13" t="n"/>
      <c r="AA472" s="14" t="n"/>
      <c r="AB472" s="12" t="n"/>
      <c r="AC472" s="13" t="n"/>
      <c r="AD472" s="14" t="n"/>
      <c r="AE472" s="12" t="n"/>
      <c r="AF472" s="13" t="n"/>
      <c r="AG472" s="14" t="n"/>
      <c r="AH472" s="12" t="n"/>
      <c r="AI472" s="13" t="n"/>
      <c r="AJ472" s="14" t="n"/>
      <c r="AK472" s="12" t="n"/>
      <c r="AL472" s="13" t="n"/>
      <c r="AM472" s="14" t="n"/>
      <c r="AN472" s="12" t="n"/>
      <c r="AO472" s="13" t="n"/>
      <c r="AP472" s="14" t="n"/>
      <c r="AQ472" s="12" t="n"/>
      <c r="AR472" s="13" t="n"/>
      <c r="AS472" s="14" t="n"/>
      <c r="AT472" s="12" t="n"/>
      <c r="AU472" s="13" t="n"/>
      <c r="AV472" s="14" t="n"/>
      <c r="AW472" s="12" t="n"/>
      <c r="AX472" s="13" t="n"/>
      <c r="AY472" s="14" t="n"/>
      <c r="AZ472" s="12" t="n"/>
      <c r="BA472" s="13" t="n"/>
      <c r="BB472" s="14" t="n"/>
      <c r="BC472" s="11">
        <f>IF(O472="","",IF(J472="GST 10%",ROUND(O472*set_GSTRate,2),0))</f>
        <v/>
      </c>
      <c r="BD472" s="11">
        <f>IF(O472="","",O472+BC472)</f>
        <v/>
      </c>
      <c r="BE472" s="15">
        <f>IF(O472="","",COUNTA(S472,V472,Y472,AB472,AE472,AH472,AK472,AN472,AQ472,AT472,AW472,AZ472))</f>
        <v/>
      </c>
      <c r="BF472" s="16">
        <f>IF(COUNT(T472,W472,Z472,AC472,AF472,AI472,AL472,AO472,AR472,AU472,AX472,BA472)=0,"",MAX(T472,W472,Z472,AC472,AF472,AI472,AL472,AO472,AR472,AU472,AX472,BA472))</f>
        <v/>
      </c>
      <c r="BG472" s="10">
        <f>MID(IF(S472="","",", "&amp;S472)&amp;IF(V472="","",", "&amp;V472)&amp;IF(Y472="","",", "&amp;Y472)&amp;IF(AB472="","",", "&amp;AB472)&amp;IF(AE472="","",", "&amp;AE472)&amp;IF(AH472="","",", "&amp;AH472)&amp;IF(AK472="","",", "&amp;AK472)&amp;IF(AN472="","",", "&amp;AN472)&amp;IF(AQ472="","",", "&amp;AQ472)&amp;IF(AT472="","",", "&amp;AT472)&amp;IF(AW472="","",", "&amp;AW472)&amp;IF(AZ472="","",", "&amp;AZ472),3,500)</f>
        <v/>
      </c>
      <c r="BH472" s="12" t="n"/>
      <c r="BI472" s="15">
        <f>IFERROR(MATCH($A472,IF($B472="Onsite",tbl_Onsite[Row ID],IF($B472="Production",tbl_Production[Row ID],tbl_Consulting[Row ID])),0),"")</f>
        <v/>
      </c>
    </row>
    <row r="473">
      <c r="A473" s="10" t="inlineStr">
        <is>
          <t>ONS-0467</t>
        </is>
      </c>
      <c r="B473" s="10" t="inlineStr">
        <is>
          <t>Onsite</t>
        </is>
      </c>
      <c r="C473" s="10">
        <f>IF($BI473="","",IF($B473="Onsite",INDEX(tbl_Onsite[Job Number],$BI473),IF($B473="Production",INDEX(tbl_Production[Job Number],$BI473),INDEX(tbl_Consulting[Job Number],$BI473)))&amp;"")</f>
        <v/>
      </c>
      <c r="D473" s="10">
        <f>IF($BI473="","",IF($B473="Onsite",INDEX(tbl_Onsite[Client],$BI473),IF($B473="Production",INDEX(tbl_Production[Client],$BI473),INDEX(tbl_Consulting[Client],$BI473)))&amp;"")</f>
        <v/>
      </c>
      <c r="E473" s="10">
        <f>IF($C473="","",IF(COUNTIF(lst_Jobs,$C473)&gt;0,"OK","CHECK"))</f>
        <v/>
      </c>
      <c r="F473" s="10">
        <f>IF($C473="","",IFERROR(INDEX(lst_JobName,MATCH($C473,lst_Jobs,0)),""))</f>
        <v/>
      </c>
      <c r="G473" s="10">
        <f>IF($BI473="","",IF($B473="Onsite",INDEX(tbl_Onsite[Job Description],$BI473),IF($B473="Production",INDEX(tbl_Production[Job Description],$BI473),INDEX(tbl_Consulting[Job Description],$BI473)))&amp;"")</f>
        <v/>
      </c>
      <c r="H473" s="10">
        <f>IF($BI473="","",IF($B473="Onsite",INDEX(tbl_Onsite[Cost Centre],$BI473),IF($B473="Production",INDEX(tbl_Production[Cost Centre],$BI473),INDEX(tbl_Consulting[Cost Centre],$BI473)))&amp;"")</f>
        <v/>
      </c>
      <c r="I473" s="10">
        <f>IF($BI473="","",IF($B473="Onsite",INDEX(tbl_Onsite[Invoice Type],$BI473),IF($B473="Production",INDEX(tbl_Production[Invoice Type],$BI473),INDEX(tbl_Consulting[Invoice Type],$BI473)))&amp;"")</f>
        <v/>
      </c>
      <c r="J473" s="10">
        <f>IF($BI473="","",IF($B473="Onsite",INDEX(tbl_Onsite[Tax Code],$BI473),IF($B473="Production",INDEX(tbl_Production[Tax Code],$BI473),INDEX(tbl_Consulting[Tax Code],$BI473)))&amp;"")</f>
        <v/>
      </c>
      <c r="K473" s="10">
        <f>IF(H473="","",IFERROR(INDEX(lst_CCtoGL,MATCH(H473,lst_CCforGL,0)),""))</f>
        <v/>
      </c>
      <c r="L473" s="10">
        <f>IF($BI473="","",IF($B473="Onsite",INDEX(tbl_Onsite[PO / Reference],$BI473),IF($B473="Production",INDEX(tbl_Production[Current RMS No],$BI473),INDEX(tbl_Consulting[Qwilr Quote],$BI473)))&amp;"")</f>
        <v/>
      </c>
      <c r="M473" s="10">
        <f>IF($BI473="","",IF($B473="Onsite",INDEX(tbl_Onsite[Notes],$BI473),IF($B473="Production",INDEX(tbl_Production[Notes],$BI473),INDEX(tbl_Consulting[Notes],$BI473)))&amp;"")</f>
        <v/>
      </c>
      <c r="N473" s="11">
        <f>IF($BI473="","",IF(IF($B473="Onsite",INDEX(tbl_Onsite[Expected Revenue Ex GST],$BI473),IF($B473="Production",INDEX(tbl_Production[Expected Revenue Ex GST],$BI473),INDEX(tbl_Consulting[Expected Revenue Ex GST],$BI473)))="","",IF($B473="Onsite",INDEX(tbl_Onsite[Expected Revenue Ex GST],$BI473),IF($B473="Production",INDEX(tbl_Production[Expected Revenue Ex GST],$BI473),INDEX(tbl_Consulting[Expected Revenue Ex GST],$BI473)))))</f>
        <v/>
      </c>
      <c r="O473" s="11">
        <f>IF(AND($C473="",NOT(COUNTA($S473:$BB473)&gt;0)),"",SUM(U473,X473,AA473,AD473,AG473,AJ473,AM473,AP473,AS473,AV473,AY473,BB473))</f>
        <v/>
      </c>
      <c r="P473" s="11">
        <f>IF(O473="","",N(N473)-O473)</f>
        <v/>
      </c>
      <c r="Q473" s="10">
        <f>IF(O473="","",IF($C473="","Invoice on empty job row",IF(N473="",IF(ROUND(O473,2)=0,"No dept value","Invoiced - no dept value"),IF(ROUND(O473,2)=0,"Not invoiced - to invoice",IF(ROUND(P473,2)=0,"Agrees",IF(P473&gt;0,"Dept higher - to invoice","Xero higher - check dept"))))))</f>
        <v/>
      </c>
      <c r="R473" s="10">
        <f>IF(AND($C473="",NOT(COUNTA($S473:$BB473)&gt;0),$BI473&lt;&gt;""),"",MID(IF($BI473="","; Row ID not found on the department sheet - a row was deleted","")&amp;IF(AND($C473="",COUNTA($S473:$BB473)&gt;0),"; Invoice entered but the department row has no job number","")&amp;IF(E473="CHECK","; Job number not in the Xero job list","")&amp;IF(AND($C473&lt;&gt;"",COUNTIF($C$7:$C$1506,$C473)&gt;1),"; Job number on more than one row","")&amp;IF(AND($C473&lt;&gt;"",H473=""),"; Dept has not set a cost centre","")&amp;IF(AND($C473&lt;&gt;"",J473=""),"; Dept has not set a tax code","")&amp;IF(AND($C473&lt;&gt;"",N473=""),"; Dept has not entered an expected value","")&amp;IF((IF(OR(COUNTA(S473:U473)=0,AND(COUNTA(S473:U473)=3,ISNUMBER(U473))),0,1)+IF(OR(COUNTA(V473:X473)=0,AND(COUNTA(V473:X473)=3,ISNUMBER(X473))),0,1)+IF(OR(COUNTA(Y473:AA473)=0,AND(COUNTA(Y473:AA473)=3,ISNUMBER(AA473))),0,1)+IF(OR(COUNTA(AB473:AD473)=0,AND(COUNTA(AB473:AD473)=3,ISNUMBER(AD473))),0,1)+IF(OR(COUNTA(AE473:AG473)=0,AND(COUNTA(AE473:AG473)=3,ISNUMBER(AG473))),0,1)+IF(OR(COUNTA(AH473:AJ473)=0,AND(COUNTA(AH473:AJ473)=3,ISNUMBER(AJ473))),0,1)+IF(OR(COUNTA(AK473:AM473)=0,AND(COUNTA(AK473:AM473)=3,ISNUMBER(AM473))),0,1)+IF(OR(COUNTA(AN473:AP473)=0,AND(COUNTA(AN473:AP473)=3,ISNUMBER(AP473))),0,1)+IF(OR(COUNTA(AQ473:AS473)=0,AND(COUNTA(AQ473:AS473)=3,ISNUMBER(AS473))),0,1)+IF(OR(COUNTA(AT473:AV473)=0,AND(COUNTA(AT473:AV473)=3,ISNUMBER(AV473))),0,1)+IF(OR(COUNTA(AW473:AY473)=0,AND(COUNTA(AW473:AY473)=3,ISNUMBER(AY473))),0,1)+IF(OR(COUNTA(AZ473:BB473)=0,AND(COUNTA(AZ473:BB473)=3,ISNUMBER(BB473))),0,1))&gt;0,"; An invoice is incomplete (needs No, Date and a number in Ex GST)","")&amp;IF((IF(T473="",0,IFERROR(--(EOMONTH(T473,0)&lt;&gt;S$5),1))+IF(W473="",0,IFERROR(--(EOMONTH(W473,0)&lt;&gt;V$5),1))+IF(Z473="",0,IFERROR(--(EOMONTH(Z473,0)&lt;&gt;Y$5),1))+IF(AC473="",0,IFERROR(--(EOMONTH(AC473,0)&lt;&gt;AB$5),1))+IF(AF473="",0,IFERROR(--(EOMONTH(AF473,0)&lt;&gt;AE$5),1))+IF(AI473="",0,IFERROR(--(EOMONTH(AI473,0)&lt;&gt;AH$5),1))+IF(AL473="",0,IFERROR(--(EOMONTH(AL473,0)&lt;&gt;AK$5),1))+IF(AO473="",0,IFERROR(--(EOMONTH(AO473,0)&lt;&gt;AN$5),1))+IF(AR473="",0,IFERROR(--(EOMONTH(AR473,0)&lt;&gt;AQ$5),1))+IF(AU473="",0,IFERROR(--(EOMONTH(AU473,0)&lt;&gt;AT$5),1))+IF(AX473="",0,IFERROR(--(EOMONTH(AX473,0)&lt;&gt;AW$5),1))+IF(BA473="",0,IFERROR(--(EOMONTH(BA473,0)&lt;&gt;AZ$5),1)))&gt;0,"; An invoice date is not in the month it is typed under",""),3,500))</f>
        <v/>
      </c>
      <c r="S473" s="12" t="n"/>
      <c r="T473" s="13" t="n"/>
      <c r="U473" s="14" t="n"/>
      <c r="V473" s="12" t="n"/>
      <c r="W473" s="13" t="n"/>
      <c r="X473" s="14" t="n"/>
      <c r="Y473" s="12" t="n"/>
      <c r="Z473" s="13" t="n"/>
      <c r="AA473" s="14" t="n"/>
      <c r="AB473" s="12" t="n"/>
      <c r="AC473" s="13" t="n"/>
      <c r="AD473" s="14" t="n"/>
      <c r="AE473" s="12" t="n"/>
      <c r="AF473" s="13" t="n"/>
      <c r="AG473" s="14" t="n"/>
      <c r="AH473" s="12" t="n"/>
      <c r="AI473" s="13" t="n"/>
      <c r="AJ473" s="14" t="n"/>
      <c r="AK473" s="12" t="n"/>
      <c r="AL473" s="13" t="n"/>
      <c r="AM473" s="14" t="n"/>
      <c r="AN473" s="12" t="n"/>
      <c r="AO473" s="13" t="n"/>
      <c r="AP473" s="14" t="n"/>
      <c r="AQ473" s="12" t="n"/>
      <c r="AR473" s="13" t="n"/>
      <c r="AS473" s="14" t="n"/>
      <c r="AT473" s="12" t="n"/>
      <c r="AU473" s="13" t="n"/>
      <c r="AV473" s="14" t="n"/>
      <c r="AW473" s="12" t="n"/>
      <c r="AX473" s="13" t="n"/>
      <c r="AY473" s="14" t="n"/>
      <c r="AZ473" s="12" t="n"/>
      <c r="BA473" s="13" t="n"/>
      <c r="BB473" s="14" t="n"/>
      <c r="BC473" s="11">
        <f>IF(O473="","",IF(J473="GST 10%",ROUND(O473*set_GSTRate,2),0))</f>
        <v/>
      </c>
      <c r="BD473" s="11">
        <f>IF(O473="","",O473+BC473)</f>
        <v/>
      </c>
      <c r="BE473" s="15">
        <f>IF(O473="","",COUNTA(S473,V473,Y473,AB473,AE473,AH473,AK473,AN473,AQ473,AT473,AW473,AZ473))</f>
        <v/>
      </c>
      <c r="BF473" s="16">
        <f>IF(COUNT(T473,W473,Z473,AC473,AF473,AI473,AL473,AO473,AR473,AU473,AX473,BA473)=0,"",MAX(T473,W473,Z473,AC473,AF473,AI473,AL473,AO473,AR473,AU473,AX473,BA473))</f>
        <v/>
      </c>
      <c r="BG473" s="10">
        <f>MID(IF(S473="","",", "&amp;S473)&amp;IF(V473="","",", "&amp;V473)&amp;IF(Y473="","",", "&amp;Y473)&amp;IF(AB473="","",", "&amp;AB473)&amp;IF(AE473="","",", "&amp;AE473)&amp;IF(AH473="","",", "&amp;AH473)&amp;IF(AK473="","",", "&amp;AK473)&amp;IF(AN473="","",", "&amp;AN473)&amp;IF(AQ473="","",", "&amp;AQ473)&amp;IF(AT473="","",", "&amp;AT473)&amp;IF(AW473="","",", "&amp;AW473)&amp;IF(AZ473="","",", "&amp;AZ473),3,500)</f>
        <v/>
      </c>
      <c r="BH473" s="12" t="n"/>
      <c r="BI473" s="15">
        <f>IFERROR(MATCH($A473,IF($B473="Onsite",tbl_Onsite[Row ID],IF($B473="Production",tbl_Production[Row ID],tbl_Consulting[Row ID])),0),"")</f>
        <v/>
      </c>
    </row>
    <row r="474">
      <c r="A474" s="10" t="inlineStr">
        <is>
          <t>ONS-0468</t>
        </is>
      </c>
      <c r="B474" s="10" t="inlineStr">
        <is>
          <t>Onsite</t>
        </is>
      </c>
      <c r="C474" s="10">
        <f>IF($BI474="","",IF($B474="Onsite",INDEX(tbl_Onsite[Job Number],$BI474),IF($B474="Production",INDEX(tbl_Production[Job Number],$BI474),INDEX(tbl_Consulting[Job Number],$BI474)))&amp;"")</f>
        <v/>
      </c>
      <c r="D474" s="10">
        <f>IF($BI474="","",IF($B474="Onsite",INDEX(tbl_Onsite[Client],$BI474),IF($B474="Production",INDEX(tbl_Production[Client],$BI474),INDEX(tbl_Consulting[Client],$BI474)))&amp;"")</f>
        <v/>
      </c>
      <c r="E474" s="10">
        <f>IF($C474="","",IF(COUNTIF(lst_Jobs,$C474)&gt;0,"OK","CHECK"))</f>
        <v/>
      </c>
      <c r="F474" s="10">
        <f>IF($C474="","",IFERROR(INDEX(lst_JobName,MATCH($C474,lst_Jobs,0)),""))</f>
        <v/>
      </c>
      <c r="G474" s="10">
        <f>IF($BI474="","",IF($B474="Onsite",INDEX(tbl_Onsite[Job Description],$BI474),IF($B474="Production",INDEX(tbl_Production[Job Description],$BI474),INDEX(tbl_Consulting[Job Description],$BI474)))&amp;"")</f>
        <v/>
      </c>
      <c r="H474" s="10">
        <f>IF($BI474="","",IF($B474="Onsite",INDEX(tbl_Onsite[Cost Centre],$BI474),IF($B474="Production",INDEX(tbl_Production[Cost Centre],$BI474),INDEX(tbl_Consulting[Cost Centre],$BI474)))&amp;"")</f>
        <v/>
      </c>
      <c r="I474" s="10">
        <f>IF($BI474="","",IF($B474="Onsite",INDEX(tbl_Onsite[Invoice Type],$BI474),IF($B474="Production",INDEX(tbl_Production[Invoice Type],$BI474),INDEX(tbl_Consulting[Invoice Type],$BI474)))&amp;"")</f>
        <v/>
      </c>
      <c r="J474" s="10">
        <f>IF($BI474="","",IF($B474="Onsite",INDEX(tbl_Onsite[Tax Code],$BI474),IF($B474="Production",INDEX(tbl_Production[Tax Code],$BI474),INDEX(tbl_Consulting[Tax Code],$BI474)))&amp;"")</f>
        <v/>
      </c>
      <c r="K474" s="10">
        <f>IF(H474="","",IFERROR(INDEX(lst_CCtoGL,MATCH(H474,lst_CCforGL,0)),""))</f>
        <v/>
      </c>
      <c r="L474" s="10">
        <f>IF($BI474="","",IF($B474="Onsite",INDEX(tbl_Onsite[PO / Reference],$BI474),IF($B474="Production",INDEX(tbl_Production[Current RMS No],$BI474),INDEX(tbl_Consulting[Qwilr Quote],$BI474)))&amp;"")</f>
        <v/>
      </c>
      <c r="M474" s="10">
        <f>IF($BI474="","",IF($B474="Onsite",INDEX(tbl_Onsite[Notes],$BI474),IF($B474="Production",INDEX(tbl_Production[Notes],$BI474),INDEX(tbl_Consulting[Notes],$BI474)))&amp;"")</f>
        <v/>
      </c>
      <c r="N474" s="11">
        <f>IF($BI474="","",IF(IF($B474="Onsite",INDEX(tbl_Onsite[Expected Revenue Ex GST],$BI474),IF($B474="Production",INDEX(tbl_Production[Expected Revenue Ex GST],$BI474),INDEX(tbl_Consulting[Expected Revenue Ex GST],$BI474)))="","",IF($B474="Onsite",INDEX(tbl_Onsite[Expected Revenue Ex GST],$BI474),IF($B474="Production",INDEX(tbl_Production[Expected Revenue Ex GST],$BI474),INDEX(tbl_Consulting[Expected Revenue Ex GST],$BI474)))))</f>
        <v/>
      </c>
      <c r="O474" s="11">
        <f>IF(AND($C474="",NOT(COUNTA($S474:$BB474)&gt;0)),"",SUM(U474,X474,AA474,AD474,AG474,AJ474,AM474,AP474,AS474,AV474,AY474,BB474))</f>
        <v/>
      </c>
      <c r="P474" s="11">
        <f>IF(O474="","",N(N474)-O474)</f>
        <v/>
      </c>
      <c r="Q474" s="10">
        <f>IF(O474="","",IF($C474="","Invoice on empty job row",IF(N474="",IF(ROUND(O474,2)=0,"No dept value","Invoiced - no dept value"),IF(ROUND(O474,2)=0,"Not invoiced - to invoice",IF(ROUND(P474,2)=0,"Agrees",IF(P474&gt;0,"Dept higher - to invoice","Xero higher - check dept"))))))</f>
        <v/>
      </c>
      <c r="R474" s="10">
        <f>IF(AND($C474="",NOT(COUNTA($S474:$BB474)&gt;0),$BI474&lt;&gt;""),"",MID(IF($BI474="","; Row ID not found on the department sheet - a row was deleted","")&amp;IF(AND($C474="",COUNTA($S474:$BB474)&gt;0),"; Invoice entered but the department row has no job number","")&amp;IF(E474="CHECK","; Job number not in the Xero job list","")&amp;IF(AND($C474&lt;&gt;"",COUNTIF($C$7:$C$1506,$C474)&gt;1),"; Job number on more than one row","")&amp;IF(AND($C474&lt;&gt;"",H474=""),"; Dept has not set a cost centre","")&amp;IF(AND($C474&lt;&gt;"",J474=""),"; Dept has not set a tax code","")&amp;IF(AND($C474&lt;&gt;"",N474=""),"; Dept has not entered an expected value","")&amp;IF((IF(OR(COUNTA(S474:U474)=0,AND(COUNTA(S474:U474)=3,ISNUMBER(U474))),0,1)+IF(OR(COUNTA(V474:X474)=0,AND(COUNTA(V474:X474)=3,ISNUMBER(X474))),0,1)+IF(OR(COUNTA(Y474:AA474)=0,AND(COUNTA(Y474:AA474)=3,ISNUMBER(AA474))),0,1)+IF(OR(COUNTA(AB474:AD474)=0,AND(COUNTA(AB474:AD474)=3,ISNUMBER(AD474))),0,1)+IF(OR(COUNTA(AE474:AG474)=0,AND(COUNTA(AE474:AG474)=3,ISNUMBER(AG474))),0,1)+IF(OR(COUNTA(AH474:AJ474)=0,AND(COUNTA(AH474:AJ474)=3,ISNUMBER(AJ474))),0,1)+IF(OR(COUNTA(AK474:AM474)=0,AND(COUNTA(AK474:AM474)=3,ISNUMBER(AM474))),0,1)+IF(OR(COUNTA(AN474:AP474)=0,AND(COUNTA(AN474:AP474)=3,ISNUMBER(AP474))),0,1)+IF(OR(COUNTA(AQ474:AS474)=0,AND(COUNTA(AQ474:AS474)=3,ISNUMBER(AS474))),0,1)+IF(OR(COUNTA(AT474:AV474)=0,AND(COUNTA(AT474:AV474)=3,ISNUMBER(AV474))),0,1)+IF(OR(COUNTA(AW474:AY474)=0,AND(COUNTA(AW474:AY474)=3,ISNUMBER(AY474))),0,1)+IF(OR(COUNTA(AZ474:BB474)=0,AND(COUNTA(AZ474:BB474)=3,ISNUMBER(BB474))),0,1))&gt;0,"; An invoice is incomplete (needs No, Date and a number in Ex GST)","")&amp;IF((IF(T474="",0,IFERROR(--(EOMONTH(T474,0)&lt;&gt;S$5),1))+IF(W474="",0,IFERROR(--(EOMONTH(W474,0)&lt;&gt;V$5),1))+IF(Z474="",0,IFERROR(--(EOMONTH(Z474,0)&lt;&gt;Y$5),1))+IF(AC474="",0,IFERROR(--(EOMONTH(AC474,0)&lt;&gt;AB$5),1))+IF(AF474="",0,IFERROR(--(EOMONTH(AF474,0)&lt;&gt;AE$5),1))+IF(AI474="",0,IFERROR(--(EOMONTH(AI474,0)&lt;&gt;AH$5),1))+IF(AL474="",0,IFERROR(--(EOMONTH(AL474,0)&lt;&gt;AK$5),1))+IF(AO474="",0,IFERROR(--(EOMONTH(AO474,0)&lt;&gt;AN$5),1))+IF(AR474="",0,IFERROR(--(EOMONTH(AR474,0)&lt;&gt;AQ$5),1))+IF(AU474="",0,IFERROR(--(EOMONTH(AU474,0)&lt;&gt;AT$5),1))+IF(AX474="",0,IFERROR(--(EOMONTH(AX474,0)&lt;&gt;AW$5),1))+IF(BA474="",0,IFERROR(--(EOMONTH(BA474,0)&lt;&gt;AZ$5),1)))&gt;0,"; An invoice date is not in the month it is typed under",""),3,500))</f>
        <v/>
      </c>
      <c r="S474" s="12" t="n"/>
      <c r="T474" s="13" t="n"/>
      <c r="U474" s="14" t="n"/>
      <c r="V474" s="12" t="n"/>
      <c r="W474" s="13" t="n"/>
      <c r="X474" s="14" t="n"/>
      <c r="Y474" s="12" t="n"/>
      <c r="Z474" s="13" t="n"/>
      <c r="AA474" s="14" t="n"/>
      <c r="AB474" s="12" t="n"/>
      <c r="AC474" s="13" t="n"/>
      <c r="AD474" s="14" t="n"/>
      <c r="AE474" s="12" t="n"/>
      <c r="AF474" s="13" t="n"/>
      <c r="AG474" s="14" t="n"/>
      <c r="AH474" s="12" t="n"/>
      <c r="AI474" s="13" t="n"/>
      <c r="AJ474" s="14" t="n"/>
      <c r="AK474" s="12" t="n"/>
      <c r="AL474" s="13" t="n"/>
      <c r="AM474" s="14" t="n"/>
      <c r="AN474" s="12" t="n"/>
      <c r="AO474" s="13" t="n"/>
      <c r="AP474" s="14" t="n"/>
      <c r="AQ474" s="12" t="n"/>
      <c r="AR474" s="13" t="n"/>
      <c r="AS474" s="14" t="n"/>
      <c r="AT474" s="12" t="n"/>
      <c r="AU474" s="13" t="n"/>
      <c r="AV474" s="14" t="n"/>
      <c r="AW474" s="12" t="n"/>
      <c r="AX474" s="13" t="n"/>
      <c r="AY474" s="14" t="n"/>
      <c r="AZ474" s="12" t="n"/>
      <c r="BA474" s="13" t="n"/>
      <c r="BB474" s="14" t="n"/>
      <c r="BC474" s="11">
        <f>IF(O474="","",IF(J474="GST 10%",ROUND(O474*set_GSTRate,2),0))</f>
        <v/>
      </c>
      <c r="BD474" s="11">
        <f>IF(O474="","",O474+BC474)</f>
        <v/>
      </c>
      <c r="BE474" s="15">
        <f>IF(O474="","",COUNTA(S474,V474,Y474,AB474,AE474,AH474,AK474,AN474,AQ474,AT474,AW474,AZ474))</f>
        <v/>
      </c>
      <c r="BF474" s="16">
        <f>IF(COUNT(T474,W474,Z474,AC474,AF474,AI474,AL474,AO474,AR474,AU474,AX474,BA474)=0,"",MAX(T474,W474,Z474,AC474,AF474,AI474,AL474,AO474,AR474,AU474,AX474,BA474))</f>
        <v/>
      </c>
      <c r="BG474" s="10">
        <f>MID(IF(S474="","",", "&amp;S474)&amp;IF(V474="","",", "&amp;V474)&amp;IF(Y474="","",", "&amp;Y474)&amp;IF(AB474="","",", "&amp;AB474)&amp;IF(AE474="","",", "&amp;AE474)&amp;IF(AH474="","",", "&amp;AH474)&amp;IF(AK474="","",", "&amp;AK474)&amp;IF(AN474="","",", "&amp;AN474)&amp;IF(AQ474="","",", "&amp;AQ474)&amp;IF(AT474="","",", "&amp;AT474)&amp;IF(AW474="","",", "&amp;AW474)&amp;IF(AZ474="","",", "&amp;AZ474),3,500)</f>
        <v/>
      </c>
      <c r="BH474" s="12" t="n"/>
      <c r="BI474" s="15">
        <f>IFERROR(MATCH($A474,IF($B474="Onsite",tbl_Onsite[Row ID],IF($B474="Production",tbl_Production[Row ID],tbl_Consulting[Row ID])),0),"")</f>
        <v/>
      </c>
    </row>
    <row r="475">
      <c r="A475" s="10" t="inlineStr">
        <is>
          <t>ONS-0469</t>
        </is>
      </c>
      <c r="B475" s="10" t="inlineStr">
        <is>
          <t>Onsite</t>
        </is>
      </c>
      <c r="C475" s="10">
        <f>IF($BI475="","",IF($B475="Onsite",INDEX(tbl_Onsite[Job Number],$BI475),IF($B475="Production",INDEX(tbl_Production[Job Number],$BI475),INDEX(tbl_Consulting[Job Number],$BI475)))&amp;"")</f>
        <v/>
      </c>
      <c r="D475" s="10">
        <f>IF($BI475="","",IF($B475="Onsite",INDEX(tbl_Onsite[Client],$BI475),IF($B475="Production",INDEX(tbl_Production[Client],$BI475),INDEX(tbl_Consulting[Client],$BI475)))&amp;"")</f>
        <v/>
      </c>
      <c r="E475" s="10">
        <f>IF($C475="","",IF(COUNTIF(lst_Jobs,$C475)&gt;0,"OK","CHECK"))</f>
        <v/>
      </c>
      <c r="F475" s="10">
        <f>IF($C475="","",IFERROR(INDEX(lst_JobName,MATCH($C475,lst_Jobs,0)),""))</f>
        <v/>
      </c>
      <c r="G475" s="10">
        <f>IF($BI475="","",IF($B475="Onsite",INDEX(tbl_Onsite[Job Description],$BI475),IF($B475="Production",INDEX(tbl_Production[Job Description],$BI475),INDEX(tbl_Consulting[Job Description],$BI475)))&amp;"")</f>
        <v/>
      </c>
      <c r="H475" s="10">
        <f>IF($BI475="","",IF($B475="Onsite",INDEX(tbl_Onsite[Cost Centre],$BI475),IF($B475="Production",INDEX(tbl_Production[Cost Centre],$BI475),INDEX(tbl_Consulting[Cost Centre],$BI475)))&amp;"")</f>
        <v/>
      </c>
      <c r="I475" s="10">
        <f>IF($BI475="","",IF($B475="Onsite",INDEX(tbl_Onsite[Invoice Type],$BI475),IF($B475="Production",INDEX(tbl_Production[Invoice Type],$BI475),INDEX(tbl_Consulting[Invoice Type],$BI475)))&amp;"")</f>
        <v/>
      </c>
      <c r="J475" s="10">
        <f>IF($BI475="","",IF($B475="Onsite",INDEX(tbl_Onsite[Tax Code],$BI475),IF($B475="Production",INDEX(tbl_Production[Tax Code],$BI475),INDEX(tbl_Consulting[Tax Code],$BI475)))&amp;"")</f>
        <v/>
      </c>
      <c r="K475" s="10">
        <f>IF(H475="","",IFERROR(INDEX(lst_CCtoGL,MATCH(H475,lst_CCforGL,0)),""))</f>
        <v/>
      </c>
      <c r="L475" s="10">
        <f>IF($BI475="","",IF($B475="Onsite",INDEX(tbl_Onsite[PO / Reference],$BI475),IF($B475="Production",INDEX(tbl_Production[Current RMS No],$BI475),INDEX(tbl_Consulting[Qwilr Quote],$BI475)))&amp;"")</f>
        <v/>
      </c>
      <c r="M475" s="10">
        <f>IF($BI475="","",IF($B475="Onsite",INDEX(tbl_Onsite[Notes],$BI475),IF($B475="Production",INDEX(tbl_Production[Notes],$BI475),INDEX(tbl_Consulting[Notes],$BI475)))&amp;"")</f>
        <v/>
      </c>
      <c r="N475" s="11">
        <f>IF($BI475="","",IF(IF($B475="Onsite",INDEX(tbl_Onsite[Expected Revenue Ex GST],$BI475),IF($B475="Production",INDEX(tbl_Production[Expected Revenue Ex GST],$BI475),INDEX(tbl_Consulting[Expected Revenue Ex GST],$BI475)))="","",IF($B475="Onsite",INDEX(tbl_Onsite[Expected Revenue Ex GST],$BI475),IF($B475="Production",INDEX(tbl_Production[Expected Revenue Ex GST],$BI475),INDEX(tbl_Consulting[Expected Revenue Ex GST],$BI475)))))</f>
        <v/>
      </c>
      <c r="O475" s="11">
        <f>IF(AND($C475="",NOT(COUNTA($S475:$BB475)&gt;0)),"",SUM(U475,X475,AA475,AD475,AG475,AJ475,AM475,AP475,AS475,AV475,AY475,BB475))</f>
        <v/>
      </c>
      <c r="P475" s="11">
        <f>IF(O475="","",N(N475)-O475)</f>
        <v/>
      </c>
      <c r="Q475" s="10">
        <f>IF(O475="","",IF($C475="","Invoice on empty job row",IF(N475="",IF(ROUND(O475,2)=0,"No dept value","Invoiced - no dept value"),IF(ROUND(O475,2)=0,"Not invoiced - to invoice",IF(ROUND(P475,2)=0,"Agrees",IF(P475&gt;0,"Dept higher - to invoice","Xero higher - check dept"))))))</f>
        <v/>
      </c>
      <c r="R475" s="10">
        <f>IF(AND($C475="",NOT(COUNTA($S475:$BB475)&gt;0),$BI475&lt;&gt;""),"",MID(IF($BI475="","; Row ID not found on the department sheet - a row was deleted","")&amp;IF(AND($C475="",COUNTA($S475:$BB475)&gt;0),"; Invoice entered but the department row has no job number","")&amp;IF(E475="CHECK","; Job number not in the Xero job list","")&amp;IF(AND($C475&lt;&gt;"",COUNTIF($C$7:$C$1506,$C475)&gt;1),"; Job number on more than one row","")&amp;IF(AND($C475&lt;&gt;"",H475=""),"; Dept has not set a cost centre","")&amp;IF(AND($C475&lt;&gt;"",J475=""),"; Dept has not set a tax code","")&amp;IF(AND($C475&lt;&gt;"",N475=""),"; Dept has not entered an expected value","")&amp;IF((IF(OR(COUNTA(S475:U475)=0,AND(COUNTA(S475:U475)=3,ISNUMBER(U475))),0,1)+IF(OR(COUNTA(V475:X475)=0,AND(COUNTA(V475:X475)=3,ISNUMBER(X475))),0,1)+IF(OR(COUNTA(Y475:AA475)=0,AND(COUNTA(Y475:AA475)=3,ISNUMBER(AA475))),0,1)+IF(OR(COUNTA(AB475:AD475)=0,AND(COUNTA(AB475:AD475)=3,ISNUMBER(AD475))),0,1)+IF(OR(COUNTA(AE475:AG475)=0,AND(COUNTA(AE475:AG475)=3,ISNUMBER(AG475))),0,1)+IF(OR(COUNTA(AH475:AJ475)=0,AND(COUNTA(AH475:AJ475)=3,ISNUMBER(AJ475))),0,1)+IF(OR(COUNTA(AK475:AM475)=0,AND(COUNTA(AK475:AM475)=3,ISNUMBER(AM475))),0,1)+IF(OR(COUNTA(AN475:AP475)=0,AND(COUNTA(AN475:AP475)=3,ISNUMBER(AP475))),0,1)+IF(OR(COUNTA(AQ475:AS475)=0,AND(COUNTA(AQ475:AS475)=3,ISNUMBER(AS475))),0,1)+IF(OR(COUNTA(AT475:AV475)=0,AND(COUNTA(AT475:AV475)=3,ISNUMBER(AV475))),0,1)+IF(OR(COUNTA(AW475:AY475)=0,AND(COUNTA(AW475:AY475)=3,ISNUMBER(AY475))),0,1)+IF(OR(COUNTA(AZ475:BB475)=0,AND(COUNTA(AZ475:BB475)=3,ISNUMBER(BB475))),0,1))&gt;0,"; An invoice is incomplete (needs No, Date and a number in Ex GST)","")&amp;IF((IF(T475="",0,IFERROR(--(EOMONTH(T475,0)&lt;&gt;S$5),1))+IF(W475="",0,IFERROR(--(EOMONTH(W475,0)&lt;&gt;V$5),1))+IF(Z475="",0,IFERROR(--(EOMONTH(Z475,0)&lt;&gt;Y$5),1))+IF(AC475="",0,IFERROR(--(EOMONTH(AC475,0)&lt;&gt;AB$5),1))+IF(AF475="",0,IFERROR(--(EOMONTH(AF475,0)&lt;&gt;AE$5),1))+IF(AI475="",0,IFERROR(--(EOMONTH(AI475,0)&lt;&gt;AH$5),1))+IF(AL475="",0,IFERROR(--(EOMONTH(AL475,0)&lt;&gt;AK$5),1))+IF(AO475="",0,IFERROR(--(EOMONTH(AO475,0)&lt;&gt;AN$5),1))+IF(AR475="",0,IFERROR(--(EOMONTH(AR475,0)&lt;&gt;AQ$5),1))+IF(AU475="",0,IFERROR(--(EOMONTH(AU475,0)&lt;&gt;AT$5),1))+IF(AX475="",0,IFERROR(--(EOMONTH(AX475,0)&lt;&gt;AW$5),1))+IF(BA475="",0,IFERROR(--(EOMONTH(BA475,0)&lt;&gt;AZ$5),1)))&gt;0,"; An invoice date is not in the month it is typed under",""),3,500))</f>
        <v/>
      </c>
      <c r="S475" s="12" t="n"/>
      <c r="T475" s="13" t="n"/>
      <c r="U475" s="14" t="n"/>
      <c r="V475" s="12" t="n"/>
      <c r="W475" s="13" t="n"/>
      <c r="X475" s="14" t="n"/>
      <c r="Y475" s="12" t="n"/>
      <c r="Z475" s="13" t="n"/>
      <c r="AA475" s="14" t="n"/>
      <c r="AB475" s="12" t="n"/>
      <c r="AC475" s="13" t="n"/>
      <c r="AD475" s="14" t="n"/>
      <c r="AE475" s="12" t="n"/>
      <c r="AF475" s="13" t="n"/>
      <c r="AG475" s="14" t="n"/>
      <c r="AH475" s="12" t="n"/>
      <c r="AI475" s="13" t="n"/>
      <c r="AJ475" s="14" t="n"/>
      <c r="AK475" s="12" t="n"/>
      <c r="AL475" s="13" t="n"/>
      <c r="AM475" s="14" t="n"/>
      <c r="AN475" s="12" t="n"/>
      <c r="AO475" s="13" t="n"/>
      <c r="AP475" s="14" t="n"/>
      <c r="AQ475" s="12" t="n"/>
      <c r="AR475" s="13" t="n"/>
      <c r="AS475" s="14" t="n"/>
      <c r="AT475" s="12" t="n"/>
      <c r="AU475" s="13" t="n"/>
      <c r="AV475" s="14" t="n"/>
      <c r="AW475" s="12" t="n"/>
      <c r="AX475" s="13" t="n"/>
      <c r="AY475" s="14" t="n"/>
      <c r="AZ475" s="12" t="n"/>
      <c r="BA475" s="13" t="n"/>
      <c r="BB475" s="14" t="n"/>
      <c r="BC475" s="11">
        <f>IF(O475="","",IF(J475="GST 10%",ROUND(O475*set_GSTRate,2),0))</f>
        <v/>
      </c>
      <c r="BD475" s="11">
        <f>IF(O475="","",O475+BC475)</f>
        <v/>
      </c>
      <c r="BE475" s="15">
        <f>IF(O475="","",COUNTA(S475,V475,Y475,AB475,AE475,AH475,AK475,AN475,AQ475,AT475,AW475,AZ475))</f>
        <v/>
      </c>
      <c r="BF475" s="16">
        <f>IF(COUNT(T475,W475,Z475,AC475,AF475,AI475,AL475,AO475,AR475,AU475,AX475,BA475)=0,"",MAX(T475,W475,Z475,AC475,AF475,AI475,AL475,AO475,AR475,AU475,AX475,BA475))</f>
        <v/>
      </c>
      <c r="BG475" s="10">
        <f>MID(IF(S475="","",", "&amp;S475)&amp;IF(V475="","",", "&amp;V475)&amp;IF(Y475="","",", "&amp;Y475)&amp;IF(AB475="","",", "&amp;AB475)&amp;IF(AE475="","",", "&amp;AE475)&amp;IF(AH475="","",", "&amp;AH475)&amp;IF(AK475="","",", "&amp;AK475)&amp;IF(AN475="","",", "&amp;AN475)&amp;IF(AQ475="","",", "&amp;AQ475)&amp;IF(AT475="","",", "&amp;AT475)&amp;IF(AW475="","",", "&amp;AW475)&amp;IF(AZ475="","",", "&amp;AZ475),3,500)</f>
        <v/>
      </c>
      <c r="BH475" s="12" t="n"/>
      <c r="BI475" s="15">
        <f>IFERROR(MATCH($A475,IF($B475="Onsite",tbl_Onsite[Row ID],IF($B475="Production",tbl_Production[Row ID],tbl_Consulting[Row ID])),0),"")</f>
        <v/>
      </c>
    </row>
    <row r="476">
      <c r="A476" s="10" t="inlineStr">
        <is>
          <t>ONS-0470</t>
        </is>
      </c>
      <c r="B476" s="10" t="inlineStr">
        <is>
          <t>Onsite</t>
        </is>
      </c>
      <c r="C476" s="10">
        <f>IF($BI476="","",IF($B476="Onsite",INDEX(tbl_Onsite[Job Number],$BI476),IF($B476="Production",INDEX(tbl_Production[Job Number],$BI476),INDEX(tbl_Consulting[Job Number],$BI476)))&amp;"")</f>
        <v/>
      </c>
      <c r="D476" s="10">
        <f>IF($BI476="","",IF($B476="Onsite",INDEX(tbl_Onsite[Client],$BI476),IF($B476="Production",INDEX(tbl_Production[Client],$BI476),INDEX(tbl_Consulting[Client],$BI476)))&amp;"")</f>
        <v/>
      </c>
      <c r="E476" s="10">
        <f>IF($C476="","",IF(COUNTIF(lst_Jobs,$C476)&gt;0,"OK","CHECK"))</f>
        <v/>
      </c>
      <c r="F476" s="10">
        <f>IF($C476="","",IFERROR(INDEX(lst_JobName,MATCH($C476,lst_Jobs,0)),""))</f>
        <v/>
      </c>
      <c r="G476" s="10">
        <f>IF($BI476="","",IF($B476="Onsite",INDEX(tbl_Onsite[Job Description],$BI476),IF($B476="Production",INDEX(tbl_Production[Job Description],$BI476),INDEX(tbl_Consulting[Job Description],$BI476)))&amp;"")</f>
        <v/>
      </c>
      <c r="H476" s="10">
        <f>IF($BI476="","",IF($B476="Onsite",INDEX(tbl_Onsite[Cost Centre],$BI476),IF($B476="Production",INDEX(tbl_Production[Cost Centre],$BI476),INDEX(tbl_Consulting[Cost Centre],$BI476)))&amp;"")</f>
        <v/>
      </c>
      <c r="I476" s="10">
        <f>IF($BI476="","",IF($B476="Onsite",INDEX(tbl_Onsite[Invoice Type],$BI476),IF($B476="Production",INDEX(tbl_Production[Invoice Type],$BI476),INDEX(tbl_Consulting[Invoice Type],$BI476)))&amp;"")</f>
        <v/>
      </c>
      <c r="J476" s="10">
        <f>IF($BI476="","",IF($B476="Onsite",INDEX(tbl_Onsite[Tax Code],$BI476),IF($B476="Production",INDEX(tbl_Production[Tax Code],$BI476),INDEX(tbl_Consulting[Tax Code],$BI476)))&amp;"")</f>
        <v/>
      </c>
      <c r="K476" s="10">
        <f>IF(H476="","",IFERROR(INDEX(lst_CCtoGL,MATCH(H476,lst_CCforGL,0)),""))</f>
        <v/>
      </c>
      <c r="L476" s="10">
        <f>IF($BI476="","",IF($B476="Onsite",INDEX(tbl_Onsite[PO / Reference],$BI476),IF($B476="Production",INDEX(tbl_Production[Current RMS No],$BI476),INDEX(tbl_Consulting[Qwilr Quote],$BI476)))&amp;"")</f>
        <v/>
      </c>
      <c r="M476" s="10">
        <f>IF($BI476="","",IF($B476="Onsite",INDEX(tbl_Onsite[Notes],$BI476),IF($B476="Production",INDEX(tbl_Production[Notes],$BI476),INDEX(tbl_Consulting[Notes],$BI476)))&amp;"")</f>
        <v/>
      </c>
      <c r="N476" s="11">
        <f>IF($BI476="","",IF(IF($B476="Onsite",INDEX(tbl_Onsite[Expected Revenue Ex GST],$BI476),IF($B476="Production",INDEX(tbl_Production[Expected Revenue Ex GST],$BI476),INDEX(tbl_Consulting[Expected Revenue Ex GST],$BI476)))="","",IF($B476="Onsite",INDEX(tbl_Onsite[Expected Revenue Ex GST],$BI476),IF($B476="Production",INDEX(tbl_Production[Expected Revenue Ex GST],$BI476),INDEX(tbl_Consulting[Expected Revenue Ex GST],$BI476)))))</f>
        <v/>
      </c>
      <c r="O476" s="11">
        <f>IF(AND($C476="",NOT(COUNTA($S476:$BB476)&gt;0)),"",SUM(U476,X476,AA476,AD476,AG476,AJ476,AM476,AP476,AS476,AV476,AY476,BB476))</f>
        <v/>
      </c>
      <c r="P476" s="11">
        <f>IF(O476="","",N(N476)-O476)</f>
        <v/>
      </c>
      <c r="Q476" s="10">
        <f>IF(O476="","",IF($C476="","Invoice on empty job row",IF(N476="",IF(ROUND(O476,2)=0,"No dept value","Invoiced - no dept value"),IF(ROUND(O476,2)=0,"Not invoiced - to invoice",IF(ROUND(P476,2)=0,"Agrees",IF(P476&gt;0,"Dept higher - to invoice","Xero higher - check dept"))))))</f>
        <v/>
      </c>
      <c r="R476" s="10">
        <f>IF(AND($C476="",NOT(COUNTA($S476:$BB476)&gt;0),$BI476&lt;&gt;""),"",MID(IF($BI476="","; Row ID not found on the department sheet - a row was deleted","")&amp;IF(AND($C476="",COUNTA($S476:$BB476)&gt;0),"; Invoice entered but the department row has no job number","")&amp;IF(E476="CHECK","; Job number not in the Xero job list","")&amp;IF(AND($C476&lt;&gt;"",COUNTIF($C$7:$C$1506,$C476)&gt;1),"; Job number on more than one row","")&amp;IF(AND($C476&lt;&gt;"",H476=""),"; Dept has not set a cost centre","")&amp;IF(AND($C476&lt;&gt;"",J476=""),"; Dept has not set a tax code","")&amp;IF(AND($C476&lt;&gt;"",N476=""),"; Dept has not entered an expected value","")&amp;IF((IF(OR(COUNTA(S476:U476)=0,AND(COUNTA(S476:U476)=3,ISNUMBER(U476))),0,1)+IF(OR(COUNTA(V476:X476)=0,AND(COUNTA(V476:X476)=3,ISNUMBER(X476))),0,1)+IF(OR(COUNTA(Y476:AA476)=0,AND(COUNTA(Y476:AA476)=3,ISNUMBER(AA476))),0,1)+IF(OR(COUNTA(AB476:AD476)=0,AND(COUNTA(AB476:AD476)=3,ISNUMBER(AD476))),0,1)+IF(OR(COUNTA(AE476:AG476)=0,AND(COUNTA(AE476:AG476)=3,ISNUMBER(AG476))),0,1)+IF(OR(COUNTA(AH476:AJ476)=0,AND(COUNTA(AH476:AJ476)=3,ISNUMBER(AJ476))),0,1)+IF(OR(COUNTA(AK476:AM476)=0,AND(COUNTA(AK476:AM476)=3,ISNUMBER(AM476))),0,1)+IF(OR(COUNTA(AN476:AP476)=0,AND(COUNTA(AN476:AP476)=3,ISNUMBER(AP476))),0,1)+IF(OR(COUNTA(AQ476:AS476)=0,AND(COUNTA(AQ476:AS476)=3,ISNUMBER(AS476))),0,1)+IF(OR(COUNTA(AT476:AV476)=0,AND(COUNTA(AT476:AV476)=3,ISNUMBER(AV476))),0,1)+IF(OR(COUNTA(AW476:AY476)=0,AND(COUNTA(AW476:AY476)=3,ISNUMBER(AY476))),0,1)+IF(OR(COUNTA(AZ476:BB476)=0,AND(COUNTA(AZ476:BB476)=3,ISNUMBER(BB476))),0,1))&gt;0,"; An invoice is incomplete (needs No, Date and a number in Ex GST)","")&amp;IF((IF(T476="",0,IFERROR(--(EOMONTH(T476,0)&lt;&gt;S$5),1))+IF(W476="",0,IFERROR(--(EOMONTH(W476,0)&lt;&gt;V$5),1))+IF(Z476="",0,IFERROR(--(EOMONTH(Z476,0)&lt;&gt;Y$5),1))+IF(AC476="",0,IFERROR(--(EOMONTH(AC476,0)&lt;&gt;AB$5),1))+IF(AF476="",0,IFERROR(--(EOMONTH(AF476,0)&lt;&gt;AE$5),1))+IF(AI476="",0,IFERROR(--(EOMONTH(AI476,0)&lt;&gt;AH$5),1))+IF(AL476="",0,IFERROR(--(EOMONTH(AL476,0)&lt;&gt;AK$5),1))+IF(AO476="",0,IFERROR(--(EOMONTH(AO476,0)&lt;&gt;AN$5),1))+IF(AR476="",0,IFERROR(--(EOMONTH(AR476,0)&lt;&gt;AQ$5),1))+IF(AU476="",0,IFERROR(--(EOMONTH(AU476,0)&lt;&gt;AT$5),1))+IF(AX476="",0,IFERROR(--(EOMONTH(AX476,0)&lt;&gt;AW$5),1))+IF(BA476="",0,IFERROR(--(EOMONTH(BA476,0)&lt;&gt;AZ$5),1)))&gt;0,"; An invoice date is not in the month it is typed under",""),3,500))</f>
        <v/>
      </c>
      <c r="S476" s="12" t="n"/>
      <c r="T476" s="13" t="n"/>
      <c r="U476" s="14" t="n"/>
      <c r="V476" s="12" t="n"/>
      <c r="W476" s="13" t="n"/>
      <c r="X476" s="14" t="n"/>
      <c r="Y476" s="12" t="n"/>
      <c r="Z476" s="13" t="n"/>
      <c r="AA476" s="14" t="n"/>
      <c r="AB476" s="12" t="n"/>
      <c r="AC476" s="13" t="n"/>
      <c r="AD476" s="14" t="n"/>
      <c r="AE476" s="12" t="n"/>
      <c r="AF476" s="13" t="n"/>
      <c r="AG476" s="14" t="n"/>
      <c r="AH476" s="12" t="n"/>
      <c r="AI476" s="13" t="n"/>
      <c r="AJ476" s="14" t="n"/>
      <c r="AK476" s="12" t="n"/>
      <c r="AL476" s="13" t="n"/>
      <c r="AM476" s="14" t="n"/>
      <c r="AN476" s="12" t="n"/>
      <c r="AO476" s="13" t="n"/>
      <c r="AP476" s="14" t="n"/>
      <c r="AQ476" s="12" t="n"/>
      <c r="AR476" s="13" t="n"/>
      <c r="AS476" s="14" t="n"/>
      <c r="AT476" s="12" t="n"/>
      <c r="AU476" s="13" t="n"/>
      <c r="AV476" s="14" t="n"/>
      <c r="AW476" s="12" t="n"/>
      <c r="AX476" s="13" t="n"/>
      <c r="AY476" s="14" t="n"/>
      <c r="AZ476" s="12" t="n"/>
      <c r="BA476" s="13" t="n"/>
      <c r="BB476" s="14" t="n"/>
      <c r="BC476" s="11">
        <f>IF(O476="","",IF(J476="GST 10%",ROUND(O476*set_GSTRate,2),0))</f>
        <v/>
      </c>
      <c r="BD476" s="11">
        <f>IF(O476="","",O476+BC476)</f>
        <v/>
      </c>
      <c r="BE476" s="15">
        <f>IF(O476="","",COUNTA(S476,V476,Y476,AB476,AE476,AH476,AK476,AN476,AQ476,AT476,AW476,AZ476))</f>
        <v/>
      </c>
      <c r="BF476" s="16">
        <f>IF(COUNT(T476,W476,Z476,AC476,AF476,AI476,AL476,AO476,AR476,AU476,AX476,BA476)=0,"",MAX(T476,W476,Z476,AC476,AF476,AI476,AL476,AO476,AR476,AU476,AX476,BA476))</f>
        <v/>
      </c>
      <c r="BG476" s="10">
        <f>MID(IF(S476="","",", "&amp;S476)&amp;IF(V476="","",", "&amp;V476)&amp;IF(Y476="","",", "&amp;Y476)&amp;IF(AB476="","",", "&amp;AB476)&amp;IF(AE476="","",", "&amp;AE476)&amp;IF(AH476="","",", "&amp;AH476)&amp;IF(AK476="","",", "&amp;AK476)&amp;IF(AN476="","",", "&amp;AN476)&amp;IF(AQ476="","",", "&amp;AQ476)&amp;IF(AT476="","",", "&amp;AT476)&amp;IF(AW476="","",", "&amp;AW476)&amp;IF(AZ476="","",", "&amp;AZ476),3,500)</f>
        <v/>
      </c>
      <c r="BH476" s="12" t="n"/>
      <c r="BI476" s="15">
        <f>IFERROR(MATCH($A476,IF($B476="Onsite",tbl_Onsite[Row ID],IF($B476="Production",tbl_Production[Row ID],tbl_Consulting[Row ID])),0),"")</f>
        <v/>
      </c>
    </row>
    <row r="477">
      <c r="A477" s="10" t="inlineStr">
        <is>
          <t>ONS-0471</t>
        </is>
      </c>
      <c r="B477" s="10" t="inlineStr">
        <is>
          <t>Onsite</t>
        </is>
      </c>
      <c r="C477" s="10">
        <f>IF($BI477="","",IF($B477="Onsite",INDEX(tbl_Onsite[Job Number],$BI477),IF($B477="Production",INDEX(tbl_Production[Job Number],$BI477),INDEX(tbl_Consulting[Job Number],$BI477)))&amp;"")</f>
        <v/>
      </c>
      <c r="D477" s="10">
        <f>IF($BI477="","",IF($B477="Onsite",INDEX(tbl_Onsite[Client],$BI477),IF($B477="Production",INDEX(tbl_Production[Client],$BI477),INDEX(tbl_Consulting[Client],$BI477)))&amp;"")</f>
        <v/>
      </c>
      <c r="E477" s="10">
        <f>IF($C477="","",IF(COUNTIF(lst_Jobs,$C477)&gt;0,"OK","CHECK"))</f>
        <v/>
      </c>
      <c r="F477" s="10">
        <f>IF($C477="","",IFERROR(INDEX(lst_JobName,MATCH($C477,lst_Jobs,0)),""))</f>
        <v/>
      </c>
      <c r="G477" s="10">
        <f>IF($BI477="","",IF($B477="Onsite",INDEX(tbl_Onsite[Job Description],$BI477),IF($B477="Production",INDEX(tbl_Production[Job Description],$BI477),INDEX(tbl_Consulting[Job Description],$BI477)))&amp;"")</f>
        <v/>
      </c>
      <c r="H477" s="10">
        <f>IF($BI477="","",IF($B477="Onsite",INDEX(tbl_Onsite[Cost Centre],$BI477),IF($B477="Production",INDEX(tbl_Production[Cost Centre],$BI477),INDEX(tbl_Consulting[Cost Centre],$BI477)))&amp;"")</f>
        <v/>
      </c>
      <c r="I477" s="10">
        <f>IF($BI477="","",IF($B477="Onsite",INDEX(tbl_Onsite[Invoice Type],$BI477),IF($B477="Production",INDEX(tbl_Production[Invoice Type],$BI477),INDEX(tbl_Consulting[Invoice Type],$BI477)))&amp;"")</f>
        <v/>
      </c>
      <c r="J477" s="10">
        <f>IF($BI477="","",IF($B477="Onsite",INDEX(tbl_Onsite[Tax Code],$BI477),IF($B477="Production",INDEX(tbl_Production[Tax Code],$BI477),INDEX(tbl_Consulting[Tax Code],$BI477)))&amp;"")</f>
        <v/>
      </c>
      <c r="K477" s="10">
        <f>IF(H477="","",IFERROR(INDEX(lst_CCtoGL,MATCH(H477,lst_CCforGL,0)),""))</f>
        <v/>
      </c>
      <c r="L477" s="10">
        <f>IF($BI477="","",IF($B477="Onsite",INDEX(tbl_Onsite[PO / Reference],$BI477),IF($B477="Production",INDEX(tbl_Production[Current RMS No],$BI477),INDEX(tbl_Consulting[Qwilr Quote],$BI477)))&amp;"")</f>
        <v/>
      </c>
      <c r="M477" s="10">
        <f>IF($BI477="","",IF($B477="Onsite",INDEX(tbl_Onsite[Notes],$BI477),IF($B477="Production",INDEX(tbl_Production[Notes],$BI477),INDEX(tbl_Consulting[Notes],$BI477)))&amp;"")</f>
        <v/>
      </c>
      <c r="N477" s="11">
        <f>IF($BI477="","",IF(IF($B477="Onsite",INDEX(tbl_Onsite[Expected Revenue Ex GST],$BI477),IF($B477="Production",INDEX(tbl_Production[Expected Revenue Ex GST],$BI477),INDEX(tbl_Consulting[Expected Revenue Ex GST],$BI477)))="","",IF($B477="Onsite",INDEX(tbl_Onsite[Expected Revenue Ex GST],$BI477),IF($B477="Production",INDEX(tbl_Production[Expected Revenue Ex GST],$BI477),INDEX(tbl_Consulting[Expected Revenue Ex GST],$BI477)))))</f>
        <v/>
      </c>
      <c r="O477" s="11">
        <f>IF(AND($C477="",NOT(COUNTA($S477:$BB477)&gt;0)),"",SUM(U477,X477,AA477,AD477,AG477,AJ477,AM477,AP477,AS477,AV477,AY477,BB477))</f>
        <v/>
      </c>
      <c r="P477" s="11">
        <f>IF(O477="","",N(N477)-O477)</f>
        <v/>
      </c>
      <c r="Q477" s="10">
        <f>IF(O477="","",IF($C477="","Invoice on empty job row",IF(N477="",IF(ROUND(O477,2)=0,"No dept value","Invoiced - no dept value"),IF(ROUND(O477,2)=0,"Not invoiced - to invoice",IF(ROUND(P477,2)=0,"Agrees",IF(P477&gt;0,"Dept higher - to invoice","Xero higher - check dept"))))))</f>
        <v/>
      </c>
      <c r="R477" s="10">
        <f>IF(AND($C477="",NOT(COUNTA($S477:$BB477)&gt;0),$BI477&lt;&gt;""),"",MID(IF($BI477="","; Row ID not found on the department sheet - a row was deleted","")&amp;IF(AND($C477="",COUNTA($S477:$BB477)&gt;0),"; Invoice entered but the department row has no job number","")&amp;IF(E477="CHECK","; Job number not in the Xero job list","")&amp;IF(AND($C477&lt;&gt;"",COUNTIF($C$7:$C$1506,$C477)&gt;1),"; Job number on more than one row","")&amp;IF(AND($C477&lt;&gt;"",H477=""),"; Dept has not set a cost centre","")&amp;IF(AND($C477&lt;&gt;"",J477=""),"; Dept has not set a tax code","")&amp;IF(AND($C477&lt;&gt;"",N477=""),"; Dept has not entered an expected value","")&amp;IF((IF(OR(COUNTA(S477:U477)=0,AND(COUNTA(S477:U477)=3,ISNUMBER(U477))),0,1)+IF(OR(COUNTA(V477:X477)=0,AND(COUNTA(V477:X477)=3,ISNUMBER(X477))),0,1)+IF(OR(COUNTA(Y477:AA477)=0,AND(COUNTA(Y477:AA477)=3,ISNUMBER(AA477))),0,1)+IF(OR(COUNTA(AB477:AD477)=0,AND(COUNTA(AB477:AD477)=3,ISNUMBER(AD477))),0,1)+IF(OR(COUNTA(AE477:AG477)=0,AND(COUNTA(AE477:AG477)=3,ISNUMBER(AG477))),0,1)+IF(OR(COUNTA(AH477:AJ477)=0,AND(COUNTA(AH477:AJ477)=3,ISNUMBER(AJ477))),0,1)+IF(OR(COUNTA(AK477:AM477)=0,AND(COUNTA(AK477:AM477)=3,ISNUMBER(AM477))),0,1)+IF(OR(COUNTA(AN477:AP477)=0,AND(COUNTA(AN477:AP477)=3,ISNUMBER(AP477))),0,1)+IF(OR(COUNTA(AQ477:AS477)=0,AND(COUNTA(AQ477:AS477)=3,ISNUMBER(AS477))),0,1)+IF(OR(COUNTA(AT477:AV477)=0,AND(COUNTA(AT477:AV477)=3,ISNUMBER(AV477))),0,1)+IF(OR(COUNTA(AW477:AY477)=0,AND(COUNTA(AW477:AY477)=3,ISNUMBER(AY477))),0,1)+IF(OR(COUNTA(AZ477:BB477)=0,AND(COUNTA(AZ477:BB477)=3,ISNUMBER(BB477))),0,1))&gt;0,"; An invoice is incomplete (needs No, Date and a number in Ex GST)","")&amp;IF((IF(T477="",0,IFERROR(--(EOMONTH(T477,0)&lt;&gt;S$5),1))+IF(W477="",0,IFERROR(--(EOMONTH(W477,0)&lt;&gt;V$5),1))+IF(Z477="",0,IFERROR(--(EOMONTH(Z477,0)&lt;&gt;Y$5),1))+IF(AC477="",0,IFERROR(--(EOMONTH(AC477,0)&lt;&gt;AB$5),1))+IF(AF477="",0,IFERROR(--(EOMONTH(AF477,0)&lt;&gt;AE$5),1))+IF(AI477="",0,IFERROR(--(EOMONTH(AI477,0)&lt;&gt;AH$5),1))+IF(AL477="",0,IFERROR(--(EOMONTH(AL477,0)&lt;&gt;AK$5),1))+IF(AO477="",0,IFERROR(--(EOMONTH(AO477,0)&lt;&gt;AN$5),1))+IF(AR477="",0,IFERROR(--(EOMONTH(AR477,0)&lt;&gt;AQ$5),1))+IF(AU477="",0,IFERROR(--(EOMONTH(AU477,0)&lt;&gt;AT$5),1))+IF(AX477="",0,IFERROR(--(EOMONTH(AX477,0)&lt;&gt;AW$5),1))+IF(BA477="",0,IFERROR(--(EOMONTH(BA477,0)&lt;&gt;AZ$5),1)))&gt;0,"; An invoice date is not in the month it is typed under",""),3,500))</f>
        <v/>
      </c>
      <c r="S477" s="12" t="n"/>
      <c r="T477" s="13" t="n"/>
      <c r="U477" s="14" t="n"/>
      <c r="V477" s="12" t="n"/>
      <c r="W477" s="13" t="n"/>
      <c r="X477" s="14" t="n"/>
      <c r="Y477" s="12" t="n"/>
      <c r="Z477" s="13" t="n"/>
      <c r="AA477" s="14" t="n"/>
      <c r="AB477" s="12" t="n"/>
      <c r="AC477" s="13" t="n"/>
      <c r="AD477" s="14" t="n"/>
      <c r="AE477" s="12" t="n"/>
      <c r="AF477" s="13" t="n"/>
      <c r="AG477" s="14" t="n"/>
      <c r="AH477" s="12" t="n"/>
      <c r="AI477" s="13" t="n"/>
      <c r="AJ477" s="14" t="n"/>
      <c r="AK477" s="12" t="n"/>
      <c r="AL477" s="13" t="n"/>
      <c r="AM477" s="14" t="n"/>
      <c r="AN477" s="12" t="n"/>
      <c r="AO477" s="13" t="n"/>
      <c r="AP477" s="14" t="n"/>
      <c r="AQ477" s="12" t="n"/>
      <c r="AR477" s="13" t="n"/>
      <c r="AS477" s="14" t="n"/>
      <c r="AT477" s="12" t="n"/>
      <c r="AU477" s="13" t="n"/>
      <c r="AV477" s="14" t="n"/>
      <c r="AW477" s="12" t="n"/>
      <c r="AX477" s="13" t="n"/>
      <c r="AY477" s="14" t="n"/>
      <c r="AZ477" s="12" t="n"/>
      <c r="BA477" s="13" t="n"/>
      <c r="BB477" s="14" t="n"/>
      <c r="BC477" s="11">
        <f>IF(O477="","",IF(J477="GST 10%",ROUND(O477*set_GSTRate,2),0))</f>
        <v/>
      </c>
      <c r="BD477" s="11">
        <f>IF(O477="","",O477+BC477)</f>
        <v/>
      </c>
      <c r="BE477" s="15">
        <f>IF(O477="","",COUNTA(S477,V477,Y477,AB477,AE477,AH477,AK477,AN477,AQ477,AT477,AW477,AZ477))</f>
        <v/>
      </c>
      <c r="BF477" s="16">
        <f>IF(COUNT(T477,W477,Z477,AC477,AF477,AI477,AL477,AO477,AR477,AU477,AX477,BA477)=0,"",MAX(T477,W477,Z477,AC477,AF477,AI477,AL477,AO477,AR477,AU477,AX477,BA477))</f>
        <v/>
      </c>
      <c r="BG477" s="10">
        <f>MID(IF(S477="","",", "&amp;S477)&amp;IF(V477="","",", "&amp;V477)&amp;IF(Y477="","",", "&amp;Y477)&amp;IF(AB477="","",", "&amp;AB477)&amp;IF(AE477="","",", "&amp;AE477)&amp;IF(AH477="","",", "&amp;AH477)&amp;IF(AK477="","",", "&amp;AK477)&amp;IF(AN477="","",", "&amp;AN477)&amp;IF(AQ477="","",", "&amp;AQ477)&amp;IF(AT477="","",", "&amp;AT477)&amp;IF(AW477="","",", "&amp;AW477)&amp;IF(AZ477="","",", "&amp;AZ477),3,500)</f>
        <v/>
      </c>
      <c r="BH477" s="12" t="n"/>
      <c r="BI477" s="15">
        <f>IFERROR(MATCH($A477,IF($B477="Onsite",tbl_Onsite[Row ID],IF($B477="Production",tbl_Production[Row ID],tbl_Consulting[Row ID])),0),"")</f>
        <v/>
      </c>
    </row>
    <row r="478">
      <c r="A478" s="10" t="inlineStr">
        <is>
          <t>ONS-0472</t>
        </is>
      </c>
      <c r="B478" s="10" t="inlineStr">
        <is>
          <t>Onsite</t>
        </is>
      </c>
      <c r="C478" s="10">
        <f>IF($BI478="","",IF($B478="Onsite",INDEX(tbl_Onsite[Job Number],$BI478),IF($B478="Production",INDEX(tbl_Production[Job Number],$BI478),INDEX(tbl_Consulting[Job Number],$BI478)))&amp;"")</f>
        <v/>
      </c>
      <c r="D478" s="10">
        <f>IF($BI478="","",IF($B478="Onsite",INDEX(tbl_Onsite[Client],$BI478),IF($B478="Production",INDEX(tbl_Production[Client],$BI478),INDEX(tbl_Consulting[Client],$BI478)))&amp;"")</f>
        <v/>
      </c>
      <c r="E478" s="10">
        <f>IF($C478="","",IF(COUNTIF(lst_Jobs,$C478)&gt;0,"OK","CHECK"))</f>
        <v/>
      </c>
      <c r="F478" s="10">
        <f>IF($C478="","",IFERROR(INDEX(lst_JobName,MATCH($C478,lst_Jobs,0)),""))</f>
        <v/>
      </c>
      <c r="G478" s="10">
        <f>IF($BI478="","",IF($B478="Onsite",INDEX(tbl_Onsite[Job Description],$BI478),IF($B478="Production",INDEX(tbl_Production[Job Description],$BI478),INDEX(tbl_Consulting[Job Description],$BI478)))&amp;"")</f>
        <v/>
      </c>
      <c r="H478" s="10">
        <f>IF($BI478="","",IF($B478="Onsite",INDEX(tbl_Onsite[Cost Centre],$BI478),IF($B478="Production",INDEX(tbl_Production[Cost Centre],$BI478),INDEX(tbl_Consulting[Cost Centre],$BI478)))&amp;"")</f>
        <v/>
      </c>
      <c r="I478" s="10">
        <f>IF($BI478="","",IF($B478="Onsite",INDEX(tbl_Onsite[Invoice Type],$BI478),IF($B478="Production",INDEX(tbl_Production[Invoice Type],$BI478),INDEX(tbl_Consulting[Invoice Type],$BI478)))&amp;"")</f>
        <v/>
      </c>
      <c r="J478" s="10">
        <f>IF($BI478="","",IF($B478="Onsite",INDEX(tbl_Onsite[Tax Code],$BI478),IF($B478="Production",INDEX(tbl_Production[Tax Code],$BI478),INDEX(tbl_Consulting[Tax Code],$BI478)))&amp;"")</f>
        <v/>
      </c>
      <c r="K478" s="10">
        <f>IF(H478="","",IFERROR(INDEX(lst_CCtoGL,MATCH(H478,lst_CCforGL,0)),""))</f>
        <v/>
      </c>
      <c r="L478" s="10">
        <f>IF($BI478="","",IF($B478="Onsite",INDEX(tbl_Onsite[PO / Reference],$BI478),IF($B478="Production",INDEX(tbl_Production[Current RMS No],$BI478),INDEX(tbl_Consulting[Qwilr Quote],$BI478)))&amp;"")</f>
        <v/>
      </c>
      <c r="M478" s="10">
        <f>IF($BI478="","",IF($B478="Onsite",INDEX(tbl_Onsite[Notes],$BI478),IF($B478="Production",INDEX(tbl_Production[Notes],$BI478),INDEX(tbl_Consulting[Notes],$BI478)))&amp;"")</f>
        <v/>
      </c>
      <c r="N478" s="11">
        <f>IF($BI478="","",IF(IF($B478="Onsite",INDEX(tbl_Onsite[Expected Revenue Ex GST],$BI478),IF($B478="Production",INDEX(tbl_Production[Expected Revenue Ex GST],$BI478),INDEX(tbl_Consulting[Expected Revenue Ex GST],$BI478)))="","",IF($B478="Onsite",INDEX(tbl_Onsite[Expected Revenue Ex GST],$BI478),IF($B478="Production",INDEX(tbl_Production[Expected Revenue Ex GST],$BI478),INDEX(tbl_Consulting[Expected Revenue Ex GST],$BI478)))))</f>
        <v/>
      </c>
      <c r="O478" s="11">
        <f>IF(AND($C478="",NOT(COUNTA($S478:$BB478)&gt;0)),"",SUM(U478,X478,AA478,AD478,AG478,AJ478,AM478,AP478,AS478,AV478,AY478,BB478))</f>
        <v/>
      </c>
      <c r="P478" s="11">
        <f>IF(O478="","",N(N478)-O478)</f>
        <v/>
      </c>
      <c r="Q478" s="10">
        <f>IF(O478="","",IF($C478="","Invoice on empty job row",IF(N478="",IF(ROUND(O478,2)=0,"No dept value","Invoiced - no dept value"),IF(ROUND(O478,2)=0,"Not invoiced - to invoice",IF(ROUND(P478,2)=0,"Agrees",IF(P478&gt;0,"Dept higher - to invoice","Xero higher - check dept"))))))</f>
        <v/>
      </c>
      <c r="R478" s="10">
        <f>IF(AND($C478="",NOT(COUNTA($S478:$BB478)&gt;0),$BI478&lt;&gt;""),"",MID(IF($BI478="","; Row ID not found on the department sheet - a row was deleted","")&amp;IF(AND($C478="",COUNTA($S478:$BB478)&gt;0),"; Invoice entered but the department row has no job number","")&amp;IF(E478="CHECK","; Job number not in the Xero job list","")&amp;IF(AND($C478&lt;&gt;"",COUNTIF($C$7:$C$1506,$C478)&gt;1),"; Job number on more than one row","")&amp;IF(AND($C478&lt;&gt;"",H478=""),"; Dept has not set a cost centre","")&amp;IF(AND($C478&lt;&gt;"",J478=""),"; Dept has not set a tax code","")&amp;IF(AND($C478&lt;&gt;"",N478=""),"; Dept has not entered an expected value","")&amp;IF((IF(OR(COUNTA(S478:U478)=0,AND(COUNTA(S478:U478)=3,ISNUMBER(U478))),0,1)+IF(OR(COUNTA(V478:X478)=0,AND(COUNTA(V478:X478)=3,ISNUMBER(X478))),0,1)+IF(OR(COUNTA(Y478:AA478)=0,AND(COUNTA(Y478:AA478)=3,ISNUMBER(AA478))),0,1)+IF(OR(COUNTA(AB478:AD478)=0,AND(COUNTA(AB478:AD478)=3,ISNUMBER(AD478))),0,1)+IF(OR(COUNTA(AE478:AG478)=0,AND(COUNTA(AE478:AG478)=3,ISNUMBER(AG478))),0,1)+IF(OR(COUNTA(AH478:AJ478)=0,AND(COUNTA(AH478:AJ478)=3,ISNUMBER(AJ478))),0,1)+IF(OR(COUNTA(AK478:AM478)=0,AND(COUNTA(AK478:AM478)=3,ISNUMBER(AM478))),0,1)+IF(OR(COUNTA(AN478:AP478)=0,AND(COUNTA(AN478:AP478)=3,ISNUMBER(AP478))),0,1)+IF(OR(COUNTA(AQ478:AS478)=0,AND(COUNTA(AQ478:AS478)=3,ISNUMBER(AS478))),0,1)+IF(OR(COUNTA(AT478:AV478)=0,AND(COUNTA(AT478:AV478)=3,ISNUMBER(AV478))),0,1)+IF(OR(COUNTA(AW478:AY478)=0,AND(COUNTA(AW478:AY478)=3,ISNUMBER(AY478))),0,1)+IF(OR(COUNTA(AZ478:BB478)=0,AND(COUNTA(AZ478:BB478)=3,ISNUMBER(BB478))),0,1))&gt;0,"; An invoice is incomplete (needs No, Date and a number in Ex GST)","")&amp;IF((IF(T478="",0,IFERROR(--(EOMONTH(T478,0)&lt;&gt;S$5),1))+IF(W478="",0,IFERROR(--(EOMONTH(W478,0)&lt;&gt;V$5),1))+IF(Z478="",0,IFERROR(--(EOMONTH(Z478,0)&lt;&gt;Y$5),1))+IF(AC478="",0,IFERROR(--(EOMONTH(AC478,0)&lt;&gt;AB$5),1))+IF(AF478="",0,IFERROR(--(EOMONTH(AF478,0)&lt;&gt;AE$5),1))+IF(AI478="",0,IFERROR(--(EOMONTH(AI478,0)&lt;&gt;AH$5),1))+IF(AL478="",0,IFERROR(--(EOMONTH(AL478,0)&lt;&gt;AK$5),1))+IF(AO478="",0,IFERROR(--(EOMONTH(AO478,0)&lt;&gt;AN$5),1))+IF(AR478="",0,IFERROR(--(EOMONTH(AR478,0)&lt;&gt;AQ$5),1))+IF(AU478="",0,IFERROR(--(EOMONTH(AU478,0)&lt;&gt;AT$5),1))+IF(AX478="",0,IFERROR(--(EOMONTH(AX478,0)&lt;&gt;AW$5),1))+IF(BA478="",0,IFERROR(--(EOMONTH(BA478,0)&lt;&gt;AZ$5),1)))&gt;0,"; An invoice date is not in the month it is typed under",""),3,500))</f>
        <v/>
      </c>
      <c r="S478" s="12" t="n"/>
      <c r="T478" s="13" t="n"/>
      <c r="U478" s="14" t="n"/>
      <c r="V478" s="12" t="n"/>
      <c r="W478" s="13" t="n"/>
      <c r="X478" s="14" t="n"/>
      <c r="Y478" s="12" t="n"/>
      <c r="Z478" s="13" t="n"/>
      <c r="AA478" s="14" t="n"/>
      <c r="AB478" s="12" t="n"/>
      <c r="AC478" s="13" t="n"/>
      <c r="AD478" s="14" t="n"/>
      <c r="AE478" s="12" t="n"/>
      <c r="AF478" s="13" t="n"/>
      <c r="AG478" s="14" t="n"/>
      <c r="AH478" s="12" t="n"/>
      <c r="AI478" s="13" t="n"/>
      <c r="AJ478" s="14" t="n"/>
      <c r="AK478" s="12" t="n"/>
      <c r="AL478" s="13" t="n"/>
      <c r="AM478" s="14" t="n"/>
      <c r="AN478" s="12" t="n"/>
      <c r="AO478" s="13" t="n"/>
      <c r="AP478" s="14" t="n"/>
      <c r="AQ478" s="12" t="n"/>
      <c r="AR478" s="13" t="n"/>
      <c r="AS478" s="14" t="n"/>
      <c r="AT478" s="12" t="n"/>
      <c r="AU478" s="13" t="n"/>
      <c r="AV478" s="14" t="n"/>
      <c r="AW478" s="12" t="n"/>
      <c r="AX478" s="13" t="n"/>
      <c r="AY478" s="14" t="n"/>
      <c r="AZ478" s="12" t="n"/>
      <c r="BA478" s="13" t="n"/>
      <c r="BB478" s="14" t="n"/>
      <c r="BC478" s="11">
        <f>IF(O478="","",IF(J478="GST 10%",ROUND(O478*set_GSTRate,2),0))</f>
        <v/>
      </c>
      <c r="BD478" s="11">
        <f>IF(O478="","",O478+BC478)</f>
        <v/>
      </c>
      <c r="BE478" s="15">
        <f>IF(O478="","",COUNTA(S478,V478,Y478,AB478,AE478,AH478,AK478,AN478,AQ478,AT478,AW478,AZ478))</f>
        <v/>
      </c>
      <c r="BF478" s="16">
        <f>IF(COUNT(T478,W478,Z478,AC478,AF478,AI478,AL478,AO478,AR478,AU478,AX478,BA478)=0,"",MAX(T478,W478,Z478,AC478,AF478,AI478,AL478,AO478,AR478,AU478,AX478,BA478))</f>
        <v/>
      </c>
      <c r="BG478" s="10">
        <f>MID(IF(S478="","",", "&amp;S478)&amp;IF(V478="","",", "&amp;V478)&amp;IF(Y478="","",", "&amp;Y478)&amp;IF(AB478="","",", "&amp;AB478)&amp;IF(AE478="","",", "&amp;AE478)&amp;IF(AH478="","",", "&amp;AH478)&amp;IF(AK478="","",", "&amp;AK478)&amp;IF(AN478="","",", "&amp;AN478)&amp;IF(AQ478="","",", "&amp;AQ478)&amp;IF(AT478="","",", "&amp;AT478)&amp;IF(AW478="","",", "&amp;AW478)&amp;IF(AZ478="","",", "&amp;AZ478),3,500)</f>
        <v/>
      </c>
      <c r="BH478" s="12" t="n"/>
      <c r="BI478" s="15">
        <f>IFERROR(MATCH($A478,IF($B478="Onsite",tbl_Onsite[Row ID],IF($B478="Production",tbl_Production[Row ID],tbl_Consulting[Row ID])),0),"")</f>
        <v/>
      </c>
    </row>
    <row r="479">
      <c r="A479" s="10" t="inlineStr">
        <is>
          <t>ONS-0473</t>
        </is>
      </c>
      <c r="B479" s="10" t="inlineStr">
        <is>
          <t>Onsite</t>
        </is>
      </c>
      <c r="C479" s="10">
        <f>IF($BI479="","",IF($B479="Onsite",INDEX(tbl_Onsite[Job Number],$BI479),IF($B479="Production",INDEX(tbl_Production[Job Number],$BI479),INDEX(tbl_Consulting[Job Number],$BI479)))&amp;"")</f>
        <v/>
      </c>
      <c r="D479" s="10">
        <f>IF($BI479="","",IF($B479="Onsite",INDEX(tbl_Onsite[Client],$BI479),IF($B479="Production",INDEX(tbl_Production[Client],$BI479),INDEX(tbl_Consulting[Client],$BI479)))&amp;"")</f>
        <v/>
      </c>
      <c r="E479" s="10">
        <f>IF($C479="","",IF(COUNTIF(lst_Jobs,$C479)&gt;0,"OK","CHECK"))</f>
        <v/>
      </c>
      <c r="F479" s="10">
        <f>IF($C479="","",IFERROR(INDEX(lst_JobName,MATCH($C479,lst_Jobs,0)),""))</f>
        <v/>
      </c>
      <c r="G479" s="10">
        <f>IF($BI479="","",IF($B479="Onsite",INDEX(tbl_Onsite[Job Description],$BI479),IF($B479="Production",INDEX(tbl_Production[Job Description],$BI479),INDEX(tbl_Consulting[Job Description],$BI479)))&amp;"")</f>
        <v/>
      </c>
      <c r="H479" s="10">
        <f>IF($BI479="","",IF($B479="Onsite",INDEX(tbl_Onsite[Cost Centre],$BI479),IF($B479="Production",INDEX(tbl_Production[Cost Centre],$BI479),INDEX(tbl_Consulting[Cost Centre],$BI479)))&amp;"")</f>
        <v/>
      </c>
      <c r="I479" s="10">
        <f>IF($BI479="","",IF($B479="Onsite",INDEX(tbl_Onsite[Invoice Type],$BI479),IF($B479="Production",INDEX(tbl_Production[Invoice Type],$BI479),INDEX(tbl_Consulting[Invoice Type],$BI479)))&amp;"")</f>
        <v/>
      </c>
      <c r="J479" s="10">
        <f>IF($BI479="","",IF($B479="Onsite",INDEX(tbl_Onsite[Tax Code],$BI479),IF($B479="Production",INDEX(tbl_Production[Tax Code],$BI479),INDEX(tbl_Consulting[Tax Code],$BI479)))&amp;"")</f>
        <v/>
      </c>
      <c r="K479" s="10">
        <f>IF(H479="","",IFERROR(INDEX(lst_CCtoGL,MATCH(H479,lst_CCforGL,0)),""))</f>
        <v/>
      </c>
      <c r="L479" s="10">
        <f>IF($BI479="","",IF($B479="Onsite",INDEX(tbl_Onsite[PO / Reference],$BI479),IF($B479="Production",INDEX(tbl_Production[Current RMS No],$BI479),INDEX(tbl_Consulting[Qwilr Quote],$BI479)))&amp;"")</f>
        <v/>
      </c>
      <c r="M479" s="10">
        <f>IF($BI479="","",IF($B479="Onsite",INDEX(tbl_Onsite[Notes],$BI479),IF($B479="Production",INDEX(tbl_Production[Notes],$BI479),INDEX(tbl_Consulting[Notes],$BI479)))&amp;"")</f>
        <v/>
      </c>
      <c r="N479" s="11">
        <f>IF($BI479="","",IF(IF($B479="Onsite",INDEX(tbl_Onsite[Expected Revenue Ex GST],$BI479),IF($B479="Production",INDEX(tbl_Production[Expected Revenue Ex GST],$BI479),INDEX(tbl_Consulting[Expected Revenue Ex GST],$BI479)))="","",IF($B479="Onsite",INDEX(tbl_Onsite[Expected Revenue Ex GST],$BI479),IF($B479="Production",INDEX(tbl_Production[Expected Revenue Ex GST],$BI479),INDEX(tbl_Consulting[Expected Revenue Ex GST],$BI479)))))</f>
        <v/>
      </c>
      <c r="O479" s="11">
        <f>IF(AND($C479="",NOT(COUNTA($S479:$BB479)&gt;0)),"",SUM(U479,X479,AA479,AD479,AG479,AJ479,AM479,AP479,AS479,AV479,AY479,BB479))</f>
        <v/>
      </c>
      <c r="P479" s="11">
        <f>IF(O479="","",N(N479)-O479)</f>
        <v/>
      </c>
      <c r="Q479" s="10">
        <f>IF(O479="","",IF($C479="","Invoice on empty job row",IF(N479="",IF(ROUND(O479,2)=0,"No dept value","Invoiced - no dept value"),IF(ROUND(O479,2)=0,"Not invoiced - to invoice",IF(ROUND(P479,2)=0,"Agrees",IF(P479&gt;0,"Dept higher - to invoice","Xero higher - check dept"))))))</f>
        <v/>
      </c>
      <c r="R479" s="10">
        <f>IF(AND($C479="",NOT(COUNTA($S479:$BB479)&gt;0),$BI479&lt;&gt;""),"",MID(IF($BI479="","; Row ID not found on the department sheet - a row was deleted","")&amp;IF(AND($C479="",COUNTA($S479:$BB479)&gt;0),"; Invoice entered but the department row has no job number","")&amp;IF(E479="CHECK","; Job number not in the Xero job list","")&amp;IF(AND($C479&lt;&gt;"",COUNTIF($C$7:$C$1506,$C479)&gt;1),"; Job number on more than one row","")&amp;IF(AND($C479&lt;&gt;"",H479=""),"; Dept has not set a cost centre","")&amp;IF(AND($C479&lt;&gt;"",J479=""),"; Dept has not set a tax code","")&amp;IF(AND($C479&lt;&gt;"",N479=""),"; Dept has not entered an expected value","")&amp;IF((IF(OR(COUNTA(S479:U479)=0,AND(COUNTA(S479:U479)=3,ISNUMBER(U479))),0,1)+IF(OR(COUNTA(V479:X479)=0,AND(COUNTA(V479:X479)=3,ISNUMBER(X479))),0,1)+IF(OR(COUNTA(Y479:AA479)=0,AND(COUNTA(Y479:AA479)=3,ISNUMBER(AA479))),0,1)+IF(OR(COUNTA(AB479:AD479)=0,AND(COUNTA(AB479:AD479)=3,ISNUMBER(AD479))),0,1)+IF(OR(COUNTA(AE479:AG479)=0,AND(COUNTA(AE479:AG479)=3,ISNUMBER(AG479))),0,1)+IF(OR(COUNTA(AH479:AJ479)=0,AND(COUNTA(AH479:AJ479)=3,ISNUMBER(AJ479))),0,1)+IF(OR(COUNTA(AK479:AM479)=0,AND(COUNTA(AK479:AM479)=3,ISNUMBER(AM479))),0,1)+IF(OR(COUNTA(AN479:AP479)=0,AND(COUNTA(AN479:AP479)=3,ISNUMBER(AP479))),0,1)+IF(OR(COUNTA(AQ479:AS479)=0,AND(COUNTA(AQ479:AS479)=3,ISNUMBER(AS479))),0,1)+IF(OR(COUNTA(AT479:AV479)=0,AND(COUNTA(AT479:AV479)=3,ISNUMBER(AV479))),0,1)+IF(OR(COUNTA(AW479:AY479)=0,AND(COUNTA(AW479:AY479)=3,ISNUMBER(AY479))),0,1)+IF(OR(COUNTA(AZ479:BB479)=0,AND(COUNTA(AZ479:BB479)=3,ISNUMBER(BB479))),0,1))&gt;0,"; An invoice is incomplete (needs No, Date and a number in Ex GST)","")&amp;IF((IF(T479="",0,IFERROR(--(EOMONTH(T479,0)&lt;&gt;S$5),1))+IF(W479="",0,IFERROR(--(EOMONTH(W479,0)&lt;&gt;V$5),1))+IF(Z479="",0,IFERROR(--(EOMONTH(Z479,0)&lt;&gt;Y$5),1))+IF(AC479="",0,IFERROR(--(EOMONTH(AC479,0)&lt;&gt;AB$5),1))+IF(AF479="",0,IFERROR(--(EOMONTH(AF479,0)&lt;&gt;AE$5),1))+IF(AI479="",0,IFERROR(--(EOMONTH(AI479,0)&lt;&gt;AH$5),1))+IF(AL479="",0,IFERROR(--(EOMONTH(AL479,0)&lt;&gt;AK$5),1))+IF(AO479="",0,IFERROR(--(EOMONTH(AO479,0)&lt;&gt;AN$5),1))+IF(AR479="",0,IFERROR(--(EOMONTH(AR479,0)&lt;&gt;AQ$5),1))+IF(AU479="",0,IFERROR(--(EOMONTH(AU479,0)&lt;&gt;AT$5),1))+IF(AX479="",0,IFERROR(--(EOMONTH(AX479,0)&lt;&gt;AW$5),1))+IF(BA479="",0,IFERROR(--(EOMONTH(BA479,0)&lt;&gt;AZ$5),1)))&gt;0,"; An invoice date is not in the month it is typed under",""),3,500))</f>
        <v/>
      </c>
      <c r="S479" s="12" t="n"/>
      <c r="T479" s="13" t="n"/>
      <c r="U479" s="14" t="n"/>
      <c r="V479" s="12" t="n"/>
      <c r="W479" s="13" t="n"/>
      <c r="X479" s="14" t="n"/>
      <c r="Y479" s="12" t="n"/>
      <c r="Z479" s="13" t="n"/>
      <c r="AA479" s="14" t="n"/>
      <c r="AB479" s="12" t="n"/>
      <c r="AC479" s="13" t="n"/>
      <c r="AD479" s="14" t="n"/>
      <c r="AE479" s="12" t="n"/>
      <c r="AF479" s="13" t="n"/>
      <c r="AG479" s="14" t="n"/>
      <c r="AH479" s="12" t="n"/>
      <c r="AI479" s="13" t="n"/>
      <c r="AJ479" s="14" t="n"/>
      <c r="AK479" s="12" t="n"/>
      <c r="AL479" s="13" t="n"/>
      <c r="AM479" s="14" t="n"/>
      <c r="AN479" s="12" t="n"/>
      <c r="AO479" s="13" t="n"/>
      <c r="AP479" s="14" t="n"/>
      <c r="AQ479" s="12" t="n"/>
      <c r="AR479" s="13" t="n"/>
      <c r="AS479" s="14" t="n"/>
      <c r="AT479" s="12" t="n"/>
      <c r="AU479" s="13" t="n"/>
      <c r="AV479" s="14" t="n"/>
      <c r="AW479" s="12" t="n"/>
      <c r="AX479" s="13" t="n"/>
      <c r="AY479" s="14" t="n"/>
      <c r="AZ479" s="12" t="n"/>
      <c r="BA479" s="13" t="n"/>
      <c r="BB479" s="14" t="n"/>
      <c r="BC479" s="11">
        <f>IF(O479="","",IF(J479="GST 10%",ROUND(O479*set_GSTRate,2),0))</f>
        <v/>
      </c>
      <c r="BD479" s="11">
        <f>IF(O479="","",O479+BC479)</f>
        <v/>
      </c>
      <c r="BE479" s="15">
        <f>IF(O479="","",COUNTA(S479,V479,Y479,AB479,AE479,AH479,AK479,AN479,AQ479,AT479,AW479,AZ479))</f>
        <v/>
      </c>
      <c r="BF479" s="16">
        <f>IF(COUNT(T479,W479,Z479,AC479,AF479,AI479,AL479,AO479,AR479,AU479,AX479,BA479)=0,"",MAX(T479,W479,Z479,AC479,AF479,AI479,AL479,AO479,AR479,AU479,AX479,BA479))</f>
        <v/>
      </c>
      <c r="BG479" s="10">
        <f>MID(IF(S479="","",", "&amp;S479)&amp;IF(V479="","",", "&amp;V479)&amp;IF(Y479="","",", "&amp;Y479)&amp;IF(AB479="","",", "&amp;AB479)&amp;IF(AE479="","",", "&amp;AE479)&amp;IF(AH479="","",", "&amp;AH479)&amp;IF(AK479="","",", "&amp;AK479)&amp;IF(AN479="","",", "&amp;AN479)&amp;IF(AQ479="","",", "&amp;AQ479)&amp;IF(AT479="","",", "&amp;AT479)&amp;IF(AW479="","",", "&amp;AW479)&amp;IF(AZ479="","",", "&amp;AZ479),3,500)</f>
        <v/>
      </c>
      <c r="BH479" s="12" t="n"/>
      <c r="BI479" s="15">
        <f>IFERROR(MATCH($A479,IF($B479="Onsite",tbl_Onsite[Row ID],IF($B479="Production",tbl_Production[Row ID],tbl_Consulting[Row ID])),0),"")</f>
        <v/>
      </c>
    </row>
    <row r="480">
      <c r="A480" s="10" t="inlineStr">
        <is>
          <t>ONS-0474</t>
        </is>
      </c>
      <c r="B480" s="10" t="inlineStr">
        <is>
          <t>Onsite</t>
        </is>
      </c>
      <c r="C480" s="10">
        <f>IF($BI480="","",IF($B480="Onsite",INDEX(tbl_Onsite[Job Number],$BI480),IF($B480="Production",INDEX(tbl_Production[Job Number],$BI480),INDEX(tbl_Consulting[Job Number],$BI480)))&amp;"")</f>
        <v/>
      </c>
      <c r="D480" s="10">
        <f>IF($BI480="","",IF($B480="Onsite",INDEX(tbl_Onsite[Client],$BI480),IF($B480="Production",INDEX(tbl_Production[Client],$BI480),INDEX(tbl_Consulting[Client],$BI480)))&amp;"")</f>
        <v/>
      </c>
      <c r="E480" s="10">
        <f>IF($C480="","",IF(COUNTIF(lst_Jobs,$C480)&gt;0,"OK","CHECK"))</f>
        <v/>
      </c>
      <c r="F480" s="10">
        <f>IF($C480="","",IFERROR(INDEX(lst_JobName,MATCH($C480,lst_Jobs,0)),""))</f>
        <v/>
      </c>
      <c r="G480" s="10">
        <f>IF($BI480="","",IF($B480="Onsite",INDEX(tbl_Onsite[Job Description],$BI480),IF($B480="Production",INDEX(tbl_Production[Job Description],$BI480),INDEX(tbl_Consulting[Job Description],$BI480)))&amp;"")</f>
        <v/>
      </c>
      <c r="H480" s="10">
        <f>IF($BI480="","",IF($B480="Onsite",INDEX(tbl_Onsite[Cost Centre],$BI480),IF($B480="Production",INDEX(tbl_Production[Cost Centre],$BI480),INDEX(tbl_Consulting[Cost Centre],$BI480)))&amp;"")</f>
        <v/>
      </c>
      <c r="I480" s="10">
        <f>IF($BI480="","",IF($B480="Onsite",INDEX(tbl_Onsite[Invoice Type],$BI480),IF($B480="Production",INDEX(tbl_Production[Invoice Type],$BI480),INDEX(tbl_Consulting[Invoice Type],$BI480)))&amp;"")</f>
        <v/>
      </c>
      <c r="J480" s="10">
        <f>IF($BI480="","",IF($B480="Onsite",INDEX(tbl_Onsite[Tax Code],$BI480),IF($B480="Production",INDEX(tbl_Production[Tax Code],$BI480),INDEX(tbl_Consulting[Tax Code],$BI480)))&amp;"")</f>
        <v/>
      </c>
      <c r="K480" s="10">
        <f>IF(H480="","",IFERROR(INDEX(lst_CCtoGL,MATCH(H480,lst_CCforGL,0)),""))</f>
        <v/>
      </c>
      <c r="L480" s="10">
        <f>IF($BI480="","",IF($B480="Onsite",INDEX(tbl_Onsite[PO / Reference],$BI480),IF($B480="Production",INDEX(tbl_Production[Current RMS No],$BI480),INDEX(tbl_Consulting[Qwilr Quote],$BI480)))&amp;"")</f>
        <v/>
      </c>
      <c r="M480" s="10">
        <f>IF($BI480="","",IF($B480="Onsite",INDEX(tbl_Onsite[Notes],$BI480),IF($B480="Production",INDEX(tbl_Production[Notes],$BI480),INDEX(tbl_Consulting[Notes],$BI480)))&amp;"")</f>
        <v/>
      </c>
      <c r="N480" s="11">
        <f>IF($BI480="","",IF(IF($B480="Onsite",INDEX(tbl_Onsite[Expected Revenue Ex GST],$BI480),IF($B480="Production",INDEX(tbl_Production[Expected Revenue Ex GST],$BI480),INDEX(tbl_Consulting[Expected Revenue Ex GST],$BI480)))="","",IF($B480="Onsite",INDEX(tbl_Onsite[Expected Revenue Ex GST],$BI480),IF($B480="Production",INDEX(tbl_Production[Expected Revenue Ex GST],$BI480),INDEX(tbl_Consulting[Expected Revenue Ex GST],$BI480)))))</f>
        <v/>
      </c>
      <c r="O480" s="11">
        <f>IF(AND($C480="",NOT(COUNTA($S480:$BB480)&gt;0)),"",SUM(U480,X480,AA480,AD480,AG480,AJ480,AM480,AP480,AS480,AV480,AY480,BB480))</f>
        <v/>
      </c>
      <c r="P480" s="11">
        <f>IF(O480="","",N(N480)-O480)</f>
        <v/>
      </c>
      <c r="Q480" s="10">
        <f>IF(O480="","",IF($C480="","Invoice on empty job row",IF(N480="",IF(ROUND(O480,2)=0,"No dept value","Invoiced - no dept value"),IF(ROUND(O480,2)=0,"Not invoiced - to invoice",IF(ROUND(P480,2)=0,"Agrees",IF(P480&gt;0,"Dept higher - to invoice","Xero higher - check dept"))))))</f>
        <v/>
      </c>
      <c r="R480" s="10">
        <f>IF(AND($C480="",NOT(COUNTA($S480:$BB480)&gt;0),$BI480&lt;&gt;""),"",MID(IF($BI480="","; Row ID not found on the department sheet - a row was deleted","")&amp;IF(AND($C480="",COUNTA($S480:$BB480)&gt;0),"; Invoice entered but the department row has no job number","")&amp;IF(E480="CHECK","; Job number not in the Xero job list","")&amp;IF(AND($C480&lt;&gt;"",COUNTIF($C$7:$C$1506,$C480)&gt;1),"; Job number on more than one row","")&amp;IF(AND($C480&lt;&gt;"",H480=""),"; Dept has not set a cost centre","")&amp;IF(AND($C480&lt;&gt;"",J480=""),"; Dept has not set a tax code","")&amp;IF(AND($C480&lt;&gt;"",N480=""),"; Dept has not entered an expected value","")&amp;IF((IF(OR(COUNTA(S480:U480)=0,AND(COUNTA(S480:U480)=3,ISNUMBER(U480))),0,1)+IF(OR(COUNTA(V480:X480)=0,AND(COUNTA(V480:X480)=3,ISNUMBER(X480))),0,1)+IF(OR(COUNTA(Y480:AA480)=0,AND(COUNTA(Y480:AA480)=3,ISNUMBER(AA480))),0,1)+IF(OR(COUNTA(AB480:AD480)=0,AND(COUNTA(AB480:AD480)=3,ISNUMBER(AD480))),0,1)+IF(OR(COUNTA(AE480:AG480)=0,AND(COUNTA(AE480:AG480)=3,ISNUMBER(AG480))),0,1)+IF(OR(COUNTA(AH480:AJ480)=0,AND(COUNTA(AH480:AJ480)=3,ISNUMBER(AJ480))),0,1)+IF(OR(COUNTA(AK480:AM480)=0,AND(COUNTA(AK480:AM480)=3,ISNUMBER(AM480))),0,1)+IF(OR(COUNTA(AN480:AP480)=0,AND(COUNTA(AN480:AP480)=3,ISNUMBER(AP480))),0,1)+IF(OR(COUNTA(AQ480:AS480)=0,AND(COUNTA(AQ480:AS480)=3,ISNUMBER(AS480))),0,1)+IF(OR(COUNTA(AT480:AV480)=0,AND(COUNTA(AT480:AV480)=3,ISNUMBER(AV480))),0,1)+IF(OR(COUNTA(AW480:AY480)=0,AND(COUNTA(AW480:AY480)=3,ISNUMBER(AY480))),0,1)+IF(OR(COUNTA(AZ480:BB480)=0,AND(COUNTA(AZ480:BB480)=3,ISNUMBER(BB480))),0,1))&gt;0,"; An invoice is incomplete (needs No, Date and a number in Ex GST)","")&amp;IF((IF(T480="",0,IFERROR(--(EOMONTH(T480,0)&lt;&gt;S$5),1))+IF(W480="",0,IFERROR(--(EOMONTH(W480,0)&lt;&gt;V$5),1))+IF(Z480="",0,IFERROR(--(EOMONTH(Z480,0)&lt;&gt;Y$5),1))+IF(AC480="",0,IFERROR(--(EOMONTH(AC480,0)&lt;&gt;AB$5),1))+IF(AF480="",0,IFERROR(--(EOMONTH(AF480,0)&lt;&gt;AE$5),1))+IF(AI480="",0,IFERROR(--(EOMONTH(AI480,0)&lt;&gt;AH$5),1))+IF(AL480="",0,IFERROR(--(EOMONTH(AL480,0)&lt;&gt;AK$5),1))+IF(AO480="",0,IFERROR(--(EOMONTH(AO480,0)&lt;&gt;AN$5),1))+IF(AR480="",0,IFERROR(--(EOMONTH(AR480,0)&lt;&gt;AQ$5),1))+IF(AU480="",0,IFERROR(--(EOMONTH(AU480,0)&lt;&gt;AT$5),1))+IF(AX480="",0,IFERROR(--(EOMONTH(AX480,0)&lt;&gt;AW$5),1))+IF(BA480="",0,IFERROR(--(EOMONTH(BA480,0)&lt;&gt;AZ$5),1)))&gt;0,"; An invoice date is not in the month it is typed under",""),3,500))</f>
        <v/>
      </c>
      <c r="S480" s="12" t="n"/>
      <c r="T480" s="13" t="n"/>
      <c r="U480" s="14" t="n"/>
      <c r="V480" s="12" t="n"/>
      <c r="W480" s="13" t="n"/>
      <c r="X480" s="14" t="n"/>
      <c r="Y480" s="12" t="n"/>
      <c r="Z480" s="13" t="n"/>
      <c r="AA480" s="14" t="n"/>
      <c r="AB480" s="12" t="n"/>
      <c r="AC480" s="13" t="n"/>
      <c r="AD480" s="14" t="n"/>
      <c r="AE480" s="12" t="n"/>
      <c r="AF480" s="13" t="n"/>
      <c r="AG480" s="14" t="n"/>
      <c r="AH480" s="12" t="n"/>
      <c r="AI480" s="13" t="n"/>
      <c r="AJ480" s="14" t="n"/>
      <c r="AK480" s="12" t="n"/>
      <c r="AL480" s="13" t="n"/>
      <c r="AM480" s="14" t="n"/>
      <c r="AN480" s="12" t="n"/>
      <c r="AO480" s="13" t="n"/>
      <c r="AP480" s="14" t="n"/>
      <c r="AQ480" s="12" t="n"/>
      <c r="AR480" s="13" t="n"/>
      <c r="AS480" s="14" t="n"/>
      <c r="AT480" s="12" t="n"/>
      <c r="AU480" s="13" t="n"/>
      <c r="AV480" s="14" t="n"/>
      <c r="AW480" s="12" t="n"/>
      <c r="AX480" s="13" t="n"/>
      <c r="AY480" s="14" t="n"/>
      <c r="AZ480" s="12" t="n"/>
      <c r="BA480" s="13" t="n"/>
      <c r="BB480" s="14" t="n"/>
      <c r="BC480" s="11">
        <f>IF(O480="","",IF(J480="GST 10%",ROUND(O480*set_GSTRate,2),0))</f>
        <v/>
      </c>
      <c r="BD480" s="11">
        <f>IF(O480="","",O480+BC480)</f>
        <v/>
      </c>
      <c r="BE480" s="15">
        <f>IF(O480="","",COUNTA(S480,V480,Y480,AB480,AE480,AH480,AK480,AN480,AQ480,AT480,AW480,AZ480))</f>
        <v/>
      </c>
      <c r="BF480" s="16">
        <f>IF(COUNT(T480,W480,Z480,AC480,AF480,AI480,AL480,AO480,AR480,AU480,AX480,BA480)=0,"",MAX(T480,W480,Z480,AC480,AF480,AI480,AL480,AO480,AR480,AU480,AX480,BA480))</f>
        <v/>
      </c>
      <c r="BG480" s="10">
        <f>MID(IF(S480="","",", "&amp;S480)&amp;IF(V480="","",", "&amp;V480)&amp;IF(Y480="","",", "&amp;Y480)&amp;IF(AB480="","",", "&amp;AB480)&amp;IF(AE480="","",", "&amp;AE480)&amp;IF(AH480="","",", "&amp;AH480)&amp;IF(AK480="","",", "&amp;AK480)&amp;IF(AN480="","",", "&amp;AN480)&amp;IF(AQ480="","",", "&amp;AQ480)&amp;IF(AT480="","",", "&amp;AT480)&amp;IF(AW480="","",", "&amp;AW480)&amp;IF(AZ480="","",", "&amp;AZ480),3,500)</f>
        <v/>
      </c>
      <c r="BH480" s="12" t="n"/>
      <c r="BI480" s="15">
        <f>IFERROR(MATCH($A480,IF($B480="Onsite",tbl_Onsite[Row ID],IF($B480="Production",tbl_Production[Row ID],tbl_Consulting[Row ID])),0),"")</f>
        <v/>
      </c>
    </row>
    <row r="481">
      <c r="A481" s="10" t="inlineStr">
        <is>
          <t>ONS-0475</t>
        </is>
      </c>
      <c r="B481" s="10" t="inlineStr">
        <is>
          <t>Onsite</t>
        </is>
      </c>
      <c r="C481" s="10">
        <f>IF($BI481="","",IF($B481="Onsite",INDEX(tbl_Onsite[Job Number],$BI481),IF($B481="Production",INDEX(tbl_Production[Job Number],$BI481),INDEX(tbl_Consulting[Job Number],$BI481)))&amp;"")</f>
        <v/>
      </c>
      <c r="D481" s="10">
        <f>IF($BI481="","",IF($B481="Onsite",INDEX(tbl_Onsite[Client],$BI481),IF($B481="Production",INDEX(tbl_Production[Client],$BI481),INDEX(tbl_Consulting[Client],$BI481)))&amp;"")</f>
        <v/>
      </c>
      <c r="E481" s="10">
        <f>IF($C481="","",IF(COUNTIF(lst_Jobs,$C481)&gt;0,"OK","CHECK"))</f>
        <v/>
      </c>
      <c r="F481" s="10">
        <f>IF($C481="","",IFERROR(INDEX(lst_JobName,MATCH($C481,lst_Jobs,0)),""))</f>
        <v/>
      </c>
      <c r="G481" s="10">
        <f>IF($BI481="","",IF($B481="Onsite",INDEX(tbl_Onsite[Job Description],$BI481),IF($B481="Production",INDEX(tbl_Production[Job Description],$BI481),INDEX(tbl_Consulting[Job Description],$BI481)))&amp;"")</f>
        <v/>
      </c>
      <c r="H481" s="10">
        <f>IF($BI481="","",IF($B481="Onsite",INDEX(tbl_Onsite[Cost Centre],$BI481),IF($B481="Production",INDEX(tbl_Production[Cost Centre],$BI481),INDEX(tbl_Consulting[Cost Centre],$BI481)))&amp;"")</f>
        <v/>
      </c>
      <c r="I481" s="10">
        <f>IF($BI481="","",IF($B481="Onsite",INDEX(tbl_Onsite[Invoice Type],$BI481),IF($B481="Production",INDEX(tbl_Production[Invoice Type],$BI481),INDEX(tbl_Consulting[Invoice Type],$BI481)))&amp;"")</f>
        <v/>
      </c>
      <c r="J481" s="10">
        <f>IF($BI481="","",IF($B481="Onsite",INDEX(tbl_Onsite[Tax Code],$BI481),IF($B481="Production",INDEX(tbl_Production[Tax Code],$BI481),INDEX(tbl_Consulting[Tax Code],$BI481)))&amp;"")</f>
        <v/>
      </c>
      <c r="K481" s="10">
        <f>IF(H481="","",IFERROR(INDEX(lst_CCtoGL,MATCH(H481,lst_CCforGL,0)),""))</f>
        <v/>
      </c>
      <c r="L481" s="10">
        <f>IF($BI481="","",IF($B481="Onsite",INDEX(tbl_Onsite[PO / Reference],$BI481),IF($B481="Production",INDEX(tbl_Production[Current RMS No],$BI481),INDEX(tbl_Consulting[Qwilr Quote],$BI481)))&amp;"")</f>
        <v/>
      </c>
      <c r="M481" s="10">
        <f>IF($BI481="","",IF($B481="Onsite",INDEX(tbl_Onsite[Notes],$BI481),IF($B481="Production",INDEX(tbl_Production[Notes],$BI481),INDEX(tbl_Consulting[Notes],$BI481)))&amp;"")</f>
        <v/>
      </c>
      <c r="N481" s="11">
        <f>IF($BI481="","",IF(IF($B481="Onsite",INDEX(tbl_Onsite[Expected Revenue Ex GST],$BI481),IF($B481="Production",INDEX(tbl_Production[Expected Revenue Ex GST],$BI481),INDEX(tbl_Consulting[Expected Revenue Ex GST],$BI481)))="","",IF($B481="Onsite",INDEX(tbl_Onsite[Expected Revenue Ex GST],$BI481),IF($B481="Production",INDEX(tbl_Production[Expected Revenue Ex GST],$BI481),INDEX(tbl_Consulting[Expected Revenue Ex GST],$BI481)))))</f>
        <v/>
      </c>
      <c r="O481" s="11">
        <f>IF(AND($C481="",NOT(COUNTA($S481:$BB481)&gt;0)),"",SUM(U481,X481,AA481,AD481,AG481,AJ481,AM481,AP481,AS481,AV481,AY481,BB481))</f>
        <v/>
      </c>
      <c r="P481" s="11">
        <f>IF(O481="","",N(N481)-O481)</f>
        <v/>
      </c>
      <c r="Q481" s="10">
        <f>IF(O481="","",IF($C481="","Invoice on empty job row",IF(N481="",IF(ROUND(O481,2)=0,"No dept value","Invoiced - no dept value"),IF(ROUND(O481,2)=0,"Not invoiced - to invoice",IF(ROUND(P481,2)=0,"Agrees",IF(P481&gt;0,"Dept higher - to invoice","Xero higher - check dept"))))))</f>
        <v/>
      </c>
      <c r="R481" s="10">
        <f>IF(AND($C481="",NOT(COUNTA($S481:$BB481)&gt;0),$BI481&lt;&gt;""),"",MID(IF($BI481="","; Row ID not found on the department sheet - a row was deleted","")&amp;IF(AND($C481="",COUNTA($S481:$BB481)&gt;0),"; Invoice entered but the department row has no job number","")&amp;IF(E481="CHECK","; Job number not in the Xero job list","")&amp;IF(AND($C481&lt;&gt;"",COUNTIF($C$7:$C$1506,$C481)&gt;1),"; Job number on more than one row","")&amp;IF(AND($C481&lt;&gt;"",H481=""),"; Dept has not set a cost centre","")&amp;IF(AND($C481&lt;&gt;"",J481=""),"; Dept has not set a tax code","")&amp;IF(AND($C481&lt;&gt;"",N481=""),"; Dept has not entered an expected value","")&amp;IF((IF(OR(COUNTA(S481:U481)=0,AND(COUNTA(S481:U481)=3,ISNUMBER(U481))),0,1)+IF(OR(COUNTA(V481:X481)=0,AND(COUNTA(V481:X481)=3,ISNUMBER(X481))),0,1)+IF(OR(COUNTA(Y481:AA481)=0,AND(COUNTA(Y481:AA481)=3,ISNUMBER(AA481))),0,1)+IF(OR(COUNTA(AB481:AD481)=0,AND(COUNTA(AB481:AD481)=3,ISNUMBER(AD481))),0,1)+IF(OR(COUNTA(AE481:AG481)=0,AND(COUNTA(AE481:AG481)=3,ISNUMBER(AG481))),0,1)+IF(OR(COUNTA(AH481:AJ481)=0,AND(COUNTA(AH481:AJ481)=3,ISNUMBER(AJ481))),0,1)+IF(OR(COUNTA(AK481:AM481)=0,AND(COUNTA(AK481:AM481)=3,ISNUMBER(AM481))),0,1)+IF(OR(COUNTA(AN481:AP481)=0,AND(COUNTA(AN481:AP481)=3,ISNUMBER(AP481))),0,1)+IF(OR(COUNTA(AQ481:AS481)=0,AND(COUNTA(AQ481:AS481)=3,ISNUMBER(AS481))),0,1)+IF(OR(COUNTA(AT481:AV481)=0,AND(COUNTA(AT481:AV481)=3,ISNUMBER(AV481))),0,1)+IF(OR(COUNTA(AW481:AY481)=0,AND(COUNTA(AW481:AY481)=3,ISNUMBER(AY481))),0,1)+IF(OR(COUNTA(AZ481:BB481)=0,AND(COUNTA(AZ481:BB481)=3,ISNUMBER(BB481))),0,1))&gt;0,"; An invoice is incomplete (needs No, Date and a number in Ex GST)","")&amp;IF((IF(T481="",0,IFERROR(--(EOMONTH(T481,0)&lt;&gt;S$5),1))+IF(W481="",0,IFERROR(--(EOMONTH(W481,0)&lt;&gt;V$5),1))+IF(Z481="",0,IFERROR(--(EOMONTH(Z481,0)&lt;&gt;Y$5),1))+IF(AC481="",0,IFERROR(--(EOMONTH(AC481,0)&lt;&gt;AB$5),1))+IF(AF481="",0,IFERROR(--(EOMONTH(AF481,0)&lt;&gt;AE$5),1))+IF(AI481="",0,IFERROR(--(EOMONTH(AI481,0)&lt;&gt;AH$5),1))+IF(AL481="",0,IFERROR(--(EOMONTH(AL481,0)&lt;&gt;AK$5),1))+IF(AO481="",0,IFERROR(--(EOMONTH(AO481,0)&lt;&gt;AN$5),1))+IF(AR481="",0,IFERROR(--(EOMONTH(AR481,0)&lt;&gt;AQ$5),1))+IF(AU481="",0,IFERROR(--(EOMONTH(AU481,0)&lt;&gt;AT$5),1))+IF(AX481="",0,IFERROR(--(EOMONTH(AX481,0)&lt;&gt;AW$5),1))+IF(BA481="",0,IFERROR(--(EOMONTH(BA481,0)&lt;&gt;AZ$5),1)))&gt;0,"; An invoice date is not in the month it is typed under",""),3,500))</f>
        <v/>
      </c>
      <c r="S481" s="12" t="n"/>
      <c r="T481" s="13" t="n"/>
      <c r="U481" s="14" t="n"/>
      <c r="V481" s="12" t="n"/>
      <c r="W481" s="13" t="n"/>
      <c r="X481" s="14" t="n"/>
      <c r="Y481" s="12" t="n"/>
      <c r="Z481" s="13" t="n"/>
      <c r="AA481" s="14" t="n"/>
      <c r="AB481" s="12" t="n"/>
      <c r="AC481" s="13" t="n"/>
      <c r="AD481" s="14" t="n"/>
      <c r="AE481" s="12" t="n"/>
      <c r="AF481" s="13" t="n"/>
      <c r="AG481" s="14" t="n"/>
      <c r="AH481" s="12" t="n"/>
      <c r="AI481" s="13" t="n"/>
      <c r="AJ481" s="14" t="n"/>
      <c r="AK481" s="12" t="n"/>
      <c r="AL481" s="13" t="n"/>
      <c r="AM481" s="14" t="n"/>
      <c r="AN481" s="12" t="n"/>
      <c r="AO481" s="13" t="n"/>
      <c r="AP481" s="14" t="n"/>
      <c r="AQ481" s="12" t="n"/>
      <c r="AR481" s="13" t="n"/>
      <c r="AS481" s="14" t="n"/>
      <c r="AT481" s="12" t="n"/>
      <c r="AU481" s="13" t="n"/>
      <c r="AV481" s="14" t="n"/>
      <c r="AW481" s="12" t="n"/>
      <c r="AX481" s="13" t="n"/>
      <c r="AY481" s="14" t="n"/>
      <c r="AZ481" s="12" t="n"/>
      <c r="BA481" s="13" t="n"/>
      <c r="BB481" s="14" t="n"/>
      <c r="BC481" s="11">
        <f>IF(O481="","",IF(J481="GST 10%",ROUND(O481*set_GSTRate,2),0))</f>
        <v/>
      </c>
      <c r="BD481" s="11">
        <f>IF(O481="","",O481+BC481)</f>
        <v/>
      </c>
      <c r="BE481" s="15">
        <f>IF(O481="","",COUNTA(S481,V481,Y481,AB481,AE481,AH481,AK481,AN481,AQ481,AT481,AW481,AZ481))</f>
        <v/>
      </c>
      <c r="BF481" s="16">
        <f>IF(COUNT(T481,W481,Z481,AC481,AF481,AI481,AL481,AO481,AR481,AU481,AX481,BA481)=0,"",MAX(T481,W481,Z481,AC481,AF481,AI481,AL481,AO481,AR481,AU481,AX481,BA481))</f>
        <v/>
      </c>
      <c r="BG481" s="10">
        <f>MID(IF(S481="","",", "&amp;S481)&amp;IF(V481="","",", "&amp;V481)&amp;IF(Y481="","",", "&amp;Y481)&amp;IF(AB481="","",", "&amp;AB481)&amp;IF(AE481="","",", "&amp;AE481)&amp;IF(AH481="","",", "&amp;AH481)&amp;IF(AK481="","",", "&amp;AK481)&amp;IF(AN481="","",", "&amp;AN481)&amp;IF(AQ481="","",", "&amp;AQ481)&amp;IF(AT481="","",", "&amp;AT481)&amp;IF(AW481="","",", "&amp;AW481)&amp;IF(AZ481="","",", "&amp;AZ481),3,500)</f>
        <v/>
      </c>
      <c r="BH481" s="12" t="n"/>
      <c r="BI481" s="15">
        <f>IFERROR(MATCH($A481,IF($B481="Onsite",tbl_Onsite[Row ID],IF($B481="Production",tbl_Production[Row ID],tbl_Consulting[Row ID])),0),"")</f>
        <v/>
      </c>
    </row>
    <row r="482">
      <c r="A482" s="10" t="inlineStr">
        <is>
          <t>ONS-0476</t>
        </is>
      </c>
      <c r="B482" s="10" t="inlineStr">
        <is>
          <t>Onsite</t>
        </is>
      </c>
      <c r="C482" s="10">
        <f>IF($BI482="","",IF($B482="Onsite",INDEX(tbl_Onsite[Job Number],$BI482),IF($B482="Production",INDEX(tbl_Production[Job Number],$BI482),INDEX(tbl_Consulting[Job Number],$BI482)))&amp;"")</f>
        <v/>
      </c>
      <c r="D482" s="10">
        <f>IF($BI482="","",IF($B482="Onsite",INDEX(tbl_Onsite[Client],$BI482),IF($B482="Production",INDEX(tbl_Production[Client],$BI482),INDEX(tbl_Consulting[Client],$BI482)))&amp;"")</f>
        <v/>
      </c>
      <c r="E482" s="10">
        <f>IF($C482="","",IF(COUNTIF(lst_Jobs,$C482)&gt;0,"OK","CHECK"))</f>
        <v/>
      </c>
      <c r="F482" s="10">
        <f>IF($C482="","",IFERROR(INDEX(lst_JobName,MATCH($C482,lst_Jobs,0)),""))</f>
        <v/>
      </c>
      <c r="G482" s="10">
        <f>IF($BI482="","",IF($B482="Onsite",INDEX(tbl_Onsite[Job Description],$BI482),IF($B482="Production",INDEX(tbl_Production[Job Description],$BI482),INDEX(tbl_Consulting[Job Description],$BI482)))&amp;"")</f>
        <v/>
      </c>
      <c r="H482" s="10">
        <f>IF($BI482="","",IF($B482="Onsite",INDEX(tbl_Onsite[Cost Centre],$BI482),IF($B482="Production",INDEX(tbl_Production[Cost Centre],$BI482),INDEX(tbl_Consulting[Cost Centre],$BI482)))&amp;"")</f>
        <v/>
      </c>
      <c r="I482" s="10">
        <f>IF($BI482="","",IF($B482="Onsite",INDEX(tbl_Onsite[Invoice Type],$BI482),IF($B482="Production",INDEX(tbl_Production[Invoice Type],$BI482),INDEX(tbl_Consulting[Invoice Type],$BI482)))&amp;"")</f>
        <v/>
      </c>
      <c r="J482" s="10">
        <f>IF($BI482="","",IF($B482="Onsite",INDEX(tbl_Onsite[Tax Code],$BI482),IF($B482="Production",INDEX(tbl_Production[Tax Code],$BI482),INDEX(tbl_Consulting[Tax Code],$BI482)))&amp;"")</f>
        <v/>
      </c>
      <c r="K482" s="10">
        <f>IF(H482="","",IFERROR(INDEX(lst_CCtoGL,MATCH(H482,lst_CCforGL,0)),""))</f>
        <v/>
      </c>
      <c r="L482" s="10">
        <f>IF($BI482="","",IF($B482="Onsite",INDEX(tbl_Onsite[PO / Reference],$BI482),IF($B482="Production",INDEX(tbl_Production[Current RMS No],$BI482),INDEX(tbl_Consulting[Qwilr Quote],$BI482)))&amp;"")</f>
        <v/>
      </c>
      <c r="M482" s="10">
        <f>IF($BI482="","",IF($B482="Onsite",INDEX(tbl_Onsite[Notes],$BI482),IF($B482="Production",INDEX(tbl_Production[Notes],$BI482),INDEX(tbl_Consulting[Notes],$BI482)))&amp;"")</f>
        <v/>
      </c>
      <c r="N482" s="11">
        <f>IF($BI482="","",IF(IF($B482="Onsite",INDEX(tbl_Onsite[Expected Revenue Ex GST],$BI482),IF($B482="Production",INDEX(tbl_Production[Expected Revenue Ex GST],$BI482),INDEX(tbl_Consulting[Expected Revenue Ex GST],$BI482)))="","",IF($B482="Onsite",INDEX(tbl_Onsite[Expected Revenue Ex GST],$BI482),IF($B482="Production",INDEX(tbl_Production[Expected Revenue Ex GST],$BI482),INDEX(tbl_Consulting[Expected Revenue Ex GST],$BI482)))))</f>
        <v/>
      </c>
      <c r="O482" s="11">
        <f>IF(AND($C482="",NOT(COUNTA($S482:$BB482)&gt;0)),"",SUM(U482,X482,AA482,AD482,AG482,AJ482,AM482,AP482,AS482,AV482,AY482,BB482))</f>
        <v/>
      </c>
      <c r="P482" s="11">
        <f>IF(O482="","",N(N482)-O482)</f>
        <v/>
      </c>
      <c r="Q482" s="10">
        <f>IF(O482="","",IF($C482="","Invoice on empty job row",IF(N482="",IF(ROUND(O482,2)=0,"No dept value","Invoiced - no dept value"),IF(ROUND(O482,2)=0,"Not invoiced - to invoice",IF(ROUND(P482,2)=0,"Agrees",IF(P482&gt;0,"Dept higher - to invoice","Xero higher - check dept"))))))</f>
        <v/>
      </c>
      <c r="R482" s="10">
        <f>IF(AND($C482="",NOT(COUNTA($S482:$BB482)&gt;0),$BI482&lt;&gt;""),"",MID(IF($BI482="","; Row ID not found on the department sheet - a row was deleted","")&amp;IF(AND($C482="",COUNTA($S482:$BB482)&gt;0),"; Invoice entered but the department row has no job number","")&amp;IF(E482="CHECK","; Job number not in the Xero job list","")&amp;IF(AND($C482&lt;&gt;"",COUNTIF($C$7:$C$1506,$C482)&gt;1),"; Job number on more than one row","")&amp;IF(AND($C482&lt;&gt;"",H482=""),"; Dept has not set a cost centre","")&amp;IF(AND($C482&lt;&gt;"",J482=""),"; Dept has not set a tax code","")&amp;IF(AND($C482&lt;&gt;"",N482=""),"; Dept has not entered an expected value","")&amp;IF((IF(OR(COUNTA(S482:U482)=0,AND(COUNTA(S482:U482)=3,ISNUMBER(U482))),0,1)+IF(OR(COUNTA(V482:X482)=0,AND(COUNTA(V482:X482)=3,ISNUMBER(X482))),0,1)+IF(OR(COUNTA(Y482:AA482)=0,AND(COUNTA(Y482:AA482)=3,ISNUMBER(AA482))),0,1)+IF(OR(COUNTA(AB482:AD482)=0,AND(COUNTA(AB482:AD482)=3,ISNUMBER(AD482))),0,1)+IF(OR(COUNTA(AE482:AG482)=0,AND(COUNTA(AE482:AG482)=3,ISNUMBER(AG482))),0,1)+IF(OR(COUNTA(AH482:AJ482)=0,AND(COUNTA(AH482:AJ482)=3,ISNUMBER(AJ482))),0,1)+IF(OR(COUNTA(AK482:AM482)=0,AND(COUNTA(AK482:AM482)=3,ISNUMBER(AM482))),0,1)+IF(OR(COUNTA(AN482:AP482)=0,AND(COUNTA(AN482:AP482)=3,ISNUMBER(AP482))),0,1)+IF(OR(COUNTA(AQ482:AS482)=0,AND(COUNTA(AQ482:AS482)=3,ISNUMBER(AS482))),0,1)+IF(OR(COUNTA(AT482:AV482)=0,AND(COUNTA(AT482:AV482)=3,ISNUMBER(AV482))),0,1)+IF(OR(COUNTA(AW482:AY482)=0,AND(COUNTA(AW482:AY482)=3,ISNUMBER(AY482))),0,1)+IF(OR(COUNTA(AZ482:BB482)=0,AND(COUNTA(AZ482:BB482)=3,ISNUMBER(BB482))),0,1))&gt;0,"; An invoice is incomplete (needs No, Date and a number in Ex GST)","")&amp;IF((IF(T482="",0,IFERROR(--(EOMONTH(T482,0)&lt;&gt;S$5),1))+IF(W482="",0,IFERROR(--(EOMONTH(W482,0)&lt;&gt;V$5),1))+IF(Z482="",0,IFERROR(--(EOMONTH(Z482,0)&lt;&gt;Y$5),1))+IF(AC482="",0,IFERROR(--(EOMONTH(AC482,0)&lt;&gt;AB$5),1))+IF(AF482="",0,IFERROR(--(EOMONTH(AF482,0)&lt;&gt;AE$5),1))+IF(AI482="",0,IFERROR(--(EOMONTH(AI482,0)&lt;&gt;AH$5),1))+IF(AL482="",0,IFERROR(--(EOMONTH(AL482,0)&lt;&gt;AK$5),1))+IF(AO482="",0,IFERROR(--(EOMONTH(AO482,0)&lt;&gt;AN$5),1))+IF(AR482="",0,IFERROR(--(EOMONTH(AR482,0)&lt;&gt;AQ$5),1))+IF(AU482="",0,IFERROR(--(EOMONTH(AU482,0)&lt;&gt;AT$5),1))+IF(AX482="",0,IFERROR(--(EOMONTH(AX482,0)&lt;&gt;AW$5),1))+IF(BA482="",0,IFERROR(--(EOMONTH(BA482,0)&lt;&gt;AZ$5),1)))&gt;0,"; An invoice date is not in the month it is typed under",""),3,500))</f>
        <v/>
      </c>
      <c r="S482" s="12" t="n"/>
      <c r="T482" s="13" t="n"/>
      <c r="U482" s="14" t="n"/>
      <c r="V482" s="12" t="n"/>
      <c r="W482" s="13" t="n"/>
      <c r="X482" s="14" t="n"/>
      <c r="Y482" s="12" t="n"/>
      <c r="Z482" s="13" t="n"/>
      <c r="AA482" s="14" t="n"/>
      <c r="AB482" s="12" t="n"/>
      <c r="AC482" s="13" t="n"/>
      <c r="AD482" s="14" t="n"/>
      <c r="AE482" s="12" t="n"/>
      <c r="AF482" s="13" t="n"/>
      <c r="AG482" s="14" t="n"/>
      <c r="AH482" s="12" t="n"/>
      <c r="AI482" s="13" t="n"/>
      <c r="AJ482" s="14" t="n"/>
      <c r="AK482" s="12" t="n"/>
      <c r="AL482" s="13" t="n"/>
      <c r="AM482" s="14" t="n"/>
      <c r="AN482" s="12" t="n"/>
      <c r="AO482" s="13" t="n"/>
      <c r="AP482" s="14" t="n"/>
      <c r="AQ482" s="12" t="n"/>
      <c r="AR482" s="13" t="n"/>
      <c r="AS482" s="14" t="n"/>
      <c r="AT482" s="12" t="n"/>
      <c r="AU482" s="13" t="n"/>
      <c r="AV482" s="14" t="n"/>
      <c r="AW482" s="12" t="n"/>
      <c r="AX482" s="13" t="n"/>
      <c r="AY482" s="14" t="n"/>
      <c r="AZ482" s="12" t="n"/>
      <c r="BA482" s="13" t="n"/>
      <c r="BB482" s="14" t="n"/>
      <c r="BC482" s="11">
        <f>IF(O482="","",IF(J482="GST 10%",ROUND(O482*set_GSTRate,2),0))</f>
        <v/>
      </c>
      <c r="BD482" s="11">
        <f>IF(O482="","",O482+BC482)</f>
        <v/>
      </c>
      <c r="BE482" s="15">
        <f>IF(O482="","",COUNTA(S482,V482,Y482,AB482,AE482,AH482,AK482,AN482,AQ482,AT482,AW482,AZ482))</f>
        <v/>
      </c>
      <c r="BF482" s="16">
        <f>IF(COUNT(T482,W482,Z482,AC482,AF482,AI482,AL482,AO482,AR482,AU482,AX482,BA482)=0,"",MAX(T482,W482,Z482,AC482,AF482,AI482,AL482,AO482,AR482,AU482,AX482,BA482))</f>
        <v/>
      </c>
      <c r="BG482" s="10">
        <f>MID(IF(S482="","",", "&amp;S482)&amp;IF(V482="","",", "&amp;V482)&amp;IF(Y482="","",", "&amp;Y482)&amp;IF(AB482="","",", "&amp;AB482)&amp;IF(AE482="","",", "&amp;AE482)&amp;IF(AH482="","",", "&amp;AH482)&amp;IF(AK482="","",", "&amp;AK482)&amp;IF(AN482="","",", "&amp;AN482)&amp;IF(AQ482="","",", "&amp;AQ482)&amp;IF(AT482="","",", "&amp;AT482)&amp;IF(AW482="","",", "&amp;AW482)&amp;IF(AZ482="","",", "&amp;AZ482),3,500)</f>
        <v/>
      </c>
      <c r="BH482" s="12" t="n"/>
      <c r="BI482" s="15">
        <f>IFERROR(MATCH($A482,IF($B482="Onsite",tbl_Onsite[Row ID],IF($B482="Production",tbl_Production[Row ID],tbl_Consulting[Row ID])),0),"")</f>
        <v/>
      </c>
    </row>
    <row r="483">
      <c r="A483" s="10" t="inlineStr">
        <is>
          <t>ONS-0477</t>
        </is>
      </c>
      <c r="B483" s="10" t="inlineStr">
        <is>
          <t>Onsite</t>
        </is>
      </c>
      <c r="C483" s="10">
        <f>IF($BI483="","",IF($B483="Onsite",INDEX(tbl_Onsite[Job Number],$BI483),IF($B483="Production",INDEX(tbl_Production[Job Number],$BI483),INDEX(tbl_Consulting[Job Number],$BI483)))&amp;"")</f>
        <v/>
      </c>
      <c r="D483" s="10">
        <f>IF($BI483="","",IF($B483="Onsite",INDEX(tbl_Onsite[Client],$BI483),IF($B483="Production",INDEX(tbl_Production[Client],$BI483),INDEX(tbl_Consulting[Client],$BI483)))&amp;"")</f>
        <v/>
      </c>
      <c r="E483" s="10">
        <f>IF($C483="","",IF(COUNTIF(lst_Jobs,$C483)&gt;0,"OK","CHECK"))</f>
        <v/>
      </c>
      <c r="F483" s="10">
        <f>IF($C483="","",IFERROR(INDEX(lst_JobName,MATCH($C483,lst_Jobs,0)),""))</f>
        <v/>
      </c>
      <c r="G483" s="10">
        <f>IF($BI483="","",IF($B483="Onsite",INDEX(tbl_Onsite[Job Description],$BI483),IF($B483="Production",INDEX(tbl_Production[Job Description],$BI483),INDEX(tbl_Consulting[Job Description],$BI483)))&amp;"")</f>
        <v/>
      </c>
      <c r="H483" s="10">
        <f>IF($BI483="","",IF($B483="Onsite",INDEX(tbl_Onsite[Cost Centre],$BI483),IF($B483="Production",INDEX(tbl_Production[Cost Centre],$BI483),INDEX(tbl_Consulting[Cost Centre],$BI483)))&amp;"")</f>
        <v/>
      </c>
      <c r="I483" s="10">
        <f>IF($BI483="","",IF($B483="Onsite",INDEX(tbl_Onsite[Invoice Type],$BI483),IF($B483="Production",INDEX(tbl_Production[Invoice Type],$BI483),INDEX(tbl_Consulting[Invoice Type],$BI483)))&amp;"")</f>
        <v/>
      </c>
      <c r="J483" s="10">
        <f>IF($BI483="","",IF($B483="Onsite",INDEX(tbl_Onsite[Tax Code],$BI483),IF($B483="Production",INDEX(tbl_Production[Tax Code],$BI483),INDEX(tbl_Consulting[Tax Code],$BI483)))&amp;"")</f>
        <v/>
      </c>
      <c r="K483" s="10">
        <f>IF(H483="","",IFERROR(INDEX(lst_CCtoGL,MATCH(H483,lst_CCforGL,0)),""))</f>
        <v/>
      </c>
      <c r="L483" s="10">
        <f>IF($BI483="","",IF($B483="Onsite",INDEX(tbl_Onsite[PO / Reference],$BI483),IF($B483="Production",INDEX(tbl_Production[Current RMS No],$BI483),INDEX(tbl_Consulting[Qwilr Quote],$BI483)))&amp;"")</f>
        <v/>
      </c>
      <c r="M483" s="10">
        <f>IF($BI483="","",IF($B483="Onsite",INDEX(tbl_Onsite[Notes],$BI483),IF($B483="Production",INDEX(tbl_Production[Notes],$BI483),INDEX(tbl_Consulting[Notes],$BI483)))&amp;"")</f>
        <v/>
      </c>
      <c r="N483" s="11">
        <f>IF($BI483="","",IF(IF($B483="Onsite",INDEX(tbl_Onsite[Expected Revenue Ex GST],$BI483),IF($B483="Production",INDEX(tbl_Production[Expected Revenue Ex GST],$BI483),INDEX(tbl_Consulting[Expected Revenue Ex GST],$BI483)))="","",IF($B483="Onsite",INDEX(tbl_Onsite[Expected Revenue Ex GST],$BI483),IF($B483="Production",INDEX(tbl_Production[Expected Revenue Ex GST],$BI483),INDEX(tbl_Consulting[Expected Revenue Ex GST],$BI483)))))</f>
        <v/>
      </c>
      <c r="O483" s="11">
        <f>IF(AND($C483="",NOT(COUNTA($S483:$BB483)&gt;0)),"",SUM(U483,X483,AA483,AD483,AG483,AJ483,AM483,AP483,AS483,AV483,AY483,BB483))</f>
        <v/>
      </c>
      <c r="P483" s="11">
        <f>IF(O483="","",N(N483)-O483)</f>
        <v/>
      </c>
      <c r="Q483" s="10">
        <f>IF(O483="","",IF($C483="","Invoice on empty job row",IF(N483="",IF(ROUND(O483,2)=0,"No dept value","Invoiced - no dept value"),IF(ROUND(O483,2)=0,"Not invoiced - to invoice",IF(ROUND(P483,2)=0,"Agrees",IF(P483&gt;0,"Dept higher - to invoice","Xero higher - check dept"))))))</f>
        <v/>
      </c>
      <c r="R483" s="10">
        <f>IF(AND($C483="",NOT(COUNTA($S483:$BB483)&gt;0),$BI483&lt;&gt;""),"",MID(IF($BI483="","; Row ID not found on the department sheet - a row was deleted","")&amp;IF(AND($C483="",COUNTA($S483:$BB483)&gt;0),"; Invoice entered but the department row has no job number","")&amp;IF(E483="CHECK","; Job number not in the Xero job list","")&amp;IF(AND($C483&lt;&gt;"",COUNTIF($C$7:$C$1506,$C483)&gt;1),"; Job number on more than one row","")&amp;IF(AND($C483&lt;&gt;"",H483=""),"; Dept has not set a cost centre","")&amp;IF(AND($C483&lt;&gt;"",J483=""),"; Dept has not set a tax code","")&amp;IF(AND($C483&lt;&gt;"",N483=""),"; Dept has not entered an expected value","")&amp;IF((IF(OR(COUNTA(S483:U483)=0,AND(COUNTA(S483:U483)=3,ISNUMBER(U483))),0,1)+IF(OR(COUNTA(V483:X483)=0,AND(COUNTA(V483:X483)=3,ISNUMBER(X483))),0,1)+IF(OR(COUNTA(Y483:AA483)=0,AND(COUNTA(Y483:AA483)=3,ISNUMBER(AA483))),0,1)+IF(OR(COUNTA(AB483:AD483)=0,AND(COUNTA(AB483:AD483)=3,ISNUMBER(AD483))),0,1)+IF(OR(COUNTA(AE483:AG483)=0,AND(COUNTA(AE483:AG483)=3,ISNUMBER(AG483))),0,1)+IF(OR(COUNTA(AH483:AJ483)=0,AND(COUNTA(AH483:AJ483)=3,ISNUMBER(AJ483))),0,1)+IF(OR(COUNTA(AK483:AM483)=0,AND(COUNTA(AK483:AM483)=3,ISNUMBER(AM483))),0,1)+IF(OR(COUNTA(AN483:AP483)=0,AND(COUNTA(AN483:AP483)=3,ISNUMBER(AP483))),0,1)+IF(OR(COUNTA(AQ483:AS483)=0,AND(COUNTA(AQ483:AS483)=3,ISNUMBER(AS483))),0,1)+IF(OR(COUNTA(AT483:AV483)=0,AND(COUNTA(AT483:AV483)=3,ISNUMBER(AV483))),0,1)+IF(OR(COUNTA(AW483:AY483)=0,AND(COUNTA(AW483:AY483)=3,ISNUMBER(AY483))),0,1)+IF(OR(COUNTA(AZ483:BB483)=0,AND(COUNTA(AZ483:BB483)=3,ISNUMBER(BB483))),0,1))&gt;0,"; An invoice is incomplete (needs No, Date and a number in Ex GST)","")&amp;IF((IF(T483="",0,IFERROR(--(EOMONTH(T483,0)&lt;&gt;S$5),1))+IF(W483="",0,IFERROR(--(EOMONTH(W483,0)&lt;&gt;V$5),1))+IF(Z483="",0,IFERROR(--(EOMONTH(Z483,0)&lt;&gt;Y$5),1))+IF(AC483="",0,IFERROR(--(EOMONTH(AC483,0)&lt;&gt;AB$5),1))+IF(AF483="",0,IFERROR(--(EOMONTH(AF483,0)&lt;&gt;AE$5),1))+IF(AI483="",0,IFERROR(--(EOMONTH(AI483,0)&lt;&gt;AH$5),1))+IF(AL483="",0,IFERROR(--(EOMONTH(AL483,0)&lt;&gt;AK$5),1))+IF(AO483="",0,IFERROR(--(EOMONTH(AO483,0)&lt;&gt;AN$5),1))+IF(AR483="",0,IFERROR(--(EOMONTH(AR483,0)&lt;&gt;AQ$5),1))+IF(AU483="",0,IFERROR(--(EOMONTH(AU483,0)&lt;&gt;AT$5),1))+IF(AX483="",0,IFERROR(--(EOMONTH(AX483,0)&lt;&gt;AW$5),1))+IF(BA483="",0,IFERROR(--(EOMONTH(BA483,0)&lt;&gt;AZ$5),1)))&gt;0,"; An invoice date is not in the month it is typed under",""),3,500))</f>
        <v/>
      </c>
      <c r="S483" s="12" t="n"/>
      <c r="T483" s="13" t="n"/>
      <c r="U483" s="14" t="n"/>
      <c r="V483" s="12" t="n"/>
      <c r="W483" s="13" t="n"/>
      <c r="X483" s="14" t="n"/>
      <c r="Y483" s="12" t="n"/>
      <c r="Z483" s="13" t="n"/>
      <c r="AA483" s="14" t="n"/>
      <c r="AB483" s="12" t="n"/>
      <c r="AC483" s="13" t="n"/>
      <c r="AD483" s="14" t="n"/>
      <c r="AE483" s="12" t="n"/>
      <c r="AF483" s="13" t="n"/>
      <c r="AG483" s="14" t="n"/>
      <c r="AH483" s="12" t="n"/>
      <c r="AI483" s="13" t="n"/>
      <c r="AJ483" s="14" t="n"/>
      <c r="AK483" s="12" t="n"/>
      <c r="AL483" s="13" t="n"/>
      <c r="AM483" s="14" t="n"/>
      <c r="AN483" s="12" t="n"/>
      <c r="AO483" s="13" t="n"/>
      <c r="AP483" s="14" t="n"/>
      <c r="AQ483" s="12" t="n"/>
      <c r="AR483" s="13" t="n"/>
      <c r="AS483" s="14" t="n"/>
      <c r="AT483" s="12" t="n"/>
      <c r="AU483" s="13" t="n"/>
      <c r="AV483" s="14" t="n"/>
      <c r="AW483" s="12" t="n"/>
      <c r="AX483" s="13" t="n"/>
      <c r="AY483" s="14" t="n"/>
      <c r="AZ483" s="12" t="n"/>
      <c r="BA483" s="13" t="n"/>
      <c r="BB483" s="14" t="n"/>
      <c r="BC483" s="11">
        <f>IF(O483="","",IF(J483="GST 10%",ROUND(O483*set_GSTRate,2),0))</f>
        <v/>
      </c>
      <c r="BD483" s="11">
        <f>IF(O483="","",O483+BC483)</f>
        <v/>
      </c>
      <c r="BE483" s="15">
        <f>IF(O483="","",COUNTA(S483,V483,Y483,AB483,AE483,AH483,AK483,AN483,AQ483,AT483,AW483,AZ483))</f>
        <v/>
      </c>
      <c r="BF483" s="16">
        <f>IF(COUNT(T483,W483,Z483,AC483,AF483,AI483,AL483,AO483,AR483,AU483,AX483,BA483)=0,"",MAX(T483,W483,Z483,AC483,AF483,AI483,AL483,AO483,AR483,AU483,AX483,BA483))</f>
        <v/>
      </c>
      <c r="BG483" s="10">
        <f>MID(IF(S483="","",", "&amp;S483)&amp;IF(V483="","",", "&amp;V483)&amp;IF(Y483="","",", "&amp;Y483)&amp;IF(AB483="","",", "&amp;AB483)&amp;IF(AE483="","",", "&amp;AE483)&amp;IF(AH483="","",", "&amp;AH483)&amp;IF(AK483="","",", "&amp;AK483)&amp;IF(AN483="","",", "&amp;AN483)&amp;IF(AQ483="","",", "&amp;AQ483)&amp;IF(AT483="","",", "&amp;AT483)&amp;IF(AW483="","",", "&amp;AW483)&amp;IF(AZ483="","",", "&amp;AZ483),3,500)</f>
        <v/>
      </c>
      <c r="BH483" s="12" t="n"/>
      <c r="BI483" s="15">
        <f>IFERROR(MATCH($A483,IF($B483="Onsite",tbl_Onsite[Row ID],IF($B483="Production",tbl_Production[Row ID],tbl_Consulting[Row ID])),0),"")</f>
        <v/>
      </c>
    </row>
    <row r="484">
      <c r="A484" s="10" t="inlineStr">
        <is>
          <t>ONS-0478</t>
        </is>
      </c>
      <c r="B484" s="10" t="inlineStr">
        <is>
          <t>Onsite</t>
        </is>
      </c>
      <c r="C484" s="10">
        <f>IF($BI484="","",IF($B484="Onsite",INDEX(tbl_Onsite[Job Number],$BI484),IF($B484="Production",INDEX(tbl_Production[Job Number],$BI484),INDEX(tbl_Consulting[Job Number],$BI484)))&amp;"")</f>
        <v/>
      </c>
      <c r="D484" s="10">
        <f>IF($BI484="","",IF($B484="Onsite",INDEX(tbl_Onsite[Client],$BI484),IF($B484="Production",INDEX(tbl_Production[Client],$BI484),INDEX(tbl_Consulting[Client],$BI484)))&amp;"")</f>
        <v/>
      </c>
      <c r="E484" s="10">
        <f>IF($C484="","",IF(COUNTIF(lst_Jobs,$C484)&gt;0,"OK","CHECK"))</f>
        <v/>
      </c>
      <c r="F484" s="10">
        <f>IF($C484="","",IFERROR(INDEX(lst_JobName,MATCH($C484,lst_Jobs,0)),""))</f>
        <v/>
      </c>
      <c r="G484" s="10">
        <f>IF($BI484="","",IF($B484="Onsite",INDEX(tbl_Onsite[Job Description],$BI484),IF($B484="Production",INDEX(tbl_Production[Job Description],$BI484),INDEX(tbl_Consulting[Job Description],$BI484)))&amp;"")</f>
        <v/>
      </c>
      <c r="H484" s="10">
        <f>IF($BI484="","",IF($B484="Onsite",INDEX(tbl_Onsite[Cost Centre],$BI484),IF($B484="Production",INDEX(tbl_Production[Cost Centre],$BI484),INDEX(tbl_Consulting[Cost Centre],$BI484)))&amp;"")</f>
        <v/>
      </c>
      <c r="I484" s="10">
        <f>IF($BI484="","",IF($B484="Onsite",INDEX(tbl_Onsite[Invoice Type],$BI484),IF($B484="Production",INDEX(tbl_Production[Invoice Type],$BI484),INDEX(tbl_Consulting[Invoice Type],$BI484)))&amp;"")</f>
        <v/>
      </c>
      <c r="J484" s="10">
        <f>IF($BI484="","",IF($B484="Onsite",INDEX(tbl_Onsite[Tax Code],$BI484),IF($B484="Production",INDEX(tbl_Production[Tax Code],$BI484),INDEX(tbl_Consulting[Tax Code],$BI484)))&amp;"")</f>
        <v/>
      </c>
      <c r="K484" s="10">
        <f>IF(H484="","",IFERROR(INDEX(lst_CCtoGL,MATCH(H484,lst_CCforGL,0)),""))</f>
        <v/>
      </c>
      <c r="L484" s="10">
        <f>IF($BI484="","",IF($B484="Onsite",INDEX(tbl_Onsite[PO / Reference],$BI484),IF($B484="Production",INDEX(tbl_Production[Current RMS No],$BI484),INDEX(tbl_Consulting[Qwilr Quote],$BI484)))&amp;"")</f>
        <v/>
      </c>
      <c r="M484" s="10">
        <f>IF($BI484="","",IF($B484="Onsite",INDEX(tbl_Onsite[Notes],$BI484),IF($B484="Production",INDEX(tbl_Production[Notes],$BI484),INDEX(tbl_Consulting[Notes],$BI484)))&amp;"")</f>
        <v/>
      </c>
      <c r="N484" s="11">
        <f>IF($BI484="","",IF(IF($B484="Onsite",INDEX(tbl_Onsite[Expected Revenue Ex GST],$BI484),IF($B484="Production",INDEX(tbl_Production[Expected Revenue Ex GST],$BI484),INDEX(tbl_Consulting[Expected Revenue Ex GST],$BI484)))="","",IF($B484="Onsite",INDEX(tbl_Onsite[Expected Revenue Ex GST],$BI484),IF($B484="Production",INDEX(tbl_Production[Expected Revenue Ex GST],$BI484),INDEX(tbl_Consulting[Expected Revenue Ex GST],$BI484)))))</f>
        <v/>
      </c>
      <c r="O484" s="11">
        <f>IF(AND($C484="",NOT(COUNTA($S484:$BB484)&gt;0)),"",SUM(U484,X484,AA484,AD484,AG484,AJ484,AM484,AP484,AS484,AV484,AY484,BB484))</f>
        <v/>
      </c>
      <c r="P484" s="11">
        <f>IF(O484="","",N(N484)-O484)</f>
        <v/>
      </c>
      <c r="Q484" s="10">
        <f>IF(O484="","",IF($C484="","Invoice on empty job row",IF(N484="",IF(ROUND(O484,2)=0,"No dept value","Invoiced - no dept value"),IF(ROUND(O484,2)=0,"Not invoiced - to invoice",IF(ROUND(P484,2)=0,"Agrees",IF(P484&gt;0,"Dept higher - to invoice","Xero higher - check dept"))))))</f>
        <v/>
      </c>
      <c r="R484" s="10">
        <f>IF(AND($C484="",NOT(COUNTA($S484:$BB484)&gt;0),$BI484&lt;&gt;""),"",MID(IF($BI484="","; Row ID not found on the department sheet - a row was deleted","")&amp;IF(AND($C484="",COUNTA($S484:$BB484)&gt;0),"; Invoice entered but the department row has no job number","")&amp;IF(E484="CHECK","; Job number not in the Xero job list","")&amp;IF(AND($C484&lt;&gt;"",COUNTIF($C$7:$C$1506,$C484)&gt;1),"; Job number on more than one row","")&amp;IF(AND($C484&lt;&gt;"",H484=""),"; Dept has not set a cost centre","")&amp;IF(AND($C484&lt;&gt;"",J484=""),"; Dept has not set a tax code","")&amp;IF(AND($C484&lt;&gt;"",N484=""),"; Dept has not entered an expected value","")&amp;IF((IF(OR(COUNTA(S484:U484)=0,AND(COUNTA(S484:U484)=3,ISNUMBER(U484))),0,1)+IF(OR(COUNTA(V484:X484)=0,AND(COUNTA(V484:X484)=3,ISNUMBER(X484))),0,1)+IF(OR(COUNTA(Y484:AA484)=0,AND(COUNTA(Y484:AA484)=3,ISNUMBER(AA484))),0,1)+IF(OR(COUNTA(AB484:AD484)=0,AND(COUNTA(AB484:AD484)=3,ISNUMBER(AD484))),0,1)+IF(OR(COUNTA(AE484:AG484)=0,AND(COUNTA(AE484:AG484)=3,ISNUMBER(AG484))),0,1)+IF(OR(COUNTA(AH484:AJ484)=0,AND(COUNTA(AH484:AJ484)=3,ISNUMBER(AJ484))),0,1)+IF(OR(COUNTA(AK484:AM484)=0,AND(COUNTA(AK484:AM484)=3,ISNUMBER(AM484))),0,1)+IF(OR(COUNTA(AN484:AP484)=0,AND(COUNTA(AN484:AP484)=3,ISNUMBER(AP484))),0,1)+IF(OR(COUNTA(AQ484:AS484)=0,AND(COUNTA(AQ484:AS484)=3,ISNUMBER(AS484))),0,1)+IF(OR(COUNTA(AT484:AV484)=0,AND(COUNTA(AT484:AV484)=3,ISNUMBER(AV484))),0,1)+IF(OR(COUNTA(AW484:AY484)=0,AND(COUNTA(AW484:AY484)=3,ISNUMBER(AY484))),0,1)+IF(OR(COUNTA(AZ484:BB484)=0,AND(COUNTA(AZ484:BB484)=3,ISNUMBER(BB484))),0,1))&gt;0,"; An invoice is incomplete (needs No, Date and a number in Ex GST)","")&amp;IF((IF(T484="",0,IFERROR(--(EOMONTH(T484,0)&lt;&gt;S$5),1))+IF(W484="",0,IFERROR(--(EOMONTH(W484,0)&lt;&gt;V$5),1))+IF(Z484="",0,IFERROR(--(EOMONTH(Z484,0)&lt;&gt;Y$5),1))+IF(AC484="",0,IFERROR(--(EOMONTH(AC484,0)&lt;&gt;AB$5),1))+IF(AF484="",0,IFERROR(--(EOMONTH(AF484,0)&lt;&gt;AE$5),1))+IF(AI484="",0,IFERROR(--(EOMONTH(AI484,0)&lt;&gt;AH$5),1))+IF(AL484="",0,IFERROR(--(EOMONTH(AL484,0)&lt;&gt;AK$5),1))+IF(AO484="",0,IFERROR(--(EOMONTH(AO484,0)&lt;&gt;AN$5),1))+IF(AR484="",0,IFERROR(--(EOMONTH(AR484,0)&lt;&gt;AQ$5),1))+IF(AU484="",0,IFERROR(--(EOMONTH(AU484,0)&lt;&gt;AT$5),1))+IF(AX484="",0,IFERROR(--(EOMONTH(AX484,0)&lt;&gt;AW$5),1))+IF(BA484="",0,IFERROR(--(EOMONTH(BA484,0)&lt;&gt;AZ$5),1)))&gt;0,"; An invoice date is not in the month it is typed under",""),3,500))</f>
        <v/>
      </c>
      <c r="S484" s="12" t="n"/>
      <c r="T484" s="13" t="n"/>
      <c r="U484" s="14" t="n"/>
      <c r="V484" s="12" t="n"/>
      <c r="W484" s="13" t="n"/>
      <c r="X484" s="14" t="n"/>
      <c r="Y484" s="12" t="n"/>
      <c r="Z484" s="13" t="n"/>
      <c r="AA484" s="14" t="n"/>
      <c r="AB484" s="12" t="n"/>
      <c r="AC484" s="13" t="n"/>
      <c r="AD484" s="14" t="n"/>
      <c r="AE484" s="12" t="n"/>
      <c r="AF484" s="13" t="n"/>
      <c r="AG484" s="14" t="n"/>
      <c r="AH484" s="12" t="n"/>
      <c r="AI484" s="13" t="n"/>
      <c r="AJ484" s="14" t="n"/>
      <c r="AK484" s="12" t="n"/>
      <c r="AL484" s="13" t="n"/>
      <c r="AM484" s="14" t="n"/>
      <c r="AN484" s="12" t="n"/>
      <c r="AO484" s="13" t="n"/>
      <c r="AP484" s="14" t="n"/>
      <c r="AQ484" s="12" t="n"/>
      <c r="AR484" s="13" t="n"/>
      <c r="AS484" s="14" t="n"/>
      <c r="AT484" s="12" t="n"/>
      <c r="AU484" s="13" t="n"/>
      <c r="AV484" s="14" t="n"/>
      <c r="AW484" s="12" t="n"/>
      <c r="AX484" s="13" t="n"/>
      <c r="AY484" s="14" t="n"/>
      <c r="AZ484" s="12" t="n"/>
      <c r="BA484" s="13" t="n"/>
      <c r="BB484" s="14" t="n"/>
      <c r="BC484" s="11">
        <f>IF(O484="","",IF(J484="GST 10%",ROUND(O484*set_GSTRate,2),0))</f>
        <v/>
      </c>
      <c r="BD484" s="11">
        <f>IF(O484="","",O484+BC484)</f>
        <v/>
      </c>
      <c r="BE484" s="15">
        <f>IF(O484="","",COUNTA(S484,V484,Y484,AB484,AE484,AH484,AK484,AN484,AQ484,AT484,AW484,AZ484))</f>
        <v/>
      </c>
      <c r="BF484" s="16">
        <f>IF(COUNT(T484,W484,Z484,AC484,AF484,AI484,AL484,AO484,AR484,AU484,AX484,BA484)=0,"",MAX(T484,W484,Z484,AC484,AF484,AI484,AL484,AO484,AR484,AU484,AX484,BA484))</f>
        <v/>
      </c>
      <c r="BG484" s="10">
        <f>MID(IF(S484="","",", "&amp;S484)&amp;IF(V484="","",", "&amp;V484)&amp;IF(Y484="","",", "&amp;Y484)&amp;IF(AB484="","",", "&amp;AB484)&amp;IF(AE484="","",", "&amp;AE484)&amp;IF(AH484="","",", "&amp;AH484)&amp;IF(AK484="","",", "&amp;AK484)&amp;IF(AN484="","",", "&amp;AN484)&amp;IF(AQ484="","",", "&amp;AQ484)&amp;IF(AT484="","",", "&amp;AT484)&amp;IF(AW484="","",", "&amp;AW484)&amp;IF(AZ484="","",", "&amp;AZ484),3,500)</f>
        <v/>
      </c>
      <c r="BH484" s="12" t="n"/>
      <c r="BI484" s="15">
        <f>IFERROR(MATCH($A484,IF($B484="Onsite",tbl_Onsite[Row ID],IF($B484="Production",tbl_Production[Row ID],tbl_Consulting[Row ID])),0),"")</f>
        <v/>
      </c>
    </row>
    <row r="485">
      <c r="A485" s="10" t="inlineStr">
        <is>
          <t>ONS-0479</t>
        </is>
      </c>
      <c r="B485" s="10" t="inlineStr">
        <is>
          <t>Onsite</t>
        </is>
      </c>
      <c r="C485" s="10">
        <f>IF($BI485="","",IF($B485="Onsite",INDEX(tbl_Onsite[Job Number],$BI485),IF($B485="Production",INDEX(tbl_Production[Job Number],$BI485),INDEX(tbl_Consulting[Job Number],$BI485)))&amp;"")</f>
        <v/>
      </c>
      <c r="D485" s="10">
        <f>IF($BI485="","",IF($B485="Onsite",INDEX(tbl_Onsite[Client],$BI485),IF($B485="Production",INDEX(tbl_Production[Client],$BI485),INDEX(tbl_Consulting[Client],$BI485)))&amp;"")</f>
        <v/>
      </c>
      <c r="E485" s="10">
        <f>IF($C485="","",IF(COUNTIF(lst_Jobs,$C485)&gt;0,"OK","CHECK"))</f>
        <v/>
      </c>
      <c r="F485" s="10">
        <f>IF($C485="","",IFERROR(INDEX(lst_JobName,MATCH($C485,lst_Jobs,0)),""))</f>
        <v/>
      </c>
      <c r="G485" s="10">
        <f>IF($BI485="","",IF($B485="Onsite",INDEX(tbl_Onsite[Job Description],$BI485),IF($B485="Production",INDEX(tbl_Production[Job Description],$BI485),INDEX(tbl_Consulting[Job Description],$BI485)))&amp;"")</f>
        <v/>
      </c>
      <c r="H485" s="10">
        <f>IF($BI485="","",IF($B485="Onsite",INDEX(tbl_Onsite[Cost Centre],$BI485),IF($B485="Production",INDEX(tbl_Production[Cost Centre],$BI485),INDEX(tbl_Consulting[Cost Centre],$BI485)))&amp;"")</f>
        <v/>
      </c>
      <c r="I485" s="10">
        <f>IF($BI485="","",IF($B485="Onsite",INDEX(tbl_Onsite[Invoice Type],$BI485),IF($B485="Production",INDEX(tbl_Production[Invoice Type],$BI485),INDEX(tbl_Consulting[Invoice Type],$BI485)))&amp;"")</f>
        <v/>
      </c>
      <c r="J485" s="10">
        <f>IF($BI485="","",IF($B485="Onsite",INDEX(tbl_Onsite[Tax Code],$BI485),IF($B485="Production",INDEX(tbl_Production[Tax Code],$BI485),INDEX(tbl_Consulting[Tax Code],$BI485)))&amp;"")</f>
        <v/>
      </c>
      <c r="K485" s="10">
        <f>IF(H485="","",IFERROR(INDEX(lst_CCtoGL,MATCH(H485,lst_CCforGL,0)),""))</f>
        <v/>
      </c>
      <c r="L485" s="10">
        <f>IF($BI485="","",IF($B485="Onsite",INDEX(tbl_Onsite[PO / Reference],$BI485),IF($B485="Production",INDEX(tbl_Production[Current RMS No],$BI485),INDEX(tbl_Consulting[Qwilr Quote],$BI485)))&amp;"")</f>
        <v/>
      </c>
      <c r="M485" s="10">
        <f>IF($BI485="","",IF($B485="Onsite",INDEX(tbl_Onsite[Notes],$BI485),IF($B485="Production",INDEX(tbl_Production[Notes],$BI485),INDEX(tbl_Consulting[Notes],$BI485)))&amp;"")</f>
        <v/>
      </c>
      <c r="N485" s="11">
        <f>IF($BI485="","",IF(IF($B485="Onsite",INDEX(tbl_Onsite[Expected Revenue Ex GST],$BI485),IF($B485="Production",INDEX(tbl_Production[Expected Revenue Ex GST],$BI485),INDEX(tbl_Consulting[Expected Revenue Ex GST],$BI485)))="","",IF($B485="Onsite",INDEX(tbl_Onsite[Expected Revenue Ex GST],$BI485),IF($B485="Production",INDEX(tbl_Production[Expected Revenue Ex GST],$BI485),INDEX(tbl_Consulting[Expected Revenue Ex GST],$BI485)))))</f>
        <v/>
      </c>
      <c r="O485" s="11">
        <f>IF(AND($C485="",NOT(COUNTA($S485:$BB485)&gt;0)),"",SUM(U485,X485,AA485,AD485,AG485,AJ485,AM485,AP485,AS485,AV485,AY485,BB485))</f>
        <v/>
      </c>
      <c r="P485" s="11">
        <f>IF(O485="","",N(N485)-O485)</f>
        <v/>
      </c>
      <c r="Q485" s="10">
        <f>IF(O485="","",IF($C485="","Invoice on empty job row",IF(N485="",IF(ROUND(O485,2)=0,"No dept value","Invoiced - no dept value"),IF(ROUND(O485,2)=0,"Not invoiced - to invoice",IF(ROUND(P485,2)=0,"Agrees",IF(P485&gt;0,"Dept higher - to invoice","Xero higher - check dept"))))))</f>
        <v/>
      </c>
      <c r="R485" s="10">
        <f>IF(AND($C485="",NOT(COUNTA($S485:$BB485)&gt;0),$BI485&lt;&gt;""),"",MID(IF($BI485="","; Row ID not found on the department sheet - a row was deleted","")&amp;IF(AND($C485="",COUNTA($S485:$BB485)&gt;0),"; Invoice entered but the department row has no job number","")&amp;IF(E485="CHECK","; Job number not in the Xero job list","")&amp;IF(AND($C485&lt;&gt;"",COUNTIF($C$7:$C$1506,$C485)&gt;1),"; Job number on more than one row","")&amp;IF(AND($C485&lt;&gt;"",H485=""),"; Dept has not set a cost centre","")&amp;IF(AND($C485&lt;&gt;"",J485=""),"; Dept has not set a tax code","")&amp;IF(AND($C485&lt;&gt;"",N485=""),"; Dept has not entered an expected value","")&amp;IF((IF(OR(COUNTA(S485:U485)=0,AND(COUNTA(S485:U485)=3,ISNUMBER(U485))),0,1)+IF(OR(COUNTA(V485:X485)=0,AND(COUNTA(V485:X485)=3,ISNUMBER(X485))),0,1)+IF(OR(COUNTA(Y485:AA485)=0,AND(COUNTA(Y485:AA485)=3,ISNUMBER(AA485))),0,1)+IF(OR(COUNTA(AB485:AD485)=0,AND(COUNTA(AB485:AD485)=3,ISNUMBER(AD485))),0,1)+IF(OR(COUNTA(AE485:AG485)=0,AND(COUNTA(AE485:AG485)=3,ISNUMBER(AG485))),0,1)+IF(OR(COUNTA(AH485:AJ485)=0,AND(COUNTA(AH485:AJ485)=3,ISNUMBER(AJ485))),0,1)+IF(OR(COUNTA(AK485:AM485)=0,AND(COUNTA(AK485:AM485)=3,ISNUMBER(AM485))),0,1)+IF(OR(COUNTA(AN485:AP485)=0,AND(COUNTA(AN485:AP485)=3,ISNUMBER(AP485))),0,1)+IF(OR(COUNTA(AQ485:AS485)=0,AND(COUNTA(AQ485:AS485)=3,ISNUMBER(AS485))),0,1)+IF(OR(COUNTA(AT485:AV485)=0,AND(COUNTA(AT485:AV485)=3,ISNUMBER(AV485))),0,1)+IF(OR(COUNTA(AW485:AY485)=0,AND(COUNTA(AW485:AY485)=3,ISNUMBER(AY485))),0,1)+IF(OR(COUNTA(AZ485:BB485)=0,AND(COUNTA(AZ485:BB485)=3,ISNUMBER(BB485))),0,1))&gt;0,"; An invoice is incomplete (needs No, Date and a number in Ex GST)","")&amp;IF((IF(T485="",0,IFERROR(--(EOMONTH(T485,0)&lt;&gt;S$5),1))+IF(W485="",0,IFERROR(--(EOMONTH(W485,0)&lt;&gt;V$5),1))+IF(Z485="",0,IFERROR(--(EOMONTH(Z485,0)&lt;&gt;Y$5),1))+IF(AC485="",0,IFERROR(--(EOMONTH(AC485,0)&lt;&gt;AB$5),1))+IF(AF485="",0,IFERROR(--(EOMONTH(AF485,0)&lt;&gt;AE$5),1))+IF(AI485="",0,IFERROR(--(EOMONTH(AI485,0)&lt;&gt;AH$5),1))+IF(AL485="",0,IFERROR(--(EOMONTH(AL485,0)&lt;&gt;AK$5),1))+IF(AO485="",0,IFERROR(--(EOMONTH(AO485,0)&lt;&gt;AN$5),1))+IF(AR485="",0,IFERROR(--(EOMONTH(AR485,0)&lt;&gt;AQ$5),1))+IF(AU485="",0,IFERROR(--(EOMONTH(AU485,0)&lt;&gt;AT$5),1))+IF(AX485="",0,IFERROR(--(EOMONTH(AX485,0)&lt;&gt;AW$5),1))+IF(BA485="",0,IFERROR(--(EOMONTH(BA485,0)&lt;&gt;AZ$5),1)))&gt;0,"; An invoice date is not in the month it is typed under",""),3,500))</f>
        <v/>
      </c>
      <c r="S485" s="12" t="n"/>
      <c r="T485" s="13" t="n"/>
      <c r="U485" s="14" t="n"/>
      <c r="V485" s="12" t="n"/>
      <c r="W485" s="13" t="n"/>
      <c r="X485" s="14" t="n"/>
      <c r="Y485" s="12" t="n"/>
      <c r="Z485" s="13" t="n"/>
      <c r="AA485" s="14" t="n"/>
      <c r="AB485" s="12" t="n"/>
      <c r="AC485" s="13" t="n"/>
      <c r="AD485" s="14" t="n"/>
      <c r="AE485" s="12" t="n"/>
      <c r="AF485" s="13" t="n"/>
      <c r="AG485" s="14" t="n"/>
      <c r="AH485" s="12" t="n"/>
      <c r="AI485" s="13" t="n"/>
      <c r="AJ485" s="14" t="n"/>
      <c r="AK485" s="12" t="n"/>
      <c r="AL485" s="13" t="n"/>
      <c r="AM485" s="14" t="n"/>
      <c r="AN485" s="12" t="n"/>
      <c r="AO485" s="13" t="n"/>
      <c r="AP485" s="14" t="n"/>
      <c r="AQ485" s="12" t="n"/>
      <c r="AR485" s="13" t="n"/>
      <c r="AS485" s="14" t="n"/>
      <c r="AT485" s="12" t="n"/>
      <c r="AU485" s="13" t="n"/>
      <c r="AV485" s="14" t="n"/>
      <c r="AW485" s="12" t="n"/>
      <c r="AX485" s="13" t="n"/>
      <c r="AY485" s="14" t="n"/>
      <c r="AZ485" s="12" t="n"/>
      <c r="BA485" s="13" t="n"/>
      <c r="BB485" s="14" t="n"/>
      <c r="BC485" s="11">
        <f>IF(O485="","",IF(J485="GST 10%",ROUND(O485*set_GSTRate,2),0))</f>
        <v/>
      </c>
      <c r="BD485" s="11">
        <f>IF(O485="","",O485+BC485)</f>
        <v/>
      </c>
      <c r="BE485" s="15">
        <f>IF(O485="","",COUNTA(S485,V485,Y485,AB485,AE485,AH485,AK485,AN485,AQ485,AT485,AW485,AZ485))</f>
        <v/>
      </c>
      <c r="BF485" s="16">
        <f>IF(COUNT(T485,W485,Z485,AC485,AF485,AI485,AL485,AO485,AR485,AU485,AX485,BA485)=0,"",MAX(T485,W485,Z485,AC485,AF485,AI485,AL485,AO485,AR485,AU485,AX485,BA485))</f>
        <v/>
      </c>
      <c r="BG485" s="10">
        <f>MID(IF(S485="","",", "&amp;S485)&amp;IF(V485="","",", "&amp;V485)&amp;IF(Y485="","",", "&amp;Y485)&amp;IF(AB485="","",", "&amp;AB485)&amp;IF(AE485="","",", "&amp;AE485)&amp;IF(AH485="","",", "&amp;AH485)&amp;IF(AK485="","",", "&amp;AK485)&amp;IF(AN485="","",", "&amp;AN485)&amp;IF(AQ485="","",", "&amp;AQ485)&amp;IF(AT485="","",", "&amp;AT485)&amp;IF(AW485="","",", "&amp;AW485)&amp;IF(AZ485="","",", "&amp;AZ485),3,500)</f>
        <v/>
      </c>
      <c r="BH485" s="12" t="n"/>
      <c r="BI485" s="15">
        <f>IFERROR(MATCH($A485,IF($B485="Onsite",tbl_Onsite[Row ID],IF($B485="Production",tbl_Production[Row ID],tbl_Consulting[Row ID])),0),"")</f>
        <v/>
      </c>
    </row>
    <row r="486">
      <c r="A486" s="10" t="inlineStr">
        <is>
          <t>ONS-0480</t>
        </is>
      </c>
      <c r="B486" s="10" t="inlineStr">
        <is>
          <t>Onsite</t>
        </is>
      </c>
      <c r="C486" s="10">
        <f>IF($BI486="","",IF($B486="Onsite",INDEX(tbl_Onsite[Job Number],$BI486),IF($B486="Production",INDEX(tbl_Production[Job Number],$BI486),INDEX(tbl_Consulting[Job Number],$BI486)))&amp;"")</f>
        <v/>
      </c>
      <c r="D486" s="10">
        <f>IF($BI486="","",IF($B486="Onsite",INDEX(tbl_Onsite[Client],$BI486),IF($B486="Production",INDEX(tbl_Production[Client],$BI486),INDEX(tbl_Consulting[Client],$BI486)))&amp;"")</f>
        <v/>
      </c>
      <c r="E486" s="10">
        <f>IF($C486="","",IF(COUNTIF(lst_Jobs,$C486)&gt;0,"OK","CHECK"))</f>
        <v/>
      </c>
      <c r="F486" s="10">
        <f>IF($C486="","",IFERROR(INDEX(lst_JobName,MATCH($C486,lst_Jobs,0)),""))</f>
        <v/>
      </c>
      <c r="G486" s="10">
        <f>IF($BI486="","",IF($B486="Onsite",INDEX(tbl_Onsite[Job Description],$BI486),IF($B486="Production",INDEX(tbl_Production[Job Description],$BI486),INDEX(tbl_Consulting[Job Description],$BI486)))&amp;"")</f>
        <v/>
      </c>
      <c r="H486" s="10">
        <f>IF($BI486="","",IF($B486="Onsite",INDEX(tbl_Onsite[Cost Centre],$BI486),IF($B486="Production",INDEX(tbl_Production[Cost Centre],$BI486),INDEX(tbl_Consulting[Cost Centre],$BI486)))&amp;"")</f>
        <v/>
      </c>
      <c r="I486" s="10">
        <f>IF($BI486="","",IF($B486="Onsite",INDEX(tbl_Onsite[Invoice Type],$BI486),IF($B486="Production",INDEX(tbl_Production[Invoice Type],$BI486),INDEX(tbl_Consulting[Invoice Type],$BI486)))&amp;"")</f>
        <v/>
      </c>
      <c r="J486" s="10">
        <f>IF($BI486="","",IF($B486="Onsite",INDEX(tbl_Onsite[Tax Code],$BI486),IF($B486="Production",INDEX(tbl_Production[Tax Code],$BI486),INDEX(tbl_Consulting[Tax Code],$BI486)))&amp;"")</f>
        <v/>
      </c>
      <c r="K486" s="10">
        <f>IF(H486="","",IFERROR(INDEX(lst_CCtoGL,MATCH(H486,lst_CCforGL,0)),""))</f>
        <v/>
      </c>
      <c r="L486" s="10">
        <f>IF($BI486="","",IF($B486="Onsite",INDEX(tbl_Onsite[PO / Reference],$BI486),IF($B486="Production",INDEX(tbl_Production[Current RMS No],$BI486),INDEX(tbl_Consulting[Qwilr Quote],$BI486)))&amp;"")</f>
        <v/>
      </c>
      <c r="M486" s="10">
        <f>IF($BI486="","",IF($B486="Onsite",INDEX(tbl_Onsite[Notes],$BI486),IF($B486="Production",INDEX(tbl_Production[Notes],$BI486),INDEX(tbl_Consulting[Notes],$BI486)))&amp;"")</f>
        <v/>
      </c>
      <c r="N486" s="11">
        <f>IF($BI486="","",IF(IF($B486="Onsite",INDEX(tbl_Onsite[Expected Revenue Ex GST],$BI486),IF($B486="Production",INDEX(tbl_Production[Expected Revenue Ex GST],$BI486),INDEX(tbl_Consulting[Expected Revenue Ex GST],$BI486)))="","",IF($B486="Onsite",INDEX(tbl_Onsite[Expected Revenue Ex GST],$BI486),IF($B486="Production",INDEX(tbl_Production[Expected Revenue Ex GST],$BI486),INDEX(tbl_Consulting[Expected Revenue Ex GST],$BI486)))))</f>
        <v/>
      </c>
      <c r="O486" s="11">
        <f>IF(AND($C486="",NOT(COUNTA($S486:$BB486)&gt;0)),"",SUM(U486,X486,AA486,AD486,AG486,AJ486,AM486,AP486,AS486,AV486,AY486,BB486))</f>
        <v/>
      </c>
      <c r="P486" s="11">
        <f>IF(O486="","",N(N486)-O486)</f>
        <v/>
      </c>
      <c r="Q486" s="10">
        <f>IF(O486="","",IF($C486="","Invoice on empty job row",IF(N486="",IF(ROUND(O486,2)=0,"No dept value","Invoiced - no dept value"),IF(ROUND(O486,2)=0,"Not invoiced - to invoice",IF(ROUND(P486,2)=0,"Agrees",IF(P486&gt;0,"Dept higher - to invoice","Xero higher - check dept"))))))</f>
        <v/>
      </c>
      <c r="R486" s="10">
        <f>IF(AND($C486="",NOT(COUNTA($S486:$BB486)&gt;0),$BI486&lt;&gt;""),"",MID(IF($BI486="","; Row ID not found on the department sheet - a row was deleted","")&amp;IF(AND($C486="",COUNTA($S486:$BB486)&gt;0),"; Invoice entered but the department row has no job number","")&amp;IF(E486="CHECK","; Job number not in the Xero job list","")&amp;IF(AND($C486&lt;&gt;"",COUNTIF($C$7:$C$1506,$C486)&gt;1),"; Job number on more than one row","")&amp;IF(AND($C486&lt;&gt;"",H486=""),"; Dept has not set a cost centre","")&amp;IF(AND($C486&lt;&gt;"",J486=""),"; Dept has not set a tax code","")&amp;IF(AND($C486&lt;&gt;"",N486=""),"; Dept has not entered an expected value","")&amp;IF((IF(OR(COUNTA(S486:U486)=0,AND(COUNTA(S486:U486)=3,ISNUMBER(U486))),0,1)+IF(OR(COUNTA(V486:X486)=0,AND(COUNTA(V486:X486)=3,ISNUMBER(X486))),0,1)+IF(OR(COUNTA(Y486:AA486)=0,AND(COUNTA(Y486:AA486)=3,ISNUMBER(AA486))),0,1)+IF(OR(COUNTA(AB486:AD486)=0,AND(COUNTA(AB486:AD486)=3,ISNUMBER(AD486))),0,1)+IF(OR(COUNTA(AE486:AG486)=0,AND(COUNTA(AE486:AG486)=3,ISNUMBER(AG486))),0,1)+IF(OR(COUNTA(AH486:AJ486)=0,AND(COUNTA(AH486:AJ486)=3,ISNUMBER(AJ486))),0,1)+IF(OR(COUNTA(AK486:AM486)=0,AND(COUNTA(AK486:AM486)=3,ISNUMBER(AM486))),0,1)+IF(OR(COUNTA(AN486:AP486)=0,AND(COUNTA(AN486:AP486)=3,ISNUMBER(AP486))),0,1)+IF(OR(COUNTA(AQ486:AS486)=0,AND(COUNTA(AQ486:AS486)=3,ISNUMBER(AS486))),0,1)+IF(OR(COUNTA(AT486:AV486)=0,AND(COUNTA(AT486:AV486)=3,ISNUMBER(AV486))),0,1)+IF(OR(COUNTA(AW486:AY486)=0,AND(COUNTA(AW486:AY486)=3,ISNUMBER(AY486))),0,1)+IF(OR(COUNTA(AZ486:BB486)=0,AND(COUNTA(AZ486:BB486)=3,ISNUMBER(BB486))),0,1))&gt;0,"; An invoice is incomplete (needs No, Date and a number in Ex GST)","")&amp;IF((IF(T486="",0,IFERROR(--(EOMONTH(T486,0)&lt;&gt;S$5),1))+IF(W486="",0,IFERROR(--(EOMONTH(W486,0)&lt;&gt;V$5),1))+IF(Z486="",0,IFERROR(--(EOMONTH(Z486,0)&lt;&gt;Y$5),1))+IF(AC486="",0,IFERROR(--(EOMONTH(AC486,0)&lt;&gt;AB$5),1))+IF(AF486="",0,IFERROR(--(EOMONTH(AF486,0)&lt;&gt;AE$5),1))+IF(AI486="",0,IFERROR(--(EOMONTH(AI486,0)&lt;&gt;AH$5),1))+IF(AL486="",0,IFERROR(--(EOMONTH(AL486,0)&lt;&gt;AK$5),1))+IF(AO486="",0,IFERROR(--(EOMONTH(AO486,0)&lt;&gt;AN$5),1))+IF(AR486="",0,IFERROR(--(EOMONTH(AR486,0)&lt;&gt;AQ$5),1))+IF(AU486="",0,IFERROR(--(EOMONTH(AU486,0)&lt;&gt;AT$5),1))+IF(AX486="",0,IFERROR(--(EOMONTH(AX486,0)&lt;&gt;AW$5),1))+IF(BA486="",0,IFERROR(--(EOMONTH(BA486,0)&lt;&gt;AZ$5),1)))&gt;0,"; An invoice date is not in the month it is typed under",""),3,500))</f>
        <v/>
      </c>
      <c r="S486" s="12" t="n"/>
      <c r="T486" s="13" t="n"/>
      <c r="U486" s="14" t="n"/>
      <c r="V486" s="12" t="n"/>
      <c r="W486" s="13" t="n"/>
      <c r="X486" s="14" t="n"/>
      <c r="Y486" s="12" t="n"/>
      <c r="Z486" s="13" t="n"/>
      <c r="AA486" s="14" t="n"/>
      <c r="AB486" s="12" t="n"/>
      <c r="AC486" s="13" t="n"/>
      <c r="AD486" s="14" t="n"/>
      <c r="AE486" s="12" t="n"/>
      <c r="AF486" s="13" t="n"/>
      <c r="AG486" s="14" t="n"/>
      <c r="AH486" s="12" t="n"/>
      <c r="AI486" s="13" t="n"/>
      <c r="AJ486" s="14" t="n"/>
      <c r="AK486" s="12" t="n"/>
      <c r="AL486" s="13" t="n"/>
      <c r="AM486" s="14" t="n"/>
      <c r="AN486" s="12" t="n"/>
      <c r="AO486" s="13" t="n"/>
      <c r="AP486" s="14" t="n"/>
      <c r="AQ486" s="12" t="n"/>
      <c r="AR486" s="13" t="n"/>
      <c r="AS486" s="14" t="n"/>
      <c r="AT486" s="12" t="n"/>
      <c r="AU486" s="13" t="n"/>
      <c r="AV486" s="14" t="n"/>
      <c r="AW486" s="12" t="n"/>
      <c r="AX486" s="13" t="n"/>
      <c r="AY486" s="14" t="n"/>
      <c r="AZ486" s="12" t="n"/>
      <c r="BA486" s="13" t="n"/>
      <c r="BB486" s="14" t="n"/>
      <c r="BC486" s="11">
        <f>IF(O486="","",IF(J486="GST 10%",ROUND(O486*set_GSTRate,2),0))</f>
        <v/>
      </c>
      <c r="BD486" s="11">
        <f>IF(O486="","",O486+BC486)</f>
        <v/>
      </c>
      <c r="BE486" s="15">
        <f>IF(O486="","",COUNTA(S486,V486,Y486,AB486,AE486,AH486,AK486,AN486,AQ486,AT486,AW486,AZ486))</f>
        <v/>
      </c>
      <c r="BF486" s="16">
        <f>IF(COUNT(T486,W486,Z486,AC486,AF486,AI486,AL486,AO486,AR486,AU486,AX486,BA486)=0,"",MAX(T486,W486,Z486,AC486,AF486,AI486,AL486,AO486,AR486,AU486,AX486,BA486))</f>
        <v/>
      </c>
      <c r="BG486" s="10">
        <f>MID(IF(S486="","",", "&amp;S486)&amp;IF(V486="","",", "&amp;V486)&amp;IF(Y486="","",", "&amp;Y486)&amp;IF(AB486="","",", "&amp;AB486)&amp;IF(AE486="","",", "&amp;AE486)&amp;IF(AH486="","",", "&amp;AH486)&amp;IF(AK486="","",", "&amp;AK486)&amp;IF(AN486="","",", "&amp;AN486)&amp;IF(AQ486="","",", "&amp;AQ486)&amp;IF(AT486="","",", "&amp;AT486)&amp;IF(AW486="","",", "&amp;AW486)&amp;IF(AZ486="","",", "&amp;AZ486),3,500)</f>
        <v/>
      </c>
      <c r="BH486" s="12" t="n"/>
      <c r="BI486" s="15">
        <f>IFERROR(MATCH($A486,IF($B486="Onsite",tbl_Onsite[Row ID],IF($B486="Production",tbl_Production[Row ID],tbl_Consulting[Row ID])),0),"")</f>
        <v/>
      </c>
    </row>
    <row r="487">
      <c r="A487" s="10" t="inlineStr">
        <is>
          <t>ONS-0481</t>
        </is>
      </c>
      <c r="B487" s="10" t="inlineStr">
        <is>
          <t>Onsite</t>
        </is>
      </c>
      <c r="C487" s="10">
        <f>IF($BI487="","",IF($B487="Onsite",INDEX(tbl_Onsite[Job Number],$BI487),IF($B487="Production",INDEX(tbl_Production[Job Number],$BI487),INDEX(tbl_Consulting[Job Number],$BI487)))&amp;"")</f>
        <v/>
      </c>
      <c r="D487" s="10">
        <f>IF($BI487="","",IF($B487="Onsite",INDEX(tbl_Onsite[Client],$BI487),IF($B487="Production",INDEX(tbl_Production[Client],$BI487),INDEX(tbl_Consulting[Client],$BI487)))&amp;"")</f>
        <v/>
      </c>
      <c r="E487" s="10">
        <f>IF($C487="","",IF(COUNTIF(lst_Jobs,$C487)&gt;0,"OK","CHECK"))</f>
        <v/>
      </c>
      <c r="F487" s="10">
        <f>IF($C487="","",IFERROR(INDEX(lst_JobName,MATCH($C487,lst_Jobs,0)),""))</f>
        <v/>
      </c>
      <c r="G487" s="10">
        <f>IF($BI487="","",IF($B487="Onsite",INDEX(tbl_Onsite[Job Description],$BI487),IF($B487="Production",INDEX(tbl_Production[Job Description],$BI487),INDEX(tbl_Consulting[Job Description],$BI487)))&amp;"")</f>
        <v/>
      </c>
      <c r="H487" s="10">
        <f>IF($BI487="","",IF($B487="Onsite",INDEX(tbl_Onsite[Cost Centre],$BI487),IF($B487="Production",INDEX(tbl_Production[Cost Centre],$BI487),INDEX(tbl_Consulting[Cost Centre],$BI487)))&amp;"")</f>
        <v/>
      </c>
      <c r="I487" s="10">
        <f>IF($BI487="","",IF($B487="Onsite",INDEX(tbl_Onsite[Invoice Type],$BI487),IF($B487="Production",INDEX(tbl_Production[Invoice Type],$BI487),INDEX(tbl_Consulting[Invoice Type],$BI487)))&amp;"")</f>
        <v/>
      </c>
      <c r="J487" s="10">
        <f>IF($BI487="","",IF($B487="Onsite",INDEX(tbl_Onsite[Tax Code],$BI487),IF($B487="Production",INDEX(tbl_Production[Tax Code],$BI487),INDEX(tbl_Consulting[Tax Code],$BI487)))&amp;"")</f>
        <v/>
      </c>
      <c r="K487" s="10">
        <f>IF(H487="","",IFERROR(INDEX(lst_CCtoGL,MATCH(H487,lst_CCforGL,0)),""))</f>
        <v/>
      </c>
      <c r="L487" s="10">
        <f>IF($BI487="","",IF($B487="Onsite",INDEX(tbl_Onsite[PO / Reference],$BI487),IF($B487="Production",INDEX(tbl_Production[Current RMS No],$BI487),INDEX(tbl_Consulting[Qwilr Quote],$BI487)))&amp;"")</f>
        <v/>
      </c>
      <c r="M487" s="10">
        <f>IF($BI487="","",IF($B487="Onsite",INDEX(tbl_Onsite[Notes],$BI487),IF($B487="Production",INDEX(tbl_Production[Notes],$BI487),INDEX(tbl_Consulting[Notes],$BI487)))&amp;"")</f>
        <v/>
      </c>
      <c r="N487" s="11">
        <f>IF($BI487="","",IF(IF($B487="Onsite",INDEX(tbl_Onsite[Expected Revenue Ex GST],$BI487),IF($B487="Production",INDEX(tbl_Production[Expected Revenue Ex GST],$BI487),INDEX(tbl_Consulting[Expected Revenue Ex GST],$BI487)))="","",IF($B487="Onsite",INDEX(tbl_Onsite[Expected Revenue Ex GST],$BI487),IF($B487="Production",INDEX(tbl_Production[Expected Revenue Ex GST],$BI487),INDEX(tbl_Consulting[Expected Revenue Ex GST],$BI487)))))</f>
        <v/>
      </c>
      <c r="O487" s="11">
        <f>IF(AND($C487="",NOT(COUNTA($S487:$BB487)&gt;0)),"",SUM(U487,X487,AA487,AD487,AG487,AJ487,AM487,AP487,AS487,AV487,AY487,BB487))</f>
        <v/>
      </c>
      <c r="P487" s="11">
        <f>IF(O487="","",N(N487)-O487)</f>
        <v/>
      </c>
      <c r="Q487" s="10">
        <f>IF(O487="","",IF($C487="","Invoice on empty job row",IF(N487="",IF(ROUND(O487,2)=0,"No dept value","Invoiced - no dept value"),IF(ROUND(O487,2)=0,"Not invoiced - to invoice",IF(ROUND(P487,2)=0,"Agrees",IF(P487&gt;0,"Dept higher - to invoice","Xero higher - check dept"))))))</f>
        <v/>
      </c>
      <c r="R487" s="10">
        <f>IF(AND($C487="",NOT(COUNTA($S487:$BB487)&gt;0),$BI487&lt;&gt;""),"",MID(IF($BI487="","; Row ID not found on the department sheet - a row was deleted","")&amp;IF(AND($C487="",COUNTA($S487:$BB487)&gt;0),"; Invoice entered but the department row has no job number","")&amp;IF(E487="CHECK","; Job number not in the Xero job list","")&amp;IF(AND($C487&lt;&gt;"",COUNTIF($C$7:$C$1506,$C487)&gt;1),"; Job number on more than one row","")&amp;IF(AND($C487&lt;&gt;"",H487=""),"; Dept has not set a cost centre","")&amp;IF(AND($C487&lt;&gt;"",J487=""),"; Dept has not set a tax code","")&amp;IF(AND($C487&lt;&gt;"",N487=""),"; Dept has not entered an expected value","")&amp;IF((IF(OR(COUNTA(S487:U487)=0,AND(COUNTA(S487:U487)=3,ISNUMBER(U487))),0,1)+IF(OR(COUNTA(V487:X487)=0,AND(COUNTA(V487:X487)=3,ISNUMBER(X487))),0,1)+IF(OR(COUNTA(Y487:AA487)=0,AND(COUNTA(Y487:AA487)=3,ISNUMBER(AA487))),0,1)+IF(OR(COUNTA(AB487:AD487)=0,AND(COUNTA(AB487:AD487)=3,ISNUMBER(AD487))),0,1)+IF(OR(COUNTA(AE487:AG487)=0,AND(COUNTA(AE487:AG487)=3,ISNUMBER(AG487))),0,1)+IF(OR(COUNTA(AH487:AJ487)=0,AND(COUNTA(AH487:AJ487)=3,ISNUMBER(AJ487))),0,1)+IF(OR(COUNTA(AK487:AM487)=0,AND(COUNTA(AK487:AM487)=3,ISNUMBER(AM487))),0,1)+IF(OR(COUNTA(AN487:AP487)=0,AND(COUNTA(AN487:AP487)=3,ISNUMBER(AP487))),0,1)+IF(OR(COUNTA(AQ487:AS487)=0,AND(COUNTA(AQ487:AS487)=3,ISNUMBER(AS487))),0,1)+IF(OR(COUNTA(AT487:AV487)=0,AND(COUNTA(AT487:AV487)=3,ISNUMBER(AV487))),0,1)+IF(OR(COUNTA(AW487:AY487)=0,AND(COUNTA(AW487:AY487)=3,ISNUMBER(AY487))),0,1)+IF(OR(COUNTA(AZ487:BB487)=0,AND(COUNTA(AZ487:BB487)=3,ISNUMBER(BB487))),0,1))&gt;0,"; An invoice is incomplete (needs No, Date and a number in Ex GST)","")&amp;IF((IF(T487="",0,IFERROR(--(EOMONTH(T487,0)&lt;&gt;S$5),1))+IF(W487="",0,IFERROR(--(EOMONTH(W487,0)&lt;&gt;V$5),1))+IF(Z487="",0,IFERROR(--(EOMONTH(Z487,0)&lt;&gt;Y$5),1))+IF(AC487="",0,IFERROR(--(EOMONTH(AC487,0)&lt;&gt;AB$5),1))+IF(AF487="",0,IFERROR(--(EOMONTH(AF487,0)&lt;&gt;AE$5),1))+IF(AI487="",0,IFERROR(--(EOMONTH(AI487,0)&lt;&gt;AH$5),1))+IF(AL487="",0,IFERROR(--(EOMONTH(AL487,0)&lt;&gt;AK$5),1))+IF(AO487="",0,IFERROR(--(EOMONTH(AO487,0)&lt;&gt;AN$5),1))+IF(AR487="",0,IFERROR(--(EOMONTH(AR487,0)&lt;&gt;AQ$5),1))+IF(AU487="",0,IFERROR(--(EOMONTH(AU487,0)&lt;&gt;AT$5),1))+IF(AX487="",0,IFERROR(--(EOMONTH(AX487,0)&lt;&gt;AW$5),1))+IF(BA487="",0,IFERROR(--(EOMONTH(BA487,0)&lt;&gt;AZ$5),1)))&gt;0,"; An invoice date is not in the month it is typed under",""),3,500))</f>
        <v/>
      </c>
      <c r="S487" s="12" t="n"/>
      <c r="T487" s="13" t="n"/>
      <c r="U487" s="14" t="n"/>
      <c r="V487" s="12" t="n"/>
      <c r="W487" s="13" t="n"/>
      <c r="X487" s="14" t="n"/>
      <c r="Y487" s="12" t="n"/>
      <c r="Z487" s="13" t="n"/>
      <c r="AA487" s="14" t="n"/>
      <c r="AB487" s="12" t="n"/>
      <c r="AC487" s="13" t="n"/>
      <c r="AD487" s="14" t="n"/>
      <c r="AE487" s="12" t="n"/>
      <c r="AF487" s="13" t="n"/>
      <c r="AG487" s="14" t="n"/>
      <c r="AH487" s="12" t="n"/>
      <c r="AI487" s="13" t="n"/>
      <c r="AJ487" s="14" t="n"/>
      <c r="AK487" s="12" t="n"/>
      <c r="AL487" s="13" t="n"/>
      <c r="AM487" s="14" t="n"/>
      <c r="AN487" s="12" t="n"/>
      <c r="AO487" s="13" t="n"/>
      <c r="AP487" s="14" t="n"/>
      <c r="AQ487" s="12" t="n"/>
      <c r="AR487" s="13" t="n"/>
      <c r="AS487" s="14" t="n"/>
      <c r="AT487" s="12" t="n"/>
      <c r="AU487" s="13" t="n"/>
      <c r="AV487" s="14" t="n"/>
      <c r="AW487" s="12" t="n"/>
      <c r="AX487" s="13" t="n"/>
      <c r="AY487" s="14" t="n"/>
      <c r="AZ487" s="12" t="n"/>
      <c r="BA487" s="13" t="n"/>
      <c r="BB487" s="14" t="n"/>
      <c r="BC487" s="11">
        <f>IF(O487="","",IF(J487="GST 10%",ROUND(O487*set_GSTRate,2),0))</f>
        <v/>
      </c>
      <c r="BD487" s="11">
        <f>IF(O487="","",O487+BC487)</f>
        <v/>
      </c>
      <c r="BE487" s="15">
        <f>IF(O487="","",COUNTA(S487,V487,Y487,AB487,AE487,AH487,AK487,AN487,AQ487,AT487,AW487,AZ487))</f>
        <v/>
      </c>
      <c r="BF487" s="16">
        <f>IF(COUNT(T487,W487,Z487,AC487,AF487,AI487,AL487,AO487,AR487,AU487,AX487,BA487)=0,"",MAX(T487,W487,Z487,AC487,AF487,AI487,AL487,AO487,AR487,AU487,AX487,BA487))</f>
        <v/>
      </c>
      <c r="BG487" s="10">
        <f>MID(IF(S487="","",", "&amp;S487)&amp;IF(V487="","",", "&amp;V487)&amp;IF(Y487="","",", "&amp;Y487)&amp;IF(AB487="","",", "&amp;AB487)&amp;IF(AE487="","",", "&amp;AE487)&amp;IF(AH487="","",", "&amp;AH487)&amp;IF(AK487="","",", "&amp;AK487)&amp;IF(AN487="","",", "&amp;AN487)&amp;IF(AQ487="","",", "&amp;AQ487)&amp;IF(AT487="","",", "&amp;AT487)&amp;IF(AW487="","",", "&amp;AW487)&amp;IF(AZ487="","",", "&amp;AZ487),3,500)</f>
        <v/>
      </c>
      <c r="BH487" s="12" t="n"/>
      <c r="BI487" s="15">
        <f>IFERROR(MATCH($A487,IF($B487="Onsite",tbl_Onsite[Row ID],IF($B487="Production",tbl_Production[Row ID],tbl_Consulting[Row ID])),0),"")</f>
        <v/>
      </c>
    </row>
    <row r="488">
      <c r="A488" s="10" t="inlineStr">
        <is>
          <t>ONS-0482</t>
        </is>
      </c>
      <c r="B488" s="10" t="inlineStr">
        <is>
          <t>Onsite</t>
        </is>
      </c>
      <c r="C488" s="10">
        <f>IF($BI488="","",IF($B488="Onsite",INDEX(tbl_Onsite[Job Number],$BI488),IF($B488="Production",INDEX(tbl_Production[Job Number],$BI488),INDEX(tbl_Consulting[Job Number],$BI488)))&amp;"")</f>
        <v/>
      </c>
      <c r="D488" s="10">
        <f>IF($BI488="","",IF($B488="Onsite",INDEX(tbl_Onsite[Client],$BI488),IF($B488="Production",INDEX(tbl_Production[Client],$BI488),INDEX(tbl_Consulting[Client],$BI488)))&amp;"")</f>
        <v/>
      </c>
      <c r="E488" s="10">
        <f>IF($C488="","",IF(COUNTIF(lst_Jobs,$C488)&gt;0,"OK","CHECK"))</f>
        <v/>
      </c>
      <c r="F488" s="10">
        <f>IF($C488="","",IFERROR(INDEX(lst_JobName,MATCH($C488,lst_Jobs,0)),""))</f>
        <v/>
      </c>
      <c r="G488" s="10">
        <f>IF($BI488="","",IF($B488="Onsite",INDEX(tbl_Onsite[Job Description],$BI488),IF($B488="Production",INDEX(tbl_Production[Job Description],$BI488),INDEX(tbl_Consulting[Job Description],$BI488)))&amp;"")</f>
        <v/>
      </c>
      <c r="H488" s="10">
        <f>IF($BI488="","",IF($B488="Onsite",INDEX(tbl_Onsite[Cost Centre],$BI488),IF($B488="Production",INDEX(tbl_Production[Cost Centre],$BI488),INDEX(tbl_Consulting[Cost Centre],$BI488)))&amp;"")</f>
        <v/>
      </c>
      <c r="I488" s="10">
        <f>IF($BI488="","",IF($B488="Onsite",INDEX(tbl_Onsite[Invoice Type],$BI488),IF($B488="Production",INDEX(tbl_Production[Invoice Type],$BI488),INDEX(tbl_Consulting[Invoice Type],$BI488)))&amp;"")</f>
        <v/>
      </c>
      <c r="J488" s="10">
        <f>IF($BI488="","",IF($B488="Onsite",INDEX(tbl_Onsite[Tax Code],$BI488),IF($B488="Production",INDEX(tbl_Production[Tax Code],$BI488),INDEX(tbl_Consulting[Tax Code],$BI488)))&amp;"")</f>
        <v/>
      </c>
      <c r="K488" s="10">
        <f>IF(H488="","",IFERROR(INDEX(lst_CCtoGL,MATCH(H488,lst_CCforGL,0)),""))</f>
        <v/>
      </c>
      <c r="L488" s="10">
        <f>IF($BI488="","",IF($B488="Onsite",INDEX(tbl_Onsite[PO / Reference],$BI488),IF($B488="Production",INDEX(tbl_Production[Current RMS No],$BI488),INDEX(tbl_Consulting[Qwilr Quote],$BI488)))&amp;"")</f>
        <v/>
      </c>
      <c r="M488" s="10">
        <f>IF($BI488="","",IF($B488="Onsite",INDEX(tbl_Onsite[Notes],$BI488),IF($B488="Production",INDEX(tbl_Production[Notes],$BI488),INDEX(tbl_Consulting[Notes],$BI488)))&amp;"")</f>
        <v/>
      </c>
      <c r="N488" s="11">
        <f>IF($BI488="","",IF(IF($B488="Onsite",INDEX(tbl_Onsite[Expected Revenue Ex GST],$BI488),IF($B488="Production",INDEX(tbl_Production[Expected Revenue Ex GST],$BI488),INDEX(tbl_Consulting[Expected Revenue Ex GST],$BI488)))="","",IF($B488="Onsite",INDEX(tbl_Onsite[Expected Revenue Ex GST],$BI488),IF($B488="Production",INDEX(tbl_Production[Expected Revenue Ex GST],$BI488),INDEX(tbl_Consulting[Expected Revenue Ex GST],$BI488)))))</f>
        <v/>
      </c>
      <c r="O488" s="11">
        <f>IF(AND($C488="",NOT(COUNTA($S488:$BB488)&gt;0)),"",SUM(U488,X488,AA488,AD488,AG488,AJ488,AM488,AP488,AS488,AV488,AY488,BB488))</f>
        <v/>
      </c>
      <c r="P488" s="11">
        <f>IF(O488="","",N(N488)-O488)</f>
        <v/>
      </c>
      <c r="Q488" s="10">
        <f>IF(O488="","",IF($C488="","Invoice on empty job row",IF(N488="",IF(ROUND(O488,2)=0,"No dept value","Invoiced - no dept value"),IF(ROUND(O488,2)=0,"Not invoiced - to invoice",IF(ROUND(P488,2)=0,"Agrees",IF(P488&gt;0,"Dept higher - to invoice","Xero higher - check dept"))))))</f>
        <v/>
      </c>
      <c r="R488" s="10">
        <f>IF(AND($C488="",NOT(COUNTA($S488:$BB488)&gt;0),$BI488&lt;&gt;""),"",MID(IF($BI488="","; Row ID not found on the department sheet - a row was deleted","")&amp;IF(AND($C488="",COUNTA($S488:$BB488)&gt;0),"; Invoice entered but the department row has no job number","")&amp;IF(E488="CHECK","; Job number not in the Xero job list","")&amp;IF(AND($C488&lt;&gt;"",COUNTIF($C$7:$C$1506,$C488)&gt;1),"; Job number on more than one row","")&amp;IF(AND($C488&lt;&gt;"",H488=""),"; Dept has not set a cost centre","")&amp;IF(AND($C488&lt;&gt;"",J488=""),"; Dept has not set a tax code","")&amp;IF(AND($C488&lt;&gt;"",N488=""),"; Dept has not entered an expected value","")&amp;IF((IF(OR(COUNTA(S488:U488)=0,AND(COUNTA(S488:U488)=3,ISNUMBER(U488))),0,1)+IF(OR(COUNTA(V488:X488)=0,AND(COUNTA(V488:X488)=3,ISNUMBER(X488))),0,1)+IF(OR(COUNTA(Y488:AA488)=0,AND(COUNTA(Y488:AA488)=3,ISNUMBER(AA488))),0,1)+IF(OR(COUNTA(AB488:AD488)=0,AND(COUNTA(AB488:AD488)=3,ISNUMBER(AD488))),0,1)+IF(OR(COUNTA(AE488:AG488)=0,AND(COUNTA(AE488:AG488)=3,ISNUMBER(AG488))),0,1)+IF(OR(COUNTA(AH488:AJ488)=0,AND(COUNTA(AH488:AJ488)=3,ISNUMBER(AJ488))),0,1)+IF(OR(COUNTA(AK488:AM488)=0,AND(COUNTA(AK488:AM488)=3,ISNUMBER(AM488))),0,1)+IF(OR(COUNTA(AN488:AP488)=0,AND(COUNTA(AN488:AP488)=3,ISNUMBER(AP488))),0,1)+IF(OR(COUNTA(AQ488:AS488)=0,AND(COUNTA(AQ488:AS488)=3,ISNUMBER(AS488))),0,1)+IF(OR(COUNTA(AT488:AV488)=0,AND(COUNTA(AT488:AV488)=3,ISNUMBER(AV488))),0,1)+IF(OR(COUNTA(AW488:AY488)=0,AND(COUNTA(AW488:AY488)=3,ISNUMBER(AY488))),0,1)+IF(OR(COUNTA(AZ488:BB488)=0,AND(COUNTA(AZ488:BB488)=3,ISNUMBER(BB488))),0,1))&gt;0,"; An invoice is incomplete (needs No, Date and a number in Ex GST)","")&amp;IF((IF(T488="",0,IFERROR(--(EOMONTH(T488,0)&lt;&gt;S$5),1))+IF(W488="",0,IFERROR(--(EOMONTH(W488,0)&lt;&gt;V$5),1))+IF(Z488="",0,IFERROR(--(EOMONTH(Z488,0)&lt;&gt;Y$5),1))+IF(AC488="",0,IFERROR(--(EOMONTH(AC488,0)&lt;&gt;AB$5),1))+IF(AF488="",0,IFERROR(--(EOMONTH(AF488,0)&lt;&gt;AE$5),1))+IF(AI488="",0,IFERROR(--(EOMONTH(AI488,0)&lt;&gt;AH$5),1))+IF(AL488="",0,IFERROR(--(EOMONTH(AL488,0)&lt;&gt;AK$5),1))+IF(AO488="",0,IFERROR(--(EOMONTH(AO488,0)&lt;&gt;AN$5),1))+IF(AR488="",0,IFERROR(--(EOMONTH(AR488,0)&lt;&gt;AQ$5),1))+IF(AU488="",0,IFERROR(--(EOMONTH(AU488,0)&lt;&gt;AT$5),1))+IF(AX488="",0,IFERROR(--(EOMONTH(AX488,0)&lt;&gt;AW$5),1))+IF(BA488="",0,IFERROR(--(EOMONTH(BA488,0)&lt;&gt;AZ$5),1)))&gt;0,"; An invoice date is not in the month it is typed under",""),3,500))</f>
        <v/>
      </c>
      <c r="S488" s="12" t="n"/>
      <c r="T488" s="13" t="n"/>
      <c r="U488" s="14" t="n"/>
      <c r="V488" s="12" t="n"/>
      <c r="W488" s="13" t="n"/>
      <c r="X488" s="14" t="n"/>
      <c r="Y488" s="12" t="n"/>
      <c r="Z488" s="13" t="n"/>
      <c r="AA488" s="14" t="n"/>
      <c r="AB488" s="12" t="n"/>
      <c r="AC488" s="13" t="n"/>
      <c r="AD488" s="14" t="n"/>
      <c r="AE488" s="12" t="n"/>
      <c r="AF488" s="13" t="n"/>
      <c r="AG488" s="14" t="n"/>
      <c r="AH488" s="12" t="n"/>
      <c r="AI488" s="13" t="n"/>
      <c r="AJ488" s="14" t="n"/>
      <c r="AK488" s="12" t="n"/>
      <c r="AL488" s="13" t="n"/>
      <c r="AM488" s="14" t="n"/>
      <c r="AN488" s="12" t="n"/>
      <c r="AO488" s="13" t="n"/>
      <c r="AP488" s="14" t="n"/>
      <c r="AQ488" s="12" t="n"/>
      <c r="AR488" s="13" t="n"/>
      <c r="AS488" s="14" t="n"/>
      <c r="AT488" s="12" t="n"/>
      <c r="AU488" s="13" t="n"/>
      <c r="AV488" s="14" t="n"/>
      <c r="AW488" s="12" t="n"/>
      <c r="AX488" s="13" t="n"/>
      <c r="AY488" s="14" t="n"/>
      <c r="AZ488" s="12" t="n"/>
      <c r="BA488" s="13" t="n"/>
      <c r="BB488" s="14" t="n"/>
      <c r="BC488" s="11">
        <f>IF(O488="","",IF(J488="GST 10%",ROUND(O488*set_GSTRate,2),0))</f>
        <v/>
      </c>
      <c r="BD488" s="11">
        <f>IF(O488="","",O488+BC488)</f>
        <v/>
      </c>
      <c r="BE488" s="15">
        <f>IF(O488="","",COUNTA(S488,V488,Y488,AB488,AE488,AH488,AK488,AN488,AQ488,AT488,AW488,AZ488))</f>
        <v/>
      </c>
      <c r="BF488" s="16">
        <f>IF(COUNT(T488,W488,Z488,AC488,AF488,AI488,AL488,AO488,AR488,AU488,AX488,BA488)=0,"",MAX(T488,W488,Z488,AC488,AF488,AI488,AL488,AO488,AR488,AU488,AX488,BA488))</f>
        <v/>
      </c>
      <c r="BG488" s="10">
        <f>MID(IF(S488="","",", "&amp;S488)&amp;IF(V488="","",", "&amp;V488)&amp;IF(Y488="","",", "&amp;Y488)&amp;IF(AB488="","",", "&amp;AB488)&amp;IF(AE488="","",", "&amp;AE488)&amp;IF(AH488="","",", "&amp;AH488)&amp;IF(AK488="","",", "&amp;AK488)&amp;IF(AN488="","",", "&amp;AN488)&amp;IF(AQ488="","",", "&amp;AQ488)&amp;IF(AT488="","",", "&amp;AT488)&amp;IF(AW488="","",", "&amp;AW488)&amp;IF(AZ488="","",", "&amp;AZ488),3,500)</f>
        <v/>
      </c>
      <c r="BH488" s="12" t="n"/>
      <c r="BI488" s="15">
        <f>IFERROR(MATCH($A488,IF($B488="Onsite",tbl_Onsite[Row ID],IF($B488="Production",tbl_Production[Row ID],tbl_Consulting[Row ID])),0),"")</f>
        <v/>
      </c>
    </row>
    <row r="489">
      <c r="A489" s="10" t="inlineStr">
        <is>
          <t>ONS-0483</t>
        </is>
      </c>
      <c r="B489" s="10" t="inlineStr">
        <is>
          <t>Onsite</t>
        </is>
      </c>
      <c r="C489" s="10">
        <f>IF($BI489="","",IF($B489="Onsite",INDEX(tbl_Onsite[Job Number],$BI489),IF($B489="Production",INDEX(tbl_Production[Job Number],$BI489),INDEX(tbl_Consulting[Job Number],$BI489)))&amp;"")</f>
        <v/>
      </c>
      <c r="D489" s="10">
        <f>IF($BI489="","",IF($B489="Onsite",INDEX(tbl_Onsite[Client],$BI489),IF($B489="Production",INDEX(tbl_Production[Client],$BI489),INDEX(tbl_Consulting[Client],$BI489)))&amp;"")</f>
        <v/>
      </c>
      <c r="E489" s="10">
        <f>IF($C489="","",IF(COUNTIF(lst_Jobs,$C489)&gt;0,"OK","CHECK"))</f>
        <v/>
      </c>
      <c r="F489" s="10">
        <f>IF($C489="","",IFERROR(INDEX(lst_JobName,MATCH($C489,lst_Jobs,0)),""))</f>
        <v/>
      </c>
      <c r="G489" s="10">
        <f>IF($BI489="","",IF($B489="Onsite",INDEX(tbl_Onsite[Job Description],$BI489),IF($B489="Production",INDEX(tbl_Production[Job Description],$BI489),INDEX(tbl_Consulting[Job Description],$BI489)))&amp;"")</f>
        <v/>
      </c>
      <c r="H489" s="10">
        <f>IF($BI489="","",IF($B489="Onsite",INDEX(tbl_Onsite[Cost Centre],$BI489),IF($B489="Production",INDEX(tbl_Production[Cost Centre],$BI489),INDEX(tbl_Consulting[Cost Centre],$BI489)))&amp;"")</f>
        <v/>
      </c>
      <c r="I489" s="10">
        <f>IF($BI489="","",IF($B489="Onsite",INDEX(tbl_Onsite[Invoice Type],$BI489),IF($B489="Production",INDEX(tbl_Production[Invoice Type],$BI489),INDEX(tbl_Consulting[Invoice Type],$BI489)))&amp;"")</f>
        <v/>
      </c>
      <c r="J489" s="10">
        <f>IF($BI489="","",IF($B489="Onsite",INDEX(tbl_Onsite[Tax Code],$BI489),IF($B489="Production",INDEX(tbl_Production[Tax Code],$BI489),INDEX(tbl_Consulting[Tax Code],$BI489)))&amp;"")</f>
        <v/>
      </c>
      <c r="K489" s="10">
        <f>IF(H489="","",IFERROR(INDEX(lst_CCtoGL,MATCH(H489,lst_CCforGL,0)),""))</f>
        <v/>
      </c>
      <c r="L489" s="10">
        <f>IF($BI489="","",IF($B489="Onsite",INDEX(tbl_Onsite[PO / Reference],$BI489),IF($B489="Production",INDEX(tbl_Production[Current RMS No],$BI489),INDEX(tbl_Consulting[Qwilr Quote],$BI489)))&amp;"")</f>
        <v/>
      </c>
      <c r="M489" s="10">
        <f>IF($BI489="","",IF($B489="Onsite",INDEX(tbl_Onsite[Notes],$BI489),IF($B489="Production",INDEX(tbl_Production[Notes],$BI489),INDEX(tbl_Consulting[Notes],$BI489)))&amp;"")</f>
        <v/>
      </c>
      <c r="N489" s="11">
        <f>IF($BI489="","",IF(IF($B489="Onsite",INDEX(tbl_Onsite[Expected Revenue Ex GST],$BI489),IF($B489="Production",INDEX(tbl_Production[Expected Revenue Ex GST],$BI489),INDEX(tbl_Consulting[Expected Revenue Ex GST],$BI489)))="","",IF($B489="Onsite",INDEX(tbl_Onsite[Expected Revenue Ex GST],$BI489),IF($B489="Production",INDEX(tbl_Production[Expected Revenue Ex GST],$BI489),INDEX(tbl_Consulting[Expected Revenue Ex GST],$BI489)))))</f>
        <v/>
      </c>
      <c r="O489" s="11">
        <f>IF(AND($C489="",NOT(COUNTA($S489:$BB489)&gt;0)),"",SUM(U489,X489,AA489,AD489,AG489,AJ489,AM489,AP489,AS489,AV489,AY489,BB489))</f>
        <v/>
      </c>
      <c r="P489" s="11">
        <f>IF(O489="","",N(N489)-O489)</f>
        <v/>
      </c>
      <c r="Q489" s="10">
        <f>IF(O489="","",IF($C489="","Invoice on empty job row",IF(N489="",IF(ROUND(O489,2)=0,"No dept value","Invoiced - no dept value"),IF(ROUND(O489,2)=0,"Not invoiced - to invoice",IF(ROUND(P489,2)=0,"Agrees",IF(P489&gt;0,"Dept higher - to invoice","Xero higher - check dept"))))))</f>
        <v/>
      </c>
      <c r="R489" s="10">
        <f>IF(AND($C489="",NOT(COUNTA($S489:$BB489)&gt;0),$BI489&lt;&gt;""),"",MID(IF($BI489="","; Row ID not found on the department sheet - a row was deleted","")&amp;IF(AND($C489="",COUNTA($S489:$BB489)&gt;0),"; Invoice entered but the department row has no job number","")&amp;IF(E489="CHECK","; Job number not in the Xero job list","")&amp;IF(AND($C489&lt;&gt;"",COUNTIF($C$7:$C$1506,$C489)&gt;1),"; Job number on more than one row","")&amp;IF(AND($C489&lt;&gt;"",H489=""),"; Dept has not set a cost centre","")&amp;IF(AND($C489&lt;&gt;"",J489=""),"; Dept has not set a tax code","")&amp;IF(AND($C489&lt;&gt;"",N489=""),"; Dept has not entered an expected value","")&amp;IF((IF(OR(COUNTA(S489:U489)=0,AND(COUNTA(S489:U489)=3,ISNUMBER(U489))),0,1)+IF(OR(COUNTA(V489:X489)=0,AND(COUNTA(V489:X489)=3,ISNUMBER(X489))),0,1)+IF(OR(COUNTA(Y489:AA489)=0,AND(COUNTA(Y489:AA489)=3,ISNUMBER(AA489))),0,1)+IF(OR(COUNTA(AB489:AD489)=0,AND(COUNTA(AB489:AD489)=3,ISNUMBER(AD489))),0,1)+IF(OR(COUNTA(AE489:AG489)=0,AND(COUNTA(AE489:AG489)=3,ISNUMBER(AG489))),0,1)+IF(OR(COUNTA(AH489:AJ489)=0,AND(COUNTA(AH489:AJ489)=3,ISNUMBER(AJ489))),0,1)+IF(OR(COUNTA(AK489:AM489)=0,AND(COUNTA(AK489:AM489)=3,ISNUMBER(AM489))),0,1)+IF(OR(COUNTA(AN489:AP489)=0,AND(COUNTA(AN489:AP489)=3,ISNUMBER(AP489))),0,1)+IF(OR(COUNTA(AQ489:AS489)=0,AND(COUNTA(AQ489:AS489)=3,ISNUMBER(AS489))),0,1)+IF(OR(COUNTA(AT489:AV489)=0,AND(COUNTA(AT489:AV489)=3,ISNUMBER(AV489))),0,1)+IF(OR(COUNTA(AW489:AY489)=0,AND(COUNTA(AW489:AY489)=3,ISNUMBER(AY489))),0,1)+IF(OR(COUNTA(AZ489:BB489)=0,AND(COUNTA(AZ489:BB489)=3,ISNUMBER(BB489))),0,1))&gt;0,"; An invoice is incomplete (needs No, Date and a number in Ex GST)","")&amp;IF((IF(T489="",0,IFERROR(--(EOMONTH(T489,0)&lt;&gt;S$5),1))+IF(W489="",0,IFERROR(--(EOMONTH(W489,0)&lt;&gt;V$5),1))+IF(Z489="",0,IFERROR(--(EOMONTH(Z489,0)&lt;&gt;Y$5),1))+IF(AC489="",0,IFERROR(--(EOMONTH(AC489,0)&lt;&gt;AB$5),1))+IF(AF489="",0,IFERROR(--(EOMONTH(AF489,0)&lt;&gt;AE$5),1))+IF(AI489="",0,IFERROR(--(EOMONTH(AI489,0)&lt;&gt;AH$5),1))+IF(AL489="",0,IFERROR(--(EOMONTH(AL489,0)&lt;&gt;AK$5),1))+IF(AO489="",0,IFERROR(--(EOMONTH(AO489,0)&lt;&gt;AN$5),1))+IF(AR489="",0,IFERROR(--(EOMONTH(AR489,0)&lt;&gt;AQ$5),1))+IF(AU489="",0,IFERROR(--(EOMONTH(AU489,0)&lt;&gt;AT$5),1))+IF(AX489="",0,IFERROR(--(EOMONTH(AX489,0)&lt;&gt;AW$5),1))+IF(BA489="",0,IFERROR(--(EOMONTH(BA489,0)&lt;&gt;AZ$5),1)))&gt;0,"; An invoice date is not in the month it is typed under",""),3,500))</f>
        <v/>
      </c>
      <c r="S489" s="12" t="n"/>
      <c r="T489" s="13" t="n"/>
      <c r="U489" s="14" t="n"/>
      <c r="V489" s="12" t="n"/>
      <c r="W489" s="13" t="n"/>
      <c r="X489" s="14" t="n"/>
      <c r="Y489" s="12" t="n"/>
      <c r="Z489" s="13" t="n"/>
      <c r="AA489" s="14" t="n"/>
      <c r="AB489" s="12" t="n"/>
      <c r="AC489" s="13" t="n"/>
      <c r="AD489" s="14" t="n"/>
      <c r="AE489" s="12" t="n"/>
      <c r="AF489" s="13" t="n"/>
      <c r="AG489" s="14" t="n"/>
      <c r="AH489" s="12" t="n"/>
      <c r="AI489" s="13" t="n"/>
      <c r="AJ489" s="14" t="n"/>
      <c r="AK489" s="12" t="n"/>
      <c r="AL489" s="13" t="n"/>
      <c r="AM489" s="14" t="n"/>
      <c r="AN489" s="12" t="n"/>
      <c r="AO489" s="13" t="n"/>
      <c r="AP489" s="14" t="n"/>
      <c r="AQ489" s="12" t="n"/>
      <c r="AR489" s="13" t="n"/>
      <c r="AS489" s="14" t="n"/>
      <c r="AT489" s="12" t="n"/>
      <c r="AU489" s="13" t="n"/>
      <c r="AV489" s="14" t="n"/>
      <c r="AW489" s="12" t="n"/>
      <c r="AX489" s="13" t="n"/>
      <c r="AY489" s="14" t="n"/>
      <c r="AZ489" s="12" t="n"/>
      <c r="BA489" s="13" t="n"/>
      <c r="BB489" s="14" t="n"/>
      <c r="BC489" s="11">
        <f>IF(O489="","",IF(J489="GST 10%",ROUND(O489*set_GSTRate,2),0))</f>
        <v/>
      </c>
      <c r="BD489" s="11">
        <f>IF(O489="","",O489+BC489)</f>
        <v/>
      </c>
      <c r="BE489" s="15">
        <f>IF(O489="","",COUNTA(S489,V489,Y489,AB489,AE489,AH489,AK489,AN489,AQ489,AT489,AW489,AZ489))</f>
        <v/>
      </c>
      <c r="BF489" s="16">
        <f>IF(COUNT(T489,W489,Z489,AC489,AF489,AI489,AL489,AO489,AR489,AU489,AX489,BA489)=0,"",MAX(T489,W489,Z489,AC489,AF489,AI489,AL489,AO489,AR489,AU489,AX489,BA489))</f>
        <v/>
      </c>
      <c r="BG489" s="10">
        <f>MID(IF(S489="","",", "&amp;S489)&amp;IF(V489="","",", "&amp;V489)&amp;IF(Y489="","",", "&amp;Y489)&amp;IF(AB489="","",", "&amp;AB489)&amp;IF(AE489="","",", "&amp;AE489)&amp;IF(AH489="","",", "&amp;AH489)&amp;IF(AK489="","",", "&amp;AK489)&amp;IF(AN489="","",", "&amp;AN489)&amp;IF(AQ489="","",", "&amp;AQ489)&amp;IF(AT489="","",", "&amp;AT489)&amp;IF(AW489="","",", "&amp;AW489)&amp;IF(AZ489="","",", "&amp;AZ489),3,500)</f>
        <v/>
      </c>
      <c r="BH489" s="12" t="n"/>
      <c r="BI489" s="15">
        <f>IFERROR(MATCH($A489,IF($B489="Onsite",tbl_Onsite[Row ID],IF($B489="Production",tbl_Production[Row ID],tbl_Consulting[Row ID])),0),"")</f>
        <v/>
      </c>
    </row>
    <row r="490">
      <c r="A490" s="10" t="inlineStr">
        <is>
          <t>ONS-0484</t>
        </is>
      </c>
      <c r="B490" s="10" t="inlineStr">
        <is>
          <t>Onsite</t>
        </is>
      </c>
      <c r="C490" s="10">
        <f>IF($BI490="","",IF($B490="Onsite",INDEX(tbl_Onsite[Job Number],$BI490),IF($B490="Production",INDEX(tbl_Production[Job Number],$BI490),INDEX(tbl_Consulting[Job Number],$BI490)))&amp;"")</f>
        <v/>
      </c>
      <c r="D490" s="10">
        <f>IF($BI490="","",IF($B490="Onsite",INDEX(tbl_Onsite[Client],$BI490),IF($B490="Production",INDEX(tbl_Production[Client],$BI490),INDEX(tbl_Consulting[Client],$BI490)))&amp;"")</f>
        <v/>
      </c>
      <c r="E490" s="10">
        <f>IF($C490="","",IF(COUNTIF(lst_Jobs,$C490)&gt;0,"OK","CHECK"))</f>
        <v/>
      </c>
      <c r="F490" s="10">
        <f>IF($C490="","",IFERROR(INDEX(lst_JobName,MATCH($C490,lst_Jobs,0)),""))</f>
        <v/>
      </c>
      <c r="G490" s="10">
        <f>IF($BI490="","",IF($B490="Onsite",INDEX(tbl_Onsite[Job Description],$BI490),IF($B490="Production",INDEX(tbl_Production[Job Description],$BI490),INDEX(tbl_Consulting[Job Description],$BI490)))&amp;"")</f>
        <v/>
      </c>
      <c r="H490" s="10">
        <f>IF($BI490="","",IF($B490="Onsite",INDEX(tbl_Onsite[Cost Centre],$BI490),IF($B490="Production",INDEX(tbl_Production[Cost Centre],$BI490),INDEX(tbl_Consulting[Cost Centre],$BI490)))&amp;"")</f>
        <v/>
      </c>
      <c r="I490" s="10">
        <f>IF($BI490="","",IF($B490="Onsite",INDEX(tbl_Onsite[Invoice Type],$BI490),IF($B490="Production",INDEX(tbl_Production[Invoice Type],$BI490),INDEX(tbl_Consulting[Invoice Type],$BI490)))&amp;"")</f>
        <v/>
      </c>
      <c r="J490" s="10">
        <f>IF($BI490="","",IF($B490="Onsite",INDEX(tbl_Onsite[Tax Code],$BI490),IF($B490="Production",INDEX(tbl_Production[Tax Code],$BI490),INDEX(tbl_Consulting[Tax Code],$BI490)))&amp;"")</f>
        <v/>
      </c>
      <c r="K490" s="10">
        <f>IF(H490="","",IFERROR(INDEX(lst_CCtoGL,MATCH(H490,lst_CCforGL,0)),""))</f>
        <v/>
      </c>
      <c r="L490" s="10">
        <f>IF($BI490="","",IF($B490="Onsite",INDEX(tbl_Onsite[PO / Reference],$BI490),IF($B490="Production",INDEX(tbl_Production[Current RMS No],$BI490),INDEX(tbl_Consulting[Qwilr Quote],$BI490)))&amp;"")</f>
        <v/>
      </c>
      <c r="M490" s="10">
        <f>IF($BI490="","",IF($B490="Onsite",INDEX(tbl_Onsite[Notes],$BI490),IF($B490="Production",INDEX(tbl_Production[Notes],$BI490),INDEX(tbl_Consulting[Notes],$BI490)))&amp;"")</f>
        <v/>
      </c>
      <c r="N490" s="11">
        <f>IF($BI490="","",IF(IF($B490="Onsite",INDEX(tbl_Onsite[Expected Revenue Ex GST],$BI490),IF($B490="Production",INDEX(tbl_Production[Expected Revenue Ex GST],$BI490),INDEX(tbl_Consulting[Expected Revenue Ex GST],$BI490)))="","",IF($B490="Onsite",INDEX(tbl_Onsite[Expected Revenue Ex GST],$BI490),IF($B490="Production",INDEX(tbl_Production[Expected Revenue Ex GST],$BI490),INDEX(tbl_Consulting[Expected Revenue Ex GST],$BI490)))))</f>
        <v/>
      </c>
      <c r="O490" s="11">
        <f>IF(AND($C490="",NOT(COUNTA($S490:$BB490)&gt;0)),"",SUM(U490,X490,AA490,AD490,AG490,AJ490,AM490,AP490,AS490,AV490,AY490,BB490))</f>
        <v/>
      </c>
      <c r="P490" s="11">
        <f>IF(O490="","",N(N490)-O490)</f>
        <v/>
      </c>
      <c r="Q490" s="10">
        <f>IF(O490="","",IF($C490="","Invoice on empty job row",IF(N490="",IF(ROUND(O490,2)=0,"No dept value","Invoiced - no dept value"),IF(ROUND(O490,2)=0,"Not invoiced - to invoice",IF(ROUND(P490,2)=0,"Agrees",IF(P490&gt;0,"Dept higher - to invoice","Xero higher - check dept"))))))</f>
        <v/>
      </c>
      <c r="R490" s="10">
        <f>IF(AND($C490="",NOT(COUNTA($S490:$BB490)&gt;0),$BI490&lt;&gt;""),"",MID(IF($BI490="","; Row ID not found on the department sheet - a row was deleted","")&amp;IF(AND($C490="",COUNTA($S490:$BB490)&gt;0),"; Invoice entered but the department row has no job number","")&amp;IF(E490="CHECK","; Job number not in the Xero job list","")&amp;IF(AND($C490&lt;&gt;"",COUNTIF($C$7:$C$1506,$C490)&gt;1),"; Job number on more than one row","")&amp;IF(AND($C490&lt;&gt;"",H490=""),"; Dept has not set a cost centre","")&amp;IF(AND($C490&lt;&gt;"",J490=""),"; Dept has not set a tax code","")&amp;IF(AND($C490&lt;&gt;"",N490=""),"; Dept has not entered an expected value","")&amp;IF((IF(OR(COUNTA(S490:U490)=0,AND(COUNTA(S490:U490)=3,ISNUMBER(U490))),0,1)+IF(OR(COUNTA(V490:X490)=0,AND(COUNTA(V490:X490)=3,ISNUMBER(X490))),0,1)+IF(OR(COUNTA(Y490:AA490)=0,AND(COUNTA(Y490:AA490)=3,ISNUMBER(AA490))),0,1)+IF(OR(COUNTA(AB490:AD490)=0,AND(COUNTA(AB490:AD490)=3,ISNUMBER(AD490))),0,1)+IF(OR(COUNTA(AE490:AG490)=0,AND(COUNTA(AE490:AG490)=3,ISNUMBER(AG490))),0,1)+IF(OR(COUNTA(AH490:AJ490)=0,AND(COUNTA(AH490:AJ490)=3,ISNUMBER(AJ490))),0,1)+IF(OR(COUNTA(AK490:AM490)=0,AND(COUNTA(AK490:AM490)=3,ISNUMBER(AM490))),0,1)+IF(OR(COUNTA(AN490:AP490)=0,AND(COUNTA(AN490:AP490)=3,ISNUMBER(AP490))),0,1)+IF(OR(COUNTA(AQ490:AS490)=0,AND(COUNTA(AQ490:AS490)=3,ISNUMBER(AS490))),0,1)+IF(OR(COUNTA(AT490:AV490)=0,AND(COUNTA(AT490:AV490)=3,ISNUMBER(AV490))),0,1)+IF(OR(COUNTA(AW490:AY490)=0,AND(COUNTA(AW490:AY490)=3,ISNUMBER(AY490))),0,1)+IF(OR(COUNTA(AZ490:BB490)=0,AND(COUNTA(AZ490:BB490)=3,ISNUMBER(BB490))),0,1))&gt;0,"; An invoice is incomplete (needs No, Date and a number in Ex GST)","")&amp;IF((IF(T490="",0,IFERROR(--(EOMONTH(T490,0)&lt;&gt;S$5),1))+IF(W490="",0,IFERROR(--(EOMONTH(W490,0)&lt;&gt;V$5),1))+IF(Z490="",0,IFERROR(--(EOMONTH(Z490,0)&lt;&gt;Y$5),1))+IF(AC490="",0,IFERROR(--(EOMONTH(AC490,0)&lt;&gt;AB$5),1))+IF(AF490="",0,IFERROR(--(EOMONTH(AF490,0)&lt;&gt;AE$5),1))+IF(AI490="",0,IFERROR(--(EOMONTH(AI490,0)&lt;&gt;AH$5),1))+IF(AL490="",0,IFERROR(--(EOMONTH(AL490,0)&lt;&gt;AK$5),1))+IF(AO490="",0,IFERROR(--(EOMONTH(AO490,0)&lt;&gt;AN$5),1))+IF(AR490="",0,IFERROR(--(EOMONTH(AR490,0)&lt;&gt;AQ$5),1))+IF(AU490="",0,IFERROR(--(EOMONTH(AU490,0)&lt;&gt;AT$5),1))+IF(AX490="",0,IFERROR(--(EOMONTH(AX490,0)&lt;&gt;AW$5),1))+IF(BA490="",0,IFERROR(--(EOMONTH(BA490,0)&lt;&gt;AZ$5),1)))&gt;0,"; An invoice date is not in the month it is typed under",""),3,500))</f>
        <v/>
      </c>
      <c r="S490" s="12" t="n"/>
      <c r="T490" s="13" t="n"/>
      <c r="U490" s="14" t="n"/>
      <c r="V490" s="12" t="n"/>
      <c r="W490" s="13" t="n"/>
      <c r="X490" s="14" t="n"/>
      <c r="Y490" s="12" t="n"/>
      <c r="Z490" s="13" t="n"/>
      <c r="AA490" s="14" t="n"/>
      <c r="AB490" s="12" t="n"/>
      <c r="AC490" s="13" t="n"/>
      <c r="AD490" s="14" t="n"/>
      <c r="AE490" s="12" t="n"/>
      <c r="AF490" s="13" t="n"/>
      <c r="AG490" s="14" t="n"/>
      <c r="AH490" s="12" t="n"/>
      <c r="AI490" s="13" t="n"/>
      <c r="AJ490" s="14" t="n"/>
      <c r="AK490" s="12" t="n"/>
      <c r="AL490" s="13" t="n"/>
      <c r="AM490" s="14" t="n"/>
      <c r="AN490" s="12" t="n"/>
      <c r="AO490" s="13" t="n"/>
      <c r="AP490" s="14" t="n"/>
      <c r="AQ490" s="12" t="n"/>
      <c r="AR490" s="13" t="n"/>
      <c r="AS490" s="14" t="n"/>
      <c r="AT490" s="12" t="n"/>
      <c r="AU490" s="13" t="n"/>
      <c r="AV490" s="14" t="n"/>
      <c r="AW490" s="12" t="n"/>
      <c r="AX490" s="13" t="n"/>
      <c r="AY490" s="14" t="n"/>
      <c r="AZ490" s="12" t="n"/>
      <c r="BA490" s="13" t="n"/>
      <c r="BB490" s="14" t="n"/>
      <c r="BC490" s="11">
        <f>IF(O490="","",IF(J490="GST 10%",ROUND(O490*set_GSTRate,2),0))</f>
        <v/>
      </c>
      <c r="BD490" s="11">
        <f>IF(O490="","",O490+BC490)</f>
        <v/>
      </c>
      <c r="BE490" s="15">
        <f>IF(O490="","",COUNTA(S490,V490,Y490,AB490,AE490,AH490,AK490,AN490,AQ490,AT490,AW490,AZ490))</f>
        <v/>
      </c>
      <c r="BF490" s="16">
        <f>IF(COUNT(T490,W490,Z490,AC490,AF490,AI490,AL490,AO490,AR490,AU490,AX490,BA490)=0,"",MAX(T490,W490,Z490,AC490,AF490,AI490,AL490,AO490,AR490,AU490,AX490,BA490))</f>
        <v/>
      </c>
      <c r="BG490" s="10">
        <f>MID(IF(S490="","",", "&amp;S490)&amp;IF(V490="","",", "&amp;V490)&amp;IF(Y490="","",", "&amp;Y490)&amp;IF(AB490="","",", "&amp;AB490)&amp;IF(AE490="","",", "&amp;AE490)&amp;IF(AH490="","",", "&amp;AH490)&amp;IF(AK490="","",", "&amp;AK490)&amp;IF(AN490="","",", "&amp;AN490)&amp;IF(AQ490="","",", "&amp;AQ490)&amp;IF(AT490="","",", "&amp;AT490)&amp;IF(AW490="","",", "&amp;AW490)&amp;IF(AZ490="","",", "&amp;AZ490),3,500)</f>
        <v/>
      </c>
      <c r="BH490" s="12" t="n"/>
      <c r="BI490" s="15">
        <f>IFERROR(MATCH($A490,IF($B490="Onsite",tbl_Onsite[Row ID],IF($B490="Production",tbl_Production[Row ID],tbl_Consulting[Row ID])),0),"")</f>
        <v/>
      </c>
    </row>
    <row r="491">
      <c r="A491" s="10" t="inlineStr">
        <is>
          <t>ONS-0485</t>
        </is>
      </c>
      <c r="B491" s="10" t="inlineStr">
        <is>
          <t>Onsite</t>
        </is>
      </c>
      <c r="C491" s="10">
        <f>IF($BI491="","",IF($B491="Onsite",INDEX(tbl_Onsite[Job Number],$BI491),IF($B491="Production",INDEX(tbl_Production[Job Number],$BI491),INDEX(tbl_Consulting[Job Number],$BI491)))&amp;"")</f>
        <v/>
      </c>
      <c r="D491" s="10">
        <f>IF($BI491="","",IF($B491="Onsite",INDEX(tbl_Onsite[Client],$BI491),IF($B491="Production",INDEX(tbl_Production[Client],$BI491),INDEX(tbl_Consulting[Client],$BI491)))&amp;"")</f>
        <v/>
      </c>
      <c r="E491" s="10">
        <f>IF($C491="","",IF(COUNTIF(lst_Jobs,$C491)&gt;0,"OK","CHECK"))</f>
        <v/>
      </c>
      <c r="F491" s="10">
        <f>IF($C491="","",IFERROR(INDEX(lst_JobName,MATCH($C491,lst_Jobs,0)),""))</f>
        <v/>
      </c>
      <c r="G491" s="10">
        <f>IF($BI491="","",IF($B491="Onsite",INDEX(tbl_Onsite[Job Description],$BI491),IF($B491="Production",INDEX(tbl_Production[Job Description],$BI491),INDEX(tbl_Consulting[Job Description],$BI491)))&amp;"")</f>
        <v/>
      </c>
      <c r="H491" s="10">
        <f>IF($BI491="","",IF($B491="Onsite",INDEX(tbl_Onsite[Cost Centre],$BI491),IF($B491="Production",INDEX(tbl_Production[Cost Centre],$BI491),INDEX(tbl_Consulting[Cost Centre],$BI491)))&amp;"")</f>
        <v/>
      </c>
      <c r="I491" s="10">
        <f>IF($BI491="","",IF($B491="Onsite",INDEX(tbl_Onsite[Invoice Type],$BI491),IF($B491="Production",INDEX(tbl_Production[Invoice Type],$BI491),INDEX(tbl_Consulting[Invoice Type],$BI491)))&amp;"")</f>
        <v/>
      </c>
      <c r="J491" s="10">
        <f>IF($BI491="","",IF($B491="Onsite",INDEX(tbl_Onsite[Tax Code],$BI491),IF($B491="Production",INDEX(tbl_Production[Tax Code],$BI491),INDEX(tbl_Consulting[Tax Code],$BI491)))&amp;"")</f>
        <v/>
      </c>
      <c r="K491" s="10">
        <f>IF(H491="","",IFERROR(INDEX(lst_CCtoGL,MATCH(H491,lst_CCforGL,0)),""))</f>
        <v/>
      </c>
      <c r="L491" s="10">
        <f>IF($BI491="","",IF($B491="Onsite",INDEX(tbl_Onsite[PO / Reference],$BI491),IF($B491="Production",INDEX(tbl_Production[Current RMS No],$BI491),INDEX(tbl_Consulting[Qwilr Quote],$BI491)))&amp;"")</f>
        <v/>
      </c>
      <c r="M491" s="10">
        <f>IF($BI491="","",IF($B491="Onsite",INDEX(tbl_Onsite[Notes],$BI491),IF($B491="Production",INDEX(tbl_Production[Notes],$BI491),INDEX(tbl_Consulting[Notes],$BI491)))&amp;"")</f>
        <v/>
      </c>
      <c r="N491" s="11">
        <f>IF($BI491="","",IF(IF($B491="Onsite",INDEX(tbl_Onsite[Expected Revenue Ex GST],$BI491),IF($B491="Production",INDEX(tbl_Production[Expected Revenue Ex GST],$BI491),INDEX(tbl_Consulting[Expected Revenue Ex GST],$BI491)))="","",IF($B491="Onsite",INDEX(tbl_Onsite[Expected Revenue Ex GST],$BI491),IF($B491="Production",INDEX(tbl_Production[Expected Revenue Ex GST],$BI491),INDEX(tbl_Consulting[Expected Revenue Ex GST],$BI491)))))</f>
        <v/>
      </c>
      <c r="O491" s="11">
        <f>IF(AND($C491="",NOT(COUNTA($S491:$BB491)&gt;0)),"",SUM(U491,X491,AA491,AD491,AG491,AJ491,AM491,AP491,AS491,AV491,AY491,BB491))</f>
        <v/>
      </c>
      <c r="P491" s="11">
        <f>IF(O491="","",N(N491)-O491)</f>
        <v/>
      </c>
      <c r="Q491" s="10">
        <f>IF(O491="","",IF($C491="","Invoice on empty job row",IF(N491="",IF(ROUND(O491,2)=0,"No dept value","Invoiced - no dept value"),IF(ROUND(O491,2)=0,"Not invoiced - to invoice",IF(ROUND(P491,2)=0,"Agrees",IF(P491&gt;0,"Dept higher - to invoice","Xero higher - check dept"))))))</f>
        <v/>
      </c>
      <c r="R491" s="10">
        <f>IF(AND($C491="",NOT(COUNTA($S491:$BB491)&gt;0),$BI491&lt;&gt;""),"",MID(IF($BI491="","; Row ID not found on the department sheet - a row was deleted","")&amp;IF(AND($C491="",COUNTA($S491:$BB491)&gt;0),"; Invoice entered but the department row has no job number","")&amp;IF(E491="CHECK","; Job number not in the Xero job list","")&amp;IF(AND($C491&lt;&gt;"",COUNTIF($C$7:$C$1506,$C491)&gt;1),"; Job number on more than one row","")&amp;IF(AND($C491&lt;&gt;"",H491=""),"; Dept has not set a cost centre","")&amp;IF(AND($C491&lt;&gt;"",J491=""),"; Dept has not set a tax code","")&amp;IF(AND($C491&lt;&gt;"",N491=""),"; Dept has not entered an expected value","")&amp;IF((IF(OR(COUNTA(S491:U491)=0,AND(COUNTA(S491:U491)=3,ISNUMBER(U491))),0,1)+IF(OR(COUNTA(V491:X491)=0,AND(COUNTA(V491:X491)=3,ISNUMBER(X491))),0,1)+IF(OR(COUNTA(Y491:AA491)=0,AND(COUNTA(Y491:AA491)=3,ISNUMBER(AA491))),0,1)+IF(OR(COUNTA(AB491:AD491)=0,AND(COUNTA(AB491:AD491)=3,ISNUMBER(AD491))),0,1)+IF(OR(COUNTA(AE491:AG491)=0,AND(COUNTA(AE491:AG491)=3,ISNUMBER(AG491))),0,1)+IF(OR(COUNTA(AH491:AJ491)=0,AND(COUNTA(AH491:AJ491)=3,ISNUMBER(AJ491))),0,1)+IF(OR(COUNTA(AK491:AM491)=0,AND(COUNTA(AK491:AM491)=3,ISNUMBER(AM491))),0,1)+IF(OR(COUNTA(AN491:AP491)=0,AND(COUNTA(AN491:AP491)=3,ISNUMBER(AP491))),0,1)+IF(OR(COUNTA(AQ491:AS491)=0,AND(COUNTA(AQ491:AS491)=3,ISNUMBER(AS491))),0,1)+IF(OR(COUNTA(AT491:AV491)=0,AND(COUNTA(AT491:AV491)=3,ISNUMBER(AV491))),0,1)+IF(OR(COUNTA(AW491:AY491)=0,AND(COUNTA(AW491:AY491)=3,ISNUMBER(AY491))),0,1)+IF(OR(COUNTA(AZ491:BB491)=0,AND(COUNTA(AZ491:BB491)=3,ISNUMBER(BB491))),0,1))&gt;0,"; An invoice is incomplete (needs No, Date and a number in Ex GST)","")&amp;IF((IF(T491="",0,IFERROR(--(EOMONTH(T491,0)&lt;&gt;S$5),1))+IF(W491="",0,IFERROR(--(EOMONTH(W491,0)&lt;&gt;V$5),1))+IF(Z491="",0,IFERROR(--(EOMONTH(Z491,0)&lt;&gt;Y$5),1))+IF(AC491="",0,IFERROR(--(EOMONTH(AC491,0)&lt;&gt;AB$5),1))+IF(AF491="",0,IFERROR(--(EOMONTH(AF491,0)&lt;&gt;AE$5),1))+IF(AI491="",0,IFERROR(--(EOMONTH(AI491,0)&lt;&gt;AH$5),1))+IF(AL491="",0,IFERROR(--(EOMONTH(AL491,0)&lt;&gt;AK$5),1))+IF(AO491="",0,IFERROR(--(EOMONTH(AO491,0)&lt;&gt;AN$5),1))+IF(AR491="",0,IFERROR(--(EOMONTH(AR491,0)&lt;&gt;AQ$5),1))+IF(AU491="",0,IFERROR(--(EOMONTH(AU491,0)&lt;&gt;AT$5),1))+IF(AX491="",0,IFERROR(--(EOMONTH(AX491,0)&lt;&gt;AW$5),1))+IF(BA491="",0,IFERROR(--(EOMONTH(BA491,0)&lt;&gt;AZ$5),1)))&gt;0,"; An invoice date is not in the month it is typed under",""),3,500))</f>
        <v/>
      </c>
      <c r="S491" s="12" t="n"/>
      <c r="T491" s="13" t="n"/>
      <c r="U491" s="14" t="n"/>
      <c r="V491" s="12" t="n"/>
      <c r="W491" s="13" t="n"/>
      <c r="X491" s="14" t="n"/>
      <c r="Y491" s="12" t="n"/>
      <c r="Z491" s="13" t="n"/>
      <c r="AA491" s="14" t="n"/>
      <c r="AB491" s="12" t="n"/>
      <c r="AC491" s="13" t="n"/>
      <c r="AD491" s="14" t="n"/>
      <c r="AE491" s="12" t="n"/>
      <c r="AF491" s="13" t="n"/>
      <c r="AG491" s="14" t="n"/>
      <c r="AH491" s="12" t="n"/>
      <c r="AI491" s="13" t="n"/>
      <c r="AJ491" s="14" t="n"/>
      <c r="AK491" s="12" t="n"/>
      <c r="AL491" s="13" t="n"/>
      <c r="AM491" s="14" t="n"/>
      <c r="AN491" s="12" t="n"/>
      <c r="AO491" s="13" t="n"/>
      <c r="AP491" s="14" t="n"/>
      <c r="AQ491" s="12" t="n"/>
      <c r="AR491" s="13" t="n"/>
      <c r="AS491" s="14" t="n"/>
      <c r="AT491" s="12" t="n"/>
      <c r="AU491" s="13" t="n"/>
      <c r="AV491" s="14" t="n"/>
      <c r="AW491" s="12" t="n"/>
      <c r="AX491" s="13" t="n"/>
      <c r="AY491" s="14" t="n"/>
      <c r="AZ491" s="12" t="n"/>
      <c r="BA491" s="13" t="n"/>
      <c r="BB491" s="14" t="n"/>
      <c r="BC491" s="11">
        <f>IF(O491="","",IF(J491="GST 10%",ROUND(O491*set_GSTRate,2),0))</f>
        <v/>
      </c>
      <c r="BD491" s="11">
        <f>IF(O491="","",O491+BC491)</f>
        <v/>
      </c>
      <c r="BE491" s="15">
        <f>IF(O491="","",COUNTA(S491,V491,Y491,AB491,AE491,AH491,AK491,AN491,AQ491,AT491,AW491,AZ491))</f>
        <v/>
      </c>
      <c r="BF491" s="16">
        <f>IF(COUNT(T491,W491,Z491,AC491,AF491,AI491,AL491,AO491,AR491,AU491,AX491,BA491)=0,"",MAX(T491,W491,Z491,AC491,AF491,AI491,AL491,AO491,AR491,AU491,AX491,BA491))</f>
        <v/>
      </c>
      <c r="BG491" s="10">
        <f>MID(IF(S491="","",", "&amp;S491)&amp;IF(V491="","",", "&amp;V491)&amp;IF(Y491="","",", "&amp;Y491)&amp;IF(AB491="","",", "&amp;AB491)&amp;IF(AE491="","",", "&amp;AE491)&amp;IF(AH491="","",", "&amp;AH491)&amp;IF(AK491="","",", "&amp;AK491)&amp;IF(AN491="","",", "&amp;AN491)&amp;IF(AQ491="","",", "&amp;AQ491)&amp;IF(AT491="","",", "&amp;AT491)&amp;IF(AW491="","",", "&amp;AW491)&amp;IF(AZ491="","",", "&amp;AZ491),3,500)</f>
        <v/>
      </c>
      <c r="BH491" s="12" t="n"/>
      <c r="BI491" s="15">
        <f>IFERROR(MATCH($A491,IF($B491="Onsite",tbl_Onsite[Row ID],IF($B491="Production",tbl_Production[Row ID],tbl_Consulting[Row ID])),0),"")</f>
        <v/>
      </c>
    </row>
    <row r="492">
      <c r="A492" s="10" t="inlineStr">
        <is>
          <t>ONS-0486</t>
        </is>
      </c>
      <c r="B492" s="10" t="inlineStr">
        <is>
          <t>Onsite</t>
        </is>
      </c>
      <c r="C492" s="10">
        <f>IF($BI492="","",IF($B492="Onsite",INDEX(tbl_Onsite[Job Number],$BI492),IF($B492="Production",INDEX(tbl_Production[Job Number],$BI492),INDEX(tbl_Consulting[Job Number],$BI492)))&amp;"")</f>
        <v/>
      </c>
      <c r="D492" s="10">
        <f>IF($BI492="","",IF($B492="Onsite",INDEX(tbl_Onsite[Client],$BI492),IF($B492="Production",INDEX(tbl_Production[Client],$BI492),INDEX(tbl_Consulting[Client],$BI492)))&amp;"")</f>
        <v/>
      </c>
      <c r="E492" s="10">
        <f>IF($C492="","",IF(COUNTIF(lst_Jobs,$C492)&gt;0,"OK","CHECK"))</f>
        <v/>
      </c>
      <c r="F492" s="10">
        <f>IF($C492="","",IFERROR(INDEX(lst_JobName,MATCH($C492,lst_Jobs,0)),""))</f>
        <v/>
      </c>
      <c r="G492" s="10">
        <f>IF($BI492="","",IF($B492="Onsite",INDEX(tbl_Onsite[Job Description],$BI492),IF($B492="Production",INDEX(tbl_Production[Job Description],$BI492),INDEX(tbl_Consulting[Job Description],$BI492)))&amp;"")</f>
        <v/>
      </c>
      <c r="H492" s="10">
        <f>IF($BI492="","",IF($B492="Onsite",INDEX(tbl_Onsite[Cost Centre],$BI492),IF($B492="Production",INDEX(tbl_Production[Cost Centre],$BI492),INDEX(tbl_Consulting[Cost Centre],$BI492)))&amp;"")</f>
        <v/>
      </c>
      <c r="I492" s="10">
        <f>IF($BI492="","",IF($B492="Onsite",INDEX(tbl_Onsite[Invoice Type],$BI492),IF($B492="Production",INDEX(tbl_Production[Invoice Type],$BI492),INDEX(tbl_Consulting[Invoice Type],$BI492)))&amp;"")</f>
        <v/>
      </c>
      <c r="J492" s="10">
        <f>IF($BI492="","",IF($B492="Onsite",INDEX(tbl_Onsite[Tax Code],$BI492),IF($B492="Production",INDEX(tbl_Production[Tax Code],$BI492),INDEX(tbl_Consulting[Tax Code],$BI492)))&amp;"")</f>
        <v/>
      </c>
      <c r="K492" s="10">
        <f>IF(H492="","",IFERROR(INDEX(lst_CCtoGL,MATCH(H492,lst_CCforGL,0)),""))</f>
        <v/>
      </c>
      <c r="L492" s="10">
        <f>IF($BI492="","",IF($B492="Onsite",INDEX(tbl_Onsite[PO / Reference],$BI492),IF($B492="Production",INDEX(tbl_Production[Current RMS No],$BI492),INDEX(tbl_Consulting[Qwilr Quote],$BI492)))&amp;"")</f>
        <v/>
      </c>
      <c r="M492" s="10">
        <f>IF($BI492="","",IF($B492="Onsite",INDEX(tbl_Onsite[Notes],$BI492),IF($B492="Production",INDEX(tbl_Production[Notes],$BI492),INDEX(tbl_Consulting[Notes],$BI492)))&amp;"")</f>
        <v/>
      </c>
      <c r="N492" s="11">
        <f>IF($BI492="","",IF(IF($B492="Onsite",INDEX(tbl_Onsite[Expected Revenue Ex GST],$BI492),IF($B492="Production",INDEX(tbl_Production[Expected Revenue Ex GST],$BI492),INDEX(tbl_Consulting[Expected Revenue Ex GST],$BI492)))="","",IF($B492="Onsite",INDEX(tbl_Onsite[Expected Revenue Ex GST],$BI492),IF($B492="Production",INDEX(tbl_Production[Expected Revenue Ex GST],$BI492),INDEX(tbl_Consulting[Expected Revenue Ex GST],$BI492)))))</f>
        <v/>
      </c>
      <c r="O492" s="11">
        <f>IF(AND($C492="",NOT(COUNTA($S492:$BB492)&gt;0)),"",SUM(U492,X492,AA492,AD492,AG492,AJ492,AM492,AP492,AS492,AV492,AY492,BB492))</f>
        <v/>
      </c>
      <c r="P492" s="11">
        <f>IF(O492="","",N(N492)-O492)</f>
        <v/>
      </c>
      <c r="Q492" s="10">
        <f>IF(O492="","",IF($C492="","Invoice on empty job row",IF(N492="",IF(ROUND(O492,2)=0,"No dept value","Invoiced - no dept value"),IF(ROUND(O492,2)=0,"Not invoiced - to invoice",IF(ROUND(P492,2)=0,"Agrees",IF(P492&gt;0,"Dept higher - to invoice","Xero higher - check dept"))))))</f>
        <v/>
      </c>
      <c r="R492" s="10">
        <f>IF(AND($C492="",NOT(COUNTA($S492:$BB492)&gt;0),$BI492&lt;&gt;""),"",MID(IF($BI492="","; Row ID not found on the department sheet - a row was deleted","")&amp;IF(AND($C492="",COUNTA($S492:$BB492)&gt;0),"; Invoice entered but the department row has no job number","")&amp;IF(E492="CHECK","; Job number not in the Xero job list","")&amp;IF(AND($C492&lt;&gt;"",COUNTIF($C$7:$C$1506,$C492)&gt;1),"; Job number on more than one row","")&amp;IF(AND($C492&lt;&gt;"",H492=""),"; Dept has not set a cost centre","")&amp;IF(AND($C492&lt;&gt;"",J492=""),"; Dept has not set a tax code","")&amp;IF(AND($C492&lt;&gt;"",N492=""),"; Dept has not entered an expected value","")&amp;IF((IF(OR(COUNTA(S492:U492)=0,AND(COUNTA(S492:U492)=3,ISNUMBER(U492))),0,1)+IF(OR(COUNTA(V492:X492)=0,AND(COUNTA(V492:X492)=3,ISNUMBER(X492))),0,1)+IF(OR(COUNTA(Y492:AA492)=0,AND(COUNTA(Y492:AA492)=3,ISNUMBER(AA492))),0,1)+IF(OR(COUNTA(AB492:AD492)=0,AND(COUNTA(AB492:AD492)=3,ISNUMBER(AD492))),0,1)+IF(OR(COUNTA(AE492:AG492)=0,AND(COUNTA(AE492:AG492)=3,ISNUMBER(AG492))),0,1)+IF(OR(COUNTA(AH492:AJ492)=0,AND(COUNTA(AH492:AJ492)=3,ISNUMBER(AJ492))),0,1)+IF(OR(COUNTA(AK492:AM492)=0,AND(COUNTA(AK492:AM492)=3,ISNUMBER(AM492))),0,1)+IF(OR(COUNTA(AN492:AP492)=0,AND(COUNTA(AN492:AP492)=3,ISNUMBER(AP492))),0,1)+IF(OR(COUNTA(AQ492:AS492)=0,AND(COUNTA(AQ492:AS492)=3,ISNUMBER(AS492))),0,1)+IF(OR(COUNTA(AT492:AV492)=0,AND(COUNTA(AT492:AV492)=3,ISNUMBER(AV492))),0,1)+IF(OR(COUNTA(AW492:AY492)=0,AND(COUNTA(AW492:AY492)=3,ISNUMBER(AY492))),0,1)+IF(OR(COUNTA(AZ492:BB492)=0,AND(COUNTA(AZ492:BB492)=3,ISNUMBER(BB492))),0,1))&gt;0,"; An invoice is incomplete (needs No, Date and a number in Ex GST)","")&amp;IF((IF(T492="",0,IFERROR(--(EOMONTH(T492,0)&lt;&gt;S$5),1))+IF(W492="",0,IFERROR(--(EOMONTH(W492,0)&lt;&gt;V$5),1))+IF(Z492="",0,IFERROR(--(EOMONTH(Z492,0)&lt;&gt;Y$5),1))+IF(AC492="",0,IFERROR(--(EOMONTH(AC492,0)&lt;&gt;AB$5),1))+IF(AF492="",0,IFERROR(--(EOMONTH(AF492,0)&lt;&gt;AE$5),1))+IF(AI492="",0,IFERROR(--(EOMONTH(AI492,0)&lt;&gt;AH$5),1))+IF(AL492="",0,IFERROR(--(EOMONTH(AL492,0)&lt;&gt;AK$5),1))+IF(AO492="",0,IFERROR(--(EOMONTH(AO492,0)&lt;&gt;AN$5),1))+IF(AR492="",0,IFERROR(--(EOMONTH(AR492,0)&lt;&gt;AQ$5),1))+IF(AU492="",0,IFERROR(--(EOMONTH(AU492,0)&lt;&gt;AT$5),1))+IF(AX492="",0,IFERROR(--(EOMONTH(AX492,0)&lt;&gt;AW$5),1))+IF(BA492="",0,IFERROR(--(EOMONTH(BA492,0)&lt;&gt;AZ$5),1)))&gt;0,"; An invoice date is not in the month it is typed under",""),3,500))</f>
        <v/>
      </c>
      <c r="S492" s="12" t="n"/>
      <c r="T492" s="13" t="n"/>
      <c r="U492" s="14" t="n"/>
      <c r="V492" s="12" t="n"/>
      <c r="W492" s="13" t="n"/>
      <c r="X492" s="14" t="n"/>
      <c r="Y492" s="12" t="n"/>
      <c r="Z492" s="13" t="n"/>
      <c r="AA492" s="14" t="n"/>
      <c r="AB492" s="12" t="n"/>
      <c r="AC492" s="13" t="n"/>
      <c r="AD492" s="14" t="n"/>
      <c r="AE492" s="12" t="n"/>
      <c r="AF492" s="13" t="n"/>
      <c r="AG492" s="14" t="n"/>
      <c r="AH492" s="12" t="n"/>
      <c r="AI492" s="13" t="n"/>
      <c r="AJ492" s="14" t="n"/>
      <c r="AK492" s="12" t="n"/>
      <c r="AL492" s="13" t="n"/>
      <c r="AM492" s="14" t="n"/>
      <c r="AN492" s="12" t="n"/>
      <c r="AO492" s="13" t="n"/>
      <c r="AP492" s="14" t="n"/>
      <c r="AQ492" s="12" t="n"/>
      <c r="AR492" s="13" t="n"/>
      <c r="AS492" s="14" t="n"/>
      <c r="AT492" s="12" t="n"/>
      <c r="AU492" s="13" t="n"/>
      <c r="AV492" s="14" t="n"/>
      <c r="AW492" s="12" t="n"/>
      <c r="AX492" s="13" t="n"/>
      <c r="AY492" s="14" t="n"/>
      <c r="AZ492" s="12" t="n"/>
      <c r="BA492" s="13" t="n"/>
      <c r="BB492" s="14" t="n"/>
      <c r="BC492" s="11">
        <f>IF(O492="","",IF(J492="GST 10%",ROUND(O492*set_GSTRate,2),0))</f>
        <v/>
      </c>
      <c r="BD492" s="11">
        <f>IF(O492="","",O492+BC492)</f>
        <v/>
      </c>
      <c r="BE492" s="15">
        <f>IF(O492="","",COUNTA(S492,V492,Y492,AB492,AE492,AH492,AK492,AN492,AQ492,AT492,AW492,AZ492))</f>
        <v/>
      </c>
      <c r="BF492" s="16">
        <f>IF(COUNT(T492,W492,Z492,AC492,AF492,AI492,AL492,AO492,AR492,AU492,AX492,BA492)=0,"",MAX(T492,W492,Z492,AC492,AF492,AI492,AL492,AO492,AR492,AU492,AX492,BA492))</f>
        <v/>
      </c>
      <c r="BG492" s="10">
        <f>MID(IF(S492="","",", "&amp;S492)&amp;IF(V492="","",", "&amp;V492)&amp;IF(Y492="","",", "&amp;Y492)&amp;IF(AB492="","",", "&amp;AB492)&amp;IF(AE492="","",", "&amp;AE492)&amp;IF(AH492="","",", "&amp;AH492)&amp;IF(AK492="","",", "&amp;AK492)&amp;IF(AN492="","",", "&amp;AN492)&amp;IF(AQ492="","",", "&amp;AQ492)&amp;IF(AT492="","",", "&amp;AT492)&amp;IF(AW492="","",", "&amp;AW492)&amp;IF(AZ492="","",", "&amp;AZ492),3,500)</f>
        <v/>
      </c>
      <c r="BH492" s="12" t="n"/>
      <c r="BI492" s="15">
        <f>IFERROR(MATCH($A492,IF($B492="Onsite",tbl_Onsite[Row ID],IF($B492="Production",tbl_Production[Row ID],tbl_Consulting[Row ID])),0),"")</f>
        <v/>
      </c>
    </row>
    <row r="493">
      <c r="A493" s="10" t="inlineStr">
        <is>
          <t>ONS-0487</t>
        </is>
      </c>
      <c r="B493" s="10" t="inlineStr">
        <is>
          <t>Onsite</t>
        </is>
      </c>
      <c r="C493" s="10">
        <f>IF($BI493="","",IF($B493="Onsite",INDEX(tbl_Onsite[Job Number],$BI493),IF($B493="Production",INDEX(tbl_Production[Job Number],$BI493),INDEX(tbl_Consulting[Job Number],$BI493)))&amp;"")</f>
        <v/>
      </c>
      <c r="D493" s="10">
        <f>IF($BI493="","",IF($B493="Onsite",INDEX(tbl_Onsite[Client],$BI493),IF($B493="Production",INDEX(tbl_Production[Client],$BI493),INDEX(tbl_Consulting[Client],$BI493)))&amp;"")</f>
        <v/>
      </c>
      <c r="E493" s="10">
        <f>IF($C493="","",IF(COUNTIF(lst_Jobs,$C493)&gt;0,"OK","CHECK"))</f>
        <v/>
      </c>
      <c r="F493" s="10">
        <f>IF($C493="","",IFERROR(INDEX(lst_JobName,MATCH($C493,lst_Jobs,0)),""))</f>
        <v/>
      </c>
      <c r="G493" s="10">
        <f>IF($BI493="","",IF($B493="Onsite",INDEX(tbl_Onsite[Job Description],$BI493),IF($B493="Production",INDEX(tbl_Production[Job Description],$BI493),INDEX(tbl_Consulting[Job Description],$BI493)))&amp;"")</f>
        <v/>
      </c>
      <c r="H493" s="10">
        <f>IF($BI493="","",IF($B493="Onsite",INDEX(tbl_Onsite[Cost Centre],$BI493),IF($B493="Production",INDEX(tbl_Production[Cost Centre],$BI493),INDEX(tbl_Consulting[Cost Centre],$BI493)))&amp;"")</f>
        <v/>
      </c>
      <c r="I493" s="10">
        <f>IF($BI493="","",IF($B493="Onsite",INDEX(tbl_Onsite[Invoice Type],$BI493),IF($B493="Production",INDEX(tbl_Production[Invoice Type],$BI493),INDEX(tbl_Consulting[Invoice Type],$BI493)))&amp;"")</f>
        <v/>
      </c>
      <c r="J493" s="10">
        <f>IF($BI493="","",IF($B493="Onsite",INDEX(tbl_Onsite[Tax Code],$BI493),IF($B493="Production",INDEX(tbl_Production[Tax Code],$BI493),INDEX(tbl_Consulting[Tax Code],$BI493)))&amp;"")</f>
        <v/>
      </c>
      <c r="K493" s="10">
        <f>IF(H493="","",IFERROR(INDEX(lst_CCtoGL,MATCH(H493,lst_CCforGL,0)),""))</f>
        <v/>
      </c>
      <c r="L493" s="10">
        <f>IF($BI493="","",IF($B493="Onsite",INDEX(tbl_Onsite[PO / Reference],$BI493),IF($B493="Production",INDEX(tbl_Production[Current RMS No],$BI493),INDEX(tbl_Consulting[Qwilr Quote],$BI493)))&amp;"")</f>
        <v/>
      </c>
      <c r="M493" s="10">
        <f>IF($BI493="","",IF($B493="Onsite",INDEX(tbl_Onsite[Notes],$BI493),IF($B493="Production",INDEX(tbl_Production[Notes],$BI493),INDEX(tbl_Consulting[Notes],$BI493)))&amp;"")</f>
        <v/>
      </c>
      <c r="N493" s="11">
        <f>IF($BI493="","",IF(IF($B493="Onsite",INDEX(tbl_Onsite[Expected Revenue Ex GST],$BI493),IF($B493="Production",INDEX(tbl_Production[Expected Revenue Ex GST],$BI493),INDEX(tbl_Consulting[Expected Revenue Ex GST],$BI493)))="","",IF($B493="Onsite",INDEX(tbl_Onsite[Expected Revenue Ex GST],$BI493),IF($B493="Production",INDEX(tbl_Production[Expected Revenue Ex GST],$BI493),INDEX(tbl_Consulting[Expected Revenue Ex GST],$BI493)))))</f>
        <v/>
      </c>
      <c r="O493" s="11">
        <f>IF(AND($C493="",NOT(COUNTA($S493:$BB493)&gt;0)),"",SUM(U493,X493,AA493,AD493,AG493,AJ493,AM493,AP493,AS493,AV493,AY493,BB493))</f>
        <v/>
      </c>
      <c r="P493" s="11">
        <f>IF(O493="","",N(N493)-O493)</f>
        <v/>
      </c>
      <c r="Q493" s="10">
        <f>IF(O493="","",IF($C493="","Invoice on empty job row",IF(N493="",IF(ROUND(O493,2)=0,"No dept value","Invoiced - no dept value"),IF(ROUND(O493,2)=0,"Not invoiced - to invoice",IF(ROUND(P493,2)=0,"Agrees",IF(P493&gt;0,"Dept higher - to invoice","Xero higher - check dept"))))))</f>
        <v/>
      </c>
      <c r="R493" s="10">
        <f>IF(AND($C493="",NOT(COUNTA($S493:$BB493)&gt;0),$BI493&lt;&gt;""),"",MID(IF($BI493="","; Row ID not found on the department sheet - a row was deleted","")&amp;IF(AND($C493="",COUNTA($S493:$BB493)&gt;0),"; Invoice entered but the department row has no job number","")&amp;IF(E493="CHECK","; Job number not in the Xero job list","")&amp;IF(AND($C493&lt;&gt;"",COUNTIF($C$7:$C$1506,$C493)&gt;1),"; Job number on more than one row","")&amp;IF(AND($C493&lt;&gt;"",H493=""),"; Dept has not set a cost centre","")&amp;IF(AND($C493&lt;&gt;"",J493=""),"; Dept has not set a tax code","")&amp;IF(AND($C493&lt;&gt;"",N493=""),"; Dept has not entered an expected value","")&amp;IF((IF(OR(COUNTA(S493:U493)=0,AND(COUNTA(S493:U493)=3,ISNUMBER(U493))),0,1)+IF(OR(COUNTA(V493:X493)=0,AND(COUNTA(V493:X493)=3,ISNUMBER(X493))),0,1)+IF(OR(COUNTA(Y493:AA493)=0,AND(COUNTA(Y493:AA493)=3,ISNUMBER(AA493))),0,1)+IF(OR(COUNTA(AB493:AD493)=0,AND(COUNTA(AB493:AD493)=3,ISNUMBER(AD493))),0,1)+IF(OR(COUNTA(AE493:AG493)=0,AND(COUNTA(AE493:AG493)=3,ISNUMBER(AG493))),0,1)+IF(OR(COUNTA(AH493:AJ493)=0,AND(COUNTA(AH493:AJ493)=3,ISNUMBER(AJ493))),0,1)+IF(OR(COUNTA(AK493:AM493)=0,AND(COUNTA(AK493:AM493)=3,ISNUMBER(AM493))),0,1)+IF(OR(COUNTA(AN493:AP493)=0,AND(COUNTA(AN493:AP493)=3,ISNUMBER(AP493))),0,1)+IF(OR(COUNTA(AQ493:AS493)=0,AND(COUNTA(AQ493:AS493)=3,ISNUMBER(AS493))),0,1)+IF(OR(COUNTA(AT493:AV493)=0,AND(COUNTA(AT493:AV493)=3,ISNUMBER(AV493))),0,1)+IF(OR(COUNTA(AW493:AY493)=0,AND(COUNTA(AW493:AY493)=3,ISNUMBER(AY493))),0,1)+IF(OR(COUNTA(AZ493:BB493)=0,AND(COUNTA(AZ493:BB493)=3,ISNUMBER(BB493))),0,1))&gt;0,"; An invoice is incomplete (needs No, Date and a number in Ex GST)","")&amp;IF((IF(T493="",0,IFERROR(--(EOMONTH(T493,0)&lt;&gt;S$5),1))+IF(W493="",0,IFERROR(--(EOMONTH(W493,0)&lt;&gt;V$5),1))+IF(Z493="",0,IFERROR(--(EOMONTH(Z493,0)&lt;&gt;Y$5),1))+IF(AC493="",0,IFERROR(--(EOMONTH(AC493,0)&lt;&gt;AB$5),1))+IF(AF493="",0,IFERROR(--(EOMONTH(AF493,0)&lt;&gt;AE$5),1))+IF(AI493="",0,IFERROR(--(EOMONTH(AI493,0)&lt;&gt;AH$5),1))+IF(AL493="",0,IFERROR(--(EOMONTH(AL493,0)&lt;&gt;AK$5),1))+IF(AO493="",0,IFERROR(--(EOMONTH(AO493,0)&lt;&gt;AN$5),1))+IF(AR493="",0,IFERROR(--(EOMONTH(AR493,0)&lt;&gt;AQ$5),1))+IF(AU493="",0,IFERROR(--(EOMONTH(AU493,0)&lt;&gt;AT$5),1))+IF(AX493="",0,IFERROR(--(EOMONTH(AX493,0)&lt;&gt;AW$5),1))+IF(BA493="",0,IFERROR(--(EOMONTH(BA493,0)&lt;&gt;AZ$5),1)))&gt;0,"; An invoice date is not in the month it is typed under",""),3,500))</f>
        <v/>
      </c>
      <c r="S493" s="12" t="n"/>
      <c r="T493" s="13" t="n"/>
      <c r="U493" s="14" t="n"/>
      <c r="V493" s="12" t="n"/>
      <c r="W493" s="13" t="n"/>
      <c r="X493" s="14" t="n"/>
      <c r="Y493" s="12" t="n"/>
      <c r="Z493" s="13" t="n"/>
      <c r="AA493" s="14" t="n"/>
      <c r="AB493" s="12" t="n"/>
      <c r="AC493" s="13" t="n"/>
      <c r="AD493" s="14" t="n"/>
      <c r="AE493" s="12" t="n"/>
      <c r="AF493" s="13" t="n"/>
      <c r="AG493" s="14" t="n"/>
      <c r="AH493" s="12" t="n"/>
      <c r="AI493" s="13" t="n"/>
      <c r="AJ493" s="14" t="n"/>
      <c r="AK493" s="12" t="n"/>
      <c r="AL493" s="13" t="n"/>
      <c r="AM493" s="14" t="n"/>
      <c r="AN493" s="12" t="n"/>
      <c r="AO493" s="13" t="n"/>
      <c r="AP493" s="14" t="n"/>
      <c r="AQ493" s="12" t="n"/>
      <c r="AR493" s="13" t="n"/>
      <c r="AS493" s="14" t="n"/>
      <c r="AT493" s="12" t="n"/>
      <c r="AU493" s="13" t="n"/>
      <c r="AV493" s="14" t="n"/>
      <c r="AW493" s="12" t="n"/>
      <c r="AX493" s="13" t="n"/>
      <c r="AY493" s="14" t="n"/>
      <c r="AZ493" s="12" t="n"/>
      <c r="BA493" s="13" t="n"/>
      <c r="BB493" s="14" t="n"/>
      <c r="BC493" s="11">
        <f>IF(O493="","",IF(J493="GST 10%",ROUND(O493*set_GSTRate,2),0))</f>
        <v/>
      </c>
      <c r="BD493" s="11">
        <f>IF(O493="","",O493+BC493)</f>
        <v/>
      </c>
      <c r="BE493" s="15">
        <f>IF(O493="","",COUNTA(S493,V493,Y493,AB493,AE493,AH493,AK493,AN493,AQ493,AT493,AW493,AZ493))</f>
        <v/>
      </c>
      <c r="BF493" s="16">
        <f>IF(COUNT(T493,W493,Z493,AC493,AF493,AI493,AL493,AO493,AR493,AU493,AX493,BA493)=0,"",MAX(T493,W493,Z493,AC493,AF493,AI493,AL493,AO493,AR493,AU493,AX493,BA493))</f>
        <v/>
      </c>
      <c r="BG493" s="10">
        <f>MID(IF(S493="","",", "&amp;S493)&amp;IF(V493="","",", "&amp;V493)&amp;IF(Y493="","",", "&amp;Y493)&amp;IF(AB493="","",", "&amp;AB493)&amp;IF(AE493="","",", "&amp;AE493)&amp;IF(AH493="","",", "&amp;AH493)&amp;IF(AK493="","",", "&amp;AK493)&amp;IF(AN493="","",", "&amp;AN493)&amp;IF(AQ493="","",", "&amp;AQ493)&amp;IF(AT493="","",", "&amp;AT493)&amp;IF(AW493="","",", "&amp;AW493)&amp;IF(AZ493="","",", "&amp;AZ493),3,500)</f>
        <v/>
      </c>
      <c r="BH493" s="12" t="n"/>
      <c r="BI493" s="15">
        <f>IFERROR(MATCH($A493,IF($B493="Onsite",tbl_Onsite[Row ID],IF($B493="Production",tbl_Production[Row ID],tbl_Consulting[Row ID])),0),"")</f>
        <v/>
      </c>
    </row>
    <row r="494">
      <c r="A494" s="10" t="inlineStr">
        <is>
          <t>ONS-0488</t>
        </is>
      </c>
      <c r="B494" s="10" t="inlineStr">
        <is>
          <t>Onsite</t>
        </is>
      </c>
      <c r="C494" s="10">
        <f>IF($BI494="","",IF($B494="Onsite",INDEX(tbl_Onsite[Job Number],$BI494),IF($B494="Production",INDEX(tbl_Production[Job Number],$BI494),INDEX(tbl_Consulting[Job Number],$BI494)))&amp;"")</f>
        <v/>
      </c>
      <c r="D494" s="10">
        <f>IF($BI494="","",IF($B494="Onsite",INDEX(tbl_Onsite[Client],$BI494),IF($B494="Production",INDEX(tbl_Production[Client],$BI494),INDEX(tbl_Consulting[Client],$BI494)))&amp;"")</f>
        <v/>
      </c>
      <c r="E494" s="10">
        <f>IF($C494="","",IF(COUNTIF(lst_Jobs,$C494)&gt;0,"OK","CHECK"))</f>
        <v/>
      </c>
      <c r="F494" s="10">
        <f>IF($C494="","",IFERROR(INDEX(lst_JobName,MATCH($C494,lst_Jobs,0)),""))</f>
        <v/>
      </c>
      <c r="G494" s="10">
        <f>IF($BI494="","",IF($B494="Onsite",INDEX(tbl_Onsite[Job Description],$BI494),IF($B494="Production",INDEX(tbl_Production[Job Description],$BI494),INDEX(tbl_Consulting[Job Description],$BI494)))&amp;"")</f>
        <v/>
      </c>
      <c r="H494" s="10">
        <f>IF($BI494="","",IF($B494="Onsite",INDEX(tbl_Onsite[Cost Centre],$BI494),IF($B494="Production",INDEX(tbl_Production[Cost Centre],$BI494),INDEX(tbl_Consulting[Cost Centre],$BI494)))&amp;"")</f>
        <v/>
      </c>
      <c r="I494" s="10">
        <f>IF($BI494="","",IF($B494="Onsite",INDEX(tbl_Onsite[Invoice Type],$BI494),IF($B494="Production",INDEX(tbl_Production[Invoice Type],$BI494),INDEX(tbl_Consulting[Invoice Type],$BI494)))&amp;"")</f>
        <v/>
      </c>
      <c r="J494" s="10">
        <f>IF($BI494="","",IF($B494="Onsite",INDEX(tbl_Onsite[Tax Code],$BI494),IF($B494="Production",INDEX(tbl_Production[Tax Code],$BI494),INDEX(tbl_Consulting[Tax Code],$BI494)))&amp;"")</f>
        <v/>
      </c>
      <c r="K494" s="10">
        <f>IF(H494="","",IFERROR(INDEX(lst_CCtoGL,MATCH(H494,lst_CCforGL,0)),""))</f>
        <v/>
      </c>
      <c r="L494" s="10">
        <f>IF($BI494="","",IF($B494="Onsite",INDEX(tbl_Onsite[PO / Reference],$BI494),IF($B494="Production",INDEX(tbl_Production[Current RMS No],$BI494),INDEX(tbl_Consulting[Qwilr Quote],$BI494)))&amp;"")</f>
        <v/>
      </c>
      <c r="M494" s="10">
        <f>IF($BI494="","",IF($B494="Onsite",INDEX(tbl_Onsite[Notes],$BI494),IF($B494="Production",INDEX(tbl_Production[Notes],$BI494),INDEX(tbl_Consulting[Notes],$BI494)))&amp;"")</f>
        <v/>
      </c>
      <c r="N494" s="11">
        <f>IF($BI494="","",IF(IF($B494="Onsite",INDEX(tbl_Onsite[Expected Revenue Ex GST],$BI494),IF($B494="Production",INDEX(tbl_Production[Expected Revenue Ex GST],$BI494),INDEX(tbl_Consulting[Expected Revenue Ex GST],$BI494)))="","",IF($B494="Onsite",INDEX(tbl_Onsite[Expected Revenue Ex GST],$BI494),IF($B494="Production",INDEX(tbl_Production[Expected Revenue Ex GST],$BI494),INDEX(tbl_Consulting[Expected Revenue Ex GST],$BI494)))))</f>
        <v/>
      </c>
      <c r="O494" s="11">
        <f>IF(AND($C494="",NOT(COUNTA($S494:$BB494)&gt;0)),"",SUM(U494,X494,AA494,AD494,AG494,AJ494,AM494,AP494,AS494,AV494,AY494,BB494))</f>
        <v/>
      </c>
      <c r="P494" s="11">
        <f>IF(O494="","",N(N494)-O494)</f>
        <v/>
      </c>
      <c r="Q494" s="10">
        <f>IF(O494="","",IF($C494="","Invoice on empty job row",IF(N494="",IF(ROUND(O494,2)=0,"No dept value","Invoiced - no dept value"),IF(ROUND(O494,2)=0,"Not invoiced - to invoice",IF(ROUND(P494,2)=0,"Agrees",IF(P494&gt;0,"Dept higher - to invoice","Xero higher - check dept"))))))</f>
        <v/>
      </c>
      <c r="R494" s="10">
        <f>IF(AND($C494="",NOT(COUNTA($S494:$BB494)&gt;0),$BI494&lt;&gt;""),"",MID(IF($BI494="","; Row ID not found on the department sheet - a row was deleted","")&amp;IF(AND($C494="",COUNTA($S494:$BB494)&gt;0),"; Invoice entered but the department row has no job number","")&amp;IF(E494="CHECK","; Job number not in the Xero job list","")&amp;IF(AND($C494&lt;&gt;"",COUNTIF($C$7:$C$1506,$C494)&gt;1),"; Job number on more than one row","")&amp;IF(AND($C494&lt;&gt;"",H494=""),"; Dept has not set a cost centre","")&amp;IF(AND($C494&lt;&gt;"",J494=""),"; Dept has not set a tax code","")&amp;IF(AND($C494&lt;&gt;"",N494=""),"; Dept has not entered an expected value","")&amp;IF((IF(OR(COUNTA(S494:U494)=0,AND(COUNTA(S494:U494)=3,ISNUMBER(U494))),0,1)+IF(OR(COUNTA(V494:X494)=0,AND(COUNTA(V494:X494)=3,ISNUMBER(X494))),0,1)+IF(OR(COUNTA(Y494:AA494)=0,AND(COUNTA(Y494:AA494)=3,ISNUMBER(AA494))),0,1)+IF(OR(COUNTA(AB494:AD494)=0,AND(COUNTA(AB494:AD494)=3,ISNUMBER(AD494))),0,1)+IF(OR(COUNTA(AE494:AG494)=0,AND(COUNTA(AE494:AG494)=3,ISNUMBER(AG494))),0,1)+IF(OR(COUNTA(AH494:AJ494)=0,AND(COUNTA(AH494:AJ494)=3,ISNUMBER(AJ494))),0,1)+IF(OR(COUNTA(AK494:AM494)=0,AND(COUNTA(AK494:AM494)=3,ISNUMBER(AM494))),0,1)+IF(OR(COUNTA(AN494:AP494)=0,AND(COUNTA(AN494:AP494)=3,ISNUMBER(AP494))),0,1)+IF(OR(COUNTA(AQ494:AS494)=0,AND(COUNTA(AQ494:AS494)=3,ISNUMBER(AS494))),0,1)+IF(OR(COUNTA(AT494:AV494)=0,AND(COUNTA(AT494:AV494)=3,ISNUMBER(AV494))),0,1)+IF(OR(COUNTA(AW494:AY494)=0,AND(COUNTA(AW494:AY494)=3,ISNUMBER(AY494))),0,1)+IF(OR(COUNTA(AZ494:BB494)=0,AND(COUNTA(AZ494:BB494)=3,ISNUMBER(BB494))),0,1))&gt;0,"; An invoice is incomplete (needs No, Date and a number in Ex GST)","")&amp;IF((IF(T494="",0,IFERROR(--(EOMONTH(T494,0)&lt;&gt;S$5),1))+IF(W494="",0,IFERROR(--(EOMONTH(W494,0)&lt;&gt;V$5),1))+IF(Z494="",0,IFERROR(--(EOMONTH(Z494,0)&lt;&gt;Y$5),1))+IF(AC494="",0,IFERROR(--(EOMONTH(AC494,0)&lt;&gt;AB$5),1))+IF(AF494="",0,IFERROR(--(EOMONTH(AF494,0)&lt;&gt;AE$5),1))+IF(AI494="",0,IFERROR(--(EOMONTH(AI494,0)&lt;&gt;AH$5),1))+IF(AL494="",0,IFERROR(--(EOMONTH(AL494,0)&lt;&gt;AK$5),1))+IF(AO494="",0,IFERROR(--(EOMONTH(AO494,0)&lt;&gt;AN$5),1))+IF(AR494="",0,IFERROR(--(EOMONTH(AR494,0)&lt;&gt;AQ$5),1))+IF(AU494="",0,IFERROR(--(EOMONTH(AU494,0)&lt;&gt;AT$5),1))+IF(AX494="",0,IFERROR(--(EOMONTH(AX494,0)&lt;&gt;AW$5),1))+IF(BA494="",0,IFERROR(--(EOMONTH(BA494,0)&lt;&gt;AZ$5),1)))&gt;0,"; An invoice date is not in the month it is typed under",""),3,500))</f>
        <v/>
      </c>
      <c r="S494" s="12" t="n"/>
      <c r="T494" s="13" t="n"/>
      <c r="U494" s="14" t="n"/>
      <c r="V494" s="12" t="n"/>
      <c r="W494" s="13" t="n"/>
      <c r="X494" s="14" t="n"/>
      <c r="Y494" s="12" t="n"/>
      <c r="Z494" s="13" t="n"/>
      <c r="AA494" s="14" t="n"/>
      <c r="AB494" s="12" t="n"/>
      <c r="AC494" s="13" t="n"/>
      <c r="AD494" s="14" t="n"/>
      <c r="AE494" s="12" t="n"/>
      <c r="AF494" s="13" t="n"/>
      <c r="AG494" s="14" t="n"/>
      <c r="AH494" s="12" t="n"/>
      <c r="AI494" s="13" t="n"/>
      <c r="AJ494" s="14" t="n"/>
      <c r="AK494" s="12" t="n"/>
      <c r="AL494" s="13" t="n"/>
      <c r="AM494" s="14" t="n"/>
      <c r="AN494" s="12" t="n"/>
      <c r="AO494" s="13" t="n"/>
      <c r="AP494" s="14" t="n"/>
      <c r="AQ494" s="12" t="n"/>
      <c r="AR494" s="13" t="n"/>
      <c r="AS494" s="14" t="n"/>
      <c r="AT494" s="12" t="n"/>
      <c r="AU494" s="13" t="n"/>
      <c r="AV494" s="14" t="n"/>
      <c r="AW494" s="12" t="n"/>
      <c r="AX494" s="13" t="n"/>
      <c r="AY494" s="14" t="n"/>
      <c r="AZ494" s="12" t="n"/>
      <c r="BA494" s="13" t="n"/>
      <c r="BB494" s="14" t="n"/>
      <c r="BC494" s="11">
        <f>IF(O494="","",IF(J494="GST 10%",ROUND(O494*set_GSTRate,2),0))</f>
        <v/>
      </c>
      <c r="BD494" s="11">
        <f>IF(O494="","",O494+BC494)</f>
        <v/>
      </c>
      <c r="BE494" s="15">
        <f>IF(O494="","",COUNTA(S494,V494,Y494,AB494,AE494,AH494,AK494,AN494,AQ494,AT494,AW494,AZ494))</f>
        <v/>
      </c>
      <c r="BF494" s="16">
        <f>IF(COUNT(T494,W494,Z494,AC494,AF494,AI494,AL494,AO494,AR494,AU494,AX494,BA494)=0,"",MAX(T494,W494,Z494,AC494,AF494,AI494,AL494,AO494,AR494,AU494,AX494,BA494))</f>
        <v/>
      </c>
      <c r="BG494" s="10">
        <f>MID(IF(S494="","",", "&amp;S494)&amp;IF(V494="","",", "&amp;V494)&amp;IF(Y494="","",", "&amp;Y494)&amp;IF(AB494="","",", "&amp;AB494)&amp;IF(AE494="","",", "&amp;AE494)&amp;IF(AH494="","",", "&amp;AH494)&amp;IF(AK494="","",", "&amp;AK494)&amp;IF(AN494="","",", "&amp;AN494)&amp;IF(AQ494="","",", "&amp;AQ494)&amp;IF(AT494="","",", "&amp;AT494)&amp;IF(AW494="","",", "&amp;AW494)&amp;IF(AZ494="","",", "&amp;AZ494),3,500)</f>
        <v/>
      </c>
      <c r="BH494" s="12" t="n"/>
      <c r="BI494" s="15">
        <f>IFERROR(MATCH($A494,IF($B494="Onsite",tbl_Onsite[Row ID],IF($B494="Production",tbl_Production[Row ID],tbl_Consulting[Row ID])),0),"")</f>
        <v/>
      </c>
    </row>
    <row r="495">
      <c r="A495" s="10" t="inlineStr">
        <is>
          <t>ONS-0489</t>
        </is>
      </c>
      <c r="B495" s="10" t="inlineStr">
        <is>
          <t>Onsite</t>
        </is>
      </c>
      <c r="C495" s="10">
        <f>IF($BI495="","",IF($B495="Onsite",INDEX(tbl_Onsite[Job Number],$BI495),IF($B495="Production",INDEX(tbl_Production[Job Number],$BI495),INDEX(tbl_Consulting[Job Number],$BI495)))&amp;"")</f>
        <v/>
      </c>
      <c r="D495" s="10">
        <f>IF($BI495="","",IF($B495="Onsite",INDEX(tbl_Onsite[Client],$BI495),IF($B495="Production",INDEX(tbl_Production[Client],$BI495),INDEX(tbl_Consulting[Client],$BI495)))&amp;"")</f>
        <v/>
      </c>
      <c r="E495" s="10">
        <f>IF($C495="","",IF(COUNTIF(lst_Jobs,$C495)&gt;0,"OK","CHECK"))</f>
        <v/>
      </c>
      <c r="F495" s="10">
        <f>IF($C495="","",IFERROR(INDEX(lst_JobName,MATCH($C495,lst_Jobs,0)),""))</f>
        <v/>
      </c>
      <c r="G495" s="10">
        <f>IF($BI495="","",IF($B495="Onsite",INDEX(tbl_Onsite[Job Description],$BI495),IF($B495="Production",INDEX(tbl_Production[Job Description],$BI495),INDEX(tbl_Consulting[Job Description],$BI495)))&amp;"")</f>
        <v/>
      </c>
      <c r="H495" s="10">
        <f>IF($BI495="","",IF($B495="Onsite",INDEX(tbl_Onsite[Cost Centre],$BI495),IF($B495="Production",INDEX(tbl_Production[Cost Centre],$BI495),INDEX(tbl_Consulting[Cost Centre],$BI495)))&amp;"")</f>
        <v/>
      </c>
      <c r="I495" s="10">
        <f>IF($BI495="","",IF($B495="Onsite",INDEX(tbl_Onsite[Invoice Type],$BI495),IF($B495="Production",INDEX(tbl_Production[Invoice Type],$BI495),INDEX(tbl_Consulting[Invoice Type],$BI495)))&amp;"")</f>
        <v/>
      </c>
      <c r="J495" s="10">
        <f>IF($BI495="","",IF($B495="Onsite",INDEX(tbl_Onsite[Tax Code],$BI495),IF($B495="Production",INDEX(tbl_Production[Tax Code],$BI495),INDEX(tbl_Consulting[Tax Code],$BI495)))&amp;"")</f>
        <v/>
      </c>
      <c r="K495" s="10">
        <f>IF(H495="","",IFERROR(INDEX(lst_CCtoGL,MATCH(H495,lst_CCforGL,0)),""))</f>
        <v/>
      </c>
      <c r="L495" s="10">
        <f>IF($BI495="","",IF($B495="Onsite",INDEX(tbl_Onsite[PO / Reference],$BI495),IF($B495="Production",INDEX(tbl_Production[Current RMS No],$BI495),INDEX(tbl_Consulting[Qwilr Quote],$BI495)))&amp;"")</f>
        <v/>
      </c>
      <c r="M495" s="10">
        <f>IF($BI495="","",IF($B495="Onsite",INDEX(tbl_Onsite[Notes],$BI495),IF($B495="Production",INDEX(tbl_Production[Notes],$BI495),INDEX(tbl_Consulting[Notes],$BI495)))&amp;"")</f>
        <v/>
      </c>
      <c r="N495" s="11">
        <f>IF($BI495="","",IF(IF($B495="Onsite",INDEX(tbl_Onsite[Expected Revenue Ex GST],$BI495),IF($B495="Production",INDEX(tbl_Production[Expected Revenue Ex GST],$BI495),INDEX(tbl_Consulting[Expected Revenue Ex GST],$BI495)))="","",IF($B495="Onsite",INDEX(tbl_Onsite[Expected Revenue Ex GST],$BI495),IF($B495="Production",INDEX(tbl_Production[Expected Revenue Ex GST],$BI495),INDEX(tbl_Consulting[Expected Revenue Ex GST],$BI495)))))</f>
        <v/>
      </c>
      <c r="O495" s="11">
        <f>IF(AND($C495="",NOT(COUNTA($S495:$BB495)&gt;0)),"",SUM(U495,X495,AA495,AD495,AG495,AJ495,AM495,AP495,AS495,AV495,AY495,BB495))</f>
        <v/>
      </c>
      <c r="P495" s="11">
        <f>IF(O495="","",N(N495)-O495)</f>
        <v/>
      </c>
      <c r="Q495" s="10">
        <f>IF(O495="","",IF($C495="","Invoice on empty job row",IF(N495="",IF(ROUND(O495,2)=0,"No dept value","Invoiced - no dept value"),IF(ROUND(O495,2)=0,"Not invoiced - to invoice",IF(ROUND(P495,2)=0,"Agrees",IF(P495&gt;0,"Dept higher - to invoice","Xero higher - check dept"))))))</f>
        <v/>
      </c>
      <c r="R495" s="10">
        <f>IF(AND($C495="",NOT(COUNTA($S495:$BB495)&gt;0),$BI495&lt;&gt;""),"",MID(IF($BI495="","; Row ID not found on the department sheet - a row was deleted","")&amp;IF(AND($C495="",COUNTA($S495:$BB495)&gt;0),"; Invoice entered but the department row has no job number","")&amp;IF(E495="CHECK","; Job number not in the Xero job list","")&amp;IF(AND($C495&lt;&gt;"",COUNTIF($C$7:$C$1506,$C495)&gt;1),"; Job number on more than one row","")&amp;IF(AND($C495&lt;&gt;"",H495=""),"; Dept has not set a cost centre","")&amp;IF(AND($C495&lt;&gt;"",J495=""),"; Dept has not set a tax code","")&amp;IF(AND($C495&lt;&gt;"",N495=""),"; Dept has not entered an expected value","")&amp;IF((IF(OR(COUNTA(S495:U495)=0,AND(COUNTA(S495:U495)=3,ISNUMBER(U495))),0,1)+IF(OR(COUNTA(V495:X495)=0,AND(COUNTA(V495:X495)=3,ISNUMBER(X495))),0,1)+IF(OR(COUNTA(Y495:AA495)=0,AND(COUNTA(Y495:AA495)=3,ISNUMBER(AA495))),0,1)+IF(OR(COUNTA(AB495:AD495)=0,AND(COUNTA(AB495:AD495)=3,ISNUMBER(AD495))),0,1)+IF(OR(COUNTA(AE495:AG495)=0,AND(COUNTA(AE495:AG495)=3,ISNUMBER(AG495))),0,1)+IF(OR(COUNTA(AH495:AJ495)=0,AND(COUNTA(AH495:AJ495)=3,ISNUMBER(AJ495))),0,1)+IF(OR(COUNTA(AK495:AM495)=0,AND(COUNTA(AK495:AM495)=3,ISNUMBER(AM495))),0,1)+IF(OR(COUNTA(AN495:AP495)=0,AND(COUNTA(AN495:AP495)=3,ISNUMBER(AP495))),0,1)+IF(OR(COUNTA(AQ495:AS495)=0,AND(COUNTA(AQ495:AS495)=3,ISNUMBER(AS495))),0,1)+IF(OR(COUNTA(AT495:AV495)=0,AND(COUNTA(AT495:AV495)=3,ISNUMBER(AV495))),0,1)+IF(OR(COUNTA(AW495:AY495)=0,AND(COUNTA(AW495:AY495)=3,ISNUMBER(AY495))),0,1)+IF(OR(COUNTA(AZ495:BB495)=0,AND(COUNTA(AZ495:BB495)=3,ISNUMBER(BB495))),0,1))&gt;0,"; An invoice is incomplete (needs No, Date and a number in Ex GST)","")&amp;IF((IF(T495="",0,IFERROR(--(EOMONTH(T495,0)&lt;&gt;S$5),1))+IF(W495="",0,IFERROR(--(EOMONTH(W495,0)&lt;&gt;V$5),1))+IF(Z495="",0,IFERROR(--(EOMONTH(Z495,0)&lt;&gt;Y$5),1))+IF(AC495="",0,IFERROR(--(EOMONTH(AC495,0)&lt;&gt;AB$5),1))+IF(AF495="",0,IFERROR(--(EOMONTH(AF495,0)&lt;&gt;AE$5),1))+IF(AI495="",0,IFERROR(--(EOMONTH(AI495,0)&lt;&gt;AH$5),1))+IF(AL495="",0,IFERROR(--(EOMONTH(AL495,0)&lt;&gt;AK$5),1))+IF(AO495="",0,IFERROR(--(EOMONTH(AO495,0)&lt;&gt;AN$5),1))+IF(AR495="",0,IFERROR(--(EOMONTH(AR495,0)&lt;&gt;AQ$5),1))+IF(AU495="",0,IFERROR(--(EOMONTH(AU495,0)&lt;&gt;AT$5),1))+IF(AX495="",0,IFERROR(--(EOMONTH(AX495,0)&lt;&gt;AW$5),1))+IF(BA495="",0,IFERROR(--(EOMONTH(BA495,0)&lt;&gt;AZ$5),1)))&gt;0,"; An invoice date is not in the month it is typed under",""),3,500))</f>
        <v/>
      </c>
      <c r="S495" s="12" t="n"/>
      <c r="T495" s="13" t="n"/>
      <c r="U495" s="14" t="n"/>
      <c r="V495" s="12" t="n"/>
      <c r="W495" s="13" t="n"/>
      <c r="X495" s="14" t="n"/>
      <c r="Y495" s="12" t="n"/>
      <c r="Z495" s="13" t="n"/>
      <c r="AA495" s="14" t="n"/>
      <c r="AB495" s="12" t="n"/>
      <c r="AC495" s="13" t="n"/>
      <c r="AD495" s="14" t="n"/>
      <c r="AE495" s="12" t="n"/>
      <c r="AF495" s="13" t="n"/>
      <c r="AG495" s="14" t="n"/>
      <c r="AH495" s="12" t="n"/>
      <c r="AI495" s="13" t="n"/>
      <c r="AJ495" s="14" t="n"/>
      <c r="AK495" s="12" t="n"/>
      <c r="AL495" s="13" t="n"/>
      <c r="AM495" s="14" t="n"/>
      <c r="AN495" s="12" t="n"/>
      <c r="AO495" s="13" t="n"/>
      <c r="AP495" s="14" t="n"/>
      <c r="AQ495" s="12" t="n"/>
      <c r="AR495" s="13" t="n"/>
      <c r="AS495" s="14" t="n"/>
      <c r="AT495" s="12" t="n"/>
      <c r="AU495" s="13" t="n"/>
      <c r="AV495" s="14" t="n"/>
      <c r="AW495" s="12" t="n"/>
      <c r="AX495" s="13" t="n"/>
      <c r="AY495" s="14" t="n"/>
      <c r="AZ495" s="12" t="n"/>
      <c r="BA495" s="13" t="n"/>
      <c r="BB495" s="14" t="n"/>
      <c r="BC495" s="11">
        <f>IF(O495="","",IF(J495="GST 10%",ROUND(O495*set_GSTRate,2),0))</f>
        <v/>
      </c>
      <c r="BD495" s="11">
        <f>IF(O495="","",O495+BC495)</f>
        <v/>
      </c>
      <c r="BE495" s="15">
        <f>IF(O495="","",COUNTA(S495,V495,Y495,AB495,AE495,AH495,AK495,AN495,AQ495,AT495,AW495,AZ495))</f>
        <v/>
      </c>
      <c r="BF495" s="16">
        <f>IF(COUNT(T495,W495,Z495,AC495,AF495,AI495,AL495,AO495,AR495,AU495,AX495,BA495)=0,"",MAX(T495,W495,Z495,AC495,AF495,AI495,AL495,AO495,AR495,AU495,AX495,BA495))</f>
        <v/>
      </c>
      <c r="BG495" s="10">
        <f>MID(IF(S495="","",", "&amp;S495)&amp;IF(V495="","",", "&amp;V495)&amp;IF(Y495="","",", "&amp;Y495)&amp;IF(AB495="","",", "&amp;AB495)&amp;IF(AE495="","",", "&amp;AE495)&amp;IF(AH495="","",", "&amp;AH495)&amp;IF(AK495="","",", "&amp;AK495)&amp;IF(AN495="","",", "&amp;AN495)&amp;IF(AQ495="","",", "&amp;AQ495)&amp;IF(AT495="","",", "&amp;AT495)&amp;IF(AW495="","",", "&amp;AW495)&amp;IF(AZ495="","",", "&amp;AZ495),3,500)</f>
        <v/>
      </c>
      <c r="BH495" s="12" t="n"/>
      <c r="BI495" s="15">
        <f>IFERROR(MATCH($A495,IF($B495="Onsite",tbl_Onsite[Row ID],IF($B495="Production",tbl_Production[Row ID],tbl_Consulting[Row ID])),0),"")</f>
        <v/>
      </c>
    </row>
    <row r="496">
      <c r="A496" s="10" t="inlineStr">
        <is>
          <t>ONS-0490</t>
        </is>
      </c>
      <c r="B496" s="10" t="inlineStr">
        <is>
          <t>Onsite</t>
        </is>
      </c>
      <c r="C496" s="10">
        <f>IF($BI496="","",IF($B496="Onsite",INDEX(tbl_Onsite[Job Number],$BI496),IF($B496="Production",INDEX(tbl_Production[Job Number],$BI496),INDEX(tbl_Consulting[Job Number],$BI496)))&amp;"")</f>
        <v/>
      </c>
      <c r="D496" s="10">
        <f>IF($BI496="","",IF($B496="Onsite",INDEX(tbl_Onsite[Client],$BI496),IF($B496="Production",INDEX(tbl_Production[Client],$BI496),INDEX(tbl_Consulting[Client],$BI496)))&amp;"")</f>
        <v/>
      </c>
      <c r="E496" s="10">
        <f>IF($C496="","",IF(COUNTIF(lst_Jobs,$C496)&gt;0,"OK","CHECK"))</f>
        <v/>
      </c>
      <c r="F496" s="10">
        <f>IF($C496="","",IFERROR(INDEX(lst_JobName,MATCH($C496,lst_Jobs,0)),""))</f>
        <v/>
      </c>
      <c r="G496" s="10">
        <f>IF($BI496="","",IF($B496="Onsite",INDEX(tbl_Onsite[Job Description],$BI496),IF($B496="Production",INDEX(tbl_Production[Job Description],$BI496),INDEX(tbl_Consulting[Job Description],$BI496)))&amp;"")</f>
        <v/>
      </c>
      <c r="H496" s="10">
        <f>IF($BI496="","",IF($B496="Onsite",INDEX(tbl_Onsite[Cost Centre],$BI496),IF($B496="Production",INDEX(tbl_Production[Cost Centre],$BI496),INDEX(tbl_Consulting[Cost Centre],$BI496)))&amp;"")</f>
        <v/>
      </c>
      <c r="I496" s="10">
        <f>IF($BI496="","",IF($B496="Onsite",INDEX(tbl_Onsite[Invoice Type],$BI496),IF($B496="Production",INDEX(tbl_Production[Invoice Type],$BI496),INDEX(tbl_Consulting[Invoice Type],$BI496)))&amp;"")</f>
        <v/>
      </c>
      <c r="J496" s="10">
        <f>IF($BI496="","",IF($B496="Onsite",INDEX(tbl_Onsite[Tax Code],$BI496),IF($B496="Production",INDEX(tbl_Production[Tax Code],$BI496),INDEX(tbl_Consulting[Tax Code],$BI496)))&amp;"")</f>
        <v/>
      </c>
      <c r="K496" s="10">
        <f>IF(H496="","",IFERROR(INDEX(lst_CCtoGL,MATCH(H496,lst_CCforGL,0)),""))</f>
        <v/>
      </c>
      <c r="L496" s="10">
        <f>IF($BI496="","",IF($B496="Onsite",INDEX(tbl_Onsite[PO / Reference],$BI496),IF($B496="Production",INDEX(tbl_Production[Current RMS No],$BI496),INDEX(tbl_Consulting[Qwilr Quote],$BI496)))&amp;"")</f>
        <v/>
      </c>
      <c r="M496" s="10">
        <f>IF($BI496="","",IF($B496="Onsite",INDEX(tbl_Onsite[Notes],$BI496),IF($B496="Production",INDEX(tbl_Production[Notes],$BI496),INDEX(tbl_Consulting[Notes],$BI496)))&amp;"")</f>
        <v/>
      </c>
      <c r="N496" s="11">
        <f>IF($BI496="","",IF(IF($B496="Onsite",INDEX(tbl_Onsite[Expected Revenue Ex GST],$BI496),IF($B496="Production",INDEX(tbl_Production[Expected Revenue Ex GST],$BI496),INDEX(tbl_Consulting[Expected Revenue Ex GST],$BI496)))="","",IF($B496="Onsite",INDEX(tbl_Onsite[Expected Revenue Ex GST],$BI496),IF($B496="Production",INDEX(tbl_Production[Expected Revenue Ex GST],$BI496),INDEX(tbl_Consulting[Expected Revenue Ex GST],$BI496)))))</f>
        <v/>
      </c>
      <c r="O496" s="11">
        <f>IF(AND($C496="",NOT(COUNTA($S496:$BB496)&gt;0)),"",SUM(U496,X496,AA496,AD496,AG496,AJ496,AM496,AP496,AS496,AV496,AY496,BB496))</f>
        <v/>
      </c>
      <c r="P496" s="11">
        <f>IF(O496="","",N(N496)-O496)</f>
        <v/>
      </c>
      <c r="Q496" s="10">
        <f>IF(O496="","",IF($C496="","Invoice on empty job row",IF(N496="",IF(ROUND(O496,2)=0,"No dept value","Invoiced - no dept value"),IF(ROUND(O496,2)=0,"Not invoiced - to invoice",IF(ROUND(P496,2)=0,"Agrees",IF(P496&gt;0,"Dept higher - to invoice","Xero higher - check dept"))))))</f>
        <v/>
      </c>
      <c r="R496" s="10">
        <f>IF(AND($C496="",NOT(COUNTA($S496:$BB496)&gt;0),$BI496&lt;&gt;""),"",MID(IF($BI496="","; Row ID not found on the department sheet - a row was deleted","")&amp;IF(AND($C496="",COUNTA($S496:$BB496)&gt;0),"; Invoice entered but the department row has no job number","")&amp;IF(E496="CHECK","; Job number not in the Xero job list","")&amp;IF(AND($C496&lt;&gt;"",COUNTIF($C$7:$C$1506,$C496)&gt;1),"; Job number on more than one row","")&amp;IF(AND($C496&lt;&gt;"",H496=""),"; Dept has not set a cost centre","")&amp;IF(AND($C496&lt;&gt;"",J496=""),"; Dept has not set a tax code","")&amp;IF(AND($C496&lt;&gt;"",N496=""),"; Dept has not entered an expected value","")&amp;IF((IF(OR(COUNTA(S496:U496)=0,AND(COUNTA(S496:U496)=3,ISNUMBER(U496))),0,1)+IF(OR(COUNTA(V496:X496)=0,AND(COUNTA(V496:X496)=3,ISNUMBER(X496))),0,1)+IF(OR(COUNTA(Y496:AA496)=0,AND(COUNTA(Y496:AA496)=3,ISNUMBER(AA496))),0,1)+IF(OR(COUNTA(AB496:AD496)=0,AND(COUNTA(AB496:AD496)=3,ISNUMBER(AD496))),0,1)+IF(OR(COUNTA(AE496:AG496)=0,AND(COUNTA(AE496:AG496)=3,ISNUMBER(AG496))),0,1)+IF(OR(COUNTA(AH496:AJ496)=0,AND(COUNTA(AH496:AJ496)=3,ISNUMBER(AJ496))),0,1)+IF(OR(COUNTA(AK496:AM496)=0,AND(COUNTA(AK496:AM496)=3,ISNUMBER(AM496))),0,1)+IF(OR(COUNTA(AN496:AP496)=0,AND(COUNTA(AN496:AP496)=3,ISNUMBER(AP496))),0,1)+IF(OR(COUNTA(AQ496:AS496)=0,AND(COUNTA(AQ496:AS496)=3,ISNUMBER(AS496))),0,1)+IF(OR(COUNTA(AT496:AV496)=0,AND(COUNTA(AT496:AV496)=3,ISNUMBER(AV496))),0,1)+IF(OR(COUNTA(AW496:AY496)=0,AND(COUNTA(AW496:AY496)=3,ISNUMBER(AY496))),0,1)+IF(OR(COUNTA(AZ496:BB496)=0,AND(COUNTA(AZ496:BB496)=3,ISNUMBER(BB496))),0,1))&gt;0,"; An invoice is incomplete (needs No, Date and a number in Ex GST)","")&amp;IF((IF(T496="",0,IFERROR(--(EOMONTH(T496,0)&lt;&gt;S$5),1))+IF(W496="",0,IFERROR(--(EOMONTH(W496,0)&lt;&gt;V$5),1))+IF(Z496="",0,IFERROR(--(EOMONTH(Z496,0)&lt;&gt;Y$5),1))+IF(AC496="",0,IFERROR(--(EOMONTH(AC496,0)&lt;&gt;AB$5),1))+IF(AF496="",0,IFERROR(--(EOMONTH(AF496,0)&lt;&gt;AE$5),1))+IF(AI496="",0,IFERROR(--(EOMONTH(AI496,0)&lt;&gt;AH$5),1))+IF(AL496="",0,IFERROR(--(EOMONTH(AL496,0)&lt;&gt;AK$5),1))+IF(AO496="",0,IFERROR(--(EOMONTH(AO496,0)&lt;&gt;AN$5),1))+IF(AR496="",0,IFERROR(--(EOMONTH(AR496,0)&lt;&gt;AQ$5),1))+IF(AU496="",0,IFERROR(--(EOMONTH(AU496,0)&lt;&gt;AT$5),1))+IF(AX496="",0,IFERROR(--(EOMONTH(AX496,0)&lt;&gt;AW$5),1))+IF(BA496="",0,IFERROR(--(EOMONTH(BA496,0)&lt;&gt;AZ$5),1)))&gt;0,"; An invoice date is not in the month it is typed under",""),3,500))</f>
        <v/>
      </c>
      <c r="S496" s="12" t="n"/>
      <c r="T496" s="13" t="n"/>
      <c r="U496" s="14" t="n"/>
      <c r="V496" s="12" t="n"/>
      <c r="W496" s="13" t="n"/>
      <c r="X496" s="14" t="n"/>
      <c r="Y496" s="12" t="n"/>
      <c r="Z496" s="13" t="n"/>
      <c r="AA496" s="14" t="n"/>
      <c r="AB496" s="12" t="n"/>
      <c r="AC496" s="13" t="n"/>
      <c r="AD496" s="14" t="n"/>
      <c r="AE496" s="12" t="n"/>
      <c r="AF496" s="13" t="n"/>
      <c r="AG496" s="14" t="n"/>
      <c r="AH496" s="12" t="n"/>
      <c r="AI496" s="13" t="n"/>
      <c r="AJ496" s="14" t="n"/>
      <c r="AK496" s="12" t="n"/>
      <c r="AL496" s="13" t="n"/>
      <c r="AM496" s="14" t="n"/>
      <c r="AN496" s="12" t="n"/>
      <c r="AO496" s="13" t="n"/>
      <c r="AP496" s="14" t="n"/>
      <c r="AQ496" s="12" t="n"/>
      <c r="AR496" s="13" t="n"/>
      <c r="AS496" s="14" t="n"/>
      <c r="AT496" s="12" t="n"/>
      <c r="AU496" s="13" t="n"/>
      <c r="AV496" s="14" t="n"/>
      <c r="AW496" s="12" t="n"/>
      <c r="AX496" s="13" t="n"/>
      <c r="AY496" s="14" t="n"/>
      <c r="AZ496" s="12" t="n"/>
      <c r="BA496" s="13" t="n"/>
      <c r="BB496" s="14" t="n"/>
      <c r="BC496" s="11">
        <f>IF(O496="","",IF(J496="GST 10%",ROUND(O496*set_GSTRate,2),0))</f>
        <v/>
      </c>
      <c r="BD496" s="11">
        <f>IF(O496="","",O496+BC496)</f>
        <v/>
      </c>
      <c r="BE496" s="15">
        <f>IF(O496="","",COUNTA(S496,V496,Y496,AB496,AE496,AH496,AK496,AN496,AQ496,AT496,AW496,AZ496))</f>
        <v/>
      </c>
      <c r="BF496" s="16">
        <f>IF(COUNT(T496,W496,Z496,AC496,AF496,AI496,AL496,AO496,AR496,AU496,AX496,BA496)=0,"",MAX(T496,W496,Z496,AC496,AF496,AI496,AL496,AO496,AR496,AU496,AX496,BA496))</f>
        <v/>
      </c>
      <c r="BG496" s="10">
        <f>MID(IF(S496="","",", "&amp;S496)&amp;IF(V496="","",", "&amp;V496)&amp;IF(Y496="","",", "&amp;Y496)&amp;IF(AB496="","",", "&amp;AB496)&amp;IF(AE496="","",", "&amp;AE496)&amp;IF(AH496="","",", "&amp;AH496)&amp;IF(AK496="","",", "&amp;AK496)&amp;IF(AN496="","",", "&amp;AN496)&amp;IF(AQ496="","",", "&amp;AQ496)&amp;IF(AT496="","",", "&amp;AT496)&amp;IF(AW496="","",", "&amp;AW496)&amp;IF(AZ496="","",", "&amp;AZ496),3,500)</f>
        <v/>
      </c>
      <c r="BH496" s="12" t="n"/>
      <c r="BI496" s="15">
        <f>IFERROR(MATCH($A496,IF($B496="Onsite",tbl_Onsite[Row ID],IF($B496="Production",tbl_Production[Row ID],tbl_Consulting[Row ID])),0),"")</f>
        <v/>
      </c>
    </row>
    <row r="497">
      <c r="A497" s="10" t="inlineStr">
        <is>
          <t>ONS-0491</t>
        </is>
      </c>
      <c r="B497" s="10" t="inlineStr">
        <is>
          <t>Onsite</t>
        </is>
      </c>
      <c r="C497" s="10">
        <f>IF($BI497="","",IF($B497="Onsite",INDEX(tbl_Onsite[Job Number],$BI497),IF($B497="Production",INDEX(tbl_Production[Job Number],$BI497),INDEX(tbl_Consulting[Job Number],$BI497)))&amp;"")</f>
        <v/>
      </c>
      <c r="D497" s="10">
        <f>IF($BI497="","",IF($B497="Onsite",INDEX(tbl_Onsite[Client],$BI497),IF($B497="Production",INDEX(tbl_Production[Client],$BI497),INDEX(tbl_Consulting[Client],$BI497)))&amp;"")</f>
        <v/>
      </c>
      <c r="E497" s="10">
        <f>IF($C497="","",IF(COUNTIF(lst_Jobs,$C497)&gt;0,"OK","CHECK"))</f>
        <v/>
      </c>
      <c r="F497" s="10">
        <f>IF($C497="","",IFERROR(INDEX(lst_JobName,MATCH($C497,lst_Jobs,0)),""))</f>
        <v/>
      </c>
      <c r="G497" s="10">
        <f>IF($BI497="","",IF($B497="Onsite",INDEX(tbl_Onsite[Job Description],$BI497),IF($B497="Production",INDEX(tbl_Production[Job Description],$BI497),INDEX(tbl_Consulting[Job Description],$BI497)))&amp;"")</f>
        <v/>
      </c>
      <c r="H497" s="10">
        <f>IF($BI497="","",IF($B497="Onsite",INDEX(tbl_Onsite[Cost Centre],$BI497),IF($B497="Production",INDEX(tbl_Production[Cost Centre],$BI497),INDEX(tbl_Consulting[Cost Centre],$BI497)))&amp;"")</f>
        <v/>
      </c>
      <c r="I497" s="10">
        <f>IF($BI497="","",IF($B497="Onsite",INDEX(tbl_Onsite[Invoice Type],$BI497),IF($B497="Production",INDEX(tbl_Production[Invoice Type],$BI497),INDEX(tbl_Consulting[Invoice Type],$BI497)))&amp;"")</f>
        <v/>
      </c>
      <c r="J497" s="10">
        <f>IF($BI497="","",IF($B497="Onsite",INDEX(tbl_Onsite[Tax Code],$BI497),IF($B497="Production",INDEX(tbl_Production[Tax Code],$BI497),INDEX(tbl_Consulting[Tax Code],$BI497)))&amp;"")</f>
        <v/>
      </c>
      <c r="K497" s="10">
        <f>IF(H497="","",IFERROR(INDEX(lst_CCtoGL,MATCH(H497,lst_CCforGL,0)),""))</f>
        <v/>
      </c>
      <c r="L497" s="10">
        <f>IF($BI497="","",IF($B497="Onsite",INDEX(tbl_Onsite[PO / Reference],$BI497),IF($B497="Production",INDEX(tbl_Production[Current RMS No],$BI497),INDEX(tbl_Consulting[Qwilr Quote],$BI497)))&amp;"")</f>
        <v/>
      </c>
      <c r="M497" s="10">
        <f>IF($BI497="","",IF($B497="Onsite",INDEX(tbl_Onsite[Notes],$BI497),IF($B497="Production",INDEX(tbl_Production[Notes],$BI497),INDEX(tbl_Consulting[Notes],$BI497)))&amp;"")</f>
        <v/>
      </c>
      <c r="N497" s="11">
        <f>IF($BI497="","",IF(IF($B497="Onsite",INDEX(tbl_Onsite[Expected Revenue Ex GST],$BI497),IF($B497="Production",INDEX(tbl_Production[Expected Revenue Ex GST],$BI497),INDEX(tbl_Consulting[Expected Revenue Ex GST],$BI497)))="","",IF($B497="Onsite",INDEX(tbl_Onsite[Expected Revenue Ex GST],$BI497),IF($B497="Production",INDEX(tbl_Production[Expected Revenue Ex GST],$BI497),INDEX(tbl_Consulting[Expected Revenue Ex GST],$BI497)))))</f>
        <v/>
      </c>
      <c r="O497" s="11">
        <f>IF(AND($C497="",NOT(COUNTA($S497:$BB497)&gt;0)),"",SUM(U497,X497,AA497,AD497,AG497,AJ497,AM497,AP497,AS497,AV497,AY497,BB497))</f>
        <v/>
      </c>
      <c r="P497" s="11">
        <f>IF(O497="","",N(N497)-O497)</f>
        <v/>
      </c>
      <c r="Q497" s="10">
        <f>IF(O497="","",IF($C497="","Invoice on empty job row",IF(N497="",IF(ROUND(O497,2)=0,"No dept value","Invoiced - no dept value"),IF(ROUND(O497,2)=0,"Not invoiced - to invoice",IF(ROUND(P497,2)=0,"Agrees",IF(P497&gt;0,"Dept higher - to invoice","Xero higher - check dept"))))))</f>
        <v/>
      </c>
      <c r="R497" s="10">
        <f>IF(AND($C497="",NOT(COUNTA($S497:$BB497)&gt;0),$BI497&lt;&gt;""),"",MID(IF($BI497="","; Row ID not found on the department sheet - a row was deleted","")&amp;IF(AND($C497="",COUNTA($S497:$BB497)&gt;0),"; Invoice entered but the department row has no job number","")&amp;IF(E497="CHECK","; Job number not in the Xero job list","")&amp;IF(AND($C497&lt;&gt;"",COUNTIF($C$7:$C$1506,$C497)&gt;1),"; Job number on more than one row","")&amp;IF(AND($C497&lt;&gt;"",H497=""),"; Dept has not set a cost centre","")&amp;IF(AND($C497&lt;&gt;"",J497=""),"; Dept has not set a tax code","")&amp;IF(AND($C497&lt;&gt;"",N497=""),"; Dept has not entered an expected value","")&amp;IF((IF(OR(COUNTA(S497:U497)=0,AND(COUNTA(S497:U497)=3,ISNUMBER(U497))),0,1)+IF(OR(COUNTA(V497:X497)=0,AND(COUNTA(V497:X497)=3,ISNUMBER(X497))),0,1)+IF(OR(COUNTA(Y497:AA497)=0,AND(COUNTA(Y497:AA497)=3,ISNUMBER(AA497))),0,1)+IF(OR(COUNTA(AB497:AD497)=0,AND(COUNTA(AB497:AD497)=3,ISNUMBER(AD497))),0,1)+IF(OR(COUNTA(AE497:AG497)=0,AND(COUNTA(AE497:AG497)=3,ISNUMBER(AG497))),0,1)+IF(OR(COUNTA(AH497:AJ497)=0,AND(COUNTA(AH497:AJ497)=3,ISNUMBER(AJ497))),0,1)+IF(OR(COUNTA(AK497:AM497)=0,AND(COUNTA(AK497:AM497)=3,ISNUMBER(AM497))),0,1)+IF(OR(COUNTA(AN497:AP497)=0,AND(COUNTA(AN497:AP497)=3,ISNUMBER(AP497))),0,1)+IF(OR(COUNTA(AQ497:AS497)=0,AND(COUNTA(AQ497:AS497)=3,ISNUMBER(AS497))),0,1)+IF(OR(COUNTA(AT497:AV497)=0,AND(COUNTA(AT497:AV497)=3,ISNUMBER(AV497))),0,1)+IF(OR(COUNTA(AW497:AY497)=0,AND(COUNTA(AW497:AY497)=3,ISNUMBER(AY497))),0,1)+IF(OR(COUNTA(AZ497:BB497)=0,AND(COUNTA(AZ497:BB497)=3,ISNUMBER(BB497))),0,1))&gt;0,"; An invoice is incomplete (needs No, Date and a number in Ex GST)","")&amp;IF((IF(T497="",0,IFERROR(--(EOMONTH(T497,0)&lt;&gt;S$5),1))+IF(W497="",0,IFERROR(--(EOMONTH(W497,0)&lt;&gt;V$5),1))+IF(Z497="",0,IFERROR(--(EOMONTH(Z497,0)&lt;&gt;Y$5),1))+IF(AC497="",0,IFERROR(--(EOMONTH(AC497,0)&lt;&gt;AB$5),1))+IF(AF497="",0,IFERROR(--(EOMONTH(AF497,0)&lt;&gt;AE$5),1))+IF(AI497="",0,IFERROR(--(EOMONTH(AI497,0)&lt;&gt;AH$5),1))+IF(AL497="",0,IFERROR(--(EOMONTH(AL497,0)&lt;&gt;AK$5),1))+IF(AO497="",0,IFERROR(--(EOMONTH(AO497,0)&lt;&gt;AN$5),1))+IF(AR497="",0,IFERROR(--(EOMONTH(AR497,0)&lt;&gt;AQ$5),1))+IF(AU497="",0,IFERROR(--(EOMONTH(AU497,0)&lt;&gt;AT$5),1))+IF(AX497="",0,IFERROR(--(EOMONTH(AX497,0)&lt;&gt;AW$5),1))+IF(BA497="",0,IFERROR(--(EOMONTH(BA497,0)&lt;&gt;AZ$5),1)))&gt;0,"; An invoice date is not in the month it is typed under",""),3,500))</f>
        <v/>
      </c>
      <c r="S497" s="12" t="n"/>
      <c r="T497" s="13" t="n"/>
      <c r="U497" s="14" t="n"/>
      <c r="V497" s="12" t="n"/>
      <c r="W497" s="13" t="n"/>
      <c r="X497" s="14" t="n"/>
      <c r="Y497" s="12" t="n"/>
      <c r="Z497" s="13" t="n"/>
      <c r="AA497" s="14" t="n"/>
      <c r="AB497" s="12" t="n"/>
      <c r="AC497" s="13" t="n"/>
      <c r="AD497" s="14" t="n"/>
      <c r="AE497" s="12" t="n"/>
      <c r="AF497" s="13" t="n"/>
      <c r="AG497" s="14" t="n"/>
      <c r="AH497" s="12" t="n"/>
      <c r="AI497" s="13" t="n"/>
      <c r="AJ497" s="14" t="n"/>
      <c r="AK497" s="12" t="n"/>
      <c r="AL497" s="13" t="n"/>
      <c r="AM497" s="14" t="n"/>
      <c r="AN497" s="12" t="n"/>
      <c r="AO497" s="13" t="n"/>
      <c r="AP497" s="14" t="n"/>
      <c r="AQ497" s="12" t="n"/>
      <c r="AR497" s="13" t="n"/>
      <c r="AS497" s="14" t="n"/>
      <c r="AT497" s="12" t="n"/>
      <c r="AU497" s="13" t="n"/>
      <c r="AV497" s="14" t="n"/>
      <c r="AW497" s="12" t="n"/>
      <c r="AX497" s="13" t="n"/>
      <c r="AY497" s="14" t="n"/>
      <c r="AZ497" s="12" t="n"/>
      <c r="BA497" s="13" t="n"/>
      <c r="BB497" s="14" t="n"/>
      <c r="BC497" s="11">
        <f>IF(O497="","",IF(J497="GST 10%",ROUND(O497*set_GSTRate,2),0))</f>
        <v/>
      </c>
      <c r="BD497" s="11">
        <f>IF(O497="","",O497+BC497)</f>
        <v/>
      </c>
      <c r="BE497" s="15">
        <f>IF(O497="","",COUNTA(S497,V497,Y497,AB497,AE497,AH497,AK497,AN497,AQ497,AT497,AW497,AZ497))</f>
        <v/>
      </c>
      <c r="BF497" s="16">
        <f>IF(COUNT(T497,W497,Z497,AC497,AF497,AI497,AL497,AO497,AR497,AU497,AX497,BA497)=0,"",MAX(T497,W497,Z497,AC497,AF497,AI497,AL497,AO497,AR497,AU497,AX497,BA497))</f>
        <v/>
      </c>
      <c r="BG497" s="10">
        <f>MID(IF(S497="","",", "&amp;S497)&amp;IF(V497="","",", "&amp;V497)&amp;IF(Y497="","",", "&amp;Y497)&amp;IF(AB497="","",", "&amp;AB497)&amp;IF(AE497="","",", "&amp;AE497)&amp;IF(AH497="","",", "&amp;AH497)&amp;IF(AK497="","",", "&amp;AK497)&amp;IF(AN497="","",", "&amp;AN497)&amp;IF(AQ497="","",", "&amp;AQ497)&amp;IF(AT497="","",", "&amp;AT497)&amp;IF(AW497="","",", "&amp;AW497)&amp;IF(AZ497="","",", "&amp;AZ497),3,500)</f>
        <v/>
      </c>
      <c r="BH497" s="12" t="n"/>
      <c r="BI497" s="15">
        <f>IFERROR(MATCH($A497,IF($B497="Onsite",tbl_Onsite[Row ID],IF($B497="Production",tbl_Production[Row ID],tbl_Consulting[Row ID])),0),"")</f>
        <v/>
      </c>
    </row>
    <row r="498">
      <c r="A498" s="10" t="inlineStr">
        <is>
          <t>ONS-0492</t>
        </is>
      </c>
      <c r="B498" s="10" t="inlineStr">
        <is>
          <t>Onsite</t>
        </is>
      </c>
      <c r="C498" s="10">
        <f>IF($BI498="","",IF($B498="Onsite",INDEX(tbl_Onsite[Job Number],$BI498),IF($B498="Production",INDEX(tbl_Production[Job Number],$BI498),INDEX(tbl_Consulting[Job Number],$BI498)))&amp;"")</f>
        <v/>
      </c>
      <c r="D498" s="10">
        <f>IF($BI498="","",IF($B498="Onsite",INDEX(tbl_Onsite[Client],$BI498),IF($B498="Production",INDEX(tbl_Production[Client],$BI498),INDEX(tbl_Consulting[Client],$BI498)))&amp;"")</f>
        <v/>
      </c>
      <c r="E498" s="10">
        <f>IF($C498="","",IF(COUNTIF(lst_Jobs,$C498)&gt;0,"OK","CHECK"))</f>
        <v/>
      </c>
      <c r="F498" s="10">
        <f>IF($C498="","",IFERROR(INDEX(lst_JobName,MATCH($C498,lst_Jobs,0)),""))</f>
        <v/>
      </c>
      <c r="G498" s="10">
        <f>IF($BI498="","",IF($B498="Onsite",INDEX(tbl_Onsite[Job Description],$BI498),IF($B498="Production",INDEX(tbl_Production[Job Description],$BI498),INDEX(tbl_Consulting[Job Description],$BI498)))&amp;"")</f>
        <v/>
      </c>
      <c r="H498" s="10">
        <f>IF($BI498="","",IF($B498="Onsite",INDEX(tbl_Onsite[Cost Centre],$BI498),IF($B498="Production",INDEX(tbl_Production[Cost Centre],$BI498),INDEX(tbl_Consulting[Cost Centre],$BI498)))&amp;"")</f>
        <v/>
      </c>
      <c r="I498" s="10">
        <f>IF($BI498="","",IF($B498="Onsite",INDEX(tbl_Onsite[Invoice Type],$BI498),IF($B498="Production",INDEX(tbl_Production[Invoice Type],$BI498),INDEX(tbl_Consulting[Invoice Type],$BI498)))&amp;"")</f>
        <v/>
      </c>
      <c r="J498" s="10">
        <f>IF($BI498="","",IF($B498="Onsite",INDEX(tbl_Onsite[Tax Code],$BI498),IF($B498="Production",INDEX(tbl_Production[Tax Code],$BI498),INDEX(tbl_Consulting[Tax Code],$BI498)))&amp;"")</f>
        <v/>
      </c>
      <c r="K498" s="10">
        <f>IF(H498="","",IFERROR(INDEX(lst_CCtoGL,MATCH(H498,lst_CCforGL,0)),""))</f>
        <v/>
      </c>
      <c r="L498" s="10">
        <f>IF($BI498="","",IF($B498="Onsite",INDEX(tbl_Onsite[PO / Reference],$BI498),IF($B498="Production",INDEX(tbl_Production[Current RMS No],$BI498),INDEX(tbl_Consulting[Qwilr Quote],$BI498)))&amp;"")</f>
        <v/>
      </c>
      <c r="M498" s="10">
        <f>IF($BI498="","",IF($B498="Onsite",INDEX(tbl_Onsite[Notes],$BI498),IF($B498="Production",INDEX(tbl_Production[Notes],$BI498),INDEX(tbl_Consulting[Notes],$BI498)))&amp;"")</f>
        <v/>
      </c>
      <c r="N498" s="11">
        <f>IF($BI498="","",IF(IF($B498="Onsite",INDEX(tbl_Onsite[Expected Revenue Ex GST],$BI498),IF($B498="Production",INDEX(tbl_Production[Expected Revenue Ex GST],$BI498),INDEX(tbl_Consulting[Expected Revenue Ex GST],$BI498)))="","",IF($B498="Onsite",INDEX(tbl_Onsite[Expected Revenue Ex GST],$BI498),IF($B498="Production",INDEX(tbl_Production[Expected Revenue Ex GST],$BI498),INDEX(tbl_Consulting[Expected Revenue Ex GST],$BI498)))))</f>
        <v/>
      </c>
      <c r="O498" s="11">
        <f>IF(AND($C498="",NOT(COUNTA($S498:$BB498)&gt;0)),"",SUM(U498,X498,AA498,AD498,AG498,AJ498,AM498,AP498,AS498,AV498,AY498,BB498))</f>
        <v/>
      </c>
      <c r="P498" s="11">
        <f>IF(O498="","",N(N498)-O498)</f>
        <v/>
      </c>
      <c r="Q498" s="10">
        <f>IF(O498="","",IF($C498="","Invoice on empty job row",IF(N498="",IF(ROUND(O498,2)=0,"No dept value","Invoiced - no dept value"),IF(ROUND(O498,2)=0,"Not invoiced - to invoice",IF(ROUND(P498,2)=0,"Agrees",IF(P498&gt;0,"Dept higher - to invoice","Xero higher - check dept"))))))</f>
        <v/>
      </c>
      <c r="R498" s="10">
        <f>IF(AND($C498="",NOT(COUNTA($S498:$BB498)&gt;0),$BI498&lt;&gt;""),"",MID(IF($BI498="","; Row ID not found on the department sheet - a row was deleted","")&amp;IF(AND($C498="",COUNTA($S498:$BB498)&gt;0),"; Invoice entered but the department row has no job number","")&amp;IF(E498="CHECK","; Job number not in the Xero job list","")&amp;IF(AND($C498&lt;&gt;"",COUNTIF($C$7:$C$1506,$C498)&gt;1),"; Job number on more than one row","")&amp;IF(AND($C498&lt;&gt;"",H498=""),"; Dept has not set a cost centre","")&amp;IF(AND($C498&lt;&gt;"",J498=""),"; Dept has not set a tax code","")&amp;IF(AND($C498&lt;&gt;"",N498=""),"; Dept has not entered an expected value","")&amp;IF((IF(OR(COUNTA(S498:U498)=0,AND(COUNTA(S498:U498)=3,ISNUMBER(U498))),0,1)+IF(OR(COUNTA(V498:X498)=0,AND(COUNTA(V498:X498)=3,ISNUMBER(X498))),0,1)+IF(OR(COUNTA(Y498:AA498)=0,AND(COUNTA(Y498:AA498)=3,ISNUMBER(AA498))),0,1)+IF(OR(COUNTA(AB498:AD498)=0,AND(COUNTA(AB498:AD498)=3,ISNUMBER(AD498))),0,1)+IF(OR(COUNTA(AE498:AG498)=0,AND(COUNTA(AE498:AG498)=3,ISNUMBER(AG498))),0,1)+IF(OR(COUNTA(AH498:AJ498)=0,AND(COUNTA(AH498:AJ498)=3,ISNUMBER(AJ498))),0,1)+IF(OR(COUNTA(AK498:AM498)=0,AND(COUNTA(AK498:AM498)=3,ISNUMBER(AM498))),0,1)+IF(OR(COUNTA(AN498:AP498)=0,AND(COUNTA(AN498:AP498)=3,ISNUMBER(AP498))),0,1)+IF(OR(COUNTA(AQ498:AS498)=0,AND(COUNTA(AQ498:AS498)=3,ISNUMBER(AS498))),0,1)+IF(OR(COUNTA(AT498:AV498)=0,AND(COUNTA(AT498:AV498)=3,ISNUMBER(AV498))),0,1)+IF(OR(COUNTA(AW498:AY498)=0,AND(COUNTA(AW498:AY498)=3,ISNUMBER(AY498))),0,1)+IF(OR(COUNTA(AZ498:BB498)=0,AND(COUNTA(AZ498:BB498)=3,ISNUMBER(BB498))),0,1))&gt;0,"; An invoice is incomplete (needs No, Date and a number in Ex GST)","")&amp;IF((IF(T498="",0,IFERROR(--(EOMONTH(T498,0)&lt;&gt;S$5),1))+IF(W498="",0,IFERROR(--(EOMONTH(W498,0)&lt;&gt;V$5),1))+IF(Z498="",0,IFERROR(--(EOMONTH(Z498,0)&lt;&gt;Y$5),1))+IF(AC498="",0,IFERROR(--(EOMONTH(AC498,0)&lt;&gt;AB$5),1))+IF(AF498="",0,IFERROR(--(EOMONTH(AF498,0)&lt;&gt;AE$5),1))+IF(AI498="",0,IFERROR(--(EOMONTH(AI498,0)&lt;&gt;AH$5),1))+IF(AL498="",0,IFERROR(--(EOMONTH(AL498,0)&lt;&gt;AK$5),1))+IF(AO498="",0,IFERROR(--(EOMONTH(AO498,0)&lt;&gt;AN$5),1))+IF(AR498="",0,IFERROR(--(EOMONTH(AR498,0)&lt;&gt;AQ$5),1))+IF(AU498="",0,IFERROR(--(EOMONTH(AU498,0)&lt;&gt;AT$5),1))+IF(AX498="",0,IFERROR(--(EOMONTH(AX498,0)&lt;&gt;AW$5),1))+IF(BA498="",0,IFERROR(--(EOMONTH(BA498,0)&lt;&gt;AZ$5),1)))&gt;0,"; An invoice date is not in the month it is typed under",""),3,500))</f>
        <v/>
      </c>
      <c r="S498" s="12" t="n"/>
      <c r="T498" s="13" t="n"/>
      <c r="U498" s="14" t="n"/>
      <c r="V498" s="12" t="n"/>
      <c r="W498" s="13" t="n"/>
      <c r="X498" s="14" t="n"/>
      <c r="Y498" s="12" t="n"/>
      <c r="Z498" s="13" t="n"/>
      <c r="AA498" s="14" t="n"/>
      <c r="AB498" s="12" t="n"/>
      <c r="AC498" s="13" t="n"/>
      <c r="AD498" s="14" t="n"/>
      <c r="AE498" s="12" t="n"/>
      <c r="AF498" s="13" t="n"/>
      <c r="AG498" s="14" t="n"/>
      <c r="AH498" s="12" t="n"/>
      <c r="AI498" s="13" t="n"/>
      <c r="AJ498" s="14" t="n"/>
      <c r="AK498" s="12" t="n"/>
      <c r="AL498" s="13" t="n"/>
      <c r="AM498" s="14" t="n"/>
      <c r="AN498" s="12" t="n"/>
      <c r="AO498" s="13" t="n"/>
      <c r="AP498" s="14" t="n"/>
      <c r="AQ498" s="12" t="n"/>
      <c r="AR498" s="13" t="n"/>
      <c r="AS498" s="14" t="n"/>
      <c r="AT498" s="12" t="n"/>
      <c r="AU498" s="13" t="n"/>
      <c r="AV498" s="14" t="n"/>
      <c r="AW498" s="12" t="n"/>
      <c r="AX498" s="13" t="n"/>
      <c r="AY498" s="14" t="n"/>
      <c r="AZ498" s="12" t="n"/>
      <c r="BA498" s="13" t="n"/>
      <c r="BB498" s="14" t="n"/>
      <c r="BC498" s="11">
        <f>IF(O498="","",IF(J498="GST 10%",ROUND(O498*set_GSTRate,2),0))</f>
        <v/>
      </c>
      <c r="BD498" s="11">
        <f>IF(O498="","",O498+BC498)</f>
        <v/>
      </c>
      <c r="BE498" s="15">
        <f>IF(O498="","",COUNTA(S498,V498,Y498,AB498,AE498,AH498,AK498,AN498,AQ498,AT498,AW498,AZ498))</f>
        <v/>
      </c>
      <c r="BF498" s="16">
        <f>IF(COUNT(T498,W498,Z498,AC498,AF498,AI498,AL498,AO498,AR498,AU498,AX498,BA498)=0,"",MAX(T498,W498,Z498,AC498,AF498,AI498,AL498,AO498,AR498,AU498,AX498,BA498))</f>
        <v/>
      </c>
      <c r="BG498" s="10">
        <f>MID(IF(S498="","",", "&amp;S498)&amp;IF(V498="","",", "&amp;V498)&amp;IF(Y498="","",", "&amp;Y498)&amp;IF(AB498="","",", "&amp;AB498)&amp;IF(AE498="","",", "&amp;AE498)&amp;IF(AH498="","",", "&amp;AH498)&amp;IF(AK498="","",", "&amp;AK498)&amp;IF(AN498="","",", "&amp;AN498)&amp;IF(AQ498="","",", "&amp;AQ498)&amp;IF(AT498="","",", "&amp;AT498)&amp;IF(AW498="","",", "&amp;AW498)&amp;IF(AZ498="","",", "&amp;AZ498),3,500)</f>
        <v/>
      </c>
      <c r="BH498" s="12" t="n"/>
      <c r="BI498" s="15">
        <f>IFERROR(MATCH($A498,IF($B498="Onsite",tbl_Onsite[Row ID],IF($B498="Production",tbl_Production[Row ID],tbl_Consulting[Row ID])),0),"")</f>
        <v/>
      </c>
    </row>
    <row r="499">
      <c r="A499" s="10" t="inlineStr">
        <is>
          <t>ONS-0493</t>
        </is>
      </c>
      <c r="B499" s="10" t="inlineStr">
        <is>
          <t>Onsite</t>
        </is>
      </c>
      <c r="C499" s="10">
        <f>IF($BI499="","",IF($B499="Onsite",INDEX(tbl_Onsite[Job Number],$BI499),IF($B499="Production",INDEX(tbl_Production[Job Number],$BI499),INDEX(tbl_Consulting[Job Number],$BI499)))&amp;"")</f>
        <v/>
      </c>
      <c r="D499" s="10">
        <f>IF($BI499="","",IF($B499="Onsite",INDEX(tbl_Onsite[Client],$BI499),IF($B499="Production",INDEX(tbl_Production[Client],$BI499),INDEX(tbl_Consulting[Client],$BI499)))&amp;"")</f>
        <v/>
      </c>
      <c r="E499" s="10">
        <f>IF($C499="","",IF(COUNTIF(lst_Jobs,$C499)&gt;0,"OK","CHECK"))</f>
        <v/>
      </c>
      <c r="F499" s="10">
        <f>IF($C499="","",IFERROR(INDEX(lst_JobName,MATCH($C499,lst_Jobs,0)),""))</f>
        <v/>
      </c>
      <c r="G499" s="10">
        <f>IF($BI499="","",IF($B499="Onsite",INDEX(tbl_Onsite[Job Description],$BI499),IF($B499="Production",INDEX(tbl_Production[Job Description],$BI499),INDEX(tbl_Consulting[Job Description],$BI499)))&amp;"")</f>
        <v/>
      </c>
      <c r="H499" s="10">
        <f>IF($BI499="","",IF($B499="Onsite",INDEX(tbl_Onsite[Cost Centre],$BI499),IF($B499="Production",INDEX(tbl_Production[Cost Centre],$BI499),INDEX(tbl_Consulting[Cost Centre],$BI499)))&amp;"")</f>
        <v/>
      </c>
      <c r="I499" s="10">
        <f>IF($BI499="","",IF($B499="Onsite",INDEX(tbl_Onsite[Invoice Type],$BI499),IF($B499="Production",INDEX(tbl_Production[Invoice Type],$BI499),INDEX(tbl_Consulting[Invoice Type],$BI499)))&amp;"")</f>
        <v/>
      </c>
      <c r="J499" s="10">
        <f>IF($BI499="","",IF($B499="Onsite",INDEX(tbl_Onsite[Tax Code],$BI499),IF($B499="Production",INDEX(tbl_Production[Tax Code],$BI499),INDEX(tbl_Consulting[Tax Code],$BI499)))&amp;"")</f>
        <v/>
      </c>
      <c r="K499" s="10">
        <f>IF(H499="","",IFERROR(INDEX(lst_CCtoGL,MATCH(H499,lst_CCforGL,0)),""))</f>
        <v/>
      </c>
      <c r="L499" s="10">
        <f>IF($BI499="","",IF($B499="Onsite",INDEX(tbl_Onsite[PO / Reference],$BI499),IF($B499="Production",INDEX(tbl_Production[Current RMS No],$BI499),INDEX(tbl_Consulting[Qwilr Quote],$BI499)))&amp;"")</f>
        <v/>
      </c>
      <c r="M499" s="10">
        <f>IF($BI499="","",IF($B499="Onsite",INDEX(tbl_Onsite[Notes],$BI499),IF($B499="Production",INDEX(tbl_Production[Notes],$BI499),INDEX(tbl_Consulting[Notes],$BI499)))&amp;"")</f>
        <v/>
      </c>
      <c r="N499" s="11">
        <f>IF($BI499="","",IF(IF($B499="Onsite",INDEX(tbl_Onsite[Expected Revenue Ex GST],$BI499),IF($B499="Production",INDEX(tbl_Production[Expected Revenue Ex GST],$BI499),INDEX(tbl_Consulting[Expected Revenue Ex GST],$BI499)))="","",IF($B499="Onsite",INDEX(tbl_Onsite[Expected Revenue Ex GST],$BI499),IF($B499="Production",INDEX(tbl_Production[Expected Revenue Ex GST],$BI499),INDEX(tbl_Consulting[Expected Revenue Ex GST],$BI499)))))</f>
        <v/>
      </c>
      <c r="O499" s="11">
        <f>IF(AND($C499="",NOT(COUNTA($S499:$BB499)&gt;0)),"",SUM(U499,X499,AA499,AD499,AG499,AJ499,AM499,AP499,AS499,AV499,AY499,BB499))</f>
        <v/>
      </c>
      <c r="P499" s="11">
        <f>IF(O499="","",N(N499)-O499)</f>
        <v/>
      </c>
      <c r="Q499" s="10">
        <f>IF(O499="","",IF($C499="","Invoice on empty job row",IF(N499="",IF(ROUND(O499,2)=0,"No dept value","Invoiced - no dept value"),IF(ROUND(O499,2)=0,"Not invoiced - to invoice",IF(ROUND(P499,2)=0,"Agrees",IF(P499&gt;0,"Dept higher - to invoice","Xero higher - check dept"))))))</f>
        <v/>
      </c>
      <c r="R499" s="10">
        <f>IF(AND($C499="",NOT(COUNTA($S499:$BB499)&gt;0),$BI499&lt;&gt;""),"",MID(IF($BI499="","; Row ID not found on the department sheet - a row was deleted","")&amp;IF(AND($C499="",COUNTA($S499:$BB499)&gt;0),"; Invoice entered but the department row has no job number","")&amp;IF(E499="CHECK","; Job number not in the Xero job list","")&amp;IF(AND($C499&lt;&gt;"",COUNTIF($C$7:$C$1506,$C499)&gt;1),"; Job number on more than one row","")&amp;IF(AND($C499&lt;&gt;"",H499=""),"; Dept has not set a cost centre","")&amp;IF(AND($C499&lt;&gt;"",J499=""),"; Dept has not set a tax code","")&amp;IF(AND($C499&lt;&gt;"",N499=""),"; Dept has not entered an expected value","")&amp;IF((IF(OR(COUNTA(S499:U499)=0,AND(COUNTA(S499:U499)=3,ISNUMBER(U499))),0,1)+IF(OR(COUNTA(V499:X499)=0,AND(COUNTA(V499:X499)=3,ISNUMBER(X499))),0,1)+IF(OR(COUNTA(Y499:AA499)=0,AND(COUNTA(Y499:AA499)=3,ISNUMBER(AA499))),0,1)+IF(OR(COUNTA(AB499:AD499)=0,AND(COUNTA(AB499:AD499)=3,ISNUMBER(AD499))),0,1)+IF(OR(COUNTA(AE499:AG499)=0,AND(COUNTA(AE499:AG499)=3,ISNUMBER(AG499))),0,1)+IF(OR(COUNTA(AH499:AJ499)=0,AND(COUNTA(AH499:AJ499)=3,ISNUMBER(AJ499))),0,1)+IF(OR(COUNTA(AK499:AM499)=0,AND(COUNTA(AK499:AM499)=3,ISNUMBER(AM499))),0,1)+IF(OR(COUNTA(AN499:AP499)=0,AND(COUNTA(AN499:AP499)=3,ISNUMBER(AP499))),0,1)+IF(OR(COUNTA(AQ499:AS499)=0,AND(COUNTA(AQ499:AS499)=3,ISNUMBER(AS499))),0,1)+IF(OR(COUNTA(AT499:AV499)=0,AND(COUNTA(AT499:AV499)=3,ISNUMBER(AV499))),0,1)+IF(OR(COUNTA(AW499:AY499)=0,AND(COUNTA(AW499:AY499)=3,ISNUMBER(AY499))),0,1)+IF(OR(COUNTA(AZ499:BB499)=0,AND(COUNTA(AZ499:BB499)=3,ISNUMBER(BB499))),0,1))&gt;0,"; An invoice is incomplete (needs No, Date and a number in Ex GST)","")&amp;IF((IF(T499="",0,IFERROR(--(EOMONTH(T499,0)&lt;&gt;S$5),1))+IF(W499="",0,IFERROR(--(EOMONTH(W499,0)&lt;&gt;V$5),1))+IF(Z499="",0,IFERROR(--(EOMONTH(Z499,0)&lt;&gt;Y$5),1))+IF(AC499="",0,IFERROR(--(EOMONTH(AC499,0)&lt;&gt;AB$5),1))+IF(AF499="",0,IFERROR(--(EOMONTH(AF499,0)&lt;&gt;AE$5),1))+IF(AI499="",0,IFERROR(--(EOMONTH(AI499,0)&lt;&gt;AH$5),1))+IF(AL499="",0,IFERROR(--(EOMONTH(AL499,0)&lt;&gt;AK$5),1))+IF(AO499="",0,IFERROR(--(EOMONTH(AO499,0)&lt;&gt;AN$5),1))+IF(AR499="",0,IFERROR(--(EOMONTH(AR499,0)&lt;&gt;AQ$5),1))+IF(AU499="",0,IFERROR(--(EOMONTH(AU499,0)&lt;&gt;AT$5),1))+IF(AX499="",0,IFERROR(--(EOMONTH(AX499,0)&lt;&gt;AW$5),1))+IF(BA499="",0,IFERROR(--(EOMONTH(BA499,0)&lt;&gt;AZ$5),1)))&gt;0,"; An invoice date is not in the month it is typed under",""),3,500))</f>
        <v/>
      </c>
      <c r="S499" s="12" t="n"/>
      <c r="T499" s="13" t="n"/>
      <c r="U499" s="14" t="n"/>
      <c r="V499" s="12" t="n"/>
      <c r="W499" s="13" t="n"/>
      <c r="X499" s="14" t="n"/>
      <c r="Y499" s="12" t="n"/>
      <c r="Z499" s="13" t="n"/>
      <c r="AA499" s="14" t="n"/>
      <c r="AB499" s="12" t="n"/>
      <c r="AC499" s="13" t="n"/>
      <c r="AD499" s="14" t="n"/>
      <c r="AE499" s="12" t="n"/>
      <c r="AF499" s="13" t="n"/>
      <c r="AG499" s="14" t="n"/>
      <c r="AH499" s="12" t="n"/>
      <c r="AI499" s="13" t="n"/>
      <c r="AJ499" s="14" t="n"/>
      <c r="AK499" s="12" t="n"/>
      <c r="AL499" s="13" t="n"/>
      <c r="AM499" s="14" t="n"/>
      <c r="AN499" s="12" t="n"/>
      <c r="AO499" s="13" t="n"/>
      <c r="AP499" s="14" t="n"/>
      <c r="AQ499" s="12" t="n"/>
      <c r="AR499" s="13" t="n"/>
      <c r="AS499" s="14" t="n"/>
      <c r="AT499" s="12" t="n"/>
      <c r="AU499" s="13" t="n"/>
      <c r="AV499" s="14" t="n"/>
      <c r="AW499" s="12" t="n"/>
      <c r="AX499" s="13" t="n"/>
      <c r="AY499" s="14" t="n"/>
      <c r="AZ499" s="12" t="n"/>
      <c r="BA499" s="13" t="n"/>
      <c r="BB499" s="14" t="n"/>
      <c r="BC499" s="11">
        <f>IF(O499="","",IF(J499="GST 10%",ROUND(O499*set_GSTRate,2),0))</f>
        <v/>
      </c>
      <c r="BD499" s="11">
        <f>IF(O499="","",O499+BC499)</f>
        <v/>
      </c>
      <c r="BE499" s="15">
        <f>IF(O499="","",COUNTA(S499,V499,Y499,AB499,AE499,AH499,AK499,AN499,AQ499,AT499,AW499,AZ499))</f>
        <v/>
      </c>
      <c r="BF499" s="16">
        <f>IF(COUNT(T499,W499,Z499,AC499,AF499,AI499,AL499,AO499,AR499,AU499,AX499,BA499)=0,"",MAX(T499,W499,Z499,AC499,AF499,AI499,AL499,AO499,AR499,AU499,AX499,BA499))</f>
        <v/>
      </c>
      <c r="BG499" s="10">
        <f>MID(IF(S499="","",", "&amp;S499)&amp;IF(V499="","",", "&amp;V499)&amp;IF(Y499="","",", "&amp;Y499)&amp;IF(AB499="","",", "&amp;AB499)&amp;IF(AE499="","",", "&amp;AE499)&amp;IF(AH499="","",", "&amp;AH499)&amp;IF(AK499="","",", "&amp;AK499)&amp;IF(AN499="","",", "&amp;AN499)&amp;IF(AQ499="","",", "&amp;AQ499)&amp;IF(AT499="","",", "&amp;AT499)&amp;IF(AW499="","",", "&amp;AW499)&amp;IF(AZ499="","",", "&amp;AZ499),3,500)</f>
        <v/>
      </c>
      <c r="BH499" s="12" t="n"/>
      <c r="BI499" s="15">
        <f>IFERROR(MATCH($A499,IF($B499="Onsite",tbl_Onsite[Row ID],IF($B499="Production",tbl_Production[Row ID],tbl_Consulting[Row ID])),0),"")</f>
        <v/>
      </c>
    </row>
    <row r="500">
      <c r="A500" s="10" t="inlineStr">
        <is>
          <t>ONS-0494</t>
        </is>
      </c>
      <c r="B500" s="10" t="inlineStr">
        <is>
          <t>Onsite</t>
        </is>
      </c>
      <c r="C500" s="10">
        <f>IF($BI500="","",IF($B500="Onsite",INDEX(tbl_Onsite[Job Number],$BI500),IF($B500="Production",INDEX(tbl_Production[Job Number],$BI500),INDEX(tbl_Consulting[Job Number],$BI500)))&amp;"")</f>
        <v/>
      </c>
      <c r="D500" s="10">
        <f>IF($BI500="","",IF($B500="Onsite",INDEX(tbl_Onsite[Client],$BI500),IF($B500="Production",INDEX(tbl_Production[Client],$BI500),INDEX(tbl_Consulting[Client],$BI500)))&amp;"")</f>
        <v/>
      </c>
      <c r="E500" s="10">
        <f>IF($C500="","",IF(COUNTIF(lst_Jobs,$C500)&gt;0,"OK","CHECK"))</f>
        <v/>
      </c>
      <c r="F500" s="10">
        <f>IF($C500="","",IFERROR(INDEX(lst_JobName,MATCH($C500,lst_Jobs,0)),""))</f>
        <v/>
      </c>
      <c r="G500" s="10">
        <f>IF($BI500="","",IF($B500="Onsite",INDEX(tbl_Onsite[Job Description],$BI500),IF($B500="Production",INDEX(tbl_Production[Job Description],$BI500),INDEX(tbl_Consulting[Job Description],$BI500)))&amp;"")</f>
        <v/>
      </c>
      <c r="H500" s="10">
        <f>IF($BI500="","",IF($B500="Onsite",INDEX(tbl_Onsite[Cost Centre],$BI500),IF($B500="Production",INDEX(tbl_Production[Cost Centre],$BI500),INDEX(tbl_Consulting[Cost Centre],$BI500)))&amp;"")</f>
        <v/>
      </c>
      <c r="I500" s="10">
        <f>IF($BI500="","",IF($B500="Onsite",INDEX(tbl_Onsite[Invoice Type],$BI500),IF($B500="Production",INDEX(tbl_Production[Invoice Type],$BI500),INDEX(tbl_Consulting[Invoice Type],$BI500)))&amp;"")</f>
        <v/>
      </c>
      <c r="J500" s="10">
        <f>IF($BI500="","",IF($B500="Onsite",INDEX(tbl_Onsite[Tax Code],$BI500),IF($B500="Production",INDEX(tbl_Production[Tax Code],$BI500),INDEX(tbl_Consulting[Tax Code],$BI500)))&amp;"")</f>
        <v/>
      </c>
      <c r="K500" s="10">
        <f>IF(H500="","",IFERROR(INDEX(lst_CCtoGL,MATCH(H500,lst_CCforGL,0)),""))</f>
        <v/>
      </c>
      <c r="L500" s="10">
        <f>IF($BI500="","",IF($B500="Onsite",INDEX(tbl_Onsite[PO / Reference],$BI500),IF($B500="Production",INDEX(tbl_Production[Current RMS No],$BI500),INDEX(tbl_Consulting[Qwilr Quote],$BI500)))&amp;"")</f>
        <v/>
      </c>
      <c r="M500" s="10">
        <f>IF($BI500="","",IF($B500="Onsite",INDEX(tbl_Onsite[Notes],$BI500),IF($B500="Production",INDEX(tbl_Production[Notes],$BI500),INDEX(tbl_Consulting[Notes],$BI500)))&amp;"")</f>
        <v/>
      </c>
      <c r="N500" s="11">
        <f>IF($BI500="","",IF(IF($B500="Onsite",INDEX(tbl_Onsite[Expected Revenue Ex GST],$BI500),IF($B500="Production",INDEX(tbl_Production[Expected Revenue Ex GST],$BI500),INDEX(tbl_Consulting[Expected Revenue Ex GST],$BI500)))="","",IF($B500="Onsite",INDEX(tbl_Onsite[Expected Revenue Ex GST],$BI500),IF($B500="Production",INDEX(tbl_Production[Expected Revenue Ex GST],$BI500),INDEX(tbl_Consulting[Expected Revenue Ex GST],$BI500)))))</f>
        <v/>
      </c>
      <c r="O500" s="11">
        <f>IF(AND($C500="",NOT(COUNTA($S500:$BB500)&gt;0)),"",SUM(U500,X500,AA500,AD500,AG500,AJ500,AM500,AP500,AS500,AV500,AY500,BB500))</f>
        <v/>
      </c>
      <c r="P500" s="11">
        <f>IF(O500="","",N(N500)-O500)</f>
        <v/>
      </c>
      <c r="Q500" s="10">
        <f>IF(O500="","",IF($C500="","Invoice on empty job row",IF(N500="",IF(ROUND(O500,2)=0,"No dept value","Invoiced - no dept value"),IF(ROUND(O500,2)=0,"Not invoiced - to invoice",IF(ROUND(P500,2)=0,"Agrees",IF(P500&gt;0,"Dept higher - to invoice","Xero higher - check dept"))))))</f>
        <v/>
      </c>
      <c r="R500" s="10">
        <f>IF(AND($C500="",NOT(COUNTA($S500:$BB500)&gt;0),$BI500&lt;&gt;""),"",MID(IF($BI500="","; Row ID not found on the department sheet - a row was deleted","")&amp;IF(AND($C500="",COUNTA($S500:$BB500)&gt;0),"; Invoice entered but the department row has no job number","")&amp;IF(E500="CHECK","; Job number not in the Xero job list","")&amp;IF(AND($C500&lt;&gt;"",COUNTIF($C$7:$C$1506,$C500)&gt;1),"; Job number on more than one row","")&amp;IF(AND($C500&lt;&gt;"",H500=""),"; Dept has not set a cost centre","")&amp;IF(AND($C500&lt;&gt;"",J500=""),"; Dept has not set a tax code","")&amp;IF(AND($C500&lt;&gt;"",N500=""),"; Dept has not entered an expected value","")&amp;IF((IF(OR(COUNTA(S500:U500)=0,AND(COUNTA(S500:U500)=3,ISNUMBER(U500))),0,1)+IF(OR(COUNTA(V500:X500)=0,AND(COUNTA(V500:X500)=3,ISNUMBER(X500))),0,1)+IF(OR(COUNTA(Y500:AA500)=0,AND(COUNTA(Y500:AA500)=3,ISNUMBER(AA500))),0,1)+IF(OR(COUNTA(AB500:AD500)=0,AND(COUNTA(AB500:AD500)=3,ISNUMBER(AD500))),0,1)+IF(OR(COUNTA(AE500:AG500)=0,AND(COUNTA(AE500:AG500)=3,ISNUMBER(AG500))),0,1)+IF(OR(COUNTA(AH500:AJ500)=0,AND(COUNTA(AH500:AJ500)=3,ISNUMBER(AJ500))),0,1)+IF(OR(COUNTA(AK500:AM500)=0,AND(COUNTA(AK500:AM500)=3,ISNUMBER(AM500))),0,1)+IF(OR(COUNTA(AN500:AP500)=0,AND(COUNTA(AN500:AP500)=3,ISNUMBER(AP500))),0,1)+IF(OR(COUNTA(AQ500:AS500)=0,AND(COUNTA(AQ500:AS500)=3,ISNUMBER(AS500))),0,1)+IF(OR(COUNTA(AT500:AV500)=0,AND(COUNTA(AT500:AV500)=3,ISNUMBER(AV500))),0,1)+IF(OR(COUNTA(AW500:AY500)=0,AND(COUNTA(AW500:AY500)=3,ISNUMBER(AY500))),0,1)+IF(OR(COUNTA(AZ500:BB500)=0,AND(COUNTA(AZ500:BB500)=3,ISNUMBER(BB500))),0,1))&gt;0,"; An invoice is incomplete (needs No, Date and a number in Ex GST)","")&amp;IF((IF(T500="",0,IFERROR(--(EOMONTH(T500,0)&lt;&gt;S$5),1))+IF(W500="",0,IFERROR(--(EOMONTH(W500,0)&lt;&gt;V$5),1))+IF(Z500="",0,IFERROR(--(EOMONTH(Z500,0)&lt;&gt;Y$5),1))+IF(AC500="",0,IFERROR(--(EOMONTH(AC500,0)&lt;&gt;AB$5),1))+IF(AF500="",0,IFERROR(--(EOMONTH(AF500,0)&lt;&gt;AE$5),1))+IF(AI500="",0,IFERROR(--(EOMONTH(AI500,0)&lt;&gt;AH$5),1))+IF(AL500="",0,IFERROR(--(EOMONTH(AL500,0)&lt;&gt;AK$5),1))+IF(AO500="",0,IFERROR(--(EOMONTH(AO500,0)&lt;&gt;AN$5),1))+IF(AR500="",0,IFERROR(--(EOMONTH(AR500,0)&lt;&gt;AQ$5),1))+IF(AU500="",0,IFERROR(--(EOMONTH(AU500,0)&lt;&gt;AT$5),1))+IF(AX500="",0,IFERROR(--(EOMONTH(AX500,0)&lt;&gt;AW$5),1))+IF(BA500="",0,IFERROR(--(EOMONTH(BA500,0)&lt;&gt;AZ$5),1)))&gt;0,"; An invoice date is not in the month it is typed under",""),3,500))</f>
        <v/>
      </c>
      <c r="S500" s="12" t="n"/>
      <c r="T500" s="13" t="n"/>
      <c r="U500" s="14" t="n"/>
      <c r="V500" s="12" t="n"/>
      <c r="W500" s="13" t="n"/>
      <c r="X500" s="14" t="n"/>
      <c r="Y500" s="12" t="n"/>
      <c r="Z500" s="13" t="n"/>
      <c r="AA500" s="14" t="n"/>
      <c r="AB500" s="12" t="n"/>
      <c r="AC500" s="13" t="n"/>
      <c r="AD500" s="14" t="n"/>
      <c r="AE500" s="12" t="n"/>
      <c r="AF500" s="13" t="n"/>
      <c r="AG500" s="14" t="n"/>
      <c r="AH500" s="12" t="n"/>
      <c r="AI500" s="13" t="n"/>
      <c r="AJ500" s="14" t="n"/>
      <c r="AK500" s="12" t="n"/>
      <c r="AL500" s="13" t="n"/>
      <c r="AM500" s="14" t="n"/>
      <c r="AN500" s="12" t="n"/>
      <c r="AO500" s="13" t="n"/>
      <c r="AP500" s="14" t="n"/>
      <c r="AQ500" s="12" t="n"/>
      <c r="AR500" s="13" t="n"/>
      <c r="AS500" s="14" t="n"/>
      <c r="AT500" s="12" t="n"/>
      <c r="AU500" s="13" t="n"/>
      <c r="AV500" s="14" t="n"/>
      <c r="AW500" s="12" t="n"/>
      <c r="AX500" s="13" t="n"/>
      <c r="AY500" s="14" t="n"/>
      <c r="AZ500" s="12" t="n"/>
      <c r="BA500" s="13" t="n"/>
      <c r="BB500" s="14" t="n"/>
      <c r="BC500" s="11">
        <f>IF(O500="","",IF(J500="GST 10%",ROUND(O500*set_GSTRate,2),0))</f>
        <v/>
      </c>
      <c r="BD500" s="11">
        <f>IF(O500="","",O500+BC500)</f>
        <v/>
      </c>
      <c r="BE500" s="15">
        <f>IF(O500="","",COUNTA(S500,V500,Y500,AB500,AE500,AH500,AK500,AN500,AQ500,AT500,AW500,AZ500))</f>
        <v/>
      </c>
      <c r="BF500" s="16">
        <f>IF(COUNT(T500,W500,Z500,AC500,AF500,AI500,AL500,AO500,AR500,AU500,AX500,BA500)=0,"",MAX(T500,W500,Z500,AC500,AF500,AI500,AL500,AO500,AR500,AU500,AX500,BA500))</f>
        <v/>
      </c>
      <c r="BG500" s="10">
        <f>MID(IF(S500="","",", "&amp;S500)&amp;IF(V500="","",", "&amp;V500)&amp;IF(Y500="","",", "&amp;Y500)&amp;IF(AB500="","",", "&amp;AB500)&amp;IF(AE500="","",", "&amp;AE500)&amp;IF(AH500="","",", "&amp;AH500)&amp;IF(AK500="","",", "&amp;AK500)&amp;IF(AN500="","",", "&amp;AN500)&amp;IF(AQ500="","",", "&amp;AQ500)&amp;IF(AT500="","",", "&amp;AT500)&amp;IF(AW500="","",", "&amp;AW500)&amp;IF(AZ500="","",", "&amp;AZ500),3,500)</f>
        <v/>
      </c>
      <c r="BH500" s="12" t="n"/>
      <c r="BI500" s="15">
        <f>IFERROR(MATCH($A500,IF($B500="Onsite",tbl_Onsite[Row ID],IF($B500="Production",tbl_Production[Row ID],tbl_Consulting[Row ID])),0),"")</f>
        <v/>
      </c>
    </row>
    <row r="501">
      <c r="A501" s="10" t="inlineStr">
        <is>
          <t>ONS-0495</t>
        </is>
      </c>
      <c r="B501" s="10" t="inlineStr">
        <is>
          <t>Onsite</t>
        </is>
      </c>
      <c r="C501" s="10">
        <f>IF($BI501="","",IF($B501="Onsite",INDEX(tbl_Onsite[Job Number],$BI501),IF($B501="Production",INDEX(tbl_Production[Job Number],$BI501),INDEX(tbl_Consulting[Job Number],$BI501)))&amp;"")</f>
        <v/>
      </c>
      <c r="D501" s="10">
        <f>IF($BI501="","",IF($B501="Onsite",INDEX(tbl_Onsite[Client],$BI501),IF($B501="Production",INDEX(tbl_Production[Client],$BI501),INDEX(tbl_Consulting[Client],$BI501)))&amp;"")</f>
        <v/>
      </c>
      <c r="E501" s="10">
        <f>IF($C501="","",IF(COUNTIF(lst_Jobs,$C501)&gt;0,"OK","CHECK"))</f>
        <v/>
      </c>
      <c r="F501" s="10">
        <f>IF($C501="","",IFERROR(INDEX(lst_JobName,MATCH($C501,lst_Jobs,0)),""))</f>
        <v/>
      </c>
      <c r="G501" s="10">
        <f>IF($BI501="","",IF($B501="Onsite",INDEX(tbl_Onsite[Job Description],$BI501),IF($B501="Production",INDEX(tbl_Production[Job Description],$BI501),INDEX(tbl_Consulting[Job Description],$BI501)))&amp;"")</f>
        <v/>
      </c>
      <c r="H501" s="10">
        <f>IF($BI501="","",IF($B501="Onsite",INDEX(tbl_Onsite[Cost Centre],$BI501),IF($B501="Production",INDEX(tbl_Production[Cost Centre],$BI501),INDEX(tbl_Consulting[Cost Centre],$BI501)))&amp;"")</f>
        <v/>
      </c>
      <c r="I501" s="10">
        <f>IF($BI501="","",IF($B501="Onsite",INDEX(tbl_Onsite[Invoice Type],$BI501),IF($B501="Production",INDEX(tbl_Production[Invoice Type],$BI501),INDEX(tbl_Consulting[Invoice Type],$BI501)))&amp;"")</f>
        <v/>
      </c>
      <c r="J501" s="10">
        <f>IF($BI501="","",IF($B501="Onsite",INDEX(tbl_Onsite[Tax Code],$BI501),IF($B501="Production",INDEX(tbl_Production[Tax Code],$BI501),INDEX(tbl_Consulting[Tax Code],$BI501)))&amp;"")</f>
        <v/>
      </c>
      <c r="K501" s="10">
        <f>IF(H501="","",IFERROR(INDEX(lst_CCtoGL,MATCH(H501,lst_CCforGL,0)),""))</f>
        <v/>
      </c>
      <c r="L501" s="10">
        <f>IF($BI501="","",IF($B501="Onsite",INDEX(tbl_Onsite[PO / Reference],$BI501),IF($B501="Production",INDEX(tbl_Production[Current RMS No],$BI501),INDEX(tbl_Consulting[Qwilr Quote],$BI501)))&amp;"")</f>
        <v/>
      </c>
      <c r="M501" s="10">
        <f>IF($BI501="","",IF($B501="Onsite",INDEX(tbl_Onsite[Notes],$BI501),IF($B501="Production",INDEX(tbl_Production[Notes],$BI501),INDEX(tbl_Consulting[Notes],$BI501)))&amp;"")</f>
        <v/>
      </c>
      <c r="N501" s="11">
        <f>IF($BI501="","",IF(IF($B501="Onsite",INDEX(tbl_Onsite[Expected Revenue Ex GST],$BI501),IF($B501="Production",INDEX(tbl_Production[Expected Revenue Ex GST],$BI501),INDEX(tbl_Consulting[Expected Revenue Ex GST],$BI501)))="","",IF($B501="Onsite",INDEX(tbl_Onsite[Expected Revenue Ex GST],$BI501),IF($B501="Production",INDEX(tbl_Production[Expected Revenue Ex GST],$BI501),INDEX(tbl_Consulting[Expected Revenue Ex GST],$BI501)))))</f>
        <v/>
      </c>
      <c r="O501" s="11">
        <f>IF(AND($C501="",NOT(COUNTA($S501:$BB501)&gt;0)),"",SUM(U501,X501,AA501,AD501,AG501,AJ501,AM501,AP501,AS501,AV501,AY501,BB501))</f>
        <v/>
      </c>
      <c r="P501" s="11">
        <f>IF(O501="","",N(N501)-O501)</f>
        <v/>
      </c>
      <c r="Q501" s="10">
        <f>IF(O501="","",IF($C501="","Invoice on empty job row",IF(N501="",IF(ROUND(O501,2)=0,"No dept value","Invoiced - no dept value"),IF(ROUND(O501,2)=0,"Not invoiced - to invoice",IF(ROUND(P501,2)=0,"Agrees",IF(P501&gt;0,"Dept higher - to invoice","Xero higher - check dept"))))))</f>
        <v/>
      </c>
      <c r="R501" s="10">
        <f>IF(AND($C501="",NOT(COUNTA($S501:$BB501)&gt;0),$BI501&lt;&gt;""),"",MID(IF($BI501="","; Row ID not found on the department sheet - a row was deleted","")&amp;IF(AND($C501="",COUNTA($S501:$BB501)&gt;0),"; Invoice entered but the department row has no job number","")&amp;IF(E501="CHECK","; Job number not in the Xero job list","")&amp;IF(AND($C501&lt;&gt;"",COUNTIF($C$7:$C$1506,$C501)&gt;1),"; Job number on more than one row","")&amp;IF(AND($C501&lt;&gt;"",H501=""),"; Dept has not set a cost centre","")&amp;IF(AND($C501&lt;&gt;"",J501=""),"; Dept has not set a tax code","")&amp;IF(AND($C501&lt;&gt;"",N501=""),"; Dept has not entered an expected value","")&amp;IF((IF(OR(COUNTA(S501:U501)=0,AND(COUNTA(S501:U501)=3,ISNUMBER(U501))),0,1)+IF(OR(COUNTA(V501:X501)=0,AND(COUNTA(V501:X501)=3,ISNUMBER(X501))),0,1)+IF(OR(COUNTA(Y501:AA501)=0,AND(COUNTA(Y501:AA501)=3,ISNUMBER(AA501))),0,1)+IF(OR(COUNTA(AB501:AD501)=0,AND(COUNTA(AB501:AD501)=3,ISNUMBER(AD501))),0,1)+IF(OR(COUNTA(AE501:AG501)=0,AND(COUNTA(AE501:AG501)=3,ISNUMBER(AG501))),0,1)+IF(OR(COUNTA(AH501:AJ501)=0,AND(COUNTA(AH501:AJ501)=3,ISNUMBER(AJ501))),0,1)+IF(OR(COUNTA(AK501:AM501)=0,AND(COUNTA(AK501:AM501)=3,ISNUMBER(AM501))),0,1)+IF(OR(COUNTA(AN501:AP501)=0,AND(COUNTA(AN501:AP501)=3,ISNUMBER(AP501))),0,1)+IF(OR(COUNTA(AQ501:AS501)=0,AND(COUNTA(AQ501:AS501)=3,ISNUMBER(AS501))),0,1)+IF(OR(COUNTA(AT501:AV501)=0,AND(COUNTA(AT501:AV501)=3,ISNUMBER(AV501))),0,1)+IF(OR(COUNTA(AW501:AY501)=0,AND(COUNTA(AW501:AY501)=3,ISNUMBER(AY501))),0,1)+IF(OR(COUNTA(AZ501:BB501)=0,AND(COUNTA(AZ501:BB501)=3,ISNUMBER(BB501))),0,1))&gt;0,"; An invoice is incomplete (needs No, Date and a number in Ex GST)","")&amp;IF((IF(T501="",0,IFERROR(--(EOMONTH(T501,0)&lt;&gt;S$5),1))+IF(W501="",0,IFERROR(--(EOMONTH(W501,0)&lt;&gt;V$5),1))+IF(Z501="",0,IFERROR(--(EOMONTH(Z501,0)&lt;&gt;Y$5),1))+IF(AC501="",0,IFERROR(--(EOMONTH(AC501,0)&lt;&gt;AB$5),1))+IF(AF501="",0,IFERROR(--(EOMONTH(AF501,0)&lt;&gt;AE$5),1))+IF(AI501="",0,IFERROR(--(EOMONTH(AI501,0)&lt;&gt;AH$5),1))+IF(AL501="",0,IFERROR(--(EOMONTH(AL501,0)&lt;&gt;AK$5),1))+IF(AO501="",0,IFERROR(--(EOMONTH(AO501,0)&lt;&gt;AN$5),1))+IF(AR501="",0,IFERROR(--(EOMONTH(AR501,0)&lt;&gt;AQ$5),1))+IF(AU501="",0,IFERROR(--(EOMONTH(AU501,0)&lt;&gt;AT$5),1))+IF(AX501="",0,IFERROR(--(EOMONTH(AX501,0)&lt;&gt;AW$5),1))+IF(BA501="",0,IFERROR(--(EOMONTH(BA501,0)&lt;&gt;AZ$5),1)))&gt;0,"; An invoice date is not in the month it is typed under",""),3,500))</f>
        <v/>
      </c>
      <c r="S501" s="12" t="n"/>
      <c r="T501" s="13" t="n"/>
      <c r="U501" s="14" t="n"/>
      <c r="V501" s="12" t="n"/>
      <c r="W501" s="13" t="n"/>
      <c r="X501" s="14" t="n"/>
      <c r="Y501" s="12" t="n"/>
      <c r="Z501" s="13" t="n"/>
      <c r="AA501" s="14" t="n"/>
      <c r="AB501" s="12" t="n"/>
      <c r="AC501" s="13" t="n"/>
      <c r="AD501" s="14" t="n"/>
      <c r="AE501" s="12" t="n"/>
      <c r="AF501" s="13" t="n"/>
      <c r="AG501" s="14" t="n"/>
      <c r="AH501" s="12" t="n"/>
      <c r="AI501" s="13" t="n"/>
      <c r="AJ501" s="14" t="n"/>
      <c r="AK501" s="12" t="n"/>
      <c r="AL501" s="13" t="n"/>
      <c r="AM501" s="14" t="n"/>
      <c r="AN501" s="12" t="n"/>
      <c r="AO501" s="13" t="n"/>
      <c r="AP501" s="14" t="n"/>
      <c r="AQ501" s="12" t="n"/>
      <c r="AR501" s="13" t="n"/>
      <c r="AS501" s="14" t="n"/>
      <c r="AT501" s="12" t="n"/>
      <c r="AU501" s="13" t="n"/>
      <c r="AV501" s="14" t="n"/>
      <c r="AW501" s="12" t="n"/>
      <c r="AX501" s="13" t="n"/>
      <c r="AY501" s="14" t="n"/>
      <c r="AZ501" s="12" t="n"/>
      <c r="BA501" s="13" t="n"/>
      <c r="BB501" s="14" t="n"/>
      <c r="BC501" s="11">
        <f>IF(O501="","",IF(J501="GST 10%",ROUND(O501*set_GSTRate,2),0))</f>
        <v/>
      </c>
      <c r="BD501" s="11">
        <f>IF(O501="","",O501+BC501)</f>
        <v/>
      </c>
      <c r="BE501" s="15">
        <f>IF(O501="","",COUNTA(S501,V501,Y501,AB501,AE501,AH501,AK501,AN501,AQ501,AT501,AW501,AZ501))</f>
        <v/>
      </c>
      <c r="BF501" s="16">
        <f>IF(COUNT(T501,W501,Z501,AC501,AF501,AI501,AL501,AO501,AR501,AU501,AX501,BA501)=0,"",MAX(T501,W501,Z501,AC501,AF501,AI501,AL501,AO501,AR501,AU501,AX501,BA501))</f>
        <v/>
      </c>
      <c r="BG501" s="10">
        <f>MID(IF(S501="","",", "&amp;S501)&amp;IF(V501="","",", "&amp;V501)&amp;IF(Y501="","",", "&amp;Y501)&amp;IF(AB501="","",", "&amp;AB501)&amp;IF(AE501="","",", "&amp;AE501)&amp;IF(AH501="","",", "&amp;AH501)&amp;IF(AK501="","",", "&amp;AK501)&amp;IF(AN501="","",", "&amp;AN501)&amp;IF(AQ501="","",", "&amp;AQ501)&amp;IF(AT501="","",", "&amp;AT501)&amp;IF(AW501="","",", "&amp;AW501)&amp;IF(AZ501="","",", "&amp;AZ501),3,500)</f>
        <v/>
      </c>
      <c r="BH501" s="12" t="n"/>
      <c r="BI501" s="15">
        <f>IFERROR(MATCH($A501,IF($B501="Onsite",tbl_Onsite[Row ID],IF($B501="Production",tbl_Production[Row ID],tbl_Consulting[Row ID])),0),"")</f>
        <v/>
      </c>
    </row>
    <row r="502">
      <c r="A502" s="10" t="inlineStr">
        <is>
          <t>ONS-0496</t>
        </is>
      </c>
      <c r="B502" s="10" t="inlineStr">
        <is>
          <t>Onsite</t>
        </is>
      </c>
      <c r="C502" s="10">
        <f>IF($BI502="","",IF($B502="Onsite",INDEX(tbl_Onsite[Job Number],$BI502),IF($B502="Production",INDEX(tbl_Production[Job Number],$BI502),INDEX(tbl_Consulting[Job Number],$BI502)))&amp;"")</f>
        <v/>
      </c>
      <c r="D502" s="10">
        <f>IF($BI502="","",IF($B502="Onsite",INDEX(tbl_Onsite[Client],$BI502),IF($B502="Production",INDEX(tbl_Production[Client],$BI502),INDEX(tbl_Consulting[Client],$BI502)))&amp;"")</f>
        <v/>
      </c>
      <c r="E502" s="10">
        <f>IF($C502="","",IF(COUNTIF(lst_Jobs,$C502)&gt;0,"OK","CHECK"))</f>
        <v/>
      </c>
      <c r="F502" s="10">
        <f>IF($C502="","",IFERROR(INDEX(lst_JobName,MATCH($C502,lst_Jobs,0)),""))</f>
        <v/>
      </c>
      <c r="G502" s="10">
        <f>IF($BI502="","",IF($B502="Onsite",INDEX(tbl_Onsite[Job Description],$BI502),IF($B502="Production",INDEX(tbl_Production[Job Description],$BI502),INDEX(tbl_Consulting[Job Description],$BI502)))&amp;"")</f>
        <v/>
      </c>
      <c r="H502" s="10">
        <f>IF($BI502="","",IF($B502="Onsite",INDEX(tbl_Onsite[Cost Centre],$BI502),IF($B502="Production",INDEX(tbl_Production[Cost Centre],$BI502),INDEX(tbl_Consulting[Cost Centre],$BI502)))&amp;"")</f>
        <v/>
      </c>
      <c r="I502" s="10">
        <f>IF($BI502="","",IF($B502="Onsite",INDEX(tbl_Onsite[Invoice Type],$BI502),IF($B502="Production",INDEX(tbl_Production[Invoice Type],$BI502),INDEX(tbl_Consulting[Invoice Type],$BI502)))&amp;"")</f>
        <v/>
      </c>
      <c r="J502" s="10">
        <f>IF($BI502="","",IF($B502="Onsite",INDEX(tbl_Onsite[Tax Code],$BI502),IF($B502="Production",INDEX(tbl_Production[Tax Code],$BI502),INDEX(tbl_Consulting[Tax Code],$BI502)))&amp;"")</f>
        <v/>
      </c>
      <c r="K502" s="10">
        <f>IF(H502="","",IFERROR(INDEX(lst_CCtoGL,MATCH(H502,lst_CCforGL,0)),""))</f>
        <v/>
      </c>
      <c r="L502" s="10">
        <f>IF($BI502="","",IF($B502="Onsite",INDEX(tbl_Onsite[PO / Reference],$BI502),IF($B502="Production",INDEX(tbl_Production[Current RMS No],$BI502),INDEX(tbl_Consulting[Qwilr Quote],$BI502)))&amp;"")</f>
        <v/>
      </c>
      <c r="M502" s="10">
        <f>IF($BI502="","",IF($B502="Onsite",INDEX(tbl_Onsite[Notes],$BI502),IF($B502="Production",INDEX(tbl_Production[Notes],$BI502),INDEX(tbl_Consulting[Notes],$BI502)))&amp;"")</f>
        <v/>
      </c>
      <c r="N502" s="11">
        <f>IF($BI502="","",IF(IF($B502="Onsite",INDEX(tbl_Onsite[Expected Revenue Ex GST],$BI502),IF($B502="Production",INDEX(tbl_Production[Expected Revenue Ex GST],$BI502),INDEX(tbl_Consulting[Expected Revenue Ex GST],$BI502)))="","",IF($B502="Onsite",INDEX(tbl_Onsite[Expected Revenue Ex GST],$BI502),IF($B502="Production",INDEX(tbl_Production[Expected Revenue Ex GST],$BI502),INDEX(tbl_Consulting[Expected Revenue Ex GST],$BI502)))))</f>
        <v/>
      </c>
      <c r="O502" s="11">
        <f>IF(AND($C502="",NOT(COUNTA($S502:$BB502)&gt;0)),"",SUM(U502,X502,AA502,AD502,AG502,AJ502,AM502,AP502,AS502,AV502,AY502,BB502))</f>
        <v/>
      </c>
      <c r="P502" s="11">
        <f>IF(O502="","",N(N502)-O502)</f>
        <v/>
      </c>
      <c r="Q502" s="10">
        <f>IF(O502="","",IF($C502="","Invoice on empty job row",IF(N502="",IF(ROUND(O502,2)=0,"No dept value","Invoiced - no dept value"),IF(ROUND(O502,2)=0,"Not invoiced - to invoice",IF(ROUND(P502,2)=0,"Agrees",IF(P502&gt;0,"Dept higher - to invoice","Xero higher - check dept"))))))</f>
        <v/>
      </c>
      <c r="R502" s="10">
        <f>IF(AND($C502="",NOT(COUNTA($S502:$BB502)&gt;0),$BI502&lt;&gt;""),"",MID(IF($BI502="","; Row ID not found on the department sheet - a row was deleted","")&amp;IF(AND($C502="",COUNTA($S502:$BB502)&gt;0),"; Invoice entered but the department row has no job number","")&amp;IF(E502="CHECK","; Job number not in the Xero job list","")&amp;IF(AND($C502&lt;&gt;"",COUNTIF($C$7:$C$1506,$C502)&gt;1),"; Job number on more than one row","")&amp;IF(AND($C502&lt;&gt;"",H502=""),"; Dept has not set a cost centre","")&amp;IF(AND($C502&lt;&gt;"",J502=""),"; Dept has not set a tax code","")&amp;IF(AND($C502&lt;&gt;"",N502=""),"; Dept has not entered an expected value","")&amp;IF((IF(OR(COUNTA(S502:U502)=0,AND(COUNTA(S502:U502)=3,ISNUMBER(U502))),0,1)+IF(OR(COUNTA(V502:X502)=0,AND(COUNTA(V502:X502)=3,ISNUMBER(X502))),0,1)+IF(OR(COUNTA(Y502:AA502)=0,AND(COUNTA(Y502:AA502)=3,ISNUMBER(AA502))),0,1)+IF(OR(COUNTA(AB502:AD502)=0,AND(COUNTA(AB502:AD502)=3,ISNUMBER(AD502))),0,1)+IF(OR(COUNTA(AE502:AG502)=0,AND(COUNTA(AE502:AG502)=3,ISNUMBER(AG502))),0,1)+IF(OR(COUNTA(AH502:AJ502)=0,AND(COUNTA(AH502:AJ502)=3,ISNUMBER(AJ502))),0,1)+IF(OR(COUNTA(AK502:AM502)=0,AND(COUNTA(AK502:AM502)=3,ISNUMBER(AM502))),0,1)+IF(OR(COUNTA(AN502:AP502)=0,AND(COUNTA(AN502:AP502)=3,ISNUMBER(AP502))),0,1)+IF(OR(COUNTA(AQ502:AS502)=0,AND(COUNTA(AQ502:AS502)=3,ISNUMBER(AS502))),0,1)+IF(OR(COUNTA(AT502:AV502)=0,AND(COUNTA(AT502:AV502)=3,ISNUMBER(AV502))),0,1)+IF(OR(COUNTA(AW502:AY502)=0,AND(COUNTA(AW502:AY502)=3,ISNUMBER(AY502))),0,1)+IF(OR(COUNTA(AZ502:BB502)=0,AND(COUNTA(AZ502:BB502)=3,ISNUMBER(BB502))),0,1))&gt;0,"; An invoice is incomplete (needs No, Date and a number in Ex GST)","")&amp;IF((IF(T502="",0,IFERROR(--(EOMONTH(T502,0)&lt;&gt;S$5),1))+IF(W502="",0,IFERROR(--(EOMONTH(W502,0)&lt;&gt;V$5),1))+IF(Z502="",0,IFERROR(--(EOMONTH(Z502,0)&lt;&gt;Y$5),1))+IF(AC502="",0,IFERROR(--(EOMONTH(AC502,0)&lt;&gt;AB$5),1))+IF(AF502="",0,IFERROR(--(EOMONTH(AF502,0)&lt;&gt;AE$5),1))+IF(AI502="",0,IFERROR(--(EOMONTH(AI502,0)&lt;&gt;AH$5),1))+IF(AL502="",0,IFERROR(--(EOMONTH(AL502,0)&lt;&gt;AK$5),1))+IF(AO502="",0,IFERROR(--(EOMONTH(AO502,0)&lt;&gt;AN$5),1))+IF(AR502="",0,IFERROR(--(EOMONTH(AR502,0)&lt;&gt;AQ$5),1))+IF(AU502="",0,IFERROR(--(EOMONTH(AU502,0)&lt;&gt;AT$5),1))+IF(AX502="",0,IFERROR(--(EOMONTH(AX502,0)&lt;&gt;AW$5),1))+IF(BA502="",0,IFERROR(--(EOMONTH(BA502,0)&lt;&gt;AZ$5),1)))&gt;0,"; An invoice date is not in the month it is typed under",""),3,500))</f>
        <v/>
      </c>
      <c r="S502" s="12" t="n"/>
      <c r="T502" s="13" t="n"/>
      <c r="U502" s="14" t="n"/>
      <c r="V502" s="12" t="n"/>
      <c r="W502" s="13" t="n"/>
      <c r="X502" s="14" t="n"/>
      <c r="Y502" s="12" t="n"/>
      <c r="Z502" s="13" t="n"/>
      <c r="AA502" s="14" t="n"/>
      <c r="AB502" s="12" t="n"/>
      <c r="AC502" s="13" t="n"/>
      <c r="AD502" s="14" t="n"/>
      <c r="AE502" s="12" t="n"/>
      <c r="AF502" s="13" t="n"/>
      <c r="AG502" s="14" t="n"/>
      <c r="AH502" s="12" t="n"/>
      <c r="AI502" s="13" t="n"/>
      <c r="AJ502" s="14" t="n"/>
      <c r="AK502" s="12" t="n"/>
      <c r="AL502" s="13" t="n"/>
      <c r="AM502" s="14" t="n"/>
      <c r="AN502" s="12" t="n"/>
      <c r="AO502" s="13" t="n"/>
      <c r="AP502" s="14" t="n"/>
      <c r="AQ502" s="12" t="n"/>
      <c r="AR502" s="13" t="n"/>
      <c r="AS502" s="14" t="n"/>
      <c r="AT502" s="12" t="n"/>
      <c r="AU502" s="13" t="n"/>
      <c r="AV502" s="14" t="n"/>
      <c r="AW502" s="12" t="n"/>
      <c r="AX502" s="13" t="n"/>
      <c r="AY502" s="14" t="n"/>
      <c r="AZ502" s="12" t="n"/>
      <c r="BA502" s="13" t="n"/>
      <c r="BB502" s="14" t="n"/>
      <c r="BC502" s="11">
        <f>IF(O502="","",IF(J502="GST 10%",ROUND(O502*set_GSTRate,2),0))</f>
        <v/>
      </c>
      <c r="BD502" s="11">
        <f>IF(O502="","",O502+BC502)</f>
        <v/>
      </c>
      <c r="BE502" s="15">
        <f>IF(O502="","",COUNTA(S502,V502,Y502,AB502,AE502,AH502,AK502,AN502,AQ502,AT502,AW502,AZ502))</f>
        <v/>
      </c>
      <c r="BF502" s="16">
        <f>IF(COUNT(T502,W502,Z502,AC502,AF502,AI502,AL502,AO502,AR502,AU502,AX502,BA502)=0,"",MAX(T502,W502,Z502,AC502,AF502,AI502,AL502,AO502,AR502,AU502,AX502,BA502))</f>
        <v/>
      </c>
      <c r="BG502" s="10">
        <f>MID(IF(S502="","",", "&amp;S502)&amp;IF(V502="","",", "&amp;V502)&amp;IF(Y502="","",", "&amp;Y502)&amp;IF(AB502="","",", "&amp;AB502)&amp;IF(AE502="","",", "&amp;AE502)&amp;IF(AH502="","",", "&amp;AH502)&amp;IF(AK502="","",", "&amp;AK502)&amp;IF(AN502="","",", "&amp;AN502)&amp;IF(AQ502="","",", "&amp;AQ502)&amp;IF(AT502="","",", "&amp;AT502)&amp;IF(AW502="","",", "&amp;AW502)&amp;IF(AZ502="","",", "&amp;AZ502),3,500)</f>
        <v/>
      </c>
      <c r="BH502" s="12" t="n"/>
      <c r="BI502" s="15">
        <f>IFERROR(MATCH($A502,IF($B502="Onsite",tbl_Onsite[Row ID],IF($B502="Production",tbl_Production[Row ID],tbl_Consulting[Row ID])),0),"")</f>
        <v/>
      </c>
    </row>
    <row r="503">
      <c r="A503" s="10" t="inlineStr">
        <is>
          <t>ONS-0497</t>
        </is>
      </c>
      <c r="B503" s="10" t="inlineStr">
        <is>
          <t>Onsite</t>
        </is>
      </c>
      <c r="C503" s="10">
        <f>IF($BI503="","",IF($B503="Onsite",INDEX(tbl_Onsite[Job Number],$BI503),IF($B503="Production",INDEX(tbl_Production[Job Number],$BI503),INDEX(tbl_Consulting[Job Number],$BI503)))&amp;"")</f>
        <v/>
      </c>
      <c r="D503" s="10">
        <f>IF($BI503="","",IF($B503="Onsite",INDEX(tbl_Onsite[Client],$BI503),IF($B503="Production",INDEX(tbl_Production[Client],$BI503),INDEX(tbl_Consulting[Client],$BI503)))&amp;"")</f>
        <v/>
      </c>
      <c r="E503" s="10">
        <f>IF($C503="","",IF(COUNTIF(lst_Jobs,$C503)&gt;0,"OK","CHECK"))</f>
        <v/>
      </c>
      <c r="F503" s="10">
        <f>IF($C503="","",IFERROR(INDEX(lst_JobName,MATCH($C503,lst_Jobs,0)),""))</f>
        <v/>
      </c>
      <c r="G503" s="10">
        <f>IF($BI503="","",IF($B503="Onsite",INDEX(tbl_Onsite[Job Description],$BI503),IF($B503="Production",INDEX(tbl_Production[Job Description],$BI503),INDEX(tbl_Consulting[Job Description],$BI503)))&amp;"")</f>
        <v/>
      </c>
      <c r="H503" s="10">
        <f>IF($BI503="","",IF($B503="Onsite",INDEX(tbl_Onsite[Cost Centre],$BI503),IF($B503="Production",INDEX(tbl_Production[Cost Centre],$BI503),INDEX(tbl_Consulting[Cost Centre],$BI503)))&amp;"")</f>
        <v/>
      </c>
      <c r="I503" s="10">
        <f>IF($BI503="","",IF($B503="Onsite",INDEX(tbl_Onsite[Invoice Type],$BI503),IF($B503="Production",INDEX(tbl_Production[Invoice Type],$BI503),INDEX(tbl_Consulting[Invoice Type],$BI503)))&amp;"")</f>
        <v/>
      </c>
      <c r="J503" s="10">
        <f>IF($BI503="","",IF($B503="Onsite",INDEX(tbl_Onsite[Tax Code],$BI503),IF($B503="Production",INDEX(tbl_Production[Tax Code],$BI503),INDEX(tbl_Consulting[Tax Code],$BI503)))&amp;"")</f>
        <v/>
      </c>
      <c r="K503" s="10">
        <f>IF(H503="","",IFERROR(INDEX(lst_CCtoGL,MATCH(H503,lst_CCforGL,0)),""))</f>
        <v/>
      </c>
      <c r="L503" s="10">
        <f>IF($BI503="","",IF($B503="Onsite",INDEX(tbl_Onsite[PO / Reference],$BI503),IF($B503="Production",INDEX(tbl_Production[Current RMS No],$BI503),INDEX(tbl_Consulting[Qwilr Quote],$BI503)))&amp;"")</f>
        <v/>
      </c>
      <c r="M503" s="10">
        <f>IF($BI503="","",IF($B503="Onsite",INDEX(tbl_Onsite[Notes],$BI503),IF($B503="Production",INDEX(tbl_Production[Notes],$BI503),INDEX(tbl_Consulting[Notes],$BI503)))&amp;"")</f>
        <v/>
      </c>
      <c r="N503" s="11">
        <f>IF($BI503="","",IF(IF($B503="Onsite",INDEX(tbl_Onsite[Expected Revenue Ex GST],$BI503),IF($B503="Production",INDEX(tbl_Production[Expected Revenue Ex GST],$BI503),INDEX(tbl_Consulting[Expected Revenue Ex GST],$BI503)))="","",IF($B503="Onsite",INDEX(tbl_Onsite[Expected Revenue Ex GST],$BI503),IF($B503="Production",INDEX(tbl_Production[Expected Revenue Ex GST],$BI503),INDEX(tbl_Consulting[Expected Revenue Ex GST],$BI503)))))</f>
        <v/>
      </c>
      <c r="O503" s="11">
        <f>IF(AND($C503="",NOT(COUNTA($S503:$BB503)&gt;0)),"",SUM(U503,X503,AA503,AD503,AG503,AJ503,AM503,AP503,AS503,AV503,AY503,BB503))</f>
        <v/>
      </c>
      <c r="P503" s="11">
        <f>IF(O503="","",N(N503)-O503)</f>
        <v/>
      </c>
      <c r="Q503" s="10">
        <f>IF(O503="","",IF($C503="","Invoice on empty job row",IF(N503="",IF(ROUND(O503,2)=0,"No dept value","Invoiced - no dept value"),IF(ROUND(O503,2)=0,"Not invoiced - to invoice",IF(ROUND(P503,2)=0,"Agrees",IF(P503&gt;0,"Dept higher - to invoice","Xero higher - check dept"))))))</f>
        <v/>
      </c>
      <c r="R503" s="10">
        <f>IF(AND($C503="",NOT(COUNTA($S503:$BB503)&gt;0),$BI503&lt;&gt;""),"",MID(IF($BI503="","; Row ID not found on the department sheet - a row was deleted","")&amp;IF(AND($C503="",COUNTA($S503:$BB503)&gt;0),"; Invoice entered but the department row has no job number","")&amp;IF(E503="CHECK","; Job number not in the Xero job list","")&amp;IF(AND($C503&lt;&gt;"",COUNTIF($C$7:$C$1506,$C503)&gt;1),"; Job number on more than one row","")&amp;IF(AND($C503&lt;&gt;"",H503=""),"; Dept has not set a cost centre","")&amp;IF(AND($C503&lt;&gt;"",J503=""),"; Dept has not set a tax code","")&amp;IF(AND($C503&lt;&gt;"",N503=""),"; Dept has not entered an expected value","")&amp;IF((IF(OR(COUNTA(S503:U503)=0,AND(COUNTA(S503:U503)=3,ISNUMBER(U503))),0,1)+IF(OR(COUNTA(V503:X503)=0,AND(COUNTA(V503:X503)=3,ISNUMBER(X503))),0,1)+IF(OR(COUNTA(Y503:AA503)=0,AND(COUNTA(Y503:AA503)=3,ISNUMBER(AA503))),0,1)+IF(OR(COUNTA(AB503:AD503)=0,AND(COUNTA(AB503:AD503)=3,ISNUMBER(AD503))),0,1)+IF(OR(COUNTA(AE503:AG503)=0,AND(COUNTA(AE503:AG503)=3,ISNUMBER(AG503))),0,1)+IF(OR(COUNTA(AH503:AJ503)=0,AND(COUNTA(AH503:AJ503)=3,ISNUMBER(AJ503))),0,1)+IF(OR(COUNTA(AK503:AM503)=0,AND(COUNTA(AK503:AM503)=3,ISNUMBER(AM503))),0,1)+IF(OR(COUNTA(AN503:AP503)=0,AND(COUNTA(AN503:AP503)=3,ISNUMBER(AP503))),0,1)+IF(OR(COUNTA(AQ503:AS503)=0,AND(COUNTA(AQ503:AS503)=3,ISNUMBER(AS503))),0,1)+IF(OR(COUNTA(AT503:AV503)=0,AND(COUNTA(AT503:AV503)=3,ISNUMBER(AV503))),0,1)+IF(OR(COUNTA(AW503:AY503)=0,AND(COUNTA(AW503:AY503)=3,ISNUMBER(AY503))),0,1)+IF(OR(COUNTA(AZ503:BB503)=0,AND(COUNTA(AZ503:BB503)=3,ISNUMBER(BB503))),0,1))&gt;0,"; An invoice is incomplete (needs No, Date and a number in Ex GST)","")&amp;IF((IF(T503="",0,IFERROR(--(EOMONTH(T503,0)&lt;&gt;S$5),1))+IF(W503="",0,IFERROR(--(EOMONTH(W503,0)&lt;&gt;V$5),1))+IF(Z503="",0,IFERROR(--(EOMONTH(Z503,0)&lt;&gt;Y$5),1))+IF(AC503="",0,IFERROR(--(EOMONTH(AC503,0)&lt;&gt;AB$5),1))+IF(AF503="",0,IFERROR(--(EOMONTH(AF503,0)&lt;&gt;AE$5),1))+IF(AI503="",0,IFERROR(--(EOMONTH(AI503,0)&lt;&gt;AH$5),1))+IF(AL503="",0,IFERROR(--(EOMONTH(AL503,0)&lt;&gt;AK$5),1))+IF(AO503="",0,IFERROR(--(EOMONTH(AO503,0)&lt;&gt;AN$5),1))+IF(AR503="",0,IFERROR(--(EOMONTH(AR503,0)&lt;&gt;AQ$5),1))+IF(AU503="",0,IFERROR(--(EOMONTH(AU503,0)&lt;&gt;AT$5),1))+IF(AX503="",0,IFERROR(--(EOMONTH(AX503,0)&lt;&gt;AW$5),1))+IF(BA503="",0,IFERROR(--(EOMONTH(BA503,0)&lt;&gt;AZ$5),1)))&gt;0,"; An invoice date is not in the month it is typed under",""),3,500))</f>
        <v/>
      </c>
      <c r="S503" s="12" t="n"/>
      <c r="T503" s="13" t="n"/>
      <c r="U503" s="14" t="n"/>
      <c r="V503" s="12" t="n"/>
      <c r="W503" s="13" t="n"/>
      <c r="X503" s="14" t="n"/>
      <c r="Y503" s="12" t="n"/>
      <c r="Z503" s="13" t="n"/>
      <c r="AA503" s="14" t="n"/>
      <c r="AB503" s="12" t="n"/>
      <c r="AC503" s="13" t="n"/>
      <c r="AD503" s="14" t="n"/>
      <c r="AE503" s="12" t="n"/>
      <c r="AF503" s="13" t="n"/>
      <c r="AG503" s="14" t="n"/>
      <c r="AH503" s="12" t="n"/>
      <c r="AI503" s="13" t="n"/>
      <c r="AJ503" s="14" t="n"/>
      <c r="AK503" s="12" t="n"/>
      <c r="AL503" s="13" t="n"/>
      <c r="AM503" s="14" t="n"/>
      <c r="AN503" s="12" t="n"/>
      <c r="AO503" s="13" t="n"/>
      <c r="AP503" s="14" t="n"/>
      <c r="AQ503" s="12" t="n"/>
      <c r="AR503" s="13" t="n"/>
      <c r="AS503" s="14" t="n"/>
      <c r="AT503" s="12" t="n"/>
      <c r="AU503" s="13" t="n"/>
      <c r="AV503" s="14" t="n"/>
      <c r="AW503" s="12" t="n"/>
      <c r="AX503" s="13" t="n"/>
      <c r="AY503" s="14" t="n"/>
      <c r="AZ503" s="12" t="n"/>
      <c r="BA503" s="13" t="n"/>
      <c r="BB503" s="14" t="n"/>
      <c r="BC503" s="11">
        <f>IF(O503="","",IF(J503="GST 10%",ROUND(O503*set_GSTRate,2),0))</f>
        <v/>
      </c>
      <c r="BD503" s="11">
        <f>IF(O503="","",O503+BC503)</f>
        <v/>
      </c>
      <c r="BE503" s="15">
        <f>IF(O503="","",COUNTA(S503,V503,Y503,AB503,AE503,AH503,AK503,AN503,AQ503,AT503,AW503,AZ503))</f>
        <v/>
      </c>
      <c r="BF503" s="16">
        <f>IF(COUNT(T503,W503,Z503,AC503,AF503,AI503,AL503,AO503,AR503,AU503,AX503,BA503)=0,"",MAX(T503,W503,Z503,AC503,AF503,AI503,AL503,AO503,AR503,AU503,AX503,BA503))</f>
        <v/>
      </c>
      <c r="BG503" s="10">
        <f>MID(IF(S503="","",", "&amp;S503)&amp;IF(V503="","",", "&amp;V503)&amp;IF(Y503="","",", "&amp;Y503)&amp;IF(AB503="","",", "&amp;AB503)&amp;IF(AE503="","",", "&amp;AE503)&amp;IF(AH503="","",", "&amp;AH503)&amp;IF(AK503="","",", "&amp;AK503)&amp;IF(AN503="","",", "&amp;AN503)&amp;IF(AQ503="","",", "&amp;AQ503)&amp;IF(AT503="","",", "&amp;AT503)&amp;IF(AW503="","",", "&amp;AW503)&amp;IF(AZ503="","",", "&amp;AZ503),3,500)</f>
        <v/>
      </c>
      <c r="BH503" s="12" t="n"/>
      <c r="BI503" s="15">
        <f>IFERROR(MATCH($A503,IF($B503="Onsite",tbl_Onsite[Row ID],IF($B503="Production",tbl_Production[Row ID],tbl_Consulting[Row ID])),0),"")</f>
        <v/>
      </c>
    </row>
    <row r="504">
      <c r="A504" s="10" t="inlineStr">
        <is>
          <t>ONS-0498</t>
        </is>
      </c>
      <c r="B504" s="10" t="inlineStr">
        <is>
          <t>Onsite</t>
        </is>
      </c>
      <c r="C504" s="10">
        <f>IF($BI504="","",IF($B504="Onsite",INDEX(tbl_Onsite[Job Number],$BI504),IF($B504="Production",INDEX(tbl_Production[Job Number],$BI504),INDEX(tbl_Consulting[Job Number],$BI504)))&amp;"")</f>
        <v/>
      </c>
      <c r="D504" s="10">
        <f>IF($BI504="","",IF($B504="Onsite",INDEX(tbl_Onsite[Client],$BI504),IF($B504="Production",INDEX(tbl_Production[Client],$BI504),INDEX(tbl_Consulting[Client],$BI504)))&amp;"")</f>
        <v/>
      </c>
      <c r="E504" s="10">
        <f>IF($C504="","",IF(COUNTIF(lst_Jobs,$C504)&gt;0,"OK","CHECK"))</f>
        <v/>
      </c>
      <c r="F504" s="10">
        <f>IF($C504="","",IFERROR(INDEX(lst_JobName,MATCH($C504,lst_Jobs,0)),""))</f>
        <v/>
      </c>
      <c r="G504" s="10">
        <f>IF($BI504="","",IF($B504="Onsite",INDEX(tbl_Onsite[Job Description],$BI504),IF($B504="Production",INDEX(tbl_Production[Job Description],$BI504),INDEX(tbl_Consulting[Job Description],$BI504)))&amp;"")</f>
        <v/>
      </c>
      <c r="H504" s="10">
        <f>IF($BI504="","",IF($B504="Onsite",INDEX(tbl_Onsite[Cost Centre],$BI504),IF($B504="Production",INDEX(tbl_Production[Cost Centre],$BI504),INDEX(tbl_Consulting[Cost Centre],$BI504)))&amp;"")</f>
        <v/>
      </c>
      <c r="I504" s="10">
        <f>IF($BI504="","",IF($B504="Onsite",INDEX(tbl_Onsite[Invoice Type],$BI504),IF($B504="Production",INDEX(tbl_Production[Invoice Type],$BI504),INDEX(tbl_Consulting[Invoice Type],$BI504)))&amp;"")</f>
        <v/>
      </c>
      <c r="J504" s="10">
        <f>IF($BI504="","",IF($B504="Onsite",INDEX(tbl_Onsite[Tax Code],$BI504),IF($B504="Production",INDEX(tbl_Production[Tax Code],$BI504),INDEX(tbl_Consulting[Tax Code],$BI504)))&amp;"")</f>
        <v/>
      </c>
      <c r="K504" s="10">
        <f>IF(H504="","",IFERROR(INDEX(lst_CCtoGL,MATCH(H504,lst_CCforGL,0)),""))</f>
        <v/>
      </c>
      <c r="L504" s="10">
        <f>IF($BI504="","",IF($B504="Onsite",INDEX(tbl_Onsite[PO / Reference],$BI504),IF($B504="Production",INDEX(tbl_Production[Current RMS No],$BI504),INDEX(tbl_Consulting[Qwilr Quote],$BI504)))&amp;"")</f>
        <v/>
      </c>
      <c r="M504" s="10">
        <f>IF($BI504="","",IF($B504="Onsite",INDEX(tbl_Onsite[Notes],$BI504),IF($B504="Production",INDEX(tbl_Production[Notes],$BI504),INDEX(tbl_Consulting[Notes],$BI504)))&amp;"")</f>
        <v/>
      </c>
      <c r="N504" s="11">
        <f>IF($BI504="","",IF(IF($B504="Onsite",INDEX(tbl_Onsite[Expected Revenue Ex GST],$BI504),IF($B504="Production",INDEX(tbl_Production[Expected Revenue Ex GST],$BI504),INDEX(tbl_Consulting[Expected Revenue Ex GST],$BI504)))="","",IF($B504="Onsite",INDEX(tbl_Onsite[Expected Revenue Ex GST],$BI504),IF($B504="Production",INDEX(tbl_Production[Expected Revenue Ex GST],$BI504),INDEX(tbl_Consulting[Expected Revenue Ex GST],$BI504)))))</f>
        <v/>
      </c>
      <c r="O504" s="11">
        <f>IF(AND($C504="",NOT(COUNTA($S504:$BB504)&gt;0)),"",SUM(U504,X504,AA504,AD504,AG504,AJ504,AM504,AP504,AS504,AV504,AY504,BB504))</f>
        <v/>
      </c>
      <c r="P504" s="11">
        <f>IF(O504="","",N(N504)-O504)</f>
        <v/>
      </c>
      <c r="Q504" s="10">
        <f>IF(O504="","",IF($C504="","Invoice on empty job row",IF(N504="",IF(ROUND(O504,2)=0,"No dept value","Invoiced - no dept value"),IF(ROUND(O504,2)=0,"Not invoiced - to invoice",IF(ROUND(P504,2)=0,"Agrees",IF(P504&gt;0,"Dept higher - to invoice","Xero higher - check dept"))))))</f>
        <v/>
      </c>
      <c r="R504" s="10">
        <f>IF(AND($C504="",NOT(COUNTA($S504:$BB504)&gt;0),$BI504&lt;&gt;""),"",MID(IF($BI504="","; Row ID not found on the department sheet - a row was deleted","")&amp;IF(AND($C504="",COUNTA($S504:$BB504)&gt;0),"; Invoice entered but the department row has no job number","")&amp;IF(E504="CHECK","; Job number not in the Xero job list","")&amp;IF(AND($C504&lt;&gt;"",COUNTIF($C$7:$C$1506,$C504)&gt;1),"; Job number on more than one row","")&amp;IF(AND($C504&lt;&gt;"",H504=""),"; Dept has not set a cost centre","")&amp;IF(AND($C504&lt;&gt;"",J504=""),"; Dept has not set a tax code","")&amp;IF(AND($C504&lt;&gt;"",N504=""),"; Dept has not entered an expected value","")&amp;IF((IF(OR(COUNTA(S504:U504)=0,AND(COUNTA(S504:U504)=3,ISNUMBER(U504))),0,1)+IF(OR(COUNTA(V504:X504)=0,AND(COUNTA(V504:X504)=3,ISNUMBER(X504))),0,1)+IF(OR(COUNTA(Y504:AA504)=0,AND(COUNTA(Y504:AA504)=3,ISNUMBER(AA504))),0,1)+IF(OR(COUNTA(AB504:AD504)=0,AND(COUNTA(AB504:AD504)=3,ISNUMBER(AD504))),0,1)+IF(OR(COUNTA(AE504:AG504)=0,AND(COUNTA(AE504:AG504)=3,ISNUMBER(AG504))),0,1)+IF(OR(COUNTA(AH504:AJ504)=0,AND(COUNTA(AH504:AJ504)=3,ISNUMBER(AJ504))),0,1)+IF(OR(COUNTA(AK504:AM504)=0,AND(COUNTA(AK504:AM504)=3,ISNUMBER(AM504))),0,1)+IF(OR(COUNTA(AN504:AP504)=0,AND(COUNTA(AN504:AP504)=3,ISNUMBER(AP504))),0,1)+IF(OR(COUNTA(AQ504:AS504)=0,AND(COUNTA(AQ504:AS504)=3,ISNUMBER(AS504))),0,1)+IF(OR(COUNTA(AT504:AV504)=0,AND(COUNTA(AT504:AV504)=3,ISNUMBER(AV504))),0,1)+IF(OR(COUNTA(AW504:AY504)=0,AND(COUNTA(AW504:AY504)=3,ISNUMBER(AY504))),0,1)+IF(OR(COUNTA(AZ504:BB504)=0,AND(COUNTA(AZ504:BB504)=3,ISNUMBER(BB504))),0,1))&gt;0,"; An invoice is incomplete (needs No, Date and a number in Ex GST)","")&amp;IF((IF(T504="",0,IFERROR(--(EOMONTH(T504,0)&lt;&gt;S$5),1))+IF(W504="",0,IFERROR(--(EOMONTH(W504,0)&lt;&gt;V$5),1))+IF(Z504="",0,IFERROR(--(EOMONTH(Z504,0)&lt;&gt;Y$5),1))+IF(AC504="",0,IFERROR(--(EOMONTH(AC504,0)&lt;&gt;AB$5),1))+IF(AF504="",0,IFERROR(--(EOMONTH(AF504,0)&lt;&gt;AE$5),1))+IF(AI504="",0,IFERROR(--(EOMONTH(AI504,0)&lt;&gt;AH$5),1))+IF(AL504="",0,IFERROR(--(EOMONTH(AL504,0)&lt;&gt;AK$5),1))+IF(AO504="",0,IFERROR(--(EOMONTH(AO504,0)&lt;&gt;AN$5),1))+IF(AR504="",0,IFERROR(--(EOMONTH(AR504,0)&lt;&gt;AQ$5),1))+IF(AU504="",0,IFERROR(--(EOMONTH(AU504,0)&lt;&gt;AT$5),1))+IF(AX504="",0,IFERROR(--(EOMONTH(AX504,0)&lt;&gt;AW$5),1))+IF(BA504="",0,IFERROR(--(EOMONTH(BA504,0)&lt;&gt;AZ$5),1)))&gt;0,"; An invoice date is not in the month it is typed under",""),3,500))</f>
        <v/>
      </c>
      <c r="S504" s="12" t="n"/>
      <c r="T504" s="13" t="n"/>
      <c r="U504" s="14" t="n"/>
      <c r="V504" s="12" t="n"/>
      <c r="W504" s="13" t="n"/>
      <c r="X504" s="14" t="n"/>
      <c r="Y504" s="12" t="n"/>
      <c r="Z504" s="13" t="n"/>
      <c r="AA504" s="14" t="n"/>
      <c r="AB504" s="12" t="n"/>
      <c r="AC504" s="13" t="n"/>
      <c r="AD504" s="14" t="n"/>
      <c r="AE504" s="12" t="n"/>
      <c r="AF504" s="13" t="n"/>
      <c r="AG504" s="14" t="n"/>
      <c r="AH504" s="12" t="n"/>
      <c r="AI504" s="13" t="n"/>
      <c r="AJ504" s="14" t="n"/>
      <c r="AK504" s="12" t="n"/>
      <c r="AL504" s="13" t="n"/>
      <c r="AM504" s="14" t="n"/>
      <c r="AN504" s="12" t="n"/>
      <c r="AO504" s="13" t="n"/>
      <c r="AP504" s="14" t="n"/>
      <c r="AQ504" s="12" t="n"/>
      <c r="AR504" s="13" t="n"/>
      <c r="AS504" s="14" t="n"/>
      <c r="AT504" s="12" t="n"/>
      <c r="AU504" s="13" t="n"/>
      <c r="AV504" s="14" t="n"/>
      <c r="AW504" s="12" t="n"/>
      <c r="AX504" s="13" t="n"/>
      <c r="AY504" s="14" t="n"/>
      <c r="AZ504" s="12" t="n"/>
      <c r="BA504" s="13" t="n"/>
      <c r="BB504" s="14" t="n"/>
      <c r="BC504" s="11">
        <f>IF(O504="","",IF(J504="GST 10%",ROUND(O504*set_GSTRate,2),0))</f>
        <v/>
      </c>
      <c r="BD504" s="11">
        <f>IF(O504="","",O504+BC504)</f>
        <v/>
      </c>
      <c r="BE504" s="15">
        <f>IF(O504="","",COUNTA(S504,V504,Y504,AB504,AE504,AH504,AK504,AN504,AQ504,AT504,AW504,AZ504))</f>
        <v/>
      </c>
      <c r="BF504" s="16">
        <f>IF(COUNT(T504,W504,Z504,AC504,AF504,AI504,AL504,AO504,AR504,AU504,AX504,BA504)=0,"",MAX(T504,W504,Z504,AC504,AF504,AI504,AL504,AO504,AR504,AU504,AX504,BA504))</f>
        <v/>
      </c>
      <c r="BG504" s="10">
        <f>MID(IF(S504="","",", "&amp;S504)&amp;IF(V504="","",", "&amp;V504)&amp;IF(Y504="","",", "&amp;Y504)&amp;IF(AB504="","",", "&amp;AB504)&amp;IF(AE504="","",", "&amp;AE504)&amp;IF(AH504="","",", "&amp;AH504)&amp;IF(AK504="","",", "&amp;AK504)&amp;IF(AN504="","",", "&amp;AN504)&amp;IF(AQ504="","",", "&amp;AQ504)&amp;IF(AT504="","",", "&amp;AT504)&amp;IF(AW504="","",", "&amp;AW504)&amp;IF(AZ504="","",", "&amp;AZ504),3,500)</f>
        <v/>
      </c>
      <c r="BH504" s="12" t="n"/>
      <c r="BI504" s="15">
        <f>IFERROR(MATCH($A504,IF($B504="Onsite",tbl_Onsite[Row ID],IF($B504="Production",tbl_Production[Row ID],tbl_Consulting[Row ID])),0),"")</f>
        <v/>
      </c>
    </row>
    <row r="505">
      <c r="A505" s="10" t="inlineStr">
        <is>
          <t>ONS-0499</t>
        </is>
      </c>
      <c r="B505" s="10" t="inlineStr">
        <is>
          <t>Onsite</t>
        </is>
      </c>
      <c r="C505" s="10">
        <f>IF($BI505="","",IF($B505="Onsite",INDEX(tbl_Onsite[Job Number],$BI505),IF($B505="Production",INDEX(tbl_Production[Job Number],$BI505),INDEX(tbl_Consulting[Job Number],$BI505)))&amp;"")</f>
        <v/>
      </c>
      <c r="D505" s="10">
        <f>IF($BI505="","",IF($B505="Onsite",INDEX(tbl_Onsite[Client],$BI505),IF($B505="Production",INDEX(tbl_Production[Client],$BI505),INDEX(tbl_Consulting[Client],$BI505)))&amp;"")</f>
        <v/>
      </c>
      <c r="E505" s="10">
        <f>IF($C505="","",IF(COUNTIF(lst_Jobs,$C505)&gt;0,"OK","CHECK"))</f>
        <v/>
      </c>
      <c r="F505" s="10">
        <f>IF($C505="","",IFERROR(INDEX(lst_JobName,MATCH($C505,lst_Jobs,0)),""))</f>
        <v/>
      </c>
      <c r="G505" s="10">
        <f>IF($BI505="","",IF($B505="Onsite",INDEX(tbl_Onsite[Job Description],$BI505),IF($B505="Production",INDEX(tbl_Production[Job Description],$BI505),INDEX(tbl_Consulting[Job Description],$BI505)))&amp;"")</f>
        <v/>
      </c>
      <c r="H505" s="10">
        <f>IF($BI505="","",IF($B505="Onsite",INDEX(tbl_Onsite[Cost Centre],$BI505),IF($B505="Production",INDEX(tbl_Production[Cost Centre],$BI505),INDEX(tbl_Consulting[Cost Centre],$BI505)))&amp;"")</f>
        <v/>
      </c>
      <c r="I505" s="10">
        <f>IF($BI505="","",IF($B505="Onsite",INDEX(tbl_Onsite[Invoice Type],$BI505),IF($B505="Production",INDEX(tbl_Production[Invoice Type],$BI505),INDEX(tbl_Consulting[Invoice Type],$BI505)))&amp;"")</f>
        <v/>
      </c>
      <c r="J505" s="10">
        <f>IF($BI505="","",IF($B505="Onsite",INDEX(tbl_Onsite[Tax Code],$BI505),IF($B505="Production",INDEX(tbl_Production[Tax Code],$BI505),INDEX(tbl_Consulting[Tax Code],$BI505)))&amp;"")</f>
        <v/>
      </c>
      <c r="K505" s="10">
        <f>IF(H505="","",IFERROR(INDEX(lst_CCtoGL,MATCH(H505,lst_CCforGL,0)),""))</f>
        <v/>
      </c>
      <c r="L505" s="10">
        <f>IF($BI505="","",IF($B505="Onsite",INDEX(tbl_Onsite[PO / Reference],$BI505),IF($B505="Production",INDEX(tbl_Production[Current RMS No],$BI505),INDEX(tbl_Consulting[Qwilr Quote],$BI505)))&amp;"")</f>
        <v/>
      </c>
      <c r="M505" s="10">
        <f>IF($BI505="","",IF($B505="Onsite",INDEX(tbl_Onsite[Notes],$BI505),IF($B505="Production",INDEX(tbl_Production[Notes],$BI505),INDEX(tbl_Consulting[Notes],$BI505)))&amp;"")</f>
        <v/>
      </c>
      <c r="N505" s="11">
        <f>IF($BI505="","",IF(IF($B505="Onsite",INDEX(tbl_Onsite[Expected Revenue Ex GST],$BI505),IF($B505="Production",INDEX(tbl_Production[Expected Revenue Ex GST],$BI505),INDEX(tbl_Consulting[Expected Revenue Ex GST],$BI505)))="","",IF($B505="Onsite",INDEX(tbl_Onsite[Expected Revenue Ex GST],$BI505),IF($B505="Production",INDEX(tbl_Production[Expected Revenue Ex GST],$BI505),INDEX(tbl_Consulting[Expected Revenue Ex GST],$BI505)))))</f>
        <v/>
      </c>
      <c r="O505" s="11">
        <f>IF(AND($C505="",NOT(COUNTA($S505:$BB505)&gt;0)),"",SUM(U505,X505,AA505,AD505,AG505,AJ505,AM505,AP505,AS505,AV505,AY505,BB505))</f>
        <v/>
      </c>
      <c r="P505" s="11">
        <f>IF(O505="","",N(N505)-O505)</f>
        <v/>
      </c>
      <c r="Q505" s="10">
        <f>IF(O505="","",IF($C505="","Invoice on empty job row",IF(N505="",IF(ROUND(O505,2)=0,"No dept value","Invoiced - no dept value"),IF(ROUND(O505,2)=0,"Not invoiced - to invoice",IF(ROUND(P505,2)=0,"Agrees",IF(P505&gt;0,"Dept higher - to invoice","Xero higher - check dept"))))))</f>
        <v/>
      </c>
      <c r="R505" s="10">
        <f>IF(AND($C505="",NOT(COUNTA($S505:$BB505)&gt;0),$BI505&lt;&gt;""),"",MID(IF($BI505="","; Row ID not found on the department sheet - a row was deleted","")&amp;IF(AND($C505="",COUNTA($S505:$BB505)&gt;0),"; Invoice entered but the department row has no job number","")&amp;IF(E505="CHECK","; Job number not in the Xero job list","")&amp;IF(AND($C505&lt;&gt;"",COUNTIF($C$7:$C$1506,$C505)&gt;1),"; Job number on more than one row","")&amp;IF(AND($C505&lt;&gt;"",H505=""),"; Dept has not set a cost centre","")&amp;IF(AND($C505&lt;&gt;"",J505=""),"; Dept has not set a tax code","")&amp;IF(AND($C505&lt;&gt;"",N505=""),"; Dept has not entered an expected value","")&amp;IF((IF(OR(COUNTA(S505:U505)=0,AND(COUNTA(S505:U505)=3,ISNUMBER(U505))),0,1)+IF(OR(COUNTA(V505:X505)=0,AND(COUNTA(V505:X505)=3,ISNUMBER(X505))),0,1)+IF(OR(COUNTA(Y505:AA505)=0,AND(COUNTA(Y505:AA505)=3,ISNUMBER(AA505))),0,1)+IF(OR(COUNTA(AB505:AD505)=0,AND(COUNTA(AB505:AD505)=3,ISNUMBER(AD505))),0,1)+IF(OR(COUNTA(AE505:AG505)=0,AND(COUNTA(AE505:AG505)=3,ISNUMBER(AG505))),0,1)+IF(OR(COUNTA(AH505:AJ505)=0,AND(COUNTA(AH505:AJ505)=3,ISNUMBER(AJ505))),0,1)+IF(OR(COUNTA(AK505:AM505)=0,AND(COUNTA(AK505:AM505)=3,ISNUMBER(AM505))),0,1)+IF(OR(COUNTA(AN505:AP505)=0,AND(COUNTA(AN505:AP505)=3,ISNUMBER(AP505))),0,1)+IF(OR(COUNTA(AQ505:AS505)=0,AND(COUNTA(AQ505:AS505)=3,ISNUMBER(AS505))),0,1)+IF(OR(COUNTA(AT505:AV505)=0,AND(COUNTA(AT505:AV505)=3,ISNUMBER(AV505))),0,1)+IF(OR(COUNTA(AW505:AY505)=0,AND(COUNTA(AW505:AY505)=3,ISNUMBER(AY505))),0,1)+IF(OR(COUNTA(AZ505:BB505)=0,AND(COUNTA(AZ505:BB505)=3,ISNUMBER(BB505))),0,1))&gt;0,"; An invoice is incomplete (needs No, Date and a number in Ex GST)","")&amp;IF((IF(T505="",0,IFERROR(--(EOMONTH(T505,0)&lt;&gt;S$5),1))+IF(W505="",0,IFERROR(--(EOMONTH(W505,0)&lt;&gt;V$5),1))+IF(Z505="",0,IFERROR(--(EOMONTH(Z505,0)&lt;&gt;Y$5),1))+IF(AC505="",0,IFERROR(--(EOMONTH(AC505,0)&lt;&gt;AB$5),1))+IF(AF505="",0,IFERROR(--(EOMONTH(AF505,0)&lt;&gt;AE$5),1))+IF(AI505="",0,IFERROR(--(EOMONTH(AI505,0)&lt;&gt;AH$5),1))+IF(AL505="",0,IFERROR(--(EOMONTH(AL505,0)&lt;&gt;AK$5),1))+IF(AO505="",0,IFERROR(--(EOMONTH(AO505,0)&lt;&gt;AN$5),1))+IF(AR505="",0,IFERROR(--(EOMONTH(AR505,0)&lt;&gt;AQ$5),1))+IF(AU505="",0,IFERROR(--(EOMONTH(AU505,0)&lt;&gt;AT$5),1))+IF(AX505="",0,IFERROR(--(EOMONTH(AX505,0)&lt;&gt;AW$5),1))+IF(BA505="",0,IFERROR(--(EOMONTH(BA505,0)&lt;&gt;AZ$5),1)))&gt;0,"; An invoice date is not in the month it is typed under",""),3,500))</f>
        <v/>
      </c>
      <c r="S505" s="12" t="n"/>
      <c r="T505" s="13" t="n"/>
      <c r="U505" s="14" t="n"/>
      <c r="V505" s="12" t="n"/>
      <c r="W505" s="13" t="n"/>
      <c r="X505" s="14" t="n"/>
      <c r="Y505" s="12" t="n"/>
      <c r="Z505" s="13" t="n"/>
      <c r="AA505" s="14" t="n"/>
      <c r="AB505" s="12" t="n"/>
      <c r="AC505" s="13" t="n"/>
      <c r="AD505" s="14" t="n"/>
      <c r="AE505" s="12" t="n"/>
      <c r="AF505" s="13" t="n"/>
      <c r="AG505" s="14" t="n"/>
      <c r="AH505" s="12" t="n"/>
      <c r="AI505" s="13" t="n"/>
      <c r="AJ505" s="14" t="n"/>
      <c r="AK505" s="12" t="n"/>
      <c r="AL505" s="13" t="n"/>
      <c r="AM505" s="14" t="n"/>
      <c r="AN505" s="12" t="n"/>
      <c r="AO505" s="13" t="n"/>
      <c r="AP505" s="14" t="n"/>
      <c r="AQ505" s="12" t="n"/>
      <c r="AR505" s="13" t="n"/>
      <c r="AS505" s="14" t="n"/>
      <c r="AT505" s="12" t="n"/>
      <c r="AU505" s="13" t="n"/>
      <c r="AV505" s="14" t="n"/>
      <c r="AW505" s="12" t="n"/>
      <c r="AX505" s="13" t="n"/>
      <c r="AY505" s="14" t="n"/>
      <c r="AZ505" s="12" t="n"/>
      <c r="BA505" s="13" t="n"/>
      <c r="BB505" s="14" t="n"/>
      <c r="BC505" s="11">
        <f>IF(O505="","",IF(J505="GST 10%",ROUND(O505*set_GSTRate,2),0))</f>
        <v/>
      </c>
      <c r="BD505" s="11">
        <f>IF(O505="","",O505+BC505)</f>
        <v/>
      </c>
      <c r="BE505" s="15">
        <f>IF(O505="","",COUNTA(S505,V505,Y505,AB505,AE505,AH505,AK505,AN505,AQ505,AT505,AW505,AZ505))</f>
        <v/>
      </c>
      <c r="BF505" s="16">
        <f>IF(COUNT(T505,W505,Z505,AC505,AF505,AI505,AL505,AO505,AR505,AU505,AX505,BA505)=0,"",MAX(T505,W505,Z505,AC505,AF505,AI505,AL505,AO505,AR505,AU505,AX505,BA505))</f>
        <v/>
      </c>
      <c r="BG505" s="10">
        <f>MID(IF(S505="","",", "&amp;S505)&amp;IF(V505="","",", "&amp;V505)&amp;IF(Y505="","",", "&amp;Y505)&amp;IF(AB505="","",", "&amp;AB505)&amp;IF(AE505="","",", "&amp;AE505)&amp;IF(AH505="","",", "&amp;AH505)&amp;IF(AK505="","",", "&amp;AK505)&amp;IF(AN505="","",", "&amp;AN505)&amp;IF(AQ505="","",", "&amp;AQ505)&amp;IF(AT505="","",", "&amp;AT505)&amp;IF(AW505="","",", "&amp;AW505)&amp;IF(AZ505="","",", "&amp;AZ505),3,500)</f>
        <v/>
      </c>
      <c r="BH505" s="12" t="n"/>
      <c r="BI505" s="15">
        <f>IFERROR(MATCH($A505,IF($B505="Onsite",tbl_Onsite[Row ID],IF($B505="Production",tbl_Production[Row ID],tbl_Consulting[Row ID])),0),"")</f>
        <v/>
      </c>
    </row>
    <row r="506">
      <c r="A506" s="10" t="inlineStr">
        <is>
          <t>ONS-0500</t>
        </is>
      </c>
      <c r="B506" s="10" t="inlineStr">
        <is>
          <t>Onsite</t>
        </is>
      </c>
      <c r="C506" s="10">
        <f>IF($BI506="","",IF($B506="Onsite",INDEX(tbl_Onsite[Job Number],$BI506),IF($B506="Production",INDEX(tbl_Production[Job Number],$BI506),INDEX(tbl_Consulting[Job Number],$BI506)))&amp;"")</f>
        <v/>
      </c>
      <c r="D506" s="10">
        <f>IF($BI506="","",IF($B506="Onsite",INDEX(tbl_Onsite[Client],$BI506),IF($B506="Production",INDEX(tbl_Production[Client],$BI506),INDEX(tbl_Consulting[Client],$BI506)))&amp;"")</f>
        <v/>
      </c>
      <c r="E506" s="10">
        <f>IF($C506="","",IF(COUNTIF(lst_Jobs,$C506)&gt;0,"OK","CHECK"))</f>
        <v/>
      </c>
      <c r="F506" s="10">
        <f>IF($C506="","",IFERROR(INDEX(lst_JobName,MATCH($C506,lst_Jobs,0)),""))</f>
        <v/>
      </c>
      <c r="G506" s="10">
        <f>IF($BI506="","",IF($B506="Onsite",INDEX(tbl_Onsite[Job Description],$BI506),IF($B506="Production",INDEX(tbl_Production[Job Description],$BI506),INDEX(tbl_Consulting[Job Description],$BI506)))&amp;"")</f>
        <v/>
      </c>
      <c r="H506" s="10">
        <f>IF($BI506="","",IF($B506="Onsite",INDEX(tbl_Onsite[Cost Centre],$BI506),IF($B506="Production",INDEX(tbl_Production[Cost Centre],$BI506),INDEX(tbl_Consulting[Cost Centre],$BI506)))&amp;"")</f>
        <v/>
      </c>
      <c r="I506" s="10">
        <f>IF($BI506="","",IF($B506="Onsite",INDEX(tbl_Onsite[Invoice Type],$BI506),IF($B506="Production",INDEX(tbl_Production[Invoice Type],$BI506),INDEX(tbl_Consulting[Invoice Type],$BI506)))&amp;"")</f>
        <v/>
      </c>
      <c r="J506" s="10">
        <f>IF($BI506="","",IF($B506="Onsite",INDEX(tbl_Onsite[Tax Code],$BI506),IF($B506="Production",INDEX(tbl_Production[Tax Code],$BI506),INDEX(tbl_Consulting[Tax Code],$BI506)))&amp;"")</f>
        <v/>
      </c>
      <c r="K506" s="10">
        <f>IF(H506="","",IFERROR(INDEX(lst_CCtoGL,MATCH(H506,lst_CCforGL,0)),""))</f>
        <v/>
      </c>
      <c r="L506" s="10">
        <f>IF($BI506="","",IF($B506="Onsite",INDEX(tbl_Onsite[PO / Reference],$BI506),IF($B506="Production",INDEX(tbl_Production[Current RMS No],$BI506),INDEX(tbl_Consulting[Qwilr Quote],$BI506)))&amp;"")</f>
        <v/>
      </c>
      <c r="M506" s="10">
        <f>IF($BI506="","",IF($B506="Onsite",INDEX(tbl_Onsite[Notes],$BI506),IF($B506="Production",INDEX(tbl_Production[Notes],$BI506),INDEX(tbl_Consulting[Notes],$BI506)))&amp;"")</f>
        <v/>
      </c>
      <c r="N506" s="11">
        <f>IF($BI506="","",IF(IF($B506="Onsite",INDEX(tbl_Onsite[Expected Revenue Ex GST],$BI506),IF($B506="Production",INDEX(tbl_Production[Expected Revenue Ex GST],$BI506),INDEX(tbl_Consulting[Expected Revenue Ex GST],$BI506)))="","",IF($B506="Onsite",INDEX(tbl_Onsite[Expected Revenue Ex GST],$BI506),IF($B506="Production",INDEX(tbl_Production[Expected Revenue Ex GST],$BI506),INDEX(tbl_Consulting[Expected Revenue Ex GST],$BI506)))))</f>
        <v/>
      </c>
      <c r="O506" s="11">
        <f>IF(AND($C506="",NOT(COUNTA($S506:$BB506)&gt;0)),"",SUM(U506,X506,AA506,AD506,AG506,AJ506,AM506,AP506,AS506,AV506,AY506,BB506))</f>
        <v/>
      </c>
      <c r="P506" s="11">
        <f>IF(O506="","",N(N506)-O506)</f>
        <v/>
      </c>
      <c r="Q506" s="10">
        <f>IF(O506="","",IF($C506="","Invoice on empty job row",IF(N506="",IF(ROUND(O506,2)=0,"No dept value","Invoiced - no dept value"),IF(ROUND(O506,2)=0,"Not invoiced - to invoice",IF(ROUND(P506,2)=0,"Agrees",IF(P506&gt;0,"Dept higher - to invoice","Xero higher - check dept"))))))</f>
        <v/>
      </c>
      <c r="R506" s="10">
        <f>IF(AND($C506="",NOT(COUNTA($S506:$BB506)&gt;0),$BI506&lt;&gt;""),"",MID(IF($BI506="","; Row ID not found on the department sheet - a row was deleted","")&amp;IF(AND($C506="",COUNTA($S506:$BB506)&gt;0),"; Invoice entered but the department row has no job number","")&amp;IF(E506="CHECK","; Job number not in the Xero job list","")&amp;IF(AND($C506&lt;&gt;"",COUNTIF($C$7:$C$1506,$C506)&gt;1),"; Job number on more than one row","")&amp;IF(AND($C506&lt;&gt;"",H506=""),"; Dept has not set a cost centre","")&amp;IF(AND($C506&lt;&gt;"",J506=""),"; Dept has not set a tax code","")&amp;IF(AND($C506&lt;&gt;"",N506=""),"; Dept has not entered an expected value","")&amp;IF((IF(OR(COUNTA(S506:U506)=0,AND(COUNTA(S506:U506)=3,ISNUMBER(U506))),0,1)+IF(OR(COUNTA(V506:X506)=0,AND(COUNTA(V506:X506)=3,ISNUMBER(X506))),0,1)+IF(OR(COUNTA(Y506:AA506)=0,AND(COUNTA(Y506:AA506)=3,ISNUMBER(AA506))),0,1)+IF(OR(COUNTA(AB506:AD506)=0,AND(COUNTA(AB506:AD506)=3,ISNUMBER(AD506))),0,1)+IF(OR(COUNTA(AE506:AG506)=0,AND(COUNTA(AE506:AG506)=3,ISNUMBER(AG506))),0,1)+IF(OR(COUNTA(AH506:AJ506)=0,AND(COUNTA(AH506:AJ506)=3,ISNUMBER(AJ506))),0,1)+IF(OR(COUNTA(AK506:AM506)=0,AND(COUNTA(AK506:AM506)=3,ISNUMBER(AM506))),0,1)+IF(OR(COUNTA(AN506:AP506)=0,AND(COUNTA(AN506:AP506)=3,ISNUMBER(AP506))),0,1)+IF(OR(COUNTA(AQ506:AS506)=0,AND(COUNTA(AQ506:AS506)=3,ISNUMBER(AS506))),0,1)+IF(OR(COUNTA(AT506:AV506)=0,AND(COUNTA(AT506:AV506)=3,ISNUMBER(AV506))),0,1)+IF(OR(COUNTA(AW506:AY506)=0,AND(COUNTA(AW506:AY506)=3,ISNUMBER(AY506))),0,1)+IF(OR(COUNTA(AZ506:BB506)=0,AND(COUNTA(AZ506:BB506)=3,ISNUMBER(BB506))),0,1))&gt;0,"; An invoice is incomplete (needs No, Date and a number in Ex GST)","")&amp;IF((IF(T506="",0,IFERROR(--(EOMONTH(T506,0)&lt;&gt;S$5),1))+IF(W506="",0,IFERROR(--(EOMONTH(W506,0)&lt;&gt;V$5),1))+IF(Z506="",0,IFERROR(--(EOMONTH(Z506,0)&lt;&gt;Y$5),1))+IF(AC506="",0,IFERROR(--(EOMONTH(AC506,0)&lt;&gt;AB$5),1))+IF(AF506="",0,IFERROR(--(EOMONTH(AF506,0)&lt;&gt;AE$5),1))+IF(AI506="",0,IFERROR(--(EOMONTH(AI506,0)&lt;&gt;AH$5),1))+IF(AL506="",0,IFERROR(--(EOMONTH(AL506,0)&lt;&gt;AK$5),1))+IF(AO506="",0,IFERROR(--(EOMONTH(AO506,0)&lt;&gt;AN$5),1))+IF(AR506="",0,IFERROR(--(EOMONTH(AR506,0)&lt;&gt;AQ$5),1))+IF(AU506="",0,IFERROR(--(EOMONTH(AU506,0)&lt;&gt;AT$5),1))+IF(AX506="",0,IFERROR(--(EOMONTH(AX506,0)&lt;&gt;AW$5),1))+IF(BA506="",0,IFERROR(--(EOMONTH(BA506,0)&lt;&gt;AZ$5),1)))&gt;0,"; An invoice date is not in the month it is typed under",""),3,500))</f>
        <v/>
      </c>
      <c r="S506" s="12" t="n"/>
      <c r="T506" s="13" t="n"/>
      <c r="U506" s="14" t="n"/>
      <c r="V506" s="12" t="n"/>
      <c r="W506" s="13" t="n"/>
      <c r="X506" s="14" t="n"/>
      <c r="Y506" s="12" t="n"/>
      <c r="Z506" s="13" t="n"/>
      <c r="AA506" s="14" t="n"/>
      <c r="AB506" s="12" t="n"/>
      <c r="AC506" s="13" t="n"/>
      <c r="AD506" s="14" t="n"/>
      <c r="AE506" s="12" t="n"/>
      <c r="AF506" s="13" t="n"/>
      <c r="AG506" s="14" t="n"/>
      <c r="AH506" s="12" t="n"/>
      <c r="AI506" s="13" t="n"/>
      <c r="AJ506" s="14" t="n"/>
      <c r="AK506" s="12" t="n"/>
      <c r="AL506" s="13" t="n"/>
      <c r="AM506" s="14" t="n"/>
      <c r="AN506" s="12" t="n"/>
      <c r="AO506" s="13" t="n"/>
      <c r="AP506" s="14" t="n"/>
      <c r="AQ506" s="12" t="n"/>
      <c r="AR506" s="13" t="n"/>
      <c r="AS506" s="14" t="n"/>
      <c r="AT506" s="12" t="n"/>
      <c r="AU506" s="13" t="n"/>
      <c r="AV506" s="14" t="n"/>
      <c r="AW506" s="12" t="n"/>
      <c r="AX506" s="13" t="n"/>
      <c r="AY506" s="14" t="n"/>
      <c r="AZ506" s="12" t="n"/>
      <c r="BA506" s="13" t="n"/>
      <c r="BB506" s="14" t="n"/>
      <c r="BC506" s="11">
        <f>IF(O506="","",IF(J506="GST 10%",ROUND(O506*set_GSTRate,2),0))</f>
        <v/>
      </c>
      <c r="BD506" s="11">
        <f>IF(O506="","",O506+BC506)</f>
        <v/>
      </c>
      <c r="BE506" s="15">
        <f>IF(O506="","",COUNTA(S506,V506,Y506,AB506,AE506,AH506,AK506,AN506,AQ506,AT506,AW506,AZ506))</f>
        <v/>
      </c>
      <c r="BF506" s="16">
        <f>IF(COUNT(T506,W506,Z506,AC506,AF506,AI506,AL506,AO506,AR506,AU506,AX506,BA506)=0,"",MAX(T506,W506,Z506,AC506,AF506,AI506,AL506,AO506,AR506,AU506,AX506,BA506))</f>
        <v/>
      </c>
      <c r="BG506" s="10">
        <f>MID(IF(S506="","",", "&amp;S506)&amp;IF(V506="","",", "&amp;V506)&amp;IF(Y506="","",", "&amp;Y506)&amp;IF(AB506="","",", "&amp;AB506)&amp;IF(AE506="","",", "&amp;AE506)&amp;IF(AH506="","",", "&amp;AH506)&amp;IF(AK506="","",", "&amp;AK506)&amp;IF(AN506="","",", "&amp;AN506)&amp;IF(AQ506="","",", "&amp;AQ506)&amp;IF(AT506="","",", "&amp;AT506)&amp;IF(AW506="","",", "&amp;AW506)&amp;IF(AZ506="","",", "&amp;AZ506),3,500)</f>
        <v/>
      </c>
      <c r="BH506" s="12" t="n"/>
      <c r="BI506" s="15">
        <f>IFERROR(MATCH($A506,IF($B506="Onsite",tbl_Onsite[Row ID],IF($B506="Production",tbl_Production[Row ID],tbl_Consulting[Row ID])),0),"")</f>
        <v/>
      </c>
    </row>
    <row r="507">
      <c r="A507" s="10" t="inlineStr">
        <is>
          <t>PRD-0001</t>
        </is>
      </c>
      <c r="B507" s="10" t="inlineStr">
        <is>
          <t>Production</t>
        </is>
      </c>
      <c r="C507" s="10">
        <f>IF($BI507="","",IF($B507="Onsite",INDEX(tbl_Onsite[Job Number],$BI507),IF($B507="Production",INDEX(tbl_Production[Job Number],$BI507),INDEX(tbl_Consulting[Job Number],$BI507)))&amp;"")</f>
        <v/>
      </c>
      <c r="D507" s="10">
        <f>IF($BI507="","",IF($B507="Onsite",INDEX(tbl_Onsite[Client],$BI507),IF($B507="Production",INDEX(tbl_Production[Client],$BI507),INDEX(tbl_Consulting[Client],$BI507)))&amp;"")</f>
        <v/>
      </c>
      <c r="E507" s="10">
        <f>IF($C507="","",IF(COUNTIF(lst_Jobs,$C507)&gt;0,"OK","CHECK"))</f>
        <v/>
      </c>
      <c r="F507" s="10">
        <f>IF($C507="","",IFERROR(INDEX(lst_JobName,MATCH($C507,lst_Jobs,0)),""))</f>
        <v/>
      </c>
      <c r="G507" s="10">
        <f>IF($BI507="","",IF($B507="Onsite",INDEX(tbl_Onsite[Job Description],$BI507),IF($B507="Production",INDEX(tbl_Production[Job Description],$BI507),INDEX(tbl_Consulting[Job Description],$BI507)))&amp;"")</f>
        <v/>
      </c>
      <c r="H507" s="10">
        <f>IF($BI507="","",IF($B507="Onsite",INDEX(tbl_Onsite[Cost Centre],$BI507),IF($B507="Production",INDEX(tbl_Production[Cost Centre],$BI507),INDEX(tbl_Consulting[Cost Centre],$BI507)))&amp;"")</f>
        <v/>
      </c>
      <c r="I507" s="10">
        <f>IF($BI507="","",IF($B507="Onsite",INDEX(tbl_Onsite[Invoice Type],$BI507),IF($B507="Production",INDEX(tbl_Production[Invoice Type],$BI507),INDEX(tbl_Consulting[Invoice Type],$BI507)))&amp;"")</f>
        <v/>
      </c>
      <c r="J507" s="10">
        <f>IF($BI507="","",IF($B507="Onsite",INDEX(tbl_Onsite[Tax Code],$BI507),IF($B507="Production",INDEX(tbl_Production[Tax Code],$BI507),INDEX(tbl_Consulting[Tax Code],$BI507)))&amp;"")</f>
        <v/>
      </c>
      <c r="K507" s="10">
        <f>IF(H507="","",IFERROR(INDEX(lst_CCtoGL,MATCH(H507,lst_CCforGL,0)),""))</f>
        <v/>
      </c>
      <c r="L507" s="10">
        <f>IF($BI507="","",IF($B507="Onsite",INDEX(tbl_Onsite[PO / Reference],$BI507),IF($B507="Production",INDEX(tbl_Production[Current RMS No],$BI507),INDEX(tbl_Consulting[Qwilr Quote],$BI507)))&amp;"")</f>
        <v/>
      </c>
      <c r="M507" s="10">
        <f>IF($BI507="","",IF($B507="Onsite",INDEX(tbl_Onsite[Notes],$BI507),IF($B507="Production",INDEX(tbl_Production[Notes],$BI507),INDEX(tbl_Consulting[Notes],$BI507)))&amp;"")</f>
        <v/>
      </c>
      <c r="N507" s="11">
        <f>IF($BI507="","",IF(IF($B507="Onsite",INDEX(tbl_Onsite[Expected Revenue Ex GST],$BI507),IF($B507="Production",INDEX(tbl_Production[Expected Revenue Ex GST],$BI507),INDEX(tbl_Consulting[Expected Revenue Ex GST],$BI507)))="","",IF($B507="Onsite",INDEX(tbl_Onsite[Expected Revenue Ex GST],$BI507),IF($B507="Production",INDEX(tbl_Production[Expected Revenue Ex GST],$BI507),INDEX(tbl_Consulting[Expected Revenue Ex GST],$BI507)))))</f>
        <v/>
      </c>
      <c r="O507" s="11">
        <f>IF(AND($C507="",NOT(COUNTA($S507:$BB507)&gt;0)),"",SUM(U507,X507,AA507,AD507,AG507,AJ507,AM507,AP507,AS507,AV507,AY507,BB507))</f>
        <v/>
      </c>
      <c r="P507" s="11">
        <f>IF(O507="","",N(N507)-O507)</f>
        <v/>
      </c>
      <c r="Q507" s="10">
        <f>IF(O507="","",IF($C507="","Invoice on empty job row",IF(N507="",IF(ROUND(O507,2)=0,"No dept value","Invoiced - no dept value"),IF(ROUND(O507,2)=0,"Not invoiced - to invoice",IF(ROUND(P507,2)=0,"Agrees",IF(P507&gt;0,"Dept higher - to invoice","Xero higher - check dept"))))))</f>
        <v/>
      </c>
      <c r="R507" s="10">
        <f>IF(AND($C507="",NOT(COUNTA($S507:$BB507)&gt;0),$BI507&lt;&gt;""),"",MID(IF($BI507="","; Row ID not found on the department sheet - a row was deleted","")&amp;IF(AND($C507="",COUNTA($S507:$BB507)&gt;0),"; Invoice entered but the department row has no job number","")&amp;IF(E507="CHECK","; Job number not in the Xero job list","")&amp;IF(AND($C507&lt;&gt;"",COUNTIF($C$7:$C$1506,$C507)&gt;1),"; Job number on more than one row","")&amp;IF(AND($C507&lt;&gt;"",H507=""),"; Dept has not set a cost centre","")&amp;IF(AND($C507&lt;&gt;"",J507=""),"; Dept has not set a tax code","")&amp;IF(AND($C507&lt;&gt;"",N507=""),"; Dept has not entered an expected value","")&amp;IF((IF(OR(COUNTA(S507:U507)=0,AND(COUNTA(S507:U507)=3,ISNUMBER(U507))),0,1)+IF(OR(COUNTA(V507:X507)=0,AND(COUNTA(V507:X507)=3,ISNUMBER(X507))),0,1)+IF(OR(COUNTA(Y507:AA507)=0,AND(COUNTA(Y507:AA507)=3,ISNUMBER(AA507))),0,1)+IF(OR(COUNTA(AB507:AD507)=0,AND(COUNTA(AB507:AD507)=3,ISNUMBER(AD507))),0,1)+IF(OR(COUNTA(AE507:AG507)=0,AND(COUNTA(AE507:AG507)=3,ISNUMBER(AG507))),0,1)+IF(OR(COUNTA(AH507:AJ507)=0,AND(COUNTA(AH507:AJ507)=3,ISNUMBER(AJ507))),0,1)+IF(OR(COUNTA(AK507:AM507)=0,AND(COUNTA(AK507:AM507)=3,ISNUMBER(AM507))),0,1)+IF(OR(COUNTA(AN507:AP507)=0,AND(COUNTA(AN507:AP507)=3,ISNUMBER(AP507))),0,1)+IF(OR(COUNTA(AQ507:AS507)=0,AND(COUNTA(AQ507:AS507)=3,ISNUMBER(AS507))),0,1)+IF(OR(COUNTA(AT507:AV507)=0,AND(COUNTA(AT507:AV507)=3,ISNUMBER(AV507))),0,1)+IF(OR(COUNTA(AW507:AY507)=0,AND(COUNTA(AW507:AY507)=3,ISNUMBER(AY507))),0,1)+IF(OR(COUNTA(AZ507:BB507)=0,AND(COUNTA(AZ507:BB507)=3,ISNUMBER(BB507))),0,1))&gt;0,"; An invoice is incomplete (needs No, Date and a number in Ex GST)","")&amp;IF((IF(T507="",0,IFERROR(--(EOMONTH(T507,0)&lt;&gt;S$5),1))+IF(W507="",0,IFERROR(--(EOMONTH(W507,0)&lt;&gt;V$5),1))+IF(Z507="",0,IFERROR(--(EOMONTH(Z507,0)&lt;&gt;Y$5),1))+IF(AC507="",0,IFERROR(--(EOMONTH(AC507,0)&lt;&gt;AB$5),1))+IF(AF507="",0,IFERROR(--(EOMONTH(AF507,0)&lt;&gt;AE$5),1))+IF(AI507="",0,IFERROR(--(EOMONTH(AI507,0)&lt;&gt;AH$5),1))+IF(AL507="",0,IFERROR(--(EOMONTH(AL507,0)&lt;&gt;AK$5),1))+IF(AO507="",0,IFERROR(--(EOMONTH(AO507,0)&lt;&gt;AN$5),1))+IF(AR507="",0,IFERROR(--(EOMONTH(AR507,0)&lt;&gt;AQ$5),1))+IF(AU507="",0,IFERROR(--(EOMONTH(AU507,0)&lt;&gt;AT$5),1))+IF(AX507="",0,IFERROR(--(EOMONTH(AX507,0)&lt;&gt;AW$5),1))+IF(BA507="",0,IFERROR(--(EOMONTH(BA507,0)&lt;&gt;AZ$5),1)))&gt;0,"; An invoice date is not in the month it is typed under",""),3,500))</f>
        <v/>
      </c>
      <c r="S507" s="12" t="n"/>
      <c r="T507" s="13" t="n"/>
      <c r="U507" s="14" t="n"/>
      <c r="V507" s="12" t="n"/>
      <c r="W507" s="13" t="n"/>
      <c r="X507" s="14" t="n"/>
      <c r="Y507" s="12" t="n"/>
      <c r="Z507" s="13" t="n"/>
      <c r="AA507" s="14" t="n"/>
      <c r="AB507" s="12" t="n"/>
      <c r="AC507" s="13" t="n"/>
      <c r="AD507" s="14" t="n"/>
      <c r="AE507" s="12" t="n"/>
      <c r="AF507" s="13" t="n"/>
      <c r="AG507" s="14" t="n"/>
      <c r="AH507" s="12" t="n"/>
      <c r="AI507" s="13" t="n"/>
      <c r="AJ507" s="14" t="n"/>
      <c r="AK507" s="12" t="n"/>
      <c r="AL507" s="13" t="n"/>
      <c r="AM507" s="14" t="n"/>
      <c r="AN507" s="12" t="n"/>
      <c r="AO507" s="13" t="n"/>
      <c r="AP507" s="14" t="n"/>
      <c r="AQ507" s="12" t="n"/>
      <c r="AR507" s="13" t="n"/>
      <c r="AS507" s="14" t="n"/>
      <c r="AT507" s="12" t="n"/>
      <c r="AU507" s="13" t="n"/>
      <c r="AV507" s="14" t="n"/>
      <c r="AW507" s="12" t="n"/>
      <c r="AX507" s="13" t="n"/>
      <c r="AY507" s="14" t="n"/>
      <c r="AZ507" s="12" t="n"/>
      <c r="BA507" s="13" t="n"/>
      <c r="BB507" s="14" t="n"/>
      <c r="BC507" s="11">
        <f>IF(O507="","",IF(J507="GST 10%",ROUND(O507*set_GSTRate,2),0))</f>
        <v/>
      </c>
      <c r="BD507" s="11">
        <f>IF(O507="","",O507+BC507)</f>
        <v/>
      </c>
      <c r="BE507" s="15">
        <f>IF(O507="","",COUNTA(S507,V507,Y507,AB507,AE507,AH507,AK507,AN507,AQ507,AT507,AW507,AZ507))</f>
        <v/>
      </c>
      <c r="BF507" s="16">
        <f>IF(COUNT(T507,W507,Z507,AC507,AF507,AI507,AL507,AO507,AR507,AU507,AX507,BA507)=0,"",MAX(T507,W507,Z507,AC507,AF507,AI507,AL507,AO507,AR507,AU507,AX507,BA507))</f>
        <v/>
      </c>
      <c r="BG507" s="10">
        <f>MID(IF(S507="","",", "&amp;S507)&amp;IF(V507="","",", "&amp;V507)&amp;IF(Y507="","",", "&amp;Y507)&amp;IF(AB507="","",", "&amp;AB507)&amp;IF(AE507="","",", "&amp;AE507)&amp;IF(AH507="","",", "&amp;AH507)&amp;IF(AK507="","",", "&amp;AK507)&amp;IF(AN507="","",", "&amp;AN507)&amp;IF(AQ507="","",", "&amp;AQ507)&amp;IF(AT507="","",", "&amp;AT507)&amp;IF(AW507="","",", "&amp;AW507)&amp;IF(AZ507="","",", "&amp;AZ507),3,500)</f>
        <v/>
      </c>
      <c r="BH507" s="12" t="n"/>
      <c r="BI507" s="15">
        <f>IFERROR(MATCH($A507,IF($B507="Onsite",tbl_Onsite[Row ID],IF($B507="Production",tbl_Production[Row ID],tbl_Consulting[Row ID])),0),"")</f>
        <v/>
      </c>
    </row>
    <row r="508">
      <c r="A508" s="10" t="inlineStr">
        <is>
          <t>PRD-0002</t>
        </is>
      </c>
      <c r="B508" s="10" t="inlineStr">
        <is>
          <t>Production</t>
        </is>
      </c>
      <c r="C508" s="10">
        <f>IF($BI508="","",IF($B508="Onsite",INDEX(tbl_Onsite[Job Number],$BI508),IF($B508="Production",INDEX(tbl_Production[Job Number],$BI508),INDEX(tbl_Consulting[Job Number],$BI508)))&amp;"")</f>
        <v/>
      </c>
      <c r="D508" s="10">
        <f>IF($BI508="","",IF($B508="Onsite",INDEX(tbl_Onsite[Client],$BI508),IF($B508="Production",INDEX(tbl_Production[Client],$BI508),INDEX(tbl_Consulting[Client],$BI508)))&amp;"")</f>
        <v/>
      </c>
      <c r="E508" s="10">
        <f>IF($C508="","",IF(COUNTIF(lst_Jobs,$C508)&gt;0,"OK","CHECK"))</f>
        <v/>
      </c>
      <c r="F508" s="10">
        <f>IF($C508="","",IFERROR(INDEX(lst_JobName,MATCH($C508,lst_Jobs,0)),""))</f>
        <v/>
      </c>
      <c r="G508" s="10">
        <f>IF($BI508="","",IF($B508="Onsite",INDEX(tbl_Onsite[Job Description],$BI508),IF($B508="Production",INDEX(tbl_Production[Job Description],$BI508),INDEX(tbl_Consulting[Job Description],$BI508)))&amp;"")</f>
        <v/>
      </c>
      <c r="H508" s="10">
        <f>IF($BI508="","",IF($B508="Onsite",INDEX(tbl_Onsite[Cost Centre],$BI508),IF($B508="Production",INDEX(tbl_Production[Cost Centre],$BI508),INDEX(tbl_Consulting[Cost Centre],$BI508)))&amp;"")</f>
        <v/>
      </c>
      <c r="I508" s="10">
        <f>IF($BI508="","",IF($B508="Onsite",INDEX(tbl_Onsite[Invoice Type],$BI508),IF($B508="Production",INDEX(tbl_Production[Invoice Type],$BI508),INDEX(tbl_Consulting[Invoice Type],$BI508)))&amp;"")</f>
        <v/>
      </c>
      <c r="J508" s="10">
        <f>IF($BI508="","",IF($B508="Onsite",INDEX(tbl_Onsite[Tax Code],$BI508),IF($B508="Production",INDEX(tbl_Production[Tax Code],$BI508),INDEX(tbl_Consulting[Tax Code],$BI508)))&amp;"")</f>
        <v/>
      </c>
      <c r="K508" s="10">
        <f>IF(H508="","",IFERROR(INDEX(lst_CCtoGL,MATCH(H508,lst_CCforGL,0)),""))</f>
        <v/>
      </c>
      <c r="L508" s="10">
        <f>IF($BI508="","",IF($B508="Onsite",INDEX(tbl_Onsite[PO / Reference],$BI508),IF($B508="Production",INDEX(tbl_Production[Current RMS No],$BI508),INDEX(tbl_Consulting[Qwilr Quote],$BI508)))&amp;"")</f>
        <v/>
      </c>
      <c r="M508" s="10">
        <f>IF($BI508="","",IF($B508="Onsite",INDEX(tbl_Onsite[Notes],$BI508),IF($B508="Production",INDEX(tbl_Production[Notes],$BI508),INDEX(tbl_Consulting[Notes],$BI508)))&amp;"")</f>
        <v/>
      </c>
      <c r="N508" s="11">
        <f>IF($BI508="","",IF(IF($B508="Onsite",INDEX(tbl_Onsite[Expected Revenue Ex GST],$BI508),IF($B508="Production",INDEX(tbl_Production[Expected Revenue Ex GST],$BI508),INDEX(tbl_Consulting[Expected Revenue Ex GST],$BI508)))="","",IF($B508="Onsite",INDEX(tbl_Onsite[Expected Revenue Ex GST],$BI508),IF($B508="Production",INDEX(tbl_Production[Expected Revenue Ex GST],$BI508),INDEX(tbl_Consulting[Expected Revenue Ex GST],$BI508)))))</f>
        <v/>
      </c>
      <c r="O508" s="11">
        <f>IF(AND($C508="",NOT(COUNTA($S508:$BB508)&gt;0)),"",SUM(U508,X508,AA508,AD508,AG508,AJ508,AM508,AP508,AS508,AV508,AY508,BB508))</f>
        <v/>
      </c>
      <c r="P508" s="11">
        <f>IF(O508="","",N(N508)-O508)</f>
        <v/>
      </c>
      <c r="Q508" s="10">
        <f>IF(O508="","",IF($C508="","Invoice on empty job row",IF(N508="",IF(ROUND(O508,2)=0,"No dept value","Invoiced - no dept value"),IF(ROUND(O508,2)=0,"Not invoiced - to invoice",IF(ROUND(P508,2)=0,"Agrees",IF(P508&gt;0,"Dept higher - to invoice","Xero higher - check dept"))))))</f>
        <v/>
      </c>
      <c r="R508" s="10">
        <f>IF(AND($C508="",NOT(COUNTA($S508:$BB508)&gt;0),$BI508&lt;&gt;""),"",MID(IF($BI508="","; Row ID not found on the department sheet - a row was deleted","")&amp;IF(AND($C508="",COUNTA($S508:$BB508)&gt;0),"; Invoice entered but the department row has no job number","")&amp;IF(E508="CHECK","; Job number not in the Xero job list","")&amp;IF(AND($C508&lt;&gt;"",COUNTIF($C$7:$C$1506,$C508)&gt;1),"; Job number on more than one row","")&amp;IF(AND($C508&lt;&gt;"",H508=""),"; Dept has not set a cost centre","")&amp;IF(AND($C508&lt;&gt;"",J508=""),"; Dept has not set a tax code","")&amp;IF(AND($C508&lt;&gt;"",N508=""),"; Dept has not entered an expected value","")&amp;IF((IF(OR(COUNTA(S508:U508)=0,AND(COUNTA(S508:U508)=3,ISNUMBER(U508))),0,1)+IF(OR(COUNTA(V508:X508)=0,AND(COUNTA(V508:X508)=3,ISNUMBER(X508))),0,1)+IF(OR(COUNTA(Y508:AA508)=0,AND(COUNTA(Y508:AA508)=3,ISNUMBER(AA508))),0,1)+IF(OR(COUNTA(AB508:AD508)=0,AND(COUNTA(AB508:AD508)=3,ISNUMBER(AD508))),0,1)+IF(OR(COUNTA(AE508:AG508)=0,AND(COUNTA(AE508:AG508)=3,ISNUMBER(AG508))),0,1)+IF(OR(COUNTA(AH508:AJ508)=0,AND(COUNTA(AH508:AJ508)=3,ISNUMBER(AJ508))),0,1)+IF(OR(COUNTA(AK508:AM508)=0,AND(COUNTA(AK508:AM508)=3,ISNUMBER(AM508))),0,1)+IF(OR(COUNTA(AN508:AP508)=0,AND(COUNTA(AN508:AP508)=3,ISNUMBER(AP508))),0,1)+IF(OR(COUNTA(AQ508:AS508)=0,AND(COUNTA(AQ508:AS508)=3,ISNUMBER(AS508))),0,1)+IF(OR(COUNTA(AT508:AV508)=0,AND(COUNTA(AT508:AV508)=3,ISNUMBER(AV508))),0,1)+IF(OR(COUNTA(AW508:AY508)=0,AND(COUNTA(AW508:AY508)=3,ISNUMBER(AY508))),0,1)+IF(OR(COUNTA(AZ508:BB508)=0,AND(COUNTA(AZ508:BB508)=3,ISNUMBER(BB508))),0,1))&gt;0,"; An invoice is incomplete (needs No, Date and a number in Ex GST)","")&amp;IF((IF(T508="",0,IFERROR(--(EOMONTH(T508,0)&lt;&gt;S$5),1))+IF(W508="",0,IFERROR(--(EOMONTH(W508,0)&lt;&gt;V$5),1))+IF(Z508="",0,IFERROR(--(EOMONTH(Z508,0)&lt;&gt;Y$5),1))+IF(AC508="",0,IFERROR(--(EOMONTH(AC508,0)&lt;&gt;AB$5),1))+IF(AF508="",0,IFERROR(--(EOMONTH(AF508,0)&lt;&gt;AE$5),1))+IF(AI508="",0,IFERROR(--(EOMONTH(AI508,0)&lt;&gt;AH$5),1))+IF(AL508="",0,IFERROR(--(EOMONTH(AL508,0)&lt;&gt;AK$5),1))+IF(AO508="",0,IFERROR(--(EOMONTH(AO508,0)&lt;&gt;AN$5),1))+IF(AR508="",0,IFERROR(--(EOMONTH(AR508,0)&lt;&gt;AQ$5),1))+IF(AU508="",0,IFERROR(--(EOMONTH(AU508,0)&lt;&gt;AT$5),1))+IF(AX508="",0,IFERROR(--(EOMONTH(AX508,0)&lt;&gt;AW$5),1))+IF(BA508="",0,IFERROR(--(EOMONTH(BA508,0)&lt;&gt;AZ$5),1)))&gt;0,"; An invoice date is not in the month it is typed under",""),3,500))</f>
        <v/>
      </c>
      <c r="S508" s="12" t="n"/>
      <c r="T508" s="13" t="n"/>
      <c r="U508" s="14" t="n"/>
      <c r="V508" s="12" t="n"/>
      <c r="W508" s="13" t="n"/>
      <c r="X508" s="14" t="n"/>
      <c r="Y508" s="12" t="n"/>
      <c r="Z508" s="13" t="n"/>
      <c r="AA508" s="14" t="n"/>
      <c r="AB508" s="12" t="n"/>
      <c r="AC508" s="13" t="n"/>
      <c r="AD508" s="14" t="n"/>
      <c r="AE508" s="12" t="n"/>
      <c r="AF508" s="13" t="n"/>
      <c r="AG508" s="14" t="n"/>
      <c r="AH508" s="12" t="n"/>
      <c r="AI508" s="13" t="n"/>
      <c r="AJ508" s="14" t="n"/>
      <c r="AK508" s="12" t="n"/>
      <c r="AL508" s="13" t="n"/>
      <c r="AM508" s="14" t="n"/>
      <c r="AN508" s="12" t="n"/>
      <c r="AO508" s="13" t="n"/>
      <c r="AP508" s="14" t="n"/>
      <c r="AQ508" s="12" t="n"/>
      <c r="AR508" s="13" t="n"/>
      <c r="AS508" s="14" t="n"/>
      <c r="AT508" s="12" t="n"/>
      <c r="AU508" s="13" t="n"/>
      <c r="AV508" s="14" t="n"/>
      <c r="AW508" s="12" t="n"/>
      <c r="AX508" s="13" t="n"/>
      <c r="AY508" s="14" t="n"/>
      <c r="AZ508" s="12" t="n"/>
      <c r="BA508" s="13" t="n"/>
      <c r="BB508" s="14" t="n"/>
      <c r="BC508" s="11">
        <f>IF(O508="","",IF(J508="GST 10%",ROUND(O508*set_GSTRate,2),0))</f>
        <v/>
      </c>
      <c r="BD508" s="11">
        <f>IF(O508="","",O508+BC508)</f>
        <v/>
      </c>
      <c r="BE508" s="15">
        <f>IF(O508="","",COUNTA(S508,V508,Y508,AB508,AE508,AH508,AK508,AN508,AQ508,AT508,AW508,AZ508))</f>
        <v/>
      </c>
      <c r="BF508" s="16">
        <f>IF(COUNT(T508,W508,Z508,AC508,AF508,AI508,AL508,AO508,AR508,AU508,AX508,BA508)=0,"",MAX(T508,W508,Z508,AC508,AF508,AI508,AL508,AO508,AR508,AU508,AX508,BA508))</f>
        <v/>
      </c>
      <c r="BG508" s="10">
        <f>MID(IF(S508="","",", "&amp;S508)&amp;IF(V508="","",", "&amp;V508)&amp;IF(Y508="","",", "&amp;Y508)&amp;IF(AB508="","",", "&amp;AB508)&amp;IF(AE508="","",", "&amp;AE508)&amp;IF(AH508="","",", "&amp;AH508)&amp;IF(AK508="","",", "&amp;AK508)&amp;IF(AN508="","",", "&amp;AN508)&amp;IF(AQ508="","",", "&amp;AQ508)&amp;IF(AT508="","",", "&amp;AT508)&amp;IF(AW508="","",", "&amp;AW508)&amp;IF(AZ508="","",", "&amp;AZ508),3,500)</f>
        <v/>
      </c>
      <c r="BH508" s="12" t="n"/>
      <c r="BI508" s="15">
        <f>IFERROR(MATCH($A508,IF($B508="Onsite",tbl_Onsite[Row ID],IF($B508="Production",tbl_Production[Row ID],tbl_Consulting[Row ID])),0),"")</f>
        <v/>
      </c>
    </row>
    <row r="509">
      <c r="A509" s="10" t="inlineStr">
        <is>
          <t>PRD-0003</t>
        </is>
      </c>
      <c r="B509" s="10" t="inlineStr">
        <is>
          <t>Production</t>
        </is>
      </c>
      <c r="C509" s="10">
        <f>IF($BI509="","",IF($B509="Onsite",INDEX(tbl_Onsite[Job Number],$BI509),IF($B509="Production",INDEX(tbl_Production[Job Number],$BI509),INDEX(tbl_Consulting[Job Number],$BI509)))&amp;"")</f>
        <v/>
      </c>
      <c r="D509" s="10">
        <f>IF($BI509="","",IF($B509="Onsite",INDEX(tbl_Onsite[Client],$BI509),IF($B509="Production",INDEX(tbl_Production[Client],$BI509),INDEX(tbl_Consulting[Client],$BI509)))&amp;"")</f>
        <v/>
      </c>
      <c r="E509" s="10">
        <f>IF($C509="","",IF(COUNTIF(lst_Jobs,$C509)&gt;0,"OK","CHECK"))</f>
        <v/>
      </c>
      <c r="F509" s="10">
        <f>IF($C509="","",IFERROR(INDEX(lst_JobName,MATCH($C509,lst_Jobs,0)),""))</f>
        <v/>
      </c>
      <c r="G509" s="10">
        <f>IF($BI509="","",IF($B509="Onsite",INDEX(tbl_Onsite[Job Description],$BI509),IF($B509="Production",INDEX(tbl_Production[Job Description],$BI509),INDEX(tbl_Consulting[Job Description],$BI509)))&amp;"")</f>
        <v/>
      </c>
      <c r="H509" s="10">
        <f>IF($BI509="","",IF($B509="Onsite",INDEX(tbl_Onsite[Cost Centre],$BI509),IF($B509="Production",INDEX(tbl_Production[Cost Centre],$BI509),INDEX(tbl_Consulting[Cost Centre],$BI509)))&amp;"")</f>
        <v/>
      </c>
      <c r="I509" s="10">
        <f>IF($BI509="","",IF($B509="Onsite",INDEX(tbl_Onsite[Invoice Type],$BI509),IF($B509="Production",INDEX(tbl_Production[Invoice Type],$BI509),INDEX(tbl_Consulting[Invoice Type],$BI509)))&amp;"")</f>
        <v/>
      </c>
      <c r="J509" s="10">
        <f>IF($BI509="","",IF($B509="Onsite",INDEX(tbl_Onsite[Tax Code],$BI509),IF($B509="Production",INDEX(tbl_Production[Tax Code],$BI509),INDEX(tbl_Consulting[Tax Code],$BI509)))&amp;"")</f>
        <v/>
      </c>
      <c r="K509" s="10">
        <f>IF(H509="","",IFERROR(INDEX(lst_CCtoGL,MATCH(H509,lst_CCforGL,0)),""))</f>
        <v/>
      </c>
      <c r="L509" s="10">
        <f>IF($BI509="","",IF($B509="Onsite",INDEX(tbl_Onsite[PO / Reference],$BI509),IF($B509="Production",INDEX(tbl_Production[Current RMS No],$BI509),INDEX(tbl_Consulting[Qwilr Quote],$BI509)))&amp;"")</f>
        <v/>
      </c>
      <c r="M509" s="10">
        <f>IF($BI509="","",IF($B509="Onsite",INDEX(tbl_Onsite[Notes],$BI509),IF($B509="Production",INDEX(tbl_Production[Notes],$BI509),INDEX(tbl_Consulting[Notes],$BI509)))&amp;"")</f>
        <v/>
      </c>
      <c r="N509" s="11">
        <f>IF($BI509="","",IF(IF($B509="Onsite",INDEX(tbl_Onsite[Expected Revenue Ex GST],$BI509),IF($B509="Production",INDEX(tbl_Production[Expected Revenue Ex GST],$BI509),INDEX(tbl_Consulting[Expected Revenue Ex GST],$BI509)))="","",IF($B509="Onsite",INDEX(tbl_Onsite[Expected Revenue Ex GST],$BI509),IF($B509="Production",INDEX(tbl_Production[Expected Revenue Ex GST],$BI509),INDEX(tbl_Consulting[Expected Revenue Ex GST],$BI509)))))</f>
        <v/>
      </c>
      <c r="O509" s="11">
        <f>IF(AND($C509="",NOT(COUNTA($S509:$BB509)&gt;0)),"",SUM(U509,X509,AA509,AD509,AG509,AJ509,AM509,AP509,AS509,AV509,AY509,BB509))</f>
        <v/>
      </c>
      <c r="P509" s="11">
        <f>IF(O509="","",N(N509)-O509)</f>
        <v/>
      </c>
      <c r="Q509" s="10">
        <f>IF(O509="","",IF($C509="","Invoice on empty job row",IF(N509="",IF(ROUND(O509,2)=0,"No dept value","Invoiced - no dept value"),IF(ROUND(O509,2)=0,"Not invoiced - to invoice",IF(ROUND(P509,2)=0,"Agrees",IF(P509&gt;0,"Dept higher - to invoice","Xero higher - check dept"))))))</f>
        <v/>
      </c>
      <c r="R509" s="10">
        <f>IF(AND($C509="",NOT(COUNTA($S509:$BB509)&gt;0),$BI509&lt;&gt;""),"",MID(IF($BI509="","; Row ID not found on the department sheet - a row was deleted","")&amp;IF(AND($C509="",COUNTA($S509:$BB509)&gt;0),"; Invoice entered but the department row has no job number","")&amp;IF(E509="CHECK","; Job number not in the Xero job list","")&amp;IF(AND($C509&lt;&gt;"",COUNTIF($C$7:$C$1506,$C509)&gt;1),"; Job number on more than one row","")&amp;IF(AND($C509&lt;&gt;"",H509=""),"; Dept has not set a cost centre","")&amp;IF(AND($C509&lt;&gt;"",J509=""),"; Dept has not set a tax code","")&amp;IF(AND($C509&lt;&gt;"",N509=""),"; Dept has not entered an expected value","")&amp;IF((IF(OR(COUNTA(S509:U509)=0,AND(COUNTA(S509:U509)=3,ISNUMBER(U509))),0,1)+IF(OR(COUNTA(V509:X509)=0,AND(COUNTA(V509:X509)=3,ISNUMBER(X509))),0,1)+IF(OR(COUNTA(Y509:AA509)=0,AND(COUNTA(Y509:AA509)=3,ISNUMBER(AA509))),0,1)+IF(OR(COUNTA(AB509:AD509)=0,AND(COUNTA(AB509:AD509)=3,ISNUMBER(AD509))),0,1)+IF(OR(COUNTA(AE509:AG509)=0,AND(COUNTA(AE509:AG509)=3,ISNUMBER(AG509))),0,1)+IF(OR(COUNTA(AH509:AJ509)=0,AND(COUNTA(AH509:AJ509)=3,ISNUMBER(AJ509))),0,1)+IF(OR(COUNTA(AK509:AM509)=0,AND(COUNTA(AK509:AM509)=3,ISNUMBER(AM509))),0,1)+IF(OR(COUNTA(AN509:AP509)=0,AND(COUNTA(AN509:AP509)=3,ISNUMBER(AP509))),0,1)+IF(OR(COUNTA(AQ509:AS509)=0,AND(COUNTA(AQ509:AS509)=3,ISNUMBER(AS509))),0,1)+IF(OR(COUNTA(AT509:AV509)=0,AND(COUNTA(AT509:AV509)=3,ISNUMBER(AV509))),0,1)+IF(OR(COUNTA(AW509:AY509)=0,AND(COUNTA(AW509:AY509)=3,ISNUMBER(AY509))),0,1)+IF(OR(COUNTA(AZ509:BB509)=0,AND(COUNTA(AZ509:BB509)=3,ISNUMBER(BB509))),0,1))&gt;0,"; An invoice is incomplete (needs No, Date and a number in Ex GST)","")&amp;IF((IF(T509="",0,IFERROR(--(EOMONTH(T509,0)&lt;&gt;S$5),1))+IF(W509="",0,IFERROR(--(EOMONTH(W509,0)&lt;&gt;V$5),1))+IF(Z509="",0,IFERROR(--(EOMONTH(Z509,0)&lt;&gt;Y$5),1))+IF(AC509="",0,IFERROR(--(EOMONTH(AC509,0)&lt;&gt;AB$5),1))+IF(AF509="",0,IFERROR(--(EOMONTH(AF509,0)&lt;&gt;AE$5),1))+IF(AI509="",0,IFERROR(--(EOMONTH(AI509,0)&lt;&gt;AH$5),1))+IF(AL509="",0,IFERROR(--(EOMONTH(AL509,0)&lt;&gt;AK$5),1))+IF(AO509="",0,IFERROR(--(EOMONTH(AO509,0)&lt;&gt;AN$5),1))+IF(AR509="",0,IFERROR(--(EOMONTH(AR509,0)&lt;&gt;AQ$5),1))+IF(AU509="",0,IFERROR(--(EOMONTH(AU509,0)&lt;&gt;AT$5),1))+IF(AX509="",0,IFERROR(--(EOMONTH(AX509,0)&lt;&gt;AW$5),1))+IF(BA509="",0,IFERROR(--(EOMONTH(BA509,0)&lt;&gt;AZ$5),1)))&gt;0,"; An invoice date is not in the month it is typed under",""),3,500))</f>
        <v/>
      </c>
      <c r="S509" s="12" t="n"/>
      <c r="T509" s="13" t="n"/>
      <c r="U509" s="14" t="n"/>
      <c r="V509" s="12" t="n"/>
      <c r="W509" s="13" t="n"/>
      <c r="X509" s="14" t="n"/>
      <c r="Y509" s="12" t="n"/>
      <c r="Z509" s="13" t="n"/>
      <c r="AA509" s="14" t="n"/>
      <c r="AB509" s="12" t="n"/>
      <c r="AC509" s="13" t="n"/>
      <c r="AD509" s="14" t="n"/>
      <c r="AE509" s="12" t="n"/>
      <c r="AF509" s="13" t="n"/>
      <c r="AG509" s="14" t="n"/>
      <c r="AH509" s="12" t="n"/>
      <c r="AI509" s="13" t="n"/>
      <c r="AJ509" s="14" t="n"/>
      <c r="AK509" s="12" t="n"/>
      <c r="AL509" s="13" t="n"/>
      <c r="AM509" s="14" t="n"/>
      <c r="AN509" s="12" t="n"/>
      <c r="AO509" s="13" t="n"/>
      <c r="AP509" s="14" t="n"/>
      <c r="AQ509" s="12" t="n"/>
      <c r="AR509" s="13" t="n"/>
      <c r="AS509" s="14" t="n"/>
      <c r="AT509" s="12" t="n"/>
      <c r="AU509" s="13" t="n"/>
      <c r="AV509" s="14" t="n"/>
      <c r="AW509" s="12" t="n"/>
      <c r="AX509" s="13" t="n"/>
      <c r="AY509" s="14" t="n"/>
      <c r="AZ509" s="12" t="n"/>
      <c r="BA509" s="13" t="n"/>
      <c r="BB509" s="14" t="n"/>
      <c r="BC509" s="11">
        <f>IF(O509="","",IF(J509="GST 10%",ROUND(O509*set_GSTRate,2),0))</f>
        <v/>
      </c>
      <c r="BD509" s="11">
        <f>IF(O509="","",O509+BC509)</f>
        <v/>
      </c>
      <c r="BE509" s="15">
        <f>IF(O509="","",COUNTA(S509,V509,Y509,AB509,AE509,AH509,AK509,AN509,AQ509,AT509,AW509,AZ509))</f>
        <v/>
      </c>
      <c r="BF509" s="16">
        <f>IF(COUNT(T509,W509,Z509,AC509,AF509,AI509,AL509,AO509,AR509,AU509,AX509,BA509)=0,"",MAX(T509,W509,Z509,AC509,AF509,AI509,AL509,AO509,AR509,AU509,AX509,BA509))</f>
        <v/>
      </c>
      <c r="BG509" s="10">
        <f>MID(IF(S509="","",", "&amp;S509)&amp;IF(V509="","",", "&amp;V509)&amp;IF(Y509="","",", "&amp;Y509)&amp;IF(AB509="","",", "&amp;AB509)&amp;IF(AE509="","",", "&amp;AE509)&amp;IF(AH509="","",", "&amp;AH509)&amp;IF(AK509="","",", "&amp;AK509)&amp;IF(AN509="","",", "&amp;AN509)&amp;IF(AQ509="","",", "&amp;AQ509)&amp;IF(AT509="","",", "&amp;AT509)&amp;IF(AW509="","",", "&amp;AW509)&amp;IF(AZ509="","",", "&amp;AZ509),3,500)</f>
        <v/>
      </c>
      <c r="BH509" s="12" t="n"/>
      <c r="BI509" s="15">
        <f>IFERROR(MATCH($A509,IF($B509="Onsite",tbl_Onsite[Row ID],IF($B509="Production",tbl_Production[Row ID],tbl_Consulting[Row ID])),0),"")</f>
        <v/>
      </c>
    </row>
    <row r="510">
      <c r="A510" s="10" t="inlineStr">
        <is>
          <t>PRD-0004</t>
        </is>
      </c>
      <c r="B510" s="10" t="inlineStr">
        <is>
          <t>Production</t>
        </is>
      </c>
      <c r="C510" s="10">
        <f>IF($BI510="","",IF($B510="Onsite",INDEX(tbl_Onsite[Job Number],$BI510),IF($B510="Production",INDEX(tbl_Production[Job Number],$BI510),INDEX(tbl_Consulting[Job Number],$BI510)))&amp;"")</f>
        <v/>
      </c>
      <c r="D510" s="10">
        <f>IF($BI510="","",IF($B510="Onsite",INDEX(tbl_Onsite[Client],$BI510),IF($B510="Production",INDEX(tbl_Production[Client],$BI510),INDEX(tbl_Consulting[Client],$BI510)))&amp;"")</f>
        <v/>
      </c>
      <c r="E510" s="10">
        <f>IF($C510="","",IF(COUNTIF(lst_Jobs,$C510)&gt;0,"OK","CHECK"))</f>
        <v/>
      </c>
      <c r="F510" s="10">
        <f>IF($C510="","",IFERROR(INDEX(lst_JobName,MATCH($C510,lst_Jobs,0)),""))</f>
        <v/>
      </c>
      <c r="G510" s="10">
        <f>IF($BI510="","",IF($B510="Onsite",INDEX(tbl_Onsite[Job Description],$BI510),IF($B510="Production",INDEX(tbl_Production[Job Description],$BI510),INDEX(tbl_Consulting[Job Description],$BI510)))&amp;"")</f>
        <v/>
      </c>
      <c r="H510" s="10">
        <f>IF($BI510="","",IF($B510="Onsite",INDEX(tbl_Onsite[Cost Centre],$BI510),IF($B510="Production",INDEX(tbl_Production[Cost Centre],$BI510),INDEX(tbl_Consulting[Cost Centre],$BI510)))&amp;"")</f>
        <v/>
      </c>
      <c r="I510" s="10">
        <f>IF($BI510="","",IF($B510="Onsite",INDEX(tbl_Onsite[Invoice Type],$BI510),IF($B510="Production",INDEX(tbl_Production[Invoice Type],$BI510),INDEX(tbl_Consulting[Invoice Type],$BI510)))&amp;"")</f>
        <v/>
      </c>
      <c r="J510" s="10">
        <f>IF($BI510="","",IF($B510="Onsite",INDEX(tbl_Onsite[Tax Code],$BI510),IF($B510="Production",INDEX(tbl_Production[Tax Code],$BI510),INDEX(tbl_Consulting[Tax Code],$BI510)))&amp;"")</f>
        <v/>
      </c>
      <c r="K510" s="10">
        <f>IF(H510="","",IFERROR(INDEX(lst_CCtoGL,MATCH(H510,lst_CCforGL,0)),""))</f>
        <v/>
      </c>
      <c r="L510" s="10">
        <f>IF($BI510="","",IF($B510="Onsite",INDEX(tbl_Onsite[PO / Reference],$BI510),IF($B510="Production",INDEX(tbl_Production[Current RMS No],$BI510),INDEX(tbl_Consulting[Qwilr Quote],$BI510)))&amp;"")</f>
        <v/>
      </c>
      <c r="M510" s="10">
        <f>IF($BI510="","",IF($B510="Onsite",INDEX(tbl_Onsite[Notes],$BI510),IF($B510="Production",INDEX(tbl_Production[Notes],$BI510),INDEX(tbl_Consulting[Notes],$BI510)))&amp;"")</f>
        <v/>
      </c>
      <c r="N510" s="11">
        <f>IF($BI510="","",IF(IF($B510="Onsite",INDEX(tbl_Onsite[Expected Revenue Ex GST],$BI510),IF($B510="Production",INDEX(tbl_Production[Expected Revenue Ex GST],$BI510),INDEX(tbl_Consulting[Expected Revenue Ex GST],$BI510)))="","",IF($B510="Onsite",INDEX(tbl_Onsite[Expected Revenue Ex GST],$BI510),IF($B510="Production",INDEX(tbl_Production[Expected Revenue Ex GST],$BI510),INDEX(tbl_Consulting[Expected Revenue Ex GST],$BI510)))))</f>
        <v/>
      </c>
      <c r="O510" s="11">
        <f>IF(AND($C510="",NOT(COUNTA($S510:$BB510)&gt;0)),"",SUM(U510,X510,AA510,AD510,AG510,AJ510,AM510,AP510,AS510,AV510,AY510,BB510))</f>
        <v/>
      </c>
      <c r="P510" s="11">
        <f>IF(O510="","",N(N510)-O510)</f>
        <v/>
      </c>
      <c r="Q510" s="10">
        <f>IF(O510="","",IF($C510="","Invoice on empty job row",IF(N510="",IF(ROUND(O510,2)=0,"No dept value","Invoiced - no dept value"),IF(ROUND(O510,2)=0,"Not invoiced - to invoice",IF(ROUND(P510,2)=0,"Agrees",IF(P510&gt;0,"Dept higher - to invoice","Xero higher - check dept"))))))</f>
        <v/>
      </c>
      <c r="R510" s="10">
        <f>IF(AND($C510="",NOT(COUNTA($S510:$BB510)&gt;0),$BI510&lt;&gt;""),"",MID(IF($BI510="","; Row ID not found on the department sheet - a row was deleted","")&amp;IF(AND($C510="",COUNTA($S510:$BB510)&gt;0),"; Invoice entered but the department row has no job number","")&amp;IF(E510="CHECK","; Job number not in the Xero job list","")&amp;IF(AND($C510&lt;&gt;"",COUNTIF($C$7:$C$1506,$C510)&gt;1),"; Job number on more than one row","")&amp;IF(AND($C510&lt;&gt;"",H510=""),"; Dept has not set a cost centre","")&amp;IF(AND($C510&lt;&gt;"",J510=""),"; Dept has not set a tax code","")&amp;IF(AND($C510&lt;&gt;"",N510=""),"; Dept has not entered an expected value","")&amp;IF((IF(OR(COUNTA(S510:U510)=0,AND(COUNTA(S510:U510)=3,ISNUMBER(U510))),0,1)+IF(OR(COUNTA(V510:X510)=0,AND(COUNTA(V510:X510)=3,ISNUMBER(X510))),0,1)+IF(OR(COUNTA(Y510:AA510)=0,AND(COUNTA(Y510:AA510)=3,ISNUMBER(AA510))),0,1)+IF(OR(COUNTA(AB510:AD510)=0,AND(COUNTA(AB510:AD510)=3,ISNUMBER(AD510))),0,1)+IF(OR(COUNTA(AE510:AG510)=0,AND(COUNTA(AE510:AG510)=3,ISNUMBER(AG510))),0,1)+IF(OR(COUNTA(AH510:AJ510)=0,AND(COUNTA(AH510:AJ510)=3,ISNUMBER(AJ510))),0,1)+IF(OR(COUNTA(AK510:AM510)=0,AND(COUNTA(AK510:AM510)=3,ISNUMBER(AM510))),0,1)+IF(OR(COUNTA(AN510:AP510)=0,AND(COUNTA(AN510:AP510)=3,ISNUMBER(AP510))),0,1)+IF(OR(COUNTA(AQ510:AS510)=0,AND(COUNTA(AQ510:AS510)=3,ISNUMBER(AS510))),0,1)+IF(OR(COUNTA(AT510:AV510)=0,AND(COUNTA(AT510:AV510)=3,ISNUMBER(AV510))),0,1)+IF(OR(COUNTA(AW510:AY510)=0,AND(COUNTA(AW510:AY510)=3,ISNUMBER(AY510))),0,1)+IF(OR(COUNTA(AZ510:BB510)=0,AND(COUNTA(AZ510:BB510)=3,ISNUMBER(BB510))),0,1))&gt;0,"; An invoice is incomplete (needs No, Date and a number in Ex GST)","")&amp;IF((IF(T510="",0,IFERROR(--(EOMONTH(T510,0)&lt;&gt;S$5),1))+IF(W510="",0,IFERROR(--(EOMONTH(W510,0)&lt;&gt;V$5),1))+IF(Z510="",0,IFERROR(--(EOMONTH(Z510,0)&lt;&gt;Y$5),1))+IF(AC510="",0,IFERROR(--(EOMONTH(AC510,0)&lt;&gt;AB$5),1))+IF(AF510="",0,IFERROR(--(EOMONTH(AF510,0)&lt;&gt;AE$5),1))+IF(AI510="",0,IFERROR(--(EOMONTH(AI510,0)&lt;&gt;AH$5),1))+IF(AL510="",0,IFERROR(--(EOMONTH(AL510,0)&lt;&gt;AK$5),1))+IF(AO510="",0,IFERROR(--(EOMONTH(AO510,0)&lt;&gt;AN$5),1))+IF(AR510="",0,IFERROR(--(EOMONTH(AR510,0)&lt;&gt;AQ$5),1))+IF(AU510="",0,IFERROR(--(EOMONTH(AU510,0)&lt;&gt;AT$5),1))+IF(AX510="",0,IFERROR(--(EOMONTH(AX510,0)&lt;&gt;AW$5),1))+IF(BA510="",0,IFERROR(--(EOMONTH(BA510,0)&lt;&gt;AZ$5),1)))&gt;0,"; An invoice date is not in the month it is typed under",""),3,500))</f>
        <v/>
      </c>
      <c r="S510" s="12" t="n"/>
      <c r="T510" s="13" t="n"/>
      <c r="U510" s="14" t="n"/>
      <c r="V510" s="12" t="n"/>
      <c r="W510" s="13" t="n"/>
      <c r="X510" s="14" t="n"/>
      <c r="Y510" s="12" t="n"/>
      <c r="Z510" s="13" t="n"/>
      <c r="AA510" s="14" t="n"/>
      <c r="AB510" s="12" t="n"/>
      <c r="AC510" s="13" t="n"/>
      <c r="AD510" s="14" t="n"/>
      <c r="AE510" s="12" t="n"/>
      <c r="AF510" s="13" t="n"/>
      <c r="AG510" s="14" t="n"/>
      <c r="AH510" s="12" t="n"/>
      <c r="AI510" s="13" t="n"/>
      <c r="AJ510" s="14" t="n"/>
      <c r="AK510" s="12" t="n"/>
      <c r="AL510" s="13" t="n"/>
      <c r="AM510" s="14" t="n"/>
      <c r="AN510" s="12" t="n"/>
      <c r="AO510" s="13" t="n"/>
      <c r="AP510" s="14" t="n"/>
      <c r="AQ510" s="12" t="n"/>
      <c r="AR510" s="13" t="n"/>
      <c r="AS510" s="14" t="n"/>
      <c r="AT510" s="12" t="n"/>
      <c r="AU510" s="13" t="n"/>
      <c r="AV510" s="14" t="n"/>
      <c r="AW510" s="12" t="n"/>
      <c r="AX510" s="13" t="n"/>
      <c r="AY510" s="14" t="n"/>
      <c r="AZ510" s="12" t="n"/>
      <c r="BA510" s="13" t="n"/>
      <c r="BB510" s="14" t="n"/>
      <c r="BC510" s="11">
        <f>IF(O510="","",IF(J510="GST 10%",ROUND(O510*set_GSTRate,2),0))</f>
        <v/>
      </c>
      <c r="BD510" s="11">
        <f>IF(O510="","",O510+BC510)</f>
        <v/>
      </c>
      <c r="BE510" s="15">
        <f>IF(O510="","",COUNTA(S510,V510,Y510,AB510,AE510,AH510,AK510,AN510,AQ510,AT510,AW510,AZ510))</f>
        <v/>
      </c>
      <c r="BF510" s="16">
        <f>IF(COUNT(T510,W510,Z510,AC510,AF510,AI510,AL510,AO510,AR510,AU510,AX510,BA510)=0,"",MAX(T510,W510,Z510,AC510,AF510,AI510,AL510,AO510,AR510,AU510,AX510,BA510))</f>
        <v/>
      </c>
      <c r="BG510" s="10">
        <f>MID(IF(S510="","",", "&amp;S510)&amp;IF(V510="","",", "&amp;V510)&amp;IF(Y510="","",", "&amp;Y510)&amp;IF(AB510="","",", "&amp;AB510)&amp;IF(AE510="","",", "&amp;AE510)&amp;IF(AH510="","",", "&amp;AH510)&amp;IF(AK510="","",", "&amp;AK510)&amp;IF(AN510="","",", "&amp;AN510)&amp;IF(AQ510="","",", "&amp;AQ510)&amp;IF(AT510="","",", "&amp;AT510)&amp;IF(AW510="","",", "&amp;AW510)&amp;IF(AZ510="","",", "&amp;AZ510),3,500)</f>
        <v/>
      </c>
      <c r="BH510" s="12" t="n"/>
      <c r="BI510" s="15">
        <f>IFERROR(MATCH($A510,IF($B510="Onsite",tbl_Onsite[Row ID],IF($B510="Production",tbl_Production[Row ID],tbl_Consulting[Row ID])),0),"")</f>
        <v/>
      </c>
    </row>
    <row r="511">
      <c r="A511" s="10" t="inlineStr">
        <is>
          <t>PRD-0005</t>
        </is>
      </c>
      <c r="B511" s="10" t="inlineStr">
        <is>
          <t>Production</t>
        </is>
      </c>
      <c r="C511" s="10">
        <f>IF($BI511="","",IF($B511="Onsite",INDEX(tbl_Onsite[Job Number],$BI511),IF($B511="Production",INDEX(tbl_Production[Job Number],$BI511),INDEX(tbl_Consulting[Job Number],$BI511)))&amp;"")</f>
        <v/>
      </c>
      <c r="D511" s="10">
        <f>IF($BI511="","",IF($B511="Onsite",INDEX(tbl_Onsite[Client],$BI511),IF($B511="Production",INDEX(tbl_Production[Client],$BI511),INDEX(tbl_Consulting[Client],$BI511)))&amp;"")</f>
        <v/>
      </c>
      <c r="E511" s="10">
        <f>IF($C511="","",IF(COUNTIF(lst_Jobs,$C511)&gt;0,"OK","CHECK"))</f>
        <v/>
      </c>
      <c r="F511" s="10">
        <f>IF($C511="","",IFERROR(INDEX(lst_JobName,MATCH($C511,lst_Jobs,0)),""))</f>
        <v/>
      </c>
      <c r="G511" s="10">
        <f>IF($BI511="","",IF($B511="Onsite",INDEX(tbl_Onsite[Job Description],$BI511),IF($B511="Production",INDEX(tbl_Production[Job Description],$BI511),INDEX(tbl_Consulting[Job Description],$BI511)))&amp;"")</f>
        <v/>
      </c>
      <c r="H511" s="10">
        <f>IF($BI511="","",IF($B511="Onsite",INDEX(tbl_Onsite[Cost Centre],$BI511),IF($B511="Production",INDEX(tbl_Production[Cost Centre],$BI511),INDEX(tbl_Consulting[Cost Centre],$BI511)))&amp;"")</f>
        <v/>
      </c>
      <c r="I511" s="10">
        <f>IF($BI511="","",IF($B511="Onsite",INDEX(tbl_Onsite[Invoice Type],$BI511),IF($B511="Production",INDEX(tbl_Production[Invoice Type],$BI511),INDEX(tbl_Consulting[Invoice Type],$BI511)))&amp;"")</f>
        <v/>
      </c>
      <c r="J511" s="10">
        <f>IF($BI511="","",IF($B511="Onsite",INDEX(tbl_Onsite[Tax Code],$BI511),IF($B511="Production",INDEX(tbl_Production[Tax Code],$BI511),INDEX(tbl_Consulting[Tax Code],$BI511)))&amp;"")</f>
        <v/>
      </c>
      <c r="K511" s="10">
        <f>IF(H511="","",IFERROR(INDEX(lst_CCtoGL,MATCH(H511,lst_CCforGL,0)),""))</f>
        <v/>
      </c>
      <c r="L511" s="10">
        <f>IF($BI511="","",IF($B511="Onsite",INDEX(tbl_Onsite[PO / Reference],$BI511),IF($B511="Production",INDEX(tbl_Production[Current RMS No],$BI511),INDEX(tbl_Consulting[Qwilr Quote],$BI511)))&amp;"")</f>
        <v/>
      </c>
      <c r="M511" s="10">
        <f>IF($BI511="","",IF($B511="Onsite",INDEX(tbl_Onsite[Notes],$BI511),IF($B511="Production",INDEX(tbl_Production[Notes],$BI511),INDEX(tbl_Consulting[Notes],$BI511)))&amp;"")</f>
        <v/>
      </c>
      <c r="N511" s="11">
        <f>IF($BI511="","",IF(IF($B511="Onsite",INDEX(tbl_Onsite[Expected Revenue Ex GST],$BI511),IF($B511="Production",INDEX(tbl_Production[Expected Revenue Ex GST],$BI511),INDEX(tbl_Consulting[Expected Revenue Ex GST],$BI511)))="","",IF($B511="Onsite",INDEX(tbl_Onsite[Expected Revenue Ex GST],$BI511),IF($B511="Production",INDEX(tbl_Production[Expected Revenue Ex GST],$BI511),INDEX(tbl_Consulting[Expected Revenue Ex GST],$BI511)))))</f>
        <v/>
      </c>
      <c r="O511" s="11">
        <f>IF(AND($C511="",NOT(COUNTA($S511:$BB511)&gt;0)),"",SUM(U511,X511,AA511,AD511,AG511,AJ511,AM511,AP511,AS511,AV511,AY511,BB511))</f>
        <v/>
      </c>
      <c r="P511" s="11">
        <f>IF(O511="","",N(N511)-O511)</f>
        <v/>
      </c>
      <c r="Q511" s="10">
        <f>IF(O511="","",IF($C511="","Invoice on empty job row",IF(N511="",IF(ROUND(O511,2)=0,"No dept value","Invoiced - no dept value"),IF(ROUND(O511,2)=0,"Not invoiced - to invoice",IF(ROUND(P511,2)=0,"Agrees",IF(P511&gt;0,"Dept higher - to invoice","Xero higher - check dept"))))))</f>
        <v/>
      </c>
      <c r="R511" s="10">
        <f>IF(AND($C511="",NOT(COUNTA($S511:$BB511)&gt;0),$BI511&lt;&gt;""),"",MID(IF($BI511="","; Row ID not found on the department sheet - a row was deleted","")&amp;IF(AND($C511="",COUNTA($S511:$BB511)&gt;0),"; Invoice entered but the department row has no job number","")&amp;IF(E511="CHECK","; Job number not in the Xero job list","")&amp;IF(AND($C511&lt;&gt;"",COUNTIF($C$7:$C$1506,$C511)&gt;1),"; Job number on more than one row","")&amp;IF(AND($C511&lt;&gt;"",H511=""),"; Dept has not set a cost centre","")&amp;IF(AND($C511&lt;&gt;"",J511=""),"; Dept has not set a tax code","")&amp;IF(AND($C511&lt;&gt;"",N511=""),"; Dept has not entered an expected value","")&amp;IF((IF(OR(COUNTA(S511:U511)=0,AND(COUNTA(S511:U511)=3,ISNUMBER(U511))),0,1)+IF(OR(COUNTA(V511:X511)=0,AND(COUNTA(V511:X511)=3,ISNUMBER(X511))),0,1)+IF(OR(COUNTA(Y511:AA511)=0,AND(COUNTA(Y511:AA511)=3,ISNUMBER(AA511))),0,1)+IF(OR(COUNTA(AB511:AD511)=0,AND(COUNTA(AB511:AD511)=3,ISNUMBER(AD511))),0,1)+IF(OR(COUNTA(AE511:AG511)=0,AND(COUNTA(AE511:AG511)=3,ISNUMBER(AG511))),0,1)+IF(OR(COUNTA(AH511:AJ511)=0,AND(COUNTA(AH511:AJ511)=3,ISNUMBER(AJ511))),0,1)+IF(OR(COUNTA(AK511:AM511)=0,AND(COUNTA(AK511:AM511)=3,ISNUMBER(AM511))),0,1)+IF(OR(COUNTA(AN511:AP511)=0,AND(COUNTA(AN511:AP511)=3,ISNUMBER(AP511))),0,1)+IF(OR(COUNTA(AQ511:AS511)=0,AND(COUNTA(AQ511:AS511)=3,ISNUMBER(AS511))),0,1)+IF(OR(COUNTA(AT511:AV511)=0,AND(COUNTA(AT511:AV511)=3,ISNUMBER(AV511))),0,1)+IF(OR(COUNTA(AW511:AY511)=0,AND(COUNTA(AW511:AY511)=3,ISNUMBER(AY511))),0,1)+IF(OR(COUNTA(AZ511:BB511)=0,AND(COUNTA(AZ511:BB511)=3,ISNUMBER(BB511))),0,1))&gt;0,"; An invoice is incomplete (needs No, Date and a number in Ex GST)","")&amp;IF((IF(T511="",0,IFERROR(--(EOMONTH(T511,0)&lt;&gt;S$5),1))+IF(W511="",0,IFERROR(--(EOMONTH(W511,0)&lt;&gt;V$5),1))+IF(Z511="",0,IFERROR(--(EOMONTH(Z511,0)&lt;&gt;Y$5),1))+IF(AC511="",0,IFERROR(--(EOMONTH(AC511,0)&lt;&gt;AB$5),1))+IF(AF511="",0,IFERROR(--(EOMONTH(AF511,0)&lt;&gt;AE$5),1))+IF(AI511="",0,IFERROR(--(EOMONTH(AI511,0)&lt;&gt;AH$5),1))+IF(AL511="",0,IFERROR(--(EOMONTH(AL511,0)&lt;&gt;AK$5),1))+IF(AO511="",0,IFERROR(--(EOMONTH(AO511,0)&lt;&gt;AN$5),1))+IF(AR511="",0,IFERROR(--(EOMONTH(AR511,0)&lt;&gt;AQ$5),1))+IF(AU511="",0,IFERROR(--(EOMONTH(AU511,0)&lt;&gt;AT$5),1))+IF(AX511="",0,IFERROR(--(EOMONTH(AX511,0)&lt;&gt;AW$5),1))+IF(BA511="",0,IFERROR(--(EOMONTH(BA511,0)&lt;&gt;AZ$5),1)))&gt;0,"; An invoice date is not in the month it is typed under",""),3,500))</f>
        <v/>
      </c>
      <c r="S511" s="12" t="n"/>
      <c r="T511" s="13" t="n"/>
      <c r="U511" s="14" t="n"/>
      <c r="V511" s="12" t="n"/>
      <c r="W511" s="13" t="n"/>
      <c r="X511" s="14" t="n"/>
      <c r="Y511" s="12" t="n"/>
      <c r="Z511" s="13" t="n"/>
      <c r="AA511" s="14" t="n"/>
      <c r="AB511" s="12" t="n"/>
      <c r="AC511" s="13" t="n"/>
      <c r="AD511" s="14" t="n"/>
      <c r="AE511" s="12" t="n"/>
      <c r="AF511" s="13" t="n"/>
      <c r="AG511" s="14" t="n"/>
      <c r="AH511" s="12" t="n"/>
      <c r="AI511" s="13" t="n"/>
      <c r="AJ511" s="14" t="n"/>
      <c r="AK511" s="12" t="n"/>
      <c r="AL511" s="13" t="n"/>
      <c r="AM511" s="14" t="n"/>
      <c r="AN511" s="12" t="n"/>
      <c r="AO511" s="13" t="n"/>
      <c r="AP511" s="14" t="n"/>
      <c r="AQ511" s="12" t="n"/>
      <c r="AR511" s="13" t="n"/>
      <c r="AS511" s="14" t="n"/>
      <c r="AT511" s="12" t="n"/>
      <c r="AU511" s="13" t="n"/>
      <c r="AV511" s="14" t="n"/>
      <c r="AW511" s="12" t="n"/>
      <c r="AX511" s="13" t="n"/>
      <c r="AY511" s="14" t="n"/>
      <c r="AZ511" s="12" t="n"/>
      <c r="BA511" s="13" t="n"/>
      <c r="BB511" s="14" t="n"/>
      <c r="BC511" s="11">
        <f>IF(O511="","",IF(J511="GST 10%",ROUND(O511*set_GSTRate,2),0))</f>
        <v/>
      </c>
      <c r="BD511" s="11">
        <f>IF(O511="","",O511+BC511)</f>
        <v/>
      </c>
      <c r="BE511" s="15">
        <f>IF(O511="","",COUNTA(S511,V511,Y511,AB511,AE511,AH511,AK511,AN511,AQ511,AT511,AW511,AZ511))</f>
        <v/>
      </c>
      <c r="BF511" s="16">
        <f>IF(COUNT(T511,W511,Z511,AC511,AF511,AI511,AL511,AO511,AR511,AU511,AX511,BA511)=0,"",MAX(T511,W511,Z511,AC511,AF511,AI511,AL511,AO511,AR511,AU511,AX511,BA511))</f>
        <v/>
      </c>
      <c r="BG511" s="10">
        <f>MID(IF(S511="","",", "&amp;S511)&amp;IF(V511="","",", "&amp;V511)&amp;IF(Y511="","",", "&amp;Y511)&amp;IF(AB511="","",", "&amp;AB511)&amp;IF(AE511="","",", "&amp;AE511)&amp;IF(AH511="","",", "&amp;AH511)&amp;IF(AK511="","",", "&amp;AK511)&amp;IF(AN511="","",", "&amp;AN511)&amp;IF(AQ511="","",", "&amp;AQ511)&amp;IF(AT511="","",", "&amp;AT511)&amp;IF(AW511="","",", "&amp;AW511)&amp;IF(AZ511="","",", "&amp;AZ511),3,500)</f>
        <v/>
      </c>
      <c r="BH511" s="12" t="n"/>
      <c r="BI511" s="15">
        <f>IFERROR(MATCH($A511,IF($B511="Onsite",tbl_Onsite[Row ID],IF($B511="Production",tbl_Production[Row ID],tbl_Consulting[Row ID])),0),"")</f>
        <v/>
      </c>
    </row>
    <row r="512">
      <c r="A512" s="10" t="inlineStr">
        <is>
          <t>PRD-0006</t>
        </is>
      </c>
      <c r="B512" s="10" t="inlineStr">
        <is>
          <t>Production</t>
        </is>
      </c>
      <c r="C512" s="10">
        <f>IF($BI512="","",IF($B512="Onsite",INDEX(tbl_Onsite[Job Number],$BI512),IF($B512="Production",INDEX(tbl_Production[Job Number],$BI512),INDEX(tbl_Consulting[Job Number],$BI512)))&amp;"")</f>
        <v/>
      </c>
      <c r="D512" s="10">
        <f>IF($BI512="","",IF($B512="Onsite",INDEX(tbl_Onsite[Client],$BI512),IF($B512="Production",INDEX(tbl_Production[Client],$BI512),INDEX(tbl_Consulting[Client],$BI512)))&amp;"")</f>
        <v/>
      </c>
      <c r="E512" s="10">
        <f>IF($C512="","",IF(COUNTIF(lst_Jobs,$C512)&gt;0,"OK","CHECK"))</f>
        <v/>
      </c>
      <c r="F512" s="10">
        <f>IF($C512="","",IFERROR(INDEX(lst_JobName,MATCH($C512,lst_Jobs,0)),""))</f>
        <v/>
      </c>
      <c r="G512" s="10">
        <f>IF($BI512="","",IF($B512="Onsite",INDEX(tbl_Onsite[Job Description],$BI512),IF($B512="Production",INDEX(tbl_Production[Job Description],$BI512),INDEX(tbl_Consulting[Job Description],$BI512)))&amp;"")</f>
        <v/>
      </c>
      <c r="H512" s="10">
        <f>IF($BI512="","",IF($B512="Onsite",INDEX(tbl_Onsite[Cost Centre],$BI512),IF($B512="Production",INDEX(tbl_Production[Cost Centre],$BI512),INDEX(tbl_Consulting[Cost Centre],$BI512)))&amp;"")</f>
        <v/>
      </c>
      <c r="I512" s="10">
        <f>IF($BI512="","",IF($B512="Onsite",INDEX(tbl_Onsite[Invoice Type],$BI512),IF($B512="Production",INDEX(tbl_Production[Invoice Type],$BI512),INDEX(tbl_Consulting[Invoice Type],$BI512)))&amp;"")</f>
        <v/>
      </c>
      <c r="J512" s="10">
        <f>IF($BI512="","",IF($B512="Onsite",INDEX(tbl_Onsite[Tax Code],$BI512),IF($B512="Production",INDEX(tbl_Production[Tax Code],$BI512),INDEX(tbl_Consulting[Tax Code],$BI512)))&amp;"")</f>
        <v/>
      </c>
      <c r="K512" s="10">
        <f>IF(H512="","",IFERROR(INDEX(lst_CCtoGL,MATCH(H512,lst_CCforGL,0)),""))</f>
        <v/>
      </c>
      <c r="L512" s="10">
        <f>IF($BI512="","",IF($B512="Onsite",INDEX(tbl_Onsite[PO / Reference],$BI512),IF($B512="Production",INDEX(tbl_Production[Current RMS No],$BI512),INDEX(tbl_Consulting[Qwilr Quote],$BI512)))&amp;"")</f>
        <v/>
      </c>
      <c r="M512" s="10">
        <f>IF($BI512="","",IF($B512="Onsite",INDEX(tbl_Onsite[Notes],$BI512),IF($B512="Production",INDEX(tbl_Production[Notes],$BI512),INDEX(tbl_Consulting[Notes],$BI512)))&amp;"")</f>
        <v/>
      </c>
      <c r="N512" s="11">
        <f>IF($BI512="","",IF(IF($B512="Onsite",INDEX(tbl_Onsite[Expected Revenue Ex GST],$BI512),IF($B512="Production",INDEX(tbl_Production[Expected Revenue Ex GST],$BI512),INDEX(tbl_Consulting[Expected Revenue Ex GST],$BI512)))="","",IF($B512="Onsite",INDEX(tbl_Onsite[Expected Revenue Ex GST],$BI512),IF($B512="Production",INDEX(tbl_Production[Expected Revenue Ex GST],$BI512),INDEX(tbl_Consulting[Expected Revenue Ex GST],$BI512)))))</f>
        <v/>
      </c>
      <c r="O512" s="11">
        <f>IF(AND($C512="",NOT(COUNTA($S512:$BB512)&gt;0)),"",SUM(U512,X512,AA512,AD512,AG512,AJ512,AM512,AP512,AS512,AV512,AY512,BB512))</f>
        <v/>
      </c>
      <c r="P512" s="11">
        <f>IF(O512="","",N(N512)-O512)</f>
        <v/>
      </c>
      <c r="Q512" s="10">
        <f>IF(O512="","",IF($C512="","Invoice on empty job row",IF(N512="",IF(ROUND(O512,2)=0,"No dept value","Invoiced - no dept value"),IF(ROUND(O512,2)=0,"Not invoiced - to invoice",IF(ROUND(P512,2)=0,"Agrees",IF(P512&gt;0,"Dept higher - to invoice","Xero higher - check dept"))))))</f>
        <v/>
      </c>
      <c r="R512" s="10">
        <f>IF(AND($C512="",NOT(COUNTA($S512:$BB512)&gt;0),$BI512&lt;&gt;""),"",MID(IF($BI512="","; Row ID not found on the department sheet - a row was deleted","")&amp;IF(AND($C512="",COUNTA($S512:$BB512)&gt;0),"; Invoice entered but the department row has no job number","")&amp;IF(E512="CHECK","; Job number not in the Xero job list","")&amp;IF(AND($C512&lt;&gt;"",COUNTIF($C$7:$C$1506,$C512)&gt;1),"; Job number on more than one row","")&amp;IF(AND($C512&lt;&gt;"",H512=""),"; Dept has not set a cost centre","")&amp;IF(AND($C512&lt;&gt;"",J512=""),"; Dept has not set a tax code","")&amp;IF(AND($C512&lt;&gt;"",N512=""),"; Dept has not entered an expected value","")&amp;IF((IF(OR(COUNTA(S512:U512)=0,AND(COUNTA(S512:U512)=3,ISNUMBER(U512))),0,1)+IF(OR(COUNTA(V512:X512)=0,AND(COUNTA(V512:X512)=3,ISNUMBER(X512))),0,1)+IF(OR(COUNTA(Y512:AA512)=0,AND(COUNTA(Y512:AA512)=3,ISNUMBER(AA512))),0,1)+IF(OR(COUNTA(AB512:AD512)=0,AND(COUNTA(AB512:AD512)=3,ISNUMBER(AD512))),0,1)+IF(OR(COUNTA(AE512:AG512)=0,AND(COUNTA(AE512:AG512)=3,ISNUMBER(AG512))),0,1)+IF(OR(COUNTA(AH512:AJ512)=0,AND(COUNTA(AH512:AJ512)=3,ISNUMBER(AJ512))),0,1)+IF(OR(COUNTA(AK512:AM512)=0,AND(COUNTA(AK512:AM512)=3,ISNUMBER(AM512))),0,1)+IF(OR(COUNTA(AN512:AP512)=0,AND(COUNTA(AN512:AP512)=3,ISNUMBER(AP512))),0,1)+IF(OR(COUNTA(AQ512:AS512)=0,AND(COUNTA(AQ512:AS512)=3,ISNUMBER(AS512))),0,1)+IF(OR(COUNTA(AT512:AV512)=0,AND(COUNTA(AT512:AV512)=3,ISNUMBER(AV512))),0,1)+IF(OR(COUNTA(AW512:AY512)=0,AND(COUNTA(AW512:AY512)=3,ISNUMBER(AY512))),0,1)+IF(OR(COUNTA(AZ512:BB512)=0,AND(COUNTA(AZ512:BB512)=3,ISNUMBER(BB512))),0,1))&gt;0,"; An invoice is incomplete (needs No, Date and a number in Ex GST)","")&amp;IF((IF(T512="",0,IFERROR(--(EOMONTH(T512,0)&lt;&gt;S$5),1))+IF(W512="",0,IFERROR(--(EOMONTH(W512,0)&lt;&gt;V$5),1))+IF(Z512="",0,IFERROR(--(EOMONTH(Z512,0)&lt;&gt;Y$5),1))+IF(AC512="",0,IFERROR(--(EOMONTH(AC512,0)&lt;&gt;AB$5),1))+IF(AF512="",0,IFERROR(--(EOMONTH(AF512,0)&lt;&gt;AE$5),1))+IF(AI512="",0,IFERROR(--(EOMONTH(AI512,0)&lt;&gt;AH$5),1))+IF(AL512="",0,IFERROR(--(EOMONTH(AL512,0)&lt;&gt;AK$5),1))+IF(AO512="",0,IFERROR(--(EOMONTH(AO512,0)&lt;&gt;AN$5),1))+IF(AR512="",0,IFERROR(--(EOMONTH(AR512,0)&lt;&gt;AQ$5),1))+IF(AU512="",0,IFERROR(--(EOMONTH(AU512,0)&lt;&gt;AT$5),1))+IF(AX512="",0,IFERROR(--(EOMONTH(AX512,0)&lt;&gt;AW$5),1))+IF(BA512="",0,IFERROR(--(EOMONTH(BA512,0)&lt;&gt;AZ$5),1)))&gt;0,"; An invoice date is not in the month it is typed under",""),3,500))</f>
        <v/>
      </c>
      <c r="S512" s="12" t="n"/>
      <c r="T512" s="13" t="n"/>
      <c r="U512" s="14" t="n"/>
      <c r="V512" s="12" t="n"/>
      <c r="W512" s="13" t="n"/>
      <c r="X512" s="14" t="n"/>
      <c r="Y512" s="12" t="n"/>
      <c r="Z512" s="13" t="n"/>
      <c r="AA512" s="14" t="n"/>
      <c r="AB512" s="12" t="n"/>
      <c r="AC512" s="13" t="n"/>
      <c r="AD512" s="14" t="n"/>
      <c r="AE512" s="12" t="n"/>
      <c r="AF512" s="13" t="n"/>
      <c r="AG512" s="14" t="n"/>
      <c r="AH512" s="12" t="n"/>
      <c r="AI512" s="13" t="n"/>
      <c r="AJ512" s="14" t="n"/>
      <c r="AK512" s="12" t="n"/>
      <c r="AL512" s="13" t="n"/>
      <c r="AM512" s="14" t="n"/>
      <c r="AN512" s="12" t="n"/>
      <c r="AO512" s="13" t="n"/>
      <c r="AP512" s="14" t="n"/>
      <c r="AQ512" s="12" t="n"/>
      <c r="AR512" s="13" t="n"/>
      <c r="AS512" s="14" t="n"/>
      <c r="AT512" s="12" t="n"/>
      <c r="AU512" s="13" t="n"/>
      <c r="AV512" s="14" t="n"/>
      <c r="AW512" s="12" t="n"/>
      <c r="AX512" s="13" t="n"/>
      <c r="AY512" s="14" t="n"/>
      <c r="AZ512" s="12" t="n"/>
      <c r="BA512" s="13" t="n"/>
      <c r="BB512" s="14" t="n"/>
      <c r="BC512" s="11">
        <f>IF(O512="","",IF(J512="GST 10%",ROUND(O512*set_GSTRate,2),0))</f>
        <v/>
      </c>
      <c r="BD512" s="11">
        <f>IF(O512="","",O512+BC512)</f>
        <v/>
      </c>
      <c r="BE512" s="15">
        <f>IF(O512="","",COUNTA(S512,V512,Y512,AB512,AE512,AH512,AK512,AN512,AQ512,AT512,AW512,AZ512))</f>
        <v/>
      </c>
      <c r="BF512" s="16">
        <f>IF(COUNT(T512,W512,Z512,AC512,AF512,AI512,AL512,AO512,AR512,AU512,AX512,BA512)=0,"",MAX(T512,W512,Z512,AC512,AF512,AI512,AL512,AO512,AR512,AU512,AX512,BA512))</f>
        <v/>
      </c>
      <c r="BG512" s="10">
        <f>MID(IF(S512="","",", "&amp;S512)&amp;IF(V512="","",", "&amp;V512)&amp;IF(Y512="","",", "&amp;Y512)&amp;IF(AB512="","",", "&amp;AB512)&amp;IF(AE512="","",", "&amp;AE512)&amp;IF(AH512="","",", "&amp;AH512)&amp;IF(AK512="","",", "&amp;AK512)&amp;IF(AN512="","",", "&amp;AN512)&amp;IF(AQ512="","",", "&amp;AQ512)&amp;IF(AT512="","",", "&amp;AT512)&amp;IF(AW512="","",", "&amp;AW512)&amp;IF(AZ512="","",", "&amp;AZ512),3,500)</f>
        <v/>
      </c>
      <c r="BH512" s="12" t="n"/>
      <c r="BI512" s="15">
        <f>IFERROR(MATCH($A512,IF($B512="Onsite",tbl_Onsite[Row ID],IF($B512="Production",tbl_Production[Row ID],tbl_Consulting[Row ID])),0),"")</f>
        <v/>
      </c>
    </row>
    <row r="513">
      <c r="A513" s="10" t="inlineStr">
        <is>
          <t>PRD-0007</t>
        </is>
      </c>
      <c r="B513" s="10" t="inlineStr">
        <is>
          <t>Production</t>
        </is>
      </c>
      <c r="C513" s="10">
        <f>IF($BI513="","",IF($B513="Onsite",INDEX(tbl_Onsite[Job Number],$BI513),IF($B513="Production",INDEX(tbl_Production[Job Number],$BI513),INDEX(tbl_Consulting[Job Number],$BI513)))&amp;"")</f>
        <v/>
      </c>
      <c r="D513" s="10">
        <f>IF($BI513="","",IF($B513="Onsite",INDEX(tbl_Onsite[Client],$BI513),IF($B513="Production",INDEX(tbl_Production[Client],$BI513),INDEX(tbl_Consulting[Client],$BI513)))&amp;"")</f>
        <v/>
      </c>
      <c r="E513" s="10">
        <f>IF($C513="","",IF(COUNTIF(lst_Jobs,$C513)&gt;0,"OK","CHECK"))</f>
        <v/>
      </c>
      <c r="F513" s="10">
        <f>IF($C513="","",IFERROR(INDEX(lst_JobName,MATCH($C513,lst_Jobs,0)),""))</f>
        <v/>
      </c>
      <c r="G513" s="10">
        <f>IF($BI513="","",IF($B513="Onsite",INDEX(tbl_Onsite[Job Description],$BI513),IF($B513="Production",INDEX(tbl_Production[Job Description],$BI513),INDEX(tbl_Consulting[Job Description],$BI513)))&amp;"")</f>
        <v/>
      </c>
      <c r="H513" s="10">
        <f>IF($BI513="","",IF($B513="Onsite",INDEX(tbl_Onsite[Cost Centre],$BI513),IF($B513="Production",INDEX(tbl_Production[Cost Centre],$BI513),INDEX(tbl_Consulting[Cost Centre],$BI513)))&amp;"")</f>
        <v/>
      </c>
      <c r="I513" s="10">
        <f>IF($BI513="","",IF($B513="Onsite",INDEX(tbl_Onsite[Invoice Type],$BI513),IF($B513="Production",INDEX(tbl_Production[Invoice Type],$BI513),INDEX(tbl_Consulting[Invoice Type],$BI513)))&amp;"")</f>
        <v/>
      </c>
      <c r="J513" s="10">
        <f>IF($BI513="","",IF($B513="Onsite",INDEX(tbl_Onsite[Tax Code],$BI513),IF($B513="Production",INDEX(tbl_Production[Tax Code],$BI513),INDEX(tbl_Consulting[Tax Code],$BI513)))&amp;"")</f>
        <v/>
      </c>
      <c r="K513" s="10">
        <f>IF(H513="","",IFERROR(INDEX(lst_CCtoGL,MATCH(H513,lst_CCforGL,0)),""))</f>
        <v/>
      </c>
      <c r="L513" s="10">
        <f>IF($BI513="","",IF($B513="Onsite",INDEX(tbl_Onsite[PO / Reference],$BI513),IF($B513="Production",INDEX(tbl_Production[Current RMS No],$BI513),INDEX(tbl_Consulting[Qwilr Quote],$BI513)))&amp;"")</f>
        <v/>
      </c>
      <c r="M513" s="10">
        <f>IF($BI513="","",IF($B513="Onsite",INDEX(tbl_Onsite[Notes],$BI513),IF($B513="Production",INDEX(tbl_Production[Notes],$BI513),INDEX(tbl_Consulting[Notes],$BI513)))&amp;"")</f>
        <v/>
      </c>
      <c r="N513" s="11">
        <f>IF($BI513="","",IF(IF($B513="Onsite",INDEX(tbl_Onsite[Expected Revenue Ex GST],$BI513),IF($B513="Production",INDEX(tbl_Production[Expected Revenue Ex GST],$BI513),INDEX(tbl_Consulting[Expected Revenue Ex GST],$BI513)))="","",IF($B513="Onsite",INDEX(tbl_Onsite[Expected Revenue Ex GST],$BI513),IF($B513="Production",INDEX(tbl_Production[Expected Revenue Ex GST],$BI513),INDEX(tbl_Consulting[Expected Revenue Ex GST],$BI513)))))</f>
        <v/>
      </c>
      <c r="O513" s="11">
        <f>IF(AND($C513="",NOT(COUNTA($S513:$BB513)&gt;0)),"",SUM(U513,X513,AA513,AD513,AG513,AJ513,AM513,AP513,AS513,AV513,AY513,BB513))</f>
        <v/>
      </c>
      <c r="P513" s="11">
        <f>IF(O513="","",N(N513)-O513)</f>
        <v/>
      </c>
      <c r="Q513" s="10">
        <f>IF(O513="","",IF($C513="","Invoice on empty job row",IF(N513="",IF(ROUND(O513,2)=0,"No dept value","Invoiced - no dept value"),IF(ROUND(O513,2)=0,"Not invoiced - to invoice",IF(ROUND(P513,2)=0,"Agrees",IF(P513&gt;0,"Dept higher - to invoice","Xero higher - check dept"))))))</f>
        <v/>
      </c>
      <c r="R513" s="10">
        <f>IF(AND($C513="",NOT(COUNTA($S513:$BB513)&gt;0),$BI513&lt;&gt;""),"",MID(IF($BI513="","; Row ID not found on the department sheet - a row was deleted","")&amp;IF(AND($C513="",COUNTA($S513:$BB513)&gt;0),"; Invoice entered but the department row has no job number","")&amp;IF(E513="CHECK","; Job number not in the Xero job list","")&amp;IF(AND($C513&lt;&gt;"",COUNTIF($C$7:$C$1506,$C513)&gt;1),"; Job number on more than one row","")&amp;IF(AND($C513&lt;&gt;"",H513=""),"; Dept has not set a cost centre","")&amp;IF(AND($C513&lt;&gt;"",J513=""),"; Dept has not set a tax code","")&amp;IF(AND($C513&lt;&gt;"",N513=""),"; Dept has not entered an expected value","")&amp;IF((IF(OR(COUNTA(S513:U513)=0,AND(COUNTA(S513:U513)=3,ISNUMBER(U513))),0,1)+IF(OR(COUNTA(V513:X513)=0,AND(COUNTA(V513:X513)=3,ISNUMBER(X513))),0,1)+IF(OR(COUNTA(Y513:AA513)=0,AND(COUNTA(Y513:AA513)=3,ISNUMBER(AA513))),0,1)+IF(OR(COUNTA(AB513:AD513)=0,AND(COUNTA(AB513:AD513)=3,ISNUMBER(AD513))),0,1)+IF(OR(COUNTA(AE513:AG513)=0,AND(COUNTA(AE513:AG513)=3,ISNUMBER(AG513))),0,1)+IF(OR(COUNTA(AH513:AJ513)=0,AND(COUNTA(AH513:AJ513)=3,ISNUMBER(AJ513))),0,1)+IF(OR(COUNTA(AK513:AM513)=0,AND(COUNTA(AK513:AM513)=3,ISNUMBER(AM513))),0,1)+IF(OR(COUNTA(AN513:AP513)=0,AND(COUNTA(AN513:AP513)=3,ISNUMBER(AP513))),0,1)+IF(OR(COUNTA(AQ513:AS513)=0,AND(COUNTA(AQ513:AS513)=3,ISNUMBER(AS513))),0,1)+IF(OR(COUNTA(AT513:AV513)=0,AND(COUNTA(AT513:AV513)=3,ISNUMBER(AV513))),0,1)+IF(OR(COUNTA(AW513:AY513)=0,AND(COUNTA(AW513:AY513)=3,ISNUMBER(AY513))),0,1)+IF(OR(COUNTA(AZ513:BB513)=0,AND(COUNTA(AZ513:BB513)=3,ISNUMBER(BB513))),0,1))&gt;0,"; An invoice is incomplete (needs No, Date and a number in Ex GST)","")&amp;IF((IF(T513="",0,IFERROR(--(EOMONTH(T513,0)&lt;&gt;S$5),1))+IF(W513="",0,IFERROR(--(EOMONTH(W513,0)&lt;&gt;V$5),1))+IF(Z513="",0,IFERROR(--(EOMONTH(Z513,0)&lt;&gt;Y$5),1))+IF(AC513="",0,IFERROR(--(EOMONTH(AC513,0)&lt;&gt;AB$5),1))+IF(AF513="",0,IFERROR(--(EOMONTH(AF513,0)&lt;&gt;AE$5),1))+IF(AI513="",0,IFERROR(--(EOMONTH(AI513,0)&lt;&gt;AH$5),1))+IF(AL513="",0,IFERROR(--(EOMONTH(AL513,0)&lt;&gt;AK$5),1))+IF(AO513="",0,IFERROR(--(EOMONTH(AO513,0)&lt;&gt;AN$5),1))+IF(AR513="",0,IFERROR(--(EOMONTH(AR513,0)&lt;&gt;AQ$5),1))+IF(AU513="",0,IFERROR(--(EOMONTH(AU513,0)&lt;&gt;AT$5),1))+IF(AX513="",0,IFERROR(--(EOMONTH(AX513,0)&lt;&gt;AW$5),1))+IF(BA513="",0,IFERROR(--(EOMONTH(BA513,0)&lt;&gt;AZ$5),1)))&gt;0,"; An invoice date is not in the month it is typed under",""),3,500))</f>
        <v/>
      </c>
      <c r="S513" s="12" t="n"/>
      <c r="T513" s="13" t="n"/>
      <c r="U513" s="14" t="n"/>
      <c r="V513" s="12" t="n"/>
      <c r="W513" s="13" t="n"/>
      <c r="X513" s="14" t="n"/>
      <c r="Y513" s="12" t="n"/>
      <c r="Z513" s="13" t="n"/>
      <c r="AA513" s="14" t="n"/>
      <c r="AB513" s="12" t="n"/>
      <c r="AC513" s="13" t="n"/>
      <c r="AD513" s="14" t="n"/>
      <c r="AE513" s="12" t="n"/>
      <c r="AF513" s="13" t="n"/>
      <c r="AG513" s="14" t="n"/>
      <c r="AH513" s="12" t="n"/>
      <c r="AI513" s="13" t="n"/>
      <c r="AJ513" s="14" t="n"/>
      <c r="AK513" s="12" t="n"/>
      <c r="AL513" s="13" t="n"/>
      <c r="AM513" s="14" t="n"/>
      <c r="AN513" s="12" t="n"/>
      <c r="AO513" s="13" t="n"/>
      <c r="AP513" s="14" t="n"/>
      <c r="AQ513" s="12" t="n"/>
      <c r="AR513" s="13" t="n"/>
      <c r="AS513" s="14" t="n"/>
      <c r="AT513" s="12" t="n"/>
      <c r="AU513" s="13" t="n"/>
      <c r="AV513" s="14" t="n"/>
      <c r="AW513" s="12" t="n"/>
      <c r="AX513" s="13" t="n"/>
      <c r="AY513" s="14" t="n"/>
      <c r="AZ513" s="12" t="n"/>
      <c r="BA513" s="13" t="n"/>
      <c r="BB513" s="14" t="n"/>
      <c r="BC513" s="11">
        <f>IF(O513="","",IF(J513="GST 10%",ROUND(O513*set_GSTRate,2),0))</f>
        <v/>
      </c>
      <c r="BD513" s="11">
        <f>IF(O513="","",O513+BC513)</f>
        <v/>
      </c>
      <c r="BE513" s="15">
        <f>IF(O513="","",COUNTA(S513,V513,Y513,AB513,AE513,AH513,AK513,AN513,AQ513,AT513,AW513,AZ513))</f>
        <v/>
      </c>
      <c r="BF513" s="16">
        <f>IF(COUNT(T513,W513,Z513,AC513,AF513,AI513,AL513,AO513,AR513,AU513,AX513,BA513)=0,"",MAX(T513,W513,Z513,AC513,AF513,AI513,AL513,AO513,AR513,AU513,AX513,BA513))</f>
        <v/>
      </c>
      <c r="BG513" s="10">
        <f>MID(IF(S513="","",", "&amp;S513)&amp;IF(V513="","",", "&amp;V513)&amp;IF(Y513="","",", "&amp;Y513)&amp;IF(AB513="","",", "&amp;AB513)&amp;IF(AE513="","",", "&amp;AE513)&amp;IF(AH513="","",", "&amp;AH513)&amp;IF(AK513="","",", "&amp;AK513)&amp;IF(AN513="","",", "&amp;AN513)&amp;IF(AQ513="","",", "&amp;AQ513)&amp;IF(AT513="","",", "&amp;AT513)&amp;IF(AW513="","",", "&amp;AW513)&amp;IF(AZ513="","",", "&amp;AZ513),3,500)</f>
        <v/>
      </c>
      <c r="BH513" s="12" t="n"/>
      <c r="BI513" s="15">
        <f>IFERROR(MATCH($A513,IF($B513="Onsite",tbl_Onsite[Row ID],IF($B513="Production",tbl_Production[Row ID],tbl_Consulting[Row ID])),0),"")</f>
        <v/>
      </c>
    </row>
    <row r="514">
      <c r="A514" s="10" t="inlineStr">
        <is>
          <t>PRD-0008</t>
        </is>
      </c>
      <c r="B514" s="10" t="inlineStr">
        <is>
          <t>Production</t>
        </is>
      </c>
      <c r="C514" s="10">
        <f>IF($BI514="","",IF($B514="Onsite",INDEX(tbl_Onsite[Job Number],$BI514),IF($B514="Production",INDEX(tbl_Production[Job Number],$BI514),INDEX(tbl_Consulting[Job Number],$BI514)))&amp;"")</f>
        <v/>
      </c>
      <c r="D514" s="10">
        <f>IF($BI514="","",IF($B514="Onsite",INDEX(tbl_Onsite[Client],$BI514),IF($B514="Production",INDEX(tbl_Production[Client],$BI514),INDEX(tbl_Consulting[Client],$BI514)))&amp;"")</f>
        <v/>
      </c>
      <c r="E514" s="10">
        <f>IF($C514="","",IF(COUNTIF(lst_Jobs,$C514)&gt;0,"OK","CHECK"))</f>
        <v/>
      </c>
      <c r="F514" s="10">
        <f>IF($C514="","",IFERROR(INDEX(lst_JobName,MATCH($C514,lst_Jobs,0)),""))</f>
        <v/>
      </c>
      <c r="G514" s="10">
        <f>IF($BI514="","",IF($B514="Onsite",INDEX(tbl_Onsite[Job Description],$BI514),IF($B514="Production",INDEX(tbl_Production[Job Description],$BI514),INDEX(tbl_Consulting[Job Description],$BI514)))&amp;"")</f>
        <v/>
      </c>
      <c r="H514" s="10">
        <f>IF($BI514="","",IF($B514="Onsite",INDEX(tbl_Onsite[Cost Centre],$BI514),IF($B514="Production",INDEX(tbl_Production[Cost Centre],$BI514),INDEX(tbl_Consulting[Cost Centre],$BI514)))&amp;"")</f>
        <v/>
      </c>
      <c r="I514" s="10">
        <f>IF($BI514="","",IF($B514="Onsite",INDEX(tbl_Onsite[Invoice Type],$BI514),IF($B514="Production",INDEX(tbl_Production[Invoice Type],$BI514),INDEX(tbl_Consulting[Invoice Type],$BI514)))&amp;"")</f>
        <v/>
      </c>
      <c r="J514" s="10">
        <f>IF($BI514="","",IF($B514="Onsite",INDEX(tbl_Onsite[Tax Code],$BI514),IF($B514="Production",INDEX(tbl_Production[Tax Code],$BI514),INDEX(tbl_Consulting[Tax Code],$BI514)))&amp;"")</f>
        <v/>
      </c>
      <c r="K514" s="10">
        <f>IF(H514="","",IFERROR(INDEX(lst_CCtoGL,MATCH(H514,lst_CCforGL,0)),""))</f>
        <v/>
      </c>
      <c r="L514" s="10">
        <f>IF($BI514="","",IF($B514="Onsite",INDEX(tbl_Onsite[PO / Reference],$BI514),IF($B514="Production",INDEX(tbl_Production[Current RMS No],$BI514),INDEX(tbl_Consulting[Qwilr Quote],$BI514)))&amp;"")</f>
        <v/>
      </c>
      <c r="M514" s="10">
        <f>IF($BI514="","",IF($B514="Onsite",INDEX(tbl_Onsite[Notes],$BI514),IF($B514="Production",INDEX(tbl_Production[Notes],$BI514),INDEX(tbl_Consulting[Notes],$BI514)))&amp;"")</f>
        <v/>
      </c>
      <c r="N514" s="11">
        <f>IF($BI514="","",IF(IF($B514="Onsite",INDEX(tbl_Onsite[Expected Revenue Ex GST],$BI514),IF($B514="Production",INDEX(tbl_Production[Expected Revenue Ex GST],$BI514),INDEX(tbl_Consulting[Expected Revenue Ex GST],$BI514)))="","",IF($B514="Onsite",INDEX(tbl_Onsite[Expected Revenue Ex GST],$BI514),IF($B514="Production",INDEX(tbl_Production[Expected Revenue Ex GST],$BI514),INDEX(tbl_Consulting[Expected Revenue Ex GST],$BI514)))))</f>
        <v/>
      </c>
      <c r="O514" s="11">
        <f>IF(AND($C514="",NOT(COUNTA($S514:$BB514)&gt;0)),"",SUM(U514,X514,AA514,AD514,AG514,AJ514,AM514,AP514,AS514,AV514,AY514,BB514))</f>
        <v/>
      </c>
      <c r="P514" s="11">
        <f>IF(O514="","",N(N514)-O514)</f>
        <v/>
      </c>
      <c r="Q514" s="10">
        <f>IF(O514="","",IF($C514="","Invoice on empty job row",IF(N514="",IF(ROUND(O514,2)=0,"No dept value","Invoiced - no dept value"),IF(ROUND(O514,2)=0,"Not invoiced - to invoice",IF(ROUND(P514,2)=0,"Agrees",IF(P514&gt;0,"Dept higher - to invoice","Xero higher - check dept"))))))</f>
        <v/>
      </c>
      <c r="R514" s="10">
        <f>IF(AND($C514="",NOT(COUNTA($S514:$BB514)&gt;0),$BI514&lt;&gt;""),"",MID(IF($BI514="","; Row ID not found on the department sheet - a row was deleted","")&amp;IF(AND($C514="",COUNTA($S514:$BB514)&gt;0),"; Invoice entered but the department row has no job number","")&amp;IF(E514="CHECK","; Job number not in the Xero job list","")&amp;IF(AND($C514&lt;&gt;"",COUNTIF($C$7:$C$1506,$C514)&gt;1),"; Job number on more than one row","")&amp;IF(AND($C514&lt;&gt;"",H514=""),"; Dept has not set a cost centre","")&amp;IF(AND($C514&lt;&gt;"",J514=""),"; Dept has not set a tax code","")&amp;IF(AND($C514&lt;&gt;"",N514=""),"; Dept has not entered an expected value","")&amp;IF((IF(OR(COUNTA(S514:U514)=0,AND(COUNTA(S514:U514)=3,ISNUMBER(U514))),0,1)+IF(OR(COUNTA(V514:X514)=0,AND(COUNTA(V514:X514)=3,ISNUMBER(X514))),0,1)+IF(OR(COUNTA(Y514:AA514)=0,AND(COUNTA(Y514:AA514)=3,ISNUMBER(AA514))),0,1)+IF(OR(COUNTA(AB514:AD514)=0,AND(COUNTA(AB514:AD514)=3,ISNUMBER(AD514))),0,1)+IF(OR(COUNTA(AE514:AG514)=0,AND(COUNTA(AE514:AG514)=3,ISNUMBER(AG514))),0,1)+IF(OR(COUNTA(AH514:AJ514)=0,AND(COUNTA(AH514:AJ514)=3,ISNUMBER(AJ514))),0,1)+IF(OR(COUNTA(AK514:AM514)=0,AND(COUNTA(AK514:AM514)=3,ISNUMBER(AM514))),0,1)+IF(OR(COUNTA(AN514:AP514)=0,AND(COUNTA(AN514:AP514)=3,ISNUMBER(AP514))),0,1)+IF(OR(COUNTA(AQ514:AS514)=0,AND(COUNTA(AQ514:AS514)=3,ISNUMBER(AS514))),0,1)+IF(OR(COUNTA(AT514:AV514)=0,AND(COUNTA(AT514:AV514)=3,ISNUMBER(AV514))),0,1)+IF(OR(COUNTA(AW514:AY514)=0,AND(COUNTA(AW514:AY514)=3,ISNUMBER(AY514))),0,1)+IF(OR(COUNTA(AZ514:BB514)=0,AND(COUNTA(AZ514:BB514)=3,ISNUMBER(BB514))),0,1))&gt;0,"; An invoice is incomplete (needs No, Date and a number in Ex GST)","")&amp;IF((IF(T514="",0,IFERROR(--(EOMONTH(T514,0)&lt;&gt;S$5),1))+IF(W514="",0,IFERROR(--(EOMONTH(W514,0)&lt;&gt;V$5),1))+IF(Z514="",0,IFERROR(--(EOMONTH(Z514,0)&lt;&gt;Y$5),1))+IF(AC514="",0,IFERROR(--(EOMONTH(AC514,0)&lt;&gt;AB$5),1))+IF(AF514="",0,IFERROR(--(EOMONTH(AF514,0)&lt;&gt;AE$5),1))+IF(AI514="",0,IFERROR(--(EOMONTH(AI514,0)&lt;&gt;AH$5),1))+IF(AL514="",0,IFERROR(--(EOMONTH(AL514,0)&lt;&gt;AK$5),1))+IF(AO514="",0,IFERROR(--(EOMONTH(AO514,0)&lt;&gt;AN$5),1))+IF(AR514="",0,IFERROR(--(EOMONTH(AR514,0)&lt;&gt;AQ$5),1))+IF(AU514="",0,IFERROR(--(EOMONTH(AU514,0)&lt;&gt;AT$5),1))+IF(AX514="",0,IFERROR(--(EOMONTH(AX514,0)&lt;&gt;AW$5),1))+IF(BA514="",0,IFERROR(--(EOMONTH(BA514,0)&lt;&gt;AZ$5),1)))&gt;0,"; An invoice date is not in the month it is typed under",""),3,500))</f>
        <v/>
      </c>
      <c r="S514" s="12" t="n"/>
      <c r="T514" s="13" t="n"/>
      <c r="U514" s="14" t="n"/>
      <c r="V514" s="12" t="n"/>
      <c r="W514" s="13" t="n"/>
      <c r="X514" s="14" t="n"/>
      <c r="Y514" s="12" t="n"/>
      <c r="Z514" s="13" t="n"/>
      <c r="AA514" s="14" t="n"/>
      <c r="AB514" s="12" t="n"/>
      <c r="AC514" s="13" t="n"/>
      <c r="AD514" s="14" t="n"/>
      <c r="AE514" s="12" t="n"/>
      <c r="AF514" s="13" t="n"/>
      <c r="AG514" s="14" t="n"/>
      <c r="AH514" s="12" t="n"/>
      <c r="AI514" s="13" t="n"/>
      <c r="AJ514" s="14" t="n"/>
      <c r="AK514" s="12" t="n"/>
      <c r="AL514" s="13" t="n"/>
      <c r="AM514" s="14" t="n"/>
      <c r="AN514" s="12" t="n"/>
      <c r="AO514" s="13" t="n"/>
      <c r="AP514" s="14" t="n"/>
      <c r="AQ514" s="12" t="n"/>
      <c r="AR514" s="13" t="n"/>
      <c r="AS514" s="14" t="n"/>
      <c r="AT514" s="12" t="n"/>
      <c r="AU514" s="13" t="n"/>
      <c r="AV514" s="14" t="n"/>
      <c r="AW514" s="12" t="n"/>
      <c r="AX514" s="13" t="n"/>
      <c r="AY514" s="14" t="n"/>
      <c r="AZ514" s="12" t="n"/>
      <c r="BA514" s="13" t="n"/>
      <c r="BB514" s="14" t="n"/>
      <c r="BC514" s="11">
        <f>IF(O514="","",IF(J514="GST 10%",ROUND(O514*set_GSTRate,2),0))</f>
        <v/>
      </c>
      <c r="BD514" s="11">
        <f>IF(O514="","",O514+BC514)</f>
        <v/>
      </c>
      <c r="BE514" s="15">
        <f>IF(O514="","",COUNTA(S514,V514,Y514,AB514,AE514,AH514,AK514,AN514,AQ514,AT514,AW514,AZ514))</f>
        <v/>
      </c>
      <c r="BF514" s="16">
        <f>IF(COUNT(T514,W514,Z514,AC514,AF514,AI514,AL514,AO514,AR514,AU514,AX514,BA514)=0,"",MAX(T514,W514,Z514,AC514,AF514,AI514,AL514,AO514,AR514,AU514,AX514,BA514))</f>
        <v/>
      </c>
      <c r="BG514" s="10">
        <f>MID(IF(S514="","",", "&amp;S514)&amp;IF(V514="","",", "&amp;V514)&amp;IF(Y514="","",", "&amp;Y514)&amp;IF(AB514="","",", "&amp;AB514)&amp;IF(AE514="","",", "&amp;AE514)&amp;IF(AH514="","",", "&amp;AH514)&amp;IF(AK514="","",", "&amp;AK514)&amp;IF(AN514="","",", "&amp;AN514)&amp;IF(AQ514="","",", "&amp;AQ514)&amp;IF(AT514="","",", "&amp;AT514)&amp;IF(AW514="","",", "&amp;AW514)&amp;IF(AZ514="","",", "&amp;AZ514),3,500)</f>
        <v/>
      </c>
      <c r="BH514" s="12" t="n"/>
      <c r="BI514" s="15">
        <f>IFERROR(MATCH($A514,IF($B514="Onsite",tbl_Onsite[Row ID],IF($B514="Production",tbl_Production[Row ID],tbl_Consulting[Row ID])),0),"")</f>
        <v/>
      </c>
    </row>
    <row r="515">
      <c r="A515" s="10" t="inlineStr">
        <is>
          <t>PRD-0009</t>
        </is>
      </c>
      <c r="B515" s="10" t="inlineStr">
        <is>
          <t>Production</t>
        </is>
      </c>
      <c r="C515" s="10">
        <f>IF($BI515="","",IF($B515="Onsite",INDEX(tbl_Onsite[Job Number],$BI515),IF($B515="Production",INDEX(tbl_Production[Job Number],$BI515),INDEX(tbl_Consulting[Job Number],$BI515)))&amp;"")</f>
        <v/>
      </c>
      <c r="D515" s="10">
        <f>IF($BI515="","",IF($B515="Onsite",INDEX(tbl_Onsite[Client],$BI515),IF($B515="Production",INDEX(tbl_Production[Client],$BI515),INDEX(tbl_Consulting[Client],$BI515)))&amp;"")</f>
        <v/>
      </c>
      <c r="E515" s="10">
        <f>IF($C515="","",IF(COUNTIF(lst_Jobs,$C515)&gt;0,"OK","CHECK"))</f>
        <v/>
      </c>
      <c r="F515" s="10">
        <f>IF($C515="","",IFERROR(INDEX(lst_JobName,MATCH($C515,lst_Jobs,0)),""))</f>
        <v/>
      </c>
      <c r="G515" s="10">
        <f>IF($BI515="","",IF($B515="Onsite",INDEX(tbl_Onsite[Job Description],$BI515),IF($B515="Production",INDEX(tbl_Production[Job Description],$BI515),INDEX(tbl_Consulting[Job Description],$BI515)))&amp;"")</f>
        <v/>
      </c>
      <c r="H515" s="10">
        <f>IF($BI515="","",IF($B515="Onsite",INDEX(tbl_Onsite[Cost Centre],$BI515),IF($B515="Production",INDEX(tbl_Production[Cost Centre],$BI515),INDEX(tbl_Consulting[Cost Centre],$BI515)))&amp;"")</f>
        <v/>
      </c>
      <c r="I515" s="10">
        <f>IF($BI515="","",IF($B515="Onsite",INDEX(tbl_Onsite[Invoice Type],$BI515),IF($B515="Production",INDEX(tbl_Production[Invoice Type],$BI515),INDEX(tbl_Consulting[Invoice Type],$BI515)))&amp;"")</f>
        <v/>
      </c>
      <c r="J515" s="10">
        <f>IF($BI515="","",IF($B515="Onsite",INDEX(tbl_Onsite[Tax Code],$BI515),IF($B515="Production",INDEX(tbl_Production[Tax Code],$BI515),INDEX(tbl_Consulting[Tax Code],$BI515)))&amp;"")</f>
        <v/>
      </c>
      <c r="K515" s="10">
        <f>IF(H515="","",IFERROR(INDEX(lst_CCtoGL,MATCH(H515,lst_CCforGL,0)),""))</f>
        <v/>
      </c>
      <c r="L515" s="10">
        <f>IF($BI515="","",IF($B515="Onsite",INDEX(tbl_Onsite[PO / Reference],$BI515),IF($B515="Production",INDEX(tbl_Production[Current RMS No],$BI515),INDEX(tbl_Consulting[Qwilr Quote],$BI515)))&amp;"")</f>
        <v/>
      </c>
      <c r="M515" s="10">
        <f>IF($BI515="","",IF($B515="Onsite",INDEX(tbl_Onsite[Notes],$BI515),IF($B515="Production",INDEX(tbl_Production[Notes],$BI515),INDEX(tbl_Consulting[Notes],$BI515)))&amp;"")</f>
        <v/>
      </c>
      <c r="N515" s="11">
        <f>IF($BI515="","",IF(IF($B515="Onsite",INDEX(tbl_Onsite[Expected Revenue Ex GST],$BI515),IF($B515="Production",INDEX(tbl_Production[Expected Revenue Ex GST],$BI515),INDEX(tbl_Consulting[Expected Revenue Ex GST],$BI515)))="","",IF($B515="Onsite",INDEX(tbl_Onsite[Expected Revenue Ex GST],$BI515),IF($B515="Production",INDEX(tbl_Production[Expected Revenue Ex GST],$BI515),INDEX(tbl_Consulting[Expected Revenue Ex GST],$BI515)))))</f>
        <v/>
      </c>
      <c r="O515" s="11">
        <f>IF(AND($C515="",NOT(COUNTA($S515:$BB515)&gt;0)),"",SUM(U515,X515,AA515,AD515,AG515,AJ515,AM515,AP515,AS515,AV515,AY515,BB515))</f>
        <v/>
      </c>
      <c r="P515" s="11">
        <f>IF(O515="","",N(N515)-O515)</f>
        <v/>
      </c>
      <c r="Q515" s="10">
        <f>IF(O515="","",IF($C515="","Invoice on empty job row",IF(N515="",IF(ROUND(O515,2)=0,"No dept value","Invoiced - no dept value"),IF(ROUND(O515,2)=0,"Not invoiced - to invoice",IF(ROUND(P515,2)=0,"Agrees",IF(P515&gt;0,"Dept higher - to invoice","Xero higher - check dept"))))))</f>
        <v/>
      </c>
      <c r="R515" s="10">
        <f>IF(AND($C515="",NOT(COUNTA($S515:$BB515)&gt;0),$BI515&lt;&gt;""),"",MID(IF($BI515="","; Row ID not found on the department sheet - a row was deleted","")&amp;IF(AND($C515="",COUNTA($S515:$BB515)&gt;0),"; Invoice entered but the department row has no job number","")&amp;IF(E515="CHECK","; Job number not in the Xero job list","")&amp;IF(AND($C515&lt;&gt;"",COUNTIF($C$7:$C$1506,$C515)&gt;1),"; Job number on more than one row","")&amp;IF(AND($C515&lt;&gt;"",H515=""),"; Dept has not set a cost centre","")&amp;IF(AND($C515&lt;&gt;"",J515=""),"; Dept has not set a tax code","")&amp;IF(AND($C515&lt;&gt;"",N515=""),"; Dept has not entered an expected value","")&amp;IF((IF(OR(COUNTA(S515:U515)=0,AND(COUNTA(S515:U515)=3,ISNUMBER(U515))),0,1)+IF(OR(COUNTA(V515:X515)=0,AND(COUNTA(V515:X515)=3,ISNUMBER(X515))),0,1)+IF(OR(COUNTA(Y515:AA515)=0,AND(COUNTA(Y515:AA515)=3,ISNUMBER(AA515))),0,1)+IF(OR(COUNTA(AB515:AD515)=0,AND(COUNTA(AB515:AD515)=3,ISNUMBER(AD515))),0,1)+IF(OR(COUNTA(AE515:AG515)=0,AND(COUNTA(AE515:AG515)=3,ISNUMBER(AG515))),0,1)+IF(OR(COUNTA(AH515:AJ515)=0,AND(COUNTA(AH515:AJ515)=3,ISNUMBER(AJ515))),0,1)+IF(OR(COUNTA(AK515:AM515)=0,AND(COUNTA(AK515:AM515)=3,ISNUMBER(AM515))),0,1)+IF(OR(COUNTA(AN515:AP515)=0,AND(COUNTA(AN515:AP515)=3,ISNUMBER(AP515))),0,1)+IF(OR(COUNTA(AQ515:AS515)=0,AND(COUNTA(AQ515:AS515)=3,ISNUMBER(AS515))),0,1)+IF(OR(COUNTA(AT515:AV515)=0,AND(COUNTA(AT515:AV515)=3,ISNUMBER(AV515))),0,1)+IF(OR(COUNTA(AW515:AY515)=0,AND(COUNTA(AW515:AY515)=3,ISNUMBER(AY515))),0,1)+IF(OR(COUNTA(AZ515:BB515)=0,AND(COUNTA(AZ515:BB515)=3,ISNUMBER(BB515))),0,1))&gt;0,"; An invoice is incomplete (needs No, Date and a number in Ex GST)","")&amp;IF((IF(T515="",0,IFERROR(--(EOMONTH(T515,0)&lt;&gt;S$5),1))+IF(W515="",0,IFERROR(--(EOMONTH(W515,0)&lt;&gt;V$5),1))+IF(Z515="",0,IFERROR(--(EOMONTH(Z515,0)&lt;&gt;Y$5),1))+IF(AC515="",0,IFERROR(--(EOMONTH(AC515,0)&lt;&gt;AB$5),1))+IF(AF515="",0,IFERROR(--(EOMONTH(AF515,0)&lt;&gt;AE$5),1))+IF(AI515="",0,IFERROR(--(EOMONTH(AI515,0)&lt;&gt;AH$5),1))+IF(AL515="",0,IFERROR(--(EOMONTH(AL515,0)&lt;&gt;AK$5),1))+IF(AO515="",0,IFERROR(--(EOMONTH(AO515,0)&lt;&gt;AN$5),1))+IF(AR515="",0,IFERROR(--(EOMONTH(AR515,0)&lt;&gt;AQ$5),1))+IF(AU515="",0,IFERROR(--(EOMONTH(AU515,0)&lt;&gt;AT$5),1))+IF(AX515="",0,IFERROR(--(EOMONTH(AX515,0)&lt;&gt;AW$5),1))+IF(BA515="",0,IFERROR(--(EOMONTH(BA515,0)&lt;&gt;AZ$5),1)))&gt;0,"; An invoice date is not in the month it is typed under",""),3,500))</f>
        <v/>
      </c>
      <c r="S515" s="12" t="n"/>
      <c r="T515" s="13" t="n"/>
      <c r="U515" s="14" t="n"/>
      <c r="V515" s="12" t="n"/>
      <c r="W515" s="13" t="n"/>
      <c r="X515" s="14" t="n"/>
      <c r="Y515" s="12" t="n"/>
      <c r="Z515" s="13" t="n"/>
      <c r="AA515" s="14" t="n"/>
      <c r="AB515" s="12" t="n"/>
      <c r="AC515" s="13" t="n"/>
      <c r="AD515" s="14" t="n"/>
      <c r="AE515" s="12" t="n"/>
      <c r="AF515" s="13" t="n"/>
      <c r="AG515" s="14" t="n"/>
      <c r="AH515" s="12" t="n"/>
      <c r="AI515" s="13" t="n"/>
      <c r="AJ515" s="14" t="n"/>
      <c r="AK515" s="12" t="n"/>
      <c r="AL515" s="13" t="n"/>
      <c r="AM515" s="14" t="n"/>
      <c r="AN515" s="12" t="n"/>
      <c r="AO515" s="13" t="n"/>
      <c r="AP515" s="14" t="n"/>
      <c r="AQ515" s="12" t="n"/>
      <c r="AR515" s="13" t="n"/>
      <c r="AS515" s="14" t="n"/>
      <c r="AT515" s="12" t="n"/>
      <c r="AU515" s="13" t="n"/>
      <c r="AV515" s="14" t="n"/>
      <c r="AW515" s="12" t="n"/>
      <c r="AX515" s="13" t="n"/>
      <c r="AY515" s="14" t="n"/>
      <c r="AZ515" s="12" t="n"/>
      <c r="BA515" s="13" t="n"/>
      <c r="BB515" s="14" t="n"/>
      <c r="BC515" s="11">
        <f>IF(O515="","",IF(J515="GST 10%",ROUND(O515*set_GSTRate,2),0))</f>
        <v/>
      </c>
      <c r="BD515" s="11">
        <f>IF(O515="","",O515+BC515)</f>
        <v/>
      </c>
      <c r="BE515" s="15">
        <f>IF(O515="","",COUNTA(S515,V515,Y515,AB515,AE515,AH515,AK515,AN515,AQ515,AT515,AW515,AZ515))</f>
        <v/>
      </c>
      <c r="BF515" s="16">
        <f>IF(COUNT(T515,W515,Z515,AC515,AF515,AI515,AL515,AO515,AR515,AU515,AX515,BA515)=0,"",MAX(T515,W515,Z515,AC515,AF515,AI515,AL515,AO515,AR515,AU515,AX515,BA515))</f>
        <v/>
      </c>
      <c r="BG515" s="10">
        <f>MID(IF(S515="","",", "&amp;S515)&amp;IF(V515="","",", "&amp;V515)&amp;IF(Y515="","",", "&amp;Y515)&amp;IF(AB515="","",", "&amp;AB515)&amp;IF(AE515="","",", "&amp;AE515)&amp;IF(AH515="","",", "&amp;AH515)&amp;IF(AK515="","",", "&amp;AK515)&amp;IF(AN515="","",", "&amp;AN515)&amp;IF(AQ515="","",", "&amp;AQ515)&amp;IF(AT515="","",", "&amp;AT515)&amp;IF(AW515="","",", "&amp;AW515)&amp;IF(AZ515="","",", "&amp;AZ515),3,500)</f>
        <v/>
      </c>
      <c r="BH515" s="12" t="n"/>
      <c r="BI515" s="15">
        <f>IFERROR(MATCH($A515,IF($B515="Onsite",tbl_Onsite[Row ID],IF($B515="Production",tbl_Production[Row ID],tbl_Consulting[Row ID])),0),"")</f>
        <v/>
      </c>
    </row>
    <row r="516">
      <c r="A516" s="10" t="inlineStr">
        <is>
          <t>PRD-0010</t>
        </is>
      </c>
      <c r="B516" s="10" t="inlineStr">
        <is>
          <t>Production</t>
        </is>
      </c>
      <c r="C516" s="10">
        <f>IF($BI516="","",IF($B516="Onsite",INDEX(tbl_Onsite[Job Number],$BI516),IF($B516="Production",INDEX(tbl_Production[Job Number],$BI516),INDEX(tbl_Consulting[Job Number],$BI516)))&amp;"")</f>
        <v/>
      </c>
      <c r="D516" s="10">
        <f>IF($BI516="","",IF($B516="Onsite",INDEX(tbl_Onsite[Client],$BI516),IF($B516="Production",INDEX(tbl_Production[Client],$BI516),INDEX(tbl_Consulting[Client],$BI516)))&amp;"")</f>
        <v/>
      </c>
      <c r="E516" s="10">
        <f>IF($C516="","",IF(COUNTIF(lst_Jobs,$C516)&gt;0,"OK","CHECK"))</f>
        <v/>
      </c>
      <c r="F516" s="10">
        <f>IF($C516="","",IFERROR(INDEX(lst_JobName,MATCH($C516,lst_Jobs,0)),""))</f>
        <v/>
      </c>
      <c r="G516" s="10">
        <f>IF($BI516="","",IF($B516="Onsite",INDEX(tbl_Onsite[Job Description],$BI516),IF($B516="Production",INDEX(tbl_Production[Job Description],$BI516),INDEX(tbl_Consulting[Job Description],$BI516)))&amp;"")</f>
        <v/>
      </c>
      <c r="H516" s="10">
        <f>IF($BI516="","",IF($B516="Onsite",INDEX(tbl_Onsite[Cost Centre],$BI516),IF($B516="Production",INDEX(tbl_Production[Cost Centre],$BI516),INDEX(tbl_Consulting[Cost Centre],$BI516)))&amp;"")</f>
        <v/>
      </c>
      <c r="I516" s="10">
        <f>IF($BI516="","",IF($B516="Onsite",INDEX(tbl_Onsite[Invoice Type],$BI516),IF($B516="Production",INDEX(tbl_Production[Invoice Type],$BI516),INDEX(tbl_Consulting[Invoice Type],$BI516)))&amp;"")</f>
        <v/>
      </c>
      <c r="J516" s="10">
        <f>IF($BI516="","",IF($B516="Onsite",INDEX(tbl_Onsite[Tax Code],$BI516),IF($B516="Production",INDEX(tbl_Production[Tax Code],$BI516),INDEX(tbl_Consulting[Tax Code],$BI516)))&amp;"")</f>
        <v/>
      </c>
      <c r="K516" s="10">
        <f>IF(H516="","",IFERROR(INDEX(lst_CCtoGL,MATCH(H516,lst_CCforGL,0)),""))</f>
        <v/>
      </c>
      <c r="L516" s="10">
        <f>IF($BI516="","",IF($B516="Onsite",INDEX(tbl_Onsite[PO / Reference],$BI516),IF($B516="Production",INDEX(tbl_Production[Current RMS No],$BI516),INDEX(tbl_Consulting[Qwilr Quote],$BI516)))&amp;"")</f>
        <v/>
      </c>
      <c r="M516" s="10">
        <f>IF($BI516="","",IF($B516="Onsite",INDEX(tbl_Onsite[Notes],$BI516),IF($B516="Production",INDEX(tbl_Production[Notes],$BI516),INDEX(tbl_Consulting[Notes],$BI516)))&amp;"")</f>
        <v/>
      </c>
      <c r="N516" s="11">
        <f>IF($BI516="","",IF(IF($B516="Onsite",INDEX(tbl_Onsite[Expected Revenue Ex GST],$BI516),IF($B516="Production",INDEX(tbl_Production[Expected Revenue Ex GST],$BI516),INDEX(tbl_Consulting[Expected Revenue Ex GST],$BI516)))="","",IF($B516="Onsite",INDEX(tbl_Onsite[Expected Revenue Ex GST],$BI516),IF($B516="Production",INDEX(tbl_Production[Expected Revenue Ex GST],$BI516),INDEX(tbl_Consulting[Expected Revenue Ex GST],$BI516)))))</f>
        <v/>
      </c>
      <c r="O516" s="11">
        <f>IF(AND($C516="",NOT(COUNTA($S516:$BB516)&gt;0)),"",SUM(U516,X516,AA516,AD516,AG516,AJ516,AM516,AP516,AS516,AV516,AY516,BB516))</f>
        <v/>
      </c>
      <c r="P516" s="11">
        <f>IF(O516="","",N(N516)-O516)</f>
        <v/>
      </c>
      <c r="Q516" s="10">
        <f>IF(O516="","",IF($C516="","Invoice on empty job row",IF(N516="",IF(ROUND(O516,2)=0,"No dept value","Invoiced - no dept value"),IF(ROUND(O516,2)=0,"Not invoiced - to invoice",IF(ROUND(P516,2)=0,"Agrees",IF(P516&gt;0,"Dept higher - to invoice","Xero higher - check dept"))))))</f>
        <v/>
      </c>
      <c r="R516" s="10">
        <f>IF(AND($C516="",NOT(COUNTA($S516:$BB516)&gt;0),$BI516&lt;&gt;""),"",MID(IF($BI516="","; Row ID not found on the department sheet - a row was deleted","")&amp;IF(AND($C516="",COUNTA($S516:$BB516)&gt;0),"; Invoice entered but the department row has no job number","")&amp;IF(E516="CHECK","; Job number not in the Xero job list","")&amp;IF(AND($C516&lt;&gt;"",COUNTIF($C$7:$C$1506,$C516)&gt;1),"; Job number on more than one row","")&amp;IF(AND($C516&lt;&gt;"",H516=""),"; Dept has not set a cost centre","")&amp;IF(AND($C516&lt;&gt;"",J516=""),"; Dept has not set a tax code","")&amp;IF(AND($C516&lt;&gt;"",N516=""),"; Dept has not entered an expected value","")&amp;IF((IF(OR(COUNTA(S516:U516)=0,AND(COUNTA(S516:U516)=3,ISNUMBER(U516))),0,1)+IF(OR(COUNTA(V516:X516)=0,AND(COUNTA(V516:X516)=3,ISNUMBER(X516))),0,1)+IF(OR(COUNTA(Y516:AA516)=0,AND(COUNTA(Y516:AA516)=3,ISNUMBER(AA516))),0,1)+IF(OR(COUNTA(AB516:AD516)=0,AND(COUNTA(AB516:AD516)=3,ISNUMBER(AD516))),0,1)+IF(OR(COUNTA(AE516:AG516)=0,AND(COUNTA(AE516:AG516)=3,ISNUMBER(AG516))),0,1)+IF(OR(COUNTA(AH516:AJ516)=0,AND(COUNTA(AH516:AJ516)=3,ISNUMBER(AJ516))),0,1)+IF(OR(COUNTA(AK516:AM516)=0,AND(COUNTA(AK516:AM516)=3,ISNUMBER(AM516))),0,1)+IF(OR(COUNTA(AN516:AP516)=0,AND(COUNTA(AN516:AP516)=3,ISNUMBER(AP516))),0,1)+IF(OR(COUNTA(AQ516:AS516)=0,AND(COUNTA(AQ516:AS516)=3,ISNUMBER(AS516))),0,1)+IF(OR(COUNTA(AT516:AV516)=0,AND(COUNTA(AT516:AV516)=3,ISNUMBER(AV516))),0,1)+IF(OR(COUNTA(AW516:AY516)=0,AND(COUNTA(AW516:AY516)=3,ISNUMBER(AY516))),0,1)+IF(OR(COUNTA(AZ516:BB516)=0,AND(COUNTA(AZ516:BB516)=3,ISNUMBER(BB516))),0,1))&gt;0,"; An invoice is incomplete (needs No, Date and a number in Ex GST)","")&amp;IF((IF(T516="",0,IFERROR(--(EOMONTH(T516,0)&lt;&gt;S$5),1))+IF(W516="",0,IFERROR(--(EOMONTH(W516,0)&lt;&gt;V$5),1))+IF(Z516="",0,IFERROR(--(EOMONTH(Z516,0)&lt;&gt;Y$5),1))+IF(AC516="",0,IFERROR(--(EOMONTH(AC516,0)&lt;&gt;AB$5),1))+IF(AF516="",0,IFERROR(--(EOMONTH(AF516,0)&lt;&gt;AE$5),1))+IF(AI516="",0,IFERROR(--(EOMONTH(AI516,0)&lt;&gt;AH$5),1))+IF(AL516="",0,IFERROR(--(EOMONTH(AL516,0)&lt;&gt;AK$5),1))+IF(AO516="",0,IFERROR(--(EOMONTH(AO516,0)&lt;&gt;AN$5),1))+IF(AR516="",0,IFERROR(--(EOMONTH(AR516,0)&lt;&gt;AQ$5),1))+IF(AU516="",0,IFERROR(--(EOMONTH(AU516,0)&lt;&gt;AT$5),1))+IF(AX516="",0,IFERROR(--(EOMONTH(AX516,0)&lt;&gt;AW$5),1))+IF(BA516="",0,IFERROR(--(EOMONTH(BA516,0)&lt;&gt;AZ$5),1)))&gt;0,"; An invoice date is not in the month it is typed under",""),3,500))</f>
        <v/>
      </c>
      <c r="S516" s="12" t="n"/>
      <c r="T516" s="13" t="n"/>
      <c r="U516" s="14" t="n"/>
      <c r="V516" s="12" t="n"/>
      <c r="W516" s="13" t="n"/>
      <c r="X516" s="14" t="n"/>
      <c r="Y516" s="12" t="n"/>
      <c r="Z516" s="13" t="n"/>
      <c r="AA516" s="14" t="n"/>
      <c r="AB516" s="12" t="n"/>
      <c r="AC516" s="13" t="n"/>
      <c r="AD516" s="14" t="n"/>
      <c r="AE516" s="12" t="n"/>
      <c r="AF516" s="13" t="n"/>
      <c r="AG516" s="14" t="n"/>
      <c r="AH516" s="12" t="n"/>
      <c r="AI516" s="13" t="n"/>
      <c r="AJ516" s="14" t="n"/>
      <c r="AK516" s="12" t="n"/>
      <c r="AL516" s="13" t="n"/>
      <c r="AM516" s="14" t="n"/>
      <c r="AN516" s="12" t="n"/>
      <c r="AO516" s="13" t="n"/>
      <c r="AP516" s="14" t="n"/>
      <c r="AQ516" s="12" t="n"/>
      <c r="AR516" s="13" t="n"/>
      <c r="AS516" s="14" t="n"/>
      <c r="AT516" s="12" t="n"/>
      <c r="AU516" s="13" t="n"/>
      <c r="AV516" s="14" t="n"/>
      <c r="AW516" s="12" t="n"/>
      <c r="AX516" s="13" t="n"/>
      <c r="AY516" s="14" t="n"/>
      <c r="AZ516" s="12" t="n"/>
      <c r="BA516" s="13" t="n"/>
      <c r="BB516" s="14" t="n"/>
      <c r="BC516" s="11">
        <f>IF(O516="","",IF(J516="GST 10%",ROUND(O516*set_GSTRate,2),0))</f>
        <v/>
      </c>
      <c r="BD516" s="11">
        <f>IF(O516="","",O516+BC516)</f>
        <v/>
      </c>
      <c r="BE516" s="15">
        <f>IF(O516="","",COUNTA(S516,V516,Y516,AB516,AE516,AH516,AK516,AN516,AQ516,AT516,AW516,AZ516))</f>
        <v/>
      </c>
      <c r="BF516" s="16">
        <f>IF(COUNT(T516,W516,Z516,AC516,AF516,AI516,AL516,AO516,AR516,AU516,AX516,BA516)=0,"",MAX(T516,W516,Z516,AC516,AF516,AI516,AL516,AO516,AR516,AU516,AX516,BA516))</f>
        <v/>
      </c>
      <c r="BG516" s="10">
        <f>MID(IF(S516="","",", "&amp;S516)&amp;IF(V516="","",", "&amp;V516)&amp;IF(Y516="","",", "&amp;Y516)&amp;IF(AB516="","",", "&amp;AB516)&amp;IF(AE516="","",", "&amp;AE516)&amp;IF(AH516="","",", "&amp;AH516)&amp;IF(AK516="","",", "&amp;AK516)&amp;IF(AN516="","",", "&amp;AN516)&amp;IF(AQ516="","",", "&amp;AQ516)&amp;IF(AT516="","",", "&amp;AT516)&amp;IF(AW516="","",", "&amp;AW516)&amp;IF(AZ516="","",", "&amp;AZ516),3,500)</f>
        <v/>
      </c>
      <c r="BH516" s="12" t="n"/>
      <c r="BI516" s="15">
        <f>IFERROR(MATCH($A516,IF($B516="Onsite",tbl_Onsite[Row ID],IF($B516="Production",tbl_Production[Row ID],tbl_Consulting[Row ID])),0),"")</f>
        <v/>
      </c>
    </row>
    <row r="517">
      <c r="A517" s="10" t="inlineStr">
        <is>
          <t>PRD-0011</t>
        </is>
      </c>
      <c r="B517" s="10" t="inlineStr">
        <is>
          <t>Production</t>
        </is>
      </c>
      <c r="C517" s="10">
        <f>IF($BI517="","",IF($B517="Onsite",INDEX(tbl_Onsite[Job Number],$BI517),IF($B517="Production",INDEX(tbl_Production[Job Number],$BI517),INDEX(tbl_Consulting[Job Number],$BI517)))&amp;"")</f>
        <v/>
      </c>
      <c r="D517" s="10">
        <f>IF($BI517="","",IF($B517="Onsite",INDEX(tbl_Onsite[Client],$BI517),IF($B517="Production",INDEX(tbl_Production[Client],$BI517),INDEX(tbl_Consulting[Client],$BI517)))&amp;"")</f>
        <v/>
      </c>
      <c r="E517" s="10">
        <f>IF($C517="","",IF(COUNTIF(lst_Jobs,$C517)&gt;0,"OK","CHECK"))</f>
        <v/>
      </c>
      <c r="F517" s="10">
        <f>IF($C517="","",IFERROR(INDEX(lst_JobName,MATCH($C517,lst_Jobs,0)),""))</f>
        <v/>
      </c>
      <c r="G517" s="10">
        <f>IF($BI517="","",IF($B517="Onsite",INDEX(tbl_Onsite[Job Description],$BI517),IF($B517="Production",INDEX(tbl_Production[Job Description],$BI517),INDEX(tbl_Consulting[Job Description],$BI517)))&amp;"")</f>
        <v/>
      </c>
      <c r="H517" s="10">
        <f>IF($BI517="","",IF($B517="Onsite",INDEX(tbl_Onsite[Cost Centre],$BI517),IF($B517="Production",INDEX(tbl_Production[Cost Centre],$BI517),INDEX(tbl_Consulting[Cost Centre],$BI517)))&amp;"")</f>
        <v/>
      </c>
      <c r="I517" s="10">
        <f>IF($BI517="","",IF($B517="Onsite",INDEX(tbl_Onsite[Invoice Type],$BI517),IF($B517="Production",INDEX(tbl_Production[Invoice Type],$BI517),INDEX(tbl_Consulting[Invoice Type],$BI517)))&amp;"")</f>
        <v/>
      </c>
      <c r="J517" s="10">
        <f>IF($BI517="","",IF($B517="Onsite",INDEX(tbl_Onsite[Tax Code],$BI517),IF($B517="Production",INDEX(tbl_Production[Tax Code],$BI517),INDEX(tbl_Consulting[Tax Code],$BI517)))&amp;"")</f>
        <v/>
      </c>
      <c r="K517" s="10">
        <f>IF(H517="","",IFERROR(INDEX(lst_CCtoGL,MATCH(H517,lst_CCforGL,0)),""))</f>
        <v/>
      </c>
      <c r="L517" s="10">
        <f>IF($BI517="","",IF($B517="Onsite",INDEX(tbl_Onsite[PO / Reference],$BI517),IF($B517="Production",INDEX(tbl_Production[Current RMS No],$BI517),INDEX(tbl_Consulting[Qwilr Quote],$BI517)))&amp;"")</f>
        <v/>
      </c>
      <c r="M517" s="10">
        <f>IF($BI517="","",IF($B517="Onsite",INDEX(tbl_Onsite[Notes],$BI517),IF($B517="Production",INDEX(tbl_Production[Notes],$BI517),INDEX(tbl_Consulting[Notes],$BI517)))&amp;"")</f>
        <v/>
      </c>
      <c r="N517" s="11">
        <f>IF($BI517="","",IF(IF($B517="Onsite",INDEX(tbl_Onsite[Expected Revenue Ex GST],$BI517),IF($B517="Production",INDEX(tbl_Production[Expected Revenue Ex GST],$BI517),INDEX(tbl_Consulting[Expected Revenue Ex GST],$BI517)))="","",IF($B517="Onsite",INDEX(tbl_Onsite[Expected Revenue Ex GST],$BI517),IF($B517="Production",INDEX(tbl_Production[Expected Revenue Ex GST],$BI517),INDEX(tbl_Consulting[Expected Revenue Ex GST],$BI517)))))</f>
        <v/>
      </c>
      <c r="O517" s="11">
        <f>IF(AND($C517="",NOT(COUNTA($S517:$BB517)&gt;0)),"",SUM(U517,X517,AA517,AD517,AG517,AJ517,AM517,AP517,AS517,AV517,AY517,BB517))</f>
        <v/>
      </c>
      <c r="P517" s="11">
        <f>IF(O517="","",N(N517)-O517)</f>
        <v/>
      </c>
      <c r="Q517" s="10">
        <f>IF(O517="","",IF($C517="","Invoice on empty job row",IF(N517="",IF(ROUND(O517,2)=0,"No dept value","Invoiced - no dept value"),IF(ROUND(O517,2)=0,"Not invoiced - to invoice",IF(ROUND(P517,2)=0,"Agrees",IF(P517&gt;0,"Dept higher - to invoice","Xero higher - check dept"))))))</f>
        <v/>
      </c>
      <c r="R517" s="10">
        <f>IF(AND($C517="",NOT(COUNTA($S517:$BB517)&gt;0),$BI517&lt;&gt;""),"",MID(IF($BI517="","; Row ID not found on the department sheet - a row was deleted","")&amp;IF(AND($C517="",COUNTA($S517:$BB517)&gt;0),"; Invoice entered but the department row has no job number","")&amp;IF(E517="CHECK","; Job number not in the Xero job list","")&amp;IF(AND($C517&lt;&gt;"",COUNTIF($C$7:$C$1506,$C517)&gt;1),"; Job number on more than one row","")&amp;IF(AND($C517&lt;&gt;"",H517=""),"; Dept has not set a cost centre","")&amp;IF(AND($C517&lt;&gt;"",J517=""),"; Dept has not set a tax code","")&amp;IF(AND($C517&lt;&gt;"",N517=""),"; Dept has not entered an expected value","")&amp;IF((IF(OR(COUNTA(S517:U517)=0,AND(COUNTA(S517:U517)=3,ISNUMBER(U517))),0,1)+IF(OR(COUNTA(V517:X517)=0,AND(COUNTA(V517:X517)=3,ISNUMBER(X517))),0,1)+IF(OR(COUNTA(Y517:AA517)=0,AND(COUNTA(Y517:AA517)=3,ISNUMBER(AA517))),0,1)+IF(OR(COUNTA(AB517:AD517)=0,AND(COUNTA(AB517:AD517)=3,ISNUMBER(AD517))),0,1)+IF(OR(COUNTA(AE517:AG517)=0,AND(COUNTA(AE517:AG517)=3,ISNUMBER(AG517))),0,1)+IF(OR(COUNTA(AH517:AJ517)=0,AND(COUNTA(AH517:AJ517)=3,ISNUMBER(AJ517))),0,1)+IF(OR(COUNTA(AK517:AM517)=0,AND(COUNTA(AK517:AM517)=3,ISNUMBER(AM517))),0,1)+IF(OR(COUNTA(AN517:AP517)=0,AND(COUNTA(AN517:AP517)=3,ISNUMBER(AP517))),0,1)+IF(OR(COUNTA(AQ517:AS517)=0,AND(COUNTA(AQ517:AS517)=3,ISNUMBER(AS517))),0,1)+IF(OR(COUNTA(AT517:AV517)=0,AND(COUNTA(AT517:AV517)=3,ISNUMBER(AV517))),0,1)+IF(OR(COUNTA(AW517:AY517)=0,AND(COUNTA(AW517:AY517)=3,ISNUMBER(AY517))),0,1)+IF(OR(COUNTA(AZ517:BB517)=0,AND(COUNTA(AZ517:BB517)=3,ISNUMBER(BB517))),0,1))&gt;0,"; An invoice is incomplete (needs No, Date and a number in Ex GST)","")&amp;IF((IF(T517="",0,IFERROR(--(EOMONTH(T517,0)&lt;&gt;S$5),1))+IF(W517="",0,IFERROR(--(EOMONTH(W517,0)&lt;&gt;V$5),1))+IF(Z517="",0,IFERROR(--(EOMONTH(Z517,0)&lt;&gt;Y$5),1))+IF(AC517="",0,IFERROR(--(EOMONTH(AC517,0)&lt;&gt;AB$5),1))+IF(AF517="",0,IFERROR(--(EOMONTH(AF517,0)&lt;&gt;AE$5),1))+IF(AI517="",0,IFERROR(--(EOMONTH(AI517,0)&lt;&gt;AH$5),1))+IF(AL517="",0,IFERROR(--(EOMONTH(AL517,0)&lt;&gt;AK$5),1))+IF(AO517="",0,IFERROR(--(EOMONTH(AO517,0)&lt;&gt;AN$5),1))+IF(AR517="",0,IFERROR(--(EOMONTH(AR517,0)&lt;&gt;AQ$5),1))+IF(AU517="",0,IFERROR(--(EOMONTH(AU517,0)&lt;&gt;AT$5),1))+IF(AX517="",0,IFERROR(--(EOMONTH(AX517,0)&lt;&gt;AW$5),1))+IF(BA517="",0,IFERROR(--(EOMONTH(BA517,0)&lt;&gt;AZ$5),1)))&gt;0,"; An invoice date is not in the month it is typed under",""),3,500))</f>
        <v/>
      </c>
      <c r="S517" s="12" t="n"/>
      <c r="T517" s="13" t="n"/>
      <c r="U517" s="14" t="n"/>
      <c r="V517" s="12" t="n"/>
      <c r="W517" s="13" t="n"/>
      <c r="X517" s="14" t="n"/>
      <c r="Y517" s="12" t="n"/>
      <c r="Z517" s="13" t="n"/>
      <c r="AA517" s="14" t="n"/>
      <c r="AB517" s="12" t="n"/>
      <c r="AC517" s="13" t="n"/>
      <c r="AD517" s="14" t="n"/>
      <c r="AE517" s="12" t="n"/>
      <c r="AF517" s="13" t="n"/>
      <c r="AG517" s="14" t="n"/>
      <c r="AH517" s="12" t="n"/>
      <c r="AI517" s="13" t="n"/>
      <c r="AJ517" s="14" t="n"/>
      <c r="AK517" s="12" t="n"/>
      <c r="AL517" s="13" t="n"/>
      <c r="AM517" s="14" t="n"/>
      <c r="AN517" s="12" t="n"/>
      <c r="AO517" s="13" t="n"/>
      <c r="AP517" s="14" t="n"/>
      <c r="AQ517" s="12" t="n"/>
      <c r="AR517" s="13" t="n"/>
      <c r="AS517" s="14" t="n"/>
      <c r="AT517" s="12" t="n"/>
      <c r="AU517" s="13" t="n"/>
      <c r="AV517" s="14" t="n"/>
      <c r="AW517" s="12" t="n"/>
      <c r="AX517" s="13" t="n"/>
      <c r="AY517" s="14" t="n"/>
      <c r="AZ517" s="12" t="n"/>
      <c r="BA517" s="13" t="n"/>
      <c r="BB517" s="14" t="n"/>
      <c r="BC517" s="11">
        <f>IF(O517="","",IF(J517="GST 10%",ROUND(O517*set_GSTRate,2),0))</f>
        <v/>
      </c>
      <c r="BD517" s="11">
        <f>IF(O517="","",O517+BC517)</f>
        <v/>
      </c>
      <c r="BE517" s="15">
        <f>IF(O517="","",COUNTA(S517,V517,Y517,AB517,AE517,AH517,AK517,AN517,AQ517,AT517,AW517,AZ517))</f>
        <v/>
      </c>
      <c r="BF517" s="16">
        <f>IF(COUNT(T517,W517,Z517,AC517,AF517,AI517,AL517,AO517,AR517,AU517,AX517,BA517)=0,"",MAX(T517,W517,Z517,AC517,AF517,AI517,AL517,AO517,AR517,AU517,AX517,BA517))</f>
        <v/>
      </c>
      <c r="BG517" s="10">
        <f>MID(IF(S517="","",", "&amp;S517)&amp;IF(V517="","",", "&amp;V517)&amp;IF(Y517="","",", "&amp;Y517)&amp;IF(AB517="","",", "&amp;AB517)&amp;IF(AE517="","",", "&amp;AE517)&amp;IF(AH517="","",", "&amp;AH517)&amp;IF(AK517="","",", "&amp;AK517)&amp;IF(AN517="","",", "&amp;AN517)&amp;IF(AQ517="","",", "&amp;AQ517)&amp;IF(AT517="","",", "&amp;AT517)&amp;IF(AW517="","",", "&amp;AW517)&amp;IF(AZ517="","",", "&amp;AZ517),3,500)</f>
        <v/>
      </c>
      <c r="BH517" s="12" t="n"/>
      <c r="BI517" s="15">
        <f>IFERROR(MATCH($A517,IF($B517="Onsite",tbl_Onsite[Row ID],IF($B517="Production",tbl_Production[Row ID],tbl_Consulting[Row ID])),0),"")</f>
        <v/>
      </c>
    </row>
    <row r="518">
      <c r="A518" s="10" t="inlineStr">
        <is>
          <t>PRD-0012</t>
        </is>
      </c>
      <c r="B518" s="10" t="inlineStr">
        <is>
          <t>Production</t>
        </is>
      </c>
      <c r="C518" s="10">
        <f>IF($BI518="","",IF($B518="Onsite",INDEX(tbl_Onsite[Job Number],$BI518),IF($B518="Production",INDEX(tbl_Production[Job Number],$BI518),INDEX(tbl_Consulting[Job Number],$BI518)))&amp;"")</f>
        <v/>
      </c>
      <c r="D518" s="10">
        <f>IF($BI518="","",IF($B518="Onsite",INDEX(tbl_Onsite[Client],$BI518),IF($B518="Production",INDEX(tbl_Production[Client],$BI518),INDEX(tbl_Consulting[Client],$BI518)))&amp;"")</f>
        <v/>
      </c>
      <c r="E518" s="10">
        <f>IF($C518="","",IF(COUNTIF(lst_Jobs,$C518)&gt;0,"OK","CHECK"))</f>
        <v/>
      </c>
      <c r="F518" s="10">
        <f>IF($C518="","",IFERROR(INDEX(lst_JobName,MATCH($C518,lst_Jobs,0)),""))</f>
        <v/>
      </c>
      <c r="G518" s="10">
        <f>IF($BI518="","",IF($B518="Onsite",INDEX(tbl_Onsite[Job Description],$BI518),IF($B518="Production",INDEX(tbl_Production[Job Description],$BI518),INDEX(tbl_Consulting[Job Description],$BI518)))&amp;"")</f>
        <v/>
      </c>
      <c r="H518" s="10">
        <f>IF($BI518="","",IF($B518="Onsite",INDEX(tbl_Onsite[Cost Centre],$BI518),IF($B518="Production",INDEX(tbl_Production[Cost Centre],$BI518),INDEX(tbl_Consulting[Cost Centre],$BI518)))&amp;"")</f>
        <v/>
      </c>
      <c r="I518" s="10">
        <f>IF($BI518="","",IF($B518="Onsite",INDEX(tbl_Onsite[Invoice Type],$BI518),IF($B518="Production",INDEX(tbl_Production[Invoice Type],$BI518),INDEX(tbl_Consulting[Invoice Type],$BI518)))&amp;"")</f>
        <v/>
      </c>
      <c r="J518" s="10">
        <f>IF($BI518="","",IF($B518="Onsite",INDEX(tbl_Onsite[Tax Code],$BI518),IF($B518="Production",INDEX(tbl_Production[Tax Code],$BI518),INDEX(tbl_Consulting[Tax Code],$BI518)))&amp;"")</f>
        <v/>
      </c>
      <c r="K518" s="10">
        <f>IF(H518="","",IFERROR(INDEX(lst_CCtoGL,MATCH(H518,lst_CCforGL,0)),""))</f>
        <v/>
      </c>
      <c r="L518" s="10">
        <f>IF($BI518="","",IF($B518="Onsite",INDEX(tbl_Onsite[PO / Reference],$BI518),IF($B518="Production",INDEX(tbl_Production[Current RMS No],$BI518),INDEX(tbl_Consulting[Qwilr Quote],$BI518)))&amp;"")</f>
        <v/>
      </c>
      <c r="M518" s="10">
        <f>IF($BI518="","",IF($B518="Onsite",INDEX(tbl_Onsite[Notes],$BI518),IF($B518="Production",INDEX(tbl_Production[Notes],$BI518),INDEX(tbl_Consulting[Notes],$BI518)))&amp;"")</f>
        <v/>
      </c>
      <c r="N518" s="11">
        <f>IF($BI518="","",IF(IF($B518="Onsite",INDEX(tbl_Onsite[Expected Revenue Ex GST],$BI518),IF($B518="Production",INDEX(tbl_Production[Expected Revenue Ex GST],$BI518),INDEX(tbl_Consulting[Expected Revenue Ex GST],$BI518)))="","",IF($B518="Onsite",INDEX(tbl_Onsite[Expected Revenue Ex GST],$BI518),IF($B518="Production",INDEX(tbl_Production[Expected Revenue Ex GST],$BI518),INDEX(tbl_Consulting[Expected Revenue Ex GST],$BI518)))))</f>
        <v/>
      </c>
      <c r="O518" s="11">
        <f>IF(AND($C518="",NOT(COUNTA($S518:$BB518)&gt;0)),"",SUM(U518,X518,AA518,AD518,AG518,AJ518,AM518,AP518,AS518,AV518,AY518,BB518))</f>
        <v/>
      </c>
      <c r="P518" s="11">
        <f>IF(O518="","",N(N518)-O518)</f>
        <v/>
      </c>
      <c r="Q518" s="10">
        <f>IF(O518="","",IF($C518="","Invoice on empty job row",IF(N518="",IF(ROUND(O518,2)=0,"No dept value","Invoiced - no dept value"),IF(ROUND(O518,2)=0,"Not invoiced - to invoice",IF(ROUND(P518,2)=0,"Agrees",IF(P518&gt;0,"Dept higher - to invoice","Xero higher - check dept"))))))</f>
        <v/>
      </c>
      <c r="R518" s="10">
        <f>IF(AND($C518="",NOT(COUNTA($S518:$BB518)&gt;0),$BI518&lt;&gt;""),"",MID(IF($BI518="","; Row ID not found on the department sheet - a row was deleted","")&amp;IF(AND($C518="",COUNTA($S518:$BB518)&gt;0),"; Invoice entered but the department row has no job number","")&amp;IF(E518="CHECK","; Job number not in the Xero job list","")&amp;IF(AND($C518&lt;&gt;"",COUNTIF($C$7:$C$1506,$C518)&gt;1),"; Job number on more than one row","")&amp;IF(AND($C518&lt;&gt;"",H518=""),"; Dept has not set a cost centre","")&amp;IF(AND($C518&lt;&gt;"",J518=""),"; Dept has not set a tax code","")&amp;IF(AND($C518&lt;&gt;"",N518=""),"; Dept has not entered an expected value","")&amp;IF((IF(OR(COUNTA(S518:U518)=0,AND(COUNTA(S518:U518)=3,ISNUMBER(U518))),0,1)+IF(OR(COUNTA(V518:X518)=0,AND(COUNTA(V518:X518)=3,ISNUMBER(X518))),0,1)+IF(OR(COUNTA(Y518:AA518)=0,AND(COUNTA(Y518:AA518)=3,ISNUMBER(AA518))),0,1)+IF(OR(COUNTA(AB518:AD518)=0,AND(COUNTA(AB518:AD518)=3,ISNUMBER(AD518))),0,1)+IF(OR(COUNTA(AE518:AG518)=0,AND(COUNTA(AE518:AG518)=3,ISNUMBER(AG518))),0,1)+IF(OR(COUNTA(AH518:AJ518)=0,AND(COUNTA(AH518:AJ518)=3,ISNUMBER(AJ518))),0,1)+IF(OR(COUNTA(AK518:AM518)=0,AND(COUNTA(AK518:AM518)=3,ISNUMBER(AM518))),0,1)+IF(OR(COUNTA(AN518:AP518)=0,AND(COUNTA(AN518:AP518)=3,ISNUMBER(AP518))),0,1)+IF(OR(COUNTA(AQ518:AS518)=0,AND(COUNTA(AQ518:AS518)=3,ISNUMBER(AS518))),0,1)+IF(OR(COUNTA(AT518:AV518)=0,AND(COUNTA(AT518:AV518)=3,ISNUMBER(AV518))),0,1)+IF(OR(COUNTA(AW518:AY518)=0,AND(COUNTA(AW518:AY518)=3,ISNUMBER(AY518))),0,1)+IF(OR(COUNTA(AZ518:BB518)=0,AND(COUNTA(AZ518:BB518)=3,ISNUMBER(BB518))),0,1))&gt;0,"; An invoice is incomplete (needs No, Date and a number in Ex GST)","")&amp;IF((IF(T518="",0,IFERROR(--(EOMONTH(T518,0)&lt;&gt;S$5),1))+IF(W518="",0,IFERROR(--(EOMONTH(W518,0)&lt;&gt;V$5),1))+IF(Z518="",0,IFERROR(--(EOMONTH(Z518,0)&lt;&gt;Y$5),1))+IF(AC518="",0,IFERROR(--(EOMONTH(AC518,0)&lt;&gt;AB$5),1))+IF(AF518="",0,IFERROR(--(EOMONTH(AF518,0)&lt;&gt;AE$5),1))+IF(AI518="",0,IFERROR(--(EOMONTH(AI518,0)&lt;&gt;AH$5),1))+IF(AL518="",0,IFERROR(--(EOMONTH(AL518,0)&lt;&gt;AK$5),1))+IF(AO518="",0,IFERROR(--(EOMONTH(AO518,0)&lt;&gt;AN$5),1))+IF(AR518="",0,IFERROR(--(EOMONTH(AR518,0)&lt;&gt;AQ$5),1))+IF(AU518="",0,IFERROR(--(EOMONTH(AU518,0)&lt;&gt;AT$5),1))+IF(AX518="",0,IFERROR(--(EOMONTH(AX518,0)&lt;&gt;AW$5),1))+IF(BA518="",0,IFERROR(--(EOMONTH(BA518,0)&lt;&gt;AZ$5),1)))&gt;0,"; An invoice date is not in the month it is typed under",""),3,500))</f>
        <v/>
      </c>
      <c r="S518" s="12" t="n"/>
      <c r="T518" s="13" t="n"/>
      <c r="U518" s="14" t="n"/>
      <c r="V518" s="12" t="n"/>
      <c r="W518" s="13" t="n"/>
      <c r="X518" s="14" t="n"/>
      <c r="Y518" s="12" t="n"/>
      <c r="Z518" s="13" t="n"/>
      <c r="AA518" s="14" t="n"/>
      <c r="AB518" s="12" t="n"/>
      <c r="AC518" s="13" t="n"/>
      <c r="AD518" s="14" t="n"/>
      <c r="AE518" s="12" t="n"/>
      <c r="AF518" s="13" t="n"/>
      <c r="AG518" s="14" t="n"/>
      <c r="AH518" s="12" t="n"/>
      <c r="AI518" s="13" t="n"/>
      <c r="AJ518" s="14" t="n"/>
      <c r="AK518" s="12" t="n"/>
      <c r="AL518" s="13" t="n"/>
      <c r="AM518" s="14" t="n"/>
      <c r="AN518" s="12" t="n"/>
      <c r="AO518" s="13" t="n"/>
      <c r="AP518" s="14" t="n"/>
      <c r="AQ518" s="12" t="n"/>
      <c r="AR518" s="13" t="n"/>
      <c r="AS518" s="14" t="n"/>
      <c r="AT518" s="12" t="n"/>
      <c r="AU518" s="13" t="n"/>
      <c r="AV518" s="14" t="n"/>
      <c r="AW518" s="12" t="n"/>
      <c r="AX518" s="13" t="n"/>
      <c r="AY518" s="14" t="n"/>
      <c r="AZ518" s="12" t="n"/>
      <c r="BA518" s="13" t="n"/>
      <c r="BB518" s="14" t="n"/>
      <c r="BC518" s="11">
        <f>IF(O518="","",IF(J518="GST 10%",ROUND(O518*set_GSTRate,2),0))</f>
        <v/>
      </c>
      <c r="BD518" s="11">
        <f>IF(O518="","",O518+BC518)</f>
        <v/>
      </c>
      <c r="BE518" s="15">
        <f>IF(O518="","",COUNTA(S518,V518,Y518,AB518,AE518,AH518,AK518,AN518,AQ518,AT518,AW518,AZ518))</f>
        <v/>
      </c>
      <c r="BF518" s="16">
        <f>IF(COUNT(T518,W518,Z518,AC518,AF518,AI518,AL518,AO518,AR518,AU518,AX518,BA518)=0,"",MAX(T518,W518,Z518,AC518,AF518,AI518,AL518,AO518,AR518,AU518,AX518,BA518))</f>
        <v/>
      </c>
      <c r="BG518" s="10">
        <f>MID(IF(S518="","",", "&amp;S518)&amp;IF(V518="","",", "&amp;V518)&amp;IF(Y518="","",", "&amp;Y518)&amp;IF(AB518="","",", "&amp;AB518)&amp;IF(AE518="","",", "&amp;AE518)&amp;IF(AH518="","",", "&amp;AH518)&amp;IF(AK518="","",", "&amp;AK518)&amp;IF(AN518="","",", "&amp;AN518)&amp;IF(AQ518="","",", "&amp;AQ518)&amp;IF(AT518="","",", "&amp;AT518)&amp;IF(AW518="","",", "&amp;AW518)&amp;IF(AZ518="","",", "&amp;AZ518),3,500)</f>
        <v/>
      </c>
      <c r="BH518" s="12" t="n"/>
      <c r="BI518" s="15">
        <f>IFERROR(MATCH($A518,IF($B518="Onsite",tbl_Onsite[Row ID],IF($B518="Production",tbl_Production[Row ID],tbl_Consulting[Row ID])),0),"")</f>
        <v/>
      </c>
    </row>
    <row r="519">
      <c r="A519" s="10" t="inlineStr">
        <is>
          <t>PRD-0013</t>
        </is>
      </c>
      <c r="B519" s="10" t="inlineStr">
        <is>
          <t>Production</t>
        </is>
      </c>
      <c r="C519" s="10">
        <f>IF($BI519="","",IF($B519="Onsite",INDEX(tbl_Onsite[Job Number],$BI519),IF($B519="Production",INDEX(tbl_Production[Job Number],$BI519),INDEX(tbl_Consulting[Job Number],$BI519)))&amp;"")</f>
        <v/>
      </c>
      <c r="D519" s="10">
        <f>IF($BI519="","",IF($B519="Onsite",INDEX(tbl_Onsite[Client],$BI519),IF($B519="Production",INDEX(tbl_Production[Client],$BI519),INDEX(tbl_Consulting[Client],$BI519)))&amp;"")</f>
        <v/>
      </c>
      <c r="E519" s="10">
        <f>IF($C519="","",IF(COUNTIF(lst_Jobs,$C519)&gt;0,"OK","CHECK"))</f>
        <v/>
      </c>
      <c r="F519" s="10">
        <f>IF($C519="","",IFERROR(INDEX(lst_JobName,MATCH($C519,lst_Jobs,0)),""))</f>
        <v/>
      </c>
      <c r="G519" s="10">
        <f>IF($BI519="","",IF($B519="Onsite",INDEX(tbl_Onsite[Job Description],$BI519),IF($B519="Production",INDEX(tbl_Production[Job Description],$BI519),INDEX(tbl_Consulting[Job Description],$BI519)))&amp;"")</f>
        <v/>
      </c>
      <c r="H519" s="10">
        <f>IF($BI519="","",IF($B519="Onsite",INDEX(tbl_Onsite[Cost Centre],$BI519),IF($B519="Production",INDEX(tbl_Production[Cost Centre],$BI519),INDEX(tbl_Consulting[Cost Centre],$BI519)))&amp;"")</f>
        <v/>
      </c>
      <c r="I519" s="10">
        <f>IF($BI519="","",IF($B519="Onsite",INDEX(tbl_Onsite[Invoice Type],$BI519),IF($B519="Production",INDEX(tbl_Production[Invoice Type],$BI519),INDEX(tbl_Consulting[Invoice Type],$BI519)))&amp;"")</f>
        <v/>
      </c>
      <c r="J519" s="10">
        <f>IF($BI519="","",IF($B519="Onsite",INDEX(tbl_Onsite[Tax Code],$BI519),IF($B519="Production",INDEX(tbl_Production[Tax Code],$BI519),INDEX(tbl_Consulting[Tax Code],$BI519)))&amp;"")</f>
        <v/>
      </c>
      <c r="K519" s="10">
        <f>IF(H519="","",IFERROR(INDEX(lst_CCtoGL,MATCH(H519,lst_CCforGL,0)),""))</f>
        <v/>
      </c>
      <c r="L519" s="10">
        <f>IF($BI519="","",IF($B519="Onsite",INDEX(tbl_Onsite[PO / Reference],$BI519),IF($B519="Production",INDEX(tbl_Production[Current RMS No],$BI519),INDEX(tbl_Consulting[Qwilr Quote],$BI519)))&amp;"")</f>
        <v/>
      </c>
      <c r="M519" s="10">
        <f>IF($BI519="","",IF($B519="Onsite",INDEX(tbl_Onsite[Notes],$BI519),IF($B519="Production",INDEX(tbl_Production[Notes],$BI519),INDEX(tbl_Consulting[Notes],$BI519)))&amp;"")</f>
        <v/>
      </c>
      <c r="N519" s="11">
        <f>IF($BI519="","",IF(IF($B519="Onsite",INDEX(tbl_Onsite[Expected Revenue Ex GST],$BI519),IF($B519="Production",INDEX(tbl_Production[Expected Revenue Ex GST],$BI519),INDEX(tbl_Consulting[Expected Revenue Ex GST],$BI519)))="","",IF($B519="Onsite",INDEX(tbl_Onsite[Expected Revenue Ex GST],$BI519),IF($B519="Production",INDEX(tbl_Production[Expected Revenue Ex GST],$BI519),INDEX(tbl_Consulting[Expected Revenue Ex GST],$BI519)))))</f>
        <v/>
      </c>
      <c r="O519" s="11">
        <f>IF(AND($C519="",NOT(COUNTA($S519:$BB519)&gt;0)),"",SUM(U519,X519,AA519,AD519,AG519,AJ519,AM519,AP519,AS519,AV519,AY519,BB519))</f>
        <v/>
      </c>
      <c r="P519" s="11">
        <f>IF(O519="","",N(N519)-O519)</f>
        <v/>
      </c>
      <c r="Q519" s="10">
        <f>IF(O519="","",IF($C519="","Invoice on empty job row",IF(N519="",IF(ROUND(O519,2)=0,"No dept value","Invoiced - no dept value"),IF(ROUND(O519,2)=0,"Not invoiced - to invoice",IF(ROUND(P519,2)=0,"Agrees",IF(P519&gt;0,"Dept higher - to invoice","Xero higher - check dept"))))))</f>
        <v/>
      </c>
      <c r="R519" s="10">
        <f>IF(AND($C519="",NOT(COUNTA($S519:$BB519)&gt;0),$BI519&lt;&gt;""),"",MID(IF($BI519="","; Row ID not found on the department sheet - a row was deleted","")&amp;IF(AND($C519="",COUNTA($S519:$BB519)&gt;0),"; Invoice entered but the department row has no job number","")&amp;IF(E519="CHECK","; Job number not in the Xero job list","")&amp;IF(AND($C519&lt;&gt;"",COUNTIF($C$7:$C$1506,$C519)&gt;1),"; Job number on more than one row","")&amp;IF(AND($C519&lt;&gt;"",H519=""),"; Dept has not set a cost centre","")&amp;IF(AND($C519&lt;&gt;"",J519=""),"; Dept has not set a tax code","")&amp;IF(AND($C519&lt;&gt;"",N519=""),"; Dept has not entered an expected value","")&amp;IF((IF(OR(COUNTA(S519:U519)=0,AND(COUNTA(S519:U519)=3,ISNUMBER(U519))),0,1)+IF(OR(COUNTA(V519:X519)=0,AND(COUNTA(V519:X519)=3,ISNUMBER(X519))),0,1)+IF(OR(COUNTA(Y519:AA519)=0,AND(COUNTA(Y519:AA519)=3,ISNUMBER(AA519))),0,1)+IF(OR(COUNTA(AB519:AD519)=0,AND(COUNTA(AB519:AD519)=3,ISNUMBER(AD519))),0,1)+IF(OR(COUNTA(AE519:AG519)=0,AND(COUNTA(AE519:AG519)=3,ISNUMBER(AG519))),0,1)+IF(OR(COUNTA(AH519:AJ519)=0,AND(COUNTA(AH519:AJ519)=3,ISNUMBER(AJ519))),0,1)+IF(OR(COUNTA(AK519:AM519)=0,AND(COUNTA(AK519:AM519)=3,ISNUMBER(AM519))),0,1)+IF(OR(COUNTA(AN519:AP519)=0,AND(COUNTA(AN519:AP519)=3,ISNUMBER(AP519))),0,1)+IF(OR(COUNTA(AQ519:AS519)=0,AND(COUNTA(AQ519:AS519)=3,ISNUMBER(AS519))),0,1)+IF(OR(COUNTA(AT519:AV519)=0,AND(COUNTA(AT519:AV519)=3,ISNUMBER(AV519))),0,1)+IF(OR(COUNTA(AW519:AY519)=0,AND(COUNTA(AW519:AY519)=3,ISNUMBER(AY519))),0,1)+IF(OR(COUNTA(AZ519:BB519)=0,AND(COUNTA(AZ519:BB519)=3,ISNUMBER(BB519))),0,1))&gt;0,"; An invoice is incomplete (needs No, Date and a number in Ex GST)","")&amp;IF((IF(T519="",0,IFERROR(--(EOMONTH(T519,0)&lt;&gt;S$5),1))+IF(W519="",0,IFERROR(--(EOMONTH(W519,0)&lt;&gt;V$5),1))+IF(Z519="",0,IFERROR(--(EOMONTH(Z519,0)&lt;&gt;Y$5),1))+IF(AC519="",0,IFERROR(--(EOMONTH(AC519,0)&lt;&gt;AB$5),1))+IF(AF519="",0,IFERROR(--(EOMONTH(AF519,0)&lt;&gt;AE$5),1))+IF(AI519="",0,IFERROR(--(EOMONTH(AI519,0)&lt;&gt;AH$5),1))+IF(AL519="",0,IFERROR(--(EOMONTH(AL519,0)&lt;&gt;AK$5),1))+IF(AO519="",0,IFERROR(--(EOMONTH(AO519,0)&lt;&gt;AN$5),1))+IF(AR519="",0,IFERROR(--(EOMONTH(AR519,0)&lt;&gt;AQ$5),1))+IF(AU519="",0,IFERROR(--(EOMONTH(AU519,0)&lt;&gt;AT$5),1))+IF(AX519="",0,IFERROR(--(EOMONTH(AX519,0)&lt;&gt;AW$5),1))+IF(BA519="",0,IFERROR(--(EOMONTH(BA519,0)&lt;&gt;AZ$5),1)))&gt;0,"; An invoice date is not in the month it is typed under",""),3,500))</f>
        <v/>
      </c>
      <c r="S519" s="12" t="n"/>
      <c r="T519" s="13" t="n"/>
      <c r="U519" s="14" t="n"/>
      <c r="V519" s="12" t="n"/>
      <c r="W519" s="13" t="n"/>
      <c r="X519" s="14" t="n"/>
      <c r="Y519" s="12" t="n"/>
      <c r="Z519" s="13" t="n"/>
      <c r="AA519" s="14" t="n"/>
      <c r="AB519" s="12" t="n"/>
      <c r="AC519" s="13" t="n"/>
      <c r="AD519" s="14" t="n"/>
      <c r="AE519" s="12" t="n"/>
      <c r="AF519" s="13" t="n"/>
      <c r="AG519" s="14" t="n"/>
      <c r="AH519" s="12" t="n"/>
      <c r="AI519" s="13" t="n"/>
      <c r="AJ519" s="14" t="n"/>
      <c r="AK519" s="12" t="n"/>
      <c r="AL519" s="13" t="n"/>
      <c r="AM519" s="14" t="n"/>
      <c r="AN519" s="12" t="n"/>
      <c r="AO519" s="13" t="n"/>
      <c r="AP519" s="14" t="n"/>
      <c r="AQ519" s="12" t="n"/>
      <c r="AR519" s="13" t="n"/>
      <c r="AS519" s="14" t="n"/>
      <c r="AT519" s="12" t="n"/>
      <c r="AU519" s="13" t="n"/>
      <c r="AV519" s="14" t="n"/>
      <c r="AW519" s="12" t="n"/>
      <c r="AX519" s="13" t="n"/>
      <c r="AY519" s="14" t="n"/>
      <c r="AZ519" s="12" t="n"/>
      <c r="BA519" s="13" t="n"/>
      <c r="BB519" s="14" t="n"/>
      <c r="BC519" s="11">
        <f>IF(O519="","",IF(J519="GST 10%",ROUND(O519*set_GSTRate,2),0))</f>
        <v/>
      </c>
      <c r="BD519" s="11">
        <f>IF(O519="","",O519+BC519)</f>
        <v/>
      </c>
      <c r="BE519" s="15">
        <f>IF(O519="","",COUNTA(S519,V519,Y519,AB519,AE519,AH519,AK519,AN519,AQ519,AT519,AW519,AZ519))</f>
        <v/>
      </c>
      <c r="BF519" s="16">
        <f>IF(COUNT(T519,W519,Z519,AC519,AF519,AI519,AL519,AO519,AR519,AU519,AX519,BA519)=0,"",MAX(T519,W519,Z519,AC519,AF519,AI519,AL519,AO519,AR519,AU519,AX519,BA519))</f>
        <v/>
      </c>
      <c r="BG519" s="10">
        <f>MID(IF(S519="","",", "&amp;S519)&amp;IF(V519="","",", "&amp;V519)&amp;IF(Y519="","",", "&amp;Y519)&amp;IF(AB519="","",", "&amp;AB519)&amp;IF(AE519="","",", "&amp;AE519)&amp;IF(AH519="","",", "&amp;AH519)&amp;IF(AK519="","",", "&amp;AK519)&amp;IF(AN519="","",", "&amp;AN519)&amp;IF(AQ519="","",", "&amp;AQ519)&amp;IF(AT519="","",", "&amp;AT519)&amp;IF(AW519="","",", "&amp;AW519)&amp;IF(AZ519="","",", "&amp;AZ519),3,500)</f>
        <v/>
      </c>
      <c r="BH519" s="12" t="n"/>
      <c r="BI519" s="15">
        <f>IFERROR(MATCH($A519,IF($B519="Onsite",tbl_Onsite[Row ID],IF($B519="Production",tbl_Production[Row ID],tbl_Consulting[Row ID])),0),"")</f>
        <v/>
      </c>
    </row>
    <row r="520">
      <c r="A520" s="10" t="inlineStr">
        <is>
          <t>PRD-0014</t>
        </is>
      </c>
      <c r="B520" s="10" t="inlineStr">
        <is>
          <t>Production</t>
        </is>
      </c>
      <c r="C520" s="10">
        <f>IF($BI520="","",IF($B520="Onsite",INDEX(tbl_Onsite[Job Number],$BI520),IF($B520="Production",INDEX(tbl_Production[Job Number],$BI520),INDEX(tbl_Consulting[Job Number],$BI520)))&amp;"")</f>
        <v/>
      </c>
      <c r="D520" s="10">
        <f>IF($BI520="","",IF($B520="Onsite",INDEX(tbl_Onsite[Client],$BI520),IF($B520="Production",INDEX(tbl_Production[Client],$BI520),INDEX(tbl_Consulting[Client],$BI520)))&amp;"")</f>
        <v/>
      </c>
      <c r="E520" s="10">
        <f>IF($C520="","",IF(COUNTIF(lst_Jobs,$C520)&gt;0,"OK","CHECK"))</f>
        <v/>
      </c>
      <c r="F520" s="10">
        <f>IF($C520="","",IFERROR(INDEX(lst_JobName,MATCH($C520,lst_Jobs,0)),""))</f>
        <v/>
      </c>
      <c r="G520" s="10">
        <f>IF($BI520="","",IF($B520="Onsite",INDEX(tbl_Onsite[Job Description],$BI520),IF($B520="Production",INDEX(tbl_Production[Job Description],$BI520),INDEX(tbl_Consulting[Job Description],$BI520)))&amp;"")</f>
        <v/>
      </c>
      <c r="H520" s="10">
        <f>IF($BI520="","",IF($B520="Onsite",INDEX(tbl_Onsite[Cost Centre],$BI520),IF($B520="Production",INDEX(tbl_Production[Cost Centre],$BI520),INDEX(tbl_Consulting[Cost Centre],$BI520)))&amp;"")</f>
        <v/>
      </c>
      <c r="I520" s="10">
        <f>IF($BI520="","",IF($B520="Onsite",INDEX(tbl_Onsite[Invoice Type],$BI520),IF($B520="Production",INDEX(tbl_Production[Invoice Type],$BI520),INDEX(tbl_Consulting[Invoice Type],$BI520)))&amp;"")</f>
        <v/>
      </c>
      <c r="J520" s="10">
        <f>IF($BI520="","",IF($B520="Onsite",INDEX(tbl_Onsite[Tax Code],$BI520),IF($B520="Production",INDEX(tbl_Production[Tax Code],$BI520),INDEX(tbl_Consulting[Tax Code],$BI520)))&amp;"")</f>
        <v/>
      </c>
      <c r="K520" s="10">
        <f>IF(H520="","",IFERROR(INDEX(lst_CCtoGL,MATCH(H520,lst_CCforGL,0)),""))</f>
        <v/>
      </c>
      <c r="L520" s="10">
        <f>IF($BI520="","",IF($B520="Onsite",INDEX(tbl_Onsite[PO / Reference],$BI520),IF($B520="Production",INDEX(tbl_Production[Current RMS No],$BI520),INDEX(tbl_Consulting[Qwilr Quote],$BI520)))&amp;"")</f>
        <v/>
      </c>
      <c r="M520" s="10">
        <f>IF($BI520="","",IF($B520="Onsite",INDEX(tbl_Onsite[Notes],$BI520),IF($B520="Production",INDEX(tbl_Production[Notes],$BI520),INDEX(tbl_Consulting[Notes],$BI520)))&amp;"")</f>
        <v/>
      </c>
      <c r="N520" s="11">
        <f>IF($BI520="","",IF(IF($B520="Onsite",INDEX(tbl_Onsite[Expected Revenue Ex GST],$BI520),IF($B520="Production",INDEX(tbl_Production[Expected Revenue Ex GST],$BI520),INDEX(tbl_Consulting[Expected Revenue Ex GST],$BI520)))="","",IF($B520="Onsite",INDEX(tbl_Onsite[Expected Revenue Ex GST],$BI520),IF($B520="Production",INDEX(tbl_Production[Expected Revenue Ex GST],$BI520),INDEX(tbl_Consulting[Expected Revenue Ex GST],$BI520)))))</f>
        <v/>
      </c>
      <c r="O520" s="11">
        <f>IF(AND($C520="",NOT(COUNTA($S520:$BB520)&gt;0)),"",SUM(U520,X520,AA520,AD520,AG520,AJ520,AM520,AP520,AS520,AV520,AY520,BB520))</f>
        <v/>
      </c>
      <c r="P520" s="11">
        <f>IF(O520="","",N(N520)-O520)</f>
        <v/>
      </c>
      <c r="Q520" s="10">
        <f>IF(O520="","",IF($C520="","Invoice on empty job row",IF(N520="",IF(ROUND(O520,2)=0,"No dept value","Invoiced - no dept value"),IF(ROUND(O520,2)=0,"Not invoiced - to invoice",IF(ROUND(P520,2)=0,"Agrees",IF(P520&gt;0,"Dept higher - to invoice","Xero higher - check dept"))))))</f>
        <v/>
      </c>
      <c r="R520" s="10">
        <f>IF(AND($C520="",NOT(COUNTA($S520:$BB520)&gt;0),$BI520&lt;&gt;""),"",MID(IF($BI520="","; Row ID not found on the department sheet - a row was deleted","")&amp;IF(AND($C520="",COUNTA($S520:$BB520)&gt;0),"; Invoice entered but the department row has no job number","")&amp;IF(E520="CHECK","; Job number not in the Xero job list","")&amp;IF(AND($C520&lt;&gt;"",COUNTIF($C$7:$C$1506,$C520)&gt;1),"; Job number on more than one row","")&amp;IF(AND($C520&lt;&gt;"",H520=""),"; Dept has not set a cost centre","")&amp;IF(AND($C520&lt;&gt;"",J520=""),"; Dept has not set a tax code","")&amp;IF(AND($C520&lt;&gt;"",N520=""),"; Dept has not entered an expected value","")&amp;IF((IF(OR(COUNTA(S520:U520)=0,AND(COUNTA(S520:U520)=3,ISNUMBER(U520))),0,1)+IF(OR(COUNTA(V520:X520)=0,AND(COUNTA(V520:X520)=3,ISNUMBER(X520))),0,1)+IF(OR(COUNTA(Y520:AA520)=0,AND(COUNTA(Y520:AA520)=3,ISNUMBER(AA520))),0,1)+IF(OR(COUNTA(AB520:AD520)=0,AND(COUNTA(AB520:AD520)=3,ISNUMBER(AD520))),0,1)+IF(OR(COUNTA(AE520:AG520)=0,AND(COUNTA(AE520:AG520)=3,ISNUMBER(AG520))),0,1)+IF(OR(COUNTA(AH520:AJ520)=0,AND(COUNTA(AH520:AJ520)=3,ISNUMBER(AJ520))),0,1)+IF(OR(COUNTA(AK520:AM520)=0,AND(COUNTA(AK520:AM520)=3,ISNUMBER(AM520))),0,1)+IF(OR(COUNTA(AN520:AP520)=0,AND(COUNTA(AN520:AP520)=3,ISNUMBER(AP520))),0,1)+IF(OR(COUNTA(AQ520:AS520)=0,AND(COUNTA(AQ520:AS520)=3,ISNUMBER(AS520))),0,1)+IF(OR(COUNTA(AT520:AV520)=0,AND(COUNTA(AT520:AV520)=3,ISNUMBER(AV520))),0,1)+IF(OR(COUNTA(AW520:AY520)=0,AND(COUNTA(AW520:AY520)=3,ISNUMBER(AY520))),0,1)+IF(OR(COUNTA(AZ520:BB520)=0,AND(COUNTA(AZ520:BB520)=3,ISNUMBER(BB520))),0,1))&gt;0,"; An invoice is incomplete (needs No, Date and a number in Ex GST)","")&amp;IF((IF(T520="",0,IFERROR(--(EOMONTH(T520,0)&lt;&gt;S$5),1))+IF(W520="",0,IFERROR(--(EOMONTH(W520,0)&lt;&gt;V$5),1))+IF(Z520="",0,IFERROR(--(EOMONTH(Z520,0)&lt;&gt;Y$5),1))+IF(AC520="",0,IFERROR(--(EOMONTH(AC520,0)&lt;&gt;AB$5),1))+IF(AF520="",0,IFERROR(--(EOMONTH(AF520,0)&lt;&gt;AE$5),1))+IF(AI520="",0,IFERROR(--(EOMONTH(AI520,0)&lt;&gt;AH$5),1))+IF(AL520="",0,IFERROR(--(EOMONTH(AL520,0)&lt;&gt;AK$5),1))+IF(AO520="",0,IFERROR(--(EOMONTH(AO520,0)&lt;&gt;AN$5),1))+IF(AR520="",0,IFERROR(--(EOMONTH(AR520,0)&lt;&gt;AQ$5),1))+IF(AU520="",0,IFERROR(--(EOMONTH(AU520,0)&lt;&gt;AT$5),1))+IF(AX520="",0,IFERROR(--(EOMONTH(AX520,0)&lt;&gt;AW$5),1))+IF(BA520="",0,IFERROR(--(EOMONTH(BA520,0)&lt;&gt;AZ$5),1)))&gt;0,"; An invoice date is not in the month it is typed under",""),3,500))</f>
        <v/>
      </c>
      <c r="S520" s="12" t="n"/>
      <c r="T520" s="13" t="n"/>
      <c r="U520" s="14" t="n"/>
      <c r="V520" s="12" t="n"/>
      <c r="W520" s="13" t="n"/>
      <c r="X520" s="14" t="n"/>
      <c r="Y520" s="12" t="n"/>
      <c r="Z520" s="13" t="n"/>
      <c r="AA520" s="14" t="n"/>
      <c r="AB520" s="12" t="n"/>
      <c r="AC520" s="13" t="n"/>
      <c r="AD520" s="14" t="n"/>
      <c r="AE520" s="12" t="n"/>
      <c r="AF520" s="13" t="n"/>
      <c r="AG520" s="14" t="n"/>
      <c r="AH520" s="12" t="n"/>
      <c r="AI520" s="13" t="n"/>
      <c r="AJ520" s="14" t="n"/>
      <c r="AK520" s="12" t="n"/>
      <c r="AL520" s="13" t="n"/>
      <c r="AM520" s="14" t="n"/>
      <c r="AN520" s="12" t="n"/>
      <c r="AO520" s="13" t="n"/>
      <c r="AP520" s="14" t="n"/>
      <c r="AQ520" s="12" t="n"/>
      <c r="AR520" s="13" t="n"/>
      <c r="AS520" s="14" t="n"/>
      <c r="AT520" s="12" t="n"/>
      <c r="AU520" s="13" t="n"/>
      <c r="AV520" s="14" t="n"/>
      <c r="AW520" s="12" t="n"/>
      <c r="AX520" s="13" t="n"/>
      <c r="AY520" s="14" t="n"/>
      <c r="AZ520" s="12" t="n"/>
      <c r="BA520" s="13" t="n"/>
      <c r="BB520" s="14" t="n"/>
      <c r="BC520" s="11">
        <f>IF(O520="","",IF(J520="GST 10%",ROUND(O520*set_GSTRate,2),0))</f>
        <v/>
      </c>
      <c r="BD520" s="11">
        <f>IF(O520="","",O520+BC520)</f>
        <v/>
      </c>
      <c r="BE520" s="15">
        <f>IF(O520="","",COUNTA(S520,V520,Y520,AB520,AE520,AH520,AK520,AN520,AQ520,AT520,AW520,AZ520))</f>
        <v/>
      </c>
      <c r="BF520" s="16">
        <f>IF(COUNT(T520,W520,Z520,AC520,AF520,AI520,AL520,AO520,AR520,AU520,AX520,BA520)=0,"",MAX(T520,W520,Z520,AC520,AF520,AI520,AL520,AO520,AR520,AU520,AX520,BA520))</f>
        <v/>
      </c>
      <c r="BG520" s="10">
        <f>MID(IF(S520="","",", "&amp;S520)&amp;IF(V520="","",", "&amp;V520)&amp;IF(Y520="","",", "&amp;Y520)&amp;IF(AB520="","",", "&amp;AB520)&amp;IF(AE520="","",", "&amp;AE520)&amp;IF(AH520="","",", "&amp;AH520)&amp;IF(AK520="","",", "&amp;AK520)&amp;IF(AN520="","",", "&amp;AN520)&amp;IF(AQ520="","",", "&amp;AQ520)&amp;IF(AT520="","",", "&amp;AT520)&amp;IF(AW520="","",", "&amp;AW520)&amp;IF(AZ520="","",", "&amp;AZ520),3,500)</f>
        <v/>
      </c>
      <c r="BH520" s="12" t="n"/>
      <c r="BI520" s="15">
        <f>IFERROR(MATCH($A520,IF($B520="Onsite",tbl_Onsite[Row ID],IF($B520="Production",tbl_Production[Row ID],tbl_Consulting[Row ID])),0),"")</f>
        <v/>
      </c>
    </row>
    <row r="521">
      <c r="A521" s="10" t="inlineStr">
        <is>
          <t>PRD-0015</t>
        </is>
      </c>
      <c r="B521" s="10" t="inlineStr">
        <is>
          <t>Production</t>
        </is>
      </c>
      <c r="C521" s="10">
        <f>IF($BI521="","",IF($B521="Onsite",INDEX(tbl_Onsite[Job Number],$BI521),IF($B521="Production",INDEX(tbl_Production[Job Number],$BI521),INDEX(tbl_Consulting[Job Number],$BI521)))&amp;"")</f>
        <v/>
      </c>
      <c r="D521" s="10">
        <f>IF($BI521="","",IF($B521="Onsite",INDEX(tbl_Onsite[Client],$BI521),IF($B521="Production",INDEX(tbl_Production[Client],$BI521),INDEX(tbl_Consulting[Client],$BI521)))&amp;"")</f>
        <v/>
      </c>
      <c r="E521" s="10">
        <f>IF($C521="","",IF(COUNTIF(lst_Jobs,$C521)&gt;0,"OK","CHECK"))</f>
        <v/>
      </c>
      <c r="F521" s="10">
        <f>IF($C521="","",IFERROR(INDEX(lst_JobName,MATCH($C521,lst_Jobs,0)),""))</f>
        <v/>
      </c>
      <c r="G521" s="10">
        <f>IF($BI521="","",IF($B521="Onsite",INDEX(tbl_Onsite[Job Description],$BI521),IF($B521="Production",INDEX(tbl_Production[Job Description],$BI521),INDEX(tbl_Consulting[Job Description],$BI521)))&amp;"")</f>
        <v/>
      </c>
      <c r="H521" s="10">
        <f>IF($BI521="","",IF($B521="Onsite",INDEX(tbl_Onsite[Cost Centre],$BI521),IF($B521="Production",INDEX(tbl_Production[Cost Centre],$BI521),INDEX(tbl_Consulting[Cost Centre],$BI521)))&amp;"")</f>
        <v/>
      </c>
      <c r="I521" s="10">
        <f>IF($BI521="","",IF($B521="Onsite",INDEX(tbl_Onsite[Invoice Type],$BI521),IF($B521="Production",INDEX(tbl_Production[Invoice Type],$BI521),INDEX(tbl_Consulting[Invoice Type],$BI521)))&amp;"")</f>
        <v/>
      </c>
      <c r="J521" s="10">
        <f>IF($BI521="","",IF($B521="Onsite",INDEX(tbl_Onsite[Tax Code],$BI521),IF($B521="Production",INDEX(tbl_Production[Tax Code],$BI521),INDEX(tbl_Consulting[Tax Code],$BI521)))&amp;"")</f>
        <v/>
      </c>
      <c r="K521" s="10">
        <f>IF(H521="","",IFERROR(INDEX(lst_CCtoGL,MATCH(H521,lst_CCforGL,0)),""))</f>
        <v/>
      </c>
      <c r="L521" s="10">
        <f>IF($BI521="","",IF($B521="Onsite",INDEX(tbl_Onsite[PO / Reference],$BI521),IF($B521="Production",INDEX(tbl_Production[Current RMS No],$BI521),INDEX(tbl_Consulting[Qwilr Quote],$BI521)))&amp;"")</f>
        <v/>
      </c>
      <c r="M521" s="10">
        <f>IF($BI521="","",IF($B521="Onsite",INDEX(tbl_Onsite[Notes],$BI521),IF($B521="Production",INDEX(tbl_Production[Notes],$BI521),INDEX(tbl_Consulting[Notes],$BI521)))&amp;"")</f>
        <v/>
      </c>
      <c r="N521" s="11">
        <f>IF($BI521="","",IF(IF($B521="Onsite",INDEX(tbl_Onsite[Expected Revenue Ex GST],$BI521),IF($B521="Production",INDEX(tbl_Production[Expected Revenue Ex GST],$BI521),INDEX(tbl_Consulting[Expected Revenue Ex GST],$BI521)))="","",IF($B521="Onsite",INDEX(tbl_Onsite[Expected Revenue Ex GST],$BI521),IF($B521="Production",INDEX(tbl_Production[Expected Revenue Ex GST],$BI521),INDEX(tbl_Consulting[Expected Revenue Ex GST],$BI521)))))</f>
        <v/>
      </c>
      <c r="O521" s="11">
        <f>IF(AND($C521="",NOT(COUNTA($S521:$BB521)&gt;0)),"",SUM(U521,X521,AA521,AD521,AG521,AJ521,AM521,AP521,AS521,AV521,AY521,BB521))</f>
        <v/>
      </c>
      <c r="P521" s="11">
        <f>IF(O521="","",N(N521)-O521)</f>
        <v/>
      </c>
      <c r="Q521" s="10">
        <f>IF(O521="","",IF($C521="","Invoice on empty job row",IF(N521="",IF(ROUND(O521,2)=0,"No dept value","Invoiced - no dept value"),IF(ROUND(O521,2)=0,"Not invoiced - to invoice",IF(ROUND(P521,2)=0,"Agrees",IF(P521&gt;0,"Dept higher - to invoice","Xero higher - check dept"))))))</f>
        <v/>
      </c>
      <c r="R521" s="10">
        <f>IF(AND($C521="",NOT(COUNTA($S521:$BB521)&gt;0),$BI521&lt;&gt;""),"",MID(IF($BI521="","; Row ID not found on the department sheet - a row was deleted","")&amp;IF(AND($C521="",COUNTA($S521:$BB521)&gt;0),"; Invoice entered but the department row has no job number","")&amp;IF(E521="CHECK","; Job number not in the Xero job list","")&amp;IF(AND($C521&lt;&gt;"",COUNTIF($C$7:$C$1506,$C521)&gt;1),"; Job number on more than one row","")&amp;IF(AND($C521&lt;&gt;"",H521=""),"; Dept has not set a cost centre","")&amp;IF(AND($C521&lt;&gt;"",J521=""),"; Dept has not set a tax code","")&amp;IF(AND($C521&lt;&gt;"",N521=""),"; Dept has not entered an expected value","")&amp;IF((IF(OR(COUNTA(S521:U521)=0,AND(COUNTA(S521:U521)=3,ISNUMBER(U521))),0,1)+IF(OR(COUNTA(V521:X521)=0,AND(COUNTA(V521:X521)=3,ISNUMBER(X521))),0,1)+IF(OR(COUNTA(Y521:AA521)=0,AND(COUNTA(Y521:AA521)=3,ISNUMBER(AA521))),0,1)+IF(OR(COUNTA(AB521:AD521)=0,AND(COUNTA(AB521:AD521)=3,ISNUMBER(AD521))),0,1)+IF(OR(COUNTA(AE521:AG521)=0,AND(COUNTA(AE521:AG521)=3,ISNUMBER(AG521))),0,1)+IF(OR(COUNTA(AH521:AJ521)=0,AND(COUNTA(AH521:AJ521)=3,ISNUMBER(AJ521))),0,1)+IF(OR(COUNTA(AK521:AM521)=0,AND(COUNTA(AK521:AM521)=3,ISNUMBER(AM521))),0,1)+IF(OR(COUNTA(AN521:AP521)=0,AND(COUNTA(AN521:AP521)=3,ISNUMBER(AP521))),0,1)+IF(OR(COUNTA(AQ521:AS521)=0,AND(COUNTA(AQ521:AS521)=3,ISNUMBER(AS521))),0,1)+IF(OR(COUNTA(AT521:AV521)=0,AND(COUNTA(AT521:AV521)=3,ISNUMBER(AV521))),0,1)+IF(OR(COUNTA(AW521:AY521)=0,AND(COUNTA(AW521:AY521)=3,ISNUMBER(AY521))),0,1)+IF(OR(COUNTA(AZ521:BB521)=0,AND(COUNTA(AZ521:BB521)=3,ISNUMBER(BB521))),0,1))&gt;0,"; An invoice is incomplete (needs No, Date and a number in Ex GST)","")&amp;IF((IF(T521="",0,IFERROR(--(EOMONTH(T521,0)&lt;&gt;S$5),1))+IF(W521="",0,IFERROR(--(EOMONTH(W521,0)&lt;&gt;V$5),1))+IF(Z521="",0,IFERROR(--(EOMONTH(Z521,0)&lt;&gt;Y$5),1))+IF(AC521="",0,IFERROR(--(EOMONTH(AC521,0)&lt;&gt;AB$5),1))+IF(AF521="",0,IFERROR(--(EOMONTH(AF521,0)&lt;&gt;AE$5),1))+IF(AI521="",0,IFERROR(--(EOMONTH(AI521,0)&lt;&gt;AH$5),1))+IF(AL521="",0,IFERROR(--(EOMONTH(AL521,0)&lt;&gt;AK$5),1))+IF(AO521="",0,IFERROR(--(EOMONTH(AO521,0)&lt;&gt;AN$5),1))+IF(AR521="",0,IFERROR(--(EOMONTH(AR521,0)&lt;&gt;AQ$5),1))+IF(AU521="",0,IFERROR(--(EOMONTH(AU521,0)&lt;&gt;AT$5),1))+IF(AX521="",0,IFERROR(--(EOMONTH(AX521,0)&lt;&gt;AW$5),1))+IF(BA521="",0,IFERROR(--(EOMONTH(BA521,0)&lt;&gt;AZ$5),1)))&gt;0,"; An invoice date is not in the month it is typed under",""),3,500))</f>
        <v/>
      </c>
      <c r="S521" s="12" t="n"/>
      <c r="T521" s="13" t="n"/>
      <c r="U521" s="14" t="n"/>
      <c r="V521" s="12" t="n"/>
      <c r="W521" s="13" t="n"/>
      <c r="X521" s="14" t="n"/>
      <c r="Y521" s="12" t="n"/>
      <c r="Z521" s="13" t="n"/>
      <c r="AA521" s="14" t="n"/>
      <c r="AB521" s="12" t="n"/>
      <c r="AC521" s="13" t="n"/>
      <c r="AD521" s="14" t="n"/>
      <c r="AE521" s="12" t="n"/>
      <c r="AF521" s="13" t="n"/>
      <c r="AG521" s="14" t="n"/>
      <c r="AH521" s="12" t="n"/>
      <c r="AI521" s="13" t="n"/>
      <c r="AJ521" s="14" t="n"/>
      <c r="AK521" s="12" t="n"/>
      <c r="AL521" s="13" t="n"/>
      <c r="AM521" s="14" t="n"/>
      <c r="AN521" s="12" t="n"/>
      <c r="AO521" s="13" t="n"/>
      <c r="AP521" s="14" t="n"/>
      <c r="AQ521" s="12" t="n"/>
      <c r="AR521" s="13" t="n"/>
      <c r="AS521" s="14" t="n"/>
      <c r="AT521" s="12" t="n"/>
      <c r="AU521" s="13" t="n"/>
      <c r="AV521" s="14" t="n"/>
      <c r="AW521" s="12" t="n"/>
      <c r="AX521" s="13" t="n"/>
      <c r="AY521" s="14" t="n"/>
      <c r="AZ521" s="12" t="n"/>
      <c r="BA521" s="13" t="n"/>
      <c r="BB521" s="14" t="n"/>
      <c r="BC521" s="11">
        <f>IF(O521="","",IF(J521="GST 10%",ROUND(O521*set_GSTRate,2),0))</f>
        <v/>
      </c>
      <c r="BD521" s="11">
        <f>IF(O521="","",O521+BC521)</f>
        <v/>
      </c>
      <c r="BE521" s="15">
        <f>IF(O521="","",COUNTA(S521,V521,Y521,AB521,AE521,AH521,AK521,AN521,AQ521,AT521,AW521,AZ521))</f>
        <v/>
      </c>
      <c r="BF521" s="16">
        <f>IF(COUNT(T521,W521,Z521,AC521,AF521,AI521,AL521,AO521,AR521,AU521,AX521,BA521)=0,"",MAX(T521,W521,Z521,AC521,AF521,AI521,AL521,AO521,AR521,AU521,AX521,BA521))</f>
        <v/>
      </c>
      <c r="BG521" s="10">
        <f>MID(IF(S521="","",", "&amp;S521)&amp;IF(V521="","",", "&amp;V521)&amp;IF(Y521="","",", "&amp;Y521)&amp;IF(AB521="","",", "&amp;AB521)&amp;IF(AE521="","",", "&amp;AE521)&amp;IF(AH521="","",", "&amp;AH521)&amp;IF(AK521="","",", "&amp;AK521)&amp;IF(AN521="","",", "&amp;AN521)&amp;IF(AQ521="","",", "&amp;AQ521)&amp;IF(AT521="","",", "&amp;AT521)&amp;IF(AW521="","",", "&amp;AW521)&amp;IF(AZ521="","",", "&amp;AZ521),3,500)</f>
        <v/>
      </c>
      <c r="BH521" s="12" t="n"/>
      <c r="BI521" s="15">
        <f>IFERROR(MATCH($A521,IF($B521="Onsite",tbl_Onsite[Row ID],IF($B521="Production",tbl_Production[Row ID],tbl_Consulting[Row ID])),0),"")</f>
        <v/>
      </c>
    </row>
    <row r="522">
      <c r="A522" s="10" t="inlineStr">
        <is>
          <t>PRD-0016</t>
        </is>
      </c>
      <c r="B522" s="10" t="inlineStr">
        <is>
          <t>Production</t>
        </is>
      </c>
      <c r="C522" s="10">
        <f>IF($BI522="","",IF($B522="Onsite",INDEX(tbl_Onsite[Job Number],$BI522),IF($B522="Production",INDEX(tbl_Production[Job Number],$BI522),INDEX(tbl_Consulting[Job Number],$BI522)))&amp;"")</f>
        <v/>
      </c>
      <c r="D522" s="10">
        <f>IF($BI522="","",IF($B522="Onsite",INDEX(tbl_Onsite[Client],$BI522),IF($B522="Production",INDEX(tbl_Production[Client],$BI522),INDEX(tbl_Consulting[Client],$BI522)))&amp;"")</f>
        <v/>
      </c>
      <c r="E522" s="10">
        <f>IF($C522="","",IF(COUNTIF(lst_Jobs,$C522)&gt;0,"OK","CHECK"))</f>
        <v/>
      </c>
      <c r="F522" s="10">
        <f>IF($C522="","",IFERROR(INDEX(lst_JobName,MATCH($C522,lst_Jobs,0)),""))</f>
        <v/>
      </c>
      <c r="G522" s="10">
        <f>IF($BI522="","",IF($B522="Onsite",INDEX(tbl_Onsite[Job Description],$BI522),IF($B522="Production",INDEX(tbl_Production[Job Description],$BI522),INDEX(tbl_Consulting[Job Description],$BI522)))&amp;"")</f>
        <v/>
      </c>
      <c r="H522" s="10">
        <f>IF($BI522="","",IF($B522="Onsite",INDEX(tbl_Onsite[Cost Centre],$BI522),IF($B522="Production",INDEX(tbl_Production[Cost Centre],$BI522),INDEX(tbl_Consulting[Cost Centre],$BI522)))&amp;"")</f>
        <v/>
      </c>
      <c r="I522" s="10">
        <f>IF($BI522="","",IF($B522="Onsite",INDEX(tbl_Onsite[Invoice Type],$BI522),IF($B522="Production",INDEX(tbl_Production[Invoice Type],$BI522),INDEX(tbl_Consulting[Invoice Type],$BI522)))&amp;"")</f>
        <v/>
      </c>
      <c r="J522" s="10">
        <f>IF($BI522="","",IF($B522="Onsite",INDEX(tbl_Onsite[Tax Code],$BI522),IF($B522="Production",INDEX(tbl_Production[Tax Code],$BI522),INDEX(tbl_Consulting[Tax Code],$BI522)))&amp;"")</f>
        <v/>
      </c>
      <c r="K522" s="10">
        <f>IF(H522="","",IFERROR(INDEX(lst_CCtoGL,MATCH(H522,lst_CCforGL,0)),""))</f>
        <v/>
      </c>
      <c r="L522" s="10">
        <f>IF($BI522="","",IF($B522="Onsite",INDEX(tbl_Onsite[PO / Reference],$BI522),IF($B522="Production",INDEX(tbl_Production[Current RMS No],$BI522),INDEX(tbl_Consulting[Qwilr Quote],$BI522)))&amp;"")</f>
        <v/>
      </c>
      <c r="M522" s="10">
        <f>IF($BI522="","",IF($B522="Onsite",INDEX(tbl_Onsite[Notes],$BI522),IF($B522="Production",INDEX(tbl_Production[Notes],$BI522),INDEX(tbl_Consulting[Notes],$BI522)))&amp;"")</f>
        <v/>
      </c>
      <c r="N522" s="11">
        <f>IF($BI522="","",IF(IF($B522="Onsite",INDEX(tbl_Onsite[Expected Revenue Ex GST],$BI522),IF($B522="Production",INDEX(tbl_Production[Expected Revenue Ex GST],$BI522),INDEX(tbl_Consulting[Expected Revenue Ex GST],$BI522)))="","",IF($B522="Onsite",INDEX(tbl_Onsite[Expected Revenue Ex GST],$BI522),IF($B522="Production",INDEX(tbl_Production[Expected Revenue Ex GST],$BI522),INDEX(tbl_Consulting[Expected Revenue Ex GST],$BI522)))))</f>
        <v/>
      </c>
      <c r="O522" s="11">
        <f>IF(AND($C522="",NOT(COUNTA($S522:$BB522)&gt;0)),"",SUM(U522,X522,AA522,AD522,AG522,AJ522,AM522,AP522,AS522,AV522,AY522,BB522))</f>
        <v/>
      </c>
      <c r="P522" s="11">
        <f>IF(O522="","",N(N522)-O522)</f>
        <v/>
      </c>
      <c r="Q522" s="10">
        <f>IF(O522="","",IF($C522="","Invoice on empty job row",IF(N522="",IF(ROUND(O522,2)=0,"No dept value","Invoiced - no dept value"),IF(ROUND(O522,2)=0,"Not invoiced - to invoice",IF(ROUND(P522,2)=0,"Agrees",IF(P522&gt;0,"Dept higher - to invoice","Xero higher - check dept"))))))</f>
        <v/>
      </c>
      <c r="R522" s="10">
        <f>IF(AND($C522="",NOT(COUNTA($S522:$BB522)&gt;0),$BI522&lt;&gt;""),"",MID(IF($BI522="","; Row ID not found on the department sheet - a row was deleted","")&amp;IF(AND($C522="",COUNTA($S522:$BB522)&gt;0),"; Invoice entered but the department row has no job number","")&amp;IF(E522="CHECK","; Job number not in the Xero job list","")&amp;IF(AND($C522&lt;&gt;"",COUNTIF($C$7:$C$1506,$C522)&gt;1),"; Job number on more than one row","")&amp;IF(AND($C522&lt;&gt;"",H522=""),"; Dept has not set a cost centre","")&amp;IF(AND($C522&lt;&gt;"",J522=""),"; Dept has not set a tax code","")&amp;IF(AND($C522&lt;&gt;"",N522=""),"; Dept has not entered an expected value","")&amp;IF((IF(OR(COUNTA(S522:U522)=0,AND(COUNTA(S522:U522)=3,ISNUMBER(U522))),0,1)+IF(OR(COUNTA(V522:X522)=0,AND(COUNTA(V522:X522)=3,ISNUMBER(X522))),0,1)+IF(OR(COUNTA(Y522:AA522)=0,AND(COUNTA(Y522:AA522)=3,ISNUMBER(AA522))),0,1)+IF(OR(COUNTA(AB522:AD522)=0,AND(COUNTA(AB522:AD522)=3,ISNUMBER(AD522))),0,1)+IF(OR(COUNTA(AE522:AG522)=0,AND(COUNTA(AE522:AG522)=3,ISNUMBER(AG522))),0,1)+IF(OR(COUNTA(AH522:AJ522)=0,AND(COUNTA(AH522:AJ522)=3,ISNUMBER(AJ522))),0,1)+IF(OR(COUNTA(AK522:AM522)=0,AND(COUNTA(AK522:AM522)=3,ISNUMBER(AM522))),0,1)+IF(OR(COUNTA(AN522:AP522)=0,AND(COUNTA(AN522:AP522)=3,ISNUMBER(AP522))),0,1)+IF(OR(COUNTA(AQ522:AS522)=0,AND(COUNTA(AQ522:AS522)=3,ISNUMBER(AS522))),0,1)+IF(OR(COUNTA(AT522:AV522)=0,AND(COUNTA(AT522:AV522)=3,ISNUMBER(AV522))),0,1)+IF(OR(COUNTA(AW522:AY522)=0,AND(COUNTA(AW522:AY522)=3,ISNUMBER(AY522))),0,1)+IF(OR(COUNTA(AZ522:BB522)=0,AND(COUNTA(AZ522:BB522)=3,ISNUMBER(BB522))),0,1))&gt;0,"; An invoice is incomplete (needs No, Date and a number in Ex GST)","")&amp;IF((IF(T522="",0,IFERROR(--(EOMONTH(T522,0)&lt;&gt;S$5),1))+IF(W522="",0,IFERROR(--(EOMONTH(W522,0)&lt;&gt;V$5),1))+IF(Z522="",0,IFERROR(--(EOMONTH(Z522,0)&lt;&gt;Y$5),1))+IF(AC522="",0,IFERROR(--(EOMONTH(AC522,0)&lt;&gt;AB$5),1))+IF(AF522="",0,IFERROR(--(EOMONTH(AF522,0)&lt;&gt;AE$5),1))+IF(AI522="",0,IFERROR(--(EOMONTH(AI522,0)&lt;&gt;AH$5),1))+IF(AL522="",0,IFERROR(--(EOMONTH(AL522,0)&lt;&gt;AK$5),1))+IF(AO522="",0,IFERROR(--(EOMONTH(AO522,0)&lt;&gt;AN$5),1))+IF(AR522="",0,IFERROR(--(EOMONTH(AR522,0)&lt;&gt;AQ$5),1))+IF(AU522="",0,IFERROR(--(EOMONTH(AU522,0)&lt;&gt;AT$5),1))+IF(AX522="",0,IFERROR(--(EOMONTH(AX522,0)&lt;&gt;AW$5),1))+IF(BA522="",0,IFERROR(--(EOMONTH(BA522,0)&lt;&gt;AZ$5),1)))&gt;0,"; An invoice date is not in the month it is typed under",""),3,500))</f>
        <v/>
      </c>
      <c r="S522" s="12" t="n"/>
      <c r="T522" s="13" t="n"/>
      <c r="U522" s="14" t="n"/>
      <c r="V522" s="12" t="n"/>
      <c r="W522" s="13" t="n"/>
      <c r="X522" s="14" t="n"/>
      <c r="Y522" s="12" t="n"/>
      <c r="Z522" s="13" t="n"/>
      <c r="AA522" s="14" t="n"/>
      <c r="AB522" s="12" t="n"/>
      <c r="AC522" s="13" t="n"/>
      <c r="AD522" s="14" t="n"/>
      <c r="AE522" s="12" t="n"/>
      <c r="AF522" s="13" t="n"/>
      <c r="AG522" s="14" t="n"/>
      <c r="AH522" s="12" t="n"/>
      <c r="AI522" s="13" t="n"/>
      <c r="AJ522" s="14" t="n"/>
      <c r="AK522" s="12" t="n"/>
      <c r="AL522" s="13" t="n"/>
      <c r="AM522" s="14" t="n"/>
      <c r="AN522" s="12" t="n"/>
      <c r="AO522" s="13" t="n"/>
      <c r="AP522" s="14" t="n"/>
      <c r="AQ522" s="12" t="n"/>
      <c r="AR522" s="13" t="n"/>
      <c r="AS522" s="14" t="n"/>
      <c r="AT522" s="12" t="n"/>
      <c r="AU522" s="13" t="n"/>
      <c r="AV522" s="14" t="n"/>
      <c r="AW522" s="12" t="n"/>
      <c r="AX522" s="13" t="n"/>
      <c r="AY522" s="14" t="n"/>
      <c r="AZ522" s="12" t="n"/>
      <c r="BA522" s="13" t="n"/>
      <c r="BB522" s="14" t="n"/>
      <c r="BC522" s="11">
        <f>IF(O522="","",IF(J522="GST 10%",ROUND(O522*set_GSTRate,2),0))</f>
        <v/>
      </c>
      <c r="BD522" s="11">
        <f>IF(O522="","",O522+BC522)</f>
        <v/>
      </c>
      <c r="BE522" s="15">
        <f>IF(O522="","",COUNTA(S522,V522,Y522,AB522,AE522,AH522,AK522,AN522,AQ522,AT522,AW522,AZ522))</f>
        <v/>
      </c>
      <c r="BF522" s="16">
        <f>IF(COUNT(T522,W522,Z522,AC522,AF522,AI522,AL522,AO522,AR522,AU522,AX522,BA522)=0,"",MAX(T522,W522,Z522,AC522,AF522,AI522,AL522,AO522,AR522,AU522,AX522,BA522))</f>
        <v/>
      </c>
      <c r="BG522" s="10">
        <f>MID(IF(S522="","",", "&amp;S522)&amp;IF(V522="","",", "&amp;V522)&amp;IF(Y522="","",", "&amp;Y522)&amp;IF(AB522="","",", "&amp;AB522)&amp;IF(AE522="","",", "&amp;AE522)&amp;IF(AH522="","",", "&amp;AH522)&amp;IF(AK522="","",", "&amp;AK522)&amp;IF(AN522="","",", "&amp;AN522)&amp;IF(AQ522="","",", "&amp;AQ522)&amp;IF(AT522="","",", "&amp;AT522)&amp;IF(AW522="","",", "&amp;AW522)&amp;IF(AZ522="","",", "&amp;AZ522),3,500)</f>
        <v/>
      </c>
      <c r="BH522" s="12" t="n"/>
      <c r="BI522" s="15">
        <f>IFERROR(MATCH($A522,IF($B522="Onsite",tbl_Onsite[Row ID],IF($B522="Production",tbl_Production[Row ID],tbl_Consulting[Row ID])),0),"")</f>
        <v/>
      </c>
    </row>
    <row r="523">
      <c r="A523" s="10" t="inlineStr">
        <is>
          <t>PRD-0017</t>
        </is>
      </c>
      <c r="B523" s="10" t="inlineStr">
        <is>
          <t>Production</t>
        </is>
      </c>
      <c r="C523" s="10">
        <f>IF($BI523="","",IF($B523="Onsite",INDEX(tbl_Onsite[Job Number],$BI523),IF($B523="Production",INDEX(tbl_Production[Job Number],$BI523),INDEX(tbl_Consulting[Job Number],$BI523)))&amp;"")</f>
        <v/>
      </c>
      <c r="D523" s="10">
        <f>IF($BI523="","",IF($B523="Onsite",INDEX(tbl_Onsite[Client],$BI523),IF($B523="Production",INDEX(tbl_Production[Client],$BI523),INDEX(tbl_Consulting[Client],$BI523)))&amp;"")</f>
        <v/>
      </c>
      <c r="E523" s="10">
        <f>IF($C523="","",IF(COUNTIF(lst_Jobs,$C523)&gt;0,"OK","CHECK"))</f>
        <v/>
      </c>
      <c r="F523" s="10">
        <f>IF($C523="","",IFERROR(INDEX(lst_JobName,MATCH($C523,lst_Jobs,0)),""))</f>
        <v/>
      </c>
      <c r="G523" s="10">
        <f>IF($BI523="","",IF($B523="Onsite",INDEX(tbl_Onsite[Job Description],$BI523),IF($B523="Production",INDEX(tbl_Production[Job Description],$BI523),INDEX(tbl_Consulting[Job Description],$BI523)))&amp;"")</f>
        <v/>
      </c>
      <c r="H523" s="10">
        <f>IF($BI523="","",IF($B523="Onsite",INDEX(tbl_Onsite[Cost Centre],$BI523),IF($B523="Production",INDEX(tbl_Production[Cost Centre],$BI523),INDEX(tbl_Consulting[Cost Centre],$BI523)))&amp;"")</f>
        <v/>
      </c>
      <c r="I523" s="10">
        <f>IF($BI523="","",IF($B523="Onsite",INDEX(tbl_Onsite[Invoice Type],$BI523),IF($B523="Production",INDEX(tbl_Production[Invoice Type],$BI523),INDEX(tbl_Consulting[Invoice Type],$BI523)))&amp;"")</f>
        <v/>
      </c>
      <c r="J523" s="10">
        <f>IF($BI523="","",IF($B523="Onsite",INDEX(tbl_Onsite[Tax Code],$BI523),IF($B523="Production",INDEX(tbl_Production[Tax Code],$BI523),INDEX(tbl_Consulting[Tax Code],$BI523)))&amp;"")</f>
        <v/>
      </c>
      <c r="K523" s="10">
        <f>IF(H523="","",IFERROR(INDEX(lst_CCtoGL,MATCH(H523,lst_CCforGL,0)),""))</f>
        <v/>
      </c>
      <c r="L523" s="10">
        <f>IF($BI523="","",IF($B523="Onsite",INDEX(tbl_Onsite[PO / Reference],$BI523),IF($B523="Production",INDEX(tbl_Production[Current RMS No],$BI523),INDEX(tbl_Consulting[Qwilr Quote],$BI523)))&amp;"")</f>
        <v/>
      </c>
      <c r="M523" s="10">
        <f>IF($BI523="","",IF($B523="Onsite",INDEX(tbl_Onsite[Notes],$BI523),IF($B523="Production",INDEX(tbl_Production[Notes],$BI523),INDEX(tbl_Consulting[Notes],$BI523)))&amp;"")</f>
        <v/>
      </c>
      <c r="N523" s="11">
        <f>IF($BI523="","",IF(IF($B523="Onsite",INDEX(tbl_Onsite[Expected Revenue Ex GST],$BI523),IF($B523="Production",INDEX(tbl_Production[Expected Revenue Ex GST],$BI523),INDEX(tbl_Consulting[Expected Revenue Ex GST],$BI523)))="","",IF($B523="Onsite",INDEX(tbl_Onsite[Expected Revenue Ex GST],$BI523),IF($B523="Production",INDEX(tbl_Production[Expected Revenue Ex GST],$BI523),INDEX(tbl_Consulting[Expected Revenue Ex GST],$BI523)))))</f>
        <v/>
      </c>
      <c r="O523" s="11">
        <f>IF(AND($C523="",NOT(COUNTA($S523:$BB523)&gt;0)),"",SUM(U523,X523,AA523,AD523,AG523,AJ523,AM523,AP523,AS523,AV523,AY523,BB523))</f>
        <v/>
      </c>
      <c r="P523" s="11">
        <f>IF(O523="","",N(N523)-O523)</f>
        <v/>
      </c>
      <c r="Q523" s="10">
        <f>IF(O523="","",IF($C523="","Invoice on empty job row",IF(N523="",IF(ROUND(O523,2)=0,"No dept value","Invoiced - no dept value"),IF(ROUND(O523,2)=0,"Not invoiced - to invoice",IF(ROUND(P523,2)=0,"Agrees",IF(P523&gt;0,"Dept higher - to invoice","Xero higher - check dept"))))))</f>
        <v/>
      </c>
      <c r="R523" s="10">
        <f>IF(AND($C523="",NOT(COUNTA($S523:$BB523)&gt;0),$BI523&lt;&gt;""),"",MID(IF($BI523="","; Row ID not found on the department sheet - a row was deleted","")&amp;IF(AND($C523="",COUNTA($S523:$BB523)&gt;0),"; Invoice entered but the department row has no job number","")&amp;IF(E523="CHECK","; Job number not in the Xero job list","")&amp;IF(AND($C523&lt;&gt;"",COUNTIF($C$7:$C$1506,$C523)&gt;1),"; Job number on more than one row","")&amp;IF(AND($C523&lt;&gt;"",H523=""),"; Dept has not set a cost centre","")&amp;IF(AND($C523&lt;&gt;"",J523=""),"; Dept has not set a tax code","")&amp;IF(AND($C523&lt;&gt;"",N523=""),"; Dept has not entered an expected value","")&amp;IF((IF(OR(COUNTA(S523:U523)=0,AND(COUNTA(S523:U523)=3,ISNUMBER(U523))),0,1)+IF(OR(COUNTA(V523:X523)=0,AND(COUNTA(V523:X523)=3,ISNUMBER(X523))),0,1)+IF(OR(COUNTA(Y523:AA523)=0,AND(COUNTA(Y523:AA523)=3,ISNUMBER(AA523))),0,1)+IF(OR(COUNTA(AB523:AD523)=0,AND(COUNTA(AB523:AD523)=3,ISNUMBER(AD523))),0,1)+IF(OR(COUNTA(AE523:AG523)=0,AND(COUNTA(AE523:AG523)=3,ISNUMBER(AG523))),0,1)+IF(OR(COUNTA(AH523:AJ523)=0,AND(COUNTA(AH523:AJ523)=3,ISNUMBER(AJ523))),0,1)+IF(OR(COUNTA(AK523:AM523)=0,AND(COUNTA(AK523:AM523)=3,ISNUMBER(AM523))),0,1)+IF(OR(COUNTA(AN523:AP523)=0,AND(COUNTA(AN523:AP523)=3,ISNUMBER(AP523))),0,1)+IF(OR(COUNTA(AQ523:AS523)=0,AND(COUNTA(AQ523:AS523)=3,ISNUMBER(AS523))),0,1)+IF(OR(COUNTA(AT523:AV523)=0,AND(COUNTA(AT523:AV523)=3,ISNUMBER(AV523))),0,1)+IF(OR(COUNTA(AW523:AY523)=0,AND(COUNTA(AW523:AY523)=3,ISNUMBER(AY523))),0,1)+IF(OR(COUNTA(AZ523:BB523)=0,AND(COUNTA(AZ523:BB523)=3,ISNUMBER(BB523))),0,1))&gt;0,"; An invoice is incomplete (needs No, Date and a number in Ex GST)","")&amp;IF((IF(T523="",0,IFERROR(--(EOMONTH(T523,0)&lt;&gt;S$5),1))+IF(W523="",0,IFERROR(--(EOMONTH(W523,0)&lt;&gt;V$5),1))+IF(Z523="",0,IFERROR(--(EOMONTH(Z523,0)&lt;&gt;Y$5),1))+IF(AC523="",0,IFERROR(--(EOMONTH(AC523,0)&lt;&gt;AB$5),1))+IF(AF523="",0,IFERROR(--(EOMONTH(AF523,0)&lt;&gt;AE$5),1))+IF(AI523="",0,IFERROR(--(EOMONTH(AI523,0)&lt;&gt;AH$5),1))+IF(AL523="",0,IFERROR(--(EOMONTH(AL523,0)&lt;&gt;AK$5),1))+IF(AO523="",0,IFERROR(--(EOMONTH(AO523,0)&lt;&gt;AN$5),1))+IF(AR523="",0,IFERROR(--(EOMONTH(AR523,0)&lt;&gt;AQ$5),1))+IF(AU523="",0,IFERROR(--(EOMONTH(AU523,0)&lt;&gt;AT$5),1))+IF(AX523="",0,IFERROR(--(EOMONTH(AX523,0)&lt;&gt;AW$5),1))+IF(BA523="",0,IFERROR(--(EOMONTH(BA523,0)&lt;&gt;AZ$5),1)))&gt;0,"; An invoice date is not in the month it is typed under",""),3,500))</f>
        <v/>
      </c>
      <c r="S523" s="12" t="n"/>
      <c r="T523" s="13" t="n"/>
      <c r="U523" s="14" t="n"/>
      <c r="V523" s="12" t="n"/>
      <c r="W523" s="13" t="n"/>
      <c r="X523" s="14" t="n"/>
      <c r="Y523" s="12" t="n"/>
      <c r="Z523" s="13" t="n"/>
      <c r="AA523" s="14" t="n"/>
      <c r="AB523" s="12" t="n"/>
      <c r="AC523" s="13" t="n"/>
      <c r="AD523" s="14" t="n"/>
      <c r="AE523" s="12" t="n"/>
      <c r="AF523" s="13" t="n"/>
      <c r="AG523" s="14" t="n"/>
      <c r="AH523" s="12" t="n"/>
      <c r="AI523" s="13" t="n"/>
      <c r="AJ523" s="14" t="n"/>
      <c r="AK523" s="12" t="n"/>
      <c r="AL523" s="13" t="n"/>
      <c r="AM523" s="14" t="n"/>
      <c r="AN523" s="12" t="n"/>
      <c r="AO523" s="13" t="n"/>
      <c r="AP523" s="14" t="n"/>
      <c r="AQ523" s="12" t="n"/>
      <c r="AR523" s="13" t="n"/>
      <c r="AS523" s="14" t="n"/>
      <c r="AT523" s="12" t="n"/>
      <c r="AU523" s="13" t="n"/>
      <c r="AV523" s="14" t="n"/>
      <c r="AW523" s="12" t="n"/>
      <c r="AX523" s="13" t="n"/>
      <c r="AY523" s="14" t="n"/>
      <c r="AZ523" s="12" t="n"/>
      <c r="BA523" s="13" t="n"/>
      <c r="BB523" s="14" t="n"/>
      <c r="BC523" s="11">
        <f>IF(O523="","",IF(J523="GST 10%",ROUND(O523*set_GSTRate,2),0))</f>
        <v/>
      </c>
      <c r="BD523" s="11">
        <f>IF(O523="","",O523+BC523)</f>
        <v/>
      </c>
      <c r="BE523" s="15">
        <f>IF(O523="","",COUNTA(S523,V523,Y523,AB523,AE523,AH523,AK523,AN523,AQ523,AT523,AW523,AZ523))</f>
        <v/>
      </c>
      <c r="BF523" s="16">
        <f>IF(COUNT(T523,W523,Z523,AC523,AF523,AI523,AL523,AO523,AR523,AU523,AX523,BA523)=0,"",MAX(T523,W523,Z523,AC523,AF523,AI523,AL523,AO523,AR523,AU523,AX523,BA523))</f>
        <v/>
      </c>
      <c r="BG523" s="10">
        <f>MID(IF(S523="","",", "&amp;S523)&amp;IF(V523="","",", "&amp;V523)&amp;IF(Y523="","",", "&amp;Y523)&amp;IF(AB523="","",", "&amp;AB523)&amp;IF(AE523="","",", "&amp;AE523)&amp;IF(AH523="","",", "&amp;AH523)&amp;IF(AK523="","",", "&amp;AK523)&amp;IF(AN523="","",", "&amp;AN523)&amp;IF(AQ523="","",", "&amp;AQ523)&amp;IF(AT523="","",", "&amp;AT523)&amp;IF(AW523="","",", "&amp;AW523)&amp;IF(AZ523="","",", "&amp;AZ523),3,500)</f>
        <v/>
      </c>
      <c r="BH523" s="12" t="n"/>
      <c r="BI523" s="15">
        <f>IFERROR(MATCH($A523,IF($B523="Onsite",tbl_Onsite[Row ID],IF($B523="Production",tbl_Production[Row ID],tbl_Consulting[Row ID])),0),"")</f>
        <v/>
      </c>
    </row>
    <row r="524">
      <c r="A524" s="10" t="inlineStr">
        <is>
          <t>PRD-0018</t>
        </is>
      </c>
      <c r="B524" s="10" t="inlineStr">
        <is>
          <t>Production</t>
        </is>
      </c>
      <c r="C524" s="10">
        <f>IF($BI524="","",IF($B524="Onsite",INDEX(tbl_Onsite[Job Number],$BI524),IF($B524="Production",INDEX(tbl_Production[Job Number],$BI524),INDEX(tbl_Consulting[Job Number],$BI524)))&amp;"")</f>
        <v/>
      </c>
      <c r="D524" s="10">
        <f>IF($BI524="","",IF($B524="Onsite",INDEX(tbl_Onsite[Client],$BI524),IF($B524="Production",INDEX(tbl_Production[Client],$BI524),INDEX(tbl_Consulting[Client],$BI524)))&amp;"")</f>
        <v/>
      </c>
      <c r="E524" s="10">
        <f>IF($C524="","",IF(COUNTIF(lst_Jobs,$C524)&gt;0,"OK","CHECK"))</f>
        <v/>
      </c>
      <c r="F524" s="10">
        <f>IF($C524="","",IFERROR(INDEX(lst_JobName,MATCH($C524,lst_Jobs,0)),""))</f>
        <v/>
      </c>
      <c r="G524" s="10">
        <f>IF($BI524="","",IF($B524="Onsite",INDEX(tbl_Onsite[Job Description],$BI524),IF($B524="Production",INDEX(tbl_Production[Job Description],$BI524),INDEX(tbl_Consulting[Job Description],$BI524)))&amp;"")</f>
        <v/>
      </c>
      <c r="H524" s="10">
        <f>IF($BI524="","",IF($B524="Onsite",INDEX(tbl_Onsite[Cost Centre],$BI524),IF($B524="Production",INDEX(tbl_Production[Cost Centre],$BI524),INDEX(tbl_Consulting[Cost Centre],$BI524)))&amp;"")</f>
        <v/>
      </c>
      <c r="I524" s="10">
        <f>IF($BI524="","",IF($B524="Onsite",INDEX(tbl_Onsite[Invoice Type],$BI524),IF($B524="Production",INDEX(tbl_Production[Invoice Type],$BI524),INDEX(tbl_Consulting[Invoice Type],$BI524)))&amp;"")</f>
        <v/>
      </c>
      <c r="J524" s="10">
        <f>IF($BI524="","",IF($B524="Onsite",INDEX(tbl_Onsite[Tax Code],$BI524),IF($B524="Production",INDEX(tbl_Production[Tax Code],$BI524),INDEX(tbl_Consulting[Tax Code],$BI524)))&amp;"")</f>
        <v/>
      </c>
      <c r="K524" s="10">
        <f>IF(H524="","",IFERROR(INDEX(lst_CCtoGL,MATCH(H524,lst_CCforGL,0)),""))</f>
        <v/>
      </c>
      <c r="L524" s="10">
        <f>IF($BI524="","",IF($B524="Onsite",INDEX(tbl_Onsite[PO / Reference],$BI524),IF($B524="Production",INDEX(tbl_Production[Current RMS No],$BI524),INDEX(tbl_Consulting[Qwilr Quote],$BI524)))&amp;"")</f>
        <v/>
      </c>
      <c r="M524" s="10">
        <f>IF($BI524="","",IF($B524="Onsite",INDEX(tbl_Onsite[Notes],$BI524),IF($B524="Production",INDEX(tbl_Production[Notes],$BI524),INDEX(tbl_Consulting[Notes],$BI524)))&amp;"")</f>
        <v/>
      </c>
      <c r="N524" s="11">
        <f>IF($BI524="","",IF(IF($B524="Onsite",INDEX(tbl_Onsite[Expected Revenue Ex GST],$BI524),IF($B524="Production",INDEX(tbl_Production[Expected Revenue Ex GST],$BI524),INDEX(tbl_Consulting[Expected Revenue Ex GST],$BI524)))="","",IF($B524="Onsite",INDEX(tbl_Onsite[Expected Revenue Ex GST],$BI524),IF($B524="Production",INDEX(tbl_Production[Expected Revenue Ex GST],$BI524),INDEX(tbl_Consulting[Expected Revenue Ex GST],$BI524)))))</f>
        <v/>
      </c>
      <c r="O524" s="11">
        <f>IF(AND($C524="",NOT(COUNTA($S524:$BB524)&gt;0)),"",SUM(U524,X524,AA524,AD524,AG524,AJ524,AM524,AP524,AS524,AV524,AY524,BB524))</f>
        <v/>
      </c>
      <c r="P524" s="11">
        <f>IF(O524="","",N(N524)-O524)</f>
        <v/>
      </c>
      <c r="Q524" s="10">
        <f>IF(O524="","",IF($C524="","Invoice on empty job row",IF(N524="",IF(ROUND(O524,2)=0,"No dept value","Invoiced - no dept value"),IF(ROUND(O524,2)=0,"Not invoiced - to invoice",IF(ROUND(P524,2)=0,"Agrees",IF(P524&gt;0,"Dept higher - to invoice","Xero higher - check dept"))))))</f>
        <v/>
      </c>
      <c r="R524" s="10">
        <f>IF(AND($C524="",NOT(COUNTA($S524:$BB524)&gt;0),$BI524&lt;&gt;""),"",MID(IF($BI524="","; Row ID not found on the department sheet - a row was deleted","")&amp;IF(AND($C524="",COUNTA($S524:$BB524)&gt;0),"; Invoice entered but the department row has no job number","")&amp;IF(E524="CHECK","; Job number not in the Xero job list","")&amp;IF(AND($C524&lt;&gt;"",COUNTIF($C$7:$C$1506,$C524)&gt;1),"; Job number on more than one row","")&amp;IF(AND($C524&lt;&gt;"",H524=""),"; Dept has not set a cost centre","")&amp;IF(AND($C524&lt;&gt;"",J524=""),"; Dept has not set a tax code","")&amp;IF(AND($C524&lt;&gt;"",N524=""),"; Dept has not entered an expected value","")&amp;IF((IF(OR(COUNTA(S524:U524)=0,AND(COUNTA(S524:U524)=3,ISNUMBER(U524))),0,1)+IF(OR(COUNTA(V524:X524)=0,AND(COUNTA(V524:X524)=3,ISNUMBER(X524))),0,1)+IF(OR(COUNTA(Y524:AA524)=0,AND(COUNTA(Y524:AA524)=3,ISNUMBER(AA524))),0,1)+IF(OR(COUNTA(AB524:AD524)=0,AND(COUNTA(AB524:AD524)=3,ISNUMBER(AD524))),0,1)+IF(OR(COUNTA(AE524:AG524)=0,AND(COUNTA(AE524:AG524)=3,ISNUMBER(AG524))),0,1)+IF(OR(COUNTA(AH524:AJ524)=0,AND(COUNTA(AH524:AJ524)=3,ISNUMBER(AJ524))),0,1)+IF(OR(COUNTA(AK524:AM524)=0,AND(COUNTA(AK524:AM524)=3,ISNUMBER(AM524))),0,1)+IF(OR(COUNTA(AN524:AP524)=0,AND(COUNTA(AN524:AP524)=3,ISNUMBER(AP524))),0,1)+IF(OR(COUNTA(AQ524:AS524)=0,AND(COUNTA(AQ524:AS524)=3,ISNUMBER(AS524))),0,1)+IF(OR(COUNTA(AT524:AV524)=0,AND(COUNTA(AT524:AV524)=3,ISNUMBER(AV524))),0,1)+IF(OR(COUNTA(AW524:AY524)=0,AND(COUNTA(AW524:AY524)=3,ISNUMBER(AY524))),0,1)+IF(OR(COUNTA(AZ524:BB524)=0,AND(COUNTA(AZ524:BB524)=3,ISNUMBER(BB524))),0,1))&gt;0,"; An invoice is incomplete (needs No, Date and a number in Ex GST)","")&amp;IF((IF(T524="",0,IFERROR(--(EOMONTH(T524,0)&lt;&gt;S$5),1))+IF(W524="",0,IFERROR(--(EOMONTH(W524,0)&lt;&gt;V$5),1))+IF(Z524="",0,IFERROR(--(EOMONTH(Z524,0)&lt;&gt;Y$5),1))+IF(AC524="",0,IFERROR(--(EOMONTH(AC524,0)&lt;&gt;AB$5),1))+IF(AF524="",0,IFERROR(--(EOMONTH(AF524,0)&lt;&gt;AE$5),1))+IF(AI524="",0,IFERROR(--(EOMONTH(AI524,0)&lt;&gt;AH$5),1))+IF(AL524="",0,IFERROR(--(EOMONTH(AL524,0)&lt;&gt;AK$5),1))+IF(AO524="",0,IFERROR(--(EOMONTH(AO524,0)&lt;&gt;AN$5),1))+IF(AR524="",0,IFERROR(--(EOMONTH(AR524,0)&lt;&gt;AQ$5),1))+IF(AU524="",0,IFERROR(--(EOMONTH(AU524,0)&lt;&gt;AT$5),1))+IF(AX524="",0,IFERROR(--(EOMONTH(AX524,0)&lt;&gt;AW$5),1))+IF(BA524="",0,IFERROR(--(EOMONTH(BA524,0)&lt;&gt;AZ$5),1)))&gt;0,"; An invoice date is not in the month it is typed under",""),3,500))</f>
        <v/>
      </c>
      <c r="S524" s="12" t="n"/>
      <c r="T524" s="13" t="n"/>
      <c r="U524" s="14" t="n"/>
      <c r="V524" s="12" t="n"/>
      <c r="W524" s="13" t="n"/>
      <c r="X524" s="14" t="n"/>
      <c r="Y524" s="12" t="n"/>
      <c r="Z524" s="13" t="n"/>
      <c r="AA524" s="14" t="n"/>
      <c r="AB524" s="12" t="n"/>
      <c r="AC524" s="13" t="n"/>
      <c r="AD524" s="14" t="n"/>
      <c r="AE524" s="12" t="n"/>
      <c r="AF524" s="13" t="n"/>
      <c r="AG524" s="14" t="n"/>
      <c r="AH524" s="12" t="n"/>
      <c r="AI524" s="13" t="n"/>
      <c r="AJ524" s="14" t="n"/>
      <c r="AK524" s="12" t="n"/>
      <c r="AL524" s="13" t="n"/>
      <c r="AM524" s="14" t="n"/>
      <c r="AN524" s="12" t="n"/>
      <c r="AO524" s="13" t="n"/>
      <c r="AP524" s="14" t="n"/>
      <c r="AQ524" s="12" t="n"/>
      <c r="AR524" s="13" t="n"/>
      <c r="AS524" s="14" t="n"/>
      <c r="AT524" s="12" t="n"/>
      <c r="AU524" s="13" t="n"/>
      <c r="AV524" s="14" t="n"/>
      <c r="AW524" s="12" t="n"/>
      <c r="AX524" s="13" t="n"/>
      <c r="AY524" s="14" t="n"/>
      <c r="AZ524" s="12" t="n"/>
      <c r="BA524" s="13" t="n"/>
      <c r="BB524" s="14" t="n"/>
      <c r="BC524" s="11">
        <f>IF(O524="","",IF(J524="GST 10%",ROUND(O524*set_GSTRate,2),0))</f>
        <v/>
      </c>
      <c r="BD524" s="11">
        <f>IF(O524="","",O524+BC524)</f>
        <v/>
      </c>
      <c r="BE524" s="15">
        <f>IF(O524="","",COUNTA(S524,V524,Y524,AB524,AE524,AH524,AK524,AN524,AQ524,AT524,AW524,AZ524))</f>
        <v/>
      </c>
      <c r="BF524" s="16">
        <f>IF(COUNT(T524,W524,Z524,AC524,AF524,AI524,AL524,AO524,AR524,AU524,AX524,BA524)=0,"",MAX(T524,W524,Z524,AC524,AF524,AI524,AL524,AO524,AR524,AU524,AX524,BA524))</f>
        <v/>
      </c>
      <c r="BG524" s="10">
        <f>MID(IF(S524="","",", "&amp;S524)&amp;IF(V524="","",", "&amp;V524)&amp;IF(Y524="","",", "&amp;Y524)&amp;IF(AB524="","",", "&amp;AB524)&amp;IF(AE524="","",", "&amp;AE524)&amp;IF(AH524="","",", "&amp;AH524)&amp;IF(AK524="","",", "&amp;AK524)&amp;IF(AN524="","",", "&amp;AN524)&amp;IF(AQ524="","",", "&amp;AQ524)&amp;IF(AT524="","",", "&amp;AT524)&amp;IF(AW524="","",", "&amp;AW524)&amp;IF(AZ524="","",", "&amp;AZ524),3,500)</f>
        <v/>
      </c>
      <c r="BH524" s="12" t="n"/>
      <c r="BI524" s="15">
        <f>IFERROR(MATCH($A524,IF($B524="Onsite",tbl_Onsite[Row ID],IF($B524="Production",tbl_Production[Row ID],tbl_Consulting[Row ID])),0),"")</f>
        <v/>
      </c>
    </row>
    <row r="525">
      <c r="A525" s="10" t="inlineStr">
        <is>
          <t>PRD-0019</t>
        </is>
      </c>
      <c r="B525" s="10" t="inlineStr">
        <is>
          <t>Production</t>
        </is>
      </c>
      <c r="C525" s="10">
        <f>IF($BI525="","",IF($B525="Onsite",INDEX(tbl_Onsite[Job Number],$BI525),IF($B525="Production",INDEX(tbl_Production[Job Number],$BI525),INDEX(tbl_Consulting[Job Number],$BI525)))&amp;"")</f>
        <v/>
      </c>
      <c r="D525" s="10">
        <f>IF($BI525="","",IF($B525="Onsite",INDEX(tbl_Onsite[Client],$BI525),IF($B525="Production",INDEX(tbl_Production[Client],$BI525),INDEX(tbl_Consulting[Client],$BI525)))&amp;"")</f>
        <v/>
      </c>
      <c r="E525" s="10">
        <f>IF($C525="","",IF(COUNTIF(lst_Jobs,$C525)&gt;0,"OK","CHECK"))</f>
        <v/>
      </c>
      <c r="F525" s="10">
        <f>IF($C525="","",IFERROR(INDEX(lst_JobName,MATCH($C525,lst_Jobs,0)),""))</f>
        <v/>
      </c>
      <c r="G525" s="10">
        <f>IF($BI525="","",IF($B525="Onsite",INDEX(tbl_Onsite[Job Description],$BI525),IF($B525="Production",INDEX(tbl_Production[Job Description],$BI525),INDEX(tbl_Consulting[Job Description],$BI525)))&amp;"")</f>
        <v/>
      </c>
      <c r="H525" s="10">
        <f>IF($BI525="","",IF($B525="Onsite",INDEX(tbl_Onsite[Cost Centre],$BI525),IF($B525="Production",INDEX(tbl_Production[Cost Centre],$BI525),INDEX(tbl_Consulting[Cost Centre],$BI525)))&amp;"")</f>
        <v/>
      </c>
      <c r="I525" s="10">
        <f>IF($BI525="","",IF($B525="Onsite",INDEX(tbl_Onsite[Invoice Type],$BI525),IF($B525="Production",INDEX(tbl_Production[Invoice Type],$BI525),INDEX(tbl_Consulting[Invoice Type],$BI525)))&amp;"")</f>
        <v/>
      </c>
      <c r="J525" s="10">
        <f>IF($BI525="","",IF($B525="Onsite",INDEX(tbl_Onsite[Tax Code],$BI525),IF($B525="Production",INDEX(tbl_Production[Tax Code],$BI525),INDEX(tbl_Consulting[Tax Code],$BI525)))&amp;"")</f>
        <v/>
      </c>
      <c r="K525" s="10">
        <f>IF(H525="","",IFERROR(INDEX(lst_CCtoGL,MATCH(H525,lst_CCforGL,0)),""))</f>
        <v/>
      </c>
      <c r="L525" s="10">
        <f>IF($BI525="","",IF($B525="Onsite",INDEX(tbl_Onsite[PO / Reference],$BI525),IF($B525="Production",INDEX(tbl_Production[Current RMS No],$BI525),INDEX(tbl_Consulting[Qwilr Quote],$BI525)))&amp;"")</f>
        <v/>
      </c>
      <c r="M525" s="10">
        <f>IF($BI525="","",IF($B525="Onsite",INDEX(tbl_Onsite[Notes],$BI525),IF($B525="Production",INDEX(tbl_Production[Notes],$BI525),INDEX(tbl_Consulting[Notes],$BI525)))&amp;"")</f>
        <v/>
      </c>
      <c r="N525" s="11">
        <f>IF($BI525="","",IF(IF($B525="Onsite",INDEX(tbl_Onsite[Expected Revenue Ex GST],$BI525),IF($B525="Production",INDEX(tbl_Production[Expected Revenue Ex GST],$BI525),INDEX(tbl_Consulting[Expected Revenue Ex GST],$BI525)))="","",IF($B525="Onsite",INDEX(tbl_Onsite[Expected Revenue Ex GST],$BI525),IF($B525="Production",INDEX(tbl_Production[Expected Revenue Ex GST],$BI525),INDEX(tbl_Consulting[Expected Revenue Ex GST],$BI525)))))</f>
        <v/>
      </c>
      <c r="O525" s="11">
        <f>IF(AND($C525="",NOT(COUNTA($S525:$BB525)&gt;0)),"",SUM(U525,X525,AA525,AD525,AG525,AJ525,AM525,AP525,AS525,AV525,AY525,BB525))</f>
        <v/>
      </c>
      <c r="P525" s="11">
        <f>IF(O525="","",N(N525)-O525)</f>
        <v/>
      </c>
      <c r="Q525" s="10">
        <f>IF(O525="","",IF($C525="","Invoice on empty job row",IF(N525="",IF(ROUND(O525,2)=0,"No dept value","Invoiced - no dept value"),IF(ROUND(O525,2)=0,"Not invoiced - to invoice",IF(ROUND(P525,2)=0,"Agrees",IF(P525&gt;0,"Dept higher - to invoice","Xero higher - check dept"))))))</f>
        <v/>
      </c>
      <c r="R525" s="10">
        <f>IF(AND($C525="",NOT(COUNTA($S525:$BB525)&gt;0),$BI525&lt;&gt;""),"",MID(IF($BI525="","; Row ID not found on the department sheet - a row was deleted","")&amp;IF(AND($C525="",COUNTA($S525:$BB525)&gt;0),"; Invoice entered but the department row has no job number","")&amp;IF(E525="CHECK","; Job number not in the Xero job list","")&amp;IF(AND($C525&lt;&gt;"",COUNTIF($C$7:$C$1506,$C525)&gt;1),"; Job number on more than one row","")&amp;IF(AND($C525&lt;&gt;"",H525=""),"; Dept has not set a cost centre","")&amp;IF(AND($C525&lt;&gt;"",J525=""),"; Dept has not set a tax code","")&amp;IF(AND($C525&lt;&gt;"",N525=""),"; Dept has not entered an expected value","")&amp;IF((IF(OR(COUNTA(S525:U525)=0,AND(COUNTA(S525:U525)=3,ISNUMBER(U525))),0,1)+IF(OR(COUNTA(V525:X525)=0,AND(COUNTA(V525:X525)=3,ISNUMBER(X525))),0,1)+IF(OR(COUNTA(Y525:AA525)=0,AND(COUNTA(Y525:AA525)=3,ISNUMBER(AA525))),0,1)+IF(OR(COUNTA(AB525:AD525)=0,AND(COUNTA(AB525:AD525)=3,ISNUMBER(AD525))),0,1)+IF(OR(COUNTA(AE525:AG525)=0,AND(COUNTA(AE525:AG525)=3,ISNUMBER(AG525))),0,1)+IF(OR(COUNTA(AH525:AJ525)=0,AND(COUNTA(AH525:AJ525)=3,ISNUMBER(AJ525))),0,1)+IF(OR(COUNTA(AK525:AM525)=0,AND(COUNTA(AK525:AM525)=3,ISNUMBER(AM525))),0,1)+IF(OR(COUNTA(AN525:AP525)=0,AND(COUNTA(AN525:AP525)=3,ISNUMBER(AP525))),0,1)+IF(OR(COUNTA(AQ525:AS525)=0,AND(COUNTA(AQ525:AS525)=3,ISNUMBER(AS525))),0,1)+IF(OR(COUNTA(AT525:AV525)=0,AND(COUNTA(AT525:AV525)=3,ISNUMBER(AV525))),0,1)+IF(OR(COUNTA(AW525:AY525)=0,AND(COUNTA(AW525:AY525)=3,ISNUMBER(AY525))),0,1)+IF(OR(COUNTA(AZ525:BB525)=0,AND(COUNTA(AZ525:BB525)=3,ISNUMBER(BB525))),0,1))&gt;0,"; An invoice is incomplete (needs No, Date and a number in Ex GST)","")&amp;IF((IF(T525="",0,IFERROR(--(EOMONTH(T525,0)&lt;&gt;S$5),1))+IF(W525="",0,IFERROR(--(EOMONTH(W525,0)&lt;&gt;V$5),1))+IF(Z525="",0,IFERROR(--(EOMONTH(Z525,0)&lt;&gt;Y$5),1))+IF(AC525="",0,IFERROR(--(EOMONTH(AC525,0)&lt;&gt;AB$5),1))+IF(AF525="",0,IFERROR(--(EOMONTH(AF525,0)&lt;&gt;AE$5),1))+IF(AI525="",0,IFERROR(--(EOMONTH(AI525,0)&lt;&gt;AH$5),1))+IF(AL525="",0,IFERROR(--(EOMONTH(AL525,0)&lt;&gt;AK$5),1))+IF(AO525="",0,IFERROR(--(EOMONTH(AO525,0)&lt;&gt;AN$5),1))+IF(AR525="",0,IFERROR(--(EOMONTH(AR525,0)&lt;&gt;AQ$5),1))+IF(AU525="",0,IFERROR(--(EOMONTH(AU525,0)&lt;&gt;AT$5),1))+IF(AX525="",0,IFERROR(--(EOMONTH(AX525,0)&lt;&gt;AW$5),1))+IF(BA525="",0,IFERROR(--(EOMONTH(BA525,0)&lt;&gt;AZ$5),1)))&gt;0,"; An invoice date is not in the month it is typed under",""),3,500))</f>
        <v/>
      </c>
      <c r="S525" s="12" t="n"/>
      <c r="T525" s="13" t="n"/>
      <c r="U525" s="14" t="n"/>
      <c r="V525" s="12" t="n"/>
      <c r="W525" s="13" t="n"/>
      <c r="X525" s="14" t="n"/>
      <c r="Y525" s="12" t="n"/>
      <c r="Z525" s="13" t="n"/>
      <c r="AA525" s="14" t="n"/>
      <c r="AB525" s="12" t="n"/>
      <c r="AC525" s="13" t="n"/>
      <c r="AD525" s="14" t="n"/>
      <c r="AE525" s="12" t="n"/>
      <c r="AF525" s="13" t="n"/>
      <c r="AG525" s="14" t="n"/>
      <c r="AH525" s="12" t="n"/>
      <c r="AI525" s="13" t="n"/>
      <c r="AJ525" s="14" t="n"/>
      <c r="AK525" s="12" t="n"/>
      <c r="AL525" s="13" t="n"/>
      <c r="AM525" s="14" t="n"/>
      <c r="AN525" s="12" t="n"/>
      <c r="AO525" s="13" t="n"/>
      <c r="AP525" s="14" t="n"/>
      <c r="AQ525" s="12" t="n"/>
      <c r="AR525" s="13" t="n"/>
      <c r="AS525" s="14" t="n"/>
      <c r="AT525" s="12" t="n"/>
      <c r="AU525" s="13" t="n"/>
      <c r="AV525" s="14" t="n"/>
      <c r="AW525" s="12" t="n"/>
      <c r="AX525" s="13" t="n"/>
      <c r="AY525" s="14" t="n"/>
      <c r="AZ525" s="12" t="n"/>
      <c r="BA525" s="13" t="n"/>
      <c r="BB525" s="14" t="n"/>
      <c r="BC525" s="11">
        <f>IF(O525="","",IF(J525="GST 10%",ROUND(O525*set_GSTRate,2),0))</f>
        <v/>
      </c>
      <c r="BD525" s="11">
        <f>IF(O525="","",O525+BC525)</f>
        <v/>
      </c>
      <c r="BE525" s="15">
        <f>IF(O525="","",COUNTA(S525,V525,Y525,AB525,AE525,AH525,AK525,AN525,AQ525,AT525,AW525,AZ525))</f>
        <v/>
      </c>
      <c r="BF525" s="16">
        <f>IF(COUNT(T525,W525,Z525,AC525,AF525,AI525,AL525,AO525,AR525,AU525,AX525,BA525)=0,"",MAX(T525,W525,Z525,AC525,AF525,AI525,AL525,AO525,AR525,AU525,AX525,BA525))</f>
        <v/>
      </c>
      <c r="BG525" s="10">
        <f>MID(IF(S525="","",", "&amp;S525)&amp;IF(V525="","",", "&amp;V525)&amp;IF(Y525="","",", "&amp;Y525)&amp;IF(AB525="","",", "&amp;AB525)&amp;IF(AE525="","",", "&amp;AE525)&amp;IF(AH525="","",", "&amp;AH525)&amp;IF(AK525="","",", "&amp;AK525)&amp;IF(AN525="","",", "&amp;AN525)&amp;IF(AQ525="","",", "&amp;AQ525)&amp;IF(AT525="","",", "&amp;AT525)&amp;IF(AW525="","",", "&amp;AW525)&amp;IF(AZ525="","",", "&amp;AZ525),3,500)</f>
        <v/>
      </c>
      <c r="BH525" s="12" t="n"/>
      <c r="BI525" s="15">
        <f>IFERROR(MATCH($A525,IF($B525="Onsite",tbl_Onsite[Row ID],IF($B525="Production",tbl_Production[Row ID],tbl_Consulting[Row ID])),0),"")</f>
        <v/>
      </c>
    </row>
    <row r="526">
      <c r="A526" s="10" t="inlineStr">
        <is>
          <t>PRD-0020</t>
        </is>
      </c>
      <c r="B526" s="10" t="inlineStr">
        <is>
          <t>Production</t>
        </is>
      </c>
      <c r="C526" s="10">
        <f>IF($BI526="","",IF($B526="Onsite",INDEX(tbl_Onsite[Job Number],$BI526),IF($B526="Production",INDEX(tbl_Production[Job Number],$BI526),INDEX(tbl_Consulting[Job Number],$BI526)))&amp;"")</f>
        <v/>
      </c>
      <c r="D526" s="10">
        <f>IF($BI526="","",IF($B526="Onsite",INDEX(tbl_Onsite[Client],$BI526),IF($B526="Production",INDEX(tbl_Production[Client],$BI526),INDEX(tbl_Consulting[Client],$BI526)))&amp;"")</f>
        <v/>
      </c>
      <c r="E526" s="10">
        <f>IF($C526="","",IF(COUNTIF(lst_Jobs,$C526)&gt;0,"OK","CHECK"))</f>
        <v/>
      </c>
      <c r="F526" s="10">
        <f>IF($C526="","",IFERROR(INDEX(lst_JobName,MATCH($C526,lst_Jobs,0)),""))</f>
        <v/>
      </c>
      <c r="G526" s="10">
        <f>IF($BI526="","",IF($B526="Onsite",INDEX(tbl_Onsite[Job Description],$BI526),IF($B526="Production",INDEX(tbl_Production[Job Description],$BI526),INDEX(tbl_Consulting[Job Description],$BI526)))&amp;"")</f>
        <v/>
      </c>
      <c r="H526" s="10">
        <f>IF($BI526="","",IF($B526="Onsite",INDEX(tbl_Onsite[Cost Centre],$BI526),IF($B526="Production",INDEX(tbl_Production[Cost Centre],$BI526),INDEX(tbl_Consulting[Cost Centre],$BI526)))&amp;"")</f>
        <v/>
      </c>
      <c r="I526" s="10">
        <f>IF($BI526="","",IF($B526="Onsite",INDEX(tbl_Onsite[Invoice Type],$BI526),IF($B526="Production",INDEX(tbl_Production[Invoice Type],$BI526),INDEX(tbl_Consulting[Invoice Type],$BI526)))&amp;"")</f>
        <v/>
      </c>
      <c r="J526" s="10">
        <f>IF($BI526="","",IF($B526="Onsite",INDEX(tbl_Onsite[Tax Code],$BI526),IF($B526="Production",INDEX(tbl_Production[Tax Code],$BI526),INDEX(tbl_Consulting[Tax Code],$BI526)))&amp;"")</f>
        <v/>
      </c>
      <c r="K526" s="10">
        <f>IF(H526="","",IFERROR(INDEX(lst_CCtoGL,MATCH(H526,lst_CCforGL,0)),""))</f>
        <v/>
      </c>
      <c r="L526" s="10">
        <f>IF($BI526="","",IF($B526="Onsite",INDEX(tbl_Onsite[PO / Reference],$BI526),IF($B526="Production",INDEX(tbl_Production[Current RMS No],$BI526),INDEX(tbl_Consulting[Qwilr Quote],$BI526)))&amp;"")</f>
        <v/>
      </c>
      <c r="M526" s="10">
        <f>IF($BI526="","",IF($B526="Onsite",INDEX(tbl_Onsite[Notes],$BI526),IF($B526="Production",INDEX(tbl_Production[Notes],$BI526),INDEX(tbl_Consulting[Notes],$BI526)))&amp;"")</f>
        <v/>
      </c>
      <c r="N526" s="11">
        <f>IF($BI526="","",IF(IF($B526="Onsite",INDEX(tbl_Onsite[Expected Revenue Ex GST],$BI526),IF($B526="Production",INDEX(tbl_Production[Expected Revenue Ex GST],$BI526),INDEX(tbl_Consulting[Expected Revenue Ex GST],$BI526)))="","",IF($B526="Onsite",INDEX(tbl_Onsite[Expected Revenue Ex GST],$BI526),IF($B526="Production",INDEX(tbl_Production[Expected Revenue Ex GST],$BI526),INDEX(tbl_Consulting[Expected Revenue Ex GST],$BI526)))))</f>
        <v/>
      </c>
      <c r="O526" s="11">
        <f>IF(AND($C526="",NOT(COUNTA($S526:$BB526)&gt;0)),"",SUM(U526,X526,AA526,AD526,AG526,AJ526,AM526,AP526,AS526,AV526,AY526,BB526))</f>
        <v/>
      </c>
      <c r="P526" s="11">
        <f>IF(O526="","",N(N526)-O526)</f>
        <v/>
      </c>
      <c r="Q526" s="10">
        <f>IF(O526="","",IF($C526="","Invoice on empty job row",IF(N526="",IF(ROUND(O526,2)=0,"No dept value","Invoiced - no dept value"),IF(ROUND(O526,2)=0,"Not invoiced - to invoice",IF(ROUND(P526,2)=0,"Agrees",IF(P526&gt;0,"Dept higher - to invoice","Xero higher - check dept"))))))</f>
        <v/>
      </c>
      <c r="R526" s="10">
        <f>IF(AND($C526="",NOT(COUNTA($S526:$BB526)&gt;0),$BI526&lt;&gt;""),"",MID(IF($BI526="","; Row ID not found on the department sheet - a row was deleted","")&amp;IF(AND($C526="",COUNTA($S526:$BB526)&gt;0),"; Invoice entered but the department row has no job number","")&amp;IF(E526="CHECK","; Job number not in the Xero job list","")&amp;IF(AND($C526&lt;&gt;"",COUNTIF($C$7:$C$1506,$C526)&gt;1),"; Job number on more than one row","")&amp;IF(AND($C526&lt;&gt;"",H526=""),"; Dept has not set a cost centre","")&amp;IF(AND($C526&lt;&gt;"",J526=""),"; Dept has not set a tax code","")&amp;IF(AND($C526&lt;&gt;"",N526=""),"; Dept has not entered an expected value","")&amp;IF((IF(OR(COUNTA(S526:U526)=0,AND(COUNTA(S526:U526)=3,ISNUMBER(U526))),0,1)+IF(OR(COUNTA(V526:X526)=0,AND(COUNTA(V526:X526)=3,ISNUMBER(X526))),0,1)+IF(OR(COUNTA(Y526:AA526)=0,AND(COUNTA(Y526:AA526)=3,ISNUMBER(AA526))),0,1)+IF(OR(COUNTA(AB526:AD526)=0,AND(COUNTA(AB526:AD526)=3,ISNUMBER(AD526))),0,1)+IF(OR(COUNTA(AE526:AG526)=0,AND(COUNTA(AE526:AG526)=3,ISNUMBER(AG526))),0,1)+IF(OR(COUNTA(AH526:AJ526)=0,AND(COUNTA(AH526:AJ526)=3,ISNUMBER(AJ526))),0,1)+IF(OR(COUNTA(AK526:AM526)=0,AND(COUNTA(AK526:AM526)=3,ISNUMBER(AM526))),0,1)+IF(OR(COUNTA(AN526:AP526)=0,AND(COUNTA(AN526:AP526)=3,ISNUMBER(AP526))),0,1)+IF(OR(COUNTA(AQ526:AS526)=0,AND(COUNTA(AQ526:AS526)=3,ISNUMBER(AS526))),0,1)+IF(OR(COUNTA(AT526:AV526)=0,AND(COUNTA(AT526:AV526)=3,ISNUMBER(AV526))),0,1)+IF(OR(COUNTA(AW526:AY526)=0,AND(COUNTA(AW526:AY526)=3,ISNUMBER(AY526))),0,1)+IF(OR(COUNTA(AZ526:BB526)=0,AND(COUNTA(AZ526:BB526)=3,ISNUMBER(BB526))),0,1))&gt;0,"; An invoice is incomplete (needs No, Date and a number in Ex GST)","")&amp;IF((IF(T526="",0,IFERROR(--(EOMONTH(T526,0)&lt;&gt;S$5),1))+IF(W526="",0,IFERROR(--(EOMONTH(W526,0)&lt;&gt;V$5),1))+IF(Z526="",0,IFERROR(--(EOMONTH(Z526,0)&lt;&gt;Y$5),1))+IF(AC526="",0,IFERROR(--(EOMONTH(AC526,0)&lt;&gt;AB$5),1))+IF(AF526="",0,IFERROR(--(EOMONTH(AF526,0)&lt;&gt;AE$5),1))+IF(AI526="",0,IFERROR(--(EOMONTH(AI526,0)&lt;&gt;AH$5),1))+IF(AL526="",0,IFERROR(--(EOMONTH(AL526,0)&lt;&gt;AK$5),1))+IF(AO526="",0,IFERROR(--(EOMONTH(AO526,0)&lt;&gt;AN$5),1))+IF(AR526="",0,IFERROR(--(EOMONTH(AR526,0)&lt;&gt;AQ$5),1))+IF(AU526="",0,IFERROR(--(EOMONTH(AU526,0)&lt;&gt;AT$5),1))+IF(AX526="",0,IFERROR(--(EOMONTH(AX526,0)&lt;&gt;AW$5),1))+IF(BA526="",0,IFERROR(--(EOMONTH(BA526,0)&lt;&gt;AZ$5),1)))&gt;0,"; An invoice date is not in the month it is typed under",""),3,500))</f>
        <v/>
      </c>
      <c r="S526" s="12" t="n"/>
      <c r="T526" s="13" t="n"/>
      <c r="U526" s="14" t="n"/>
      <c r="V526" s="12" t="n"/>
      <c r="W526" s="13" t="n"/>
      <c r="X526" s="14" t="n"/>
      <c r="Y526" s="12" t="n"/>
      <c r="Z526" s="13" t="n"/>
      <c r="AA526" s="14" t="n"/>
      <c r="AB526" s="12" t="n"/>
      <c r="AC526" s="13" t="n"/>
      <c r="AD526" s="14" t="n"/>
      <c r="AE526" s="12" t="n"/>
      <c r="AF526" s="13" t="n"/>
      <c r="AG526" s="14" t="n"/>
      <c r="AH526" s="12" t="n"/>
      <c r="AI526" s="13" t="n"/>
      <c r="AJ526" s="14" t="n"/>
      <c r="AK526" s="12" t="n"/>
      <c r="AL526" s="13" t="n"/>
      <c r="AM526" s="14" t="n"/>
      <c r="AN526" s="12" t="n"/>
      <c r="AO526" s="13" t="n"/>
      <c r="AP526" s="14" t="n"/>
      <c r="AQ526" s="12" t="n"/>
      <c r="AR526" s="13" t="n"/>
      <c r="AS526" s="14" t="n"/>
      <c r="AT526" s="12" t="n"/>
      <c r="AU526" s="13" t="n"/>
      <c r="AV526" s="14" t="n"/>
      <c r="AW526" s="12" t="n"/>
      <c r="AX526" s="13" t="n"/>
      <c r="AY526" s="14" t="n"/>
      <c r="AZ526" s="12" t="n"/>
      <c r="BA526" s="13" t="n"/>
      <c r="BB526" s="14" t="n"/>
      <c r="BC526" s="11">
        <f>IF(O526="","",IF(J526="GST 10%",ROUND(O526*set_GSTRate,2),0))</f>
        <v/>
      </c>
      <c r="BD526" s="11">
        <f>IF(O526="","",O526+BC526)</f>
        <v/>
      </c>
      <c r="BE526" s="15">
        <f>IF(O526="","",COUNTA(S526,V526,Y526,AB526,AE526,AH526,AK526,AN526,AQ526,AT526,AW526,AZ526))</f>
        <v/>
      </c>
      <c r="BF526" s="16">
        <f>IF(COUNT(T526,W526,Z526,AC526,AF526,AI526,AL526,AO526,AR526,AU526,AX526,BA526)=0,"",MAX(T526,W526,Z526,AC526,AF526,AI526,AL526,AO526,AR526,AU526,AX526,BA526))</f>
        <v/>
      </c>
      <c r="BG526" s="10">
        <f>MID(IF(S526="","",", "&amp;S526)&amp;IF(V526="","",", "&amp;V526)&amp;IF(Y526="","",", "&amp;Y526)&amp;IF(AB526="","",", "&amp;AB526)&amp;IF(AE526="","",", "&amp;AE526)&amp;IF(AH526="","",", "&amp;AH526)&amp;IF(AK526="","",", "&amp;AK526)&amp;IF(AN526="","",", "&amp;AN526)&amp;IF(AQ526="","",", "&amp;AQ526)&amp;IF(AT526="","",", "&amp;AT526)&amp;IF(AW526="","",", "&amp;AW526)&amp;IF(AZ526="","",", "&amp;AZ526),3,500)</f>
        <v/>
      </c>
      <c r="BH526" s="12" t="n"/>
      <c r="BI526" s="15">
        <f>IFERROR(MATCH($A526,IF($B526="Onsite",tbl_Onsite[Row ID],IF($B526="Production",tbl_Production[Row ID],tbl_Consulting[Row ID])),0),"")</f>
        <v/>
      </c>
    </row>
    <row r="527">
      <c r="A527" s="10" t="inlineStr">
        <is>
          <t>PRD-0021</t>
        </is>
      </c>
      <c r="B527" s="10" t="inlineStr">
        <is>
          <t>Production</t>
        </is>
      </c>
      <c r="C527" s="10">
        <f>IF($BI527="","",IF($B527="Onsite",INDEX(tbl_Onsite[Job Number],$BI527),IF($B527="Production",INDEX(tbl_Production[Job Number],$BI527),INDEX(tbl_Consulting[Job Number],$BI527)))&amp;"")</f>
        <v/>
      </c>
      <c r="D527" s="10">
        <f>IF($BI527="","",IF($B527="Onsite",INDEX(tbl_Onsite[Client],$BI527),IF($B527="Production",INDEX(tbl_Production[Client],$BI527),INDEX(tbl_Consulting[Client],$BI527)))&amp;"")</f>
        <v/>
      </c>
      <c r="E527" s="10">
        <f>IF($C527="","",IF(COUNTIF(lst_Jobs,$C527)&gt;0,"OK","CHECK"))</f>
        <v/>
      </c>
      <c r="F527" s="10">
        <f>IF($C527="","",IFERROR(INDEX(lst_JobName,MATCH($C527,lst_Jobs,0)),""))</f>
        <v/>
      </c>
      <c r="G527" s="10">
        <f>IF($BI527="","",IF($B527="Onsite",INDEX(tbl_Onsite[Job Description],$BI527),IF($B527="Production",INDEX(tbl_Production[Job Description],$BI527),INDEX(tbl_Consulting[Job Description],$BI527)))&amp;"")</f>
        <v/>
      </c>
      <c r="H527" s="10">
        <f>IF($BI527="","",IF($B527="Onsite",INDEX(tbl_Onsite[Cost Centre],$BI527),IF($B527="Production",INDEX(tbl_Production[Cost Centre],$BI527),INDEX(tbl_Consulting[Cost Centre],$BI527)))&amp;"")</f>
        <v/>
      </c>
      <c r="I527" s="10">
        <f>IF($BI527="","",IF($B527="Onsite",INDEX(tbl_Onsite[Invoice Type],$BI527),IF($B527="Production",INDEX(tbl_Production[Invoice Type],$BI527),INDEX(tbl_Consulting[Invoice Type],$BI527)))&amp;"")</f>
        <v/>
      </c>
      <c r="J527" s="10">
        <f>IF($BI527="","",IF($B527="Onsite",INDEX(tbl_Onsite[Tax Code],$BI527),IF($B527="Production",INDEX(tbl_Production[Tax Code],$BI527),INDEX(tbl_Consulting[Tax Code],$BI527)))&amp;"")</f>
        <v/>
      </c>
      <c r="K527" s="10">
        <f>IF(H527="","",IFERROR(INDEX(lst_CCtoGL,MATCH(H527,lst_CCforGL,0)),""))</f>
        <v/>
      </c>
      <c r="L527" s="10">
        <f>IF($BI527="","",IF($B527="Onsite",INDEX(tbl_Onsite[PO / Reference],$BI527),IF($B527="Production",INDEX(tbl_Production[Current RMS No],$BI527),INDEX(tbl_Consulting[Qwilr Quote],$BI527)))&amp;"")</f>
        <v/>
      </c>
      <c r="M527" s="10">
        <f>IF($BI527="","",IF($B527="Onsite",INDEX(tbl_Onsite[Notes],$BI527),IF($B527="Production",INDEX(tbl_Production[Notes],$BI527),INDEX(tbl_Consulting[Notes],$BI527)))&amp;"")</f>
        <v/>
      </c>
      <c r="N527" s="11">
        <f>IF($BI527="","",IF(IF($B527="Onsite",INDEX(tbl_Onsite[Expected Revenue Ex GST],$BI527),IF($B527="Production",INDEX(tbl_Production[Expected Revenue Ex GST],$BI527),INDEX(tbl_Consulting[Expected Revenue Ex GST],$BI527)))="","",IF($B527="Onsite",INDEX(tbl_Onsite[Expected Revenue Ex GST],$BI527),IF($B527="Production",INDEX(tbl_Production[Expected Revenue Ex GST],$BI527),INDEX(tbl_Consulting[Expected Revenue Ex GST],$BI527)))))</f>
        <v/>
      </c>
      <c r="O527" s="11">
        <f>IF(AND($C527="",NOT(COUNTA($S527:$BB527)&gt;0)),"",SUM(U527,X527,AA527,AD527,AG527,AJ527,AM527,AP527,AS527,AV527,AY527,BB527))</f>
        <v/>
      </c>
      <c r="P527" s="11">
        <f>IF(O527="","",N(N527)-O527)</f>
        <v/>
      </c>
      <c r="Q527" s="10">
        <f>IF(O527="","",IF($C527="","Invoice on empty job row",IF(N527="",IF(ROUND(O527,2)=0,"No dept value","Invoiced - no dept value"),IF(ROUND(O527,2)=0,"Not invoiced - to invoice",IF(ROUND(P527,2)=0,"Agrees",IF(P527&gt;0,"Dept higher - to invoice","Xero higher - check dept"))))))</f>
        <v/>
      </c>
      <c r="R527" s="10">
        <f>IF(AND($C527="",NOT(COUNTA($S527:$BB527)&gt;0),$BI527&lt;&gt;""),"",MID(IF($BI527="","; Row ID not found on the department sheet - a row was deleted","")&amp;IF(AND($C527="",COUNTA($S527:$BB527)&gt;0),"; Invoice entered but the department row has no job number","")&amp;IF(E527="CHECK","; Job number not in the Xero job list","")&amp;IF(AND($C527&lt;&gt;"",COUNTIF($C$7:$C$1506,$C527)&gt;1),"; Job number on more than one row","")&amp;IF(AND($C527&lt;&gt;"",H527=""),"; Dept has not set a cost centre","")&amp;IF(AND($C527&lt;&gt;"",J527=""),"; Dept has not set a tax code","")&amp;IF(AND($C527&lt;&gt;"",N527=""),"; Dept has not entered an expected value","")&amp;IF((IF(OR(COUNTA(S527:U527)=0,AND(COUNTA(S527:U527)=3,ISNUMBER(U527))),0,1)+IF(OR(COUNTA(V527:X527)=0,AND(COUNTA(V527:X527)=3,ISNUMBER(X527))),0,1)+IF(OR(COUNTA(Y527:AA527)=0,AND(COUNTA(Y527:AA527)=3,ISNUMBER(AA527))),0,1)+IF(OR(COUNTA(AB527:AD527)=0,AND(COUNTA(AB527:AD527)=3,ISNUMBER(AD527))),0,1)+IF(OR(COUNTA(AE527:AG527)=0,AND(COUNTA(AE527:AG527)=3,ISNUMBER(AG527))),0,1)+IF(OR(COUNTA(AH527:AJ527)=0,AND(COUNTA(AH527:AJ527)=3,ISNUMBER(AJ527))),0,1)+IF(OR(COUNTA(AK527:AM527)=0,AND(COUNTA(AK527:AM527)=3,ISNUMBER(AM527))),0,1)+IF(OR(COUNTA(AN527:AP527)=0,AND(COUNTA(AN527:AP527)=3,ISNUMBER(AP527))),0,1)+IF(OR(COUNTA(AQ527:AS527)=0,AND(COUNTA(AQ527:AS527)=3,ISNUMBER(AS527))),0,1)+IF(OR(COUNTA(AT527:AV527)=0,AND(COUNTA(AT527:AV527)=3,ISNUMBER(AV527))),0,1)+IF(OR(COUNTA(AW527:AY527)=0,AND(COUNTA(AW527:AY527)=3,ISNUMBER(AY527))),0,1)+IF(OR(COUNTA(AZ527:BB527)=0,AND(COUNTA(AZ527:BB527)=3,ISNUMBER(BB527))),0,1))&gt;0,"; An invoice is incomplete (needs No, Date and a number in Ex GST)","")&amp;IF((IF(T527="",0,IFERROR(--(EOMONTH(T527,0)&lt;&gt;S$5),1))+IF(W527="",0,IFERROR(--(EOMONTH(W527,0)&lt;&gt;V$5),1))+IF(Z527="",0,IFERROR(--(EOMONTH(Z527,0)&lt;&gt;Y$5),1))+IF(AC527="",0,IFERROR(--(EOMONTH(AC527,0)&lt;&gt;AB$5),1))+IF(AF527="",0,IFERROR(--(EOMONTH(AF527,0)&lt;&gt;AE$5),1))+IF(AI527="",0,IFERROR(--(EOMONTH(AI527,0)&lt;&gt;AH$5),1))+IF(AL527="",0,IFERROR(--(EOMONTH(AL527,0)&lt;&gt;AK$5),1))+IF(AO527="",0,IFERROR(--(EOMONTH(AO527,0)&lt;&gt;AN$5),1))+IF(AR527="",0,IFERROR(--(EOMONTH(AR527,0)&lt;&gt;AQ$5),1))+IF(AU527="",0,IFERROR(--(EOMONTH(AU527,0)&lt;&gt;AT$5),1))+IF(AX527="",0,IFERROR(--(EOMONTH(AX527,0)&lt;&gt;AW$5),1))+IF(BA527="",0,IFERROR(--(EOMONTH(BA527,0)&lt;&gt;AZ$5),1)))&gt;0,"; An invoice date is not in the month it is typed under",""),3,500))</f>
        <v/>
      </c>
      <c r="S527" s="12" t="n"/>
      <c r="T527" s="13" t="n"/>
      <c r="U527" s="14" t="n"/>
      <c r="V527" s="12" t="n"/>
      <c r="W527" s="13" t="n"/>
      <c r="X527" s="14" t="n"/>
      <c r="Y527" s="12" t="n"/>
      <c r="Z527" s="13" t="n"/>
      <c r="AA527" s="14" t="n"/>
      <c r="AB527" s="12" t="n"/>
      <c r="AC527" s="13" t="n"/>
      <c r="AD527" s="14" t="n"/>
      <c r="AE527" s="12" t="n"/>
      <c r="AF527" s="13" t="n"/>
      <c r="AG527" s="14" t="n"/>
      <c r="AH527" s="12" t="n"/>
      <c r="AI527" s="13" t="n"/>
      <c r="AJ527" s="14" t="n"/>
      <c r="AK527" s="12" t="n"/>
      <c r="AL527" s="13" t="n"/>
      <c r="AM527" s="14" t="n"/>
      <c r="AN527" s="12" t="n"/>
      <c r="AO527" s="13" t="n"/>
      <c r="AP527" s="14" t="n"/>
      <c r="AQ527" s="12" t="n"/>
      <c r="AR527" s="13" t="n"/>
      <c r="AS527" s="14" t="n"/>
      <c r="AT527" s="12" t="n"/>
      <c r="AU527" s="13" t="n"/>
      <c r="AV527" s="14" t="n"/>
      <c r="AW527" s="12" t="n"/>
      <c r="AX527" s="13" t="n"/>
      <c r="AY527" s="14" t="n"/>
      <c r="AZ527" s="12" t="n"/>
      <c r="BA527" s="13" t="n"/>
      <c r="BB527" s="14" t="n"/>
      <c r="BC527" s="11">
        <f>IF(O527="","",IF(J527="GST 10%",ROUND(O527*set_GSTRate,2),0))</f>
        <v/>
      </c>
      <c r="BD527" s="11">
        <f>IF(O527="","",O527+BC527)</f>
        <v/>
      </c>
      <c r="BE527" s="15">
        <f>IF(O527="","",COUNTA(S527,V527,Y527,AB527,AE527,AH527,AK527,AN527,AQ527,AT527,AW527,AZ527))</f>
        <v/>
      </c>
      <c r="BF527" s="16">
        <f>IF(COUNT(T527,W527,Z527,AC527,AF527,AI527,AL527,AO527,AR527,AU527,AX527,BA527)=0,"",MAX(T527,W527,Z527,AC527,AF527,AI527,AL527,AO527,AR527,AU527,AX527,BA527))</f>
        <v/>
      </c>
      <c r="BG527" s="10">
        <f>MID(IF(S527="","",", "&amp;S527)&amp;IF(V527="","",", "&amp;V527)&amp;IF(Y527="","",", "&amp;Y527)&amp;IF(AB527="","",", "&amp;AB527)&amp;IF(AE527="","",", "&amp;AE527)&amp;IF(AH527="","",", "&amp;AH527)&amp;IF(AK527="","",", "&amp;AK527)&amp;IF(AN527="","",", "&amp;AN527)&amp;IF(AQ527="","",", "&amp;AQ527)&amp;IF(AT527="","",", "&amp;AT527)&amp;IF(AW527="","",", "&amp;AW527)&amp;IF(AZ527="","",", "&amp;AZ527),3,500)</f>
        <v/>
      </c>
      <c r="BH527" s="12" t="n"/>
      <c r="BI527" s="15">
        <f>IFERROR(MATCH($A527,IF($B527="Onsite",tbl_Onsite[Row ID],IF($B527="Production",tbl_Production[Row ID],tbl_Consulting[Row ID])),0),"")</f>
        <v/>
      </c>
    </row>
    <row r="528">
      <c r="A528" s="10" t="inlineStr">
        <is>
          <t>PRD-0022</t>
        </is>
      </c>
      <c r="B528" s="10" t="inlineStr">
        <is>
          <t>Production</t>
        </is>
      </c>
      <c r="C528" s="10">
        <f>IF($BI528="","",IF($B528="Onsite",INDEX(tbl_Onsite[Job Number],$BI528),IF($B528="Production",INDEX(tbl_Production[Job Number],$BI528),INDEX(tbl_Consulting[Job Number],$BI528)))&amp;"")</f>
        <v/>
      </c>
      <c r="D528" s="10">
        <f>IF($BI528="","",IF($B528="Onsite",INDEX(tbl_Onsite[Client],$BI528),IF($B528="Production",INDEX(tbl_Production[Client],$BI528),INDEX(tbl_Consulting[Client],$BI528)))&amp;"")</f>
        <v/>
      </c>
      <c r="E528" s="10">
        <f>IF($C528="","",IF(COUNTIF(lst_Jobs,$C528)&gt;0,"OK","CHECK"))</f>
        <v/>
      </c>
      <c r="F528" s="10">
        <f>IF($C528="","",IFERROR(INDEX(lst_JobName,MATCH($C528,lst_Jobs,0)),""))</f>
        <v/>
      </c>
      <c r="G528" s="10">
        <f>IF($BI528="","",IF($B528="Onsite",INDEX(tbl_Onsite[Job Description],$BI528),IF($B528="Production",INDEX(tbl_Production[Job Description],$BI528),INDEX(tbl_Consulting[Job Description],$BI528)))&amp;"")</f>
        <v/>
      </c>
      <c r="H528" s="10">
        <f>IF($BI528="","",IF($B528="Onsite",INDEX(tbl_Onsite[Cost Centre],$BI528),IF($B528="Production",INDEX(tbl_Production[Cost Centre],$BI528),INDEX(tbl_Consulting[Cost Centre],$BI528)))&amp;"")</f>
        <v/>
      </c>
      <c r="I528" s="10">
        <f>IF($BI528="","",IF($B528="Onsite",INDEX(tbl_Onsite[Invoice Type],$BI528),IF($B528="Production",INDEX(tbl_Production[Invoice Type],$BI528),INDEX(tbl_Consulting[Invoice Type],$BI528)))&amp;"")</f>
        <v/>
      </c>
      <c r="J528" s="10">
        <f>IF($BI528="","",IF($B528="Onsite",INDEX(tbl_Onsite[Tax Code],$BI528),IF($B528="Production",INDEX(tbl_Production[Tax Code],$BI528),INDEX(tbl_Consulting[Tax Code],$BI528)))&amp;"")</f>
        <v/>
      </c>
      <c r="K528" s="10">
        <f>IF(H528="","",IFERROR(INDEX(lst_CCtoGL,MATCH(H528,lst_CCforGL,0)),""))</f>
        <v/>
      </c>
      <c r="L528" s="10">
        <f>IF($BI528="","",IF($B528="Onsite",INDEX(tbl_Onsite[PO / Reference],$BI528),IF($B528="Production",INDEX(tbl_Production[Current RMS No],$BI528),INDEX(tbl_Consulting[Qwilr Quote],$BI528)))&amp;"")</f>
        <v/>
      </c>
      <c r="M528" s="10">
        <f>IF($BI528="","",IF($B528="Onsite",INDEX(tbl_Onsite[Notes],$BI528),IF($B528="Production",INDEX(tbl_Production[Notes],$BI528),INDEX(tbl_Consulting[Notes],$BI528)))&amp;"")</f>
        <v/>
      </c>
      <c r="N528" s="11">
        <f>IF($BI528="","",IF(IF($B528="Onsite",INDEX(tbl_Onsite[Expected Revenue Ex GST],$BI528),IF($B528="Production",INDEX(tbl_Production[Expected Revenue Ex GST],$BI528),INDEX(tbl_Consulting[Expected Revenue Ex GST],$BI528)))="","",IF($B528="Onsite",INDEX(tbl_Onsite[Expected Revenue Ex GST],$BI528),IF($B528="Production",INDEX(tbl_Production[Expected Revenue Ex GST],$BI528),INDEX(tbl_Consulting[Expected Revenue Ex GST],$BI528)))))</f>
        <v/>
      </c>
      <c r="O528" s="11">
        <f>IF(AND($C528="",NOT(COUNTA($S528:$BB528)&gt;0)),"",SUM(U528,X528,AA528,AD528,AG528,AJ528,AM528,AP528,AS528,AV528,AY528,BB528))</f>
        <v/>
      </c>
      <c r="P528" s="11">
        <f>IF(O528="","",N(N528)-O528)</f>
        <v/>
      </c>
      <c r="Q528" s="10">
        <f>IF(O528="","",IF($C528="","Invoice on empty job row",IF(N528="",IF(ROUND(O528,2)=0,"No dept value","Invoiced - no dept value"),IF(ROUND(O528,2)=0,"Not invoiced - to invoice",IF(ROUND(P528,2)=0,"Agrees",IF(P528&gt;0,"Dept higher - to invoice","Xero higher - check dept"))))))</f>
        <v/>
      </c>
      <c r="R528" s="10">
        <f>IF(AND($C528="",NOT(COUNTA($S528:$BB528)&gt;0),$BI528&lt;&gt;""),"",MID(IF($BI528="","; Row ID not found on the department sheet - a row was deleted","")&amp;IF(AND($C528="",COUNTA($S528:$BB528)&gt;0),"; Invoice entered but the department row has no job number","")&amp;IF(E528="CHECK","; Job number not in the Xero job list","")&amp;IF(AND($C528&lt;&gt;"",COUNTIF($C$7:$C$1506,$C528)&gt;1),"; Job number on more than one row","")&amp;IF(AND($C528&lt;&gt;"",H528=""),"; Dept has not set a cost centre","")&amp;IF(AND($C528&lt;&gt;"",J528=""),"; Dept has not set a tax code","")&amp;IF(AND($C528&lt;&gt;"",N528=""),"; Dept has not entered an expected value","")&amp;IF((IF(OR(COUNTA(S528:U528)=0,AND(COUNTA(S528:U528)=3,ISNUMBER(U528))),0,1)+IF(OR(COUNTA(V528:X528)=0,AND(COUNTA(V528:X528)=3,ISNUMBER(X528))),0,1)+IF(OR(COUNTA(Y528:AA528)=0,AND(COUNTA(Y528:AA528)=3,ISNUMBER(AA528))),0,1)+IF(OR(COUNTA(AB528:AD528)=0,AND(COUNTA(AB528:AD528)=3,ISNUMBER(AD528))),0,1)+IF(OR(COUNTA(AE528:AG528)=0,AND(COUNTA(AE528:AG528)=3,ISNUMBER(AG528))),0,1)+IF(OR(COUNTA(AH528:AJ528)=0,AND(COUNTA(AH528:AJ528)=3,ISNUMBER(AJ528))),0,1)+IF(OR(COUNTA(AK528:AM528)=0,AND(COUNTA(AK528:AM528)=3,ISNUMBER(AM528))),0,1)+IF(OR(COUNTA(AN528:AP528)=0,AND(COUNTA(AN528:AP528)=3,ISNUMBER(AP528))),0,1)+IF(OR(COUNTA(AQ528:AS528)=0,AND(COUNTA(AQ528:AS528)=3,ISNUMBER(AS528))),0,1)+IF(OR(COUNTA(AT528:AV528)=0,AND(COUNTA(AT528:AV528)=3,ISNUMBER(AV528))),0,1)+IF(OR(COUNTA(AW528:AY528)=0,AND(COUNTA(AW528:AY528)=3,ISNUMBER(AY528))),0,1)+IF(OR(COUNTA(AZ528:BB528)=0,AND(COUNTA(AZ528:BB528)=3,ISNUMBER(BB528))),0,1))&gt;0,"; An invoice is incomplete (needs No, Date and a number in Ex GST)","")&amp;IF((IF(T528="",0,IFERROR(--(EOMONTH(T528,0)&lt;&gt;S$5),1))+IF(W528="",0,IFERROR(--(EOMONTH(W528,0)&lt;&gt;V$5),1))+IF(Z528="",0,IFERROR(--(EOMONTH(Z528,0)&lt;&gt;Y$5),1))+IF(AC528="",0,IFERROR(--(EOMONTH(AC528,0)&lt;&gt;AB$5),1))+IF(AF528="",0,IFERROR(--(EOMONTH(AF528,0)&lt;&gt;AE$5),1))+IF(AI528="",0,IFERROR(--(EOMONTH(AI528,0)&lt;&gt;AH$5),1))+IF(AL528="",0,IFERROR(--(EOMONTH(AL528,0)&lt;&gt;AK$5),1))+IF(AO528="",0,IFERROR(--(EOMONTH(AO528,0)&lt;&gt;AN$5),1))+IF(AR528="",0,IFERROR(--(EOMONTH(AR528,0)&lt;&gt;AQ$5),1))+IF(AU528="",0,IFERROR(--(EOMONTH(AU528,0)&lt;&gt;AT$5),1))+IF(AX528="",0,IFERROR(--(EOMONTH(AX528,0)&lt;&gt;AW$5),1))+IF(BA528="",0,IFERROR(--(EOMONTH(BA528,0)&lt;&gt;AZ$5),1)))&gt;0,"; An invoice date is not in the month it is typed under",""),3,500))</f>
        <v/>
      </c>
      <c r="S528" s="12" t="n"/>
      <c r="T528" s="13" t="n"/>
      <c r="U528" s="14" t="n"/>
      <c r="V528" s="12" t="n"/>
      <c r="W528" s="13" t="n"/>
      <c r="X528" s="14" t="n"/>
      <c r="Y528" s="12" t="n"/>
      <c r="Z528" s="13" t="n"/>
      <c r="AA528" s="14" t="n"/>
      <c r="AB528" s="12" t="n"/>
      <c r="AC528" s="13" t="n"/>
      <c r="AD528" s="14" t="n"/>
      <c r="AE528" s="12" t="n"/>
      <c r="AF528" s="13" t="n"/>
      <c r="AG528" s="14" t="n"/>
      <c r="AH528" s="12" t="n"/>
      <c r="AI528" s="13" t="n"/>
      <c r="AJ528" s="14" t="n"/>
      <c r="AK528" s="12" t="n"/>
      <c r="AL528" s="13" t="n"/>
      <c r="AM528" s="14" t="n"/>
      <c r="AN528" s="12" t="n"/>
      <c r="AO528" s="13" t="n"/>
      <c r="AP528" s="14" t="n"/>
      <c r="AQ528" s="12" t="n"/>
      <c r="AR528" s="13" t="n"/>
      <c r="AS528" s="14" t="n"/>
      <c r="AT528" s="12" t="n"/>
      <c r="AU528" s="13" t="n"/>
      <c r="AV528" s="14" t="n"/>
      <c r="AW528" s="12" t="n"/>
      <c r="AX528" s="13" t="n"/>
      <c r="AY528" s="14" t="n"/>
      <c r="AZ528" s="12" t="n"/>
      <c r="BA528" s="13" t="n"/>
      <c r="BB528" s="14" t="n"/>
      <c r="BC528" s="11">
        <f>IF(O528="","",IF(J528="GST 10%",ROUND(O528*set_GSTRate,2),0))</f>
        <v/>
      </c>
      <c r="BD528" s="11">
        <f>IF(O528="","",O528+BC528)</f>
        <v/>
      </c>
      <c r="BE528" s="15">
        <f>IF(O528="","",COUNTA(S528,V528,Y528,AB528,AE528,AH528,AK528,AN528,AQ528,AT528,AW528,AZ528))</f>
        <v/>
      </c>
      <c r="BF528" s="16">
        <f>IF(COUNT(T528,W528,Z528,AC528,AF528,AI528,AL528,AO528,AR528,AU528,AX528,BA528)=0,"",MAX(T528,W528,Z528,AC528,AF528,AI528,AL528,AO528,AR528,AU528,AX528,BA528))</f>
        <v/>
      </c>
      <c r="BG528" s="10">
        <f>MID(IF(S528="","",", "&amp;S528)&amp;IF(V528="","",", "&amp;V528)&amp;IF(Y528="","",", "&amp;Y528)&amp;IF(AB528="","",", "&amp;AB528)&amp;IF(AE528="","",", "&amp;AE528)&amp;IF(AH528="","",", "&amp;AH528)&amp;IF(AK528="","",", "&amp;AK528)&amp;IF(AN528="","",", "&amp;AN528)&amp;IF(AQ528="","",", "&amp;AQ528)&amp;IF(AT528="","",", "&amp;AT528)&amp;IF(AW528="","",", "&amp;AW528)&amp;IF(AZ528="","",", "&amp;AZ528),3,500)</f>
        <v/>
      </c>
      <c r="BH528" s="12" t="n"/>
      <c r="BI528" s="15">
        <f>IFERROR(MATCH($A528,IF($B528="Onsite",tbl_Onsite[Row ID],IF($B528="Production",tbl_Production[Row ID],tbl_Consulting[Row ID])),0),"")</f>
        <v/>
      </c>
    </row>
    <row r="529">
      <c r="A529" s="10" t="inlineStr">
        <is>
          <t>PRD-0023</t>
        </is>
      </c>
      <c r="B529" s="10" t="inlineStr">
        <is>
          <t>Production</t>
        </is>
      </c>
      <c r="C529" s="10">
        <f>IF($BI529="","",IF($B529="Onsite",INDEX(tbl_Onsite[Job Number],$BI529),IF($B529="Production",INDEX(tbl_Production[Job Number],$BI529),INDEX(tbl_Consulting[Job Number],$BI529)))&amp;"")</f>
        <v/>
      </c>
      <c r="D529" s="10">
        <f>IF($BI529="","",IF($B529="Onsite",INDEX(tbl_Onsite[Client],$BI529),IF($B529="Production",INDEX(tbl_Production[Client],$BI529),INDEX(tbl_Consulting[Client],$BI529)))&amp;"")</f>
        <v/>
      </c>
      <c r="E529" s="10">
        <f>IF($C529="","",IF(COUNTIF(lst_Jobs,$C529)&gt;0,"OK","CHECK"))</f>
        <v/>
      </c>
      <c r="F529" s="10">
        <f>IF($C529="","",IFERROR(INDEX(lst_JobName,MATCH($C529,lst_Jobs,0)),""))</f>
        <v/>
      </c>
      <c r="G529" s="10">
        <f>IF($BI529="","",IF($B529="Onsite",INDEX(tbl_Onsite[Job Description],$BI529),IF($B529="Production",INDEX(tbl_Production[Job Description],$BI529),INDEX(tbl_Consulting[Job Description],$BI529)))&amp;"")</f>
        <v/>
      </c>
      <c r="H529" s="10">
        <f>IF($BI529="","",IF($B529="Onsite",INDEX(tbl_Onsite[Cost Centre],$BI529),IF($B529="Production",INDEX(tbl_Production[Cost Centre],$BI529),INDEX(tbl_Consulting[Cost Centre],$BI529)))&amp;"")</f>
        <v/>
      </c>
      <c r="I529" s="10">
        <f>IF($BI529="","",IF($B529="Onsite",INDEX(tbl_Onsite[Invoice Type],$BI529),IF($B529="Production",INDEX(tbl_Production[Invoice Type],$BI529),INDEX(tbl_Consulting[Invoice Type],$BI529)))&amp;"")</f>
        <v/>
      </c>
      <c r="J529" s="10">
        <f>IF($BI529="","",IF($B529="Onsite",INDEX(tbl_Onsite[Tax Code],$BI529),IF($B529="Production",INDEX(tbl_Production[Tax Code],$BI529),INDEX(tbl_Consulting[Tax Code],$BI529)))&amp;"")</f>
        <v/>
      </c>
      <c r="K529" s="10">
        <f>IF(H529="","",IFERROR(INDEX(lst_CCtoGL,MATCH(H529,lst_CCforGL,0)),""))</f>
        <v/>
      </c>
      <c r="L529" s="10">
        <f>IF($BI529="","",IF($B529="Onsite",INDEX(tbl_Onsite[PO / Reference],$BI529),IF($B529="Production",INDEX(tbl_Production[Current RMS No],$BI529),INDEX(tbl_Consulting[Qwilr Quote],$BI529)))&amp;"")</f>
        <v/>
      </c>
      <c r="M529" s="10">
        <f>IF($BI529="","",IF($B529="Onsite",INDEX(tbl_Onsite[Notes],$BI529),IF($B529="Production",INDEX(tbl_Production[Notes],$BI529),INDEX(tbl_Consulting[Notes],$BI529)))&amp;"")</f>
        <v/>
      </c>
      <c r="N529" s="11">
        <f>IF($BI529="","",IF(IF($B529="Onsite",INDEX(tbl_Onsite[Expected Revenue Ex GST],$BI529),IF($B529="Production",INDEX(tbl_Production[Expected Revenue Ex GST],$BI529),INDEX(tbl_Consulting[Expected Revenue Ex GST],$BI529)))="","",IF($B529="Onsite",INDEX(tbl_Onsite[Expected Revenue Ex GST],$BI529),IF($B529="Production",INDEX(tbl_Production[Expected Revenue Ex GST],$BI529),INDEX(tbl_Consulting[Expected Revenue Ex GST],$BI529)))))</f>
        <v/>
      </c>
      <c r="O529" s="11">
        <f>IF(AND($C529="",NOT(COUNTA($S529:$BB529)&gt;0)),"",SUM(U529,X529,AA529,AD529,AG529,AJ529,AM529,AP529,AS529,AV529,AY529,BB529))</f>
        <v/>
      </c>
      <c r="P529" s="11">
        <f>IF(O529="","",N(N529)-O529)</f>
        <v/>
      </c>
      <c r="Q529" s="10">
        <f>IF(O529="","",IF($C529="","Invoice on empty job row",IF(N529="",IF(ROUND(O529,2)=0,"No dept value","Invoiced - no dept value"),IF(ROUND(O529,2)=0,"Not invoiced - to invoice",IF(ROUND(P529,2)=0,"Agrees",IF(P529&gt;0,"Dept higher - to invoice","Xero higher - check dept"))))))</f>
        <v/>
      </c>
      <c r="R529" s="10">
        <f>IF(AND($C529="",NOT(COUNTA($S529:$BB529)&gt;0),$BI529&lt;&gt;""),"",MID(IF($BI529="","; Row ID not found on the department sheet - a row was deleted","")&amp;IF(AND($C529="",COUNTA($S529:$BB529)&gt;0),"; Invoice entered but the department row has no job number","")&amp;IF(E529="CHECK","; Job number not in the Xero job list","")&amp;IF(AND($C529&lt;&gt;"",COUNTIF($C$7:$C$1506,$C529)&gt;1),"; Job number on more than one row","")&amp;IF(AND($C529&lt;&gt;"",H529=""),"; Dept has not set a cost centre","")&amp;IF(AND($C529&lt;&gt;"",J529=""),"; Dept has not set a tax code","")&amp;IF(AND($C529&lt;&gt;"",N529=""),"; Dept has not entered an expected value","")&amp;IF((IF(OR(COUNTA(S529:U529)=0,AND(COUNTA(S529:U529)=3,ISNUMBER(U529))),0,1)+IF(OR(COUNTA(V529:X529)=0,AND(COUNTA(V529:X529)=3,ISNUMBER(X529))),0,1)+IF(OR(COUNTA(Y529:AA529)=0,AND(COUNTA(Y529:AA529)=3,ISNUMBER(AA529))),0,1)+IF(OR(COUNTA(AB529:AD529)=0,AND(COUNTA(AB529:AD529)=3,ISNUMBER(AD529))),0,1)+IF(OR(COUNTA(AE529:AG529)=0,AND(COUNTA(AE529:AG529)=3,ISNUMBER(AG529))),0,1)+IF(OR(COUNTA(AH529:AJ529)=0,AND(COUNTA(AH529:AJ529)=3,ISNUMBER(AJ529))),0,1)+IF(OR(COUNTA(AK529:AM529)=0,AND(COUNTA(AK529:AM529)=3,ISNUMBER(AM529))),0,1)+IF(OR(COUNTA(AN529:AP529)=0,AND(COUNTA(AN529:AP529)=3,ISNUMBER(AP529))),0,1)+IF(OR(COUNTA(AQ529:AS529)=0,AND(COUNTA(AQ529:AS529)=3,ISNUMBER(AS529))),0,1)+IF(OR(COUNTA(AT529:AV529)=0,AND(COUNTA(AT529:AV529)=3,ISNUMBER(AV529))),0,1)+IF(OR(COUNTA(AW529:AY529)=0,AND(COUNTA(AW529:AY529)=3,ISNUMBER(AY529))),0,1)+IF(OR(COUNTA(AZ529:BB529)=0,AND(COUNTA(AZ529:BB529)=3,ISNUMBER(BB529))),0,1))&gt;0,"; An invoice is incomplete (needs No, Date and a number in Ex GST)","")&amp;IF((IF(T529="",0,IFERROR(--(EOMONTH(T529,0)&lt;&gt;S$5),1))+IF(W529="",0,IFERROR(--(EOMONTH(W529,0)&lt;&gt;V$5),1))+IF(Z529="",0,IFERROR(--(EOMONTH(Z529,0)&lt;&gt;Y$5),1))+IF(AC529="",0,IFERROR(--(EOMONTH(AC529,0)&lt;&gt;AB$5),1))+IF(AF529="",0,IFERROR(--(EOMONTH(AF529,0)&lt;&gt;AE$5),1))+IF(AI529="",0,IFERROR(--(EOMONTH(AI529,0)&lt;&gt;AH$5),1))+IF(AL529="",0,IFERROR(--(EOMONTH(AL529,0)&lt;&gt;AK$5),1))+IF(AO529="",0,IFERROR(--(EOMONTH(AO529,0)&lt;&gt;AN$5),1))+IF(AR529="",0,IFERROR(--(EOMONTH(AR529,0)&lt;&gt;AQ$5),1))+IF(AU529="",0,IFERROR(--(EOMONTH(AU529,0)&lt;&gt;AT$5),1))+IF(AX529="",0,IFERROR(--(EOMONTH(AX529,0)&lt;&gt;AW$5),1))+IF(BA529="",0,IFERROR(--(EOMONTH(BA529,0)&lt;&gt;AZ$5),1)))&gt;0,"; An invoice date is not in the month it is typed under",""),3,500))</f>
        <v/>
      </c>
      <c r="S529" s="12" t="n"/>
      <c r="T529" s="13" t="n"/>
      <c r="U529" s="14" t="n"/>
      <c r="V529" s="12" t="n"/>
      <c r="W529" s="13" t="n"/>
      <c r="X529" s="14" t="n"/>
      <c r="Y529" s="12" t="n"/>
      <c r="Z529" s="13" t="n"/>
      <c r="AA529" s="14" t="n"/>
      <c r="AB529" s="12" t="n"/>
      <c r="AC529" s="13" t="n"/>
      <c r="AD529" s="14" t="n"/>
      <c r="AE529" s="12" t="n"/>
      <c r="AF529" s="13" t="n"/>
      <c r="AG529" s="14" t="n"/>
      <c r="AH529" s="12" t="n"/>
      <c r="AI529" s="13" t="n"/>
      <c r="AJ529" s="14" t="n"/>
      <c r="AK529" s="12" t="n"/>
      <c r="AL529" s="13" t="n"/>
      <c r="AM529" s="14" t="n"/>
      <c r="AN529" s="12" t="n"/>
      <c r="AO529" s="13" t="n"/>
      <c r="AP529" s="14" t="n"/>
      <c r="AQ529" s="12" t="n"/>
      <c r="AR529" s="13" t="n"/>
      <c r="AS529" s="14" t="n"/>
      <c r="AT529" s="12" t="n"/>
      <c r="AU529" s="13" t="n"/>
      <c r="AV529" s="14" t="n"/>
      <c r="AW529" s="12" t="n"/>
      <c r="AX529" s="13" t="n"/>
      <c r="AY529" s="14" t="n"/>
      <c r="AZ529" s="12" t="n"/>
      <c r="BA529" s="13" t="n"/>
      <c r="BB529" s="14" t="n"/>
      <c r="BC529" s="11">
        <f>IF(O529="","",IF(J529="GST 10%",ROUND(O529*set_GSTRate,2),0))</f>
        <v/>
      </c>
      <c r="BD529" s="11">
        <f>IF(O529="","",O529+BC529)</f>
        <v/>
      </c>
      <c r="BE529" s="15">
        <f>IF(O529="","",COUNTA(S529,V529,Y529,AB529,AE529,AH529,AK529,AN529,AQ529,AT529,AW529,AZ529))</f>
        <v/>
      </c>
      <c r="BF529" s="16">
        <f>IF(COUNT(T529,W529,Z529,AC529,AF529,AI529,AL529,AO529,AR529,AU529,AX529,BA529)=0,"",MAX(T529,W529,Z529,AC529,AF529,AI529,AL529,AO529,AR529,AU529,AX529,BA529))</f>
        <v/>
      </c>
      <c r="BG529" s="10">
        <f>MID(IF(S529="","",", "&amp;S529)&amp;IF(V529="","",", "&amp;V529)&amp;IF(Y529="","",", "&amp;Y529)&amp;IF(AB529="","",", "&amp;AB529)&amp;IF(AE529="","",", "&amp;AE529)&amp;IF(AH529="","",", "&amp;AH529)&amp;IF(AK529="","",", "&amp;AK529)&amp;IF(AN529="","",", "&amp;AN529)&amp;IF(AQ529="","",", "&amp;AQ529)&amp;IF(AT529="","",", "&amp;AT529)&amp;IF(AW529="","",", "&amp;AW529)&amp;IF(AZ529="","",", "&amp;AZ529),3,500)</f>
        <v/>
      </c>
      <c r="BH529" s="12" t="n"/>
      <c r="BI529" s="15">
        <f>IFERROR(MATCH($A529,IF($B529="Onsite",tbl_Onsite[Row ID],IF($B529="Production",tbl_Production[Row ID],tbl_Consulting[Row ID])),0),"")</f>
        <v/>
      </c>
    </row>
    <row r="530">
      <c r="A530" s="10" t="inlineStr">
        <is>
          <t>PRD-0024</t>
        </is>
      </c>
      <c r="B530" s="10" t="inlineStr">
        <is>
          <t>Production</t>
        </is>
      </c>
      <c r="C530" s="10">
        <f>IF($BI530="","",IF($B530="Onsite",INDEX(tbl_Onsite[Job Number],$BI530),IF($B530="Production",INDEX(tbl_Production[Job Number],$BI530),INDEX(tbl_Consulting[Job Number],$BI530)))&amp;"")</f>
        <v/>
      </c>
      <c r="D530" s="10">
        <f>IF($BI530="","",IF($B530="Onsite",INDEX(tbl_Onsite[Client],$BI530),IF($B530="Production",INDEX(tbl_Production[Client],$BI530),INDEX(tbl_Consulting[Client],$BI530)))&amp;"")</f>
        <v/>
      </c>
      <c r="E530" s="10">
        <f>IF($C530="","",IF(COUNTIF(lst_Jobs,$C530)&gt;0,"OK","CHECK"))</f>
        <v/>
      </c>
      <c r="F530" s="10">
        <f>IF($C530="","",IFERROR(INDEX(lst_JobName,MATCH($C530,lst_Jobs,0)),""))</f>
        <v/>
      </c>
      <c r="G530" s="10">
        <f>IF($BI530="","",IF($B530="Onsite",INDEX(tbl_Onsite[Job Description],$BI530),IF($B530="Production",INDEX(tbl_Production[Job Description],$BI530),INDEX(tbl_Consulting[Job Description],$BI530)))&amp;"")</f>
        <v/>
      </c>
      <c r="H530" s="10">
        <f>IF($BI530="","",IF($B530="Onsite",INDEX(tbl_Onsite[Cost Centre],$BI530),IF($B530="Production",INDEX(tbl_Production[Cost Centre],$BI530),INDEX(tbl_Consulting[Cost Centre],$BI530)))&amp;"")</f>
        <v/>
      </c>
      <c r="I530" s="10">
        <f>IF($BI530="","",IF($B530="Onsite",INDEX(tbl_Onsite[Invoice Type],$BI530),IF($B530="Production",INDEX(tbl_Production[Invoice Type],$BI530),INDEX(tbl_Consulting[Invoice Type],$BI530)))&amp;"")</f>
        <v/>
      </c>
      <c r="J530" s="10">
        <f>IF($BI530="","",IF($B530="Onsite",INDEX(tbl_Onsite[Tax Code],$BI530),IF($B530="Production",INDEX(tbl_Production[Tax Code],$BI530),INDEX(tbl_Consulting[Tax Code],$BI530)))&amp;"")</f>
        <v/>
      </c>
      <c r="K530" s="10">
        <f>IF(H530="","",IFERROR(INDEX(lst_CCtoGL,MATCH(H530,lst_CCforGL,0)),""))</f>
        <v/>
      </c>
      <c r="L530" s="10">
        <f>IF($BI530="","",IF($B530="Onsite",INDEX(tbl_Onsite[PO / Reference],$BI530),IF($B530="Production",INDEX(tbl_Production[Current RMS No],$BI530),INDEX(tbl_Consulting[Qwilr Quote],$BI530)))&amp;"")</f>
        <v/>
      </c>
      <c r="M530" s="10">
        <f>IF($BI530="","",IF($B530="Onsite",INDEX(tbl_Onsite[Notes],$BI530),IF($B530="Production",INDEX(tbl_Production[Notes],$BI530),INDEX(tbl_Consulting[Notes],$BI530)))&amp;"")</f>
        <v/>
      </c>
      <c r="N530" s="11">
        <f>IF($BI530="","",IF(IF($B530="Onsite",INDEX(tbl_Onsite[Expected Revenue Ex GST],$BI530),IF($B530="Production",INDEX(tbl_Production[Expected Revenue Ex GST],$BI530),INDEX(tbl_Consulting[Expected Revenue Ex GST],$BI530)))="","",IF($B530="Onsite",INDEX(tbl_Onsite[Expected Revenue Ex GST],$BI530),IF($B530="Production",INDEX(tbl_Production[Expected Revenue Ex GST],$BI530),INDEX(tbl_Consulting[Expected Revenue Ex GST],$BI530)))))</f>
        <v/>
      </c>
      <c r="O530" s="11">
        <f>IF(AND($C530="",NOT(COUNTA($S530:$BB530)&gt;0)),"",SUM(U530,X530,AA530,AD530,AG530,AJ530,AM530,AP530,AS530,AV530,AY530,BB530))</f>
        <v/>
      </c>
      <c r="P530" s="11">
        <f>IF(O530="","",N(N530)-O530)</f>
        <v/>
      </c>
      <c r="Q530" s="10">
        <f>IF(O530="","",IF($C530="","Invoice on empty job row",IF(N530="",IF(ROUND(O530,2)=0,"No dept value","Invoiced - no dept value"),IF(ROUND(O530,2)=0,"Not invoiced - to invoice",IF(ROUND(P530,2)=0,"Agrees",IF(P530&gt;0,"Dept higher - to invoice","Xero higher - check dept"))))))</f>
        <v/>
      </c>
      <c r="R530" s="10">
        <f>IF(AND($C530="",NOT(COUNTA($S530:$BB530)&gt;0),$BI530&lt;&gt;""),"",MID(IF($BI530="","; Row ID not found on the department sheet - a row was deleted","")&amp;IF(AND($C530="",COUNTA($S530:$BB530)&gt;0),"; Invoice entered but the department row has no job number","")&amp;IF(E530="CHECK","; Job number not in the Xero job list","")&amp;IF(AND($C530&lt;&gt;"",COUNTIF($C$7:$C$1506,$C530)&gt;1),"; Job number on more than one row","")&amp;IF(AND($C530&lt;&gt;"",H530=""),"; Dept has not set a cost centre","")&amp;IF(AND($C530&lt;&gt;"",J530=""),"; Dept has not set a tax code","")&amp;IF(AND($C530&lt;&gt;"",N530=""),"; Dept has not entered an expected value","")&amp;IF((IF(OR(COUNTA(S530:U530)=0,AND(COUNTA(S530:U530)=3,ISNUMBER(U530))),0,1)+IF(OR(COUNTA(V530:X530)=0,AND(COUNTA(V530:X530)=3,ISNUMBER(X530))),0,1)+IF(OR(COUNTA(Y530:AA530)=0,AND(COUNTA(Y530:AA530)=3,ISNUMBER(AA530))),0,1)+IF(OR(COUNTA(AB530:AD530)=0,AND(COUNTA(AB530:AD530)=3,ISNUMBER(AD530))),0,1)+IF(OR(COUNTA(AE530:AG530)=0,AND(COUNTA(AE530:AG530)=3,ISNUMBER(AG530))),0,1)+IF(OR(COUNTA(AH530:AJ530)=0,AND(COUNTA(AH530:AJ530)=3,ISNUMBER(AJ530))),0,1)+IF(OR(COUNTA(AK530:AM530)=0,AND(COUNTA(AK530:AM530)=3,ISNUMBER(AM530))),0,1)+IF(OR(COUNTA(AN530:AP530)=0,AND(COUNTA(AN530:AP530)=3,ISNUMBER(AP530))),0,1)+IF(OR(COUNTA(AQ530:AS530)=0,AND(COUNTA(AQ530:AS530)=3,ISNUMBER(AS530))),0,1)+IF(OR(COUNTA(AT530:AV530)=0,AND(COUNTA(AT530:AV530)=3,ISNUMBER(AV530))),0,1)+IF(OR(COUNTA(AW530:AY530)=0,AND(COUNTA(AW530:AY530)=3,ISNUMBER(AY530))),0,1)+IF(OR(COUNTA(AZ530:BB530)=0,AND(COUNTA(AZ530:BB530)=3,ISNUMBER(BB530))),0,1))&gt;0,"; An invoice is incomplete (needs No, Date and a number in Ex GST)","")&amp;IF((IF(T530="",0,IFERROR(--(EOMONTH(T530,0)&lt;&gt;S$5),1))+IF(W530="",0,IFERROR(--(EOMONTH(W530,0)&lt;&gt;V$5),1))+IF(Z530="",0,IFERROR(--(EOMONTH(Z530,0)&lt;&gt;Y$5),1))+IF(AC530="",0,IFERROR(--(EOMONTH(AC530,0)&lt;&gt;AB$5),1))+IF(AF530="",0,IFERROR(--(EOMONTH(AF530,0)&lt;&gt;AE$5),1))+IF(AI530="",0,IFERROR(--(EOMONTH(AI530,0)&lt;&gt;AH$5),1))+IF(AL530="",0,IFERROR(--(EOMONTH(AL530,0)&lt;&gt;AK$5),1))+IF(AO530="",0,IFERROR(--(EOMONTH(AO530,0)&lt;&gt;AN$5),1))+IF(AR530="",0,IFERROR(--(EOMONTH(AR530,0)&lt;&gt;AQ$5),1))+IF(AU530="",0,IFERROR(--(EOMONTH(AU530,0)&lt;&gt;AT$5),1))+IF(AX530="",0,IFERROR(--(EOMONTH(AX530,0)&lt;&gt;AW$5),1))+IF(BA530="",0,IFERROR(--(EOMONTH(BA530,0)&lt;&gt;AZ$5),1)))&gt;0,"; An invoice date is not in the month it is typed under",""),3,500))</f>
        <v/>
      </c>
      <c r="S530" s="12" t="n"/>
      <c r="T530" s="13" t="n"/>
      <c r="U530" s="14" t="n"/>
      <c r="V530" s="12" t="n"/>
      <c r="W530" s="13" t="n"/>
      <c r="X530" s="14" t="n"/>
      <c r="Y530" s="12" t="n"/>
      <c r="Z530" s="13" t="n"/>
      <c r="AA530" s="14" t="n"/>
      <c r="AB530" s="12" t="n"/>
      <c r="AC530" s="13" t="n"/>
      <c r="AD530" s="14" t="n"/>
      <c r="AE530" s="12" t="n"/>
      <c r="AF530" s="13" t="n"/>
      <c r="AG530" s="14" t="n"/>
      <c r="AH530" s="12" t="n"/>
      <c r="AI530" s="13" t="n"/>
      <c r="AJ530" s="14" t="n"/>
      <c r="AK530" s="12" t="n"/>
      <c r="AL530" s="13" t="n"/>
      <c r="AM530" s="14" t="n"/>
      <c r="AN530" s="12" t="n"/>
      <c r="AO530" s="13" t="n"/>
      <c r="AP530" s="14" t="n"/>
      <c r="AQ530" s="12" t="n"/>
      <c r="AR530" s="13" t="n"/>
      <c r="AS530" s="14" t="n"/>
      <c r="AT530" s="12" t="n"/>
      <c r="AU530" s="13" t="n"/>
      <c r="AV530" s="14" t="n"/>
      <c r="AW530" s="12" t="n"/>
      <c r="AX530" s="13" t="n"/>
      <c r="AY530" s="14" t="n"/>
      <c r="AZ530" s="12" t="n"/>
      <c r="BA530" s="13" t="n"/>
      <c r="BB530" s="14" t="n"/>
      <c r="BC530" s="11">
        <f>IF(O530="","",IF(J530="GST 10%",ROUND(O530*set_GSTRate,2),0))</f>
        <v/>
      </c>
      <c r="BD530" s="11">
        <f>IF(O530="","",O530+BC530)</f>
        <v/>
      </c>
      <c r="BE530" s="15">
        <f>IF(O530="","",COUNTA(S530,V530,Y530,AB530,AE530,AH530,AK530,AN530,AQ530,AT530,AW530,AZ530))</f>
        <v/>
      </c>
      <c r="BF530" s="16">
        <f>IF(COUNT(T530,W530,Z530,AC530,AF530,AI530,AL530,AO530,AR530,AU530,AX530,BA530)=0,"",MAX(T530,W530,Z530,AC530,AF530,AI530,AL530,AO530,AR530,AU530,AX530,BA530))</f>
        <v/>
      </c>
      <c r="BG530" s="10">
        <f>MID(IF(S530="","",", "&amp;S530)&amp;IF(V530="","",", "&amp;V530)&amp;IF(Y530="","",", "&amp;Y530)&amp;IF(AB530="","",", "&amp;AB530)&amp;IF(AE530="","",", "&amp;AE530)&amp;IF(AH530="","",", "&amp;AH530)&amp;IF(AK530="","",", "&amp;AK530)&amp;IF(AN530="","",", "&amp;AN530)&amp;IF(AQ530="","",", "&amp;AQ530)&amp;IF(AT530="","",", "&amp;AT530)&amp;IF(AW530="","",", "&amp;AW530)&amp;IF(AZ530="","",", "&amp;AZ530),3,500)</f>
        <v/>
      </c>
      <c r="BH530" s="12" t="n"/>
      <c r="BI530" s="15">
        <f>IFERROR(MATCH($A530,IF($B530="Onsite",tbl_Onsite[Row ID],IF($B530="Production",tbl_Production[Row ID],tbl_Consulting[Row ID])),0),"")</f>
        <v/>
      </c>
    </row>
    <row r="531">
      <c r="A531" s="10" t="inlineStr">
        <is>
          <t>PRD-0025</t>
        </is>
      </c>
      <c r="B531" s="10" t="inlineStr">
        <is>
          <t>Production</t>
        </is>
      </c>
      <c r="C531" s="10">
        <f>IF($BI531="","",IF($B531="Onsite",INDEX(tbl_Onsite[Job Number],$BI531),IF($B531="Production",INDEX(tbl_Production[Job Number],$BI531),INDEX(tbl_Consulting[Job Number],$BI531)))&amp;"")</f>
        <v/>
      </c>
      <c r="D531" s="10">
        <f>IF($BI531="","",IF($B531="Onsite",INDEX(tbl_Onsite[Client],$BI531),IF($B531="Production",INDEX(tbl_Production[Client],$BI531),INDEX(tbl_Consulting[Client],$BI531)))&amp;"")</f>
        <v/>
      </c>
      <c r="E531" s="10">
        <f>IF($C531="","",IF(COUNTIF(lst_Jobs,$C531)&gt;0,"OK","CHECK"))</f>
        <v/>
      </c>
      <c r="F531" s="10">
        <f>IF($C531="","",IFERROR(INDEX(lst_JobName,MATCH($C531,lst_Jobs,0)),""))</f>
        <v/>
      </c>
      <c r="G531" s="10">
        <f>IF($BI531="","",IF($B531="Onsite",INDEX(tbl_Onsite[Job Description],$BI531),IF($B531="Production",INDEX(tbl_Production[Job Description],$BI531),INDEX(tbl_Consulting[Job Description],$BI531)))&amp;"")</f>
        <v/>
      </c>
      <c r="H531" s="10">
        <f>IF($BI531="","",IF($B531="Onsite",INDEX(tbl_Onsite[Cost Centre],$BI531),IF($B531="Production",INDEX(tbl_Production[Cost Centre],$BI531),INDEX(tbl_Consulting[Cost Centre],$BI531)))&amp;"")</f>
        <v/>
      </c>
      <c r="I531" s="10">
        <f>IF($BI531="","",IF($B531="Onsite",INDEX(tbl_Onsite[Invoice Type],$BI531),IF($B531="Production",INDEX(tbl_Production[Invoice Type],$BI531),INDEX(tbl_Consulting[Invoice Type],$BI531)))&amp;"")</f>
        <v/>
      </c>
      <c r="J531" s="10">
        <f>IF($BI531="","",IF($B531="Onsite",INDEX(tbl_Onsite[Tax Code],$BI531),IF($B531="Production",INDEX(tbl_Production[Tax Code],$BI531),INDEX(tbl_Consulting[Tax Code],$BI531)))&amp;"")</f>
        <v/>
      </c>
      <c r="K531" s="10">
        <f>IF(H531="","",IFERROR(INDEX(lst_CCtoGL,MATCH(H531,lst_CCforGL,0)),""))</f>
        <v/>
      </c>
      <c r="L531" s="10">
        <f>IF($BI531="","",IF($B531="Onsite",INDEX(tbl_Onsite[PO / Reference],$BI531),IF($B531="Production",INDEX(tbl_Production[Current RMS No],$BI531),INDEX(tbl_Consulting[Qwilr Quote],$BI531)))&amp;"")</f>
        <v/>
      </c>
      <c r="M531" s="10">
        <f>IF($BI531="","",IF($B531="Onsite",INDEX(tbl_Onsite[Notes],$BI531),IF($B531="Production",INDEX(tbl_Production[Notes],$BI531),INDEX(tbl_Consulting[Notes],$BI531)))&amp;"")</f>
        <v/>
      </c>
      <c r="N531" s="11">
        <f>IF($BI531="","",IF(IF($B531="Onsite",INDEX(tbl_Onsite[Expected Revenue Ex GST],$BI531),IF($B531="Production",INDEX(tbl_Production[Expected Revenue Ex GST],$BI531),INDEX(tbl_Consulting[Expected Revenue Ex GST],$BI531)))="","",IF($B531="Onsite",INDEX(tbl_Onsite[Expected Revenue Ex GST],$BI531),IF($B531="Production",INDEX(tbl_Production[Expected Revenue Ex GST],$BI531),INDEX(tbl_Consulting[Expected Revenue Ex GST],$BI531)))))</f>
        <v/>
      </c>
      <c r="O531" s="11">
        <f>IF(AND($C531="",NOT(COUNTA($S531:$BB531)&gt;0)),"",SUM(U531,X531,AA531,AD531,AG531,AJ531,AM531,AP531,AS531,AV531,AY531,BB531))</f>
        <v/>
      </c>
      <c r="P531" s="11">
        <f>IF(O531="","",N(N531)-O531)</f>
        <v/>
      </c>
      <c r="Q531" s="10">
        <f>IF(O531="","",IF($C531="","Invoice on empty job row",IF(N531="",IF(ROUND(O531,2)=0,"No dept value","Invoiced - no dept value"),IF(ROUND(O531,2)=0,"Not invoiced - to invoice",IF(ROUND(P531,2)=0,"Agrees",IF(P531&gt;0,"Dept higher - to invoice","Xero higher - check dept"))))))</f>
        <v/>
      </c>
      <c r="R531" s="10">
        <f>IF(AND($C531="",NOT(COUNTA($S531:$BB531)&gt;0),$BI531&lt;&gt;""),"",MID(IF($BI531="","; Row ID not found on the department sheet - a row was deleted","")&amp;IF(AND($C531="",COUNTA($S531:$BB531)&gt;0),"; Invoice entered but the department row has no job number","")&amp;IF(E531="CHECK","; Job number not in the Xero job list","")&amp;IF(AND($C531&lt;&gt;"",COUNTIF($C$7:$C$1506,$C531)&gt;1),"; Job number on more than one row","")&amp;IF(AND($C531&lt;&gt;"",H531=""),"; Dept has not set a cost centre","")&amp;IF(AND($C531&lt;&gt;"",J531=""),"; Dept has not set a tax code","")&amp;IF(AND($C531&lt;&gt;"",N531=""),"; Dept has not entered an expected value","")&amp;IF((IF(OR(COUNTA(S531:U531)=0,AND(COUNTA(S531:U531)=3,ISNUMBER(U531))),0,1)+IF(OR(COUNTA(V531:X531)=0,AND(COUNTA(V531:X531)=3,ISNUMBER(X531))),0,1)+IF(OR(COUNTA(Y531:AA531)=0,AND(COUNTA(Y531:AA531)=3,ISNUMBER(AA531))),0,1)+IF(OR(COUNTA(AB531:AD531)=0,AND(COUNTA(AB531:AD531)=3,ISNUMBER(AD531))),0,1)+IF(OR(COUNTA(AE531:AG531)=0,AND(COUNTA(AE531:AG531)=3,ISNUMBER(AG531))),0,1)+IF(OR(COUNTA(AH531:AJ531)=0,AND(COUNTA(AH531:AJ531)=3,ISNUMBER(AJ531))),0,1)+IF(OR(COUNTA(AK531:AM531)=0,AND(COUNTA(AK531:AM531)=3,ISNUMBER(AM531))),0,1)+IF(OR(COUNTA(AN531:AP531)=0,AND(COUNTA(AN531:AP531)=3,ISNUMBER(AP531))),0,1)+IF(OR(COUNTA(AQ531:AS531)=0,AND(COUNTA(AQ531:AS531)=3,ISNUMBER(AS531))),0,1)+IF(OR(COUNTA(AT531:AV531)=0,AND(COUNTA(AT531:AV531)=3,ISNUMBER(AV531))),0,1)+IF(OR(COUNTA(AW531:AY531)=0,AND(COUNTA(AW531:AY531)=3,ISNUMBER(AY531))),0,1)+IF(OR(COUNTA(AZ531:BB531)=0,AND(COUNTA(AZ531:BB531)=3,ISNUMBER(BB531))),0,1))&gt;0,"; An invoice is incomplete (needs No, Date and a number in Ex GST)","")&amp;IF((IF(T531="",0,IFERROR(--(EOMONTH(T531,0)&lt;&gt;S$5),1))+IF(W531="",0,IFERROR(--(EOMONTH(W531,0)&lt;&gt;V$5),1))+IF(Z531="",0,IFERROR(--(EOMONTH(Z531,0)&lt;&gt;Y$5),1))+IF(AC531="",0,IFERROR(--(EOMONTH(AC531,0)&lt;&gt;AB$5),1))+IF(AF531="",0,IFERROR(--(EOMONTH(AF531,0)&lt;&gt;AE$5),1))+IF(AI531="",0,IFERROR(--(EOMONTH(AI531,0)&lt;&gt;AH$5),1))+IF(AL531="",0,IFERROR(--(EOMONTH(AL531,0)&lt;&gt;AK$5),1))+IF(AO531="",0,IFERROR(--(EOMONTH(AO531,0)&lt;&gt;AN$5),1))+IF(AR531="",0,IFERROR(--(EOMONTH(AR531,0)&lt;&gt;AQ$5),1))+IF(AU531="",0,IFERROR(--(EOMONTH(AU531,0)&lt;&gt;AT$5),1))+IF(AX531="",0,IFERROR(--(EOMONTH(AX531,0)&lt;&gt;AW$5),1))+IF(BA531="",0,IFERROR(--(EOMONTH(BA531,0)&lt;&gt;AZ$5),1)))&gt;0,"; An invoice date is not in the month it is typed under",""),3,500))</f>
        <v/>
      </c>
      <c r="S531" s="12" t="n"/>
      <c r="T531" s="13" t="n"/>
      <c r="U531" s="14" t="n"/>
      <c r="V531" s="12" t="n"/>
      <c r="W531" s="13" t="n"/>
      <c r="X531" s="14" t="n"/>
      <c r="Y531" s="12" t="n"/>
      <c r="Z531" s="13" t="n"/>
      <c r="AA531" s="14" t="n"/>
      <c r="AB531" s="12" t="n"/>
      <c r="AC531" s="13" t="n"/>
      <c r="AD531" s="14" t="n"/>
      <c r="AE531" s="12" t="n"/>
      <c r="AF531" s="13" t="n"/>
      <c r="AG531" s="14" t="n"/>
      <c r="AH531" s="12" t="n"/>
      <c r="AI531" s="13" t="n"/>
      <c r="AJ531" s="14" t="n"/>
      <c r="AK531" s="12" t="n"/>
      <c r="AL531" s="13" t="n"/>
      <c r="AM531" s="14" t="n"/>
      <c r="AN531" s="12" t="n"/>
      <c r="AO531" s="13" t="n"/>
      <c r="AP531" s="14" t="n"/>
      <c r="AQ531" s="12" t="n"/>
      <c r="AR531" s="13" t="n"/>
      <c r="AS531" s="14" t="n"/>
      <c r="AT531" s="12" t="n"/>
      <c r="AU531" s="13" t="n"/>
      <c r="AV531" s="14" t="n"/>
      <c r="AW531" s="12" t="n"/>
      <c r="AX531" s="13" t="n"/>
      <c r="AY531" s="14" t="n"/>
      <c r="AZ531" s="12" t="n"/>
      <c r="BA531" s="13" t="n"/>
      <c r="BB531" s="14" t="n"/>
      <c r="BC531" s="11">
        <f>IF(O531="","",IF(J531="GST 10%",ROUND(O531*set_GSTRate,2),0))</f>
        <v/>
      </c>
      <c r="BD531" s="11">
        <f>IF(O531="","",O531+BC531)</f>
        <v/>
      </c>
      <c r="BE531" s="15">
        <f>IF(O531="","",COUNTA(S531,V531,Y531,AB531,AE531,AH531,AK531,AN531,AQ531,AT531,AW531,AZ531))</f>
        <v/>
      </c>
      <c r="BF531" s="16">
        <f>IF(COUNT(T531,W531,Z531,AC531,AF531,AI531,AL531,AO531,AR531,AU531,AX531,BA531)=0,"",MAX(T531,W531,Z531,AC531,AF531,AI531,AL531,AO531,AR531,AU531,AX531,BA531))</f>
        <v/>
      </c>
      <c r="BG531" s="10">
        <f>MID(IF(S531="","",", "&amp;S531)&amp;IF(V531="","",", "&amp;V531)&amp;IF(Y531="","",", "&amp;Y531)&amp;IF(AB531="","",", "&amp;AB531)&amp;IF(AE531="","",", "&amp;AE531)&amp;IF(AH531="","",", "&amp;AH531)&amp;IF(AK531="","",", "&amp;AK531)&amp;IF(AN531="","",", "&amp;AN531)&amp;IF(AQ531="","",", "&amp;AQ531)&amp;IF(AT531="","",", "&amp;AT531)&amp;IF(AW531="","",", "&amp;AW531)&amp;IF(AZ531="","",", "&amp;AZ531),3,500)</f>
        <v/>
      </c>
      <c r="BH531" s="12" t="n"/>
      <c r="BI531" s="15">
        <f>IFERROR(MATCH($A531,IF($B531="Onsite",tbl_Onsite[Row ID],IF($B531="Production",tbl_Production[Row ID],tbl_Consulting[Row ID])),0),"")</f>
        <v/>
      </c>
    </row>
    <row r="532">
      <c r="A532" s="10" t="inlineStr">
        <is>
          <t>PRD-0026</t>
        </is>
      </c>
      <c r="B532" s="10" t="inlineStr">
        <is>
          <t>Production</t>
        </is>
      </c>
      <c r="C532" s="10">
        <f>IF($BI532="","",IF($B532="Onsite",INDEX(tbl_Onsite[Job Number],$BI532),IF($B532="Production",INDEX(tbl_Production[Job Number],$BI532),INDEX(tbl_Consulting[Job Number],$BI532)))&amp;"")</f>
        <v/>
      </c>
      <c r="D532" s="10">
        <f>IF($BI532="","",IF($B532="Onsite",INDEX(tbl_Onsite[Client],$BI532),IF($B532="Production",INDEX(tbl_Production[Client],$BI532),INDEX(tbl_Consulting[Client],$BI532)))&amp;"")</f>
        <v/>
      </c>
      <c r="E532" s="10">
        <f>IF($C532="","",IF(COUNTIF(lst_Jobs,$C532)&gt;0,"OK","CHECK"))</f>
        <v/>
      </c>
      <c r="F532" s="10">
        <f>IF($C532="","",IFERROR(INDEX(lst_JobName,MATCH($C532,lst_Jobs,0)),""))</f>
        <v/>
      </c>
      <c r="G532" s="10">
        <f>IF($BI532="","",IF($B532="Onsite",INDEX(tbl_Onsite[Job Description],$BI532),IF($B532="Production",INDEX(tbl_Production[Job Description],$BI532),INDEX(tbl_Consulting[Job Description],$BI532)))&amp;"")</f>
        <v/>
      </c>
      <c r="H532" s="10">
        <f>IF($BI532="","",IF($B532="Onsite",INDEX(tbl_Onsite[Cost Centre],$BI532),IF($B532="Production",INDEX(tbl_Production[Cost Centre],$BI532),INDEX(tbl_Consulting[Cost Centre],$BI532)))&amp;"")</f>
        <v/>
      </c>
      <c r="I532" s="10">
        <f>IF($BI532="","",IF($B532="Onsite",INDEX(tbl_Onsite[Invoice Type],$BI532),IF($B532="Production",INDEX(tbl_Production[Invoice Type],$BI532),INDEX(tbl_Consulting[Invoice Type],$BI532)))&amp;"")</f>
        <v/>
      </c>
      <c r="J532" s="10">
        <f>IF($BI532="","",IF($B532="Onsite",INDEX(tbl_Onsite[Tax Code],$BI532),IF($B532="Production",INDEX(tbl_Production[Tax Code],$BI532),INDEX(tbl_Consulting[Tax Code],$BI532)))&amp;"")</f>
        <v/>
      </c>
      <c r="K532" s="10">
        <f>IF(H532="","",IFERROR(INDEX(lst_CCtoGL,MATCH(H532,lst_CCforGL,0)),""))</f>
        <v/>
      </c>
      <c r="L532" s="10">
        <f>IF($BI532="","",IF($B532="Onsite",INDEX(tbl_Onsite[PO / Reference],$BI532),IF($B532="Production",INDEX(tbl_Production[Current RMS No],$BI532),INDEX(tbl_Consulting[Qwilr Quote],$BI532)))&amp;"")</f>
        <v/>
      </c>
      <c r="M532" s="10">
        <f>IF($BI532="","",IF($B532="Onsite",INDEX(tbl_Onsite[Notes],$BI532),IF($B532="Production",INDEX(tbl_Production[Notes],$BI532),INDEX(tbl_Consulting[Notes],$BI532)))&amp;"")</f>
        <v/>
      </c>
      <c r="N532" s="11">
        <f>IF($BI532="","",IF(IF($B532="Onsite",INDEX(tbl_Onsite[Expected Revenue Ex GST],$BI532),IF($B532="Production",INDEX(tbl_Production[Expected Revenue Ex GST],$BI532),INDEX(tbl_Consulting[Expected Revenue Ex GST],$BI532)))="","",IF($B532="Onsite",INDEX(tbl_Onsite[Expected Revenue Ex GST],$BI532),IF($B532="Production",INDEX(tbl_Production[Expected Revenue Ex GST],$BI532),INDEX(tbl_Consulting[Expected Revenue Ex GST],$BI532)))))</f>
        <v/>
      </c>
      <c r="O532" s="11">
        <f>IF(AND($C532="",NOT(COUNTA($S532:$BB532)&gt;0)),"",SUM(U532,X532,AA532,AD532,AG532,AJ532,AM532,AP532,AS532,AV532,AY532,BB532))</f>
        <v/>
      </c>
      <c r="P532" s="11">
        <f>IF(O532="","",N(N532)-O532)</f>
        <v/>
      </c>
      <c r="Q532" s="10">
        <f>IF(O532="","",IF($C532="","Invoice on empty job row",IF(N532="",IF(ROUND(O532,2)=0,"No dept value","Invoiced - no dept value"),IF(ROUND(O532,2)=0,"Not invoiced - to invoice",IF(ROUND(P532,2)=0,"Agrees",IF(P532&gt;0,"Dept higher - to invoice","Xero higher - check dept"))))))</f>
        <v/>
      </c>
      <c r="R532" s="10">
        <f>IF(AND($C532="",NOT(COUNTA($S532:$BB532)&gt;0),$BI532&lt;&gt;""),"",MID(IF($BI532="","; Row ID not found on the department sheet - a row was deleted","")&amp;IF(AND($C532="",COUNTA($S532:$BB532)&gt;0),"; Invoice entered but the department row has no job number","")&amp;IF(E532="CHECK","; Job number not in the Xero job list","")&amp;IF(AND($C532&lt;&gt;"",COUNTIF($C$7:$C$1506,$C532)&gt;1),"; Job number on more than one row","")&amp;IF(AND($C532&lt;&gt;"",H532=""),"; Dept has not set a cost centre","")&amp;IF(AND($C532&lt;&gt;"",J532=""),"; Dept has not set a tax code","")&amp;IF(AND($C532&lt;&gt;"",N532=""),"; Dept has not entered an expected value","")&amp;IF((IF(OR(COUNTA(S532:U532)=0,AND(COUNTA(S532:U532)=3,ISNUMBER(U532))),0,1)+IF(OR(COUNTA(V532:X532)=0,AND(COUNTA(V532:X532)=3,ISNUMBER(X532))),0,1)+IF(OR(COUNTA(Y532:AA532)=0,AND(COUNTA(Y532:AA532)=3,ISNUMBER(AA532))),0,1)+IF(OR(COUNTA(AB532:AD532)=0,AND(COUNTA(AB532:AD532)=3,ISNUMBER(AD532))),0,1)+IF(OR(COUNTA(AE532:AG532)=0,AND(COUNTA(AE532:AG532)=3,ISNUMBER(AG532))),0,1)+IF(OR(COUNTA(AH532:AJ532)=0,AND(COUNTA(AH532:AJ532)=3,ISNUMBER(AJ532))),0,1)+IF(OR(COUNTA(AK532:AM532)=0,AND(COUNTA(AK532:AM532)=3,ISNUMBER(AM532))),0,1)+IF(OR(COUNTA(AN532:AP532)=0,AND(COUNTA(AN532:AP532)=3,ISNUMBER(AP532))),0,1)+IF(OR(COUNTA(AQ532:AS532)=0,AND(COUNTA(AQ532:AS532)=3,ISNUMBER(AS532))),0,1)+IF(OR(COUNTA(AT532:AV532)=0,AND(COUNTA(AT532:AV532)=3,ISNUMBER(AV532))),0,1)+IF(OR(COUNTA(AW532:AY532)=0,AND(COUNTA(AW532:AY532)=3,ISNUMBER(AY532))),0,1)+IF(OR(COUNTA(AZ532:BB532)=0,AND(COUNTA(AZ532:BB532)=3,ISNUMBER(BB532))),0,1))&gt;0,"; An invoice is incomplete (needs No, Date and a number in Ex GST)","")&amp;IF((IF(T532="",0,IFERROR(--(EOMONTH(T532,0)&lt;&gt;S$5),1))+IF(W532="",0,IFERROR(--(EOMONTH(W532,0)&lt;&gt;V$5),1))+IF(Z532="",0,IFERROR(--(EOMONTH(Z532,0)&lt;&gt;Y$5),1))+IF(AC532="",0,IFERROR(--(EOMONTH(AC532,0)&lt;&gt;AB$5),1))+IF(AF532="",0,IFERROR(--(EOMONTH(AF532,0)&lt;&gt;AE$5),1))+IF(AI532="",0,IFERROR(--(EOMONTH(AI532,0)&lt;&gt;AH$5),1))+IF(AL532="",0,IFERROR(--(EOMONTH(AL532,0)&lt;&gt;AK$5),1))+IF(AO532="",0,IFERROR(--(EOMONTH(AO532,0)&lt;&gt;AN$5),1))+IF(AR532="",0,IFERROR(--(EOMONTH(AR532,0)&lt;&gt;AQ$5),1))+IF(AU532="",0,IFERROR(--(EOMONTH(AU532,0)&lt;&gt;AT$5),1))+IF(AX532="",0,IFERROR(--(EOMONTH(AX532,0)&lt;&gt;AW$5),1))+IF(BA532="",0,IFERROR(--(EOMONTH(BA532,0)&lt;&gt;AZ$5),1)))&gt;0,"; An invoice date is not in the month it is typed under",""),3,500))</f>
        <v/>
      </c>
      <c r="S532" s="12" t="n"/>
      <c r="T532" s="13" t="n"/>
      <c r="U532" s="14" t="n"/>
      <c r="V532" s="12" t="n"/>
      <c r="W532" s="13" t="n"/>
      <c r="X532" s="14" t="n"/>
      <c r="Y532" s="12" t="n"/>
      <c r="Z532" s="13" t="n"/>
      <c r="AA532" s="14" t="n"/>
      <c r="AB532" s="12" t="n"/>
      <c r="AC532" s="13" t="n"/>
      <c r="AD532" s="14" t="n"/>
      <c r="AE532" s="12" t="n"/>
      <c r="AF532" s="13" t="n"/>
      <c r="AG532" s="14" t="n"/>
      <c r="AH532" s="12" t="n"/>
      <c r="AI532" s="13" t="n"/>
      <c r="AJ532" s="14" t="n"/>
      <c r="AK532" s="12" t="n"/>
      <c r="AL532" s="13" t="n"/>
      <c r="AM532" s="14" t="n"/>
      <c r="AN532" s="12" t="n"/>
      <c r="AO532" s="13" t="n"/>
      <c r="AP532" s="14" t="n"/>
      <c r="AQ532" s="12" t="n"/>
      <c r="AR532" s="13" t="n"/>
      <c r="AS532" s="14" t="n"/>
      <c r="AT532" s="12" t="n"/>
      <c r="AU532" s="13" t="n"/>
      <c r="AV532" s="14" t="n"/>
      <c r="AW532" s="12" t="n"/>
      <c r="AX532" s="13" t="n"/>
      <c r="AY532" s="14" t="n"/>
      <c r="AZ532" s="12" t="n"/>
      <c r="BA532" s="13" t="n"/>
      <c r="BB532" s="14" t="n"/>
      <c r="BC532" s="11">
        <f>IF(O532="","",IF(J532="GST 10%",ROUND(O532*set_GSTRate,2),0))</f>
        <v/>
      </c>
      <c r="BD532" s="11">
        <f>IF(O532="","",O532+BC532)</f>
        <v/>
      </c>
      <c r="BE532" s="15">
        <f>IF(O532="","",COUNTA(S532,V532,Y532,AB532,AE532,AH532,AK532,AN532,AQ532,AT532,AW532,AZ532))</f>
        <v/>
      </c>
      <c r="BF532" s="16">
        <f>IF(COUNT(T532,W532,Z532,AC532,AF532,AI532,AL532,AO532,AR532,AU532,AX532,BA532)=0,"",MAX(T532,W532,Z532,AC532,AF532,AI532,AL532,AO532,AR532,AU532,AX532,BA532))</f>
        <v/>
      </c>
      <c r="BG532" s="10">
        <f>MID(IF(S532="","",", "&amp;S532)&amp;IF(V532="","",", "&amp;V532)&amp;IF(Y532="","",", "&amp;Y532)&amp;IF(AB532="","",", "&amp;AB532)&amp;IF(AE532="","",", "&amp;AE532)&amp;IF(AH532="","",", "&amp;AH532)&amp;IF(AK532="","",", "&amp;AK532)&amp;IF(AN532="","",", "&amp;AN532)&amp;IF(AQ532="","",", "&amp;AQ532)&amp;IF(AT532="","",", "&amp;AT532)&amp;IF(AW532="","",", "&amp;AW532)&amp;IF(AZ532="","",", "&amp;AZ532),3,500)</f>
        <v/>
      </c>
      <c r="BH532" s="12" t="n"/>
      <c r="BI532" s="15">
        <f>IFERROR(MATCH($A532,IF($B532="Onsite",tbl_Onsite[Row ID],IF($B532="Production",tbl_Production[Row ID],tbl_Consulting[Row ID])),0),"")</f>
        <v/>
      </c>
    </row>
    <row r="533">
      <c r="A533" s="10" t="inlineStr">
        <is>
          <t>PRD-0027</t>
        </is>
      </c>
      <c r="B533" s="10" t="inlineStr">
        <is>
          <t>Production</t>
        </is>
      </c>
      <c r="C533" s="10">
        <f>IF($BI533="","",IF($B533="Onsite",INDEX(tbl_Onsite[Job Number],$BI533),IF($B533="Production",INDEX(tbl_Production[Job Number],$BI533),INDEX(tbl_Consulting[Job Number],$BI533)))&amp;"")</f>
        <v/>
      </c>
      <c r="D533" s="10">
        <f>IF($BI533="","",IF($B533="Onsite",INDEX(tbl_Onsite[Client],$BI533),IF($B533="Production",INDEX(tbl_Production[Client],$BI533),INDEX(tbl_Consulting[Client],$BI533)))&amp;"")</f>
        <v/>
      </c>
      <c r="E533" s="10">
        <f>IF($C533="","",IF(COUNTIF(lst_Jobs,$C533)&gt;0,"OK","CHECK"))</f>
        <v/>
      </c>
      <c r="F533" s="10">
        <f>IF($C533="","",IFERROR(INDEX(lst_JobName,MATCH($C533,lst_Jobs,0)),""))</f>
        <v/>
      </c>
      <c r="G533" s="10">
        <f>IF($BI533="","",IF($B533="Onsite",INDEX(tbl_Onsite[Job Description],$BI533),IF($B533="Production",INDEX(tbl_Production[Job Description],$BI533),INDEX(tbl_Consulting[Job Description],$BI533)))&amp;"")</f>
        <v/>
      </c>
      <c r="H533" s="10">
        <f>IF($BI533="","",IF($B533="Onsite",INDEX(tbl_Onsite[Cost Centre],$BI533),IF($B533="Production",INDEX(tbl_Production[Cost Centre],$BI533),INDEX(tbl_Consulting[Cost Centre],$BI533)))&amp;"")</f>
        <v/>
      </c>
      <c r="I533" s="10">
        <f>IF($BI533="","",IF($B533="Onsite",INDEX(tbl_Onsite[Invoice Type],$BI533),IF($B533="Production",INDEX(tbl_Production[Invoice Type],$BI533),INDEX(tbl_Consulting[Invoice Type],$BI533)))&amp;"")</f>
        <v/>
      </c>
      <c r="J533" s="10">
        <f>IF($BI533="","",IF($B533="Onsite",INDEX(tbl_Onsite[Tax Code],$BI533),IF($B533="Production",INDEX(tbl_Production[Tax Code],$BI533),INDEX(tbl_Consulting[Tax Code],$BI533)))&amp;"")</f>
        <v/>
      </c>
      <c r="K533" s="10">
        <f>IF(H533="","",IFERROR(INDEX(lst_CCtoGL,MATCH(H533,lst_CCforGL,0)),""))</f>
        <v/>
      </c>
      <c r="L533" s="10">
        <f>IF($BI533="","",IF($B533="Onsite",INDEX(tbl_Onsite[PO / Reference],$BI533),IF($B533="Production",INDEX(tbl_Production[Current RMS No],$BI533),INDEX(tbl_Consulting[Qwilr Quote],$BI533)))&amp;"")</f>
        <v/>
      </c>
      <c r="M533" s="10">
        <f>IF($BI533="","",IF($B533="Onsite",INDEX(tbl_Onsite[Notes],$BI533),IF($B533="Production",INDEX(tbl_Production[Notes],$BI533),INDEX(tbl_Consulting[Notes],$BI533)))&amp;"")</f>
        <v/>
      </c>
      <c r="N533" s="11">
        <f>IF($BI533="","",IF(IF($B533="Onsite",INDEX(tbl_Onsite[Expected Revenue Ex GST],$BI533),IF($B533="Production",INDEX(tbl_Production[Expected Revenue Ex GST],$BI533),INDEX(tbl_Consulting[Expected Revenue Ex GST],$BI533)))="","",IF($B533="Onsite",INDEX(tbl_Onsite[Expected Revenue Ex GST],$BI533),IF($B533="Production",INDEX(tbl_Production[Expected Revenue Ex GST],$BI533),INDEX(tbl_Consulting[Expected Revenue Ex GST],$BI533)))))</f>
        <v/>
      </c>
      <c r="O533" s="11">
        <f>IF(AND($C533="",NOT(COUNTA($S533:$BB533)&gt;0)),"",SUM(U533,X533,AA533,AD533,AG533,AJ533,AM533,AP533,AS533,AV533,AY533,BB533))</f>
        <v/>
      </c>
      <c r="P533" s="11">
        <f>IF(O533="","",N(N533)-O533)</f>
        <v/>
      </c>
      <c r="Q533" s="10">
        <f>IF(O533="","",IF($C533="","Invoice on empty job row",IF(N533="",IF(ROUND(O533,2)=0,"No dept value","Invoiced - no dept value"),IF(ROUND(O533,2)=0,"Not invoiced - to invoice",IF(ROUND(P533,2)=0,"Agrees",IF(P533&gt;0,"Dept higher - to invoice","Xero higher - check dept"))))))</f>
        <v/>
      </c>
      <c r="R533" s="10">
        <f>IF(AND($C533="",NOT(COUNTA($S533:$BB533)&gt;0),$BI533&lt;&gt;""),"",MID(IF($BI533="","; Row ID not found on the department sheet - a row was deleted","")&amp;IF(AND($C533="",COUNTA($S533:$BB533)&gt;0),"; Invoice entered but the department row has no job number","")&amp;IF(E533="CHECK","; Job number not in the Xero job list","")&amp;IF(AND($C533&lt;&gt;"",COUNTIF($C$7:$C$1506,$C533)&gt;1),"; Job number on more than one row","")&amp;IF(AND($C533&lt;&gt;"",H533=""),"; Dept has not set a cost centre","")&amp;IF(AND($C533&lt;&gt;"",J533=""),"; Dept has not set a tax code","")&amp;IF(AND($C533&lt;&gt;"",N533=""),"; Dept has not entered an expected value","")&amp;IF((IF(OR(COUNTA(S533:U533)=0,AND(COUNTA(S533:U533)=3,ISNUMBER(U533))),0,1)+IF(OR(COUNTA(V533:X533)=0,AND(COUNTA(V533:X533)=3,ISNUMBER(X533))),0,1)+IF(OR(COUNTA(Y533:AA533)=0,AND(COUNTA(Y533:AA533)=3,ISNUMBER(AA533))),0,1)+IF(OR(COUNTA(AB533:AD533)=0,AND(COUNTA(AB533:AD533)=3,ISNUMBER(AD533))),0,1)+IF(OR(COUNTA(AE533:AG533)=0,AND(COUNTA(AE533:AG533)=3,ISNUMBER(AG533))),0,1)+IF(OR(COUNTA(AH533:AJ533)=0,AND(COUNTA(AH533:AJ533)=3,ISNUMBER(AJ533))),0,1)+IF(OR(COUNTA(AK533:AM533)=0,AND(COUNTA(AK533:AM533)=3,ISNUMBER(AM533))),0,1)+IF(OR(COUNTA(AN533:AP533)=0,AND(COUNTA(AN533:AP533)=3,ISNUMBER(AP533))),0,1)+IF(OR(COUNTA(AQ533:AS533)=0,AND(COUNTA(AQ533:AS533)=3,ISNUMBER(AS533))),0,1)+IF(OR(COUNTA(AT533:AV533)=0,AND(COUNTA(AT533:AV533)=3,ISNUMBER(AV533))),0,1)+IF(OR(COUNTA(AW533:AY533)=0,AND(COUNTA(AW533:AY533)=3,ISNUMBER(AY533))),0,1)+IF(OR(COUNTA(AZ533:BB533)=0,AND(COUNTA(AZ533:BB533)=3,ISNUMBER(BB533))),0,1))&gt;0,"; An invoice is incomplete (needs No, Date and a number in Ex GST)","")&amp;IF((IF(T533="",0,IFERROR(--(EOMONTH(T533,0)&lt;&gt;S$5),1))+IF(W533="",0,IFERROR(--(EOMONTH(W533,0)&lt;&gt;V$5),1))+IF(Z533="",0,IFERROR(--(EOMONTH(Z533,0)&lt;&gt;Y$5),1))+IF(AC533="",0,IFERROR(--(EOMONTH(AC533,0)&lt;&gt;AB$5),1))+IF(AF533="",0,IFERROR(--(EOMONTH(AF533,0)&lt;&gt;AE$5),1))+IF(AI533="",0,IFERROR(--(EOMONTH(AI533,0)&lt;&gt;AH$5),1))+IF(AL533="",0,IFERROR(--(EOMONTH(AL533,0)&lt;&gt;AK$5),1))+IF(AO533="",0,IFERROR(--(EOMONTH(AO533,0)&lt;&gt;AN$5),1))+IF(AR533="",0,IFERROR(--(EOMONTH(AR533,0)&lt;&gt;AQ$5),1))+IF(AU533="",0,IFERROR(--(EOMONTH(AU533,0)&lt;&gt;AT$5),1))+IF(AX533="",0,IFERROR(--(EOMONTH(AX533,0)&lt;&gt;AW$5),1))+IF(BA533="",0,IFERROR(--(EOMONTH(BA533,0)&lt;&gt;AZ$5),1)))&gt;0,"; An invoice date is not in the month it is typed under",""),3,500))</f>
        <v/>
      </c>
      <c r="S533" s="12" t="n"/>
      <c r="T533" s="13" t="n"/>
      <c r="U533" s="14" t="n"/>
      <c r="V533" s="12" t="n"/>
      <c r="W533" s="13" t="n"/>
      <c r="X533" s="14" t="n"/>
      <c r="Y533" s="12" t="n"/>
      <c r="Z533" s="13" t="n"/>
      <c r="AA533" s="14" t="n"/>
      <c r="AB533" s="12" t="n"/>
      <c r="AC533" s="13" t="n"/>
      <c r="AD533" s="14" t="n"/>
      <c r="AE533" s="12" t="n"/>
      <c r="AF533" s="13" t="n"/>
      <c r="AG533" s="14" t="n"/>
      <c r="AH533" s="12" t="n"/>
      <c r="AI533" s="13" t="n"/>
      <c r="AJ533" s="14" t="n"/>
      <c r="AK533" s="12" t="n"/>
      <c r="AL533" s="13" t="n"/>
      <c r="AM533" s="14" t="n"/>
      <c r="AN533" s="12" t="n"/>
      <c r="AO533" s="13" t="n"/>
      <c r="AP533" s="14" t="n"/>
      <c r="AQ533" s="12" t="n"/>
      <c r="AR533" s="13" t="n"/>
      <c r="AS533" s="14" t="n"/>
      <c r="AT533" s="12" t="n"/>
      <c r="AU533" s="13" t="n"/>
      <c r="AV533" s="14" t="n"/>
      <c r="AW533" s="12" t="n"/>
      <c r="AX533" s="13" t="n"/>
      <c r="AY533" s="14" t="n"/>
      <c r="AZ533" s="12" t="n"/>
      <c r="BA533" s="13" t="n"/>
      <c r="BB533" s="14" t="n"/>
      <c r="BC533" s="11">
        <f>IF(O533="","",IF(J533="GST 10%",ROUND(O533*set_GSTRate,2),0))</f>
        <v/>
      </c>
      <c r="BD533" s="11">
        <f>IF(O533="","",O533+BC533)</f>
        <v/>
      </c>
      <c r="BE533" s="15">
        <f>IF(O533="","",COUNTA(S533,V533,Y533,AB533,AE533,AH533,AK533,AN533,AQ533,AT533,AW533,AZ533))</f>
        <v/>
      </c>
      <c r="BF533" s="16">
        <f>IF(COUNT(T533,W533,Z533,AC533,AF533,AI533,AL533,AO533,AR533,AU533,AX533,BA533)=0,"",MAX(T533,W533,Z533,AC533,AF533,AI533,AL533,AO533,AR533,AU533,AX533,BA533))</f>
        <v/>
      </c>
      <c r="BG533" s="10">
        <f>MID(IF(S533="","",", "&amp;S533)&amp;IF(V533="","",", "&amp;V533)&amp;IF(Y533="","",", "&amp;Y533)&amp;IF(AB533="","",", "&amp;AB533)&amp;IF(AE533="","",", "&amp;AE533)&amp;IF(AH533="","",", "&amp;AH533)&amp;IF(AK533="","",", "&amp;AK533)&amp;IF(AN533="","",", "&amp;AN533)&amp;IF(AQ533="","",", "&amp;AQ533)&amp;IF(AT533="","",", "&amp;AT533)&amp;IF(AW533="","",", "&amp;AW533)&amp;IF(AZ533="","",", "&amp;AZ533),3,500)</f>
        <v/>
      </c>
      <c r="BH533" s="12" t="n"/>
      <c r="BI533" s="15">
        <f>IFERROR(MATCH($A533,IF($B533="Onsite",tbl_Onsite[Row ID],IF($B533="Production",tbl_Production[Row ID],tbl_Consulting[Row ID])),0),"")</f>
        <v/>
      </c>
    </row>
    <row r="534">
      <c r="A534" s="10" t="inlineStr">
        <is>
          <t>PRD-0028</t>
        </is>
      </c>
      <c r="B534" s="10" t="inlineStr">
        <is>
          <t>Production</t>
        </is>
      </c>
      <c r="C534" s="10">
        <f>IF($BI534="","",IF($B534="Onsite",INDEX(tbl_Onsite[Job Number],$BI534),IF($B534="Production",INDEX(tbl_Production[Job Number],$BI534),INDEX(tbl_Consulting[Job Number],$BI534)))&amp;"")</f>
        <v/>
      </c>
      <c r="D534" s="10">
        <f>IF($BI534="","",IF($B534="Onsite",INDEX(tbl_Onsite[Client],$BI534),IF($B534="Production",INDEX(tbl_Production[Client],$BI534),INDEX(tbl_Consulting[Client],$BI534)))&amp;"")</f>
        <v/>
      </c>
      <c r="E534" s="10">
        <f>IF($C534="","",IF(COUNTIF(lst_Jobs,$C534)&gt;0,"OK","CHECK"))</f>
        <v/>
      </c>
      <c r="F534" s="10">
        <f>IF($C534="","",IFERROR(INDEX(lst_JobName,MATCH($C534,lst_Jobs,0)),""))</f>
        <v/>
      </c>
      <c r="G534" s="10">
        <f>IF($BI534="","",IF($B534="Onsite",INDEX(tbl_Onsite[Job Description],$BI534),IF($B534="Production",INDEX(tbl_Production[Job Description],$BI534),INDEX(tbl_Consulting[Job Description],$BI534)))&amp;"")</f>
        <v/>
      </c>
      <c r="H534" s="10">
        <f>IF($BI534="","",IF($B534="Onsite",INDEX(tbl_Onsite[Cost Centre],$BI534),IF($B534="Production",INDEX(tbl_Production[Cost Centre],$BI534),INDEX(tbl_Consulting[Cost Centre],$BI534)))&amp;"")</f>
        <v/>
      </c>
      <c r="I534" s="10">
        <f>IF($BI534="","",IF($B534="Onsite",INDEX(tbl_Onsite[Invoice Type],$BI534),IF($B534="Production",INDEX(tbl_Production[Invoice Type],$BI534),INDEX(tbl_Consulting[Invoice Type],$BI534)))&amp;"")</f>
        <v/>
      </c>
      <c r="J534" s="10">
        <f>IF($BI534="","",IF($B534="Onsite",INDEX(tbl_Onsite[Tax Code],$BI534),IF($B534="Production",INDEX(tbl_Production[Tax Code],$BI534),INDEX(tbl_Consulting[Tax Code],$BI534)))&amp;"")</f>
        <v/>
      </c>
      <c r="K534" s="10">
        <f>IF(H534="","",IFERROR(INDEX(lst_CCtoGL,MATCH(H534,lst_CCforGL,0)),""))</f>
        <v/>
      </c>
      <c r="L534" s="10">
        <f>IF($BI534="","",IF($B534="Onsite",INDEX(tbl_Onsite[PO / Reference],$BI534),IF($B534="Production",INDEX(tbl_Production[Current RMS No],$BI534),INDEX(tbl_Consulting[Qwilr Quote],$BI534)))&amp;"")</f>
        <v/>
      </c>
      <c r="M534" s="10">
        <f>IF($BI534="","",IF($B534="Onsite",INDEX(tbl_Onsite[Notes],$BI534),IF($B534="Production",INDEX(tbl_Production[Notes],$BI534),INDEX(tbl_Consulting[Notes],$BI534)))&amp;"")</f>
        <v/>
      </c>
      <c r="N534" s="11">
        <f>IF($BI534="","",IF(IF($B534="Onsite",INDEX(tbl_Onsite[Expected Revenue Ex GST],$BI534),IF($B534="Production",INDEX(tbl_Production[Expected Revenue Ex GST],$BI534),INDEX(tbl_Consulting[Expected Revenue Ex GST],$BI534)))="","",IF($B534="Onsite",INDEX(tbl_Onsite[Expected Revenue Ex GST],$BI534),IF($B534="Production",INDEX(tbl_Production[Expected Revenue Ex GST],$BI534),INDEX(tbl_Consulting[Expected Revenue Ex GST],$BI534)))))</f>
        <v/>
      </c>
      <c r="O534" s="11">
        <f>IF(AND($C534="",NOT(COUNTA($S534:$BB534)&gt;0)),"",SUM(U534,X534,AA534,AD534,AG534,AJ534,AM534,AP534,AS534,AV534,AY534,BB534))</f>
        <v/>
      </c>
      <c r="P534" s="11">
        <f>IF(O534="","",N(N534)-O534)</f>
        <v/>
      </c>
      <c r="Q534" s="10">
        <f>IF(O534="","",IF($C534="","Invoice on empty job row",IF(N534="",IF(ROUND(O534,2)=0,"No dept value","Invoiced - no dept value"),IF(ROUND(O534,2)=0,"Not invoiced - to invoice",IF(ROUND(P534,2)=0,"Agrees",IF(P534&gt;0,"Dept higher - to invoice","Xero higher - check dept"))))))</f>
        <v/>
      </c>
      <c r="R534" s="10">
        <f>IF(AND($C534="",NOT(COUNTA($S534:$BB534)&gt;0),$BI534&lt;&gt;""),"",MID(IF($BI534="","; Row ID not found on the department sheet - a row was deleted","")&amp;IF(AND($C534="",COUNTA($S534:$BB534)&gt;0),"; Invoice entered but the department row has no job number","")&amp;IF(E534="CHECK","; Job number not in the Xero job list","")&amp;IF(AND($C534&lt;&gt;"",COUNTIF($C$7:$C$1506,$C534)&gt;1),"; Job number on more than one row","")&amp;IF(AND($C534&lt;&gt;"",H534=""),"; Dept has not set a cost centre","")&amp;IF(AND($C534&lt;&gt;"",J534=""),"; Dept has not set a tax code","")&amp;IF(AND($C534&lt;&gt;"",N534=""),"; Dept has not entered an expected value","")&amp;IF((IF(OR(COUNTA(S534:U534)=0,AND(COUNTA(S534:U534)=3,ISNUMBER(U534))),0,1)+IF(OR(COUNTA(V534:X534)=0,AND(COUNTA(V534:X534)=3,ISNUMBER(X534))),0,1)+IF(OR(COUNTA(Y534:AA534)=0,AND(COUNTA(Y534:AA534)=3,ISNUMBER(AA534))),0,1)+IF(OR(COUNTA(AB534:AD534)=0,AND(COUNTA(AB534:AD534)=3,ISNUMBER(AD534))),0,1)+IF(OR(COUNTA(AE534:AG534)=0,AND(COUNTA(AE534:AG534)=3,ISNUMBER(AG534))),0,1)+IF(OR(COUNTA(AH534:AJ534)=0,AND(COUNTA(AH534:AJ534)=3,ISNUMBER(AJ534))),0,1)+IF(OR(COUNTA(AK534:AM534)=0,AND(COUNTA(AK534:AM534)=3,ISNUMBER(AM534))),0,1)+IF(OR(COUNTA(AN534:AP534)=0,AND(COUNTA(AN534:AP534)=3,ISNUMBER(AP534))),0,1)+IF(OR(COUNTA(AQ534:AS534)=0,AND(COUNTA(AQ534:AS534)=3,ISNUMBER(AS534))),0,1)+IF(OR(COUNTA(AT534:AV534)=0,AND(COUNTA(AT534:AV534)=3,ISNUMBER(AV534))),0,1)+IF(OR(COUNTA(AW534:AY534)=0,AND(COUNTA(AW534:AY534)=3,ISNUMBER(AY534))),0,1)+IF(OR(COUNTA(AZ534:BB534)=0,AND(COUNTA(AZ534:BB534)=3,ISNUMBER(BB534))),0,1))&gt;0,"; An invoice is incomplete (needs No, Date and a number in Ex GST)","")&amp;IF((IF(T534="",0,IFERROR(--(EOMONTH(T534,0)&lt;&gt;S$5),1))+IF(W534="",0,IFERROR(--(EOMONTH(W534,0)&lt;&gt;V$5),1))+IF(Z534="",0,IFERROR(--(EOMONTH(Z534,0)&lt;&gt;Y$5),1))+IF(AC534="",0,IFERROR(--(EOMONTH(AC534,0)&lt;&gt;AB$5),1))+IF(AF534="",0,IFERROR(--(EOMONTH(AF534,0)&lt;&gt;AE$5),1))+IF(AI534="",0,IFERROR(--(EOMONTH(AI534,0)&lt;&gt;AH$5),1))+IF(AL534="",0,IFERROR(--(EOMONTH(AL534,0)&lt;&gt;AK$5),1))+IF(AO534="",0,IFERROR(--(EOMONTH(AO534,0)&lt;&gt;AN$5),1))+IF(AR534="",0,IFERROR(--(EOMONTH(AR534,0)&lt;&gt;AQ$5),1))+IF(AU534="",0,IFERROR(--(EOMONTH(AU534,0)&lt;&gt;AT$5),1))+IF(AX534="",0,IFERROR(--(EOMONTH(AX534,0)&lt;&gt;AW$5),1))+IF(BA534="",0,IFERROR(--(EOMONTH(BA534,0)&lt;&gt;AZ$5),1)))&gt;0,"; An invoice date is not in the month it is typed under",""),3,500))</f>
        <v/>
      </c>
      <c r="S534" s="12" t="n"/>
      <c r="T534" s="13" t="n"/>
      <c r="U534" s="14" t="n"/>
      <c r="V534" s="12" t="n"/>
      <c r="W534" s="13" t="n"/>
      <c r="X534" s="14" t="n"/>
      <c r="Y534" s="12" t="n"/>
      <c r="Z534" s="13" t="n"/>
      <c r="AA534" s="14" t="n"/>
      <c r="AB534" s="12" t="n"/>
      <c r="AC534" s="13" t="n"/>
      <c r="AD534" s="14" t="n"/>
      <c r="AE534" s="12" t="n"/>
      <c r="AF534" s="13" t="n"/>
      <c r="AG534" s="14" t="n"/>
      <c r="AH534" s="12" t="n"/>
      <c r="AI534" s="13" t="n"/>
      <c r="AJ534" s="14" t="n"/>
      <c r="AK534" s="12" t="n"/>
      <c r="AL534" s="13" t="n"/>
      <c r="AM534" s="14" t="n"/>
      <c r="AN534" s="12" t="n"/>
      <c r="AO534" s="13" t="n"/>
      <c r="AP534" s="14" t="n"/>
      <c r="AQ534" s="12" t="n"/>
      <c r="AR534" s="13" t="n"/>
      <c r="AS534" s="14" t="n"/>
      <c r="AT534" s="12" t="n"/>
      <c r="AU534" s="13" t="n"/>
      <c r="AV534" s="14" t="n"/>
      <c r="AW534" s="12" t="n"/>
      <c r="AX534" s="13" t="n"/>
      <c r="AY534" s="14" t="n"/>
      <c r="AZ534" s="12" t="n"/>
      <c r="BA534" s="13" t="n"/>
      <c r="BB534" s="14" t="n"/>
      <c r="BC534" s="11">
        <f>IF(O534="","",IF(J534="GST 10%",ROUND(O534*set_GSTRate,2),0))</f>
        <v/>
      </c>
      <c r="BD534" s="11">
        <f>IF(O534="","",O534+BC534)</f>
        <v/>
      </c>
      <c r="BE534" s="15">
        <f>IF(O534="","",COUNTA(S534,V534,Y534,AB534,AE534,AH534,AK534,AN534,AQ534,AT534,AW534,AZ534))</f>
        <v/>
      </c>
      <c r="BF534" s="16">
        <f>IF(COUNT(T534,W534,Z534,AC534,AF534,AI534,AL534,AO534,AR534,AU534,AX534,BA534)=0,"",MAX(T534,W534,Z534,AC534,AF534,AI534,AL534,AO534,AR534,AU534,AX534,BA534))</f>
        <v/>
      </c>
      <c r="BG534" s="10">
        <f>MID(IF(S534="","",", "&amp;S534)&amp;IF(V534="","",", "&amp;V534)&amp;IF(Y534="","",", "&amp;Y534)&amp;IF(AB534="","",", "&amp;AB534)&amp;IF(AE534="","",", "&amp;AE534)&amp;IF(AH534="","",", "&amp;AH534)&amp;IF(AK534="","",", "&amp;AK534)&amp;IF(AN534="","",", "&amp;AN534)&amp;IF(AQ534="","",", "&amp;AQ534)&amp;IF(AT534="","",", "&amp;AT534)&amp;IF(AW534="","",", "&amp;AW534)&amp;IF(AZ534="","",", "&amp;AZ534),3,500)</f>
        <v/>
      </c>
      <c r="BH534" s="12" t="n"/>
      <c r="BI534" s="15">
        <f>IFERROR(MATCH($A534,IF($B534="Onsite",tbl_Onsite[Row ID],IF($B534="Production",tbl_Production[Row ID],tbl_Consulting[Row ID])),0),"")</f>
        <v/>
      </c>
    </row>
    <row r="535">
      <c r="A535" s="10" t="inlineStr">
        <is>
          <t>PRD-0029</t>
        </is>
      </c>
      <c r="B535" s="10" t="inlineStr">
        <is>
          <t>Production</t>
        </is>
      </c>
      <c r="C535" s="10">
        <f>IF($BI535="","",IF($B535="Onsite",INDEX(tbl_Onsite[Job Number],$BI535),IF($B535="Production",INDEX(tbl_Production[Job Number],$BI535),INDEX(tbl_Consulting[Job Number],$BI535)))&amp;"")</f>
        <v/>
      </c>
      <c r="D535" s="10">
        <f>IF($BI535="","",IF($B535="Onsite",INDEX(tbl_Onsite[Client],$BI535),IF($B535="Production",INDEX(tbl_Production[Client],$BI535),INDEX(tbl_Consulting[Client],$BI535)))&amp;"")</f>
        <v/>
      </c>
      <c r="E535" s="10">
        <f>IF($C535="","",IF(COUNTIF(lst_Jobs,$C535)&gt;0,"OK","CHECK"))</f>
        <v/>
      </c>
      <c r="F535" s="10">
        <f>IF($C535="","",IFERROR(INDEX(lst_JobName,MATCH($C535,lst_Jobs,0)),""))</f>
        <v/>
      </c>
      <c r="G535" s="10">
        <f>IF($BI535="","",IF($B535="Onsite",INDEX(tbl_Onsite[Job Description],$BI535),IF($B535="Production",INDEX(tbl_Production[Job Description],$BI535),INDEX(tbl_Consulting[Job Description],$BI535)))&amp;"")</f>
        <v/>
      </c>
      <c r="H535" s="10">
        <f>IF($BI535="","",IF($B535="Onsite",INDEX(tbl_Onsite[Cost Centre],$BI535),IF($B535="Production",INDEX(tbl_Production[Cost Centre],$BI535),INDEX(tbl_Consulting[Cost Centre],$BI535)))&amp;"")</f>
        <v/>
      </c>
      <c r="I535" s="10">
        <f>IF($BI535="","",IF($B535="Onsite",INDEX(tbl_Onsite[Invoice Type],$BI535),IF($B535="Production",INDEX(tbl_Production[Invoice Type],$BI535),INDEX(tbl_Consulting[Invoice Type],$BI535)))&amp;"")</f>
        <v/>
      </c>
      <c r="J535" s="10">
        <f>IF($BI535="","",IF($B535="Onsite",INDEX(tbl_Onsite[Tax Code],$BI535),IF($B535="Production",INDEX(tbl_Production[Tax Code],$BI535),INDEX(tbl_Consulting[Tax Code],$BI535)))&amp;"")</f>
        <v/>
      </c>
      <c r="K535" s="10">
        <f>IF(H535="","",IFERROR(INDEX(lst_CCtoGL,MATCH(H535,lst_CCforGL,0)),""))</f>
        <v/>
      </c>
      <c r="L535" s="10">
        <f>IF($BI535="","",IF($B535="Onsite",INDEX(tbl_Onsite[PO / Reference],$BI535),IF($B535="Production",INDEX(tbl_Production[Current RMS No],$BI535),INDEX(tbl_Consulting[Qwilr Quote],$BI535)))&amp;"")</f>
        <v/>
      </c>
      <c r="M535" s="10">
        <f>IF($BI535="","",IF($B535="Onsite",INDEX(tbl_Onsite[Notes],$BI535),IF($B535="Production",INDEX(tbl_Production[Notes],$BI535),INDEX(tbl_Consulting[Notes],$BI535)))&amp;"")</f>
        <v/>
      </c>
      <c r="N535" s="11">
        <f>IF($BI535="","",IF(IF($B535="Onsite",INDEX(tbl_Onsite[Expected Revenue Ex GST],$BI535),IF($B535="Production",INDEX(tbl_Production[Expected Revenue Ex GST],$BI535),INDEX(tbl_Consulting[Expected Revenue Ex GST],$BI535)))="","",IF($B535="Onsite",INDEX(tbl_Onsite[Expected Revenue Ex GST],$BI535),IF($B535="Production",INDEX(tbl_Production[Expected Revenue Ex GST],$BI535),INDEX(tbl_Consulting[Expected Revenue Ex GST],$BI535)))))</f>
        <v/>
      </c>
      <c r="O535" s="11">
        <f>IF(AND($C535="",NOT(COUNTA($S535:$BB535)&gt;0)),"",SUM(U535,X535,AA535,AD535,AG535,AJ535,AM535,AP535,AS535,AV535,AY535,BB535))</f>
        <v/>
      </c>
      <c r="P535" s="11">
        <f>IF(O535="","",N(N535)-O535)</f>
        <v/>
      </c>
      <c r="Q535" s="10">
        <f>IF(O535="","",IF($C535="","Invoice on empty job row",IF(N535="",IF(ROUND(O535,2)=0,"No dept value","Invoiced - no dept value"),IF(ROUND(O535,2)=0,"Not invoiced - to invoice",IF(ROUND(P535,2)=0,"Agrees",IF(P535&gt;0,"Dept higher - to invoice","Xero higher - check dept"))))))</f>
        <v/>
      </c>
      <c r="R535" s="10">
        <f>IF(AND($C535="",NOT(COUNTA($S535:$BB535)&gt;0),$BI535&lt;&gt;""),"",MID(IF($BI535="","; Row ID not found on the department sheet - a row was deleted","")&amp;IF(AND($C535="",COUNTA($S535:$BB535)&gt;0),"; Invoice entered but the department row has no job number","")&amp;IF(E535="CHECK","; Job number not in the Xero job list","")&amp;IF(AND($C535&lt;&gt;"",COUNTIF($C$7:$C$1506,$C535)&gt;1),"; Job number on more than one row","")&amp;IF(AND($C535&lt;&gt;"",H535=""),"; Dept has not set a cost centre","")&amp;IF(AND($C535&lt;&gt;"",J535=""),"; Dept has not set a tax code","")&amp;IF(AND($C535&lt;&gt;"",N535=""),"; Dept has not entered an expected value","")&amp;IF((IF(OR(COUNTA(S535:U535)=0,AND(COUNTA(S535:U535)=3,ISNUMBER(U535))),0,1)+IF(OR(COUNTA(V535:X535)=0,AND(COUNTA(V535:X535)=3,ISNUMBER(X535))),0,1)+IF(OR(COUNTA(Y535:AA535)=0,AND(COUNTA(Y535:AA535)=3,ISNUMBER(AA535))),0,1)+IF(OR(COUNTA(AB535:AD535)=0,AND(COUNTA(AB535:AD535)=3,ISNUMBER(AD535))),0,1)+IF(OR(COUNTA(AE535:AG535)=0,AND(COUNTA(AE535:AG535)=3,ISNUMBER(AG535))),0,1)+IF(OR(COUNTA(AH535:AJ535)=0,AND(COUNTA(AH535:AJ535)=3,ISNUMBER(AJ535))),0,1)+IF(OR(COUNTA(AK535:AM535)=0,AND(COUNTA(AK535:AM535)=3,ISNUMBER(AM535))),0,1)+IF(OR(COUNTA(AN535:AP535)=0,AND(COUNTA(AN535:AP535)=3,ISNUMBER(AP535))),0,1)+IF(OR(COUNTA(AQ535:AS535)=0,AND(COUNTA(AQ535:AS535)=3,ISNUMBER(AS535))),0,1)+IF(OR(COUNTA(AT535:AV535)=0,AND(COUNTA(AT535:AV535)=3,ISNUMBER(AV535))),0,1)+IF(OR(COUNTA(AW535:AY535)=0,AND(COUNTA(AW535:AY535)=3,ISNUMBER(AY535))),0,1)+IF(OR(COUNTA(AZ535:BB535)=0,AND(COUNTA(AZ535:BB535)=3,ISNUMBER(BB535))),0,1))&gt;0,"; An invoice is incomplete (needs No, Date and a number in Ex GST)","")&amp;IF((IF(T535="",0,IFERROR(--(EOMONTH(T535,0)&lt;&gt;S$5),1))+IF(W535="",0,IFERROR(--(EOMONTH(W535,0)&lt;&gt;V$5),1))+IF(Z535="",0,IFERROR(--(EOMONTH(Z535,0)&lt;&gt;Y$5),1))+IF(AC535="",0,IFERROR(--(EOMONTH(AC535,0)&lt;&gt;AB$5),1))+IF(AF535="",0,IFERROR(--(EOMONTH(AF535,0)&lt;&gt;AE$5),1))+IF(AI535="",0,IFERROR(--(EOMONTH(AI535,0)&lt;&gt;AH$5),1))+IF(AL535="",0,IFERROR(--(EOMONTH(AL535,0)&lt;&gt;AK$5),1))+IF(AO535="",0,IFERROR(--(EOMONTH(AO535,0)&lt;&gt;AN$5),1))+IF(AR535="",0,IFERROR(--(EOMONTH(AR535,0)&lt;&gt;AQ$5),1))+IF(AU535="",0,IFERROR(--(EOMONTH(AU535,0)&lt;&gt;AT$5),1))+IF(AX535="",0,IFERROR(--(EOMONTH(AX535,0)&lt;&gt;AW$5),1))+IF(BA535="",0,IFERROR(--(EOMONTH(BA535,0)&lt;&gt;AZ$5),1)))&gt;0,"; An invoice date is not in the month it is typed under",""),3,500))</f>
        <v/>
      </c>
      <c r="S535" s="12" t="n"/>
      <c r="T535" s="13" t="n"/>
      <c r="U535" s="14" t="n"/>
      <c r="V535" s="12" t="n"/>
      <c r="W535" s="13" t="n"/>
      <c r="X535" s="14" t="n"/>
      <c r="Y535" s="12" t="n"/>
      <c r="Z535" s="13" t="n"/>
      <c r="AA535" s="14" t="n"/>
      <c r="AB535" s="12" t="n"/>
      <c r="AC535" s="13" t="n"/>
      <c r="AD535" s="14" t="n"/>
      <c r="AE535" s="12" t="n"/>
      <c r="AF535" s="13" t="n"/>
      <c r="AG535" s="14" t="n"/>
      <c r="AH535" s="12" t="n"/>
      <c r="AI535" s="13" t="n"/>
      <c r="AJ535" s="14" t="n"/>
      <c r="AK535" s="12" t="n"/>
      <c r="AL535" s="13" t="n"/>
      <c r="AM535" s="14" t="n"/>
      <c r="AN535" s="12" t="n"/>
      <c r="AO535" s="13" t="n"/>
      <c r="AP535" s="14" t="n"/>
      <c r="AQ535" s="12" t="n"/>
      <c r="AR535" s="13" t="n"/>
      <c r="AS535" s="14" t="n"/>
      <c r="AT535" s="12" t="n"/>
      <c r="AU535" s="13" t="n"/>
      <c r="AV535" s="14" t="n"/>
      <c r="AW535" s="12" t="n"/>
      <c r="AX535" s="13" t="n"/>
      <c r="AY535" s="14" t="n"/>
      <c r="AZ535" s="12" t="n"/>
      <c r="BA535" s="13" t="n"/>
      <c r="BB535" s="14" t="n"/>
      <c r="BC535" s="11">
        <f>IF(O535="","",IF(J535="GST 10%",ROUND(O535*set_GSTRate,2),0))</f>
        <v/>
      </c>
      <c r="BD535" s="11">
        <f>IF(O535="","",O535+BC535)</f>
        <v/>
      </c>
      <c r="BE535" s="15">
        <f>IF(O535="","",COUNTA(S535,V535,Y535,AB535,AE535,AH535,AK535,AN535,AQ535,AT535,AW535,AZ535))</f>
        <v/>
      </c>
      <c r="BF535" s="16">
        <f>IF(COUNT(T535,W535,Z535,AC535,AF535,AI535,AL535,AO535,AR535,AU535,AX535,BA535)=0,"",MAX(T535,W535,Z535,AC535,AF535,AI535,AL535,AO535,AR535,AU535,AX535,BA535))</f>
        <v/>
      </c>
      <c r="BG535" s="10">
        <f>MID(IF(S535="","",", "&amp;S535)&amp;IF(V535="","",", "&amp;V535)&amp;IF(Y535="","",", "&amp;Y535)&amp;IF(AB535="","",", "&amp;AB535)&amp;IF(AE535="","",", "&amp;AE535)&amp;IF(AH535="","",", "&amp;AH535)&amp;IF(AK535="","",", "&amp;AK535)&amp;IF(AN535="","",", "&amp;AN535)&amp;IF(AQ535="","",", "&amp;AQ535)&amp;IF(AT535="","",", "&amp;AT535)&amp;IF(AW535="","",", "&amp;AW535)&amp;IF(AZ535="","",", "&amp;AZ535),3,500)</f>
        <v/>
      </c>
      <c r="BH535" s="12" t="n"/>
      <c r="BI535" s="15">
        <f>IFERROR(MATCH($A535,IF($B535="Onsite",tbl_Onsite[Row ID],IF($B535="Production",tbl_Production[Row ID],tbl_Consulting[Row ID])),0),"")</f>
        <v/>
      </c>
    </row>
    <row r="536">
      <c r="A536" s="10" t="inlineStr">
        <is>
          <t>PRD-0030</t>
        </is>
      </c>
      <c r="B536" s="10" t="inlineStr">
        <is>
          <t>Production</t>
        </is>
      </c>
      <c r="C536" s="10">
        <f>IF($BI536="","",IF($B536="Onsite",INDEX(tbl_Onsite[Job Number],$BI536),IF($B536="Production",INDEX(tbl_Production[Job Number],$BI536),INDEX(tbl_Consulting[Job Number],$BI536)))&amp;"")</f>
        <v/>
      </c>
      <c r="D536" s="10">
        <f>IF($BI536="","",IF($B536="Onsite",INDEX(tbl_Onsite[Client],$BI536),IF($B536="Production",INDEX(tbl_Production[Client],$BI536),INDEX(tbl_Consulting[Client],$BI536)))&amp;"")</f>
        <v/>
      </c>
      <c r="E536" s="10">
        <f>IF($C536="","",IF(COUNTIF(lst_Jobs,$C536)&gt;0,"OK","CHECK"))</f>
        <v/>
      </c>
      <c r="F536" s="10">
        <f>IF($C536="","",IFERROR(INDEX(lst_JobName,MATCH($C536,lst_Jobs,0)),""))</f>
        <v/>
      </c>
      <c r="G536" s="10">
        <f>IF($BI536="","",IF($B536="Onsite",INDEX(tbl_Onsite[Job Description],$BI536),IF($B536="Production",INDEX(tbl_Production[Job Description],$BI536),INDEX(tbl_Consulting[Job Description],$BI536)))&amp;"")</f>
        <v/>
      </c>
      <c r="H536" s="10">
        <f>IF($BI536="","",IF($B536="Onsite",INDEX(tbl_Onsite[Cost Centre],$BI536),IF($B536="Production",INDEX(tbl_Production[Cost Centre],$BI536),INDEX(tbl_Consulting[Cost Centre],$BI536)))&amp;"")</f>
        <v/>
      </c>
      <c r="I536" s="10">
        <f>IF($BI536="","",IF($B536="Onsite",INDEX(tbl_Onsite[Invoice Type],$BI536),IF($B536="Production",INDEX(tbl_Production[Invoice Type],$BI536),INDEX(tbl_Consulting[Invoice Type],$BI536)))&amp;"")</f>
        <v/>
      </c>
      <c r="J536" s="10">
        <f>IF($BI536="","",IF($B536="Onsite",INDEX(tbl_Onsite[Tax Code],$BI536),IF($B536="Production",INDEX(tbl_Production[Tax Code],$BI536),INDEX(tbl_Consulting[Tax Code],$BI536)))&amp;"")</f>
        <v/>
      </c>
      <c r="K536" s="10">
        <f>IF(H536="","",IFERROR(INDEX(lst_CCtoGL,MATCH(H536,lst_CCforGL,0)),""))</f>
        <v/>
      </c>
      <c r="L536" s="10">
        <f>IF($BI536="","",IF($B536="Onsite",INDEX(tbl_Onsite[PO / Reference],$BI536),IF($B536="Production",INDEX(tbl_Production[Current RMS No],$BI536),INDEX(tbl_Consulting[Qwilr Quote],$BI536)))&amp;"")</f>
        <v/>
      </c>
      <c r="M536" s="10">
        <f>IF($BI536="","",IF($B536="Onsite",INDEX(tbl_Onsite[Notes],$BI536),IF($B536="Production",INDEX(tbl_Production[Notes],$BI536),INDEX(tbl_Consulting[Notes],$BI536)))&amp;"")</f>
        <v/>
      </c>
      <c r="N536" s="11">
        <f>IF($BI536="","",IF(IF($B536="Onsite",INDEX(tbl_Onsite[Expected Revenue Ex GST],$BI536),IF($B536="Production",INDEX(tbl_Production[Expected Revenue Ex GST],$BI536),INDEX(tbl_Consulting[Expected Revenue Ex GST],$BI536)))="","",IF($B536="Onsite",INDEX(tbl_Onsite[Expected Revenue Ex GST],$BI536),IF($B536="Production",INDEX(tbl_Production[Expected Revenue Ex GST],$BI536),INDEX(tbl_Consulting[Expected Revenue Ex GST],$BI536)))))</f>
        <v/>
      </c>
      <c r="O536" s="11">
        <f>IF(AND($C536="",NOT(COUNTA($S536:$BB536)&gt;0)),"",SUM(U536,X536,AA536,AD536,AG536,AJ536,AM536,AP536,AS536,AV536,AY536,BB536))</f>
        <v/>
      </c>
      <c r="P536" s="11">
        <f>IF(O536="","",N(N536)-O536)</f>
        <v/>
      </c>
      <c r="Q536" s="10">
        <f>IF(O536="","",IF($C536="","Invoice on empty job row",IF(N536="",IF(ROUND(O536,2)=0,"No dept value","Invoiced - no dept value"),IF(ROUND(O536,2)=0,"Not invoiced - to invoice",IF(ROUND(P536,2)=0,"Agrees",IF(P536&gt;0,"Dept higher - to invoice","Xero higher - check dept"))))))</f>
        <v/>
      </c>
      <c r="R536" s="10">
        <f>IF(AND($C536="",NOT(COUNTA($S536:$BB536)&gt;0),$BI536&lt;&gt;""),"",MID(IF($BI536="","; Row ID not found on the department sheet - a row was deleted","")&amp;IF(AND($C536="",COUNTA($S536:$BB536)&gt;0),"; Invoice entered but the department row has no job number","")&amp;IF(E536="CHECK","; Job number not in the Xero job list","")&amp;IF(AND($C536&lt;&gt;"",COUNTIF($C$7:$C$1506,$C536)&gt;1),"; Job number on more than one row","")&amp;IF(AND($C536&lt;&gt;"",H536=""),"; Dept has not set a cost centre","")&amp;IF(AND($C536&lt;&gt;"",J536=""),"; Dept has not set a tax code","")&amp;IF(AND($C536&lt;&gt;"",N536=""),"; Dept has not entered an expected value","")&amp;IF((IF(OR(COUNTA(S536:U536)=0,AND(COUNTA(S536:U536)=3,ISNUMBER(U536))),0,1)+IF(OR(COUNTA(V536:X536)=0,AND(COUNTA(V536:X536)=3,ISNUMBER(X536))),0,1)+IF(OR(COUNTA(Y536:AA536)=0,AND(COUNTA(Y536:AA536)=3,ISNUMBER(AA536))),0,1)+IF(OR(COUNTA(AB536:AD536)=0,AND(COUNTA(AB536:AD536)=3,ISNUMBER(AD536))),0,1)+IF(OR(COUNTA(AE536:AG536)=0,AND(COUNTA(AE536:AG536)=3,ISNUMBER(AG536))),0,1)+IF(OR(COUNTA(AH536:AJ536)=0,AND(COUNTA(AH536:AJ536)=3,ISNUMBER(AJ536))),0,1)+IF(OR(COUNTA(AK536:AM536)=0,AND(COUNTA(AK536:AM536)=3,ISNUMBER(AM536))),0,1)+IF(OR(COUNTA(AN536:AP536)=0,AND(COUNTA(AN536:AP536)=3,ISNUMBER(AP536))),0,1)+IF(OR(COUNTA(AQ536:AS536)=0,AND(COUNTA(AQ536:AS536)=3,ISNUMBER(AS536))),0,1)+IF(OR(COUNTA(AT536:AV536)=0,AND(COUNTA(AT536:AV536)=3,ISNUMBER(AV536))),0,1)+IF(OR(COUNTA(AW536:AY536)=0,AND(COUNTA(AW536:AY536)=3,ISNUMBER(AY536))),0,1)+IF(OR(COUNTA(AZ536:BB536)=0,AND(COUNTA(AZ536:BB536)=3,ISNUMBER(BB536))),0,1))&gt;0,"; An invoice is incomplete (needs No, Date and a number in Ex GST)","")&amp;IF((IF(T536="",0,IFERROR(--(EOMONTH(T536,0)&lt;&gt;S$5),1))+IF(W536="",0,IFERROR(--(EOMONTH(W536,0)&lt;&gt;V$5),1))+IF(Z536="",0,IFERROR(--(EOMONTH(Z536,0)&lt;&gt;Y$5),1))+IF(AC536="",0,IFERROR(--(EOMONTH(AC536,0)&lt;&gt;AB$5),1))+IF(AF536="",0,IFERROR(--(EOMONTH(AF536,0)&lt;&gt;AE$5),1))+IF(AI536="",0,IFERROR(--(EOMONTH(AI536,0)&lt;&gt;AH$5),1))+IF(AL536="",0,IFERROR(--(EOMONTH(AL536,0)&lt;&gt;AK$5),1))+IF(AO536="",0,IFERROR(--(EOMONTH(AO536,0)&lt;&gt;AN$5),1))+IF(AR536="",0,IFERROR(--(EOMONTH(AR536,0)&lt;&gt;AQ$5),1))+IF(AU536="",0,IFERROR(--(EOMONTH(AU536,0)&lt;&gt;AT$5),1))+IF(AX536="",0,IFERROR(--(EOMONTH(AX536,0)&lt;&gt;AW$5),1))+IF(BA536="",0,IFERROR(--(EOMONTH(BA536,0)&lt;&gt;AZ$5),1)))&gt;0,"; An invoice date is not in the month it is typed under",""),3,500))</f>
        <v/>
      </c>
      <c r="S536" s="12" t="n"/>
      <c r="T536" s="13" t="n"/>
      <c r="U536" s="14" t="n"/>
      <c r="V536" s="12" t="n"/>
      <c r="W536" s="13" t="n"/>
      <c r="X536" s="14" t="n"/>
      <c r="Y536" s="12" t="n"/>
      <c r="Z536" s="13" t="n"/>
      <c r="AA536" s="14" t="n"/>
      <c r="AB536" s="12" t="n"/>
      <c r="AC536" s="13" t="n"/>
      <c r="AD536" s="14" t="n"/>
      <c r="AE536" s="12" t="n"/>
      <c r="AF536" s="13" t="n"/>
      <c r="AG536" s="14" t="n"/>
      <c r="AH536" s="12" t="n"/>
      <c r="AI536" s="13" t="n"/>
      <c r="AJ536" s="14" t="n"/>
      <c r="AK536" s="12" t="n"/>
      <c r="AL536" s="13" t="n"/>
      <c r="AM536" s="14" t="n"/>
      <c r="AN536" s="12" t="n"/>
      <c r="AO536" s="13" t="n"/>
      <c r="AP536" s="14" t="n"/>
      <c r="AQ536" s="12" t="n"/>
      <c r="AR536" s="13" t="n"/>
      <c r="AS536" s="14" t="n"/>
      <c r="AT536" s="12" t="n"/>
      <c r="AU536" s="13" t="n"/>
      <c r="AV536" s="14" t="n"/>
      <c r="AW536" s="12" t="n"/>
      <c r="AX536" s="13" t="n"/>
      <c r="AY536" s="14" t="n"/>
      <c r="AZ536" s="12" t="n"/>
      <c r="BA536" s="13" t="n"/>
      <c r="BB536" s="14" t="n"/>
      <c r="BC536" s="11">
        <f>IF(O536="","",IF(J536="GST 10%",ROUND(O536*set_GSTRate,2),0))</f>
        <v/>
      </c>
      <c r="BD536" s="11">
        <f>IF(O536="","",O536+BC536)</f>
        <v/>
      </c>
      <c r="BE536" s="15">
        <f>IF(O536="","",COUNTA(S536,V536,Y536,AB536,AE536,AH536,AK536,AN536,AQ536,AT536,AW536,AZ536))</f>
        <v/>
      </c>
      <c r="BF536" s="16">
        <f>IF(COUNT(T536,W536,Z536,AC536,AF536,AI536,AL536,AO536,AR536,AU536,AX536,BA536)=0,"",MAX(T536,W536,Z536,AC536,AF536,AI536,AL536,AO536,AR536,AU536,AX536,BA536))</f>
        <v/>
      </c>
      <c r="BG536" s="10">
        <f>MID(IF(S536="","",", "&amp;S536)&amp;IF(V536="","",", "&amp;V536)&amp;IF(Y536="","",", "&amp;Y536)&amp;IF(AB536="","",", "&amp;AB536)&amp;IF(AE536="","",", "&amp;AE536)&amp;IF(AH536="","",", "&amp;AH536)&amp;IF(AK536="","",", "&amp;AK536)&amp;IF(AN536="","",", "&amp;AN536)&amp;IF(AQ536="","",", "&amp;AQ536)&amp;IF(AT536="","",", "&amp;AT536)&amp;IF(AW536="","",", "&amp;AW536)&amp;IF(AZ536="","",", "&amp;AZ536),3,500)</f>
        <v/>
      </c>
      <c r="BH536" s="12" t="n"/>
      <c r="BI536" s="15">
        <f>IFERROR(MATCH($A536,IF($B536="Onsite",tbl_Onsite[Row ID],IF($B536="Production",tbl_Production[Row ID],tbl_Consulting[Row ID])),0),"")</f>
        <v/>
      </c>
    </row>
    <row r="537">
      <c r="A537" s="10" t="inlineStr">
        <is>
          <t>PRD-0031</t>
        </is>
      </c>
      <c r="B537" s="10" t="inlineStr">
        <is>
          <t>Production</t>
        </is>
      </c>
      <c r="C537" s="10">
        <f>IF($BI537="","",IF($B537="Onsite",INDEX(tbl_Onsite[Job Number],$BI537),IF($B537="Production",INDEX(tbl_Production[Job Number],$BI537),INDEX(tbl_Consulting[Job Number],$BI537)))&amp;"")</f>
        <v/>
      </c>
      <c r="D537" s="10">
        <f>IF($BI537="","",IF($B537="Onsite",INDEX(tbl_Onsite[Client],$BI537),IF($B537="Production",INDEX(tbl_Production[Client],$BI537),INDEX(tbl_Consulting[Client],$BI537)))&amp;"")</f>
        <v/>
      </c>
      <c r="E537" s="10">
        <f>IF($C537="","",IF(COUNTIF(lst_Jobs,$C537)&gt;0,"OK","CHECK"))</f>
        <v/>
      </c>
      <c r="F537" s="10">
        <f>IF($C537="","",IFERROR(INDEX(lst_JobName,MATCH($C537,lst_Jobs,0)),""))</f>
        <v/>
      </c>
      <c r="G537" s="10">
        <f>IF($BI537="","",IF($B537="Onsite",INDEX(tbl_Onsite[Job Description],$BI537),IF($B537="Production",INDEX(tbl_Production[Job Description],$BI537),INDEX(tbl_Consulting[Job Description],$BI537)))&amp;"")</f>
        <v/>
      </c>
      <c r="H537" s="10">
        <f>IF($BI537="","",IF($B537="Onsite",INDEX(tbl_Onsite[Cost Centre],$BI537),IF($B537="Production",INDEX(tbl_Production[Cost Centre],$BI537),INDEX(tbl_Consulting[Cost Centre],$BI537)))&amp;"")</f>
        <v/>
      </c>
      <c r="I537" s="10">
        <f>IF($BI537="","",IF($B537="Onsite",INDEX(tbl_Onsite[Invoice Type],$BI537),IF($B537="Production",INDEX(tbl_Production[Invoice Type],$BI537),INDEX(tbl_Consulting[Invoice Type],$BI537)))&amp;"")</f>
        <v/>
      </c>
      <c r="J537" s="10">
        <f>IF($BI537="","",IF($B537="Onsite",INDEX(tbl_Onsite[Tax Code],$BI537),IF($B537="Production",INDEX(tbl_Production[Tax Code],$BI537),INDEX(tbl_Consulting[Tax Code],$BI537)))&amp;"")</f>
        <v/>
      </c>
      <c r="K537" s="10">
        <f>IF(H537="","",IFERROR(INDEX(lst_CCtoGL,MATCH(H537,lst_CCforGL,0)),""))</f>
        <v/>
      </c>
      <c r="L537" s="10">
        <f>IF($BI537="","",IF($B537="Onsite",INDEX(tbl_Onsite[PO / Reference],$BI537),IF($B537="Production",INDEX(tbl_Production[Current RMS No],$BI537),INDEX(tbl_Consulting[Qwilr Quote],$BI537)))&amp;"")</f>
        <v/>
      </c>
      <c r="M537" s="10">
        <f>IF($BI537="","",IF($B537="Onsite",INDEX(tbl_Onsite[Notes],$BI537),IF($B537="Production",INDEX(tbl_Production[Notes],$BI537),INDEX(tbl_Consulting[Notes],$BI537)))&amp;"")</f>
        <v/>
      </c>
      <c r="N537" s="11">
        <f>IF($BI537="","",IF(IF($B537="Onsite",INDEX(tbl_Onsite[Expected Revenue Ex GST],$BI537),IF($B537="Production",INDEX(tbl_Production[Expected Revenue Ex GST],$BI537),INDEX(tbl_Consulting[Expected Revenue Ex GST],$BI537)))="","",IF($B537="Onsite",INDEX(tbl_Onsite[Expected Revenue Ex GST],$BI537),IF($B537="Production",INDEX(tbl_Production[Expected Revenue Ex GST],$BI537),INDEX(tbl_Consulting[Expected Revenue Ex GST],$BI537)))))</f>
        <v/>
      </c>
      <c r="O537" s="11">
        <f>IF(AND($C537="",NOT(COUNTA($S537:$BB537)&gt;0)),"",SUM(U537,X537,AA537,AD537,AG537,AJ537,AM537,AP537,AS537,AV537,AY537,BB537))</f>
        <v/>
      </c>
      <c r="P537" s="11">
        <f>IF(O537="","",N(N537)-O537)</f>
        <v/>
      </c>
      <c r="Q537" s="10">
        <f>IF(O537="","",IF($C537="","Invoice on empty job row",IF(N537="",IF(ROUND(O537,2)=0,"No dept value","Invoiced - no dept value"),IF(ROUND(O537,2)=0,"Not invoiced - to invoice",IF(ROUND(P537,2)=0,"Agrees",IF(P537&gt;0,"Dept higher - to invoice","Xero higher - check dept"))))))</f>
        <v/>
      </c>
      <c r="R537" s="10">
        <f>IF(AND($C537="",NOT(COUNTA($S537:$BB537)&gt;0),$BI537&lt;&gt;""),"",MID(IF($BI537="","; Row ID not found on the department sheet - a row was deleted","")&amp;IF(AND($C537="",COUNTA($S537:$BB537)&gt;0),"; Invoice entered but the department row has no job number","")&amp;IF(E537="CHECK","; Job number not in the Xero job list","")&amp;IF(AND($C537&lt;&gt;"",COUNTIF($C$7:$C$1506,$C537)&gt;1),"; Job number on more than one row","")&amp;IF(AND($C537&lt;&gt;"",H537=""),"; Dept has not set a cost centre","")&amp;IF(AND($C537&lt;&gt;"",J537=""),"; Dept has not set a tax code","")&amp;IF(AND($C537&lt;&gt;"",N537=""),"; Dept has not entered an expected value","")&amp;IF((IF(OR(COUNTA(S537:U537)=0,AND(COUNTA(S537:U537)=3,ISNUMBER(U537))),0,1)+IF(OR(COUNTA(V537:X537)=0,AND(COUNTA(V537:X537)=3,ISNUMBER(X537))),0,1)+IF(OR(COUNTA(Y537:AA537)=0,AND(COUNTA(Y537:AA537)=3,ISNUMBER(AA537))),0,1)+IF(OR(COUNTA(AB537:AD537)=0,AND(COUNTA(AB537:AD537)=3,ISNUMBER(AD537))),0,1)+IF(OR(COUNTA(AE537:AG537)=0,AND(COUNTA(AE537:AG537)=3,ISNUMBER(AG537))),0,1)+IF(OR(COUNTA(AH537:AJ537)=0,AND(COUNTA(AH537:AJ537)=3,ISNUMBER(AJ537))),0,1)+IF(OR(COUNTA(AK537:AM537)=0,AND(COUNTA(AK537:AM537)=3,ISNUMBER(AM537))),0,1)+IF(OR(COUNTA(AN537:AP537)=0,AND(COUNTA(AN537:AP537)=3,ISNUMBER(AP537))),0,1)+IF(OR(COUNTA(AQ537:AS537)=0,AND(COUNTA(AQ537:AS537)=3,ISNUMBER(AS537))),0,1)+IF(OR(COUNTA(AT537:AV537)=0,AND(COUNTA(AT537:AV537)=3,ISNUMBER(AV537))),0,1)+IF(OR(COUNTA(AW537:AY537)=0,AND(COUNTA(AW537:AY537)=3,ISNUMBER(AY537))),0,1)+IF(OR(COUNTA(AZ537:BB537)=0,AND(COUNTA(AZ537:BB537)=3,ISNUMBER(BB537))),0,1))&gt;0,"; An invoice is incomplete (needs No, Date and a number in Ex GST)","")&amp;IF((IF(T537="",0,IFERROR(--(EOMONTH(T537,0)&lt;&gt;S$5),1))+IF(W537="",0,IFERROR(--(EOMONTH(W537,0)&lt;&gt;V$5),1))+IF(Z537="",0,IFERROR(--(EOMONTH(Z537,0)&lt;&gt;Y$5),1))+IF(AC537="",0,IFERROR(--(EOMONTH(AC537,0)&lt;&gt;AB$5),1))+IF(AF537="",0,IFERROR(--(EOMONTH(AF537,0)&lt;&gt;AE$5),1))+IF(AI537="",0,IFERROR(--(EOMONTH(AI537,0)&lt;&gt;AH$5),1))+IF(AL537="",0,IFERROR(--(EOMONTH(AL537,0)&lt;&gt;AK$5),1))+IF(AO537="",0,IFERROR(--(EOMONTH(AO537,0)&lt;&gt;AN$5),1))+IF(AR537="",0,IFERROR(--(EOMONTH(AR537,0)&lt;&gt;AQ$5),1))+IF(AU537="",0,IFERROR(--(EOMONTH(AU537,0)&lt;&gt;AT$5),1))+IF(AX537="",0,IFERROR(--(EOMONTH(AX537,0)&lt;&gt;AW$5),1))+IF(BA537="",0,IFERROR(--(EOMONTH(BA537,0)&lt;&gt;AZ$5),1)))&gt;0,"; An invoice date is not in the month it is typed under",""),3,500))</f>
        <v/>
      </c>
      <c r="S537" s="12" t="n"/>
      <c r="T537" s="13" t="n"/>
      <c r="U537" s="14" t="n"/>
      <c r="V537" s="12" t="n"/>
      <c r="W537" s="13" t="n"/>
      <c r="X537" s="14" t="n"/>
      <c r="Y537" s="12" t="n"/>
      <c r="Z537" s="13" t="n"/>
      <c r="AA537" s="14" t="n"/>
      <c r="AB537" s="12" t="n"/>
      <c r="AC537" s="13" t="n"/>
      <c r="AD537" s="14" t="n"/>
      <c r="AE537" s="12" t="n"/>
      <c r="AF537" s="13" t="n"/>
      <c r="AG537" s="14" t="n"/>
      <c r="AH537" s="12" t="n"/>
      <c r="AI537" s="13" t="n"/>
      <c r="AJ537" s="14" t="n"/>
      <c r="AK537" s="12" t="n"/>
      <c r="AL537" s="13" t="n"/>
      <c r="AM537" s="14" t="n"/>
      <c r="AN537" s="12" t="n"/>
      <c r="AO537" s="13" t="n"/>
      <c r="AP537" s="14" t="n"/>
      <c r="AQ537" s="12" t="n"/>
      <c r="AR537" s="13" t="n"/>
      <c r="AS537" s="14" t="n"/>
      <c r="AT537" s="12" t="n"/>
      <c r="AU537" s="13" t="n"/>
      <c r="AV537" s="14" t="n"/>
      <c r="AW537" s="12" t="n"/>
      <c r="AX537" s="13" t="n"/>
      <c r="AY537" s="14" t="n"/>
      <c r="AZ537" s="12" t="n"/>
      <c r="BA537" s="13" t="n"/>
      <c r="BB537" s="14" t="n"/>
      <c r="BC537" s="11">
        <f>IF(O537="","",IF(J537="GST 10%",ROUND(O537*set_GSTRate,2),0))</f>
        <v/>
      </c>
      <c r="BD537" s="11">
        <f>IF(O537="","",O537+BC537)</f>
        <v/>
      </c>
      <c r="BE537" s="15">
        <f>IF(O537="","",COUNTA(S537,V537,Y537,AB537,AE537,AH537,AK537,AN537,AQ537,AT537,AW537,AZ537))</f>
        <v/>
      </c>
      <c r="BF537" s="16">
        <f>IF(COUNT(T537,W537,Z537,AC537,AF537,AI537,AL537,AO537,AR537,AU537,AX537,BA537)=0,"",MAX(T537,W537,Z537,AC537,AF537,AI537,AL537,AO537,AR537,AU537,AX537,BA537))</f>
        <v/>
      </c>
      <c r="BG537" s="10">
        <f>MID(IF(S537="","",", "&amp;S537)&amp;IF(V537="","",", "&amp;V537)&amp;IF(Y537="","",", "&amp;Y537)&amp;IF(AB537="","",", "&amp;AB537)&amp;IF(AE537="","",", "&amp;AE537)&amp;IF(AH537="","",", "&amp;AH537)&amp;IF(AK537="","",", "&amp;AK537)&amp;IF(AN537="","",", "&amp;AN537)&amp;IF(AQ537="","",", "&amp;AQ537)&amp;IF(AT537="","",", "&amp;AT537)&amp;IF(AW537="","",", "&amp;AW537)&amp;IF(AZ537="","",", "&amp;AZ537),3,500)</f>
        <v/>
      </c>
      <c r="BH537" s="12" t="n"/>
      <c r="BI537" s="15">
        <f>IFERROR(MATCH($A537,IF($B537="Onsite",tbl_Onsite[Row ID],IF($B537="Production",tbl_Production[Row ID],tbl_Consulting[Row ID])),0),"")</f>
        <v/>
      </c>
    </row>
    <row r="538">
      <c r="A538" s="10" t="inlineStr">
        <is>
          <t>PRD-0032</t>
        </is>
      </c>
      <c r="B538" s="10" t="inlineStr">
        <is>
          <t>Production</t>
        </is>
      </c>
      <c r="C538" s="10">
        <f>IF($BI538="","",IF($B538="Onsite",INDEX(tbl_Onsite[Job Number],$BI538),IF($B538="Production",INDEX(tbl_Production[Job Number],$BI538),INDEX(tbl_Consulting[Job Number],$BI538)))&amp;"")</f>
        <v/>
      </c>
      <c r="D538" s="10">
        <f>IF($BI538="","",IF($B538="Onsite",INDEX(tbl_Onsite[Client],$BI538),IF($B538="Production",INDEX(tbl_Production[Client],$BI538),INDEX(tbl_Consulting[Client],$BI538)))&amp;"")</f>
        <v/>
      </c>
      <c r="E538" s="10">
        <f>IF($C538="","",IF(COUNTIF(lst_Jobs,$C538)&gt;0,"OK","CHECK"))</f>
        <v/>
      </c>
      <c r="F538" s="10">
        <f>IF($C538="","",IFERROR(INDEX(lst_JobName,MATCH($C538,lst_Jobs,0)),""))</f>
        <v/>
      </c>
      <c r="G538" s="10">
        <f>IF($BI538="","",IF($B538="Onsite",INDEX(tbl_Onsite[Job Description],$BI538),IF($B538="Production",INDEX(tbl_Production[Job Description],$BI538),INDEX(tbl_Consulting[Job Description],$BI538)))&amp;"")</f>
        <v/>
      </c>
      <c r="H538" s="10">
        <f>IF($BI538="","",IF($B538="Onsite",INDEX(tbl_Onsite[Cost Centre],$BI538),IF($B538="Production",INDEX(tbl_Production[Cost Centre],$BI538),INDEX(tbl_Consulting[Cost Centre],$BI538)))&amp;"")</f>
        <v/>
      </c>
      <c r="I538" s="10">
        <f>IF($BI538="","",IF($B538="Onsite",INDEX(tbl_Onsite[Invoice Type],$BI538),IF($B538="Production",INDEX(tbl_Production[Invoice Type],$BI538),INDEX(tbl_Consulting[Invoice Type],$BI538)))&amp;"")</f>
        <v/>
      </c>
      <c r="J538" s="10">
        <f>IF($BI538="","",IF($B538="Onsite",INDEX(tbl_Onsite[Tax Code],$BI538),IF($B538="Production",INDEX(tbl_Production[Tax Code],$BI538),INDEX(tbl_Consulting[Tax Code],$BI538)))&amp;"")</f>
        <v/>
      </c>
      <c r="K538" s="10">
        <f>IF(H538="","",IFERROR(INDEX(lst_CCtoGL,MATCH(H538,lst_CCforGL,0)),""))</f>
        <v/>
      </c>
      <c r="L538" s="10">
        <f>IF($BI538="","",IF($B538="Onsite",INDEX(tbl_Onsite[PO / Reference],$BI538),IF($B538="Production",INDEX(tbl_Production[Current RMS No],$BI538),INDEX(tbl_Consulting[Qwilr Quote],$BI538)))&amp;"")</f>
        <v/>
      </c>
      <c r="M538" s="10">
        <f>IF($BI538="","",IF($B538="Onsite",INDEX(tbl_Onsite[Notes],$BI538),IF($B538="Production",INDEX(tbl_Production[Notes],$BI538),INDEX(tbl_Consulting[Notes],$BI538)))&amp;"")</f>
        <v/>
      </c>
      <c r="N538" s="11">
        <f>IF($BI538="","",IF(IF($B538="Onsite",INDEX(tbl_Onsite[Expected Revenue Ex GST],$BI538),IF($B538="Production",INDEX(tbl_Production[Expected Revenue Ex GST],$BI538),INDEX(tbl_Consulting[Expected Revenue Ex GST],$BI538)))="","",IF($B538="Onsite",INDEX(tbl_Onsite[Expected Revenue Ex GST],$BI538),IF($B538="Production",INDEX(tbl_Production[Expected Revenue Ex GST],$BI538),INDEX(tbl_Consulting[Expected Revenue Ex GST],$BI538)))))</f>
        <v/>
      </c>
      <c r="O538" s="11">
        <f>IF(AND($C538="",NOT(COUNTA($S538:$BB538)&gt;0)),"",SUM(U538,X538,AA538,AD538,AG538,AJ538,AM538,AP538,AS538,AV538,AY538,BB538))</f>
        <v/>
      </c>
      <c r="P538" s="11">
        <f>IF(O538="","",N(N538)-O538)</f>
        <v/>
      </c>
      <c r="Q538" s="10">
        <f>IF(O538="","",IF($C538="","Invoice on empty job row",IF(N538="",IF(ROUND(O538,2)=0,"No dept value","Invoiced - no dept value"),IF(ROUND(O538,2)=0,"Not invoiced - to invoice",IF(ROUND(P538,2)=0,"Agrees",IF(P538&gt;0,"Dept higher - to invoice","Xero higher - check dept"))))))</f>
        <v/>
      </c>
      <c r="R538" s="10">
        <f>IF(AND($C538="",NOT(COUNTA($S538:$BB538)&gt;0),$BI538&lt;&gt;""),"",MID(IF($BI538="","; Row ID not found on the department sheet - a row was deleted","")&amp;IF(AND($C538="",COUNTA($S538:$BB538)&gt;0),"; Invoice entered but the department row has no job number","")&amp;IF(E538="CHECK","; Job number not in the Xero job list","")&amp;IF(AND($C538&lt;&gt;"",COUNTIF($C$7:$C$1506,$C538)&gt;1),"; Job number on more than one row","")&amp;IF(AND($C538&lt;&gt;"",H538=""),"; Dept has not set a cost centre","")&amp;IF(AND($C538&lt;&gt;"",J538=""),"; Dept has not set a tax code","")&amp;IF(AND($C538&lt;&gt;"",N538=""),"; Dept has not entered an expected value","")&amp;IF((IF(OR(COUNTA(S538:U538)=0,AND(COUNTA(S538:U538)=3,ISNUMBER(U538))),0,1)+IF(OR(COUNTA(V538:X538)=0,AND(COUNTA(V538:X538)=3,ISNUMBER(X538))),0,1)+IF(OR(COUNTA(Y538:AA538)=0,AND(COUNTA(Y538:AA538)=3,ISNUMBER(AA538))),0,1)+IF(OR(COUNTA(AB538:AD538)=0,AND(COUNTA(AB538:AD538)=3,ISNUMBER(AD538))),0,1)+IF(OR(COUNTA(AE538:AG538)=0,AND(COUNTA(AE538:AG538)=3,ISNUMBER(AG538))),0,1)+IF(OR(COUNTA(AH538:AJ538)=0,AND(COUNTA(AH538:AJ538)=3,ISNUMBER(AJ538))),0,1)+IF(OR(COUNTA(AK538:AM538)=0,AND(COUNTA(AK538:AM538)=3,ISNUMBER(AM538))),0,1)+IF(OR(COUNTA(AN538:AP538)=0,AND(COUNTA(AN538:AP538)=3,ISNUMBER(AP538))),0,1)+IF(OR(COUNTA(AQ538:AS538)=0,AND(COUNTA(AQ538:AS538)=3,ISNUMBER(AS538))),0,1)+IF(OR(COUNTA(AT538:AV538)=0,AND(COUNTA(AT538:AV538)=3,ISNUMBER(AV538))),0,1)+IF(OR(COUNTA(AW538:AY538)=0,AND(COUNTA(AW538:AY538)=3,ISNUMBER(AY538))),0,1)+IF(OR(COUNTA(AZ538:BB538)=0,AND(COUNTA(AZ538:BB538)=3,ISNUMBER(BB538))),0,1))&gt;0,"; An invoice is incomplete (needs No, Date and a number in Ex GST)","")&amp;IF((IF(T538="",0,IFERROR(--(EOMONTH(T538,0)&lt;&gt;S$5),1))+IF(W538="",0,IFERROR(--(EOMONTH(W538,0)&lt;&gt;V$5),1))+IF(Z538="",0,IFERROR(--(EOMONTH(Z538,0)&lt;&gt;Y$5),1))+IF(AC538="",0,IFERROR(--(EOMONTH(AC538,0)&lt;&gt;AB$5),1))+IF(AF538="",0,IFERROR(--(EOMONTH(AF538,0)&lt;&gt;AE$5),1))+IF(AI538="",0,IFERROR(--(EOMONTH(AI538,0)&lt;&gt;AH$5),1))+IF(AL538="",0,IFERROR(--(EOMONTH(AL538,0)&lt;&gt;AK$5),1))+IF(AO538="",0,IFERROR(--(EOMONTH(AO538,0)&lt;&gt;AN$5),1))+IF(AR538="",0,IFERROR(--(EOMONTH(AR538,0)&lt;&gt;AQ$5),1))+IF(AU538="",0,IFERROR(--(EOMONTH(AU538,0)&lt;&gt;AT$5),1))+IF(AX538="",0,IFERROR(--(EOMONTH(AX538,0)&lt;&gt;AW$5),1))+IF(BA538="",0,IFERROR(--(EOMONTH(BA538,0)&lt;&gt;AZ$5),1)))&gt;0,"; An invoice date is not in the month it is typed under",""),3,500))</f>
        <v/>
      </c>
      <c r="S538" s="12" t="n"/>
      <c r="T538" s="13" t="n"/>
      <c r="U538" s="14" t="n"/>
      <c r="V538" s="12" t="n"/>
      <c r="W538" s="13" t="n"/>
      <c r="X538" s="14" t="n"/>
      <c r="Y538" s="12" t="n"/>
      <c r="Z538" s="13" t="n"/>
      <c r="AA538" s="14" t="n"/>
      <c r="AB538" s="12" t="n"/>
      <c r="AC538" s="13" t="n"/>
      <c r="AD538" s="14" t="n"/>
      <c r="AE538" s="12" t="n"/>
      <c r="AF538" s="13" t="n"/>
      <c r="AG538" s="14" t="n"/>
      <c r="AH538" s="12" t="n"/>
      <c r="AI538" s="13" t="n"/>
      <c r="AJ538" s="14" t="n"/>
      <c r="AK538" s="12" t="n"/>
      <c r="AL538" s="13" t="n"/>
      <c r="AM538" s="14" t="n"/>
      <c r="AN538" s="12" t="n"/>
      <c r="AO538" s="13" t="n"/>
      <c r="AP538" s="14" t="n"/>
      <c r="AQ538" s="12" t="n"/>
      <c r="AR538" s="13" t="n"/>
      <c r="AS538" s="14" t="n"/>
      <c r="AT538" s="12" t="n"/>
      <c r="AU538" s="13" t="n"/>
      <c r="AV538" s="14" t="n"/>
      <c r="AW538" s="12" t="n"/>
      <c r="AX538" s="13" t="n"/>
      <c r="AY538" s="14" t="n"/>
      <c r="AZ538" s="12" t="n"/>
      <c r="BA538" s="13" t="n"/>
      <c r="BB538" s="14" t="n"/>
      <c r="BC538" s="11">
        <f>IF(O538="","",IF(J538="GST 10%",ROUND(O538*set_GSTRate,2),0))</f>
        <v/>
      </c>
      <c r="BD538" s="11">
        <f>IF(O538="","",O538+BC538)</f>
        <v/>
      </c>
      <c r="BE538" s="15">
        <f>IF(O538="","",COUNTA(S538,V538,Y538,AB538,AE538,AH538,AK538,AN538,AQ538,AT538,AW538,AZ538))</f>
        <v/>
      </c>
      <c r="BF538" s="16">
        <f>IF(COUNT(T538,W538,Z538,AC538,AF538,AI538,AL538,AO538,AR538,AU538,AX538,BA538)=0,"",MAX(T538,W538,Z538,AC538,AF538,AI538,AL538,AO538,AR538,AU538,AX538,BA538))</f>
        <v/>
      </c>
      <c r="BG538" s="10">
        <f>MID(IF(S538="","",", "&amp;S538)&amp;IF(V538="","",", "&amp;V538)&amp;IF(Y538="","",", "&amp;Y538)&amp;IF(AB538="","",", "&amp;AB538)&amp;IF(AE538="","",", "&amp;AE538)&amp;IF(AH538="","",", "&amp;AH538)&amp;IF(AK538="","",", "&amp;AK538)&amp;IF(AN538="","",", "&amp;AN538)&amp;IF(AQ538="","",", "&amp;AQ538)&amp;IF(AT538="","",", "&amp;AT538)&amp;IF(AW538="","",", "&amp;AW538)&amp;IF(AZ538="","",", "&amp;AZ538),3,500)</f>
        <v/>
      </c>
      <c r="BH538" s="12" t="n"/>
      <c r="BI538" s="15">
        <f>IFERROR(MATCH($A538,IF($B538="Onsite",tbl_Onsite[Row ID],IF($B538="Production",tbl_Production[Row ID],tbl_Consulting[Row ID])),0),"")</f>
        <v/>
      </c>
    </row>
    <row r="539">
      <c r="A539" s="10" t="inlineStr">
        <is>
          <t>PRD-0033</t>
        </is>
      </c>
      <c r="B539" s="10" t="inlineStr">
        <is>
          <t>Production</t>
        </is>
      </c>
      <c r="C539" s="10">
        <f>IF($BI539="","",IF($B539="Onsite",INDEX(tbl_Onsite[Job Number],$BI539),IF($B539="Production",INDEX(tbl_Production[Job Number],$BI539),INDEX(tbl_Consulting[Job Number],$BI539)))&amp;"")</f>
        <v/>
      </c>
      <c r="D539" s="10">
        <f>IF($BI539="","",IF($B539="Onsite",INDEX(tbl_Onsite[Client],$BI539),IF($B539="Production",INDEX(tbl_Production[Client],$BI539),INDEX(tbl_Consulting[Client],$BI539)))&amp;"")</f>
        <v/>
      </c>
      <c r="E539" s="10">
        <f>IF($C539="","",IF(COUNTIF(lst_Jobs,$C539)&gt;0,"OK","CHECK"))</f>
        <v/>
      </c>
      <c r="F539" s="10">
        <f>IF($C539="","",IFERROR(INDEX(lst_JobName,MATCH($C539,lst_Jobs,0)),""))</f>
        <v/>
      </c>
      <c r="G539" s="10">
        <f>IF($BI539="","",IF($B539="Onsite",INDEX(tbl_Onsite[Job Description],$BI539),IF($B539="Production",INDEX(tbl_Production[Job Description],$BI539),INDEX(tbl_Consulting[Job Description],$BI539)))&amp;"")</f>
        <v/>
      </c>
      <c r="H539" s="10">
        <f>IF($BI539="","",IF($B539="Onsite",INDEX(tbl_Onsite[Cost Centre],$BI539),IF($B539="Production",INDEX(tbl_Production[Cost Centre],$BI539),INDEX(tbl_Consulting[Cost Centre],$BI539)))&amp;"")</f>
        <v/>
      </c>
      <c r="I539" s="10">
        <f>IF($BI539="","",IF($B539="Onsite",INDEX(tbl_Onsite[Invoice Type],$BI539),IF($B539="Production",INDEX(tbl_Production[Invoice Type],$BI539),INDEX(tbl_Consulting[Invoice Type],$BI539)))&amp;"")</f>
        <v/>
      </c>
      <c r="J539" s="10">
        <f>IF($BI539="","",IF($B539="Onsite",INDEX(tbl_Onsite[Tax Code],$BI539),IF($B539="Production",INDEX(tbl_Production[Tax Code],$BI539),INDEX(tbl_Consulting[Tax Code],$BI539)))&amp;"")</f>
        <v/>
      </c>
      <c r="K539" s="10">
        <f>IF(H539="","",IFERROR(INDEX(lst_CCtoGL,MATCH(H539,lst_CCforGL,0)),""))</f>
        <v/>
      </c>
      <c r="L539" s="10">
        <f>IF($BI539="","",IF($B539="Onsite",INDEX(tbl_Onsite[PO / Reference],$BI539),IF($B539="Production",INDEX(tbl_Production[Current RMS No],$BI539),INDEX(tbl_Consulting[Qwilr Quote],$BI539)))&amp;"")</f>
        <v/>
      </c>
      <c r="M539" s="10">
        <f>IF($BI539="","",IF($B539="Onsite",INDEX(tbl_Onsite[Notes],$BI539),IF($B539="Production",INDEX(tbl_Production[Notes],$BI539),INDEX(tbl_Consulting[Notes],$BI539)))&amp;"")</f>
        <v/>
      </c>
      <c r="N539" s="11">
        <f>IF($BI539="","",IF(IF($B539="Onsite",INDEX(tbl_Onsite[Expected Revenue Ex GST],$BI539),IF($B539="Production",INDEX(tbl_Production[Expected Revenue Ex GST],$BI539),INDEX(tbl_Consulting[Expected Revenue Ex GST],$BI539)))="","",IF($B539="Onsite",INDEX(tbl_Onsite[Expected Revenue Ex GST],$BI539),IF($B539="Production",INDEX(tbl_Production[Expected Revenue Ex GST],$BI539),INDEX(tbl_Consulting[Expected Revenue Ex GST],$BI539)))))</f>
        <v/>
      </c>
      <c r="O539" s="11">
        <f>IF(AND($C539="",NOT(COUNTA($S539:$BB539)&gt;0)),"",SUM(U539,X539,AA539,AD539,AG539,AJ539,AM539,AP539,AS539,AV539,AY539,BB539))</f>
        <v/>
      </c>
      <c r="P539" s="11">
        <f>IF(O539="","",N(N539)-O539)</f>
        <v/>
      </c>
      <c r="Q539" s="10">
        <f>IF(O539="","",IF($C539="","Invoice on empty job row",IF(N539="",IF(ROUND(O539,2)=0,"No dept value","Invoiced - no dept value"),IF(ROUND(O539,2)=0,"Not invoiced - to invoice",IF(ROUND(P539,2)=0,"Agrees",IF(P539&gt;0,"Dept higher - to invoice","Xero higher - check dept"))))))</f>
        <v/>
      </c>
      <c r="R539" s="10">
        <f>IF(AND($C539="",NOT(COUNTA($S539:$BB539)&gt;0),$BI539&lt;&gt;""),"",MID(IF($BI539="","; Row ID not found on the department sheet - a row was deleted","")&amp;IF(AND($C539="",COUNTA($S539:$BB539)&gt;0),"; Invoice entered but the department row has no job number","")&amp;IF(E539="CHECK","; Job number not in the Xero job list","")&amp;IF(AND($C539&lt;&gt;"",COUNTIF($C$7:$C$1506,$C539)&gt;1),"; Job number on more than one row","")&amp;IF(AND($C539&lt;&gt;"",H539=""),"; Dept has not set a cost centre","")&amp;IF(AND($C539&lt;&gt;"",J539=""),"; Dept has not set a tax code","")&amp;IF(AND($C539&lt;&gt;"",N539=""),"; Dept has not entered an expected value","")&amp;IF((IF(OR(COUNTA(S539:U539)=0,AND(COUNTA(S539:U539)=3,ISNUMBER(U539))),0,1)+IF(OR(COUNTA(V539:X539)=0,AND(COUNTA(V539:X539)=3,ISNUMBER(X539))),0,1)+IF(OR(COUNTA(Y539:AA539)=0,AND(COUNTA(Y539:AA539)=3,ISNUMBER(AA539))),0,1)+IF(OR(COUNTA(AB539:AD539)=0,AND(COUNTA(AB539:AD539)=3,ISNUMBER(AD539))),0,1)+IF(OR(COUNTA(AE539:AG539)=0,AND(COUNTA(AE539:AG539)=3,ISNUMBER(AG539))),0,1)+IF(OR(COUNTA(AH539:AJ539)=0,AND(COUNTA(AH539:AJ539)=3,ISNUMBER(AJ539))),0,1)+IF(OR(COUNTA(AK539:AM539)=0,AND(COUNTA(AK539:AM539)=3,ISNUMBER(AM539))),0,1)+IF(OR(COUNTA(AN539:AP539)=0,AND(COUNTA(AN539:AP539)=3,ISNUMBER(AP539))),0,1)+IF(OR(COUNTA(AQ539:AS539)=0,AND(COUNTA(AQ539:AS539)=3,ISNUMBER(AS539))),0,1)+IF(OR(COUNTA(AT539:AV539)=0,AND(COUNTA(AT539:AV539)=3,ISNUMBER(AV539))),0,1)+IF(OR(COUNTA(AW539:AY539)=0,AND(COUNTA(AW539:AY539)=3,ISNUMBER(AY539))),0,1)+IF(OR(COUNTA(AZ539:BB539)=0,AND(COUNTA(AZ539:BB539)=3,ISNUMBER(BB539))),0,1))&gt;0,"; An invoice is incomplete (needs No, Date and a number in Ex GST)","")&amp;IF((IF(T539="",0,IFERROR(--(EOMONTH(T539,0)&lt;&gt;S$5),1))+IF(W539="",0,IFERROR(--(EOMONTH(W539,0)&lt;&gt;V$5),1))+IF(Z539="",0,IFERROR(--(EOMONTH(Z539,0)&lt;&gt;Y$5),1))+IF(AC539="",0,IFERROR(--(EOMONTH(AC539,0)&lt;&gt;AB$5),1))+IF(AF539="",0,IFERROR(--(EOMONTH(AF539,0)&lt;&gt;AE$5),1))+IF(AI539="",0,IFERROR(--(EOMONTH(AI539,0)&lt;&gt;AH$5),1))+IF(AL539="",0,IFERROR(--(EOMONTH(AL539,0)&lt;&gt;AK$5),1))+IF(AO539="",0,IFERROR(--(EOMONTH(AO539,0)&lt;&gt;AN$5),1))+IF(AR539="",0,IFERROR(--(EOMONTH(AR539,0)&lt;&gt;AQ$5),1))+IF(AU539="",0,IFERROR(--(EOMONTH(AU539,0)&lt;&gt;AT$5),1))+IF(AX539="",0,IFERROR(--(EOMONTH(AX539,0)&lt;&gt;AW$5),1))+IF(BA539="",0,IFERROR(--(EOMONTH(BA539,0)&lt;&gt;AZ$5),1)))&gt;0,"; An invoice date is not in the month it is typed under",""),3,500))</f>
        <v/>
      </c>
      <c r="S539" s="12" t="n"/>
      <c r="T539" s="13" t="n"/>
      <c r="U539" s="14" t="n"/>
      <c r="V539" s="12" t="n"/>
      <c r="W539" s="13" t="n"/>
      <c r="X539" s="14" t="n"/>
      <c r="Y539" s="12" t="n"/>
      <c r="Z539" s="13" t="n"/>
      <c r="AA539" s="14" t="n"/>
      <c r="AB539" s="12" t="n"/>
      <c r="AC539" s="13" t="n"/>
      <c r="AD539" s="14" t="n"/>
      <c r="AE539" s="12" t="n"/>
      <c r="AF539" s="13" t="n"/>
      <c r="AG539" s="14" t="n"/>
      <c r="AH539" s="12" t="n"/>
      <c r="AI539" s="13" t="n"/>
      <c r="AJ539" s="14" t="n"/>
      <c r="AK539" s="12" t="n"/>
      <c r="AL539" s="13" t="n"/>
      <c r="AM539" s="14" t="n"/>
      <c r="AN539" s="12" t="n"/>
      <c r="AO539" s="13" t="n"/>
      <c r="AP539" s="14" t="n"/>
      <c r="AQ539" s="12" t="n"/>
      <c r="AR539" s="13" t="n"/>
      <c r="AS539" s="14" t="n"/>
      <c r="AT539" s="12" t="n"/>
      <c r="AU539" s="13" t="n"/>
      <c r="AV539" s="14" t="n"/>
      <c r="AW539" s="12" t="n"/>
      <c r="AX539" s="13" t="n"/>
      <c r="AY539" s="14" t="n"/>
      <c r="AZ539" s="12" t="n"/>
      <c r="BA539" s="13" t="n"/>
      <c r="BB539" s="14" t="n"/>
      <c r="BC539" s="11">
        <f>IF(O539="","",IF(J539="GST 10%",ROUND(O539*set_GSTRate,2),0))</f>
        <v/>
      </c>
      <c r="BD539" s="11">
        <f>IF(O539="","",O539+BC539)</f>
        <v/>
      </c>
      <c r="BE539" s="15">
        <f>IF(O539="","",COUNTA(S539,V539,Y539,AB539,AE539,AH539,AK539,AN539,AQ539,AT539,AW539,AZ539))</f>
        <v/>
      </c>
      <c r="BF539" s="16">
        <f>IF(COUNT(T539,W539,Z539,AC539,AF539,AI539,AL539,AO539,AR539,AU539,AX539,BA539)=0,"",MAX(T539,W539,Z539,AC539,AF539,AI539,AL539,AO539,AR539,AU539,AX539,BA539))</f>
        <v/>
      </c>
      <c r="BG539" s="10">
        <f>MID(IF(S539="","",", "&amp;S539)&amp;IF(V539="","",", "&amp;V539)&amp;IF(Y539="","",", "&amp;Y539)&amp;IF(AB539="","",", "&amp;AB539)&amp;IF(AE539="","",", "&amp;AE539)&amp;IF(AH539="","",", "&amp;AH539)&amp;IF(AK539="","",", "&amp;AK539)&amp;IF(AN539="","",", "&amp;AN539)&amp;IF(AQ539="","",", "&amp;AQ539)&amp;IF(AT539="","",", "&amp;AT539)&amp;IF(AW539="","",", "&amp;AW539)&amp;IF(AZ539="","",", "&amp;AZ539),3,500)</f>
        <v/>
      </c>
      <c r="BH539" s="12" t="n"/>
      <c r="BI539" s="15">
        <f>IFERROR(MATCH($A539,IF($B539="Onsite",tbl_Onsite[Row ID],IF($B539="Production",tbl_Production[Row ID],tbl_Consulting[Row ID])),0),"")</f>
        <v/>
      </c>
    </row>
    <row r="540">
      <c r="A540" s="10" t="inlineStr">
        <is>
          <t>PRD-0034</t>
        </is>
      </c>
      <c r="B540" s="10" t="inlineStr">
        <is>
          <t>Production</t>
        </is>
      </c>
      <c r="C540" s="10">
        <f>IF($BI540="","",IF($B540="Onsite",INDEX(tbl_Onsite[Job Number],$BI540),IF($B540="Production",INDEX(tbl_Production[Job Number],$BI540),INDEX(tbl_Consulting[Job Number],$BI540)))&amp;"")</f>
        <v/>
      </c>
      <c r="D540" s="10">
        <f>IF($BI540="","",IF($B540="Onsite",INDEX(tbl_Onsite[Client],$BI540),IF($B540="Production",INDEX(tbl_Production[Client],$BI540),INDEX(tbl_Consulting[Client],$BI540)))&amp;"")</f>
        <v/>
      </c>
      <c r="E540" s="10">
        <f>IF($C540="","",IF(COUNTIF(lst_Jobs,$C540)&gt;0,"OK","CHECK"))</f>
        <v/>
      </c>
      <c r="F540" s="10">
        <f>IF($C540="","",IFERROR(INDEX(lst_JobName,MATCH($C540,lst_Jobs,0)),""))</f>
        <v/>
      </c>
      <c r="G540" s="10">
        <f>IF($BI540="","",IF($B540="Onsite",INDEX(tbl_Onsite[Job Description],$BI540),IF($B540="Production",INDEX(tbl_Production[Job Description],$BI540),INDEX(tbl_Consulting[Job Description],$BI540)))&amp;"")</f>
        <v/>
      </c>
      <c r="H540" s="10">
        <f>IF($BI540="","",IF($B540="Onsite",INDEX(tbl_Onsite[Cost Centre],$BI540),IF($B540="Production",INDEX(tbl_Production[Cost Centre],$BI540),INDEX(tbl_Consulting[Cost Centre],$BI540)))&amp;"")</f>
        <v/>
      </c>
      <c r="I540" s="10">
        <f>IF($BI540="","",IF($B540="Onsite",INDEX(tbl_Onsite[Invoice Type],$BI540),IF($B540="Production",INDEX(tbl_Production[Invoice Type],$BI540),INDEX(tbl_Consulting[Invoice Type],$BI540)))&amp;"")</f>
        <v/>
      </c>
      <c r="J540" s="10">
        <f>IF($BI540="","",IF($B540="Onsite",INDEX(tbl_Onsite[Tax Code],$BI540),IF($B540="Production",INDEX(tbl_Production[Tax Code],$BI540),INDEX(tbl_Consulting[Tax Code],$BI540)))&amp;"")</f>
        <v/>
      </c>
      <c r="K540" s="10">
        <f>IF(H540="","",IFERROR(INDEX(lst_CCtoGL,MATCH(H540,lst_CCforGL,0)),""))</f>
        <v/>
      </c>
      <c r="L540" s="10">
        <f>IF($BI540="","",IF($B540="Onsite",INDEX(tbl_Onsite[PO / Reference],$BI540),IF($B540="Production",INDEX(tbl_Production[Current RMS No],$BI540),INDEX(tbl_Consulting[Qwilr Quote],$BI540)))&amp;"")</f>
        <v/>
      </c>
      <c r="M540" s="10">
        <f>IF($BI540="","",IF($B540="Onsite",INDEX(tbl_Onsite[Notes],$BI540),IF($B540="Production",INDEX(tbl_Production[Notes],$BI540),INDEX(tbl_Consulting[Notes],$BI540)))&amp;"")</f>
        <v/>
      </c>
      <c r="N540" s="11">
        <f>IF($BI540="","",IF(IF($B540="Onsite",INDEX(tbl_Onsite[Expected Revenue Ex GST],$BI540),IF($B540="Production",INDEX(tbl_Production[Expected Revenue Ex GST],$BI540),INDEX(tbl_Consulting[Expected Revenue Ex GST],$BI540)))="","",IF($B540="Onsite",INDEX(tbl_Onsite[Expected Revenue Ex GST],$BI540),IF($B540="Production",INDEX(tbl_Production[Expected Revenue Ex GST],$BI540),INDEX(tbl_Consulting[Expected Revenue Ex GST],$BI540)))))</f>
        <v/>
      </c>
      <c r="O540" s="11">
        <f>IF(AND($C540="",NOT(COUNTA($S540:$BB540)&gt;0)),"",SUM(U540,X540,AA540,AD540,AG540,AJ540,AM540,AP540,AS540,AV540,AY540,BB540))</f>
        <v/>
      </c>
      <c r="P540" s="11">
        <f>IF(O540="","",N(N540)-O540)</f>
        <v/>
      </c>
      <c r="Q540" s="10">
        <f>IF(O540="","",IF($C540="","Invoice on empty job row",IF(N540="",IF(ROUND(O540,2)=0,"No dept value","Invoiced - no dept value"),IF(ROUND(O540,2)=0,"Not invoiced - to invoice",IF(ROUND(P540,2)=0,"Agrees",IF(P540&gt;0,"Dept higher - to invoice","Xero higher - check dept"))))))</f>
        <v/>
      </c>
      <c r="R540" s="10">
        <f>IF(AND($C540="",NOT(COUNTA($S540:$BB540)&gt;0),$BI540&lt;&gt;""),"",MID(IF($BI540="","; Row ID not found on the department sheet - a row was deleted","")&amp;IF(AND($C540="",COUNTA($S540:$BB540)&gt;0),"; Invoice entered but the department row has no job number","")&amp;IF(E540="CHECK","; Job number not in the Xero job list","")&amp;IF(AND($C540&lt;&gt;"",COUNTIF($C$7:$C$1506,$C540)&gt;1),"; Job number on more than one row","")&amp;IF(AND($C540&lt;&gt;"",H540=""),"; Dept has not set a cost centre","")&amp;IF(AND($C540&lt;&gt;"",J540=""),"; Dept has not set a tax code","")&amp;IF(AND($C540&lt;&gt;"",N540=""),"; Dept has not entered an expected value","")&amp;IF((IF(OR(COUNTA(S540:U540)=0,AND(COUNTA(S540:U540)=3,ISNUMBER(U540))),0,1)+IF(OR(COUNTA(V540:X540)=0,AND(COUNTA(V540:X540)=3,ISNUMBER(X540))),0,1)+IF(OR(COUNTA(Y540:AA540)=0,AND(COUNTA(Y540:AA540)=3,ISNUMBER(AA540))),0,1)+IF(OR(COUNTA(AB540:AD540)=0,AND(COUNTA(AB540:AD540)=3,ISNUMBER(AD540))),0,1)+IF(OR(COUNTA(AE540:AG540)=0,AND(COUNTA(AE540:AG540)=3,ISNUMBER(AG540))),0,1)+IF(OR(COUNTA(AH540:AJ540)=0,AND(COUNTA(AH540:AJ540)=3,ISNUMBER(AJ540))),0,1)+IF(OR(COUNTA(AK540:AM540)=0,AND(COUNTA(AK540:AM540)=3,ISNUMBER(AM540))),0,1)+IF(OR(COUNTA(AN540:AP540)=0,AND(COUNTA(AN540:AP540)=3,ISNUMBER(AP540))),0,1)+IF(OR(COUNTA(AQ540:AS540)=0,AND(COUNTA(AQ540:AS540)=3,ISNUMBER(AS540))),0,1)+IF(OR(COUNTA(AT540:AV540)=0,AND(COUNTA(AT540:AV540)=3,ISNUMBER(AV540))),0,1)+IF(OR(COUNTA(AW540:AY540)=0,AND(COUNTA(AW540:AY540)=3,ISNUMBER(AY540))),0,1)+IF(OR(COUNTA(AZ540:BB540)=0,AND(COUNTA(AZ540:BB540)=3,ISNUMBER(BB540))),0,1))&gt;0,"; An invoice is incomplete (needs No, Date and a number in Ex GST)","")&amp;IF((IF(T540="",0,IFERROR(--(EOMONTH(T540,0)&lt;&gt;S$5),1))+IF(W540="",0,IFERROR(--(EOMONTH(W540,0)&lt;&gt;V$5),1))+IF(Z540="",0,IFERROR(--(EOMONTH(Z540,0)&lt;&gt;Y$5),1))+IF(AC540="",0,IFERROR(--(EOMONTH(AC540,0)&lt;&gt;AB$5),1))+IF(AF540="",0,IFERROR(--(EOMONTH(AF540,0)&lt;&gt;AE$5),1))+IF(AI540="",0,IFERROR(--(EOMONTH(AI540,0)&lt;&gt;AH$5),1))+IF(AL540="",0,IFERROR(--(EOMONTH(AL540,0)&lt;&gt;AK$5),1))+IF(AO540="",0,IFERROR(--(EOMONTH(AO540,0)&lt;&gt;AN$5),1))+IF(AR540="",0,IFERROR(--(EOMONTH(AR540,0)&lt;&gt;AQ$5),1))+IF(AU540="",0,IFERROR(--(EOMONTH(AU540,0)&lt;&gt;AT$5),1))+IF(AX540="",0,IFERROR(--(EOMONTH(AX540,0)&lt;&gt;AW$5),1))+IF(BA540="",0,IFERROR(--(EOMONTH(BA540,0)&lt;&gt;AZ$5),1)))&gt;0,"; An invoice date is not in the month it is typed under",""),3,500))</f>
        <v/>
      </c>
      <c r="S540" s="12" t="n"/>
      <c r="T540" s="13" t="n"/>
      <c r="U540" s="14" t="n"/>
      <c r="V540" s="12" t="n"/>
      <c r="W540" s="13" t="n"/>
      <c r="X540" s="14" t="n"/>
      <c r="Y540" s="12" t="n"/>
      <c r="Z540" s="13" t="n"/>
      <c r="AA540" s="14" t="n"/>
      <c r="AB540" s="12" t="n"/>
      <c r="AC540" s="13" t="n"/>
      <c r="AD540" s="14" t="n"/>
      <c r="AE540" s="12" t="n"/>
      <c r="AF540" s="13" t="n"/>
      <c r="AG540" s="14" t="n"/>
      <c r="AH540" s="12" t="n"/>
      <c r="AI540" s="13" t="n"/>
      <c r="AJ540" s="14" t="n"/>
      <c r="AK540" s="12" t="n"/>
      <c r="AL540" s="13" t="n"/>
      <c r="AM540" s="14" t="n"/>
      <c r="AN540" s="12" t="n"/>
      <c r="AO540" s="13" t="n"/>
      <c r="AP540" s="14" t="n"/>
      <c r="AQ540" s="12" t="n"/>
      <c r="AR540" s="13" t="n"/>
      <c r="AS540" s="14" t="n"/>
      <c r="AT540" s="12" t="n"/>
      <c r="AU540" s="13" t="n"/>
      <c r="AV540" s="14" t="n"/>
      <c r="AW540" s="12" t="n"/>
      <c r="AX540" s="13" t="n"/>
      <c r="AY540" s="14" t="n"/>
      <c r="AZ540" s="12" t="n"/>
      <c r="BA540" s="13" t="n"/>
      <c r="BB540" s="14" t="n"/>
      <c r="BC540" s="11">
        <f>IF(O540="","",IF(J540="GST 10%",ROUND(O540*set_GSTRate,2),0))</f>
        <v/>
      </c>
      <c r="BD540" s="11">
        <f>IF(O540="","",O540+BC540)</f>
        <v/>
      </c>
      <c r="BE540" s="15">
        <f>IF(O540="","",COUNTA(S540,V540,Y540,AB540,AE540,AH540,AK540,AN540,AQ540,AT540,AW540,AZ540))</f>
        <v/>
      </c>
      <c r="BF540" s="16">
        <f>IF(COUNT(T540,W540,Z540,AC540,AF540,AI540,AL540,AO540,AR540,AU540,AX540,BA540)=0,"",MAX(T540,W540,Z540,AC540,AF540,AI540,AL540,AO540,AR540,AU540,AX540,BA540))</f>
        <v/>
      </c>
      <c r="BG540" s="10">
        <f>MID(IF(S540="","",", "&amp;S540)&amp;IF(V540="","",", "&amp;V540)&amp;IF(Y540="","",", "&amp;Y540)&amp;IF(AB540="","",", "&amp;AB540)&amp;IF(AE540="","",", "&amp;AE540)&amp;IF(AH540="","",", "&amp;AH540)&amp;IF(AK540="","",", "&amp;AK540)&amp;IF(AN540="","",", "&amp;AN540)&amp;IF(AQ540="","",", "&amp;AQ540)&amp;IF(AT540="","",", "&amp;AT540)&amp;IF(AW540="","",", "&amp;AW540)&amp;IF(AZ540="","",", "&amp;AZ540),3,500)</f>
        <v/>
      </c>
      <c r="BH540" s="12" t="n"/>
      <c r="BI540" s="15">
        <f>IFERROR(MATCH($A540,IF($B540="Onsite",tbl_Onsite[Row ID],IF($B540="Production",tbl_Production[Row ID],tbl_Consulting[Row ID])),0),"")</f>
        <v/>
      </c>
    </row>
    <row r="541">
      <c r="A541" s="10" t="inlineStr">
        <is>
          <t>PRD-0035</t>
        </is>
      </c>
      <c r="B541" s="10" t="inlineStr">
        <is>
          <t>Production</t>
        </is>
      </c>
      <c r="C541" s="10">
        <f>IF($BI541="","",IF($B541="Onsite",INDEX(tbl_Onsite[Job Number],$BI541),IF($B541="Production",INDEX(tbl_Production[Job Number],$BI541),INDEX(tbl_Consulting[Job Number],$BI541)))&amp;"")</f>
        <v/>
      </c>
      <c r="D541" s="10">
        <f>IF($BI541="","",IF($B541="Onsite",INDEX(tbl_Onsite[Client],$BI541),IF($B541="Production",INDEX(tbl_Production[Client],$BI541),INDEX(tbl_Consulting[Client],$BI541)))&amp;"")</f>
        <v/>
      </c>
      <c r="E541" s="10">
        <f>IF($C541="","",IF(COUNTIF(lst_Jobs,$C541)&gt;0,"OK","CHECK"))</f>
        <v/>
      </c>
      <c r="F541" s="10">
        <f>IF($C541="","",IFERROR(INDEX(lst_JobName,MATCH($C541,lst_Jobs,0)),""))</f>
        <v/>
      </c>
      <c r="G541" s="10">
        <f>IF($BI541="","",IF($B541="Onsite",INDEX(tbl_Onsite[Job Description],$BI541),IF($B541="Production",INDEX(tbl_Production[Job Description],$BI541),INDEX(tbl_Consulting[Job Description],$BI541)))&amp;"")</f>
        <v/>
      </c>
      <c r="H541" s="10">
        <f>IF($BI541="","",IF($B541="Onsite",INDEX(tbl_Onsite[Cost Centre],$BI541),IF($B541="Production",INDEX(tbl_Production[Cost Centre],$BI541),INDEX(tbl_Consulting[Cost Centre],$BI541)))&amp;"")</f>
        <v/>
      </c>
      <c r="I541" s="10">
        <f>IF($BI541="","",IF($B541="Onsite",INDEX(tbl_Onsite[Invoice Type],$BI541),IF($B541="Production",INDEX(tbl_Production[Invoice Type],$BI541),INDEX(tbl_Consulting[Invoice Type],$BI541)))&amp;"")</f>
        <v/>
      </c>
      <c r="J541" s="10">
        <f>IF($BI541="","",IF($B541="Onsite",INDEX(tbl_Onsite[Tax Code],$BI541),IF($B541="Production",INDEX(tbl_Production[Tax Code],$BI541),INDEX(tbl_Consulting[Tax Code],$BI541)))&amp;"")</f>
        <v/>
      </c>
      <c r="K541" s="10">
        <f>IF(H541="","",IFERROR(INDEX(lst_CCtoGL,MATCH(H541,lst_CCforGL,0)),""))</f>
        <v/>
      </c>
      <c r="L541" s="10">
        <f>IF($BI541="","",IF($B541="Onsite",INDEX(tbl_Onsite[PO / Reference],$BI541),IF($B541="Production",INDEX(tbl_Production[Current RMS No],$BI541),INDEX(tbl_Consulting[Qwilr Quote],$BI541)))&amp;"")</f>
        <v/>
      </c>
      <c r="M541" s="10">
        <f>IF($BI541="","",IF($B541="Onsite",INDEX(tbl_Onsite[Notes],$BI541),IF($B541="Production",INDEX(tbl_Production[Notes],$BI541),INDEX(tbl_Consulting[Notes],$BI541)))&amp;"")</f>
        <v/>
      </c>
      <c r="N541" s="11">
        <f>IF($BI541="","",IF(IF($B541="Onsite",INDEX(tbl_Onsite[Expected Revenue Ex GST],$BI541),IF($B541="Production",INDEX(tbl_Production[Expected Revenue Ex GST],$BI541),INDEX(tbl_Consulting[Expected Revenue Ex GST],$BI541)))="","",IF($B541="Onsite",INDEX(tbl_Onsite[Expected Revenue Ex GST],$BI541),IF($B541="Production",INDEX(tbl_Production[Expected Revenue Ex GST],$BI541),INDEX(tbl_Consulting[Expected Revenue Ex GST],$BI541)))))</f>
        <v/>
      </c>
      <c r="O541" s="11">
        <f>IF(AND($C541="",NOT(COUNTA($S541:$BB541)&gt;0)),"",SUM(U541,X541,AA541,AD541,AG541,AJ541,AM541,AP541,AS541,AV541,AY541,BB541))</f>
        <v/>
      </c>
      <c r="P541" s="11">
        <f>IF(O541="","",N(N541)-O541)</f>
        <v/>
      </c>
      <c r="Q541" s="10">
        <f>IF(O541="","",IF($C541="","Invoice on empty job row",IF(N541="",IF(ROUND(O541,2)=0,"No dept value","Invoiced - no dept value"),IF(ROUND(O541,2)=0,"Not invoiced - to invoice",IF(ROUND(P541,2)=0,"Agrees",IF(P541&gt;0,"Dept higher - to invoice","Xero higher - check dept"))))))</f>
        <v/>
      </c>
      <c r="R541" s="10">
        <f>IF(AND($C541="",NOT(COUNTA($S541:$BB541)&gt;0),$BI541&lt;&gt;""),"",MID(IF($BI541="","; Row ID not found on the department sheet - a row was deleted","")&amp;IF(AND($C541="",COUNTA($S541:$BB541)&gt;0),"; Invoice entered but the department row has no job number","")&amp;IF(E541="CHECK","; Job number not in the Xero job list","")&amp;IF(AND($C541&lt;&gt;"",COUNTIF($C$7:$C$1506,$C541)&gt;1),"; Job number on more than one row","")&amp;IF(AND($C541&lt;&gt;"",H541=""),"; Dept has not set a cost centre","")&amp;IF(AND($C541&lt;&gt;"",J541=""),"; Dept has not set a tax code","")&amp;IF(AND($C541&lt;&gt;"",N541=""),"; Dept has not entered an expected value","")&amp;IF((IF(OR(COUNTA(S541:U541)=0,AND(COUNTA(S541:U541)=3,ISNUMBER(U541))),0,1)+IF(OR(COUNTA(V541:X541)=0,AND(COUNTA(V541:X541)=3,ISNUMBER(X541))),0,1)+IF(OR(COUNTA(Y541:AA541)=0,AND(COUNTA(Y541:AA541)=3,ISNUMBER(AA541))),0,1)+IF(OR(COUNTA(AB541:AD541)=0,AND(COUNTA(AB541:AD541)=3,ISNUMBER(AD541))),0,1)+IF(OR(COUNTA(AE541:AG541)=0,AND(COUNTA(AE541:AG541)=3,ISNUMBER(AG541))),0,1)+IF(OR(COUNTA(AH541:AJ541)=0,AND(COUNTA(AH541:AJ541)=3,ISNUMBER(AJ541))),0,1)+IF(OR(COUNTA(AK541:AM541)=0,AND(COUNTA(AK541:AM541)=3,ISNUMBER(AM541))),0,1)+IF(OR(COUNTA(AN541:AP541)=0,AND(COUNTA(AN541:AP541)=3,ISNUMBER(AP541))),0,1)+IF(OR(COUNTA(AQ541:AS541)=0,AND(COUNTA(AQ541:AS541)=3,ISNUMBER(AS541))),0,1)+IF(OR(COUNTA(AT541:AV541)=0,AND(COUNTA(AT541:AV541)=3,ISNUMBER(AV541))),0,1)+IF(OR(COUNTA(AW541:AY541)=0,AND(COUNTA(AW541:AY541)=3,ISNUMBER(AY541))),0,1)+IF(OR(COUNTA(AZ541:BB541)=0,AND(COUNTA(AZ541:BB541)=3,ISNUMBER(BB541))),0,1))&gt;0,"; An invoice is incomplete (needs No, Date and a number in Ex GST)","")&amp;IF((IF(T541="",0,IFERROR(--(EOMONTH(T541,0)&lt;&gt;S$5),1))+IF(W541="",0,IFERROR(--(EOMONTH(W541,0)&lt;&gt;V$5),1))+IF(Z541="",0,IFERROR(--(EOMONTH(Z541,0)&lt;&gt;Y$5),1))+IF(AC541="",0,IFERROR(--(EOMONTH(AC541,0)&lt;&gt;AB$5),1))+IF(AF541="",0,IFERROR(--(EOMONTH(AF541,0)&lt;&gt;AE$5),1))+IF(AI541="",0,IFERROR(--(EOMONTH(AI541,0)&lt;&gt;AH$5),1))+IF(AL541="",0,IFERROR(--(EOMONTH(AL541,0)&lt;&gt;AK$5),1))+IF(AO541="",0,IFERROR(--(EOMONTH(AO541,0)&lt;&gt;AN$5),1))+IF(AR541="",0,IFERROR(--(EOMONTH(AR541,0)&lt;&gt;AQ$5),1))+IF(AU541="",0,IFERROR(--(EOMONTH(AU541,0)&lt;&gt;AT$5),1))+IF(AX541="",0,IFERROR(--(EOMONTH(AX541,0)&lt;&gt;AW$5),1))+IF(BA541="",0,IFERROR(--(EOMONTH(BA541,0)&lt;&gt;AZ$5),1)))&gt;0,"; An invoice date is not in the month it is typed under",""),3,500))</f>
        <v/>
      </c>
      <c r="S541" s="12" t="n"/>
      <c r="T541" s="13" t="n"/>
      <c r="U541" s="14" t="n"/>
      <c r="V541" s="12" t="n"/>
      <c r="W541" s="13" t="n"/>
      <c r="X541" s="14" t="n"/>
      <c r="Y541" s="12" t="n"/>
      <c r="Z541" s="13" t="n"/>
      <c r="AA541" s="14" t="n"/>
      <c r="AB541" s="12" t="n"/>
      <c r="AC541" s="13" t="n"/>
      <c r="AD541" s="14" t="n"/>
      <c r="AE541" s="12" t="n"/>
      <c r="AF541" s="13" t="n"/>
      <c r="AG541" s="14" t="n"/>
      <c r="AH541" s="12" t="n"/>
      <c r="AI541" s="13" t="n"/>
      <c r="AJ541" s="14" t="n"/>
      <c r="AK541" s="12" t="n"/>
      <c r="AL541" s="13" t="n"/>
      <c r="AM541" s="14" t="n"/>
      <c r="AN541" s="12" t="n"/>
      <c r="AO541" s="13" t="n"/>
      <c r="AP541" s="14" t="n"/>
      <c r="AQ541" s="12" t="n"/>
      <c r="AR541" s="13" t="n"/>
      <c r="AS541" s="14" t="n"/>
      <c r="AT541" s="12" t="n"/>
      <c r="AU541" s="13" t="n"/>
      <c r="AV541" s="14" t="n"/>
      <c r="AW541" s="12" t="n"/>
      <c r="AX541" s="13" t="n"/>
      <c r="AY541" s="14" t="n"/>
      <c r="AZ541" s="12" t="n"/>
      <c r="BA541" s="13" t="n"/>
      <c r="BB541" s="14" t="n"/>
      <c r="BC541" s="11">
        <f>IF(O541="","",IF(J541="GST 10%",ROUND(O541*set_GSTRate,2),0))</f>
        <v/>
      </c>
      <c r="BD541" s="11">
        <f>IF(O541="","",O541+BC541)</f>
        <v/>
      </c>
      <c r="BE541" s="15">
        <f>IF(O541="","",COUNTA(S541,V541,Y541,AB541,AE541,AH541,AK541,AN541,AQ541,AT541,AW541,AZ541))</f>
        <v/>
      </c>
      <c r="BF541" s="16">
        <f>IF(COUNT(T541,W541,Z541,AC541,AF541,AI541,AL541,AO541,AR541,AU541,AX541,BA541)=0,"",MAX(T541,W541,Z541,AC541,AF541,AI541,AL541,AO541,AR541,AU541,AX541,BA541))</f>
        <v/>
      </c>
      <c r="BG541" s="10">
        <f>MID(IF(S541="","",", "&amp;S541)&amp;IF(V541="","",", "&amp;V541)&amp;IF(Y541="","",", "&amp;Y541)&amp;IF(AB541="","",", "&amp;AB541)&amp;IF(AE541="","",", "&amp;AE541)&amp;IF(AH541="","",", "&amp;AH541)&amp;IF(AK541="","",", "&amp;AK541)&amp;IF(AN541="","",", "&amp;AN541)&amp;IF(AQ541="","",", "&amp;AQ541)&amp;IF(AT541="","",", "&amp;AT541)&amp;IF(AW541="","",", "&amp;AW541)&amp;IF(AZ541="","",", "&amp;AZ541),3,500)</f>
        <v/>
      </c>
      <c r="BH541" s="12" t="n"/>
      <c r="BI541" s="15">
        <f>IFERROR(MATCH($A541,IF($B541="Onsite",tbl_Onsite[Row ID],IF($B541="Production",tbl_Production[Row ID],tbl_Consulting[Row ID])),0),"")</f>
        <v/>
      </c>
    </row>
    <row r="542">
      <c r="A542" s="10" t="inlineStr">
        <is>
          <t>PRD-0036</t>
        </is>
      </c>
      <c r="B542" s="10" t="inlineStr">
        <is>
          <t>Production</t>
        </is>
      </c>
      <c r="C542" s="10">
        <f>IF($BI542="","",IF($B542="Onsite",INDEX(tbl_Onsite[Job Number],$BI542),IF($B542="Production",INDEX(tbl_Production[Job Number],$BI542),INDEX(tbl_Consulting[Job Number],$BI542)))&amp;"")</f>
        <v/>
      </c>
      <c r="D542" s="10">
        <f>IF($BI542="","",IF($B542="Onsite",INDEX(tbl_Onsite[Client],$BI542),IF($B542="Production",INDEX(tbl_Production[Client],$BI542),INDEX(tbl_Consulting[Client],$BI542)))&amp;"")</f>
        <v/>
      </c>
      <c r="E542" s="10">
        <f>IF($C542="","",IF(COUNTIF(lst_Jobs,$C542)&gt;0,"OK","CHECK"))</f>
        <v/>
      </c>
      <c r="F542" s="10">
        <f>IF($C542="","",IFERROR(INDEX(lst_JobName,MATCH($C542,lst_Jobs,0)),""))</f>
        <v/>
      </c>
      <c r="G542" s="10">
        <f>IF($BI542="","",IF($B542="Onsite",INDEX(tbl_Onsite[Job Description],$BI542),IF($B542="Production",INDEX(tbl_Production[Job Description],$BI542),INDEX(tbl_Consulting[Job Description],$BI542)))&amp;"")</f>
        <v/>
      </c>
      <c r="H542" s="10">
        <f>IF($BI542="","",IF($B542="Onsite",INDEX(tbl_Onsite[Cost Centre],$BI542),IF($B542="Production",INDEX(tbl_Production[Cost Centre],$BI542),INDEX(tbl_Consulting[Cost Centre],$BI542)))&amp;"")</f>
        <v/>
      </c>
      <c r="I542" s="10">
        <f>IF($BI542="","",IF($B542="Onsite",INDEX(tbl_Onsite[Invoice Type],$BI542),IF($B542="Production",INDEX(tbl_Production[Invoice Type],$BI542),INDEX(tbl_Consulting[Invoice Type],$BI542)))&amp;"")</f>
        <v/>
      </c>
      <c r="J542" s="10">
        <f>IF($BI542="","",IF($B542="Onsite",INDEX(tbl_Onsite[Tax Code],$BI542),IF($B542="Production",INDEX(tbl_Production[Tax Code],$BI542),INDEX(tbl_Consulting[Tax Code],$BI542)))&amp;"")</f>
        <v/>
      </c>
      <c r="K542" s="10">
        <f>IF(H542="","",IFERROR(INDEX(lst_CCtoGL,MATCH(H542,lst_CCforGL,0)),""))</f>
        <v/>
      </c>
      <c r="L542" s="10">
        <f>IF($BI542="","",IF($B542="Onsite",INDEX(tbl_Onsite[PO / Reference],$BI542),IF($B542="Production",INDEX(tbl_Production[Current RMS No],$BI542),INDEX(tbl_Consulting[Qwilr Quote],$BI542)))&amp;"")</f>
        <v/>
      </c>
      <c r="M542" s="10">
        <f>IF($BI542="","",IF($B542="Onsite",INDEX(tbl_Onsite[Notes],$BI542),IF($B542="Production",INDEX(tbl_Production[Notes],$BI542),INDEX(tbl_Consulting[Notes],$BI542)))&amp;"")</f>
        <v/>
      </c>
      <c r="N542" s="11">
        <f>IF($BI542="","",IF(IF($B542="Onsite",INDEX(tbl_Onsite[Expected Revenue Ex GST],$BI542),IF($B542="Production",INDEX(tbl_Production[Expected Revenue Ex GST],$BI542),INDEX(tbl_Consulting[Expected Revenue Ex GST],$BI542)))="","",IF($B542="Onsite",INDEX(tbl_Onsite[Expected Revenue Ex GST],$BI542),IF($B542="Production",INDEX(tbl_Production[Expected Revenue Ex GST],$BI542),INDEX(tbl_Consulting[Expected Revenue Ex GST],$BI542)))))</f>
        <v/>
      </c>
      <c r="O542" s="11">
        <f>IF(AND($C542="",NOT(COUNTA($S542:$BB542)&gt;0)),"",SUM(U542,X542,AA542,AD542,AG542,AJ542,AM542,AP542,AS542,AV542,AY542,BB542))</f>
        <v/>
      </c>
      <c r="P542" s="11">
        <f>IF(O542="","",N(N542)-O542)</f>
        <v/>
      </c>
      <c r="Q542" s="10">
        <f>IF(O542="","",IF($C542="","Invoice on empty job row",IF(N542="",IF(ROUND(O542,2)=0,"No dept value","Invoiced - no dept value"),IF(ROUND(O542,2)=0,"Not invoiced - to invoice",IF(ROUND(P542,2)=0,"Agrees",IF(P542&gt;0,"Dept higher - to invoice","Xero higher - check dept"))))))</f>
        <v/>
      </c>
      <c r="R542" s="10">
        <f>IF(AND($C542="",NOT(COUNTA($S542:$BB542)&gt;0),$BI542&lt;&gt;""),"",MID(IF($BI542="","; Row ID not found on the department sheet - a row was deleted","")&amp;IF(AND($C542="",COUNTA($S542:$BB542)&gt;0),"; Invoice entered but the department row has no job number","")&amp;IF(E542="CHECK","; Job number not in the Xero job list","")&amp;IF(AND($C542&lt;&gt;"",COUNTIF($C$7:$C$1506,$C542)&gt;1),"; Job number on more than one row","")&amp;IF(AND($C542&lt;&gt;"",H542=""),"; Dept has not set a cost centre","")&amp;IF(AND($C542&lt;&gt;"",J542=""),"; Dept has not set a tax code","")&amp;IF(AND($C542&lt;&gt;"",N542=""),"; Dept has not entered an expected value","")&amp;IF((IF(OR(COUNTA(S542:U542)=0,AND(COUNTA(S542:U542)=3,ISNUMBER(U542))),0,1)+IF(OR(COUNTA(V542:X542)=0,AND(COUNTA(V542:X542)=3,ISNUMBER(X542))),0,1)+IF(OR(COUNTA(Y542:AA542)=0,AND(COUNTA(Y542:AA542)=3,ISNUMBER(AA542))),0,1)+IF(OR(COUNTA(AB542:AD542)=0,AND(COUNTA(AB542:AD542)=3,ISNUMBER(AD542))),0,1)+IF(OR(COUNTA(AE542:AG542)=0,AND(COUNTA(AE542:AG542)=3,ISNUMBER(AG542))),0,1)+IF(OR(COUNTA(AH542:AJ542)=0,AND(COUNTA(AH542:AJ542)=3,ISNUMBER(AJ542))),0,1)+IF(OR(COUNTA(AK542:AM542)=0,AND(COUNTA(AK542:AM542)=3,ISNUMBER(AM542))),0,1)+IF(OR(COUNTA(AN542:AP542)=0,AND(COUNTA(AN542:AP542)=3,ISNUMBER(AP542))),0,1)+IF(OR(COUNTA(AQ542:AS542)=0,AND(COUNTA(AQ542:AS542)=3,ISNUMBER(AS542))),0,1)+IF(OR(COUNTA(AT542:AV542)=0,AND(COUNTA(AT542:AV542)=3,ISNUMBER(AV542))),0,1)+IF(OR(COUNTA(AW542:AY542)=0,AND(COUNTA(AW542:AY542)=3,ISNUMBER(AY542))),0,1)+IF(OR(COUNTA(AZ542:BB542)=0,AND(COUNTA(AZ542:BB542)=3,ISNUMBER(BB542))),0,1))&gt;0,"; An invoice is incomplete (needs No, Date and a number in Ex GST)","")&amp;IF((IF(T542="",0,IFERROR(--(EOMONTH(T542,0)&lt;&gt;S$5),1))+IF(W542="",0,IFERROR(--(EOMONTH(W542,0)&lt;&gt;V$5),1))+IF(Z542="",0,IFERROR(--(EOMONTH(Z542,0)&lt;&gt;Y$5),1))+IF(AC542="",0,IFERROR(--(EOMONTH(AC542,0)&lt;&gt;AB$5),1))+IF(AF542="",0,IFERROR(--(EOMONTH(AF542,0)&lt;&gt;AE$5),1))+IF(AI542="",0,IFERROR(--(EOMONTH(AI542,0)&lt;&gt;AH$5),1))+IF(AL542="",0,IFERROR(--(EOMONTH(AL542,0)&lt;&gt;AK$5),1))+IF(AO542="",0,IFERROR(--(EOMONTH(AO542,0)&lt;&gt;AN$5),1))+IF(AR542="",0,IFERROR(--(EOMONTH(AR542,0)&lt;&gt;AQ$5),1))+IF(AU542="",0,IFERROR(--(EOMONTH(AU542,0)&lt;&gt;AT$5),1))+IF(AX542="",0,IFERROR(--(EOMONTH(AX542,0)&lt;&gt;AW$5),1))+IF(BA542="",0,IFERROR(--(EOMONTH(BA542,0)&lt;&gt;AZ$5),1)))&gt;0,"; An invoice date is not in the month it is typed under",""),3,500))</f>
        <v/>
      </c>
      <c r="S542" s="12" t="n"/>
      <c r="T542" s="13" t="n"/>
      <c r="U542" s="14" t="n"/>
      <c r="V542" s="12" t="n"/>
      <c r="W542" s="13" t="n"/>
      <c r="X542" s="14" t="n"/>
      <c r="Y542" s="12" t="n"/>
      <c r="Z542" s="13" t="n"/>
      <c r="AA542" s="14" t="n"/>
      <c r="AB542" s="12" t="n"/>
      <c r="AC542" s="13" t="n"/>
      <c r="AD542" s="14" t="n"/>
      <c r="AE542" s="12" t="n"/>
      <c r="AF542" s="13" t="n"/>
      <c r="AG542" s="14" t="n"/>
      <c r="AH542" s="12" t="n"/>
      <c r="AI542" s="13" t="n"/>
      <c r="AJ542" s="14" t="n"/>
      <c r="AK542" s="12" t="n"/>
      <c r="AL542" s="13" t="n"/>
      <c r="AM542" s="14" t="n"/>
      <c r="AN542" s="12" t="n"/>
      <c r="AO542" s="13" t="n"/>
      <c r="AP542" s="14" t="n"/>
      <c r="AQ542" s="12" t="n"/>
      <c r="AR542" s="13" t="n"/>
      <c r="AS542" s="14" t="n"/>
      <c r="AT542" s="12" t="n"/>
      <c r="AU542" s="13" t="n"/>
      <c r="AV542" s="14" t="n"/>
      <c r="AW542" s="12" t="n"/>
      <c r="AX542" s="13" t="n"/>
      <c r="AY542" s="14" t="n"/>
      <c r="AZ542" s="12" t="n"/>
      <c r="BA542" s="13" t="n"/>
      <c r="BB542" s="14" t="n"/>
      <c r="BC542" s="11">
        <f>IF(O542="","",IF(J542="GST 10%",ROUND(O542*set_GSTRate,2),0))</f>
        <v/>
      </c>
      <c r="BD542" s="11">
        <f>IF(O542="","",O542+BC542)</f>
        <v/>
      </c>
      <c r="BE542" s="15">
        <f>IF(O542="","",COUNTA(S542,V542,Y542,AB542,AE542,AH542,AK542,AN542,AQ542,AT542,AW542,AZ542))</f>
        <v/>
      </c>
      <c r="BF542" s="16">
        <f>IF(COUNT(T542,W542,Z542,AC542,AF542,AI542,AL542,AO542,AR542,AU542,AX542,BA542)=0,"",MAX(T542,W542,Z542,AC542,AF542,AI542,AL542,AO542,AR542,AU542,AX542,BA542))</f>
        <v/>
      </c>
      <c r="BG542" s="10">
        <f>MID(IF(S542="","",", "&amp;S542)&amp;IF(V542="","",", "&amp;V542)&amp;IF(Y542="","",", "&amp;Y542)&amp;IF(AB542="","",", "&amp;AB542)&amp;IF(AE542="","",", "&amp;AE542)&amp;IF(AH542="","",", "&amp;AH542)&amp;IF(AK542="","",", "&amp;AK542)&amp;IF(AN542="","",", "&amp;AN542)&amp;IF(AQ542="","",", "&amp;AQ542)&amp;IF(AT542="","",", "&amp;AT542)&amp;IF(AW542="","",", "&amp;AW542)&amp;IF(AZ542="","",", "&amp;AZ542),3,500)</f>
        <v/>
      </c>
      <c r="BH542" s="12" t="n"/>
      <c r="BI542" s="15">
        <f>IFERROR(MATCH($A542,IF($B542="Onsite",tbl_Onsite[Row ID],IF($B542="Production",tbl_Production[Row ID],tbl_Consulting[Row ID])),0),"")</f>
        <v/>
      </c>
    </row>
    <row r="543">
      <c r="A543" s="10" t="inlineStr">
        <is>
          <t>PRD-0037</t>
        </is>
      </c>
      <c r="B543" s="10" t="inlineStr">
        <is>
          <t>Production</t>
        </is>
      </c>
      <c r="C543" s="10">
        <f>IF($BI543="","",IF($B543="Onsite",INDEX(tbl_Onsite[Job Number],$BI543),IF($B543="Production",INDEX(tbl_Production[Job Number],$BI543),INDEX(tbl_Consulting[Job Number],$BI543)))&amp;"")</f>
        <v/>
      </c>
      <c r="D543" s="10">
        <f>IF($BI543="","",IF($B543="Onsite",INDEX(tbl_Onsite[Client],$BI543),IF($B543="Production",INDEX(tbl_Production[Client],$BI543),INDEX(tbl_Consulting[Client],$BI543)))&amp;"")</f>
        <v/>
      </c>
      <c r="E543" s="10">
        <f>IF($C543="","",IF(COUNTIF(lst_Jobs,$C543)&gt;0,"OK","CHECK"))</f>
        <v/>
      </c>
      <c r="F543" s="10">
        <f>IF($C543="","",IFERROR(INDEX(lst_JobName,MATCH($C543,lst_Jobs,0)),""))</f>
        <v/>
      </c>
      <c r="G543" s="10">
        <f>IF($BI543="","",IF($B543="Onsite",INDEX(tbl_Onsite[Job Description],$BI543),IF($B543="Production",INDEX(tbl_Production[Job Description],$BI543),INDEX(tbl_Consulting[Job Description],$BI543)))&amp;"")</f>
        <v/>
      </c>
      <c r="H543" s="10">
        <f>IF($BI543="","",IF($B543="Onsite",INDEX(tbl_Onsite[Cost Centre],$BI543),IF($B543="Production",INDEX(tbl_Production[Cost Centre],$BI543),INDEX(tbl_Consulting[Cost Centre],$BI543)))&amp;"")</f>
        <v/>
      </c>
      <c r="I543" s="10">
        <f>IF($BI543="","",IF($B543="Onsite",INDEX(tbl_Onsite[Invoice Type],$BI543),IF($B543="Production",INDEX(tbl_Production[Invoice Type],$BI543),INDEX(tbl_Consulting[Invoice Type],$BI543)))&amp;"")</f>
        <v/>
      </c>
      <c r="J543" s="10">
        <f>IF($BI543="","",IF($B543="Onsite",INDEX(tbl_Onsite[Tax Code],$BI543),IF($B543="Production",INDEX(tbl_Production[Tax Code],$BI543),INDEX(tbl_Consulting[Tax Code],$BI543)))&amp;"")</f>
        <v/>
      </c>
      <c r="K543" s="10">
        <f>IF(H543="","",IFERROR(INDEX(lst_CCtoGL,MATCH(H543,lst_CCforGL,0)),""))</f>
        <v/>
      </c>
      <c r="L543" s="10">
        <f>IF($BI543="","",IF($B543="Onsite",INDEX(tbl_Onsite[PO / Reference],$BI543),IF($B543="Production",INDEX(tbl_Production[Current RMS No],$BI543),INDEX(tbl_Consulting[Qwilr Quote],$BI543)))&amp;"")</f>
        <v/>
      </c>
      <c r="M543" s="10">
        <f>IF($BI543="","",IF($B543="Onsite",INDEX(tbl_Onsite[Notes],$BI543),IF($B543="Production",INDEX(tbl_Production[Notes],$BI543),INDEX(tbl_Consulting[Notes],$BI543)))&amp;"")</f>
        <v/>
      </c>
      <c r="N543" s="11">
        <f>IF($BI543="","",IF(IF($B543="Onsite",INDEX(tbl_Onsite[Expected Revenue Ex GST],$BI543),IF($B543="Production",INDEX(tbl_Production[Expected Revenue Ex GST],$BI543),INDEX(tbl_Consulting[Expected Revenue Ex GST],$BI543)))="","",IF($B543="Onsite",INDEX(tbl_Onsite[Expected Revenue Ex GST],$BI543),IF($B543="Production",INDEX(tbl_Production[Expected Revenue Ex GST],$BI543),INDEX(tbl_Consulting[Expected Revenue Ex GST],$BI543)))))</f>
        <v/>
      </c>
      <c r="O543" s="11">
        <f>IF(AND($C543="",NOT(COUNTA($S543:$BB543)&gt;0)),"",SUM(U543,X543,AA543,AD543,AG543,AJ543,AM543,AP543,AS543,AV543,AY543,BB543))</f>
        <v/>
      </c>
      <c r="P543" s="11">
        <f>IF(O543="","",N(N543)-O543)</f>
        <v/>
      </c>
      <c r="Q543" s="10">
        <f>IF(O543="","",IF($C543="","Invoice on empty job row",IF(N543="",IF(ROUND(O543,2)=0,"No dept value","Invoiced - no dept value"),IF(ROUND(O543,2)=0,"Not invoiced - to invoice",IF(ROUND(P543,2)=0,"Agrees",IF(P543&gt;0,"Dept higher - to invoice","Xero higher - check dept"))))))</f>
        <v/>
      </c>
      <c r="R543" s="10">
        <f>IF(AND($C543="",NOT(COUNTA($S543:$BB543)&gt;0),$BI543&lt;&gt;""),"",MID(IF($BI543="","; Row ID not found on the department sheet - a row was deleted","")&amp;IF(AND($C543="",COUNTA($S543:$BB543)&gt;0),"; Invoice entered but the department row has no job number","")&amp;IF(E543="CHECK","; Job number not in the Xero job list","")&amp;IF(AND($C543&lt;&gt;"",COUNTIF($C$7:$C$1506,$C543)&gt;1),"; Job number on more than one row","")&amp;IF(AND($C543&lt;&gt;"",H543=""),"; Dept has not set a cost centre","")&amp;IF(AND($C543&lt;&gt;"",J543=""),"; Dept has not set a tax code","")&amp;IF(AND($C543&lt;&gt;"",N543=""),"; Dept has not entered an expected value","")&amp;IF((IF(OR(COUNTA(S543:U543)=0,AND(COUNTA(S543:U543)=3,ISNUMBER(U543))),0,1)+IF(OR(COUNTA(V543:X543)=0,AND(COUNTA(V543:X543)=3,ISNUMBER(X543))),0,1)+IF(OR(COUNTA(Y543:AA543)=0,AND(COUNTA(Y543:AA543)=3,ISNUMBER(AA543))),0,1)+IF(OR(COUNTA(AB543:AD543)=0,AND(COUNTA(AB543:AD543)=3,ISNUMBER(AD543))),0,1)+IF(OR(COUNTA(AE543:AG543)=0,AND(COUNTA(AE543:AG543)=3,ISNUMBER(AG543))),0,1)+IF(OR(COUNTA(AH543:AJ543)=0,AND(COUNTA(AH543:AJ543)=3,ISNUMBER(AJ543))),0,1)+IF(OR(COUNTA(AK543:AM543)=0,AND(COUNTA(AK543:AM543)=3,ISNUMBER(AM543))),0,1)+IF(OR(COUNTA(AN543:AP543)=0,AND(COUNTA(AN543:AP543)=3,ISNUMBER(AP543))),0,1)+IF(OR(COUNTA(AQ543:AS543)=0,AND(COUNTA(AQ543:AS543)=3,ISNUMBER(AS543))),0,1)+IF(OR(COUNTA(AT543:AV543)=0,AND(COUNTA(AT543:AV543)=3,ISNUMBER(AV543))),0,1)+IF(OR(COUNTA(AW543:AY543)=0,AND(COUNTA(AW543:AY543)=3,ISNUMBER(AY543))),0,1)+IF(OR(COUNTA(AZ543:BB543)=0,AND(COUNTA(AZ543:BB543)=3,ISNUMBER(BB543))),0,1))&gt;0,"; An invoice is incomplete (needs No, Date and a number in Ex GST)","")&amp;IF((IF(T543="",0,IFERROR(--(EOMONTH(T543,0)&lt;&gt;S$5),1))+IF(W543="",0,IFERROR(--(EOMONTH(W543,0)&lt;&gt;V$5),1))+IF(Z543="",0,IFERROR(--(EOMONTH(Z543,0)&lt;&gt;Y$5),1))+IF(AC543="",0,IFERROR(--(EOMONTH(AC543,0)&lt;&gt;AB$5),1))+IF(AF543="",0,IFERROR(--(EOMONTH(AF543,0)&lt;&gt;AE$5),1))+IF(AI543="",0,IFERROR(--(EOMONTH(AI543,0)&lt;&gt;AH$5),1))+IF(AL543="",0,IFERROR(--(EOMONTH(AL543,0)&lt;&gt;AK$5),1))+IF(AO543="",0,IFERROR(--(EOMONTH(AO543,0)&lt;&gt;AN$5),1))+IF(AR543="",0,IFERROR(--(EOMONTH(AR543,0)&lt;&gt;AQ$5),1))+IF(AU543="",0,IFERROR(--(EOMONTH(AU543,0)&lt;&gt;AT$5),1))+IF(AX543="",0,IFERROR(--(EOMONTH(AX543,0)&lt;&gt;AW$5),1))+IF(BA543="",0,IFERROR(--(EOMONTH(BA543,0)&lt;&gt;AZ$5),1)))&gt;0,"; An invoice date is not in the month it is typed under",""),3,500))</f>
        <v/>
      </c>
      <c r="S543" s="12" t="n"/>
      <c r="T543" s="13" t="n"/>
      <c r="U543" s="14" t="n"/>
      <c r="V543" s="12" t="n"/>
      <c r="W543" s="13" t="n"/>
      <c r="X543" s="14" t="n"/>
      <c r="Y543" s="12" t="n"/>
      <c r="Z543" s="13" t="n"/>
      <c r="AA543" s="14" t="n"/>
      <c r="AB543" s="12" t="n"/>
      <c r="AC543" s="13" t="n"/>
      <c r="AD543" s="14" t="n"/>
      <c r="AE543" s="12" t="n"/>
      <c r="AF543" s="13" t="n"/>
      <c r="AG543" s="14" t="n"/>
      <c r="AH543" s="12" t="n"/>
      <c r="AI543" s="13" t="n"/>
      <c r="AJ543" s="14" t="n"/>
      <c r="AK543" s="12" t="n"/>
      <c r="AL543" s="13" t="n"/>
      <c r="AM543" s="14" t="n"/>
      <c r="AN543" s="12" t="n"/>
      <c r="AO543" s="13" t="n"/>
      <c r="AP543" s="14" t="n"/>
      <c r="AQ543" s="12" t="n"/>
      <c r="AR543" s="13" t="n"/>
      <c r="AS543" s="14" t="n"/>
      <c r="AT543" s="12" t="n"/>
      <c r="AU543" s="13" t="n"/>
      <c r="AV543" s="14" t="n"/>
      <c r="AW543" s="12" t="n"/>
      <c r="AX543" s="13" t="n"/>
      <c r="AY543" s="14" t="n"/>
      <c r="AZ543" s="12" t="n"/>
      <c r="BA543" s="13" t="n"/>
      <c r="BB543" s="14" t="n"/>
      <c r="BC543" s="11">
        <f>IF(O543="","",IF(J543="GST 10%",ROUND(O543*set_GSTRate,2),0))</f>
        <v/>
      </c>
      <c r="BD543" s="11">
        <f>IF(O543="","",O543+BC543)</f>
        <v/>
      </c>
      <c r="BE543" s="15">
        <f>IF(O543="","",COUNTA(S543,V543,Y543,AB543,AE543,AH543,AK543,AN543,AQ543,AT543,AW543,AZ543))</f>
        <v/>
      </c>
      <c r="BF543" s="16">
        <f>IF(COUNT(T543,W543,Z543,AC543,AF543,AI543,AL543,AO543,AR543,AU543,AX543,BA543)=0,"",MAX(T543,W543,Z543,AC543,AF543,AI543,AL543,AO543,AR543,AU543,AX543,BA543))</f>
        <v/>
      </c>
      <c r="BG543" s="10">
        <f>MID(IF(S543="","",", "&amp;S543)&amp;IF(V543="","",", "&amp;V543)&amp;IF(Y543="","",", "&amp;Y543)&amp;IF(AB543="","",", "&amp;AB543)&amp;IF(AE543="","",", "&amp;AE543)&amp;IF(AH543="","",", "&amp;AH543)&amp;IF(AK543="","",", "&amp;AK543)&amp;IF(AN543="","",", "&amp;AN543)&amp;IF(AQ543="","",", "&amp;AQ543)&amp;IF(AT543="","",", "&amp;AT543)&amp;IF(AW543="","",", "&amp;AW543)&amp;IF(AZ543="","",", "&amp;AZ543),3,500)</f>
        <v/>
      </c>
      <c r="BH543" s="12" t="n"/>
      <c r="BI543" s="15">
        <f>IFERROR(MATCH($A543,IF($B543="Onsite",tbl_Onsite[Row ID],IF($B543="Production",tbl_Production[Row ID],tbl_Consulting[Row ID])),0),"")</f>
        <v/>
      </c>
    </row>
    <row r="544">
      <c r="A544" s="10" t="inlineStr">
        <is>
          <t>PRD-0038</t>
        </is>
      </c>
      <c r="B544" s="10" t="inlineStr">
        <is>
          <t>Production</t>
        </is>
      </c>
      <c r="C544" s="10">
        <f>IF($BI544="","",IF($B544="Onsite",INDEX(tbl_Onsite[Job Number],$BI544),IF($B544="Production",INDEX(tbl_Production[Job Number],$BI544),INDEX(tbl_Consulting[Job Number],$BI544)))&amp;"")</f>
        <v/>
      </c>
      <c r="D544" s="10">
        <f>IF($BI544="","",IF($B544="Onsite",INDEX(tbl_Onsite[Client],$BI544),IF($B544="Production",INDEX(tbl_Production[Client],$BI544),INDEX(tbl_Consulting[Client],$BI544)))&amp;"")</f>
        <v/>
      </c>
      <c r="E544" s="10">
        <f>IF($C544="","",IF(COUNTIF(lst_Jobs,$C544)&gt;0,"OK","CHECK"))</f>
        <v/>
      </c>
      <c r="F544" s="10">
        <f>IF($C544="","",IFERROR(INDEX(lst_JobName,MATCH($C544,lst_Jobs,0)),""))</f>
        <v/>
      </c>
      <c r="G544" s="10">
        <f>IF($BI544="","",IF($B544="Onsite",INDEX(tbl_Onsite[Job Description],$BI544),IF($B544="Production",INDEX(tbl_Production[Job Description],$BI544),INDEX(tbl_Consulting[Job Description],$BI544)))&amp;"")</f>
        <v/>
      </c>
      <c r="H544" s="10">
        <f>IF($BI544="","",IF($B544="Onsite",INDEX(tbl_Onsite[Cost Centre],$BI544),IF($B544="Production",INDEX(tbl_Production[Cost Centre],$BI544),INDEX(tbl_Consulting[Cost Centre],$BI544)))&amp;"")</f>
        <v/>
      </c>
      <c r="I544" s="10">
        <f>IF($BI544="","",IF($B544="Onsite",INDEX(tbl_Onsite[Invoice Type],$BI544),IF($B544="Production",INDEX(tbl_Production[Invoice Type],$BI544),INDEX(tbl_Consulting[Invoice Type],$BI544)))&amp;"")</f>
        <v/>
      </c>
      <c r="J544" s="10">
        <f>IF($BI544="","",IF($B544="Onsite",INDEX(tbl_Onsite[Tax Code],$BI544),IF($B544="Production",INDEX(tbl_Production[Tax Code],$BI544),INDEX(tbl_Consulting[Tax Code],$BI544)))&amp;"")</f>
        <v/>
      </c>
      <c r="K544" s="10">
        <f>IF(H544="","",IFERROR(INDEX(lst_CCtoGL,MATCH(H544,lst_CCforGL,0)),""))</f>
        <v/>
      </c>
      <c r="L544" s="10">
        <f>IF($BI544="","",IF($B544="Onsite",INDEX(tbl_Onsite[PO / Reference],$BI544),IF($B544="Production",INDEX(tbl_Production[Current RMS No],$BI544),INDEX(tbl_Consulting[Qwilr Quote],$BI544)))&amp;"")</f>
        <v/>
      </c>
      <c r="M544" s="10">
        <f>IF($BI544="","",IF($B544="Onsite",INDEX(tbl_Onsite[Notes],$BI544),IF($B544="Production",INDEX(tbl_Production[Notes],$BI544),INDEX(tbl_Consulting[Notes],$BI544)))&amp;"")</f>
        <v/>
      </c>
      <c r="N544" s="11">
        <f>IF($BI544="","",IF(IF($B544="Onsite",INDEX(tbl_Onsite[Expected Revenue Ex GST],$BI544),IF($B544="Production",INDEX(tbl_Production[Expected Revenue Ex GST],$BI544),INDEX(tbl_Consulting[Expected Revenue Ex GST],$BI544)))="","",IF($B544="Onsite",INDEX(tbl_Onsite[Expected Revenue Ex GST],$BI544),IF($B544="Production",INDEX(tbl_Production[Expected Revenue Ex GST],$BI544),INDEX(tbl_Consulting[Expected Revenue Ex GST],$BI544)))))</f>
        <v/>
      </c>
      <c r="O544" s="11">
        <f>IF(AND($C544="",NOT(COUNTA($S544:$BB544)&gt;0)),"",SUM(U544,X544,AA544,AD544,AG544,AJ544,AM544,AP544,AS544,AV544,AY544,BB544))</f>
        <v/>
      </c>
      <c r="P544" s="11">
        <f>IF(O544="","",N(N544)-O544)</f>
        <v/>
      </c>
      <c r="Q544" s="10">
        <f>IF(O544="","",IF($C544="","Invoice on empty job row",IF(N544="",IF(ROUND(O544,2)=0,"No dept value","Invoiced - no dept value"),IF(ROUND(O544,2)=0,"Not invoiced - to invoice",IF(ROUND(P544,2)=0,"Agrees",IF(P544&gt;0,"Dept higher - to invoice","Xero higher - check dept"))))))</f>
        <v/>
      </c>
      <c r="R544" s="10">
        <f>IF(AND($C544="",NOT(COUNTA($S544:$BB544)&gt;0),$BI544&lt;&gt;""),"",MID(IF($BI544="","; Row ID not found on the department sheet - a row was deleted","")&amp;IF(AND($C544="",COUNTA($S544:$BB544)&gt;0),"; Invoice entered but the department row has no job number","")&amp;IF(E544="CHECK","; Job number not in the Xero job list","")&amp;IF(AND($C544&lt;&gt;"",COUNTIF($C$7:$C$1506,$C544)&gt;1),"; Job number on more than one row","")&amp;IF(AND($C544&lt;&gt;"",H544=""),"; Dept has not set a cost centre","")&amp;IF(AND($C544&lt;&gt;"",J544=""),"; Dept has not set a tax code","")&amp;IF(AND($C544&lt;&gt;"",N544=""),"; Dept has not entered an expected value","")&amp;IF((IF(OR(COUNTA(S544:U544)=0,AND(COUNTA(S544:U544)=3,ISNUMBER(U544))),0,1)+IF(OR(COUNTA(V544:X544)=0,AND(COUNTA(V544:X544)=3,ISNUMBER(X544))),0,1)+IF(OR(COUNTA(Y544:AA544)=0,AND(COUNTA(Y544:AA544)=3,ISNUMBER(AA544))),0,1)+IF(OR(COUNTA(AB544:AD544)=0,AND(COUNTA(AB544:AD544)=3,ISNUMBER(AD544))),0,1)+IF(OR(COUNTA(AE544:AG544)=0,AND(COUNTA(AE544:AG544)=3,ISNUMBER(AG544))),0,1)+IF(OR(COUNTA(AH544:AJ544)=0,AND(COUNTA(AH544:AJ544)=3,ISNUMBER(AJ544))),0,1)+IF(OR(COUNTA(AK544:AM544)=0,AND(COUNTA(AK544:AM544)=3,ISNUMBER(AM544))),0,1)+IF(OR(COUNTA(AN544:AP544)=0,AND(COUNTA(AN544:AP544)=3,ISNUMBER(AP544))),0,1)+IF(OR(COUNTA(AQ544:AS544)=0,AND(COUNTA(AQ544:AS544)=3,ISNUMBER(AS544))),0,1)+IF(OR(COUNTA(AT544:AV544)=0,AND(COUNTA(AT544:AV544)=3,ISNUMBER(AV544))),0,1)+IF(OR(COUNTA(AW544:AY544)=0,AND(COUNTA(AW544:AY544)=3,ISNUMBER(AY544))),0,1)+IF(OR(COUNTA(AZ544:BB544)=0,AND(COUNTA(AZ544:BB544)=3,ISNUMBER(BB544))),0,1))&gt;0,"; An invoice is incomplete (needs No, Date and a number in Ex GST)","")&amp;IF((IF(T544="",0,IFERROR(--(EOMONTH(T544,0)&lt;&gt;S$5),1))+IF(W544="",0,IFERROR(--(EOMONTH(W544,0)&lt;&gt;V$5),1))+IF(Z544="",0,IFERROR(--(EOMONTH(Z544,0)&lt;&gt;Y$5),1))+IF(AC544="",0,IFERROR(--(EOMONTH(AC544,0)&lt;&gt;AB$5),1))+IF(AF544="",0,IFERROR(--(EOMONTH(AF544,0)&lt;&gt;AE$5),1))+IF(AI544="",0,IFERROR(--(EOMONTH(AI544,0)&lt;&gt;AH$5),1))+IF(AL544="",0,IFERROR(--(EOMONTH(AL544,0)&lt;&gt;AK$5),1))+IF(AO544="",0,IFERROR(--(EOMONTH(AO544,0)&lt;&gt;AN$5),1))+IF(AR544="",0,IFERROR(--(EOMONTH(AR544,0)&lt;&gt;AQ$5),1))+IF(AU544="",0,IFERROR(--(EOMONTH(AU544,0)&lt;&gt;AT$5),1))+IF(AX544="",0,IFERROR(--(EOMONTH(AX544,0)&lt;&gt;AW$5),1))+IF(BA544="",0,IFERROR(--(EOMONTH(BA544,0)&lt;&gt;AZ$5),1)))&gt;0,"; An invoice date is not in the month it is typed under",""),3,500))</f>
        <v/>
      </c>
      <c r="S544" s="12" t="n"/>
      <c r="T544" s="13" t="n"/>
      <c r="U544" s="14" t="n"/>
      <c r="V544" s="12" t="n"/>
      <c r="W544" s="13" t="n"/>
      <c r="X544" s="14" t="n"/>
      <c r="Y544" s="12" t="n"/>
      <c r="Z544" s="13" t="n"/>
      <c r="AA544" s="14" t="n"/>
      <c r="AB544" s="12" t="n"/>
      <c r="AC544" s="13" t="n"/>
      <c r="AD544" s="14" t="n"/>
      <c r="AE544" s="12" t="n"/>
      <c r="AF544" s="13" t="n"/>
      <c r="AG544" s="14" t="n"/>
      <c r="AH544" s="12" t="n"/>
      <c r="AI544" s="13" t="n"/>
      <c r="AJ544" s="14" t="n"/>
      <c r="AK544" s="12" t="n"/>
      <c r="AL544" s="13" t="n"/>
      <c r="AM544" s="14" t="n"/>
      <c r="AN544" s="12" t="n"/>
      <c r="AO544" s="13" t="n"/>
      <c r="AP544" s="14" t="n"/>
      <c r="AQ544" s="12" t="n"/>
      <c r="AR544" s="13" t="n"/>
      <c r="AS544" s="14" t="n"/>
      <c r="AT544" s="12" t="n"/>
      <c r="AU544" s="13" t="n"/>
      <c r="AV544" s="14" t="n"/>
      <c r="AW544" s="12" t="n"/>
      <c r="AX544" s="13" t="n"/>
      <c r="AY544" s="14" t="n"/>
      <c r="AZ544" s="12" t="n"/>
      <c r="BA544" s="13" t="n"/>
      <c r="BB544" s="14" t="n"/>
      <c r="BC544" s="11">
        <f>IF(O544="","",IF(J544="GST 10%",ROUND(O544*set_GSTRate,2),0))</f>
        <v/>
      </c>
      <c r="BD544" s="11">
        <f>IF(O544="","",O544+BC544)</f>
        <v/>
      </c>
      <c r="BE544" s="15">
        <f>IF(O544="","",COUNTA(S544,V544,Y544,AB544,AE544,AH544,AK544,AN544,AQ544,AT544,AW544,AZ544))</f>
        <v/>
      </c>
      <c r="BF544" s="16">
        <f>IF(COUNT(T544,W544,Z544,AC544,AF544,AI544,AL544,AO544,AR544,AU544,AX544,BA544)=0,"",MAX(T544,W544,Z544,AC544,AF544,AI544,AL544,AO544,AR544,AU544,AX544,BA544))</f>
        <v/>
      </c>
      <c r="BG544" s="10">
        <f>MID(IF(S544="","",", "&amp;S544)&amp;IF(V544="","",", "&amp;V544)&amp;IF(Y544="","",", "&amp;Y544)&amp;IF(AB544="","",", "&amp;AB544)&amp;IF(AE544="","",", "&amp;AE544)&amp;IF(AH544="","",", "&amp;AH544)&amp;IF(AK544="","",", "&amp;AK544)&amp;IF(AN544="","",", "&amp;AN544)&amp;IF(AQ544="","",", "&amp;AQ544)&amp;IF(AT544="","",", "&amp;AT544)&amp;IF(AW544="","",", "&amp;AW544)&amp;IF(AZ544="","",", "&amp;AZ544),3,500)</f>
        <v/>
      </c>
      <c r="BH544" s="12" t="n"/>
      <c r="BI544" s="15">
        <f>IFERROR(MATCH($A544,IF($B544="Onsite",tbl_Onsite[Row ID],IF($B544="Production",tbl_Production[Row ID],tbl_Consulting[Row ID])),0),"")</f>
        <v/>
      </c>
    </row>
    <row r="545">
      <c r="A545" s="10" t="inlineStr">
        <is>
          <t>PRD-0039</t>
        </is>
      </c>
      <c r="B545" s="10" t="inlineStr">
        <is>
          <t>Production</t>
        </is>
      </c>
      <c r="C545" s="10">
        <f>IF($BI545="","",IF($B545="Onsite",INDEX(tbl_Onsite[Job Number],$BI545),IF($B545="Production",INDEX(tbl_Production[Job Number],$BI545),INDEX(tbl_Consulting[Job Number],$BI545)))&amp;"")</f>
        <v/>
      </c>
      <c r="D545" s="10">
        <f>IF($BI545="","",IF($B545="Onsite",INDEX(tbl_Onsite[Client],$BI545),IF($B545="Production",INDEX(tbl_Production[Client],$BI545),INDEX(tbl_Consulting[Client],$BI545)))&amp;"")</f>
        <v/>
      </c>
      <c r="E545" s="10">
        <f>IF($C545="","",IF(COUNTIF(lst_Jobs,$C545)&gt;0,"OK","CHECK"))</f>
        <v/>
      </c>
      <c r="F545" s="10">
        <f>IF($C545="","",IFERROR(INDEX(lst_JobName,MATCH($C545,lst_Jobs,0)),""))</f>
        <v/>
      </c>
      <c r="G545" s="10">
        <f>IF($BI545="","",IF($B545="Onsite",INDEX(tbl_Onsite[Job Description],$BI545),IF($B545="Production",INDEX(tbl_Production[Job Description],$BI545),INDEX(tbl_Consulting[Job Description],$BI545)))&amp;"")</f>
        <v/>
      </c>
      <c r="H545" s="10">
        <f>IF($BI545="","",IF($B545="Onsite",INDEX(tbl_Onsite[Cost Centre],$BI545),IF($B545="Production",INDEX(tbl_Production[Cost Centre],$BI545),INDEX(tbl_Consulting[Cost Centre],$BI545)))&amp;"")</f>
        <v/>
      </c>
      <c r="I545" s="10">
        <f>IF($BI545="","",IF($B545="Onsite",INDEX(tbl_Onsite[Invoice Type],$BI545),IF($B545="Production",INDEX(tbl_Production[Invoice Type],$BI545),INDEX(tbl_Consulting[Invoice Type],$BI545)))&amp;"")</f>
        <v/>
      </c>
      <c r="J545" s="10">
        <f>IF($BI545="","",IF($B545="Onsite",INDEX(tbl_Onsite[Tax Code],$BI545),IF($B545="Production",INDEX(tbl_Production[Tax Code],$BI545),INDEX(tbl_Consulting[Tax Code],$BI545)))&amp;"")</f>
        <v/>
      </c>
      <c r="K545" s="10">
        <f>IF(H545="","",IFERROR(INDEX(lst_CCtoGL,MATCH(H545,lst_CCforGL,0)),""))</f>
        <v/>
      </c>
      <c r="L545" s="10">
        <f>IF($BI545="","",IF($B545="Onsite",INDEX(tbl_Onsite[PO / Reference],$BI545),IF($B545="Production",INDEX(tbl_Production[Current RMS No],$BI545),INDEX(tbl_Consulting[Qwilr Quote],$BI545)))&amp;"")</f>
        <v/>
      </c>
      <c r="M545" s="10">
        <f>IF($BI545="","",IF($B545="Onsite",INDEX(tbl_Onsite[Notes],$BI545),IF($B545="Production",INDEX(tbl_Production[Notes],$BI545),INDEX(tbl_Consulting[Notes],$BI545)))&amp;"")</f>
        <v/>
      </c>
      <c r="N545" s="11">
        <f>IF($BI545="","",IF(IF($B545="Onsite",INDEX(tbl_Onsite[Expected Revenue Ex GST],$BI545),IF($B545="Production",INDEX(tbl_Production[Expected Revenue Ex GST],$BI545),INDEX(tbl_Consulting[Expected Revenue Ex GST],$BI545)))="","",IF($B545="Onsite",INDEX(tbl_Onsite[Expected Revenue Ex GST],$BI545),IF($B545="Production",INDEX(tbl_Production[Expected Revenue Ex GST],$BI545),INDEX(tbl_Consulting[Expected Revenue Ex GST],$BI545)))))</f>
        <v/>
      </c>
      <c r="O545" s="11">
        <f>IF(AND($C545="",NOT(COUNTA($S545:$BB545)&gt;0)),"",SUM(U545,X545,AA545,AD545,AG545,AJ545,AM545,AP545,AS545,AV545,AY545,BB545))</f>
        <v/>
      </c>
      <c r="P545" s="11">
        <f>IF(O545="","",N(N545)-O545)</f>
        <v/>
      </c>
      <c r="Q545" s="10">
        <f>IF(O545="","",IF($C545="","Invoice on empty job row",IF(N545="",IF(ROUND(O545,2)=0,"No dept value","Invoiced - no dept value"),IF(ROUND(O545,2)=0,"Not invoiced - to invoice",IF(ROUND(P545,2)=0,"Agrees",IF(P545&gt;0,"Dept higher - to invoice","Xero higher - check dept"))))))</f>
        <v/>
      </c>
      <c r="R545" s="10">
        <f>IF(AND($C545="",NOT(COUNTA($S545:$BB545)&gt;0),$BI545&lt;&gt;""),"",MID(IF($BI545="","; Row ID not found on the department sheet - a row was deleted","")&amp;IF(AND($C545="",COUNTA($S545:$BB545)&gt;0),"; Invoice entered but the department row has no job number","")&amp;IF(E545="CHECK","; Job number not in the Xero job list","")&amp;IF(AND($C545&lt;&gt;"",COUNTIF($C$7:$C$1506,$C545)&gt;1),"; Job number on more than one row","")&amp;IF(AND($C545&lt;&gt;"",H545=""),"; Dept has not set a cost centre","")&amp;IF(AND($C545&lt;&gt;"",J545=""),"; Dept has not set a tax code","")&amp;IF(AND($C545&lt;&gt;"",N545=""),"; Dept has not entered an expected value","")&amp;IF((IF(OR(COUNTA(S545:U545)=0,AND(COUNTA(S545:U545)=3,ISNUMBER(U545))),0,1)+IF(OR(COUNTA(V545:X545)=0,AND(COUNTA(V545:X545)=3,ISNUMBER(X545))),0,1)+IF(OR(COUNTA(Y545:AA545)=0,AND(COUNTA(Y545:AA545)=3,ISNUMBER(AA545))),0,1)+IF(OR(COUNTA(AB545:AD545)=0,AND(COUNTA(AB545:AD545)=3,ISNUMBER(AD545))),0,1)+IF(OR(COUNTA(AE545:AG545)=0,AND(COUNTA(AE545:AG545)=3,ISNUMBER(AG545))),0,1)+IF(OR(COUNTA(AH545:AJ545)=0,AND(COUNTA(AH545:AJ545)=3,ISNUMBER(AJ545))),0,1)+IF(OR(COUNTA(AK545:AM545)=0,AND(COUNTA(AK545:AM545)=3,ISNUMBER(AM545))),0,1)+IF(OR(COUNTA(AN545:AP545)=0,AND(COUNTA(AN545:AP545)=3,ISNUMBER(AP545))),0,1)+IF(OR(COUNTA(AQ545:AS545)=0,AND(COUNTA(AQ545:AS545)=3,ISNUMBER(AS545))),0,1)+IF(OR(COUNTA(AT545:AV545)=0,AND(COUNTA(AT545:AV545)=3,ISNUMBER(AV545))),0,1)+IF(OR(COUNTA(AW545:AY545)=0,AND(COUNTA(AW545:AY545)=3,ISNUMBER(AY545))),0,1)+IF(OR(COUNTA(AZ545:BB545)=0,AND(COUNTA(AZ545:BB545)=3,ISNUMBER(BB545))),0,1))&gt;0,"; An invoice is incomplete (needs No, Date and a number in Ex GST)","")&amp;IF((IF(T545="",0,IFERROR(--(EOMONTH(T545,0)&lt;&gt;S$5),1))+IF(W545="",0,IFERROR(--(EOMONTH(W545,0)&lt;&gt;V$5),1))+IF(Z545="",0,IFERROR(--(EOMONTH(Z545,0)&lt;&gt;Y$5),1))+IF(AC545="",0,IFERROR(--(EOMONTH(AC545,0)&lt;&gt;AB$5),1))+IF(AF545="",0,IFERROR(--(EOMONTH(AF545,0)&lt;&gt;AE$5),1))+IF(AI545="",0,IFERROR(--(EOMONTH(AI545,0)&lt;&gt;AH$5),1))+IF(AL545="",0,IFERROR(--(EOMONTH(AL545,0)&lt;&gt;AK$5),1))+IF(AO545="",0,IFERROR(--(EOMONTH(AO545,0)&lt;&gt;AN$5),1))+IF(AR545="",0,IFERROR(--(EOMONTH(AR545,0)&lt;&gt;AQ$5),1))+IF(AU545="",0,IFERROR(--(EOMONTH(AU545,0)&lt;&gt;AT$5),1))+IF(AX545="",0,IFERROR(--(EOMONTH(AX545,0)&lt;&gt;AW$5),1))+IF(BA545="",0,IFERROR(--(EOMONTH(BA545,0)&lt;&gt;AZ$5),1)))&gt;0,"; An invoice date is not in the month it is typed under",""),3,500))</f>
        <v/>
      </c>
      <c r="S545" s="12" t="n"/>
      <c r="T545" s="13" t="n"/>
      <c r="U545" s="14" t="n"/>
      <c r="V545" s="12" t="n"/>
      <c r="W545" s="13" t="n"/>
      <c r="X545" s="14" t="n"/>
      <c r="Y545" s="12" t="n"/>
      <c r="Z545" s="13" t="n"/>
      <c r="AA545" s="14" t="n"/>
      <c r="AB545" s="12" t="n"/>
      <c r="AC545" s="13" t="n"/>
      <c r="AD545" s="14" t="n"/>
      <c r="AE545" s="12" t="n"/>
      <c r="AF545" s="13" t="n"/>
      <c r="AG545" s="14" t="n"/>
      <c r="AH545" s="12" t="n"/>
      <c r="AI545" s="13" t="n"/>
      <c r="AJ545" s="14" t="n"/>
      <c r="AK545" s="12" t="n"/>
      <c r="AL545" s="13" t="n"/>
      <c r="AM545" s="14" t="n"/>
      <c r="AN545" s="12" t="n"/>
      <c r="AO545" s="13" t="n"/>
      <c r="AP545" s="14" t="n"/>
      <c r="AQ545" s="12" t="n"/>
      <c r="AR545" s="13" t="n"/>
      <c r="AS545" s="14" t="n"/>
      <c r="AT545" s="12" t="n"/>
      <c r="AU545" s="13" t="n"/>
      <c r="AV545" s="14" t="n"/>
      <c r="AW545" s="12" t="n"/>
      <c r="AX545" s="13" t="n"/>
      <c r="AY545" s="14" t="n"/>
      <c r="AZ545" s="12" t="n"/>
      <c r="BA545" s="13" t="n"/>
      <c r="BB545" s="14" t="n"/>
      <c r="BC545" s="11">
        <f>IF(O545="","",IF(J545="GST 10%",ROUND(O545*set_GSTRate,2),0))</f>
        <v/>
      </c>
      <c r="BD545" s="11">
        <f>IF(O545="","",O545+BC545)</f>
        <v/>
      </c>
      <c r="BE545" s="15">
        <f>IF(O545="","",COUNTA(S545,V545,Y545,AB545,AE545,AH545,AK545,AN545,AQ545,AT545,AW545,AZ545))</f>
        <v/>
      </c>
      <c r="BF545" s="16">
        <f>IF(COUNT(T545,W545,Z545,AC545,AF545,AI545,AL545,AO545,AR545,AU545,AX545,BA545)=0,"",MAX(T545,W545,Z545,AC545,AF545,AI545,AL545,AO545,AR545,AU545,AX545,BA545))</f>
        <v/>
      </c>
      <c r="BG545" s="10">
        <f>MID(IF(S545="","",", "&amp;S545)&amp;IF(V545="","",", "&amp;V545)&amp;IF(Y545="","",", "&amp;Y545)&amp;IF(AB545="","",", "&amp;AB545)&amp;IF(AE545="","",", "&amp;AE545)&amp;IF(AH545="","",", "&amp;AH545)&amp;IF(AK545="","",", "&amp;AK545)&amp;IF(AN545="","",", "&amp;AN545)&amp;IF(AQ545="","",", "&amp;AQ545)&amp;IF(AT545="","",", "&amp;AT545)&amp;IF(AW545="","",", "&amp;AW545)&amp;IF(AZ545="","",", "&amp;AZ545),3,500)</f>
        <v/>
      </c>
      <c r="BH545" s="12" t="n"/>
      <c r="BI545" s="15">
        <f>IFERROR(MATCH($A545,IF($B545="Onsite",tbl_Onsite[Row ID],IF($B545="Production",tbl_Production[Row ID],tbl_Consulting[Row ID])),0),"")</f>
        <v/>
      </c>
    </row>
    <row r="546">
      <c r="A546" s="10" t="inlineStr">
        <is>
          <t>PRD-0040</t>
        </is>
      </c>
      <c r="B546" s="10" t="inlineStr">
        <is>
          <t>Production</t>
        </is>
      </c>
      <c r="C546" s="10">
        <f>IF($BI546="","",IF($B546="Onsite",INDEX(tbl_Onsite[Job Number],$BI546),IF($B546="Production",INDEX(tbl_Production[Job Number],$BI546),INDEX(tbl_Consulting[Job Number],$BI546)))&amp;"")</f>
        <v/>
      </c>
      <c r="D546" s="10">
        <f>IF($BI546="","",IF($B546="Onsite",INDEX(tbl_Onsite[Client],$BI546),IF($B546="Production",INDEX(tbl_Production[Client],$BI546),INDEX(tbl_Consulting[Client],$BI546)))&amp;"")</f>
        <v/>
      </c>
      <c r="E546" s="10">
        <f>IF($C546="","",IF(COUNTIF(lst_Jobs,$C546)&gt;0,"OK","CHECK"))</f>
        <v/>
      </c>
      <c r="F546" s="10">
        <f>IF($C546="","",IFERROR(INDEX(lst_JobName,MATCH($C546,lst_Jobs,0)),""))</f>
        <v/>
      </c>
      <c r="G546" s="10">
        <f>IF($BI546="","",IF($B546="Onsite",INDEX(tbl_Onsite[Job Description],$BI546),IF($B546="Production",INDEX(tbl_Production[Job Description],$BI546),INDEX(tbl_Consulting[Job Description],$BI546)))&amp;"")</f>
        <v/>
      </c>
      <c r="H546" s="10">
        <f>IF($BI546="","",IF($B546="Onsite",INDEX(tbl_Onsite[Cost Centre],$BI546),IF($B546="Production",INDEX(tbl_Production[Cost Centre],$BI546),INDEX(tbl_Consulting[Cost Centre],$BI546)))&amp;"")</f>
        <v/>
      </c>
      <c r="I546" s="10">
        <f>IF($BI546="","",IF($B546="Onsite",INDEX(tbl_Onsite[Invoice Type],$BI546),IF($B546="Production",INDEX(tbl_Production[Invoice Type],$BI546),INDEX(tbl_Consulting[Invoice Type],$BI546)))&amp;"")</f>
        <v/>
      </c>
      <c r="J546" s="10">
        <f>IF($BI546="","",IF($B546="Onsite",INDEX(tbl_Onsite[Tax Code],$BI546),IF($B546="Production",INDEX(tbl_Production[Tax Code],$BI546),INDEX(tbl_Consulting[Tax Code],$BI546)))&amp;"")</f>
        <v/>
      </c>
      <c r="K546" s="10">
        <f>IF(H546="","",IFERROR(INDEX(lst_CCtoGL,MATCH(H546,lst_CCforGL,0)),""))</f>
        <v/>
      </c>
      <c r="L546" s="10">
        <f>IF($BI546="","",IF($B546="Onsite",INDEX(tbl_Onsite[PO / Reference],$BI546),IF($B546="Production",INDEX(tbl_Production[Current RMS No],$BI546),INDEX(tbl_Consulting[Qwilr Quote],$BI546)))&amp;"")</f>
        <v/>
      </c>
      <c r="M546" s="10">
        <f>IF($BI546="","",IF($B546="Onsite",INDEX(tbl_Onsite[Notes],$BI546),IF($B546="Production",INDEX(tbl_Production[Notes],$BI546),INDEX(tbl_Consulting[Notes],$BI546)))&amp;"")</f>
        <v/>
      </c>
      <c r="N546" s="11">
        <f>IF($BI546="","",IF(IF($B546="Onsite",INDEX(tbl_Onsite[Expected Revenue Ex GST],$BI546),IF($B546="Production",INDEX(tbl_Production[Expected Revenue Ex GST],$BI546),INDEX(tbl_Consulting[Expected Revenue Ex GST],$BI546)))="","",IF($B546="Onsite",INDEX(tbl_Onsite[Expected Revenue Ex GST],$BI546),IF($B546="Production",INDEX(tbl_Production[Expected Revenue Ex GST],$BI546),INDEX(tbl_Consulting[Expected Revenue Ex GST],$BI546)))))</f>
        <v/>
      </c>
      <c r="O546" s="11">
        <f>IF(AND($C546="",NOT(COUNTA($S546:$BB546)&gt;0)),"",SUM(U546,X546,AA546,AD546,AG546,AJ546,AM546,AP546,AS546,AV546,AY546,BB546))</f>
        <v/>
      </c>
      <c r="P546" s="11">
        <f>IF(O546="","",N(N546)-O546)</f>
        <v/>
      </c>
      <c r="Q546" s="10">
        <f>IF(O546="","",IF($C546="","Invoice on empty job row",IF(N546="",IF(ROUND(O546,2)=0,"No dept value","Invoiced - no dept value"),IF(ROUND(O546,2)=0,"Not invoiced - to invoice",IF(ROUND(P546,2)=0,"Agrees",IF(P546&gt;0,"Dept higher - to invoice","Xero higher - check dept"))))))</f>
        <v/>
      </c>
      <c r="R546" s="10">
        <f>IF(AND($C546="",NOT(COUNTA($S546:$BB546)&gt;0),$BI546&lt;&gt;""),"",MID(IF($BI546="","; Row ID not found on the department sheet - a row was deleted","")&amp;IF(AND($C546="",COUNTA($S546:$BB546)&gt;0),"; Invoice entered but the department row has no job number","")&amp;IF(E546="CHECK","; Job number not in the Xero job list","")&amp;IF(AND($C546&lt;&gt;"",COUNTIF($C$7:$C$1506,$C546)&gt;1),"; Job number on more than one row","")&amp;IF(AND($C546&lt;&gt;"",H546=""),"; Dept has not set a cost centre","")&amp;IF(AND($C546&lt;&gt;"",J546=""),"; Dept has not set a tax code","")&amp;IF(AND($C546&lt;&gt;"",N546=""),"; Dept has not entered an expected value","")&amp;IF((IF(OR(COUNTA(S546:U546)=0,AND(COUNTA(S546:U546)=3,ISNUMBER(U546))),0,1)+IF(OR(COUNTA(V546:X546)=0,AND(COUNTA(V546:X546)=3,ISNUMBER(X546))),0,1)+IF(OR(COUNTA(Y546:AA546)=0,AND(COUNTA(Y546:AA546)=3,ISNUMBER(AA546))),0,1)+IF(OR(COUNTA(AB546:AD546)=0,AND(COUNTA(AB546:AD546)=3,ISNUMBER(AD546))),0,1)+IF(OR(COUNTA(AE546:AG546)=0,AND(COUNTA(AE546:AG546)=3,ISNUMBER(AG546))),0,1)+IF(OR(COUNTA(AH546:AJ546)=0,AND(COUNTA(AH546:AJ546)=3,ISNUMBER(AJ546))),0,1)+IF(OR(COUNTA(AK546:AM546)=0,AND(COUNTA(AK546:AM546)=3,ISNUMBER(AM546))),0,1)+IF(OR(COUNTA(AN546:AP546)=0,AND(COUNTA(AN546:AP546)=3,ISNUMBER(AP546))),0,1)+IF(OR(COUNTA(AQ546:AS546)=0,AND(COUNTA(AQ546:AS546)=3,ISNUMBER(AS546))),0,1)+IF(OR(COUNTA(AT546:AV546)=0,AND(COUNTA(AT546:AV546)=3,ISNUMBER(AV546))),0,1)+IF(OR(COUNTA(AW546:AY546)=0,AND(COUNTA(AW546:AY546)=3,ISNUMBER(AY546))),0,1)+IF(OR(COUNTA(AZ546:BB546)=0,AND(COUNTA(AZ546:BB546)=3,ISNUMBER(BB546))),0,1))&gt;0,"; An invoice is incomplete (needs No, Date and a number in Ex GST)","")&amp;IF((IF(T546="",0,IFERROR(--(EOMONTH(T546,0)&lt;&gt;S$5),1))+IF(W546="",0,IFERROR(--(EOMONTH(W546,0)&lt;&gt;V$5),1))+IF(Z546="",0,IFERROR(--(EOMONTH(Z546,0)&lt;&gt;Y$5),1))+IF(AC546="",0,IFERROR(--(EOMONTH(AC546,0)&lt;&gt;AB$5),1))+IF(AF546="",0,IFERROR(--(EOMONTH(AF546,0)&lt;&gt;AE$5),1))+IF(AI546="",0,IFERROR(--(EOMONTH(AI546,0)&lt;&gt;AH$5),1))+IF(AL546="",0,IFERROR(--(EOMONTH(AL546,0)&lt;&gt;AK$5),1))+IF(AO546="",0,IFERROR(--(EOMONTH(AO546,0)&lt;&gt;AN$5),1))+IF(AR546="",0,IFERROR(--(EOMONTH(AR546,0)&lt;&gt;AQ$5),1))+IF(AU546="",0,IFERROR(--(EOMONTH(AU546,0)&lt;&gt;AT$5),1))+IF(AX546="",0,IFERROR(--(EOMONTH(AX546,0)&lt;&gt;AW$5),1))+IF(BA546="",0,IFERROR(--(EOMONTH(BA546,0)&lt;&gt;AZ$5),1)))&gt;0,"; An invoice date is not in the month it is typed under",""),3,500))</f>
        <v/>
      </c>
      <c r="S546" s="12" t="n"/>
      <c r="T546" s="13" t="n"/>
      <c r="U546" s="14" t="n"/>
      <c r="V546" s="12" t="n"/>
      <c r="W546" s="13" t="n"/>
      <c r="X546" s="14" t="n"/>
      <c r="Y546" s="12" t="n"/>
      <c r="Z546" s="13" t="n"/>
      <c r="AA546" s="14" t="n"/>
      <c r="AB546" s="12" t="n"/>
      <c r="AC546" s="13" t="n"/>
      <c r="AD546" s="14" t="n"/>
      <c r="AE546" s="12" t="n"/>
      <c r="AF546" s="13" t="n"/>
      <c r="AG546" s="14" t="n"/>
      <c r="AH546" s="12" t="n"/>
      <c r="AI546" s="13" t="n"/>
      <c r="AJ546" s="14" t="n"/>
      <c r="AK546" s="12" t="n"/>
      <c r="AL546" s="13" t="n"/>
      <c r="AM546" s="14" t="n"/>
      <c r="AN546" s="12" t="n"/>
      <c r="AO546" s="13" t="n"/>
      <c r="AP546" s="14" t="n"/>
      <c r="AQ546" s="12" t="n"/>
      <c r="AR546" s="13" t="n"/>
      <c r="AS546" s="14" t="n"/>
      <c r="AT546" s="12" t="n"/>
      <c r="AU546" s="13" t="n"/>
      <c r="AV546" s="14" t="n"/>
      <c r="AW546" s="12" t="n"/>
      <c r="AX546" s="13" t="n"/>
      <c r="AY546" s="14" t="n"/>
      <c r="AZ546" s="12" t="n"/>
      <c r="BA546" s="13" t="n"/>
      <c r="BB546" s="14" t="n"/>
      <c r="BC546" s="11">
        <f>IF(O546="","",IF(J546="GST 10%",ROUND(O546*set_GSTRate,2),0))</f>
        <v/>
      </c>
      <c r="BD546" s="11">
        <f>IF(O546="","",O546+BC546)</f>
        <v/>
      </c>
      <c r="BE546" s="15">
        <f>IF(O546="","",COUNTA(S546,V546,Y546,AB546,AE546,AH546,AK546,AN546,AQ546,AT546,AW546,AZ546))</f>
        <v/>
      </c>
      <c r="BF546" s="16">
        <f>IF(COUNT(T546,W546,Z546,AC546,AF546,AI546,AL546,AO546,AR546,AU546,AX546,BA546)=0,"",MAX(T546,W546,Z546,AC546,AF546,AI546,AL546,AO546,AR546,AU546,AX546,BA546))</f>
        <v/>
      </c>
      <c r="BG546" s="10">
        <f>MID(IF(S546="","",", "&amp;S546)&amp;IF(V546="","",", "&amp;V546)&amp;IF(Y546="","",", "&amp;Y546)&amp;IF(AB546="","",", "&amp;AB546)&amp;IF(AE546="","",", "&amp;AE546)&amp;IF(AH546="","",", "&amp;AH546)&amp;IF(AK546="","",", "&amp;AK546)&amp;IF(AN546="","",", "&amp;AN546)&amp;IF(AQ546="","",", "&amp;AQ546)&amp;IF(AT546="","",", "&amp;AT546)&amp;IF(AW546="","",", "&amp;AW546)&amp;IF(AZ546="","",", "&amp;AZ546),3,500)</f>
        <v/>
      </c>
      <c r="BH546" s="12" t="n"/>
      <c r="BI546" s="15">
        <f>IFERROR(MATCH($A546,IF($B546="Onsite",tbl_Onsite[Row ID],IF($B546="Production",tbl_Production[Row ID],tbl_Consulting[Row ID])),0),"")</f>
        <v/>
      </c>
    </row>
    <row r="547">
      <c r="A547" s="10" t="inlineStr">
        <is>
          <t>PRD-0041</t>
        </is>
      </c>
      <c r="B547" s="10" t="inlineStr">
        <is>
          <t>Production</t>
        </is>
      </c>
      <c r="C547" s="10">
        <f>IF($BI547="","",IF($B547="Onsite",INDEX(tbl_Onsite[Job Number],$BI547),IF($B547="Production",INDEX(tbl_Production[Job Number],$BI547),INDEX(tbl_Consulting[Job Number],$BI547)))&amp;"")</f>
        <v/>
      </c>
      <c r="D547" s="10">
        <f>IF($BI547="","",IF($B547="Onsite",INDEX(tbl_Onsite[Client],$BI547),IF($B547="Production",INDEX(tbl_Production[Client],$BI547),INDEX(tbl_Consulting[Client],$BI547)))&amp;"")</f>
        <v/>
      </c>
      <c r="E547" s="10">
        <f>IF($C547="","",IF(COUNTIF(lst_Jobs,$C547)&gt;0,"OK","CHECK"))</f>
        <v/>
      </c>
      <c r="F547" s="10">
        <f>IF($C547="","",IFERROR(INDEX(lst_JobName,MATCH($C547,lst_Jobs,0)),""))</f>
        <v/>
      </c>
      <c r="G547" s="10">
        <f>IF($BI547="","",IF($B547="Onsite",INDEX(tbl_Onsite[Job Description],$BI547),IF($B547="Production",INDEX(tbl_Production[Job Description],$BI547),INDEX(tbl_Consulting[Job Description],$BI547)))&amp;"")</f>
        <v/>
      </c>
      <c r="H547" s="10">
        <f>IF($BI547="","",IF($B547="Onsite",INDEX(tbl_Onsite[Cost Centre],$BI547),IF($B547="Production",INDEX(tbl_Production[Cost Centre],$BI547),INDEX(tbl_Consulting[Cost Centre],$BI547)))&amp;"")</f>
        <v/>
      </c>
      <c r="I547" s="10">
        <f>IF($BI547="","",IF($B547="Onsite",INDEX(tbl_Onsite[Invoice Type],$BI547),IF($B547="Production",INDEX(tbl_Production[Invoice Type],$BI547),INDEX(tbl_Consulting[Invoice Type],$BI547)))&amp;"")</f>
        <v/>
      </c>
      <c r="J547" s="10">
        <f>IF($BI547="","",IF($B547="Onsite",INDEX(tbl_Onsite[Tax Code],$BI547),IF($B547="Production",INDEX(tbl_Production[Tax Code],$BI547),INDEX(tbl_Consulting[Tax Code],$BI547)))&amp;"")</f>
        <v/>
      </c>
      <c r="K547" s="10">
        <f>IF(H547="","",IFERROR(INDEX(lst_CCtoGL,MATCH(H547,lst_CCforGL,0)),""))</f>
        <v/>
      </c>
      <c r="L547" s="10">
        <f>IF($BI547="","",IF($B547="Onsite",INDEX(tbl_Onsite[PO / Reference],$BI547),IF($B547="Production",INDEX(tbl_Production[Current RMS No],$BI547),INDEX(tbl_Consulting[Qwilr Quote],$BI547)))&amp;"")</f>
        <v/>
      </c>
      <c r="M547" s="10">
        <f>IF($BI547="","",IF($B547="Onsite",INDEX(tbl_Onsite[Notes],$BI547),IF($B547="Production",INDEX(tbl_Production[Notes],$BI547),INDEX(tbl_Consulting[Notes],$BI547)))&amp;"")</f>
        <v/>
      </c>
      <c r="N547" s="11">
        <f>IF($BI547="","",IF(IF($B547="Onsite",INDEX(tbl_Onsite[Expected Revenue Ex GST],$BI547),IF($B547="Production",INDEX(tbl_Production[Expected Revenue Ex GST],$BI547),INDEX(tbl_Consulting[Expected Revenue Ex GST],$BI547)))="","",IF($B547="Onsite",INDEX(tbl_Onsite[Expected Revenue Ex GST],$BI547),IF($B547="Production",INDEX(tbl_Production[Expected Revenue Ex GST],$BI547),INDEX(tbl_Consulting[Expected Revenue Ex GST],$BI547)))))</f>
        <v/>
      </c>
      <c r="O547" s="11">
        <f>IF(AND($C547="",NOT(COUNTA($S547:$BB547)&gt;0)),"",SUM(U547,X547,AA547,AD547,AG547,AJ547,AM547,AP547,AS547,AV547,AY547,BB547))</f>
        <v/>
      </c>
      <c r="P547" s="11">
        <f>IF(O547="","",N(N547)-O547)</f>
        <v/>
      </c>
      <c r="Q547" s="10">
        <f>IF(O547="","",IF($C547="","Invoice on empty job row",IF(N547="",IF(ROUND(O547,2)=0,"No dept value","Invoiced - no dept value"),IF(ROUND(O547,2)=0,"Not invoiced - to invoice",IF(ROUND(P547,2)=0,"Agrees",IF(P547&gt;0,"Dept higher - to invoice","Xero higher - check dept"))))))</f>
        <v/>
      </c>
      <c r="R547" s="10">
        <f>IF(AND($C547="",NOT(COUNTA($S547:$BB547)&gt;0),$BI547&lt;&gt;""),"",MID(IF($BI547="","; Row ID not found on the department sheet - a row was deleted","")&amp;IF(AND($C547="",COUNTA($S547:$BB547)&gt;0),"; Invoice entered but the department row has no job number","")&amp;IF(E547="CHECK","; Job number not in the Xero job list","")&amp;IF(AND($C547&lt;&gt;"",COUNTIF($C$7:$C$1506,$C547)&gt;1),"; Job number on more than one row","")&amp;IF(AND($C547&lt;&gt;"",H547=""),"; Dept has not set a cost centre","")&amp;IF(AND($C547&lt;&gt;"",J547=""),"; Dept has not set a tax code","")&amp;IF(AND($C547&lt;&gt;"",N547=""),"; Dept has not entered an expected value","")&amp;IF((IF(OR(COUNTA(S547:U547)=0,AND(COUNTA(S547:U547)=3,ISNUMBER(U547))),0,1)+IF(OR(COUNTA(V547:X547)=0,AND(COUNTA(V547:X547)=3,ISNUMBER(X547))),0,1)+IF(OR(COUNTA(Y547:AA547)=0,AND(COUNTA(Y547:AA547)=3,ISNUMBER(AA547))),0,1)+IF(OR(COUNTA(AB547:AD547)=0,AND(COUNTA(AB547:AD547)=3,ISNUMBER(AD547))),0,1)+IF(OR(COUNTA(AE547:AG547)=0,AND(COUNTA(AE547:AG547)=3,ISNUMBER(AG547))),0,1)+IF(OR(COUNTA(AH547:AJ547)=0,AND(COUNTA(AH547:AJ547)=3,ISNUMBER(AJ547))),0,1)+IF(OR(COUNTA(AK547:AM547)=0,AND(COUNTA(AK547:AM547)=3,ISNUMBER(AM547))),0,1)+IF(OR(COUNTA(AN547:AP547)=0,AND(COUNTA(AN547:AP547)=3,ISNUMBER(AP547))),0,1)+IF(OR(COUNTA(AQ547:AS547)=0,AND(COUNTA(AQ547:AS547)=3,ISNUMBER(AS547))),0,1)+IF(OR(COUNTA(AT547:AV547)=0,AND(COUNTA(AT547:AV547)=3,ISNUMBER(AV547))),0,1)+IF(OR(COUNTA(AW547:AY547)=0,AND(COUNTA(AW547:AY547)=3,ISNUMBER(AY547))),0,1)+IF(OR(COUNTA(AZ547:BB547)=0,AND(COUNTA(AZ547:BB547)=3,ISNUMBER(BB547))),0,1))&gt;0,"; An invoice is incomplete (needs No, Date and a number in Ex GST)","")&amp;IF((IF(T547="",0,IFERROR(--(EOMONTH(T547,0)&lt;&gt;S$5),1))+IF(W547="",0,IFERROR(--(EOMONTH(W547,0)&lt;&gt;V$5),1))+IF(Z547="",0,IFERROR(--(EOMONTH(Z547,0)&lt;&gt;Y$5),1))+IF(AC547="",0,IFERROR(--(EOMONTH(AC547,0)&lt;&gt;AB$5),1))+IF(AF547="",0,IFERROR(--(EOMONTH(AF547,0)&lt;&gt;AE$5),1))+IF(AI547="",0,IFERROR(--(EOMONTH(AI547,0)&lt;&gt;AH$5),1))+IF(AL547="",0,IFERROR(--(EOMONTH(AL547,0)&lt;&gt;AK$5),1))+IF(AO547="",0,IFERROR(--(EOMONTH(AO547,0)&lt;&gt;AN$5),1))+IF(AR547="",0,IFERROR(--(EOMONTH(AR547,0)&lt;&gt;AQ$5),1))+IF(AU547="",0,IFERROR(--(EOMONTH(AU547,0)&lt;&gt;AT$5),1))+IF(AX547="",0,IFERROR(--(EOMONTH(AX547,0)&lt;&gt;AW$5),1))+IF(BA547="",0,IFERROR(--(EOMONTH(BA547,0)&lt;&gt;AZ$5),1)))&gt;0,"; An invoice date is not in the month it is typed under",""),3,500))</f>
        <v/>
      </c>
      <c r="S547" s="12" t="n"/>
      <c r="T547" s="13" t="n"/>
      <c r="U547" s="14" t="n"/>
      <c r="V547" s="12" t="n"/>
      <c r="W547" s="13" t="n"/>
      <c r="X547" s="14" t="n"/>
      <c r="Y547" s="12" t="n"/>
      <c r="Z547" s="13" t="n"/>
      <c r="AA547" s="14" t="n"/>
      <c r="AB547" s="12" t="n"/>
      <c r="AC547" s="13" t="n"/>
      <c r="AD547" s="14" t="n"/>
      <c r="AE547" s="12" t="n"/>
      <c r="AF547" s="13" t="n"/>
      <c r="AG547" s="14" t="n"/>
      <c r="AH547" s="12" t="n"/>
      <c r="AI547" s="13" t="n"/>
      <c r="AJ547" s="14" t="n"/>
      <c r="AK547" s="12" t="n"/>
      <c r="AL547" s="13" t="n"/>
      <c r="AM547" s="14" t="n"/>
      <c r="AN547" s="12" t="n"/>
      <c r="AO547" s="13" t="n"/>
      <c r="AP547" s="14" t="n"/>
      <c r="AQ547" s="12" t="n"/>
      <c r="AR547" s="13" t="n"/>
      <c r="AS547" s="14" t="n"/>
      <c r="AT547" s="12" t="n"/>
      <c r="AU547" s="13" t="n"/>
      <c r="AV547" s="14" t="n"/>
      <c r="AW547" s="12" t="n"/>
      <c r="AX547" s="13" t="n"/>
      <c r="AY547" s="14" t="n"/>
      <c r="AZ547" s="12" t="n"/>
      <c r="BA547" s="13" t="n"/>
      <c r="BB547" s="14" t="n"/>
      <c r="BC547" s="11">
        <f>IF(O547="","",IF(J547="GST 10%",ROUND(O547*set_GSTRate,2),0))</f>
        <v/>
      </c>
      <c r="BD547" s="11">
        <f>IF(O547="","",O547+BC547)</f>
        <v/>
      </c>
      <c r="BE547" s="15">
        <f>IF(O547="","",COUNTA(S547,V547,Y547,AB547,AE547,AH547,AK547,AN547,AQ547,AT547,AW547,AZ547))</f>
        <v/>
      </c>
      <c r="BF547" s="16">
        <f>IF(COUNT(T547,W547,Z547,AC547,AF547,AI547,AL547,AO547,AR547,AU547,AX547,BA547)=0,"",MAX(T547,W547,Z547,AC547,AF547,AI547,AL547,AO547,AR547,AU547,AX547,BA547))</f>
        <v/>
      </c>
      <c r="BG547" s="10">
        <f>MID(IF(S547="","",", "&amp;S547)&amp;IF(V547="","",", "&amp;V547)&amp;IF(Y547="","",", "&amp;Y547)&amp;IF(AB547="","",", "&amp;AB547)&amp;IF(AE547="","",", "&amp;AE547)&amp;IF(AH547="","",", "&amp;AH547)&amp;IF(AK547="","",", "&amp;AK547)&amp;IF(AN547="","",", "&amp;AN547)&amp;IF(AQ547="","",", "&amp;AQ547)&amp;IF(AT547="","",", "&amp;AT547)&amp;IF(AW547="","",", "&amp;AW547)&amp;IF(AZ547="","",", "&amp;AZ547),3,500)</f>
        <v/>
      </c>
      <c r="BH547" s="12" t="n"/>
      <c r="BI547" s="15">
        <f>IFERROR(MATCH($A547,IF($B547="Onsite",tbl_Onsite[Row ID],IF($B547="Production",tbl_Production[Row ID],tbl_Consulting[Row ID])),0),"")</f>
        <v/>
      </c>
    </row>
    <row r="548">
      <c r="A548" s="10" t="inlineStr">
        <is>
          <t>PRD-0042</t>
        </is>
      </c>
      <c r="B548" s="10" t="inlineStr">
        <is>
          <t>Production</t>
        </is>
      </c>
      <c r="C548" s="10">
        <f>IF($BI548="","",IF($B548="Onsite",INDEX(tbl_Onsite[Job Number],$BI548),IF($B548="Production",INDEX(tbl_Production[Job Number],$BI548),INDEX(tbl_Consulting[Job Number],$BI548)))&amp;"")</f>
        <v/>
      </c>
      <c r="D548" s="10">
        <f>IF($BI548="","",IF($B548="Onsite",INDEX(tbl_Onsite[Client],$BI548),IF($B548="Production",INDEX(tbl_Production[Client],$BI548),INDEX(tbl_Consulting[Client],$BI548)))&amp;"")</f>
        <v/>
      </c>
      <c r="E548" s="10">
        <f>IF($C548="","",IF(COUNTIF(lst_Jobs,$C548)&gt;0,"OK","CHECK"))</f>
        <v/>
      </c>
      <c r="F548" s="10">
        <f>IF($C548="","",IFERROR(INDEX(lst_JobName,MATCH($C548,lst_Jobs,0)),""))</f>
        <v/>
      </c>
      <c r="G548" s="10">
        <f>IF($BI548="","",IF($B548="Onsite",INDEX(tbl_Onsite[Job Description],$BI548),IF($B548="Production",INDEX(tbl_Production[Job Description],$BI548),INDEX(tbl_Consulting[Job Description],$BI548)))&amp;"")</f>
        <v/>
      </c>
      <c r="H548" s="10">
        <f>IF($BI548="","",IF($B548="Onsite",INDEX(tbl_Onsite[Cost Centre],$BI548),IF($B548="Production",INDEX(tbl_Production[Cost Centre],$BI548),INDEX(tbl_Consulting[Cost Centre],$BI548)))&amp;"")</f>
        <v/>
      </c>
      <c r="I548" s="10">
        <f>IF($BI548="","",IF($B548="Onsite",INDEX(tbl_Onsite[Invoice Type],$BI548),IF($B548="Production",INDEX(tbl_Production[Invoice Type],$BI548),INDEX(tbl_Consulting[Invoice Type],$BI548)))&amp;"")</f>
        <v/>
      </c>
      <c r="J548" s="10">
        <f>IF($BI548="","",IF($B548="Onsite",INDEX(tbl_Onsite[Tax Code],$BI548),IF($B548="Production",INDEX(tbl_Production[Tax Code],$BI548),INDEX(tbl_Consulting[Tax Code],$BI548)))&amp;"")</f>
        <v/>
      </c>
      <c r="K548" s="10">
        <f>IF(H548="","",IFERROR(INDEX(lst_CCtoGL,MATCH(H548,lst_CCforGL,0)),""))</f>
        <v/>
      </c>
      <c r="L548" s="10">
        <f>IF($BI548="","",IF($B548="Onsite",INDEX(tbl_Onsite[PO / Reference],$BI548),IF($B548="Production",INDEX(tbl_Production[Current RMS No],$BI548),INDEX(tbl_Consulting[Qwilr Quote],$BI548)))&amp;"")</f>
        <v/>
      </c>
      <c r="M548" s="10">
        <f>IF($BI548="","",IF($B548="Onsite",INDEX(tbl_Onsite[Notes],$BI548),IF($B548="Production",INDEX(tbl_Production[Notes],$BI548),INDEX(tbl_Consulting[Notes],$BI548)))&amp;"")</f>
        <v/>
      </c>
      <c r="N548" s="11">
        <f>IF($BI548="","",IF(IF($B548="Onsite",INDEX(tbl_Onsite[Expected Revenue Ex GST],$BI548),IF($B548="Production",INDEX(tbl_Production[Expected Revenue Ex GST],$BI548),INDEX(tbl_Consulting[Expected Revenue Ex GST],$BI548)))="","",IF($B548="Onsite",INDEX(tbl_Onsite[Expected Revenue Ex GST],$BI548),IF($B548="Production",INDEX(tbl_Production[Expected Revenue Ex GST],$BI548),INDEX(tbl_Consulting[Expected Revenue Ex GST],$BI548)))))</f>
        <v/>
      </c>
      <c r="O548" s="11">
        <f>IF(AND($C548="",NOT(COUNTA($S548:$BB548)&gt;0)),"",SUM(U548,X548,AA548,AD548,AG548,AJ548,AM548,AP548,AS548,AV548,AY548,BB548))</f>
        <v/>
      </c>
      <c r="P548" s="11">
        <f>IF(O548="","",N(N548)-O548)</f>
        <v/>
      </c>
      <c r="Q548" s="10">
        <f>IF(O548="","",IF($C548="","Invoice on empty job row",IF(N548="",IF(ROUND(O548,2)=0,"No dept value","Invoiced - no dept value"),IF(ROUND(O548,2)=0,"Not invoiced - to invoice",IF(ROUND(P548,2)=0,"Agrees",IF(P548&gt;0,"Dept higher - to invoice","Xero higher - check dept"))))))</f>
        <v/>
      </c>
      <c r="R548" s="10">
        <f>IF(AND($C548="",NOT(COUNTA($S548:$BB548)&gt;0),$BI548&lt;&gt;""),"",MID(IF($BI548="","; Row ID not found on the department sheet - a row was deleted","")&amp;IF(AND($C548="",COUNTA($S548:$BB548)&gt;0),"; Invoice entered but the department row has no job number","")&amp;IF(E548="CHECK","; Job number not in the Xero job list","")&amp;IF(AND($C548&lt;&gt;"",COUNTIF($C$7:$C$1506,$C548)&gt;1),"; Job number on more than one row","")&amp;IF(AND($C548&lt;&gt;"",H548=""),"; Dept has not set a cost centre","")&amp;IF(AND($C548&lt;&gt;"",J548=""),"; Dept has not set a tax code","")&amp;IF(AND($C548&lt;&gt;"",N548=""),"; Dept has not entered an expected value","")&amp;IF((IF(OR(COUNTA(S548:U548)=0,AND(COUNTA(S548:U548)=3,ISNUMBER(U548))),0,1)+IF(OR(COUNTA(V548:X548)=0,AND(COUNTA(V548:X548)=3,ISNUMBER(X548))),0,1)+IF(OR(COUNTA(Y548:AA548)=0,AND(COUNTA(Y548:AA548)=3,ISNUMBER(AA548))),0,1)+IF(OR(COUNTA(AB548:AD548)=0,AND(COUNTA(AB548:AD548)=3,ISNUMBER(AD548))),0,1)+IF(OR(COUNTA(AE548:AG548)=0,AND(COUNTA(AE548:AG548)=3,ISNUMBER(AG548))),0,1)+IF(OR(COUNTA(AH548:AJ548)=0,AND(COUNTA(AH548:AJ548)=3,ISNUMBER(AJ548))),0,1)+IF(OR(COUNTA(AK548:AM548)=0,AND(COUNTA(AK548:AM548)=3,ISNUMBER(AM548))),0,1)+IF(OR(COUNTA(AN548:AP548)=0,AND(COUNTA(AN548:AP548)=3,ISNUMBER(AP548))),0,1)+IF(OR(COUNTA(AQ548:AS548)=0,AND(COUNTA(AQ548:AS548)=3,ISNUMBER(AS548))),0,1)+IF(OR(COUNTA(AT548:AV548)=0,AND(COUNTA(AT548:AV548)=3,ISNUMBER(AV548))),0,1)+IF(OR(COUNTA(AW548:AY548)=0,AND(COUNTA(AW548:AY548)=3,ISNUMBER(AY548))),0,1)+IF(OR(COUNTA(AZ548:BB548)=0,AND(COUNTA(AZ548:BB548)=3,ISNUMBER(BB548))),0,1))&gt;0,"; An invoice is incomplete (needs No, Date and a number in Ex GST)","")&amp;IF((IF(T548="",0,IFERROR(--(EOMONTH(T548,0)&lt;&gt;S$5),1))+IF(W548="",0,IFERROR(--(EOMONTH(W548,0)&lt;&gt;V$5),1))+IF(Z548="",0,IFERROR(--(EOMONTH(Z548,0)&lt;&gt;Y$5),1))+IF(AC548="",0,IFERROR(--(EOMONTH(AC548,0)&lt;&gt;AB$5),1))+IF(AF548="",0,IFERROR(--(EOMONTH(AF548,0)&lt;&gt;AE$5),1))+IF(AI548="",0,IFERROR(--(EOMONTH(AI548,0)&lt;&gt;AH$5),1))+IF(AL548="",0,IFERROR(--(EOMONTH(AL548,0)&lt;&gt;AK$5),1))+IF(AO548="",0,IFERROR(--(EOMONTH(AO548,0)&lt;&gt;AN$5),1))+IF(AR548="",0,IFERROR(--(EOMONTH(AR548,0)&lt;&gt;AQ$5),1))+IF(AU548="",0,IFERROR(--(EOMONTH(AU548,0)&lt;&gt;AT$5),1))+IF(AX548="",0,IFERROR(--(EOMONTH(AX548,0)&lt;&gt;AW$5),1))+IF(BA548="",0,IFERROR(--(EOMONTH(BA548,0)&lt;&gt;AZ$5),1)))&gt;0,"; An invoice date is not in the month it is typed under",""),3,500))</f>
        <v/>
      </c>
      <c r="S548" s="12" t="n"/>
      <c r="T548" s="13" t="n"/>
      <c r="U548" s="14" t="n"/>
      <c r="V548" s="12" t="n"/>
      <c r="W548" s="13" t="n"/>
      <c r="X548" s="14" t="n"/>
      <c r="Y548" s="12" t="n"/>
      <c r="Z548" s="13" t="n"/>
      <c r="AA548" s="14" t="n"/>
      <c r="AB548" s="12" t="n"/>
      <c r="AC548" s="13" t="n"/>
      <c r="AD548" s="14" t="n"/>
      <c r="AE548" s="12" t="n"/>
      <c r="AF548" s="13" t="n"/>
      <c r="AG548" s="14" t="n"/>
      <c r="AH548" s="12" t="n"/>
      <c r="AI548" s="13" t="n"/>
      <c r="AJ548" s="14" t="n"/>
      <c r="AK548" s="12" t="n"/>
      <c r="AL548" s="13" t="n"/>
      <c r="AM548" s="14" t="n"/>
      <c r="AN548" s="12" t="n"/>
      <c r="AO548" s="13" t="n"/>
      <c r="AP548" s="14" t="n"/>
      <c r="AQ548" s="12" t="n"/>
      <c r="AR548" s="13" t="n"/>
      <c r="AS548" s="14" t="n"/>
      <c r="AT548" s="12" t="n"/>
      <c r="AU548" s="13" t="n"/>
      <c r="AV548" s="14" t="n"/>
      <c r="AW548" s="12" t="n"/>
      <c r="AX548" s="13" t="n"/>
      <c r="AY548" s="14" t="n"/>
      <c r="AZ548" s="12" t="n"/>
      <c r="BA548" s="13" t="n"/>
      <c r="BB548" s="14" t="n"/>
      <c r="BC548" s="11">
        <f>IF(O548="","",IF(J548="GST 10%",ROUND(O548*set_GSTRate,2),0))</f>
        <v/>
      </c>
      <c r="BD548" s="11">
        <f>IF(O548="","",O548+BC548)</f>
        <v/>
      </c>
      <c r="BE548" s="15">
        <f>IF(O548="","",COUNTA(S548,V548,Y548,AB548,AE548,AH548,AK548,AN548,AQ548,AT548,AW548,AZ548))</f>
        <v/>
      </c>
      <c r="BF548" s="16">
        <f>IF(COUNT(T548,W548,Z548,AC548,AF548,AI548,AL548,AO548,AR548,AU548,AX548,BA548)=0,"",MAX(T548,W548,Z548,AC548,AF548,AI548,AL548,AO548,AR548,AU548,AX548,BA548))</f>
        <v/>
      </c>
      <c r="BG548" s="10">
        <f>MID(IF(S548="","",", "&amp;S548)&amp;IF(V548="","",", "&amp;V548)&amp;IF(Y548="","",", "&amp;Y548)&amp;IF(AB548="","",", "&amp;AB548)&amp;IF(AE548="","",", "&amp;AE548)&amp;IF(AH548="","",", "&amp;AH548)&amp;IF(AK548="","",", "&amp;AK548)&amp;IF(AN548="","",", "&amp;AN548)&amp;IF(AQ548="","",", "&amp;AQ548)&amp;IF(AT548="","",", "&amp;AT548)&amp;IF(AW548="","",", "&amp;AW548)&amp;IF(AZ548="","",", "&amp;AZ548),3,500)</f>
        <v/>
      </c>
      <c r="BH548" s="12" t="n"/>
      <c r="BI548" s="15">
        <f>IFERROR(MATCH($A548,IF($B548="Onsite",tbl_Onsite[Row ID],IF($B548="Production",tbl_Production[Row ID],tbl_Consulting[Row ID])),0),"")</f>
        <v/>
      </c>
    </row>
    <row r="549">
      <c r="A549" s="10" t="inlineStr">
        <is>
          <t>PRD-0043</t>
        </is>
      </c>
      <c r="B549" s="10" t="inlineStr">
        <is>
          <t>Production</t>
        </is>
      </c>
      <c r="C549" s="10">
        <f>IF($BI549="","",IF($B549="Onsite",INDEX(tbl_Onsite[Job Number],$BI549),IF($B549="Production",INDEX(tbl_Production[Job Number],$BI549),INDEX(tbl_Consulting[Job Number],$BI549)))&amp;"")</f>
        <v/>
      </c>
      <c r="D549" s="10">
        <f>IF($BI549="","",IF($B549="Onsite",INDEX(tbl_Onsite[Client],$BI549),IF($B549="Production",INDEX(tbl_Production[Client],$BI549),INDEX(tbl_Consulting[Client],$BI549)))&amp;"")</f>
        <v/>
      </c>
      <c r="E549" s="10">
        <f>IF($C549="","",IF(COUNTIF(lst_Jobs,$C549)&gt;0,"OK","CHECK"))</f>
        <v/>
      </c>
      <c r="F549" s="10">
        <f>IF($C549="","",IFERROR(INDEX(lst_JobName,MATCH($C549,lst_Jobs,0)),""))</f>
        <v/>
      </c>
      <c r="G549" s="10">
        <f>IF($BI549="","",IF($B549="Onsite",INDEX(tbl_Onsite[Job Description],$BI549),IF($B549="Production",INDEX(tbl_Production[Job Description],$BI549),INDEX(tbl_Consulting[Job Description],$BI549)))&amp;"")</f>
        <v/>
      </c>
      <c r="H549" s="10">
        <f>IF($BI549="","",IF($B549="Onsite",INDEX(tbl_Onsite[Cost Centre],$BI549),IF($B549="Production",INDEX(tbl_Production[Cost Centre],$BI549),INDEX(tbl_Consulting[Cost Centre],$BI549)))&amp;"")</f>
        <v/>
      </c>
      <c r="I549" s="10">
        <f>IF($BI549="","",IF($B549="Onsite",INDEX(tbl_Onsite[Invoice Type],$BI549),IF($B549="Production",INDEX(tbl_Production[Invoice Type],$BI549),INDEX(tbl_Consulting[Invoice Type],$BI549)))&amp;"")</f>
        <v/>
      </c>
      <c r="J549" s="10">
        <f>IF($BI549="","",IF($B549="Onsite",INDEX(tbl_Onsite[Tax Code],$BI549),IF($B549="Production",INDEX(tbl_Production[Tax Code],$BI549),INDEX(tbl_Consulting[Tax Code],$BI549)))&amp;"")</f>
        <v/>
      </c>
      <c r="K549" s="10">
        <f>IF(H549="","",IFERROR(INDEX(lst_CCtoGL,MATCH(H549,lst_CCforGL,0)),""))</f>
        <v/>
      </c>
      <c r="L549" s="10">
        <f>IF($BI549="","",IF($B549="Onsite",INDEX(tbl_Onsite[PO / Reference],$BI549),IF($B549="Production",INDEX(tbl_Production[Current RMS No],$BI549),INDEX(tbl_Consulting[Qwilr Quote],$BI549)))&amp;"")</f>
        <v/>
      </c>
      <c r="M549" s="10">
        <f>IF($BI549="","",IF($B549="Onsite",INDEX(tbl_Onsite[Notes],$BI549),IF($B549="Production",INDEX(tbl_Production[Notes],$BI549),INDEX(tbl_Consulting[Notes],$BI549)))&amp;"")</f>
        <v/>
      </c>
      <c r="N549" s="11">
        <f>IF($BI549="","",IF(IF($B549="Onsite",INDEX(tbl_Onsite[Expected Revenue Ex GST],$BI549),IF($B549="Production",INDEX(tbl_Production[Expected Revenue Ex GST],$BI549),INDEX(tbl_Consulting[Expected Revenue Ex GST],$BI549)))="","",IF($B549="Onsite",INDEX(tbl_Onsite[Expected Revenue Ex GST],$BI549),IF($B549="Production",INDEX(tbl_Production[Expected Revenue Ex GST],$BI549),INDEX(tbl_Consulting[Expected Revenue Ex GST],$BI549)))))</f>
        <v/>
      </c>
      <c r="O549" s="11">
        <f>IF(AND($C549="",NOT(COUNTA($S549:$BB549)&gt;0)),"",SUM(U549,X549,AA549,AD549,AG549,AJ549,AM549,AP549,AS549,AV549,AY549,BB549))</f>
        <v/>
      </c>
      <c r="P549" s="11">
        <f>IF(O549="","",N(N549)-O549)</f>
        <v/>
      </c>
      <c r="Q549" s="10">
        <f>IF(O549="","",IF($C549="","Invoice on empty job row",IF(N549="",IF(ROUND(O549,2)=0,"No dept value","Invoiced - no dept value"),IF(ROUND(O549,2)=0,"Not invoiced - to invoice",IF(ROUND(P549,2)=0,"Agrees",IF(P549&gt;0,"Dept higher - to invoice","Xero higher - check dept"))))))</f>
        <v/>
      </c>
      <c r="R549" s="10">
        <f>IF(AND($C549="",NOT(COUNTA($S549:$BB549)&gt;0),$BI549&lt;&gt;""),"",MID(IF($BI549="","; Row ID not found on the department sheet - a row was deleted","")&amp;IF(AND($C549="",COUNTA($S549:$BB549)&gt;0),"; Invoice entered but the department row has no job number","")&amp;IF(E549="CHECK","; Job number not in the Xero job list","")&amp;IF(AND($C549&lt;&gt;"",COUNTIF($C$7:$C$1506,$C549)&gt;1),"; Job number on more than one row","")&amp;IF(AND($C549&lt;&gt;"",H549=""),"; Dept has not set a cost centre","")&amp;IF(AND($C549&lt;&gt;"",J549=""),"; Dept has not set a tax code","")&amp;IF(AND($C549&lt;&gt;"",N549=""),"; Dept has not entered an expected value","")&amp;IF((IF(OR(COUNTA(S549:U549)=0,AND(COUNTA(S549:U549)=3,ISNUMBER(U549))),0,1)+IF(OR(COUNTA(V549:X549)=0,AND(COUNTA(V549:X549)=3,ISNUMBER(X549))),0,1)+IF(OR(COUNTA(Y549:AA549)=0,AND(COUNTA(Y549:AA549)=3,ISNUMBER(AA549))),0,1)+IF(OR(COUNTA(AB549:AD549)=0,AND(COUNTA(AB549:AD549)=3,ISNUMBER(AD549))),0,1)+IF(OR(COUNTA(AE549:AG549)=0,AND(COUNTA(AE549:AG549)=3,ISNUMBER(AG549))),0,1)+IF(OR(COUNTA(AH549:AJ549)=0,AND(COUNTA(AH549:AJ549)=3,ISNUMBER(AJ549))),0,1)+IF(OR(COUNTA(AK549:AM549)=0,AND(COUNTA(AK549:AM549)=3,ISNUMBER(AM549))),0,1)+IF(OR(COUNTA(AN549:AP549)=0,AND(COUNTA(AN549:AP549)=3,ISNUMBER(AP549))),0,1)+IF(OR(COUNTA(AQ549:AS549)=0,AND(COUNTA(AQ549:AS549)=3,ISNUMBER(AS549))),0,1)+IF(OR(COUNTA(AT549:AV549)=0,AND(COUNTA(AT549:AV549)=3,ISNUMBER(AV549))),0,1)+IF(OR(COUNTA(AW549:AY549)=0,AND(COUNTA(AW549:AY549)=3,ISNUMBER(AY549))),0,1)+IF(OR(COUNTA(AZ549:BB549)=0,AND(COUNTA(AZ549:BB549)=3,ISNUMBER(BB549))),0,1))&gt;0,"; An invoice is incomplete (needs No, Date and a number in Ex GST)","")&amp;IF((IF(T549="",0,IFERROR(--(EOMONTH(T549,0)&lt;&gt;S$5),1))+IF(W549="",0,IFERROR(--(EOMONTH(W549,0)&lt;&gt;V$5),1))+IF(Z549="",0,IFERROR(--(EOMONTH(Z549,0)&lt;&gt;Y$5),1))+IF(AC549="",0,IFERROR(--(EOMONTH(AC549,0)&lt;&gt;AB$5),1))+IF(AF549="",0,IFERROR(--(EOMONTH(AF549,0)&lt;&gt;AE$5),1))+IF(AI549="",0,IFERROR(--(EOMONTH(AI549,0)&lt;&gt;AH$5),1))+IF(AL549="",0,IFERROR(--(EOMONTH(AL549,0)&lt;&gt;AK$5),1))+IF(AO549="",0,IFERROR(--(EOMONTH(AO549,0)&lt;&gt;AN$5),1))+IF(AR549="",0,IFERROR(--(EOMONTH(AR549,0)&lt;&gt;AQ$5),1))+IF(AU549="",0,IFERROR(--(EOMONTH(AU549,0)&lt;&gt;AT$5),1))+IF(AX549="",0,IFERROR(--(EOMONTH(AX549,0)&lt;&gt;AW$5),1))+IF(BA549="",0,IFERROR(--(EOMONTH(BA549,0)&lt;&gt;AZ$5),1)))&gt;0,"; An invoice date is not in the month it is typed under",""),3,500))</f>
        <v/>
      </c>
      <c r="S549" s="12" t="n"/>
      <c r="T549" s="13" t="n"/>
      <c r="U549" s="14" t="n"/>
      <c r="V549" s="12" t="n"/>
      <c r="W549" s="13" t="n"/>
      <c r="X549" s="14" t="n"/>
      <c r="Y549" s="12" t="n"/>
      <c r="Z549" s="13" t="n"/>
      <c r="AA549" s="14" t="n"/>
      <c r="AB549" s="12" t="n"/>
      <c r="AC549" s="13" t="n"/>
      <c r="AD549" s="14" t="n"/>
      <c r="AE549" s="12" t="n"/>
      <c r="AF549" s="13" t="n"/>
      <c r="AG549" s="14" t="n"/>
      <c r="AH549" s="12" t="n"/>
      <c r="AI549" s="13" t="n"/>
      <c r="AJ549" s="14" t="n"/>
      <c r="AK549" s="12" t="n"/>
      <c r="AL549" s="13" t="n"/>
      <c r="AM549" s="14" t="n"/>
      <c r="AN549" s="12" t="n"/>
      <c r="AO549" s="13" t="n"/>
      <c r="AP549" s="14" t="n"/>
      <c r="AQ549" s="12" t="n"/>
      <c r="AR549" s="13" t="n"/>
      <c r="AS549" s="14" t="n"/>
      <c r="AT549" s="12" t="n"/>
      <c r="AU549" s="13" t="n"/>
      <c r="AV549" s="14" t="n"/>
      <c r="AW549" s="12" t="n"/>
      <c r="AX549" s="13" t="n"/>
      <c r="AY549" s="14" t="n"/>
      <c r="AZ549" s="12" t="n"/>
      <c r="BA549" s="13" t="n"/>
      <c r="BB549" s="14" t="n"/>
      <c r="BC549" s="11">
        <f>IF(O549="","",IF(J549="GST 10%",ROUND(O549*set_GSTRate,2),0))</f>
        <v/>
      </c>
      <c r="BD549" s="11">
        <f>IF(O549="","",O549+BC549)</f>
        <v/>
      </c>
      <c r="BE549" s="15">
        <f>IF(O549="","",COUNTA(S549,V549,Y549,AB549,AE549,AH549,AK549,AN549,AQ549,AT549,AW549,AZ549))</f>
        <v/>
      </c>
      <c r="BF549" s="16">
        <f>IF(COUNT(T549,W549,Z549,AC549,AF549,AI549,AL549,AO549,AR549,AU549,AX549,BA549)=0,"",MAX(T549,W549,Z549,AC549,AF549,AI549,AL549,AO549,AR549,AU549,AX549,BA549))</f>
        <v/>
      </c>
      <c r="BG549" s="10">
        <f>MID(IF(S549="","",", "&amp;S549)&amp;IF(V549="","",", "&amp;V549)&amp;IF(Y549="","",", "&amp;Y549)&amp;IF(AB549="","",", "&amp;AB549)&amp;IF(AE549="","",", "&amp;AE549)&amp;IF(AH549="","",", "&amp;AH549)&amp;IF(AK549="","",", "&amp;AK549)&amp;IF(AN549="","",", "&amp;AN549)&amp;IF(AQ549="","",", "&amp;AQ549)&amp;IF(AT549="","",", "&amp;AT549)&amp;IF(AW549="","",", "&amp;AW549)&amp;IF(AZ549="","",", "&amp;AZ549),3,500)</f>
        <v/>
      </c>
      <c r="BH549" s="12" t="n"/>
      <c r="BI549" s="15">
        <f>IFERROR(MATCH($A549,IF($B549="Onsite",tbl_Onsite[Row ID],IF($B549="Production",tbl_Production[Row ID],tbl_Consulting[Row ID])),0),"")</f>
        <v/>
      </c>
    </row>
    <row r="550">
      <c r="A550" s="10" t="inlineStr">
        <is>
          <t>PRD-0044</t>
        </is>
      </c>
      <c r="B550" s="10" t="inlineStr">
        <is>
          <t>Production</t>
        </is>
      </c>
      <c r="C550" s="10">
        <f>IF($BI550="","",IF($B550="Onsite",INDEX(tbl_Onsite[Job Number],$BI550),IF($B550="Production",INDEX(tbl_Production[Job Number],$BI550),INDEX(tbl_Consulting[Job Number],$BI550)))&amp;"")</f>
        <v/>
      </c>
      <c r="D550" s="10">
        <f>IF($BI550="","",IF($B550="Onsite",INDEX(tbl_Onsite[Client],$BI550),IF($B550="Production",INDEX(tbl_Production[Client],$BI550),INDEX(tbl_Consulting[Client],$BI550)))&amp;"")</f>
        <v/>
      </c>
      <c r="E550" s="10">
        <f>IF($C550="","",IF(COUNTIF(lst_Jobs,$C550)&gt;0,"OK","CHECK"))</f>
        <v/>
      </c>
      <c r="F550" s="10">
        <f>IF($C550="","",IFERROR(INDEX(lst_JobName,MATCH($C550,lst_Jobs,0)),""))</f>
        <v/>
      </c>
      <c r="G550" s="10">
        <f>IF($BI550="","",IF($B550="Onsite",INDEX(tbl_Onsite[Job Description],$BI550),IF($B550="Production",INDEX(tbl_Production[Job Description],$BI550),INDEX(tbl_Consulting[Job Description],$BI550)))&amp;"")</f>
        <v/>
      </c>
      <c r="H550" s="10">
        <f>IF($BI550="","",IF($B550="Onsite",INDEX(tbl_Onsite[Cost Centre],$BI550),IF($B550="Production",INDEX(tbl_Production[Cost Centre],$BI550),INDEX(tbl_Consulting[Cost Centre],$BI550)))&amp;"")</f>
        <v/>
      </c>
      <c r="I550" s="10">
        <f>IF($BI550="","",IF($B550="Onsite",INDEX(tbl_Onsite[Invoice Type],$BI550),IF($B550="Production",INDEX(tbl_Production[Invoice Type],$BI550),INDEX(tbl_Consulting[Invoice Type],$BI550)))&amp;"")</f>
        <v/>
      </c>
      <c r="J550" s="10">
        <f>IF($BI550="","",IF($B550="Onsite",INDEX(tbl_Onsite[Tax Code],$BI550),IF($B550="Production",INDEX(tbl_Production[Tax Code],$BI550),INDEX(tbl_Consulting[Tax Code],$BI550)))&amp;"")</f>
        <v/>
      </c>
      <c r="K550" s="10">
        <f>IF(H550="","",IFERROR(INDEX(lst_CCtoGL,MATCH(H550,lst_CCforGL,0)),""))</f>
        <v/>
      </c>
      <c r="L550" s="10">
        <f>IF($BI550="","",IF($B550="Onsite",INDEX(tbl_Onsite[PO / Reference],$BI550),IF($B550="Production",INDEX(tbl_Production[Current RMS No],$BI550),INDEX(tbl_Consulting[Qwilr Quote],$BI550)))&amp;"")</f>
        <v/>
      </c>
      <c r="M550" s="10">
        <f>IF($BI550="","",IF($B550="Onsite",INDEX(tbl_Onsite[Notes],$BI550),IF($B550="Production",INDEX(tbl_Production[Notes],$BI550),INDEX(tbl_Consulting[Notes],$BI550)))&amp;"")</f>
        <v/>
      </c>
      <c r="N550" s="11">
        <f>IF($BI550="","",IF(IF($B550="Onsite",INDEX(tbl_Onsite[Expected Revenue Ex GST],$BI550),IF($B550="Production",INDEX(tbl_Production[Expected Revenue Ex GST],$BI550),INDEX(tbl_Consulting[Expected Revenue Ex GST],$BI550)))="","",IF($B550="Onsite",INDEX(tbl_Onsite[Expected Revenue Ex GST],$BI550),IF($B550="Production",INDEX(tbl_Production[Expected Revenue Ex GST],$BI550),INDEX(tbl_Consulting[Expected Revenue Ex GST],$BI550)))))</f>
        <v/>
      </c>
      <c r="O550" s="11">
        <f>IF(AND($C550="",NOT(COUNTA($S550:$BB550)&gt;0)),"",SUM(U550,X550,AA550,AD550,AG550,AJ550,AM550,AP550,AS550,AV550,AY550,BB550))</f>
        <v/>
      </c>
      <c r="P550" s="11">
        <f>IF(O550="","",N(N550)-O550)</f>
        <v/>
      </c>
      <c r="Q550" s="10">
        <f>IF(O550="","",IF($C550="","Invoice on empty job row",IF(N550="",IF(ROUND(O550,2)=0,"No dept value","Invoiced - no dept value"),IF(ROUND(O550,2)=0,"Not invoiced - to invoice",IF(ROUND(P550,2)=0,"Agrees",IF(P550&gt;0,"Dept higher - to invoice","Xero higher - check dept"))))))</f>
        <v/>
      </c>
      <c r="R550" s="10">
        <f>IF(AND($C550="",NOT(COUNTA($S550:$BB550)&gt;0),$BI550&lt;&gt;""),"",MID(IF($BI550="","; Row ID not found on the department sheet - a row was deleted","")&amp;IF(AND($C550="",COUNTA($S550:$BB550)&gt;0),"; Invoice entered but the department row has no job number","")&amp;IF(E550="CHECK","; Job number not in the Xero job list","")&amp;IF(AND($C550&lt;&gt;"",COUNTIF($C$7:$C$1506,$C550)&gt;1),"; Job number on more than one row","")&amp;IF(AND($C550&lt;&gt;"",H550=""),"; Dept has not set a cost centre","")&amp;IF(AND($C550&lt;&gt;"",J550=""),"; Dept has not set a tax code","")&amp;IF(AND($C550&lt;&gt;"",N550=""),"; Dept has not entered an expected value","")&amp;IF((IF(OR(COUNTA(S550:U550)=0,AND(COUNTA(S550:U550)=3,ISNUMBER(U550))),0,1)+IF(OR(COUNTA(V550:X550)=0,AND(COUNTA(V550:X550)=3,ISNUMBER(X550))),0,1)+IF(OR(COUNTA(Y550:AA550)=0,AND(COUNTA(Y550:AA550)=3,ISNUMBER(AA550))),0,1)+IF(OR(COUNTA(AB550:AD550)=0,AND(COUNTA(AB550:AD550)=3,ISNUMBER(AD550))),0,1)+IF(OR(COUNTA(AE550:AG550)=0,AND(COUNTA(AE550:AG550)=3,ISNUMBER(AG550))),0,1)+IF(OR(COUNTA(AH550:AJ550)=0,AND(COUNTA(AH550:AJ550)=3,ISNUMBER(AJ550))),0,1)+IF(OR(COUNTA(AK550:AM550)=0,AND(COUNTA(AK550:AM550)=3,ISNUMBER(AM550))),0,1)+IF(OR(COUNTA(AN550:AP550)=0,AND(COUNTA(AN550:AP550)=3,ISNUMBER(AP550))),0,1)+IF(OR(COUNTA(AQ550:AS550)=0,AND(COUNTA(AQ550:AS550)=3,ISNUMBER(AS550))),0,1)+IF(OR(COUNTA(AT550:AV550)=0,AND(COUNTA(AT550:AV550)=3,ISNUMBER(AV550))),0,1)+IF(OR(COUNTA(AW550:AY550)=0,AND(COUNTA(AW550:AY550)=3,ISNUMBER(AY550))),0,1)+IF(OR(COUNTA(AZ550:BB550)=0,AND(COUNTA(AZ550:BB550)=3,ISNUMBER(BB550))),0,1))&gt;0,"; An invoice is incomplete (needs No, Date and a number in Ex GST)","")&amp;IF((IF(T550="",0,IFERROR(--(EOMONTH(T550,0)&lt;&gt;S$5),1))+IF(W550="",0,IFERROR(--(EOMONTH(W550,0)&lt;&gt;V$5),1))+IF(Z550="",0,IFERROR(--(EOMONTH(Z550,0)&lt;&gt;Y$5),1))+IF(AC550="",0,IFERROR(--(EOMONTH(AC550,0)&lt;&gt;AB$5),1))+IF(AF550="",0,IFERROR(--(EOMONTH(AF550,0)&lt;&gt;AE$5),1))+IF(AI550="",0,IFERROR(--(EOMONTH(AI550,0)&lt;&gt;AH$5),1))+IF(AL550="",0,IFERROR(--(EOMONTH(AL550,0)&lt;&gt;AK$5),1))+IF(AO550="",0,IFERROR(--(EOMONTH(AO550,0)&lt;&gt;AN$5),1))+IF(AR550="",0,IFERROR(--(EOMONTH(AR550,0)&lt;&gt;AQ$5),1))+IF(AU550="",0,IFERROR(--(EOMONTH(AU550,0)&lt;&gt;AT$5),1))+IF(AX550="",0,IFERROR(--(EOMONTH(AX550,0)&lt;&gt;AW$5),1))+IF(BA550="",0,IFERROR(--(EOMONTH(BA550,0)&lt;&gt;AZ$5),1)))&gt;0,"; An invoice date is not in the month it is typed under",""),3,500))</f>
        <v/>
      </c>
      <c r="S550" s="12" t="n"/>
      <c r="T550" s="13" t="n"/>
      <c r="U550" s="14" t="n"/>
      <c r="V550" s="12" t="n"/>
      <c r="W550" s="13" t="n"/>
      <c r="X550" s="14" t="n"/>
      <c r="Y550" s="12" t="n"/>
      <c r="Z550" s="13" t="n"/>
      <c r="AA550" s="14" t="n"/>
      <c r="AB550" s="12" t="n"/>
      <c r="AC550" s="13" t="n"/>
      <c r="AD550" s="14" t="n"/>
      <c r="AE550" s="12" t="n"/>
      <c r="AF550" s="13" t="n"/>
      <c r="AG550" s="14" t="n"/>
      <c r="AH550" s="12" t="n"/>
      <c r="AI550" s="13" t="n"/>
      <c r="AJ550" s="14" t="n"/>
      <c r="AK550" s="12" t="n"/>
      <c r="AL550" s="13" t="n"/>
      <c r="AM550" s="14" t="n"/>
      <c r="AN550" s="12" t="n"/>
      <c r="AO550" s="13" t="n"/>
      <c r="AP550" s="14" t="n"/>
      <c r="AQ550" s="12" t="n"/>
      <c r="AR550" s="13" t="n"/>
      <c r="AS550" s="14" t="n"/>
      <c r="AT550" s="12" t="n"/>
      <c r="AU550" s="13" t="n"/>
      <c r="AV550" s="14" t="n"/>
      <c r="AW550" s="12" t="n"/>
      <c r="AX550" s="13" t="n"/>
      <c r="AY550" s="14" t="n"/>
      <c r="AZ550" s="12" t="n"/>
      <c r="BA550" s="13" t="n"/>
      <c r="BB550" s="14" t="n"/>
      <c r="BC550" s="11">
        <f>IF(O550="","",IF(J550="GST 10%",ROUND(O550*set_GSTRate,2),0))</f>
        <v/>
      </c>
      <c r="BD550" s="11">
        <f>IF(O550="","",O550+BC550)</f>
        <v/>
      </c>
      <c r="BE550" s="15">
        <f>IF(O550="","",COUNTA(S550,V550,Y550,AB550,AE550,AH550,AK550,AN550,AQ550,AT550,AW550,AZ550))</f>
        <v/>
      </c>
      <c r="BF550" s="16">
        <f>IF(COUNT(T550,W550,Z550,AC550,AF550,AI550,AL550,AO550,AR550,AU550,AX550,BA550)=0,"",MAX(T550,W550,Z550,AC550,AF550,AI550,AL550,AO550,AR550,AU550,AX550,BA550))</f>
        <v/>
      </c>
      <c r="BG550" s="10">
        <f>MID(IF(S550="","",", "&amp;S550)&amp;IF(V550="","",", "&amp;V550)&amp;IF(Y550="","",", "&amp;Y550)&amp;IF(AB550="","",", "&amp;AB550)&amp;IF(AE550="","",", "&amp;AE550)&amp;IF(AH550="","",", "&amp;AH550)&amp;IF(AK550="","",", "&amp;AK550)&amp;IF(AN550="","",", "&amp;AN550)&amp;IF(AQ550="","",", "&amp;AQ550)&amp;IF(AT550="","",", "&amp;AT550)&amp;IF(AW550="","",", "&amp;AW550)&amp;IF(AZ550="","",", "&amp;AZ550),3,500)</f>
        <v/>
      </c>
      <c r="BH550" s="12" t="n"/>
      <c r="BI550" s="15">
        <f>IFERROR(MATCH($A550,IF($B550="Onsite",tbl_Onsite[Row ID],IF($B550="Production",tbl_Production[Row ID],tbl_Consulting[Row ID])),0),"")</f>
        <v/>
      </c>
    </row>
    <row r="551">
      <c r="A551" s="10" t="inlineStr">
        <is>
          <t>PRD-0045</t>
        </is>
      </c>
      <c r="B551" s="10" t="inlineStr">
        <is>
          <t>Production</t>
        </is>
      </c>
      <c r="C551" s="10">
        <f>IF($BI551="","",IF($B551="Onsite",INDEX(tbl_Onsite[Job Number],$BI551),IF($B551="Production",INDEX(tbl_Production[Job Number],$BI551),INDEX(tbl_Consulting[Job Number],$BI551)))&amp;"")</f>
        <v/>
      </c>
      <c r="D551" s="10">
        <f>IF($BI551="","",IF($B551="Onsite",INDEX(tbl_Onsite[Client],$BI551),IF($B551="Production",INDEX(tbl_Production[Client],$BI551),INDEX(tbl_Consulting[Client],$BI551)))&amp;"")</f>
        <v/>
      </c>
      <c r="E551" s="10">
        <f>IF($C551="","",IF(COUNTIF(lst_Jobs,$C551)&gt;0,"OK","CHECK"))</f>
        <v/>
      </c>
      <c r="F551" s="10">
        <f>IF($C551="","",IFERROR(INDEX(lst_JobName,MATCH($C551,lst_Jobs,0)),""))</f>
        <v/>
      </c>
      <c r="G551" s="10">
        <f>IF($BI551="","",IF($B551="Onsite",INDEX(tbl_Onsite[Job Description],$BI551),IF($B551="Production",INDEX(tbl_Production[Job Description],$BI551),INDEX(tbl_Consulting[Job Description],$BI551)))&amp;"")</f>
        <v/>
      </c>
      <c r="H551" s="10">
        <f>IF($BI551="","",IF($B551="Onsite",INDEX(tbl_Onsite[Cost Centre],$BI551),IF($B551="Production",INDEX(tbl_Production[Cost Centre],$BI551),INDEX(tbl_Consulting[Cost Centre],$BI551)))&amp;"")</f>
        <v/>
      </c>
      <c r="I551" s="10">
        <f>IF($BI551="","",IF($B551="Onsite",INDEX(tbl_Onsite[Invoice Type],$BI551),IF($B551="Production",INDEX(tbl_Production[Invoice Type],$BI551),INDEX(tbl_Consulting[Invoice Type],$BI551)))&amp;"")</f>
        <v/>
      </c>
      <c r="J551" s="10">
        <f>IF($BI551="","",IF($B551="Onsite",INDEX(tbl_Onsite[Tax Code],$BI551),IF($B551="Production",INDEX(tbl_Production[Tax Code],$BI551),INDEX(tbl_Consulting[Tax Code],$BI551)))&amp;"")</f>
        <v/>
      </c>
      <c r="K551" s="10">
        <f>IF(H551="","",IFERROR(INDEX(lst_CCtoGL,MATCH(H551,lst_CCforGL,0)),""))</f>
        <v/>
      </c>
      <c r="L551" s="10">
        <f>IF($BI551="","",IF($B551="Onsite",INDEX(tbl_Onsite[PO / Reference],$BI551),IF($B551="Production",INDEX(tbl_Production[Current RMS No],$BI551),INDEX(tbl_Consulting[Qwilr Quote],$BI551)))&amp;"")</f>
        <v/>
      </c>
      <c r="M551" s="10">
        <f>IF($BI551="","",IF($B551="Onsite",INDEX(tbl_Onsite[Notes],$BI551),IF($B551="Production",INDEX(tbl_Production[Notes],$BI551),INDEX(tbl_Consulting[Notes],$BI551)))&amp;"")</f>
        <v/>
      </c>
      <c r="N551" s="11">
        <f>IF($BI551="","",IF(IF($B551="Onsite",INDEX(tbl_Onsite[Expected Revenue Ex GST],$BI551),IF($B551="Production",INDEX(tbl_Production[Expected Revenue Ex GST],$BI551),INDEX(tbl_Consulting[Expected Revenue Ex GST],$BI551)))="","",IF($B551="Onsite",INDEX(tbl_Onsite[Expected Revenue Ex GST],$BI551),IF($B551="Production",INDEX(tbl_Production[Expected Revenue Ex GST],$BI551),INDEX(tbl_Consulting[Expected Revenue Ex GST],$BI551)))))</f>
        <v/>
      </c>
      <c r="O551" s="11">
        <f>IF(AND($C551="",NOT(COUNTA($S551:$BB551)&gt;0)),"",SUM(U551,X551,AA551,AD551,AG551,AJ551,AM551,AP551,AS551,AV551,AY551,BB551))</f>
        <v/>
      </c>
      <c r="P551" s="11">
        <f>IF(O551="","",N(N551)-O551)</f>
        <v/>
      </c>
      <c r="Q551" s="10">
        <f>IF(O551="","",IF($C551="","Invoice on empty job row",IF(N551="",IF(ROUND(O551,2)=0,"No dept value","Invoiced - no dept value"),IF(ROUND(O551,2)=0,"Not invoiced - to invoice",IF(ROUND(P551,2)=0,"Agrees",IF(P551&gt;0,"Dept higher - to invoice","Xero higher - check dept"))))))</f>
        <v/>
      </c>
      <c r="R551" s="10">
        <f>IF(AND($C551="",NOT(COUNTA($S551:$BB551)&gt;0),$BI551&lt;&gt;""),"",MID(IF($BI551="","; Row ID not found on the department sheet - a row was deleted","")&amp;IF(AND($C551="",COUNTA($S551:$BB551)&gt;0),"; Invoice entered but the department row has no job number","")&amp;IF(E551="CHECK","; Job number not in the Xero job list","")&amp;IF(AND($C551&lt;&gt;"",COUNTIF($C$7:$C$1506,$C551)&gt;1),"; Job number on more than one row","")&amp;IF(AND($C551&lt;&gt;"",H551=""),"; Dept has not set a cost centre","")&amp;IF(AND($C551&lt;&gt;"",J551=""),"; Dept has not set a tax code","")&amp;IF(AND($C551&lt;&gt;"",N551=""),"; Dept has not entered an expected value","")&amp;IF((IF(OR(COUNTA(S551:U551)=0,AND(COUNTA(S551:U551)=3,ISNUMBER(U551))),0,1)+IF(OR(COUNTA(V551:X551)=0,AND(COUNTA(V551:X551)=3,ISNUMBER(X551))),0,1)+IF(OR(COUNTA(Y551:AA551)=0,AND(COUNTA(Y551:AA551)=3,ISNUMBER(AA551))),0,1)+IF(OR(COUNTA(AB551:AD551)=0,AND(COUNTA(AB551:AD551)=3,ISNUMBER(AD551))),0,1)+IF(OR(COUNTA(AE551:AG551)=0,AND(COUNTA(AE551:AG551)=3,ISNUMBER(AG551))),0,1)+IF(OR(COUNTA(AH551:AJ551)=0,AND(COUNTA(AH551:AJ551)=3,ISNUMBER(AJ551))),0,1)+IF(OR(COUNTA(AK551:AM551)=0,AND(COUNTA(AK551:AM551)=3,ISNUMBER(AM551))),0,1)+IF(OR(COUNTA(AN551:AP551)=0,AND(COUNTA(AN551:AP551)=3,ISNUMBER(AP551))),0,1)+IF(OR(COUNTA(AQ551:AS551)=0,AND(COUNTA(AQ551:AS551)=3,ISNUMBER(AS551))),0,1)+IF(OR(COUNTA(AT551:AV551)=0,AND(COUNTA(AT551:AV551)=3,ISNUMBER(AV551))),0,1)+IF(OR(COUNTA(AW551:AY551)=0,AND(COUNTA(AW551:AY551)=3,ISNUMBER(AY551))),0,1)+IF(OR(COUNTA(AZ551:BB551)=0,AND(COUNTA(AZ551:BB551)=3,ISNUMBER(BB551))),0,1))&gt;0,"; An invoice is incomplete (needs No, Date and a number in Ex GST)","")&amp;IF((IF(T551="",0,IFERROR(--(EOMONTH(T551,0)&lt;&gt;S$5),1))+IF(W551="",0,IFERROR(--(EOMONTH(W551,0)&lt;&gt;V$5),1))+IF(Z551="",0,IFERROR(--(EOMONTH(Z551,0)&lt;&gt;Y$5),1))+IF(AC551="",0,IFERROR(--(EOMONTH(AC551,0)&lt;&gt;AB$5),1))+IF(AF551="",0,IFERROR(--(EOMONTH(AF551,0)&lt;&gt;AE$5),1))+IF(AI551="",0,IFERROR(--(EOMONTH(AI551,0)&lt;&gt;AH$5),1))+IF(AL551="",0,IFERROR(--(EOMONTH(AL551,0)&lt;&gt;AK$5),1))+IF(AO551="",0,IFERROR(--(EOMONTH(AO551,0)&lt;&gt;AN$5),1))+IF(AR551="",0,IFERROR(--(EOMONTH(AR551,0)&lt;&gt;AQ$5),1))+IF(AU551="",0,IFERROR(--(EOMONTH(AU551,0)&lt;&gt;AT$5),1))+IF(AX551="",0,IFERROR(--(EOMONTH(AX551,0)&lt;&gt;AW$5),1))+IF(BA551="",0,IFERROR(--(EOMONTH(BA551,0)&lt;&gt;AZ$5),1)))&gt;0,"; An invoice date is not in the month it is typed under",""),3,500))</f>
        <v/>
      </c>
      <c r="S551" s="12" t="n"/>
      <c r="T551" s="13" t="n"/>
      <c r="U551" s="14" t="n"/>
      <c r="V551" s="12" t="n"/>
      <c r="W551" s="13" t="n"/>
      <c r="X551" s="14" t="n"/>
      <c r="Y551" s="12" t="n"/>
      <c r="Z551" s="13" t="n"/>
      <c r="AA551" s="14" t="n"/>
      <c r="AB551" s="12" t="n"/>
      <c r="AC551" s="13" t="n"/>
      <c r="AD551" s="14" t="n"/>
      <c r="AE551" s="12" t="n"/>
      <c r="AF551" s="13" t="n"/>
      <c r="AG551" s="14" t="n"/>
      <c r="AH551" s="12" t="n"/>
      <c r="AI551" s="13" t="n"/>
      <c r="AJ551" s="14" t="n"/>
      <c r="AK551" s="12" t="n"/>
      <c r="AL551" s="13" t="n"/>
      <c r="AM551" s="14" t="n"/>
      <c r="AN551" s="12" t="n"/>
      <c r="AO551" s="13" t="n"/>
      <c r="AP551" s="14" t="n"/>
      <c r="AQ551" s="12" t="n"/>
      <c r="AR551" s="13" t="n"/>
      <c r="AS551" s="14" t="n"/>
      <c r="AT551" s="12" t="n"/>
      <c r="AU551" s="13" t="n"/>
      <c r="AV551" s="14" t="n"/>
      <c r="AW551" s="12" t="n"/>
      <c r="AX551" s="13" t="n"/>
      <c r="AY551" s="14" t="n"/>
      <c r="AZ551" s="12" t="n"/>
      <c r="BA551" s="13" t="n"/>
      <c r="BB551" s="14" t="n"/>
      <c r="BC551" s="11">
        <f>IF(O551="","",IF(J551="GST 10%",ROUND(O551*set_GSTRate,2),0))</f>
        <v/>
      </c>
      <c r="BD551" s="11">
        <f>IF(O551="","",O551+BC551)</f>
        <v/>
      </c>
      <c r="BE551" s="15">
        <f>IF(O551="","",COUNTA(S551,V551,Y551,AB551,AE551,AH551,AK551,AN551,AQ551,AT551,AW551,AZ551))</f>
        <v/>
      </c>
      <c r="BF551" s="16">
        <f>IF(COUNT(T551,W551,Z551,AC551,AF551,AI551,AL551,AO551,AR551,AU551,AX551,BA551)=0,"",MAX(T551,W551,Z551,AC551,AF551,AI551,AL551,AO551,AR551,AU551,AX551,BA551))</f>
        <v/>
      </c>
      <c r="BG551" s="10">
        <f>MID(IF(S551="","",", "&amp;S551)&amp;IF(V551="","",", "&amp;V551)&amp;IF(Y551="","",", "&amp;Y551)&amp;IF(AB551="","",", "&amp;AB551)&amp;IF(AE551="","",", "&amp;AE551)&amp;IF(AH551="","",", "&amp;AH551)&amp;IF(AK551="","",", "&amp;AK551)&amp;IF(AN551="","",", "&amp;AN551)&amp;IF(AQ551="","",", "&amp;AQ551)&amp;IF(AT551="","",", "&amp;AT551)&amp;IF(AW551="","",", "&amp;AW551)&amp;IF(AZ551="","",", "&amp;AZ551),3,500)</f>
        <v/>
      </c>
      <c r="BH551" s="12" t="n"/>
      <c r="BI551" s="15">
        <f>IFERROR(MATCH($A551,IF($B551="Onsite",tbl_Onsite[Row ID],IF($B551="Production",tbl_Production[Row ID],tbl_Consulting[Row ID])),0),"")</f>
        <v/>
      </c>
    </row>
    <row r="552">
      <c r="A552" s="10" t="inlineStr">
        <is>
          <t>PRD-0046</t>
        </is>
      </c>
      <c r="B552" s="10" t="inlineStr">
        <is>
          <t>Production</t>
        </is>
      </c>
      <c r="C552" s="10">
        <f>IF($BI552="","",IF($B552="Onsite",INDEX(tbl_Onsite[Job Number],$BI552),IF($B552="Production",INDEX(tbl_Production[Job Number],$BI552),INDEX(tbl_Consulting[Job Number],$BI552)))&amp;"")</f>
        <v/>
      </c>
      <c r="D552" s="10">
        <f>IF($BI552="","",IF($B552="Onsite",INDEX(tbl_Onsite[Client],$BI552),IF($B552="Production",INDEX(tbl_Production[Client],$BI552),INDEX(tbl_Consulting[Client],$BI552)))&amp;"")</f>
        <v/>
      </c>
      <c r="E552" s="10">
        <f>IF($C552="","",IF(COUNTIF(lst_Jobs,$C552)&gt;0,"OK","CHECK"))</f>
        <v/>
      </c>
      <c r="F552" s="10">
        <f>IF($C552="","",IFERROR(INDEX(lst_JobName,MATCH($C552,lst_Jobs,0)),""))</f>
        <v/>
      </c>
      <c r="G552" s="10">
        <f>IF($BI552="","",IF($B552="Onsite",INDEX(tbl_Onsite[Job Description],$BI552),IF($B552="Production",INDEX(tbl_Production[Job Description],$BI552),INDEX(tbl_Consulting[Job Description],$BI552)))&amp;"")</f>
        <v/>
      </c>
      <c r="H552" s="10">
        <f>IF($BI552="","",IF($B552="Onsite",INDEX(tbl_Onsite[Cost Centre],$BI552),IF($B552="Production",INDEX(tbl_Production[Cost Centre],$BI552),INDEX(tbl_Consulting[Cost Centre],$BI552)))&amp;"")</f>
        <v/>
      </c>
      <c r="I552" s="10">
        <f>IF($BI552="","",IF($B552="Onsite",INDEX(tbl_Onsite[Invoice Type],$BI552),IF($B552="Production",INDEX(tbl_Production[Invoice Type],$BI552),INDEX(tbl_Consulting[Invoice Type],$BI552)))&amp;"")</f>
        <v/>
      </c>
      <c r="J552" s="10">
        <f>IF($BI552="","",IF($B552="Onsite",INDEX(tbl_Onsite[Tax Code],$BI552),IF($B552="Production",INDEX(tbl_Production[Tax Code],$BI552),INDEX(tbl_Consulting[Tax Code],$BI552)))&amp;"")</f>
        <v/>
      </c>
      <c r="K552" s="10">
        <f>IF(H552="","",IFERROR(INDEX(lst_CCtoGL,MATCH(H552,lst_CCforGL,0)),""))</f>
        <v/>
      </c>
      <c r="L552" s="10">
        <f>IF($BI552="","",IF($B552="Onsite",INDEX(tbl_Onsite[PO / Reference],$BI552),IF($B552="Production",INDEX(tbl_Production[Current RMS No],$BI552),INDEX(tbl_Consulting[Qwilr Quote],$BI552)))&amp;"")</f>
        <v/>
      </c>
      <c r="M552" s="10">
        <f>IF($BI552="","",IF($B552="Onsite",INDEX(tbl_Onsite[Notes],$BI552),IF($B552="Production",INDEX(tbl_Production[Notes],$BI552),INDEX(tbl_Consulting[Notes],$BI552)))&amp;"")</f>
        <v/>
      </c>
      <c r="N552" s="11">
        <f>IF($BI552="","",IF(IF($B552="Onsite",INDEX(tbl_Onsite[Expected Revenue Ex GST],$BI552),IF($B552="Production",INDEX(tbl_Production[Expected Revenue Ex GST],$BI552),INDEX(tbl_Consulting[Expected Revenue Ex GST],$BI552)))="","",IF($B552="Onsite",INDEX(tbl_Onsite[Expected Revenue Ex GST],$BI552),IF($B552="Production",INDEX(tbl_Production[Expected Revenue Ex GST],$BI552),INDEX(tbl_Consulting[Expected Revenue Ex GST],$BI552)))))</f>
        <v/>
      </c>
      <c r="O552" s="11">
        <f>IF(AND($C552="",NOT(COUNTA($S552:$BB552)&gt;0)),"",SUM(U552,X552,AA552,AD552,AG552,AJ552,AM552,AP552,AS552,AV552,AY552,BB552))</f>
        <v/>
      </c>
      <c r="P552" s="11">
        <f>IF(O552="","",N(N552)-O552)</f>
        <v/>
      </c>
      <c r="Q552" s="10">
        <f>IF(O552="","",IF($C552="","Invoice on empty job row",IF(N552="",IF(ROUND(O552,2)=0,"No dept value","Invoiced - no dept value"),IF(ROUND(O552,2)=0,"Not invoiced - to invoice",IF(ROUND(P552,2)=0,"Agrees",IF(P552&gt;0,"Dept higher - to invoice","Xero higher - check dept"))))))</f>
        <v/>
      </c>
      <c r="R552" s="10">
        <f>IF(AND($C552="",NOT(COUNTA($S552:$BB552)&gt;0),$BI552&lt;&gt;""),"",MID(IF($BI552="","; Row ID not found on the department sheet - a row was deleted","")&amp;IF(AND($C552="",COUNTA($S552:$BB552)&gt;0),"; Invoice entered but the department row has no job number","")&amp;IF(E552="CHECK","; Job number not in the Xero job list","")&amp;IF(AND($C552&lt;&gt;"",COUNTIF($C$7:$C$1506,$C552)&gt;1),"; Job number on more than one row","")&amp;IF(AND($C552&lt;&gt;"",H552=""),"; Dept has not set a cost centre","")&amp;IF(AND($C552&lt;&gt;"",J552=""),"; Dept has not set a tax code","")&amp;IF(AND($C552&lt;&gt;"",N552=""),"; Dept has not entered an expected value","")&amp;IF((IF(OR(COUNTA(S552:U552)=0,AND(COUNTA(S552:U552)=3,ISNUMBER(U552))),0,1)+IF(OR(COUNTA(V552:X552)=0,AND(COUNTA(V552:X552)=3,ISNUMBER(X552))),0,1)+IF(OR(COUNTA(Y552:AA552)=0,AND(COUNTA(Y552:AA552)=3,ISNUMBER(AA552))),0,1)+IF(OR(COUNTA(AB552:AD552)=0,AND(COUNTA(AB552:AD552)=3,ISNUMBER(AD552))),0,1)+IF(OR(COUNTA(AE552:AG552)=0,AND(COUNTA(AE552:AG552)=3,ISNUMBER(AG552))),0,1)+IF(OR(COUNTA(AH552:AJ552)=0,AND(COUNTA(AH552:AJ552)=3,ISNUMBER(AJ552))),0,1)+IF(OR(COUNTA(AK552:AM552)=0,AND(COUNTA(AK552:AM552)=3,ISNUMBER(AM552))),0,1)+IF(OR(COUNTA(AN552:AP552)=0,AND(COUNTA(AN552:AP552)=3,ISNUMBER(AP552))),0,1)+IF(OR(COUNTA(AQ552:AS552)=0,AND(COUNTA(AQ552:AS552)=3,ISNUMBER(AS552))),0,1)+IF(OR(COUNTA(AT552:AV552)=0,AND(COUNTA(AT552:AV552)=3,ISNUMBER(AV552))),0,1)+IF(OR(COUNTA(AW552:AY552)=0,AND(COUNTA(AW552:AY552)=3,ISNUMBER(AY552))),0,1)+IF(OR(COUNTA(AZ552:BB552)=0,AND(COUNTA(AZ552:BB552)=3,ISNUMBER(BB552))),0,1))&gt;0,"; An invoice is incomplete (needs No, Date and a number in Ex GST)","")&amp;IF((IF(T552="",0,IFERROR(--(EOMONTH(T552,0)&lt;&gt;S$5),1))+IF(W552="",0,IFERROR(--(EOMONTH(W552,0)&lt;&gt;V$5),1))+IF(Z552="",0,IFERROR(--(EOMONTH(Z552,0)&lt;&gt;Y$5),1))+IF(AC552="",0,IFERROR(--(EOMONTH(AC552,0)&lt;&gt;AB$5),1))+IF(AF552="",0,IFERROR(--(EOMONTH(AF552,0)&lt;&gt;AE$5),1))+IF(AI552="",0,IFERROR(--(EOMONTH(AI552,0)&lt;&gt;AH$5),1))+IF(AL552="",0,IFERROR(--(EOMONTH(AL552,0)&lt;&gt;AK$5),1))+IF(AO552="",0,IFERROR(--(EOMONTH(AO552,0)&lt;&gt;AN$5),1))+IF(AR552="",0,IFERROR(--(EOMONTH(AR552,0)&lt;&gt;AQ$5),1))+IF(AU552="",0,IFERROR(--(EOMONTH(AU552,0)&lt;&gt;AT$5),1))+IF(AX552="",0,IFERROR(--(EOMONTH(AX552,0)&lt;&gt;AW$5),1))+IF(BA552="",0,IFERROR(--(EOMONTH(BA552,0)&lt;&gt;AZ$5),1)))&gt;0,"; An invoice date is not in the month it is typed under",""),3,500))</f>
        <v/>
      </c>
      <c r="S552" s="12" t="n"/>
      <c r="T552" s="13" t="n"/>
      <c r="U552" s="14" t="n"/>
      <c r="V552" s="12" t="n"/>
      <c r="W552" s="13" t="n"/>
      <c r="X552" s="14" t="n"/>
      <c r="Y552" s="12" t="n"/>
      <c r="Z552" s="13" t="n"/>
      <c r="AA552" s="14" t="n"/>
      <c r="AB552" s="12" t="n"/>
      <c r="AC552" s="13" t="n"/>
      <c r="AD552" s="14" t="n"/>
      <c r="AE552" s="12" t="n"/>
      <c r="AF552" s="13" t="n"/>
      <c r="AG552" s="14" t="n"/>
      <c r="AH552" s="12" t="n"/>
      <c r="AI552" s="13" t="n"/>
      <c r="AJ552" s="14" t="n"/>
      <c r="AK552" s="12" t="n"/>
      <c r="AL552" s="13" t="n"/>
      <c r="AM552" s="14" t="n"/>
      <c r="AN552" s="12" t="n"/>
      <c r="AO552" s="13" t="n"/>
      <c r="AP552" s="14" t="n"/>
      <c r="AQ552" s="12" t="n"/>
      <c r="AR552" s="13" t="n"/>
      <c r="AS552" s="14" t="n"/>
      <c r="AT552" s="12" t="n"/>
      <c r="AU552" s="13" t="n"/>
      <c r="AV552" s="14" t="n"/>
      <c r="AW552" s="12" t="n"/>
      <c r="AX552" s="13" t="n"/>
      <c r="AY552" s="14" t="n"/>
      <c r="AZ552" s="12" t="n"/>
      <c r="BA552" s="13" t="n"/>
      <c r="BB552" s="14" t="n"/>
      <c r="BC552" s="11">
        <f>IF(O552="","",IF(J552="GST 10%",ROUND(O552*set_GSTRate,2),0))</f>
        <v/>
      </c>
      <c r="BD552" s="11">
        <f>IF(O552="","",O552+BC552)</f>
        <v/>
      </c>
      <c r="BE552" s="15">
        <f>IF(O552="","",COUNTA(S552,V552,Y552,AB552,AE552,AH552,AK552,AN552,AQ552,AT552,AW552,AZ552))</f>
        <v/>
      </c>
      <c r="BF552" s="16">
        <f>IF(COUNT(T552,W552,Z552,AC552,AF552,AI552,AL552,AO552,AR552,AU552,AX552,BA552)=0,"",MAX(T552,W552,Z552,AC552,AF552,AI552,AL552,AO552,AR552,AU552,AX552,BA552))</f>
        <v/>
      </c>
      <c r="BG552" s="10">
        <f>MID(IF(S552="","",", "&amp;S552)&amp;IF(V552="","",", "&amp;V552)&amp;IF(Y552="","",", "&amp;Y552)&amp;IF(AB552="","",", "&amp;AB552)&amp;IF(AE552="","",", "&amp;AE552)&amp;IF(AH552="","",", "&amp;AH552)&amp;IF(AK552="","",", "&amp;AK552)&amp;IF(AN552="","",", "&amp;AN552)&amp;IF(AQ552="","",", "&amp;AQ552)&amp;IF(AT552="","",", "&amp;AT552)&amp;IF(AW552="","",", "&amp;AW552)&amp;IF(AZ552="","",", "&amp;AZ552),3,500)</f>
        <v/>
      </c>
      <c r="BH552" s="12" t="n"/>
      <c r="BI552" s="15">
        <f>IFERROR(MATCH($A552,IF($B552="Onsite",tbl_Onsite[Row ID],IF($B552="Production",tbl_Production[Row ID],tbl_Consulting[Row ID])),0),"")</f>
        <v/>
      </c>
    </row>
    <row r="553">
      <c r="A553" s="10" t="inlineStr">
        <is>
          <t>PRD-0047</t>
        </is>
      </c>
      <c r="B553" s="10" t="inlineStr">
        <is>
          <t>Production</t>
        </is>
      </c>
      <c r="C553" s="10">
        <f>IF($BI553="","",IF($B553="Onsite",INDEX(tbl_Onsite[Job Number],$BI553),IF($B553="Production",INDEX(tbl_Production[Job Number],$BI553),INDEX(tbl_Consulting[Job Number],$BI553)))&amp;"")</f>
        <v/>
      </c>
      <c r="D553" s="10">
        <f>IF($BI553="","",IF($B553="Onsite",INDEX(tbl_Onsite[Client],$BI553),IF($B553="Production",INDEX(tbl_Production[Client],$BI553),INDEX(tbl_Consulting[Client],$BI553)))&amp;"")</f>
        <v/>
      </c>
      <c r="E553" s="10">
        <f>IF($C553="","",IF(COUNTIF(lst_Jobs,$C553)&gt;0,"OK","CHECK"))</f>
        <v/>
      </c>
      <c r="F553" s="10">
        <f>IF($C553="","",IFERROR(INDEX(lst_JobName,MATCH($C553,lst_Jobs,0)),""))</f>
        <v/>
      </c>
      <c r="G553" s="10">
        <f>IF($BI553="","",IF($B553="Onsite",INDEX(tbl_Onsite[Job Description],$BI553),IF($B553="Production",INDEX(tbl_Production[Job Description],$BI553),INDEX(tbl_Consulting[Job Description],$BI553)))&amp;"")</f>
        <v/>
      </c>
      <c r="H553" s="10">
        <f>IF($BI553="","",IF($B553="Onsite",INDEX(tbl_Onsite[Cost Centre],$BI553),IF($B553="Production",INDEX(tbl_Production[Cost Centre],$BI553),INDEX(tbl_Consulting[Cost Centre],$BI553)))&amp;"")</f>
        <v/>
      </c>
      <c r="I553" s="10">
        <f>IF($BI553="","",IF($B553="Onsite",INDEX(tbl_Onsite[Invoice Type],$BI553),IF($B553="Production",INDEX(tbl_Production[Invoice Type],$BI553),INDEX(tbl_Consulting[Invoice Type],$BI553)))&amp;"")</f>
        <v/>
      </c>
      <c r="J553" s="10">
        <f>IF($BI553="","",IF($B553="Onsite",INDEX(tbl_Onsite[Tax Code],$BI553),IF($B553="Production",INDEX(tbl_Production[Tax Code],$BI553),INDEX(tbl_Consulting[Tax Code],$BI553)))&amp;"")</f>
        <v/>
      </c>
      <c r="K553" s="10">
        <f>IF(H553="","",IFERROR(INDEX(lst_CCtoGL,MATCH(H553,lst_CCforGL,0)),""))</f>
        <v/>
      </c>
      <c r="L553" s="10">
        <f>IF($BI553="","",IF($B553="Onsite",INDEX(tbl_Onsite[PO / Reference],$BI553),IF($B553="Production",INDEX(tbl_Production[Current RMS No],$BI553),INDEX(tbl_Consulting[Qwilr Quote],$BI553)))&amp;"")</f>
        <v/>
      </c>
      <c r="M553" s="10">
        <f>IF($BI553="","",IF($B553="Onsite",INDEX(tbl_Onsite[Notes],$BI553),IF($B553="Production",INDEX(tbl_Production[Notes],$BI553),INDEX(tbl_Consulting[Notes],$BI553)))&amp;"")</f>
        <v/>
      </c>
      <c r="N553" s="11">
        <f>IF($BI553="","",IF(IF($B553="Onsite",INDEX(tbl_Onsite[Expected Revenue Ex GST],$BI553),IF($B553="Production",INDEX(tbl_Production[Expected Revenue Ex GST],$BI553),INDEX(tbl_Consulting[Expected Revenue Ex GST],$BI553)))="","",IF($B553="Onsite",INDEX(tbl_Onsite[Expected Revenue Ex GST],$BI553),IF($B553="Production",INDEX(tbl_Production[Expected Revenue Ex GST],$BI553),INDEX(tbl_Consulting[Expected Revenue Ex GST],$BI553)))))</f>
        <v/>
      </c>
      <c r="O553" s="11">
        <f>IF(AND($C553="",NOT(COUNTA($S553:$BB553)&gt;0)),"",SUM(U553,X553,AA553,AD553,AG553,AJ553,AM553,AP553,AS553,AV553,AY553,BB553))</f>
        <v/>
      </c>
      <c r="P553" s="11">
        <f>IF(O553="","",N(N553)-O553)</f>
        <v/>
      </c>
      <c r="Q553" s="10">
        <f>IF(O553="","",IF($C553="","Invoice on empty job row",IF(N553="",IF(ROUND(O553,2)=0,"No dept value","Invoiced - no dept value"),IF(ROUND(O553,2)=0,"Not invoiced - to invoice",IF(ROUND(P553,2)=0,"Agrees",IF(P553&gt;0,"Dept higher - to invoice","Xero higher - check dept"))))))</f>
        <v/>
      </c>
      <c r="R553" s="10">
        <f>IF(AND($C553="",NOT(COUNTA($S553:$BB553)&gt;0),$BI553&lt;&gt;""),"",MID(IF($BI553="","; Row ID not found on the department sheet - a row was deleted","")&amp;IF(AND($C553="",COUNTA($S553:$BB553)&gt;0),"; Invoice entered but the department row has no job number","")&amp;IF(E553="CHECK","; Job number not in the Xero job list","")&amp;IF(AND($C553&lt;&gt;"",COUNTIF($C$7:$C$1506,$C553)&gt;1),"; Job number on more than one row","")&amp;IF(AND($C553&lt;&gt;"",H553=""),"; Dept has not set a cost centre","")&amp;IF(AND($C553&lt;&gt;"",J553=""),"; Dept has not set a tax code","")&amp;IF(AND($C553&lt;&gt;"",N553=""),"; Dept has not entered an expected value","")&amp;IF((IF(OR(COUNTA(S553:U553)=0,AND(COUNTA(S553:U553)=3,ISNUMBER(U553))),0,1)+IF(OR(COUNTA(V553:X553)=0,AND(COUNTA(V553:X553)=3,ISNUMBER(X553))),0,1)+IF(OR(COUNTA(Y553:AA553)=0,AND(COUNTA(Y553:AA553)=3,ISNUMBER(AA553))),0,1)+IF(OR(COUNTA(AB553:AD553)=0,AND(COUNTA(AB553:AD553)=3,ISNUMBER(AD553))),0,1)+IF(OR(COUNTA(AE553:AG553)=0,AND(COUNTA(AE553:AG553)=3,ISNUMBER(AG553))),0,1)+IF(OR(COUNTA(AH553:AJ553)=0,AND(COUNTA(AH553:AJ553)=3,ISNUMBER(AJ553))),0,1)+IF(OR(COUNTA(AK553:AM553)=0,AND(COUNTA(AK553:AM553)=3,ISNUMBER(AM553))),0,1)+IF(OR(COUNTA(AN553:AP553)=0,AND(COUNTA(AN553:AP553)=3,ISNUMBER(AP553))),0,1)+IF(OR(COUNTA(AQ553:AS553)=0,AND(COUNTA(AQ553:AS553)=3,ISNUMBER(AS553))),0,1)+IF(OR(COUNTA(AT553:AV553)=0,AND(COUNTA(AT553:AV553)=3,ISNUMBER(AV553))),0,1)+IF(OR(COUNTA(AW553:AY553)=0,AND(COUNTA(AW553:AY553)=3,ISNUMBER(AY553))),0,1)+IF(OR(COUNTA(AZ553:BB553)=0,AND(COUNTA(AZ553:BB553)=3,ISNUMBER(BB553))),0,1))&gt;0,"; An invoice is incomplete (needs No, Date and a number in Ex GST)","")&amp;IF((IF(T553="",0,IFERROR(--(EOMONTH(T553,0)&lt;&gt;S$5),1))+IF(W553="",0,IFERROR(--(EOMONTH(W553,0)&lt;&gt;V$5),1))+IF(Z553="",0,IFERROR(--(EOMONTH(Z553,0)&lt;&gt;Y$5),1))+IF(AC553="",0,IFERROR(--(EOMONTH(AC553,0)&lt;&gt;AB$5),1))+IF(AF553="",0,IFERROR(--(EOMONTH(AF553,0)&lt;&gt;AE$5),1))+IF(AI553="",0,IFERROR(--(EOMONTH(AI553,0)&lt;&gt;AH$5),1))+IF(AL553="",0,IFERROR(--(EOMONTH(AL553,0)&lt;&gt;AK$5),1))+IF(AO553="",0,IFERROR(--(EOMONTH(AO553,0)&lt;&gt;AN$5),1))+IF(AR553="",0,IFERROR(--(EOMONTH(AR553,0)&lt;&gt;AQ$5),1))+IF(AU553="",0,IFERROR(--(EOMONTH(AU553,0)&lt;&gt;AT$5),1))+IF(AX553="",0,IFERROR(--(EOMONTH(AX553,0)&lt;&gt;AW$5),1))+IF(BA553="",0,IFERROR(--(EOMONTH(BA553,0)&lt;&gt;AZ$5),1)))&gt;0,"; An invoice date is not in the month it is typed under",""),3,500))</f>
        <v/>
      </c>
      <c r="S553" s="12" t="n"/>
      <c r="T553" s="13" t="n"/>
      <c r="U553" s="14" t="n"/>
      <c r="V553" s="12" t="n"/>
      <c r="W553" s="13" t="n"/>
      <c r="X553" s="14" t="n"/>
      <c r="Y553" s="12" t="n"/>
      <c r="Z553" s="13" t="n"/>
      <c r="AA553" s="14" t="n"/>
      <c r="AB553" s="12" t="n"/>
      <c r="AC553" s="13" t="n"/>
      <c r="AD553" s="14" t="n"/>
      <c r="AE553" s="12" t="n"/>
      <c r="AF553" s="13" t="n"/>
      <c r="AG553" s="14" t="n"/>
      <c r="AH553" s="12" t="n"/>
      <c r="AI553" s="13" t="n"/>
      <c r="AJ553" s="14" t="n"/>
      <c r="AK553" s="12" t="n"/>
      <c r="AL553" s="13" t="n"/>
      <c r="AM553" s="14" t="n"/>
      <c r="AN553" s="12" t="n"/>
      <c r="AO553" s="13" t="n"/>
      <c r="AP553" s="14" t="n"/>
      <c r="AQ553" s="12" t="n"/>
      <c r="AR553" s="13" t="n"/>
      <c r="AS553" s="14" t="n"/>
      <c r="AT553" s="12" t="n"/>
      <c r="AU553" s="13" t="n"/>
      <c r="AV553" s="14" t="n"/>
      <c r="AW553" s="12" t="n"/>
      <c r="AX553" s="13" t="n"/>
      <c r="AY553" s="14" t="n"/>
      <c r="AZ553" s="12" t="n"/>
      <c r="BA553" s="13" t="n"/>
      <c r="BB553" s="14" t="n"/>
      <c r="BC553" s="11">
        <f>IF(O553="","",IF(J553="GST 10%",ROUND(O553*set_GSTRate,2),0))</f>
        <v/>
      </c>
      <c r="BD553" s="11">
        <f>IF(O553="","",O553+BC553)</f>
        <v/>
      </c>
      <c r="BE553" s="15">
        <f>IF(O553="","",COUNTA(S553,V553,Y553,AB553,AE553,AH553,AK553,AN553,AQ553,AT553,AW553,AZ553))</f>
        <v/>
      </c>
      <c r="BF553" s="16">
        <f>IF(COUNT(T553,W553,Z553,AC553,AF553,AI553,AL553,AO553,AR553,AU553,AX553,BA553)=0,"",MAX(T553,W553,Z553,AC553,AF553,AI553,AL553,AO553,AR553,AU553,AX553,BA553))</f>
        <v/>
      </c>
      <c r="BG553" s="10">
        <f>MID(IF(S553="","",", "&amp;S553)&amp;IF(V553="","",", "&amp;V553)&amp;IF(Y553="","",", "&amp;Y553)&amp;IF(AB553="","",", "&amp;AB553)&amp;IF(AE553="","",", "&amp;AE553)&amp;IF(AH553="","",", "&amp;AH553)&amp;IF(AK553="","",", "&amp;AK553)&amp;IF(AN553="","",", "&amp;AN553)&amp;IF(AQ553="","",", "&amp;AQ553)&amp;IF(AT553="","",", "&amp;AT553)&amp;IF(AW553="","",", "&amp;AW553)&amp;IF(AZ553="","",", "&amp;AZ553),3,500)</f>
        <v/>
      </c>
      <c r="BH553" s="12" t="n"/>
      <c r="BI553" s="15">
        <f>IFERROR(MATCH($A553,IF($B553="Onsite",tbl_Onsite[Row ID],IF($B553="Production",tbl_Production[Row ID],tbl_Consulting[Row ID])),0),"")</f>
        <v/>
      </c>
    </row>
    <row r="554">
      <c r="A554" s="10" t="inlineStr">
        <is>
          <t>PRD-0048</t>
        </is>
      </c>
      <c r="B554" s="10" t="inlineStr">
        <is>
          <t>Production</t>
        </is>
      </c>
      <c r="C554" s="10">
        <f>IF($BI554="","",IF($B554="Onsite",INDEX(tbl_Onsite[Job Number],$BI554),IF($B554="Production",INDEX(tbl_Production[Job Number],$BI554),INDEX(tbl_Consulting[Job Number],$BI554)))&amp;"")</f>
        <v/>
      </c>
      <c r="D554" s="10">
        <f>IF($BI554="","",IF($B554="Onsite",INDEX(tbl_Onsite[Client],$BI554),IF($B554="Production",INDEX(tbl_Production[Client],$BI554),INDEX(tbl_Consulting[Client],$BI554)))&amp;"")</f>
        <v/>
      </c>
      <c r="E554" s="10">
        <f>IF($C554="","",IF(COUNTIF(lst_Jobs,$C554)&gt;0,"OK","CHECK"))</f>
        <v/>
      </c>
      <c r="F554" s="10">
        <f>IF($C554="","",IFERROR(INDEX(lst_JobName,MATCH($C554,lst_Jobs,0)),""))</f>
        <v/>
      </c>
      <c r="G554" s="10">
        <f>IF($BI554="","",IF($B554="Onsite",INDEX(tbl_Onsite[Job Description],$BI554),IF($B554="Production",INDEX(tbl_Production[Job Description],$BI554),INDEX(tbl_Consulting[Job Description],$BI554)))&amp;"")</f>
        <v/>
      </c>
      <c r="H554" s="10">
        <f>IF($BI554="","",IF($B554="Onsite",INDEX(tbl_Onsite[Cost Centre],$BI554),IF($B554="Production",INDEX(tbl_Production[Cost Centre],$BI554),INDEX(tbl_Consulting[Cost Centre],$BI554)))&amp;"")</f>
        <v/>
      </c>
      <c r="I554" s="10">
        <f>IF($BI554="","",IF($B554="Onsite",INDEX(tbl_Onsite[Invoice Type],$BI554),IF($B554="Production",INDEX(tbl_Production[Invoice Type],$BI554),INDEX(tbl_Consulting[Invoice Type],$BI554)))&amp;"")</f>
        <v/>
      </c>
      <c r="J554" s="10">
        <f>IF($BI554="","",IF($B554="Onsite",INDEX(tbl_Onsite[Tax Code],$BI554),IF($B554="Production",INDEX(tbl_Production[Tax Code],$BI554),INDEX(tbl_Consulting[Tax Code],$BI554)))&amp;"")</f>
        <v/>
      </c>
      <c r="K554" s="10">
        <f>IF(H554="","",IFERROR(INDEX(lst_CCtoGL,MATCH(H554,lst_CCforGL,0)),""))</f>
        <v/>
      </c>
      <c r="L554" s="10">
        <f>IF($BI554="","",IF($B554="Onsite",INDEX(tbl_Onsite[PO / Reference],$BI554),IF($B554="Production",INDEX(tbl_Production[Current RMS No],$BI554),INDEX(tbl_Consulting[Qwilr Quote],$BI554)))&amp;"")</f>
        <v/>
      </c>
      <c r="M554" s="10">
        <f>IF($BI554="","",IF($B554="Onsite",INDEX(tbl_Onsite[Notes],$BI554),IF($B554="Production",INDEX(tbl_Production[Notes],$BI554),INDEX(tbl_Consulting[Notes],$BI554)))&amp;"")</f>
        <v/>
      </c>
      <c r="N554" s="11">
        <f>IF($BI554="","",IF(IF($B554="Onsite",INDEX(tbl_Onsite[Expected Revenue Ex GST],$BI554),IF($B554="Production",INDEX(tbl_Production[Expected Revenue Ex GST],$BI554),INDEX(tbl_Consulting[Expected Revenue Ex GST],$BI554)))="","",IF($B554="Onsite",INDEX(tbl_Onsite[Expected Revenue Ex GST],$BI554),IF($B554="Production",INDEX(tbl_Production[Expected Revenue Ex GST],$BI554),INDEX(tbl_Consulting[Expected Revenue Ex GST],$BI554)))))</f>
        <v/>
      </c>
      <c r="O554" s="11">
        <f>IF(AND($C554="",NOT(COUNTA($S554:$BB554)&gt;0)),"",SUM(U554,X554,AA554,AD554,AG554,AJ554,AM554,AP554,AS554,AV554,AY554,BB554))</f>
        <v/>
      </c>
      <c r="P554" s="11">
        <f>IF(O554="","",N(N554)-O554)</f>
        <v/>
      </c>
      <c r="Q554" s="10">
        <f>IF(O554="","",IF($C554="","Invoice on empty job row",IF(N554="",IF(ROUND(O554,2)=0,"No dept value","Invoiced - no dept value"),IF(ROUND(O554,2)=0,"Not invoiced - to invoice",IF(ROUND(P554,2)=0,"Agrees",IF(P554&gt;0,"Dept higher - to invoice","Xero higher - check dept"))))))</f>
        <v/>
      </c>
      <c r="R554" s="10">
        <f>IF(AND($C554="",NOT(COUNTA($S554:$BB554)&gt;0),$BI554&lt;&gt;""),"",MID(IF($BI554="","; Row ID not found on the department sheet - a row was deleted","")&amp;IF(AND($C554="",COUNTA($S554:$BB554)&gt;0),"; Invoice entered but the department row has no job number","")&amp;IF(E554="CHECK","; Job number not in the Xero job list","")&amp;IF(AND($C554&lt;&gt;"",COUNTIF($C$7:$C$1506,$C554)&gt;1),"; Job number on more than one row","")&amp;IF(AND($C554&lt;&gt;"",H554=""),"; Dept has not set a cost centre","")&amp;IF(AND($C554&lt;&gt;"",J554=""),"; Dept has not set a tax code","")&amp;IF(AND($C554&lt;&gt;"",N554=""),"; Dept has not entered an expected value","")&amp;IF((IF(OR(COUNTA(S554:U554)=0,AND(COUNTA(S554:U554)=3,ISNUMBER(U554))),0,1)+IF(OR(COUNTA(V554:X554)=0,AND(COUNTA(V554:X554)=3,ISNUMBER(X554))),0,1)+IF(OR(COUNTA(Y554:AA554)=0,AND(COUNTA(Y554:AA554)=3,ISNUMBER(AA554))),0,1)+IF(OR(COUNTA(AB554:AD554)=0,AND(COUNTA(AB554:AD554)=3,ISNUMBER(AD554))),0,1)+IF(OR(COUNTA(AE554:AG554)=0,AND(COUNTA(AE554:AG554)=3,ISNUMBER(AG554))),0,1)+IF(OR(COUNTA(AH554:AJ554)=0,AND(COUNTA(AH554:AJ554)=3,ISNUMBER(AJ554))),0,1)+IF(OR(COUNTA(AK554:AM554)=0,AND(COUNTA(AK554:AM554)=3,ISNUMBER(AM554))),0,1)+IF(OR(COUNTA(AN554:AP554)=0,AND(COUNTA(AN554:AP554)=3,ISNUMBER(AP554))),0,1)+IF(OR(COUNTA(AQ554:AS554)=0,AND(COUNTA(AQ554:AS554)=3,ISNUMBER(AS554))),0,1)+IF(OR(COUNTA(AT554:AV554)=0,AND(COUNTA(AT554:AV554)=3,ISNUMBER(AV554))),0,1)+IF(OR(COUNTA(AW554:AY554)=0,AND(COUNTA(AW554:AY554)=3,ISNUMBER(AY554))),0,1)+IF(OR(COUNTA(AZ554:BB554)=0,AND(COUNTA(AZ554:BB554)=3,ISNUMBER(BB554))),0,1))&gt;0,"; An invoice is incomplete (needs No, Date and a number in Ex GST)","")&amp;IF((IF(T554="",0,IFERROR(--(EOMONTH(T554,0)&lt;&gt;S$5),1))+IF(W554="",0,IFERROR(--(EOMONTH(W554,0)&lt;&gt;V$5),1))+IF(Z554="",0,IFERROR(--(EOMONTH(Z554,0)&lt;&gt;Y$5),1))+IF(AC554="",0,IFERROR(--(EOMONTH(AC554,0)&lt;&gt;AB$5),1))+IF(AF554="",0,IFERROR(--(EOMONTH(AF554,0)&lt;&gt;AE$5),1))+IF(AI554="",0,IFERROR(--(EOMONTH(AI554,0)&lt;&gt;AH$5),1))+IF(AL554="",0,IFERROR(--(EOMONTH(AL554,0)&lt;&gt;AK$5),1))+IF(AO554="",0,IFERROR(--(EOMONTH(AO554,0)&lt;&gt;AN$5),1))+IF(AR554="",0,IFERROR(--(EOMONTH(AR554,0)&lt;&gt;AQ$5),1))+IF(AU554="",0,IFERROR(--(EOMONTH(AU554,0)&lt;&gt;AT$5),1))+IF(AX554="",0,IFERROR(--(EOMONTH(AX554,0)&lt;&gt;AW$5),1))+IF(BA554="",0,IFERROR(--(EOMONTH(BA554,0)&lt;&gt;AZ$5),1)))&gt;0,"; An invoice date is not in the month it is typed under",""),3,500))</f>
        <v/>
      </c>
      <c r="S554" s="12" t="n"/>
      <c r="T554" s="13" t="n"/>
      <c r="U554" s="14" t="n"/>
      <c r="V554" s="12" t="n"/>
      <c r="W554" s="13" t="n"/>
      <c r="X554" s="14" t="n"/>
      <c r="Y554" s="12" t="n"/>
      <c r="Z554" s="13" t="n"/>
      <c r="AA554" s="14" t="n"/>
      <c r="AB554" s="12" t="n"/>
      <c r="AC554" s="13" t="n"/>
      <c r="AD554" s="14" t="n"/>
      <c r="AE554" s="12" t="n"/>
      <c r="AF554" s="13" t="n"/>
      <c r="AG554" s="14" t="n"/>
      <c r="AH554" s="12" t="n"/>
      <c r="AI554" s="13" t="n"/>
      <c r="AJ554" s="14" t="n"/>
      <c r="AK554" s="12" t="n"/>
      <c r="AL554" s="13" t="n"/>
      <c r="AM554" s="14" t="n"/>
      <c r="AN554" s="12" t="n"/>
      <c r="AO554" s="13" t="n"/>
      <c r="AP554" s="14" t="n"/>
      <c r="AQ554" s="12" t="n"/>
      <c r="AR554" s="13" t="n"/>
      <c r="AS554" s="14" t="n"/>
      <c r="AT554" s="12" t="n"/>
      <c r="AU554" s="13" t="n"/>
      <c r="AV554" s="14" t="n"/>
      <c r="AW554" s="12" t="n"/>
      <c r="AX554" s="13" t="n"/>
      <c r="AY554" s="14" t="n"/>
      <c r="AZ554" s="12" t="n"/>
      <c r="BA554" s="13" t="n"/>
      <c r="BB554" s="14" t="n"/>
      <c r="BC554" s="11">
        <f>IF(O554="","",IF(J554="GST 10%",ROUND(O554*set_GSTRate,2),0))</f>
        <v/>
      </c>
      <c r="BD554" s="11">
        <f>IF(O554="","",O554+BC554)</f>
        <v/>
      </c>
      <c r="BE554" s="15">
        <f>IF(O554="","",COUNTA(S554,V554,Y554,AB554,AE554,AH554,AK554,AN554,AQ554,AT554,AW554,AZ554))</f>
        <v/>
      </c>
      <c r="BF554" s="16">
        <f>IF(COUNT(T554,W554,Z554,AC554,AF554,AI554,AL554,AO554,AR554,AU554,AX554,BA554)=0,"",MAX(T554,W554,Z554,AC554,AF554,AI554,AL554,AO554,AR554,AU554,AX554,BA554))</f>
        <v/>
      </c>
      <c r="BG554" s="10">
        <f>MID(IF(S554="","",", "&amp;S554)&amp;IF(V554="","",", "&amp;V554)&amp;IF(Y554="","",", "&amp;Y554)&amp;IF(AB554="","",", "&amp;AB554)&amp;IF(AE554="","",", "&amp;AE554)&amp;IF(AH554="","",", "&amp;AH554)&amp;IF(AK554="","",", "&amp;AK554)&amp;IF(AN554="","",", "&amp;AN554)&amp;IF(AQ554="","",", "&amp;AQ554)&amp;IF(AT554="","",", "&amp;AT554)&amp;IF(AW554="","",", "&amp;AW554)&amp;IF(AZ554="","",", "&amp;AZ554),3,500)</f>
        <v/>
      </c>
      <c r="BH554" s="12" t="n"/>
      <c r="BI554" s="15">
        <f>IFERROR(MATCH($A554,IF($B554="Onsite",tbl_Onsite[Row ID],IF($B554="Production",tbl_Production[Row ID],tbl_Consulting[Row ID])),0),"")</f>
        <v/>
      </c>
    </row>
    <row r="555">
      <c r="A555" s="10" t="inlineStr">
        <is>
          <t>PRD-0049</t>
        </is>
      </c>
      <c r="B555" s="10" t="inlineStr">
        <is>
          <t>Production</t>
        </is>
      </c>
      <c r="C555" s="10">
        <f>IF($BI555="","",IF($B555="Onsite",INDEX(tbl_Onsite[Job Number],$BI555),IF($B555="Production",INDEX(tbl_Production[Job Number],$BI555),INDEX(tbl_Consulting[Job Number],$BI555)))&amp;"")</f>
        <v/>
      </c>
      <c r="D555" s="10">
        <f>IF($BI555="","",IF($B555="Onsite",INDEX(tbl_Onsite[Client],$BI555),IF($B555="Production",INDEX(tbl_Production[Client],$BI555),INDEX(tbl_Consulting[Client],$BI555)))&amp;"")</f>
        <v/>
      </c>
      <c r="E555" s="10">
        <f>IF($C555="","",IF(COUNTIF(lst_Jobs,$C555)&gt;0,"OK","CHECK"))</f>
        <v/>
      </c>
      <c r="F555" s="10">
        <f>IF($C555="","",IFERROR(INDEX(lst_JobName,MATCH($C555,lst_Jobs,0)),""))</f>
        <v/>
      </c>
      <c r="G555" s="10">
        <f>IF($BI555="","",IF($B555="Onsite",INDEX(tbl_Onsite[Job Description],$BI555),IF($B555="Production",INDEX(tbl_Production[Job Description],$BI555),INDEX(tbl_Consulting[Job Description],$BI555)))&amp;"")</f>
        <v/>
      </c>
      <c r="H555" s="10">
        <f>IF($BI555="","",IF($B555="Onsite",INDEX(tbl_Onsite[Cost Centre],$BI555),IF($B555="Production",INDEX(tbl_Production[Cost Centre],$BI555),INDEX(tbl_Consulting[Cost Centre],$BI555)))&amp;"")</f>
        <v/>
      </c>
      <c r="I555" s="10">
        <f>IF($BI555="","",IF($B555="Onsite",INDEX(tbl_Onsite[Invoice Type],$BI555),IF($B555="Production",INDEX(tbl_Production[Invoice Type],$BI555),INDEX(tbl_Consulting[Invoice Type],$BI555)))&amp;"")</f>
        <v/>
      </c>
      <c r="J555" s="10">
        <f>IF($BI555="","",IF($B555="Onsite",INDEX(tbl_Onsite[Tax Code],$BI555),IF($B555="Production",INDEX(tbl_Production[Tax Code],$BI555),INDEX(tbl_Consulting[Tax Code],$BI555)))&amp;"")</f>
        <v/>
      </c>
      <c r="K555" s="10">
        <f>IF(H555="","",IFERROR(INDEX(lst_CCtoGL,MATCH(H555,lst_CCforGL,0)),""))</f>
        <v/>
      </c>
      <c r="L555" s="10">
        <f>IF($BI555="","",IF($B555="Onsite",INDEX(tbl_Onsite[PO / Reference],$BI555),IF($B555="Production",INDEX(tbl_Production[Current RMS No],$BI555),INDEX(tbl_Consulting[Qwilr Quote],$BI555)))&amp;"")</f>
        <v/>
      </c>
      <c r="M555" s="10">
        <f>IF($BI555="","",IF($B555="Onsite",INDEX(tbl_Onsite[Notes],$BI555),IF($B555="Production",INDEX(tbl_Production[Notes],$BI555),INDEX(tbl_Consulting[Notes],$BI555)))&amp;"")</f>
        <v/>
      </c>
      <c r="N555" s="11">
        <f>IF($BI555="","",IF(IF($B555="Onsite",INDEX(tbl_Onsite[Expected Revenue Ex GST],$BI555),IF($B555="Production",INDEX(tbl_Production[Expected Revenue Ex GST],$BI555),INDEX(tbl_Consulting[Expected Revenue Ex GST],$BI555)))="","",IF($B555="Onsite",INDEX(tbl_Onsite[Expected Revenue Ex GST],$BI555),IF($B555="Production",INDEX(tbl_Production[Expected Revenue Ex GST],$BI555),INDEX(tbl_Consulting[Expected Revenue Ex GST],$BI555)))))</f>
        <v/>
      </c>
      <c r="O555" s="11">
        <f>IF(AND($C555="",NOT(COUNTA($S555:$BB555)&gt;0)),"",SUM(U555,X555,AA555,AD555,AG555,AJ555,AM555,AP555,AS555,AV555,AY555,BB555))</f>
        <v/>
      </c>
      <c r="P555" s="11">
        <f>IF(O555="","",N(N555)-O555)</f>
        <v/>
      </c>
      <c r="Q555" s="10">
        <f>IF(O555="","",IF($C555="","Invoice on empty job row",IF(N555="",IF(ROUND(O555,2)=0,"No dept value","Invoiced - no dept value"),IF(ROUND(O555,2)=0,"Not invoiced - to invoice",IF(ROUND(P555,2)=0,"Agrees",IF(P555&gt;0,"Dept higher - to invoice","Xero higher - check dept"))))))</f>
        <v/>
      </c>
      <c r="R555" s="10">
        <f>IF(AND($C555="",NOT(COUNTA($S555:$BB555)&gt;0),$BI555&lt;&gt;""),"",MID(IF($BI555="","; Row ID not found on the department sheet - a row was deleted","")&amp;IF(AND($C555="",COUNTA($S555:$BB555)&gt;0),"; Invoice entered but the department row has no job number","")&amp;IF(E555="CHECK","; Job number not in the Xero job list","")&amp;IF(AND($C555&lt;&gt;"",COUNTIF($C$7:$C$1506,$C555)&gt;1),"; Job number on more than one row","")&amp;IF(AND($C555&lt;&gt;"",H555=""),"; Dept has not set a cost centre","")&amp;IF(AND($C555&lt;&gt;"",J555=""),"; Dept has not set a tax code","")&amp;IF(AND($C555&lt;&gt;"",N555=""),"; Dept has not entered an expected value","")&amp;IF((IF(OR(COUNTA(S555:U555)=0,AND(COUNTA(S555:U555)=3,ISNUMBER(U555))),0,1)+IF(OR(COUNTA(V555:X555)=0,AND(COUNTA(V555:X555)=3,ISNUMBER(X555))),0,1)+IF(OR(COUNTA(Y555:AA555)=0,AND(COUNTA(Y555:AA555)=3,ISNUMBER(AA555))),0,1)+IF(OR(COUNTA(AB555:AD555)=0,AND(COUNTA(AB555:AD555)=3,ISNUMBER(AD555))),0,1)+IF(OR(COUNTA(AE555:AG555)=0,AND(COUNTA(AE555:AG555)=3,ISNUMBER(AG555))),0,1)+IF(OR(COUNTA(AH555:AJ555)=0,AND(COUNTA(AH555:AJ555)=3,ISNUMBER(AJ555))),0,1)+IF(OR(COUNTA(AK555:AM555)=0,AND(COUNTA(AK555:AM555)=3,ISNUMBER(AM555))),0,1)+IF(OR(COUNTA(AN555:AP555)=0,AND(COUNTA(AN555:AP555)=3,ISNUMBER(AP555))),0,1)+IF(OR(COUNTA(AQ555:AS555)=0,AND(COUNTA(AQ555:AS555)=3,ISNUMBER(AS555))),0,1)+IF(OR(COUNTA(AT555:AV555)=0,AND(COUNTA(AT555:AV555)=3,ISNUMBER(AV555))),0,1)+IF(OR(COUNTA(AW555:AY555)=0,AND(COUNTA(AW555:AY555)=3,ISNUMBER(AY555))),0,1)+IF(OR(COUNTA(AZ555:BB555)=0,AND(COUNTA(AZ555:BB555)=3,ISNUMBER(BB555))),0,1))&gt;0,"; An invoice is incomplete (needs No, Date and a number in Ex GST)","")&amp;IF((IF(T555="",0,IFERROR(--(EOMONTH(T555,0)&lt;&gt;S$5),1))+IF(W555="",0,IFERROR(--(EOMONTH(W555,0)&lt;&gt;V$5),1))+IF(Z555="",0,IFERROR(--(EOMONTH(Z555,0)&lt;&gt;Y$5),1))+IF(AC555="",0,IFERROR(--(EOMONTH(AC555,0)&lt;&gt;AB$5),1))+IF(AF555="",0,IFERROR(--(EOMONTH(AF555,0)&lt;&gt;AE$5),1))+IF(AI555="",0,IFERROR(--(EOMONTH(AI555,0)&lt;&gt;AH$5),1))+IF(AL555="",0,IFERROR(--(EOMONTH(AL555,0)&lt;&gt;AK$5),1))+IF(AO555="",0,IFERROR(--(EOMONTH(AO555,0)&lt;&gt;AN$5),1))+IF(AR555="",0,IFERROR(--(EOMONTH(AR555,0)&lt;&gt;AQ$5),1))+IF(AU555="",0,IFERROR(--(EOMONTH(AU555,0)&lt;&gt;AT$5),1))+IF(AX555="",0,IFERROR(--(EOMONTH(AX555,0)&lt;&gt;AW$5),1))+IF(BA555="",0,IFERROR(--(EOMONTH(BA555,0)&lt;&gt;AZ$5),1)))&gt;0,"; An invoice date is not in the month it is typed under",""),3,500))</f>
        <v/>
      </c>
      <c r="S555" s="12" t="n"/>
      <c r="T555" s="13" t="n"/>
      <c r="U555" s="14" t="n"/>
      <c r="V555" s="12" t="n"/>
      <c r="W555" s="13" t="n"/>
      <c r="X555" s="14" t="n"/>
      <c r="Y555" s="12" t="n"/>
      <c r="Z555" s="13" t="n"/>
      <c r="AA555" s="14" t="n"/>
      <c r="AB555" s="12" t="n"/>
      <c r="AC555" s="13" t="n"/>
      <c r="AD555" s="14" t="n"/>
      <c r="AE555" s="12" t="n"/>
      <c r="AF555" s="13" t="n"/>
      <c r="AG555" s="14" t="n"/>
      <c r="AH555" s="12" t="n"/>
      <c r="AI555" s="13" t="n"/>
      <c r="AJ555" s="14" t="n"/>
      <c r="AK555" s="12" t="n"/>
      <c r="AL555" s="13" t="n"/>
      <c r="AM555" s="14" t="n"/>
      <c r="AN555" s="12" t="n"/>
      <c r="AO555" s="13" t="n"/>
      <c r="AP555" s="14" t="n"/>
      <c r="AQ555" s="12" t="n"/>
      <c r="AR555" s="13" t="n"/>
      <c r="AS555" s="14" t="n"/>
      <c r="AT555" s="12" t="n"/>
      <c r="AU555" s="13" t="n"/>
      <c r="AV555" s="14" t="n"/>
      <c r="AW555" s="12" t="n"/>
      <c r="AX555" s="13" t="n"/>
      <c r="AY555" s="14" t="n"/>
      <c r="AZ555" s="12" t="n"/>
      <c r="BA555" s="13" t="n"/>
      <c r="BB555" s="14" t="n"/>
      <c r="BC555" s="11">
        <f>IF(O555="","",IF(J555="GST 10%",ROUND(O555*set_GSTRate,2),0))</f>
        <v/>
      </c>
      <c r="BD555" s="11">
        <f>IF(O555="","",O555+BC555)</f>
        <v/>
      </c>
      <c r="BE555" s="15">
        <f>IF(O555="","",COUNTA(S555,V555,Y555,AB555,AE555,AH555,AK555,AN555,AQ555,AT555,AW555,AZ555))</f>
        <v/>
      </c>
      <c r="BF555" s="16">
        <f>IF(COUNT(T555,W555,Z555,AC555,AF555,AI555,AL555,AO555,AR555,AU555,AX555,BA555)=0,"",MAX(T555,W555,Z555,AC555,AF555,AI555,AL555,AO555,AR555,AU555,AX555,BA555))</f>
        <v/>
      </c>
      <c r="BG555" s="10">
        <f>MID(IF(S555="","",", "&amp;S555)&amp;IF(V555="","",", "&amp;V555)&amp;IF(Y555="","",", "&amp;Y555)&amp;IF(AB555="","",", "&amp;AB555)&amp;IF(AE555="","",", "&amp;AE555)&amp;IF(AH555="","",", "&amp;AH555)&amp;IF(AK555="","",", "&amp;AK555)&amp;IF(AN555="","",", "&amp;AN555)&amp;IF(AQ555="","",", "&amp;AQ555)&amp;IF(AT555="","",", "&amp;AT555)&amp;IF(AW555="","",", "&amp;AW555)&amp;IF(AZ555="","",", "&amp;AZ555),3,500)</f>
        <v/>
      </c>
      <c r="BH555" s="12" t="n"/>
      <c r="BI555" s="15">
        <f>IFERROR(MATCH($A555,IF($B555="Onsite",tbl_Onsite[Row ID],IF($B555="Production",tbl_Production[Row ID],tbl_Consulting[Row ID])),0),"")</f>
        <v/>
      </c>
    </row>
    <row r="556">
      <c r="A556" s="10" t="inlineStr">
        <is>
          <t>PRD-0050</t>
        </is>
      </c>
      <c r="B556" s="10" t="inlineStr">
        <is>
          <t>Production</t>
        </is>
      </c>
      <c r="C556" s="10">
        <f>IF($BI556="","",IF($B556="Onsite",INDEX(tbl_Onsite[Job Number],$BI556),IF($B556="Production",INDEX(tbl_Production[Job Number],$BI556),INDEX(tbl_Consulting[Job Number],$BI556)))&amp;"")</f>
        <v/>
      </c>
      <c r="D556" s="10">
        <f>IF($BI556="","",IF($B556="Onsite",INDEX(tbl_Onsite[Client],$BI556),IF($B556="Production",INDEX(tbl_Production[Client],$BI556),INDEX(tbl_Consulting[Client],$BI556)))&amp;"")</f>
        <v/>
      </c>
      <c r="E556" s="10">
        <f>IF($C556="","",IF(COUNTIF(lst_Jobs,$C556)&gt;0,"OK","CHECK"))</f>
        <v/>
      </c>
      <c r="F556" s="10">
        <f>IF($C556="","",IFERROR(INDEX(lst_JobName,MATCH($C556,lst_Jobs,0)),""))</f>
        <v/>
      </c>
      <c r="G556" s="10">
        <f>IF($BI556="","",IF($B556="Onsite",INDEX(tbl_Onsite[Job Description],$BI556),IF($B556="Production",INDEX(tbl_Production[Job Description],$BI556),INDEX(tbl_Consulting[Job Description],$BI556)))&amp;"")</f>
        <v/>
      </c>
      <c r="H556" s="10">
        <f>IF($BI556="","",IF($B556="Onsite",INDEX(tbl_Onsite[Cost Centre],$BI556),IF($B556="Production",INDEX(tbl_Production[Cost Centre],$BI556),INDEX(tbl_Consulting[Cost Centre],$BI556)))&amp;"")</f>
        <v/>
      </c>
      <c r="I556" s="10">
        <f>IF($BI556="","",IF($B556="Onsite",INDEX(tbl_Onsite[Invoice Type],$BI556),IF($B556="Production",INDEX(tbl_Production[Invoice Type],$BI556),INDEX(tbl_Consulting[Invoice Type],$BI556)))&amp;"")</f>
        <v/>
      </c>
      <c r="J556" s="10">
        <f>IF($BI556="","",IF($B556="Onsite",INDEX(tbl_Onsite[Tax Code],$BI556),IF($B556="Production",INDEX(tbl_Production[Tax Code],$BI556),INDEX(tbl_Consulting[Tax Code],$BI556)))&amp;"")</f>
        <v/>
      </c>
      <c r="K556" s="10">
        <f>IF(H556="","",IFERROR(INDEX(lst_CCtoGL,MATCH(H556,lst_CCforGL,0)),""))</f>
        <v/>
      </c>
      <c r="L556" s="10">
        <f>IF($BI556="","",IF($B556="Onsite",INDEX(tbl_Onsite[PO / Reference],$BI556),IF($B556="Production",INDEX(tbl_Production[Current RMS No],$BI556),INDEX(tbl_Consulting[Qwilr Quote],$BI556)))&amp;"")</f>
        <v/>
      </c>
      <c r="M556" s="10">
        <f>IF($BI556="","",IF($B556="Onsite",INDEX(tbl_Onsite[Notes],$BI556),IF($B556="Production",INDEX(tbl_Production[Notes],$BI556),INDEX(tbl_Consulting[Notes],$BI556)))&amp;"")</f>
        <v/>
      </c>
      <c r="N556" s="11">
        <f>IF($BI556="","",IF(IF($B556="Onsite",INDEX(tbl_Onsite[Expected Revenue Ex GST],$BI556),IF($B556="Production",INDEX(tbl_Production[Expected Revenue Ex GST],$BI556),INDEX(tbl_Consulting[Expected Revenue Ex GST],$BI556)))="","",IF($B556="Onsite",INDEX(tbl_Onsite[Expected Revenue Ex GST],$BI556),IF($B556="Production",INDEX(tbl_Production[Expected Revenue Ex GST],$BI556),INDEX(tbl_Consulting[Expected Revenue Ex GST],$BI556)))))</f>
        <v/>
      </c>
      <c r="O556" s="11">
        <f>IF(AND($C556="",NOT(COUNTA($S556:$BB556)&gt;0)),"",SUM(U556,X556,AA556,AD556,AG556,AJ556,AM556,AP556,AS556,AV556,AY556,BB556))</f>
        <v/>
      </c>
      <c r="P556" s="11">
        <f>IF(O556="","",N(N556)-O556)</f>
        <v/>
      </c>
      <c r="Q556" s="10">
        <f>IF(O556="","",IF($C556="","Invoice on empty job row",IF(N556="",IF(ROUND(O556,2)=0,"No dept value","Invoiced - no dept value"),IF(ROUND(O556,2)=0,"Not invoiced - to invoice",IF(ROUND(P556,2)=0,"Agrees",IF(P556&gt;0,"Dept higher - to invoice","Xero higher - check dept"))))))</f>
        <v/>
      </c>
      <c r="R556" s="10">
        <f>IF(AND($C556="",NOT(COUNTA($S556:$BB556)&gt;0),$BI556&lt;&gt;""),"",MID(IF($BI556="","; Row ID not found on the department sheet - a row was deleted","")&amp;IF(AND($C556="",COUNTA($S556:$BB556)&gt;0),"; Invoice entered but the department row has no job number","")&amp;IF(E556="CHECK","; Job number not in the Xero job list","")&amp;IF(AND($C556&lt;&gt;"",COUNTIF($C$7:$C$1506,$C556)&gt;1),"; Job number on more than one row","")&amp;IF(AND($C556&lt;&gt;"",H556=""),"; Dept has not set a cost centre","")&amp;IF(AND($C556&lt;&gt;"",J556=""),"; Dept has not set a tax code","")&amp;IF(AND($C556&lt;&gt;"",N556=""),"; Dept has not entered an expected value","")&amp;IF((IF(OR(COUNTA(S556:U556)=0,AND(COUNTA(S556:U556)=3,ISNUMBER(U556))),0,1)+IF(OR(COUNTA(V556:X556)=0,AND(COUNTA(V556:X556)=3,ISNUMBER(X556))),0,1)+IF(OR(COUNTA(Y556:AA556)=0,AND(COUNTA(Y556:AA556)=3,ISNUMBER(AA556))),0,1)+IF(OR(COUNTA(AB556:AD556)=0,AND(COUNTA(AB556:AD556)=3,ISNUMBER(AD556))),0,1)+IF(OR(COUNTA(AE556:AG556)=0,AND(COUNTA(AE556:AG556)=3,ISNUMBER(AG556))),0,1)+IF(OR(COUNTA(AH556:AJ556)=0,AND(COUNTA(AH556:AJ556)=3,ISNUMBER(AJ556))),0,1)+IF(OR(COUNTA(AK556:AM556)=0,AND(COUNTA(AK556:AM556)=3,ISNUMBER(AM556))),0,1)+IF(OR(COUNTA(AN556:AP556)=0,AND(COUNTA(AN556:AP556)=3,ISNUMBER(AP556))),0,1)+IF(OR(COUNTA(AQ556:AS556)=0,AND(COUNTA(AQ556:AS556)=3,ISNUMBER(AS556))),0,1)+IF(OR(COUNTA(AT556:AV556)=0,AND(COUNTA(AT556:AV556)=3,ISNUMBER(AV556))),0,1)+IF(OR(COUNTA(AW556:AY556)=0,AND(COUNTA(AW556:AY556)=3,ISNUMBER(AY556))),0,1)+IF(OR(COUNTA(AZ556:BB556)=0,AND(COUNTA(AZ556:BB556)=3,ISNUMBER(BB556))),0,1))&gt;0,"; An invoice is incomplete (needs No, Date and a number in Ex GST)","")&amp;IF((IF(T556="",0,IFERROR(--(EOMONTH(T556,0)&lt;&gt;S$5),1))+IF(W556="",0,IFERROR(--(EOMONTH(W556,0)&lt;&gt;V$5),1))+IF(Z556="",0,IFERROR(--(EOMONTH(Z556,0)&lt;&gt;Y$5),1))+IF(AC556="",0,IFERROR(--(EOMONTH(AC556,0)&lt;&gt;AB$5),1))+IF(AF556="",0,IFERROR(--(EOMONTH(AF556,0)&lt;&gt;AE$5),1))+IF(AI556="",0,IFERROR(--(EOMONTH(AI556,0)&lt;&gt;AH$5),1))+IF(AL556="",0,IFERROR(--(EOMONTH(AL556,0)&lt;&gt;AK$5),1))+IF(AO556="",0,IFERROR(--(EOMONTH(AO556,0)&lt;&gt;AN$5),1))+IF(AR556="",0,IFERROR(--(EOMONTH(AR556,0)&lt;&gt;AQ$5),1))+IF(AU556="",0,IFERROR(--(EOMONTH(AU556,0)&lt;&gt;AT$5),1))+IF(AX556="",0,IFERROR(--(EOMONTH(AX556,0)&lt;&gt;AW$5),1))+IF(BA556="",0,IFERROR(--(EOMONTH(BA556,0)&lt;&gt;AZ$5),1)))&gt;0,"; An invoice date is not in the month it is typed under",""),3,500))</f>
        <v/>
      </c>
      <c r="S556" s="12" t="n"/>
      <c r="T556" s="13" t="n"/>
      <c r="U556" s="14" t="n"/>
      <c r="V556" s="12" t="n"/>
      <c r="W556" s="13" t="n"/>
      <c r="X556" s="14" t="n"/>
      <c r="Y556" s="12" t="n"/>
      <c r="Z556" s="13" t="n"/>
      <c r="AA556" s="14" t="n"/>
      <c r="AB556" s="12" t="n"/>
      <c r="AC556" s="13" t="n"/>
      <c r="AD556" s="14" t="n"/>
      <c r="AE556" s="12" t="n"/>
      <c r="AF556" s="13" t="n"/>
      <c r="AG556" s="14" t="n"/>
      <c r="AH556" s="12" t="n"/>
      <c r="AI556" s="13" t="n"/>
      <c r="AJ556" s="14" t="n"/>
      <c r="AK556" s="12" t="n"/>
      <c r="AL556" s="13" t="n"/>
      <c r="AM556" s="14" t="n"/>
      <c r="AN556" s="12" t="n"/>
      <c r="AO556" s="13" t="n"/>
      <c r="AP556" s="14" t="n"/>
      <c r="AQ556" s="12" t="n"/>
      <c r="AR556" s="13" t="n"/>
      <c r="AS556" s="14" t="n"/>
      <c r="AT556" s="12" t="n"/>
      <c r="AU556" s="13" t="n"/>
      <c r="AV556" s="14" t="n"/>
      <c r="AW556" s="12" t="n"/>
      <c r="AX556" s="13" t="n"/>
      <c r="AY556" s="14" t="n"/>
      <c r="AZ556" s="12" t="n"/>
      <c r="BA556" s="13" t="n"/>
      <c r="BB556" s="14" t="n"/>
      <c r="BC556" s="11">
        <f>IF(O556="","",IF(J556="GST 10%",ROUND(O556*set_GSTRate,2),0))</f>
        <v/>
      </c>
      <c r="BD556" s="11">
        <f>IF(O556="","",O556+BC556)</f>
        <v/>
      </c>
      <c r="BE556" s="15">
        <f>IF(O556="","",COUNTA(S556,V556,Y556,AB556,AE556,AH556,AK556,AN556,AQ556,AT556,AW556,AZ556))</f>
        <v/>
      </c>
      <c r="BF556" s="16">
        <f>IF(COUNT(T556,W556,Z556,AC556,AF556,AI556,AL556,AO556,AR556,AU556,AX556,BA556)=0,"",MAX(T556,W556,Z556,AC556,AF556,AI556,AL556,AO556,AR556,AU556,AX556,BA556))</f>
        <v/>
      </c>
      <c r="BG556" s="10">
        <f>MID(IF(S556="","",", "&amp;S556)&amp;IF(V556="","",", "&amp;V556)&amp;IF(Y556="","",", "&amp;Y556)&amp;IF(AB556="","",", "&amp;AB556)&amp;IF(AE556="","",", "&amp;AE556)&amp;IF(AH556="","",", "&amp;AH556)&amp;IF(AK556="","",", "&amp;AK556)&amp;IF(AN556="","",", "&amp;AN556)&amp;IF(AQ556="","",", "&amp;AQ556)&amp;IF(AT556="","",", "&amp;AT556)&amp;IF(AW556="","",", "&amp;AW556)&amp;IF(AZ556="","",", "&amp;AZ556),3,500)</f>
        <v/>
      </c>
      <c r="BH556" s="12" t="n"/>
      <c r="BI556" s="15">
        <f>IFERROR(MATCH($A556,IF($B556="Onsite",tbl_Onsite[Row ID],IF($B556="Production",tbl_Production[Row ID],tbl_Consulting[Row ID])),0),"")</f>
        <v/>
      </c>
    </row>
    <row r="557">
      <c r="A557" s="10" t="inlineStr">
        <is>
          <t>PRD-0051</t>
        </is>
      </c>
      <c r="B557" s="10" t="inlineStr">
        <is>
          <t>Production</t>
        </is>
      </c>
      <c r="C557" s="10">
        <f>IF($BI557="","",IF($B557="Onsite",INDEX(tbl_Onsite[Job Number],$BI557),IF($B557="Production",INDEX(tbl_Production[Job Number],$BI557),INDEX(tbl_Consulting[Job Number],$BI557)))&amp;"")</f>
        <v/>
      </c>
      <c r="D557" s="10">
        <f>IF($BI557="","",IF($B557="Onsite",INDEX(tbl_Onsite[Client],$BI557),IF($B557="Production",INDEX(tbl_Production[Client],$BI557),INDEX(tbl_Consulting[Client],$BI557)))&amp;"")</f>
        <v/>
      </c>
      <c r="E557" s="10">
        <f>IF($C557="","",IF(COUNTIF(lst_Jobs,$C557)&gt;0,"OK","CHECK"))</f>
        <v/>
      </c>
      <c r="F557" s="10">
        <f>IF($C557="","",IFERROR(INDEX(lst_JobName,MATCH($C557,lst_Jobs,0)),""))</f>
        <v/>
      </c>
      <c r="G557" s="10">
        <f>IF($BI557="","",IF($B557="Onsite",INDEX(tbl_Onsite[Job Description],$BI557),IF($B557="Production",INDEX(tbl_Production[Job Description],$BI557),INDEX(tbl_Consulting[Job Description],$BI557)))&amp;"")</f>
        <v/>
      </c>
      <c r="H557" s="10">
        <f>IF($BI557="","",IF($B557="Onsite",INDEX(tbl_Onsite[Cost Centre],$BI557),IF($B557="Production",INDEX(tbl_Production[Cost Centre],$BI557),INDEX(tbl_Consulting[Cost Centre],$BI557)))&amp;"")</f>
        <v/>
      </c>
      <c r="I557" s="10">
        <f>IF($BI557="","",IF($B557="Onsite",INDEX(tbl_Onsite[Invoice Type],$BI557),IF($B557="Production",INDEX(tbl_Production[Invoice Type],$BI557),INDEX(tbl_Consulting[Invoice Type],$BI557)))&amp;"")</f>
        <v/>
      </c>
      <c r="J557" s="10">
        <f>IF($BI557="","",IF($B557="Onsite",INDEX(tbl_Onsite[Tax Code],$BI557),IF($B557="Production",INDEX(tbl_Production[Tax Code],$BI557),INDEX(tbl_Consulting[Tax Code],$BI557)))&amp;"")</f>
        <v/>
      </c>
      <c r="K557" s="10">
        <f>IF(H557="","",IFERROR(INDEX(lst_CCtoGL,MATCH(H557,lst_CCforGL,0)),""))</f>
        <v/>
      </c>
      <c r="L557" s="10">
        <f>IF($BI557="","",IF($B557="Onsite",INDEX(tbl_Onsite[PO / Reference],$BI557),IF($B557="Production",INDEX(tbl_Production[Current RMS No],$BI557),INDEX(tbl_Consulting[Qwilr Quote],$BI557)))&amp;"")</f>
        <v/>
      </c>
      <c r="M557" s="10">
        <f>IF($BI557="","",IF($B557="Onsite",INDEX(tbl_Onsite[Notes],$BI557),IF($B557="Production",INDEX(tbl_Production[Notes],$BI557),INDEX(tbl_Consulting[Notes],$BI557)))&amp;"")</f>
        <v/>
      </c>
      <c r="N557" s="11">
        <f>IF($BI557="","",IF(IF($B557="Onsite",INDEX(tbl_Onsite[Expected Revenue Ex GST],$BI557),IF($B557="Production",INDEX(tbl_Production[Expected Revenue Ex GST],$BI557),INDEX(tbl_Consulting[Expected Revenue Ex GST],$BI557)))="","",IF($B557="Onsite",INDEX(tbl_Onsite[Expected Revenue Ex GST],$BI557),IF($B557="Production",INDEX(tbl_Production[Expected Revenue Ex GST],$BI557),INDEX(tbl_Consulting[Expected Revenue Ex GST],$BI557)))))</f>
        <v/>
      </c>
      <c r="O557" s="11">
        <f>IF(AND($C557="",NOT(COUNTA($S557:$BB557)&gt;0)),"",SUM(U557,X557,AA557,AD557,AG557,AJ557,AM557,AP557,AS557,AV557,AY557,BB557))</f>
        <v/>
      </c>
      <c r="P557" s="11">
        <f>IF(O557="","",N(N557)-O557)</f>
        <v/>
      </c>
      <c r="Q557" s="10">
        <f>IF(O557="","",IF($C557="","Invoice on empty job row",IF(N557="",IF(ROUND(O557,2)=0,"No dept value","Invoiced - no dept value"),IF(ROUND(O557,2)=0,"Not invoiced - to invoice",IF(ROUND(P557,2)=0,"Agrees",IF(P557&gt;0,"Dept higher - to invoice","Xero higher - check dept"))))))</f>
        <v/>
      </c>
      <c r="R557" s="10">
        <f>IF(AND($C557="",NOT(COUNTA($S557:$BB557)&gt;0),$BI557&lt;&gt;""),"",MID(IF($BI557="","; Row ID not found on the department sheet - a row was deleted","")&amp;IF(AND($C557="",COUNTA($S557:$BB557)&gt;0),"; Invoice entered but the department row has no job number","")&amp;IF(E557="CHECK","; Job number not in the Xero job list","")&amp;IF(AND($C557&lt;&gt;"",COUNTIF($C$7:$C$1506,$C557)&gt;1),"; Job number on more than one row","")&amp;IF(AND($C557&lt;&gt;"",H557=""),"; Dept has not set a cost centre","")&amp;IF(AND($C557&lt;&gt;"",J557=""),"; Dept has not set a tax code","")&amp;IF(AND($C557&lt;&gt;"",N557=""),"; Dept has not entered an expected value","")&amp;IF((IF(OR(COUNTA(S557:U557)=0,AND(COUNTA(S557:U557)=3,ISNUMBER(U557))),0,1)+IF(OR(COUNTA(V557:X557)=0,AND(COUNTA(V557:X557)=3,ISNUMBER(X557))),0,1)+IF(OR(COUNTA(Y557:AA557)=0,AND(COUNTA(Y557:AA557)=3,ISNUMBER(AA557))),0,1)+IF(OR(COUNTA(AB557:AD557)=0,AND(COUNTA(AB557:AD557)=3,ISNUMBER(AD557))),0,1)+IF(OR(COUNTA(AE557:AG557)=0,AND(COUNTA(AE557:AG557)=3,ISNUMBER(AG557))),0,1)+IF(OR(COUNTA(AH557:AJ557)=0,AND(COUNTA(AH557:AJ557)=3,ISNUMBER(AJ557))),0,1)+IF(OR(COUNTA(AK557:AM557)=0,AND(COUNTA(AK557:AM557)=3,ISNUMBER(AM557))),0,1)+IF(OR(COUNTA(AN557:AP557)=0,AND(COUNTA(AN557:AP557)=3,ISNUMBER(AP557))),0,1)+IF(OR(COUNTA(AQ557:AS557)=0,AND(COUNTA(AQ557:AS557)=3,ISNUMBER(AS557))),0,1)+IF(OR(COUNTA(AT557:AV557)=0,AND(COUNTA(AT557:AV557)=3,ISNUMBER(AV557))),0,1)+IF(OR(COUNTA(AW557:AY557)=0,AND(COUNTA(AW557:AY557)=3,ISNUMBER(AY557))),0,1)+IF(OR(COUNTA(AZ557:BB557)=0,AND(COUNTA(AZ557:BB557)=3,ISNUMBER(BB557))),0,1))&gt;0,"; An invoice is incomplete (needs No, Date and a number in Ex GST)","")&amp;IF((IF(T557="",0,IFERROR(--(EOMONTH(T557,0)&lt;&gt;S$5),1))+IF(W557="",0,IFERROR(--(EOMONTH(W557,0)&lt;&gt;V$5),1))+IF(Z557="",0,IFERROR(--(EOMONTH(Z557,0)&lt;&gt;Y$5),1))+IF(AC557="",0,IFERROR(--(EOMONTH(AC557,0)&lt;&gt;AB$5),1))+IF(AF557="",0,IFERROR(--(EOMONTH(AF557,0)&lt;&gt;AE$5),1))+IF(AI557="",0,IFERROR(--(EOMONTH(AI557,0)&lt;&gt;AH$5),1))+IF(AL557="",0,IFERROR(--(EOMONTH(AL557,0)&lt;&gt;AK$5),1))+IF(AO557="",0,IFERROR(--(EOMONTH(AO557,0)&lt;&gt;AN$5),1))+IF(AR557="",0,IFERROR(--(EOMONTH(AR557,0)&lt;&gt;AQ$5),1))+IF(AU557="",0,IFERROR(--(EOMONTH(AU557,0)&lt;&gt;AT$5),1))+IF(AX557="",0,IFERROR(--(EOMONTH(AX557,0)&lt;&gt;AW$5),1))+IF(BA557="",0,IFERROR(--(EOMONTH(BA557,0)&lt;&gt;AZ$5),1)))&gt;0,"; An invoice date is not in the month it is typed under",""),3,500))</f>
        <v/>
      </c>
      <c r="S557" s="12" t="n"/>
      <c r="T557" s="13" t="n"/>
      <c r="U557" s="14" t="n"/>
      <c r="V557" s="12" t="n"/>
      <c r="W557" s="13" t="n"/>
      <c r="X557" s="14" t="n"/>
      <c r="Y557" s="12" t="n"/>
      <c r="Z557" s="13" t="n"/>
      <c r="AA557" s="14" t="n"/>
      <c r="AB557" s="12" t="n"/>
      <c r="AC557" s="13" t="n"/>
      <c r="AD557" s="14" t="n"/>
      <c r="AE557" s="12" t="n"/>
      <c r="AF557" s="13" t="n"/>
      <c r="AG557" s="14" t="n"/>
      <c r="AH557" s="12" t="n"/>
      <c r="AI557" s="13" t="n"/>
      <c r="AJ557" s="14" t="n"/>
      <c r="AK557" s="12" t="n"/>
      <c r="AL557" s="13" t="n"/>
      <c r="AM557" s="14" t="n"/>
      <c r="AN557" s="12" t="n"/>
      <c r="AO557" s="13" t="n"/>
      <c r="AP557" s="14" t="n"/>
      <c r="AQ557" s="12" t="n"/>
      <c r="AR557" s="13" t="n"/>
      <c r="AS557" s="14" t="n"/>
      <c r="AT557" s="12" t="n"/>
      <c r="AU557" s="13" t="n"/>
      <c r="AV557" s="14" t="n"/>
      <c r="AW557" s="12" t="n"/>
      <c r="AX557" s="13" t="n"/>
      <c r="AY557" s="14" t="n"/>
      <c r="AZ557" s="12" t="n"/>
      <c r="BA557" s="13" t="n"/>
      <c r="BB557" s="14" t="n"/>
      <c r="BC557" s="11">
        <f>IF(O557="","",IF(J557="GST 10%",ROUND(O557*set_GSTRate,2),0))</f>
        <v/>
      </c>
      <c r="BD557" s="11">
        <f>IF(O557="","",O557+BC557)</f>
        <v/>
      </c>
      <c r="BE557" s="15">
        <f>IF(O557="","",COUNTA(S557,V557,Y557,AB557,AE557,AH557,AK557,AN557,AQ557,AT557,AW557,AZ557))</f>
        <v/>
      </c>
      <c r="BF557" s="16">
        <f>IF(COUNT(T557,W557,Z557,AC557,AF557,AI557,AL557,AO557,AR557,AU557,AX557,BA557)=0,"",MAX(T557,W557,Z557,AC557,AF557,AI557,AL557,AO557,AR557,AU557,AX557,BA557))</f>
        <v/>
      </c>
      <c r="BG557" s="10">
        <f>MID(IF(S557="","",", "&amp;S557)&amp;IF(V557="","",", "&amp;V557)&amp;IF(Y557="","",", "&amp;Y557)&amp;IF(AB557="","",", "&amp;AB557)&amp;IF(AE557="","",", "&amp;AE557)&amp;IF(AH557="","",", "&amp;AH557)&amp;IF(AK557="","",", "&amp;AK557)&amp;IF(AN557="","",", "&amp;AN557)&amp;IF(AQ557="","",", "&amp;AQ557)&amp;IF(AT557="","",", "&amp;AT557)&amp;IF(AW557="","",", "&amp;AW557)&amp;IF(AZ557="","",", "&amp;AZ557),3,500)</f>
        <v/>
      </c>
      <c r="BH557" s="12" t="n"/>
      <c r="BI557" s="15">
        <f>IFERROR(MATCH($A557,IF($B557="Onsite",tbl_Onsite[Row ID],IF($B557="Production",tbl_Production[Row ID],tbl_Consulting[Row ID])),0),"")</f>
        <v/>
      </c>
    </row>
    <row r="558">
      <c r="A558" s="10" t="inlineStr">
        <is>
          <t>PRD-0052</t>
        </is>
      </c>
      <c r="B558" s="10" t="inlineStr">
        <is>
          <t>Production</t>
        </is>
      </c>
      <c r="C558" s="10">
        <f>IF($BI558="","",IF($B558="Onsite",INDEX(tbl_Onsite[Job Number],$BI558),IF($B558="Production",INDEX(tbl_Production[Job Number],$BI558),INDEX(tbl_Consulting[Job Number],$BI558)))&amp;"")</f>
        <v/>
      </c>
      <c r="D558" s="10">
        <f>IF($BI558="","",IF($B558="Onsite",INDEX(tbl_Onsite[Client],$BI558),IF($B558="Production",INDEX(tbl_Production[Client],$BI558),INDEX(tbl_Consulting[Client],$BI558)))&amp;"")</f>
        <v/>
      </c>
      <c r="E558" s="10">
        <f>IF($C558="","",IF(COUNTIF(lst_Jobs,$C558)&gt;0,"OK","CHECK"))</f>
        <v/>
      </c>
      <c r="F558" s="10">
        <f>IF($C558="","",IFERROR(INDEX(lst_JobName,MATCH($C558,lst_Jobs,0)),""))</f>
        <v/>
      </c>
      <c r="G558" s="10">
        <f>IF($BI558="","",IF($B558="Onsite",INDEX(tbl_Onsite[Job Description],$BI558),IF($B558="Production",INDEX(tbl_Production[Job Description],$BI558),INDEX(tbl_Consulting[Job Description],$BI558)))&amp;"")</f>
        <v/>
      </c>
      <c r="H558" s="10">
        <f>IF($BI558="","",IF($B558="Onsite",INDEX(tbl_Onsite[Cost Centre],$BI558),IF($B558="Production",INDEX(tbl_Production[Cost Centre],$BI558),INDEX(tbl_Consulting[Cost Centre],$BI558)))&amp;"")</f>
        <v/>
      </c>
      <c r="I558" s="10">
        <f>IF($BI558="","",IF($B558="Onsite",INDEX(tbl_Onsite[Invoice Type],$BI558),IF($B558="Production",INDEX(tbl_Production[Invoice Type],$BI558),INDEX(tbl_Consulting[Invoice Type],$BI558)))&amp;"")</f>
        <v/>
      </c>
      <c r="J558" s="10">
        <f>IF($BI558="","",IF($B558="Onsite",INDEX(tbl_Onsite[Tax Code],$BI558),IF($B558="Production",INDEX(tbl_Production[Tax Code],$BI558),INDEX(tbl_Consulting[Tax Code],$BI558)))&amp;"")</f>
        <v/>
      </c>
      <c r="K558" s="10">
        <f>IF(H558="","",IFERROR(INDEX(lst_CCtoGL,MATCH(H558,lst_CCforGL,0)),""))</f>
        <v/>
      </c>
      <c r="L558" s="10">
        <f>IF($BI558="","",IF($B558="Onsite",INDEX(tbl_Onsite[PO / Reference],$BI558),IF($B558="Production",INDEX(tbl_Production[Current RMS No],$BI558),INDEX(tbl_Consulting[Qwilr Quote],$BI558)))&amp;"")</f>
        <v/>
      </c>
      <c r="M558" s="10">
        <f>IF($BI558="","",IF($B558="Onsite",INDEX(tbl_Onsite[Notes],$BI558),IF($B558="Production",INDEX(tbl_Production[Notes],$BI558),INDEX(tbl_Consulting[Notes],$BI558)))&amp;"")</f>
        <v/>
      </c>
      <c r="N558" s="11">
        <f>IF($BI558="","",IF(IF($B558="Onsite",INDEX(tbl_Onsite[Expected Revenue Ex GST],$BI558),IF($B558="Production",INDEX(tbl_Production[Expected Revenue Ex GST],$BI558),INDEX(tbl_Consulting[Expected Revenue Ex GST],$BI558)))="","",IF($B558="Onsite",INDEX(tbl_Onsite[Expected Revenue Ex GST],$BI558),IF($B558="Production",INDEX(tbl_Production[Expected Revenue Ex GST],$BI558),INDEX(tbl_Consulting[Expected Revenue Ex GST],$BI558)))))</f>
        <v/>
      </c>
      <c r="O558" s="11">
        <f>IF(AND($C558="",NOT(COUNTA($S558:$BB558)&gt;0)),"",SUM(U558,X558,AA558,AD558,AG558,AJ558,AM558,AP558,AS558,AV558,AY558,BB558))</f>
        <v/>
      </c>
      <c r="P558" s="11">
        <f>IF(O558="","",N(N558)-O558)</f>
        <v/>
      </c>
      <c r="Q558" s="10">
        <f>IF(O558="","",IF($C558="","Invoice on empty job row",IF(N558="",IF(ROUND(O558,2)=0,"No dept value","Invoiced - no dept value"),IF(ROUND(O558,2)=0,"Not invoiced - to invoice",IF(ROUND(P558,2)=0,"Agrees",IF(P558&gt;0,"Dept higher - to invoice","Xero higher - check dept"))))))</f>
        <v/>
      </c>
      <c r="R558" s="10">
        <f>IF(AND($C558="",NOT(COUNTA($S558:$BB558)&gt;0),$BI558&lt;&gt;""),"",MID(IF($BI558="","; Row ID not found on the department sheet - a row was deleted","")&amp;IF(AND($C558="",COUNTA($S558:$BB558)&gt;0),"; Invoice entered but the department row has no job number","")&amp;IF(E558="CHECK","; Job number not in the Xero job list","")&amp;IF(AND($C558&lt;&gt;"",COUNTIF($C$7:$C$1506,$C558)&gt;1),"; Job number on more than one row","")&amp;IF(AND($C558&lt;&gt;"",H558=""),"; Dept has not set a cost centre","")&amp;IF(AND($C558&lt;&gt;"",J558=""),"; Dept has not set a tax code","")&amp;IF(AND($C558&lt;&gt;"",N558=""),"; Dept has not entered an expected value","")&amp;IF((IF(OR(COUNTA(S558:U558)=0,AND(COUNTA(S558:U558)=3,ISNUMBER(U558))),0,1)+IF(OR(COUNTA(V558:X558)=0,AND(COUNTA(V558:X558)=3,ISNUMBER(X558))),0,1)+IF(OR(COUNTA(Y558:AA558)=0,AND(COUNTA(Y558:AA558)=3,ISNUMBER(AA558))),0,1)+IF(OR(COUNTA(AB558:AD558)=0,AND(COUNTA(AB558:AD558)=3,ISNUMBER(AD558))),0,1)+IF(OR(COUNTA(AE558:AG558)=0,AND(COUNTA(AE558:AG558)=3,ISNUMBER(AG558))),0,1)+IF(OR(COUNTA(AH558:AJ558)=0,AND(COUNTA(AH558:AJ558)=3,ISNUMBER(AJ558))),0,1)+IF(OR(COUNTA(AK558:AM558)=0,AND(COUNTA(AK558:AM558)=3,ISNUMBER(AM558))),0,1)+IF(OR(COUNTA(AN558:AP558)=0,AND(COUNTA(AN558:AP558)=3,ISNUMBER(AP558))),0,1)+IF(OR(COUNTA(AQ558:AS558)=0,AND(COUNTA(AQ558:AS558)=3,ISNUMBER(AS558))),0,1)+IF(OR(COUNTA(AT558:AV558)=0,AND(COUNTA(AT558:AV558)=3,ISNUMBER(AV558))),0,1)+IF(OR(COUNTA(AW558:AY558)=0,AND(COUNTA(AW558:AY558)=3,ISNUMBER(AY558))),0,1)+IF(OR(COUNTA(AZ558:BB558)=0,AND(COUNTA(AZ558:BB558)=3,ISNUMBER(BB558))),0,1))&gt;0,"; An invoice is incomplete (needs No, Date and a number in Ex GST)","")&amp;IF((IF(T558="",0,IFERROR(--(EOMONTH(T558,0)&lt;&gt;S$5),1))+IF(W558="",0,IFERROR(--(EOMONTH(W558,0)&lt;&gt;V$5),1))+IF(Z558="",0,IFERROR(--(EOMONTH(Z558,0)&lt;&gt;Y$5),1))+IF(AC558="",0,IFERROR(--(EOMONTH(AC558,0)&lt;&gt;AB$5),1))+IF(AF558="",0,IFERROR(--(EOMONTH(AF558,0)&lt;&gt;AE$5),1))+IF(AI558="",0,IFERROR(--(EOMONTH(AI558,0)&lt;&gt;AH$5),1))+IF(AL558="",0,IFERROR(--(EOMONTH(AL558,0)&lt;&gt;AK$5),1))+IF(AO558="",0,IFERROR(--(EOMONTH(AO558,0)&lt;&gt;AN$5),1))+IF(AR558="",0,IFERROR(--(EOMONTH(AR558,0)&lt;&gt;AQ$5),1))+IF(AU558="",0,IFERROR(--(EOMONTH(AU558,0)&lt;&gt;AT$5),1))+IF(AX558="",0,IFERROR(--(EOMONTH(AX558,0)&lt;&gt;AW$5),1))+IF(BA558="",0,IFERROR(--(EOMONTH(BA558,0)&lt;&gt;AZ$5),1)))&gt;0,"; An invoice date is not in the month it is typed under",""),3,500))</f>
        <v/>
      </c>
      <c r="S558" s="12" t="n"/>
      <c r="T558" s="13" t="n"/>
      <c r="U558" s="14" t="n"/>
      <c r="V558" s="12" t="n"/>
      <c r="W558" s="13" t="n"/>
      <c r="X558" s="14" t="n"/>
      <c r="Y558" s="12" t="n"/>
      <c r="Z558" s="13" t="n"/>
      <c r="AA558" s="14" t="n"/>
      <c r="AB558" s="12" t="n"/>
      <c r="AC558" s="13" t="n"/>
      <c r="AD558" s="14" t="n"/>
      <c r="AE558" s="12" t="n"/>
      <c r="AF558" s="13" t="n"/>
      <c r="AG558" s="14" t="n"/>
      <c r="AH558" s="12" t="n"/>
      <c r="AI558" s="13" t="n"/>
      <c r="AJ558" s="14" t="n"/>
      <c r="AK558" s="12" t="n"/>
      <c r="AL558" s="13" t="n"/>
      <c r="AM558" s="14" t="n"/>
      <c r="AN558" s="12" t="n"/>
      <c r="AO558" s="13" t="n"/>
      <c r="AP558" s="14" t="n"/>
      <c r="AQ558" s="12" t="n"/>
      <c r="AR558" s="13" t="n"/>
      <c r="AS558" s="14" t="n"/>
      <c r="AT558" s="12" t="n"/>
      <c r="AU558" s="13" t="n"/>
      <c r="AV558" s="14" t="n"/>
      <c r="AW558" s="12" t="n"/>
      <c r="AX558" s="13" t="n"/>
      <c r="AY558" s="14" t="n"/>
      <c r="AZ558" s="12" t="n"/>
      <c r="BA558" s="13" t="n"/>
      <c r="BB558" s="14" t="n"/>
      <c r="BC558" s="11">
        <f>IF(O558="","",IF(J558="GST 10%",ROUND(O558*set_GSTRate,2),0))</f>
        <v/>
      </c>
      <c r="BD558" s="11">
        <f>IF(O558="","",O558+BC558)</f>
        <v/>
      </c>
      <c r="BE558" s="15">
        <f>IF(O558="","",COUNTA(S558,V558,Y558,AB558,AE558,AH558,AK558,AN558,AQ558,AT558,AW558,AZ558))</f>
        <v/>
      </c>
      <c r="BF558" s="16">
        <f>IF(COUNT(T558,W558,Z558,AC558,AF558,AI558,AL558,AO558,AR558,AU558,AX558,BA558)=0,"",MAX(T558,W558,Z558,AC558,AF558,AI558,AL558,AO558,AR558,AU558,AX558,BA558))</f>
        <v/>
      </c>
      <c r="BG558" s="10">
        <f>MID(IF(S558="","",", "&amp;S558)&amp;IF(V558="","",", "&amp;V558)&amp;IF(Y558="","",", "&amp;Y558)&amp;IF(AB558="","",", "&amp;AB558)&amp;IF(AE558="","",", "&amp;AE558)&amp;IF(AH558="","",", "&amp;AH558)&amp;IF(AK558="","",", "&amp;AK558)&amp;IF(AN558="","",", "&amp;AN558)&amp;IF(AQ558="","",", "&amp;AQ558)&amp;IF(AT558="","",", "&amp;AT558)&amp;IF(AW558="","",", "&amp;AW558)&amp;IF(AZ558="","",", "&amp;AZ558),3,500)</f>
        <v/>
      </c>
      <c r="BH558" s="12" t="n"/>
      <c r="BI558" s="15">
        <f>IFERROR(MATCH($A558,IF($B558="Onsite",tbl_Onsite[Row ID],IF($B558="Production",tbl_Production[Row ID],tbl_Consulting[Row ID])),0),"")</f>
        <v/>
      </c>
    </row>
    <row r="559">
      <c r="A559" s="10" t="inlineStr">
        <is>
          <t>PRD-0053</t>
        </is>
      </c>
      <c r="B559" s="10" t="inlineStr">
        <is>
          <t>Production</t>
        </is>
      </c>
      <c r="C559" s="10">
        <f>IF($BI559="","",IF($B559="Onsite",INDEX(tbl_Onsite[Job Number],$BI559),IF($B559="Production",INDEX(tbl_Production[Job Number],$BI559),INDEX(tbl_Consulting[Job Number],$BI559)))&amp;"")</f>
        <v/>
      </c>
      <c r="D559" s="10">
        <f>IF($BI559="","",IF($B559="Onsite",INDEX(tbl_Onsite[Client],$BI559),IF($B559="Production",INDEX(tbl_Production[Client],$BI559),INDEX(tbl_Consulting[Client],$BI559)))&amp;"")</f>
        <v/>
      </c>
      <c r="E559" s="10">
        <f>IF($C559="","",IF(COUNTIF(lst_Jobs,$C559)&gt;0,"OK","CHECK"))</f>
        <v/>
      </c>
      <c r="F559" s="10">
        <f>IF($C559="","",IFERROR(INDEX(lst_JobName,MATCH($C559,lst_Jobs,0)),""))</f>
        <v/>
      </c>
      <c r="G559" s="10">
        <f>IF($BI559="","",IF($B559="Onsite",INDEX(tbl_Onsite[Job Description],$BI559),IF($B559="Production",INDEX(tbl_Production[Job Description],$BI559),INDEX(tbl_Consulting[Job Description],$BI559)))&amp;"")</f>
        <v/>
      </c>
      <c r="H559" s="10">
        <f>IF($BI559="","",IF($B559="Onsite",INDEX(tbl_Onsite[Cost Centre],$BI559),IF($B559="Production",INDEX(tbl_Production[Cost Centre],$BI559),INDEX(tbl_Consulting[Cost Centre],$BI559)))&amp;"")</f>
        <v/>
      </c>
      <c r="I559" s="10">
        <f>IF($BI559="","",IF($B559="Onsite",INDEX(tbl_Onsite[Invoice Type],$BI559),IF($B559="Production",INDEX(tbl_Production[Invoice Type],$BI559),INDEX(tbl_Consulting[Invoice Type],$BI559)))&amp;"")</f>
        <v/>
      </c>
      <c r="J559" s="10">
        <f>IF($BI559="","",IF($B559="Onsite",INDEX(tbl_Onsite[Tax Code],$BI559),IF($B559="Production",INDEX(tbl_Production[Tax Code],$BI559),INDEX(tbl_Consulting[Tax Code],$BI559)))&amp;"")</f>
        <v/>
      </c>
      <c r="K559" s="10">
        <f>IF(H559="","",IFERROR(INDEX(lst_CCtoGL,MATCH(H559,lst_CCforGL,0)),""))</f>
        <v/>
      </c>
      <c r="L559" s="10">
        <f>IF($BI559="","",IF($B559="Onsite",INDEX(tbl_Onsite[PO / Reference],$BI559),IF($B559="Production",INDEX(tbl_Production[Current RMS No],$BI559),INDEX(tbl_Consulting[Qwilr Quote],$BI559)))&amp;"")</f>
        <v/>
      </c>
      <c r="M559" s="10">
        <f>IF($BI559="","",IF($B559="Onsite",INDEX(tbl_Onsite[Notes],$BI559),IF($B559="Production",INDEX(tbl_Production[Notes],$BI559),INDEX(tbl_Consulting[Notes],$BI559)))&amp;"")</f>
        <v/>
      </c>
      <c r="N559" s="11">
        <f>IF($BI559="","",IF(IF($B559="Onsite",INDEX(tbl_Onsite[Expected Revenue Ex GST],$BI559),IF($B559="Production",INDEX(tbl_Production[Expected Revenue Ex GST],$BI559),INDEX(tbl_Consulting[Expected Revenue Ex GST],$BI559)))="","",IF($B559="Onsite",INDEX(tbl_Onsite[Expected Revenue Ex GST],$BI559),IF($B559="Production",INDEX(tbl_Production[Expected Revenue Ex GST],$BI559),INDEX(tbl_Consulting[Expected Revenue Ex GST],$BI559)))))</f>
        <v/>
      </c>
      <c r="O559" s="11">
        <f>IF(AND($C559="",NOT(COUNTA($S559:$BB559)&gt;0)),"",SUM(U559,X559,AA559,AD559,AG559,AJ559,AM559,AP559,AS559,AV559,AY559,BB559))</f>
        <v/>
      </c>
      <c r="P559" s="11">
        <f>IF(O559="","",N(N559)-O559)</f>
        <v/>
      </c>
      <c r="Q559" s="10">
        <f>IF(O559="","",IF($C559="","Invoice on empty job row",IF(N559="",IF(ROUND(O559,2)=0,"No dept value","Invoiced - no dept value"),IF(ROUND(O559,2)=0,"Not invoiced - to invoice",IF(ROUND(P559,2)=0,"Agrees",IF(P559&gt;0,"Dept higher - to invoice","Xero higher - check dept"))))))</f>
        <v/>
      </c>
      <c r="R559" s="10">
        <f>IF(AND($C559="",NOT(COUNTA($S559:$BB559)&gt;0),$BI559&lt;&gt;""),"",MID(IF($BI559="","; Row ID not found on the department sheet - a row was deleted","")&amp;IF(AND($C559="",COUNTA($S559:$BB559)&gt;0),"; Invoice entered but the department row has no job number","")&amp;IF(E559="CHECK","; Job number not in the Xero job list","")&amp;IF(AND($C559&lt;&gt;"",COUNTIF($C$7:$C$1506,$C559)&gt;1),"; Job number on more than one row","")&amp;IF(AND($C559&lt;&gt;"",H559=""),"; Dept has not set a cost centre","")&amp;IF(AND($C559&lt;&gt;"",J559=""),"; Dept has not set a tax code","")&amp;IF(AND($C559&lt;&gt;"",N559=""),"; Dept has not entered an expected value","")&amp;IF((IF(OR(COUNTA(S559:U559)=0,AND(COUNTA(S559:U559)=3,ISNUMBER(U559))),0,1)+IF(OR(COUNTA(V559:X559)=0,AND(COUNTA(V559:X559)=3,ISNUMBER(X559))),0,1)+IF(OR(COUNTA(Y559:AA559)=0,AND(COUNTA(Y559:AA559)=3,ISNUMBER(AA559))),0,1)+IF(OR(COUNTA(AB559:AD559)=0,AND(COUNTA(AB559:AD559)=3,ISNUMBER(AD559))),0,1)+IF(OR(COUNTA(AE559:AG559)=0,AND(COUNTA(AE559:AG559)=3,ISNUMBER(AG559))),0,1)+IF(OR(COUNTA(AH559:AJ559)=0,AND(COUNTA(AH559:AJ559)=3,ISNUMBER(AJ559))),0,1)+IF(OR(COUNTA(AK559:AM559)=0,AND(COUNTA(AK559:AM559)=3,ISNUMBER(AM559))),0,1)+IF(OR(COUNTA(AN559:AP559)=0,AND(COUNTA(AN559:AP559)=3,ISNUMBER(AP559))),0,1)+IF(OR(COUNTA(AQ559:AS559)=0,AND(COUNTA(AQ559:AS559)=3,ISNUMBER(AS559))),0,1)+IF(OR(COUNTA(AT559:AV559)=0,AND(COUNTA(AT559:AV559)=3,ISNUMBER(AV559))),0,1)+IF(OR(COUNTA(AW559:AY559)=0,AND(COUNTA(AW559:AY559)=3,ISNUMBER(AY559))),0,1)+IF(OR(COUNTA(AZ559:BB559)=0,AND(COUNTA(AZ559:BB559)=3,ISNUMBER(BB559))),0,1))&gt;0,"; An invoice is incomplete (needs No, Date and a number in Ex GST)","")&amp;IF((IF(T559="",0,IFERROR(--(EOMONTH(T559,0)&lt;&gt;S$5),1))+IF(W559="",0,IFERROR(--(EOMONTH(W559,0)&lt;&gt;V$5),1))+IF(Z559="",0,IFERROR(--(EOMONTH(Z559,0)&lt;&gt;Y$5),1))+IF(AC559="",0,IFERROR(--(EOMONTH(AC559,0)&lt;&gt;AB$5),1))+IF(AF559="",0,IFERROR(--(EOMONTH(AF559,0)&lt;&gt;AE$5),1))+IF(AI559="",0,IFERROR(--(EOMONTH(AI559,0)&lt;&gt;AH$5),1))+IF(AL559="",0,IFERROR(--(EOMONTH(AL559,0)&lt;&gt;AK$5),1))+IF(AO559="",0,IFERROR(--(EOMONTH(AO559,0)&lt;&gt;AN$5),1))+IF(AR559="",0,IFERROR(--(EOMONTH(AR559,0)&lt;&gt;AQ$5),1))+IF(AU559="",0,IFERROR(--(EOMONTH(AU559,0)&lt;&gt;AT$5),1))+IF(AX559="",0,IFERROR(--(EOMONTH(AX559,0)&lt;&gt;AW$5),1))+IF(BA559="",0,IFERROR(--(EOMONTH(BA559,0)&lt;&gt;AZ$5),1)))&gt;0,"; An invoice date is not in the month it is typed under",""),3,500))</f>
        <v/>
      </c>
      <c r="S559" s="12" t="n"/>
      <c r="T559" s="13" t="n"/>
      <c r="U559" s="14" t="n"/>
      <c r="V559" s="12" t="n"/>
      <c r="W559" s="13" t="n"/>
      <c r="X559" s="14" t="n"/>
      <c r="Y559" s="12" t="n"/>
      <c r="Z559" s="13" t="n"/>
      <c r="AA559" s="14" t="n"/>
      <c r="AB559" s="12" t="n"/>
      <c r="AC559" s="13" t="n"/>
      <c r="AD559" s="14" t="n"/>
      <c r="AE559" s="12" t="n"/>
      <c r="AF559" s="13" t="n"/>
      <c r="AG559" s="14" t="n"/>
      <c r="AH559" s="12" t="n"/>
      <c r="AI559" s="13" t="n"/>
      <c r="AJ559" s="14" t="n"/>
      <c r="AK559" s="12" t="n"/>
      <c r="AL559" s="13" t="n"/>
      <c r="AM559" s="14" t="n"/>
      <c r="AN559" s="12" t="n"/>
      <c r="AO559" s="13" t="n"/>
      <c r="AP559" s="14" t="n"/>
      <c r="AQ559" s="12" t="n"/>
      <c r="AR559" s="13" t="n"/>
      <c r="AS559" s="14" t="n"/>
      <c r="AT559" s="12" t="n"/>
      <c r="AU559" s="13" t="n"/>
      <c r="AV559" s="14" t="n"/>
      <c r="AW559" s="12" t="n"/>
      <c r="AX559" s="13" t="n"/>
      <c r="AY559" s="14" t="n"/>
      <c r="AZ559" s="12" t="n"/>
      <c r="BA559" s="13" t="n"/>
      <c r="BB559" s="14" t="n"/>
      <c r="BC559" s="11">
        <f>IF(O559="","",IF(J559="GST 10%",ROUND(O559*set_GSTRate,2),0))</f>
        <v/>
      </c>
      <c r="BD559" s="11">
        <f>IF(O559="","",O559+BC559)</f>
        <v/>
      </c>
      <c r="BE559" s="15">
        <f>IF(O559="","",COUNTA(S559,V559,Y559,AB559,AE559,AH559,AK559,AN559,AQ559,AT559,AW559,AZ559))</f>
        <v/>
      </c>
      <c r="BF559" s="16">
        <f>IF(COUNT(T559,W559,Z559,AC559,AF559,AI559,AL559,AO559,AR559,AU559,AX559,BA559)=0,"",MAX(T559,W559,Z559,AC559,AF559,AI559,AL559,AO559,AR559,AU559,AX559,BA559))</f>
        <v/>
      </c>
      <c r="BG559" s="10">
        <f>MID(IF(S559="","",", "&amp;S559)&amp;IF(V559="","",", "&amp;V559)&amp;IF(Y559="","",", "&amp;Y559)&amp;IF(AB559="","",", "&amp;AB559)&amp;IF(AE559="","",", "&amp;AE559)&amp;IF(AH559="","",", "&amp;AH559)&amp;IF(AK559="","",", "&amp;AK559)&amp;IF(AN559="","",", "&amp;AN559)&amp;IF(AQ559="","",", "&amp;AQ559)&amp;IF(AT559="","",", "&amp;AT559)&amp;IF(AW559="","",", "&amp;AW559)&amp;IF(AZ559="","",", "&amp;AZ559),3,500)</f>
        <v/>
      </c>
      <c r="BH559" s="12" t="n"/>
      <c r="BI559" s="15">
        <f>IFERROR(MATCH($A559,IF($B559="Onsite",tbl_Onsite[Row ID],IF($B559="Production",tbl_Production[Row ID],tbl_Consulting[Row ID])),0),"")</f>
        <v/>
      </c>
    </row>
    <row r="560">
      <c r="A560" s="10" t="inlineStr">
        <is>
          <t>PRD-0054</t>
        </is>
      </c>
      <c r="B560" s="10" t="inlineStr">
        <is>
          <t>Production</t>
        </is>
      </c>
      <c r="C560" s="10">
        <f>IF($BI560="","",IF($B560="Onsite",INDEX(tbl_Onsite[Job Number],$BI560),IF($B560="Production",INDEX(tbl_Production[Job Number],$BI560),INDEX(tbl_Consulting[Job Number],$BI560)))&amp;"")</f>
        <v/>
      </c>
      <c r="D560" s="10">
        <f>IF($BI560="","",IF($B560="Onsite",INDEX(tbl_Onsite[Client],$BI560),IF($B560="Production",INDEX(tbl_Production[Client],$BI560),INDEX(tbl_Consulting[Client],$BI560)))&amp;"")</f>
        <v/>
      </c>
      <c r="E560" s="10">
        <f>IF($C560="","",IF(COUNTIF(lst_Jobs,$C560)&gt;0,"OK","CHECK"))</f>
        <v/>
      </c>
      <c r="F560" s="10">
        <f>IF($C560="","",IFERROR(INDEX(lst_JobName,MATCH($C560,lst_Jobs,0)),""))</f>
        <v/>
      </c>
      <c r="G560" s="10">
        <f>IF($BI560="","",IF($B560="Onsite",INDEX(tbl_Onsite[Job Description],$BI560),IF($B560="Production",INDEX(tbl_Production[Job Description],$BI560),INDEX(tbl_Consulting[Job Description],$BI560)))&amp;"")</f>
        <v/>
      </c>
      <c r="H560" s="10">
        <f>IF($BI560="","",IF($B560="Onsite",INDEX(tbl_Onsite[Cost Centre],$BI560),IF($B560="Production",INDEX(tbl_Production[Cost Centre],$BI560),INDEX(tbl_Consulting[Cost Centre],$BI560)))&amp;"")</f>
        <v/>
      </c>
      <c r="I560" s="10">
        <f>IF($BI560="","",IF($B560="Onsite",INDEX(tbl_Onsite[Invoice Type],$BI560),IF($B560="Production",INDEX(tbl_Production[Invoice Type],$BI560),INDEX(tbl_Consulting[Invoice Type],$BI560)))&amp;"")</f>
        <v/>
      </c>
      <c r="J560" s="10">
        <f>IF($BI560="","",IF($B560="Onsite",INDEX(tbl_Onsite[Tax Code],$BI560),IF($B560="Production",INDEX(tbl_Production[Tax Code],$BI560),INDEX(tbl_Consulting[Tax Code],$BI560)))&amp;"")</f>
        <v/>
      </c>
      <c r="K560" s="10">
        <f>IF(H560="","",IFERROR(INDEX(lst_CCtoGL,MATCH(H560,lst_CCforGL,0)),""))</f>
        <v/>
      </c>
      <c r="L560" s="10">
        <f>IF($BI560="","",IF($B560="Onsite",INDEX(tbl_Onsite[PO / Reference],$BI560),IF($B560="Production",INDEX(tbl_Production[Current RMS No],$BI560),INDEX(tbl_Consulting[Qwilr Quote],$BI560)))&amp;"")</f>
        <v/>
      </c>
      <c r="M560" s="10">
        <f>IF($BI560="","",IF($B560="Onsite",INDEX(tbl_Onsite[Notes],$BI560),IF($B560="Production",INDEX(tbl_Production[Notes],$BI560),INDEX(tbl_Consulting[Notes],$BI560)))&amp;"")</f>
        <v/>
      </c>
      <c r="N560" s="11">
        <f>IF($BI560="","",IF(IF($B560="Onsite",INDEX(tbl_Onsite[Expected Revenue Ex GST],$BI560),IF($B560="Production",INDEX(tbl_Production[Expected Revenue Ex GST],$BI560),INDEX(tbl_Consulting[Expected Revenue Ex GST],$BI560)))="","",IF($B560="Onsite",INDEX(tbl_Onsite[Expected Revenue Ex GST],$BI560),IF($B560="Production",INDEX(tbl_Production[Expected Revenue Ex GST],$BI560),INDEX(tbl_Consulting[Expected Revenue Ex GST],$BI560)))))</f>
        <v/>
      </c>
      <c r="O560" s="11">
        <f>IF(AND($C560="",NOT(COUNTA($S560:$BB560)&gt;0)),"",SUM(U560,X560,AA560,AD560,AG560,AJ560,AM560,AP560,AS560,AV560,AY560,BB560))</f>
        <v/>
      </c>
      <c r="P560" s="11">
        <f>IF(O560="","",N(N560)-O560)</f>
        <v/>
      </c>
      <c r="Q560" s="10">
        <f>IF(O560="","",IF($C560="","Invoice on empty job row",IF(N560="",IF(ROUND(O560,2)=0,"No dept value","Invoiced - no dept value"),IF(ROUND(O560,2)=0,"Not invoiced - to invoice",IF(ROUND(P560,2)=0,"Agrees",IF(P560&gt;0,"Dept higher - to invoice","Xero higher - check dept"))))))</f>
        <v/>
      </c>
      <c r="R560" s="10">
        <f>IF(AND($C560="",NOT(COUNTA($S560:$BB560)&gt;0),$BI560&lt;&gt;""),"",MID(IF($BI560="","; Row ID not found on the department sheet - a row was deleted","")&amp;IF(AND($C560="",COUNTA($S560:$BB560)&gt;0),"; Invoice entered but the department row has no job number","")&amp;IF(E560="CHECK","; Job number not in the Xero job list","")&amp;IF(AND($C560&lt;&gt;"",COUNTIF($C$7:$C$1506,$C560)&gt;1),"; Job number on more than one row","")&amp;IF(AND($C560&lt;&gt;"",H560=""),"; Dept has not set a cost centre","")&amp;IF(AND($C560&lt;&gt;"",J560=""),"; Dept has not set a tax code","")&amp;IF(AND($C560&lt;&gt;"",N560=""),"; Dept has not entered an expected value","")&amp;IF((IF(OR(COUNTA(S560:U560)=0,AND(COUNTA(S560:U560)=3,ISNUMBER(U560))),0,1)+IF(OR(COUNTA(V560:X560)=0,AND(COUNTA(V560:X560)=3,ISNUMBER(X560))),0,1)+IF(OR(COUNTA(Y560:AA560)=0,AND(COUNTA(Y560:AA560)=3,ISNUMBER(AA560))),0,1)+IF(OR(COUNTA(AB560:AD560)=0,AND(COUNTA(AB560:AD560)=3,ISNUMBER(AD560))),0,1)+IF(OR(COUNTA(AE560:AG560)=0,AND(COUNTA(AE560:AG560)=3,ISNUMBER(AG560))),0,1)+IF(OR(COUNTA(AH560:AJ560)=0,AND(COUNTA(AH560:AJ560)=3,ISNUMBER(AJ560))),0,1)+IF(OR(COUNTA(AK560:AM560)=0,AND(COUNTA(AK560:AM560)=3,ISNUMBER(AM560))),0,1)+IF(OR(COUNTA(AN560:AP560)=0,AND(COUNTA(AN560:AP560)=3,ISNUMBER(AP560))),0,1)+IF(OR(COUNTA(AQ560:AS560)=0,AND(COUNTA(AQ560:AS560)=3,ISNUMBER(AS560))),0,1)+IF(OR(COUNTA(AT560:AV560)=0,AND(COUNTA(AT560:AV560)=3,ISNUMBER(AV560))),0,1)+IF(OR(COUNTA(AW560:AY560)=0,AND(COUNTA(AW560:AY560)=3,ISNUMBER(AY560))),0,1)+IF(OR(COUNTA(AZ560:BB560)=0,AND(COUNTA(AZ560:BB560)=3,ISNUMBER(BB560))),0,1))&gt;0,"; An invoice is incomplete (needs No, Date and a number in Ex GST)","")&amp;IF((IF(T560="",0,IFERROR(--(EOMONTH(T560,0)&lt;&gt;S$5),1))+IF(W560="",0,IFERROR(--(EOMONTH(W560,0)&lt;&gt;V$5),1))+IF(Z560="",0,IFERROR(--(EOMONTH(Z560,0)&lt;&gt;Y$5),1))+IF(AC560="",0,IFERROR(--(EOMONTH(AC560,0)&lt;&gt;AB$5),1))+IF(AF560="",0,IFERROR(--(EOMONTH(AF560,0)&lt;&gt;AE$5),1))+IF(AI560="",0,IFERROR(--(EOMONTH(AI560,0)&lt;&gt;AH$5),1))+IF(AL560="",0,IFERROR(--(EOMONTH(AL560,0)&lt;&gt;AK$5),1))+IF(AO560="",0,IFERROR(--(EOMONTH(AO560,0)&lt;&gt;AN$5),1))+IF(AR560="",0,IFERROR(--(EOMONTH(AR560,0)&lt;&gt;AQ$5),1))+IF(AU560="",0,IFERROR(--(EOMONTH(AU560,0)&lt;&gt;AT$5),1))+IF(AX560="",0,IFERROR(--(EOMONTH(AX560,0)&lt;&gt;AW$5),1))+IF(BA560="",0,IFERROR(--(EOMONTH(BA560,0)&lt;&gt;AZ$5),1)))&gt;0,"; An invoice date is not in the month it is typed under",""),3,500))</f>
        <v/>
      </c>
      <c r="S560" s="12" t="n"/>
      <c r="T560" s="13" t="n"/>
      <c r="U560" s="14" t="n"/>
      <c r="V560" s="12" t="n"/>
      <c r="W560" s="13" t="n"/>
      <c r="X560" s="14" t="n"/>
      <c r="Y560" s="12" t="n"/>
      <c r="Z560" s="13" t="n"/>
      <c r="AA560" s="14" t="n"/>
      <c r="AB560" s="12" t="n"/>
      <c r="AC560" s="13" t="n"/>
      <c r="AD560" s="14" t="n"/>
      <c r="AE560" s="12" t="n"/>
      <c r="AF560" s="13" t="n"/>
      <c r="AG560" s="14" t="n"/>
      <c r="AH560" s="12" t="n"/>
      <c r="AI560" s="13" t="n"/>
      <c r="AJ560" s="14" t="n"/>
      <c r="AK560" s="12" t="n"/>
      <c r="AL560" s="13" t="n"/>
      <c r="AM560" s="14" t="n"/>
      <c r="AN560" s="12" t="n"/>
      <c r="AO560" s="13" t="n"/>
      <c r="AP560" s="14" t="n"/>
      <c r="AQ560" s="12" t="n"/>
      <c r="AR560" s="13" t="n"/>
      <c r="AS560" s="14" t="n"/>
      <c r="AT560" s="12" t="n"/>
      <c r="AU560" s="13" t="n"/>
      <c r="AV560" s="14" t="n"/>
      <c r="AW560" s="12" t="n"/>
      <c r="AX560" s="13" t="n"/>
      <c r="AY560" s="14" t="n"/>
      <c r="AZ560" s="12" t="n"/>
      <c r="BA560" s="13" t="n"/>
      <c r="BB560" s="14" t="n"/>
      <c r="BC560" s="11">
        <f>IF(O560="","",IF(J560="GST 10%",ROUND(O560*set_GSTRate,2),0))</f>
        <v/>
      </c>
      <c r="BD560" s="11">
        <f>IF(O560="","",O560+BC560)</f>
        <v/>
      </c>
      <c r="BE560" s="15">
        <f>IF(O560="","",COUNTA(S560,V560,Y560,AB560,AE560,AH560,AK560,AN560,AQ560,AT560,AW560,AZ560))</f>
        <v/>
      </c>
      <c r="BF560" s="16">
        <f>IF(COUNT(T560,W560,Z560,AC560,AF560,AI560,AL560,AO560,AR560,AU560,AX560,BA560)=0,"",MAX(T560,W560,Z560,AC560,AF560,AI560,AL560,AO560,AR560,AU560,AX560,BA560))</f>
        <v/>
      </c>
      <c r="BG560" s="10">
        <f>MID(IF(S560="","",", "&amp;S560)&amp;IF(V560="","",", "&amp;V560)&amp;IF(Y560="","",", "&amp;Y560)&amp;IF(AB560="","",", "&amp;AB560)&amp;IF(AE560="","",", "&amp;AE560)&amp;IF(AH560="","",", "&amp;AH560)&amp;IF(AK560="","",", "&amp;AK560)&amp;IF(AN560="","",", "&amp;AN560)&amp;IF(AQ560="","",", "&amp;AQ560)&amp;IF(AT560="","",", "&amp;AT560)&amp;IF(AW560="","",", "&amp;AW560)&amp;IF(AZ560="","",", "&amp;AZ560),3,500)</f>
        <v/>
      </c>
      <c r="BH560" s="12" t="n"/>
      <c r="BI560" s="15">
        <f>IFERROR(MATCH($A560,IF($B560="Onsite",tbl_Onsite[Row ID],IF($B560="Production",tbl_Production[Row ID],tbl_Consulting[Row ID])),0),"")</f>
        <v/>
      </c>
    </row>
    <row r="561">
      <c r="A561" s="10" t="inlineStr">
        <is>
          <t>PRD-0055</t>
        </is>
      </c>
      <c r="B561" s="10" t="inlineStr">
        <is>
          <t>Production</t>
        </is>
      </c>
      <c r="C561" s="10">
        <f>IF($BI561="","",IF($B561="Onsite",INDEX(tbl_Onsite[Job Number],$BI561),IF($B561="Production",INDEX(tbl_Production[Job Number],$BI561),INDEX(tbl_Consulting[Job Number],$BI561)))&amp;"")</f>
        <v/>
      </c>
      <c r="D561" s="10">
        <f>IF($BI561="","",IF($B561="Onsite",INDEX(tbl_Onsite[Client],$BI561),IF($B561="Production",INDEX(tbl_Production[Client],$BI561),INDEX(tbl_Consulting[Client],$BI561)))&amp;"")</f>
        <v/>
      </c>
      <c r="E561" s="10">
        <f>IF($C561="","",IF(COUNTIF(lst_Jobs,$C561)&gt;0,"OK","CHECK"))</f>
        <v/>
      </c>
      <c r="F561" s="10">
        <f>IF($C561="","",IFERROR(INDEX(lst_JobName,MATCH($C561,lst_Jobs,0)),""))</f>
        <v/>
      </c>
      <c r="G561" s="10">
        <f>IF($BI561="","",IF($B561="Onsite",INDEX(tbl_Onsite[Job Description],$BI561),IF($B561="Production",INDEX(tbl_Production[Job Description],$BI561),INDEX(tbl_Consulting[Job Description],$BI561)))&amp;"")</f>
        <v/>
      </c>
      <c r="H561" s="10">
        <f>IF($BI561="","",IF($B561="Onsite",INDEX(tbl_Onsite[Cost Centre],$BI561),IF($B561="Production",INDEX(tbl_Production[Cost Centre],$BI561),INDEX(tbl_Consulting[Cost Centre],$BI561)))&amp;"")</f>
        <v/>
      </c>
      <c r="I561" s="10">
        <f>IF($BI561="","",IF($B561="Onsite",INDEX(tbl_Onsite[Invoice Type],$BI561),IF($B561="Production",INDEX(tbl_Production[Invoice Type],$BI561),INDEX(tbl_Consulting[Invoice Type],$BI561)))&amp;"")</f>
        <v/>
      </c>
      <c r="J561" s="10">
        <f>IF($BI561="","",IF($B561="Onsite",INDEX(tbl_Onsite[Tax Code],$BI561),IF($B561="Production",INDEX(tbl_Production[Tax Code],$BI561),INDEX(tbl_Consulting[Tax Code],$BI561)))&amp;"")</f>
        <v/>
      </c>
      <c r="K561" s="10">
        <f>IF(H561="","",IFERROR(INDEX(lst_CCtoGL,MATCH(H561,lst_CCforGL,0)),""))</f>
        <v/>
      </c>
      <c r="L561" s="10">
        <f>IF($BI561="","",IF($B561="Onsite",INDEX(tbl_Onsite[PO / Reference],$BI561),IF($B561="Production",INDEX(tbl_Production[Current RMS No],$BI561),INDEX(tbl_Consulting[Qwilr Quote],$BI561)))&amp;"")</f>
        <v/>
      </c>
      <c r="M561" s="10">
        <f>IF($BI561="","",IF($B561="Onsite",INDEX(tbl_Onsite[Notes],$BI561),IF($B561="Production",INDEX(tbl_Production[Notes],$BI561),INDEX(tbl_Consulting[Notes],$BI561)))&amp;"")</f>
        <v/>
      </c>
      <c r="N561" s="11">
        <f>IF($BI561="","",IF(IF($B561="Onsite",INDEX(tbl_Onsite[Expected Revenue Ex GST],$BI561),IF($B561="Production",INDEX(tbl_Production[Expected Revenue Ex GST],$BI561),INDEX(tbl_Consulting[Expected Revenue Ex GST],$BI561)))="","",IF($B561="Onsite",INDEX(tbl_Onsite[Expected Revenue Ex GST],$BI561),IF($B561="Production",INDEX(tbl_Production[Expected Revenue Ex GST],$BI561),INDEX(tbl_Consulting[Expected Revenue Ex GST],$BI561)))))</f>
        <v/>
      </c>
      <c r="O561" s="11">
        <f>IF(AND($C561="",NOT(COUNTA($S561:$BB561)&gt;0)),"",SUM(U561,X561,AA561,AD561,AG561,AJ561,AM561,AP561,AS561,AV561,AY561,BB561))</f>
        <v/>
      </c>
      <c r="P561" s="11">
        <f>IF(O561="","",N(N561)-O561)</f>
        <v/>
      </c>
      <c r="Q561" s="10">
        <f>IF(O561="","",IF($C561="","Invoice on empty job row",IF(N561="",IF(ROUND(O561,2)=0,"No dept value","Invoiced - no dept value"),IF(ROUND(O561,2)=0,"Not invoiced - to invoice",IF(ROUND(P561,2)=0,"Agrees",IF(P561&gt;0,"Dept higher - to invoice","Xero higher - check dept"))))))</f>
        <v/>
      </c>
      <c r="R561" s="10">
        <f>IF(AND($C561="",NOT(COUNTA($S561:$BB561)&gt;0),$BI561&lt;&gt;""),"",MID(IF($BI561="","; Row ID not found on the department sheet - a row was deleted","")&amp;IF(AND($C561="",COUNTA($S561:$BB561)&gt;0),"; Invoice entered but the department row has no job number","")&amp;IF(E561="CHECK","; Job number not in the Xero job list","")&amp;IF(AND($C561&lt;&gt;"",COUNTIF($C$7:$C$1506,$C561)&gt;1),"; Job number on more than one row","")&amp;IF(AND($C561&lt;&gt;"",H561=""),"; Dept has not set a cost centre","")&amp;IF(AND($C561&lt;&gt;"",J561=""),"; Dept has not set a tax code","")&amp;IF(AND($C561&lt;&gt;"",N561=""),"; Dept has not entered an expected value","")&amp;IF((IF(OR(COUNTA(S561:U561)=0,AND(COUNTA(S561:U561)=3,ISNUMBER(U561))),0,1)+IF(OR(COUNTA(V561:X561)=0,AND(COUNTA(V561:X561)=3,ISNUMBER(X561))),0,1)+IF(OR(COUNTA(Y561:AA561)=0,AND(COUNTA(Y561:AA561)=3,ISNUMBER(AA561))),0,1)+IF(OR(COUNTA(AB561:AD561)=0,AND(COUNTA(AB561:AD561)=3,ISNUMBER(AD561))),0,1)+IF(OR(COUNTA(AE561:AG561)=0,AND(COUNTA(AE561:AG561)=3,ISNUMBER(AG561))),0,1)+IF(OR(COUNTA(AH561:AJ561)=0,AND(COUNTA(AH561:AJ561)=3,ISNUMBER(AJ561))),0,1)+IF(OR(COUNTA(AK561:AM561)=0,AND(COUNTA(AK561:AM561)=3,ISNUMBER(AM561))),0,1)+IF(OR(COUNTA(AN561:AP561)=0,AND(COUNTA(AN561:AP561)=3,ISNUMBER(AP561))),0,1)+IF(OR(COUNTA(AQ561:AS561)=0,AND(COUNTA(AQ561:AS561)=3,ISNUMBER(AS561))),0,1)+IF(OR(COUNTA(AT561:AV561)=0,AND(COUNTA(AT561:AV561)=3,ISNUMBER(AV561))),0,1)+IF(OR(COUNTA(AW561:AY561)=0,AND(COUNTA(AW561:AY561)=3,ISNUMBER(AY561))),0,1)+IF(OR(COUNTA(AZ561:BB561)=0,AND(COUNTA(AZ561:BB561)=3,ISNUMBER(BB561))),0,1))&gt;0,"; An invoice is incomplete (needs No, Date and a number in Ex GST)","")&amp;IF((IF(T561="",0,IFERROR(--(EOMONTH(T561,0)&lt;&gt;S$5),1))+IF(W561="",0,IFERROR(--(EOMONTH(W561,0)&lt;&gt;V$5),1))+IF(Z561="",0,IFERROR(--(EOMONTH(Z561,0)&lt;&gt;Y$5),1))+IF(AC561="",0,IFERROR(--(EOMONTH(AC561,0)&lt;&gt;AB$5),1))+IF(AF561="",0,IFERROR(--(EOMONTH(AF561,0)&lt;&gt;AE$5),1))+IF(AI561="",0,IFERROR(--(EOMONTH(AI561,0)&lt;&gt;AH$5),1))+IF(AL561="",0,IFERROR(--(EOMONTH(AL561,0)&lt;&gt;AK$5),1))+IF(AO561="",0,IFERROR(--(EOMONTH(AO561,0)&lt;&gt;AN$5),1))+IF(AR561="",0,IFERROR(--(EOMONTH(AR561,0)&lt;&gt;AQ$5),1))+IF(AU561="",0,IFERROR(--(EOMONTH(AU561,0)&lt;&gt;AT$5),1))+IF(AX561="",0,IFERROR(--(EOMONTH(AX561,0)&lt;&gt;AW$5),1))+IF(BA561="",0,IFERROR(--(EOMONTH(BA561,0)&lt;&gt;AZ$5),1)))&gt;0,"; An invoice date is not in the month it is typed under",""),3,500))</f>
        <v/>
      </c>
      <c r="S561" s="12" t="n"/>
      <c r="T561" s="13" t="n"/>
      <c r="U561" s="14" t="n"/>
      <c r="V561" s="12" t="n"/>
      <c r="W561" s="13" t="n"/>
      <c r="X561" s="14" t="n"/>
      <c r="Y561" s="12" t="n"/>
      <c r="Z561" s="13" t="n"/>
      <c r="AA561" s="14" t="n"/>
      <c r="AB561" s="12" t="n"/>
      <c r="AC561" s="13" t="n"/>
      <c r="AD561" s="14" t="n"/>
      <c r="AE561" s="12" t="n"/>
      <c r="AF561" s="13" t="n"/>
      <c r="AG561" s="14" t="n"/>
      <c r="AH561" s="12" t="n"/>
      <c r="AI561" s="13" t="n"/>
      <c r="AJ561" s="14" t="n"/>
      <c r="AK561" s="12" t="n"/>
      <c r="AL561" s="13" t="n"/>
      <c r="AM561" s="14" t="n"/>
      <c r="AN561" s="12" t="n"/>
      <c r="AO561" s="13" t="n"/>
      <c r="AP561" s="14" t="n"/>
      <c r="AQ561" s="12" t="n"/>
      <c r="AR561" s="13" t="n"/>
      <c r="AS561" s="14" t="n"/>
      <c r="AT561" s="12" t="n"/>
      <c r="AU561" s="13" t="n"/>
      <c r="AV561" s="14" t="n"/>
      <c r="AW561" s="12" t="n"/>
      <c r="AX561" s="13" t="n"/>
      <c r="AY561" s="14" t="n"/>
      <c r="AZ561" s="12" t="n"/>
      <c r="BA561" s="13" t="n"/>
      <c r="BB561" s="14" t="n"/>
      <c r="BC561" s="11">
        <f>IF(O561="","",IF(J561="GST 10%",ROUND(O561*set_GSTRate,2),0))</f>
        <v/>
      </c>
      <c r="BD561" s="11">
        <f>IF(O561="","",O561+BC561)</f>
        <v/>
      </c>
      <c r="BE561" s="15">
        <f>IF(O561="","",COUNTA(S561,V561,Y561,AB561,AE561,AH561,AK561,AN561,AQ561,AT561,AW561,AZ561))</f>
        <v/>
      </c>
      <c r="BF561" s="16">
        <f>IF(COUNT(T561,W561,Z561,AC561,AF561,AI561,AL561,AO561,AR561,AU561,AX561,BA561)=0,"",MAX(T561,W561,Z561,AC561,AF561,AI561,AL561,AO561,AR561,AU561,AX561,BA561))</f>
        <v/>
      </c>
      <c r="BG561" s="10">
        <f>MID(IF(S561="","",", "&amp;S561)&amp;IF(V561="","",", "&amp;V561)&amp;IF(Y561="","",", "&amp;Y561)&amp;IF(AB561="","",", "&amp;AB561)&amp;IF(AE561="","",", "&amp;AE561)&amp;IF(AH561="","",", "&amp;AH561)&amp;IF(AK561="","",", "&amp;AK561)&amp;IF(AN561="","",", "&amp;AN561)&amp;IF(AQ561="","",", "&amp;AQ561)&amp;IF(AT561="","",", "&amp;AT561)&amp;IF(AW561="","",", "&amp;AW561)&amp;IF(AZ561="","",", "&amp;AZ561),3,500)</f>
        <v/>
      </c>
      <c r="BH561" s="12" t="n"/>
      <c r="BI561" s="15">
        <f>IFERROR(MATCH($A561,IF($B561="Onsite",tbl_Onsite[Row ID],IF($B561="Production",tbl_Production[Row ID],tbl_Consulting[Row ID])),0),"")</f>
        <v/>
      </c>
    </row>
    <row r="562">
      <c r="A562" s="10" t="inlineStr">
        <is>
          <t>PRD-0056</t>
        </is>
      </c>
      <c r="B562" s="10" t="inlineStr">
        <is>
          <t>Production</t>
        </is>
      </c>
      <c r="C562" s="10">
        <f>IF($BI562="","",IF($B562="Onsite",INDEX(tbl_Onsite[Job Number],$BI562),IF($B562="Production",INDEX(tbl_Production[Job Number],$BI562),INDEX(tbl_Consulting[Job Number],$BI562)))&amp;"")</f>
        <v/>
      </c>
      <c r="D562" s="10">
        <f>IF($BI562="","",IF($B562="Onsite",INDEX(tbl_Onsite[Client],$BI562),IF($B562="Production",INDEX(tbl_Production[Client],$BI562),INDEX(tbl_Consulting[Client],$BI562)))&amp;"")</f>
        <v/>
      </c>
      <c r="E562" s="10">
        <f>IF($C562="","",IF(COUNTIF(lst_Jobs,$C562)&gt;0,"OK","CHECK"))</f>
        <v/>
      </c>
      <c r="F562" s="10">
        <f>IF($C562="","",IFERROR(INDEX(lst_JobName,MATCH($C562,lst_Jobs,0)),""))</f>
        <v/>
      </c>
      <c r="G562" s="10">
        <f>IF($BI562="","",IF($B562="Onsite",INDEX(tbl_Onsite[Job Description],$BI562),IF($B562="Production",INDEX(tbl_Production[Job Description],$BI562),INDEX(tbl_Consulting[Job Description],$BI562)))&amp;"")</f>
        <v/>
      </c>
      <c r="H562" s="10">
        <f>IF($BI562="","",IF($B562="Onsite",INDEX(tbl_Onsite[Cost Centre],$BI562),IF($B562="Production",INDEX(tbl_Production[Cost Centre],$BI562),INDEX(tbl_Consulting[Cost Centre],$BI562)))&amp;"")</f>
        <v/>
      </c>
      <c r="I562" s="10">
        <f>IF($BI562="","",IF($B562="Onsite",INDEX(tbl_Onsite[Invoice Type],$BI562),IF($B562="Production",INDEX(tbl_Production[Invoice Type],$BI562),INDEX(tbl_Consulting[Invoice Type],$BI562)))&amp;"")</f>
        <v/>
      </c>
      <c r="J562" s="10">
        <f>IF($BI562="","",IF($B562="Onsite",INDEX(tbl_Onsite[Tax Code],$BI562),IF($B562="Production",INDEX(tbl_Production[Tax Code],$BI562),INDEX(tbl_Consulting[Tax Code],$BI562)))&amp;"")</f>
        <v/>
      </c>
      <c r="K562" s="10">
        <f>IF(H562="","",IFERROR(INDEX(lst_CCtoGL,MATCH(H562,lst_CCforGL,0)),""))</f>
        <v/>
      </c>
      <c r="L562" s="10">
        <f>IF($BI562="","",IF($B562="Onsite",INDEX(tbl_Onsite[PO / Reference],$BI562),IF($B562="Production",INDEX(tbl_Production[Current RMS No],$BI562),INDEX(tbl_Consulting[Qwilr Quote],$BI562)))&amp;"")</f>
        <v/>
      </c>
      <c r="M562" s="10">
        <f>IF($BI562="","",IF($B562="Onsite",INDEX(tbl_Onsite[Notes],$BI562),IF($B562="Production",INDEX(tbl_Production[Notes],$BI562),INDEX(tbl_Consulting[Notes],$BI562)))&amp;"")</f>
        <v/>
      </c>
      <c r="N562" s="11">
        <f>IF($BI562="","",IF(IF($B562="Onsite",INDEX(tbl_Onsite[Expected Revenue Ex GST],$BI562),IF($B562="Production",INDEX(tbl_Production[Expected Revenue Ex GST],$BI562),INDEX(tbl_Consulting[Expected Revenue Ex GST],$BI562)))="","",IF($B562="Onsite",INDEX(tbl_Onsite[Expected Revenue Ex GST],$BI562),IF($B562="Production",INDEX(tbl_Production[Expected Revenue Ex GST],$BI562),INDEX(tbl_Consulting[Expected Revenue Ex GST],$BI562)))))</f>
        <v/>
      </c>
      <c r="O562" s="11">
        <f>IF(AND($C562="",NOT(COUNTA($S562:$BB562)&gt;0)),"",SUM(U562,X562,AA562,AD562,AG562,AJ562,AM562,AP562,AS562,AV562,AY562,BB562))</f>
        <v/>
      </c>
      <c r="P562" s="11">
        <f>IF(O562="","",N(N562)-O562)</f>
        <v/>
      </c>
      <c r="Q562" s="10">
        <f>IF(O562="","",IF($C562="","Invoice on empty job row",IF(N562="",IF(ROUND(O562,2)=0,"No dept value","Invoiced - no dept value"),IF(ROUND(O562,2)=0,"Not invoiced - to invoice",IF(ROUND(P562,2)=0,"Agrees",IF(P562&gt;0,"Dept higher - to invoice","Xero higher - check dept"))))))</f>
        <v/>
      </c>
      <c r="R562" s="10">
        <f>IF(AND($C562="",NOT(COUNTA($S562:$BB562)&gt;0),$BI562&lt;&gt;""),"",MID(IF($BI562="","; Row ID not found on the department sheet - a row was deleted","")&amp;IF(AND($C562="",COUNTA($S562:$BB562)&gt;0),"; Invoice entered but the department row has no job number","")&amp;IF(E562="CHECK","; Job number not in the Xero job list","")&amp;IF(AND($C562&lt;&gt;"",COUNTIF($C$7:$C$1506,$C562)&gt;1),"; Job number on more than one row","")&amp;IF(AND($C562&lt;&gt;"",H562=""),"; Dept has not set a cost centre","")&amp;IF(AND($C562&lt;&gt;"",J562=""),"; Dept has not set a tax code","")&amp;IF(AND($C562&lt;&gt;"",N562=""),"; Dept has not entered an expected value","")&amp;IF((IF(OR(COUNTA(S562:U562)=0,AND(COUNTA(S562:U562)=3,ISNUMBER(U562))),0,1)+IF(OR(COUNTA(V562:X562)=0,AND(COUNTA(V562:X562)=3,ISNUMBER(X562))),0,1)+IF(OR(COUNTA(Y562:AA562)=0,AND(COUNTA(Y562:AA562)=3,ISNUMBER(AA562))),0,1)+IF(OR(COUNTA(AB562:AD562)=0,AND(COUNTA(AB562:AD562)=3,ISNUMBER(AD562))),0,1)+IF(OR(COUNTA(AE562:AG562)=0,AND(COUNTA(AE562:AG562)=3,ISNUMBER(AG562))),0,1)+IF(OR(COUNTA(AH562:AJ562)=0,AND(COUNTA(AH562:AJ562)=3,ISNUMBER(AJ562))),0,1)+IF(OR(COUNTA(AK562:AM562)=0,AND(COUNTA(AK562:AM562)=3,ISNUMBER(AM562))),0,1)+IF(OR(COUNTA(AN562:AP562)=0,AND(COUNTA(AN562:AP562)=3,ISNUMBER(AP562))),0,1)+IF(OR(COUNTA(AQ562:AS562)=0,AND(COUNTA(AQ562:AS562)=3,ISNUMBER(AS562))),0,1)+IF(OR(COUNTA(AT562:AV562)=0,AND(COUNTA(AT562:AV562)=3,ISNUMBER(AV562))),0,1)+IF(OR(COUNTA(AW562:AY562)=0,AND(COUNTA(AW562:AY562)=3,ISNUMBER(AY562))),0,1)+IF(OR(COUNTA(AZ562:BB562)=0,AND(COUNTA(AZ562:BB562)=3,ISNUMBER(BB562))),0,1))&gt;0,"; An invoice is incomplete (needs No, Date and a number in Ex GST)","")&amp;IF((IF(T562="",0,IFERROR(--(EOMONTH(T562,0)&lt;&gt;S$5),1))+IF(W562="",0,IFERROR(--(EOMONTH(W562,0)&lt;&gt;V$5),1))+IF(Z562="",0,IFERROR(--(EOMONTH(Z562,0)&lt;&gt;Y$5),1))+IF(AC562="",0,IFERROR(--(EOMONTH(AC562,0)&lt;&gt;AB$5),1))+IF(AF562="",0,IFERROR(--(EOMONTH(AF562,0)&lt;&gt;AE$5),1))+IF(AI562="",0,IFERROR(--(EOMONTH(AI562,0)&lt;&gt;AH$5),1))+IF(AL562="",0,IFERROR(--(EOMONTH(AL562,0)&lt;&gt;AK$5),1))+IF(AO562="",0,IFERROR(--(EOMONTH(AO562,0)&lt;&gt;AN$5),1))+IF(AR562="",0,IFERROR(--(EOMONTH(AR562,0)&lt;&gt;AQ$5),1))+IF(AU562="",0,IFERROR(--(EOMONTH(AU562,0)&lt;&gt;AT$5),1))+IF(AX562="",0,IFERROR(--(EOMONTH(AX562,0)&lt;&gt;AW$5),1))+IF(BA562="",0,IFERROR(--(EOMONTH(BA562,0)&lt;&gt;AZ$5),1)))&gt;0,"; An invoice date is not in the month it is typed under",""),3,500))</f>
        <v/>
      </c>
      <c r="S562" s="12" t="n"/>
      <c r="T562" s="13" t="n"/>
      <c r="U562" s="14" t="n"/>
      <c r="V562" s="12" t="n"/>
      <c r="W562" s="13" t="n"/>
      <c r="X562" s="14" t="n"/>
      <c r="Y562" s="12" t="n"/>
      <c r="Z562" s="13" t="n"/>
      <c r="AA562" s="14" t="n"/>
      <c r="AB562" s="12" t="n"/>
      <c r="AC562" s="13" t="n"/>
      <c r="AD562" s="14" t="n"/>
      <c r="AE562" s="12" t="n"/>
      <c r="AF562" s="13" t="n"/>
      <c r="AG562" s="14" t="n"/>
      <c r="AH562" s="12" t="n"/>
      <c r="AI562" s="13" t="n"/>
      <c r="AJ562" s="14" t="n"/>
      <c r="AK562" s="12" t="n"/>
      <c r="AL562" s="13" t="n"/>
      <c r="AM562" s="14" t="n"/>
      <c r="AN562" s="12" t="n"/>
      <c r="AO562" s="13" t="n"/>
      <c r="AP562" s="14" t="n"/>
      <c r="AQ562" s="12" t="n"/>
      <c r="AR562" s="13" t="n"/>
      <c r="AS562" s="14" t="n"/>
      <c r="AT562" s="12" t="n"/>
      <c r="AU562" s="13" t="n"/>
      <c r="AV562" s="14" t="n"/>
      <c r="AW562" s="12" t="n"/>
      <c r="AX562" s="13" t="n"/>
      <c r="AY562" s="14" t="n"/>
      <c r="AZ562" s="12" t="n"/>
      <c r="BA562" s="13" t="n"/>
      <c r="BB562" s="14" t="n"/>
      <c r="BC562" s="11">
        <f>IF(O562="","",IF(J562="GST 10%",ROUND(O562*set_GSTRate,2),0))</f>
        <v/>
      </c>
      <c r="BD562" s="11">
        <f>IF(O562="","",O562+BC562)</f>
        <v/>
      </c>
      <c r="BE562" s="15">
        <f>IF(O562="","",COUNTA(S562,V562,Y562,AB562,AE562,AH562,AK562,AN562,AQ562,AT562,AW562,AZ562))</f>
        <v/>
      </c>
      <c r="BF562" s="16">
        <f>IF(COUNT(T562,W562,Z562,AC562,AF562,AI562,AL562,AO562,AR562,AU562,AX562,BA562)=0,"",MAX(T562,W562,Z562,AC562,AF562,AI562,AL562,AO562,AR562,AU562,AX562,BA562))</f>
        <v/>
      </c>
      <c r="BG562" s="10">
        <f>MID(IF(S562="","",", "&amp;S562)&amp;IF(V562="","",", "&amp;V562)&amp;IF(Y562="","",", "&amp;Y562)&amp;IF(AB562="","",", "&amp;AB562)&amp;IF(AE562="","",", "&amp;AE562)&amp;IF(AH562="","",", "&amp;AH562)&amp;IF(AK562="","",", "&amp;AK562)&amp;IF(AN562="","",", "&amp;AN562)&amp;IF(AQ562="","",", "&amp;AQ562)&amp;IF(AT562="","",", "&amp;AT562)&amp;IF(AW562="","",", "&amp;AW562)&amp;IF(AZ562="","",", "&amp;AZ562),3,500)</f>
        <v/>
      </c>
      <c r="BH562" s="12" t="n"/>
      <c r="BI562" s="15">
        <f>IFERROR(MATCH($A562,IF($B562="Onsite",tbl_Onsite[Row ID],IF($B562="Production",tbl_Production[Row ID],tbl_Consulting[Row ID])),0),"")</f>
        <v/>
      </c>
    </row>
    <row r="563">
      <c r="A563" s="10" t="inlineStr">
        <is>
          <t>PRD-0057</t>
        </is>
      </c>
      <c r="B563" s="10" t="inlineStr">
        <is>
          <t>Production</t>
        </is>
      </c>
      <c r="C563" s="10">
        <f>IF($BI563="","",IF($B563="Onsite",INDEX(tbl_Onsite[Job Number],$BI563),IF($B563="Production",INDEX(tbl_Production[Job Number],$BI563),INDEX(tbl_Consulting[Job Number],$BI563)))&amp;"")</f>
        <v/>
      </c>
      <c r="D563" s="10">
        <f>IF($BI563="","",IF($B563="Onsite",INDEX(tbl_Onsite[Client],$BI563),IF($B563="Production",INDEX(tbl_Production[Client],$BI563),INDEX(tbl_Consulting[Client],$BI563)))&amp;"")</f>
        <v/>
      </c>
      <c r="E563" s="10">
        <f>IF($C563="","",IF(COUNTIF(lst_Jobs,$C563)&gt;0,"OK","CHECK"))</f>
        <v/>
      </c>
      <c r="F563" s="10">
        <f>IF($C563="","",IFERROR(INDEX(lst_JobName,MATCH($C563,lst_Jobs,0)),""))</f>
        <v/>
      </c>
      <c r="G563" s="10">
        <f>IF($BI563="","",IF($B563="Onsite",INDEX(tbl_Onsite[Job Description],$BI563),IF($B563="Production",INDEX(tbl_Production[Job Description],$BI563),INDEX(tbl_Consulting[Job Description],$BI563)))&amp;"")</f>
        <v/>
      </c>
      <c r="H563" s="10">
        <f>IF($BI563="","",IF($B563="Onsite",INDEX(tbl_Onsite[Cost Centre],$BI563),IF($B563="Production",INDEX(tbl_Production[Cost Centre],$BI563),INDEX(tbl_Consulting[Cost Centre],$BI563)))&amp;"")</f>
        <v/>
      </c>
      <c r="I563" s="10">
        <f>IF($BI563="","",IF($B563="Onsite",INDEX(tbl_Onsite[Invoice Type],$BI563),IF($B563="Production",INDEX(tbl_Production[Invoice Type],$BI563),INDEX(tbl_Consulting[Invoice Type],$BI563)))&amp;"")</f>
        <v/>
      </c>
      <c r="J563" s="10">
        <f>IF($BI563="","",IF($B563="Onsite",INDEX(tbl_Onsite[Tax Code],$BI563),IF($B563="Production",INDEX(tbl_Production[Tax Code],$BI563),INDEX(tbl_Consulting[Tax Code],$BI563)))&amp;"")</f>
        <v/>
      </c>
      <c r="K563" s="10">
        <f>IF(H563="","",IFERROR(INDEX(lst_CCtoGL,MATCH(H563,lst_CCforGL,0)),""))</f>
        <v/>
      </c>
      <c r="L563" s="10">
        <f>IF($BI563="","",IF($B563="Onsite",INDEX(tbl_Onsite[PO / Reference],$BI563),IF($B563="Production",INDEX(tbl_Production[Current RMS No],$BI563),INDEX(tbl_Consulting[Qwilr Quote],$BI563)))&amp;"")</f>
        <v/>
      </c>
      <c r="M563" s="10">
        <f>IF($BI563="","",IF($B563="Onsite",INDEX(tbl_Onsite[Notes],$BI563),IF($B563="Production",INDEX(tbl_Production[Notes],$BI563),INDEX(tbl_Consulting[Notes],$BI563)))&amp;"")</f>
        <v/>
      </c>
      <c r="N563" s="11">
        <f>IF($BI563="","",IF(IF($B563="Onsite",INDEX(tbl_Onsite[Expected Revenue Ex GST],$BI563),IF($B563="Production",INDEX(tbl_Production[Expected Revenue Ex GST],$BI563),INDEX(tbl_Consulting[Expected Revenue Ex GST],$BI563)))="","",IF($B563="Onsite",INDEX(tbl_Onsite[Expected Revenue Ex GST],$BI563),IF($B563="Production",INDEX(tbl_Production[Expected Revenue Ex GST],$BI563),INDEX(tbl_Consulting[Expected Revenue Ex GST],$BI563)))))</f>
        <v/>
      </c>
      <c r="O563" s="11">
        <f>IF(AND($C563="",NOT(COUNTA($S563:$BB563)&gt;0)),"",SUM(U563,X563,AA563,AD563,AG563,AJ563,AM563,AP563,AS563,AV563,AY563,BB563))</f>
        <v/>
      </c>
      <c r="P563" s="11">
        <f>IF(O563="","",N(N563)-O563)</f>
        <v/>
      </c>
      <c r="Q563" s="10">
        <f>IF(O563="","",IF($C563="","Invoice on empty job row",IF(N563="",IF(ROUND(O563,2)=0,"No dept value","Invoiced - no dept value"),IF(ROUND(O563,2)=0,"Not invoiced - to invoice",IF(ROUND(P563,2)=0,"Agrees",IF(P563&gt;0,"Dept higher - to invoice","Xero higher - check dept"))))))</f>
        <v/>
      </c>
      <c r="R563" s="10">
        <f>IF(AND($C563="",NOT(COUNTA($S563:$BB563)&gt;0),$BI563&lt;&gt;""),"",MID(IF($BI563="","; Row ID not found on the department sheet - a row was deleted","")&amp;IF(AND($C563="",COUNTA($S563:$BB563)&gt;0),"; Invoice entered but the department row has no job number","")&amp;IF(E563="CHECK","; Job number not in the Xero job list","")&amp;IF(AND($C563&lt;&gt;"",COUNTIF($C$7:$C$1506,$C563)&gt;1),"; Job number on more than one row","")&amp;IF(AND($C563&lt;&gt;"",H563=""),"; Dept has not set a cost centre","")&amp;IF(AND($C563&lt;&gt;"",J563=""),"; Dept has not set a tax code","")&amp;IF(AND($C563&lt;&gt;"",N563=""),"; Dept has not entered an expected value","")&amp;IF((IF(OR(COUNTA(S563:U563)=0,AND(COUNTA(S563:U563)=3,ISNUMBER(U563))),0,1)+IF(OR(COUNTA(V563:X563)=0,AND(COUNTA(V563:X563)=3,ISNUMBER(X563))),0,1)+IF(OR(COUNTA(Y563:AA563)=0,AND(COUNTA(Y563:AA563)=3,ISNUMBER(AA563))),0,1)+IF(OR(COUNTA(AB563:AD563)=0,AND(COUNTA(AB563:AD563)=3,ISNUMBER(AD563))),0,1)+IF(OR(COUNTA(AE563:AG563)=0,AND(COUNTA(AE563:AG563)=3,ISNUMBER(AG563))),0,1)+IF(OR(COUNTA(AH563:AJ563)=0,AND(COUNTA(AH563:AJ563)=3,ISNUMBER(AJ563))),0,1)+IF(OR(COUNTA(AK563:AM563)=0,AND(COUNTA(AK563:AM563)=3,ISNUMBER(AM563))),0,1)+IF(OR(COUNTA(AN563:AP563)=0,AND(COUNTA(AN563:AP563)=3,ISNUMBER(AP563))),0,1)+IF(OR(COUNTA(AQ563:AS563)=0,AND(COUNTA(AQ563:AS563)=3,ISNUMBER(AS563))),0,1)+IF(OR(COUNTA(AT563:AV563)=0,AND(COUNTA(AT563:AV563)=3,ISNUMBER(AV563))),0,1)+IF(OR(COUNTA(AW563:AY563)=0,AND(COUNTA(AW563:AY563)=3,ISNUMBER(AY563))),0,1)+IF(OR(COUNTA(AZ563:BB563)=0,AND(COUNTA(AZ563:BB563)=3,ISNUMBER(BB563))),0,1))&gt;0,"; An invoice is incomplete (needs No, Date and a number in Ex GST)","")&amp;IF((IF(T563="",0,IFERROR(--(EOMONTH(T563,0)&lt;&gt;S$5),1))+IF(W563="",0,IFERROR(--(EOMONTH(W563,0)&lt;&gt;V$5),1))+IF(Z563="",0,IFERROR(--(EOMONTH(Z563,0)&lt;&gt;Y$5),1))+IF(AC563="",0,IFERROR(--(EOMONTH(AC563,0)&lt;&gt;AB$5),1))+IF(AF563="",0,IFERROR(--(EOMONTH(AF563,0)&lt;&gt;AE$5),1))+IF(AI563="",0,IFERROR(--(EOMONTH(AI563,0)&lt;&gt;AH$5),1))+IF(AL563="",0,IFERROR(--(EOMONTH(AL563,0)&lt;&gt;AK$5),1))+IF(AO563="",0,IFERROR(--(EOMONTH(AO563,0)&lt;&gt;AN$5),1))+IF(AR563="",0,IFERROR(--(EOMONTH(AR563,0)&lt;&gt;AQ$5),1))+IF(AU563="",0,IFERROR(--(EOMONTH(AU563,0)&lt;&gt;AT$5),1))+IF(AX563="",0,IFERROR(--(EOMONTH(AX563,0)&lt;&gt;AW$5),1))+IF(BA563="",0,IFERROR(--(EOMONTH(BA563,0)&lt;&gt;AZ$5),1)))&gt;0,"; An invoice date is not in the month it is typed under",""),3,500))</f>
        <v/>
      </c>
      <c r="S563" s="12" t="n"/>
      <c r="T563" s="13" t="n"/>
      <c r="U563" s="14" t="n"/>
      <c r="V563" s="12" t="n"/>
      <c r="W563" s="13" t="n"/>
      <c r="X563" s="14" t="n"/>
      <c r="Y563" s="12" t="n"/>
      <c r="Z563" s="13" t="n"/>
      <c r="AA563" s="14" t="n"/>
      <c r="AB563" s="12" t="n"/>
      <c r="AC563" s="13" t="n"/>
      <c r="AD563" s="14" t="n"/>
      <c r="AE563" s="12" t="n"/>
      <c r="AF563" s="13" t="n"/>
      <c r="AG563" s="14" t="n"/>
      <c r="AH563" s="12" t="n"/>
      <c r="AI563" s="13" t="n"/>
      <c r="AJ563" s="14" t="n"/>
      <c r="AK563" s="12" t="n"/>
      <c r="AL563" s="13" t="n"/>
      <c r="AM563" s="14" t="n"/>
      <c r="AN563" s="12" t="n"/>
      <c r="AO563" s="13" t="n"/>
      <c r="AP563" s="14" t="n"/>
      <c r="AQ563" s="12" t="n"/>
      <c r="AR563" s="13" t="n"/>
      <c r="AS563" s="14" t="n"/>
      <c r="AT563" s="12" t="n"/>
      <c r="AU563" s="13" t="n"/>
      <c r="AV563" s="14" t="n"/>
      <c r="AW563" s="12" t="n"/>
      <c r="AX563" s="13" t="n"/>
      <c r="AY563" s="14" t="n"/>
      <c r="AZ563" s="12" t="n"/>
      <c r="BA563" s="13" t="n"/>
      <c r="BB563" s="14" t="n"/>
      <c r="BC563" s="11">
        <f>IF(O563="","",IF(J563="GST 10%",ROUND(O563*set_GSTRate,2),0))</f>
        <v/>
      </c>
      <c r="BD563" s="11">
        <f>IF(O563="","",O563+BC563)</f>
        <v/>
      </c>
      <c r="BE563" s="15">
        <f>IF(O563="","",COUNTA(S563,V563,Y563,AB563,AE563,AH563,AK563,AN563,AQ563,AT563,AW563,AZ563))</f>
        <v/>
      </c>
      <c r="BF563" s="16">
        <f>IF(COUNT(T563,W563,Z563,AC563,AF563,AI563,AL563,AO563,AR563,AU563,AX563,BA563)=0,"",MAX(T563,W563,Z563,AC563,AF563,AI563,AL563,AO563,AR563,AU563,AX563,BA563))</f>
        <v/>
      </c>
      <c r="BG563" s="10">
        <f>MID(IF(S563="","",", "&amp;S563)&amp;IF(V563="","",", "&amp;V563)&amp;IF(Y563="","",", "&amp;Y563)&amp;IF(AB563="","",", "&amp;AB563)&amp;IF(AE563="","",", "&amp;AE563)&amp;IF(AH563="","",", "&amp;AH563)&amp;IF(AK563="","",", "&amp;AK563)&amp;IF(AN563="","",", "&amp;AN563)&amp;IF(AQ563="","",", "&amp;AQ563)&amp;IF(AT563="","",", "&amp;AT563)&amp;IF(AW563="","",", "&amp;AW563)&amp;IF(AZ563="","",", "&amp;AZ563),3,500)</f>
        <v/>
      </c>
      <c r="BH563" s="12" t="n"/>
      <c r="BI563" s="15">
        <f>IFERROR(MATCH($A563,IF($B563="Onsite",tbl_Onsite[Row ID],IF($B563="Production",tbl_Production[Row ID],tbl_Consulting[Row ID])),0),"")</f>
        <v/>
      </c>
    </row>
    <row r="564">
      <c r="A564" s="10" t="inlineStr">
        <is>
          <t>PRD-0058</t>
        </is>
      </c>
      <c r="B564" s="10" t="inlineStr">
        <is>
          <t>Production</t>
        </is>
      </c>
      <c r="C564" s="10">
        <f>IF($BI564="","",IF($B564="Onsite",INDEX(tbl_Onsite[Job Number],$BI564),IF($B564="Production",INDEX(tbl_Production[Job Number],$BI564),INDEX(tbl_Consulting[Job Number],$BI564)))&amp;"")</f>
        <v/>
      </c>
      <c r="D564" s="10">
        <f>IF($BI564="","",IF($B564="Onsite",INDEX(tbl_Onsite[Client],$BI564),IF($B564="Production",INDEX(tbl_Production[Client],$BI564),INDEX(tbl_Consulting[Client],$BI564)))&amp;"")</f>
        <v/>
      </c>
      <c r="E564" s="10">
        <f>IF($C564="","",IF(COUNTIF(lst_Jobs,$C564)&gt;0,"OK","CHECK"))</f>
        <v/>
      </c>
      <c r="F564" s="10">
        <f>IF($C564="","",IFERROR(INDEX(lst_JobName,MATCH($C564,lst_Jobs,0)),""))</f>
        <v/>
      </c>
      <c r="G564" s="10">
        <f>IF($BI564="","",IF($B564="Onsite",INDEX(tbl_Onsite[Job Description],$BI564),IF($B564="Production",INDEX(tbl_Production[Job Description],$BI564),INDEX(tbl_Consulting[Job Description],$BI564)))&amp;"")</f>
        <v/>
      </c>
      <c r="H564" s="10">
        <f>IF($BI564="","",IF($B564="Onsite",INDEX(tbl_Onsite[Cost Centre],$BI564),IF($B564="Production",INDEX(tbl_Production[Cost Centre],$BI564),INDEX(tbl_Consulting[Cost Centre],$BI564)))&amp;"")</f>
        <v/>
      </c>
      <c r="I564" s="10">
        <f>IF($BI564="","",IF($B564="Onsite",INDEX(tbl_Onsite[Invoice Type],$BI564),IF($B564="Production",INDEX(tbl_Production[Invoice Type],$BI564),INDEX(tbl_Consulting[Invoice Type],$BI564)))&amp;"")</f>
        <v/>
      </c>
      <c r="J564" s="10">
        <f>IF($BI564="","",IF($B564="Onsite",INDEX(tbl_Onsite[Tax Code],$BI564),IF($B564="Production",INDEX(tbl_Production[Tax Code],$BI564),INDEX(tbl_Consulting[Tax Code],$BI564)))&amp;"")</f>
        <v/>
      </c>
      <c r="K564" s="10">
        <f>IF(H564="","",IFERROR(INDEX(lst_CCtoGL,MATCH(H564,lst_CCforGL,0)),""))</f>
        <v/>
      </c>
      <c r="L564" s="10">
        <f>IF($BI564="","",IF($B564="Onsite",INDEX(tbl_Onsite[PO / Reference],$BI564),IF($B564="Production",INDEX(tbl_Production[Current RMS No],$BI564),INDEX(tbl_Consulting[Qwilr Quote],$BI564)))&amp;"")</f>
        <v/>
      </c>
      <c r="M564" s="10">
        <f>IF($BI564="","",IF($B564="Onsite",INDEX(tbl_Onsite[Notes],$BI564),IF($B564="Production",INDEX(tbl_Production[Notes],$BI564),INDEX(tbl_Consulting[Notes],$BI564)))&amp;"")</f>
        <v/>
      </c>
      <c r="N564" s="11">
        <f>IF($BI564="","",IF(IF($B564="Onsite",INDEX(tbl_Onsite[Expected Revenue Ex GST],$BI564),IF($B564="Production",INDEX(tbl_Production[Expected Revenue Ex GST],$BI564),INDEX(tbl_Consulting[Expected Revenue Ex GST],$BI564)))="","",IF($B564="Onsite",INDEX(tbl_Onsite[Expected Revenue Ex GST],$BI564),IF($B564="Production",INDEX(tbl_Production[Expected Revenue Ex GST],$BI564),INDEX(tbl_Consulting[Expected Revenue Ex GST],$BI564)))))</f>
        <v/>
      </c>
      <c r="O564" s="11">
        <f>IF(AND($C564="",NOT(COUNTA($S564:$BB564)&gt;0)),"",SUM(U564,X564,AA564,AD564,AG564,AJ564,AM564,AP564,AS564,AV564,AY564,BB564))</f>
        <v/>
      </c>
      <c r="P564" s="11">
        <f>IF(O564="","",N(N564)-O564)</f>
        <v/>
      </c>
      <c r="Q564" s="10">
        <f>IF(O564="","",IF($C564="","Invoice on empty job row",IF(N564="",IF(ROUND(O564,2)=0,"No dept value","Invoiced - no dept value"),IF(ROUND(O564,2)=0,"Not invoiced - to invoice",IF(ROUND(P564,2)=0,"Agrees",IF(P564&gt;0,"Dept higher - to invoice","Xero higher - check dept"))))))</f>
        <v/>
      </c>
      <c r="R564" s="10">
        <f>IF(AND($C564="",NOT(COUNTA($S564:$BB564)&gt;0),$BI564&lt;&gt;""),"",MID(IF($BI564="","; Row ID not found on the department sheet - a row was deleted","")&amp;IF(AND($C564="",COUNTA($S564:$BB564)&gt;0),"; Invoice entered but the department row has no job number","")&amp;IF(E564="CHECK","; Job number not in the Xero job list","")&amp;IF(AND($C564&lt;&gt;"",COUNTIF($C$7:$C$1506,$C564)&gt;1),"; Job number on more than one row","")&amp;IF(AND($C564&lt;&gt;"",H564=""),"; Dept has not set a cost centre","")&amp;IF(AND($C564&lt;&gt;"",J564=""),"; Dept has not set a tax code","")&amp;IF(AND($C564&lt;&gt;"",N564=""),"; Dept has not entered an expected value","")&amp;IF((IF(OR(COUNTA(S564:U564)=0,AND(COUNTA(S564:U564)=3,ISNUMBER(U564))),0,1)+IF(OR(COUNTA(V564:X564)=0,AND(COUNTA(V564:X564)=3,ISNUMBER(X564))),0,1)+IF(OR(COUNTA(Y564:AA564)=0,AND(COUNTA(Y564:AA564)=3,ISNUMBER(AA564))),0,1)+IF(OR(COUNTA(AB564:AD564)=0,AND(COUNTA(AB564:AD564)=3,ISNUMBER(AD564))),0,1)+IF(OR(COUNTA(AE564:AG564)=0,AND(COUNTA(AE564:AG564)=3,ISNUMBER(AG564))),0,1)+IF(OR(COUNTA(AH564:AJ564)=0,AND(COUNTA(AH564:AJ564)=3,ISNUMBER(AJ564))),0,1)+IF(OR(COUNTA(AK564:AM564)=0,AND(COUNTA(AK564:AM564)=3,ISNUMBER(AM564))),0,1)+IF(OR(COUNTA(AN564:AP564)=0,AND(COUNTA(AN564:AP564)=3,ISNUMBER(AP564))),0,1)+IF(OR(COUNTA(AQ564:AS564)=0,AND(COUNTA(AQ564:AS564)=3,ISNUMBER(AS564))),0,1)+IF(OR(COUNTA(AT564:AV564)=0,AND(COUNTA(AT564:AV564)=3,ISNUMBER(AV564))),0,1)+IF(OR(COUNTA(AW564:AY564)=0,AND(COUNTA(AW564:AY564)=3,ISNUMBER(AY564))),0,1)+IF(OR(COUNTA(AZ564:BB564)=0,AND(COUNTA(AZ564:BB564)=3,ISNUMBER(BB564))),0,1))&gt;0,"; An invoice is incomplete (needs No, Date and a number in Ex GST)","")&amp;IF((IF(T564="",0,IFERROR(--(EOMONTH(T564,0)&lt;&gt;S$5),1))+IF(W564="",0,IFERROR(--(EOMONTH(W564,0)&lt;&gt;V$5),1))+IF(Z564="",0,IFERROR(--(EOMONTH(Z564,0)&lt;&gt;Y$5),1))+IF(AC564="",0,IFERROR(--(EOMONTH(AC564,0)&lt;&gt;AB$5),1))+IF(AF564="",0,IFERROR(--(EOMONTH(AF564,0)&lt;&gt;AE$5),1))+IF(AI564="",0,IFERROR(--(EOMONTH(AI564,0)&lt;&gt;AH$5),1))+IF(AL564="",0,IFERROR(--(EOMONTH(AL564,0)&lt;&gt;AK$5),1))+IF(AO564="",0,IFERROR(--(EOMONTH(AO564,0)&lt;&gt;AN$5),1))+IF(AR564="",0,IFERROR(--(EOMONTH(AR564,0)&lt;&gt;AQ$5),1))+IF(AU564="",0,IFERROR(--(EOMONTH(AU564,0)&lt;&gt;AT$5),1))+IF(AX564="",0,IFERROR(--(EOMONTH(AX564,0)&lt;&gt;AW$5),1))+IF(BA564="",0,IFERROR(--(EOMONTH(BA564,0)&lt;&gt;AZ$5),1)))&gt;0,"; An invoice date is not in the month it is typed under",""),3,500))</f>
        <v/>
      </c>
      <c r="S564" s="12" t="n"/>
      <c r="T564" s="13" t="n"/>
      <c r="U564" s="14" t="n"/>
      <c r="V564" s="12" t="n"/>
      <c r="W564" s="13" t="n"/>
      <c r="X564" s="14" t="n"/>
      <c r="Y564" s="12" t="n"/>
      <c r="Z564" s="13" t="n"/>
      <c r="AA564" s="14" t="n"/>
      <c r="AB564" s="12" t="n"/>
      <c r="AC564" s="13" t="n"/>
      <c r="AD564" s="14" t="n"/>
      <c r="AE564" s="12" t="n"/>
      <c r="AF564" s="13" t="n"/>
      <c r="AG564" s="14" t="n"/>
      <c r="AH564" s="12" t="n"/>
      <c r="AI564" s="13" t="n"/>
      <c r="AJ564" s="14" t="n"/>
      <c r="AK564" s="12" t="n"/>
      <c r="AL564" s="13" t="n"/>
      <c r="AM564" s="14" t="n"/>
      <c r="AN564" s="12" t="n"/>
      <c r="AO564" s="13" t="n"/>
      <c r="AP564" s="14" t="n"/>
      <c r="AQ564" s="12" t="n"/>
      <c r="AR564" s="13" t="n"/>
      <c r="AS564" s="14" t="n"/>
      <c r="AT564" s="12" t="n"/>
      <c r="AU564" s="13" t="n"/>
      <c r="AV564" s="14" t="n"/>
      <c r="AW564" s="12" t="n"/>
      <c r="AX564" s="13" t="n"/>
      <c r="AY564" s="14" t="n"/>
      <c r="AZ564" s="12" t="n"/>
      <c r="BA564" s="13" t="n"/>
      <c r="BB564" s="14" t="n"/>
      <c r="BC564" s="11">
        <f>IF(O564="","",IF(J564="GST 10%",ROUND(O564*set_GSTRate,2),0))</f>
        <v/>
      </c>
      <c r="BD564" s="11">
        <f>IF(O564="","",O564+BC564)</f>
        <v/>
      </c>
      <c r="BE564" s="15">
        <f>IF(O564="","",COUNTA(S564,V564,Y564,AB564,AE564,AH564,AK564,AN564,AQ564,AT564,AW564,AZ564))</f>
        <v/>
      </c>
      <c r="BF564" s="16">
        <f>IF(COUNT(T564,W564,Z564,AC564,AF564,AI564,AL564,AO564,AR564,AU564,AX564,BA564)=0,"",MAX(T564,W564,Z564,AC564,AF564,AI564,AL564,AO564,AR564,AU564,AX564,BA564))</f>
        <v/>
      </c>
      <c r="BG564" s="10">
        <f>MID(IF(S564="","",", "&amp;S564)&amp;IF(V564="","",", "&amp;V564)&amp;IF(Y564="","",", "&amp;Y564)&amp;IF(AB564="","",", "&amp;AB564)&amp;IF(AE564="","",", "&amp;AE564)&amp;IF(AH564="","",", "&amp;AH564)&amp;IF(AK564="","",", "&amp;AK564)&amp;IF(AN564="","",", "&amp;AN564)&amp;IF(AQ564="","",", "&amp;AQ564)&amp;IF(AT564="","",", "&amp;AT564)&amp;IF(AW564="","",", "&amp;AW564)&amp;IF(AZ564="","",", "&amp;AZ564),3,500)</f>
        <v/>
      </c>
      <c r="BH564" s="12" t="n"/>
      <c r="BI564" s="15">
        <f>IFERROR(MATCH($A564,IF($B564="Onsite",tbl_Onsite[Row ID],IF($B564="Production",tbl_Production[Row ID],tbl_Consulting[Row ID])),0),"")</f>
        <v/>
      </c>
    </row>
    <row r="565">
      <c r="A565" s="10" t="inlineStr">
        <is>
          <t>PRD-0059</t>
        </is>
      </c>
      <c r="B565" s="10" t="inlineStr">
        <is>
          <t>Production</t>
        </is>
      </c>
      <c r="C565" s="10">
        <f>IF($BI565="","",IF($B565="Onsite",INDEX(tbl_Onsite[Job Number],$BI565),IF($B565="Production",INDEX(tbl_Production[Job Number],$BI565),INDEX(tbl_Consulting[Job Number],$BI565)))&amp;"")</f>
        <v/>
      </c>
      <c r="D565" s="10">
        <f>IF($BI565="","",IF($B565="Onsite",INDEX(tbl_Onsite[Client],$BI565),IF($B565="Production",INDEX(tbl_Production[Client],$BI565),INDEX(tbl_Consulting[Client],$BI565)))&amp;"")</f>
        <v/>
      </c>
      <c r="E565" s="10">
        <f>IF($C565="","",IF(COUNTIF(lst_Jobs,$C565)&gt;0,"OK","CHECK"))</f>
        <v/>
      </c>
      <c r="F565" s="10">
        <f>IF($C565="","",IFERROR(INDEX(lst_JobName,MATCH($C565,lst_Jobs,0)),""))</f>
        <v/>
      </c>
      <c r="G565" s="10">
        <f>IF($BI565="","",IF($B565="Onsite",INDEX(tbl_Onsite[Job Description],$BI565),IF($B565="Production",INDEX(tbl_Production[Job Description],$BI565),INDEX(tbl_Consulting[Job Description],$BI565)))&amp;"")</f>
        <v/>
      </c>
      <c r="H565" s="10">
        <f>IF($BI565="","",IF($B565="Onsite",INDEX(tbl_Onsite[Cost Centre],$BI565),IF($B565="Production",INDEX(tbl_Production[Cost Centre],$BI565),INDEX(tbl_Consulting[Cost Centre],$BI565)))&amp;"")</f>
        <v/>
      </c>
      <c r="I565" s="10">
        <f>IF($BI565="","",IF($B565="Onsite",INDEX(tbl_Onsite[Invoice Type],$BI565),IF($B565="Production",INDEX(tbl_Production[Invoice Type],$BI565),INDEX(tbl_Consulting[Invoice Type],$BI565)))&amp;"")</f>
        <v/>
      </c>
      <c r="J565" s="10">
        <f>IF($BI565="","",IF($B565="Onsite",INDEX(tbl_Onsite[Tax Code],$BI565),IF($B565="Production",INDEX(tbl_Production[Tax Code],$BI565),INDEX(tbl_Consulting[Tax Code],$BI565)))&amp;"")</f>
        <v/>
      </c>
      <c r="K565" s="10">
        <f>IF(H565="","",IFERROR(INDEX(lst_CCtoGL,MATCH(H565,lst_CCforGL,0)),""))</f>
        <v/>
      </c>
      <c r="L565" s="10">
        <f>IF($BI565="","",IF($B565="Onsite",INDEX(tbl_Onsite[PO / Reference],$BI565),IF($B565="Production",INDEX(tbl_Production[Current RMS No],$BI565),INDEX(tbl_Consulting[Qwilr Quote],$BI565)))&amp;"")</f>
        <v/>
      </c>
      <c r="M565" s="10">
        <f>IF($BI565="","",IF($B565="Onsite",INDEX(tbl_Onsite[Notes],$BI565),IF($B565="Production",INDEX(tbl_Production[Notes],$BI565),INDEX(tbl_Consulting[Notes],$BI565)))&amp;"")</f>
        <v/>
      </c>
      <c r="N565" s="11">
        <f>IF($BI565="","",IF(IF($B565="Onsite",INDEX(tbl_Onsite[Expected Revenue Ex GST],$BI565),IF($B565="Production",INDEX(tbl_Production[Expected Revenue Ex GST],$BI565),INDEX(tbl_Consulting[Expected Revenue Ex GST],$BI565)))="","",IF($B565="Onsite",INDEX(tbl_Onsite[Expected Revenue Ex GST],$BI565),IF($B565="Production",INDEX(tbl_Production[Expected Revenue Ex GST],$BI565),INDEX(tbl_Consulting[Expected Revenue Ex GST],$BI565)))))</f>
        <v/>
      </c>
      <c r="O565" s="11">
        <f>IF(AND($C565="",NOT(COUNTA($S565:$BB565)&gt;0)),"",SUM(U565,X565,AA565,AD565,AG565,AJ565,AM565,AP565,AS565,AV565,AY565,BB565))</f>
        <v/>
      </c>
      <c r="P565" s="11">
        <f>IF(O565="","",N(N565)-O565)</f>
        <v/>
      </c>
      <c r="Q565" s="10">
        <f>IF(O565="","",IF($C565="","Invoice on empty job row",IF(N565="",IF(ROUND(O565,2)=0,"No dept value","Invoiced - no dept value"),IF(ROUND(O565,2)=0,"Not invoiced - to invoice",IF(ROUND(P565,2)=0,"Agrees",IF(P565&gt;0,"Dept higher - to invoice","Xero higher - check dept"))))))</f>
        <v/>
      </c>
      <c r="R565" s="10">
        <f>IF(AND($C565="",NOT(COUNTA($S565:$BB565)&gt;0),$BI565&lt;&gt;""),"",MID(IF($BI565="","; Row ID not found on the department sheet - a row was deleted","")&amp;IF(AND($C565="",COUNTA($S565:$BB565)&gt;0),"; Invoice entered but the department row has no job number","")&amp;IF(E565="CHECK","; Job number not in the Xero job list","")&amp;IF(AND($C565&lt;&gt;"",COUNTIF($C$7:$C$1506,$C565)&gt;1),"; Job number on more than one row","")&amp;IF(AND($C565&lt;&gt;"",H565=""),"; Dept has not set a cost centre","")&amp;IF(AND($C565&lt;&gt;"",J565=""),"; Dept has not set a tax code","")&amp;IF(AND($C565&lt;&gt;"",N565=""),"; Dept has not entered an expected value","")&amp;IF((IF(OR(COUNTA(S565:U565)=0,AND(COUNTA(S565:U565)=3,ISNUMBER(U565))),0,1)+IF(OR(COUNTA(V565:X565)=0,AND(COUNTA(V565:X565)=3,ISNUMBER(X565))),0,1)+IF(OR(COUNTA(Y565:AA565)=0,AND(COUNTA(Y565:AA565)=3,ISNUMBER(AA565))),0,1)+IF(OR(COUNTA(AB565:AD565)=0,AND(COUNTA(AB565:AD565)=3,ISNUMBER(AD565))),0,1)+IF(OR(COUNTA(AE565:AG565)=0,AND(COUNTA(AE565:AG565)=3,ISNUMBER(AG565))),0,1)+IF(OR(COUNTA(AH565:AJ565)=0,AND(COUNTA(AH565:AJ565)=3,ISNUMBER(AJ565))),0,1)+IF(OR(COUNTA(AK565:AM565)=0,AND(COUNTA(AK565:AM565)=3,ISNUMBER(AM565))),0,1)+IF(OR(COUNTA(AN565:AP565)=0,AND(COUNTA(AN565:AP565)=3,ISNUMBER(AP565))),0,1)+IF(OR(COUNTA(AQ565:AS565)=0,AND(COUNTA(AQ565:AS565)=3,ISNUMBER(AS565))),0,1)+IF(OR(COUNTA(AT565:AV565)=0,AND(COUNTA(AT565:AV565)=3,ISNUMBER(AV565))),0,1)+IF(OR(COUNTA(AW565:AY565)=0,AND(COUNTA(AW565:AY565)=3,ISNUMBER(AY565))),0,1)+IF(OR(COUNTA(AZ565:BB565)=0,AND(COUNTA(AZ565:BB565)=3,ISNUMBER(BB565))),0,1))&gt;0,"; An invoice is incomplete (needs No, Date and a number in Ex GST)","")&amp;IF((IF(T565="",0,IFERROR(--(EOMONTH(T565,0)&lt;&gt;S$5),1))+IF(W565="",0,IFERROR(--(EOMONTH(W565,0)&lt;&gt;V$5),1))+IF(Z565="",0,IFERROR(--(EOMONTH(Z565,0)&lt;&gt;Y$5),1))+IF(AC565="",0,IFERROR(--(EOMONTH(AC565,0)&lt;&gt;AB$5),1))+IF(AF565="",0,IFERROR(--(EOMONTH(AF565,0)&lt;&gt;AE$5),1))+IF(AI565="",0,IFERROR(--(EOMONTH(AI565,0)&lt;&gt;AH$5),1))+IF(AL565="",0,IFERROR(--(EOMONTH(AL565,0)&lt;&gt;AK$5),1))+IF(AO565="",0,IFERROR(--(EOMONTH(AO565,0)&lt;&gt;AN$5),1))+IF(AR565="",0,IFERROR(--(EOMONTH(AR565,0)&lt;&gt;AQ$5),1))+IF(AU565="",0,IFERROR(--(EOMONTH(AU565,0)&lt;&gt;AT$5),1))+IF(AX565="",0,IFERROR(--(EOMONTH(AX565,0)&lt;&gt;AW$5),1))+IF(BA565="",0,IFERROR(--(EOMONTH(BA565,0)&lt;&gt;AZ$5),1)))&gt;0,"; An invoice date is not in the month it is typed under",""),3,500))</f>
        <v/>
      </c>
      <c r="S565" s="12" t="n"/>
      <c r="T565" s="13" t="n"/>
      <c r="U565" s="14" t="n"/>
      <c r="V565" s="12" t="n"/>
      <c r="W565" s="13" t="n"/>
      <c r="X565" s="14" t="n"/>
      <c r="Y565" s="12" t="n"/>
      <c r="Z565" s="13" t="n"/>
      <c r="AA565" s="14" t="n"/>
      <c r="AB565" s="12" t="n"/>
      <c r="AC565" s="13" t="n"/>
      <c r="AD565" s="14" t="n"/>
      <c r="AE565" s="12" t="n"/>
      <c r="AF565" s="13" t="n"/>
      <c r="AG565" s="14" t="n"/>
      <c r="AH565" s="12" t="n"/>
      <c r="AI565" s="13" t="n"/>
      <c r="AJ565" s="14" t="n"/>
      <c r="AK565" s="12" t="n"/>
      <c r="AL565" s="13" t="n"/>
      <c r="AM565" s="14" t="n"/>
      <c r="AN565" s="12" t="n"/>
      <c r="AO565" s="13" t="n"/>
      <c r="AP565" s="14" t="n"/>
      <c r="AQ565" s="12" t="n"/>
      <c r="AR565" s="13" t="n"/>
      <c r="AS565" s="14" t="n"/>
      <c r="AT565" s="12" t="n"/>
      <c r="AU565" s="13" t="n"/>
      <c r="AV565" s="14" t="n"/>
      <c r="AW565" s="12" t="n"/>
      <c r="AX565" s="13" t="n"/>
      <c r="AY565" s="14" t="n"/>
      <c r="AZ565" s="12" t="n"/>
      <c r="BA565" s="13" t="n"/>
      <c r="BB565" s="14" t="n"/>
      <c r="BC565" s="11">
        <f>IF(O565="","",IF(J565="GST 10%",ROUND(O565*set_GSTRate,2),0))</f>
        <v/>
      </c>
      <c r="BD565" s="11">
        <f>IF(O565="","",O565+BC565)</f>
        <v/>
      </c>
      <c r="BE565" s="15">
        <f>IF(O565="","",COUNTA(S565,V565,Y565,AB565,AE565,AH565,AK565,AN565,AQ565,AT565,AW565,AZ565))</f>
        <v/>
      </c>
      <c r="BF565" s="16">
        <f>IF(COUNT(T565,W565,Z565,AC565,AF565,AI565,AL565,AO565,AR565,AU565,AX565,BA565)=0,"",MAX(T565,W565,Z565,AC565,AF565,AI565,AL565,AO565,AR565,AU565,AX565,BA565))</f>
        <v/>
      </c>
      <c r="BG565" s="10">
        <f>MID(IF(S565="","",", "&amp;S565)&amp;IF(V565="","",", "&amp;V565)&amp;IF(Y565="","",", "&amp;Y565)&amp;IF(AB565="","",", "&amp;AB565)&amp;IF(AE565="","",", "&amp;AE565)&amp;IF(AH565="","",", "&amp;AH565)&amp;IF(AK565="","",", "&amp;AK565)&amp;IF(AN565="","",", "&amp;AN565)&amp;IF(AQ565="","",", "&amp;AQ565)&amp;IF(AT565="","",", "&amp;AT565)&amp;IF(AW565="","",", "&amp;AW565)&amp;IF(AZ565="","",", "&amp;AZ565),3,500)</f>
        <v/>
      </c>
      <c r="BH565" s="12" t="n"/>
      <c r="BI565" s="15">
        <f>IFERROR(MATCH($A565,IF($B565="Onsite",tbl_Onsite[Row ID],IF($B565="Production",tbl_Production[Row ID],tbl_Consulting[Row ID])),0),"")</f>
        <v/>
      </c>
    </row>
    <row r="566">
      <c r="A566" s="10" t="inlineStr">
        <is>
          <t>PRD-0060</t>
        </is>
      </c>
      <c r="B566" s="10" t="inlineStr">
        <is>
          <t>Production</t>
        </is>
      </c>
      <c r="C566" s="10">
        <f>IF($BI566="","",IF($B566="Onsite",INDEX(tbl_Onsite[Job Number],$BI566),IF($B566="Production",INDEX(tbl_Production[Job Number],$BI566),INDEX(tbl_Consulting[Job Number],$BI566)))&amp;"")</f>
        <v/>
      </c>
      <c r="D566" s="10">
        <f>IF($BI566="","",IF($B566="Onsite",INDEX(tbl_Onsite[Client],$BI566),IF($B566="Production",INDEX(tbl_Production[Client],$BI566),INDEX(tbl_Consulting[Client],$BI566)))&amp;"")</f>
        <v/>
      </c>
      <c r="E566" s="10">
        <f>IF($C566="","",IF(COUNTIF(lst_Jobs,$C566)&gt;0,"OK","CHECK"))</f>
        <v/>
      </c>
      <c r="F566" s="10">
        <f>IF($C566="","",IFERROR(INDEX(lst_JobName,MATCH($C566,lst_Jobs,0)),""))</f>
        <v/>
      </c>
      <c r="G566" s="10">
        <f>IF($BI566="","",IF($B566="Onsite",INDEX(tbl_Onsite[Job Description],$BI566),IF($B566="Production",INDEX(tbl_Production[Job Description],$BI566),INDEX(tbl_Consulting[Job Description],$BI566)))&amp;"")</f>
        <v/>
      </c>
      <c r="H566" s="10">
        <f>IF($BI566="","",IF($B566="Onsite",INDEX(tbl_Onsite[Cost Centre],$BI566),IF($B566="Production",INDEX(tbl_Production[Cost Centre],$BI566),INDEX(tbl_Consulting[Cost Centre],$BI566)))&amp;"")</f>
        <v/>
      </c>
      <c r="I566" s="10">
        <f>IF($BI566="","",IF($B566="Onsite",INDEX(tbl_Onsite[Invoice Type],$BI566),IF($B566="Production",INDEX(tbl_Production[Invoice Type],$BI566),INDEX(tbl_Consulting[Invoice Type],$BI566)))&amp;"")</f>
        <v/>
      </c>
      <c r="J566" s="10">
        <f>IF($BI566="","",IF($B566="Onsite",INDEX(tbl_Onsite[Tax Code],$BI566),IF($B566="Production",INDEX(tbl_Production[Tax Code],$BI566),INDEX(tbl_Consulting[Tax Code],$BI566)))&amp;"")</f>
        <v/>
      </c>
      <c r="K566" s="10">
        <f>IF(H566="","",IFERROR(INDEX(lst_CCtoGL,MATCH(H566,lst_CCforGL,0)),""))</f>
        <v/>
      </c>
      <c r="L566" s="10">
        <f>IF($BI566="","",IF($B566="Onsite",INDEX(tbl_Onsite[PO / Reference],$BI566),IF($B566="Production",INDEX(tbl_Production[Current RMS No],$BI566),INDEX(tbl_Consulting[Qwilr Quote],$BI566)))&amp;"")</f>
        <v/>
      </c>
      <c r="M566" s="10">
        <f>IF($BI566="","",IF($B566="Onsite",INDEX(tbl_Onsite[Notes],$BI566),IF($B566="Production",INDEX(tbl_Production[Notes],$BI566),INDEX(tbl_Consulting[Notes],$BI566)))&amp;"")</f>
        <v/>
      </c>
      <c r="N566" s="11">
        <f>IF($BI566="","",IF(IF($B566="Onsite",INDEX(tbl_Onsite[Expected Revenue Ex GST],$BI566),IF($B566="Production",INDEX(tbl_Production[Expected Revenue Ex GST],$BI566),INDEX(tbl_Consulting[Expected Revenue Ex GST],$BI566)))="","",IF($B566="Onsite",INDEX(tbl_Onsite[Expected Revenue Ex GST],$BI566),IF($B566="Production",INDEX(tbl_Production[Expected Revenue Ex GST],$BI566),INDEX(tbl_Consulting[Expected Revenue Ex GST],$BI566)))))</f>
        <v/>
      </c>
      <c r="O566" s="11">
        <f>IF(AND($C566="",NOT(COUNTA($S566:$BB566)&gt;0)),"",SUM(U566,X566,AA566,AD566,AG566,AJ566,AM566,AP566,AS566,AV566,AY566,BB566))</f>
        <v/>
      </c>
      <c r="P566" s="11">
        <f>IF(O566="","",N(N566)-O566)</f>
        <v/>
      </c>
      <c r="Q566" s="10">
        <f>IF(O566="","",IF($C566="","Invoice on empty job row",IF(N566="",IF(ROUND(O566,2)=0,"No dept value","Invoiced - no dept value"),IF(ROUND(O566,2)=0,"Not invoiced - to invoice",IF(ROUND(P566,2)=0,"Agrees",IF(P566&gt;0,"Dept higher - to invoice","Xero higher - check dept"))))))</f>
        <v/>
      </c>
      <c r="R566" s="10">
        <f>IF(AND($C566="",NOT(COUNTA($S566:$BB566)&gt;0),$BI566&lt;&gt;""),"",MID(IF($BI566="","; Row ID not found on the department sheet - a row was deleted","")&amp;IF(AND($C566="",COUNTA($S566:$BB566)&gt;0),"; Invoice entered but the department row has no job number","")&amp;IF(E566="CHECK","; Job number not in the Xero job list","")&amp;IF(AND($C566&lt;&gt;"",COUNTIF($C$7:$C$1506,$C566)&gt;1),"; Job number on more than one row","")&amp;IF(AND($C566&lt;&gt;"",H566=""),"; Dept has not set a cost centre","")&amp;IF(AND($C566&lt;&gt;"",J566=""),"; Dept has not set a tax code","")&amp;IF(AND($C566&lt;&gt;"",N566=""),"; Dept has not entered an expected value","")&amp;IF((IF(OR(COUNTA(S566:U566)=0,AND(COUNTA(S566:U566)=3,ISNUMBER(U566))),0,1)+IF(OR(COUNTA(V566:X566)=0,AND(COUNTA(V566:X566)=3,ISNUMBER(X566))),0,1)+IF(OR(COUNTA(Y566:AA566)=0,AND(COUNTA(Y566:AA566)=3,ISNUMBER(AA566))),0,1)+IF(OR(COUNTA(AB566:AD566)=0,AND(COUNTA(AB566:AD566)=3,ISNUMBER(AD566))),0,1)+IF(OR(COUNTA(AE566:AG566)=0,AND(COUNTA(AE566:AG566)=3,ISNUMBER(AG566))),0,1)+IF(OR(COUNTA(AH566:AJ566)=0,AND(COUNTA(AH566:AJ566)=3,ISNUMBER(AJ566))),0,1)+IF(OR(COUNTA(AK566:AM566)=0,AND(COUNTA(AK566:AM566)=3,ISNUMBER(AM566))),0,1)+IF(OR(COUNTA(AN566:AP566)=0,AND(COUNTA(AN566:AP566)=3,ISNUMBER(AP566))),0,1)+IF(OR(COUNTA(AQ566:AS566)=0,AND(COUNTA(AQ566:AS566)=3,ISNUMBER(AS566))),0,1)+IF(OR(COUNTA(AT566:AV566)=0,AND(COUNTA(AT566:AV566)=3,ISNUMBER(AV566))),0,1)+IF(OR(COUNTA(AW566:AY566)=0,AND(COUNTA(AW566:AY566)=3,ISNUMBER(AY566))),0,1)+IF(OR(COUNTA(AZ566:BB566)=0,AND(COUNTA(AZ566:BB566)=3,ISNUMBER(BB566))),0,1))&gt;0,"; An invoice is incomplete (needs No, Date and a number in Ex GST)","")&amp;IF((IF(T566="",0,IFERROR(--(EOMONTH(T566,0)&lt;&gt;S$5),1))+IF(W566="",0,IFERROR(--(EOMONTH(W566,0)&lt;&gt;V$5),1))+IF(Z566="",0,IFERROR(--(EOMONTH(Z566,0)&lt;&gt;Y$5),1))+IF(AC566="",0,IFERROR(--(EOMONTH(AC566,0)&lt;&gt;AB$5),1))+IF(AF566="",0,IFERROR(--(EOMONTH(AF566,0)&lt;&gt;AE$5),1))+IF(AI566="",0,IFERROR(--(EOMONTH(AI566,0)&lt;&gt;AH$5),1))+IF(AL566="",0,IFERROR(--(EOMONTH(AL566,0)&lt;&gt;AK$5),1))+IF(AO566="",0,IFERROR(--(EOMONTH(AO566,0)&lt;&gt;AN$5),1))+IF(AR566="",0,IFERROR(--(EOMONTH(AR566,0)&lt;&gt;AQ$5),1))+IF(AU566="",0,IFERROR(--(EOMONTH(AU566,0)&lt;&gt;AT$5),1))+IF(AX566="",0,IFERROR(--(EOMONTH(AX566,0)&lt;&gt;AW$5),1))+IF(BA566="",0,IFERROR(--(EOMONTH(BA566,0)&lt;&gt;AZ$5),1)))&gt;0,"; An invoice date is not in the month it is typed under",""),3,500))</f>
        <v/>
      </c>
      <c r="S566" s="12" t="n"/>
      <c r="T566" s="13" t="n"/>
      <c r="U566" s="14" t="n"/>
      <c r="V566" s="12" t="n"/>
      <c r="W566" s="13" t="n"/>
      <c r="X566" s="14" t="n"/>
      <c r="Y566" s="12" t="n"/>
      <c r="Z566" s="13" t="n"/>
      <c r="AA566" s="14" t="n"/>
      <c r="AB566" s="12" t="n"/>
      <c r="AC566" s="13" t="n"/>
      <c r="AD566" s="14" t="n"/>
      <c r="AE566" s="12" t="n"/>
      <c r="AF566" s="13" t="n"/>
      <c r="AG566" s="14" t="n"/>
      <c r="AH566" s="12" t="n"/>
      <c r="AI566" s="13" t="n"/>
      <c r="AJ566" s="14" t="n"/>
      <c r="AK566" s="12" t="n"/>
      <c r="AL566" s="13" t="n"/>
      <c r="AM566" s="14" t="n"/>
      <c r="AN566" s="12" t="n"/>
      <c r="AO566" s="13" t="n"/>
      <c r="AP566" s="14" t="n"/>
      <c r="AQ566" s="12" t="n"/>
      <c r="AR566" s="13" t="n"/>
      <c r="AS566" s="14" t="n"/>
      <c r="AT566" s="12" t="n"/>
      <c r="AU566" s="13" t="n"/>
      <c r="AV566" s="14" t="n"/>
      <c r="AW566" s="12" t="n"/>
      <c r="AX566" s="13" t="n"/>
      <c r="AY566" s="14" t="n"/>
      <c r="AZ566" s="12" t="n"/>
      <c r="BA566" s="13" t="n"/>
      <c r="BB566" s="14" t="n"/>
      <c r="BC566" s="11">
        <f>IF(O566="","",IF(J566="GST 10%",ROUND(O566*set_GSTRate,2),0))</f>
        <v/>
      </c>
      <c r="BD566" s="11">
        <f>IF(O566="","",O566+BC566)</f>
        <v/>
      </c>
      <c r="BE566" s="15">
        <f>IF(O566="","",COUNTA(S566,V566,Y566,AB566,AE566,AH566,AK566,AN566,AQ566,AT566,AW566,AZ566))</f>
        <v/>
      </c>
      <c r="BF566" s="16">
        <f>IF(COUNT(T566,W566,Z566,AC566,AF566,AI566,AL566,AO566,AR566,AU566,AX566,BA566)=0,"",MAX(T566,W566,Z566,AC566,AF566,AI566,AL566,AO566,AR566,AU566,AX566,BA566))</f>
        <v/>
      </c>
      <c r="BG566" s="10">
        <f>MID(IF(S566="","",", "&amp;S566)&amp;IF(V566="","",", "&amp;V566)&amp;IF(Y566="","",", "&amp;Y566)&amp;IF(AB566="","",", "&amp;AB566)&amp;IF(AE566="","",", "&amp;AE566)&amp;IF(AH566="","",", "&amp;AH566)&amp;IF(AK566="","",", "&amp;AK566)&amp;IF(AN566="","",", "&amp;AN566)&amp;IF(AQ566="","",", "&amp;AQ566)&amp;IF(AT566="","",", "&amp;AT566)&amp;IF(AW566="","",", "&amp;AW566)&amp;IF(AZ566="","",", "&amp;AZ566),3,500)</f>
        <v/>
      </c>
      <c r="BH566" s="12" t="n"/>
      <c r="BI566" s="15">
        <f>IFERROR(MATCH($A566,IF($B566="Onsite",tbl_Onsite[Row ID],IF($B566="Production",tbl_Production[Row ID],tbl_Consulting[Row ID])),0),"")</f>
        <v/>
      </c>
    </row>
    <row r="567">
      <c r="A567" s="10" t="inlineStr">
        <is>
          <t>PRD-0061</t>
        </is>
      </c>
      <c r="B567" s="10" t="inlineStr">
        <is>
          <t>Production</t>
        </is>
      </c>
      <c r="C567" s="10">
        <f>IF($BI567="","",IF($B567="Onsite",INDEX(tbl_Onsite[Job Number],$BI567),IF($B567="Production",INDEX(tbl_Production[Job Number],$BI567),INDEX(tbl_Consulting[Job Number],$BI567)))&amp;"")</f>
        <v/>
      </c>
      <c r="D567" s="10">
        <f>IF($BI567="","",IF($B567="Onsite",INDEX(tbl_Onsite[Client],$BI567),IF($B567="Production",INDEX(tbl_Production[Client],$BI567),INDEX(tbl_Consulting[Client],$BI567)))&amp;"")</f>
        <v/>
      </c>
      <c r="E567" s="10">
        <f>IF($C567="","",IF(COUNTIF(lst_Jobs,$C567)&gt;0,"OK","CHECK"))</f>
        <v/>
      </c>
      <c r="F567" s="10">
        <f>IF($C567="","",IFERROR(INDEX(lst_JobName,MATCH($C567,lst_Jobs,0)),""))</f>
        <v/>
      </c>
      <c r="G567" s="10">
        <f>IF($BI567="","",IF($B567="Onsite",INDEX(tbl_Onsite[Job Description],$BI567),IF($B567="Production",INDEX(tbl_Production[Job Description],$BI567),INDEX(tbl_Consulting[Job Description],$BI567)))&amp;"")</f>
        <v/>
      </c>
      <c r="H567" s="10">
        <f>IF($BI567="","",IF($B567="Onsite",INDEX(tbl_Onsite[Cost Centre],$BI567),IF($B567="Production",INDEX(tbl_Production[Cost Centre],$BI567),INDEX(tbl_Consulting[Cost Centre],$BI567)))&amp;"")</f>
        <v/>
      </c>
      <c r="I567" s="10">
        <f>IF($BI567="","",IF($B567="Onsite",INDEX(tbl_Onsite[Invoice Type],$BI567),IF($B567="Production",INDEX(tbl_Production[Invoice Type],$BI567),INDEX(tbl_Consulting[Invoice Type],$BI567)))&amp;"")</f>
        <v/>
      </c>
      <c r="J567" s="10">
        <f>IF($BI567="","",IF($B567="Onsite",INDEX(tbl_Onsite[Tax Code],$BI567),IF($B567="Production",INDEX(tbl_Production[Tax Code],$BI567),INDEX(tbl_Consulting[Tax Code],$BI567)))&amp;"")</f>
        <v/>
      </c>
      <c r="K567" s="10">
        <f>IF(H567="","",IFERROR(INDEX(lst_CCtoGL,MATCH(H567,lst_CCforGL,0)),""))</f>
        <v/>
      </c>
      <c r="L567" s="10">
        <f>IF($BI567="","",IF($B567="Onsite",INDEX(tbl_Onsite[PO / Reference],$BI567),IF($B567="Production",INDEX(tbl_Production[Current RMS No],$BI567),INDEX(tbl_Consulting[Qwilr Quote],$BI567)))&amp;"")</f>
        <v/>
      </c>
      <c r="M567" s="10">
        <f>IF($BI567="","",IF($B567="Onsite",INDEX(tbl_Onsite[Notes],$BI567),IF($B567="Production",INDEX(tbl_Production[Notes],$BI567),INDEX(tbl_Consulting[Notes],$BI567)))&amp;"")</f>
        <v/>
      </c>
      <c r="N567" s="11">
        <f>IF($BI567="","",IF(IF($B567="Onsite",INDEX(tbl_Onsite[Expected Revenue Ex GST],$BI567),IF($B567="Production",INDEX(tbl_Production[Expected Revenue Ex GST],$BI567),INDEX(tbl_Consulting[Expected Revenue Ex GST],$BI567)))="","",IF($B567="Onsite",INDEX(tbl_Onsite[Expected Revenue Ex GST],$BI567),IF($B567="Production",INDEX(tbl_Production[Expected Revenue Ex GST],$BI567),INDEX(tbl_Consulting[Expected Revenue Ex GST],$BI567)))))</f>
        <v/>
      </c>
      <c r="O567" s="11">
        <f>IF(AND($C567="",NOT(COUNTA($S567:$BB567)&gt;0)),"",SUM(U567,X567,AA567,AD567,AG567,AJ567,AM567,AP567,AS567,AV567,AY567,BB567))</f>
        <v/>
      </c>
      <c r="P567" s="11">
        <f>IF(O567="","",N(N567)-O567)</f>
        <v/>
      </c>
      <c r="Q567" s="10">
        <f>IF(O567="","",IF($C567="","Invoice on empty job row",IF(N567="",IF(ROUND(O567,2)=0,"No dept value","Invoiced - no dept value"),IF(ROUND(O567,2)=0,"Not invoiced - to invoice",IF(ROUND(P567,2)=0,"Agrees",IF(P567&gt;0,"Dept higher - to invoice","Xero higher - check dept"))))))</f>
        <v/>
      </c>
      <c r="R567" s="10">
        <f>IF(AND($C567="",NOT(COUNTA($S567:$BB567)&gt;0),$BI567&lt;&gt;""),"",MID(IF($BI567="","; Row ID not found on the department sheet - a row was deleted","")&amp;IF(AND($C567="",COUNTA($S567:$BB567)&gt;0),"; Invoice entered but the department row has no job number","")&amp;IF(E567="CHECK","; Job number not in the Xero job list","")&amp;IF(AND($C567&lt;&gt;"",COUNTIF($C$7:$C$1506,$C567)&gt;1),"; Job number on more than one row","")&amp;IF(AND($C567&lt;&gt;"",H567=""),"; Dept has not set a cost centre","")&amp;IF(AND($C567&lt;&gt;"",J567=""),"; Dept has not set a tax code","")&amp;IF(AND($C567&lt;&gt;"",N567=""),"; Dept has not entered an expected value","")&amp;IF((IF(OR(COUNTA(S567:U567)=0,AND(COUNTA(S567:U567)=3,ISNUMBER(U567))),0,1)+IF(OR(COUNTA(V567:X567)=0,AND(COUNTA(V567:X567)=3,ISNUMBER(X567))),0,1)+IF(OR(COUNTA(Y567:AA567)=0,AND(COUNTA(Y567:AA567)=3,ISNUMBER(AA567))),0,1)+IF(OR(COUNTA(AB567:AD567)=0,AND(COUNTA(AB567:AD567)=3,ISNUMBER(AD567))),0,1)+IF(OR(COUNTA(AE567:AG567)=0,AND(COUNTA(AE567:AG567)=3,ISNUMBER(AG567))),0,1)+IF(OR(COUNTA(AH567:AJ567)=0,AND(COUNTA(AH567:AJ567)=3,ISNUMBER(AJ567))),0,1)+IF(OR(COUNTA(AK567:AM567)=0,AND(COUNTA(AK567:AM567)=3,ISNUMBER(AM567))),0,1)+IF(OR(COUNTA(AN567:AP567)=0,AND(COUNTA(AN567:AP567)=3,ISNUMBER(AP567))),0,1)+IF(OR(COUNTA(AQ567:AS567)=0,AND(COUNTA(AQ567:AS567)=3,ISNUMBER(AS567))),0,1)+IF(OR(COUNTA(AT567:AV567)=0,AND(COUNTA(AT567:AV567)=3,ISNUMBER(AV567))),0,1)+IF(OR(COUNTA(AW567:AY567)=0,AND(COUNTA(AW567:AY567)=3,ISNUMBER(AY567))),0,1)+IF(OR(COUNTA(AZ567:BB567)=0,AND(COUNTA(AZ567:BB567)=3,ISNUMBER(BB567))),0,1))&gt;0,"; An invoice is incomplete (needs No, Date and a number in Ex GST)","")&amp;IF((IF(T567="",0,IFERROR(--(EOMONTH(T567,0)&lt;&gt;S$5),1))+IF(W567="",0,IFERROR(--(EOMONTH(W567,0)&lt;&gt;V$5),1))+IF(Z567="",0,IFERROR(--(EOMONTH(Z567,0)&lt;&gt;Y$5),1))+IF(AC567="",0,IFERROR(--(EOMONTH(AC567,0)&lt;&gt;AB$5),1))+IF(AF567="",0,IFERROR(--(EOMONTH(AF567,0)&lt;&gt;AE$5),1))+IF(AI567="",0,IFERROR(--(EOMONTH(AI567,0)&lt;&gt;AH$5),1))+IF(AL567="",0,IFERROR(--(EOMONTH(AL567,0)&lt;&gt;AK$5),1))+IF(AO567="",0,IFERROR(--(EOMONTH(AO567,0)&lt;&gt;AN$5),1))+IF(AR567="",0,IFERROR(--(EOMONTH(AR567,0)&lt;&gt;AQ$5),1))+IF(AU567="",0,IFERROR(--(EOMONTH(AU567,0)&lt;&gt;AT$5),1))+IF(AX567="",0,IFERROR(--(EOMONTH(AX567,0)&lt;&gt;AW$5),1))+IF(BA567="",0,IFERROR(--(EOMONTH(BA567,0)&lt;&gt;AZ$5),1)))&gt;0,"; An invoice date is not in the month it is typed under",""),3,500))</f>
        <v/>
      </c>
      <c r="S567" s="12" t="n"/>
      <c r="T567" s="13" t="n"/>
      <c r="U567" s="14" t="n"/>
      <c r="V567" s="12" t="n"/>
      <c r="W567" s="13" t="n"/>
      <c r="X567" s="14" t="n"/>
      <c r="Y567" s="12" t="n"/>
      <c r="Z567" s="13" t="n"/>
      <c r="AA567" s="14" t="n"/>
      <c r="AB567" s="12" t="n"/>
      <c r="AC567" s="13" t="n"/>
      <c r="AD567" s="14" t="n"/>
      <c r="AE567" s="12" t="n"/>
      <c r="AF567" s="13" t="n"/>
      <c r="AG567" s="14" t="n"/>
      <c r="AH567" s="12" t="n"/>
      <c r="AI567" s="13" t="n"/>
      <c r="AJ567" s="14" t="n"/>
      <c r="AK567" s="12" t="n"/>
      <c r="AL567" s="13" t="n"/>
      <c r="AM567" s="14" t="n"/>
      <c r="AN567" s="12" t="n"/>
      <c r="AO567" s="13" t="n"/>
      <c r="AP567" s="14" t="n"/>
      <c r="AQ567" s="12" t="n"/>
      <c r="AR567" s="13" t="n"/>
      <c r="AS567" s="14" t="n"/>
      <c r="AT567" s="12" t="n"/>
      <c r="AU567" s="13" t="n"/>
      <c r="AV567" s="14" t="n"/>
      <c r="AW567" s="12" t="n"/>
      <c r="AX567" s="13" t="n"/>
      <c r="AY567" s="14" t="n"/>
      <c r="AZ567" s="12" t="n"/>
      <c r="BA567" s="13" t="n"/>
      <c r="BB567" s="14" t="n"/>
      <c r="BC567" s="11">
        <f>IF(O567="","",IF(J567="GST 10%",ROUND(O567*set_GSTRate,2),0))</f>
        <v/>
      </c>
      <c r="BD567" s="11">
        <f>IF(O567="","",O567+BC567)</f>
        <v/>
      </c>
      <c r="BE567" s="15">
        <f>IF(O567="","",COUNTA(S567,V567,Y567,AB567,AE567,AH567,AK567,AN567,AQ567,AT567,AW567,AZ567))</f>
        <v/>
      </c>
      <c r="BF567" s="16">
        <f>IF(COUNT(T567,W567,Z567,AC567,AF567,AI567,AL567,AO567,AR567,AU567,AX567,BA567)=0,"",MAX(T567,W567,Z567,AC567,AF567,AI567,AL567,AO567,AR567,AU567,AX567,BA567))</f>
        <v/>
      </c>
      <c r="BG567" s="10">
        <f>MID(IF(S567="","",", "&amp;S567)&amp;IF(V567="","",", "&amp;V567)&amp;IF(Y567="","",", "&amp;Y567)&amp;IF(AB567="","",", "&amp;AB567)&amp;IF(AE567="","",", "&amp;AE567)&amp;IF(AH567="","",", "&amp;AH567)&amp;IF(AK567="","",", "&amp;AK567)&amp;IF(AN567="","",", "&amp;AN567)&amp;IF(AQ567="","",", "&amp;AQ567)&amp;IF(AT567="","",", "&amp;AT567)&amp;IF(AW567="","",", "&amp;AW567)&amp;IF(AZ567="","",", "&amp;AZ567),3,500)</f>
        <v/>
      </c>
      <c r="BH567" s="12" t="n"/>
      <c r="BI567" s="15">
        <f>IFERROR(MATCH($A567,IF($B567="Onsite",tbl_Onsite[Row ID],IF($B567="Production",tbl_Production[Row ID],tbl_Consulting[Row ID])),0),"")</f>
        <v/>
      </c>
    </row>
    <row r="568">
      <c r="A568" s="10" t="inlineStr">
        <is>
          <t>PRD-0062</t>
        </is>
      </c>
      <c r="B568" s="10" t="inlineStr">
        <is>
          <t>Production</t>
        </is>
      </c>
      <c r="C568" s="10">
        <f>IF($BI568="","",IF($B568="Onsite",INDEX(tbl_Onsite[Job Number],$BI568),IF($B568="Production",INDEX(tbl_Production[Job Number],$BI568),INDEX(tbl_Consulting[Job Number],$BI568)))&amp;"")</f>
        <v/>
      </c>
      <c r="D568" s="10">
        <f>IF($BI568="","",IF($B568="Onsite",INDEX(tbl_Onsite[Client],$BI568),IF($B568="Production",INDEX(tbl_Production[Client],$BI568),INDEX(tbl_Consulting[Client],$BI568)))&amp;"")</f>
        <v/>
      </c>
      <c r="E568" s="10">
        <f>IF($C568="","",IF(COUNTIF(lst_Jobs,$C568)&gt;0,"OK","CHECK"))</f>
        <v/>
      </c>
      <c r="F568" s="10">
        <f>IF($C568="","",IFERROR(INDEX(lst_JobName,MATCH($C568,lst_Jobs,0)),""))</f>
        <v/>
      </c>
      <c r="G568" s="10">
        <f>IF($BI568="","",IF($B568="Onsite",INDEX(tbl_Onsite[Job Description],$BI568),IF($B568="Production",INDEX(tbl_Production[Job Description],$BI568),INDEX(tbl_Consulting[Job Description],$BI568)))&amp;"")</f>
        <v/>
      </c>
      <c r="H568" s="10">
        <f>IF($BI568="","",IF($B568="Onsite",INDEX(tbl_Onsite[Cost Centre],$BI568),IF($B568="Production",INDEX(tbl_Production[Cost Centre],$BI568),INDEX(tbl_Consulting[Cost Centre],$BI568)))&amp;"")</f>
        <v/>
      </c>
      <c r="I568" s="10">
        <f>IF($BI568="","",IF($B568="Onsite",INDEX(tbl_Onsite[Invoice Type],$BI568),IF($B568="Production",INDEX(tbl_Production[Invoice Type],$BI568),INDEX(tbl_Consulting[Invoice Type],$BI568)))&amp;"")</f>
        <v/>
      </c>
      <c r="J568" s="10">
        <f>IF($BI568="","",IF($B568="Onsite",INDEX(tbl_Onsite[Tax Code],$BI568),IF($B568="Production",INDEX(tbl_Production[Tax Code],$BI568),INDEX(tbl_Consulting[Tax Code],$BI568)))&amp;"")</f>
        <v/>
      </c>
      <c r="K568" s="10">
        <f>IF(H568="","",IFERROR(INDEX(lst_CCtoGL,MATCH(H568,lst_CCforGL,0)),""))</f>
        <v/>
      </c>
      <c r="L568" s="10">
        <f>IF($BI568="","",IF($B568="Onsite",INDEX(tbl_Onsite[PO / Reference],$BI568),IF($B568="Production",INDEX(tbl_Production[Current RMS No],$BI568),INDEX(tbl_Consulting[Qwilr Quote],$BI568)))&amp;"")</f>
        <v/>
      </c>
      <c r="M568" s="10">
        <f>IF($BI568="","",IF($B568="Onsite",INDEX(tbl_Onsite[Notes],$BI568),IF($B568="Production",INDEX(tbl_Production[Notes],$BI568),INDEX(tbl_Consulting[Notes],$BI568)))&amp;"")</f>
        <v/>
      </c>
      <c r="N568" s="11">
        <f>IF($BI568="","",IF(IF($B568="Onsite",INDEX(tbl_Onsite[Expected Revenue Ex GST],$BI568),IF($B568="Production",INDEX(tbl_Production[Expected Revenue Ex GST],$BI568),INDEX(tbl_Consulting[Expected Revenue Ex GST],$BI568)))="","",IF($B568="Onsite",INDEX(tbl_Onsite[Expected Revenue Ex GST],$BI568),IF($B568="Production",INDEX(tbl_Production[Expected Revenue Ex GST],$BI568),INDEX(tbl_Consulting[Expected Revenue Ex GST],$BI568)))))</f>
        <v/>
      </c>
      <c r="O568" s="11">
        <f>IF(AND($C568="",NOT(COUNTA($S568:$BB568)&gt;0)),"",SUM(U568,X568,AA568,AD568,AG568,AJ568,AM568,AP568,AS568,AV568,AY568,BB568))</f>
        <v/>
      </c>
      <c r="P568" s="11">
        <f>IF(O568="","",N(N568)-O568)</f>
        <v/>
      </c>
      <c r="Q568" s="10">
        <f>IF(O568="","",IF($C568="","Invoice on empty job row",IF(N568="",IF(ROUND(O568,2)=0,"No dept value","Invoiced - no dept value"),IF(ROUND(O568,2)=0,"Not invoiced - to invoice",IF(ROUND(P568,2)=0,"Agrees",IF(P568&gt;0,"Dept higher - to invoice","Xero higher - check dept"))))))</f>
        <v/>
      </c>
      <c r="R568" s="10">
        <f>IF(AND($C568="",NOT(COUNTA($S568:$BB568)&gt;0),$BI568&lt;&gt;""),"",MID(IF($BI568="","; Row ID not found on the department sheet - a row was deleted","")&amp;IF(AND($C568="",COUNTA($S568:$BB568)&gt;0),"; Invoice entered but the department row has no job number","")&amp;IF(E568="CHECK","; Job number not in the Xero job list","")&amp;IF(AND($C568&lt;&gt;"",COUNTIF($C$7:$C$1506,$C568)&gt;1),"; Job number on more than one row","")&amp;IF(AND($C568&lt;&gt;"",H568=""),"; Dept has not set a cost centre","")&amp;IF(AND($C568&lt;&gt;"",J568=""),"; Dept has not set a tax code","")&amp;IF(AND($C568&lt;&gt;"",N568=""),"; Dept has not entered an expected value","")&amp;IF((IF(OR(COUNTA(S568:U568)=0,AND(COUNTA(S568:U568)=3,ISNUMBER(U568))),0,1)+IF(OR(COUNTA(V568:X568)=0,AND(COUNTA(V568:X568)=3,ISNUMBER(X568))),0,1)+IF(OR(COUNTA(Y568:AA568)=0,AND(COUNTA(Y568:AA568)=3,ISNUMBER(AA568))),0,1)+IF(OR(COUNTA(AB568:AD568)=0,AND(COUNTA(AB568:AD568)=3,ISNUMBER(AD568))),0,1)+IF(OR(COUNTA(AE568:AG568)=0,AND(COUNTA(AE568:AG568)=3,ISNUMBER(AG568))),0,1)+IF(OR(COUNTA(AH568:AJ568)=0,AND(COUNTA(AH568:AJ568)=3,ISNUMBER(AJ568))),0,1)+IF(OR(COUNTA(AK568:AM568)=0,AND(COUNTA(AK568:AM568)=3,ISNUMBER(AM568))),0,1)+IF(OR(COUNTA(AN568:AP568)=0,AND(COUNTA(AN568:AP568)=3,ISNUMBER(AP568))),0,1)+IF(OR(COUNTA(AQ568:AS568)=0,AND(COUNTA(AQ568:AS568)=3,ISNUMBER(AS568))),0,1)+IF(OR(COUNTA(AT568:AV568)=0,AND(COUNTA(AT568:AV568)=3,ISNUMBER(AV568))),0,1)+IF(OR(COUNTA(AW568:AY568)=0,AND(COUNTA(AW568:AY568)=3,ISNUMBER(AY568))),0,1)+IF(OR(COUNTA(AZ568:BB568)=0,AND(COUNTA(AZ568:BB568)=3,ISNUMBER(BB568))),0,1))&gt;0,"; An invoice is incomplete (needs No, Date and a number in Ex GST)","")&amp;IF((IF(T568="",0,IFERROR(--(EOMONTH(T568,0)&lt;&gt;S$5),1))+IF(W568="",0,IFERROR(--(EOMONTH(W568,0)&lt;&gt;V$5),1))+IF(Z568="",0,IFERROR(--(EOMONTH(Z568,0)&lt;&gt;Y$5),1))+IF(AC568="",0,IFERROR(--(EOMONTH(AC568,0)&lt;&gt;AB$5),1))+IF(AF568="",0,IFERROR(--(EOMONTH(AF568,0)&lt;&gt;AE$5),1))+IF(AI568="",0,IFERROR(--(EOMONTH(AI568,0)&lt;&gt;AH$5),1))+IF(AL568="",0,IFERROR(--(EOMONTH(AL568,0)&lt;&gt;AK$5),1))+IF(AO568="",0,IFERROR(--(EOMONTH(AO568,0)&lt;&gt;AN$5),1))+IF(AR568="",0,IFERROR(--(EOMONTH(AR568,0)&lt;&gt;AQ$5),1))+IF(AU568="",0,IFERROR(--(EOMONTH(AU568,0)&lt;&gt;AT$5),1))+IF(AX568="",0,IFERROR(--(EOMONTH(AX568,0)&lt;&gt;AW$5),1))+IF(BA568="",0,IFERROR(--(EOMONTH(BA568,0)&lt;&gt;AZ$5),1)))&gt;0,"; An invoice date is not in the month it is typed under",""),3,500))</f>
        <v/>
      </c>
      <c r="S568" s="12" t="n"/>
      <c r="T568" s="13" t="n"/>
      <c r="U568" s="14" t="n"/>
      <c r="V568" s="12" t="n"/>
      <c r="W568" s="13" t="n"/>
      <c r="X568" s="14" t="n"/>
      <c r="Y568" s="12" t="n"/>
      <c r="Z568" s="13" t="n"/>
      <c r="AA568" s="14" t="n"/>
      <c r="AB568" s="12" t="n"/>
      <c r="AC568" s="13" t="n"/>
      <c r="AD568" s="14" t="n"/>
      <c r="AE568" s="12" t="n"/>
      <c r="AF568" s="13" t="n"/>
      <c r="AG568" s="14" t="n"/>
      <c r="AH568" s="12" t="n"/>
      <c r="AI568" s="13" t="n"/>
      <c r="AJ568" s="14" t="n"/>
      <c r="AK568" s="12" t="n"/>
      <c r="AL568" s="13" t="n"/>
      <c r="AM568" s="14" t="n"/>
      <c r="AN568" s="12" t="n"/>
      <c r="AO568" s="13" t="n"/>
      <c r="AP568" s="14" t="n"/>
      <c r="AQ568" s="12" t="n"/>
      <c r="AR568" s="13" t="n"/>
      <c r="AS568" s="14" t="n"/>
      <c r="AT568" s="12" t="n"/>
      <c r="AU568" s="13" t="n"/>
      <c r="AV568" s="14" t="n"/>
      <c r="AW568" s="12" t="n"/>
      <c r="AX568" s="13" t="n"/>
      <c r="AY568" s="14" t="n"/>
      <c r="AZ568" s="12" t="n"/>
      <c r="BA568" s="13" t="n"/>
      <c r="BB568" s="14" t="n"/>
      <c r="BC568" s="11">
        <f>IF(O568="","",IF(J568="GST 10%",ROUND(O568*set_GSTRate,2),0))</f>
        <v/>
      </c>
      <c r="BD568" s="11">
        <f>IF(O568="","",O568+BC568)</f>
        <v/>
      </c>
      <c r="BE568" s="15">
        <f>IF(O568="","",COUNTA(S568,V568,Y568,AB568,AE568,AH568,AK568,AN568,AQ568,AT568,AW568,AZ568))</f>
        <v/>
      </c>
      <c r="BF568" s="16">
        <f>IF(COUNT(T568,W568,Z568,AC568,AF568,AI568,AL568,AO568,AR568,AU568,AX568,BA568)=0,"",MAX(T568,W568,Z568,AC568,AF568,AI568,AL568,AO568,AR568,AU568,AX568,BA568))</f>
        <v/>
      </c>
      <c r="BG568" s="10">
        <f>MID(IF(S568="","",", "&amp;S568)&amp;IF(V568="","",", "&amp;V568)&amp;IF(Y568="","",", "&amp;Y568)&amp;IF(AB568="","",", "&amp;AB568)&amp;IF(AE568="","",", "&amp;AE568)&amp;IF(AH568="","",", "&amp;AH568)&amp;IF(AK568="","",", "&amp;AK568)&amp;IF(AN568="","",", "&amp;AN568)&amp;IF(AQ568="","",", "&amp;AQ568)&amp;IF(AT568="","",", "&amp;AT568)&amp;IF(AW568="","",", "&amp;AW568)&amp;IF(AZ568="","",", "&amp;AZ568),3,500)</f>
        <v/>
      </c>
      <c r="BH568" s="12" t="n"/>
      <c r="BI568" s="15">
        <f>IFERROR(MATCH($A568,IF($B568="Onsite",tbl_Onsite[Row ID],IF($B568="Production",tbl_Production[Row ID],tbl_Consulting[Row ID])),0),"")</f>
        <v/>
      </c>
    </row>
    <row r="569">
      <c r="A569" s="10" t="inlineStr">
        <is>
          <t>PRD-0063</t>
        </is>
      </c>
      <c r="B569" s="10" t="inlineStr">
        <is>
          <t>Production</t>
        </is>
      </c>
      <c r="C569" s="10">
        <f>IF($BI569="","",IF($B569="Onsite",INDEX(tbl_Onsite[Job Number],$BI569),IF($B569="Production",INDEX(tbl_Production[Job Number],$BI569),INDEX(tbl_Consulting[Job Number],$BI569)))&amp;"")</f>
        <v/>
      </c>
      <c r="D569" s="10">
        <f>IF($BI569="","",IF($B569="Onsite",INDEX(tbl_Onsite[Client],$BI569),IF($B569="Production",INDEX(tbl_Production[Client],$BI569),INDEX(tbl_Consulting[Client],$BI569)))&amp;"")</f>
        <v/>
      </c>
      <c r="E569" s="10">
        <f>IF($C569="","",IF(COUNTIF(lst_Jobs,$C569)&gt;0,"OK","CHECK"))</f>
        <v/>
      </c>
      <c r="F569" s="10">
        <f>IF($C569="","",IFERROR(INDEX(lst_JobName,MATCH($C569,lst_Jobs,0)),""))</f>
        <v/>
      </c>
      <c r="G569" s="10">
        <f>IF($BI569="","",IF($B569="Onsite",INDEX(tbl_Onsite[Job Description],$BI569),IF($B569="Production",INDEX(tbl_Production[Job Description],$BI569),INDEX(tbl_Consulting[Job Description],$BI569)))&amp;"")</f>
        <v/>
      </c>
      <c r="H569" s="10">
        <f>IF($BI569="","",IF($B569="Onsite",INDEX(tbl_Onsite[Cost Centre],$BI569),IF($B569="Production",INDEX(tbl_Production[Cost Centre],$BI569),INDEX(tbl_Consulting[Cost Centre],$BI569)))&amp;"")</f>
        <v/>
      </c>
      <c r="I569" s="10">
        <f>IF($BI569="","",IF($B569="Onsite",INDEX(tbl_Onsite[Invoice Type],$BI569),IF($B569="Production",INDEX(tbl_Production[Invoice Type],$BI569),INDEX(tbl_Consulting[Invoice Type],$BI569)))&amp;"")</f>
        <v/>
      </c>
      <c r="J569" s="10">
        <f>IF($BI569="","",IF($B569="Onsite",INDEX(tbl_Onsite[Tax Code],$BI569),IF($B569="Production",INDEX(tbl_Production[Tax Code],$BI569),INDEX(tbl_Consulting[Tax Code],$BI569)))&amp;"")</f>
        <v/>
      </c>
      <c r="K569" s="10">
        <f>IF(H569="","",IFERROR(INDEX(lst_CCtoGL,MATCH(H569,lst_CCforGL,0)),""))</f>
        <v/>
      </c>
      <c r="L569" s="10">
        <f>IF($BI569="","",IF($B569="Onsite",INDEX(tbl_Onsite[PO / Reference],$BI569),IF($B569="Production",INDEX(tbl_Production[Current RMS No],$BI569),INDEX(tbl_Consulting[Qwilr Quote],$BI569)))&amp;"")</f>
        <v/>
      </c>
      <c r="M569" s="10">
        <f>IF($BI569="","",IF($B569="Onsite",INDEX(tbl_Onsite[Notes],$BI569),IF($B569="Production",INDEX(tbl_Production[Notes],$BI569),INDEX(tbl_Consulting[Notes],$BI569)))&amp;"")</f>
        <v/>
      </c>
      <c r="N569" s="11">
        <f>IF($BI569="","",IF(IF($B569="Onsite",INDEX(tbl_Onsite[Expected Revenue Ex GST],$BI569),IF($B569="Production",INDEX(tbl_Production[Expected Revenue Ex GST],$BI569),INDEX(tbl_Consulting[Expected Revenue Ex GST],$BI569)))="","",IF($B569="Onsite",INDEX(tbl_Onsite[Expected Revenue Ex GST],$BI569),IF($B569="Production",INDEX(tbl_Production[Expected Revenue Ex GST],$BI569),INDEX(tbl_Consulting[Expected Revenue Ex GST],$BI569)))))</f>
        <v/>
      </c>
      <c r="O569" s="11">
        <f>IF(AND($C569="",NOT(COUNTA($S569:$BB569)&gt;0)),"",SUM(U569,X569,AA569,AD569,AG569,AJ569,AM569,AP569,AS569,AV569,AY569,BB569))</f>
        <v/>
      </c>
      <c r="P569" s="11">
        <f>IF(O569="","",N(N569)-O569)</f>
        <v/>
      </c>
      <c r="Q569" s="10">
        <f>IF(O569="","",IF($C569="","Invoice on empty job row",IF(N569="",IF(ROUND(O569,2)=0,"No dept value","Invoiced - no dept value"),IF(ROUND(O569,2)=0,"Not invoiced - to invoice",IF(ROUND(P569,2)=0,"Agrees",IF(P569&gt;0,"Dept higher - to invoice","Xero higher - check dept"))))))</f>
        <v/>
      </c>
      <c r="R569" s="10">
        <f>IF(AND($C569="",NOT(COUNTA($S569:$BB569)&gt;0),$BI569&lt;&gt;""),"",MID(IF($BI569="","; Row ID not found on the department sheet - a row was deleted","")&amp;IF(AND($C569="",COUNTA($S569:$BB569)&gt;0),"; Invoice entered but the department row has no job number","")&amp;IF(E569="CHECK","; Job number not in the Xero job list","")&amp;IF(AND($C569&lt;&gt;"",COUNTIF($C$7:$C$1506,$C569)&gt;1),"; Job number on more than one row","")&amp;IF(AND($C569&lt;&gt;"",H569=""),"; Dept has not set a cost centre","")&amp;IF(AND($C569&lt;&gt;"",J569=""),"; Dept has not set a tax code","")&amp;IF(AND($C569&lt;&gt;"",N569=""),"; Dept has not entered an expected value","")&amp;IF((IF(OR(COUNTA(S569:U569)=0,AND(COUNTA(S569:U569)=3,ISNUMBER(U569))),0,1)+IF(OR(COUNTA(V569:X569)=0,AND(COUNTA(V569:X569)=3,ISNUMBER(X569))),0,1)+IF(OR(COUNTA(Y569:AA569)=0,AND(COUNTA(Y569:AA569)=3,ISNUMBER(AA569))),0,1)+IF(OR(COUNTA(AB569:AD569)=0,AND(COUNTA(AB569:AD569)=3,ISNUMBER(AD569))),0,1)+IF(OR(COUNTA(AE569:AG569)=0,AND(COUNTA(AE569:AG569)=3,ISNUMBER(AG569))),0,1)+IF(OR(COUNTA(AH569:AJ569)=0,AND(COUNTA(AH569:AJ569)=3,ISNUMBER(AJ569))),0,1)+IF(OR(COUNTA(AK569:AM569)=0,AND(COUNTA(AK569:AM569)=3,ISNUMBER(AM569))),0,1)+IF(OR(COUNTA(AN569:AP569)=0,AND(COUNTA(AN569:AP569)=3,ISNUMBER(AP569))),0,1)+IF(OR(COUNTA(AQ569:AS569)=0,AND(COUNTA(AQ569:AS569)=3,ISNUMBER(AS569))),0,1)+IF(OR(COUNTA(AT569:AV569)=0,AND(COUNTA(AT569:AV569)=3,ISNUMBER(AV569))),0,1)+IF(OR(COUNTA(AW569:AY569)=0,AND(COUNTA(AW569:AY569)=3,ISNUMBER(AY569))),0,1)+IF(OR(COUNTA(AZ569:BB569)=0,AND(COUNTA(AZ569:BB569)=3,ISNUMBER(BB569))),0,1))&gt;0,"; An invoice is incomplete (needs No, Date and a number in Ex GST)","")&amp;IF((IF(T569="",0,IFERROR(--(EOMONTH(T569,0)&lt;&gt;S$5),1))+IF(W569="",0,IFERROR(--(EOMONTH(W569,0)&lt;&gt;V$5),1))+IF(Z569="",0,IFERROR(--(EOMONTH(Z569,0)&lt;&gt;Y$5),1))+IF(AC569="",0,IFERROR(--(EOMONTH(AC569,0)&lt;&gt;AB$5),1))+IF(AF569="",0,IFERROR(--(EOMONTH(AF569,0)&lt;&gt;AE$5),1))+IF(AI569="",0,IFERROR(--(EOMONTH(AI569,0)&lt;&gt;AH$5),1))+IF(AL569="",0,IFERROR(--(EOMONTH(AL569,0)&lt;&gt;AK$5),1))+IF(AO569="",0,IFERROR(--(EOMONTH(AO569,0)&lt;&gt;AN$5),1))+IF(AR569="",0,IFERROR(--(EOMONTH(AR569,0)&lt;&gt;AQ$5),1))+IF(AU569="",0,IFERROR(--(EOMONTH(AU569,0)&lt;&gt;AT$5),1))+IF(AX569="",0,IFERROR(--(EOMONTH(AX569,0)&lt;&gt;AW$5),1))+IF(BA569="",0,IFERROR(--(EOMONTH(BA569,0)&lt;&gt;AZ$5),1)))&gt;0,"; An invoice date is not in the month it is typed under",""),3,500))</f>
        <v/>
      </c>
      <c r="S569" s="12" t="n"/>
      <c r="T569" s="13" t="n"/>
      <c r="U569" s="14" t="n"/>
      <c r="V569" s="12" t="n"/>
      <c r="W569" s="13" t="n"/>
      <c r="X569" s="14" t="n"/>
      <c r="Y569" s="12" t="n"/>
      <c r="Z569" s="13" t="n"/>
      <c r="AA569" s="14" t="n"/>
      <c r="AB569" s="12" t="n"/>
      <c r="AC569" s="13" t="n"/>
      <c r="AD569" s="14" t="n"/>
      <c r="AE569" s="12" t="n"/>
      <c r="AF569" s="13" t="n"/>
      <c r="AG569" s="14" t="n"/>
      <c r="AH569" s="12" t="n"/>
      <c r="AI569" s="13" t="n"/>
      <c r="AJ569" s="14" t="n"/>
      <c r="AK569" s="12" t="n"/>
      <c r="AL569" s="13" t="n"/>
      <c r="AM569" s="14" t="n"/>
      <c r="AN569" s="12" t="n"/>
      <c r="AO569" s="13" t="n"/>
      <c r="AP569" s="14" t="n"/>
      <c r="AQ569" s="12" t="n"/>
      <c r="AR569" s="13" t="n"/>
      <c r="AS569" s="14" t="n"/>
      <c r="AT569" s="12" t="n"/>
      <c r="AU569" s="13" t="n"/>
      <c r="AV569" s="14" t="n"/>
      <c r="AW569" s="12" t="n"/>
      <c r="AX569" s="13" t="n"/>
      <c r="AY569" s="14" t="n"/>
      <c r="AZ569" s="12" t="n"/>
      <c r="BA569" s="13" t="n"/>
      <c r="BB569" s="14" t="n"/>
      <c r="BC569" s="11">
        <f>IF(O569="","",IF(J569="GST 10%",ROUND(O569*set_GSTRate,2),0))</f>
        <v/>
      </c>
      <c r="BD569" s="11">
        <f>IF(O569="","",O569+BC569)</f>
        <v/>
      </c>
      <c r="BE569" s="15">
        <f>IF(O569="","",COUNTA(S569,V569,Y569,AB569,AE569,AH569,AK569,AN569,AQ569,AT569,AW569,AZ569))</f>
        <v/>
      </c>
      <c r="BF569" s="16">
        <f>IF(COUNT(T569,W569,Z569,AC569,AF569,AI569,AL569,AO569,AR569,AU569,AX569,BA569)=0,"",MAX(T569,W569,Z569,AC569,AF569,AI569,AL569,AO569,AR569,AU569,AX569,BA569))</f>
        <v/>
      </c>
      <c r="BG569" s="10">
        <f>MID(IF(S569="","",", "&amp;S569)&amp;IF(V569="","",", "&amp;V569)&amp;IF(Y569="","",", "&amp;Y569)&amp;IF(AB569="","",", "&amp;AB569)&amp;IF(AE569="","",", "&amp;AE569)&amp;IF(AH569="","",", "&amp;AH569)&amp;IF(AK569="","",", "&amp;AK569)&amp;IF(AN569="","",", "&amp;AN569)&amp;IF(AQ569="","",", "&amp;AQ569)&amp;IF(AT569="","",", "&amp;AT569)&amp;IF(AW569="","",", "&amp;AW569)&amp;IF(AZ569="","",", "&amp;AZ569),3,500)</f>
        <v/>
      </c>
      <c r="BH569" s="12" t="n"/>
      <c r="BI569" s="15">
        <f>IFERROR(MATCH($A569,IF($B569="Onsite",tbl_Onsite[Row ID],IF($B569="Production",tbl_Production[Row ID],tbl_Consulting[Row ID])),0),"")</f>
        <v/>
      </c>
    </row>
    <row r="570">
      <c r="A570" s="10" t="inlineStr">
        <is>
          <t>PRD-0064</t>
        </is>
      </c>
      <c r="B570" s="10" t="inlineStr">
        <is>
          <t>Production</t>
        </is>
      </c>
      <c r="C570" s="10">
        <f>IF($BI570="","",IF($B570="Onsite",INDEX(tbl_Onsite[Job Number],$BI570),IF($B570="Production",INDEX(tbl_Production[Job Number],$BI570),INDEX(tbl_Consulting[Job Number],$BI570)))&amp;"")</f>
        <v/>
      </c>
      <c r="D570" s="10">
        <f>IF($BI570="","",IF($B570="Onsite",INDEX(tbl_Onsite[Client],$BI570),IF($B570="Production",INDEX(tbl_Production[Client],$BI570),INDEX(tbl_Consulting[Client],$BI570)))&amp;"")</f>
        <v/>
      </c>
      <c r="E570" s="10">
        <f>IF($C570="","",IF(COUNTIF(lst_Jobs,$C570)&gt;0,"OK","CHECK"))</f>
        <v/>
      </c>
      <c r="F570" s="10">
        <f>IF($C570="","",IFERROR(INDEX(lst_JobName,MATCH($C570,lst_Jobs,0)),""))</f>
        <v/>
      </c>
      <c r="G570" s="10">
        <f>IF($BI570="","",IF($B570="Onsite",INDEX(tbl_Onsite[Job Description],$BI570),IF($B570="Production",INDEX(tbl_Production[Job Description],$BI570),INDEX(tbl_Consulting[Job Description],$BI570)))&amp;"")</f>
        <v/>
      </c>
      <c r="H570" s="10">
        <f>IF($BI570="","",IF($B570="Onsite",INDEX(tbl_Onsite[Cost Centre],$BI570),IF($B570="Production",INDEX(tbl_Production[Cost Centre],$BI570),INDEX(tbl_Consulting[Cost Centre],$BI570)))&amp;"")</f>
        <v/>
      </c>
      <c r="I570" s="10">
        <f>IF($BI570="","",IF($B570="Onsite",INDEX(tbl_Onsite[Invoice Type],$BI570),IF($B570="Production",INDEX(tbl_Production[Invoice Type],$BI570),INDEX(tbl_Consulting[Invoice Type],$BI570)))&amp;"")</f>
        <v/>
      </c>
      <c r="J570" s="10">
        <f>IF($BI570="","",IF($B570="Onsite",INDEX(tbl_Onsite[Tax Code],$BI570),IF($B570="Production",INDEX(tbl_Production[Tax Code],$BI570),INDEX(tbl_Consulting[Tax Code],$BI570)))&amp;"")</f>
        <v/>
      </c>
      <c r="K570" s="10">
        <f>IF(H570="","",IFERROR(INDEX(lst_CCtoGL,MATCH(H570,lst_CCforGL,0)),""))</f>
        <v/>
      </c>
      <c r="L570" s="10">
        <f>IF($BI570="","",IF($B570="Onsite",INDEX(tbl_Onsite[PO / Reference],$BI570),IF($B570="Production",INDEX(tbl_Production[Current RMS No],$BI570),INDEX(tbl_Consulting[Qwilr Quote],$BI570)))&amp;"")</f>
        <v/>
      </c>
      <c r="M570" s="10">
        <f>IF($BI570="","",IF($B570="Onsite",INDEX(tbl_Onsite[Notes],$BI570),IF($B570="Production",INDEX(tbl_Production[Notes],$BI570),INDEX(tbl_Consulting[Notes],$BI570)))&amp;"")</f>
        <v/>
      </c>
      <c r="N570" s="11">
        <f>IF($BI570="","",IF(IF($B570="Onsite",INDEX(tbl_Onsite[Expected Revenue Ex GST],$BI570),IF($B570="Production",INDEX(tbl_Production[Expected Revenue Ex GST],$BI570),INDEX(tbl_Consulting[Expected Revenue Ex GST],$BI570)))="","",IF($B570="Onsite",INDEX(tbl_Onsite[Expected Revenue Ex GST],$BI570),IF($B570="Production",INDEX(tbl_Production[Expected Revenue Ex GST],$BI570),INDEX(tbl_Consulting[Expected Revenue Ex GST],$BI570)))))</f>
        <v/>
      </c>
      <c r="O570" s="11">
        <f>IF(AND($C570="",NOT(COUNTA($S570:$BB570)&gt;0)),"",SUM(U570,X570,AA570,AD570,AG570,AJ570,AM570,AP570,AS570,AV570,AY570,BB570))</f>
        <v/>
      </c>
      <c r="P570" s="11">
        <f>IF(O570="","",N(N570)-O570)</f>
        <v/>
      </c>
      <c r="Q570" s="10">
        <f>IF(O570="","",IF($C570="","Invoice on empty job row",IF(N570="",IF(ROUND(O570,2)=0,"No dept value","Invoiced - no dept value"),IF(ROUND(O570,2)=0,"Not invoiced - to invoice",IF(ROUND(P570,2)=0,"Agrees",IF(P570&gt;0,"Dept higher - to invoice","Xero higher - check dept"))))))</f>
        <v/>
      </c>
      <c r="R570" s="10">
        <f>IF(AND($C570="",NOT(COUNTA($S570:$BB570)&gt;0),$BI570&lt;&gt;""),"",MID(IF($BI570="","; Row ID not found on the department sheet - a row was deleted","")&amp;IF(AND($C570="",COUNTA($S570:$BB570)&gt;0),"; Invoice entered but the department row has no job number","")&amp;IF(E570="CHECK","; Job number not in the Xero job list","")&amp;IF(AND($C570&lt;&gt;"",COUNTIF($C$7:$C$1506,$C570)&gt;1),"; Job number on more than one row","")&amp;IF(AND($C570&lt;&gt;"",H570=""),"; Dept has not set a cost centre","")&amp;IF(AND($C570&lt;&gt;"",J570=""),"; Dept has not set a tax code","")&amp;IF(AND($C570&lt;&gt;"",N570=""),"; Dept has not entered an expected value","")&amp;IF((IF(OR(COUNTA(S570:U570)=0,AND(COUNTA(S570:U570)=3,ISNUMBER(U570))),0,1)+IF(OR(COUNTA(V570:X570)=0,AND(COUNTA(V570:X570)=3,ISNUMBER(X570))),0,1)+IF(OR(COUNTA(Y570:AA570)=0,AND(COUNTA(Y570:AA570)=3,ISNUMBER(AA570))),0,1)+IF(OR(COUNTA(AB570:AD570)=0,AND(COUNTA(AB570:AD570)=3,ISNUMBER(AD570))),0,1)+IF(OR(COUNTA(AE570:AG570)=0,AND(COUNTA(AE570:AG570)=3,ISNUMBER(AG570))),0,1)+IF(OR(COUNTA(AH570:AJ570)=0,AND(COUNTA(AH570:AJ570)=3,ISNUMBER(AJ570))),0,1)+IF(OR(COUNTA(AK570:AM570)=0,AND(COUNTA(AK570:AM570)=3,ISNUMBER(AM570))),0,1)+IF(OR(COUNTA(AN570:AP570)=0,AND(COUNTA(AN570:AP570)=3,ISNUMBER(AP570))),0,1)+IF(OR(COUNTA(AQ570:AS570)=0,AND(COUNTA(AQ570:AS570)=3,ISNUMBER(AS570))),0,1)+IF(OR(COUNTA(AT570:AV570)=0,AND(COUNTA(AT570:AV570)=3,ISNUMBER(AV570))),0,1)+IF(OR(COUNTA(AW570:AY570)=0,AND(COUNTA(AW570:AY570)=3,ISNUMBER(AY570))),0,1)+IF(OR(COUNTA(AZ570:BB570)=0,AND(COUNTA(AZ570:BB570)=3,ISNUMBER(BB570))),0,1))&gt;0,"; An invoice is incomplete (needs No, Date and a number in Ex GST)","")&amp;IF((IF(T570="",0,IFERROR(--(EOMONTH(T570,0)&lt;&gt;S$5),1))+IF(W570="",0,IFERROR(--(EOMONTH(W570,0)&lt;&gt;V$5),1))+IF(Z570="",0,IFERROR(--(EOMONTH(Z570,0)&lt;&gt;Y$5),1))+IF(AC570="",0,IFERROR(--(EOMONTH(AC570,0)&lt;&gt;AB$5),1))+IF(AF570="",0,IFERROR(--(EOMONTH(AF570,0)&lt;&gt;AE$5),1))+IF(AI570="",0,IFERROR(--(EOMONTH(AI570,0)&lt;&gt;AH$5),1))+IF(AL570="",0,IFERROR(--(EOMONTH(AL570,0)&lt;&gt;AK$5),1))+IF(AO570="",0,IFERROR(--(EOMONTH(AO570,0)&lt;&gt;AN$5),1))+IF(AR570="",0,IFERROR(--(EOMONTH(AR570,0)&lt;&gt;AQ$5),1))+IF(AU570="",0,IFERROR(--(EOMONTH(AU570,0)&lt;&gt;AT$5),1))+IF(AX570="",0,IFERROR(--(EOMONTH(AX570,0)&lt;&gt;AW$5),1))+IF(BA570="",0,IFERROR(--(EOMONTH(BA570,0)&lt;&gt;AZ$5),1)))&gt;0,"; An invoice date is not in the month it is typed under",""),3,500))</f>
        <v/>
      </c>
      <c r="S570" s="12" t="n"/>
      <c r="T570" s="13" t="n"/>
      <c r="U570" s="14" t="n"/>
      <c r="V570" s="12" t="n"/>
      <c r="W570" s="13" t="n"/>
      <c r="X570" s="14" t="n"/>
      <c r="Y570" s="12" t="n"/>
      <c r="Z570" s="13" t="n"/>
      <c r="AA570" s="14" t="n"/>
      <c r="AB570" s="12" t="n"/>
      <c r="AC570" s="13" t="n"/>
      <c r="AD570" s="14" t="n"/>
      <c r="AE570" s="12" t="n"/>
      <c r="AF570" s="13" t="n"/>
      <c r="AG570" s="14" t="n"/>
      <c r="AH570" s="12" t="n"/>
      <c r="AI570" s="13" t="n"/>
      <c r="AJ570" s="14" t="n"/>
      <c r="AK570" s="12" t="n"/>
      <c r="AL570" s="13" t="n"/>
      <c r="AM570" s="14" t="n"/>
      <c r="AN570" s="12" t="n"/>
      <c r="AO570" s="13" t="n"/>
      <c r="AP570" s="14" t="n"/>
      <c r="AQ570" s="12" t="n"/>
      <c r="AR570" s="13" t="n"/>
      <c r="AS570" s="14" t="n"/>
      <c r="AT570" s="12" t="n"/>
      <c r="AU570" s="13" t="n"/>
      <c r="AV570" s="14" t="n"/>
      <c r="AW570" s="12" t="n"/>
      <c r="AX570" s="13" t="n"/>
      <c r="AY570" s="14" t="n"/>
      <c r="AZ570" s="12" t="n"/>
      <c r="BA570" s="13" t="n"/>
      <c r="BB570" s="14" t="n"/>
      <c r="BC570" s="11">
        <f>IF(O570="","",IF(J570="GST 10%",ROUND(O570*set_GSTRate,2),0))</f>
        <v/>
      </c>
      <c r="BD570" s="11">
        <f>IF(O570="","",O570+BC570)</f>
        <v/>
      </c>
      <c r="BE570" s="15">
        <f>IF(O570="","",COUNTA(S570,V570,Y570,AB570,AE570,AH570,AK570,AN570,AQ570,AT570,AW570,AZ570))</f>
        <v/>
      </c>
      <c r="BF570" s="16">
        <f>IF(COUNT(T570,W570,Z570,AC570,AF570,AI570,AL570,AO570,AR570,AU570,AX570,BA570)=0,"",MAX(T570,W570,Z570,AC570,AF570,AI570,AL570,AO570,AR570,AU570,AX570,BA570))</f>
        <v/>
      </c>
      <c r="BG570" s="10">
        <f>MID(IF(S570="","",", "&amp;S570)&amp;IF(V570="","",", "&amp;V570)&amp;IF(Y570="","",", "&amp;Y570)&amp;IF(AB570="","",", "&amp;AB570)&amp;IF(AE570="","",", "&amp;AE570)&amp;IF(AH570="","",", "&amp;AH570)&amp;IF(AK570="","",", "&amp;AK570)&amp;IF(AN570="","",", "&amp;AN570)&amp;IF(AQ570="","",", "&amp;AQ570)&amp;IF(AT570="","",", "&amp;AT570)&amp;IF(AW570="","",", "&amp;AW570)&amp;IF(AZ570="","",", "&amp;AZ570),3,500)</f>
        <v/>
      </c>
      <c r="BH570" s="12" t="n"/>
      <c r="BI570" s="15">
        <f>IFERROR(MATCH($A570,IF($B570="Onsite",tbl_Onsite[Row ID],IF($B570="Production",tbl_Production[Row ID],tbl_Consulting[Row ID])),0),"")</f>
        <v/>
      </c>
    </row>
    <row r="571">
      <c r="A571" s="10" t="inlineStr">
        <is>
          <t>PRD-0065</t>
        </is>
      </c>
      <c r="B571" s="10" t="inlineStr">
        <is>
          <t>Production</t>
        </is>
      </c>
      <c r="C571" s="10">
        <f>IF($BI571="","",IF($B571="Onsite",INDEX(tbl_Onsite[Job Number],$BI571),IF($B571="Production",INDEX(tbl_Production[Job Number],$BI571),INDEX(tbl_Consulting[Job Number],$BI571)))&amp;"")</f>
        <v/>
      </c>
      <c r="D571" s="10">
        <f>IF($BI571="","",IF($B571="Onsite",INDEX(tbl_Onsite[Client],$BI571),IF($B571="Production",INDEX(tbl_Production[Client],$BI571),INDEX(tbl_Consulting[Client],$BI571)))&amp;"")</f>
        <v/>
      </c>
      <c r="E571" s="10">
        <f>IF($C571="","",IF(COUNTIF(lst_Jobs,$C571)&gt;0,"OK","CHECK"))</f>
        <v/>
      </c>
      <c r="F571" s="10">
        <f>IF($C571="","",IFERROR(INDEX(lst_JobName,MATCH($C571,lst_Jobs,0)),""))</f>
        <v/>
      </c>
      <c r="G571" s="10">
        <f>IF($BI571="","",IF($B571="Onsite",INDEX(tbl_Onsite[Job Description],$BI571),IF($B571="Production",INDEX(tbl_Production[Job Description],$BI571),INDEX(tbl_Consulting[Job Description],$BI571)))&amp;"")</f>
        <v/>
      </c>
      <c r="H571" s="10">
        <f>IF($BI571="","",IF($B571="Onsite",INDEX(tbl_Onsite[Cost Centre],$BI571),IF($B571="Production",INDEX(tbl_Production[Cost Centre],$BI571),INDEX(tbl_Consulting[Cost Centre],$BI571)))&amp;"")</f>
        <v/>
      </c>
      <c r="I571" s="10">
        <f>IF($BI571="","",IF($B571="Onsite",INDEX(tbl_Onsite[Invoice Type],$BI571),IF($B571="Production",INDEX(tbl_Production[Invoice Type],$BI571),INDEX(tbl_Consulting[Invoice Type],$BI571)))&amp;"")</f>
        <v/>
      </c>
      <c r="J571" s="10">
        <f>IF($BI571="","",IF($B571="Onsite",INDEX(tbl_Onsite[Tax Code],$BI571),IF($B571="Production",INDEX(tbl_Production[Tax Code],$BI571),INDEX(tbl_Consulting[Tax Code],$BI571)))&amp;"")</f>
        <v/>
      </c>
      <c r="K571" s="10">
        <f>IF(H571="","",IFERROR(INDEX(lst_CCtoGL,MATCH(H571,lst_CCforGL,0)),""))</f>
        <v/>
      </c>
      <c r="L571" s="10">
        <f>IF($BI571="","",IF($B571="Onsite",INDEX(tbl_Onsite[PO / Reference],$BI571),IF($B571="Production",INDEX(tbl_Production[Current RMS No],$BI571),INDEX(tbl_Consulting[Qwilr Quote],$BI571)))&amp;"")</f>
        <v/>
      </c>
      <c r="M571" s="10">
        <f>IF($BI571="","",IF($B571="Onsite",INDEX(tbl_Onsite[Notes],$BI571),IF($B571="Production",INDEX(tbl_Production[Notes],$BI571),INDEX(tbl_Consulting[Notes],$BI571)))&amp;"")</f>
        <v/>
      </c>
      <c r="N571" s="11">
        <f>IF($BI571="","",IF(IF($B571="Onsite",INDEX(tbl_Onsite[Expected Revenue Ex GST],$BI571),IF($B571="Production",INDEX(tbl_Production[Expected Revenue Ex GST],$BI571),INDEX(tbl_Consulting[Expected Revenue Ex GST],$BI571)))="","",IF($B571="Onsite",INDEX(tbl_Onsite[Expected Revenue Ex GST],$BI571),IF($B571="Production",INDEX(tbl_Production[Expected Revenue Ex GST],$BI571),INDEX(tbl_Consulting[Expected Revenue Ex GST],$BI571)))))</f>
        <v/>
      </c>
      <c r="O571" s="11">
        <f>IF(AND($C571="",NOT(COUNTA($S571:$BB571)&gt;0)),"",SUM(U571,X571,AA571,AD571,AG571,AJ571,AM571,AP571,AS571,AV571,AY571,BB571))</f>
        <v/>
      </c>
      <c r="P571" s="11">
        <f>IF(O571="","",N(N571)-O571)</f>
        <v/>
      </c>
      <c r="Q571" s="10">
        <f>IF(O571="","",IF($C571="","Invoice on empty job row",IF(N571="",IF(ROUND(O571,2)=0,"No dept value","Invoiced - no dept value"),IF(ROUND(O571,2)=0,"Not invoiced - to invoice",IF(ROUND(P571,2)=0,"Agrees",IF(P571&gt;0,"Dept higher - to invoice","Xero higher - check dept"))))))</f>
        <v/>
      </c>
      <c r="R571" s="10">
        <f>IF(AND($C571="",NOT(COUNTA($S571:$BB571)&gt;0),$BI571&lt;&gt;""),"",MID(IF($BI571="","; Row ID not found on the department sheet - a row was deleted","")&amp;IF(AND($C571="",COUNTA($S571:$BB571)&gt;0),"; Invoice entered but the department row has no job number","")&amp;IF(E571="CHECK","; Job number not in the Xero job list","")&amp;IF(AND($C571&lt;&gt;"",COUNTIF($C$7:$C$1506,$C571)&gt;1),"; Job number on more than one row","")&amp;IF(AND($C571&lt;&gt;"",H571=""),"; Dept has not set a cost centre","")&amp;IF(AND($C571&lt;&gt;"",J571=""),"; Dept has not set a tax code","")&amp;IF(AND($C571&lt;&gt;"",N571=""),"; Dept has not entered an expected value","")&amp;IF((IF(OR(COUNTA(S571:U571)=0,AND(COUNTA(S571:U571)=3,ISNUMBER(U571))),0,1)+IF(OR(COUNTA(V571:X571)=0,AND(COUNTA(V571:X571)=3,ISNUMBER(X571))),0,1)+IF(OR(COUNTA(Y571:AA571)=0,AND(COUNTA(Y571:AA571)=3,ISNUMBER(AA571))),0,1)+IF(OR(COUNTA(AB571:AD571)=0,AND(COUNTA(AB571:AD571)=3,ISNUMBER(AD571))),0,1)+IF(OR(COUNTA(AE571:AG571)=0,AND(COUNTA(AE571:AG571)=3,ISNUMBER(AG571))),0,1)+IF(OR(COUNTA(AH571:AJ571)=0,AND(COUNTA(AH571:AJ571)=3,ISNUMBER(AJ571))),0,1)+IF(OR(COUNTA(AK571:AM571)=0,AND(COUNTA(AK571:AM571)=3,ISNUMBER(AM571))),0,1)+IF(OR(COUNTA(AN571:AP571)=0,AND(COUNTA(AN571:AP571)=3,ISNUMBER(AP571))),0,1)+IF(OR(COUNTA(AQ571:AS571)=0,AND(COUNTA(AQ571:AS571)=3,ISNUMBER(AS571))),0,1)+IF(OR(COUNTA(AT571:AV571)=0,AND(COUNTA(AT571:AV571)=3,ISNUMBER(AV571))),0,1)+IF(OR(COUNTA(AW571:AY571)=0,AND(COUNTA(AW571:AY571)=3,ISNUMBER(AY571))),0,1)+IF(OR(COUNTA(AZ571:BB571)=0,AND(COUNTA(AZ571:BB571)=3,ISNUMBER(BB571))),0,1))&gt;0,"; An invoice is incomplete (needs No, Date and a number in Ex GST)","")&amp;IF((IF(T571="",0,IFERROR(--(EOMONTH(T571,0)&lt;&gt;S$5),1))+IF(W571="",0,IFERROR(--(EOMONTH(W571,0)&lt;&gt;V$5),1))+IF(Z571="",0,IFERROR(--(EOMONTH(Z571,0)&lt;&gt;Y$5),1))+IF(AC571="",0,IFERROR(--(EOMONTH(AC571,0)&lt;&gt;AB$5),1))+IF(AF571="",0,IFERROR(--(EOMONTH(AF571,0)&lt;&gt;AE$5),1))+IF(AI571="",0,IFERROR(--(EOMONTH(AI571,0)&lt;&gt;AH$5),1))+IF(AL571="",0,IFERROR(--(EOMONTH(AL571,0)&lt;&gt;AK$5),1))+IF(AO571="",0,IFERROR(--(EOMONTH(AO571,0)&lt;&gt;AN$5),1))+IF(AR571="",0,IFERROR(--(EOMONTH(AR571,0)&lt;&gt;AQ$5),1))+IF(AU571="",0,IFERROR(--(EOMONTH(AU571,0)&lt;&gt;AT$5),1))+IF(AX571="",0,IFERROR(--(EOMONTH(AX571,0)&lt;&gt;AW$5),1))+IF(BA571="",0,IFERROR(--(EOMONTH(BA571,0)&lt;&gt;AZ$5),1)))&gt;0,"; An invoice date is not in the month it is typed under",""),3,500))</f>
        <v/>
      </c>
      <c r="S571" s="12" t="n"/>
      <c r="T571" s="13" t="n"/>
      <c r="U571" s="14" t="n"/>
      <c r="V571" s="12" t="n"/>
      <c r="W571" s="13" t="n"/>
      <c r="X571" s="14" t="n"/>
      <c r="Y571" s="12" t="n"/>
      <c r="Z571" s="13" t="n"/>
      <c r="AA571" s="14" t="n"/>
      <c r="AB571" s="12" t="n"/>
      <c r="AC571" s="13" t="n"/>
      <c r="AD571" s="14" t="n"/>
      <c r="AE571" s="12" t="n"/>
      <c r="AF571" s="13" t="n"/>
      <c r="AG571" s="14" t="n"/>
      <c r="AH571" s="12" t="n"/>
      <c r="AI571" s="13" t="n"/>
      <c r="AJ571" s="14" t="n"/>
      <c r="AK571" s="12" t="n"/>
      <c r="AL571" s="13" t="n"/>
      <c r="AM571" s="14" t="n"/>
      <c r="AN571" s="12" t="n"/>
      <c r="AO571" s="13" t="n"/>
      <c r="AP571" s="14" t="n"/>
      <c r="AQ571" s="12" t="n"/>
      <c r="AR571" s="13" t="n"/>
      <c r="AS571" s="14" t="n"/>
      <c r="AT571" s="12" t="n"/>
      <c r="AU571" s="13" t="n"/>
      <c r="AV571" s="14" t="n"/>
      <c r="AW571" s="12" t="n"/>
      <c r="AX571" s="13" t="n"/>
      <c r="AY571" s="14" t="n"/>
      <c r="AZ571" s="12" t="n"/>
      <c r="BA571" s="13" t="n"/>
      <c r="BB571" s="14" t="n"/>
      <c r="BC571" s="11">
        <f>IF(O571="","",IF(J571="GST 10%",ROUND(O571*set_GSTRate,2),0))</f>
        <v/>
      </c>
      <c r="BD571" s="11">
        <f>IF(O571="","",O571+BC571)</f>
        <v/>
      </c>
      <c r="BE571" s="15">
        <f>IF(O571="","",COUNTA(S571,V571,Y571,AB571,AE571,AH571,AK571,AN571,AQ571,AT571,AW571,AZ571))</f>
        <v/>
      </c>
      <c r="BF571" s="16">
        <f>IF(COUNT(T571,W571,Z571,AC571,AF571,AI571,AL571,AO571,AR571,AU571,AX571,BA571)=0,"",MAX(T571,W571,Z571,AC571,AF571,AI571,AL571,AO571,AR571,AU571,AX571,BA571))</f>
        <v/>
      </c>
      <c r="BG571" s="10">
        <f>MID(IF(S571="","",", "&amp;S571)&amp;IF(V571="","",", "&amp;V571)&amp;IF(Y571="","",", "&amp;Y571)&amp;IF(AB571="","",", "&amp;AB571)&amp;IF(AE571="","",", "&amp;AE571)&amp;IF(AH571="","",", "&amp;AH571)&amp;IF(AK571="","",", "&amp;AK571)&amp;IF(AN571="","",", "&amp;AN571)&amp;IF(AQ571="","",", "&amp;AQ571)&amp;IF(AT571="","",", "&amp;AT571)&amp;IF(AW571="","",", "&amp;AW571)&amp;IF(AZ571="","",", "&amp;AZ571),3,500)</f>
        <v/>
      </c>
      <c r="BH571" s="12" t="n"/>
      <c r="BI571" s="15">
        <f>IFERROR(MATCH($A571,IF($B571="Onsite",tbl_Onsite[Row ID],IF($B571="Production",tbl_Production[Row ID],tbl_Consulting[Row ID])),0),"")</f>
        <v/>
      </c>
    </row>
    <row r="572">
      <c r="A572" s="10" t="inlineStr">
        <is>
          <t>PRD-0066</t>
        </is>
      </c>
      <c r="B572" s="10" t="inlineStr">
        <is>
          <t>Production</t>
        </is>
      </c>
      <c r="C572" s="10">
        <f>IF($BI572="","",IF($B572="Onsite",INDEX(tbl_Onsite[Job Number],$BI572),IF($B572="Production",INDEX(tbl_Production[Job Number],$BI572),INDEX(tbl_Consulting[Job Number],$BI572)))&amp;"")</f>
        <v/>
      </c>
      <c r="D572" s="10">
        <f>IF($BI572="","",IF($B572="Onsite",INDEX(tbl_Onsite[Client],$BI572),IF($B572="Production",INDEX(tbl_Production[Client],$BI572),INDEX(tbl_Consulting[Client],$BI572)))&amp;"")</f>
        <v/>
      </c>
      <c r="E572" s="10">
        <f>IF($C572="","",IF(COUNTIF(lst_Jobs,$C572)&gt;0,"OK","CHECK"))</f>
        <v/>
      </c>
      <c r="F572" s="10">
        <f>IF($C572="","",IFERROR(INDEX(lst_JobName,MATCH($C572,lst_Jobs,0)),""))</f>
        <v/>
      </c>
      <c r="G572" s="10">
        <f>IF($BI572="","",IF($B572="Onsite",INDEX(tbl_Onsite[Job Description],$BI572),IF($B572="Production",INDEX(tbl_Production[Job Description],$BI572),INDEX(tbl_Consulting[Job Description],$BI572)))&amp;"")</f>
        <v/>
      </c>
      <c r="H572" s="10">
        <f>IF($BI572="","",IF($B572="Onsite",INDEX(tbl_Onsite[Cost Centre],$BI572),IF($B572="Production",INDEX(tbl_Production[Cost Centre],$BI572),INDEX(tbl_Consulting[Cost Centre],$BI572)))&amp;"")</f>
        <v/>
      </c>
      <c r="I572" s="10">
        <f>IF($BI572="","",IF($B572="Onsite",INDEX(tbl_Onsite[Invoice Type],$BI572),IF($B572="Production",INDEX(tbl_Production[Invoice Type],$BI572),INDEX(tbl_Consulting[Invoice Type],$BI572)))&amp;"")</f>
        <v/>
      </c>
      <c r="J572" s="10">
        <f>IF($BI572="","",IF($B572="Onsite",INDEX(tbl_Onsite[Tax Code],$BI572),IF($B572="Production",INDEX(tbl_Production[Tax Code],$BI572),INDEX(tbl_Consulting[Tax Code],$BI572)))&amp;"")</f>
        <v/>
      </c>
      <c r="K572" s="10">
        <f>IF(H572="","",IFERROR(INDEX(lst_CCtoGL,MATCH(H572,lst_CCforGL,0)),""))</f>
        <v/>
      </c>
      <c r="L572" s="10">
        <f>IF($BI572="","",IF($B572="Onsite",INDEX(tbl_Onsite[PO / Reference],$BI572),IF($B572="Production",INDEX(tbl_Production[Current RMS No],$BI572),INDEX(tbl_Consulting[Qwilr Quote],$BI572)))&amp;"")</f>
        <v/>
      </c>
      <c r="M572" s="10">
        <f>IF($BI572="","",IF($B572="Onsite",INDEX(tbl_Onsite[Notes],$BI572),IF($B572="Production",INDEX(tbl_Production[Notes],$BI572),INDEX(tbl_Consulting[Notes],$BI572)))&amp;"")</f>
        <v/>
      </c>
      <c r="N572" s="11">
        <f>IF($BI572="","",IF(IF($B572="Onsite",INDEX(tbl_Onsite[Expected Revenue Ex GST],$BI572),IF($B572="Production",INDEX(tbl_Production[Expected Revenue Ex GST],$BI572),INDEX(tbl_Consulting[Expected Revenue Ex GST],$BI572)))="","",IF($B572="Onsite",INDEX(tbl_Onsite[Expected Revenue Ex GST],$BI572),IF($B572="Production",INDEX(tbl_Production[Expected Revenue Ex GST],$BI572),INDEX(tbl_Consulting[Expected Revenue Ex GST],$BI572)))))</f>
        <v/>
      </c>
      <c r="O572" s="11">
        <f>IF(AND($C572="",NOT(COUNTA($S572:$BB572)&gt;0)),"",SUM(U572,X572,AA572,AD572,AG572,AJ572,AM572,AP572,AS572,AV572,AY572,BB572))</f>
        <v/>
      </c>
      <c r="P572" s="11">
        <f>IF(O572="","",N(N572)-O572)</f>
        <v/>
      </c>
      <c r="Q572" s="10">
        <f>IF(O572="","",IF($C572="","Invoice on empty job row",IF(N572="",IF(ROUND(O572,2)=0,"No dept value","Invoiced - no dept value"),IF(ROUND(O572,2)=0,"Not invoiced - to invoice",IF(ROUND(P572,2)=0,"Agrees",IF(P572&gt;0,"Dept higher - to invoice","Xero higher - check dept"))))))</f>
        <v/>
      </c>
      <c r="R572" s="10">
        <f>IF(AND($C572="",NOT(COUNTA($S572:$BB572)&gt;0),$BI572&lt;&gt;""),"",MID(IF($BI572="","; Row ID not found on the department sheet - a row was deleted","")&amp;IF(AND($C572="",COUNTA($S572:$BB572)&gt;0),"; Invoice entered but the department row has no job number","")&amp;IF(E572="CHECK","; Job number not in the Xero job list","")&amp;IF(AND($C572&lt;&gt;"",COUNTIF($C$7:$C$1506,$C572)&gt;1),"; Job number on more than one row","")&amp;IF(AND($C572&lt;&gt;"",H572=""),"; Dept has not set a cost centre","")&amp;IF(AND($C572&lt;&gt;"",J572=""),"; Dept has not set a tax code","")&amp;IF(AND($C572&lt;&gt;"",N572=""),"; Dept has not entered an expected value","")&amp;IF((IF(OR(COUNTA(S572:U572)=0,AND(COUNTA(S572:U572)=3,ISNUMBER(U572))),0,1)+IF(OR(COUNTA(V572:X572)=0,AND(COUNTA(V572:X572)=3,ISNUMBER(X572))),0,1)+IF(OR(COUNTA(Y572:AA572)=0,AND(COUNTA(Y572:AA572)=3,ISNUMBER(AA572))),0,1)+IF(OR(COUNTA(AB572:AD572)=0,AND(COUNTA(AB572:AD572)=3,ISNUMBER(AD572))),0,1)+IF(OR(COUNTA(AE572:AG572)=0,AND(COUNTA(AE572:AG572)=3,ISNUMBER(AG572))),0,1)+IF(OR(COUNTA(AH572:AJ572)=0,AND(COUNTA(AH572:AJ572)=3,ISNUMBER(AJ572))),0,1)+IF(OR(COUNTA(AK572:AM572)=0,AND(COUNTA(AK572:AM572)=3,ISNUMBER(AM572))),0,1)+IF(OR(COUNTA(AN572:AP572)=0,AND(COUNTA(AN572:AP572)=3,ISNUMBER(AP572))),0,1)+IF(OR(COUNTA(AQ572:AS572)=0,AND(COUNTA(AQ572:AS572)=3,ISNUMBER(AS572))),0,1)+IF(OR(COUNTA(AT572:AV572)=0,AND(COUNTA(AT572:AV572)=3,ISNUMBER(AV572))),0,1)+IF(OR(COUNTA(AW572:AY572)=0,AND(COUNTA(AW572:AY572)=3,ISNUMBER(AY572))),0,1)+IF(OR(COUNTA(AZ572:BB572)=0,AND(COUNTA(AZ572:BB572)=3,ISNUMBER(BB572))),0,1))&gt;0,"; An invoice is incomplete (needs No, Date and a number in Ex GST)","")&amp;IF((IF(T572="",0,IFERROR(--(EOMONTH(T572,0)&lt;&gt;S$5),1))+IF(W572="",0,IFERROR(--(EOMONTH(W572,0)&lt;&gt;V$5),1))+IF(Z572="",0,IFERROR(--(EOMONTH(Z572,0)&lt;&gt;Y$5),1))+IF(AC572="",0,IFERROR(--(EOMONTH(AC572,0)&lt;&gt;AB$5),1))+IF(AF572="",0,IFERROR(--(EOMONTH(AF572,0)&lt;&gt;AE$5),1))+IF(AI572="",0,IFERROR(--(EOMONTH(AI572,0)&lt;&gt;AH$5),1))+IF(AL572="",0,IFERROR(--(EOMONTH(AL572,0)&lt;&gt;AK$5),1))+IF(AO572="",0,IFERROR(--(EOMONTH(AO572,0)&lt;&gt;AN$5),1))+IF(AR572="",0,IFERROR(--(EOMONTH(AR572,0)&lt;&gt;AQ$5),1))+IF(AU572="",0,IFERROR(--(EOMONTH(AU572,0)&lt;&gt;AT$5),1))+IF(AX572="",0,IFERROR(--(EOMONTH(AX572,0)&lt;&gt;AW$5),1))+IF(BA572="",0,IFERROR(--(EOMONTH(BA572,0)&lt;&gt;AZ$5),1)))&gt;0,"; An invoice date is not in the month it is typed under",""),3,500))</f>
        <v/>
      </c>
      <c r="S572" s="12" t="n"/>
      <c r="T572" s="13" t="n"/>
      <c r="U572" s="14" t="n"/>
      <c r="V572" s="12" t="n"/>
      <c r="W572" s="13" t="n"/>
      <c r="X572" s="14" t="n"/>
      <c r="Y572" s="12" t="n"/>
      <c r="Z572" s="13" t="n"/>
      <c r="AA572" s="14" t="n"/>
      <c r="AB572" s="12" t="n"/>
      <c r="AC572" s="13" t="n"/>
      <c r="AD572" s="14" t="n"/>
      <c r="AE572" s="12" t="n"/>
      <c r="AF572" s="13" t="n"/>
      <c r="AG572" s="14" t="n"/>
      <c r="AH572" s="12" t="n"/>
      <c r="AI572" s="13" t="n"/>
      <c r="AJ572" s="14" t="n"/>
      <c r="AK572" s="12" t="n"/>
      <c r="AL572" s="13" t="n"/>
      <c r="AM572" s="14" t="n"/>
      <c r="AN572" s="12" t="n"/>
      <c r="AO572" s="13" t="n"/>
      <c r="AP572" s="14" t="n"/>
      <c r="AQ572" s="12" t="n"/>
      <c r="AR572" s="13" t="n"/>
      <c r="AS572" s="14" t="n"/>
      <c r="AT572" s="12" t="n"/>
      <c r="AU572" s="13" t="n"/>
      <c r="AV572" s="14" t="n"/>
      <c r="AW572" s="12" t="n"/>
      <c r="AX572" s="13" t="n"/>
      <c r="AY572" s="14" t="n"/>
      <c r="AZ572" s="12" t="n"/>
      <c r="BA572" s="13" t="n"/>
      <c r="BB572" s="14" t="n"/>
      <c r="BC572" s="11">
        <f>IF(O572="","",IF(J572="GST 10%",ROUND(O572*set_GSTRate,2),0))</f>
        <v/>
      </c>
      <c r="BD572" s="11">
        <f>IF(O572="","",O572+BC572)</f>
        <v/>
      </c>
      <c r="BE572" s="15">
        <f>IF(O572="","",COUNTA(S572,V572,Y572,AB572,AE572,AH572,AK572,AN572,AQ572,AT572,AW572,AZ572))</f>
        <v/>
      </c>
      <c r="BF572" s="16">
        <f>IF(COUNT(T572,W572,Z572,AC572,AF572,AI572,AL572,AO572,AR572,AU572,AX572,BA572)=0,"",MAX(T572,W572,Z572,AC572,AF572,AI572,AL572,AO572,AR572,AU572,AX572,BA572))</f>
        <v/>
      </c>
      <c r="BG572" s="10">
        <f>MID(IF(S572="","",", "&amp;S572)&amp;IF(V572="","",", "&amp;V572)&amp;IF(Y572="","",", "&amp;Y572)&amp;IF(AB572="","",", "&amp;AB572)&amp;IF(AE572="","",", "&amp;AE572)&amp;IF(AH572="","",", "&amp;AH572)&amp;IF(AK572="","",", "&amp;AK572)&amp;IF(AN572="","",", "&amp;AN572)&amp;IF(AQ572="","",", "&amp;AQ572)&amp;IF(AT572="","",", "&amp;AT572)&amp;IF(AW572="","",", "&amp;AW572)&amp;IF(AZ572="","",", "&amp;AZ572),3,500)</f>
        <v/>
      </c>
      <c r="BH572" s="12" t="n"/>
      <c r="BI572" s="15">
        <f>IFERROR(MATCH($A572,IF($B572="Onsite",tbl_Onsite[Row ID],IF($B572="Production",tbl_Production[Row ID],tbl_Consulting[Row ID])),0),"")</f>
        <v/>
      </c>
    </row>
    <row r="573">
      <c r="A573" s="10" t="inlineStr">
        <is>
          <t>PRD-0067</t>
        </is>
      </c>
      <c r="B573" s="10" t="inlineStr">
        <is>
          <t>Production</t>
        </is>
      </c>
      <c r="C573" s="10">
        <f>IF($BI573="","",IF($B573="Onsite",INDEX(tbl_Onsite[Job Number],$BI573),IF($B573="Production",INDEX(tbl_Production[Job Number],$BI573),INDEX(tbl_Consulting[Job Number],$BI573)))&amp;"")</f>
        <v/>
      </c>
      <c r="D573" s="10">
        <f>IF($BI573="","",IF($B573="Onsite",INDEX(tbl_Onsite[Client],$BI573),IF($B573="Production",INDEX(tbl_Production[Client],$BI573),INDEX(tbl_Consulting[Client],$BI573)))&amp;"")</f>
        <v/>
      </c>
      <c r="E573" s="10">
        <f>IF($C573="","",IF(COUNTIF(lst_Jobs,$C573)&gt;0,"OK","CHECK"))</f>
        <v/>
      </c>
      <c r="F573" s="10">
        <f>IF($C573="","",IFERROR(INDEX(lst_JobName,MATCH($C573,lst_Jobs,0)),""))</f>
        <v/>
      </c>
      <c r="G573" s="10">
        <f>IF($BI573="","",IF($B573="Onsite",INDEX(tbl_Onsite[Job Description],$BI573),IF($B573="Production",INDEX(tbl_Production[Job Description],$BI573),INDEX(tbl_Consulting[Job Description],$BI573)))&amp;"")</f>
        <v/>
      </c>
      <c r="H573" s="10">
        <f>IF($BI573="","",IF($B573="Onsite",INDEX(tbl_Onsite[Cost Centre],$BI573),IF($B573="Production",INDEX(tbl_Production[Cost Centre],$BI573),INDEX(tbl_Consulting[Cost Centre],$BI573)))&amp;"")</f>
        <v/>
      </c>
      <c r="I573" s="10">
        <f>IF($BI573="","",IF($B573="Onsite",INDEX(tbl_Onsite[Invoice Type],$BI573),IF($B573="Production",INDEX(tbl_Production[Invoice Type],$BI573),INDEX(tbl_Consulting[Invoice Type],$BI573)))&amp;"")</f>
        <v/>
      </c>
      <c r="J573" s="10">
        <f>IF($BI573="","",IF($B573="Onsite",INDEX(tbl_Onsite[Tax Code],$BI573),IF($B573="Production",INDEX(tbl_Production[Tax Code],$BI573),INDEX(tbl_Consulting[Tax Code],$BI573)))&amp;"")</f>
        <v/>
      </c>
      <c r="K573" s="10">
        <f>IF(H573="","",IFERROR(INDEX(lst_CCtoGL,MATCH(H573,lst_CCforGL,0)),""))</f>
        <v/>
      </c>
      <c r="L573" s="10">
        <f>IF($BI573="","",IF($B573="Onsite",INDEX(tbl_Onsite[PO / Reference],$BI573),IF($B573="Production",INDEX(tbl_Production[Current RMS No],$BI573),INDEX(tbl_Consulting[Qwilr Quote],$BI573)))&amp;"")</f>
        <v/>
      </c>
      <c r="M573" s="10">
        <f>IF($BI573="","",IF($B573="Onsite",INDEX(tbl_Onsite[Notes],$BI573),IF($B573="Production",INDEX(tbl_Production[Notes],$BI573),INDEX(tbl_Consulting[Notes],$BI573)))&amp;"")</f>
        <v/>
      </c>
      <c r="N573" s="11">
        <f>IF($BI573="","",IF(IF($B573="Onsite",INDEX(tbl_Onsite[Expected Revenue Ex GST],$BI573),IF($B573="Production",INDEX(tbl_Production[Expected Revenue Ex GST],$BI573),INDEX(tbl_Consulting[Expected Revenue Ex GST],$BI573)))="","",IF($B573="Onsite",INDEX(tbl_Onsite[Expected Revenue Ex GST],$BI573),IF($B573="Production",INDEX(tbl_Production[Expected Revenue Ex GST],$BI573),INDEX(tbl_Consulting[Expected Revenue Ex GST],$BI573)))))</f>
        <v/>
      </c>
      <c r="O573" s="11">
        <f>IF(AND($C573="",NOT(COUNTA($S573:$BB573)&gt;0)),"",SUM(U573,X573,AA573,AD573,AG573,AJ573,AM573,AP573,AS573,AV573,AY573,BB573))</f>
        <v/>
      </c>
      <c r="P573" s="11">
        <f>IF(O573="","",N(N573)-O573)</f>
        <v/>
      </c>
      <c r="Q573" s="10">
        <f>IF(O573="","",IF($C573="","Invoice on empty job row",IF(N573="",IF(ROUND(O573,2)=0,"No dept value","Invoiced - no dept value"),IF(ROUND(O573,2)=0,"Not invoiced - to invoice",IF(ROUND(P573,2)=0,"Agrees",IF(P573&gt;0,"Dept higher - to invoice","Xero higher - check dept"))))))</f>
        <v/>
      </c>
      <c r="R573" s="10">
        <f>IF(AND($C573="",NOT(COUNTA($S573:$BB573)&gt;0),$BI573&lt;&gt;""),"",MID(IF($BI573="","; Row ID not found on the department sheet - a row was deleted","")&amp;IF(AND($C573="",COUNTA($S573:$BB573)&gt;0),"; Invoice entered but the department row has no job number","")&amp;IF(E573="CHECK","; Job number not in the Xero job list","")&amp;IF(AND($C573&lt;&gt;"",COUNTIF($C$7:$C$1506,$C573)&gt;1),"; Job number on more than one row","")&amp;IF(AND($C573&lt;&gt;"",H573=""),"; Dept has not set a cost centre","")&amp;IF(AND($C573&lt;&gt;"",J573=""),"; Dept has not set a tax code","")&amp;IF(AND($C573&lt;&gt;"",N573=""),"; Dept has not entered an expected value","")&amp;IF((IF(OR(COUNTA(S573:U573)=0,AND(COUNTA(S573:U573)=3,ISNUMBER(U573))),0,1)+IF(OR(COUNTA(V573:X573)=0,AND(COUNTA(V573:X573)=3,ISNUMBER(X573))),0,1)+IF(OR(COUNTA(Y573:AA573)=0,AND(COUNTA(Y573:AA573)=3,ISNUMBER(AA573))),0,1)+IF(OR(COUNTA(AB573:AD573)=0,AND(COUNTA(AB573:AD573)=3,ISNUMBER(AD573))),0,1)+IF(OR(COUNTA(AE573:AG573)=0,AND(COUNTA(AE573:AG573)=3,ISNUMBER(AG573))),0,1)+IF(OR(COUNTA(AH573:AJ573)=0,AND(COUNTA(AH573:AJ573)=3,ISNUMBER(AJ573))),0,1)+IF(OR(COUNTA(AK573:AM573)=0,AND(COUNTA(AK573:AM573)=3,ISNUMBER(AM573))),0,1)+IF(OR(COUNTA(AN573:AP573)=0,AND(COUNTA(AN573:AP573)=3,ISNUMBER(AP573))),0,1)+IF(OR(COUNTA(AQ573:AS573)=0,AND(COUNTA(AQ573:AS573)=3,ISNUMBER(AS573))),0,1)+IF(OR(COUNTA(AT573:AV573)=0,AND(COUNTA(AT573:AV573)=3,ISNUMBER(AV573))),0,1)+IF(OR(COUNTA(AW573:AY573)=0,AND(COUNTA(AW573:AY573)=3,ISNUMBER(AY573))),0,1)+IF(OR(COUNTA(AZ573:BB573)=0,AND(COUNTA(AZ573:BB573)=3,ISNUMBER(BB573))),0,1))&gt;0,"; An invoice is incomplete (needs No, Date and a number in Ex GST)","")&amp;IF((IF(T573="",0,IFERROR(--(EOMONTH(T573,0)&lt;&gt;S$5),1))+IF(W573="",0,IFERROR(--(EOMONTH(W573,0)&lt;&gt;V$5),1))+IF(Z573="",0,IFERROR(--(EOMONTH(Z573,0)&lt;&gt;Y$5),1))+IF(AC573="",0,IFERROR(--(EOMONTH(AC573,0)&lt;&gt;AB$5),1))+IF(AF573="",0,IFERROR(--(EOMONTH(AF573,0)&lt;&gt;AE$5),1))+IF(AI573="",0,IFERROR(--(EOMONTH(AI573,0)&lt;&gt;AH$5),1))+IF(AL573="",0,IFERROR(--(EOMONTH(AL573,0)&lt;&gt;AK$5),1))+IF(AO573="",0,IFERROR(--(EOMONTH(AO573,0)&lt;&gt;AN$5),1))+IF(AR573="",0,IFERROR(--(EOMONTH(AR573,0)&lt;&gt;AQ$5),1))+IF(AU573="",0,IFERROR(--(EOMONTH(AU573,0)&lt;&gt;AT$5),1))+IF(AX573="",0,IFERROR(--(EOMONTH(AX573,0)&lt;&gt;AW$5),1))+IF(BA573="",0,IFERROR(--(EOMONTH(BA573,0)&lt;&gt;AZ$5),1)))&gt;0,"; An invoice date is not in the month it is typed under",""),3,500))</f>
        <v/>
      </c>
      <c r="S573" s="12" t="n"/>
      <c r="T573" s="13" t="n"/>
      <c r="U573" s="14" t="n"/>
      <c r="V573" s="12" t="n"/>
      <c r="W573" s="13" t="n"/>
      <c r="X573" s="14" t="n"/>
      <c r="Y573" s="12" t="n"/>
      <c r="Z573" s="13" t="n"/>
      <c r="AA573" s="14" t="n"/>
      <c r="AB573" s="12" t="n"/>
      <c r="AC573" s="13" t="n"/>
      <c r="AD573" s="14" t="n"/>
      <c r="AE573" s="12" t="n"/>
      <c r="AF573" s="13" t="n"/>
      <c r="AG573" s="14" t="n"/>
      <c r="AH573" s="12" t="n"/>
      <c r="AI573" s="13" t="n"/>
      <c r="AJ573" s="14" t="n"/>
      <c r="AK573" s="12" t="n"/>
      <c r="AL573" s="13" t="n"/>
      <c r="AM573" s="14" t="n"/>
      <c r="AN573" s="12" t="n"/>
      <c r="AO573" s="13" t="n"/>
      <c r="AP573" s="14" t="n"/>
      <c r="AQ573" s="12" t="n"/>
      <c r="AR573" s="13" t="n"/>
      <c r="AS573" s="14" t="n"/>
      <c r="AT573" s="12" t="n"/>
      <c r="AU573" s="13" t="n"/>
      <c r="AV573" s="14" t="n"/>
      <c r="AW573" s="12" t="n"/>
      <c r="AX573" s="13" t="n"/>
      <c r="AY573" s="14" t="n"/>
      <c r="AZ573" s="12" t="n"/>
      <c r="BA573" s="13" t="n"/>
      <c r="BB573" s="14" t="n"/>
      <c r="BC573" s="11">
        <f>IF(O573="","",IF(J573="GST 10%",ROUND(O573*set_GSTRate,2),0))</f>
        <v/>
      </c>
      <c r="BD573" s="11">
        <f>IF(O573="","",O573+BC573)</f>
        <v/>
      </c>
      <c r="BE573" s="15">
        <f>IF(O573="","",COUNTA(S573,V573,Y573,AB573,AE573,AH573,AK573,AN573,AQ573,AT573,AW573,AZ573))</f>
        <v/>
      </c>
      <c r="BF573" s="16">
        <f>IF(COUNT(T573,W573,Z573,AC573,AF573,AI573,AL573,AO573,AR573,AU573,AX573,BA573)=0,"",MAX(T573,W573,Z573,AC573,AF573,AI573,AL573,AO573,AR573,AU573,AX573,BA573))</f>
        <v/>
      </c>
      <c r="BG573" s="10">
        <f>MID(IF(S573="","",", "&amp;S573)&amp;IF(V573="","",", "&amp;V573)&amp;IF(Y573="","",", "&amp;Y573)&amp;IF(AB573="","",", "&amp;AB573)&amp;IF(AE573="","",", "&amp;AE573)&amp;IF(AH573="","",", "&amp;AH573)&amp;IF(AK573="","",", "&amp;AK573)&amp;IF(AN573="","",", "&amp;AN573)&amp;IF(AQ573="","",", "&amp;AQ573)&amp;IF(AT573="","",", "&amp;AT573)&amp;IF(AW573="","",", "&amp;AW573)&amp;IF(AZ573="","",", "&amp;AZ573),3,500)</f>
        <v/>
      </c>
      <c r="BH573" s="12" t="n"/>
      <c r="BI573" s="15">
        <f>IFERROR(MATCH($A573,IF($B573="Onsite",tbl_Onsite[Row ID],IF($B573="Production",tbl_Production[Row ID],tbl_Consulting[Row ID])),0),"")</f>
        <v/>
      </c>
    </row>
    <row r="574">
      <c r="A574" s="10" t="inlineStr">
        <is>
          <t>PRD-0068</t>
        </is>
      </c>
      <c r="B574" s="10" t="inlineStr">
        <is>
          <t>Production</t>
        </is>
      </c>
      <c r="C574" s="10">
        <f>IF($BI574="","",IF($B574="Onsite",INDEX(tbl_Onsite[Job Number],$BI574),IF($B574="Production",INDEX(tbl_Production[Job Number],$BI574),INDEX(tbl_Consulting[Job Number],$BI574)))&amp;"")</f>
        <v/>
      </c>
      <c r="D574" s="10">
        <f>IF($BI574="","",IF($B574="Onsite",INDEX(tbl_Onsite[Client],$BI574),IF($B574="Production",INDEX(tbl_Production[Client],$BI574),INDEX(tbl_Consulting[Client],$BI574)))&amp;"")</f>
        <v/>
      </c>
      <c r="E574" s="10">
        <f>IF($C574="","",IF(COUNTIF(lst_Jobs,$C574)&gt;0,"OK","CHECK"))</f>
        <v/>
      </c>
      <c r="F574" s="10">
        <f>IF($C574="","",IFERROR(INDEX(lst_JobName,MATCH($C574,lst_Jobs,0)),""))</f>
        <v/>
      </c>
      <c r="G574" s="10">
        <f>IF($BI574="","",IF($B574="Onsite",INDEX(tbl_Onsite[Job Description],$BI574),IF($B574="Production",INDEX(tbl_Production[Job Description],$BI574),INDEX(tbl_Consulting[Job Description],$BI574)))&amp;"")</f>
        <v/>
      </c>
      <c r="H574" s="10">
        <f>IF($BI574="","",IF($B574="Onsite",INDEX(tbl_Onsite[Cost Centre],$BI574),IF($B574="Production",INDEX(tbl_Production[Cost Centre],$BI574),INDEX(tbl_Consulting[Cost Centre],$BI574)))&amp;"")</f>
        <v/>
      </c>
      <c r="I574" s="10">
        <f>IF($BI574="","",IF($B574="Onsite",INDEX(tbl_Onsite[Invoice Type],$BI574),IF($B574="Production",INDEX(tbl_Production[Invoice Type],$BI574),INDEX(tbl_Consulting[Invoice Type],$BI574)))&amp;"")</f>
        <v/>
      </c>
      <c r="J574" s="10">
        <f>IF($BI574="","",IF($B574="Onsite",INDEX(tbl_Onsite[Tax Code],$BI574),IF($B574="Production",INDEX(tbl_Production[Tax Code],$BI574),INDEX(tbl_Consulting[Tax Code],$BI574)))&amp;"")</f>
        <v/>
      </c>
      <c r="K574" s="10">
        <f>IF(H574="","",IFERROR(INDEX(lst_CCtoGL,MATCH(H574,lst_CCforGL,0)),""))</f>
        <v/>
      </c>
      <c r="L574" s="10">
        <f>IF($BI574="","",IF($B574="Onsite",INDEX(tbl_Onsite[PO / Reference],$BI574),IF($B574="Production",INDEX(tbl_Production[Current RMS No],$BI574),INDEX(tbl_Consulting[Qwilr Quote],$BI574)))&amp;"")</f>
        <v/>
      </c>
      <c r="M574" s="10">
        <f>IF($BI574="","",IF($B574="Onsite",INDEX(tbl_Onsite[Notes],$BI574),IF($B574="Production",INDEX(tbl_Production[Notes],$BI574),INDEX(tbl_Consulting[Notes],$BI574)))&amp;"")</f>
        <v/>
      </c>
      <c r="N574" s="11">
        <f>IF($BI574="","",IF(IF($B574="Onsite",INDEX(tbl_Onsite[Expected Revenue Ex GST],$BI574),IF($B574="Production",INDEX(tbl_Production[Expected Revenue Ex GST],$BI574),INDEX(tbl_Consulting[Expected Revenue Ex GST],$BI574)))="","",IF($B574="Onsite",INDEX(tbl_Onsite[Expected Revenue Ex GST],$BI574),IF($B574="Production",INDEX(tbl_Production[Expected Revenue Ex GST],$BI574),INDEX(tbl_Consulting[Expected Revenue Ex GST],$BI574)))))</f>
        <v/>
      </c>
      <c r="O574" s="11">
        <f>IF(AND($C574="",NOT(COUNTA($S574:$BB574)&gt;0)),"",SUM(U574,X574,AA574,AD574,AG574,AJ574,AM574,AP574,AS574,AV574,AY574,BB574))</f>
        <v/>
      </c>
      <c r="P574" s="11">
        <f>IF(O574="","",N(N574)-O574)</f>
        <v/>
      </c>
      <c r="Q574" s="10">
        <f>IF(O574="","",IF($C574="","Invoice on empty job row",IF(N574="",IF(ROUND(O574,2)=0,"No dept value","Invoiced - no dept value"),IF(ROUND(O574,2)=0,"Not invoiced - to invoice",IF(ROUND(P574,2)=0,"Agrees",IF(P574&gt;0,"Dept higher - to invoice","Xero higher - check dept"))))))</f>
        <v/>
      </c>
      <c r="R574" s="10">
        <f>IF(AND($C574="",NOT(COUNTA($S574:$BB574)&gt;0),$BI574&lt;&gt;""),"",MID(IF($BI574="","; Row ID not found on the department sheet - a row was deleted","")&amp;IF(AND($C574="",COUNTA($S574:$BB574)&gt;0),"; Invoice entered but the department row has no job number","")&amp;IF(E574="CHECK","; Job number not in the Xero job list","")&amp;IF(AND($C574&lt;&gt;"",COUNTIF($C$7:$C$1506,$C574)&gt;1),"; Job number on more than one row","")&amp;IF(AND($C574&lt;&gt;"",H574=""),"; Dept has not set a cost centre","")&amp;IF(AND($C574&lt;&gt;"",J574=""),"; Dept has not set a tax code","")&amp;IF(AND($C574&lt;&gt;"",N574=""),"; Dept has not entered an expected value","")&amp;IF((IF(OR(COUNTA(S574:U574)=0,AND(COUNTA(S574:U574)=3,ISNUMBER(U574))),0,1)+IF(OR(COUNTA(V574:X574)=0,AND(COUNTA(V574:X574)=3,ISNUMBER(X574))),0,1)+IF(OR(COUNTA(Y574:AA574)=0,AND(COUNTA(Y574:AA574)=3,ISNUMBER(AA574))),0,1)+IF(OR(COUNTA(AB574:AD574)=0,AND(COUNTA(AB574:AD574)=3,ISNUMBER(AD574))),0,1)+IF(OR(COUNTA(AE574:AG574)=0,AND(COUNTA(AE574:AG574)=3,ISNUMBER(AG574))),0,1)+IF(OR(COUNTA(AH574:AJ574)=0,AND(COUNTA(AH574:AJ574)=3,ISNUMBER(AJ574))),0,1)+IF(OR(COUNTA(AK574:AM574)=0,AND(COUNTA(AK574:AM574)=3,ISNUMBER(AM574))),0,1)+IF(OR(COUNTA(AN574:AP574)=0,AND(COUNTA(AN574:AP574)=3,ISNUMBER(AP574))),0,1)+IF(OR(COUNTA(AQ574:AS574)=0,AND(COUNTA(AQ574:AS574)=3,ISNUMBER(AS574))),0,1)+IF(OR(COUNTA(AT574:AV574)=0,AND(COUNTA(AT574:AV574)=3,ISNUMBER(AV574))),0,1)+IF(OR(COUNTA(AW574:AY574)=0,AND(COUNTA(AW574:AY574)=3,ISNUMBER(AY574))),0,1)+IF(OR(COUNTA(AZ574:BB574)=0,AND(COUNTA(AZ574:BB574)=3,ISNUMBER(BB574))),0,1))&gt;0,"; An invoice is incomplete (needs No, Date and a number in Ex GST)","")&amp;IF((IF(T574="",0,IFERROR(--(EOMONTH(T574,0)&lt;&gt;S$5),1))+IF(W574="",0,IFERROR(--(EOMONTH(W574,0)&lt;&gt;V$5),1))+IF(Z574="",0,IFERROR(--(EOMONTH(Z574,0)&lt;&gt;Y$5),1))+IF(AC574="",0,IFERROR(--(EOMONTH(AC574,0)&lt;&gt;AB$5),1))+IF(AF574="",0,IFERROR(--(EOMONTH(AF574,0)&lt;&gt;AE$5),1))+IF(AI574="",0,IFERROR(--(EOMONTH(AI574,0)&lt;&gt;AH$5),1))+IF(AL574="",0,IFERROR(--(EOMONTH(AL574,0)&lt;&gt;AK$5),1))+IF(AO574="",0,IFERROR(--(EOMONTH(AO574,0)&lt;&gt;AN$5),1))+IF(AR574="",0,IFERROR(--(EOMONTH(AR574,0)&lt;&gt;AQ$5),1))+IF(AU574="",0,IFERROR(--(EOMONTH(AU574,0)&lt;&gt;AT$5),1))+IF(AX574="",0,IFERROR(--(EOMONTH(AX574,0)&lt;&gt;AW$5),1))+IF(BA574="",0,IFERROR(--(EOMONTH(BA574,0)&lt;&gt;AZ$5),1)))&gt;0,"; An invoice date is not in the month it is typed under",""),3,500))</f>
        <v/>
      </c>
      <c r="S574" s="12" t="n"/>
      <c r="T574" s="13" t="n"/>
      <c r="U574" s="14" t="n"/>
      <c r="V574" s="12" t="n"/>
      <c r="W574" s="13" t="n"/>
      <c r="X574" s="14" t="n"/>
      <c r="Y574" s="12" t="n"/>
      <c r="Z574" s="13" t="n"/>
      <c r="AA574" s="14" t="n"/>
      <c r="AB574" s="12" t="n"/>
      <c r="AC574" s="13" t="n"/>
      <c r="AD574" s="14" t="n"/>
      <c r="AE574" s="12" t="n"/>
      <c r="AF574" s="13" t="n"/>
      <c r="AG574" s="14" t="n"/>
      <c r="AH574" s="12" t="n"/>
      <c r="AI574" s="13" t="n"/>
      <c r="AJ574" s="14" t="n"/>
      <c r="AK574" s="12" t="n"/>
      <c r="AL574" s="13" t="n"/>
      <c r="AM574" s="14" t="n"/>
      <c r="AN574" s="12" t="n"/>
      <c r="AO574" s="13" t="n"/>
      <c r="AP574" s="14" t="n"/>
      <c r="AQ574" s="12" t="n"/>
      <c r="AR574" s="13" t="n"/>
      <c r="AS574" s="14" t="n"/>
      <c r="AT574" s="12" t="n"/>
      <c r="AU574" s="13" t="n"/>
      <c r="AV574" s="14" t="n"/>
      <c r="AW574" s="12" t="n"/>
      <c r="AX574" s="13" t="n"/>
      <c r="AY574" s="14" t="n"/>
      <c r="AZ574" s="12" t="n"/>
      <c r="BA574" s="13" t="n"/>
      <c r="BB574" s="14" t="n"/>
      <c r="BC574" s="11">
        <f>IF(O574="","",IF(J574="GST 10%",ROUND(O574*set_GSTRate,2),0))</f>
        <v/>
      </c>
      <c r="BD574" s="11">
        <f>IF(O574="","",O574+BC574)</f>
        <v/>
      </c>
      <c r="BE574" s="15">
        <f>IF(O574="","",COUNTA(S574,V574,Y574,AB574,AE574,AH574,AK574,AN574,AQ574,AT574,AW574,AZ574))</f>
        <v/>
      </c>
      <c r="BF574" s="16">
        <f>IF(COUNT(T574,W574,Z574,AC574,AF574,AI574,AL574,AO574,AR574,AU574,AX574,BA574)=0,"",MAX(T574,W574,Z574,AC574,AF574,AI574,AL574,AO574,AR574,AU574,AX574,BA574))</f>
        <v/>
      </c>
      <c r="BG574" s="10">
        <f>MID(IF(S574="","",", "&amp;S574)&amp;IF(V574="","",", "&amp;V574)&amp;IF(Y574="","",", "&amp;Y574)&amp;IF(AB574="","",", "&amp;AB574)&amp;IF(AE574="","",", "&amp;AE574)&amp;IF(AH574="","",", "&amp;AH574)&amp;IF(AK574="","",", "&amp;AK574)&amp;IF(AN574="","",", "&amp;AN574)&amp;IF(AQ574="","",", "&amp;AQ574)&amp;IF(AT574="","",", "&amp;AT574)&amp;IF(AW574="","",", "&amp;AW574)&amp;IF(AZ574="","",", "&amp;AZ574),3,500)</f>
        <v/>
      </c>
      <c r="BH574" s="12" t="n"/>
      <c r="BI574" s="15">
        <f>IFERROR(MATCH($A574,IF($B574="Onsite",tbl_Onsite[Row ID],IF($B574="Production",tbl_Production[Row ID],tbl_Consulting[Row ID])),0),"")</f>
        <v/>
      </c>
    </row>
    <row r="575">
      <c r="A575" s="10" t="inlineStr">
        <is>
          <t>PRD-0069</t>
        </is>
      </c>
      <c r="B575" s="10" t="inlineStr">
        <is>
          <t>Production</t>
        </is>
      </c>
      <c r="C575" s="10">
        <f>IF($BI575="","",IF($B575="Onsite",INDEX(tbl_Onsite[Job Number],$BI575),IF($B575="Production",INDEX(tbl_Production[Job Number],$BI575),INDEX(tbl_Consulting[Job Number],$BI575)))&amp;"")</f>
        <v/>
      </c>
      <c r="D575" s="10">
        <f>IF($BI575="","",IF($B575="Onsite",INDEX(tbl_Onsite[Client],$BI575),IF($B575="Production",INDEX(tbl_Production[Client],$BI575),INDEX(tbl_Consulting[Client],$BI575)))&amp;"")</f>
        <v/>
      </c>
      <c r="E575" s="10">
        <f>IF($C575="","",IF(COUNTIF(lst_Jobs,$C575)&gt;0,"OK","CHECK"))</f>
        <v/>
      </c>
      <c r="F575" s="10">
        <f>IF($C575="","",IFERROR(INDEX(lst_JobName,MATCH($C575,lst_Jobs,0)),""))</f>
        <v/>
      </c>
      <c r="G575" s="10">
        <f>IF($BI575="","",IF($B575="Onsite",INDEX(tbl_Onsite[Job Description],$BI575),IF($B575="Production",INDEX(tbl_Production[Job Description],$BI575),INDEX(tbl_Consulting[Job Description],$BI575)))&amp;"")</f>
        <v/>
      </c>
      <c r="H575" s="10">
        <f>IF($BI575="","",IF($B575="Onsite",INDEX(tbl_Onsite[Cost Centre],$BI575),IF($B575="Production",INDEX(tbl_Production[Cost Centre],$BI575),INDEX(tbl_Consulting[Cost Centre],$BI575)))&amp;"")</f>
        <v/>
      </c>
      <c r="I575" s="10">
        <f>IF($BI575="","",IF($B575="Onsite",INDEX(tbl_Onsite[Invoice Type],$BI575),IF($B575="Production",INDEX(tbl_Production[Invoice Type],$BI575),INDEX(tbl_Consulting[Invoice Type],$BI575)))&amp;"")</f>
        <v/>
      </c>
      <c r="J575" s="10">
        <f>IF($BI575="","",IF($B575="Onsite",INDEX(tbl_Onsite[Tax Code],$BI575),IF($B575="Production",INDEX(tbl_Production[Tax Code],$BI575),INDEX(tbl_Consulting[Tax Code],$BI575)))&amp;"")</f>
        <v/>
      </c>
      <c r="K575" s="10">
        <f>IF(H575="","",IFERROR(INDEX(lst_CCtoGL,MATCH(H575,lst_CCforGL,0)),""))</f>
        <v/>
      </c>
      <c r="L575" s="10">
        <f>IF($BI575="","",IF($B575="Onsite",INDEX(tbl_Onsite[PO / Reference],$BI575),IF($B575="Production",INDEX(tbl_Production[Current RMS No],$BI575),INDEX(tbl_Consulting[Qwilr Quote],$BI575)))&amp;"")</f>
        <v/>
      </c>
      <c r="M575" s="10">
        <f>IF($BI575="","",IF($B575="Onsite",INDEX(tbl_Onsite[Notes],$BI575),IF($B575="Production",INDEX(tbl_Production[Notes],$BI575),INDEX(tbl_Consulting[Notes],$BI575)))&amp;"")</f>
        <v/>
      </c>
      <c r="N575" s="11">
        <f>IF($BI575="","",IF(IF($B575="Onsite",INDEX(tbl_Onsite[Expected Revenue Ex GST],$BI575),IF($B575="Production",INDEX(tbl_Production[Expected Revenue Ex GST],$BI575),INDEX(tbl_Consulting[Expected Revenue Ex GST],$BI575)))="","",IF($B575="Onsite",INDEX(tbl_Onsite[Expected Revenue Ex GST],$BI575),IF($B575="Production",INDEX(tbl_Production[Expected Revenue Ex GST],$BI575),INDEX(tbl_Consulting[Expected Revenue Ex GST],$BI575)))))</f>
        <v/>
      </c>
      <c r="O575" s="11">
        <f>IF(AND($C575="",NOT(COUNTA($S575:$BB575)&gt;0)),"",SUM(U575,X575,AA575,AD575,AG575,AJ575,AM575,AP575,AS575,AV575,AY575,BB575))</f>
        <v/>
      </c>
      <c r="P575" s="11">
        <f>IF(O575="","",N(N575)-O575)</f>
        <v/>
      </c>
      <c r="Q575" s="10">
        <f>IF(O575="","",IF($C575="","Invoice on empty job row",IF(N575="",IF(ROUND(O575,2)=0,"No dept value","Invoiced - no dept value"),IF(ROUND(O575,2)=0,"Not invoiced - to invoice",IF(ROUND(P575,2)=0,"Agrees",IF(P575&gt;0,"Dept higher - to invoice","Xero higher - check dept"))))))</f>
        <v/>
      </c>
      <c r="R575" s="10">
        <f>IF(AND($C575="",NOT(COUNTA($S575:$BB575)&gt;0),$BI575&lt;&gt;""),"",MID(IF($BI575="","; Row ID not found on the department sheet - a row was deleted","")&amp;IF(AND($C575="",COUNTA($S575:$BB575)&gt;0),"; Invoice entered but the department row has no job number","")&amp;IF(E575="CHECK","; Job number not in the Xero job list","")&amp;IF(AND($C575&lt;&gt;"",COUNTIF($C$7:$C$1506,$C575)&gt;1),"; Job number on more than one row","")&amp;IF(AND($C575&lt;&gt;"",H575=""),"; Dept has not set a cost centre","")&amp;IF(AND($C575&lt;&gt;"",J575=""),"; Dept has not set a tax code","")&amp;IF(AND($C575&lt;&gt;"",N575=""),"; Dept has not entered an expected value","")&amp;IF((IF(OR(COUNTA(S575:U575)=0,AND(COUNTA(S575:U575)=3,ISNUMBER(U575))),0,1)+IF(OR(COUNTA(V575:X575)=0,AND(COUNTA(V575:X575)=3,ISNUMBER(X575))),0,1)+IF(OR(COUNTA(Y575:AA575)=0,AND(COUNTA(Y575:AA575)=3,ISNUMBER(AA575))),0,1)+IF(OR(COUNTA(AB575:AD575)=0,AND(COUNTA(AB575:AD575)=3,ISNUMBER(AD575))),0,1)+IF(OR(COUNTA(AE575:AG575)=0,AND(COUNTA(AE575:AG575)=3,ISNUMBER(AG575))),0,1)+IF(OR(COUNTA(AH575:AJ575)=0,AND(COUNTA(AH575:AJ575)=3,ISNUMBER(AJ575))),0,1)+IF(OR(COUNTA(AK575:AM575)=0,AND(COUNTA(AK575:AM575)=3,ISNUMBER(AM575))),0,1)+IF(OR(COUNTA(AN575:AP575)=0,AND(COUNTA(AN575:AP575)=3,ISNUMBER(AP575))),0,1)+IF(OR(COUNTA(AQ575:AS575)=0,AND(COUNTA(AQ575:AS575)=3,ISNUMBER(AS575))),0,1)+IF(OR(COUNTA(AT575:AV575)=0,AND(COUNTA(AT575:AV575)=3,ISNUMBER(AV575))),0,1)+IF(OR(COUNTA(AW575:AY575)=0,AND(COUNTA(AW575:AY575)=3,ISNUMBER(AY575))),0,1)+IF(OR(COUNTA(AZ575:BB575)=0,AND(COUNTA(AZ575:BB575)=3,ISNUMBER(BB575))),0,1))&gt;0,"; An invoice is incomplete (needs No, Date and a number in Ex GST)","")&amp;IF((IF(T575="",0,IFERROR(--(EOMONTH(T575,0)&lt;&gt;S$5),1))+IF(W575="",0,IFERROR(--(EOMONTH(W575,0)&lt;&gt;V$5),1))+IF(Z575="",0,IFERROR(--(EOMONTH(Z575,0)&lt;&gt;Y$5),1))+IF(AC575="",0,IFERROR(--(EOMONTH(AC575,0)&lt;&gt;AB$5),1))+IF(AF575="",0,IFERROR(--(EOMONTH(AF575,0)&lt;&gt;AE$5),1))+IF(AI575="",0,IFERROR(--(EOMONTH(AI575,0)&lt;&gt;AH$5),1))+IF(AL575="",0,IFERROR(--(EOMONTH(AL575,0)&lt;&gt;AK$5),1))+IF(AO575="",0,IFERROR(--(EOMONTH(AO575,0)&lt;&gt;AN$5),1))+IF(AR575="",0,IFERROR(--(EOMONTH(AR575,0)&lt;&gt;AQ$5),1))+IF(AU575="",0,IFERROR(--(EOMONTH(AU575,0)&lt;&gt;AT$5),1))+IF(AX575="",0,IFERROR(--(EOMONTH(AX575,0)&lt;&gt;AW$5),1))+IF(BA575="",0,IFERROR(--(EOMONTH(BA575,0)&lt;&gt;AZ$5),1)))&gt;0,"; An invoice date is not in the month it is typed under",""),3,500))</f>
        <v/>
      </c>
      <c r="S575" s="12" t="n"/>
      <c r="T575" s="13" t="n"/>
      <c r="U575" s="14" t="n"/>
      <c r="V575" s="12" t="n"/>
      <c r="W575" s="13" t="n"/>
      <c r="X575" s="14" t="n"/>
      <c r="Y575" s="12" t="n"/>
      <c r="Z575" s="13" t="n"/>
      <c r="AA575" s="14" t="n"/>
      <c r="AB575" s="12" t="n"/>
      <c r="AC575" s="13" t="n"/>
      <c r="AD575" s="14" t="n"/>
      <c r="AE575" s="12" t="n"/>
      <c r="AF575" s="13" t="n"/>
      <c r="AG575" s="14" t="n"/>
      <c r="AH575" s="12" t="n"/>
      <c r="AI575" s="13" t="n"/>
      <c r="AJ575" s="14" t="n"/>
      <c r="AK575" s="12" t="n"/>
      <c r="AL575" s="13" t="n"/>
      <c r="AM575" s="14" t="n"/>
      <c r="AN575" s="12" t="n"/>
      <c r="AO575" s="13" t="n"/>
      <c r="AP575" s="14" t="n"/>
      <c r="AQ575" s="12" t="n"/>
      <c r="AR575" s="13" t="n"/>
      <c r="AS575" s="14" t="n"/>
      <c r="AT575" s="12" t="n"/>
      <c r="AU575" s="13" t="n"/>
      <c r="AV575" s="14" t="n"/>
      <c r="AW575" s="12" t="n"/>
      <c r="AX575" s="13" t="n"/>
      <c r="AY575" s="14" t="n"/>
      <c r="AZ575" s="12" t="n"/>
      <c r="BA575" s="13" t="n"/>
      <c r="BB575" s="14" t="n"/>
      <c r="BC575" s="11">
        <f>IF(O575="","",IF(J575="GST 10%",ROUND(O575*set_GSTRate,2),0))</f>
        <v/>
      </c>
      <c r="BD575" s="11">
        <f>IF(O575="","",O575+BC575)</f>
        <v/>
      </c>
      <c r="BE575" s="15">
        <f>IF(O575="","",COUNTA(S575,V575,Y575,AB575,AE575,AH575,AK575,AN575,AQ575,AT575,AW575,AZ575))</f>
        <v/>
      </c>
      <c r="BF575" s="16">
        <f>IF(COUNT(T575,W575,Z575,AC575,AF575,AI575,AL575,AO575,AR575,AU575,AX575,BA575)=0,"",MAX(T575,W575,Z575,AC575,AF575,AI575,AL575,AO575,AR575,AU575,AX575,BA575))</f>
        <v/>
      </c>
      <c r="BG575" s="10">
        <f>MID(IF(S575="","",", "&amp;S575)&amp;IF(V575="","",", "&amp;V575)&amp;IF(Y575="","",", "&amp;Y575)&amp;IF(AB575="","",", "&amp;AB575)&amp;IF(AE575="","",", "&amp;AE575)&amp;IF(AH575="","",", "&amp;AH575)&amp;IF(AK575="","",", "&amp;AK575)&amp;IF(AN575="","",", "&amp;AN575)&amp;IF(AQ575="","",", "&amp;AQ575)&amp;IF(AT575="","",", "&amp;AT575)&amp;IF(AW575="","",", "&amp;AW575)&amp;IF(AZ575="","",", "&amp;AZ575),3,500)</f>
        <v/>
      </c>
      <c r="BH575" s="12" t="n"/>
      <c r="BI575" s="15">
        <f>IFERROR(MATCH($A575,IF($B575="Onsite",tbl_Onsite[Row ID],IF($B575="Production",tbl_Production[Row ID],tbl_Consulting[Row ID])),0),"")</f>
        <v/>
      </c>
    </row>
    <row r="576">
      <c r="A576" s="10" t="inlineStr">
        <is>
          <t>PRD-0070</t>
        </is>
      </c>
      <c r="B576" s="10" t="inlineStr">
        <is>
          <t>Production</t>
        </is>
      </c>
      <c r="C576" s="10">
        <f>IF($BI576="","",IF($B576="Onsite",INDEX(tbl_Onsite[Job Number],$BI576),IF($B576="Production",INDEX(tbl_Production[Job Number],$BI576),INDEX(tbl_Consulting[Job Number],$BI576)))&amp;"")</f>
        <v/>
      </c>
      <c r="D576" s="10">
        <f>IF($BI576="","",IF($B576="Onsite",INDEX(tbl_Onsite[Client],$BI576),IF($B576="Production",INDEX(tbl_Production[Client],$BI576),INDEX(tbl_Consulting[Client],$BI576)))&amp;"")</f>
        <v/>
      </c>
      <c r="E576" s="10">
        <f>IF($C576="","",IF(COUNTIF(lst_Jobs,$C576)&gt;0,"OK","CHECK"))</f>
        <v/>
      </c>
      <c r="F576" s="10">
        <f>IF($C576="","",IFERROR(INDEX(lst_JobName,MATCH($C576,lst_Jobs,0)),""))</f>
        <v/>
      </c>
      <c r="G576" s="10">
        <f>IF($BI576="","",IF($B576="Onsite",INDEX(tbl_Onsite[Job Description],$BI576),IF($B576="Production",INDEX(tbl_Production[Job Description],$BI576),INDEX(tbl_Consulting[Job Description],$BI576)))&amp;"")</f>
        <v/>
      </c>
      <c r="H576" s="10">
        <f>IF($BI576="","",IF($B576="Onsite",INDEX(tbl_Onsite[Cost Centre],$BI576),IF($B576="Production",INDEX(tbl_Production[Cost Centre],$BI576),INDEX(tbl_Consulting[Cost Centre],$BI576)))&amp;"")</f>
        <v/>
      </c>
      <c r="I576" s="10">
        <f>IF($BI576="","",IF($B576="Onsite",INDEX(tbl_Onsite[Invoice Type],$BI576),IF($B576="Production",INDEX(tbl_Production[Invoice Type],$BI576),INDEX(tbl_Consulting[Invoice Type],$BI576)))&amp;"")</f>
        <v/>
      </c>
      <c r="J576" s="10">
        <f>IF($BI576="","",IF($B576="Onsite",INDEX(tbl_Onsite[Tax Code],$BI576),IF($B576="Production",INDEX(tbl_Production[Tax Code],$BI576),INDEX(tbl_Consulting[Tax Code],$BI576)))&amp;"")</f>
        <v/>
      </c>
      <c r="K576" s="10">
        <f>IF(H576="","",IFERROR(INDEX(lst_CCtoGL,MATCH(H576,lst_CCforGL,0)),""))</f>
        <v/>
      </c>
      <c r="L576" s="10">
        <f>IF($BI576="","",IF($B576="Onsite",INDEX(tbl_Onsite[PO / Reference],$BI576),IF($B576="Production",INDEX(tbl_Production[Current RMS No],$BI576),INDEX(tbl_Consulting[Qwilr Quote],$BI576)))&amp;"")</f>
        <v/>
      </c>
      <c r="M576" s="10">
        <f>IF($BI576="","",IF($B576="Onsite",INDEX(tbl_Onsite[Notes],$BI576),IF($B576="Production",INDEX(tbl_Production[Notes],$BI576),INDEX(tbl_Consulting[Notes],$BI576)))&amp;"")</f>
        <v/>
      </c>
      <c r="N576" s="11">
        <f>IF($BI576="","",IF(IF($B576="Onsite",INDEX(tbl_Onsite[Expected Revenue Ex GST],$BI576),IF($B576="Production",INDEX(tbl_Production[Expected Revenue Ex GST],$BI576),INDEX(tbl_Consulting[Expected Revenue Ex GST],$BI576)))="","",IF($B576="Onsite",INDEX(tbl_Onsite[Expected Revenue Ex GST],$BI576),IF($B576="Production",INDEX(tbl_Production[Expected Revenue Ex GST],$BI576),INDEX(tbl_Consulting[Expected Revenue Ex GST],$BI576)))))</f>
        <v/>
      </c>
      <c r="O576" s="11">
        <f>IF(AND($C576="",NOT(COUNTA($S576:$BB576)&gt;0)),"",SUM(U576,X576,AA576,AD576,AG576,AJ576,AM576,AP576,AS576,AV576,AY576,BB576))</f>
        <v/>
      </c>
      <c r="P576" s="11">
        <f>IF(O576="","",N(N576)-O576)</f>
        <v/>
      </c>
      <c r="Q576" s="10">
        <f>IF(O576="","",IF($C576="","Invoice on empty job row",IF(N576="",IF(ROUND(O576,2)=0,"No dept value","Invoiced - no dept value"),IF(ROUND(O576,2)=0,"Not invoiced - to invoice",IF(ROUND(P576,2)=0,"Agrees",IF(P576&gt;0,"Dept higher - to invoice","Xero higher - check dept"))))))</f>
        <v/>
      </c>
      <c r="R576" s="10">
        <f>IF(AND($C576="",NOT(COUNTA($S576:$BB576)&gt;0),$BI576&lt;&gt;""),"",MID(IF($BI576="","; Row ID not found on the department sheet - a row was deleted","")&amp;IF(AND($C576="",COUNTA($S576:$BB576)&gt;0),"; Invoice entered but the department row has no job number","")&amp;IF(E576="CHECK","; Job number not in the Xero job list","")&amp;IF(AND($C576&lt;&gt;"",COUNTIF($C$7:$C$1506,$C576)&gt;1),"; Job number on more than one row","")&amp;IF(AND($C576&lt;&gt;"",H576=""),"; Dept has not set a cost centre","")&amp;IF(AND($C576&lt;&gt;"",J576=""),"; Dept has not set a tax code","")&amp;IF(AND($C576&lt;&gt;"",N576=""),"; Dept has not entered an expected value","")&amp;IF((IF(OR(COUNTA(S576:U576)=0,AND(COUNTA(S576:U576)=3,ISNUMBER(U576))),0,1)+IF(OR(COUNTA(V576:X576)=0,AND(COUNTA(V576:X576)=3,ISNUMBER(X576))),0,1)+IF(OR(COUNTA(Y576:AA576)=0,AND(COUNTA(Y576:AA576)=3,ISNUMBER(AA576))),0,1)+IF(OR(COUNTA(AB576:AD576)=0,AND(COUNTA(AB576:AD576)=3,ISNUMBER(AD576))),0,1)+IF(OR(COUNTA(AE576:AG576)=0,AND(COUNTA(AE576:AG576)=3,ISNUMBER(AG576))),0,1)+IF(OR(COUNTA(AH576:AJ576)=0,AND(COUNTA(AH576:AJ576)=3,ISNUMBER(AJ576))),0,1)+IF(OR(COUNTA(AK576:AM576)=0,AND(COUNTA(AK576:AM576)=3,ISNUMBER(AM576))),0,1)+IF(OR(COUNTA(AN576:AP576)=0,AND(COUNTA(AN576:AP576)=3,ISNUMBER(AP576))),0,1)+IF(OR(COUNTA(AQ576:AS576)=0,AND(COUNTA(AQ576:AS576)=3,ISNUMBER(AS576))),0,1)+IF(OR(COUNTA(AT576:AV576)=0,AND(COUNTA(AT576:AV576)=3,ISNUMBER(AV576))),0,1)+IF(OR(COUNTA(AW576:AY576)=0,AND(COUNTA(AW576:AY576)=3,ISNUMBER(AY576))),0,1)+IF(OR(COUNTA(AZ576:BB576)=0,AND(COUNTA(AZ576:BB576)=3,ISNUMBER(BB576))),0,1))&gt;0,"; An invoice is incomplete (needs No, Date and a number in Ex GST)","")&amp;IF((IF(T576="",0,IFERROR(--(EOMONTH(T576,0)&lt;&gt;S$5),1))+IF(W576="",0,IFERROR(--(EOMONTH(W576,0)&lt;&gt;V$5),1))+IF(Z576="",0,IFERROR(--(EOMONTH(Z576,0)&lt;&gt;Y$5),1))+IF(AC576="",0,IFERROR(--(EOMONTH(AC576,0)&lt;&gt;AB$5),1))+IF(AF576="",0,IFERROR(--(EOMONTH(AF576,0)&lt;&gt;AE$5),1))+IF(AI576="",0,IFERROR(--(EOMONTH(AI576,0)&lt;&gt;AH$5),1))+IF(AL576="",0,IFERROR(--(EOMONTH(AL576,0)&lt;&gt;AK$5),1))+IF(AO576="",0,IFERROR(--(EOMONTH(AO576,0)&lt;&gt;AN$5),1))+IF(AR576="",0,IFERROR(--(EOMONTH(AR576,0)&lt;&gt;AQ$5),1))+IF(AU576="",0,IFERROR(--(EOMONTH(AU576,0)&lt;&gt;AT$5),1))+IF(AX576="",0,IFERROR(--(EOMONTH(AX576,0)&lt;&gt;AW$5),1))+IF(BA576="",0,IFERROR(--(EOMONTH(BA576,0)&lt;&gt;AZ$5),1)))&gt;0,"; An invoice date is not in the month it is typed under",""),3,500))</f>
        <v/>
      </c>
      <c r="S576" s="12" t="n"/>
      <c r="T576" s="13" t="n"/>
      <c r="U576" s="14" t="n"/>
      <c r="V576" s="12" t="n"/>
      <c r="W576" s="13" t="n"/>
      <c r="X576" s="14" t="n"/>
      <c r="Y576" s="12" t="n"/>
      <c r="Z576" s="13" t="n"/>
      <c r="AA576" s="14" t="n"/>
      <c r="AB576" s="12" t="n"/>
      <c r="AC576" s="13" t="n"/>
      <c r="AD576" s="14" t="n"/>
      <c r="AE576" s="12" t="n"/>
      <c r="AF576" s="13" t="n"/>
      <c r="AG576" s="14" t="n"/>
      <c r="AH576" s="12" t="n"/>
      <c r="AI576" s="13" t="n"/>
      <c r="AJ576" s="14" t="n"/>
      <c r="AK576" s="12" t="n"/>
      <c r="AL576" s="13" t="n"/>
      <c r="AM576" s="14" t="n"/>
      <c r="AN576" s="12" t="n"/>
      <c r="AO576" s="13" t="n"/>
      <c r="AP576" s="14" t="n"/>
      <c r="AQ576" s="12" t="n"/>
      <c r="AR576" s="13" t="n"/>
      <c r="AS576" s="14" t="n"/>
      <c r="AT576" s="12" t="n"/>
      <c r="AU576" s="13" t="n"/>
      <c r="AV576" s="14" t="n"/>
      <c r="AW576" s="12" t="n"/>
      <c r="AX576" s="13" t="n"/>
      <c r="AY576" s="14" t="n"/>
      <c r="AZ576" s="12" t="n"/>
      <c r="BA576" s="13" t="n"/>
      <c r="BB576" s="14" t="n"/>
      <c r="BC576" s="11">
        <f>IF(O576="","",IF(J576="GST 10%",ROUND(O576*set_GSTRate,2),0))</f>
        <v/>
      </c>
      <c r="BD576" s="11">
        <f>IF(O576="","",O576+BC576)</f>
        <v/>
      </c>
      <c r="BE576" s="15">
        <f>IF(O576="","",COUNTA(S576,V576,Y576,AB576,AE576,AH576,AK576,AN576,AQ576,AT576,AW576,AZ576))</f>
        <v/>
      </c>
      <c r="BF576" s="16">
        <f>IF(COUNT(T576,W576,Z576,AC576,AF576,AI576,AL576,AO576,AR576,AU576,AX576,BA576)=0,"",MAX(T576,W576,Z576,AC576,AF576,AI576,AL576,AO576,AR576,AU576,AX576,BA576))</f>
        <v/>
      </c>
      <c r="BG576" s="10">
        <f>MID(IF(S576="","",", "&amp;S576)&amp;IF(V576="","",", "&amp;V576)&amp;IF(Y576="","",", "&amp;Y576)&amp;IF(AB576="","",", "&amp;AB576)&amp;IF(AE576="","",", "&amp;AE576)&amp;IF(AH576="","",", "&amp;AH576)&amp;IF(AK576="","",", "&amp;AK576)&amp;IF(AN576="","",", "&amp;AN576)&amp;IF(AQ576="","",", "&amp;AQ576)&amp;IF(AT576="","",", "&amp;AT576)&amp;IF(AW576="","",", "&amp;AW576)&amp;IF(AZ576="","",", "&amp;AZ576),3,500)</f>
        <v/>
      </c>
      <c r="BH576" s="12" t="n"/>
      <c r="BI576" s="15">
        <f>IFERROR(MATCH($A576,IF($B576="Onsite",tbl_Onsite[Row ID],IF($B576="Production",tbl_Production[Row ID],tbl_Consulting[Row ID])),0),"")</f>
        <v/>
      </c>
    </row>
    <row r="577">
      <c r="A577" s="10" t="inlineStr">
        <is>
          <t>PRD-0071</t>
        </is>
      </c>
      <c r="B577" s="10" t="inlineStr">
        <is>
          <t>Production</t>
        </is>
      </c>
      <c r="C577" s="10">
        <f>IF($BI577="","",IF($B577="Onsite",INDEX(tbl_Onsite[Job Number],$BI577),IF($B577="Production",INDEX(tbl_Production[Job Number],$BI577),INDEX(tbl_Consulting[Job Number],$BI577)))&amp;"")</f>
        <v/>
      </c>
      <c r="D577" s="10">
        <f>IF($BI577="","",IF($B577="Onsite",INDEX(tbl_Onsite[Client],$BI577),IF($B577="Production",INDEX(tbl_Production[Client],$BI577),INDEX(tbl_Consulting[Client],$BI577)))&amp;"")</f>
        <v/>
      </c>
      <c r="E577" s="10">
        <f>IF($C577="","",IF(COUNTIF(lst_Jobs,$C577)&gt;0,"OK","CHECK"))</f>
        <v/>
      </c>
      <c r="F577" s="10">
        <f>IF($C577="","",IFERROR(INDEX(lst_JobName,MATCH($C577,lst_Jobs,0)),""))</f>
        <v/>
      </c>
      <c r="G577" s="10">
        <f>IF($BI577="","",IF($B577="Onsite",INDEX(tbl_Onsite[Job Description],$BI577),IF($B577="Production",INDEX(tbl_Production[Job Description],$BI577),INDEX(tbl_Consulting[Job Description],$BI577)))&amp;"")</f>
        <v/>
      </c>
      <c r="H577" s="10">
        <f>IF($BI577="","",IF($B577="Onsite",INDEX(tbl_Onsite[Cost Centre],$BI577),IF($B577="Production",INDEX(tbl_Production[Cost Centre],$BI577),INDEX(tbl_Consulting[Cost Centre],$BI577)))&amp;"")</f>
        <v/>
      </c>
      <c r="I577" s="10">
        <f>IF($BI577="","",IF($B577="Onsite",INDEX(tbl_Onsite[Invoice Type],$BI577),IF($B577="Production",INDEX(tbl_Production[Invoice Type],$BI577),INDEX(tbl_Consulting[Invoice Type],$BI577)))&amp;"")</f>
        <v/>
      </c>
      <c r="J577" s="10">
        <f>IF($BI577="","",IF($B577="Onsite",INDEX(tbl_Onsite[Tax Code],$BI577),IF($B577="Production",INDEX(tbl_Production[Tax Code],$BI577),INDEX(tbl_Consulting[Tax Code],$BI577)))&amp;"")</f>
        <v/>
      </c>
      <c r="K577" s="10">
        <f>IF(H577="","",IFERROR(INDEX(lst_CCtoGL,MATCH(H577,lst_CCforGL,0)),""))</f>
        <v/>
      </c>
      <c r="L577" s="10">
        <f>IF($BI577="","",IF($B577="Onsite",INDEX(tbl_Onsite[PO / Reference],$BI577),IF($B577="Production",INDEX(tbl_Production[Current RMS No],$BI577),INDEX(tbl_Consulting[Qwilr Quote],$BI577)))&amp;"")</f>
        <v/>
      </c>
      <c r="M577" s="10">
        <f>IF($BI577="","",IF($B577="Onsite",INDEX(tbl_Onsite[Notes],$BI577),IF($B577="Production",INDEX(tbl_Production[Notes],$BI577),INDEX(tbl_Consulting[Notes],$BI577)))&amp;"")</f>
        <v/>
      </c>
      <c r="N577" s="11">
        <f>IF($BI577="","",IF(IF($B577="Onsite",INDEX(tbl_Onsite[Expected Revenue Ex GST],$BI577),IF($B577="Production",INDEX(tbl_Production[Expected Revenue Ex GST],$BI577),INDEX(tbl_Consulting[Expected Revenue Ex GST],$BI577)))="","",IF($B577="Onsite",INDEX(tbl_Onsite[Expected Revenue Ex GST],$BI577),IF($B577="Production",INDEX(tbl_Production[Expected Revenue Ex GST],$BI577),INDEX(tbl_Consulting[Expected Revenue Ex GST],$BI577)))))</f>
        <v/>
      </c>
      <c r="O577" s="11">
        <f>IF(AND($C577="",NOT(COUNTA($S577:$BB577)&gt;0)),"",SUM(U577,X577,AA577,AD577,AG577,AJ577,AM577,AP577,AS577,AV577,AY577,BB577))</f>
        <v/>
      </c>
      <c r="P577" s="11">
        <f>IF(O577="","",N(N577)-O577)</f>
        <v/>
      </c>
      <c r="Q577" s="10">
        <f>IF(O577="","",IF($C577="","Invoice on empty job row",IF(N577="",IF(ROUND(O577,2)=0,"No dept value","Invoiced - no dept value"),IF(ROUND(O577,2)=0,"Not invoiced - to invoice",IF(ROUND(P577,2)=0,"Agrees",IF(P577&gt;0,"Dept higher - to invoice","Xero higher - check dept"))))))</f>
        <v/>
      </c>
      <c r="R577" s="10">
        <f>IF(AND($C577="",NOT(COUNTA($S577:$BB577)&gt;0),$BI577&lt;&gt;""),"",MID(IF($BI577="","; Row ID not found on the department sheet - a row was deleted","")&amp;IF(AND($C577="",COUNTA($S577:$BB577)&gt;0),"; Invoice entered but the department row has no job number","")&amp;IF(E577="CHECK","; Job number not in the Xero job list","")&amp;IF(AND($C577&lt;&gt;"",COUNTIF($C$7:$C$1506,$C577)&gt;1),"; Job number on more than one row","")&amp;IF(AND($C577&lt;&gt;"",H577=""),"; Dept has not set a cost centre","")&amp;IF(AND($C577&lt;&gt;"",J577=""),"; Dept has not set a tax code","")&amp;IF(AND($C577&lt;&gt;"",N577=""),"; Dept has not entered an expected value","")&amp;IF((IF(OR(COUNTA(S577:U577)=0,AND(COUNTA(S577:U577)=3,ISNUMBER(U577))),0,1)+IF(OR(COUNTA(V577:X577)=0,AND(COUNTA(V577:X577)=3,ISNUMBER(X577))),0,1)+IF(OR(COUNTA(Y577:AA577)=0,AND(COUNTA(Y577:AA577)=3,ISNUMBER(AA577))),0,1)+IF(OR(COUNTA(AB577:AD577)=0,AND(COUNTA(AB577:AD577)=3,ISNUMBER(AD577))),0,1)+IF(OR(COUNTA(AE577:AG577)=0,AND(COUNTA(AE577:AG577)=3,ISNUMBER(AG577))),0,1)+IF(OR(COUNTA(AH577:AJ577)=0,AND(COUNTA(AH577:AJ577)=3,ISNUMBER(AJ577))),0,1)+IF(OR(COUNTA(AK577:AM577)=0,AND(COUNTA(AK577:AM577)=3,ISNUMBER(AM577))),0,1)+IF(OR(COUNTA(AN577:AP577)=0,AND(COUNTA(AN577:AP577)=3,ISNUMBER(AP577))),0,1)+IF(OR(COUNTA(AQ577:AS577)=0,AND(COUNTA(AQ577:AS577)=3,ISNUMBER(AS577))),0,1)+IF(OR(COUNTA(AT577:AV577)=0,AND(COUNTA(AT577:AV577)=3,ISNUMBER(AV577))),0,1)+IF(OR(COUNTA(AW577:AY577)=0,AND(COUNTA(AW577:AY577)=3,ISNUMBER(AY577))),0,1)+IF(OR(COUNTA(AZ577:BB577)=0,AND(COUNTA(AZ577:BB577)=3,ISNUMBER(BB577))),0,1))&gt;0,"; An invoice is incomplete (needs No, Date and a number in Ex GST)","")&amp;IF((IF(T577="",0,IFERROR(--(EOMONTH(T577,0)&lt;&gt;S$5),1))+IF(W577="",0,IFERROR(--(EOMONTH(W577,0)&lt;&gt;V$5),1))+IF(Z577="",0,IFERROR(--(EOMONTH(Z577,0)&lt;&gt;Y$5),1))+IF(AC577="",0,IFERROR(--(EOMONTH(AC577,0)&lt;&gt;AB$5),1))+IF(AF577="",0,IFERROR(--(EOMONTH(AF577,0)&lt;&gt;AE$5),1))+IF(AI577="",0,IFERROR(--(EOMONTH(AI577,0)&lt;&gt;AH$5),1))+IF(AL577="",0,IFERROR(--(EOMONTH(AL577,0)&lt;&gt;AK$5),1))+IF(AO577="",0,IFERROR(--(EOMONTH(AO577,0)&lt;&gt;AN$5),1))+IF(AR577="",0,IFERROR(--(EOMONTH(AR577,0)&lt;&gt;AQ$5),1))+IF(AU577="",0,IFERROR(--(EOMONTH(AU577,0)&lt;&gt;AT$5),1))+IF(AX577="",0,IFERROR(--(EOMONTH(AX577,0)&lt;&gt;AW$5),1))+IF(BA577="",0,IFERROR(--(EOMONTH(BA577,0)&lt;&gt;AZ$5),1)))&gt;0,"; An invoice date is not in the month it is typed under",""),3,500))</f>
        <v/>
      </c>
      <c r="S577" s="12" t="n"/>
      <c r="T577" s="13" t="n"/>
      <c r="U577" s="14" t="n"/>
      <c r="V577" s="12" t="n"/>
      <c r="W577" s="13" t="n"/>
      <c r="X577" s="14" t="n"/>
      <c r="Y577" s="12" t="n"/>
      <c r="Z577" s="13" t="n"/>
      <c r="AA577" s="14" t="n"/>
      <c r="AB577" s="12" t="n"/>
      <c r="AC577" s="13" t="n"/>
      <c r="AD577" s="14" t="n"/>
      <c r="AE577" s="12" t="n"/>
      <c r="AF577" s="13" t="n"/>
      <c r="AG577" s="14" t="n"/>
      <c r="AH577" s="12" t="n"/>
      <c r="AI577" s="13" t="n"/>
      <c r="AJ577" s="14" t="n"/>
      <c r="AK577" s="12" t="n"/>
      <c r="AL577" s="13" t="n"/>
      <c r="AM577" s="14" t="n"/>
      <c r="AN577" s="12" t="n"/>
      <c r="AO577" s="13" t="n"/>
      <c r="AP577" s="14" t="n"/>
      <c r="AQ577" s="12" t="n"/>
      <c r="AR577" s="13" t="n"/>
      <c r="AS577" s="14" t="n"/>
      <c r="AT577" s="12" t="n"/>
      <c r="AU577" s="13" t="n"/>
      <c r="AV577" s="14" t="n"/>
      <c r="AW577" s="12" t="n"/>
      <c r="AX577" s="13" t="n"/>
      <c r="AY577" s="14" t="n"/>
      <c r="AZ577" s="12" t="n"/>
      <c r="BA577" s="13" t="n"/>
      <c r="BB577" s="14" t="n"/>
      <c r="BC577" s="11">
        <f>IF(O577="","",IF(J577="GST 10%",ROUND(O577*set_GSTRate,2),0))</f>
        <v/>
      </c>
      <c r="BD577" s="11">
        <f>IF(O577="","",O577+BC577)</f>
        <v/>
      </c>
      <c r="BE577" s="15">
        <f>IF(O577="","",COUNTA(S577,V577,Y577,AB577,AE577,AH577,AK577,AN577,AQ577,AT577,AW577,AZ577))</f>
        <v/>
      </c>
      <c r="BF577" s="16">
        <f>IF(COUNT(T577,W577,Z577,AC577,AF577,AI577,AL577,AO577,AR577,AU577,AX577,BA577)=0,"",MAX(T577,W577,Z577,AC577,AF577,AI577,AL577,AO577,AR577,AU577,AX577,BA577))</f>
        <v/>
      </c>
      <c r="BG577" s="10">
        <f>MID(IF(S577="","",", "&amp;S577)&amp;IF(V577="","",", "&amp;V577)&amp;IF(Y577="","",", "&amp;Y577)&amp;IF(AB577="","",", "&amp;AB577)&amp;IF(AE577="","",", "&amp;AE577)&amp;IF(AH577="","",", "&amp;AH577)&amp;IF(AK577="","",", "&amp;AK577)&amp;IF(AN577="","",", "&amp;AN577)&amp;IF(AQ577="","",", "&amp;AQ577)&amp;IF(AT577="","",", "&amp;AT577)&amp;IF(AW577="","",", "&amp;AW577)&amp;IF(AZ577="","",", "&amp;AZ577),3,500)</f>
        <v/>
      </c>
      <c r="BH577" s="12" t="n"/>
      <c r="BI577" s="15">
        <f>IFERROR(MATCH($A577,IF($B577="Onsite",tbl_Onsite[Row ID],IF($B577="Production",tbl_Production[Row ID],tbl_Consulting[Row ID])),0),"")</f>
        <v/>
      </c>
    </row>
    <row r="578">
      <c r="A578" s="10" t="inlineStr">
        <is>
          <t>PRD-0072</t>
        </is>
      </c>
      <c r="B578" s="10" t="inlineStr">
        <is>
          <t>Production</t>
        </is>
      </c>
      <c r="C578" s="10">
        <f>IF($BI578="","",IF($B578="Onsite",INDEX(tbl_Onsite[Job Number],$BI578),IF($B578="Production",INDEX(tbl_Production[Job Number],$BI578),INDEX(tbl_Consulting[Job Number],$BI578)))&amp;"")</f>
        <v/>
      </c>
      <c r="D578" s="10">
        <f>IF($BI578="","",IF($B578="Onsite",INDEX(tbl_Onsite[Client],$BI578),IF($B578="Production",INDEX(tbl_Production[Client],$BI578),INDEX(tbl_Consulting[Client],$BI578)))&amp;"")</f>
        <v/>
      </c>
      <c r="E578" s="10">
        <f>IF($C578="","",IF(COUNTIF(lst_Jobs,$C578)&gt;0,"OK","CHECK"))</f>
        <v/>
      </c>
      <c r="F578" s="10">
        <f>IF($C578="","",IFERROR(INDEX(lst_JobName,MATCH($C578,lst_Jobs,0)),""))</f>
        <v/>
      </c>
      <c r="G578" s="10">
        <f>IF($BI578="","",IF($B578="Onsite",INDEX(tbl_Onsite[Job Description],$BI578),IF($B578="Production",INDEX(tbl_Production[Job Description],$BI578),INDEX(tbl_Consulting[Job Description],$BI578)))&amp;"")</f>
        <v/>
      </c>
      <c r="H578" s="10">
        <f>IF($BI578="","",IF($B578="Onsite",INDEX(tbl_Onsite[Cost Centre],$BI578),IF($B578="Production",INDEX(tbl_Production[Cost Centre],$BI578),INDEX(tbl_Consulting[Cost Centre],$BI578)))&amp;"")</f>
        <v/>
      </c>
      <c r="I578" s="10">
        <f>IF($BI578="","",IF($B578="Onsite",INDEX(tbl_Onsite[Invoice Type],$BI578),IF($B578="Production",INDEX(tbl_Production[Invoice Type],$BI578),INDEX(tbl_Consulting[Invoice Type],$BI578)))&amp;"")</f>
        <v/>
      </c>
      <c r="J578" s="10">
        <f>IF($BI578="","",IF($B578="Onsite",INDEX(tbl_Onsite[Tax Code],$BI578),IF($B578="Production",INDEX(tbl_Production[Tax Code],$BI578),INDEX(tbl_Consulting[Tax Code],$BI578)))&amp;"")</f>
        <v/>
      </c>
      <c r="K578" s="10">
        <f>IF(H578="","",IFERROR(INDEX(lst_CCtoGL,MATCH(H578,lst_CCforGL,0)),""))</f>
        <v/>
      </c>
      <c r="L578" s="10">
        <f>IF($BI578="","",IF($B578="Onsite",INDEX(tbl_Onsite[PO / Reference],$BI578),IF($B578="Production",INDEX(tbl_Production[Current RMS No],$BI578),INDEX(tbl_Consulting[Qwilr Quote],$BI578)))&amp;"")</f>
        <v/>
      </c>
      <c r="M578" s="10">
        <f>IF($BI578="","",IF($B578="Onsite",INDEX(tbl_Onsite[Notes],$BI578),IF($B578="Production",INDEX(tbl_Production[Notes],$BI578),INDEX(tbl_Consulting[Notes],$BI578)))&amp;"")</f>
        <v/>
      </c>
      <c r="N578" s="11">
        <f>IF($BI578="","",IF(IF($B578="Onsite",INDEX(tbl_Onsite[Expected Revenue Ex GST],$BI578),IF($B578="Production",INDEX(tbl_Production[Expected Revenue Ex GST],$BI578),INDEX(tbl_Consulting[Expected Revenue Ex GST],$BI578)))="","",IF($B578="Onsite",INDEX(tbl_Onsite[Expected Revenue Ex GST],$BI578),IF($B578="Production",INDEX(tbl_Production[Expected Revenue Ex GST],$BI578),INDEX(tbl_Consulting[Expected Revenue Ex GST],$BI578)))))</f>
        <v/>
      </c>
      <c r="O578" s="11">
        <f>IF(AND($C578="",NOT(COUNTA($S578:$BB578)&gt;0)),"",SUM(U578,X578,AA578,AD578,AG578,AJ578,AM578,AP578,AS578,AV578,AY578,BB578))</f>
        <v/>
      </c>
      <c r="P578" s="11">
        <f>IF(O578="","",N(N578)-O578)</f>
        <v/>
      </c>
      <c r="Q578" s="10">
        <f>IF(O578="","",IF($C578="","Invoice on empty job row",IF(N578="",IF(ROUND(O578,2)=0,"No dept value","Invoiced - no dept value"),IF(ROUND(O578,2)=0,"Not invoiced - to invoice",IF(ROUND(P578,2)=0,"Agrees",IF(P578&gt;0,"Dept higher - to invoice","Xero higher - check dept"))))))</f>
        <v/>
      </c>
      <c r="R578" s="10">
        <f>IF(AND($C578="",NOT(COUNTA($S578:$BB578)&gt;0),$BI578&lt;&gt;""),"",MID(IF($BI578="","; Row ID not found on the department sheet - a row was deleted","")&amp;IF(AND($C578="",COUNTA($S578:$BB578)&gt;0),"; Invoice entered but the department row has no job number","")&amp;IF(E578="CHECK","; Job number not in the Xero job list","")&amp;IF(AND($C578&lt;&gt;"",COUNTIF($C$7:$C$1506,$C578)&gt;1),"; Job number on more than one row","")&amp;IF(AND($C578&lt;&gt;"",H578=""),"; Dept has not set a cost centre","")&amp;IF(AND($C578&lt;&gt;"",J578=""),"; Dept has not set a tax code","")&amp;IF(AND($C578&lt;&gt;"",N578=""),"; Dept has not entered an expected value","")&amp;IF((IF(OR(COUNTA(S578:U578)=0,AND(COUNTA(S578:U578)=3,ISNUMBER(U578))),0,1)+IF(OR(COUNTA(V578:X578)=0,AND(COUNTA(V578:X578)=3,ISNUMBER(X578))),0,1)+IF(OR(COUNTA(Y578:AA578)=0,AND(COUNTA(Y578:AA578)=3,ISNUMBER(AA578))),0,1)+IF(OR(COUNTA(AB578:AD578)=0,AND(COUNTA(AB578:AD578)=3,ISNUMBER(AD578))),0,1)+IF(OR(COUNTA(AE578:AG578)=0,AND(COUNTA(AE578:AG578)=3,ISNUMBER(AG578))),0,1)+IF(OR(COUNTA(AH578:AJ578)=0,AND(COUNTA(AH578:AJ578)=3,ISNUMBER(AJ578))),0,1)+IF(OR(COUNTA(AK578:AM578)=0,AND(COUNTA(AK578:AM578)=3,ISNUMBER(AM578))),0,1)+IF(OR(COUNTA(AN578:AP578)=0,AND(COUNTA(AN578:AP578)=3,ISNUMBER(AP578))),0,1)+IF(OR(COUNTA(AQ578:AS578)=0,AND(COUNTA(AQ578:AS578)=3,ISNUMBER(AS578))),0,1)+IF(OR(COUNTA(AT578:AV578)=0,AND(COUNTA(AT578:AV578)=3,ISNUMBER(AV578))),0,1)+IF(OR(COUNTA(AW578:AY578)=0,AND(COUNTA(AW578:AY578)=3,ISNUMBER(AY578))),0,1)+IF(OR(COUNTA(AZ578:BB578)=0,AND(COUNTA(AZ578:BB578)=3,ISNUMBER(BB578))),0,1))&gt;0,"; An invoice is incomplete (needs No, Date and a number in Ex GST)","")&amp;IF((IF(T578="",0,IFERROR(--(EOMONTH(T578,0)&lt;&gt;S$5),1))+IF(W578="",0,IFERROR(--(EOMONTH(W578,0)&lt;&gt;V$5),1))+IF(Z578="",0,IFERROR(--(EOMONTH(Z578,0)&lt;&gt;Y$5),1))+IF(AC578="",0,IFERROR(--(EOMONTH(AC578,0)&lt;&gt;AB$5),1))+IF(AF578="",0,IFERROR(--(EOMONTH(AF578,0)&lt;&gt;AE$5),1))+IF(AI578="",0,IFERROR(--(EOMONTH(AI578,0)&lt;&gt;AH$5),1))+IF(AL578="",0,IFERROR(--(EOMONTH(AL578,0)&lt;&gt;AK$5),1))+IF(AO578="",0,IFERROR(--(EOMONTH(AO578,0)&lt;&gt;AN$5),1))+IF(AR578="",0,IFERROR(--(EOMONTH(AR578,0)&lt;&gt;AQ$5),1))+IF(AU578="",0,IFERROR(--(EOMONTH(AU578,0)&lt;&gt;AT$5),1))+IF(AX578="",0,IFERROR(--(EOMONTH(AX578,0)&lt;&gt;AW$5),1))+IF(BA578="",0,IFERROR(--(EOMONTH(BA578,0)&lt;&gt;AZ$5),1)))&gt;0,"; An invoice date is not in the month it is typed under",""),3,500))</f>
        <v/>
      </c>
      <c r="S578" s="12" t="n"/>
      <c r="T578" s="13" t="n"/>
      <c r="U578" s="14" t="n"/>
      <c r="V578" s="12" t="n"/>
      <c r="W578" s="13" t="n"/>
      <c r="X578" s="14" t="n"/>
      <c r="Y578" s="12" t="n"/>
      <c r="Z578" s="13" t="n"/>
      <c r="AA578" s="14" t="n"/>
      <c r="AB578" s="12" t="n"/>
      <c r="AC578" s="13" t="n"/>
      <c r="AD578" s="14" t="n"/>
      <c r="AE578" s="12" t="n"/>
      <c r="AF578" s="13" t="n"/>
      <c r="AG578" s="14" t="n"/>
      <c r="AH578" s="12" t="n"/>
      <c r="AI578" s="13" t="n"/>
      <c r="AJ578" s="14" t="n"/>
      <c r="AK578" s="12" t="n"/>
      <c r="AL578" s="13" t="n"/>
      <c r="AM578" s="14" t="n"/>
      <c r="AN578" s="12" t="n"/>
      <c r="AO578" s="13" t="n"/>
      <c r="AP578" s="14" t="n"/>
      <c r="AQ578" s="12" t="n"/>
      <c r="AR578" s="13" t="n"/>
      <c r="AS578" s="14" t="n"/>
      <c r="AT578" s="12" t="n"/>
      <c r="AU578" s="13" t="n"/>
      <c r="AV578" s="14" t="n"/>
      <c r="AW578" s="12" t="n"/>
      <c r="AX578" s="13" t="n"/>
      <c r="AY578" s="14" t="n"/>
      <c r="AZ578" s="12" t="n"/>
      <c r="BA578" s="13" t="n"/>
      <c r="BB578" s="14" t="n"/>
      <c r="BC578" s="11">
        <f>IF(O578="","",IF(J578="GST 10%",ROUND(O578*set_GSTRate,2),0))</f>
        <v/>
      </c>
      <c r="BD578" s="11">
        <f>IF(O578="","",O578+BC578)</f>
        <v/>
      </c>
      <c r="BE578" s="15">
        <f>IF(O578="","",COUNTA(S578,V578,Y578,AB578,AE578,AH578,AK578,AN578,AQ578,AT578,AW578,AZ578))</f>
        <v/>
      </c>
      <c r="BF578" s="16">
        <f>IF(COUNT(T578,W578,Z578,AC578,AF578,AI578,AL578,AO578,AR578,AU578,AX578,BA578)=0,"",MAX(T578,W578,Z578,AC578,AF578,AI578,AL578,AO578,AR578,AU578,AX578,BA578))</f>
        <v/>
      </c>
      <c r="BG578" s="10">
        <f>MID(IF(S578="","",", "&amp;S578)&amp;IF(V578="","",", "&amp;V578)&amp;IF(Y578="","",", "&amp;Y578)&amp;IF(AB578="","",", "&amp;AB578)&amp;IF(AE578="","",", "&amp;AE578)&amp;IF(AH578="","",", "&amp;AH578)&amp;IF(AK578="","",", "&amp;AK578)&amp;IF(AN578="","",", "&amp;AN578)&amp;IF(AQ578="","",", "&amp;AQ578)&amp;IF(AT578="","",", "&amp;AT578)&amp;IF(AW578="","",", "&amp;AW578)&amp;IF(AZ578="","",", "&amp;AZ578),3,500)</f>
        <v/>
      </c>
      <c r="BH578" s="12" t="n"/>
      <c r="BI578" s="15">
        <f>IFERROR(MATCH($A578,IF($B578="Onsite",tbl_Onsite[Row ID],IF($B578="Production",tbl_Production[Row ID],tbl_Consulting[Row ID])),0),"")</f>
        <v/>
      </c>
    </row>
    <row r="579">
      <c r="A579" s="10" t="inlineStr">
        <is>
          <t>PRD-0073</t>
        </is>
      </c>
      <c r="B579" s="10" t="inlineStr">
        <is>
          <t>Production</t>
        </is>
      </c>
      <c r="C579" s="10">
        <f>IF($BI579="","",IF($B579="Onsite",INDEX(tbl_Onsite[Job Number],$BI579),IF($B579="Production",INDEX(tbl_Production[Job Number],$BI579),INDEX(tbl_Consulting[Job Number],$BI579)))&amp;"")</f>
        <v/>
      </c>
      <c r="D579" s="10">
        <f>IF($BI579="","",IF($B579="Onsite",INDEX(tbl_Onsite[Client],$BI579),IF($B579="Production",INDEX(tbl_Production[Client],$BI579),INDEX(tbl_Consulting[Client],$BI579)))&amp;"")</f>
        <v/>
      </c>
      <c r="E579" s="10">
        <f>IF($C579="","",IF(COUNTIF(lst_Jobs,$C579)&gt;0,"OK","CHECK"))</f>
        <v/>
      </c>
      <c r="F579" s="10">
        <f>IF($C579="","",IFERROR(INDEX(lst_JobName,MATCH($C579,lst_Jobs,0)),""))</f>
        <v/>
      </c>
      <c r="G579" s="10">
        <f>IF($BI579="","",IF($B579="Onsite",INDEX(tbl_Onsite[Job Description],$BI579),IF($B579="Production",INDEX(tbl_Production[Job Description],$BI579),INDEX(tbl_Consulting[Job Description],$BI579)))&amp;"")</f>
        <v/>
      </c>
      <c r="H579" s="10">
        <f>IF($BI579="","",IF($B579="Onsite",INDEX(tbl_Onsite[Cost Centre],$BI579),IF($B579="Production",INDEX(tbl_Production[Cost Centre],$BI579),INDEX(tbl_Consulting[Cost Centre],$BI579)))&amp;"")</f>
        <v/>
      </c>
      <c r="I579" s="10">
        <f>IF($BI579="","",IF($B579="Onsite",INDEX(tbl_Onsite[Invoice Type],$BI579),IF($B579="Production",INDEX(tbl_Production[Invoice Type],$BI579),INDEX(tbl_Consulting[Invoice Type],$BI579)))&amp;"")</f>
        <v/>
      </c>
      <c r="J579" s="10">
        <f>IF($BI579="","",IF($B579="Onsite",INDEX(tbl_Onsite[Tax Code],$BI579),IF($B579="Production",INDEX(tbl_Production[Tax Code],$BI579),INDEX(tbl_Consulting[Tax Code],$BI579)))&amp;"")</f>
        <v/>
      </c>
      <c r="K579" s="10">
        <f>IF(H579="","",IFERROR(INDEX(lst_CCtoGL,MATCH(H579,lst_CCforGL,0)),""))</f>
        <v/>
      </c>
      <c r="L579" s="10">
        <f>IF($BI579="","",IF($B579="Onsite",INDEX(tbl_Onsite[PO / Reference],$BI579),IF($B579="Production",INDEX(tbl_Production[Current RMS No],$BI579),INDEX(tbl_Consulting[Qwilr Quote],$BI579)))&amp;"")</f>
        <v/>
      </c>
      <c r="M579" s="10">
        <f>IF($BI579="","",IF($B579="Onsite",INDEX(tbl_Onsite[Notes],$BI579),IF($B579="Production",INDEX(tbl_Production[Notes],$BI579),INDEX(tbl_Consulting[Notes],$BI579)))&amp;"")</f>
        <v/>
      </c>
      <c r="N579" s="11">
        <f>IF($BI579="","",IF(IF($B579="Onsite",INDEX(tbl_Onsite[Expected Revenue Ex GST],$BI579),IF($B579="Production",INDEX(tbl_Production[Expected Revenue Ex GST],$BI579),INDEX(tbl_Consulting[Expected Revenue Ex GST],$BI579)))="","",IF($B579="Onsite",INDEX(tbl_Onsite[Expected Revenue Ex GST],$BI579),IF($B579="Production",INDEX(tbl_Production[Expected Revenue Ex GST],$BI579),INDEX(tbl_Consulting[Expected Revenue Ex GST],$BI579)))))</f>
        <v/>
      </c>
      <c r="O579" s="11">
        <f>IF(AND($C579="",NOT(COUNTA($S579:$BB579)&gt;0)),"",SUM(U579,X579,AA579,AD579,AG579,AJ579,AM579,AP579,AS579,AV579,AY579,BB579))</f>
        <v/>
      </c>
      <c r="P579" s="11">
        <f>IF(O579="","",N(N579)-O579)</f>
        <v/>
      </c>
      <c r="Q579" s="10">
        <f>IF(O579="","",IF($C579="","Invoice on empty job row",IF(N579="",IF(ROUND(O579,2)=0,"No dept value","Invoiced - no dept value"),IF(ROUND(O579,2)=0,"Not invoiced - to invoice",IF(ROUND(P579,2)=0,"Agrees",IF(P579&gt;0,"Dept higher - to invoice","Xero higher - check dept"))))))</f>
        <v/>
      </c>
      <c r="R579" s="10">
        <f>IF(AND($C579="",NOT(COUNTA($S579:$BB579)&gt;0),$BI579&lt;&gt;""),"",MID(IF($BI579="","; Row ID not found on the department sheet - a row was deleted","")&amp;IF(AND($C579="",COUNTA($S579:$BB579)&gt;0),"; Invoice entered but the department row has no job number","")&amp;IF(E579="CHECK","; Job number not in the Xero job list","")&amp;IF(AND($C579&lt;&gt;"",COUNTIF($C$7:$C$1506,$C579)&gt;1),"; Job number on more than one row","")&amp;IF(AND($C579&lt;&gt;"",H579=""),"; Dept has not set a cost centre","")&amp;IF(AND($C579&lt;&gt;"",J579=""),"; Dept has not set a tax code","")&amp;IF(AND($C579&lt;&gt;"",N579=""),"; Dept has not entered an expected value","")&amp;IF((IF(OR(COUNTA(S579:U579)=0,AND(COUNTA(S579:U579)=3,ISNUMBER(U579))),0,1)+IF(OR(COUNTA(V579:X579)=0,AND(COUNTA(V579:X579)=3,ISNUMBER(X579))),0,1)+IF(OR(COUNTA(Y579:AA579)=0,AND(COUNTA(Y579:AA579)=3,ISNUMBER(AA579))),0,1)+IF(OR(COUNTA(AB579:AD579)=0,AND(COUNTA(AB579:AD579)=3,ISNUMBER(AD579))),0,1)+IF(OR(COUNTA(AE579:AG579)=0,AND(COUNTA(AE579:AG579)=3,ISNUMBER(AG579))),0,1)+IF(OR(COUNTA(AH579:AJ579)=0,AND(COUNTA(AH579:AJ579)=3,ISNUMBER(AJ579))),0,1)+IF(OR(COUNTA(AK579:AM579)=0,AND(COUNTA(AK579:AM579)=3,ISNUMBER(AM579))),0,1)+IF(OR(COUNTA(AN579:AP579)=0,AND(COUNTA(AN579:AP579)=3,ISNUMBER(AP579))),0,1)+IF(OR(COUNTA(AQ579:AS579)=0,AND(COUNTA(AQ579:AS579)=3,ISNUMBER(AS579))),0,1)+IF(OR(COUNTA(AT579:AV579)=0,AND(COUNTA(AT579:AV579)=3,ISNUMBER(AV579))),0,1)+IF(OR(COUNTA(AW579:AY579)=0,AND(COUNTA(AW579:AY579)=3,ISNUMBER(AY579))),0,1)+IF(OR(COUNTA(AZ579:BB579)=0,AND(COUNTA(AZ579:BB579)=3,ISNUMBER(BB579))),0,1))&gt;0,"; An invoice is incomplete (needs No, Date and a number in Ex GST)","")&amp;IF((IF(T579="",0,IFERROR(--(EOMONTH(T579,0)&lt;&gt;S$5),1))+IF(W579="",0,IFERROR(--(EOMONTH(W579,0)&lt;&gt;V$5),1))+IF(Z579="",0,IFERROR(--(EOMONTH(Z579,0)&lt;&gt;Y$5),1))+IF(AC579="",0,IFERROR(--(EOMONTH(AC579,0)&lt;&gt;AB$5),1))+IF(AF579="",0,IFERROR(--(EOMONTH(AF579,0)&lt;&gt;AE$5),1))+IF(AI579="",0,IFERROR(--(EOMONTH(AI579,0)&lt;&gt;AH$5),1))+IF(AL579="",0,IFERROR(--(EOMONTH(AL579,0)&lt;&gt;AK$5),1))+IF(AO579="",0,IFERROR(--(EOMONTH(AO579,0)&lt;&gt;AN$5),1))+IF(AR579="",0,IFERROR(--(EOMONTH(AR579,0)&lt;&gt;AQ$5),1))+IF(AU579="",0,IFERROR(--(EOMONTH(AU579,0)&lt;&gt;AT$5),1))+IF(AX579="",0,IFERROR(--(EOMONTH(AX579,0)&lt;&gt;AW$5),1))+IF(BA579="",0,IFERROR(--(EOMONTH(BA579,0)&lt;&gt;AZ$5),1)))&gt;0,"; An invoice date is not in the month it is typed under",""),3,500))</f>
        <v/>
      </c>
      <c r="S579" s="12" t="n"/>
      <c r="T579" s="13" t="n"/>
      <c r="U579" s="14" t="n"/>
      <c r="V579" s="12" t="n"/>
      <c r="W579" s="13" t="n"/>
      <c r="X579" s="14" t="n"/>
      <c r="Y579" s="12" t="n"/>
      <c r="Z579" s="13" t="n"/>
      <c r="AA579" s="14" t="n"/>
      <c r="AB579" s="12" t="n"/>
      <c r="AC579" s="13" t="n"/>
      <c r="AD579" s="14" t="n"/>
      <c r="AE579" s="12" t="n"/>
      <c r="AF579" s="13" t="n"/>
      <c r="AG579" s="14" t="n"/>
      <c r="AH579" s="12" t="n"/>
      <c r="AI579" s="13" t="n"/>
      <c r="AJ579" s="14" t="n"/>
      <c r="AK579" s="12" t="n"/>
      <c r="AL579" s="13" t="n"/>
      <c r="AM579" s="14" t="n"/>
      <c r="AN579" s="12" t="n"/>
      <c r="AO579" s="13" t="n"/>
      <c r="AP579" s="14" t="n"/>
      <c r="AQ579" s="12" t="n"/>
      <c r="AR579" s="13" t="n"/>
      <c r="AS579" s="14" t="n"/>
      <c r="AT579" s="12" t="n"/>
      <c r="AU579" s="13" t="n"/>
      <c r="AV579" s="14" t="n"/>
      <c r="AW579" s="12" t="n"/>
      <c r="AX579" s="13" t="n"/>
      <c r="AY579" s="14" t="n"/>
      <c r="AZ579" s="12" t="n"/>
      <c r="BA579" s="13" t="n"/>
      <c r="BB579" s="14" t="n"/>
      <c r="BC579" s="11">
        <f>IF(O579="","",IF(J579="GST 10%",ROUND(O579*set_GSTRate,2),0))</f>
        <v/>
      </c>
      <c r="BD579" s="11">
        <f>IF(O579="","",O579+BC579)</f>
        <v/>
      </c>
      <c r="BE579" s="15">
        <f>IF(O579="","",COUNTA(S579,V579,Y579,AB579,AE579,AH579,AK579,AN579,AQ579,AT579,AW579,AZ579))</f>
        <v/>
      </c>
      <c r="BF579" s="16">
        <f>IF(COUNT(T579,W579,Z579,AC579,AF579,AI579,AL579,AO579,AR579,AU579,AX579,BA579)=0,"",MAX(T579,W579,Z579,AC579,AF579,AI579,AL579,AO579,AR579,AU579,AX579,BA579))</f>
        <v/>
      </c>
      <c r="BG579" s="10">
        <f>MID(IF(S579="","",", "&amp;S579)&amp;IF(V579="","",", "&amp;V579)&amp;IF(Y579="","",", "&amp;Y579)&amp;IF(AB579="","",", "&amp;AB579)&amp;IF(AE579="","",", "&amp;AE579)&amp;IF(AH579="","",", "&amp;AH579)&amp;IF(AK579="","",", "&amp;AK579)&amp;IF(AN579="","",", "&amp;AN579)&amp;IF(AQ579="","",", "&amp;AQ579)&amp;IF(AT579="","",", "&amp;AT579)&amp;IF(AW579="","",", "&amp;AW579)&amp;IF(AZ579="","",", "&amp;AZ579),3,500)</f>
        <v/>
      </c>
      <c r="BH579" s="12" t="n"/>
      <c r="BI579" s="15">
        <f>IFERROR(MATCH($A579,IF($B579="Onsite",tbl_Onsite[Row ID],IF($B579="Production",tbl_Production[Row ID],tbl_Consulting[Row ID])),0),"")</f>
        <v/>
      </c>
    </row>
    <row r="580">
      <c r="A580" s="10" t="inlineStr">
        <is>
          <t>PRD-0074</t>
        </is>
      </c>
      <c r="B580" s="10" t="inlineStr">
        <is>
          <t>Production</t>
        </is>
      </c>
      <c r="C580" s="10">
        <f>IF($BI580="","",IF($B580="Onsite",INDEX(tbl_Onsite[Job Number],$BI580),IF($B580="Production",INDEX(tbl_Production[Job Number],$BI580),INDEX(tbl_Consulting[Job Number],$BI580)))&amp;"")</f>
        <v/>
      </c>
      <c r="D580" s="10">
        <f>IF($BI580="","",IF($B580="Onsite",INDEX(tbl_Onsite[Client],$BI580),IF($B580="Production",INDEX(tbl_Production[Client],$BI580),INDEX(tbl_Consulting[Client],$BI580)))&amp;"")</f>
        <v/>
      </c>
      <c r="E580" s="10">
        <f>IF($C580="","",IF(COUNTIF(lst_Jobs,$C580)&gt;0,"OK","CHECK"))</f>
        <v/>
      </c>
      <c r="F580" s="10">
        <f>IF($C580="","",IFERROR(INDEX(lst_JobName,MATCH($C580,lst_Jobs,0)),""))</f>
        <v/>
      </c>
      <c r="G580" s="10">
        <f>IF($BI580="","",IF($B580="Onsite",INDEX(tbl_Onsite[Job Description],$BI580),IF($B580="Production",INDEX(tbl_Production[Job Description],$BI580),INDEX(tbl_Consulting[Job Description],$BI580)))&amp;"")</f>
        <v/>
      </c>
      <c r="H580" s="10">
        <f>IF($BI580="","",IF($B580="Onsite",INDEX(tbl_Onsite[Cost Centre],$BI580),IF($B580="Production",INDEX(tbl_Production[Cost Centre],$BI580),INDEX(tbl_Consulting[Cost Centre],$BI580)))&amp;"")</f>
        <v/>
      </c>
      <c r="I580" s="10">
        <f>IF($BI580="","",IF($B580="Onsite",INDEX(tbl_Onsite[Invoice Type],$BI580),IF($B580="Production",INDEX(tbl_Production[Invoice Type],$BI580),INDEX(tbl_Consulting[Invoice Type],$BI580)))&amp;"")</f>
        <v/>
      </c>
      <c r="J580" s="10">
        <f>IF($BI580="","",IF($B580="Onsite",INDEX(tbl_Onsite[Tax Code],$BI580),IF($B580="Production",INDEX(tbl_Production[Tax Code],$BI580),INDEX(tbl_Consulting[Tax Code],$BI580)))&amp;"")</f>
        <v/>
      </c>
      <c r="K580" s="10">
        <f>IF(H580="","",IFERROR(INDEX(lst_CCtoGL,MATCH(H580,lst_CCforGL,0)),""))</f>
        <v/>
      </c>
      <c r="L580" s="10">
        <f>IF($BI580="","",IF($B580="Onsite",INDEX(tbl_Onsite[PO / Reference],$BI580),IF($B580="Production",INDEX(tbl_Production[Current RMS No],$BI580),INDEX(tbl_Consulting[Qwilr Quote],$BI580)))&amp;"")</f>
        <v/>
      </c>
      <c r="M580" s="10">
        <f>IF($BI580="","",IF($B580="Onsite",INDEX(tbl_Onsite[Notes],$BI580),IF($B580="Production",INDEX(tbl_Production[Notes],$BI580),INDEX(tbl_Consulting[Notes],$BI580)))&amp;"")</f>
        <v/>
      </c>
      <c r="N580" s="11">
        <f>IF($BI580="","",IF(IF($B580="Onsite",INDEX(tbl_Onsite[Expected Revenue Ex GST],$BI580),IF($B580="Production",INDEX(tbl_Production[Expected Revenue Ex GST],$BI580),INDEX(tbl_Consulting[Expected Revenue Ex GST],$BI580)))="","",IF($B580="Onsite",INDEX(tbl_Onsite[Expected Revenue Ex GST],$BI580),IF($B580="Production",INDEX(tbl_Production[Expected Revenue Ex GST],$BI580),INDEX(tbl_Consulting[Expected Revenue Ex GST],$BI580)))))</f>
        <v/>
      </c>
      <c r="O580" s="11">
        <f>IF(AND($C580="",NOT(COUNTA($S580:$BB580)&gt;0)),"",SUM(U580,X580,AA580,AD580,AG580,AJ580,AM580,AP580,AS580,AV580,AY580,BB580))</f>
        <v/>
      </c>
      <c r="P580" s="11">
        <f>IF(O580="","",N(N580)-O580)</f>
        <v/>
      </c>
      <c r="Q580" s="10">
        <f>IF(O580="","",IF($C580="","Invoice on empty job row",IF(N580="",IF(ROUND(O580,2)=0,"No dept value","Invoiced - no dept value"),IF(ROUND(O580,2)=0,"Not invoiced - to invoice",IF(ROUND(P580,2)=0,"Agrees",IF(P580&gt;0,"Dept higher - to invoice","Xero higher - check dept"))))))</f>
        <v/>
      </c>
      <c r="R580" s="10">
        <f>IF(AND($C580="",NOT(COUNTA($S580:$BB580)&gt;0),$BI580&lt;&gt;""),"",MID(IF($BI580="","; Row ID not found on the department sheet - a row was deleted","")&amp;IF(AND($C580="",COUNTA($S580:$BB580)&gt;0),"; Invoice entered but the department row has no job number","")&amp;IF(E580="CHECK","; Job number not in the Xero job list","")&amp;IF(AND($C580&lt;&gt;"",COUNTIF($C$7:$C$1506,$C580)&gt;1),"; Job number on more than one row","")&amp;IF(AND($C580&lt;&gt;"",H580=""),"; Dept has not set a cost centre","")&amp;IF(AND($C580&lt;&gt;"",J580=""),"; Dept has not set a tax code","")&amp;IF(AND($C580&lt;&gt;"",N580=""),"; Dept has not entered an expected value","")&amp;IF((IF(OR(COUNTA(S580:U580)=0,AND(COUNTA(S580:U580)=3,ISNUMBER(U580))),0,1)+IF(OR(COUNTA(V580:X580)=0,AND(COUNTA(V580:X580)=3,ISNUMBER(X580))),0,1)+IF(OR(COUNTA(Y580:AA580)=0,AND(COUNTA(Y580:AA580)=3,ISNUMBER(AA580))),0,1)+IF(OR(COUNTA(AB580:AD580)=0,AND(COUNTA(AB580:AD580)=3,ISNUMBER(AD580))),0,1)+IF(OR(COUNTA(AE580:AG580)=0,AND(COUNTA(AE580:AG580)=3,ISNUMBER(AG580))),0,1)+IF(OR(COUNTA(AH580:AJ580)=0,AND(COUNTA(AH580:AJ580)=3,ISNUMBER(AJ580))),0,1)+IF(OR(COUNTA(AK580:AM580)=0,AND(COUNTA(AK580:AM580)=3,ISNUMBER(AM580))),0,1)+IF(OR(COUNTA(AN580:AP580)=0,AND(COUNTA(AN580:AP580)=3,ISNUMBER(AP580))),0,1)+IF(OR(COUNTA(AQ580:AS580)=0,AND(COUNTA(AQ580:AS580)=3,ISNUMBER(AS580))),0,1)+IF(OR(COUNTA(AT580:AV580)=0,AND(COUNTA(AT580:AV580)=3,ISNUMBER(AV580))),0,1)+IF(OR(COUNTA(AW580:AY580)=0,AND(COUNTA(AW580:AY580)=3,ISNUMBER(AY580))),0,1)+IF(OR(COUNTA(AZ580:BB580)=0,AND(COUNTA(AZ580:BB580)=3,ISNUMBER(BB580))),0,1))&gt;0,"; An invoice is incomplete (needs No, Date and a number in Ex GST)","")&amp;IF((IF(T580="",0,IFERROR(--(EOMONTH(T580,0)&lt;&gt;S$5),1))+IF(W580="",0,IFERROR(--(EOMONTH(W580,0)&lt;&gt;V$5),1))+IF(Z580="",0,IFERROR(--(EOMONTH(Z580,0)&lt;&gt;Y$5),1))+IF(AC580="",0,IFERROR(--(EOMONTH(AC580,0)&lt;&gt;AB$5),1))+IF(AF580="",0,IFERROR(--(EOMONTH(AF580,0)&lt;&gt;AE$5),1))+IF(AI580="",0,IFERROR(--(EOMONTH(AI580,0)&lt;&gt;AH$5),1))+IF(AL580="",0,IFERROR(--(EOMONTH(AL580,0)&lt;&gt;AK$5),1))+IF(AO580="",0,IFERROR(--(EOMONTH(AO580,0)&lt;&gt;AN$5),1))+IF(AR580="",0,IFERROR(--(EOMONTH(AR580,0)&lt;&gt;AQ$5),1))+IF(AU580="",0,IFERROR(--(EOMONTH(AU580,0)&lt;&gt;AT$5),1))+IF(AX580="",0,IFERROR(--(EOMONTH(AX580,0)&lt;&gt;AW$5),1))+IF(BA580="",0,IFERROR(--(EOMONTH(BA580,0)&lt;&gt;AZ$5),1)))&gt;0,"; An invoice date is not in the month it is typed under",""),3,500))</f>
        <v/>
      </c>
      <c r="S580" s="12" t="n"/>
      <c r="T580" s="13" t="n"/>
      <c r="U580" s="14" t="n"/>
      <c r="V580" s="12" t="n"/>
      <c r="W580" s="13" t="n"/>
      <c r="X580" s="14" t="n"/>
      <c r="Y580" s="12" t="n"/>
      <c r="Z580" s="13" t="n"/>
      <c r="AA580" s="14" t="n"/>
      <c r="AB580" s="12" t="n"/>
      <c r="AC580" s="13" t="n"/>
      <c r="AD580" s="14" t="n"/>
      <c r="AE580" s="12" t="n"/>
      <c r="AF580" s="13" t="n"/>
      <c r="AG580" s="14" t="n"/>
      <c r="AH580" s="12" t="n"/>
      <c r="AI580" s="13" t="n"/>
      <c r="AJ580" s="14" t="n"/>
      <c r="AK580" s="12" t="n"/>
      <c r="AL580" s="13" t="n"/>
      <c r="AM580" s="14" t="n"/>
      <c r="AN580" s="12" t="n"/>
      <c r="AO580" s="13" t="n"/>
      <c r="AP580" s="14" t="n"/>
      <c r="AQ580" s="12" t="n"/>
      <c r="AR580" s="13" t="n"/>
      <c r="AS580" s="14" t="n"/>
      <c r="AT580" s="12" t="n"/>
      <c r="AU580" s="13" t="n"/>
      <c r="AV580" s="14" t="n"/>
      <c r="AW580" s="12" t="n"/>
      <c r="AX580" s="13" t="n"/>
      <c r="AY580" s="14" t="n"/>
      <c r="AZ580" s="12" t="n"/>
      <c r="BA580" s="13" t="n"/>
      <c r="BB580" s="14" t="n"/>
      <c r="BC580" s="11">
        <f>IF(O580="","",IF(J580="GST 10%",ROUND(O580*set_GSTRate,2),0))</f>
        <v/>
      </c>
      <c r="BD580" s="11">
        <f>IF(O580="","",O580+BC580)</f>
        <v/>
      </c>
      <c r="BE580" s="15">
        <f>IF(O580="","",COUNTA(S580,V580,Y580,AB580,AE580,AH580,AK580,AN580,AQ580,AT580,AW580,AZ580))</f>
        <v/>
      </c>
      <c r="BF580" s="16">
        <f>IF(COUNT(T580,W580,Z580,AC580,AF580,AI580,AL580,AO580,AR580,AU580,AX580,BA580)=0,"",MAX(T580,W580,Z580,AC580,AF580,AI580,AL580,AO580,AR580,AU580,AX580,BA580))</f>
        <v/>
      </c>
      <c r="BG580" s="10">
        <f>MID(IF(S580="","",", "&amp;S580)&amp;IF(V580="","",", "&amp;V580)&amp;IF(Y580="","",", "&amp;Y580)&amp;IF(AB580="","",", "&amp;AB580)&amp;IF(AE580="","",", "&amp;AE580)&amp;IF(AH580="","",", "&amp;AH580)&amp;IF(AK580="","",", "&amp;AK580)&amp;IF(AN580="","",", "&amp;AN580)&amp;IF(AQ580="","",", "&amp;AQ580)&amp;IF(AT580="","",", "&amp;AT580)&amp;IF(AW580="","",", "&amp;AW580)&amp;IF(AZ580="","",", "&amp;AZ580),3,500)</f>
        <v/>
      </c>
      <c r="BH580" s="12" t="n"/>
      <c r="BI580" s="15">
        <f>IFERROR(MATCH($A580,IF($B580="Onsite",tbl_Onsite[Row ID],IF($B580="Production",tbl_Production[Row ID],tbl_Consulting[Row ID])),0),"")</f>
        <v/>
      </c>
    </row>
    <row r="581">
      <c r="A581" s="10" t="inlineStr">
        <is>
          <t>PRD-0075</t>
        </is>
      </c>
      <c r="B581" s="10" t="inlineStr">
        <is>
          <t>Production</t>
        </is>
      </c>
      <c r="C581" s="10">
        <f>IF($BI581="","",IF($B581="Onsite",INDEX(tbl_Onsite[Job Number],$BI581),IF($B581="Production",INDEX(tbl_Production[Job Number],$BI581),INDEX(tbl_Consulting[Job Number],$BI581)))&amp;"")</f>
        <v/>
      </c>
      <c r="D581" s="10">
        <f>IF($BI581="","",IF($B581="Onsite",INDEX(tbl_Onsite[Client],$BI581),IF($B581="Production",INDEX(tbl_Production[Client],$BI581),INDEX(tbl_Consulting[Client],$BI581)))&amp;"")</f>
        <v/>
      </c>
      <c r="E581" s="10">
        <f>IF($C581="","",IF(COUNTIF(lst_Jobs,$C581)&gt;0,"OK","CHECK"))</f>
        <v/>
      </c>
      <c r="F581" s="10">
        <f>IF($C581="","",IFERROR(INDEX(lst_JobName,MATCH($C581,lst_Jobs,0)),""))</f>
        <v/>
      </c>
      <c r="G581" s="10">
        <f>IF($BI581="","",IF($B581="Onsite",INDEX(tbl_Onsite[Job Description],$BI581),IF($B581="Production",INDEX(tbl_Production[Job Description],$BI581),INDEX(tbl_Consulting[Job Description],$BI581)))&amp;"")</f>
        <v/>
      </c>
      <c r="H581" s="10">
        <f>IF($BI581="","",IF($B581="Onsite",INDEX(tbl_Onsite[Cost Centre],$BI581),IF($B581="Production",INDEX(tbl_Production[Cost Centre],$BI581),INDEX(tbl_Consulting[Cost Centre],$BI581)))&amp;"")</f>
        <v/>
      </c>
      <c r="I581" s="10">
        <f>IF($BI581="","",IF($B581="Onsite",INDEX(tbl_Onsite[Invoice Type],$BI581),IF($B581="Production",INDEX(tbl_Production[Invoice Type],$BI581),INDEX(tbl_Consulting[Invoice Type],$BI581)))&amp;"")</f>
        <v/>
      </c>
      <c r="J581" s="10">
        <f>IF($BI581="","",IF($B581="Onsite",INDEX(tbl_Onsite[Tax Code],$BI581),IF($B581="Production",INDEX(tbl_Production[Tax Code],$BI581),INDEX(tbl_Consulting[Tax Code],$BI581)))&amp;"")</f>
        <v/>
      </c>
      <c r="K581" s="10">
        <f>IF(H581="","",IFERROR(INDEX(lst_CCtoGL,MATCH(H581,lst_CCforGL,0)),""))</f>
        <v/>
      </c>
      <c r="L581" s="10">
        <f>IF($BI581="","",IF($B581="Onsite",INDEX(tbl_Onsite[PO / Reference],$BI581),IF($B581="Production",INDEX(tbl_Production[Current RMS No],$BI581),INDEX(tbl_Consulting[Qwilr Quote],$BI581)))&amp;"")</f>
        <v/>
      </c>
      <c r="M581" s="10">
        <f>IF($BI581="","",IF($B581="Onsite",INDEX(tbl_Onsite[Notes],$BI581),IF($B581="Production",INDEX(tbl_Production[Notes],$BI581),INDEX(tbl_Consulting[Notes],$BI581)))&amp;"")</f>
        <v/>
      </c>
      <c r="N581" s="11">
        <f>IF($BI581="","",IF(IF($B581="Onsite",INDEX(tbl_Onsite[Expected Revenue Ex GST],$BI581),IF($B581="Production",INDEX(tbl_Production[Expected Revenue Ex GST],$BI581),INDEX(tbl_Consulting[Expected Revenue Ex GST],$BI581)))="","",IF($B581="Onsite",INDEX(tbl_Onsite[Expected Revenue Ex GST],$BI581),IF($B581="Production",INDEX(tbl_Production[Expected Revenue Ex GST],$BI581),INDEX(tbl_Consulting[Expected Revenue Ex GST],$BI581)))))</f>
        <v/>
      </c>
      <c r="O581" s="11">
        <f>IF(AND($C581="",NOT(COUNTA($S581:$BB581)&gt;0)),"",SUM(U581,X581,AA581,AD581,AG581,AJ581,AM581,AP581,AS581,AV581,AY581,BB581))</f>
        <v/>
      </c>
      <c r="P581" s="11">
        <f>IF(O581="","",N(N581)-O581)</f>
        <v/>
      </c>
      <c r="Q581" s="10">
        <f>IF(O581="","",IF($C581="","Invoice on empty job row",IF(N581="",IF(ROUND(O581,2)=0,"No dept value","Invoiced - no dept value"),IF(ROUND(O581,2)=0,"Not invoiced - to invoice",IF(ROUND(P581,2)=0,"Agrees",IF(P581&gt;0,"Dept higher - to invoice","Xero higher - check dept"))))))</f>
        <v/>
      </c>
      <c r="R581" s="10">
        <f>IF(AND($C581="",NOT(COUNTA($S581:$BB581)&gt;0),$BI581&lt;&gt;""),"",MID(IF($BI581="","; Row ID not found on the department sheet - a row was deleted","")&amp;IF(AND($C581="",COUNTA($S581:$BB581)&gt;0),"; Invoice entered but the department row has no job number","")&amp;IF(E581="CHECK","; Job number not in the Xero job list","")&amp;IF(AND($C581&lt;&gt;"",COUNTIF($C$7:$C$1506,$C581)&gt;1),"; Job number on more than one row","")&amp;IF(AND($C581&lt;&gt;"",H581=""),"; Dept has not set a cost centre","")&amp;IF(AND($C581&lt;&gt;"",J581=""),"; Dept has not set a tax code","")&amp;IF(AND($C581&lt;&gt;"",N581=""),"; Dept has not entered an expected value","")&amp;IF((IF(OR(COUNTA(S581:U581)=0,AND(COUNTA(S581:U581)=3,ISNUMBER(U581))),0,1)+IF(OR(COUNTA(V581:X581)=0,AND(COUNTA(V581:X581)=3,ISNUMBER(X581))),0,1)+IF(OR(COUNTA(Y581:AA581)=0,AND(COUNTA(Y581:AA581)=3,ISNUMBER(AA581))),0,1)+IF(OR(COUNTA(AB581:AD581)=0,AND(COUNTA(AB581:AD581)=3,ISNUMBER(AD581))),0,1)+IF(OR(COUNTA(AE581:AG581)=0,AND(COUNTA(AE581:AG581)=3,ISNUMBER(AG581))),0,1)+IF(OR(COUNTA(AH581:AJ581)=0,AND(COUNTA(AH581:AJ581)=3,ISNUMBER(AJ581))),0,1)+IF(OR(COUNTA(AK581:AM581)=0,AND(COUNTA(AK581:AM581)=3,ISNUMBER(AM581))),0,1)+IF(OR(COUNTA(AN581:AP581)=0,AND(COUNTA(AN581:AP581)=3,ISNUMBER(AP581))),0,1)+IF(OR(COUNTA(AQ581:AS581)=0,AND(COUNTA(AQ581:AS581)=3,ISNUMBER(AS581))),0,1)+IF(OR(COUNTA(AT581:AV581)=0,AND(COUNTA(AT581:AV581)=3,ISNUMBER(AV581))),0,1)+IF(OR(COUNTA(AW581:AY581)=0,AND(COUNTA(AW581:AY581)=3,ISNUMBER(AY581))),0,1)+IF(OR(COUNTA(AZ581:BB581)=0,AND(COUNTA(AZ581:BB581)=3,ISNUMBER(BB581))),0,1))&gt;0,"; An invoice is incomplete (needs No, Date and a number in Ex GST)","")&amp;IF((IF(T581="",0,IFERROR(--(EOMONTH(T581,0)&lt;&gt;S$5),1))+IF(W581="",0,IFERROR(--(EOMONTH(W581,0)&lt;&gt;V$5),1))+IF(Z581="",0,IFERROR(--(EOMONTH(Z581,0)&lt;&gt;Y$5),1))+IF(AC581="",0,IFERROR(--(EOMONTH(AC581,0)&lt;&gt;AB$5),1))+IF(AF581="",0,IFERROR(--(EOMONTH(AF581,0)&lt;&gt;AE$5),1))+IF(AI581="",0,IFERROR(--(EOMONTH(AI581,0)&lt;&gt;AH$5),1))+IF(AL581="",0,IFERROR(--(EOMONTH(AL581,0)&lt;&gt;AK$5),1))+IF(AO581="",0,IFERROR(--(EOMONTH(AO581,0)&lt;&gt;AN$5),1))+IF(AR581="",0,IFERROR(--(EOMONTH(AR581,0)&lt;&gt;AQ$5),1))+IF(AU581="",0,IFERROR(--(EOMONTH(AU581,0)&lt;&gt;AT$5),1))+IF(AX581="",0,IFERROR(--(EOMONTH(AX581,0)&lt;&gt;AW$5),1))+IF(BA581="",0,IFERROR(--(EOMONTH(BA581,0)&lt;&gt;AZ$5),1)))&gt;0,"; An invoice date is not in the month it is typed under",""),3,500))</f>
        <v/>
      </c>
      <c r="S581" s="12" t="n"/>
      <c r="T581" s="13" t="n"/>
      <c r="U581" s="14" t="n"/>
      <c r="V581" s="12" t="n"/>
      <c r="W581" s="13" t="n"/>
      <c r="X581" s="14" t="n"/>
      <c r="Y581" s="12" t="n"/>
      <c r="Z581" s="13" t="n"/>
      <c r="AA581" s="14" t="n"/>
      <c r="AB581" s="12" t="n"/>
      <c r="AC581" s="13" t="n"/>
      <c r="AD581" s="14" t="n"/>
      <c r="AE581" s="12" t="n"/>
      <c r="AF581" s="13" t="n"/>
      <c r="AG581" s="14" t="n"/>
      <c r="AH581" s="12" t="n"/>
      <c r="AI581" s="13" t="n"/>
      <c r="AJ581" s="14" t="n"/>
      <c r="AK581" s="12" t="n"/>
      <c r="AL581" s="13" t="n"/>
      <c r="AM581" s="14" t="n"/>
      <c r="AN581" s="12" t="n"/>
      <c r="AO581" s="13" t="n"/>
      <c r="AP581" s="14" t="n"/>
      <c r="AQ581" s="12" t="n"/>
      <c r="AR581" s="13" t="n"/>
      <c r="AS581" s="14" t="n"/>
      <c r="AT581" s="12" t="n"/>
      <c r="AU581" s="13" t="n"/>
      <c r="AV581" s="14" t="n"/>
      <c r="AW581" s="12" t="n"/>
      <c r="AX581" s="13" t="n"/>
      <c r="AY581" s="14" t="n"/>
      <c r="AZ581" s="12" t="n"/>
      <c r="BA581" s="13" t="n"/>
      <c r="BB581" s="14" t="n"/>
      <c r="BC581" s="11">
        <f>IF(O581="","",IF(J581="GST 10%",ROUND(O581*set_GSTRate,2),0))</f>
        <v/>
      </c>
      <c r="BD581" s="11">
        <f>IF(O581="","",O581+BC581)</f>
        <v/>
      </c>
      <c r="BE581" s="15">
        <f>IF(O581="","",COUNTA(S581,V581,Y581,AB581,AE581,AH581,AK581,AN581,AQ581,AT581,AW581,AZ581))</f>
        <v/>
      </c>
      <c r="BF581" s="16">
        <f>IF(COUNT(T581,W581,Z581,AC581,AF581,AI581,AL581,AO581,AR581,AU581,AX581,BA581)=0,"",MAX(T581,W581,Z581,AC581,AF581,AI581,AL581,AO581,AR581,AU581,AX581,BA581))</f>
        <v/>
      </c>
      <c r="BG581" s="10">
        <f>MID(IF(S581="","",", "&amp;S581)&amp;IF(V581="","",", "&amp;V581)&amp;IF(Y581="","",", "&amp;Y581)&amp;IF(AB581="","",", "&amp;AB581)&amp;IF(AE581="","",", "&amp;AE581)&amp;IF(AH581="","",", "&amp;AH581)&amp;IF(AK581="","",", "&amp;AK581)&amp;IF(AN581="","",", "&amp;AN581)&amp;IF(AQ581="","",", "&amp;AQ581)&amp;IF(AT581="","",", "&amp;AT581)&amp;IF(AW581="","",", "&amp;AW581)&amp;IF(AZ581="","",", "&amp;AZ581),3,500)</f>
        <v/>
      </c>
      <c r="BH581" s="12" t="n"/>
      <c r="BI581" s="15">
        <f>IFERROR(MATCH($A581,IF($B581="Onsite",tbl_Onsite[Row ID],IF($B581="Production",tbl_Production[Row ID],tbl_Consulting[Row ID])),0),"")</f>
        <v/>
      </c>
    </row>
    <row r="582">
      <c r="A582" s="10" t="inlineStr">
        <is>
          <t>PRD-0076</t>
        </is>
      </c>
      <c r="B582" s="10" t="inlineStr">
        <is>
          <t>Production</t>
        </is>
      </c>
      <c r="C582" s="10">
        <f>IF($BI582="","",IF($B582="Onsite",INDEX(tbl_Onsite[Job Number],$BI582),IF($B582="Production",INDEX(tbl_Production[Job Number],$BI582),INDEX(tbl_Consulting[Job Number],$BI582)))&amp;"")</f>
        <v/>
      </c>
      <c r="D582" s="10">
        <f>IF($BI582="","",IF($B582="Onsite",INDEX(tbl_Onsite[Client],$BI582),IF($B582="Production",INDEX(tbl_Production[Client],$BI582),INDEX(tbl_Consulting[Client],$BI582)))&amp;"")</f>
        <v/>
      </c>
      <c r="E582" s="10">
        <f>IF($C582="","",IF(COUNTIF(lst_Jobs,$C582)&gt;0,"OK","CHECK"))</f>
        <v/>
      </c>
      <c r="F582" s="10">
        <f>IF($C582="","",IFERROR(INDEX(lst_JobName,MATCH($C582,lst_Jobs,0)),""))</f>
        <v/>
      </c>
      <c r="G582" s="10">
        <f>IF($BI582="","",IF($B582="Onsite",INDEX(tbl_Onsite[Job Description],$BI582),IF($B582="Production",INDEX(tbl_Production[Job Description],$BI582),INDEX(tbl_Consulting[Job Description],$BI582)))&amp;"")</f>
        <v/>
      </c>
      <c r="H582" s="10">
        <f>IF($BI582="","",IF($B582="Onsite",INDEX(tbl_Onsite[Cost Centre],$BI582),IF($B582="Production",INDEX(tbl_Production[Cost Centre],$BI582),INDEX(tbl_Consulting[Cost Centre],$BI582)))&amp;"")</f>
        <v/>
      </c>
      <c r="I582" s="10">
        <f>IF($BI582="","",IF($B582="Onsite",INDEX(tbl_Onsite[Invoice Type],$BI582),IF($B582="Production",INDEX(tbl_Production[Invoice Type],$BI582),INDEX(tbl_Consulting[Invoice Type],$BI582)))&amp;"")</f>
        <v/>
      </c>
      <c r="J582" s="10">
        <f>IF($BI582="","",IF($B582="Onsite",INDEX(tbl_Onsite[Tax Code],$BI582),IF($B582="Production",INDEX(tbl_Production[Tax Code],$BI582),INDEX(tbl_Consulting[Tax Code],$BI582)))&amp;"")</f>
        <v/>
      </c>
      <c r="K582" s="10">
        <f>IF(H582="","",IFERROR(INDEX(lst_CCtoGL,MATCH(H582,lst_CCforGL,0)),""))</f>
        <v/>
      </c>
      <c r="L582" s="10">
        <f>IF($BI582="","",IF($B582="Onsite",INDEX(tbl_Onsite[PO / Reference],$BI582),IF($B582="Production",INDEX(tbl_Production[Current RMS No],$BI582),INDEX(tbl_Consulting[Qwilr Quote],$BI582)))&amp;"")</f>
        <v/>
      </c>
      <c r="M582" s="10">
        <f>IF($BI582="","",IF($B582="Onsite",INDEX(tbl_Onsite[Notes],$BI582),IF($B582="Production",INDEX(tbl_Production[Notes],$BI582),INDEX(tbl_Consulting[Notes],$BI582)))&amp;"")</f>
        <v/>
      </c>
      <c r="N582" s="11">
        <f>IF($BI582="","",IF(IF($B582="Onsite",INDEX(tbl_Onsite[Expected Revenue Ex GST],$BI582),IF($B582="Production",INDEX(tbl_Production[Expected Revenue Ex GST],$BI582),INDEX(tbl_Consulting[Expected Revenue Ex GST],$BI582)))="","",IF($B582="Onsite",INDEX(tbl_Onsite[Expected Revenue Ex GST],$BI582),IF($B582="Production",INDEX(tbl_Production[Expected Revenue Ex GST],$BI582),INDEX(tbl_Consulting[Expected Revenue Ex GST],$BI582)))))</f>
        <v/>
      </c>
      <c r="O582" s="11">
        <f>IF(AND($C582="",NOT(COUNTA($S582:$BB582)&gt;0)),"",SUM(U582,X582,AA582,AD582,AG582,AJ582,AM582,AP582,AS582,AV582,AY582,BB582))</f>
        <v/>
      </c>
      <c r="P582" s="11">
        <f>IF(O582="","",N(N582)-O582)</f>
        <v/>
      </c>
      <c r="Q582" s="10">
        <f>IF(O582="","",IF($C582="","Invoice on empty job row",IF(N582="",IF(ROUND(O582,2)=0,"No dept value","Invoiced - no dept value"),IF(ROUND(O582,2)=0,"Not invoiced - to invoice",IF(ROUND(P582,2)=0,"Agrees",IF(P582&gt;0,"Dept higher - to invoice","Xero higher - check dept"))))))</f>
        <v/>
      </c>
      <c r="R582" s="10">
        <f>IF(AND($C582="",NOT(COUNTA($S582:$BB582)&gt;0),$BI582&lt;&gt;""),"",MID(IF($BI582="","; Row ID not found on the department sheet - a row was deleted","")&amp;IF(AND($C582="",COUNTA($S582:$BB582)&gt;0),"; Invoice entered but the department row has no job number","")&amp;IF(E582="CHECK","; Job number not in the Xero job list","")&amp;IF(AND($C582&lt;&gt;"",COUNTIF($C$7:$C$1506,$C582)&gt;1),"; Job number on more than one row","")&amp;IF(AND($C582&lt;&gt;"",H582=""),"; Dept has not set a cost centre","")&amp;IF(AND($C582&lt;&gt;"",J582=""),"; Dept has not set a tax code","")&amp;IF(AND($C582&lt;&gt;"",N582=""),"; Dept has not entered an expected value","")&amp;IF((IF(OR(COUNTA(S582:U582)=0,AND(COUNTA(S582:U582)=3,ISNUMBER(U582))),0,1)+IF(OR(COUNTA(V582:X582)=0,AND(COUNTA(V582:X582)=3,ISNUMBER(X582))),0,1)+IF(OR(COUNTA(Y582:AA582)=0,AND(COUNTA(Y582:AA582)=3,ISNUMBER(AA582))),0,1)+IF(OR(COUNTA(AB582:AD582)=0,AND(COUNTA(AB582:AD582)=3,ISNUMBER(AD582))),0,1)+IF(OR(COUNTA(AE582:AG582)=0,AND(COUNTA(AE582:AG582)=3,ISNUMBER(AG582))),0,1)+IF(OR(COUNTA(AH582:AJ582)=0,AND(COUNTA(AH582:AJ582)=3,ISNUMBER(AJ582))),0,1)+IF(OR(COUNTA(AK582:AM582)=0,AND(COUNTA(AK582:AM582)=3,ISNUMBER(AM582))),0,1)+IF(OR(COUNTA(AN582:AP582)=0,AND(COUNTA(AN582:AP582)=3,ISNUMBER(AP582))),0,1)+IF(OR(COUNTA(AQ582:AS582)=0,AND(COUNTA(AQ582:AS582)=3,ISNUMBER(AS582))),0,1)+IF(OR(COUNTA(AT582:AV582)=0,AND(COUNTA(AT582:AV582)=3,ISNUMBER(AV582))),0,1)+IF(OR(COUNTA(AW582:AY582)=0,AND(COUNTA(AW582:AY582)=3,ISNUMBER(AY582))),0,1)+IF(OR(COUNTA(AZ582:BB582)=0,AND(COUNTA(AZ582:BB582)=3,ISNUMBER(BB582))),0,1))&gt;0,"; An invoice is incomplete (needs No, Date and a number in Ex GST)","")&amp;IF((IF(T582="",0,IFERROR(--(EOMONTH(T582,0)&lt;&gt;S$5),1))+IF(W582="",0,IFERROR(--(EOMONTH(W582,0)&lt;&gt;V$5),1))+IF(Z582="",0,IFERROR(--(EOMONTH(Z582,0)&lt;&gt;Y$5),1))+IF(AC582="",0,IFERROR(--(EOMONTH(AC582,0)&lt;&gt;AB$5),1))+IF(AF582="",0,IFERROR(--(EOMONTH(AF582,0)&lt;&gt;AE$5),1))+IF(AI582="",0,IFERROR(--(EOMONTH(AI582,0)&lt;&gt;AH$5),1))+IF(AL582="",0,IFERROR(--(EOMONTH(AL582,0)&lt;&gt;AK$5),1))+IF(AO582="",0,IFERROR(--(EOMONTH(AO582,0)&lt;&gt;AN$5),1))+IF(AR582="",0,IFERROR(--(EOMONTH(AR582,0)&lt;&gt;AQ$5),1))+IF(AU582="",0,IFERROR(--(EOMONTH(AU582,0)&lt;&gt;AT$5),1))+IF(AX582="",0,IFERROR(--(EOMONTH(AX582,0)&lt;&gt;AW$5),1))+IF(BA582="",0,IFERROR(--(EOMONTH(BA582,0)&lt;&gt;AZ$5),1)))&gt;0,"; An invoice date is not in the month it is typed under",""),3,500))</f>
        <v/>
      </c>
      <c r="S582" s="12" t="n"/>
      <c r="T582" s="13" t="n"/>
      <c r="U582" s="14" t="n"/>
      <c r="V582" s="12" t="n"/>
      <c r="W582" s="13" t="n"/>
      <c r="X582" s="14" t="n"/>
      <c r="Y582" s="12" t="n"/>
      <c r="Z582" s="13" t="n"/>
      <c r="AA582" s="14" t="n"/>
      <c r="AB582" s="12" t="n"/>
      <c r="AC582" s="13" t="n"/>
      <c r="AD582" s="14" t="n"/>
      <c r="AE582" s="12" t="n"/>
      <c r="AF582" s="13" t="n"/>
      <c r="AG582" s="14" t="n"/>
      <c r="AH582" s="12" t="n"/>
      <c r="AI582" s="13" t="n"/>
      <c r="AJ582" s="14" t="n"/>
      <c r="AK582" s="12" t="n"/>
      <c r="AL582" s="13" t="n"/>
      <c r="AM582" s="14" t="n"/>
      <c r="AN582" s="12" t="n"/>
      <c r="AO582" s="13" t="n"/>
      <c r="AP582" s="14" t="n"/>
      <c r="AQ582" s="12" t="n"/>
      <c r="AR582" s="13" t="n"/>
      <c r="AS582" s="14" t="n"/>
      <c r="AT582" s="12" t="n"/>
      <c r="AU582" s="13" t="n"/>
      <c r="AV582" s="14" t="n"/>
      <c r="AW582" s="12" t="n"/>
      <c r="AX582" s="13" t="n"/>
      <c r="AY582" s="14" t="n"/>
      <c r="AZ582" s="12" t="n"/>
      <c r="BA582" s="13" t="n"/>
      <c r="BB582" s="14" t="n"/>
      <c r="BC582" s="11">
        <f>IF(O582="","",IF(J582="GST 10%",ROUND(O582*set_GSTRate,2),0))</f>
        <v/>
      </c>
      <c r="BD582" s="11">
        <f>IF(O582="","",O582+BC582)</f>
        <v/>
      </c>
      <c r="BE582" s="15">
        <f>IF(O582="","",COUNTA(S582,V582,Y582,AB582,AE582,AH582,AK582,AN582,AQ582,AT582,AW582,AZ582))</f>
        <v/>
      </c>
      <c r="BF582" s="16">
        <f>IF(COUNT(T582,W582,Z582,AC582,AF582,AI582,AL582,AO582,AR582,AU582,AX582,BA582)=0,"",MAX(T582,W582,Z582,AC582,AF582,AI582,AL582,AO582,AR582,AU582,AX582,BA582))</f>
        <v/>
      </c>
      <c r="BG582" s="10">
        <f>MID(IF(S582="","",", "&amp;S582)&amp;IF(V582="","",", "&amp;V582)&amp;IF(Y582="","",", "&amp;Y582)&amp;IF(AB582="","",", "&amp;AB582)&amp;IF(AE582="","",", "&amp;AE582)&amp;IF(AH582="","",", "&amp;AH582)&amp;IF(AK582="","",", "&amp;AK582)&amp;IF(AN582="","",", "&amp;AN582)&amp;IF(AQ582="","",", "&amp;AQ582)&amp;IF(AT582="","",", "&amp;AT582)&amp;IF(AW582="","",", "&amp;AW582)&amp;IF(AZ582="","",", "&amp;AZ582),3,500)</f>
        <v/>
      </c>
      <c r="BH582" s="12" t="n"/>
      <c r="BI582" s="15">
        <f>IFERROR(MATCH($A582,IF($B582="Onsite",tbl_Onsite[Row ID],IF($B582="Production",tbl_Production[Row ID],tbl_Consulting[Row ID])),0),"")</f>
        <v/>
      </c>
    </row>
    <row r="583">
      <c r="A583" s="10" t="inlineStr">
        <is>
          <t>PRD-0077</t>
        </is>
      </c>
      <c r="B583" s="10" t="inlineStr">
        <is>
          <t>Production</t>
        </is>
      </c>
      <c r="C583" s="10">
        <f>IF($BI583="","",IF($B583="Onsite",INDEX(tbl_Onsite[Job Number],$BI583),IF($B583="Production",INDEX(tbl_Production[Job Number],$BI583),INDEX(tbl_Consulting[Job Number],$BI583)))&amp;"")</f>
        <v/>
      </c>
      <c r="D583" s="10">
        <f>IF($BI583="","",IF($B583="Onsite",INDEX(tbl_Onsite[Client],$BI583),IF($B583="Production",INDEX(tbl_Production[Client],$BI583),INDEX(tbl_Consulting[Client],$BI583)))&amp;"")</f>
        <v/>
      </c>
      <c r="E583" s="10">
        <f>IF($C583="","",IF(COUNTIF(lst_Jobs,$C583)&gt;0,"OK","CHECK"))</f>
        <v/>
      </c>
      <c r="F583" s="10">
        <f>IF($C583="","",IFERROR(INDEX(lst_JobName,MATCH($C583,lst_Jobs,0)),""))</f>
        <v/>
      </c>
      <c r="G583" s="10">
        <f>IF($BI583="","",IF($B583="Onsite",INDEX(tbl_Onsite[Job Description],$BI583),IF($B583="Production",INDEX(tbl_Production[Job Description],$BI583),INDEX(tbl_Consulting[Job Description],$BI583)))&amp;"")</f>
        <v/>
      </c>
      <c r="H583" s="10">
        <f>IF($BI583="","",IF($B583="Onsite",INDEX(tbl_Onsite[Cost Centre],$BI583),IF($B583="Production",INDEX(tbl_Production[Cost Centre],$BI583),INDEX(tbl_Consulting[Cost Centre],$BI583)))&amp;"")</f>
        <v/>
      </c>
      <c r="I583" s="10">
        <f>IF($BI583="","",IF($B583="Onsite",INDEX(tbl_Onsite[Invoice Type],$BI583),IF($B583="Production",INDEX(tbl_Production[Invoice Type],$BI583),INDEX(tbl_Consulting[Invoice Type],$BI583)))&amp;"")</f>
        <v/>
      </c>
      <c r="J583" s="10">
        <f>IF($BI583="","",IF($B583="Onsite",INDEX(tbl_Onsite[Tax Code],$BI583),IF($B583="Production",INDEX(tbl_Production[Tax Code],$BI583),INDEX(tbl_Consulting[Tax Code],$BI583)))&amp;"")</f>
        <v/>
      </c>
      <c r="K583" s="10">
        <f>IF(H583="","",IFERROR(INDEX(lst_CCtoGL,MATCH(H583,lst_CCforGL,0)),""))</f>
        <v/>
      </c>
      <c r="L583" s="10">
        <f>IF($BI583="","",IF($B583="Onsite",INDEX(tbl_Onsite[PO / Reference],$BI583),IF($B583="Production",INDEX(tbl_Production[Current RMS No],$BI583),INDEX(tbl_Consulting[Qwilr Quote],$BI583)))&amp;"")</f>
        <v/>
      </c>
      <c r="M583" s="10">
        <f>IF($BI583="","",IF($B583="Onsite",INDEX(tbl_Onsite[Notes],$BI583),IF($B583="Production",INDEX(tbl_Production[Notes],$BI583),INDEX(tbl_Consulting[Notes],$BI583)))&amp;"")</f>
        <v/>
      </c>
      <c r="N583" s="11">
        <f>IF($BI583="","",IF(IF($B583="Onsite",INDEX(tbl_Onsite[Expected Revenue Ex GST],$BI583),IF($B583="Production",INDEX(tbl_Production[Expected Revenue Ex GST],$BI583),INDEX(tbl_Consulting[Expected Revenue Ex GST],$BI583)))="","",IF($B583="Onsite",INDEX(tbl_Onsite[Expected Revenue Ex GST],$BI583),IF($B583="Production",INDEX(tbl_Production[Expected Revenue Ex GST],$BI583),INDEX(tbl_Consulting[Expected Revenue Ex GST],$BI583)))))</f>
        <v/>
      </c>
      <c r="O583" s="11">
        <f>IF(AND($C583="",NOT(COUNTA($S583:$BB583)&gt;0)),"",SUM(U583,X583,AA583,AD583,AG583,AJ583,AM583,AP583,AS583,AV583,AY583,BB583))</f>
        <v/>
      </c>
      <c r="P583" s="11">
        <f>IF(O583="","",N(N583)-O583)</f>
        <v/>
      </c>
      <c r="Q583" s="10">
        <f>IF(O583="","",IF($C583="","Invoice on empty job row",IF(N583="",IF(ROUND(O583,2)=0,"No dept value","Invoiced - no dept value"),IF(ROUND(O583,2)=0,"Not invoiced - to invoice",IF(ROUND(P583,2)=0,"Agrees",IF(P583&gt;0,"Dept higher - to invoice","Xero higher - check dept"))))))</f>
        <v/>
      </c>
      <c r="R583" s="10">
        <f>IF(AND($C583="",NOT(COUNTA($S583:$BB583)&gt;0),$BI583&lt;&gt;""),"",MID(IF($BI583="","; Row ID not found on the department sheet - a row was deleted","")&amp;IF(AND($C583="",COUNTA($S583:$BB583)&gt;0),"; Invoice entered but the department row has no job number","")&amp;IF(E583="CHECK","; Job number not in the Xero job list","")&amp;IF(AND($C583&lt;&gt;"",COUNTIF($C$7:$C$1506,$C583)&gt;1),"; Job number on more than one row","")&amp;IF(AND($C583&lt;&gt;"",H583=""),"; Dept has not set a cost centre","")&amp;IF(AND($C583&lt;&gt;"",J583=""),"; Dept has not set a tax code","")&amp;IF(AND($C583&lt;&gt;"",N583=""),"; Dept has not entered an expected value","")&amp;IF((IF(OR(COUNTA(S583:U583)=0,AND(COUNTA(S583:U583)=3,ISNUMBER(U583))),0,1)+IF(OR(COUNTA(V583:X583)=0,AND(COUNTA(V583:X583)=3,ISNUMBER(X583))),0,1)+IF(OR(COUNTA(Y583:AA583)=0,AND(COUNTA(Y583:AA583)=3,ISNUMBER(AA583))),0,1)+IF(OR(COUNTA(AB583:AD583)=0,AND(COUNTA(AB583:AD583)=3,ISNUMBER(AD583))),0,1)+IF(OR(COUNTA(AE583:AG583)=0,AND(COUNTA(AE583:AG583)=3,ISNUMBER(AG583))),0,1)+IF(OR(COUNTA(AH583:AJ583)=0,AND(COUNTA(AH583:AJ583)=3,ISNUMBER(AJ583))),0,1)+IF(OR(COUNTA(AK583:AM583)=0,AND(COUNTA(AK583:AM583)=3,ISNUMBER(AM583))),0,1)+IF(OR(COUNTA(AN583:AP583)=0,AND(COUNTA(AN583:AP583)=3,ISNUMBER(AP583))),0,1)+IF(OR(COUNTA(AQ583:AS583)=0,AND(COUNTA(AQ583:AS583)=3,ISNUMBER(AS583))),0,1)+IF(OR(COUNTA(AT583:AV583)=0,AND(COUNTA(AT583:AV583)=3,ISNUMBER(AV583))),0,1)+IF(OR(COUNTA(AW583:AY583)=0,AND(COUNTA(AW583:AY583)=3,ISNUMBER(AY583))),0,1)+IF(OR(COUNTA(AZ583:BB583)=0,AND(COUNTA(AZ583:BB583)=3,ISNUMBER(BB583))),0,1))&gt;0,"; An invoice is incomplete (needs No, Date and a number in Ex GST)","")&amp;IF((IF(T583="",0,IFERROR(--(EOMONTH(T583,0)&lt;&gt;S$5),1))+IF(W583="",0,IFERROR(--(EOMONTH(W583,0)&lt;&gt;V$5),1))+IF(Z583="",0,IFERROR(--(EOMONTH(Z583,0)&lt;&gt;Y$5),1))+IF(AC583="",0,IFERROR(--(EOMONTH(AC583,0)&lt;&gt;AB$5),1))+IF(AF583="",0,IFERROR(--(EOMONTH(AF583,0)&lt;&gt;AE$5),1))+IF(AI583="",0,IFERROR(--(EOMONTH(AI583,0)&lt;&gt;AH$5),1))+IF(AL583="",0,IFERROR(--(EOMONTH(AL583,0)&lt;&gt;AK$5),1))+IF(AO583="",0,IFERROR(--(EOMONTH(AO583,0)&lt;&gt;AN$5),1))+IF(AR583="",0,IFERROR(--(EOMONTH(AR583,0)&lt;&gt;AQ$5),1))+IF(AU583="",0,IFERROR(--(EOMONTH(AU583,0)&lt;&gt;AT$5),1))+IF(AX583="",0,IFERROR(--(EOMONTH(AX583,0)&lt;&gt;AW$5),1))+IF(BA583="",0,IFERROR(--(EOMONTH(BA583,0)&lt;&gt;AZ$5),1)))&gt;0,"; An invoice date is not in the month it is typed under",""),3,500))</f>
        <v/>
      </c>
      <c r="S583" s="12" t="n"/>
      <c r="T583" s="13" t="n"/>
      <c r="U583" s="14" t="n"/>
      <c r="V583" s="12" t="n"/>
      <c r="W583" s="13" t="n"/>
      <c r="X583" s="14" t="n"/>
      <c r="Y583" s="12" t="n"/>
      <c r="Z583" s="13" t="n"/>
      <c r="AA583" s="14" t="n"/>
      <c r="AB583" s="12" t="n"/>
      <c r="AC583" s="13" t="n"/>
      <c r="AD583" s="14" t="n"/>
      <c r="AE583" s="12" t="n"/>
      <c r="AF583" s="13" t="n"/>
      <c r="AG583" s="14" t="n"/>
      <c r="AH583" s="12" t="n"/>
      <c r="AI583" s="13" t="n"/>
      <c r="AJ583" s="14" t="n"/>
      <c r="AK583" s="12" t="n"/>
      <c r="AL583" s="13" t="n"/>
      <c r="AM583" s="14" t="n"/>
      <c r="AN583" s="12" t="n"/>
      <c r="AO583" s="13" t="n"/>
      <c r="AP583" s="14" t="n"/>
      <c r="AQ583" s="12" t="n"/>
      <c r="AR583" s="13" t="n"/>
      <c r="AS583" s="14" t="n"/>
      <c r="AT583" s="12" t="n"/>
      <c r="AU583" s="13" t="n"/>
      <c r="AV583" s="14" t="n"/>
      <c r="AW583" s="12" t="n"/>
      <c r="AX583" s="13" t="n"/>
      <c r="AY583" s="14" t="n"/>
      <c r="AZ583" s="12" t="n"/>
      <c r="BA583" s="13" t="n"/>
      <c r="BB583" s="14" t="n"/>
      <c r="BC583" s="11">
        <f>IF(O583="","",IF(J583="GST 10%",ROUND(O583*set_GSTRate,2),0))</f>
        <v/>
      </c>
      <c r="BD583" s="11">
        <f>IF(O583="","",O583+BC583)</f>
        <v/>
      </c>
      <c r="BE583" s="15">
        <f>IF(O583="","",COUNTA(S583,V583,Y583,AB583,AE583,AH583,AK583,AN583,AQ583,AT583,AW583,AZ583))</f>
        <v/>
      </c>
      <c r="BF583" s="16">
        <f>IF(COUNT(T583,W583,Z583,AC583,AF583,AI583,AL583,AO583,AR583,AU583,AX583,BA583)=0,"",MAX(T583,W583,Z583,AC583,AF583,AI583,AL583,AO583,AR583,AU583,AX583,BA583))</f>
        <v/>
      </c>
      <c r="BG583" s="10">
        <f>MID(IF(S583="","",", "&amp;S583)&amp;IF(V583="","",", "&amp;V583)&amp;IF(Y583="","",", "&amp;Y583)&amp;IF(AB583="","",", "&amp;AB583)&amp;IF(AE583="","",", "&amp;AE583)&amp;IF(AH583="","",", "&amp;AH583)&amp;IF(AK583="","",", "&amp;AK583)&amp;IF(AN583="","",", "&amp;AN583)&amp;IF(AQ583="","",", "&amp;AQ583)&amp;IF(AT583="","",", "&amp;AT583)&amp;IF(AW583="","",", "&amp;AW583)&amp;IF(AZ583="","",", "&amp;AZ583),3,500)</f>
        <v/>
      </c>
      <c r="BH583" s="12" t="n"/>
      <c r="BI583" s="15">
        <f>IFERROR(MATCH($A583,IF($B583="Onsite",tbl_Onsite[Row ID],IF($B583="Production",tbl_Production[Row ID],tbl_Consulting[Row ID])),0),"")</f>
        <v/>
      </c>
    </row>
    <row r="584">
      <c r="A584" s="10" t="inlineStr">
        <is>
          <t>PRD-0078</t>
        </is>
      </c>
      <c r="B584" s="10" t="inlineStr">
        <is>
          <t>Production</t>
        </is>
      </c>
      <c r="C584" s="10">
        <f>IF($BI584="","",IF($B584="Onsite",INDEX(tbl_Onsite[Job Number],$BI584),IF($B584="Production",INDEX(tbl_Production[Job Number],$BI584),INDEX(tbl_Consulting[Job Number],$BI584)))&amp;"")</f>
        <v/>
      </c>
      <c r="D584" s="10">
        <f>IF($BI584="","",IF($B584="Onsite",INDEX(tbl_Onsite[Client],$BI584),IF($B584="Production",INDEX(tbl_Production[Client],$BI584),INDEX(tbl_Consulting[Client],$BI584)))&amp;"")</f>
        <v/>
      </c>
      <c r="E584" s="10">
        <f>IF($C584="","",IF(COUNTIF(lst_Jobs,$C584)&gt;0,"OK","CHECK"))</f>
        <v/>
      </c>
      <c r="F584" s="10">
        <f>IF($C584="","",IFERROR(INDEX(lst_JobName,MATCH($C584,lst_Jobs,0)),""))</f>
        <v/>
      </c>
      <c r="G584" s="10">
        <f>IF($BI584="","",IF($B584="Onsite",INDEX(tbl_Onsite[Job Description],$BI584),IF($B584="Production",INDEX(tbl_Production[Job Description],$BI584),INDEX(tbl_Consulting[Job Description],$BI584)))&amp;"")</f>
        <v/>
      </c>
      <c r="H584" s="10">
        <f>IF($BI584="","",IF($B584="Onsite",INDEX(tbl_Onsite[Cost Centre],$BI584),IF($B584="Production",INDEX(tbl_Production[Cost Centre],$BI584),INDEX(tbl_Consulting[Cost Centre],$BI584)))&amp;"")</f>
        <v/>
      </c>
      <c r="I584" s="10">
        <f>IF($BI584="","",IF($B584="Onsite",INDEX(tbl_Onsite[Invoice Type],$BI584),IF($B584="Production",INDEX(tbl_Production[Invoice Type],$BI584),INDEX(tbl_Consulting[Invoice Type],$BI584)))&amp;"")</f>
        <v/>
      </c>
      <c r="J584" s="10">
        <f>IF($BI584="","",IF($B584="Onsite",INDEX(tbl_Onsite[Tax Code],$BI584),IF($B584="Production",INDEX(tbl_Production[Tax Code],$BI584),INDEX(tbl_Consulting[Tax Code],$BI584)))&amp;"")</f>
        <v/>
      </c>
      <c r="K584" s="10">
        <f>IF(H584="","",IFERROR(INDEX(lst_CCtoGL,MATCH(H584,lst_CCforGL,0)),""))</f>
        <v/>
      </c>
      <c r="L584" s="10">
        <f>IF($BI584="","",IF($B584="Onsite",INDEX(tbl_Onsite[PO / Reference],$BI584),IF($B584="Production",INDEX(tbl_Production[Current RMS No],$BI584),INDEX(tbl_Consulting[Qwilr Quote],$BI584)))&amp;"")</f>
        <v/>
      </c>
      <c r="M584" s="10">
        <f>IF($BI584="","",IF($B584="Onsite",INDEX(tbl_Onsite[Notes],$BI584),IF($B584="Production",INDEX(tbl_Production[Notes],$BI584),INDEX(tbl_Consulting[Notes],$BI584)))&amp;"")</f>
        <v/>
      </c>
      <c r="N584" s="11">
        <f>IF($BI584="","",IF(IF($B584="Onsite",INDEX(tbl_Onsite[Expected Revenue Ex GST],$BI584),IF($B584="Production",INDEX(tbl_Production[Expected Revenue Ex GST],$BI584),INDEX(tbl_Consulting[Expected Revenue Ex GST],$BI584)))="","",IF($B584="Onsite",INDEX(tbl_Onsite[Expected Revenue Ex GST],$BI584),IF($B584="Production",INDEX(tbl_Production[Expected Revenue Ex GST],$BI584),INDEX(tbl_Consulting[Expected Revenue Ex GST],$BI584)))))</f>
        <v/>
      </c>
      <c r="O584" s="11">
        <f>IF(AND($C584="",NOT(COUNTA($S584:$BB584)&gt;0)),"",SUM(U584,X584,AA584,AD584,AG584,AJ584,AM584,AP584,AS584,AV584,AY584,BB584))</f>
        <v/>
      </c>
      <c r="P584" s="11">
        <f>IF(O584="","",N(N584)-O584)</f>
        <v/>
      </c>
      <c r="Q584" s="10">
        <f>IF(O584="","",IF($C584="","Invoice on empty job row",IF(N584="",IF(ROUND(O584,2)=0,"No dept value","Invoiced - no dept value"),IF(ROUND(O584,2)=0,"Not invoiced - to invoice",IF(ROUND(P584,2)=0,"Agrees",IF(P584&gt;0,"Dept higher - to invoice","Xero higher - check dept"))))))</f>
        <v/>
      </c>
      <c r="R584" s="10">
        <f>IF(AND($C584="",NOT(COUNTA($S584:$BB584)&gt;0),$BI584&lt;&gt;""),"",MID(IF($BI584="","; Row ID not found on the department sheet - a row was deleted","")&amp;IF(AND($C584="",COUNTA($S584:$BB584)&gt;0),"; Invoice entered but the department row has no job number","")&amp;IF(E584="CHECK","; Job number not in the Xero job list","")&amp;IF(AND($C584&lt;&gt;"",COUNTIF($C$7:$C$1506,$C584)&gt;1),"; Job number on more than one row","")&amp;IF(AND($C584&lt;&gt;"",H584=""),"; Dept has not set a cost centre","")&amp;IF(AND($C584&lt;&gt;"",J584=""),"; Dept has not set a tax code","")&amp;IF(AND($C584&lt;&gt;"",N584=""),"; Dept has not entered an expected value","")&amp;IF((IF(OR(COUNTA(S584:U584)=0,AND(COUNTA(S584:U584)=3,ISNUMBER(U584))),0,1)+IF(OR(COUNTA(V584:X584)=0,AND(COUNTA(V584:X584)=3,ISNUMBER(X584))),0,1)+IF(OR(COUNTA(Y584:AA584)=0,AND(COUNTA(Y584:AA584)=3,ISNUMBER(AA584))),0,1)+IF(OR(COUNTA(AB584:AD584)=0,AND(COUNTA(AB584:AD584)=3,ISNUMBER(AD584))),0,1)+IF(OR(COUNTA(AE584:AG584)=0,AND(COUNTA(AE584:AG584)=3,ISNUMBER(AG584))),0,1)+IF(OR(COUNTA(AH584:AJ584)=0,AND(COUNTA(AH584:AJ584)=3,ISNUMBER(AJ584))),0,1)+IF(OR(COUNTA(AK584:AM584)=0,AND(COUNTA(AK584:AM584)=3,ISNUMBER(AM584))),0,1)+IF(OR(COUNTA(AN584:AP584)=0,AND(COUNTA(AN584:AP584)=3,ISNUMBER(AP584))),0,1)+IF(OR(COUNTA(AQ584:AS584)=0,AND(COUNTA(AQ584:AS584)=3,ISNUMBER(AS584))),0,1)+IF(OR(COUNTA(AT584:AV584)=0,AND(COUNTA(AT584:AV584)=3,ISNUMBER(AV584))),0,1)+IF(OR(COUNTA(AW584:AY584)=0,AND(COUNTA(AW584:AY584)=3,ISNUMBER(AY584))),0,1)+IF(OR(COUNTA(AZ584:BB584)=0,AND(COUNTA(AZ584:BB584)=3,ISNUMBER(BB584))),0,1))&gt;0,"; An invoice is incomplete (needs No, Date and a number in Ex GST)","")&amp;IF((IF(T584="",0,IFERROR(--(EOMONTH(T584,0)&lt;&gt;S$5),1))+IF(W584="",0,IFERROR(--(EOMONTH(W584,0)&lt;&gt;V$5),1))+IF(Z584="",0,IFERROR(--(EOMONTH(Z584,0)&lt;&gt;Y$5),1))+IF(AC584="",0,IFERROR(--(EOMONTH(AC584,0)&lt;&gt;AB$5),1))+IF(AF584="",0,IFERROR(--(EOMONTH(AF584,0)&lt;&gt;AE$5),1))+IF(AI584="",0,IFERROR(--(EOMONTH(AI584,0)&lt;&gt;AH$5),1))+IF(AL584="",0,IFERROR(--(EOMONTH(AL584,0)&lt;&gt;AK$5),1))+IF(AO584="",0,IFERROR(--(EOMONTH(AO584,0)&lt;&gt;AN$5),1))+IF(AR584="",0,IFERROR(--(EOMONTH(AR584,0)&lt;&gt;AQ$5),1))+IF(AU584="",0,IFERROR(--(EOMONTH(AU584,0)&lt;&gt;AT$5),1))+IF(AX584="",0,IFERROR(--(EOMONTH(AX584,0)&lt;&gt;AW$5),1))+IF(BA584="",0,IFERROR(--(EOMONTH(BA584,0)&lt;&gt;AZ$5),1)))&gt;0,"; An invoice date is not in the month it is typed under",""),3,500))</f>
        <v/>
      </c>
      <c r="S584" s="12" t="n"/>
      <c r="T584" s="13" t="n"/>
      <c r="U584" s="14" t="n"/>
      <c r="V584" s="12" t="n"/>
      <c r="W584" s="13" t="n"/>
      <c r="X584" s="14" t="n"/>
      <c r="Y584" s="12" t="n"/>
      <c r="Z584" s="13" t="n"/>
      <c r="AA584" s="14" t="n"/>
      <c r="AB584" s="12" t="n"/>
      <c r="AC584" s="13" t="n"/>
      <c r="AD584" s="14" t="n"/>
      <c r="AE584" s="12" t="n"/>
      <c r="AF584" s="13" t="n"/>
      <c r="AG584" s="14" t="n"/>
      <c r="AH584" s="12" t="n"/>
      <c r="AI584" s="13" t="n"/>
      <c r="AJ584" s="14" t="n"/>
      <c r="AK584" s="12" t="n"/>
      <c r="AL584" s="13" t="n"/>
      <c r="AM584" s="14" t="n"/>
      <c r="AN584" s="12" t="n"/>
      <c r="AO584" s="13" t="n"/>
      <c r="AP584" s="14" t="n"/>
      <c r="AQ584" s="12" t="n"/>
      <c r="AR584" s="13" t="n"/>
      <c r="AS584" s="14" t="n"/>
      <c r="AT584" s="12" t="n"/>
      <c r="AU584" s="13" t="n"/>
      <c r="AV584" s="14" t="n"/>
      <c r="AW584" s="12" t="n"/>
      <c r="AX584" s="13" t="n"/>
      <c r="AY584" s="14" t="n"/>
      <c r="AZ584" s="12" t="n"/>
      <c r="BA584" s="13" t="n"/>
      <c r="BB584" s="14" t="n"/>
      <c r="BC584" s="11">
        <f>IF(O584="","",IF(J584="GST 10%",ROUND(O584*set_GSTRate,2),0))</f>
        <v/>
      </c>
      <c r="BD584" s="11">
        <f>IF(O584="","",O584+BC584)</f>
        <v/>
      </c>
      <c r="BE584" s="15">
        <f>IF(O584="","",COUNTA(S584,V584,Y584,AB584,AE584,AH584,AK584,AN584,AQ584,AT584,AW584,AZ584))</f>
        <v/>
      </c>
      <c r="BF584" s="16">
        <f>IF(COUNT(T584,W584,Z584,AC584,AF584,AI584,AL584,AO584,AR584,AU584,AX584,BA584)=0,"",MAX(T584,W584,Z584,AC584,AF584,AI584,AL584,AO584,AR584,AU584,AX584,BA584))</f>
        <v/>
      </c>
      <c r="BG584" s="10">
        <f>MID(IF(S584="","",", "&amp;S584)&amp;IF(V584="","",", "&amp;V584)&amp;IF(Y584="","",", "&amp;Y584)&amp;IF(AB584="","",", "&amp;AB584)&amp;IF(AE584="","",", "&amp;AE584)&amp;IF(AH584="","",", "&amp;AH584)&amp;IF(AK584="","",", "&amp;AK584)&amp;IF(AN584="","",", "&amp;AN584)&amp;IF(AQ584="","",", "&amp;AQ584)&amp;IF(AT584="","",", "&amp;AT584)&amp;IF(AW584="","",", "&amp;AW584)&amp;IF(AZ584="","",", "&amp;AZ584),3,500)</f>
        <v/>
      </c>
      <c r="BH584" s="12" t="n"/>
      <c r="BI584" s="15">
        <f>IFERROR(MATCH($A584,IF($B584="Onsite",tbl_Onsite[Row ID],IF($B584="Production",tbl_Production[Row ID],tbl_Consulting[Row ID])),0),"")</f>
        <v/>
      </c>
    </row>
    <row r="585">
      <c r="A585" s="10" t="inlineStr">
        <is>
          <t>PRD-0079</t>
        </is>
      </c>
      <c r="B585" s="10" t="inlineStr">
        <is>
          <t>Production</t>
        </is>
      </c>
      <c r="C585" s="10">
        <f>IF($BI585="","",IF($B585="Onsite",INDEX(tbl_Onsite[Job Number],$BI585),IF($B585="Production",INDEX(tbl_Production[Job Number],$BI585),INDEX(tbl_Consulting[Job Number],$BI585)))&amp;"")</f>
        <v/>
      </c>
      <c r="D585" s="10">
        <f>IF($BI585="","",IF($B585="Onsite",INDEX(tbl_Onsite[Client],$BI585),IF($B585="Production",INDEX(tbl_Production[Client],$BI585),INDEX(tbl_Consulting[Client],$BI585)))&amp;"")</f>
        <v/>
      </c>
      <c r="E585" s="10">
        <f>IF($C585="","",IF(COUNTIF(lst_Jobs,$C585)&gt;0,"OK","CHECK"))</f>
        <v/>
      </c>
      <c r="F585" s="10">
        <f>IF($C585="","",IFERROR(INDEX(lst_JobName,MATCH($C585,lst_Jobs,0)),""))</f>
        <v/>
      </c>
      <c r="G585" s="10">
        <f>IF($BI585="","",IF($B585="Onsite",INDEX(tbl_Onsite[Job Description],$BI585),IF($B585="Production",INDEX(tbl_Production[Job Description],$BI585),INDEX(tbl_Consulting[Job Description],$BI585)))&amp;"")</f>
        <v/>
      </c>
      <c r="H585" s="10">
        <f>IF($BI585="","",IF($B585="Onsite",INDEX(tbl_Onsite[Cost Centre],$BI585),IF($B585="Production",INDEX(tbl_Production[Cost Centre],$BI585),INDEX(tbl_Consulting[Cost Centre],$BI585)))&amp;"")</f>
        <v/>
      </c>
      <c r="I585" s="10">
        <f>IF($BI585="","",IF($B585="Onsite",INDEX(tbl_Onsite[Invoice Type],$BI585),IF($B585="Production",INDEX(tbl_Production[Invoice Type],$BI585),INDEX(tbl_Consulting[Invoice Type],$BI585)))&amp;"")</f>
        <v/>
      </c>
      <c r="J585" s="10">
        <f>IF($BI585="","",IF($B585="Onsite",INDEX(tbl_Onsite[Tax Code],$BI585),IF($B585="Production",INDEX(tbl_Production[Tax Code],$BI585),INDEX(tbl_Consulting[Tax Code],$BI585)))&amp;"")</f>
        <v/>
      </c>
      <c r="K585" s="10">
        <f>IF(H585="","",IFERROR(INDEX(lst_CCtoGL,MATCH(H585,lst_CCforGL,0)),""))</f>
        <v/>
      </c>
      <c r="L585" s="10">
        <f>IF($BI585="","",IF($B585="Onsite",INDEX(tbl_Onsite[PO / Reference],$BI585),IF($B585="Production",INDEX(tbl_Production[Current RMS No],$BI585),INDEX(tbl_Consulting[Qwilr Quote],$BI585)))&amp;"")</f>
        <v/>
      </c>
      <c r="M585" s="10">
        <f>IF($BI585="","",IF($B585="Onsite",INDEX(tbl_Onsite[Notes],$BI585),IF($B585="Production",INDEX(tbl_Production[Notes],$BI585),INDEX(tbl_Consulting[Notes],$BI585)))&amp;"")</f>
        <v/>
      </c>
      <c r="N585" s="11">
        <f>IF($BI585="","",IF(IF($B585="Onsite",INDEX(tbl_Onsite[Expected Revenue Ex GST],$BI585),IF($B585="Production",INDEX(tbl_Production[Expected Revenue Ex GST],$BI585),INDEX(tbl_Consulting[Expected Revenue Ex GST],$BI585)))="","",IF($B585="Onsite",INDEX(tbl_Onsite[Expected Revenue Ex GST],$BI585),IF($B585="Production",INDEX(tbl_Production[Expected Revenue Ex GST],$BI585),INDEX(tbl_Consulting[Expected Revenue Ex GST],$BI585)))))</f>
        <v/>
      </c>
      <c r="O585" s="11">
        <f>IF(AND($C585="",NOT(COUNTA($S585:$BB585)&gt;0)),"",SUM(U585,X585,AA585,AD585,AG585,AJ585,AM585,AP585,AS585,AV585,AY585,BB585))</f>
        <v/>
      </c>
      <c r="P585" s="11">
        <f>IF(O585="","",N(N585)-O585)</f>
        <v/>
      </c>
      <c r="Q585" s="10">
        <f>IF(O585="","",IF($C585="","Invoice on empty job row",IF(N585="",IF(ROUND(O585,2)=0,"No dept value","Invoiced - no dept value"),IF(ROUND(O585,2)=0,"Not invoiced - to invoice",IF(ROUND(P585,2)=0,"Agrees",IF(P585&gt;0,"Dept higher - to invoice","Xero higher - check dept"))))))</f>
        <v/>
      </c>
      <c r="R585" s="10">
        <f>IF(AND($C585="",NOT(COUNTA($S585:$BB585)&gt;0),$BI585&lt;&gt;""),"",MID(IF($BI585="","; Row ID not found on the department sheet - a row was deleted","")&amp;IF(AND($C585="",COUNTA($S585:$BB585)&gt;0),"; Invoice entered but the department row has no job number","")&amp;IF(E585="CHECK","; Job number not in the Xero job list","")&amp;IF(AND($C585&lt;&gt;"",COUNTIF($C$7:$C$1506,$C585)&gt;1),"; Job number on more than one row","")&amp;IF(AND($C585&lt;&gt;"",H585=""),"; Dept has not set a cost centre","")&amp;IF(AND($C585&lt;&gt;"",J585=""),"; Dept has not set a tax code","")&amp;IF(AND($C585&lt;&gt;"",N585=""),"; Dept has not entered an expected value","")&amp;IF((IF(OR(COUNTA(S585:U585)=0,AND(COUNTA(S585:U585)=3,ISNUMBER(U585))),0,1)+IF(OR(COUNTA(V585:X585)=0,AND(COUNTA(V585:X585)=3,ISNUMBER(X585))),0,1)+IF(OR(COUNTA(Y585:AA585)=0,AND(COUNTA(Y585:AA585)=3,ISNUMBER(AA585))),0,1)+IF(OR(COUNTA(AB585:AD585)=0,AND(COUNTA(AB585:AD585)=3,ISNUMBER(AD585))),0,1)+IF(OR(COUNTA(AE585:AG585)=0,AND(COUNTA(AE585:AG585)=3,ISNUMBER(AG585))),0,1)+IF(OR(COUNTA(AH585:AJ585)=0,AND(COUNTA(AH585:AJ585)=3,ISNUMBER(AJ585))),0,1)+IF(OR(COUNTA(AK585:AM585)=0,AND(COUNTA(AK585:AM585)=3,ISNUMBER(AM585))),0,1)+IF(OR(COUNTA(AN585:AP585)=0,AND(COUNTA(AN585:AP585)=3,ISNUMBER(AP585))),0,1)+IF(OR(COUNTA(AQ585:AS585)=0,AND(COUNTA(AQ585:AS585)=3,ISNUMBER(AS585))),0,1)+IF(OR(COUNTA(AT585:AV585)=0,AND(COUNTA(AT585:AV585)=3,ISNUMBER(AV585))),0,1)+IF(OR(COUNTA(AW585:AY585)=0,AND(COUNTA(AW585:AY585)=3,ISNUMBER(AY585))),0,1)+IF(OR(COUNTA(AZ585:BB585)=0,AND(COUNTA(AZ585:BB585)=3,ISNUMBER(BB585))),0,1))&gt;0,"; An invoice is incomplete (needs No, Date and a number in Ex GST)","")&amp;IF((IF(T585="",0,IFERROR(--(EOMONTH(T585,0)&lt;&gt;S$5),1))+IF(W585="",0,IFERROR(--(EOMONTH(W585,0)&lt;&gt;V$5),1))+IF(Z585="",0,IFERROR(--(EOMONTH(Z585,0)&lt;&gt;Y$5),1))+IF(AC585="",0,IFERROR(--(EOMONTH(AC585,0)&lt;&gt;AB$5),1))+IF(AF585="",0,IFERROR(--(EOMONTH(AF585,0)&lt;&gt;AE$5),1))+IF(AI585="",0,IFERROR(--(EOMONTH(AI585,0)&lt;&gt;AH$5),1))+IF(AL585="",0,IFERROR(--(EOMONTH(AL585,0)&lt;&gt;AK$5),1))+IF(AO585="",0,IFERROR(--(EOMONTH(AO585,0)&lt;&gt;AN$5),1))+IF(AR585="",0,IFERROR(--(EOMONTH(AR585,0)&lt;&gt;AQ$5),1))+IF(AU585="",0,IFERROR(--(EOMONTH(AU585,0)&lt;&gt;AT$5),1))+IF(AX585="",0,IFERROR(--(EOMONTH(AX585,0)&lt;&gt;AW$5),1))+IF(BA585="",0,IFERROR(--(EOMONTH(BA585,0)&lt;&gt;AZ$5),1)))&gt;0,"; An invoice date is not in the month it is typed under",""),3,500))</f>
        <v/>
      </c>
      <c r="S585" s="12" t="n"/>
      <c r="T585" s="13" t="n"/>
      <c r="U585" s="14" t="n"/>
      <c r="V585" s="12" t="n"/>
      <c r="W585" s="13" t="n"/>
      <c r="X585" s="14" t="n"/>
      <c r="Y585" s="12" t="n"/>
      <c r="Z585" s="13" t="n"/>
      <c r="AA585" s="14" t="n"/>
      <c r="AB585" s="12" t="n"/>
      <c r="AC585" s="13" t="n"/>
      <c r="AD585" s="14" t="n"/>
      <c r="AE585" s="12" t="n"/>
      <c r="AF585" s="13" t="n"/>
      <c r="AG585" s="14" t="n"/>
      <c r="AH585" s="12" t="n"/>
      <c r="AI585" s="13" t="n"/>
      <c r="AJ585" s="14" t="n"/>
      <c r="AK585" s="12" t="n"/>
      <c r="AL585" s="13" t="n"/>
      <c r="AM585" s="14" t="n"/>
      <c r="AN585" s="12" t="n"/>
      <c r="AO585" s="13" t="n"/>
      <c r="AP585" s="14" t="n"/>
      <c r="AQ585" s="12" t="n"/>
      <c r="AR585" s="13" t="n"/>
      <c r="AS585" s="14" t="n"/>
      <c r="AT585" s="12" t="n"/>
      <c r="AU585" s="13" t="n"/>
      <c r="AV585" s="14" t="n"/>
      <c r="AW585" s="12" t="n"/>
      <c r="AX585" s="13" t="n"/>
      <c r="AY585" s="14" t="n"/>
      <c r="AZ585" s="12" t="n"/>
      <c r="BA585" s="13" t="n"/>
      <c r="BB585" s="14" t="n"/>
      <c r="BC585" s="11">
        <f>IF(O585="","",IF(J585="GST 10%",ROUND(O585*set_GSTRate,2),0))</f>
        <v/>
      </c>
      <c r="BD585" s="11">
        <f>IF(O585="","",O585+BC585)</f>
        <v/>
      </c>
      <c r="BE585" s="15">
        <f>IF(O585="","",COUNTA(S585,V585,Y585,AB585,AE585,AH585,AK585,AN585,AQ585,AT585,AW585,AZ585))</f>
        <v/>
      </c>
      <c r="BF585" s="16">
        <f>IF(COUNT(T585,W585,Z585,AC585,AF585,AI585,AL585,AO585,AR585,AU585,AX585,BA585)=0,"",MAX(T585,W585,Z585,AC585,AF585,AI585,AL585,AO585,AR585,AU585,AX585,BA585))</f>
        <v/>
      </c>
      <c r="BG585" s="10">
        <f>MID(IF(S585="","",", "&amp;S585)&amp;IF(V585="","",", "&amp;V585)&amp;IF(Y585="","",", "&amp;Y585)&amp;IF(AB585="","",", "&amp;AB585)&amp;IF(AE585="","",", "&amp;AE585)&amp;IF(AH585="","",", "&amp;AH585)&amp;IF(AK585="","",", "&amp;AK585)&amp;IF(AN585="","",", "&amp;AN585)&amp;IF(AQ585="","",", "&amp;AQ585)&amp;IF(AT585="","",", "&amp;AT585)&amp;IF(AW585="","",", "&amp;AW585)&amp;IF(AZ585="","",", "&amp;AZ585),3,500)</f>
        <v/>
      </c>
      <c r="BH585" s="12" t="n"/>
      <c r="BI585" s="15">
        <f>IFERROR(MATCH($A585,IF($B585="Onsite",tbl_Onsite[Row ID],IF($B585="Production",tbl_Production[Row ID],tbl_Consulting[Row ID])),0),"")</f>
        <v/>
      </c>
    </row>
    <row r="586">
      <c r="A586" s="10" t="inlineStr">
        <is>
          <t>PRD-0080</t>
        </is>
      </c>
      <c r="B586" s="10" t="inlineStr">
        <is>
          <t>Production</t>
        </is>
      </c>
      <c r="C586" s="10">
        <f>IF($BI586="","",IF($B586="Onsite",INDEX(tbl_Onsite[Job Number],$BI586),IF($B586="Production",INDEX(tbl_Production[Job Number],$BI586),INDEX(tbl_Consulting[Job Number],$BI586)))&amp;"")</f>
        <v/>
      </c>
      <c r="D586" s="10">
        <f>IF($BI586="","",IF($B586="Onsite",INDEX(tbl_Onsite[Client],$BI586),IF($B586="Production",INDEX(tbl_Production[Client],$BI586),INDEX(tbl_Consulting[Client],$BI586)))&amp;"")</f>
        <v/>
      </c>
      <c r="E586" s="10">
        <f>IF($C586="","",IF(COUNTIF(lst_Jobs,$C586)&gt;0,"OK","CHECK"))</f>
        <v/>
      </c>
      <c r="F586" s="10">
        <f>IF($C586="","",IFERROR(INDEX(lst_JobName,MATCH($C586,lst_Jobs,0)),""))</f>
        <v/>
      </c>
      <c r="G586" s="10">
        <f>IF($BI586="","",IF($B586="Onsite",INDEX(tbl_Onsite[Job Description],$BI586),IF($B586="Production",INDEX(tbl_Production[Job Description],$BI586),INDEX(tbl_Consulting[Job Description],$BI586)))&amp;"")</f>
        <v/>
      </c>
      <c r="H586" s="10">
        <f>IF($BI586="","",IF($B586="Onsite",INDEX(tbl_Onsite[Cost Centre],$BI586),IF($B586="Production",INDEX(tbl_Production[Cost Centre],$BI586),INDEX(tbl_Consulting[Cost Centre],$BI586)))&amp;"")</f>
        <v/>
      </c>
      <c r="I586" s="10">
        <f>IF($BI586="","",IF($B586="Onsite",INDEX(tbl_Onsite[Invoice Type],$BI586),IF($B586="Production",INDEX(tbl_Production[Invoice Type],$BI586),INDEX(tbl_Consulting[Invoice Type],$BI586)))&amp;"")</f>
        <v/>
      </c>
      <c r="J586" s="10">
        <f>IF($BI586="","",IF($B586="Onsite",INDEX(tbl_Onsite[Tax Code],$BI586),IF($B586="Production",INDEX(tbl_Production[Tax Code],$BI586),INDEX(tbl_Consulting[Tax Code],$BI586)))&amp;"")</f>
        <v/>
      </c>
      <c r="K586" s="10">
        <f>IF(H586="","",IFERROR(INDEX(lst_CCtoGL,MATCH(H586,lst_CCforGL,0)),""))</f>
        <v/>
      </c>
      <c r="L586" s="10">
        <f>IF($BI586="","",IF($B586="Onsite",INDEX(tbl_Onsite[PO / Reference],$BI586),IF($B586="Production",INDEX(tbl_Production[Current RMS No],$BI586),INDEX(tbl_Consulting[Qwilr Quote],$BI586)))&amp;"")</f>
        <v/>
      </c>
      <c r="M586" s="10">
        <f>IF($BI586="","",IF($B586="Onsite",INDEX(tbl_Onsite[Notes],$BI586),IF($B586="Production",INDEX(tbl_Production[Notes],$BI586),INDEX(tbl_Consulting[Notes],$BI586)))&amp;"")</f>
        <v/>
      </c>
      <c r="N586" s="11">
        <f>IF($BI586="","",IF(IF($B586="Onsite",INDEX(tbl_Onsite[Expected Revenue Ex GST],$BI586),IF($B586="Production",INDEX(tbl_Production[Expected Revenue Ex GST],$BI586),INDEX(tbl_Consulting[Expected Revenue Ex GST],$BI586)))="","",IF($B586="Onsite",INDEX(tbl_Onsite[Expected Revenue Ex GST],$BI586),IF($B586="Production",INDEX(tbl_Production[Expected Revenue Ex GST],$BI586),INDEX(tbl_Consulting[Expected Revenue Ex GST],$BI586)))))</f>
        <v/>
      </c>
      <c r="O586" s="11">
        <f>IF(AND($C586="",NOT(COUNTA($S586:$BB586)&gt;0)),"",SUM(U586,X586,AA586,AD586,AG586,AJ586,AM586,AP586,AS586,AV586,AY586,BB586))</f>
        <v/>
      </c>
      <c r="P586" s="11">
        <f>IF(O586="","",N(N586)-O586)</f>
        <v/>
      </c>
      <c r="Q586" s="10">
        <f>IF(O586="","",IF($C586="","Invoice on empty job row",IF(N586="",IF(ROUND(O586,2)=0,"No dept value","Invoiced - no dept value"),IF(ROUND(O586,2)=0,"Not invoiced - to invoice",IF(ROUND(P586,2)=0,"Agrees",IF(P586&gt;0,"Dept higher - to invoice","Xero higher - check dept"))))))</f>
        <v/>
      </c>
      <c r="R586" s="10">
        <f>IF(AND($C586="",NOT(COUNTA($S586:$BB586)&gt;0),$BI586&lt;&gt;""),"",MID(IF($BI586="","; Row ID not found on the department sheet - a row was deleted","")&amp;IF(AND($C586="",COUNTA($S586:$BB586)&gt;0),"; Invoice entered but the department row has no job number","")&amp;IF(E586="CHECK","; Job number not in the Xero job list","")&amp;IF(AND($C586&lt;&gt;"",COUNTIF($C$7:$C$1506,$C586)&gt;1),"; Job number on more than one row","")&amp;IF(AND($C586&lt;&gt;"",H586=""),"; Dept has not set a cost centre","")&amp;IF(AND($C586&lt;&gt;"",J586=""),"; Dept has not set a tax code","")&amp;IF(AND($C586&lt;&gt;"",N586=""),"; Dept has not entered an expected value","")&amp;IF((IF(OR(COUNTA(S586:U586)=0,AND(COUNTA(S586:U586)=3,ISNUMBER(U586))),0,1)+IF(OR(COUNTA(V586:X586)=0,AND(COUNTA(V586:X586)=3,ISNUMBER(X586))),0,1)+IF(OR(COUNTA(Y586:AA586)=0,AND(COUNTA(Y586:AA586)=3,ISNUMBER(AA586))),0,1)+IF(OR(COUNTA(AB586:AD586)=0,AND(COUNTA(AB586:AD586)=3,ISNUMBER(AD586))),0,1)+IF(OR(COUNTA(AE586:AG586)=0,AND(COUNTA(AE586:AG586)=3,ISNUMBER(AG586))),0,1)+IF(OR(COUNTA(AH586:AJ586)=0,AND(COUNTA(AH586:AJ586)=3,ISNUMBER(AJ586))),0,1)+IF(OR(COUNTA(AK586:AM586)=0,AND(COUNTA(AK586:AM586)=3,ISNUMBER(AM586))),0,1)+IF(OR(COUNTA(AN586:AP586)=0,AND(COUNTA(AN586:AP586)=3,ISNUMBER(AP586))),0,1)+IF(OR(COUNTA(AQ586:AS586)=0,AND(COUNTA(AQ586:AS586)=3,ISNUMBER(AS586))),0,1)+IF(OR(COUNTA(AT586:AV586)=0,AND(COUNTA(AT586:AV586)=3,ISNUMBER(AV586))),0,1)+IF(OR(COUNTA(AW586:AY586)=0,AND(COUNTA(AW586:AY586)=3,ISNUMBER(AY586))),0,1)+IF(OR(COUNTA(AZ586:BB586)=0,AND(COUNTA(AZ586:BB586)=3,ISNUMBER(BB586))),0,1))&gt;0,"; An invoice is incomplete (needs No, Date and a number in Ex GST)","")&amp;IF((IF(T586="",0,IFERROR(--(EOMONTH(T586,0)&lt;&gt;S$5),1))+IF(W586="",0,IFERROR(--(EOMONTH(W586,0)&lt;&gt;V$5),1))+IF(Z586="",0,IFERROR(--(EOMONTH(Z586,0)&lt;&gt;Y$5),1))+IF(AC586="",0,IFERROR(--(EOMONTH(AC586,0)&lt;&gt;AB$5),1))+IF(AF586="",0,IFERROR(--(EOMONTH(AF586,0)&lt;&gt;AE$5),1))+IF(AI586="",0,IFERROR(--(EOMONTH(AI586,0)&lt;&gt;AH$5),1))+IF(AL586="",0,IFERROR(--(EOMONTH(AL586,0)&lt;&gt;AK$5),1))+IF(AO586="",0,IFERROR(--(EOMONTH(AO586,0)&lt;&gt;AN$5),1))+IF(AR586="",0,IFERROR(--(EOMONTH(AR586,0)&lt;&gt;AQ$5),1))+IF(AU586="",0,IFERROR(--(EOMONTH(AU586,0)&lt;&gt;AT$5),1))+IF(AX586="",0,IFERROR(--(EOMONTH(AX586,0)&lt;&gt;AW$5),1))+IF(BA586="",0,IFERROR(--(EOMONTH(BA586,0)&lt;&gt;AZ$5),1)))&gt;0,"; An invoice date is not in the month it is typed under",""),3,500))</f>
        <v/>
      </c>
      <c r="S586" s="12" t="n"/>
      <c r="T586" s="13" t="n"/>
      <c r="U586" s="14" t="n"/>
      <c r="V586" s="12" t="n"/>
      <c r="W586" s="13" t="n"/>
      <c r="X586" s="14" t="n"/>
      <c r="Y586" s="12" t="n"/>
      <c r="Z586" s="13" t="n"/>
      <c r="AA586" s="14" t="n"/>
      <c r="AB586" s="12" t="n"/>
      <c r="AC586" s="13" t="n"/>
      <c r="AD586" s="14" t="n"/>
      <c r="AE586" s="12" t="n"/>
      <c r="AF586" s="13" t="n"/>
      <c r="AG586" s="14" t="n"/>
      <c r="AH586" s="12" t="n"/>
      <c r="AI586" s="13" t="n"/>
      <c r="AJ586" s="14" t="n"/>
      <c r="AK586" s="12" t="n"/>
      <c r="AL586" s="13" t="n"/>
      <c r="AM586" s="14" t="n"/>
      <c r="AN586" s="12" t="n"/>
      <c r="AO586" s="13" t="n"/>
      <c r="AP586" s="14" t="n"/>
      <c r="AQ586" s="12" t="n"/>
      <c r="AR586" s="13" t="n"/>
      <c r="AS586" s="14" t="n"/>
      <c r="AT586" s="12" t="n"/>
      <c r="AU586" s="13" t="n"/>
      <c r="AV586" s="14" t="n"/>
      <c r="AW586" s="12" t="n"/>
      <c r="AX586" s="13" t="n"/>
      <c r="AY586" s="14" t="n"/>
      <c r="AZ586" s="12" t="n"/>
      <c r="BA586" s="13" t="n"/>
      <c r="BB586" s="14" t="n"/>
      <c r="BC586" s="11">
        <f>IF(O586="","",IF(J586="GST 10%",ROUND(O586*set_GSTRate,2),0))</f>
        <v/>
      </c>
      <c r="BD586" s="11">
        <f>IF(O586="","",O586+BC586)</f>
        <v/>
      </c>
      <c r="BE586" s="15">
        <f>IF(O586="","",COUNTA(S586,V586,Y586,AB586,AE586,AH586,AK586,AN586,AQ586,AT586,AW586,AZ586))</f>
        <v/>
      </c>
      <c r="BF586" s="16">
        <f>IF(COUNT(T586,W586,Z586,AC586,AF586,AI586,AL586,AO586,AR586,AU586,AX586,BA586)=0,"",MAX(T586,W586,Z586,AC586,AF586,AI586,AL586,AO586,AR586,AU586,AX586,BA586))</f>
        <v/>
      </c>
      <c r="BG586" s="10">
        <f>MID(IF(S586="","",", "&amp;S586)&amp;IF(V586="","",", "&amp;V586)&amp;IF(Y586="","",", "&amp;Y586)&amp;IF(AB586="","",", "&amp;AB586)&amp;IF(AE586="","",", "&amp;AE586)&amp;IF(AH586="","",", "&amp;AH586)&amp;IF(AK586="","",", "&amp;AK586)&amp;IF(AN586="","",", "&amp;AN586)&amp;IF(AQ586="","",", "&amp;AQ586)&amp;IF(AT586="","",", "&amp;AT586)&amp;IF(AW586="","",", "&amp;AW586)&amp;IF(AZ586="","",", "&amp;AZ586),3,500)</f>
        <v/>
      </c>
      <c r="BH586" s="12" t="n"/>
      <c r="BI586" s="15">
        <f>IFERROR(MATCH($A586,IF($B586="Onsite",tbl_Onsite[Row ID],IF($B586="Production",tbl_Production[Row ID],tbl_Consulting[Row ID])),0),"")</f>
        <v/>
      </c>
    </row>
    <row r="587">
      <c r="A587" s="10" t="inlineStr">
        <is>
          <t>PRD-0081</t>
        </is>
      </c>
      <c r="B587" s="10" t="inlineStr">
        <is>
          <t>Production</t>
        </is>
      </c>
      <c r="C587" s="10">
        <f>IF($BI587="","",IF($B587="Onsite",INDEX(tbl_Onsite[Job Number],$BI587),IF($B587="Production",INDEX(tbl_Production[Job Number],$BI587),INDEX(tbl_Consulting[Job Number],$BI587)))&amp;"")</f>
        <v/>
      </c>
      <c r="D587" s="10">
        <f>IF($BI587="","",IF($B587="Onsite",INDEX(tbl_Onsite[Client],$BI587),IF($B587="Production",INDEX(tbl_Production[Client],$BI587),INDEX(tbl_Consulting[Client],$BI587)))&amp;"")</f>
        <v/>
      </c>
      <c r="E587" s="10">
        <f>IF($C587="","",IF(COUNTIF(lst_Jobs,$C587)&gt;0,"OK","CHECK"))</f>
        <v/>
      </c>
      <c r="F587" s="10">
        <f>IF($C587="","",IFERROR(INDEX(lst_JobName,MATCH($C587,lst_Jobs,0)),""))</f>
        <v/>
      </c>
      <c r="G587" s="10">
        <f>IF($BI587="","",IF($B587="Onsite",INDEX(tbl_Onsite[Job Description],$BI587),IF($B587="Production",INDEX(tbl_Production[Job Description],$BI587),INDEX(tbl_Consulting[Job Description],$BI587)))&amp;"")</f>
        <v/>
      </c>
      <c r="H587" s="10">
        <f>IF($BI587="","",IF($B587="Onsite",INDEX(tbl_Onsite[Cost Centre],$BI587),IF($B587="Production",INDEX(tbl_Production[Cost Centre],$BI587),INDEX(tbl_Consulting[Cost Centre],$BI587)))&amp;"")</f>
        <v/>
      </c>
      <c r="I587" s="10">
        <f>IF($BI587="","",IF($B587="Onsite",INDEX(tbl_Onsite[Invoice Type],$BI587),IF($B587="Production",INDEX(tbl_Production[Invoice Type],$BI587),INDEX(tbl_Consulting[Invoice Type],$BI587)))&amp;"")</f>
        <v/>
      </c>
      <c r="J587" s="10">
        <f>IF($BI587="","",IF($B587="Onsite",INDEX(tbl_Onsite[Tax Code],$BI587),IF($B587="Production",INDEX(tbl_Production[Tax Code],$BI587),INDEX(tbl_Consulting[Tax Code],$BI587)))&amp;"")</f>
        <v/>
      </c>
      <c r="K587" s="10">
        <f>IF(H587="","",IFERROR(INDEX(lst_CCtoGL,MATCH(H587,lst_CCforGL,0)),""))</f>
        <v/>
      </c>
      <c r="L587" s="10">
        <f>IF($BI587="","",IF($B587="Onsite",INDEX(tbl_Onsite[PO / Reference],$BI587),IF($B587="Production",INDEX(tbl_Production[Current RMS No],$BI587),INDEX(tbl_Consulting[Qwilr Quote],$BI587)))&amp;"")</f>
        <v/>
      </c>
      <c r="M587" s="10">
        <f>IF($BI587="","",IF($B587="Onsite",INDEX(tbl_Onsite[Notes],$BI587),IF($B587="Production",INDEX(tbl_Production[Notes],$BI587),INDEX(tbl_Consulting[Notes],$BI587)))&amp;"")</f>
        <v/>
      </c>
      <c r="N587" s="11">
        <f>IF($BI587="","",IF(IF($B587="Onsite",INDEX(tbl_Onsite[Expected Revenue Ex GST],$BI587),IF($B587="Production",INDEX(tbl_Production[Expected Revenue Ex GST],$BI587),INDEX(tbl_Consulting[Expected Revenue Ex GST],$BI587)))="","",IF($B587="Onsite",INDEX(tbl_Onsite[Expected Revenue Ex GST],$BI587),IF($B587="Production",INDEX(tbl_Production[Expected Revenue Ex GST],$BI587),INDEX(tbl_Consulting[Expected Revenue Ex GST],$BI587)))))</f>
        <v/>
      </c>
      <c r="O587" s="11">
        <f>IF(AND($C587="",NOT(COUNTA($S587:$BB587)&gt;0)),"",SUM(U587,X587,AA587,AD587,AG587,AJ587,AM587,AP587,AS587,AV587,AY587,BB587))</f>
        <v/>
      </c>
      <c r="P587" s="11">
        <f>IF(O587="","",N(N587)-O587)</f>
        <v/>
      </c>
      <c r="Q587" s="10">
        <f>IF(O587="","",IF($C587="","Invoice on empty job row",IF(N587="",IF(ROUND(O587,2)=0,"No dept value","Invoiced - no dept value"),IF(ROUND(O587,2)=0,"Not invoiced - to invoice",IF(ROUND(P587,2)=0,"Agrees",IF(P587&gt;0,"Dept higher - to invoice","Xero higher - check dept"))))))</f>
        <v/>
      </c>
      <c r="R587" s="10">
        <f>IF(AND($C587="",NOT(COUNTA($S587:$BB587)&gt;0),$BI587&lt;&gt;""),"",MID(IF($BI587="","; Row ID not found on the department sheet - a row was deleted","")&amp;IF(AND($C587="",COUNTA($S587:$BB587)&gt;0),"; Invoice entered but the department row has no job number","")&amp;IF(E587="CHECK","; Job number not in the Xero job list","")&amp;IF(AND($C587&lt;&gt;"",COUNTIF($C$7:$C$1506,$C587)&gt;1),"; Job number on more than one row","")&amp;IF(AND($C587&lt;&gt;"",H587=""),"; Dept has not set a cost centre","")&amp;IF(AND($C587&lt;&gt;"",J587=""),"; Dept has not set a tax code","")&amp;IF(AND($C587&lt;&gt;"",N587=""),"; Dept has not entered an expected value","")&amp;IF((IF(OR(COUNTA(S587:U587)=0,AND(COUNTA(S587:U587)=3,ISNUMBER(U587))),0,1)+IF(OR(COUNTA(V587:X587)=0,AND(COUNTA(V587:X587)=3,ISNUMBER(X587))),0,1)+IF(OR(COUNTA(Y587:AA587)=0,AND(COUNTA(Y587:AA587)=3,ISNUMBER(AA587))),0,1)+IF(OR(COUNTA(AB587:AD587)=0,AND(COUNTA(AB587:AD587)=3,ISNUMBER(AD587))),0,1)+IF(OR(COUNTA(AE587:AG587)=0,AND(COUNTA(AE587:AG587)=3,ISNUMBER(AG587))),0,1)+IF(OR(COUNTA(AH587:AJ587)=0,AND(COUNTA(AH587:AJ587)=3,ISNUMBER(AJ587))),0,1)+IF(OR(COUNTA(AK587:AM587)=0,AND(COUNTA(AK587:AM587)=3,ISNUMBER(AM587))),0,1)+IF(OR(COUNTA(AN587:AP587)=0,AND(COUNTA(AN587:AP587)=3,ISNUMBER(AP587))),0,1)+IF(OR(COUNTA(AQ587:AS587)=0,AND(COUNTA(AQ587:AS587)=3,ISNUMBER(AS587))),0,1)+IF(OR(COUNTA(AT587:AV587)=0,AND(COUNTA(AT587:AV587)=3,ISNUMBER(AV587))),0,1)+IF(OR(COUNTA(AW587:AY587)=0,AND(COUNTA(AW587:AY587)=3,ISNUMBER(AY587))),0,1)+IF(OR(COUNTA(AZ587:BB587)=0,AND(COUNTA(AZ587:BB587)=3,ISNUMBER(BB587))),0,1))&gt;0,"; An invoice is incomplete (needs No, Date and a number in Ex GST)","")&amp;IF((IF(T587="",0,IFERROR(--(EOMONTH(T587,0)&lt;&gt;S$5),1))+IF(W587="",0,IFERROR(--(EOMONTH(W587,0)&lt;&gt;V$5),1))+IF(Z587="",0,IFERROR(--(EOMONTH(Z587,0)&lt;&gt;Y$5),1))+IF(AC587="",0,IFERROR(--(EOMONTH(AC587,0)&lt;&gt;AB$5),1))+IF(AF587="",0,IFERROR(--(EOMONTH(AF587,0)&lt;&gt;AE$5),1))+IF(AI587="",0,IFERROR(--(EOMONTH(AI587,0)&lt;&gt;AH$5),1))+IF(AL587="",0,IFERROR(--(EOMONTH(AL587,0)&lt;&gt;AK$5),1))+IF(AO587="",0,IFERROR(--(EOMONTH(AO587,0)&lt;&gt;AN$5),1))+IF(AR587="",0,IFERROR(--(EOMONTH(AR587,0)&lt;&gt;AQ$5),1))+IF(AU587="",0,IFERROR(--(EOMONTH(AU587,0)&lt;&gt;AT$5),1))+IF(AX587="",0,IFERROR(--(EOMONTH(AX587,0)&lt;&gt;AW$5),1))+IF(BA587="",0,IFERROR(--(EOMONTH(BA587,0)&lt;&gt;AZ$5),1)))&gt;0,"; An invoice date is not in the month it is typed under",""),3,500))</f>
        <v/>
      </c>
      <c r="S587" s="12" t="n"/>
      <c r="T587" s="13" t="n"/>
      <c r="U587" s="14" t="n"/>
      <c r="V587" s="12" t="n"/>
      <c r="W587" s="13" t="n"/>
      <c r="X587" s="14" t="n"/>
      <c r="Y587" s="12" t="n"/>
      <c r="Z587" s="13" t="n"/>
      <c r="AA587" s="14" t="n"/>
      <c r="AB587" s="12" t="n"/>
      <c r="AC587" s="13" t="n"/>
      <c r="AD587" s="14" t="n"/>
      <c r="AE587" s="12" t="n"/>
      <c r="AF587" s="13" t="n"/>
      <c r="AG587" s="14" t="n"/>
      <c r="AH587" s="12" t="n"/>
      <c r="AI587" s="13" t="n"/>
      <c r="AJ587" s="14" t="n"/>
      <c r="AK587" s="12" t="n"/>
      <c r="AL587" s="13" t="n"/>
      <c r="AM587" s="14" t="n"/>
      <c r="AN587" s="12" t="n"/>
      <c r="AO587" s="13" t="n"/>
      <c r="AP587" s="14" t="n"/>
      <c r="AQ587" s="12" t="n"/>
      <c r="AR587" s="13" t="n"/>
      <c r="AS587" s="14" t="n"/>
      <c r="AT587" s="12" t="n"/>
      <c r="AU587" s="13" t="n"/>
      <c r="AV587" s="14" t="n"/>
      <c r="AW587" s="12" t="n"/>
      <c r="AX587" s="13" t="n"/>
      <c r="AY587" s="14" t="n"/>
      <c r="AZ587" s="12" t="n"/>
      <c r="BA587" s="13" t="n"/>
      <c r="BB587" s="14" t="n"/>
      <c r="BC587" s="11">
        <f>IF(O587="","",IF(J587="GST 10%",ROUND(O587*set_GSTRate,2),0))</f>
        <v/>
      </c>
      <c r="BD587" s="11">
        <f>IF(O587="","",O587+BC587)</f>
        <v/>
      </c>
      <c r="BE587" s="15">
        <f>IF(O587="","",COUNTA(S587,V587,Y587,AB587,AE587,AH587,AK587,AN587,AQ587,AT587,AW587,AZ587))</f>
        <v/>
      </c>
      <c r="BF587" s="16">
        <f>IF(COUNT(T587,W587,Z587,AC587,AF587,AI587,AL587,AO587,AR587,AU587,AX587,BA587)=0,"",MAX(T587,W587,Z587,AC587,AF587,AI587,AL587,AO587,AR587,AU587,AX587,BA587))</f>
        <v/>
      </c>
      <c r="BG587" s="10">
        <f>MID(IF(S587="","",", "&amp;S587)&amp;IF(V587="","",", "&amp;V587)&amp;IF(Y587="","",", "&amp;Y587)&amp;IF(AB587="","",", "&amp;AB587)&amp;IF(AE587="","",", "&amp;AE587)&amp;IF(AH587="","",", "&amp;AH587)&amp;IF(AK587="","",", "&amp;AK587)&amp;IF(AN587="","",", "&amp;AN587)&amp;IF(AQ587="","",", "&amp;AQ587)&amp;IF(AT587="","",", "&amp;AT587)&amp;IF(AW587="","",", "&amp;AW587)&amp;IF(AZ587="","",", "&amp;AZ587),3,500)</f>
        <v/>
      </c>
      <c r="BH587" s="12" t="n"/>
      <c r="BI587" s="15">
        <f>IFERROR(MATCH($A587,IF($B587="Onsite",tbl_Onsite[Row ID],IF($B587="Production",tbl_Production[Row ID],tbl_Consulting[Row ID])),0),"")</f>
        <v/>
      </c>
    </row>
    <row r="588">
      <c r="A588" s="10" t="inlineStr">
        <is>
          <t>PRD-0082</t>
        </is>
      </c>
      <c r="B588" s="10" t="inlineStr">
        <is>
          <t>Production</t>
        </is>
      </c>
      <c r="C588" s="10">
        <f>IF($BI588="","",IF($B588="Onsite",INDEX(tbl_Onsite[Job Number],$BI588),IF($B588="Production",INDEX(tbl_Production[Job Number],$BI588),INDEX(tbl_Consulting[Job Number],$BI588)))&amp;"")</f>
        <v/>
      </c>
      <c r="D588" s="10">
        <f>IF($BI588="","",IF($B588="Onsite",INDEX(tbl_Onsite[Client],$BI588),IF($B588="Production",INDEX(tbl_Production[Client],$BI588),INDEX(tbl_Consulting[Client],$BI588)))&amp;"")</f>
        <v/>
      </c>
      <c r="E588" s="10">
        <f>IF($C588="","",IF(COUNTIF(lst_Jobs,$C588)&gt;0,"OK","CHECK"))</f>
        <v/>
      </c>
      <c r="F588" s="10">
        <f>IF($C588="","",IFERROR(INDEX(lst_JobName,MATCH($C588,lst_Jobs,0)),""))</f>
        <v/>
      </c>
      <c r="G588" s="10">
        <f>IF($BI588="","",IF($B588="Onsite",INDEX(tbl_Onsite[Job Description],$BI588),IF($B588="Production",INDEX(tbl_Production[Job Description],$BI588),INDEX(tbl_Consulting[Job Description],$BI588)))&amp;"")</f>
        <v/>
      </c>
      <c r="H588" s="10">
        <f>IF($BI588="","",IF($B588="Onsite",INDEX(tbl_Onsite[Cost Centre],$BI588),IF($B588="Production",INDEX(tbl_Production[Cost Centre],$BI588),INDEX(tbl_Consulting[Cost Centre],$BI588)))&amp;"")</f>
        <v/>
      </c>
      <c r="I588" s="10">
        <f>IF($BI588="","",IF($B588="Onsite",INDEX(tbl_Onsite[Invoice Type],$BI588),IF($B588="Production",INDEX(tbl_Production[Invoice Type],$BI588),INDEX(tbl_Consulting[Invoice Type],$BI588)))&amp;"")</f>
        <v/>
      </c>
      <c r="J588" s="10">
        <f>IF($BI588="","",IF($B588="Onsite",INDEX(tbl_Onsite[Tax Code],$BI588),IF($B588="Production",INDEX(tbl_Production[Tax Code],$BI588),INDEX(tbl_Consulting[Tax Code],$BI588)))&amp;"")</f>
        <v/>
      </c>
      <c r="K588" s="10">
        <f>IF(H588="","",IFERROR(INDEX(lst_CCtoGL,MATCH(H588,lst_CCforGL,0)),""))</f>
        <v/>
      </c>
      <c r="L588" s="10">
        <f>IF($BI588="","",IF($B588="Onsite",INDEX(tbl_Onsite[PO / Reference],$BI588),IF($B588="Production",INDEX(tbl_Production[Current RMS No],$BI588),INDEX(tbl_Consulting[Qwilr Quote],$BI588)))&amp;"")</f>
        <v/>
      </c>
      <c r="M588" s="10">
        <f>IF($BI588="","",IF($B588="Onsite",INDEX(tbl_Onsite[Notes],$BI588),IF($B588="Production",INDEX(tbl_Production[Notes],$BI588),INDEX(tbl_Consulting[Notes],$BI588)))&amp;"")</f>
        <v/>
      </c>
      <c r="N588" s="11">
        <f>IF($BI588="","",IF(IF($B588="Onsite",INDEX(tbl_Onsite[Expected Revenue Ex GST],$BI588),IF($B588="Production",INDEX(tbl_Production[Expected Revenue Ex GST],$BI588),INDEX(tbl_Consulting[Expected Revenue Ex GST],$BI588)))="","",IF($B588="Onsite",INDEX(tbl_Onsite[Expected Revenue Ex GST],$BI588),IF($B588="Production",INDEX(tbl_Production[Expected Revenue Ex GST],$BI588),INDEX(tbl_Consulting[Expected Revenue Ex GST],$BI588)))))</f>
        <v/>
      </c>
      <c r="O588" s="11">
        <f>IF(AND($C588="",NOT(COUNTA($S588:$BB588)&gt;0)),"",SUM(U588,X588,AA588,AD588,AG588,AJ588,AM588,AP588,AS588,AV588,AY588,BB588))</f>
        <v/>
      </c>
      <c r="P588" s="11">
        <f>IF(O588="","",N(N588)-O588)</f>
        <v/>
      </c>
      <c r="Q588" s="10">
        <f>IF(O588="","",IF($C588="","Invoice on empty job row",IF(N588="",IF(ROUND(O588,2)=0,"No dept value","Invoiced - no dept value"),IF(ROUND(O588,2)=0,"Not invoiced - to invoice",IF(ROUND(P588,2)=0,"Agrees",IF(P588&gt;0,"Dept higher - to invoice","Xero higher - check dept"))))))</f>
        <v/>
      </c>
      <c r="R588" s="10">
        <f>IF(AND($C588="",NOT(COUNTA($S588:$BB588)&gt;0),$BI588&lt;&gt;""),"",MID(IF($BI588="","; Row ID not found on the department sheet - a row was deleted","")&amp;IF(AND($C588="",COUNTA($S588:$BB588)&gt;0),"; Invoice entered but the department row has no job number","")&amp;IF(E588="CHECK","; Job number not in the Xero job list","")&amp;IF(AND($C588&lt;&gt;"",COUNTIF($C$7:$C$1506,$C588)&gt;1),"; Job number on more than one row","")&amp;IF(AND($C588&lt;&gt;"",H588=""),"; Dept has not set a cost centre","")&amp;IF(AND($C588&lt;&gt;"",J588=""),"; Dept has not set a tax code","")&amp;IF(AND($C588&lt;&gt;"",N588=""),"; Dept has not entered an expected value","")&amp;IF((IF(OR(COUNTA(S588:U588)=0,AND(COUNTA(S588:U588)=3,ISNUMBER(U588))),0,1)+IF(OR(COUNTA(V588:X588)=0,AND(COUNTA(V588:X588)=3,ISNUMBER(X588))),0,1)+IF(OR(COUNTA(Y588:AA588)=0,AND(COUNTA(Y588:AA588)=3,ISNUMBER(AA588))),0,1)+IF(OR(COUNTA(AB588:AD588)=0,AND(COUNTA(AB588:AD588)=3,ISNUMBER(AD588))),0,1)+IF(OR(COUNTA(AE588:AG588)=0,AND(COUNTA(AE588:AG588)=3,ISNUMBER(AG588))),0,1)+IF(OR(COUNTA(AH588:AJ588)=0,AND(COUNTA(AH588:AJ588)=3,ISNUMBER(AJ588))),0,1)+IF(OR(COUNTA(AK588:AM588)=0,AND(COUNTA(AK588:AM588)=3,ISNUMBER(AM588))),0,1)+IF(OR(COUNTA(AN588:AP588)=0,AND(COUNTA(AN588:AP588)=3,ISNUMBER(AP588))),0,1)+IF(OR(COUNTA(AQ588:AS588)=0,AND(COUNTA(AQ588:AS588)=3,ISNUMBER(AS588))),0,1)+IF(OR(COUNTA(AT588:AV588)=0,AND(COUNTA(AT588:AV588)=3,ISNUMBER(AV588))),0,1)+IF(OR(COUNTA(AW588:AY588)=0,AND(COUNTA(AW588:AY588)=3,ISNUMBER(AY588))),0,1)+IF(OR(COUNTA(AZ588:BB588)=0,AND(COUNTA(AZ588:BB588)=3,ISNUMBER(BB588))),0,1))&gt;0,"; An invoice is incomplete (needs No, Date and a number in Ex GST)","")&amp;IF((IF(T588="",0,IFERROR(--(EOMONTH(T588,0)&lt;&gt;S$5),1))+IF(W588="",0,IFERROR(--(EOMONTH(W588,0)&lt;&gt;V$5),1))+IF(Z588="",0,IFERROR(--(EOMONTH(Z588,0)&lt;&gt;Y$5),1))+IF(AC588="",0,IFERROR(--(EOMONTH(AC588,0)&lt;&gt;AB$5),1))+IF(AF588="",0,IFERROR(--(EOMONTH(AF588,0)&lt;&gt;AE$5),1))+IF(AI588="",0,IFERROR(--(EOMONTH(AI588,0)&lt;&gt;AH$5),1))+IF(AL588="",0,IFERROR(--(EOMONTH(AL588,0)&lt;&gt;AK$5),1))+IF(AO588="",0,IFERROR(--(EOMONTH(AO588,0)&lt;&gt;AN$5),1))+IF(AR588="",0,IFERROR(--(EOMONTH(AR588,0)&lt;&gt;AQ$5),1))+IF(AU588="",0,IFERROR(--(EOMONTH(AU588,0)&lt;&gt;AT$5),1))+IF(AX588="",0,IFERROR(--(EOMONTH(AX588,0)&lt;&gt;AW$5),1))+IF(BA588="",0,IFERROR(--(EOMONTH(BA588,0)&lt;&gt;AZ$5),1)))&gt;0,"; An invoice date is not in the month it is typed under",""),3,500))</f>
        <v/>
      </c>
      <c r="S588" s="12" t="n"/>
      <c r="T588" s="13" t="n"/>
      <c r="U588" s="14" t="n"/>
      <c r="V588" s="12" t="n"/>
      <c r="W588" s="13" t="n"/>
      <c r="X588" s="14" t="n"/>
      <c r="Y588" s="12" t="n"/>
      <c r="Z588" s="13" t="n"/>
      <c r="AA588" s="14" t="n"/>
      <c r="AB588" s="12" t="n"/>
      <c r="AC588" s="13" t="n"/>
      <c r="AD588" s="14" t="n"/>
      <c r="AE588" s="12" t="n"/>
      <c r="AF588" s="13" t="n"/>
      <c r="AG588" s="14" t="n"/>
      <c r="AH588" s="12" t="n"/>
      <c r="AI588" s="13" t="n"/>
      <c r="AJ588" s="14" t="n"/>
      <c r="AK588" s="12" t="n"/>
      <c r="AL588" s="13" t="n"/>
      <c r="AM588" s="14" t="n"/>
      <c r="AN588" s="12" t="n"/>
      <c r="AO588" s="13" t="n"/>
      <c r="AP588" s="14" t="n"/>
      <c r="AQ588" s="12" t="n"/>
      <c r="AR588" s="13" t="n"/>
      <c r="AS588" s="14" t="n"/>
      <c r="AT588" s="12" t="n"/>
      <c r="AU588" s="13" t="n"/>
      <c r="AV588" s="14" t="n"/>
      <c r="AW588" s="12" t="n"/>
      <c r="AX588" s="13" t="n"/>
      <c r="AY588" s="14" t="n"/>
      <c r="AZ588" s="12" t="n"/>
      <c r="BA588" s="13" t="n"/>
      <c r="BB588" s="14" t="n"/>
      <c r="BC588" s="11">
        <f>IF(O588="","",IF(J588="GST 10%",ROUND(O588*set_GSTRate,2),0))</f>
        <v/>
      </c>
      <c r="BD588" s="11">
        <f>IF(O588="","",O588+BC588)</f>
        <v/>
      </c>
      <c r="BE588" s="15">
        <f>IF(O588="","",COUNTA(S588,V588,Y588,AB588,AE588,AH588,AK588,AN588,AQ588,AT588,AW588,AZ588))</f>
        <v/>
      </c>
      <c r="BF588" s="16">
        <f>IF(COUNT(T588,W588,Z588,AC588,AF588,AI588,AL588,AO588,AR588,AU588,AX588,BA588)=0,"",MAX(T588,W588,Z588,AC588,AF588,AI588,AL588,AO588,AR588,AU588,AX588,BA588))</f>
        <v/>
      </c>
      <c r="BG588" s="10">
        <f>MID(IF(S588="","",", "&amp;S588)&amp;IF(V588="","",", "&amp;V588)&amp;IF(Y588="","",", "&amp;Y588)&amp;IF(AB588="","",", "&amp;AB588)&amp;IF(AE588="","",", "&amp;AE588)&amp;IF(AH588="","",", "&amp;AH588)&amp;IF(AK588="","",", "&amp;AK588)&amp;IF(AN588="","",", "&amp;AN588)&amp;IF(AQ588="","",", "&amp;AQ588)&amp;IF(AT588="","",", "&amp;AT588)&amp;IF(AW588="","",", "&amp;AW588)&amp;IF(AZ588="","",", "&amp;AZ588),3,500)</f>
        <v/>
      </c>
      <c r="BH588" s="12" t="n"/>
      <c r="BI588" s="15">
        <f>IFERROR(MATCH($A588,IF($B588="Onsite",tbl_Onsite[Row ID],IF($B588="Production",tbl_Production[Row ID],tbl_Consulting[Row ID])),0),"")</f>
        <v/>
      </c>
    </row>
    <row r="589">
      <c r="A589" s="10" t="inlineStr">
        <is>
          <t>PRD-0083</t>
        </is>
      </c>
      <c r="B589" s="10" t="inlineStr">
        <is>
          <t>Production</t>
        </is>
      </c>
      <c r="C589" s="10">
        <f>IF($BI589="","",IF($B589="Onsite",INDEX(tbl_Onsite[Job Number],$BI589),IF($B589="Production",INDEX(tbl_Production[Job Number],$BI589),INDEX(tbl_Consulting[Job Number],$BI589)))&amp;"")</f>
        <v/>
      </c>
      <c r="D589" s="10">
        <f>IF($BI589="","",IF($B589="Onsite",INDEX(tbl_Onsite[Client],$BI589),IF($B589="Production",INDEX(tbl_Production[Client],$BI589),INDEX(tbl_Consulting[Client],$BI589)))&amp;"")</f>
        <v/>
      </c>
      <c r="E589" s="10">
        <f>IF($C589="","",IF(COUNTIF(lst_Jobs,$C589)&gt;0,"OK","CHECK"))</f>
        <v/>
      </c>
      <c r="F589" s="10">
        <f>IF($C589="","",IFERROR(INDEX(lst_JobName,MATCH($C589,lst_Jobs,0)),""))</f>
        <v/>
      </c>
      <c r="G589" s="10">
        <f>IF($BI589="","",IF($B589="Onsite",INDEX(tbl_Onsite[Job Description],$BI589),IF($B589="Production",INDEX(tbl_Production[Job Description],$BI589),INDEX(tbl_Consulting[Job Description],$BI589)))&amp;"")</f>
        <v/>
      </c>
      <c r="H589" s="10">
        <f>IF($BI589="","",IF($B589="Onsite",INDEX(tbl_Onsite[Cost Centre],$BI589),IF($B589="Production",INDEX(tbl_Production[Cost Centre],$BI589),INDEX(tbl_Consulting[Cost Centre],$BI589)))&amp;"")</f>
        <v/>
      </c>
      <c r="I589" s="10">
        <f>IF($BI589="","",IF($B589="Onsite",INDEX(tbl_Onsite[Invoice Type],$BI589),IF($B589="Production",INDEX(tbl_Production[Invoice Type],$BI589),INDEX(tbl_Consulting[Invoice Type],$BI589)))&amp;"")</f>
        <v/>
      </c>
      <c r="J589" s="10">
        <f>IF($BI589="","",IF($B589="Onsite",INDEX(tbl_Onsite[Tax Code],$BI589),IF($B589="Production",INDEX(tbl_Production[Tax Code],$BI589),INDEX(tbl_Consulting[Tax Code],$BI589)))&amp;"")</f>
        <v/>
      </c>
      <c r="K589" s="10">
        <f>IF(H589="","",IFERROR(INDEX(lst_CCtoGL,MATCH(H589,lst_CCforGL,0)),""))</f>
        <v/>
      </c>
      <c r="L589" s="10">
        <f>IF($BI589="","",IF($B589="Onsite",INDEX(tbl_Onsite[PO / Reference],$BI589),IF($B589="Production",INDEX(tbl_Production[Current RMS No],$BI589),INDEX(tbl_Consulting[Qwilr Quote],$BI589)))&amp;"")</f>
        <v/>
      </c>
      <c r="M589" s="10">
        <f>IF($BI589="","",IF($B589="Onsite",INDEX(tbl_Onsite[Notes],$BI589),IF($B589="Production",INDEX(tbl_Production[Notes],$BI589),INDEX(tbl_Consulting[Notes],$BI589)))&amp;"")</f>
        <v/>
      </c>
      <c r="N589" s="11">
        <f>IF($BI589="","",IF(IF($B589="Onsite",INDEX(tbl_Onsite[Expected Revenue Ex GST],$BI589),IF($B589="Production",INDEX(tbl_Production[Expected Revenue Ex GST],$BI589),INDEX(tbl_Consulting[Expected Revenue Ex GST],$BI589)))="","",IF($B589="Onsite",INDEX(tbl_Onsite[Expected Revenue Ex GST],$BI589),IF($B589="Production",INDEX(tbl_Production[Expected Revenue Ex GST],$BI589),INDEX(tbl_Consulting[Expected Revenue Ex GST],$BI589)))))</f>
        <v/>
      </c>
      <c r="O589" s="11">
        <f>IF(AND($C589="",NOT(COUNTA($S589:$BB589)&gt;0)),"",SUM(U589,X589,AA589,AD589,AG589,AJ589,AM589,AP589,AS589,AV589,AY589,BB589))</f>
        <v/>
      </c>
      <c r="P589" s="11">
        <f>IF(O589="","",N(N589)-O589)</f>
        <v/>
      </c>
      <c r="Q589" s="10">
        <f>IF(O589="","",IF($C589="","Invoice on empty job row",IF(N589="",IF(ROUND(O589,2)=0,"No dept value","Invoiced - no dept value"),IF(ROUND(O589,2)=0,"Not invoiced - to invoice",IF(ROUND(P589,2)=0,"Agrees",IF(P589&gt;0,"Dept higher - to invoice","Xero higher - check dept"))))))</f>
        <v/>
      </c>
      <c r="R589" s="10">
        <f>IF(AND($C589="",NOT(COUNTA($S589:$BB589)&gt;0),$BI589&lt;&gt;""),"",MID(IF($BI589="","; Row ID not found on the department sheet - a row was deleted","")&amp;IF(AND($C589="",COUNTA($S589:$BB589)&gt;0),"; Invoice entered but the department row has no job number","")&amp;IF(E589="CHECK","; Job number not in the Xero job list","")&amp;IF(AND($C589&lt;&gt;"",COUNTIF($C$7:$C$1506,$C589)&gt;1),"; Job number on more than one row","")&amp;IF(AND($C589&lt;&gt;"",H589=""),"; Dept has not set a cost centre","")&amp;IF(AND($C589&lt;&gt;"",J589=""),"; Dept has not set a tax code","")&amp;IF(AND($C589&lt;&gt;"",N589=""),"; Dept has not entered an expected value","")&amp;IF((IF(OR(COUNTA(S589:U589)=0,AND(COUNTA(S589:U589)=3,ISNUMBER(U589))),0,1)+IF(OR(COUNTA(V589:X589)=0,AND(COUNTA(V589:X589)=3,ISNUMBER(X589))),0,1)+IF(OR(COUNTA(Y589:AA589)=0,AND(COUNTA(Y589:AA589)=3,ISNUMBER(AA589))),0,1)+IF(OR(COUNTA(AB589:AD589)=0,AND(COUNTA(AB589:AD589)=3,ISNUMBER(AD589))),0,1)+IF(OR(COUNTA(AE589:AG589)=0,AND(COUNTA(AE589:AG589)=3,ISNUMBER(AG589))),0,1)+IF(OR(COUNTA(AH589:AJ589)=0,AND(COUNTA(AH589:AJ589)=3,ISNUMBER(AJ589))),0,1)+IF(OR(COUNTA(AK589:AM589)=0,AND(COUNTA(AK589:AM589)=3,ISNUMBER(AM589))),0,1)+IF(OR(COUNTA(AN589:AP589)=0,AND(COUNTA(AN589:AP589)=3,ISNUMBER(AP589))),0,1)+IF(OR(COUNTA(AQ589:AS589)=0,AND(COUNTA(AQ589:AS589)=3,ISNUMBER(AS589))),0,1)+IF(OR(COUNTA(AT589:AV589)=0,AND(COUNTA(AT589:AV589)=3,ISNUMBER(AV589))),0,1)+IF(OR(COUNTA(AW589:AY589)=0,AND(COUNTA(AW589:AY589)=3,ISNUMBER(AY589))),0,1)+IF(OR(COUNTA(AZ589:BB589)=0,AND(COUNTA(AZ589:BB589)=3,ISNUMBER(BB589))),0,1))&gt;0,"; An invoice is incomplete (needs No, Date and a number in Ex GST)","")&amp;IF((IF(T589="",0,IFERROR(--(EOMONTH(T589,0)&lt;&gt;S$5),1))+IF(W589="",0,IFERROR(--(EOMONTH(W589,0)&lt;&gt;V$5),1))+IF(Z589="",0,IFERROR(--(EOMONTH(Z589,0)&lt;&gt;Y$5),1))+IF(AC589="",0,IFERROR(--(EOMONTH(AC589,0)&lt;&gt;AB$5),1))+IF(AF589="",0,IFERROR(--(EOMONTH(AF589,0)&lt;&gt;AE$5),1))+IF(AI589="",0,IFERROR(--(EOMONTH(AI589,0)&lt;&gt;AH$5),1))+IF(AL589="",0,IFERROR(--(EOMONTH(AL589,0)&lt;&gt;AK$5),1))+IF(AO589="",0,IFERROR(--(EOMONTH(AO589,0)&lt;&gt;AN$5),1))+IF(AR589="",0,IFERROR(--(EOMONTH(AR589,0)&lt;&gt;AQ$5),1))+IF(AU589="",0,IFERROR(--(EOMONTH(AU589,0)&lt;&gt;AT$5),1))+IF(AX589="",0,IFERROR(--(EOMONTH(AX589,0)&lt;&gt;AW$5),1))+IF(BA589="",0,IFERROR(--(EOMONTH(BA589,0)&lt;&gt;AZ$5),1)))&gt;0,"; An invoice date is not in the month it is typed under",""),3,500))</f>
        <v/>
      </c>
      <c r="S589" s="12" t="n"/>
      <c r="T589" s="13" t="n"/>
      <c r="U589" s="14" t="n"/>
      <c r="V589" s="12" t="n"/>
      <c r="W589" s="13" t="n"/>
      <c r="X589" s="14" t="n"/>
      <c r="Y589" s="12" t="n"/>
      <c r="Z589" s="13" t="n"/>
      <c r="AA589" s="14" t="n"/>
      <c r="AB589" s="12" t="n"/>
      <c r="AC589" s="13" t="n"/>
      <c r="AD589" s="14" t="n"/>
      <c r="AE589" s="12" t="n"/>
      <c r="AF589" s="13" t="n"/>
      <c r="AG589" s="14" t="n"/>
      <c r="AH589" s="12" t="n"/>
      <c r="AI589" s="13" t="n"/>
      <c r="AJ589" s="14" t="n"/>
      <c r="AK589" s="12" t="n"/>
      <c r="AL589" s="13" t="n"/>
      <c r="AM589" s="14" t="n"/>
      <c r="AN589" s="12" t="n"/>
      <c r="AO589" s="13" t="n"/>
      <c r="AP589" s="14" t="n"/>
      <c r="AQ589" s="12" t="n"/>
      <c r="AR589" s="13" t="n"/>
      <c r="AS589" s="14" t="n"/>
      <c r="AT589" s="12" t="n"/>
      <c r="AU589" s="13" t="n"/>
      <c r="AV589" s="14" t="n"/>
      <c r="AW589" s="12" t="n"/>
      <c r="AX589" s="13" t="n"/>
      <c r="AY589" s="14" t="n"/>
      <c r="AZ589" s="12" t="n"/>
      <c r="BA589" s="13" t="n"/>
      <c r="BB589" s="14" t="n"/>
      <c r="BC589" s="11">
        <f>IF(O589="","",IF(J589="GST 10%",ROUND(O589*set_GSTRate,2),0))</f>
        <v/>
      </c>
      <c r="BD589" s="11">
        <f>IF(O589="","",O589+BC589)</f>
        <v/>
      </c>
      <c r="BE589" s="15">
        <f>IF(O589="","",COUNTA(S589,V589,Y589,AB589,AE589,AH589,AK589,AN589,AQ589,AT589,AW589,AZ589))</f>
        <v/>
      </c>
      <c r="BF589" s="16">
        <f>IF(COUNT(T589,W589,Z589,AC589,AF589,AI589,AL589,AO589,AR589,AU589,AX589,BA589)=0,"",MAX(T589,W589,Z589,AC589,AF589,AI589,AL589,AO589,AR589,AU589,AX589,BA589))</f>
        <v/>
      </c>
      <c r="BG589" s="10">
        <f>MID(IF(S589="","",", "&amp;S589)&amp;IF(V589="","",", "&amp;V589)&amp;IF(Y589="","",", "&amp;Y589)&amp;IF(AB589="","",", "&amp;AB589)&amp;IF(AE589="","",", "&amp;AE589)&amp;IF(AH589="","",", "&amp;AH589)&amp;IF(AK589="","",", "&amp;AK589)&amp;IF(AN589="","",", "&amp;AN589)&amp;IF(AQ589="","",", "&amp;AQ589)&amp;IF(AT589="","",", "&amp;AT589)&amp;IF(AW589="","",", "&amp;AW589)&amp;IF(AZ589="","",", "&amp;AZ589),3,500)</f>
        <v/>
      </c>
      <c r="BH589" s="12" t="n"/>
      <c r="BI589" s="15">
        <f>IFERROR(MATCH($A589,IF($B589="Onsite",tbl_Onsite[Row ID],IF($B589="Production",tbl_Production[Row ID],tbl_Consulting[Row ID])),0),"")</f>
        <v/>
      </c>
    </row>
    <row r="590">
      <c r="A590" s="10" t="inlineStr">
        <is>
          <t>PRD-0084</t>
        </is>
      </c>
      <c r="B590" s="10" t="inlineStr">
        <is>
          <t>Production</t>
        </is>
      </c>
      <c r="C590" s="10">
        <f>IF($BI590="","",IF($B590="Onsite",INDEX(tbl_Onsite[Job Number],$BI590),IF($B590="Production",INDEX(tbl_Production[Job Number],$BI590),INDEX(tbl_Consulting[Job Number],$BI590)))&amp;"")</f>
        <v/>
      </c>
      <c r="D590" s="10">
        <f>IF($BI590="","",IF($B590="Onsite",INDEX(tbl_Onsite[Client],$BI590),IF($B590="Production",INDEX(tbl_Production[Client],$BI590),INDEX(tbl_Consulting[Client],$BI590)))&amp;"")</f>
        <v/>
      </c>
      <c r="E590" s="10">
        <f>IF($C590="","",IF(COUNTIF(lst_Jobs,$C590)&gt;0,"OK","CHECK"))</f>
        <v/>
      </c>
      <c r="F590" s="10">
        <f>IF($C590="","",IFERROR(INDEX(lst_JobName,MATCH($C590,lst_Jobs,0)),""))</f>
        <v/>
      </c>
      <c r="G590" s="10">
        <f>IF($BI590="","",IF($B590="Onsite",INDEX(tbl_Onsite[Job Description],$BI590),IF($B590="Production",INDEX(tbl_Production[Job Description],$BI590),INDEX(tbl_Consulting[Job Description],$BI590)))&amp;"")</f>
        <v/>
      </c>
      <c r="H590" s="10">
        <f>IF($BI590="","",IF($B590="Onsite",INDEX(tbl_Onsite[Cost Centre],$BI590),IF($B590="Production",INDEX(tbl_Production[Cost Centre],$BI590),INDEX(tbl_Consulting[Cost Centre],$BI590)))&amp;"")</f>
        <v/>
      </c>
      <c r="I590" s="10">
        <f>IF($BI590="","",IF($B590="Onsite",INDEX(tbl_Onsite[Invoice Type],$BI590),IF($B590="Production",INDEX(tbl_Production[Invoice Type],$BI590),INDEX(tbl_Consulting[Invoice Type],$BI590)))&amp;"")</f>
        <v/>
      </c>
      <c r="J590" s="10">
        <f>IF($BI590="","",IF($B590="Onsite",INDEX(tbl_Onsite[Tax Code],$BI590),IF($B590="Production",INDEX(tbl_Production[Tax Code],$BI590),INDEX(tbl_Consulting[Tax Code],$BI590)))&amp;"")</f>
        <v/>
      </c>
      <c r="K590" s="10">
        <f>IF(H590="","",IFERROR(INDEX(lst_CCtoGL,MATCH(H590,lst_CCforGL,0)),""))</f>
        <v/>
      </c>
      <c r="L590" s="10">
        <f>IF($BI590="","",IF($B590="Onsite",INDEX(tbl_Onsite[PO / Reference],$BI590),IF($B590="Production",INDEX(tbl_Production[Current RMS No],$BI590),INDEX(tbl_Consulting[Qwilr Quote],$BI590)))&amp;"")</f>
        <v/>
      </c>
      <c r="M590" s="10">
        <f>IF($BI590="","",IF($B590="Onsite",INDEX(tbl_Onsite[Notes],$BI590),IF($B590="Production",INDEX(tbl_Production[Notes],$BI590),INDEX(tbl_Consulting[Notes],$BI590)))&amp;"")</f>
        <v/>
      </c>
      <c r="N590" s="11">
        <f>IF($BI590="","",IF(IF($B590="Onsite",INDEX(tbl_Onsite[Expected Revenue Ex GST],$BI590),IF($B590="Production",INDEX(tbl_Production[Expected Revenue Ex GST],$BI590),INDEX(tbl_Consulting[Expected Revenue Ex GST],$BI590)))="","",IF($B590="Onsite",INDEX(tbl_Onsite[Expected Revenue Ex GST],$BI590),IF($B590="Production",INDEX(tbl_Production[Expected Revenue Ex GST],$BI590),INDEX(tbl_Consulting[Expected Revenue Ex GST],$BI590)))))</f>
        <v/>
      </c>
      <c r="O590" s="11">
        <f>IF(AND($C590="",NOT(COUNTA($S590:$BB590)&gt;0)),"",SUM(U590,X590,AA590,AD590,AG590,AJ590,AM590,AP590,AS590,AV590,AY590,BB590))</f>
        <v/>
      </c>
      <c r="P590" s="11">
        <f>IF(O590="","",N(N590)-O590)</f>
        <v/>
      </c>
      <c r="Q590" s="10">
        <f>IF(O590="","",IF($C590="","Invoice on empty job row",IF(N590="",IF(ROUND(O590,2)=0,"No dept value","Invoiced - no dept value"),IF(ROUND(O590,2)=0,"Not invoiced - to invoice",IF(ROUND(P590,2)=0,"Agrees",IF(P590&gt;0,"Dept higher - to invoice","Xero higher - check dept"))))))</f>
        <v/>
      </c>
      <c r="R590" s="10">
        <f>IF(AND($C590="",NOT(COUNTA($S590:$BB590)&gt;0),$BI590&lt;&gt;""),"",MID(IF($BI590="","; Row ID not found on the department sheet - a row was deleted","")&amp;IF(AND($C590="",COUNTA($S590:$BB590)&gt;0),"; Invoice entered but the department row has no job number","")&amp;IF(E590="CHECK","; Job number not in the Xero job list","")&amp;IF(AND($C590&lt;&gt;"",COUNTIF($C$7:$C$1506,$C590)&gt;1),"; Job number on more than one row","")&amp;IF(AND($C590&lt;&gt;"",H590=""),"; Dept has not set a cost centre","")&amp;IF(AND($C590&lt;&gt;"",J590=""),"; Dept has not set a tax code","")&amp;IF(AND($C590&lt;&gt;"",N590=""),"; Dept has not entered an expected value","")&amp;IF((IF(OR(COUNTA(S590:U590)=0,AND(COUNTA(S590:U590)=3,ISNUMBER(U590))),0,1)+IF(OR(COUNTA(V590:X590)=0,AND(COUNTA(V590:X590)=3,ISNUMBER(X590))),0,1)+IF(OR(COUNTA(Y590:AA590)=0,AND(COUNTA(Y590:AA590)=3,ISNUMBER(AA590))),0,1)+IF(OR(COUNTA(AB590:AD590)=0,AND(COUNTA(AB590:AD590)=3,ISNUMBER(AD590))),0,1)+IF(OR(COUNTA(AE590:AG590)=0,AND(COUNTA(AE590:AG590)=3,ISNUMBER(AG590))),0,1)+IF(OR(COUNTA(AH590:AJ590)=0,AND(COUNTA(AH590:AJ590)=3,ISNUMBER(AJ590))),0,1)+IF(OR(COUNTA(AK590:AM590)=0,AND(COUNTA(AK590:AM590)=3,ISNUMBER(AM590))),0,1)+IF(OR(COUNTA(AN590:AP590)=0,AND(COUNTA(AN590:AP590)=3,ISNUMBER(AP590))),0,1)+IF(OR(COUNTA(AQ590:AS590)=0,AND(COUNTA(AQ590:AS590)=3,ISNUMBER(AS590))),0,1)+IF(OR(COUNTA(AT590:AV590)=0,AND(COUNTA(AT590:AV590)=3,ISNUMBER(AV590))),0,1)+IF(OR(COUNTA(AW590:AY590)=0,AND(COUNTA(AW590:AY590)=3,ISNUMBER(AY590))),0,1)+IF(OR(COUNTA(AZ590:BB590)=0,AND(COUNTA(AZ590:BB590)=3,ISNUMBER(BB590))),0,1))&gt;0,"; An invoice is incomplete (needs No, Date and a number in Ex GST)","")&amp;IF((IF(T590="",0,IFERROR(--(EOMONTH(T590,0)&lt;&gt;S$5),1))+IF(W590="",0,IFERROR(--(EOMONTH(W590,0)&lt;&gt;V$5),1))+IF(Z590="",0,IFERROR(--(EOMONTH(Z590,0)&lt;&gt;Y$5),1))+IF(AC590="",0,IFERROR(--(EOMONTH(AC590,0)&lt;&gt;AB$5),1))+IF(AF590="",0,IFERROR(--(EOMONTH(AF590,0)&lt;&gt;AE$5),1))+IF(AI590="",0,IFERROR(--(EOMONTH(AI590,0)&lt;&gt;AH$5),1))+IF(AL590="",0,IFERROR(--(EOMONTH(AL590,0)&lt;&gt;AK$5),1))+IF(AO590="",0,IFERROR(--(EOMONTH(AO590,0)&lt;&gt;AN$5),1))+IF(AR590="",0,IFERROR(--(EOMONTH(AR590,0)&lt;&gt;AQ$5),1))+IF(AU590="",0,IFERROR(--(EOMONTH(AU590,0)&lt;&gt;AT$5),1))+IF(AX590="",0,IFERROR(--(EOMONTH(AX590,0)&lt;&gt;AW$5),1))+IF(BA590="",0,IFERROR(--(EOMONTH(BA590,0)&lt;&gt;AZ$5),1)))&gt;0,"; An invoice date is not in the month it is typed under",""),3,500))</f>
        <v/>
      </c>
      <c r="S590" s="12" t="n"/>
      <c r="T590" s="13" t="n"/>
      <c r="U590" s="14" t="n"/>
      <c r="V590" s="12" t="n"/>
      <c r="W590" s="13" t="n"/>
      <c r="X590" s="14" t="n"/>
      <c r="Y590" s="12" t="n"/>
      <c r="Z590" s="13" t="n"/>
      <c r="AA590" s="14" t="n"/>
      <c r="AB590" s="12" t="n"/>
      <c r="AC590" s="13" t="n"/>
      <c r="AD590" s="14" t="n"/>
      <c r="AE590" s="12" t="n"/>
      <c r="AF590" s="13" t="n"/>
      <c r="AG590" s="14" t="n"/>
      <c r="AH590" s="12" t="n"/>
      <c r="AI590" s="13" t="n"/>
      <c r="AJ590" s="14" t="n"/>
      <c r="AK590" s="12" t="n"/>
      <c r="AL590" s="13" t="n"/>
      <c r="AM590" s="14" t="n"/>
      <c r="AN590" s="12" t="n"/>
      <c r="AO590" s="13" t="n"/>
      <c r="AP590" s="14" t="n"/>
      <c r="AQ590" s="12" t="n"/>
      <c r="AR590" s="13" t="n"/>
      <c r="AS590" s="14" t="n"/>
      <c r="AT590" s="12" t="n"/>
      <c r="AU590" s="13" t="n"/>
      <c r="AV590" s="14" t="n"/>
      <c r="AW590" s="12" t="n"/>
      <c r="AX590" s="13" t="n"/>
      <c r="AY590" s="14" t="n"/>
      <c r="AZ590" s="12" t="n"/>
      <c r="BA590" s="13" t="n"/>
      <c r="BB590" s="14" t="n"/>
      <c r="BC590" s="11">
        <f>IF(O590="","",IF(J590="GST 10%",ROUND(O590*set_GSTRate,2),0))</f>
        <v/>
      </c>
      <c r="BD590" s="11">
        <f>IF(O590="","",O590+BC590)</f>
        <v/>
      </c>
      <c r="BE590" s="15">
        <f>IF(O590="","",COUNTA(S590,V590,Y590,AB590,AE590,AH590,AK590,AN590,AQ590,AT590,AW590,AZ590))</f>
        <v/>
      </c>
      <c r="BF590" s="16">
        <f>IF(COUNT(T590,W590,Z590,AC590,AF590,AI590,AL590,AO590,AR590,AU590,AX590,BA590)=0,"",MAX(T590,W590,Z590,AC590,AF590,AI590,AL590,AO590,AR590,AU590,AX590,BA590))</f>
        <v/>
      </c>
      <c r="BG590" s="10">
        <f>MID(IF(S590="","",", "&amp;S590)&amp;IF(V590="","",", "&amp;V590)&amp;IF(Y590="","",", "&amp;Y590)&amp;IF(AB590="","",", "&amp;AB590)&amp;IF(AE590="","",", "&amp;AE590)&amp;IF(AH590="","",", "&amp;AH590)&amp;IF(AK590="","",", "&amp;AK590)&amp;IF(AN590="","",", "&amp;AN590)&amp;IF(AQ590="","",", "&amp;AQ590)&amp;IF(AT590="","",", "&amp;AT590)&amp;IF(AW590="","",", "&amp;AW590)&amp;IF(AZ590="","",", "&amp;AZ590),3,500)</f>
        <v/>
      </c>
      <c r="BH590" s="12" t="n"/>
      <c r="BI590" s="15">
        <f>IFERROR(MATCH($A590,IF($B590="Onsite",tbl_Onsite[Row ID],IF($B590="Production",tbl_Production[Row ID],tbl_Consulting[Row ID])),0),"")</f>
        <v/>
      </c>
    </row>
    <row r="591">
      <c r="A591" s="10" t="inlineStr">
        <is>
          <t>PRD-0085</t>
        </is>
      </c>
      <c r="B591" s="10" t="inlineStr">
        <is>
          <t>Production</t>
        </is>
      </c>
      <c r="C591" s="10">
        <f>IF($BI591="","",IF($B591="Onsite",INDEX(tbl_Onsite[Job Number],$BI591),IF($B591="Production",INDEX(tbl_Production[Job Number],$BI591),INDEX(tbl_Consulting[Job Number],$BI591)))&amp;"")</f>
        <v/>
      </c>
      <c r="D591" s="10">
        <f>IF($BI591="","",IF($B591="Onsite",INDEX(tbl_Onsite[Client],$BI591),IF($B591="Production",INDEX(tbl_Production[Client],$BI591),INDEX(tbl_Consulting[Client],$BI591)))&amp;"")</f>
        <v/>
      </c>
      <c r="E591" s="10">
        <f>IF($C591="","",IF(COUNTIF(lst_Jobs,$C591)&gt;0,"OK","CHECK"))</f>
        <v/>
      </c>
      <c r="F591" s="10">
        <f>IF($C591="","",IFERROR(INDEX(lst_JobName,MATCH($C591,lst_Jobs,0)),""))</f>
        <v/>
      </c>
      <c r="G591" s="10">
        <f>IF($BI591="","",IF($B591="Onsite",INDEX(tbl_Onsite[Job Description],$BI591),IF($B591="Production",INDEX(tbl_Production[Job Description],$BI591),INDEX(tbl_Consulting[Job Description],$BI591)))&amp;"")</f>
        <v/>
      </c>
      <c r="H591" s="10">
        <f>IF($BI591="","",IF($B591="Onsite",INDEX(tbl_Onsite[Cost Centre],$BI591),IF($B591="Production",INDEX(tbl_Production[Cost Centre],$BI591),INDEX(tbl_Consulting[Cost Centre],$BI591)))&amp;"")</f>
        <v/>
      </c>
      <c r="I591" s="10">
        <f>IF($BI591="","",IF($B591="Onsite",INDEX(tbl_Onsite[Invoice Type],$BI591),IF($B591="Production",INDEX(tbl_Production[Invoice Type],$BI591),INDEX(tbl_Consulting[Invoice Type],$BI591)))&amp;"")</f>
        <v/>
      </c>
      <c r="J591" s="10">
        <f>IF($BI591="","",IF($B591="Onsite",INDEX(tbl_Onsite[Tax Code],$BI591),IF($B591="Production",INDEX(tbl_Production[Tax Code],$BI591),INDEX(tbl_Consulting[Tax Code],$BI591)))&amp;"")</f>
        <v/>
      </c>
      <c r="K591" s="10">
        <f>IF(H591="","",IFERROR(INDEX(lst_CCtoGL,MATCH(H591,lst_CCforGL,0)),""))</f>
        <v/>
      </c>
      <c r="L591" s="10">
        <f>IF($BI591="","",IF($B591="Onsite",INDEX(tbl_Onsite[PO / Reference],$BI591),IF($B591="Production",INDEX(tbl_Production[Current RMS No],$BI591),INDEX(tbl_Consulting[Qwilr Quote],$BI591)))&amp;"")</f>
        <v/>
      </c>
      <c r="M591" s="10">
        <f>IF($BI591="","",IF($B591="Onsite",INDEX(tbl_Onsite[Notes],$BI591),IF($B591="Production",INDEX(tbl_Production[Notes],$BI591),INDEX(tbl_Consulting[Notes],$BI591)))&amp;"")</f>
        <v/>
      </c>
      <c r="N591" s="11">
        <f>IF($BI591="","",IF(IF($B591="Onsite",INDEX(tbl_Onsite[Expected Revenue Ex GST],$BI591),IF($B591="Production",INDEX(tbl_Production[Expected Revenue Ex GST],$BI591),INDEX(tbl_Consulting[Expected Revenue Ex GST],$BI591)))="","",IF($B591="Onsite",INDEX(tbl_Onsite[Expected Revenue Ex GST],$BI591),IF($B591="Production",INDEX(tbl_Production[Expected Revenue Ex GST],$BI591),INDEX(tbl_Consulting[Expected Revenue Ex GST],$BI591)))))</f>
        <v/>
      </c>
      <c r="O591" s="11">
        <f>IF(AND($C591="",NOT(COUNTA($S591:$BB591)&gt;0)),"",SUM(U591,X591,AA591,AD591,AG591,AJ591,AM591,AP591,AS591,AV591,AY591,BB591))</f>
        <v/>
      </c>
      <c r="P591" s="11">
        <f>IF(O591="","",N(N591)-O591)</f>
        <v/>
      </c>
      <c r="Q591" s="10">
        <f>IF(O591="","",IF($C591="","Invoice on empty job row",IF(N591="",IF(ROUND(O591,2)=0,"No dept value","Invoiced - no dept value"),IF(ROUND(O591,2)=0,"Not invoiced - to invoice",IF(ROUND(P591,2)=0,"Agrees",IF(P591&gt;0,"Dept higher - to invoice","Xero higher - check dept"))))))</f>
        <v/>
      </c>
      <c r="R591" s="10">
        <f>IF(AND($C591="",NOT(COUNTA($S591:$BB591)&gt;0),$BI591&lt;&gt;""),"",MID(IF($BI591="","; Row ID not found on the department sheet - a row was deleted","")&amp;IF(AND($C591="",COUNTA($S591:$BB591)&gt;0),"; Invoice entered but the department row has no job number","")&amp;IF(E591="CHECK","; Job number not in the Xero job list","")&amp;IF(AND($C591&lt;&gt;"",COUNTIF($C$7:$C$1506,$C591)&gt;1),"; Job number on more than one row","")&amp;IF(AND($C591&lt;&gt;"",H591=""),"; Dept has not set a cost centre","")&amp;IF(AND($C591&lt;&gt;"",J591=""),"; Dept has not set a tax code","")&amp;IF(AND($C591&lt;&gt;"",N591=""),"; Dept has not entered an expected value","")&amp;IF((IF(OR(COUNTA(S591:U591)=0,AND(COUNTA(S591:U591)=3,ISNUMBER(U591))),0,1)+IF(OR(COUNTA(V591:X591)=0,AND(COUNTA(V591:X591)=3,ISNUMBER(X591))),0,1)+IF(OR(COUNTA(Y591:AA591)=0,AND(COUNTA(Y591:AA591)=3,ISNUMBER(AA591))),0,1)+IF(OR(COUNTA(AB591:AD591)=0,AND(COUNTA(AB591:AD591)=3,ISNUMBER(AD591))),0,1)+IF(OR(COUNTA(AE591:AG591)=0,AND(COUNTA(AE591:AG591)=3,ISNUMBER(AG591))),0,1)+IF(OR(COUNTA(AH591:AJ591)=0,AND(COUNTA(AH591:AJ591)=3,ISNUMBER(AJ591))),0,1)+IF(OR(COUNTA(AK591:AM591)=0,AND(COUNTA(AK591:AM591)=3,ISNUMBER(AM591))),0,1)+IF(OR(COUNTA(AN591:AP591)=0,AND(COUNTA(AN591:AP591)=3,ISNUMBER(AP591))),0,1)+IF(OR(COUNTA(AQ591:AS591)=0,AND(COUNTA(AQ591:AS591)=3,ISNUMBER(AS591))),0,1)+IF(OR(COUNTA(AT591:AV591)=0,AND(COUNTA(AT591:AV591)=3,ISNUMBER(AV591))),0,1)+IF(OR(COUNTA(AW591:AY591)=0,AND(COUNTA(AW591:AY591)=3,ISNUMBER(AY591))),0,1)+IF(OR(COUNTA(AZ591:BB591)=0,AND(COUNTA(AZ591:BB591)=3,ISNUMBER(BB591))),0,1))&gt;0,"; An invoice is incomplete (needs No, Date and a number in Ex GST)","")&amp;IF((IF(T591="",0,IFERROR(--(EOMONTH(T591,0)&lt;&gt;S$5),1))+IF(W591="",0,IFERROR(--(EOMONTH(W591,0)&lt;&gt;V$5),1))+IF(Z591="",0,IFERROR(--(EOMONTH(Z591,0)&lt;&gt;Y$5),1))+IF(AC591="",0,IFERROR(--(EOMONTH(AC591,0)&lt;&gt;AB$5),1))+IF(AF591="",0,IFERROR(--(EOMONTH(AF591,0)&lt;&gt;AE$5),1))+IF(AI591="",0,IFERROR(--(EOMONTH(AI591,0)&lt;&gt;AH$5),1))+IF(AL591="",0,IFERROR(--(EOMONTH(AL591,0)&lt;&gt;AK$5),1))+IF(AO591="",0,IFERROR(--(EOMONTH(AO591,0)&lt;&gt;AN$5),1))+IF(AR591="",0,IFERROR(--(EOMONTH(AR591,0)&lt;&gt;AQ$5),1))+IF(AU591="",0,IFERROR(--(EOMONTH(AU591,0)&lt;&gt;AT$5),1))+IF(AX591="",0,IFERROR(--(EOMONTH(AX591,0)&lt;&gt;AW$5),1))+IF(BA591="",0,IFERROR(--(EOMONTH(BA591,0)&lt;&gt;AZ$5),1)))&gt;0,"; An invoice date is not in the month it is typed under",""),3,500))</f>
        <v/>
      </c>
      <c r="S591" s="12" t="n"/>
      <c r="T591" s="13" t="n"/>
      <c r="U591" s="14" t="n"/>
      <c r="V591" s="12" t="n"/>
      <c r="W591" s="13" t="n"/>
      <c r="X591" s="14" t="n"/>
      <c r="Y591" s="12" t="n"/>
      <c r="Z591" s="13" t="n"/>
      <c r="AA591" s="14" t="n"/>
      <c r="AB591" s="12" t="n"/>
      <c r="AC591" s="13" t="n"/>
      <c r="AD591" s="14" t="n"/>
      <c r="AE591" s="12" t="n"/>
      <c r="AF591" s="13" t="n"/>
      <c r="AG591" s="14" t="n"/>
      <c r="AH591" s="12" t="n"/>
      <c r="AI591" s="13" t="n"/>
      <c r="AJ591" s="14" t="n"/>
      <c r="AK591" s="12" t="n"/>
      <c r="AL591" s="13" t="n"/>
      <c r="AM591" s="14" t="n"/>
      <c r="AN591" s="12" t="n"/>
      <c r="AO591" s="13" t="n"/>
      <c r="AP591" s="14" t="n"/>
      <c r="AQ591" s="12" t="n"/>
      <c r="AR591" s="13" t="n"/>
      <c r="AS591" s="14" t="n"/>
      <c r="AT591" s="12" t="n"/>
      <c r="AU591" s="13" t="n"/>
      <c r="AV591" s="14" t="n"/>
      <c r="AW591" s="12" t="n"/>
      <c r="AX591" s="13" t="n"/>
      <c r="AY591" s="14" t="n"/>
      <c r="AZ591" s="12" t="n"/>
      <c r="BA591" s="13" t="n"/>
      <c r="BB591" s="14" t="n"/>
      <c r="BC591" s="11">
        <f>IF(O591="","",IF(J591="GST 10%",ROUND(O591*set_GSTRate,2),0))</f>
        <v/>
      </c>
      <c r="BD591" s="11">
        <f>IF(O591="","",O591+BC591)</f>
        <v/>
      </c>
      <c r="BE591" s="15">
        <f>IF(O591="","",COUNTA(S591,V591,Y591,AB591,AE591,AH591,AK591,AN591,AQ591,AT591,AW591,AZ591))</f>
        <v/>
      </c>
      <c r="BF591" s="16">
        <f>IF(COUNT(T591,W591,Z591,AC591,AF591,AI591,AL591,AO591,AR591,AU591,AX591,BA591)=0,"",MAX(T591,W591,Z591,AC591,AF591,AI591,AL591,AO591,AR591,AU591,AX591,BA591))</f>
        <v/>
      </c>
      <c r="BG591" s="10">
        <f>MID(IF(S591="","",", "&amp;S591)&amp;IF(V591="","",", "&amp;V591)&amp;IF(Y591="","",", "&amp;Y591)&amp;IF(AB591="","",", "&amp;AB591)&amp;IF(AE591="","",", "&amp;AE591)&amp;IF(AH591="","",", "&amp;AH591)&amp;IF(AK591="","",", "&amp;AK591)&amp;IF(AN591="","",", "&amp;AN591)&amp;IF(AQ591="","",", "&amp;AQ591)&amp;IF(AT591="","",", "&amp;AT591)&amp;IF(AW591="","",", "&amp;AW591)&amp;IF(AZ591="","",", "&amp;AZ591),3,500)</f>
        <v/>
      </c>
      <c r="BH591" s="12" t="n"/>
      <c r="BI591" s="15">
        <f>IFERROR(MATCH($A591,IF($B591="Onsite",tbl_Onsite[Row ID],IF($B591="Production",tbl_Production[Row ID],tbl_Consulting[Row ID])),0),"")</f>
        <v/>
      </c>
    </row>
    <row r="592">
      <c r="A592" s="10" t="inlineStr">
        <is>
          <t>PRD-0086</t>
        </is>
      </c>
      <c r="B592" s="10" t="inlineStr">
        <is>
          <t>Production</t>
        </is>
      </c>
      <c r="C592" s="10">
        <f>IF($BI592="","",IF($B592="Onsite",INDEX(tbl_Onsite[Job Number],$BI592),IF($B592="Production",INDEX(tbl_Production[Job Number],$BI592),INDEX(tbl_Consulting[Job Number],$BI592)))&amp;"")</f>
        <v/>
      </c>
      <c r="D592" s="10">
        <f>IF($BI592="","",IF($B592="Onsite",INDEX(tbl_Onsite[Client],$BI592),IF($B592="Production",INDEX(tbl_Production[Client],$BI592),INDEX(tbl_Consulting[Client],$BI592)))&amp;"")</f>
        <v/>
      </c>
      <c r="E592" s="10">
        <f>IF($C592="","",IF(COUNTIF(lst_Jobs,$C592)&gt;0,"OK","CHECK"))</f>
        <v/>
      </c>
      <c r="F592" s="10">
        <f>IF($C592="","",IFERROR(INDEX(lst_JobName,MATCH($C592,lst_Jobs,0)),""))</f>
        <v/>
      </c>
      <c r="G592" s="10">
        <f>IF($BI592="","",IF($B592="Onsite",INDEX(tbl_Onsite[Job Description],$BI592),IF($B592="Production",INDEX(tbl_Production[Job Description],$BI592),INDEX(tbl_Consulting[Job Description],$BI592)))&amp;"")</f>
        <v/>
      </c>
      <c r="H592" s="10">
        <f>IF($BI592="","",IF($B592="Onsite",INDEX(tbl_Onsite[Cost Centre],$BI592),IF($B592="Production",INDEX(tbl_Production[Cost Centre],$BI592),INDEX(tbl_Consulting[Cost Centre],$BI592)))&amp;"")</f>
        <v/>
      </c>
      <c r="I592" s="10">
        <f>IF($BI592="","",IF($B592="Onsite",INDEX(tbl_Onsite[Invoice Type],$BI592),IF($B592="Production",INDEX(tbl_Production[Invoice Type],$BI592),INDEX(tbl_Consulting[Invoice Type],$BI592)))&amp;"")</f>
        <v/>
      </c>
      <c r="J592" s="10">
        <f>IF($BI592="","",IF($B592="Onsite",INDEX(tbl_Onsite[Tax Code],$BI592),IF($B592="Production",INDEX(tbl_Production[Tax Code],$BI592),INDEX(tbl_Consulting[Tax Code],$BI592)))&amp;"")</f>
        <v/>
      </c>
      <c r="K592" s="10">
        <f>IF(H592="","",IFERROR(INDEX(lst_CCtoGL,MATCH(H592,lst_CCforGL,0)),""))</f>
        <v/>
      </c>
      <c r="L592" s="10">
        <f>IF($BI592="","",IF($B592="Onsite",INDEX(tbl_Onsite[PO / Reference],$BI592),IF($B592="Production",INDEX(tbl_Production[Current RMS No],$BI592),INDEX(tbl_Consulting[Qwilr Quote],$BI592)))&amp;"")</f>
        <v/>
      </c>
      <c r="M592" s="10">
        <f>IF($BI592="","",IF($B592="Onsite",INDEX(tbl_Onsite[Notes],$BI592),IF($B592="Production",INDEX(tbl_Production[Notes],$BI592),INDEX(tbl_Consulting[Notes],$BI592)))&amp;"")</f>
        <v/>
      </c>
      <c r="N592" s="11">
        <f>IF($BI592="","",IF(IF($B592="Onsite",INDEX(tbl_Onsite[Expected Revenue Ex GST],$BI592),IF($B592="Production",INDEX(tbl_Production[Expected Revenue Ex GST],$BI592),INDEX(tbl_Consulting[Expected Revenue Ex GST],$BI592)))="","",IF($B592="Onsite",INDEX(tbl_Onsite[Expected Revenue Ex GST],$BI592),IF($B592="Production",INDEX(tbl_Production[Expected Revenue Ex GST],$BI592),INDEX(tbl_Consulting[Expected Revenue Ex GST],$BI592)))))</f>
        <v/>
      </c>
      <c r="O592" s="11">
        <f>IF(AND($C592="",NOT(COUNTA($S592:$BB592)&gt;0)),"",SUM(U592,X592,AA592,AD592,AG592,AJ592,AM592,AP592,AS592,AV592,AY592,BB592))</f>
        <v/>
      </c>
      <c r="P592" s="11">
        <f>IF(O592="","",N(N592)-O592)</f>
        <v/>
      </c>
      <c r="Q592" s="10">
        <f>IF(O592="","",IF($C592="","Invoice on empty job row",IF(N592="",IF(ROUND(O592,2)=0,"No dept value","Invoiced - no dept value"),IF(ROUND(O592,2)=0,"Not invoiced - to invoice",IF(ROUND(P592,2)=0,"Agrees",IF(P592&gt;0,"Dept higher - to invoice","Xero higher - check dept"))))))</f>
        <v/>
      </c>
      <c r="R592" s="10">
        <f>IF(AND($C592="",NOT(COUNTA($S592:$BB592)&gt;0),$BI592&lt;&gt;""),"",MID(IF($BI592="","; Row ID not found on the department sheet - a row was deleted","")&amp;IF(AND($C592="",COUNTA($S592:$BB592)&gt;0),"; Invoice entered but the department row has no job number","")&amp;IF(E592="CHECK","; Job number not in the Xero job list","")&amp;IF(AND($C592&lt;&gt;"",COUNTIF($C$7:$C$1506,$C592)&gt;1),"; Job number on more than one row","")&amp;IF(AND($C592&lt;&gt;"",H592=""),"; Dept has not set a cost centre","")&amp;IF(AND($C592&lt;&gt;"",J592=""),"; Dept has not set a tax code","")&amp;IF(AND($C592&lt;&gt;"",N592=""),"; Dept has not entered an expected value","")&amp;IF((IF(OR(COUNTA(S592:U592)=0,AND(COUNTA(S592:U592)=3,ISNUMBER(U592))),0,1)+IF(OR(COUNTA(V592:X592)=0,AND(COUNTA(V592:X592)=3,ISNUMBER(X592))),0,1)+IF(OR(COUNTA(Y592:AA592)=0,AND(COUNTA(Y592:AA592)=3,ISNUMBER(AA592))),0,1)+IF(OR(COUNTA(AB592:AD592)=0,AND(COUNTA(AB592:AD592)=3,ISNUMBER(AD592))),0,1)+IF(OR(COUNTA(AE592:AG592)=0,AND(COUNTA(AE592:AG592)=3,ISNUMBER(AG592))),0,1)+IF(OR(COUNTA(AH592:AJ592)=0,AND(COUNTA(AH592:AJ592)=3,ISNUMBER(AJ592))),0,1)+IF(OR(COUNTA(AK592:AM592)=0,AND(COUNTA(AK592:AM592)=3,ISNUMBER(AM592))),0,1)+IF(OR(COUNTA(AN592:AP592)=0,AND(COUNTA(AN592:AP592)=3,ISNUMBER(AP592))),0,1)+IF(OR(COUNTA(AQ592:AS592)=0,AND(COUNTA(AQ592:AS592)=3,ISNUMBER(AS592))),0,1)+IF(OR(COUNTA(AT592:AV592)=0,AND(COUNTA(AT592:AV592)=3,ISNUMBER(AV592))),0,1)+IF(OR(COUNTA(AW592:AY592)=0,AND(COUNTA(AW592:AY592)=3,ISNUMBER(AY592))),0,1)+IF(OR(COUNTA(AZ592:BB592)=0,AND(COUNTA(AZ592:BB592)=3,ISNUMBER(BB592))),0,1))&gt;0,"; An invoice is incomplete (needs No, Date and a number in Ex GST)","")&amp;IF((IF(T592="",0,IFERROR(--(EOMONTH(T592,0)&lt;&gt;S$5),1))+IF(W592="",0,IFERROR(--(EOMONTH(W592,0)&lt;&gt;V$5),1))+IF(Z592="",0,IFERROR(--(EOMONTH(Z592,0)&lt;&gt;Y$5),1))+IF(AC592="",0,IFERROR(--(EOMONTH(AC592,0)&lt;&gt;AB$5),1))+IF(AF592="",0,IFERROR(--(EOMONTH(AF592,0)&lt;&gt;AE$5),1))+IF(AI592="",0,IFERROR(--(EOMONTH(AI592,0)&lt;&gt;AH$5),1))+IF(AL592="",0,IFERROR(--(EOMONTH(AL592,0)&lt;&gt;AK$5),1))+IF(AO592="",0,IFERROR(--(EOMONTH(AO592,0)&lt;&gt;AN$5),1))+IF(AR592="",0,IFERROR(--(EOMONTH(AR592,0)&lt;&gt;AQ$5),1))+IF(AU592="",0,IFERROR(--(EOMONTH(AU592,0)&lt;&gt;AT$5),1))+IF(AX592="",0,IFERROR(--(EOMONTH(AX592,0)&lt;&gt;AW$5),1))+IF(BA592="",0,IFERROR(--(EOMONTH(BA592,0)&lt;&gt;AZ$5),1)))&gt;0,"; An invoice date is not in the month it is typed under",""),3,500))</f>
        <v/>
      </c>
      <c r="S592" s="12" t="n"/>
      <c r="T592" s="13" t="n"/>
      <c r="U592" s="14" t="n"/>
      <c r="V592" s="12" t="n"/>
      <c r="W592" s="13" t="n"/>
      <c r="X592" s="14" t="n"/>
      <c r="Y592" s="12" t="n"/>
      <c r="Z592" s="13" t="n"/>
      <c r="AA592" s="14" t="n"/>
      <c r="AB592" s="12" t="n"/>
      <c r="AC592" s="13" t="n"/>
      <c r="AD592" s="14" t="n"/>
      <c r="AE592" s="12" t="n"/>
      <c r="AF592" s="13" t="n"/>
      <c r="AG592" s="14" t="n"/>
      <c r="AH592" s="12" t="n"/>
      <c r="AI592" s="13" t="n"/>
      <c r="AJ592" s="14" t="n"/>
      <c r="AK592" s="12" t="n"/>
      <c r="AL592" s="13" t="n"/>
      <c r="AM592" s="14" t="n"/>
      <c r="AN592" s="12" t="n"/>
      <c r="AO592" s="13" t="n"/>
      <c r="AP592" s="14" t="n"/>
      <c r="AQ592" s="12" t="n"/>
      <c r="AR592" s="13" t="n"/>
      <c r="AS592" s="14" t="n"/>
      <c r="AT592" s="12" t="n"/>
      <c r="AU592" s="13" t="n"/>
      <c r="AV592" s="14" t="n"/>
      <c r="AW592" s="12" t="n"/>
      <c r="AX592" s="13" t="n"/>
      <c r="AY592" s="14" t="n"/>
      <c r="AZ592" s="12" t="n"/>
      <c r="BA592" s="13" t="n"/>
      <c r="BB592" s="14" t="n"/>
      <c r="BC592" s="11">
        <f>IF(O592="","",IF(J592="GST 10%",ROUND(O592*set_GSTRate,2),0))</f>
        <v/>
      </c>
      <c r="BD592" s="11">
        <f>IF(O592="","",O592+BC592)</f>
        <v/>
      </c>
      <c r="BE592" s="15">
        <f>IF(O592="","",COUNTA(S592,V592,Y592,AB592,AE592,AH592,AK592,AN592,AQ592,AT592,AW592,AZ592))</f>
        <v/>
      </c>
      <c r="BF592" s="16">
        <f>IF(COUNT(T592,W592,Z592,AC592,AF592,AI592,AL592,AO592,AR592,AU592,AX592,BA592)=0,"",MAX(T592,W592,Z592,AC592,AF592,AI592,AL592,AO592,AR592,AU592,AX592,BA592))</f>
        <v/>
      </c>
      <c r="BG592" s="10">
        <f>MID(IF(S592="","",", "&amp;S592)&amp;IF(V592="","",", "&amp;V592)&amp;IF(Y592="","",", "&amp;Y592)&amp;IF(AB592="","",", "&amp;AB592)&amp;IF(AE592="","",", "&amp;AE592)&amp;IF(AH592="","",", "&amp;AH592)&amp;IF(AK592="","",", "&amp;AK592)&amp;IF(AN592="","",", "&amp;AN592)&amp;IF(AQ592="","",", "&amp;AQ592)&amp;IF(AT592="","",", "&amp;AT592)&amp;IF(AW592="","",", "&amp;AW592)&amp;IF(AZ592="","",", "&amp;AZ592),3,500)</f>
        <v/>
      </c>
      <c r="BH592" s="12" t="n"/>
      <c r="BI592" s="15">
        <f>IFERROR(MATCH($A592,IF($B592="Onsite",tbl_Onsite[Row ID],IF($B592="Production",tbl_Production[Row ID],tbl_Consulting[Row ID])),0),"")</f>
        <v/>
      </c>
    </row>
    <row r="593">
      <c r="A593" s="10" t="inlineStr">
        <is>
          <t>PRD-0087</t>
        </is>
      </c>
      <c r="B593" s="10" t="inlineStr">
        <is>
          <t>Production</t>
        </is>
      </c>
      <c r="C593" s="10">
        <f>IF($BI593="","",IF($B593="Onsite",INDEX(tbl_Onsite[Job Number],$BI593),IF($B593="Production",INDEX(tbl_Production[Job Number],$BI593),INDEX(tbl_Consulting[Job Number],$BI593)))&amp;"")</f>
        <v/>
      </c>
      <c r="D593" s="10">
        <f>IF($BI593="","",IF($B593="Onsite",INDEX(tbl_Onsite[Client],$BI593),IF($B593="Production",INDEX(tbl_Production[Client],$BI593),INDEX(tbl_Consulting[Client],$BI593)))&amp;"")</f>
        <v/>
      </c>
      <c r="E593" s="10">
        <f>IF($C593="","",IF(COUNTIF(lst_Jobs,$C593)&gt;0,"OK","CHECK"))</f>
        <v/>
      </c>
      <c r="F593" s="10">
        <f>IF($C593="","",IFERROR(INDEX(lst_JobName,MATCH($C593,lst_Jobs,0)),""))</f>
        <v/>
      </c>
      <c r="G593" s="10">
        <f>IF($BI593="","",IF($B593="Onsite",INDEX(tbl_Onsite[Job Description],$BI593),IF($B593="Production",INDEX(tbl_Production[Job Description],$BI593),INDEX(tbl_Consulting[Job Description],$BI593)))&amp;"")</f>
        <v/>
      </c>
      <c r="H593" s="10">
        <f>IF($BI593="","",IF($B593="Onsite",INDEX(tbl_Onsite[Cost Centre],$BI593),IF($B593="Production",INDEX(tbl_Production[Cost Centre],$BI593),INDEX(tbl_Consulting[Cost Centre],$BI593)))&amp;"")</f>
        <v/>
      </c>
      <c r="I593" s="10">
        <f>IF($BI593="","",IF($B593="Onsite",INDEX(tbl_Onsite[Invoice Type],$BI593),IF($B593="Production",INDEX(tbl_Production[Invoice Type],$BI593),INDEX(tbl_Consulting[Invoice Type],$BI593)))&amp;"")</f>
        <v/>
      </c>
      <c r="J593" s="10">
        <f>IF($BI593="","",IF($B593="Onsite",INDEX(tbl_Onsite[Tax Code],$BI593),IF($B593="Production",INDEX(tbl_Production[Tax Code],$BI593),INDEX(tbl_Consulting[Tax Code],$BI593)))&amp;"")</f>
        <v/>
      </c>
      <c r="K593" s="10">
        <f>IF(H593="","",IFERROR(INDEX(lst_CCtoGL,MATCH(H593,lst_CCforGL,0)),""))</f>
        <v/>
      </c>
      <c r="L593" s="10">
        <f>IF($BI593="","",IF($B593="Onsite",INDEX(tbl_Onsite[PO / Reference],$BI593),IF($B593="Production",INDEX(tbl_Production[Current RMS No],$BI593),INDEX(tbl_Consulting[Qwilr Quote],$BI593)))&amp;"")</f>
        <v/>
      </c>
      <c r="M593" s="10">
        <f>IF($BI593="","",IF($B593="Onsite",INDEX(tbl_Onsite[Notes],$BI593),IF($B593="Production",INDEX(tbl_Production[Notes],$BI593),INDEX(tbl_Consulting[Notes],$BI593)))&amp;"")</f>
        <v/>
      </c>
      <c r="N593" s="11">
        <f>IF($BI593="","",IF(IF($B593="Onsite",INDEX(tbl_Onsite[Expected Revenue Ex GST],$BI593),IF($B593="Production",INDEX(tbl_Production[Expected Revenue Ex GST],$BI593),INDEX(tbl_Consulting[Expected Revenue Ex GST],$BI593)))="","",IF($B593="Onsite",INDEX(tbl_Onsite[Expected Revenue Ex GST],$BI593),IF($B593="Production",INDEX(tbl_Production[Expected Revenue Ex GST],$BI593),INDEX(tbl_Consulting[Expected Revenue Ex GST],$BI593)))))</f>
        <v/>
      </c>
      <c r="O593" s="11">
        <f>IF(AND($C593="",NOT(COUNTA($S593:$BB593)&gt;0)),"",SUM(U593,X593,AA593,AD593,AG593,AJ593,AM593,AP593,AS593,AV593,AY593,BB593))</f>
        <v/>
      </c>
      <c r="P593" s="11">
        <f>IF(O593="","",N(N593)-O593)</f>
        <v/>
      </c>
      <c r="Q593" s="10">
        <f>IF(O593="","",IF($C593="","Invoice on empty job row",IF(N593="",IF(ROUND(O593,2)=0,"No dept value","Invoiced - no dept value"),IF(ROUND(O593,2)=0,"Not invoiced - to invoice",IF(ROUND(P593,2)=0,"Agrees",IF(P593&gt;0,"Dept higher - to invoice","Xero higher - check dept"))))))</f>
        <v/>
      </c>
      <c r="R593" s="10">
        <f>IF(AND($C593="",NOT(COUNTA($S593:$BB593)&gt;0),$BI593&lt;&gt;""),"",MID(IF($BI593="","; Row ID not found on the department sheet - a row was deleted","")&amp;IF(AND($C593="",COUNTA($S593:$BB593)&gt;0),"; Invoice entered but the department row has no job number","")&amp;IF(E593="CHECK","; Job number not in the Xero job list","")&amp;IF(AND($C593&lt;&gt;"",COUNTIF($C$7:$C$1506,$C593)&gt;1),"; Job number on more than one row","")&amp;IF(AND($C593&lt;&gt;"",H593=""),"; Dept has not set a cost centre","")&amp;IF(AND($C593&lt;&gt;"",J593=""),"; Dept has not set a tax code","")&amp;IF(AND($C593&lt;&gt;"",N593=""),"; Dept has not entered an expected value","")&amp;IF((IF(OR(COUNTA(S593:U593)=0,AND(COUNTA(S593:U593)=3,ISNUMBER(U593))),0,1)+IF(OR(COUNTA(V593:X593)=0,AND(COUNTA(V593:X593)=3,ISNUMBER(X593))),0,1)+IF(OR(COUNTA(Y593:AA593)=0,AND(COUNTA(Y593:AA593)=3,ISNUMBER(AA593))),0,1)+IF(OR(COUNTA(AB593:AD593)=0,AND(COUNTA(AB593:AD593)=3,ISNUMBER(AD593))),0,1)+IF(OR(COUNTA(AE593:AG593)=0,AND(COUNTA(AE593:AG593)=3,ISNUMBER(AG593))),0,1)+IF(OR(COUNTA(AH593:AJ593)=0,AND(COUNTA(AH593:AJ593)=3,ISNUMBER(AJ593))),0,1)+IF(OR(COUNTA(AK593:AM593)=0,AND(COUNTA(AK593:AM593)=3,ISNUMBER(AM593))),0,1)+IF(OR(COUNTA(AN593:AP593)=0,AND(COUNTA(AN593:AP593)=3,ISNUMBER(AP593))),0,1)+IF(OR(COUNTA(AQ593:AS593)=0,AND(COUNTA(AQ593:AS593)=3,ISNUMBER(AS593))),0,1)+IF(OR(COUNTA(AT593:AV593)=0,AND(COUNTA(AT593:AV593)=3,ISNUMBER(AV593))),0,1)+IF(OR(COUNTA(AW593:AY593)=0,AND(COUNTA(AW593:AY593)=3,ISNUMBER(AY593))),0,1)+IF(OR(COUNTA(AZ593:BB593)=0,AND(COUNTA(AZ593:BB593)=3,ISNUMBER(BB593))),0,1))&gt;0,"; An invoice is incomplete (needs No, Date and a number in Ex GST)","")&amp;IF((IF(T593="",0,IFERROR(--(EOMONTH(T593,0)&lt;&gt;S$5),1))+IF(W593="",0,IFERROR(--(EOMONTH(W593,0)&lt;&gt;V$5),1))+IF(Z593="",0,IFERROR(--(EOMONTH(Z593,0)&lt;&gt;Y$5),1))+IF(AC593="",0,IFERROR(--(EOMONTH(AC593,0)&lt;&gt;AB$5),1))+IF(AF593="",0,IFERROR(--(EOMONTH(AF593,0)&lt;&gt;AE$5),1))+IF(AI593="",0,IFERROR(--(EOMONTH(AI593,0)&lt;&gt;AH$5),1))+IF(AL593="",0,IFERROR(--(EOMONTH(AL593,0)&lt;&gt;AK$5),1))+IF(AO593="",0,IFERROR(--(EOMONTH(AO593,0)&lt;&gt;AN$5),1))+IF(AR593="",0,IFERROR(--(EOMONTH(AR593,0)&lt;&gt;AQ$5),1))+IF(AU593="",0,IFERROR(--(EOMONTH(AU593,0)&lt;&gt;AT$5),1))+IF(AX593="",0,IFERROR(--(EOMONTH(AX593,0)&lt;&gt;AW$5),1))+IF(BA593="",0,IFERROR(--(EOMONTH(BA593,0)&lt;&gt;AZ$5),1)))&gt;0,"; An invoice date is not in the month it is typed under",""),3,500))</f>
        <v/>
      </c>
      <c r="S593" s="12" t="n"/>
      <c r="T593" s="13" t="n"/>
      <c r="U593" s="14" t="n"/>
      <c r="V593" s="12" t="n"/>
      <c r="W593" s="13" t="n"/>
      <c r="X593" s="14" t="n"/>
      <c r="Y593" s="12" t="n"/>
      <c r="Z593" s="13" t="n"/>
      <c r="AA593" s="14" t="n"/>
      <c r="AB593" s="12" t="n"/>
      <c r="AC593" s="13" t="n"/>
      <c r="AD593" s="14" t="n"/>
      <c r="AE593" s="12" t="n"/>
      <c r="AF593" s="13" t="n"/>
      <c r="AG593" s="14" t="n"/>
      <c r="AH593" s="12" t="n"/>
      <c r="AI593" s="13" t="n"/>
      <c r="AJ593" s="14" t="n"/>
      <c r="AK593" s="12" t="n"/>
      <c r="AL593" s="13" t="n"/>
      <c r="AM593" s="14" t="n"/>
      <c r="AN593" s="12" t="n"/>
      <c r="AO593" s="13" t="n"/>
      <c r="AP593" s="14" t="n"/>
      <c r="AQ593" s="12" t="n"/>
      <c r="AR593" s="13" t="n"/>
      <c r="AS593" s="14" t="n"/>
      <c r="AT593" s="12" t="n"/>
      <c r="AU593" s="13" t="n"/>
      <c r="AV593" s="14" t="n"/>
      <c r="AW593" s="12" t="n"/>
      <c r="AX593" s="13" t="n"/>
      <c r="AY593" s="14" t="n"/>
      <c r="AZ593" s="12" t="n"/>
      <c r="BA593" s="13" t="n"/>
      <c r="BB593" s="14" t="n"/>
      <c r="BC593" s="11">
        <f>IF(O593="","",IF(J593="GST 10%",ROUND(O593*set_GSTRate,2),0))</f>
        <v/>
      </c>
      <c r="BD593" s="11">
        <f>IF(O593="","",O593+BC593)</f>
        <v/>
      </c>
      <c r="BE593" s="15">
        <f>IF(O593="","",COUNTA(S593,V593,Y593,AB593,AE593,AH593,AK593,AN593,AQ593,AT593,AW593,AZ593))</f>
        <v/>
      </c>
      <c r="BF593" s="16">
        <f>IF(COUNT(T593,W593,Z593,AC593,AF593,AI593,AL593,AO593,AR593,AU593,AX593,BA593)=0,"",MAX(T593,W593,Z593,AC593,AF593,AI593,AL593,AO593,AR593,AU593,AX593,BA593))</f>
        <v/>
      </c>
      <c r="BG593" s="10">
        <f>MID(IF(S593="","",", "&amp;S593)&amp;IF(V593="","",", "&amp;V593)&amp;IF(Y593="","",", "&amp;Y593)&amp;IF(AB593="","",", "&amp;AB593)&amp;IF(AE593="","",", "&amp;AE593)&amp;IF(AH593="","",", "&amp;AH593)&amp;IF(AK593="","",", "&amp;AK593)&amp;IF(AN593="","",", "&amp;AN593)&amp;IF(AQ593="","",", "&amp;AQ593)&amp;IF(AT593="","",", "&amp;AT593)&amp;IF(AW593="","",", "&amp;AW593)&amp;IF(AZ593="","",", "&amp;AZ593),3,500)</f>
        <v/>
      </c>
      <c r="BH593" s="12" t="n"/>
      <c r="BI593" s="15">
        <f>IFERROR(MATCH($A593,IF($B593="Onsite",tbl_Onsite[Row ID],IF($B593="Production",tbl_Production[Row ID],tbl_Consulting[Row ID])),0),"")</f>
        <v/>
      </c>
    </row>
    <row r="594">
      <c r="A594" s="10" t="inlineStr">
        <is>
          <t>PRD-0088</t>
        </is>
      </c>
      <c r="B594" s="10" t="inlineStr">
        <is>
          <t>Production</t>
        </is>
      </c>
      <c r="C594" s="10">
        <f>IF($BI594="","",IF($B594="Onsite",INDEX(tbl_Onsite[Job Number],$BI594),IF($B594="Production",INDEX(tbl_Production[Job Number],$BI594),INDEX(tbl_Consulting[Job Number],$BI594)))&amp;"")</f>
        <v/>
      </c>
      <c r="D594" s="10">
        <f>IF($BI594="","",IF($B594="Onsite",INDEX(tbl_Onsite[Client],$BI594),IF($B594="Production",INDEX(tbl_Production[Client],$BI594),INDEX(tbl_Consulting[Client],$BI594)))&amp;"")</f>
        <v/>
      </c>
      <c r="E594" s="10">
        <f>IF($C594="","",IF(COUNTIF(lst_Jobs,$C594)&gt;0,"OK","CHECK"))</f>
        <v/>
      </c>
      <c r="F594" s="10">
        <f>IF($C594="","",IFERROR(INDEX(lst_JobName,MATCH($C594,lst_Jobs,0)),""))</f>
        <v/>
      </c>
      <c r="G594" s="10">
        <f>IF($BI594="","",IF($B594="Onsite",INDEX(tbl_Onsite[Job Description],$BI594),IF($B594="Production",INDEX(tbl_Production[Job Description],$BI594),INDEX(tbl_Consulting[Job Description],$BI594)))&amp;"")</f>
        <v/>
      </c>
      <c r="H594" s="10">
        <f>IF($BI594="","",IF($B594="Onsite",INDEX(tbl_Onsite[Cost Centre],$BI594),IF($B594="Production",INDEX(tbl_Production[Cost Centre],$BI594),INDEX(tbl_Consulting[Cost Centre],$BI594)))&amp;"")</f>
        <v/>
      </c>
      <c r="I594" s="10">
        <f>IF($BI594="","",IF($B594="Onsite",INDEX(tbl_Onsite[Invoice Type],$BI594),IF($B594="Production",INDEX(tbl_Production[Invoice Type],$BI594),INDEX(tbl_Consulting[Invoice Type],$BI594)))&amp;"")</f>
        <v/>
      </c>
      <c r="J594" s="10">
        <f>IF($BI594="","",IF($B594="Onsite",INDEX(tbl_Onsite[Tax Code],$BI594),IF($B594="Production",INDEX(tbl_Production[Tax Code],$BI594),INDEX(tbl_Consulting[Tax Code],$BI594)))&amp;"")</f>
        <v/>
      </c>
      <c r="K594" s="10">
        <f>IF(H594="","",IFERROR(INDEX(lst_CCtoGL,MATCH(H594,lst_CCforGL,0)),""))</f>
        <v/>
      </c>
      <c r="L594" s="10">
        <f>IF($BI594="","",IF($B594="Onsite",INDEX(tbl_Onsite[PO / Reference],$BI594),IF($B594="Production",INDEX(tbl_Production[Current RMS No],$BI594),INDEX(tbl_Consulting[Qwilr Quote],$BI594)))&amp;"")</f>
        <v/>
      </c>
      <c r="M594" s="10">
        <f>IF($BI594="","",IF($B594="Onsite",INDEX(tbl_Onsite[Notes],$BI594),IF($B594="Production",INDEX(tbl_Production[Notes],$BI594),INDEX(tbl_Consulting[Notes],$BI594)))&amp;"")</f>
        <v/>
      </c>
      <c r="N594" s="11">
        <f>IF($BI594="","",IF(IF($B594="Onsite",INDEX(tbl_Onsite[Expected Revenue Ex GST],$BI594),IF($B594="Production",INDEX(tbl_Production[Expected Revenue Ex GST],$BI594),INDEX(tbl_Consulting[Expected Revenue Ex GST],$BI594)))="","",IF($B594="Onsite",INDEX(tbl_Onsite[Expected Revenue Ex GST],$BI594),IF($B594="Production",INDEX(tbl_Production[Expected Revenue Ex GST],$BI594),INDEX(tbl_Consulting[Expected Revenue Ex GST],$BI594)))))</f>
        <v/>
      </c>
      <c r="O594" s="11">
        <f>IF(AND($C594="",NOT(COUNTA($S594:$BB594)&gt;0)),"",SUM(U594,X594,AA594,AD594,AG594,AJ594,AM594,AP594,AS594,AV594,AY594,BB594))</f>
        <v/>
      </c>
      <c r="P594" s="11">
        <f>IF(O594="","",N(N594)-O594)</f>
        <v/>
      </c>
      <c r="Q594" s="10">
        <f>IF(O594="","",IF($C594="","Invoice on empty job row",IF(N594="",IF(ROUND(O594,2)=0,"No dept value","Invoiced - no dept value"),IF(ROUND(O594,2)=0,"Not invoiced - to invoice",IF(ROUND(P594,2)=0,"Agrees",IF(P594&gt;0,"Dept higher - to invoice","Xero higher - check dept"))))))</f>
        <v/>
      </c>
      <c r="R594" s="10">
        <f>IF(AND($C594="",NOT(COUNTA($S594:$BB594)&gt;0),$BI594&lt;&gt;""),"",MID(IF($BI594="","; Row ID not found on the department sheet - a row was deleted","")&amp;IF(AND($C594="",COUNTA($S594:$BB594)&gt;0),"; Invoice entered but the department row has no job number","")&amp;IF(E594="CHECK","; Job number not in the Xero job list","")&amp;IF(AND($C594&lt;&gt;"",COUNTIF($C$7:$C$1506,$C594)&gt;1),"; Job number on more than one row","")&amp;IF(AND($C594&lt;&gt;"",H594=""),"; Dept has not set a cost centre","")&amp;IF(AND($C594&lt;&gt;"",J594=""),"; Dept has not set a tax code","")&amp;IF(AND($C594&lt;&gt;"",N594=""),"; Dept has not entered an expected value","")&amp;IF((IF(OR(COUNTA(S594:U594)=0,AND(COUNTA(S594:U594)=3,ISNUMBER(U594))),0,1)+IF(OR(COUNTA(V594:X594)=0,AND(COUNTA(V594:X594)=3,ISNUMBER(X594))),0,1)+IF(OR(COUNTA(Y594:AA594)=0,AND(COUNTA(Y594:AA594)=3,ISNUMBER(AA594))),0,1)+IF(OR(COUNTA(AB594:AD594)=0,AND(COUNTA(AB594:AD594)=3,ISNUMBER(AD594))),0,1)+IF(OR(COUNTA(AE594:AG594)=0,AND(COUNTA(AE594:AG594)=3,ISNUMBER(AG594))),0,1)+IF(OR(COUNTA(AH594:AJ594)=0,AND(COUNTA(AH594:AJ594)=3,ISNUMBER(AJ594))),0,1)+IF(OR(COUNTA(AK594:AM594)=0,AND(COUNTA(AK594:AM594)=3,ISNUMBER(AM594))),0,1)+IF(OR(COUNTA(AN594:AP594)=0,AND(COUNTA(AN594:AP594)=3,ISNUMBER(AP594))),0,1)+IF(OR(COUNTA(AQ594:AS594)=0,AND(COUNTA(AQ594:AS594)=3,ISNUMBER(AS594))),0,1)+IF(OR(COUNTA(AT594:AV594)=0,AND(COUNTA(AT594:AV594)=3,ISNUMBER(AV594))),0,1)+IF(OR(COUNTA(AW594:AY594)=0,AND(COUNTA(AW594:AY594)=3,ISNUMBER(AY594))),0,1)+IF(OR(COUNTA(AZ594:BB594)=0,AND(COUNTA(AZ594:BB594)=3,ISNUMBER(BB594))),0,1))&gt;0,"; An invoice is incomplete (needs No, Date and a number in Ex GST)","")&amp;IF((IF(T594="",0,IFERROR(--(EOMONTH(T594,0)&lt;&gt;S$5),1))+IF(W594="",0,IFERROR(--(EOMONTH(W594,0)&lt;&gt;V$5),1))+IF(Z594="",0,IFERROR(--(EOMONTH(Z594,0)&lt;&gt;Y$5),1))+IF(AC594="",0,IFERROR(--(EOMONTH(AC594,0)&lt;&gt;AB$5),1))+IF(AF594="",0,IFERROR(--(EOMONTH(AF594,0)&lt;&gt;AE$5),1))+IF(AI594="",0,IFERROR(--(EOMONTH(AI594,0)&lt;&gt;AH$5),1))+IF(AL594="",0,IFERROR(--(EOMONTH(AL594,0)&lt;&gt;AK$5),1))+IF(AO594="",0,IFERROR(--(EOMONTH(AO594,0)&lt;&gt;AN$5),1))+IF(AR594="",0,IFERROR(--(EOMONTH(AR594,0)&lt;&gt;AQ$5),1))+IF(AU594="",0,IFERROR(--(EOMONTH(AU594,0)&lt;&gt;AT$5),1))+IF(AX594="",0,IFERROR(--(EOMONTH(AX594,0)&lt;&gt;AW$5),1))+IF(BA594="",0,IFERROR(--(EOMONTH(BA594,0)&lt;&gt;AZ$5),1)))&gt;0,"; An invoice date is not in the month it is typed under",""),3,500))</f>
        <v/>
      </c>
      <c r="S594" s="12" t="n"/>
      <c r="T594" s="13" t="n"/>
      <c r="U594" s="14" t="n"/>
      <c r="V594" s="12" t="n"/>
      <c r="W594" s="13" t="n"/>
      <c r="X594" s="14" t="n"/>
      <c r="Y594" s="12" t="n"/>
      <c r="Z594" s="13" t="n"/>
      <c r="AA594" s="14" t="n"/>
      <c r="AB594" s="12" t="n"/>
      <c r="AC594" s="13" t="n"/>
      <c r="AD594" s="14" t="n"/>
      <c r="AE594" s="12" t="n"/>
      <c r="AF594" s="13" t="n"/>
      <c r="AG594" s="14" t="n"/>
      <c r="AH594" s="12" t="n"/>
      <c r="AI594" s="13" t="n"/>
      <c r="AJ594" s="14" t="n"/>
      <c r="AK594" s="12" t="n"/>
      <c r="AL594" s="13" t="n"/>
      <c r="AM594" s="14" t="n"/>
      <c r="AN594" s="12" t="n"/>
      <c r="AO594" s="13" t="n"/>
      <c r="AP594" s="14" t="n"/>
      <c r="AQ594" s="12" t="n"/>
      <c r="AR594" s="13" t="n"/>
      <c r="AS594" s="14" t="n"/>
      <c r="AT594" s="12" t="n"/>
      <c r="AU594" s="13" t="n"/>
      <c r="AV594" s="14" t="n"/>
      <c r="AW594" s="12" t="n"/>
      <c r="AX594" s="13" t="n"/>
      <c r="AY594" s="14" t="n"/>
      <c r="AZ594" s="12" t="n"/>
      <c r="BA594" s="13" t="n"/>
      <c r="BB594" s="14" t="n"/>
      <c r="BC594" s="11">
        <f>IF(O594="","",IF(J594="GST 10%",ROUND(O594*set_GSTRate,2),0))</f>
        <v/>
      </c>
      <c r="BD594" s="11">
        <f>IF(O594="","",O594+BC594)</f>
        <v/>
      </c>
      <c r="BE594" s="15">
        <f>IF(O594="","",COUNTA(S594,V594,Y594,AB594,AE594,AH594,AK594,AN594,AQ594,AT594,AW594,AZ594))</f>
        <v/>
      </c>
      <c r="BF594" s="16">
        <f>IF(COUNT(T594,W594,Z594,AC594,AF594,AI594,AL594,AO594,AR594,AU594,AX594,BA594)=0,"",MAX(T594,W594,Z594,AC594,AF594,AI594,AL594,AO594,AR594,AU594,AX594,BA594))</f>
        <v/>
      </c>
      <c r="BG594" s="10">
        <f>MID(IF(S594="","",", "&amp;S594)&amp;IF(V594="","",", "&amp;V594)&amp;IF(Y594="","",", "&amp;Y594)&amp;IF(AB594="","",", "&amp;AB594)&amp;IF(AE594="","",", "&amp;AE594)&amp;IF(AH594="","",", "&amp;AH594)&amp;IF(AK594="","",", "&amp;AK594)&amp;IF(AN594="","",", "&amp;AN594)&amp;IF(AQ594="","",", "&amp;AQ594)&amp;IF(AT594="","",", "&amp;AT594)&amp;IF(AW594="","",", "&amp;AW594)&amp;IF(AZ594="","",", "&amp;AZ594),3,500)</f>
        <v/>
      </c>
      <c r="BH594" s="12" t="n"/>
      <c r="BI594" s="15">
        <f>IFERROR(MATCH($A594,IF($B594="Onsite",tbl_Onsite[Row ID],IF($B594="Production",tbl_Production[Row ID],tbl_Consulting[Row ID])),0),"")</f>
        <v/>
      </c>
    </row>
    <row r="595">
      <c r="A595" s="10" t="inlineStr">
        <is>
          <t>PRD-0089</t>
        </is>
      </c>
      <c r="B595" s="10" t="inlineStr">
        <is>
          <t>Production</t>
        </is>
      </c>
      <c r="C595" s="10">
        <f>IF($BI595="","",IF($B595="Onsite",INDEX(tbl_Onsite[Job Number],$BI595),IF($B595="Production",INDEX(tbl_Production[Job Number],$BI595),INDEX(tbl_Consulting[Job Number],$BI595)))&amp;"")</f>
        <v/>
      </c>
      <c r="D595" s="10">
        <f>IF($BI595="","",IF($B595="Onsite",INDEX(tbl_Onsite[Client],$BI595),IF($B595="Production",INDEX(tbl_Production[Client],$BI595),INDEX(tbl_Consulting[Client],$BI595)))&amp;"")</f>
        <v/>
      </c>
      <c r="E595" s="10">
        <f>IF($C595="","",IF(COUNTIF(lst_Jobs,$C595)&gt;0,"OK","CHECK"))</f>
        <v/>
      </c>
      <c r="F595" s="10">
        <f>IF($C595="","",IFERROR(INDEX(lst_JobName,MATCH($C595,lst_Jobs,0)),""))</f>
        <v/>
      </c>
      <c r="G595" s="10">
        <f>IF($BI595="","",IF($B595="Onsite",INDEX(tbl_Onsite[Job Description],$BI595),IF($B595="Production",INDEX(tbl_Production[Job Description],$BI595),INDEX(tbl_Consulting[Job Description],$BI595)))&amp;"")</f>
        <v/>
      </c>
      <c r="H595" s="10">
        <f>IF($BI595="","",IF($B595="Onsite",INDEX(tbl_Onsite[Cost Centre],$BI595),IF($B595="Production",INDEX(tbl_Production[Cost Centre],$BI595),INDEX(tbl_Consulting[Cost Centre],$BI595)))&amp;"")</f>
        <v/>
      </c>
      <c r="I595" s="10">
        <f>IF($BI595="","",IF($B595="Onsite",INDEX(tbl_Onsite[Invoice Type],$BI595),IF($B595="Production",INDEX(tbl_Production[Invoice Type],$BI595),INDEX(tbl_Consulting[Invoice Type],$BI595)))&amp;"")</f>
        <v/>
      </c>
      <c r="J595" s="10">
        <f>IF($BI595="","",IF($B595="Onsite",INDEX(tbl_Onsite[Tax Code],$BI595),IF($B595="Production",INDEX(tbl_Production[Tax Code],$BI595),INDEX(tbl_Consulting[Tax Code],$BI595)))&amp;"")</f>
        <v/>
      </c>
      <c r="K595" s="10">
        <f>IF(H595="","",IFERROR(INDEX(lst_CCtoGL,MATCH(H595,lst_CCforGL,0)),""))</f>
        <v/>
      </c>
      <c r="L595" s="10">
        <f>IF($BI595="","",IF($B595="Onsite",INDEX(tbl_Onsite[PO / Reference],$BI595),IF($B595="Production",INDEX(tbl_Production[Current RMS No],$BI595),INDEX(tbl_Consulting[Qwilr Quote],$BI595)))&amp;"")</f>
        <v/>
      </c>
      <c r="M595" s="10">
        <f>IF($BI595="","",IF($B595="Onsite",INDEX(tbl_Onsite[Notes],$BI595),IF($B595="Production",INDEX(tbl_Production[Notes],$BI595),INDEX(tbl_Consulting[Notes],$BI595)))&amp;"")</f>
        <v/>
      </c>
      <c r="N595" s="11">
        <f>IF($BI595="","",IF(IF($B595="Onsite",INDEX(tbl_Onsite[Expected Revenue Ex GST],$BI595),IF($B595="Production",INDEX(tbl_Production[Expected Revenue Ex GST],$BI595),INDEX(tbl_Consulting[Expected Revenue Ex GST],$BI595)))="","",IF($B595="Onsite",INDEX(tbl_Onsite[Expected Revenue Ex GST],$BI595),IF($B595="Production",INDEX(tbl_Production[Expected Revenue Ex GST],$BI595),INDEX(tbl_Consulting[Expected Revenue Ex GST],$BI595)))))</f>
        <v/>
      </c>
      <c r="O595" s="11">
        <f>IF(AND($C595="",NOT(COUNTA($S595:$BB595)&gt;0)),"",SUM(U595,X595,AA595,AD595,AG595,AJ595,AM595,AP595,AS595,AV595,AY595,BB595))</f>
        <v/>
      </c>
      <c r="P595" s="11">
        <f>IF(O595="","",N(N595)-O595)</f>
        <v/>
      </c>
      <c r="Q595" s="10">
        <f>IF(O595="","",IF($C595="","Invoice on empty job row",IF(N595="",IF(ROUND(O595,2)=0,"No dept value","Invoiced - no dept value"),IF(ROUND(O595,2)=0,"Not invoiced - to invoice",IF(ROUND(P595,2)=0,"Agrees",IF(P595&gt;0,"Dept higher - to invoice","Xero higher - check dept"))))))</f>
        <v/>
      </c>
      <c r="R595" s="10">
        <f>IF(AND($C595="",NOT(COUNTA($S595:$BB595)&gt;0),$BI595&lt;&gt;""),"",MID(IF($BI595="","; Row ID not found on the department sheet - a row was deleted","")&amp;IF(AND($C595="",COUNTA($S595:$BB595)&gt;0),"; Invoice entered but the department row has no job number","")&amp;IF(E595="CHECK","; Job number not in the Xero job list","")&amp;IF(AND($C595&lt;&gt;"",COUNTIF($C$7:$C$1506,$C595)&gt;1),"; Job number on more than one row","")&amp;IF(AND($C595&lt;&gt;"",H595=""),"; Dept has not set a cost centre","")&amp;IF(AND($C595&lt;&gt;"",J595=""),"; Dept has not set a tax code","")&amp;IF(AND($C595&lt;&gt;"",N595=""),"; Dept has not entered an expected value","")&amp;IF((IF(OR(COUNTA(S595:U595)=0,AND(COUNTA(S595:U595)=3,ISNUMBER(U595))),0,1)+IF(OR(COUNTA(V595:X595)=0,AND(COUNTA(V595:X595)=3,ISNUMBER(X595))),0,1)+IF(OR(COUNTA(Y595:AA595)=0,AND(COUNTA(Y595:AA595)=3,ISNUMBER(AA595))),0,1)+IF(OR(COUNTA(AB595:AD595)=0,AND(COUNTA(AB595:AD595)=3,ISNUMBER(AD595))),0,1)+IF(OR(COUNTA(AE595:AG595)=0,AND(COUNTA(AE595:AG595)=3,ISNUMBER(AG595))),0,1)+IF(OR(COUNTA(AH595:AJ595)=0,AND(COUNTA(AH595:AJ595)=3,ISNUMBER(AJ595))),0,1)+IF(OR(COUNTA(AK595:AM595)=0,AND(COUNTA(AK595:AM595)=3,ISNUMBER(AM595))),0,1)+IF(OR(COUNTA(AN595:AP595)=0,AND(COUNTA(AN595:AP595)=3,ISNUMBER(AP595))),0,1)+IF(OR(COUNTA(AQ595:AS595)=0,AND(COUNTA(AQ595:AS595)=3,ISNUMBER(AS595))),0,1)+IF(OR(COUNTA(AT595:AV595)=0,AND(COUNTA(AT595:AV595)=3,ISNUMBER(AV595))),0,1)+IF(OR(COUNTA(AW595:AY595)=0,AND(COUNTA(AW595:AY595)=3,ISNUMBER(AY595))),0,1)+IF(OR(COUNTA(AZ595:BB595)=0,AND(COUNTA(AZ595:BB595)=3,ISNUMBER(BB595))),0,1))&gt;0,"; An invoice is incomplete (needs No, Date and a number in Ex GST)","")&amp;IF((IF(T595="",0,IFERROR(--(EOMONTH(T595,0)&lt;&gt;S$5),1))+IF(W595="",0,IFERROR(--(EOMONTH(W595,0)&lt;&gt;V$5),1))+IF(Z595="",0,IFERROR(--(EOMONTH(Z595,0)&lt;&gt;Y$5),1))+IF(AC595="",0,IFERROR(--(EOMONTH(AC595,0)&lt;&gt;AB$5),1))+IF(AF595="",0,IFERROR(--(EOMONTH(AF595,0)&lt;&gt;AE$5),1))+IF(AI595="",0,IFERROR(--(EOMONTH(AI595,0)&lt;&gt;AH$5),1))+IF(AL595="",0,IFERROR(--(EOMONTH(AL595,0)&lt;&gt;AK$5),1))+IF(AO595="",0,IFERROR(--(EOMONTH(AO595,0)&lt;&gt;AN$5),1))+IF(AR595="",0,IFERROR(--(EOMONTH(AR595,0)&lt;&gt;AQ$5),1))+IF(AU595="",0,IFERROR(--(EOMONTH(AU595,0)&lt;&gt;AT$5),1))+IF(AX595="",0,IFERROR(--(EOMONTH(AX595,0)&lt;&gt;AW$5),1))+IF(BA595="",0,IFERROR(--(EOMONTH(BA595,0)&lt;&gt;AZ$5),1)))&gt;0,"; An invoice date is not in the month it is typed under",""),3,500))</f>
        <v/>
      </c>
      <c r="S595" s="12" t="n"/>
      <c r="T595" s="13" t="n"/>
      <c r="U595" s="14" t="n"/>
      <c r="V595" s="12" t="n"/>
      <c r="W595" s="13" t="n"/>
      <c r="X595" s="14" t="n"/>
      <c r="Y595" s="12" t="n"/>
      <c r="Z595" s="13" t="n"/>
      <c r="AA595" s="14" t="n"/>
      <c r="AB595" s="12" t="n"/>
      <c r="AC595" s="13" t="n"/>
      <c r="AD595" s="14" t="n"/>
      <c r="AE595" s="12" t="n"/>
      <c r="AF595" s="13" t="n"/>
      <c r="AG595" s="14" t="n"/>
      <c r="AH595" s="12" t="n"/>
      <c r="AI595" s="13" t="n"/>
      <c r="AJ595" s="14" t="n"/>
      <c r="AK595" s="12" t="n"/>
      <c r="AL595" s="13" t="n"/>
      <c r="AM595" s="14" t="n"/>
      <c r="AN595" s="12" t="n"/>
      <c r="AO595" s="13" t="n"/>
      <c r="AP595" s="14" t="n"/>
      <c r="AQ595" s="12" t="n"/>
      <c r="AR595" s="13" t="n"/>
      <c r="AS595" s="14" t="n"/>
      <c r="AT595" s="12" t="n"/>
      <c r="AU595" s="13" t="n"/>
      <c r="AV595" s="14" t="n"/>
      <c r="AW595" s="12" t="n"/>
      <c r="AX595" s="13" t="n"/>
      <c r="AY595" s="14" t="n"/>
      <c r="AZ595" s="12" t="n"/>
      <c r="BA595" s="13" t="n"/>
      <c r="BB595" s="14" t="n"/>
      <c r="BC595" s="11">
        <f>IF(O595="","",IF(J595="GST 10%",ROUND(O595*set_GSTRate,2),0))</f>
        <v/>
      </c>
      <c r="BD595" s="11">
        <f>IF(O595="","",O595+BC595)</f>
        <v/>
      </c>
      <c r="BE595" s="15">
        <f>IF(O595="","",COUNTA(S595,V595,Y595,AB595,AE595,AH595,AK595,AN595,AQ595,AT595,AW595,AZ595))</f>
        <v/>
      </c>
      <c r="BF595" s="16">
        <f>IF(COUNT(T595,W595,Z595,AC595,AF595,AI595,AL595,AO595,AR595,AU595,AX595,BA595)=0,"",MAX(T595,W595,Z595,AC595,AF595,AI595,AL595,AO595,AR595,AU595,AX595,BA595))</f>
        <v/>
      </c>
      <c r="BG595" s="10">
        <f>MID(IF(S595="","",", "&amp;S595)&amp;IF(V595="","",", "&amp;V595)&amp;IF(Y595="","",", "&amp;Y595)&amp;IF(AB595="","",", "&amp;AB595)&amp;IF(AE595="","",", "&amp;AE595)&amp;IF(AH595="","",", "&amp;AH595)&amp;IF(AK595="","",", "&amp;AK595)&amp;IF(AN595="","",", "&amp;AN595)&amp;IF(AQ595="","",", "&amp;AQ595)&amp;IF(AT595="","",", "&amp;AT595)&amp;IF(AW595="","",", "&amp;AW595)&amp;IF(AZ595="","",", "&amp;AZ595),3,500)</f>
        <v/>
      </c>
      <c r="BH595" s="12" t="n"/>
      <c r="BI595" s="15">
        <f>IFERROR(MATCH($A595,IF($B595="Onsite",tbl_Onsite[Row ID],IF($B595="Production",tbl_Production[Row ID],tbl_Consulting[Row ID])),0),"")</f>
        <v/>
      </c>
    </row>
    <row r="596">
      <c r="A596" s="10" t="inlineStr">
        <is>
          <t>PRD-0090</t>
        </is>
      </c>
      <c r="B596" s="10" t="inlineStr">
        <is>
          <t>Production</t>
        </is>
      </c>
      <c r="C596" s="10">
        <f>IF($BI596="","",IF($B596="Onsite",INDEX(tbl_Onsite[Job Number],$BI596),IF($B596="Production",INDEX(tbl_Production[Job Number],$BI596),INDEX(tbl_Consulting[Job Number],$BI596)))&amp;"")</f>
        <v/>
      </c>
      <c r="D596" s="10">
        <f>IF($BI596="","",IF($B596="Onsite",INDEX(tbl_Onsite[Client],$BI596),IF($B596="Production",INDEX(tbl_Production[Client],$BI596),INDEX(tbl_Consulting[Client],$BI596)))&amp;"")</f>
        <v/>
      </c>
      <c r="E596" s="10">
        <f>IF($C596="","",IF(COUNTIF(lst_Jobs,$C596)&gt;0,"OK","CHECK"))</f>
        <v/>
      </c>
      <c r="F596" s="10">
        <f>IF($C596="","",IFERROR(INDEX(lst_JobName,MATCH($C596,lst_Jobs,0)),""))</f>
        <v/>
      </c>
      <c r="G596" s="10">
        <f>IF($BI596="","",IF($B596="Onsite",INDEX(tbl_Onsite[Job Description],$BI596),IF($B596="Production",INDEX(tbl_Production[Job Description],$BI596),INDEX(tbl_Consulting[Job Description],$BI596)))&amp;"")</f>
        <v/>
      </c>
      <c r="H596" s="10">
        <f>IF($BI596="","",IF($B596="Onsite",INDEX(tbl_Onsite[Cost Centre],$BI596),IF($B596="Production",INDEX(tbl_Production[Cost Centre],$BI596),INDEX(tbl_Consulting[Cost Centre],$BI596)))&amp;"")</f>
        <v/>
      </c>
      <c r="I596" s="10">
        <f>IF($BI596="","",IF($B596="Onsite",INDEX(tbl_Onsite[Invoice Type],$BI596),IF($B596="Production",INDEX(tbl_Production[Invoice Type],$BI596),INDEX(tbl_Consulting[Invoice Type],$BI596)))&amp;"")</f>
        <v/>
      </c>
      <c r="J596" s="10">
        <f>IF($BI596="","",IF($B596="Onsite",INDEX(tbl_Onsite[Tax Code],$BI596),IF($B596="Production",INDEX(tbl_Production[Tax Code],$BI596),INDEX(tbl_Consulting[Tax Code],$BI596)))&amp;"")</f>
        <v/>
      </c>
      <c r="K596" s="10">
        <f>IF(H596="","",IFERROR(INDEX(lst_CCtoGL,MATCH(H596,lst_CCforGL,0)),""))</f>
        <v/>
      </c>
      <c r="L596" s="10">
        <f>IF($BI596="","",IF($B596="Onsite",INDEX(tbl_Onsite[PO / Reference],$BI596),IF($B596="Production",INDEX(tbl_Production[Current RMS No],$BI596),INDEX(tbl_Consulting[Qwilr Quote],$BI596)))&amp;"")</f>
        <v/>
      </c>
      <c r="M596" s="10">
        <f>IF($BI596="","",IF($B596="Onsite",INDEX(tbl_Onsite[Notes],$BI596),IF($B596="Production",INDEX(tbl_Production[Notes],$BI596),INDEX(tbl_Consulting[Notes],$BI596)))&amp;"")</f>
        <v/>
      </c>
      <c r="N596" s="11">
        <f>IF($BI596="","",IF(IF($B596="Onsite",INDEX(tbl_Onsite[Expected Revenue Ex GST],$BI596),IF($B596="Production",INDEX(tbl_Production[Expected Revenue Ex GST],$BI596),INDEX(tbl_Consulting[Expected Revenue Ex GST],$BI596)))="","",IF($B596="Onsite",INDEX(tbl_Onsite[Expected Revenue Ex GST],$BI596),IF($B596="Production",INDEX(tbl_Production[Expected Revenue Ex GST],$BI596),INDEX(tbl_Consulting[Expected Revenue Ex GST],$BI596)))))</f>
        <v/>
      </c>
      <c r="O596" s="11">
        <f>IF(AND($C596="",NOT(COUNTA($S596:$BB596)&gt;0)),"",SUM(U596,X596,AA596,AD596,AG596,AJ596,AM596,AP596,AS596,AV596,AY596,BB596))</f>
        <v/>
      </c>
      <c r="P596" s="11">
        <f>IF(O596="","",N(N596)-O596)</f>
        <v/>
      </c>
      <c r="Q596" s="10">
        <f>IF(O596="","",IF($C596="","Invoice on empty job row",IF(N596="",IF(ROUND(O596,2)=0,"No dept value","Invoiced - no dept value"),IF(ROUND(O596,2)=0,"Not invoiced - to invoice",IF(ROUND(P596,2)=0,"Agrees",IF(P596&gt;0,"Dept higher - to invoice","Xero higher - check dept"))))))</f>
        <v/>
      </c>
      <c r="R596" s="10">
        <f>IF(AND($C596="",NOT(COUNTA($S596:$BB596)&gt;0),$BI596&lt;&gt;""),"",MID(IF($BI596="","; Row ID not found on the department sheet - a row was deleted","")&amp;IF(AND($C596="",COUNTA($S596:$BB596)&gt;0),"; Invoice entered but the department row has no job number","")&amp;IF(E596="CHECK","; Job number not in the Xero job list","")&amp;IF(AND($C596&lt;&gt;"",COUNTIF($C$7:$C$1506,$C596)&gt;1),"; Job number on more than one row","")&amp;IF(AND($C596&lt;&gt;"",H596=""),"; Dept has not set a cost centre","")&amp;IF(AND($C596&lt;&gt;"",J596=""),"; Dept has not set a tax code","")&amp;IF(AND($C596&lt;&gt;"",N596=""),"; Dept has not entered an expected value","")&amp;IF((IF(OR(COUNTA(S596:U596)=0,AND(COUNTA(S596:U596)=3,ISNUMBER(U596))),0,1)+IF(OR(COUNTA(V596:X596)=0,AND(COUNTA(V596:X596)=3,ISNUMBER(X596))),0,1)+IF(OR(COUNTA(Y596:AA596)=0,AND(COUNTA(Y596:AA596)=3,ISNUMBER(AA596))),0,1)+IF(OR(COUNTA(AB596:AD596)=0,AND(COUNTA(AB596:AD596)=3,ISNUMBER(AD596))),0,1)+IF(OR(COUNTA(AE596:AG596)=0,AND(COUNTA(AE596:AG596)=3,ISNUMBER(AG596))),0,1)+IF(OR(COUNTA(AH596:AJ596)=0,AND(COUNTA(AH596:AJ596)=3,ISNUMBER(AJ596))),0,1)+IF(OR(COUNTA(AK596:AM596)=0,AND(COUNTA(AK596:AM596)=3,ISNUMBER(AM596))),0,1)+IF(OR(COUNTA(AN596:AP596)=0,AND(COUNTA(AN596:AP596)=3,ISNUMBER(AP596))),0,1)+IF(OR(COUNTA(AQ596:AS596)=0,AND(COUNTA(AQ596:AS596)=3,ISNUMBER(AS596))),0,1)+IF(OR(COUNTA(AT596:AV596)=0,AND(COUNTA(AT596:AV596)=3,ISNUMBER(AV596))),0,1)+IF(OR(COUNTA(AW596:AY596)=0,AND(COUNTA(AW596:AY596)=3,ISNUMBER(AY596))),0,1)+IF(OR(COUNTA(AZ596:BB596)=0,AND(COUNTA(AZ596:BB596)=3,ISNUMBER(BB596))),0,1))&gt;0,"; An invoice is incomplete (needs No, Date and a number in Ex GST)","")&amp;IF((IF(T596="",0,IFERROR(--(EOMONTH(T596,0)&lt;&gt;S$5),1))+IF(W596="",0,IFERROR(--(EOMONTH(W596,0)&lt;&gt;V$5),1))+IF(Z596="",0,IFERROR(--(EOMONTH(Z596,0)&lt;&gt;Y$5),1))+IF(AC596="",0,IFERROR(--(EOMONTH(AC596,0)&lt;&gt;AB$5),1))+IF(AF596="",0,IFERROR(--(EOMONTH(AF596,0)&lt;&gt;AE$5),1))+IF(AI596="",0,IFERROR(--(EOMONTH(AI596,0)&lt;&gt;AH$5),1))+IF(AL596="",0,IFERROR(--(EOMONTH(AL596,0)&lt;&gt;AK$5),1))+IF(AO596="",0,IFERROR(--(EOMONTH(AO596,0)&lt;&gt;AN$5),1))+IF(AR596="",0,IFERROR(--(EOMONTH(AR596,0)&lt;&gt;AQ$5),1))+IF(AU596="",0,IFERROR(--(EOMONTH(AU596,0)&lt;&gt;AT$5),1))+IF(AX596="",0,IFERROR(--(EOMONTH(AX596,0)&lt;&gt;AW$5),1))+IF(BA596="",0,IFERROR(--(EOMONTH(BA596,0)&lt;&gt;AZ$5),1)))&gt;0,"; An invoice date is not in the month it is typed under",""),3,500))</f>
        <v/>
      </c>
      <c r="S596" s="12" t="n"/>
      <c r="T596" s="13" t="n"/>
      <c r="U596" s="14" t="n"/>
      <c r="V596" s="12" t="n"/>
      <c r="W596" s="13" t="n"/>
      <c r="X596" s="14" t="n"/>
      <c r="Y596" s="12" t="n"/>
      <c r="Z596" s="13" t="n"/>
      <c r="AA596" s="14" t="n"/>
      <c r="AB596" s="12" t="n"/>
      <c r="AC596" s="13" t="n"/>
      <c r="AD596" s="14" t="n"/>
      <c r="AE596" s="12" t="n"/>
      <c r="AF596" s="13" t="n"/>
      <c r="AG596" s="14" t="n"/>
      <c r="AH596" s="12" t="n"/>
      <c r="AI596" s="13" t="n"/>
      <c r="AJ596" s="14" t="n"/>
      <c r="AK596" s="12" t="n"/>
      <c r="AL596" s="13" t="n"/>
      <c r="AM596" s="14" t="n"/>
      <c r="AN596" s="12" t="n"/>
      <c r="AO596" s="13" t="n"/>
      <c r="AP596" s="14" t="n"/>
      <c r="AQ596" s="12" t="n"/>
      <c r="AR596" s="13" t="n"/>
      <c r="AS596" s="14" t="n"/>
      <c r="AT596" s="12" t="n"/>
      <c r="AU596" s="13" t="n"/>
      <c r="AV596" s="14" t="n"/>
      <c r="AW596" s="12" t="n"/>
      <c r="AX596" s="13" t="n"/>
      <c r="AY596" s="14" t="n"/>
      <c r="AZ596" s="12" t="n"/>
      <c r="BA596" s="13" t="n"/>
      <c r="BB596" s="14" t="n"/>
      <c r="BC596" s="11">
        <f>IF(O596="","",IF(J596="GST 10%",ROUND(O596*set_GSTRate,2),0))</f>
        <v/>
      </c>
      <c r="BD596" s="11">
        <f>IF(O596="","",O596+BC596)</f>
        <v/>
      </c>
      <c r="BE596" s="15">
        <f>IF(O596="","",COUNTA(S596,V596,Y596,AB596,AE596,AH596,AK596,AN596,AQ596,AT596,AW596,AZ596))</f>
        <v/>
      </c>
      <c r="BF596" s="16">
        <f>IF(COUNT(T596,W596,Z596,AC596,AF596,AI596,AL596,AO596,AR596,AU596,AX596,BA596)=0,"",MAX(T596,W596,Z596,AC596,AF596,AI596,AL596,AO596,AR596,AU596,AX596,BA596))</f>
        <v/>
      </c>
      <c r="BG596" s="10">
        <f>MID(IF(S596="","",", "&amp;S596)&amp;IF(V596="","",", "&amp;V596)&amp;IF(Y596="","",", "&amp;Y596)&amp;IF(AB596="","",", "&amp;AB596)&amp;IF(AE596="","",", "&amp;AE596)&amp;IF(AH596="","",", "&amp;AH596)&amp;IF(AK596="","",", "&amp;AK596)&amp;IF(AN596="","",", "&amp;AN596)&amp;IF(AQ596="","",", "&amp;AQ596)&amp;IF(AT596="","",", "&amp;AT596)&amp;IF(AW596="","",", "&amp;AW596)&amp;IF(AZ596="","",", "&amp;AZ596),3,500)</f>
        <v/>
      </c>
      <c r="BH596" s="12" t="n"/>
      <c r="BI596" s="15">
        <f>IFERROR(MATCH($A596,IF($B596="Onsite",tbl_Onsite[Row ID],IF($B596="Production",tbl_Production[Row ID],tbl_Consulting[Row ID])),0),"")</f>
        <v/>
      </c>
    </row>
    <row r="597">
      <c r="A597" s="10" t="inlineStr">
        <is>
          <t>PRD-0091</t>
        </is>
      </c>
      <c r="B597" s="10" t="inlineStr">
        <is>
          <t>Production</t>
        </is>
      </c>
      <c r="C597" s="10">
        <f>IF($BI597="","",IF($B597="Onsite",INDEX(tbl_Onsite[Job Number],$BI597),IF($B597="Production",INDEX(tbl_Production[Job Number],$BI597),INDEX(tbl_Consulting[Job Number],$BI597)))&amp;"")</f>
        <v/>
      </c>
      <c r="D597" s="10">
        <f>IF($BI597="","",IF($B597="Onsite",INDEX(tbl_Onsite[Client],$BI597),IF($B597="Production",INDEX(tbl_Production[Client],$BI597),INDEX(tbl_Consulting[Client],$BI597)))&amp;"")</f>
        <v/>
      </c>
      <c r="E597" s="10">
        <f>IF($C597="","",IF(COUNTIF(lst_Jobs,$C597)&gt;0,"OK","CHECK"))</f>
        <v/>
      </c>
      <c r="F597" s="10">
        <f>IF($C597="","",IFERROR(INDEX(lst_JobName,MATCH($C597,lst_Jobs,0)),""))</f>
        <v/>
      </c>
      <c r="G597" s="10">
        <f>IF($BI597="","",IF($B597="Onsite",INDEX(tbl_Onsite[Job Description],$BI597),IF($B597="Production",INDEX(tbl_Production[Job Description],$BI597),INDEX(tbl_Consulting[Job Description],$BI597)))&amp;"")</f>
        <v/>
      </c>
      <c r="H597" s="10">
        <f>IF($BI597="","",IF($B597="Onsite",INDEX(tbl_Onsite[Cost Centre],$BI597),IF($B597="Production",INDEX(tbl_Production[Cost Centre],$BI597),INDEX(tbl_Consulting[Cost Centre],$BI597)))&amp;"")</f>
        <v/>
      </c>
      <c r="I597" s="10">
        <f>IF($BI597="","",IF($B597="Onsite",INDEX(tbl_Onsite[Invoice Type],$BI597),IF($B597="Production",INDEX(tbl_Production[Invoice Type],$BI597),INDEX(tbl_Consulting[Invoice Type],$BI597)))&amp;"")</f>
        <v/>
      </c>
      <c r="J597" s="10">
        <f>IF($BI597="","",IF($B597="Onsite",INDEX(tbl_Onsite[Tax Code],$BI597),IF($B597="Production",INDEX(tbl_Production[Tax Code],$BI597),INDEX(tbl_Consulting[Tax Code],$BI597)))&amp;"")</f>
        <v/>
      </c>
      <c r="K597" s="10">
        <f>IF(H597="","",IFERROR(INDEX(lst_CCtoGL,MATCH(H597,lst_CCforGL,0)),""))</f>
        <v/>
      </c>
      <c r="L597" s="10">
        <f>IF($BI597="","",IF($B597="Onsite",INDEX(tbl_Onsite[PO / Reference],$BI597),IF($B597="Production",INDEX(tbl_Production[Current RMS No],$BI597),INDEX(tbl_Consulting[Qwilr Quote],$BI597)))&amp;"")</f>
        <v/>
      </c>
      <c r="M597" s="10">
        <f>IF($BI597="","",IF($B597="Onsite",INDEX(tbl_Onsite[Notes],$BI597),IF($B597="Production",INDEX(tbl_Production[Notes],$BI597),INDEX(tbl_Consulting[Notes],$BI597)))&amp;"")</f>
        <v/>
      </c>
      <c r="N597" s="11">
        <f>IF($BI597="","",IF(IF($B597="Onsite",INDEX(tbl_Onsite[Expected Revenue Ex GST],$BI597),IF($B597="Production",INDEX(tbl_Production[Expected Revenue Ex GST],$BI597),INDEX(tbl_Consulting[Expected Revenue Ex GST],$BI597)))="","",IF($B597="Onsite",INDEX(tbl_Onsite[Expected Revenue Ex GST],$BI597),IF($B597="Production",INDEX(tbl_Production[Expected Revenue Ex GST],$BI597),INDEX(tbl_Consulting[Expected Revenue Ex GST],$BI597)))))</f>
        <v/>
      </c>
      <c r="O597" s="11">
        <f>IF(AND($C597="",NOT(COUNTA($S597:$BB597)&gt;0)),"",SUM(U597,X597,AA597,AD597,AG597,AJ597,AM597,AP597,AS597,AV597,AY597,BB597))</f>
        <v/>
      </c>
      <c r="P597" s="11">
        <f>IF(O597="","",N(N597)-O597)</f>
        <v/>
      </c>
      <c r="Q597" s="10">
        <f>IF(O597="","",IF($C597="","Invoice on empty job row",IF(N597="",IF(ROUND(O597,2)=0,"No dept value","Invoiced - no dept value"),IF(ROUND(O597,2)=0,"Not invoiced - to invoice",IF(ROUND(P597,2)=0,"Agrees",IF(P597&gt;0,"Dept higher - to invoice","Xero higher - check dept"))))))</f>
        <v/>
      </c>
      <c r="R597" s="10">
        <f>IF(AND($C597="",NOT(COUNTA($S597:$BB597)&gt;0),$BI597&lt;&gt;""),"",MID(IF($BI597="","; Row ID not found on the department sheet - a row was deleted","")&amp;IF(AND($C597="",COUNTA($S597:$BB597)&gt;0),"; Invoice entered but the department row has no job number","")&amp;IF(E597="CHECK","; Job number not in the Xero job list","")&amp;IF(AND($C597&lt;&gt;"",COUNTIF($C$7:$C$1506,$C597)&gt;1),"; Job number on more than one row","")&amp;IF(AND($C597&lt;&gt;"",H597=""),"; Dept has not set a cost centre","")&amp;IF(AND($C597&lt;&gt;"",J597=""),"; Dept has not set a tax code","")&amp;IF(AND($C597&lt;&gt;"",N597=""),"; Dept has not entered an expected value","")&amp;IF((IF(OR(COUNTA(S597:U597)=0,AND(COUNTA(S597:U597)=3,ISNUMBER(U597))),0,1)+IF(OR(COUNTA(V597:X597)=0,AND(COUNTA(V597:X597)=3,ISNUMBER(X597))),0,1)+IF(OR(COUNTA(Y597:AA597)=0,AND(COUNTA(Y597:AA597)=3,ISNUMBER(AA597))),0,1)+IF(OR(COUNTA(AB597:AD597)=0,AND(COUNTA(AB597:AD597)=3,ISNUMBER(AD597))),0,1)+IF(OR(COUNTA(AE597:AG597)=0,AND(COUNTA(AE597:AG597)=3,ISNUMBER(AG597))),0,1)+IF(OR(COUNTA(AH597:AJ597)=0,AND(COUNTA(AH597:AJ597)=3,ISNUMBER(AJ597))),0,1)+IF(OR(COUNTA(AK597:AM597)=0,AND(COUNTA(AK597:AM597)=3,ISNUMBER(AM597))),0,1)+IF(OR(COUNTA(AN597:AP597)=0,AND(COUNTA(AN597:AP597)=3,ISNUMBER(AP597))),0,1)+IF(OR(COUNTA(AQ597:AS597)=0,AND(COUNTA(AQ597:AS597)=3,ISNUMBER(AS597))),0,1)+IF(OR(COUNTA(AT597:AV597)=0,AND(COUNTA(AT597:AV597)=3,ISNUMBER(AV597))),0,1)+IF(OR(COUNTA(AW597:AY597)=0,AND(COUNTA(AW597:AY597)=3,ISNUMBER(AY597))),0,1)+IF(OR(COUNTA(AZ597:BB597)=0,AND(COUNTA(AZ597:BB597)=3,ISNUMBER(BB597))),0,1))&gt;0,"; An invoice is incomplete (needs No, Date and a number in Ex GST)","")&amp;IF((IF(T597="",0,IFERROR(--(EOMONTH(T597,0)&lt;&gt;S$5),1))+IF(W597="",0,IFERROR(--(EOMONTH(W597,0)&lt;&gt;V$5),1))+IF(Z597="",0,IFERROR(--(EOMONTH(Z597,0)&lt;&gt;Y$5),1))+IF(AC597="",0,IFERROR(--(EOMONTH(AC597,0)&lt;&gt;AB$5),1))+IF(AF597="",0,IFERROR(--(EOMONTH(AF597,0)&lt;&gt;AE$5),1))+IF(AI597="",0,IFERROR(--(EOMONTH(AI597,0)&lt;&gt;AH$5),1))+IF(AL597="",0,IFERROR(--(EOMONTH(AL597,0)&lt;&gt;AK$5),1))+IF(AO597="",0,IFERROR(--(EOMONTH(AO597,0)&lt;&gt;AN$5),1))+IF(AR597="",0,IFERROR(--(EOMONTH(AR597,0)&lt;&gt;AQ$5),1))+IF(AU597="",0,IFERROR(--(EOMONTH(AU597,0)&lt;&gt;AT$5),1))+IF(AX597="",0,IFERROR(--(EOMONTH(AX597,0)&lt;&gt;AW$5),1))+IF(BA597="",0,IFERROR(--(EOMONTH(BA597,0)&lt;&gt;AZ$5),1)))&gt;0,"; An invoice date is not in the month it is typed under",""),3,500))</f>
        <v/>
      </c>
      <c r="S597" s="12" t="n"/>
      <c r="T597" s="13" t="n"/>
      <c r="U597" s="14" t="n"/>
      <c r="V597" s="12" t="n"/>
      <c r="W597" s="13" t="n"/>
      <c r="X597" s="14" t="n"/>
      <c r="Y597" s="12" t="n"/>
      <c r="Z597" s="13" t="n"/>
      <c r="AA597" s="14" t="n"/>
      <c r="AB597" s="12" t="n"/>
      <c r="AC597" s="13" t="n"/>
      <c r="AD597" s="14" t="n"/>
      <c r="AE597" s="12" t="n"/>
      <c r="AF597" s="13" t="n"/>
      <c r="AG597" s="14" t="n"/>
      <c r="AH597" s="12" t="n"/>
      <c r="AI597" s="13" t="n"/>
      <c r="AJ597" s="14" t="n"/>
      <c r="AK597" s="12" t="n"/>
      <c r="AL597" s="13" t="n"/>
      <c r="AM597" s="14" t="n"/>
      <c r="AN597" s="12" t="n"/>
      <c r="AO597" s="13" t="n"/>
      <c r="AP597" s="14" t="n"/>
      <c r="AQ597" s="12" t="n"/>
      <c r="AR597" s="13" t="n"/>
      <c r="AS597" s="14" t="n"/>
      <c r="AT597" s="12" t="n"/>
      <c r="AU597" s="13" t="n"/>
      <c r="AV597" s="14" t="n"/>
      <c r="AW597" s="12" t="n"/>
      <c r="AX597" s="13" t="n"/>
      <c r="AY597" s="14" t="n"/>
      <c r="AZ597" s="12" t="n"/>
      <c r="BA597" s="13" t="n"/>
      <c r="BB597" s="14" t="n"/>
      <c r="BC597" s="11">
        <f>IF(O597="","",IF(J597="GST 10%",ROUND(O597*set_GSTRate,2),0))</f>
        <v/>
      </c>
      <c r="BD597" s="11">
        <f>IF(O597="","",O597+BC597)</f>
        <v/>
      </c>
      <c r="BE597" s="15">
        <f>IF(O597="","",COUNTA(S597,V597,Y597,AB597,AE597,AH597,AK597,AN597,AQ597,AT597,AW597,AZ597))</f>
        <v/>
      </c>
      <c r="BF597" s="16">
        <f>IF(COUNT(T597,W597,Z597,AC597,AF597,AI597,AL597,AO597,AR597,AU597,AX597,BA597)=0,"",MAX(T597,W597,Z597,AC597,AF597,AI597,AL597,AO597,AR597,AU597,AX597,BA597))</f>
        <v/>
      </c>
      <c r="BG597" s="10">
        <f>MID(IF(S597="","",", "&amp;S597)&amp;IF(V597="","",", "&amp;V597)&amp;IF(Y597="","",", "&amp;Y597)&amp;IF(AB597="","",", "&amp;AB597)&amp;IF(AE597="","",", "&amp;AE597)&amp;IF(AH597="","",", "&amp;AH597)&amp;IF(AK597="","",", "&amp;AK597)&amp;IF(AN597="","",", "&amp;AN597)&amp;IF(AQ597="","",", "&amp;AQ597)&amp;IF(AT597="","",", "&amp;AT597)&amp;IF(AW597="","",", "&amp;AW597)&amp;IF(AZ597="","",", "&amp;AZ597),3,500)</f>
        <v/>
      </c>
      <c r="BH597" s="12" t="n"/>
      <c r="BI597" s="15">
        <f>IFERROR(MATCH($A597,IF($B597="Onsite",tbl_Onsite[Row ID],IF($B597="Production",tbl_Production[Row ID],tbl_Consulting[Row ID])),0),"")</f>
        <v/>
      </c>
    </row>
    <row r="598">
      <c r="A598" s="10" t="inlineStr">
        <is>
          <t>PRD-0092</t>
        </is>
      </c>
      <c r="B598" s="10" t="inlineStr">
        <is>
          <t>Production</t>
        </is>
      </c>
      <c r="C598" s="10">
        <f>IF($BI598="","",IF($B598="Onsite",INDEX(tbl_Onsite[Job Number],$BI598),IF($B598="Production",INDEX(tbl_Production[Job Number],$BI598),INDEX(tbl_Consulting[Job Number],$BI598)))&amp;"")</f>
        <v/>
      </c>
      <c r="D598" s="10">
        <f>IF($BI598="","",IF($B598="Onsite",INDEX(tbl_Onsite[Client],$BI598),IF($B598="Production",INDEX(tbl_Production[Client],$BI598),INDEX(tbl_Consulting[Client],$BI598)))&amp;"")</f>
        <v/>
      </c>
      <c r="E598" s="10">
        <f>IF($C598="","",IF(COUNTIF(lst_Jobs,$C598)&gt;0,"OK","CHECK"))</f>
        <v/>
      </c>
      <c r="F598" s="10">
        <f>IF($C598="","",IFERROR(INDEX(lst_JobName,MATCH($C598,lst_Jobs,0)),""))</f>
        <v/>
      </c>
      <c r="G598" s="10">
        <f>IF($BI598="","",IF($B598="Onsite",INDEX(tbl_Onsite[Job Description],$BI598),IF($B598="Production",INDEX(tbl_Production[Job Description],$BI598),INDEX(tbl_Consulting[Job Description],$BI598)))&amp;"")</f>
        <v/>
      </c>
      <c r="H598" s="10">
        <f>IF($BI598="","",IF($B598="Onsite",INDEX(tbl_Onsite[Cost Centre],$BI598),IF($B598="Production",INDEX(tbl_Production[Cost Centre],$BI598),INDEX(tbl_Consulting[Cost Centre],$BI598)))&amp;"")</f>
        <v/>
      </c>
      <c r="I598" s="10">
        <f>IF($BI598="","",IF($B598="Onsite",INDEX(tbl_Onsite[Invoice Type],$BI598),IF($B598="Production",INDEX(tbl_Production[Invoice Type],$BI598),INDEX(tbl_Consulting[Invoice Type],$BI598)))&amp;"")</f>
        <v/>
      </c>
      <c r="J598" s="10">
        <f>IF($BI598="","",IF($B598="Onsite",INDEX(tbl_Onsite[Tax Code],$BI598),IF($B598="Production",INDEX(tbl_Production[Tax Code],$BI598),INDEX(tbl_Consulting[Tax Code],$BI598)))&amp;"")</f>
        <v/>
      </c>
      <c r="K598" s="10">
        <f>IF(H598="","",IFERROR(INDEX(lst_CCtoGL,MATCH(H598,lst_CCforGL,0)),""))</f>
        <v/>
      </c>
      <c r="L598" s="10">
        <f>IF($BI598="","",IF($B598="Onsite",INDEX(tbl_Onsite[PO / Reference],$BI598),IF($B598="Production",INDEX(tbl_Production[Current RMS No],$BI598),INDEX(tbl_Consulting[Qwilr Quote],$BI598)))&amp;"")</f>
        <v/>
      </c>
      <c r="M598" s="10">
        <f>IF($BI598="","",IF($B598="Onsite",INDEX(tbl_Onsite[Notes],$BI598),IF($B598="Production",INDEX(tbl_Production[Notes],$BI598),INDEX(tbl_Consulting[Notes],$BI598)))&amp;"")</f>
        <v/>
      </c>
      <c r="N598" s="11">
        <f>IF($BI598="","",IF(IF($B598="Onsite",INDEX(tbl_Onsite[Expected Revenue Ex GST],$BI598),IF($B598="Production",INDEX(tbl_Production[Expected Revenue Ex GST],$BI598),INDEX(tbl_Consulting[Expected Revenue Ex GST],$BI598)))="","",IF($B598="Onsite",INDEX(tbl_Onsite[Expected Revenue Ex GST],$BI598),IF($B598="Production",INDEX(tbl_Production[Expected Revenue Ex GST],$BI598),INDEX(tbl_Consulting[Expected Revenue Ex GST],$BI598)))))</f>
        <v/>
      </c>
      <c r="O598" s="11">
        <f>IF(AND($C598="",NOT(COUNTA($S598:$BB598)&gt;0)),"",SUM(U598,X598,AA598,AD598,AG598,AJ598,AM598,AP598,AS598,AV598,AY598,BB598))</f>
        <v/>
      </c>
      <c r="P598" s="11">
        <f>IF(O598="","",N(N598)-O598)</f>
        <v/>
      </c>
      <c r="Q598" s="10">
        <f>IF(O598="","",IF($C598="","Invoice on empty job row",IF(N598="",IF(ROUND(O598,2)=0,"No dept value","Invoiced - no dept value"),IF(ROUND(O598,2)=0,"Not invoiced - to invoice",IF(ROUND(P598,2)=0,"Agrees",IF(P598&gt;0,"Dept higher - to invoice","Xero higher - check dept"))))))</f>
        <v/>
      </c>
      <c r="R598" s="10">
        <f>IF(AND($C598="",NOT(COUNTA($S598:$BB598)&gt;0),$BI598&lt;&gt;""),"",MID(IF($BI598="","; Row ID not found on the department sheet - a row was deleted","")&amp;IF(AND($C598="",COUNTA($S598:$BB598)&gt;0),"; Invoice entered but the department row has no job number","")&amp;IF(E598="CHECK","; Job number not in the Xero job list","")&amp;IF(AND($C598&lt;&gt;"",COUNTIF($C$7:$C$1506,$C598)&gt;1),"; Job number on more than one row","")&amp;IF(AND($C598&lt;&gt;"",H598=""),"; Dept has not set a cost centre","")&amp;IF(AND($C598&lt;&gt;"",J598=""),"; Dept has not set a tax code","")&amp;IF(AND($C598&lt;&gt;"",N598=""),"; Dept has not entered an expected value","")&amp;IF((IF(OR(COUNTA(S598:U598)=0,AND(COUNTA(S598:U598)=3,ISNUMBER(U598))),0,1)+IF(OR(COUNTA(V598:X598)=0,AND(COUNTA(V598:X598)=3,ISNUMBER(X598))),0,1)+IF(OR(COUNTA(Y598:AA598)=0,AND(COUNTA(Y598:AA598)=3,ISNUMBER(AA598))),0,1)+IF(OR(COUNTA(AB598:AD598)=0,AND(COUNTA(AB598:AD598)=3,ISNUMBER(AD598))),0,1)+IF(OR(COUNTA(AE598:AG598)=0,AND(COUNTA(AE598:AG598)=3,ISNUMBER(AG598))),0,1)+IF(OR(COUNTA(AH598:AJ598)=0,AND(COUNTA(AH598:AJ598)=3,ISNUMBER(AJ598))),0,1)+IF(OR(COUNTA(AK598:AM598)=0,AND(COUNTA(AK598:AM598)=3,ISNUMBER(AM598))),0,1)+IF(OR(COUNTA(AN598:AP598)=0,AND(COUNTA(AN598:AP598)=3,ISNUMBER(AP598))),0,1)+IF(OR(COUNTA(AQ598:AS598)=0,AND(COUNTA(AQ598:AS598)=3,ISNUMBER(AS598))),0,1)+IF(OR(COUNTA(AT598:AV598)=0,AND(COUNTA(AT598:AV598)=3,ISNUMBER(AV598))),0,1)+IF(OR(COUNTA(AW598:AY598)=0,AND(COUNTA(AW598:AY598)=3,ISNUMBER(AY598))),0,1)+IF(OR(COUNTA(AZ598:BB598)=0,AND(COUNTA(AZ598:BB598)=3,ISNUMBER(BB598))),0,1))&gt;0,"; An invoice is incomplete (needs No, Date and a number in Ex GST)","")&amp;IF((IF(T598="",0,IFERROR(--(EOMONTH(T598,0)&lt;&gt;S$5),1))+IF(W598="",0,IFERROR(--(EOMONTH(W598,0)&lt;&gt;V$5),1))+IF(Z598="",0,IFERROR(--(EOMONTH(Z598,0)&lt;&gt;Y$5),1))+IF(AC598="",0,IFERROR(--(EOMONTH(AC598,0)&lt;&gt;AB$5),1))+IF(AF598="",0,IFERROR(--(EOMONTH(AF598,0)&lt;&gt;AE$5),1))+IF(AI598="",0,IFERROR(--(EOMONTH(AI598,0)&lt;&gt;AH$5),1))+IF(AL598="",0,IFERROR(--(EOMONTH(AL598,0)&lt;&gt;AK$5),1))+IF(AO598="",0,IFERROR(--(EOMONTH(AO598,0)&lt;&gt;AN$5),1))+IF(AR598="",0,IFERROR(--(EOMONTH(AR598,0)&lt;&gt;AQ$5),1))+IF(AU598="",0,IFERROR(--(EOMONTH(AU598,0)&lt;&gt;AT$5),1))+IF(AX598="",0,IFERROR(--(EOMONTH(AX598,0)&lt;&gt;AW$5),1))+IF(BA598="",0,IFERROR(--(EOMONTH(BA598,0)&lt;&gt;AZ$5),1)))&gt;0,"; An invoice date is not in the month it is typed under",""),3,500))</f>
        <v/>
      </c>
      <c r="S598" s="12" t="n"/>
      <c r="T598" s="13" t="n"/>
      <c r="U598" s="14" t="n"/>
      <c r="V598" s="12" t="n"/>
      <c r="W598" s="13" t="n"/>
      <c r="X598" s="14" t="n"/>
      <c r="Y598" s="12" t="n"/>
      <c r="Z598" s="13" t="n"/>
      <c r="AA598" s="14" t="n"/>
      <c r="AB598" s="12" t="n"/>
      <c r="AC598" s="13" t="n"/>
      <c r="AD598" s="14" t="n"/>
      <c r="AE598" s="12" t="n"/>
      <c r="AF598" s="13" t="n"/>
      <c r="AG598" s="14" t="n"/>
      <c r="AH598" s="12" t="n"/>
      <c r="AI598" s="13" t="n"/>
      <c r="AJ598" s="14" t="n"/>
      <c r="AK598" s="12" t="n"/>
      <c r="AL598" s="13" t="n"/>
      <c r="AM598" s="14" t="n"/>
      <c r="AN598" s="12" t="n"/>
      <c r="AO598" s="13" t="n"/>
      <c r="AP598" s="14" t="n"/>
      <c r="AQ598" s="12" t="n"/>
      <c r="AR598" s="13" t="n"/>
      <c r="AS598" s="14" t="n"/>
      <c r="AT598" s="12" t="n"/>
      <c r="AU598" s="13" t="n"/>
      <c r="AV598" s="14" t="n"/>
      <c r="AW598" s="12" t="n"/>
      <c r="AX598" s="13" t="n"/>
      <c r="AY598" s="14" t="n"/>
      <c r="AZ598" s="12" t="n"/>
      <c r="BA598" s="13" t="n"/>
      <c r="BB598" s="14" t="n"/>
      <c r="BC598" s="11">
        <f>IF(O598="","",IF(J598="GST 10%",ROUND(O598*set_GSTRate,2),0))</f>
        <v/>
      </c>
      <c r="BD598" s="11">
        <f>IF(O598="","",O598+BC598)</f>
        <v/>
      </c>
      <c r="BE598" s="15">
        <f>IF(O598="","",COUNTA(S598,V598,Y598,AB598,AE598,AH598,AK598,AN598,AQ598,AT598,AW598,AZ598))</f>
        <v/>
      </c>
      <c r="BF598" s="16">
        <f>IF(COUNT(T598,W598,Z598,AC598,AF598,AI598,AL598,AO598,AR598,AU598,AX598,BA598)=0,"",MAX(T598,W598,Z598,AC598,AF598,AI598,AL598,AO598,AR598,AU598,AX598,BA598))</f>
        <v/>
      </c>
      <c r="BG598" s="10">
        <f>MID(IF(S598="","",", "&amp;S598)&amp;IF(V598="","",", "&amp;V598)&amp;IF(Y598="","",", "&amp;Y598)&amp;IF(AB598="","",", "&amp;AB598)&amp;IF(AE598="","",", "&amp;AE598)&amp;IF(AH598="","",", "&amp;AH598)&amp;IF(AK598="","",", "&amp;AK598)&amp;IF(AN598="","",", "&amp;AN598)&amp;IF(AQ598="","",", "&amp;AQ598)&amp;IF(AT598="","",", "&amp;AT598)&amp;IF(AW598="","",", "&amp;AW598)&amp;IF(AZ598="","",", "&amp;AZ598),3,500)</f>
        <v/>
      </c>
      <c r="BH598" s="12" t="n"/>
      <c r="BI598" s="15">
        <f>IFERROR(MATCH($A598,IF($B598="Onsite",tbl_Onsite[Row ID],IF($B598="Production",tbl_Production[Row ID],tbl_Consulting[Row ID])),0),"")</f>
        <v/>
      </c>
    </row>
    <row r="599">
      <c r="A599" s="10" t="inlineStr">
        <is>
          <t>PRD-0093</t>
        </is>
      </c>
      <c r="B599" s="10" t="inlineStr">
        <is>
          <t>Production</t>
        </is>
      </c>
      <c r="C599" s="10">
        <f>IF($BI599="","",IF($B599="Onsite",INDEX(tbl_Onsite[Job Number],$BI599),IF($B599="Production",INDEX(tbl_Production[Job Number],$BI599),INDEX(tbl_Consulting[Job Number],$BI599)))&amp;"")</f>
        <v/>
      </c>
      <c r="D599" s="10">
        <f>IF($BI599="","",IF($B599="Onsite",INDEX(tbl_Onsite[Client],$BI599),IF($B599="Production",INDEX(tbl_Production[Client],$BI599),INDEX(tbl_Consulting[Client],$BI599)))&amp;"")</f>
        <v/>
      </c>
      <c r="E599" s="10">
        <f>IF($C599="","",IF(COUNTIF(lst_Jobs,$C599)&gt;0,"OK","CHECK"))</f>
        <v/>
      </c>
      <c r="F599" s="10">
        <f>IF($C599="","",IFERROR(INDEX(lst_JobName,MATCH($C599,lst_Jobs,0)),""))</f>
        <v/>
      </c>
      <c r="G599" s="10">
        <f>IF($BI599="","",IF($B599="Onsite",INDEX(tbl_Onsite[Job Description],$BI599),IF($B599="Production",INDEX(tbl_Production[Job Description],$BI599),INDEX(tbl_Consulting[Job Description],$BI599)))&amp;"")</f>
        <v/>
      </c>
      <c r="H599" s="10">
        <f>IF($BI599="","",IF($B599="Onsite",INDEX(tbl_Onsite[Cost Centre],$BI599),IF($B599="Production",INDEX(tbl_Production[Cost Centre],$BI599),INDEX(tbl_Consulting[Cost Centre],$BI599)))&amp;"")</f>
        <v/>
      </c>
      <c r="I599" s="10">
        <f>IF($BI599="","",IF($B599="Onsite",INDEX(tbl_Onsite[Invoice Type],$BI599),IF($B599="Production",INDEX(tbl_Production[Invoice Type],$BI599),INDEX(tbl_Consulting[Invoice Type],$BI599)))&amp;"")</f>
        <v/>
      </c>
      <c r="J599" s="10">
        <f>IF($BI599="","",IF($B599="Onsite",INDEX(tbl_Onsite[Tax Code],$BI599),IF($B599="Production",INDEX(tbl_Production[Tax Code],$BI599),INDEX(tbl_Consulting[Tax Code],$BI599)))&amp;"")</f>
        <v/>
      </c>
      <c r="K599" s="10">
        <f>IF(H599="","",IFERROR(INDEX(lst_CCtoGL,MATCH(H599,lst_CCforGL,0)),""))</f>
        <v/>
      </c>
      <c r="L599" s="10">
        <f>IF($BI599="","",IF($B599="Onsite",INDEX(tbl_Onsite[PO / Reference],$BI599),IF($B599="Production",INDEX(tbl_Production[Current RMS No],$BI599),INDEX(tbl_Consulting[Qwilr Quote],$BI599)))&amp;"")</f>
        <v/>
      </c>
      <c r="M599" s="10">
        <f>IF($BI599="","",IF($B599="Onsite",INDEX(tbl_Onsite[Notes],$BI599),IF($B599="Production",INDEX(tbl_Production[Notes],$BI599),INDEX(tbl_Consulting[Notes],$BI599)))&amp;"")</f>
        <v/>
      </c>
      <c r="N599" s="11">
        <f>IF($BI599="","",IF(IF($B599="Onsite",INDEX(tbl_Onsite[Expected Revenue Ex GST],$BI599),IF($B599="Production",INDEX(tbl_Production[Expected Revenue Ex GST],$BI599),INDEX(tbl_Consulting[Expected Revenue Ex GST],$BI599)))="","",IF($B599="Onsite",INDEX(tbl_Onsite[Expected Revenue Ex GST],$BI599),IF($B599="Production",INDEX(tbl_Production[Expected Revenue Ex GST],$BI599),INDEX(tbl_Consulting[Expected Revenue Ex GST],$BI599)))))</f>
        <v/>
      </c>
      <c r="O599" s="11">
        <f>IF(AND($C599="",NOT(COUNTA($S599:$BB599)&gt;0)),"",SUM(U599,X599,AA599,AD599,AG599,AJ599,AM599,AP599,AS599,AV599,AY599,BB599))</f>
        <v/>
      </c>
      <c r="P599" s="11">
        <f>IF(O599="","",N(N599)-O599)</f>
        <v/>
      </c>
      <c r="Q599" s="10">
        <f>IF(O599="","",IF($C599="","Invoice on empty job row",IF(N599="",IF(ROUND(O599,2)=0,"No dept value","Invoiced - no dept value"),IF(ROUND(O599,2)=0,"Not invoiced - to invoice",IF(ROUND(P599,2)=0,"Agrees",IF(P599&gt;0,"Dept higher - to invoice","Xero higher - check dept"))))))</f>
        <v/>
      </c>
      <c r="R599" s="10">
        <f>IF(AND($C599="",NOT(COUNTA($S599:$BB599)&gt;0),$BI599&lt;&gt;""),"",MID(IF($BI599="","; Row ID not found on the department sheet - a row was deleted","")&amp;IF(AND($C599="",COUNTA($S599:$BB599)&gt;0),"; Invoice entered but the department row has no job number","")&amp;IF(E599="CHECK","; Job number not in the Xero job list","")&amp;IF(AND($C599&lt;&gt;"",COUNTIF($C$7:$C$1506,$C599)&gt;1),"; Job number on more than one row","")&amp;IF(AND($C599&lt;&gt;"",H599=""),"; Dept has not set a cost centre","")&amp;IF(AND($C599&lt;&gt;"",J599=""),"; Dept has not set a tax code","")&amp;IF(AND($C599&lt;&gt;"",N599=""),"; Dept has not entered an expected value","")&amp;IF((IF(OR(COUNTA(S599:U599)=0,AND(COUNTA(S599:U599)=3,ISNUMBER(U599))),0,1)+IF(OR(COUNTA(V599:X599)=0,AND(COUNTA(V599:X599)=3,ISNUMBER(X599))),0,1)+IF(OR(COUNTA(Y599:AA599)=0,AND(COUNTA(Y599:AA599)=3,ISNUMBER(AA599))),0,1)+IF(OR(COUNTA(AB599:AD599)=0,AND(COUNTA(AB599:AD599)=3,ISNUMBER(AD599))),0,1)+IF(OR(COUNTA(AE599:AG599)=0,AND(COUNTA(AE599:AG599)=3,ISNUMBER(AG599))),0,1)+IF(OR(COUNTA(AH599:AJ599)=0,AND(COUNTA(AH599:AJ599)=3,ISNUMBER(AJ599))),0,1)+IF(OR(COUNTA(AK599:AM599)=0,AND(COUNTA(AK599:AM599)=3,ISNUMBER(AM599))),0,1)+IF(OR(COUNTA(AN599:AP599)=0,AND(COUNTA(AN599:AP599)=3,ISNUMBER(AP599))),0,1)+IF(OR(COUNTA(AQ599:AS599)=0,AND(COUNTA(AQ599:AS599)=3,ISNUMBER(AS599))),0,1)+IF(OR(COUNTA(AT599:AV599)=0,AND(COUNTA(AT599:AV599)=3,ISNUMBER(AV599))),0,1)+IF(OR(COUNTA(AW599:AY599)=0,AND(COUNTA(AW599:AY599)=3,ISNUMBER(AY599))),0,1)+IF(OR(COUNTA(AZ599:BB599)=0,AND(COUNTA(AZ599:BB599)=3,ISNUMBER(BB599))),0,1))&gt;0,"; An invoice is incomplete (needs No, Date and a number in Ex GST)","")&amp;IF((IF(T599="",0,IFERROR(--(EOMONTH(T599,0)&lt;&gt;S$5),1))+IF(W599="",0,IFERROR(--(EOMONTH(W599,0)&lt;&gt;V$5),1))+IF(Z599="",0,IFERROR(--(EOMONTH(Z599,0)&lt;&gt;Y$5),1))+IF(AC599="",0,IFERROR(--(EOMONTH(AC599,0)&lt;&gt;AB$5),1))+IF(AF599="",0,IFERROR(--(EOMONTH(AF599,0)&lt;&gt;AE$5),1))+IF(AI599="",0,IFERROR(--(EOMONTH(AI599,0)&lt;&gt;AH$5),1))+IF(AL599="",0,IFERROR(--(EOMONTH(AL599,0)&lt;&gt;AK$5),1))+IF(AO599="",0,IFERROR(--(EOMONTH(AO599,0)&lt;&gt;AN$5),1))+IF(AR599="",0,IFERROR(--(EOMONTH(AR599,0)&lt;&gt;AQ$5),1))+IF(AU599="",0,IFERROR(--(EOMONTH(AU599,0)&lt;&gt;AT$5),1))+IF(AX599="",0,IFERROR(--(EOMONTH(AX599,0)&lt;&gt;AW$5),1))+IF(BA599="",0,IFERROR(--(EOMONTH(BA599,0)&lt;&gt;AZ$5),1)))&gt;0,"; An invoice date is not in the month it is typed under",""),3,500))</f>
        <v/>
      </c>
      <c r="S599" s="12" t="n"/>
      <c r="T599" s="13" t="n"/>
      <c r="U599" s="14" t="n"/>
      <c r="V599" s="12" t="n"/>
      <c r="W599" s="13" t="n"/>
      <c r="X599" s="14" t="n"/>
      <c r="Y599" s="12" t="n"/>
      <c r="Z599" s="13" t="n"/>
      <c r="AA599" s="14" t="n"/>
      <c r="AB599" s="12" t="n"/>
      <c r="AC599" s="13" t="n"/>
      <c r="AD599" s="14" t="n"/>
      <c r="AE599" s="12" t="n"/>
      <c r="AF599" s="13" t="n"/>
      <c r="AG599" s="14" t="n"/>
      <c r="AH599" s="12" t="n"/>
      <c r="AI599" s="13" t="n"/>
      <c r="AJ599" s="14" t="n"/>
      <c r="AK599" s="12" t="n"/>
      <c r="AL599" s="13" t="n"/>
      <c r="AM599" s="14" t="n"/>
      <c r="AN599" s="12" t="n"/>
      <c r="AO599" s="13" t="n"/>
      <c r="AP599" s="14" t="n"/>
      <c r="AQ599" s="12" t="n"/>
      <c r="AR599" s="13" t="n"/>
      <c r="AS599" s="14" t="n"/>
      <c r="AT599" s="12" t="n"/>
      <c r="AU599" s="13" t="n"/>
      <c r="AV599" s="14" t="n"/>
      <c r="AW599" s="12" t="n"/>
      <c r="AX599" s="13" t="n"/>
      <c r="AY599" s="14" t="n"/>
      <c r="AZ599" s="12" t="n"/>
      <c r="BA599" s="13" t="n"/>
      <c r="BB599" s="14" t="n"/>
      <c r="BC599" s="11">
        <f>IF(O599="","",IF(J599="GST 10%",ROUND(O599*set_GSTRate,2),0))</f>
        <v/>
      </c>
      <c r="BD599" s="11">
        <f>IF(O599="","",O599+BC599)</f>
        <v/>
      </c>
      <c r="BE599" s="15">
        <f>IF(O599="","",COUNTA(S599,V599,Y599,AB599,AE599,AH599,AK599,AN599,AQ599,AT599,AW599,AZ599))</f>
        <v/>
      </c>
      <c r="BF599" s="16">
        <f>IF(COUNT(T599,W599,Z599,AC599,AF599,AI599,AL599,AO599,AR599,AU599,AX599,BA599)=0,"",MAX(T599,W599,Z599,AC599,AF599,AI599,AL599,AO599,AR599,AU599,AX599,BA599))</f>
        <v/>
      </c>
      <c r="BG599" s="10">
        <f>MID(IF(S599="","",", "&amp;S599)&amp;IF(V599="","",", "&amp;V599)&amp;IF(Y599="","",", "&amp;Y599)&amp;IF(AB599="","",", "&amp;AB599)&amp;IF(AE599="","",", "&amp;AE599)&amp;IF(AH599="","",", "&amp;AH599)&amp;IF(AK599="","",", "&amp;AK599)&amp;IF(AN599="","",", "&amp;AN599)&amp;IF(AQ599="","",", "&amp;AQ599)&amp;IF(AT599="","",", "&amp;AT599)&amp;IF(AW599="","",", "&amp;AW599)&amp;IF(AZ599="","",", "&amp;AZ599),3,500)</f>
        <v/>
      </c>
      <c r="BH599" s="12" t="n"/>
      <c r="BI599" s="15">
        <f>IFERROR(MATCH($A599,IF($B599="Onsite",tbl_Onsite[Row ID],IF($B599="Production",tbl_Production[Row ID],tbl_Consulting[Row ID])),0),"")</f>
        <v/>
      </c>
    </row>
    <row r="600">
      <c r="A600" s="10" t="inlineStr">
        <is>
          <t>PRD-0094</t>
        </is>
      </c>
      <c r="B600" s="10" t="inlineStr">
        <is>
          <t>Production</t>
        </is>
      </c>
      <c r="C600" s="10">
        <f>IF($BI600="","",IF($B600="Onsite",INDEX(tbl_Onsite[Job Number],$BI600),IF($B600="Production",INDEX(tbl_Production[Job Number],$BI600),INDEX(tbl_Consulting[Job Number],$BI600)))&amp;"")</f>
        <v/>
      </c>
      <c r="D600" s="10">
        <f>IF($BI600="","",IF($B600="Onsite",INDEX(tbl_Onsite[Client],$BI600),IF($B600="Production",INDEX(tbl_Production[Client],$BI600),INDEX(tbl_Consulting[Client],$BI600)))&amp;"")</f>
        <v/>
      </c>
      <c r="E600" s="10">
        <f>IF($C600="","",IF(COUNTIF(lst_Jobs,$C600)&gt;0,"OK","CHECK"))</f>
        <v/>
      </c>
      <c r="F600" s="10">
        <f>IF($C600="","",IFERROR(INDEX(lst_JobName,MATCH($C600,lst_Jobs,0)),""))</f>
        <v/>
      </c>
      <c r="G600" s="10">
        <f>IF($BI600="","",IF($B600="Onsite",INDEX(tbl_Onsite[Job Description],$BI600),IF($B600="Production",INDEX(tbl_Production[Job Description],$BI600),INDEX(tbl_Consulting[Job Description],$BI600)))&amp;"")</f>
        <v/>
      </c>
      <c r="H600" s="10">
        <f>IF($BI600="","",IF($B600="Onsite",INDEX(tbl_Onsite[Cost Centre],$BI600),IF($B600="Production",INDEX(tbl_Production[Cost Centre],$BI600),INDEX(tbl_Consulting[Cost Centre],$BI600)))&amp;"")</f>
        <v/>
      </c>
      <c r="I600" s="10">
        <f>IF($BI600="","",IF($B600="Onsite",INDEX(tbl_Onsite[Invoice Type],$BI600),IF($B600="Production",INDEX(tbl_Production[Invoice Type],$BI600),INDEX(tbl_Consulting[Invoice Type],$BI600)))&amp;"")</f>
        <v/>
      </c>
      <c r="J600" s="10">
        <f>IF($BI600="","",IF($B600="Onsite",INDEX(tbl_Onsite[Tax Code],$BI600),IF($B600="Production",INDEX(tbl_Production[Tax Code],$BI600),INDEX(tbl_Consulting[Tax Code],$BI600)))&amp;"")</f>
        <v/>
      </c>
      <c r="K600" s="10">
        <f>IF(H600="","",IFERROR(INDEX(lst_CCtoGL,MATCH(H600,lst_CCforGL,0)),""))</f>
        <v/>
      </c>
      <c r="L600" s="10">
        <f>IF($BI600="","",IF($B600="Onsite",INDEX(tbl_Onsite[PO / Reference],$BI600),IF($B600="Production",INDEX(tbl_Production[Current RMS No],$BI600),INDEX(tbl_Consulting[Qwilr Quote],$BI600)))&amp;"")</f>
        <v/>
      </c>
      <c r="M600" s="10">
        <f>IF($BI600="","",IF($B600="Onsite",INDEX(tbl_Onsite[Notes],$BI600),IF($B600="Production",INDEX(tbl_Production[Notes],$BI600),INDEX(tbl_Consulting[Notes],$BI600)))&amp;"")</f>
        <v/>
      </c>
      <c r="N600" s="11">
        <f>IF($BI600="","",IF(IF($B600="Onsite",INDEX(tbl_Onsite[Expected Revenue Ex GST],$BI600),IF($B600="Production",INDEX(tbl_Production[Expected Revenue Ex GST],$BI600),INDEX(tbl_Consulting[Expected Revenue Ex GST],$BI600)))="","",IF($B600="Onsite",INDEX(tbl_Onsite[Expected Revenue Ex GST],$BI600),IF($B600="Production",INDEX(tbl_Production[Expected Revenue Ex GST],$BI600),INDEX(tbl_Consulting[Expected Revenue Ex GST],$BI600)))))</f>
        <v/>
      </c>
      <c r="O600" s="11">
        <f>IF(AND($C600="",NOT(COUNTA($S600:$BB600)&gt;0)),"",SUM(U600,X600,AA600,AD600,AG600,AJ600,AM600,AP600,AS600,AV600,AY600,BB600))</f>
        <v/>
      </c>
      <c r="P600" s="11">
        <f>IF(O600="","",N(N600)-O600)</f>
        <v/>
      </c>
      <c r="Q600" s="10">
        <f>IF(O600="","",IF($C600="","Invoice on empty job row",IF(N600="",IF(ROUND(O600,2)=0,"No dept value","Invoiced - no dept value"),IF(ROUND(O600,2)=0,"Not invoiced - to invoice",IF(ROUND(P600,2)=0,"Agrees",IF(P600&gt;0,"Dept higher - to invoice","Xero higher - check dept"))))))</f>
        <v/>
      </c>
      <c r="R600" s="10">
        <f>IF(AND($C600="",NOT(COUNTA($S600:$BB600)&gt;0),$BI600&lt;&gt;""),"",MID(IF($BI600="","; Row ID not found on the department sheet - a row was deleted","")&amp;IF(AND($C600="",COUNTA($S600:$BB600)&gt;0),"; Invoice entered but the department row has no job number","")&amp;IF(E600="CHECK","; Job number not in the Xero job list","")&amp;IF(AND($C600&lt;&gt;"",COUNTIF($C$7:$C$1506,$C600)&gt;1),"; Job number on more than one row","")&amp;IF(AND($C600&lt;&gt;"",H600=""),"; Dept has not set a cost centre","")&amp;IF(AND($C600&lt;&gt;"",J600=""),"; Dept has not set a tax code","")&amp;IF(AND($C600&lt;&gt;"",N600=""),"; Dept has not entered an expected value","")&amp;IF((IF(OR(COUNTA(S600:U600)=0,AND(COUNTA(S600:U600)=3,ISNUMBER(U600))),0,1)+IF(OR(COUNTA(V600:X600)=0,AND(COUNTA(V600:X600)=3,ISNUMBER(X600))),0,1)+IF(OR(COUNTA(Y600:AA600)=0,AND(COUNTA(Y600:AA600)=3,ISNUMBER(AA600))),0,1)+IF(OR(COUNTA(AB600:AD600)=0,AND(COUNTA(AB600:AD600)=3,ISNUMBER(AD600))),0,1)+IF(OR(COUNTA(AE600:AG600)=0,AND(COUNTA(AE600:AG600)=3,ISNUMBER(AG600))),0,1)+IF(OR(COUNTA(AH600:AJ600)=0,AND(COUNTA(AH600:AJ600)=3,ISNUMBER(AJ600))),0,1)+IF(OR(COUNTA(AK600:AM600)=0,AND(COUNTA(AK600:AM600)=3,ISNUMBER(AM600))),0,1)+IF(OR(COUNTA(AN600:AP600)=0,AND(COUNTA(AN600:AP600)=3,ISNUMBER(AP600))),0,1)+IF(OR(COUNTA(AQ600:AS600)=0,AND(COUNTA(AQ600:AS600)=3,ISNUMBER(AS600))),0,1)+IF(OR(COUNTA(AT600:AV600)=0,AND(COUNTA(AT600:AV600)=3,ISNUMBER(AV600))),0,1)+IF(OR(COUNTA(AW600:AY600)=0,AND(COUNTA(AW600:AY600)=3,ISNUMBER(AY600))),0,1)+IF(OR(COUNTA(AZ600:BB600)=0,AND(COUNTA(AZ600:BB600)=3,ISNUMBER(BB600))),0,1))&gt;0,"; An invoice is incomplete (needs No, Date and a number in Ex GST)","")&amp;IF((IF(T600="",0,IFERROR(--(EOMONTH(T600,0)&lt;&gt;S$5),1))+IF(W600="",0,IFERROR(--(EOMONTH(W600,0)&lt;&gt;V$5),1))+IF(Z600="",0,IFERROR(--(EOMONTH(Z600,0)&lt;&gt;Y$5),1))+IF(AC600="",0,IFERROR(--(EOMONTH(AC600,0)&lt;&gt;AB$5),1))+IF(AF600="",0,IFERROR(--(EOMONTH(AF600,0)&lt;&gt;AE$5),1))+IF(AI600="",0,IFERROR(--(EOMONTH(AI600,0)&lt;&gt;AH$5),1))+IF(AL600="",0,IFERROR(--(EOMONTH(AL600,0)&lt;&gt;AK$5),1))+IF(AO600="",0,IFERROR(--(EOMONTH(AO600,0)&lt;&gt;AN$5),1))+IF(AR600="",0,IFERROR(--(EOMONTH(AR600,0)&lt;&gt;AQ$5),1))+IF(AU600="",0,IFERROR(--(EOMONTH(AU600,0)&lt;&gt;AT$5),1))+IF(AX600="",0,IFERROR(--(EOMONTH(AX600,0)&lt;&gt;AW$5),1))+IF(BA600="",0,IFERROR(--(EOMONTH(BA600,0)&lt;&gt;AZ$5),1)))&gt;0,"; An invoice date is not in the month it is typed under",""),3,500))</f>
        <v/>
      </c>
      <c r="S600" s="12" t="n"/>
      <c r="T600" s="13" t="n"/>
      <c r="U600" s="14" t="n"/>
      <c r="V600" s="12" t="n"/>
      <c r="W600" s="13" t="n"/>
      <c r="X600" s="14" t="n"/>
      <c r="Y600" s="12" t="n"/>
      <c r="Z600" s="13" t="n"/>
      <c r="AA600" s="14" t="n"/>
      <c r="AB600" s="12" t="n"/>
      <c r="AC600" s="13" t="n"/>
      <c r="AD600" s="14" t="n"/>
      <c r="AE600" s="12" t="n"/>
      <c r="AF600" s="13" t="n"/>
      <c r="AG600" s="14" t="n"/>
      <c r="AH600" s="12" t="n"/>
      <c r="AI600" s="13" t="n"/>
      <c r="AJ600" s="14" t="n"/>
      <c r="AK600" s="12" t="n"/>
      <c r="AL600" s="13" t="n"/>
      <c r="AM600" s="14" t="n"/>
      <c r="AN600" s="12" t="n"/>
      <c r="AO600" s="13" t="n"/>
      <c r="AP600" s="14" t="n"/>
      <c r="AQ600" s="12" t="n"/>
      <c r="AR600" s="13" t="n"/>
      <c r="AS600" s="14" t="n"/>
      <c r="AT600" s="12" t="n"/>
      <c r="AU600" s="13" t="n"/>
      <c r="AV600" s="14" t="n"/>
      <c r="AW600" s="12" t="n"/>
      <c r="AX600" s="13" t="n"/>
      <c r="AY600" s="14" t="n"/>
      <c r="AZ600" s="12" t="n"/>
      <c r="BA600" s="13" t="n"/>
      <c r="BB600" s="14" t="n"/>
      <c r="BC600" s="11">
        <f>IF(O600="","",IF(J600="GST 10%",ROUND(O600*set_GSTRate,2),0))</f>
        <v/>
      </c>
      <c r="BD600" s="11">
        <f>IF(O600="","",O600+BC600)</f>
        <v/>
      </c>
      <c r="BE600" s="15">
        <f>IF(O600="","",COUNTA(S600,V600,Y600,AB600,AE600,AH600,AK600,AN600,AQ600,AT600,AW600,AZ600))</f>
        <v/>
      </c>
      <c r="BF600" s="16">
        <f>IF(COUNT(T600,W600,Z600,AC600,AF600,AI600,AL600,AO600,AR600,AU600,AX600,BA600)=0,"",MAX(T600,W600,Z600,AC600,AF600,AI600,AL600,AO600,AR600,AU600,AX600,BA600))</f>
        <v/>
      </c>
      <c r="BG600" s="10">
        <f>MID(IF(S600="","",", "&amp;S600)&amp;IF(V600="","",", "&amp;V600)&amp;IF(Y600="","",", "&amp;Y600)&amp;IF(AB600="","",", "&amp;AB600)&amp;IF(AE600="","",", "&amp;AE600)&amp;IF(AH600="","",", "&amp;AH600)&amp;IF(AK600="","",", "&amp;AK600)&amp;IF(AN600="","",", "&amp;AN600)&amp;IF(AQ600="","",", "&amp;AQ600)&amp;IF(AT600="","",", "&amp;AT600)&amp;IF(AW600="","",", "&amp;AW600)&amp;IF(AZ600="","",", "&amp;AZ600),3,500)</f>
        <v/>
      </c>
      <c r="BH600" s="12" t="n"/>
      <c r="BI600" s="15">
        <f>IFERROR(MATCH($A600,IF($B600="Onsite",tbl_Onsite[Row ID],IF($B600="Production",tbl_Production[Row ID],tbl_Consulting[Row ID])),0),"")</f>
        <v/>
      </c>
    </row>
    <row r="601">
      <c r="A601" s="10" t="inlineStr">
        <is>
          <t>PRD-0095</t>
        </is>
      </c>
      <c r="B601" s="10" t="inlineStr">
        <is>
          <t>Production</t>
        </is>
      </c>
      <c r="C601" s="10">
        <f>IF($BI601="","",IF($B601="Onsite",INDEX(tbl_Onsite[Job Number],$BI601),IF($B601="Production",INDEX(tbl_Production[Job Number],$BI601),INDEX(tbl_Consulting[Job Number],$BI601)))&amp;"")</f>
        <v/>
      </c>
      <c r="D601" s="10">
        <f>IF($BI601="","",IF($B601="Onsite",INDEX(tbl_Onsite[Client],$BI601),IF($B601="Production",INDEX(tbl_Production[Client],$BI601),INDEX(tbl_Consulting[Client],$BI601)))&amp;"")</f>
        <v/>
      </c>
      <c r="E601" s="10">
        <f>IF($C601="","",IF(COUNTIF(lst_Jobs,$C601)&gt;0,"OK","CHECK"))</f>
        <v/>
      </c>
      <c r="F601" s="10">
        <f>IF($C601="","",IFERROR(INDEX(lst_JobName,MATCH($C601,lst_Jobs,0)),""))</f>
        <v/>
      </c>
      <c r="G601" s="10">
        <f>IF($BI601="","",IF($B601="Onsite",INDEX(tbl_Onsite[Job Description],$BI601),IF($B601="Production",INDEX(tbl_Production[Job Description],$BI601),INDEX(tbl_Consulting[Job Description],$BI601)))&amp;"")</f>
        <v/>
      </c>
      <c r="H601" s="10">
        <f>IF($BI601="","",IF($B601="Onsite",INDEX(tbl_Onsite[Cost Centre],$BI601),IF($B601="Production",INDEX(tbl_Production[Cost Centre],$BI601),INDEX(tbl_Consulting[Cost Centre],$BI601)))&amp;"")</f>
        <v/>
      </c>
      <c r="I601" s="10">
        <f>IF($BI601="","",IF($B601="Onsite",INDEX(tbl_Onsite[Invoice Type],$BI601),IF($B601="Production",INDEX(tbl_Production[Invoice Type],$BI601),INDEX(tbl_Consulting[Invoice Type],$BI601)))&amp;"")</f>
        <v/>
      </c>
      <c r="J601" s="10">
        <f>IF($BI601="","",IF($B601="Onsite",INDEX(tbl_Onsite[Tax Code],$BI601),IF($B601="Production",INDEX(tbl_Production[Tax Code],$BI601),INDEX(tbl_Consulting[Tax Code],$BI601)))&amp;"")</f>
        <v/>
      </c>
      <c r="K601" s="10">
        <f>IF(H601="","",IFERROR(INDEX(lst_CCtoGL,MATCH(H601,lst_CCforGL,0)),""))</f>
        <v/>
      </c>
      <c r="L601" s="10">
        <f>IF($BI601="","",IF($B601="Onsite",INDEX(tbl_Onsite[PO / Reference],$BI601),IF($B601="Production",INDEX(tbl_Production[Current RMS No],$BI601),INDEX(tbl_Consulting[Qwilr Quote],$BI601)))&amp;"")</f>
        <v/>
      </c>
      <c r="M601" s="10">
        <f>IF($BI601="","",IF($B601="Onsite",INDEX(tbl_Onsite[Notes],$BI601),IF($B601="Production",INDEX(tbl_Production[Notes],$BI601),INDEX(tbl_Consulting[Notes],$BI601)))&amp;"")</f>
        <v/>
      </c>
      <c r="N601" s="11">
        <f>IF($BI601="","",IF(IF($B601="Onsite",INDEX(tbl_Onsite[Expected Revenue Ex GST],$BI601),IF($B601="Production",INDEX(tbl_Production[Expected Revenue Ex GST],$BI601),INDEX(tbl_Consulting[Expected Revenue Ex GST],$BI601)))="","",IF($B601="Onsite",INDEX(tbl_Onsite[Expected Revenue Ex GST],$BI601),IF($B601="Production",INDEX(tbl_Production[Expected Revenue Ex GST],$BI601),INDEX(tbl_Consulting[Expected Revenue Ex GST],$BI601)))))</f>
        <v/>
      </c>
      <c r="O601" s="11">
        <f>IF(AND($C601="",NOT(COUNTA($S601:$BB601)&gt;0)),"",SUM(U601,X601,AA601,AD601,AG601,AJ601,AM601,AP601,AS601,AV601,AY601,BB601))</f>
        <v/>
      </c>
      <c r="P601" s="11">
        <f>IF(O601="","",N(N601)-O601)</f>
        <v/>
      </c>
      <c r="Q601" s="10">
        <f>IF(O601="","",IF($C601="","Invoice on empty job row",IF(N601="",IF(ROUND(O601,2)=0,"No dept value","Invoiced - no dept value"),IF(ROUND(O601,2)=0,"Not invoiced - to invoice",IF(ROUND(P601,2)=0,"Agrees",IF(P601&gt;0,"Dept higher - to invoice","Xero higher - check dept"))))))</f>
        <v/>
      </c>
      <c r="R601" s="10">
        <f>IF(AND($C601="",NOT(COUNTA($S601:$BB601)&gt;0),$BI601&lt;&gt;""),"",MID(IF($BI601="","; Row ID not found on the department sheet - a row was deleted","")&amp;IF(AND($C601="",COUNTA($S601:$BB601)&gt;0),"; Invoice entered but the department row has no job number","")&amp;IF(E601="CHECK","; Job number not in the Xero job list","")&amp;IF(AND($C601&lt;&gt;"",COUNTIF($C$7:$C$1506,$C601)&gt;1),"; Job number on more than one row","")&amp;IF(AND($C601&lt;&gt;"",H601=""),"; Dept has not set a cost centre","")&amp;IF(AND($C601&lt;&gt;"",J601=""),"; Dept has not set a tax code","")&amp;IF(AND($C601&lt;&gt;"",N601=""),"; Dept has not entered an expected value","")&amp;IF((IF(OR(COUNTA(S601:U601)=0,AND(COUNTA(S601:U601)=3,ISNUMBER(U601))),0,1)+IF(OR(COUNTA(V601:X601)=0,AND(COUNTA(V601:X601)=3,ISNUMBER(X601))),0,1)+IF(OR(COUNTA(Y601:AA601)=0,AND(COUNTA(Y601:AA601)=3,ISNUMBER(AA601))),0,1)+IF(OR(COUNTA(AB601:AD601)=0,AND(COUNTA(AB601:AD601)=3,ISNUMBER(AD601))),0,1)+IF(OR(COUNTA(AE601:AG601)=0,AND(COUNTA(AE601:AG601)=3,ISNUMBER(AG601))),0,1)+IF(OR(COUNTA(AH601:AJ601)=0,AND(COUNTA(AH601:AJ601)=3,ISNUMBER(AJ601))),0,1)+IF(OR(COUNTA(AK601:AM601)=0,AND(COUNTA(AK601:AM601)=3,ISNUMBER(AM601))),0,1)+IF(OR(COUNTA(AN601:AP601)=0,AND(COUNTA(AN601:AP601)=3,ISNUMBER(AP601))),0,1)+IF(OR(COUNTA(AQ601:AS601)=0,AND(COUNTA(AQ601:AS601)=3,ISNUMBER(AS601))),0,1)+IF(OR(COUNTA(AT601:AV601)=0,AND(COUNTA(AT601:AV601)=3,ISNUMBER(AV601))),0,1)+IF(OR(COUNTA(AW601:AY601)=0,AND(COUNTA(AW601:AY601)=3,ISNUMBER(AY601))),0,1)+IF(OR(COUNTA(AZ601:BB601)=0,AND(COUNTA(AZ601:BB601)=3,ISNUMBER(BB601))),0,1))&gt;0,"; An invoice is incomplete (needs No, Date and a number in Ex GST)","")&amp;IF((IF(T601="",0,IFERROR(--(EOMONTH(T601,0)&lt;&gt;S$5),1))+IF(W601="",0,IFERROR(--(EOMONTH(W601,0)&lt;&gt;V$5),1))+IF(Z601="",0,IFERROR(--(EOMONTH(Z601,0)&lt;&gt;Y$5),1))+IF(AC601="",0,IFERROR(--(EOMONTH(AC601,0)&lt;&gt;AB$5),1))+IF(AF601="",0,IFERROR(--(EOMONTH(AF601,0)&lt;&gt;AE$5),1))+IF(AI601="",0,IFERROR(--(EOMONTH(AI601,0)&lt;&gt;AH$5),1))+IF(AL601="",0,IFERROR(--(EOMONTH(AL601,0)&lt;&gt;AK$5),1))+IF(AO601="",0,IFERROR(--(EOMONTH(AO601,0)&lt;&gt;AN$5),1))+IF(AR601="",0,IFERROR(--(EOMONTH(AR601,0)&lt;&gt;AQ$5),1))+IF(AU601="",0,IFERROR(--(EOMONTH(AU601,0)&lt;&gt;AT$5),1))+IF(AX601="",0,IFERROR(--(EOMONTH(AX601,0)&lt;&gt;AW$5),1))+IF(BA601="",0,IFERROR(--(EOMONTH(BA601,0)&lt;&gt;AZ$5),1)))&gt;0,"; An invoice date is not in the month it is typed under",""),3,500))</f>
        <v/>
      </c>
      <c r="S601" s="12" t="n"/>
      <c r="T601" s="13" t="n"/>
      <c r="U601" s="14" t="n"/>
      <c r="V601" s="12" t="n"/>
      <c r="W601" s="13" t="n"/>
      <c r="X601" s="14" t="n"/>
      <c r="Y601" s="12" t="n"/>
      <c r="Z601" s="13" t="n"/>
      <c r="AA601" s="14" t="n"/>
      <c r="AB601" s="12" t="n"/>
      <c r="AC601" s="13" t="n"/>
      <c r="AD601" s="14" t="n"/>
      <c r="AE601" s="12" t="n"/>
      <c r="AF601" s="13" t="n"/>
      <c r="AG601" s="14" t="n"/>
      <c r="AH601" s="12" t="n"/>
      <c r="AI601" s="13" t="n"/>
      <c r="AJ601" s="14" t="n"/>
      <c r="AK601" s="12" t="n"/>
      <c r="AL601" s="13" t="n"/>
      <c r="AM601" s="14" t="n"/>
      <c r="AN601" s="12" t="n"/>
      <c r="AO601" s="13" t="n"/>
      <c r="AP601" s="14" t="n"/>
      <c r="AQ601" s="12" t="n"/>
      <c r="AR601" s="13" t="n"/>
      <c r="AS601" s="14" t="n"/>
      <c r="AT601" s="12" t="n"/>
      <c r="AU601" s="13" t="n"/>
      <c r="AV601" s="14" t="n"/>
      <c r="AW601" s="12" t="n"/>
      <c r="AX601" s="13" t="n"/>
      <c r="AY601" s="14" t="n"/>
      <c r="AZ601" s="12" t="n"/>
      <c r="BA601" s="13" t="n"/>
      <c r="BB601" s="14" t="n"/>
      <c r="BC601" s="11">
        <f>IF(O601="","",IF(J601="GST 10%",ROUND(O601*set_GSTRate,2),0))</f>
        <v/>
      </c>
      <c r="BD601" s="11">
        <f>IF(O601="","",O601+BC601)</f>
        <v/>
      </c>
      <c r="BE601" s="15">
        <f>IF(O601="","",COUNTA(S601,V601,Y601,AB601,AE601,AH601,AK601,AN601,AQ601,AT601,AW601,AZ601))</f>
        <v/>
      </c>
      <c r="BF601" s="16">
        <f>IF(COUNT(T601,W601,Z601,AC601,AF601,AI601,AL601,AO601,AR601,AU601,AX601,BA601)=0,"",MAX(T601,W601,Z601,AC601,AF601,AI601,AL601,AO601,AR601,AU601,AX601,BA601))</f>
        <v/>
      </c>
      <c r="BG601" s="10">
        <f>MID(IF(S601="","",", "&amp;S601)&amp;IF(V601="","",", "&amp;V601)&amp;IF(Y601="","",", "&amp;Y601)&amp;IF(AB601="","",", "&amp;AB601)&amp;IF(AE601="","",", "&amp;AE601)&amp;IF(AH601="","",", "&amp;AH601)&amp;IF(AK601="","",", "&amp;AK601)&amp;IF(AN601="","",", "&amp;AN601)&amp;IF(AQ601="","",", "&amp;AQ601)&amp;IF(AT601="","",", "&amp;AT601)&amp;IF(AW601="","",", "&amp;AW601)&amp;IF(AZ601="","",", "&amp;AZ601),3,500)</f>
        <v/>
      </c>
      <c r="BH601" s="12" t="n"/>
      <c r="BI601" s="15">
        <f>IFERROR(MATCH($A601,IF($B601="Onsite",tbl_Onsite[Row ID],IF($B601="Production",tbl_Production[Row ID],tbl_Consulting[Row ID])),0),"")</f>
        <v/>
      </c>
    </row>
    <row r="602">
      <c r="A602" s="10" t="inlineStr">
        <is>
          <t>PRD-0096</t>
        </is>
      </c>
      <c r="B602" s="10" t="inlineStr">
        <is>
          <t>Production</t>
        </is>
      </c>
      <c r="C602" s="10">
        <f>IF($BI602="","",IF($B602="Onsite",INDEX(tbl_Onsite[Job Number],$BI602),IF($B602="Production",INDEX(tbl_Production[Job Number],$BI602),INDEX(tbl_Consulting[Job Number],$BI602)))&amp;"")</f>
        <v/>
      </c>
      <c r="D602" s="10">
        <f>IF($BI602="","",IF($B602="Onsite",INDEX(tbl_Onsite[Client],$BI602),IF($B602="Production",INDEX(tbl_Production[Client],$BI602),INDEX(tbl_Consulting[Client],$BI602)))&amp;"")</f>
        <v/>
      </c>
      <c r="E602" s="10">
        <f>IF($C602="","",IF(COUNTIF(lst_Jobs,$C602)&gt;0,"OK","CHECK"))</f>
        <v/>
      </c>
      <c r="F602" s="10">
        <f>IF($C602="","",IFERROR(INDEX(lst_JobName,MATCH($C602,lst_Jobs,0)),""))</f>
        <v/>
      </c>
      <c r="G602" s="10">
        <f>IF($BI602="","",IF($B602="Onsite",INDEX(tbl_Onsite[Job Description],$BI602),IF($B602="Production",INDEX(tbl_Production[Job Description],$BI602),INDEX(tbl_Consulting[Job Description],$BI602)))&amp;"")</f>
        <v/>
      </c>
      <c r="H602" s="10">
        <f>IF($BI602="","",IF($B602="Onsite",INDEX(tbl_Onsite[Cost Centre],$BI602),IF($B602="Production",INDEX(tbl_Production[Cost Centre],$BI602),INDEX(tbl_Consulting[Cost Centre],$BI602)))&amp;"")</f>
        <v/>
      </c>
      <c r="I602" s="10">
        <f>IF($BI602="","",IF($B602="Onsite",INDEX(tbl_Onsite[Invoice Type],$BI602),IF($B602="Production",INDEX(tbl_Production[Invoice Type],$BI602),INDEX(tbl_Consulting[Invoice Type],$BI602)))&amp;"")</f>
        <v/>
      </c>
      <c r="J602" s="10">
        <f>IF($BI602="","",IF($B602="Onsite",INDEX(tbl_Onsite[Tax Code],$BI602),IF($B602="Production",INDEX(tbl_Production[Tax Code],$BI602),INDEX(tbl_Consulting[Tax Code],$BI602)))&amp;"")</f>
        <v/>
      </c>
      <c r="K602" s="10">
        <f>IF(H602="","",IFERROR(INDEX(lst_CCtoGL,MATCH(H602,lst_CCforGL,0)),""))</f>
        <v/>
      </c>
      <c r="L602" s="10">
        <f>IF($BI602="","",IF($B602="Onsite",INDEX(tbl_Onsite[PO / Reference],$BI602),IF($B602="Production",INDEX(tbl_Production[Current RMS No],$BI602),INDEX(tbl_Consulting[Qwilr Quote],$BI602)))&amp;"")</f>
        <v/>
      </c>
      <c r="M602" s="10">
        <f>IF($BI602="","",IF($B602="Onsite",INDEX(tbl_Onsite[Notes],$BI602),IF($B602="Production",INDEX(tbl_Production[Notes],$BI602),INDEX(tbl_Consulting[Notes],$BI602)))&amp;"")</f>
        <v/>
      </c>
      <c r="N602" s="11">
        <f>IF($BI602="","",IF(IF($B602="Onsite",INDEX(tbl_Onsite[Expected Revenue Ex GST],$BI602),IF($B602="Production",INDEX(tbl_Production[Expected Revenue Ex GST],$BI602),INDEX(tbl_Consulting[Expected Revenue Ex GST],$BI602)))="","",IF($B602="Onsite",INDEX(tbl_Onsite[Expected Revenue Ex GST],$BI602),IF($B602="Production",INDEX(tbl_Production[Expected Revenue Ex GST],$BI602),INDEX(tbl_Consulting[Expected Revenue Ex GST],$BI602)))))</f>
        <v/>
      </c>
      <c r="O602" s="11">
        <f>IF(AND($C602="",NOT(COUNTA($S602:$BB602)&gt;0)),"",SUM(U602,X602,AA602,AD602,AG602,AJ602,AM602,AP602,AS602,AV602,AY602,BB602))</f>
        <v/>
      </c>
      <c r="P602" s="11">
        <f>IF(O602="","",N(N602)-O602)</f>
        <v/>
      </c>
      <c r="Q602" s="10">
        <f>IF(O602="","",IF($C602="","Invoice on empty job row",IF(N602="",IF(ROUND(O602,2)=0,"No dept value","Invoiced - no dept value"),IF(ROUND(O602,2)=0,"Not invoiced - to invoice",IF(ROUND(P602,2)=0,"Agrees",IF(P602&gt;0,"Dept higher - to invoice","Xero higher - check dept"))))))</f>
        <v/>
      </c>
      <c r="R602" s="10">
        <f>IF(AND($C602="",NOT(COUNTA($S602:$BB602)&gt;0),$BI602&lt;&gt;""),"",MID(IF($BI602="","; Row ID not found on the department sheet - a row was deleted","")&amp;IF(AND($C602="",COUNTA($S602:$BB602)&gt;0),"; Invoice entered but the department row has no job number","")&amp;IF(E602="CHECK","; Job number not in the Xero job list","")&amp;IF(AND($C602&lt;&gt;"",COUNTIF($C$7:$C$1506,$C602)&gt;1),"; Job number on more than one row","")&amp;IF(AND($C602&lt;&gt;"",H602=""),"; Dept has not set a cost centre","")&amp;IF(AND($C602&lt;&gt;"",J602=""),"; Dept has not set a tax code","")&amp;IF(AND($C602&lt;&gt;"",N602=""),"; Dept has not entered an expected value","")&amp;IF((IF(OR(COUNTA(S602:U602)=0,AND(COUNTA(S602:U602)=3,ISNUMBER(U602))),0,1)+IF(OR(COUNTA(V602:X602)=0,AND(COUNTA(V602:X602)=3,ISNUMBER(X602))),0,1)+IF(OR(COUNTA(Y602:AA602)=0,AND(COUNTA(Y602:AA602)=3,ISNUMBER(AA602))),0,1)+IF(OR(COUNTA(AB602:AD602)=0,AND(COUNTA(AB602:AD602)=3,ISNUMBER(AD602))),0,1)+IF(OR(COUNTA(AE602:AG602)=0,AND(COUNTA(AE602:AG602)=3,ISNUMBER(AG602))),0,1)+IF(OR(COUNTA(AH602:AJ602)=0,AND(COUNTA(AH602:AJ602)=3,ISNUMBER(AJ602))),0,1)+IF(OR(COUNTA(AK602:AM602)=0,AND(COUNTA(AK602:AM602)=3,ISNUMBER(AM602))),0,1)+IF(OR(COUNTA(AN602:AP602)=0,AND(COUNTA(AN602:AP602)=3,ISNUMBER(AP602))),0,1)+IF(OR(COUNTA(AQ602:AS602)=0,AND(COUNTA(AQ602:AS602)=3,ISNUMBER(AS602))),0,1)+IF(OR(COUNTA(AT602:AV602)=0,AND(COUNTA(AT602:AV602)=3,ISNUMBER(AV602))),0,1)+IF(OR(COUNTA(AW602:AY602)=0,AND(COUNTA(AW602:AY602)=3,ISNUMBER(AY602))),0,1)+IF(OR(COUNTA(AZ602:BB602)=0,AND(COUNTA(AZ602:BB602)=3,ISNUMBER(BB602))),0,1))&gt;0,"; An invoice is incomplete (needs No, Date and a number in Ex GST)","")&amp;IF((IF(T602="",0,IFERROR(--(EOMONTH(T602,0)&lt;&gt;S$5),1))+IF(W602="",0,IFERROR(--(EOMONTH(W602,0)&lt;&gt;V$5),1))+IF(Z602="",0,IFERROR(--(EOMONTH(Z602,0)&lt;&gt;Y$5),1))+IF(AC602="",0,IFERROR(--(EOMONTH(AC602,0)&lt;&gt;AB$5),1))+IF(AF602="",0,IFERROR(--(EOMONTH(AF602,0)&lt;&gt;AE$5),1))+IF(AI602="",0,IFERROR(--(EOMONTH(AI602,0)&lt;&gt;AH$5),1))+IF(AL602="",0,IFERROR(--(EOMONTH(AL602,0)&lt;&gt;AK$5),1))+IF(AO602="",0,IFERROR(--(EOMONTH(AO602,0)&lt;&gt;AN$5),1))+IF(AR602="",0,IFERROR(--(EOMONTH(AR602,0)&lt;&gt;AQ$5),1))+IF(AU602="",0,IFERROR(--(EOMONTH(AU602,0)&lt;&gt;AT$5),1))+IF(AX602="",0,IFERROR(--(EOMONTH(AX602,0)&lt;&gt;AW$5),1))+IF(BA602="",0,IFERROR(--(EOMONTH(BA602,0)&lt;&gt;AZ$5),1)))&gt;0,"; An invoice date is not in the month it is typed under",""),3,500))</f>
        <v/>
      </c>
      <c r="S602" s="12" t="n"/>
      <c r="T602" s="13" t="n"/>
      <c r="U602" s="14" t="n"/>
      <c r="V602" s="12" t="n"/>
      <c r="W602" s="13" t="n"/>
      <c r="X602" s="14" t="n"/>
      <c r="Y602" s="12" t="n"/>
      <c r="Z602" s="13" t="n"/>
      <c r="AA602" s="14" t="n"/>
      <c r="AB602" s="12" t="n"/>
      <c r="AC602" s="13" t="n"/>
      <c r="AD602" s="14" t="n"/>
      <c r="AE602" s="12" t="n"/>
      <c r="AF602" s="13" t="n"/>
      <c r="AG602" s="14" t="n"/>
      <c r="AH602" s="12" t="n"/>
      <c r="AI602" s="13" t="n"/>
      <c r="AJ602" s="14" t="n"/>
      <c r="AK602" s="12" t="n"/>
      <c r="AL602" s="13" t="n"/>
      <c r="AM602" s="14" t="n"/>
      <c r="AN602" s="12" t="n"/>
      <c r="AO602" s="13" t="n"/>
      <c r="AP602" s="14" t="n"/>
      <c r="AQ602" s="12" t="n"/>
      <c r="AR602" s="13" t="n"/>
      <c r="AS602" s="14" t="n"/>
      <c r="AT602" s="12" t="n"/>
      <c r="AU602" s="13" t="n"/>
      <c r="AV602" s="14" t="n"/>
      <c r="AW602" s="12" t="n"/>
      <c r="AX602" s="13" t="n"/>
      <c r="AY602" s="14" t="n"/>
      <c r="AZ602" s="12" t="n"/>
      <c r="BA602" s="13" t="n"/>
      <c r="BB602" s="14" t="n"/>
      <c r="BC602" s="11">
        <f>IF(O602="","",IF(J602="GST 10%",ROUND(O602*set_GSTRate,2),0))</f>
        <v/>
      </c>
      <c r="BD602" s="11">
        <f>IF(O602="","",O602+BC602)</f>
        <v/>
      </c>
      <c r="BE602" s="15">
        <f>IF(O602="","",COUNTA(S602,V602,Y602,AB602,AE602,AH602,AK602,AN602,AQ602,AT602,AW602,AZ602))</f>
        <v/>
      </c>
      <c r="BF602" s="16">
        <f>IF(COUNT(T602,W602,Z602,AC602,AF602,AI602,AL602,AO602,AR602,AU602,AX602,BA602)=0,"",MAX(T602,W602,Z602,AC602,AF602,AI602,AL602,AO602,AR602,AU602,AX602,BA602))</f>
        <v/>
      </c>
      <c r="BG602" s="10">
        <f>MID(IF(S602="","",", "&amp;S602)&amp;IF(V602="","",", "&amp;V602)&amp;IF(Y602="","",", "&amp;Y602)&amp;IF(AB602="","",", "&amp;AB602)&amp;IF(AE602="","",", "&amp;AE602)&amp;IF(AH602="","",", "&amp;AH602)&amp;IF(AK602="","",", "&amp;AK602)&amp;IF(AN602="","",", "&amp;AN602)&amp;IF(AQ602="","",", "&amp;AQ602)&amp;IF(AT602="","",", "&amp;AT602)&amp;IF(AW602="","",", "&amp;AW602)&amp;IF(AZ602="","",", "&amp;AZ602),3,500)</f>
        <v/>
      </c>
      <c r="BH602" s="12" t="n"/>
      <c r="BI602" s="15">
        <f>IFERROR(MATCH($A602,IF($B602="Onsite",tbl_Onsite[Row ID],IF($B602="Production",tbl_Production[Row ID],tbl_Consulting[Row ID])),0),"")</f>
        <v/>
      </c>
    </row>
    <row r="603">
      <c r="A603" s="10" t="inlineStr">
        <is>
          <t>PRD-0097</t>
        </is>
      </c>
      <c r="B603" s="10" t="inlineStr">
        <is>
          <t>Production</t>
        </is>
      </c>
      <c r="C603" s="10">
        <f>IF($BI603="","",IF($B603="Onsite",INDEX(tbl_Onsite[Job Number],$BI603),IF($B603="Production",INDEX(tbl_Production[Job Number],$BI603),INDEX(tbl_Consulting[Job Number],$BI603)))&amp;"")</f>
        <v/>
      </c>
      <c r="D603" s="10">
        <f>IF($BI603="","",IF($B603="Onsite",INDEX(tbl_Onsite[Client],$BI603),IF($B603="Production",INDEX(tbl_Production[Client],$BI603),INDEX(tbl_Consulting[Client],$BI603)))&amp;"")</f>
        <v/>
      </c>
      <c r="E603" s="10">
        <f>IF($C603="","",IF(COUNTIF(lst_Jobs,$C603)&gt;0,"OK","CHECK"))</f>
        <v/>
      </c>
      <c r="F603" s="10">
        <f>IF($C603="","",IFERROR(INDEX(lst_JobName,MATCH($C603,lst_Jobs,0)),""))</f>
        <v/>
      </c>
      <c r="G603" s="10">
        <f>IF($BI603="","",IF($B603="Onsite",INDEX(tbl_Onsite[Job Description],$BI603),IF($B603="Production",INDEX(tbl_Production[Job Description],$BI603),INDEX(tbl_Consulting[Job Description],$BI603)))&amp;"")</f>
        <v/>
      </c>
      <c r="H603" s="10">
        <f>IF($BI603="","",IF($B603="Onsite",INDEX(tbl_Onsite[Cost Centre],$BI603),IF($B603="Production",INDEX(tbl_Production[Cost Centre],$BI603),INDEX(tbl_Consulting[Cost Centre],$BI603)))&amp;"")</f>
        <v/>
      </c>
      <c r="I603" s="10">
        <f>IF($BI603="","",IF($B603="Onsite",INDEX(tbl_Onsite[Invoice Type],$BI603),IF($B603="Production",INDEX(tbl_Production[Invoice Type],$BI603),INDEX(tbl_Consulting[Invoice Type],$BI603)))&amp;"")</f>
        <v/>
      </c>
      <c r="J603" s="10">
        <f>IF($BI603="","",IF($B603="Onsite",INDEX(tbl_Onsite[Tax Code],$BI603),IF($B603="Production",INDEX(tbl_Production[Tax Code],$BI603),INDEX(tbl_Consulting[Tax Code],$BI603)))&amp;"")</f>
        <v/>
      </c>
      <c r="K603" s="10">
        <f>IF(H603="","",IFERROR(INDEX(lst_CCtoGL,MATCH(H603,lst_CCforGL,0)),""))</f>
        <v/>
      </c>
      <c r="L603" s="10">
        <f>IF($BI603="","",IF($B603="Onsite",INDEX(tbl_Onsite[PO / Reference],$BI603),IF($B603="Production",INDEX(tbl_Production[Current RMS No],$BI603),INDEX(tbl_Consulting[Qwilr Quote],$BI603)))&amp;"")</f>
        <v/>
      </c>
      <c r="M603" s="10">
        <f>IF($BI603="","",IF($B603="Onsite",INDEX(tbl_Onsite[Notes],$BI603),IF($B603="Production",INDEX(tbl_Production[Notes],$BI603),INDEX(tbl_Consulting[Notes],$BI603)))&amp;"")</f>
        <v/>
      </c>
      <c r="N603" s="11">
        <f>IF($BI603="","",IF(IF($B603="Onsite",INDEX(tbl_Onsite[Expected Revenue Ex GST],$BI603),IF($B603="Production",INDEX(tbl_Production[Expected Revenue Ex GST],$BI603),INDEX(tbl_Consulting[Expected Revenue Ex GST],$BI603)))="","",IF($B603="Onsite",INDEX(tbl_Onsite[Expected Revenue Ex GST],$BI603),IF($B603="Production",INDEX(tbl_Production[Expected Revenue Ex GST],$BI603),INDEX(tbl_Consulting[Expected Revenue Ex GST],$BI603)))))</f>
        <v/>
      </c>
      <c r="O603" s="11">
        <f>IF(AND($C603="",NOT(COUNTA($S603:$BB603)&gt;0)),"",SUM(U603,X603,AA603,AD603,AG603,AJ603,AM603,AP603,AS603,AV603,AY603,BB603))</f>
        <v/>
      </c>
      <c r="P603" s="11">
        <f>IF(O603="","",N(N603)-O603)</f>
        <v/>
      </c>
      <c r="Q603" s="10">
        <f>IF(O603="","",IF($C603="","Invoice on empty job row",IF(N603="",IF(ROUND(O603,2)=0,"No dept value","Invoiced - no dept value"),IF(ROUND(O603,2)=0,"Not invoiced - to invoice",IF(ROUND(P603,2)=0,"Agrees",IF(P603&gt;0,"Dept higher - to invoice","Xero higher - check dept"))))))</f>
        <v/>
      </c>
      <c r="R603" s="10">
        <f>IF(AND($C603="",NOT(COUNTA($S603:$BB603)&gt;0),$BI603&lt;&gt;""),"",MID(IF($BI603="","; Row ID not found on the department sheet - a row was deleted","")&amp;IF(AND($C603="",COUNTA($S603:$BB603)&gt;0),"; Invoice entered but the department row has no job number","")&amp;IF(E603="CHECK","; Job number not in the Xero job list","")&amp;IF(AND($C603&lt;&gt;"",COUNTIF($C$7:$C$1506,$C603)&gt;1),"; Job number on more than one row","")&amp;IF(AND($C603&lt;&gt;"",H603=""),"; Dept has not set a cost centre","")&amp;IF(AND($C603&lt;&gt;"",J603=""),"; Dept has not set a tax code","")&amp;IF(AND($C603&lt;&gt;"",N603=""),"; Dept has not entered an expected value","")&amp;IF((IF(OR(COUNTA(S603:U603)=0,AND(COUNTA(S603:U603)=3,ISNUMBER(U603))),0,1)+IF(OR(COUNTA(V603:X603)=0,AND(COUNTA(V603:X603)=3,ISNUMBER(X603))),0,1)+IF(OR(COUNTA(Y603:AA603)=0,AND(COUNTA(Y603:AA603)=3,ISNUMBER(AA603))),0,1)+IF(OR(COUNTA(AB603:AD603)=0,AND(COUNTA(AB603:AD603)=3,ISNUMBER(AD603))),0,1)+IF(OR(COUNTA(AE603:AG603)=0,AND(COUNTA(AE603:AG603)=3,ISNUMBER(AG603))),0,1)+IF(OR(COUNTA(AH603:AJ603)=0,AND(COUNTA(AH603:AJ603)=3,ISNUMBER(AJ603))),0,1)+IF(OR(COUNTA(AK603:AM603)=0,AND(COUNTA(AK603:AM603)=3,ISNUMBER(AM603))),0,1)+IF(OR(COUNTA(AN603:AP603)=0,AND(COUNTA(AN603:AP603)=3,ISNUMBER(AP603))),0,1)+IF(OR(COUNTA(AQ603:AS603)=0,AND(COUNTA(AQ603:AS603)=3,ISNUMBER(AS603))),0,1)+IF(OR(COUNTA(AT603:AV603)=0,AND(COUNTA(AT603:AV603)=3,ISNUMBER(AV603))),0,1)+IF(OR(COUNTA(AW603:AY603)=0,AND(COUNTA(AW603:AY603)=3,ISNUMBER(AY603))),0,1)+IF(OR(COUNTA(AZ603:BB603)=0,AND(COUNTA(AZ603:BB603)=3,ISNUMBER(BB603))),0,1))&gt;0,"; An invoice is incomplete (needs No, Date and a number in Ex GST)","")&amp;IF((IF(T603="",0,IFERROR(--(EOMONTH(T603,0)&lt;&gt;S$5),1))+IF(W603="",0,IFERROR(--(EOMONTH(W603,0)&lt;&gt;V$5),1))+IF(Z603="",0,IFERROR(--(EOMONTH(Z603,0)&lt;&gt;Y$5),1))+IF(AC603="",0,IFERROR(--(EOMONTH(AC603,0)&lt;&gt;AB$5),1))+IF(AF603="",0,IFERROR(--(EOMONTH(AF603,0)&lt;&gt;AE$5),1))+IF(AI603="",0,IFERROR(--(EOMONTH(AI603,0)&lt;&gt;AH$5),1))+IF(AL603="",0,IFERROR(--(EOMONTH(AL603,0)&lt;&gt;AK$5),1))+IF(AO603="",0,IFERROR(--(EOMONTH(AO603,0)&lt;&gt;AN$5),1))+IF(AR603="",0,IFERROR(--(EOMONTH(AR603,0)&lt;&gt;AQ$5),1))+IF(AU603="",0,IFERROR(--(EOMONTH(AU603,0)&lt;&gt;AT$5),1))+IF(AX603="",0,IFERROR(--(EOMONTH(AX603,0)&lt;&gt;AW$5),1))+IF(BA603="",0,IFERROR(--(EOMONTH(BA603,0)&lt;&gt;AZ$5),1)))&gt;0,"; An invoice date is not in the month it is typed under",""),3,500))</f>
        <v/>
      </c>
      <c r="S603" s="12" t="n"/>
      <c r="T603" s="13" t="n"/>
      <c r="U603" s="14" t="n"/>
      <c r="V603" s="12" t="n"/>
      <c r="W603" s="13" t="n"/>
      <c r="X603" s="14" t="n"/>
      <c r="Y603" s="12" t="n"/>
      <c r="Z603" s="13" t="n"/>
      <c r="AA603" s="14" t="n"/>
      <c r="AB603" s="12" t="n"/>
      <c r="AC603" s="13" t="n"/>
      <c r="AD603" s="14" t="n"/>
      <c r="AE603" s="12" t="n"/>
      <c r="AF603" s="13" t="n"/>
      <c r="AG603" s="14" t="n"/>
      <c r="AH603" s="12" t="n"/>
      <c r="AI603" s="13" t="n"/>
      <c r="AJ603" s="14" t="n"/>
      <c r="AK603" s="12" t="n"/>
      <c r="AL603" s="13" t="n"/>
      <c r="AM603" s="14" t="n"/>
      <c r="AN603" s="12" t="n"/>
      <c r="AO603" s="13" t="n"/>
      <c r="AP603" s="14" t="n"/>
      <c r="AQ603" s="12" t="n"/>
      <c r="AR603" s="13" t="n"/>
      <c r="AS603" s="14" t="n"/>
      <c r="AT603" s="12" t="n"/>
      <c r="AU603" s="13" t="n"/>
      <c r="AV603" s="14" t="n"/>
      <c r="AW603" s="12" t="n"/>
      <c r="AX603" s="13" t="n"/>
      <c r="AY603" s="14" t="n"/>
      <c r="AZ603" s="12" t="n"/>
      <c r="BA603" s="13" t="n"/>
      <c r="BB603" s="14" t="n"/>
      <c r="BC603" s="11">
        <f>IF(O603="","",IF(J603="GST 10%",ROUND(O603*set_GSTRate,2),0))</f>
        <v/>
      </c>
      <c r="BD603" s="11">
        <f>IF(O603="","",O603+BC603)</f>
        <v/>
      </c>
      <c r="BE603" s="15">
        <f>IF(O603="","",COUNTA(S603,V603,Y603,AB603,AE603,AH603,AK603,AN603,AQ603,AT603,AW603,AZ603))</f>
        <v/>
      </c>
      <c r="BF603" s="16">
        <f>IF(COUNT(T603,W603,Z603,AC603,AF603,AI603,AL603,AO603,AR603,AU603,AX603,BA603)=0,"",MAX(T603,W603,Z603,AC603,AF603,AI603,AL603,AO603,AR603,AU603,AX603,BA603))</f>
        <v/>
      </c>
      <c r="BG603" s="10">
        <f>MID(IF(S603="","",", "&amp;S603)&amp;IF(V603="","",", "&amp;V603)&amp;IF(Y603="","",", "&amp;Y603)&amp;IF(AB603="","",", "&amp;AB603)&amp;IF(AE603="","",", "&amp;AE603)&amp;IF(AH603="","",", "&amp;AH603)&amp;IF(AK603="","",", "&amp;AK603)&amp;IF(AN603="","",", "&amp;AN603)&amp;IF(AQ603="","",", "&amp;AQ603)&amp;IF(AT603="","",", "&amp;AT603)&amp;IF(AW603="","",", "&amp;AW603)&amp;IF(AZ603="","",", "&amp;AZ603),3,500)</f>
        <v/>
      </c>
      <c r="BH603" s="12" t="n"/>
      <c r="BI603" s="15">
        <f>IFERROR(MATCH($A603,IF($B603="Onsite",tbl_Onsite[Row ID],IF($B603="Production",tbl_Production[Row ID],tbl_Consulting[Row ID])),0),"")</f>
        <v/>
      </c>
    </row>
    <row r="604">
      <c r="A604" s="10" t="inlineStr">
        <is>
          <t>PRD-0098</t>
        </is>
      </c>
      <c r="B604" s="10" t="inlineStr">
        <is>
          <t>Production</t>
        </is>
      </c>
      <c r="C604" s="10">
        <f>IF($BI604="","",IF($B604="Onsite",INDEX(tbl_Onsite[Job Number],$BI604),IF($B604="Production",INDEX(tbl_Production[Job Number],$BI604),INDEX(tbl_Consulting[Job Number],$BI604)))&amp;"")</f>
        <v/>
      </c>
      <c r="D604" s="10">
        <f>IF($BI604="","",IF($B604="Onsite",INDEX(tbl_Onsite[Client],$BI604),IF($B604="Production",INDEX(tbl_Production[Client],$BI604),INDEX(tbl_Consulting[Client],$BI604)))&amp;"")</f>
        <v/>
      </c>
      <c r="E604" s="10">
        <f>IF($C604="","",IF(COUNTIF(lst_Jobs,$C604)&gt;0,"OK","CHECK"))</f>
        <v/>
      </c>
      <c r="F604" s="10">
        <f>IF($C604="","",IFERROR(INDEX(lst_JobName,MATCH($C604,lst_Jobs,0)),""))</f>
        <v/>
      </c>
      <c r="G604" s="10">
        <f>IF($BI604="","",IF($B604="Onsite",INDEX(tbl_Onsite[Job Description],$BI604),IF($B604="Production",INDEX(tbl_Production[Job Description],$BI604),INDEX(tbl_Consulting[Job Description],$BI604)))&amp;"")</f>
        <v/>
      </c>
      <c r="H604" s="10">
        <f>IF($BI604="","",IF($B604="Onsite",INDEX(tbl_Onsite[Cost Centre],$BI604),IF($B604="Production",INDEX(tbl_Production[Cost Centre],$BI604),INDEX(tbl_Consulting[Cost Centre],$BI604)))&amp;"")</f>
        <v/>
      </c>
      <c r="I604" s="10">
        <f>IF($BI604="","",IF($B604="Onsite",INDEX(tbl_Onsite[Invoice Type],$BI604),IF($B604="Production",INDEX(tbl_Production[Invoice Type],$BI604),INDEX(tbl_Consulting[Invoice Type],$BI604)))&amp;"")</f>
        <v/>
      </c>
      <c r="J604" s="10">
        <f>IF($BI604="","",IF($B604="Onsite",INDEX(tbl_Onsite[Tax Code],$BI604),IF($B604="Production",INDEX(tbl_Production[Tax Code],$BI604),INDEX(tbl_Consulting[Tax Code],$BI604)))&amp;"")</f>
        <v/>
      </c>
      <c r="K604" s="10">
        <f>IF(H604="","",IFERROR(INDEX(lst_CCtoGL,MATCH(H604,lst_CCforGL,0)),""))</f>
        <v/>
      </c>
      <c r="L604" s="10">
        <f>IF($BI604="","",IF($B604="Onsite",INDEX(tbl_Onsite[PO / Reference],$BI604),IF($B604="Production",INDEX(tbl_Production[Current RMS No],$BI604),INDEX(tbl_Consulting[Qwilr Quote],$BI604)))&amp;"")</f>
        <v/>
      </c>
      <c r="M604" s="10">
        <f>IF($BI604="","",IF($B604="Onsite",INDEX(tbl_Onsite[Notes],$BI604),IF($B604="Production",INDEX(tbl_Production[Notes],$BI604),INDEX(tbl_Consulting[Notes],$BI604)))&amp;"")</f>
        <v/>
      </c>
      <c r="N604" s="11">
        <f>IF($BI604="","",IF(IF($B604="Onsite",INDEX(tbl_Onsite[Expected Revenue Ex GST],$BI604),IF($B604="Production",INDEX(tbl_Production[Expected Revenue Ex GST],$BI604),INDEX(tbl_Consulting[Expected Revenue Ex GST],$BI604)))="","",IF($B604="Onsite",INDEX(tbl_Onsite[Expected Revenue Ex GST],$BI604),IF($B604="Production",INDEX(tbl_Production[Expected Revenue Ex GST],$BI604),INDEX(tbl_Consulting[Expected Revenue Ex GST],$BI604)))))</f>
        <v/>
      </c>
      <c r="O604" s="11">
        <f>IF(AND($C604="",NOT(COUNTA($S604:$BB604)&gt;0)),"",SUM(U604,X604,AA604,AD604,AG604,AJ604,AM604,AP604,AS604,AV604,AY604,BB604))</f>
        <v/>
      </c>
      <c r="P604" s="11">
        <f>IF(O604="","",N(N604)-O604)</f>
        <v/>
      </c>
      <c r="Q604" s="10">
        <f>IF(O604="","",IF($C604="","Invoice on empty job row",IF(N604="",IF(ROUND(O604,2)=0,"No dept value","Invoiced - no dept value"),IF(ROUND(O604,2)=0,"Not invoiced - to invoice",IF(ROUND(P604,2)=0,"Agrees",IF(P604&gt;0,"Dept higher - to invoice","Xero higher - check dept"))))))</f>
        <v/>
      </c>
      <c r="R604" s="10">
        <f>IF(AND($C604="",NOT(COUNTA($S604:$BB604)&gt;0),$BI604&lt;&gt;""),"",MID(IF($BI604="","; Row ID not found on the department sheet - a row was deleted","")&amp;IF(AND($C604="",COUNTA($S604:$BB604)&gt;0),"; Invoice entered but the department row has no job number","")&amp;IF(E604="CHECK","; Job number not in the Xero job list","")&amp;IF(AND($C604&lt;&gt;"",COUNTIF($C$7:$C$1506,$C604)&gt;1),"; Job number on more than one row","")&amp;IF(AND($C604&lt;&gt;"",H604=""),"; Dept has not set a cost centre","")&amp;IF(AND($C604&lt;&gt;"",J604=""),"; Dept has not set a tax code","")&amp;IF(AND($C604&lt;&gt;"",N604=""),"; Dept has not entered an expected value","")&amp;IF((IF(OR(COUNTA(S604:U604)=0,AND(COUNTA(S604:U604)=3,ISNUMBER(U604))),0,1)+IF(OR(COUNTA(V604:X604)=0,AND(COUNTA(V604:X604)=3,ISNUMBER(X604))),0,1)+IF(OR(COUNTA(Y604:AA604)=0,AND(COUNTA(Y604:AA604)=3,ISNUMBER(AA604))),0,1)+IF(OR(COUNTA(AB604:AD604)=0,AND(COUNTA(AB604:AD604)=3,ISNUMBER(AD604))),0,1)+IF(OR(COUNTA(AE604:AG604)=0,AND(COUNTA(AE604:AG604)=3,ISNUMBER(AG604))),0,1)+IF(OR(COUNTA(AH604:AJ604)=0,AND(COUNTA(AH604:AJ604)=3,ISNUMBER(AJ604))),0,1)+IF(OR(COUNTA(AK604:AM604)=0,AND(COUNTA(AK604:AM604)=3,ISNUMBER(AM604))),0,1)+IF(OR(COUNTA(AN604:AP604)=0,AND(COUNTA(AN604:AP604)=3,ISNUMBER(AP604))),0,1)+IF(OR(COUNTA(AQ604:AS604)=0,AND(COUNTA(AQ604:AS604)=3,ISNUMBER(AS604))),0,1)+IF(OR(COUNTA(AT604:AV604)=0,AND(COUNTA(AT604:AV604)=3,ISNUMBER(AV604))),0,1)+IF(OR(COUNTA(AW604:AY604)=0,AND(COUNTA(AW604:AY604)=3,ISNUMBER(AY604))),0,1)+IF(OR(COUNTA(AZ604:BB604)=0,AND(COUNTA(AZ604:BB604)=3,ISNUMBER(BB604))),0,1))&gt;0,"; An invoice is incomplete (needs No, Date and a number in Ex GST)","")&amp;IF((IF(T604="",0,IFERROR(--(EOMONTH(T604,0)&lt;&gt;S$5),1))+IF(W604="",0,IFERROR(--(EOMONTH(W604,0)&lt;&gt;V$5),1))+IF(Z604="",0,IFERROR(--(EOMONTH(Z604,0)&lt;&gt;Y$5),1))+IF(AC604="",0,IFERROR(--(EOMONTH(AC604,0)&lt;&gt;AB$5),1))+IF(AF604="",0,IFERROR(--(EOMONTH(AF604,0)&lt;&gt;AE$5),1))+IF(AI604="",0,IFERROR(--(EOMONTH(AI604,0)&lt;&gt;AH$5),1))+IF(AL604="",0,IFERROR(--(EOMONTH(AL604,0)&lt;&gt;AK$5),1))+IF(AO604="",0,IFERROR(--(EOMONTH(AO604,0)&lt;&gt;AN$5),1))+IF(AR604="",0,IFERROR(--(EOMONTH(AR604,0)&lt;&gt;AQ$5),1))+IF(AU604="",0,IFERROR(--(EOMONTH(AU604,0)&lt;&gt;AT$5),1))+IF(AX604="",0,IFERROR(--(EOMONTH(AX604,0)&lt;&gt;AW$5),1))+IF(BA604="",0,IFERROR(--(EOMONTH(BA604,0)&lt;&gt;AZ$5),1)))&gt;0,"; An invoice date is not in the month it is typed under",""),3,500))</f>
        <v/>
      </c>
      <c r="S604" s="12" t="n"/>
      <c r="T604" s="13" t="n"/>
      <c r="U604" s="14" t="n"/>
      <c r="V604" s="12" t="n"/>
      <c r="W604" s="13" t="n"/>
      <c r="X604" s="14" t="n"/>
      <c r="Y604" s="12" t="n"/>
      <c r="Z604" s="13" t="n"/>
      <c r="AA604" s="14" t="n"/>
      <c r="AB604" s="12" t="n"/>
      <c r="AC604" s="13" t="n"/>
      <c r="AD604" s="14" t="n"/>
      <c r="AE604" s="12" t="n"/>
      <c r="AF604" s="13" t="n"/>
      <c r="AG604" s="14" t="n"/>
      <c r="AH604" s="12" t="n"/>
      <c r="AI604" s="13" t="n"/>
      <c r="AJ604" s="14" t="n"/>
      <c r="AK604" s="12" t="n"/>
      <c r="AL604" s="13" t="n"/>
      <c r="AM604" s="14" t="n"/>
      <c r="AN604" s="12" t="n"/>
      <c r="AO604" s="13" t="n"/>
      <c r="AP604" s="14" t="n"/>
      <c r="AQ604" s="12" t="n"/>
      <c r="AR604" s="13" t="n"/>
      <c r="AS604" s="14" t="n"/>
      <c r="AT604" s="12" t="n"/>
      <c r="AU604" s="13" t="n"/>
      <c r="AV604" s="14" t="n"/>
      <c r="AW604" s="12" t="n"/>
      <c r="AX604" s="13" t="n"/>
      <c r="AY604" s="14" t="n"/>
      <c r="AZ604" s="12" t="n"/>
      <c r="BA604" s="13" t="n"/>
      <c r="BB604" s="14" t="n"/>
      <c r="BC604" s="11">
        <f>IF(O604="","",IF(J604="GST 10%",ROUND(O604*set_GSTRate,2),0))</f>
        <v/>
      </c>
      <c r="BD604" s="11">
        <f>IF(O604="","",O604+BC604)</f>
        <v/>
      </c>
      <c r="BE604" s="15">
        <f>IF(O604="","",COUNTA(S604,V604,Y604,AB604,AE604,AH604,AK604,AN604,AQ604,AT604,AW604,AZ604))</f>
        <v/>
      </c>
      <c r="BF604" s="16">
        <f>IF(COUNT(T604,W604,Z604,AC604,AF604,AI604,AL604,AO604,AR604,AU604,AX604,BA604)=0,"",MAX(T604,W604,Z604,AC604,AF604,AI604,AL604,AO604,AR604,AU604,AX604,BA604))</f>
        <v/>
      </c>
      <c r="BG604" s="10">
        <f>MID(IF(S604="","",", "&amp;S604)&amp;IF(V604="","",", "&amp;V604)&amp;IF(Y604="","",", "&amp;Y604)&amp;IF(AB604="","",", "&amp;AB604)&amp;IF(AE604="","",", "&amp;AE604)&amp;IF(AH604="","",", "&amp;AH604)&amp;IF(AK604="","",", "&amp;AK604)&amp;IF(AN604="","",", "&amp;AN604)&amp;IF(AQ604="","",", "&amp;AQ604)&amp;IF(AT604="","",", "&amp;AT604)&amp;IF(AW604="","",", "&amp;AW604)&amp;IF(AZ604="","",", "&amp;AZ604),3,500)</f>
        <v/>
      </c>
      <c r="BH604" s="12" t="n"/>
      <c r="BI604" s="15">
        <f>IFERROR(MATCH($A604,IF($B604="Onsite",tbl_Onsite[Row ID],IF($B604="Production",tbl_Production[Row ID],tbl_Consulting[Row ID])),0),"")</f>
        <v/>
      </c>
    </row>
    <row r="605">
      <c r="A605" s="10" t="inlineStr">
        <is>
          <t>PRD-0099</t>
        </is>
      </c>
      <c r="B605" s="10" t="inlineStr">
        <is>
          <t>Production</t>
        </is>
      </c>
      <c r="C605" s="10">
        <f>IF($BI605="","",IF($B605="Onsite",INDEX(tbl_Onsite[Job Number],$BI605),IF($B605="Production",INDEX(tbl_Production[Job Number],$BI605),INDEX(tbl_Consulting[Job Number],$BI605)))&amp;"")</f>
        <v/>
      </c>
      <c r="D605" s="10">
        <f>IF($BI605="","",IF($B605="Onsite",INDEX(tbl_Onsite[Client],$BI605),IF($B605="Production",INDEX(tbl_Production[Client],$BI605),INDEX(tbl_Consulting[Client],$BI605)))&amp;"")</f>
        <v/>
      </c>
      <c r="E605" s="10">
        <f>IF($C605="","",IF(COUNTIF(lst_Jobs,$C605)&gt;0,"OK","CHECK"))</f>
        <v/>
      </c>
      <c r="F605" s="10">
        <f>IF($C605="","",IFERROR(INDEX(lst_JobName,MATCH($C605,lst_Jobs,0)),""))</f>
        <v/>
      </c>
      <c r="G605" s="10">
        <f>IF($BI605="","",IF($B605="Onsite",INDEX(tbl_Onsite[Job Description],$BI605),IF($B605="Production",INDEX(tbl_Production[Job Description],$BI605),INDEX(tbl_Consulting[Job Description],$BI605)))&amp;"")</f>
        <v/>
      </c>
      <c r="H605" s="10">
        <f>IF($BI605="","",IF($B605="Onsite",INDEX(tbl_Onsite[Cost Centre],$BI605),IF($B605="Production",INDEX(tbl_Production[Cost Centre],$BI605),INDEX(tbl_Consulting[Cost Centre],$BI605)))&amp;"")</f>
        <v/>
      </c>
      <c r="I605" s="10">
        <f>IF($BI605="","",IF($B605="Onsite",INDEX(tbl_Onsite[Invoice Type],$BI605),IF($B605="Production",INDEX(tbl_Production[Invoice Type],$BI605),INDEX(tbl_Consulting[Invoice Type],$BI605)))&amp;"")</f>
        <v/>
      </c>
      <c r="J605" s="10">
        <f>IF($BI605="","",IF($B605="Onsite",INDEX(tbl_Onsite[Tax Code],$BI605),IF($B605="Production",INDEX(tbl_Production[Tax Code],$BI605),INDEX(tbl_Consulting[Tax Code],$BI605)))&amp;"")</f>
        <v/>
      </c>
      <c r="K605" s="10">
        <f>IF(H605="","",IFERROR(INDEX(lst_CCtoGL,MATCH(H605,lst_CCforGL,0)),""))</f>
        <v/>
      </c>
      <c r="L605" s="10">
        <f>IF($BI605="","",IF($B605="Onsite",INDEX(tbl_Onsite[PO / Reference],$BI605),IF($B605="Production",INDEX(tbl_Production[Current RMS No],$BI605),INDEX(tbl_Consulting[Qwilr Quote],$BI605)))&amp;"")</f>
        <v/>
      </c>
      <c r="M605" s="10">
        <f>IF($BI605="","",IF($B605="Onsite",INDEX(tbl_Onsite[Notes],$BI605),IF($B605="Production",INDEX(tbl_Production[Notes],$BI605),INDEX(tbl_Consulting[Notes],$BI605)))&amp;"")</f>
        <v/>
      </c>
      <c r="N605" s="11">
        <f>IF($BI605="","",IF(IF($B605="Onsite",INDEX(tbl_Onsite[Expected Revenue Ex GST],$BI605),IF($B605="Production",INDEX(tbl_Production[Expected Revenue Ex GST],$BI605),INDEX(tbl_Consulting[Expected Revenue Ex GST],$BI605)))="","",IF($B605="Onsite",INDEX(tbl_Onsite[Expected Revenue Ex GST],$BI605),IF($B605="Production",INDEX(tbl_Production[Expected Revenue Ex GST],$BI605),INDEX(tbl_Consulting[Expected Revenue Ex GST],$BI605)))))</f>
        <v/>
      </c>
      <c r="O605" s="11">
        <f>IF(AND($C605="",NOT(COUNTA($S605:$BB605)&gt;0)),"",SUM(U605,X605,AA605,AD605,AG605,AJ605,AM605,AP605,AS605,AV605,AY605,BB605))</f>
        <v/>
      </c>
      <c r="P605" s="11">
        <f>IF(O605="","",N(N605)-O605)</f>
        <v/>
      </c>
      <c r="Q605" s="10">
        <f>IF(O605="","",IF($C605="","Invoice on empty job row",IF(N605="",IF(ROUND(O605,2)=0,"No dept value","Invoiced - no dept value"),IF(ROUND(O605,2)=0,"Not invoiced - to invoice",IF(ROUND(P605,2)=0,"Agrees",IF(P605&gt;0,"Dept higher - to invoice","Xero higher - check dept"))))))</f>
        <v/>
      </c>
      <c r="R605" s="10">
        <f>IF(AND($C605="",NOT(COUNTA($S605:$BB605)&gt;0),$BI605&lt;&gt;""),"",MID(IF($BI605="","; Row ID not found on the department sheet - a row was deleted","")&amp;IF(AND($C605="",COUNTA($S605:$BB605)&gt;0),"; Invoice entered but the department row has no job number","")&amp;IF(E605="CHECK","; Job number not in the Xero job list","")&amp;IF(AND($C605&lt;&gt;"",COUNTIF($C$7:$C$1506,$C605)&gt;1),"; Job number on more than one row","")&amp;IF(AND($C605&lt;&gt;"",H605=""),"; Dept has not set a cost centre","")&amp;IF(AND($C605&lt;&gt;"",J605=""),"; Dept has not set a tax code","")&amp;IF(AND($C605&lt;&gt;"",N605=""),"; Dept has not entered an expected value","")&amp;IF((IF(OR(COUNTA(S605:U605)=0,AND(COUNTA(S605:U605)=3,ISNUMBER(U605))),0,1)+IF(OR(COUNTA(V605:X605)=0,AND(COUNTA(V605:X605)=3,ISNUMBER(X605))),0,1)+IF(OR(COUNTA(Y605:AA605)=0,AND(COUNTA(Y605:AA605)=3,ISNUMBER(AA605))),0,1)+IF(OR(COUNTA(AB605:AD605)=0,AND(COUNTA(AB605:AD605)=3,ISNUMBER(AD605))),0,1)+IF(OR(COUNTA(AE605:AG605)=0,AND(COUNTA(AE605:AG605)=3,ISNUMBER(AG605))),0,1)+IF(OR(COUNTA(AH605:AJ605)=0,AND(COUNTA(AH605:AJ605)=3,ISNUMBER(AJ605))),0,1)+IF(OR(COUNTA(AK605:AM605)=0,AND(COUNTA(AK605:AM605)=3,ISNUMBER(AM605))),0,1)+IF(OR(COUNTA(AN605:AP605)=0,AND(COUNTA(AN605:AP605)=3,ISNUMBER(AP605))),0,1)+IF(OR(COUNTA(AQ605:AS605)=0,AND(COUNTA(AQ605:AS605)=3,ISNUMBER(AS605))),0,1)+IF(OR(COUNTA(AT605:AV605)=0,AND(COUNTA(AT605:AV605)=3,ISNUMBER(AV605))),0,1)+IF(OR(COUNTA(AW605:AY605)=0,AND(COUNTA(AW605:AY605)=3,ISNUMBER(AY605))),0,1)+IF(OR(COUNTA(AZ605:BB605)=0,AND(COUNTA(AZ605:BB605)=3,ISNUMBER(BB605))),0,1))&gt;0,"; An invoice is incomplete (needs No, Date and a number in Ex GST)","")&amp;IF((IF(T605="",0,IFERROR(--(EOMONTH(T605,0)&lt;&gt;S$5),1))+IF(W605="",0,IFERROR(--(EOMONTH(W605,0)&lt;&gt;V$5),1))+IF(Z605="",0,IFERROR(--(EOMONTH(Z605,0)&lt;&gt;Y$5),1))+IF(AC605="",0,IFERROR(--(EOMONTH(AC605,0)&lt;&gt;AB$5),1))+IF(AF605="",0,IFERROR(--(EOMONTH(AF605,0)&lt;&gt;AE$5),1))+IF(AI605="",0,IFERROR(--(EOMONTH(AI605,0)&lt;&gt;AH$5),1))+IF(AL605="",0,IFERROR(--(EOMONTH(AL605,0)&lt;&gt;AK$5),1))+IF(AO605="",0,IFERROR(--(EOMONTH(AO605,0)&lt;&gt;AN$5),1))+IF(AR605="",0,IFERROR(--(EOMONTH(AR605,0)&lt;&gt;AQ$5),1))+IF(AU605="",0,IFERROR(--(EOMONTH(AU605,0)&lt;&gt;AT$5),1))+IF(AX605="",0,IFERROR(--(EOMONTH(AX605,0)&lt;&gt;AW$5),1))+IF(BA605="",0,IFERROR(--(EOMONTH(BA605,0)&lt;&gt;AZ$5),1)))&gt;0,"; An invoice date is not in the month it is typed under",""),3,500))</f>
        <v/>
      </c>
      <c r="S605" s="12" t="n"/>
      <c r="T605" s="13" t="n"/>
      <c r="U605" s="14" t="n"/>
      <c r="V605" s="12" t="n"/>
      <c r="W605" s="13" t="n"/>
      <c r="X605" s="14" t="n"/>
      <c r="Y605" s="12" t="n"/>
      <c r="Z605" s="13" t="n"/>
      <c r="AA605" s="14" t="n"/>
      <c r="AB605" s="12" t="n"/>
      <c r="AC605" s="13" t="n"/>
      <c r="AD605" s="14" t="n"/>
      <c r="AE605" s="12" t="n"/>
      <c r="AF605" s="13" t="n"/>
      <c r="AG605" s="14" t="n"/>
      <c r="AH605" s="12" t="n"/>
      <c r="AI605" s="13" t="n"/>
      <c r="AJ605" s="14" t="n"/>
      <c r="AK605" s="12" t="n"/>
      <c r="AL605" s="13" t="n"/>
      <c r="AM605" s="14" t="n"/>
      <c r="AN605" s="12" t="n"/>
      <c r="AO605" s="13" t="n"/>
      <c r="AP605" s="14" t="n"/>
      <c r="AQ605" s="12" t="n"/>
      <c r="AR605" s="13" t="n"/>
      <c r="AS605" s="14" t="n"/>
      <c r="AT605" s="12" t="n"/>
      <c r="AU605" s="13" t="n"/>
      <c r="AV605" s="14" t="n"/>
      <c r="AW605" s="12" t="n"/>
      <c r="AX605" s="13" t="n"/>
      <c r="AY605" s="14" t="n"/>
      <c r="AZ605" s="12" t="n"/>
      <c r="BA605" s="13" t="n"/>
      <c r="BB605" s="14" t="n"/>
      <c r="BC605" s="11">
        <f>IF(O605="","",IF(J605="GST 10%",ROUND(O605*set_GSTRate,2),0))</f>
        <v/>
      </c>
      <c r="BD605" s="11">
        <f>IF(O605="","",O605+BC605)</f>
        <v/>
      </c>
      <c r="BE605" s="15">
        <f>IF(O605="","",COUNTA(S605,V605,Y605,AB605,AE605,AH605,AK605,AN605,AQ605,AT605,AW605,AZ605))</f>
        <v/>
      </c>
      <c r="BF605" s="16">
        <f>IF(COUNT(T605,W605,Z605,AC605,AF605,AI605,AL605,AO605,AR605,AU605,AX605,BA605)=0,"",MAX(T605,W605,Z605,AC605,AF605,AI605,AL605,AO605,AR605,AU605,AX605,BA605))</f>
        <v/>
      </c>
      <c r="BG605" s="10">
        <f>MID(IF(S605="","",", "&amp;S605)&amp;IF(V605="","",", "&amp;V605)&amp;IF(Y605="","",", "&amp;Y605)&amp;IF(AB605="","",", "&amp;AB605)&amp;IF(AE605="","",", "&amp;AE605)&amp;IF(AH605="","",", "&amp;AH605)&amp;IF(AK605="","",", "&amp;AK605)&amp;IF(AN605="","",", "&amp;AN605)&amp;IF(AQ605="","",", "&amp;AQ605)&amp;IF(AT605="","",", "&amp;AT605)&amp;IF(AW605="","",", "&amp;AW605)&amp;IF(AZ605="","",", "&amp;AZ605),3,500)</f>
        <v/>
      </c>
      <c r="BH605" s="12" t="n"/>
      <c r="BI605" s="15">
        <f>IFERROR(MATCH($A605,IF($B605="Onsite",tbl_Onsite[Row ID],IF($B605="Production",tbl_Production[Row ID],tbl_Consulting[Row ID])),0),"")</f>
        <v/>
      </c>
    </row>
    <row r="606">
      <c r="A606" s="10" t="inlineStr">
        <is>
          <t>PRD-0100</t>
        </is>
      </c>
      <c r="B606" s="10" t="inlineStr">
        <is>
          <t>Production</t>
        </is>
      </c>
      <c r="C606" s="10">
        <f>IF($BI606="","",IF($B606="Onsite",INDEX(tbl_Onsite[Job Number],$BI606),IF($B606="Production",INDEX(tbl_Production[Job Number],$BI606),INDEX(tbl_Consulting[Job Number],$BI606)))&amp;"")</f>
        <v/>
      </c>
      <c r="D606" s="10">
        <f>IF($BI606="","",IF($B606="Onsite",INDEX(tbl_Onsite[Client],$BI606),IF($B606="Production",INDEX(tbl_Production[Client],$BI606),INDEX(tbl_Consulting[Client],$BI606)))&amp;"")</f>
        <v/>
      </c>
      <c r="E606" s="10">
        <f>IF($C606="","",IF(COUNTIF(lst_Jobs,$C606)&gt;0,"OK","CHECK"))</f>
        <v/>
      </c>
      <c r="F606" s="10">
        <f>IF($C606="","",IFERROR(INDEX(lst_JobName,MATCH($C606,lst_Jobs,0)),""))</f>
        <v/>
      </c>
      <c r="G606" s="10">
        <f>IF($BI606="","",IF($B606="Onsite",INDEX(tbl_Onsite[Job Description],$BI606),IF($B606="Production",INDEX(tbl_Production[Job Description],$BI606),INDEX(tbl_Consulting[Job Description],$BI606)))&amp;"")</f>
        <v/>
      </c>
      <c r="H606" s="10">
        <f>IF($BI606="","",IF($B606="Onsite",INDEX(tbl_Onsite[Cost Centre],$BI606),IF($B606="Production",INDEX(tbl_Production[Cost Centre],$BI606),INDEX(tbl_Consulting[Cost Centre],$BI606)))&amp;"")</f>
        <v/>
      </c>
      <c r="I606" s="10">
        <f>IF($BI606="","",IF($B606="Onsite",INDEX(tbl_Onsite[Invoice Type],$BI606),IF($B606="Production",INDEX(tbl_Production[Invoice Type],$BI606),INDEX(tbl_Consulting[Invoice Type],$BI606)))&amp;"")</f>
        <v/>
      </c>
      <c r="J606" s="10">
        <f>IF($BI606="","",IF($B606="Onsite",INDEX(tbl_Onsite[Tax Code],$BI606),IF($B606="Production",INDEX(tbl_Production[Tax Code],$BI606),INDEX(tbl_Consulting[Tax Code],$BI606)))&amp;"")</f>
        <v/>
      </c>
      <c r="K606" s="10">
        <f>IF(H606="","",IFERROR(INDEX(lst_CCtoGL,MATCH(H606,lst_CCforGL,0)),""))</f>
        <v/>
      </c>
      <c r="L606" s="10">
        <f>IF($BI606="","",IF($B606="Onsite",INDEX(tbl_Onsite[PO / Reference],$BI606),IF($B606="Production",INDEX(tbl_Production[Current RMS No],$BI606),INDEX(tbl_Consulting[Qwilr Quote],$BI606)))&amp;"")</f>
        <v/>
      </c>
      <c r="M606" s="10">
        <f>IF($BI606="","",IF($B606="Onsite",INDEX(tbl_Onsite[Notes],$BI606),IF($B606="Production",INDEX(tbl_Production[Notes],$BI606),INDEX(tbl_Consulting[Notes],$BI606)))&amp;"")</f>
        <v/>
      </c>
      <c r="N606" s="11">
        <f>IF($BI606="","",IF(IF($B606="Onsite",INDEX(tbl_Onsite[Expected Revenue Ex GST],$BI606),IF($B606="Production",INDEX(tbl_Production[Expected Revenue Ex GST],$BI606),INDEX(tbl_Consulting[Expected Revenue Ex GST],$BI606)))="","",IF($B606="Onsite",INDEX(tbl_Onsite[Expected Revenue Ex GST],$BI606),IF($B606="Production",INDEX(tbl_Production[Expected Revenue Ex GST],$BI606),INDEX(tbl_Consulting[Expected Revenue Ex GST],$BI606)))))</f>
        <v/>
      </c>
      <c r="O606" s="11">
        <f>IF(AND($C606="",NOT(COUNTA($S606:$BB606)&gt;0)),"",SUM(U606,X606,AA606,AD606,AG606,AJ606,AM606,AP606,AS606,AV606,AY606,BB606))</f>
        <v/>
      </c>
      <c r="P606" s="11">
        <f>IF(O606="","",N(N606)-O606)</f>
        <v/>
      </c>
      <c r="Q606" s="10">
        <f>IF(O606="","",IF($C606="","Invoice on empty job row",IF(N606="",IF(ROUND(O606,2)=0,"No dept value","Invoiced - no dept value"),IF(ROUND(O606,2)=0,"Not invoiced - to invoice",IF(ROUND(P606,2)=0,"Agrees",IF(P606&gt;0,"Dept higher - to invoice","Xero higher - check dept"))))))</f>
        <v/>
      </c>
      <c r="R606" s="10">
        <f>IF(AND($C606="",NOT(COUNTA($S606:$BB606)&gt;0),$BI606&lt;&gt;""),"",MID(IF($BI606="","; Row ID not found on the department sheet - a row was deleted","")&amp;IF(AND($C606="",COUNTA($S606:$BB606)&gt;0),"; Invoice entered but the department row has no job number","")&amp;IF(E606="CHECK","; Job number not in the Xero job list","")&amp;IF(AND($C606&lt;&gt;"",COUNTIF($C$7:$C$1506,$C606)&gt;1),"; Job number on more than one row","")&amp;IF(AND($C606&lt;&gt;"",H606=""),"; Dept has not set a cost centre","")&amp;IF(AND($C606&lt;&gt;"",J606=""),"; Dept has not set a tax code","")&amp;IF(AND($C606&lt;&gt;"",N606=""),"; Dept has not entered an expected value","")&amp;IF((IF(OR(COUNTA(S606:U606)=0,AND(COUNTA(S606:U606)=3,ISNUMBER(U606))),0,1)+IF(OR(COUNTA(V606:X606)=0,AND(COUNTA(V606:X606)=3,ISNUMBER(X606))),0,1)+IF(OR(COUNTA(Y606:AA606)=0,AND(COUNTA(Y606:AA606)=3,ISNUMBER(AA606))),0,1)+IF(OR(COUNTA(AB606:AD606)=0,AND(COUNTA(AB606:AD606)=3,ISNUMBER(AD606))),0,1)+IF(OR(COUNTA(AE606:AG606)=0,AND(COUNTA(AE606:AG606)=3,ISNUMBER(AG606))),0,1)+IF(OR(COUNTA(AH606:AJ606)=0,AND(COUNTA(AH606:AJ606)=3,ISNUMBER(AJ606))),0,1)+IF(OR(COUNTA(AK606:AM606)=0,AND(COUNTA(AK606:AM606)=3,ISNUMBER(AM606))),0,1)+IF(OR(COUNTA(AN606:AP606)=0,AND(COUNTA(AN606:AP606)=3,ISNUMBER(AP606))),0,1)+IF(OR(COUNTA(AQ606:AS606)=0,AND(COUNTA(AQ606:AS606)=3,ISNUMBER(AS606))),0,1)+IF(OR(COUNTA(AT606:AV606)=0,AND(COUNTA(AT606:AV606)=3,ISNUMBER(AV606))),0,1)+IF(OR(COUNTA(AW606:AY606)=0,AND(COUNTA(AW606:AY606)=3,ISNUMBER(AY606))),0,1)+IF(OR(COUNTA(AZ606:BB606)=0,AND(COUNTA(AZ606:BB606)=3,ISNUMBER(BB606))),0,1))&gt;0,"; An invoice is incomplete (needs No, Date and a number in Ex GST)","")&amp;IF((IF(T606="",0,IFERROR(--(EOMONTH(T606,0)&lt;&gt;S$5),1))+IF(W606="",0,IFERROR(--(EOMONTH(W606,0)&lt;&gt;V$5),1))+IF(Z606="",0,IFERROR(--(EOMONTH(Z606,0)&lt;&gt;Y$5),1))+IF(AC606="",0,IFERROR(--(EOMONTH(AC606,0)&lt;&gt;AB$5),1))+IF(AF606="",0,IFERROR(--(EOMONTH(AF606,0)&lt;&gt;AE$5),1))+IF(AI606="",0,IFERROR(--(EOMONTH(AI606,0)&lt;&gt;AH$5),1))+IF(AL606="",0,IFERROR(--(EOMONTH(AL606,0)&lt;&gt;AK$5),1))+IF(AO606="",0,IFERROR(--(EOMONTH(AO606,0)&lt;&gt;AN$5),1))+IF(AR606="",0,IFERROR(--(EOMONTH(AR606,0)&lt;&gt;AQ$5),1))+IF(AU606="",0,IFERROR(--(EOMONTH(AU606,0)&lt;&gt;AT$5),1))+IF(AX606="",0,IFERROR(--(EOMONTH(AX606,0)&lt;&gt;AW$5),1))+IF(BA606="",0,IFERROR(--(EOMONTH(BA606,0)&lt;&gt;AZ$5),1)))&gt;0,"; An invoice date is not in the month it is typed under",""),3,500))</f>
        <v/>
      </c>
      <c r="S606" s="12" t="n"/>
      <c r="T606" s="13" t="n"/>
      <c r="U606" s="14" t="n"/>
      <c r="V606" s="12" t="n"/>
      <c r="W606" s="13" t="n"/>
      <c r="X606" s="14" t="n"/>
      <c r="Y606" s="12" t="n"/>
      <c r="Z606" s="13" t="n"/>
      <c r="AA606" s="14" t="n"/>
      <c r="AB606" s="12" t="n"/>
      <c r="AC606" s="13" t="n"/>
      <c r="AD606" s="14" t="n"/>
      <c r="AE606" s="12" t="n"/>
      <c r="AF606" s="13" t="n"/>
      <c r="AG606" s="14" t="n"/>
      <c r="AH606" s="12" t="n"/>
      <c r="AI606" s="13" t="n"/>
      <c r="AJ606" s="14" t="n"/>
      <c r="AK606" s="12" t="n"/>
      <c r="AL606" s="13" t="n"/>
      <c r="AM606" s="14" t="n"/>
      <c r="AN606" s="12" t="n"/>
      <c r="AO606" s="13" t="n"/>
      <c r="AP606" s="14" t="n"/>
      <c r="AQ606" s="12" t="n"/>
      <c r="AR606" s="13" t="n"/>
      <c r="AS606" s="14" t="n"/>
      <c r="AT606" s="12" t="n"/>
      <c r="AU606" s="13" t="n"/>
      <c r="AV606" s="14" t="n"/>
      <c r="AW606" s="12" t="n"/>
      <c r="AX606" s="13" t="n"/>
      <c r="AY606" s="14" t="n"/>
      <c r="AZ606" s="12" t="n"/>
      <c r="BA606" s="13" t="n"/>
      <c r="BB606" s="14" t="n"/>
      <c r="BC606" s="11">
        <f>IF(O606="","",IF(J606="GST 10%",ROUND(O606*set_GSTRate,2),0))</f>
        <v/>
      </c>
      <c r="BD606" s="11">
        <f>IF(O606="","",O606+BC606)</f>
        <v/>
      </c>
      <c r="BE606" s="15">
        <f>IF(O606="","",COUNTA(S606,V606,Y606,AB606,AE606,AH606,AK606,AN606,AQ606,AT606,AW606,AZ606))</f>
        <v/>
      </c>
      <c r="BF606" s="16">
        <f>IF(COUNT(T606,W606,Z606,AC606,AF606,AI606,AL606,AO606,AR606,AU606,AX606,BA606)=0,"",MAX(T606,W606,Z606,AC606,AF606,AI606,AL606,AO606,AR606,AU606,AX606,BA606))</f>
        <v/>
      </c>
      <c r="BG606" s="10">
        <f>MID(IF(S606="","",", "&amp;S606)&amp;IF(V606="","",", "&amp;V606)&amp;IF(Y606="","",", "&amp;Y606)&amp;IF(AB606="","",", "&amp;AB606)&amp;IF(AE606="","",", "&amp;AE606)&amp;IF(AH606="","",", "&amp;AH606)&amp;IF(AK606="","",", "&amp;AK606)&amp;IF(AN606="","",", "&amp;AN606)&amp;IF(AQ606="","",", "&amp;AQ606)&amp;IF(AT606="","",", "&amp;AT606)&amp;IF(AW606="","",", "&amp;AW606)&amp;IF(AZ606="","",", "&amp;AZ606),3,500)</f>
        <v/>
      </c>
      <c r="BH606" s="12" t="n"/>
      <c r="BI606" s="15">
        <f>IFERROR(MATCH($A606,IF($B606="Onsite",tbl_Onsite[Row ID],IF($B606="Production",tbl_Production[Row ID],tbl_Consulting[Row ID])),0),"")</f>
        <v/>
      </c>
    </row>
    <row r="607">
      <c r="A607" s="10" t="inlineStr">
        <is>
          <t>PRD-0101</t>
        </is>
      </c>
      <c r="B607" s="10" t="inlineStr">
        <is>
          <t>Production</t>
        </is>
      </c>
      <c r="C607" s="10">
        <f>IF($BI607="","",IF($B607="Onsite",INDEX(tbl_Onsite[Job Number],$BI607),IF($B607="Production",INDEX(tbl_Production[Job Number],$BI607),INDEX(tbl_Consulting[Job Number],$BI607)))&amp;"")</f>
        <v/>
      </c>
      <c r="D607" s="10">
        <f>IF($BI607="","",IF($B607="Onsite",INDEX(tbl_Onsite[Client],$BI607),IF($B607="Production",INDEX(tbl_Production[Client],$BI607),INDEX(tbl_Consulting[Client],$BI607)))&amp;"")</f>
        <v/>
      </c>
      <c r="E607" s="10">
        <f>IF($C607="","",IF(COUNTIF(lst_Jobs,$C607)&gt;0,"OK","CHECK"))</f>
        <v/>
      </c>
      <c r="F607" s="10">
        <f>IF($C607="","",IFERROR(INDEX(lst_JobName,MATCH($C607,lst_Jobs,0)),""))</f>
        <v/>
      </c>
      <c r="G607" s="10">
        <f>IF($BI607="","",IF($B607="Onsite",INDEX(tbl_Onsite[Job Description],$BI607),IF($B607="Production",INDEX(tbl_Production[Job Description],$BI607),INDEX(tbl_Consulting[Job Description],$BI607)))&amp;"")</f>
        <v/>
      </c>
      <c r="H607" s="10">
        <f>IF($BI607="","",IF($B607="Onsite",INDEX(tbl_Onsite[Cost Centre],$BI607),IF($B607="Production",INDEX(tbl_Production[Cost Centre],$BI607),INDEX(tbl_Consulting[Cost Centre],$BI607)))&amp;"")</f>
        <v/>
      </c>
      <c r="I607" s="10">
        <f>IF($BI607="","",IF($B607="Onsite",INDEX(tbl_Onsite[Invoice Type],$BI607),IF($B607="Production",INDEX(tbl_Production[Invoice Type],$BI607),INDEX(tbl_Consulting[Invoice Type],$BI607)))&amp;"")</f>
        <v/>
      </c>
      <c r="J607" s="10">
        <f>IF($BI607="","",IF($B607="Onsite",INDEX(tbl_Onsite[Tax Code],$BI607),IF($B607="Production",INDEX(tbl_Production[Tax Code],$BI607),INDEX(tbl_Consulting[Tax Code],$BI607)))&amp;"")</f>
        <v/>
      </c>
      <c r="K607" s="10">
        <f>IF(H607="","",IFERROR(INDEX(lst_CCtoGL,MATCH(H607,lst_CCforGL,0)),""))</f>
        <v/>
      </c>
      <c r="L607" s="10">
        <f>IF($BI607="","",IF($B607="Onsite",INDEX(tbl_Onsite[PO / Reference],$BI607),IF($B607="Production",INDEX(tbl_Production[Current RMS No],$BI607),INDEX(tbl_Consulting[Qwilr Quote],$BI607)))&amp;"")</f>
        <v/>
      </c>
      <c r="M607" s="10">
        <f>IF($BI607="","",IF($B607="Onsite",INDEX(tbl_Onsite[Notes],$BI607),IF($B607="Production",INDEX(tbl_Production[Notes],$BI607),INDEX(tbl_Consulting[Notes],$BI607)))&amp;"")</f>
        <v/>
      </c>
      <c r="N607" s="11">
        <f>IF($BI607="","",IF(IF($B607="Onsite",INDEX(tbl_Onsite[Expected Revenue Ex GST],$BI607),IF($B607="Production",INDEX(tbl_Production[Expected Revenue Ex GST],$BI607),INDEX(tbl_Consulting[Expected Revenue Ex GST],$BI607)))="","",IF($B607="Onsite",INDEX(tbl_Onsite[Expected Revenue Ex GST],$BI607),IF($B607="Production",INDEX(tbl_Production[Expected Revenue Ex GST],$BI607),INDEX(tbl_Consulting[Expected Revenue Ex GST],$BI607)))))</f>
        <v/>
      </c>
      <c r="O607" s="11">
        <f>IF(AND($C607="",NOT(COUNTA($S607:$BB607)&gt;0)),"",SUM(U607,X607,AA607,AD607,AG607,AJ607,AM607,AP607,AS607,AV607,AY607,BB607))</f>
        <v/>
      </c>
      <c r="P607" s="11">
        <f>IF(O607="","",N(N607)-O607)</f>
        <v/>
      </c>
      <c r="Q607" s="10">
        <f>IF(O607="","",IF($C607="","Invoice on empty job row",IF(N607="",IF(ROUND(O607,2)=0,"No dept value","Invoiced - no dept value"),IF(ROUND(O607,2)=0,"Not invoiced - to invoice",IF(ROUND(P607,2)=0,"Agrees",IF(P607&gt;0,"Dept higher - to invoice","Xero higher - check dept"))))))</f>
        <v/>
      </c>
      <c r="R607" s="10">
        <f>IF(AND($C607="",NOT(COUNTA($S607:$BB607)&gt;0),$BI607&lt;&gt;""),"",MID(IF($BI607="","; Row ID not found on the department sheet - a row was deleted","")&amp;IF(AND($C607="",COUNTA($S607:$BB607)&gt;0),"; Invoice entered but the department row has no job number","")&amp;IF(E607="CHECK","; Job number not in the Xero job list","")&amp;IF(AND($C607&lt;&gt;"",COUNTIF($C$7:$C$1506,$C607)&gt;1),"; Job number on more than one row","")&amp;IF(AND($C607&lt;&gt;"",H607=""),"; Dept has not set a cost centre","")&amp;IF(AND($C607&lt;&gt;"",J607=""),"; Dept has not set a tax code","")&amp;IF(AND($C607&lt;&gt;"",N607=""),"; Dept has not entered an expected value","")&amp;IF((IF(OR(COUNTA(S607:U607)=0,AND(COUNTA(S607:U607)=3,ISNUMBER(U607))),0,1)+IF(OR(COUNTA(V607:X607)=0,AND(COUNTA(V607:X607)=3,ISNUMBER(X607))),0,1)+IF(OR(COUNTA(Y607:AA607)=0,AND(COUNTA(Y607:AA607)=3,ISNUMBER(AA607))),0,1)+IF(OR(COUNTA(AB607:AD607)=0,AND(COUNTA(AB607:AD607)=3,ISNUMBER(AD607))),0,1)+IF(OR(COUNTA(AE607:AG607)=0,AND(COUNTA(AE607:AG607)=3,ISNUMBER(AG607))),0,1)+IF(OR(COUNTA(AH607:AJ607)=0,AND(COUNTA(AH607:AJ607)=3,ISNUMBER(AJ607))),0,1)+IF(OR(COUNTA(AK607:AM607)=0,AND(COUNTA(AK607:AM607)=3,ISNUMBER(AM607))),0,1)+IF(OR(COUNTA(AN607:AP607)=0,AND(COUNTA(AN607:AP607)=3,ISNUMBER(AP607))),0,1)+IF(OR(COUNTA(AQ607:AS607)=0,AND(COUNTA(AQ607:AS607)=3,ISNUMBER(AS607))),0,1)+IF(OR(COUNTA(AT607:AV607)=0,AND(COUNTA(AT607:AV607)=3,ISNUMBER(AV607))),0,1)+IF(OR(COUNTA(AW607:AY607)=0,AND(COUNTA(AW607:AY607)=3,ISNUMBER(AY607))),0,1)+IF(OR(COUNTA(AZ607:BB607)=0,AND(COUNTA(AZ607:BB607)=3,ISNUMBER(BB607))),0,1))&gt;0,"; An invoice is incomplete (needs No, Date and a number in Ex GST)","")&amp;IF((IF(T607="",0,IFERROR(--(EOMONTH(T607,0)&lt;&gt;S$5),1))+IF(W607="",0,IFERROR(--(EOMONTH(W607,0)&lt;&gt;V$5),1))+IF(Z607="",0,IFERROR(--(EOMONTH(Z607,0)&lt;&gt;Y$5),1))+IF(AC607="",0,IFERROR(--(EOMONTH(AC607,0)&lt;&gt;AB$5),1))+IF(AF607="",0,IFERROR(--(EOMONTH(AF607,0)&lt;&gt;AE$5),1))+IF(AI607="",0,IFERROR(--(EOMONTH(AI607,0)&lt;&gt;AH$5),1))+IF(AL607="",0,IFERROR(--(EOMONTH(AL607,0)&lt;&gt;AK$5),1))+IF(AO607="",0,IFERROR(--(EOMONTH(AO607,0)&lt;&gt;AN$5),1))+IF(AR607="",0,IFERROR(--(EOMONTH(AR607,0)&lt;&gt;AQ$5),1))+IF(AU607="",0,IFERROR(--(EOMONTH(AU607,0)&lt;&gt;AT$5),1))+IF(AX607="",0,IFERROR(--(EOMONTH(AX607,0)&lt;&gt;AW$5),1))+IF(BA607="",0,IFERROR(--(EOMONTH(BA607,0)&lt;&gt;AZ$5),1)))&gt;0,"; An invoice date is not in the month it is typed under",""),3,500))</f>
        <v/>
      </c>
      <c r="S607" s="12" t="n"/>
      <c r="T607" s="13" t="n"/>
      <c r="U607" s="14" t="n"/>
      <c r="V607" s="12" t="n"/>
      <c r="W607" s="13" t="n"/>
      <c r="X607" s="14" t="n"/>
      <c r="Y607" s="12" t="n"/>
      <c r="Z607" s="13" t="n"/>
      <c r="AA607" s="14" t="n"/>
      <c r="AB607" s="12" t="n"/>
      <c r="AC607" s="13" t="n"/>
      <c r="AD607" s="14" t="n"/>
      <c r="AE607" s="12" t="n"/>
      <c r="AF607" s="13" t="n"/>
      <c r="AG607" s="14" t="n"/>
      <c r="AH607" s="12" t="n"/>
      <c r="AI607" s="13" t="n"/>
      <c r="AJ607" s="14" t="n"/>
      <c r="AK607" s="12" t="n"/>
      <c r="AL607" s="13" t="n"/>
      <c r="AM607" s="14" t="n"/>
      <c r="AN607" s="12" t="n"/>
      <c r="AO607" s="13" t="n"/>
      <c r="AP607" s="14" t="n"/>
      <c r="AQ607" s="12" t="n"/>
      <c r="AR607" s="13" t="n"/>
      <c r="AS607" s="14" t="n"/>
      <c r="AT607" s="12" t="n"/>
      <c r="AU607" s="13" t="n"/>
      <c r="AV607" s="14" t="n"/>
      <c r="AW607" s="12" t="n"/>
      <c r="AX607" s="13" t="n"/>
      <c r="AY607" s="14" t="n"/>
      <c r="AZ607" s="12" t="n"/>
      <c r="BA607" s="13" t="n"/>
      <c r="BB607" s="14" t="n"/>
      <c r="BC607" s="11">
        <f>IF(O607="","",IF(J607="GST 10%",ROUND(O607*set_GSTRate,2),0))</f>
        <v/>
      </c>
      <c r="BD607" s="11">
        <f>IF(O607="","",O607+BC607)</f>
        <v/>
      </c>
      <c r="BE607" s="15">
        <f>IF(O607="","",COUNTA(S607,V607,Y607,AB607,AE607,AH607,AK607,AN607,AQ607,AT607,AW607,AZ607))</f>
        <v/>
      </c>
      <c r="BF607" s="16">
        <f>IF(COUNT(T607,W607,Z607,AC607,AF607,AI607,AL607,AO607,AR607,AU607,AX607,BA607)=0,"",MAX(T607,W607,Z607,AC607,AF607,AI607,AL607,AO607,AR607,AU607,AX607,BA607))</f>
        <v/>
      </c>
      <c r="BG607" s="10">
        <f>MID(IF(S607="","",", "&amp;S607)&amp;IF(V607="","",", "&amp;V607)&amp;IF(Y607="","",", "&amp;Y607)&amp;IF(AB607="","",", "&amp;AB607)&amp;IF(AE607="","",", "&amp;AE607)&amp;IF(AH607="","",", "&amp;AH607)&amp;IF(AK607="","",", "&amp;AK607)&amp;IF(AN607="","",", "&amp;AN607)&amp;IF(AQ607="","",", "&amp;AQ607)&amp;IF(AT607="","",", "&amp;AT607)&amp;IF(AW607="","",", "&amp;AW607)&amp;IF(AZ607="","",", "&amp;AZ607),3,500)</f>
        <v/>
      </c>
      <c r="BH607" s="12" t="n"/>
      <c r="BI607" s="15">
        <f>IFERROR(MATCH($A607,IF($B607="Onsite",tbl_Onsite[Row ID],IF($B607="Production",tbl_Production[Row ID],tbl_Consulting[Row ID])),0),"")</f>
        <v/>
      </c>
    </row>
    <row r="608">
      <c r="A608" s="10" t="inlineStr">
        <is>
          <t>PRD-0102</t>
        </is>
      </c>
      <c r="B608" s="10" t="inlineStr">
        <is>
          <t>Production</t>
        </is>
      </c>
      <c r="C608" s="10">
        <f>IF($BI608="","",IF($B608="Onsite",INDEX(tbl_Onsite[Job Number],$BI608),IF($B608="Production",INDEX(tbl_Production[Job Number],$BI608),INDEX(tbl_Consulting[Job Number],$BI608)))&amp;"")</f>
        <v/>
      </c>
      <c r="D608" s="10">
        <f>IF($BI608="","",IF($B608="Onsite",INDEX(tbl_Onsite[Client],$BI608),IF($B608="Production",INDEX(tbl_Production[Client],$BI608),INDEX(tbl_Consulting[Client],$BI608)))&amp;"")</f>
        <v/>
      </c>
      <c r="E608" s="10">
        <f>IF($C608="","",IF(COUNTIF(lst_Jobs,$C608)&gt;0,"OK","CHECK"))</f>
        <v/>
      </c>
      <c r="F608" s="10">
        <f>IF($C608="","",IFERROR(INDEX(lst_JobName,MATCH($C608,lst_Jobs,0)),""))</f>
        <v/>
      </c>
      <c r="G608" s="10">
        <f>IF($BI608="","",IF($B608="Onsite",INDEX(tbl_Onsite[Job Description],$BI608),IF($B608="Production",INDEX(tbl_Production[Job Description],$BI608),INDEX(tbl_Consulting[Job Description],$BI608)))&amp;"")</f>
        <v/>
      </c>
      <c r="H608" s="10">
        <f>IF($BI608="","",IF($B608="Onsite",INDEX(tbl_Onsite[Cost Centre],$BI608),IF($B608="Production",INDEX(tbl_Production[Cost Centre],$BI608),INDEX(tbl_Consulting[Cost Centre],$BI608)))&amp;"")</f>
        <v/>
      </c>
      <c r="I608" s="10">
        <f>IF($BI608="","",IF($B608="Onsite",INDEX(tbl_Onsite[Invoice Type],$BI608),IF($B608="Production",INDEX(tbl_Production[Invoice Type],$BI608),INDEX(tbl_Consulting[Invoice Type],$BI608)))&amp;"")</f>
        <v/>
      </c>
      <c r="J608" s="10">
        <f>IF($BI608="","",IF($B608="Onsite",INDEX(tbl_Onsite[Tax Code],$BI608),IF($B608="Production",INDEX(tbl_Production[Tax Code],$BI608),INDEX(tbl_Consulting[Tax Code],$BI608)))&amp;"")</f>
        <v/>
      </c>
      <c r="K608" s="10">
        <f>IF(H608="","",IFERROR(INDEX(lst_CCtoGL,MATCH(H608,lst_CCforGL,0)),""))</f>
        <v/>
      </c>
      <c r="L608" s="10">
        <f>IF($BI608="","",IF($B608="Onsite",INDEX(tbl_Onsite[PO / Reference],$BI608),IF($B608="Production",INDEX(tbl_Production[Current RMS No],$BI608),INDEX(tbl_Consulting[Qwilr Quote],$BI608)))&amp;"")</f>
        <v/>
      </c>
      <c r="M608" s="10">
        <f>IF($BI608="","",IF($B608="Onsite",INDEX(tbl_Onsite[Notes],$BI608),IF($B608="Production",INDEX(tbl_Production[Notes],$BI608),INDEX(tbl_Consulting[Notes],$BI608)))&amp;"")</f>
        <v/>
      </c>
      <c r="N608" s="11">
        <f>IF($BI608="","",IF(IF($B608="Onsite",INDEX(tbl_Onsite[Expected Revenue Ex GST],$BI608),IF($B608="Production",INDEX(tbl_Production[Expected Revenue Ex GST],$BI608),INDEX(tbl_Consulting[Expected Revenue Ex GST],$BI608)))="","",IF($B608="Onsite",INDEX(tbl_Onsite[Expected Revenue Ex GST],$BI608),IF($B608="Production",INDEX(tbl_Production[Expected Revenue Ex GST],$BI608),INDEX(tbl_Consulting[Expected Revenue Ex GST],$BI608)))))</f>
        <v/>
      </c>
      <c r="O608" s="11">
        <f>IF(AND($C608="",NOT(COUNTA($S608:$BB608)&gt;0)),"",SUM(U608,X608,AA608,AD608,AG608,AJ608,AM608,AP608,AS608,AV608,AY608,BB608))</f>
        <v/>
      </c>
      <c r="P608" s="11">
        <f>IF(O608="","",N(N608)-O608)</f>
        <v/>
      </c>
      <c r="Q608" s="10">
        <f>IF(O608="","",IF($C608="","Invoice on empty job row",IF(N608="",IF(ROUND(O608,2)=0,"No dept value","Invoiced - no dept value"),IF(ROUND(O608,2)=0,"Not invoiced - to invoice",IF(ROUND(P608,2)=0,"Agrees",IF(P608&gt;0,"Dept higher - to invoice","Xero higher - check dept"))))))</f>
        <v/>
      </c>
      <c r="R608" s="10">
        <f>IF(AND($C608="",NOT(COUNTA($S608:$BB608)&gt;0),$BI608&lt;&gt;""),"",MID(IF($BI608="","; Row ID not found on the department sheet - a row was deleted","")&amp;IF(AND($C608="",COUNTA($S608:$BB608)&gt;0),"; Invoice entered but the department row has no job number","")&amp;IF(E608="CHECK","; Job number not in the Xero job list","")&amp;IF(AND($C608&lt;&gt;"",COUNTIF($C$7:$C$1506,$C608)&gt;1),"; Job number on more than one row","")&amp;IF(AND($C608&lt;&gt;"",H608=""),"; Dept has not set a cost centre","")&amp;IF(AND($C608&lt;&gt;"",J608=""),"; Dept has not set a tax code","")&amp;IF(AND($C608&lt;&gt;"",N608=""),"; Dept has not entered an expected value","")&amp;IF((IF(OR(COUNTA(S608:U608)=0,AND(COUNTA(S608:U608)=3,ISNUMBER(U608))),0,1)+IF(OR(COUNTA(V608:X608)=0,AND(COUNTA(V608:X608)=3,ISNUMBER(X608))),0,1)+IF(OR(COUNTA(Y608:AA608)=0,AND(COUNTA(Y608:AA608)=3,ISNUMBER(AA608))),0,1)+IF(OR(COUNTA(AB608:AD608)=0,AND(COUNTA(AB608:AD608)=3,ISNUMBER(AD608))),0,1)+IF(OR(COUNTA(AE608:AG608)=0,AND(COUNTA(AE608:AG608)=3,ISNUMBER(AG608))),0,1)+IF(OR(COUNTA(AH608:AJ608)=0,AND(COUNTA(AH608:AJ608)=3,ISNUMBER(AJ608))),0,1)+IF(OR(COUNTA(AK608:AM608)=0,AND(COUNTA(AK608:AM608)=3,ISNUMBER(AM608))),0,1)+IF(OR(COUNTA(AN608:AP608)=0,AND(COUNTA(AN608:AP608)=3,ISNUMBER(AP608))),0,1)+IF(OR(COUNTA(AQ608:AS608)=0,AND(COUNTA(AQ608:AS608)=3,ISNUMBER(AS608))),0,1)+IF(OR(COUNTA(AT608:AV608)=0,AND(COUNTA(AT608:AV608)=3,ISNUMBER(AV608))),0,1)+IF(OR(COUNTA(AW608:AY608)=0,AND(COUNTA(AW608:AY608)=3,ISNUMBER(AY608))),0,1)+IF(OR(COUNTA(AZ608:BB608)=0,AND(COUNTA(AZ608:BB608)=3,ISNUMBER(BB608))),0,1))&gt;0,"; An invoice is incomplete (needs No, Date and a number in Ex GST)","")&amp;IF((IF(T608="",0,IFERROR(--(EOMONTH(T608,0)&lt;&gt;S$5),1))+IF(W608="",0,IFERROR(--(EOMONTH(W608,0)&lt;&gt;V$5),1))+IF(Z608="",0,IFERROR(--(EOMONTH(Z608,0)&lt;&gt;Y$5),1))+IF(AC608="",0,IFERROR(--(EOMONTH(AC608,0)&lt;&gt;AB$5),1))+IF(AF608="",0,IFERROR(--(EOMONTH(AF608,0)&lt;&gt;AE$5),1))+IF(AI608="",0,IFERROR(--(EOMONTH(AI608,0)&lt;&gt;AH$5),1))+IF(AL608="",0,IFERROR(--(EOMONTH(AL608,0)&lt;&gt;AK$5),1))+IF(AO608="",0,IFERROR(--(EOMONTH(AO608,0)&lt;&gt;AN$5),1))+IF(AR608="",0,IFERROR(--(EOMONTH(AR608,0)&lt;&gt;AQ$5),1))+IF(AU608="",0,IFERROR(--(EOMONTH(AU608,0)&lt;&gt;AT$5),1))+IF(AX608="",0,IFERROR(--(EOMONTH(AX608,0)&lt;&gt;AW$5),1))+IF(BA608="",0,IFERROR(--(EOMONTH(BA608,0)&lt;&gt;AZ$5),1)))&gt;0,"; An invoice date is not in the month it is typed under",""),3,500))</f>
        <v/>
      </c>
      <c r="S608" s="12" t="n"/>
      <c r="T608" s="13" t="n"/>
      <c r="U608" s="14" t="n"/>
      <c r="V608" s="12" t="n"/>
      <c r="W608" s="13" t="n"/>
      <c r="X608" s="14" t="n"/>
      <c r="Y608" s="12" t="n"/>
      <c r="Z608" s="13" t="n"/>
      <c r="AA608" s="14" t="n"/>
      <c r="AB608" s="12" t="n"/>
      <c r="AC608" s="13" t="n"/>
      <c r="AD608" s="14" t="n"/>
      <c r="AE608" s="12" t="n"/>
      <c r="AF608" s="13" t="n"/>
      <c r="AG608" s="14" t="n"/>
      <c r="AH608" s="12" t="n"/>
      <c r="AI608" s="13" t="n"/>
      <c r="AJ608" s="14" t="n"/>
      <c r="AK608" s="12" t="n"/>
      <c r="AL608" s="13" t="n"/>
      <c r="AM608" s="14" t="n"/>
      <c r="AN608" s="12" t="n"/>
      <c r="AO608" s="13" t="n"/>
      <c r="AP608" s="14" t="n"/>
      <c r="AQ608" s="12" t="n"/>
      <c r="AR608" s="13" t="n"/>
      <c r="AS608" s="14" t="n"/>
      <c r="AT608" s="12" t="n"/>
      <c r="AU608" s="13" t="n"/>
      <c r="AV608" s="14" t="n"/>
      <c r="AW608" s="12" t="n"/>
      <c r="AX608" s="13" t="n"/>
      <c r="AY608" s="14" t="n"/>
      <c r="AZ608" s="12" t="n"/>
      <c r="BA608" s="13" t="n"/>
      <c r="BB608" s="14" t="n"/>
      <c r="BC608" s="11">
        <f>IF(O608="","",IF(J608="GST 10%",ROUND(O608*set_GSTRate,2),0))</f>
        <v/>
      </c>
      <c r="BD608" s="11">
        <f>IF(O608="","",O608+BC608)</f>
        <v/>
      </c>
      <c r="BE608" s="15">
        <f>IF(O608="","",COUNTA(S608,V608,Y608,AB608,AE608,AH608,AK608,AN608,AQ608,AT608,AW608,AZ608))</f>
        <v/>
      </c>
      <c r="BF608" s="16">
        <f>IF(COUNT(T608,W608,Z608,AC608,AF608,AI608,AL608,AO608,AR608,AU608,AX608,BA608)=0,"",MAX(T608,W608,Z608,AC608,AF608,AI608,AL608,AO608,AR608,AU608,AX608,BA608))</f>
        <v/>
      </c>
      <c r="BG608" s="10">
        <f>MID(IF(S608="","",", "&amp;S608)&amp;IF(V608="","",", "&amp;V608)&amp;IF(Y608="","",", "&amp;Y608)&amp;IF(AB608="","",", "&amp;AB608)&amp;IF(AE608="","",", "&amp;AE608)&amp;IF(AH608="","",", "&amp;AH608)&amp;IF(AK608="","",", "&amp;AK608)&amp;IF(AN608="","",", "&amp;AN608)&amp;IF(AQ608="","",", "&amp;AQ608)&amp;IF(AT608="","",", "&amp;AT608)&amp;IF(AW608="","",", "&amp;AW608)&amp;IF(AZ608="","",", "&amp;AZ608),3,500)</f>
        <v/>
      </c>
      <c r="BH608" s="12" t="n"/>
      <c r="BI608" s="15">
        <f>IFERROR(MATCH($A608,IF($B608="Onsite",tbl_Onsite[Row ID],IF($B608="Production",tbl_Production[Row ID],tbl_Consulting[Row ID])),0),"")</f>
        <v/>
      </c>
    </row>
    <row r="609">
      <c r="A609" s="10" t="inlineStr">
        <is>
          <t>PRD-0103</t>
        </is>
      </c>
      <c r="B609" s="10" t="inlineStr">
        <is>
          <t>Production</t>
        </is>
      </c>
      <c r="C609" s="10">
        <f>IF($BI609="","",IF($B609="Onsite",INDEX(tbl_Onsite[Job Number],$BI609),IF($B609="Production",INDEX(tbl_Production[Job Number],$BI609),INDEX(tbl_Consulting[Job Number],$BI609)))&amp;"")</f>
        <v/>
      </c>
      <c r="D609" s="10">
        <f>IF($BI609="","",IF($B609="Onsite",INDEX(tbl_Onsite[Client],$BI609),IF($B609="Production",INDEX(tbl_Production[Client],$BI609),INDEX(tbl_Consulting[Client],$BI609)))&amp;"")</f>
        <v/>
      </c>
      <c r="E609" s="10">
        <f>IF($C609="","",IF(COUNTIF(lst_Jobs,$C609)&gt;0,"OK","CHECK"))</f>
        <v/>
      </c>
      <c r="F609" s="10">
        <f>IF($C609="","",IFERROR(INDEX(lst_JobName,MATCH($C609,lst_Jobs,0)),""))</f>
        <v/>
      </c>
      <c r="G609" s="10">
        <f>IF($BI609="","",IF($B609="Onsite",INDEX(tbl_Onsite[Job Description],$BI609),IF($B609="Production",INDEX(tbl_Production[Job Description],$BI609),INDEX(tbl_Consulting[Job Description],$BI609)))&amp;"")</f>
        <v/>
      </c>
      <c r="H609" s="10">
        <f>IF($BI609="","",IF($B609="Onsite",INDEX(tbl_Onsite[Cost Centre],$BI609),IF($B609="Production",INDEX(tbl_Production[Cost Centre],$BI609),INDEX(tbl_Consulting[Cost Centre],$BI609)))&amp;"")</f>
        <v/>
      </c>
      <c r="I609" s="10">
        <f>IF($BI609="","",IF($B609="Onsite",INDEX(tbl_Onsite[Invoice Type],$BI609),IF($B609="Production",INDEX(tbl_Production[Invoice Type],$BI609),INDEX(tbl_Consulting[Invoice Type],$BI609)))&amp;"")</f>
        <v/>
      </c>
      <c r="J609" s="10">
        <f>IF($BI609="","",IF($B609="Onsite",INDEX(tbl_Onsite[Tax Code],$BI609),IF($B609="Production",INDEX(tbl_Production[Tax Code],$BI609),INDEX(tbl_Consulting[Tax Code],$BI609)))&amp;"")</f>
        <v/>
      </c>
      <c r="K609" s="10">
        <f>IF(H609="","",IFERROR(INDEX(lst_CCtoGL,MATCH(H609,lst_CCforGL,0)),""))</f>
        <v/>
      </c>
      <c r="L609" s="10">
        <f>IF($BI609="","",IF($B609="Onsite",INDEX(tbl_Onsite[PO / Reference],$BI609),IF($B609="Production",INDEX(tbl_Production[Current RMS No],$BI609),INDEX(tbl_Consulting[Qwilr Quote],$BI609)))&amp;"")</f>
        <v/>
      </c>
      <c r="M609" s="10">
        <f>IF($BI609="","",IF($B609="Onsite",INDEX(tbl_Onsite[Notes],$BI609),IF($B609="Production",INDEX(tbl_Production[Notes],$BI609),INDEX(tbl_Consulting[Notes],$BI609)))&amp;"")</f>
        <v/>
      </c>
      <c r="N609" s="11">
        <f>IF($BI609="","",IF(IF($B609="Onsite",INDEX(tbl_Onsite[Expected Revenue Ex GST],$BI609),IF($B609="Production",INDEX(tbl_Production[Expected Revenue Ex GST],$BI609),INDEX(tbl_Consulting[Expected Revenue Ex GST],$BI609)))="","",IF($B609="Onsite",INDEX(tbl_Onsite[Expected Revenue Ex GST],$BI609),IF($B609="Production",INDEX(tbl_Production[Expected Revenue Ex GST],$BI609),INDEX(tbl_Consulting[Expected Revenue Ex GST],$BI609)))))</f>
        <v/>
      </c>
      <c r="O609" s="11">
        <f>IF(AND($C609="",NOT(COUNTA($S609:$BB609)&gt;0)),"",SUM(U609,X609,AA609,AD609,AG609,AJ609,AM609,AP609,AS609,AV609,AY609,BB609))</f>
        <v/>
      </c>
      <c r="P609" s="11">
        <f>IF(O609="","",N(N609)-O609)</f>
        <v/>
      </c>
      <c r="Q609" s="10">
        <f>IF(O609="","",IF($C609="","Invoice on empty job row",IF(N609="",IF(ROUND(O609,2)=0,"No dept value","Invoiced - no dept value"),IF(ROUND(O609,2)=0,"Not invoiced - to invoice",IF(ROUND(P609,2)=0,"Agrees",IF(P609&gt;0,"Dept higher - to invoice","Xero higher - check dept"))))))</f>
        <v/>
      </c>
      <c r="R609" s="10">
        <f>IF(AND($C609="",NOT(COUNTA($S609:$BB609)&gt;0),$BI609&lt;&gt;""),"",MID(IF($BI609="","; Row ID not found on the department sheet - a row was deleted","")&amp;IF(AND($C609="",COUNTA($S609:$BB609)&gt;0),"; Invoice entered but the department row has no job number","")&amp;IF(E609="CHECK","; Job number not in the Xero job list","")&amp;IF(AND($C609&lt;&gt;"",COUNTIF($C$7:$C$1506,$C609)&gt;1),"; Job number on more than one row","")&amp;IF(AND($C609&lt;&gt;"",H609=""),"; Dept has not set a cost centre","")&amp;IF(AND($C609&lt;&gt;"",J609=""),"; Dept has not set a tax code","")&amp;IF(AND($C609&lt;&gt;"",N609=""),"; Dept has not entered an expected value","")&amp;IF((IF(OR(COUNTA(S609:U609)=0,AND(COUNTA(S609:U609)=3,ISNUMBER(U609))),0,1)+IF(OR(COUNTA(V609:X609)=0,AND(COUNTA(V609:X609)=3,ISNUMBER(X609))),0,1)+IF(OR(COUNTA(Y609:AA609)=0,AND(COUNTA(Y609:AA609)=3,ISNUMBER(AA609))),0,1)+IF(OR(COUNTA(AB609:AD609)=0,AND(COUNTA(AB609:AD609)=3,ISNUMBER(AD609))),0,1)+IF(OR(COUNTA(AE609:AG609)=0,AND(COUNTA(AE609:AG609)=3,ISNUMBER(AG609))),0,1)+IF(OR(COUNTA(AH609:AJ609)=0,AND(COUNTA(AH609:AJ609)=3,ISNUMBER(AJ609))),0,1)+IF(OR(COUNTA(AK609:AM609)=0,AND(COUNTA(AK609:AM609)=3,ISNUMBER(AM609))),0,1)+IF(OR(COUNTA(AN609:AP609)=0,AND(COUNTA(AN609:AP609)=3,ISNUMBER(AP609))),0,1)+IF(OR(COUNTA(AQ609:AS609)=0,AND(COUNTA(AQ609:AS609)=3,ISNUMBER(AS609))),0,1)+IF(OR(COUNTA(AT609:AV609)=0,AND(COUNTA(AT609:AV609)=3,ISNUMBER(AV609))),0,1)+IF(OR(COUNTA(AW609:AY609)=0,AND(COUNTA(AW609:AY609)=3,ISNUMBER(AY609))),0,1)+IF(OR(COUNTA(AZ609:BB609)=0,AND(COUNTA(AZ609:BB609)=3,ISNUMBER(BB609))),0,1))&gt;0,"; An invoice is incomplete (needs No, Date and a number in Ex GST)","")&amp;IF((IF(T609="",0,IFERROR(--(EOMONTH(T609,0)&lt;&gt;S$5),1))+IF(W609="",0,IFERROR(--(EOMONTH(W609,0)&lt;&gt;V$5),1))+IF(Z609="",0,IFERROR(--(EOMONTH(Z609,0)&lt;&gt;Y$5),1))+IF(AC609="",0,IFERROR(--(EOMONTH(AC609,0)&lt;&gt;AB$5),1))+IF(AF609="",0,IFERROR(--(EOMONTH(AF609,0)&lt;&gt;AE$5),1))+IF(AI609="",0,IFERROR(--(EOMONTH(AI609,0)&lt;&gt;AH$5),1))+IF(AL609="",0,IFERROR(--(EOMONTH(AL609,0)&lt;&gt;AK$5),1))+IF(AO609="",0,IFERROR(--(EOMONTH(AO609,0)&lt;&gt;AN$5),1))+IF(AR609="",0,IFERROR(--(EOMONTH(AR609,0)&lt;&gt;AQ$5),1))+IF(AU609="",0,IFERROR(--(EOMONTH(AU609,0)&lt;&gt;AT$5),1))+IF(AX609="",0,IFERROR(--(EOMONTH(AX609,0)&lt;&gt;AW$5),1))+IF(BA609="",0,IFERROR(--(EOMONTH(BA609,0)&lt;&gt;AZ$5),1)))&gt;0,"; An invoice date is not in the month it is typed under",""),3,500))</f>
        <v/>
      </c>
      <c r="S609" s="12" t="n"/>
      <c r="T609" s="13" t="n"/>
      <c r="U609" s="14" t="n"/>
      <c r="V609" s="12" t="n"/>
      <c r="W609" s="13" t="n"/>
      <c r="X609" s="14" t="n"/>
      <c r="Y609" s="12" t="n"/>
      <c r="Z609" s="13" t="n"/>
      <c r="AA609" s="14" t="n"/>
      <c r="AB609" s="12" t="n"/>
      <c r="AC609" s="13" t="n"/>
      <c r="AD609" s="14" t="n"/>
      <c r="AE609" s="12" t="n"/>
      <c r="AF609" s="13" t="n"/>
      <c r="AG609" s="14" t="n"/>
      <c r="AH609" s="12" t="n"/>
      <c r="AI609" s="13" t="n"/>
      <c r="AJ609" s="14" t="n"/>
      <c r="AK609" s="12" t="n"/>
      <c r="AL609" s="13" t="n"/>
      <c r="AM609" s="14" t="n"/>
      <c r="AN609" s="12" t="n"/>
      <c r="AO609" s="13" t="n"/>
      <c r="AP609" s="14" t="n"/>
      <c r="AQ609" s="12" t="n"/>
      <c r="AR609" s="13" t="n"/>
      <c r="AS609" s="14" t="n"/>
      <c r="AT609" s="12" t="n"/>
      <c r="AU609" s="13" t="n"/>
      <c r="AV609" s="14" t="n"/>
      <c r="AW609" s="12" t="n"/>
      <c r="AX609" s="13" t="n"/>
      <c r="AY609" s="14" t="n"/>
      <c r="AZ609" s="12" t="n"/>
      <c r="BA609" s="13" t="n"/>
      <c r="BB609" s="14" t="n"/>
      <c r="BC609" s="11">
        <f>IF(O609="","",IF(J609="GST 10%",ROUND(O609*set_GSTRate,2),0))</f>
        <v/>
      </c>
      <c r="BD609" s="11">
        <f>IF(O609="","",O609+BC609)</f>
        <v/>
      </c>
      <c r="BE609" s="15">
        <f>IF(O609="","",COUNTA(S609,V609,Y609,AB609,AE609,AH609,AK609,AN609,AQ609,AT609,AW609,AZ609))</f>
        <v/>
      </c>
      <c r="BF609" s="16">
        <f>IF(COUNT(T609,W609,Z609,AC609,AF609,AI609,AL609,AO609,AR609,AU609,AX609,BA609)=0,"",MAX(T609,W609,Z609,AC609,AF609,AI609,AL609,AO609,AR609,AU609,AX609,BA609))</f>
        <v/>
      </c>
      <c r="BG609" s="10">
        <f>MID(IF(S609="","",", "&amp;S609)&amp;IF(V609="","",", "&amp;V609)&amp;IF(Y609="","",", "&amp;Y609)&amp;IF(AB609="","",", "&amp;AB609)&amp;IF(AE609="","",", "&amp;AE609)&amp;IF(AH609="","",", "&amp;AH609)&amp;IF(AK609="","",", "&amp;AK609)&amp;IF(AN609="","",", "&amp;AN609)&amp;IF(AQ609="","",", "&amp;AQ609)&amp;IF(AT609="","",", "&amp;AT609)&amp;IF(AW609="","",", "&amp;AW609)&amp;IF(AZ609="","",", "&amp;AZ609),3,500)</f>
        <v/>
      </c>
      <c r="BH609" s="12" t="n"/>
      <c r="BI609" s="15">
        <f>IFERROR(MATCH($A609,IF($B609="Onsite",tbl_Onsite[Row ID],IF($B609="Production",tbl_Production[Row ID],tbl_Consulting[Row ID])),0),"")</f>
        <v/>
      </c>
    </row>
    <row r="610">
      <c r="A610" s="10" t="inlineStr">
        <is>
          <t>PRD-0104</t>
        </is>
      </c>
      <c r="B610" s="10" t="inlineStr">
        <is>
          <t>Production</t>
        </is>
      </c>
      <c r="C610" s="10">
        <f>IF($BI610="","",IF($B610="Onsite",INDEX(tbl_Onsite[Job Number],$BI610),IF($B610="Production",INDEX(tbl_Production[Job Number],$BI610),INDEX(tbl_Consulting[Job Number],$BI610)))&amp;"")</f>
        <v/>
      </c>
      <c r="D610" s="10">
        <f>IF($BI610="","",IF($B610="Onsite",INDEX(tbl_Onsite[Client],$BI610),IF($B610="Production",INDEX(tbl_Production[Client],$BI610),INDEX(tbl_Consulting[Client],$BI610)))&amp;"")</f>
        <v/>
      </c>
      <c r="E610" s="10">
        <f>IF($C610="","",IF(COUNTIF(lst_Jobs,$C610)&gt;0,"OK","CHECK"))</f>
        <v/>
      </c>
      <c r="F610" s="10">
        <f>IF($C610="","",IFERROR(INDEX(lst_JobName,MATCH($C610,lst_Jobs,0)),""))</f>
        <v/>
      </c>
      <c r="G610" s="10">
        <f>IF($BI610="","",IF($B610="Onsite",INDEX(tbl_Onsite[Job Description],$BI610),IF($B610="Production",INDEX(tbl_Production[Job Description],$BI610),INDEX(tbl_Consulting[Job Description],$BI610)))&amp;"")</f>
        <v/>
      </c>
      <c r="H610" s="10">
        <f>IF($BI610="","",IF($B610="Onsite",INDEX(tbl_Onsite[Cost Centre],$BI610),IF($B610="Production",INDEX(tbl_Production[Cost Centre],$BI610),INDEX(tbl_Consulting[Cost Centre],$BI610)))&amp;"")</f>
        <v/>
      </c>
      <c r="I610" s="10">
        <f>IF($BI610="","",IF($B610="Onsite",INDEX(tbl_Onsite[Invoice Type],$BI610),IF($B610="Production",INDEX(tbl_Production[Invoice Type],$BI610),INDEX(tbl_Consulting[Invoice Type],$BI610)))&amp;"")</f>
        <v/>
      </c>
      <c r="J610" s="10">
        <f>IF($BI610="","",IF($B610="Onsite",INDEX(tbl_Onsite[Tax Code],$BI610),IF($B610="Production",INDEX(tbl_Production[Tax Code],$BI610),INDEX(tbl_Consulting[Tax Code],$BI610)))&amp;"")</f>
        <v/>
      </c>
      <c r="K610" s="10">
        <f>IF(H610="","",IFERROR(INDEX(lst_CCtoGL,MATCH(H610,lst_CCforGL,0)),""))</f>
        <v/>
      </c>
      <c r="L610" s="10">
        <f>IF($BI610="","",IF($B610="Onsite",INDEX(tbl_Onsite[PO / Reference],$BI610),IF($B610="Production",INDEX(tbl_Production[Current RMS No],$BI610),INDEX(tbl_Consulting[Qwilr Quote],$BI610)))&amp;"")</f>
        <v/>
      </c>
      <c r="M610" s="10">
        <f>IF($BI610="","",IF($B610="Onsite",INDEX(tbl_Onsite[Notes],$BI610),IF($B610="Production",INDEX(tbl_Production[Notes],$BI610),INDEX(tbl_Consulting[Notes],$BI610)))&amp;"")</f>
        <v/>
      </c>
      <c r="N610" s="11">
        <f>IF($BI610="","",IF(IF($B610="Onsite",INDEX(tbl_Onsite[Expected Revenue Ex GST],$BI610),IF($B610="Production",INDEX(tbl_Production[Expected Revenue Ex GST],$BI610),INDEX(tbl_Consulting[Expected Revenue Ex GST],$BI610)))="","",IF($B610="Onsite",INDEX(tbl_Onsite[Expected Revenue Ex GST],$BI610),IF($B610="Production",INDEX(tbl_Production[Expected Revenue Ex GST],$BI610),INDEX(tbl_Consulting[Expected Revenue Ex GST],$BI610)))))</f>
        <v/>
      </c>
      <c r="O610" s="11">
        <f>IF(AND($C610="",NOT(COUNTA($S610:$BB610)&gt;0)),"",SUM(U610,X610,AA610,AD610,AG610,AJ610,AM610,AP610,AS610,AV610,AY610,BB610))</f>
        <v/>
      </c>
      <c r="P610" s="11">
        <f>IF(O610="","",N(N610)-O610)</f>
        <v/>
      </c>
      <c r="Q610" s="10">
        <f>IF(O610="","",IF($C610="","Invoice on empty job row",IF(N610="",IF(ROUND(O610,2)=0,"No dept value","Invoiced - no dept value"),IF(ROUND(O610,2)=0,"Not invoiced - to invoice",IF(ROUND(P610,2)=0,"Agrees",IF(P610&gt;0,"Dept higher - to invoice","Xero higher - check dept"))))))</f>
        <v/>
      </c>
      <c r="R610" s="10">
        <f>IF(AND($C610="",NOT(COUNTA($S610:$BB610)&gt;0),$BI610&lt;&gt;""),"",MID(IF($BI610="","; Row ID not found on the department sheet - a row was deleted","")&amp;IF(AND($C610="",COUNTA($S610:$BB610)&gt;0),"; Invoice entered but the department row has no job number","")&amp;IF(E610="CHECK","; Job number not in the Xero job list","")&amp;IF(AND($C610&lt;&gt;"",COUNTIF($C$7:$C$1506,$C610)&gt;1),"; Job number on more than one row","")&amp;IF(AND($C610&lt;&gt;"",H610=""),"; Dept has not set a cost centre","")&amp;IF(AND($C610&lt;&gt;"",J610=""),"; Dept has not set a tax code","")&amp;IF(AND($C610&lt;&gt;"",N610=""),"; Dept has not entered an expected value","")&amp;IF((IF(OR(COUNTA(S610:U610)=0,AND(COUNTA(S610:U610)=3,ISNUMBER(U610))),0,1)+IF(OR(COUNTA(V610:X610)=0,AND(COUNTA(V610:X610)=3,ISNUMBER(X610))),0,1)+IF(OR(COUNTA(Y610:AA610)=0,AND(COUNTA(Y610:AA610)=3,ISNUMBER(AA610))),0,1)+IF(OR(COUNTA(AB610:AD610)=0,AND(COUNTA(AB610:AD610)=3,ISNUMBER(AD610))),0,1)+IF(OR(COUNTA(AE610:AG610)=0,AND(COUNTA(AE610:AG610)=3,ISNUMBER(AG610))),0,1)+IF(OR(COUNTA(AH610:AJ610)=0,AND(COUNTA(AH610:AJ610)=3,ISNUMBER(AJ610))),0,1)+IF(OR(COUNTA(AK610:AM610)=0,AND(COUNTA(AK610:AM610)=3,ISNUMBER(AM610))),0,1)+IF(OR(COUNTA(AN610:AP610)=0,AND(COUNTA(AN610:AP610)=3,ISNUMBER(AP610))),0,1)+IF(OR(COUNTA(AQ610:AS610)=0,AND(COUNTA(AQ610:AS610)=3,ISNUMBER(AS610))),0,1)+IF(OR(COUNTA(AT610:AV610)=0,AND(COUNTA(AT610:AV610)=3,ISNUMBER(AV610))),0,1)+IF(OR(COUNTA(AW610:AY610)=0,AND(COUNTA(AW610:AY610)=3,ISNUMBER(AY610))),0,1)+IF(OR(COUNTA(AZ610:BB610)=0,AND(COUNTA(AZ610:BB610)=3,ISNUMBER(BB610))),0,1))&gt;0,"; An invoice is incomplete (needs No, Date and a number in Ex GST)","")&amp;IF((IF(T610="",0,IFERROR(--(EOMONTH(T610,0)&lt;&gt;S$5),1))+IF(W610="",0,IFERROR(--(EOMONTH(W610,0)&lt;&gt;V$5),1))+IF(Z610="",0,IFERROR(--(EOMONTH(Z610,0)&lt;&gt;Y$5),1))+IF(AC610="",0,IFERROR(--(EOMONTH(AC610,0)&lt;&gt;AB$5),1))+IF(AF610="",0,IFERROR(--(EOMONTH(AF610,0)&lt;&gt;AE$5),1))+IF(AI610="",0,IFERROR(--(EOMONTH(AI610,0)&lt;&gt;AH$5),1))+IF(AL610="",0,IFERROR(--(EOMONTH(AL610,0)&lt;&gt;AK$5),1))+IF(AO610="",0,IFERROR(--(EOMONTH(AO610,0)&lt;&gt;AN$5),1))+IF(AR610="",0,IFERROR(--(EOMONTH(AR610,0)&lt;&gt;AQ$5),1))+IF(AU610="",0,IFERROR(--(EOMONTH(AU610,0)&lt;&gt;AT$5),1))+IF(AX610="",0,IFERROR(--(EOMONTH(AX610,0)&lt;&gt;AW$5),1))+IF(BA610="",0,IFERROR(--(EOMONTH(BA610,0)&lt;&gt;AZ$5),1)))&gt;0,"; An invoice date is not in the month it is typed under",""),3,500))</f>
        <v/>
      </c>
      <c r="S610" s="12" t="n"/>
      <c r="T610" s="13" t="n"/>
      <c r="U610" s="14" t="n"/>
      <c r="V610" s="12" t="n"/>
      <c r="W610" s="13" t="n"/>
      <c r="X610" s="14" t="n"/>
      <c r="Y610" s="12" t="n"/>
      <c r="Z610" s="13" t="n"/>
      <c r="AA610" s="14" t="n"/>
      <c r="AB610" s="12" t="n"/>
      <c r="AC610" s="13" t="n"/>
      <c r="AD610" s="14" t="n"/>
      <c r="AE610" s="12" t="n"/>
      <c r="AF610" s="13" t="n"/>
      <c r="AG610" s="14" t="n"/>
      <c r="AH610" s="12" t="n"/>
      <c r="AI610" s="13" t="n"/>
      <c r="AJ610" s="14" t="n"/>
      <c r="AK610" s="12" t="n"/>
      <c r="AL610" s="13" t="n"/>
      <c r="AM610" s="14" t="n"/>
      <c r="AN610" s="12" t="n"/>
      <c r="AO610" s="13" t="n"/>
      <c r="AP610" s="14" t="n"/>
      <c r="AQ610" s="12" t="n"/>
      <c r="AR610" s="13" t="n"/>
      <c r="AS610" s="14" t="n"/>
      <c r="AT610" s="12" t="n"/>
      <c r="AU610" s="13" t="n"/>
      <c r="AV610" s="14" t="n"/>
      <c r="AW610" s="12" t="n"/>
      <c r="AX610" s="13" t="n"/>
      <c r="AY610" s="14" t="n"/>
      <c r="AZ610" s="12" t="n"/>
      <c r="BA610" s="13" t="n"/>
      <c r="BB610" s="14" t="n"/>
      <c r="BC610" s="11">
        <f>IF(O610="","",IF(J610="GST 10%",ROUND(O610*set_GSTRate,2),0))</f>
        <v/>
      </c>
      <c r="BD610" s="11">
        <f>IF(O610="","",O610+BC610)</f>
        <v/>
      </c>
      <c r="BE610" s="15">
        <f>IF(O610="","",COUNTA(S610,V610,Y610,AB610,AE610,AH610,AK610,AN610,AQ610,AT610,AW610,AZ610))</f>
        <v/>
      </c>
      <c r="BF610" s="16">
        <f>IF(COUNT(T610,W610,Z610,AC610,AF610,AI610,AL610,AO610,AR610,AU610,AX610,BA610)=0,"",MAX(T610,W610,Z610,AC610,AF610,AI610,AL610,AO610,AR610,AU610,AX610,BA610))</f>
        <v/>
      </c>
      <c r="BG610" s="10">
        <f>MID(IF(S610="","",", "&amp;S610)&amp;IF(V610="","",", "&amp;V610)&amp;IF(Y610="","",", "&amp;Y610)&amp;IF(AB610="","",", "&amp;AB610)&amp;IF(AE610="","",", "&amp;AE610)&amp;IF(AH610="","",", "&amp;AH610)&amp;IF(AK610="","",", "&amp;AK610)&amp;IF(AN610="","",", "&amp;AN610)&amp;IF(AQ610="","",", "&amp;AQ610)&amp;IF(AT610="","",", "&amp;AT610)&amp;IF(AW610="","",", "&amp;AW610)&amp;IF(AZ610="","",", "&amp;AZ610),3,500)</f>
        <v/>
      </c>
      <c r="BH610" s="12" t="n"/>
      <c r="BI610" s="15">
        <f>IFERROR(MATCH($A610,IF($B610="Onsite",tbl_Onsite[Row ID],IF($B610="Production",tbl_Production[Row ID],tbl_Consulting[Row ID])),0),"")</f>
        <v/>
      </c>
    </row>
    <row r="611">
      <c r="A611" s="10" t="inlineStr">
        <is>
          <t>PRD-0105</t>
        </is>
      </c>
      <c r="B611" s="10" t="inlineStr">
        <is>
          <t>Production</t>
        </is>
      </c>
      <c r="C611" s="10">
        <f>IF($BI611="","",IF($B611="Onsite",INDEX(tbl_Onsite[Job Number],$BI611),IF($B611="Production",INDEX(tbl_Production[Job Number],$BI611),INDEX(tbl_Consulting[Job Number],$BI611)))&amp;"")</f>
        <v/>
      </c>
      <c r="D611" s="10">
        <f>IF($BI611="","",IF($B611="Onsite",INDEX(tbl_Onsite[Client],$BI611),IF($B611="Production",INDEX(tbl_Production[Client],$BI611),INDEX(tbl_Consulting[Client],$BI611)))&amp;"")</f>
        <v/>
      </c>
      <c r="E611" s="10">
        <f>IF($C611="","",IF(COUNTIF(lst_Jobs,$C611)&gt;0,"OK","CHECK"))</f>
        <v/>
      </c>
      <c r="F611" s="10">
        <f>IF($C611="","",IFERROR(INDEX(lst_JobName,MATCH($C611,lst_Jobs,0)),""))</f>
        <v/>
      </c>
      <c r="G611" s="10">
        <f>IF($BI611="","",IF($B611="Onsite",INDEX(tbl_Onsite[Job Description],$BI611),IF($B611="Production",INDEX(tbl_Production[Job Description],$BI611),INDEX(tbl_Consulting[Job Description],$BI611)))&amp;"")</f>
        <v/>
      </c>
      <c r="H611" s="10">
        <f>IF($BI611="","",IF($B611="Onsite",INDEX(tbl_Onsite[Cost Centre],$BI611),IF($B611="Production",INDEX(tbl_Production[Cost Centre],$BI611),INDEX(tbl_Consulting[Cost Centre],$BI611)))&amp;"")</f>
        <v/>
      </c>
      <c r="I611" s="10">
        <f>IF($BI611="","",IF($B611="Onsite",INDEX(tbl_Onsite[Invoice Type],$BI611),IF($B611="Production",INDEX(tbl_Production[Invoice Type],$BI611),INDEX(tbl_Consulting[Invoice Type],$BI611)))&amp;"")</f>
        <v/>
      </c>
      <c r="J611" s="10">
        <f>IF($BI611="","",IF($B611="Onsite",INDEX(tbl_Onsite[Tax Code],$BI611),IF($B611="Production",INDEX(tbl_Production[Tax Code],$BI611),INDEX(tbl_Consulting[Tax Code],$BI611)))&amp;"")</f>
        <v/>
      </c>
      <c r="K611" s="10">
        <f>IF(H611="","",IFERROR(INDEX(lst_CCtoGL,MATCH(H611,lst_CCforGL,0)),""))</f>
        <v/>
      </c>
      <c r="L611" s="10">
        <f>IF($BI611="","",IF($B611="Onsite",INDEX(tbl_Onsite[PO / Reference],$BI611),IF($B611="Production",INDEX(tbl_Production[Current RMS No],$BI611),INDEX(tbl_Consulting[Qwilr Quote],$BI611)))&amp;"")</f>
        <v/>
      </c>
      <c r="M611" s="10">
        <f>IF($BI611="","",IF($B611="Onsite",INDEX(tbl_Onsite[Notes],$BI611),IF($B611="Production",INDEX(tbl_Production[Notes],$BI611),INDEX(tbl_Consulting[Notes],$BI611)))&amp;"")</f>
        <v/>
      </c>
      <c r="N611" s="11">
        <f>IF($BI611="","",IF(IF($B611="Onsite",INDEX(tbl_Onsite[Expected Revenue Ex GST],$BI611),IF($B611="Production",INDEX(tbl_Production[Expected Revenue Ex GST],$BI611),INDEX(tbl_Consulting[Expected Revenue Ex GST],$BI611)))="","",IF($B611="Onsite",INDEX(tbl_Onsite[Expected Revenue Ex GST],$BI611),IF($B611="Production",INDEX(tbl_Production[Expected Revenue Ex GST],$BI611),INDEX(tbl_Consulting[Expected Revenue Ex GST],$BI611)))))</f>
        <v/>
      </c>
      <c r="O611" s="11">
        <f>IF(AND($C611="",NOT(COUNTA($S611:$BB611)&gt;0)),"",SUM(U611,X611,AA611,AD611,AG611,AJ611,AM611,AP611,AS611,AV611,AY611,BB611))</f>
        <v/>
      </c>
      <c r="P611" s="11">
        <f>IF(O611="","",N(N611)-O611)</f>
        <v/>
      </c>
      <c r="Q611" s="10">
        <f>IF(O611="","",IF($C611="","Invoice on empty job row",IF(N611="",IF(ROUND(O611,2)=0,"No dept value","Invoiced - no dept value"),IF(ROUND(O611,2)=0,"Not invoiced - to invoice",IF(ROUND(P611,2)=0,"Agrees",IF(P611&gt;0,"Dept higher - to invoice","Xero higher - check dept"))))))</f>
        <v/>
      </c>
      <c r="R611" s="10">
        <f>IF(AND($C611="",NOT(COUNTA($S611:$BB611)&gt;0),$BI611&lt;&gt;""),"",MID(IF($BI611="","; Row ID not found on the department sheet - a row was deleted","")&amp;IF(AND($C611="",COUNTA($S611:$BB611)&gt;0),"; Invoice entered but the department row has no job number","")&amp;IF(E611="CHECK","; Job number not in the Xero job list","")&amp;IF(AND($C611&lt;&gt;"",COUNTIF($C$7:$C$1506,$C611)&gt;1),"; Job number on more than one row","")&amp;IF(AND($C611&lt;&gt;"",H611=""),"; Dept has not set a cost centre","")&amp;IF(AND($C611&lt;&gt;"",J611=""),"; Dept has not set a tax code","")&amp;IF(AND($C611&lt;&gt;"",N611=""),"; Dept has not entered an expected value","")&amp;IF((IF(OR(COUNTA(S611:U611)=0,AND(COUNTA(S611:U611)=3,ISNUMBER(U611))),0,1)+IF(OR(COUNTA(V611:X611)=0,AND(COUNTA(V611:X611)=3,ISNUMBER(X611))),0,1)+IF(OR(COUNTA(Y611:AA611)=0,AND(COUNTA(Y611:AA611)=3,ISNUMBER(AA611))),0,1)+IF(OR(COUNTA(AB611:AD611)=0,AND(COUNTA(AB611:AD611)=3,ISNUMBER(AD611))),0,1)+IF(OR(COUNTA(AE611:AG611)=0,AND(COUNTA(AE611:AG611)=3,ISNUMBER(AG611))),0,1)+IF(OR(COUNTA(AH611:AJ611)=0,AND(COUNTA(AH611:AJ611)=3,ISNUMBER(AJ611))),0,1)+IF(OR(COUNTA(AK611:AM611)=0,AND(COUNTA(AK611:AM611)=3,ISNUMBER(AM611))),0,1)+IF(OR(COUNTA(AN611:AP611)=0,AND(COUNTA(AN611:AP611)=3,ISNUMBER(AP611))),0,1)+IF(OR(COUNTA(AQ611:AS611)=0,AND(COUNTA(AQ611:AS611)=3,ISNUMBER(AS611))),0,1)+IF(OR(COUNTA(AT611:AV611)=0,AND(COUNTA(AT611:AV611)=3,ISNUMBER(AV611))),0,1)+IF(OR(COUNTA(AW611:AY611)=0,AND(COUNTA(AW611:AY611)=3,ISNUMBER(AY611))),0,1)+IF(OR(COUNTA(AZ611:BB611)=0,AND(COUNTA(AZ611:BB611)=3,ISNUMBER(BB611))),0,1))&gt;0,"; An invoice is incomplete (needs No, Date and a number in Ex GST)","")&amp;IF((IF(T611="",0,IFERROR(--(EOMONTH(T611,0)&lt;&gt;S$5),1))+IF(W611="",0,IFERROR(--(EOMONTH(W611,0)&lt;&gt;V$5),1))+IF(Z611="",0,IFERROR(--(EOMONTH(Z611,0)&lt;&gt;Y$5),1))+IF(AC611="",0,IFERROR(--(EOMONTH(AC611,0)&lt;&gt;AB$5),1))+IF(AF611="",0,IFERROR(--(EOMONTH(AF611,0)&lt;&gt;AE$5),1))+IF(AI611="",0,IFERROR(--(EOMONTH(AI611,0)&lt;&gt;AH$5),1))+IF(AL611="",0,IFERROR(--(EOMONTH(AL611,0)&lt;&gt;AK$5),1))+IF(AO611="",0,IFERROR(--(EOMONTH(AO611,0)&lt;&gt;AN$5),1))+IF(AR611="",0,IFERROR(--(EOMONTH(AR611,0)&lt;&gt;AQ$5),1))+IF(AU611="",0,IFERROR(--(EOMONTH(AU611,0)&lt;&gt;AT$5),1))+IF(AX611="",0,IFERROR(--(EOMONTH(AX611,0)&lt;&gt;AW$5),1))+IF(BA611="",0,IFERROR(--(EOMONTH(BA611,0)&lt;&gt;AZ$5),1)))&gt;0,"; An invoice date is not in the month it is typed under",""),3,500))</f>
        <v/>
      </c>
      <c r="S611" s="12" t="n"/>
      <c r="T611" s="13" t="n"/>
      <c r="U611" s="14" t="n"/>
      <c r="V611" s="12" t="n"/>
      <c r="W611" s="13" t="n"/>
      <c r="X611" s="14" t="n"/>
      <c r="Y611" s="12" t="n"/>
      <c r="Z611" s="13" t="n"/>
      <c r="AA611" s="14" t="n"/>
      <c r="AB611" s="12" t="n"/>
      <c r="AC611" s="13" t="n"/>
      <c r="AD611" s="14" t="n"/>
      <c r="AE611" s="12" t="n"/>
      <c r="AF611" s="13" t="n"/>
      <c r="AG611" s="14" t="n"/>
      <c r="AH611" s="12" t="n"/>
      <c r="AI611" s="13" t="n"/>
      <c r="AJ611" s="14" t="n"/>
      <c r="AK611" s="12" t="n"/>
      <c r="AL611" s="13" t="n"/>
      <c r="AM611" s="14" t="n"/>
      <c r="AN611" s="12" t="n"/>
      <c r="AO611" s="13" t="n"/>
      <c r="AP611" s="14" t="n"/>
      <c r="AQ611" s="12" t="n"/>
      <c r="AR611" s="13" t="n"/>
      <c r="AS611" s="14" t="n"/>
      <c r="AT611" s="12" t="n"/>
      <c r="AU611" s="13" t="n"/>
      <c r="AV611" s="14" t="n"/>
      <c r="AW611" s="12" t="n"/>
      <c r="AX611" s="13" t="n"/>
      <c r="AY611" s="14" t="n"/>
      <c r="AZ611" s="12" t="n"/>
      <c r="BA611" s="13" t="n"/>
      <c r="BB611" s="14" t="n"/>
      <c r="BC611" s="11">
        <f>IF(O611="","",IF(J611="GST 10%",ROUND(O611*set_GSTRate,2),0))</f>
        <v/>
      </c>
      <c r="BD611" s="11">
        <f>IF(O611="","",O611+BC611)</f>
        <v/>
      </c>
      <c r="BE611" s="15">
        <f>IF(O611="","",COUNTA(S611,V611,Y611,AB611,AE611,AH611,AK611,AN611,AQ611,AT611,AW611,AZ611))</f>
        <v/>
      </c>
      <c r="BF611" s="16">
        <f>IF(COUNT(T611,W611,Z611,AC611,AF611,AI611,AL611,AO611,AR611,AU611,AX611,BA611)=0,"",MAX(T611,W611,Z611,AC611,AF611,AI611,AL611,AO611,AR611,AU611,AX611,BA611))</f>
        <v/>
      </c>
      <c r="BG611" s="10">
        <f>MID(IF(S611="","",", "&amp;S611)&amp;IF(V611="","",", "&amp;V611)&amp;IF(Y611="","",", "&amp;Y611)&amp;IF(AB611="","",", "&amp;AB611)&amp;IF(AE611="","",", "&amp;AE611)&amp;IF(AH611="","",", "&amp;AH611)&amp;IF(AK611="","",", "&amp;AK611)&amp;IF(AN611="","",", "&amp;AN611)&amp;IF(AQ611="","",", "&amp;AQ611)&amp;IF(AT611="","",", "&amp;AT611)&amp;IF(AW611="","",", "&amp;AW611)&amp;IF(AZ611="","",", "&amp;AZ611),3,500)</f>
        <v/>
      </c>
      <c r="BH611" s="12" t="n"/>
      <c r="BI611" s="15">
        <f>IFERROR(MATCH($A611,IF($B611="Onsite",tbl_Onsite[Row ID],IF($B611="Production",tbl_Production[Row ID],tbl_Consulting[Row ID])),0),"")</f>
        <v/>
      </c>
    </row>
    <row r="612">
      <c r="A612" s="10" t="inlineStr">
        <is>
          <t>PRD-0106</t>
        </is>
      </c>
      <c r="B612" s="10" t="inlineStr">
        <is>
          <t>Production</t>
        </is>
      </c>
      <c r="C612" s="10">
        <f>IF($BI612="","",IF($B612="Onsite",INDEX(tbl_Onsite[Job Number],$BI612),IF($B612="Production",INDEX(tbl_Production[Job Number],$BI612),INDEX(tbl_Consulting[Job Number],$BI612)))&amp;"")</f>
        <v/>
      </c>
      <c r="D612" s="10">
        <f>IF($BI612="","",IF($B612="Onsite",INDEX(tbl_Onsite[Client],$BI612),IF($B612="Production",INDEX(tbl_Production[Client],$BI612),INDEX(tbl_Consulting[Client],$BI612)))&amp;"")</f>
        <v/>
      </c>
      <c r="E612" s="10">
        <f>IF($C612="","",IF(COUNTIF(lst_Jobs,$C612)&gt;0,"OK","CHECK"))</f>
        <v/>
      </c>
      <c r="F612" s="10">
        <f>IF($C612="","",IFERROR(INDEX(lst_JobName,MATCH($C612,lst_Jobs,0)),""))</f>
        <v/>
      </c>
      <c r="G612" s="10">
        <f>IF($BI612="","",IF($B612="Onsite",INDEX(tbl_Onsite[Job Description],$BI612),IF($B612="Production",INDEX(tbl_Production[Job Description],$BI612),INDEX(tbl_Consulting[Job Description],$BI612)))&amp;"")</f>
        <v/>
      </c>
      <c r="H612" s="10">
        <f>IF($BI612="","",IF($B612="Onsite",INDEX(tbl_Onsite[Cost Centre],$BI612),IF($B612="Production",INDEX(tbl_Production[Cost Centre],$BI612),INDEX(tbl_Consulting[Cost Centre],$BI612)))&amp;"")</f>
        <v/>
      </c>
      <c r="I612" s="10">
        <f>IF($BI612="","",IF($B612="Onsite",INDEX(tbl_Onsite[Invoice Type],$BI612),IF($B612="Production",INDEX(tbl_Production[Invoice Type],$BI612),INDEX(tbl_Consulting[Invoice Type],$BI612)))&amp;"")</f>
        <v/>
      </c>
      <c r="J612" s="10">
        <f>IF($BI612="","",IF($B612="Onsite",INDEX(tbl_Onsite[Tax Code],$BI612),IF($B612="Production",INDEX(tbl_Production[Tax Code],$BI612),INDEX(tbl_Consulting[Tax Code],$BI612)))&amp;"")</f>
        <v/>
      </c>
      <c r="K612" s="10">
        <f>IF(H612="","",IFERROR(INDEX(lst_CCtoGL,MATCH(H612,lst_CCforGL,0)),""))</f>
        <v/>
      </c>
      <c r="L612" s="10">
        <f>IF($BI612="","",IF($B612="Onsite",INDEX(tbl_Onsite[PO / Reference],$BI612),IF($B612="Production",INDEX(tbl_Production[Current RMS No],$BI612),INDEX(tbl_Consulting[Qwilr Quote],$BI612)))&amp;"")</f>
        <v/>
      </c>
      <c r="M612" s="10">
        <f>IF($BI612="","",IF($B612="Onsite",INDEX(tbl_Onsite[Notes],$BI612),IF($B612="Production",INDEX(tbl_Production[Notes],$BI612),INDEX(tbl_Consulting[Notes],$BI612)))&amp;"")</f>
        <v/>
      </c>
      <c r="N612" s="11">
        <f>IF($BI612="","",IF(IF($B612="Onsite",INDEX(tbl_Onsite[Expected Revenue Ex GST],$BI612),IF($B612="Production",INDEX(tbl_Production[Expected Revenue Ex GST],$BI612),INDEX(tbl_Consulting[Expected Revenue Ex GST],$BI612)))="","",IF($B612="Onsite",INDEX(tbl_Onsite[Expected Revenue Ex GST],$BI612),IF($B612="Production",INDEX(tbl_Production[Expected Revenue Ex GST],$BI612),INDEX(tbl_Consulting[Expected Revenue Ex GST],$BI612)))))</f>
        <v/>
      </c>
      <c r="O612" s="11">
        <f>IF(AND($C612="",NOT(COUNTA($S612:$BB612)&gt;0)),"",SUM(U612,X612,AA612,AD612,AG612,AJ612,AM612,AP612,AS612,AV612,AY612,BB612))</f>
        <v/>
      </c>
      <c r="P612" s="11">
        <f>IF(O612="","",N(N612)-O612)</f>
        <v/>
      </c>
      <c r="Q612" s="10">
        <f>IF(O612="","",IF($C612="","Invoice on empty job row",IF(N612="",IF(ROUND(O612,2)=0,"No dept value","Invoiced - no dept value"),IF(ROUND(O612,2)=0,"Not invoiced - to invoice",IF(ROUND(P612,2)=0,"Agrees",IF(P612&gt;0,"Dept higher - to invoice","Xero higher - check dept"))))))</f>
        <v/>
      </c>
      <c r="R612" s="10">
        <f>IF(AND($C612="",NOT(COUNTA($S612:$BB612)&gt;0),$BI612&lt;&gt;""),"",MID(IF($BI612="","; Row ID not found on the department sheet - a row was deleted","")&amp;IF(AND($C612="",COUNTA($S612:$BB612)&gt;0),"; Invoice entered but the department row has no job number","")&amp;IF(E612="CHECK","; Job number not in the Xero job list","")&amp;IF(AND($C612&lt;&gt;"",COUNTIF($C$7:$C$1506,$C612)&gt;1),"; Job number on more than one row","")&amp;IF(AND($C612&lt;&gt;"",H612=""),"; Dept has not set a cost centre","")&amp;IF(AND($C612&lt;&gt;"",J612=""),"; Dept has not set a tax code","")&amp;IF(AND($C612&lt;&gt;"",N612=""),"; Dept has not entered an expected value","")&amp;IF((IF(OR(COUNTA(S612:U612)=0,AND(COUNTA(S612:U612)=3,ISNUMBER(U612))),0,1)+IF(OR(COUNTA(V612:X612)=0,AND(COUNTA(V612:X612)=3,ISNUMBER(X612))),0,1)+IF(OR(COUNTA(Y612:AA612)=0,AND(COUNTA(Y612:AA612)=3,ISNUMBER(AA612))),0,1)+IF(OR(COUNTA(AB612:AD612)=0,AND(COUNTA(AB612:AD612)=3,ISNUMBER(AD612))),0,1)+IF(OR(COUNTA(AE612:AG612)=0,AND(COUNTA(AE612:AG612)=3,ISNUMBER(AG612))),0,1)+IF(OR(COUNTA(AH612:AJ612)=0,AND(COUNTA(AH612:AJ612)=3,ISNUMBER(AJ612))),0,1)+IF(OR(COUNTA(AK612:AM612)=0,AND(COUNTA(AK612:AM612)=3,ISNUMBER(AM612))),0,1)+IF(OR(COUNTA(AN612:AP612)=0,AND(COUNTA(AN612:AP612)=3,ISNUMBER(AP612))),0,1)+IF(OR(COUNTA(AQ612:AS612)=0,AND(COUNTA(AQ612:AS612)=3,ISNUMBER(AS612))),0,1)+IF(OR(COUNTA(AT612:AV612)=0,AND(COUNTA(AT612:AV612)=3,ISNUMBER(AV612))),0,1)+IF(OR(COUNTA(AW612:AY612)=0,AND(COUNTA(AW612:AY612)=3,ISNUMBER(AY612))),0,1)+IF(OR(COUNTA(AZ612:BB612)=0,AND(COUNTA(AZ612:BB612)=3,ISNUMBER(BB612))),0,1))&gt;0,"; An invoice is incomplete (needs No, Date and a number in Ex GST)","")&amp;IF((IF(T612="",0,IFERROR(--(EOMONTH(T612,0)&lt;&gt;S$5),1))+IF(W612="",0,IFERROR(--(EOMONTH(W612,0)&lt;&gt;V$5),1))+IF(Z612="",0,IFERROR(--(EOMONTH(Z612,0)&lt;&gt;Y$5),1))+IF(AC612="",0,IFERROR(--(EOMONTH(AC612,0)&lt;&gt;AB$5),1))+IF(AF612="",0,IFERROR(--(EOMONTH(AF612,0)&lt;&gt;AE$5),1))+IF(AI612="",0,IFERROR(--(EOMONTH(AI612,0)&lt;&gt;AH$5),1))+IF(AL612="",0,IFERROR(--(EOMONTH(AL612,0)&lt;&gt;AK$5),1))+IF(AO612="",0,IFERROR(--(EOMONTH(AO612,0)&lt;&gt;AN$5),1))+IF(AR612="",0,IFERROR(--(EOMONTH(AR612,0)&lt;&gt;AQ$5),1))+IF(AU612="",0,IFERROR(--(EOMONTH(AU612,0)&lt;&gt;AT$5),1))+IF(AX612="",0,IFERROR(--(EOMONTH(AX612,0)&lt;&gt;AW$5),1))+IF(BA612="",0,IFERROR(--(EOMONTH(BA612,0)&lt;&gt;AZ$5),1)))&gt;0,"; An invoice date is not in the month it is typed under",""),3,500))</f>
        <v/>
      </c>
      <c r="S612" s="12" t="n"/>
      <c r="T612" s="13" t="n"/>
      <c r="U612" s="14" t="n"/>
      <c r="V612" s="12" t="n"/>
      <c r="W612" s="13" t="n"/>
      <c r="X612" s="14" t="n"/>
      <c r="Y612" s="12" t="n"/>
      <c r="Z612" s="13" t="n"/>
      <c r="AA612" s="14" t="n"/>
      <c r="AB612" s="12" t="n"/>
      <c r="AC612" s="13" t="n"/>
      <c r="AD612" s="14" t="n"/>
      <c r="AE612" s="12" t="n"/>
      <c r="AF612" s="13" t="n"/>
      <c r="AG612" s="14" t="n"/>
      <c r="AH612" s="12" t="n"/>
      <c r="AI612" s="13" t="n"/>
      <c r="AJ612" s="14" t="n"/>
      <c r="AK612" s="12" t="n"/>
      <c r="AL612" s="13" t="n"/>
      <c r="AM612" s="14" t="n"/>
      <c r="AN612" s="12" t="n"/>
      <c r="AO612" s="13" t="n"/>
      <c r="AP612" s="14" t="n"/>
      <c r="AQ612" s="12" t="n"/>
      <c r="AR612" s="13" t="n"/>
      <c r="AS612" s="14" t="n"/>
      <c r="AT612" s="12" t="n"/>
      <c r="AU612" s="13" t="n"/>
      <c r="AV612" s="14" t="n"/>
      <c r="AW612" s="12" t="n"/>
      <c r="AX612" s="13" t="n"/>
      <c r="AY612" s="14" t="n"/>
      <c r="AZ612" s="12" t="n"/>
      <c r="BA612" s="13" t="n"/>
      <c r="BB612" s="14" t="n"/>
      <c r="BC612" s="11">
        <f>IF(O612="","",IF(J612="GST 10%",ROUND(O612*set_GSTRate,2),0))</f>
        <v/>
      </c>
      <c r="BD612" s="11">
        <f>IF(O612="","",O612+BC612)</f>
        <v/>
      </c>
      <c r="BE612" s="15">
        <f>IF(O612="","",COUNTA(S612,V612,Y612,AB612,AE612,AH612,AK612,AN612,AQ612,AT612,AW612,AZ612))</f>
        <v/>
      </c>
      <c r="BF612" s="16">
        <f>IF(COUNT(T612,W612,Z612,AC612,AF612,AI612,AL612,AO612,AR612,AU612,AX612,BA612)=0,"",MAX(T612,W612,Z612,AC612,AF612,AI612,AL612,AO612,AR612,AU612,AX612,BA612))</f>
        <v/>
      </c>
      <c r="BG612" s="10">
        <f>MID(IF(S612="","",", "&amp;S612)&amp;IF(V612="","",", "&amp;V612)&amp;IF(Y612="","",", "&amp;Y612)&amp;IF(AB612="","",", "&amp;AB612)&amp;IF(AE612="","",", "&amp;AE612)&amp;IF(AH612="","",", "&amp;AH612)&amp;IF(AK612="","",", "&amp;AK612)&amp;IF(AN612="","",", "&amp;AN612)&amp;IF(AQ612="","",", "&amp;AQ612)&amp;IF(AT612="","",", "&amp;AT612)&amp;IF(AW612="","",", "&amp;AW612)&amp;IF(AZ612="","",", "&amp;AZ612),3,500)</f>
        <v/>
      </c>
      <c r="BH612" s="12" t="n"/>
      <c r="BI612" s="15">
        <f>IFERROR(MATCH($A612,IF($B612="Onsite",tbl_Onsite[Row ID],IF($B612="Production",tbl_Production[Row ID],tbl_Consulting[Row ID])),0),"")</f>
        <v/>
      </c>
    </row>
    <row r="613">
      <c r="A613" s="10" t="inlineStr">
        <is>
          <t>PRD-0107</t>
        </is>
      </c>
      <c r="B613" s="10" t="inlineStr">
        <is>
          <t>Production</t>
        </is>
      </c>
      <c r="C613" s="10">
        <f>IF($BI613="","",IF($B613="Onsite",INDEX(tbl_Onsite[Job Number],$BI613),IF($B613="Production",INDEX(tbl_Production[Job Number],$BI613),INDEX(tbl_Consulting[Job Number],$BI613)))&amp;"")</f>
        <v/>
      </c>
      <c r="D613" s="10">
        <f>IF($BI613="","",IF($B613="Onsite",INDEX(tbl_Onsite[Client],$BI613),IF($B613="Production",INDEX(tbl_Production[Client],$BI613),INDEX(tbl_Consulting[Client],$BI613)))&amp;"")</f>
        <v/>
      </c>
      <c r="E613" s="10">
        <f>IF($C613="","",IF(COUNTIF(lst_Jobs,$C613)&gt;0,"OK","CHECK"))</f>
        <v/>
      </c>
      <c r="F613" s="10">
        <f>IF($C613="","",IFERROR(INDEX(lst_JobName,MATCH($C613,lst_Jobs,0)),""))</f>
        <v/>
      </c>
      <c r="G613" s="10">
        <f>IF($BI613="","",IF($B613="Onsite",INDEX(tbl_Onsite[Job Description],$BI613),IF($B613="Production",INDEX(tbl_Production[Job Description],$BI613),INDEX(tbl_Consulting[Job Description],$BI613)))&amp;"")</f>
        <v/>
      </c>
      <c r="H613" s="10">
        <f>IF($BI613="","",IF($B613="Onsite",INDEX(tbl_Onsite[Cost Centre],$BI613),IF($B613="Production",INDEX(tbl_Production[Cost Centre],$BI613),INDEX(tbl_Consulting[Cost Centre],$BI613)))&amp;"")</f>
        <v/>
      </c>
      <c r="I613" s="10">
        <f>IF($BI613="","",IF($B613="Onsite",INDEX(tbl_Onsite[Invoice Type],$BI613),IF($B613="Production",INDEX(tbl_Production[Invoice Type],$BI613),INDEX(tbl_Consulting[Invoice Type],$BI613)))&amp;"")</f>
        <v/>
      </c>
      <c r="J613" s="10">
        <f>IF($BI613="","",IF($B613="Onsite",INDEX(tbl_Onsite[Tax Code],$BI613),IF($B613="Production",INDEX(tbl_Production[Tax Code],$BI613),INDEX(tbl_Consulting[Tax Code],$BI613)))&amp;"")</f>
        <v/>
      </c>
      <c r="K613" s="10">
        <f>IF(H613="","",IFERROR(INDEX(lst_CCtoGL,MATCH(H613,lst_CCforGL,0)),""))</f>
        <v/>
      </c>
      <c r="L613" s="10">
        <f>IF($BI613="","",IF($B613="Onsite",INDEX(tbl_Onsite[PO / Reference],$BI613),IF($B613="Production",INDEX(tbl_Production[Current RMS No],$BI613),INDEX(tbl_Consulting[Qwilr Quote],$BI613)))&amp;"")</f>
        <v/>
      </c>
      <c r="M613" s="10">
        <f>IF($BI613="","",IF($B613="Onsite",INDEX(tbl_Onsite[Notes],$BI613),IF($B613="Production",INDEX(tbl_Production[Notes],$BI613),INDEX(tbl_Consulting[Notes],$BI613)))&amp;"")</f>
        <v/>
      </c>
      <c r="N613" s="11">
        <f>IF($BI613="","",IF(IF($B613="Onsite",INDEX(tbl_Onsite[Expected Revenue Ex GST],$BI613),IF($B613="Production",INDEX(tbl_Production[Expected Revenue Ex GST],$BI613),INDEX(tbl_Consulting[Expected Revenue Ex GST],$BI613)))="","",IF($B613="Onsite",INDEX(tbl_Onsite[Expected Revenue Ex GST],$BI613),IF($B613="Production",INDEX(tbl_Production[Expected Revenue Ex GST],$BI613),INDEX(tbl_Consulting[Expected Revenue Ex GST],$BI613)))))</f>
        <v/>
      </c>
      <c r="O613" s="11">
        <f>IF(AND($C613="",NOT(COUNTA($S613:$BB613)&gt;0)),"",SUM(U613,X613,AA613,AD613,AG613,AJ613,AM613,AP613,AS613,AV613,AY613,BB613))</f>
        <v/>
      </c>
      <c r="P613" s="11">
        <f>IF(O613="","",N(N613)-O613)</f>
        <v/>
      </c>
      <c r="Q613" s="10">
        <f>IF(O613="","",IF($C613="","Invoice on empty job row",IF(N613="",IF(ROUND(O613,2)=0,"No dept value","Invoiced - no dept value"),IF(ROUND(O613,2)=0,"Not invoiced - to invoice",IF(ROUND(P613,2)=0,"Agrees",IF(P613&gt;0,"Dept higher - to invoice","Xero higher - check dept"))))))</f>
        <v/>
      </c>
      <c r="R613" s="10">
        <f>IF(AND($C613="",NOT(COUNTA($S613:$BB613)&gt;0),$BI613&lt;&gt;""),"",MID(IF($BI613="","; Row ID not found on the department sheet - a row was deleted","")&amp;IF(AND($C613="",COUNTA($S613:$BB613)&gt;0),"; Invoice entered but the department row has no job number","")&amp;IF(E613="CHECK","; Job number not in the Xero job list","")&amp;IF(AND($C613&lt;&gt;"",COUNTIF($C$7:$C$1506,$C613)&gt;1),"; Job number on more than one row","")&amp;IF(AND($C613&lt;&gt;"",H613=""),"; Dept has not set a cost centre","")&amp;IF(AND($C613&lt;&gt;"",J613=""),"; Dept has not set a tax code","")&amp;IF(AND($C613&lt;&gt;"",N613=""),"; Dept has not entered an expected value","")&amp;IF((IF(OR(COUNTA(S613:U613)=0,AND(COUNTA(S613:U613)=3,ISNUMBER(U613))),0,1)+IF(OR(COUNTA(V613:X613)=0,AND(COUNTA(V613:X613)=3,ISNUMBER(X613))),0,1)+IF(OR(COUNTA(Y613:AA613)=0,AND(COUNTA(Y613:AA613)=3,ISNUMBER(AA613))),0,1)+IF(OR(COUNTA(AB613:AD613)=0,AND(COUNTA(AB613:AD613)=3,ISNUMBER(AD613))),0,1)+IF(OR(COUNTA(AE613:AG613)=0,AND(COUNTA(AE613:AG613)=3,ISNUMBER(AG613))),0,1)+IF(OR(COUNTA(AH613:AJ613)=0,AND(COUNTA(AH613:AJ613)=3,ISNUMBER(AJ613))),0,1)+IF(OR(COUNTA(AK613:AM613)=0,AND(COUNTA(AK613:AM613)=3,ISNUMBER(AM613))),0,1)+IF(OR(COUNTA(AN613:AP613)=0,AND(COUNTA(AN613:AP613)=3,ISNUMBER(AP613))),0,1)+IF(OR(COUNTA(AQ613:AS613)=0,AND(COUNTA(AQ613:AS613)=3,ISNUMBER(AS613))),0,1)+IF(OR(COUNTA(AT613:AV613)=0,AND(COUNTA(AT613:AV613)=3,ISNUMBER(AV613))),0,1)+IF(OR(COUNTA(AW613:AY613)=0,AND(COUNTA(AW613:AY613)=3,ISNUMBER(AY613))),0,1)+IF(OR(COUNTA(AZ613:BB613)=0,AND(COUNTA(AZ613:BB613)=3,ISNUMBER(BB613))),0,1))&gt;0,"; An invoice is incomplete (needs No, Date and a number in Ex GST)","")&amp;IF((IF(T613="",0,IFERROR(--(EOMONTH(T613,0)&lt;&gt;S$5),1))+IF(W613="",0,IFERROR(--(EOMONTH(W613,0)&lt;&gt;V$5),1))+IF(Z613="",0,IFERROR(--(EOMONTH(Z613,0)&lt;&gt;Y$5),1))+IF(AC613="",0,IFERROR(--(EOMONTH(AC613,0)&lt;&gt;AB$5),1))+IF(AF613="",0,IFERROR(--(EOMONTH(AF613,0)&lt;&gt;AE$5),1))+IF(AI613="",0,IFERROR(--(EOMONTH(AI613,0)&lt;&gt;AH$5),1))+IF(AL613="",0,IFERROR(--(EOMONTH(AL613,0)&lt;&gt;AK$5),1))+IF(AO613="",0,IFERROR(--(EOMONTH(AO613,0)&lt;&gt;AN$5),1))+IF(AR613="",0,IFERROR(--(EOMONTH(AR613,0)&lt;&gt;AQ$5),1))+IF(AU613="",0,IFERROR(--(EOMONTH(AU613,0)&lt;&gt;AT$5),1))+IF(AX613="",0,IFERROR(--(EOMONTH(AX613,0)&lt;&gt;AW$5),1))+IF(BA613="",0,IFERROR(--(EOMONTH(BA613,0)&lt;&gt;AZ$5),1)))&gt;0,"; An invoice date is not in the month it is typed under",""),3,500))</f>
        <v/>
      </c>
      <c r="S613" s="12" t="n"/>
      <c r="T613" s="13" t="n"/>
      <c r="U613" s="14" t="n"/>
      <c r="V613" s="12" t="n"/>
      <c r="W613" s="13" t="n"/>
      <c r="X613" s="14" t="n"/>
      <c r="Y613" s="12" t="n"/>
      <c r="Z613" s="13" t="n"/>
      <c r="AA613" s="14" t="n"/>
      <c r="AB613" s="12" t="n"/>
      <c r="AC613" s="13" t="n"/>
      <c r="AD613" s="14" t="n"/>
      <c r="AE613" s="12" t="n"/>
      <c r="AF613" s="13" t="n"/>
      <c r="AG613" s="14" t="n"/>
      <c r="AH613" s="12" t="n"/>
      <c r="AI613" s="13" t="n"/>
      <c r="AJ613" s="14" t="n"/>
      <c r="AK613" s="12" t="n"/>
      <c r="AL613" s="13" t="n"/>
      <c r="AM613" s="14" t="n"/>
      <c r="AN613" s="12" t="n"/>
      <c r="AO613" s="13" t="n"/>
      <c r="AP613" s="14" t="n"/>
      <c r="AQ613" s="12" t="n"/>
      <c r="AR613" s="13" t="n"/>
      <c r="AS613" s="14" t="n"/>
      <c r="AT613" s="12" t="n"/>
      <c r="AU613" s="13" t="n"/>
      <c r="AV613" s="14" t="n"/>
      <c r="AW613" s="12" t="n"/>
      <c r="AX613" s="13" t="n"/>
      <c r="AY613" s="14" t="n"/>
      <c r="AZ613" s="12" t="n"/>
      <c r="BA613" s="13" t="n"/>
      <c r="BB613" s="14" t="n"/>
      <c r="BC613" s="11">
        <f>IF(O613="","",IF(J613="GST 10%",ROUND(O613*set_GSTRate,2),0))</f>
        <v/>
      </c>
      <c r="BD613" s="11">
        <f>IF(O613="","",O613+BC613)</f>
        <v/>
      </c>
      <c r="BE613" s="15">
        <f>IF(O613="","",COUNTA(S613,V613,Y613,AB613,AE613,AH613,AK613,AN613,AQ613,AT613,AW613,AZ613))</f>
        <v/>
      </c>
      <c r="BF613" s="16">
        <f>IF(COUNT(T613,W613,Z613,AC613,AF613,AI613,AL613,AO613,AR613,AU613,AX613,BA613)=0,"",MAX(T613,W613,Z613,AC613,AF613,AI613,AL613,AO613,AR613,AU613,AX613,BA613))</f>
        <v/>
      </c>
      <c r="BG613" s="10">
        <f>MID(IF(S613="","",", "&amp;S613)&amp;IF(V613="","",", "&amp;V613)&amp;IF(Y613="","",", "&amp;Y613)&amp;IF(AB613="","",", "&amp;AB613)&amp;IF(AE613="","",", "&amp;AE613)&amp;IF(AH613="","",", "&amp;AH613)&amp;IF(AK613="","",", "&amp;AK613)&amp;IF(AN613="","",", "&amp;AN613)&amp;IF(AQ613="","",", "&amp;AQ613)&amp;IF(AT613="","",", "&amp;AT613)&amp;IF(AW613="","",", "&amp;AW613)&amp;IF(AZ613="","",", "&amp;AZ613),3,500)</f>
        <v/>
      </c>
      <c r="BH613" s="12" t="n"/>
      <c r="BI613" s="15">
        <f>IFERROR(MATCH($A613,IF($B613="Onsite",tbl_Onsite[Row ID],IF($B613="Production",tbl_Production[Row ID],tbl_Consulting[Row ID])),0),"")</f>
        <v/>
      </c>
    </row>
    <row r="614">
      <c r="A614" s="10" t="inlineStr">
        <is>
          <t>PRD-0108</t>
        </is>
      </c>
      <c r="B614" s="10" t="inlineStr">
        <is>
          <t>Production</t>
        </is>
      </c>
      <c r="C614" s="10">
        <f>IF($BI614="","",IF($B614="Onsite",INDEX(tbl_Onsite[Job Number],$BI614),IF($B614="Production",INDEX(tbl_Production[Job Number],$BI614),INDEX(tbl_Consulting[Job Number],$BI614)))&amp;"")</f>
        <v/>
      </c>
      <c r="D614" s="10">
        <f>IF($BI614="","",IF($B614="Onsite",INDEX(tbl_Onsite[Client],$BI614),IF($B614="Production",INDEX(tbl_Production[Client],$BI614),INDEX(tbl_Consulting[Client],$BI614)))&amp;"")</f>
        <v/>
      </c>
      <c r="E614" s="10">
        <f>IF($C614="","",IF(COUNTIF(lst_Jobs,$C614)&gt;0,"OK","CHECK"))</f>
        <v/>
      </c>
      <c r="F614" s="10">
        <f>IF($C614="","",IFERROR(INDEX(lst_JobName,MATCH($C614,lst_Jobs,0)),""))</f>
        <v/>
      </c>
      <c r="G614" s="10">
        <f>IF($BI614="","",IF($B614="Onsite",INDEX(tbl_Onsite[Job Description],$BI614),IF($B614="Production",INDEX(tbl_Production[Job Description],$BI614),INDEX(tbl_Consulting[Job Description],$BI614)))&amp;"")</f>
        <v/>
      </c>
      <c r="H614" s="10">
        <f>IF($BI614="","",IF($B614="Onsite",INDEX(tbl_Onsite[Cost Centre],$BI614),IF($B614="Production",INDEX(tbl_Production[Cost Centre],$BI614),INDEX(tbl_Consulting[Cost Centre],$BI614)))&amp;"")</f>
        <v/>
      </c>
      <c r="I614" s="10">
        <f>IF($BI614="","",IF($B614="Onsite",INDEX(tbl_Onsite[Invoice Type],$BI614),IF($B614="Production",INDEX(tbl_Production[Invoice Type],$BI614),INDEX(tbl_Consulting[Invoice Type],$BI614)))&amp;"")</f>
        <v/>
      </c>
      <c r="J614" s="10">
        <f>IF($BI614="","",IF($B614="Onsite",INDEX(tbl_Onsite[Tax Code],$BI614),IF($B614="Production",INDEX(tbl_Production[Tax Code],$BI614),INDEX(tbl_Consulting[Tax Code],$BI614)))&amp;"")</f>
        <v/>
      </c>
      <c r="K614" s="10">
        <f>IF(H614="","",IFERROR(INDEX(lst_CCtoGL,MATCH(H614,lst_CCforGL,0)),""))</f>
        <v/>
      </c>
      <c r="L614" s="10">
        <f>IF($BI614="","",IF($B614="Onsite",INDEX(tbl_Onsite[PO / Reference],$BI614),IF($B614="Production",INDEX(tbl_Production[Current RMS No],$BI614),INDEX(tbl_Consulting[Qwilr Quote],$BI614)))&amp;"")</f>
        <v/>
      </c>
      <c r="M614" s="10">
        <f>IF($BI614="","",IF($B614="Onsite",INDEX(tbl_Onsite[Notes],$BI614),IF($B614="Production",INDEX(tbl_Production[Notes],$BI614),INDEX(tbl_Consulting[Notes],$BI614)))&amp;"")</f>
        <v/>
      </c>
      <c r="N614" s="11">
        <f>IF($BI614="","",IF(IF($B614="Onsite",INDEX(tbl_Onsite[Expected Revenue Ex GST],$BI614),IF($B614="Production",INDEX(tbl_Production[Expected Revenue Ex GST],$BI614),INDEX(tbl_Consulting[Expected Revenue Ex GST],$BI614)))="","",IF($B614="Onsite",INDEX(tbl_Onsite[Expected Revenue Ex GST],$BI614),IF($B614="Production",INDEX(tbl_Production[Expected Revenue Ex GST],$BI614),INDEX(tbl_Consulting[Expected Revenue Ex GST],$BI614)))))</f>
        <v/>
      </c>
      <c r="O614" s="11">
        <f>IF(AND($C614="",NOT(COUNTA($S614:$BB614)&gt;0)),"",SUM(U614,X614,AA614,AD614,AG614,AJ614,AM614,AP614,AS614,AV614,AY614,BB614))</f>
        <v/>
      </c>
      <c r="P614" s="11">
        <f>IF(O614="","",N(N614)-O614)</f>
        <v/>
      </c>
      <c r="Q614" s="10">
        <f>IF(O614="","",IF($C614="","Invoice on empty job row",IF(N614="",IF(ROUND(O614,2)=0,"No dept value","Invoiced - no dept value"),IF(ROUND(O614,2)=0,"Not invoiced - to invoice",IF(ROUND(P614,2)=0,"Agrees",IF(P614&gt;0,"Dept higher - to invoice","Xero higher - check dept"))))))</f>
        <v/>
      </c>
      <c r="R614" s="10">
        <f>IF(AND($C614="",NOT(COUNTA($S614:$BB614)&gt;0),$BI614&lt;&gt;""),"",MID(IF($BI614="","; Row ID not found on the department sheet - a row was deleted","")&amp;IF(AND($C614="",COUNTA($S614:$BB614)&gt;0),"; Invoice entered but the department row has no job number","")&amp;IF(E614="CHECK","; Job number not in the Xero job list","")&amp;IF(AND($C614&lt;&gt;"",COUNTIF($C$7:$C$1506,$C614)&gt;1),"; Job number on more than one row","")&amp;IF(AND($C614&lt;&gt;"",H614=""),"; Dept has not set a cost centre","")&amp;IF(AND($C614&lt;&gt;"",J614=""),"; Dept has not set a tax code","")&amp;IF(AND($C614&lt;&gt;"",N614=""),"; Dept has not entered an expected value","")&amp;IF((IF(OR(COUNTA(S614:U614)=0,AND(COUNTA(S614:U614)=3,ISNUMBER(U614))),0,1)+IF(OR(COUNTA(V614:X614)=0,AND(COUNTA(V614:X614)=3,ISNUMBER(X614))),0,1)+IF(OR(COUNTA(Y614:AA614)=0,AND(COUNTA(Y614:AA614)=3,ISNUMBER(AA614))),0,1)+IF(OR(COUNTA(AB614:AD614)=0,AND(COUNTA(AB614:AD614)=3,ISNUMBER(AD614))),0,1)+IF(OR(COUNTA(AE614:AG614)=0,AND(COUNTA(AE614:AG614)=3,ISNUMBER(AG614))),0,1)+IF(OR(COUNTA(AH614:AJ614)=0,AND(COUNTA(AH614:AJ614)=3,ISNUMBER(AJ614))),0,1)+IF(OR(COUNTA(AK614:AM614)=0,AND(COUNTA(AK614:AM614)=3,ISNUMBER(AM614))),0,1)+IF(OR(COUNTA(AN614:AP614)=0,AND(COUNTA(AN614:AP614)=3,ISNUMBER(AP614))),0,1)+IF(OR(COUNTA(AQ614:AS614)=0,AND(COUNTA(AQ614:AS614)=3,ISNUMBER(AS614))),0,1)+IF(OR(COUNTA(AT614:AV614)=0,AND(COUNTA(AT614:AV614)=3,ISNUMBER(AV614))),0,1)+IF(OR(COUNTA(AW614:AY614)=0,AND(COUNTA(AW614:AY614)=3,ISNUMBER(AY614))),0,1)+IF(OR(COUNTA(AZ614:BB614)=0,AND(COUNTA(AZ614:BB614)=3,ISNUMBER(BB614))),0,1))&gt;0,"; An invoice is incomplete (needs No, Date and a number in Ex GST)","")&amp;IF((IF(T614="",0,IFERROR(--(EOMONTH(T614,0)&lt;&gt;S$5),1))+IF(W614="",0,IFERROR(--(EOMONTH(W614,0)&lt;&gt;V$5),1))+IF(Z614="",0,IFERROR(--(EOMONTH(Z614,0)&lt;&gt;Y$5),1))+IF(AC614="",0,IFERROR(--(EOMONTH(AC614,0)&lt;&gt;AB$5),1))+IF(AF614="",0,IFERROR(--(EOMONTH(AF614,0)&lt;&gt;AE$5),1))+IF(AI614="",0,IFERROR(--(EOMONTH(AI614,0)&lt;&gt;AH$5),1))+IF(AL614="",0,IFERROR(--(EOMONTH(AL614,0)&lt;&gt;AK$5),1))+IF(AO614="",0,IFERROR(--(EOMONTH(AO614,0)&lt;&gt;AN$5),1))+IF(AR614="",0,IFERROR(--(EOMONTH(AR614,0)&lt;&gt;AQ$5),1))+IF(AU614="",0,IFERROR(--(EOMONTH(AU614,0)&lt;&gt;AT$5),1))+IF(AX614="",0,IFERROR(--(EOMONTH(AX614,0)&lt;&gt;AW$5),1))+IF(BA614="",0,IFERROR(--(EOMONTH(BA614,0)&lt;&gt;AZ$5),1)))&gt;0,"; An invoice date is not in the month it is typed under",""),3,500))</f>
        <v/>
      </c>
      <c r="S614" s="12" t="n"/>
      <c r="T614" s="13" t="n"/>
      <c r="U614" s="14" t="n"/>
      <c r="V614" s="12" t="n"/>
      <c r="W614" s="13" t="n"/>
      <c r="X614" s="14" t="n"/>
      <c r="Y614" s="12" t="n"/>
      <c r="Z614" s="13" t="n"/>
      <c r="AA614" s="14" t="n"/>
      <c r="AB614" s="12" t="n"/>
      <c r="AC614" s="13" t="n"/>
      <c r="AD614" s="14" t="n"/>
      <c r="AE614" s="12" t="n"/>
      <c r="AF614" s="13" t="n"/>
      <c r="AG614" s="14" t="n"/>
      <c r="AH614" s="12" t="n"/>
      <c r="AI614" s="13" t="n"/>
      <c r="AJ614" s="14" t="n"/>
      <c r="AK614" s="12" t="n"/>
      <c r="AL614" s="13" t="n"/>
      <c r="AM614" s="14" t="n"/>
      <c r="AN614" s="12" t="n"/>
      <c r="AO614" s="13" t="n"/>
      <c r="AP614" s="14" t="n"/>
      <c r="AQ614" s="12" t="n"/>
      <c r="AR614" s="13" t="n"/>
      <c r="AS614" s="14" t="n"/>
      <c r="AT614" s="12" t="n"/>
      <c r="AU614" s="13" t="n"/>
      <c r="AV614" s="14" t="n"/>
      <c r="AW614" s="12" t="n"/>
      <c r="AX614" s="13" t="n"/>
      <c r="AY614" s="14" t="n"/>
      <c r="AZ614" s="12" t="n"/>
      <c r="BA614" s="13" t="n"/>
      <c r="BB614" s="14" t="n"/>
      <c r="BC614" s="11">
        <f>IF(O614="","",IF(J614="GST 10%",ROUND(O614*set_GSTRate,2),0))</f>
        <v/>
      </c>
      <c r="BD614" s="11">
        <f>IF(O614="","",O614+BC614)</f>
        <v/>
      </c>
      <c r="BE614" s="15">
        <f>IF(O614="","",COUNTA(S614,V614,Y614,AB614,AE614,AH614,AK614,AN614,AQ614,AT614,AW614,AZ614))</f>
        <v/>
      </c>
      <c r="BF614" s="16">
        <f>IF(COUNT(T614,W614,Z614,AC614,AF614,AI614,AL614,AO614,AR614,AU614,AX614,BA614)=0,"",MAX(T614,W614,Z614,AC614,AF614,AI614,AL614,AO614,AR614,AU614,AX614,BA614))</f>
        <v/>
      </c>
      <c r="BG614" s="10">
        <f>MID(IF(S614="","",", "&amp;S614)&amp;IF(V614="","",", "&amp;V614)&amp;IF(Y614="","",", "&amp;Y614)&amp;IF(AB614="","",", "&amp;AB614)&amp;IF(AE614="","",", "&amp;AE614)&amp;IF(AH614="","",", "&amp;AH614)&amp;IF(AK614="","",", "&amp;AK614)&amp;IF(AN614="","",", "&amp;AN614)&amp;IF(AQ614="","",", "&amp;AQ614)&amp;IF(AT614="","",", "&amp;AT614)&amp;IF(AW614="","",", "&amp;AW614)&amp;IF(AZ614="","",", "&amp;AZ614),3,500)</f>
        <v/>
      </c>
      <c r="BH614" s="12" t="n"/>
      <c r="BI614" s="15">
        <f>IFERROR(MATCH($A614,IF($B614="Onsite",tbl_Onsite[Row ID],IF($B614="Production",tbl_Production[Row ID],tbl_Consulting[Row ID])),0),"")</f>
        <v/>
      </c>
    </row>
    <row r="615">
      <c r="A615" s="10" t="inlineStr">
        <is>
          <t>PRD-0109</t>
        </is>
      </c>
      <c r="B615" s="10" t="inlineStr">
        <is>
          <t>Production</t>
        </is>
      </c>
      <c r="C615" s="10">
        <f>IF($BI615="","",IF($B615="Onsite",INDEX(tbl_Onsite[Job Number],$BI615),IF($B615="Production",INDEX(tbl_Production[Job Number],$BI615),INDEX(tbl_Consulting[Job Number],$BI615)))&amp;"")</f>
        <v/>
      </c>
      <c r="D615" s="10">
        <f>IF($BI615="","",IF($B615="Onsite",INDEX(tbl_Onsite[Client],$BI615),IF($B615="Production",INDEX(tbl_Production[Client],$BI615),INDEX(tbl_Consulting[Client],$BI615)))&amp;"")</f>
        <v/>
      </c>
      <c r="E615" s="10">
        <f>IF($C615="","",IF(COUNTIF(lst_Jobs,$C615)&gt;0,"OK","CHECK"))</f>
        <v/>
      </c>
      <c r="F615" s="10">
        <f>IF($C615="","",IFERROR(INDEX(lst_JobName,MATCH($C615,lst_Jobs,0)),""))</f>
        <v/>
      </c>
      <c r="G615" s="10">
        <f>IF($BI615="","",IF($B615="Onsite",INDEX(tbl_Onsite[Job Description],$BI615),IF($B615="Production",INDEX(tbl_Production[Job Description],$BI615),INDEX(tbl_Consulting[Job Description],$BI615)))&amp;"")</f>
        <v/>
      </c>
      <c r="H615" s="10">
        <f>IF($BI615="","",IF($B615="Onsite",INDEX(tbl_Onsite[Cost Centre],$BI615),IF($B615="Production",INDEX(tbl_Production[Cost Centre],$BI615),INDEX(tbl_Consulting[Cost Centre],$BI615)))&amp;"")</f>
        <v/>
      </c>
      <c r="I615" s="10">
        <f>IF($BI615="","",IF($B615="Onsite",INDEX(tbl_Onsite[Invoice Type],$BI615),IF($B615="Production",INDEX(tbl_Production[Invoice Type],$BI615),INDEX(tbl_Consulting[Invoice Type],$BI615)))&amp;"")</f>
        <v/>
      </c>
      <c r="J615" s="10">
        <f>IF($BI615="","",IF($B615="Onsite",INDEX(tbl_Onsite[Tax Code],$BI615),IF($B615="Production",INDEX(tbl_Production[Tax Code],$BI615),INDEX(tbl_Consulting[Tax Code],$BI615)))&amp;"")</f>
        <v/>
      </c>
      <c r="K615" s="10">
        <f>IF(H615="","",IFERROR(INDEX(lst_CCtoGL,MATCH(H615,lst_CCforGL,0)),""))</f>
        <v/>
      </c>
      <c r="L615" s="10">
        <f>IF($BI615="","",IF($B615="Onsite",INDEX(tbl_Onsite[PO / Reference],$BI615),IF($B615="Production",INDEX(tbl_Production[Current RMS No],$BI615),INDEX(tbl_Consulting[Qwilr Quote],$BI615)))&amp;"")</f>
        <v/>
      </c>
      <c r="M615" s="10">
        <f>IF($BI615="","",IF($B615="Onsite",INDEX(tbl_Onsite[Notes],$BI615),IF($B615="Production",INDEX(tbl_Production[Notes],$BI615),INDEX(tbl_Consulting[Notes],$BI615)))&amp;"")</f>
        <v/>
      </c>
      <c r="N615" s="11">
        <f>IF($BI615="","",IF(IF($B615="Onsite",INDEX(tbl_Onsite[Expected Revenue Ex GST],$BI615),IF($B615="Production",INDEX(tbl_Production[Expected Revenue Ex GST],$BI615),INDEX(tbl_Consulting[Expected Revenue Ex GST],$BI615)))="","",IF($B615="Onsite",INDEX(tbl_Onsite[Expected Revenue Ex GST],$BI615),IF($B615="Production",INDEX(tbl_Production[Expected Revenue Ex GST],$BI615),INDEX(tbl_Consulting[Expected Revenue Ex GST],$BI615)))))</f>
        <v/>
      </c>
      <c r="O615" s="11">
        <f>IF(AND($C615="",NOT(COUNTA($S615:$BB615)&gt;0)),"",SUM(U615,X615,AA615,AD615,AG615,AJ615,AM615,AP615,AS615,AV615,AY615,BB615))</f>
        <v/>
      </c>
      <c r="P615" s="11">
        <f>IF(O615="","",N(N615)-O615)</f>
        <v/>
      </c>
      <c r="Q615" s="10">
        <f>IF(O615="","",IF($C615="","Invoice on empty job row",IF(N615="",IF(ROUND(O615,2)=0,"No dept value","Invoiced - no dept value"),IF(ROUND(O615,2)=0,"Not invoiced - to invoice",IF(ROUND(P615,2)=0,"Agrees",IF(P615&gt;0,"Dept higher - to invoice","Xero higher - check dept"))))))</f>
        <v/>
      </c>
      <c r="R615" s="10">
        <f>IF(AND($C615="",NOT(COUNTA($S615:$BB615)&gt;0),$BI615&lt;&gt;""),"",MID(IF($BI615="","; Row ID not found on the department sheet - a row was deleted","")&amp;IF(AND($C615="",COUNTA($S615:$BB615)&gt;0),"; Invoice entered but the department row has no job number","")&amp;IF(E615="CHECK","; Job number not in the Xero job list","")&amp;IF(AND($C615&lt;&gt;"",COUNTIF($C$7:$C$1506,$C615)&gt;1),"; Job number on more than one row","")&amp;IF(AND($C615&lt;&gt;"",H615=""),"; Dept has not set a cost centre","")&amp;IF(AND($C615&lt;&gt;"",J615=""),"; Dept has not set a tax code","")&amp;IF(AND($C615&lt;&gt;"",N615=""),"; Dept has not entered an expected value","")&amp;IF((IF(OR(COUNTA(S615:U615)=0,AND(COUNTA(S615:U615)=3,ISNUMBER(U615))),0,1)+IF(OR(COUNTA(V615:X615)=0,AND(COUNTA(V615:X615)=3,ISNUMBER(X615))),0,1)+IF(OR(COUNTA(Y615:AA615)=0,AND(COUNTA(Y615:AA615)=3,ISNUMBER(AA615))),0,1)+IF(OR(COUNTA(AB615:AD615)=0,AND(COUNTA(AB615:AD615)=3,ISNUMBER(AD615))),0,1)+IF(OR(COUNTA(AE615:AG615)=0,AND(COUNTA(AE615:AG615)=3,ISNUMBER(AG615))),0,1)+IF(OR(COUNTA(AH615:AJ615)=0,AND(COUNTA(AH615:AJ615)=3,ISNUMBER(AJ615))),0,1)+IF(OR(COUNTA(AK615:AM615)=0,AND(COUNTA(AK615:AM615)=3,ISNUMBER(AM615))),0,1)+IF(OR(COUNTA(AN615:AP615)=0,AND(COUNTA(AN615:AP615)=3,ISNUMBER(AP615))),0,1)+IF(OR(COUNTA(AQ615:AS615)=0,AND(COUNTA(AQ615:AS615)=3,ISNUMBER(AS615))),0,1)+IF(OR(COUNTA(AT615:AV615)=0,AND(COUNTA(AT615:AV615)=3,ISNUMBER(AV615))),0,1)+IF(OR(COUNTA(AW615:AY615)=0,AND(COUNTA(AW615:AY615)=3,ISNUMBER(AY615))),0,1)+IF(OR(COUNTA(AZ615:BB615)=0,AND(COUNTA(AZ615:BB615)=3,ISNUMBER(BB615))),0,1))&gt;0,"; An invoice is incomplete (needs No, Date and a number in Ex GST)","")&amp;IF((IF(T615="",0,IFERROR(--(EOMONTH(T615,0)&lt;&gt;S$5),1))+IF(W615="",0,IFERROR(--(EOMONTH(W615,0)&lt;&gt;V$5),1))+IF(Z615="",0,IFERROR(--(EOMONTH(Z615,0)&lt;&gt;Y$5),1))+IF(AC615="",0,IFERROR(--(EOMONTH(AC615,0)&lt;&gt;AB$5),1))+IF(AF615="",0,IFERROR(--(EOMONTH(AF615,0)&lt;&gt;AE$5),1))+IF(AI615="",0,IFERROR(--(EOMONTH(AI615,0)&lt;&gt;AH$5),1))+IF(AL615="",0,IFERROR(--(EOMONTH(AL615,0)&lt;&gt;AK$5),1))+IF(AO615="",0,IFERROR(--(EOMONTH(AO615,0)&lt;&gt;AN$5),1))+IF(AR615="",0,IFERROR(--(EOMONTH(AR615,0)&lt;&gt;AQ$5),1))+IF(AU615="",0,IFERROR(--(EOMONTH(AU615,0)&lt;&gt;AT$5),1))+IF(AX615="",0,IFERROR(--(EOMONTH(AX615,0)&lt;&gt;AW$5),1))+IF(BA615="",0,IFERROR(--(EOMONTH(BA615,0)&lt;&gt;AZ$5),1)))&gt;0,"; An invoice date is not in the month it is typed under",""),3,500))</f>
        <v/>
      </c>
      <c r="S615" s="12" t="n"/>
      <c r="T615" s="13" t="n"/>
      <c r="U615" s="14" t="n"/>
      <c r="V615" s="12" t="n"/>
      <c r="W615" s="13" t="n"/>
      <c r="X615" s="14" t="n"/>
      <c r="Y615" s="12" t="n"/>
      <c r="Z615" s="13" t="n"/>
      <c r="AA615" s="14" t="n"/>
      <c r="AB615" s="12" t="n"/>
      <c r="AC615" s="13" t="n"/>
      <c r="AD615" s="14" t="n"/>
      <c r="AE615" s="12" t="n"/>
      <c r="AF615" s="13" t="n"/>
      <c r="AG615" s="14" t="n"/>
      <c r="AH615" s="12" t="n"/>
      <c r="AI615" s="13" t="n"/>
      <c r="AJ615" s="14" t="n"/>
      <c r="AK615" s="12" t="n"/>
      <c r="AL615" s="13" t="n"/>
      <c r="AM615" s="14" t="n"/>
      <c r="AN615" s="12" t="n"/>
      <c r="AO615" s="13" t="n"/>
      <c r="AP615" s="14" t="n"/>
      <c r="AQ615" s="12" t="n"/>
      <c r="AR615" s="13" t="n"/>
      <c r="AS615" s="14" t="n"/>
      <c r="AT615" s="12" t="n"/>
      <c r="AU615" s="13" t="n"/>
      <c r="AV615" s="14" t="n"/>
      <c r="AW615" s="12" t="n"/>
      <c r="AX615" s="13" t="n"/>
      <c r="AY615" s="14" t="n"/>
      <c r="AZ615" s="12" t="n"/>
      <c r="BA615" s="13" t="n"/>
      <c r="BB615" s="14" t="n"/>
      <c r="BC615" s="11">
        <f>IF(O615="","",IF(J615="GST 10%",ROUND(O615*set_GSTRate,2),0))</f>
        <v/>
      </c>
      <c r="BD615" s="11">
        <f>IF(O615="","",O615+BC615)</f>
        <v/>
      </c>
      <c r="BE615" s="15">
        <f>IF(O615="","",COUNTA(S615,V615,Y615,AB615,AE615,AH615,AK615,AN615,AQ615,AT615,AW615,AZ615))</f>
        <v/>
      </c>
      <c r="BF615" s="16">
        <f>IF(COUNT(T615,W615,Z615,AC615,AF615,AI615,AL615,AO615,AR615,AU615,AX615,BA615)=0,"",MAX(T615,W615,Z615,AC615,AF615,AI615,AL615,AO615,AR615,AU615,AX615,BA615))</f>
        <v/>
      </c>
      <c r="BG615" s="10">
        <f>MID(IF(S615="","",", "&amp;S615)&amp;IF(V615="","",", "&amp;V615)&amp;IF(Y615="","",", "&amp;Y615)&amp;IF(AB615="","",", "&amp;AB615)&amp;IF(AE615="","",", "&amp;AE615)&amp;IF(AH615="","",", "&amp;AH615)&amp;IF(AK615="","",", "&amp;AK615)&amp;IF(AN615="","",", "&amp;AN615)&amp;IF(AQ615="","",", "&amp;AQ615)&amp;IF(AT615="","",", "&amp;AT615)&amp;IF(AW615="","",", "&amp;AW615)&amp;IF(AZ615="","",", "&amp;AZ615),3,500)</f>
        <v/>
      </c>
      <c r="BH615" s="12" t="n"/>
      <c r="BI615" s="15">
        <f>IFERROR(MATCH($A615,IF($B615="Onsite",tbl_Onsite[Row ID],IF($B615="Production",tbl_Production[Row ID],tbl_Consulting[Row ID])),0),"")</f>
        <v/>
      </c>
    </row>
    <row r="616">
      <c r="A616" s="10" t="inlineStr">
        <is>
          <t>PRD-0110</t>
        </is>
      </c>
      <c r="B616" s="10" t="inlineStr">
        <is>
          <t>Production</t>
        </is>
      </c>
      <c r="C616" s="10">
        <f>IF($BI616="","",IF($B616="Onsite",INDEX(tbl_Onsite[Job Number],$BI616),IF($B616="Production",INDEX(tbl_Production[Job Number],$BI616),INDEX(tbl_Consulting[Job Number],$BI616)))&amp;"")</f>
        <v/>
      </c>
      <c r="D616" s="10">
        <f>IF($BI616="","",IF($B616="Onsite",INDEX(tbl_Onsite[Client],$BI616),IF($B616="Production",INDEX(tbl_Production[Client],$BI616),INDEX(tbl_Consulting[Client],$BI616)))&amp;"")</f>
        <v/>
      </c>
      <c r="E616" s="10">
        <f>IF($C616="","",IF(COUNTIF(lst_Jobs,$C616)&gt;0,"OK","CHECK"))</f>
        <v/>
      </c>
      <c r="F616" s="10">
        <f>IF($C616="","",IFERROR(INDEX(lst_JobName,MATCH($C616,lst_Jobs,0)),""))</f>
        <v/>
      </c>
      <c r="G616" s="10">
        <f>IF($BI616="","",IF($B616="Onsite",INDEX(tbl_Onsite[Job Description],$BI616),IF($B616="Production",INDEX(tbl_Production[Job Description],$BI616),INDEX(tbl_Consulting[Job Description],$BI616)))&amp;"")</f>
        <v/>
      </c>
      <c r="H616" s="10">
        <f>IF($BI616="","",IF($B616="Onsite",INDEX(tbl_Onsite[Cost Centre],$BI616),IF($B616="Production",INDEX(tbl_Production[Cost Centre],$BI616),INDEX(tbl_Consulting[Cost Centre],$BI616)))&amp;"")</f>
        <v/>
      </c>
      <c r="I616" s="10">
        <f>IF($BI616="","",IF($B616="Onsite",INDEX(tbl_Onsite[Invoice Type],$BI616),IF($B616="Production",INDEX(tbl_Production[Invoice Type],$BI616),INDEX(tbl_Consulting[Invoice Type],$BI616)))&amp;"")</f>
        <v/>
      </c>
      <c r="J616" s="10">
        <f>IF($BI616="","",IF($B616="Onsite",INDEX(tbl_Onsite[Tax Code],$BI616),IF($B616="Production",INDEX(tbl_Production[Tax Code],$BI616),INDEX(tbl_Consulting[Tax Code],$BI616)))&amp;"")</f>
        <v/>
      </c>
      <c r="K616" s="10">
        <f>IF(H616="","",IFERROR(INDEX(lst_CCtoGL,MATCH(H616,lst_CCforGL,0)),""))</f>
        <v/>
      </c>
      <c r="L616" s="10">
        <f>IF($BI616="","",IF($B616="Onsite",INDEX(tbl_Onsite[PO / Reference],$BI616),IF($B616="Production",INDEX(tbl_Production[Current RMS No],$BI616),INDEX(tbl_Consulting[Qwilr Quote],$BI616)))&amp;"")</f>
        <v/>
      </c>
      <c r="M616" s="10">
        <f>IF($BI616="","",IF($B616="Onsite",INDEX(tbl_Onsite[Notes],$BI616),IF($B616="Production",INDEX(tbl_Production[Notes],$BI616),INDEX(tbl_Consulting[Notes],$BI616)))&amp;"")</f>
        <v/>
      </c>
      <c r="N616" s="11">
        <f>IF($BI616="","",IF(IF($B616="Onsite",INDEX(tbl_Onsite[Expected Revenue Ex GST],$BI616),IF($B616="Production",INDEX(tbl_Production[Expected Revenue Ex GST],$BI616),INDEX(tbl_Consulting[Expected Revenue Ex GST],$BI616)))="","",IF($B616="Onsite",INDEX(tbl_Onsite[Expected Revenue Ex GST],$BI616),IF($B616="Production",INDEX(tbl_Production[Expected Revenue Ex GST],$BI616),INDEX(tbl_Consulting[Expected Revenue Ex GST],$BI616)))))</f>
        <v/>
      </c>
      <c r="O616" s="11">
        <f>IF(AND($C616="",NOT(COUNTA($S616:$BB616)&gt;0)),"",SUM(U616,X616,AA616,AD616,AG616,AJ616,AM616,AP616,AS616,AV616,AY616,BB616))</f>
        <v/>
      </c>
      <c r="P616" s="11">
        <f>IF(O616="","",N(N616)-O616)</f>
        <v/>
      </c>
      <c r="Q616" s="10">
        <f>IF(O616="","",IF($C616="","Invoice on empty job row",IF(N616="",IF(ROUND(O616,2)=0,"No dept value","Invoiced - no dept value"),IF(ROUND(O616,2)=0,"Not invoiced - to invoice",IF(ROUND(P616,2)=0,"Agrees",IF(P616&gt;0,"Dept higher - to invoice","Xero higher - check dept"))))))</f>
        <v/>
      </c>
      <c r="R616" s="10">
        <f>IF(AND($C616="",NOT(COUNTA($S616:$BB616)&gt;0),$BI616&lt;&gt;""),"",MID(IF($BI616="","; Row ID not found on the department sheet - a row was deleted","")&amp;IF(AND($C616="",COUNTA($S616:$BB616)&gt;0),"; Invoice entered but the department row has no job number","")&amp;IF(E616="CHECK","; Job number not in the Xero job list","")&amp;IF(AND($C616&lt;&gt;"",COUNTIF($C$7:$C$1506,$C616)&gt;1),"; Job number on more than one row","")&amp;IF(AND($C616&lt;&gt;"",H616=""),"; Dept has not set a cost centre","")&amp;IF(AND($C616&lt;&gt;"",J616=""),"; Dept has not set a tax code","")&amp;IF(AND($C616&lt;&gt;"",N616=""),"; Dept has not entered an expected value","")&amp;IF((IF(OR(COUNTA(S616:U616)=0,AND(COUNTA(S616:U616)=3,ISNUMBER(U616))),0,1)+IF(OR(COUNTA(V616:X616)=0,AND(COUNTA(V616:X616)=3,ISNUMBER(X616))),0,1)+IF(OR(COUNTA(Y616:AA616)=0,AND(COUNTA(Y616:AA616)=3,ISNUMBER(AA616))),0,1)+IF(OR(COUNTA(AB616:AD616)=0,AND(COUNTA(AB616:AD616)=3,ISNUMBER(AD616))),0,1)+IF(OR(COUNTA(AE616:AG616)=0,AND(COUNTA(AE616:AG616)=3,ISNUMBER(AG616))),0,1)+IF(OR(COUNTA(AH616:AJ616)=0,AND(COUNTA(AH616:AJ616)=3,ISNUMBER(AJ616))),0,1)+IF(OR(COUNTA(AK616:AM616)=0,AND(COUNTA(AK616:AM616)=3,ISNUMBER(AM616))),0,1)+IF(OR(COUNTA(AN616:AP616)=0,AND(COUNTA(AN616:AP616)=3,ISNUMBER(AP616))),0,1)+IF(OR(COUNTA(AQ616:AS616)=0,AND(COUNTA(AQ616:AS616)=3,ISNUMBER(AS616))),0,1)+IF(OR(COUNTA(AT616:AV616)=0,AND(COUNTA(AT616:AV616)=3,ISNUMBER(AV616))),0,1)+IF(OR(COUNTA(AW616:AY616)=0,AND(COUNTA(AW616:AY616)=3,ISNUMBER(AY616))),0,1)+IF(OR(COUNTA(AZ616:BB616)=0,AND(COUNTA(AZ616:BB616)=3,ISNUMBER(BB616))),0,1))&gt;0,"; An invoice is incomplete (needs No, Date and a number in Ex GST)","")&amp;IF((IF(T616="",0,IFERROR(--(EOMONTH(T616,0)&lt;&gt;S$5),1))+IF(W616="",0,IFERROR(--(EOMONTH(W616,0)&lt;&gt;V$5),1))+IF(Z616="",0,IFERROR(--(EOMONTH(Z616,0)&lt;&gt;Y$5),1))+IF(AC616="",0,IFERROR(--(EOMONTH(AC616,0)&lt;&gt;AB$5),1))+IF(AF616="",0,IFERROR(--(EOMONTH(AF616,0)&lt;&gt;AE$5),1))+IF(AI616="",0,IFERROR(--(EOMONTH(AI616,0)&lt;&gt;AH$5),1))+IF(AL616="",0,IFERROR(--(EOMONTH(AL616,0)&lt;&gt;AK$5),1))+IF(AO616="",0,IFERROR(--(EOMONTH(AO616,0)&lt;&gt;AN$5),1))+IF(AR616="",0,IFERROR(--(EOMONTH(AR616,0)&lt;&gt;AQ$5),1))+IF(AU616="",0,IFERROR(--(EOMONTH(AU616,0)&lt;&gt;AT$5),1))+IF(AX616="",0,IFERROR(--(EOMONTH(AX616,0)&lt;&gt;AW$5),1))+IF(BA616="",0,IFERROR(--(EOMONTH(BA616,0)&lt;&gt;AZ$5),1)))&gt;0,"; An invoice date is not in the month it is typed under",""),3,500))</f>
        <v/>
      </c>
      <c r="S616" s="12" t="n"/>
      <c r="T616" s="13" t="n"/>
      <c r="U616" s="14" t="n"/>
      <c r="V616" s="12" t="n"/>
      <c r="W616" s="13" t="n"/>
      <c r="X616" s="14" t="n"/>
      <c r="Y616" s="12" t="n"/>
      <c r="Z616" s="13" t="n"/>
      <c r="AA616" s="14" t="n"/>
      <c r="AB616" s="12" t="n"/>
      <c r="AC616" s="13" t="n"/>
      <c r="AD616" s="14" t="n"/>
      <c r="AE616" s="12" t="n"/>
      <c r="AF616" s="13" t="n"/>
      <c r="AG616" s="14" t="n"/>
      <c r="AH616" s="12" t="n"/>
      <c r="AI616" s="13" t="n"/>
      <c r="AJ616" s="14" t="n"/>
      <c r="AK616" s="12" t="n"/>
      <c r="AL616" s="13" t="n"/>
      <c r="AM616" s="14" t="n"/>
      <c r="AN616" s="12" t="n"/>
      <c r="AO616" s="13" t="n"/>
      <c r="AP616" s="14" t="n"/>
      <c r="AQ616" s="12" t="n"/>
      <c r="AR616" s="13" t="n"/>
      <c r="AS616" s="14" t="n"/>
      <c r="AT616" s="12" t="n"/>
      <c r="AU616" s="13" t="n"/>
      <c r="AV616" s="14" t="n"/>
      <c r="AW616" s="12" t="n"/>
      <c r="AX616" s="13" t="n"/>
      <c r="AY616" s="14" t="n"/>
      <c r="AZ616" s="12" t="n"/>
      <c r="BA616" s="13" t="n"/>
      <c r="BB616" s="14" t="n"/>
      <c r="BC616" s="11">
        <f>IF(O616="","",IF(J616="GST 10%",ROUND(O616*set_GSTRate,2),0))</f>
        <v/>
      </c>
      <c r="BD616" s="11">
        <f>IF(O616="","",O616+BC616)</f>
        <v/>
      </c>
      <c r="BE616" s="15">
        <f>IF(O616="","",COUNTA(S616,V616,Y616,AB616,AE616,AH616,AK616,AN616,AQ616,AT616,AW616,AZ616))</f>
        <v/>
      </c>
      <c r="BF616" s="16">
        <f>IF(COUNT(T616,W616,Z616,AC616,AF616,AI616,AL616,AO616,AR616,AU616,AX616,BA616)=0,"",MAX(T616,W616,Z616,AC616,AF616,AI616,AL616,AO616,AR616,AU616,AX616,BA616))</f>
        <v/>
      </c>
      <c r="BG616" s="10">
        <f>MID(IF(S616="","",", "&amp;S616)&amp;IF(V616="","",", "&amp;V616)&amp;IF(Y616="","",", "&amp;Y616)&amp;IF(AB616="","",", "&amp;AB616)&amp;IF(AE616="","",", "&amp;AE616)&amp;IF(AH616="","",", "&amp;AH616)&amp;IF(AK616="","",", "&amp;AK616)&amp;IF(AN616="","",", "&amp;AN616)&amp;IF(AQ616="","",", "&amp;AQ616)&amp;IF(AT616="","",", "&amp;AT616)&amp;IF(AW616="","",", "&amp;AW616)&amp;IF(AZ616="","",", "&amp;AZ616),3,500)</f>
        <v/>
      </c>
      <c r="BH616" s="12" t="n"/>
      <c r="BI616" s="15">
        <f>IFERROR(MATCH($A616,IF($B616="Onsite",tbl_Onsite[Row ID],IF($B616="Production",tbl_Production[Row ID],tbl_Consulting[Row ID])),0),"")</f>
        <v/>
      </c>
    </row>
    <row r="617">
      <c r="A617" s="10" t="inlineStr">
        <is>
          <t>PRD-0111</t>
        </is>
      </c>
      <c r="B617" s="10" t="inlineStr">
        <is>
          <t>Production</t>
        </is>
      </c>
      <c r="C617" s="10">
        <f>IF($BI617="","",IF($B617="Onsite",INDEX(tbl_Onsite[Job Number],$BI617),IF($B617="Production",INDEX(tbl_Production[Job Number],$BI617),INDEX(tbl_Consulting[Job Number],$BI617)))&amp;"")</f>
        <v/>
      </c>
      <c r="D617" s="10">
        <f>IF($BI617="","",IF($B617="Onsite",INDEX(tbl_Onsite[Client],$BI617),IF($B617="Production",INDEX(tbl_Production[Client],$BI617),INDEX(tbl_Consulting[Client],$BI617)))&amp;"")</f>
        <v/>
      </c>
      <c r="E617" s="10">
        <f>IF($C617="","",IF(COUNTIF(lst_Jobs,$C617)&gt;0,"OK","CHECK"))</f>
        <v/>
      </c>
      <c r="F617" s="10">
        <f>IF($C617="","",IFERROR(INDEX(lst_JobName,MATCH($C617,lst_Jobs,0)),""))</f>
        <v/>
      </c>
      <c r="G617" s="10">
        <f>IF($BI617="","",IF($B617="Onsite",INDEX(tbl_Onsite[Job Description],$BI617),IF($B617="Production",INDEX(tbl_Production[Job Description],$BI617),INDEX(tbl_Consulting[Job Description],$BI617)))&amp;"")</f>
        <v/>
      </c>
      <c r="H617" s="10">
        <f>IF($BI617="","",IF($B617="Onsite",INDEX(tbl_Onsite[Cost Centre],$BI617),IF($B617="Production",INDEX(tbl_Production[Cost Centre],$BI617),INDEX(tbl_Consulting[Cost Centre],$BI617)))&amp;"")</f>
        <v/>
      </c>
      <c r="I617" s="10">
        <f>IF($BI617="","",IF($B617="Onsite",INDEX(tbl_Onsite[Invoice Type],$BI617),IF($B617="Production",INDEX(tbl_Production[Invoice Type],$BI617),INDEX(tbl_Consulting[Invoice Type],$BI617)))&amp;"")</f>
        <v/>
      </c>
      <c r="J617" s="10">
        <f>IF($BI617="","",IF($B617="Onsite",INDEX(tbl_Onsite[Tax Code],$BI617),IF($B617="Production",INDEX(tbl_Production[Tax Code],$BI617),INDEX(tbl_Consulting[Tax Code],$BI617)))&amp;"")</f>
        <v/>
      </c>
      <c r="K617" s="10">
        <f>IF(H617="","",IFERROR(INDEX(lst_CCtoGL,MATCH(H617,lst_CCforGL,0)),""))</f>
        <v/>
      </c>
      <c r="L617" s="10">
        <f>IF($BI617="","",IF($B617="Onsite",INDEX(tbl_Onsite[PO / Reference],$BI617),IF($B617="Production",INDEX(tbl_Production[Current RMS No],$BI617),INDEX(tbl_Consulting[Qwilr Quote],$BI617)))&amp;"")</f>
        <v/>
      </c>
      <c r="M617" s="10">
        <f>IF($BI617="","",IF($B617="Onsite",INDEX(tbl_Onsite[Notes],$BI617),IF($B617="Production",INDEX(tbl_Production[Notes],$BI617),INDEX(tbl_Consulting[Notes],$BI617)))&amp;"")</f>
        <v/>
      </c>
      <c r="N617" s="11">
        <f>IF($BI617="","",IF(IF($B617="Onsite",INDEX(tbl_Onsite[Expected Revenue Ex GST],$BI617),IF($B617="Production",INDEX(tbl_Production[Expected Revenue Ex GST],$BI617),INDEX(tbl_Consulting[Expected Revenue Ex GST],$BI617)))="","",IF($B617="Onsite",INDEX(tbl_Onsite[Expected Revenue Ex GST],$BI617),IF($B617="Production",INDEX(tbl_Production[Expected Revenue Ex GST],$BI617),INDEX(tbl_Consulting[Expected Revenue Ex GST],$BI617)))))</f>
        <v/>
      </c>
      <c r="O617" s="11">
        <f>IF(AND($C617="",NOT(COUNTA($S617:$BB617)&gt;0)),"",SUM(U617,X617,AA617,AD617,AG617,AJ617,AM617,AP617,AS617,AV617,AY617,BB617))</f>
        <v/>
      </c>
      <c r="P617" s="11">
        <f>IF(O617="","",N(N617)-O617)</f>
        <v/>
      </c>
      <c r="Q617" s="10">
        <f>IF(O617="","",IF($C617="","Invoice on empty job row",IF(N617="",IF(ROUND(O617,2)=0,"No dept value","Invoiced - no dept value"),IF(ROUND(O617,2)=0,"Not invoiced - to invoice",IF(ROUND(P617,2)=0,"Agrees",IF(P617&gt;0,"Dept higher - to invoice","Xero higher - check dept"))))))</f>
        <v/>
      </c>
      <c r="R617" s="10">
        <f>IF(AND($C617="",NOT(COUNTA($S617:$BB617)&gt;0),$BI617&lt;&gt;""),"",MID(IF($BI617="","; Row ID not found on the department sheet - a row was deleted","")&amp;IF(AND($C617="",COUNTA($S617:$BB617)&gt;0),"; Invoice entered but the department row has no job number","")&amp;IF(E617="CHECK","; Job number not in the Xero job list","")&amp;IF(AND($C617&lt;&gt;"",COUNTIF($C$7:$C$1506,$C617)&gt;1),"; Job number on more than one row","")&amp;IF(AND($C617&lt;&gt;"",H617=""),"; Dept has not set a cost centre","")&amp;IF(AND($C617&lt;&gt;"",J617=""),"; Dept has not set a tax code","")&amp;IF(AND($C617&lt;&gt;"",N617=""),"; Dept has not entered an expected value","")&amp;IF((IF(OR(COUNTA(S617:U617)=0,AND(COUNTA(S617:U617)=3,ISNUMBER(U617))),0,1)+IF(OR(COUNTA(V617:X617)=0,AND(COUNTA(V617:X617)=3,ISNUMBER(X617))),0,1)+IF(OR(COUNTA(Y617:AA617)=0,AND(COUNTA(Y617:AA617)=3,ISNUMBER(AA617))),0,1)+IF(OR(COUNTA(AB617:AD617)=0,AND(COUNTA(AB617:AD617)=3,ISNUMBER(AD617))),0,1)+IF(OR(COUNTA(AE617:AG617)=0,AND(COUNTA(AE617:AG617)=3,ISNUMBER(AG617))),0,1)+IF(OR(COUNTA(AH617:AJ617)=0,AND(COUNTA(AH617:AJ617)=3,ISNUMBER(AJ617))),0,1)+IF(OR(COUNTA(AK617:AM617)=0,AND(COUNTA(AK617:AM617)=3,ISNUMBER(AM617))),0,1)+IF(OR(COUNTA(AN617:AP617)=0,AND(COUNTA(AN617:AP617)=3,ISNUMBER(AP617))),0,1)+IF(OR(COUNTA(AQ617:AS617)=0,AND(COUNTA(AQ617:AS617)=3,ISNUMBER(AS617))),0,1)+IF(OR(COUNTA(AT617:AV617)=0,AND(COUNTA(AT617:AV617)=3,ISNUMBER(AV617))),0,1)+IF(OR(COUNTA(AW617:AY617)=0,AND(COUNTA(AW617:AY617)=3,ISNUMBER(AY617))),0,1)+IF(OR(COUNTA(AZ617:BB617)=0,AND(COUNTA(AZ617:BB617)=3,ISNUMBER(BB617))),0,1))&gt;0,"; An invoice is incomplete (needs No, Date and a number in Ex GST)","")&amp;IF((IF(T617="",0,IFERROR(--(EOMONTH(T617,0)&lt;&gt;S$5),1))+IF(W617="",0,IFERROR(--(EOMONTH(W617,0)&lt;&gt;V$5),1))+IF(Z617="",0,IFERROR(--(EOMONTH(Z617,0)&lt;&gt;Y$5),1))+IF(AC617="",0,IFERROR(--(EOMONTH(AC617,0)&lt;&gt;AB$5),1))+IF(AF617="",0,IFERROR(--(EOMONTH(AF617,0)&lt;&gt;AE$5),1))+IF(AI617="",0,IFERROR(--(EOMONTH(AI617,0)&lt;&gt;AH$5),1))+IF(AL617="",0,IFERROR(--(EOMONTH(AL617,0)&lt;&gt;AK$5),1))+IF(AO617="",0,IFERROR(--(EOMONTH(AO617,0)&lt;&gt;AN$5),1))+IF(AR617="",0,IFERROR(--(EOMONTH(AR617,0)&lt;&gt;AQ$5),1))+IF(AU617="",0,IFERROR(--(EOMONTH(AU617,0)&lt;&gt;AT$5),1))+IF(AX617="",0,IFERROR(--(EOMONTH(AX617,0)&lt;&gt;AW$5),1))+IF(BA617="",0,IFERROR(--(EOMONTH(BA617,0)&lt;&gt;AZ$5),1)))&gt;0,"; An invoice date is not in the month it is typed under",""),3,500))</f>
        <v/>
      </c>
      <c r="S617" s="12" t="n"/>
      <c r="T617" s="13" t="n"/>
      <c r="U617" s="14" t="n"/>
      <c r="V617" s="12" t="n"/>
      <c r="W617" s="13" t="n"/>
      <c r="X617" s="14" t="n"/>
      <c r="Y617" s="12" t="n"/>
      <c r="Z617" s="13" t="n"/>
      <c r="AA617" s="14" t="n"/>
      <c r="AB617" s="12" t="n"/>
      <c r="AC617" s="13" t="n"/>
      <c r="AD617" s="14" t="n"/>
      <c r="AE617" s="12" t="n"/>
      <c r="AF617" s="13" t="n"/>
      <c r="AG617" s="14" t="n"/>
      <c r="AH617" s="12" t="n"/>
      <c r="AI617" s="13" t="n"/>
      <c r="AJ617" s="14" t="n"/>
      <c r="AK617" s="12" t="n"/>
      <c r="AL617" s="13" t="n"/>
      <c r="AM617" s="14" t="n"/>
      <c r="AN617" s="12" t="n"/>
      <c r="AO617" s="13" t="n"/>
      <c r="AP617" s="14" t="n"/>
      <c r="AQ617" s="12" t="n"/>
      <c r="AR617" s="13" t="n"/>
      <c r="AS617" s="14" t="n"/>
      <c r="AT617" s="12" t="n"/>
      <c r="AU617" s="13" t="n"/>
      <c r="AV617" s="14" t="n"/>
      <c r="AW617" s="12" t="n"/>
      <c r="AX617" s="13" t="n"/>
      <c r="AY617" s="14" t="n"/>
      <c r="AZ617" s="12" t="n"/>
      <c r="BA617" s="13" t="n"/>
      <c r="BB617" s="14" t="n"/>
      <c r="BC617" s="11">
        <f>IF(O617="","",IF(J617="GST 10%",ROUND(O617*set_GSTRate,2),0))</f>
        <v/>
      </c>
      <c r="BD617" s="11">
        <f>IF(O617="","",O617+BC617)</f>
        <v/>
      </c>
      <c r="BE617" s="15">
        <f>IF(O617="","",COUNTA(S617,V617,Y617,AB617,AE617,AH617,AK617,AN617,AQ617,AT617,AW617,AZ617))</f>
        <v/>
      </c>
      <c r="BF617" s="16">
        <f>IF(COUNT(T617,W617,Z617,AC617,AF617,AI617,AL617,AO617,AR617,AU617,AX617,BA617)=0,"",MAX(T617,W617,Z617,AC617,AF617,AI617,AL617,AO617,AR617,AU617,AX617,BA617))</f>
        <v/>
      </c>
      <c r="BG617" s="10">
        <f>MID(IF(S617="","",", "&amp;S617)&amp;IF(V617="","",", "&amp;V617)&amp;IF(Y617="","",", "&amp;Y617)&amp;IF(AB617="","",", "&amp;AB617)&amp;IF(AE617="","",", "&amp;AE617)&amp;IF(AH617="","",", "&amp;AH617)&amp;IF(AK617="","",", "&amp;AK617)&amp;IF(AN617="","",", "&amp;AN617)&amp;IF(AQ617="","",", "&amp;AQ617)&amp;IF(AT617="","",", "&amp;AT617)&amp;IF(AW617="","",", "&amp;AW617)&amp;IF(AZ617="","",", "&amp;AZ617),3,500)</f>
        <v/>
      </c>
      <c r="BH617" s="12" t="n"/>
      <c r="BI617" s="15">
        <f>IFERROR(MATCH($A617,IF($B617="Onsite",tbl_Onsite[Row ID],IF($B617="Production",tbl_Production[Row ID],tbl_Consulting[Row ID])),0),"")</f>
        <v/>
      </c>
    </row>
    <row r="618">
      <c r="A618" s="10" t="inlineStr">
        <is>
          <t>PRD-0112</t>
        </is>
      </c>
      <c r="B618" s="10" t="inlineStr">
        <is>
          <t>Production</t>
        </is>
      </c>
      <c r="C618" s="10">
        <f>IF($BI618="","",IF($B618="Onsite",INDEX(tbl_Onsite[Job Number],$BI618),IF($B618="Production",INDEX(tbl_Production[Job Number],$BI618),INDEX(tbl_Consulting[Job Number],$BI618)))&amp;"")</f>
        <v/>
      </c>
      <c r="D618" s="10">
        <f>IF($BI618="","",IF($B618="Onsite",INDEX(tbl_Onsite[Client],$BI618),IF($B618="Production",INDEX(tbl_Production[Client],$BI618),INDEX(tbl_Consulting[Client],$BI618)))&amp;"")</f>
        <v/>
      </c>
      <c r="E618" s="10">
        <f>IF($C618="","",IF(COUNTIF(lst_Jobs,$C618)&gt;0,"OK","CHECK"))</f>
        <v/>
      </c>
      <c r="F618" s="10">
        <f>IF($C618="","",IFERROR(INDEX(lst_JobName,MATCH($C618,lst_Jobs,0)),""))</f>
        <v/>
      </c>
      <c r="G618" s="10">
        <f>IF($BI618="","",IF($B618="Onsite",INDEX(tbl_Onsite[Job Description],$BI618),IF($B618="Production",INDEX(tbl_Production[Job Description],$BI618),INDEX(tbl_Consulting[Job Description],$BI618)))&amp;"")</f>
        <v/>
      </c>
      <c r="H618" s="10">
        <f>IF($BI618="","",IF($B618="Onsite",INDEX(tbl_Onsite[Cost Centre],$BI618),IF($B618="Production",INDEX(tbl_Production[Cost Centre],$BI618),INDEX(tbl_Consulting[Cost Centre],$BI618)))&amp;"")</f>
        <v/>
      </c>
      <c r="I618" s="10">
        <f>IF($BI618="","",IF($B618="Onsite",INDEX(tbl_Onsite[Invoice Type],$BI618),IF($B618="Production",INDEX(tbl_Production[Invoice Type],$BI618),INDEX(tbl_Consulting[Invoice Type],$BI618)))&amp;"")</f>
        <v/>
      </c>
      <c r="J618" s="10">
        <f>IF($BI618="","",IF($B618="Onsite",INDEX(tbl_Onsite[Tax Code],$BI618),IF($B618="Production",INDEX(tbl_Production[Tax Code],$BI618),INDEX(tbl_Consulting[Tax Code],$BI618)))&amp;"")</f>
        <v/>
      </c>
      <c r="K618" s="10">
        <f>IF(H618="","",IFERROR(INDEX(lst_CCtoGL,MATCH(H618,lst_CCforGL,0)),""))</f>
        <v/>
      </c>
      <c r="L618" s="10">
        <f>IF($BI618="","",IF($B618="Onsite",INDEX(tbl_Onsite[PO / Reference],$BI618),IF($B618="Production",INDEX(tbl_Production[Current RMS No],$BI618),INDEX(tbl_Consulting[Qwilr Quote],$BI618)))&amp;"")</f>
        <v/>
      </c>
      <c r="M618" s="10">
        <f>IF($BI618="","",IF($B618="Onsite",INDEX(tbl_Onsite[Notes],$BI618),IF($B618="Production",INDEX(tbl_Production[Notes],$BI618),INDEX(tbl_Consulting[Notes],$BI618)))&amp;"")</f>
        <v/>
      </c>
      <c r="N618" s="11">
        <f>IF($BI618="","",IF(IF($B618="Onsite",INDEX(tbl_Onsite[Expected Revenue Ex GST],$BI618),IF($B618="Production",INDEX(tbl_Production[Expected Revenue Ex GST],$BI618),INDEX(tbl_Consulting[Expected Revenue Ex GST],$BI618)))="","",IF($B618="Onsite",INDEX(tbl_Onsite[Expected Revenue Ex GST],$BI618),IF($B618="Production",INDEX(tbl_Production[Expected Revenue Ex GST],$BI618),INDEX(tbl_Consulting[Expected Revenue Ex GST],$BI618)))))</f>
        <v/>
      </c>
      <c r="O618" s="11">
        <f>IF(AND($C618="",NOT(COUNTA($S618:$BB618)&gt;0)),"",SUM(U618,X618,AA618,AD618,AG618,AJ618,AM618,AP618,AS618,AV618,AY618,BB618))</f>
        <v/>
      </c>
      <c r="P618" s="11">
        <f>IF(O618="","",N(N618)-O618)</f>
        <v/>
      </c>
      <c r="Q618" s="10">
        <f>IF(O618="","",IF($C618="","Invoice on empty job row",IF(N618="",IF(ROUND(O618,2)=0,"No dept value","Invoiced - no dept value"),IF(ROUND(O618,2)=0,"Not invoiced - to invoice",IF(ROUND(P618,2)=0,"Agrees",IF(P618&gt;0,"Dept higher - to invoice","Xero higher - check dept"))))))</f>
        <v/>
      </c>
      <c r="R618" s="10">
        <f>IF(AND($C618="",NOT(COUNTA($S618:$BB618)&gt;0),$BI618&lt;&gt;""),"",MID(IF($BI618="","; Row ID not found on the department sheet - a row was deleted","")&amp;IF(AND($C618="",COUNTA($S618:$BB618)&gt;0),"; Invoice entered but the department row has no job number","")&amp;IF(E618="CHECK","; Job number not in the Xero job list","")&amp;IF(AND($C618&lt;&gt;"",COUNTIF($C$7:$C$1506,$C618)&gt;1),"; Job number on more than one row","")&amp;IF(AND($C618&lt;&gt;"",H618=""),"; Dept has not set a cost centre","")&amp;IF(AND($C618&lt;&gt;"",J618=""),"; Dept has not set a tax code","")&amp;IF(AND($C618&lt;&gt;"",N618=""),"; Dept has not entered an expected value","")&amp;IF((IF(OR(COUNTA(S618:U618)=0,AND(COUNTA(S618:U618)=3,ISNUMBER(U618))),0,1)+IF(OR(COUNTA(V618:X618)=0,AND(COUNTA(V618:X618)=3,ISNUMBER(X618))),0,1)+IF(OR(COUNTA(Y618:AA618)=0,AND(COUNTA(Y618:AA618)=3,ISNUMBER(AA618))),0,1)+IF(OR(COUNTA(AB618:AD618)=0,AND(COUNTA(AB618:AD618)=3,ISNUMBER(AD618))),0,1)+IF(OR(COUNTA(AE618:AG618)=0,AND(COUNTA(AE618:AG618)=3,ISNUMBER(AG618))),0,1)+IF(OR(COUNTA(AH618:AJ618)=0,AND(COUNTA(AH618:AJ618)=3,ISNUMBER(AJ618))),0,1)+IF(OR(COUNTA(AK618:AM618)=0,AND(COUNTA(AK618:AM618)=3,ISNUMBER(AM618))),0,1)+IF(OR(COUNTA(AN618:AP618)=0,AND(COUNTA(AN618:AP618)=3,ISNUMBER(AP618))),0,1)+IF(OR(COUNTA(AQ618:AS618)=0,AND(COUNTA(AQ618:AS618)=3,ISNUMBER(AS618))),0,1)+IF(OR(COUNTA(AT618:AV618)=0,AND(COUNTA(AT618:AV618)=3,ISNUMBER(AV618))),0,1)+IF(OR(COUNTA(AW618:AY618)=0,AND(COUNTA(AW618:AY618)=3,ISNUMBER(AY618))),0,1)+IF(OR(COUNTA(AZ618:BB618)=0,AND(COUNTA(AZ618:BB618)=3,ISNUMBER(BB618))),0,1))&gt;0,"; An invoice is incomplete (needs No, Date and a number in Ex GST)","")&amp;IF((IF(T618="",0,IFERROR(--(EOMONTH(T618,0)&lt;&gt;S$5),1))+IF(W618="",0,IFERROR(--(EOMONTH(W618,0)&lt;&gt;V$5),1))+IF(Z618="",0,IFERROR(--(EOMONTH(Z618,0)&lt;&gt;Y$5),1))+IF(AC618="",0,IFERROR(--(EOMONTH(AC618,0)&lt;&gt;AB$5),1))+IF(AF618="",0,IFERROR(--(EOMONTH(AF618,0)&lt;&gt;AE$5),1))+IF(AI618="",0,IFERROR(--(EOMONTH(AI618,0)&lt;&gt;AH$5),1))+IF(AL618="",0,IFERROR(--(EOMONTH(AL618,0)&lt;&gt;AK$5),1))+IF(AO618="",0,IFERROR(--(EOMONTH(AO618,0)&lt;&gt;AN$5),1))+IF(AR618="",0,IFERROR(--(EOMONTH(AR618,0)&lt;&gt;AQ$5),1))+IF(AU618="",0,IFERROR(--(EOMONTH(AU618,0)&lt;&gt;AT$5),1))+IF(AX618="",0,IFERROR(--(EOMONTH(AX618,0)&lt;&gt;AW$5),1))+IF(BA618="",0,IFERROR(--(EOMONTH(BA618,0)&lt;&gt;AZ$5),1)))&gt;0,"; An invoice date is not in the month it is typed under",""),3,500))</f>
        <v/>
      </c>
      <c r="S618" s="12" t="n"/>
      <c r="T618" s="13" t="n"/>
      <c r="U618" s="14" t="n"/>
      <c r="V618" s="12" t="n"/>
      <c r="W618" s="13" t="n"/>
      <c r="X618" s="14" t="n"/>
      <c r="Y618" s="12" t="n"/>
      <c r="Z618" s="13" t="n"/>
      <c r="AA618" s="14" t="n"/>
      <c r="AB618" s="12" t="n"/>
      <c r="AC618" s="13" t="n"/>
      <c r="AD618" s="14" t="n"/>
      <c r="AE618" s="12" t="n"/>
      <c r="AF618" s="13" t="n"/>
      <c r="AG618" s="14" t="n"/>
      <c r="AH618" s="12" t="n"/>
      <c r="AI618" s="13" t="n"/>
      <c r="AJ618" s="14" t="n"/>
      <c r="AK618" s="12" t="n"/>
      <c r="AL618" s="13" t="n"/>
      <c r="AM618" s="14" t="n"/>
      <c r="AN618" s="12" t="n"/>
      <c r="AO618" s="13" t="n"/>
      <c r="AP618" s="14" t="n"/>
      <c r="AQ618" s="12" t="n"/>
      <c r="AR618" s="13" t="n"/>
      <c r="AS618" s="14" t="n"/>
      <c r="AT618" s="12" t="n"/>
      <c r="AU618" s="13" t="n"/>
      <c r="AV618" s="14" t="n"/>
      <c r="AW618" s="12" t="n"/>
      <c r="AX618" s="13" t="n"/>
      <c r="AY618" s="14" t="n"/>
      <c r="AZ618" s="12" t="n"/>
      <c r="BA618" s="13" t="n"/>
      <c r="BB618" s="14" t="n"/>
      <c r="BC618" s="11">
        <f>IF(O618="","",IF(J618="GST 10%",ROUND(O618*set_GSTRate,2),0))</f>
        <v/>
      </c>
      <c r="BD618" s="11">
        <f>IF(O618="","",O618+BC618)</f>
        <v/>
      </c>
      <c r="BE618" s="15">
        <f>IF(O618="","",COUNTA(S618,V618,Y618,AB618,AE618,AH618,AK618,AN618,AQ618,AT618,AW618,AZ618))</f>
        <v/>
      </c>
      <c r="BF618" s="16">
        <f>IF(COUNT(T618,W618,Z618,AC618,AF618,AI618,AL618,AO618,AR618,AU618,AX618,BA618)=0,"",MAX(T618,W618,Z618,AC618,AF618,AI618,AL618,AO618,AR618,AU618,AX618,BA618))</f>
        <v/>
      </c>
      <c r="BG618" s="10">
        <f>MID(IF(S618="","",", "&amp;S618)&amp;IF(V618="","",", "&amp;V618)&amp;IF(Y618="","",", "&amp;Y618)&amp;IF(AB618="","",", "&amp;AB618)&amp;IF(AE618="","",", "&amp;AE618)&amp;IF(AH618="","",", "&amp;AH618)&amp;IF(AK618="","",", "&amp;AK618)&amp;IF(AN618="","",", "&amp;AN618)&amp;IF(AQ618="","",", "&amp;AQ618)&amp;IF(AT618="","",", "&amp;AT618)&amp;IF(AW618="","",", "&amp;AW618)&amp;IF(AZ618="","",", "&amp;AZ618),3,500)</f>
        <v/>
      </c>
      <c r="BH618" s="12" t="n"/>
      <c r="BI618" s="15">
        <f>IFERROR(MATCH($A618,IF($B618="Onsite",tbl_Onsite[Row ID],IF($B618="Production",tbl_Production[Row ID],tbl_Consulting[Row ID])),0),"")</f>
        <v/>
      </c>
    </row>
    <row r="619">
      <c r="A619" s="10" t="inlineStr">
        <is>
          <t>PRD-0113</t>
        </is>
      </c>
      <c r="B619" s="10" t="inlineStr">
        <is>
          <t>Production</t>
        </is>
      </c>
      <c r="C619" s="10">
        <f>IF($BI619="","",IF($B619="Onsite",INDEX(tbl_Onsite[Job Number],$BI619),IF($B619="Production",INDEX(tbl_Production[Job Number],$BI619),INDEX(tbl_Consulting[Job Number],$BI619)))&amp;"")</f>
        <v/>
      </c>
      <c r="D619" s="10">
        <f>IF($BI619="","",IF($B619="Onsite",INDEX(tbl_Onsite[Client],$BI619),IF($B619="Production",INDEX(tbl_Production[Client],$BI619),INDEX(tbl_Consulting[Client],$BI619)))&amp;"")</f>
        <v/>
      </c>
      <c r="E619" s="10">
        <f>IF($C619="","",IF(COUNTIF(lst_Jobs,$C619)&gt;0,"OK","CHECK"))</f>
        <v/>
      </c>
      <c r="F619" s="10">
        <f>IF($C619="","",IFERROR(INDEX(lst_JobName,MATCH($C619,lst_Jobs,0)),""))</f>
        <v/>
      </c>
      <c r="G619" s="10">
        <f>IF($BI619="","",IF($B619="Onsite",INDEX(tbl_Onsite[Job Description],$BI619),IF($B619="Production",INDEX(tbl_Production[Job Description],$BI619),INDEX(tbl_Consulting[Job Description],$BI619)))&amp;"")</f>
        <v/>
      </c>
      <c r="H619" s="10">
        <f>IF($BI619="","",IF($B619="Onsite",INDEX(tbl_Onsite[Cost Centre],$BI619),IF($B619="Production",INDEX(tbl_Production[Cost Centre],$BI619),INDEX(tbl_Consulting[Cost Centre],$BI619)))&amp;"")</f>
        <v/>
      </c>
      <c r="I619" s="10">
        <f>IF($BI619="","",IF($B619="Onsite",INDEX(tbl_Onsite[Invoice Type],$BI619),IF($B619="Production",INDEX(tbl_Production[Invoice Type],$BI619),INDEX(tbl_Consulting[Invoice Type],$BI619)))&amp;"")</f>
        <v/>
      </c>
      <c r="J619" s="10">
        <f>IF($BI619="","",IF($B619="Onsite",INDEX(tbl_Onsite[Tax Code],$BI619),IF($B619="Production",INDEX(tbl_Production[Tax Code],$BI619),INDEX(tbl_Consulting[Tax Code],$BI619)))&amp;"")</f>
        <v/>
      </c>
      <c r="K619" s="10">
        <f>IF(H619="","",IFERROR(INDEX(lst_CCtoGL,MATCH(H619,lst_CCforGL,0)),""))</f>
        <v/>
      </c>
      <c r="L619" s="10">
        <f>IF($BI619="","",IF($B619="Onsite",INDEX(tbl_Onsite[PO / Reference],$BI619),IF($B619="Production",INDEX(tbl_Production[Current RMS No],$BI619),INDEX(tbl_Consulting[Qwilr Quote],$BI619)))&amp;"")</f>
        <v/>
      </c>
      <c r="M619" s="10">
        <f>IF($BI619="","",IF($B619="Onsite",INDEX(tbl_Onsite[Notes],$BI619),IF($B619="Production",INDEX(tbl_Production[Notes],$BI619),INDEX(tbl_Consulting[Notes],$BI619)))&amp;"")</f>
        <v/>
      </c>
      <c r="N619" s="11">
        <f>IF($BI619="","",IF(IF($B619="Onsite",INDEX(tbl_Onsite[Expected Revenue Ex GST],$BI619),IF($B619="Production",INDEX(tbl_Production[Expected Revenue Ex GST],$BI619),INDEX(tbl_Consulting[Expected Revenue Ex GST],$BI619)))="","",IF($B619="Onsite",INDEX(tbl_Onsite[Expected Revenue Ex GST],$BI619),IF($B619="Production",INDEX(tbl_Production[Expected Revenue Ex GST],$BI619),INDEX(tbl_Consulting[Expected Revenue Ex GST],$BI619)))))</f>
        <v/>
      </c>
      <c r="O619" s="11">
        <f>IF(AND($C619="",NOT(COUNTA($S619:$BB619)&gt;0)),"",SUM(U619,X619,AA619,AD619,AG619,AJ619,AM619,AP619,AS619,AV619,AY619,BB619))</f>
        <v/>
      </c>
      <c r="P619" s="11">
        <f>IF(O619="","",N(N619)-O619)</f>
        <v/>
      </c>
      <c r="Q619" s="10">
        <f>IF(O619="","",IF($C619="","Invoice on empty job row",IF(N619="",IF(ROUND(O619,2)=0,"No dept value","Invoiced - no dept value"),IF(ROUND(O619,2)=0,"Not invoiced - to invoice",IF(ROUND(P619,2)=0,"Agrees",IF(P619&gt;0,"Dept higher - to invoice","Xero higher - check dept"))))))</f>
        <v/>
      </c>
      <c r="R619" s="10">
        <f>IF(AND($C619="",NOT(COUNTA($S619:$BB619)&gt;0),$BI619&lt;&gt;""),"",MID(IF($BI619="","; Row ID not found on the department sheet - a row was deleted","")&amp;IF(AND($C619="",COUNTA($S619:$BB619)&gt;0),"; Invoice entered but the department row has no job number","")&amp;IF(E619="CHECK","; Job number not in the Xero job list","")&amp;IF(AND($C619&lt;&gt;"",COUNTIF($C$7:$C$1506,$C619)&gt;1),"; Job number on more than one row","")&amp;IF(AND($C619&lt;&gt;"",H619=""),"; Dept has not set a cost centre","")&amp;IF(AND($C619&lt;&gt;"",J619=""),"; Dept has not set a tax code","")&amp;IF(AND($C619&lt;&gt;"",N619=""),"; Dept has not entered an expected value","")&amp;IF((IF(OR(COUNTA(S619:U619)=0,AND(COUNTA(S619:U619)=3,ISNUMBER(U619))),0,1)+IF(OR(COUNTA(V619:X619)=0,AND(COUNTA(V619:X619)=3,ISNUMBER(X619))),0,1)+IF(OR(COUNTA(Y619:AA619)=0,AND(COUNTA(Y619:AA619)=3,ISNUMBER(AA619))),0,1)+IF(OR(COUNTA(AB619:AD619)=0,AND(COUNTA(AB619:AD619)=3,ISNUMBER(AD619))),0,1)+IF(OR(COUNTA(AE619:AG619)=0,AND(COUNTA(AE619:AG619)=3,ISNUMBER(AG619))),0,1)+IF(OR(COUNTA(AH619:AJ619)=0,AND(COUNTA(AH619:AJ619)=3,ISNUMBER(AJ619))),0,1)+IF(OR(COUNTA(AK619:AM619)=0,AND(COUNTA(AK619:AM619)=3,ISNUMBER(AM619))),0,1)+IF(OR(COUNTA(AN619:AP619)=0,AND(COUNTA(AN619:AP619)=3,ISNUMBER(AP619))),0,1)+IF(OR(COUNTA(AQ619:AS619)=0,AND(COUNTA(AQ619:AS619)=3,ISNUMBER(AS619))),0,1)+IF(OR(COUNTA(AT619:AV619)=0,AND(COUNTA(AT619:AV619)=3,ISNUMBER(AV619))),0,1)+IF(OR(COUNTA(AW619:AY619)=0,AND(COUNTA(AW619:AY619)=3,ISNUMBER(AY619))),0,1)+IF(OR(COUNTA(AZ619:BB619)=0,AND(COUNTA(AZ619:BB619)=3,ISNUMBER(BB619))),0,1))&gt;0,"; An invoice is incomplete (needs No, Date and a number in Ex GST)","")&amp;IF((IF(T619="",0,IFERROR(--(EOMONTH(T619,0)&lt;&gt;S$5),1))+IF(W619="",0,IFERROR(--(EOMONTH(W619,0)&lt;&gt;V$5),1))+IF(Z619="",0,IFERROR(--(EOMONTH(Z619,0)&lt;&gt;Y$5),1))+IF(AC619="",0,IFERROR(--(EOMONTH(AC619,0)&lt;&gt;AB$5),1))+IF(AF619="",0,IFERROR(--(EOMONTH(AF619,0)&lt;&gt;AE$5),1))+IF(AI619="",0,IFERROR(--(EOMONTH(AI619,0)&lt;&gt;AH$5),1))+IF(AL619="",0,IFERROR(--(EOMONTH(AL619,0)&lt;&gt;AK$5),1))+IF(AO619="",0,IFERROR(--(EOMONTH(AO619,0)&lt;&gt;AN$5),1))+IF(AR619="",0,IFERROR(--(EOMONTH(AR619,0)&lt;&gt;AQ$5),1))+IF(AU619="",0,IFERROR(--(EOMONTH(AU619,0)&lt;&gt;AT$5),1))+IF(AX619="",0,IFERROR(--(EOMONTH(AX619,0)&lt;&gt;AW$5),1))+IF(BA619="",0,IFERROR(--(EOMONTH(BA619,0)&lt;&gt;AZ$5),1)))&gt;0,"; An invoice date is not in the month it is typed under",""),3,500))</f>
        <v/>
      </c>
      <c r="S619" s="12" t="n"/>
      <c r="T619" s="13" t="n"/>
      <c r="U619" s="14" t="n"/>
      <c r="V619" s="12" t="n"/>
      <c r="W619" s="13" t="n"/>
      <c r="X619" s="14" t="n"/>
      <c r="Y619" s="12" t="n"/>
      <c r="Z619" s="13" t="n"/>
      <c r="AA619" s="14" t="n"/>
      <c r="AB619" s="12" t="n"/>
      <c r="AC619" s="13" t="n"/>
      <c r="AD619" s="14" t="n"/>
      <c r="AE619" s="12" t="n"/>
      <c r="AF619" s="13" t="n"/>
      <c r="AG619" s="14" t="n"/>
      <c r="AH619" s="12" t="n"/>
      <c r="AI619" s="13" t="n"/>
      <c r="AJ619" s="14" t="n"/>
      <c r="AK619" s="12" t="n"/>
      <c r="AL619" s="13" t="n"/>
      <c r="AM619" s="14" t="n"/>
      <c r="AN619" s="12" t="n"/>
      <c r="AO619" s="13" t="n"/>
      <c r="AP619" s="14" t="n"/>
      <c r="AQ619" s="12" t="n"/>
      <c r="AR619" s="13" t="n"/>
      <c r="AS619" s="14" t="n"/>
      <c r="AT619" s="12" t="n"/>
      <c r="AU619" s="13" t="n"/>
      <c r="AV619" s="14" t="n"/>
      <c r="AW619" s="12" t="n"/>
      <c r="AX619" s="13" t="n"/>
      <c r="AY619" s="14" t="n"/>
      <c r="AZ619" s="12" t="n"/>
      <c r="BA619" s="13" t="n"/>
      <c r="BB619" s="14" t="n"/>
      <c r="BC619" s="11">
        <f>IF(O619="","",IF(J619="GST 10%",ROUND(O619*set_GSTRate,2),0))</f>
        <v/>
      </c>
      <c r="BD619" s="11">
        <f>IF(O619="","",O619+BC619)</f>
        <v/>
      </c>
      <c r="BE619" s="15">
        <f>IF(O619="","",COUNTA(S619,V619,Y619,AB619,AE619,AH619,AK619,AN619,AQ619,AT619,AW619,AZ619))</f>
        <v/>
      </c>
      <c r="BF619" s="16">
        <f>IF(COUNT(T619,W619,Z619,AC619,AF619,AI619,AL619,AO619,AR619,AU619,AX619,BA619)=0,"",MAX(T619,W619,Z619,AC619,AF619,AI619,AL619,AO619,AR619,AU619,AX619,BA619))</f>
        <v/>
      </c>
      <c r="BG619" s="10">
        <f>MID(IF(S619="","",", "&amp;S619)&amp;IF(V619="","",", "&amp;V619)&amp;IF(Y619="","",", "&amp;Y619)&amp;IF(AB619="","",", "&amp;AB619)&amp;IF(AE619="","",", "&amp;AE619)&amp;IF(AH619="","",", "&amp;AH619)&amp;IF(AK619="","",", "&amp;AK619)&amp;IF(AN619="","",", "&amp;AN619)&amp;IF(AQ619="","",", "&amp;AQ619)&amp;IF(AT619="","",", "&amp;AT619)&amp;IF(AW619="","",", "&amp;AW619)&amp;IF(AZ619="","",", "&amp;AZ619),3,500)</f>
        <v/>
      </c>
      <c r="BH619" s="12" t="n"/>
      <c r="BI619" s="15">
        <f>IFERROR(MATCH($A619,IF($B619="Onsite",tbl_Onsite[Row ID],IF($B619="Production",tbl_Production[Row ID],tbl_Consulting[Row ID])),0),"")</f>
        <v/>
      </c>
    </row>
    <row r="620">
      <c r="A620" s="10" t="inlineStr">
        <is>
          <t>PRD-0114</t>
        </is>
      </c>
      <c r="B620" s="10" t="inlineStr">
        <is>
          <t>Production</t>
        </is>
      </c>
      <c r="C620" s="10">
        <f>IF($BI620="","",IF($B620="Onsite",INDEX(tbl_Onsite[Job Number],$BI620),IF($B620="Production",INDEX(tbl_Production[Job Number],$BI620),INDEX(tbl_Consulting[Job Number],$BI620)))&amp;"")</f>
        <v/>
      </c>
      <c r="D620" s="10">
        <f>IF($BI620="","",IF($B620="Onsite",INDEX(tbl_Onsite[Client],$BI620),IF($B620="Production",INDEX(tbl_Production[Client],$BI620),INDEX(tbl_Consulting[Client],$BI620)))&amp;"")</f>
        <v/>
      </c>
      <c r="E620" s="10">
        <f>IF($C620="","",IF(COUNTIF(lst_Jobs,$C620)&gt;0,"OK","CHECK"))</f>
        <v/>
      </c>
      <c r="F620" s="10">
        <f>IF($C620="","",IFERROR(INDEX(lst_JobName,MATCH($C620,lst_Jobs,0)),""))</f>
        <v/>
      </c>
      <c r="G620" s="10">
        <f>IF($BI620="","",IF($B620="Onsite",INDEX(tbl_Onsite[Job Description],$BI620),IF($B620="Production",INDEX(tbl_Production[Job Description],$BI620),INDEX(tbl_Consulting[Job Description],$BI620)))&amp;"")</f>
        <v/>
      </c>
      <c r="H620" s="10">
        <f>IF($BI620="","",IF($B620="Onsite",INDEX(tbl_Onsite[Cost Centre],$BI620),IF($B620="Production",INDEX(tbl_Production[Cost Centre],$BI620),INDEX(tbl_Consulting[Cost Centre],$BI620)))&amp;"")</f>
        <v/>
      </c>
      <c r="I620" s="10">
        <f>IF($BI620="","",IF($B620="Onsite",INDEX(tbl_Onsite[Invoice Type],$BI620),IF($B620="Production",INDEX(tbl_Production[Invoice Type],$BI620),INDEX(tbl_Consulting[Invoice Type],$BI620)))&amp;"")</f>
        <v/>
      </c>
      <c r="J620" s="10">
        <f>IF($BI620="","",IF($B620="Onsite",INDEX(tbl_Onsite[Tax Code],$BI620),IF($B620="Production",INDEX(tbl_Production[Tax Code],$BI620),INDEX(tbl_Consulting[Tax Code],$BI620)))&amp;"")</f>
        <v/>
      </c>
      <c r="K620" s="10">
        <f>IF(H620="","",IFERROR(INDEX(lst_CCtoGL,MATCH(H620,lst_CCforGL,0)),""))</f>
        <v/>
      </c>
      <c r="L620" s="10">
        <f>IF($BI620="","",IF($B620="Onsite",INDEX(tbl_Onsite[PO / Reference],$BI620),IF($B620="Production",INDEX(tbl_Production[Current RMS No],$BI620),INDEX(tbl_Consulting[Qwilr Quote],$BI620)))&amp;"")</f>
        <v/>
      </c>
      <c r="M620" s="10">
        <f>IF($BI620="","",IF($B620="Onsite",INDEX(tbl_Onsite[Notes],$BI620),IF($B620="Production",INDEX(tbl_Production[Notes],$BI620),INDEX(tbl_Consulting[Notes],$BI620)))&amp;"")</f>
        <v/>
      </c>
      <c r="N620" s="11">
        <f>IF($BI620="","",IF(IF($B620="Onsite",INDEX(tbl_Onsite[Expected Revenue Ex GST],$BI620),IF($B620="Production",INDEX(tbl_Production[Expected Revenue Ex GST],$BI620),INDEX(tbl_Consulting[Expected Revenue Ex GST],$BI620)))="","",IF($B620="Onsite",INDEX(tbl_Onsite[Expected Revenue Ex GST],$BI620),IF($B620="Production",INDEX(tbl_Production[Expected Revenue Ex GST],$BI620),INDEX(tbl_Consulting[Expected Revenue Ex GST],$BI620)))))</f>
        <v/>
      </c>
      <c r="O620" s="11">
        <f>IF(AND($C620="",NOT(COUNTA($S620:$BB620)&gt;0)),"",SUM(U620,X620,AA620,AD620,AG620,AJ620,AM620,AP620,AS620,AV620,AY620,BB620))</f>
        <v/>
      </c>
      <c r="P620" s="11">
        <f>IF(O620="","",N(N620)-O620)</f>
        <v/>
      </c>
      <c r="Q620" s="10">
        <f>IF(O620="","",IF($C620="","Invoice on empty job row",IF(N620="",IF(ROUND(O620,2)=0,"No dept value","Invoiced - no dept value"),IF(ROUND(O620,2)=0,"Not invoiced - to invoice",IF(ROUND(P620,2)=0,"Agrees",IF(P620&gt;0,"Dept higher - to invoice","Xero higher - check dept"))))))</f>
        <v/>
      </c>
      <c r="R620" s="10">
        <f>IF(AND($C620="",NOT(COUNTA($S620:$BB620)&gt;0),$BI620&lt;&gt;""),"",MID(IF($BI620="","; Row ID not found on the department sheet - a row was deleted","")&amp;IF(AND($C620="",COUNTA($S620:$BB620)&gt;0),"; Invoice entered but the department row has no job number","")&amp;IF(E620="CHECK","; Job number not in the Xero job list","")&amp;IF(AND($C620&lt;&gt;"",COUNTIF($C$7:$C$1506,$C620)&gt;1),"; Job number on more than one row","")&amp;IF(AND($C620&lt;&gt;"",H620=""),"; Dept has not set a cost centre","")&amp;IF(AND($C620&lt;&gt;"",J620=""),"; Dept has not set a tax code","")&amp;IF(AND($C620&lt;&gt;"",N620=""),"; Dept has not entered an expected value","")&amp;IF((IF(OR(COUNTA(S620:U620)=0,AND(COUNTA(S620:U620)=3,ISNUMBER(U620))),0,1)+IF(OR(COUNTA(V620:X620)=0,AND(COUNTA(V620:X620)=3,ISNUMBER(X620))),0,1)+IF(OR(COUNTA(Y620:AA620)=0,AND(COUNTA(Y620:AA620)=3,ISNUMBER(AA620))),0,1)+IF(OR(COUNTA(AB620:AD620)=0,AND(COUNTA(AB620:AD620)=3,ISNUMBER(AD620))),0,1)+IF(OR(COUNTA(AE620:AG620)=0,AND(COUNTA(AE620:AG620)=3,ISNUMBER(AG620))),0,1)+IF(OR(COUNTA(AH620:AJ620)=0,AND(COUNTA(AH620:AJ620)=3,ISNUMBER(AJ620))),0,1)+IF(OR(COUNTA(AK620:AM620)=0,AND(COUNTA(AK620:AM620)=3,ISNUMBER(AM620))),0,1)+IF(OR(COUNTA(AN620:AP620)=0,AND(COUNTA(AN620:AP620)=3,ISNUMBER(AP620))),0,1)+IF(OR(COUNTA(AQ620:AS620)=0,AND(COUNTA(AQ620:AS620)=3,ISNUMBER(AS620))),0,1)+IF(OR(COUNTA(AT620:AV620)=0,AND(COUNTA(AT620:AV620)=3,ISNUMBER(AV620))),0,1)+IF(OR(COUNTA(AW620:AY620)=0,AND(COUNTA(AW620:AY620)=3,ISNUMBER(AY620))),0,1)+IF(OR(COUNTA(AZ620:BB620)=0,AND(COUNTA(AZ620:BB620)=3,ISNUMBER(BB620))),0,1))&gt;0,"; An invoice is incomplete (needs No, Date and a number in Ex GST)","")&amp;IF((IF(T620="",0,IFERROR(--(EOMONTH(T620,0)&lt;&gt;S$5),1))+IF(W620="",0,IFERROR(--(EOMONTH(W620,0)&lt;&gt;V$5),1))+IF(Z620="",0,IFERROR(--(EOMONTH(Z620,0)&lt;&gt;Y$5),1))+IF(AC620="",0,IFERROR(--(EOMONTH(AC620,0)&lt;&gt;AB$5),1))+IF(AF620="",0,IFERROR(--(EOMONTH(AF620,0)&lt;&gt;AE$5),1))+IF(AI620="",0,IFERROR(--(EOMONTH(AI620,0)&lt;&gt;AH$5),1))+IF(AL620="",0,IFERROR(--(EOMONTH(AL620,0)&lt;&gt;AK$5),1))+IF(AO620="",0,IFERROR(--(EOMONTH(AO620,0)&lt;&gt;AN$5),1))+IF(AR620="",0,IFERROR(--(EOMONTH(AR620,0)&lt;&gt;AQ$5),1))+IF(AU620="",0,IFERROR(--(EOMONTH(AU620,0)&lt;&gt;AT$5),1))+IF(AX620="",0,IFERROR(--(EOMONTH(AX620,0)&lt;&gt;AW$5),1))+IF(BA620="",0,IFERROR(--(EOMONTH(BA620,0)&lt;&gt;AZ$5),1)))&gt;0,"; An invoice date is not in the month it is typed under",""),3,500))</f>
        <v/>
      </c>
      <c r="S620" s="12" t="n"/>
      <c r="T620" s="13" t="n"/>
      <c r="U620" s="14" t="n"/>
      <c r="V620" s="12" t="n"/>
      <c r="W620" s="13" t="n"/>
      <c r="X620" s="14" t="n"/>
      <c r="Y620" s="12" t="n"/>
      <c r="Z620" s="13" t="n"/>
      <c r="AA620" s="14" t="n"/>
      <c r="AB620" s="12" t="n"/>
      <c r="AC620" s="13" t="n"/>
      <c r="AD620" s="14" t="n"/>
      <c r="AE620" s="12" t="n"/>
      <c r="AF620" s="13" t="n"/>
      <c r="AG620" s="14" t="n"/>
      <c r="AH620" s="12" t="n"/>
      <c r="AI620" s="13" t="n"/>
      <c r="AJ620" s="14" t="n"/>
      <c r="AK620" s="12" t="n"/>
      <c r="AL620" s="13" t="n"/>
      <c r="AM620" s="14" t="n"/>
      <c r="AN620" s="12" t="n"/>
      <c r="AO620" s="13" t="n"/>
      <c r="AP620" s="14" t="n"/>
      <c r="AQ620" s="12" t="n"/>
      <c r="AR620" s="13" t="n"/>
      <c r="AS620" s="14" t="n"/>
      <c r="AT620" s="12" t="n"/>
      <c r="AU620" s="13" t="n"/>
      <c r="AV620" s="14" t="n"/>
      <c r="AW620" s="12" t="n"/>
      <c r="AX620" s="13" t="n"/>
      <c r="AY620" s="14" t="n"/>
      <c r="AZ620" s="12" t="n"/>
      <c r="BA620" s="13" t="n"/>
      <c r="BB620" s="14" t="n"/>
      <c r="BC620" s="11">
        <f>IF(O620="","",IF(J620="GST 10%",ROUND(O620*set_GSTRate,2),0))</f>
        <v/>
      </c>
      <c r="BD620" s="11">
        <f>IF(O620="","",O620+BC620)</f>
        <v/>
      </c>
      <c r="BE620" s="15">
        <f>IF(O620="","",COUNTA(S620,V620,Y620,AB620,AE620,AH620,AK620,AN620,AQ620,AT620,AW620,AZ620))</f>
        <v/>
      </c>
      <c r="BF620" s="16">
        <f>IF(COUNT(T620,W620,Z620,AC620,AF620,AI620,AL620,AO620,AR620,AU620,AX620,BA620)=0,"",MAX(T620,W620,Z620,AC620,AF620,AI620,AL620,AO620,AR620,AU620,AX620,BA620))</f>
        <v/>
      </c>
      <c r="BG620" s="10">
        <f>MID(IF(S620="","",", "&amp;S620)&amp;IF(V620="","",", "&amp;V620)&amp;IF(Y620="","",", "&amp;Y620)&amp;IF(AB620="","",", "&amp;AB620)&amp;IF(AE620="","",", "&amp;AE620)&amp;IF(AH620="","",", "&amp;AH620)&amp;IF(AK620="","",", "&amp;AK620)&amp;IF(AN620="","",", "&amp;AN620)&amp;IF(AQ620="","",", "&amp;AQ620)&amp;IF(AT620="","",", "&amp;AT620)&amp;IF(AW620="","",", "&amp;AW620)&amp;IF(AZ620="","",", "&amp;AZ620),3,500)</f>
        <v/>
      </c>
      <c r="BH620" s="12" t="n"/>
      <c r="BI620" s="15">
        <f>IFERROR(MATCH($A620,IF($B620="Onsite",tbl_Onsite[Row ID],IF($B620="Production",tbl_Production[Row ID],tbl_Consulting[Row ID])),0),"")</f>
        <v/>
      </c>
    </row>
    <row r="621">
      <c r="A621" s="10" t="inlineStr">
        <is>
          <t>PRD-0115</t>
        </is>
      </c>
      <c r="B621" s="10" t="inlineStr">
        <is>
          <t>Production</t>
        </is>
      </c>
      <c r="C621" s="10">
        <f>IF($BI621="","",IF($B621="Onsite",INDEX(tbl_Onsite[Job Number],$BI621),IF($B621="Production",INDEX(tbl_Production[Job Number],$BI621),INDEX(tbl_Consulting[Job Number],$BI621)))&amp;"")</f>
        <v/>
      </c>
      <c r="D621" s="10">
        <f>IF($BI621="","",IF($B621="Onsite",INDEX(tbl_Onsite[Client],$BI621),IF($B621="Production",INDEX(tbl_Production[Client],$BI621),INDEX(tbl_Consulting[Client],$BI621)))&amp;"")</f>
        <v/>
      </c>
      <c r="E621" s="10">
        <f>IF($C621="","",IF(COUNTIF(lst_Jobs,$C621)&gt;0,"OK","CHECK"))</f>
        <v/>
      </c>
      <c r="F621" s="10">
        <f>IF($C621="","",IFERROR(INDEX(lst_JobName,MATCH($C621,lst_Jobs,0)),""))</f>
        <v/>
      </c>
      <c r="G621" s="10">
        <f>IF($BI621="","",IF($B621="Onsite",INDEX(tbl_Onsite[Job Description],$BI621),IF($B621="Production",INDEX(tbl_Production[Job Description],$BI621),INDEX(tbl_Consulting[Job Description],$BI621)))&amp;"")</f>
        <v/>
      </c>
      <c r="H621" s="10">
        <f>IF($BI621="","",IF($B621="Onsite",INDEX(tbl_Onsite[Cost Centre],$BI621),IF($B621="Production",INDEX(tbl_Production[Cost Centre],$BI621),INDEX(tbl_Consulting[Cost Centre],$BI621)))&amp;"")</f>
        <v/>
      </c>
      <c r="I621" s="10">
        <f>IF($BI621="","",IF($B621="Onsite",INDEX(tbl_Onsite[Invoice Type],$BI621),IF($B621="Production",INDEX(tbl_Production[Invoice Type],$BI621),INDEX(tbl_Consulting[Invoice Type],$BI621)))&amp;"")</f>
        <v/>
      </c>
      <c r="J621" s="10">
        <f>IF($BI621="","",IF($B621="Onsite",INDEX(tbl_Onsite[Tax Code],$BI621),IF($B621="Production",INDEX(tbl_Production[Tax Code],$BI621),INDEX(tbl_Consulting[Tax Code],$BI621)))&amp;"")</f>
        <v/>
      </c>
      <c r="K621" s="10">
        <f>IF(H621="","",IFERROR(INDEX(lst_CCtoGL,MATCH(H621,lst_CCforGL,0)),""))</f>
        <v/>
      </c>
      <c r="L621" s="10">
        <f>IF($BI621="","",IF($B621="Onsite",INDEX(tbl_Onsite[PO / Reference],$BI621),IF($B621="Production",INDEX(tbl_Production[Current RMS No],$BI621),INDEX(tbl_Consulting[Qwilr Quote],$BI621)))&amp;"")</f>
        <v/>
      </c>
      <c r="M621" s="10">
        <f>IF($BI621="","",IF($B621="Onsite",INDEX(tbl_Onsite[Notes],$BI621),IF($B621="Production",INDEX(tbl_Production[Notes],$BI621),INDEX(tbl_Consulting[Notes],$BI621)))&amp;"")</f>
        <v/>
      </c>
      <c r="N621" s="11">
        <f>IF($BI621="","",IF(IF($B621="Onsite",INDEX(tbl_Onsite[Expected Revenue Ex GST],$BI621),IF($B621="Production",INDEX(tbl_Production[Expected Revenue Ex GST],$BI621),INDEX(tbl_Consulting[Expected Revenue Ex GST],$BI621)))="","",IF($B621="Onsite",INDEX(tbl_Onsite[Expected Revenue Ex GST],$BI621),IF($B621="Production",INDEX(tbl_Production[Expected Revenue Ex GST],$BI621),INDEX(tbl_Consulting[Expected Revenue Ex GST],$BI621)))))</f>
        <v/>
      </c>
      <c r="O621" s="11">
        <f>IF(AND($C621="",NOT(COUNTA($S621:$BB621)&gt;0)),"",SUM(U621,X621,AA621,AD621,AG621,AJ621,AM621,AP621,AS621,AV621,AY621,BB621))</f>
        <v/>
      </c>
      <c r="P621" s="11">
        <f>IF(O621="","",N(N621)-O621)</f>
        <v/>
      </c>
      <c r="Q621" s="10">
        <f>IF(O621="","",IF($C621="","Invoice on empty job row",IF(N621="",IF(ROUND(O621,2)=0,"No dept value","Invoiced - no dept value"),IF(ROUND(O621,2)=0,"Not invoiced - to invoice",IF(ROUND(P621,2)=0,"Agrees",IF(P621&gt;0,"Dept higher - to invoice","Xero higher - check dept"))))))</f>
        <v/>
      </c>
      <c r="R621" s="10">
        <f>IF(AND($C621="",NOT(COUNTA($S621:$BB621)&gt;0),$BI621&lt;&gt;""),"",MID(IF($BI621="","; Row ID not found on the department sheet - a row was deleted","")&amp;IF(AND($C621="",COUNTA($S621:$BB621)&gt;0),"; Invoice entered but the department row has no job number","")&amp;IF(E621="CHECK","; Job number not in the Xero job list","")&amp;IF(AND($C621&lt;&gt;"",COUNTIF($C$7:$C$1506,$C621)&gt;1),"; Job number on more than one row","")&amp;IF(AND($C621&lt;&gt;"",H621=""),"; Dept has not set a cost centre","")&amp;IF(AND($C621&lt;&gt;"",J621=""),"; Dept has not set a tax code","")&amp;IF(AND($C621&lt;&gt;"",N621=""),"; Dept has not entered an expected value","")&amp;IF((IF(OR(COUNTA(S621:U621)=0,AND(COUNTA(S621:U621)=3,ISNUMBER(U621))),0,1)+IF(OR(COUNTA(V621:X621)=0,AND(COUNTA(V621:X621)=3,ISNUMBER(X621))),0,1)+IF(OR(COUNTA(Y621:AA621)=0,AND(COUNTA(Y621:AA621)=3,ISNUMBER(AA621))),0,1)+IF(OR(COUNTA(AB621:AD621)=0,AND(COUNTA(AB621:AD621)=3,ISNUMBER(AD621))),0,1)+IF(OR(COUNTA(AE621:AG621)=0,AND(COUNTA(AE621:AG621)=3,ISNUMBER(AG621))),0,1)+IF(OR(COUNTA(AH621:AJ621)=0,AND(COUNTA(AH621:AJ621)=3,ISNUMBER(AJ621))),0,1)+IF(OR(COUNTA(AK621:AM621)=0,AND(COUNTA(AK621:AM621)=3,ISNUMBER(AM621))),0,1)+IF(OR(COUNTA(AN621:AP621)=0,AND(COUNTA(AN621:AP621)=3,ISNUMBER(AP621))),0,1)+IF(OR(COUNTA(AQ621:AS621)=0,AND(COUNTA(AQ621:AS621)=3,ISNUMBER(AS621))),0,1)+IF(OR(COUNTA(AT621:AV621)=0,AND(COUNTA(AT621:AV621)=3,ISNUMBER(AV621))),0,1)+IF(OR(COUNTA(AW621:AY621)=0,AND(COUNTA(AW621:AY621)=3,ISNUMBER(AY621))),0,1)+IF(OR(COUNTA(AZ621:BB621)=0,AND(COUNTA(AZ621:BB621)=3,ISNUMBER(BB621))),0,1))&gt;0,"; An invoice is incomplete (needs No, Date and a number in Ex GST)","")&amp;IF((IF(T621="",0,IFERROR(--(EOMONTH(T621,0)&lt;&gt;S$5),1))+IF(W621="",0,IFERROR(--(EOMONTH(W621,0)&lt;&gt;V$5),1))+IF(Z621="",0,IFERROR(--(EOMONTH(Z621,0)&lt;&gt;Y$5),1))+IF(AC621="",0,IFERROR(--(EOMONTH(AC621,0)&lt;&gt;AB$5),1))+IF(AF621="",0,IFERROR(--(EOMONTH(AF621,0)&lt;&gt;AE$5),1))+IF(AI621="",0,IFERROR(--(EOMONTH(AI621,0)&lt;&gt;AH$5),1))+IF(AL621="",0,IFERROR(--(EOMONTH(AL621,0)&lt;&gt;AK$5),1))+IF(AO621="",0,IFERROR(--(EOMONTH(AO621,0)&lt;&gt;AN$5),1))+IF(AR621="",0,IFERROR(--(EOMONTH(AR621,0)&lt;&gt;AQ$5),1))+IF(AU621="",0,IFERROR(--(EOMONTH(AU621,0)&lt;&gt;AT$5),1))+IF(AX621="",0,IFERROR(--(EOMONTH(AX621,0)&lt;&gt;AW$5),1))+IF(BA621="",0,IFERROR(--(EOMONTH(BA621,0)&lt;&gt;AZ$5),1)))&gt;0,"; An invoice date is not in the month it is typed under",""),3,500))</f>
        <v/>
      </c>
      <c r="S621" s="12" t="n"/>
      <c r="T621" s="13" t="n"/>
      <c r="U621" s="14" t="n"/>
      <c r="V621" s="12" t="n"/>
      <c r="W621" s="13" t="n"/>
      <c r="X621" s="14" t="n"/>
      <c r="Y621" s="12" t="n"/>
      <c r="Z621" s="13" t="n"/>
      <c r="AA621" s="14" t="n"/>
      <c r="AB621" s="12" t="n"/>
      <c r="AC621" s="13" t="n"/>
      <c r="AD621" s="14" t="n"/>
      <c r="AE621" s="12" t="n"/>
      <c r="AF621" s="13" t="n"/>
      <c r="AG621" s="14" t="n"/>
      <c r="AH621" s="12" t="n"/>
      <c r="AI621" s="13" t="n"/>
      <c r="AJ621" s="14" t="n"/>
      <c r="AK621" s="12" t="n"/>
      <c r="AL621" s="13" t="n"/>
      <c r="AM621" s="14" t="n"/>
      <c r="AN621" s="12" t="n"/>
      <c r="AO621" s="13" t="n"/>
      <c r="AP621" s="14" t="n"/>
      <c r="AQ621" s="12" t="n"/>
      <c r="AR621" s="13" t="n"/>
      <c r="AS621" s="14" t="n"/>
      <c r="AT621" s="12" t="n"/>
      <c r="AU621" s="13" t="n"/>
      <c r="AV621" s="14" t="n"/>
      <c r="AW621" s="12" t="n"/>
      <c r="AX621" s="13" t="n"/>
      <c r="AY621" s="14" t="n"/>
      <c r="AZ621" s="12" t="n"/>
      <c r="BA621" s="13" t="n"/>
      <c r="BB621" s="14" t="n"/>
      <c r="BC621" s="11">
        <f>IF(O621="","",IF(J621="GST 10%",ROUND(O621*set_GSTRate,2),0))</f>
        <v/>
      </c>
      <c r="BD621" s="11">
        <f>IF(O621="","",O621+BC621)</f>
        <v/>
      </c>
      <c r="BE621" s="15">
        <f>IF(O621="","",COUNTA(S621,V621,Y621,AB621,AE621,AH621,AK621,AN621,AQ621,AT621,AW621,AZ621))</f>
        <v/>
      </c>
      <c r="BF621" s="16">
        <f>IF(COUNT(T621,W621,Z621,AC621,AF621,AI621,AL621,AO621,AR621,AU621,AX621,BA621)=0,"",MAX(T621,W621,Z621,AC621,AF621,AI621,AL621,AO621,AR621,AU621,AX621,BA621))</f>
        <v/>
      </c>
      <c r="BG621" s="10">
        <f>MID(IF(S621="","",", "&amp;S621)&amp;IF(V621="","",", "&amp;V621)&amp;IF(Y621="","",", "&amp;Y621)&amp;IF(AB621="","",", "&amp;AB621)&amp;IF(AE621="","",", "&amp;AE621)&amp;IF(AH621="","",", "&amp;AH621)&amp;IF(AK621="","",", "&amp;AK621)&amp;IF(AN621="","",", "&amp;AN621)&amp;IF(AQ621="","",", "&amp;AQ621)&amp;IF(AT621="","",", "&amp;AT621)&amp;IF(AW621="","",", "&amp;AW621)&amp;IF(AZ621="","",", "&amp;AZ621),3,500)</f>
        <v/>
      </c>
      <c r="BH621" s="12" t="n"/>
      <c r="BI621" s="15">
        <f>IFERROR(MATCH($A621,IF($B621="Onsite",tbl_Onsite[Row ID],IF($B621="Production",tbl_Production[Row ID],tbl_Consulting[Row ID])),0),"")</f>
        <v/>
      </c>
    </row>
    <row r="622">
      <c r="A622" s="10" t="inlineStr">
        <is>
          <t>PRD-0116</t>
        </is>
      </c>
      <c r="B622" s="10" t="inlineStr">
        <is>
          <t>Production</t>
        </is>
      </c>
      <c r="C622" s="10">
        <f>IF($BI622="","",IF($B622="Onsite",INDEX(tbl_Onsite[Job Number],$BI622),IF($B622="Production",INDEX(tbl_Production[Job Number],$BI622),INDEX(tbl_Consulting[Job Number],$BI622)))&amp;"")</f>
        <v/>
      </c>
      <c r="D622" s="10">
        <f>IF($BI622="","",IF($B622="Onsite",INDEX(tbl_Onsite[Client],$BI622),IF($B622="Production",INDEX(tbl_Production[Client],$BI622),INDEX(tbl_Consulting[Client],$BI622)))&amp;"")</f>
        <v/>
      </c>
      <c r="E622" s="10">
        <f>IF($C622="","",IF(COUNTIF(lst_Jobs,$C622)&gt;0,"OK","CHECK"))</f>
        <v/>
      </c>
      <c r="F622" s="10">
        <f>IF($C622="","",IFERROR(INDEX(lst_JobName,MATCH($C622,lst_Jobs,0)),""))</f>
        <v/>
      </c>
      <c r="G622" s="10">
        <f>IF($BI622="","",IF($B622="Onsite",INDEX(tbl_Onsite[Job Description],$BI622),IF($B622="Production",INDEX(tbl_Production[Job Description],$BI622),INDEX(tbl_Consulting[Job Description],$BI622)))&amp;"")</f>
        <v/>
      </c>
      <c r="H622" s="10">
        <f>IF($BI622="","",IF($B622="Onsite",INDEX(tbl_Onsite[Cost Centre],$BI622),IF($B622="Production",INDEX(tbl_Production[Cost Centre],$BI622),INDEX(tbl_Consulting[Cost Centre],$BI622)))&amp;"")</f>
        <v/>
      </c>
      <c r="I622" s="10">
        <f>IF($BI622="","",IF($B622="Onsite",INDEX(tbl_Onsite[Invoice Type],$BI622),IF($B622="Production",INDEX(tbl_Production[Invoice Type],$BI622),INDEX(tbl_Consulting[Invoice Type],$BI622)))&amp;"")</f>
        <v/>
      </c>
      <c r="J622" s="10">
        <f>IF($BI622="","",IF($B622="Onsite",INDEX(tbl_Onsite[Tax Code],$BI622),IF($B622="Production",INDEX(tbl_Production[Tax Code],$BI622),INDEX(tbl_Consulting[Tax Code],$BI622)))&amp;"")</f>
        <v/>
      </c>
      <c r="K622" s="10">
        <f>IF(H622="","",IFERROR(INDEX(lst_CCtoGL,MATCH(H622,lst_CCforGL,0)),""))</f>
        <v/>
      </c>
      <c r="L622" s="10">
        <f>IF($BI622="","",IF($B622="Onsite",INDEX(tbl_Onsite[PO / Reference],$BI622),IF($B622="Production",INDEX(tbl_Production[Current RMS No],$BI622),INDEX(tbl_Consulting[Qwilr Quote],$BI622)))&amp;"")</f>
        <v/>
      </c>
      <c r="M622" s="10">
        <f>IF($BI622="","",IF($B622="Onsite",INDEX(tbl_Onsite[Notes],$BI622),IF($B622="Production",INDEX(tbl_Production[Notes],$BI622),INDEX(tbl_Consulting[Notes],$BI622)))&amp;"")</f>
        <v/>
      </c>
      <c r="N622" s="11">
        <f>IF($BI622="","",IF(IF($B622="Onsite",INDEX(tbl_Onsite[Expected Revenue Ex GST],$BI622),IF($B622="Production",INDEX(tbl_Production[Expected Revenue Ex GST],$BI622),INDEX(tbl_Consulting[Expected Revenue Ex GST],$BI622)))="","",IF($B622="Onsite",INDEX(tbl_Onsite[Expected Revenue Ex GST],$BI622),IF($B622="Production",INDEX(tbl_Production[Expected Revenue Ex GST],$BI622),INDEX(tbl_Consulting[Expected Revenue Ex GST],$BI622)))))</f>
        <v/>
      </c>
      <c r="O622" s="11">
        <f>IF(AND($C622="",NOT(COUNTA($S622:$BB622)&gt;0)),"",SUM(U622,X622,AA622,AD622,AG622,AJ622,AM622,AP622,AS622,AV622,AY622,BB622))</f>
        <v/>
      </c>
      <c r="P622" s="11">
        <f>IF(O622="","",N(N622)-O622)</f>
        <v/>
      </c>
      <c r="Q622" s="10">
        <f>IF(O622="","",IF($C622="","Invoice on empty job row",IF(N622="",IF(ROUND(O622,2)=0,"No dept value","Invoiced - no dept value"),IF(ROUND(O622,2)=0,"Not invoiced - to invoice",IF(ROUND(P622,2)=0,"Agrees",IF(P622&gt;0,"Dept higher - to invoice","Xero higher - check dept"))))))</f>
        <v/>
      </c>
      <c r="R622" s="10">
        <f>IF(AND($C622="",NOT(COUNTA($S622:$BB622)&gt;0),$BI622&lt;&gt;""),"",MID(IF($BI622="","; Row ID not found on the department sheet - a row was deleted","")&amp;IF(AND($C622="",COUNTA($S622:$BB622)&gt;0),"; Invoice entered but the department row has no job number","")&amp;IF(E622="CHECK","; Job number not in the Xero job list","")&amp;IF(AND($C622&lt;&gt;"",COUNTIF($C$7:$C$1506,$C622)&gt;1),"; Job number on more than one row","")&amp;IF(AND($C622&lt;&gt;"",H622=""),"; Dept has not set a cost centre","")&amp;IF(AND($C622&lt;&gt;"",J622=""),"; Dept has not set a tax code","")&amp;IF(AND($C622&lt;&gt;"",N622=""),"; Dept has not entered an expected value","")&amp;IF((IF(OR(COUNTA(S622:U622)=0,AND(COUNTA(S622:U622)=3,ISNUMBER(U622))),0,1)+IF(OR(COUNTA(V622:X622)=0,AND(COUNTA(V622:X622)=3,ISNUMBER(X622))),0,1)+IF(OR(COUNTA(Y622:AA622)=0,AND(COUNTA(Y622:AA622)=3,ISNUMBER(AA622))),0,1)+IF(OR(COUNTA(AB622:AD622)=0,AND(COUNTA(AB622:AD622)=3,ISNUMBER(AD622))),0,1)+IF(OR(COUNTA(AE622:AG622)=0,AND(COUNTA(AE622:AG622)=3,ISNUMBER(AG622))),0,1)+IF(OR(COUNTA(AH622:AJ622)=0,AND(COUNTA(AH622:AJ622)=3,ISNUMBER(AJ622))),0,1)+IF(OR(COUNTA(AK622:AM622)=0,AND(COUNTA(AK622:AM622)=3,ISNUMBER(AM622))),0,1)+IF(OR(COUNTA(AN622:AP622)=0,AND(COUNTA(AN622:AP622)=3,ISNUMBER(AP622))),0,1)+IF(OR(COUNTA(AQ622:AS622)=0,AND(COUNTA(AQ622:AS622)=3,ISNUMBER(AS622))),0,1)+IF(OR(COUNTA(AT622:AV622)=0,AND(COUNTA(AT622:AV622)=3,ISNUMBER(AV622))),0,1)+IF(OR(COUNTA(AW622:AY622)=0,AND(COUNTA(AW622:AY622)=3,ISNUMBER(AY622))),0,1)+IF(OR(COUNTA(AZ622:BB622)=0,AND(COUNTA(AZ622:BB622)=3,ISNUMBER(BB622))),0,1))&gt;0,"; An invoice is incomplete (needs No, Date and a number in Ex GST)","")&amp;IF((IF(T622="",0,IFERROR(--(EOMONTH(T622,0)&lt;&gt;S$5),1))+IF(W622="",0,IFERROR(--(EOMONTH(W622,0)&lt;&gt;V$5),1))+IF(Z622="",0,IFERROR(--(EOMONTH(Z622,0)&lt;&gt;Y$5),1))+IF(AC622="",0,IFERROR(--(EOMONTH(AC622,0)&lt;&gt;AB$5),1))+IF(AF622="",0,IFERROR(--(EOMONTH(AF622,0)&lt;&gt;AE$5),1))+IF(AI622="",0,IFERROR(--(EOMONTH(AI622,0)&lt;&gt;AH$5),1))+IF(AL622="",0,IFERROR(--(EOMONTH(AL622,0)&lt;&gt;AK$5),1))+IF(AO622="",0,IFERROR(--(EOMONTH(AO622,0)&lt;&gt;AN$5),1))+IF(AR622="",0,IFERROR(--(EOMONTH(AR622,0)&lt;&gt;AQ$5),1))+IF(AU622="",0,IFERROR(--(EOMONTH(AU622,0)&lt;&gt;AT$5),1))+IF(AX622="",0,IFERROR(--(EOMONTH(AX622,0)&lt;&gt;AW$5),1))+IF(BA622="",0,IFERROR(--(EOMONTH(BA622,0)&lt;&gt;AZ$5),1)))&gt;0,"; An invoice date is not in the month it is typed under",""),3,500))</f>
        <v/>
      </c>
      <c r="S622" s="12" t="n"/>
      <c r="T622" s="13" t="n"/>
      <c r="U622" s="14" t="n"/>
      <c r="V622" s="12" t="n"/>
      <c r="W622" s="13" t="n"/>
      <c r="X622" s="14" t="n"/>
      <c r="Y622" s="12" t="n"/>
      <c r="Z622" s="13" t="n"/>
      <c r="AA622" s="14" t="n"/>
      <c r="AB622" s="12" t="n"/>
      <c r="AC622" s="13" t="n"/>
      <c r="AD622" s="14" t="n"/>
      <c r="AE622" s="12" t="n"/>
      <c r="AF622" s="13" t="n"/>
      <c r="AG622" s="14" t="n"/>
      <c r="AH622" s="12" t="n"/>
      <c r="AI622" s="13" t="n"/>
      <c r="AJ622" s="14" t="n"/>
      <c r="AK622" s="12" t="n"/>
      <c r="AL622" s="13" t="n"/>
      <c r="AM622" s="14" t="n"/>
      <c r="AN622" s="12" t="n"/>
      <c r="AO622" s="13" t="n"/>
      <c r="AP622" s="14" t="n"/>
      <c r="AQ622" s="12" t="n"/>
      <c r="AR622" s="13" t="n"/>
      <c r="AS622" s="14" t="n"/>
      <c r="AT622" s="12" t="n"/>
      <c r="AU622" s="13" t="n"/>
      <c r="AV622" s="14" t="n"/>
      <c r="AW622" s="12" t="n"/>
      <c r="AX622" s="13" t="n"/>
      <c r="AY622" s="14" t="n"/>
      <c r="AZ622" s="12" t="n"/>
      <c r="BA622" s="13" t="n"/>
      <c r="BB622" s="14" t="n"/>
      <c r="BC622" s="11">
        <f>IF(O622="","",IF(J622="GST 10%",ROUND(O622*set_GSTRate,2),0))</f>
        <v/>
      </c>
      <c r="BD622" s="11">
        <f>IF(O622="","",O622+BC622)</f>
        <v/>
      </c>
      <c r="BE622" s="15">
        <f>IF(O622="","",COUNTA(S622,V622,Y622,AB622,AE622,AH622,AK622,AN622,AQ622,AT622,AW622,AZ622))</f>
        <v/>
      </c>
      <c r="BF622" s="16">
        <f>IF(COUNT(T622,W622,Z622,AC622,AF622,AI622,AL622,AO622,AR622,AU622,AX622,BA622)=0,"",MAX(T622,W622,Z622,AC622,AF622,AI622,AL622,AO622,AR622,AU622,AX622,BA622))</f>
        <v/>
      </c>
      <c r="BG622" s="10">
        <f>MID(IF(S622="","",", "&amp;S622)&amp;IF(V622="","",", "&amp;V622)&amp;IF(Y622="","",", "&amp;Y622)&amp;IF(AB622="","",", "&amp;AB622)&amp;IF(AE622="","",", "&amp;AE622)&amp;IF(AH622="","",", "&amp;AH622)&amp;IF(AK622="","",", "&amp;AK622)&amp;IF(AN622="","",", "&amp;AN622)&amp;IF(AQ622="","",", "&amp;AQ622)&amp;IF(AT622="","",", "&amp;AT622)&amp;IF(AW622="","",", "&amp;AW622)&amp;IF(AZ622="","",", "&amp;AZ622),3,500)</f>
        <v/>
      </c>
      <c r="BH622" s="12" t="n"/>
      <c r="BI622" s="15">
        <f>IFERROR(MATCH($A622,IF($B622="Onsite",tbl_Onsite[Row ID],IF($B622="Production",tbl_Production[Row ID],tbl_Consulting[Row ID])),0),"")</f>
        <v/>
      </c>
    </row>
    <row r="623">
      <c r="A623" s="10" t="inlineStr">
        <is>
          <t>PRD-0117</t>
        </is>
      </c>
      <c r="B623" s="10" t="inlineStr">
        <is>
          <t>Production</t>
        </is>
      </c>
      <c r="C623" s="10">
        <f>IF($BI623="","",IF($B623="Onsite",INDEX(tbl_Onsite[Job Number],$BI623),IF($B623="Production",INDEX(tbl_Production[Job Number],$BI623),INDEX(tbl_Consulting[Job Number],$BI623)))&amp;"")</f>
        <v/>
      </c>
      <c r="D623" s="10">
        <f>IF($BI623="","",IF($B623="Onsite",INDEX(tbl_Onsite[Client],$BI623),IF($B623="Production",INDEX(tbl_Production[Client],$BI623),INDEX(tbl_Consulting[Client],$BI623)))&amp;"")</f>
        <v/>
      </c>
      <c r="E623" s="10">
        <f>IF($C623="","",IF(COUNTIF(lst_Jobs,$C623)&gt;0,"OK","CHECK"))</f>
        <v/>
      </c>
      <c r="F623" s="10">
        <f>IF($C623="","",IFERROR(INDEX(lst_JobName,MATCH($C623,lst_Jobs,0)),""))</f>
        <v/>
      </c>
      <c r="G623" s="10">
        <f>IF($BI623="","",IF($B623="Onsite",INDEX(tbl_Onsite[Job Description],$BI623),IF($B623="Production",INDEX(tbl_Production[Job Description],$BI623),INDEX(tbl_Consulting[Job Description],$BI623)))&amp;"")</f>
        <v/>
      </c>
      <c r="H623" s="10">
        <f>IF($BI623="","",IF($B623="Onsite",INDEX(tbl_Onsite[Cost Centre],$BI623),IF($B623="Production",INDEX(tbl_Production[Cost Centre],$BI623),INDEX(tbl_Consulting[Cost Centre],$BI623)))&amp;"")</f>
        <v/>
      </c>
      <c r="I623" s="10">
        <f>IF($BI623="","",IF($B623="Onsite",INDEX(tbl_Onsite[Invoice Type],$BI623),IF($B623="Production",INDEX(tbl_Production[Invoice Type],$BI623),INDEX(tbl_Consulting[Invoice Type],$BI623)))&amp;"")</f>
        <v/>
      </c>
      <c r="J623" s="10">
        <f>IF($BI623="","",IF($B623="Onsite",INDEX(tbl_Onsite[Tax Code],$BI623),IF($B623="Production",INDEX(tbl_Production[Tax Code],$BI623),INDEX(tbl_Consulting[Tax Code],$BI623)))&amp;"")</f>
        <v/>
      </c>
      <c r="K623" s="10">
        <f>IF(H623="","",IFERROR(INDEX(lst_CCtoGL,MATCH(H623,lst_CCforGL,0)),""))</f>
        <v/>
      </c>
      <c r="L623" s="10">
        <f>IF($BI623="","",IF($B623="Onsite",INDEX(tbl_Onsite[PO / Reference],$BI623),IF($B623="Production",INDEX(tbl_Production[Current RMS No],$BI623),INDEX(tbl_Consulting[Qwilr Quote],$BI623)))&amp;"")</f>
        <v/>
      </c>
      <c r="M623" s="10">
        <f>IF($BI623="","",IF($B623="Onsite",INDEX(tbl_Onsite[Notes],$BI623),IF($B623="Production",INDEX(tbl_Production[Notes],$BI623),INDEX(tbl_Consulting[Notes],$BI623)))&amp;"")</f>
        <v/>
      </c>
      <c r="N623" s="11">
        <f>IF($BI623="","",IF(IF($B623="Onsite",INDEX(tbl_Onsite[Expected Revenue Ex GST],$BI623),IF($B623="Production",INDEX(tbl_Production[Expected Revenue Ex GST],$BI623),INDEX(tbl_Consulting[Expected Revenue Ex GST],$BI623)))="","",IF($B623="Onsite",INDEX(tbl_Onsite[Expected Revenue Ex GST],$BI623),IF($B623="Production",INDEX(tbl_Production[Expected Revenue Ex GST],$BI623),INDEX(tbl_Consulting[Expected Revenue Ex GST],$BI623)))))</f>
        <v/>
      </c>
      <c r="O623" s="11">
        <f>IF(AND($C623="",NOT(COUNTA($S623:$BB623)&gt;0)),"",SUM(U623,X623,AA623,AD623,AG623,AJ623,AM623,AP623,AS623,AV623,AY623,BB623))</f>
        <v/>
      </c>
      <c r="P623" s="11">
        <f>IF(O623="","",N(N623)-O623)</f>
        <v/>
      </c>
      <c r="Q623" s="10">
        <f>IF(O623="","",IF($C623="","Invoice on empty job row",IF(N623="",IF(ROUND(O623,2)=0,"No dept value","Invoiced - no dept value"),IF(ROUND(O623,2)=0,"Not invoiced - to invoice",IF(ROUND(P623,2)=0,"Agrees",IF(P623&gt;0,"Dept higher - to invoice","Xero higher - check dept"))))))</f>
        <v/>
      </c>
      <c r="R623" s="10">
        <f>IF(AND($C623="",NOT(COUNTA($S623:$BB623)&gt;0),$BI623&lt;&gt;""),"",MID(IF($BI623="","; Row ID not found on the department sheet - a row was deleted","")&amp;IF(AND($C623="",COUNTA($S623:$BB623)&gt;0),"; Invoice entered but the department row has no job number","")&amp;IF(E623="CHECK","; Job number not in the Xero job list","")&amp;IF(AND($C623&lt;&gt;"",COUNTIF($C$7:$C$1506,$C623)&gt;1),"; Job number on more than one row","")&amp;IF(AND($C623&lt;&gt;"",H623=""),"; Dept has not set a cost centre","")&amp;IF(AND($C623&lt;&gt;"",J623=""),"; Dept has not set a tax code","")&amp;IF(AND($C623&lt;&gt;"",N623=""),"; Dept has not entered an expected value","")&amp;IF((IF(OR(COUNTA(S623:U623)=0,AND(COUNTA(S623:U623)=3,ISNUMBER(U623))),0,1)+IF(OR(COUNTA(V623:X623)=0,AND(COUNTA(V623:X623)=3,ISNUMBER(X623))),0,1)+IF(OR(COUNTA(Y623:AA623)=0,AND(COUNTA(Y623:AA623)=3,ISNUMBER(AA623))),0,1)+IF(OR(COUNTA(AB623:AD623)=0,AND(COUNTA(AB623:AD623)=3,ISNUMBER(AD623))),0,1)+IF(OR(COUNTA(AE623:AG623)=0,AND(COUNTA(AE623:AG623)=3,ISNUMBER(AG623))),0,1)+IF(OR(COUNTA(AH623:AJ623)=0,AND(COUNTA(AH623:AJ623)=3,ISNUMBER(AJ623))),0,1)+IF(OR(COUNTA(AK623:AM623)=0,AND(COUNTA(AK623:AM623)=3,ISNUMBER(AM623))),0,1)+IF(OR(COUNTA(AN623:AP623)=0,AND(COUNTA(AN623:AP623)=3,ISNUMBER(AP623))),0,1)+IF(OR(COUNTA(AQ623:AS623)=0,AND(COUNTA(AQ623:AS623)=3,ISNUMBER(AS623))),0,1)+IF(OR(COUNTA(AT623:AV623)=0,AND(COUNTA(AT623:AV623)=3,ISNUMBER(AV623))),0,1)+IF(OR(COUNTA(AW623:AY623)=0,AND(COUNTA(AW623:AY623)=3,ISNUMBER(AY623))),0,1)+IF(OR(COUNTA(AZ623:BB623)=0,AND(COUNTA(AZ623:BB623)=3,ISNUMBER(BB623))),0,1))&gt;0,"; An invoice is incomplete (needs No, Date and a number in Ex GST)","")&amp;IF((IF(T623="",0,IFERROR(--(EOMONTH(T623,0)&lt;&gt;S$5),1))+IF(W623="",0,IFERROR(--(EOMONTH(W623,0)&lt;&gt;V$5),1))+IF(Z623="",0,IFERROR(--(EOMONTH(Z623,0)&lt;&gt;Y$5),1))+IF(AC623="",0,IFERROR(--(EOMONTH(AC623,0)&lt;&gt;AB$5),1))+IF(AF623="",0,IFERROR(--(EOMONTH(AF623,0)&lt;&gt;AE$5),1))+IF(AI623="",0,IFERROR(--(EOMONTH(AI623,0)&lt;&gt;AH$5),1))+IF(AL623="",0,IFERROR(--(EOMONTH(AL623,0)&lt;&gt;AK$5),1))+IF(AO623="",0,IFERROR(--(EOMONTH(AO623,0)&lt;&gt;AN$5),1))+IF(AR623="",0,IFERROR(--(EOMONTH(AR623,0)&lt;&gt;AQ$5),1))+IF(AU623="",0,IFERROR(--(EOMONTH(AU623,0)&lt;&gt;AT$5),1))+IF(AX623="",0,IFERROR(--(EOMONTH(AX623,0)&lt;&gt;AW$5),1))+IF(BA623="",0,IFERROR(--(EOMONTH(BA623,0)&lt;&gt;AZ$5),1)))&gt;0,"; An invoice date is not in the month it is typed under",""),3,500))</f>
        <v/>
      </c>
      <c r="S623" s="12" t="n"/>
      <c r="T623" s="13" t="n"/>
      <c r="U623" s="14" t="n"/>
      <c r="V623" s="12" t="n"/>
      <c r="W623" s="13" t="n"/>
      <c r="X623" s="14" t="n"/>
      <c r="Y623" s="12" t="n"/>
      <c r="Z623" s="13" t="n"/>
      <c r="AA623" s="14" t="n"/>
      <c r="AB623" s="12" t="n"/>
      <c r="AC623" s="13" t="n"/>
      <c r="AD623" s="14" t="n"/>
      <c r="AE623" s="12" t="n"/>
      <c r="AF623" s="13" t="n"/>
      <c r="AG623" s="14" t="n"/>
      <c r="AH623" s="12" t="n"/>
      <c r="AI623" s="13" t="n"/>
      <c r="AJ623" s="14" t="n"/>
      <c r="AK623" s="12" t="n"/>
      <c r="AL623" s="13" t="n"/>
      <c r="AM623" s="14" t="n"/>
      <c r="AN623" s="12" t="n"/>
      <c r="AO623" s="13" t="n"/>
      <c r="AP623" s="14" t="n"/>
      <c r="AQ623" s="12" t="n"/>
      <c r="AR623" s="13" t="n"/>
      <c r="AS623" s="14" t="n"/>
      <c r="AT623" s="12" t="n"/>
      <c r="AU623" s="13" t="n"/>
      <c r="AV623" s="14" t="n"/>
      <c r="AW623" s="12" t="n"/>
      <c r="AX623" s="13" t="n"/>
      <c r="AY623" s="14" t="n"/>
      <c r="AZ623" s="12" t="n"/>
      <c r="BA623" s="13" t="n"/>
      <c r="BB623" s="14" t="n"/>
      <c r="BC623" s="11">
        <f>IF(O623="","",IF(J623="GST 10%",ROUND(O623*set_GSTRate,2),0))</f>
        <v/>
      </c>
      <c r="BD623" s="11">
        <f>IF(O623="","",O623+BC623)</f>
        <v/>
      </c>
      <c r="BE623" s="15">
        <f>IF(O623="","",COUNTA(S623,V623,Y623,AB623,AE623,AH623,AK623,AN623,AQ623,AT623,AW623,AZ623))</f>
        <v/>
      </c>
      <c r="BF623" s="16">
        <f>IF(COUNT(T623,W623,Z623,AC623,AF623,AI623,AL623,AO623,AR623,AU623,AX623,BA623)=0,"",MAX(T623,W623,Z623,AC623,AF623,AI623,AL623,AO623,AR623,AU623,AX623,BA623))</f>
        <v/>
      </c>
      <c r="BG623" s="10">
        <f>MID(IF(S623="","",", "&amp;S623)&amp;IF(V623="","",", "&amp;V623)&amp;IF(Y623="","",", "&amp;Y623)&amp;IF(AB623="","",", "&amp;AB623)&amp;IF(AE623="","",", "&amp;AE623)&amp;IF(AH623="","",", "&amp;AH623)&amp;IF(AK623="","",", "&amp;AK623)&amp;IF(AN623="","",", "&amp;AN623)&amp;IF(AQ623="","",", "&amp;AQ623)&amp;IF(AT623="","",", "&amp;AT623)&amp;IF(AW623="","",", "&amp;AW623)&amp;IF(AZ623="","",", "&amp;AZ623),3,500)</f>
        <v/>
      </c>
      <c r="BH623" s="12" t="n"/>
      <c r="BI623" s="15">
        <f>IFERROR(MATCH($A623,IF($B623="Onsite",tbl_Onsite[Row ID],IF($B623="Production",tbl_Production[Row ID],tbl_Consulting[Row ID])),0),"")</f>
        <v/>
      </c>
    </row>
    <row r="624">
      <c r="A624" s="10" t="inlineStr">
        <is>
          <t>PRD-0118</t>
        </is>
      </c>
      <c r="B624" s="10" t="inlineStr">
        <is>
          <t>Production</t>
        </is>
      </c>
      <c r="C624" s="10">
        <f>IF($BI624="","",IF($B624="Onsite",INDEX(tbl_Onsite[Job Number],$BI624),IF($B624="Production",INDEX(tbl_Production[Job Number],$BI624),INDEX(tbl_Consulting[Job Number],$BI624)))&amp;"")</f>
        <v/>
      </c>
      <c r="D624" s="10">
        <f>IF($BI624="","",IF($B624="Onsite",INDEX(tbl_Onsite[Client],$BI624),IF($B624="Production",INDEX(tbl_Production[Client],$BI624),INDEX(tbl_Consulting[Client],$BI624)))&amp;"")</f>
        <v/>
      </c>
      <c r="E624" s="10">
        <f>IF($C624="","",IF(COUNTIF(lst_Jobs,$C624)&gt;0,"OK","CHECK"))</f>
        <v/>
      </c>
      <c r="F624" s="10">
        <f>IF($C624="","",IFERROR(INDEX(lst_JobName,MATCH($C624,lst_Jobs,0)),""))</f>
        <v/>
      </c>
      <c r="G624" s="10">
        <f>IF($BI624="","",IF($B624="Onsite",INDEX(tbl_Onsite[Job Description],$BI624),IF($B624="Production",INDEX(tbl_Production[Job Description],$BI624),INDEX(tbl_Consulting[Job Description],$BI624)))&amp;"")</f>
        <v/>
      </c>
      <c r="H624" s="10">
        <f>IF($BI624="","",IF($B624="Onsite",INDEX(tbl_Onsite[Cost Centre],$BI624),IF($B624="Production",INDEX(tbl_Production[Cost Centre],$BI624),INDEX(tbl_Consulting[Cost Centre],$BI624)))&amp;"")</f>
        <v/>
      </c>
      <c r="I624" s="10">
        <f>IF($BI624="","",IF($B624="Onsite",INDEX(tbl_Onsite[Invoice Type],$BI624),IF($B624="Production",INDEX(tbl_Production[Invoice Type],$BI624),INDEX(tbl_Consulting[Invoice Type],$BI624)))&amp;"")</f>
        <v/>
      </c>
      <c r="J624" s="10">
        <f>IF($BI624="","",IF($B624="Onsite",INDEX(tbl_Onsite[Tax Code],$BI624),IF($B624="Production",INDEX(tbl_Production[Tax Code],$BI624),INDEX(tbl_Consulting[Tax Code],$BI624)))&amp;"")</f>
        <v/>
      </c>
      <c r="K624" s="10">
        <f>IF(H624="","",IFERROR(INDEX(lst_CCtoGL,MATCH(H624,lst_CCforGL,0)),""))</f>
        <v/>
      </c>
      <c r="L624" s="10">
        <f>IF($BI624="","",IF($B624="Onsite",INDEX(tbl_Onsite[PO / Reference],$BI624),IF($B624="Production",INDEX(tbl_Production[Current RMS No],$BI624),INDEX(tbl_Consulting[Qwilr Quote],$BI624)))&amp;"")</f>
        <v/>
      </c>
      <c r="M624" s="10">
        <f>IF($BI624="","",IF($B624="Onsite",INDEX(tbl_Onsite[Notes],$BI624),IF($B624="Production",INDEX(tbl_Production[Notes],$BI624),INDEX(tbl_Consulting[Notes],$BI624)))&amp;"")</f>
        <v/>
      </c>
      <c r="N624" s="11">
        <f>IF($BI624="","",IF(IF($B624="Onsite",INDEX(tbl_Onsite[Expected Revenue Ex GST],$BI624),IF($B624="Production",INDEX(tbl_Production[Expected Revenue Ex GST],$BI624),INDEX(tbl_Consulting[Expected Revenue Ex GST],$BI624)))="","",IF($B624="Onsite",INDEX(tbl_Onsite[Expected Revenue Ex GST],$BI624),IF($B624="Production",INDEX(tbl_Production[Expected Revenue Ex GST],$BI624),INDEX(tbl_Consulting[Expected Revenue Ex GST],$BI624)))))</f>
        <v/>
      </c>
      <c r="O624" s="11">
        <f>IF(AND($C624="",NOT(COUNTA($S624:$BB624)&gt;0)),"",SUM(U624,X624,AA624,AD624,AG624,AJ624,AM624,AP624,AS624,AV624,AY624,BB624))</f>
        <v/>
      </c>
      <c r="P624" s="11">
        <f>IF(O624="","",N(N624)-O624)</f>
        <v/>
      </c>
      <c r="Q624" s="10">
        <f>IF(O624="","",IF($C624="","Invoice on empty job row",IF(N624="",IF(ROUND(O624,2)=0,"No dept value","Invoiced - no dept value"),IF(ROUND(O624,2)=0,"Not invoiced - to invoice",IF(ROUND(P624,2)=0,"Agrees",IF(P624&gt;0,"Dept higher - to invoice","Xero higher - check dept"))))))</f>
        <v/>
      </c>
      <c r="R624" s="10">
        <f>IF(AND($C624="",NOT(COUNTA($S624:$BB624)&gt;0),$BI624&lt;&gt;""),"",MID(IF($BI624="","; Row ID not found on the department sheet - a row was deleted","")&amp;IF(AND($C624="",COUNTA($S624:$BB624)&gt;0),"; Invoice entered but the department row has no job number","")&amp;IF(E624="CHECK","; Job number not in the Xero job list","")&amp;IF(AND($C624&lt;&gt;"",COUNTIF($C$7:$C$1506,$C624)&gt;1),"; Job number on more than one row","")&amp;IF(AND($C624&lt;&gt;"",H624=""),"; Dept has not set a cost centre","")&amp;IF(AND($C624&lt;&gt;"",J624=""),"; Dept has not set a tax code","")&amp;IF(AND($C624&lt;&gt;"",N624=""),"; Dept has not entered an expected value","")&amp;IF((IF(OR(COUNTA(S624:U624)=0,AND(COUNTA(S624:U624)=3,ISNUMBER(U624))),0,1)+IF(OR(COUNTA(V624:X624)=0,AND(COUNTA(V624:X624)=3,ISNUMBER(X624))),0,1)+IF(OR(COUNTA(Y624:AA624)=0,AND(COUNTA(Y624:AA624)=3,ISNUMBER(AA624))),0,1)+IF(OR(COUNTA(AB624:AD624)=0,AND(COUNTA(AB624:AD624)=3,ISNUMBER(AD624))),0,1)+IF(OR(COUNTA(AE624:AG624)=0,AND(COUNTA(AE624:AG624)=3,ISNUMBER(AG624))),0,1)+IF(OR(COUNTA(AH624:AJ624)=0,AND(COUNTA(AH624:AJ624)=3,ISNUMBER(AJ624))),0,1)+IF(OR(COUNTA(AK624:AM624)=0,AND(COUNTA(AK624:AM624)=3,ISNUMBER(AM624))),0,1)+IF(OR(COUNTA(AN624:AP624)=0,AND(COUNTA(AN624:AP624)=3,ISNUMBER(AP624))),0,1)+IF(OR(COUNTA(AQ624:AS624)=0,AND(COUNTA(AQ624:AS624)=3,ISNUMBER(AS624))),0,1)+IF(OR(COUNTA(AT624:AV624)=0,AND(COUNTA(AT624:AV624)=3,ISNUMBER(AV624))),0,1)+IF(OR(COUNTA(AW624:AY624)=0,AND(COUNTA(AW624:AY624)=3,ISNUMBER(AY624))),0,1)+IF(OR(COUNTA(AZ624:BB624)=0,AND(COUNTA(AZ624:BB624)=3,ISNUMBER(BB624))),0,1))&gt;0,"; An invoice is incomplete (needs No, Date and a number in Ex GST)","")&amp;IF((IF(T624="",0,IFERROR(--(EOMONTH(T624,0)&lt;&gt;S$5),1))+IF(W624="",0,IFERROR(--(EOMONTH(W624,0)&lt;&gt;V$5),1))+IF(Z624="",0,IFERROR(--(EOMONTH(Z624,0)&lt;&gt;Y$5),1))+IF(AC624="",0,IFERROR(--(EOMONTH(AC624,0)&lt;&gt;AB$5),1))+IF(AF624="",0,IFERROR(--(EOMONTH(AF624,0)&lt;&gt;AE$5),1))+IF(AI624="",0,IFERROR(--(EOMONTH(AI624,0)&lt;&gt;AH$5),1))+IF(AL624="",0,IFERROR(--(EOMONTH(AL624,0)&lt;&gt;AK$5),1))+IF(AO624="",0,IFERROR(--(EOMONTH(AO624,0)&lt;&gt;AN$5),1))+IF(AR624="",0,IFERROR(--(EOMONTH(AR624,0)&lt;&gt;AQ$5),1))+IF(AU624="",0,IFERROR(--(EOMONTH(AU624,0)&lt;&gt;AT$5),1))+IF(AX624="",0,IFERROR(--(EOMONTH(AX624,0)&lt;&gt;AW$5),1))+IF(BA624="",0,IFERROR(--(EOMONTH(BA624,0)&lt;&gt;AZ$5),1)))&gt;0,"; An invoice date is not in the month it is typed under",""),3,500))</f>
        <v/>
      </c>
      <c r="S624" s="12" t="n"/>
      <c r="T624" s="13" t="n"/>
      <c r="U624" s="14" t="n"/>
      <c r="V624" s="12" t="n"/>
      <c r="W624" s="13" t="n"/>
      <c r="X624" s="14" t="n"/>
      <c r="Y624" s="12" t="n"/>
      <c r="Z624" s="13" t="n"/>
      <c r="AA624" s="14" t="n"/>
      <c r="AB624" s="12" t="n"/>
      <c r="AC624" s="13" t="n"/>
      <c r="AD624" s="14" t="n"/>
      <c r="AE624" s="12" t="n"/>
      <c r="AF624" s="13" t="n"/>
      <c r="AG624" s="14" t="n"/>
      <c r="AH624" s="12" t="n"/>
      <c r="AI624" s="13" t="n"/>
      <c r="AJ624" s="14" t="n"/>
      <c r="AK624" s="12" t="n"/>
      <c r="AL624" s="13" t="n"/>
      <c r="AM624" s="14" t="n"/>
      <c r="AN624" s="12" t="n"/>
      <c r="AO624" s="13" t="n"/>
      <c r="AP624" s="14" t="n"/>
      <c r="AQ624" s="12" t="n"/>
      <c r="AR624" s="13" t="n"/>
      <c r="AS624" s="14" t="n"/>
      <c r="AT624" s="12" t="n"/>
      <c r="AU624" s="13" t="n"/>
      <c r="AV624" s="14" t="n"/>
      <c r="AW624" s="12" t="n"/>
      <c r="AX624" s="13" t="n"/>
      <c r="AY624" s="14" t="n"/>
      <c r="AZ624" s="12" t="n"/>
      <c r="BA624" s="13" t="n"/>
      <c r="BB624" s="14" t="n"/>
      <c r="BC624" s="11">
        <f>IF(O624="","",IF(J624="GST 10%",ROUND(O624*set_GSTRate,2),0))</f>
        <v/>
      </c>
      <c r="BD624" s="11">
        <f>IF(O624="","",O624+BC624)</f>
        <v/>
      </c>
      <c r="BE624" s="15">
        <f>IF(O624="","",COUNTA(S624,V624,Y624,AB624,AE624,AH624,AK624,AN624,AQ624,AT624,AW624,AZ624))</f>
        <v/>
      </c>
      <c r="BF624" s="16">
        <f>IF(COUNT(T624,W624,Z624,AC624,AF624,AI624,AL624,AO624,AR624,AU624,AX624,BA624)=0,"",MAX(T624,W624,Z624,AC624,AF624,AI624,AL624,AO624,AR624,AU624,AX624,BA624))</f>
        <v/>
      </c>
      <c r="BG624" s="10">
        <f>MID(IF(S624="","",", "&amp;S624)&amp;IF(V624="","",", "&amp;V624)&amp;IF(Y624="","",", "&amp;Y624)&amp;IF(AB624="","",", "&amp;AB624)&amp;IF(AE624="","",", "&amp;AE624)&amp;IF(AH624="","",", "&amp;AH624)&amp;IF(AK624="","",", "&amp;AK624)&amp;IF(AN624="","",", "&amp;AN624)&amp;IF(AQ624="","",", "&amp;AQ624)&amp;IF(AT624="","",", "&amp;AT624)&amp;IF(AW624="","",", "&amp;AW624)&amp;IF(AZ624="","",", "&amp;AZ624),3,500)</f>
        <v/>
      </c>
      <c r="BH624" s="12" t="n"/>
      <c r="BI624" s="15">
        <f>IFERROR(MATCH($A624,IF($B624="Onsite",tbl_Onsite[Row ID],IF($B624="Production",tbl_Production[Row ID],tbl_Consulting[Row ID])),0),"")</f>
        <v/>
      </c>
    </row>
    <row r="625">
      <c r="A625" s="10" t="inlineStr">
        <is>
          <t>PRD-0119</t>
        </is>
      </c>
      <c r="B625" s="10" t="inlineStr">
        <is>
          <t>Production</t>
        </is>
      </c>
      <c r="C625" s="10">
        <f>IF($BI625="","",IF($B625="Onsite",INDEX(tbl_Onsite[Job Number],$BI625),IF($B625="Production",INDEX(tbl_Production[Job Number],$BI625),INDEX(tbl_Consulting[Job Number],$BI625)))&amp;"")</f>
        <v/>
      </c>
      <c r="D625" s="10">
        <f>IF($BI625="","",IF($B625="Onsite",INDEX(tbl_Onsite[Client],$BI625),IF($B625="Production",INDEX(tbl_Production[Client],$BI625),INDEX(tbl_Consulting[Client],$BI625)))&amp;"")</f>
        <v/>
      </c>
      <c r="E625" s="10">
        <f>IF($C625="","",IF(COUNTIF(lst_Jobs,$C625)&gt;0,"OK","CHECK"))</f>
        <v/>
      </c>
      <c r="F625" s="10">
        <f>IF($C625="","",IFERROR(INDEX(lst_JobName,MATCH($C625,lst_Jobs,0)),""))</f>
        <v/>
      </c>
      <c r="G625" s="10">
        <f>IF($BI625="","",IF($B625="Onsite",INDEX(tbl_Onsite[Job Description],$BI625),IF($B625="Production",INDEX(tbl_Production[Job Description],$BI625),INDEX(tbl_Consulting[Job Description],$BI625)))&amp;"")</f>
        <v/>
      </c>
      <c r="H625" s="10">
        <f>IF($BI625="","",IF($B625="Onsite",INDEX(tbl_Onsite[Cost Centre],$BI625),IF($B625="Production",INDEX(tbl_Production[Cost Centre],$BI625),INDEX(tbl_Consulting[Cost Centre],$BI625)))&amp;"")</f>
        <v/>
      </c>
      <c r="I625" s="10">
        <f>IF($BI625="","",IF($B625="Onsite",INDEX(tbl_Onsite[Invoice Type],$BI625),IF($B625="Production",INDEX(tbl_Production[Invoice Type],$BI625),INDEX(tbl_Consulting[Invoice Type],$BI625)))&amp;"")</f>
        <v/>
      </c>
      <c r="J625" s="10">
        <f>IF($BI625="","",IF($B625="Onsite",INDEX(tbl_Onsite[Tax Code],$BI625),IF($B625="Production",INDEX(tbl_Production[Tax Code],$BI625),INDEX(tbl_Consulting[Tax Code],$BI625)))&amp;"")</f>
        <v/>
      </c>
      <c r="K625" s="10">
        <f>IF(H625="","",IFERROR(INDEX(lst_CCtoGL,MATCH(H625,lst_CCforGL,0)),""))</f>
        <v/>
      </c>
      <c r="L625" s="10">
        <f>IF($BI625="","",IF($B625="Onsite",INDEX(tbl_Onsite[PO / Reference],$BI625),IF($B625="Production",INDEX(tbl_Production[Current RMS No],$BI625),INDEX(tbl_Consulting[Qwilr Quote],$BI625)))&amp;"")</f>
        <v/>
      </c>
      <c r="M625" s="10">
        <f>IF($BI625="","",IF($B625="Onsite",INDEX(tbl_Onsite[Notes],$BI625),IF($B625="Production",INDEX(tbl_Production[Notes],$BI625),INDEX(tbl_Consulting[Notes],$BI625)))&amp;"")</f>
        <v/>
      </c>
      <c r="N625" s="11">
        <f>IF($BI625="","",IF(IF($B625="Onsite",INDEX(tbl_Onsite[Expected Revenue Ex GST],$BI625),IF($B625="Production",INDEX(tbl_Production[Expected Revenue Ex GST],$BI625),INDEX(tbl_Consulting[Expected Revenue Ex GST],$BI625)))="","",IF($B625="Onsite",INDEX(tbl_Onsite[Expected Revenue Ex GST],$BI625),IF($B625="Production",INDEX(tbl_Production[Expected Revenue Ex GST],$BI625),INDEX(tbl_Consulting[Expected Revenue Ex GST],$BI625)))))</f>
        <v/>
      </c>
      <c r="O625" s="11">
        <f>IF(AND($C625="",NOT(COUNTA($S625:$BB625)&gt;0)),"",SUM(U625,X625,AA625,AD625,AG625,AJ625,AM625,AP625,AS625,AV625,AY625,BB625))</f>
        <v/>
      </c>
      <c r="P625" s="11">
        <f>IF(O625="","",N(N625)-O625)</f>
        <v/>
      </c>
      <c r="Q625" s="10">
        <f>IF(O625="","",IF($C625="","Invoice on empty job row",IF(N625="",IF(ROUND(O625,2)=0,"No dept value","Invoiced - no dept value"),IF(ROUND(O625,2)=0,"Not invoiced - to invoice",IF(ROUND(P625,2)=0,"Agrees",IF(P625&gt;0,"Dept higher - to invoice","Xero higher - check dept"))))))</f>
        <v/>
      </c>
      <c r="R625" s="10">
        <f>IF(AND($C625="",NOT(COUNTA($S625:$BB625)&gt;0),$BI625&lt;&gt;""),"",MID(IF($BI625="","; Row ID not found on the department sheet - a row was deleted","")&amp;IF(AND($C625="",COUNTA($S625:$BB625)&gt;0),"; Invoice entered but the department row has no job number","")&amp;IF(E625="CHECK","; Job number not in the Xero job list","")&amp;IF(AND($C625&lt;&gt;"",COUNTIF($C$7:$C$1506,$C625)&gt;1),"; Job number on more than one row","")&amp;IF(AND($C625&lt;&gt;"",H625=""),"; Dept has not set a cost centre","")&amp;IF(AND($C625&lt;&gt;"",J625=""),"; Dept has not set a tax code","")&amp;IF(AND($C625&lt;&gt;"",N625=""),"; Dept has not entered an expected value","")&amp;IF((IF(OR(COUNTA(S625:U625)=0,AND(COUNTA(S625:U625)=3,ISNUMBER(U625))),0,1)+IF(OR(COUNTA(V625:X625)=0,AND(COUNTA(V625:X625)=3,ISNUMBER(X625))),0,1)+IF(OR(COUNTA(Y625:AA625)=0,AND(COUNTA(Y625:AA625)=3,ISNUMBER(AA625))),0,1)+IF(OR(COUNTA(AB625:AD625)=0,AND(COUNTA(AB625:AD625)=3,ISNUMBER(AD625))),0,1)+IF(OR(COUNTA(AE625:AG625)=0,AND(COUNTA(AE625:AG625)=3,ISNUMBER(AG625))),0,1)+IF(OR(COUNTA(AH625:AJ625)=0,AND(COUNTA(AH625:AJ625)=3,ISNUMBER(AJ625))),0,1)+IF(OR(COUNTA(AK625:AM625)=0,AND(COUNTA(AK625:AM625)=3,ISNUMBER(AM625))),0,1)+IF(OR(COUNTA(AN625:AP625)=0,AND(COUNTA(AN625:AP625)=3,ISNUMBER(AP625))),0,1)+IF(OR(COUNTA(AQ625:AS625)=0,AND(COUNTA(AQ625:AS625)=3,ISNUMBER(AS625))),0,1)+IF(OR(COUNTA(AT625:AV625)=0,AND(COUNTA(AT625:AV625)=3,ISNUMBER(AV625))),0,1)+IF(OR(COUNTA(AW625:AY625)=0,AND(COUNTA(AW625:AY625)=3,ISNUMBER(AY625))),0,1)+IF(OR(COUNTA(AZ625:BB625)=0,AND(COUNTA(AZ625:BB625)=3,ISNUMBER(BB625))),0,1))&gt;0,"; An invoice is incomplete (needs No, Date and a number in Ex GST)","")&amp;IF((IF(T625="",0,IFERROR(--(EOMONTH(T625,0)&lt;&gt;S$5),1))+IF(W625="",0,IFERROR(--(EOMONTH(W625,0)&lt;&gt;V$5),1))+IF(Z625="",0,IFERROR(--(EOMONTH(Z625,0)&lt;&gt;Y$5),1))+IF(AC625="",0,IFERROR(--(EOMONTH(AC625,0)&lt;&gt;AB$5),1))+IF(AF625="",0,IFERROR(--(EOMONTH(AF625,0)&lt;&gt;AE$5),1))+IF(AI625="",0,IFERROR(--(EOMONTH(AI625,0)&lt;&gt;AH$5),1))+IF(AL625="",0,IFERROR(--(EOMONTH(AL625,0)&lt;&gt;AK$5),1))+IF(AO625="",0,IFERROR(--(EOMONTH(AO625,0)&lt;&gt;AN$5),1))+IF(AR625="",0,IFERROR(--(EOMONTH(AR625,0)&lt;&gt;AQ$5),1))+IF(AU625="",0,IFERROR(--(EOMONTH(AU625,0)&lt;&gt;AT$5),1))+IF(AX625="",0,IFERROR(--(EOMONTH(AX625,0)&lt;&gt;AW$5),1))+IF(BA625="",0,IFERROR(--(EOMONTH(BA625,0)&lt;&gt;AZ$5),1)))&gt;0,"; An invoice date is not in the month it is typed under",""),3,500))</f>
        <v/>
      </c>
      <c r="S625" s="12" t="n"/>
      <c r="T625" s="13" t="n"/>
      <c r="U625" s="14" t="n"/>
      <c r="V625" s="12" t="n"/>
      <c r="W625" s="13" t="n"/>
      <c r="X625" s="14" t="n"/>
      <c r="Y625" s="12" t="n"/>
      <c r="Z625" s="13" t="n"/>
      <c r="AA625" s="14" t="n"/>
      <c r="AB625" s="12" t="n"/>
      <c r="AC625" s="13" t="n"/>
      <c r="AD625" s="14" t="n"/>
      <c r="AE625" s="12" t="n"/>
      <c r="AF625" s="13" t="n"/>
      <c r="AG625" s="14" t="n"/>
      <c r="AH625" s="12" t="n"/>
      <c r="AI625" s="13" t="n"/>
      <c r="AJ625" s="14" t="n"/>
      <c r="AK625" s="12" t="n"/>
      <c r="AL625" s="13" t="n"/>
      <c r="AM625" s="14" t="n"/>
      <c r="AN625" s="12" t="n"/>
      <c r="AO625" s="13" t="n"/>
      <c r="AP625" s="14" t="n"/>
      <c r="AQ625" s="12" t="n"/>
      <c r="AR625" s="13" t="n"/>
      <c r="AS625" s="14" t="n"/>
      <c r="AT625" s="12" t="n"/>
      <c r="AU625" s="13" t="n"/>
      <c r="AV625" s="14" t="n"/>
      <c r="AW625" s="12" t="n"/>
      <c r="AX625" s="13" t="n"/>
      <c r="AY625" s="14" t="n"/>
      <c r="AZ625" s="12" t="n"/>
      <c r="BA625" s="13" t="n"/>
      <c r="BB625" s="14" t="n"/>
      <c r="BC625" s="11">
        <f>IF(O625="","",IF(J625="GST 10%",ROUND(O625*set_GSTRate,2),0))</f>
        <v/>
      </c>
      <c r="BD625" s="11">
        <f>IF(O625="","",O625+BC625)</f>
        <v/>
      </c>
      <c r="BE625" s="15">
        <f>IF(O625="","",COUNTA(S625,V625,Y625,AB625,AE625,AH625,AK625,AN625,AQ625,AT625,AW625,AZ625))</f>
        <v/>
      </c>
      <c r="BF625" s="16">
        <f>IF(COUNT(T625,W625,Z625,AC625,AF625,AI625,AL625,AO625,AR625,AU625,AX625,BA625)=0,"",MAX(T625,W625,Z625,AC625,AF625,AI625,AL625,AO625,AR625,AU625,AX625,BA625))</f>
        <v/>
      </c>
      <c r="BG625" s="10">
        <f>MID(IF(S625="","",", "&amp;S625)&amp;IF(V625="","",", "&amp;V625)&amp;IF(Y625="","",", "&amp;Y625)&amp;IF(AB625="","",", "&amp;AB625)&amp;IF(AE625="","",", "&amp;AE625)&amp;IF(AH625="","",", "&amp;AH625)&amp;IF(AK625="","",", "&amp;AK625)&amp;IF(AN625="","",", "&amp;AN625)&amp;IF(AQ625="","",", "&amp;AQ625)&amp;IF(AT625="","",", "&amp;AT625)&amp;IF(AW625="","",", "&amp;AW625)&amp;IF(AZ625="","",", "&amp;AZ625),3,500)</f>
        <v/>
      </c>
      <c r="BH625" s="12" t="n"/>
      <c r="BI625" s="15">
        <f>IFERROR(MATCH($A625,IF($B625="Onsite",tbl_Onsite[Row ID],IF($B625="Production",tbl_Production[Row ID],tbl_Consulting[Row ID])),0),"")</f>
        <v/>
      </c>
    </row>
    <row r="626">
      <c r="A626" s="10" t="inlineStr">
        <is>
          <t>PRD-0120</t>
        </is>
      </c>
      <c r="B626" s="10" t="inlineStr">
        <is>
          <t>Production</t>
        </is>
      </c>
      <c r="C626" s="10">
        <f>IF($BI626="","",IF($B626="Onsite",INDEX(tbl_Onsite[Job Number],$BI626),IF($B626="Production",INDEX(tbl_Production[Job Number],$BI626),INDEX(tbl_Consulting[Job Number],$BI626)))&amp;"")</f>
        <v/>
      </c>
      <c r="D626" s="10">
        <f>IF($BI626="","",IF($B626="Onsite",INDEX(tbl_Onsite[Client],$BI626),IF($B626="Production",INDEX(tbl_Production[Client],$BI626),INDEX(tbl_Consulting[Client],$BI626)))&amp;"")</f>
        <v/>
      </c>
      <c r="E626" s="10">
        <f>IF($C626="","",IF(COUNTIF(lst_Jobs,$C626)&gt;0,"OK","CHECK"))</f>
        <v/>
      </c>
      <c r="F626" s="10">
        <f>IF($C626="","",IFERROR(INDEX(lst_JobName,MATCH($C626,lst_Jobs,0)),""))</f>
        <v/>
      </c>
      <c r="G626" s="10">
        <f>IF($BI626="","",IF($B626="Onsite",INDEX(tbl_Onsite[Job Description],$BI626),IF($B626="Production",INDEX(tbl_Production[Job Description],$BI626),INDEX(tbl_Consulting[Job Description],$BI626)))&amp;"")</f>
        <v/>
      </c>
      <c r="H626" s="10">
        <f>IF($BI626="","",IF($B626="Onsite",INDEX(tbl_Onsite[Cost Centre],$BI626),IF($B626="Production",INDEX(tbl_Production[Cost Centre],$BI626),INDEX(tbl_Consulting[Cost Centre],$BI626)))&amp;"")</f>
        <v/>
      </c>
      <c r="I626" s="10">
        <f>IF($BI626="","",IF($B626="Onsite",INDEX(tbl_Onsite[Invoice Type],$BI626),IF($B626="Production",INDEX(tbl_Production[Invoice Type],$BI626),INDEX(tbl_Consulting[Invoice Type],$BI626)))&amp;"")</f>
        <v/>
      </c>
      <c r="J626" s="10">
        <f>IF($BI626="","",IF($B626="Onsite",INDEX(tbl_Onsite[Tax Code],$BI626),IF($B626="Production",INDEX(tbl_Production[Tax Code],$BI626),INDEX(tbl_Consulting[Tax Code],$BI626)))&amp;"")</f>
        <v/>
      </c>
      <c r="K626" s="10">
        <f>IF(H626="","",IFERROR(INDEX(lst_CCtoGL,MATCH(H626,lst_CCforGL,0)),""))</f>
        <v/>
      </c>
      <c r="L626" s="10">
        <f>IF($BI626="","",IF($B626="Onsite",INDEX(tbl_Onsite[PO / Reference],$BI626),IF($B626="Production",INDEX(tbl_Production[Current RMS No],$BI626),INDEX(tbl_Consulting[Qwilr Quote],$BI626)))&amp;"")</f>
        <v/>
      </c>
      <c r="M626" s="10">
        <f>IF($BI626="","",IF($B626="Onsite",INDEX(tbl_Onsite[Notes],$BI626),IF($B626="Production",INDEX(tbl_Production[Notes],$BI626),INDEX(tbl_Consulting[Notes],$BI626)))&amp;"")</f>
        <v/>
      </c>
      <c r="N626" s="11">
        <f>IF($BI626="","",IF(IF($B626="Onsite",INDEX(tbl_Onsite[Expected Revenue Ex GST],$BI626),IF($B626="Production",INDEX(tbl_Production[Expected Revenue Ex GST],$BI626),INDEX(tbl_Consulting[Expected Revenue Ex GST],$BI626)))="","",IF($B626="Onsite",INDEX(tbl_Onsite[Expected Revenue Ex GST],$BI626),IF($B626="Production",INDEX(tbl_Production[Expected Revenue Ex GST],$BI626),INDEX(tbl_Consulting[Expected Revenue Ex GST],$BI626)))))</f>
        <v/>
      </c>
      <c r="O626" s="11">
        <f>IF(AND($C626="",NOT(COUNTA($S626:$BB626)&gt;0)),"",SUM(U626,X626,AA626,AD626,AG626,AJ626,AM626,AP626,AS626,AV626,AY626,BB626))</f>
        <v/>
      </c>
      <c r="P626" s="11">
        <f>IF(O626="","",N(N626)-O626)</f>
        <v/>
      </c>
      <c r="Q626" s="10">
        <f>IF(O626="","",IF($C626="","Invoice on empty job row",IF(N626="",IF(ROUND(O626,2)=0,"No dept value","Invoiced - no dept value"),IF(ROUND(O626,2)=0,"Not invoiced - to invoice",IF(ROUND(P626,2)=0,"Agrees",IF(P626&gt;0,"Dept higher - to invoice","Xero higher - check dept"))))))</f>
        <v/>
      </c>
      <c r="R626" s="10">
        <f>IF(AND($C626="",NOT(COUNTA($S626:$BB626)&gt;0),$BI626&lt;&gt;""),"",MID(IF($BI626="","; Row ID not found on the department sheet - a row was deleted","")&amp;IF(AND($C626="",COUNTA($S626:$BB626)&gt;0),"; Invoice entered but the department row has no job number","")&amp;IF(E626="CHECK","; Job number not in the Xero job list","")&amp;IF(AND($C626&lt;&gt;"",COUNTIF($C$7:$C$1506,$C626)&gt;1),"; Job number on more than one row","")&amp;IF(AND($C626&lt;&gt;"",H626=""),"; Dept has not set a cost centre","")&amp;IF(AND($C626&lt;&gt;"",J626=""),"; Dept has not set a tax code","")&amp;IF(AND($C626&lt;&gt;"",N626=""),"; Dept has not entered an expected value","")&amp;IF((IF(OR(COUNTA(S626:U626)=0,AND(COUNTA(S626:U626)=3,ISNUMBER(U626))),0,1)+IF(OR(COUNTA(V626:X626)=0,AND(COUNTA(V626:X626)=3,ISNUMBER(X626))),0,1)+IF(OR(COUNTA(Y626:AA626)=0,AND(COUNTA(Y626:AA626)=3,ISNUMBER(AA626))),0,1)+IF(OR(COUNTA(AB626:AD626)=0,AND(COUNTA(AB626:AD626)=3,ISNUMBER(AD626))),0,1)+IF(OR(COUNTA(AE626:AG626)=0,AND(COUNTA(AE626:AG626)=3,ISNUMBER(AG626))),0,1)+IF(OR(COUNTA(AH626:AJ626)=0,AND(COUNTA(AH626:AJ626)=3,ISNUMBER(AJ626))),0,1)+IF(OR(COUNTA(AK626:AM626)=0,AND(COUNTA(AK626:AM626)=3,ISNUMBER(AM626))),0,1)+IF(OR(COUNTA(AN626:AP626)=0,AND(COUNTA(AN626:AP626)=3,ISNUMBER(AP626))),0,1)+IF(OR(COUNTA(AQ626:AS626)=0,AND(COUNTA(AQ626:AS626)=3,ISNUMBER(AS626))),0,1)+IF(OR(COUNTA(AT626:AV626)=0,AND(COUNTA(AT626:AV626)=3,ISNUMBER(AV626))),0,1)+IF(OR(COUNTA(AW626:AY626)=0,AND(COUNTA(AW626:AY626)=3,ISNUMBER(AY626))),0,1)+IF(OR(COUNTA(AZ626:BB626)=0,AND(COUNTA(AZ626:BB626)=3,ISNUMBER(BB626))),0,1))&gt;0,"; An invoice is incomplete (needs No, Date and a number in Ex GST)","")&amp;IF((IF(T626="",0,IFERROR(--(EOMONTH(T626,0)&lt;&gt;S$5),1))+IF(W626="",0,IFERROR(--(EOMONTH(W626,0)&lt;&gt;V$5),1))+IF(Z626="",0,IFERROR(--(EOMONTH(Z626,0)&lt;&gt;Y$5),1))+IF(AC626="",0,IFERROR(--(EOMONTH(AC626,0)&lt;&gt;AB$5),1))+IF(AF626="",0,IFERROR(--(EOMONTH(AF626,0)&lt;&gt;AE$5),1))+IF(AI626="",0,IFERROR(--(EOMONTH(AI626,0)&lt;&gt;AH$5),1))+IF(AL626="",0,IFERROR(--(EOMONTH(AL626,0)&lt;&gt;AK$5),1))+IF(AO626="",0,IFERROR(--(EOMONTH(AO626,0)&lt;&gt;AN$5),1))+IF(AR626="",0,IFERROR(--(EOMONTH(AR626,0)&lt;&gt;AQ$5),1))+IF(AU626="",0,IFERROR(--(EOMONTH(AU626,0)&lt;&gt;AT$5),1))+IF(AX626="",0,IFERROR(--(EOMONTH(AX626,0)&lt;&gt;AW$5),1))+IF(BA626="",0,IFERROR(--(EOMONTH(BA626,0)&lt;&gt;AZ$5),1)))&gt;0,"; An invoice date is not in the month it is typed under",""),3,500))</f>
        <v/>
      </c>
      <c r="S626" s="12" t="n"/>
      <c r="T626" s="13" t="n"/>
      <c r="U626" s="14" t="n"/>
      <c r="V626" s="12" t="n"/>
      <c r="W626" s="13" t="n"/>
      <c r="X626" s="14" t="n"/>
      <c r="Y626" s="12" t="n"/>
      <c r="Z626" s="13" t="n"/>
      <c r="AA626" s="14" t="n"/>
      <c r="AB626" s="12" t="n"/>
      <c r="AC626" s="13" t="n"/>
      <c r="AD626" s="14" t="n"/>
      <c r="AE626" s="12" t="n"/>
      <c r="AF626" s="13" t="n"/>
      <c r="AG626" s="14" t="n"/>
      <c r="AH626" s="12" t="n"/>
      <c r="AI626" s="13" t="n"/>
      <c r="AJ626" s="14" t="n"/>
      <c r="AK626" s="12" t="n"/>
      <c r="AL626" s="13" t="n"/>
      <c r="AM626" s="14" t="n"/>
      <c r="AN626" s="12" t="n"/>
      <c r="AO626" s="13" t="n"/>
      <c r="AP626" s="14" t="n"/>
      <c r="AQ626" s="12" t="n"/>
      <c r="AR626" s="13" t="n"/>
      <c r="AS626" s="14" t="n"/>
      <c r="AT626" s="12" t="n"/>
      <c r="AU626" s="13" t="n"/>
      <c r="AV626" s="14" t="n"/>
      <c r="AW626" s="12" t="n"/>
      <c r="AX626" s="13" t="n"/>
      <c r="AY626" s="14" t="n"/>
      <c r="AZ626" s="12" t="n"/>
      <c r="BA626" s="13" t="n"/>
      <c r="BB626" s="14" t="n"/>
      <c r="BC626" s="11">
        <f>IF(O626="","",IF(J626="GST 10%",ROUND(O626*set_GSTRate,2),0))</f>
        <v/>
      </c>
      <c r="BD626" s="11">
        <f>IF(O626="","",O626+BC626)</f>
        <v/>
      </c>
      <c r="BE626" s="15">
        <f>IF(O626="","",COUNTA(S626,V626,Y626,AB626,AE626,AH626,AK626,AN626,AQ626,AT626,AW626,AZ626))</f>
        <v/>
      </c>
      <c r="BF626" s="16">
        <f>IF(COUNT(T626,W626,Z626,AC626,AF626,AI626,AL626,AO626,AR626,AU626,AX626,BA626)=0,"",MAX(T626,W626,Z626,AC626,AF626,AI626,AL626,AO626,AR626,AU626,AX626,BA626))</f>
        <v/>
      </c>
      <c r="BG626" s="10">
        <f>MID(IF(S626="","",", "&amp;S626)&amp;IF(V626="","",", "&amp;V626)&amp;IF(Y626="","",", "&amp;Y626)&amp;IF(AB626="","",", "&amp;AB626)&amp;IF(AE626="","",", "&amp;AE626)&amp;IF(AH626="","",", "&amp;AH626)&amp;IF(AK626="","",", "&amp;AK626)&amp;IF(AN626="","",", "&amp;AN626)&amp;IF(AQ626="","",", "&amp;AQ626)&amp;IF(AT626="","",", "&amp;AT626)&amp;IF(AW626="","",", "&amp;AW626)&amp;IF(AZ626="","",", "&amp;AZ626),3,500)</f>
        <v/>
      </c>
      <c r="BH626" s="12" t="n"/>
      <c r="BI626" s="15">
        <f>IFERROR(MATCH($A626,IF($B626="Onsite",tbl_Onsite[Row ID],IF($B626="Production",tbl_Production[Row ID],tbl_Consulting[Row ID])),0),"")</f>
        <v/>
      </c>
    </row>
    <row r="627">
      <c r="A627" s="10" t="inlineStr">
        <is>
          <t>PRD-0121</t>
        </is>
      </c>
      <c r="B627" s="10" t="inlineStr">
        <is>
          <t>Production</t>
        </is>
      </c>
      <c r="C627" s="10">
        <f>IF($BI627="","",IF($B627="Onsite",INDEX(tbl_Onsite[Job Number],$BI627),IF($B627="Production",INDEX(tbl_Production[Job Number],$BI627),INDEX(tbl_Consulting[Job Number],$BI627)))&amp;"")</f>
        <v/>
      </c>
      <c r="D627" s="10">
        <f>IF($BI627="","",IF($B627="Onsite",INDEX(tbl_Onsite[Client],$BI627),IF($B627="Production",INDEX(tbl_Production[Client],$BI627),INDEX(tbl_Consulting[Client],$BI627)))&amp;"")</f>
        <v/>
      </c>
      <c r="E627" s="10">
        <f>IF($C627="","",IF(COUNTIF(lst_Jobs,$C627)&gt;0,"OK","CHECK"))</f>
        <v/>
      </c>
      <c r="F627" s="10">
        <f>IF($C627="","",IFERROR(INDEX(lst_JobName,MATCH($C627,lst_Jobs,0)),""))</f>
        <v/>
      </c>
      <c r="G627" s="10">
        <f>IF($BI627="","",IF($B627="Onsite",INDEX(tbl_Onsite[Job Description],$BI627),IF($B627="Production",INDEX(tbl_Production[Job Description],$BI627),INDEX(tbl_Consulting[Job Description],$BI627)))&amp;"")</f>
        <v/>
      </c>
      <c r="H627" s="10">
        <f>IF($BI627="","",IF($B627="Onsite",INDEX(tbl_Onsite[Cost Centre],$BI627),IF($B627="Production",INDEX(tbl_Production[Cost Centre],$BI627),INDEX(tbl_Consulting[Cost Centre],$BI627)))&amp;"")</f>
        <v/>
      </c>
      <c r="I627" s="10">
        <f>IF($BI627="","",IF($B627="Onsite",INDEX(tbl_Onsite[Invoice Type],$BI627),IF($B627="Production",INDEX(tbl_Production[Invoice Type],$BI627),INDEX(tbl_Consulting[Invoice Type],$BI627)))&amp;"")</f>
        <v/>
      </c>
      <c r="J627" s="10">
        <f>IF($BI627="","",IF($B627="Onsite",INDEX(tbl_Onsite[Tax Code],$BI627),IF($B627="Production",INDEX(tbl_Production[Tax Code],$BI627),INDEX(tbl_Consulting[Tax Code],$BI627)))&amp;"")</f>
        <v/>
      </c>
      <c r="K627" s="10">
        <f>IF(H627="","",IFERROR(INDEX(lst_CCtoGL,MATCH(H627,lst_CCforGL,0)),""))</f>
        <v/>
      </c>
      <c r="L627" s="10">
        <f>IF($BI627="","",IF($B627="Onsite",INDEX(tbl_Onsite[PO / Reference],$BI627),IF($B627="Production",INDEX(tbl_Production[Current RMS No],$BI627),INDEX(tbl_Consulting[Qwilr Quote],$BI627)))&amp;"")</f>
        <v/>
      </c>
      <c r="M627" s="10">
        <f>IF($BI627="","",IF($B627="Onsite",INDEX(tbl_Onsite[Notes],$BI627),IF($B627="Production",INDEX(tbl_Production[Notes],$BI627),INDEX(tbl_Consulting[Notes],$BI627)))&amp;"")</f>
        <v/>
      </c>
      <c r="N627" s="11">
        <f>IF($BI627="","",IF(IF($B627="Onsite",INDEX(tbl_Onsite[Expected Revenue Ex GST],$BI627),IF($B627="Production",INDEX(tbl_Production[Expected Revenue Ex GST],$BI627),INDEX(tbl_Consulting[Expected Revenue Ex GST],$BI627)))="","",IF($B627="Onsite",INDEX(tbl_Onsite[Expected Revenue Ex GST],$BI627),IF($B627="Production",INDEX(tbl_Production[Expected Revenue Ex GST],$BI627),INDEX(tbl_Consulting[Expected Revenue Ex GST],$BI627)))))</f>
        <v/>
      </c>
      <c r="O627" s="11">
        <f>IF(AND($C627="",NOT(COUNTA($S627:$BB627)&gt;0)),"",SUM(U627,X627,AA627,AD627,AG627,AJ627,AM627,AP627,AS627,AV627,AY627,BB627))</f>
        <v/>
      </c>
      <c r="P627" s="11">
        <f>IF(O627="","",N(N627)-O627)</f>
        <v/>
      </c>
      <c r="Q627" s="10">
        <f>IF(O627="","",IF($C627="","Invoice on empty job row",IF(N627="",IF(ROUND(O627,2)=0,"No dept value","Invoiced - no dept value"),IF(ROUND(O627,2)=0,"Not invoiced - to invoice",IF(ROUND(P627,2)=0,"Agrees",IF(P627&gt;0,"Dept higher - to invoice","Xero higher - check dept"))))))</f>
        <v/>
      </c>
      <c r="R627" s="10">
        <f>IF(AND($C627="",NOT(COUNTA($S627:$BB627)&gt;0),$BI627&lt;&gt;""),"",MID(IF($BI627="","; Row ID not found on the department sheet - a row was deleted","")&amp;IF(AND($C627="",COUNTA($S627:$BB627)&gt;0),"; Invoice entered but the department row has no job number","")&amp;IF(E627="CHECK","; Job number not in the Xero job list","")&amp;IF(AND($C627&lt;&gt;"",COUNTIF($C$7:$C$1506,$C627)&gt;1),"; Job number on more than one row","")&amp;IF(AND($C627&lt;&gt;"",H627=""),"; Dept has not set a cost centre","")&amp;IF(AND($C627&lt;&gt;"",J627=""),"; Dept has not set a tax code","")&amp;IF(AND($C627&lt;&gt;"",N627=""),"; Dept has not entered an expected value","")&amp;IF((IF(OR(COUNTA(S627:U627)=0,AND(COUNTA(S627:U627)=3,ISNUMBER(U627))),0,1)+IF(OR(COUNTA(V627:X627)=0,AND(COUNTA(V627:X627)=3,ISNUMBER(X627))),0,1)+IF(OR(COUNTA(Y627:AA627)=0,AND(COUNTA(Y627:AA627)=3,ISNUMBER(AA627))),0,1)+IF(OR(COUNTA(AB627:AD627)=0,AND(COUNTA(AB627:AD627)=3,ISNUMBER(AD627))),0,1)+IF(OR(COUNTA(AE627:AG627)=0,AND(COUNTA(AE627:AG627)=3,ISNUMBER(AG627))),0,1)+IF(OR(COUNTA(AH627:AJ627)=0,AND(COUNTA(AH627:AJ627)=3,ISNUMBER(AJ627))),0,1)+IF(OR(COUNTA(AK627:AM627)=0,AND(COUNTA(AK627:AM627)=3,ISNUMBER(AM627))),0,1)+IF(OR(COUNTA(AN627:AP627)=0,AND(COUNTA(AN627:AP627)=3,ISNUMBER(AP627))),0,1)+IF(OR(COUNTA(AQ627:AS627)=0,AND(COUNTA(AQ627:AS627)=3,ISNUMBER(AS627))),0,1)+IF(OR(COUNTA(AT627:AV627)=0,AND(COUNTA(AT627:AV627)=3,ISNUMBER(AV627))),0,1)+IF(OR(COUNTA(AW627:AY627)=0,AND(COUNTA(AW627:AY627)=3,ISNUMBER(AY627))),0,1)+IF(OR(COUNTA(AZ627:BB627)=0,AND(COUNTA(AZ627:BB627)=3,ISNUMBER(BB627))),0,1))&gt;0,"; An invoice is incomplete (needs No, Date and a number in Ex GST)","")&amp;IF((IF(T627="",0,IFERROR(--(EOMONTH(T627,0)&lt;&gt;S$5),1))+IF(W627="",0,IFERROR(--(EOMONTH(W627,0)&lt;&gt;V$5),1))+IF(Z627="",0,IFERROR(--(EOMONTH(Z627,0)&lt;&gt;Y$5),1))+IF(AC627="",0,IFERROR(--(EOMONTH(AC627,0)&lt;&gt;AB$5),1))+IF(AF627="",0,IFERROR(--(EOMONTH(AF627,0)&lt;&gt;AE$5),1))+IF(AI627="",0,IFERROR(--(EOMONTH(AI627,0)&lt;&gt;AH$5),1))+IF(AL627="",0,IFERROR(--(EOMONTH(AL627,0)&lt;&gt;AK$5),1))+IF(AO627="",0,IFERROR(--(EOMONTH(AO627,0)&lt;&gt;AN$5),1))+IF(AR627="",0,IFERROR(--(EOMONTH(AR627,0)&lt;&gt;AQ$5),1))+IF(AU627="",0,IFERROR(--(EOMONTH(AU627,0)&lt;&gt;AT$5),1))+IF(AX627="",0,IFERROR(--(EOMONTH(AX627,0)&lt;&gt;AW$5),1))+IF(BA627="",0,IFERROR(--(EOMONTH(BA627,0)&lt;&gt;AZ$5),1)))&gt;0,"; An invoice date is not in the month it is typed under",""),3,500))</f>
        <v/>
      </c>
      <c r="S627" s="12" t="n"/>
      <c r="T627" s="13" t="n"/>
      <c r="U627" s="14" t="n"/>
      <c r="V627" s="12" t="n"/>
      <c r="W627" s="13" t="n"/>
      <c r="X627" s="14" t="n"/>
      <c r="Y627" s="12" t="n"/>
      <c r="Z627" s="13" t="n"/>
      <c r="AA627" s="14" t="n"/>
      <c r="AB627" s="12" t="n"/>
      <c r="AC627" s="13" t="n"/>
      <c r="AD627" s="14" t="n"/>
      <c r="AE627" s="12" t="n"/>
      <c r="AF627" s="13" t="n"/>
      <c r="AG627" s="14" t="n"/>
      <c r="AH627" s="12" t="n"/>
      <c r="AI627" s="13" t="n"/>
      <c r="AJ627" s="14" t="n"/>
      <c r="AK627" s="12" t="n"/>
      <c r="AL627" s="13" t="n"/>
      <c r="AM627" s="14" t="n"/>
      <c r="AN627" s="12" t="n"/>
      <c r="AO627" s="13" t="n"/>
      <c r="AP627" s="14" t="n"/>
      <c r="AQ627" s="12" t="n"/>
      <c r="AR627" s="13" t="n"/>
      <c r="AS627" s="14" t="n"/>
      <c r="AT627" s="12" t="n"/>
      <c r="AU627" s="13" t="n"/>
      <c r="AV627" s="14" t="n"/>
      <c r="AW627" s="12" t="n"/>
      <c r="AX627" s="13" t="n"/>
      <c r="AY627" s="14" t="n"/>
      <c r="AZ627" s="12" t="n"/>
      <c r="BA627" s="13" t="n"/>
      <c r="BB627" s="14" t="n"/>
      <c r="BC627" s="11">
        <f>IF(O627="","",IF(J627="GST 10%",ROUND(O627*set_GSTRate,2),0))</f>
        <v/>
      </c>
      <c r="BD627" s="11">
        <f>IF(O627="","",O627+BC627)</f>
        <v/>
      </c>
      <c r="BE627" s="15">
        <f>IF(O627="","",COUNTA(S627,V627,Y627,AB627,AE627,AH627,AK627,AN627,AQ627,AT627,AW627,AZ627))</f>
        <v/>
      </c>
      <c r="BF627" s="16">
        <f>IF(COUNT(T627,W627,Z627,AC627,AF627,AI627,AL627,AO627,AR627,AU627,AX627,BA627)=0,"",MAX(T627,W627,Z627,AC627,AF627,AI627,AL627,AO627,AR627,AU627,AX627,BA627))</f>
        <v/>
      </c>
      <c r="BG627" s="10">
        <f>MID(IF(S627="","",", "&amp;S627)&amp;IF(V627="","",", "&amp;V627)&amp;IF(Y627="","",", "&amp;Y627)&amp;IF(AB627="","",", "&amp;AB627)&amp;IF(AE627="","",", "&amp;AE627)&amp;IF(AH627="","",", "&amp;AH627)&amp;IF(AK627="","",", "&amp;AK627)&amp;IF(AN627="","",", "&amp;AN627)&amp;IF(AQ627="","",", "&amp;AQ627)&amp;IF(AT627="","",", "&amp;AT627)&amp;IF(AW627="","",", "&amp;AW627)&amp;IF(AZ627="","",", "&amp;AZ627),3,500)</f>
        <v/>
      </c>
      <c r="BH627" s="12" t="n"/>
      <c r="BI627" s="15">
        <f>IFERROR(MATCH($A627,IF($B627="Onsite",tbl_Onsite[Row ID],IF($B627="Production",tbl_Production[Row ID],tbl_Consulting[Row ID])),0),"")</f>
        <v/>
      </c>
    </row>
    <row r="628">
      <c r="A628" s="10" t="inlineStr">
        <is>
          <t>PRD-0122</t>
        </is>
      </c>
      <c r="B628" s="10" t="inlineStr">
        <is>
          <t>Production</t>
        </is>
      </c>
      <c r="C628" s="10">
        <f>IF($BI628="","",IF($B628="Onsite",INDEX(tbl_Onsite[Job Number],$BI628),IF($B628="Production",INDEX(tbl_Production[Job Number],$BI628),INDEX(tbl_Consulting[Job Number],$BI628)))&amp;"")</f>
        <v/>
      </c>
      <c r="D628" s="10">
        <f>IF($BI628="","",IF($B628="Onsite",INDEX(tbl_Onsite[Client],$BI628),IF($B628="Production",INDEX(tbl_Production[Client],$BI628),INDEX(tbl_Consulting[Client],$BI628)))&amp;"")</f>
        <v/>
      </c>
      <c r="E628" s="10">
        <f>IF($C628="","",IF(COUNTIF(lst_Jobs,$C628)&gt;0,"OK","CHECK"))</f>
        <v/>
      </c>
      <c r="F628" s="10">
        <f>IF($C628="","",IFERROR(INDEX(lst_JobName,MATCH($C628,lst_Jobs,0)),""))</f>
        <v/>
      </c>
      <c r="G628" s="10">
        <f>IF($BI628="","",IF($B628="Onsite",INDEX(tbl_Onsite[Job Description],$BI628),IF($B628="Production",INDEX(tbl_Production[Job Description],$BI628),INDEX(tbl_Consulting[Job Description],$BI628)))&amp;"")</f>
        <v/>
      </c>
      <c r="H628" s="10">
        <f>IF($BI628="","",IF($B628="Onsite",INDEX(tbl_Onsite[Cost Centre],$BI628),IF($B628="Production",INDEX(tbl_Production[Cost Centre],$BI628),INDEX(tbl_Consulting[Cost Centre],$BI628)))&amp;"")</f>
        <v/>
      </c>
      <c r="I628" s="10">
        <f>IF($BI628="","",IF($B628="Onsite",INDEX(tbl_Onsite[Invoice Type],$BI628),IF($B628="Production",INDEX(tbl_Production[Invoice Type],$BI628),INDEX(tbl_Consulting[Invoice Type],$BI628)))&amp;"")</f>
        <v/>
      </c>
      <c r="J628" s="10">
        <f>IF($BI628="","",IF($B628="Onsite",INDEX(tbl_Onsite[Tax Code],$BI628),IF($B628="Production",INDEX(tbl_Production[Tax Code],$BI628),INDEX(tbl_Consulting[Tax Code],$BI628)))&amp;"")</f>
        <v/>
      </c>
      <c r="K628" s="10">
        <f>IF(H628="","",IFERROR(INDEX(lst_CCtoGL,MATCH(H628,lst_CCforGL,0)),""))</f>
        <v/>
      </c>
      <c r="L628" s="10">
        <f>IF($BI628="","",IF($B628="Onsite",INDEX(tbl_Onsite[PO / Reference],$BI628),IF($B628="Production",INDEX(tbl_Production[Current RMS No],$BI628),INDEX(tbl_Consulting[Qwilr Quote],$BI628)))&amp;"")</f>
        <v/>
      </c>
      <c r="M628" s="10">
        <f>IF($BI628="","",IF($B628="Onsite",INDEX(tbl_Onsite[Notes],$BI628),IF($B628="Production",INDEX(tbl_Production[Notes],$BI628),INDEX(tbl_Consulting[Notes],$BI628)))&amp;"")</f>
        <v/>
      </c>
      <c r="N628" s="11">
        <f>IF($BI628="","",IF(IF($B628="Onsite",INDEX(tbl_Onsite[Expected Revenue Ex GST],$BI628),IF($B628="Production",INDEX(tbl_Production[Expected Revenue Ex GST],$BI628),INDEX(tbl_Consulting[Expected Revenue Ex GST],$BI628)))="","",IF($B628="Onsite",INDEX(tbl_Onsite[Expected Revenue Ex GST],$BI628),IF($B628="Production",INDEX(tbl_Production[Expected Revenue Ex GST],$BI628),INDEX(tbl_Consulting[Expected Revenue Ex GST],$BI628)))))</f>
        <v/>
      </c>
      <c r="O628" s="11">
        <f>IF(AND($C628="",NOT(COUNTA($S628:$BB628)&gt;0)),"",SUM(U628,X628,AA628,AD628,AG628,AJ628,AM628,AP628,AS628,AV628,AY628,BB628))</f>
        <v/>
      </c>
      <c r="P628" s="11">
        <f>IF(O628="","",N(N628)-O628)</f>
        <v/>
      </c>
      <c r="Q628" s="10">
        <f>IF(O628="","",IF($C628="","Invoice on empty job row",IF(N628="",IF(ROUND(O628,2)=0,"No dept value","Invoiced - no dept value"),IF(ROUND(O628,2)=0,"Not invoiced - to invoice",IF(ROUND(P628,2)=0,"Agrees",IF(P628&gt;0,"Dept higher - to invoice","Xero higher - check dept"))))))</f>
        <v/>
      </c>
      <c r="R628" s="10">
        <f>IF(AND($C628="",NOT(COUNTA($S628:$BB628)&gt;0),$BI628&lt;&gt;""),"",MID(IF($BI628="","; Row ID not found on the department sheet - a row was deleted","")&amp;IF(AND($C628="",COUNTA($S628:$BB628)&gt;0),"; Invoice entered but the department row has no job number","")&amp;IF(E628="CHECK","; Job number not in the Xero job list","")&amp;IF(AND($C628&lt;&gt;"",COUNTIF($C$7:$C$1506,$C628)&gt;1),"; Job number on more than one row","")&amp;IF(AND($C628&lt;&gt;"",H628=""),"; Dept has not set a cost centre","")&amp;IF(AND($C628&lt;&gt;"",J628=""),"; Dept has not set a tax code","")&amp;IF(AND($C628&lt;&gt;"",N628=""),"; Dept has not entered an expected value","")&amp;IF((IF(OR(COUNTA(S628:U628)=0,AND(COUNTA(S628:U628)=3,ISNUMBER(U628))),0,1)+IF(OR(COUNTA(V628:X628)=0,AND(COUNTA(V628:X628)=3,ISNUMBER(X628))),0,1)+IF(OR(COUNTA(Y628:AA628)=0,AND(COUNTA(Y628:AA628)=3,ISNUMBER(AA628))),0,1)+IF(OR(COUNTA(AB628:AD628)=0,AND(COUNTA(AB628:AD628)=3,ISNUMBER(AD628))),0,1)+IF(OR(COUNTA(AE628:AG628)=0,AND(COUNTA(AE628:AG628)=3,ISNUMBER(AG628))),0,1)+IF(OR(COUNTA(AH628:AJ628)=0,AND(COUNTA(AH628:AJ628)=3,ISNUMBER(AJ628))),0,1)+IF(OR(COUNTA(AK628:AM628)=0,AND(COUNTA(AK628:AM628)=3,ISNUMBER(AM628))),0,1)+IF(OR(COUNTA(AN628:AP628)=0,AND(COUNTA(AN628:AP628)=3,ISNUMBER(AP628))),0,1)+IF(OR(COUNTA(AQ628:AS628)=0,AND(COUNTA(AQ628:AS628)=3,ISNUMBER(AS628))),0,1)+IF(OR(COUNTA(AT628:AV628)=0,AND(COUNTA(AT628:AV628)=3,ISNUMBER(AV628))),0,1)+IF(OR(COUNTA(AW628:AY628)=0,AND(COUNTA(AW628:AY628)=3,ISNUMBER(AY628))),0,1)+IF(OR(COUNTA(AZ628:BB628)=0,AND(COUNTA(AZ628:BB628)=3,ISNUMBER(BB628))),0,1))&gt;0,"; An invoice is incomplete (needs No, Date and a number in Ex GST)","")&amp;IF((IF(T628="",0,IFERROR(--(EOMONTH(T628,0)&lt;&gt;S$5),1))+IF(W628="",0,IFERROR(--(EOMONTH(W628,0)&lt;&gt;V$5),1))+IF(Z628="",0,IFERROR(--(EOMONTH(Z628,0)&lt;&gt;Y$5),1))+IF(AC628="",0,IFERROR(--(EOMONTH(AC628,0)&lt;&gt;AB$5),1))+IF(AF628="",0,IFERROR(--(EOMONTH(AF628,0)&lt;&gt;AE$5),1))+IF(AI628="",0,IFERROR(--(EOMONTH(AI628,0)&lt;&gt;AH$5),1))+IF(AL628="",0,IFERROR(--(EOMONTH(AL628,0)&lt;&gt;AK$5),1))+IF(AO628="",0,IFERROR(--(EOMONTH(AO628,0)&lt;&gt;AN$5),1))+IF(AR628="",0,IFERROR(--(EOMONTH(AR628,0)&lt;&gt;AQ$5),1))+IF(AU628="",0,IFERROR(--(EOMONTH(AU628,0)&lt;&gt;AT$5),1))+IF(AX628="",0,IFERROR(--(EOMONTH(AX628,0)&lt;&gt;AW$5),1))+IF(BA628="",0,IFERROR(--(EOMONTH(BA628,0)&lt;&gt;AZ$5),1)))&gt;0,"; An invoice date is not in the month it is typed under",""),3,500))</f>
        <v/>
      </c>
      <c r="S628" s="12" t="n"/>
      <c r="T628" s="13" t="n"/>
      <c r="U628" s="14" t="n"/>
      <c r="V628" s="12" t="n"/>
      <c r="W628" s="13" t="n"/>
      <c r="X628" s="14" t="n"/>
      <c r="Y628" s="12" t="n"/>
      <c r="Z628" s="13" t="n"/>
      <c r="AA628" s="14" t="n"/>
      <c r="AB628" s="12" t="n"/>
      <c r="AC628" s="13" t="n"/>
      <c r="AD628" s="14" t="n"/>
      <c r="AE628" s="12" t="n"/>
      <c r="AF628" s="13" t="n"/>
      <c r="AG628" s="14" t="n"/>
      <c r="AH628" s="12" t="n"/>
      <c r="AI628" s="13" t="n"/>
      <c r="AJ628" s="14" t="n"/>
      <c r="AK628" s="12" t="n"/>
      <c r="AL628" s="13" t="n"/>
      <c r="AM628" s="14" t="n"/>
      <c r="AN628" s="12" t="n"/>
      <c r="AO628" s="13" t="n"/>
      <c r="AP628" s="14" t="n"/>
      <c r="AQ628" s="12" t="n"/>
      <c r="AR628" s="13" t="n"/>
      <c r="AS628" s="14" t="n"/>
      <c r="AT628" s="12" t="n"/>
      <c r="AU628" s="13" t="n"/>
      <c r="AV628" s="14" t="n"/>
      <c r="AW628" s="12" t="n"/>
      <c r="AX628" s="13" t="n"/>
      <c r="AY628" s="14" t="n"/>
      <c r="AZ628" s="12" t="n"/>
      <c r="BA628" s="13" t="n"/>
      <c r="BB628" s="14" t="n"/>
      <c r="BC628" s="11">
        <f>IF(O628="","",IF(J628="GST 10%",ROUND(O628*set_GSTRate,2),0))</f>
        <v/>
      </c>
      <c r="BD628" s="11">
        <f>IF(O628="","",O628+BC628)</f>
        <v/>
      </c>
      <c r="BE628" s="15">
        <f>IF(O628="","",COUNTA(S628,V628,Y628,AB628,AE628,AH628,AK628,AN628,AQ628,AT628,AW628,AZ628))</f>
        <v/>
      </c>
      <c r="BF628" s="16">
        <f>IF(COUNT(T628,W628,Z628,AC628,AF628,AI628,AL628,AO628,AR628,AU628,AX628,BA628)=0,"",MAX(T628,W628,Z628,AC628,AF628,AI628,AL628,AO628,AR628,AU628,AX628,BA628))</f>
        <v/>
      </c>
      <c r="BG628" s="10">
        <f>MID(IF(S628="","",", "&amp;S628)&amp;IF(V628="","",", "&amp;V628)&amp;IF(Y628="","",", "&amp;Y628)&amp;IF(AB628="","",", "&amp;AB628)&amp;IF(AE628="","",", "&amp;AE628)&amp;IF(AH628="","",", "&amp;AH628)&amp;IF(AK628="","",", "&amp;AK628)&amp;IF(AN628="","",", "&amp;AN628)&amp;IF(AQ628="","",", "&amp;AQ628)&amp;IF(AT628="","",", "&amp;AT628)&amp;IF(AW628="","",", "&amp;AW628)&amp;IF(AZ628="","",", "&amp;AZ628),3,500)</f>
        <v/>
      </c>
      <c r="BH628" s="12" t="n"/>
      <c r="BI628" s="15">
        <f>IFERROR(MATCH($A628,IF($B628="Onsite",tbl_Onsite[Row ID],IF($B628="Production",tbl_Production[Row ID],tbl_Consulting[Row ID])),0),"")</f>
        <v/>
      </c>
    </row>
    <row r="629">
      <c r="A629" s="10" t="inlineStr">
        <is>
          <t>PRD-0123</t>
        </is>
      </c>
      <c r="B629" s="10" t="inlineStr">
        <is>
          <t>Production</t>
        </is>
      </c>
      <c r="C629" s="10">
        <f>IF($BI629="","",IF($B629="Onsite",INDEX(tbl_Onsite[Job Number],$BI629),IF($B629="Production",INDEX(tbl_Production[Job Number],$BI629),INDEX(tbl_Consulting[Job Number],$BI629)))&amp;"")</f>
        <v/>
      </c>
      <c r="D629" s="10">
        <f>IF($BI629="","",IF($B629="Onsite",INDEX(tbl_Onsite[Client],$BI629),IF($B629="Production",INDEX(tbl_Production[Client],$BI629),INDEX(tbl_Consulting[Client],$BI629)))&amp;"")</f>
        <v/>
      </c>
      <c r="E629" s="10">
        <f>IF($C629="","",IF(COUNTIF(lst_Jobs,$C629)&gt;0,"OK","CHECK"))</f>
        <v/>
      </c>
      <c r="F629" s="10">
        <f>IF($C629="","",IFERROR(INDEX(lst_JobName,MATCH($C629,lst_Jobs,0)),""))</f>
        <v/>
      </c>
      <c r="G629" s="10">
        <f>IF($BI629="","",IF($B629="Onsite",INDEX(tbl_Onsite[Job Description],$BI629),IF($B629="Production",INDEX(tbl_Production[Job Description],$BI629),INDEX(tbl_Consulting[Job Description],$BI629)))&amp;"")</f>
        <v/>
      </c>
      <c r="H629" s="10">
        <f>IF($BI629="","",IF($B629="Onsite",INDEX(tbl_Onsite[Cost Centre],$BI629),IF($B629="Production",INDEX(tbl_Production[Cost Centre],$BI629),INDEX(tbl_Consulting[Cost Centre],$BI629)))&amp;"")</f>
        <v/>
      </c>
      <c r="I629" s="10">
        <f>IF($BI629="","",IF($B629="Onsite",INDEX(tbl_Onsite[Invoice Type],$BI629),IF($B629="Production",INDEX(tbl_Production[Invoice Type],$BI629),INDEX(tbl_Consulting[Invoice Type],$BI629)))&amp;"")</f>
        <v/>
      </c>
      <c r="J629" s="10">
        <f>IF($BI629="","",IF($B629="Onsite",INDEX(tbl_Onsite[Tax Code],$BI629),IF($B629="Production",INDEX(tbl_Production[Tax Code],$BI629),INDEX(tbl_Consulting[Tax Code],$BI629)))&amp;"")</f>
        <v/>
      </c>
      <c r="K629" s="10">
        <f>IF(H629="","",IFERROR(INDEX(lst_CCtoGL,MATCH(H629,lst_CCforGL,0)),""))</f>
        <v/>
      </c>
      <c r="L629" s="10">
        <f>IF($BI629="","",IF($B629="Onsite",INDEX(tbl_Onsite[PO / Reference],$BI629),IF($B629="Production",INDEX(tbl_Production[Current RMS No],$BI629),INDEX(tbl_Consulting[Qwilr Quote],$BI629)))&amp;"")</f>
        <v/>
      </c>
      <c r="M629" s="10">
        <f>IF($BI629="","",IF($B629="Onsite",INDEX(tbl_Onsite[Notes],$BI629),IF($B629="Production",INDEX(tbl_Production[Notes],$BI629),INDEX(tbl_Consulting[Notes],$BI629)))&amp;"")</f>
        <v/>
      </c>
      <c r="N629" s="11">
        <f>IF($BI629="","",IF(IF($B629="Onsite",INDEX(tbl_Onsite[Expected Revenue Ex GST],$BI629),IF($B629="Production",INDEX(tbl_Production[Expected Revenue Ex GST],$BI629),INDEX(tbl_Consulting[Expected Revenue Ex GST],$BI629)))="","",IF($B629="Onsite",INDEX(tbl_Onsite[Expected Revenue Ex GST],$BI629),IF($B629="Production",INDEX(tbl_Production[Expected Revenue Ex GST],$BI629),INDEX(tbl_Consulting[Expected Revenue Ex GST],$BI629)))))</f>
        <v/>
      </c>
      <c r="O629" s="11">
        <f>IF(AND($C629="",NOT(COUNTA($S629:$BB629)&gt;0)),"",SUM(U629,X629,AA629,AD629,AG629,AJ629,AM629,AP629,AS629,AV629,AY629,BB629))</f>
        <v/>
      </c>
      <c r="P629" s="11">
        <f>IF(O629="","",N(N629)-O629)</f>
        <v/>
      </c>
      <c r="Q629" s="10">
        <f>IF(O629="","",IF($C629="","Invoice on empty job row",IF(N629="",IF(ROUND(O629,2)=0,"No dept value","Invoiced - no dept value"),IF(ROUND(O629,2)=0,"Not invoiced - to invoice",IF(ROUND(P629,2)=0,"Agrees",IF(P629&gt;0,"Dept higher - to invoice","Xero higher - check dept"))))))</f>
        <v/>
      </c>
      <c r="R629" s="10">
        <f>IF(AND($C629="",NOT(COUNTA($S629:$BB629)&gt;0),$BI629&lt;&gt;""),"",MID(IF($BI629="","; Row ID not found on the department sheet - a row was deleted","")&amp;IF(AND($C629="",COUNTA($S629:$BB629)&gt;0),"; Invoice entered but the department row has no job number","")&amp;IF(E629="CHECK","; Job number not in the Xero job list","")&amp;IF(AND($C629&lt;&gt;"",COUNTIF($C$7:$C$1506,$C629)&gt;1),"; Job number on more than one row","")&amp;IF(AND($C629&lt;&gt;"",H629=""),"; Dept has not set a cost centre","")&amp;IF(AND($C629&lt;&gt;"",J629=""),"; Dept has not set a tax code","")&amp;IF(AND($C629&lt;&gt;"",N629=""),"; Dept has not entered an expected value","")&amp;IF((IF(OR(COUNTA(S629:U629)=0,AND(COUNTA(S629:U629)=3,ISNUMBER(U629))),0,1)+IF(OR(COUNTA(V629:X629)=0,AND(COUNTA(V629:X629)=3,ISNUMBER(X629))),0,1)+IF(OR(COUNTA(Y629:AA629)=0,AND(COUNTA(Y629:AA629)=3,ISNUMBER(AA629))),0,1)+IF(OR(COUNTA(AB629:AD629)=0,AND(COUNTA(AB629:AD629)=3,ISNUMBER(AD629))),0,1)+IF(OR(COUNTA(AE629:AG629)=0,AND(COUNTA(AE629:AG629)=3,ISNUMBER(AG629))),0,1)+IF(OR(COUNTA(AH629:AJ629)=0,AND(COUNTA(AH629:AJ629)=3,ISNUMBER(AJ629))),0,1)+IF(OR(COUNTA(AK629:AM629)=0,AND(COUNTA(AK629:AM629)=3,ISNUMBER(AM629))),0,1)+IF(OR(COUNTA(AN629:AP629)=0,AND(COUNTA(AN629:AP629)=3,ISNUMBER(AP629))),0,1)+IF(OR(COUNTA(AQ629:AS629)=0,AND(COUNTA(AQ629:AS629)=3,ISNUMBER(AS629))),0,1)+IF(OR(COUNTA(AT629:AV629)=0,AND(COUNTA(AT629:AV629)=3,ISNUMBER(AV629))),0,1)+IF(OR(COUNTA(AW629:AY629)=0,AND(COUNTA(AW629:AY629)=3,ISNUMBER(AY629))),0,1)+IF(OR(COUNTA(AZ629:BB629)=0,AND(COUNTA(AZ629:BB629)=3,ISNUMBER(BB629))),0,1))&gt;0,"; An invoice is incomplete (needs No, Date and a number in Ex GST)","")&amp;IF((IF(T629="",0,IFERROR(--(EOMONTH(T629,0)&lt;&gt;S$5),1))+IF(W629="",0,IFERROR(--(EOMONTH(W629,0)&lt;&gt;V$5),1))+IF(Z629="",0,IFERROR(--(EOMONTH(Z629,0)&lt;&gt;Y$5),1))+IF(AC629="",0,IFERROR(--(EOMONTH(AC629,0)&lt;&gt;AB$5),1))+IF(AF629="",0,IFERROR(--(EOMONTH(AF629,0)&lt;&gt;AE$5),1))+IF(AI629="",0,IFERROR(--(EOMONTH(AI629,0)&lt;&gt;AH$5),1))+IF(AL629="",0,IFERROR(--(EOMONTH(AL629,0)&lt;&gt;AK$5),1))+IF(AO629="",0,IFERROR(--(EOMONTH(AO629,0)&lt;&gt;AN$5),1))+IF(AR629="",0,IFERROR(--(EOMONTH(AR629,0)&lt;&gt;AQ$5),1))+IF(AU629="",0,IFERROR(--(EOMONTH(AU629,0)&lt;&gt;AT$5),1))+IF(AX629="",0,IFERROR(--(EOMONTH(AX629,0)&lt;&gt;AW$5),1))+IF(BA629="",0,IFERROR(--(EOMONTH(BA629,0)&lt;&gt;AZ$5),1)))&gt;0,"; An invoice date is not in the month it is typed under",""),3,500))</f>
        <v/>
      </c>
      <c r="S629" s="12" t="n"/>
      <c r="T629" s="13" t="n"/>
      <c r="U629" s="14" t="n"/>
      <c r="V629" s="12" t="n"/>
      <c r="W629" s="13" t="n"/>
      <c r="X629" s="14" t="n"/>
      <c r="Y629" s="12" t="n"/>
      <c r="Z629" s="13" t="n"/>
      <c r="AA629" s="14" t="n"/>
      <c r="AB629" s="12" t="n"/>
      <c r="AC629" s="13" t="n"/>
      <c r="AD629" s="14" t="n"/>
      <c r="AE629" s="12" t="n"/>
      <c r="AF629" s="13" t="n"/>
      <c r="AG629" s="14" t="n"/>
      <c r="AH629" s="12" t="n"/>
      <c r="AI629" s="13" t="n"/>
      <c r="AJ629" s="14" t="n"/>
      <c r="AK629" s="12" t="n"/>
      <c r="AL629" s="13" t="n"/>
      <c r="AM629" s="14" t="n"/>
      <c r="AN629" s="12" t="n"/>
      <c r="AO629" s="13" t="n"/>
      <c r="AP629" s="14" t="n"/>
      <c r="AQ629" s="12" t="n"/>
      <c r="AR629" s="13" t="n"/>
      <c r="AS629" s="14" t="n"/>
      <c r="AT629" s="12" t="n"/>
      <c r="AU629" s="13" t="n"/>
      <c r="AV629" s="14" t="n"/>
      <c r="AW629" s="12" t="n"/>
      <c r="AX629" s="13" t="n"/>
      <c r="AY629" s="14" t="n"/>
      <c r="AZ629" s="12" t="n"/>
      <c r="BA629" s="13" t="n"/>
      <c r="BB629" s="14" t="n"/>
      <c r="BC629" s="11">
        <f>IF(O629="","",IF(J629="GST 10%",ROUND(O629*set_GSTRate,2),0))</f>
        <v/>
      </c>
      <c r="BD629" s="11">
        <f>IF(O629="","",O629+BC629)</f>
        <v/>
      </c>
      <c r="BE629" s="15">
        <f>IF(O629="","",COUNTA(S629,V629,Y629,AB629,AE629,AH629,AK629,AN629,AQ629,AT629,AW629,AZ629))</f>
        <v/>
      </c>
      <c r="BF629" s="16">
        <f>IF(COUNT(T629,W629,Z629,AC629,AF629,AI629,AL629,AO629,AR629,AU629,AX629,BA629)=0,"",MAX(T629,W629,Z629,AC629,AF629,AI629,AL629,AO629,AR629,AU629,AX629,BA629))</f>
        <v/>
      </c>
      <c r="BG629" s="10">
        <f>MID(IF(S629="","",", "&amp;S629)&amp;IF(V629="","",", "&amp;V629)&amp;IF(Y629="","",", "&amp;Y629)&amp;IF(AB629="","",", "&amp;AB629)&amp;IF(AE629="","",", "&amp;AE629)&amp;IF(AH629="","",", "&amp;AH629)&amp;IF(AK629="","",", "&amp;AK629)&amp;IF(AN629="","",", "&amp;AN629)&amp;IF(AQ629="","",", "&amp;AQ629)&amp;IF(AT629="","",", "&amp;AT629)&amp;IF(AW629="","",", "&amp;AW629)&amp;IF(AZ629="","",", "&amp;AZ629),3,500)</f>
        <v/>
      </c>
      <c r="BH629" s="12" t="n"/>
      <c r="BI629" s="15">
        <f>IFERROR(MATCH($A629,IF($B629="Onsite",tbl_Onsite[Row ID],IF($B629="Production",tbl_Production[Row ID],tbl_Consulting[Row ID])),0),"")</f>
        <v/>
      </c>
    </row>
    <row r="630">
      <c r="A630" s="10" t="inlineStr">
        <is>
          <t>PRD-0124</t>
        </is>
      </c>
      <c r="B630" s="10" t="inlineStr">
        <is>
          <t>Production</t>
        </is>
      </c>
      <c r="C630" s="10">
        <f>IF($BI630="","",IF($B630="Onsite",INDEX(tbl_Onsite[Job Number],$BI630),IF($B630="Production",INDEX(tbl_Production[Job Number],$BI630),INDEX(tbl_Consulting[Job Number],$BI630)))&amp;"")</f>
        <v/>
      </c>
      <c r="D630" s="10">
        <f>IF($BI630="","",IF($B630="Onsite",INDEX(tbl_Onsite[Client],$BI630),IF($B630="Production",INDEX(tbl_Production[Client],$BI630),INDEX(tbl_Consulting[Client],$BI630)))&amp;"")</f>
        <v/>
      </c>
      <c r="E630" s="10">
        <f>IF($C630="","",IF(COUNTIF(lst_Jobs,$C630)&gt;0,"OK","CHECK"))</f>
        <v/>
      </c>
      <c r="F630" s="10">
        <f>IF($C630="","",IFERROR(INDEX(lst_JobName,MATCH($C630,lst_Jobs,0)),""))</f>
        <v/>
      </c>
      <c r="G630" s="10">
        <f>IF($BI630="","",IF($B630="Onsite",INDEX(tbl_Onsite[Job Description],$BI630),IF($B630="Production",INDEX(tbl_Production[Job Description],$BI630),INDEX(tbl_Consulting[Job Description],$BI630)))&amp;"")</f>
        <v/>
      </c>
      <c r="H630" s="10">
        <f>IF($BI630="","",IF($B630="Onsite",INDEX(tbl_Onsite[Cost Centre],$BI630),IF($B630="Production",INDEX(tbl_Production[Cost Centre],$BI630),INDEX(tbl_Consulting[Cost Centre],$BI630)))&amp;"")</f>
        <v/>
      </c>
      <c r="I630" s="10">
        <f>IF($BI630="","",IF($B630="Onsite",INDEX(tbl_Onsite[Invoice Type],$BI630),IF($B630="Production",INDEX(tbl_Production[Invoice Type],$BI630),INDEX(tbl_Consulting[Invoice Type],$BI630)))&amp;"")</f>
        <v/>
      </c>
      <c r="J630" s="10">
        <f>IF($BI630="","",IF($B630="Onsite",INDEX(tbl_Onsite[Tax Code],$BI630),IF($B630="Production",INDEX(tbl_Production[Tax Code],$BI630),INDEX(tbl_Consulting[Tax Code],$BI630)))&amp;"")</f>
        <v/>
      </c>
      <c r="K630" s="10">
        <f>IF(H630="","",IFERROR(INDEX(lst_CCtoGL,MATCH(H630,lst_CCforGL,0)),""))</f>
        <v/>
      </c>
      <c r="L630" s="10">
        <f>IF($BI630="","",IF($B630="Onsite",INDEX(tbl_Onsite[PO / Reference],$BI630),IF($B630="Production",INDEX(tbl_Production[Current RMS No],$BI630),INDEX(tbl_Consulting[Qwilr Quote],$BI630)))&amp;"")</f>
        <v/>
      </c>
      <c r="M630" s="10">
        <f>IF($BI630="","",IF($B630="Onsite",INDEX(tbl_Onsite[Notes],$BI630),IF($B630="Production",INDEX(tbl_Production[Notes],$BI630),INDEX(tbl_Consulting[Notes],$BI630)))&amp;"")</f>
        <v/>
      </c>
      <c r="N630" s="11">
        <f>IF($BI630="","",IF(IF($B630="Onsite",INDEX(tbl_Onsite[Expected Revenue Ex GST],$BI630),IF($B630="Production",INDEX(tbl_Production[Expected Revenue Ex GST],$BI630),INDEX(tbl_Consulting[Expected Revenue Ex GST],$BI630)))="","",IF($B630="Onsite",INDEX(tbl_Onsite[Expected Revenue Ex GST],$BI630),IF($B630="Production",INDEX(tbl_Production[Expected Revenue Ex GST],$BI630),INDEX(tbl_Consulting[Expected Revenue Ex GST],$BI630)))))</f>
        <v/>
      </c>
      <c r="O630" s="11">
        <f>IF(AND($C630="",NOT(COUNTA($S630:$BB630)&gt;0)),"",SUM(U630,X630,AA630,AD630,AG630,AJ630,AM630,AP630,AS630,AV630,AY630,BB630))</f>
        <v/>
      </c>
      <c r="P630" s="11">
        <f>IF(O630="","",N(N630)-O630)</f>
        <v/>
      </c>
      <c r="Q630" s="10">
        <f>IF(O630="","",IF($C630="","Invoice on empty job row",IF(N630="",IF(ROUND(O630,2)=0,"No dept value","Invoiced - no dept value"),IF(ROUND(O630,2)=0,"Not invoiced - to invoice",IF(ROUND(P630,2)=0,"Agrees",IF(P630&gt;0,"Dept higher - to invoice","Xero higher - check dept"))))))</f>
        <v/>
      </c>
      <c r="R630" s="10">
        <f>IF(AND($C630="",NOT(COUNTA($S630:$BB630)&gt;0),$BI630&lt;&gt;""),"",MID(IF($BI630="","; Row ID not found on the department sheet - a row was deleted","")&amp;IF(AND($C630="",COUNTA($S630:$BB630)&gt;0),"; Invoice entered but the department row has no job number","")&amp;IF(E630="CHECK","; Job number not in the Xero job list","")&amp;IF(AND($C630&lt;&gt;"",COUNTIF($C$7:$C$1506,$C630)&gt;1),"; Job number on more than one row","")&amp;IF(AND($C630&lt;&gt;"",H630=""),"; Dept has not set a cost centre","")&amp;IF(AND($C630&lt;&gt;"",J630=""),"; Dept has not set a tax code","")&amp;IF(AND($C630&lt;&gt;"",N630=""),"; Dept has not entered an expected value","")&amp;IF((IF(OR(COUNTA(S630:U630)=0,AND(COUNTA(S630:U630)=3,ISNUMBER(U630))),0,1)+IF(OR(COUNTA(V630:X630)=0,AND(COUNTA(V630:X630)=3,ISNUMBER(X630))),0,1)+IF(OR(COUNTA(Y630:AA630)=0,AND(COUNTA(Y630:AA630)=3,ISNUMBER(AA630))),0,1)+IF(OR(COUNTA(AB630:AD630)=0,AND(COUNTA(AB630:AD630)=3,ISNUMBER(AD630))),0,1)+IF(OR(COUNTA(AE630:AG630)=0,AND(COUNTA(AE630:AG630)=3,ISNUMBER(AG630))),0,1)+IF(OR(COUNTA(AH630:AJ630)=0,AND(COUNTA(AH630:AJ630)=3,ISNUMBER(AJ630))),0,1)+IF(OR(COUNTA(AK630:AM630)=0,AND(COUNTA(AK630:AM630)=3,ISNUMBER(AM630))),0,1)+IF(OR(COUNTA(AN630:AP630)=0,AND(COUNTA(AN630:AP630)=3,ISNUMBER(AP630))),0,1)+IF(OR(COUNTA(AQ630:AS630)=0,AND(COUNTA(AQ630:AS630)=3,ISNUMBER(AS630))),0,1)+IF(OR(COUNTA(AT630:AV630)=0,AND(COUNTA(AT630:AV630)=3,ISNUMBER(AV630))),0,1)+IF(OR(COUNTA(AW630:AY630)=0,AND(COUNTA(AW630:AY630)=3,ISNUMBER(AY630))),0,1)+IF(OR(COUNTA(AZ630:BB630)=0,AND(COUNTA(AZ630:BB630)=3,ISNUMBER(BB630))),0,1))&gt;0,"; An invoice is incomplete (needs No, Date and a number in Ex GST)","")&amp;IF((IF(T630="",0,IFERROR(--(EOMONTH(T630,0)&lt;&gt;S$5),1))+IF(W630="",0,IFERROR(--(EOMONTH(W630,0)&lt;&gt;V$5),1))+IF(Z630="",0,IFERROR(--(EOMONTH(Z630,0)&lt;&gt;Y$5),1))+IF(AC630="",0,IFERROR(--(EOMONTH(AC630,0)&lt;&gt;AB$5),1))+IF(AF630="",0,IFERROR(--(EOMONTH(AF630,0)&lt;&gt;AE$5),1))+IF(AI630="",0,IFERROR(--(EOMONTH(AI630,0)&lt;&gt;AH$5),1))+IF(AL630="",0,IFERROR(--(EOMONTH(AL630,0)&lt;&gt;AK$5),1))+IF(AO630="",0,IFERROR(--(EOMONTH(AO630,0)&lt;&gt;AN$5),1))+IF(AR630="",0,IFERROR(--(EOMONTH(AR630,0)&lt;&gt;AQ$5),1))+IF(AU630="",0,IFERROR(--(EOMONTH(AU630,0)&lt;&gt;AT$5),1))+IF(AX630="",0,IFERROR(--(EOMONTH(AX630,0)&lt;&gt;AW$5),1))+IF(BA630="",0,IFERROR(--(EOMONTH(BA630,0)&lt;&gt;AZ$5),1)))&gt;0,"; An invoice date is not in the month it is typed under",""),3,500))</f>
        <v/>
      </c>
      <c r="S630" s="12" t="n"/>
      <c r="T630" s="13" t="n"/>
      <c r="U630" s="14" t="n"/>
      <c r="V630" s="12" t="n"/>
      <c r="W630" s="13" t="n"/>
      <c r="X630" s="14" t="n"/>
      <c r="Y630" s="12" t="n"/>
      <c r="Z630" s="13" t="n"/>
      <c r="AA630" s="14" t="n"/>
      <c r="AB630" s="12" t="n"/>
      <c r="AC630" s="13" t="n"/>
      <c r="AD630" s="14" t="n"/>
      <c r="AE630" s="12" t="n"/>
      <c r="AF630" s="13" t="n"/>
      <c r="AG630" s="14" t="n"/>
      <c r="AH630" s="12" t="n"/>
      <c r="AI630" s="13" t="n"/>
      <c r="AJ630" s="14" t="n"/>
      <c r="AK630" s="12" t="n"/>
      <c r="AL630" s="13" t="n"/>
      <c r="AM630" s="14" t="n"/>
      <c r="AN630" s="12" t="n"/>
      <c r="AO630" s="13" t="n"/>
      <c r="AP630" s="14" t="n"/>
      <c r="AQ630" s="12" t="n"/>
      <c r="AR630" s="13" t="n"/>
      <c r="AS630" s="14" t="n"/>
      <c r="AT630" s="12" t="n"/>
      <c r="AU630" s="13" t="n"/>
      <c r="AV630" s="14" t="n"/>
      <c r="AW630" s="12" t="n"/>
      <c r="AX630" s="13" t="n"/>
      <c r="AY630" s="14" t="n"/>
      <c r="AZ630" s="12" t="n"/>
      <c r="BA630" s="13" t="n"/>
      <c r="BB630" s="14" t="n"/>
      <c r="BC630" s="11">
        <f>IF(O630="","",IF(J630="GST 10%",ROUND(O630*set_GSTRate,2),0))</f>
        <v/>
      </c>
      <c r="BD630" s="11">
        <f>IF(O630="","",O630+BC630)</f>
        <v/>
      </c>
      <c r="BE630" s="15">
        <f>IF(O630="","",COUNTA(S630,V630,Y630,AB630,AE630,AH630,AK630,AN630,AQ630,AT630,AW630,AZ630))</f>
        <v/>
      </c>
      <c r="BF630" s="16">
        <f>IF(COUNT(T630,W630,Z630,AC630,AF630,AI630,AL630,AO630,AR630,AU630,AX630,BA630)=0,"",MAX(T630,W630,Z630,AC630,AF630,AI630,AL630,AO630,AR630,AU630,AX630,BA630))</f>
        <v/>
      </c>
      <c r="BG630" s="10">
        <f>MID(IF(S630="","",", "&amp;S630)&amp;IF(V630="","",", "&amp;V630)&amp;IF(Y630="","",", "&amp;Y630)&amp;IF(AB630="","",", "&amp;AB630)&amp;IF(AE630="","",", "&amp;AE630)&amp;IF(AH630="","",", "&amp;AH630)&amp;IF(AK630="","",", "&amp;AK630)&amp;IF(AN630="","",", "&amp;AN630)&amp;IF(AQ630="","",", "&amp;AQ630)&amp;IF(AT630="","",", "&amp;AT630)&amp;IF(AW630="","",", "&amp;AW630)&amp;IF(AZ630="","",", "&amp;AZ630),3,500)</f>
        <v/>
      </c>
      <c r="BH630" s="12" t="n"/>
      <c r="BI630" s="15">
        <f>IFERROR(MATCH($A630,IF($B630="Onsite",tbl_Onsite[Row ID],IF($B630="Production",tbl_Production[Row ID],tbl_Consulting[Row ID])),0),"")</f>
        <v/>
      </c>
    </row>
    <row r="631">
      <c r="A631" s="10" t="inlineStr">
        <is>
          <t>PRD-0125</t>
        </is>
      </c>
      <c r="B631" s="10" t="inlineStr">
        <is>
          <t>Production</t>
        </is>
      </c>
      <c r="C631" s="10">
        <f>IF($BI631="","",IF($B631="Onsite",INDEX(tbl_Onsite[Job Number],$BI631),IF($B631="Production",INDEX(tbl_Production[Job Number],$BI631),INDEX(tbl_Consulting[Job Number],$BI631)))&amp;"")</f>
        <v/>
      </c>
      <c r="D631" s="10">
        <f>IF($BI631="","",IF($B631="Onsite",INDEX(tbl_Onsite[Client],$BI631),IF($B631="Production",INDEX(tbl_Production[Client],$BI631),INDEX(tbl_Consulting[Client],$BI631)))&amp;"")</f>
        <v/>
      </c>
      <c r="E631" s="10">
        <f>IF($C631="","",IF(COUNTIF(lst_Jobs,$C631)&gt;0,"OK","CHECK"))</f>
        <v/>
      </c>
      <c r="F631" s="10">
        <f>IF($C631="","",IFERROR(INDEX(lst_JobName,MATCH($C631,lst_Jobs,0)),""))</f>
        <v/>
      </c>
      <c r="G631" s="10">
        <f>IF($BI631="","",IF($B631="Onsite",INDEX(tbl_Onsite[Job Description],$BI631),IF($B631="Production",INDEX(tbl_Production[Job Description],$BI631),INDEX(tbl_Consulting[Job Description],$BI631)))&amp;"")</f>
        <v/>
      </c>
      <c r="H631" s="10">
        <f>IF($BI631="","",IF($B631="Onsite",INDEX(tbl_Onsite[Cost Centre],$BI631),IF($B631="Production",INDEX(tbl_Production[Cost Centre],$BI631),INDEX(tbl_Consulting[Cost Centre],$BI631)))&amp;"")</f>
        <v/>
      </c>
      <c r="I631" s="10">
        <f>IF($BI631="","",IF($B631="Onsite",INDEX(tbl_Onsite[Invoice Type],$BI631),IF($B631="Production",INDEX(tbl_Production[Invoice Type],$BI631),INDEX(tbl_Consulting[Invoice Type],$BI631)))&amp;"")</f>
        <v/>
      </c>
      <c r="J631" s="10">
        <f>IF($BI631="","",IF($B631="Onsite",INDEX(tbl_Onsite[Tax Code],$BI631),IF($B631="Production",INDEX(tbl_Production[Tax Code],$BI631),INDEX(tbl_Consulting[Tax Code],$BI631)))&amp;"")</f>
        <v/>
      </c>
      <c r="K631" s="10">
        <f>IF(H631="","",IFERROR(INDEX(lst_CCtoGL,MATCH(H631,lst_CCforGL,0)),""))</f>
        <v/>
      </c>
      <c r="L631" s="10">
        <f>IF($BI631="","",IF($B631="Onsite",INDEX(tbl_Onsite[PO / Reference],$BI631),IF($B631="Production",INDEX(tbl_Production[Current RMS No],$BI631),INDEX(tbl_Consulting[Qwilr Quote],$BI631)))&amp;"")</f>
        <v/>
      </c>
      <c r="M631" s="10">
        <f>IF($BI631="","",IF($B631="Onsite",INDEX(tbl_Onsite[Notes],$BI631),IF($B631="Production",INDEX(tbl_Production[Notes],$BI631),INDEX(tbl_Consulting[Notes],$BI631)))&amp;"")</f>
        <v/>
      </c>
      <c r="N631" s="11">
        <f>IF($BI631="","",IF(IF($B631="Onsite",INDEX(tbl_Onsite[Expected Revenue Ex GST],$BI631),IF($B631="Production",INDEX(tbl_Production[Expected Revenue Ex GST],$BI631),INDEX(tbl_Consulting[Expected Revenue Ex GST],$BI631)))="","",IF($B631="Onsite",INDEX(tbl_Onsite[Expected Revenue Ex GST],$BI631),IF($B631="Production",INDEX(tbl_Production[Expected Revenue Ex GST],$BI631),INDEX(tbl_Consulting[Expected Revenue Ex GST],$BI631)))))</f>
        <v/>
      </c>
      <c r="O631" s="11">
        <f>IF(AND($C631="",NOT(COUNTA($S631:$BB631)&gt;0)),"",SUM(U631,X631,AA631,AD631,AG631,AJ631,AM631,AP631,AS631,AV631,AY631,BB631))</f>
        <v/>
      </c>
      <c r="P631" s="11">
        <f>IF(O631="","",N(N631)-O631)</f>
        <v/>
      </c>
      <c r="Q631" s="10">
        <f>IF(O631="","",IF($C631="","Invoice on empty job row",IF(N631="",IF(ROUND(O631,2)=0,"No dept value","Invoiced - no dept value"),IF(ROUND(O631,2)=0,"Not invoiced - to invoice",IF(ROUND(P631,2)=0,"Agrees",IF(P631&gt;0,"Dept higher - to invoice","Xero higher - check dept"))))))</f>
        <v/>
      </c>
      <c r="R631" s="10">
        <f>IF(AND($C631="",NOT(COUNTA($S631:$BB631)&gt;0),$BI631&lt;&gt;""),"",MID(IF($BI631="","; Row ID not found on the department sheet - a row was deleted","")&amp;IF(AND($C631="",COUNTA($S631:$BB631)&gt;0),"; Invoice entered but the department row has no job number","")&amp;IF(E631="CHECK","; Job number not in the Xero job list","")&amp;IF(AND($C631&lt;&gt;"",COUNTIF($C$7:$C$1506,$C631)&gt;1),"; Job number on more than one row","")&amp;IF(AND($C631&lt;&gt;"",H631=""),"; Dept has not set a cost centre","")&amp;IF(AND($C631&lt;&gt;"",J631=""),"; Dept has not set a tax code","")&amp;IF(AND($C631&lt;&gt;"",N631=""),"; Dept has not entered an expected value","")&amp;IF((IF(OR(COUNTA(S631:U631)=0,AND(COUNTA(S631:U631)=3,ISNUMBER(U631))),0,1)+IF(OR(COUNTA(V631:X631)=0,AND(COUNTA(V631:X631)=3,ISNUMBER(X631))),0,1)+IF(OR(COUNTA(Y631:AA631)=0,AND(COUNTA(Y631:AA631)=3,ISNUMBER(AA631))),0,1)+IF(OR(COUNTA(AB631:AD631)=0,AND(COUNTA(AB631:AD631)=3,ISNUMBER(AD631))),0,1)+IF(OR(COUNTA(AE631:AG631)=0,AND(COUNTA(AE631:AG631)=3,ISNUMBER(AG631))),0,1)+IF(OR(COUNTA(AH631:AJ631)=0,AND(COUNTA(AH631:AJ631)=3,ISNUMBER(AJ631))),0,1)+IF(OR(COUNTA(AK631:AM631)=0,AND(COUNTA(AK631:AM631)=3,ISNUMBER(AM631))),0,1)+IF(OR(COUNTA(AN631:AP631)=0,AND(COUNTA(AN631:AP631)=3,ISNUMBER(AP631))),0,1)+IF(OR(COUNTA(AQ631:AS631)=0,AND(COUNTA(AQ631:AS631)=3,ISNUMBER(AS631))),0,1)+IF(OR(COUNTA(AT631:AV631)=0,AND(COUNTA(AT631:AV631)=3,ISNUMBER(AV631))),0,1)+IF(OR(COUNTA(AW631:AY631)=0,AND(COUNTA(AW631:AY631)=3,ISNUMBER(AY631))),0,1)+IF(OR(COUNTA(AZ631:BB631)=0,AND(COUNTA(AZ631:BB631)=3,ISNUMBER(BB631))),0,1))&gt;0,"; An invoice is incomplete (needs No, Date and a number in Ex GST)","")&amp;IF((IF(T631="",0,IFERROR(--(EOMONTH(T631,0)&lt;&gt;S$5),1))+IF(W631="",0,IFERROR(--(EOMONTH(W631,0)&lt;&gt;V$5),1))+IF(Z631="",0,IFERROR(--(EOMONTH(Z631,0)&lt;&gt;Y$5),1))+IF(AC631="",0,IFERROR(--(EOMONTH(AC631,0)&lt;&gt;AB$5),1))+IF(AF631="",0,IFERROR(--(EOMONTH(AF631,0)&lt;&gt;AE$5),1))+IF(AI631="",0,IFERROR(--(EOMONTH(AI631,0)&lt;&gt;AH$5),1))+IF(AL631="",0,IFERROR(--(EOMONTH(AL631,0)&lt;&gt;AK$5),1))+IF(AO631="",0,IFERROR(--(EOMONTH(AO631,0)&lt;&gt;AN$5),1))+IF(AR631="",0,IFERROR(--(EOMONTH(AR631,0)&lt;&gt;AQ$5),1))+IF(AU631="",0,IFERROR(--(EOMONTH(AU631,0)&lt;&gt;AT$5),1))+IF(AX631="",0,IFERROR(--(EOMONTH(AX631,0)&lt;&gt;AW$5),1))+IF(BA631="",0,IFERROR(--(EOMONTH(BA631,0)&lt;&gt;AZ$5),1)))&gt;0,"; An invoice date is not in the month it is typed under",""),3,500))</f>
        <v/>
      </c>
      <c r="S631" s="12" t="n"/>
      <c r="T631" s="13" t="n"/>
      <c r="U631" s="14" t="n"/>
      <c r="V631" s="12" t="n"/>
      <c r="W631" s="13" t="n"/>
      <c r="X631" s="14" t="n"/>
      <c r="Y631" s="12" t="n"/>
      <c r="Z631" s="13" t="n"/>
      <c r="AA631" s="14" t="n"/>
      <c r="AB631" s="12" t="n"/>
      <c r="AC631" s="13" t="n"/>
      <c r="AD631" s="14" t="n"/>
      <c r="AE631" s="12" t="n"/>
      <c r="AF631" s="13" t="n"/>
      <c r="AG631" s="14" t="n"/>
      <c r="AH631" s="12" t="n"/>
      <c r="AI631" s="13" t="n"/>
      <c r="AJ631" s="14" t="n"/>
      <c r="AK631" s="12" t="n"/>
      <c r="AL631" s="13" t="n"/>
      <c r="AM631" s="14" t="n"/>
      <c r="AN631" s="12" t="n"/>
      <c r="AO631" s="13" t="n"/>
      <c r="AP631" s="14" t="n"/>
      <c r="AQ631" s="12" t="n"/>
      <c r="AR631" s="13" t="n"/>
      <c r="AS631" s="14" t="n"/>
      <c r="AT631" s="12" t="n"/>
      <c r="AU631" s="13" t="n"/>
      <c r="AV631" s="14" t="n"/>
      <c r="AW631" s="12" t="n"/>
      <c r="AX631" s="13" t="n"/>
      <c r="AY631" s="14" t="n"/>
      <c r="AZ631" s="12" t="n"/>
      <c r="BA631" s="13" t="n"/>
      <c r="BB631" s="14" t="n"/>
      <c r="BC631" s="11">
        <f>IF(O631="","",IF(J631="GST 10%",ROUND(O631*set_GSTRate,2),0))</f>
        <v/>
      </c>
      <c r="BD631" s="11">
        <f>IF(O631="","",O631+BC631)</f>
        <v/>
      </c>
      <c r="BE631" s="15">
        <f>IF(O631="","",COUNTA(S631,V631,Y631,AB631,AE631,AH631,AK631,AN631,AQ631,AT631,AW631,AZ631))</f>
        <v/>
      </c>
      <c r="BF631" s="16">
        <f>IF(COUNT(T631,W631,Z631,AC631,AF631,AI631,AL631,AO631,AR631,AU631,AX631,BA631)=0,"",MAX(T631,W631,Z631,AC631,AF631,AI631,AL631,AO631,AR631,AU631,AX631,BA631))</f>
        <v/>
      </c>
      <c r="BG631" s="10">
        <f>MID(IF(S631="","",", "&amp;S631)&amp;IF(V631="","",", "&amp;V631)&amp;IF(Y631="","",", "&amp;Y631)&amp;IF(AB631="","",", "&amp;AB631)&amp;IF(AE631="","",", "&amp;AE631)&amp;IF(AH631="","",", "&amp;AH631)&amp;IF(AK631="","",", "&amp;AK631)&amp;IF(AN631="","",", "&amp;AN631)&amp;IF(AQ631="","",", "&amp;AQ631)&amp;IF(AT631="","",", "&amp;AT631)&amp;IF(AW631="","",", "&amp;AW631)&amp;IF(AZ631="","",", "&amp;AZ631),3,500)</f>
        <v/>
      </c>
      <c r="BH631" s="12" t="n"/>
      <c r="BI631" s="15">
        <f>IFERROR(MATCH($A631,IF($B631="Onsite",tbl_Onsite[Row ID],IF($B631="Production",tbl_Production[Row ID],tbl_Consulting[Row ID])),0),"")</f>
        <v/>
      </c>
    </row>
    <row r="632">
      <c r="A632" s="10" t="inlineStr">
        <is>
          <t>PRD-0126</t>
        </is>
      </c>
      <c r="B632" s="10" t="inlineStr">
        <is>
          <t>Production</t>
        </is>
      </c>
      <c r="C632" s="10">
        <f>IF($BI632="","",IF($B632="Onsite",INDEX(tbl_Onsite[Job Number],$BI632),IF($B632="Production",INDEX(tbl_Production[Job Number],$BI632),INDEX(tbl_Consulting[Job Number],$BI632)))&amp;"")</f>
        <v/>
      </c>
      <c r="D632" s="10">
        <f>IF($BI632="","",IF($B632="Onsite",INDEX(tbl_Onsite[Client],$BI632),IF($B632="Production",INDEX(tbl_Production[Client],$BI632),INDEX(tbl_Consulting[Client],$BI632)))&amp;"")</f>
        <v/>
      </c>
      <c r="E632" s="10">
        <f>IF($C632="","",IF(COUNTIF(lst_Jobs,$C632)&gt;0,"OK","CHECK"))</f>
        <v/>
      </c>
      <c r="F632" s="10">
        <f>IF($C632="","",IFERROR(INDEX(lst_JobName,MATCH($C632,lst_Jobs,0)),""))</f>
        <v/>
      </c>
      <c r="G632" s="10">
        <f>IF($BI632="","",IF($B632="Onsite",INDEX(tbl_Onsite[Job Description],$BI632),IF($B632="Production",INDEX(tbl_Production[Job Description],$BI632),INDEX(tbl_Consulting[Job Description],$BI632)))&amp;"")</f>
        <v/>
      </c>
      <c r="H632" s="10">
        <f>IF($BI632="","",IF($B632="Onsite",INDEX(tbl_Onsite[Cost Centre],$BI632),IF($B632="Production",INDEX(tbl_Production[Cost Centre],$BI632),INDEX(tbl_Consulting[Cost Centre],$BI632)))&amp;"")</f>
        <v/>
      </c>
      <c r="I632" s="10">
        <f>IF($BI632="","",IF($B632="Onsite",INDEX(tbl_Onsite[Invoice Type],$BI632),IF($B632="Production",INDEX(tbl_Production[Invoice Type],$BI632),INDEX(tbl_Consulting[Invoice Type],$BI632)))&amp;"")</f>
        <v/>
      </c>
      <c r="J632" s="10">
        <f>IF($BI632="","",IF($B632="Onsite",INDEX(tbl_Onsite[Tax Code],$BI632),IF($B632="Production",INDEX(tbl_Production[Tax Code],$BI632),INDEX(tbl_Consulting[Tax Code],$BI632)))&amp;"")</f>
        <v/>
      </c>
      <c r="K632" s="10">
        <f>IF(H632="","",IFERROR(INDEX(lst_CCtoGL,MATCH(H632,lst_CCforGL,0)),""))</f>
        <v/>
      </c>
      <c r="L632" s="10">
        <f>IF($BI632="","",IF($B632="Onsite",INDEX(tbl_Onsite[PO / Reference],$BI632),IF($B632="Production",INDEX(tbl_Production[Current RMS No],$BI632),INDEX(tbl_Consulting[Qwilr Quote],$BI632)))&amp;"")</f>
        <v/>
      </c>
      <c r="M632" s="10">
        <f>IF($BI632="","",IF($B632="Onsite",INDEX(tbl_Onsite[Notes],$BI632),IF($B632="Production",INDEX(tbl_Production[Notes],$BI632),INDEX(tbl_Consulting[Notes],$BI632)))&amp;"")</f>
        <v/>
      </c>
      <c r="N632" s="11">
        <f>IF($BI632="","",IF(IF($B632="Onsite",INDEX(tbl_Onsite[Expected Revenue Ex GST],$BI632),IF($B632="Production",INDEX(tbl_Production[Expected Revenue Ex GST],$BI632),INDEX(tbl_Consulting[Expected Revenue Ex GST],$BI632)))="","",IF($B632="Onsite",INDEX(tbl_Onsite[Expected Revenue Ex GST],$BI632),IF($B632="Production",INDEX(tbl_Production[Expected Revenue Ex GST],$BI632),INDEX(tbl_Consulting[Expected Revenue Ex GST],$BI632)))))</f>
        <v/>
      </c>
      <c r="O632" s="11">
        <f>IF(AND($C632="",NOT(COUNTA($S632:$BB632)&gt;0)),"",SUM(U632,X632,AA632,AD632,AG632,AJ632,AM632,AP632,AS632,AV632,AY632,BB632))</f>
        <v/>
      </c>
      <c r="P632" s="11">
        <f>IF(O632="","",N(N632)-O632)</f>
        <v/>
      </c>
      <c r="Q632" s="10">
        <f>IF(O632="","",IF($C632="","Invoice on empty job row",IF(N632="",IF(ROUND(O632,2)=0,"No dept value","Invoiced - no dept value"),IF(ROUND(O632,2)=0,"Not invoiced - to invoice",IF(ROUND(P632,2)=0,"Agrees",IF(P632&gt;0,"Dept higher - to invoice","Xero higher - check dept"))))))</f>
        <v/>
      </c>
      <c r="R632" s="10">
        <f>IF(AND($C632="",NOT(COUNTA($S632:$BB632)&gt;0),$BI632&lt;&gt;""),"",MID(IF($BI632="","; Row ID not found on the department sheet - a row was deleted","")&amp;IF(AND($C632="",COUNTA($S632:$BB632)&gt;0),"; Invoice entered but the department row has no job number","")&amp;IF(E632="CHECK","; Job number not in the Xero job list","")&amp;IF(AND($C632&lt;&gt;"",COUNTIF($C$7:$C$1506,$C632)&gt;1),"; Job number on more than one row","")&amp;IF(AND($C632&lt;&gt;"",H632=""),"; Dept has not set a cost centre","")&amp;IF(AND($C632&lt;&gt;"",J632=""),"; Dept has not set a tax code","")&amp;IF(AND($C632&lt;&gt;"",N632=""),"; Dept has not entered an expected value","")&amp;IF((IF(OR(COUNTA(S632:U632)=0,AND(COUNTA(S632:U632)=3,ISNUMBER(U632))),0,1)+IF(OR(COUNTA(V632:X632)=0,AND(COUNTA(V632:X632)=3,ISNUMBER(X632))),0,1)+IF(OR(COUNTA(Y632:AA632)=0,AND(COUNTA(Y632:AA632)=3,ISNUMBER(AA632))),0,1)+IF(OR(COUNTA(AB632:AD632)=0,AND(COUNTA(AB632:AD632)=3,ISNUMBER(AD632))),0,1)+IF(OR(COUNTA(AE632:AG632)=0,AND(COUNTA(AE632:AG632)=3,ISNUMBER(AG632))),0,1)+IF(OR(COUNTA(AH632:AJ632)=0,AND(COUNTA(AH632:AJ632)=3,ISNUMBER(AJ632))),0,1)+IF(OR(COUNTA(AK632:AM632)=0,AND(COUNTA(AK632:AM632)=3,ISNUMBER(AM632))),0,1)+IF(OR(COUNTA(AN632:AP632)=0,AND(COUNTA(AN632:AP632)=3,ISNUMBER(AP632))),0,1)+IF(OR(COUNTA(AQ632:AS632)=0,AND(COUNTA(AQ632:AS632)=3,ISNUMBER(AS632))),0,1)+IF(OR(COUNTA(AT632:AV632)=0,AND(COUNTA(AT632:AV632)=3,ISNUMBER(AV632))),0,1)+IF(OR(COUNTA(AW632:AY632)=0,AND(COUNTA(AW632:AY632)=3,ISNUMBER(AY632))),0,1)+IF(OR(COUNTA(AZ632:BB632)=0,AND(COUNTA(AZ632:BB632)=3,ISNUMBER(BB632))),0,1))&gt;0,"; An invoice is incomplete (needs No, Date and a number in Ex GST)","")&amp;IF((IF(T632="",0,IFERROR(--(EOMONTH(T632,0)&lt;&gt;S$5),1))+IF(W632="",0,IFERROR(--(EOMONTH(W632,0)&lt;&gt;V$5),1))+IF(Z632="",0,IFERROR(--(EOMONTH(Z632,0)&lt;&gt;Y$5),1))+IF(AC632="",0,IFERROR(--(EOMONTH(AC632,0)&lt;&gt;AB$5),1))+IF(AF632="",0,IFERROR(--(EOMONTH(AF632,0)&lt;&gt;AE$5),1))+IF(AI632="",0,IFERROR(--(EOMONTH(AI632,0)&lt;&gt;AH$5),1))+IF(AL632="",0,IFERROR(--(EOMONTH(AL632,0)&lt;&gt;AK$5),1))+IF(AO632="",0,IFERROR(--(EOMONTH(AO632,0)&lt;&gt;AN$5),1))+IF(AR632="",0,IFERROR(--(EOMONTH(AR632,0)&lt;&gt;AQ$5),1))+IF(AU632="",0,IFERROR(--(EOMONTH(AU632,0)&lt;&gt;AT$5),1))+IF(AX632="",0,IFERROR(--(EOMONTH(AX632,0)&lt;&gt;AW$5),1))+IF(BA632="",0,IFERROR(--(EOMONTH(BA632,0)&lt;&gt;AZ$5),1)))&gt;0,"; An invoice date is not in the month it is typed under",""),3,500))</f>
        <v/>
      </c>
      <c r="S632" s="12" t="n"/>
      <c r="T632" s="13" t="n"/>
      <c r="U632" s="14" t="n"/>
      <c r="V632" s="12" t="n"/>
      <c r="W632" s="13" t="n"/>
      <c r="X632" s="14" t="n"/>
      <c r="Y632" s="12" t="n"/>
      <c r="Z632" s="13" t="n"/>
      <c r="AA632" s="14" t="n"/>
      <c r="AB632" s="12" t="n"/>
      <c r="AC632" s="13" t="n"/>
      <c r="AD632" s="14" t="n"/>
      <c r="AE632" s="12" t="n"/>
      <c r="AF632" s="13" t="n"/>
      <c r="AG632" s="14" t="n"/>
      <c r="AH632" s="12" t="n"/>
      <c r="AI632" s="13" t="n"/>
      <c r="AJ632" s="14" t="n"/>
      <c r="AK632" s="12" t="n"/>
      <c r="AL632" s="13" t="n"/>
      <c r="AM632" s="14" t="n"/>
      <c r="AN632" s="12" t="n"/>
      <c r="AO632" s="13" t="n"/>
      <c r="AP632" s="14" t="n"/>
      <c r="AQ632" s="12" t="n"/>
      <c r="AR632" s="13" t="n"/>
      <c r="AS632" s="14" t="n"/>
      <c r="AT632" s="12" t="n"/>
      <c r="AU632" s="13" t="n"/>
      <c r="AV632" s="14" t="n"/>
      <c r="AW632" s="12" t="n"/>
      <c r="AX632" s="13" t="n"/>
      <c r="AY632" s="14" t="n"/>
      <c r="AZ632" s="12" t="n"/>
      <c r="BA632" s="13" t="n"/>
      <c r="BB632" s="14" t="n"/>
      <c r="BC632" s="11">
        <f>IF(O632="","",IF(J632="GST 10%",ROUND(O632*set_GSTRate,2),0))</f>
        <v/>
      </c>
      <c r="BD632" s="11">
        <f>IF(O632="","",O632+BC632)</f>
        <v/>
      </c>
      <c r="BE632" s="15">
        <f>IF(O632="","",COUNTA(S632,V632,Y632,AB632,AE632,AH632,AK632,AN632,AQ632,AT632,AW632,AZ632))</f>
        <v/>
      </c>
      <c r="BF632" s="16">
        <f>IF(COUNT(T632,W632,Z632,AC632,AF632,AI632,AL632,AO632,AR632,AU632,AX632,BA632)=0,"",MAX(T632,W632,Z632,AC632,AF632,AI632,AL632,AO632,AR632,AU632,AX632,BA632))</f>
        <v/>
      </c>
      <c r="BG632" s="10">
        <f>MID(IF(S632="","",", "&amp;S632)&amp;IF(V632="","",", "&amp;V632)&amp;IF(Y632="","",", "&amp;Y632)&amp;IF(AB632="","",", "&amp;AB632)&amp;IF(AE632="","",", "&amp;AE632)&amp;IF(AH632="","",", "&amp;AH632)&amp;IF(AK632="","",", "&amp;AK632)&amp;IF(AN632="","",", "&amp;AN632)&amp;IF(AQ632="","",", "&amp;AQ632)&amp;IF(AT632="","",", "&amp;AT632)&amp;IF(AW632="","",", "&amp;AW632)&amp;IF(AZ632="","",", "&amp;AZ632),3,500)</f>
        <v/>
      </c>
      <c r="BH632" s="12" t="n"/>
      <c r="BI632" s="15">
        <f>IFERROR(MATCH($A632,IF($B632="Onsite",tbl_Onsite[Row ID],IF($B632="Production",tbl_Production[Row ID],tbl_Consulting[Row ID])),0),"")</f>
        <v/>
      </c>
    </row>
    <row r="633">
      <c r="A633" s="10" t="inlineStr">
        <is>
          <t>PRD-0127</t>
        </is>
      </c>
      <c r="B633" s="10" t="inlineStr">
        <is>
          <t>Production</t>
        </is>
      </c>
      <c r="C633" s="10">
        <f>IF($BI633="","",IF($B633="Onsite",INDEX(tbl_Onsite[Job Number],$BI633),IF($B633="Production",INDEX(tbl_Production[Job Number],$BI633),INDEX(tbl_Consulting[Job Number],$BI633)))&amp;"")</f>
        <v/>
      </c>
      <c r="D633" s="10">
        <f>IF($BI633="","",IF($B633="Onsite",INDEX(tbl_Onsite[Client],$BI633),IF($B633="Production",INDEX(tbl_Production[Client],$BI633),INDEX(tbl_Consulting[Client],$BI633)))&amp;"")</f>
        <v/>
      </c>
      <c r="E633" s="10">
        <f>IF($C633="","",IF(COUNTIF(lst_Jobs,$C633)&gt;0,"OK","CHECK"))</f>
        <v/>
      </c>
      <c r="F633" s="10">
        <f>IF($C633="","",IFERROR(INDEX(lst_JobName,MATCH($C633,lst_Jobs,0)),""))</f>
        <v/>
      </c>
      <c r="G633" s="10">
        <f>IF($BI633="","",IF($B633="Onsite",INDEX(tbl_Onsite[Job Description],$BI633),IF($B633="Production",INDEX(tbl_Production[Job Description],$BI633),INDEX(tbl_Consulting[Job Description],$BI633)))&amp;"")</f>
        <v/>
      </c>
      <c r="H633" s="10">
        <f>IF($BI633="","",IF($B633="Onsite",INDEX(tbl_Onsite[Cost Centre],$BI633),IF($B633="Production",INDEX(tbl_Production[Cost Centre],$BI633),INDEX(tbl_Consulting[Cost Centre],$BI633)))&amp;"")</f>
        <v/>
      </c>
      <c r="I633" s="10">
        <f>IF($BI633="","",IF($B633="Onsite",INDEX(tbl_Onsite[Invoice Type],$BI633),IF($B633="Production",INDEX(tbl_Production[Invoice Type],$BI633),INDEX(tbl_Consulting[Invoice Type],$BI633)))&amp;"")</f>
        <v/>
      </c>
      <c r="J633" s="10">
        <f>IF($BI633="","",IF($B633="Onsite",INDEX(tbl_Onsite[Tax Code],$BI633),IF($B633="Production",INDEX(tbl_Production[Tax Code],$BI633),INDEX(tbl_Consulting[Tax Code],$BI633)))&amp;"")</f>
        <v/>
      </c>
      <c r="K633" s="10">
        <f>IF(H633="","",IFERROR(INDEX(lst_CCtoGL,MATCH(H633,lst_CCforGL,0)),""))</f>
        <v/>
      </c>
      <c r="L633" s="10">
        <f>IF($BI633="","",IF($B633="Onsite",INDEX(tbl_Onsite[PO / Reference],$BI633),IF($B633="Production",INDEX(tbl_Production[Current RMS No],$BI633),INDEX(tbl_Consulting[Qwilr Quote],$BI633)))&amp;"")</f>
        <v/>
      </c>
      <c r="M633" s="10">
        <f>IF($BI633="","",IF($B633="Onsite",INDEX(tbl_Onsite[Notes],$BI633),IF($B633="Production",INDEX(tbl_Production[Notes],$BI633),INDEX(tbl_Consulting[Notes],$BI633)))&amp;"")</f>
        <v/>
      </c>
      <c r="N633" s="11">
        <f>IF($BI633="","",IF(IF($B633="Onsite",INDEX(tbl_Onsite[Expected Revenue Ex GST],$BI633),IF($B633="Production",INDEX(tbl_Production[Expected Revenue Ex GST],$BI633),INDEX(tbl_Consulting[Expected Revenue Ex GST],$BI633)))="","",IF($B633="Onsite",INDEX(tbl_Onsite[Expected Revenue Ex GST],$BI633),IF($B633="Production",INDEX(tbl_Production[Expected Revenue Ex GST],$BI633),INDEX(tbl_Consulting[Expected Revenue Ex GST],$BI633)))))</f>
        <v/>
      </c>
      <c r="O633" s="11">
        <f>IF(AND($C633="",NOT(COUNTA($S633:$BB633)&gt;0)),"",SUM(U633,X633,AA633,AD633,AG633,AJ633,AM633,AP633,AS633,AV633,AY633,BB633))</f>
        <v/>
      </c>
      <c r="P633" s="11">
        <f>IF(O633="","",N(N633)-O633)</f>
        <v/>
      </c>
      <c r="Q633" s="10">
        <f>IF(O633="","",IF($C633="","Invoice on empty job row",IF(N633="",IF(ROUND(O633,2)=0,"No dept value","Invoiced - no dept value"),IF(ROUND(O633,2)=0,"Not invoiced - to invoice",IF(ROUND(P633,2)=0,"Agrees",IF(P633&gt;0,"Dept higher - to invoice","Xero higher - check dept"))))))</f>
        <v/>
      </c>
      <c r="R633" s="10">
        <f>IF(AND($C633="",NOT(COUNTA($S633:$BB633)&gt;0),$BI633&lt;&gt;""),"",MID(IF($BI633="","; Row ID not found on the department sheet - a row was deleted","")&amp;IF(AND($C633="",COUNTA($S633:$BB633)&gt;0),"; Invoice entered but the department row has no job number","")&amp;IF(E633="CHECK","; Job number not in the Xero job list","")&amp;IF(AND($C633&lt;&gt;"",COUNTIF($C$7:$C$1506,$C633)&gt;1),"; Job number on more than one row","")&amp;IF(AND($C633&lt;&gt;"",H633=""),"; Dept has not set a cost centre","")&amp;IF(AND($C633&lt;&gt;"",J633=""),"; Dept has not set a tax code","")&amp;IF(AND($C633&lt;&gt;"",N633=""),"; Dept has not entered an expected value","")&amp;IF((IF(OR(COUNTA(S633:U633)=0,AND(COUNTA(S633:U633)=3,ISNUMBER(U633))),0,1)+IF(OR(COUNTA(V633:X633)=0,AND(COUNTA(V633:X633)=3,ISNUMBER(X633))),0,1)+IF(OR(COUNTA(Y633:AA633)=0,AND(COUNTA(Y633:AA633)=3,ISNUMBER(AA633))),0,1)+IF(OR(COUNTA(AB633:AD633)=0,AND(COUNTA(AB633:AD633)=3,ISNUMBER(AD633))),0,1)+IF(OR(COUNTA(AE633:AG633)=0,AND(COUNTA(AE633:AG633)=3,ISNUMBER(AG633))),0,1)+IF(OR(COUNTA(AH633:AJ633)=0,AND(COUNTA(AH633:AJ633)=3,ISNUMBER(AJ633))),0,1)+IF(OR(COUNTA(AK633:AM633)=0,AND(COUNTA(AK633:AM633)=3,ISNUMBER(AM633))),0,1)+IF(OR(COUNTA(AN633:AP633)=0,AND(COUNTA(AN633:AP633)=3,ISNUMBER(AP633))),0,1)+IF(OR(COUNTA(AQ633:AS633)=0,AND(COUNTA(AQ633:AS633)=3,ISNUMBER(AS633))),0,1)+IF(OR(COUNTA(AT633:AV633)=0,AND(COUNTA(AT633:AV633)=3,ISNUMBER(AV633))),0,1)+IF(OR(COUNTA(AW633:AY633)=0,AND(COUNTA(AW633:AY633)=3,ISNUMBER(AY633))),0,1)+IF(OR(COUNTA(AZ633:BB633)=0,AND(COUNTA(AZ633:BB633)=3,ISNUMBER(BB633))),0,1))&gt;0,"; An invoice is incomplete (needs No, Date and a number in Ex GST)","")&amp;IF((IF(T633="",0,IFERROR(--(EOMONTH(T633,0)&lt;&gt;S$5),1))+IF(W633="",0,IFERROR(--(EOMONTH(W633,0)&lt;&gt;V$5),1))+IF(Z633="",0,IFERROR(--(EOMONTH(Z633,0)&lt;&gt;Y$5),1))+IF(AC633="",0,IFERROR(--(EOMONTH(AC633,0)&lt;&gt;AB$5),1))+IF(AF633="",0,IFERROR(--(EOMONTH(AF633,0)&lt;&gt;AE$5),1))+IF(AI633="",0,IFERROR(--(EOMONTH(AI633,0)&lt;&gt;AH$5),1))+IF(AL633="",0,IFERROR(--(EOMONTH(AL633,0)&lt;&gt;AK$5),1))+IF(AO633="",0,IFERROR(--(EOMONTH(AO633,0)&lt;&gt;AN$5),1))+IF(AR633="",0,IFERROR(--(EOMONTH(AR633,0)&lt;&gt;AQ$5),1))+IF(AU633="",0,IFERROR(--(EOMONTH(AU633,0)&lt;&gt;AT$5),1))+IF(AX633="",0,IFERROR(--(EOMONTH(AX633,0)&lt;&gt;AW$5),1))+IF(BA633="",0,IFERROR(--(EOMONTH(BA633,0)&lt;&gt;AZ$5),1)))&gt;0,"; An invoice date is not in the month it is typed under",""),3,500))</f>
        <v/>
      </c>
      <c r="S633" s="12" t="n"/>
      <c r="T633" s="13" t="n"/>
      <c r="U633" s="14" t="n"/>
      <c r="V633" s="12" t="n"/>
      <c r="W633" s="13" t="n"/>
      <c r="X633" s="14" t="n"/>
      <c r="Y633" s="12" t="n"/>
      <c r="Z633" s="13" t="n"/>
      <c r="AA633" s="14" t="n"/>
      <c r="AB633" s="12" t="n"/>
      <c r="AC633" s="13" t="n"/>
      <c r="AD633" s="14" t="n"/>
      <c r="AE633" s="12" t="n"/>
      <c r="AF633" s="13" t="n"/>
      <c r="AG633" s="14" t="n"/>
      <c r="AH633" s="12" t="n"/>
      <c r="AI633" s="13" t="n"/>
      <c r="AJ633" s="14" t="n"/>
      <c r="AK633" s="12" t="n"/>
      <c r="AL633" s="13" t="n"/>
      <c r="AM633" s="14" t="n"/>
      <c r="AN633" s="12" t="n"/>
      <c r="AO633" s="13" t="n"/>
      <c r="AP633" s="14" t="n"/>
      <c r="AQ633" s="12" t="n"/>
      <c r="AR633" s="13" t="n"/>
      <c r="AS633" s="14" t="n"/>
      <c r="AT633" s="12" t="n"/>
      <c r="AU633" s="13" t="n"/>
      <c r="AV633" s="14" t="n"/>
      <c r="AW633" s="12" t="n"/>
      <c r="AX633" s="13" t="n"/>
      <c r="AY633" s="14" t="n"/>
      <c r="AZ633" s="12" t="n"/>
      <c r="BA633" s="13" t="n"/>
      <c r="BB633" s="14" t="n"/>
      <c r="BC633" s="11">
        <f>IF(O633="","",IF(J633="GST 10%",ROUND(O633*set_GSTRate,2),0))</f>
        <v/>
      </c>
      <c r="BD633" s="11">
        <f>IF(O633="","",O633+BC633)</f>
        <v/>
      </c>
      <c r="BE633" s="15">
        <f>IF(O633="","",COUNTA(S633,V633,Y633,AB633,AE633,AH633,AK633,AN633,AQ633,AT633,AW633,AZ633))</f>
        <v/>
      </c>
      <c r="BF633" s="16">
        <f>IF(COUNT(T633,W633,Z633,AC633,AF633,AI633,AL633,AO633,AR633,AU633,AX633,BA633)=0,"",MAX(T633,W633,Z633,AC633,AF633,AI633,AL633,AO633,AR633,AU633,AX633,BA633))</f>
        <v/>
      </c>
      <c r="BG633" s="10">
        <f>MID(IF(S633="","",", "&amp;S633)&amp;IF(V633="","",", "&amp;V633)&amp;IF(Y633="","",", "&amp;Y633)&amp;IF(AB633="","",", "&amp;AB633)&amp;IF(AE633="","",", "&amp;AE633)&amp;IF(AH633="","",", "&amp;AH633)&amp;IF(AK633="","",", "&amp;AK633)&amp;IF(AN633="","",", "&amp;AN633)&amp;IF(AQ633="","",", "&amp;AQ633)&amp;IF(AT633="","",", "&amp;AT633)&amp;IF(AW633="","",", "&amp;AW633)&amp;IF(AZ633="","",", "&amp;AZ633),3,500)</f>
        <v/>
      </c>
      <c r="BH633" s="12" t="n"/>
      <c r="BI633" s="15">
        <f>IFERROR(MATCH($A633,IF($B633="Onsite",tbl_Onsite[Row ID],IF($B633="Production",tbl_Production[Row ID],tbl_Consulting[Row ID])),0),"")</f>
        <v/>
      </c>
    </row>
    <row r="634">
      <c r="A634" s="10" t="inlineStr">
        <is>
          <t>PRD-0128</t>
        </is>
      </c>
      <c r="B634" s="10" t="inlineStr">
        <is>
          <t>Production</t>
        </is>
      </c>
      <c r="C634" s="10">
        <f>IF($BI634="","",IF($B634="Onsite",INDEX(tbl_Onsite[Job Number],$BI634),IF($B634="Production",INDEX(tbl_Production[Job Number],$BI634),INDEX(tbl_Consulting[Job Number],$BI634)))&amp;"")</f>
        <v/>
      </c>
      <c r="D634" s="10">
        <f>IF($BI634="","",IF($B634="Onsite",INDEX(tbl_Onsite[Client],$BI634),IF($B634="Production",INDEX(tbl_Production[Client],$BI634),INDEX(tbl_Consulting[Client],$BI634)))&amp;"")</f>
        <v/>
      </c>
      <c r="E634" s="10">
        <f>IF($C634="","",IF(COUNTIF(lst_Jobs,$C634)&gt;0,"OK","CHECK"))</f>
        <v/>
      </c>
      <c r="F634" s="10">
        <f>IF($C634="","",IFERROR(INDEX(lst_JobName,MATCH($C634,lst_Jobs,0)),""))</f>
        <v/>
      </c>
      <c r="G634" s="10">
        <f>IF($BI634="","",IF($B634="Onsite",INDEX(tbl_Onsite[Job Description],$BI634),IF($B634="Production",INDEX(tbl_Production[Job Description],$BI634),INDEX(tbl_Consulting[Job Description],$BI634)))&amp;"")</f>
        <v/>
      </c>
      <c r="H634" s="10">
        <f>IF($BI634="","",IF($B634="Onsite",INDEX(tbl_Onsite[Cost Centre],$BI634),IF($B634="Production",INDEX(tbl_Production[Cost Centre],$BI634),INDEX(tbl_Consulting[Cost Centre],$BI634)))&amp;"")</f>
        <v/>
      </c>
      <c r="I634" s="10">
        <f>IF($BI634="","",IF($B634="Onsite",INDEX(tbl_Onsite[Invoice Type],$BI634),IF($B634="Production",INDEX(tbl_Production[Invoice Type],$BI634),INDEX(tbl_Consulting[Invoice Type],$BI634)))&amp;"")</f>
        <v/>
      </c>
      <c r="J634" s="10">
        <f>IF($BI634="","",IF($B634="Onsite",INDEX(tbl_Onsite[Tax Code],$BI634),IF($B634="Production",INDEX(tbl_Production[Tax Code],$BI634),INDEX(tbl_Consulting[Tax Code],$BI634)))&amp;"")</f>
        <v/>
      </c>
      <c r="K634" s="10">
        <f>IF(H634="","",IFERROR(INDEX(lst_CCtoGL,MATCH(H634,lst_CCforGL,0)),""))</f>
        <v/>
      </c>
      <c r="L634" s="10">
        <f>IF($BI634="","",IF($B634="Onsite",INDEX(tbl_Onsite[PO / Reference],$BI634),IF($B634="Production",INDEX(tbl_Production[Current RMS No],$BI634),INDEX(tbl_Consulting[Qwilr Quote],$BI634)))&amp;"")</f>
        <v/>
      </c>
      <c r="M634" s="10">
        <f>IF($BI634="","",IF($B634="Onsite",INDEX(tbl_Onsite[Notes],$BI634),IF($B634="Production",INDEX(tbl_Production[Notes],$BI634),INDEX(tbl_Consulting[Notes],$BI634)))&amp;"")</f>
        <v/>
      </c>
      <c r="N634" s="11">
        <f>IF($BI634="","",IF(IF($B634="Onsite",INDEX(tbl_Onsite[Expected Revenue Ex GST],$BI634),IF($B634="Production",INDEX(tbl_Production[Expected Revenue Ex GST],$BI634),INDEX(tbl_Consulting[Expected Revenue Ex GST],$BI634)))="","",IF($B634="Onsite",INDEX(tbl_Onsite[Expected Revenue Ex GST],$BI634),IF($B634="Production",INDEX(tbl_Production[Expected Revenue Ex GST],$BI634),INDEX(tbl_Consulting[Expected Revenue Ex GST],$BI634)))))</f>
        <v/>
      </c>
      <c r="O634" s="11">
        <f>IF(AND($C634="",NOT(COUNTA($S634:$BB634)&gt;0)),"",SUM(U634,X634,AA634,AD634,AG634,AJ634,AM634,AP634,AS634,AV634,AY634,BB634))</f>
        <v/>
      </c>
      <c r="P634" s="11">
        <f>IF(O634="","",N(N634)-O634)</f>
        <v/>
      </c>
      <c r="Q634" s="10">
        <f>IF(O634="","",IF($C634="","Invoice on empty job row",IF(N634="",IF(ROUND(O634,2)=0,"No dept value","Invoiced - no dept value"),IF(ROUND(O634,2)=0,"Not invoiced - to invoice",IF(ROUND(P634,2)=0,"Agrees",IF(P634&gt;0,"Dept higher - to invoice","Xero higher - check dept"))))))</f>
        <v/>
      </c>
      <c r="R634" s="10">
        <f>IF(AND($C634="",NOT(COUNTA($S634:$BB634)&gt;0),$BI634&lt;&gt;""),"",MID(IF($BI634="","; Row ID not found on the department sheet - a row was deleted","")&amp;IF(AND($C634="",COUNTA($S634:$BB634)&gt;0),"; Invoice entered but the department row has no job number","")&amp;IF(E634="CHECK","; Job number not in the Xero job list","")&amp;IF(AND($C634&lt;&gt;"",COUNTIF($C$7:$C$1506,$C634)&gt;1),"; Job number on more than one row","")&amp;IF(AND($C634&lt;&gt;"",H634=""),"; Dept has not set a cost centre","")&amp;IF(AND($C634&lt;&gt;"",J634=""),"; Dept has not set a tax code","")&amp;IF(AND($C634&lt;&gt;"",N634=""),"; Dept has not entered an expected value","")&amp;IF((IF(OR(COUNTA(S634:U634)=0,AND(COUNTA(S634:U634)=3,ISNUMBER(U634))),0,1)+IF(OR(COUNTA(V634:X634)=0,AND(COUNTA(V634:X634)=3,ISNUMBER(X634))),0,1)+IF(OR(COUNTA(Y634:AA634)=0,AND(COUNTA(Y634:AA634)=3,ISNUMBER(AA634))),0,1)+IF(OR(COUNTA(AB634:AD634)=0,AND(COUNTA(AB634:AD634)=3,ISNUMBER(AD634))),0,1)+IF(OR(COUNTA(AE634:AG634)=0,AND(COUNTA(AE634:AG634)=3,ISNUMBER(AG634))),0,1)+IF(OR(COUNTA(AH634:AJ634)=0,AND(COUNTA(AH634:AJ634)=3,ISNUMBER(AJ634))),0,1)+IF(OR(COUNTA(AK634:AM634)=0,AND(COUNTA(AK634:AM634)=3,ISNUMBER(AM634))),0,1)+IF(OR(COUNTA(AN634:AP634)=0,AND(COUNTA(AN634:AP634)=3,ISNUMBER(AP634))),0,1)+IF(OR(COUNTA(AQ634:AS634)=0,AND(COUNTA(AQ634:AS634)=3,ISNUMBER(AS634))),0,1)+IF(OR(COUNTA(AT634:AV634)=0,AND(COUNTA(AT634:AV634)=3,ISNUMBER(AV634))),0,1)+IF(OR(COUNTA(AW634:AY634)=0,AND(COUNTA(AW634:AY634)=3,ISNUMBER(AY634))),0,1)+IF(OR(COUNTA(AZ634:BB634)=0,AND(COUNTA(AZ634:BB634)=3,ISNUMBER(BB634))),0,1))&gt;0,"; An invoice is incomplete (needs No, Date and a number in Ex GST)","")&amp;IF((IF(T634="",0,IFERROR(--(EOMONTH(T634,0)&lt;&gt;S$5),1))+IF(W634="",0,IFERROR(--(EOMONTH(W634,0)&lt;&gt;V$5),1))+IF(Z634="",0,IFERROR(--(EOMONTH(Z634,0)&lt;&gt;Y$5),1))+IF(AC634="",0,IFERROR(--(EOMONTH(AC634,0)&lt;&gt;AB$5),1))+IF(AF634="",0,IFERROR(--(EOMONTH(AF634,0)&lt;&gt;AE$5),1))+IF(AI634="",0,IFERROR(--(EOMONTH(AI634,0)&lt;&gt;AH$5),1))+IF(AL634="",0,IFERROR(--(EOMONTH(AL634,0)&lt;&gt;AK$5),1))+IF(AO634="",0,IFERROR(--(EOMONTH(AO634,0)&lt;&gt;AN$5),1))+IF(AR634="",0,IFERROR(--(EOMONTH(AR634,0)&lt;&gt;AQ$5),1))+IF(AU634="",0,IFERROR(--(EOMONTH(AU634,0)&lt;&gt;AT$5),1))+IF(AX634="",0,IFERROR(--(EOMONTH(AX634,0)&lt;&gt;AW$5),1))+IF(BA634="",0,IFERROR(--(EOMONTH(BA634,0)&lt;&gt;AZ$5),1)))&gt;0,"; An invoice date is not in the month it is typed under",""),3,500))</f>
        <v/>
      </c>
      <c r="S634" s="12" t="n"/>
      <c r="T634" s="13" t="n"/>
      <c r="U634" s="14" t="n"/>
      <c r="V634" s="12" t="n"/>
      <c r="W634" s="13" t="n"/>
      <c r="X634" s="14" t="n"/>
      <c r="Y634" s="12" t="n"/>
      <c r="Z634" s="13" t="n"/>
      <c r="AA634" s="14" t="n"/>
      <c r="AB634" s="12" t="n"/>
      <c r="AC634" s="13" t="n"/>
      <c r="AD634" s="14" t="n"/>
      <c r="AE634" s="12" t="n"/>
      <c r="AF634" s="13" t="n"/>
      <c r="AG634" s="14" t="n"/>
      <c r="AH634" s="12" t="n"/>
      <c r="AI634" s="13" t="n"/>
      <c r="AJ634" s="14" t="n"/>
      <c r="AK634" s="12" t="n"/>
      <c r="AL634" s="13" t="n"/>
      <c r="AM634" s="14" t="n"/>
      <c r="AN634" s="12" t="n"/>
      <c r="AO634" s="13" t="n"/>
      <c r="AP634" s="14" t="n"/>
      <c r="AQ634" s="12" t="n"/>
      <c r="AR634" s="13" t="n"/>
      <c r="AS634" s="14" t="n"/>
      <c r="AT634" s="12" t="n"/>
      <c r="AU634" s="13" t="n"/>
      <c r="AV634" s="14" t="n"/>
      <c r="AW634" s="12" t="n"/>
      <c r="AX634" s="13" t="n"/>
      <c r="AY634" s="14" t="n"/>
      <c r="AZ634" s="12" t="n"/>
      <c r="BA634" s="13" t="n"/>
      <c r="BB634" s="14" t="n"/>
      <c r="BC634" s="11">
        <f>IF(O634="","",IF(J634="GST 10%",ROUND(O634*set_GSTRate,2),0))</f>
        <v/>
      </c>
      <c r="BD634" s="11">
        <f>IF(O634="","",O634+BC634)</f>
        <v/>
      </c>
      <c r="BE634" s="15">
        <f>IF(O634="","",COUNTA(S634,V634,Y634,AB634,AE634,AH634,AK634,AN634,AQ634,AT634,AW634,AZ634))</f>
        <v/>
      </c>
      <c r="BF634" s="16">
        <f>IF(COUNT(T634,W634,Z634,AC634,AF634,AI634,AL634,AO634,AR634,AU634,AX634,BA634)=0,"",MAX(T634,W634,Z634,AC634,AF634,AI634,AL634,AO634,AR634,AU634,AX634,BA634))</f>
        <v/>
      </c>
      <c r="BG634" s="10">
        <f>MID(IF(S634="","",", "&amp;S634)&amp;IF(V634="","",", "&amp;V634)&amp;IF(Y634="","",", "&amp;Y634)&amp;IF(AB634="","",", "&amp;AB634)&amp;IF(AE634="","",", "&amp;AE634)&amp;IF(AH634="","",", "&amp;AH634)&amp;IF(AK634="","",", "&amp;AK634)&amp;IF(AN634="","",", "&amp;AN634)&amp;IF(AQ634="","",", "&amp;AQ634)&amp;IF(AT634="","",", "&amp;AT634)&amp;IF(AW634="","",", "&amp;AW634)&amp;IF(AZ634="","",", "&amp;AZ634),3,500)</f>
        <v/>
      </c>
      <c r="BH634" s="12" t="n"/>
      <c r="BI634" s="15">
        <f>IFERROR(MATCH($A634,IF($B634="Onsite",tbl_Onsite[Row ID],IF($B634="Production",tbl_Production[Row ID],tbl_Consulting[Row ID])),0),"")</f>
        <v/>
      </c>
    </row>
    <row r="635">
      <c r="A635" s="10" t="inlineStr">
        <is>
          <t>PRD-0129</t>
        </is>
      </c>
      <c r="B635" s="10" t="inlineStr">
        <is>
          <t>Production</t>
        </is>
      </c>
      <c r="C635" s="10">
        <f>IF($BI635="","",IF($B635="Onsite",INDEX(tbl_Onsite[Job Number],$BI635),IF($B635="Production",INDEX(tbl_Production[Job Number],$BI635),INDEX(tbl_Consulting[Job Number],$BI635)))&amp;"")</f>
        <v/>
      </c>
      <c r="D635" s="10">
        <f>IF($BI635="","",IF($B635="Onsite",INDEX(tbl_Onsite[Client],$BI635),IF($B635="Production",INDEX(tbl_Production[Client],$BI635),INDEX(tbl_Consulting[Client],$BI635)))&amp;"")</f>
        <v/>
      </c>
      <c r="E635" s="10">
        <f>IF($C635="","",IF(COUNTIF(lst_Jobs,$C635)&gt;0,"OK","CHECK"))</f>
        <v/>
      </c>
      <c r="F635" s="10">
        <f>IF($C635="","",IFERROR(INDEX(lst_JobName,MATCH($C635,lst_Jobs,0)),""))</f>
        <v/>
      </c>
      <c r="G635" s="10">
        <f>IF($BI635="","",IF($B635="Onsite",INDEX(tbl_Onsite[Job Description],$BI635),IF($B635="Production",INDEX(tbl_Production[Job Description],$BI635),INDEX(tbl_Consulting[Job Description],$BI635)))&amp;"")</f>
        <v/>
      </c>
      <c r="H635" s="10">
        <f>IF($BI635="","",IF($B635="Onsite",INDEX(tbl_Onsite[Cost Centre],$BI635),IF($B635="Production",INDEX(tbl_Production[Cost Centre],$BI635),INDEX(tbl_Consulting[Cost Centre],$BI635)))&amp;"")</f>
        <v/>
      </c>
      <c r="I635" s="10">
        <f>IF($BI635="","",IF($B635="Onsite",INDEX(tbl_Onsite[Invoice Type],$BI635),IF($B635="Production",INDEX(tbl_Production[Invoice Type],$BI635),INDEX(tbl_Consulting[Invoice Type],$BI635)))&amp;"")</f>
        <v/>
      </c>
      <c r="J635" s="10">
        <f>IF($BI635="","",IF($B635="Onsite",INDEX(tbl_Onsite[Tax Code],$BI635),IF($B635="Production",INDEX(tbl_Production[Tax Code],$BI635),INDEX(tbl_Consulting[Tax Code],$BI635)))&amp;"")</f>
        <v/>
      </c>
      <c r="K635" s="10">
        <f>IF(H635="","",IFERROR(INDEX(lst_CCtoGL,MATCH(H635,lst_CCforGL,0)),""))</f>
        <v/>
      </c>
      <c r="L635" s="10">
        <f>IF($BI635="","",IF($B635="Onsite",INDEX(tbl_Onsite[PO / Reference],$BI635),IF($B635="Production",INDEX(tbl_Production[Current RMS No],$BI635),INDEX(tbl_Consulting[Qwilr Quote],$BI635)))&amp;"")</f>
        <v/>
      </c>
      <c r="M635" s="10">
        <f>IF($BI635="","",IF($B635="Onsite",INDEX(tbl_Onsite[Notes],$BI635),IF($B635="Production",INDEX(tbl_Production[Notes],$BI635),INDEX(tbl_Consulting[Notes],$BI635)))&amp;"")</f>
        <v/>
      </c>
      <c r="N635" s="11">
        <f>IF($BI635="","",IF(IF($B635="Onsite",INDEX(tbl_Onsite[Expected Revenue Ex GST],$BI635),IF($B635="Production",INDEX(tbl_Production[Expected Revenue Ex GST],$BI635),INDEX(tbl_Consulting[Expected Revenue Ex GST],$BI635)))="","",IF($B635="Onsite",INDEX(tbl_Onsite[Expected Revenue Ex GST],$BI635),IF($B635="Production",INDEX(tbl_Production[Expected Revenue Ex GST],$BI635),INDEX(tbl_Consulting[Expected Revenue Ex GST],$BI635)))))</f>
        <v/>
      </c>
      <c r="O635" s="11">
        <f>IF(AND($C635="",NOT(COUNTA($S635:$BB635)&gt;0)),"",SUM(U635,X635,AA635,AD635,AG635,AJ635,AM635,AP635,AS635,AV635,AY635,BB635))</f>
        <v/>
      </c>
      <c r="P635" s="11">
        <f>IF(O635="","",N(N635)-O635)</f>
        <v/>
      </c>
      <c r="Q635" s="10">
        <f>IF(O635="","",IF($C635="","Invoice on empty job row",IF(N635="",IF(ROUND(O635,2)=0,"No dept value","Invoiced - no dept value"),IF(ROUND(O635,2)=0,"Not invoiced - to invoice",IF(ROUND(P635,2)=0,"Agrees",IF(P635&gt;0,"Dept higher - to invoice","Xero higher - check dept"))))))</f>
        <v/>
      </c>
      <c r="R635" s="10">
        <f>IF(AND($C635="",NOT(COUNTA($S635:$BB635)&gt;0),$BI635&lt;&gt;""),"",MID(IF($BI635="","; Row ID not found on the department sheet - a row was deleted","")&amp;IF(AND($C635="",COUNTA($S635:$BB635)&gt;0),"; Invoice entered but the department row has no job number","")&amp;IF(E635="CHECK","; Job number not in the Xero job list","")&amp;IF(AND($C635&lt;&gt;"",COUNTIF($C$7:$C$1506,$C635)&gt;1),"; Job number on more than one row","")&amp;IF(AND($C635&lt;&gt;"",H635=""),"; Dept has not set a cost centre","")&amp;IF(AND($C635&lt;&gt;"",J635=""),"; Dept has not set a tax code","")&amp;IF(AND($C635&lt;&gt;"",N635=""),"; Dept has not entered an expected value","")&amp;IF((IF(OR(COUNTA(S635:U635)=0,AND(COUNTA(S635:U635)=3,ISNUMBER(U635))),0,1)+IF(OR(COUNTA(V635:X635)=0,AND(COUNTA(V635:X635)=3,ISNUMBER(X635))),0,1)+IF(OR(COUNTA(Y635:AA635)=0,AND(COUNTA(Y635:AA635)=3,ISNUMBER(AA635))),0,1)+IF(OR(COUNTA(AB635:AD635)=0,AND(COUNTA(AB635:AD635)=3,ISNUMBER(AD635))),0,1)+IF(OR(COUNTA(AE635:AG635)=0,AND(COUNTA(AE635:AG635)=3,ISNUMBER(AG635))),0,1)+IF(OR(COUNTA(AH635:AJ635)=0,AND(COUNTA(AH635:AJ635)=3,ISNUMBER(AJ635))),0,1)+IF(OR(COUNTA(AK635:AM635)=0,AND(COUNTA(AK635:AM635)=3,ISNUMBER(AM635))),0,1)+IF(OR(COUNTA(AN635:AP635)=0,AND(COUNTA(AN635:AP635)=3,ISNUMBER(AP635))),0,1)+IF(OR(COUNTA(AQ635:AS635)=0,AND(COUNTA(AQ635:AS635)=3,ISNUMBER(AS635))),0,1)+IF(OR(COUNTA(AT635:AV635)=0,AND(COUNTA(AT635:AV635)=3,ISNUMBER(AV635))),0,1)+IF(OR(COUNTA(AW635:AY635)=0,AND(COUNTA(AW635:AY635)=3,ISNUMBER(AY635))),0,1)+IF(OR(COUNTA(AZ635:BB635)=0,AND(COUNTA(AZ635:BB635)=3,ISNUMBER(BB635))),0,1))&gt;0,"; An invoice is incomplete (needs No, Date and a number in Ex GST)","")&amp;IF((IF(T635="",0,IFERROR(--(EOMONTH(T635,0)&lt;&gt;S$5),1))+IF(W635="",0,IFERROR(--(EOMONTH(W635,0)&lt;&gt;V$5),1))+IF(Z635="",0,IFERROR(--(EOMONTH(Z635,0)&lt;&gt;Y$5),1))+IF(AC635="",0,IFERROR(--(EOMONTH(AC635,0)&lt;&gt;AB$5),1))+IF(AF635="",0,IFERROR(--(EOMONTH(AF635,0)&lt;&gt;AE$5),1))+IF(AI635="",0,IFERROR(--(EOMONTH(AI635,0)&lt;&gt;AH$5),1))+IF(AL635="",0,IFERROR(--(EOMONTH(AL635,0)&lt;&gt;AK$5),1))+IF(AO635="",0,IFERROR(--(EOMONTH(AO635,0)&lt;&gt;AN$5),1))+IF(AR635="",0,IFERROR(--(EOMONTH(AR635,0)&lt;&gt;AQ$5),1))+IF(AU635="",0,IFERROR(--(EOMONTH(AU635,0)&lt;&gt;AT$5),1))+IF(AX635="",0,IFERROR(--(EOMONTH(AX635,0)&lt;&gt;AW$5),1))+IF(BA635="",0,IFERROR(--(EOMONTH(BA635,0)&lt;&gt;AZ$5),1)))&gt;0,"; An invoice date is not in the month it is typed under",""),3,500))</f>
        <v/>
      </c>
      <c r="S635" s="12" t="n"/>
      <c r="T635" s="13" t="n"/>
      <c r="U635" s="14" t="n"/>
      <c r="V635" s="12" t="n"/>
      <c r="W635" s="13" t="n"/>
      <c r="X635" s="14" t="n"/>
      <c r="Y635" s="12" t="n"/>
      <c r="Z635" s="13" t="n"/>
      <c r="AA635" s="14" t="n"/>
      <c r="AB635" s="12" t="n"/>
      <c r="AC635" s="13" t="n"/>
      <c r="AD635" s="14" t="n"/>
      <c r="AE635" s="12" t="n"/>
      <c r="AF635" s="13" t="n"/>
      <c r="AG635" s="14" t="n"/>
      <c r="AH635" s="12" t="n"/>
      <c r="AI635" s="13" t="n"/>
      <c r="AJ635" s="14" t="n"/>
      <c r="AK635" s="12" t="n"/>
      <c r="AL635" s="13" t="n"/>
      <c r="AM635" s="14" t="n"/>
      <c r="AN635" s="12" t="n"/>
      <c r="AO635" s="13" t="n"/>
      <c r="AP635" s="14" t="n"/>
      <c r="AQ635" s="12" t="n"/>
      <c r="AR635" s="13" t="n"/>
      <c r="AS635" s="14" t="n"/>
      <c r="AT635" s="12" t="n"/>
      <c r="AU635" s="13" t="n"/>
      <c r="AV635" s="14" t="n"/>
      <c r="AW635" s="12" t="n"/>
      <c r="AX635" s="13" t="n"/>
      <c r="AY635" s="14" t="n"/>
      <c r="AZ635" s="12" t="n"/>
      <c r="BA635" s="13" t="n"/>
      <c r="BB635" s="14" t="n"/>
      <c r="BC635" s="11">
        <f>IF(O635="","",IF(J635="GST 10%",ROUND(O635*set_GSTRate,2),0))</f>
        <v/>
      </c>
      <c r="BD635" s="11">
        <f>IF(O635="","",O635+BC635)</f>
        <v/>
      </c>
      <c r="BE635" s="15">
        <f>IF(O635="","",COUNTA(S635,V635,Y635,AB635,AE635,AH635,AK635,AN635,AQ635,AT635,AW635,AZ635))</f>
        <v/>
      </c>
      <c r="BF635" s="16">
        <f>IF(COUNT(T635,W635,Z635,AC635,AF635,AI635,AL635,AO635,AR635,AU635,AX635,BA635)=0,"",MAX(T635,W635,Z635,AC635,AF635,AI635,AL635,AO635,AR635,AU635,AX635,BA635))</f>
        <v/>
      </c>
      <c r="BG635" s="10">
        <f>MID(IF(S635="","",", "&amp;S635)&amp;IF(V635="","",", "&amp;V635)&amp;IF(Y635="","",", "&amp;Y635)&amp;IF(AB635="","",", "&amp;AB635)&amp;IF(AE635="","",", "&amp;AE635)&amp;IF(AH635="","",", "&amp;AH635)&amp;IF(AK635="","",", "&amp;AK635)&amp;IF(AN635="","",", "&amp;AN635)&amp;IF(AQ635="","",", "&amp;AQ635)&amp;IF(AT635="","",", "&amp;AT635)&amp;IF(AW635="","",", "&amp;AW635)&amp;IF(AZ635="","",", "&amp;AZ635),3,500)</f>
        <v/>
      </c>
      <c r="BH635" s="12" t="n"/>
      <c r="BI635" s="15">
        <f>IFERROR(MATCH($A635,IF($B635="Onsite",tbl_Onsite[Row ID],IF($B635="Production",tbl_Production[Row ID],tbl_Consulting[Row ID])),0),"")</f>
        <v/>
      </c>
    </row>
    <row r="636">
      <c r="A636" s="10" t="inlineStr">
        <is>
          <t>PRD-0130</t>
        </is>
      </c>
      <c r="B636" s="10" t="inlineStr">
        <is>
          <t>Production</t>
        </is>
      </c>
      <c r="C636" s="10">
        <f>IF($BI636="","",IF($B636="Onsite",INDEX(tbl_Onsite[Job Number],$BI636),IF($B636="Production",INDEX(tbl_Production[Job Number],$BI636),INDEX(tbl_Consulting[Job Number],$BI636)))&amp;"")</f>
        <v/>
      </c>
      <c r="D636" s="10">
        <f>IF($BI636="","",IF($B636="Onsite",INDEX(tbl_Onsite[Client],$BI636),IF($B636="Production",INDEX(tbl_Production[Client],$BI636),INDEX(tbl_Consulting[Client],$BI636)))&amp;"")</f>
        <v/>
      </c>
      <c r="E636" s="10">
        <f>IF($C636="","",IF(COUNTIF(lst_Jobs,$C636)&gt;0,"OK","CHECK"))</f>
        <v/>
      </c>
      <c r="F636" s="10">
        <f>IF($C636="","",IFERROR(INDEX(lst_JobName,MATCH($C636,lst_Jobs,0)),""))</f>
        <v/>
      </c>
      <c r="G636" s="10">
        <f>IF($BI636="","",IF($B636="Onsite",INDEX(tbl_Onsite[Job Description],$BI636),IF($B636="Production",INDEX(tbl_Production[Job Description],$BI636),INDEX(tbl_Consulting[Job Description],$BI636)))&amp;"")</f>
        <v/>
      </c>
      <c r="H636" s="10">
        <f>IF($BI636="","",IF($B636="Onsite",INDEX(tbl_Onsite[Cost Centre],$BI636),IF($B636="Production",INDEX(tbl_Production[Cost Centre],$BI636),INDEX(tbl_Consulting[Cost Centre],$BI636)))&amp;"")</f>
        <v/>
      </c>
      <c r="I636" s="10">
        <f>IF($BI636="","",IF($B636="Onsite",INDEX(tbl_Onsite[Invoice Type],$BI636),IF($B636="Production",INDEX(tbl_Production[Invoice Type],$BI636),INDEX(tbl_Consulting[Invoice Type],$BI636)))&amp;"")</f>
        <v/>
      </c>
      <c r="J636" s="10">
        <f>IF($BI636="","",IF($B636="Onsite",INDEX(tbl_Onsite[Tax Code],$BI636),IF($B636="Production",INDEX(tbl_Production[Tax Code],$BI636),INDEX(tbl_Consulting[Tax Code],$BI636)))&amp;"")</f>
        <v/>
      </c>
      <c r="K636" s="10">
        <f>IF(H636="","",IFERROR(INDEX(lst_CCtoGL,MATCH(H636,lst_CCforGL,0)),""))</f>
        <v/>
      </c>
      <c r="L636" s="10">
        <f>IF($BI636="","",IF($B636="Onsite",INDEX(tbl_Onsite[PO / Reference],$BI636),IF($B636="Production",INDEX(tbl_Production[Current RMS No],$BI636),INDEX(tbl_Consulting[Qwilr Quote],$BI636)))&amp;"")</f>
        <v/>
      </c>
      <c r="M636" s="10">
        <f>IF($BI636="","",IF($B636="Onsite",INDEX(tbl_Onsite[Notes],$BI636),IF($B636="Production",INDEX(tbl_Production[Notes],$BI636),INDEX(tbl_Consulting[Notes],$BI636)))&amp;"")</f>
        <v/>
      </c>
      <c r="N636" s="11">
        <f>IF($BI636="","",IF(IF($B636="Onsite",INDEX(tbl_Onsite[Expected Revenue Ex GST],$BI636),IF($B636="Production",INDEX(tbl_Production[Expected Revenue Ex GST],$BI636),INDEX(tbl_Consulting[Expected Revenue Ex GST],$BI636)))="","",IF($B636="Onsite",INDEX(tbl_Onsite[Expected Revenue Ex GST],$BI636),IF($B636="Production",INDEX(tbl_Production[Expected Revenue Ex GST],$BI636),INDEX(tbl_Consulting[Expected Revenue Ex GST],$BI636)))))</f>
        <v/>
      </c>
      <c r="O636" s="11">
        <f>IF(AND($C636="",NOT(COUNTA($S636:$BB636)&gt;0)),"",SUM(U636,X636,AA636,AD636,AG636,AJ636,AM636,AP636,AS636,AV636,AY636,BB636))</f>
        <v/>
      </c>
      <c r="P636" s="11">
        <f>IF(O636="","",N(N636)-O636)</f>
        <v/>
      </c>
      <c r="Q636" s="10">
        <f>IF(O636="","",IF($C636="","Invoice on empty job row",IF(N636="",IF(ROUND(O636,2)=0,"No dept value","Invoiced - no dept value"),IF(ROUND(O636,2)=0,"Not invoiced - to invoice",IF(ROUND(P636,2)=0,"Agrees",IF(P636&gt;0,"Dept higher - to invoice","Xero higher - check dept"))))))</f>
        <v/>
      </c>
      <c r="R636" s="10">
        <f>IF(AND($C636="",NOT(COUNTA($S636:$BB636)&gt;0),$BI636&lt;&gt;""),"",MID(IF($BI636="","; Row ID not found on the department sheet - a row was deleted","")&amp;IF(AND($C636="",COUNTA($S636:$BB636)&gt;0),"; Invoice entered but the department row has no job number","")&amp;IF(E636="CHECK","; Job number not in the Xero job list","")&amp;IF(AND($C636&lt;&gt;"",COUNTIF($C$7:$C$1506,$C636)&gt;1),"; Job number on more than one row","")&amp;IF(AND($C636&lt;&gt;"",H636=""),"; Dept has not set a cost centre","")&amp;IF(AND($C636&lt;&gt;"",J636=""),"; Dept has not set a tax code","")&amp;IF(AND($C636&lt;&gt;"",N636=""),"; Dept has not entered an expected value","")&amp;IF((IF(OR(COUNTA(S636:U636)=0,AND(COUNTA(S636:U636)=3,ISNUMBER(U636))),0,1)+IF(OR(COUNTA(V636:X636)=0,AND(COUNTA(V636:X636)=3,ISNUMBER(X636))),0,1)+IF(OR(COUNTA(Y636:AA636)=0,AND(COUNTA(Y636:AA636)=3,ISNUMBER(AA636))),0,1)+IF(OR(COUNTA(AB636:AD636)=0,AND(COUNTA(AB636:AD636)=3,ISNUMBER(AD636))),0,1)+IF(OR(COUNTA(AE636:AG636)=0,AND(COUNTA(AE636:AG636)=3,ISNUMBER(AG636))),0,1)+IF(OR(COUNTA(AH636:AJ636)=0,AND(COUNTA(AH636:AJ636)=3,ISNUMBER(AJ636))),0,1)+IF(OR(COUNTA(AK636:AM636)=0,AND(COUNTA(AK636:AM636)=3,ISNUMBER(AM636))),0,1)+IF(OR(COUNTA(AN636:AP636)=0,AND(COUNTA(AN636:AP636)=3,ISNUMBER(AP636))),0,1)+IF(OR(COUNTA(AQ636:AS636)=0,AND(COUNTA(AQ636:AS636)=3,ISNUMBER(AS636))),0,1)+IF(OR(COUNTA(AT636:AV636)=0,AND(COUNTA(AT636:AV636)=3,ISNUMBER(AV636))),0,1)+IF(OR(COUNTA(AW636:AY636)=0,AND(COUNTA(AW636:AY636)=3,ISNUMBER(AY636))),0,1)+IF(OR(COUNTA(AZ636:BB636)=0,AND(COUNTA(AZ636:BB636)=3,ISNUMBER(BB636))),0,1))&gt;0,"; An invoice is incomplete (needs No, Date and a number in Ex GST)","")&amp;IF((IF(T636="",0,IFERROR(--(EOMONTH(T636,0)&lt;&gt;S$5),1))+IF(W636="",0,IFERROR(--(EOMONTH(W636,0)&lt;&gt;V$5),1))+IF(Z636="",0,IFERROR(--(EOMONTH(Z636,0)&lt;&gt;Y$5),1))+IF(AC636="",0,IFERROR(--(EOMONTH(AC636,0)&lt;&gt;AB$5),1))+IF(AF636="",0,IFERROR(--(EOMONTH(AF636,0)&lt;&gt;AE$5),1))+IF(AI636="",0,IFERROR(--(EOMONTH(AI636,0)&lt;&gt;AH$5),1))+IF(AL636="",0,IFERROR(--(EOMONTH(AL636,0)&lt;&gt;AK$5),1))+IF(AO636="",0,IFERROR(--(EOMONTH(AO636,0)&lt;&gt;AN$5),1))+IF(AR636="",0,IFERROR(--(EOMONTH(AR636,0)&lt;&gt;AQ$5),1))+IF(AU636="",0,IFERROR(--(EOMONTH(AU636,0)&lt;&gt;AT$5),1))+IF(AX636="",0,IFERROR(--(EOMONTH(AX636,0)&lt;&gt;AW$5),1))+IF(BA636="",0,IFERROR(--(EOMONTH(BA636,0)&lt;&gt;AZ$5),1)))&gt;0,"; An invoice date is not in the month it is typed under",""),3,500))</f>
        <v/>
      </c>
      <c r="S636" s="12" t="n"/>
      <c r="T636" s="13" t="n"/>
      <c r="U636" s="14" t="n"/>
      <c r="V636" s="12" t="n"/>
      <c r="W636" s="13" t="n"/>
      <c r="X636" s="14" t="n"/>
      <c r="Y636" s="12" t="n"/>
      <c r="Z636" s="13" t="n"/>
      <c r="AA636" s="14" t="n"/>
      <c r="AB636" s="12" t="n"/>
      <c r="AC636" s="13" t="n"/>
      <c r="AD636" s="14" t="n"/>
      <c r="AE636" s="12" t="n"/>
      <c r="AF636" s="13" t="n"/>
      <c r="AG636" s="14" t="n"/>
      <c r="AH636" s="12" t="n"/>
      <c r="AI636" s="13" t="n"/>
      <c r="AJ636" s="14" t="n"/>
      <c r="AK636" s="12" t="n"/>
      <c r="AL636" s="13" t="n"/>
      <c r="AM636" s="14" t="n"/>
      <c r="AN636" s="12" t="n"/>
      <c r="AO636" s="13" t="n"/>
      <c r="AP636" s="14" t="n"/>
      <c r="AQ636" s="12" t="n"/>
      <c r="AR636" s="13" t="n"/>
      <c r="AS636" s="14" t="n"/>
      <c r="AT636" s="12" t="n"/>
      <c r="AU636" s="13" t="n"/>
      <c r="AV636" s="14" t="n"/>
      <c r="AW636" s="12" t="n"/>
      <c r="AX636" s="13" t="n"/>
      <c r="AY636" s="14" t="n"/>
      <c r="AZ636" s="12" t="n"/>
      <c r="BA636" s="13" t="n"/>
      <c r="BB636" s="14" t="n"/>
      <c r="BC636" s="11">
        <f>IF(O636="","",IF(J636="GST 10%",ROUND(O636*set_GSTRate,2),0))</f>
        <v/>
      </c>
      <c r="BD636" s="11">
        <f>IF(O636="","",O636+BC636)</f>
        <v/>
      </c>
      <c r="BE636" s="15">
        <f>IF(O636="","",COUNTA(S636,V636,Y636,AB636,AE636,AH636,AK636,AN636,AQ636,AT636,AW636,AZ636))</f>
        <v/>
      </c>
      <c r="BF636" s="16">
        <f>IF(COUNT(T636,W636,Z636,AC636,AF636,AI636,AL636,AO636,AR636,AU636,AX636,BA636)=0,"",MAX(T636,W636,Z636,AC636,AF636,AI636,AL636,AO636,AR636,AU636,AX636,BA636))</f>
        <v/>
      </c>
      <c r="BG636" s="10">
        <f>MID(IF(S636="","",", "&amp;S636)&amp;IF(V636="","",", "&amp;V636)&amp;IF(Y636="","",", "&amp;Y636)&amp;IF(AB636="","",", "&amp;AB636)&amp;IF(AE636="","",", "&amp;AE636)&amp;IF(AH636="","",", "&amp;AH636)&amp;IF(AK636="","",", "&amp;AK636)&amp;IF(AN636="","",", "&amp;AN636)&amp;IF(AQ636="","",", "&amp;AQ636)&amp;IF(AT636="","",", "&amp;AT636)&amp;IF(AW636="","",", "&amp;AW636)&amp;IF(AZ636="","",", "&amp;AZ636),3,500)</f>
        <v/>
      </c>
      <c r="BH636" s="12" t="n"/>
      <c r="BI636" s="15">
        <f>IFERROR(MATCH($A636,IF($B636="Onsite",tbl_Onsite[Row ID],IF($B636="Production",tbl_Production[Row ID],tbl_Consulting[Row ID])),0),"")</f>
        <v/>
      </c>
    </row>
    <row r="637">
      <c r="A637" s="10" t="inlineStr">
        <is>
          <t>PRD-0131</t>
        </is>
      </c>
      <c r="B637" s="10" t="inlineStr">
        <is>
          <t>Production</t>
        </is>
      </c>
      <c r="C637" s="10">
        <f>IF($BI637="","",IF($B637="Onsite",INDEX(tbl_Onsite[Job Number],$BI637),IF($B637="Production",INDEX(tbl_Production[Job Number],$BI637),INDEX(tbl_Consulting[Job Number],$BI637)))&amp;"")</f>
        <v/>
      </c>
      <c r="D637" s="10">
        <f>IF($BI637="","",IF($B637="Onsite",INDEX(tbl_Onsite[Client],$BI637),IF($B637="Production",INDEX(tbl_Production[Client],$BI637),INDEX(tbl_Consulting[Client],$BI637)))&amp;"")</f>
        <v/>
      </c>
      <c r="E637" s="10">
        <f>IF($C637="","",IF(COUNTIF(lst_Jobs,$C637)&gt;0,"OK","CHECK"))</f>
        <v/>
      </c>
      <c r="F637" s="10">
        <f>IF($C637="","",IFERROR(INDEX(lst_JobName,MATCH($C637,lst_Jobs,0)),""))</f>
        <v/>
      </c>
      <c r="G637" s="10">
        <f>IF($BI637="","",IF($B637="Onsite",INDEX(tbl_Onsite[Job Description],$BI637),IF($B637="Production",INDEX(tbl_Production[Job Description],$BI637),INDEX(tbl_Consulting[Job Description],$BI637)))&amp;"")</f>
        <v/>
      </c>
      <c r="H637" s="10">
        <f>IF($BI637="","",IF($B637="Onsite",INDEX(tbl_Onsite[Cost Centre],$BI637),IF($B637="Production",INDEX(tbl_Production[Cost Centre],$BI637),INDEX(tbl_Consulting[Cost Centre],$BI637)))&amp;"")</f>
        <v/>
      </c>
      <c r="I637" s="10">
        <f>IF($BI637="","",IF($B637="Onsite",INDEX(tbl_Onsite[Invoice Type],$BI637),IF($B637="Production",INDEX(tbl_Production[Invoice Type],$BI637),INDEX(tbl_Consulting[Invoice Type],$BI637)))&amp;"")</f>
        <v/>
      </c>
      <c r="J637" s="10">
        <f>IF($BI637="","",IF($B637="Onsite",INDEX(tbl_Onsite[Tax Code],$BI637),IF($B637="Production",INDEX(tbl_Production[Tax Code],$BI637),INDEX(tbl_Consulting[Tax Code],$BI637)))&amp;"")</f>
        <v/>
      </c>
      <c r="K637" s="10">
        <f>IF(H637="","",IFERROR(INDEX(lst_CCtoGL,MATCH(H637,lst_CCforGL,0)),""))</f>
        <v/>
      </c>
      <c r="L637" s="10">
        <f>IF($BI637="","",IF($B637="Onsite",INDEX(tbl_Onsite[PO / Reference],$BI637),IF($B637="Production",INDEX(tbl_Production[Current RMS No],$BI637),INDEX(tbl_Consulting[Qwilr Quote],$BI637)))&amp;"")</f>
        <v/>
      </c>
      <c r="M637" s="10">
        <f>IF($BI637="","",IF($B637="Onsite",INDEX(tbl_Onsite[Notes],$BI637),IF($B637="Production",INDEX(tbl_Production[Notes],$BI637),INDEX(tbl_Consulting[Notes],$BI637)))&amp;"")</f>
        <v/>
      </c>
      <c r="N637" s="11">
        <f>IF($BI637="","",IF(IF($B637="Onsite",INDEX(tbl_Onsite[Expected Revenue Ex GST],$BI637),IF($B637="Production",INDEX(tbl_Production[Expected Revenue Ex GST],$BI637),INDEX(tbl_Consulting[Expected Revenue Ex GST],$BI637)))="","",IF($B637="Onsite",INDEX(tbl_Onsite[Expected Revenue Ex GST],$BI637),IF($B637="Production",INDEX(tbl_Production[Expected Revenue Ex GST],$BI637),INDEX(tbl_Consulting[Expected Revenue Ex GST],$BI637)))))</f>
        <v/>
      </c>
      <c r="O637" s="11">
        <f>IF(AND($C637="",NOT(COUNTA($S637:$BB637)&gt;0)),"",SUM(U637,X637,AA637,AD637,AG637,AJ637,AM637,AP637,AS637,AV637,AY637,BB637))</f>
        <v/>
      </c>
      <c r="P637" s="11">
        <f>IF(O637="","",N(N637)-O637)</f>
        <v/>
      </c>
      <c r="Q637" s="10">
        <f>IF(O637="","",IF($C637="","Invoice on empty job row",IF(N637="",IF(ROUND(O637,2)=0,"No dept value","Invoiced - no dept value"),IF(ROUND(O637,2)=0,"Not invoiced - to invoice",IF(ROUND(P637,2)=0,"Agrees",IF(P637&gt;0,"Dept higher - to invoice","Xero higher - check dept"))))))</f>
        <v/>
      </c>
      <c r="R637" s="10">
        <f>IF(AND($C637="",NOT(COUNTA($S637:$BB637)&gt;0),$BI637&lt;&gt;""),"",MID(IF($BI637="","; Row ID not found on the department sheet - a row was deleted","")&amp;IF(AND($C637="",COUNTA($S637:$BB637)&gt;0),"; Invoice entered but the department row has no job number","")&amp;IF(E637="CHECK","; Job number not in the Xero job list","")&amp;IF(AND($C637&lt;&gt;"",COUNTIF($C$7:$C$1506,$C637)&gt;1),"; Job number on more than one row","")&amp;IF(AND($C637&lt;&gt;"",H637=""),"; Dept has not set a cost centre","")&amp;IF(AND($C637&lt;&gt;"",J637=""),"; Dept has not set a tax code","")&amp;IF(AND($C637&lt;&gt;"",N637=""),"; Dept has not entered an expected value","")&amp;IF((IF(OR(COUNTA(S637:U637)=0,AND(COUNTA(S637:U637)=3,ISNUMBER(U637))),0,1)+IF(OR(COUNTA(V637:X637)=0,AND(COUNTA(V637:X637)=3,ISNUMBER(X637))),0,1)+IF(OR(COUNTA(Y637:AA637)=0,AND(COUNTA(Y637:AA637)=3,ISNUMBER(AA637))),0,1)+IF(OR(COUNTA(AB637:AD637)=0,AND(COUNTA(AB637:AD637)=3,ISNUMBER(AD637))),0,1)+IF(OR(COUNTA(AE637:AG637)=0,AND(COUNTA(AE637:AG637)=3,ISNUMBER(AG637))),0,1)+IF(OR(COUNTA(AH637:AJ637)=0,AND(COUNTA(AH637:AJ637)=3,ISNUMBER(AJ637))),0,1)+IF(OR(COUNTA(AK637:AM637)=0,AND(COUNTA(AK637:AM637)=3,ISNUMBER(AM637))),0,1)+IF(OR(COUNTA(AN637:AP637)=0,AND(COUNTA(AN637:AP637)=3,ISNUMBER(AP637))),0,1)+IF(OR(COUNTA(AQ637:AS637)=0,AND(COUNTA(AQ637:AS637)=3,ISNUMBER(AS637))),0,1)+IF(OR(COUNTA(AT637:AV637)=0,AND(COUNTA(AT637:AV637)=3,ISNUMBER(AV637))),0,1)+IF(OR(COUNTA(AW637:AY637)=0,AND(COUNTA(AW637:AY637)=3,ISNUMBER(AY637))),0,1)+IF(OR(COUNTA(AZ637:BB637)=0,AND(COUNTA(AZ637:BB637)=3,ISNUMBER(BB637))),0,1))&gt;0,"; An invoice is incomplete (needs No, Date and a number in Ex GST)","")&amp;IF((IF(T637="",0,IFERROR(--(EOMONTH(T637,0)&lt;&gt;S$5),1))+IF(W637="",0,IFERROR(--(EOMONTH(W637,0)&lt;&gt;V$5),1))+IF(Z637="",0,IFERROR(--(EOMONTH(Z637,0)&lt;&gt;Y$5),1))+IF(AC637="",0,IFERROR(--(EOMONTH(AC637,0)&lt;&gt;AB$5),1))+IF(AF637="",0,IFERROR(--(EOMONTH(AF637,0)&lt;&gt;AE$5),1))+IF(AI637="",0,IFERROR(--(EOMONTH(AI637,0)&lt;&gt;AH$5),1))+IF(AL637="",0,IFERROR(--(EOMONTH(AL637,0)&lt;&gt;AK$5),1))+IF(AO637="",0,IFERROR(--(EOMONTH(AO637,0)&lt;&gt;AN$5),1))+IF(AR637="",0,IFERROR(--(EOMONTH(AR637,0)&lt;&gt;AQ$5),1))+IF(AU637="",0,IFERROR(--(EOMONTH(AU637,0)&lt;&gt;AT$5),1))+IF(AX637="",0,IFERROR(--(EOMONTH(AX637,0)&lt;&gt;AW$5),1))+IF(BA637="",0,IFERROR(--(EOMONTH(BA637,0)&lt;&gt;AZ$5),1)))&gt;0,"; An invoice date is not in the month it is typed under",""),3,500))</f>
        <v/>
      </c>
      <c r="S637" s="12" t="n"/>
      <c r="T637" s="13" t="n"/>
      <c r="U637" s="14" t="n"/>
      <c r="V637" s="12" t="n"/>
      <c r="W637" s="13" t="n"/>
      <c r="X637" s="14" t="n"/>
      <c r="Y637" s="12" t="n"/>
      <c r="Z637" s="13" t="n"/>
      <c r="AA637" s="14" t="n"/>
      <c r="AB637" s="12" t="n"/>
      <c r="AC637" s="13" t="n"/>
      <c r="AD637" s="14" t="n"/>
      <c r="AE637" s="12" t="n"/>
      <c r="AF637" s="13" t="n"/>
      <c r="AG637" s="14" t="n"/>
      <c r="AH637" s="12" t="n"/>
      <c r="AI637" s="13" t="n"/>
      <c r="AJ637" s="14" t="n"/>
      <c r="AK637" s="12" t="n"/>
      <c r="AL637" s="13" t="n"/>
      <c r="AM637" s="14" t="n"/>
      <c r="AN637" s="12" t="n"/>
      <c r="AO637" s="13" t="n"/>
      <c r="AP637" s="14" t="n"/>
      <c r="AQ637" s="12" t="n"/>
      <c r="AR637" s="13" t="n"/>
      <c r="AS637" s="14" t="n"/>
      <c r="AT637" s="12" t="n"/>
      <c r="AU637" s="13" t="n"/>
      <c r="AV637" s="14" t="n"/>
      <c r="AW637" s="12" t="n"/>
      <c r="AX637" s="13" t="n"/>
      <c r="AY637" s="14" t="n"/>
      <c r="AZ637" s="12" t="n"/>
      <c r="BA637" s="13" t="n"/>
      <c r="BB637" s="14" t="n"/>
      <c r="BC637" s="11">
        <f>IF(O637="","",IF(J637="GST 10%",ROUND(O637*set_GSTRate,2),0))</f>
        <v/>
      </c>
      <c r="BD637" s="11">
        <f>IF(O637="","",O637+BC637)</f>
        <v/>
      </c>
      <c r="BE637" s="15">
        <f>IF(O637="","",COUNTA(S637,V637,Y637,AB637,AE637,AH637,AK637,AN637,AQ637,AT637,AW637,AZ637))</f>
        <v/>
      </c>
      <c r="BF637" s="16">
        <f>IF(COUNT(T637,W637,Z637,AC637,AF637,AI637,AL637,AO637,AR637,AU637,AX637,BA637)=0,"",MAX(T637,W637,Z637,AC637,AF637,AI637,AL637,AO637,AR637,AU637,AX637,BA637))</f>
        <v/>
      </c>
      <c r="BG637" s="10">
        <f>MID(IF(S637="","",", "&amp;S637)&amp;IF(V637="","",", "&amp;V637)&amp;IF(Y637="","",", "&amp;Y637)&amp;IF(AB637="","",", "&amp;AB637)&amp;IF(AE637="","",", "&amp;AE637)&amp;IF(AH637="","",", "&amp;AH637)&amp;IF(AK637="","",", "&amp;AK637)&amp;IF(AN637="","",", "&amp;AN637)&amp;IF(AQ637="","",", "&amp;AQ637)&amp;IF(AT637="","",", "&amp;AT637)&amp;IF(AW637="","",", "&amp;AW637)&amp;IF(AZ637="","",", "&amp;AZ637),3,500)</f>
        <v/>
      </c>
      <c r="BH637" s="12" t="n"/>
      <c r="BI637" s="15">
        <f>IFERROR(MATCH($A637,IF($B637="Onsite",tbl_Onsite[Row ID],IF($B637="Production",tbl_Production[Row ID],tbl_Consulting[Row ID])),0),"")</f>
        <v/>
      </c>
    </row>
    <row r="638">
      <c r="A638" s="10" t="inlineStr">
        <is>
          <t>PRD-0132</t>
        </is>
      </c>
      <c r="B638" s="10" t="inlineStr">
        <is>
          <t>Production</t>
        </is>
      </c>
      <c r="C638" s="10">
        <f>IF($BI638="","",IF($B638="Onsite",INDEX(tbl_Onsite[Job Number],$BI638),IF($B638="Production",INDEX(tbl_Production[Job Number],$BI638),INDEX(tbl_Consulting[Job Number],$BI638)))&amp;"")</f>
        <v/>
      </c>
      <c r="D638" s="10">
        <f>IF($BI638="","",IF($B638="Onsite",INDEX(tbl_Onsite[Client],$BI638),IF($B638="Production",INDEX(tbl_Production[Client],$BI638),INDEX(tbl_Consulting[Client],$BI638)))&amp;"")</f>
        <v/>
      </c>
      <c r="E638" s="10">
        <f>IF($C638="","",IF(COUNTIF(lst_Jobs,$C638)&gt;0,"OK","CHECK"))</f>
        <v/>
      </c>
      <c r="F638" s="10">
        <f>IF($C638="","",IFERROR(INDEX(lst_JobName,MATCH($C638,lst_Jobs,0)),""))</f>
        <v/>
      </c>
      <c r="G638" s="10">
        <f>IF($BI638="","",IF($B638="Onsite",INDEX(tbl_Onsite[Job Description],$BI638),IF($B638="Production",INDEX(tbl_Production[Job Description],$BI638),INDEX(tbl_Consulting[Job Description],$BI638)))&amp;"")</f>
        <v/>
      </c>
      <c r="H638" s="10">
        <f>IF($BI638="","",IF($B638="Onsite",INDEX(tbl_Onsite[Cost Centre],$BI638),IF($B638="Production",INDEX(tbl_Production[Cost Centre],$BI638),INDEX(tbl_Consulting[Cost Centre],$BI638)))&amp;"")</f>
        <v/>
      </c>
      <c r="I638" s="10">
        <f>IF($BI638="","",IF($B638="Onsite",INDEX(tbl_Onsite[Invoice Type],$BI638),IF($B638="Production",INDEX(tbl_Production[Invoice Type],$BI638),INDEX(tbl_Consulting[Invoice Type],$BI638)))&amp;"")</f>
        <v/>
      </c>
      <c r="J638" s="10">
        <f>IF($BI638="","",IF($B638="Onsite",INDEX(tbl_Onsite[Tax Code],$BI638),IF($B638="Production",INDEX(tbl_Production[Tax Code],$BI638),INDEX(tbl_Consulting[Tax Code],$BI638)))&amp;"")</f>
        <v/>
      </c>
      <c r="K638" s="10">
        <f>IF(H638="","",IFERROR(INDEX(lst_CCtoGL,MATCH(H638,lst_CCforGL,0)),""))</f>
        <v/>
      </c>
      <c r="L638" s="10">
        <f>IF($BI638="","",IF($B638="Onsite",INDEX(tbl_Onsite[PO / Reference],$BI638),IF($B638="Production",INDEX(tbl_Production[Current RMS No],$BI638),INDEX(tbl_Consulting[Qwilr Quote],$BI638)))&amp;"")</f>
        <v/>
      </c>
      <c r="M638" s="10">
        <f>IF($BI638="","",IF($B638="Onsite",INDEX(tbl_Onsite[Notes],$BI638),IF($B638="Production",INDEX(tbl_Production[Notes],$BI638),INDEX(tbl_Consulting[Notes],$BI638)))&amp;"")</f>
        <v/>
      </c>
      <c r="N638" s="11">
        <f>IF($BI638="","",IF(IF($B638="Onsite",INDEX(tbl_Onsite[Expected Revenue Ex GST],$BI638),IF($B638="Production",INDEX(tbl_Production[Expected Revenue Ex GST],$BI638),INDEX(tbl_Consulting[Expected Revenue Ex GST],$BI638)))="","",IF($B638="Onsite",INDEX(tbl_Onsite[Expected Revenue Ex GST],$BI638),IF($B638="Production",INDEX(tbl_Production[Expected Revenue Ex GST],$BI638),INDEX(tbl_Consulting[Expected Revenue Ex GST],$BI638)))))</f>
        <v/>
      </c>
      <c r="O638" s="11">
        <f>IF(AND($C638="",NOT(COUNTA($S638:$BB638)&gt;0)),"",SUM(U638,X638,AA638,AD638,AG638,AJ638,AM638,AP638,AS638,AV638,AY638,BB638))</f>
        <v/>
      </c>
      <c r="P638" s="11">
        <f>IF(O638="","",N(N638)-O638)</f>
        <v/>
      </c>
      <c r="Q638" s="10">
        <f>IF(O638="","",IF($C638="","Invoice on empty job row",IF(N638="",IF(ROUND(O638,2)=0,"No dept value","Invoiced - no dept value"),IF(ROUND(O638,2)=0,"Not invoiced - to invoice",IF(ROUND(P638,2)=0,"Agrees",IF(P638&gt;0,"Dept higher - to invoice","Xero higher - check dept"))))))</f>
        <v/>
      </c>
      <c r="R638" s="10">
        <f>IF(AND($C638="",NOT(COUNTA($S638:$BB638)&gt;0),$BI638&lt;&gt;""),"",MID(IF($BI638="","; Row ID not found on the department sheet - a row was deleted","")&amp;IF(AND($C638="",COUNTA($S638:$BB638)&gt;0),"; Invoice entered but the department row has no job number","")&amp;IF(E638="CHECK","; Job number not in the Xero job list","")&amp;IF(AND($C638&lt;&gt;"",COUNTIF($C$7:$C$1506,$C638)&gt;1),"; Job number on more than one row","")&amp;IF(AND($C638&lt;&gt;"",H638=""),"; Dept has not set a cost centre","")&amp;IF(AND($C638&lt;&gt;"",J638=""),"; Dept has not set a tax code","")&amp;IF(AND($C638&lt;&gt;"",N638=""),"; Dept has not entered an expected value","")&amp;IF((IF(OR(COUNTA(S638:U638)=0,AND(COUNTA(S638:U638)=3,ISNUMBER(U638))),0,1)+IF(OR(COUNTA(V638:X638)=0,AND(COUNTA(V638:X638)=3,ISNUMBER(X638))),0,1)+IF(OR(COUNTA(Y638:AA638)=0,AND(COUNTA(Y638:AA638)=3,ISNUMBER(AA638))),0,1)+IF(OR(COUNTA(AB638:AD638)=0,AND(COUNTA(AB638:AD638)=3,ISNUMBER(AD638))),0,1)+IF(OR(COUNTA(AE638:AG638)=0,AND(COUNTA(AE638:AG638)=3,ISNUMBER(AG638))),0,1)+IF(OR(COUNTA(AH638:AJ638)=0,AND(COUNTA(AH638:AJ638)=3,ISNUMBER(AJ638))),0,1)+IF(OR(COUNTA(AK638:AM638)=0,AND(COUNTA(AK638:AM638)=3,ISNUMBER(AM638))),0,1)+IF(OR(COUNTA(AN638:AP638)=0,AND(COUNTA(AN638:AP638)=3,ISNUMBER(AP638))),0,1)+IF(OR(COUNTA(AQ638:AS638)=0,AND(COUNTA(AQ638:AS638)=3,ISNUMBER(AS638))),0,1)+IF(OR(COUNTA(AT638:AV638)=0,AND(COUNTA(AT638:AV638)=3,ISNUMBER(AV638))),0,1)+IF(OR(COUNTA(AW638:AY638)=0,AND(COUNTA(AW638:AY638)=3,ISNUMBER(AY638))),0,1)+IF(OR(COUNTA(AZ638:BB638)=0,AND(COUNTA(AZ638:BB638)=3,ISNUMBER(BB638))),0,1))&gt;0,"; An invoice is incomplete (needs No, Date and a number in Ex GST)","")&amp;IF((IF(T638="",0,IFERROR(--(EOMONTH(T638,0)&lt;&gt;S$5),1))+IF(W638="",0,IFERROR(--(EOMONTH(W638,0)&lt;&gt;V$5),1))+IF(Z638="",0,IFERROR(--(EOMONTH(Z638,0)&lt;&gt;Y$5),1))+IF(AC638="",0,IFERROR(--(EOMONTH(AC638,0)&lt;&gt;AB$5),1))+IF(AF638="",0,IFERROR(--(EOMONTH(AF638,0)&lt;&gt;AE$5),1))+IF(AI638="",0,IFERROR(--(EOMONTH(AI638,0)&lt;&gt;AH$5),1))+IF(AL638="",0,IFERROR(--(EOMONTH(AL638,0)&lt;&gt;AK$5),1))+IF(AO638="",0,IFERROR(--(EOMONTH(AO638,0)&lt;&gt;AN$5),1))+IF(AR638="",0,IFERROR(--(EOMONTH(AR638,0)&lt;&gt;AQ$5),1))+IF(AU638="",0,IFERROR(--(EOMONTH(AU638,0)&lt;&gt;AT$5),1))+IF(AX638="",0,IFERROR(--(EOMONTH(AX638,0)&lt;&gt;AW$5),1))+IF(BA638="",0,IFERROR(--(EOMONTH(BA638,0)&lt;&gt;AZ$5),1)))&gt;0,"; An invoice date is not in the month it is typed under",""),3,500))</f>
        <v/>
      </c>
      <c r="S638" s="12" t="n"/>
      <c r="T638" s="13" t="n"/>
      <c r="U638" s="14" t="n"/>
      <c r="V638" s="12" t="n"/>
      <c r="W638" s="13" t="n"/>
      <c r="X638" s="14" t="n"/>
      <c r="Y638" s="12" t="n"/>
      <c r="Z638" s="13" t="n"/>
      <c r="AA638" s="14" t="n"/>
      <c r="AB638" s="12" t="n"/>
      <c r="AC638" s="13" t="n"/>
      <c r="AD638" s="14" t="n"/>
      <c r="AE638" s="12" t="n"/>
      <c r="AF638" s="13" t="n"/>
      <c r="AG638" s="14" t="n"/>
      <c r="AH638" s="12" t="n"/>
      <c r="AI638" s="13" t="n"/>
      <c r="AJ638" s="14" t="n"/>
      <c r="AK638" s="12" t="n"/>
      <c r="AL638" s="13" t="n"/>
      <c r="AM638" s="14" t="n"/>
      <c r="AN638" s="12" t="n"/>
      <c r="AO638" s="13" t="n"/>
      <c r="AP638" s="14" t="n"/>
      <c r="AQ638" s="12" t="n"/>
      <c r="AR638" s="13" t="n"/>
      <c r="AS638" s="14" t="n"/>
      <c r="AT638" s="12" t="n"/>
      <c r="AU638" s="13" t="n"/>
      <c r="AV638" s="14" t="n"/>
      <c r="AW638" s="12" t="n"/>
      <c r="AX638" s="13" t="n"/>
      <c r="AY638" s="14" t="n"/>
      <c r="AZ638" s="12" t="n"/>
      <c r="BA638" s="13" t="n"/>
      <c r="BB638" s="14" t="n"/>
      <c r="BC638" s="11">
        <f>IF(O638="","",IF(J638="GST 10%",ROUND(O638*set_GSTRate,2),0))</f>
        <v/>
      </c>
      <c r="BD638" s="11">
        <f>IF(O638="","",O638+BC638)</f>
        <v/>
      </c>
      <c r="BE638" s="15">
        <f>IF(O638="","",COUNTA(S638,V638,Y638,AB638,AE638,AH638,AK638,AN638,AQ638,AT638,AW638,AZ638))</f>
        <v/>
      </c>
      <c r="BF638" s="16">
        <f>IF(COUNT(T638,W638,Z638,AC638,AF638,AI638,AL638,AO638,AR638,AU638,AX638,BA638)=0,"",MAX(T638,W638,Z638,AC638,AF638,AI638,AL638,AO638,AR638,AU638,AX638,BA638))</f>
        <v/>
      </c>
      <c r="BG638" s="10">
        <f>MID(IF(S638="","",", "&amp;S638)&amp;IF(V638="","",", "&amp;V638)&amp;IF(Y638="","",", "&amp;Y638)&amp;IF(AB638="","",", "&amp;AB638)&amp;IF(AE638="","",", "&amp;AE638)&amp;IF(AH638="","",", "&amp;AH638)&amp;IF(AK638="","",", "&amp;AK638)&amp;IF(AN638="","",", "&amp;AN638)&amp;IF(AQ638="","",", "&amp;AQ638)&amp;IF(AT638="","",", "&amp;AT638)&amp;IF(AW638="","",", "&amp;AW638)&amp;IF(AZ638="","",", "&amp;AZ638),3,500)</f>
        <v/>
      </c>
      <c r="BH638" s="12" t="n"/>
      <c r="BI638" s="15">
        <f>IFERROR(MATCH($A638,IF($B638="Onsite",tbl_Onsite[Row ID],IF($B638="Production",tbl_Production[Row ID],tbl_Consulting[Row ID])),0),"")</f>
        <v/>
      </c>
    </row>
    <row r="639">
      <c r="A639" s="10" t="inlineStr">
        <is>
          <t>PRD-0133</t>
        </is>
      </c>
      <c r="B639" s="10" t="inlineStr">
        <is>
          <t>Production</t>
        </is>
      </c>
      <c r="C639" s="10">
        <f>IF($BI639="","",IF($B639="Onsite",INDEX(tbl_Onsite[Job Number],$BI639),IF($B639="Production",INDEX(tbl_Production[Job Number],$BI639),INDEX(tbl_Consulting[Job Number],$BI639)))&amp;"")</f>
        <v/>
      </c>
      <c r="D639" s="10">
        <f>IF($BI639="","",IF($B639="Onsite",INDEX(tbl_Onsite[Client],$BI639),IF($B639="Production",INDEX(tbl_Production[Client],$BI639),INDEX(tbl_Consulting[Client],$BI639)))&amp;"")</f>
        <v/>
      </c>
      <c r="E639" s="10">
        <f>IF($C639="","",IF(COUNTIF(lst_Jobs,$C639)&gt;0,"OK","CHECK"))</f>
        <v/>
      </c>
      <c r="F639" s="10">
        <f>IF($C639="","",IFERROR(INDEX(lst_JobName,MATCH($C639,lst_Jobs,0)),""))</f>
        <v/>
      </c>
      <c r="G639" s="10">
        <f>IF($BI639="","",IF($B639="Onsite",INDEX(tbl_Onsite[Job Description],$BI639),IF($B639="Production",INDEX(tbl_Production[Job Description],$BI639),INDEX(tbl_Consulting[Job Description],$BI639)))&amp;"")</f>
        <v/>
      </c>
      <c r="H639" s="10">
        <f>IF($BI639="","",IF($B639="Onsite",INDEX(tbl_Onsite[Cost Centre],$BI639),IF($B639="Production",INDEX(tbl_Production[Cost Centre],$BI639),INDEX(tbl_Consulting[Cost Centre],$BI639)))&amp;"")</f>
        <v/>
      </c>
      <c r="I639" s="10">
        <f>IF($BI639="","",IF($B639="Onsite",INDEX(tbl_Onsite[Invoice Type],$BI639),IF($B639="Production",INDEX(tbl_Production[Invoice Type],$BI639),INDEX(tbl_Consulting[Invoice Type],$BI639)))&amp;"")</f>
        <v/>
      </c>
      <c r="J639" s="10">
        <f>IF($BI639="","",IF($B639="Onsite",INDEX(tbl_Onsite[Tax Code],$BI639),IF($B639="Production",INDEX(tbl_Production[Tax Code],$BI639),INDEX(tbl_Consulting[Tax Code],$BI639)))&amp;"")</f>
        <v/>
      </c>
      <c r="K639" s="10">
        <f>IF(H639="","",IFERROR(INDEX(lst_CCtoGL,MATCH(H639,lst_CCforGL,0)),""))</f>
        <v/>
      </c>
      <c r="L639" s="10">
        <f>IF($BI639="","",IF($B639="Onsite",INDEX(tbl_Onsite[PO / Reference],$BI639),IF($B639="Production",INDEX(tbl_Production[Current RMS No],$BI639),INDEX(tbl_Consulting[Qwilr Quote],$BI639)))&amp;"")</f>
        <v/>
      </c>
      <c r="M639" s="10">
        <f>IF($BI639="","",IF($B639="Onsite",INDEX(tbl_Onsite[Notes],$BI639),IF($B639="Production",INDEX(tbl_Production[Notes],$BI639),INDEX(tbl_Consulting[Notes],$BI639)))&amp;"")</f>
        <v/>
      </c>
      <c r="N639" s="11">
        <f>IF($BI639="","",IF(IF($B639="Onsite",INDEX(tbl_Onsite[Expected Revenue Ex GST],$BI639),IF($B639="Production",INDEX(tbl_Production[Expected Revenue Ex GST],$BI639),INDEX(tbl_Consulting[Expected Revenue Ex GST],$BI639)))="","",IF($B639="Onsite",INDEX(tbl_Onsite[Expected Revenue Ex GST],$BI639),IF($B639="Production",INDEX(tbl_Production[Expected Revenue Ex GST],$BI639),INDEX(tbl_Consulting[Expected Revenue Ex GST],$BI639)))))</f>
        <v/>
      </c>
      <c r="O639" s="11">
        <f>IF(AND($C639="",NOT(COUNTA($S639:$BB639)&gt;0)),"",SUM(U639,X639,AA639,AD639,AG639,AJ639,AM639,AP639,AS639,AV639,AY639,BB639))</f>
        <v/>
      </c>
      <c r="P639" s="11">
        <f>IF(O639="","",N(N639)-O639)</f>
        <v/>
      </c>
      <c r="Q639" s="10">
        <f>IF(O639="","",IF($C639="","Invoice on empty job row",IF(N639="",IF(ROUND(O639,2)=0,"No dept value","Invoiced - no dept value"),IF(ROUND(O639,2)=0,"Not invoiced - to invoice",IF(ROUND(P639,2)=0,"Agrees",IF(P639&gt;0,"Dept higher - to invoice","Xero higher - check dept"))))))</f>
        <v/>
      </c>
      <c r="R639" s="10">
        <f>IF(AND($C639="",NOT(COUNTA($S639:$BB639)&gt;0),$BI639&lt;&gt;""),"",MID(IF($BI639="","; Row ID not found on the department sheet - a row was deleted","")&amp;IF(AND($C639="",COUNTA($S639:$BB639)&gt;0),"; Invoice entered but the department row has no job number","")&amp;IF(E639="CHECK","; Job number not in the Xero job list","")&amp;IF(AND($C639&lt;&gt;"",COUNTIF($C$7:$C$1506,$C639)&gt;1),"; Job number on more than one row","")&amp;IF(AND($C639&lt;&gt;"",H639=""),"; Dept has not set a cost centre","")&amp;IF(AND($C639&lt;&gt;"",J639=""),"; Dept has not set a tax code","")&amp;IF(AND($C639&lt;&gt;"",N639=""),"; Dept has not entered an expected value","")&amp;IF((IF(OR(COUNTA(S639:U639)=0,AND(COUNTA(S639:U639)=3,ISNUMBER(U639))),0,1)+IF(OR(COUNTA(V639:X639)=0,AND(COUNTA(V639:X639)=3,ISNUMBER(X639))),0,1)+IF(OR(COUNTA(Y639:AA639)=0,AND(COUNTA(Y639:AA639)=3,ISNUMBER(AA639))),0,1)+IF(OR(COUNTA(AB639:AD639)=0,AND(COUNTA(AB639:AD639)=3,ISNUMBER(AD639))),0,1)+IF(OR(COUNTA(AE639:AG639)=0,AND(COUNTA(AE639:AG639)=3,ISNUMBER(AG639))),0,1)+IF(OR(COUNTA(AH639:AJ639)=0,AND(COUNTA(AH639:AJ639)=3,ISNUMBER(AJ639))),0,1)+IF(OR(COUNTA(AK639:AM639)=0,AND(COUNTA(AK639:AM639)=3,ISNUMBER(AM639))),0,1)+IF(OR(COUNTA(AN639:AP639)=0,AND(COUNTA(AN639:AP639)=3,ISNUMBER(AP639))),0,1)+IF(OR(COUNTA(AQ639:AS639)=0,AND(COUNTA(AQ639:AS639)=3,ISNUMBER(AS639))),0,1)+IF(OR(COUNTA(AT639:AV639)=0,AND(COUNTA(AT639:AV639)=3,ISNUMBER(AV639))),0,1)+IF(OR(COUNTA(AW639:AY639)=0,AND(COUNTA(AW639:AY639)=3,ISNUMBER(AY639))),0,1)+IF(OR(COUNTA(AZ639:BB639)=0,AND(COUNTA(AZ639:BB639)=3,ISNUMBER(BB639))),0,1))&gt;0,"; An invoice is incomplete (needs No, Date and a number in Ex GST)","")&amp;IF((IF(T639="",0,IFERROR(--(EOMONTH(T639,0)&lt;&gt;S$5),1))+IF(W639="",0,IFERROR(--(EOMONTH(W639,0)&lt;&gt;V$5),1))+IF(Z639="",0,IFERROR(--(EOMONTH(Z639,0)&lt;&gt;Y$5),1))+IF(AC639="",0,IFERROR(--(EOMONTH(AC639,0)&lt;&gt;AB$5),1))+IF(AF639="",0,IFERROR(--(EOMONTH(AF639,0)&lt;&gt;AE$5),1))+IF(AI639="",0,IFERROR(--(EOMONTH(AI639,0)&lt;&gt;AH$5),1))+IF(AL639="",0,IFERROR(--(EOMONTH(AL639,0)&lt;&gt;AK$5),1))+IF(AO639="",0,IFERROR(--(EOMONTH(AO639,0)&lt;&gt;AN$5),1))+IF(AR639="",0,IFERROR(--(EOMONTH(AR639,0)&lt;&gt;AQ$5),1))+IF(AU639="",0,IFERROR(--(EOMONTH(AU639,0)&lt;&gt;AT$5),1))+IF(AX639="",0,IFERROR(--(EOMONTH(AX639,0)&lt;&gt;AW$5),1))+IF(BA639="",0,IFERROR(--(EOMONTH(BA639,0)&lt;&gt;AZ$5),1)))&gt;0,"; An invoice date is not in the month it is typed under",""),3,500))</f>
        <v/>
      </c>
      <c r="S639" s="12" t="n"/>
      <c r="T639" s="13" t="n"/>
      <c r="U639" s="14" t="n"/>
      <c r="V639" s="12" t="n"/>
      <c r="W639" s="13" t="n"/>
      <c r="X639" s="14" t="n"/>
      <c r="Y639" s="12" t="n"/>
      <c r="Z639" s="13" t="n"/>
      <c r="AA639" s="14" t="n"/>
      <c r="AB639" s="12" t="n"/>
      <c r="AC639" s="13" t="n"/>
      <c r="AD639" s="14" t="n"/>
      <c r="AE639" s="12" t="n"/>
      <c r="AF639" s="13" t="n"/>
      <c r="AG639" s="14" t="n"/>
      <c r="AH639" s="12" t="n"/>
      <c r="AI639" s="13" t="n"/>
      <c r="AJ639" s="14" t="n"/>
      <c r="AK639" s="12" t="n"/>
      <c r="AL639" s="13" t="n"/>
      <c r="AM639" s="14" t="n"/>
      <c r="AN639" s="12" t="n"/>
      <c r="AO639" s="13" t="n"/>
      <c r="AP639" s="14" t="n"/>
      <c r="AQ639" s="12" t="n"/>
      <c r="AR639" s="13" t="n"/>
      <c r="AS639" s="14" t="n"/>
      <c r="AT639" s="12" t="n"/>
      <c r="AU639" s="13" t="n"/>
      <c r="AV639" s="14" t="n"/>
      <c r="AW639" s="12" t="n"/>
      <c r="AX639" s="13" t="n"/>
      <c r="AY639" s="14" t="n"/>
      <c r="AZ639" s="12" t="n"/>
      <c r="BA639" s="13" t="n"/>
      <c r="BB639" s="14" t="n"/>
      <c r="BC639" s="11">
        <f>IF(O639="","",IF(J639="GST 10%",ROUND(O639*set_GSTRate,2),0))</f>
        <v/>
      </c>
      <c r="BD639" s="11">
        <f>IF(O639="","",O639+BC639)</f>
        <v/>
      </c>
      <c r="BE639" s="15">
        <f>IF(O639="","",COUNTA(S639,V639,Y639,AB639,AE639,AH639,AK639,AN639,AQ639,AT639,AW639,AZ639))</f>
        <v/>
      </c>
      <c r="BF639" s="16">
        <f>IF(COUNT(T639,W639,Z639,AC639,AF639,AI639,AL639,AO639,AR639,AU639,AX639,BA639)=0,"",MAX(T639,W639,Z639,AC639,AF639,AI639,AL639,AO639,AR639,AU639,AX639,BA639))</f>
        <v/>
      </c>
      <c r="BG639" s="10">
        <f>MID(IF(S639="","",", "&amp;S639)&amp;IF(V639="","",", "&amp;V639)&amp;IF(Y639="","",", "&amp;Y639)&amp;IF(AB639="","",", "&amp;AB639)&amp;IF(AE639="","",", "&amp;AE639)&amp;IF(AH639="","",", "&amp;AH639)&amp;IF(AK639="","",", "&amp;AK639)&amp;IF(AN639="","",", "&amp;AN639)&amp;IF(AQ639="","",", "&amp;AQ639)&amp;IF(AT639="","",", "&amp;AT639)&amp;IF(AW639="","",", "&amp;AW639)&amp;IF(AZ639="","",", "&amp;AZ639),3,500)</f>
        <v/>
      </c>
      <c r="BH639" s="12" t="n"/>
      <c r="BI639" s="15">
        <f>IFERROR(MATCH($A639,IF($B639="Onsite",tbl_Onsite[Row ID],IF($B639="Production",tbl_Production[Row ID],tbl_Consulting[Row ID])),0),"")</f>
        <v/>
      </c>
    </row>
    <row r="640">
      <c r="A640" s="10" t="inlineStr">
        <is>
          <t>PRD-0134</t>
        </is>
      </c>
      <c r="B640" s="10" t="inlineStr">
        <is>
          <t>Production</t>
        </is>
      </c>
      <c r="C640" s="10">
        <f>IF($BI640="","",IF($B640="Onsite",INDEX(tbl_Onsite[Job Number],$BI640),IF($B640="Production",INDEX(tbl_Production[Job Number],$BI640),INDEX(tbl_Consulting[Job Number],$BI640)))&amp;"")</f>
        <v/>
      </c>
      <c r="D640" s="10">
        <f>IF($BI640="","",IF($B640="Onsite",INDEX(tbl_Onsite[Client],$BI640),IF($B640="Production",INDEX(tbl_Production[Client],$BI640),INDEX(tbl_Consulting[Client],$BI640)))&amp;"")</f>
        <v/>
      </c>
      <c r="E640" s="10">
        <f>IF($C640="","",IF(COUNTIF(lst_Jobs,$C640)&gt;0,"OK","CHECK"))</f>
        <v/>
      </c>
      <c r="F640" s="10">
        <f>IF($C640="","",IFERROR(INDEX(lst_JobName,MATCH($C640,lst_Jobs,0)),""))</f>
        <v/>
      </c>
      <c r="G640" s="10">
        <f>IF($BI640="","",IF($B640="Onsite",INDEX(tbl_Onsite[Job Description],$BI640),IF($B640="Production",INDEX(tbl_Production[Job Description],$BI640),INDEX(tbl_Consulting[Job Description],$BI640)))&amp;"")</f>
        <v/>
      </c>
      <c r="H640" s="10">
        <f>IF($BI640="","",IF($B640="Onsite",INDEX(tbl_Onsite[Cost Centre],$BI640),IF($B640="Production",INDEX(tbl_Production[Cost Centre],$BI640),INDEX(tbl_Consulting[Cost Centre],$BI640)))&amp;"")</f>
        <v/>
      </c>
      <c r="I640" s="10">
        <f>IF($BI640="","",IF($B640="Onsite",INDEX(tbl_Onsite[Invoice Type],$BI640),IF($B640="Production",INDEX(tbl_Production[Invoice Type],$BI640),INDEX(tbl_Consulting[Invoice Type],$BI640)))&amp;"")</f>
        <v/>
      </c>
      <c r="J640" s="10">
        <f>IF($BI640="","",IF($B640="Onsite",INDEX(tbl_Onsite[Tax Code],$BI640),IF($B640="Production",INDEX(tbl_Production[Tax Code],$BI640),INDEX(tbl_Consulting[Tax Code],$BI640)))&amp;"")</f>
        <v/>
      </c>
      <c r="K640" s="10">
        <f>IF(H640="","",IFERROR(INDEX(lst_CCtoGL,MATCH(H640,lst_CCforGL,0)),""))</f>
        <v/>
      </c>
      <c r="L640" s="10">
        <f>IF($BI640="","",IF($B640="Onsite",INDEX(tbl_Onsite[PO / Reference],$BI640),IF($B640="Production",INDEX(tbl_Production[Current RMS No],$BI640),INDEX(tbl_Consulting[Qwilr Quote],$BI640)))&amp;"")</f>
        <v/>
      </c>
      <c r="M640" s="10">
        <f>IF($BI640="","",IF($B640="Onsite",INDEX(tbl_Onsite[Notes],$BI640),IF($B640="Production",INDEX(tbl_Production[Notes],$BI640),INDEX(tbl_Consulting[Notes],$BI640)))&amp;"")</f>
        <v/>
      </c>
      <c r="N640" s="11">
        <f>IF($BI640="","",IF(IF($B640="Onsite",INDEX(tbl_Onsite[Expected Revenue Ex GST],$BI640),IF($B640="Production",INDEX(tbl_Production[Expected Revenue Ex GST],$BI640),INDEX(tbl_Consulting[Expected Revenue Ex GST],$BI640)))="","",IF($B640="Onsite",INDEX(tbl_Onsite[Expected Revenue Ex GST],$BI640),IF($B640="Production",INDEX(tbl_Production[Expected Revenue Ex GST],$BI640),INDEX(tbl_Consulting[Expected Revenue Ex GST],$BI640)))))</f>
        <v/>
      </c>
      <c r="O640" s="11">
        <f>IF(AND($C640="",NOT(COUNTA($S640:$BB640)&gt;0)),"",SUM(U640,X640,AA640,AD640,AG640,AJ640,AM640,AP640,AS640,AV640,AY640,BB640))</f>
        <v/>
      </c>
      <c r="P640" s="11">
        <f>IF(O640="","",N(N640)-O640)</f>
        <v/>
      </c>
      <c r="Q640" s="10">
        <f>IF(O640="","",IF($C640="","Invoice on empty job row",IF(N640="",IF(ROUND(O640,2)=0,"No dept value","Invoiced - no dept value"),IF(ROUND(O640,2)=0,"Not invoiced - to invoice",IF(ROUND(P640,2)=0,"Agrees",IF(P640&gt;0,"Dept higher - to invoice","Xero higher - check dept"))))))</f>
        <v/>
      </c>
      <c r="R640" s="10">
        <f>IF(AND($C640="",NOT(COUNTA($S640:$BB640)&gt;0),$BI640&lt;&gt;""),"",MID(IF($BI640="","; Row ID not found on the department sheet - a row was deleted","")&amp;IF(AND($C640="",COUNTA($S640:$BB640)&gt;0),"; Invoice entered but the department row has no job number","")&amp;IF(E640="CHECK","; Job number not in the Xero job list","")&amp;IF(AND($C640&lt;&gt;"",COUNTIF($C$7:$C$1506,$C640)&gt;1),"; Job number on more than one row","")&amp;IF(AND($C640&lt;&gt;"",H640=""),"; Dept has not set a cost centre","")&amp;IF(AND($C640&lt;&gt;"",J640=""),"; Dept has not set a tax code","")&amp;IF(AND($C640&lt;&gt;"",N640=""),"; Dept has not entered an expected value","")&amp;IF((IF(OR(COUNTA(S640:U640)=0,AND(COUNTA(S640:U640)=3,ISNUMBER(U640))),0,1)+IF(OR(COUNTA(V640:X640)=0,AND(COUNTA(V640:X640)=3,ISNUMBER(X640))),0,1)+IF(OR(COUNTA(Y640:AA640)=0,AND(COUNTA(Y640:AA640)=3,ISNUMBER(AA640))),0,1)+IF(OR(COUNTA(AB640:AD640)=0,AND(COUNTA(AB640:AD640)=3,ISNUMBER(AD640))),0,1)+IF(OR(COUNTA(AE640:AG640)=0,AND(COUNTA(AE640:AG640)=3,ISNUMBER(AG640))),0,1)+IF(OR(COUNTA(AH640:AJ640)=0,AND(COUNTA(AH640:AJ640)=3,ISNUMBER(AJ640))),0,1)+IF(OR(COUNTA(AK640:AM640)=0,AND(COUNTA(AK640:AM640)=3,ISNUMBER(AM640))),0,1)+IF(OR(COUNTA(AN640:AP640)=0,AND(COUNTA(AN640:AP640)=3,ISNUMBER(AP640))),0,1)+IF(OR(COUNTA(AQ640:AS640)=0,AND(COUNTA(AQ640:AS640)=3,ISNUMBER(AS640))),0,1)+IF(OR(COUNTA(AT640:AV640)=0,AND(COUNTA(AT640:AV640)=3,ISNUMBER(AV640))),0,1)+IF(OR(COUNTA(AW640:AY640)=0,AND(COUNTA(AW640:AY640)=3,ISNUMBER(AY640))),0,1)+IF(OR(COUNTA(AZ640:BB640)=0,AND(COUNTA(AZ640:BB640)=3,ISNUMBER(BB640))),0,1))&gt;0,"; An invoice is incomplete (needs No, Date and a number in Ex GST)","")&amp;IF((IF(T640="",0,IFERROR(--(EOMONTH(T640,0)&lt;&gt;S$5),1))+IF(W640="",0,IFERROR(--(EOMONTH(W640,0)&lt;&gt;V$5),1))+IF(Z640="",0,IFERROR(--(EOMONTH(Z640,0)&lt;&gt;Y$5),1))+IF(AC640="",0,IFERROR(--(EOMONTH(AC640,0)&lt;&gt;AB$5),1))+IF(AF640="",0,IFERROR(--(EOMONTH(AF640,0)&lt;&gt;AE$5),1))+IF(AI640="",0,IFERROR(--(EOMONTH(AI640,0)&lt;&gt;AH$5),1))+IF(AL640="",0,IFERROR(--(EOMONTH(AL640,0)&lt;&gt;AK$5),1))+IF(AO640="",0,IFERROR(--(EOMONTH(AO640,0)&lt;&gt;AN$5),1))+IF(AR640="",0,IFERROR(--(EOMONTH(AR640,0)&lt;&gt;AQ$5),1))+IF(AU640="",0,IFERROR(--(EOMONTH(AU640,0)&lt;&gt;AT$5),1))+IF(AX640="",0,IFERROR(--(EOMONTH(AX640,0)&lt;&gt;AW$5),1))+IF(BA640="",0,IFERROR(--(EOMONTH(BA640,0)&lt;&gt;AZ$5),1)))&gt;0,"; An invoice date is not in the month it is typed under",""),3,500))</f>
        <v/>
      </c>
      <c r="S640" s="12" t="n"/>
      <c r="T640" s="13" t="n"/>
      <c r="U640" s="14" t="n"/>
      <c r="V640" s="12" t="n"/>
      <c r="W640" s="13" t="n"/>
      <c r="X640" s="14" t="n"/>
      <c r="Y640" s="12" t="n"/>
      <c r="Z640" s="13" t="n"/>
      <c r="AA640" s="14" t="n"/>
      <c r="AB640" s="12" t="n"/>
      <c r="AC640" s="13" t="n"/>
      <c r="AD640" s="14" t="n"/>
      <c r="AE640" s="12" t="n"/>
      <c r="AF640" s="13" t="n"/>
      <c r="AG640" s="14" t="n"/>
      <c r="AH640" s="12" t="n"/>
      <c r="AI640" s="13" t="n"/>
      <c r="AJ640" s="14" t="n"/>
      <c r="AK640" s="12" t="n"/>
      <c r="AL640" s="13" t="n"/>
      <c r="AM640" s="14" t="n"/>
      <c r="AN640" s="12" t="n"/>
      <c r="AO640" s="13" t="n"/>
      <c r="AP640" s="14" t="n"/>
      <c r="AQ640" s="12" t="n"/>
      <c r="AR640" s="13" t="n"/>
      <c r="AS640" s="14" t="n"/>
      <c r="AT640" s="12" t="n"/>
      <c r="AU640" s="13" t="n"/>
      <c r="AV640" s="14" t="n"/>
      <c r="AW640" s="12" t="n"/>
      <c r="AX640" s="13" t="n"/>
      <c r="AY640" s="14" t="n"/>
      <c r="AZ640" s="12" t="n"/>
      <c r="BA640" s="13" t="n"/>
      <c r="BB640" s="14" t="n"/>
      <c r="BC640" s="11">
        <f>IF(O640="","",IF(J640="GST 10%",ROUND(O640*set_GSTRate,2),0))</f>
        <v/>
      </c>
      <c r="BD640" s="11">
        <f>IF(O640="","",O640+BC640)</f>
        <v/>
      </c>
      <c r="BE640" s="15">
        <f>IF(O640="","",COUNTA(S640,V640,Y640,AB640,AE640,AH640,AK640,AN640,AQ640,AT640,AW640,AZ640))</f>
        <v/>
      </c>
      <c r="BF640" s="16">
        <f>IF(COUNT(T640,W640,Z640,AC640,AF640,AI640,AL640,AO640,AR640,AU640,AX640,BA640)=0,"",MAX(T640,W640,Z640,AC640,AF640,AI640,AL640,AO640,AR640,AU640,AX640,BA640))</f>
        <v/>
      </c>
      <c r="BG640" s="10">
        <f>MID(IF(S640="","",", "&amp;S640)&amp;IF(V640="","",", "&amp;V640)&amp;IF(Y640="","",", "&amp;Y640)&amp;IF(AB640="","",", "&amp;AB640)&amp;IF(AE640="","",", "&amp;AE640)&amp;IF(AH640="","",", "&amp;AH640)&amp;IF(AK640="","",", "&amp;AK640)&amp;IF(AN640="","",", "&amp;AN640)&amp;IF(AQ640="","",", "&amp;AQ640)&amp;IF(AT640="","",", "&amp;AT640)&amp;IF(AW640="","",", "&amp;AW640)&amp;IF(AZ640="","",", "&amp;AZ640),3,500)</f>
        <v/>
      </c>
      <c r="BH640" s="12" t="n"/>
      <c r="BI640" s="15">
        <f>IFERROR(MATCH($A640,IF($B640="Onsite",tbl_Onsite[Row ID],IF($B640="Production",tbl_Production[Row ID],tbl_Consulting[Row ID])),0),"")</f>
        <v/>
      </c>
    </row>
    <row r="641">
      <c r="A641" s="10" t="inlineStr">
        <is>
          <t>PRD-0135</t>
        </is>
      </c>
      <c r="B641" s="10" t="inlineStr">
        <is>
          <t>Production</t>
        </is>
      </c>
      <c r="C641" s="10">
        <f>IF($BI641="","",IF($B641="Onsite",INDEX(tbl_Onsite[Job Number],$BI641),IF($B641="Production",INDEX(tbl_Production[Job Number],$BI641),INDEX(tbl_Consulting[Job Number],$BI641)))&amp;"")</f>
        <v/>
      </c>
      <c r="D641" s="10">
        <f>IF($BI641="","",IF($B641="Onsite",INDEX(tbl_Onsite[Client],$BI641),IF($B641="Production",INDEX(tbl_Production[Client],$BI641),INDEX(tbl_Consulting[Client],$BI641)))&amp;"")</f>
        <v/>
      </c>
      <c r="E641" s="10">
        <f>IF($C641="","",IF(COUNTIF(lst_Jobs,$C641)&gt;0,"OK","CHECK"))</f>
        <v/>
      </c>
      <c r="F641" s="10">
        <f>IF($C641="","",IFERROR(INDEX(lst_JobName,MATCH($C641,lst_Jobs,0)),""))</f>
        <v/>
      </c>
      <c r="G641" s="10">
        <f>IF($BI641="","",IF($B641="Onsite",INDEX(tbl_Onsite[Job Description],$BI641),IF($B641="Production",INDEX(tbl_Production[Job Description],$BI641),INDEX(tbl_Consulting[Job Description],$BI641)))&amp;"")</f>
        <v/>
      </c>
      <c r="H641" s="10">
        <f>IF($BI641="","",IF($B641="Onsite",INDEX(tbl_Onsite[Cost Centre],$BI641),IF($B641="Production",INDEX(tbl_Production[Cost Centre],$BI641),INDEX(tbl_Consulting[Cost Centre],$BI641)))&amp;"")</f>
        <v/>
      </c>
      <c r="I641" s="10">
        <f>IF($BI641="","",IF($B641="Onsite",INDEX(tbl_Onsite[Invoice Type],$BI641),IF($B641="Production",INDEX(tbl_Production[Invoice Type],$BI641),INDEX(tbl_Consulting[Invoice Type],$BI641)))&amp;"")</f>
        <v/>
      </c>
      <c r="J641" s="10">
        <f>IF($BI641="","",IF($B641="Onsite",INDEX(tbl_Onsite[Tax Code],$BI641),IF($B641="Production",INDEX(tbl_Production[Tax Code],$BI641),INDEX(tbl_Consulting[Tax Code],$BI641)))&amp;"")</f>
        <v/>
      </c>
      <c r="K641" s="10">
        <f>IF(H641="","",IFERROR(INDEX(lst_CCtoGL,MATCH(H641,lst_CCforGL,0)),""))</f>
        <v/>
      </c>
      <c r="L641" s="10">
        <f>IF($BI641="","",IF($B641="Onsite",INDEX(tbl_Onsite[PO / Reference],$BI641),IF($B641="Production",INDEX(tbl_Production[Current RMS No],$BI641),INDEX(tbl_Consulting[Qwilr Quote],$BI641)))&amp;"")</f>
        <v/>
      </c>
      <c r="M641" s="10">
        <f>IF($BI641="","",IF($B641="Onsite",INDEX(tbl_Onsite[Notes],$BI641),IF($B641="Production",INDEX(tbl_Production[Notes],$BI641),INDEX(tbl_Consulting[Notes],$BI641)))&amp;"")</f>
        <v/>
      </c>
      <c r="N641" s="11">
        <f>IF($BI641="","",IF(IF($B641="Onsite",INDEX(tbl_Onsite[Expected Revenue Ex GST],$BI641),IF($B641="Production",INDEX(tbl_Production[Expected Revenue Ex GST],$BI641),INDEX(tbl_Consulting[Expected Revenue Ex GST],$BI641)))="","",IF($B641="Onsite",INDEX(tbl_Onsite[Expected Revenue Ex GST],$BI641),IF($B641="Production",INDEX(tbl_Production[Expected Revenue Ex GST],$BI641),INDEX(tbl_Consulting[Expected Revenue Ex GST],$BI641)))))</f>
        <v/>
      </c>
      <c r="O641" s="11">
        <f>IF(AND($C641="",NOT(COUNTA($S641:$BB641)&gt;0)),"",SUM(U641,X641,AA641,AD641,AG641,AJ641,AM641,AP641,AS641,AV641,AY641,BB641))</f>
        <v/>
      </c>
      <c r="P641" s="11">
        <f>IF(O641="","",N(N641)-O641)</f>
        <v/>
      </c>
      <c r="Q641" s="10">
        <f>IF(O641="","",IF($C641="","Invoice on empty job row",IF(N641="",IF(ROUND(O641,2)=0,"No dept value","Invoiced - no dept value"),IF(ROUND(O641,2)=0,"Not invoiced - to invoice",IF(ROUND(P641,2)=0,"Agrees",IF(P641&gt;0,"Dept higher - to invoice","Xero higher - check dept"))))))</f>
        <v/>
      </c>
      <c r="R641" s="10">
        <f>IF(AND($C641="",NOT(COUNTA($S641:$BB641)&gt;0),$BI641&lt;&gt;""),"",MID(IF($BI641="","; Row ID not found on the department sheet - a row was deleted","")&amp;IF(AND($C641="",COUNTA($S641:$BB641)&gt;0),"; Invoice entered but the department row has no job number","")&amp;IF(E641="CHECK","; Job number not in the Xero job list","")&amp;IF(AND($C641&lt;&gt;"",COUNTIF($C$7:$C$1506,$C641)&gt;1),"; Job number on more than one row","")&amp;IF(AND($C641&lt;&gt;"",H641=""),"; Dept has not set a cost centre","")&amp;IF(AND($C641&lt;&gt;"",J641=""),"; Dept has not set a tax code","")&amp;IF(AND($C641&lt;&gt;"",N641=""),"; Dept has not entered an expected value","")&amp;IF((IF(OR(COUNTA(S641:U641)=0,AND(COUNTA(S641:U641)=3,ISNUMBER(U641))),0,1)+IF(OR(COUNTA(V641:X641)=0,AND(COUNTA(V641:X641)=3,ISNUMBER(X641))),0,1)+IF(OR(COUNTA(Y641:AA641)=0,AND(COUNTA(Y641:AA641)=3,ISNUMBER(AA641))),0,1)+IF(OR(COUNTA(AB641:AD641)=0,AND(COUNTA(AB641:AD641)=3,ISNUMBER(AD641))),0,1)+IF(OR(COUNTA(AE641:AG641)=0,AND(COUNTA(AE641:AG641)=3,ISNUMBER(AG641))),0,1)+IF(OR(COUNTA(AH641:AJ641)=0,AND(COUNTA(AH641:AJ641)=3,ISNUMBER(AJ641))),0,1)+IF(OR(COUNTA(AK641:AM641)=0,AND(COUNTA(AK641:AM641)=3,ISNUMBER(AM641))),0,1)+IF(OR(COUNTA(AN641:AP641)=0,AND(COUNTA(AN641:AP641)=3,ISNUMBER(AP641))),0,1)+IF(OR(COUNTA(AQ641:AS641)=0,AND(COUNTA(AQ641:AS641)=3,ISNUMBER(AS641))),0,1)+IF(OR(COUNTA(AT641:AV641)=0,AND(COUNTA(AT641:AV641)=3,ISNUMBER(AV641))),0,1)+IF(OR(COUNTA(AW641:AY641)=0,AND(COUNTA(AW641:AY641)=3,ISNUMBER(AY641))),0,1)+IF(OR(COUNTA(AZ641:BB641)=0,AND(COUNTA(AZ641:BB641)=3,ISNUMBER(BB641))),0,1))&gt;0,"; An invoice is incomplete (needs No, Date and a number in Ex GST)","")&amp;IF((IF(T641="",0,IFERROR(--(EOMONTH(T641,0)&lt;&gt;S$5),1))+IF(W641="",0,IFERROR(--(EOMONTH(W641,0)&lt;&gt;V$5),1))+IF(Z641="",0,IFERROR(--(EOMONTH(Z641,0)&lt;&gt;Y$5),1))+IF(AC641="",0,IFERROR(--(EOMONTH(AC641,0)&lt;&gt;AB$5),1))+IF(AF641="",0,IFERROR(--(EOMONTH(AF641,0)&lt;&gt;AE$5),1))+IF(AI641="",0,IFERROR(--(EOMONTH(AI641,0)&lt;&gt;AH$5),1))+IF(AL641="",0,IFERROR(--(EOMONTH(AL641,0)&lt;&gt;AK$5),1))+IF(AO641="",0,IFERROR(--(EOMONTH(AO641,0)&lt;&gt;AN$5),1))+IF(AR641="",0,IFERROR(--(EOMONTH(AR641,0)&lt;&gt;AQ$5),1))+IF(AU641="",0,IFERROR(--(EOMONTH(AU641,0)&lt;&gt;AT$5),1))+IF(AX641="",0,IFERROR(--(EOMONTH(AX641,0)&lt;&gt;AW$5),1))+IF(BA641="",0,IFERROR(--(EOMONTH(BA641,0)&lt;&gt;AZ$5),1)))&gt;0,"; An invoice date is not in the month it is typed under",""),3,500))</f>
        <v/>
      </c>
      <c r="S641" s="12" t="n"/>
      <c r="T641" s="13" t="n"/>
      <c r="U641" s="14" t="n"/>
      <c r="V641" s="12" t="n"/>
      <c r="W641" s="13" t="n"/>
      <c r="X641" s="14" t="n"/>
      <c r="Y641" s="12" t="n"/>
      <c r="Z641" s="13" t="n"/>
      <c r="AA641" s="14" t="n"/>
      <c r="AB641" s="12" t="n"/>
      <c r="AC641" s="13" t="n"/>
      <c r="AD641" s="14" t="n"/>
      <c r="AE641" s="12" t="n"/>
      <c r="AF641" s="13" t="n"/>
      <c r="AG641" s="14" t="n"/>
      <c r="AH641" s="12" t="n"/>
      <c r="AI641" s="13" t="n"/>
      <c r="AJ641" s="14" t="n"/>
      <c r="AK641" s="12" t="n"/>
      <c r="AL641" s="13" t="n"/>
      <c r="AM641" s="14" t="n"/>
      <c r="AN641" s="12" t="n"/>
      <c r="AO641" s="13" t="n"/>
      <c r="AP641" s="14" t="n"/>
      <c r="AQ641" s="12" t="n"/>
      <c r="AR641" s="13" t="n"/>
      <c r="AS641" s="14" t="n"/>
      <c r="AT641" s="12" t="n"/>
      <c r="AU641" s="13" t="n"/>
      <c r="AV641" s="14" t="n"/>
      <c r="AW641" s="12" t="n"/>
      <c r="AX641" s="13" t="n"/>
      <c r="AY641" s="14" t="n"/>
      <c r="AZ641" s="12" t="n"/>
      <c r="BA641" s="13" t="n"/>
      <c r="BB641" s="14" t="n"/>
      <c r="BC641" s="11">
        <f>IF(O641="","",IF(J641="GST 10%",ROUND(O641*set_GSTRate,2),0))</f>
        <v/>
      </c>
      <c r="BD641" s="11">
        <f>IF(O641="","",O641+BC641)</f>
        <v/>
      </c>
      <c r="BE641" s="15">
        <f>IF(O641="","",COUNTA(S641,V641,Y641,AB641,AE641,AH641,AK641,AN641,AQ641,AT641,AW641,AZ641))</f>
        <v/>
      </c>
      <c r="BF641" s="16">
        <f>IF(COUNT(T641,W641,Z641,AC641,AF641,AI641,AL641,AO641,AR641,AU641,AX641,BA641)=0,"",MAX(T641,W641,Z641,AC641,AF641,AI641,AL641,AO641,AR641,AU641,AX641,BA641))</f>
        <v/>
      </c>
      <c r="BG641" s="10">
        <f>MID(IF(S641="","",", "&amp;S641)&amp;IF(V641="","",", "&amp;V641)&amp;IF(Y641="","",", "&amp;Y641)&amp;IF(AB641="","",", "&amp;AB641)&amp;IF(AE641="","",", "&amp;AE641)&amp;IF(AH641="","",", "&amp;AH641)&amp;IF(AK641="","",", "&amp;AK641)&amp;IF(AN641="","",", "&amp;AN641)&amp;IF(AQ641="","",", "&amp;AQ641)&amp;IF(AT641="","",", "&amp;AT641)&amp;IF(AW641="","",", "&amp;AW641)&amp;IF(AZ641="","",", "&amp;AZ641),3,500)</f>
        <v/>
      </c>
      <c r="BH641" s="12" t="n"/>
      <c r="BI641" s="15">
        <f>IFERROR(MATCH($A641,IF($B641="Onsite",tbl_Onsite[Row ID],IF($B641="Production",tbl_Production[Row ID],tbl_Consulting[Row ID])),0),"")</f>
        <v/>
      </c>
    </row>
    <row r="642">
      <c r="A642" s="10" t="inlineStr">
        <is>
          <t>PRD-0136</t>
        </is>
      </c>
      <c r="B642" s="10" t="inlineStr">
        <is>
          <t>Production</t>
        </is>
      </c>
      <c r="C642" s="10">
        <f>IF($BI642="","",IF($B642="Onsite",INDEX(tbl_Onsite[Job Number],$BI642),IF($B642="Production",INDEX(tbl_Production[Job Number],$BI642),INDEX(tbl_Consulting[Job Number],$BI642)))&amp;"")</f>
        <v/>
      </c>
      <c r="D642" s="10">
        <f>IF($BI642="","",IF($B642="Onsite",INDEX(tbl_Onsite[Client],$BI642),IF($B642="Production",INDEX(tbl_Production[Client],$BI642),INDEX(tbl_Consulting[Client],$BI642)))&amp;"")</f>
        <v/>
      </c>
      <c r="E642" s="10">
        <f>IF($C642="","",IF(COUNTIF(lst_Jobs,$C642)&gt;0,"OK","CHECK"))</f>
        <v/>
      </c>
      <c r="F642" s="10">
        <f>IF($C642="","",IFERROR(INDEX(lst_JobName,MATCH($C642,lst_Jobs,0)),""))</f>
        <v/>
      </c>
      <c r="G642" s="10">
        <f>IF($BI642="","",IF($B642="Onsite",INDEX(tbl_Onsite[Job Description],$BI642),IF($B642="Production",INDEX(tbl_Production[Job Description],$BI642),INDEX(tbl_Consulting[Job Description],$BI642)))&amp;"")</f>
        <v/>
      </c>
      <c r="H642" s="10">
        <f>IF($BI642="","",IF($B642="Onsite",INDEX(tbl_Onsite[Cost Centre],$BI642),IF($B642="Production",INDEX(tbl_Production[Cost Centre],$BI642),INDEX(tbl_Consulting[Cost Centre],$BI642)))&amp;"")</f>
        <v/>
      </c>
      <c r="I642" s="10">
        <f>IF($BI642="","",IF($B642="Onsite",INDEX(tbl_Onsite[Invoice Type],$BI642),IF($B642="Production",INDEX(tbl_Production[Invoice Type],$BI642),INDEX(tbl_Consulting[Invoice Type],$BI642)))&amp;"")</f>
        <v/>
      </c>
      <c r="J642" s="10">
        <f>IF($BI642="","",IF($B642="Onsite",INDEX(tbl_Onsite[Tax Code],$BI642),IF($B642="Production",INDEX(tbl_Production[Tax Code],$BI642),INDEX(tbl_Consulting[Tax Code],$BI642)))&amp;"")</f>
        <v/>
      </c>
      <c r="K642" s="10">
        <f>IF(H642="","",IFERROR(INDEX(lst_CCtoGL,MATCH(H642,lst_CCforGL,0)),""))</f>
        <v/>
      </c>
      <c r="L642" s="10">
        <f>IF($BI642="","",IF($B642="Onsite",INDEX(tbl_Onsite[PO / Reference],$BI642),IF($B642="Production",INDEX(tbl_Production[Current RMS No],$BI642),INDEX(tbl_Consulting[Qwilr Quote],$BI642)))&amp;"")</f>
        <v/>
      </c>
      <c r="M642" s="10">
        <f>IF($BI642="","",IF($B642="Onsite",INDEX(tbl_Onsite[Notes],$BI642),IF($B642="Production",INDEX(tbl_Production[Notes],$BI642),INDEX(tbl_Consulting[Notes],$BI642)))&amp;"")</f>
        <v/>
      </c>
      <c r="N642" s="11">
        <f>IF($BI642="","",IF(IF($B642="Onsite",INDEX(tbl_Onsite[Expected Revenue Ex GST],$BI642),IF($B642="Production",INDEX(tbl_Production[Expected Revenue Ex GST],$BI642),INDEX(tbl_Consulting[Expected Revenue Ex GST],$BI642)))="","",IF($B642="Onsite",INDEX(tbl_Onsite[Expected Revenue Ex GST],$BI642),IF($B642="Production",INDEX(tbl_Production[Expected Revenue Ex GST],$BI642),INDEX(tbl_Consulting[Expected Revenue Ex GST],$BI642)))))</f>
        <v/>
      </c>
      <c r="O642" s="11">
        <f>IF(AND($C642="",NOT(COUNTA($S642:$BB642)&gt;0)),"",SUM(U642,X642,AA642,AD642,AG642,AJ642,AM642,AP642,AS642,AV642,AY642,BB642))</f>
        <v/>
      </c>
      <c r="P642" s="11">
        <f>IF(O642="","",N(N642)-O642)</f>
        <v/>
      </c>
      <c r="Q642" s="10">
        <f>IF(O642="","",IF($C642="","Invoice on empty job row",IF(N642="",IF(ROUND(O642,2)=0,"No dept value","Invoiced - no dept value"),IF(ROUND(O642,2)=0,"Not invoiced - to invoice",IF(ROUND(P642,2)=0,"Agrees",IF(P642&gt;0,"Dept higher - to invoice","Xero higher - check dept"))))))</f>
        <v/>
      </c>
      <c r="R642" s="10">
        <f>IF(AND($C642="",NOT(COUNTA($S642:$BB642)&gt;0),$BI642&lt;&gt;""),"",MID(IF($BI642="","; Row ID not found on the department sheet - a row was deleted","")&amp;IF(AND($C642="",COUNTA($S642:$BB642)&gt;0),"; Invoice entered but the department row has no job number","")&amp;IF(E642="CHECK","; Job number not in the Xero job list","")&amp;IF(AND($C642&lt;&gt;"",COUNTIF($C$7:$C$1506,$C642)&gt;1),"; Job number on more than one row","")&amp;IF(AND($C642&lt;&gt;"",H642=""),"; Dept has not set a cost centre","")&amp;IF(AND($C642&lt;&gt;"",J642=""),"; Dept has not set a tax code","")&amp;IF(AND($C642&lt;&gt;"",N642=""),"; Dept has not entered an expected value","")&amp;IF((IF(OR(COUNTA(S642:U642)=0,AND(COUNTA(S642:U642)=3,ISNUMBER(U642))),0,1)+IF(OR(COUNTA(V642:X642)=0,AND(COUNTA(V642:X642)=3,ISNUMBER(X642))),0,1)+IF(OR(COUNTA(Y642:AA642)=0,AND(COUNTA(Y642:AA642)=3,ISNUMBER(AA642))),0,1)+IF(OR(COUNTA(AB642:AD642)=0,AND(COUNTA(AB642:AD642)=3,ISNUMBER(AD642))),0,1)+IF(OR(COUNTA(AE642:AG642)=0,AND(COUNTA(AE642:AG642)=3,ISNUMBER(AG642))),0,1)+IF(OR(COUNTA(AH642:AJ642)=0,AND(COUNTA(AH642:AJ642)=3,ISNUMBER(AJ642))),0,1)+IF(OR(COUNTA(AK642:AM642)=0,AND(COUNTA(AK642:AM642)=3,ISNUMBER(AM642))),0,1)+IF(OR(COUNTA(AN642:AP642)=0,AND(COUNTA(AN642:AP642)=3,ISNUMBER(AP642))),0,1)+IF(OR(COUNTA(AQ642:AS642)=0,AND(COUNTA(AQ642:AS642)=3,ISNUMBER(AS642))),0,1)+IF(OR(COUNTA(AT642:AV642)=0,AND(COUNTA(AT642:AV642)=3,ISNUMBER(AV642))),0,1)+IF(OR(COUNTA(AW642:AY642)=0,AND(COUNTA(AW642:AY642)=3,ISNUMBER(AY642))),0,1)+IF(OR(COUNTA(AZ642:BB642)=0,AND(COUNTA(AZ642:BB642)=3,ISNUMBER(BB642))),0,1))&gt;0,"; An invoice is incomplete (needs No, Date and a number in Ex GST)","")&amp;IF((IF(T642="",0,IFERROR(--(EOMONTH(T642,0)&lt;&gt;S$5),1))+IF(W642="",0,IFERROR(--(EOMONTH(W642,0)&lt;&gt;V$5),1))+IF(Z642="",0,IFERROR(--(EOMONTH(Z642,0)&lt;&gt;Y$5),1))+IF(AC642="",0,IFERROR(--(EOMONTH(AC642,0)&lt;&gt;AB$5),1))+IF(AF642="",0,IFERROR(--(EOMONTH(AF642,0)&lt;&gt;AE$5),1))+IF(AI642="",0,IFERROR(--(EOMONTH(AI642,0)&lt;&gt;AH$5),1))+IF(AL642="",0,IFERROR(--(EOMONTH(AL642,0)&lt;&gt;AK$5),1))+IF(AO642="",0,IFERROR(--(EOMONTH(AO642,0)&lt;&gt;AN$5),1))+IF(AR642="",0,IFERROR(--(EOMONTH(AR642,0)&lt;&gt;AQ$5),1))+IF(AU642="",0,IFERROR(--(EOMONTH(AU642,0)&lt;&gt;AT$5),1))+IF(AX642="",0,IFERROR(--(EOMONTH(AX642,0)&lt;&gt;AW$5),1))+IF(BA642="",0,IFERROR(--(EOMONTH(BA642,0)&lt;&gt;AZ$5),1)))&gt;0,"; An invoice date is not in the month it is typed under",""),3,500))</f>
        <v/>
      </c>
      <c r="S642" s="12" t="n"/>
      <c r="T642" s="13" t="n"/>
      <c r="U642" s="14" t="n"/>
      <c r="V642" s="12" t="n"/>
      <c r="W642" s="13" t="n"/>
      <c r="X642" s="14" t="n"/>
      <c r="Y642" s="12" t="n"/>
      <c r="Z642" s="13" t="n"/>
      <c r="AA642" s="14" t="n"/>
      <c r="AB642" s="12" t="n"/>
      <c r="AC642" s="13" t="n"/>
      <c r="AD642" s="14" t="n"/>
      <c r="AE642" s="12" t="n"/>
      <c r="AF642" s="13" t="n"/>
      <c r="AG642" s="14" t="n"/>
      <c r="AH642" s="12" t="n"/>
      <c r="AI642" s="13" t="n"/>
      <c r="AJ642" s="14" t="n"/>
      <c r="AK642" s="12" t="n"/>
      <c r="AL642" s="13" t="n"/>
      <c r="AM642" s="14" t="n"/>
      <c r="AN642" s="12" t="n"/>
      <c r="AO642" s="13" t="n"/>
      <c r="AP642" s="14" t="n"/>
      <c r="AQ642" s="12" t="n"/>
      <c r="AR642" s="13" t="n"/>
      <c r="AS642" s="14" t="n"/>
      <c r="AT642" s="12" t="n"/>
      <c r="AU642" s="13" t="n"/>
      <c r="AV642" s="14" t="n"/>
      <c r="AW642" s="12" t="n"/>
      <c r="AX642" s="13" t="n"/>
      <c r="AY642" s="14" t="n"/>
      <c r="AZ642" s="12" t="n"/>
      <c r="BA642" s="13" t="n"/>
      <c r="BB642" s="14" t="n"/>
      <c r="BC642" s="11">
        <f>IF(O642="","",IF(J642="GST 10%",ROUND(O642*set_GSTRate,2),0))</f>
        <v/>
      </c>
      <c r="BD642" s="11">
        <f>IF(O642="","",O642+BC642)</f>
        <v/>
      </c>
      <c r="BE642" s="15">
        <f>IF(O642="","",COUNTA(S642,V642,Y642,AB642,AE642,AH642,AK642,AN642,AQ642,AT642,AW642,AZ642))</f>
        <v/>
      </c>
      <c r="BF642" s="16">
        <f>IF(COUNT(T642,W642,Z642,AC642,AF642,AI642,AL642,AO642,AR642,AU642,AX642,BA642)=0,"",MAX(T642,W642,Z642,AC642,AF642,AI642,AL642,AO642,AR642,AU642,AX642,BA642))</f>
        <v/>
      </c>
      <c r="BG642" s="10">
        <f>MID(IF(S642="","",", "&amp;S642)&amp;IF(V642="","",", "&amp;V642)&amp;IF(Y642="","",", "&amp;Y642)&amp;IF(AB642="","",", "&amp;AB642)&amp;IF(AE642="","",", "&amp;AE642)&amp;IF(AH642="","",", "&amp;AH642)&amp;IF(AK642="","",", "&amp;AK642)&amp;IF(AN642="","",", "&amp;AN642)&amp;IF(AQ642="","",", "&amp;AQ642)&amp;IF(AT642="","",", "&amp;AT642)&amp;IF(AW642="","",", "&amp;AW642)&amp;IF(AZ642="","",", "&amp;AZ642),3,500)</f>
        <v/>
      </c>
      <c r="BH642" s="12" t="n"/>
      <c r="BI642" s="15">
        <f>IFERROR(MATCH($A642,IF($B642="Onsite",tbl_Onsite[Row ID],IF($B642="Production",tbl_Production[Row ID],tbl_Consulting[Row ID])),0),"")</f>
        <v/>
      </c>
    </row>
    <row r="643">
      <c r="A643" s="10" t="inlineStr">
        <is>
          <t>PRD-0137</t>
        </is>
      </c>
      <c r="B643" s="10" t="inlineStr">
        <is>
          <t>Production</t>
        </is>
      </c>
      <c r="C643" s="10">
        <f>IF($BI643="","",IF($B643="Onsite",INDEX(tbl_Onsite[Job Number],$BI643),IF($B643="Production",INDEX(tbl_Production[Job Number],$BI643),INDEX(tbl_Consulting[Job Number],$BI643)))&amp;"")</f>
        <v/>
      </c>
      <c r="D643" s="10">
        <f>IF($BI643="","",IF($B643="Onsite",INDEX(tbl_Onsite[Client],$BI643),IF($B643="Production",INDEX(tbl_Production[Client],$BI643),INDEX(tbl_Consulting[Client],$BI643)))&amp;"")</f>
        <v/>
      </c>
      <c r="E643" s="10">
        <f>IF($C643="","",IF(COUNTIF(lst_Jobs,$C643)&gt;0,"OK","CHECK"))</f>
        <v/>
      </c>
      <c r="F643" s="10">
        <f>IF($C643="","",IFERROR(INDEX(lst_JobName,MATCH($C643,lst_Jobs,0)),""))</f>
        <v/>
      </c>
      <c r="G643" s="10">
        <f>IF($BI643="","",IF($B643="Onsite",INDEX(tbl_Onsite[Job Description],$BI643),IF($B643="Production",INDEX(tbl_Production[Job Description],$BI643),INDEX(tbl_Consulting[Job Description],$BI643)))&amp;"")</f>
        <v/>
      </c>
      <c r="H643" s="10">
        <f>IF($BI643="","",IF($B643="Onsite",INDEX(tbl_Onsite[Cost Centre],$BI643),IF($B643="Production",INDEX(tbl_Production[Cost Centre],$BI643),INDEX(tbl_Consulting[Cost Centre],$BI643)))&amp;"")</f>
        <v/>
      </c>
      <c r="I643" s="10">
        <f>IF($BI643="","",IF($B643="Onsite",INDEX(tbl_Onsite[Invoice Type],$BI643),IF($B643="Production",INDEX(tbl_Production[Invoice Type],$BI643),INDEX(tbl_Consulting[Invoice Type],$BI643)))&amp;"")</f>
        <v/>
      </c>
      <c r="J643" s="10">
        <f>IF($BI643="","",IF($B643="Onsite",INDEX(tbl_Onsite[Tax Code],$BI643),IF($B643="Production",INDEX(tbl_Production[Tax Code],$BI643),INDEX(tbl_Consulting[Tax Code],$BI643)))&amp;"")</f>
        <v/>
      </c>
      <c r="K643" s="10">
        <f>IF(H643="","",IFERROR(INDEX(lst_CCtoGL,MATCH(H643,lst_CCforGL,0)),""))</f>
        <v/>
      </c>
      <c r="L643" s="10">
        <f>IF($BI643="","",IF($B643="Onsite",INDEX(tbl_Onsite[PO / Reference],$BI643),IF($B643="Production",INDEX(tbl_Production[Current RMS No],$BI643),INDEX(tbl_Consulting[Qwilr Quote],$BI643)))&amp;"")</f>
        <v/>
      </c>
      <c r="M643" s="10">
        <f>IF($BI643="","",IF($B643="Onsite",INDEX(tbl_Onsite[Notes],$BI643),IF($B643="Production",INDEX(tbl_Production[Notes],$BI643),INDEX(tbl_Consulting[Notes],$BI643)))&amp;"")</f>
        <v/>
      </c>
      <c r="N643" s="11">
        <f>IF($BI643="","",IF(IF($B643="Onsite",INDEX(tbl_Onsite[Expected Revenue Ex GST],$BI643),IF($B643="Production",INDEX(tbl_Production[Expected Revenue Ex GST],$BI643),INDEX(tbl_Consulting[Expected Revenue Ex GST],$BI643)))="","",IF($B643="Onsite",INDEX(tbl_Onsite[Expected Revenue Ex GST],$BI643),IF($B643="Production",INDEX(tbl_Production[Expected Revenue Ex GST],$BI643),INDEX(tbl_Consulting[Expected Revenue Ex GST],$BI643)))))</f>
        <v/>
      </c>
      <c r="O643" s="11">
        <f>IF(AND($C643="",NOT(COUNTA($S643:$BB643)&gt;0)),"",SUM(U643,X643,AA643,AD643,AG643,AJ643,AM643,AP643,AS643,AV643,AY643,BB643))</f>
        <v/>
      </c>
      <c r="P643" s="11">
        <f>IF(O643="","",N(N643)-O643)</f>
        <v/>
      </c>
      <c r="Q643" s="10">
        <f>IF(O643="","",IF($C643="","Invoice on empty job row",IF(N643="",IF(ROUND(O643,2)=0,"No dept value","Invoiced - no dept value"),IF(ROUND(O643,2)=0,"Not invoiced - to invoice",IF(ROUND(P643,2)=0,"Agrees",IF(P643&gt;0,"Dept higher - to invoice","Xero higher - check dept"))))))</f>
        <v/>
      </c>
      <c r="R643" s="10">
        <f>IF(AND($C643="",NOT(COUNTA($S643:$BB643)&gt;0),$BI643&lt;&gt;""),"",MID(IF($BI643="","; Row ID not found on the department sheet - a row was deleted","")&amp;IF(AND($C643="",COUNTA($S643:$BB643)&gt;0),"; Invoice entered but the department row has no job number","")&amp;IF(E643="CHECK","; Job number not in the Xero job list","")&amp;IF(AND($C643&lt;&gt;"",COUNTIF($C$7:$C$1506,$C643)&gt;1),"; Job number on more than one row","")&amp;IF(AND($C643&lt;&gt;"",H643=""),"; Dept has not set a cost centre","")&amp;IF(AND($C643&lt;&gt;"",J643=""),"; Dept has not set a tax code","")&amp;IF(AND($C643&lt;&gt;"",N643=""),"; Dept has not entered an expected value","")&amp;IF((IF(OR(COUNTA(S643:U643)=0,AND(COUNTA(S643:U643)=3,ISNUMBER(U643))),0,1)+IF(OR(COUNTA(V643:X643)=0,AND(COUNTA(V643:X643)=3,ISNUMBER(X643))),0,1)+IF(OR(COUNTA(Y643:AA643)=0,AND(COUNTA(Y643:AA643)=3,ISNUMBER(AA643))),0,1)+IF(OR(COUNTA(AB643:AD643)=0,AND(COUNTA(AB643:AD643)=3,ISNUMBER(AD643))),0,1)+IF(OR(COUNTA(AE643:AG643)=0,AND(COUNTA(AE643:AG643)=3,ISNUMBER(AG643))),0,1)+IF(OR(COUNTA(AH643:AJ643)=0,AND(COUNTA(AH643:AJ643)=3,ISNUMBER(AJ643))),0,1)+IF(OR(COUNTA(AK643:AM643)=0,AND(COUNTA(AK643:AM643)=3,ISNUMBER(AM643))),0,1)+IF(OR(COUNTA(AN643:AP643)=0,AND(COUNTA(AN643:AP643)=3,ISNUMBER(AP643))),0,1)+IF(OR(COUNTA(AQ643:AS643)=0,AND(COUNTA(AQ643:AS643)=3,ISNUMBER(AS643))),0,1)+IF(OR(COUNTA(AT643:AV643)=0,AND(COUNTA(AT643:AV643)=3,ISNUMBER(AV643))),0,1)+IF(OR(COUNTA(AW643:AY643)=0,AND(COUNTA(AW643:AY643)=3,ISNUMBER(AY643))),0,1)+IF(OR(COUNTA(AZ643:BB643)=0,AND(COUNTA(AZ643:BB643)=3,ISNUMBER(BB643))),0,1))&gt;0,"; An invoice is incomplete (needs No, Date and a number in Ex GST)","")&amp;IF((IF(T643="",0,IFERROR(--(EOMONTH(T643,0)&lt;&gt;S$5),1))+IF(W643="",0,IFERROR(--(EOMONTH(W643,0)&lt;&gt;V$5),1))+IF(Z643="",0,IFERROR(--(EOMONTH(Z643,0)&lt;&gt;Y$5),1))+IF(AC643="",0,IFERROR(--(EOMONTH(AC643,0)&lt;&gt;AB$5),1))+IF(AF643="",0,IFERROR(--(EOMONTH(AF643,0)&lt;&gt;AE$5),1))+IF(AI643="",0,IFERROR(--(EOMONTH(AI643,0)&lt;&gt;AH$5),1))+IF(AL643="",0,IFERROR(--(EOMONTH(AL643,0)&lt;&gt;AK$5),1))+IF(AO643="",0,IFERROR(--(EOMONTH(AO643,0)&lt;&gt;AN$5),1))+IF(AR643="",0,IFERROR(--(EOMONTH(AR643,0)&lt;&gt;AQ$5),1))+IF(AU643="",0,IFERROR(--(EOMONTH(AU643,0)&lt;&gt;AT$5),1))+IF(AX643="",0,IFERROR(--(EOMONTH(AX643,0)&lt;&gt;AW$5),1))+IF(BA643="",0,IFERROR(--(EOMONTH(BA643,0)&lt;&gt;AZ$5),1)))&gt;0,"; An invoice date is not in the month it is typed under",""),3,500))</f>
        <v/>
      </c>
      <c r="S643" s="12" t="n"/>
      <c r="T643" s="13" t="n"/>
      <c r="U643" s="14" t="n"/>
      <c r="V643" s="12" t="n"/>
      <c r="W643" s="13" t="n"/>
      <c r="X643" s="14" t="n"/>
      <c r="Y643" s="12" t="n"/>
      <c r="Z643" s="13" t="n"/>
      <c r="AA643" s="14" t="n"/>
      <c r="AB643" s="12" t="n"/>
      <c r="AC643" s="13" t="n"/>
      <c r="AD643" s="14" t="n"/>
      <c r="AE643" s="12" t="n"/>
      <c r="AF643" s="13" t="n"/>
      <c r="AG643" s="14" t="n"/>
      <c r="AH643" s="12" t="n"/>
      <c r="AI643" s="13" t="n"/>
      <c r="AJ643" s="14" t="n"/>
      <c r="AK643" s="12" t="n"/>
      <c r="AL643" s="13" t="n"/>
      <c r="AM643" s="14" t="n"/>
      <c r="AN643" s="12" t="n"/>
      <c r="AO643" s="13" t="n"/>
      <c r="AP643" s="14" t="n"/>
      <c r="AQ643" s="12" t="n"/>
      <c r="AR643" s="13" t="n"/>
      <c r="AS643" s="14" t="n"/>
      <c r="AT643" s="12" t="n"/>
      <c r="AU643" s="13" t="n"/>
      <c r="AV643" s="14" t="n"/>
      <c r="AW643" s="12" t="n"/>
      <c r="AX643" s="13" t="n"/>
      <c r="AY643" s="14" t="n"/>
      <c r="AZ643" s="12" t="n"/>
      <c r="BA643" s="13" t="n"/>
      <c r="BB643" s="14" t="n"/>
      <c r="BC643" s="11">
        <f>IF(O643="","",IF(J643="GST 10%",ROUND(O643*set_GSTRate,2),0))</f>
        <v/>
      </c>
      <c r="BD643" s="11">
        <f>IF(O643="","",O643+BC643)</f>
        <v/>
      </c>
      <c r="BE643" s="15">
        <f>IF(O643="","",COUNTA(S643,V643,Y643,AB643,AE643,AH643,AK643,AN643,AQ643,AT643,AW643,AZ643))</f>
        <v/>
      </c>
      <c r="BF643" s="16">
        <f>IF(COUNT(T643,W643,Z643,AC643,AF643,AI643,AL643,AO643,AR643,AU643,AX643,BA643)=0,"",MAX(T643,W643,Z643,AC643,AF643,AI643,AL643,AO643,AR643,AU643,AX643,BA643))</f>
        <v/>
      </c>
      <c r="BG643" s="10">
        <f>MID(IF(S643="","",", "&amp;S643)&amp;IF(V643="","",", "&amp;V643)&amp;IF(Y643="","",", "&amp;Y643)&amp;IF(AB643="","",", "&amp;AB643)&amp;IF(AE643="","",", "&amp;AE643)&amp;IF(AH643="","",", "&amp;AH643)&amp;IF(AK643="","",", "&amp;AK643)&amp;IF(AN643="","",", "&amp;AN643)&amp;IF(AQ643="","",", "&amp;AQ643)&amp;IF(AT643="","",", "&amp;AT643)&amp;IF(AW643="","",", "&amp;AW643)&amp;IF(AZ643="","",", "&amp;AZ643),3,500)</f>
        <v/>
      </c>
      <c r="BH643" s="12" t="n"/>
      <c r="BI643" s="15">
        <f>IFERROR(MATCH($A643,IF($B643="Onsite",tbl_Onsite[Row ID],IF($B643="Production",tbl_Production[Row ID],tbl_Consulting[Row ID])),0),"")</f>
        <v/>
      </c>
    </row>
    <row r="644">
      <c r="A644" s="10" t="inlineStr">
        <is>
          <t>PRD-0138</t>
        </is>
      </c>
      <c r="B644" s="10" t="inlineStr">
        <is>
          <t>Production</t>
        </is>
      </c>
      <c r="C644" s="10">
        <f>IF($BI644="","",IF($B644="Onsite",INDEX(tbl_Onsite[Job Number],$BI644),IF($B644="Production",INDEX(tbl_Production[Job Number],$BI644),INDEX(tbl_Consulting[Job Number],$BI644)))&amp;"")</f>
        <v/>
      </c>
      <c r="D644" s="10">
        <f>IF($BI644="","",IF($B644="Onsite",INDEX(tbl_Onsite[Client],$BI644),IF($B644="Production",INDEX(tbl_Production[Client],$BI644),INDEX(tbl_Consulting[Client],$BI644)))&amp;"")</f>
        <v/>
      </c>
      <c r="E644" s="10">
        <f>IF($C644="","",IF(COUNTIF(lst_Jobs,$C644)&gt;0,"OK","CHECK"))</f>
        <v/>
      </c>
      <c r="F644" s="10">
        <f>IF($C644="","",IFERROR(INDEX(lst_JobName,MATCH($C644,lst_Jobs,0)),""))</f>
        <v/>
      </c>
      <c r="G644" s="10">
        <f>IF($BI644="","",IF($B644="Onsite",INDEX(tbl_Onsite[Job Description],$BI644),IF($B644="Production",INDEX(tbl_Production[Job Description],$BI644),INDEX(tbl_Consulting[Job Description],$BI644)))&amp;"")</f>
        <v/>
      </c>
      <c r="H644" s="10">
        <f>IF($BI644="","",IF($B644="Onsite",INDEX(tbl_Onsite[Cost Centre],$BI644),IF($B644="Production",INDEX(tbl_Production[Cost Centre],$BI644),INDEX(tbl_Consulting[Cost Centre],$BI644)))&amp;"")</f>
        <v/>
      </c>
      <c r="I644" s="10">
        <f>IF($BI644="","",IF($B644="Onsite",INDEX(tbl_Onsite[Invoice Type],$BI644),IF($B644="Production",INDEX(tbl_Production[Invoice Type],$BI644),INDEX(tbl_Consulting[Invoice Type],$BI644)))&amp;"")</f>
        <v/>
      </c>
      <c r="J644" s="10">
        <f>IF($BI644="","",IF($B644="Onsite",INDEX(tbl_Onsite[Tax Code],$BI644),IF($B644="Production",INDEX(tbl_Production[Tax Code],$BI644),INDEX(tbl_Consulting[Tax Code],$BI644)))&amp;"")</f>
        <v/>
      </c>
      <c r="K644" s="10">
        <f>IF(H644="","",IFERROR(INDEX(lst_CCtoGL,MATCH(H644,lst_CCforGL,0)),""))</f>
        <v/>
      </c>
      <c r="L644" s="10">
        <f>IF($BI644="","",IF($B644="Onsite",INDEX(tbl_Onsite[PO / Reference],$BI644),IF($B644="Production",INDEX(tbl_Production[Current RMS No],$BI644),INDEX(tbl_Consulting[Qwilr Quote],$BI644)))&amp;"")</f>
        <v/>
      </c>
      <c r="M644" s="10">
        <f>IF($BI644="","",IF($B644="Onsite",INDEX(tbl_Onsite[Notes],$BI644),IF($B644="Production",INDEX(tbl_Production[Notes],$BI644),INDEX(tbl_Consulting[Notes],$BI644)))&amp;"")</f>
        <v/>
      </c>
      <c r="N644" s="11">
        <f>IF($BI644="","",IF(IF($B644="Onsite",INDEX(tbl_Onsite[Expected Revenue Ex GST],$BI644),IF($B644="Production",INDEX(tbl_Production[Expected Revenue Ex GST],$BI644),INDEX(tbl_Consulting[Expected Revenue Ex GST],$BI644)))="","",IF($B644="Onsite",INDEX(tbl_Onsite[Expected Revenue Ex GST],$BI644),IF($B644="Production",INDEX(tbl_Production[Expected Revenue Ex GST],$BI644),INDEX(tbl_Consulting[Expected Revenue Ex GST],$BI644)))))</f>
        <v/>
      </c>
      <c r="O644" s="11">
        <f>IF(AND($C644="",NOT(COUNTA($S644:$BB644)&gt;0)),"",SUM(U644,X644,AA644,AD644,AG644,AJ644,AM644,AP644,AS644,AV644,AY644,BB644))</f>
        <v/>
      </c>
      <c r="P644" s="11">
        <f>IF(O644="","",N(N644)-O644)</f>
        <v/>
      </c>
      <c r="Q644" s="10">
        <f>IF(O644="","",IF($C644="","Invoice on empty job row",IF(N644="",IF(ROUND(O644,2)=0,"No dept value","Invoiced - no dept value"),IF(ROUND(O644,2)=0,"Not invoiced - to invoice",IF(ROUND(P644,2)=0,"Agrees",IF(P644&gt;0,"Dept higher - to invoice","Xero higher - check dept"))))))</f>
        <v/>
      </c>
      <c r="R644" s="10">
        <f>IF(AND($C644="",NOT(COUNTA($S644:$BB644)&gt;0),$BI644&lt;&gt;""),"",MID(IF($BI644="","; Row ID not found on the department sheet - a row was deleted","")&amp;IF(AND($C644="",COUNTA($S644:$BB644)&gt;0),"; Invoice entered but the department row has no job number","")&amp;IF(E644="CHECK","; Job number not in the Xero job list","")&amp;IF(AND($C644&lt;&gt;"",COUNTIF($C$7:$C$1506,$C644)&gt;1),"; Job number on more than one row","")&amp;IF(AND($C644&lt;&gt;"",H644=""),"; Dept has not set a cost centre","")&amp;IF(AND($C644&lt;&gt;"",J644=""),"; Dept has not set a tax code","")&amp;IF(AND($C644&lt;&gt;"",N644=""),"; Dept has not entered an expected value","")&amp;IF((IF(OR(COUNTA(S644:U644)=0,AND(COUNTA(S644:U644)=3,ISNUMBER(U644))),0,1)+IF(OR(COUNTA(V644:X644)=0,AND(COUNTA(V644:X644)=3,ISNUMBER(X644))),0,1)+IF(OR(COUNTA(Y644:AA644)=0,AND(COUNTA(Y644:AA644)=3,ISNUMBER(AA644))),0,1)+IF(OR(COUNTA(AB644:AD644)=0,AND(COUNTA(AB644:AD644)=3,ISNUMBER(AD644))),0,1)+IF(OR(COUNTA(AE644:AG644)=0,AND(COUNTA(AE644:AG644)=3,ISNUMBER(AG644))),0,1)+IF(OR(COUNTA(AH644:AJ644)=0,AND(COUNTA(AH644:AJ644)=3,ISNUMBER(AJ644))),0,1)+IF(OR(COUNTA(AK644:AM644)=0,AND(COUNTA(AK644:AM644)=3,ISNUMBER(AM644))),0,1)+IF(OR(COUNTA(AN644:AP644)=0,AND(COUNTA(AN644:AP644)=3,ISNUMBER(AP644))),0,1)+IF(OR(COUNTA(AQ644:AS644)=0,AND(COUNTA(AQ644:AS644)=3,ISNUMBER(AS644))),0,1)+IF(OR(COUNTA(AT644:AV644)=0,AND(COUNTA(AT644:AV644)=3,ISNUMBER(AV644))),0,1)+IF(OR(COUNTA(AW644:AY644)=0,AND(COUNTA(AW644:AY644)=3,ISNUMBER(AY644))),0,1)+IF(OR(COUNTA(AZ644:BB644)=0,AND(COUNTA(AZ644:BB644)=3,ISNUMBER(BB644))),0,1))&gt;0,"; An invoice is incomplete (needs No, Date and a number in Ex GST)","")&amp;IF((IF(T644="",0,IFERROR(--(EOMONTH(T644,0)&lt;&gt;S$5),1))+IF(W644="",0,IFERROR(--(EOMONTH(W644,0)&lt;&gt;V$5),1))+IF(Z644="",0,IFERROR(--(EOMONTH(Z644,0)&lt;&gt;Y$5),1))+IF(AC644="",0,IFERROR(--(EOMONTH(AC644,0)&lt;&gt;AB$5),1))+IF(AF644="",0,IFERROR(--(EOMONTH(AF644,0)&lt;&gt;AE$5),1))+IF(AI644="",0,IFERROR(--(EOMONTH(AI644,0)&lt;&gt;AH$5),1))+IF(AL644="",0,IFERROR(--(EOMONTH(AL644,0)&lt;&gt;AK$5),1))+IF(AO644="",0,IFERROR(--(EOMONTH(AO644,0)&lt;&gt;AN$5),1))+IF(AR644="",0,IFERROR(--(EOMONTH(AR644,0)&lt;&gt;AQ$5),1))+IF(AU644="",0,IFERROR(--(EOMONTH(AU644,0)&lt;&gt;AT$5),1))+IF(AX644="",0,IFERROR(--(EOMONTH(AX644,0)&lt;&gt;AW$5),1))+IF(BA644="",0,IFERROR(--(EOMONTH(BA644,0)&lt;&gt;AZ$5),1)))&gt;0,"; An invoice date is not in the month it is typed under",""),3,500))</f>
        <v/>
      </c>
      <c r="S644" s="12" t="n"/>
      <c r="T644" s="13" t="n"/>
      <c r="U644" s="14" t="n"/>
      <c r="V644" s="12" t="n"/>
      <c r="W644" s="13" t="n"/>
      <c r="X644" s="14" t="n"/>
      <c r="Y644" s="12" t="n"/>
      <c r="Z644" s="13" t="n"/>
      <c r="AA644" s="14" t="n"/>
      <c r="AB644" s="12" t="n"/>
      <c r="AC644" s="13" t="n"/>
      <c r="AD644" s="14" t="n"/>
      <c r="AE644" s="12" t="n"/>
      <c r="AF644" s="13" t="n"/>
      <c r="AG644" s="14" t="n"/>
      <c r="AH644" s="12" t="n"/>
      <c r="AI644" s="13" t="n"/>
      <c r="AJ644" s="14" t="n"/>
      <c r="AK644" s="12" t="n"/>
      <c r="AL644" s="13" t="n"/>
      <c r="AM644" s="14" t="n"/>
      <c r="AN644" s="12" t="n"/>
      <c r="AO644" s="13" t="n"/>
      <c r="AP644" s="14" t="n"/>
      <c r="AQ644" s="12" t="n"/>
      <c r="AR644" s="13" t="n"/>
      <c r="AS644" s="14" t="n"/>
      <c r="AT644" s="12" t="n"/>
      <c r="AU644" s="13" t="n"/>
      <c r="AV644" s="14" t="n"/>
      <c r="AW644" s="12" t="n"/>
      <c r="AX644" s="13" t="n"/>
      <c r="AY644" s="14" t="n"/>
      <c r="AZ644" s="12" t="n"/>
      <c r="BA644" s="13" t="n"/>
      <c r="BB644" s="14" t="n"/>
      <c r="BC644" s="11">
        <f>IF(O644="","",IF(J644="GST 10%",ROUND(O644*set_GSTRate,2),0))</f>
        <v/>
      </c>
      <c r="BD644" s="11">
        <f>IF(O644="","",O644+BC644)</f>
        <v/>
      </c>
      <c r="BE644" s="15">
        <f>IF(O644="","",COUNTA(S644,V644,Y644,AB644,AE644,AH644,AK644,AN644,AQ644,AT644,AW644,AZ644))</f>
        <v/>
      </c>
      <c r="BF644" s="16">
        <f>IF(COUNT(T644,W644,Z644,AC644,AF644,AI644,AL644,AO644,AR644,AU644,AX644,BA644)=0,"",MAX(T644,W644,Z644,AC644,AF644,AI644,AL644,AO644,AR644,AU644,AX644,BA644))</f>
        <v/>
      </c>
      <c r="BG644" s="10">
        <f>MID(IF(S644="","",", "&amp;S644)&amp;IF(V644="","",", "&amp;V644)&amp;IF(Y644="","",", "&amp;Y644)&amp;IF(AB644="","",", "&amp;AB644)&amp;IF(AE644="","",", "&amp;AE644)&amp;IF(AH644="","",", "&amp;AH644)&amp;IF(AK644="","",", "&amp;AK644)&amp;IF(AN644="","",", "&amp;AN644)&amp;IF(AQ644="","",", "&amp;AQ644)&amp;IF(AT644="","",", "&amp;AT644)&amp;IF(AW644="","",", "&amp;AW644)&amp;IF(AZ644="","",", "&amp;AZ644),3,500)</f>
        <v/>
      </c>
      <c r="BH644" s="12" t="n"/>
      <c r="BI644" s="15">
        <f>IFERROR(MATCH($A644,IF($B644="Onsite",tbl_Onsite[Row ID],IF($B644="Production",tbl_Production[Row ID],tbl_Consulting[Row ID])),0),"")</f>
        <v/>
      </c>
    </row>
    <row r="645">
      <c r="A645" s="10" t="inlineStr">
        <is>
          <t>PRD-0139</t>
        </is>
      </c>
      <c r="B645" s="10" t="inlineStr">
        <is>
          <t>Production</t>
        </is>
      </c>
      <c r="C645" s="10">
        <f>IF($BI645="","",IF($B645="Onsite",INDEX(tbl_Onsite[Job Number],$BI645),IF($B645="Production",INDEX(tbl_Production[Job Number],$BI645),INDEX(tbl_Consulting[Job Number],$BI645)))&amp;"")</f>
        <v/>
      </c>
      <c r="D645" s="10">
        <f>IF($BI645="","",IF($B645="Onsite",INDEX(tbl_Onsite[Client],$BI645),IF($B645="Production",INDEX(tbl_Production[Client],$BI645),INDEX(tbl_Consulting[Client],$BI645)))&amp;"")</f>
        <v/>
      </c>
      <c r="E645" s="10">
        <f>IF($C645="","",IF(COUNTIF(lst_Jobs,$C645)&gt;0,"OK","CHECK"))</f>
        <v/>
      </c>
      <c r="F645" s="10">
        <f>IF($C645="","",IFERROR(INDEX(lst_JobName,MATCH($C645,lst_Jobs,0)),""))</f>
        <v/>
      </c>
      <c r="G645" s="10">
        <f>IF($BI645="","",IF($B645="Onsite",INDEX(tbl_Onsite[Job Description],$BI645),IF($B645="Production",INDEX(tbl_Production[Job Description],$BI645),INDEX(tbl_Consulting[Job Description],$BI645)))&amp;"")</f>
        <v/>
      </c>
      <c r="H645" s="10">
        <f>IF($BI645="","",IF($B645="Onsite",INDEX(tbl_Onsite[Cost Centre],$BI645),IF($B645="Production",INDEX(tbl_Production[Cost Centre],$BI645),INDEX(tbl_Consulting[Cost Centre],$BI645)))&amp;"")</f>
        <v/>
      </c>
      <c r="I645" s="10">
        <f>IF($BI645="","",IF($B645="Onsite",INDEX(tbl_Onsite[Invoice Type],$BI645),IF($B645="Production",INDEX(tbl_Production[Invoice Type],$BI645),INDEX(tbl_Consulting[Invoice Type],$BI645)))&amp;"")</f>
        <v/>
      </c>
      <c r="J645" s="10">
        <f>IF($BI645="","",IF($B645="Onsite",INDEX(tbl_Onsite[Tax Code],$BI645),IF($B645="Production",INDEX(tbl_Production[Tax Code],$BI645),INDEX(tbl_Consulting[Tax Code],$BI645)))&amp;"")</f>
        <v/>
      </c>
      <c r="K645" s="10">
        <f>IF(H645="","",IFERROR(INDEX(lst_CCtoGL,MATCH(H645,lst_CCforGL,0)),""))</f>
        <v/>
      </c>
      <c r="L645" s="10">
        <f>IF($BI645="","",IF($B645="Onsite",INDEX(tbl_Onsite[PO / Reference],$BI645),IF($B645="Production",INDEX(tbl_Production[Current RMS No],$BI645),INDEX(tbl_Consulting[Qwilr Quote],$BI645)))&amp;"")</f>
        <v/>
      </c>
      <c r="M645" s="10">
        <f>IF($BI645="","",IF($B645="Onsite",INDEX(tbl_Onsite[Notes],$BI645),IF($B645="Production",INDEX(tbl_Production[Notes],$BI645),INDEX(tbl_Consulting[Notes],$BI645)))&amp;"")</f>
        <v/>
      </c>
      <c r="N645" s="11">
        <f>IF($BI645="","",IF(IF($B645="Onsite",INDEX(tbl_Onsite[Expected Revenue Ex GST],$BI645),IF($B645="Production",INDEX(tbl_Production[Expected Revenue Ex GST],$BI645),INDEX(tbl_Consulting[Expected Revenue Ex GST],$BI645)))="","",IF($B645="Onsite",INDEX(tbl_Onsite[Expected Revenue Ex GST],$BI645),IF($B645="Production",INDEX(tbl_Production[Expected Revenue Ex GST],$BI645),INDEX(tbl_Consulting[Expected Revenue Ex GST],$BI645)))))</f>
        <v/>
      </c>
      <c r="O645" s="11">
        <f>IF(AND($C645="",NOT(COUNTA($S645:$BB645)&gt;0)),"",SUM(U645,X645,AA645,AD645,AG645,AJ645,AM645,AP645,AS645,AV645,AY645,BB645))</f>
        <v/>
      </c>
      <c r="P645" s="11">
        <f>IF(O645="","",N(N645)-O645)</f>
        <v/>
      </c>
      <c r="Q645" s="10">
        <f>IF(O645="","",IF($C645="","Invoice on empty job row",IF(N645="",IF(ROUND(O645,2)=0,"No dept value","Invoiced - no dept value"),IF(ROUND(O645,2)=0,"Not invoiced - to invoice",IF(ROUND(P645,2)=0,"Agrees",IF(P645&gt;0,"Dept higher - to invoice","Xero higher - check dept"))))))</f>
        <v/>
      </c>
      <c r="R645" s="10">
        <f>IF(AND($C645="",NOT(COUNTA($S645:$BB645)&gt;0),$BI645&lt;&gt;""),"",MID(IF($BI645="","; Row ID not found on the department sheet - a row was deleted","")&amp;IF(AND($C645="",COUNTA($S645:$BB645)&gt;0),"; Invoice entered but the department row has no job number","")&amp;IF(E645="CHECK","; Job number not in the Xero job list","")&amp;IF(AND($C645&lt;&gt;"",COUNTIF($C$7:$C$1506,$C645)&gt;1),"; Job number on more than one row","")&amp;IF(AND($C645&lt;&gt;"",H645=""),"; Dept has not set a cost centre","")&amp;IF(AND($C645&lt;&gt;"",J645=""),"; Dept has not set a tax code","")&amp;IF(AND($C645&lt;&gt;"",N645=""),"; Dept has not entered an expected value","")&amp;IF((IF(OR(COUNTA(S645:U645)=0,AND(COUNTA(S645:U645)=3,ISNUMBER(U645))),0,1)+IF(OR(COUNTA(V645:X645)=0,AND(COUNTA(V645:X645)=3,ISNUMBER(X645))),0,1)+IF(OR(COUNTA(Y645:AA645)=0,AND(COUNTA(Y645:AA645)=3,ISNUMBER(AA645))),0,1)+IF(OR(COUNTA(AB645:AD645)=0,AND(COUNTA(AB645:AD645)=3,ISNUMBER(AD645))),0,1)+IF(OR(COUNTA(AE645:AG645)=0,AND(COUNTA(AE645:AG645)=3,ISNUMBER(AG645))),0,1)+IF(OR(COUNTA(AH645:AJ645)=0,AND(COUNTA(AH645:AJ645)=3,ISNUMBER(AJ645))),0,1)+IF(OR(COUNTA(AK645:AM645)=0,AND(COUNTA(AK645:AM645)=3,ISNUMBER(AM645))),0,1)+IF(OR(COUNTA(AN645:AP645)=0,AND(COUNTA(AN645:AP645)=3,ISNUMBER(AP645))),0,1)+IF(OR(COUNTA(AQ645:AS645)=0,AND(COUNTA(AQ645:AS645)=3,ISNUMBER(AS645))),0,1)+IF(OR(COUNTA(AT645:AV645)=0,AND(COUNTA(AT645:AV645)=3,ISNUMBER(AV645))),0,1)+IF(OR(COUNTA(AW645:AY645)=0,AND(COUNTA(AW645:AY645)=3,ISNUMBER(AY645))),0,1)+IF(OR(COUNTA(AZ645:BB645)=0,AND(COUNTA(AZ645:BB645)=3,ISNUMBER(BB645))),0,1))&gt;0,"; An invoice is incomplete (needs No, Date and a number in Ex GST)","")&amp;IF((IF(T645="",0,IFERROR(--(EOMONTH(T645,0)&lt;&gt;S$5),1))+IF(W645="",0,IFERROR(--(EOMONTH(W645,0)&lt;&gt;V$5),1))+IF(Z645="",0,IFERROR(--(EOMONTH(Z645,0)&lt;&gt;Y$5),1))+IF(AC645="",0,IFERROR(--(EOMONTH(AC645,0)&lt;&gt;AB$5),1))+IF(AF645="",0,IFERROR(--(EOMONTH(AF645,0)&lt;&gt;AE$5),1))+IF(AI645="",0,IFERROR(--(EOMONTH(AI645,0)&lt;&gt;AH$5),1))+IF(AL645="",0,IFERROR(--(EOMONTH(AL645,0)&lt;&gt;AK$5),1))+IF(AO645="",0,IFERROR(--(EOMONTH(AO645,0)&lt;&gt;AN$5),1))+IF(AR645="",0,IFERROR(--(EOMONTH(AR645,0)&lt;&gt;AQ$5),1))+IF(AU645="",0,IFERROR(--(EOMONTH(AU645,0)&lt;&gt;AT$5),1))+IF(AX645="",0,IFERROR(--(EOMONTH(AX645,0)&lt;&gt;AW$5),1))+IF(BA645="",0,IFERROR(--(EOMONTH(BA645,0)&lt;&gt;AZ$5),1)))&gt;0,"; An invoice date is not in the month it is typed under",""),3,500))</f>
        <v/>
      </c>
      <c r="S645" s="12" t="n"/>
      <c r="T645" s="13" t="n"/>
      <c r="U645" s="14" t="n"/>
      <c r="V645" s="12" t="n"/>
      <c r="W645" s="13" t="n"/>
      <c r="X645" s="14" t="n"/>
      <c r="Y645" s="12" t="n"/>
      <c r="Z645" s="13" t="n"/>
      <c r="AA645" s="14" t="n"/>
      <c r="AB645" s="12" t="n"/>
      <c r="AC645" s="13" t="n"/>
      <c r="AD645" s="14" t="n"/>
      <c r="AE645" s="12" t="n"/>
      <c r="AF645" s="13" t="n"/>
      <c r="AG645" s="14" t="n"/>
      <c r="AH645" s="12" t="n"/>
      <c r="AI645" s="13" t="n"/>
      <c r="AJ645" s="14" t="n"/>
      <c r="AK645" s="12" t="n"/>
      <c r="AL645" s="13" t="n"/>
      <c r="AM645" s="14" t="n"/>
      <c r="AN645" s="12" t="n"/>
      <c r="AO645" s="13" t="n"/>
      <c r="AP645" s="14" t="n"/>
      <c r="AQ645" s="12" t="n"/>
      <c r="AR645" s="13" t="n"/>
      <c r="AS645" s="14" t="n"/>
      <c r="AT645" s="12" t="n"/>
      <c r="AU645" s="13" t="n"/>
      <c r="AV645" s="14" t="n"/>
      <c r="AW645" s="12" t="n"/>
      <c r="AX645" s="13" t="n"/>
      <c r="AY645" s="14" t="n"/>
      <c r="AZ645" s="12" t="n"/>
      <c r="BA645" s="13" t="n"/>
      <c r="BB645" s="14" t="n"/>
      <c r="BC645" s="11">
        <f>IF(O645="","",IF(J645="GST 10%",ROUND(O645*set_GSTRate,2),0))</f>
        <v/>
      </c>
      <c r="BD645" s="11">
        <f>IF(O645="","",O645+BC645)</f>
        <v/>
      </c>
      <c r="BE645" s="15">
        <f>IF(O645="","",COUNTA(S645,V645,Y645,AB645,AE645,AH645,AK645,AN645,AQ645,AT645,AW645,AZ645))</f>
        <v/>
      </c>
      <c r="BF645" s="16">
        <f>IF(COUNT(T645,W645,Z645,AC645,AF645,AI645,AL645,AO645,AR645,AU645,AX645,BA645)=0,"",MAX(T645,W645,Z645,AC645,AF645,AI645,AL645,AO645,AR645,AU645,AX645,BA645))</f>
        <v/>
      </c>
      <c r="BG645" s="10">
        <f>MID(IF(S645="","",", "&amp;S645)&amp;IF(V645="","",", "&amp;V645)&amp;IF(Y645="","",", "&amp;Y645)&amp;IF(AB645="","",", "&amp;AB645)&amp;IF(AE645="","",", "&amp;AE645)&amp;IF(AH645="","",", "&amp;AH645)&amp;IF(AK645="","",", "&amp;AK645)&amp;IF(AN645="","",", "&amp;AN645)&amp;IF(AQ645="","",", "&amp;AQ645)&amp;IF(AT645="","",", "&amp;AT645)&amp;IF(AW645="","",", "&amp;AW645)&amp;IF(AZ645="","",", "&amp;AZ645),3,500)</f>
        <v/>
      </c>
      <c r="BH645" s="12" t="n"/>
      <c r="BI645" s="15">
        <f>IFERROR(MATCH($A645,IF($B645="Onsite",tbl_Onsite[Row ID],IF($B645="Production",tbl_Production[Row ID],tbl_Consulting[Row ID])),0),"")</f>
        <v/>
      </c>
    </row>
    <row r="646">
      <c r="A646" s="10" t="inlineStr">
        <is>
          <t>PRD-0140</t>
        </is>
      </c>
      <c r="B646" s="10" t="inlineStr">
        <is>
          <t>Production</t>
        </is>
      </c>
      <c r="C646" s="10">
        <f>IF($BI646="","",IF($B646="Onsite",INDEX(tbl_Onsite[Job Number],$BI646),IF($B646="Production",INDEX(tbl_Production[Job Number],$BI646),INDEX(tbl_Consulting[Job Number],$BI646)))&amp;"")</f>
        <v/>
      </c>
      <c r="D646" s="10">
        <f>IF($BI646="","",IF($B646="Onsite",INDEX(tbl_Onsite[Client],$BI646),IF($B646="Production",INDEX(tbl_Production[Client],$BI646),INDEX(tbl_Consulting[Client],$BI646)))&amp;"")</f>
        <v/>
      </c>
      <c r="E646" s="10">
        <f>IF($C646="","",IF(COUNTIF(lst_Jobs,$C646)&gt;0,"OK","CHECK"))</f>
        <v/>
      </c>
      <c r="F646" s="10">
        <f>IF($C646="","",IFERROR(INDEX(lst_JobName,MATCH($C646,lst_Jobs,0)),""))</f>
        <v/>
      </c>
      <c r="G646" s="10">
        <f>IF($BI646="","",IF($B646="Onsite",INDEX(tbl_Onsite[Job Description],$BI646),IF($B646="Production",INDEX(tbl_Production[Job Description],$BI646),INDEX(tbl_Consulting[Job Description],$BI646)))&amp;"")</f>
        <v/>
      </c>
      <c r="H646" s="10">
        <f>IF($BI646="","",IF($B646="Onsite",INDEX(tbl_Onsite[Cost Centre],$BI646),IF($B646="Production",INDEX(tbl_Production[Cost Centre],$BI646),INDEX(tbl_Consulting[Cost Centre],$BI646)))&amp;"")</f>
        <v/>
      </c>
      <c r="I646" s="10">
        <f>IF($BI646="","",IF($B646="Onsite",INDEX(tbl_Onsite[Invoice Type],$BI646),IF($B646="Production",INDEX(tbl_Production[Invoice Type],$BI646),INDEX(tbl_Consulting[Invoice Type],$BI646)))&amp;"")</f>
        <v/>
      </c>
      <c r="J646" s="10">
        <f>IF($BI646="","",IF($B646="Onsite",INDEX(tbl_Onsite[Tax Code],$BI646),IF($B646="Production",INDEX(tbl_Production[Tax Code],$BI646),INDEX(tbl_Consulting[Tax Code],$BI646)))&amp;"")</f>
        <v/>
      </c>
      <c r="K646" s="10">
        <f>IF(H646="","",IFERROR(INDEX(lst_CCtoGL,MATCH(H646,lst_CCforGL,0)),""))</f>
        <v/>
      </c>
      <c r="L646" s="10">
        <f>IF($BI646="","",IF($B646="Onsite",INDEX(tbl_Onsite[PO / Reference],$BI646),IF($B646="Production",INDEX(tbl_Production[Current RMS No],$BI646),INDEX(tbl_Consulting[Qwilr Quote],$BI646)))&amp;"")</f>
        <v/>
      </c>
      <c r="M646" s="10">
        <f>IF($BI646="","",IF($B646="Onsite",INDEX(tbl_Onsite[Notes],$BI646),IF($B646="Production",INDEX(tbl_Production[Notes],$BI646),INDEX(tbl_Consulting[Notes],$BI646)))&amp;"")</f>
        <v/>
      </c>
      <c r="N646" s="11">
        <f>IF($BI646="","",IF(IF($B646="Onsite",INDEX(tbl_Onsite[Expected Revenue Ex GST],$BI646),IF($B646="Production",INDEX(tbl_Production[Expected Revenue Ex GST],$BI646),INDEX(tbl_Consulting[Expected Revenue Ex GST],$BI646)))="","",IF($B646="Onsite",INDEX(tbl_Onsite[Expected Revenue Ex GST],$BI646),IF($B646="Production",INDEX(tbl_Production[Expected Revenue Ex GST],$BI646),INDEX(tbl_Consulting[Expected Revenue Ex GST],$BI646)))))</f>
        <v/>
      </c>
      <c r="O646" s="11">
        <f>IF(AND($C646="",NOT(COUNTA($S646:$BB646)&gt;0)),"",SUM(U646,X646,AA646,AD646,AG646,AJ646,AM646,AP646,AS646,AV646,AY646,BB646))</f>
        <v/>
      </c>
      <c r="P646" s="11">
        <f>IF(O646="","",N(N646)-O646)</f>
        <v/>
      </c>
      <c r="Q646" s="10">
        <f>IF(O646="","",IF($C646="","Invoice on empty job row",IF(N646="",IF(ROUND(O646,2)=0,"No dept value","Invoiced - no dept value"),IF(ROUND(O646,2)=0,"Not invoiced - to invoice",IF(ROUND(P646,2)=0,"Agrees",IF(P646&gt;0,"Dept higher - to invoice","Xero higher - check dept"))))))</f>
        <v/>
      </c>
      <c r="R646" s="10">
        <f>IF(AND($C646="",NOT(COUNTA($S646:$BB646)&gt;0),$BI646&lt;&gt;""),"",MID(IF($BI646="","; Row ID not found on the department sheet - a row was deleted","")&amp;IF(AND($C646="",COUNTA($S646:$BB646)&gt;0),"; Invoice entered but the department row has no job number","")&amp;IF(E646="CHECK","; Job number not in the Xero job list","")&amp;IF(AND($C646&lt;&gt;"",COUNTIF($C$7:$C$1506,$C646)&gt;1),"; Job number on more than one row","")&amp;IF(AND($C646&lt;&gt;"",H646=""),"; Dept has not set a cost centre","")&amp;IF(AND($C646&lt;&gt;"",J646=""),"; Dept has not set a tax code","")&amp;IF(AND($C646&lt;&gt;"",N646=""),"; Dept has not entered an expected value","")&amp;IF((IF(OR(COUNTA(S646:U646)=0,AND(COUNTA(S646:U646)=3,ISNUMBER(U646))),0,1)+IF(OR(COUNTA(V646:X646)=0,AND(COUNTA(V646:X646)=3,ISNUMBER(X646))),0,1)+IF(OR(COUNTA(Y646:AA646)=0,AND(COUNTA(Y646:AA646)=3,ISNUMBER(AA646))),0,1)+IF(OR(COUNTA(AB646:AD646)=0,AND(COUNTA(AB646:AD646)=3,ISNUMBER(AD646))),0,1)+IF(OR(COUNTA(AE646:AG646)=0,AND(COUNTA(AE646:AG646)=3,ISNUMBER(AG646))),0,1)+IF(OR(COUNTA(AH646:AJ646)=0,AND(COUNTA(AH646:AJ646)=3,ISNUMBER(AJ646))),0,1)+IF(OR(COUNTA(AK646:AM646)=0,AND(COUNTA(AK646:AM646)=3,ISNUMBER(AM646))),0,1)+IF(OR(COUNTA(AN646:AP646)=0,AND(COUNTA(AN646:AP646)=3,ISNUMBER(AP646))),0,1)+IF(OR(COUNTA(AQ646:AS646)=0,AND(COUNTA(AQ646:AS646)=3,ISNUMBER(AS646))),0,1)+IF(OR(COUNTA(AT646:AV646)=0,AND(COUNTA(AT646:AV646)=3,ISNUMBER(AV646))),0,1)+IF(OR(COUNTA(AW646:AY646)=0,AND(COUNTA(AW646:AY646)=3,ISNUMBER(AY646))),0,1)+IF(OR(COUNTA(AZ646:BB646)=0,AND(COUNTA(AZ646:BB646)=3,ISNUMBER(BB646))),0,1))&gt;0,"; An invoice is incomplete (needs No, Date and a number in Ex GST)","")&amp;IF((IF(T646="",0,IFERROR(--(EOMONTH(T646,0)&lt;&gt;S$5),1))+IF(W646="",0,IFERROR(--(EOMONTH(W646,0)&lt;&gt;V$5),1))+IF(Z646="",0,IFERROR(--(EOMONTH(Z646,0)&lt;&gt;Y$5),1))+IF(AC646="",0,IFERROR(--(EOMONTH(AC646,0)&lt;&gt;AB$5),1))+IF(AF646="",0,IFERROR(--(EOMONTH(AF646,0)&lt;&gt;AE$5),1))+IF(AI646="",0,IFERROR(--(EOMONTH(AI646,0)&lt;&gt;AH$5),1))+IF(AL646="",0,IFERROR(--(EOMONTH(AL646,0)&lt;&gt;AK$5),1))+IF(AO646="",0,IFERROR(--(EOMONTH(AO646,0)&lt;&gt;AN$5),1))+IF(AR646="",0,IFERROR(--(EOMONTH(AR646,0)&lt;&gt;AQ$5),1))+IF(AU646="",0,IFERROR(--(EOMONTH(AU646,0)&lt;&gt;AT$5),1))+IF(AX646="",0,IFERROR(--(EOMONTH(AX646,0)&lt;&gt;AW$5),1))+IF(BA646="",0,IFERROR(--(EOMONTH(BA646,0)&lt;&gt;AZ$5),1)))&gt;0,"; An invoice date is not in the month it is typed under",""),3,500))</f>
        <v/>
      </c>
      <c r="S646" s="12" t="n"/>
      <c r="T646" s="13" t="n"/>
      <c r="U646" s="14" t="n"/>
      <c r="V646" s="12" t="n"/>
      <c r="W646" s="13" t="n"/>
      <c r="X646" s="14" t="n"/>
      <c r="Y646" s="12" t="n"/>
      <c r="Z646" s="13" t="n"/>
      <c r="AA646" s="14" t="n"/>
      <c r="AB646" s="12" t="n"/>
      <c r="AC646" s="13" t="n"/>
      <c r="AD646" s="14" t="n"/>
      <c r="AE646" s="12" t="n"/>
      <c r="AF646" s="13" t="n"/>
      <c r="AG646" s="14" t="n"/>
      <c r="AH646" s="12" t="n"/>
      <c r="AI646" s="13" t="n"/>
      <c r="AJ646" s="14" t="n"/>
      <c r="AK646" s="12" t="n"/>
      <c r="AL646" s="13" t="n"/>
      <c r="AM646" s="14" t="n"/>
      <c r="AN646" s="12" t="n"/>
      <c r="AO646" s="13" t="n"/>
      <c r="AP646" s="14" t="n"/>
      <c r="AQ646" s="12" t="n"/>
      <c r="AR646" s="13" t="n"/>
      <c r="AS646" s="14" t="n"/>
      <c r="AT646" s="12" t="n"/>
      <c r="AU646" s="13" t="n"/>
      <c r="AV646" s="14" t="n"/>
      <c r="AW646" s="12" t="n"/>
      <c r="AX646" s="13" t="n"/>
      <c r="AY646" s="14" t="n"/>
      <c r="AZ646" s="12" t="n"/>
      <c r="BA646" s="13" t="n"/>
      <c r="BB646" s="14" t="n"/>
      <c r="BC646" s="11">
        <f>IF(O646="","",IF(J646="GST 10%",ROUND(O646*set_GSTRate,2),0))</f>
        <v/>
      </c>
      <c r="BD646" s="11">
        <f>IF(O646="","",O646+BC646)</f>
        <v/>
      </c>
      <c r="BE646" s="15">
        <f>IF(O646="","",COUNTA(S646,V646,Y646,AB646,AE646,AH646,AK646,AN646,AQ646,AT646,AW646,AZ646))</f>
        <v/>
      </c>
      <c r="BF646" s="16">
        <f>IF(COUNT(T646,W646,Z646,AC646,AF646,AI646,AL646,AO646,AR646,AU646,AX646,BA646)=0,"",MAX(T646,W646,Z646,AC646,AF646,AI646,AL646,AO646,AR646,AU646,AX646,BA646))</f>
        <v/>
      </c>
      <c r="BG646" s="10">
        <f>MID(IF(S646="","",", "&amp;S646)&amp;IF(V646="","",", "&amp;V646)&amp;IF(Y646="","",", "&amp;Y646)&amp;IF(AB646="","",", "&amp;AB646)&amp;IF(AE646="","",", "&amp;AE646)&amp;IF(AH646="","",", "&amp;AH646)&amp;IF(AK646="","",", "&amp;AK646)&amp;IF(AN646="","",", "&amp;AN646)&amp;IF(AQ646="","",", "&amp;AQ646)&amp;IF(AT646="","",", "&amp;AT646)&amp;IF(AW646="","",", "&amp;AW646)&amp;IF(AZ646="","",", "&amp;AZ646),3,500)</f>
        <v/>
      </c>
      <c r="BH646" s="12" t="n"/>
      <c r="BI646" s="15">
        <f>IFERROR(MATCH($A646,IF($B646="Onsite",tbl_Onsite[Row ID],IF($B646="Production",tbl_Production[Row ID],tbl_Consulting[Row ID])),0),"")</f>
        <v/>
      </c>
    </row>
    <row r="647">
      <c r="A647" s="10" t="inlineStr">
        <is>
          <t>PRD-0141</t>
        </is>
      </c>
      <c r="B647" s="10" t="inlineStr">
        <is>
          <t>Production</t>
        </is>
      </c>
      <c r="C647" s="10">
        <f>IF($BI647="","",IF($B647="Onsite",INDEX(tbl_Onsite[Job Number],$BI647),IF($B647="Production",INDEX(tbl_Production[Job Number],$BI647),INDEX(tbl_Consulting[Job Number],$BI647)))&amp;"")</f>
        <v/>
      </c>
      <c r="D647" s="10">
        <f>IF($BI647="","",IF($B647="Onsite",INDEX(tbl_Onsite[Client],$BI647),IF($B647="Production",INDEX(tbl_Production[Client],$BI647),INDEX(tbl_Consulting[Client],$BI647)))&amp;"")</f>
        <v/>
      </c>
      <c r="E647" s="10">
        <f>IF($C647="","",IF(COUNTIF(lst_Jobs,$C647)&gt;0,"OK","CHECK"))</f>
        <v/>
      </c>
      <c r="F647" s="10">
        <f>IF($C647="","",IFERROR(INDEX(lst_JobName,MATCH($C647,lst_Jobs,0)),""))</f>
        <v/>
      </c>
      <c r="G647" s="10">
        <f>IF($BI647="","",IF($B647="Onsite",INDEX(tbl_Onsite[Job Description],$BI647),IF($B647="Production",INDEX(tbl_Production[Job Description],$BI647),INDEX(tbl_Consulting[Job Description],$BI647)))&amp;"")</f>
        <v/>
      </c>
      <c r="H647" s="10">
        <f>IF($BI647="","",IF($B647="Onsite",INDEX(tbl_Onsite[Cost Centre],$BI647),IF($B647="Production",INDEX(tbl_Production[Cost Centre],$BI647),INDEX(tbl_Consulting[Cost Centre],$BI647)))&amp;"")</f>
        <v/>
      </c>
      <c r="I647" s="10">
        <f>IF($BI647="","",IF($B647="Onsite",INDEX(tbl_Onsite[Invoice Type],$BI647),IF($B647="Production",INDEX(tbl_Production[Invoice Type],$BI647),INDEX(tbl_Consulting[Invoice Type],$BI647)))&amp;"")</f>
        <v/>
      </c>
      <c r="J647" s="10">
        <f>IF($BI647="","",IF($B647="Onsite",INDEX(tbl_Onsite[Tax Code],$BI647),IF($B647="Production",INDEX(tbl_Production[Tax Code],$BI647),INDEX(tbl_Consulting[Tax Code],$BI647)))&amp;"")</f>
        <v/>
      </c>
      <c r="K647" s="10">
        <f>IF(H647="","",IFERROR(INDEX(lst_CCtoGL,MATCH(H647,lst_CCforGL,0)),""))</f>
        <v/>
      </c>
      <c r="L647" s="10">
        <f>IF($BI647="","",IF($B647="Onsite",INDEX(tbl_Onsite[PO / Reference],$BI647),IF($B647="Production",INDEX(tbl_Production[Current RMS No],$BI647),INDEX(tbl_Consulting[Qwilr Quote],$BI647)))&amp;"")</f>
        <v/>
      </c>
      <c r="M647" s="10">
        <f>IF($BI647="","",IF($B647="Onsite",INDEX(tbl_Onsite[Notes],$BI647),IF($B647="Production",INDEX(tbl_Production[Notes],$BI647),INDEX(tbl_Consulting[Notes],$BI647)))&amp;"")</f>
        <v/>
      </c>
      <c r="N647" s="11">
        <f>IF($BI647="","",IF(IF($B647="Onsite",INDEX(tbl_Onsite[Expected Revenue Ex GST],$BI647),IF($B647="Production",INDEX(tbl_Production[Expected Revenue Ex GST],$BI647),INDEX(tbl_Consulting[Expected Revenue Ex GST],$BI647)))="","",IF($B647="Onsite",INDEX(tbl_Onsite[Expected Revenue Ex GST],$BI647),IF($B647="Production",INDEX(tbl_Production[Expected Revenue Ex GST],$BI647),INDEX(tbl_Consulting[Expected Revenue Ex GST],$BI647)))))</f>
        <v/>
      </c>
      <c r="O647" s="11">
        <f>IF(AND($C647="",NOT(COUNTA($S647:$BB647)&gt;0)),"",SUM(U647,X647,AA647,AD647,AG647,AJ647,AM647,AP647,AS647,AV647,AY647,BB647))</f>
        <v/>
      </c>
      <c r="P647" s="11">
        <f>IF(O647="","",N(N647)-O647)</f>
        <v/>
      </c>
      <c r="Q647" s="10">
        <f>IF(O647="","",IF($C647="","Invoice on empty job row",IF(N647="",IF(ROUND(O647,2)=0,"No dept value","Invoiced - no dept value"),IF(ROUND(O647,2)=0,"Not invoiced - to invoice",IF(ROUND(P647,2)=0,"Agrees",IF(P647&gt;0,"Dept higher - to invoice","Xero higher - check dept"))))))</f>
        <v/>
      </c>
      <c r="R647" s="10">
        <f>IF(AND($C647="",NOT(COUNTA($S647:$BB647)&gt;0),$BI647&lt;&gt;""),"",MID(IF($BI647="","; Row ID not found on the department sheet - a row was deleted","")&amp;IF(AND($C647="",COUNTA($S647:$BB647)&gt;0),"; Invoice entered but the department row has no job number","")&amp;IF(E647="CHECK","; Job number not in the Xero job list","")&amp;IF(AND($C647&lt;&gt;"",COUNTIF($C$7:$C$1506,$C647)&gt;1),"; Job number on more than one row","")&amp;IF(AND($C647&lt;&gt;"",H647=""),"; Dept has not set a cost centre","")&amp;IF(AND($C647&lt;&gt;"",J647=""),"; Dept has not set a tax code","")&amp;IF(AND($C647&lt;&gt;"",N647=""),"; Dept has not entered an expected value","")&amp;IF((IF(OR(COUNTA(S647:U647)=0,AND(COUNTA(S647:U647)=3,ISNUMBER(U647))),0,1)+IF(OR(COUNTA(V647:X647)=0,AND(COUNTA(V647:X647)=3,ISNUMBER(X647))),0,1)+IF(OR(COUNTA(Y647:AA647)=0,AND(COUNTA(Y647:AA647)=3,ISNUMBER(AA647))),0,1)+IF(OR(COUNTA(AB647:AD647)=0,AND(COUNTA(AB647:AD647)=3,ISNUMBER(AD647))),0,1)+IF(OR(COUNTA(AE647:AG647)=0,AND(COUNTA(AE647:AG647)=3,ISNUMBER(AG647))),0,1)+IF(OR(COUNTA(AH647:AJ647)=0,AND(COUNTA(AH647:AJ647)=3,ISNUMBER(AJ647))),0,1)+IF(OR(COUNTA(AK647:AM647)=0,AND(COUNTA(AK647:AM647)=3,ISNUMBER(AM647))),0,1)+IF(OR(COUNTA(AN647:AP647)=0,AND(COUNTA(AN647:AP647)=3,ISNUMBER(AP647))),0,1)+IF(OR(COUNTA(AQ647:AS647)=0,AND(COUNTA(AQ647:AS647)=3,ISNUMBER(AS647))),0,1)+IF(OR(COUNTA(AT647:AV647)=0,AND(COUNTA(AT647:AV647)=3,ISNUMBER(AV647))),0,1)+IF(OR(COUNTA(AW647:AY647)=0,AND(COUNTA(AW647:AY647)=3,ISNUMBER(AY647))),0,1)+IF(OR(COUNTA(AZ647:BB647)=0,AND(COUNTA(AZ647:BB647)=3,ISNUMBER(BB647))),0,1))&gt;0,"; An invoice is incomplete (needs No, Date and a number in Ex GST)","")&amp;IF((IF(T647="",0,IFERROR(--(EOMONTH(T647,0)&lt;&gt;S$5),1))+IF(W647="",0,IFERROR(--(EOMONTH(W647,0)&lt;&gt;V$5),1))+IF(Z647="",0,IFERROR(--(EOMONTH(Z647,0)&lt;&gt;Y$5),1))+IF(AC647="",0,IFERROR(--(EOMONTH(AC647,0)&lt;&gt;AB$5),1))+IF(AF647="",0,IFERROR(--(EOMONTH(AF647,0)&lt;&gt;AE$5),1))+IF(AI647="",0,IFERROR(--(EOMONTH(AI647,0)&lt;&gt;AH$5),1))+IF(AL647="",0,IFERROR(--(EOMONTH(AL647,0)&lt;&gt;AK$5),1))+IF(AO647="",0,IFERROR(--(EOMONTH(AO647,0)&lt;&gt;AN$5),1))+IF(AR647="",0,IFERROR(--(EOMONTH(AR647,0)&lt;&gt;AQ$5),1))+IF(AU647="",0,IFERROR(--(EOMONTH(AU647,0)&lt;&gt;AT$5),1))+IF(AX647="",0,IFERROR(--(EOMONTH(AX647,0)&lt;&gt;AW$5),1))+IF(BA647="",0,IFERROR(--(EOMONTH(BA647,0)&lt;&gt;AZ$5),1)))&gt;0,"; An invoice date is not in the month it is typed under",""),3,500))</f>
        <v/>
      </c>
      <c r="S647" s="12" t="n"/>
      <c r="T647" s="13" t="n"/>
      <c r="U647" s="14" t="n"/>
      <c r="V647" s="12" t="n"/>
      <c r="W647" s="13" t="n"/>
      <c r="X647" s="14" t="n"/>
      <c r="Y647" s="12" t="n"/>
      <c r="Z647" s="13" t="n"/>
      <c r="AA647" s="14" t="n"/>
      <c r="AB647" s="12" t="n"/>
      <c r="AC647" s="13" t="n"/>
      <c r="AD647" s="14" t="n"/>
      <c r="AE647" s="12" t="n"/>
      <c r="AF647" s="13" t="n"/>
      <c r="AG647" s="14" t="n"/>
      <c r="AH647" s="12" t="n"/>
      <c r="AI647" s="13" t="n"/>
      <c r="AJ647" s="14" t="n"/>
      <c r="AK647" s="12" t="n"/>
      <c r="AL647" s="13" t="n"/>
      <c r="AM647" s="14" t="n"/>
      <c r="AN647" s="12" t="n"/>
      <c r="AO647" s="13" t="n"/>
      <c r="AP647" s="14" t="n"/>
      <c r="AQ647" s="12" t="n"/>
      <c r="AR647" s="13" t="n"/>
      <c r="AS647" s="14" t="n"/>
      <c r="AT647" s="12" t="n"/>
      <c r="AU647" s="13" t="n"/>
      <c r="AV647" s="14" t="n"/>
      <c r="AW647" s="12" t="n"/>
      <c r="AX647" s="13" t="n"/>
      <c r="AY647" s="14" t="n"/>
      <c r="AZ647" s="12" t="n"/>
      <c r="BA647" s="13" t="n"/>
      <c r="BB647" s="14" t="n"/>
      <c r="BC647" s="11">
        <f>IF(O647="","",IF(J647="GST 10%",ROUND(O647*set_GSTRate,2),0))</f>
        <v/>
      </c>
      <c r="BD647" s="11">
        <f>IF(O647="","",O647+BC647)</f>
        <v/>
      </c>
      <c r="BE647" s="15">
        <f>IF(O647="","",COUNTA(S647,V647,Y647,AB647,AE647,AH647,AK647,AN647,AQ647,AT647,AW647,AZ647))</f>
        <v/>
      </c>
      <c r="BF647" s="16">
        <f>IF(COUNT(T647,W647,Z647,AC647,AF647,AI647,AL647,AO647,AR647,AU647,AX647,BA647)=0,"",MAX(T647,W647,Z647,AC647,AF647,AI647,AL647,AO647,AR647,AU647,AX647,BA647))</f>
        <v/>
      </c>
      <c r="BG647" s="10">
        <f>MID(IF(S647="","",", "&amp;S647)&amp;IF(V647="","",", "&amp;V647)&amp;IF(Y647="","",", "&amp;Y647)&amp;IF(AB647="","",", "&amp;AB647)&amp;IF(AE647="","",", "&amp;AE647)&amp;IF(AH647="","",", "&amp;AH647)&amp;IF(AK647="","",", "&amp;AK647)&amp;IF(AN647="","",", "&amp;AN647)&amp;IF(AQ647="","",", "&amp;AQ647)&amp;IF(AT647="","",", "&amp;AT647)&amp;IF(AW647="","",", "&amp;AW647)&amp;IF(AZ647="","",", "&amp;AZ647),3,500)</f>
        <v/>
      </c>
      <c r="BH647" s="12" t="n"/>
      <c r="BI647" s="15">
        <f>IFERROR(MATCH($A647,IF($B647="Onsite",tbl_Onsite[Row ID],IF($B647="Production",tbl_Production[Row ID],tbl_Consulting[Row ID])),0),"")</f>
        <v/>
      </c>
    </row>
    <row r="648">
      <c r="A648" s="10" t="inlineStr">
        <is>
          <t>PRD-0142</t>
        </is>
      </c>
      <c r="B648" s="10" t="inlineStr">
        <is>
          <t>Production</t>
        </is>
      </c>
      <c r="C648" s="10">
        <f>IF($BI648="","",IF($B648="Onsite",INDEX(tbl_Onsite[Job Number],$BI648),IF($B648="Production",INDEX(tbl_Production[Job Number],$BI648),INDEX(tbl_Consulting[Job Number],$BI648)))&amp;"")</f>
        <v/>
      </c>
      <c r="D648" s="10">
        <f>IF($BI648="","",IF($B648="Onsite",INDEX(tbl_Onsite[Client],$BI648),IF($B648="Production",INDEX(tbl_Production[Client],$BI648),INDEX(tbl_Consulting[Client],$BI648)))&amp;"")</f>
        <v/>
      </c>
      <c r="E648" s="10">
        <f>IF($C648="","",IF(COUNTIF(lst_Jobs,$C648)&gt;0,"OK","CHECK"))</f>
        <v/>
      </c>
      <c r="F648" s="10">
        <f>IF($C648="","",IFERROR(INDEX(lst_JobName,MATCH($C648,lst_Jobs,0)),""))</f>
        <v/>
      </c>
      <c r="G648" s="10">
        <f>IF($BI648="","",IF($B648="Onsite",INDEX(tbl_Onsite[Job Description],$BI648),IF($B648="Production",INDEX(tbl_Production[Job Description],$BI648),INDEX(tbl_Consulting[Job Description],$BI648)))&amp;"")</f>
        <v/>
      </c>
      <c r="H648" s="10">
        <f>IF($BI648="","",IF($B648="Onsite",INDEX(tbl_Onsite[Cost Centre],$BI648),IF($B648="Production",INDEX(tbl_Production[Cost Centre],$BI648),INDEX(tbl_Consulting[Cost Centre],$BI648)))&amp;"")</f>
        <v/>
      </c>
      <c r="I648" s="10">
        <f>IF($BI648="","",IF($B648="Onsite",INDEX(tbl_Onsite[Invoice Type],$BI648),IF($B648="Production",INDEX(tbl_Production[Invoice Type],$BI648),INDEX(tbl_Consulting[Invoice Type],$BI648)))&amp;"")</f>
        <v/>
      </c>
      <c r="J648" s="10">
        <f>IF($BI648="","",IF($B648="Onsite",INDEX(tbl_Onsite[Tax Code],$BI648),IF($B648="Production",INDEX(tbl_Production[Tax Code],$BI648),INDEX(tbl_Consulting[Tax Code],$BI648)))&amp;"")</f>
        <v/>
      </c>
      <c r="K648" s="10">
        <f>IF(H648="","",IFERROR(INDEX(lst_CCtoGL,MATCH(H648,lst_CCforGL,0)),""))</f>
        <v/>
      </c>
      <c r="L648" s="10">
        <f>IF($BI648="","",IF($B648="Onsite",INDEX(tbl_Onsite[PO / Reference],$BI648),IF($B648="Production",INDEX(tbl_Production[Current RMS No],$BI648),INDEX(tbl_Consulting[Qwilr Quote],$BI648)))&amp;"")</f>
        <v/>
      </c>
      <c r="M648" s="10">
        <f>IF($BI648="","",IF($B648="Onsite",INDEX(tbl_Onsite[Notes],$BI648),IF($B648="Production",INDEX(tbl_Production[Notes],$BI648),INDEX(tbl_Consulting[Notes],$BI648)))&amp;"")</f>
        <v/>
      </c>
      <c r="N648" s="11">
        <f>IF($BI648="","",IF(IF($B648="Onsite",INDEX(tbl_Onsite[Expected Revenue Ex GST],$BI648),IF($B648="Production",INDEX(tbl_Production[Expected Revenue Ex GST],$BI648),INDEX(tbl_Consulting[Expected Revenue Ex GST],$BI648)))="","",IF($B648="Onsite",INDEX(tbl_Onsite[Expected Revenue Ex GST],$BI648),IF($B648="Production",INDEX(tbl_Production[Expected Revenue Ex GST],$BI648),INDEX(tbl_Consulting[Expected Revenue Ex GST],$BI648)))))</f>
        <v/>
      </c>
      <c r="O648" s="11">
        <f>IF(AND($C648="",NOT(COUNTA($S648:$BB648)&gt;0)),"",SUM(U648,X648,AA648,AD648,AG648,AJ648,AM648,AP648,AS648,AV648,AY648,BB648))</f>
        <v/>
      </c>
      <c r="P648" s="11">
        <f>IF(O648="","",N(N648)-O648)</f>
        <v/>
      </c>
      <c r="Q648" s="10">
        <f>IF(O648="","",IF($C648="","Invoice on empty job row",IF(N648="",IF(ROUND(O648,2)=0,"No dept value","Invoiced - no dept value"),IF(ROUND(O648,2)=0,"Not invoiced - to invoice",IF(ROUND(P648,2)=0,"Agrees",IF(P648&gt;0,"Dept higher - to invoice","Xero higher - check dept"))))))</f>
        <v/>
      </c>
      <c r="R648" s="10">
        <f>IF(AND($C648="",NOT(COUNTA($S648:$BB648)&gt;0),$BI648&lt;&gt;""),"",MID(IF($BI648="","; Row ID not found on the department sheet - a row was deleted","")&amp;IF(AND($C648="",COUNTA($S648:$BB648)&gt;0),"; Invoice entered but the department row has no job number","")&amp;IF(E648="CHECK","; Job number not in the Xero job list","")&amp;IF(AND($C648&lt;&gt;"",COUNTIF($C$7:$C$1506,$C648)&gt;1),"; Job number on more than one row","")&amp;IF(AND($C648&lt;&gt;"",H648=""),"; Dept has not set a cost centre","")&amp;IF(AND($C648&lt;&gt;"",J648=""),"; Dept has not set a tax code","")&amp;IF(AND($C648&lt;&gt;"",N648=""),"; Dept has not entered an expected value","")&amp;IF((IF(OR(COUNTA(S648:U648)=0,AND(COUNTA(S648:U648)=3,ISNUMBER(U648))),0,1)+IF(OR(COUNTA(V648:X648)=0,AND(COUNTA(V648:X648)=3,ISNUMBER(X648))),0,1)+IF(OR(COUNTA(Y648:AA648)=0,AND(COUNTA(Y648:AA648)=3,ISNUMBER(AA648))),0,1)+IF(OR(COUNTA(AB648:AD648)=0,AND(COUNTA(AB648:AD648)=3,ISNUMBER(AD648))),0,1)+IF(OR(COUNTA(AE648:AG648)=0,AND(COUNTA(AE648:AG648)=3,ISNUMBER(AG648))),0,1)+IF(OR(COUNTA(AH648:AJ648)=0,AND(COUNTA(AH648:AJ648)=3,ISNUMBER(AJ648))),0,1)+IF(OR(COUNTA(AK648:AM648)=0,AND(COUNTA(AK648:AM648)=3,ISNUMBER(AM648))),0,1)+IF(OR(COUNTA(AN648:AP648)=0,AND(COUNTA(AN648:AP648)=3,ISNUMBER(AP648))),0,1)+IF(OR(COUNTA(AQ648:AS648)=0,AND(COUNTA(AQ648:AS648)=3,ISNUMBER(AS648))),0,1)+IF(OR(COUNTA(AT648:AV648)=0,AND(COUNTA(AT648:AV648)=3,ISNUMBER(AV648))),0,1)+IF(OR(COUNTA(AW648:AY648)=0,AND(COUNTA(AW648:AY648)=3,ISNUMBER(AY648))),0,1)+IF(OR(COUNTA(AZ648:BB648)=0,AND(COUNTA(AZ648:BB648)=3,ISNUMBER(BB648))),0,1))&gt;0,"; An invoice is incomplete (needs No, Date and a number in Ex GST)","")&amp;IF((IF(T648="",0,IFERROR(--(EOMONTH(T648,0)&lt;&gt;S$5),1))+IF(W648="",0,IFERROR(--(EOMONTH(W648,0)&lt;&gt;V$5),1))+IF(Z648="",0,IFERROR(--(EOMONTH(Z648,0)&lt;&gt;Y$5),1))+IF(AC648="",0,IFERROR(--(EOMONTH(AC648,0)&lt;&gt;AB$5),1))+IF(AF648="",0,IFERROR(--(EOMONTH(AF648,0)&lt;&gt;AE$5),1))+IF(AI648="",0,IFERROR(--(EOMONTH(AI648,0)&lt;&gt;AH$5),1))+IF(AL648="",0,IFERROR(--(EOMONTH(AL648,0)&lt;&gt;AK$5),1))+IF(AO648="",0,IFERROR(--(EOMONTH(AO648,0)&lt;&gt;AN$5),1))+IF(AR648="",0,IFERROR(--(EOMONTH(AR648,0)&lt;&gt;AQ$5),1))+IF(AU648="",0,IFERROR(--(EOMONTH(AU648,0)&lt;&gt;AT$5),1))+IF(AX648="",0,IFERROR(--(EOMONTH(AX648,0)&lt;&gt;AW$5),1))+IF(BA648="",0,IFERROR(--(EOMONTH(BA648,0)&lt;&gt;AZ$5),1)))&gt;0,"; An invoice date is not in the month it is typed under",""),3,500))</f>
        <v/>
      </c>
      <c r="S648" s="12" t="n"/>
      <c r="T648" s="13" t="n"/>
      <c r="U648" s="14" t="n"/>
      <c r="V648" s="12" t="n"/>
      <c r="W648" s="13" t="n"/>
      <c r="X648" s="14" t="n"/>
      <c r="Y648" s="12" t="n"/>
      <c r="Z648" s="13" t="n"/>
      <c r="AA648" s="14" t="n"/>
      <c r="AB648" s="12" t="n"/>
      <c r="AC648" s="13" t="n"/>
      <c r="AD648" s="14" t="n"/>
      <c r="AE648" s="12" t="n"/>
      <c r="AF648" s="13" t="n"/>
      <c r="AG648" s="14" t="n"/>
      <c r="AH648" s="12" t="n"/>
      <c r="AI648" s="13" t="n"/>
      <c r="AJ648" s="14" t="n"/>
      <c r="AK648" s="12" t="n"/>
      <c r="AL648" s="13" t="n"/>
      <c r="AM648" s="14" t="n"/>
      <c r="AN648" s="12" t="n"/>
      <c r="AO648" s="13" t="n"/>
      <c r="AP648" s="14" t="n"/>
      <c r="AQ648" s="12" t="n"/>
      <c r="AR648" s="13" t="n"/>
      <c r="AS648" s="14" t="n"/>
      <c r="AT648" s="12" t="n"/>
      <c r="AU648" s="13" t="n"/>
      <c r="AV648" s="14" t="n"/>
      <c r="AW648" s="12" t="n"/>
      <c r="AX648" s="13" t="n"/>
      <c r="AY648" s="14" t="n"/>
      <c r="AZ648" s="12" t="n"/>
      <c r="BA648" s="13" t="n"/>
      <c r="BB648" s="14" t="n"/>
      <c r="BC648" s="11">
        <f>IF(O648="","",IF(J648="GST 10%",ROUND(O648*set_GSTRate,2),0))</f>
        <v/>
      </c>
      <c r="BD648" s="11">
        <f>IF(O648="","",O648+BC648)</f>
        <v/>
      </c>
      <c r="BE648" s="15">
        <f>IF(O648="","",COUNTA(S648,V648,Y648,AB648,AE648,AH648,AK648,AN648,AQ648,AT648,AW648,AZ648))</f>
        <v/>
      </c>
      <c r="BF648" s="16">
        <f>IF(COUNT(T648,W648,Z648,AC648,AF648,AI648,AL648,AO648,AR648,AU648,AX648,BA648)=0,"",MAX(T648,W648,Z648,AC648,AF648,AI648,AL648,AO648,AR648,AU648,AX648,BA648))</f>
        <v/>
      </c>
      <c r="BG648" s="10">
        <f>MID(IF(S648="","",", "&amp;S648)&amp;IF(V648="","",", "&amp;V648)&amp;IF(Y648="","",", "&amp;Y648)&amp;IF(AB648="","",", "&amp;AB648)&amp;IF(AE648="","",", "&amp;AE648)&amp;IF(AH648="","",", "&amp;AH648)&amp;IF(AK648="","",", "&amp;AK648)&amp;IF(AN648="","",", "&amp;AN648)&amp;IF(AQ648="","",", "&amp;AQ648)&amp;IF(AT648="","",", "&amp;AT648)&amp;IF(AW648="","",", "&amp;AW648)&amp;IF(AZ648="","",", "&amp;AZ648),3,500)</f>
        <v/>
      </c>
      <c r="BH648" s="12" t="n"/>
      <c r="BI648" s="15">
        <f>IFERROR(MATCH($A648,IF($B648="Onsite",tbl_Onsite[Row ID],IF($B648="Production",tbl_Production[Row ID],tbl_Consulting[Row ID])),0),"")</f>
        <v/>
      </c>
    </row>
    <row r="649">
      <c r="A649" s="10" t="inlineStr">
        <is>
          <t>PRD-0143</t>
        </is>
      </c>
      <c r="B649" s="10" t="inlineStr">
        <is>
          <t>Production</t>
        </is>
      </c>
      <c r="C649" s="10">
        <f>IF($BI649="","",IF($B649="Onsite",INDEX(tbl_Onsite[Job Number],$BI649),IF($B649="Production",INDEX(tbl_Production[Job Number],$BI649),INDEX(tbl_Consulting[Job Number],$BI649)))&amp;"")</f>
        <v/>
      </c>
      <c r="D649" s="10">
        <f>IF($BI649="","",IF($B649="Onsite",INDEX(tbl_Onsite[Client],$BI649),IF($B649="Production",INDEX(tbl_Production[Client],$BI649),INDEX(tbl_Consulting[Client],$BI649)))&amp;"")</f>
        <v/>
      </c>
      <c r="E649" s="10">
        <f>IF($C649="","",IF(COUNTIF(lst_Jobs,$C649)&gt;0,"OK","CHECK"))</f>
        <v/>
      </c>
      <c r="F649" s="10">
        <f>IF($C649="","",IFERROR(INDEX(lst_JobName,MATCH($C649,lst_Jobs,0)),""))</f>
        <v/>
      </c>
      <c r="G649" s="10">
        <f>IF($BI649="","",IF($B649="Onsite",INDEX(tbl_Onsite[Job Description],$BI649),IF($B649="Production",INDEX(tbl_Production[Job Description],$BI649),INDEX(tbl_Consulting[Job Description],$BI649)))&amp;"")</f>
        <v/>
      </c>
      <c r="H649" s="10">
        <f>IF($BI649="","",IF($B649="Onsite",INDEX(tbl_Onsite[Cost Centre],$BI649),IF($B649="Production",INDEX(tbl_Production[Cost Centre],$BI649),INDEX(tbl_Consulting[Cost Centre],$BI649)))&amp;"")</f>
        <v/>
      </c>
      <c r="I649" s="10">
        <f>IF($BI649="","",IF($B649="Onsite",INDEX(tbl_Onsite[Invoice Type],$BI649),IF($B649="Production",INDEX(tbl_Production[Invoice Type],$BI649),INDEX(tbl_Consulting[Invoice Type],$BI649)))&amp;"")</f>
        <v/>
      </c>
      <c r="J649" s="10">
        <f>IF($BI649="","",IF($B649="Onsite",INDEX(tbl_Onsite[Tax Code],$BI649),IF($B649="Production",INDEX(tbl_Production[Tax Code],$BI649),INDEX(tbl_Consulting[Tax Code],$BI649)))&amp;"")</f>
        <v/>
      </c>
      <c r="K649" s="10">
        <f>IF(H649="","",IFERROR(INDEX(lst_CCtoGL,MATCH(H649,lst_CCforGL,0)),""))</f>
        <v/>
      </c>
      <c r="L649" s="10">
        <f>IF($BI649="","",IF($B649="Onsite",INDEX(tbl_Onsite[PO / Reference],$BI649),IF($B649="Production",INDEX(tbl_Production[Current RMS No],$BI649),INDEX(tbl_Consulting[Qwilr Quote],$BI649)))&amp;"")</f>
        <v/>
      </c>
      <c r="M649" s="10">
        <f>IF($BI649="","",IF($B649="Onsite",INDEX(tbl_Onsite[Notes],$BI649),IF($B649="Production",INDEX(tbl_Production[Notes],$BI649),INDEX(tbl_Consulting[Notes],$BI649)))&amp;"")</f>
        <v/>
      </c>
      <c r="N649" s="11">
        <f>IF($BI649="","",IF(IF($B649="Onsite",INDEX(tbl_Onsite[Expected Revenue Ex GST],$BI649),IF($B649="Production",INDEX(tbl_Production[Expected Revenue Ex GST],$BI649),INDEX(tbl_Consulting[Expected Revenue Ex GST],$BI649)))="","",IF($B649="Onsite",INDEX(tbl_Onsite[Expected Revenue Ex GST],$BI649),IF($B649="Production",INDEX(tbl_Production[Expected Revenue Ex GST],$BI649),INDEX(tbl_Consulting[Expected Revenue Ex GST],$BI649)))))</f>
        <v/>
      </c>
      <c r="O649" s="11">
        <f>IF(AND($C649="",NOT(COUNTA($S649:$BB649)&gt;0)),"",SUM(U649,X649,AA649,AD649,AG649,AJ649,AM649,AP649,AS649,AV649,AY649,BB649))</f>
        <v/>
      </c>
      <c r="P649" s="11">
        <f>IF(O649="","",N(N649)-O649)</f>
        <v/>
      </c>
      <c r="Q649" s="10">
        <f>IF(O649="","",IF($C649="","Invoice on empty job row",IF(N649="",IF(ROUND(O649,2)=0,"No dept value","Invoiced - no dept value"),IF(ROUND(O649,2)=0,"Not invoiced - to invoice",IF(ROUND(P649,2)=0,"Agrees",IF(P649&gt;0,"Dept higher - to invoice","Xero higher - check dept"))))))</f>
        <v/>
      </c>
      <c r="R649" s="10">
        <f>IF(AND($C649="",NOT(COUNTA($S649:$BB649)&gt;0),$BI649&lt;&gt;""),"",MID(IF($BI649="","; Row ID not found on the department sheet - a row was deleted","")&amp;IF(AND($C649="",COUNTA($S649:$BB649)&gt;0),"; Invoice entered but the department row has no job number","")&amp;IF(E649="CHECK","; Job number not in the Xero job list","")&amp;IF(AND($C649&lt;&gt;"",COUNTIF($C$7:$C$1506,$C649)&gt;1),"; Job number on more than one row","")&amp;IF(AND($C649&lt;&gt;"",H649=""),"; Dept has not set a cost centre","")&amp;IF(AND($C649&lt;&gt;"",J649=""),"; Dept has not set a tax code","")&amp;IF(AND($C649&lt;&gt;"",N649=""),"; Dept has not entered an expected value","")&amp;IF((IF(OR(COUNTA(S649:U649)=0,AND(COUNTA(S649:U649)=3,ISNUMBER(U649))),0,1)+IF(OR(COUNTA(V649:X649)=0,AND(COUNTA(V649:X649)=3,ISNUMBER(X649))),0,1)+IF(OR(COUNTA(Y649:AA649)=0,AND(COUNTA(Y649:AA649)=3,ISNUMBER(AA649))),0,1)+IF(OR(COUNTA(AB649:AD649)=0,AND(COUNTA(AB649:AD649)=3,ISNUMBER(AD649))),0,1)+IF(OR(COUNTA(AE649:AG649)=0,AND(COUNTA(AE649:AG649)=3,ISNUMBER(AG649))),0,1)+IF(OR(COUNTA(AH649:AJ649)=0,AND(COUNTA(AH649:AJ649)=3,ISNUMBER(AJ649))),0,1)+IF(OR(COUNTA(AK649:AM649)=0,AND(COUNTA(AK649:AM649)=3,ISNUMBER(AM649))),0,1)+IF(OR(COUNTA(AN649:AP649)=0,AND(COUNTA(AN649:AP649)=3,ISNUMBER(AP649))),0,1)+IF(OR(COUNTA(AQ649:AS649)=0,AND(COUNTA(AQ649:AS649)=3,ISNUMBER(AS649))),0,1)+IF(OR(COUNTA(AT649:AV649)=0,AND(COUNTA(AT649:AV649)=3,ISNUMBER(AV649))),0,1)+IF(OR(COUNTA(AW649:AY649)=0,AND(COUNTA(AW649:AY649)=3,ISNUMBER(AY649))),0,1)+IF(OR(COUNTA(AZ649:BB649)=0,AND(COUNTA(AZ649:BB649)=3,ISNUMBER(BB649))),0,1))&gt;0,"; An invoice is incomplete (needs No, Date and a number in Ex GST)","")&amp;IF((IF(T649="",0,IFERROR(--(EOMONTH(T649,0)&lt;&gt;S$5),1))+IF(W649="",0,IFERROR(--(EOMONTH(W649,0)&lt;&gt;V$5),1))+IF(Z649="",0,IFERROR(--(EOMONTH(Z649,0)&lt;&gt;Y$5),1))+IF(AC649="",0,IFERROR(--(EOMONTH(AC649,0)&lt;&gt;AB$5),1))+IF(AF649="",0,IFERROR(--(EOMONTH(AF649,0)&lt;&gt;AE$5),1))+IF(AI649="",0,IFERROR(--(EOMONTH(AI649,0)&lt;&gt;AH$5),1))+IF(AL649="",0,IFERROR(--(EOMONTH(AL649,0)&lt;&gt;AK$5),1))+IF(AO649="",0,IFERROR(--(EOMONTH(AO649,0)&lt;&gt;AN$5),1))+IF(AR649="",0,IFERROR(--(EOMONTH(AR649,0)&lt;&gt;AQ$5),1))+IF(AU649="",0,IFERROR(--(EOMONTH(AU649,0)&lt;&gt;AT$5),1))+IF(AX649="",0,IFERROR(--(EOMONTH(AX649,0)&lt;&gt;AW$5),1))+IF(BA649="",0,IFERROR(--(EOMONTH(BA649,0)&lt;&gt;AZ$5),1)))&gt;0,"; An invoice date is not in the month it is typed under",""),3,500))</f>
        <v/>
      </c>
      <c r="S649" s="12" t="n"/>
      <c r="T649" s="13" t="n"/>
      <c r="U649" s="14" t="n"/>
      <c r="V649" s="12" t="n"/>
      <c r="W649" s="13" t="n"/>
      <c r="X649" s="14" t="n"/>
      <c r="Y649" s="12" t="n"/>
      <c r="Z649" s="13" t="n"/>
      <c r="AA649" s="14" t="n"/>
      <c r="AB649" s="12" t="n"/>
      <c r="AC649" s="13" t="n"/>
      <c r="AD649" s="14" t="n"/>
      <c r="AE649" s="12" t="n"/>
      <c r="AF649" s="13" t="n"/>
      <c r="AG649" s="14" t="n"/>
      <c r="AH649" s="12" t="n"/>
      <c r="AI649" s="13" t="n"/>
      <c r="AJ649" s="14" t="n"/>
      <c r="AK649" s="12" t="n"/>
      <c r="AL649" s="13" t="n"/>
      <c r="AM649" s="14" t="n"/>
      <c r="AN649" s="12" t="n"/>
      <c r="AO649" s="13" t="n"/>
      <c r="AP649" s="14" t="n"/>
      <c r="AQ649" s="12" t="n"/>
      <c r="AR649" s="13" t="n"/>
      <c r="AS649" s="14" t="n"/>
      <c r="AT649" s="12" t="n"/>
      <c r="AU649" s="13" t="n"/>
      <c r="AV649" s="14" t="n"/>
      <c r="AW649" s="12" t="n"/>
      <c r="AX649" s="13" t="n"/>
      <c r="AY649" s="14" t="n"/>
      <c r="AZ649" s="12" t="n"/>
      <c r="BA649" s="13" t="n"/>
      <c r="BB649" s="14" t="n"/>
      <c r="BC649" s="11">
        <f>IF(O649="","",IF(J649="GST 10%",ROUND(O649*set_GSTRate,2),0))</f>
        <v/>
      </c>
      <c r="BD649" s="11">
        <f>IF(O649="","",O649+BC649)</f>
        <v/>
      </c>
      <c r="BE649" s="15">
        <f>IF(O649="","",COUNTA(S649,V649,Y649,AB649,AE649,AH649,AK649,AN649,AQ649,AT649,AW649,AZ649))</f>
        <v/>
      </c>
      <c r="BF649" s="16">
        <f>IF(COUNT(T649,W649,Z649,AC649,AF649,AI649,AL649,AO649,AR649,AU649,AX649,BA649)=0,"",MAX(T649,W649,Z649,AC649,AF649,AI649,AL649,AO649,AR649,AU649,AX649,BA649))</f>
        <v/>
      </c>
      <c r="BG649" s="10">
        <f>MID(IF(S649="","",", "&amp;S649)&amp;IF(V649="","",", "&amp;V649)&amp;IF(Y649="","",", "&amp;Y649)&amp;IF(AB649="","",", "&amp;AB649)&amp;IF(AE649="","",", "&amp;AE649)&amp;IF(AH649="","",", "&amp;AH649)&amp;IF(AK649="","",", "&amp;AK649)&amp;IF(AN649="","",", "&amp;AN649)&amp;IF(AQ649="","",", "&amp;AQ649)&amp;IF(AT649="","",", "&amp;AT649)&amp;IF(AW649="","",", "&amp;AW649)&amp;IF(AZ649="","",", "&amp;AZ649),3,500)</f>
        <v/>
      </c>
      <c r="BH649" s="12" t="n"/>
      <c r="BI649" s="15">
        <f>IFERROR(MATCH($A649,IF($B649="Onsite",tbl_Onsite[Row ID],IF($B649="Production",tbl_Production[Row ID],tbl_Consulting[Row ID])),0),"")</f>
        <v/>
      </c>
    </row>
    <row r="650">
      <c r="A650" s="10" t="inlineStr">
        <is>
          <t>PRD-0144</t>
        </is>
      </c>
      <c r="B650" s="10" t="inlineStr">
        <is>
          <t>Production</t>
        </is>
      </c>
      <c r="C650" s="10">
        <f>IF($BI650="","",IF($B650="Onsite",INDEX(tbl_Onsite[Job Number],$BI650),IF($B650="Production",INDEX(tbl_Production[Job Number],$BI650),INDEX(tbl_Consulting[Job Number],$BI650)))&amp;"")</f>
        <v/>
      </c>
      <c r="D650" s="10">
        <f>IF($BI650="","",IF($B650="Onsite",INDEX(tbl_Onsite[Client],$BI650),IF($B650="Production",INDEX(tbl_Production[Client],$BI650),INDEX(tbl_Consulting[Client],$BI650)))&amp;"")</f>
        <v/>
      </c>
      <c r="E650" s="10">
        <f>IF($C650="","",IF(COUNTIF(lst_Jobs,$C650)&gt;0,"OK","CHECK"))</f>
        <v/>
      </c>
      <c r="F650" s="10">
        <f>IF($C650="","",IFERROR(INDEX(lst_JobName,MATCH($C650,lst_Jobs,0)),""))</f>
        <v/>
      </c>
      <c r="G650" s="10">
        <f>IF($BI650="","",IF($B650="Onsite",INDEX(tbl_Onsite[Job Description],$BI650),IF($B650="Production",INDEX(tbl_Production[Job Description],$BI650),INDEX(tbl_Consulting[Job Description],$BI650)))&amp;"")</f>
        <v/>
      </c>
      <c r="H650" s="10">
        <f>IF($BI650="","",IF($B650="Onsite",INDEX(tbl_Onsite[Cost Centre],$BI650),IF($B650="Production",INDEX(tbl_Production[Cost Centre],$BI650),INDEX(tbl_Consulting[Cost Centre],$BI650)))&amp;"")</f>
        <v/>
      </c>
      <c r="I650" s="10">
        <f>IF($BI650="","",IF($B650="Onsite",INDEX(tbl_Onsite[Invoice Type],$BI650),IF($B650="Production",INDEX(tbl_Production[Invoice Type],$BI650),INDEX(tbl_Consulting[Invoice Type],$BI650)))&amp;"")</f>
        <v/>
      </c>
      <c r="J650" s="10">
        <f>IF($BI650="","",IF($B650="Onsite",INDEX(tbl_Onsite[Tax Code],$BI650),IF($B650="Production",INDEX(tbl_Production[Tax Code],$BI650),INDEX(tbl_Consulting[Tax Code],$BI650)))&amp;"")</f>
        <v/>
      </c>
      <c r="K650" s="10">
        <f>IF(H650="","",IFERROR(INDEX(lst_CCtoGL,MATCH(H650,lst_CCforGL,0)),""))</f>
        <v/>
      </c>
      <c r="L650" s="10">
        <f>IF($BI650="","",IF($B650="Onsite",INDEX(tbl_Onsite[PO / Reference],$BI650),IF($B650="Production",INDEX(tbl_Production[Current RMS No],$BI650),INDEX(tbl_Consulting[Qwilr Quote],$BI650)))&amp;"")</f>
        <v/>
      </c>
      <c r="M650" s="10">
        <f>IF($BI650="","",IF($B650="Onsite",INDEX(tbl_Onsite[Notes],$BI650),IF($B650="Production",INDEX(tbl_Production[Notes],$BI650),INDEX(tbl_Consulting[Notes],$BI650)))&amp;"")</f>
        <v/>
      </c>
      <c r="N650" s="11">
        <f>IF($BI650="","",IF(IF($B650="Onsite",INDEX(tbl_Onsite[Expected Revenue Ex GST],$BI650),IF($B650="Production",INDEX(tbl_Production[Expected Revenue Ex GST],$BI650),INDEX(tbl_Consulting[Expected Revenue Ex GST],$BI650)))="","",IF($B650="Onsite",INDEX(tbl_Onsite[Expected Revenue Ex GST],$BI650),IF($B650="Production",INDEX(tbl_Production[Expected Revenue Ex GST],$BI650),INDEX(tbl_Consulting[Expected Revenue Ex GST],$BI650)))))</f>
        <v/>
      </c>
      <c r="O650" s="11">
        <f>IF(AND($C650="",NOT(COUNTA($S650:$BB650)&gt;0)),"",SUM(U650,X650,AA650,AD650,AG650,AJ650,AM650,AP650,AS650,AV650,AY650,BB650))</f>
        <v/>
      </c>
      <c r="P650" s="11">
        <f>IF(O650="","",N(N650)-O650)</f>
        <v/>
      </c>
      <c r="Q650" s="10">
        <f>IF(O650="","",IF($C650="","Invoice on empty job row",IF(N650="",IF(ROUND(O650,2)=0,"No dept value","Invoiced - no dept value"),IF(ROUND(O650,2)=0,"Not invoiced - to invoice",IF(ROUND(P650,2)=0,"Agrees",IF(P650&gt;0,"Dept higher - to invoice","Xero higher - check dept"))))))</f>
        <v/>
      </c>
      <c r="R650" s="10">
        <f>IF(AND($C650="",NOT(COUNTA($S650:$BB650)&gt;0),$BI650&lt;&gt;""),"",MID(IF($BI650="","; Row ID not found on the department sheet - a row was deleted","")&amp;IF(AND($C650="",COUNTA($S650:$BB650)&gt;0),"; Invoice entered but the department row has no job number","")&amp;IF(E650="CHECK","; Job number not in the Xero job list","")&amp;IF(AND($C650&lt;&gt;"",COUNTIF($C$7:$C$1506,$C650)&gt;1),"; Job number on more than one row","")&amp;IF(AND($C650&lt;&gt;"",H650=""),"; Dept has not set a cost centre","")&amp;IF(AND($C650&lt;&gt;"",J650=""),"; Dept has not set a tax code","")&amp;IF(AND($C650&lt;&gt;"",N650=""),"; Dept has not entered an expected value","")&amp;IF((IF(OR(COUNTA(S650:U650)=0,AND(COUNTA(S650:U650)=3,ISNUMBER(U650))),0,1)+IF(OR(COUNTA(V650:X650)=0,AND(COUNTA(V650:X650)=3,ISNUMBER(X650))),0,1)+IF(OR(COUNTA(Y650:AA650)=0,AND(COUNTA(Y650:AA650)=3,ISNUMBER(AA650))),0,1)+IF(OR(COUNTA(AB650:AD650)=0,AND(COUNTA(AB650:AD650)=3,ISNUMBER(AD650))),0,1)+IF(OR(COUNTA(AE650:AG650)=0,AND(COUNTA(AE650:AG650)=3,ISNUMBER(AG650))),0,1)+IF(OR(COUNTA(AH650:AJ650)=0,AND(COUNTA(AH650:AJ650)=3,ISNUMBER(AJ650))),0,1)+IF(OR(COUNTA(AK650:AM650)=0,AND(COUNTA(AK650:AM650)=3,ISNUMBER(AM650))),0,1)+IF(OR(COUNTA(AN650:AP650)=0,AND(COUNTA(AN650:AP650)=3,ISNUMBER(AP650))),0,1)+IF(OR(COUNTA(AQ650:AS650)=0,AND(COUNTA(AQ650:AS650)=3,ISNUMBER(AS650))),0,1)+IF(OR(COUNTA(AT650:AV650)=0,AND(COUNTA(AT650:AV650)=3,ISNUMBER(AV650))),0,1)+IF(OR(COUNTA(AW650:AY650)=0,AND(COUNTA(AW650:AY650)=3,ISNUMBER(AY650))),0,1)+IF(OR(COUNTA(AZ650:BB650)=0,AND(COUNTA(AZ650:BB650)=3,ISNUMBER(BB650))),0,1))&gt;0,"; An invoice is incomplete (needs No, Date and a number in Ex GST)","")&amp;IF((IF(T650="",0,IFERROR(--(EOMONTH(T650,0)&lt;&gt;S$5),1))+IF(W650="",0,IFERROR(--(EOMONTH(W650,0)&lt;&gt;V$5),1))+IF(Z650="",0,IFERROR(--(EOMONTH(Z650,0)&lt;&gt;Y$5),1))+IF(AC650="",0,IFERROR(--(EOMONTH(AC650,0)&lt;&gt;AB$5),1))+IF(AF650="",0,IFERROR(--(EOMONTH(AF650,0)&lt;&gt;AE$5),1))+IF(AI650="",0,IFERROR(--(EOMONTH(AI650,0)&lt;&gt;AH$5),1))+IF(AL650="",0,IFERROR(--(EOMONTH(AL650,0)&lt;&gt;AK$5),1))+IF(AO650="",0,IFERROR(--(EOMONTH(AO650,0)&lt;&gt;AN$5),1))+IF(AR650="",0,IFERROR(--(EOMONTH(AR650,0)&lt;&gt;AQ$5),1))+IF(AU650="",0,IFERROR(--(EOMONTH(AU650,0)&lt;&gt;AT$5),1))+IF(AX650="",0,IFERROR(--(EOMONTH(AX650,0)&lt;&gt;AW$5),1))+IF(BA650="",0,IFERROR(--(EOMONTH(BA650,0)&lt;&gt;AZ$5),1)))&gt;0,"; An invoice date is not in the month it is typed under",""),3,500))</f>
        <v/>
      </c>
      <c r="S650" s="12" t="n"/>
      <c r="T650" s="13" t="n"/>
      <c r="U650" s="14" t="n"/>
      <c r="V650" s="12" t="n"/>
      <c r="W650" s="13" t="n"/>
      <c r="X650" s="14" t="n"/>
      <c r="Y650" s="12" t="n"/>
      <c r="Z650" s="13" t="n"/>
      <c r="AA650" s="14" t="n"/>
      <c r="AB650" s="12" t="n"/>
      <c r="AC650" s="13" t="n"/>
      <c r="AD650" s="14" t="n"/>
      <c r="AE650" s="12" t="n"/>
      <c r="AF650" s="13" t="n"/>
      <c r="AG650" s="14" t="n"/>
      <c r="AH650" s="12" t="n"/>
      <c r="AI650" s="13" t="n"/>
      <c r="AJ650" s="14" t="n"/>
      <c r="AK650" s="12" t="n"/>
      <c r="AL650" s="13" t="n"/>
      <c r="AM650" s="14" t="n"/>
      <c r="AN650" s="12" t="n"/>
      <c r="AO650" s="13" t="n"/>
      <c r="AP650" s="14" t="n"/>
      <c r="AQ650" s="12" t="n"/>
      <c r="AR650" s="13" t="n"/>
      <c r="AS650" s="14" t="n"/>
      <c r="AT650" s="12" t="n"/>
      <c r="AU650" s="13" t="n"/>
      <c r="AV650" s="14" t="n"/>
      <c r="AW650" s="12" t="n"/>
      <c r="AX650" s="13" t="n"/>
      <c r="AY650" s="14" t="n"/>
      <c r="AZ650" s="12" t="n"/>
      <c r="BA650" s="13" t="n"/>
      <c r="BB650" s="14" t="n"/>
      <c r="BC650" s="11">
        <f>IF(O650="","",IF(J650="GST 10%",ROUND(O650*set_GSTRate,2),0))</f>
        <v/>
      </c>
      <c r="BD650" s="11">
        <f>IF(O650="","",O650+BC650)</f>
        <v/>
      </c>
      <c r="BE650" s="15">
        <f>IF(O650="","",COUNTA(S650,V650,Y650,AB650,AE650,AH650,AK650,AN650,AQ650,AT650,AW650,AZ650))</f>
        <v/>
      </c>
      <c r="BF650" s="16">
        <f>IF(COUNT(T650,W650,Z650,AC650,AF650,AI650,AL650,AO650,AR650,AU650,AX650,BA650)=0,"",MAX(T650,W650,Z650,AC650,AF650,AI650,AL650,AO650,AR650,AU650,AX650,BA650))</f>
        <v/>
      </c>
      <c r="BG650" s="10">
        <f>MID(IF(S650="","",", "&amp;S650)&amp;IF(V650="","",", "&amp;V650)&amp;IF(Y650="","",", "&amp;Y650)&amp;IF(AB650="","",", "&amp;AB650)&amp;IF(AE650="","",", "&amp;AE650)&amp;IF(AH650="","",", "&amp;AH650)&amp;IF(AK650="","",", "&amp;AK650)&amp;IF(AN650="","",", "&amp;AN650)&amp;IF(AQ650="","",", "&amp;AQ650)&amp;IF(AT650="","",", "&amp;AT650)&amp;IF(AW650="","",", "&amp;AW650)&amp;IF(AZ650="","",", "&amp;AZ650),3,500)</f>
        <v/>
      </c>
      <c r="BH650" s="12" t="n"/>
      <c r="BI650" s="15">
        <f>IFERROR(MATCH($A650,IF($B650="Onsite",tbl_Onsite[Row ID],IF($B650="Production",tbl_Production[Row ID],tbl_Consulting[Row ID])),0),"")</f>
        <v/>
      </c>
    </row>
    <row r="651">
      <c r="A651" s="10" t="inlineStr">
        <is>
          <t>PRD-0145</t>
        </is>
      </c>
      <c r="B651" s="10" t="inlineStr">
        <is>
          <t>Production</t>
        </is>
      </c>
      <c r="C651" s="10">
        <f>IF($BI651="","",IF($B651="Onsite",INDEX(tbl_Onsite[Job Number],$BI651),IF($B651="Production",INDEX(tbl_Production[Job Number],$BI651),INDEX(tbl_Consulting[Job Number],$BI651)))&amp;"")</f>
        <v/>
      </c>
      <c r="D651" s="10">
        <f>IF($BI651="","",IF($B651="Onsite",INDEX(tbl_Onsite[Client],$BI651),IF($B651="Production",INDEX(tbl_Production[Client],$BI651),INDEX(tbl_Consulting[Client],$BI651)))&amp;"")</f>
        <v/>
      </c>
      <c r="E651" s="10">
        <f>IF($C651="","",IF(COUNTIF(lst_Jobs,$C651)&gt;0,"OK","CHECK"))</f>
        <v/>
      </c>
      <c r="F651" s="10">
        <f>IF($C651="","",IFERROR(INDEX(lst_JobName,MATCH($C651,lst_Jobs,0)),""))</f>
        <v/>
      </c>
      <c r="G651" s="10">
        <f>IF($BI651="","",IF($B651="Onsite",INDEX(tbl_Onsite[Job Description],$BI651),IF($B651="Production",INDEX(tbl_Production[Job Description],$BI651),INDEX(tbl_Consulting[Job Description],$BI651)))&amp;"")</f>
        <v/>
      </c>
      <c r="H651" s="10">
        <f>IF($BI651="","",IF($B651="Onsite",INDEX(tbl_Onsite[Cost Centre],$BI651),IF($B651="Production",INDEX(tbl_Production[Cost Centre],$BI651),INDEX(tbl_Consulting[Cost Centre],$BI651)))&amp;"")</f>
        <v/>
      </c>
      <c r="I651" s="10">
        <f>IF($BI651="","",IF($B651="Onsite",INDEX(tbl_Onsite[Invoice Type],$BI651),IF($B651="Production",INDEX(tbl_Production[Invoice Type],$BI651),INDEX(tbl_Consulting[Invoice Type],$BI651)))&amp;"")</f>
        <v/>
      </c>
      <c r="J651" s="10">
        <f>IF($BI651="","",IF($B651="Onsite",INDEX(tbl_Onsite[Tax Code],$BI651),IF($B651="Production",INDEX(tbl_Production[Tax Code],$BI651),INDEX(tbl_Consulting[Tax Code],$BI651)))&amp;"")</f>
        <v/>
      </c>
      <c r="K651" s="10">
        <f>IF(H651="","",IFERROR(INDEX(lst_CCtoGL,MATCH(H651,lst_CCforGL,0)),""))</f>
        <v/>
      </c>
      <c r="L651" s="10">
        <f>IF($BI651="","",IF($B651="Onsite",INDEX(tbl_Onsite[PO / Reference],$BI651),IF($B651="Production",INDEX(tbl_Production[Current RMS No],$BI651),INDEX(tbl_Consulting[Qwilr Quote],$BI651)))&amp;"")</f>
        <v/>
      </c>
      <c r="M651" s="10">
        <f>IF($BI651="","",IF($B651="Onsite",INDEX(tbl_Onsite[Notes],$BI651),IF($B651="Production",INDEX(tbl_Production[Notes],$BI651),INDEX(tbl_Consulting[Notes],$BI651)))&amp;"")</f>
        <v/>
      </c>
      <c r="N651" s="11">
        <f>IF($BI651="","",IF(IF($B651="Onsite",INDEX(tbl_Onsite[Expected Revenue Ex GST],$BI651),IF($B651="Production",INDEX(tbl_Production[Expected Revenue Ex GST],$BI651),INDEX(tbl_Consulting[Expected Revenue Ex GST],$BI651)))="","",IF($B651="Onsite",INDEX(tbl_Onsite[Expected Revenue Ex GST],$BI651),IF($B651="Production",INDEX(tbl_Production[Expected Revenue Ex GST],$BI651),INDEX(tbl_Consulting[Expected Revenue Ex GST],$BI651)))))</f>
        <v/>
      </c>
      <c r="O651" s="11">
        <f>IF(AND($C651="",NOT(COUNTA($S651:$BB651)&gt;0)),"",SUM(U651,X651,AA651,AD651,AG651,AJ651,AM651,AP651,AS651,AV651,AY651,BB651))</f>
        <v/>
      </c>
      <c r="P651" s="11">
        <f>IF(O651="","",N(N651)-O651)</f>
        <v/>
      </c>
      <c r="Q651" s="10">
        <f>IF(O651="","",IF($C651="","Invoice on empty job row",IF(N651="",IF(ROUND(O651,2)=0,"No dept value","Invoiced - no dept value"),IF(ROUND(O651,2)=0,"Not invoiced - to invoice",IF(ROUND(P651,2)=0,"Agrees",IF(P651&gt;0,"Dept higher - to invoice","Xero higher - check dept"))))))</f>
        <v/>
      </c>
      <c r="R651" s="10">
        <f>IF(AND($C651="",NOT(COUNTA($S651:$BB651)&gt;0),$BI651&lt;&gt;""),"",MID(IF($BI651="","; Row ID not found on the department sheet - a row was deleted","")&amp;IF(AND($C651="",COUNTA($S651:$BB651)&gt;0),"; Invoice entered but the department row has no job number","")&amp;IF(E651="CHECK","; Job number not in the Xero job list","")&amp;IF(AND($C651&lt;&gt;"",COUNTIF($C$7:$C$1506,$C651)&gt;1),"; Job number on more than one row","")&amp;IF(AND($C651&lt;&gt;"",H651=""),"; Dept has not set a cost centre","")&amp;IF(AND($C651&lt;&gt;"",J651=""),"; Dept has not set a tax code","")&amp;IF(AND($C651&lt;&gt;"",N651=""),"; Dept has not entered an expected value","")&amp;IF((IF(OR(COUNTA(S651:U651)=0,AND(COUNTA(S651:U651)=3,ISNUMBER(U651))),0,1)+IF(OR(COUNTA(V651:X651)=0,AND(COUNTA(V651:X651)=3,ISNUMBER(X651))),0,1)+IF(OR(COUNTA(Y651:AA651)=0,AND(COUNTA(Y651:AA651)=3,ISNUMBER(AA651))),0,1)+IF(OR(COUNTA(AB651:AD651)=0,AND(COUNTA(AB651:AD651)=3,ISNUMBER(AD651))),0,1)+IF(OR(COUNTA(AE651:AG651)=0,AND(COUNTA(AE651:AG651)=3,ISNUMBER(AG651))),0,1)+IF(OR(COUNTA(AH651:AJ651)=0,AND(COUNTA(AH651:AJ651)=3,ISNUMBER(AJ651))),0,1)+IF(OR(COUNTA(AK651:AM651)=0,AND(COUNTA(AK651:AM651)=3,ISNUMBER(AM651))),0,1)+IF(OR(COUNTA(AN651:AP651)=0,AND(COUNTA(AN651:AP651)=3,ISNUMBER(AP651))),0,1)+IF(OR(COUNTA(AQ651:AS651)=0,AND(COUNTA(AQ651:AS651)=3,ISNUMBER(AS651))),0,1)+IF(OR(COUNTA(AT651:AV651)=0,AND(COUNTA(AT651:AV651)=3,ISNUMBER(AV651))),0,1)+IF(OR(COUNTA(AW651:AY651)=0,AND(COUNTA(AW651:AY651)=3,ISNUMBER(AY651))),0,1)+IF(OR(COUNTA(AZ651:BB651)=0,AND(COUNTA(AZ651:BB651)=3,ISNUMBER(BB651))),0,1))&gt;0,"; An invoice is incomplete (needs No, Date and a number in Ex GST)","")&amp;IF((IF(T651="",0,IFERROR(--(EOMONTH(T651,0)&lt;&gt;S$5),1))+IF(W651="",0,IFERROR(--(EOMONTH(W651,0)&lt;&gt;V$5),1))+IF(Z651="",0,IFERROR(--(EOMONTH(Z651,0)&lt;&gt;Y$5),1))+IF(AC651="",0,IFERROR(--(EOMONTH(AC651,0)&lt;&gt;AB$5),1))+IF(AF651="",0,IFERROR(--(EOMONTH(AF651,0)&lt;&gt;AE$5),1))+IF(AI651="",0,IFERROR(--(EOMONTH(AI651,0)&lt;&gt;AH$5),1))+IF(AL651="",0,IFERROR(--(EOMONTH(AL651,0)&lt;&gt;AK$5),1))+IF(AO651="",0,IFERROR(--(EOMONTH(AO651,0)&lt;&gt;AN$5),1))+IF(AR651="",0,IFERROR(--(EOMONTH(AR651,0)&lt;&gt;AQ$5),1))+IF(AU651="",0,IFERROR(--(EOMONTH(AU651,0)&lt;&gt;AT$5),1))+IF(AX651="",0,IFERROR(--(EOMONTH(AX651,0)&lt;&gt;AW$5),1))+IF(BA651="",0,IFERROR(--(EOMONTH(BA651,0)&lt;&gt;AZ$5),1)))&gt;0,"; An invoice date is not in the month it is typed under",""),3,500))</f>
        <v/>
      </c>
      <c r="S651" s="12" t="n"/>
      <c r="T651" s="13" t="n"/>
      <c r="U651" s="14" t="n"/>
      <c r="V651" s="12" t="n"/>
      <c r="W651" s="13" t="n"/>
      <c r="X651" s="14" t="n"/>
      <c r="Y651" s="12" t="n"/>
      <c r="Z651" s="13" t="n"/>
      <c r="AA651" s="14" t="n"/>
      <c r="AB651" s="12" t="n"/>
      <c r="AC651" s="13" t="n"/>
      <c r="AD651" s="14" t="n"/>
      <c r="AE651" s="12" t="n"/>
      <c r="AF651" s="13" t="n"/>
      <c r="AG651" s="14" t="n"/>
      <c r="AH651" s="12" t="n"/>
      <c r="AI651" s="13" t="n"/>
      <c r="AJ651" s="14" t="n"/>
      <c r="AK651" s="12" t="n"/>
      <c r="AL651" s="13" t="n"/>
      <c r="AM651" s="14" t="n"/>
      <c r="AN651" s="12" t="n"/>
      <c r="AO651" s="13" t="n"/>
      <c r="AP651" s="14" t="n"/>
      <c r="AQ651" s="12" t="n"/>
      <c r="AR651" s="13" t="n"/>
      <c r="AS651" s="14" t="n"/>
      <c r="AT651" s="12" t="n"/>
      <c r="AU651" s="13" t="n"/>
      <c r="AV651" s="14" t="n"/>
      <c r="AW651" s="12" t="n"/>
      <c r="AX651" s="13" t="n"/>
      <c r="AY651" s="14" t="n"/>
      <c r="AZ651" s="12" t="n"/>
      <c r="BA651" s="13" t="n"/>
      <c r="BB651" s="14" t="n"/>
      <c r="BC651" s="11">
        <f>IF(O651="","",IF(J651="GST 10%",ROUND(O651*set_GSTRate,2),0))</f>
        <v/>
      </c>
      <c r="BD651" s="11">
        <f>IF(O651="","",O651+BC651)</f>
        <v/>
      </c>
      <c r="BE651" s="15">
        <f>IF(O651="","",COUNTA(S651,V651,Y651,AB651,AE651,AH651,AK651,AN651,AQ651,AT651,AW651,AZ651))</f>
        <v/>
      </c>
      <c r="BF651" s="16">
        <f>IF(COUNT(T651,W651,Z651,AC651,AF651,AI651,AL651,AO651,AR651,AU651,AX651,BA651)=0,"",MAX(T651,W651,Z651,AC651,AF651,AI651,AL651,AO651,AR651,AU651,AX651,BA651))</f>
        <v/>
      </c>
      <c r="BG651" s="10">
        <f>MID(IF(S651="","",", "&amp;S651)&amp;IF(V651="","",", "&amp;V651)&amp;IF(Y651="","",", "&amp;Y651)&amp;IF(AB651="","",", "&amp;AB651)&amp;IF(AE651="","",", "&amp;AE651)&amp;IF(AH651="","",", "&amp;AH651)&amp;IF(AK651="","",", "&amp;AK651)&amp;IF(AN651="","",", "&amp;AN651)&amp;IF(AQ651="","",", "&amp;AQ651)&amp;IF(AT651="","",", "&amp;AT651)&amp;IF(AW651="","",", "&amp;AW651)&amp;IF(AZ651="","",", "&amp;AZ651),3,500)</f>
        <v/>
      </c>
      <c r="BH651" s="12" t="n"/>
      <c r="BI651" s="15">
        <f>IFERROR(MATCH($A651,IF($B651="Onsite",tbl_Onsite[Row ID],IF($B651="Production",tbl_Production[Row ID],tbl_Consulting[Row ID])),0),"")</f>
        <v/>
      </c>
    </row>
    <row r="652">
      <c r="A652" s="10" t="inlineStr">
        <is>
          <t>PRD-0146</t>
        </is>
      </c>
      <c r="B652" s="10" t="inlineStr">
        <is>
          <t>Production</t>
        </is>
      </c>
      <c r="C652" s="10">
        <f>IF($BI652="","",IF($B652="Onsite",INDEX(tbl_Onsite[Job Number],$BI652),IF($B652="Production",INDEX(tbl_Production[Job Number],$BI652),INDEX(tbl_Consulting[Job Number],$BI652)))&amp;"")</f>
        <v/>
      </c>
      <c r="D652" s="10">
        <f>IF($BI652="","",IF($B652="Onsite",INDEX(tbl_Onsite[Client],$BI652),IF($B652="Production",INDEX(tbl_Production[Client],$BI652),INDEX(tbl_Consulting[Client],$BI652)))&amp;"")</f>
        <v/>
      </c>
      <c r="E652" s="10">
        <f>IF($C652="","",IF(COUNTIF(lst_Jobs,$C652)&gt;0,"OK","CHECK"))</f>
        <v/>
      </c>
      <c r="F652" s="10">
        <f>IF($C652="","",IFERROR(INDEX(lst_JobName,MATCH($C652,lst_Jobs,0)),""))</f>
        <v/>
      </c>
      <c r="G652" s="10">
        <f>IF($BI652="","",IF($B652="Onsite",INDEX(tbl_Onsite[Job Description],$BI652),IF($B652="Production",INDEX(tbl_Production[Job Description],$BI652),INDEX(tbl_Consulting[Job Description],$BI652)))&amp;"")</f>
        <v/>
      </c>
      <c r="H652" s="10">
        <f>IF($BI652="","",IF($B652="Onsite",INDEX(tbl_Onsite[Cost Centre],$BI652),IF($B652="Production",INDEX(tbl_Production[Cost Centre],$BI652),INDEX(tbl_Consulting[Cost Centre],$BI652)))&amp;"")</f>
        <v/>
      </c>
      <c r="I652" s="10">
        <f>IF($BI652="","",IF($B652="Onsite",INDEX(tbl_Onsite[Invoice Type],$BI652),IF($B652="Production",INDEX(tbl_Production[Invoice Type],$BI652),INDEX(tbl_Consulting[Invoice Type],$BI652)))&amp;"")</f>
        <v/>
      </c>
      <c r="J652" s="10">
        <f>IF($BI652="","",IF($B652="Onsite",INDEX(tbl_Onsite[Tax Code],$BI652),IF($B652="Production",INDEX(tbl_Production[Tax Code],$BI652),INDEX(tbl_Consulting[Tax Code],$BI652)))&amp;"")</f>
        <v/>
      </c>
      <c r="K652" s="10">
        <f>IF(H652="","",IFERROR(INDEX(lst_CCtoGL,MATCH(H652,lst_CCforGL,0)),""))</f>
        <v/>
      </c>
      <c r="L652" s="10">
        <f>IF($BI652="","",IF($B652="Onsite",INDEX(tbl_Onsite[PO / Reference],$BI652),IF($B652="Production",INDEX(tbl_Production[Current RMS No],$BI652),INDEX(tbl_Consulting[Qwilr Quote],$BI652)))&amp;"")</f>
        <v/>
      </c>
      <c r="M652" s="10">
        <f>IF($BI652="","",IF($B652="Onsite",INDEX(tbl_Onsite[Notes],$BI652),IF($B652="Production",INDEX(tbl_Production[Notes],$BI652),INDEX(tbl_Consulting[Notes],$BI652)))&amp;"")</f>
        <v/>
      </c>
      <c r="N652" s="11">
        <f>IF($BI652="","",IF(IF($B652="Onsite",INDEX(tbl_Onsite[Expected Revenue Ex GST],$BI652),IF($B652="Production",INDEX(tbl_Production[Expected Revenue Ex GST],$BI652),INDEX(tbl_Consulting[Expected Revenue Ex GST],$BI652)))="","",IF($B652="Onsite",INDEX(tbl_Onsite[Expected Revenue Ex GST],$BI652),IF($B652="Production",INDEX(tbl_Production[Expected Revenue Ex GST],$BI652),INDEX(tbl_Consulting[Expected Revenue Ex GST],$BI652)))))</f>
        <v/>
      </c>
      <c r="O652" s="11">
        <f>IF(AND($C652="",NOT(COUNTA($S652:$BB652)&gt;0)),"",SUM(U652,X652,AA652,AD652,AG652,AJ652,AM652,AP652,AS652,AV652,AY652,BB652))</f>
        <v/>
      </c>
      <c r="P652" s="11">
        <f>IF(O652="","",N(N652)-O652)</f>
        <v/>
      </c>
      <c r="Q652" s="10">
        <f>IF(O652="","",IF($C652="","Invoice on empty job row",IF(N652="",IF(ROUND(O652,2)=0,"No dept value","Invoiced - no dept value"),IF(ROUND(O652,2)=0,"Not invoiced - to invoice",IF(ROUND(P652,2)=0,"Agrees",IF(P652&gt;0,"Dept higher - to invoice","Xero higher - check dept"))))))</f>
        <v/>
      </c>
      <c r="R652" s="10">
        <f>IF(AND($C652="",NOT(COUNTA($S652:$BB652)&gt;0),$BI652&lt;&gt;""),"",MID(IF($BI652="","; Row ID not found on the department sheet - a row was deleted","")&amp;IF(AND($C652="",COUNTA($S652:$BB652)&gt;0),"; Invoice entered but the department row has no job number","")&amp;IF(E652="CHECK","; Job number not in the Xero job list","")&amp;IF(AND($C652&lt;&gt;"",COUNTIF($C$7:$C$1506,$C652)&gt;1),"; Job number on more than one row","")&amp;IF(AND($C652&lt;&gt;"",H652=""),"; Dept has not set a cost centre","")&amp;IF(AND($C652&lt;&gt;"",J652=""),"; Dept has not set a tax code","")&amp;IF(AND($C652&lt;&gt;"",N652=""),"; Dept has not entered an expected value","")&amp;IF((IF(OR(COUNTA(S652:U652)=0,AND(COUNTA(S652:U652)=3,ISNUMBER(U652))),0,1)+IF(OR(COUNTA(V652:X652)=0,AND(COUNTA(V652:X652)=3,ISNUMBER(X652))),0,1)+IF(OR(COUNTA(Y652:AA652)=0,AND(COUNTA(Y652:AA652)=3,ISNUMBER(AA652))),0,1)+IF(OR(COUNTA(AB652:AD652)=0,AND(COUNTA(AB652:AD652)=3,ISNUMBER(AD652))),0,1)+IF(OR(COUNTA(AE652:AG652)=0,AND(COUNTA(AE652:AG652)=3,ISNUMBER(AG652))),0,1)+IF(OR(COUNTA(AH652:AJ652)=0,AND(COUNTA(AH652:AJ652)=3,ISNUMBER(AJ652))),0,1)+IF(OR(COUNTA(AK652:AM652)=0,AND(COUNTA(AK652:AM652)=3,ISNUMBER(AM652))),0,1)+IF(OR(COUNTA(AN652:AP652)=0,AND(COUNTA(AN652:AP652)=3,ISNUMBER(AP652))),0,1)+IF(OR(COUNTA(AQ652:AS652)=0,AND(COUNTA(AQ652:AS652)=3,ISNUMBER(AS652))),0,1)+IF(OR(COUNTA(AT652:AV652)=0,AND(COUNTA(AT652:AV652)=3,ISNUMBER(AV652))),0,1)+IF(OR(COUNTA(AW652:AY652)=0,AND(COUNTA(AW652:AY652)=3,ISNUMBER(AY652))),0,1)+IF(OR(COUNTA(AZ652:BB652)=0,AND(COUNTA(AZ652:BB652)=3,ISNUMBER(BB652))),0,1))&gt;0,"; An invoice is incomplete (needs No, Date and a number in Ex GST)","")&amp;IF((IF(T652="",0,IFERROR(--(EOMONTH(T652,0)&lt;&gt;S$5),1))+IF(W652="",0,IFERROR(--(EOMONTH(W652,0)&lt;&gt;V$5),1))+IF(Z652="",0,IFERROR(--(EOMONTH(Z652,0)&lt;&gt;Y$5),1))+IF(AC652="",0,IFERROR(--(EOMONTH(AC652,0)&lt;&gt;AB$5),1))+IF(AF652="",0,IFERROR(--(EOMONTH(AF652,0)&lt;&gt;AE$5),1))+IF(AI652="",0,IFERROR(--(EOMONTH(AI652,0)&lt;&gt;AH$5),1))+IF(AL652="",0,IFERROR(--(EOMONTH(AL652,0)&lt;&gt;AK$5),1))+IF(AO652="",0,IFERROR(--(EOMONTH(AO652,0)&lt;&gt;AN$5),1))+IF(AR652="",0,IFERROR(--(EOMONTH(AR652,0)&lt;&gt;AQ$5),1))+IF(AU652="",0,IFERROR(--(EOMONTH(AU652,0)&lt;&gt;AT$5),1))+IF(AX652="",0,IFERROR(--(EOMONTH(AX652,0)&lt;&gt;AW$5),1))+IF(BA652="",0,IFERROR(--(EOMONTH(BA652,0)&lt;&gt;AZ$5),1)))&gt;0,"; An invoice date is not in the month it is typed under",""),3,500))</f>
        <v/>
      </c>
      <c r="S652" s="12" t="n"/>
      <c r="T652" s="13" t="n"/>
      <c r="U652" s="14" t="n"/>
      <c r="V652" s="12" t="n"/>
      <c r="W652" s="13" t="n"/>
      <c r="X652" s="14" t="n"/>
      <c r="Y652" s="12" t="n"/>
      <c r="Z652" s="13" t="n"/>
      <c r="AA652" s="14" t="n"/>
      <c r="AB652" s="12" t="n"/>
      <c r="AC652" s="13" t="n"/>
      <c r="AD652" s="14" t="n"/>
      <c r="AE652" s="12" t="n"/>
      <c r="AF652" s="13" t="n"/>
      <c r="AG652" s="14" t="n"/>
      <c r="AH652" s="12" t="n"/>
      <c r="AI652" s="13" t="n"/>
      <c r="AJ652" s="14" t="n"/>
      <c r="AK652" s="12" t="n"/>
      <c r="AL652" s="13" t="n"/>
      <c r="AM652" s="14" t="n"/>
      <c r="AN652" s="12" t="n"/>
      <c r="AO652" s="13" t="n"/>
      <c r="AP652" s="14" t="n"/>
      <c r="AQ652" s="12" t="n"/>
      <c r="AR652" s="13" t="n"/>
      <c r="AS652" s="14" t="n"/>
      <c r="AT652" s="12" t="n"/>
      <c r="AU652" s="13" t="n"/>
      <c r="AV652" s="14" t="n"/>
      <c r="AW652" s="12" t="n"/>
      <c r="AX652" s="13" t="n"/>
      <c r="AY652" s="14" t="n"/>
      <c r="AZ652" s="12" t="n"/>
      <c r="BA652" s="13" t="n"/>
      <c r="BB652" s="14" t="n"/>
      <c r="BC652" s="11">
        <f>IF(O652="","",IF(J652="GST 10%",ROUND(O652*set_GSTRate,2),0))</f>
        <v/>
      </c>
      <c r="BD652" s="11">
        <f>IF(O652="","",O652+BC652)</f>
        <v/>
      </c>
      <c r="BE652" s="15">
        <f>IF(O652="","",COUNTA(S652,V652,Y652,AB652,AE652,AH652,AK652,AN652,AQ652,AT652,AW652,AZ652))</f>
        <v/>
      </c>
      <c r="BF652" s="16">
        <f>IF(COUNT(T652,W652,Z652,AC652,AF652,AI652,AL652,AO652,AR652,AU652,AX652,BA652)=0,"",MAX(T652,W652,Z652,AC652,AF652,AI652,AL652,AO652,AR652,AU652,AX652,BA652))</f>
        <v/>
      </c>
      <c r="BG652" s="10">
        <f>MID(IF(S652="","",", "&amp;S652)&amp;IF(V652="","",", "&amp;V652)&amp;IF(Y652="","",", "&amp;Y652)&amp;IF(AB652="","",", "&amp;AB652)&amp;IF(AE652="","",", "&amp;AE652)&amp;IF(AH652="","",", "&amp;AH652)&amp;IF(AK652="","",", "&amp;AK652)&amp;IF(AN652="","",", "&amp;AN652)&amp;IF(AQ652="","",", "&amp;AQ652)&amp;IF(AT652="","",", "&amp;AT652)&amp;IF(AW652="","",", "&amp;AW652)&amp;IF(AZ652="","",", "&amp;AZ652),3,500)</f>
        <v/>
      </c>
      <c r="BH652" s="12" t="n"/>
      <c r="BI652" s="15">
        <f>IFERROR(MATCH($A652,IF($B652="Onsite",tbl_Onsite[Row ID],IF($B652="Production",tbl_Production[Row ID],tbl_Consulting[Row ID])),0),"")</f>
        <v/>
      </c>
    </row>
    <row r="653">
      <c r="A653" s="10" t="inlineStr">
        <is>
          <t>PRD-0147</t>
        </is>
      </c>
      <c r="B653" s="10" t="inlineStr">
        <is>
          <t>Production</t>
        </is>
      </c>
      <c r="C653" s="10">
        <f>IF($BI653="","",IF($B653="Onsite",INDEX(tbl_Onsite[Job Number],$BI653),IF($B653="Production",INDEX(tbl_Production[Job Number],$BI653),INDEX(tbl_Consulting[Job Number],$BI653)))&amp;"")</f>
        <v/>
      </c>
      <c r="D653" s="10">
        <f>IF($BI653="","",IF($B653="Onsite",INDEX(tbl_Onsite[Client],$BI653),IF($B653="Production",INDEX(tbl_Production[Client],$BI653),INDEX(tbl_Consulting[Client],$BI653)))&amp;"")</f>
        <v/>
      </c>
      <c r="E653" s="10">
        <f>IF($C653="","",IF(COUNTIF(lst_Jobs,$C653)&gt;0,"OK","CHECK"))</f>
        <v/>
      </c>
      <c r="F653" s="10">
        <f>IF($C653="","",IFERROR(INDEX(lst_JobName,MATCH($C653,lst_Jobs,0)),""))</f>
        <v/>
      </c>
      <c r="G653" s="10">
        <f>IF($BI653="","",IF($B653="Onsite",INDEX(tbl_Onsite[Job Description],$BI653),IF($B653="Production",INDEX(tbl_Production[Job Description],$BI653),INDEX(tbl_Consulting[Job Description],$BI653)))&amp;"")</f>
        <v/>
      </c>
      <c r="H653" s="10">
        <f>IF($BI653="","",IF($B653="Onsite",INDEX(tbl_Onsite[Cost Centre],$BI653),IF($B653="Production",INDEX(tbl_Production[Cost Centre],$BI653),INDEX(tbl_Consulting[Cost Centre],$BI653)))&amp;"")</f>
        <v/>
      </c>
      <c r="I653" s="10">
        <f>IF($BI653="","",IF($B653="Onsite",INDEX(tbl_Onsite[Invoice Type],$BI653),IF($B653="Production",INDEX(tbl_Production[Invoice Type],$BI653),INDEX(tbl_Consulting[Invoice Type],$BI653)))&amp;"")</f>
        <v/>
      </c>
      <c r="J653" s="10">
        <f>IF($BI653="","",IF($B653="Onsite",INDEX(tbl_Onsite[Tax Code],$BI653),IF($B653="Production",INDEX(tbl_Production[Tax Code],$BI653),INDEX(tbl_Consulting[Tax Code],$BI653)))&amp;"")</f>
        <v/>
      </c>
      <c r="K653" s="10">
        <f>IF(H653="","",IFERROR(INDEX(lst_CCtoGL,MATCH(H653,lst_CCforGL,0)),""))</f>
        <v/>
      </c>
      <c r="L653" s="10">
        <f>IF($BI653="","",IF($B653="Onsite",INDEX(tbl_Onsite[PO / Reference],$BI653),IF($B653="Production",INDEX(tbl_Production[Current RMS No],$BI653),INDEX(tbl_Consulting[Qwilr Quote],$BI653)))&amp;"")</f>
        <v/>
      </c>
      <c r="M653" s="10">
        <f>IF($BI653="","",IF($B653="Onsite",INDEX(tbl_Onsite[Notes],$BI653),IF($B653="Production",INDEX(tbl_Production[Notes],$BI653),INDEX(tbl_Consulting[Notes],$BI653)))&amp;"")</f>
        <v/>
      </c>
      <c r="N653" s="11">
        <f>IF($BI653="","",IF(IF($B653="Onsite",INDEX(tbl_Onsite[Expected Revenue Ex GST],$BI653),IF($B653="Production",INDEX(tbl_Production[Expected Revenue Ex GST],$BI653),INDEX(tbl_Consulting[Expected Revenue Ex GST],$BI653)))="","",IF($B653="Onsite",INDEX(tbl_Onsite[Expected Revenue Ex GST],$BI653),IF($B653="Production",INDEX(tbl_Production[Expected Revenue Ex GST],$BI653),INDEX(tbl_Consulting[Expected Revenue Ex GST],$BI653)))))</f>
        <v/>
      </c>
      <c r="O653" s="11">
        <f>IF(AND($C653="",NOT(COUNTA($S653:$BB653)&gt;0)),"",SUM(U653,X653,AA653,AD653,AG653,AJ653,AM653,AP653,AS653,AV653,AY653,BB653))</f>
        <v/>
      </c>
      <c r="P653" s="11">
        <f>IF(O653="","",N(N653)-O653)</f>
        <v/>
      </c>
      <c r="Q653" s="10">
        <f>IF(O653="","",IF($C653="","Invoice on empty job row",IF(N653="",IF(ROUND(O653,2)=0,"No dept value","Invoiced - no dept value"),IF(ROUND(O653,2)=0,"Not invoiced - to invoice",IF(ROUND(P653,2)=0,"Agrees",IF(P653&gt;0,"Dept higher - to invoice","Xero higher - check dept"))))))</f>
        <v/>
      </c>
      <c r="R653" s="10">
        <f>IF(AND($C653="",NOT(COUNTA($S653:$BB653)&gt;0),$BI653&lt;&gt;""),"",MID(IF($BI653="","; Row ID not found on the department sheet - a row was deleted","")&amp;IF(AND($C653="",COUNTA($S653:$BB653)&gt;0),"; Invoice entered but the department row has no job number","")&amp;IF(E653="CHECK","; Job number not in the Xero job list","")&amp;IF(AND($C653&lt;&gt;"",COUNTIF($C$7:$C$1506,$C653)&gt;1),"; Job number on more than one row","")&amp;IF(AND($C653&lt;&gt;"",H653=""),"; Dept has not set a cost centre","")&amp;IF(AND($C653&lt;&gt;"",J653=""),"; Dept has not set a tax code","")&amp;IF(AND($C653&lt;&gt;"",N653=""),"; Dept has not entered an expected value","")&amp;IF((IF(OR(COUNTA(S653:U653)=0,AND(COUNTA(S653:U653)=3,ISNUMBER(U653))),0,1)+IF(OR(COUNTA(V653:X653)=0,AND(COUNTA(V653:X653)=3,ISNUMBER(X653))),0,1)+IF(OR(COUNTA(Y653:AA653)=0,AND(COUNTA(Y653:AA653)=3,ISNUMBER(AA653))),0,1)+IF(OR(COUNTA(AB653:AD653)=0,AND(COUNTA(AB653:AD653)=3,ISNUMBER(AD653))),0,1)+IF(OR(COUNTA(AE653:AG653)=0,AND(COUNTA(AE653:AG653)=3,ISNUMBER(AG653))),0,1)+IF(OR(COUNTA(AH653:AJ653)=0,AND(COUNTA(AH653:AJ653)=3,ISNUMBER(AJ653))),0,1)+IF(OR(COUNTA(AK653:AM653)=0,AND(COUNTA(AK653:AM653)=3,ISNUMBER(AM653))),0,1)+IF(OR(COUNTA(AN653:AP653)=0,AND(COUNTA(AN653:AP653)=3,ISNUMBER(AP653))),0,1)+IF(OR(COUNTA(AQ653:AS653)=0,AND(COUNTA(AQ653:AS653)=3,ISNUMBER(AS653))),0,1)+IF(OR(COUNTA(AT653:AV653)=0,AND(COUNTA(AT653:AV653)=3,ISNUMBER(AV653))),0,1)+IF(OR(COUNTA(AW653:AY653)=0,AND(COUNTA(AW653:AY653)=3,ISNUMBER(AY653))),0,1)+IF(OR(COUNTA(AZ653:BB653)=0,AND(COUNTA(AZ653:BB653)=3,ISNUMBER(BB653))),0,1))&gt;0,"; An invoice is incomplete (needs No, Date and a number in Ex GST)","")&amp;IF((IF(T653="",0,IFERROR(--(EOMONTH(T653,0)&lt;&gt;S$5),1))+IF(W653="",0,IFERROR(--(EOMONTH(W653,0)&lt;&gt;V$5),1))+IF(Z653="",0,IFERROR(--(EOMONTH(Z653,0)&lt;&gt;Y$5),1))+IF(AC653="",0,IFERROR(--(EOMONTH(AC653,0)&lt;&gt;AB$5),1))+IF(AF653="",0,IFERROR(--(EOMONTH(AF653,0)&lt;&gt;AE$5),1))+IF(AI653="",0,IFERROR(--(EOMONTH(AI653,0)&lt;&gt;AH$5),1))+IF(AL653="",0,IFERROR(--(EOMONTH(AL653,0)&lt;&gt;AK$5),1))+IF(AO653="",0,IFERROR(--(EOMONTH(AO653,0)&lt;&gt;AN$5),1))+IF(AR653="",0,IFERROR(--(EOMONTH(AR653,0)&lt;&gt;AQ$5),1))+IF(AU653="",0,IFERROR(--(EOMONTH(AU653,0)&lt;&gt;AT$5),1))+IF(AX653="",0,IFERROR(--(EOMONTH(AX653,0)&lt;&gt;AW$5),1))+IF(BA653="",0,IFERROR(--(EOMONTH(BA653,0)&lt;&gt;AZ$5),1)))&gt;0,"; An invoice date is not in the month it is typed under",""),3,500))</f>
        <v/>
      </c>
      <c r="S653" s="12" t="n"/>
      <c r="T653" s="13" t="n"/>
      <c r="U653" s="14" t="n"/>
      <c r="V653" s="12" t="n"/>
      <c r="W653" s="13" t="n"/>
      <c r="X653" s="14" t="n"/>
      <c r="Y653" s="12" t="n"/>
      <c r="Z653" s="13" t="n"/>
      <c r="AA653" s="14" t="n"/>
      <c r="AB653" s="12" t="n"/>
      <c r="AC653" s="13" t="n"/>
      <c r="AD653" s="14" t="n"/>
      <c r="AE653" s="12" t="n"/>
      <c r="AF653" s="13" t="n"/>
      <c r="AG653" s="14" t="n"/>
      <c r="AH653" s="12" t="n"/>
      <c r="AI653" s="13" t="n"/>
      <c r="AJ653" s="14" t="n"/>
      <c r="AK653" s="12" t="n"/>
      <c r="AL653" s="13" t="n"/>
      <c r="AM653" s="14" t="n"/>
      <c r="AN653" s="12" t="n"/>
      <c r="AO653" s="13" t="n"/>
      <c r="AP653" s="14" t="n"/>
      <c r="AQ653" s="12" t="n"/>
      <c r="AR653" s="13" t="n"/>
      <c r="AS653" s="14" t="n"/>
      <c r="AT653" s="12" t="n"/>
      <c r="AU653" s="13" t="n"/>
      <c r="AV653" s="14" t="n"/>
      <c r="AW653" s="12" t="n"/>
      <c r="AX653" s="13" t="n"/>
      <c r="AY653" s="14" t="n"/>
      <c r="AZ653" s="12" t="n"/>
      <c r="BA653" s="13" t="n"/>
      <c r="BB653" s="14" t="n"/>
      <c r="BC653" s="11">
        <f>IF(O653="","",IF(J653="GST 10%",ROUND(O653*set_GSTRate,2),0))</f>
        <v/>
      </c>
      <c r="BD653" s="11">
        <f>IF(O653="","",O653+BC653)</f>
        <v/>
      </c>
      <c r="BE653" s="15">
        <f>IF(O653="","",COUNTA(S653,V653,Y653,AB653,AE653,AH653,AK653,AN653,AQ653,AT653,AW653,AZ653))</f>
        <v/>
      </c>
      <c r="BF653" s="16">
        <f>IF(COUNT(T653,W653,Z653,AC653,AF653,AI653,AL653,AO653,AR653,AU653,AX653,BA653)=0,"",MAX(T653,W653,Z653,AC653,AF653,AI653,AL653,AO653,AR653,AU653,AX653,BA653))</f>
        <v/>
      </c>
      <c r="BG653" s="10">
        <f>MID(IF(S653="","",", "&amp;S653)&amp;IF(V653="","",", "&amp;V653)&amp;IF(Y653="","",", "&amp;Y653)&amp;IF(AB653="","",", "&amp;AB653)&amp;IF(AE653="","",", "&amp;AE653)&amp;IF(AH653="","",", "&amp;AH653)&amp;IF(AK653="","",", "&amp;AK653)&amp;IF(AN653="","",", "&amp;AN653)&amp;IF(AQ653="","",", "&amp;AQ653)&amp;IF(AT653="","",", "&amp;AT653)&amp;IF(AW653="","",", "&amp;AW653)&amp;IF(AZ653="","",", "&amp;AZ653),3,500)</f>
        <v/>
      </c>
      <c r="BH653" s="12" t="n"/>
      <c r="BI653" s="15">
        <f>IFERROR(MATCH($A653,IF($B653="Onsite",tbl_Onsite[Row ID],IF($B653="Production",tbl_Production[Row ID],tbl_Consulting[Row ID])),0),"")</f>
        <v/>
      </c>
    </row>
    <row r="654">
      <c r="A654" s="10" t="inlineStr">
        <is>
          <t>PRD-0148</t>
        </is>
      </c>
      <c r="B654" s="10" t="inlineStr">
        <is>
          <t>Production</t>
        </is>
      </c>
      <c r="C654" s="10">
        <f>IF($BI654="","",IF($B654="Onsite",INDEX(tbl_Onsite[Job Number],$BI654),IF($B654="Production",INDEX(tbl_Production[Job Number],$BI654),INDEX(tbl_Consulting[Job Number],$BI654)))&amp;"")</f>
        <v/>
      </c>
      <c r="D654" s="10">
        <f>IF($BI654="","",IF($B654="Onsite",INDEX(tbl_Onsite[Client],$BI654),IF($B654="Production",INDEX(tbl_Production[Client],$BI654),INDEX(tbl_Consulting[Client],$BI654)))&amp;"")</f>
        <v/>
      </c>
      <c r="E654" s="10">
        <f>IF($C654="","",IF(COUNTIF(lst_Jobs,$C654)&gt;0,"OK","CHECK"))</f>
        <v/>
      </c>
      <c r="F654" s="10">
        <f>IF($C654="","",IFERROR(INDEX(lst_JobName,MATCH($C654,lst_Jobs,0)),""))</f>
        <v/>
      </c>
      <c r="G654" s="10">
        <f>IF($BI654="","",IF($B654="Onsite",INDEX(tbl_Onsite[Job Description],$BI654),IF($B654="Production",INDEX(tbl_Production[Job Description],$BI654),INDEX(tbl_Consulting[Job Description],$BI654)))&amp;"")</f>
        <v/>
      </c>
      <c r="H654" s="10">
        <f>IF($BI654="","",IF($B654="Onsite",INDEX(tbl_Onsite[Cost Centre],$BI654),IF($B654="Production",INDEX(tbl_Production[Cost Centre],$BI654),INDEX(tbl_Consulting[Cost Centre],$BI654)))&amp;"")</f>
        <v/>
      </c>
      <c r="I654" s="10">
        <f>IF($BI654="","",IF($B654="Onsite",INDEX(tbl_Onsite[Invoice Type],$BI654),IF($B654="Production",INDEX(tbl_Production[Invoice Type],$BI654),INDEX(tbl_Consulting[Invoice Type],$BI654)))&amp;"")</f>
        <v/>
      </c>
      <c r="J654" s="10">
        <f>IF($BI654="","",IF($B654="Onsite",INDEX(tbl_Onsite[Tax Code],$BI654),IF($B654="Production",INDEX(tbl_Production[Tax Code],$BI654),INDEX(tbl_Consulting[Tax Code],$BI654)))&amp;"")</f>
        <v/>
      </c>
      <c r="K654" s="10">
        <f>IF(H654="","",IFERROR(INDEX(lst_CCtoGL,MATCH(H654,lst_CCforGL,0)),""))</f>
        <v/>
      </c>
      <c r="L654" s="10">
        <f>IF($BI654="","",IF($B654="Onsite",INDEX(tbl_Onsite[PO / Reference],$BI654),IF($B654="Production",INDEX(tbl_Production[Current RMS No],$BI654),INDEX(tbl_Consulting[Qwilr Quote],$BI654)))&amp;"")</f>
        <v/>
      </c>
      <c r="M654" s="10">
        <f>IF($BI654="","",IF($B654="Onsite",INDEX(tbl_Onsite[Notes],$BI654),IF($B654="Production",INDEX(tbl_Production[Notes],$BI654),INDEX(tbl_Consulting[Notes],$BI654)))&amp;"")</f>
        <v/>
      </c>
      <c r="N654" s="11">
        <f>IF($BI654="","",IF(IF($B654="Onsite",INDEX(tbl_Onsite[Expected Revenue Ex GST],$BI654),IF($B654="Production",INDEX(tbl_Production[Expected Revenue Ex GST],$BI654),INDEX(tbl_Consulting[Expected Revenue Ex GST],$BI654)))="","",IF($B654="Onsite",INDEX(tbl_Onsite[Expected Revenue Ex GST],$BI654),IF($B654="Production",INDEX(tbl_Production[Expected Revenue Ex GST],$BI654),INDEX(tbl_Consulting[Expected Revenue Ex GST],$BI654)))))</f>
        <v/>
      </c>
      <c r="O654" s="11">
        <f>IF(AND($C654="",NOT(COUNTA($S654:$BB654)&gt;0)),"",SUM(U654,X654,AA654,AD654,AG654,AJ654,AM654,AP654,AS654,AV654,AY654,BB654))</f>
        <v/>
      </c>
      <c r="P654" s="11">
        <f>IF(O654="","",N(N654)-O654)</f>
        <v/>
      </c>
      <c r="Q654" s="10">
        <f>IF(O654="","",IF($C654="","Invoice on empty job row",IF(N654="",IF(ROUND(O654,2)=0,"No dept value","Invoiced - no dept value"),IF(ROUND(O654,2)=0,"Not invoiced - to invoice",IF(ROUND(P654,2)=0,"Agrees",IF(P654&gt;0,"Dept higher - to invoice","Xero higher - check dept"))))))</f>
        <v/>
      </c>
      <c r="R654" s="10">
        <f>IF(AND($C654="",NOT(COUNTA($S654:$BB654)&gt;0),$BI654&lt;&gt;""),"",MID(IF($BI654="","; Row ID not found on the department sheet - a row was deleted","")&amp;IF(AND($C654="",COUNTA($S654:$BB654)&gt;0),"; Invoice entered but the department row has no job number","")&amp;IF(E654="CHECK","; Job number not in the Xero job list","")&amp;IF(AND($C654&lt;&gt;"",COUNTIF($C$7:$C$1506,$C654)&gt;1),"; Job number on more than one row","")&amp;IF(AND($C654&lt;&gt;"",H654=""),"; Dept has not set a cost centre","")&amp;IF(AND($C654&lt;&gt;"",J654=""),"; Dept has not set a tax code","")&amp;IF(AND($C654&lt;&gt;"",N654=""),"; Dept has not entered an expected value","")&amp;IF((IF(OR(COUNTA(S654:U654)=0,AND(COUNTA(S654:U654)=3,ISNUMBER(U654))),0,1)+IF(OR(COUNTA(V654:X654)=0,AND(COUNTA(V654:X654)=3,ISNUMBER(X654))),0,1)+IF(OR(COUNTA(Y654:AA654)=0,AND(COUNTA(Y654:AA654)=3,ISNUMBER(AA654))),0,1)+IF(OR(COUNTA(AB654:AD654)=0,AND(COUNTA(AB654:AD654)=3,ISNUMBER(AD654))),0,1)+IF(OR(COUNTA(AE654:AG654)=0,AND(COUNTA(AE654:AG654)=3,ISNUMBER(AG654))),0,1)+IF(OR(COUNTA(AH654:AJ654)=0,AND(COUNTA(AH654:AJ654)=3,ISNUMBER(AJ654))),0,1)+IF(OR(COUNTA(AK654:AM654)=0,AND(COUNTA(AK654:AM654)=3,ISNUMBER(AM654))),0,1)+IF(OR(COUNTA(AN654:AP654)=0,AND(COUNTA(AN654:AP654)=3,ISNUMBER(AP654))),0,1)+IF(OR(COUNTA(AQ654:AS654)=0,AND(COUNTA(AQ654:AS654)=3,ISNUMBER(AS654))),0,1)+IF(OR(COUNTA(AT654:AV654)=0,AND(COUNTA(AT654:AV654)=3,ISNUMBER(AV654))),0,1)+IF(OR(COUNTA(AW654:AY654)=0,AND(COUNTA(AW654:AY654)=3,ISNUMBER(AY654))),0,1)+IF(OR(COUNTA(AZ654:BB654)=0,AND(COUNTA(AZ654:BB654)=3,ISNUMBER(BB654))),0,1))&gt;0,"; An invoice is incomplete (needs No, Date and a number in Ex GST)","")&amp;IF((IF(T654="",0,IFERROR(--(EOMONTH(T654,0)&lt;&gt;S$5),1))+IF(W654="",0,IFERROR(--(EOMONTH(W654,0)&lt;&gt;V$5),1))+IF(Z654="",0,IFERROR(--(EOMONTH(Z654,0)&lt;&gt;Y$5),1))+IF(AC654="",0,IFERROR(--(EOMONTH(AC654,0)&lt;&gt;AB$5),1))+IF(AF654="",0,IFERROR(--(EOMONTH(AF654,0)&lt;&gt;AE$5),1))+IF(AI654="",0,IFERROR(--(EOMONTH(AI654,0)&lt;&gt;AH$5),1))+IF(AL654="",0,IFERROR(--(EOMONTH(AL654,0)&lt;&gt;AK$5),1))+IF(AO654="",0,IFERROR(--(EOMONTH(AO654,0)&lt;&gt;AN$5),1))+IF(AR654="",0,IFERROR(--(EOMONTH(AR654,0)&lt;&gt;AQ$5),1))+IF(AU654="",0,IFERROR(--(EOMONTH(AU654,0)&lt;&gt;AT$5),1))+IF(AX654="",0,IFERROR(--(EOMONTH(AX654,0)&lt;&gt;AW$5),1))+IF(BA654="",0,IFERROR(--(EOMONTH(BA654,0)&lt;&gt;AZ$5),1)))&gt;0,"; An invoice date is not in the month it is typed under",""),3,500))</f>
        <v/>
      </c>
      <c r="S654" s="12" t="n"/>
      <c r="T654" s="13" t="n"/>
      <c r="U654" s="14" t="n"/>
      <c r="V654" s="12" t="n"/>
      <c r="W654" s="13" t="n"/>
      <c r="X654" s="14" t="n"/>
      <c r="Y654" s="12" t="n"/>
      <c r="Z654" s="13" t="n"/>
      <c r="AA654" s="14" t="n"/>
      <c r="AB654" s="12" t="n"/>
      <c r="AC654" s="13" t="n"/>
      <c r="AD654" s="14" t="n"/>
      <c r="AE654" s="12" t="n"/>
      <c r="AF654" s="13" t="n"/>
      <c r="AG654" s="14" t="n"/>
      <c r="AH654" s="12" t="n"/>
      <c r="AI654" s="13" t="n"/>
      <c r="AJ654" s="14" t="n"/>
      <c r="AK654" s="12" t="n"/>
      <c r="AL654" s="13" t="n"/>
      <c r="AM654" s="14" t="n"/>
      <c r="AN654" s="12" t="n"/>
      <c r="AO654" s="13" t="n"/>
      <c r="AP654" s="14" t="n"/>
      <c r="AQ654" s="12" t="n"/>
      <c r="AR654" s="13" t="n"/>
      <c r="AS654" s="14" t="n"/>
      <c r="AT654" s="12" t="n"/>
      <c r="AU654" s="13" t="n"/>
      <c r="AV654" s="14" t="n"/>
      <c r="AW654" s="12" t="n"/>
      <c r="AX654" s="13" t="n"/>
      <c r="AY654" s="14" t="n"/>
      <c r="AZ654" s="12" t="n"/>
      <c r="BA654" s="13" t="n"/>
      <c r="BB654" s="14" t="n"/>
      <c r="BC654" s="11">
        <f>IF(O654="","",IF(J654="GST 10%",ROUND(O654*set_GSTRate,2),0))</f>
        <v/>
      </c>
      <c r="BD654" s="11">
        <f>IF(O654="","",O654+BC654)</f>
        <v/>
      </c>
      <c r="BE654" s="15">
        <f>IF(O654="","",COUNTA(S654,V654,Y654,AB654,AE654,AH654,AK654,AN654,AQ654,AT654,AW654,AZ654))</f>
        <v/>
      </c>
      <c r="BF654" s="16">
        <f>IF(COUNT(T654,W654,Z654,AC654,AF654,AI654,AL654,AO654,AR654,AU654,AX654,BA654)=0,"",MAX(T654,W654,Z654,AC654,AF654,AI654,AL654,AO654,AR654,AU654,AX654,BA654))</f>
        <v/>
      </c>
      <c r="BG654" s="10">
        <f>MID(IF(S654="","",", "&amp;S654)&amp;IF(V654="","",", "&amp;V654)&amp;IF(Y654="","",", "&amp;Y654)&amp;IF(AB654="","",", "&amp;AB654)&amp;IF(AE654="","",", "&amp;AE654)&amp;IF(AH654="","",", "&amp;AH654)&amp;IF(AK654="","",", "&amp;AK654)&amp;IF(AN654="","",", "&amp;AN654)&amp;IF(AQ654="","",", "&amp;AQ654)&amp;IF(AT654="","",", "&amp;AT654)&amp;IF(AW654="","",", "&amp;AW654)&amp;IF(AZ654="","",", "&amp;AZ654),3,500)</f>
        <v/>
      </c>
      <c r="BH654" s="12" t="n"/>
      <c r="BI654" s="15">
        <f>IFERROR(MATCH($A654,IF($B654="Onsite",tbl_Onsite[Row ID],IF($B654="Production",tbl_Production[Row ID],tbl_Consulting[Row ID])),0),"")</f>
        <v/>
      </c>
    </row>
    <row r="655">
      <c r="A655" s="10" t="inlineStr">
        <is>
          <t>PRD-0149</t>
        </is>
      </c>
      <c r="B655" s="10" t="inlineStr">
        <is>
          <t>Production</t>
        </is>
      </c>
      <c r="C655" s="10">
        <f>IF($BI655="","",IF($B655="Onsite",INDEX(tbl_Onsite[Job Number],$BI655),IF($B655="Production",INDEX(tbl_Production[Job Number],$BI655),INDEX(tbl_Consulting[Job Number],$BI655)))&amp;"")</f>
        <v/>
      </c>
      <c r="D655" s="10">
        <f>IF($BI655="","",IF($B655="Onsite",INDEX(tbl_Onsite[Client],$BI655),IF($B655="Production",INDEX(tbl_Production[Client],$BI655),INDEX(tbl_Consulting[Client],$BI655)))&amp;"")</f>
        <v/>
      </c>
      <c r="E655" s="10">
        <f>IF($C655="","",IF(COUNTIF(lst_Jobs,$C655)&gt;0,"OK","CHECK"))</f>
        <v/>
      </c>
      <c r="F655" s="10">
        <f>IF($C655="","",IFERROR(INDEX(lst_JobName,MATCH($C655,lst_Jobs,0)),""))</f>
        <v/>
      </c>
      <c r="G655" s="10">
        <f>IF($BI655="","",IF($B655="Onsite",INDEX(tbl_Onsite[Job Description],$BI655),IF($B655="Production",INDEX(tbl_Production[Job Description],$BI655),INDEX(tbl_Consulting[Job Description],$BI655)))&amp;"")</f>
        <v/>
      </c>
      <c r="H655" s="10">
        <f>IF($BI655="","",IF($B655="Onsite",INDEX(tbl_Onsite[Cost Centre],$BI655),IF($B655="Production",INDEX(tbl_Production[Cost Centre],$BI655),INDEX(tbl_Consulting[Cost Centre],$BI655)))&amp;"")</f>
        <v/>
      </c>
      <c r="I655" s="10">
        <f>IF($BI655="","",IF($B655="Onsite",INDEX(tbl_Onsite[Invoice Type],$BI655),IF($B655="Production",INDEX(tbl_Production[Invoice Type],$BI655),INDEX(tbl_Consulting[Invoice Type],$BI655)))&amp;"")</f>
        <v/>
      </c>
      <c r="J655" s="10">
        <f>IF($BI655="","",IF($B655="Onsite",INDEX(tbl_Onsite[Tax Code],$BI655),IF($B655="Production",INDEX(tbl_Production[Tax Code],$BI655),INDEX(tbl_Consulting[Tax Code],$BI655)))&amp;"")</f>
        <v/>
      </c>
      <c r="K655" s="10">
        <f>IF(H655="","",IFERROR(INDEX(lst_CCtoGL,MATCH(H655,lst_CCforGL,0)),""))</f>
        <v/>
      </c>
      <c r="L655" s="10">
        <f>IF($BI655="","",IF($B655="Onsite",INDEX(tbl_Onsite[PO / Reference],$BI655),IF($B655="Production",INDEX(tbl_Production[Current RMS No],$BI655),INDEX(tbl_Consulting[Qwilr Quote],$BI655)))&amp;"")</f>
        <v/>
      </c>
      <c r="M655" s="10">
        <f>IF($BI655="","",IF($B655="Onsite",INDEX(tbl_Onsite[Notes],$BI655),IF($B655="Production",INDEX(tbl_Production[Notes],$BI655),INDEX(tbl_Consulting[Notes],$BI655)))&amp;"")</f>
        <v/>
      </c>
      <c r="N655" s="11">
        <f>IF($BI655="","",IF(IF($B655="Onsite",INDEX(tbl_Onsite[Expected Revenue Ex GST],$BI655),IF($B655="Production",INDEX(tbl_Production[Expected Revenue Ex GST],$BI655),INDEX(tbl_Consulting[Expected Revenue Ex GST],$BI655)))="","",IF($B655="Onsite",INDEX(tbl_Onsite[Expected Revenue Ex GST],$BI655),IF($B655="Production",INDEX(tbl_Production[Expected Revenue Ex GST],$BI655),INDEX(tbl_Consulting[Expected Revenue Ex GST],$BI655)))))</f>
        <v/>
      </c>
      <c r="O655" s="11">
        <f>IF(AND($C655="",NOT(COUNTA($S655:$BB655)&gt;0)),"",SUM(U655,X655,AA655,AD655,AG655,AJ655,AM655,AP655,AS655,AV655,AY655,BB655))</f>
        <v/>
      </c>
      <c r="P655" s="11">
        <f>IF(O655="","",N(N655)-O655)</f>
        <v/>
      </c>
      <c r="Q655" s="10">
        <f>IF(O655="","",IF($C655="","Invoice on empty job row",IF(N655="",IF(ROUND(O655,2)=0,"No dept value","Invoiced - no dept value"),IF(ROUND(O655,2)=0,"Not invoiced - to invoice",IF(ROUND(P655,2)=0,"Agrees",IF(P655&gt;0,"Dept higher - to invoice","Xero higher - check dept"))))))</f>
        <v/>
      </c>
      <c r="R655" s="10">
        <f>IF(AND($C655="",NOT(COUNTA($S655:$BB655)&gt;0),$BI655&lt;&gt;""),"",MID(IF($BI655="","; Row ID not found on the department sheet - a row was deleted","")&amp;IF(AND($C655="",COUNTA($S655:$BB655)&gt;0),"; Invoice entered but the department row has no job number","")&amp;IF(E655="CHECK","; Job number not in the Xero job list","")&amp;IF(AND($C655&lt;&gt;"",COUNTIF($C$7:$C$1506,$C655)&gt;1),"; Job number on more than one row","")&amp;IF(AND($C655&lt;&gt;"",H655=""),"; Dept has not set a cost centre","")&amp;IF(AND($C655&lt;&gt;"",J655=""),"; Dept has not set a tax code","")&amp;IF(AND($C655&lt;&gt;"",N655=""),"; Dept has not entered an expected value","")&amp;IF((IF(OR(COUNTA(S655:U655)=0,AND(COUNTA(S655:U655)=3,ISNUMBER(U655))),0,1)+IF(OR(COUNTA(V655:X655)=0,AND(COUNTA(V655:X655)=3,ISNUMBER(X655))),0,1)+IF(OR(COUNTA(Y655:AA655)=0,AND(COUNTA(Y655:AA655)=3,ISNUMBER(AA655))),0,1)+IF(OR(COUNTA(AB655:AD655)=0,AND(COUNTA(AB655:AD655)=3,ISNUMBER(AD655))),0,1)+IF(OR(COUNTA(AE655:AG655)=0,AND(COUNTA(AE655:AG655)=3,ISNUMBER(AG655))),0,1)+IF(OR(COUNTA(AH655:AJ655)=0,AND(COUNTA(AH655:AJ655)=3,ISNUMBER(AJ655))),0,1)+IF(OR(COUNTA(AK655:AM655)=0,AND(COUNTA(AK655:AM655)=3,ISNUMBER(AM655))),0,1)+IF(OR(COUNTA(AN655:AP655)=0,AND(COUNTA(AN655:AP655)=3,ISNUMBER(AP655))),0,1)+IF(OR(COUNTA(AQ655:AS655)=0,AND(COUNTA(AQ655:AS655)=3,ISNUMBER(AS655))),0,1)+IF(OR(COUNTA(AT655:AV655)=0,AND(COUNTA(AT655:AV655)=3,ISNUMBER(AV655))),0,1)+IF(OR(COUNTA(AW655:AY655)=0,AND(COUNTA(AW655:AY655)=3,ISNUMBER(AY655))),0,1)+IF(OR(COUNTA(AZ655:BB655)=0,AND(COUNTA(AZ655:BB655)=3,ISNUMBER(BB655))),0,1))&gt;0,"; An invoice is incomplete (needs No, Date and a number in Ex GST)","")&amp;IF((IF(T655="",0,IFERROR(--(EOMONTH(T655,0)&lt;&gt;S$5),1))+IF(W655="",0,IFERROR(--(EOMONTH(W655,0)&lt;&gt;V$5),1))+IF(Z655="",0,IFERROR(--(EOMONTH(Z655,0)&lt;&gt;Y$5),1))+IF(AC655="",0,IFERROR(--(EOMONTH(AC655,0)&lt;&gt;AB$5),1))+IF(AF655="",0,IFERROR(--(EOMONTH(AF655,0)&lt;&gt;AE$5),1))+IF(AI655="",0,IFERROR(--(EOMONTH(AI655,0)&lt;&gt;AH$5),1))+IF(AL655="",0,IFERROR(--(EOMONTH(AL655,0)&lt;&gt;AK$5),1))+IF(AO655="",0,IFERROR(--(EOMONTH(AO655,0)&lt;&gt;AN$5),1))+IF(AR655="",0,IFERROR(--(EOMONTH(AR655,0)&lt;&gt;AQ$5),1))+IF(AU655="",0,IFERROR(--(EOMONTH(AU655,0)&lt;&gt;AT$5),1))+IF(AX655="",0,IFERROR(--(EOMONTH(AX655,0)&lt;&gt;AW$5),1))+IF(BA655="",0,IFERROR(--(EOMONTH(BA655,0)&lt;&gt;AZ$5),1)))&gt;0,"; An invoice date is not in the month it is typed under",""),3,500))</f>
        <v/>
      </c>
      <c r="S655" s="12" t="n"/>
      <c r="T655" s="13" t="n"/>
      <c r="U655" s="14" t="n"/>
      <c r="V655" s="12" t="n"/>
      <c r="W655" s="13" t="n"/>
      <c r="X655" s="14" t="n"/>
      <c r="Y655" s="12" t="n"/>
      <c r="Z655" s="13" t="n"/>
      <c r="AA655" s="14" t="n"/>
      <c r="AB655" s="12" t="n"/>
      <c r="AC655" s="13" t="n"/>
      <c r="AD655" s="14" t="n"/>
      <c r="AE655" s="12" t="n"/>
      <c r="AF655" s="13" t="n"/>
      <c r="AG655" s="14" t="n"/>
      <c r="AH655" s="12" t="n"/>
      <c r="AI655" s="13" t="n"/>
      <c r="AJ655" s="14" t="n"/>
      <c r="AK655" s="12" t="n"/>
      <c r="AL655" s="13" t="n"/>
      <c r="AM655" s="14" t="n"/>
      <c r="AN655" s="12" t="n"/>
      <c r="AO655" s="13" t="n"/>
      <c r="AP655" s="14" t="n"/>
      <c r="AQ655" s="12" t="n"/>
      <c r="AR655" s="13" t="n"/>
      <c r="AS655" s="14" t="n"/>
      <c r="AT655" s="12" t="n"/>
      <c r="AU655" s="13" t="n"/>
      <c r="AV655" s="14" t="n"/>
      <c r="AW655" s="12" t="n"/>
      <c r="AX655" s="13" t="n"/>
      <c r="AY655" s="14" t="n"/>
      <c r="AZ655" s="12" t="n"/>
      <c r="BA655" s="13" t="n"/>
      <c r="BB655" s="14" t="n"/>
      <c r="BC655" s="11">
        <f>IF(O655="","",IF(J655="GST 10%",ROUND(O655*set_GSTRate,2),0))</f>
        <v/>
      </c>
      <c r="BD655" s="11">
        <f>IF(O655="","",O655+BC655)</f>
        <v/>
      </c>
      <c r="BE655" s="15">
        <f>IF(O655="","",COUNTA(S655,V655,Y655,AB655,AE655,AH655,AK655,AN655,AQ655,AT655,AW655,AZ655))</f>
        <v/>
      </c>
      <c r="BF655" s="16">
        <f>IF(COUNT(T655,W655,Z655,AC655,AF655,AI655,AL655,AO655,AR655,AU655,AX655,BA655)=0,"",MAX(T655,W655,Z655,AC655,AF655,AI655,AL655,AO655,AR655,AU655,AX655,BA655))</f>
        <v/>
      </c>
      <c r="BG655" s="10">
        <f>MID(IF(S655="","",", "&amp;S655)&amp;IF(V655="","",", "&amp;V655)&amp;IF(Y655="","",", "&amp;Y655)&amp;IF(AB655="","",", "&amp;AB655)&amp;IF(AE655="","",", "&amp;AE655)&amp;IF(AH655="","",", "&amp;AH655)&amp;IF(AK655="","",", "&amp;AK655)&amp;IF(AN655="","",", "&amp;AN655)&amp;IF(AQ655="","",", "&amp;AQ655)&amp;IF(AT655="","",", "&amp;AT655)&amp;IF(AW655="","",", "&amp;AW655)&amp;IF(AZ655="","",", "&amp;AZ655),3,500)</f>
        <v/>
      </c>
      <c r="BH655" s="12" t="n"/>
      <c r="BI655" s="15">
        <f>IFERROR(MATCH($A655,IF($B655="Onsite",tbl_Onsite[Row ID],IF($B655="Production",tbl_Production[Row ID],tbl_Consulting[Row ID])),0),"")</f>
        <v/>
      </c>
    </row>
    <row r="656">
      <c r="A656" s="10" t="inlineStr">
        <is>
          <t>PRD-0150</t>
        </is>
      </c>
      <c r="B656" s="10" t="inlineStr">
        <is>
          <t>Production</t>
        </is>
      </c>
      <c r="C656" s="10">
        <f>IF($BI656="","",IF($B656="Onsite",INDEX(tbl_Onsite[Job Number],$BI656),IF($B656="Production",INDEX(tbl_Production[Job Number],$BI656),INDEX(tbl_Consulting[Job Number],$BI656)))&amp;"")</f>
        <v/>
      </c>
      <c r="D656" s="10">
        <f>IF($BI656="","",IF($B656="Onsite",INDEX(tbl_Onsite[Client],$BI656),IF($B656="Production",INDEX(tbl_Production[Client],$BI656),INDEX(tbl_Consulting[Client],$BI656)))&amp;"")</f>
        <v/>
      </c>
      <c r="E656" s="10">
        <f>IF($C656="","",IF(COUNTIF(lst_Jobs,$C656)&gt;0,"OK","CHECK"))</f>
        <v/>
      </c>
      <c r="F656" s="10">
        <f>IF($C656="","",IFERROR(INDEX(lst_JobName,MATCH($C656,lst_Jobs,0)),""))</f>
        <v/>
      </c>
      <c r="G656" s="10">
        <f>IF($BI656="","",IF($B656="Onsite",INDEX(tbl_Onsite[Job Description],$BI656),IF($B656="Production",INDEX(tbl_Production[Job Description],$BI656),INDEX(tbl_Consulting[Job Description],$BI656)))&amp;"")</f>
        <v/>
      </c>
      <c r="H656" s="10">
        <f>IF($BI656="","",IF($B656="Onsite",INDEX(tbl_Onsite[Cost Centre],$BI656),IF($B656="Production",INDEX(tbl_Production[Cost Centre],$BI656),INDEX(tbl_Consulting[Cost Centre],$BI656)))&amp;"")</f>
        <v/>
      </c>
      <c r="I656" s="10">
        <f>IF($BI656="","",IF($B656="Onsite",INDEX(tbl_Onsite[Invoice Type],$BI656),IF($B656="Production",INDEX(tbl_Production[Invoice Type],$BI656),INDEX(tbl_Consulting[Invoice Type],$BI656)))&amp;"")</f>
        <v/>
      </c>
      <c r="J656" s="10">
        <f>IF($BI656="","",IF($B656="Onsite",INDEX(tbl_Onsite[Tax Code],$BI656),IF($B656="Production",INDEX(tbl_Production[Tax Code],$BI656),INDEX(tbl_Consulting[Tax Code],$BI656)))&amp;"")</f>
        <v/>
      </c>
      <c r="K656" s="10">
        <f>IF(H656="","",IFERROR(INDEX(lst_CCtoGL,MATCH(H656,lst_CCforGL,0)),""))</f>
        <v/>
      </c>
      <c r="L656" s="10">
        <f>IF($BI656="","",IF($B656="Onsite",INDEX(tbl_Onsite[PO / Reference],$BI656),IF($B656="Production",INDEX(tbl_Production[Current RMS No],$BI656),INDEX(tbl_Consulting[Qwilr Quote],$BI656)))&amp;"")</f>
        <v/>
      </c>
      <c r="M656" s="10">
        <f>IF($BI656="","",IF($B656="Onsite",INDEX(tbl_Onsite[Notes],$BI656),IF($B656="Production",INDEX(tbl_Production[Notes],$BI656),INDEX(tbl_Consulting[Notes],$BI656)))&amp;"")</f>
        <v/>
      </c>
      <c r="N656" s="11">
        <f>IF($BI656="","",IF(IF($B656="Onsite",INDEX(tbl_Onsite[Expected Revenue Ex GST],$BI656),IF($B656="Production",INDEX(tbl_Production[Expected Revenue Ex GST],$BI656),INDEX(tbl_Consulting[Expected Revenue Ex GST],$BI656)))="","",IF($B656="Onsite",INDEX(tbl_Onsite[Expected Revenue Ex GST],$BI656),IF($B656="Production",INDEX(tbl_Production[Expected Revenue Ex GST],$BI656),INDEX(tbl_Consulting[Expected Revenue Ex GST],$BI656)))))</f>
        <v/>
      </c>
      <c r="O656" s="11">
        <f>IF(AND($C656="",NOT(COUNTA($S656:$BB656)&gt;0)),"",SUM(U656,X656,AA656,AD656,AG656,AJ656,AM656,AP656,AS656,AV656,AY656,BB656))</f>
        <v/>
      </c>
      <c r="P656" s="11">
        <f>IF(O656="","",N(N656)-O656)</f>
        <v/>
      </c>
      <c r="Q656" s="10">
        <f>IF(O656="","",IF($C656="","Invoice on empty job row",IF(N656="",IF(ROUND(O656,2)=0,"No dept value","Invoiced - no dept value"),IF(ROUND(O656,2)=0,"Not invoiced - to invoice",IF(ROUND(P656,2)=0,"Agrees",IF(P656&gt;0,"Dept higher - to invoice","Xero higher - check dept"))))))</f>
        <v/>
      </c>
      <c r="R656" s="10">
        <f>IF(AND($C656="",NOT(COUNTA($S656:$BB656)&gt;0),$BI656&lt;&gt;""),"",MID(IF($BI656="","; Row ID not found on the department sheet - a row was deleted","")&amp;IF(AND($C656="",COUNTA($S656:$BB656)&gt;0),"; Invoice entered but the department row has no job number","")&amp;IF(E656="CHECK","; Job number not in the Xero job list","")&amp;IF(AND($C656&lt;&gt;"",COUNTIF($C$7:$C$1506,$C656)&gt;1),"; Job number on more than one row","")&amp;IF(AND($C656&lt;&gt;"",H656=""),"; Dept has not set a cost centre","")&amp;IF(AND($C656&lt;&gt;"",J656=""),"; Dept has not set a tax code","")&amp;IF(AND($C656&lt;&gt;"",N656=""),"; Dept has not entered an expected value","")&amp;IF((IF(OR(COUNTA(S656:U656)=0,AND(COUNTA(S656:U656)=3,ISNUMBER(U656))),0,1)+IF(OR(COUNTA(V656:X656)=0,AND(COUNTA(V656:X656)=3,ISNUMBER(X656))),0,1)+IF(OR(COUNTA(Y656:AA656)=0,AND(COUNTA(Y656:AA656)=3,ISNUMBER(AA656))),0,1)+IF(OR(COUNTA(AB656:AD656)=0,AND(COUNTA(AB656:AD656)=3,ISNUMBER(AD656))),0,1)+IF(OR(COUNTA(AE656:AG656)=0,AND(COUNTA(AE656:AG656)=3,ISNUMBER(AG656))),0,1)+IF(OR(COUNTA(AH656:AJ656)=0,AND(COUNTA(AH656:AJ656)=3,ISNUMBER(AJ656))),0,1)+IF(OR(COUNTA(AK656:AM656)=0,AND(COUNTA(AK656:AM656)=3,ISNUMBER(AM656))),0,1)+IF(OR(COUNTA(AN656:AP656)=0,AND(COUNTA(AN656:AP656)=3,ISNUMBER(AP656))),0,1)+IF(OR(COUNTA(AQ656:AS656)=0,AND(COUNTA(AQ656:AS656)=3,ISNUMBER(AS656))),0,1)+IF(OR(COUNTA(AT656:AV656)=0,AND(COUNTA(AT656:AV656)=3,ISNUMBER(AV656))),0,1)+IF(OR(COUNTA(AW656:AY656)=0,AND(COUNTA(AW656:AY656)=3,ISNUMBER(AY656))),0,1)+IF(OR(COUNTA(AZ656:BB656)=0,AND(COUNTA(AZ656:BB656)=3,ISNUMBER(BB656))),0,1))&gt;0,"; An invoice is incomplete (needs No, Date and a number in Ex GST)","")&amp;IF((IF(T656="",0,IFERROR(--(EOMONTH(T656,0)&lt;&gt;S$5),1))+IF(W656="",0,IFERROR(--(EOMONTH(W656,0)&lt;&gt;V$5),1))+IF(Z656="",0,IFERROR(--(EOMONTH(Z656,0)&lt;&gt;Y$5),1))+IF(AC656="",0,IFERROR(--(EOMONTH(AC656,0)&lt;&gt;AB$5),1))+IF(AF656="",0,IFERROR(--(EOMONTH(AF656,0)&lt;&gt;AE$5),1))+IF(AI656="",0,IFERROR(--(EOMONTH(AI656,0)&lt;&gt;AH$5),1))+IF(AL656="",0,IFERROR(--(EOMONTH(AL656,0)&lt;&gt;AK$5),1))+IF(AO656="",0,IFERROR(--(EOMONTH(AO656,0)&lt;&gt;AN$5),1))+IF(AR656="",0,IFERROR(--(EOMONTH(AR656,0)&lt;&gt;AQ$5),1))+IF(AU656="",0,IFERROR(--(EOMONTH(AU656,0)&lt;&gt;AT$5),1))+IF(AX656="",0,IFERROR(--(EOMONTH(AX656,0)&lt;&gt;AW$5),1))+IF(BA656="",0,IFERROR(--(EOMONTH(BA656,0)&lt;&gt;AZ$5),1)))&gt;0,"; An invoice date is not in the month it is typed under",""),3,500))</f>
        <v/>
      </c>
      <c r="S656" s="12" t="n"/>
      <c r="T656" s="13" t="n"/>
      <c r="U656" s="14" t="n"/>
      <c r="V656" s="12" t="n"/>
      <c r="W656" s="13" t="n"/>
      <c r="X656" s="14" t="n"/>
      <c r="Y656" s="12" t="n"/>
      <c r="Z656" s="13" t="n"/>
      <c r="AA656" s="14" t="n"/>
      <c r="AB656" s="12" t="n"/>
      <c r="AC656" s="13" t="n"/>
      <c r="AD656" s="14" t="n"/>
      <c r="AE656" s="12" t="n"/>
      <c r="AF656" s="13" t="n"/>
      <c r="AG656" s="14" t="n"/>
      <c r="AH656" s="12" t="n"/>
      <c r="AI656" s="13" t="n"/>
      <c r="AJ656" s="14" t="n"/>
      <c r="AK656" s="12" t="n"/>
      <c r="AL656" s="13" t="n"/>
      <c r="AM656" s="14" t="n"/>
      <c r="AN656" s="12" t="n"/>
      <c r="AO656" s="13" t="n"/>
      <c r="AP656" s="14" t="n"/>
      <c r="AQ656" s="12" t="n"/>
      <c r="AR656" s="13" t="n"/>
      <c r="AS656" s="14" t="n"/>
      <c r="AT656" s="12" t="n"/>
      <c r="AU656" s="13" t="n"/>
      <c r="AV656" s="14" t="n"/>
      <c r="AW656" s="12" t="n"/>
      <c r="AX656" s="13" t="n"/>
      <c r="AY656" s="14" t="n"/>
      <c r="AZ656" s="12" t="n"/>
      <c r="BA656" s="13" t="n"/>
      <c r="BB656" s="14" t="n"/>
      <c r="BC656" s="11">
        <f>IF(O656="","",IF(J656="GST 10%",ROUND(O656*set_GSTRate,2),0))</f>
        <v/>
      </c>
      <c r="BD656" s="11">
        <f>IF(O656="","",O656+BC656)</f>
        <v/>
      </c>
      <c r="BE656" s="15">
        <f>IF(O656="","",COUNTA(S656,V656,Y656,AB656,AE656,AH656,AK656,AN656,AQ656,AT656,AW656,AZ656))</f>
        <v/>
      </c>
      <c r="BF656" s="16">
        <f>IF(COUNT(T656,W656,Z656,AC656,AF656,AI656,AL656,AO656,AR656,AU656,AX656,BA656)=0,"",MAX(T656,W656,Z656,AC656,AF656,AI656,AL656,AO656,AR656,AU656,AX656,BA656))</f>
        <v/>
      </c>
      <c r="BG656" s="10">
        <f>MID(IF(S656="","",", "&amp;S656)&amp;IF(V656="","",", "&amp;V656)&amp;IF(Y656="","",", "&amp;Y656)&amp;IF(AB656="","",", "&amp;AB656)&amp;IF(AE656="","",", "&amp;AE656)&amp;IF(AH656="","",", "&amp;AH656)&amp;IF(AK656="","",", "&amp;AK656)&amp;IF(AN656="","",", "&amp;AN656)&amp;IF(AQ656="","",", "&amp;AQ656)&amp;IF(AT656="","",", "&amp;AT656)&amp;IF(AW656="","",", "&amp;AW656)&amp;IF(AZ656="","",", "&amp;AZ656),3,500)</f>
        <v/>
      </c>
      <c r="BH656" s="12" t="n"/>
      <c r="BI656" s="15">
        <f>IFERROR(MATCH($A656,IF($B656="Onsite",tbl_Onsite[Row ID],IF($B656="Production",tbl_Production[Row ID],tbl_Consulting[Row ID])),0),"")</f>
        <v/>
      </c>
    </row>
    <row r="657">
      <c r="A657" s="10" t="inlineStr">
        <is>
          <t>PRD-0151</t>
        </is>
      </c>
      <c r="B657" s="10" t="inlineStr">
        <is>
          <t>Production</t>
        </is>
      </c>
      <c r="C657" s="10">
        <f>IF($BI657="","",IF($B657="Onsite",INDEX(tbl_Onsite[Job Number],$BI657),IF($B657="Production",INDEX(tbl_Production[Job Number],$BI657),INDEX(tbl_Consulting[Job Number],$BI657)))&amp;"")</f>
        <v/>
      </c>
      <c r="D657" s="10">
        <f>IF($BI657="","",IF($B657="Onsite",INDEX(tbl_Onsite[Client],$BI657),IF($B657="Production",INDEX(tbl_Production[Client],$BI657),INDEX(tbl_Consulting[Client],$BI657)))&amp;"")</f>
        <v/>
      </c>
      <c r="E657" s="10">
        <f>IF($C657="","",IF(COUNTIF(lst_Jobs,$C657)&gt;0,"OK","CHECK"))</f>
        <v/>
      </c>
      <c r="F657" s="10">
        <f>IF($C657="","",IFERROR(INDEX(lst_JobName,MATCH($C657,lst_Jobs,0)),""))</f>
        <v/>
      </c>
      <c r="G657" s="10">
        <f>IF($BI657="","",IF($B657="Onsite",INDEX(tbl_Onsite[Job Description],$BI657),IF($B657="Production",INDEX(tbl_Production[Job Description],$BI657),INDEX(tbl_Consulting[Job Description],$BI657)))&amp;"")</f>
        <v/>
      </c>
      <c r="H657" s="10">
        <f>IF($BI657="","",IF($B657="Onsite",INDEX(tbl_Onsite[Cost Centre],$BI657),IF($B657="Production",INDEX(tbl_Production[Cost Centre],$BI657),INDEX(tbl_Consulting[Cost Centre],$BI657)))&amp;"")</f>
        <v/>
      </c>
      <c r="I657" s="10">
        <f>IF($BI657="","",IF($B657="Onsite",INDEX(tbl_Onsite[Invoice Type],$BI657),IF($B657="Production",INDEX(tbl_Production[Invoice Type],$BI657),INDEX(tbl_Consulting[Invoice Type],$BI657)))&amp;"")</f>
        <v/>
      </c>
      <c r="J657" s="10">
        <f>IF($BI657="","",IF($B657="Onsite",INDEX(tbl_Onsite[Tax Code],$BI657),IF($B657="Production",INDEX(tbl_Production[Tax Code],$BI657),INDEX(tbl_Consulting[Tax Code],$BI657)))&amp;"")</f>
        <v/>
      </c>
      <c r="K657" s="10">
        <f>IF(H657="","",IFERROR(INDEX(lst_CCtoGL,MATCH(H657,lst_CCforGL,0)),""))</f>
        <v/>
      </c>
      <c r="L657" s="10">
        <f>IF($BI657="","",IF($B657="Onsite",INDEX(tbl_Onsite[PO / Reference],$BI657),IF($B657="Production",INDEX(tbl_Production[Current RMS No],$BI657),INDEX(tbl_Consulting[Qwilr Quote],$BI657)))&amp;"")</f>
        <v/>
      </c>
      <c r="M657" s="10">
        <f>IF($BI657="","",IF($B657="Onsite",INDEX(tbl_Onsite[Notes],$BI657),IF($B657="Production",INDEX(tbl_Production[Notes],$BI657),INDEX(tbl_Consulting[Notes],$BI657)))&amp;"")</f>
        <v/>
      </c>
      <c r="N657" s="11">
        <f>IF($BI657="","",IF(IF($B657="Onsite",INDEX(tbl_Onsite[Expected Revenue Ex GST],$BI657),IF($B657="Production",INDEX(tbl_Production[Expected Revenue Ex GST],$BI657),INDEX(tbl_Consulting[Expected Revenue Ex GST],$BI657)))="","",IF($B657="Onsite",INDEX(tbl_Onsite[Expected Revenue Ex GST],$BI657),IF($B657="Production",INDEX(tbl_Production[Expected Revenue Ex GST],$BI657),INDEX(tbl_Consulting[Expected Revenue Ex GST],$BI657)))))</f>
        <v/>
      </c>
      <c r="O657" s="11">
        <f>IF(AND($C657="",NOT(COUNTA($S657:$BB657)&gt;0)),"",SUM(U657,X657,AA657,AD657,AG657,AJ657,AM657,AP657,AS657,AV657,AY657,BB657))</f>
        <v/>
      </c>
      <c r="P657" s="11">
        <f>IF(O657="","",N(N657)-O657)</f>
        <v/>
      </c>
      <c r="Q657" s="10">
        <f>IF(O657="","",IF($C657="","Invoice on empty job row",IF(N657="",IF(ROUND(O657,2)=0,"No dept value","Invoiced - no dept value"),IF(ROUND(O657,2)=0,"Not invoiced - to invoice",IF(ROUND(P657,2)=0,"Agrees",IF(P657&gt;0,"Dept higher - to invoice","Xero higher - check dept"))))))</f>
        <v/>
      </c>
      <c r="R657" s="10">
        <f>IF(AND($C657="",NOT(COUNTA($S657:$BB657)&gt;0),$BI657&lt;&gt;""),"",MID(IF($BI657="","; Row ID not found on the department sheet - a row was deleted","")&amp;IF(AND($C657="",COUNTA($S657:$BB657)&gt;0),"; Invoice entered but the department row has no job number","")&amp;IF(E657="CHECK","; Job number not in the Xero job list","")&amp;IF(AND($C657&lt;&gt;"",COUNTIF($C$7:$C$1506,$C657)&gt;1),"; Job number on more than one row","")&amp;IF(AND($C657&lt;&gt;"",H657=""),"; Dept has not set a cost centre","")&amp;IF(AND($C657&lt;&gt;"",J657=""),"; Dept has not set a tax code","")&amp;IF(AND($C657&lt;&gt;"",N657=""),"; Dept has not entered an expected value","")&amp;IF((IF(OR(COUNTA(S657:U657)=0,AND(COUNTA(S657:U657)=3,ISNUMBER(U657))),0,1)+IF(OR(COUNTA(V657:X657)=0,AND(COUNTA(V657:X657)=3,ISNUMBER(X657))),0,1)+IF(OR(COUNTA(Y657:AA657)=0,AND(COUNTA(Y657:AA657)=3,ISNUMBER(AA657))),0,1)+IF(OR(COUNTA(AB657:AD657)=0,AND(COUNTA(AB657:AD657)=3,ISNUMBER(AD657))),0,1)+IF(OR(COUNTA(AE657:AG657)=0,AND(COUNTA(AE657:AG657)=3,ISNUMBER(AG657))),0,1)+IF(OR(COUNTA(AH657:AJ657)=0,AND(COUNTA(AH657:AJ657)=3,ISNUMBER(AJ657))),0,1)+IF(OR(COUNTA(AK657:AM657)=0,AND(COUNTA(AK657:AM657)=3,ISNUMBER(AM657))),0,1)+IF(OR(COUNTA(AN657:AP657)=0,AND(COUNTA(AN657:AP657)=3,ISNUMBER(AP657))),0,1)+IF(OR(COUNTA(AQ657:AS657)=0,AND(COUNTA(AQ657:AS657)=3,ISNUMBER(AS657))),0,1)+IF(OR(COUNTA(AT657:AV657)=0,AND(COUNTA(AT657:AV657)=3,ISNUMBER(AV657))),0,1)+IF(OR(COUNTA(AW657:AY657)=0,AND(COUNTA(AW657:AY657)=3,ISNUMBER(AY657))),0,1)+IF(OR(COUNTA(AZ657:BB657)=0,AND(COUNTA(AZ657:BB657)=3,ISNUMBER(BB657))),0,1))&gt;0,"; An invoice is incomplete (needs No, Date and a number in Ex GST)","")&amp;IF((IF(T657="",0,IFERROR(--(EOMONTH(T657,0)&lt;&gt;S$5),1))+IF(W657="",0,IFERROR(--(EOMONTH(W657,0)&lt;&gt;V$5),1))+IF(Z657="",0,IFERROR(--(EOMONTH(Z657,0)&lt;&gt;Y$5),1))+IF(AC657="",0,IFERROR(--(EOMONTH(AC657,0)&lt;&gt;AB$5),1))+IF(AF657="",0,IFERROR(--(EOMONTH(AF657,0)&lt;&gt;AE$5),1))+IF(AI657="",0,IFERROR(--(EOMONTH(AI657,0)&lt;&gt;AH$5),1))+IF(AL657="",0,IFERROR(--(EOMONTH(AL657,0)&lt;&gt;AK$5),1))+IF(AO657="",0,IFERROR(--(EOMONTH(AO657,0)&lt;&gt;AN$5),1))+IF(AR657="",0,IFERROR(--(EOMONTH(AR657,0)&lt;&gt;AQ$5),1))+IF(AU657="",0,IFERROR(--(EOMONTH(AU657,0)&lt;&gt;AT$5),1))+IF(AX657="",0,IFERROR(--(EOMONTH(AX657,0)&lt;&gt;AW$5),1))+IF(BA657="",0,IFERROR(--(EOMONTH(BA657,0)&lt;&gt;AZ$5),1)))&gt;0,"; An invoice date is not in the month it is typed under",""),3,500))</f>
        <v/>
      </c>
      <c r="S657" s="12" t="n"/>
      <c r="T657" s="13" t="n"/>
      <c r="U657" s="14" t="n"/>
      <c r="V657" s="12" t="n"/>
      <c r="W657" s="13" t="n"/>
      <c r="X657" s="14" t="n"/>
      <c r="Y657" s="12" t="n"/>
      <c r="Z657" s="13" t="n"/>
      <c r="AA657" s="14" t="n"/>
      <c r="AB657" s="12" t="n"/>
      <c r="AC657" s="13" t="n"/>
      <c r="AD657" s="14" t="n"/>
      <c r="AE657" s="12" t="n"/>
      <c r="AF657" s="13" t="n"/>
      <c r="AG657" s="14" t="n"/>
      <c r="AH657" s="12" t="n"/>
      <c r="AI657" s="13" t="n"/>
      <c r="AJ657" s="14" t="n"/>
      <c r="AK657" s="12" t="n"/>
      <c r="AL657" s="13" t="n"/>
      <c r="AM657" s="14" t="n"/>
      <c r="AN657" s="12" t="n"/>
      <c r="AO657" s="13" t="n"/>
      <c r="AP657" s="14" t="n"/>
      <c r="AQ657" s="12" t="n"/>
      <c r="AR657" s="13" t="n"/>
      <c r="AS657" s="14" t="n"/>
      <c r="AT657" s="12" t="n"/>
      <c r="AU657" s="13" t="n"/>
      <c r="AV657" s="14" t="n"/>
      <c r="AW657" s="12" t="n"/>
      <c r="AX657" s="13" t="n"/>
      <c r="AY657" s="14" t="n"/>
      <c r="AZ657" s="12" t="n"/>
      <c r="BA657" s="13" t="n"/>
      <c r="BB657" s="14" t="n"/>
      <c r="BC657" s="11">
        <f>IF(O657="","",IF(J657="GST 10%",ROUND(O657*set_GSTRate,2),0))</f>
        <v/>
      </c>
      <c r="BD657" s="11">
        <f>IF(O657="","",O657+BC657)</f>
        <v/>
      </c>
      <c r="BE657" s="15">
        <f>IF(O657="","",COUNTA(S657,V657,Y657,AB657,AE657,AH657,AK657,AN657,AQ657,AT657,AW657,AZ657))</f>
        <v/>
      </c>
      <c r="BF657" s="16">
        <f>IF(COUNT(T657,W657,Z657,AC657,AF657,AI657,AL657,AO657,AR657,AU657,AX657,BA657)=0,"",MAX(T657,W657,Z657,AC657,AF657,AI657,AL657,AO657,AR657,AU657,AX657,BA657))</f>
        <v/>
      </c>
      <c r="BG657" s="10">
        <f>MID(IF(S657="","",", "&amp;S657)&amp;IF(V657="","",", "&amp;V657)&amp;IF(Y657="","",", "&amp;Y657)&amp;IF(AB657="","",", "&amp;AB657)&amp;IF(AE657="","",", "&amp;AE657)&amp;IF(AH657="","",", "&amp;AH657)&amp;IF(AK657="","",", "&amp;AK657)&amp;IF(AN657="","",", "&amp;AN657)&amp;IF(AQ657="","",", "&amp;AQ657)&amp;IF(AT657="","",", "&amp;AT657)&amp;IF(AW657="","",", "&amp;AW657)&amp;IF(AZ657="","",", "&amp;AZ657),3,500)</f>
        <v/>
      </c>
      <c r="BH657" s="12" t="n"/>
      <c r="BI657" s="15">
        <f>IFERROR(MATCH($A657,IF($B657="Onsite",tbl_Onsite[Row ID],IF($B657="Production",tbl_Production[Row ID],tbl_Consulting[Row ID])),0),"")</f>
        <v/>
      </c>
    </row>
    <row r="658">
      <c r="A658" s="10" t="inlineStr">
        <is>
          <t>PRD-0152</t>
        </is>
      </c>
      <c r="B658" s="10" t="inlineStr">
        <is>
          <t>Production</t>
        </is>
      </c>
      <c r="C658" s="10">
        <f>IF($BI658="","",IF($B658="Onsite",INDEX(tbl_Onsite[Job Number],$BI658),IF($B658="Production",INDEX(tbl_Production[Job Number],$BI658),INDEX(tbl_Consulting[Job Number],$BI658)))&amp;"")</f>
        <v/>
      </c>
      <c r="D658" s="10">
        <f>IF($BI658="","",IF($B658="Onsite",INDEX(tbl_Onsite[Client],$BI658),IF($B658="Production",INDEX(tbl_Production[Client],$BI658),INDEX(tbl_Consulting[Client],$BI658)))&amp;"")</f>
        <v/>
      </c>
      <c r="E658" s="10">
        <f>IF($C658="","",IF(COUNTIF(lst_Jobs,$C658)&gt;0,"OK","CHECK"))</f>
        <v/>
      </c>
      <c r="F658" s="10">
        <f>IF($C658="","",IFERROR(INDEX(lst_JobName,MATCH($C658,lst_Jobs,0)),""))</f>
        <v/>
      </c>
      <c r="G658" s="10">
        <f>IF($BI658="","",IF($B658="Onsite",INDEX(tbl_Onsite[Job Description],$BI658),IF($B658="Production",INDEX(tbl_Production[Job Description],$BI658),INDEX(tbl_Consulting[Job Description],$BI658)))&amp;"")</f>
        <v/>
      </c>
      <c r="H658" s="10">
        <f>IF($BI658="","",IF($B658="Onsite",INDEX(tbl_Onsite[Cost Centre],$BI658),IF($B658="Production",INDEX(tbl_Production[Cost Centre],$BI658),INDEX(tbl_Consulting[Cost Centre],$BI658)))&amp;"")</f>
        <v/>
      </c>
      <c r="I658" s="10">
        <f>IF($BI658="","",IF($B658="Onsite",INDEX(tbl_Onsite[Invoice Type],$BI658),IF($B658="Production",INDEX(tbl_Production[Invoice Type],$BI658),INDEX(tbl_Consulting[Invoice Type],$BI658)))&amp;"")</f>
        <v/>
      </c>
      <c r="J658" s="10">
        <f>IF($BI658="","",IF($B658="Onsite",INDEX(tbl_Onsite[Tax Code],$BI658),IF($B658="Production",INDEX(tbl_Production[Tax Code],$BI658),INDEX(tbl_Consulting[Tax Code],$BI658)))&amp;"")</f>
        <v/>
      </c>
      <c r="K658" s="10">
        <f>IF(H658="","",IFERROR(INDEX(lst_CCtoGL,MATCH(H658,lst_CCforGL,0)),""))</f>
        <v/>
      </c>
      <c r="L658" s="10">
        <f>IF($BI658="","",IF($B658="Onsite",INDEX(tbl_Onsite[PO / Reference],$BI658),IF($B658="Production",INDEX(tbl_Production[Current RMS No],$BI658),INDEX(tbl_Consulting[Qwilr Quote],$BI658)))&amp;"")</f>
        <v/>
      </c>
      <c r="M658" s="10">
        <f>IF($BI658="","",IF($B658="Onsite",INDEX(tbl_Onsite[Notes],$BI658),IF($B658="Production",INDEX(tbl_Production[Notes],$BI658),INDEX(tbl_Consulting[Notes],$BI658)))&amp;"")</f>
        <v/>
      </c>
      <c r="N658" s="11">
        <f>IF($BI658="","",IF(IF($B658="Onsite",INDEX(tbl_Onsite[Expected Revenue Ex GST],$BI658),IF($B658="Production",INDEX(tbl_Production[Expected Revenue Ex GST],$BI658),INDEX(tbl_Consulting[Expected Revenue Ex GST],$BI658)))="","",IF($B658="Onsite",INDEX(tbl_Onsite[Expected Revenue Ex GST],$BI658),IF($B658="Production",INDEX(tbl_Production[Expected Revenue Ex GST],$BI658),INDEX(tbl_Consulting[Expected Revenue Ex GST],$BI658)))))</f>
        <v/>
      </c>
      <c r="O658" s="11">
        <f>IF(AND($C658="",NOT(COUNTA($S658:$BB658)&gt;0)),"",SUM(U658,X658,AA658,AD658,AG658,AJ658,AM658,AP658,AS658,AV658,AY658,BB658))</f>
        <v/>
      </c>
      <c r="P658" s="11">
        <f>IF(O658="","",N(N658)-O658)</f>
        <v/>
      </c>
      <c r="Q658" s="10">
        <f>IF(O658="","",IF($C658="","Invoice on empty job row",IF(N658="",IF(ROUND(O658,2)=0,"No dept value","Invoiced - no dept value"),IF(ROUND(O658,2)=0,"Not invoiced - to invoice",IF(ROUND(P658,2)=0,"Agrees",IF(P658&gt;0,"Dept higher - to invoice","Xero higher - check dept"))))))</f>
        <v/>
      </c>
      <c r="R658" s="10">
        <f>IF(AND($C658="",NOT(COUNTA($S658:$BB658)&gt;0),$BI658&lt;&gt;""),"",MID(IF($BI658="","; Row ID not found on the department sheet - a row was deleted","")&amp;IF(AND($C658="",COUNTA($S658:$BB658)&gt;0),"; Invoice entered but the department row has no job number","")&amp;IF(E658="CHECK","; Job number not in the Xero job list","")&amp;IF(AND($C658&lt;&gt;"",COUNTIF($C$7:$C$1506,$C658)&gt;1),"; Job number on more than one row","")&amp;IF(AND($C658&lt;&gt;"",H658=""),"; Dept has not set a cost centre","")&amp;IF(AND($C658&lt;&gt;"",J658=""),"; Dept has not set a tax code","")&amp;IF(AND($C658&lt;&gt;"",N658=""),"; Dept has not entered an expected value","")&amp;IF((IF(OR(COUNTA(S658:U658)=0,AND(COUNTA(S658:U658)=3,ISNUMBER(U658))),0,1)+IF(OR(COUNTA(V658:X658)=0,AND(COUNTA(V658:X658)=3,ISNUMBER(X658))),0,1)+IF(OR(COUNTA(Y658:AA658)=0,AND(COUNTA(Y658:AA658)=3,ISNUMBER(AA658))),0,1)+IF(OR(COUNTA(AB658:AD658)=0,AND(COUNTA(AB658:AD658)=3,ISNUMBER(AD658))),0,1)+IF(OR(COUNTA(AE658:AG658)=0,AND(COUNTA(AE658:AG658)=3,ISNUMBER(AG658))),0,1)+IF(OR(COUNTA(AH658:AJ658)=0,AND(COUNTA(AH658:AJ658)=3,ISNUMBER(AJ658))),0,1)+IF(OR(COUNTA(AK658:AM658)=0,AND(COUNTA(AK658:AM658)=3,ISNUMBER(AM658))),0,1)+IF(OR(COUNTA(AN658:AP658)=0,AND(COUNTA(AN658:AP658)=3,ISNUMBER(AP658))),0,1)+IF(OR(COUNTA(AQ658:AS658)=0,AND(COUNTA(AQ658:AS658)=3,ISNUMBER(AS658))),0,1)+IF(OR(COUNTA(AT658:AV658)=0,AND(COUNTA(AT658:AV658)=3,ISNUMBER(AV658))),0,1)+IF(OR(COUNTA(AW658:AY658)=0,AND(COUNTA(AW658:AY658)=3,ISNUMBER(AY658))),0,1)+IF(OR(COUNTA(AZ658:BB658)=0,AND(COUNTA(AZ658:BB658)=3,ISNUMBER(BB658))),0,1))&gt;0,"; An invoice is incomplete (needs No, Date and a number in Ex GST)","")&amp;IF((IF(T658="",0,IFERROR(--(EOMONTH(T658,0)&lt;&gt;S$5),1))+IF(W658="",0,IFERROR(--(EOMONTH(W658,0)&lt;&gt;V$5),1))+IF(Z658="",0,IFERROR(--(EOMONTH(Z658,0)&lt;&gt;Y$5),1))+IF(AC658="",0,IFERROR(--(EOMONTH(AC658,0)&lt;&gt;AB$5),1))+IF(AF658="",0,IFERROR(--(EOMONTH(AF658,0)&lt;&gt;AE$5),1))+IF(AI658="",0,IFERROR(--(EOMONTH(AI658,0)&lt;&gt;AH$5),1))+IF(AL658="",0,IFERROR(--(EOMONTH(AL658,0)&lt;&gt;AK$5),1))+IF(AO658="",0,IFERROR(--(EOMONTH(AO658,0)&lt;&gt;AN$5),1))+IF(AR658="",0,IFERROR(--(EOMONTH(AR658,0)&lt;&gt;AQ$5),1))+IF(AU658="",0,IFERROR(--(EOMONTH(AU658,0)&lt;&gt;AT$5),1))+IF(AX658="",0,IFERROR(--(EOMONTH(AX658,0)&lt;&gt;AW$5),1))+IF(BA658="",0,IFERROR(--(EOMONTH(BA658,0)&lt;&gt;AZ$5),1)))&gt;0,"; An invoice date is not in the month it is typed under",""),3,500))</f>
        <v/>
      </c>
      <c r="S658" s="12" t="n"/>
      <c r="T658" s="13" t="n"/>
      <c r="U658" s="14" t="n"/>
      <c r="V658" s="12" t="n"/>
      <c r="W658" s="13" t="n"/>
      <c r="X658" s="14" t="n"/>
      <c r="Y658" s="12" t="n"/>
      <c r="Z658" s="13" t="n"/>
      <c r="AA658" s="14" t="n"/>
      <c r="AB658" s="12" t="n"/>
      <c r="AC658" s="13" t="n"/>
      <c r="AD658" s="14" t="n"/>
      <c r="AE658" s="12" t="n"/>
      <c r="AF658" s="13" t="n"/>
      <c r="AG658" s="14" t="n"/>
      <c r="AH658" s="12" t="n"/>
      <c r="AI658" s="13" t="n"/>
      <c r="AJ658" s="14" t="n"/>
      <c r="AK658" s="12" t="n"/>
      <c r="AL658" s="13" t="n"/>
      <c r="AM658" s="14" t="n"/>
      <c r="AN658" s="12" t="n"/>
      <c r="AO658" s="13" t="n"/>
      <c r="AP658" s="14" t="n"/>
      <c r="AQ658" s="12" t="n"/>
      <c r="AR658" s="13" t="n"/>
      <c r="AS658" s="14" t="n"/>
      <c r="AT658" s="12" t="n"/>
      <c r="AU658" s="13" t="n"/>
      <c r="AV658" s="14" t="n"/>
      <c r="AW658" s="12" t="n"/>
      <c r="AX658" s="13" t="n"/>
      <c r="AY658" s="14" t="n"/>
      <c r="AZ658" s="12" t="n"/>
      <c r="BA658" s="13" t="n"/>
      <c r="BB658" s="14" t="n"/>
      <c r="BC658" s="11">
        <f>IF(O658="","",IF(J658="GST 10%",ROUND(O658*set_GSTRate,2),0))</f>
        <v/>
      </c>
      <c r="BD658" s="11">
        <f>IF(O658="","",O658+BC658)</f>
        <v/>
      </c>
      <c r="BE658" s="15">
        <f>IF(O658="","",COUNTA(S658,V658,Y658,AB658,AE658,AH658,AK658,AN658,AQ658,AT658,AW658,AZ658))</f>
        <v/>
      </c>
      <c r="BF658" s="16">
        <f>IF(COUNT(T658,W658,Z658,AC658,AF658,AI658,AL658,AO658,AR658,AU658,AX658,BA658)=0,"",MAX(T658,W658,Z658,AC658,AF658,AI658,AL658,AO658,AR658,AU658,AX658,BA658))</f>
        <v/>
      </c>
      <c r="BG658" s="10">
        <f>MID(IF(S658="","",", "&amp;S658)&amp;IF(V658="","",", "&amp;V658)&amp;IF(Y658="","",", "&amp;Y658)&amp;IF(AB658="","",", "&amp;AB658)&amp;IF(AE658="","",", "&amp;AE658)&amp;IF(AH658="","",", "&amp;AH658)&amp;IF(AK658="","",", "&amp;AK658)&amp;IF(AN658="","",", "&amp;AN658)&amp;IF(AQ658="","",", "&amp;AQ658)&amp;IF(AT658="","",", "&amp;AT658)&amp;IF(AW658="","",", "&amp;AW658)&amp;IF(AZ658="","",", "&amp;AZ658),3,500)</f>
        <v/>
      </c>
      <c r="BH658" s="12" t="n"/>
      <c r="BI658" s="15">
        <f>IFERROR(MATCH($A658,IF($B658="Onsite",tbl_Onsite[Row ID],IF($B658="Production",tbl_Production[Row ID],tbl_Consulting[Row ID])),0),"")</f>
        <v/>
      </c>
    </row>
    <row r="659">
      <c r="A659" s="10" t="inlineStr">
        <is>
          <t>PRD-0153</t>
        </is>
      </c>
      <c r="B659" s="10" t="inlineStr">
        <is>
          <t>Production</t>
        </is>
      </c>
      <c r="C659" s="10">
        <f>IF($BI659="","",IF($B659="Onsite",INDEX(tbl_Onsite[Job Number],$BI659),IF($B659="Production",INDEX(tbl_Production[Job Number],$BI659),INDEX(tbl_Consulting[Job Number],$BI659)))&amp;"")</f>
        <v/>
      </c>
      <c r="D659" s="10">
        <f>IF($BI659="","",IF($B659="Onsite",INDEX(tbl_Onsite[Client],$BI659),IF($B659="Production",INDEX(tbl_Production[Client],$BI659),INDEX(tbl_Consulting[Client],$BI659)))&amp;"")</f>
        <v/>
      </c>
      <c r="E659" s="10">
        <f>IF($C659="","",IF(COUNTIF(lst_Jobs,$C659)&gt;0,"OK","CHECK"))</f>
        <v/>
      </c>
      <c r="F659" s="10">
        <f>IF($C659="","",IFERROR(INDEX(lst_JobName,MATCH($C659,lst_Jobs,0)),""))</f>
        <v/>
      </c>
      <c r="G659" s="10">
        <f>IF($BI659="","",IF($B659="Onsite",INDEX(tbl_Onsite[Job Description],$BI659),IF($B659="Production",INDEX(tbl_Production[Job Description],$BI659),INDEX(tbl_Consulting[Job Description],$BI659)))&amp;"")</f>
        <v/>
      </c>
      <c r="H659" s="10">
        <f>IF($BI659="","",IF($B659="Onsite",INDEX(tbl_Onsite[Cost Centre],$BI659),IF($B659="Production",INDEX(tbl_Production[Cost Centre],$BI659),INDEX(tbl_Consulting[Cost Centre],$BI659)))&amp;"")</f>
        <v/>
      </c>
      <c r="I659" s="10">
        <f>IF($BI659="","",IF($B659="Onsite",INDEX(tbl_Onsite[Invoice Type],$BI659),IF($B659="Production",INDEX(tbl_Production[Invoice Type],$BI659),INDEX(tbl_Consulting[Invoice Type],$BI659)))&amp;"")</f>
        <v/>
      </c>
      <c r="J659" s="10">
        <f>IF($BI659="","",IF($B659="Onsite",INDEX(tbl_Onsite[Tax Code],$BI659),IF($B659="Production",INDEX(tbl_Production[Tax Code],$BI659),INDEX(tbl_Consulting[Tax Code],$BI659)))&amp;"")</f>
        <v/>
      </c>
      <c r="K659" s="10">
        <f>IF(H659="","",IFERROR(INDEX(lst_CCtoGL,MATCH(H659,lst_CCforGL,0)),""))</f>
        <v/>
      </c>
      <c r="L659" s="10">
        <f>IF($BI659="","",IF($B659="Onsite",INDEX(tbl_Onsite[PO / Reference],$BI659),IF($B659="Production",INDEX(tbl_Production[Current RMS No],$BI659),INDEX(tbl_Consulting[Qwilr Quote],$BI659)))&amp;"")</f>
        <v/>
      </c>
      <c r="M659" s="10">
        <f>IF($BI659="","",IF($B659="Onsite",INDEX(tbl_Onsite[Notes],$BI659),IF($B659="Production",INDEX(tbl_Production[Notes],$BI659),INDEX(tbl_Consulting[Notes],$BI659)))&amp;"")</f>
        <v/>
      </c>
      <c r="N659" s="11">
        <f>IF($BI659="","",IF(IF($B659="Onsite",INDEX(tbl_Onsite[Expected Revenue Ex GST],$BI659),IF($B659="Production",INDEX(tbl_Production[Expected Revenue Ex GST],$BI659),INDEX(tbl_Consulting[Expected Revenue Ex GST],$BI659)))="","",IF($B659="Onsite",INDEX(tbl_Onsite[Expected Revenue Ex GST],$BI659),IF($B659="Production",INDEX(tbl_Production[Expected Revenue Ex GST],$BI659),INDEX(tbl_Consulting[Expected Revenue Ex GST],$BI659)))))</f>
        <v/>
      </c>
      <c r="O659" s="11">
        <f>IF(AND($C659="",NOT(COUNTA($S659:$BB659)&gt;0)),"",SUM(U659,X659,AA659,AD659,AG659,AJ659,AM659,AP659,AS659,AV659,AY659,BB659))</f>
        <v/>
      </c>
      <c r="P659" s="11">
        <f>IF(O659="","",N(N659)-O659)</f>
        <v/>
      </c>
      <c r="Q659" s="10">
        <f>IF(O659="","",IF($C659="","Invoice on empty job row",IF(N659="",IF(ROUND(O659,2)=0,"No dept value","Invoiced - no dept value"),IF(ROUND(O659,2)=0,"Not invoiced - to invoice",IF(ROUND(P659,2)=0,"Agrees",IF(P659&gt;0,"Dept higher - to invoice","Xero higher - check dept"))))))</f>
        <v/>
      </c>
      <c r="R659" s="10">
        <f>IF(AND($C659="",NOT(COUNTA($S659:$BB659)&gt;0),$BI659&lt;&gt;""),"",MID(IF($BI659="","; Row ID not found on the department sheet - a row was deleted","")&amp;IF(AND($C659="",COUNTA($S659:$BB659)&gt;0),"; Invoice entered but the department row has no job number","")&amp;IF(E659="CHECK","; Job number not in the Xero job list","")&amp;IF(AND($C659&lt;&gt;"",COUNTIF($C$7:$C$1506,$C659)&gt;1),"; Job number on more than one row","")&amp;IF(AND($C659&lt;&gt;"",H659=""),"; Dept has not set a cost centre","")&amp;IF(AND($C659&lt;&gt;"",J659=""),"; Dept has not set a tax code","")&amp;IF(AND($C659&lt;&gt;"",N659=""),"; Dept has not entered an expected value","")&amp;IF((IF(OR(COUNTA(S659:U659)=0,AND(COUNTA(S659:U659)=3,ISNUMBER(U659))),0,1)+IF(OR(COUNTA(V659:X659)=0,AND(COUNTA(V659:X659)=3,ISNUMBER(X659))),0,1)+IF(OR(COUNTA(Y659:AA659)=0,AND(COUNTA(Y659:AA659)=3,ISNUMBER(AA659))),0,1)+IF(OR(COUNTA(AB659:AD659)=0,AND(COUNTA(AB659:AD659)=3,ISNUMBER(AD659))),0,1)+IF(OR(COUNTA(AE659:AG659)=0,AND(COUNTA(AE659:AG659)=3,ISNUMBER(AG659))),0,1)+IF(OR(COUNTA(AH659:AJ659)=0,AND(COUNTA(AH659:AJ659)=3,ISNUMBER(AJ659))),0,1)+IF(OR(COUNTA(AK659:AM659)=0,AND(COUNTA(AK659:AM659)=3,ISNUMBER(AM659))),0,1)+IF(OR(COUNTA(AN659:AP659)=0,AND(COUNTA(AN659:AP659)=3,ISNUMBER(AP659))),0,1)+IF(OR(COUNTA(AQ659:AS659)=0,AND(COUNTA(AQ659:AS659)=3,ISNUMBER(AS659))),0,1)+IF(OR(COUNTA(AT659:AV659)=0,AND(COUNTA(AT659:AV659)=3,ISNUMBER(AV659))),0,1)+IF(OR(COUNTA(AW659:AY659)=0,AND(COUNTA(AW659:AY659)=3,ISNUMBER(AY659))),0,1)+IF(OR(COUNTA(AZ659:BB659)=0,AND(COUNTA(AZ659:BB659)=3,ISNUMBER(BB659))),0,1))&gt;0,"; An invoice is incomplete (needs No, Date and a number in Ex GST)","")&amp;IF((IF(T659="",0,IFERROR(--(EOMONTH(T659,0)&lt;&gt;S$5),1))+IF(W659="",0,IFERROR(--(EOMONTH(W659,0)&lt;&gt;V$5),1))+IF(Z659="",0,IFERROR(--(EOMONTH(Z659,0)&lt;&gt;Y$5),1))+IF(AC659="",0,IFERROR(--(EOMONTH(AC659,0)&lt;&gt;AB$5),1))+IF(AF659="",0,IFERROR(--(EOMONTH(AF659,0)&lt;&gt;AE$5),1))+IF(AI659="",0,IFERROR(--(EOMONTH(AI659,0)&lt;&gt;AH$5),1))+IF(AL659="",0,IFERROR(--(EOMONTH(AL659,0)&lt;&gt;AK$5),1))+IF(AO659="",0,IFERROR(--(EOMONTH(AO659,0)&lt;&gt;AN$5),1))+IF(AR659="",0,IFERROR(--(EOMONTH(AR659,0)&lt;&gt;AQ$5),1))+IF(AU659="",0,IFERROR(--(EOMONTH(AU659,0)&lt;&gt;AT$5),1))+IF(AX659="",0,IFERROR(--(EOMONTH(AX659,0)&lt;&gt;AW$5),1))+IF(BA659="",0,IFERROR(--(EOMONTH(BA659,0)&lt;&gt;AZ$5),1)))&gt;0,"; An invoice date is not in the month it is typed under",""),3,500))</f>
        <v/>
      </c>
      <c r="S659" s="12" t="n"/>
      <c r="T659" s="13" t="n"/>
      <c r="U659" s="14" t="n"/>
      <c r="V659" s="12" t="n"/>
      <c r="W659" s="13" t="n"/>
      <c r="X659" s="14" t="n"/>
      <c r="Y659" s="12" t="n"/>
      <c r="Z659" s="13" t="n"/>
      <c r="AA659" s="14" t="n"/>
      <c r="AB659" s="12" t="n"/>
      <c r="AC659" s="13" t="n"/>
      <c r="AD659" s="14" t="n"/>
      <c r="AE659" s="12" t="n"/>
      <c r="AF659" s="13" t="n"/>
      <c r="AG659" s="14" t="n"/>
      <c r="AH659" s="12" t="n"/>
      <c r="AI659" s="13" t="n"/>
      <c r="AJ659" s="14" t="n"/>
      <c r="AK659" s="12" t="n"/>
      <c r="AL659" s="13" t="n"/>
      <c r="AM659" s="14" t="n"/>
      <c r="AN659" s="12" t="n"/>
      <c r="AO659" s="13" t="n"/>
      <c r="AP659" s="14" t="n"/>
      <c r="AQ659" s="12" t="n"/>
      <c r="AR659" s="13" t="n"/>
      <c r="AS659" s="14" t="n"/>
      <c r="AT659" s="12" t="n"/>
      <c r="AU659" s="13" t="n"/>
      <c r="AV659" s="14" t="n"/>
      <c r="AW659" s="12" t="n"/>
      <c r="AX659" s="13" t="n"/>
      <c r="AY659" s="14" t="n"/>
      <c r="AZ659" s="12" t="n"/>
      <c r="BA659" s="13" t="n"/>
      <c r="BB659" s="14" t="n"/>
      <c r="BC659" s="11">
        <f>IF(O659="","",IF(J659="GST 10%",ROUND(O659*set_GSTRate,2),0))</f>
        <v/>
      </c>
      <c r="BD659" s="11">
        <f>IF(O659="","",O659+BC659)</f>
        <v/>
      </c>
      <c r="BE659" s="15">
        <f>IF(O659="","",COUNTA(S659,V659,Y659,AB659,AE659,AH659,AK659,AN659,AQ659,AT659,AW659,AZ659))</f>
        <v/>
      </c>
      <c r="BF659" s="16">
        <f>IF(COUNT(T659,W659,Z659,AC659,AF659,AI659,AL659,AO659,AR659,AU659,AX659,BA659)=0,"",MAX(T659,W659,Z659,AC659,AF659,AI659,AL659,AO659,AR659,AU659,AX659,BA659))</f>
        <v/>
      </c>
      <c r="BG659" s="10">
        <f>MID(IF(S659="","",", "&amp;S659)&amp;IF(V659="","",", "&amp;V659)&amp;IF(Y659="","",", "&amp;Y659)&amp;IF(AB659="","",", "&amp;AB659)&amp;IF(AE659="","",", "&amp;AE659)&amp;IF(AH659="","",", "&amp;AH659)&amp;IF(AK659="","",", "&amp;AK659)&amp;IF(AN659="","",", "&amp;AN659)&amp;IF(AQ659="","",", "&amp;AQ659)&amp;IF(AT659="","",", "&amp;AT659)&amp;IF(AW659="","",", "&amp;AW659)&amp;IF(AZ659="","",", "&amp;AZ659),3,500)</f>
        <v/>
      </c>
      <c r="BH659" s="12" t="n"/>
      <c r="BI659" s="15">
        <f>IFERROR(MATCH($A659,IF($B659="Onsite",tbl_Onsite[Row ID],IF($B659="Production",tbl_Production[Row ID],tbl_Consulting[Row ID])),0),"")</f>
        <v/>
      </c>
    </row>
    <row r="660">
      <c r="A660" s="10" t="inlineStr">
        <is>
          <t>PRD-0154</t>
        </is>
      </c>
      <c r="B660" s="10" t="inlineStr">
        <is>
          <t>Production</t>
        </is>
      </c>
      <c r="C660" s="10">
        <f>IF($BI660="","",IF($B660="Onsite",INDEX(tbl_Onsite[Job Number],$BI660),IF($B660="Production",INDEX(tbl_Production[Job Number],$BI660),INDEX(tbl_Consulting[Job Number],$BI660)))&amp;"")</f>
        <v/>
      </c>
      <c r="D660" s="10">
        <f>IF($BI660="","",IF($B660="Onsite",INDEX(tbl_Onsite[Client],$BI660),IF($B660="Production",INDEX(tbl_Production[Client],$BI660),INDEX(tbl_Consulting[Client],$BI660)))&amp;"")</f>
        <v/>
      </c>
      <c r="E660" s="10">
        <f>IF($C660="","",IF(COUNTIF(lst_Jobs,$C660)&gt;0,"OK","CHECK"))</f>
        <v/>
      </c>
      <c r="F660" s="10">
        <f>IF($C660="","",IFERROR(INDEX(lst_JobName,MATCH($C660,lst_Jobs,0)),""))</f>
        <v/>
      </c>
      <c r="G660" s="10">
        <f>IF($BI660="","",IF($B660="Onsite",INDEX(tbl_Onsite[Job Description],$BI660),IF($B660="Production",INDEX(tbl_Production[Job Description],$BI660),INDEX(tbl_Consulting[Job Description],$BI660)))&amp;"")</f>
        <v/>
      </c>
      <c r="H660" s="10">
        <f>IF($BI660="","",IF($B660="Onsite",INDEX(tbl_Onsite[Cost Centre],$BI660),IF($B660="Production",INDEX(tbl_Production[Cost Centre],$BI660),INDEX(tbl_Consulting[Cost Centre],$BI660)))&amp;"")</f>
        <v/>
      </c>
      <c r="I660" s="10">
        <f>IF($BI660="","",IF($B660="Onsite",INDEX(tbl_Onsite[Invoice Type],$BI660),IF($B660="Production",INDEX(tbl_Production[Invoice Type],$BI660),INDEX(tbl_Consulting[Invoice Type],$BI660)))&amp;"")</f>
        <v/>
      </c>
      <c r="J660" s="10">
        <f>IF($BI660="","",IF($B660="Onsite",INDEX(tbl_Onsite[Tax Code],$BI660),IF($B660="Production",INDEX(tbl_Production[Tax Code],$BI660),INDEX(tbl_Consulting[Tax Code],$BI660)))&amp;"")</f>
        <v/>
      </c>
      <c r="K660" s="10">
        <f>IF(H660="","",IFERROR(INDEX(lst_CCtoGL,MATCH(H660,lst_CCforGL,0)),""))</f>
        <v/>
      </c>
      <c r="L660" s="10">
        <f>IF($BI660="","",IF($B660="Onsite",INDEX(tbl_Onsite[PO / Reference],$BI660),IF($B660="Production",INDEX(tbl_Production[Current RMS No],$BI660),INDEX(tbl_Consulting[Qwilr Quote],$BI660)))&amp;"")</f>
        <v/>
      </c>
      <c r="M660" s="10">
        <f>IF($BI660="","",IF($B660="Onsite",INDEX(tbl_Onsite[Notes],$BI660),IF($B660="Production",INDEX(tbl_Production[Notes],$BI660),INDEX(tbl_Consulting[Notes],$BI660)))&amp;"")</f>
        <v/>
      </c>
      <c r="N660" s="11">
        <f>IF($BI660="","",IF(IF($B660="Onsite",INDEX(tbl_Onsite[Expected Revenue Ex GST],$BI660),IF($B660="Production",INDEX(tbl_Production[Expected Revenue Ex GST],$BI660),INDEX(tbl_Consulting[Expected Revenue Ex GST],$BI660)))="","",IF($B660="Onsite",INDEX(tbl_Onsite[Expected Revenue Ex GST],$BI660),IF($B660="Production",INDEX(tbl_Production[Expected Revenue Ex GST],$BI660),INDEX(tbl_Consulting[Expected Revenue Ex GST],$BI660)))))</f>
        <v/>
      </c>
      <c r="O660" s="11">
        <f>IF(AND($C660="",NOT(COUNTA($S660:$BB660)&gt;0)),"",SUM(U660,X660,AA660,AD660,AG660,AJ660,AM660,AP660,AS660,AV660,AY660,BB660))</f>
        <v/>
      </c>
      <c r="P660" s="11">
        <f>IF(O660="","",N(N660)-O660)</f>
        <v/>
      </c>
      <c r="Q660" s="10">
        <f>IF(O660="","",IF($C660="","Invoice on empty job row",IF(N660="",IF(ROUND(O660,2)=0,"No dept value","Invoiced - no dept value"),IF(ROUND(O660,2)=0,"Not invoiced - to invoice",IF(ROUND(P660,2)=0,"Agrees",IF(P660&gt;0,"Dept higher - to invoice","Xero higher - check dept"))))))</f>
        <v/>
      </c>
      <c r="R660" s="10">
        <f>IF(AND($C660="",NOT(COUNTA($S660:$BB660)&gt;0),$BI660&lt;&gt;""),"",MID(IF($BI660="","; Row ID not found on the department sheet - a row was deleted","")&amp;IF(AND($C660="",COUNTA($S660:$BB660)&gt;0),"; Invoice entered but the department row has no job number","")&amp;IF(E660="CHECK","; Job number not in the Xero job list","")&amp;IF(AND($C660&lt;&gt;"",COUNTIF($C$7:$C$1506,$C660)&gt;1),"; Job number on more than one row","")&amp;IF(AND($C660&lt;&gt;"",H660=""),"; Dept has not set a cost centre","")&amp;IF(AND($C660&lt;&gt;"",J660=""),"; Dept has not set a tax code","")&amp;IF(AND($C660&lt;&gt;"",N660=""),"; Dept has not entered an expected value","")&amp;IF((IF(OR(COUNTA(S660:U660)=0,AND(COUNTA(S660:U660)=3,ISNUMBER(U660))),0,1)+IF(OR(COUNTA(V660:X660)=0,AND(COUNTA(V660:X660)=3,ISNUMBER(X660))),0,1)+IF(OR(COUNTA(Y660:AA660)=0,AND(COUNTA(Y660:AA660)=3,ISNUMBER(AA660))),0,1)+IF(OR(COUNTA(AB660:AD660)=0,AND(COUNTA(AB660:AD660)=3,ISNUMBER(AD660))),0,1)+IF(OR(COUNTA(AE660:AG660)=0,AND(COUNTA(AE660:AG660)=3,ISNUMBER(AG660))),0,1)+IF(OR(COUNTA(AH660:AJ660)=0,AND(COUNTA(AH660:AJ660)=3,ISNUMBER(AJ660))),0,1)+IF(OR(COUNTA(AK660:AM660)=0,AND(COUNTA(AK660:AM660)=3,ISNUMBER(AM660))),0,1)+IF(OR(COUNTA(AN660:AP660)=0,AND(COUNTA(AN660:AP660)=3,ISNUMBER(AP660))),0,1)+IF(OR(COUNTA(AQ660:AS660)=0,AND(COUNTA(AQ660:AS660)=3,ISNUMBER(AS660))),0,1)+IF(OR(COUNTA(AT660:AV660)=0,AND(COUNTA(AT660:AV660)=3,ISNUMBER(AV660))),0,1)+IF(OR(COUNTA(AW660:AY660)=0,AND(COUNTA(AW660:AY660)=3,ISNUMBER(AY660))),0,1)+IF(OR(COUNTA(AZ660:BB660)=0,AND(COUNTA(AZ660:BB660)=3,ISNUMBER(BB660))),0,1))&gt;0,"; An invoice is incomplete (needs No, Date and a number in Ex GST)","")&amp;IF((IF(T660="",0,IFERROR(--(EOMONTH(T660,0)&lt;&gt;S$5),1))+IF(W660="",0,IFERROR(--(EOMONTH(W660,0)&lt;&gt;V$5),1))+IF(Z660="",0,IFERROR(--(EOMONTH(Z660,0)&lt;&gt;Y$5),1))+IF(AC660="",0,IFERROR(--(EOMONTH(AC660,0)&lt;&gt;AB$5),1))+IF(AF660="",0,IFERROR(--(EOMONTH(AF660,0)&lt;&gt;AE$5),1))+IF(AI660="",0,IFERROR(--(EOMONTH(AI660,0)&lt;&gt;AH$5),1))+IF(AL660="",0,IFERROR(--(EOMONTH(AL660,0)&lt;&gt;AK$5),1))+IF(AO660="",0,IFERROR(--(EOMONTH(AO660,0)&lt;&gt;AN$5),1))+IF(AR660="",0,IFERROR(--(EOMONTH(AR660,0)&lt;&gt;AQ$5),1))+IF(AU660="",0,IFERROR(--(EOMONTH(AU660,0)&lt;&gt;AT$5),1))+IF(AX660="",0,IFERROR(--(EOMONTH(AX660,0)&lt;&gt;AW$5),1))+IF(BA660="",0,IFERROR(--(EOMONTH(BA660,0)&lt;&gt;AZ$5),1)))&gt;0,"; An invoice date is not in the month it is typed under",""),3,500))</f>
        <v/>
      </c>
      <c r="S660" s="12" t="n"/>
      <c r="T660" s="13" t="n"/>
      <c r="U660" s="14" t="n"/>
      <c r="V660" s="12" t="n"/>
      <c r="W660" s="13" t="n"/>
      <c r="X660" s="14" t="n"/>
      <c r="Y660" s="12" t="n"/>
      <c r="Z660" s="13" t="n"/>
      <c r="AA660" s="14" t="n"/>
      <c r="AB660" s="12" t="n"/>
      <c r="AC660" s="13" t="n"/>
      <c r="AD660" s="14" t="n"/>
      <c r="AE660" s="12" t="n"/>
      <c r="AF660" s="13" t="n"/>
      <c r="AG660" s="14" t="n"/>
      <c r="AH660" s="12" t="n"/>
      <c r="AI660" s="13" t="n"/>
      <c r="AJ660" s="14" t="n"/>
      <c r="AK660" s="12" t="n"/>
      <c r="AL660" s="13" t="n"/>
      <c r="AM660" s="14" t="n"/>
      <c r="AN660" s="12" t="n"/>
      <c r="AO660" s="13" t="n"/>
      <c r="AP660" s="14" t="n"/>
      <c r="AQ660" s="12" t="n"/>
      <c r="AR660" s="13" t="n"/>
      <c r="AS660" s="14" t="n"/>
      <c r="AT660" s="12" t="n"/>
      <c r="AU660" s="13" t="n"/>
      <c r="AV660" s="14" t="n"/>
      <c r="AW660" s="12" t="n"/>
      <c r="AX660" s="13" t="n"/>
      <c r="AY660" s="14" t="n"/>
      <c r="AZ660" s="12" t="n"/>
      <c r="BA660" s="13" t="n"/>
      <c r="BB660" s="14" t="n"/>
      <c r="BC660" s="11">
        <f>IF(O660="","",IF(J660="GST 10%",ROUND(O660*set_GSTRate,2),0))</f>
        <v/>
      </c>
      <c r="BD660" s="11">
        <f>IF(O660="","",O660+BC660)</f>
        <v/>
      </c>
      <c r="BE660" s="15">
        <f>IF(O660="","",COUNTA(S660,V660,Y660,AB660,AE660,AH660,AK660,AN660,AQ660,AT660,AW660,AZ660))</f>
        <v/>
      </c>
      <c r="BF660" s="16">
        <f>IF(COUNT(T660,W660,Z660,AC660,AF660,AI660,AL660,AO660,AR660,AU660,AX660,BA660)=0,"",MAX(T660,W660,Z660,AC660,AF660,AI660,AL660,AO660,AR660,AU660,AX660,BA660))</f>
        <v/>
      </c>
      <c r="BG660" s="10">
        <f>MID(IF(S660="","",", "&amp;S660)&amp;IF(V660="","",", "&amp;V660)&amp;IF(Y660="","",", "&amp;Y660)&amp;IF(AB660="","",", "&amp;AB660)&amp;IF(AE660="","",", "&amp;AE660)&amp;IF(AH660="","",", "&amp;AH660)&amp;IF(AK660="","",", "&amp;AK660)&amp;IF(AN660="","",", "&amp;AN660)&amp;IF(AQ660="","",", "&amp;AQ660)&amp;IF(AT660="","",", "&amp;AT660)&amp;IF(AW660="","",", "&amp;AW660)&amp;IF(AZ660="","",", "&amp;AZ660),3,500)</f>
        <v/>
      </c>
      <c r="BH660" s="12" t="n"/>
      <c r="BI660" s="15">
        <f>IFERROR(MATCH($A660,IF($B660="Onsite",tbl_Onsite[Row ID],IF($B660="Production",tbl_Production[Row ID],tbl_Consulting[Row ID])),0),"")</f>
        <v/>
      </c>
    </row>
    <row r="661">
      <c r="A661" s="10" t="inlineStr">
        <is>
          <t>PRD-0155</t>
        </is>
      </c>
      <c r="B661" s="10" t="inlineStr">
        <is>
          <t>Production</t>
        </is>
      </c>
      <c r="C661" s="10">
        <f>IF($BI661="","",IF($B661="Onsite",INDEX(tbl_Onsite[Job Number],$BI661),IF($B661="Production",INDEX(tbl_Production[Job Number],$BI661),INDEX(tbl_Consulting[Job Number],$BI661)))&amp;"")</f>
        <v/>
      </c>
      <c r="D661" s="10">
        <f>IF($BI661="","",IF($B661="Onsite",INDEX(tbl_Onsite[Client],$BI661),IF($B661="Production",INDEX(tbl_Production[Client],$BI661),INDEX(tbl_Consulting[Client],$BI661)))&amp;"")</f>
        <v/>
      </c>
      <c r="E661" s="10">
        <f>IF($C661="","",IF(COUNTIF(lst_Jobs,$C661)&gt;0,"OK","CHECK"))</f>
        <v/>
      </c>
      <c r="F661" s="10">
        <f>IF($C661="","",IFERROR(INDEX(lst_JobName,MATCH($C661,lst_Jobs,0)),""))</f>
        <v/>
      </c>
      <c r="G661" s="10">
        <f>IF($BI661="","",IF($B661="Onsite",INDEX(tbl_Onsite[Job Description],$BI661),IF($B661="Production",INDEX(tbl_Production[Job Description],$BI661),INDEX(tbl_Consulting[Job Description],$BI661)))&amp;"")</f>
        <v/>
      </c>
      <c r="H661" s="10">
        <f>IF($BI661="","",IF($B661="Onsite",INDEX(tbl_Onsite[Cost Centre],$BI661),IF($B661="Production",INDEX(tbl_Production[Cost Centre],$BI661),INDEX(tbl_Consulting[Cost Centre],$BI661)))&amp;"")</f>
        <v/>
      </c>
      <c r="I661" s="10">
        <f>IF($BI661="","",IF($B661="Onsite",INDEX(tbl_Onsite[Invoice Type],$BI661),IF($B661="Production",INDEX(tbl_Production[Invoice Type],$BI661),INDEX(tbl_Consulting[Invoice Type],$BI661)))&amp;"")</f>
        <v/>
      </c>
      <c r="J661" s="10">
        <f>IF($BI661="","",IF($B661="Onsite",INDEX(tbl_Onsite[Tax Code],$BI661),IF($B661="Production",INDEX(tbl_Production[Tax Code],$BI661),INDEX(tbl_Consulting[Tax Code],$BI661)))&amp;"")</f>
        <v/>
      </c>
      <c r="K661" s="10">
        <f>IF(H661="","",IFERROR(INDEX(lst_CCtoGL,MATCH(H661,lst_CCforGL,0)),""))</f>
        <v/>
      </c>
      <c r="L661" s="10">
        <f>IF($BI661="","",IF($B661="Onsite",INDEX(tbl_Onsite[PO / Reference],$BI661),IF($B661="Production",INDEX(tbl_Production[Current RMS No],$BI661),INDEX(tbl_Consulting[Qwilr Quote],$BI661)))&amp;"")</f>
        <v/>
      </c>
      <c r="M661" s="10">
        <f>IF($BI661="","",IF($B661="Onsite",INDEX(tbl_Onsite[Notes],$BI661),IF($B661="Production",INDEX(tbl_Production[Notes],$BI661),INDEX(tbl_Consulting[Notes],$BI661)))&amp;"")</f>
        <v/>
      </c>
      <c r="N661" s="11">
        <f>IF($BI661="","",IF(IF($B661="Onsite",INDEX(tbl_Onsite[Expected Revenue Ex GST],$BI661),IF($B661="Production",INDEX(tbl_Production[Expected Revenue Ex GST],$BI661),INDEX(tbl_Consulting[Expected Revenue Ex GST],$BI661)))="","",IF($B661="Onsite",INDEX(tbl_Onsite[Expected Revenue Ex GST],$BI661),IF($B661="Production",INDEX(tbl_Production[Expected Revenue Ex GST],$BI661),INDEX(tbl_Consulting[Expected Revenue Ex GST],$BI661)))))</f>
        <v/>
      </c>
      <c r="O661" s="11">
        <f>IF(AND($C661="",NOT(COUNTA($S661:$BB661)&gt;0)),"",SUM(U661,X661,AA661,AD661,AG661,AJ661,AM661,AP661,AS661,AV661,AY661,BB661))</f>
        <v/>
      </c>
      <c r="P661" s="11">
        <f>IF(O661="","",N(N661)-O661)</f>
        <v/>
      </c>
      <c r="Q661" s="10">
        <f>IF(O661="","",IF($C661="","Invoice on empty job row",IF(N661="",IF(ROUND(O661,2)=0,"No dept value","Invoiced - no dept value"),IF(ROUND(O661,2)=0,"Not invoiced - to invoice",IF(ROUND(P661,2)=0,"Agrees",IF(P661&gt;0,"Dept higher - to invoice","Xero higher - check dept"))))))</f>
        <v/>
      </c>
      <c r="R661" s="10">
        <f>IF(AND($C661="",NOT(COUNTA($S661:$BB661)&gt;0),$BI661&lt;&gt;""),"",MID(IF($BI661="","; Row ID not found on the department sheet - a row was deleted","")&amp;IF(AND($C661="",COUNTA($S661:$BB661)&gt;0),"; Invoice entered but the department row has no job number","")&amp;IF(E661="CHECK","; Job number not in the Xero job list","")&amp;IF(AND($C661&lt;&gt;"",COUNTIF($C$7:$C$1506,$C661)&gt;1),"; Job number on more than one row","")&amp;IF(AND($C661&lt;&gt;"",H661=""),"; Dept has not set a cost centre","")&amp;IF(AND($C661&lt;&gt;"",J661=""),"; Dept has not set a tax code","")&amp;IF(AND($C661&lt;&gt;"",N661=""),"; Dept has not entered an expected value","")&amp;IF((IF(OR(COUNTA(S661:U661)=0,AND(COUNTA(S661:U661)=3,ISNUMBER(U661))),0,1)+IF(OR(COUNTA(V661:X661)=0,AND(COUNTA(V661:X661)=3,ISNUMBER(X661))),0,1)+IF(OR(COUNTA(Y661:AA661)=0,AND(COUNTA(Y661:AA661)=3,ISNUMBER(AA661))),0,1)+IF(OR(COUNTA(AB661:AD661)=0,AND(COUNTA(AB661:AD661)=3,ISNUMBER(AD661))),0,1)+IF(OR(COUNTA(AE661:AG661)=0,AND(COUNTA(AE661:AG661)=3,ISNUMBER(AG661))),0,1)+IF(OR(COUNTA(AH661:AJ661)=0,AND(COUNTA(AH661:AJ661)=3,ISNUMBER(AJ661))),0,1)+IF(OR(COUNTA(AK661:AM661)=0,AND(COUNTA(AK661:AM661)=3,ISNUMBER(AM661))),0,1)+IF(OR(COUNTA(AN661:AP661)=0,AND(COUNTA(AN661:AP661)=3,ISNUMBER(AP661))),0,1)+IF(OR(COUNTA(AQ661:AS661)=0,AND(COUNTA(AQ661:AS661)=3,ISNUMBER(AS661))),0,1)+IF(OR(COUNTA(AT661:AV661)=0,AND(COUNTA(AT661:AV661)=3,ISNUMBER(AV661))),0,1)+IF(OR(COUNTA(AW661:AY661)=0,AND(COUNTA(AW661:AY661)=3,ISNUMBER(AY661))),0,1)+IF(OR(COUNTA(AZ661:BB661)=0,AND(COUNTA(AZ661:BB661)=3,ISNUMBER(BB661))),0,1))&gt;0,"; An invoice is incomplete (needs No, Date and a number in Ex GST)","")&amp;IF((IF(T661="",0,IFERROR(--(EOMONTH(T661,0)&lt;&gt;S$5),1))+IF(W661="",0,IFERROR(--(EOMONTH(W661,0)&lt;&gt;V$5),1))+IF(Z661="",0,IFERROR(--(EOMONTH(Z661,0)&lt;&gt;Y$5),1))+IF(AC661="",0,IFERROR(--(EOMONTH(AC661,0)&lt;&gt;AB$5),1))+IF(AF661="",0,IFERROR(--(EOMONTH(AF661,0)&lt;&gt;AE$5),1))+IF(AI661="",0,IFERROR(--(EOMONTH(AI661,0)&lt;&gt;AH$5),1))+IF(AL661="",0,IFERROR(--(EOMONTH(AL661,0)&lt;&gt;AK$5),1))+IF(AO661="",0,IFERROR(--(EOMONTH(AO661,0)&lt;&gt;AN$5),1))+IF(AR661="",0,IFERROR(--(EOMONTH(AR661,0)&lt;&gt;AQ$5),1))+IF(AU661="",0,IFERROR(--(EOMONTH(AU661,0)&lt;&gt;AT$5),1))+IF(AX661="",0,IFERROR(--(EOMONTH(AX661,0)&lt;&gt;AW$5),1))+IF(BA661="",0,IFERROR(--(EOMONTH(BA661,0)&lt;&gt;AZ$5),1)))&gt;0,"; An invoice date is not in the month it is typed under",""),3,500))</f>
        <v/>
      </c>
      <c r="S661" s="12" t="n"/>
      <c r="T661" s="13" t="n"/>
      <c r="U661" s="14" t="n"/>
      <c r="V661" s="12" t="n"/>
      <c r="W661" s="13" t="n"/>
      <c r="X661" s="14" t="n"/>
      <c r="Y661" s="12" t="n"/>
      <c r="Z661" s="13" t="n"/>
      <c r="AA661" s="14" t="n"/>
      <c r="AB661" s="12" t="n"/>
      <c r="AC661" s="13" t="n"/>
      <c r="AD661" s="14" t="n"/>
      <c r="AE661" s="12" t="n"/>
      <c r="AF661" s="13" t="n"/>
      <c r="AG661" s="14" t="n"/>
      <c r="AH661" s="12" t="n"/>
      <c r="AI661" s="13" t="n"/>
      <c r="AJ661" s="14" t="n"/>
      <c r="AK661" s="12" t="n"/>
      <c r="AL661" s="13" t="n"/>
      <c r="AM661" s="14" t="n"/>
      <c r="AN661" s="12" t="n"/>
      <c r="AO661" s="13" t="n"/>
      <c r="AP661" s="14" t="n"/>
      <c r="AQ661" s="12" t="n"/>
      <c r="AR661" s="13" t="n"/>
      <c r="AS661" s="14" t="n"/>
      <c r="AT661" s="12" t="n"/>
      <c r="AU661" s="13" t="n"/>
      <c r="AV661" s="14" t="n"/>
      <c r="AW661" s="12" t="n"/>
      <c r="AX661" s="13" t="n"/>
      <c r="AY661" s="14" t="n"/>
      <c r="AZ661" s="12" t="n"/>
      <c r="BA661" s="13" t="n"/>
      <c r="BB661" s="14" t="n"/>
      <c r="BC661" s="11">
        <f>IF(O661="","",IF(J661="GST 10%",ROUND(O661*set_GSTRate,2),0))</f>
        <v/>
      </c>
      <c r="BD661" s="11">
        <f>IF(O661="","",O661+BC661)</f>
        <v/>
      </c>
      <c r="BE661" s="15">
        <f>IF(O661="","",COUNTA(S661,V661,Y661,AB661,AE661,AH661,AK661,AN661,AQ661,AT661,AW661,AZ661))</f>
        <v/>
      </c>
      <c r="BF661" s="16">
        <f>IF(COUNT(T661,W661,Z661,AC661,AF661,AI661,AL661,AO661,AR661,AU661,AX661,BA661)=0,"",MAX(T661,W661,Z661,AC661,AF661,AI661,AL661,AO661,AR661,AU661,AX661,BA661))</f>
        <v/>
      </c>
      <c r="BG661" s="10">
        <f>MID(IF(S661="","",", "&amp;S661)&amp;IF(V661="","",", "&amp;V661)&amp;IF(Y661="","",", "&amp;Y661)&amp;IF(AB661="","",", "&amp;AB661)&amp;IF(AE661="","",", "&amp;AE661)&amp;IF(AH661="","",", "&amp;AH661)&amp;IF(AK661="","",", "&amp;AK661)&amp;IF(AN661="","",", "&amp;AN661)&amp;IF(AQ661="","",", "&amp;AQ661)&amp;IF(AT661="","",", "&amp;AT661)&amp;IF(AW661="","",", "&amp;AW661)&amp;IF(AZ661="","",", "&amp;AZ661),3,500)</f>
        <v/>
      </c>
      <c r="BH661" s="12" t="n"/>
      <c r="BI661" s="15">
        <f>IFERROR(MATCH($A661,IF($B661="Onsite",tbl_Onsite[Row ID],IF($B661="Production",tbl_Production[Row ID],tbl_Consulting[Row ID])),0),"")</f>
        <v/>
      </c>
    </row>
    <row r="662">
      <c r="A662" s="10" t="inlineStr">
        <is>
          <t>PRD-0156</t>
        </is>
      </c>
      <c r="B662" s="10" t="inlineStr">
        <is>
          <t>Production</t>
        </is>
      </c>
      <c r="C662" s="10">
        <f>IF($BI662="","",IF($B662="Onsite",INDEX(tbl_Onsite[Job Number],$BI662),IF($B662="Production",INDEX(tbl_Production[Job Number],$BI662),INDEX(tbl_Consulting[Job Number],$BI662)))&amp;"")</f>
        <v/>
      </c>
      <c r="D662" s="10">
        <f>IF($BI662="","",IF($B662="Onsite",INDEX(tbl_Onsite[Client],$BI662),IF($B662="Production",INDEX(tbl_Production[Client],$BI662),INDEX(tbl_Consulting[Client],$BI662)))&amp;"")</f>
        <v/>
      </c>
      <c r="E662" s="10">
        <f>IF($C662="","",IF(COUNTIF(lst_Jobs,$C662)&gt;0,"OK","CHECK"))</f>
        <v/>
      </c>
      <c r="F662" s="10">
        <f>IF($C662="","",IFERROR(INDEX(lst_JobName,MATCH($C662,lst_Jobs,0)),""))</f>
        <v/>
      </c>
      <c r="G662" s="10">
        <f>IF($BI662="","",IF($B662="Onsite",INDEX(tbl_Onsite[Job Description],$BI662),IF($B662="Production",INDEX(tbl_Production[Job Description],$BI662),INDEX(tbl_Consulting[Job Description],$BI662)))&amp;"")</f>
        <v/>
      </c>
      <c r="H662" s="10">
        <f>IF($BI662="","",IF($B662="Onsite",INDEX(tbl_Onsite[Cost Centre],$BI662),IF($B662="Production",INDEX(tbl_Production[Cost Centre],$BI662),INDEX(tbl_Consulting[Cost Centre],$BI662)))&amp;"")</f>
        <v/>
      </c>
      <c r="I662" s="10">
        <f>IF($BI662="","",IF($B662="Onsite",INDEX(tbl_Onsite[Invoice Type],$BI662),IF($B662="Production",INDEX(tbl_Production[Invoice Type],$BI662),INDEX(tbl_Consulting[Invoice Type],$BI662)))&amp;"")</f>
        <v/>
      </c>
      <c r="J662" s="10">
        <f>IF($BI662="","",IF($B662="Onsite",INDEX(tbl_Onsite[Tax Code],$BI662),IF($B662="Production",INDEX(tbl_Production[Tax Code],$BI662),INDEX(tbl_Consulting[Tax Code],$BI662)))&amp;"")</f>
        <v/>
      </c>
      <c r="K662" s="10">
        <f>IF(H662="","",IFERROR(INDEX(lst_CCtoGL,MATCH(H662,lst_CCforGL,0)),""))</f>
        <v/>
      </c>
      <c r="L662" s="10">
        <f>IF($BI662="","",IF($B662="Onsite",INDEX(tbl_Onsite[PO / Reference],$BI662),IF($B662="Production",INDEX(tbl_Production[Current RMS No],$BI662),INDEX(tbl_Consulting[Qwilr Quote],$BI662)))&amp;"")</f>
        <v/>
      </c>
      <c r="M662" s="10">
        <f>IF($BI662="","",IF($B662="Onsite",INDEX(tbl_Onsite[Notes],$BI662),IF($B662="Production",INDEX(tbl_Production[Notes],$BI662),INDEX(tbl_Consulting[Notes],$BI662)))&amp;"")</f>
        <v/>
      </c>
      <c r="N662" s="11">
        <f>IF($BI662="","",IF(IF($B662="Onsite",INDEX(tbl_Onsite[Expected Revenue Ex GST],$BI662),IF($B662="Production",INDEX(tbl_Production[Expected Revenue Ex GST],$BI662),INDEX(tbl_Consulting[Expected Revenue Ex GST],$BI662)))="","",IF($B662="Onsite",INDEX(tbl_Onsite[Expected Revenue Ex GST],$BI662),IF($B662="Production",INDEX(tbl_Production[Expected Revenue Ex GST],$BI662),INDEX(tbl_Consulting[Expected Revenue Ex GST],$BI662)))))</f>
        <v/>
      </c>
      <c r="O662" s="11">
        <f>IF(AND($C662="",NOT(COUNTA($S662:$BB662)&gt;0)),"",SUM(U662,X662,AA662,AD662,AG662,AJ662,AM662,AP662,AS662,AV662,AY662,BB662))</f>
        <v/>
      </c>
      <c r="P662" s="11">
        <f>IF(O662="","",N(N662)-O662)</f>
        <v/>
      </c>
      <c r="Q662" s="10">
        <f>IF(O662="","",IF($C662="","Invoice on empty job row",IF(N662="",IF(ROUND(O662,2)=0,"No dept value","Invoiced - no dept value"),IF(ROUND(O662,2)=0,"Not invoiced - to invoice",IF(ROUND(P662,2)=0,"Agrees",IF(P662&gt;0,"Dept higher - to invoice","Xero higher - check dept"))))))</f>
        <v/>
      </c>
      <c r="R662" s="10">
        <f>IF(AND($C662="",NOT(COUNTA($S662:$BB662)&gt;0),$BI662&lt;&gt;""),"",MID(IF($BI662="","; Row ID not found on the department sheet - a row was deleted","")&amp;IF(AND($C662="",COUNTA($S662:$BB662)&gt;0),"; Invoice entered but the department row has no job number","")&amp;IF(E662="CHECK","; Job number not in the Xero job list","")&amp;IF(AND($C662&lt;&gt;"",COUNTIF($C$7:$C$1506,$C662)&gt;1),"; Job number on more than one row","")&amp;IF(AND($C662&lt;&gt;"",H662=""),"; Dept has not set a cost centre","")&amp;IF(AND($C662&lt;&gt;"",J662=""),"; Dept has not set a tax code","")&amp;IF(AND($C662&lt;&gt;"",N662=""),"; Dept has not entered an expected value","")&amp;IF((IF(OR(COUNTA(S662:U662)=0,AND(COUNTA(S662:U662)=3,ISNUMBER(U662))),0,1)+IF(OR(COUNTA(V662:X662)=0,AND(COUNTA(V662:X662)=3,ISNUMBER(X662))),0,1)+IF(OR(COUNTA(Y662:AA662)=0,AND(COUNTA(Y662:AA662)=3,ISNUMBER(AA662))),0,1)+IF(OR(COUNTA(AB662:AD662)=0,AND(COUNTA(AB662:AD662)=3,ISNUMBER(AD662))),0,1)+IF(OR(COUNTA(AE662:AG662)=0,AND(COUNTA(AE662:AG662)=3,ISNUMBER(AG662))),0,1)+IF(OR(COUNTA(AH662:AJ662)=0,AND(COUNTA(AH662:AJ662)=3,ISNUMBER(AJ662))),0,1)+IF(OR(COUNTA(AK662:AM662)=0,AND(COUNTA(AK662:AM662)=3,ISNUMBER(AM662))),0,1)+IF(OR(COUNTA(AN662:AP662)=0,AND(COUNTA(AN662:AP662)=3,ISNUMBER(AP662))),0,1)+IF(OR(COUNTA(AQ662:AS662)=0,AND(COUNTA(AQ662:AS662)=3,ISNUMBER(AS662))),0,1)+IF(OR(COUNTA(AT662:AV662)=0,AND(COUNTA(AT662:AV662)=3,ISNUMBER(AV662))),0,1)+IF(OR(COUNTA(AW662:AY662)=0,AND(COUNTA(AW662:AY662)=3,ISNUMBER(AY662))),0,1)+IF(OR(COUNTA(AZ662:BB662)=0,AND(COUNTA(AZ662:BB662)=3,ISNUMBER(BB662))),0,1))&gt;0,"; An invoice is incomplete (needs No, Date and a number in Ex GST)","")&amp;IF((IF(T662="",0,IFERROR(--(EOMONTH(T662,0)&lt;&gt;S$5),1))+IF(W662="",0,IFERROR(--(EOMONTH(W662,0)&lt;&gt;V$5),1))+IF(Z662="",0,IFERROR(--(EOMONTH(Z662,0)&lt;&gt;Y$5),1))+IF(AC662="",0,IFERROR(--(EOMONTH(AC662,0)&lt;&gt;AB$5),1))+IF(AF662="",0,IFERROR(--(EOMONTH(AF662,0)&lt;&gt;AE$5),1))+IF(AI662="",0,IFERROR(--(EOMONTH(AI662,0)&lt;&gt;AH$5),1))+IF(AL662="",0,IFERROR(--(EOMONTH(AL662,0)&lt;&gt;AK$5),1))+IF(AO662="",0,IFERROR(--(EOMONTH(AO662,0)&lt;&gt;AN$5),1))+IF(AR662="",0,IFERROR(--(EOMONTH(AR662,0)&lt;&gt;AQ$5),1))+IF(AU662="",0,IFERROR(--(EOMONTH(AU662,0)&lt;&gt;AT$5),1))+IF(AX662="",0,IFERROR(--(EOMONTH(AX662,0)&lt;&gt;AW$5),1))+IF(BA662="",0,IFERROR(--(EOMONTH(BA662,0)&lt;&gt;AZ$5),1)))&gt;0,"; An invoice date is not in the month it is typed under",""),3,500))</f>
        <v/>
      </c>
      <c r="S662" s="12" t="n"/>
      <c r="T662" s="13" t="n"/>
      <c r="U662" s="14" t="n"/>
      <c r="V662" s="12" t="n"/>
      <c r="W662" s="13" t="n"/>
      <c r="X662" s="14" t="n"/>
      <c r="Y662" s="12" t="n"/>
      <c r="Z662" s="13" t="n"/>
      <c r="AA662" s="14" t="n"/>
      <c r="AB662" s="12" t="n"/>
      <c r="AC662" s="13" t="n"/>
      <c r="AD662" s="14" t="n"/>
      <c r="AE662" s="12" t="n"/>
      <c r="AF662" s="13" t="n"/>
      <c r="AG662" s="14" t="n"/>
      <c r="AH662" s="12" t="n"/>
      <c r="AI662" s="13" t="n"/>
      <c r="AJ662" s="14" t="n"/>
      <c r="AK662" s="12" t="n"/>
      <c r="AL662" s="13" t="n"/>
      <c r="AM662" s="14" t="n"/>
      <c r="AN662" s="12" t="n"/>
      <c r="AO662" s="13" t="n"/>
      <c r="AP662" s="14" t="n"/>
      <c r="AQ662" s="12" t="n"/>
      <c r="AR662" s="13" t="n"/>
      <c r="AS662" s="14" t="n"/>
      <c r="AT662" s="12" t="n"/>
      <c r="AU662" s="13" t="n"/>
      <c r="AV662" s="14" t="n"/>
      <c r="AW662" s="12" t="n"/>
      <c r="AX662" s="13" t="n"/>
      <c r="AY662" s="14" t="n"/>
      <c r="AZ662" s="12" t="n"/>
      <c r="BA662" s="13" t="n"/>
      <c r="BB662" s="14" t="n"/>
      <c r="BC662" s="11">
        <f>IF(O662="","",IF(J662="GST 10%",ROUND(O662*set_GSTRate,2),0))</f>
        <v/>
      </c>
      <c r="BD662" s="11">
        <f>IF(O662="","",O662+BC662)</f>
        <v/>
      </c>
      <c r="BE662" s="15">
        <f>IF(O662="","",COUNTA(S662,V662,Y662,AB662,AE662,AH662,AK662,AN662,AQ662,AT662,AW662,AZ662))</f>
        <v/>
      </c>
      <c r="BF662" s="16">
        <f>IF(COUNT(T662,W662,Z662,AC662,AF662,AI662,AL662,AO662,AR662,AU662,AX662,BA662)=0,"",MAX(T662,W662,Z662,AC662,AF662,AI662,AL662,AO662,AR662,AU662,AX662,BA662))</f>
        <v/>
      </c>
      <c r="BG662" s="10">
        <f>MID(IF(S662="","",", "&amp;S662)&amp;IF(V662="","",", "&amp;V662)&amp;IF(Y662="","",", "&amp;Y662)&amp;IF(AB662="","",", "&amp;AB662)&amp;IF(AE662="","",", "&amp;AE662)&amp;IF(AH662="","",", "&amp;AH662)&amp;IF(AK662="","",", "&amp;AK662)&amp;IF(AN662="","",", "&amp;AN662)&amp;IF(AQ662="","",", "&amp;AQ662)&amp;IF(AT662="","",", "&amp;AT662)&amp;IF(AW662="","",", "&amp;AW662)&amp;IF(AZ662="","",", "&amp;AZ662),3,500)</f>
        <v/>
      </c>
      <c r="BH662" s="12" t="n"/>
      <c r="BI662" s="15">
        <f>IFERROR(MATCH($A662,IF($B662="Onsite",tbl_Onsite[Row ID],IF($B662="Production",tbl_Production[Row ID],tbl_Consulting[Row ID])),0),"")</f>
        <v/>
      </c>
    </row>
    <row r="663">
      <c r="A663" s="10" t="inlineStr">
        <is>
          <t>PRD-0157</t>
        </is>
      </c>
      <c r="B663" s="10" t="inlineStr">
        <is>
          <t>Production</t>
        </is>
      </c>
      <c r="C663" s="10">
        <f>IF($BI663="","",IF($B663="Onsite",INDEX(tbl_Onsite[Job Number],$BI663),IF($B663="Production",INDEX(tbl_Production[Job Number],$BI663),INDEX(tbl_Consulting[Job Number],$BI663)))&amp;"")</f>
        <v/>
      </c>
      <c r="D663" s="10">
        <f>IF($BI663="","",IF($B663="Onsite",INDEX(tbl_Onsite[Client],$BI663),IF($B663="Production",INDEX(tbl_Production[Client],$BI663),INDEX(tbl_Consulting[Client],$BI663)))&amp;"")</f>
        <v/>
      </c>
      <c r="E663" s="10">
        <f>IF($C663="","",IF(COUNTIF(lst_Jobs,$C663)&gt;0,"OK","CHECK"))</f>
        <v/>
      </c>
      <c r="F663" s="10">
        <f>IF($C663="","",IFERROR(INDEX(lst_JobName,MATCH($C663,lst_Jobs,0)),""))</f>
        <v/>
      </c>
      <c r="G663" s="10">
        <f>IF($BI663="","",IF($B663="Onsite",INDEX(tbl_Onsite[Job Description],$BI663),IF($B663="Production",INDEX(tbl_Production[Job Description],$BI663),INDEX(tbl_Consulting[Job Description],$BI663)))&amp;"")</f>
        <v/>
      </c>
      <c r="H663" s="10">
        <f>IF($BI663="","",IF($B663="Onsite",INDEX(tbl_Onsite[Cost Centre],$BI663),IF($B663="Production",INDEX(tbl_Production[Cost Centre],$BI663),INDEX(tbl_Consulting[Cost Centre],$BI663)))&amp;"")</f>
        <v/>
      </c>
      <c r="I663" s="10">
        <f>IF($BI663="","",IF($B663="Onsite",INDEX(tbl_Onsite[Invoice Type],$BI663),IF($B663="Production",INDEX(tbl_Production[Invoice Type],$BI663),INDEX(tbl_Consulting[Invoice Type],$BI663)))&amp;"")</f>
        <v/>
      </c>
      <c r="J663" s="10">
        <f>IF($BI663="","",IF($B663="Onsite",INDEX(tbl_Onsite[Tax Code],$BI663),IF($B663="Production",INDEX(tbl_Production[Tax Code],$BI663),INDEX(tbl_Consulting[Tax Code],$BI663)))&amp;"")</f>
        <v/>
      </c>
      <c r="K663" s="10">
        <f>IF(H663="","",IFERROR(INDEX(lst_CCtoGL,MATCH(H663,lst_CCforGL,0)),""))</f>
        <v/>
      </c>
      <c r="L663" s="10">
        <f>IF($BI663="","",IF($B663="Onsite",INDEX(tbl_Onsite[PO / Reference],$BI663),IF($B663="Production",INDEX(tbl_Production[Current RMS No],$BI663),INDEX(tbl_Consulting[Qwilr Quote],$BI663)))&amp;"")</f>
        <v/>
      </c>
      <c r="M663" s="10">
        <f>IF($BI663="","",IF($B663="Onsite",INDEX(tbl_Onsite[Notes],$BI663),IF($B663="Production",INDEX(tbl_Production[Notes],$BI663),INDEX(tbl_Consulting[Notes],$BI663)))&amp;"")</f>
        <v/>
      </c>
      <c r="N663" s="11">
        <f>IF($BI663="","",IF(IF($B663="Onsite",INDEX(tbl_Onsite[Expected Revenue Ex GST],$BI663),IF($B663="Production",INDEX(tbl_Production[Expected Revenue Ex GST],$BI663),INDEX(tbl_Consulting[Expected Revenue Ex GST],$BI663)))="","",IF($B663="Onsite",INDEX(tbl_Onsite[Expected Revenue Ex GST],$BI663),IF($B663="Production",INDEX(tbl_Production[Expected Revenue Ex GST],$BI663),INDEX(tbl_Consulting[Expected Revenue Ex GST],$BI663)))))</f>
        <v/>
      </c>
      <c r="O663" s="11">
        <f>IF(AND($C663="",NOT(COUNTA($S663:$BB663)&gt;0)),"",SUM(U663,X663,AA663,AD663,AG663,AJ663,AM663,AP663,AS663,AV663,AY663,BB663))</f>
        <v/>
      </c>
      <c r="P663" s="11">
        <f>IF(O663="","",N(N663)-O663)</f>
        <v/>
      </c>
      <c r="Q663" s="10">
        <f>IF(O663="","",IF($C663="","Invoice on empty job row",IF(N663="",IF(ROUND(O663,2)=0,"No dept value","Invoiced - no dept value"),IF(ROUND(O663,2)=0,"Not invoiced - to invoice",IF(ROUND(P663,2)=0,"Agrees",IF(P663&gt;0,"Dept higher - to invoice","Xero higher - check dept"))))))</f>
        <v/>
      </c>
      <c r="R663" s="10">
        <f>IF(AND($C663="",NOT(COUNTA($S663:$BB663)&gt;0),$BI663&lt;&gt;""),"",MID(IF($BI663="","; Row ID not found on the department sheet - a row was deleted","")&amp;IF(AND($C663="",COUNTA($S663:$BB663)&gt;0),"; Invoice entered but the department row has no job number","")&amp;IF(E663="CHECK","; Job number not in the Xero job list","")&amp;IF(AND($C663&lt;&gt;"",COUNTIF($C$7:$C$1506,$C663)&gt;1),"; Job number on more than one row","")&amp;IF(AND($C663&lt;&gt;"",H663=""),"; Dept has not set a cost centre","")&amp;IF(AND($C663&lt;&gt;"",J663=""),"; Dept has not set a tax code","")&amp;IF(AND($C663&lt;&gt;"",N663=""),"; Dept has not entered an expected value","")&amp;IF((IF(OR(COUNTA(S663:U663)=0,AND(COUNTA(S663:U663)=3,ISNUMBER(U663))),0,1)+IF(OR(COUNTA(V663:X663)=0,AND(COUNTA(V663:X663)=3,ISNUMBER(X663))),0,1)+IF(OR(COUNTA(Y663:AA663)=0,AND(COUNTA(Y663:AA663)=3,ISNUMBER(AA663))),0,1)+IF(OR(COUNTA(AB663:AD663)=0,AND(COUNTA(AB663:AD663)=3,ISNUMBER(AD663))),0,1)+IF(OR(COUNTA(AE663:AG663)=0,AND(COUNTA(AE663:AG663)=3,ISNUMBER(AG663))),0,1)+IF(OR(COUNTA(AH663:AJ663)=0,AND(COUNTA(AH663:AJ663)=3,ISNUMBER(AJ663))),0,1)+IF(OR(COUNTA(AK663:AM663)=0,AND(COUNTA(AK663:AM663)=3,ISNUMBER(AM663))),0,1)+IF(OR(COUNTA(AN663:AP663)=0,AND(COUNTA(AN663:AP663)=3,ISNUMBER(AP663))),0,1)+IF(OR(COUNTA(AQ663:AS663)=0,AND(COUNTA(AQ663:AS663)=3,ISNUMBER(AS663))),0,1)+IF(OR(COUNTA(AT663:AV663)=0,AND(COUNTA(AT663:AV663)=3,ISNUMBER(AV663))),0,1)+IF(OR(COUNTA(AW663:AY663)=0,AND(COUNTA(AW663:AY663)=3,ISNUMBER(AY663))),0,1)+IF(OR(COUNTA(AZ663:BB663)=0,AND(COUNTA(AZ663:BB663)=3,ISNUMBER(BB663))),0,1))&gt;0,"; An invoice is incomplete (needs No, Date and a number in Ex GST)","")&amp;IF((IF(T663="",0,IFERROR(--(EOMONTH(T663,0)&lt;&gt;S$5),1))+IF(W663="",0,IFERROR(--(EOMONTH(W663,0)&lt;&gt;V$5),1))+IF(Z663="",0,IFERROR(--(EOMONTH(Z663,0)&lt;&gt;Y$5),1))+IF(AC663="",0,IFERROR(--(EOMONTH(AC663,0)&lt;&gt;AB$5),1))+IF(AF663="",0,IFERROR(--(EOMONTH(AF663,0)&lt;&gt;AE$5),1))+IF(AI663="",0,IFERROR(--(EOMONTH(AI663,0)&lt;&gt;AH$5),1))+IF(AL663="",0,IFERROR(--(EOMONTH(AL663,0)&lt;&gt;AK$5),1))+IF(AO663="",0,IFERROR(--(EOMONTH(AO663,0)&lt;&gt;AN$5),1))+IF(AR663="",0,IFERROR(--(EOMONTH(AR663,0)&lt;&gt;AQ$5),1))+IF(AU663="",0,IFERROR(--(EOMONTH(AU663,0)&lt;&gt;AT$5),1))+IF(AX663="",0,IFERROR(--(EOMONTH(AX663,0)&lt;&gt;AW$5),1))+IF(BA663="",0,IFERROR(--(EOMONTH(BA663,0)&lt;&gt;AZ$5),1)))&gt;0,"; An invoice date is not in the month it is typed under",""),3,500))</f>
        <v/>
      </c>
      <c r="S663" s="12" t="n"/>
      <c r="T663" s="13" t="n"/>
      <c r="U663" s="14" t="n"/>
      <c r="V663" s="12" t="n"/>
      <c r="W663" s="13" t="n"/>
      <c r="X663" s="14" t="n"/>
      <c r="Y663" s="12" t="n"/>
      <c r="Z663" s="13" t="n"/>
      <c r="AA663" s="14" t="n"/>
      <c r="AB663" s="12" t="n"/>
      <c r="AC663" s="13" t="n"/>
      <c r="AD663" s="14" t="n"/>
      <c r="AE663" s="12" t="n"/>
      <c r="AF663" s="13" t="n"/>
      <c r="AG663" s="14" t="n"/>
      <c r="AH663" s="12" t="n"/>
      <c r="AI663" s="13" t="n"/>
      <c r="AJ663" s="14" t="n"/>
      <c r="AK663" s="12" t="n"/>
      <c r="AL663" s="13" t="n"/>
      <c r="AM663" s="14" t="n"/>
      <c r="AN663" s="12" t="n"/>
      <c r="AO663" s="13" t="n"/>
      <c r="AP663" s="14" t="n"/>
      <c r="AQ663" s="12" t="n"/>
      <c r="AR663" s="13" t="n"/>
      <c r="AS663" s="14" t="n"/>
      <c r="AT663" s="12" t="n"/>
      <c r="AU663" s="13" t="n"/>
      <c r="AV663" s="14" t="n"/>
      <c r="AW663" s="12" t="n"/>
      <c r="AX663" s="13" t="n"/>
      <c r="AY663" s="14" t="n"/>
      <c r="AZ663" s="12" t="n"/>
      <c r="BA663" s="13" t="n"/>
      <c r="BB663" s="14" t="n"/>
      <c r="BC663" s="11">
        <f>IF(O663="","",IF(J663="GST 10%",ROUND(O663*set_GSTRate,2),0))</f>
        <v/>
      </c>
      <c r="BD663" s="11">
        <f>IF(O663="","",O663+BC663)</f>
        <v/>
      </c>
      <c r="BE663" s="15">
        <f>IF(O663="","",COUNTA(S663,V663,Y663,AB663,AE663,AH663,AK663,AN663,AQ663,AT663,AW663,AZ663))</f>
        <v/>
      </c>
      <c r="BF663" s="16">
        <f>IF(COUNT(T663,W663,Z663,AC663,AF663,AI663,AL663,AO663,AR663,AU663,AX663,BA663)=0,"",MAX(T663,W663,Z663,AC663,AF663,AI663,AL663,AO663,AR663,AU663,AX663,BA663))</f>
        <v/>
      </c>
      <c r="BG663" s="10">
        <f>MID(IF(S663="","",", "&amp;S663)&amp;IF(V663="","",", "&amp;V663)&amp;IF(Y663="","",", "&amp;Y663)&amp;IF(AB663="","",", "&amp;AB663)&amp;IF(AE663="","",", "&amp;AE663)&amp;IF(AH663="","",", "&amp;AH663)&amp;IF(AK663="","",", "&amp;AK663)&amp;IF(AN663="","",", "&amp;AN663)&amp;IF(AQ663="","",", "&amp;AQ663)&amp;IF(AT663="","",", "&amp;AT663)&amp;IF(AW663="","",", "&amp;AW663)&amp;IF(AZ663="","",", "&amp;AZ663),3,500)</f>
        <v/>
      </c>
      <c r="BH663" s="12" t="n"/>
      <c r="BI663" s="15">
        <f>IFERROR(MATCH($A663,IF($B663="Onsite",tbl_Onsite[Row ID],IF($B663="Production",tbl_Production[Row ID],tbl_Consulting[Row ID])),0),"")</f>
        <v/>
      </c>
    </row>
    <row r="664">
      <c r="A664" s="10" t="inlineStr">
        <is>
          <t>PRD-0158</t>
        </is>
      </c>
      <c r="B664" s="10" t="inlineStr">
        <is>
          <t>Production</t>
        </is>
      </c>
      <c r="C664" s="10">
        <f>IF($BI664="","",IF($B664="Onsite",INDEX(tbl_Onsite[Job Number],$BI664),IF($B664="Production",INDEX(tbl_Production[Job Number],$BI664),INDEX(tbl_Consulting[Job Number],$BI664)))&amp;"")</f>
        <v/>
      </c>
      <c r="D664" s="10">
        <f>IF($BI664="","",IF($B664="Onsite",INDEX(tbl_Onsite[Client],$BI664),IF($B664="Production",INDEX(tbl_Production[Client],$BI664),INDEX(tbl_Consulting[Client],$BI664)))&amp;"")</f>
        <v/>
      </c>
      <c r="E664" s="10">
        <f>IF($C664="","",IF(COUNTIF(lst_Jobs,$C664)&gt;0,"OK","CHECK"))</f>
        <v/>
      </c>
      <c r="F664" s="10">
        <f>IF($C664="","",IFERROR(INDEX(lst_JobName,MATCH($C664,lst_Jobs,0)),""))</f>
        <v/>
      </c>
      <c r="G664" s="10">
        <f>IF($BI664="","",IF($B664="Onsite",INDEX(tbl_Onsite[Job Description],$BI664),IF($B664="Production",INDEX(tbl_Production[Job Description],$BI664),INDEX(tbl_Consulting[Job Description],$BI664)))&amp;"")</f>
        <v/>
      </c>
      <c r="H664" s="10">
        <f>IF($BI664="","",IF($B664="Onsite",INDEX(tbl_Onsite[Cost Centre],$BI664),IF($B664="Production",INDEX(tbl_Production[Cost Centre],$BI664),INDEX(tbl_Consulting[Cost Centre],$BI664)))&amp;"")</f>
        <v/>
      </c>
      <c r="I664" s="10">
        <f>IF($BI664="","",IF($B664="Onsite",INDEX(tbl_Onsite[Invoice Type],$BI664),IF($B664="Production",INDEX(tbl_Production[Invoice Type],$BI664),INDEX(tbl_Consulting[Invoice Type],$BI664)))&amp;"")</f>
        <v/>
      </c>
      <c r="J664" s="10">
        <f>IF($BI664="","",IF($B664="Onsite",INDEX(tbl_Onsite[Tax Code],$BI664),IF($B664="Production",INDEX(tbl_Production[Tax Code],$BI664),INDEX(tbl_Consulting[Tax Code],$BI664)))&amp;"")</f>
        <v/>
      </c>
      <c r="K664" s="10">
        <f>IF(H664="","",IFERROR(INDEX(lst_CCtoGL,MATCH(H664,lst_CCforGL,0)),""))</f>
        <v/>
      </c>
      <c r="L664" s="10">
        <f>IF($BI664="","",IF($B664="Onsite",INDEX(tbl_Onsite[PO / Reference],$BI664),IF($B664="Production",INDEX(tbl_Production[Current RMS No],$BI664),INDEX(tbl_Consulting[Qwilr Quote],$BI664)))&amp;"")</f>
        <v/>
      </c>
      <c r="M664" s="10">
        <f>IF($BI664="","",IF($B664="Onsite",INDEX(tbl_Onsite[Notes],$BI664),IF($B664="Production",INDEX(tbl_Production[Notes],$BI664),INDEX(tbl_Consulting[Notes],$BI664)))&amp;"")</f>
        <v/>
      </c>
      <c r="N664" s="11">
        <f>IF($BI664="","",IF(IF($B664="Onsite",INDEX(tbl_Onsite[Expected Revenue Ex GST],$BI664),IF($B664="Production",INDEX(tbl_Production[Expected Revenue Ex GST],$BI664),INDEX(tbl_Consulting[Expected Revenue Ex GST],$BI664)))="","",IF($B664="Onsite",INDEX(tbl_Onsite[Expected Revenue Ex GST],$BI664),IF($B664="Production",INDEX(tbl_Production[Expected Revenue Ex GST],$BI664),INDEX(tbl_Consulting[Expected Revenue Ex GST],$BI664)))))</f>
        <v/>
      </c>
      <c r="O664" s="11">
        <f>IF(AND($C664="",NOT(COUNTA($S664:$BB664)&gt;0)),"",SUM(U664,X664,AA664,AD664,AG664,AJ664,AM664,AP664,AS664,AV664,AY664,BB664))</f>
        <v/>
      </c>
      <c r="P664" s="11">
        <f>IF(O664="","",N(N664)-O664)</f>
        <v/>
      </c>
      <c r="Q664" s="10">
        <f>IF(O664="","",IF($C664="","Invoice on empty job row",IF(N664="",IF(ROUND(O664,2)=0,"No dept value","Invoiced - no dept value"),IF(ROUND(O664,2)=0,"Not invoiced - to invoice",IF(ROUND(P664,2)=0,"Agrees",IF(P664&gt;0,"Dept higher - to invoice","Xero higher - check dept"))))))</f>
        <v/>
      </c>
      <c r="R664" s="10">
        <f>IF(AND($C664="",NOT(COUNTA($S664:$BB664)&gt;0),$BI664&lt;&gt;""),"",MID(IF($BI664="","; Row ID not found on the department sheet - a row was deleted","")&amp;IF(AND($C664="",COUNTA($S664:$BB664)&gt;0),"; Invoice entered but the department row has no job number","")&amp;IF(E664="CHECK","; Job number not in the Xero job list","")&amp;IF(AND($C664&lt;&gt;"",COUNTIF($C$7:$C$1506,$C664)&gt;1),"; Job number on more than one row","")&amp;IF(AND($C664&lt;&gt;"",H664=""),"; Dept has not set a cost centre","")&amp;IF(AND($C664&lt;&gt;"",J664=""),"; Dept has not set a tax code","")&amp;IF(AND($C664&lt;&gt;"",N664=""),"; Dept has not entered an expected value","")&amp;IF((IF(OR(COUNTA(S664:U664)=0,AND(COUNTA(S664:U664)=3,ISNUMBER(U664))),0,1)+IF(OR(COUNTA(V664:X664)=0,AND(COUNTA(V664:X664)=3,ISNUMBER(X664))),0,1)+IF(OR(COUNTA(Y664:AA664)=0,AND(COUNTA(Y664:AA664)=3,ISNUMBER(AA664))),0,1)+IF(OR(COUNTA(AB664:AD664)=0,AND(COUNTA(AB664:AD664)=3,ISNUMBER(AD664))),0,1)+IF(OR(COUNTA(AE664:AG664)=0,AND(COUNTA(AE664:AG664)=3,ISNUMBER(AG664))),0,1)+IF(OR(COUNTA(AH664:AJ664)=0,AND(COUNTA(AH664:AJ664)=3,ISNUMBER(AJ664))),0,1)+IF(OR(COUNTA(AK664:AM664)=0,AND(COUNTA(AK664:AM664)=3,ISNUMBER(AM664))),0,1)+IF(OR(COUNTA(AN664:AP664)=0,AND(COUNTA(AN664:AP664)=3,ISNUMBER(AP664))),0,1)+IF(OR(COUNTA(AQ664:AS664)=0,AND(COUNTA(AQ664:AS664)=3,ISNUMBER(AS664))),0,1)+IF(OR(COUNTA(AT664:AV664)=0,AND(COUNTA(AT664:AV664)=3,ISNUMBER(AV664))),0,1)+IF(OR(COUNTA(AW664:AY664)=0,AND(COUNTA(AW664:AY664)=3,ISNUMBER(AY664))),0,1)+IF(OR(COUNTA(AZ664:BB664)=0,AND(COUNTA(AZ664:BB664)=3,ISNUMBER(BB664))),0,1))&gt;0,"; An invoice is incomplete (needs No, Date and a number in Ex GST)","")&amp;IF((IF(T664="",0,IFERROR(--(EOMONTH(T664,0)&lt;&gt;S$5),1))+IF(W664="",0,IFERROR(--(EOMONTH(W664,0)&lt;&gt;V$5),1))+IF(Z664="",0,IFERROR(--(EOMONTH(Z664,0)&lt;&gt;Y$5),1))+IF(AC664="",0,IFERROR(--(EOMONTH(AC664,0)&lt;&gt;AB$5),1))+IF(AF664="",0,IFERROR(--(EOMONTH(AF664,0)&lt;&gt;AE$5),1))+IF(AI664="",0,IFERROR(--(EOMONTH(AI664,0)&lt;&gt;AH$5),1))+IF(AL664="",0,IFERROR(--(EOMONTH(AL664,0)&lt;&gt;AK$5),1))+IF(AO664="",0,IFERROR(--(EOMONTH(AO664,0)&lt;&gt;AN$5),1))+IF(AR664="",0,IFERROR(--(EOMONTH(AR664,0)&lt;&gt;AQ$5),1))+IF(AU664="",0,IFERROR(--(EOMONTH(AU664,0)&lt;&gt;AT$5),1))+IF(AX664="",0,IFERROR(--(EOMONTH(AX664,0)&lt;&gt;AW$5),1))+IF(BA664="",0,IFERROR(--(EOMONTH(BA664,0)&lt;&gt;AZ$5),1)))&gt;0,"; An invoice date is not in the month it is typed under",""),3,500))</f>
        <v/>
      </c>
      <c r="S664" s="12" t="n"/>
      <c r="T664" s="13" t="n"/>
      <c r="U664" s="14" t="n"/>
      <c r="V664" s="12" t="n"/>
      <c r="W664" s="13" t="n"/>
      <c r="X664" s="14" t="n"/>
      <c r="Y664" s="12" t="n"/>
      <c r="Z664" s="13" t="n"/>
      <c r="AA664" s="14" t="n"/>
      <c r="AB664" s="12" t="n"/>
      <c r="AC664" s="13" t="n"/>
      <c r="AD664" s="14" t="n"/>
      <c r="AE664" s="12" t="n"/>
      <c r="AF664" s="13" t="n"/>
      <c r="AG664" s="14" t="n"/>
      <c r="AH664" s="12" t="n"/>
      <c r="AI664" s="13" t="n"/>
      <c r="AJ664" s="14" t="n"/>
      <c r="AK664" s="12" t="n"/>
      <c r="AL664" s="13" t="n"/>
      <c r="AM664" s="14" t="n"/>
      <c r="AN664" s="12" t="n"/>
      <c r="AO664" s="13" t="n"/>
      <c r="AP664" s="14" t="n"/>
      <c r="AQ664" s="12" t="n"/>
      <c r="AR664" s="13" t="n"/>
      <c r="AS664" s="14" t="n"/>
      <c r="AT664" s="12" t="n"/>
      <c r="AU664" s="13" t="n"/>
      <c r="AV664" s="14" t="n"/>
      <c r="AW664" s="12" t="n"/>
      <c r="AX664" s="13" t="n"/>
      <c r="AY664" s="14" t="n"/>
      <c r="AZ664" s="12" t="n"/>
      <c r="BA664" s="13" t="n"/>
      <c r="BB664" s="14" t="n"/>
      <c r="BC664" s="11">
        <f>IF(O664="","",IF(J664="GST 10%",ROUND(O664*set_GSTRate,2),0))</f>
        <v/>
      </c>
      <c r="BD664" s="11">
        <f>IF(O664="","",O664+BC664)</f>
        <v/>
      </c>
      <c r="BE664" s="15">
        <f>IF(O664="","",COUNTA(S664,V664,Y664,AB664,AE664,AH664,AK664,AN664,AQ664,AT664,AW664,AZ664))</f>
        <v/>
      </c>
      <c r="BF664" s="16">
        <f>IF(COUNT(T664,W664,Z664,AC664,AF664,AI664,AL664,AO664,AR664,AU664,AX664,BA664)=0,"",MAX(T664,W664,Z664,AC664,AF664,AI664,AL664,AO664,AR664,AU664,AX664,BA664))</f>
        <v/>
      </c>
      <c r="BG664" s="10">
        <f>MID(IF(S664="","",", "&amp;S664)&amp;IF(V664="","",", "&amp;V664)&amp;IF(Y664="","",", "&amp;Y664)&amp;IF(AB664="","",", "&amp;AB664)&amp;IF(AE664="","",", "&amp;AE664)&amp;IF(AH664="","",", "&amp;AH664)&amp;IF(AK664="","",", "&amp;AK664)&amp;IF(AN664="","",", "&amp;AN664)&amp;IF(AQ664="","",", "&amp;AQ664)&amp;IF(AT664="","",", "&amp;AT664)&amp;IF(AW664="","",", "&amp;AW664)&amp;IF(AZ664="","",", "&amp;AZ664),3,500)</f>
        <v/>
      </c>
      <c r="BH664" s="12" t="n"/>
      <c r="BI664" s="15">
        <f>IFERROR(MATCH($A664,IF($B664="Onsite",tbl_Onsite[Row ID],IF($B664="Production",tbl_Production[Row ID],tbl_Consulting[Row ID])),0),"")</f>
        <v/>
      </c>
    </row>
    <row r="665">
      <c r="A665" s="10" t="inlineStr">
        <is>
          <t>PRD-0159</t>
        </is>
      </c>
      <c r="B665" s="10" t="inlineStr">
        <is>
          <t>Production</t>
        </is>
      </c>
      <c r="C665" s="10">
        <f>IF($BI665="","",IF($B665="Onsite",INDEX(tbl_Onsite[Job Number],$BI665),IF($B665="Production",INDEX(tbl_Production[Job Number],$BI665),INDEX(tbl_Consulting[Job Number],$BI665)))&amp;"")</f>
        <v/>
      </c>
      <c r="D665" s="10">
        <f>IF($BI665="","",IF($B665="Onsite",INDEX(tbl_Onsite[Client],$BI665),IF($B665="Production",INDEX(tbl_Production[Client],$BI665),INDEX(tbl_Consulting[Client],$BI665)))&amp;"")</f>
        <v/>
      </c>
      <c r="E665" s="10">
        <f>IF($C665="","",IF(COUNTIF(lst_Jobs,$C665)&gt;0,"OK","CHECK"))</f>
        <v/>
      </c>
      <c r="F665" s="10">
        <f>IF($C665="","",IFERROR(INDEX(lst_JobName,MATCH($C665,lst_Jobs,0)),""))</f>
        <v/>
      </c>
      <c r="G665" s="10">
        <f>IF($BI665="","",IF($B665="Onsite",INDEX(tbl_Onsite[Job Description],$BI665),IF($B665="Production",INDEX(tbl_Production[Job Description],$BI665),INDEX(tbl_Consulting[Job Description],$BI665)))&amp;"")</f>
        <v/>
      </c>
      <c r="H665" s="10">
        <f>IF($BI665="","",IF($B665="Onsite",INDEX(tbl_Onsite[Cost Centre],$BI665),IF($B665="Production",INDEX(tbl_Production[Cost Centre],$BI665),INDEX(tbl_Consulting[Cost Centre],$BI665)))&amp;"")</f>
        <v/>
      </c>
      <c r="I665" s="10">
        <f>IF($BI665="","",IF($B665="Onsite",INDEX(tbl_Onsite[Invoice Type],$BI665),IF($B665="Production",INDEX(tbl_Production[Invoice Type],$BI665),INDEX(tbl_Consulting[Invoice Type],$BI665)))&amp;"")</f>
        <v/>
      </c>
      <c r="J665" s="10">
        <f>IF($BI665="","",IF($B665="Onsite",INDEX(tbl_Onsite[Tax Code],$BI665),IF($B665="Production",INDEX(tbl_Production[Tax Code],$BI665),INDEX(tbl_Consulting[Tax Code],$BI665)))&amp;"")</f>
        <v/>
      </c>
      <c r="K665" s="10">
        <f>IF(H665="","",IFERROR(INDEX(lst_CCtoGL,MATCH(H665,lst_CCforGL,0)),""))</f>
        <v/>
      </c>
      <c r="L665" s="10">
        <f>IF($BI665="","",IF($B665="Onsite",INDEX(tbl_Onsite[PO / Reference],$BI665),IF($B665="Production",INDEX(tbl_Production[Current RMS No],$BI665),INDEX(tbl_Consulting[Qwilr Quote],$BI665)))&amp;"")</f>
        <v/>
      </c>
      <c r="M665" s="10">
        <f>IF($BI665="","",IF($B665="Onsite",INDEX(tbl_Onsite[Notes],$BI665),IF($B665="Production",INDEX(tbl_Production[Notes],$BI665),INDEX(tbl_Consulting[Notes],$BI665)))&amp;"")</f>
        <v/>
      </c>
      <c r="N665" s="11">
        <f>IF($BI665="","",IF(IF($B665="Onsite",INDEX(tbl_Onsite[Expected Revenue Ex GST],$BI665),IF($B665="Production",INDEX(tbl_Production[Expected Revenue Ex GST],$BI665),INDEX(tbl_Consulting[Expected Revenue Ex GST],$BI665)))="","",IF($B665="Onsite",INDEX(tbl_Onsite[Expected Revenue Ex GST],$BI665),IF($B665="Production",INDEX(tbl_Production[Expected Revenue Ex GST],$BI665),INDEX(tbl_Consulting[Expected Revenue Ex GST],$BI665)))))</f>
        <v/>
      </c>
      <c r="O665" s="11">
        <f>IF(AND($C665="",NOT(COUNTA($S665:$BB665)&gt;0)),"",SUM(U665,X665,AA665,AD665,AG665,AJ665,AM665,AP665,AS665,AV665,AY665,BB665))</f>
        <v/>
      </c>
      <c r="P665" s="11">
        <f>IF(O665="","",N(N665)-O665)</f>
        <v/>
      </c>
      <c r="Q665" s="10">
        <f>IF(O665="","",IF($C665="","Invoice on empty job row",IF(N665="",IF(ROUND(O665,2)=0,"No dept value","Invoiced - no dept value"),IF(ROUND(O665,2)=0,"Not invoiced - to invoice",IF(ROUND(P665,2)=0,"Agrees",IF(P665&gt;0,"Dept higher - to invoice","Xero higher - check dept"))))))</f>
        <v/>
      </c>
      <c r="R665" s="10">
        <f>IF(AND($C665="",NOT(COUNTA($S665:$BB665)&gt;0),$BI665&lt;&gt;""),"",MID(IF($BI665="","; Row ID not found on the department sheet - a row was deleted","")&amp;IF(AND($C665="",COUNTA($S665:$BB665)&gt;0),"; Invoice entered but the department row has no job number","")&amp;IF(E665="CHECK","; Job number not in the Xero job list","")&amp;IF(AND($C665&lt;&gt;"",COUNTIF($C$7:$C$1506,$C665)&gt;1),"; Job number on more than one row","")&amp;IF(AND($C665&lt;&gt;"",H665=""),"; Dept has not set a cost centre","")&amp;IF(AND($C665&lt;&gt;"",J665=""),"; Dept has not set a tax code","")&amp;IF(AND($C665&lt;&gt;"",N665=""),"; Dept has not entered an expected value","")&amp;IF((IF(OR(COUNTA(S665:U665)=0,AND(COUNTA(S665:U665)=3,ISNUMBER(U665))),0,1)+IF(OR(COUNTA(V665:X665)=0,AND(COUNTA(V665:X665)=3,ISNUMBER(X665))),0,1)+IF(OR(COUNTA(Y665:AA665)=0,AND(COUNTA(Y665:AA665)=3,ISNUMBER(AA665))),0,1)+IF(OR(COUNTA(AB665:AD665)=0,AND(COUNTA(AB665:AD665)=3,ISNUMBER(AD665))),0,1)+IF(OR(COUNTA(AE665:AG665)=0,AND(COUNTA(AE665:AG665)=3,ISNUMBER(AG665))),0,1)+IF(OR(COUNTA(AH665:AJ665)=0,AND(COUNTA(AH665:AJ665)=3,ISNUMBER(AJ665))),0,1)+IF(OR(COUNTA(AK665:AM665)=0,AND(COUNTA(AK665:AM665)=3,ISNUMBER(AM665))),0,1)+IF(OR(COUNTA(AN665:AP665)=0,AND(COUNTA(AN665:AP665)=3,ISNUMBER(AP665))),0,1)+IF(OR(COUNTA(AQ665:AS665)=0,AND(COUNTA(AQ665:AS665)=3,ISNUMBER(AS665))),0,1)+IF(OR(COUNTA(AT665:AV665)=0,AND(COUNTA(AT665:AV665)=3,ISNUMBER(AV665))),0,1)+IF(OR(COUNTA(AW665:AY665)=0,AND(COUNTA(AW665:AY665)=3,ISNUMBER(AY665))),0,1)+IF(OR(COUNTA(AZ665:BB665)=0,AND(COUNTA(AZ665:BB665)=3,ISNUMBER(BB665))),0,1))&gt;0,"; An invoice is incomplete (needs No, Date and a number in Ex GST)","")&amp;IF((IF(T665="",0,IFERROR(--(EOMONTH(T665,0)&lt;&gt;S$5),1))+IF(W665="",0,IFERROR(--(EOMONTH(W665,0)&lt;&gt;V$5),1))+IF(Z665="",0,IFERROR(--(EOMONTH(Z665,0)&lt;&gt;Y$5),1))+IF(AC665="",0,IFERROR(--(EOMONTH(AC665,0)&lt;&gt;AB$5),1))+IF(AF665="",0,IFERROR(--(EOMONTH(AF665,0)&lt;&gt;AE$5),1))+IF(AI665="",0,IFERROR(--(EOMONTH(AI665,0)&lt;&gt;AH$5),1))+IF(AL665="",0,IFERROR(--(EOMONTH(AL665,0)&lt;&gt;AK$5),1))+IF(AO665="",0,IFERROR(--(EOMONTH(AO665,0)&lt;&gt;AN$5),1))+IF(AR665="",0,IFERROR(--(EOMONTH(AR665,0)&lt;&gt;AQ$5),1))+IF(AU665="",0,IFERROR(--(EOMONTH(AU665,0)&lt;&gt;AT$5),1))+IF(AX665="",0,IFERROR(--(EOMONTH(AX665,0)&lt;&gt;AW$5),1))+IF(BA665="",0,IFERROR(--(EOMONTH(BA665,0)&lt;&gt;AZ$5),1)))&gt;0,"; An invoice date is not in the month it is typed under",""),3,500))</f>
        <v/>
      </c>
      <c r="S665" s="12" t="n"/>
      <c r="T665" s="13" t="n"/>
      <c r="U665" s="14" t="n"/>
      <c r="V665" s="12" t="n"/>
      <c r="W665" s="13" t="n"/>
      <c r="X665" s="14" t="n"/>
      <c r="Y665" s="12" t="n"/>
      <c r="Z665" s="13" t="n"/>
      <c r="AA665" s="14" t="n"/>
      <c r="AB665" s="12" t="n"/>
      <c r="AC665" s="13" t="n"/>
      <c r="AD665" s="14" t="n"/>
      <c r="AE665" s="12" t="n"/>
      <c r="AF665" s="13" t="n"/>
      <c r="AG665" s="14" t="n"/>
      <c r="AH665" s="12" t="n"/>
      <c r="AI665" s="13" t="n"/>
      <c r="AJ665" s="14" t="n"/>
      <c r="AK665" s="12" t="n"/>
      <c r="AL665" s="13" t="n"/>
      <c r="AM665" s="14" t="n"/>
      <c r="AN665" s="12" t="n"/>
      <c r="AO665" s="13" t="n"/>
      <c r="AP665" s="14" t="n"/>
      <c r="AQ665" s="12" t="n"/>
      <c r="AR665" s="13" t="n"/>
      <c r="AS665" s="14" t="n"/>
      <c r="AT665" s="12" t="n"/>
      <c r="AU665" s="13" t="n"/>
      <c r="AV665" s="14" t="n"/>
      <c r="AW665" s="12" t="n"/>
      <c r="AX665" s="13" t="n"/>
      <c r="AY665" s="14" t="n"/>
      <c r="AZ665" s="12" t="n"/>
      <c r="BA665" s="13" t="n"/>
      <c r="BB665" s="14" t="n"/>
      <c r="BC665" s="11">
        <f>IF(O665="","",IF(J665="GST 10%",ROUND(O665*set_GSTRate,2),0))</f>
        <v/>
      </c>
      <c r="BD665" s="11">
        <f>IF(O665="","",O665+BC665)</f>
        <v/>
      </c>
      <c r="BE665" s="15">
        <f>IF(O665="","",COUNTA(S665,V665,Y665,AB665,AE665,AH665,AK665,AN665,AQ665,AT665,AW665,AZ665))</f>
        <v/>
      </c>
      <c r="BF665" s="16">
        <f>IF(COUNT(T665,W665,Z665,AC665,AF665,AI665,AL665,AO665,AR665,AU665,AX665,BA665)=0,"",MAX(T665,W665,Z665,AC665,AF665,AI665,AL665,AO665,AR665,AU665,AX665,BA665))</f>
        <v/>
      </c>
      <c r="BG665" s="10">
        <f>MID(IF(S665="","",", "&amp;S665)&amp;IF(V665="","",", "&amp;V665)&amp;IF(Y665="","",", "&amp;Y665)&amp;IF(AB665="","",", "&amp;AB665)&amp;IF(AE665="","",", "&amp;AE665)&amp;IF(AH665="","",", "&amp;AH665)&amp;IF(AK665="","",", "&amp;AK665)&amp;IF(AN665="","",", "&amp;AN665)&amp;IF(AQ665="","",", "&amp;AQ665)&amp;IF(AT665="","",", "&amp;AT665)&amp;IF(AW665="","",", "&amp;AW665)&amp;IF(AZ665="","",", "&amp;AZ665),3,500)</f>
        <v/>
      </c>
      <c r="BH665" s="12" t="n"/>
      <c r="BI665" s="15">
        <f>IFERROR(MATCH($A665,IF($B665="Onsite",tbl_Onsite[Row ID],IF($B665="Production",tbl_Production[Row ID],tbl_Consulting[Row ID])),0),"")</f>
        <v/>
      </c>
    </row>
    <row r="666">
      <c r="A666" s="10" t="inlineStr">
        <is>
          <t>PRD-0160</t>
        </is>
      </c>
      <c r="B666" s="10" t="inlineStr">
        <is>
          <t>Production</t>
        </is>
      </c>
      <c r="C666" s="10">
        <f>IF($BI666="","",IF($B666="Onsite",INDEX(tbl_Onsite[Job Number],$BI666),IF($B666="Production",INDEX(tbl_Production[Job Number],$BI666),INDEX(tbl_Consulting[Job Number],$BI666)))&amp;"")</f>
        <v/>
      </c>
      <c r="D666" s="10">
        <f>IF($BI666="","",IF($B666="Onsite",INDEX(tbl_Onsite[Client],$BI666),IF($B666="Production",INDEX(tbl_Production[Client],$BI666),INDEX(tbl_Consulting[Client],$BI666)))&amp;"")</f>
        <v/>
      </c>
      <c r="E666" s="10">
        <f>IF($C666="","",IF(COUNTIF(lst_Jobs,$C666)&gt;0,"OK","CHECK"))</f>
        <v/>
      </c>
      <c r="F666" s="10">
        <f>IF($C666="","",IFERROR(INDEX(lst_JobName,MATCH($C666,lst_Jobs,0)),""))</f>
        <v/>
      </c>
      <c r="G666" s="10">
        <f>IF($BI666="","",IF($B666="Onsite",INDEX(tbl_Onsite[Job Description],$BI666),IF($B666="Production",INDEX(tbl_Production[Job Description],$BI666),INDEX(tbl_Consulting[Job Description],$BI666)))&amp;"")</f>
        <v/>
      </c>
      <c r="H666" s="10">
        <f>IF($BI666="","",IF($B666="Onsite",INDEX(tbl_Onsite[Cost Centre],$BI666),IF($B666="Production",INDEX(tbl_Production[Cost Centre],$BI666),INDEX(tbl_Consulting[Cost Centre],$BI666)))&amp;"")</f>
        <v/>
      </c>
      <c r="I666" s="10">
        <f>IF($BI666="","",IF($B666="Onsite",INDEX(tbl_Onsite[Invoice Type],$BI666),IF($B666="Production",INDEX(tbl_Production[Invoice Type],$BI666),INDEX(tbl_Consulting[Invoice Type],$BI666)))&amp;"")</f>
        <v/>
      </c>
      <c r="J666" s="10">
        <f>IF($BI666="","",IF($B666="Onsite",INDEX(tbl_Onsite[Tax Code],$BI666),IF($B666="Production",INDEX(tbl_Production[Tax Code],$BI666),INDEX(tbl_Consulting[Tax Code],$BI666)))&amp;"")</f>
        <v/>
      </c>
      <c r="K666" s="10">
        <f>IF(H666="","",IFERROR(INDEX(lst_CCtoGL,MATCH(H666,lst_CCforGL,0)),""))</f>
        <v/>
      </c>
      <c r="L666" s="10">
        <f>IF($BI666="","",IF($B666="Onsite",INDEX(tbl_Onsite[PO / Reference],$BI666),IF($B666="Production",INDEX(tbl_Production[Current RMS No],$BI666),INDEX(tbl_Consulting[Qwilr Quote],$BI666)))&amp;"")</f>
        <v/>
      </c>
      <c r="M666" s="10">
        <f>IF($BI666="","",IF($B666="Onsite",INDEX(tbl_Onsite[Notes],$BI666),IF($B666="Production",INDEX(tbl_Production[Notes],$BI666),INDEX(tbl_Consulting[Notes],$BI666)))&amp;"")</f>
        <v/>
      </c>
      <c r="N666" s="11">
        <f>IF($BI666="","",IF(IF($B666="Onsite",INDEX(tbl_Onsite[Expected Revenue Ex GST],$BI666),IF($B666="Production",INDEX(tbl_Production[Expected Revenue Ex GST],$BI666),INDEX(tbl_Consulting[Expected Revenue Ex GST],$BI666)))="","",IF($B666="Onsite",INDEX(tbl_Onsite[Expected Revenue Ex GST],$BI666),IF($B666="Production",INDEX(tbl_Production[Expected Revenue Ex GST],$BI666),INDEX(tbl_Consulting[Expected Revenue Ex GST],$BI666)))))</f>
        <v/>
      </c>
      <c r="O666" s="11">
        <f>IF(AND($C666="",NOT(COUNTA($S666:$BB666)&gt;0)),"",SUM(U666,X666,AA666,AD666,AG666,AJ666,AM666,AP666,AS666,AV666,AY666,BB666))</f>
        <v/>
      </c>
      <c r="P666" s="11">
        <f>IF(O666="","",N(N666)-O666)</f>
        <v/>
      </c>
      <c r="Q666" s="10">
        <f>IF(O666="","",IF($C666="","Invoice on empty job row",IF(N666="",IF(ROUND(O666,2)=0,"No dept value","Invoiced - no dept value"),IF(ROUND(O666,2)=0,"Not invoiced - to invoice",IF(ROUND(P666,2)=0,"Agrees",IF(P666&gt;0,"Dept higher - to invoice","Xero higher - check dept"))))))</f>
        <v/>
      </c>
      <c r="R666" s="10">
        <f>IF(AND($C666="",NOT(COUNTA($S666:$BB666)&gt;0),$BI666&lt;&gt;""),"",MID(IF($BI666="","; Row ID not found on the department sheet - a row was deleted","")&amp;IF(AND($C666="",COUNTA($S666:$BB666)&gt;0),"; Invoice entered but the department row has no job number","")&amp;IF(E666="CHECK","; Job number not in the Xero job list","")&amp;IF(AND($C666&lt;&gt;"",COUNTIF($C$7:$C$1506,$C666)&gt;1),"; Job number on more than one row","")&amp;IF(AND($C666&lt;&gt;"",H666=""),"; Dept has not set a cost centre","")&amp;IF(AND($C666&lt;&gt;"",J666=""),"; Dept has not set a tax code","")&amp;IF(AND($C666&lt;&gt;"",N666=""),"; Dept has not entered an expected value","")&amp;IF((IF(OR(COUNTA(S666:U666)=0,AND(COUNTA(S666:U666)=3,ISNUMBER(U666))),0,1)+IF(OR(COUNTA(V666:X666)=0,AND(COUNTA(V666:X666)=3,ISNUMBER(X666))),0,1)+IF(OR(COUNTA(Y666:AA666)=0,AND(COUNTA(Y666:AA666)=3,ISNUMBER(AA666))),0,1)+IF(OR(COUNTA(AB666:AD666)=0,AND(COUNTA(AB666:AD666)=3,ISNUMBER(AD666))),0,1)+IF(OR(COUNTA(AE666:AG666)=0,AND(COUNTA(AE666:AG666)=3,ISNUMBER(AG666))),0,1)+IF(OR(COUNTA(AH666:AJ666)=0,AND(COUNTA(AH666:AJ666)=3,ISNUMBER(AJ666))),0,1)+IF(OR(COUNTA(AK666:AM666)=0,AND(COUNTA(AK666:AM666)=3,ISNUMBER(AM666))),0,1)+IF(OR(COUNTA(AN666:AP666)=0,AND(COUNTA(AN666:AP666)=3,ISNUMBER(AP666))),0,1)+IF(OR(COUNTA(AQ666:AS666)=0,AND(COUNTA(AQ666:AS666)=3,ISNUMBER(AS666))),0,1)+IF(OR(COUNTA(AT666:AV666)=0,AND(COUNTA(AT666:AV666)=3,ISNUMBER(AV666))),0,1)+IF(OR(COUNTA(AW666:AY666)=0,AND(COUNTA(AW666:AY666)=3,ISNUMBER(AY666))),0,1)+IF(OR(COUNTA(AZ666:BB666)=0,AND(COUNTA(AZ666:BB666)=3,ISNUMBER(BB666))),0,1))&gt;0,"; An invoice is incomplete (needs No, Date and a number in Ex GST)","")&amp;IF((IF(T666="",0,IFERROR(--(EOMONTH(T666,0)&lt;&gt;S$5),1))+IF(W666="",0,IFERROR(--(EOMONTH(W666,0)&lt;&gt;V$5),1))+IF(Z666="",0,IFERROR(--(EOMONTH(Z666,0)&lt;&gt;Y$5),1))+IF(AC666="",0,IFERROR(--(EOMONTH(AC666,0)&lt;&gt;AB$5),1))+IF(AF666="",0,IFERROR(--(EOMONTH(AF666,0)&lt;&gt;AE$5),1))+IF(AI666="",0,IFERROR(--(EOMONTH(AI666,0)&lt;&gt;AH$5),1))+IF(AL666="",0,IFERROR(--(EOMONTH(AL666,0)&lt;&gt;AK$5),1))+IF(AO666="",0,IFERROR(--(EOMONTH(AO666,0)&lt;&gt;AN$5),1))+IF(AR666="",0,IFERROR(--(EOMONTH(AR666,0)&lt;&gt;AQ$5),1))+IF(AU666="",0,IFERROR(--(EOMONTH(AU666,0)&lt;&gt;AT$5),1))+IF(AX666="",0,IFERROR(--(EOMONTH(AX666,0)&lt;&gt;AW$5),1))+IF(BA666="",0,IFERROR(--(EOMONTH(BA666,0)&lt;&gt;AZ$5),1)))&gt;0,"; An invoice date is not in the month it is typed under",""),3,500))</f>
        <v/>
      </c>
      <c r="S666" s="12" t="n"/>
      <c r="T666" s="13" t="n"/>
      <c r="U666" s="14" t="n"/>
      <c r="V666" s="12" t="n"/>
      <c r="W666" s="13" t="n"/>
      <c r="X666" s="14" t="n"/>
      <c r="Y666" s="12" t="n"/>
      <c r="Z666" s="13" t="n"/>
      <c r="AA666" s="14" t="n"/>
      <c r="AB666" s="12" t="n"/>
      <c r="AC666" s="13" t="n"/>
      <c r="AD666" s="14" t="n"/>
      <c r="AE666" s="12" t="n"/>
      <c r="AF666" s="13" t="n"/>
      <c r="AG666" s="14" t="n"/>
      <c r="AH666" s="12" t="n"/>
      <c r="AI666" s="13" t="n"/>
      <c r="AJ666" s="14" t="n"/>
      <c r="AK666" s="12" t="n"/>
      <c r="AL666" s="13" t="n"/>
      <c r="AM666" s="14" t="n"/>
      <c r="AN666" s="12" t="n"/>
      <c r="AO666" s="13" t="n"/>
      <c r="AP666" s="14" t="n"/>
      <c r="AQ666" s="12" t="n"/>
      <c r="AR666" s="13" t="n"/>
      <c r="AS666" s="14" t="n"/>
      <c r="AT666" s="12" t="n"/>
      <c r="AU666" s="13" t="n"/>
      <c r="AV666" s="14" t="n"/>
      <c r="AW666" s="12" t="n"/>
      <c r="AX666" s="13" t="n"/>
      <c r="AY666" s="14" t="n"/>
      <c r="AZ666" s="12" t="n"/>
      <c r="BA666" s="13" t="n"/>
      <c r="BB666" s="14" t="n"/>
      <c r="BC666" s="11">
        <f>IF(O666="","",IF(J666="GST 10%",ROUND(O666*set_GSTRate,2),0))</f>
        <v/>
      </c>
      <c r="BD666" s="11">
        <f>IF(O666="","",O666+BC666)</f>
        <v/>
      </c>
      <c r="BE666" s="15">
        <f>IF(O666="","",COUNTA(S666,V666,Y666,AB666,AE666,AH666,AK666,AN666,AQ666,AT666,AW666,AZ666))</f>
        <v/>
      </c>
      <c r="BF666" s="16">
        <f>IF(COUNT(T666,W666,Z666,AC666,AF666,AI666,AL666,AO666,AR666,AU666,AX666,BA666)=0,"",MAX(T666,W666,Z666,AC666,AF666,AI666,AL666,AO666,AR666,AU666,AX666,BA666))</f>
        <v/>
      </c>
      <c r="BG666" s="10">
        <f>MID(IF(S666="","",", "&amp;S666)&amp;IF(V666="","",", "&amp;V666)&amp;IF(Y666="","",", "&amp;Y666)&amp;IF(AB666="","",", "&amp;AB666)&amp;IF(AE666="","",", "&amp;AE666)&amp;IF(AH666="","",", "&amp;AH666)&amp;IF(AK666="","",", "&amp;AK666)&amp;IF(AN666="","",", "&amp;AN666)&amp;IF(AQ666="","",", "&amp;AQ666)&amp;IF(AT666="","",", "&amp;AT666)&amp;IF(AW666="","",", "&amp;AW666)&amp;IF(AZ666="","",", "&amp;AZ666),3,500)</f>
        <v/>
      </c>
      <c r="BH666" s="12" t="n"/>
      <c r="BI666" s="15">
        <f>IFERROR(MATCH($A666,IF($B666="Onsite",tbl_Onsite[Row ID],IF($B666="Production",tbl_Production[Row ID],tbl_Consulting[Row ID])),0),"")</f>
        <v/>
      </c>
    </row>
    <row r="667">
      <c r="A667" s="10" t="inlineStr">
        <is>
          <t>PRD-0161</t>
        </is>
      </c>
      <c r="B667" s="10" t="inlineStr">
        <is>
          <t>Production</t>
        </is>
      </c>
      <c r="C667" s="10">
        <f>IF($BI667="","",IF($B667="Onsite",INDEX(tbl_Onsite[Job Number],$BI667),IF($B667="Production",INDEX(tbl_Production[Job Number],$BI667),INDEX(tbl_Consulting[Job Number],$BI667)))&amp;"")</f>
        <v/>
      </c>
      <c r="D667" s="10">
        <f>IF($BI667="","",IF($B667="Onsite",INDEX(tbl_Onsite[Client],$BI667),IF($B667="Production",INDEX(tbl_Production[Client],$BI667),INDEX(tbl_Consulting[Client],$BI667)))&amp;"")</f>
        <v/>
      </c>
      <c r="E667" s="10">
        <f>IF($C667="","",IF(COUNTIF(lst_Jobs,$C667)&gt;0,"OK","CHECK"))</f>
        <v/>
      </c>
      <c r="F667" s="10">
        <f>IF($C667="","",IFERROR(INDEX(lst_JobName,MATCH($C667,lst_Jobs,0)),""))</f>
        <v/>
      </c>
      <c r="G667" s="10">
        <f>IF($BI667="","",IF($B667="Onsite",INDEX(tbl_Onsite[Job Description],$BI667),IF($B667="Production",INDEX(tbl_Production[Job Description],$BI667),INDEX(tbl_Consulting[Job Description],$BI667)))&amp;"")</f>
        <v/>
      </c>
      <c r="H667" s="10">
        <f>IF($BI667="","",IF($B667="Onsite",INDEX(tbl_Onsite[Cost Centre],$BI667),IF($B667="Production",INDEX(tbl_Production[Cost Centre],$BI667),INDEX(tbl_Consulting[Cost Centre],$BI667)))&amp;"")</f>
        <v/>
      </c>
      <c r="I667" s="10">
        <f>IF($BI667="","",IF($B667="Onsite",INDEX(tbl_Onsite[Invoice Type],$BI667),IF($B667="Production",INDEX(tbl_Production[Invoice Type],$BI667),INDEX(tbl_Consulting[Invoice Type],$BI667)))&amp;"")</f>
        <v/>
      </c>
      <c r="J667" s="10">
        <f>IF($BI667="","",IF($B667="Onsite",INDEX(tbl_Onsite[Tax Code],$BI667),IF($B667="Production",INDEX(tbl_Production[Tax Code],$BI667),INDEX(tbl_Consulting[Tax Code],$BI667)))&amp;"")</f>
        <v/>
      </c>
      <c r="K667" s="10">
        <f>IF(H667="","",IFERROR(INDEX(lst_CCtoGL,MATCH(H667,lst_CCforGL,0)),""))</f>
        <v/>
      </c>
      <c r="L667" s="10">
        <f>IF($BI667="","",IF($B667="Onsite",INDEX(tbl_Onsite[PO / Reference],$BI667),IF($B667="Production",INDEX(tbl_Production[Current RMS No],$BI667),INDEX(tbl_Consulting[Qwilr Quote],$BI667)))&amp;"")</f>
        <v/>
      </c>
      <c r="M667" s="10">
        <f>IF($BI667="","",IF($B667="Onsite",INDEX(tbl_Onsite[Notes],$BI667),IF($B667="Production",INDEX(tbl_Production[Notes],$BI667),INDEX(tbl_Consulting[Notes],$BI667)))&amp;"")</f>
        <v/>
      </c>
      <c r="N667" s="11">
        <f>IF($BI667="","",IF(IF($B667="Onsite",INDEX(tbl_Onsite[Expected Revenue Ex GST],$BI667),IF($B667="Production",INDEX(tbl_Production[Expected Revenue Ex GST],$BI667),INDEX(tbl_Consulting[Expected Revenue Ex GST],$BI667)))="","",IF($B667="Onsite",INDEX(tbl_Onsite[Expected Revenue Ex GST],$BI667),IF($B667="Production",INDEX(tbl_Production[Expected Revenue Ex GST],$BI667),INDEX(tbl_Consulting[Expected Revenue Ex GST],$BI667)))))</f>
        <v/>
      </c>
      <c r="O667" s="11">
        <f>IF(AND($C667="",NOT(COUNTA($S667:$BB667)&gt;0)),"",SUM(U667,X667,AA667,AD667,AG667,AJ667,AM667,AP667,AS667,AV667,AY667,BB667))</f>
        <v/>
      </c>
      <c r="P667" s="11">
        <f>IF(O667="","",N(N667)-O667)</f>
        <v/>
      </c>
      <c r="Q667" s="10">
        <f>IF(O667="","",IF($C667="","Invoice on empty job row",IF(N667="",IF(ROUND(O667,2)=0,"No dept value","Invoiced - no dept value"),IF(ROUND(O667,2)=0,"Not invoiced - to invoice",IF(ROUND(P667,2)=0,"Agrees",IF(P667&gt;0,"Dept higher - to invoice","Xero higher - check dept"))))))</f>
        <v/>
      </c>
      <c r="R667" s="10">
        <f>IF(AND($C667="",NOT(COUNTA($S667:$BB667)&gt;0),$BI667&lt;&gt;""),"",MID(IF($BI667="","; Row ID not found on the department sheet - a row was deleted","")&amp;IF(AND($C667="",COUNTA($S667:$BB667)&gt;0),"; Invoice entered but the department row has no job number","")&amp;IF(E667="CHECK","; Job number not in the Xero job list","")&amp;IF(AND($C667&lt;&gt;"",COUNTIF($C$7:$C$1506,$C667)&gt;1),"; Job number on more than one row","")&amp;IF(AND($C667&lt;&gt;"",H667=""),"; Dept has not set a cost centre","")&amp;IF(AND($C667&lt;&gt;"",J667=""),"; Dept has not set a tax code","")&amp;IF(AND($C667&lt;&gt;"",N667=""),"; Dept has not entered an expected value","")&amp;IF((IF(OR(COUNTA(S667:U667)=0,AND(COUNTA(S667:U667)=3,ISNUMBER(U667))),0,1)+IF(OR(COUNTA(V667:X667)=0,AND(COUNTA(V667:X667)=3,ISNUMBER(X667))),0,1)+IF(OR(COUNTA(Y667:AA667)=0,AND(COUNTA(Y667:AA667)=3,ISNUMBER(AA667))),0,1)+IF(OR(COUNTA(AB667:AD667)=0,AND(COUNTA(AB667:AD667)=3,ISNUMBER(AD667))),0,1)+IF(OR(COUNTA(AE667:AG667)=0,AND(COUNTA(AE667:AG667)=3,ISNUMBER(AG667))),0,1)+IF(OR(COUNTA(AH667:AJ667)=0,AND(COUNTA(AH667:AJ667)=3,ISNUMBER(AJ667))),0,1)+IF(OR(COUNTA(AK667:AM667)=0,AND(COUNTA(AK667:AM667)=3,ISNUMBER(AM667))),0,1)+IF(OR(COUNTA(AN667:AP667)=0,AND(COUNTA(AN667:AP667)=3,ISNUMBER(AP667))),0,1)+IF(OR(COUNTA(AQ667:AS667)=0,AND(COUNTA(AQ667:AS667)=3,ISNUMBER(AS667))),0,1)+IF(OR(COUNTA(AT667:AV667)=0,AND(COUNTA(AT667:AV667)=3,ISNUMBER(AV667))),0,1)+IF(OR(COUNTA(AW667:AY667)=0,AND(COUNTA(AW667:AY667)=3,ISNUMBER(AY667))),0,1)+IF(OR(COUNTA(AZ667:BB667)=0,AND(COUNTA(AZ667:BB667)=3,ISNUMBER(BB667))),0,1))&gt;0,"; An invoice is incomplete (needs No, Date and a number in Ex GST)","")&amp;IF((IF(T667="",0,IFERROR(--(EOMONTH(T667,0)&lt;&gt;S$5),1))+IF(W667="",0,IFERROR(--(EOMONTH(W667,0)&lt;&gt;V$5),1))+IF(Z667="",0,IFERROR(--(EOMONTH(Z667,0)&lt;&gt;Y$5),1))+IF(AC667="",0,IFERROR(--(EOMONTH(AC667,0)&lt;&gt;AB$5),1))+IF(AF667="",0,IFERROR(--(EOMONTH(AF667,0)&lt;&gt;AE$5),1))+IF(AI667="",0,IFERROR(--(EOMONTH(AI667,0)&lt;&gt;AH$5),1))+IF(AL667="",0,IFERROR(--(EOMONTH(AL667,0)&lt;&gt;AK$5),1))+IF(AO667="",0,IFERROR(--(EOMONTH(AO667,0)&lt;&gt;AN$5),1))+IF(AR667="",0,IFERROR(--(EOMONTH(AR667,0)&lt;&gt;AQ$5),1))+IF(AU667="",0,IFERROR(--(EOMONTH(AU667,0)&lt;&gt;AT$5),1))+IF(AX667="",0,IFERROR(--(EOMONTH(AX667,0)&lt;&gt;AW$5),1))+IF(BA667="",0,IFERROR(--(EOMONTH(BA667,0)&lt;&gt;AZ$5),1)))&gt;0,"; An invoice date is not in the month it is typed under",""),3,500))</f>
        <v/>
      </c>
      <c r="S667" s="12" t="n"/>
      <c r="T667" s="13" t="n"/>
      <c r="U667" s="14" t="n"/>
      <c r="V667" s="12" t="n"/>
      <c r="W667" s="13" t="n"/>
      <c r="X667" s="14" t="n"/>
      <c r="Y667" s="12" t="n"/>
      <c r="Z667" s="13" t="n"/>
      <c r="AA667" s="14" t="n"/>
      <c r="AB667" s="12" t="n"/>
      <c r="AC667" s="13" t="n"/>
      <c r="AD667" s="14" t="n"/>
      <c r="AE667" s="12" t="n"/>
      <c r="AF667" s="13" t="n"/>
      <c r="AG667" s="14" t="n"/>
      <c r="AH667" s="12" t="n"/>
      <c r="AI667" s="13" t="n"/>
      <c r="AJ667" s="14" t="n"/>
      <c r="AK667" s="12" t="n"/>
      <c r="AL667" s="13" t="n"/>
      <c r="AM667" s="14" t="n"/>
      <c r="AN667" s="12" t="n"/>
      <c r="AO667" s="13" t="n"/>
      <c r="AP667" s="14" t="n"/>
      <c r="AQ667" s="12" t="n"/>
      <c r="AR667" s="13" t="n"/>
      <c r="AS667" s="14" t="n"/>
      <c r="AT667" s="12" t="n"/>
      <c r="AU667" s="13" t="n"/>
      <c r="AV667" s="14" t="n"/>
      <c r="AW667" s="12" t="n"/>
      <c r="AX667" s="13" t="n"/>
      <c r="AY667" s="14" t="n"/>
      <c r="AZ667" s="12" t="n"/>
      <c r="BA667" s="13" t="n"/>
      <c r="BB667" s="14" t="n"/>
      <c r="BC667" s="11">
        <f>IF(O667="","",IF(J667="GST 10%",ROUND(O667*set_GSTRate,2),0))</f>
        <v/>
      </c>
      <c r="BD667" s="11">
        <f>IF(O667="","",O667+BC667)</f>
        <v/>
      </c>
      <c r="BE667" s="15">
        <f>IF(O667="","",COUNTA(S667,V667,Y667,AB667,AE667,AH667,AK667,AN667,AQ667,AT667,AW667,AZ667))</f>
        <v/>
      </c>
      <c r="BF667" s="16">
        <f>IF(COUNT(T667,W667,Z667,AC667,AF667,AI667,AL667,AO667,AR667,AU667,AX667,BA667)=0,"",MAX(T667,W667,Z667,AC667,AF667,AI667,AL667,AO667,AR667,AU667,AX667,BA667))</f>
        <v/>
      </c>
      <c r="BG667" s="10">
        <f>MID(IF(S667="","",", "&amp;S667)&amp;IF(V667="","",", "&amp;V667)&amp;IF(Y667="","",", "&amp;Y667)&amp;IF(AB667="","",", "&amp;AB667)&amp;IF(AE667="","",", "&amp;AE667)&amp;IF(AH667="","",", "&amp;AH667)&amp;IF(AK667="","",", "&amp;AK667)&amp;IF(AN667="","",", "&amp;AN667)&amp;IF(AQ667="","",", "&amp;AQ667)&amp;IF(AT667="","",", "&amp;AT667)&amp;IF(AW667="","",", "&amp;AW667)&amp;IF(AZ667="","",", "&amp;AZ667),3,500)</f>
        <v/>
      </c>
      <c r="BH667" s="12" t="n"/>
      <c r="BI667" s="15">
        <f>IFERROR(MATCH($A667,IF($B667="Onsite",tbl_Onsite[Row ID],IF($B667="Production",tbl_Production[Row ID],tbl_Consulting[Row ID])),0),"")</f>
        <v/>
      </c>
    </row>
    <row r="668">
      <c r="A668" s="10" t="inlineStr">
        <is>
          <t>PRD-0162</t>
        </is>
      </c>
      <c r="B668" s="10" t="inlineStr">
        <is>
          <t>Production</t>
        </is>
      </c>
      <c r="C668" s="10">
        <f>IF($BI668="","",IF($B668="Onsite",INDEX(tbl_Onsite[Job Number],$BI668),IF($B668="Production",INDEX(tbl_Production[Job Number],$BI668),INDEX(tbl_Consulting[Job Number],$BI668)))&amp;"")</f>
        <v/>
      </c>
      <c r="D668" s="10">
        <f>IF($BI668="","",IF($B668="Onsite",INDEX(tbl_Onsite[Client],$BI668),IF($B668="Production",INDEX(tbl_Production[Client],$BI668),INDEX(tbl_Consulting[Client],$BI668)))&amp;"")</f>
        <v/>
      </c>
      <c r="E668" s="10">
        <f>IF($C668="","",IF(COUNTIF(lst_Jobs,$C668)&gt;0,"OK","CHECK"))</f>
        <v/>
      </c>
      <c r="F668" s="10">
        <f>IF($C668="","",IFERROR(INDEX(lst_JobName,MATCH($C668,lst_Jobs,0)),""))</f>
        <v/>
      </c>
      <c r="G668" s="10">
        <f>IF($BI668="","",IF($B668="Onsite",INDEX(tbl_Onsite[Job Description],$BI668),IF($B668="Production",INDEX(tbl_Production[Job Description],$BI668),INDEX(tbl_Consulting[Job Description],$BI668)))&amp;"")</f>
        <v/>
      </c>
      <c r="H668" s="10">
        <f>IF($BI668="","",IF($B668="Onsite",INDEX(tbl_Onsite[Cost Centre],$BI668),IF($B668="Production",INDEX(tbl_Production[Cost Centre],$BI668),INDEX(tbl_Consulting[Cost Centre],$BI668)))&amp;"")</f>
        <v/>
      </c>
      <c r="I668" s="10">
        <f>IF($BI668="","",IF($B668="Onsite",INDEX(tbl_Onsite[Invoice Type],$BI668),IF($B668="Production",INDEX(tbl_Production[Invoice Type],$BI668),INDEX(tbl_Consulting[Invoice Type],$BI668)))&amp;"")</f>
        <v/>
      </c>
      <c r="J668" s="10">
        <f>IF($BI668="","",IF($B668="Onsite",INDEX(tbl_Onsite[Tax Code],$BI668),IF($B668="Production",INDEX(tbl_Production[Tax Code],$BI668),INDEX(tbl_Consulting[Tax Code],$BI668)))&amp;"")</f>
        <v/>
      </c>
      <c r="K668" s="10">
        <f>IF(H668="","",IFERROR(INDEX(lst_CCtoGL,MATCH(H668,lst_CCforGL,0)),""))</f>
        <v/>
      </c>
      <c r="L668" s="10">
        <f>IF($BI668="","",IF($B668="Onsite",INDEX(tbl_Onsite[PO / Reference],$BI668),IF($B668="Production",INDEX(tbl_Production[Current RMS No],$BI668),INDEX(tbl_Consulting[Qwilr Quote],$BI668)))&amp;"")</f>
        <v/>
      </c>
      <c r="M668" s="10">
        <f>IF($BI668="","",IF($B668="Onsite",INDEX(tbl_Onsite[Notes],$BI668),IF($B668="Production",INDEX(tbl_Production[Notes],$BI668),INDEX(tbl_Consulting[Notes],$BI668)))&amp;"")</f>
        <v/>
      </c>
      <c r="N668" s="11">
        <f>IF($BI668="","",IF(IF($B668="Onsite",INDEX(tbl_Onsite[Expected Revenue Ex GST],$BI668),IF($B668="Production",INDEX(tbl_Production[Expected Revenue Ex GST],$BI668),INDEX(tbl_Consulting[Expected Revenue Ex GST],$BI668)))="","",IF($B668="Onsite",INDEX(tbl_Onsite[Expected Revenue Ex GST],$BI668),IF($B668="Production",INDEX(tbl_Production[Expected Revenue Ex GST],$BI668),INDEX(tbl_Consulting[Expected Revenue Ex GST],$BI668)))))</f>
        <v/>
      </c>
      <c r="O668" s="11">
        <f>IF(AND($C668="",NOT(COUNTA($S668:$BB668)&gt;0)),"",SUM(U668,X668,AA668,AD668,AG668,AJ668,AM668,AP668,AS668,AV668,AY668,BB668))</f>
        <v/>
      </c>
      <c r="P668" s="11">
        <f>IF(O668="","",N(N668)-O668)</f>
        <v/>
      </c>
      <c r="Q668" s="10">
        <f>IF(O668="","",IF($C668="","Invoice on empty job row",IF(N668="",IF(ROUND(O668,2)=0,"No dept value","Invoiced - no dept value"),IF(ROUND(O668,2)=0,"Not invoiced - to invoice",IF(ROUND(P668,2)=0,"Agrees",IF(P668&gt;0,"Dept higher - to invoice","Xero higher - check dept"))))))</f>
        <v/>
      </c>
      <c r="R668" s="10">
        <f>IF(AND($C668="",NOT(COUNTA($S668:$BB668)&gt;0),$BI668&lt;&gt;""),"",MID(IF($BI668="","; Row ID not found on the department sheet - a row was deleted","")&amp;IF(AND($C668="",COUNTA($S668:$BB668)&gt;0),"; Invoice entered but the department row has no job number","")&amp;IF(E668="CHECK","; Job number not in the Xero job list","")&amp;IF(AND($C668&lt;&gt;"",COUNTIF($C$7:$C$1506,$C668)&gt;1),"; Job number on more than one row","")&amp;IF(AND($C668&lt;&gt;"",H668=""),"; Dept has not set a cost centre","")&amp;IF(AND($C668&lt;&gt;"",J668=""),"; Dept has not set a tax code","")&amp;IF(AND($C668&lt;&gt;"",N668=""),"; Dept has not entered an expected value","")&amp;IF((IF(OR(COUNTA(S668:U668)=0,AND(COUNTA(S668:U668)=3,ISNUMBER(U668))),0,1)+IF(OR(COUNTA(V668:X668)=0,AND(COUNTA(V668:X668)=3,ISNUMBER(X668))),0,1)+IF(OR(COUNTA(Y668:AA668)=0,AND(COUNTA(Y668:AA668)=3,ISNUMBER(AA668))),0,1)+IF(OR(COUNTA(AB668:AD668)=0,AND(COUNTA(AB668:AD668)=3,ISNUMBER(AD668))),0,1)+IF(OR(COUNTA(AE668:AG668)=0,AND(COUNTA(AE668:AG668)=3,ISNUMBER(AG668))),0,1)+IF(OR(COUNTA(AH668:AJ668)=0,AND(COUNTA(AH668:AJ668)=3,ISNUMBER(AJ668))),0,1)+IF(OR(COUNTA(AK668:AM668)=0,AND(COUNTA(AK668:AM668)=3,ISNUMBER(AM668))),0,1)+IF(OR(COUNTA(AN668:AP668)=0,AND(COUNTA(AN668:AP668)=3,ISNUMBER(AP668))),0,1)+IF(OR(COUNTA(AQ668:AS668)=0,AND(COUNTA(AQ668:AS668)=3,ISNUMBER(AS668))),0,1)+IF(OR(COUNTA(AT668:AV668)=0,AND(COUNTA(AT668:AV668)=3,ISNUMBER(AV668))),0,1)+IF(OR(COUNTA(AW668:AY668)=0,AND(COUNTA(AW668:AY668)=3,ISNUMBER(AY668))),0,1)+IF(OR(COUNTA(AZ668:BB668)=0,AND(COUNTA(AZ668:BB668)=3,ISNUMBER(BB668))),0,1))&gt;0,"; An invoice is incomplete (needs No, Date and a number in Ex GST)","")&amp;IF((IF(T668="",0,IFERROR(--(EOMONTH(T668,0)&lt;&gt;S$5),1))+IF(W668="",0,IFERROR(--(EOMONTH(W668,0)&lt;&gt;V$5),1))+IF(Z668="",0,IFERROR(--(EOMONTH(Z668,0)&lt;&gt;Y$5),1))+IF(AC668="",0,IFERROR(--(EOMONTH(AC668,0)&lt;&gt;AB$5),1))+IF(AF668="",0,IFERROR(--(EOMONTH(AF668,0)&lt;&gt;AE$5),1))+IF(AI668="",0,IFERROR(--(EOMONTH(AI668,0)&lt;&gt;AH$5),1))+IF(AL668="",0,IFERROR(--(EOMONTH(AL668,0)&lt;&gt;AK$5),1))+IF(AO668="",0,IFERROR(--(EOMONTH(AO668,0)&lt;&gt;AN$5),1))+IF(AR668="",0,IFERROR(--(EOMONTH(AR668,0)&lt;&gt;AQ$5),1))+IF(AU668="",0,IFERROR(--(EOMONTH(AU668,0)&lt;&gt;AT$5),1))+IF(AX668="",0,IFERROR(--(EOMONTH(AX668,0)&lt;&gt;AW$5),1))+IF(BA668="",0,IFERROR(--(EOMONTH(BA668,0)&lt;&gt;AZ$5),1)))&gt;0,"; An invoice date is not in the month it is typed under",""),3,500))</f>
        <v/>
      </c>
      <c r="S668" s="12" t="n"/>
      <c r="T668" s="13" t="n"/>
      <c r="U668" s="14" t="n"/>
      <c r="V668" s="12" t="n"/>
      <c r="W668" s="13" t="n"/>
      <c r="X668" s="14" t="n"/>
      <c r="Y668" s="12" t="n"/>
      <c r="Z668" s="13" t="n"/>
      <c r="AA668" s="14" t="n"/>
      <c r="AB668" s="12" t="n"/>
      <c r="AC668" s="13" t="n"/>
      <c r="AD668" s="14" t="n"/>
      <c r="AE668" s="12" t="n"/>
      <c r="AF668" s="13" t="n"/>
      <c r="AG668" s="14" t="n"/>
      <c r="AH668" s="12" t="n"/>
      <c r="AI668" s="13" t="n"/>
      <c r="AJ668" s="14" t="n"/>
      <c r="AK668" s="12" t="n"/>
      <c r="AL668" s="13" t="n"/>
      <c r="AM668" s="14" t="n"/>
      <c r="AN668" s="12" t="n"/>
      <c r="AO668" s="13" t="n"/>
      <c r="AP668" s="14" t="n"/>
      <c r="AQ668" s="12" t="n"/>
      <c r="AR668" s="13" t="n"/>
      <c r="AS668" s="14" t="n"/>
      <c r="AT668" s="12" t="n"/>
      <c r="AU668" s="13" t="n"/>
      <c r="AV668" s="14" t="n"/>
      <c r="AW668" s="12" t="n"/>
      <c r="AX668" s="13" t="n"/>
      <c r="AY668" s="14" t="n"/>
      <c r="AZ668" s="12" t="n"/>
      <c r="BA668" s="13" t="n"/>
      <c r="BB668" s="14" t="n"/>
      <c r="BC668" s="11">
        <f>IF(O668="","",IF(J668="GST 10%",ROUND(O668*set_GSTRate,2),0))</f>
        <v/>
      </c>
      <c r="BD668" s="11">
        <f>IF(O668="","",O668+BC668)</f>
        <v/>
      </c>
      <c r="BE668" s="15">
        <f>IF(O668="","",COUNTA(S668,V668,Y668,AB668,AE668,AH668,AK668,AN668,AQ668,AT668,AW668,AZ668))</f>
        <v/>
      </c>
      <c r="BF668" s="16">
        <f>IF(COUNT(T668,W668,Z668,AC668,AF668,AI668,AL668,AO668,AR668,AU668,AX668,BA668)=0,"",MAX(T668,W668,Z668,AC668,AF668,AI668,AL668,AO668,AR668,AU668,AX668,BA668))</f>
        <v/>
      </c>
      <c r="BG668" s="10">
        <f>MID(IF(S668="","",", "&amp;S668)&amp;IF(V668="","",", "&amp;V668)&amp;IF(Y668="","",", "&amp;Y668)&amp;IF(AB668="","",", "&amp;AB668)&amp;IF(AE668="","",", "&amp;AE668)&amp;IF(AH668="","",", "&amp;AH668)&amp;IF(AK668="","",", "&amp;AK668)&amp;IF(AN668="","",", "&amp;AN668)&amp;IF(AQ668="","",", "&amp;AQ668)&amp;IF(AT668="","",", "&amp;AT668)&amp;IF(AW668="","",", "&amp;AW668)&amp;IF(AZ668="","",", "&amp;AZ668),3,500)</f>
        <v/>
      </c>
      <c r="BH668" s="12" t="n"/>
      <c r="BI668" s="15">
        <f>IFERROR(MATCH($A668,IF($B668="Onsite",tbl_Onsite[Row ID],IF($B668="Production",tbl_Production[Row ID],tbl_Consulting[Row ID])),0),"")</f>
        <v/>
      </c>
    </row>
    <row r="669">
      <c r="A669" s="10" t="inlineStr">
        <is>
          <t>PRD-0163</t>
        </is>
      </c>
      <c r="B669" s="10" t="inlineStr">
        <is>
          <t>Production</t>
        </is>
      </c>
      <c r="C669" s="10">
        <f>IF($BI669="","",IF($B669="Onsite",INDEX(tbl_Onsite[Job Number],$BI669),IF($B669="Production",INDEX(tbl_Production[Job Number],$BI669),INDEX(tbl_Consulting[Job Number],$BI669)))&amp;"")</f>
        <v/>
      </c>
      <c r="D669" s="10">
        <f>IF($BI669="","",IF($B669="Onsite",INDEX(tbl_Onsite[Client],$BI669),IF($B669="Production",INDEX(tbl_Production[Client],$BI669),INDEX(tbl_Consulting[Client],$BI669)))&amp;"")</f>
        <v/>
      </c>
      <c r="E669" s="10">
        <f>IF($C669="","",IF(COUNTIF(lst_Jobs,$C669)&gt;0,"OK","CHECK"))</f>
        <v/>
      </c>
      <c r="F669" s="10">
        <f>IF($C669="","",IFERROR(INDEX(lst_JobName,MATCH($C669,lst_Jobs,0)),""))</f>
        <v/>
      </c>
      <c r="G669" s="10">
        <f>IF($BI669="","",IF($B669="Onsite",INDEX(tbl_Onsite[Job Description],$BI669),IF($B669="Production",INDEX(tbl_Production[Job Description],$BI669),INDEX(tbl_Consulting[Job Description],$BI669)))&amp;"")</f>
        <v/>
      </c>
      <c r="H669" s="10">
        <f>IF($BI669="","",IF($B669="Onsite",INDEX(tbl_Onsite[Cost Centre],$BI669),IF($B669="Production",INDEX(tbl_Production[Cost Centre],$BI669),INDEX(tbl_Consulting[Cost Centre],$BI669)))&amp;"")</f>
        <v/>
      </c>
      <c r="I669" s="10">
        <f>IF($BI669="","",IF($B669="Onsite",INDEX(tbl_Onsite[Invoice Type],$BI669),IF($B669="Production",INDEX(tbl_Production[Invoice Type],$BI669),INDEX(tbl_Consulting[Invoice Type],$BI669)))&amp;"")</f>
        <v/>
      </c>
      <c r="J669" s="10">
        <f>IF($BI669="","",IF($B669="Onsite",INDEX(tbl_Onsite[Tax Code],$BI669),IF($B669="Production",INDEX(tbl_Production[Tax Code],$BI669),INDEX(tbl_Consulting[Tax Code],$BI669)))&amp;"")</f>
        <v/>
      </c>
      <c r="K669" s="10">
        <f>IF(H669="","",IFERROR(INDEX(lst_CCtoGL,MATCH(H669,lst_CCforGL,0)),""))</f>
        <v/>
      </c>
      <c r="L669" s="10">
        <f>IF($BI669="","",IF($B669="Onsite",INDEX(tbl_Onsite[PO / Reference],$BI669),IF($B669="Production",INDEX(tbl_Production[Current RMS No],$BI669),INDEX(tbl_Consulting[Qwilr Quote],$BI669)))&amp;"")</f>
        <v/>
      </c>
      <c r="M669" s="10">
        <f>IF($BI669="","",IF($B669="Onsite",INDEX(tbl_Onsite[Notes],$BI669),IF($B669="Production",INDEX(tbl_Production[Notes],$BI669),INDEX(tbl_Consulting[Notes],$BI669)))&amp;"")</f>
        <v/>
      </c>
      <c r="N669" s="11">
        <f>IF($BI669="","",IF(IF($B669="Onsite",INDEX(tbl_Onsite[Expected Revenue Ex GST],$BI669),IF($B669="Production",INDEX(tbl_Production[Expected Revenue Ex GST],$BI669),INDEX(tbl_Consulting[Expected Revenue Ex GST],$BI669)))="","",IF($B669="Onsite",INDEX(tbl_Onsite[Expected Revenue Ex GST],$BI669),IF($B669="Production",INDEX(tbl_Production[Expected Revenue Ex GST],$BI669),INDEX(tbl_Consulting[Expected Revenue Ex GST],$BI669)))))</f>
        <v/>
      </c>
      <c r="O669" s="11">
        <f>IF(AND($C669="",NOT(COUNTA($S669:$BB669)&gt;0)),"",SUM(U669,X669,AA669,AD669,AG669,AJ669,AM669,AP669,AS669,AV669,AY669,BB669))</f>
        <v/>
      </c>
      <c r="P669" s="11">
        <f>IF(O669="","",N(N669)-O669)</f>
        <v/>
      </c>
      <c r="Q669" s="10">
        <f>IF(O669="","",IF($C669="","Invoice on empty job row",IF(N669="",IF(ROUND(O669,2)=0,"No dept value","Invoiced - no dept value"),IF(ROUND(O669,2)=0,"Not invoiced - to invoice",IF(ROUND(P669,2)=0,"Agrees",IF(P669&gt;0,"Dept higher - to invoice","Xero higher - check dept"))))))</f>
        <v/>
      </c>
      <c r="R669" s="10">
        <f>IF(AND($C669="",NOT(COUNTA($S669:$BB669)&gt;0),$BI669&lt;&gt;""),"",MID(IF($BI669="","; Row ID not found on the department sheet - a row was deleted","")&amp;IF(AND($C669="",COUNTA($S669:$BB669)&gt;0),"; Invoice entered but the department row has no job number","")&amp;IF(E669="CHECK","; Job number not in the Xero job list","")&amp;IF(AND($C669&lt;&gt;"",COUNTIF($C$7:$C$1506,$C669)&gt;1),"; Job number on more than one row","")&amp;IF(AND($C669&lt;&gt;"",H669=""),"; Dept has not set a cost centre","")&amp;IF(AND($C669&lt;&gt;"",J669=""),"; Dept has not set a tax code","")&amp;IF(AND($C669&lt;&gt;"",N669=""),"; Dept has not entered an expected value","")&amp;IF((IF(OR(COUNTA(S669:U669)=0,AND(COUNTA(S669:U669)=3,ISNUMBER(U669))),0,1)+IF(OR(COUNTA(V669:X669)=0,AND(COUNTA(V669:X669)=3,ISNUMBER(X669))),0,1)+IF(OR(COUNTA(Y669:AA669)=0,AND(COUNTA(Y669:AA669)=3,ISNUMBER(AA669))),0,1)+IF(OR(COUNTA(AB669:AD669)=0,AND(COUNTA(AB669:AD669)=3,ISNUMBER(AD669))),0,1)+IF(OR(COUNTA(AE669:AG669)=0,AND(COUNTA(AE669:AG669)=3,ISNUMBER(AG669))),0,1)+IF(OR(COUNTA(AH669:AJ669)=0,AND(COUNTA(AH669:AJ669)=3,ISNUMBER(AJ669))),0,1)+IF(OR(COUNTA(AK669:AM669)=0,AND(COUNTA(AK669:AM669)=3,ISNUMBER(AM669))),0,1)+IF(OR(COUNTA(AN669:AP669)=0,AND(COUNTA(AN669:AP669)=3,ISNUMBER(AP669))),0,1)+IF(OR(COUNTA(AQ669:AS669)=0,AND(COUNTA(AQ669:AS669)=3,ISNUMBER(AS669))),0,1)+IF(OR(COUNTA(AT669:AV669)=0,AND(COUNTA(AT669:AV669)=3,ISNUMBER(AV669))),0,1)+IF(OR(COUNTA(AW669:AY669)=0,AND(COUNTA(AW669:AY669)=3,ISNUMBER(AY669))),0,1)+IF(OR(COUNTA(AZ669:BB669)=0,AND(COUNTA(AZ669:BB669)=3,ISNUMBER(BB669))),0,1))&gt;0,"; An invoice is incomplete (needs No, Date and a number in Ex GST)","")&amp;IF((IF(T669="",0,IFERROR(--(EOMONTH(T669,0)&lt;&gt;S$5),1))+IF(W669="",0,IFERROR(--(EOMONTH(W669,0)&lt;&gt;V$5),1))+IF(Z669="",0,IFERROR(--(EOMONTH(Z669,0)&lt;&gt;Y$5),1))+IF(AC669="",0,IFERROR(--(EOMONTH(AC669,0)&lt;&gt;AB$5),1))+IF(AF669="",0,IFERROR(--(EOMONTH(AF669,0)&lt;&gt;AE$5),1))+IF(AI669="",0,IFERROR(--(EOMONTH(AI669,0)&lt;&gt;AH$5),1))+IF(AL669="",0,IFERROR(--(EOMONTH(AL669,0)&lt;&gt;AK$5),1))+IF(AO669="",0,IFERROR(--(EOMONTH(AO669,0)&lt;&gt;AN$5),1))+IF(AR669="",0,IFERROR(--(EOMONTH(AR669,0)&lt;&gt;AQ$5),1))+IF(AU669="",0,IFERROR(--(EOMONTH(AU669,0)&lt;&gt;AT$5),1))+IF(AX669="",0,IFERROR(--(EOMONTH(AX669,0)&lt;&gt;AW$5),1))+IF(BA669="",0,IFERROR(--(EOMONTH(BA669,0)&lt;&gt;AZ$5),1)))&gt;0,"; An invoice date is not in the month it is typed under",""),3,500))</f>
        <v/>
      </c>
      <c r="S669" s="12" t="n"/>
      <c r="T669" s="13" t="n"/>
      <c r="U669" s="14" t="n"/>
      <c r="V669" s="12" t="n"/>
      <c r="W669" s="13" t="n"/>
      <c r="X669" s="14" t="n"/>
      <c r="Y669" s="12" t="n"/>
      <c r="Z669" s="13" t="n"/>
      <c r="AA669" s="14" t="n"/>
      <c r="AB669" s="12" t="n"/>
      <c r="AC669" s="13" t="n"/>
      <c r="AD669" s="14" t="n"/>
      <c r="AE669" s="12" t="n"/>
      <c r="AF669" s="13" t="n"/>
      <c r="AG669" s="14" t="n"/>
      <c r="AH669" s="12" t="n"/>
      <c r="AI669" s="13" t="n"/>
      <c r="AJ669" s="14" t="n"/>
      <c r="AK669" s="12" t="n"/>
      <c r="AL669" s="13" t="n"/>
      <c r="AM669" s="14" t="n"/>
      <c r="AN669" s="12" t="n"/>
      <c r="AO669" s="13" t="n"/>
      <c r="AP669" s="14" t="n"/>
      <c r="AQ669" s="12" t="n"/>
      <c r="AR669" s="13" t="n"/>
      <c r="AS669" s="14" t="n"/>
      <c r="AT669" s="12" t="n"/>
      <c r="AU669" s="13" t="n"/>
      <c r="AV669" s="14" t="n"/>
      <c r="AW669" s="12" t="n"/>
      <c r="AX669" s="13" t="n"/>
      <c r="AY669" s="14" t="n"/>
      <c r="AZ669" s="12" t="n"/>
      <c r="BA669" s="13" t="n"/>
      <c r="BB669" s="14" t="n"/>
      <c r="BC669" s="11">
        <f>IF(O669="","",IF(J669="GST 10%",ROUND(O669*set_GSTRate,2),0))</f>
        <v/>
      </c>
      <c r="BD669" s="11">
        <f>IF(O669="","",O669+BC669)</f>
        <v/>
      </c>
      <c r="BE669" s="15">
        <f>IF(O669="","",COUNTA(S669,V669,Y669,AB669,AE669,AH669,AK669,AN669,AQ669,AT669,AW669,AZ669))</f>
        <v/>
      </c>
      <c r="BF669" s="16">
        <f>IF(COUNT(T669,W669,Z669,AC669,AF669,AI669,AL669,AO669,AR669,AU669,AX669,BA669)=0,"",MAX(T669,W669,Z669,AC669,AF669,AI669,AL669,AO669,AR669,AU669,AX669,BA669))</f>
        <v/>
      </c>
      <c r="BG669" s="10">
        <f>MID(IF(S669="","",", "&amp;S669)&amp;IF(V669="","",", "&amp;V669)&amp;IF(Y669="","",", "&amp;Y669)&amp;IF(AB669="","",", "&amp;AB669)&amp;IF(AE669="","",", "&amp;AE669)&amp;IF(AH669="","",", "&amp;AH669)&amp;IF(AK669="","",", "&amp;AK669)&amp;IF(AN669="","",", "&amp;AN669)&amp;IF(AQ669="","",", "&amp;AQ669)&amp;IF(AT669="","",", "&amp;AT669)&amp;IF(AW669="","",", "&amp;AW669)&amp;IF(AZ669="","",", "&amp;AZ669),3,500)</f>
        <v/>
      </c>
      <c r="BH669" s="12" t="n"/>
      <c r="BI669" s="15">
        <f>IFERROR(MATCH($A669,IF($B669="Onsite",tbl_Onsite[Row ID],IF($B669="Production",tbl_Production[Row ID],tbl_Consulting[Row ID])),0),"")</f>
        <v/>
      </c>
    </row>
    <row r="670">
      <c r="A670" s="10" t="inlineStr">
        <is>
          <t>PRD-0164</t>
        </is>
      </c>
      <c r="B670" s="10" t="inlineStr">
        <is>
          <t>Production</t>
        </is>
      </c>
      <c r="C670" s="10">
        <f>IF($BI670="","",IF($B670="Onsite",INDEX(tbl_Onsite[Job Number],$BI670),IF($B670="Production",INDEX(tbl_Production[Job Number],$BI670),INDEX(tbl_Consulting[Job Number],$BI670)))&amp;"")</f>
        <v/>
      </c>
      <c r="D670" s="10">
        <f>IF($BI670="","",IF($B670="Onsite",INDEX(tbl_Onsite[Client],$BI670),IF($B670="Production",INDEX(tbl_Production[Client],$BI670),INDEX(tbl_Consulting[Client],$BI670)))&amp;"")</f>
        <v/>
      </c>
      <c r="E670" s="10">
        <f>IF($C670="","",IF(COUNTIF(lst_Jobs,$C670)&gt;0,"OK","CHECK"))</f>
        <v/>
      </c>
      <c r="F670" s="10">
        <f>IF($C670="","",IFERROR(INDEX(lst_JobName,MATCH($C670,lst_Jobs,0)),""))</f>
        <v/>
      </c>
      <c r="G670" s="10">
        <f>IF($BI670="","",IF($B670="Onsite",INDEX(tbl_Onsite[Job Description],$BI670),IF($B670="Production",INDEX(tbl_Production[Job Description],$BI670),INDEX(tbl_Consulting[Job Description],$BI670)))&amp;"")</f>
        <v/>
      </c>
      <c r="H670" s="10">
        <f>IF($BI670="","",IF($B670="Onsite",INDEX(tbl_Onsite[Cost Centre],$BI670),IF($B670="Production",INDEX(tbl_Production[Cost Centre],$BI670),INDEX(tbl_Consulting[Cost Centre],$BI670)))&amp;"")</f>
        <v/>
      </c>
      <c r="I670" s="10">
        <f>IF($BI670="","",IF($B670="Onsite",INDEX(tbl_Onsite[Invoice Type],$BI670),IF($B670="Production",INDEX(tbl_Production[Invoice Type],$BI670),INDEX(tbl_Consulting[Invoice Type],$BI670)))&amp;"")</f>
        <v/>
      </c>
      <c r="J670" s="10">
        <f>IF($BI670="","",IF($B670="Onsite",INDEX(tbl_Onsite[Tax Code],$BI670),IF($B670="Production",INDEX(tbl_Production[Tax Code],$BI670),INDEX(tbl_Consulting[Tax Code],$BI670)))&amp;"")</f>
        <v/>
      </c>
      <c r="K670" s="10">
        <f>IF(H670="","",IFERROR(INDEX(lst_CCtoGL,MATCH(H670,lst_CCforGL,0)),""))</f>
        <v/>
      </c>
      <c r="L670" s="10">
        <f>IF($BI670="","",IF($B670="Onsite",INDEX(tbl_Onsite[PO / Reference],$BI670),IF($B670="Production",INDEX(tbl_Production[Current RMS No],$BI670),INDEX(tbl_Consulting[Qwilr Quote],$BI670)))&amp;"")</f>
        <v/>
      </c>
      <c r="M670" s="10">
        <f>IF($BI670="","",IF($B670="Onsite",INDEX(tbl_Onsite[Notes],$BI670),IF($B670="Production",INDEX(tbl_Production[Notes],$BI670),INDEX(tbl_Consulting[Notes],$BI670)))&amp;"")</f>
        <v/>
      </c>
      <c r="N670" s="11">
        <f>IF($BI670="","",IF(IF($B670="Onsite",INDEX(tbl_Onsite[Expected Revenue Ex GST],$BI670),IF($B670="Production",INDEX(tbl_Production[Expected Revenue Ex GST],$BI670),INDEX(tbl_Consulting[Expected Revenue Ex GST],$BI670)))="","",IF($B670="Onsite",INDEX(tbl_Onsite[Expected Revenue Ex GST],$BI670),IF($B670="Production",INDEX(tbl_Production[Expected Revenue Ex GST],$BI670),INDEX(tbl_Consulting[Expected Revenue Ex GST],$BI670)))))</f>
        <v/>
      </c>
      <c r="O670" s="11">
        <f>IF(AND($C670="",NOT(COUNTA($S670:$BB670)&gt;0)),"",SUM(U670,X670,AA670,AD670,AG670,AJ670,AM670,AP670,AS670,AV670,AY670,BB670))</f>
        <v/>
      </c>
      <c r="P670" s="11">
        <f>IF(O670="","",N(N670)-O670)</f>
        <v/>
      </c>
      <c r="Q670" s="10">
        <f>IF(O670="","",IF($C670="","Invoice on empty job row",IF(N670="",IF(ROUND(O670,2)=0,"No dept value","Invoiced - no dept value"),IF(ROUND(O670,2)=0,"Not invoiced - to invoice",IF(ROUND(P670,2)=0,"Agrees",IF(P670&gt;0,"Dept higher - to invoice","Xero higher - check dept"))))))</f>
        <v/>
      </c>
      <c r="R670" s="10">
        <f>IF(AND($C670="",NOT(COUNTA($S670:$BB670)&gt;0),$BI670&lt;&gt;""),"",MID(IF($BI670="","; Row ID not found on the department sheet - a row was deleted","")&amp;IF(AND($C670="",COUNTA($S670:$BB670)&gt;0),"; Invoice entered but the department row has no job number","")&amp;IF(E670="CHECK","; Job number not in the Xero job list","")&amp;IF(AND($C670&lt;&gt;"",COUNTIF($C$7:$C$1506,$C670)&gt;1),"; Job number on more than one row","")&amp;IF(AND($C670&lt;&gt;"",H670=""),"; Dept has not set a cost centre","")&amp;IF(AND($C670&lt;&gt;"",J670=""),"; Dept has not set a tax code","")&amp;IF(AND($C670&lt;&gt;"",N670=""),"; Dept has not entered an expected value","")&amp;IF((IF(OR(COUNTA(S670:U670)=0,AND(COUNTA(S670:U670)=3,ISNUMBER(U670))),0,1)+IF(OR(COUNTA(V670:X670)=0,AND(COUNTA(V670:X670)=3,ISNUMBER(X670))),0,1)+IF(OR(COUNTA(Y670:AA670)=0,AND(COUNTA(Y670:AA670)=3,ISNUMBER(AA670))),0,1)+IF(OR(COUNTA(AB670:AD670)=0,AND(COUNTA(AB670:AD670)=3,ISNUMBER(AD670))),0,1)+IF(OR(COUNTA(AE670:AG670)=0,AND(COUNTA(AE670:AG670)=3,ISNUMBER(AG670))),0,1)+IF(OR(COUNTA(AH670:AJ670)=0,AND(COUNTA(AH670:AJ670)=3,ISNUMBER(AJ670))),0,1)+IF(OR(COUNTA(AK670:AM670)=0,AND(COUNTA(AK670:AM670)=3,ISNUMBER(AM670))),0,1)+IF(OR(COUNTA(AN670:AP670)=0,AND(COUNTA(AN670:AP670)=3,ISNUMBER(AP670))),0,1)+IF(OR(COUNTA(AQ670:AS670)=0,AND(COUNTA(AQ670:AS670)=3,ISNUMBER(AS670))),0,1)+IF(OR(COUNTA(AT670:AV670)=0,AND(COUNTA(AT670:AV670)=3,ISNUMBER(AV670))),0,1)+IF(OR(COUNTA(AW670:AY670)=0,AND(COUNTA(AW670:AY670)=3,ISNUMBER(AY670))),0,1)+IF(OR(COUNTA(AZ670:BB670)=0,AND(COUNTA(AZ670:BB670)=3,ISNUMBER(BB670))),0,1))&gt;0,"; An invoice is incomplete (needs No, Date and a number in Ex GST)","")&amp;IF((IF(T670="",0,IFERROR(--(EOMONTH(T670,0)&lt;&gt;S$5),1))+IF(W670="",0,IFERROR(--(EOMONTH(W670,0)&lt;&gt;V$5),1))+IF(Z670="",0,IFERROR(--(EOMONTH(Z670,0)&lt;&gt;Y$5),1))+IF(AC670="",0,IFERROR(--(EOMONTH(AC670,0)&lt;&gt;AB$5),1))+IF(AF670="",0,IFERROR(--(EOMONTH(AF670,0)&lt;&gt;AE$5),1))+IF(AI670="",0,IFERROR(--(EOMONTH(AI670,0)&lt;&gt;AH$5),1))+IF(AL670="",0,IFERROR(--(EOMONTH(AL670,0)&lt;&gt;AK$5),1))+IF(AO670="",0,IFERROR(--(EOMONTH(AO670,0)&lt;&gt;AN$5),1))+IF(AR670="",0,IFERROR(--(EOMONTH(AR670,0)&lt;&gt;AQ$5),1))+IF(AU670="",0,IFERROR(--(EOMONTH(AU670,0)&lt;&gt;AT$5),1))+IF(AX670="",0,IFERROR(--(EOMONTH(AX670,0)&lt;&gt;AW$5),1))+IF(BA670="",0,IFERROR(--(EOMONTH(BA670,0)&lt;&gt;AZ$5),1)))&gt;0,"; An invoice date is not in the month it is typed under",""),3,500))</f>
        <v/>
      </c>
      <c r="S670" s="12" t="n"/>
      <c r="T670" s="13" t="n"/>
      <c r="U670" s="14" t="n"/>
      <c r="V670" s="12" t="n"/>
      <c r="W670" s="13" t="n"/>
      <c r="X670" s="14" t="n"/>
      <c r="Y670" s="12" t="n"/>
      <c r="Z670" s="13" t="n"/>
      <c r="AA670" s="14" t="n"/>
      <c r="AB670" s="12" t="n"/>
      <c r="AC670" s="13" t="n"/>
      <c r="AD670" s="14" t="n"/>
      <c r="AE670" s="12" t="n"/>
      <c r="AF670" s="13" t="n"/>
      <c r="AG670" s="14" t="n"/>
      <c r="AH670" s="12" t="n"/>
      <c r="AI670" s="13" t="n"/>
      <c r="AJ670" s="14" t="n"/>
      <c r="AK670" s="12" t="n"/>
      <c r="AL670" s="13" t="n"/>
      <c r="AM670" s="14" t="n"/>
      <c r="AN670" s="12" t="n"/>
      <c r="AO670" s="13" t="n"/>
      <c r="AP670" s="14" t="n"/>
      <c r="AQ670" s="12" t="n"/>
      <c r="AR670" s="13" t="n"/>
      <c r="AS670" s="14" t="n"/>
      <c r="AT670" s="12" t="n"/>
      <c r="AU670" s="13" t="n"/>
      <c r="AV670" s="14" t="n"/>
      <c r="AW670" s="12" t="n"/>
      <c r="AX670" s="13" t="n"/>
      <c r="AY670" s="14" t="n"/>
      <c r="AZ670" s="12" t="n"/>
      <c r="BA670" s="13" t="n"/>
      <c r="BB670" s="14" t="n"/>
      <c r="BC670" s="11">
        <f>IF(O670="","",IF(J670="GST 10%",ROUND(O670*set_GSTRate,2),0))</f>
        <v/>
      </c>
      <c r="BD670" s="11">
        <f>IF(O670="","",O670+BC670)</f>
        <v/>
      </c>
      <c r="BE670" s="15">
        <f>IF(O670="","",COUNTA(S670,V670,Y670,AB670,AE670,AH670,AK670,AN670,AQ670,AT670,AW670,AZ670))</f>
        <v/>
      </c>
      <c r="BF670" s="16">
        <f>IF(COUNT(T670,W670,Z670,AC670,AF670,AI670,AL670,AO670,AR670,AU670,AX670,BA670)=0,"",MAX(T670,W670,Z670,AC670,AF670,AI670,AL670,AO670,AR670,AU670,AX670,BA670))</f>
        <v/>
      </c>
      <c r="BG670" s="10">
        <f>MID(IF(S670="","",", "&amp;S670)&amp;IF(V670="","",", "&amp;V670)&amp;IF(Y670="","",", "&amp;Y670)&amp;IF(AB670="","",", "&amp;AB670)&amp;IF(AE670="","",", "&amp;AE670)&amp;IF(AH670="","",", "&amp;AH670)&amp;IF(AK670="","",", "&amp;AK670)&amp;IF(AN670="","",", "&amp;AN670)&amp;IF(AQ670="","",", "&amp;AQ670)&amp;IF(AT670="","",", "&amp;AT670)&amp;IF(AW670="","",", "&amp;AW670)&amp;IF(AZ670="","",", "&amp;AZ670),3,500)</f>
        <v/>
      </c>
      <c r="BH670" s="12" t="n"/>
      <c r="BI670" s="15">
        <f>IFERROR(MATCH($A670,IF($B670="Onsite",tbl_Onsite[Row ID],IF($B670="Production",tbl_Production[Row ID],tbl_Consulting[Row ID])),0),"")</f>
        <v/>
      </c>
    </row>
    <row r="671">
      <c r="A671" s="10" t="inlineStr">
        <is>
          <t>PRD-0165</t>
        </is>
      </c>
      <c r="B671" s="10" t="inlineStr">
        <is>
          <t>Production</t>
        </is>
      </c>
      <c r="C671" s="10">
        <f>IF($BI671="","",IF($B671="Onsite",INDEX(tbl_Onsite[Job Number],$BI671),IF($B671="Production",INDEX(tbl_Production[Job Number],$BI671),INDEX(tbl_Consulting[Job Number],$BI671)))&amp;"")</f>
        <v/>
      </c>
      <c r="D671" s="10">
        <f>IF($BI671="","",IF($B671="Onsite",INDEX(tbl_Onsite[Client],$BI671),IF($B671="Production",INDEX(tbl_Production[Client],$BI671),INDEX(tbl_Consulting[Client],$BI671)))&amp;"")</f>
        <v/>
      </c>
      <c r="E671" s="10">
        <f>IF($C671="","",IF(COUNTIF(lst_Jobs,$C671)&gt;0,"OK","CHECK"))</f>
        <v/>
      </c>
      <c r="F671" s="10">
        <f>IF($C671="","",IFERROR(INDEX(lst_JobName,MATCH($C671,lst_Jobs,0)),""))</f>
        <v/>
      </c>
      <c r="G671" s="10">
        <f>IF($BI671="","",IF($B671="Onsite",INDEX(tbl_Onsite[Job Description],$BI671),IF($B671="Production",INDEX(tbl_Production[Job Description],$BI671),INDEX(tbl_Consulting[Job Description],$BI671)))&amp;"")</f>
        <v/>
      </c>
      <c r="H671" s="10">
        <f>IF($BI671="","",IF($B671="Onsite",INDEX(tbl_Onsite[Cost Centre],$BI671),IF($B671="Production",INDEX(tbl_Production[Cost Centre],$BI671),INDEX(tbl_Consulting[Cost Centre],$BI671)))&amp;"")</f>
        <v/>
      </c>
      <c r="I671" s="10">
        <f>IF($BI671="","",IF($B671="Onsite",INDEX(tbl_Onsite[Invoice Type],$BI671),IF($B671="Production",INDEX(tbl_Production[Invoice Type],$BI671),INDEX(tbl_Consulting[Invoice Type],$BI671)))&amp;"")</f>
        <v/>
      </c>
      <c r="J671" s="10">
        <f>IF($BI671="","",IF($B671="Onsite",INDEX(tbl_Onsite[Tax Code],$BI671),IF($B671="Production",INDEX(tbl_Production[Tax Code],$BI671),INDEX(tbl_Consulting[Tax Code],$BI671)))&amp;"")</f>
        <v/>
      </c>
      <c r="K671" s="10">
        <f>IF(H671="","",IFERROR(INDEX(lst_CCtoGL,MATCH(H671,lst_CCforGL,0)),""))</f>
        <v/>
      </c>
      <c r="L671" s="10">
        <f>IF($BI671="","",IF($B671="Onsite",INDEX(tbl_Onsite[PO / Reference],$BI671),IF($B671="Production",INDEX(tbl_Production[Current RMS No],$BI671),INDEX(tbl_Consulting[Qwilr Quote],$BI671)))&amp;"")</f>
        <v/>
      </c>
      <c r="M671" s="10">
        <f>IF($BI671="","",IF($B671="Onsite",INDEX(tbl_Onsite[Notes],$BI671),IF($B671="Production",INDEX(tbl_Production[Notes],$BI671),INDEX(tbl_Consulting[Notes],$BI671)))&amp;"")</f>
        <v/>
      </c>
      <c r="N671" s="11">
        <f>IF($BI671="","",IF(IF($B671="Onsite",INDEX(tbl_Onsite[Expected Revenue Ex GST],$BI671),IF($B671="Production",INDEX(tbl_Production[Expected Revenue Ex GST],$BI671),INDEX(tbl_Consulting[Expected Revenue Ex GST],$BI671)))="","",IF($B671="Onsite",INDEX(tbl_Onsite[Expected Revenue Ex GST],$BI671),IF($B671="Production",INDEX(tbl_Production[Expected Revenue Ex GST],$BI671),INDEX(tbl_Consulting[Expected Revenue Ex GST],$BI671)))))</f>
        <v/>
      </c>
      <c r="O671" s="11">
        <f>IF(AND($C671="",NOT(COUNTA($S671:$BB671)&gt;0)),"",SUM(U671,X671,AA671,AD671,AG671,AJ671,AM671,AP671,AS671,AV671,AY671,BB671))</f>
        <v/>
      </c>
      <c r="P671" s="11">
        <f>IF(O671="","",N(N671)-O671)</f>
        <v/>
      </c>
      <c r="Q671" s="10">
        <f>IF(O671="","",IF($C671="","Invoice on empty job row",IF(N671="",IF(ROUND(O671,2)=0,"No dept value","Invoiced - no dept value"),IF(ROUND(O671,2)=0,"Not invoiced - to invoice",IF(ROUND(P671,2)=0,"Agrees",IF(P671&gt;0,"Dept higher - to invoice","Xero higher - check dept"))))))</f>
        <v/>
      </c>
      <c r="R671" s="10">
        <f>IF(AND($C671="",NOT(COUNTA($S671:$BB671)&gt;0),$BI671&lt;&gt;""),"",MID(IF($BI671="","; Row ID not found on the department sheet - a row was deleted","")&amp;IF(AND($C671="",COUNTA($S671:$BB671)&gt;0),"; Invoice entered but the department row has no job number","")&amp;IF(E671="CHECK","; Job number not in the Xero job list","")&amp;IF(AND($C671&lt;&gt;"",COUNTIF($C$7:$C$1506,$C671)&gt;1),"; Job number on more than one row","")&amp;IF(AND($C671&lt;&gt;"",H671=""),"; Dept has not set a cost centre","")&amp;IF(AND($C671&lt;&gt;"",J671=""),"; Dept has not set a tax code","")&amp;IF(AND($C671&lt;&gt;"",N671=""),"; Dept has not entered an expected value","")&amp;IF((IF(OR(COUNTA(S671:U671)=0,AND(COUNTA(S671:U671)=3,ISNUMBER(U671))),0,1)+IF(OR(COUNTA(V671:X671)=0,AND(COUNTA(V671:X671)=3,ISNUMBER(X671))),0,1)+IF(OR(COUNTA(Y671:AA671)=0,AND(COUNTA(Y671:AA671)=3,ISNUMBER(AA671))),0,1)+IF(OR(COUNTA(AB671:AD671)=0,AND(COUNTA(AB671:AD671)=3,ISNUMBER(AD671))),0,1)+IF(OR(COUNTA(AE671:AG671)=0,AND(COUNTA(AE671:AG671)=3,ISNUMBER(AG671))),0,1)+IF(OR(COUNTA(AH671:AJ671)=0,AND(COUNTA(AH671:AJ671)=3,ISNUMBER(AJ671))),0,1)+IF(OR(COUNTA(AK671:AM671)=0,AND(COUNTA(AK671:AM671)=3,ISNUMBER(AM671))),0,1)+IF(OR(COUNTA(AN671:AP671)=0,AND(COUNTA(AN671:AP671)=3,ISNUMBER(AP671))),0,1)+IF(OR(COUNTA(AQ671:AS671)=0,AND(COUNTA(AQ671:AS671)=3,ISNUMBER(AS671))),0,1)+IF(OR(COUNTA(AT671:AV671)=0,AND(COUNTA(AT671:AV671)=3,ISNUMBER(AV671))),0,1)+IF(OR(COUNTA(AW671:AY671)=0,AND(COUNTA(AW671:AY671)=3,ISNUMBER(AY671))),0,1)+IF(OR(COUNTA(AZ671:BB671)=0,AND(COUNTA(AZ671:BB671)=3,ISNUMBER(BB671))),0,1))&gt;0,"; An invoice is incomplete (needs No, Date and a number in Ex GST)","")&amp;IF((IF(T671="",0,IFERROR(--(EOMONTH(T671,0)&lt;&gt;S$5),1))+IF(W671="",0,IFERROR(--(EOMONTH(W671,0)&lt;&gt;V$5),1))+IF(Z671="",0,IFERROR(--(EOMONTH(Z671,0)&lt;&gt;Y$5),1))+IF(AC671="",0,IFERROR(--(EOMONTH(AC671,0)&lt;&gt;AB$5),1))+IF(AF671="",0,IFERROR(--(EOMONTH(AF671,0)&lt;&gt;AE$5),1))+IF(AI671="",0,IFERROR(--(EOMONTH(AI671,0)&lt;&gt;AH$5),1))+IF(AL671="",0,IFERROR(--(EOMONTH(AL671,0)&lt;&gt;AK$5),1))+IF(AO671="",0,IFERROR(--(EOMONTH(AO671,0)&lt;&gt;AN$5),1))+IF(AR671="",0,IFERROR(--(EOMONTH(AR671,0)&lt;&gt;AQ$5),1))+IF(AU671="",0,IFERROR(--(EOMONTH(AU671,0)&lt;&gt;AT$5),1))+IF(AX671="",0,IFERROR(--(EOMONTH(AX671,0)&lt;&gt;AW$5),1))+IF(BA671="",0,IFERROR(--(EOMONTH(BA671,0)&lt;&gt;AZ$5),1)))&gt;0,"; An invoice date is not in the month it is typed under",""),3,500))</f>
        <v/>
      </c>
      <c r="S671" s="12" t="n"/>
      <c r="T671" s="13" t="n"/>
      <c r="U671" s="14" t="n"/>
      <c r="V671" s="12" t="n"/>
      <c r="W671" s="13" t="n"/>
      <c r="X671" s="14" t="n"/>
      <c r="Y671" s="12" t="n"/>
      <c r="Z671" s="13" t="n"/>
      <c r="AA671" s="14" t="n"/>
      <c r="AB671" s="12" t="n"/>
      <c r="AC671" s="13" t="n"/>
      <c r="AD671" s="14" t="n"/>
      <c r="AE671" s="12" t="n"/>
      <c r="AF671" s="13" t="n"/>
      <c r="AG671" s="14" t="n"/>
      <c r="AH671" s="12" t="n"/>
      <c r="AI671" s="13" t="n"/>
      <c r="AJ671" s="14" t="n"/>
      <c r="AK671" s="12" t="n"/>
      <c r="AL671" s="13" t="n"/>
      <c r="AM671" s="14" t="n"/>
      <c r="AN671" s="12" t="n"/>
      <c r="AO671" s="13" t="n"/>
      <c r="AP671" s="14" t="n"/>
      <c r="AQ671" s="12" t="n"/>
      <c r="AR671" s="13" t="n"/>
      <c r="AS671" s="14" t="n"/>
      <c r="AT671" s="12" t="n"/>
      <c r="AU671" s="13" t="n"/>
      <c r="AV671" s="14" t="n"/>
      <c r="AW671" s="12" t="n"/>
      <c r="AX671" s="13" t="n"/>
      <c r="AY671" s="14" t="n"/>
      <c r="AZ671" s="12" t="n"/>
      <c r="BA671" s="13" t="n"/>
      <c r="BB671" s="14" t="n"/>
      <c r="BC671" s="11">
        <f>IF(O671="","",IF(J671="GST 10%",ROUND(O671*set_GSTRate,2),0))</f>
        <v/>
      </c>
      <c r="BD671" s="11">
        <f>IF(O671="","",O671+BC671)</f>
        <v/>
      </c>
      <c r="BE671" s="15">
        <f>IF(O671="","",COUNTA(S671,V671,Y671,AB671,AE671,AH671,AK671,AN671,AQ671,AT671,AW671,AZ671))</f>
        <v/>
      </c>
      <c r="BF671" s="16">
        <f>IF(COUNT(T671,W671,Z671,AC671,AF671,AI671,AL671,AO671,AR671,AU671,AX671,BA671)=0,"",MAX(T671,W671,Z671,AC671,AF671,AI671,AL671,AO671,AR671,AU671,AX671,BA671))</f>
        <v/>
      </c>
      <c r="BG671" s="10">
        <f>MID(IF(S671="","",", "&amp;S671)&amp;IF(V671="","",", "&amp;V671)&amp;IF(Y671="","",", "&amp;Y671)&amp;IF(AB671="","",", "&amp;AB671)&amp;IF(AE671="","",", "&amp;AE671)&amp;IF(AH671="","",", "&amp;AH671)&amp;IF(AK671="","",", "&amp;AK671)&amp;IF(AN671="","",", "&amp;AN671)&amp;IF(AQ671="","",", "&amp;AQ671)&amp;IF(AT671="","",", "&amp;AT671)&amp;IF(AW671="","",", "&amp;AW671)&amp;IF(AZ671="","",", "&amp;AZ671),3,500)</f>
        <v/>
      </c>
      <c r="BH671" s="12" t="n"/>
      <c r="BI671" s="15">
        <f>IFERROR(MATCH($A671,IF($B671="Onsite",tbl_Onsite[Row ID],IF($B671="Production",tbl_Production[Row ID],tbl_Consulting[Row ID])),0),"")</f>
        <v/>
      </c>
    </row>
    <row r="672">
      <c r="A672" s="10" t="inlineStr">
        <is>
          <t>PRD-0166</t>
        </is>
      </c>
      <c r="B672" s="10" t="inlineStr">
        <is>
          <t>Production</t>
        </is>
      </c>
      <c r="C672" s="10">
        <f>IF($BI672="","",IF($B672="Onsite",INDEX(tbl_Onsite[Job Number],$BI672),IF($B672="Production",INDEX(tbl_Production[Job Number],$BI672),INDEX(tbl_Consulting[Job Number],$BI672)))&amp;"")</f>
        <v/>
      </c>
      <c r="D672" s="10">
        <f>IF($BI672="","",IF($B672="Onsite",INDEX(tbl_Onsite[Client],$BI672),IF($B672="Production",INDEX(tbl_Production[Client],$BI672),INDEX(tbl_Consulting[Client],$BI672)))&amp;"")</f>
        <v/>
      </c>
      <c r="E672" s="10">
        <f>IF($C672="","",IF(COUNTIF(lst_Jobs,$C672)&gt;0,"OK","CHECK"))</f>
        <v/>
      </c>
      <c r="F672" s="10">
        <f>IF($C672="","",IFERROR(INDEX(lst_JobName,MATCH($C672,lst_Jobs,0)),""))</f>
        <v/>
      </c>
      <c r="G672" s="10">
        <f>IF($BI672="","",IF($B672="Onsite",INDEX(tbl_Onsite[Job Description],$BI672),IF($B672="Production",INDEX(tbl_Production[Job Description],$BI672),INDEX(tbl_Consulting[Job Description],$BI672)))&amp;"")</f>
        <v/>
      </c>
      <c r="H672" s="10">
        <f>IF($BI672="","",IF($B672="Onsite",INDEX(tbl_Onsite[Cost Centre],$BI672),IF($B672="Production",INDEX(tbl_Production[Cost Centre],$BI672),INDEX(tbl_Consulting[Cost Centre],$BI672)))&amp;"")</f>
        <v/>
      </c>
      <c r="I672" s="10">
        <f>IF($BI672="","",IF($B672="Onsite",INDEX(tbl_Onsite[Invoice Type],$BI672),IF($B672="Production",INDEX(tbl_Production[Invoice Type],$BI672),INDEX(tbl_Consulting[Invoice Type],$BI672)))&amp;"")</f>
        <v/>
      </c>
      <c r="J672" s="10">
        <f>IF($BI672="","",IF($B672="Onsite",INDEX(tbl_Onsite[Tax Code],$BI672),IF($B672="Production",INDEX(tbl_Production[Tax Code],$BI672),INDEX(tbl_Consulting[Tax Code],$BI672)))&amp;"")</f>
        <v/>
      </c>
      <c r="K672" s="10">
        <f>IF(H672="","",IFERROR(INDEX(lst_CCtoGL,MATCH(H672,lst_CCforGL,0)),""))</f>
        <v/>
      </c>
      <c r="L672" s="10">
        <f>IF($BI672="","",IF($B672="Onsite",INDEX(tbl_Onsite[PO / Reference],$BI672),IF($B672="Production",INDEX(tbl_Production[Current RMS No],$BI672),INDEX(tbl_Consulting[Qwilr Quote],$BI672)))&amp;"")</f>
        <v/>
      </c>
      <c r="M672" s="10">
        <f>IF($BI672="","",IF($B672="Onsite",INDEX(tbl_Onsite[Notes],$BI672),IF($B672="Production",INDEX(tbl_Production[Notes],$BI672),INDEX(tbl_Consulting[Notes],$BI672)))&amp;"")</f>
        <v/>
      </c>
      <c r="N672" s="11">
        <f>IF($BI672="","",IF(IF($B672="Onsite",INDEX(tbl_Onsite[Expected Revenue Ex GST],$BI672),IF($B672="Production",INDEX(tbl_Production[Expected Revenue Ex GST],$BI672),INDEX(tbl_Consulting[Expected Revenue Ex GST],$BI672)))="","",IF($B672="Onsite",INDEX(tbl_Onsite[Expected Revenue Ex GST],$BI672),IF($B672="Production",INDEX(tbl_Production[Expected Revenue Ex GST],$BI672),INDEX(tbl_Consulting[Expected Revenue Ex GST],$BI672)))))</f>
        <v/>
      </c>
      <c r="O672" s="11">
        <f>IF(AND($C672="",NOT(COUNTA($S672:$BB672)&gt;0)),"",SUM(U672,X672,AA672,AD672,AG672,AJ672,AM672,AP672,AS672,AV672,AY672,BB672))</f>
        <v/>
      </c>
      <c r="P672" s="11">
        <f>IF(O672="","",N(N672)-O672)</f>
        <v/>
      </c>
      <c r="Q672" s="10">
        <f>IF(O672="","",IF($C672="","Invoice on empty job row",IF(N672="",IF(ROUND(O672,2)=0,"No dept value","Invoiced - no dept value"),IF(ROUND(O672,2)=0,"Not invoiced - to invoice",IF(ROUND(P672,2)=0,"Agrees",IF(P672&gt;0,"Dept higher - to invoice","Xero higher - check dept"))))))</f>
        <v/>
      </c>
      <c r="R672" s="10">
        <f>IF(AND($C672="",NOT(COUNTA($S672:$BB672)&gt;0),$BI672&lt;&gt;""),"",MID(IF($BI672="","; Row ID not found on the department sheet - a row was deleted","")&amp;IF(AND($C672="",COUNTA($S672:$BB672)&gt;0),"; Invoice entered but the department row has no job number","")&amp;IF(E672="CHECK","; Job number not in the Xero job list","")&amp;IF(AND($C672&lt;&gt;"",COUNTIF($C$7:$C$1506,$C672)&gt;1),"; Job number on more than one row","")&amp;IF(AND($C672&lt;&gt;"",H672=""),"; Dept has not set a cost centre","")&amp;IF(AND($C672&lt;&gt;"",J672=""),"; Dept has not set a tax code","")&amp;IF(AND($C672&lt;&gt;"",N672=""),"; Dept has not entered an expected value","")&amp;IF((IF(OR(COUNTA(S672:U672)=0,AND(COUNTA(S672:U672)=3,ISNUMBER(U672))),0,1)+IF(OR(COUNTA(V672:X672)=0,AND(COUNTA(V672:X672)=3,ISNUMBER(X672))),0,1)+IF(OR(COUNTA(Y672:AA672)=0,AND(COUNTA(Y672:AA672)=3,ISNUMBER(AA672))),0,1)+IF(OR(COUNTA(AB672:AD672)=0,AND(COUNTA(AB672:AD672)=3,ISNUMBER(AD672))),0,1)+IF(OR(COUNTA(AE672:AG672)=0,AND(COUNTA(AE672:AG672)=3,ISNUMBER(AG672))),0,1)+IF(OR(COUNTA(AH672:AJ672)=0,AND(COUNTA(AH672:AJ672)=3,ISNUMBER(AJ672))),0,1)+IF(OR(COUNTA(AK672:AM672)=0,AND(COUNTA(AK672:AM672)=3,ISNUMBER(AM672))),0,1)+IF(OR(COUNTA(AN672:AP672)=0,AND(COUNTA(AN672:AP672)=3,ISNUMBER(AP672))),0,1)+IF(OR(COUNTA(AQ672:AS672)=0,AND(COUNTA(AQ672:AS672)=3,ISNUMBER(AS672))),0,1)+IF(OR(COUNTA(AT672:AV672)=0,AND(COUNTA(AT672:AV672)=3,ISNUMBER(AV672))),0,1)+IF(OR(COUNTA(AW672:AY672)=0,AND(COUNTA(AW672:AY672)=3,ISNUMBER(AY672))),0,1)+IF(OR(COUNTA(AZ672:BB672)=0,AND(COUNTA(AZ672:BB672)=3,ISNUMBER(BB672))),0,1))&gt;0,"; An invoice is incomplete (needs No, Date and a number in Ex GST)","")&amp;IF((IF(T672="",0,IFERROR(--(EOMONTH(T672,0)&lt;&gt;S$5),1))+IF(W672="",0,IFERROR(--(EOMONTH(W672,0)&lt;&gt;V$5),1))+IF(Z672="",0,IFERROR(--(EOMONTH(Z672,0)&lt;&gt;Y$5),1))+IF(AC672="",0,IFERROR(--(EOMONTH(AC672,0)&lt;&gt;AB$5),1))+IF(AF672="",0,IFERROR(--(EOMONTH(AF672,0)&lt;&gt;AE$5),1))+IF(AI672="",0,IFERROR(--(EOMONTH(AI672,0)&lt;&gt;AH$5),1))+IF(AL672="",0,IFERROR(--(EOMONTH(AL672,0)&lt;&gt;AK$5),1))+IF(AO672="",0,IFERROR(--(EOMONTH(AO672,0)&lt;&gt;AN$5),1))+IF(AR672="",0,IFERROR(--(EOMONTH(AR672,0)&lt;&gt;AQ$5),1))+IF(AU672="",0,IFERROR(--(EOMONTH(AU672,0)&lt;&gt;AT$5),1))+IF(AX672="",0,IFERROR(--(EOMONTH(AX672,0)&lt;&gt;AW$5),1))+IF(BA672="",0,IFERROR(--(EOMONTH(BA672,0)&lt;&gt;AZ$5),1)))&gt;0,"; An invoice date is not in the month it is typed under",""),3,500))</f>
        <v/>
      </c>
      <c r="S672" s="12" t="n"/>
      <c r="T672" s="13" t="n"/>
      <c r="U672" s="14" t="n"/>
      <c r="V672" s="12" t="n"/>
      <c r="W672" s="13" t="n"/>
      <c r="X672" s="14" t="n"/>
      <c r="Y672" s="12" t="n"/>
      <c r="Z672" s="13" t="n"/>
      <c r="AA672" s="14" t="n"/>
      <c r="AB672" s="12" t="n"/>
      <c r="AC672" s="13" t="n"/>
      <c r="AD672" s="14" t="n"/>
      <c r="AE672" s="12" t="n"/>
      <c r="AF672" s="13" t="n"/>
      <c r="AG672" s="14" t="n"/>
      <c r="AH672" s="12" t="n"/>
      <c r="AI672" s="13" t="n"/>
      <c r="AJ672" s="14" t="n"/>
      <c r="AK672" s="12" t="n"/>
      <c r="AL672" s="13" t="n"/>
      <c r="AM672" s="14" t="n"/>
      <c r="AN672" s="12" t="n"/>
      <c r="AO672" s="13" t="n"/>
      <c r="AP672" s="14" t="n"/>
      <c r="AQ672" s="12" t="n"/>
      <c r="AR672" s="13" t="n"/>
      <c r="AS672" s="14" t="n"/>
      <c r="AT672" s="12" t="n"/>
      <c r="AU672" s="13" t="n"/>
      <c r="AV672" s="14" t="n"/>
      <c r="AW672" s="12" t="n"/>
      <c r="AX672" s="13" t="n"/>
      <c r="AY672" s="14" t="n"/>
      <c r="AZ672" s="12" t="n"/>
      <c r="BA672" s="13" t="n"/>
      <c r="BB672" s="14" t="n"/>
      <c r="BC672" s="11">
        <f>IF(O672="","",IF(J672="GST 10%",ROUND(O672*set_GSTRate,2),0))</f>
        <v/>
      </c>
      <c r="BD672" s="11">
        <f>IF(O672="","",O672+BC672)</f>
        <v/>
      </c>
      <c r="BE672" s="15">
        <f>IF(O672="","",COUNTA(S672,V672,Y672,AB672,AE672,AH672,AK672,AN672,AQ672,AT672,AW672,AZ672))</f>
        <v/>
      </c>
      <c r="BF672" s="16">
        <f>IF(COUNT(T672,W672,Z672,AC672,AF672,AI672,AL672,AO672,AR672,AU672,AX672,BA672)=0,"",MAX(T672,W672,Z672,AC672,AF672,AI672,AL672,AO672,AR672,AU672,AX672,BA672))</f>
        <v/>
      </c>
      <c r="BG672" s="10">
        <f>MID(IF(S672="","",", "&amp;S672)&amp;IF(V672="","",", "&amp;V672)&amp;IF(Y672="","",", "&amp;Y672)&amp;IF(AB672="","",", "&amp;AB672)&amp;IF(AE672="","",", "&amp;AE672)&amp;IF(AH672="","",", "&amp;AH672)&amp;IF(AK672="","",", "&amp;AK672)&amp;IF(AN672="","",", "&amp;AN672)&amp;IF(AQ672="","",", "&amp;AQ672)&amp;IF(AT672="","",", "&amp;AT672)&amp;IF(AW672="","",", "&amp;AW672)&amp;IF(AZ672="","",", "&amp;AZ672),3,500)</f>
        <v/>
      </c>
      <c r="BH672" s="12" t="n"/>
      <c r="BI672" s="15">
        <f>IFERROR(MATCH($A672,IF($B672="Onsite",tbl_Onsite[Row ID],IF($B672="Production",tbl_Production[Row ID],tbl_Consulting[Row ID])),0),"")</f>
        <v/>
      </c>
    </row>
    <row r="673">
      <c r="A673" s="10" t="inlineStr">
        <is>
          <t>PRD-0167</t>
        </is>
      </c>
      <c r="B673" s="10" t="inlineStr">
        <is>
          <t>Production</t>
        </is>
      </c>
      <c r="C673" s="10">
        <f>IF($BI673="","",IF($B673="Onsite",INDEX(tbl_Onsite[Job Number],$BI673),IF($B673="Production",INDEX(tbl_Production[Job Number],$BI673),INDEX(tbl_Consulting[Job Number],$BI673)))&amp;"")</f>
        <v/>
      </c>
      <c r="D673" s="10">
        <f>IF($BI673="","",IF($B673="Onsite",INDEX(tbl_Onsite[Client],$BI673),IF($B673="Production",INDEX(tbl_Production[Client],$BI673),INDEX(tbl_Consulting[Client],$BI673)))&amp;"")</f>
        <v/>
      </c>
      <c r="E673" s="10">
        <f>IF($C673="","",IF(COUNTIF(lst_Jobs,$C673)&gt;0,"OK","CHECK"))</f>
        <v/>
      </c>
      <c r="F673" s="10">
        <f>IF($C673="","",IFERROR(INDEX(lst_JobName,MATCH($C673,lst_Jobs,0)),""))</f>
        <v/>
      </c>
      <c r="G673" s="10">
        <f>IF($BI673="","",IF($B673="Onsite",INDEX(tbl_Onsite[Job Description],$BI673),IF($B673="Production",INDEX(tbl_Production[Job Description],$BI673),INDEX(tbl_Consulting[Job Description],$BI673)))&amp;"")</f>
        <v/>
      </c>
      <c r="H673" s="10">
        <f>IF($BI673="","",IF($B673="Onsite",INDEX(tbl_Onsite[Cost Centre],$BI673),IF($B673="Production",INDEX(tbl_Production[Cost Centre],$BI673),INDEX(tbl_Consulting[Cost Centre],$BI673)))&amp;"")</f>
        <v/>
      </c>
      <c r="I673" s="10">
        <f>IF($BI673="","",IF($B673="Onsite",INDEX(tbl_Onsite[Invoice Type],$BI673),IF($B673="Production",INDEX(tbl_Production[Invoice Type],$BI673),INDEX(tbl_Consulting[Invoice Type],$BI673)))&amp;"")</f>
        <v/>
      </c>
      <c r="J673" s="10">
        <f>IF($BI673="","",IF($B673="Onsite",INDEX(tbl_Onsite[Tax Code],$BI673),IF($B673="Production",INDEX(tbl_Production[Tax Code],$BI673),INDEX(tbl_Consulting[Tax Code],$BI673)))&amp;"")</f>
        <v/>
      </c>
      <c r="K673" s="10">
        <f>IF(H673="","",IFERROR(INDEX(lst_CCtoGL,MATCH(H673,lst_CCforGL,0)),""))</f>
        <v/>
      </c>
      <c r="L673" s="10">
        <f>IF($BI673="","",IF($B673="Onsite",INDEX(tbl_Onsite[PO / Reference],$BI673),IF($B673="Production",INDEX(tbl_Production[Current RMS No],$BI673),INDEX(tbl_Consulting[Qwilr Quote],$BI673)))&amp;"")</f>
        <v/>
      </c>
      <c r="M673" s="10">
        <f>IF($BI673="","",IF($B673="Onsite",INDEX(tbl_Onsite[Notes],$BI673),IF($B673="Production",INDEX(tbl_Production[Notes],$BI673),INDEX(tbl_Consulting[Notes],$BI673)))&amp;"")</f>
        <v/>
      </c>
      <c r="N673" s="11">
        <f>IF($BI673="","",IF(IF($B673="Onsite",INDEX(tbl_Onsite[Expected Revenue Ex GST],$BI673),IF($B673="Production",INDEX(tbl_Production[Expected Revenue Ex GST],$BI673),INDEX(tbl_Consulting[Expected Revenue Ex GST],$BI673)))="","",IF($B673="Onsite",INDEX(tbl_Onsite[Expected Revenue Ex GST],$BI673),IF($B673="Production",INDEX(tbl_Production[Expected Revenue Ex GST],$BI673),INDEX(tbl_Consulting[Expected Revenue Ex GST],$BI673)))))</f>
        <v/>
      </c>
      <c r="O673" s="11">
        <f>IF(AND($C673="",NOT(COUNTA($S673:$BB673)&gt;0)),"",SUM(U673,X673,AA673,AD673,AG673,AJ673,AM673,AP673,AS673,AV673,AY673,BB673))</f>
        <v/>
      </c>
      <c r="P673" s="11">
        <f>IF(O673="","",N(N673)-O673)</f>
        <v/>
      </c>
      <c r="Q673" s="10">
        <f>IF(O673="","",IF($C673="","Invoice on empty job row",IF(N673="",IF(ROUND(O673,2)=0,"No dept value","Invoiced - no dept value"),IF(ROUND(O673,2)=0,"Not invoiced - to invoice",IF(ROUND(P673,2)=0,"Agrees",IF(P673&gt;0,"Dept higher - to invoice","Xero higher - check dept"))))))</f>
        <v/>
      </c>
      <c r="R673" s="10">
        <f>IF(AND($C673="",NOT(COUNTA($S673:$BB673)&gt;0),$BI673&lt;&gt;""),"",MID(IF($BI673="","; Row ID not found on the department sheet - a row was deleted","")&amp;IF(AND($C673="",COUNTA($S673:$BB673)&gt;0),"; Invoice entered but the department row has no job number","")&amp;IF(E673="CHECK","; Job number not in the Xero job list","")&amp;IF(AND($C673&lt;&gt;"",COUNTIF($C$7:$C$1506,$C673)&gt;1),"; Job number on more than one row","")&amp;IF(AND($C673&lt;&gt;"",H673=""),"; Dept has not set a cost centre","")&amp;IF(AND($C673&lt;&gt;"",J673=""),"; Dept has not set a tax code","")&amp;IF(AND($C673&lt;&gt;"",N673=""),"; Dept has not entered an expected value","")&amp;IF((IF(OR(COUNTA(S673:U673)=0,AND(COUNTA(S673:U673)=3,ISNUMBER(U673))),0,1)+IF(OR(COUNTA(V673:X673)=0,AND(COUNTA(V673:X673)=3,ISNUMBER(X673))),0,1)+IF(OR(COUNTA(Y673:AA673)=0,AND(COUNTA(Y673:AA673)=3,ISNUMBER(AA673))),0,1)+IF(OR(COUNTA(AB673:AD673)=0,AND(COUNTA(AB673:AD673)=3,ISNUMBER(AD673))),0,1)+IF(OR(COUNTA(AE673:AG673)=0,AND(COUNTA(AE673:AG673)=3,ISNUMBER(AG673))),0,1)+IF(OR(COUNTA(AH673:AJ673)=0,AND(COUNTA(AH673:AJ673)=3,ISNUMBER(AJ673))),0,1)+IF(OR(COUNTA(AK673:AM673)=0,AND(COUNTA(AK673:AM673)=3,ISNUMBER(AM673))),0,1)+IF(OR(COUNTA(AN673:AP673)=0,AND(COUNTA(AN673:AP673)=3,ISNUMBER(AP673))),0,1)+IF(OR(COUNTA(AQ673:AS673)=0,AND(COUNTA(AQ673:AS673)=3,ISNUMBER(AS673))),0,1)+IF(OR(COUNTA(AT673:AV673)=0,AND(COUNTA(AT673:AV673)=3,ISNUMBER(AV673))),0,1)+IF(OR(COUNTA(AW673:AY673)=0,AND(COUNTA(AW673:AY673)=3,ISNUMBER(AY673))),0,1)+IF(OR(COUNTA(AZ673:BB673)=0,AND(COUNTA(AZ673:BB673)=3,ISNUMBER(BB673))),0,1))&gt;0,"; An invoice is incomplete (needs No, Date and a number in Ex GST)","")&amp;IF((IF(T673="",0,IFERROR(--(EOMONTH(T673,0)&lt;&gt;S$5),1))+IF(W673="",0,IFERROR(--(EOMONTH(W673,0)&lt;&gt;V$5),1))+IF(Z673="",0,IFERROR(--(EOMONTH(Z673,0)&lt;&gt;Y$5),1))+IF(AC673="",0,IFERROR(--(EOMONTH(AC673,0)&lt;&gt;AB$5),1))+IF(AF673="",0,IFERROR(--(EOMONTH(AF673,0)&lt;&gt;AE$5),1))+IF(AI673="",0,IFERROR(--(EOMONTH(AI673,0)&lt;&gt;AH$5),1))+IF(AL673="",0,IFERROR(--(EOMONTH(AL673,0)&lt;&gt;AK$5),1))+IF(AO673="",0,IFERROR(--(EOMONTH(AO673,0)&lt;&gt;AN$5),1))+IF(AR673="",0,IFERROR(--(EOMONTH(AR673,0)&lt;&gt;AQ$5),1))+IF(AU673="",0,IFERROR(--(EOMONTH(AU673,0)&lt;&gt;AT$5),1))+IF(AX673="",0,IFERROR(--(EOMONTH(AX673,0)&lt;&gt;AW$5),1))+IF(BA673="",0,IFERROR(--(EOMONTH(BA673,0)&lt;&gt;AZ$5),1)))&gt;0,"; An invoice date is not in the month it is typed under",""),3,500))</f>
        <v/>
      </c>
      <c r="S673" s="12" t="n"/>
      <c r="T673" s="13" t="n"/>
      <c r="U673" s="14" t="n"/>
      <c r="V673" s="12" t="n"/>
      <c r="W673" s="13" t="n"/>
      <c r="X673" s="14" t="n"/>
      <c r="Y673" s="12" t="n"/>
      <c r="Z673" s="13" t="n"/>
      <c r="AA673" s="14" t="n"/>
      <c r="AB673" s="12" t="n"/>
      <c r="AC673" s="13" t="n"/>
      <c r="AD673" s="14" t="n"/>
      <c r="AE673" s="12" t="n"/>
      <c r="AF673" s="13" t="n"/>
      <c r="AG673" s="14" t="n"/>
      <c r="AH673" s="12" t="n"/>
      <c r="AI673" s="13" t="n"/>
      <c r="AJ673" s="14" t="n"/>
      <c r="AK673" s="12" t="n"/>
      <c r="AL673" s="13" t="n"/>
      <c r="AM673" s="14" t="n"/>
      <c r="AN673" s="12" t="n"/>
      <c r="AO673" s="13" t="n"/>
      <c r="AP673" s="14" t="n"/>
      <c r="AQ673" s="12" t="n"/>
      <c r="AR673" s="13" t="n"/>
      <c r="AS673" s="14" t="n"/>
      <c r="AT673" s="12" t="n"/>
      <c r="AU673" s="13" t="n"/>
      <c r="AV673" s="14" t="n"/>
      <c r="AW673" s="12" t="n"/>
      <c r="AX673" s="13" t="n"/>
      <c r="AY673" s="14" t="n"/>
      <c r="AZ673" s="12" t="n"/>
      <c r="BA673" s="13" t="n"/>
      <c r="BB673" s="14" t="n"/>
      <c r="BC673" s="11">
        <f>IF(O673="","",IF(J673="GST 10%",ROUND(O673*set_GSTRate,2),0))</f>
        <v/>
      </c>
      <c r="BD673" s="11">
        <f>IF(O673="","",O673+BC673)</f>
        <v/>
      </c>
      <c r="BE673" s="15">
        <f>IF(O673="","",COUNTA(S673,V673,Y673,AB673,AE673,AH673,AK673,AN673,AQ673,AT673,AW673,AZ673))</f>
        <v/>
      </c>
      <c r="BF673" s="16">
        <f>IF(COUNT(T673,W673,Z673,AC673,AF673,AI673,AL673,AO673,AR673,AU673,AX673,BA673)=0,"",MAX(T673,W673,Z673,AC673,AF673,AI673,AL673,AO673,AR673,AU673,AX673,BA673))</f>
        <v/>
      </c>
      <c r="BG673" s="10">
        <f>MID(IF(S673="","",", "&amp;S673)&amp;IF(V673="","",", "&amp;V673)&amp;IF(Y673="","",", "&amp;Y673)&amp;IF(AB673="","",", "&amp;AB673)&amp;IF(AE673="","",", "&amp;AE673)&amp;IF(AH673="","",", "&amp;AH673)&amp;IF(AK673="","",", "&amp;AK673)&amp;IF(AN673="","",", "&amp;AN673)&amp;IF(AQ673="","",", "&amp;AQ673)&amp;IF(AT673="","",", "&amp;AT673)&amp;IF(AW673="","",", "&amp;AW673)&amp;IF(AZ673="","",", "&amp;AZ673),3,500)</f>
        <v/>
      </c>
      <c r="BH673" s="12" t="n"/>
      <c r="BI673" s="15">
        <f>IFERROR(MATCH($A673,IF($B673="Onsite",tbl_Onsite[Row ID],IF($B673="Production",tbl_Production[Row ID],tbl_Consulting[Row ID])),0),"")</f>
        <v/>
      </c>
    </row>
    <row r="674">
      <c r="A674" s="10" t="inlineStr">
        <is>
          <t>PRD-0168</t>
        </is>
      </c>
      <c r="B674" s="10" t="inlineStr">
        <is>
          <t>Production</t>
        </is>
      </c>
      <c r="C674" s="10">
        <f>IF($BI674="","",IF($B674="Onsite",INDEX(tbl_Onsite[Job Number],$BI674),IF($B674="Production",INDEX(tbl_Production[Job Number],$BI674),INDEX(tbl_Consulting[Job Number],$BI674)))&amp;"")</f>
        <v/>
      </c>
      <c r="D674" s="10">
        <f>IF($BI674="","",IF($B674="Onsite",INDEX(tbl_Onsite[Client],$BI674),IF($B674="Production",INDEX(tbl_Production[Client],$BI674),INDEX(tbl_Consulting[Client],$BI674)))&amp;"")</f>
        <v/>
      </c>
      <c r="E674" s="10">
        <f>IF($C674="","",IF(COUNTIF(lst_Jobs,$C674)&gt;0,"OK","CHECK"))</f>
        <v/>
      </c>
      <c r="F674" s="10">
        <f>IF($C674="","",IFERROR(INDEX(lst_JobName,MATCH($C674,lst_Jobs,0)),""))</f>
        <v/>
      </c>
      <c r="G674" s="10">
        <f>IF($BI674="","",IF($B674="Onsite",INDEX(tbl_Onsite[Job Description],$BI674),IF($B674="Production",INDEX(tbl_Production[Job Description],$BI674),INDEX(tbl_Consulting[Job Description],$BI674)))&amp;"")</f>
        <v/>
      </c>
      <c r="H674" s="10">
        <f>IF($BI674="","",IF($B674="Onsite",INDEX(tbl_Onsite[Cost Centre],$BI674),IF($B674="Production",INDEX(tbl_Production[Cost Centre],$BI674),INDEX(tbl_Consulting[Cost Centre],$BI674)))&amp;"")</f>
        <v/>
      </c>
      <c r="I674" s="10">
        <f>IF($BI674="","",IF($B674="Onsite",INDEX(tbl_Onsite[Invoice Type],$BI674),IF($B674="Production",INDEX(tbl_Production[Invoice Type],$BI674),INDEX(tbl_Consulting[Invoice Type],$BI674)))&amp;"")</f>
        <v/>
      </c>
      <c r="J674" s="10">
        <f>IF($BI674="","",IF($B674="Onsite",INDEX(tbl_Onsite[Tax Code],$BI674),IF($B674="Production",INDEX(tbl_Production[Tax Code],$BI674),INDEX(tbl_Consulting[Tax Code],$BI674)))&amp;"")</f>
        <v/>
      </c>
      <c r="K674" s="10">
        <f>IF(H674="","",IFERROR(INDEX(lst_CCtoGL,MATCH(H674,lst_CCforGL,0)),""))</f>
        <v/>
      </c>
      <c r="L674" s="10">
        <f>IF($BI674="","",IF($B674="Onsite",INDEX(tbl_Onsite[PO / Reference],$BI674),IF($B674="Production",INDEX(tbl_Production[Current RMS No],$BI674),INDEX(tbl_Consulting[Qwilr Quote],$BI674)))&amp;"")</f>
        <v/>
      </c>
      <c r="M674" s="10">
        <f>IF($BI674="","",IF($B674="Onsite",INDEX(tbl_Onsite[Notes],$BI674),IF($B674="Production",INDEX(tbl_Production[Notes],$BI674),INDEX(tbl_Consulting[Notes],$BI674)))&amp;"")</f>
        <v/>
      </c>
      <c r="N674" s="11">
        <f>IF($BI674="","",IF(IF($B674="Onsite",INDEX(tbl_Onsite[Expected Revenue Ex GST],$BI674),IF($B674="Production",INDEX(tbl_Production[Expected Revenue Ex GST],$BI674),INDEX(tbl_Consulting[Expected Revenue Ex GST],$BI674)))="","",IF($B674="Onsite",INDEX(tbl_Onsite[Expected Revenue Ex GST],$BI674),IF($B674="Production",INDEX(tbl_Production[Expected Revenue Ex GST],$BI674),INDEX(tbl_Consulting[Expected Revenue Ex GST],$BI674)))))</f>
        <v/>
      </c>
      <c r="O674" s="11">
        <f>IF(AND($C674="",NOT(COUNTA($S674:$BB674)&gt;0)),"",SUM(U674,X674,AA674,AD674,AG674,AJ674,AM674,AP674,AS674,AV674,AY674,BB674))</f>
        <v/>
      </c>
      <c r="P674" s="11">
        <f>IF(O674="","",N(N674)-O674)</f>
        <v/>
      </c>
      <c r="Q674" s="10">
        <f>IF(O674="","",IF($C674="","Invoice on empty job row",IF(N674="",IF(ROUND(O674,2)=0,"No dept value","Invoiced - no dept value"),IF(ROUND(O674,2)=0,"Not invoiced - to invoice",IF(ROUND(P674,2)=0,"Agrees",IF(P674&gt;0,"Dept higher - to invoice","Xero higher - check dept"))))))</f>
        <v/>
      </c>
      <c r="R674" s="10">
        <f>IF(AND($C674="",NOT(COUNTA($S674:$BB674)&gt;0),$BI674&lt;&gt;""),"",MID(IF($BI674="","; Row ID not found on the department sheet - a row was deleted","")&amp;IF(AND($C674="",COUNTA($S674:$BB674)&gt;0),"; Invoice entered but the department row has no job number","")&amp;IF(E674="CHECK","; Job number not in the Xero job list","")&amp;IF(AND($C674&lt;&gt;"",COUNTIF($C$7:$C$1506,$C674)&gt;1),"; Job number on more than one row","")&amp;IF(AND($C674&lt;&gt;"",H674=""),"; Dept has not set a cost centre","")&amp;IF(AND($C674&lt;&gt;"",J674=""),"; Dept has not set a tax code","")&amp;IF(AND($C674&lt;&gt;"",N674=""),"; Dept has not entered an expected value","")&amp;IF((IF(OR(COUNTA(S674:U674)=0,AND(COUNTA(S674:U674)=3,ISNUMBER(U674))),0,1)+IF(OR(COUNTA(V674:X674)=0,AND(COUNTA(V674:X674)=3,ISNUMBER(X674))),0,1)+IF(OR(COUNTA(Y674:AA674)=0,AND(COUNTA(Y674:AA674)=3,ISNUMBER(AA674))),0,1)+IF(OR(COUNTA(AB674:AD674)=0,AND(COUNTA(AB674:AD674)=3,ISNUMBER(AD674))),0,1)+IF(OR(COUNTA(AE674:AG674)=0,AND(COUNTA(AE674:AG674)=3,ISNUMBER(AG674))),0,1)+IF(OR(COUNTA(AH674:AJ674)=0,AND(COUNTA(AH674:AJ674)=3,ISNUMBER(AJ674))),0,1)+IF(OR(COUNTA(AK674:AM674)=0,AND(COUNTA(AK674:AM674)=3,ISNUMBER(AM674))),0,1)+IF(OR(COUNTA(AN674:AP674)=0,AND(COUNTA(AN674:AP674)=3,ISNUMBER(AP674))),0,1)+IF(OR(COUNTA(AQ674:AS674)=0,AND(COUNTA(AQ674:AS674)=3,ISNUMBER(AS674))),0,1)+IF(OR(COUNTA(AT674:AV674)=0,AND(COUNTA(AT674:AV674)=3,ISNUMBER(AV674))),0,1)+IF(OR(COUNTA(AW674:AY674)=0,AND(COUNTA(AW674:AY674)=3,ISNUMBER(AY674))),0,1)+IF(OR(COUNTA(AZ674:BB674)=0,AND(COUNTA(AZ674:BB674)=3,ISNUMBER(BB674))),0,1))&gt;0,"; An invoice is incomplete (needs No, Date and a number in Ex GST)","")&amp;IF((IF(T674="",0,IFERROR(--(EOMONTH(T674,0)&lt;&gt;S$5),1))+IF(W674="",0,IFERROR(--(EOMONTH(W674,0)&lt;&gt;V$5),1))+IF(Z674="",0,IFERROR(--(EOMONTH(Z674,0)&lt;&gt;Y$5),1))+IF(AC674="",0,IFERROR(--(EOMONTH(AC674,0)&lt;&gt;AB$5),1))+IF(AF674="",0,IFERROR(--(EOMONTH(AF674,0)&lt;&gt;AE$5),1))+IF(AI674="",0,IFERROR(--(EOMONTH(AI674,0)&lt;&gt;AH$5),1))+IF(AL674="",0,IFERROR(--(EOMONTH(AL674,0)&lt;&gt;AK$5),1))+IF(AO674="",0,IFERROR(--(EOMONTH(AO674,0)&lt;&gt;AN$5),1))+IF(AR674="",0,IFERROR(--(EOMONTH(AR674,0)&lt;&gt;AQ$5),1))+IF(AU674="",0,IFERROR(--(EOMONTH(AU674,0)&lt;&gt;AT$5),1))+IF(AX674="",0,IFERROR(--(EOMONTH(AX674,0)&lt;&gt;AW$5),1))+IF(BA674="",0,IFERROR(--(EOMONTH(BA674,0)&lt;&gt;AZ$5),1)))&gt;0,"; An invoice date is not in the month it is typed under",""),3,500))</f>
        <v/>
      </c>
      <c r="S674" s="12" t="n"/>
      <c r="T674" s="13" t="n"/>
      <c r="U674" s="14" t="n"/>
      <c r="V674" s="12" t="n"/>
      <c r="W674" s="13" t="n"/>
      <c r="X674" s="14" t="n"/>
      <c r="Y674" s="12" t="n"/>
      <c r="Z674" s="13" t="n"/>
      <c r="AA674" s="14" t="n"/>
      <c r="AB674" s="12" t="n"/>
      <c r="AC674" s="13" t="n"/>
      <c r="AD674" s="14" t="n"/>
      <c r="AE674" s="12" t="n"/>
      <c r="AF674" s="13" t="n"/>
      <c r="AG674" s="14" t="n"/>
      <c r="AH674" s="12" t="n"/>
      <c r="AI674" s="13" t="n"/>
      <c r="AJ674" s="14" t="n"/>
      <c r="AK674" s="12" t="n"/>
      <c r="AL674" s="13" t="n"/>
      <c r="AM674" s="14" t="n"/>
      <c r="AN674" s="12" t="n"/>
      <c r="AO674" s="13" t="n"/>
      <c r="AP674" s="14" t="n"/>
      <c r="AQ674" s="12" t="n"/>
      <c r="AR674" s="13" t="n"/>
      <c r="AS674" s="14" t="n"/>
      <c r="AT674" s="12" t="n"/>
      <c r="AU674" s="13" t="n"/>
      <c r="AV674" s="14" t="n"/>
      <c r="AW674" s="12" t="n"/>
      <c r="AX674" s="13" t="n"/>
      <c r="AY674" s="14" t="n"/>
      <c r="AZ674" s="12" t="n"/>
      <c r="BA674" s="13" t="n"/>
      <c r="BB674" s="14" t="n"/>
      <c r="BC674" s="11">
        <f>IF(O674="","",IF(J674="GST 10%",ROUND(O674*set_GSTRate,2),0))</f>
        <v/>
      </c>
      <c r="BD674" s="11">
        <f>IF(O674="","",O674+BC674)</f>
        <v/>
      </c>
      <c r="BE674" s="15">
        <f>IF(O674="","",COUNTA(S674,V674,Y674,AB674,AE674,AH674,AK674,AN674,AQ674,AT674,AW674,AZ674))</f>
        <v/>
      </c>
      <c r="BF674" s="16">
        <f>IF(COUNT(T674,W674,Z674,AC674,AF674,AI674,AL674,AO674,AR674,AU674,AX674,BA674)=0,"",MAX(T674,W674,Z674,AC674,AF674,AI674,AL674,AO674,AR674,AU674,AX674,BA674))</f>
        <v/>
      </c>
      <c r="BG674" s="10">
        <f>MID(IF(S674="","",", "&amp;S674)&amp;IF(V674="","",", "&amp;V674)&amp;IF(Y674="","",", "&amp;Y674)&amp;IF(AB674="","",", "&amp;AB674)&amp;IF(AE674="","",", "&amp;AE674)&amp;IF(AH674="","",", "&amp;AH674)&amp;IF(AK674="","",", "&amp;AK674)&amp;IF(AN674="","",", "&amp;AN674)&amp;IF(AQ674="","",", "&amp;AQ674)&amp;IF(AT674="","",", "&amp;AT674)&amp;IF(AW674="","",", "&amp;AW674)&amp;IF(AZ674="","",", "&amp;AZ674),3,500)</f>
        <v/>
      </c>
      <c r="BH674" s="12" t="n"/>
      <c r="BI674" s="15">
        <f>IFERROR(MATCH($A674,IF($B674="Onsite",tbl_Onsite[Row ID],IF($B674="Production",tbl_Production[Row ID],tbl_Consulting[Row ID])),0),"")</f>
        <v/>
      </c>
    </row>
    <row r="675">
      <c r="A675" s="10" t="inlineStr">
        <is>
          <t>PRD-0169</t>
        </is>
      </c>
      <c r="B675" s="10" t="inlineStr">
        <is>
          <t>Production</t>
        </is>
      </c>
      <c r="C675" s="10">
        <f>IF($BI675="","",IF($B675="Onsite",INDEX(tbl_Onsite[Job Number],$BI675),IF($B675="Production",INDEX(tbl_Production[Job Number],$BI675),INDEX(tbl_Consulting[Job Number],$BI675)))&amp;"")</f>
        <v/>
      </c>
      <c r="D675" s="10">
        <f>IF($BI675="","",IF($B675="Onsite",INDEX(tbl_Onsite[Client],$BI675),IF($B675="Production",INDEX(tbl_Production[Client],$BI675),INDEX(tbl_Consulting[Client],$BI675)))&amp;"")</f>
        <v/>
      </c>
      <c r="E675" s="10">
        <f>IF($C675="","",IF(COUNTIF(lst_Jobs,$C675)&gt;0,"OK","CHECK"))</f>
        <v/>
      </c>
      <c r="F675" s="10">
        <f>IF($C675="","",IFERROR(INDEX(lst_JobName,MATCH($C675,lst_Jobs,0)),""))</f>
        <v/>
      </c>
      <c r="G675" s="10">
        <f>IF($BI675="","",IF($B675="Onsite",INDEX(tbl_Onsite[Job Description],$BI675),IF($B675="Production",INDEX(tbl_Production[Job Description],$BI675),INDEX(tbl_Consulting[Job Description],$BI675)))&amp;"")</f>
        <v/>
      </c>
      <c r="H675" s="10">
        <f>IF($BI675="","",IF($B675="Onsite",INDEX(tbl_Onsite[Cost Centre],$BI675),IF($B675="Production",INDEX(tbl_Production[Cost Centre],$BI675),INDEX(tbl_Consulting[Cost Centre],$BI675)))&amp;"")</f>
        <v/>
      </c>
      <c r="I675" s="10">
        <f>IF($BI675="","",IF($B675="Onsite",INDEX(tbl_Onsite[Invoice Type],$BI675),IF($B675="Production",INDEX(tbl_Production[Invoice Type],$BI675),INDEX(tbl_Consulting[Invoice Type],$BI675)))&amp;"")</f>
        <v/>
      </c>
      <c r="J675" s="10">
        <f>IF($BI675="","",IF($B675="Onsite",INDEX(tbl_Onsite[Tax Code],$BI675),IF($B675="Production",INDEX(tbl_Production[Tax Code],$BI675),INDEX(tbl_Consulting[Tax Code],$BI675)))&amp;"")</f>
        <v/>
      </c>
      <c r="K675" s="10">
        <f>IF(H675="","",IFERROR(INDEX(lst_CCtoGL,MATCH(H675,lst_CCforGL,0)),""))</f>
        <v/>
      </c>
      <c r="L675" s="10">
        <f>IF($BI675="","",IF($B675="Onsite",INDEX(tbl_Onsite[PO / Reference],$BI675),IF($B675="Production",INDEX(tbl_Production[Current RMS No],$BI675),INDEX(tbl_Consulting[Qwilr Quote],$BI675)))&amp;"")</f>
        <v/>
      </c>
      <c r="M675" s="10">
        <f>IF($BI675="","",IF($B675="Onsite",INDEX(tbl_Onsite[Notes],$BI675),IF($B675="Production",INDEX(tbl_Production[Notes],$BI675),INDEX(tbl_Consulting[Notes],$BI675)))&amp;"")</f>
        <v/>
      </c>
      <c r="N675" s="11">
        <f>IF($BI675="","",IF(IF($B675="Onsite",INDEX(tbl_Onsite[Expected Revenue Ex GST],$BI675),IF($B675="Production",INDEX(tbl_Production[Expected Revenue Ex GST],$BI675),INDEX(tbl_Consulting[Expected Revenue Ex GST],$BI675)))="","",IF($B675="Onsite",INDEX(tbl_Onsite[Expected Revenue Ex GST],$BI675),IF($B675="Production",INDEX(tbl_Production[Expected Revenue Ex GST],$BI675),INDEX(tbl_Consulting[Expected Revenue Ex GST],$BI675)))))</f>
        <v/>
      </c>
      <c r="O675" s="11">
        <f>IF(AND($C675="",NOT(COUNTA($S675:$BB675)&gt;0)),"",SUM(U675,X675,AA675,AD675,AG675,AJ675,AM675,AP675,AS675,AV675,AY675,BB675))</f>
        <v/>
      </c>
      <c r="P675" s="11">
        <f>IF(O675="","",N(N675)-O675)</f>
        <v/>
      </c>
      <c r="Q675" s="10">
        <f>IF(O675="","",IF($C675="","Invoice on empty job row",IF(N675="",IF(ROUND(O675,2)=0,"No dept value","Invoiced - no dept value"),IF(ROUND(O675,2)=0,"Not invoiced - to invoice",IF(ROUND(P675,2)=0,"Agrees",IF(P675&gt;0,"Dept higher - to invoice","Xero higher - check dept"))))))</f>
        <v/>
      </c>
      <c r="R675" s="10">
        <f>IF(AND($C675="",NOT(COUNTA($S675:$BB675)&gt;0),$BI675&lt;&gt;""),"",MID(IF($BI675="","; Row ID not found on the department sheet - a row was deleted","")&amp;IF(AND($C675="",COUNTA($S675:$BB675)&gt;0),"; Invoice entered but the department row has no job number","")&amp;IF(E675="CHECK","; Job number not in the Xero job list","")&amp;IF(AND($C675&lt;&gt;"",COUNTIF($C$7:$C$1506,$C675)&gt;1),"; Job number on more than one row","")&amp;IF(AND($C675&lt;&gt;"",H675=""),"; Dept has not set a cost centre","")&amp;IF(AND($C675&lt;&gt;"",J675=""),"; Dept has not set a tax code","")&amp;IF(AND($C675&lt;&gt;"",N675=""),"; Dept has not entered an expected value","")&amp;IF((IF(OR(COUNTA(S675:U675)=0,AND(COUNTA(S675:U675)=3,ISNUMBER(U675))),0,1)+IF(OR(COUNTA(V675:X675)=0,AND(COUNTA(V675:X675)=3,ISNUMBER(X675))),0,1)+IF(OR(COUNTA(Y675:AA675)=0,AND(COUNTA(Y675:AA675)=3,ISNUMBER(AA675))),0,1)+IF(OR(COUNTA(AB675:AD675)=0,AND(COUNTA(AB675:AD675)=3,ISNUMBER(AD675))),0,1)+IF(OR(COUNTA(AE675:AG675)=0,AND(COUNTA(AE675:AG675)=3,ISNUMBER(AG675))),0,1)+IF(OR(COUNTA(AH675:AJ675)=0,AND(COUNTA(AH675:AJ675)=3,ISNUMBER(AJ675))),0,1)+IF(OR(COUNTA(AK675:AM675)=0,AND(COUNTA(AK675:AM675)=3,ISNUMBER(AM675))),0,1)+IF(OR(COUNTA(AN675:AP675)=0,AND(COUNTA(AN675:AP675)=3,ISNUMBER(AP675))),0,1)+IF(OR(COUNTA(AQ675:AS675)=0,AND(COUNTA(AQ675:AS675)=3,ISNUMBER(AS675))),0,1)+IF(OR(COUNTA(AT675:AV675)=0,AND(COUNTA(AT675:AV675)=3,ISNUMBER(AV675))),0,1)+IF(OR(COUNTA(AW675:AY675)=0,AND(COUNTA(AW675:AY675)=3,ISNUMBER(AY675))),0,1)+IF(OR(COUNTA(AZ675:BB675)=0,AND(COUNTA(AZ675:BB675)=3,ISNUMBER(BB675))),0,1))&gt;0,"; An invoice is incomplete (needs No, Date and a number in Ex GST)","")&amp;IF((IF(T675="",0,IFERROR(--(EOMONTH(T675,0)&lt;&gt;S$5),1))+IF(W675="",0,IFERROR(--(EOMONTH(W675,0)&lt;&gt;V$5),1))+IF(Z675="",0,IFERROR(--(EOMONTH(Z675,0)&lt;&gt;Y$5),1))+IF(AC675="",0,IFERROR(--(EOMONTH(AC675,0)&lt;&gt;AB$5),1))+IF(AF675="",0,IFERROR(--(EOMONTH(AF675,0)&lt;&gt;AE$5),1))+IF(AI675="",0,IFERROR(--(EOMONTH(AI675,0)&lt;&gt;AH$5),1))+IF(AL675="",0,IFERROR(--(EOMONTH(AL675,0)&lt;&gt;AK$5),1))+IF(AO675="",0,IFERROR(--(EOMONTH(AO675,0)&lt;&gt;AN$5),1))+IF(AR675="",0,IFERROR(--(EOMONTH(AR675,0)&lt;&gt;AQ$5),1))+IF(AU675="",0,IFERROR(--(EOMONTH(AU675,0)&lt;&gt;AT$5),1))+IF(AX675="",0,IFERROR(--(EOMONTH(AX675,0)&lt;&gt;AW$5),1))+IF(BA675="",0,IFERROR(--(EOMONTH(BA675,0)&lt;&gt;AZ$5),1)))&gt;0,"; An invoice date is not in the month it is typed under",""),3,500))</f>
        <v/>
      </c>
      <c r="S675" s="12" t="n"/>
      <c r="T675" s="13" t="n"/>
      <c r="U675" s="14" t="n"/>
      <c r="V675" s="12" t="n"/>
      <c r="W675" s="13" t="n"/>
      <c r="X675" s="14" t="n"/>
      <c r="Y675" s="12" t="n"/>
      <c r="Z675" s="13" t="n"/>
      <c r="AA675" s="14" t="n"/>
      <c r="AB675" s="12" t="n"/>
      <c r="AC675" s="13" t="n"/>
      <c r="AD675" s="14" t="n"/>
      <c r="AE675" s="12" t="n"/>
      <c r="AF675" s="13" t="n"/>
      <c r="AG675" s="14" t="n"/>
      <c r="AH675" s="12" t="n"/>
      <c r="AI675" s="13" t="n"/>
      <c r="AJ675" s="14" t="n"/>
      <c r="AK675" s="12" t="n"/>
      <c r="AL675" s="13" t="n"/>
      <c r="AM675" s="14" t="n"/>
      <c r="AN675" s="12" t="n"/>
      <c r="AO675" s="13" t="n"/>
      <c r="AP675" s="14" t="n"/>
      <c r="AQ675" s="12" t="n"/>
      <c r="AR675" s="13" t="n"/>
      <c r="AS675" s="14" t="n"/>
      <c r="AT675" s="12" t="n"/>
      <c r="AU675" s="13" t="n"/>
      <c r="AV675" s="14" t="n"/>
      <c r="AW675" s="12" t="n"/>
      <c r="AX675" s="13" t="n"/>
      <c r="AY675" s="14" t="n"/>
      <c r="AZ675" s="12" t="n"/>
      <c r="BA675" s="13" t="n"/>
      <c r="BB675" s="14" t="n"/>
      <c r="BC675" s="11">
        <f>IF(O675="","",IF(J675="GST 10%",ROUND(O675*set_GSTRate,2),0))</f>
        <v/>
      </c>
      <c r="BD675" s="11">
        <f>IF(O675="","",O675+BC675)</f>
        <v/>
      </c>
      <c r="BE675" s="15">
        <f>IF(O675="","",COUNTA(S675,V675,Y675,AB675,AE675,AH675,AK675,AN675,AQ675,AT675,AW675,AZ675))</f>
        <v/>
      </c>
      <c r="BF675" s="16">
        <f>IF(COUNT(T675,W675,Z675,AC675,AF675,AI675,AL675,AO675,AR675,AU675,AX675,BA675)=0,"",MAX(T675,W675,Z675,AC675,AF675,AI675,AL675,AO675,AR675,AU675,AX675,BA675))</f>
        <v/>
      </c>
      <c r="BG675" s="10">
        <f>MID(IF(S675="","",", "&amp;S675)&amp;IF(V675="","",", "&amp;V675)&amp;IF(Y675="","",", "&amp;Y675)&amp;IF(AB675="","",", "&amp;AB675)&amp;IF(AE675="","",", "&amp;AE675)&amp;IF(AH675="","",", "&amp;AH675)&amp;IF(AK675="","",", "&amp;AK675)&amp;IF(AN675="","",", "&amp;AN675)&amp;IF(AQ675="","",", "&amp;AQ675)&amp;IF(AT675="","",", "&amp;AT675)&amp;IF(AW675="","",", "&amp;AW675)&amp;IF(AZ675="","",", "&amp;AZ675),3,500)</f>
        <v/>
      </c>
      <c r="BH675" s="12" t="n"/>
      <c r="BI675" s="15">
        <f>IFERROR(MATCH($A675,IF($B675="Onsite",tbl_Onsite[Row ID],IF($B675="Production",tbl_Production[Row ID],tbl_Consulting[Row ID])),0),"")</f>
        <v/>
      </c>
    </row>
    <row r="676">
      <c r="A676" s="10" t="inlineStr">
        <is>
          <t>PRD-0170</t>
        </is>
      </c>
      <c r="B676" s="10" t="inlineStr">
        <is>
          <t>Production</t>
        </is>
      </c>
      <c r="C676" s="10">
        <f>IF($BI676="","",IF($B676="Onsite",INDEX(tbl_Onsite[Job Number],$BI676),IF($B676="Production",INDEX(tbl_Production[Job Number],$BI676),INDEX(tbl_Consulting[Job Number],$BI676)))&amp;"")</f>
        <v/>
      </c>
      <c r="D676" s="10">
        <f>IF($BI676="","",IF($B676="Onsite",INDEX(tbl_Onsite[Client],$BI676),IF($B676="Production",INDEX(tbl_Production[Client],$BI676),INDEX(tbl_Consulting[Client],$BI676)))&amp;"")</f>
        <v/>
      </c>
      <c r="E676" s="10">
        <f>IF($C676="","",IF(COUNTIF(lst_Jobs,$C676)&gt;0,"OK","CHECK"))</f>
        <v/>
      </c>
      <c r="F676" s="10">
        <f>IF($C676="","",IFERROR(INDEX(lst_JobName,MATCH($C676,lst_Jobs,0)),""))</f>
        <v/>
      </c>
      <c r="G676" s="10">
        <f>IF($BI676="","",IF($B676="Onsite",INDEX(tbl_Onsite[Job Description],$BI676),IF($B676="Production",INDEX(tbl_Production[Job Description],$BI676),INDEX(tbl_Consulting[Job Description],$BI676)))&amp;"")</f>
        <v/>
      </c>
      <c r="H676" s="10">
        <f>IF($BI676="","",IF($B676="Onsite",INDEX(tbl_Onsite[Cost Centre],$BI676),IF($B676="Production",INDEX(tbl_Production[Cost Centre],$BI676),INDEX(tbl_Consulting[Cost Centre],$BI676)))&amp;"")</f>
        <v/>
      </c>
      <c r="I676" s="10">
        <f>IF($BI676="","",IF($B676="Onsite",INDEX(tbl_Onsite[Invoice Type],$BI676),IF($B676="Production",INDEX(tbl_Production[Invoice Type],$BI676),INDEX(tbl_Consulting[Invoice Type],$BI676)))&amp;"")</f>
        <v/>
      </c>
      <c r="J676" s="10">
        <f>IF($BI676="","",IF($B676="Onsite",INDEX(tbl_Onsite[Tax Code],$BI676),IF($B676="Production",INDEX(tbl_Production[Tax Code],$BI676),INDEX(tbl_Consulting[Tax Code],$BI676)))&amp;"")</f>
        <v/>
      </c>
      <c r="K676" s="10">
        <f>IF(H676="","",IFERROR(INDEX(lst_CCtoGL,MATCH(H676,lst_CCforGL,0)),""))</f>
        <v/>
      </c>
      <c r="L676" s="10">
        <f>IF($BI676="","",IF($B676="Onsite",INDEX(tbl_Onsite[PO / Reference],$BI676),IF($B676="Production",INDEX(tbl_Production[Current RMS No],$BI676),INDEX(tbl_Consulting[Qwilr Quote],$BI676)))&amp;"")</f>
        <v/>
      </c>
      <c r="M676" s="10">
        <f>IF($BI676="","",IF($B676="Onsite",INDEX(tbl_Onsite[Notes],$BI676),IF($B676="Production",INDEX(tbl_Production[Notes],$BI676),INDEX(tbl_Consulting[Notes],$BI676)))&amp;"")</f>
        <v/>
      </c>
      <c r="N676" s="11">
        <f>IF($BI676="","",IF(IF($B676="Onsite",INDEX(tbl_Onsite[Expected Revenue Ex GST],$BI676),IF($B676="Production",INDEX(tbl_Production[Expected Revenue Ex GST],$BI676),INDEX(tbl_Consulting[Expected Revenue Ex GST],$BI676)))="","",IF($B676="Onsite",INDEX(tbl_Onsite[Expected Revenue Ex GST],$BI676),IF($B676="Production",INDEX(tbl_Production[Expected Revenue Ex GST],$BI676),INDEX(tbl_Consulting[Expected Revenue Ex GST],$BI676)))))</f>
        <v/>
      </c>
      <c r="O676" s="11">
        <f>IF(AND($C676="",NOT(COUNTA($S676:$BB676)&gt;0)),"",SUM(U676,X676,AA676,AD676,AG676,AJ676,AM676,AP676,AS676,AV676,AY676,BB676))</f>
        <v/>
      </c>
      <c r="P676" s="11">
        <f>IF(O676="","",N(N676)-O676)</f>
        <v/>
      </c>
      <c r="Q676" s="10">
        <f>IF(O676="","",IF($C676="","Invoice on empty job row",IF(N676="",IF(ROUND(O676,2)=0,"No dept value","Invoiced - no dept value"),IF(ROUND(O676,2)=0,"Not invoiced - to invoice",IF(ROUND(P676,2)=0,"Agrees",IF(P676&gt;0,"Dept higher - to invoice","Xero higher - check dept"))))))</f>
        <v/>
      </c>
      <c r="R676" s="10">
        <f>IF(AND($C676="",NOT(COUNTA($S676:$BB676)&gt;0),$BI676&lt;&gt;""),"",MID(IF($BI676="","; Row ID not found on the department sheet - a row was deleted","")&amp;IF(AND($C676="",COUNTA($S676:$BB676)&gt;0),"; Invoice entered but the department row has no job number","")&amp;IF(E676="CHECK","; Job number not in the Xero job list","")&amp;IF(AND($C676&lt;&gt;"",COUNTIF($C$7:$C$1506,$C676)&gt;1),"; Job number on more than one row","")&amp;IF(AND($C676&lt;&gt;"",H676=""),"; Dept has not set a cost centre","")&amp;IF(AND($C676&lt;&gt;"",J676=""),"; Dept has not set a tax code","")&amp;IF(AND($C676&lt;&gt;"",N676=""),"; Dept has not entered an expected value","")&amp;IF((IF(OR(COUNTA(S676:U676)=0,AND(COUNTA(S676:U676)=3,ISNUMBER(U676))),0,1)+IF(OR(COUNTA(V676:X676)=0,AND(COUNTA(V676:X676)=3,ISNUMBER(X676))),0,1)+IF(OR(COUNTA(Y676:AA676)=0,AND(COUNTA(Y676:AA676)=3,ISNUMBER(AA676))),0,1)+IF(OR(COUNTA(AB676:AD676)=0,AND(COUNTA(AB676:AD676)=3,ISNUMBER(AD676))),0,1)+IF(OR(COUNTA(AE676:AG676)=0,AND(COUNTA(AE676:AG676)=3,ISNUMBER(AG676))),0,1)+IF(OR(COUNTA(AH676:AJ676)=0,AND(COUNTA(AH676:AJ676)=3,ISNUMBER(AJ676))),0,1)+IF(OR(COUNTA(AK676:AM676)=0,AND(COUNTA(AK676:AM676)=3,ISNUMBER(AM676))),0,1)+IF(OR(COUNTA(AN676:AP676)=0,AND(COUNTA(AN676:AP676)=3,ISNUMBER(AP676))),0,1)+IF(OR(COUNTA(AQ676:AS676)=0,AND(COUNTA(AQ676:AS676)=3,ISNUMBER(AS676))),0,1)+IF(OR(COUNTA(AT676:AV676)=0,AND(COUNTA(AT676:AV676)=3,ISNUMBER(AV676))),0,1)+IF(OR(COUNTA(AW676:AY676)=0,AND(COUNTA(AW676:AY676)=3,ISNUMBER(AY676))),0,1)+IF(OR(COUNTA(AZ676:BB676)=0,AND(COUNTA(AZ676:BB676)=3,ISNUMBER(BB676))),0,1))&gt;0,"; An invoice is incomplete (needs No, Date and a number in Ex GST)","")&amp;IF((IF(T676="",0,IFERROR(--(EOMONTH(T676,0)&lt;&gt;S$5),1))+IF(W676="",0,IFERROR(--(EOMONTH(W676,0)&lt;&gt;V$5),1))+IF(Z676="",0,IFERROR(--(EOMONTH(Z676,0)&lt;&gt;Y$5),1))+IF(AC676="",0,IFERROR(--(EOMONTH(AC676,0)&lt;&gt;AB$5),1))+IF(AF676="",0,IFERROR(--(EOMONTH(AF676,0)&lt;&gt;AE$5),1))+IF(AI676="",0,IFERROR(--(EOMONTH(AI676,0)&lt;&gt;AH$5),1))+IF(AL676="",0,IFERROR(--(EOMONTH(AL676,0)&lt;&gt;AK$5),1))+IF(AO676="",0,IFERROR(--(EOMONTH(AO676,0)&lt;&gt;AN$5),1))+IF(AR676="",0,IFERROR(--(EOMONTH(AR676,0)&lt;&gt;AQ$5),1))+IF(AU676="",0,IFERROR(--(EOMONTH(AU676,0)&lt;&gt;AT$5),1))+IF(AX676="",0,IFERROR(--(EOMONTH(AX676,0)&lt;&gt;AW$5),1))+IF(BA676="",0,IFERROR(--(EOMONTH(BA676,0)&lt;&gt;AZ$5),1)))&gt;0,"; An invoice date is not in the month it is typed under",""),3,500))</f>
        <v/>
      </c>
      <c r="S676" s="12" t="n"/>
      <c r="T676" s="13" t="n"/>
      <c r="U676" s="14" t="n"/>
      <c r="V676" s="12" t="n"/>
      <c r="W676" s="13" t="n"/>
      <c r="X676" s="14" t="n"/>
      <c r="Y676" s="12" t="n"/>
      <c r="Z676" s="13" t="n"/>
      <c r="AA676" s="14" t="n"/>
      <c r="AB676" s="12" t="n"/>
      <c r="AC676" s="13" t="n"/>
      <c r="AD676" s="14" t="n"/>
      <c r="AE676" s="12" t="n"/>
      <c r="AF676" s="13" t="n"/>
      <c r="AG676" s="14" t="n"/>
      <c r="AH676" s="12" t="n"/>
      <c r="AI676" s="13" t="n"/>
      <c r="AJ676" s="14" t="n"/>
      <c r="AK676" s="12" t="n"/>
      <c r="AL676" s="13" t="n"/>
      <c r="AM676" s="14" t="n"/>
      <c r="AN676" s="12" t="n"/>
      <c r="AO676" s="13" t="n"/>
      <c r="AP676" s="14" t="n"/>
      <c r="AQ676" s="12" t="n"/>
      <c r="AR676" s="13" t="n"/>
      <c r="AS676" s="14" t="n"/>
      <c r="AT676" s="12" t="n"/>
      <c r="AU676" s="13" t="n"/>
      <c r="AV676" s="14" t="n"/>
      <c r="AW676" s="12" t="n"/>
      <c r="AX676" s="13" t="n"/>
      <c r="AY676" s="14" t="n"/>
      <c r="AZ676" s="12" t="n"/>
      <c r="BA676" s="13" t="n"/>
      <c r="BB676" s="14" t="n"/>
      <c r="BC676" s="11">
        <f>IF(O676="","",IF(J676="GST 10%",ROUND(O676*set_GSTRate,2),0))</f>
        <v/>
      </c>
      <c r="BD676" s="11">
        <f>IF(O676="","",O676+BC676)</f>
        <v/>
      </c>
      <c r="BE676" s="15">
        <f>IF(O676="","",COUNTA(S676,V676,Y676,AB676,AE676,AH676,AK676,AN676,AQ676,AT676,AW676,AZ676))</f>
        <v/>
      </c>
      <c r="BF676" s="16">
        <f>IF(COUNT(T676,W676,Z676,AC676,AF676,AI676,AL676,AO676,AR676,AU676,AX676,BA676)=0,"",MAX(T676,W676,Z676,AC676,AF676,AI676,AL676,AO676,AR676,AU676,AX676,BA676))</f>
        <v/>
      </c>
      <c r="BG676" s="10">
        <f>MID(IF(S676="","",", "&amp;S676)&amp;IF(V676="","",", "&amp;V676)&amp;IF(Y676="","",", "&amp;Y676)&amp;IF(AB676="","",", "&amp;AB676)&amp;IF(AE676="","",", "&amp;AE676)&amp;IF(AH676="","",", "&amp;AH676)&amp;IF(AK676="","",", "&amp;AK676)&amp;IF(AN676="","",", "&amp;AN676)&amp;IF(AQ676="","",", "&amp;AQ676)&amp;IF(AT676="","",", "&amp;AT676)&amp;IF(AW676="","",", "&amp;AW676)&amp;IF(AZ676="","",", "&amp;AZ676),3,500)</f>
        <v/>
      </c>
      <c r="BH676" s="12" t="n"/>
      <c r="BI676" s="15">
        <f>IFERROR(MATCH($A676,IF($B676="Onsite",tbl_Onsite[Row ID],IF($B676="Production",tbl_Production[Row ID],tbl_Consulting[Row ID])),0),"")</f>
        <v/>
      </c>
    </row>
    <row r="677">
      <c r="A677" s="10" t="inlineStr">
        <is>
          <t>PRD-0171</t>
        </is>
      </c>
      <c r="B677" s="10" t="inlineStr">
        <is>
          <t>Production</t>
        </is>
      </c>
      <c r="C677" s="10">
        <f>IF($BI677="","",IF($B677="Onsite",INDEX(tbl_Onsite[Job Number],$BI677),IF($B677="Production",INDEX(tbl_Production[Job Number],$BI677),INDEX(tbl_Consulting[Job Number],$BI677)))&amp;"")</f>
        <v/>
      </c>
      <c r="D677" s="10">
        <f>IF($BI677="","",IF($B677="Onsite",INDEX(tbl_Onsite[Client],$BI677),IF($B677="Production",INDEX(tbl_Production[Client],$BI677),INDEX(tbl_Consulting[Client],$BI677)))&amp;"")</f>
        <v/>
      </c>
      <c r="E677" s="10">
        <f>IF($C677="","",IF(COUNTIF(lst_Jobs,$C677)&gt;0,"OK","CHECK"))</f>
        <v/>
      </c>
      <c r="F677" s="10">
        <f>IF($C677="","",IFERROR(INDEX(lst_JobName,MATCH($C677,lst_Jobs,0)),""))</f>
        <v/>
      </c>
      <c r="G677" s="10">
        <f>IF($BI677="","",IF($B677="Onsite",INDEX(tbl_Onsite[Job Description],$BI677),IF($B677="Production",INDEX(tbl_Production[Job Description],$BI677),INDEX(tbl_Consulting[Job Description],$BI677)))&amp;"")</f>
        <v/>
      </c>
      <c r="H677" s="10">
        <f>IF($BI677="","",IF($B677="Onsite",INDEX(tbl_Onsite[Cost Centre],$BI677),IF($B677="Production",INDEX(tbl_Production[Cost Centre],$BI677),INDEX(tbl_Consulting[Cost Centre],$BI677)))&amp;"")</f>
        <v/>
      </c>
      <c r="I677" s="10">
        <f>IF($BI677="","",IF($B677="Onsite",INDEX(tbl_Onsite[Invoice Type],$BI677),IF($B677="Production",INDEX(tbl_Production[Invoice Type],$BI677),INDEX(tbl_Consulting[Invoice Type],$BI677)))&amp;"")</f>
        <v/>
      </c>
      <c r="J677" s="10">
        <f>IF($BI677="","",IF($B677="Onsite",INDEX(tbl_Onsite[Tax Code],$BI677),IF($B677="Production",INDEX(tbl_Production[Tax Code],$BI677),INDEX(tbl_Consulting[Tax Code],$BI677)))&amp;"")</f>
        <v/>
      </c>
      <c r="K677" s="10">
        <f>IF(H677="","",IFERROR(INDEX(lst_CCtoGL,MATCH(H677,lst_CCforGL,0)),""))</f>
        <v/>
      </c>
      <c r="L677" s="10">
        <f>IF($BI677="","",IF($B677="Onsite",INDEX(tbl_Onsite[PO / Reference],$BI677),IF($B677="Production",INDEX(tbl_Production[Current RMS No],$BI677),INDEX(tbl_Consulting[Qwilr Quote],$BI677)))&amp;"")</f>
        <v/>
      </c>
      <c r="M677" s="10">
        <f>IF($BI677="","",IF($B677="Onsite",INDEX(tbl_Onsite[Notes],$BI677),IF($B677="Production",INDEX(tbl_Production[Notes],$BI677),INDEX(tbl_Consulting[Notes],$BI677)))&amp;"")</f>
        <v/>
      </c>
      <c r="N677" s="11">
        <f>IF($BI677="","",IF(IF($B677="Onsite",INDEX(tbl_Onsite[Expected Revenue Ex GST],$BI677),IF($B677="Production",INDEX(tbl_Production[Expected Revenue Ex GST],$BI677),INDEX(tbl_Consulting[Expected Revenue Ex GST],$BI677)))="","",IF($B677="Onsite",INDEX(tbl_Onsite[Expected Revenue Ex GST],$BI677),IF($B677="Production",INDEX(tbl_Production[Expected Revenue Ex GST],$BI677),INDEX(tbl_Consulting[Expected Revenue Ex GST],$BI677)))))</f>
        <v/>
      </c>
      <c r="O677" s="11">
        <f>IF(AND($C677="",NOT(COUNTA($S677:$BB677)&gt;0)),"",SUM(U677,X677,AA677,AD677,AG677,AJ677,AM677,AP677,AS677,AV677,AY677,BB677))</f>
        <v/>
      </c>
      <c r="P677" s="11">
        <f>IF(O677="","",N(N677)-O677)</f>
        <v/>
      </c>
      <c r="Q677" s="10">
        <f>IF(O677="","",IF($C677="","Invoice on empty job row",IF(N677="",IF(ROUND(O677,2)=0,"No dept value","Invoiced - no dept value"),IF(ROUND(O677,2)=0,"Not invoiced - to invoice",IF(ROUND(P677,2)=0,"Agrees",IF(P677&gt;0,"Dept higher - to invoice","Xero higher - check dept"))))))</f>
        <v/>
      </c>
      <c r="R677" s="10">
        <f>IF(AND($C677="",NOT(COUNTA($S677:$BB677)&gt;0),$BI677&lt;&gt;""),"",MID(IF($BI677="","; Row ID not found on the department sheet - a row was deleted","")&amp;IF(AND($C677="",COUNTA($S677:$BB677)&gt;0),"; Invoice entered but the department row has no job number","")&amp;IF(E677="CHECK","; Job number not in the Xero job list","")&amp;IF(AND($C677&lt;&gt;"",COUNTIF($C$7:$C$1506,$C677)&gt;1),"; Job number on more than one row","")&amp;IF(AND($C677&lt;&gt;"",H677=""),"; Dept has not set a cost centre","")&amp;IF(AND($C677&lt;&gt;"",J677=""),"; Dept has not set a tax code","")&amp;IF(AND($C677&lt;&gt;"",N677=""),"; Dept has not entered an expected value","")&amp;IF((IF(OR(COUNTA(S677:U677)=0,AND(COUNTA(S677:U677)=3,ISNUMBER(U677))),0,1)+IF(OR(COUNTA(V677:X677)=0,AND(COUNTA(V677:X677)=3,ISNUMBER(X677))),0,1)+IF(OR(COUNTA(Y677:AA677)=0,AND(COUNTA(Y677:AA677)=3,ISNUMBER(AA677))),0,1)+IF(OR(COUNTA(AB677:AD677)=0,AND(COUNTA(AB677:AD677)=3,ISNUMBER(AD677))),0,1)+IF(OR(COUNTA(AE677:AG677)=0,AND(COUNTA(AE677:AG677)=3,ISNUMBER(AG677))),0,1)+IF(OR(COUNTA(AH677:AJ677)=0,AND(COUNTA(AH677:AJ677)=3,ISNUMBER(AJ677))),0,1)+IF(OR(COUNTA(AK677:AM677)=0,AND(COUNTA(AK677:AM677)=3,ISNUMBER(AM677))),0,1)+IF(OR(COUNTA(AN677:AP677)=0,AND(COUNTA(AN677:AP677)=3,ISNUMBER(AP677))),0,1)+IF(OR(COUNTA(AQ677:AS677)=0,AND(COUNTA(AQ677:AS677)=3,ISNUMBER(AS677))),0,1)+IF(OR(COUNTA(AT677:AV677)=0,AND(COUNTA(AT677:AV677)=3,ISNUMBER(AV677))),0,1)+IF(OR(COUNTA(AW677:AY677)=0,AND(COUNTA(AW677:AY677)=3,ISNUMBER(AY677))),0,1)+IF(OR(COUNTA(AZ677:BB677)=0,AND(COUNTA(AZ677:BB677)=3,ISNUMBER(BB677))),0,1))&gt;0,"; An invoice is incomplete (needs No, Date and a number in Ex GST)","")&amp;IF((IF(T677="",0,IFERROR(--(EOMONTH(T677,0)&lt;&gt;S$5),1))+IF(W677="",0,IFERROR(--(EOMONTH(W677,0)&lt;&gt;V$5),1))+IF(Z677="",0,IFERROR(--(EOMONTH(Z677,0)&lt;&gt;Y$5),1))+IF(AC677="",0,IFERROR(--(EOMONTH(AC677,0)&lt;&gt;AB$5),1))+IF(AF677="",0,IFERROR(--(EOMONTH(AF677,0)&lt;&gt;AE$5),1))+IF(AI677="",0,IFERROR(--(EOMONTH(AI677,0)&lt;&gt;AH$5),1))+IF(AL677="",0,IFERROR(--(EOMONTH(AL677,0)&lt;&gt;AK$5),1))+IF(AO677="",0,IFERROR(--(EOMONTH(AO677,0)&lt;&gt;AN$5),1))+IF(AR677="",0,IFERROR(--(EOMONTH(AR677,0)&lt;&gt;AQ$5),1))+IF(AU677="",0,IFERROR(--(EOMONTH(AU677,0)&lt;&gt;AT$5),1))+IF(AX677="",0,IFERROR(--(EOMONTH(AX677,0)&lt;&gt;AW$5),1))+IF(BA677="",0,IFERROR(--(EOMONTH(BA677,0)&lt;&gt;AZ$5),1)))&gt;0,"; An invoice date is not in the month it is typed under",""),3,500))</f>
        <v/>
      </c>
      <c r="S677" s="12" t="n"/>
      <c r="T677" s="13" t="n"/>
      <c r="U677" s="14" t="n"/>
      <c r="V677" s="12" t="n"/>
      <c r="W677" s="13" t="n"/>
      <c r="X677" s="14" t="n"/>
      <c r="Y677" s="12" t="n"/>
      <c r="Z677" s="13" t="n"/>
      <c r="AA677" s="14" t="n"/>
      <c r="AB677" s="12" t="n"/>
      <c r="AC677" s="13" t="n"/>
      <c r="AD677" s="14" t="n"/>
      <c r="AE677" s="12" t="n"/>
      <c r="AF677" s="13" t="n"/>
      <c r="AG677" s="14" t="n"/>
      <c r="AH677" s="12" t="n"/>
      <c r="AI677" s="13" t="n"/>
      <c r="AJ677" s="14" t="n"/>
      <c r="AK677" s="12" t="n"/>
      <c r="AL677" s="13" t="n"/>
      <c r="AM677" s="14" t="n"/>
      <c r="AN677" s="12" t="n"/>
      <c r="AO677" s="13" t="n"/>
      <c r="AP677" s="14" t="n"/>
      <c r="AQ677" s="12" t="n"/>
      <c r="AR677" s="13" t="n"/>
      <c r="AS677" s="14" t="n"/>
      <c r="AT677" s="12" t="n"/>
      <c r="AU677" s="13" t="n"/>
      <c r="AV677" s="14" t="n"/>
      <c r="AW677" s="12" t="n"/>
      <c r="AX677" s="13" t="n"/>
      <c r="AY677" s="14" t="n"/>
      <c r="AZ677" s="12" t="n"/>
      <c r="BA677" s="13" t="n"/>
      <c r="BB677" s="14" t="n"/>
      <c r="BC677" s="11">
        <f>IF(O677="","",IF(J677="GST 10%",ROUND(O677*set_GSTRate,2),0))</f>
        <v/>
      </c>
      <c r="BD677" s="11">
        <f>IF(O677="","",O677+BC677)</f>
        <v/>
      </c>
      <c r="BE677" s="15">
        <f>IF(O677="","",COUNTA(S677,V677,Y677,AB677,AE677,AH677,AK677,AN677,AQ677,AT677,AW677,AZ677))</f>
        <v/>
      </c>
      <c r="BF677" s="16">
        <f>IF(COUNT(T677,W677,Z677,AC677,AF677,AI677,AL677,AO677,AR677,AU677,AX677,BA677)=0,"",MAX(T677,W677,Z677,AC677,AF677,AI677,AL677,AO677,AR677,AU677,AX677,BA677))</f>
        <v/>
      </c>
      <c r="BG677" s="10">
        <f>MID(IF(S677="","",", "&amp;S677)&amp;IF(V677="","",", "&amp;V677)&amp;IF(Y677="","",", "&amp;Y677)&amp;IF(AB677="","",", "&amp;AB677)&amp;IF(AE677="","",", "&amp;AE677)&amp;IF(AH677="","",", "&amp;AH677)&amp;IF(AK677="","",", "&amp;AK677)&amp;IF(AN677="","",", "&amp;AN677)&amp;IF(AQ677="","",", "&amp;AQ677)&amp;IF(AT677="","",", "&amp;AT677)&amp;IF(AW677="","",", "&amp;AW677)&amp;IF(AZ677="","",", "&amp;AZ677),3,500)</f>
        <v/>
      </c>
      <c r="BH677" s="12" t="n"/>
      <c r="BI677" s="15">
        <f>IFERROR(MATCH($A677,IF($B677="Onsite",tbl_Onsite[Row ID],IF($B677="Production",tbl_Production[Row ID],tbl_Consulting[Row ID])),0),"")</f>
        <v/>
      </c>
    </row>
    <row r="678">
      <c r="A678" s="10" t="inlineStr">
        <is>
          <t>PRD-0172</t>
        </is>
      </c>
      <c r="B678" s="10" t="inlineStr">
        <is>
          <t>Production</t>
        </is>
      </c>
      <c r="C678" s="10">
        <f>IF($BI678="","",IF($B678="Onsite",INDEX(tbl_Onsite[Job Number],$BI678),IF($B678="Production",INDEX(tbl_Production[Job Number],$BI678),INDEX(tbl_Consulting[Job Number],$BI678)))&amp;"")</f>
        <v/>
      </c>
      <c r="D678" s="10">
        <f>IF($BI678="","",IF($B678="Onsite",INDEX(tbl_Onsite[Client],$BI678),IF($B678="Production",INDEX(tbl_Production[Client],$BI678),INDEX(tbl_Consulting[Client],$BI678)))&amp;"")</f>
        <v/>
      </c>
      <c r="E678" s="10">
        <f>IF($C678="","",IF(COUNTIF(lst_Jobs,$C678)&gt;0,"OK","CHECK"))</f>
        <v/>
      </c>
      <c r="F678" s="10">
        <f>IF($C678="","",IFERROR(INDEX(lst_JobName,MATCH($C678,lst_Jobs,0)),""))</f>
        <v/>
      </c>
      <c r="G678" s="10">
        <f>IF($BI678="","",IF($B678="Onsite",INDEX(tbl_Onsite[Job Description],$BI678),IF($B678="Production",INDEX(tbl_Production[Job Description],$BI678),INDEX(tbl_Consulting[Job Description],$BI678)))&amp;"")</f>
        <v/>
      </c>
      <c r="H678" s="10">
        <f>IF($BI678="","",IF($B678="Onsite",INDEX(tbl_Onsite[Cost Centre],$BI678),IF($B678="Production",INDEX(tbl_Production[Cost Centre],$BI678),INDEX(tbl_Consulting[Cost Centre],$BI678)))&amp;"")</f>
        <v/>
      </c>
      <c r="I678" s="10">
        <f>IF($BI678="","",IF($B678="Onsite",INDEX(tbl_Onsite[Invoice Type],$BI678),IF($B678="Production",INDEX(tbl_Production[Invoice Type],$BI678),INDEX(tbl_Consulting[Invoice Type],$BI678)))&amp;"")</f>
        <v/>
      </c>
      <c r="J678" s="10">
        <f>IF($BI678="","",IF($B678="Onsite",INDEX(tbl_Onsite[Tax Code],$BI678),IF($B678="Production",INDEX(tbl_Production[Tax Code],$BI678),INDEX(tbl_Consulting[Tax Code],$BI678)))&amp;"")</f>
        <v/>
      </c>
      <c r="K678" s="10">
        <f>IF(H678="","",IFERROR(INDEX(lst_CCtoGL,MATCH(H678,lst_CCforGL,0)),""))</f>
        <v/>
      </c>
      <c r="L678" s="10">
        <f>IF($BI678="","",IF($B678="Onsite",INDEX(tbl_Onsite[PO / Reference],$BI678),IF($B678="Production",INDEX(tbl_Production[Current RMS No],$BI678),INDEX(tbl_Consulting[Qwilr Quote],$BI678)))&amp;"")</f>
        <v/>
      </c>
      <c r="M678" s="10">
        <f>IF($BI678="","",IF($B678="Onsite",INDEX(tbl_Onsite[Notes],$BI678),IF($B678="Production",INDEX(tbl_Production[Notes],$BI678),INDEX(tbl_Consulting[Notes],$BI678)))&amp;"")</f>
        <v/>
      </c>
      <c r="N678" s="11">
        <f>IF($BI678="","",IF(IF($B678="Onsite",INDEX(tbl_Onsite[Expected Revenue Ex GST],$BI678),IF($B678="Production",INDEX(tbl_Production[Expected Revenue Ex GST],$BI678),INDEX(tbl_Consulting[Expected Revenue Ex GST],$BI678)))="","",IF($B678="Onsite",INDEX(tbl_Onsite[Expected Revenue Ex GST],$BI678),IF($B678="Production",INDEX(tbl_Production[Expected Revenue Ex GST],$BI678),INDEX(tbl_Consulting[Expected Revenue Ex GST],$BI678)))))</f>
        <v/>
      </c>
      <c r="O678" s="11">
        <f>IF(AND($C678="",NOT(COUNTA($S678:$BB678)&gt;0)),"",SUM(U678,X678,AA678,AD678,AG678,AJ678,AM678,AP678,AS678,AV678,AY678,BB678))</f>
        <v/>
      </c>
      <c r="P678" s="11">
        <f>IF(O678="","",N(N678)-O678)</f>
        <v/>
      </c>
      <c r="Q678" s="10">
        <f>IF(O678="","",IF($C678="","Invoice on empty job row",IF(N678="",IF(ROUND(O678,2)=0,"No dept value","Invoiced - no dept value"),IF(ROUND(O678,2)=0,"Not invoiced - to invoice",IF(ROUND(P678,2)=0,"Agrees",IF(P678&gt;0,"Dept higher - to invoice","Xero higher - check dept"))))))</f>
        <v/>
      </c>
      <c r="R678" s="10">
        <f>IF(AND($C678="",NOT(COUNTA($S678:$BB678)&gt;0),$BI678&lt;&gt;""),"",MID(IF($BI678="","; Row ID not found on the department sheet - a row was deleted","")&amp;IF(AND($C678="",COUNTA($S678:$BB678)&gt;0),"; Invoice entered but the department row has no job number","")&amp;IF(E678="CHECK","; Job number not in the Xero job list","")&amp;IF(AND($C678&lt;&gt;"",COUNTIF($C$7:$C$1506,$C678)&gt;1),"; Job number on more than one row","")&amp;IF(AND($C678&lt;&gt;"",H678=""),"; Dept has not set a cost centre","")&amp;IF(AND($C678&lt;&gt;"",J678=""),"; Dept has not set a tax code","")&amp;IF(AND($C678&lt;&gt;"",N678=""),"; Dept has not entered an expected value","")&amp;IF((IF(OR(COUNTA(S678:U678)=0,AND(COUNTA(S678:U678)=3,ISNUMBER(U678))),0,1)+IF(OR(COUNTA(V678:X678)=0,AND(COUNTA(V678:X678)=3,ISNUMBER(X678))),0,1)+IF(OR(COUNTA(Y678:AA678)=0,AND(COUNTA(Y678:AA678)=3,ISNUMBER(AA678))),0,1)+IF(OR(COUNTA(AB678:AD678)=0,AND(COUNTA(AB678:AD678)=3,ISNUMBER(AD678))),0,1)+IF(OR(COUNTA(AE678:AG678)=0,AND(COUNTA(AE678:AG678)=3,ISNUMBER(AG678))),0,1)+IF(OR(COUNTA(AH678:AJ678)=0,AND(COUNTA(AH678:AJ678)=3,ISNUMBER(AJ678))),0,1)+IF(OR(COUNTA(AK678:AM678)=0,AND(COUNTA(AK678:AM678)=3,ISNUMBER(AM678))),0,1)+IF(OR(COUNTA(AN678:AP678)=0,AND(COUNTA(AN678:AP678)=3,ISNUMBER(AP678))),0,1)+IF(OR(COUNTA(AQ678:AS678)=0,AND(COUNTA(AQ678:AS678)=3,ISNUMBER(AS678))),0,1)+IF(OR(COUNTA(AT678:AV678)=0,AND(COUNTA(AT678:AV678)=3,ISNUMBER(AV678))),0,1)+IF(OR(COUNTA(AW678:AY678)=0,AND(COUNTA(AW678:AY678)=3,ISNUMBER(AY678))),0,1)+IF(OR(COUNTA(AZ678:BB678)=0,AND(COUNTA(AZ678:BB678)=3,ISNUMBER(BB678))),0,1))&gt;0,"; An invoice is incomplete (needs No, Date and a number in Ex GST)","")&amp;IF((IF(T678="",0,IFERROR(--(EOMONTH(T678,0)&lt;&gt;S$5),1))+IF(W678="",0,IFERROR(--(EOMONTH(W678,0)&lt;&gt;V$5),1))+IF(Z678="",0,IFERROR(--(EOMONTH(Z678,0)&lt;&gt;Y$5),1))+IF(AC678="",0,IFERROR(--(EOMONTH(AC678,0)&lt;&gt;AB$5),1))+IF(AF678="",0,IFERROR(--(EOMONTH(AF678,0)&lt;&gt;AE$5),1))+IF(AI678="",0,IFERROR(--(EOMONTH(AI678,0)&lt;&gt;AH$5),1))+IF(AL678="",0,IFERROR(--(EOMONTH(AL678,0)&lt;&gt;AK$5),1))+IF(AO678="",0,IFERROR(--(EOMONTH(AO678,0)&lt;&gt;AN$5),1))+IF(AR678="",0,IFERROR(--(EOMONTH(AR678,0)&lt;&gt;AQ$5),1))+IF(AU678="",0,IFERROR(--(EOMONTH(AU678,0)&lt;&gt;AT$5),1))+IF(AX678="",0,IFERROR(--(EOMONTH(AX678,0)&lt;&gt;AW$5),1))+IF(BA678="",0,IFERROR(--(EOMONTH(BA678,0)&lt;&gt;AZ$5),1)))&gt;0,"; An invoice date is not in the month it is typed under",""),3,500))</f>
        <v/>
      </c>
      <c r="S678" s="12" t="n"/>
      <c r="T678" s="13" t="n"/>
      <c r="U678" s="14" t="n"/>
      <c r="V678" s="12" t="n"/>
      <c r="W678" s="13" t="n"/>
      <c r="X678" s="14" t="n"/>
      <c r="Y678" s="12" t="n"/>
      <c r="Z678" s="13" t="n"/>
      <c r="AA678" s="14" t="n"/>
      <c r="AB678" s="12" t="n"/>
      <c r="AC678" s="13" t="n"/>
      <c r="AD678" s="14" t="n"/>
      <c r="AE678" s="12" t="n"/>
      <c r="AF678" s="13" t="n"/>
      <c r="AG678" s="14" t="n"/>
      <c r="AH678" s="12" t="n"/>
      <c r="AI678" s="13" t="n"/>
      <c r="AJ678" s="14" t="n"/>
      <c r="AK678" s="12" t="n"/>
      <c r="AL678" s="13" t="n"/>
      <c r="AM678" s="14" t="n"/>
      <c r="AN678" s="12" t="n"/>
      <c r="AO678" s="13" t="n"/>
      <c r="AP678" s="14" t="n"/>
      <c r="AQ678" s="12" t="n"/>
      <c r="AR678" s="13" t="n"/>
      <c r="AS678" s="14" t="n"/>
      <c r="AT678" s="12" t="n"/>
      <c r="AU678" s="13" t="n"/>
      <c r="AV678" s="14" t="n"/>
      <c r="AW678" s="12" t="n"/>
      <c r="AX678" s="13" t="n"/>
      <c r="AY678" s="14" t="n"/>
      <c r="AZ678" s="12" t="n"/>
      <c r="BA678" s="13" t="n"/>
      <c r="BB678" s="14" t="n"/>
      <c r="BC678" s="11">
        <f>IF(O678="","",IF(J678="GST 10%",ROUND(O678*set_GSTRate,2),0))</f>
        <v/>
      </c>
      <c r="BD678" s="11">
        <f>IF(O678="","",O678+BC678)</f>
        <v/>
      </c>
      <c r="BE678" s="15">
        <f>IF(O678="","",COUNTA(S678,V678,Y678,AB678,AE678,AH678,AK678,AN678,AQ678,AT678,AW678,AZ678))</f>
        <v/>
      </c>
      <c r="BF678" s="16">
        <f>IF(COUNT(T678,W678,Z678,AC678,AF678,AI678,AL678,AO678,AR678,AU678,AX678,BA678)=0,"",MAX(T678,W678,Z678,AC678,AF678,AI678,AL678,AO678,AR678,AU678,AX678,BA678))</f>
        <v/>
      </c>
      <c r="BG678" s="10">
        <f>MID(IF(S678="","",", "&amp;S678)&amp;IF(V678="","",", "&amp;V678)&amp;IF(Y678="","",", "&amp;Y678)&amp;IF(AB678="","",", "&amp;AB678)&amp;IF(AE678="","",", "&amp;AE678)&amp;IF(AH678="","",", "&amp;AH678)&amp;IF(AK678="","",", "&amp;AK678)&amp;IF(AN678="","",", "&amp;AN678)&amp;IF(AQ678="","",", "&amp;AQ678)&amp;IF(AT678="","",", "&amp;AT678)&amp;IF(AW678="","",", "&amp;AW678)&amp;IF(AZ678="","",", "&amp;AZ678),3,500)</f>
        <v/>
      </c>
      <c r="BH678" s="12" t="n"/>
      <c r="BI678" s="15">
        <f>IFERROR(MATCH($A678,IF($B678="Onsite",tbl_Onsite[Row ID],IF($B678="Production",tbl_Production[Row ID],tbl_Consulting[Row ID])),0),"")</f>
        <v/>
      </c>
    </row>
    <row r="679">
      <c r="A679" s="10" t="inlineStr">
        <is>
          <t>PRD-0173</t>
        </is>
      </c>
      <c r="B679" s="10" t="inlineStr">
        <is>
          <t>Production</t>
        </is>
      </c>
      <c r="C679" s="10">
        <f>IF($BI679="","",IF($B679="Onsite",INDEX(tbl_Onsite[Job Number],$BI679),IF($B679="Production",INDEX(tbl_Production[Job Number],$BI679),INDEX(tbl_Consulting[Job Number],$BI679)))&amp;"")</f>
        <v/>
      </c>
      <c r="D679" s="10">
        <f>IF($BI679="","",IF($B679="Onsite",INDEX(tbl_Onsite[Client],$BI679),IF($B679="Production",INDEX(tbl_Production[Client],$BI679),INDEX(tbl_Consulting[Client],$BI679)))&amp;"")</f>
        <v/>
      </c>
      <c r="E679" s="10">
        <f>IF($C679="","",IF(COUNTIF(lst_Jobs,$C679)&gt;0,"OK","CHECK"))</f>
        <v/>
      </c>
      <c r="F679" s="10">
        <f>IF($C679="","",IFERROR(INDEX(lst_JobName,MATCH($C679,lst_Jobs,0)),""))</f>
        <v/>
      </c>
      <c r="G679" s="10">
        <f>IF($BI679="","",IF($B679="Onsite",INDEX(tbl_Onsite[Job Description],$BI679),IF($B679="Production",INDEX(tbl_Production[Job Description],$BI679),INDEX(tbl_Consulting[Job Description],$BI679)))&amp;"")</f>
        <v/>
      </c>
      <c r="H679" s="10">
        <f>IF($BI679="","",IF($B679="Onsite",INDEX(tbl_Onsite[Cost Centre],$BI679),IF($B679="Production",INDEX(tbl_Production[Cost Centre],$BI679),INDEX(tbl_Consulting[Cost Centre],$BI679)))&amp;"")</f>
        <v/>
      </c>
      <c r="I679" s="10">
        <f>IF($BI679="","",IF($B679="Onsite",INDEX(tbl_Onsite[Invoice Type],$BI679),IF($B679="Production",INDEX(tbl_Production[Invoice Type],$BI679),INDEX(tbl_Consulting[Invoice Type],$BI679)))&amp;"")</f>
        <v/>
      </c>
      <c r="J679" s="10">
        <f>IF($BI679="","",IF($B679="Onsite",INDEX(tbl_Onsite[Tax Code],$BI679),IF($B679="Production",INDEX(tbl_Production[Tax Code],$BI679),INDEX(tbl_Consulting[Tax Code],$BI679)))&amp;"")</f>
        <v/>
      </c>
      <c r="K679" s="10">
        <f>IF(H679="","",IFERROR(INDEX(lst_CCtoGL,MATCH(H679,lst_CCforGL,0)),""))</f>
        <v/>
      </c>
      <c r="L679" s="10">
        <f>IF($BI679="","",IF($B679="Onsite",INDEX(tbl_Onsite[PO / Reference],$BI679),IF($B679="Production",INDEX(tbl_Production[Current RMS No],$BI679),INDEX(tbl_Consulting[Qwilr Quote],$BI679)))&amp;"")</f>
        <v/>
      </c>
      <c r="M679" s="10">
        <f>IF($BI679="","",IF($B679="Onsite",INDEX(tbl_Onsite[Notes],$BI679),IF($B679="Production",INDEX(tbl_Production[Notes],$BI679),INDEX(tbl_Consulting[Notes],$BI679)))&amp;"")</f>
        <v/>
      </c>
      <c r="N679" s="11">
        <f>IF($BI679="","",IF(IF($B679="Onsite",INDEX(tbl_Onsite[Expected Revenue Ex GST],$BI679),IF($B679="Production",INDEX(tbl_Production[Expected Revenue Ex GST],$BI679),INDEX(tbl_Consulting[Expected Revenue Ex GST],$BI679)))="","",IF($B679="Onsite",INDEX(tbl_Onsite[Expected Revenue Ex GST],$BI679),IF($B679="Production",INDEX(tbl_Production[Expected Revenue Ex GST],$BI679),INDEX(tbl_Consulting[Expected Revenue Ex GST],$BI679)))))</f>
        <v/>
      </c>
      <c r="O679" s="11">
        <f>IF(AND($C679="",NOT(COUNTA($S679:$BB679)&gt;0)),"",SUM(U679,X679,AA679,AD679,AG679,AJ679,AM679,AP679,AS679,AV679,AY679,BB679))</f>
        <v/>
      </c>
      <c r="P679" s="11">
        <f>IF(O679="","",N(N679)-O679)</f>
        <v/>
      </c>
      <c r="Q679" s="10">
        <f>IF(O679="","",IF($C679="","Invoice on empty job row",IF(N679="",IF(ROUND(O679,2)=0,"No dept value","Invoiced - no dept value"),IF(ROUND(O679,2)=0,"Not invoiced - to invoice",IF(ROUND(P679,2)=0,"Agrees",IF(P679&gt;0,"Dept higher - to invoice","Xero higher - check dept"))))))</f>
        <v/>
      </c>
      <c r="R679" s="10">
        <f>IF(AND($C679="",NOT(COUNTA($S679:$BB679)&gt;0),$BI679&lt;&gt;""),"",MID(IF($BI679="","; Row ID not found on the department sheet - a row was deleted","")&amp;IF(AND($C679="",COUNTA($S679:$BB679)&gt;0),"; Invoice entered but the department row has no job number","")&amp;IF(E679="CHECK","; Job number not in the Xero job list","")&amp;IF(AND($C679&lt;&gt;"",COUNTIF($C$7:$C$1506,$C679)&gt;1),"; Job number on more than one row","")&amp;IF(AND($C679&lt;&gt;"",H679=""),"; Dept has not set a cost centre","")&amp;IF(AND($C679&lt;&gt;"",J679=""),"; Dept has not set a tax code","")&amp;IF(AND($C679&lt;&gt;"",N679=""),"; Dept has not entered an expected value","")&amp;IF((IF(OR(COUNTA(S679:U679)=0,AND(COUNTA(S679:U679)=3,ISNUMBER(U679))),0,1)+IF(OR(COUNTA(V679:X679)=0,AND(COUNTA(V679:X679)=3,ISNUMBER(X679))),0,1)+IF(OR(COUNTA(Y679:AA679)=0,AND(COUNTA(Y679:AA679)=3,ISNUMBER(AA679))),0,1)+IF(OR(COUNTA(AB679:AD679)=0,AND(COUNTA(AB679:AD679)=3,ISNUMBER(AD679))),0,1)+IF(OR(COUNTA(AE679:AG679)=0,AND(COUNTA(AE679:AG679)=3,ISNUMBER(AG679))),0,1)+IF(OR(COUNTA(AH679:AJ679)=0,AND(COUNTA(AH679:AJ679)=3,ISNUMBER(AJ679))),0,1)+IF(OR(COUNTA(AK679:AM679)=0,AND(COUNTA(AK679:AM679)=3,ISNUMBER(AM679))),0,1)+IF(OR(COUNTA(AN679:AP679)=0,AND(COUNTA(AN679:AP679)=3,ISNUMBER(AP679))),0,1)+IF(OR(COUNTA(AQ679:AS679)=0,AND(COUNTA(AQ679:AS679)=3,ISNUMBER(AS679))),0,1)+IF(OR(COUNTA(AT679:AV679)=0,AND(COUNTA(AT679:AV679)=3,ISNUMBER(AV679))),0,1)+IF(OR(COUNTA(AW679:AY679)=0,AND(COUNTA(AW679:AY679)=3,ISNUMBER(AY679))),0,1)+IF(OR(COUNTA(AZ679:BB679)=0,AND(COUNTA(AZ679:BB679)=3,ISNUMBER(BB679))),0,1))&gt;0,"; An invoice is incomplete (needs No, Date and a number in Ex GST)","")&amp;IF((IF(T679="",0,IFERROR(--(EOMONTH(T679,0)&lt;&gt;S$5),1))+IF(W679="",0,IFERROR(--(EOMONTH(W679,0)&lt;&gt;V$5),1))+IF(Z679="",0,IFERROR(--(EOMONTH(Z679,0)&lt;&gt;Y$5),1))+IF(AC679="",0,IFERROR(--(EOMONTH(AC679,0)&lt;&gt;AB$5),1))+IF(AF679="",0,IFERROR(--(EOMONTH(AF679,0)&lt;&gt;AE$5),1))+IF(AI679="",0,IFERROR(--(EOMONTH(AI679,0)&lt;&gt;AH$5),1))+IF(AL679="",0,IFERROR(--(EOMONTH(AL679,0)&lt;&gt;AK$5),1))+IF(AO679="",0,IFERROR(--(EOMONTH(AO679,0)&lt;&gt;AN$5),1))+IF(AR679="",0,IFERROR(--(EOMONTH(AR679,0)&lt;&gt;AQ$5),1))+IF(AU679="",0,IFERROR(--(EOMONTH(AU679,0)&lt;&gt;AT$5),1))+IF(AX679="",0,IFERROR(--(EOMONTH(AX679,0)&lt;&gt;AW$5),1))+IF(BA679="",0,IFERROR(--(EOMONTH(BA679,0)&lt;&gt;AZ$5),1)))&gt;0,"; An invoice date is not in the month it is typed under",""),3,500))</f>
        <v/>
      </c>
      <c r="S679" s="12" t="n"/>
      <c r="T679" s="13" t="n"/>
      <c r="U679" s="14" t="n"/>
      <c r="V679" s="12" t="n"/>
      <c r="W679" s="13" t="n"/>
      <c r="X679" s="14" t="n"/>
      <c r="Y679" s="12" t="n"/>
      <c r="Z679" s="13" t="n"/>
      <c r="AA679" s="14" t="n"/>
      <c r="AB679" s="12" t="n"/>
      <c r="AC679" s="13" t="n"/>
      <c r="AD679" s="14" t="n"/>
      <c r="AE679" s="12" t="n"/>
      <c r="AF679" s="13" t="n"/>
      <c r="AG679" s="14" t="n"/>
      <c r="AH679" s="12" t="n"/>
      <c r="AI679" s="13" t="n"/>
      <c r="AJ679" s="14" t="n"/>
      <c r="AK679" s="12" t="n"/>
      <c r="AL679" s="13" t="n"/>
      <c r="AM679" s="14" t="n"/>
      <c r="AN679" s="12" t="n"/>
      <c r="AO679" s="13" t="n"/>
      <c r="AP679" s="14" t="n"/>
      <c r="AQ679" s="12" t="n"/>
      <c r="AR679" s="13" t="n"/>
      <c r="AS679" s="14" t="n"/>
      <c r="AT679" s="12" t="n"/>
      <c r="AU679" s="13" t="n"/>
      <c r="AV679" s="14" t="n"/>
      <c r="AW679" s="12" t="n"/>
      <c r="AX679" s="13" t="n"/>
      <c r="AY679" s="14" t="n"/>
      <c r="AZ679" s="12" t="n"/>
      <c r="BA679" s="13" t="n"/>
      <c r="BB679" s="14" t="n"/>
      <c r="BC679" s="11">
        <f>IF(O679="","",IF(J679="GST 10%",ROUND(O679*set_GSTRate,2),0))</f>
        <v/>
      </c>
      <c r="BD679" s="11">
        <f>IF(O679="","",O679+BC679)</f>
        <v/>
      </c>
      <c r="BE679" s="15">
        <f>IF(O679="","",COUNTA(S679,V679,Y679,AB679,AE679,AH679,AK679,AN679,AQ679,AT679,AW679,AZ679))</f>
        <v/>
      </c>
      <c r="BF679" s="16">
        <f>IF(COUNT(T679,W679,Z679,AC679,AF679,AI679,AL679,AO679,AR679,AU679,AX679,BA679)=0,"",MAX(T679,W679,Z679,AC679,AF679,AI679,AL679,AO679,AR679,AU679,AX679,BA679))</f>
        <v/>
      </c>
      <c r="BG679" s="10">
        <f>MID(IF(S679="","",", "&amp;S679)&amp;IF(V679="","",", "&amp;V679)&amp;IF(Y679="","",", "&amp;Y679)&amp;IF(AB679="","",", "&amp;AB679)&amp;IF(AE679="","",", "&amp;AE679)&amp;IF(AH679="","",", "&amp;AH679)&amp;IF(AK679="","",", "&amp;AK679)&amp;IF(AN679="","",", "&amp;AN679)&amp;IF(AQ679="","",", "&amp;AQ679)&amp;IF(AT679="","",", "&amp;AT679)&amp;IF(AW679="","",", "&amp;AW679)&amp;IF(AZ679="","",", "&amp;AZ679),3,500)</f>
        <v/>
      </c>
      <c r="BH679" s="12" t="n"/>
      <c r="BI679" s="15">
        <f>IFERROR(MATCH($A679,IF($B679="Onsite",tbl_Onsite[Row ID],IF($B679="Production",tbl_Production[Row ID],tbl_Consulting[Row ID])),0),"")</f>
        <v/>
      </c>
    </row>
    <row r="680">
      <c r="A680" s="10" t="inlineStr">
        <is>
          <t>PRD-0174</t>
        </is>
      </c>
      <c r="B680" s="10" t="inlineStr">
        <is>
          <t>Production</t>
        </is>
      </c>
      <c r="C680" s="10">
        <f>IF($BI680="","",IF($B680="Onsite",INDEX(tbl_Onsite[Job Number],$BI680),IF($B680="Production",INDEX(tbl_Production[Job Number],$BI680),INDEX(tbl_Consulting[Job Number],$BI680)))&amp;"")</f>
        <v/>
      </c>
      <c r="D680" s="10">
        <f>IF($BI680="","",IF($B680="Onsite",INDEX(tbl_Onsite[Client],$BI680),IF($B680="Production",INDEX(tbl_Production[Client],$BI680),INDEX(tbl_Consulting[Client],$BI680)))&amp;"")</f>
        <v/>
      </c>
      <c r="E680" s="10">
        <f>IF($C680="","",IF(COUNTIF(lst_Jobs,$C680)&gt;0,"OK","CHECK"))</f>
        <v/>
      </c>
      <c r="F680" s="10">
        <f>IF($C680="","",IFERROR(INDEX(lst_JobName,MATCH($C680,lst_Jobs,0)),""))</f>
        <v/>
      </c>
      <c r="G680" s="10">
        <f>IF($BI680="","",IF($B680="Onsite",INDEX(tbl_Onsite[Job Description],$BI680),IF($B680="Production",INDEX(tbl_Production[Job Description],$BI680),INDEX(tbl_Consulting[Job Description],$BI680)))&amp;"")</f>
        <v/>
      </c>
      <c r="H680" s="10">
        <f>IF($BI680="","",IF($B680="Onsite",INDEX(tbl_Onsite[Cost Centre],$BI680),IF($B680="Production",INDEX(tbl_Production[Cost Centre],$BI680),INDEX(tbl_Consulting[Cost Centre],$BI680)))&amp;"")</f>
        <v/>
      </c>
      <c r="I680" s="10">
        <f>IF($BI680="","",IF($B680="Onsite",INDEX(tbl_Onsite[Invoice Type],$BI680),IF($B680="Production",INDEX(tbl_Production[Invoice Type],$BI680),INDEX(tbl_Consulting[Invoice Type],$BI680)))&amp;"")</f>
        <v/>
      </c>
      <c r="J680" s="10">
        <f>IF($BI680="","",IF($B680="Onsite",INDEX(tbl_Onsite[Tax Code],$BI680),IF($B680="Production",INDEX(tbl_Production[Tax Code],$BI680),INDEX(tbl_Consulting[Tax Code],$BI680)))&amp;"")</f>
        <v/>
      </c>
      <c r="K680" s="10">
        <f>IF(H680="","",IFERROR(INDEX(lst_CCtoGL,MATCH(H680,lst_CCforGL,0)),""))</f>
        <v/>
      </c>
      <c r="L680" s="10">
        <f>IF($BI680="","",IF($B680="Onsite",INDEX(tbl_Onsite[PO / Reference],$BI680),IF($B680="Production",INDEX(tbl_Production[Current RMS No],$BI680),INDEX(tbl_Consulting[Qwilr Quote],$BI680)))&amp;"")</f>
        <v/>
      </c>
      <c r="M680" s="10">
        <f>IF($BI680="","",IF($B680="Onsite",INDEX(tbl_Onsite[Notes],$BI680),IF($B680="Production",INDEX(tbl_Production[Notes],$BI680),INDEX(tbl_Consulting[Notes],$BI680)))&amp;"")</f>
        <v/>
      </c>
      <c r="N680" s="11">
        <f>IF($BI680="","",IF(IF($B680="Onsite",INDEX(tbl_Onsite[Expected Revenue Ex GST],$BI680),IF($B680="Production",INDEX(tbl_Production[Expected Revenue Ex GST],$BI680),INDEX(tbl_Consulting[Expected Revenue Ex GST],$BI680)))="","",IF($B680="Onsite",INDEX(tbl_Onsite[Expected Revenue Ex GST],$BI680),IF($B680="Production",INDEX(tbl_Production[Expected Revenue Ex GST],$BI680),INDEX(tbl_Consulting[Expected Revenue Ex GST],$BI680)))))</f>
        <v/>
      </c>
      <c r="O680" s="11">
        <f>IF(AND($C680="",NOT(COUNTA($S680:$BB680)&gt;0)),"",SUM(U680,X680,AA680,AD680,AG680,AJ680,AM680,AP680,AS680,AV680,AY680,BB680))</f>
        <v/>
      </c>
      <c r="P680" s="11">
        <f>IF(O680="","",N(N680)-O680)</f>
        <v/>
      </c>
      <c r="Q680" s="10">
        <f>IF(O680="","",IF($C680="","Invoice on empty job row",IF(N680="",IF(ROUND(O680,2)=0,"No dept value","Invoiced - no dept value"),IF(ROUND(O680,2)=0,"Not invoiced - to invoice",IF(ROUND(P680,2)=0,"Agrees",IF(P680&gt;0,"Dept higher - to invoice","Xero higher - check dept"))))))</f>
        <v/>
      </c>
      <c r="R680" s="10">
        <f>IF(AND($C680="",NOT(COUNTA($S680:$BB680)&gt;0),$BI680&lt;&gt;""),"",MID(IF($BI680="","; Row ID not found on the department sheet - a row was deleted","")&amp;IF(AND($C680="",COUNTA($S680:$BB680)&gt;0),"; Invoice entered but the department row has no job number","")&amp;IF(E680="CHECK","; Job number not in the Xero job list","")&amp;IF(AND($C680&lt;&gt;"",COUNTIF($C$7:$C$1506,$C680)&gt;1),"; Job number on more than one row","")&amp;IF(AND($C680&lt;&gt;"",H680=""),"; Dept has not set a cost centre","")&amp;IF(AND($C680&lt;&gt;"",J680=""),"; Dept has not set a tax code","")&amp;IF(AND($C680&lt;&gt;"",N680=""),"; Dept has not entered an expected value","")&amp;IF((IF(OR(COUNTA(S680:U680)=0,AND(COUNTA(S680:U680)=3,ISNUMBER(U680))),0,1)+IF(OR(COUNTA(V680:X680)=0,AND(COUNTA(V680:X680)=3,ISNUMBER(X680))),0,1)+IF(OR(COUNTA(Y680:AA680)=0,AND(COUNTA(Y680:AA680)=3,ISNUMBER(AA680))),0,1)+IF(OR(COUNTA(AB680:AD680)=0,AND(COUNTA(AB680:AD680)=3,ISNUMBER(AD680))),0,1)+IF(OR(COUNTA(AE680:AG680)=0,AND(COUNTA(AE680:AG680)=3,ISNUMBER(AG680))),0,1)+IF(OR(COUNTA(AH680:AJ680)=0,AND(COUNTA(AH680:AJ680)=3,ISNUMBER(AJ680))),0,1)+IF(OR(COUNTA(AK680:AM680)=0,AND(COUNTA(AK680:AM680)=3,ISNUMBER(AM680))),0,1)+IF(OR(COUNTA(AN680:AP680)=0,AND(COUNTA(AN680:AP680)=3,ISNUMBER(AP680))),0,1)+IF(OR(COUNTA(AQ680:AS680)=0,AND(COUNTA(AQ680:AS680)=3,ISNUMBER(AS680))),0,1)+IF(OR(COUNTA(AT680:AV680)=0,AND(COUNTA(AT680:AV680)=3,ISNUMBER(AV680))),0,1)+IF(OR(COUNTA(AW680:AY680)=0,AND(COUNTA(AW680:AY680)=3,ISNUMBER(AY680))),0,1)+IF(OR(COUNTA(AZ680:BB680)=0,AND(COUNTA(AZ680:BB680)=3,ISNUMBER(BB680))),0,1))&gt;0,"; An invoice is incomplete (needs No, Date and a number in Ex GST)","")&amp;IF((IF(T680="",0,IFERROR(--(EOMONTH(T680,0)&lt;&gt;S$5),1))+IF(W680="",0,IFERROR(--(EOMONTH(W680,0)&lt;&gt;V$5),1))+IF(Z680="",0,IFERROR(--(EOMONTH(Z680,0)&lt;&gt;Y$5),1))+IF(AC680="",0,IFERROR(--(EOMONTH(AC680,0)&lt;&gt;AB$5),1))+IF(AF680="",0,IFERROR(--(EOMONTH(AF680,0)&lt;&gt;AE$5),1))+IF(AI680="",0,IFERROR(--(EOMONTH(AI680,0)&lt;&gt;AH$5),1))+IF(AL680="",0,IFERROR(--(EOMONTH(AL680,0)&lt;&gt;AK$5),1))+IF(AO680="",0,IFERROR(--(EOMONTH(AO680,0)&lt;&gt;AN$5),1))+IF(AR680="",0,IFERROR(--(EOMONTH(AR680,0)&lt;&gt;AQ$5),1))+IF(AU680="",0,IFERROR(--(EOMONTH(AU680,0)&lt;&gt;AT$5),1))+IF(AX680="",0,IFERROR(--(EOMONTH(AX680,0)&lt;&gt;AW$5),1))+IF(BA680="",0,IFERROR(--(EOMONTH(BA680,0)&lt;&gt;AZ$5),1)))&gt;0,"; An invoice date is not in the month it is typed under",""),3,500))</f>
        <v/>
      </c>
      <c r="S680" s="12" t="n"/>
      <c r="T680" s="13" t="n"/>
      <c r="U680" s="14" t="n"/>
      <c r="V680" s="12" t="n"/>
      <c r="W680" s="13" t="n"/>
      <c r="X680" s="14" t="n"/>
      <c r="Y680" s="12" t="n"/>
      <c r="Z680" s="13" t="n"/>
      <c r="AA680" s="14" t="n"/>
      <c r="AB680" s="12" t="n"/>
      <c r="AC680" s="13" t="n"/>
      <c r="AD680" s="14" t="n"/>
      <c r="AE680" s="12" t="n"/>
      <c r="AF680" s="13" t="n"/>
      <c r="AG680" s="14" t="n"/>
      <c r="AH680" s="12" t="n"/>
      <c r="AI680" s="13" t="n"/>
      <c r="AJ680" s="14" t="n"/>
      <c r="AK680" s="12" t="n"/>
      <c r="AL680" s="13" t="n"/>
      <c r="AM680" s="14" t="n"/>
      <c r="AN680" s="12" t="n"/>
      <c r="AO680" s="13" t="n"/>
      <c r="AP680" s="14" t="n"/>
      <c r="AQ680" s="12" t="n"/>
      <c r="AR680" s="13" t="n"/>
      <c r="AS680" s="14" t="n"/>
      <c r="AT680" s="12" t="n"/>
      <c r="AU680" s="13" t="n"/>
      <c r="AV680" s="14" t="n"/>
      <c r="AW680" s="12" t="n"/>
      <c r="AX680" s="13" t="n"/>
      <c r="AY680" s="14" t="n"/>
      <c r="AZ680" s="12" t="n"/>
      <c r="BA680" s="13" t="n"/>
      <c r="BB680" s="14" t="n"/>
      <c r="BC680" s="11">
        <f>IF(O680="","",IF(J680="GST 10%",ROUND(O680*set_GSTRate,2),0))</f>
        <v/>
      </c>
      <c r="BD680" s="11">
        <f>IF(O680="","",O680+BC680)</f>
        <v/>
      </c>
      <c r="BE680" s="15">
        <f>IF(O680="","",COUNTA(S680,V680,Y680,AB680,AE680,AH680,AK680,AN680,AQ680,AT680,AW680,AZ680))</f>
        <v/>
      </c>
      <c r="BF680" s="16">
        <f>IF(COUNT(T680,W680,Z680,AC680,AF680,AI680,AL680,AO680,AR680,AU680,AX680,BA680)=0,"",MAX(T680,W680,Z680,AC680,AF680,AI680,AL680,AO680,AR680,AU680,AX680,BA680))</f>
        <v/>
      </c>
      <c r="BG680" s="10">
        <f>MID(IF(S680="","",", "&amp;S680)&amp;IF(V680="","",", "&amp;V680)&amp;IF(Y680="","",", "&amp;Y680)&amp;IF(AB680="","",", "&amp;AB680)&amp;IF(AE680="","",", "&amp;AE680)&amp;IF(AH680="","",", "&amp;AH680)&amp;IF(AK680="","",", "&amp;AK680)&amp;IF(AN680="","",", "&amp;AN680)&amp;IF(AQ680="","",", "&amp;AQ680)&amp;IF(AT680="","",", "&amp;AT680)&amp;IF(AW680="","",", "&amp;AW680)&amp;IF(AZ680="","",", "&amp;AZ680),3,500)</f>
        <v/>
      </c>
      <c r="BH680" s="12" t="n"/>
      <c r="BI680" s="15">
        <f>IFERROR(MATCH($A680,IF($B680="Onsite",tbl_Onsite[Row ID],IF($B680="Production",tbl_Production[Row ID],tbl_Consulting[Row ID])),0),"")</f>
        <v/>
      </c>
    </row>
    <row r="681">
      <c r="A681" s="10" t="inlineStr">
        <is>
          <t>PRD-0175</t>
        </is>
      </c>
      <c r="B681" s="10" t="inlineStr">
        <is>
          <t>Production</t>
        </is>
      </c>
      <c r="C681" s="10">
        <f>IF($BI681="","",IF($B681="Onsite",INDEX(tbl_Onsite[Job Number],$BI681),IF($B681="Production",INDEX(tbl_Production[Job Number],$BI681),INDEX(tbl_Consulting[Job Number],$BI681)))&amp;"")</f>
        <v/>
      </c>
      <c r="D681" s="10">
        <f>IF($BI681="","",IF($B681="Onsite",INDEX(tbl_Onsite[Client],$BI681),IF($B681="Production",INDEX(tbl_Production[Client],$BI681),INDEX(tbl_Consulting[Client],$BI681)))&amp;"")</f>
        <v/>
      </c>
      <c r="E681" s="10">
        <f>IF($C681="","",IF(COUNTIF(lst_Jobs,$C681)&gt;0,"OK","CHECK"))</f>
        <v/>
      </c>
      <c r="F681" s="10">
        <f>IF($C681="","",IFERROR(INDEX(lst_JobName,MATCH($C681,lst_Jobs,0)),""))</f>
        <v/>
      </c>
      <c r="G681" s="10">
        <f>IF($BI681="","",IF($B681="Onsite",INDEX(tbl_Onsite[Job Description],$BI681),IF($B681="Production",INDEX(tbl_Production[Job Description],$BI681),INDEX(tbl_Consulting[Job Description],$BI681)))&amp;"")</f>
        <v/>
      </c>
      <c r="H681" s="10">
        <f>IF($BI681="","",IF($B681="Onsite",INDEX(tbl_Onsite[Cost Centre],$BI681),IF($B681="Production",INDEX(tbl_Production[Cost Centre],$BI681),INDEX(tbl_Consulting[Cost Centre],$BI681)))&amp;"")</f>
        <v/>
      </c>
      <c r="I681" s="10">
        <f>IF($BI681="","",IF($B681="Onsite",INDEX(tbl_Onsite[Invoice Type],$BI681),IF($B681="Production",INDEX(tbl_Production[Invoice Type],$BI681),INDEX(tbl_Consulting[Invoice Type],$BI681)))&amp;"")</f>
        <v/>
      </c>
      <c r="J681" s="10">
        <f>IF($BI681="","",IF($B681="Onsite",INDEX(tbl_Onsite[Tax Code],$BI681),IF($B681="Production",INDEX(tbl_Production[Tax Code],$BI681),INDEX(tbl_Consulting[Tax Code],$BI681)))&amp;"")</f>
        <v/>
      </c>
      <c r="K681" s="10">
        <f>IF(H681="","",IFERROR(INDEX(lst_CCtoGL,MATCH(H681,lst_CCforGL,0)),""))</f>
        <v/>
      </c>
      <c r="L681" s="10">
        <f>IF($BI681="","",IF($B681="Onsite",INDEX(tbl_Onsite[PO / Reference],$BI681),IF($B681="Production",INDEX(tbl_Production[Current RMS No],$BI681),INDEX(tbl_Consulting[Qwilr Quote],$BI681)))&amp;"")</f>
        <v/>
      </c>
      <c r="M681" s="10">
        <f>IF($BI681="","",IF($B681="Onsite",INDEX(tbl_Onsite[Notes],$BI681),IF($B681="Production",INDEX(tbl_Production[Notes],$BI681),INDEX(tbl_Consulting[Notes],$BI681)))&amp;"")</f>
        <v/>
      </c>
      <c r="N681" s="11">
        <f>IF($BI681="","",IF(IF($B681="Onsite",INDEX(tbl_Onsite[Expected Revenue Ex GST],$BI681),IF($B681="Production",INDEX(tbl_Production[Expected Revenue Ex GST],$BI681),INDEX(tbl_Consulting[Expected Revenue Ex GST],$BI681)))="","",IF($B681="Onsite",INDEX(tbl_Onsite[Expected Revenue Ex GST],$BI681),IF($B681="Production",INDEX(tbl_Production[Expected Revenue Ex GST],$BI681),INDEX(tbl_Consulting[Expected Revenue Ex GST],$BI681)))))</f>
        <v/>
      </c>
      <c r="O681" s="11">
        <f>IF(AND($C681="",NOT(COUNTA($S681:$BB681)&gt;0)),"",SUM(U681,X681,AA681,AD681,AG681,AJ681,AM681,AP681,AS681,AV681,AY681,BB681))</f>
        <v/>
      </c>
      <c r="P681" s="11">
        <f>IF(O681="","",N(N681)-O681)</f>
        <v/>
      </c>
      <c r="Q681" s="10">
        <f>IF(O681="","",IF($C681="","Invoice on empty job row",IF(N681="",IF(ROUND(O681,2)=0,"No dept value","Invoiced - no dept value"),IF(ROUND(O681,2)=0,"Not invoiced - to invoice",IF(ROUND(P681,2)=0,"Agrees",IF(P681&gt;0,"Dept higher - to invoice","Xero higher - check dept"))))))</f>
        <v/>
      </c>
      <c r="R681" s="10">
        <f>IF(AND($C681="",NOT(COUNTA($S681:$BB681)&gt;0),$BI681&lt;&gt;""),"",MID(IF($BI681="","; Row ID not found on the department sheet - a row was deleted","")&amp;IF(AND($C681="",COUNTA($S681:$BB681)&gt;0),"; Invoice entered but the department row has no job number","")&amp;IF(E681="CHECK","; Job number not in the Xero job list","")&amp;IF(AND($C681&lt;&gt;"",COUNTIF($C$7:$C$1506,$C681)&gt;1),"; Job number on more than one row","")&amp;IF(AND($C681&lt;&gt;"",H681=""),"; Dept has not set a cost centre","")&amp;IF(AND($C681&lt;&gt;"",J681=""),"; Dept has not set a tax code","")&amp;IF(AND($C681&lt;&gt;"",N681=""),"; Dept has not entered an expected value","")&amp;IF((IF(OR(COUNTA(S681:U681)=0,AND(COUNTA(S681:U681)=3,ISNUMBER(U681))),0,1)+IF(OR(COUNTA(V681:X681)=0,AND(COUNTA(V681:X681)=3,ISNUMBER(X681))),0,1)+IF(OR(COUNTA(Y681:AA681)=0,AND(COUNTA(Y681:AA681)=3,ISNUMBER(AA681))),0,1)+IF(OR(COUNTA(AB681:AD681)=0,AND(COUNTA(AB681:AD681)=3,ISNUMBER(AD681))),0,1)+IF(OR(COUNTA(AE681:AG681)=0,AND(COUNTA(AE681:AG681)=3,ISNUMBER(AG681))),0,1)+IF(OR(COUNTA(AH681:AJ681)=0,AND(COUNTA(AH681:AJ681)=3,ISNUMBER(AJ681))),0,1)+IF(OR(COUNTA(AK681:AM681)=0,AND(COUNTA(AK681:AM681)=3,ISNUMBER(AM681))),0,1)+IF(OR(COUNTA(AN681:AP681)=0,AND(COUNTA(AN681:AP681)=3,ISNUMBER(AP681))),0,1)+IF(OR(COUNTA(AQ681:AS681)=0,AND(COUNTA(AQ681:AS681)=3,ISNUMBER(AS681))),0,1)+IF(OR(COUNTA(AT681:AV681)=0,AND(COUNTA(AT681:AV681)=3,ISNUMBER(AV681))),0,1)+IF(OR(COUNTA(AW681:AY681)=0,AND(COUNTA(AW681:AY681)=3,ISNUMBER(AY681))),0,1)+IF(OR(COUNTA(AZ681:BB681)=0,AND(COUNTA(AZ681:BB681)=3,ISNUMBER(BB681))),0,1))&gt;0,"; An invoice is incomplete (needs No, Date and a number in Ex GST)","")&amp;IF((IF(T681="",0,IFERROR(--(EOMONTH(T681,0)&lt;&gt;S$5),1))+IF(W681="",0,IFERROR(--(EOMONTH(W681,0)&lt;&gt;V$5),1))+IF(Z681="",0,IFERROR(--(EOMONTH(Z681,0)&lt;&gt;Y$5),1))+IF(AC681="",0,IFERROR(--(EOMONTH(AC681,0)&lt;&gt;AB$5),1))+IF(AF681="",0,IFERROR(--(EOMONTH(AF681,0)&lt;&gt;AE$5),1))+IF(AI681="",0,IFERROR(--(EOMONTH(AI681,0)&lt;&gt;AH$5),1))+IF(AL681="",0,IFERROR(--(EOMONTH(AL681,0)&lt;&gt;AK$5),1))+IF(AO681="",0,IFERROR(--(EOMONTH(AO681,0)&lt;&gt;AN$5),1))+IF(AR681="",0,IFERROR(--(EOMONTH(AR681,0)&lt;&gt;AQ$5),1))+IF(AU681="",0,IFERROR(--(EOMONTH(AU681,0)&lt;&gt;AT$5),1))+IF(AX681="",0,IFERROR(--(EOMONTH(AX681,0)&lt;&gt;AW$5),1))+IF(BA681="",0,IFERROR(--(EOMONTH(BA681,0)&lt;&gt;AZ$5),1)))&gt;0,"; An invoice date is not in the month it is typed under",""),3,500))</f>
        <v/>
      </c>
      <c r="S681" s="12" t="n"/>
      <c r="T681" s="13" t="n"/>
      <c r="U681" s="14" t="n"/>
      <c r="V681" s="12" t="n"/>
      <c r="W681" s="13" t="n"/>
      <c r="X681" s="14" t="n"/>
      <c r="Y681" s="12" t="n"/>
      <c r="Z681" s="13" t="n"/>
      <c r="AA681" s="14" t="n"/>
      <c r="AB681" s="12" t="n"/>
      <c r="AC681" s="13" t="n"/>
      <c r="AD681" s="14" t="n"/>
      <c r="AE681" s="12" t="n"/>
      <c r="AF681" s="13" t="n"/>
      <c r="AG681" s="14" t="n"/>
      <c r="AH681" s="12" t="n"/>
      <c r="AI681" s="13" t="n"/>
      <c r="AJ681" s="14" t="n"/>
      <c r="AK681" s="12" t="n"/>
      <c r="AL681" s="13" t="n"/>
      <c r="AM681" s="14" t="n"/>
      <c r="AN681" s="12" t="n"/>
      <c r="AO681" s="13" t="n"/>
      <c r="AP681" s="14" t="n"/>
      <c r="AQ681" s="12" t="n"/>
      <c r="AR681" s="13" t="n"/>
      <c r="AS681" s="14" t="n"/>
      <c r="AT681" s="12" t="n"/>
      <c r="AU681" s="13" t="n"/>
      <c r="AV681" s="14" t="n"/>
      <c r="AW681" s="12" t="n"/>
      <c r="AX681" s="13" t="n"/>
      <c r="AY681" s="14" t="n"/>
      <c r="AZ681" s="12" t="n"/>
      <c r="BA681" s="13" t="n"/>
      <c r="BB681" s="14" t="n"/>
      <c r="BC681" s="11">
        <f>IF(O681="","",IF(J681="GST 10%",ROUND(O681*set_GSTRate,2),0))</f>
        <v/>
      </c>
      <c r="BD681" s="11">
        <f>IF(O681="","",O681+BC681)</f>
        <v/>
      </c>
      <c r="BE681" s="15">
        <f>IF(O681="","",COUNTA(S681,V681,Y681,AB681,AE681,AH681,AK681,AN681,AQ681,AT681,AW681,AZ681))</f>
        <v/>
      </c>
      <c r="BF681" s="16">
        <f>IF(COUNT(T681,W681,Z681,AC681,AF681,AI681,AL681,AO681,AR681,AU681,AX681,BA681)=0,"",MAX(T681,W681,Z681,AC681,AF681,AI681,AL681,AO681,AR681,AU681,AX681,BA681))</f>
        <v/>
      </c>
      <c r="BG681" s="10">
        <f>MID(IF(S681="","",", "&amp;S681)&amp;IF(V681="","",", "&amp;V681)&amp;IF(Y681="","",", "&amp;Y681)&amp;IF(AB681="","",", "&amp;AB681)&amp;IF(AE681="","",", "&amp;AE681)&amp;IF(AH681="","",", "&amp;AH681)&amp;IF(AK681="","",", "&amp;AK681)&amp;IF(AN681="","",", "&amp;AN681)&amp;IF(AQ681="","",", "&amp;AQ681)&amp;IF(AT681="","",", "&amp;AT681)&amp;IF(AW681="","",", "&amp;AW681)&amp;IF(AZ681="","",", "&amp;AZ681),3,500)</f>
        <v/>
      </c>
      <c r="BH681" s="12" t="n"/>
      <c r="BI681" s="15">
        <f>IFERROR(MATCH($A681,IF($B681="Onsite",tbl_Onsite[Row ID],IF($B681="Production",tbl_Production[Row ID],tbl_Consulting[Row ID])),0),"")</f>
        <v/>
      </c>
    </row>
    <row r="682">
      <c r="A682" s="10" t="inlineStr">
        <is>
          <t>PRD-0176</t>
        </is>
      </c>
      <c r="B682" s="10" t="inlineStr">
        <is>
          <t>Production</t>
        </is>
      </c>
      <c r="C682" s="10">
        <f>IF($BI682="","",IF($B682="Onsite",INDEX(tbl_Onsite[Job Number],$BI682),IF($B682="Production",INDEX(tbl_Production[Job Number],$BI682),INDEX(tbl_Consulting[Job Number],$BI682)))&amp;"")</f>
        <v/>
      </c>
      <c r="D682" s="10">
        <f>IF($BI682="","",IF($B682="Onsite",INDEX(tbl_Onsite[Client],$BI682),IF($B682="Production",INDEX(tbl_Production[Client],$BI682),INDEX(tbl_Consulting[Client],$BI682)))&amp;"")</f>
        <v/>
      </c>
      <c r="E682" s="10">
        <f>IF($C682="","",IF(COUNTIF(lst_Jobs,$C682)&gt;0,"OK","CHECK"))</f>
        <v/>
      </c>
      <c r="F682" s="10">
        <f>IF($C682="","",IFERROR(INDEX(lst_JobName,MATCH($C682,lst_Jobs,0)),""))</f>
        <v/>
      </c>
      <c r="G682" s="10">
        <f>IF($BI682="","",IF($B682="Onsite",INDEX(tbl_Onsite[Job Description],$BI682),IF($B682="Production",INDEX(tbl_Production[Job Description],$BI682),INDEX(tbl_Consulting[Job Description],$BI682)))&amp;"")</f>
        <v/>
      </c>
      <c r="H682" s="10">
        <f>IF($BI682="","",IF($B682="Onsite",INDEX(tbl_Onsite[Cost Centre],$BI682),IF($B682="Production",INDEX(tbl_Production[Cost Centre],$BI682),INDEX(tbl_Consulting[Cost Centre],$BI682)))&amp;"")</f>
        <v/>
      </c>
      <c r="I682" s="10">
        <f>IF($BI682="","",IF($B682="Onsite",INDEX(tbl_Onsite[Invoice Type],$BI682),IF($B682="Production",INDEX(tbl_Production[Invoice Type],$BI682),INDEX(tbl_Consulting[Invoice Type],$BI682)))&amp;"")</f>
        <v/>
      </c>
      <c r="J682" s="10">
        <f>IF($BI682="","",IF($B682="Onsite",INDEX(tbl_Onsite[Tax Code],$BI682),IF($B682="Production",INDEX(tbl_Production[Tax Code],$BI682),INDEX(tbl_Consulting[Tax Code],$BI682)))&amp;"")</f>
        <v/>
      </c>
      <c r="K682" s="10">
        <f>IF(H682="","",IFERROR(INDEX(lst_CCtoGL,MATCH(H682,lst_CCforGL,0)),""))</f>
        <v/>
      </c>
      <c r="L682" s="10">
        <f>IF($BI682="","",IF($B682="Onsite",INDEX(tbl_Onsite[PO / Reference],$BI682),IF($B682="Production",INDEX(tbl_Production[Current RMS No],$BI682),INDEX(tbl_Consulting[Qwilr Quote],$BI682)))&amp;"")</f>
        <v/>
      </c>
      <c r="M682" s="10">
        <f>IF($BI682="","",IF($B682="Onsite",INDEX(tbl_Onsite[Notes],$BI682),IF($B682="Production",INDEX(tbl_Production[Notes],$BI682),INDEX(tbl_Consulting[Notes],$BI682)))&amp;"")</f>
        <v/>
      </c>
      <c r="N682" s="11">
        <f>IF($BI682="","",IF(IF($B682="Onsite",INDEX(tbl_Onsite[Expected Revenue Ex GST],$BI682),IF($B682="Production",INDEX(tbl_Production[Expected Revenue Ex GST],$BI682),INDEX(tbl_Consulting[Expected Revenue Ex GST],$BI682)))="","",IF($B682="Onsite",INDEX(tbl_Onsite[Expected Revenue Ex GST],$BI682),IF($B682="Production",INDEX(tbl_Production[Expected Revenue Ex GST],$BI682),INDEX(tbl_Consulting[Expected Revenue Ex GST],$BI682)))))</f>
        <v/>
      </c>
      <c r="O682" s="11">
        <f>IF(AND($C682="",NOT(COUNTA($S682:$BB682)&gt;0)),"",SUM(U682,X682,AA682,AD682,AG682,AJ682,AM682,AP682,AS682,AV682,AY682,BB682))</f>
        <v/>
      </c>
      <c r="P682" s="11">
        <f>IF(O682="","",N(N682)-O682)</f>
        <v/>
      </c>
      <c r="Q682" s="10">
        <f>IF(O682="","",IF($C682="","Invoice on empty job row",IF(N682="",IF(ROUND(O682,2)=0,"No dept value","Invoiced - no dept value"),IF(ROUND(O682,2)=0,"Not invoiced - to invoice",IF(ROUND(P682,2)=0,"Agrees",IF(P682&gt;0,"Dept higher - to invoice","Xero higher - check dept"))))))</f>
        <v/>
      </c>
      <c r="R682" s="10">
        <f>IF(AND($C682="",NOT(COUNTA($S682:$BB682)&gt;0),$BI682&lt;&gt;""),"",MID(IF($BI682="","; Row ID not found on the department sheet - a row was deleted","")&amp;IF(AND($C682="",COUNTA($S682:$BB682)&gt;0),"; Invoice entered but the department row has no job number","")&amp;IF(E682="CHECK","; Job number not in the Xero job list","")&amp;IF(AND($C682&lt;&gt;"",COUNTIF($C$7:$C$1506,$C682)&gt;1),"; Job number on more than one row","")&amp;IF(AND($C682&lt;&gt;"",H682=""),"; Dept has not set a cost centre","")&amp;IF(AND($C682&lt;&gt;"",J682=""),"; Dept has not set a tax code","")&amp;IF(AND($C682&lt;&gt;"",N682=""),"; Dept has not entered an expected value","")&amp;IF((IF(OR(COUNTA(S682:U682)=0,AND(COUNTA(S682:U682)=3,ISNUMBER(U682))),0,1)+IF(OR(COUNTA(V682:X682)=0,AND(COUNTA(V682:X682)=3,ISNUMBER(X682))),0,1)+IF(OR(COUNTA(Y682:AA682)=0,AND(COUNTA(Y682:AA682)=3,ISNUMBER(AA682))),0,1)+IF(OR(COUNTA(AB682:AD682)=0,AND(COUNTA(AB682:AD682)=3,ISNUMBER(AD682))),0,1)+IF(OR(COUNTA(AE682:AG682)=0,AND(COUNTA(AE682:AG682)=3,ISNUMBER(AG682))),0,1)+IF(OR(COUNTA(AH682:AJ682)=0,AND(COUNTA(AH682:AJ682)=3,ISNUMBER(AJ682))),0,1)+IF(OR(COUNTA(AK682:AM682)=0,AND(COUNTA(AK682:AM682)=3,ISNUMBER(AM682))),0,1)+IF(OR(COUNTA(AN682:AP682)=0,AND(COUNTA(AN682:AP682)=3,ISNUMBER(AP682))),0,1)+IF(OR(COUNTA(AQ682:AS682)=0,AND(COUNTA(AQ682:AS682)=3,ISNUMBER(AS682))),0,1)+IF(OR(COUNTA(AT682:AV682)=0,AND(COUNTA(AT682:AV682)=3,ISNUMBER(AV682))),0,1)+IF(OR(COUNTA(AW682:AY682)=0,AND(COUNTA(AW682:AY682)=3,ISNUMBER(AY682))),0,1)+IF(OR(COUNTA(AZ682:BB682)=0,AND(COUNTA(AZ682:BB682)=3,ISNUMBER(BB682))),0,1))&gt;0,"; An invoice is incomplete (needs No, Date and a number in Ex GST)","")&amp;IF((IF(T682="",0,IFERROR(--(EOMONTH(T682,0)&lt;&gt;S$5),1))+IF(W682="",0,IFERROR(--(EOMONTH(W682,0)&lt;&gt;V$5),1))+IF(Z682="",0,IFERROR(--(EOMONTH(Z682,0)&lt;&gt;Y$5),1))+IF(AC682="",0,IFERROR(--(EOMONTH(AC682,0)&lt;&gt;AB$5),1))+IF(AF682="",0,IFERROR(--(EOMONTH(AF682,0)&lt;&gt;AE$5),1))+IF(AI682="",0,IFERROR(--(EOMONTH(AI682,0)&lt;&gt;AH$5),1))+IF(AL682="",0,IFERROR(--(EOMONTH(AL682,0)&lt;&gt;AK$5),1))+IF(AO682="",0,IFERROR(--(EOMONTH(AO682,0)&lt;&gt;AN$5),1))+IF(AR682="",0,IFERROR(--(EOMONTH(AR682,0)&lt;&gt;AQ$5),1))+IF(AU682="",0,IFERROR(--(EOMONTH(AU682,0)&lt;&gt;AT$5),1))+IF(AX682="",0,IFERROR(--(EOMONTH(AX682,0)&lt;&gt;AW$5),1))+IF(BA682="",0,IFERROR(--(EOMONTH(BA682,0)&lt;&gt;AZ$5),1)))&gt;0,"; An invoice date is not in the month it is typed under",""),3,500))</f>
        <v/>
      </c>
      <c r="S682" s="12" t="n"/>
      <c r="T682" s="13" t="n"/>
      <c r="U682" s="14" t="n"/>
      <c r="V682" s="12" t="n"/>
      <c r="W682" s="13" t="n"/>
      <c r="X682" s="14" t="n"/>
      <c r="Y682" s="12" t="n"/>
      <c r="Z682" s="13" t="n"/>
      <c r="AA682" s="14" t="n"/>
      <c r="AB682" s="12" t="n"/>
      <c r="AC682" s="13" t="n"/>
      <c r="AD682" s="14" t="n"/>
      <c r="AE682" s="12" t="n"/>
      <c r="AF682" s="13" t="n"/>
      <c r="AG682" s="14" t="n"/>
      <c r="AH682" s="12" t="n"/>
      <c r="AI682" s="13" t="n"/>
      <c r="AJ682" s="14" t="n"/>
      <c r="AK682" s="12" t="n"/>
      <c r="AL682" s="13" t="n"/>
      <c r="AM682" s="14" t="n"/>
      <c r="AN682" s="12" t="n"/>
      <c r="AO682" s="13" t="n"/>
      <c r="AP682" s="14" t="n"/>
      <c r="AQ682" s="12" t="n"/>
      <c r="AR682" s="13" t="n"/>
      <c r="AS682" s="14" t="n"/>
      <c r="AT682" s="12" t="n"/>
      <c r="AU682" s="13" t="n"/>
      <c r="AV682" s="14" t="n"/>
      <c r="AW682" s="12" t="n"/>
      <c r="AX682" s="13" t="n"/>
      <c r="AY682" s="14" t="n"/>
      <c r="AZ682" s="12" t="n"/>
      <c r="BA682" s="13" t="n"/>
      <c r="BB682" s="14" t="n"/>
      <c r="BC682" s="11">
        <f>IF(O682="","",IF(J682="GST 10%",ROUND(O682*set_GSTRate,2),0))</f>
        <v/>
      </c>
      <c r="BD682" s="11">
        <f>IF(O682="","",O682+BC682)</f>
        <v/>
      </c>
      <c r="BE682" s="15">
        <f>IF(O682="","",COUNTA(S682,V682,Y682,AB682,AE682,AH682,AK682,AN682,AQ682,AT682,AW682,AZ682))</f>
        <v/>
      </c>
      <c r="BF682" s="16">
        <f>IF(COUNT(T682,W682,Z682,AC682,AF682,AI682,AL682,AO682,AR682,AU682,AX682,BA682)=0,"",MAX(T682,W682,Z682,AC682,AF682,AI682,AL682,AO682,AR682,AU682,AX682,BA682))</f>
        <v/>
      </c>
      <c r="BG682" s="10">
        <f>MID(IF(S682="","",", "&amp;S682)&amp;IF(V682="","",", "&amp;V682)&amp;IF(Y682="","",", "&amp;Y682)&amp;IF(AB682="","",", "&amp;AB682)&amp;IF(AE682="","",", "&amp;AE682)&amp;IF(AH682="","",", "&amp;AH682)&amp;IF(AK682="","",", "&amp;AK682)&amp;IF(AN682="","",", "&amp;AN682)&amp;IF(AQ682="","",", "&amp;AQ682)&amp;IF(AT682="","",", "&amp;AT682)&amp;IF(AW682="","",", "&amp;AW682)&amp;IF(AZ682="","",", "&amp;AZ682),3,500)</f>
        <v/>
      </c>
      <c r="BH682" s="12" t="n"/>
      <c r="BI682" s="15">
        <f>IFERROR(MATCH($A682,IF($B682="Onsite",tbl_Onsite[Row ID],IF($B682="Production",tbl_Production[Row ID],tbl_Consulting[Row ID])),0),"")</f>
        <v/>
      </c>
    </row>
    <row r="683">
      <c r="A683" s="10" t="inlineStr">
        <is>
          <t>PRD-0177</t>
        </is>
      </c>
      <c r="B683" s="10" t="inlineStr">
        <is>
          <t>Production</t>
        </is>
      </c>
      <c r="C683" s="10">
        <f>IF($BI683="","",IF($B683="Onsite",INDEX(tbl_Onsite[Job Number],$BI683),IF($B683="Production",INDEX(tbl_Production[Job Number],$BI683),INDEX(tbl_Consulting[Job Number],$BI683)))&amp;"")</f>
        <v/>
      </c>
      <c r="D683" s="10">
        <f>IF($BI683="","",IF($B683="Onsite",INDEX(tbl_Onsite[Client],$BI683),IF($B683="Production",INDEX(tbl_Production[Client],$BI683),INDEX(tbl_Consulting[Client],$BI683)))&amp;"")</f>
        <v/>
      </c>
      <c r="E683" s="10">
        <f>IF($C683="","",IF(COUNTIF(lst_Jobs,$C683)&gt;0,"OK","CHECK"))</f>
        <v/>
      </c>
      <c r="F683" s="10">
        <f>IF($C683="","",IFERROR(INDEX(lst_JobName,MATCH($C683,lst_Jobs,0)),""))</f>
        <v/>
      </c>
      <c r="G683" s="10">
        <f>IF($BI683="","",IF($B683="Onsite",INDEX(tbl_Onsite[Job Description],$BI683),IF($B683="Production",INDEX(tbl_Production[Job Description],$BI683),INDEX(tbl_Consulting[Job Description],$BI683)))&amp;"")</f>
        <v/>
      </c>
      <c r="H683" s="10">
        <f>IF($BI683="","",IF($B683="Onsite",INDEX(tbl_Onsite[Cost Centre],$BI683),IF($B683="Production",INDEX(tbl_Production[Cost Centre],$BI683),INDEX(tbl_Consulting[Cost Centre],$BI683)))&amp;"")</f>
        <v/>
      </c>
      <c r="I683" s="10">
        <f>IF($BI683="","",IF($B683="Onsite",INDEX(tbl_Onsite[Invoice Type],$BI683),IF($B683="Production",INDEX(tbl_Production[Invoice Type],$BI683),INDEX(tbl_Consulting[Invoice Type],$BI683)))&amp;"")</f>
        <v/>
      </c>
      <c r="J683" s="10">
        <f>IF($BI683="","",IF($B683="Onsite",INDEX(tbl_Onsite[Tax Code],$BI683),IF($B683="Production",INDEX(tbl_Production[Tax Code],$BI683),INDEX(tbl_Consulting[Tax Code],$BI683)))&amp;"")</f>
        <v/>
      </c>
      <c r="K683" s="10">
        <f>IF(H683="","",IFERROR(INDEX(lst_CCtoGL,MATCH(H683,lst_CCforGL,0)),""))</f>
        <v/>
      </c>
      <c r="L683" s="10">
        <f>IF($BI683="","",IF($B683="Onsite",INDEX(tbl_Onsite[PO / Reference],$BI683),IF($B683="Production",INDEX(tbl_Production[Current RMS No],$BI683),INDEX(tbl_Consulting[Qwilr Quote],$BI683)))&amp;"")</f>
        <v/>
      </c>
      <c r="M683" s="10">
        <f>IF($BI683="","",IF($B683="Onsite",INDEX(tbl_Onsite[Notes],$BI683),IF($B683="Production",INDEX(tbl_Production[Notes],$BI683),INDEX(tbl_Consulting[Notes],$BI683)))&amp;"")</f>
        <v/>
      </c>
      <c r="N683" s="11">
        <f>IF($BI683="","",IF(IF($B683="Onsite",INDEX(tbl_Onsite[Expected Revenue Ex GST],$BI683),IF($B683="Production",INDEX(tbl_Production[Expected Revenue Ex GST],$BI683),INDEX(tbl_Consulting[Expected Revenue Ex GST],$BI683)))="","",IF($B683="Onsite",INDEX(tbl_Onsite[Expected Revenue Ex GST],$BI683),IF($B683="Production",INDEX(tbl_Production[Expected Revenue Ex GST],$BI683),INDEX(tbl_Consulting[Expected Revenue Ex GST],$BI683)))))</f>
        <v/>
      </c>
      <c r="O683" s="11">
        <f>IF(AND($C683="",NOT(COUNTA($S683:$BB683)&gt;0)),"",SUM(U683,X683,AA683,AD683,AG683,AJ683,AM683,AP683,AS683,AV683,AY683,BB683))</f>
        <v/>
      </c>
      <c r="P683" s="11">
        <f>IF(O683="","",N(N683)-O683)</f>
        <v/>
      </c>
      <c r="Q683" s="10">
        <f>IF(O683="","",IF($C683="","Invoice on empty job row",IF(N683="",IF(ROUND(O683,2)=0,"No dept value","Invoiced - no dept value"),IF(ROUND(O683,2)=0,"Not invoiced - to invoice",IF(ROUND(P683,2)=0,"Agrees",IF(P683&gt;0,"Dept higher - to invoice","Xero higher - check dept"))))))</f>
        <v/>
      </c>
      <c r="R683" s="10">
        <f>IF(AND($C683="",NOT(COUNTA($S683:$BB683)&gt;0),$BI683&lt;&gt;""),"",MID(IF($BI683="","; Row ID not found on the department sheet - a row was deleted","")&amp;IF(AND($C683="",COUNTA($S683:$BB683)&gt;0),"; Invoice entered but the department row has no job number","")&amp;IF(E683="CHECK","; Job number not in the Xero job list","")&amp;IF(AND($C683&lt;&gt;"",COUNTIF($C$7:$C$1506,$C683)&gt;1),"; Job number on more than one row","")&amp;IF(AND($C683&lt;&gt;"",H683=""),"; Dept has not set a cost centre","")&amp;IF(AND($C683&lt;&gt;"",J683=""),"; Dept has not set a tax code","")&amp;IF(AND($C683&lt;&gt;"",N683=""),"; Dept has not entered an expected value","")&amp;IF((IF(OR(COUNTA(S683:U683)=0,AND(COUNTA(S683:U683)=3,ISNUMBER(U683))),0,1)+IF(OR(COUNTA(V683:X683)=0,AND(COUNTA(V683:X683)=3,ISNUMBER(X683))),0,1)+IF(OR(COUNTA(Y683:AA683)=0,AND(COUNTA(Y683:AA683)=3,ISNUMBER(AA683))),0,1)+IF(OR(COUNTA(AB683:AD683)=0,AND(COUNTA(AB683:AD683)=3,ISNUMBER(AD683))),0,1)+IF(OR(COUNTA(AE683:AG683)=0,AND(COUNTA(AE683:AG683)=3,ISNUMBER(AG683))),0,1)+IF(OR(COUNTA(AH683:AJ683)=0,AND(COUNTA(AH683:AJ683)=3,ISNUMBER(AJ683))),0,1)+IF(OR(COUNTA(AK683:AM683)=0,AND(COUNTA(AK683:AM683)=3,ISNUMBER(AM683))),0,1)+IF(OR(COUNTA(AN683:AP683)=0,AND(COUNTA(AN683:AP683)=3,ISNUMBER(AP683))),0,1)+IF(OR(COUNTA(AQ683:AS683)=0,AND(COUNTA(AQ683:AS683)=3,ISNUMBER(AS683))),0,1)+IF(OR(COUNTA(AT683:AV683)=0,AND(COUNTA(AT683:AV683)=3,ISNUMBER(AV683))),0,1)+IF(OR(COUNTA(AW683:AY683)=0,AND(COUNTA(AW683:AY683)=3,ISNUMBER(AY683))),0,1)+IF(OR(COUNTA(AZ683:BB683)=0,AND(COUNTA(AZ683:BB683)=3,ISNUMBER(BB683))),0,1))&gt;0,"; An invoice is incomplete (needs No, Date and a number in Ex GST)","")&amp;IF((IF(T683="",0,IFERROR(--(EOMONTH(T683,0)&lt;&gt;S$5),1))+IF(W683="",0,IFERROR(--(EOMONTH(W683,0)&lt;&gt;V$5),1))+IF(Z683="",0,IFERROR(--(EOMONTH(Z683,0)&lt;&gt;Y$5),1))+IF(AC683="",0,IFERROR(--(EOMONTH(AC683,0)&lt;&gt;AB$5),1))+IF(AF683="",0,IFERROR(--(EOMONTH(AF683,0)&lt;&gt;AE$5),1))+IF(AI683="",0,IFERROR(--(EOMONTH(AI683,0)&lt;&gt;AH$5),1))+IF(AL683="",0,IFERROR(--(EOMONTH(AL683,0)&lt;&gt;AK$5),1))+IF(AO683="",0,IFERROR(--(EOMONTH(AO683,0)&lt;&gt;AN$5),1))+IF(AR683="",0,IFERROR(--(EOMONTH(AR683,0)&lt;&gt;AQ$5),1))+IF(AU683="",0,IFERROR(--(EOMONTH(AU683,0)&lt;&gt;AT$5),1))+IF(AX683="",0,IFERROR(--(EOMONTH(AX683,0)&lt;&gt;AW$5),1))+IF(BA683="",0,IFERROR(--(EOMONTH(BA683,0)&lt;&gt;AZ$5),1)))&gt;0,"; An invoice date is not in the month it is typed under",""),3,500))</f>
        <v/>
      </c>
      <c r="S683" s="12" t="n"/>
      <c r="T683" s="13" t="n"/>
      <c r="U683" s="14" t="n"/>
      <c r="V683" s="12" t="n"/>
      <c r="W683" s="13" t="n"/>
      <c r="X683" s="14" t="n"/>
      <c r="Y683" s="12" t="n"/>
      <c r="Z683" s="13" t="n"/>
      <c r="AA683" s="14" t="n"/>
      <c r="AB683" s="12" t="n"/>
      <c r="AC683" s="13" t="n"/>
      <c r="AD683" s="14" t="n"/>
      <c r="AE683" s="12" t="n"/>
      <c r="AF683" s="13" t="n"/>
      <c r="AG683" s="14" t="n"/>
      <c r="AH683" s="12" t="n"/>
      <c r="AI683" s="13" t="n"/>
      <c r="AJ683" s="14" t="n"/>
      <c r="AK683" s="12" t="n"/>
      <c r="AL683" s="13" t="n"/>
      <c r="AM683" s="14" t="n"/>
      <c r="AN683" s="12" t="n"/>
      <c r="AO683" s="13" t="n"/>
      <c r="AP683" s="14" t="n"/>
      <c r="AQ683" s="12" t="n"/>
      <c r="AR683" s="13" t="n"/>
      <c r="AS683" s="14" t="n"/>
      <c r="AT683" s="12" t="n"/>
      <c r="AU683" s="13" t="n"/>
      <c r="AV683" s="14" t="n"/>
      <c r="AW683" s="12" t="n"/>
      <c r="AX683" s="13" t="n"/>
      <c r="AY683" s="14" t="n"/>
      <c r="AZ683" s="12" t="n"/>
      <c r="BA683" s="13" t="n"/>
      <c r="BB683" s="14" t="n"/>
      <c r="BC683" s="11">
        <f>IF(O683="","",IF(J683="GST 10%",ROUND(O683*set_GSTRate,2),0))</f>
        <v/>
      </c>
      <c r="BD683" s="11">
        <f>IF(O683="","",O683+BC683)</f>
        <v/>
      </c>
      <c r="BE683" s="15">
        <f>IF(O683="","",COUNTA(S683,V683,Y683,AB683,AE683,AH683,AK683,AN683,AQ683,AT683,AW683,AZ683))</f>
        <v/>
      </c>
      <c r="BF683" s="16">
        <f>IF(COUNT(T683,W683,Z683,AC683,AF683,AI683,AL683,AO683,AR683,AU683,AX683,BA683)=0,"",MAX(T683,W683,Z683,AC683,AF683,AI683,AL683,AO683,AR683,AU683,AX683,BA683))</f>
        <v/>
      </c>
      <c r="BG683" s="10">
        <f>MID(IF(S683="","",", "&amp;S683)&amp;IF(V683="","",", "&amp;V683)&amp;IF(Y683="","",", "&amp;Y683)&amp;IF(AB683="","",", "&amp;AB683)&amp;IF(AE683="","",", "&amp;AE683)&amp;IF(AH683="","",", "&amp;AH683)&amp;IF(AK683="","",", "&amp;AK683)&amp;IF(AN683="","",", "&amp;AN683)&amp;IF(AQ683="","",", "&amp;AQ683)&amp;IF(AT683="","",", "&amp;AT683)&amp;IF(AW683="","",", "&amp;AW683)&amp;IF(AZ683="","",", "&amp;AZ683),3,500)</f>
        <v/>
      </c>
      <c r="BH683" s="12" t="n"/>
      <c r="BI683" s="15">
        <f>IFERROR(MATCH($A683,IF($B683="Onsite",tbl_Onsite[Row ID],IF($B683="Production",tbl_Production[Row ID],tbl_Consulting[Row ID])),0),"")</f>
        <v/>
      </c>
    </row>
    <row r="684">
      <c r="A684" s="10" t="inlineStr">
        <is>
          <t>PRD-0178</t>
        </is>
      </c>
      <c r="B684" s="10" t="inlineStr">
        <is>
          <t>Production</t>
        </is>
      </c>
      <c r="C684" s="10">
        <f>IF($BI684="","",IF($B684="Onsite",INDEX(tbl_Onsite[Job Number],$BI684),IF($B684="Production",INDEX(tbl_Production[Job Number],$BI684),INDEX(tbl_Consulting[Job Number],$BI684)))&amp;"")</f>
        <v/>
      </c>
      <c r="D684" s="10">
        <f>IF($BI684="","",IF($B684="Onsite",INDEX(tbl_Onsite[Client],$BI684),IF($B684="Production",INDEX(tbl_Production[Client],$BI684),INDEX(tbl_Consulting[Client],$BI684)))&amp;"")</f>
        <v/>
      </c>
      <c r="E684" s="10">
        <f>IF($C684="","",IF(COUNTIF(lst_Jobs,$C684)&gt;0,"OK","CHECK"))</f>
        <v/>
      </c>
      <c r="F684" s="10">
        <f>IF($C684="","",IFERROR(INDEX(lst_JobName,MATCH($C684,lst_Jobs,0)),""))</f>
        <v/>
      </c>
      <c r="G684" s="10">
        <f>IF($BI684="","",IF($B684="Onsite",INDEX(tbl_Onsite[Job Description],$BI684),IF($B684="Production",INDEX(tbl_Production[Job Description],$BI684),INDEX(tbl_Consulting[Job Description],$BI684)))&amp;"")</f>
        <v/>
      </c>
      <c r="H684" s="10">
        <f>IF($BI684="","",IF($B684="Onsite",INDEX(tbl_Onsite[Cost Centre],$BI684),IF($B684="Production",INDEX(tbl_Production[Cost Centre],$BI684),INDEX(tbl_Consulting[Cost Centre],$BI684)))&amp;"")</f>
        <v/>
      </c>
      <c r="I684" s="10">
        <f>IF($BI684="","",IF($B684="Onsite",INDEX(tbl_Onsite[Invoice Type],$BI684),IF($B684="Production",INDEX(tbl_Production[Invoice Type],$BI684),INDEX(tbl_Consulting[Invoice Type],$BI684)))&amp;"")</f>
        <v/>
      </c>
      <c r="J684" s="10">
        <f>IF($BI684="","",IF($B684="Onsite",INDEX(tbl_Onsite[Tax Code],$BI684),IF($B684="Production",INDEX(tbl_Production[Tax Code],$BI684),INDEX(tbl_Consulting[Tax Code],$BI684)))&amp;"")</f>
        <v/>
      </c>
      <c r="K684" s="10">
        <f>IF(H684="","",IFERROR(INDEX(lst_CCtoGL,MATCH(H684,lst_CCforGL,0)),""))</f>
        <v/>
      </c>
      <c r="L684" s="10">
        <f>IF($BI684="","",IF($B684="Onsite",INDEX(tbl_Onsite[PO / Reference],$BI684),IF($B684="Production",INDEX(tbl_Production[Current RMS No],$BI684),INDEX(tbl_Consulting[Qwilr Quote],$BI684)))&amp;"")</f>
        <v/>
      </c>
      <c r="M684" s="10">
        <f>IF($BI684="","",IF($B684="Onsite",INDEX(tbl_Onsite[Notes],$BI684),IF($B684="Production",INDEX(tbl_Production[Notes],$BI684),INDEX(tbl_Consulting[Notes],$BI684)))&amp;"")</f>
        <v/>
      </c>
      <c r="N684" s="11">
        <f>IF($BI684="","",IF(IF($B684="Onsite",INDEX(tbl_Onsite[Expected Revenue Ex GST],$BI684),IF($B684="Production",INDEX(tbl_Production[Expected Revenue Ex GST],$BI684),INDEX(tbl_Consulting[Expected Revenue Ex GST],$BI684)))="","",IF($B684="Onsite",INDEX(tbl_Onsite[Expected Revenue Ex GST],$BI684),IF($B684="Production",INDEX(tbl_Production[Expected Revenue Ex GST],$BI684),INDEX(tbl_Consulting[Expected Revenue Ex GST],$BI684)))))</f>
        <v/>
      </c>
      <c r="O684" s="11">
        <f>IF(AND($C684="",NOT(COUNTA($S684:$BB684)&gt;0)),"",SUM(U684,X684,AA684,AD684,AG684,AJ684,AM684,AP684,AS684,AV684,AY684,BB684))</f>
        <v/>
      </c>
      <c r="P684" s="11">
        <f>IF(O684="","",N(N684)-O684)</f>
        <v/>
      </c>
      <c r="Q684" s="10">
        <f>IF(O684="","",IF($C684="","Invoice on empty job row",IF(N684="",IF(ROUND(O684,2)=0,"No dept value","Invoiced - no dept value"),IF(ROUND(O684,2)=0,"Not invoiced - to invoice",IF(ROUND(P684,2)=0,"Agrees",IF(P684&gt;0,"Dept higher - to invoice","Xero higher - check dept"))))))</f>
        <v/>
      </c>
      <c r="R684" s="10">
        <f>IF(AND($C684="",NOT(COUNTA($S684:$BB684)&gt;0),$BI684&lt;&gt;""),"",MID(IF($BI684="","; Row ID not found on the department sheet - a row was deleted","")&amp;IF(AND($C684="",COUNTA($S684:$BB684)&gt;0),"; Invoice entered but the department row has no job number","")&amp;IF(E684="CHECK","; Job number not in the Xero job list","")&amp;IF(AND($C684&lt;&gt;"",COUNTIF($C$7:$C$1506,$C684)&gt;1),"; Job number on more than one row","")&amp;IF(AND($C684&lt;&gt;"",H684=""),"; Dept has not set a cost centre","")&amp;IF(AND($C684&lt;&gt;"",J684=""),"; Dept has not set a tax code","")&amp;IF(AND($C684&lt;&gt;"",N684=""),"; Dept has not entered an expected value","")&amp;IF((IF(OR(COUNTA(S684:U684)=0,AND(COUNTA(S684:U684)=3,ISNUMBER(U684))),0,1)+IF(OR(COUNTA(V684:X684)=0,AND(COUNTA(V684:X684)=3,ISNUMBER(X684))),0,1)+IF(OR(COUNTA(Y684:AA684)=0,AND(COUNTA(Y684:AA684)=3,ISNUMBER(AA684))),0,1)+IF(OR(COUNTA(AB684:AD684)=0,AND(COUNTA(AB684:AD684)=3,ISNUMBER(AD684))),0,1)+IF(OR(COUNTA(AE684:AG684)=0,AND(COUNTA(AE684:AG684)=3,ISNUMBER(AG684))),0,1)+IF(OR(COUNTA(AH684:AJ684)=0,AND(COUNTA(AH684:AJ684)=3,ISNUMBER(AJ684))),0,1)+IF(OR(COUNTA(AK684:AM684)=0,AND(COUNTA(AK684:AM684)=3,ISNUMBER(AM684))),0,1)+IF(OR(COUNTA(AN684:AP684)=0,AND(COUNTA(AN684:AP684)=3,ISNUMBER(AP684))),0,1)+IF(OR(COUNTA(AQ684:AS684)=0,AND(COUNTA(AQ684:AS684)=3,ISNUMBER(AS684))),0,1)+IF(OR(COUNTA(AT684:AV684)=0,AND(COUNTA(AT684:AV684)=3,ISNUMBER(AV684))),0,1)+IF(OR(COUNTA(AW684:AY684)=0,AND(COUNTA(AW684:AY684)=3,ISNUMBER(AY684))),0,1)+IF(OR(COUNTA(AZ684:BB684)=0,AND(COUNTA(AZ684:BB684)=3,ISNUMBER(BB684))),0,1))&gt;0,"; An invoice is incomplete (needs No, Date and a number in Ex GST)","")&amp;IF((IF(T684="",0,IFERROR(--(EOMONTH(T684,0)&lt;&gt;S$5),1))+IF(W684="",0,IFERROR(--(EOMONTH(W684,0)&lt;&gt;V$5),1))+IF(Z684="",0,IFERROR(--(EOMONTH(Z684,0)&lt;&gt;Y$5),1))+IF(AC684="",0,IFERROR(--(EOMONTH(AC684,0)&lt;&gt;AB$5),1))+IF(AF684="",0,IFERROR(--(EOMONTH(AF684,0)&lt;&gt;AE$5),1))+IF(AI684="",0,IFERROR(--(EOMONTH(AI684,0)&lt;&gt;AH$5),1))+IF(AL684="",0,IFERROR(--(EOMONTH(AL684,0)&lt;&gt;AK$5),1))+IF(AO684="",0,IFERROR(--(EOMONTH(AO684,0)&lt;&gt;AN$5),1))+IF(AR684="",0,IFERROR(--(EOMONTH(AR684,0)&lt;&gt;AQ$5),1))+IF(AU684="",0,IFERROR(--(EOMONTH(AU684,0)&lt;&gt;AT$5),1))+IF(AX684="",0,IFERROR(--(EOMONTH(AX684,0)&lt;&gt;AW$5),1))+IF(BA684="",0,IFERROR(--(EOMONTH(BA684,0)&lt;&gt;AZ$5),1)))&gt;0,"; An invoice date is not in the month it is typed under",""),3,500))</f>
        <v/>
      </c>
      <c r="S684" s="12" t="n"/>
      <c r="T684" s="13" t="n"/>
      <c r="U684" s="14" t="n"/>
      <c r="V684" s="12" t="n"/>
      <c r="W684" s="13" t="n"/>
      <c r="X684" s="14" t="n"/>
      <c r="Y684" s="12" t="n"/>
      <c r="Z684" s="13" t="n"/>
      <c r="AA684" s="14" t="n"/>
      <c r="AB684" s="12" t="n"/>
      <c r="AC684" s="13" t="n"/>
      <c r="AD684" s="14" t="n"/>
      <c r="AE684" s="12" t="n"/>
      <c r="AF684" s="13" t="n"/>
      <c r="AG684" s="14" t="n"/>
      <c r="AH684" s="12" t="n"/>
      <c r="AI684" s="13" t="n"/>
      <c r="AJ684" s="14" t="n"/>
      <c r="AK684" s="12" t="n"/>
      <c r="AL684" s="13" t="n"/>
      <c r="AM684" s="14" t="n"/>
      <c r="AN684" s="12" t="n"/>
      <c r="AO684" s="13" t="n"/>
      <c r="AP684" s="14" t="n"/>
      <c r="AQ684" s="12" t="n"/>
      <c r="AR684" s="13" t="n"/>
      <c r="AS684" s="14" t="n"/>
      <c r="AT684" s="12" t="n"/>
      <c r="AU684" s="13" t="n"/>
      <c r="AV684" s="14" t="n"/>
      <c r="AW684" s="12" t="n"/>
      <c r="AX684" s="13" t="n"/>
      <c r="AY684" s="14" t="n"/>
      <c r="AZ684" s="12" t="n"/>
      <c r="BA684" s="13" t="n"/>
      <c r="BB684" s="14" t="n"/>
      <c r="BC684" s="11">
        <f>IF(O684="","",IF(J684="GST 10%",ROUND(O684*set_GSTRate,2),0))</f>
        <v/>
      </c>
      <c r="BD684" s="11">
        <f>IF(O684="","",O684+BC684)</f>
        <v/>
      </c>
      <c r="BE684" s="15">
        <f>IF(O684="","",COUNTA(S684,V684,Y684,AB684,AE684,AH684,AK684,AN684,AQ684,AT684,AW684,AZ684))</f>
        <v/>
      </c>
      <c r="BF684" s="16">
        <f>IF(COUNT(T684,W684,Z684,AC684,AF684,AI684,AL684,AO684,AR684,AU684,AX684,BA684)=0,"",MAX(T684,W684,Z684,AC684,AF684,AI684,AL684,AO684,AR684,AU684,AX684,BA684))</f>
        <v/>
      </c>
      <c r="BG684" s="10">
        <f>MID(IF(S684="","",", "&amp;S684)&amp;IF(V684="","",", "&amp;V684)&amp;IF(Y684="","",", "&amp;Y684)&amp;IF(AB684="","",", "&amp;AB684)&amp;IF(AE684="","",", "&amp;AE684)&amp;IF(AH684="","",", "&amp;AH684)&amp;IF(AK684="","",", "&amp;AK684)&amp;IF(AN684="","",", "&amp;AN684)&amp;IF(AQ684="","",", "&amp;AQ684)&amp;IF(AT684="","",", "&amp;AT684)&amp;IF(AW684="","",", "&amp;AW684)&amp;IF(AZ684="","",", "&amp;AZ684),3,500)</f>
        <v/>
      </c>
      <c r="BH684" s="12" t="n"/>
      <c r="BI684" s="15">
        <f>IFERROR(MATCH($A684,IF($B684="Onsite",tbl_Onsite[Row ID],IF($B684="Production",tbl_Production[Row ID],tbl_Consulting[Row ID])),0),"")</f>
        <v/>
      </c>
    </row>
    <row r="685">
      <c r="A685" s="10" t="inlineStr">
        <is>
          <t>PRD-0179</t>
        </is>
      </c>
      <c r="B685" s="10" t="inlineStr">
        <is>
          <t>Production</t>
        </is>
      </c>
      <c r="C685" s="10">
        <f>IF($BI685="","",IF($B685="Onsite",INDEX(tbl_Onsite[Job Number],$BI685),IF($B685="Production",INDEX(tbl_Production[Job Number],$BI685),INDEX(tbl_Consulting[Job Number],$BI685)))&amp;"")</f>
        <v/>
      </c>
      <c r="D685" s="10">
        <f>IF($BI685="","",IF($B685="Onsite",INDEX(tbl_Onsite[Client],$BI685),IF($B685="Production",INDEX(tbl_Production[Client],$BI685),INDEX(tbl_Consulting[Client],$BI685)))&amp;"")</f>
        <v/>
      </c>
      <c r="E685" s="10">
        <f>IF($C685="","",IF(COUNTIF(lst_Jobs,$C685)&gt;0,"OK","CHECK"))</f>
        <v/>
      </c>
      <c r="F685" s="10">
        <f>IF($C685="","",IFERROR(INDEX(lst_JobName,MATCH($C685,lst_Jobs,0)),""))</f>
        <v/>
      </c>
      <c r="G685" s="10">
        <f>IF($BI685="","",IF($B685="Onsite",INDEX(tbl_Onsite[Job Description],$BI685),IF($B685="Production",INDEX(tbl_Production[Job Description],$BI685),INDEX(tbl_Consulting[Job Description],$BI685)))&amp;"")</f>
        <v/>
      </c>
      <c r="H685" s="10">
        <f>IF($BI685="","",IF($B685="Onsite",INDEX(tbl_Onsite[Cost Centre],$BI685),IF($B685="Production",INDEX(tbl_Production[Cost Centre],$BI685),INDEX(tbl_Consulting[Cost Centre],$BI685)))&amp;"")</f>
        <v/>
      </c>
      <c r="I685" s="10">
        <f>IF($BI685="","",IF($B685="Onsite",INDEX(tbl_Onsite[Invoice Type],$BI685),IF($B685="Production",INDEX(tbl_Production[Invoice Type],$BI685),INDEX(tbl_Consulting[Invoice Type],$BI685)))&amp;"")</f>
        <v/>
      </c>
      <c r="J685" s="10">
        <f>IF($BI685="","",IF($B685="Onsite",INDEX(tbl_Onsite[Tax Code],$BI685),IF($B685="Production",INDEX(tbl_Production[Tax Code],$BI685),INDEX(tbl_Consulting[Tax Code],$BI685)))&amp;"")</f>
        <v/>
      </c>
      <c r="K685" s="10">
        <f>IF(H685="","",IFERROR(INDEX(lst_CCtoGL,MATCH(H685,lst_CCforGL,0)),""))</f>
        <v/>
      </c>
      <c r="L685" s="10">
        <f>IF($BI685="","",IF($B685="Onsite",INDEX(tbl_Onsite[PO / Reference],$BI685),IF($B685="Production",INDEX(tbl_Production[Current RMS No],$BI685),INDEX(tbl_Consulting[Qwilr Quote],$BI685)))&amp;"")</f>
        <v/>
      </c>
      <c r="M685" s="10">
        <f>IF($BI685="","",IF($B685="Onsite",INDEX(tbl_Onsite[Notes],$BI685),IF($B685="Production",INDEX(tbl_Production[Notes],$BI685),INDEX(tbl_Consulting[Notes],$BI685)))&amp;"")</f>
        <v/>
      </c>
      <c r="N685" s="11">
        <f>IF($BI685="","",IF(IF($B685="Onsite",INDEX(tbl_Onsite[Expected Revenue Ex GST],$BI685),IF($B685="Production",INDEX(tbl_Production[Expected Revenue Ex GST],$BI685),INDEX(tbl_Consulting[Expected Revenue Ex GST],$BI685)))="","",IF($B685="Onsite",INDEX(tbl_Onsite[Expected Revenue Ex GST],$BI685),IF($B685="Production",INDEX(tbl_Production[Expected Revenue Ex GST],$BI685),INDEX(tbl_Consulting[Expected Revenue Ex GST],$BI685)))))</f>
        <v/>
      </c>
      <c r="O685" s="11">
        <f>IF(AND($C685="",NOT(COUNTA($S685:$BB685)&gt;0)),"",SUM(U685,X685,AA685,AD685,AG685,AJ685,AM685,AP685,AS685,AV685,AY685,BB685))</f>
        <v/>
      </c>
      <c r="P685" s="11">
        <f>IF(O685="","",N(N685)-O685)</f>
        <v/>
      </c>
      <c r="Q685" s="10">
        <f>IF(O685="","",IF($C685="","Invoice on empty job row",IF(N685="",IF(ROUND(O685,2)=0,"No dept value","Invoiced - no dept value"),IF(ROUND(O685,2)=0,"Not invoiced - to invoice",IF(ROUND(P685,2)=0,"Agrees",IF(P685&gt;0,"Dept higher - to invoice","Xero higher - check dept"))))))</f>
        <v/>
      </c>
      <c r="R685" s="10">
        <f>IF(AND($C685="",NOT(COUNTA($S685:$BB685)&gt;0),$BI685&lt;&gt;""),"",MID(IF($BI685="","; Row ID not found on the department sheet - a row was deleted","")&amp;IF(AND($C685="",COUNTA($S685:$BB685)&gt;0),"; Invoice entered but the department row has no job number","")&amp;IF(E685="CHECK","; Job number not in the Xero job list","")&amp;IF(AND($C685&lt;&gt;"",COUNTIF($C$7:$C$1506,$C685)&gt;1),"; Job number on more than one row","")&amp;IF(AND($C685&lt;&gt;"",H685=""),"; Dept has not set a cost centre","")&amp;IF(AND($C685&lt;&gt;"",J685=""),"; Dept has not set a tax code","")&amp;IF(AND($C685&lt;&gt;"",N685=""),"; Dept has not entered an expected value","")&amp;IF((IF(OR(COUNTA(S685:U685)=0,AND(COUNTA(S685:U685)=3,ISNUMBER(U685))),0,1)+IF(OR(COUNTA(V685:X685)=0,AND(COUNTA(V685:X685)=3,ISNUMBER(X685))),0,1)+IF(OR(COUNTA(Y685:AA685)=0,AND(COUNTA(Y685:AA685)=3,ISNUMBER(AA685))),0,1)+IF(OR(COUNTA(AB685:AD685)=0,AND(COUNTA(AB685:AD685)=3,ISNUMBER(AD685))),0,1)+IF(OR(COUNTA(AE685:AG685)=0,AND(COUNTA(AE685:AG685)=3,ISNUMBER(AG685))),0,1)+IF(OR(COUNTA(AH685:AJ685)=0,AND(COUNTA(AH685:AJ685)=3,ISNUMBER(AJ685))),0,1)+IF(OR(COUNTA(AK685:AM685)=0,AND(COUNTA(AK685:AM685)=3,ISNUMBER(AM685))),0,1)+IF(OR(COUNTA(AN685:AP685)=0,AND(COUNTA(AN685:AP685)=3,ISNUMBER(AP685))),0,1)+IF(OR(COUNTA(AQ685:AS685)=0,AND(COUNTA(AQ685:AS685)=3,ISNUMBER(AS685))),0,1)+IF(OR(COUNTA(AT685:AV685)=0,AND(COUNTA(AT685:AV685)=3,ISNUMBER(AV685))),0,1)+IF(OR(COUNTA(AW685:AY685)=0,AND(COUNTA(AW685:AY685)=3,ISNUMBER(AY685))),0,1)+IF(OR(COUNTA(AZ685:BB685)=0,AND(COUNTA(AZ685:BB685)=3,ISNUMBER(BB685))),0,1))&gt;0,"; An invoice is incomplete (needs No, Date and a number in Ex GST)","")&amp;IF((IF(T685="",0,IFERROR(--(EOMONTH(T685,0)&lt;&gt;S$5),1))+IF(W685="",0,IFERROR(--(EOMONTH(W685,0)&lt;&gt;V$5),1))+IF(Z685="",0,IFERROR(--(EOMONTH(Z685,0)&lt;&gt;Y$5),1))+IF(AC685="",0,IFERROR(--(EOMONTH(AC685,0)&lt;&gt;AB$5),1))+IF(AF685="",0,IFERROR(--(EOMONTH(AF685,0)&lt;&gt;AE$5),1))+IF(AI685="",0,IFERROR(--(EOMONTH(AI685,0)&lt;&gt;AH$5),1))+IF(AL685="",0,IFERROR(--(EOMONTH(AL685,0)&lt;&gt;AK$5),1))+IF(AO685="",0,IFERROR(--(EOMONTH(AO685,0)&lt;&gt;AN$5),1))+IF(AR685="",0,IFERROR(--(EOMONTH(AR685,0)&lt;&gt;AQ$5),1))+IF(AU685="",0,IFERROR(--(EOMONTH(AU685,0)&lt;&gt;AT$5),1))+IF(AX685="",0,IFERROR(--(EOMONTH(AX685,0)&lt;&gt;AW$5),1))+IF(BA685="",0,IFERROR(--(EOMONTH(BA685,0)&lt;&gt;AZ$5),1)))&gt;0,"; An invoice date is not in the month it is typed under",""),3,500))</f>
        <v/>
      </c>
      <c r="S685" s="12" t="n"/>
      <c r="T685" s="13" t="n"/>
      <c r="U685" s="14" t="n"/>
      <c r="V685" s="12" t="n"/>
      <c r="W685" s="13" t="n"/>
      <c r="X685" s="14" t="n"/>
      <c r="Y685" s="12" t="n"/>
      <c r="Z685" s="13" t="n"/>
      <c r="AA685" s="14" t="n"/>
      <c r="AB685" s="12" t="n"/>
      <c r="AC685" s="13" t="n"/>
      <c r="AD685" s="14" t="n"/>
      <c r="AE685" s="12" t="n"/>
      <c r="AF685" s="13" t="n"/>
      <c r="AG685" s="14" t="n"/>
      <c r="AH685" s="12" t="n"/>
      <c r="AI685" s="13" t="n"/>
      <c r="AJ685" s="14" t="n"/>
      <c r="AK685" s="12" t="n"/>
      <c r="AL685" s="13" t="n"/>
      <c r="AM685" s="14" t="n"/>
      <c r="AN685" s="12" t="n"/>
      <c r="AO685" s="13" t="n"/>
      <c r="AP685" s="14" t="n"/>
      <c r="AQ685" s="12" t="n"/>
      <c r="AR685" s="13" t="n"/>
      <c r="AS685" s="14" t="n"/>
      <c r="AT685" s="12" t="n"/>
      <c r="AU685" s="13" t="n"/>
      <c r="AV685" s="14" t="n"/>
      <c r="AW685" s="12" t="n"/>
      <c r="AX685" s="13" t="n"/>
      <c r="AY685" s="14" t="n"/>
      <c r="AZ685" s="12" t="n"/>
      <c r="BA685" s="13" t="n"/>
      <c r="BB685" s="14" t="n"/>
      <c r="BC685" s="11">
        <f>IF(O685="","",IF(J685="GST 10%",ROUND(O685*set_GSTRate,2),0))</f>
        <v/>
      </c>
      <c r="BD685" s="11">
        <f>IF(O685="","",O685+BC685)</f>
        <v/>
      </c>
      <c r="BE685" s="15">
        <f>IF(O685="","",COUNTA(S685,V685,Y685,AB685,AE685,AH685,AK685,AN685,AQ685,AT685,AW685,AZ685))</f>
        <v/>
      </c>
      <c r="BF685" s="16">
        <f>IF(COUNT(T685,W685,Z685,AC685,AF685,AI685,AL685,AO685,AR685,AU685,AX685,BA685)=0,"",MAX(T685,W685,Z685,AC685,AF685,AI685,AL685,AO685,AR685,AU685,AX685,BA685))</f>
        <v/>
      </c>
      <c r="BG685" s="10">
        <f>MID(IF(S685="","",", "&amp;S685)&amp;IF(V685="","",", "&amp;V685)&amp;IF(Y685="","",", "&amp;Y685)&amp;IF(AB685="","",", "&amp;AB685)&amp;IF(AE685="","",", "&amp;AE685)&amp;IF(AH685="","",", "&amp;AH685)&amp;IF(AK685="","",", "&amp;AK685)&amp;IF(AN685="","",", "&amp;AN685)&amp;IF(AQ685="","",", "&amp;AQ685)&amp;IF(AT685="","",", "&amp;AT685)&amp;IF(AW685="","",", "&amp;AW685)&amp;IF(AZ685="","",", "&amp;AZ685),3,500)</f>
        <v/>
      </c>
      <c r="BH685" s="12" t="n"/>
      <c r="BI685" s="15">
        <f>IFERROR(MATCH($A685,IF($B685="Onsite",tbl_Onsite[Row ID],IF($B685="Production",tbl_Production[Row ID],tbl_Consulting[Row ID])),0),"")</f>
        <v/>
      </c>
    </row>
    <row r="686">
      <c r="A686" s="10" t="inlineStr">
        <is>
          <t>PRD-0180</t>
        </is>
      </c>
      <c r="B686" s="10" t="inlineStr">
        <is>
          <t>Production</t>
        </is>
      </c>
      <c r="C686" s="10">
        <f>IF($BI686="","",IF($B686="Onsite",INDEX(tbl_Onsite[Job Number],$BI686),IF($B686="Production",INDEX(tbl_Production[Job Number],$BI686),INDEX(tbl_Consulting[Job Number],$BI686)))&amp;"")</f>
        <v/>
      </c>
      <c r="D686" s="10">
        <f>IF($BI686="","",IF($B686="Onsite",INDEX(tbl_Onsite[Client],$BI686),IF($B686="Production",INDEX(tbl_Production[Client],$BI686),INDEX(tbl_Consulting[Client],$BI686)))&amp;"")</f>
        <v/>
      </c>
      <c r="E686" s="10">
        <f>IF($C686="","",IF(COUNTIF(lst_Jobs,$C686)&gt;0,"OK","CHECK"))</f>
        <v/>
      </c>
      <c r="F686" s="10">
        <f>IF($C686="","",IFERROR(INDEX(lst_JobName,MATCH($C686,lst_Jobs,0)),""))</f>
        <v/>
      </c>
      <c r="G686" s="10">
        <f>IF($BI686="","",IF($B686="Onsite",INDEX(tbl_Onsite[Job Description],$BI686),IF($B686="Production",INDEX(tbl_Production[Job Description],$BI686),INDEX(tbl_Consulting[Job Description],$BI686)))&amp;"")</f>
        <v/>
      </c>
      <c r="H686" s="10">
        <f>IF($BI686="","",IF($B686="Onsite",INDEX(tbl_Onsite[Cost Centre],$BI686),IF($B686="Production",INDEX(tbl_Production[Cost Centre],$BI686),INDEX(tbl_Consulting[Cost Centre],$BI686)))&amp;"")</f>
        <v/>
      </c>
      <c r="I686" s="10">
        <f>IF($BI686="","",IF($B686="Onsite",INDEX(tbl_Onsite[Invoice Type],$BI686),IF($B686="Production",INDEX(tbl_Production[Invoice Type],$BI686),INDEX(tbl_Consulting[Invoice Type],$BI686)))&amp;"")</f>
        <v/>
      </c>
      <c r="J686" s="10">
        <f>IF($BI686="","",IF($B686="Onsite",INDEX(tbl_Onsite[Tax Code],$BI686),IF($B686="Production",INDEX(tbl_Production[Tax Code],$BI686),INDEX(tbl_Consulting[Tax Code],$BI686)))&amp;"")</f>
        <v/>
      </c>
      <c r="K686" s="10">
        <f>IF(H686="","",IFERROR(INDEX(lst_CCtoGL,MATCH(H686,lst_CCforGL,0)),""))</f>
        <v/>
      </c>
      <c r="L686" s="10">
        <f>IF($BI686="","",IF($B686="Onsite",INDEX(tbl_Onsite[PO / Reference],$BI686),IF($B686="Production",INDEX(tbl_Production[Current RMS No],$BI686),INDEX(tbl_Consulting[Qwilr Quote],$BI686)))&amp;"")</f>
        <v/>
      </c>
      <c r="M686" s="10">
        <f>IF($BI686="","",IF($B686="Onsite",INDEX(tbl_Onsite[Notes],$BI686),IF($B686="Production",INDEX(tbl_Production[Notes],$BI686),INDEX(tbl_Consulting[Notes],$BI686)))&amp;"")</f>
        <v/>
      </c>
      <c r="N686" s="11">
        <f>IF($BI686="","",IF(IF($B686="Onsite",INDEX(tbl_Onsite[Expected Revenue Ex GST],$BI686),IF($B686="Production",INDEX(tbl_Production[Expected Revenue Ex GST],$BI686),INDEX(tbl_Consulting[Expected Revenue Ex GST],$BI686)))="","",IF($B686="Onsite",INDEX(tbl_Onsite[Expected Revenue Ex GST],$BI686),IF($B686="Production",INDEX(tbl_Production[Expected Revenue Ex GST],$BI686),INDEX(tbl_Consulting[Expected Revenue Ex GST],$BI686)))))</f>
        <v/>
      </c>
      <c r="O686" s="11">
        <f>IF(AND($C686="",NOT(COUNTA($S686:$BB686)&gt;0)),"",SUM(U686,X686,AA686,AD686,AG686,AJ686,AM686,AP686,AS686,AV686,AY686,BB686))</f>
        <v/>
      </c>
      <c r="P686" s="11">
        <f>IF(O686="","",N(N686)-O686)</f>
        <v/>
      </c>
      <c r="Q686" s="10">
        <f>IF(O686="","",IF($C686="","Invoice on empty job row",IF(N686="",IF(ROUND(O686,2)=0,"No dept value","Invoiced - no dept value"),IF(ROUND(O686,2)=0,"Not invoiced - to invoice",IF(ROUND(P686,2)=0,"Agrees",IF(P686&gt;0,"Dept higher - to invoice","Xero higher - check dept"))))))</f>
        <v/>
      </c>
      <c r="R686" s="10">
        <f>IF(AND($C686="",NOT(COUNTA($S686:$BB686)&gt;0),$BI686&lt;&gt;""),"",MID(IF($BI686="","; Row ID not found on the department sheet - a row was deleted","")&amp;IF(AND($C686="",COUNTA($S686:$BB686)&gt;0),"; Invoice entered but the department row has no job number","")&amp;IF(E686="CHECK","; Job number not in the Xero job list","")&amp;IF(AND($C686&lt;&gt;"",COUNTIF($C$7:$C$1506,$C686)&gt;1),"; Job number on more than one row","")&amp;IF(AND($C686&lt;&gt;"",H686=""),"; Dept has not set a cost centre","")&amp;IF(AND($C686&lt;&gt;"",J686=""),"; Dept has not set a tax code","")&amp;IF(AND($C686&lt;&gt;"",N686=""),"; Dept has not entered an expected value","")&amp;IF((IF(OR(COUNTA(S686:U686)=0,AND(COUNTA(S686:U686)=3,ISNUMBER(U686))),0,1)+IF(OR(COUNTA(V686:X686)=0,AND(COUNTA(V686:X686)=3,ISNUMBER(X686))),0,1)+IF(OR(COUNTA(Y686:AA686)=0,AND(COUNTA(Y686:AA686)=3,ISNUMBER(AA686))),0,1)+IF(OR(COUNTA(AB686:AD686)=0,AND(COUNTA(AB686:AD686)=3,ISNUMBER(AD686))),0,1)+IF(OR(COUNTA(AE686:AG686)=0,AND(COUNTA(AE686:AG686)=3,ISNUMBER(AG686))),0,1)+IF(OR(COUNTA(AH686:AJ686)=0,AND(COUNTA(AH686:AJ686)=3,ISNUMBER(AJ686))),0,1)+IF(OR(COUNTA(AK686:AM686)=0,AND(COUNTA(AK686:AM686)=3,ISNUMBER(AM686))),0,1)+IF(OR(COUNTA(AN686:AP686)=0,AND(COUNTA(AN686:AP686)=3,ISNUMBER(AP686))),0,1)+IF(OR(COUNTA(AQ686:AS686)=0,AND(COUNTA(AQ686:AS686)=3,ISNUMBER(AS686))),0,1)+IF(OR(COUNTA(AT686:AV686)=0,AND(COUNTA(AT686:AV686)=3,ISNUMBER(AV686))),0,1)+IF(OR(COUNTA(AW686:AY686)=0,AND(COUNTA(AW686:AY686)=3,ISNUMBER(AY686))),0,1)+IF(OR(COUNTA(AZ686:BB686)=0,AND(COUNTA(AZ686:BB686)=3,ISNUMBER(BB686))),0,1))&gt;0,"; An invoice is incomplete (needs No, Date and a number in Ex GST)","")&amp;IF((IF(T686="",0,IFERROR(--(EOMONTH(T686,0)&lt;&gt;S$5),1))+IF(W686="",0,IFERROR(--(EOMONTH(W686,0)&lt;&gt;V$5),1))+IF(Z686="",0,IFERROR(--(EOMONTH(Z686,0)&lt;&gt;Y$5),1))+IF(AC686="",0,IFERROR(--(EOMONTH(AC686,0)&lt;&gt;AB$5),1))+IF(AF686="",0,IFERROR(--(EOMONTH(AF686,0)&lt;&gt;AE$5),1))+IF(AI686="",0,IFERROR(--(EOMONTH(AI686,0)&lt;&gt;AH$5),1))+IF(AL686="",0,IFERROR(--(EOMONTH(AL686,0)&lt;&gt;AK$5),1))+IF(AO686="",0,IFERROR(--(EOMONTH(AO686,0)&lt;&gt;AN$5),1))+IF(AR686="",0,IFERROR(--(EOMONTH(AR686,0)&lt;&gt;AQ$5),1))+IF(AU686="",0,IFERROR(--(EOMONTH(AU686,0)&lt;&gt;AT$5),1))+IF(AX686="",0,IFERROR(--(EOMONTH(AX686,0)&lt;&gt;AW$5),1))+IF(BA686="",0,IFERROR(--(EOMONTH(BA686,0)&lt;&gt;AZ$5),1)))&gt;0,"; An invoice date is not in the month it is typed under",""),3,500))</f>
        <v/>
      </c>
      <c r="S686" s="12" t="n"/>
      <c r="T686" s="13" t="n"/>
      <c r="U686" s="14" t="n"/>
      <c r="V686" s="12" t="n"/>
      <c r="W686" s="13" t="n"/>
      <c r="X686" s="14" t="n"/>
      <c r="Y686" s="12" t="n"/>
      <c r="Z686" s="13" t="n"/>
      <c r="AA686" s="14" t="n"/>
      <c r="AB686" s="12" t="n"/>
      <c r="AC686" s="13" t="n"/>
      <c r="AD686" s="14" t="n"/>
      <c r="AE686" s="12" t="n"/>
      <c r="AF686" s="13" t="n"/>
      <c r="AG686" s="14" t="n"/>
      <c r="AH686" s="12" t="n"/>
      <c r="AI686" s="13" t="n"/>
      <c r="AJ686" s="14" t="n"/>
      <c r="AK686" s="12" t="n"/>
      <c r="AL686" s="13" t="n"/>
      <c r="AM686" s="14" t="n"/>
      <c r="AN686" s="12" t="n"/>
      <c r="AO686" s="13" t="n"/>
      <c r="AP686" s="14" t="n"/>
      <c r="AQ686" s="12" t="n"/>
      <c r="AR686" s="13" t="n"/>
      <c r="AS686" s="14" t="n"/>
      <c r="AT686" s="12" t="n"/>
      <c r="AU686" s="13" t="n"/>
      <c r="AV686" s="14" t="n"/>
      <c r="AW686" s="12" t="n"/>
      <c r="AX686" s="13" t="n"/>
      <c r="AY686" s="14" t="n"/>
      <c r="AZ686" s="12" t="n"/>
      <c r="BA686" s="13" t="n"/>
      <c r="BB686" s="14" t="n"/>
      <c r="BC686" s="11">
        <f>IF(O686="","",IF(J686="GST 10%",ROUND(O686*set_GSTRate,2),0))</f>
        <v/>
      </c>
      <c r="BD686" s="11">
        <f>IF(O686="","",O686+BC686)</f>
        <v/>
      </c>
      <c r="BE686" s="15">
        <f>IF(O686="","",COUNTA(S686,V686,Y686,AB686,AE686,AH686,AK686,AN686,AQ686,AT686,AW686,AZ686))</f>
        <v/>
      </c>
      <c r="BF686" s="16">
        <f>IF(COUNT(T686,W686,Z686,AC686,AF686,AI686,AL686,AO686,AR686,AU686,AX686,BA686)=0,"",MAX(T686,W686,Z686,AC686,AF686,AI686,AL686,AO686,AR686,AU686,AX686,BA686))</f>
        <v/>
      </c>
      <c r="BG686" s="10">
        <f>MID(IF(S686="","",", "&amp;S686)&amp;IF(V686="","",", "&amp;V686)&amp;IF(Y686="","",", "&amp;Y686)&amp;IF(AB686="","",", "&amp;AB686)&amp;IF(AE686="","",", "&amp;AE686)&amp;IF(AH686="","",", "&amp;AH686)&amp;IF(AK686="","",", "&amp;AK686)&amp;IF(AN686="","",", "&amp;AN686)&amp;IF(AQ686="","",", "&amp;AQ686)&amp;IF(AT686="","",", "&amp;AT686)&amp;IF(AW686="","",", "&amp;AW686)&amp;IF(AZ686="","",", "&amp;AZ686),3,500)</f>
        <v/>
      </c>
      <c r="BH686" s="12" t="n"/>
      <c r="BI686" s="15">
        <f>IFERROR(MATCH($A686,IF($B686="Onsite",tbl_Onsite[Row ID],IF($B686="Production",tbl_Production[Row ID],tbl_Consulting[Row ID])),0),"")</f>
        <v/>
      </c>
    </row>
    <row r="687">
      <c r="A687" s="10" t="inlineStr">
        <is>
          <t>PRD-0181</t>
        </is>
      </c>
      <c r="B687" s="10" t="inlineStr">
        <is>
          <t>Production</t>
        </is>
      </c>
      <c r="C687" s="10">
        <f>IF($BI687="","",IF($B687="Onsite",INDEX(tbl_Onsite[Job Number],$BI687),IF($B687="Production",INDEX(tbl_Production[Job Number],$BI687),INDEX(tbl_Consulting[Job Number],$BI687)))&amp;"")</f>
        <v/>
      </c>
      <c r="D687" s="10">
        <f>IF($BI687="","",IF($B687="Onsite",INDEX(tbl_Onsite[Client],$BI687),IF($B687="Production",INDEX(tbl_Production[Client],$BI687),INDEX(tbl_Consulting[Client],$BI687)))&amp;"")</f>
        <v/>
      </c>
      <c r="E687" s="10">
        <f>IF($C687="","",IF(COUNTIF(lst_Jobs,$C687)&gt;0,"OK","CHECK"))</f>
        <v/>
      </c>
      <c r="F687" s="10">
        <f>IF($C687="","",IFERROR(INDEX(lst_JobName,MATCH($C687,lst_Jobs,0)),""))</f>
        <v/>
      </c>
      <c r="G687" s="10">
        <f>IF($BI687="","",IF($B687="Onsite",INDEX(tbl_Onsite[Job Description],$BI687),IF($B687="Production",INDEX(tbl_Production[Job Description],$BI687),INDEX(tbl_Consulting[Job Description],$BI687)))&amp;"")</f>
        <v/>
      </c>
      <c r="H687" s="10">
        <f>IF($BI687="","",IF($B687="Onsite",INDEX(tbl_Onsite[Cost Centre],$BI687),IF($B687="Production",INDEX(tbl_Production[Cost Centre],$BI687),INDEX(tbl_Consulting[Cost Centre],$BI687)))&amp;"")</f>
        <v/>
      </c>
      <c r="I687" s="10">
        <f>IF($BI687="","",IF($B687="Onsite",INDEX(tbl_Onsite[Invoice Type],$BI687),IF($B687="Production",INDEX(tbl_Production[Invoice Type],$BI687),INDEX(tbl_Consulting[Invoice Type],$BI687)))&amp;"")</f>
        <v/>
      </c>
      <c r="J687" s="10">
        <f>IF($BI687="","",IF($B687="Onsite",INDEX(tbl_Onsite[Tax Code],$BI687),IF($B687="Production",INDEX(tbl_Production[Tax Code],$BI687),INDEX(tbl_Consulting[Tax Code],$BI687)))&amp;"")</f>
        <v/>
      </c>
      <c r="K687" s="10">
        <f>IF(H687="","",IFERROR(INDEX(lst_CCtoGL,MATCH(H687,lst_CCforGL,0)),""))</f>
        <v/>
      </c>
      <c r="L687" s="10">
        <f>IF($BI687="","",IF($B687="Onsite",INDEX(tbl_Onsite[PO / Reference],$BI687),IF($B687="Production",INDEX(tbl_Production[Current RMS No],$BI687),INDEX(tbl_Consulting[Qwilr Quote],$BI687)))&amp;"")</f>
        <v/>
      </c>
      <c r="M687" s="10">
        <f>IF($BI687="","",IF($B687="Onsite",INDEX(tbl_Onsite[Notes],$BI687),IF($B687="Production",INDEX(tbl_Production[Notes],$BI687),INDEX(tbl_Consulting[Notes],$BI687)))&amp;"")</f>
        <v/>
      </c>
      <c r="N687" s="11">
        <f>IF($BI687="","",IF(IF($B687="Onsite",INDEX(tbl_Onsite[Expected Revenue Ex GST],$BI687),IF($B687="Production",INDEX(tbl_Production[Expected Revenue Ex GST],$BI687),INDEX(tbl_Consulting[Expected Revenue Ex GST],$BI687)))="","",IF($B687="Onsite",INDEX(tbl_Onsite[Expected Revenue Ex GST],$BI687),IF($B687="Production",INDEX(tbl_Production[Expected Revenue Ex GST],$BI687),INDEX(tbl_Consulting[Expected Revenue Ex GST],$BI687)))))</f>
        <v/>
      </c>
      <c r="O687" s="11">
        <f>IF(AND($C687="",NOT(COUNTA($S687:$BB687)&gt;0)),"",SUM(U687,X687,AA687,AD687,AG687,AJ687,AM687,AP687,AS687,AV687,AY687,BB687))</f>
        <v/>
      </c>
      <c r="P687" s="11">
        <f>IF(O687="","",N(N687)-O687)</f>
        <v/>
      </c>
      <c r="Q687" s="10">
        <f>IF(O687="","",IF($C687="","Invoice on empty job row",IF(N687="",IF(ROUND(O687,2)=0,"No dept value","Invoiced - no dept value"),IF(ROUND(O687,2)=0,"Not invoiced - to invoice",IF(ROUND(P687,2)=0,"Agrees",IF(P687&gt;0,"Dept higher - to invoice","Xero higher - check dept"))))))</f>
        <v/>
      </c>
      <c r="R687" s="10">
        <f>IF(AND($C687="",NOT(COUNTA($S687:$BB687)&gt;0),$BI687&lt;&gt;""),"",MID(IF($BI687="","; Row ID not found on the department sheet - a row was deleted","")&amp;IF(AND($C687="",COUNTA($S687:$BB687)&gt;0),"; Invoice entered but the department row has no job number","")&amp;IF(E687="CHECK","; Job number not in the Xero job list","")&amp;IF(AND($C687&lt;&gt;"",COUNTIF($C$7:$C$1506,$C687)&gt;1),"; Job number on more than one row","")&amp;IF(AND($C687&lt;&gt;"",H687=""),"; Dept has not set a cost centre","")&amp;IF(AND($C687&lt;&gt;"",J687=""),"; Dept has not set a tax code","")&amp;IF(AND($C687&lt;&gt;"",N687=""),"; Dept has not entered an expected value","")&amp;IF((IF(OR(COUNTA(S687:U687)=0,AND(COUNTA(S687:U687)=3,ISNUMBER(U687))),0,1)+IF(OR(COUNTA(V687:X687)=0,AND(COUNTA(V687:X687)=3,ISNUMBER(X687))),0,1)+IF(OR(COUNTA(Y687:AA687)=0,AND(COUNTA(Y687:AA687)=3,ISNUMBER(AA687))),0,1)+IF(OR(COUNTA(AB687:AD687)=0,AND(COUNTA(AB687:AD687)=3,ISNUMBER(AD687))),0,1)+IF(OR(COUNTA(AE687:AG687)=0,AND(COUNTA(AE687:AG687)=3,ISNUMBER(AG687))),0,1)+IF(OR(COUNTA(AH687:AJ687)=0,AND(COUNTA(AH687:AJ687)=3,ISNUMBER(AJ687))),0,1)+IF(OR(COUNTA(AK687:AM687)=0,AND(COUNTA(AK687:AM687)=3,ISNUMBER(AM687))),0,1)+IF(OR(COUNTA(AN687:AP687)=0,AND(COUNTA(AN687:AP687)=3,ISNUMBER(AP687))),0,1)+IF(OR(COUNTA(AQ687:AS687)=0,AND(COUNTA(AQ687:AS687)=3,ISNUMBER(AS687))),0,1)+IF(OR(COUNTA(AT687:AV687)=0,AND(COUNTA(AT687:AV687)=3,ISNUMBER(AV687))),0,1)+IF(OR(COUNTA(AW687:AY687)=0,AND(COUNTA(AW687:AY687)=3,ISNUMBER(AY687))),0,1)+IF(OR(COUNTA(AZ687:BB687)=0,AND(COUNTA(AZ687:BB687)=3,ISNUMBER(BB687))),0,1))&gt;0,"; An invoice is incomplete (needs No, Date and a number in Ex GST)","")&amp;IF((IF(T687="",0,IFERROR(--(EOMONTH(T687,0)&lt;&gt;S$5),1))+IF(W687="",0,IFERROR(--(EOMONTH(W687,0)&lt;&gt;V$5),1))+IF(Z687="",0,IFERROR(--(EOMONTH(Z687,0)&lt;&gt;Y$5),1))+IF(AC687="",0,IFERROR(--(EOMONTH(AC687,0)&lt;&gt;AB$5),1))+IF(AF687="",0,IFERROR(--(EOMONTH(AF687,0)&lt;&gt;AE$5),1))+IF(AI687="",0,IFERROR(--(EOMONTH(AI687,0)&lt;&gt;AH$5),1))+IF(AL687="",0,IFERROR(--(EOMONTH(AL687,0)&lt;&gt;AK$5),1))+IF(AO687="",0,IFERROR(--(EOMONTH(AO687,0)&lt;&gt;AN$5),1))+IF(AR687="",0,IFERROR(--(EOMONTH(AR687,0)&lt;&gt;AQ$5),1))+IF(AU687="",0,IFERROR(--(EOMONTH(AU687,0)&lt;&gt;AT$5),1))+IF(AX687="",0,IFERROR(--(EOMONTH(AX687,0)&lt;&gt;AW$5),1))+IF(BA687="",0,IFERROR(--(EOMONTH(BA687,0)&lt;&gt;AZ$5),1)))&gt;0,"; An invoice date is not in the month it is typed under",""),3,500))</f>
        <v/>
      </c>
      <c r="S687" s="12" t="n"/>
      <c r="T687" s="13" t="n"/>
      <c r="U687" s="14" t="n"/>
      <c r="V687" s="12" t="n"/>
      <c r="W687" s="13" t="n"/>
      <c r="X687" s="14" t="n"/>
      <c r="Y687" s="12" t="n"/>
      <c r="Z687" s="13" t="n"/>
      <c r="AA687" s="14" t="n"/>
      <c r="AB687" s="12" t="n"/>
      <c r="AC687" s="13" t="n"/>
      <c r="AD687" s="14" t="n"/>
      <c r="AE687" s="12" t="n"/>
      <c r="AF687" s="13" t="n"/>
      <c r="AG687" s="14" t="n"/>
      <c r="AH687" s="12" t="n"/>
      <c r="AI687" s="13" t="n"/>
      <c r="AJ687" s="14" t="n"/>
      <c r="AK687" s="12" t="n"/>
      <c r="AL687" s="13" t="n"/>
      <c r="AM687" s="14" t="n"/>
      <c r="AN687" s="12" t="n"/>
      <c r="AO687" s="13" t="n"/>
      <c r="AP687" s="14" t="n"/>
      <c r="AQ687" s="12" t="n"/>
      <c r="AR687" s="13" t="n"/>
      <c r="AS687" s="14" t="n"/>
      <c r="AT687" s="12" t="n"/>
      <c r="AU687" s="13" t="n"/>
      <c r="AV687" s="14" t="n"/>
      <c r="AW687" s="12" t="n"/>
      <c r="AX687" s="13" t="n"/>
      <c r="AY687" s="14" t="n"/>
      <c r="AZ687" s="12" t="n"/>
      <c r="BA687" s="13" t="n"/>
      <c r="BB687" s="14" t="n"/>
      <c r="BC687" s="11">
        <f>IF(O687="","",IF(J687="GST 10%",ROUND(O687*set_GSTRate,2),0))</f>
        <v/>
      </c>
      <c r="BD687" s="11">
        <f>IF(O687="","",O687+BC687)</f>
        <v/>
      </c>
      <c r="BE687" s="15">
        <f>IF(O687="","",COUNTA(S687,V687,Y687,AB687,AE687,AH687,AK687,AN687,AQ687,AT687,AW687,AZ687))</f>
        <v/>
      </c>
      <c r="BF687" s="16">
        <f>IF(COUNT(T687,W687,Z687,AC687,AF687,AI687,AL687,AO687,AR687,AU687,AX687,BA687)=0,"",MAX(T687,W687,Z687,AC687,AF687,AI687,AL687,AO687,AR687,AU687,AX687,BA687))</f>
        <v/>
      </c>
      <c r="BG687" s="10">
        <f>MID(IF(S687="","",", "&amp;S687)&amp;IF(V687="","",", "&amp;V687)&amp;IF(Y687="","",", "&amp;Y687)&amp;IF(AB687="","",", "&amp;AB687)&amp;IF(AE687="","",", "&amp;AE687)&amp;IF(AH687="","",", "&amp;AH687)&amp;IF(AK687="","",", "&amp;AK687)&amp;IF(AN687="","",", "&amp;AN687)&amp;IF(AQ687="","",", "&amp;AQ687)&amp;IF(AT687="","",", "&amp;AT687)&amp;IF(AW687="","",", "&amp;AW687)&amp;IF(AZ687="","",", "&amp;AZ687),3,500)</f>
        <v/>
      </c>
      <c r="BH687" s="12" t="n"/>
      <c r="BI687" s="15">
        <f>IFERROR(MATCH($A687,IF($B687="Onsite",tbl_Onsite[Row ID],IF($B687="Production",tbl_Production[Row ID],tbl_Consulting[Row ID])),0),"")</f>
        <v/>
      </c>
    </row>
    <row r="688">
      <c r="A688" s="10" t="inlineStr">
        <is>
          <t>PRD-0182</t>
        </is>
      </c>
      <c r="B688" s="10" t="inlineStr">
        <is>
          <t>Production</t>
        </is>
      </c>
      <c r="C688" s="10">
        <f>IF($BI688="","",IF($B688="Onsite",INDEX(tbl_Onsite[Job Number],$BI688),IF($B688="Production",INDEX(tbl_Production[Job Number],$BI688),INDEX(tbl_Consulting[Job Number],$BI688)))&amp;"")</f>
        <v/>
      </c>
      <c r="D688" s="10">
        <f>IF($BI688="","",IF($B688="Onsite",INDEX(tbl_Onsite[Client],$BI688),IF($B688="Production",INDEX(tbl_Production[Client],$BI688),INDEX(tbl_Consulting[Client],$BI688)))&amp;"")</f>
        <v/>
      </c>
      <c r="E688" s="10">
        <f>IF($C688="","",IF(COUNTIF(lst_Jobs,$C688)&gt;0,"OK","CHECK"))</f>
        <v/>
      </c>
      <c r="F688" s="10">
        <f>IF($C688="","",IFERROR(INDEX(lst_JobName,MATCH($C688,lst_Jobs,0)),""))</f>
        <v/>
      </c>
      <c r="G688" s="10">
        <f>IF($BI688="","",IF($B688="Onsite",INDEX(tbl_Onsite[Job Description],$BI688),IF($B688="Production",INDEX(tbl_Production[Job Description],$BI688),INDEX(tbl_Consulting[Job Description],$BI688)))&amp;"")</f>
        <v/>
      </c>
      <c r="H688" s="10">
        <f>IF($BI688="","",IF($B688="Onsite",INDEX(tbl_Onsite[Cost Centre],$BI688),IF($B688="Production",INDEX(tbl_Production[Cost Centre],$BI688),INDEX(tbl_Consulting[Cost Centre],$BI688)))&amp;"")</f>
        <v/>
      </c>
      <c r="I688" s="10">
        <f>IF($BI688="","",IF($B688="Onsite",INDEX(tbl_Onsite[Invoice Type],$BI688),IF($B688="Production",INDEX(tbl_Production[Invoice Type],$BI688),INDEX(tbl_Consulting[Invoice Type],$BI688)))&amp;"")</f>
        <v/>
      </c>
      <c r="J688" s="10">
        <f>IF($BI688="","",IF($B688="Onsite",INDEX(tbl_Onsite[Tax Code],$BI688),IF($B688="Production",INDEX(tbl_Production[Tax Code],$BI688),INDEX(tbl_Consulting[Tax Code],$BI688)))&amp;"")</f>
        <v/>
      </c>
      <c r="K688" s="10">
        <f>IF(H688="","",IFERROR(INDEX(lst_CCtoGL,MATCH(H688,lst_CCforGL,0)),""))</f>
        <v/>
      </c>
      <c r="L688" s="10">
        <f>IF($BI688="","",IF($B688="Onsite",INDEX(tbl_Onsite[PO / Reference],$BI688),IF($B688="Production",INDEX(tbl_Production[Current RMS No],$BI688),INDEX(tbl_Consulting[Qwilr Quote],$BI688)))&amp;"")</f>
        <v/>
      </c>
      <c r="M688" s="10">
        <f>IF($BI688="","",IF($B688="Onsite",INDEX(tbl_Onsite[Notes],$BI688),IF($B688="Production",INDEX(tbl_Production[Notes],$BI688),INDEX(tbl_Consulting[Notes],$BI688)))&amp;"")</f>
        <v/>
      </c>
      <c r="N688" s="11">
        <f>IF($BI688="","",IF(IF($B688="Onsite",INDEX(tbl_Onsite[Expected Revenue Ex GST],$BI688),IF($B688="Production",INDEX(tbl_Production[Expected Revenue Ex GST],$BI688),INDEX(tbl_Consulting[Expected Revenue Ex GST],$BI688)))="","",IF($B688="Onsite",INDEX(tbl_Onsite[Expected Revenue Ex GST],$BI688),IF($B688="Production",INDEX(tbl_Production[Expected Revenue Ex GST],$BI688),INDEX(tbl_Consulting[Expected Revenue Ex GST],$BI688)))))</f>
        <v/>
      </c>
      <c r="O688" s="11">
        <f>IF(AND($C688="",NOT(COUNTA($S688:$BB688)&gt;0)),"",SUM(U688,X688,AA688,AD688,AG688,AJ688,AM688,AP688,AS688,AV688,AY688,BB688))</f>
        <v/>
      </c>
      <c r="P688" s="11">
        <f>IF(O688="","",N(N688)-O688)</f>
        <v/>
      </c>
      <c r="Q688" s="10">
        <f>IF(O688="","",IF($C688="","Invoice on empty job row",IF(N688="",IF(ROUND(O688,2)=0,"No dept value","Invoiced - no dept value"),IF(ROUND(O688,2)=0,"Not invoiced - to invoice",IF(ROUND(P688,2)=0,"Agrees",IF(P688&gt;0,"Dept higher - to invoice","Xero higher - check dept"))))))</f>
        <v/>
      </c>
      <c r="R688" s="10">
        <f>IF(AND($C688="",NOT(COUNTA($S688:$BB688)&gt;0),$BI688&lt;&gt;""),"",MID(IF($BI688="","; Row ID not found on the department sheet - a row was deleted","")&amp;IF(AND($C688="",COUNTA($S688:$BB688)&gt;0),"; Invoice entered but the department row has no job number","")&amp;IF(E688="CHECK","; Job number not in the Xero job list","")&amp;IF(AND($C688&lt;&gt;"",COUNTIF($C$7:$C$1506,$C688)&gt;1),"; Job number on more than one row","")&amp;IF(AND($C688&lt;&gt;"",H688=""),"; Dept has not set a cost centre","")&amp;IF(AND($C688&lt;&gt;"",J688=""),"; Dept has not set a tax code","")&amp;IF(AND($C688&lt;&gt;"",N688=""),"; Dept has not entered an expected value","")&amp;IF((IF(OR(COUNTA(S688:U688)=0,AND(COUNTA(S688:U688)=3,ISNUMBER(U688))),0,1)+IF(OR(COUNTA(V688:X688)=0,AND(COUNTA(V688:X688)=3,ISNUMBER(X688))),0,1)+IF(OR(COUNTA(Y688:AA688)=0,AND(COUNTA(Y688:AA688)=3,ISNUMBER(AA688))),0,1)+IF(OR(COUNTA(AB688:AD688)=0,AND(COUNTA(AB688:AD688)=3,ISNUMBER(AD688))),0,1)+IF(OR(COUNTA(AE688:AG688)=0,AND(COUNTA(AE688:AG688)=3,ISNUMBER(AG688))),0,1)+IF(OR(COUNTA(AH688:AJ688)=0,AND(COUNTA(AH688:AJ688)=3,ISNUMBER(AJ688))),0,1)+IF(OR(COUNTA(AK688:AM688)=0,AND(COUNTA(AK688:AM688)=3,ISNUMBER(AM688))),0,1)+IF(OR(COUNTA(AN688:AP688)=0,AND(COUNTA(AN688:AP688)=3,ISNUMBER(AP688))),0,1)+IF(OR(COUNTA(AQ688:AS688)=0,AND(COUNTA(AQ688:AS688)=3,ISNUMBER(AS688))),0,1)+IF(OR(COUNTA(AT688:AV688)=0,AND(COUNTA(AT688:AV688)=3,ISNUMBER(AV688))),0,1)+IF(OR(COUNTA(AW688:AY688)=0,AND(COUNTA(AW688:AY688)=3,ISNUMBER(AY688))),0,1)+IF(OR(COUNTA(AZ688:BB688)=0,AND(COUNTA(AZ688:BB688)=3,ISNUMBER(BB688))),0,1))&gt;0,"; An invoice is incomplete (needs No, Date and a number in Ex GST)","")&amp;IF((IF(T688="",0,IFERROR(--(EOMONTH(T688,0)&lt;&gt;S$5),1))+IF(W688="",0,IFERROR(--(EOMONTH(W688,0)&lt;&gt;V$5),1))+IF(Z688="",0,IFERROR(--(EOMONTH(Z688,0)&lt;&gt;Y$5),1))+IF(AC688="",0,IFERROR(--(EOMONTH(AC688,0)&lt;&gt;AB$5),1))+IF(AF688="",0,IFERROR(--(EOMONTH(AF688,0)&lt;&gt;AE$5),1))+IF(AI688="",0,IFERROR(--(EOMONTH(AI688,0)&lt;&gt;AH$5),1))+IF(AL688="",0,IFERROR(--(EOMONTH(AL688,0)&lt;&gt;AK$5),1))+IF(AO688="",0,IFERROR(--(EOMONTH(AO688,0)&lt;&gt;AN$5),1))+IF(AR688="",0,IFERROR(--(EOMONTH(AR688,0)&lt;&gt;AQ$5),1))+IF(AU688="",0,IFERROR(--(EOMONTH(AU688,0)&lt;&gt;AT$5),1))+IF(AX688="",0,IFERROR(--(EOMONTH(AX688,0)&lt;&gt;AW$5),1))+IF(BA688="",0,IFERROR(--(EOMONTH(BA688,0)&lt;&gt;AZ$5),1)))&gt;0,"; An invoice date is not in the month it is typed under",""),3,500))</f>
        <v/>
      </c>
      <c r="S688" s="12" t="n"/>
      <c r="T688" s="13" t="n"/>
      <c r="U688" s="14" t="n"/>
      <c r="V688" s="12" t="n"/>
      <c r="W688" s="13" t="n"/>
      <c r="X688" s="14" t="n"/>
      <c r="Y688" s="12" t="n"/>
      <c r="Z688" s="13" t="n"/>
      <c r="AA688" s="14" t="n"/>
      <c r="AB688" s="12" t="n"/>
      <c r="AC688" s="13" t="n"/>
      <c r="AD688" s="14" t="n"/>
      <c r="AE688" s="12" t="n"/>
      <c r="AF688" s="13" t="n"/>
      <c r="AG688" s="14" t="n"/>
      <c r="AH688" s="12" t="n"/>
      <c r="AI688" s="13" t="n"/>
      <c r="AJ688" s="14" t="n"/>
      <c r="AK688" s="12" t="n"/>
      <c r="AL688" s="13" t="n"/>
      <c r="AM688" s="14" t="n"/>
      <c r="AN688" s="12" t="n"/>
      <c r="AO688" s="13" t="n"/>
      <c r="AP688" s="14" t="n"/>
      <c r="AQ688" s="12" t="n"/>
      <c r="AR688" s="13" t="n"/>
      <c r="AS688" s="14" t="n"/>
      <c r="AT688" s="12" t="n"/>
      <c r="AU688" s="13" t="n"/>
      <c r="AV688" s="14" t="n"/>
      <c r="AW688" s="12" t="n"/>
      <c r="AX688" s="13" t="n"/>
      <c r="AY688" s="14" t="n"/>
      <c r="AZ688" s="12" t="n"/>
      <c r="BA688" s="13" t="n"/>
      <c r="BB688" s="14" t="n"/>
      <c r="BC688" s="11">
        <f>IF(O688="","",IF(J688="GST 10%",ROUND(O688*set_GSTRate,2),0))</f>
        <v/>
      </c>
      <c r="BD688" s="11">
        <f>IF(O688="","",O688+BC688)</f>
        <v/>
      </c>
      <c r="BE688" s="15">
        <f>IF(O688="","",COUNTA(S688,V688,Y688,AB688,AE688,AH688,AK688,AN688,AQ688,AT688,AW688,AZ688))</f>
        <v/>
      </c>
      <c r="BF688" s="16">
        <f>IF(COUNT(T688,W688,Z688,AC688,AF688,AI688,AL688,AO688,AR688,AU688,AX688,BA688)=0,"",MAX(T688,W688,Z688,AC688,AF688,AI688,AL688,AO688,AR688,AU688,AX688,BA688))</f>
        <v/>
      </c>
      <c r="BG688" s="10">
        <f>MID(IF(S688="","",", "&amp;S688)&amp;IF(V688="","",", "&amp;V688)&amp;IF(Y688="","",", "&amp;Y688)&amp;IF(AB688="","",", "&amp;AB688)&amp;IF(AE688="","",", "&amp;AE688)&amp;IF(AH688="","",", "&amp;AH688)&amp;IF(AK688="","",", "&amp;AK688)&amp;IF(AN688="","",", "&amp;AN688)&amp;IF(AQ688="","",", "&amp;AQ688)&amp;IF(AT688="","",", "&amp;AT688)&amp;IF(AW688="","",", "&amp;AW688)&amp;IF(AZ688="","",", "&amp;AZ688),3,500)</f>
        <v/>
      </c>
      <c r="BH688" s="12" t="n"/>
      <c r="BI688" s="15">
        <f>IFERROR(MATCH($A688,IF($B688="Onsite",tbl_Onsite[Row ID],IF($B688="Production",tbl_Production[Row ID],tbl_Consulting[Row ID])),0),"")</f>
        <v/>
      </c>
    </row>
    <row r="689">
      <c r="A689" s="10" t="inlineStr">
        <is>
          <t>PRD-0183</t>
        </is>
      </c>
      <c r="B689" s="10" t="inlineStr">
        <is>
          <t>Production</t>
        </is>
      </c>
      <c r="C689" s="10">
        <f>IF($BI689="","",IF($B689="Onsite",INDEX(tbl_Onsite[Job Number],$BI689),IF($B689="Production",INDEX(tbl_Production[Job Number],$BI689),INDEX(tbl_Consulting[Job Number],$BI689)))&amp;"")</f>
        <v/>
      </c>
      <c r="D689" s="10">
        <f>IF($BI689="","",IF($B689="Onsite",INDEX(tbl_Onsite[Client],$BI689),IF($B689="Production",INDEX(tbl_Production[Client],$BI689),INDEX(tbl_Consulting[Client],$BI689)))&amp;"")</f>
        <v/>
      </c>
      <c r="E689" s="10">
        <f>IF($C689="","",IF(COUNTIF(lst_Jobs,$C689)&gt;0,"OK","CHECK"))</f>
        <v/>
      </c>
      <c r="F689" s="10">
        <f>IF($C689="","",IFERROR(INDEX(lst_JobName,MATCH($C689,lst_Jobs,0)),""))</f>
        <v/>
      </c>
      <c r="G689" s="10">
        <f>IF($BI689="","",IF($B689="Onsite",INDEX(tbl_Onsite[Job Description],$BI689),IF($B689="Production",INDEX(tbl_Production[Job Description],$BI689),INDEX(tbl_Consulting[Job Description],$BI689)))&amp;"")</f>
        <v/>
      </c>
      <c r="H689" s="10">
        <f>IF($BI689="","",IF($B689="Onsite",INDEX(tbl_Onsite[Cost Centre],$BI689),IF($B689="Production",INDEX(tbl_Production[Cost Centre],$BI689),INDEX(tbl_Consulting[Cost Centre],$BI689)))&amp;"")</f>
        <v/>
      </c>
      <c r="I689" s="10">
        <f>IF($BI689="","",IF($B689="Onsite",INDEX(tbl_Onsite[Invoice Type],$BI689),IF($B689="Production",INDEX(tbl_Production[Invoice Type],$BI689),INDEX(tbl_Consulting[Invoice Type],$BI689)))&amp;"")</f>
        <v/>
      </c>
      <c r="J689" s="10">
        <f>IF($BI689="","",IF($B689="Onsite",INDEX(tbl_Onsite[Tax Code],$BI689),IF($B689="Production",INDEX(tbl_Production[Tax Code],$BI689),INDEX(tbl_Consulting[Tax Code],$BI689)))&amp;"")</f>
        <v/>
      </c>
      <c r="K689" s="10">
        <f>IF(H689="","",IFERROR(INDEX(lst_CCtoGL,MATCH(H689,lst_CCforGL,0)),""))</f>
        <v/>
      </c>
      <c r="L689" s="10">
        <f>IF($BI689="","",IF($B689="Onsite",INDEX(tbl_Onsite[PO / Reference],$BI689),IF($B689="Production",INDEX(tbl_Production[Current RMS No],$BI689),INDEX(tbl_Consulting[Qwilr Quote],$BI689)))&amp;"")</f>
        <v/>
      </c>
      <c r="M689" s="10">
        <f>IF($BI689="","",IF($B689="Onsite",INDEX(tbl_Onsite[Notes],$BI689),IF($B689="Production",INDEX(tbl_Production[Notes],$BI689),INDEX(tbl_Consulting[Notes],$BI689)))&amp;"")</f>
        <v/>
      </c>
      <c r="N689" s="11">
        <f>IF($BI689="","",IF(IF($B689="Onsite",INDEX(tbl_Onsite[Expected Revenue Ex GST],$BI689),IF($B689="Production",INDEX(tbl_Production[Expected Revenue Ex GST],$BI689),INDEX(tbl_Consulting[Expected Revenue Ex GST],$BI689)))="","",IF($B689="Onsite",INDEX(tbl_Onsite[Expected Revenue Ex GST],$BI689),IF($B689="Production",INDEX(tbl_Production[Expected Revenue Ex GST],$BI689),INDEX(tbl_Consulting[Expected Revenue Ex GST],$BI689)))))</f>
        <v/>
      </c>
      <c r="O689" s="11">
        <f>IF(AND($C689="",NOT(COUNTA($S689:$BB689)&gt;0)),"",SUM(U689,X689,AA689,AD689,AG689,AJ689,AM689,AP689,AS689,AV689,AY689,BB689))</f>
        <v/>
      </c>
      <c r="P689" s="11">
        <f>IF(O689="","",N(N689)-O689)</f>
        <v/>
      </c>
      <c r="Q689" s="10">
        <f>IF(O689="","",IF($C689="","Invoice on empty job row",IF(N689="",IF(ROUND(O689,2)=0,"No dept value","Invoiced - no dept value"),IF(ROUND(O689,2)=0,"Not invoiced - to invoice",IF(ROUND(P689,2)=0,"Agrees",IF(P689&gt;0,"Dept higher - to invoice","Xero higher - check dept"))))))</f>
        <v/>
      </c>
      <c r="R689" s="10">
        <f>IF(AND($C689="",NOT(COUNTA($S689:$BB689)&gt;0),$BI689&lt;&gt;""),"",MID(IF($BI689="","; Row ID not found on the department sheet - a row was deleted","")&amp;IF(AND($C689="",COUNTA($S689:$BB689)&gt;0),"; Invoice entered but the department row has no job number","")&amp;IF(E689="CHECK","; Job number not in the Xero job list","")&amp;IF(AND($C689&lt;&gt;"",COUNTIF($C$7:$C$1506,$C689)&gt;1),"; Job number on more than one row","")&amp;IF(AND($C689&lt;&gt;"",H689=""),"; Dept has not set a cost centre","")&amp;IF(AND($C689&lt;&gt;"",J689=""),"; Dept has not set a tax code","")&amp;IF(AND($C689&lt;&gt;"",N689=""),"; Dept has not entered an expected value","")&amp;IF((IF(OR(COUNTA(S689:U689)=0,AND(COUNTA(S689:U689)=3,ISNUMBER(U689))),0,1)+IF(OR(COUNTA(V689:X689)=0,AND(COUNTA(V689:X689)=3,ISNUMBER(X689))),0,1)+IF(OR(COUNTA(Y689:AA689)=0,AND(COUNTA(Y689:AA689)=3,ISNUMBER(AA689))),0,1)+IF(OR(COUNTA(AB689:AD689)=0,AND(COUNTA(AB689:AD689)=3,ISNUMBER(AD689))),0,1)+IF(OR(COUNTA(AE689:AG689)=0,AND(COUNTA(AE689:AG689)=3,ISNUMBER(AG689))),0,1)+IF(OR(COUNTA(AH689:AJ689)=0,AND(COUNTA(AH689:AJ689)=3,ISNUMBER(AJ689))),0,1)+IF(OR(COUNTA(AK689:AM689)=0,AND(COUNTA(AK689:AM689)=3,ISNUMBER(AM689))),0,1)+IF(OR(COUNTA(AN689:AP689)=0,AND(COUNTA(AN689:AP689)=3,ISNUMBER(AP689))),0,1)+IF(OR(COUNTA(AQ689:AS689)=0,AND(COUNTA(AQ689:AS689)=3,ISNUMBER(AS689))),0,1)+IF(OR(COUNTA(AT689:AV689)=0,AND(COUNTA(AT689:AV689)=3,ISNUMBER(AV689))),0,1)+IF(OR(COUNTA(AW689:AY689)=0,AND(COUNTA(AW689:AY689)=3,ISNUMBER(AY689))),0,1)+IF(OR(COUNTA(AZ689:BB689)=0,AND(COUNTA(AZ689:BB689)=3,ISNUMBER(BB689))),0,1))&gt;0,"; An invoice is incomplete (needs No, Date and a number in Ex GST)","")&amp;IF((IF(T689="",0,IFERROR(--(EOMONTH(T689,0)&lt;&gt;S$5),1))+IF(W689="",0,IFERROR(--(EOMONTH(W689,0)&lt;&gt;V$5),1))+IF(Z689="",0,IFERROR(--(EOMONTH(Z689,0)&lt;&gt;Y$5),1))+IF(AC689="",0,IFERROR(--(EOMONTH(AC689,0)&lt;&gt;AB$5),1))+IF(AF689="",0,IFERROR(--(EOMONTH(AF689,0)&lt;&gt;AE$5),1))+IF(AI689="",0,IFERROR(--(EOMONTH(AI689,0)&lt;&gt;AH$5),1))+IF(AL689="",0,IFERROR(--(EOMONTH(AL689,0)&lt;&gt;AK$5),1))+IF(AO689="",0,IFERROR(--(EOMONTH(AO689,0)&lt;&gt;AN$5),1))+IF(AR689="",0,IFERROR(--(EOMONTH(AR689,0)&lt;&gt;AQ$5),1))+IF(AU689="",0,IFERROR(--(EOMONTH(AU689,0)&lt;&gt;AT$5),1))+IF(AX689="",0,IFERROR(--(EOMONTH(AX689,0)&lt;&gt;AW$5),1))+IF(BA689="",0,IFERROR(--(EOMONTH(BA689,0)&lt;&gt;AZ$5),1)))&gt;0,"; An invoice date is not in the month it is typed under",""),3,500))</f>
        <v/>
      </c>
      <c r="S689" s="12" t="n"/>
      <c r="T689" s="13" t="n"/>
      <c r="U689" s="14" t="n"/>
      <c r="V689" s="12" t="n"/>
      <c r="W689" s="13" t="n"/>
      <c r="X689" s="14" t="n"/>
      <c r="Y689" s="12" t="n"/>
      <c r="Z689" s="13" t="n"/>
      <c r="AA689" s="14" t="n"/>
      <c r="AB689" s="12" t="n"/>
      <c r="AC689" s="13" t="n"/>
      <c r="AD689" s="14" t="n"/>
      <c r="AE689" s="12" t="n"/>
      <c r="AF689" s="13" t="n"/>
      <c r="AG689" s="14" t="n"/>
      <c r="AH689" s="12" t="n"/>
      <c r="AI689" s="13" t="n"/>
      <c r="AJ689" s="14" t="n"/>
      <c r="AK689" s="12" t="n"/>
      <c r="AL689" s="13" t="n"/>
      <c r="AM689" s="14" t="n"/>
      <c r="AN689" s="12" t="n"/>
      <c r="AO689" s="13" t="n"/>
      <c r="AP689" s="14" t="n"/>
      <c r="AQ689" s="12" t="n"/>
      <c r="AR689" s="13" t="n"/>
      <c r="AS689" s="14" t="n"/>
      <c r="AT689" s="12" t="n"/>
      <c r="AU689" s="13" t="n"/>
      <c r="AV689" s="14" t="n"/>
      <c r="AW689" s="12" t="n"/>
      <c r="AX689" s="13" t="n"/>
      <c r="AY689" s="14" t="n"/>
      <c r="AZ689" s="12" t="n"/>
      <c r="BA689" s="13" t="n"/>
      <c r="BB689" s="14" t="n"/>
      <c r="BC689" s="11">
        <f>IF(O689="","",IF(J689="GST 10%",ROUND(O689*set_GSTRate,2),0))</f>
        <v/>
      </c>
      <c r="BD689" s="11">
        <f>IF(O689="","",O689+BC689)</f>
        <v/>
      </c>
      <c r="BE689" s="15">
        <f>IF(O689="","",COUNTA(S689,V689,Y689,AB689,AE689,AH689,AK689,AN689,AQ689,AT689,AW689,AZ689))</f>
        <v/>
      </c>
      <c r="BF689" s="16">
        <f>IF(COUNT(T689,W689,Z689,AC689,AF689,AI689,AL689,AO689,AR689,AU689,AX689,BA689)=0,"",MAX(T689,W689,Z689,AC689,AF689,AI689,AL689,AO689,AR689,AU689,AX689,BA689))</f>
        <v/>
      </c>
      <c r="BG689" s="10">
        <f>MID(IF(S689="","",", "&amp;S689)&amp;IF(V689="","",", "&amp;V689)&amp;IF(Y689="","",", "&amp;Y689)&amp;IF(AB689="","",", "&amp;AB689)&amp;IF(AE689="","",", "&amp;AE689)&amp;IF(AH689="","",", "&amp;AH689)&amp;IF(AK689="","",", "&amp;AK689)&amp;IF(AN689="","",", "&amp;AN689)&amp;IF(AQ689="","",", "&amp;AQ689)&amp;IF(AT689="","",", "&amp;AT689)&amp;IF(AW689="","",", "&amp;AW689)&amp;IF(AZ689="","",", "&amp;AZ689),3,500)</f>
        <v/>
      </c>
      <c r="BH689" s="12" t="n"/>
      <c r="BI689" s="15">
        <f>IFERROR(MATCH($A689,IF($B689="Onsite",tbl_Onsite[Row ID],IF($B689="Production",tbl_Production[Row ID],tbl_Consulting[Row ID])),0),"")</f>
        <v/>
      </c>
    </row>
    <row r="690">
      <c r="A690" s="10" t="inlineStr">
        <is>
          <t>PRD-0184</t>
        </is>
      </c>
      <c r="B690" s="10" t="inlineStr">
        <is>
          <t>Production</t>
        </is>
      </c>
      <c r="C690" s="10">
        <f>IF($BI690="","",IF($B690="Onsite",INDEX(tbl_Onsite[Job Number],$BI690),IF($B690="Production",INDEX(tbl_Production[Job Number],$BI690),INDEX(tbl_Consulting[Job Number],$BI690)))&amp;"")</f>
        <v/>
      </c>
      <c r="D690" s="10">
        <f>IF($BI690="","",IF($B690="Onsite",INDEX(tbl_Onsite[Client],$BI690),IF($B690="Production",INDEX(tbl_Production[Client],$BI690),INDEX(tbl_Consulting[Client],$BI690)))&amp;"")</f>
        <v/>
      </c>
      <c r="E690" s="10">
        <f>IF($C690="","",IF(COUNTIF(lst_Jobs,$C690)&gt;0,"OK","CHECK"))</f>
        <v/>
      </c>
      <c r="F690" s="10">
        <f>IF($C690="","",IFERROR(INDEX(lst_JobName,MATCH($C690,lst_Jobs,0)),""))</f>
        <v/>
      </c>
      <c r="G690" s="10">
        <f>IF($BI690="","",IF($B690="Onsite",INDEX(tbl_Onsite[Job Description],$BI690),IF($B690="Production",INDEX(tbl_Production[Job Description],$BI690),INDEX(tbl_Consulting[Job Description],$BI690)))&amp;"")</f>
        <v/>
      </c>
      <c r="H690" s="10">
        <f>IF($BI690="","",IF($B690="Onsite",INDEX(tbl_Onsite[Cost Centre],$BI690),IF($B690="Production",INDEX(tbl_Production[Cost Centre],$BI690),INDEX(tbl_Consulting[Cost Centre],$BI690)))&amp;"")</f>
        <v/>
      </c>
      <c r="I690" s="10">
        <f>IF($BI690="","",IF($B690="Onsite",INDEX(tbl_Onsite[Invoice Type],$BI690),IF($B690="Production",INDEX(tbl_Production[Invoice Type],$BI690),INDEX(tbl_Consulting[Invoice Type],$BI690)))&amp;"")</f>
        <v/>
      </c>
      <c r="J690" s="10">
        <f>IF($BI690="","",IF($B690="Onsite",INDEX(tbl_Onsite[Tax Code],$BI690),IF($B690="Production",INDEX(tbl_Production[Tax Code],$BI690),INDEX(tbl_Consulting[Tax Code],$BI690)))&amp;"")</f>
        <v/>
      </c>
      <c r="K690" s="10">
        <f>IF(H690="","",IFERROR(INDEX(lst_CCtoGL,MATCH(H690,lst_CCforGL,0)),""))</f>
        <v/>
      </c>
      <c r="L690" s="10">
        <f>IF($BI690="","",IF($B690="Onsite",INDEX(tbl_Onsite[PO / Reference],$BI690),IF($B690="Production",INDEX(tbl_Production[Current RMS No],$BI690),INDEX(tbl_Consulting[Qwilr Quote],$BI690)))&amp;"")</f>
        <v/>
      </c>
      <c r="M690" s="10">
        <f>IF($BI690="","",IF($B690="Onsite",INDEX(tbl_Onsite[Notes],$BI690),IF($B690="Production",INDEX(tbl_Production[Notes],$BI690),INDEX(tbl_Consulting[Notes],$BI690)))&amp;"")</f>
        <v/>
      </c>
      <c r="N690" s="11">
        <f>IF($BI690="","",IF(IF($B690="Onsite",INDEX(tbl_Onsite[Expected Revenue Ex GST],$BI690),IF($B690="Production",INDEX(tbl_Production[Expected Revenue Ex GST],$BI690),INDEX(tbl_Consulting[Expected Revenue Ex GST],$BI690)))="","",IF($B690="Onsite",INDEX(tbl_Onsite[Expected Revenue Ex GST],$BI690),IF($B690="Production",INDEX(tbl_Production[Expected Revenue Ex GST],$BI690),INDEX(tbl_Consulting[Expected Revenue Ex GST],$BI690)))))</f>
        <v/>
      </c>
      <c r="O690" s="11">
        <f>IF(AND($C690="",NOT(COUNTA($S690:$BB690)&gt;0)),"",SUM(U690,X690,AA690,AD690,AG690,AJ690,AM690,AP690,AS690,AV690,AY690,BB690))</f>
        <v/>
      </c>
      <c r="P690" s="11">
        <f>IF(O690="","",N(N690)-O690)</f>
        <v/>
      </c>
      <c r="Q690" s="10">
        <f>IF(O690="","",IF($C690="","Invoice on empty job row",IF(N690="",IF(ROUND(O690,2)=0,"No dept value","Invoiced - no dept value"),IF(ROUND(O690,2)=0,"Not invoiced - to invoice",IF(ROUND(P690,2)=0,"Agrees",IF(P690&gt;0,"Dept higher - to invoice","Xero higher - check dept"))))))</f>
        <v/>
      </c>
      <c r="R690" s="10">
        <f>IF(AND($C690="",NOT(COUNTA($S690:$BB690)&gt;0),$BI690&lt;&gt;""),"",MID(IF($BI690="","; Row ID not found on the department sheet - a row was deleted","")&amp;IF(AND($C690="",COUNTA($S690:$BB690)&gt;0),"; Invoice entered but the department row has no job number","")&amp;IF(E690="CHECK","; Job number not in the Xero job list","")&amp;IF(AND($C690&lt;&gt;"",COUNTIF($C$7:$C$1506,$C690)&gt;1),"; Job number on more than one row","")&amp;IF(AND($C690&lt;&gt;"",H690=""),"; Dept has not set a cost centre","")&amp;IF(AND($C690&lt;&gt;"",J690=""),"; Dept has not set a tax code","")&amp;IF(AND($C690&lt;&gt;"",N690=""),"; Dept has not entered an expected value","")&amp;IF((IF(OR(COUNTA(S690:U690)=0,AND(COUNTA(S690:U690)=3,ISNUMBER(U690))),0,1)+IF(OR(COUNTA(V690:X690)=0,AND(COUNTA(V690:X690)=3,ISNUMBER(X690))),0,1)+IF(OR(COUNTA(Y690:AA690)=0,AND(COUNTA(Y690:AA690)=3,ISNUMBER(AA690))),0,1)+IF(OR(COUNTA(AB690:AD690)=0,AND(COUNTA(AB690:AD690)=3,ISNUMBER(AD690))),0,1)+IF(OR(COUNTA(AE690:AG690)=0,AND(COUNTA(AE690:AG690)=3,ISNUMBER(AG690))),0,1)+IF(OR(COUNTA(AH690:AJ690)=0,AND(COUNTA(AH690:AJ690)=3,ISNUMBER(AJ690))),0,1)+IF(OR(COUNTA(AK690:AM690)=0,AND(COUNTA(AK690:AM690)=3,ISNUMBER(AM690))),0,1)+IF(OR(COUNTA(AN690:AP690)=0,AND(COUNTA(AN690:AP690)=3,ISNUMBER(AP690))),0,1)+IF(OR(COUNTA(AQ690:AS690)=0,AND(COUNTA(AQ690:AS690)=3,ISNUMBER(AS690))),0,1)+IF(OR(COUNTA(AT690:AV690)=0,AND(COUNTA(AT690:AV690)=3,ISNUMBER(AV690))),0,1)+IF(OR(COUNTA(AW690:AY690)=0,AND(COUNTA(AW690:AY690)=3,ISNUMBER(AY690))),0,1)+IF(OR(COUNTA(AZ690:BB690)=0,AND(COUNTA(AZ690:BB690)=3,ISNUMBER(BB690))),0,1))&gt;0,"; An invoice is incomplete (needs No, Date and a number in Ex GST)","")&amp;IF((IF(T690="",0,IFERROR(--(EOMONTH(T690,0)&lt;&gt;S$5),1))+IF(W690="",0,IFERROR(--(EOMONTH(W690,0)&lt;&gt;V$5),1))+IF(Z690="",0,IFERROR(--(EOMONTH(Z690,0)&lt;&gt;Y$5),1))+IF(AC690="",0,IFERROR(--(EOMONTH(AC690,0)&lt;&gt;AB$5),1))+IF(AF690="",0,IFERROR(--(EOMONTH(AF690,0)&lt;&gt;AE$5),1))+IF(AI690="",0,IFERROR(--(EOMONTH(AI690,0)&lt;&gt;AH$5),1))+IF(AL690="",0,IFERROR(--(EOMONTH(AL690,0)&lt;&gt;AK$5),1))+IF(AO690="",0,IFERROR(--(EOMONTH(AO690,0)&lt;&gt;AN$5),1))+IF(AR690="",0,IFERROR(--(EOMONTH(AR690,0)&lt;&gt;AQ$5),1))+IF(AU690="",0,IFERROR(--(EOMONTH(AU690,0)&lt;&gt;AT$5),1))+IF(AX690="",0,IFERROR(--(EOMONTH(AX690,0)&lt;&gt;AW$5),1))+IF(BA690="",0,IFERROR(--(EOMONTH(BA690,0)&lt;&gt;AZ$5),1)))&gt;0,"; An invoice date is not in the month it is typed under",""),3,500))</f>
        <v/>
      </c>
      <c r="S690" s="12" t="n"/>
      <c r="T690" s="13" t="n"/>
      <c r="U690" s="14" t="n"/>
      <c r="V690" s="12" t="n"/>
      <c r="W690" s="13" t="n"/>
      <c r="X690" s="14" t="n"/>
      <c r="Y690" s="12" t="n"/>
      <c r="Z690" s="13" t="n"/>
      <c r="AA690" s="14" t="n"/>
      <c r="AB690" s="12" t="n"/>
      <c r="AC690" s="13" t="n"/>
      <c r="AD690" s="14" t="n"/>
      <c r="AE690" s="12" t="n"/>
      <c r="AF690" s="13" t="n"/>
      <c r="AG690" s="14" t="n"/>
      <c r="AH690" s="12" t="n"/>
      <c r="AI690" s="13" t="n"/>
      <c r="AJ690" s="14" t="n"/>
      <c r="AK690" s="12" t="n"/>
      <c r="AL690" s="13" t="n"/>
      <c r="AM690" s="14" t="n"/>
      <c r="AN690" s="12" t="n"/>
      <c r="AO690" s="13" t="n"/>
      <c r="AP690" s="14" t="n"/>
      <c r="AQ690" s="12" t="n"/>
      <c r="AR690" s="13" t="n"/>
      <c r="AS690" s="14" t="n"/>
      <c r="AT690" s="12" t="n"/>
      <c r="AU690" s="13" t="n"/>
      <c r="AV690" s="14" t="n"/>
      <c r="AW690" s="12" t="n"/>
      <c r="AX690" s="13" t="n"/>
      <c r="AY690" s="14" t="n"/>
      <c r="AZ690" s="12" t="n"/>
      <c r="BA690" s="13" t="n"/>
      <c r="BB690" s="14" t="n"/>
      <c r="BC690" s="11">
        <f>IF(O690="","",IF(J690="GST 10%",ROUND(O690*set_GSTRate,2),0))</f>
        <v/>
      </c>
      <c r="BD690" s="11">
        <f>IF(O690="","",O690+BC690)</f>
        <v/>
      </c>
      <c r="BE690" s="15">
        <f>IF(O690="","",COUNTA(S690,V690,Y690,AB690,AE690,AH690,AK690,AN690,AQ690,AT690,AW690,AZ690))</f>
        <v/>
      </c>
      <c r="BF690" s="16">
        <f>IF(COUNT(T690,W690,Z690,AC690,AF690,AI690,AL690,AO690,AR690,AU690,AX690,BA690)=0,"",MAX(T690,W690,Z690,AC690,AF690,AI690,AL690,AO690,AR690,AU690,AX690,BA690))</f>
        <v/>
      </c>
      <c r="BG690" s="10">
        <f>MID(IF(S690="","",", "&amp;S690)&amp;IF(V690="","",", "&amp;V690)&amp;IF(Y690="","",", "&amp;Y690)&amp;IF(AB690="","",", "&amp;AB690)&amp;IF(AE690="","",", "&amp;AE690)&amp;IF(AH690="","",", "&amp;AH690)&amp;IF(AK690="","",", "&amp;AK690)&amp;IF(AN690="","",", "&amp;AN690)&amp;IF(AQ690="","",", "&amp;AQ690)&amp;IF(AT690="","",", "&amp;AT690)&amp;IF(AW690="","",", "&amp;AW690)&amp;IF(AZ690="","",", "&amp;AZ690),3,500)</f>
        <v/>
      </c>
      <c r="BH690" s="12" t="n"/>
      <c r="BI690" s="15">
        <f>IFERROR(MATCH($A690,IF($B690="Onsite",tbl_Onsite[Row ID],IF($B690="Production",tbl_Production[Row ID],tbl_Consulting[Row ID])),0),"")</f>
        <v/>
      </c>
    </row>
    <row r="691">
      <c r="A691" s="10" t="inlineStr">
        <is>
          <t>PRD-0185</t>
        </is>
      </c>
      <c r="B691" s="10" t="inlineStr">
        <is>
          <t>Production</t>
        </is>
      </c>
      <c r="C691" s="10">
        <f>IF($BI691="","",IF($B691="Onsite",INDEX(tbl_Onsite[Job Number],$BI691),IF($B691="Production",INDEX(tbl_Production[Job Number],$BI691),INDEX(tbl_Consulting[Job Number],$BI691)))&amp;"")</f>
        <v/>
      </c>
      <c r="D691" s="10">
        <f>IF($BI691="","",IF($B691="Onsite",INDEX(tbl_Onsite[Client],$BI691),IF($B691="Production",INDEX(tbl_Production[Client],$BI691),INDEX(tbl_Consulting[Client],$BI691)))&amp;"")</f>
        <v/>
      </c>
      <c r="E691" s="10">
        <f>IF($C691="","",IF(COUNTIF(lst_Jobs,$C691)&gt;0,"OK","CHECK"))</f>
        <v/>
      </c>
      <c r="F691" s="10">
        <f>IF($C691="","",IFERROR(INDEX(lst_JobName,MATCH($C691,lst_Jobs,0)),""))</f>
        <v/>
      </c>
      <c r="G691" s="10">
        <f>IF($BI691="","",IF($B691="Onsite",INDEX(tbl_Onsite[Job Description],$BI691),IF($B691="Production",INDEX(tbl_Production[Job Description],$BI691),INDEX(tbl_Consulting[Job Description],$BI691)))&amp;"")</f>
        <v/>
      </c>
      <c r="H691" s="10">
        <f>IF($BI691="","",IF($B691="Onsite",INDEX(tbl_Onsite[Cost Centre],$BI691),IF($B691="Production",INDEX(tbl_Production[Cost Centre],$BI691),INDEX(tbl_Consulting[Cost Centre],$BI691)))&amp;"")</f>
        <v/>
      </c>
      <c r="I691" s="10">
        <f>IF($BI691="","",IF($B691="Onsite",INDEX(tbl_Onsite[Invoice Type],$BI691),IF($B691="Production",INDEX(tbl_Production[Invoice Type],$BI691),INDEX(tbl_Consulting[Invoice Type],$BI691)))&amp;"")</f>
        <v/>
      </c>
      <c r="J691" s="10">
        <f>IF($BI691="","",IF($B691="Onsite",INDEX(tbl_Onsite[Tax Code],$BI691),IF($B691="Production",INDEX(tbl_Production[Tax Code],$BI691),INDEX(tbl_Consulting[Tax Code],$BI691)))&amp;"")</f>
        <v/>
      </c>
      <c r="K691" s="10">
        <f>IF(H691="","",IFERROR(INDEX(lst_CCtoGL,MATCH(H691,lst_CCforGL,0)),""))</f>
        <v/>
      </c>
      <c r="L691" s="10">
        <f>IF($BI691="","",IF($B691="Onsite",INDEX(tbl_Onsite[PO / Reference],$BI691),IF($B691="Production",INDEX(tbl_Production[Current RMS No],$BI691),INDEX(tbl_Consulting[Qwilr Quote],$BI691)))&amp;"")</f>
        <v/>
      </c>
      <c r="M691" s="10">
        <f>IF($BI691="","",IF($B691="Onsite",INDEX(tbl_Onsite[Notes],$BI691),IF($B691="Production",INDEX(tbl_Production[Notes],$BI691),INDEX(tbl_Consulting[Notes],$BI691)))&amp;"")</f>
        <v/>
      </c>
      <c r="N691" s="11">
        <f>IF($BI691="","",IF(IF($B691="Onsite",INDEX(tbl_Onsite[Expected Revenue Ex GST],$BI691),IF($B691="Production",INDEX(tbl_Production[Expected Revenue Ex GST],$BI691),INDEX(tbl_Consulting[Expected Revenue Ex GST],$BI691)))="","",IF($B691="Onsite",INDEX(tbl_Onsite[Expected Revenue Ex GST],$BI691),IF($B691="Production",INDEX(tbl_Production[Expected Revenue Ex GST],$BI691),INDEX(tbl_Consulting[Expected Revenue Ex GST],$BI691)))))</f>
        <v/>
      </c>
      <c r="O691" s="11">
        <f>IF(AND($C691="",NOT(COUNTA($S691:$BB691)&gt;0)),"",SUM(U691,X691,AA691,AD691,AG691,AJ691,AM691,AP691,AS691,AV691,AY691,BB691))</f>
        <v/>
      </c>
      <c r="P691" s="11">
        <f>IF(O691="","",N(N691)-O691)</f>
        <v/>
      </c>
      <c r="Q691" s="10">
        <f>IF(O691="","",IF($C691="","Invoice on empty job row",IF(N691="",IF(ROUND(O691,2)=0,"No dept value","Invoiced - no dept value"),IF(ROUND(O691,2)=0,"Not invoiced - to invoice",IF(ROUND(P691,2)=0,"Agrees",IF(P691&gt;0,"Dept higher - to invoice","Xero higher - check dept"))))))</f>
        <v/>
      </c>
      <c r="R691" s="10">
        <f>IF(AND($C691="",NOT(COUNTA($S691:$BB691)&gt;0),$BI691&lt;&gt;""),"",MID(IF($BI691="","; Row ID not found on the department sheet - a row was deleted","")&amp;IF(AND($C691="",COUNTA($S691:$BB691)&gt;0),"; Invoice entered but the department row has no job number","")&amp;IF(E691="CHECK","; Job number not in the Xero job list","")&amp;IF(AND($C691&lt;&gt;"",COUNTIF($C$7:$C$1506,$C691)&gt;1),"; Job number on more than one row","")&amp;IF(AND($C691&lt;&gt;"",H691=""),"; Dept has not set a cost centre","")&amp;IF(AND($C691&lt;&gt;"",J691=""),"; Dept has not set a tax code","")&amp;IF(AND($C691&lt;&gt;"",N691=""),"; Dept has not entered an expected value","")&amp;IF((IF(OR(COUNTA(S691:U691)=0,AND(COUNTA(S691:U691)=3,ISNUMBER(U691))),0,1)+IF(OR(COUNTA(V691:X691)=0,AND(COUNTA(V691:X691)=3,ISNUMBER(X691))),0,1)+IF(OR(COUNTA(Y691:AA691)=0,AND(COUNTA(Y691:AA691)=3,ISNUMBER(AA691))),0,1)+IF(OR(COUNTA(AB691:AD691)=0,AND(COUNTA(AB691:AD691)=3,ISNUMBER(AD691))),0,1)+IF(OR(COUNTA(AE691:AG691)=0,AND(COUNTA(AE691:AG691)=3,ISNUMBER(AG691))),0,1)+IF(OR(COUNTA(AH691:AJ691)=0,AND(COUNTA(AH691:AJ691)=3,ISNUMBER(AJ691))),0,1)+IF(OR(COUNTA(AK691:AM691)=0,AND(COUNTA(AK691:AM691)=3,ISNUMBER(AM691))),0,1)+IF(OR(COUNTA(AN691:AP691)=0,AND(COUNTA(AN691:AP691)=3,ISNUMBER(AP691))),0,1)+IF(OR(COUNTA(AQ691:AS691)=0,AND(COUNTA(AQ691:AS691)=3,ISNUMBER(AS691))),0,1)+IF(OR(COUNTA(AT691:AV691)=0,AND(COUNTA(AT691:AV691)=3,ISNUMBER(AV691))),0,1)+IF(OR(COUNTA(AW691:AY691)=0,AND(COUNTA(AW691:AY691)=3,ISNUMBER(AY691))),0,1)+IF(OR(COUNTA(AZ691:BB691)=0,AND(COUNTA(AZ691:BB691)=3,ISNUMBER(BB691))),0,1))&gt;0,"; An invoice is incomplete (needs No, Date and a number in Ex GST)","")&amp;IF((IF(T691="",0,IFERROR(--(EOMONTH(T691,0)&lt;&gt;S$5),1))+IF(W691="",0,IFERROR(--(EOMONTH(W691,0)&lt;&gt;V$5),1))+IF(Z691="",0,IFERROR(--(EOMONTH(Z691,0)&lt;&gt;Y$5),1))+IF(AC691="",0,IFERROR(--(EOMONTH(AC691,0)&lt;&gt;AB$5),1))+IF(AF691="",0,IFERROR(--(EOMONTH(AF691,0)&lt;&gt;AE$5),1))+IF(AI691="",0,IFERROR(--(EOMONTH(AI691,0)&lt;&gt;AH$5),1))+IF(AL691="",0,IFERROR(--(EOMONTH(AL691,0)&lt;&gt;AK$5),1))+IF(AO691="",0,IFERROR(--(EOMONTH(AO691,0)&lt;&gt;AN$5),1))+IF(AR691="",0,IFERROR(--(EOMONTH(AR691,0)&lt;&gt;AQ$5),1))+IF(AU691="",0,IFERROR(--(EOMONTH(AU691,0)&lt;&gt;AT$5),1))+IF(AX691="",0,IFERROR(--(EOMONTH(AX691,0)&lt;&gt;AW$5),1))+IF(BA691="",0,IFERROR(--(EOMONTH(BA691,0)&lt;&gt;AZ$5),1)))&gt;0,"; An invoice date is not in the month it is typed under",""),3,500))</f>
        <v/>
      </c>
      <c r="S691" s="12" t="n"/>
      <c r="T691" s="13" t="n"/>
      <c r="U691" s="14" t="n"/>
      <c r="V691" s="12" t="n"/>
      <c r="W691" s="13" t="n"/>
      <c r="X691" s="14" t="n"/>
      <c r="Y691" s="12" t="n"/>
      <c r="Z691" s="13" t="n"/>
      <c r="AA691" s="14" t="n"/>
      <c r="AB691" s="12" t="n"/>
      <c r="AC691" s="13" t="n"/>
      <c r="AD691" s="14" t="n"/>
      <c r="AE691" s="12" t="n"/>
      <c r="AF691" s="13" t="n"/>
      <c r="AG691" s="14" t="n"/>
      <c r="AH691" s="12" t="n"/>
      <c r="AI691" s="13" t="n"/>
      <c r="AJ691" s="14" t="n"/>
      <c r="AK691" s="12" t="n"/>
      <c r="AL691" s="13" t="n"/>
      <c r="AM691" s="14" t="n"/>
      <c r="AN691" s="12" t="n"/>
      <c r="AO691" s="13" t="n"/>
      <c r="AP691" s="14" t="n"/>
      <c r="AQ691" s="12" t="n"/>
      <c r="AR691" s="13" t="n"/>
      <c r="AS691" s="14" t="n"/>
      <c r="AT691" s="12" t="n"/>
      <c r="AU691" s="13" t="n"/>
      <c r="AV691" s="14" t="n"/>
      <c r="AW691" s="12" t="n"/>
      <c r="AX691" s="13" t="n"/>
      <c r="AY691" s="14" t="n"/>
      <c r="AZ691" s="12" t="n"/>
      <c r="BA691" s="13" t="n"/>
      <c r="BB691" s="14" t="n"/>
      <c r="BC691" s="11">
        <f>IF(O691="","",IF(J691="GST 10%",ROUND(O691*set_GSTRate,2),0))</f>
        <v/>
      </c>
      <c r="BD691" s="11">
        <f>IF(O691="","",O691+BC691)</f>
        <v/>
      </c>
      <c r="BE691" s="15">
        <f>IF(O691="","",COUNTA(S691,V691,Y691,AB691,AE691,AH691,AK691,AN691,AQ691,AT691,AW691,AZ691))</f>
        <v/>
      </c>
      <c r="BF691" s="16">
        <f>IF(COUNT(T691,W691,Z691,AC691,AF691,AI691,AL691,AO691,AR691,AU691,AX691,BA691)=0,"",MAX(T691,W691,Z691,AC691,AF691,AI691,AL691,AO691,AR691,AU691,AX691,BA691))</f>
        <v/>
      </c>
      <c r="BG691" s="10">
        <f>MID(IF(S691="","",", "&amp;S691)&amp;IF(V691="","",", "&amp;V691)&amp;IF(Y691="","",", "&amp;Y691)&amp;IF(AB691="","",", "&amp;AB691)&amp;IF(AE691="","",", "&amp;AE691)&amp;IF(AH691="","",", "&amp;AH691)&amp;IF(AK691="","",", "&amp;AK691)&amp;IF(AN691="","",", "&amp;AN691)&amp;IF(AQ691="","",", "&amp;AQ691)&amp;IF(AT691="","",", "&amp;AT691)&amp;IF(AW691="","",", "&amp;AW691)&amp;IF(AZ691="","",", "&amp;AZ691),3,500)</f>
        <v/>
      </c>
      <c r="BH691" s="12" t="n"/>
      <c r="BI691" s="15">
        <f>IFERROR(MATCH($A691,IF($B691="Onsite",tbl_Onsite[Row ID],IF($B691="Production",tbl_Production[Row ID],tbl_Consulting[Row ID])),0),"")</f>
        <v/>
      </c>
    </row>
    <row r="692">
      <c r="A692" s="10" t="inlineStr">
        <is>
          <t>PRD-0186</t>
        </is>
      </c>
      <c r="B692" s="10" t="inlineStr">
        <is>
          <t>Production</t>
        </is>
      </c>
      <c r="C692" s="10">
        <f>IF($BI692="","",IF($B692="Onsite",INDEX(tbl_Onsite[Job Number],$BI692),IF($B692="Production",INDEX(tbl_Production[Job Number],$BI692),INDEX(tbl_Consulting[Job Number],$BI692)))&amp;"")</f>
        <v/>
      </c>
      <c r="D692" s="10">
        <f>IF($BI692="","",IF($B692="Onsite",INDEX(tbl_Onsite[Client],$BI692),IF($B692="Production",INDEX(tbl_Production[Client],$BI692),INDEX(tbl_Consulting[Client],$BI692)))&amp;"")</f>
        <v/>
      </c>
      <c r="E692" s="10">
        <f>IF($C692="","",IF(COUNTIF(lst_Jobs,$C692)&gt;0,"OK","CHECK"))</f>
        <v/>
      </c>
      <c r="F692" s="10">
        <f>IF($C692="","",IFERROR(INDEX(lst_JobName,MATCH($C692,lst_Jobs,0)),""))</f>
        <v/>
      </c>
      <c r="G692" s="10">
        <f>IF($BI692="","",IF($B692="Onsite",INDEX(tbl_Onsite[Job Description],$BI692),IF($B692="Production",INDEX(tbl_Production[Job Description],$BI692),INDEX(tbl_Consulting[Job Description],$BI692)))&amp;"")</f>
        <v/>
      </c>
      <c r="H692" s="10">
        <f>IF($BI692="","",IF($B692="Onsite",INDEX(tbl_Onsite[Cost Centre],$BI692),IF($B692="Production",INDEX(tbl_Production[Cost Centre],$BI692),INDEX(tbl_Consulting[Cost Centre],$BI692)))&amp;"")</f>
        <v/>
      </c>
      <c r="I692" s="10">
        <f>IF($BI692="","",IF($B692="Onsite",INDEX(tbl_Onsite[Invoice Type],$BI692),IF($B692="Production",INDEX(tbl_Production[Invoice Type],$BI692),INDEX(tbl_Consulting[Invoice Type],$BI692)))&amp;"")</f>
        <v/>
      </c>
      <c r="J692" s="10">
        <f>IF($BI692="","",IF($B692="Onsite",INDEX(tbl_Onsite[Tax Code],$BI692),IF($B692="Production",INDEX(tbl_Production[Tax Code],$BI692),INDEX(tbl_Consulting[Tax Code],$BI692)))&amp;"")</f>
        <v/>
      </c>
      <c r="K692" s="10">
        <f>IF(H692="","",IFERROR(INDEX(lst_CCtoGL,MATCH(H692,lst_CCforGL,0)),""))</f>
        <v/>
      </c>
      <c r="L692" s="10">
        <f>IF($BI692="","",IF($B692="Onsite",INDEX(tbl_Onsite[PO / Reference],$BI692),IF($B692="Production",INDEX(tbl_Production[Current RMS No],$BI692),INDEX(tbl_Consulting[Qwilr Quote],$BI692)))&amp;"")</f>
        <v/>
      </c>
      <c r="M692" s="10">
        <f>IF($BI692="","",IF($B692="Onsite",INDEX(tbl_Onsite[Notes],$BI692),IF($B692="Production",INDEX(tbl_Production[Notes],$BI692),INDEX(tbl_Consulting[Notes],$BI692)))&amp;"")</f>
        <v/>
      </c>
      <c r="N692" s="11">
        <f>IF($BI692="","",IF(IF($B692="Onsite",INDEX(tbl_Onsite[Expected Revenue Ex GST],$BI692),IF($B692="Production",INDEX(tbl_Production[Expected Revenue Ex GST],$BI692),INDEX(tbl_Consulting[Expected Revenue Ex GST],$BI692)))="","",IF($B692="Onsite",INDEX(tbl_Onsite[Expected Revenue Ex GST],$BI692),IF($B692="Production",INDEX(tbl_Production[Expected Revenue Ex GST],$BI692),INDEX(tbl_Consulting[Expected Revenue Ex GST],$BI692)))))</f>
        <v/>
      </c>
      <c r="O692" s="11">
        <f>IF(AND($C692="",NOT(COUNTA($S692:$BB692)&gt;0)),"",SUM(U692,X692,AA692,AD692,AG692,AJ692,AM692,AP692,AS692,AV692,AY692,BB692))</f>
        <v/>
      </c>
      <c r="P692" s="11">
        <f>IF(O692="","",N(N692)-O692)</f>
        <v/>
      </c>
      <c r="Q692" s="10">
        <f>IF(O692="","",IF($C692="","Invoice on empty job row",IF(N692="",IF(ROUND(O692,2)=0,"No dept value","Invoiced - no dept value"),IF(ROUND(O692,2)=0,"Not invoiced - to invoice",IF(ROUND(P692,2)=0,"Agrees",IF(P692&gt;0,"Dept higher - to invoice","Xero higher - check dept"))))))</f>
        <v/>
      </c>
      <c r="R692" s="10">
        <f>IF(AND($C692="",NOT(COUNTA($S692:$BB692)&gt;0),$BI692&lt;&gt;""),"",MID(IF($BI692="","; Row ID not found on the department sheet - a row was deleted","")&amp;IF(AND($C692="",COUNTA($S692:$BB692)&gt;0),"; Invoice entered but the department row has no job number","")&amp;IF(E692="CHECK","; Job number not in the Xero job list","")&amp;IF(AND($C692&lt;&gt;"",COUNTIF($C$7:$C$1506,$C692)&gt;1),"; Job number on more than one row","")&amp;IF(AND($C692&lt;&gt;"",H692=""),"; Dept has not set a cost centre","")&amp;IF(AND($C692&lt;&gt;"",J692=""),"; Dept has not set a tax code","")&amp;IF(AND($C692&lt;&gt;"",N692=""),"; Dept has not entered an expected value","")&amp;IF((IF(OR(COUNTA(S692:U692)=0,AND(COUNTA(S692:U692)=3,ISNUMBER(U692))),0,1)+IF(OR(COUNTA(V692:X692)=0,AND(COUNTA(V692:X692)=3,ISNUMBER(X692))),0,1)+IF(OR(COUNTA(Y692:AA692)=0,AND(COUNTA(Y692:AA692)=3,ISNUMBER(AA692))),0,1)+IF(OR(COUNTA(AB692:AD692)=0,AND(COUNTA(AB692:AD692)=3,ISNUMBER(AD692))),0,1)+IF(OR(COUNTA(AE692:AG692)=0,AND(COUNTA(AE692:AG692)=3,ISNUMBER(AG692))),0,1)+IF(OR(COUNTA(AH692:AJ692)=0,AND(COUNTA(AH692:AJ692)=3,ISNUMBER(AJ692))),0,1)+IF(OR(COUNTA(AK692:AM692)=0,AND(COUNTA(AK692:AM692)=3,ISNUMBER(AM692))),0,1)+IF(OR(COUNTA(AN692:AP692)=0,AND(COUNTA(AN692:AP692)=3,ISNUMBER(AP692))),0,1)+IF(OR(COUNTA(AQ692:AS692)=0,AND(COUNTA(AQ692:AS692)=3,ISNUMBER(AS692))),0,1)+IF(OR(COUNTA(AT692:AV692)=0,AND(COUNTA(AT692:AV692)=3,ISNUMBER(AV692))),0,1)+IF(OR(COUNTA(AW692:AY692)=0,AND(COUNTA(AW692:AY692)=3,ISNUMBER(AY692))),0,1)+IF(OR(COUNTA(AZ692:BB692)=0,AND(COUNTA(AZ692:BB692)=3,ISNUMBER(BB692))),0,1))&gt;0,"; An invoice is incomplete (needs No, Date and a number in Ex GST)","")&amp;IF((IF(T692="",0,IFERROR(--(EOMONTH(T692,0)&lt;&gt;S$5),1))+IF(W692="",0,IFERROR(--(EOMONTH(W692,0)&lt;&gt;V$5),1))+IF(Z692="",0,IFERROR(--(EOMONTH(Z692,0)&lt;&gt;Y$5),1))+IF(AC692="",0,IFERROR(--(EOMONTH(AC692,0)&lt;&gt;AB$5),1))+IF(AF692="",0,IFERROR(--(EOMONTH(AF692,0)&lt;&gt;AE$5),1))+IF(AI692="",0,IFERROR(--(EOMONTH(AI692,0)&lt;&gt;AH$5),1))+IF(AL692="",0,IFERROR(--(EOMONTH(AL692,0)&lt;&gt;AK$5),1))+IF(AO692="",0,IFERROR(--(EOMONTH(AO692,0)&lt;&gt;AN$5),1))+IF(AR692="",0,IFERROR(--(EOMONTH(AR692,0)&lt;&gt;AQ$5),1))+IF(AU692="",0,IFERROR(--(EOMONTH(AU692,0)&lt;&gt;AT$5),1))+IF(AX692="",0,IFERROR(--(EOMONTH(AX692,0)&lt;&gt;AW$5),1))+IF(BA692="",0,IFERROR(--(EOMONTH(BA692,0)&lt;&gt;AZ$5),1)))&gt;0,"; An invoice date is not in the month it is typed under",""),3,500))</f>
        <v/>
      </c>
      <c r="S692" s="12" t="n"/>
      <c r="T692" s="13" t="n"/>
      <c r="U692" s="14" t="n"/>
      <c r="V692" s="12" t="n"/>
      <c r="W692" s="13" t="n"/>
      <c r="X692" s="14" t="n"/>
      <c r="Y692" s="12" t="n"/>
      <c r="Z692" s="13" t="n"/>
      <c r="AA692" s="14" t="n"/>
      <c r="AB692" s="12" t="n"/>
      <c r="AC692" s="13" t="n"/>
      <c r="AD692" s="14" t="n"/>
      <c r="AE692" s="12" t="n"/>
      <c r="AF692" s="13" t="n"/>
      <c r="AG692" s="14" t="n"/>
      <c r="AH692" s="12" t="n"/>
      <c r="AI692" s="13" t="n"/>
      <c r="AJ692" s="14" t="n"/>
      <c r="AK692" s="12" t="n"/>
      <c r="AL692" s="13" t="n"/>
      <c r="AM692" s="14" t="n"/>
      <c r="AN692" s="12" t="n"/>
      <c r="AO692" s="13" t="n"/>
      <c r="AP692" s="14" t="n"/>
      <c r="AQ692" s="12" t="n"/>
      <c r="AR692" s="13" t="n"/>
      <c r="AS692" s="14" t="n"/>
      <c r="AT692" s="12" t="n"/>
      <c r="AU692" s="13" t="n"/>
      <c r="AV692" s="14" t="n"/>
      <c r="AW692" s="12" t="n"/>
      <c r="AX692" s="13" t="n"/>
      <c r="AY692" s="14" t="n"/>
      <c r="AZ692" s="12" t="n"/>
      <c r="BA692" s="13" t="n"/>
      <c r="BB692" s="14" t="n"/>
      <c r="BC692" s="11">
        <f>IF(O692="","",IF(J692="GST 10%",ROUND(O692*set_GSTRate,2),0))</f>
        <v/>
      </c>
      <c r="BD692" s="11">
        <f>IF(O692="","",O692+BC692)</f>
        <v/>
      </c>
      <c r="BE692" s="15">
        <f>IF(O692="","",COUNTA(S692,V692,Y692,AB692,AE692,AH692,AK692,AN692,AQ692,AT692,AW692,AZ692))</f>
        <v/>
      </c>
      <c r="BF692" s="16">
        <f>IF(COUNT(T692,W692,Z692,AC692,AF692,AI692,AL692,AO692,AR692,AU692,AX692,BA692)=0,"",MAX(T692,W692,Z692,AC692,AF692,AI692,AL692,AO692,AR692,AU692,AX692,BA692))</f>
        <v/>
      </c>
      <c r="BG692" s="10">
        <f>MID(IF(S692="","",", "&amp;S692)&amp;IF(V692="","",", "&amp;V692)&amp;IF(Y692="","",", "&amp;Y692)&amp;IF(AB692="","",", "&amp;AB692)&amp;IF(AE692="","",", "&amp;AE692)&amp;IF(AH692="","",", "&amp;AH692)&amp;IF(AK692="","",", "&amp;AK692)&amp;IF(AN692="","",", "&amp;AN692)&amp;IF(AQ692="","",", "&amp;AQ692)&amp;IF(AT692="","",", "&amp;AT692)&amp;IF(AW692="","",", "&amp;AW692)&amp;IF(AZ692="","",", "&amp;AZ692),3,500)</f>
        <v/>
      </c>
      <c r="BH692" s="12" t="n"/>
      <c r="BI692" s="15">
        <f>IFERROR(MATCH($A692,IF($B692="Onsite",tbl_Onsite[Row ID],IF($B692="Production",tbl_Production[Row ID],tbl_Consulting[Row ID])),0),"")</f>
        <v/>
      </c>
    </row>
    <row r="693">
      <c r="A693" s="10" t="inlineStr">
        <is>
          <t>PRD-0187</t>
        </is>
      </c>
      <c r="B693" s="10" t="inlineStr">
        <is>
          <t>Production</t>
        </is>
      </c>
      <c r="C693" s="10">
        <f>IF($BI693="","",IF($B693="Onsite",INDEX(tbl_Onsite[Job Number],$BI693),IF($B693="Production",INDEX(tbl_Production[Job Number],$BI693),INDEX(tbl_Consulting[Job Number],$BI693)))&amp;"")</f>
        <v/>
      </c>
      <c r="D693" s="10">
        <f>IF($BI693="","",IF($B693="Onsite",INDEX(tbl_Onsite[Client],$BI693),IF($B693="Production",INDEX(tbl_Production[Client],$BI693),INDEX(tbl_Consulting[Client],$BI693)))&amp;"")</f>
        <v/>
      </c>
      <c r="E693" s="10">
        <f>IF($C693="","",IF(COUNTIF(lst_Jobs,$C693)&gt;0,"OK","CHECK"))</f>
        <v/>
      </c>
      <c r="F693" s="10">
        <f>IF($C693="","",IFERROR(INDEX(lst_JobName,MATCH($C693,lst_Jobs,0)),""))</f>
        <v/>
      </c>
      <c r="G693" s="10">
        <f>IF($BI693="","",IF($B693="Onsite",INDEX(tbl_Onsite[Job Description],$BI693),IF($B693="Production",INDEX(tbl_Production[Job Description],$BI693),INDEX(tbl_Consulting[Job Description],$BI693)))&amp;"")</f>
        <v/>
      </c>
      <c r="H693" s="10">
        <f>IF($BI693="","",IF($B693="Onsite",INDEX(tbl_Onsite[Cost Centre],$BI693),IF($B693="Production",INDEX(tbl_Production[Cost Centre],$BI693),INDEX(tbl_Consulting[Cost Centre],$BI693)))&amp;"")</f>
        <v/>
      </c>
      <c r="I693" s="10">
        <f>IF($BI693="","",IF($B693="Onsite",INDEX(tbl_Onsite[Invoice Type],$BI693),IF($B693="Production",INDEX(tbl_Production[Invoice Type],$BI693),INDEX(tbl_Consulting[Invoice Type],$BI693)))&amp;"")</f>
        <v/>
      </c>
      <c r="J693" s="10">
        <f>IF($BI693="","",IF($B693="Onsite",INDEX(tbl_Onsite[Tax Code],$BI693),IF($B693="Production",INDEX(tbl_Production[Tax Code],$BI693),INDEX(tbl_Consulting[Tax Code],$BI693)))&amp;"")</f>
        <v/>
      </c>
      <c r="K693" s="10">
        <f>IF(H693="","",IFERROR(INDEX(lst_CCtoGL,MATCH(H693,lst_CCforGL,0)),""))</f>
        <v/>
      </c>
      <c r="L693" s="10">
        <f>IF($BI693="","",IF($B693="Onsite",INDEX(tbl_Onsite[PO / Reference],$BI693),IF($B693="Production",INDEX(tbl_Production[Current RMS No],$BI693),INDEX(tbl_Consulting[Qwilr Quote],$BI693)))&amp;"")</f>
        <v/>
      </c>
      <c r="M693" s="10">
        <f>IF($BI693="","",IF($B693="Onsite",INDEX(tbl_Onsite[Notes],$BI693),IF($B693="Production",INDEX(tbl_Production[Notes],$BI693),INDEX(tbl_Consulting[Notes],$BI693)))&amp;"")</f>
        <v/>
      </c>
      <c r="N693" s="11">
        <f>IF($BI693="","",IF(IF($B693="Onsite",INDEX(tbl_Onsite[Expected Revenue Ex GST],$BI693),IF($B693="Production",INDEX(tbl_Production[Expected Revenue Ex GST],$BI693),INDEX(tbl_Consulting[Expected Revenue Ex GST],$BI693)))="","",IF($B693="Onsite",INDEX(tbl_Onsite[Expected Revenue Ex GST],$BI693),IF($B693="Production",INDEX(tbl_Production[Expected Revenue Ex GST],$BI693),INDEX(tbl_Consulting[Expected Revenue Ex GST],$BI693)))))</f>
        <v/>
      </c>
      <c r="O693" s="11">
        <f>IF(AND($C693="",NOT(COUNTA($S693:$BB693)&gt;0)),"",SUM(U693,X693,AA693,AD693,AG693,AJ693,AM693,AP693,AS693,AV693,AY693,BB693))</f>
        <v/>
      </c>
      <c r="P693" s="11">
        <f>IF(O693="","",N(N693)-O693)</f>
        <v/>
      </c>
      <c r="Q693" s="10">
        <f>IF(O693="","",IF($C693="","Invoice on empty job row",IF(N693="",IF(ROUND(O693,2)=0,"No dept value","Invoiced - no dept value"),IF(ROUND(O693,2)=0,"Not invoiced - to invoice",IF(ROUND(P693,2)=0,"Agrees",IF(P693&gt;0,"Dept higher - to invoice","Xero higher - check dept"))))))</f>
        <v/>
      </c>
      <c r="R693" s="10">
        <f>IF(AND($C693="",NOT(COUNTA($S693:$BB693)&gt;0),$BI693&lt;&gt;""),"",MID(IF($BI693="","; Row ID not found on the department sheet - a row was deleted","")&amp;IF(AND($C693="",COUNTA($S693:$BB693)&gt;0),"; Invoice entered but the department row has no job number","")&amp;IF(E693="CHECK","; Job number not in the Xero job list","")&amp;IF(AND($C693&lt;&gt;"",COUNTIF($C$7:$C$1506,$C693)&gt;1),"; Job number on more than one row","")&amp;IF(AND($C693&lt;&gt;"",H693=""),"; Dept has not set a cost centre","")&amp;IF(AND($C693&lt;&gt;"",J693=""),"; Dept has not set a tax code","")&amp;IF(AND($C693&lt;&gt;"",N693=""),"; Dept has not entered an expected value","")&amp;IF((IF(OR(COUNTA(S693:U693)=0,AND(COUNTA(S693:U693)=3,ISNUMBER(U693))),0,1)+IF(OR(COUNTA(V693:X693)=0,AND(COUNTA(V693:X693)=3,ISNUMBER(X693))),0,1)+IF(OR(COUNTA(Y693:AA693)=0,AND(COUNTA(Y693:AA693)=3,ISNUMBER(AA693))),0,1)+IF(OR(COUNTA(AB693:AD693)=0,AND(COUNTA(AB693:AD693)=3,ISNUMBER(AD693))),0,1)+IF(OR(COUNTA(AE693:AG693)=0,AND(COUNTA(AE693:AG693)=3,ISNUMBER(AG693))),0,1)+IF(OR(COUNTA(AH693:AJ693)=0,AND(COUNTA(AH693:AJ693)=3,ISNUMBER(AJ693))),0,1)+IF(OR(COUNTA(AK693:AM693)=0,AND(COUNTA(AK693:AM693)=3,ISNUMBER(AM693))),0,1)+IF(OR(COUNTA(AN693:AP693)=0,AND(COUNTA(AN693:AP693)=3,ISNUMBER(AP693))),0,1)+IF(OR(COUNTA(AQ693:AS693)=0,AND(COUNTA(AQ693:AS693)=3,ISNUMBER(AS693))),0,1)+IF(OR(COUNTA(AT693:AV693)=0,AND(COUNTA(AT693:AV693)=3,ISNUMBER(AV693))),0,1)+IF(OR(COUNTA(AW693:AY693)=0,AND(COUNTA(AW693:AY693)=3,ISNUMBER(AY693))),0,1)+IF(OR(COUNTA(AZ693:BB693)=0,AND(COUNTA(AZ693:BB693)=3,ISNUMBER(BB693))),0,1))&gt;0,"; An invoice is incomplete (needs No, Date and a number in Ex GST)","")&amp;IF((IF(T693="",0,IFERROR(--(EOMONTH(T693,0)&lt;&gt;S$5),1))+IF(W693="",0,IFERROR(--(EOMONTH(W693,0)&lt;&gt;V$5),1))+IF(Z693="",0,IFERROR(--(EOMONTH(Z693,0)&lt;&gt;Y$5),1))+IF(AC693="",0,IFERROR(--(EOMONTH(AC693,0)&lt;&gt;AB$5),1))+IF(AF693="",0,IFERROR(--(EOMONTH(AF693,0)&lt;&gt;AE$5),1))+IF(AI693="",0,IFERROR(--(EOMONTH(AI693,0)&lt;&gt;AH$5),1))+IF(AL693="",0,IFERROR(--(EOMONTH(AL693,0)&lt;&gt;AK$5),1))+IF(AO693="",0,IFERROR(--(EOMONTH(AO693,0)&lt;&gt;AN$5),1))+IF(AR693="",0,IFERROR(--(EOMONTH(AR693,0)&lt;&gt;AQ$5),1))+IF(AU693="",0,IFERROR(--(EOMONTH(AU693,0)&lt;&gt;AT$5),1))+IF(AX693="",0,IFERROR(--(EOMONTH(AX693,0)&lt;&gt;AW$5),1))+IF(BA693="",0,IFERROR(--(EOMONTH(BA693,0)&lt;&gt;AZ$5),1)))&gt;0,"; An invoice date is not in the month it is typed under",""),3,500))</f>
        <v/>
      </c>
      <c r="S693" s="12" t="n"/>
      <c r="T693" s="13" t="n"/>
      <c r="U693" s="14" t="n"/>
      <c r="V693" s="12" t="n"/>
      <c r="W693" s="13" t="n"/>
      <c r="X693" s="14" t="n"/>
      <c r="Y693" s="12" t="n"/>
      <c r="Z693" s="13" t="n"/>
      <c r="AA693" s="14" t="n"/>
      <c r="AB693" s="12" t="n"/>
      <c r="AC693" s="13" t="n"/>
      <c r="AD693" s="14" t="n"/>
      <c r="AE693" s="12" t="n"/>
      <c r="AF693" s="13" t="n"/>
      <c r="AG693" s="14" t="n"/>
      <c r="AH693" s="12" t="n"/>
      <c r="AI693" s="13" t="n"/>
      <c r="AJ693" s="14" t="n"/>
      <c r="AK693" s="12" t="n"/>
      <c r="AL693" s="13" t="n"/>
      <c r="AM693" s="14" t="n"/>
      <c r="AN693" s="12" t="n"/>
      <c r="AO693" s="13" t="n"/>
      <c r="AP693" s="14" t="n"/>
      <c r="AQ693" s="12" t="n"/>
      <c r="AR693" s="13" t="n"/>
      <c r="AS693" s="14" t="n"/>
      <c r="AT693" s="12" t="n"/>
      <c r="AU693" s="13" t="n"/>
      <c r="AV693" s="14" t="n"/>
      <c r="AW693" s="12" t="n"/>
      <c r="AX693" s="13" t="n"/>
      <c r="AY693" s="14" t="n"/>
      <c r="AZ693" s="12" t="n"/>
      <c r="BA693" s="13" t="n"/>
      <c r="BB693" s="14" t="n"/>
      <c r="BC693" s="11">
        <f>IF(O693="","",IF(J693="GST 10%",ROUND(O693*set_GSTRate,2),0))</f>
        <v/>
      </c>
      <c r="BD693" s="11">
        <f>IF(O693="","",O693+BC693)</f>
        <v/>
      </c>
      <c r="BE693" s="15">
        <f>IF(O693="","",COUNTA(S693,V693,Y693,AB693,AE693,AH693,AK693,AN693,AQ693,AT693,AW693,AZ693))</f>
        <v/>
      </c>
      <c r="BF693" s="16">
        <f>IF(COUNT(T693,W693,Z693,AC693,AF693,AI693,AL693,AO693,AR693,AU693,AX693,BA693)=0,"",MAX(T693,W693,Z693,AC693,AF693,AI693,AL693,AO693,AR693,AU693,AX693,BA693))</f>
        <v/>
      </c>
      <c r="BG693" s="10">
        <f>MID(IF(S693="","",", "&amp;S693)&amp;IF(V693="","",", "&amp;V693)&amp;IF(Y693="","",", "&amp;Y693)&amp;IF(AB693="","",", "&amp;AB693)&amp;IF(AE693="","",", "&amp;AE693)&amp;IF(AH693="","",", "&amp;AH693)&amp;IF(AK693="","",", "&amp;AK693)&amp;IF(AN693="","",", "&amp;AN693)&amp;IF(AQ693="","",", "&amp;AQ693)&amp;IF(AT693="","",", "&amp;AT693)&amp;IF(AW693="","",", "&amp;AW693)&amp;IF(AZ693="","",", "&amp;AZ693),3,500)</f>
        <v/>
      </c>
      <c r="BH693" s="12" t="n"/>
      <c r="BI693" s="15">
        <f>IFERROR(MATCH($A693,IF($B693="Onsite",tbl_Onsite[Row ID],IF($B693="Production",tbl_Production[Row ID],tbl_Consulting[Row ID])),0),"")</f>
        <v/>
      </c>
    </row>
    <row r="694">
      <c r="A694" s="10" t="inlineStr">
        <is>
          <t>PRD-0188</t>
        </is>
      </c>
      <c r="B694" s="10" t="inlineStr">
        <is>
          <t>Production</t>
        </is>
      </c>
      <c r="C694" s="10">
        <f>IF($BI694="","",IF($B694="Onsite",INDEX(tbl_Onsite[Job Number],$BI694),IF($B694="Production",INDEX(tbl_Production[Job Number],$BI694),INDEX(tbl_Consulting[Job Number],$BI694)))&amp;"")</f>
        <v/>
      </c>
      <c r="D694" s="10">
        <f>IF($BI694="","",IF($B694="Onsite",INDEX(tbl_Onsite[Client],$BI694),IF($B694="Production",INDEX(tbl_Production[Client],$BI694),INDEX(tbl_Consulting[Client],$BI694)))&amp;"")</f>
        <v/>
      </c>
      <c r="E694" s="10">
        <f>IF($C694="","",IF(COUNTIF(lst_Jobs,$C694)&gt;0,"OK","CHECK"))</f>
        <v/>
      </c>
      <c r="F694" s="10">
        <f>IF($C694="","",IFERROR(INDEX(lst_JobName,MATCH($C694,lst_Jobs,0)),""))</f>
        <v/>
      </c>
      <c r="G694" s="10">
        <f>IF($BI694="","",IF($B694="Onsite",INDEX(tbl_Onsite[Job Description],$BI694),IF($B694="Production",INDEX(tbl_Production[Job Description],$BI694),INDEX(tbl_Consulting[Job Description],$BI694)))&amp;"")</f>
        <v/>
      </c>
      <c r="H694" s="10">
        <f>IF($BI694="","",IF($B694="Onsite",INDEX(tbl_Onsite[Cost Centre],$BI694),IF($B694="Production",INDEX(tbl_Production[Cost Centre],$BI694),INDEX(tbl_Consulting[Cost Centre],$BI694)))&amp;"")</f>
        <v/>
      </c>
      <c r="I694" s="10">
        <f>IF($BI694="","",IF($B694="Onsite",INDEX(tbl_Onsite[Invoice Type],$BI694),IF($B694="Production",INDEX(tbl_Production[Invoice Type],$BI694),INDEX(tbl_Consulting[Invoice Type],$BI694)))&amp;"")</f>
        <v/>
      </c>
      <c r="J694" s="10">
        <f>IF($BI694="","",IF($B694="Onsite",INDEX(tbl_Onsite[Tax Code],$BI694),IF($B694="Production",INDEX(tbl_Production[Tax Code],$BI694),INDEX(tbl_Consulting[Tax Code],$BI694)))&amp;"")</f>
        <v/>
      </c>
      <c r="K694" s="10">
        <f>IF(H694="","",IFERROR(INDEX(lst_CCtoGL,MATCH(H694,lst_CCforGL,0)),""))</f>
        <v/>
      </c>
      <c r="L694" s="10">
        <f>IF($BI694="","",IF($B694="Onsite",INDEX(tbl_Onsite[PO / Reference],$BI694),IF($B694="Production",INDEX(tbl_Production[Current RMS No],$BI694),INDEX(tbl_Consulting[Qwilr Quote],$BI694)))&amp;"")</f>
        <v/>
      </c>
      <c r="M694" s="10">
        <f>IF($BI694="","",IF($B694="Onsite",INDEX(tbl_Onsite[Notes],$BI694),IF($B694="Production",INDEX(tbl_Production[Notes],$BI694),INDEX(tbl_Consulting[Notes],$BI694)))&amp;"")</f>
        <v/>
      </c>
      <c r="N694" s="11">
        <f>IF($BI694="","",IF(IF($B694="Onsite",INDEX(tbl_Onsite[Expected Revenue Ex GST],$BI694),IF($B694="Production",INDEX(tbl_Production[Expected Revenue Ex GST],$BI694),INDEX(tbl_Consulting[Expected Revenue Ex GST],$BI694)))="","",IF($B694="Onsite",INDEX(tbl_Onsite[Expected Revenue Ex GST],$BI694),IF($B694="Production",INDEX(tbl_Production[Expected Revenue Ex GST],$BI694),INDEX(tbl_Consulting[Expected Revenue Ex GST],$BI694)))))</f>
        <v/>
      </c>
      <c r="O694" s="11">
        <f>IF(AND($C694="",NOT(COUNTA($S694:$BB694)&gt;0)),"",SUM(U694,X694,AA694,AD694,AG694,AJ694,AM694,AP694,AS694,AV694,AY694,BB694))</f>
        <v/>
      </c>
      <c r="P694" s="11">
        <f>IF(O694="","",N(N694)-O694)</f>
        <v/>
      </c>
      <c r="Q694" s="10">
        <f>IF(O694="","",IF($C694="","Invoice on empty job row",IF(N694="",IF(ROUND(O694,2)=0,"No dept value","Invoiced - no dept value"),IF(ROUND(O694,2)=0,"Not invoiced - to invoice",IF(ROUND(P694,2)=0,"Agrees",IF(P694&gt;0,"Dept higher - to invoice","Xero higher - check dept"))))))</f>
        <v/>
      </c>
      <c r="R694" s="10">
        <f>IF(AND($C694="",NOT(COUNTA($S694:$BB694)&gt;0),$BI694&lt;&gt;""),"",MID(IF($BI694="","; Row ID not found on the department sheet - a row was deleted","")&amp;IF(AND($C694="",COUNTA($S694:$BB694)&gt;0),"; Invoice entered but the department row has no job number","")&amp;IF(E694="CHECK","; Job number not in the Xero job list","")&amp;IF(AND($C694&lt;&gt;"",COUNTIF($C$7:$C$1506,$C694)&gt;1),"; Job number on more than one row","")&amp;IF(AND($C694&lt;&gt;"",H694=""),"; Dept has not set a cost centre","")&amp;IF(AND($C694&lt;&gt;"",J694=""),"; Dept has not set a tax code","")&amp;IF(AND($C694&lt;&gt;"",N694=""),"; Dept has not entered an expected value","")&amp;IF((IF(OR(COUNTA(S694:U694)=0,AND(COUNTA(S694:U694)=3,ISNUMBER(U694))),0,1)+IF(OR(COUNTA(V694:X694)=0,AND(COUNTA(V694:X694)=3,ISNUMBER(X694))),0,1)+IF(OR(COUNTA(Y694:AA694)=0,AND(COUNTA(Y694:AA694)=3,ISNUMBER(AA694))),0,1)+IF(OR(COUNTA(AB694:AD694)=0,AND(COUNTA(AB694:AD694)=3,ISNUMBER(AD694))),0,1)+IF(OR(COUNTA(AE694:AG694)=0,AND(COUNTA(AE694:AG694)=3,ISNUMBER(AG694))),0,1)+IF(OR(COUNTA(AH694:AJ694)=0,AND(COUNTA(AH694:AJ694)=3,ISNUMBER(AJ694))),0,1)+IF(OR(COUNTA(AK694:AM694)=0,AND(COUNTA(AK694:AM694)=3,ISNUMBER(AM694))),0,1)+IF(OR(COUNTA(AN694:AP694)=0,AND(COUNTA(AN694:AP694)=3,ISNUMBER(AP694))),0,1)+IF(OR(COUNTA(AQ694:AS694)=0,AND(COUNTA(AQ694:AS694)=3,ISNUMBER(AS694))),0,1)+IF(OR(COUNTA(AT694:AV694)=0,AND(COUNTA(AT694:AV694)=3,ISNUMBER(AV694))),0,1)+IF(OR(COUNTA(AW694:AY694)=0,AND(COUNTA(AW694:AY694)=3,ISNUMBER(AY694))),0,1)+IF(OR(COUNTA(AZ694:BB694)=0,AND(COUNTA(AZ694:BB694)=3,ISNUMBER(BB694))),0,1))&gt;0,"; An invoice is incomplete (needs No, Date and a number in Ex GST)","")&amp;IF((IF(T694="",0,IFERROR(--(EOMONTH(T694,0)&lt;&gt;S$5),1))+IF(W694="",0,IFERROR(--(EOMONTH(W694,0)&lt;&gt;V$5),1))+IF(Z694="",0,IFERROR(--(EOMONTH(Z694,0)&lt;&gt;Y$5),1))+IF(AC694="",0,IFERROR(--(EOMONTH(AC694,0)&lt;&gt;AB$5),1))+IF(AF694="",0,IFERROR(--(EOMONTH(AF694,0)&lt;&gt;AE$5),1))+IF(AI694="",0,IFERROR(--(EOMONTH(AI694,0)&lt;&gt;AH$5),1))+IF(AL694="",0,IFERROR(--(EOMONTH(AL694,0)&lt;&gt;AK$5),1))+IF(AO694="",0,IFERROR(--(EOMONTH(AO694,0)&lt;&gt;AN$5),1))+IF(AR694="",0,IFERROR(--(EOMONTH(AR694,0)&lt;&gt;AQ$5),1))+IF(AU694="",0,IFERROR(--(EOMONTH(AU694,0)&lt;&gt;AT$5),1))+IF(AX694="",0,IFERROR(--(EOMONTH(AX694,0)&lt;&gt;AW$5),1))+IF(BA694="",0,IFERROR(--(EOMONTH(BA694,0)&lt;&gt;AZ$5),1)))&gt;0,"; An invoice date is not in the month it is typed under",""),3,500))</f>
        <v/>
      </c>
      <c r="S694" s="12" t="n"/>
      <c r="T694" s="13" t="n"/>
      <c r="U694" s="14" t="n"/>
      <c r="V694" s="12" t="n"/>
      <c r="W694" s="13" t="n"/>
      <c r="X694" s="14" t="n"/>
      <c r="Y694" s="12" t="n"/>
      <c r="Z694" s="13" t="n"/>
      <c r="AA694" s="14" t="n"/>
      <c r="AB694" s="12" t="n"/>
      <c r="AC694" s="13" t="n"/>
      <c r="AD694" s="14" t="n"/>
      <c r="AE694" s="12" t="n"/>
      <c r="AF694" s="13" t="n"/>
      <c r="AG694" s="14" t="n"/>
      <c r="AH694" s="12" t="n"/>
      <c r="AI694" s="13" t="n"/>
      <c r="AJ694" s="14" t="n"/>
      <c r="AK694" s="12" t="n"/>
      <c r="AL694" s="13" t="n"/>
      <c r="AM694" s="14" t="n"/>
      <c r="AN694" s="12" t="n"/>
      <c r="AO694" s="13" t="n"/>
      <c r="AP694" s="14" t="n"/>
      <c r="AQ694" s="12" t="n"/>
      <c r="AR694" s="13" t="n"/>
      <c r="AS694" s="14" t="n"/>
      <c r="AT694" s="12" t="n"/>
      <c r="AU694" s="13" t="n"/>
      <c r="AV694" s="14" t="n"/>
      <c r="AW694" s="12" t="n"/>
      <c r="AX694" s="13" t="n"/>
      <c r="AY694" s="14" t="n"/>
      <c r="AZ694" s="12" t="n"/>
      <c r="BA694" s="13" t="n"/>
      <c r="BB694" s="14" t="n"/>
      <c r="BC694" s="11">
        <f>IF(O694="","",IF(J694="GST 10%",ROUND(O694*set_GSTRate,2),0))</f>
        <v/>
      </c>
      <c r="BD694" s="11">
        <f>IF(O694="","",O694+BC694)</f>
        <v/>
      </c>
      <c r="BE694" s="15">
        <f>IF(O694="","",COUNTA(S694,V694,Y694,AB694,AE694,AH694,AK694,AN694,AQ694,AT694,AW694,AZ694))</f>
        <v/>
      </c>
      <c r="BF694" s="16">
        <f>IF(COUNT(T694,W694,Z694,AC694,AF694,AI694,AL694,AO694,AR694,AU694,AX694,BA694)=0,"",MAX(T694,W694,Z694,AC694,AF694,AI694,AL694,AO694,AR694,AU694,AX694,BA694))</f>
        <v/>
      </c>
      <c r="BG694" s="10">
        <f>MID(IF(S694="","",", "&amp;S694)&amp;IF(V694="","",", "&amp;V694)&amp;IF(Y694="","",", "&amp;Y694)&amp;IF(AB694="","",", "&amp;AB694)&amp;IF(AE694="","",", "&amp;AE694)&amp;IF(AH694="","",", "&amp;AH694)&amp;IF(AK694="","",", "&amp;AK694)&amp;IF(AN694="","",", "&amp;AN694)&amp;IF(AQ694="","",", "&amp;AQ694)&amp;IF(AT694="","",", "&amp;AT694)&amp;IF(AW694="","",", "&amp;AW694)&amp;IF(AZ694="","",", "&amp;AZ694),3,500)</f>
        <v/>
      </c>
      <c r="BH694" s="12" t="n"/>
      <c r="BI694" s="15">
        <f>IFERROR(MATCH($A694,IF($B694="Onsite",tbl_Onsite[Row ID],IF($B694="Production",tbl_Production[Row ID],tbl_Consulting[Row ID])),0),"")</f>
        <v/>
      </c>
    </row>
    <row r="695">
      <c r="A695" s="10" t="inlineStr">
        <is>
          <t>PRD-0189</t>
        </is>
      </c>
      <c r="B695" s="10" t="inlineStr">
        <is>
          <t>Production</t>
        </is>
      </c>
      <c r="C695" s="10">
        <f>IF($BI695="","",IF($B695="Onsite",INDEX(tbl_Onsite[Job Number],$BI695),IF($B695="Production",INDEX(tbl_Production[Job Number],$BI695),INDEX(tbl_Consulting[Job Number],$BI695)))&amp;"")</f>
        <v/>
      </c>
      <c r="D695" s="10">
        <f>IF($BI695="","",IF($B695="Onsite",INDEX(tbl_Onsite[Client],$BI695),IF($B695="Production",INDEX(tbl_Production[Client],$BI695),INDEX(tbl_Consulting[Client],$BI695)))&amp;"")</f>
        <v/>
      </c>
      <c r="E695" s="10">
        <f>IF($C695="","",IF(COUNTIF(lst_Jobs,$C695)&gt;0,"OK","CHECK"))</f>
        <v/>
      </c>
      <c r="F695" s="10">
        <f>IF($C695="","",IFERROR(INDEX(lst_JobName,MATCH($C695,lst_Jobs,0)),""))</f>
        <v/>
      </c>
      <c r="G695" s="10">
        <f>IF($BI695="","",IF($B695="Onsite",INDEX(tbl_Onsite[Job Description],$BI695),IF($B695="Production",INDEX(tbl_Production[Job Description],$BI695),INDEX(tbl_Consulting[Job Description],$BI695)))&amp;"")</f>
        <v/>
      </c>
      <c r="H695" s="10">
        <f>IF($BI695="","",IF($B695="Onsite",INDEX(tbl_Onsite[Cost Centre],$BI695),IF($B695="Production",INDEX(tbl_Production[Cost Centre],$BI695),INDEX(tbl_Consulting[Cost Centre],$BI695)))&amp;"")</f>
        <v/>
      </c>
      <c r="I695" s="10">
        <f>IF($BI695="","",IF($B695="Onsite",INDEX(tbl_Onsite[Invoice Type],$BI695),IF($B695="Production",INDEX(tbl_Production[Invoice Type],$BI695),INDEX(tbl_Consulting[Invoice Type],$BI695)))&amp;"")</f>
        <v/>
      </c>
      <c r="J695" s="10">
        <f>IF($BI695="","",IF($B695="Onsite",INDEX(tbl_Onsite[Tax Code],$BI695),IF($B695="Production",INDEX(tbl_Production[Tax Code],$BI695),INDEX(tbl_Consulting[Tax Code],$BI695)))&amp;"")</f>
        <v/>
      </c>
      <c r="K695" s="10">
        <f>IF(H695="","",IFERROR(INDEX(lst_CCtoGL,MATCH(H695,lst_CCforGL,0)),""))</f>
        <v/>
      </c>
      <c r="L695" s="10">
        <f>IF($BI695="","",IF($B695="Onsite",INDEX(tbl_Onsite[PO / Reference],$BI695),IF($B695="Production",INDEX(tbl_Production[Current RMS No],$BI695),INDEX(tbl_Consulting[Qwilr Quote],$BI695)))&amp;"")</f>
        <v/>
      </c>
      <c r="M695" s="10">
        <f>IF($BI695="","",IF($B695="Onsite",INDEX(tbl_Onsite[Notes],$BI695),IF($B695="Production",INDEX(tbl_Production[Notes],$BI695),INDEX(tbl_Consulting[Notes],$BI695)))&amp;"")</f>
        <v/>
      </c>
      <c r="N695" s="11">
        <f>IF($BI695="","",IF(IF($B695="Onsite",INDEX(tbl_Onsite[Expected Revenue Ex GST],$BI695),IF($B695="Production",INDEX(tbl_Production[Expected Revenue Ex GST],$BI695),INDEX(tbl_Consulting[Expected Revenue Ex GST],$BI695)))="","",IF($B695="Onsite",INDEX(tbl_Onsite[Expected Revenue Ex GST],$BI695),IF($B695="Production",INDEX(tbl_Production[Expected Revenue Ex GST],$BI695),INDEX(tbl_Consulting[Expected Revenue Ex GST],$BI695)))))</f>
        <v/>
      </c>
      <c r="O695" s="11">
        <f>IF(AND($C695="",NOT(COUNTA($S695:$BB695)&gt;0)),"",SUM(U695,X695,AA695,AD695,AG695,AJ695,AM695,AP695,AS695,AV695,AY695,BB695))</f>
        <v/>
      </c>
      <c r="P695" s="11">
        <f>IF(O695="","",N(N695)-O695)</f>
        <v/>
      </c>
      <c r="Q695" s="10">
        <f>IF(O695="","",IF($C695="","Invoice on empty job row",IF(N695="",IF(ROUND(O695,2)=0,"No dept value","Invoiced - no dept value"),IF(ROUND(O695,2)=0,"Not invoiced - to invoice",IF(ROUND(P695,2)=0,"Agrees",IF(P695&gt;0,"Dept higher - to invoice","Xero higher - check dept"))))))</f>
        <v/>
      </c>
      <c r="R695" s="10">
        <f>IF(AND($C695="",NOT(COUNTA($S695:$BB695)&gt;0),$BI695&lt;&gt;""),"",MID(IF($BI695="","; Row ID not found on the department sheet - a row was deleted","")&amp;IF(AND($C695="",COUNTA($S695:$BB695)&gt;0),"; Invoice entered but the department row has no job number","")&amp;IF(E695="CHECK","; Job number not in the Xero job list","")&amp;IF(AND($C695&lt;&gt;"",COUNTIF($C$7:$C$1506,$C695)&gt;1),"; Job number on more than one row","")&amp;IF(AND($C695&lt;&gt;"",H695=""),"; Dept has not set a cost centre","")&amp;IF(AND($C695&lt;&gt;"",J695=""),"; Dept has not set a tax code","")&amp;IF(AND($C695&lt;&gt;"",N695=""),"; Dept has not entered an expected value","")&amp;IF((IF(OR(COUNTA(S695:U695)=0,AND(COUNTA(S695:U695)=3,ISNUMBER(U695))),0,1)+IF(OR(COUNTA(V695:X695)=0,AND(COUNTA(V695:X695)=3,ISNUMBER(X695))),0,1)+IF(OR(COUNTA(Y695:AA695)=0,AND(COUNTA(Y695:AA695)=3,ISNUMBER(AA695))),0,1)+IF(OR(COUNTA(AB695:AD695)=0,AND(COUNTA(AB695:AD695)=3,ISNUMBER(AD695))),0,1)+IF(OR(COUNTA(AE695:AG695)=0,AND(COUNTA(AE695:AG695)=3,ISNUMBER(AG695))),0,1)+IF(OR(COUNTA(AH695:AJ695)=0,AND(COUNTA(AH695:AJ695)=3,ISNUMBER(AJ695))),0,1)+IF(OR(COUNTA(AK695:AM695)=0,AND(COUNTA(AK695:AM695)=3,ISNUMBER(AM695))),0,1)+IF(OR(COUNTA(AN695:AP695)=0,AND(COUNTA(AN695:AP695)=3,ISNUMBER(AP695))),0,1)+IF(OR(COUNTA(AQ695:AS695)=0,AND(COUNTA(AQ695:AS695)=3,ISNUMBER(AS695))),0,1)+IF(OR(COUNTA(AT695:AV695)=0,AND(COUNTA(AT695:AV695)=3,ISNUMBER(AV695))),0,1)+IF(OR(COUNTA(AW695:AY695)=0,AND(COUNTA(AW695:AY695)=3,ISNUMBER(AY695))),0,1)+IF(OR(COUNTA(AZ695:BB695)=0,AND(COUNTA(AZ695:BB695)=3,ISNUMBER(BB695))),0,1))&gt;0,"; An invoice is incomplete (needs No, Date and a number in Ex GST)","")&amp;IF((IF(T695="",0,IFERROR(--(EOMONTH(T695,0)&lt;&gt;S$5),1))+IF(W695="",0,IFERROR(--(EOMONTH(W695,0)&lt;&gt;V$5),1))+IF(Z695="",0,IFERROR(--(EOMONTH(Z695,0)&lt;&gt;Y$5),1))+IF(AC695="",0,IFERROR(--(EOMONTH(AC695,0)&lt;&gt;AB$5),1))+IF(AF695="",0,IFERROR(--(EOMONTH(AF695,0)&lt;&gt;AE$5),1))+IF(AI695="",0,IFERROR(--(EOMONTH(AI695,0)&lt;&gt;AH$5),1))+IF(AL695="",0,IFERROR(--(EOMONTH(AL695,0)&lt;&gt;AK$5),1))+IF(AO695="",0,IFERROR(--(EOMONTH(AO695,0)&lt;&gt;AN$5),1))+IF(AR695="",0,IFERROR(--(EOMONTH(AR695,0)&lt;&gt;AQ$5),1))+IF(AU695="",0,IFERROR(--(EOMONTH(AU695,0)&lt;&gt;AT$5),1))+IF(AX695="",0,IFERROR(--(EOMONTH(AX695,0)&lt;&gt;AW$5),1))+IF(BA695="",0,IFERROR(--(EOMONTH(BA695,0)&lt;&gt;AZ$5),1)))&gt;0,"; An invoice date is not in the month it is typed under",""),3,500))</f>
        <v/>
      </c>
      <c r="S695" s="12" t="n"/>
      <c r="T695" s="13" t="n"/>
      <c r="U695" s="14" t="n"/>
      <c r="V695" s="12" t="n"/>
      <c r="W695" s="13" t="n"/>
      <c r="X695" s="14" t="n"/>
      <c r="Y695" s="12" t="n"/>
      <c r="Z695" s="13" t="n"/>
      <c r="AA695" s="14" t="n"/>
      <c r="AB695" s="12" t="n"/>
      <c r="AC695" s="13" t="n"/>
      <c r="AD695" s="14" t="n"/>
      <c r="AE695" s="12" t="n"/>
      <c r="AF695" s="13" t="n"/>
      <c r="AG695" s="14" t="n"/>
      <c r="AH695" s="12" t="n"/>
      <c r="AI695" s="13" t="n"/>
      <c r="AJ695" s="14" t="n"/>
      <c r="AK695" s="12" t="n"/>
      <c r="AL695" s="13" t="n"/>
      <c r="AM695" s="14" t="n"/>
      <c r="AN695" s="12" t="n"/>
      <c r="AO695" s="13" t="n"/>
      <c r="AP695" s="14" t="n"/>
      <c r="AQ695" s="12" t="n"/>
      <c r="AR695" s="13" t="n"/>
      <c r="AS695" s="14" t="n"/>
      <c r="AT695" s="12" t="n"/>
      <c r="AU695" s="13" t="n"/>
      <c r="AV695" s="14" t="n"/>
      <c r="AW695" s="12" t="n"/>
      <c r="AX695" s="13" t="n"/>
      <c r="AY695" s="14" t="n"/>
      <c r="AZ695" s="12" t="n"/>
      <c r="BA695" s="13" t="n"/>
      <c r="BB695" s="14" t="n"/>
      <c r="BC695" s="11">
        <f>IF(O695="","",IF(J695="GST 10%",ROUND(O695*set_GSTRate,2),0))</f>
        <v/>
      </c>
      <c r="BD695" s="11">
        <f>IF(O695="","",O695+BC695)</f>
        <v/>
      </c>
      <c r="BE695" s="15">
        <f>IF(O695="","",COUNTA(S695,V695,Y695,AB695,AE695,AH695,AK695,AN695,AQ695,AT695,AW695,AZ695))</f>
        <v/>
      </c>
      <c r="BF695" s="16">
        <f>IF(COUNT(T695,W695,Z695,AC695,AF695,AI695,AL695,AO695,AR695,AU695,AX695,BA695)=0,"",MAX(T695,W695,Z695,AC695,AF695,AI695,AL695,AO695,AR695,AU695,AX695,BA695))</f>
        <v/>
      </c>
      <c r="BG695" s="10">
        <f>MID(IF(S695="","",", "&amp;S695)&amp;IF(V695="","",", "&amp;V695)&amp;IF(Y695="","",", "&amp;Y695)&amp;IF(AB695="","",", "&amp;AB695)&amp;IF(AE695="","",", "&amp;AE695)&amp;IF(AH695="","",", "&amp;AH695)&amp;IF(AK695="","",", "&amp;AK695)&amp;IF(AN695="","",", "&amp;AN695)&amp;IF(AQ695="","",", "&amp;AQ695)&amp;IF(AT695="","",", "&amp;AT695)&amp;IF(AW695="","",", "&amp;AW695)&amp;IF(AZ695="","",", "&amp;AZ695),3,500)</f>
        <v/>
      </c>
      <c r="BH695" s="12" t="n"/>
      <c r="BI695" s="15">
        <f>IFERROR(MATCH($A695,IF($B695="Onsite",tbl_Onsite[Row ID],IF($B695="Production",tbl_Production[Row ID],tbl_Consulting[Row ID])),0),"")</f>
        <v/>
      </c>
    </row>
    <row r="696">
      <c r="A696" s="10" t="inlineStr">
        <is>
          <t>PRD-0190</t>
        </is>
      </c>
      <c r="B696" s="10" t="inlineStr">
        <is>
          <t>Production</t>
        </is>
      </c>
      <c r="C696" s="10">
        <f>IF($BI696="","",IF($B696="Onsite",INDEX(tbl_Onsite[Job Number],$BI696),IF($B696="Production",INDEX(tbl_Production[Job Number],$BI696),INDEX(tbl_Consulting[Job Number],$BI696)))&amp;"")</f>
        <v/>
      </c>
      <c r="D696" s="10">
        <f>IF($BI696="","",IF($B696="Onsite",INDEX(tbl_Onsite[Client],$BI696),IF($B696="Production",INDEX(tbl_Production[Client],$BI696),INDEX(tbl_Consulting[Client],$BI696)))&amp;"")</f>
        <v/>
      </c>
      <c r="E696" s="10">
        <f>IF($C696="","",IF(COUNTIF(lst_Jobs,$C696)&gt;0,"OK","CHECK"))</f>
        <v/>
      </c>
      <c r="F696" s="10">
        <f>IF($C696="","",IFERROR(INDEX(lst_JobName,MATCH($C696,lst_Jobs,0)),""))</f>
        <v/>
      </c>
      <c r="G696" s="10">
        <f>IF($BI696="","",IF($B696="Onsite",INDEX(tbl_Onsite[Job Description],$BI696),IF($B696="Production",INDEX(tbl_Production[Job Description],$BI696),INDEX(tbl_Consulting[Job Description],$BI696)))&amp;"")</f>
        <v/>
      </c>
      <c r="H696" s="10">
        <f>IF($BI696="","",IF($B696="Onsite",INDEX(tbl_Onsite[Cost Centre],$BI696),IF($B696="Production",INDEX(tbl_Production[Cost Centre],$BI696),INDEX(tbl_Consulting[Cost Centre],$BI696)))&amp;"")</f>
        <v/>
      </c>
      <c r="I696" s="10">
        <f>IF($BI696="","",IF($B696="Onsite",INDEX(tbl_Onsite[Invoice Type],$BI696),IF($B696="Production",INDEX(tbl_Production[Invoice Type],$BI696),INDEX(tbl_Consulting[Invoice Type],$BI696)))&amp;"")</f>
        <v/>
      </c>
      <c r="J696" s="10">
        <f>IF($BI696="","",IF($B696="Onsite",INDEX(tbl_Onsite[Tax Code],$BI696),IF($B696="Production",INDEX(tbl_Production[Tax Code],$BI696),INDEX(tbl_Consulting[Tax Code],$BI696)))&amp;"")</f>
        <v/>
      </c>
      <c r="K696" s="10">
        <f>IF(H696="","",IFERROR(INDEX(lst_CCtoGL,MATCH(H696,lst_CCforGL,0)),""))</f>
        <v/>
      </c>
      <c r="L696" s="10">
        <f>IF($BI696="","",IF($B696="Onsite",INDEX(tbl_Onsite[PO / Reference],$BI696),IF($B696="Production",INDEX(tbl_Production[Current RMS No],$BI696),INDEX(tbl_Consulting[Qwilr Quote],$BI696)))&amp;"")</f>
        <v/>
      </c>
      <c r="M696" s="10">
        <f>IF($BI696="","",IF($B696="Onsite",INDEX(tbl_Onsite[Notes],$BI696),IF($B696="Production",INDEX(tbl_Production[Notes],$BI696),INDEX(tbl_Consulting[Notes],$BI696)))&amp;"")</f>
        <v/>
      </c>
      <c r="N696" s="11">
        <f>IF($BI696="","",IF(IF($B696="Onsite",INDEX(tbl_Onsite[Expected Revenue Ex GST],$BI696),IF($B696="Production",INDEX(tbl_Production[Expected Revenue Ex GST],$BI696),INDEX(tbl_Consulting[Expected Revenue Ex GST],$BI696)))="","",IF($B696="Onsite",INDEX(tbl_Onsite[Expected Revenue Ex GST],$BI696),IF($B696="Production",INDEX(tbl_Production[Expected Revenue Ex GST],$BI696),INDEX(tbl_Consulting[Expected Revenue Ex GST],$BI696)))))</f>
        <v/>
      </c>
      <c r="O696" s="11">
        <f>IF(AND($C696="",NOT(COUNTA($S696:$BB696)&gt;0)),"",SUM(U696,X696,AA696,AD696,AG696,AJ696,AM696,AP696,AS696,AV696,AY696,BB696))</f>
        <v/>
      </c>
      <c r="P696" s="11">
        <f>IF(O696="","",N(N696)-O696)</f>
        <v/>
      </c>
      <c r="Q696" s="10">
        <f>IF(O696="","",IF($C696="","Invoice on empty job row",IF(N696="",IF(ROUND(O696,2)=0,"No dept value","Invoiced - no dept value"),IF(ROUND(O696,2)=0,"Not invoiced - to invoice",IF(ROUND(P696,2)=0,"Agrees",IF(P696&gt;0,"Dept higher - to invoice","Xero higher - check dept"))))))</f>
        <v/>
      </c>
      <c r="R696" s="10">
        <f>IF(AND($C696="",NOT(COUNTA($S696:$BB696)&gt;0),$BI696&lt;&gt;""),"",MID(IF($BI696="","; Row ID not found on the department sheet - a row was deleted","")&amp;IF(AND($C696="",COUNTA($S696:$BB696)&gt;0),"; Invoice entered but the department row has no job number","")&amp;IF(E696="CHECK","; Job number not in the Xero job list","")&amp;IF(AND($C696&lt;&gt;"",COUNTIF($C$7:$C$1506,$C696)&gt;1),"; Job number on more than one row","")&amp;IF(AND($C696&lt;&gt;"",H696=""),"; Dept has not set a cost centre","")&amp;IF(AND($C696&lt;&gt;"",J696=""),"; Dept has not set a tax code","")&amp;IF(AND($C696&lt;&gt;"",N696=""),"; Dept has not entered an expected value","")&amp;IF((IF(OR(COUNTA(S696:U696)=0,AND(COUNTA(S696:U696)=3,ISNUMBER(U696))),0,1)+IF(OR(COUNTA(V696:X696)=0,AND(COUNTA(V696:X696)=3,ISNUMBER(X696))),0,1)+IF(OR(COUNTA(Y696:AA696)=0,AND(COUNTA(Y696:AA696)=3,ISNUMBER(AA696))),0,1)+IF(OR(COUNTA(AB696:AD696)=0,AND(COUNTA(AB696:AD696)=3,ISNUMBER(AD696))),0,1)+IF(OR(COUNTA(AE696:AG696)=0,AND(COUNTA(AE696:AG696)=3,ISNUMBER(AG696))),0,1)+IF(OR(COUNTA(AH696:AJ696)=0,AND(COUNTA(AH696:AJ696)=3,ISNUMBER(AJ696))),0,1)+IF(OR(COUNTA(AK696:AM696)=0,AND(COUNTA(AK696:AM696)=3,ISNUMBER(AM696))),0,1)+IF(OR(COUNTA(AN696:AP696)=0,AND(COUNTA(AN696:AP696)=3,ISNUMBER(AP696))),0,1)+IF(OR(COUNTA(AQ696:AS696)=0,AND(COUNTA(AQ696:AS696)=3,ISNUMBER(AS696))),0,1)+IF(OR(COUNTA(AT696:AV696)=0,AND(COUNTA(AT696:AV696)=3,ISNUMBER(AV696))),0,1)+IF(OR(COUNTA(AW696:AY696)=0,AND(COUNTA(AW696:AY696)=3,ISNUMBER(AY696))),0,1)+IF(OR(COUNTA(AZ696:BB696)=0,AND(COUNTA(AZ696:BB696)=3,ISNUMBER(BB696))),0,1))&gt;0,"; An invoice is incomplete (needs No, Date and a number in Ex GST)","")&amp;IF((IF(T696="",0,IFERROR(--(EOMONTH(T696,0)&lt;&gt;S$5),1))+IF(W696="",0,IFERROR(--(EOMONTH(W696,0)&lt;&gt;V$5),1))+IF(Z696="",0,IFERROR(--(EOMONTH(Z696,0)&lt;&gt;Y$5),1))+IF(AC696="",0,IFERROR(--(EOMONTH(AC696,0)&lt;&gt;AB$5),1))+IF(AF696="",0,IFERROR(--(EOMONTH(AF696,0)&lt;&gt;AE$5),1))+IF(AI696="",0,IFERROR(--(EOMONTH(AI696,0)&lt;&gt;AH$5),1))+IF(AL696="",0,IFERROR(--(EOMONTH(AL696,0)&lt;&gt;AK$5),1))+IF(AO696="",0,IFERROR(--(EOMONTH(AO696,0)&lt;&gt;AN$5),1))+IF(AR696="",0,IFERROR(--(EOMONTH(AR696,0)&lt;&gt;AQ$5),1))+IF(AU696="",0,IFERROR(--(EOMONTH(AU696,0)&lt;&gt;AT$5),1))+IF(AX696="",0,IFERROR(--(EOMONTH(AX696,0)&lt;&gt;AW$5),1))+IF(BA696="",0,IFERROR(--(EOMONTH(BA696,0)&lt;&gt;AZ$5),1)))&gt;0,"; An invoice date is not in the month it is typed under",""),3,500))</f>
        <v/>
      </c>
      <c r="S696" s="12" t="n"/>
      <c r="T696" s="13" t="n"/>
      <c r="U696" s="14" t="n"/>
      <c r="V696" s="12" t="n"/>
      <c r="W696" s="13" t="n"/>
      <c r="X696" s="14" t="n"/>
      <c r="Y696" s="12" t="n"/>
      <c r="Z696" s="13" t="n"/>
      <c r="AA696" s="14" t="n"/>
      <c r="AB696" s="12" t="n"/>
      <c r="AC696" s="13" t="n"/>
      <c r="AD696" s="14" t="n"/>
      <c r="AE696" s="12" t="n"/>
      <c r="AF696" s="13" t="n"/>
      <c r="AG696" s="14" t="n"/>
      <c r="AH696" s="12" t="n"/>
      <c r="AI696" s="13" t="n"/>
      <c r="AJ696" s="14" t="n"/>
      <c r="AK696" s="12" t="n"/>
      <c r="AL696" s="13" t="n"/>
      <c r="AM696" s="14" t="n"/>
      <c r="AN696" s="12" t="n"/>
      <c r="AO696" s="13" t="n"/>
      <c r="AP696" s="14" t="n"/>
      <c r="AQ696" s="12" t="n"/>
      <c r="AR696" s="13" t="n"/>
      <c r="AS696" s="14" t="n"/>
      <c r="AT696" s="12" t="n"/>
      <c r="AU696" s="13" t="n"/>
      <c r="AV696" s="14" t="n"/>
      <c r="AW696" s="12" t="n"/>
      <c r="AX696" s="13" t="n"/>
      <c r="AY696" s="14" t="n"/>
      <c r="AZ696" s="12" t="n"/>
      <c r="BA696" s="13" t="n"/>
      <c r="BB696" s="14" t="n"/>
      <c r="BC696" s="11">
        <f>IF(O696="","",IF(J696="GST 10%",ROUND(O696*set_GSTRate,2),0))</f>
        <v/>
      </c>
      <c r="BD696" s="11">
        <f>IF(O696="","",O696+BC696)</f>
        <v/>
      </c>
      <c r="BE696" s="15">
        <f>IF(O696="","",COUNTA(S696,V696,Y696,AB696,AE696,AH696,AK696,AN696,AQ696,AT696,AW696,AZ696))</f>
        <v/>
      </c>
      <c r="BF696" s="16">
        <f>IF(COUNT(T696,W696,Z696,AC696,AF696,AI696,AL696,AO696,AR696,AU696,AX696,BA696)=0,"",MAX(T696,W696,Z696,AC696,AF696,AI696,AL696,AO696,AR696,AU696,AX696,BA696))</f>
        <v/>
      </c>
      <c r="BG696" s="10">
        <f>MID(IF(S696="","",", "&amp;S696)&amp;IF(V696="","",", "&amp;V696)&amp;IF(Y696="","",", "&amp;Y696)&amp;IF(AB696="","",", "&amp;AB696)&amp;IF(AE696="","",", "&amp;AE696)&amp;IF(AH696="","",", "&amp;AH696)&amp;IF(AK696="","",", "&amp;AK696)&amp;IF(AN696="","",", "&amp;AN696)&amp;IF(AQ696="","",", "&amp;AQ696)&amp;IF(AT696="","",", "&amp;AT696)&amp;IF(AW696="","",", "&amp;AW696)&amp;IF(AZ696="","",", "&amp;AZ696),3,500)</f>
        <v/>
      </c>
      <c r="BH696" s="12" t="n"/>
      <c r="BI696" s="15">
        <f>IFERROR(MATCH($A696,IF($B696="Onsite",tbl_Onsite[Row ID],IF($B696="Production",tbl_Production[Row ID],tbl_Consulting[Row ID])),0),"")</f>
        <v/>
      </c>
    </row>
    <row r="697">
      <c r="A697" s="10" t="inlineStr">
        <is>
          <t>PRD-0191</t>
        </is>
      </c>
      <c r="B697" s="10" t="inlineStr">
        <is>
          <t>Production</t>
        </is>
      </c>
      <c r="C697" s="10">
        <f>IF($BI697="","",IF($B697="Onsite",INDEX(tbl_Onsite[Job Number],$BI697),IF($B697="Production",INDEX(tbl_Production[Job Number],$BI697),INDEX(tbl_Consulting[Job Number],$BI697)))&amp;"")</f>
        <v/>
      </c>
      <c r="D697" s="10">
        <f>IF($BI697="","",IF($B697="Onsite",INDEX(tbl_Onsite[Client],$BI697),IF($B697="Production",INDEX(tbl_Production[Client],$BI697),INDEX(tbl_Consulting[Client],$BI697)))&amp;"")</f>
        <v/>
      </c>
      <c r="E697" s="10">
        <f>IF($C697="","",IF(COUNTIF(lst_Jobs,$C697)&gt;0,"OK","CHECK"))</f>
        <v/>
      </c>
      <c r="F697" s="10">
        <f>IF($C697="","",IFERROR(INDEX(lst_JobName,MATCH($C697,lst_Jobs,0)),""))</f>
        <v/>
      </c>
      <c r="G697" s="10">
        <f>IF($BI697="","",IF($B697="Onsite",INDEX(tbl_Onsite[Job Description],$BI697),IF($B697="Production",INDEX(tbl_Production[Job Description],$BI697),INDEX(tbl_Consulting[Job Description],$BI697)))&amp;"")</f>
        <v/>
      </c>
      <c r="H697" s="10">
        <f>IF($BI697="","",IF($B697="Onsite",INDEX(tbl_Onsite[Cost Centre],$BI697),IF($B697="Production",INDEX(tbl_Production[Cost Centre],$BI697),INDEX(tbl_Consulting[Cost Centre],$BI697)))&amp;"")</f>
        <v/>
      </c>
      <c r="I697" s="10">
        <f>IF($BI697="","",IF($B697="Onsite",INDEX(tbl_Onsite[Invoice Type],$BI697),IF($B697="Production",INDEX(tbl_Production[Invoice Type],$BI697),INDEX(tbl_Consulting[Invoice Type],$BI697)))&amp;"")</f>
        <v/>
      </c>
      <c r="J697" s="10">
        <f>IF($BI697="","",IF($B697="Onsite",INDEX(tbl_Onsite[Tax Code],$BI697),IF($B697="Production",INDEX(tbl_Production[Tax Code],$BI697),INDEX(tbl_Consulting[Tax Code],$BI697)))&amp;"")</f>
        <v/>
      </c>
      <c r="K697" s="10">
        <f>IF(H697="","",IFERROR(INDEX(lst_CCtoGL,MATCH(H697,lst_CCforGL,0)),""))</f>
        <v/>
      </c>
      <c r="L697" s="10">
        <f>IF($BI697="","",IF($B697="Onsite",INDEX(tbl_Onsite[PO / Reference],$BI697),IF($B697="Production",INDEX(tbl_Production[Current RMS No],$BI697),INDEX(tbl_Consulting[Qwilr Quote],$BI697)))&amp;"")</f>
        <v/>
      </c>
      <c r="M697" s="10">
        <f>IF($BI697="","",IF($B697="Onsite",INDEX(tbl_Onsite[Notes],$BI697),IF($B697="Production",INDEX(tbl_Production[Notes],$BI697),INDEX(tbl_Consulting[Notes],$BI697)))&amp;"")</f>
        <v/>
      </c>
      <c r="N697" s="11">
        <f>IF($BI697="","",IF(IF($B697="Onsite",INDEX(tbl_Onsite[Expected Revenue Ex GST],$BI697),IF($B697="Production",INDEX(tbl_Production[Expected Revenue Ex GST],$BI697),INDEX(tbl_Consulting[Expected Revenue Ex GST],$BI697)))="","",IF($B697="Onsite",INDEX(tbl_Onsite[Expected Revenue Ex GST],$BI697),IF($B697="Production",INDEX(tbl_Production[Expected Revenue Ex GST],$BI697),INDEX(tbl_Consulting[Expected Revenue Ex GST],$BI697)))))</f>
        <v/>
      </c>
      <c r="O697" s="11">
        <f>IF(AND($C697="",NOT(COUNTA($S697:$BB697)&gt;0)),"",SUM(U697,X697,AA697,AD697,AG697,AJ697,AM697,AP697,AS697,AV697,AY697,BB697))</f>
        <v/>
      </c>
      <c r="P697" s="11">
        <f>IF(O697="","",N(N697)-O697)</f>
        <v/>
      </c>
      <c r="Q697" s="10">
        <f>IF(O697="","",IF($C697="","Invoice on empty job row",IF(N697="",IF(ROUND(O697,2)=0,"No dept value","Invoiced - no dept value"),IF(ROUND(O697,2)=0,"Not invoiced - to invoice",IF(ROUND(P697,2)=0,"Agrees",IF(P697&gt;0,"Dept higher - to invoice","Xero higher - check dept"))))))</f>
        <v/>
      </c>
      <c r="R697" s="10">
        <f>IF(AND($C697="",NOT(COUNTA($S697:$BB697)&gt;0),$BI697&lt;&gt;""),"",MID(IF($BI697="","; Row ID not found on the department sheet - a row was deleted","")&amp;IF(AND($C697="",COUNTA($S697:$BB697)&gt;0),"; Invoice entered but the department row has no job number","")&amp;IF(E697="CHECK","; Job number not in the Xero job list","")&amp;IF(AND($C697&lt;&gt;"",COUNTIF($C$7:$C$1506,$C697)&gt;1),"; Job number on more than one row","")&amp;IF(AND($C697&lt;&gt;"",H697=""),"; Dept has not set a cost centre","")&amp;IF(AND($C697&lt;&gt;"",J697=""),"; Dept has not set a tax code","")&amp;IF(AND($C697&lt;&gt;"",N697=""),"; Dept has not entered an expected value","")&amp;IF((IF(OR(COUNTA(S697:U697)=0,AND(COUNTA(S697:U697)=3,ISNUMBER(U697))),0,1)+IF(OR(COUNTA(V697:X697)=0,AND(COUNTA(V697:X697)=3,ISNUMBER(X697))),0,1)+IF(OR(COUNTA(Y697:AA697)=0,AND(COUNTA(Y697:AA697)=3,ISNUMBER(AA697))),0,1)+IF(OR(COUNTA(AB697:AD697)=0,AND(COUNTA(AB697:AD697)=3,ISNUMBER(AD697))),0,1)+IF(OR(COUNTA(AE697:AG697)=0,AND(COUNTA(AE697:AG697)=3,ISNUMBER(AG697))),0,1)+IF(OR(COUNTA(AH697:AJ697)=0,AND(COUNTA(AH697:AJ697)=3,ISNUMBER(AJ697))),0,1)+IF(OR(COUNTA(AK697:AM697)=0,AND(COUNTA(AK697:AM697)=3,ISNUMBER(AM697))),0,1)+IF(OR(COUNTA(AN697:AP697)=0,AND(COUNTA(AN697:AP697)=3,ISNUMBER(AP697))),0,1)+IF(OR(COUNTA(AQ697:AS697)=0,AND(COUNTA(AQ697:AS697)=3,ISNUMBER(AS697))),0,1)+IF(OR(COUNTA(AT697:AV697)=0,AND(COUNTA(AT697:AV697)=3,ISNUMBER(AV697))),0,1)+IF(OR(COUNTA(AW697:AY697)=0,AND(COUNTA(AW697:AY697)=3,ISNUMBER(AY697))),0,1)+IF(OR(COUNTA(AZ697:BB697)=0,AND(COUNTA(AZ697:BB697)=3,ISNUMBER(BB697))),0,1))&gt;0,"; An invoice is incomplete (needs No, Date and a number in Ex GST)","")&amp;IF((IF(T697="",0,IFERROR(--(EOMONTH(T697,0)&lt;&gt;S$5),1))+IF(W697="",0,IFERROR(--(EOMONTH(W697,0)&lt;&gt;V$5),1))+IF(Z697="",0,IFERROR(--(EOMONTH(Z697,0)&lt;&gt;Y$5),1))+IF(AC697="",0,IFERROR(--(EOMONTH(AC697,0)&lt;&gt;AB$5),1))+IF(AF697="",0,IFERROR(--(EOMONTH(AF697,0)&lt;&gt;AE$5),1))+IF(AI697="",0,IFERROR(--(EOMONTH(AI697,0)&lt;&gt;AH$5),1))+IF(AL697="",0,IFERROR(--(EOMONTH(AL697,0)&lt;&gt;AK$5),1))+IF(AO697="",0,IFERROR(--(EOMONTH(AO697,0)&lt;&gt;AN$5),1))+IF(AR697="",0,IFERROR(--(EOMONTH(AR697,0)&lt;&gt;AQ$5),1))+IF(AU697="",0,IFERROR(--(EOMONTH(AU697,0)&lt;&gt;AT$5),1))+IF(AX697="",0,IFERROR(--(EOMONTH(AX697,0)&lt;&gt;AW$5),1))+IF(BA697="",0,IFERROR(--(EOMONTH(BA697,0)&lt;&gt;AZ$5),1)))&gt;0,"; An invoice date is not in the month it is typed under",""),3,500))</f>
        <v/>
      </c>
      <c r="S697" s="12" t="n"/>
      <c r="T697" s="13" t="n"/>
      <c r="U697" s="14" t="n"/>
      <c r="V697" s="12" t="n"/>
      <c r="W697" s="13" t="n"/>
      <c r="X697" s="14" t="n"/>
      <c r="Y697" s="12" t="n"/>
      <c r="Z697" s="13" t="n"/>
      <c r="AA697" s="14" t="n"/>
      <c r="AB697" s="12" t="n"/>
      <c r="AC697" s="13" t="n"/>
      <c r="AD697" s="14" t="n"/>
      <c r="AE697" s="12" t="n"/>
      <c r="AF697" s="13" t="n"/>
      <c r="AG697" s="14" t="n"/>
      <c r="AH697" s="12" t="n"/>
      <c r="AI697" s="13" t="n"/>
      <c r="AJ697" s="14" t="n"/>
      <c r="AK697" s="12" t="n"/>
      <c r="AL697" s="13" t="n"/>
      <c r="AM697" s="14" t="n"/>
      <c r="AN697" s="12" t="n"/>
      <c r="AO697" s="13" t="n"/>
      <c r="AP697" s="14" t="n"/>
      <c r="AQ697" s="12" t="n"/>
      <c r="AR697" s="13" t="n"/>
      <c r="AS697" s="14" t="n"/>
      <c r="AT697" s="12" t="n"/>
      <c r="AU697" s="13" t="n"/>
      <c r="AV697" s="14" t="n"/>
      <c r="AW697" s="12" t="n"/>
      <c r="AX697" s="13" t="n"/>
      <c r="AY697" s="14" t="n"/>
      <c r="AZ697" s="12" t="n"/>
      <c r="BA697" s="13" t="n"/>
      <c r="BB697" s="14" t="n"/>
      <c r="BC697" s="11">
        <f>IF(O697="","",IF(J697="GST 10%",ROUND(O697*set_GSTRate,2),0))</f>
        <v/>
      </c>
      <c r="BD697" s="11">
        <f>IF(O697="","",O697+BC697)</f>
        <v/>
      </c>
      <c r="BE697" s="15">
        <f>IF(O697="","",COUNTA(S697,V697,Y697,AB697,AE697,AH697,AK697,AN697,AQ697,AT697,AW697,AZ697))</f>
        <v/>
      </c>
      <c r="BF697" s="16">
        <f>IF(COUNT(T697,W697,Z697,AC697,AF697,AI697,AL697,AO697,AR697,AU697,AX697,BA697)=0,"",MAX(T697,W697,Z697,AC697,AF697,AI697,AL697,AO697,AR697,AU697,AX697,BA697))</f>
        <v/>
      </c>
      <c r="BG697" s="10">
        <f>MID(IF(S697="","",", "&amp;S697)&amp;IF(V697="","",", "&amp;V697)&amp;IF(Y697="","",", "&amp;Y697)&amp;IF(AB697="","",", "&amp;AB697)&amp;IF(AE697="","",", "&amp;AE697)&amp;IF(AH697="","",", "&amp;AH697)&amp;IF(AK697="","",", "&amp;AK697)&amp;IF(AN697="","",", "&amp;AN697)&amp;IF(AQ697="","",", "&amp;AQ697)&amp;IF(AT697="","",", "&amp;AT697)&amp;IF(AW697="","",", "&amp;AW697)&amp;IF(AZ697="","",", "&amp;AZ697),3,500)</f>
        <v/>
      </c>
      <c r="BH697" s="12" t="n"/>
      <c r="BI697" s="15">
        <f>IFERROR(MATCH($A697,IF($B697="Onsite",tbl_Onsite[Row ID],IF($B697="Production",tbl_Production[Row ID],tbl_Consulting[Row ID])),0),"")</f>
        <v/>
      </c>
    </row>
    <row r="698">
      <c r="A698" s="10" t="inlineStr">
        <is>
          <t>PRD-0192</t>
        </is>
      </c>
      <c r="B698" s="10" t="inlineStr">
        <is>
          <t>Production</t>
        </is>
      </c>
      <c r="C698" s="10">
        <f>IF($BI698="","",IF($B698="Onsite",INDEX(tbl_Onsite[Job Number],$BI698),IF($B698="Production",INDEX(tbl_Production[Job Number],$BI698),INDEX(tbl_Consulting[Job Number],$BI698)))&amp;"")</f>
        <v/>
      </c>
      <c r="D698" s="10">
        <f>IF($BI698="","",IF($B698="Onsite",INDEX(tbl_Onsite[Client],$BI698),IF($B698="Production",INDEX(tbl_Production[Client],$BI698),INDEX(tbl_Consulting[Client],$BI698)))&amp;"")</f>
        <v/>
      </c>
      <c r="E698" s="10">
        <f>IF($C698="","",IF(COUNTIF(lst_Jobs,$C698)&gt;0,"OK","CHECK"))</f>
        <v/>
      </c>
      <c r="F698" s="10">
        <f>IF($C698="","",IFERROR(INDEX(lst_JobName,MATCH($C698,lst_Jobs,0)),""))</f>
        <v/>
      </c>
      <c r="G698" s="10">
        <f>IF($BI698="","",IF($B698="Onsite",INDEX(tbl_Onsite[Job Description],$BI698),IF($B698="Production",INDEX(tbl_Production[Job Description],$BI698),INDEX(tbl_Consulting[Job Description],$BI698)))&amp;"")</f>
        <v/>
      </c>
      <c r="H698" s="10">
        <f>IF($BI698="","",IF($B698="Onsite",INDEX(tbl_Onsite[Cost Centre],$BI698),IF($B698="Production",INDEX(tbl_Production[Cost Centre],$BI698),INDEX(tbl_Consulting[Cost Centre],$BI698)))&amp;"")</f>
        <v/>
      </c>
      <c r="I698" s="10">
        <f>IF($BI698="","",IF($B698="Onsite",INDEX(tbl_Onsite[Invoice Type],$BI698),IF($B698="Production",INDEX(tbl_Production[Invoice Type],$BI698),INDEX(tbl_Consulting[Invoice Type],$BI698)))&amp;"")</f>
        <v/>
      </c>
      <c r="J698" s="10">
        <f>IF($BI698="","",IF($B698="Onsite",INDEX(tbl_Onsite[Tax Code],$BI698),IF($B698="Production",INDEX(tbl_Production[Tax Code],$BI698),INDEX(tbl_Consulting[Tax Code],$BI698)))&amp;"")</f>
        <v/>
      </c>
      <c r="K698" s="10">
        <f>IF(H698="","",IFERROR(INDEX(lst_CCtoGL,MATCH(H698,lst_CCforGL,0)),""))</f>
        <v/>
      </c>
      <c r="L698" s="10">
        <f>IF($BI698="","",IF($B698="Onsite",INDEX(tbl_Onsite[PO / Reference],$BI698),IF($B698="Production",INDEX(tbl_Production[Current RMS No],$BI698),INDEX(tbl_Consulting[Qwilr Quote],$BI698)))&amp;"")</f>
        <v/>
      </c>
      <c r="M698" s="10">
        <f>IF($BI698="","",IF($B698="Onsite",INDEX(tbl_Onsite[Notes],$BI698),IF($B698="Production",INDEX(tbl_Production[Notes],$BI698),INDEX(tbl_Consulting[Notes],$BI698)))&amp;"")</f>
        <v/>
      </c>
      <c r="N698" s="11">
        <f>IF($BI698="","",IF(IF($B698="Onsite",INDEX(tbl_Onsite[Expected Revenue Ex GST],$BI698),IF($B698="Production",INDEX(tbl_Production[Expected Revenue Ex GST],$BI698),INDEX(tbl_Consulting[Expected Revenue Ex GST],$BI698)))="","",IF($B698="Onsite",INDEX(tbl_Onsite[Expected Revenue Ex GST],$BI698),IF($B698="Production",INDEX(tbl_Production[Expected Revenue Ex GST],$BI698),INDEX(tbl_Consulting[Expected Revenue Ex GST],$BI698)))))</f>
        <v/>
      </c>
      <c r="O698" s="11">
        <f>IF(AND($C698="",NOT(COUNTA($S698:$BB698)&gt;0)),"",SUM(U698,X698,AA698,AD698,AG698,AJ698,AM698,AP698,AS698,AV698,AY698,BB698))</f>
        <v/>
      </c>
      <c r="P698" s="11">
        <f>IF(O698="","",N(N698)-O698)</f>
        <v/>
      </c>
      <c r="Q698" s="10">
        <f>IF(O698="","",IF($C698="","Invoice on empty job row",IF(N698="",IF(ROUND(O698,2)=0,"No dept value","Invoiced - no dept value"),IF(ROUND(O698,2)=0,"Not invoiced - to invoice",IF(ROUND(P698,2)=0,"Agrees",IF(P698&gt;0,"Dept higher - to invoice","Xero higher - check dept"))))))</f>
        <v/>
      </c>
      <c r="R698" s="10">
        <f>IF(AND($C698="",NOT(COUNTA($S698:$BB698)&gt;0),$BI698&lt;&gt;""),"",MID(IF($BI698="","; Row ID not found on the department sheet - a row was deleted","")&amp;IF(AND($C698="",COUNTA($S698:$BB698)&gt;0),"; Invoice entered but the department row has no job number","")&amp;IF(E698="CHECK","; Job number not in the Xero job list","")&amp;IF(AND($C698&lt;&gt;"",COUNTIF($C$7:$C$1506,$C698)&gt;1),"; Job number on more than one row","")&amp;IF(AND($C698&lt;&gt;"",H698=""),"; Dept has not set a cost centre","")&amp;IF(AND($C698&lt;&gt;"",J698=""),"; Dept has not set a tax code","")&amp;IF(AND($C698&lt;&gt;"",N698=""),"; Dept has not entered an expected value","")&amp;IF((IF(OR(COUNTA(S698:U698)=0,AND(COUNTA(S698:U698)=3,ISNUMBER(U698))),0,1)+IF(OR(COUNTA(V698:X698)=0,AND(COUNTA(V698:X698)=3,ISNUMBER(X698))),0,1)+IF(OR(COUNTA(Y698:AA698)=0,AND(COUNTA(Y698:AA698)=3,ISNUMBER(AA698))),0,1)+IF(OR(COUNTA(AB698:AD698)=0,AND(COUNTA(AB698:AD698)=3,ISNUMBER(AD698))),0,1)+IF(OR(COUNTA(AE698:AG698)=0,AND(COUNTA(AE698:AG698)=3,ISNUMBER(AG698))),0,1)+IF(OR(COUNTA(AH698:AJ698)=0,AND(COUNTA(AH698:AJ698)=3,ISNUMBER(AJ698))),0,1)+IF(OR(COUNTA(AK698:AM698)=0,AND(COUNTA(AK698:AM698)=3,ISNUMBER(AM698))),0,1)+IF(OR(COUNTA(AN698:AP698)=0,AND(COUNTA(AN698:AP698)=3,ISNUMBER(AP698))),0,1)+IF(OR(COUNTA(AQ698:AS698)=0,AND(COUNTA(AQ698:AS698)=3,ISNUMBER(AS698))),0,1)+IF(OR(COUNTA(AT698:AV698)=0,AND(COUNTA(AT698:AV698)=3,ISNUMBER(AV698))),0,1)+IF(OR(COUNTA(AW698:AY698)=0,AND(COUNTA(AW698:AY698)=3,ISNUMBER(AY698))),0,1)+IF(OR(COUNTA(AZ698:BB698)=0,AND(COUNTA(AZ698:BB698)=3,ISNUMBER(BB698))),0,1))&gt;0,"; An invoice is incomplete (needs No, Date and a number in Ex GST)","")&amp;IF((IF(T698="",0,IFERROR(--(EOMONTH(T698,0)&lt;&gt;S$5),1))+IF(W698="",0,IFERROR(--(EOMONTH(W698,0)&lt;&gt;V$5),1))+IF(Z698="",0,IFERROR(--(EOMONTH(Z698,0)&lt;&gt;Y$5),1))+IF(AC698="",0,IFERROR(--(EOMONTH(AC698,0)&lt;&gt;AB$5),1))+IF(AF698="",0,IFERROR(--(EOMONTH(AF698,0)&lt;&gt;AE$5),1))+IF(AI698="",0,IFERROR(--(EOMONTH(AI698,0)&lt;&gt;AH$5),1))+IF(AL698="",0,IFERROR(--(EOMONTH(AL698,0)&lt;&gt;AK$5),1))+IF(AO698="",0,IFERROR(--(EOMONTH(AO698,0)&lt;&gt;AN$5),1))+IF(AR698="",0,IFERROR(--(EOMONTH(AR698,0)&lt;&gt;AQ$5),1))+IF(AU698="",0,IFERROR(--(EOMONTH(AU698,0)&lt;&gt;AT$5),1))+IF(AX698="",0,IFERROR(--(EOMONTH(AX698,0)&lt;&gt;AW$5),1))+IF(BA698="",0,IFERROR(--(EOMONTH(BA698,0)&lt;&gt;AZ$5),1)))&gt;0,"; An invoice date is not in the month it is typed under",""),3,500))</f>
        <v/>
      </c>
      <c r="S698" s="12" t="n"/>
      <c r="T698" s="13" t="n"/>
      <c r="U698" s="14" t="n"/>
      <c r="V698" s="12" t="n"/>
      <c r="W698" s="13" t="n"/>
      <c r="X698" s="14" t="n"/>
      <c r="Y698" s="12" t="n"/>
      <c r="Z698" s="13" t="n"/>
      <c r="AA698" s="14" t="n"/>
      <c r="AB698" s="12" t="n"/>
      <c r="AC698" s="13" t="n"/>
      <c r="AD698" s="14" t="n"/>
      <c r="AE698" s="12" t="n"/>
      <c r="AF698" s="13" t="n"/>
      <c r="AG698" s="14" t="n"/>
      <c r="AH698" s="12" t="n"/>
      <c r="AI698" s="13" t="n"/>
      <c r="AJ698" s="14" t="n"/>
      <c r="AK698" s="12" t="n"/>
      <c r="AL698" s="13" t="n"/>
      <c r="AM698" s="14" t="n"/>
      <c r="AN698" s="12" t="n"/>
      <c r="AO698" s="13" t="n"/>
      <c r="AP698" s="14" t="n"/>
      <c r="AQ698" s="12" t="n"/>
      <c r="AR698" s="13" t="n"/>
      <c r="AS698" s="14" t="n"/>
      <c r="AT698" s="12" t="n"/>
      <c r="AU698" s="13" t="n"/>
      <c r="AV698" s="14" t="n"/>
      <c r="AW698" s="12" t="n"/>
      <c r="AX698" s="13" t="n"/>
      <c r="AY698" s="14" t="n"/>
      <c r="AZ698" s="12" t="n"/>
      <c r="BA698" s="13" t="n"/>
      <c r="BB698" s="14" t="n"/>
      <c r="BC698" s="11">
        <f>IF(O698="","",IF(J698="GST 10%",ROUND(O698*set_GSTRate,2),0))</f>
        <v/>
      </c>
      <c r="BD698" s="11">
        <f>IF(O698="","",O698+BC698)</f>
        <v/>
      </c>
      <c r="BE698" s="15">
        <f>IF(O698="","",COUNTA(S698,V698,Y698,AB698,AE698,AH698,AK698,AN698,AQ698,AT698,AW698,AZ698))</f>
        <v/>
      </c>
      <c r="BF698" s="16">
        <f>IF(COUNT(T698,W698,Z698,AC698,AF698,AI698,AL698,AO698,AR698,AU698,AX698,BA698)=0,"",MAX(T698,W698,Z698,AC698,AF698,AI698,AL698,AO698,AR698,AU698,AX698,BA698))</f>
        <v/>
      </c>
      <c r="BG698" s="10">
        <f>MID(IF(S698="","",", "&amp;S698)&amp;IF(V698="","",", "&amp;V698)&amp;IF(Y698="","",", "&amp;Y698)&amp;IF(AB698="","",", "&amp;AB698)&amp;IF(AE698="","",", "&amp;AE698)&amp;IF(AH698="","",", "&amp;AH698)&amp;IF(AK698="","",", "&amp;AK698)&amp;IF(AN698="","",", "&amp;AN698)&amp;IF(AQ698="","",", "&amp;AQ698)&amp;IF(AT698="","",", "&amp;AT698)&amp;IF(AW698="","",", "&amp;AW698)&amp;IF(AZ698="","",", "&amp;AZ698),3,500)</f>
        <v/>
      </c>
      <c r="BH698" s="12" t="n"/>
      <c r="BI698" s="15">
        <f>IFERROR(MATCH($A698,IF($B698="Onsite",tbl_Onsite[Row ID],IF($B698="Production",tbl_Production[Row ID],tbl_Consulting[Row ID])),0),"")</f>
        <v/>
      </c>
    </row>
    <row r="699">
      <c r="A699" s="10" t="inlineStr">
        <is>
          <t>PRD-0193</t>
        </is>
      </c>
      <c r="B699" s="10" t="inlineStr">
        <is>
          <t>Production</t>
        </is>
      </c>
      <c r="C699" s="10">
        <f>IF($BI699="","",IF($B699="Onsite",INDEX(tbl_Onsite[Job Number],$BI699),IF($B699="Production",INDEX(tbl_Production[Job Number],$BI699),INDEX(tbl_Consulting[Job Number],$BI699)))&amp;"")</f>
        <v/>
      </c>
      <c r="D699" s="10">
        <f>IF($BI699="","",IF($B699="Onsite",INDEX(tbl_Onsite[Client],$BI699),IF($B699="Production",INDEX(tbl_Production[Client],$BI699),INDEX(tbl_Consulting[Client],$BI699)))&amp;"")</f>
        <v/>
      </c>
      <c r="E699" s="10">
        <f>IF($C699="","",IF(COUNTIF(lst_Jobs,$C699)&gt;0,"OK","CHECK"))</f>
        <v/>
      </c>
      <c r="F699" s="10">
        <f>IF($C699="","",IFERROR(INDEX(lst_JobName,MATCH($C699,lst_Jobs,0)),""))</f>
        <v/>
      </c>
      <c r="G699" s="10">
        <f>IF($BI699="","",IF($B699="Onsite",INDEX(tbl_Onsite[Job Description],$BI699),IF($B699="Production",INDEX(tbl_Production[Job Description],$BI699),INDEX(tbl_Consulting[Job Description],$BI699)))&amp;"")</f>
        <v/>
      </c>
      <c r="H699" s="10">
        <f>IF($BI699="","",IF($B699="Onsite",INDEX(tbl_Onsite[Cost Centre],$BI699),IF($B699="Production",INDEX(tbl_Production[Cost Centre],$BI699),INDEX(tbl_Consulting[Cost Centre],$BI699)))&amp;"")</f>
        <v/>
      </c>
      <c r="I699" s="10">
        <f>IF($BI699="","",IF($B699="Onsite",INDEX(tbl_Onsite[Invoice Type],$BI699),IF($B699="Production",INDEX(tbl_Production[Invoice Type],$BI699),INDEX(tbl_Consulting[Invoice Type],$BI699)))&amp;"")</f>
        <v/>
      </c>
      <c r="J699" s="10">
        <f>IF($BI699="","",IF($B699="Onsite",INDEX(tbl_Onsite[Tax Code],$BI699),IF($B699="Production",INDEX(tbl_Production[Tax Code],$BI699),INDEX(tbl_Consulting[Tax Code],$BI699)))&amp;"")</f>
        <v/>
      </c>
      <c r="K699" s="10">
        <f>IF(H699="","",IFERROR(INDEX(lst_CCtoGL,MATCH(H699,lst_CCforGL,0)),""))</f>
        <v/>
      </c>
      <c r="L699" s="10">
        <f>IF($BI699="","",IF($B699="Onsite",INDEX(tbl_Onsite[PO / Reference],$BI699),IF($B699="Production",INDEX(tbl_Production[Current RMS No],$BI699),INDEX(tbl_Consulting[Qwilr Quote],$BI699)))&amp;"")</f>
        <v/>
      </c>
      <c r="M699" s="10">
        <f>IF($BI699="","",IF($B699="Onsite",INDEX(tbl_Onsite[Notes],$BI699),IF($B699="Production",INDEX(tbl_Production[Notes],$BI699),INDEX(tbl_Consulting[Notes],$BI699)))&amp;"")</f>
        <v/>
      </c>
      <c r="N699" s="11">
        <f>IF($BI699="","",IF(IF($B699="Onsite",INDEX(tbl_Onsite[Expected Revenue Ex GST],$BI699),IF($B699="Production",INDEX(tbl_Production[Expected Revenue Ex GST],$BI699),INDEX(tbl_Consulting[Expected Revenue Ex GST],$BI699)))="","",IF($B699="Onsite",INDEX(tbl_Onsite[Expected Revenue Ex GST],$BI699),IF($B699="Production",INDEX(tbl_Production[Expected Revenue Ex GST],$BI699),INDEX(tbl_Consulting[Expected Revenue Ex GST],$BI699)))))</f>
        <v/>
      </c>
      <c r="O699" s="11">
        <f>IF(AND($C699="",NOT(COUNTA($S699:$BB699)&gt;0)),"",SUM(U699,X699,AA699,AD699,AG699,AJ699,AM699,AP699,AS699,AV699,AY699,BB699))</f>
        <v/>
      </c>
      <c r="P699" s="11">
        <f>IF(O699="","",N(N699)-O699)</f>
        <v/>
      </c>
      <c r="Q699" s="10">
        <f>IF(O699="","",IF($C699="","Invoice on empty job row",IF(N699="",IF(ROUND(O699,2)=0,"No dept value","Invoiced - no dept value"),IF(ROUND(O699,2)=0,"Not invoiced - to invoice",IF(ROUND(P699,2)=0,"Agrees",IF(P699&gt;0,"Dept higher - to invoice","Xero higher - check dept"))))))</f>
        <v/>
      </c>
      <c r="R699" s="10">
        <f>IF(AND($C699="",NOT(COUNTA($S699:$BB699)&gt;0),$BI699&lt;&gt;""),"",MID(IF($BI699="","; Row ID not found on the department sheet - a row was deleted","")&amp;IF(AND($C699="",COUNTA($S699:$BB699)&gt;0),"; Invoice entered but the department row has no job number","")&amp;IF(E699="CHECK","; Job number not in the Xero job list","")&amp;IF(AND($C699&lt;&gt;"",COUNTIF($C$7:$C$1506,$C699)&gt;1),"; Job number on more than one row","")&amp;IF(AND($C699&lt;&gt;"",H699=""),"; Dept has not set a cost centre","")&amp;IF(AND($C699&lt;&gt;"",J699=""),"; Dept has not set a tax code","")&amp;IF(AND($C699&lt;&gt;"",N699=""),"; Dept has not entered an expected value","")&amp;IF((IF(OR(COUNTA(S699:U699)=0,AND(COUNTA(S699:U699)=3,ISNUMBER(U699))),0,1)+IF(OR(COUNTA(V699:X699)=0,AND(COUNTA(V699:X699)=3,ISNUMBER(X699))),0,1)+IF(OR(COUNTA(Y699:AA699)=0,AND(COUNTA(Y699:AA699)=3,ISNUMBER(AA699))),0,1)+IF(OR(COUNTA(AB699:AD699)=0,AND(COUNTA(AB699:AD699)=3,ISNUMBER(AD699))),0,1)+IF(OR(COUNTA(AE699:AG699)=0,AND(COUNTA(AE699:AG699)=3,ISNUMBER(AG699))),0,1)+IF(OR(COUNTA(AH699:AJ699)=0,AND(COUNTA(AH699:AJ699)=3,ISNUMBER(AJ699))),0,1)+IF(OR(COUNTA(AK699:AM699)=0,AND(COUNTA(AK699:AM699)=3,ISNUMBER(AM699))),0,1)+IF(OR(COUNTA(AN699:AP699)=0,AND(COUNTA(AN699:AP699)=3,ISNUMBER(AP699))),0,1)+IF(OR(COUNTA(AQ699:AS699)=0,AND(COUNTA(AQ699:AS699)=3,ISNUMBER(AS699))),0,1)+IF(OR(COUNTA(AT699:AV699)=0,AND(COUNTA(AT699:AV699)=3,ISNUMBER(AV699))),0,1)+IF(OR(COUNTA(AW699:AY699)=0,AND(COUNTA(AW699:AY699)=3,ISNUMBER(AY699))),0,1)+IF(OR(COUNTA(AZ699:BB699)=0,AND(COUNTA(AZ699:BB699)=3,ISNUMBER(BB699))),0,1))&gt;0,"; An invoice is incomplete (needs No, Date and a number in Ex GST)","")&amp;IF((IF(T699="",0,IFERROR(--(EOMONTH(T699,0)&lt;&gt;S$5),1))+IF(W699="",0,IFERROR(--(EOMONTH(W699,0)&lt;&gt;V$5),1))+IF(Z699="",0,IFERROR(--(EOMONTH(Z699,0)&lt;&gt;Y$5),1))+IF(AC699="",0,IFERROR(--(EOMONTH(AC699,0)&lt;&gt;AB$5),1))+IF(AF699="",0,IFERROR(--(EOMONTH(AF699,0)&lt;&gt;AE$5),1))+IF(AI699="",0,IFERROR(--(EOMONTH(AI699,0)&lt;&gt;AH$5),1))+IF(AL699="",0,IFERROR(--(EOMONTH(AL699,0)&lt;&gt;AK$5),1))+IF(AO699="",0,IFERROR(--(EOMONTH(AO699,0)&lt;&gt;AN$5),1))+IF(AR699="",0,IFERROR(--(EOMONTH(AR699,0)&lt;&gt;AQ$5),1))+IF(AU699="",0,IFERROR(--(EOMONTH(AU699,0)&lt;&gt;AT$5),1))+IF(AX699="",0,IFERROR(--(EOMONTH(AX699,0)&lt;&gt;AW$5),1))+IF(BA699="",0,IFERROR(--(EOMONTH(BA699,0)&lt;&gt;AZ$5),1)))&gt;0,"; An invoice date is not in the month it is typed under",""),3,500))</f>
        <v/>
      </c>
      <c r="S699" s="12" t="n"/>
      <c r="T699" s="13" t="n"/>
      <c r="U699" s="14" t="n"/>
      <c r="V699" s="12" t="n"/>
      <c r="W699" s="13" t="n"/>
      <c r="X699" s="14" t="n"/>
      <c r="Y699" s="12" t="n"/>
      <c r="Z699" s="13" t="n"/>
      <c r="AA699" s="14" t="n"/>
      <c r="AB699" s="12" t="n"/>
      <c r="AC699" s="13" t="n"/>
      <c r="AD699" s="14" t="n"/>
      <c r="AE699" s="12" t="n"/>
      <c r="AF699" s="13" t="n"/>
      <c r="AG699" s="14" t="n"/>
      <c r="AH699" s="12" t="n"/>
      <c r="AI699" s="13" t="n"/>
      <c r="AJ699" s="14" t="n"/>
      <c r="AK699" s="12" t="n"/>
      <c r="AL699" s="13" t="n"/>
      <c r="AM699" s="14" t="n"/>
      <c r="AN699" s="12" t="n"/>
      <c r="AO699" s="13" t="n"/>
      <c r="AP699" s="14" t="n"/>
      <c r="AQ699" s="12" t="n"/>
      <c r="AR699" s="13" t="n"/>
      <c r="AS699" s="14" t="n"/>
      <c r="AT699" s="12" t="n"/>
      <c r="AU699" s="13" t="n"/>
      <c r="AV699" s="14" t="n"/>
      <c r="AW699" s="12" t="n"/>
      <c r="AX699" s="13" t="n"/>
      <c r="AY699" s="14" t="n"/>
      <c r="AZ699" s="12" t="n"/>
      <c r="BA699" s="13" t="n"/>
      <c r="BB699" s="14" t="n"/>
      <c r="BC699" s="11">
        <f>IF(O699="","",IF(J699="GST 10%",ROUND(O699*set_GSTRate,2),0))</f>
        <v/>
      </c>
      <c r="BD699" s="11">
        <f>IF(O699="","",O699+BC699)</f>
        <v/>
      </c>
      <c r="BE699" s="15">
        <f>IF(O699="","",COUNTA(S699,V699,Y699,AB699,AE699,AH699,AK699,AN699,AQ699,AT699,AW699,AZ699))</f>
        <v/>
      </c>
      <c r="BF699" s="16">
        <f>IF(COUNT(T699,W699,Z699,AC699,AF699,AI699,AL699,AO699,AR699,AU699,AX699,BA699)=0,"",MAX(T699,W699,Z699,AC699,AF699,AI699,AL699,AO699,AR699,AU699,AX699,BA699))</f>
        <v/>
      </c>
      <c r="BG699" s="10">
        <f>MID(IF(S699="","",", "&amp;S699)&amp;IF(V699="","",", "&amp;V699)&amp;IF(Y699="","",", "&amp;Y699)&amp;IF(AB699="","",", "&amp;AB699)&amp;IF(AE699="","",", "&amp;AE699)&amp;IF(AH699="","",", "&amp;AH699)&amp;IF(AK699="","",", "&amp;AK699)&amp;IF(AN699="","",", "&amp;AN699)&amp;IF(AQ699="","",", "&amp;AQ699)&amp;IF(AT699="","",", "&amp;AT699)&amp;IF(AW699="","",", "&amp;AW699)&amp;IF(AZ699="","",", "&amp;AZ699),3,500)</f>
        <v/>
      </c>
      <c r="BH699" s="12" t="n"/>
      <c r="BI699" s="15">
        <f>IFERROR(MATCH($A699,IF($B699="Onsite",tbl_Onsite[Row ID],IF($B699="Production",tbl_Production[Row ID],tbl_Consulting[Row ID])),0),"")</f>
        <v/>
      </c>
    </row>
    <row r="700">
      <c r="A700" s="10" t="inlineStr">
        <is>
          <t>PRD-0194</t>
        </is>
      </c>
      <c r="B700" s="10" t="inlineStr">
        <is>
          <t>Production</t>
        </is>
      </c>
      <c r="C700" s="10">
        <f>IF($BI700="","",IF($B700="Onsite",INDEX(tbl_Onsite[Job Number],$BI700),IF($B700="Production",INDEX(tbl_Production[Job Number],$BI700),INDEX(tbl_Consulting[Job Number],$BI700)))&amp;"")</f>
        <v/>
      </c>
      <c r="D700" s="10">
        <f>IF($BI700="","",IF($B700="Onsite",INDEX(tbl_Onsite[Client],$BI700),IF($B700="Production",INDEX(tbl_Production[Client],$BI700),INDEX(tbl_Consulting[Client],$BI700)))&amp;"")</f>
        <v/>
      </c>
      <c r="E700" s="10">
        <f>IF($C700="","",IF(COUNTIF(lst_Jobs,$C700)&gt;0,"OK","CHECK"))</f>
        <v/>
      </c>
      <c r="F700" s="10">
        <f>IF($C700="","",IFERROR(INDEX(lst_JobName,MATCH($C700,lst_Jobs,0)),""))</f>
        <v/>
      </c>
      <c r="G700" s="10">
        <f>IF($BI700="","",IF($B700="Onsite",INDEX(tbl_Onsite[Job Description],$BI700),IF($B700="Production",INDEX(tbl_Production[Job Description],$BI700),INDEX(tbl_Consulting[Job Description],$BI700)))&amp;"")</f>
        <v/>
      </c>
      <c r="H700" s="10">
        <f>IF($BI700="","",IF($B700="Onsite",INDEX(tbl_Onsite[Cost Centre],$BI700),IF($B700="Production",INDEX(tbl_Production[Cost Centre],$BI700),INDEX(tbl_Consulting[Cost Centre],$BI700)))&amp;"")</f>
        <v/>
      </c>
      <c r="I700" s="10">
        <f>IF($BI700="","",IF($B700="Onsite",INDEX(tbl_Onsite[Invoice Type],$BI700),IF($B700="Production",INDEX(tbl_Production[Invoice Type],$BI700),INDEX(tbl_Consulting[Invoice Type],$BI700)))&amp;"")</f>
        <v/>
      </c>
      <c r="J700" s="10">
        <f>IF($BI700="","",IF($B700="Onsite",INDEX(tbl_Onsite[Tax Code],$BI700),IF($B700="Production",INDEX(tbl_Production[Tax Code],$BI700),INDEX(tbl_Consulting[Tax Code],$BI700)))&amp;"")</f>
        <v/>
      </c>
      <c r="K700" s="10">
        <f>IF(H700="","",IFERROR(INDEX(lst_CCtoGL,MATCH(H700,lst_CCforGL,0)),""))</f>
        <v/>
      </c>
      <c r="L700" s="10">
        <f>IF($BI700="","",IF($B700="Onsite",INDEX(tbl_Onsite[PO / Reference],$BI700),IF($B700="Production",INDEX(tbl_Production[Current RMS No],$BI700),INDEX(tbl_Consulting[Qwilr Quote],$BI700)))&amp;"")</f>
        <v/>
      </c>
      <c r="M700" s="10">
        <f>IF($BI700="","",IF($B700="Onsite",INDEX(tbl_Onsite[Notes],$BI700),IF($B700="Production",INDEX(tbl_Production[Notes],$BI700),INDEX(tbl_Consulting[Notes],$BI700)))&amp;"")</f>
        <v/>
      </c>
      <c r="N700" s="11">
        <f>IF($BI700="","",IF(IF($B700="Onsite",INDEX(tbl_Onsite[Expected Revenue Ex GST],$BI700),IF($B700="Production",INDEX(tbl_Production[Expected Revenue Ex GST],$BI700),INDEX(tbl_Consulting[Expected Revenue Ex GST],$BI700)))="","",IF($B700="Onsite",INDEX(tbl_Onsite[Expected Revenue Ex GST],$BI700),IF($B700="Production",INDEX(tbl_Production[Expected Revenue Ex GST],$BI700),INDEX(tbl_Consulting[Expected Revenue Ex GST],$BI700)))))</f>
        <v/>
      </c>
      <c r="O700" s="11">
        <f>IF(AND($C700="",NOT(COUNTA($S700:$BB700)&gt;0)),"",SUM(U700,X700,AA700,AD700,AG700,AJ700,AM700,AP700,AS700,AV700,AY700,BB700))</f>
        <v/>
      </c>
      <c r="P700" s="11">
        <f>IF(O700="","",N(N700)-O700)</f>
        <v/>
      </c>
      <c r="Q700" s="10">
        <f>IF(O700="","",IF($C700="","Invoice on empty job row",IF(N700="",IF(ROUND(O700,2)=0,"No dept value","Invoiced - no dept value"),IF(ROUND(O700,2)=0,"Not invoiced - to invoice",IF(ROUND(P700,2)=0,"Agrees",IF(P700&gt;0,"Dept higher - to invoice","Xero higher - check dept"))))))</f>
        <v/>
      </c>
      <c r="R700" s="10">
        <f>IF(AND($C700="",NOT(COUNTA($S700:$BB700)&gt;0),$BI700&lt;&gt;""),"",MID(IF($BI700="","; Row ID not found on the department sheet - a row was deleted","")&amp;IF(AND($C700="",COUNTA($S700:$BB700)&gt;0),"; Invoice entered but the department row has no job number","")&amp;IF(E700="CHECK","; Job number not in the Xero job list","")&amp;IF(AND($C700&lt;&gt;"",COUNTIF($C$7:$C$1506,$C700)&gt;1),"; Job number on more than one row","")&amp;IF(AND($C700&lt;&gt;"",H700=""),"; Dept has not set a cost centre","")&amp;IF(AND($C700&lt;&gt;"",J700=""),"; Dept has not set a tax code","")&amp;IF(AND($C700&lt;&gt;"",N700=""),"; Dept has not entered an expected value","")&amp;IF((IF(OR(COUNTA(S700:U700)=0,AND(COUNTA(S700:U700)=3,ISNUMBER(U700))),0,1)+IF(OR(COUNTA(V700:X700)=0,AND(COUNTA(V700:X700)=3,ISNUMBER(X700))),0,1)+IF(OR(COUNTA(Y700:AA700)=0,AND(COUNTA(Y700:AA700)=3,ISNUMBER(AA700))),0,1)+IF(OR(COUNTA(AB700:AD700)=0,AND(COUNTA(AB700:AD700)=3,ISNUMBER(AD700))),0,1)+IF(OR(COUNTA(AE700:AG700)=0,AND(COUNTA(AE700:AG700)=3,ISNUMBER(AG700))),0,1)+IF(OR(COUNTA(AH700:AJ700)=0,AND(COUNTA(AH700:AJ700)=3,ISNUMBER(AJ700))),0,1)+IF(OR(COUNTA(AK700:AM700)=0,AND(COUNTA(AK700:AM700)=3,ISNUMBER(AM700))),0,1)+IF(OR(COUNTA(AN700:AP700)=0,AND(COUNTA(AN700:AP700)=3,ISNUMBER(AP700))),0,1)+IF(OR(COUNTA(AQ700:AS700)=0,AND(COUNTA(AQ700:AS700)=3,ISNUMBER(AS700))),0,1)+IF(OR(COUNTA(AT700:AV700)=0,AND(COUNTA(AT700:AV700)=3,ISNUMBER(AV700))),0,1)+IF(OR(COUNTA(AW700:AY700)=0,AND(COUNTA(AW700:AY700)=3,ISNUMBER(AY700))),0,1)+IF(OR(COUNTA(AZ700:BB700)=0,AND(COUNTA(AZ700:BB700)=3,ISNUMBER(BB700))),0,1))&gt;0,"; An invoice is incomplete (needs No, Date and a number in Ex GST)","")&amp;IF((IF(T700="",0,IFERROR(--(EOMONTH(T700,0)&lt;&gt;S$5),1))+IF(W700="",0,IFERROR(--(EOMONTH(W700,0)&lt;&gt;V$5),1))+IF(Z700="",0,IFERROR(--(EOMONTH(Z700,0)&lt;&gt;Y$5),1))+IF(AC700="",0,IFERROR(--(EOMONTH(AC700,0)&lt;&gt;AB$5),1))+IF(AF700="",0,IFERROR(--(EOMONTH(AF700,0)&lt;&gt;AE$5),1))+IF(AI700="",0,IFERROR(--(EOMONTH(AI700,0)&lt;&gt;AH$5),1))+IF(AL700="",0,IFERROR(--(EOMONTH(AL700,0)&lt;&gt;AK$5),1))+IF(AO700="",0,IFERROR(--(EOMONTH(AO700,0)&lt;&gt;AN$5),1))+IF(AR700="",0,IFERROR(--(EOMONTH(AR700,0)&lt;&gt;AQ$5),1))+IF(AU700="",0,IFERROR(--(EOMONTH(AU700,0)&lt;&gt;AT$5),1))+IF(AX700="",0,IFERROR(--(EOMONTH(AX700,0)&lt;&gt;AW$5),1))+IF(BA700="",0,IFERROR(--(EOMONTH(BA700,0)&lt;&gt;AZ$5),1)))&gt;0,"; An invoice date is not in the month it is typed under",""),3,500))</f>
        <v/>
      </c>
      <c r="S700" s="12" t="n"/>
      <c r="T700" s="13" t="n"/>
      <c r="U700" s="14" t="n"/>
      <c r="V700" s="12" t="n"/>
      <c r="W700" s="13" t="n"/>
      <c r="X700" s="14" t="n"/>
      <c r="Y700" s="12" t="n"/>
      <c r="Z700" s="13" t="n"/>
      <c r="AA700" s="14" t="n"/>
      <c r="AB700" s="12" t="n"/>
      <c r="AC700" s="13" t="n"/>
      <c r="AD700" s="14" t="n"/>
      <c r="AE700" s="12" t="n"/>
      <c r="AF700" s="13" t="n"/>
      <c r="AG700" s="14" t="n"/>
      <c r="AH700" s="12" t="n"/>
      <c r="AI700" s="13" t="n"/>
      <c r="AJ700" s="14" t="n"/>
      <c r="AK700" s="12" t="n"/>
      <c r="AL700" s="13" t="n"/>
      <c r="AM700" s="14" t="n"/>
      <c r="AN700" s="12" t="n"/>
      <c r="AO700" s="13" t="n"/>
      <c r="AP700" s="14" t="n"/>
      <c r="AQ700" s="12" t="n"/>
      <c r="AR700" s="13" t="n"/>
      <c r="AS700" s="14" t="n"/>
      <c r="AT700" s="12" t="n"/>
      <c r="AU700" s="13" t="n"/>
      <c r="AV700" s="14" t="n"/>
      <c r="AW700" s="12" t="n"/>
      <c r="AX700" s="13" t="n"/>
      <c r="AY700" s="14" t="n"/>
      <c r="AZ700" s="12" t="n"/>
      <c r="BA700" s="13" t="n"/>
      <c r="BB700" s="14" t="n"/>
      <c r="BC700" s="11">
        <f>IF(O700="","",IF(J700="GST 10%",ROUND(O700*set_GSTRate,2),0))</f>
        <v/>
      </c>
      <c r="BD700" s="11">
        <f>IF(O700="","",O700+BC700)</f>
        <v/>
      </c>
      <c r="BE700" s="15">
        <f>IF(O700="","",COUNTA(S700,V700,Y700,AB700,AE700,AH700,AK700,AN700,AQ700,AT700,AW700,AZ700))</f>
        <v/>
      </c>
      <c r="BF700" s="16">
        <f>IF(COUNT(T700,W700,Z700,AC700,AF700,AI700,AL700,AO700,AR700,AU700,AX700,BA700)=0,"",MAX(T700,W700,Z700,AC700,AF700,AI700,AL700,AO700,AR700,AU700,AX700,BA700))</f>
        <v/>
      </c>
      <c r="BG700" s="10">
        <f>MID(IF(S700="","",", "&amp;S700)&amp;IF(V700="","",", "&amp;V700)&amp;IF(Y700="","",", "&amp;Y700)&amp;IF(AB700="","",", "&amp;AB700)&amp;IF(AE700="","",", "&amp;AE700)&amp;IF(AH700="","",", "&amp;AH700)&amp;IF(AK700="","",", "&amp;AK700)&amp;IF(AN700="","",", "&amp;AN700)&amp;IF(AQ700="","",", "&amp;AQ700)&amp;IF(AT700="","",", "&amp;AT700)&amp;IF(AW700="","",", "&amp;AW700)&amp;IF(AZ700="","",", "&amp;AZ700),3,500)</f>
        <v/>
      </c>
      <c r="BH700" s="12" t="n"/>
      <c r="BI700" s="15">
        <f>IFERROR(MATCH($A700,IF($B700="Onsite",tbl_Onsite[Row ID],IF($B700="Production",tbl_Production[Row ID],tbl_Consulting[Row ID])),0),"")</f>
        <v/>
      </c>
    </row>
    <row r="701">
      <c r="A701" s="10" t="inlineStr">
        <is>
          <t>PRD-0195</t>
        </is>
      </c>
      <c r="B701" s="10" t="inlineStr">
        <is>
          <t>Production</t>
        </is>
      </c>
      <c r="C701" s="10">
        <f>IF($BI701="","",IF($B701="Onsite",INDEX(tbl_Onsite[Job Number],$BI701),IF($B701="Production",INDEX(tbl_Production[Job Number],$BI701),INDEX(tbl_Consulting[Job Number],$BI701)))&amp;"")</f>
        <v/>
      </c>
      <c r="D701" s="10">
        <f>IF($BI701="","",IF($B701="Onsite",INDEX(tbl_Onsite[Client],$BI701),IF($B701="Production",INDEX(tbl_Production[Client],$BI701),INDEX(tbl_Consulting[Client],$BI701)))&amp;"")</f>
        <v/>
      </c>
      <c r="E701" s="10">
        <f>IF($C701="","",IF(COUNTIF(lst_Jobs,$C701)&gt;0,"OK","CHECK"))</f>
        <v/>
      </c>
      <c r="F701" s="10">
        <f>IF($C701="","",IFERROR(INDEX(lst_JobName,MATCH($C701,lst_Jobs,0)),""))</f>
        <v/>
      </c>
      <c r="G701" s="10">
        <f>IF($BI701="","",IF($B701="Onsite",INDEX(tbl_Onsite[Job Description],$BI701),IF($B701="Production",INDEX(tbl_Production[Job Description],$BI701),INDEX(tbl_Consulting[Job Description],$BI701)))&amp;"")</f>
        <v/>
      </c>
      <c r="H701" s="10">
        <f>IF($BI701="","",IF($B701="Onsite",INDEX(tbl_Onsite[Cost Centre],$BI701),IF($B701="Production",INDEX(tbl_Production[Cost Centre],$BI701),INDEX(tbl_Consulting[Cost Centre],$BI701)))&amp;"")</f>
        <v/>
      </c>
      <c r="I701" s="10">
        <f>IF($BI701="","",IF($B701="Onsite",INDEX(tbl_Onsite[Invoice Type],$BI701),IF($B701="Production",INDEX(tbl_Production[Invoice Type],$BI701),INDEX(tbl_Consulting[Invoice Type],$BI701)))&amp;"")</f>
        <v/>
      </c>
      <c r="J701" s="10">
        <f>IF($BI701="","",IF($B701="Onsite",INDEX(tbl_Onsite[Tax Code],$BI701),IF($B701="Production",INDEX(tbl_Production[Tax Code],$BI701),INDEX(tbl_Consulting[Tax Code],$BI701)))&amp;"")</f>
        <v/>
      </c>
      <c r="K701" s="10">
        <f>IF(H701="","",IFERROR(INDEX(lst_CCtoGL,MATCH(H701,lst_CCforGL,0)),""))</f>
        <v/>
      </c>
      <c r="L701" s="10">
        <f>IF($BI701="","",IF($B701="Onsite",INDEX(tbl_Onsite[PO / Reference],$BI701),IF($B701="Production",INDEX(tbl_Production[Current RMS No],$BI701),INDEX(tbl_Consulting[Qwilr Quote],$BI701)))&amp;"")</f>
        <v/>
      </c>
      <c r="M701" s="10">
        <f>IF($BI701="","",IF($B701="Onsite",INDEX(tbl_Onsite[Notes],$BI701),IF($B701="Production",INDEX(tbl_Production[Notes],$BI701),INDEX(tbl_Consulting[Notes],$BI701)))&amp;"")</f>
        <v/>
      </c>
      <c r="N701" s="11">
        <f>IF($BI701="","",IF(IF($B701="Onsite",INDEX(tbl_Onsite[Expected Revenue Ex GST],$BI701),IF($B701="Production",INDEX(tbl_Production[Expected Revenue Ex GST],$BI701),INDEX(tbl_Consulting[Expected Revenue Ex GST],$BI701)))="","",IF($B701="Onsite",INDEX(tbl_Onsite[Expected Revenue Ex GST],$BI701),IF($B701="Production",INDEX(tbl_Production[Expected Revenue Ex GST],$BI701),INDEX(tbl_Consulting[Expected Revenue Ex GST],$BI701)))))</f>
        <v/>
      </c>
      <c r="O701" s="11">
        <f>IF(AND($C701="",NOT(COUNTA($S701:$BB701)&gt;0)),"",SUM(U701,X701,AA701,AD701,AG701,AJ701,AM701,AP701,AS701,AV701,AY701,BB701))</f>
        <v/>
      </c>
      <c r="P701" s="11">
        <f>IF(O701="","",N(N701)-O701)</f>
        <v/>
      </c>
      <c r="Q701" s="10">
        <f>IF(O701="","",IF($C701="","Invoice on empty job row",IF(N701="",IF(ROUND(O701,2)=0,"No dept value","Invoiced - no dept value"),IF(ROUND(O701,2)=0,"Not invoiced - to invoice",IF(ROUND(P701,2)=0,"Agrees",IF(P701&gt;0,"Dept higher - to invoice","Xero higher - check dept"))))))</f>
        <v/>
      </c>
      <c r="R701" s="10">
        <f>IF(AND($C701="",NOT(COUNTA($S701:$BB701)&gt;0),$BI701&lt;&gt;""),"",MID(IF($BI701="","; Row ID not found on the department sheet - a row was deleted","")&amp;IF(AND($C701="",COUNTA($S701:$BB701)&gt;0),"; Invoice entered but the department row has no job number","")&amp;IF(E701="CHECK","; Job number not in the Xero job list","")&amp;IF(AND($C701&lt;&gt;"",COUNTIF($C$7:$C$1506,$C701)&gt;1),"; Job number on more than one row","")&amp;IF(AND($C701&lt;&gt;"",H701=""),"; Dept has not set a cost centre","")&amp;IF(AND($C701&lt;&gt;"",J701=""),"; Dept has not set a tax code","")&amp;IF(AND($C701&lt;&gt;"",N701=""),"; Dept has not entered an expected value","")&amp;IF((IF(OR(COUNTA(S701:U701)=0,AND(COUNTA(S701:U701)=3,ISNUMBER(U701))),0,1)+IF(OR(COUNTA(V701:X701)=0,AND(COUNTA(V701:X701)=3,ISNUMBER(X701))),0,1)+IF(OR(COUNTA(Y701:AA701)=0,AND(COUNTA(Y701:AA701)=3,ISNUMBER(AA701))),0,1)+IF(OR(COUNTA(AB701:AD701)=0,AND(COUNTA(AB701:AD701)=3,ISNUMBER(AD701))),0,1)+IF(OR(COUNTA(AE701:AG701)=0,AND(COUNTA(AE701:AG701)=3,ISNUMBER(AG701))),0,1)+IF(OR(COUNTA(AH701:AJ701)=0,AND(COUNTA(AH701:AJ701)=3,ISNUMBER(AJ701))),0,1)+IF(OR(COUNTA(AK701:AM701)=0,AND(COUNTA(AK701:AM701)=3,ISNUMBER(AM701))),0,1)+IF(OR(COUNTA(AN701:AP701)=0,AND(COUNTA(AN701:AP701)=3,ISNUMBER(AP701))),0,1)+IF(OR(COUNTA(AQ701:AS701)=0,AND(COUNTA(AQ701:AS701)=3,ISNUMBER(AS701))),0,1)+IF(OR(COUNTA(AT701:AV701)=0,AND(COUNTA(AT701:AV701)=3,ISNUMBER(AV701))),0,1)+IF(OR(COUNTA(AW701:AY701)=0,AND(COUNTA(AW701:AY701)=3,ISNUMBER(AY701))),0,1)+IF(OR(COUNTA(AZ701:BB701)=0,AND(COUNTA(AZ701:BB701)=3,ISNUMBER(BB701))),0,1))&gt;0,"; An invoice is incomplete (needs No, Date and a number in Ex GST)","")&amp;IF((IF(T701="",0,IFERROR(--(EOMONTH(T701,0)&lt;&gt;S$5),1))+IF(W701="",0,IFERROR(--(EOMONTH(W701,0)&lt;&gt;V$5),1))+IF(Z701="",0,IFERROR(--(EOMONTH(Z701,0)&lt;&gt;Y$5),1))+IF(AC701="",0,IFERROR(--(EOMONTH(AC701,0)&lt;&gt;AB$5),1))+IF(AF701="",0,IFERROR(--(EOMONTH(AF701,0)&lt;&gt;AE$5),1))+IF(AI701="",0,IFERROR(--(EOMONTH(AI701,0)&lt;&gt;AH$5),1))+IF(AL701="",0,IFERROR(--(EOMONTH(AL701,0)&lt;&gt;AK$5),1))+IF(AO701="",0,IFERROR(--(EOMONTH(AO701,0)&lt;&gt;AN$5),1))+IF(AR701="",0,IFERROR(--(EOMONTH(AR701,0)&lt;&gt;AQ$5),1))+IF(AU701="",0,IFERROR(--(EOMONTH(AU701,0)&lt;&gt;AT$5),1))+IF(AX701="",0,IFERROR(--(EOMONTH(AX701,0)&lt;&gt;AW$5),1))+IF(BA701="",0,IFERROR(--(EOMONTH(BA701,0)&lt;&gt;AZ$5),1)))&gt;0,"; An invoice date is not in the month it is typed under",""),3,500))</f>
        <v/>
      </c>
      <c r="S701" s="12" t="n"/>
      <c r="T701" s="13" t="n"/>
      <c r="U701" s="14" t="n"/>
      <c r="V701" s="12" t="n"/>
      <c r="W701" s="13" t="n"/>
      <c r="X701" s="14" t="n"/>
      <c r="Y701" s="12" t="n"/>
      <c r="Z701" s="13" t="n"/>
      <c r="AA701" s="14" t="n"/>
      <c r="AB701" s="12" t="n"/>
      <c r="AC701" s="13" t="n"/>
      <c r="AD701" s="14" t="n"/>
      <c r="AE701" s="12" t="n"/>
      <c r="AF701" s="13" t="n"/>
      <c r="AG701" s="14" t="n"/>
      <c r="AH701" s="12" t="n"/>
      <c r="AI701" s="13" t="n"/>
      <c r="AJ701" s="14" t="n"/>
      <c r="AK701" s="12" t="n"/>
      <c r="AL701" s="13" t="n"/>
      <c r="AM701" s="14" t="n"/>
      <c r="AN701" s="12" t="n"/>
      <c r="AO701" s="13" t="n"/>
      <c r="AP701" s="14" t="n"/>
      <c r="AQ701" s="12" t="n"/>
      <c r="AR701" s="13" t="n"/>
      <c r="AS701" s="14" t="n"/>
      <c r="AT701" s="12" t="n"/>
      <c r="AU701" s="13" t="n"/>
      <c r="AV701" s="14" t="n"/>
      <c r="AW701" s="12" t="n"/>
      <c r="AX701" s="13" t="n"/>
      <c r="AY701" s="14" t="n"/>
      <c r="AZ701" s="12" t="n"/>
      <c r="BA701" s="13" t="n"/>
      <c r="BB701" s="14" t="n"/>
      <c r="BC701" s="11">
        <f>IF(O701="","",IF(J701="GST 10%",ROUND(O701*set_GSTRate,2),0))</f>
        <v/>
      </c>
      <c r="BD701" s="11">
        <f>IF(O701="","",O701+BC701)</f>
        <v/>
      </c>
      <c r="BE701" s="15">
        <f>IF(O701="","",COUNTA(S701,V701,Y701,AB701,AE701,AH701,AK701,AN701,AQ701,AT701,AW701,AZ701))</f>
        <v/>
      </c>
      <c r="BF701" s="16">
        <f>IF(COUNT(T701,W701,Z701,AC701,AF701,AI701,AL701,AO701,AR701,AU701,AX701,BA701)=0,"",MAX(T701,W701,Z701,AC701,AF701,AI701,AL701,AO701,AR701,AU701,AX701,BA701))</f>
        <v/>
      </c>
      <c r="BG701" s="10">
        <f>MID(IF(S701="","",", "&amp;S701)&amp;IF(V701="","",", "&amp;V701)&amp;IF(Y701="","",", "&amp;Y701)&amp;IF(AB701="","",", "&amp;AB701)&amp;IF(AE701="","",", "&amp;AE701)&amp;IF(AH701="","",", "&amp;AH701)&amp;IF(AK701="","",", "&amp;AK701)&amp;IF(AN701="","",", "&amp;AN701)&amp;IF(AQ701="","",", "&amp;AQ701)&amp;IF(AT701="","",", "&amp;AT701)&amp;IF(AW701="","",", "&amp;AW701)&amp;IF(AZ701="","",", "&amp;AZ701),3,500)</f>
        <v/>
      </c>
      <c r="BH701" s="12" t="n"/>
      <c r="BI701" s="15">
        <f>IFERROR(MATCH($A701,IF($B701="Onsite",tbl_Onsite[Row ID],IF($B701="Production",tbl_Production[Row ID],tbl_Consulting[Row ID])),0),"")</f>
        <v/>
      </c>
    </row>
    <row r="702">
      <c r="A702" s="10" t="inlineStr">
        <is>
          <t>PRD-0196</t>
        </is>
      </c>
      <c r="B702" s="10" t="inlineStr">
        <is>
          <t>Production</t>
        </is>
      </c>
      <c r="C702" s="10">
        <f>IF($BI702="","",IF($B702="Onsite",INDEX(tbl_Onsite[Job Number],$BI702),IF($B702="Production",INDEX(tbl_Production[Job Number],$BI702),INDEX(tbl_Consulting[Job Number],$BI702)))&amp;"")</f>
        <v/>
      </c>
      <c r="D702" s="10">
        <f>IF($BI702="","",IF($B702="Onsite",INDEX(tbl_Onsite[Client],$BI702),IF($B702="Production",INDEX(tbl_Production[Client],$BI702),INDEX(tbl_Consulting[Client],$BI702)))&amp;"")</f>
        <v/>
      </c>
      <c r="E702" s="10">
        <f>IF($C702="","",IF(COUNTIF(lst_Jobs,$C702)&gt;0,"OK","CHECK"))</f>
        <v/>
      </c>
      <c r="F702" s="10">
        <f>IF($C702="","",IFERROR(INDEX(lst_JobName,MATCH($C702,lst_Jobs,0)),""))</f>
        <v/>
      </c>
      <c r="G702" s="10">
        <f>IF($BI702="","",IF($B702="Onsite",INDEX(tbl_Onsite[Job Description],$BI702),IF($B702="Production",INDEX(tbl_Production[Job Description],$BI702),INDEX(tbl_Consulting[Job Description],$BI702)))&amp;"")</f>
        <v/>
      </c>
      <c r="H702" s="10">
        <f>IF($BI702="","",IF($B702="Onsite",INDEX(tbl_Onsite[Cost Centre],$BI702),IF($B702="Production",INDEX(tbl_Production[Cost Centre],$BI702),INDEX(tbl_Consulting[Cost Centre],$BI702)))&amp;"")</f>
        <v/>
      </c>
      <c r="I702" s="10">
        <f>IF($BI702="","",IF($B702="Onsite",INDEX(tbl_Onsite[Invoice Type],$BI702),IF($B702="Production",INDEX(tbl_Production[Invoice Type],$BI702),INDEX(tbl_Consulting[Invoice Type],$BI702)))&amp;"")</f>
        <v/>
      </c>
      <c r="J702" s="10">
        <f>IF($BI702="","",IF($B702="Onsite",INDEX(tbl_Onsite[Tax Code],$BI702),IF($B702="Production",INDEX(tbl_Production[Tax Code],$BI702),INDEX(tbl_Consulting[Tax Code],$BI702)))&amp;"")</f>
        <v/>
      </c>
      <c r="K702" s="10">
        <f>IF(H702="","",IFERROR(INDEX(lst_CCtoGL,MATCH(H702,lst_CCforGL,0)),""))</f>
        <v/>
      </c>
      <c r="L702" s="10">
        <f>IF($BI702="","",IF($B702="Onsite",INDEX(tbl_Onsite[PO / Reference],$BI702),IF($B702="Production",INDEX(tbl_Production[Current RMS No],$BI702),INDEX(tbl_Consulting[Qwilr Quote],$BI702)))&amp;"")</f>
        <v/>
      </c>
      <c r="M702" s="10">
        <f>IF($BI702="","",IF($B702="Onsite",INDEX(tbl_Onsite[Notes],$BI702),IF($B702="Production",INDEX(tbl_Production[Notes],$BI702),INDEX(tbl_Consulting[Notes],$BI702)))&amp;"")</f>
        <v/>
      </c>
      <c r="N702" s="11">
        <f>IF($BI702="","",IF(IF($B702="Onsite",INDEX(tbl_Onsite[Expected Revenue Ex GST],$BI702),IF($B702="Production",INDEX(tbl_Production[Expected Revenue Ex GST],$BI702),INDEX(tbl_Consulting[Expected Revenue Ex GST],$BI702)))="","",IF($B702="Onsite",INDEX(tbl_Onsite[Expected Revenue Ex GST],$BI702),IF($B702="Production",INDEX(tbl_Production[Expected Revenue Ex GST],$BI702),INDEX(tbl_Consulting[Expected Revenue Ex GST],$BI702)))))</f>
        <v/>
      </c>
      <c r="O702" s="11">
        <f>IF(AND($C702="",NOT(COUNTA($S702:$BB702)&gt;0)),"",SUM(U702,X702,AA702,AD702,AG702,AJ702,AM702,AP702,AS702,AV702,AY702,BB702))</f>
        <v/>
      </c>
      <c r="P702" s="11">
        <f>IF(O702="","",N(N702)-O702)</f>
        <v/>
      </c>
      <c r="Q702" s="10">
        <f>IF(O702="","",IF($C702="","Invoice on empty job row",IF(N702="",IF(ROUND(O702,2)=0,"No dept value","Invoiced - no dept value"),IF(ROUND(O702,2)=0,"Not invoiced - to invoice",IF(ROUND(P702,2)=0,"Agrees",IF(P702&gt;0,"Dept higher - to invoice","Xero higher - check dept"))))))</f>
        <v/>
      </c>
      <c r="R702" s="10">
        <f>IF(AND($C702="",NOT(COUNTA($S702:$BB702)&gt;0),$BI702&lt;&gt;""),"",MID(IF($BI702="","; Row ID not found on the department sheet - a row was deleted","")&amp;IF(AND($C702="",COUNTA($S702:$BB702)&gt;0),"; Invoice entered but the department row has no job number","")&amp;IF(E702="CHECK","; Job number not in the Xero job list","")&amp;IF(AND($C702&lt;&gt;"",COUNTIF($C$7:$C$1506,$C702)&gt;1),"; Job number on more than one row","")&amp;IF(AND($C702&lt;&gt;"",H702=""),"; Dept has not set a cost centre","")&amp;IF(AND($C702&lt;&gt;"",J702=""),"; Dept has not set a tax code","")&amp;IF(AND($C702&lt;&gt;"",N702=""),"; Dept has not entered an expected value","")&amp;IF((IF(OR(COUNTA(S702:U702)=0,AND(COUNTA(S702:U702)=3,ISNUMBER(U702))),0,1)+IF(OR(COUNTA(V702:X702)=0,AND(COUNTA(V702:X702)=3,ISNUMBER(X702))),0,1)+IF(OR(COUNTA(Y702:AA702)=0,AND(COUNTA(Y702:AA702)=3,ISNUMBER(AA702))),0,1)+IF(OR(COUNTA(AB702:AD702)=0,AND(COUNTA(AB702:AD702)=3,ISNUMBER(AD702))),0,1)+IF(OR(COUNTA(AE702:AG702)=0,AND(COUNTA(AE702:AG702)=3,ISNUMBER(AG702))),0,1)+IF(OR(COUNTA(AH702:AJ702)=0,AND(COUNTA(AH702:AJ702)=3,ISNUMBER(AJ702))),0,1)+IF(OR(COUNTA(AK702:AM702)=0,AND(COUNTA(AK702:AM702)=3,ISNUMBER(AM702))),0,1)+IF(OR(COUNTA(AN702:AP702)=0,AND(COUNTA(AN702:AP702)=3,ISNUMBER(AP702))),0,1)+IF(OR(COUNTA(AQ702:AS702)=0,AND(COUNTA(AQ702:AS702)=3,ISNUMBER(AS702))),0,1)+IF(OR(COUNTA(AT702:AV702)=0,AND(COUNTA(AT702:AV702)=3,ISNUMBER(AV702))),0,1)+IF(OR(COUNTA(AW702:AY702)=0,AND(COUNTA(AW702:AY702)=3,ISNUMBER(AY702))),0,1)+IF(OR(COUNTA(AZ702:BB702)=0,AND(COUNTA(AZ702:BB702)=3,ISNUMBER(BB702))),0,1))&gt;0,"; An invoice is incomplete (needs No, Date and a number in Ex GST)","")&amp;IF((IF(T702="",0,IFERROR(--(EOMONTH(T702,0)&lt;&gt;S$5),1))+IF(W702="",0,IFERROR(--(EOMONTH(W702,0)&lt;&gt;V$5),1))+IF(Z702="",0,IFERROR(--(EOMONTH(Z702,0)&lt;&gt;Y$5),1))+IF(AC702="",0,IFERROR(--(EOMONTH(AC702,0)&lt;&gt;AB$5),1))+IF(AF702="",0,IFERROR(--(EOMONTH(AF702,0)&lt;&gt;AE$5),1))+IF(AI702="",0,IFERROR(--(EOMONTH(AI702,0)&lt;&gt;AH$5),1))+IF(AL702="",0,IFERROR(--(EOMONTH(AL702,0)&lt;&gt;AK$5),1))+IF(AO702="",0,IFERROR(--(EOMONTH(AO702,0)&lt;&gt;AN$5),1))+IF(AR702="",0,IFERROR(--(EOMONTH(AR702,0)&lt;&gt;AQ$5),1))+IF(AU702="",0,IFERROR(--(EOMONTH(AU702,0)&lt;&gt;AT$5),1))+IF(AX702="",0,IFERROR(--(EOMONTH(AX702,0)&lt;&gt;AW$5),1))+IF(BA702="",0,IFERROR(--(EOMONTH(BA702,0)&lt;&gt;AZ$5),1)))&gt;0,"; An invoice date is not in the month it is typed under",""),3,500))</f>
        <v/>
      </c>
      <c r="S702" s="12" t="n"/>
      <c r="T702" s="13" t="n"/>
      <c r="U702" s="14" t="n"/>
      <c r="V702" s="12" t="n"/>
      <c r="W702" s="13" t="n"/>
      <c r="X702" s="14" t="n"/>
      <c r="Y702" s="12" t="n"/>
      <c r="Z702" s="13" t="n"/>
      <c r="AA702" s="14" t="n"/>
      <c r="AB702" s="12" t="n"/>
      <c r="AC702" s="13" t="n"/>
      <c r="AD702" s="14" t="n"/>
      <c r="AE702" s="12" t="n"/>
      <c r="AF702" s="13" t="n"/>
      <c r="AG702" s="14" t="n"/>
      <c r="AH702" s="12" t="n"/>
      <c r="AI702" s="13" t="n"/>
      <c r="AJ702" s="14" t="n"/>
      <c r="AK702" s="12" t="n"/>
      <c r="AL702" s="13" t="n"/>
      <c r="AM702" s="14" t="n"/>
      <c r="AN702" s="12" t="n"/>
      <c r="AO702" s="13" t="n"/>
      <c r="AP702" s="14" t="n"/>
      <c r="AQ702" s="12" t="n"/>
      <c r="AR702" s="13" t="n"/>
      <c r="AS702" s="14" t="n"/>
      <c r="AT702" s="12" t="n"/>
      <c r="AU702" s="13" t="n"/>
      <c r="AV702" s="14" t="n"/>
      <c r="AW702" s="12" t="n"/>
      <c r="AX702" s="13" t="n"/>
      <c r="AY702" s="14" t="n"/>
      <c r="AZ702" s="12" t="n"/>
      <c r="BA702" s="13" t="n"/>
      <c r="BB702" s="14" t="n"/>
      <c r="BC702" s="11">
        <f>IF(O702="","",IF(J702="GST 10%",ROUND(O702*set_GSTRate,2),0))</f>
        <v/>
      </c>
      <c r="BD702" s="11">
        <f>IF(O702="","",O702+BC702)</f>
        <v/>
      </c>
      <c r="BE702" s="15">
        <f>IF(O702="","",COUNTA(S702,V702,Y702,AB702,AE702,AH702,AK702,AN702,AQ702,AT702,AW702,AZ702))</f>
        <v/>
      </c>
      <c r="BF702" s="16">
        <f>IF(COUNT(T702,W702,Z702,AC702,AF702,AI702,AL702,AO702,AR702,AU702,AX702,BA702)=0,"",MAX(T702,W702,Z702,AC702,AF702,AI702,AL702,AO702,AR702,AU702,AX702,BA702))</f>
        <v/>
      </c>
      <c r="BG702" s="10">
        <f>MID(IF(S702="","",", "&amp;S702)&amp;IF(V702="","",", "&amp;V702)&amp;IF(Y702="","",", "&amp;Y702)&amp;IF(AB702="","",", "&amp;AB702)&amp;IF(AE702="","",", "&amp;AE702)&amp;IF(AH702="","",", "&amp;AH702)&amp;IF(AK702="","",", "&amp;AK702)&amp;IF(AN702="","",", "&amp;AN702)&amp;IF(AQ702="","",", "&amp;AQ702)&amp;IF(AT702="","",", "&amp;AT702)&amp;IF(AW702="","",", "&amp;AW702)&amp;IF(AZ702="","",", "&amp;AZ702),3,500)</f>
        <v/>
      </c>
      <c r="BH702" s="12" t="n"/>
      <c r="BI702" s="15">
        <f>IFERROR(MATCH($A702,IF($B702="Onsite",tbl_Onsite[Row ID],IF($B702="Production",tbl_Production[Row ID],tbl_Consulting[Row ID])),0),"")</f>
        <v/>
      </c>
    </row>
    <row r="703">
      <c r="A703" s="10" t="inlineStr">
        <is>
          <t>PRD-0197</t>
        </is>
      </c>
      <c r="B703" s="10" t="inlineStr">
        <is>
          <t>Production</t>
        </is>
      </c>
      <c r="C703" s="10">
        <f>IF($BI703="","",IF($B703="Onsite",INDEX(tbl_Onsite[Job Number],$BI703),IF($B703="Production",INDEX(tbl_Production[Job Number],$BI703),INDEX(tbl_Consulting[Job Number],$BI703)))&amp;"")</f>
        <v/>
      </c>
      <c r="D703" s="10">
        <f>IF($BI703="","",IF($B703="Onsite",INDEX(tbl_Onsite[Client],$BI703),IF($B703="Production",INDEX(tbl_Production[Client],$BI703),INDEX(tbl_Consulting[Client],$BI703)))&amp;"")</f>
        <v/>
      </c>
      <c r="E703" s="10">
        <f>IF($C703="","",IF(COUNTIF(lst_Jobs,$C703)&gt;0,"OK","CHECK"))</f>
        <v/>
      </c>
      <c r="F703" s="10">
        <f>IF($C703="","",IFERROR(INDEX(lst_JobName,MATCH($C703,lst_Jobs,0)),""))</f>
        <v/>
      </c>
      <c r="G703" s="10">
        <f>IF($BI703="","",IF($B703="Onsite",INDEX(tbl_Onsite[Job Description],$BI703),IF($B703="Production",INDEX(tbl_Production[Job Description],$BI703),INDEX(tbl_Consulting[Job Description],$BI703)))&amp;"")</f>
        <v/>
      </c>
      <c r="H703" s="10">
        <f>IF($BI703="","",IF($B703="Onsite",INDEX(tbl_Onsite[Cost Centre],$BI703),IF($B703="Production",INDEX(tbl_Production[Cost Centre],$BI703),INDEX(tbl_Consulting[Cost Centre],$BI703)))&amp;"")</f>
        <v/>
      </c>
      <c r="I703" s="10">
        <f>IF($BI703="","",IF($B703="Onsite",INDEX(tbl_Onsite[Invoice Type],$BI703),IF($B703="Production",INDEX(tbl_Production[Invoice Type],$BI703),INDEX(tbl_Consulting[Invoice Type],$BI703)))&amp;"")</f>
        <v/>
      </c>
      <c r="J703" s="10">
        <f>IF($BI703="","",IF($B703="Onsite",INDEX(tbl_Onsite[Tax Code],$BI703),IF($B703="Production",INDEX(tbl_Production[Tax Code],$BI703),INDEX(tbl_Consulting[Tax Code],$BI703)))&amp;"")</f>
        <v/>
      </c>
      <c r="K703" s="10">
        <f>IF(H703="","",IFERROR(INDEX(lst_CCtoGL,MATCH(H703,lst_CCforGL,0)),""))</f>
        <v/>
      </c>
      <c r="L703" s="10">
        <f>IF($BI703="","",IF($B703="Onsite",INDEX(tbl_Onsite[PO / Reference],$BI703),IF($B703="Production",INDEX(tbl_Production[Current RMS No],$BI703),INDEX(tbl_Consulting[Qwilr Quote],$BI703)))&amp;"")</f>
        <v/>
      </c>
      <c r="M703" s="10">
        <f>IF($BI703="","",IF($B703="Onsite",INDEX(tbl_Onsite[Notes],$BI703),IF($B703="Production",INDEX(tbl_Production[Notes],$BI703),INDEX(tbl_Consulting[Notes],$BI703)))&amp;"")</f>
        <v/>
      </c>
      <c r="N703" s="11">
        <f>IF($BI703="","",IF(IF($B703="Onsite",INDEX(tbl_Onsite[Expected Revenue Ex GST],$BI703),IF($B703="Production",INDEX(tbl_Production[Expected Revenue Ex GST],$BI703),INDEX(tbl_Consulting[Expected Revenue Ex GST],$BI703)))="","",IF($B703="Onsite",INDEX(tbl_Onsite[Expected Revenue Ex GST],$BI703),IF($B703="Production",INDEX(tbl_Production[Expected Revenue Ex GST],$BI703),INDEX(tbl_Consulting[Expected Revenue Ex GST],$BI703)))))</f>
        <v/>
      </c>
      <c r="O703" s="11">
        <f>IF(AND($C703="",NOT(COUNTA($S703:$BB703)&gt;0)),"",SUM(U703,X703,AA703,AD703,AG703,AJ703,AM703,AP703,AS703,AV703,AY703,BB703))</f>
        <v/>
      </c>
      <c r="P703" s="11">
        <f>IF(O703="","",N(N703)-O703)</f>
        <v/>
      </c>
      <c r="Q703" s="10">
        <f>IF(O703="","",IF($C703="","Invoice on empty job row",IF(N703="",IF(ROUND(O703,2)=0,"No dept value","Invoiced - no dept value"),IF(ROUND(O703,2)=0,"Not invoiced - to invoice",IF(ROUND(P703,2)=0,"Agrees",IF(P703&gt;0,"Dept higher - to invoice","Xero higher - check dept"))))))</f>
        <v/>
      </c>
      <c r="R703" s="10">
        <f>IF(AND($C703="",NOT(COUNTA($S703:$BB703)&gt;0),$BI703&lt;&gt;""),"",MID(IF($BI703="","; Row ID not found on the department sheet - a row was deleted","")&amp;IF(AND($C703="",COUNTA($S703:$BB703)&gt;0),"; Invoice entered but the department row has no job number","")&amp;IF(E703="CHECK","; Job number not in the Xero job list","")&amp;IF(AND($C703&lt;&gt;"",COUNTIF($C$7:$C$1506,$C703)&gt;1),"; Job number on more than one row","")&amp;IF(AND($C703&lt;&gt;"",H703=""),"; Dept has not set a cost centre","")&amp;IF(AND($C703&lt;&gt;"",J703=""),"; Dept has not set a tax code","")&amp;IF(AND($C703&lt;&gt;"",N703=""),"; Dept has not entered an expected value","")&amp;IF((IF(OR(COUNTA(S703:U703)=0,AND(COUNTA(S703:U703)=3,ISNUMBER(U703))),0,1)+IF(OR(COUNTA(V703:X703)=0,AND(COUNTA(V703:X703)=3,ISNUMBER(X703))),0,1)+IF(OR(COUNTA(Y703:AA703)=0,AND(COUNTA(Y703:AA703)=3,ISNUMBER(AA703))),0,1)+IF(OR(COUNTA(AB703:AD703)=0,AND(COUNTA(AB703:AD703)=3,ISNUMBER(AD703))),0,1)+IF(OR(COUNTA(AE703:AG703)=0,AND(COUNTA(AE703:AG703)=3,ISNUMBER(AG703))),0,1)+IF(OR(COUNTA(AH703:AJ703)=0,AND(COUNTA(AH703:AJ703)=3,ISNUMBER(AJ703))),0,1)+IF(OR(COUNTA(AK703:AM703)=0,AND(COUNTA(AK703:AM703)=3,ISNUMBER(AM703))),0,1)+IF(OR(COUNTA(AN703:AP703)=0,AND(COUNTA(AN703:AP703)=3,ISNUMBER(AP703))),0,1)+IF(OR(COUNTA(AQ703:AS703)=0,AND(COUNTA(AQ703:AS703)=3,ISNUMBER(AS703))),0,1)+IF(OR(COUNTA(AT703:AV703)=0,AND(COUNTA(AT703:AV703)=3,ISNUMBER(AV703))),0,1)+IF(OR(COUNTA(AW703:AY703)=0,AND(COUNTA(AW703:AY703)=3,ISNUMBER(AY703))),0,1)+IF(OR(COUNTA(AZ703:BB703)=0,AND(COUNTA(AZ703:BB703)=3,ISNUMBER(BB703))),0,1))&gt;0,"; An invoice is incomplete (needs No, Date and a number in Ex GST)","")&amp;IF((IF(T703="",0,IFERROR(--(EOMONTH(T703,0)&lt;&gt;S$5),1))+IF(W703="",0,IFERROR(--(EOMONTH(W703,0)&lt;&gt;V$5),1))+IF(Z703="",0,IFERROR(--(EOMONTH(Z703,0)&lt;&gt;Y$5),1))+IF(AC703="",0,IFERROR(--(EOMONTH(AC703,0)&lt;&gt;AB$5),1))+IF(AF703="",0,IFERROR(--(EOMONTH(AF703,0)&lt;&gt;AE$5),1))+IF(AI703="",0,IFERROR(--(EOMONTH(AI703,0)&lt;&gt;AH$5),1))+IF(AL703="",0,IFERROR(--(EOMONTH(AL703,0)&lt;&gt;AK$5),1))+IF(AO703="",0,IFERROR(--(EOMONTH(AO703,0)&lt;&gt;AN$5),1))+IF(AR703="",0,IFERROR(--(EOMONTH(AR703,0)&lt;&gt;AQ$5),1))+IF(AU703="",0,IFERROR(--(EOMONTH(AU703,0)&lt;&gt;AT$5),1))+IF(AX703="",0,IFERROR(--(EOMONTH(AX703,0)&lt;&gt;AW$5),1))+IF(BA703="",0,IFERROR(--(EOMONTH(BA703,0)&lt;&gt;AZ$5),1)))&gt;0,"; An invoice date is not in the month it is typed under",""),3,500))</f>
        <v/>
      </c>
      <c r="S703" s="12" t="n"/>
      <c r="T703" s="13" t="n"/>
      <c r="U703" s="14" t="n"/>
      <c r="V703" s="12" t="n"/>
      <c r="W703" s="13" t="n"/>
      <c r="X703" s="14" t="n"/>
      <c r="Y703" s="12" t="n"/>
      <c r="Z703" s="13" t="n"/>
      <c r="AA703" s="14" t="n"/>
      <c r="AB703" s="12" t="n"/>
      <c r="AC703" s="13" t="n"/>
      <c r="AD703" s="14" t="n"/>
      <c r="AE703" s="12" t="n"/>
      <c r="AF703" s="13" t="n"/>
      <c r="AG703" s="14" t="n"/>
      <c r="AH703" s="12" t="n"/>
      <c r="AI703" s="13" t="n"/>
      <c r="AJ703" s="14" t="n"/>
      <c r="AK703" s="12" t="n"/>
      <c r="AL703" s="13" t="n"/>
      <c r="AM703" s="14" t="n"/>
      <c r="AN703" s="12" t="n"/>
      <c r="AO703" s="13" t="n"/>
      <c r="AP703" s="14" t="n"/>
      <c r="AQ703" s="12" t="n"/>
      <c r="AR703" s="13" t="n"/>
      <c r="AS703" s="14" t="n"/>
      <c r="AT703" s="12" t="n"/>
      <c r="AU703" s="13" t="n"/>
      <c r="AV703" s="14" t="n"/>
      <c r="AW703" s="12" t="n"/>
      <c r="AX703" s="13" t="n"/>
      <c r="AY703" s="14" t="n"/>
      <c r="AZ703" s="12" t="n"/>
      <c r="BA703" s="13" t="n"/>
      <c r="BB703" s="14" t="n"/>
      <c r="BC703" s="11">
        <f>IF(O703="","",IF(J703="GST 10%",ROUND(O703*set_GSTRate,2),0))</f>
        <v/>
      </c>
      <c r="BD703" s="11">
        <f>IF(O703="","",O703+BC703)</f>
        <v/>
      </c>
      <c r="BE703" s="15">
        <f>IF(O703="","",COUNTA(S703,V703,Y703,AB703,AE703,AH703,AK703,AN703,AQ703,AT703,AW703,AZ703))</f>
        <v/>
      </c>
      <c r="BF703" s="16">
        <f>IF(COUNT(T703,W703,Z703,AC703,AF703,AI703,AL703,AO703,AR703,AU703,AX703,BA703)=0,"",MAX(T703,W703,Z703,AC703,AF703,AI703,AL703,AO703,AR703,AU703,AX703,BA703))</f>
        <v/>
      </c>
      <c r="BG703" s="10">
        <f>MID(IF(S703="","",", "&amp;S703)&amp;IF(V703="","",", "&amp;V703)&amp;IF(Y703="","",", "&amp;Y703)&amp;IF(AB703="","",", "&amp;AB703)&amp;IF(AE703="","",", "&amp;AE703)&amp;IF(AH703="","",", "&amp;AH703)&amp;IF(AK703="","",", "&amp;AK703)&amp;IF(AN703="","",", "&amp;AN703)&amp;IF(AQ703="","",", "&amp;AQ703)&amp;IF(AT703="","",", "&amp;AT703)&amp;IF(AW703="","",", "&amp;AW703)&amp;IF(AZ703="","",", "&amp;AZ703),3,500)</f>
        <v/>
      </c>
      <c r="BH703" s="12" t="n"/>
      <c r="BI703" s="15">
        <f>IFERROR(MATCH($A703,IF($B703="Onsite",tbl_Onsite[Row ID],IF($B703="Production",tbl_Production[Row ID],tbl_Consulting[Row ID])),0),"")</f>
        <v/>
      </c>
    </row>
    <row r="704">
      <c r="A704" s="10" t="inlineStr">
        <is>
          <t>PRD-0198</t>
        </is>
      </c>
      <c r="B704" s="10" t="inlineStr">
        <is>
          <t>Production</t>
        </is>
      </c>
      <c r="C704" s="10">
        <f>IF($BI704="","",IF($B704="Onsite",INDEX(tbl_Onsite[Job Number],$BI704),IF($B704="Production",INDEX(tbl_Production[Job Number],$BI704),INDEX(tbl_Consulting[Job Number],$BI704)))&amp;"")</f>
        <v/>
      </c>
      <c r="D704" s="10">
        <f>IF($BI704="","",IF($B704="Onsite",INDEX(tbl_Onsite[Client],$BI704),IF($B704="Production",INDEX(tbl_Production[Client],$BI704),INDEX(tbl_Consulting[Client],$BI704)))&amp;"")</f>
        <v/>
      </c>
      <c r="E704" s="10">
        <f>IF($C704="","",IF(COUNTIF(lst_Jobs,$C704)&gt;0,"OK","CHECK"))</f>
        <v/>
      </c>
      <c r="F704" s="10">
        <f>IF($C704="","",IFERROR(INDEX(lst_JobName,MATCH($C704,lst_Jobs,0)),""))</f>
        <v/>
      </c>
      <c r="G704" s="10">
        <f>IF($BI704="","",IF($B704="Onsite",INDEX(tbl_Onsite[Job Description],$BI704),IF($B704="Production",INDEX(tbl_Production[Job Description],$BI704),INDEX(tbl_Consulting[Job Description],$BI704)))&amp;"")</f>
        <v/>
      </c>
      <c r="H704" s="10">
        <f>IF($BI704="","",IF($B704="Onsite",INDEX(tbl_Onsite[Cost Centre],$BI704),IF($B704="Production",INDEX(tbl_Production[Cost Centre],$BI704),INDEX(tbl_Consulting[Cost Centre],$BI704)))&amp;"")</f>
        <v/>
      </c>
      <c r="I704" s="10">
        <f>IF($BI704="","",IF($B704="Onsite",INDEX(tbl_Onsite[Invoice Type],$BI704),IF($B704="Production",INDEX(tbl_Production[Invoice Type],$BI704),INDEX(tbl_Consulting[Invoice Type],$BI704)))&amp;"")</f>
        <v/>
      </c>
      <c r="J704" s="10">
        <f>IF($BI704="","",IF($B704="Onsite",INDEX(tbl_Onsite[Tax Code],$BI704),IF($B704="Production",INDEX(tbl_Production[Tax Code],$BI704),INDEX(tbl_Consulting[Tax Code],$BI704)))&amp;"")</f>
        <v/>
      </c>
      <c r="K704" s="10">
        <f>IF(H704="","",IFERROR(INDEX(lst_CCtoGL,MATCH(H704,lst_CCforGL,0)),""))</f>
        <v/>
      </c>
      <c r="L704" s="10">
        <f>IF($BI704="","",IF($B704="Onsite",INDEX(tbl_Onsite[PO / Reference],$BI704),IF($B704="Production",INDEX(tbl_Production[Current RMS No],$BI704),INDEX(tbl_Consulting[Qwilr Quote],$BI704)))&amp;"")</f>
        <v/>
      </c>
      <c r="M704" s="10">
        <f>IF($BI704="","",IF($B704="Onsite",INDEX(tbl_Onsite[Notes],$BI704),IF($B704="Production",INDEX(tbl_Production[Notes],$BI704),INDEX(tbl_Consulting[Notes],$BI704)))&amp;"")</f>
        <v/>
      </c>
      <c r="N704" s="11">
        <f>IF($BI704="","",IF(IF($B704="Onsite",INDEX(tbl_Onsite[Expected Revenue Ex GST],$BI704),IF($B704="Production",INDEX(tbl_Production[Expected Revenue Ex GST],$BI704),INDEX(tbl_Consulting[Expected Revenue Ex GST],$BI704)))="","",IF($B704="Onsite",INDEX(tbl_Onsite[Expected Revenue Ex GST],$BI704),IF($B704="Production",INDEX(tbl_Production[Expected Revenue Ex GST],$BI704),INDEX(tbl_Consulting[Expected Revenue Ex GST],$BI704)))))</f>
        <v/>
      </c>
      <c r="O704" s="11">
        <f>IF(AND($C704="",NOT(COUNTA($S704:$BB704)&gt;0)),"",SUM(U704,X704,AA704,AD704,AG704,AJ704,AM704,AP704,AS704,AV704,AY704,BB704))</f>
        <v/>
      </c>
      <c r="P704" s="11">
        <f>IF(O704="","",N(N704)-O704)</f>
        <v/>
      </c>
      <c r="Q704" s="10">
        <f>IF(O704="","",IF($C704="","Invoice on empty job row",IF(N704="",IF(ROUND(O704,2)=0,"No dept value","Invoiced - no dept value"),IF(ROUND(O704,2)=0,"Not invoiced - to invoice",IF(ROUND(P704,2)=0,"Agrees",IF(P704&gt;0,"Dept higher - to invoice","Xero higher - check dept"))))))</f>
        <v/>
      </c>
      <c r="R704" s="10">
        <f>IF(AND($C704="",NOT(COUNTA($S704:$BB704)&gt;0),$BI704&lt;&gt;""),"",MID(IF($BI704="","; Row ID not found on the department sheet - a row was deleted","")&amp;IF(AND($C704="",COUNTA($S704:$BB704)&gt;0),"; Invoice entered but the department row has no job number","")&amp;IF(E704="CHECK","; Job number not in the Xero job list","")&amp;IF(AND($C704&lt;&gt;"",COUNTIF($C$7:$C$1506,$C704)&gt;1),"; Job number on more than one row","")&amp;IF(AND($C704&lt;&gt;"",H704=""),"; Dept has not set a cost centre","")&amp;IF(AND($C704&lt;&gt;"",J704=""),"; Dept has not set a tax code","")&amp;IF(AND($C704&lt;&gt;"",N704=""),"; Dept has not entered an expected value","")&amp;IF((IF(OR(COUNTA(S704:U704)=0,AND(COUNTA(S704:U704)=3,ISNUMBER(U704))),0,1)+IF(OR(COUNTA(V704:X704)=0,AND(COUNTA(V704:X704)=3,ISNUMBER(X704))),0,1)+IF(OR(COUNTA(Y704:AA704)=0,AND(COUNTA(Y704:AA704)=3,ISNUMBER(AA704))),0,1)+IF(OR(COUNTA(AB704:AD704)=0,AND(COUNTA(AB704:AD704)=3,ISNUMBER(AD704))),0,1)+IF(OR(COUNTA(AE704:AG704)=0,AND(COUNTA(AE704:AG704)=3,ISNUMBER(AG704))),0,1)+IF(OR(COUNTA(AH704:AJ704)=0,AND(COUNTA(AH704:AJ704)=3,ISNUMBER(AJ704))),0,1)+IF(OR(COUNTA(AK704:AM704)=0,AND(COUNTA(AK704:AM704)=3,ISNUMBER(AM704))),0,1)+IF(OR(COUNTA(AN704:AP704)=0,AND(COUNTA(AN704:AP704)=3,ISNUMBER(AP704))),0,1)+IF(OR(COUNTA(AQ704:AS704)=0,AND(COUNTA(AQ704:AS704)=3,ISNUMBER(AS704))),0,1)+IF(OR(COUNTA(AT704:AV704)=0,AND(COUNTA(AT704:AV704)=3,ISNUMBER(AV704))),0,1)+IF(OR(COUNTA(AW704:AY704)=0,AND(COUNTA(AW704:AY704)=3,ISNUMBER(AY704))),0,1)+IF(OR(COUNTA(AZ704:BB704)=0,AND(COUNTA(AZ704:BB704)=3,ISNUMBER(BB704))),0,1))&gt;0,"; An invoice is incomplete (needs No, Date and a number in Ex GST)","")&amp;IF((IF(T704="",0,IFERROR(--(EOMONTH(T704,0)&lt;&gt;S$5),1))+IF(W704="",0,IFERROR(--(EOMONTH(W704,0)&lt;&gt;V$5),1))+IF(Z704="",0,IFERROR(--(EOMONTH(Z704,0)&lt;&gt;Y$5),1))+IF(AC704="",0,IFERROR(--(EOMONTH(AC704,0)&lt;&gt;AB$5),1))+IF(AF704="",0,IFERROR(--(EOMONTH(AF704,0)&lt;&gt;AE$5),1))+IF(AI704="",0,IFERROR(--(EOMONTH(AI704,0)&lt;&gt;AH$5),1))+IF(AL704="",0,IFERROR(--(EOMONTH(AL704,0)&lt;&gt;AK$5),1))+IF(AO704="",0,IFERROR(--(EOMONTH(AO704,0)&lt;&gt;AN$5),1))+IF(AR704="",0,IFERROR(--(EOMONTH(AR704,0)&lt;&gt;AQ$5),1))+IF(AU704="",0,IFERROR(--(EOMONTH(AU704,0)&lt;&gt;AT$5),1))+IF(AX704="",0,IFERROR(--(EOMONTH(AX704,0)&lt;&gt;AW$5),1))+IF(BA704="",0,IFERROR(--(EOMONTH(BA704,0)&lt;&gt;AZ$5),1)))&gt;0,"; An invoice date is not in the month it is typed under",""),3,500))</f>
        <v/>
      </c>
      <c r="S704" s="12" t="n"/>
      <c r="T704" s="13" t="n"/>
      <c r="U704" s="14" t="n"/>
      <c r="V704" s="12" t="n"/>
      <c r="W704" s="13" t="n"/>
      <c r="X704" s="14" t="n"/>
      <c r="Y704" s="12" t="n"/>
      <c r="Z704" s="13" t="n"/>
      <c r="AA704" s="14" t="n"/>
      <c r="AB704" s="12" t="n"/>
      <c r="AC704" s="13" t="n"/>
      <c r="AD704" s="14" t="n"/>
      <c r="AE704" s="12" t="n"/>
      <c r="AF704" s="13" t="n"/>
      <c r="AG704" s="14" t="n"/>
      <c r="AH704" s="12" t="n"/>
      <c r="AI704" s="13" t="n"/>
      <c r="AJ704" s="14" t="n"/>
      <c r="AK704" s="12" t="n"/>
      <c r="AL704" s="13" t="n"/>
      <c r="AM704" s="14" t="n"/>
      <c r="AN704" s="12" t="n"/>
      <c r="AO704" s="13" t="n"/>
      <c r="AP704" s="14" t="n"/>
      <c r="AQ704" s="12" t="n"/>
      <c r="AR704" s="13" t="n"/>
      <c r="AS704" s="14" t="n"/>
      <c r="AT704" s="12" t="n"/>
      <c r="AU704" s="13" t="n"/>
      <c r="AV704" s="14" t="n"/>
      <c r="AW704" s="12" t="n"/>
      <c r="AX704" s="13" t="n"/>
      <c r="AY704" s="14" t="n"/>
      <c r="AZ704" s="12" t="n"/>
      <c r="BA704" s="13" t="n"/>
      <c r="BB704" s="14" t="n"/>
      <c r="BC704" s="11">
        <f>IF(O704="","",IF(J704="GST 10%",ROUND(O704*set_GSTRate,2),0))</f>
        <v/>
      </c>
      <c r="BD704" s="11">
        <f>IF(O704="","",O704+BC704)</f>
        <v/>
      </c>
      <c r="BE704" s="15">
        <f>IF(O704="","",COUNTA(S704,V704,Y704,AB704,AE704,AH704,AK704,AN704,AQ704,AT704,AW704,AZ704))</f>
        <v/>
      </c>
      <c r="BF704" s="16">
        <f>IF(COUNT(T704,W704,Z704,AC704,AF704,AI704,AL704,AO704,AR704,AU704,AX704,BA704)=0,"",MAX(T704,W704,Z704,AC704,AF704,AI704,AL704,AO704,AR704,AU704,AX704,BA704))</f>
        <v/>
      </c>
      <c r="BG704" s="10">
        <f>MID(IF(S704="","",", "&amp;S704)&amp;IF(V704="","",", "&amp;V704)&amp;IF(Y704="","",", "&amp;Y704)&amp;IF(AB704="","",", "&amp;AB704)&amp;IF(AE704="","",", "&amp;AE704)&amp;IF(AH704="","",", "&amp;AH704)&amp;IF(AK704="","",", "&amp;AK704)&amp;IF(AN704="","",", "&amp;AN704)&amp;IF(AQ704="","",", "&amp;AQ704)&amp;IF(AT704="","",", "&amp;AT704)&amp;IF(AW704="","",", "&amp;AW704)&amp;IF(AZ704="","",", "&amp;AZ704),3,500)</f>
        <v/>
      </c>
      <c r="BH704" s="12" t="n"/>
      <c r="BI704" s="15">
        <f>IFERROR(MATCH($A704,IF($B704="Onsite",tbl_Onsite[Row ID],IF($B704="Production",tbl_Production[Row ID],tbl_Consulting[Row ID])),0),"")</f>
        <v/>
      </c>
    </row>
    <row r="705">
      <c r="A705" s="10" t="inlineStr">
        <is>
          <t>PRD-0199</t>
        </is>
      </c>
      <c r="B705" s="10" t="inlineStr">
        <is>
          <t>Production</t>
        </is>
      </c>
      <c r="C705" s="10">
        <f>IF($BI705="","",IF($B705="Onsite",INDEX(tbl_Onsite[Job Number],$BI705),IF($B705="Production",INDEX(tbl_Production[Job Number],$BI705),INDEX(tbl_Consulting[Job Number],$BI705)))&amp;"")</f>
        <v/>
      </c>
      <c r="D705" s="10">
        <f>IF($BI705="","",IF($B705="Onsite",INDEX(tbl_Onsite[Client],$BI705),IF($B705="Production",INDEX(tbl_Production[Client],$BI705),INDEX(tbl_Consulting[Client],$BI705)))&amp;"")</f>
        <v/>
      </c>
      <c r="E705" s="10">
        <f>IF($C705="","",IF(COUNTIF(lst_Jobs,$C705)&gt;0,"OK","CHECK"))</f>
        <v/>
      </c>
      <c r="F705" s="10">
        <f>IF($C705="","",IFERROR(INDEX(lst_JobName,MATCH($C705,lst_Jobs,0)),""))</f>
        <v/>
      </c>
      <c r="G705" s="10">
        <f>IF($BI705="","",IF($B705="Onsite",INDEX(tbl_Onsite[Job Description],$BI705),IF($B705="Production",INDEX(tbl_Production[Job Description],$BI705),INDEX(tbl_Consulting[Job Description],$BI705)))&amp;"")</f>
        <v/>
      </c>
      <c r="H705" s="10">
        <f>IF($BI705="","",IF($B705="Onsite",INDEX(tbl_Onsite[Cost Centre],$BI705),IF($B705="Production",INDEX(tbl_Production[Cost Centre],$BI705),INDEX(tbl_Consulting[Cost Centre],$BI705)))&amp;"")</f>
        <v/>
      </c>
      <c r="I705" s="10">
        <f>IF($BI705="","",IF($B705="Onsite",INDEX(tbl_Onsite[Invoice Type],$BI705),IF($B705="Production",INDEX(tbl_Production[Invoice Type],$BI705),INDEX(tbl_Consulting[Invoice Type],$BI705)))&amp;"")</f>
        <v/>
      </c>
      <c r="J705" s="10">
        <f>IF($BI705="","",IF($B705="Onsite",INDEX(tbl_Onsite[Tax Code],$BI705),IF($B705="Production",INDEX(tbl_Production[Tax Code],$BI705),INDEX(tbl_Consulting[Tax Code],$BI705)))&amp;"")</f>
        <v/>
      </c>
      <c r="K705" s="10">
        <f>IF(H705="","",IFERROR(INDEX(lst_CCtoGL,MATCH(H705,lst_CCforGL,0)),""))</f>
        <v/>
      </c>
      <c r="L705" s="10">
        <f>IF($BI705="","",IF($B705="Onsite",INDEX(tbl_Onsite[PO / Reference],$BI705),IF($B705="Production",INDEX(tbl_Production[Current RMS No],$BI705),INDEX(tbl_Consulting[Qwilr Quote],$BI705)))&amp;"")</f>
        <v/>
      </c>
      <c r="M705" s="10">
        <f>IF($BI705="","",IF($B705="Onsite",INDEX(tbl_Onsite[Notes],$BI705),IF($B705="Production",INDEX(tbl_Production[Notes],$BI705),INDEX(tbl_Consulting[Notes],$BI705)))&amp;"")</f>
        <v/>
      </c>
      <c r="N705" s="11">
        <f>IF($BI705="","",IF(IF($B705="Onsite",INDEX(tbl_Onsite[Expected Revenue Ex GST],$BI705),IF($B705="Production",INDEX(tbl_Production[Expected Revenue Ex GST],$BI705),INDEX(tbl_Consulting[Expected Revenue Ex GST],$BI705)))="","",IF($B705="Onsite",INDEX(tbl_Onsite[Expected Revenue Ex GST],$BI705),IF($B705="Production",INDEX(tbl_Production[Expected Revenue Ex GST],$BI705),INDEX(tbl_Consulting[Expected Revenue Ex GST],$BI705)))))</f>
        <v/>
      </c>
      <c r="O705" s="11">
        <f>IF(AND($C705="",NOT(COUNTA($S705:$BB705)&gt;0)),"",SUM(U705,X705,AA705,AD705,AG705,AJ705,AM705,AP705,AS705,AV705,AY705,BB705))</f>
        <v/>
      </c>
      <c r="P705" s="11">
        <f>IF(O705="","",N(N705)-O705)</f>
        <v/>
      </c>
      <c r="Q705" s="10">
        <f>IF(O705="","",IF($C705="","Invoice on empty job row",IF(N705="",IF(ROUND(O705,2)=0,"No dept value","Invoiced - no dept value"),IF(ROUND(O705,2)=0,"Not invoiced - to invoice",IF(ROUND(P705,2)=0,"Agrees",IF(P705&gt;0,"Dept higher - to invoice","Xero higher - check dept"))))))</f>
        <v/>
      </c>
      <c r="R705" s="10">
        <f>IF(AND($C705="",NOT(COUNTA($S705:$BB705)&gt;0),$BI705&lt;&gt;""),"",MID(IF($BI705="","; Row ID not found on the department sheet - a row was deleted","")&amp;IF(AND($C705="",COUNTA($S705:$BB705)&gt;0),"; Invoice entered but the department row has no job number","")&amp;IF(E705="CHECK","; Job number not in the Xero job list","")&amp;IF(AND($C705&lt;&gt;"",COUNTIF($C$7:$C$1506,$C705)&gt;1),"; Job number on more than one row","")&amp;IF(AND($C705&lt;&gt;"",H705=""),"; Dept has not set a cost centre","")&amp;IF(AND($C705&lt;&gt;"",J705=""),"; Dept has not set a tax code","")&amp;IF(AND($C705&lt;&gt;"",N705=""),"; Dept has not entered an expected value","")&amp;IF((IF(OR(COUNTA(S705:U705)=0,AND(COUNTA(S705:U705)=3,ISNUMBER(U705))),0,1)+IF(OR(COUNTA(V705:X705)=0,AND(COUNTA(V705:X705)=3,ISNUMBER(X705))),0,1)+IF(OR(COUNTA(Y705:AA705)=0,AND(COUNTA(Y705:AA705)=3,ISNUMBER(AA705))),0,1)+IF(OR(COUNTA(AB705:AD705)=0,AND(COUNTA(AB705:AD705)=3,ISNUMBER(AD705))),0,1)+IF(OR(COUNTA(AE705:AG705)=0,AND(COUNTA(AE705:AG705)=3,ISNUMBER(AG705))),0,1)+IF(OR(COUNTA(AH705:AJ705)=0,AND(COUNTA(AH705:AJ705)=3,ISNUMBER(AJ705))),0,1)+IF(OR(COUNTA(AK705:AM705)=0,AND(COUNTA(AK705:AM705)=3,ISNUMBER(AM705))),0,1)+IF(OR(COUNTA(AN705:AP705)=0,AND(COUNTA(AN705:AP705)=3,ISNUMBER(AP705))),0,1)+IF(OR(COUNTA(AQ705:AS705)=0,AND(COUNTA(AQ705:AS705)=3,ISNUMBER(AS705))),0,1)+IF(OR(COUNTA(AT705:AV705)=0,AND(COUNTA(AT705:AV705)=3,ISNUMBER(AV705))),0,1)+IF(OR(COUNTA(AW705:AY705)=0,AND(COUNTA(AW705:AY705)=3,ISNUMBER(AY705))),0,1)+IF(OR(COUNTA(AZ705:BB705)=0,AND(COUNTA(AZ705:BB705)=3,ISNUMBER(BB705))),0,1))&gt;0,"; An invoice is incomplete (needs No, Date and a number in Ex GST)","")&amp;IF((IF(T705="",0,IFERROR(--(EOMONTH(T705,0)&lt;&gt;S$5),1))+IF(W705="",0,IFERROR(--(EOMONTH(W705,0)&lt;&gt;V$5),1))+IF(Z705="",0,IFERROR(--(EOMONTH(Z705,0)&lt;&gt;Y$5),1))+IF(AC705="",0,IFERROR(--(EOMONTH(AC705,0)&lt;&gt;AB$5),1))+IF(AF705="",0,IFERROR(--(EOMONTH(AF705,0)&lt;&gt;AE$5),1))+IF(AI705="",0,IFERROR(--(EOMONTH(AI705,0)&lt;&gt;AH$5),1))+IF(AL705="",0,IFERROR(--(EOMONTH(AL705,0)&lt;&gt;AK$5),1))+IF(AO705="",0,IFERROR(--(EOMONTH(AO705,0)&lt;&gt;AN$5),1))+IF(AR705="",0,IFERROR(--(EOMONTH(AR705,0)&lt;&gt;AQ$5),1))+IF(AU705="",0,IFERROR(--(EOMONTH(AU705,0)&lt;&gt;AT$5),1))+IF(AX705="",0,IFERROR(--(EOMONTH(AX705,0)&lt;&gt;AW$5),1))+IF(BA705="",0,IFERROR(--(EOMONTH(BA705,0)&lt;&gt;AZ$5),1)))&gt;0,"; An invoice date is not in the month it is typed under",""),3,500))</f>
        <v/>
      </c>
      <c r="S705" s="12" t="n"/>
      <c r="T705" s="13" t="n"/>
      <c r="U705" s="14" t="n"/>
      <c r="V705" s="12" t="n"/>
      <c r="W705" s="13" t="n"/>
      <c r="X705" s="14" t="n"/>
      <c r="Y705" s="12" t="n"/>
      <c r="Z705" s="13" t="n"/>
      <c r="AA705" s="14" t="n"/>
      <c r="AB705" s="12" t="n"/>
      <c r="AC705" s="13" t="n"/>
      <c r="AD705" s="14" t="n"/>
      <c r="AE705" s="12" t="n"/>
      <c r="AF705" s="13" t="n"/>
      <c r="AG705" s="14" t="n"/>
      <c r="AH705" s="12" t="n"/>
      <c r="AI705" s="13" t="n"/>
      <c r="AJ705" s="14" t="n"/>
      <c r="AK705" s="12" t="n"/>
      <c r="AL705" s="13" t="n"/>
      <c r="AM705" s="14" t="n"/>
      <c r="AN705" s="12" t="n"/>
      <c r="AO705" s="13" t="n"/>
      <c r="AP705" s="14" t="n"/>
      <c r="AQ705" s="12" t="n"/>
      <c r="AR705" s="13" t="n"/>
      <c r="AS705" s="14" t="n"/>
      <c r="AT705" s="12" t="n"/>
      <c r="AU705" s="13" t="n"/>
      <c r="AV705" s="14" t="n"/>
      <c r="AW705" s="12" t="n"/>
      <c r="AX705" s="13" t="n"/>
      <c r="AY705" s="14" t="n"/>
      <c r="AZ705" s="12" t="n"/>
      <c r="BA705" s="13" t="n"/>
      <c r="BB705" s="14" t="n"/>
      <c r="BC705" s="11">
        <f>IF(O705="","",IF(J705="GST 10%",ROUND(O705*set_GSTRate,2),0))</f>
        <v/>
      </c>
      <c r="BD705" s="11">
        <f>IF(O705="","",O705+BC705)</f>
        <v/>
      </c>
      <c r="BE705" s="15">
        <f>IF(O705="","",COUNTA(S705,V705,Y705,AB705,AE705,AH705,AK705,AN705,AQ705,AT705,AW705,AZ705))</f>
        <v/>
      </c>
      <c r="BF705" s="16">
        <f>IF(COUNT(T705,W705,Z705,AC705,AF705,AI705,AL705,AO705,AR705,AU705,AX705,BA705)=0,"",MAX(T705,W705,Z705,AC705,AF705,AI705,AL705,AO705,AR705,AU705,AX705,BA705))</f>
        <v/>
      </c>
      <c r="BG705" s="10">
        <f>MID(IF(S705="","",", "&amp;S705)&amp;IF(V705="","",", "&amp;V705)&amp;IF(Y705="","",", "&amp;Y705)&amp;IF(AB705="","",", "&amp;AB705)&amp;IF(AE705="","",", "&amp;AE705)&amp;IF(AH705="","",", "&amp;AH705)&amp;IF(AK705="","",", "&amp;AK705)&amp;IF(AN705="","",", "&amp;AN705)&amp;IF(AQ705="","",", "&amp;AQ705)&amp;IF(AT705="","",", "&amp;AT705)&amp;IF(AW705="","",", "&amp;AW705)&amp;IF(AZ705="","",", "&amp;AZ705),3,500)</f>
        <v/>
      </c>
      <c r="BH705" s="12" t="n"/>
      <c r="BI705" s="15">
        <f>IFERROR(MATCH($A705,IF($B705="Onsite",tbl_Onsite[Row ID],IF($B705="Production",tbl_Production[Row ID],tbl_Consulting[Row ID])),0),"")</f>
        <v/>
      </c>
    </row>
    <row r="706">
      <c r="A706" s="10" t="inlineStr">
        <is>
          <t>PRD-0200</t>
        </is>
      </c>
      <c r="B706" s="10" t="inlineStr">
        <is>
          <t>Production</t>
        </is>
      </c>
      <c r="C706" s="10">
        <f>IF($BI706="","",IF($B706="Onsite",INDEX(tbl_Onsite[Job Number],$BI706),IF($B706="Production",INDEX(tbl_Production[Job Number],$BI706),INDEX(tbl_Consulting[Job Number],$BI706)))&amp;"")</f>
        <v/>
      </c>
      <c r="D706" s="10">
        <f>IF($BI706="","",IF($B706="Onsite",INDEX(tbl_Onsite[Client],$BI706),IF($B706="Production",INDEX(tbl_Production[Client],$BI706),INDEX(tbl_Consulting[Client],$BI706)))&amp;"")</f>
        <v/>
      </c>
      <c r="E706" s="10">
        <f>IF($C706="","",IF(COUNTIF(lst_Jobs,$C706)&gt;0,"OK","CHECK"))</f>
        <v/>
      </c>
      <c r="F706" s="10">
        <f>IF($C706="","",IFERROR(INDEX(lst_JobName,MATCH($C706,lst_Jobs,0)),""))</f>
        <v/>
      </c>
      <c r="G706" s="10">
        <f>IF($BI706="","",IF($B706="Onsite",INDEX(tbl_Onsite[Job Description],$BI706),IF($B706="Production",INDEX(tbl_Production[Job Description],$BI706),INDEX(tbl_Consulting[Job Description],$BI706)))&amp;"")</f>
        <v/>
      </c>
      <c r="H706" s="10">
        <f>IF($BI706="","",IF($B706="Onsite",INDEX(tbl_Onsite[Cost Centre],$BI706),IF($B706="Production",INDEX(tbl_Production[Cost Centre],$BI706),INDEX(tbl_Consulting[Cost Centre],$BI706)))&amp;"")</f>
        <v/>
      </c>
      <c r="I706" s="10">
        <f>IF($BI706="","",IF($B706="Onsite",INDEX(tbl_Onsite[Invoice Type],$BI706),IF($B706="Production",INDEX(tbl_Production[Invoice Type],$BI706),INDEX(tbl_Consulting[Invoice Type],$BI706)))&amp;"")</f>
        <v/>
      </c>
      <c r="J706" s="10">
        <f>IF($BI706="","",IF($B706="Onsite",INDEX(tbl_Onsite[Tax Code],$BI706),IF($B706="Production",INDEX(tbl_Production[Tax Code],$BI706),INDEX(tbl_Consulting[Tax Code],$BI706)))&amp;"")</f>
        <v/>
      </c>
      <c r="K706" s="10">
        <f>IF(H706="","",IFERROR(INDEX(lst_CCtoGL,MATCH(H706,lst_CCforGL,0)),""))</f>
        <v/>
      </c>
      <c r="L706" s="10">
        <f>IF($BI706="","",IF($B706="Onsite",INDEX(tbl_Onsite[PO / Reference],$BI706),IF($B706="Production",INDEX(tbl_Production[Current RMS No],$BI706),INDEX(tbl_Consulting[Qwilr Quote],$BI706)))&amp;"")</f>
        <v/>
      </c>
      <c r="M706" s="10">
        <f>IF($BI706="","",IF($B706="Onsite",INDEX(tbl_Onsite[Notes],$BI706),IF($B706="Production",INDEX(tbl_Production[Notes],$BI706),INDEX(tbl_Consulting[Notes],$BI706)))&amp;"")</f>
        <v/>
      </c>
      <c r="N706" s="11">
        <f>IF($BI706="","",IF(IF($B706="Onsite",INDEX(tbl_Onsite[Expected Revenue Ex GST],$BI706),IF($B706="Production",INDEX(tbl_Production[Expected Revenue Ex GST],$BI706),INDEX(tbl_Consulting[Expected Revenue Ex GST],$BI706)))="","",IF($B706="Onsite",INDEX(tbl_Onsite[Expected Revenue Ex GST],$BI706),IF($B706="Production",INDEX(tbl_Production[Expected Revenue Ex GST],$BI706),INDEX(tbl_Consulting[Expected Revenue Ex GST],$BI706)))))</f>
        <v/>
      </c>
      <c r="O706" s="11">
        <f>IF(AND($C706="",NOT(COUNTA($S706:$BB706)&gt;0)),"",SUM(U706,X706,AA706,AD706,AG706,AJ706,AM706,AP706,AS706,AV706,AY706,BB706))</f>
        <v/>
      </c>
      <c r="P706" s="11">
        <f>IF(O706="","",N(N706)-O706)</f>
        <v/>
      </c>
      <c r="Q706" s="10">
        <f>IF(O706="","",IF($C706="","Invoice on empty job row",IF(N706="",IF(ROUND(O706,2)=0,"No dept value","Invoiced - no dept value"),IF(ROUND(O706,2)=0,"Not invoiced - to invoice",IF(ROUND(P706,2)=0,"Agrees",IF(P706&gt;0,"Dept higher - to invoice","Xero higher - check dept"))))))</f>
        <v/>
      </c>
      <c r="R706" s="10">
        <f>IF(AND($C706="",NOT(COUNTA($S706:$BB706)&gt;0),$BI706&lt;&gt;""),"",MID(IF($BI706="","; Row ID not found on the department sheet - a row was deleted","")&amp;IF(AND($C706="",COUNTA($S706:$BB706)&gt;0),"; Invoice entered but the department row has no job number","")&amp;IF(E706="CHECK","; Job number not in the Xero job list","")&amp;IF(AND($C706&lt;&gt;"",COUNTIF($C$7:$C$1506,$C706)&gt;1),"; Job number on more than one row","")&amp;IF(AND($C706&lt;&gt;"",H706=""),"; Dept has not set a cost centre","")&amp;IF(AND($C706&lt;&gt;"",J706=""),"; Dept has not set a tax code","")&amp;IF(AND($C706&lt;&gt;"",N706=""),"; Dept has not entered an expected value","")&amp;IF((IF(OR(COUNTA(S706:U706)=0,AND(COUNTA(S706:U706)=3,ISNUMBER(U706))),0,1)+IF(OR(COUNTA(V706:X706)=0,AND(COUNTA(V706:X706)=3,ISNUMBER(X706))),0,1)+IF(OR(COUNTA(Y706:AA706)=0,AND(COUNTA(Y706:AA706)=3,ISNUMBER(AA706))),0,1)+IF(OR(COUNTA(AB706:AD706)=0,AND(COUNTA(AB706:AD706)=3,ISNUMBER(AD706))),0,1)+IF(OR(COUNTA(AE706:AG706)=0,AND(COUNTA(AE706:AG706)=3,ISNUMBER(AG706))),0,1)+IF(OR(COUNTA(AH706:AJ706)=0,AND(COUNTA(AH706:AJ706)=3,ISNUMBER(AJ706))),0,1)+IF(OR(COUNTA(AK706:AM706)=0,AND(COUNTA(AK706:AM706)=3,ISNUMBER(AM706))),0,1)+IF(OR(COUNTA(AN706:AP706)=0,AND(COUNTA(AN706:AP706)=3,ISNUMBER(AP706))),0,1)+IF(OR(COUNTA(AQ706:AS706)=0,AND(COUNTA(AQ706:AS706)=3,ISNUMBER(AS706))),0,1)+IF(OR(COUNTA(AT706:AV706)=0,AND(COUNTA(AT706:AV706)=3,ISNUMBER(AV706))),0,1)+IF(OR(COUNTA(AW706:AY706)=0,AND(COUNTA(AW706:AY706)=3,ISNUMBER(AY706))),0,1)+IF(OR(COUNTA(AZ706:BB706)=0,AND(COUNTA(AZ706:BB706)=3,ISNUMBER(BB706))),0,1))&gt;0,"; An invoice is incomplete (needs No, Date and a number in Ex GST)","")&amp;IF((IF(T706="",0,IFERROR(--(EOMONTH(T706,0)&lt;&gt;S$5),1))+IF(W706="",0,IFERROR(--(EOMONTH(W706,0)&lt;&gt;V$5),1))+IF(Z706="",0,IFERROR(--(EOMONTH(Z706,0)&lt;&gt;Y$5),1))+IF(AC706="",0,IFERROR(--(EOMONTH(AC706,0)&lt;&gt;AB$5),1))+IF(AF706="",0,IFERROR(--(EOMONTH(AF706,0)&lt;&gt;AE$5),1))+IF(AI706="",0,IFERROR(--(EOMONTH(AI706,0)&lt;&gt;AH$5),1))+IF(AL706="",0,IFERROR(--(EOMONTH(AL706,0)&lt;&gt;AK$5),1))+IF(AO706="",0,IFERROR(--(EOMONTH(AO706,0)&lt;&gt;AN$5),1))+IF(AR706="",0,IFERROR(--(EOMONTH(AR706,0)&lt;&gt;AQ$5),1))+IF(AU706="",0,IFERROR(--(EOMONTH(AU706,0)&lt;&gt;AT$5),1))+IF(AX706="",0,IFERROR(--(EOMONTH(AX706,0)&lt;&gt;AW$5),1))+IF(BA706="",0,IFERROR(--(EOMONTH(BA706,0)&lt;&gt;AZ$5),1)))&gt;0,"; An invoice date is not in the month it is typed under",""),3,500))</f>
        <v/>
      </c>
      <c r="S706" s="12" t="n"/>
      <c r="T706" s="13" t="n"/>
      <c r="U706" s="14" t="n"/>
      <c r="V706" s="12" t="n"/>
      <c r="W706" s="13" t="n"/>
      <c r="X706" s="14" t="n"/>
      <c r="Y706" s="12" t="n"/>
      <c r="Z706" s="13" t="n"/>
      <c r="AA706" s="14" t="n"/>
      <c r="AB706" s="12" t="n"/>
      <c r="AC706" s="13" t="n"/>
      <c r="AD706" s="14" t="n"/>
      <c r="AE706" s="12" t="n"/>
      <c r="AF706" s="13" t="n"/>
      <c r="AG706" s="14" t="n"/>
      <c r="AH706" s="12" t="n"/>
      <c r="AI706" s="13" t="n"/>
      <c r="AJ706" s="14" t="n"/>
      <c r="AK706" s="12" t="n"/>
      <c r="AL706" s="13" t="n"/>
      <c r="AM706" s="14" t="n"/>
      <c r="AN706" s="12" t="n"/>
      <c r="AO706" s="13" t="n"/>
      <c r="AP706" s="14" t="n"/>
      <c r="AQ706" s="12" t="n"/>
      <c r="AR706" s="13" t="n"/>
      <c r="AS706" s="14" t="n"/>
      <c r="AT706" s="12" t="n"/>
      <c r="AU706" s="13" t="n"/>
      <c r="AV706" s="14" t="n"/>
      <c r="AW706" s="12" t="n"/>
      <c r="AX706" s="13" t="n"/>
      <c r="AY706" s="14" t="n"/>
      <c r="AZ706" s="12" t="n"/>
      <c r="BA706" s="13" t="n"/>
      <c r="BB706" s="14" t="n"/>
      <c r="BC706" s="11">
        <f>IF(O706="","",IF(J706="GST 10%",ROUND(O706*set_GSTRate,2),0))</f>
        <v/>
      </c>
      <c r="BD706" s="11">
        <f>IF(O706="","",O706+BC706)</f>
        <v/>
      </c>
      <c r="BE706" s="15">
        <f>IF(O706="","",COUNTA(S706,V706,Y706,AB706,AE706,AH706,AK706,AN706,AQ706,AT706,AW706,AZ706))</f>
        <v/>
      </c>
      <c r="BF706" s="16">
        <f>IF(COUNT(T706,W706,Z706,AC706,AF706,AI706,AL706,AO706,AR706,AU706,AX706,BA706)=0,"",MAX(T706,W706,Z706,AC706,AF706,AI706,AL706,AO706,AR706,AU706,AX706,BA706))</f>
        <v/>
      </c>
      <c r="BG706" s="10">
        <f>MID(IF(S706="","",", "&amp;S706)&amp;IF(V706="","",", "&amp;V706)&amp;IF(Y706="","",", "&amp;Y706)&amp;IF(AB706="","",", "&amp;AB706)&amp;IF(AE706="","",", "&amp;AE706)&amp;IF(AH706="","",", "&amp;AH706)&amp;IF(AK706="","",", "&amp;AK706)&amp;IF(AN706="","",", "&amp;AN706)&amp;IF(AQ706="","",", "&amp;AQ706)&amp;IF(AT706="","",", "&amp;AT706)&amp;IF(AW706="","",", "&amp;AW706)&amp;IF(AZ706="","",", "&amp;AZ706),3,500)</f>
        <v/>
      </c>
      <c r="BH706" s="12" t="n"/>
      <c r="BI706" s="15">
        <f>IFERROR(MATCH($A706,IF($B706="Onsite",tbl_Onsite[Row ID],IF($B706="Production",tbl_Production[Row ID],tbl_Consulting[Row ID])),0),"")</f>
        <v/>
      </c>
    </row>
    <row r="707">
      <c r="A707" s="10" t="inlineStr">
        <is>
          <t>PRD-0201</t>
        </is>
      </c>
      <c r="B707" s="10" t="inlineStr">
        <is>
          <t>Production</t>
        </is>
      </c>
      <c r="C707" s="10">
        <f>IF($BI707="","",IF($B707="Onsite",INDEX(tbl_Onsite[Job Number],$BI707),IF($B707="Production",INDEX(tbl_Production[Job Number],$BI707),INDEX(tbl_Consulting[Job Number],$BI707)))&amp;"")</f>
        <v/>
      </c>
      <c r="D707" s="10">
        <f>IF($BI707="","",IF($B707="Onsite",INDEX(tbl_Onsite[Client],$BI707),IF($B707="Production",INDEX(tbl_Production[Client],$BI707),INDEX(tbl_Consulting[Client],$BI707)))&amp;"")</f>
        <v/>
      </c>
      <c r="E707" s="10">
        <f>IF($C707="","",IF(COUNTIF(lst_Jobs,$C707)&gt;0,"OK","CHECK"))</f>
        <v/>
      </c>
      <c r="F707" s="10">
        <f>IF($C707="","",IFERROR(INDEX(lst_JobName,MATCH($C707,lst_Jobs,0)),""))</f>
        <v/>
      </c>
      <c r="G707" s="10">
        <f>IF($BI707="","",IF($B707="Onsite",INDEX(tbl_Onsite[Job Description],$BI707),IF($B707="Production",INDEX(tbl_Production[Job Description],$BI707),INDEX(tbl_Consulting[Job Description],$BI707)))&amp;"")</f>
        <v/>
      </c>
      <c r="H707" s="10">
        <f>IF($BI707="","",IF($B707="Onsite",INDEX(tbl_Onsite[Cost Centre],$BI707),IF($B707="Production",INDEX(tbl_Production[Cost Centre],$BI707),INDEX(tbl_Consulting[Cost Centre],$BI707)))&amp;"")</f>
        <v/>
      </c>
      <c r="I707" s="10">
        <f>IF($BI707="","",IF($B707="Onsite",INDEX(tbl_Onsite[Invoice Type],$BI707),IF($B707="Production",INDEX(tbl_Production[Invoice Type],$BI707),INDEX(tbl_Consulting[Invoice Type],$BI707)))&amp;"")</f>
        <v/>
      </c>
      <c r="J707" s="10">
        <f>IF($BI707="","",IF($B707="Onsite",INDEX(tbl_Onsite[Tax Code],$BI707),IF($B707="Production",INDEX(tbl_Production[Tax Code],$BI707),INDEX(tbl_Consulting[Tax Code],$BI707)))&amp;"")</f>
        <v/>
      </c>
      <c r="K707" s="10">
        <f>IF(H707="","",IFERROR(INDEX(lst_CCtoGL,MATCH(H707,lst_CCforGL,0)),""))</f>
        <v/>
      </c>
      <c r="L707" s="10">
        <f>IF($BI707="","",IF($B707="Onsite",INDEX(tbl_Onsite[PO / Reference],$BI707),IF($B707="Production",INDEX(tbl_Production[Current RMS No],$BI707),INDEX(tbl_Consulting[Qwilr Quote],$BI707)))&amp;"")</f>
        <v/>
      </c>
      <c r="M707" s="10">
        <f>IF($BI707="","",IF($B707="Onsite",INDEX(tbl_Onsite[Notes],$BI707),IF($B707="Production",INDEX(tbl_Production[Notes],$BI707),INDEX(tbl_Consulting[Notes],$BI707)))&amp;"")</f>
        <v/>
      </c>
      <c r="N707" s="11">
        <f>IF($BI707="","",IF(IF($B707="Onsite",INDEX(tbl_Onsite[Expected Revenue Ex GST],$BI707),IF($B707="Production",INDEX(tbl_Production[Expected Revenue Ex GST],$BI707),INDEX(tbl_Consulting[Expected Revenue Ex GST],$BI707)))="","",IF($B707="Onsite",INDEX(tbl_Onsite[Expected Revenue Ex GST],$BI707),IF($B707="Production",INDEX(tbl_Production[Expected Revenue Ex GST],$BI707),INDEX(tbl_Consulting[Expected Revenue Ex GST],$BI707)))))</f>
        <v/>
      </c>
      <c r="O707" s="11">
        <f>IF(AND($C707="",NOT(COUNTA($S707:$BB707)&gt;0)),"",SUM(U707,X707,AA707,AD707,AG707,AJ707,AM707,AP707,AS707,AV707,AY707,BB707))</f>
        <v/>
      </c>
      <c r="P707" s="11">
        <f>IF(O707="","",N(N707)-O707)</f>
        <v/>
      </c>
      <c r="Q707" s="10">
        <f>IF(O707="","",IF($C707="","Invoice on empty job row",IF(N707="",IF(ROUND(O707,2)=0,"No dept value","Invoiced - no dept value"),IF(ROUND(O707,2)=0,"Not invoiced - to invoice",IF(ROUND(P707,2)=0,"Agrees",IF(P707&gt;0,"Dept higher - to invoice","Xero higher - check dept"))))))</f>
        <v/>
      </c>
      <c r="R707" s="10">
        <f>IF(AND($C707="",NOT(COUNTA($S707:$BB707)&gt;0),$BI707&lt;&gt;""),"",MID(IF($BI707="","; Row ID not found on the department sheet - a row was deleted","")&amp;IF(AND($C707="",COUNTA($S707:$BB707)&gt;0),"; Invoice entered but the department row has no job number","")&amp;IF(E707="CHECK","; Job number not in the Xero job list","")&amp;IF(AND($C707&lt;&gt;"",COUNTIF($C$7:$C$1506,$C707)&gt;1),"; Job number on more than one row","")&amp;IF(AND($C707&lt;&gt;"",H707=""),"; Dept has not set a cost centre","")&amp;IF(AND($C707&lt;&gt;"",J707=""),"; Dept has not set a tax code","")&amp;IF(AND($C707&lt;&gt;"",N707=""),"; Dept has not entered an expected value","")&amp;IF((IF(OR(COUNTA(S707:U707)=0,AND(COUNTA(S707:U707)=3,ISNUMBER(U707))),0,1)+IF(OR(COUNTA(V707:X707)=0,AND(COUNTA(V707:X707)=3,ISNUMBER(X707))),0,1)+IF(OR(COUNTA(Y707:AA707)=0,AND(COUNTA(Y707:AA707)=3,ISNUMBER(AA707))),0,1)+IF(OR(COUNTA(AB707:AD707)=0,AND(COUNTA(AB707:AD707)=3,ISNUMBER(AD707))),0,1)+IF(OR(COUNTA(AE707:AG707)=0,AND(COUNTA(AE707:AG707)=3,ISNUMBER(AG707))),0,1)+IF(OR(COUNTA(AH707:AJ707)=0,AND(COUNTA(AH707:AJ707)=3,ISNUMBER(AJ707))),0,1)+IF(OR(COUNTA(AK707:AM707)=0,AND(COUNTA(AK707:AM707)=3,ISNUMBER(AM707))),0,1)+IF(OR(COUNTA(AN707:AP707)=0,AND(COUNTA(AN707:AP707)=3,ISNUMBER(AP707))),0,1)+IF(OR(COUNTA(AQ707:AS707)=0,AND(COUNTA(AQ707:AS707)=3,ISNUMBER(AS707))),0,1)+IF(OR(COUNTA(AT707:AV707)=0,AND(COUNTA(AT707:AV707)=3,ISNUMBER(AV707))),0,1)+IF(OR(COUNTA(AW707:AY707)=0,AND(COUNTA(AW707:AY707)=3,ISNUMBER(AY707))),0,1)+IF(OR(COUNTA(AZ707:BB707)=0,AND(COUNTA(AZ707:BB707)=3,ISNUMBER(BB707))),0,1))&gt;0,"; An invoice is incomplete (needs No, Date and a number in Ex GST)","")&amp;IF((IF(T707="",0,IFERROR(--(EOMONTH(T707,0)&lt;&gt;S$5),1))+IF(W707="",0,IFERROR(--(EOMONTH(W707,0)&lt;&gt;V$5),1))+IF(Z707="",0,IFERROR(--(EOMONTH(Z707,0)&lt;&gt;Y$5),1))+IF(AC707="",0,IFERROR(--(EOMONTH(AC707,0)&lt;&gt;AB$5),1))+IF(AF707="",0,IFERROR(--(EOMONTH(AF707,0)&lt;&gt;AE$5),1))+IF(AI707="",0,IFERROR(--(EOMONTH(AI707,0)&lt;&gt;AH$5),1))+IF(AL707="",0,IFERROR(--(EOMONTH(AL707,0)&lt;&gt;AK$5),1))+IF(AO707="",0,IFERROR(--(EOMONTH(AO707,0)&lt;&gt;AN$5),1))+IF(AR707="",0,IFERROR(--(EOMONTH(AR707,0)&lt;&gt;AQ$5),1))+IF(AU707="",0,IFERROR(--(EOMONTH(AU707,0)&lt;&gt;AT$5),1))+IF(AX707="",0,IFERROR(--(EOMONTH(AX707,0)&lt;&gt;AW$5),1))+IF(BA707="",0,IFERROR(--(EOMONTH(BA707,0)&lt;&gt;AZ$5),1)))&gt;0,"; An invoice date is not in the month it is typed under",""),3,500))</f>
        <v/>
      </c>
      <c r="S707" s="12" t="n"/>
      <c r="T707" s="13" t="n"/>
      <c r="U707" s="14" t="n"/>
      <c r="V707" s="12" t="n"/>
      <c r="W707" s="13" t="n"/>
      <c r="X707" s="14" t="n"/>
      <c r="Y707" s="12" t="n"/>
      <c r="Z707" s="13" t="n"/>
      <c r="AA707" s="14" t="n"/>
      <c r="AB707" s="12" t="n"/>
      <c r="AC707" s="13" t="n"/>
      <c r="AD707" s="14" t="n"/>
      <c r="AE707" s="12" t="n"/>
      <c r="AF707" s="13" t="n"/>
      <c r="AG707" s="14" t="n"/>
      <c r="AH707" s="12" t="n"/>
      <c r="AI707" s="13" t="n"/>
      <c r="AJ707" s="14" t="n"/>
      <c r="AK707" s="12" t="n"/>
      <c r="AL707" s="13" t="n"/>
      <c r="AM707" s="14" t="n"/>
      <c r="AN707" s="12" t="n"/>
      <c r="AO707" s="13" t="n"/>
      <c r="AP707" s="14" t="n"/>
      <c r="AQ707" s="12" t="n"/>
      <c r="AR707" s="13" t="n"/>
      <c r="AS707" s="14" t="n"/>
      <c r="AT707" s="12" t="n"/>
      <c r="AU707" s="13" t="n"/>
      <c r="AV707" s="14" t="n"/>
      <c r="AW707" s="12" t="n"/>
      <c r="AX707" s="13" t="n"/>
      <c r="AY707" s="14" t="n"/>
      <c r="AZ707" s="12" t="n"/>
      <c r="BA707" s="13" t="n"/>
      <c r="BB707" s="14" t="n"/>
      <c r="BC707" s="11">
        <f>IF(O707="","",IF(J707="GST 10%",ROUND(O707*set_GSTRate,2),0))</f>
        <v/>
      </c>
      <c r="BD707" s="11">
        <f>IF(O707="","",O707+BC707)</f>
        <v/>
      </c>
      <c r="BE707" s="15">
        <f>IF(O707="","",COUNTA(S707,V707,Y707,AB707,AE707,AH707,AK707,AN707,AQ707,AT707,AW707,AZ707))</f>
        <v/>
      </c>
      <c r="BF707" s="16">
        <f>IF(COUNT(T707,W707,Z707,AC707,AF707,AI707,AL707,AO707,AR707,AU707,AX707,BA707)=0,"",MAX(T707,W707,Z707,AC707,AF707,AI707,AL707,AO707,AR707,AU707,AX707,BA707))</f>
        <v/>
      </c>
      <c r="BG707" s="10">
        <f>MID(IF(S707="","",", "&amp;S707)&amp;IF(V707="","",", "&amp;V707)&amp;IF(Y707="","",", "&amp;Y707)&amp;IF(AB707="","",", "&amp;AB707)&amp;IF(AE707="","",", "&amp;AE707)&amp;IF(AH707="","",", "&amp;AH707)&amp;IF(AK707="","",", "&amp;AK707)&amp;IF(AN707="","",", "&amp;AN707)&amp;IF(AQ707="","",", "&amp;AQ707)&amp;IF(AT707="","",", "&amp;AT707)&amp;IF(AW707="","",", "&amp;AW707)&amp;IF(AZ707="","",", "&amp;AZ707),3,500)</f>
        <v/>
      </c>
      <c r="BH707" s="12" t="n"/>
      <c r="BI707" s="15">
        <f>IFERROR(MATCH($A707,IF($B707="Onsite",tbl_Onsite[Row ID],IF($B707="Production",tbl_Production[Row ID],tbl_Consulting[Row ID])),0),"")</f>
        <v/>
      </c>
    </row>
    <row r="708">
      <c r="A708" s="10" t="inlineStr">
        <is>
          <t>PRD-0202</t>
        </is>
      </c>
      <c r="B708" s="10" t="inlineStr">
        <is>
          <t>Production</t>
        </is>
      </c>
      <c r="C708" s="10">
        <f>IF($BI708="","",IF($B708="Onsite",INDEX(tbl_Onsite[Job Number],$BI708),IF($B708="Production",INDEX(tbl_Production[Job Number],$BI708),INDEX(tbl_Consulting[Job Number],$BI708)))&amp;"")</f>
        <v/>
      </c>
      <c r="D708" s="10">
        <f>IF($BI708="","",IF($B708="Onsite",INDEX(tbl_Onsite[Client],$BI708),IF($B708="Production",INDEX(tbl_Production[Client],$BI708),INDEX(tbl_Consulting[Client],$BI708)))&amp;"")</f>
        <v/>
      </c>
      <c r="E708" s="10">
        <f>IF($C708="","",IF(COUNTIF(lst_Jobs,$C708)&gt;0,"OK","CHECK"))</f>
        <v/>
      </c>
      <c r="F708" s="10">
        <f>IF($C708="","",IFERROR(INDEX(lst_JobName,MATCH($C708,lst_Jobs,0)),""))</f>
        <v/>
      </c>
      <c r="G708" s="10">
        <f>IF($BI708="","",IF($B708="Onsite",INDEX(tbl_Onsite[Job Description],$BI708),IF($B708="Production",INDEX(tbl_Production[Job Description],$BI708),INDEX(tbl_Consulting[Job Description],$BI708)))&amp;"")</f>
        <v/>
      </c>
      <c r="H708" s="10">
        <f>IF($BI708="","",IF($B708="Onsite",INDEX(tbl_Onsite[Cost Centre],$BI708),IF($B708="Production",INDEX(tbl_Production[Cost Centre],$BI708),INDEX(tbl_Consulting[Cost Centre],$BI708)))&amp;"")</f>
        <v/>
      </c>
      <c r="I708" s="10">
        <f>IF($BI708="","",IF($B708="Onsite",INDEX(tbl_Onsite[Invoice Type],$BI708),IF($B708="Production",INDEX(tbl_Production[Invoice Type],$BI708),INDEX(tbl_Consulting[Invoice Type],$BI708)))&amp;"")</f>
        <v/>
      </c>
      <c r="J708" s="10">
        <f>IF($BI708="","",IF($B708="Onsite",INDEX(tbl_Onsite[Tax Code],$BI708),IF($B708="Production",INDEX(tbl_Production[Tax Code],$BI708),INDEX(tbl_Consulting[Tax Code],$BI708)))&amp;"")</f>
        <v/>
      </c>
      <c r="K708" s="10">
        <f>IF(H708="","",IFERROR(INDEX(lst_CCtoGL,MATCH(H708,lst_CCforGL,0)),""))</f>
        <v/>
      </c>
      <c r="L708" s="10">
        <f>IF($BI708="","",IF($B708="Onsite",INDEX(tbl_Onsite[PO / Reference],$BI708),IF($B708="Production",INDEX(tbl_Production[Current RMS No],$BI708),INDEX(tbl_Consulting[Qwilr Quote],$BI708)))&amp;"")</f>
        <v/>
      </c>
      <c r="M708" s="10">
        <f>IF($BI708="","",IF($B708="Onsite",INDEX(tbl_Onsite[Notes],$BI708),IF($B708="Production",INDEX(tbl_Production[Notes],$BI708),INDEX(tbl_Consulting[Notes],$BI708)))&amp;"")</f>
        <v/>
      </c>
      <c r="N708" s="11">
        <f>IF($BI708="","",IF(IF($B708="Onsite",INDEX(tbl_Onsite[Expected Revenue Ex GST],$BI708),IF($B708="Production",INDEX(tbl_Production[Expected Revenue Ex GST],$BI708),INDEX(tbl_Consulting[Expected Revenue Ex GST],$BI708)))="","",IF($B708="Onsite",INDEX(tbl_Onsite[Expected Revenue Ex GST],$BI708),IF($B708="Production",INDEX(tbl_Production[Expected Revenue Ex GST],$BI708),INDEX(tbl_Consulting[Expected Revenue Ex GST],$BI708)))))</f>
        <v/>
      </c>
      <c r="O708" s="11">
        <f>IF(AND($C708="",NOT(COUNTA($S708:$BB708)&gt;0)),"",SUM(U708,X708,AA708,AD708,AG708,AJ708,AM708,AP708,AS708,AV708,AY708,BB708))</f>
        <v/>
      </c>
      <c r="P708" s="11">
        <f>IF(O708="","",N(N708)-O708)</f>
        <v/>
      </c>
      <c r="Q708" s="10">
        <f>IF(O708="","",IF($C708="","Invoice on empty job row",IF(N708="",IF(ROUND(O708,2)=0,"No dept value","Invoiced - no dept value"),IF(ROUND(O708,2)=0,"Not invoiced - to invoice",IF(ROUND(P708,2)=0,"Agrees",IF(P708&gt;0,"Dept higher - to invoice","Xero higher - check dept"))))))</f>
        <v/>
      </c>
      <c r="R708" s="10">
        <f>IF(AND($C708="",NOT(COUNTA($S708:$BB708)&gt;0),$BI708&lt;&gt;""),"",MID(IF($BI708="","; Row ID not found on the department sheet - a row was deleted","")&amp;IF(AND($C708="",COUNTA($S708:$BB708)&gt;0),"; Invoice entered but the department row has no job number","")&amp;IF(E708="CHECK","; Job number not in the Xero job list","")&amp;IF(AND($C708&lt;&gt;"",COUNTIF($C$7:$C$1506,$C708)&gt;1),"; Job number on more than one row","")&amp;IF(AND($C708&lt;&gt;"",H708=""),"; Dept has not set a cost centre","")&amp;IF(AND($C708&lt;&gt;"",J708=""),"; Dept has not set a tax code","")&amp;IF(AND($C708&lt;&gt;"",N708=""),"; Dept has not entered an expected value","")&amp;IF((IF(OR(COUNTA(S708:U708)=0,AND(COUNTA(S708:U708)=3,ISNUMBER(U708))),0,1)+IF(OR(COUNTA(V708:X708)=0,AND(COUNTA(V708:X708)=3,ISNUMBER(X708))),0,1)+IF(OR(COUNTA(Y708:AA708)=0,AND(COUNTA(Y708:AA708)=3,ISNUMBER(AA708))),0,1)+IF(OR(COUNTA(AB708:AD708)=0,AND(COUNTA(AB708:AD708)=3,ISNUMBER(AD708))),0,1)+IF(OR(COUNTA(AE708:AG708)=0,AND(COUNTA(AE708:AG708)=3,ISNUMBER(AG708))),0,1)+IF(OR(COUNTA(AH708:AJ708)=0,AND(COUNTA(AH708:AJ708)=3,ISNUMBER(AJ708))),0,1)+IF(OR(COUNTA(AK708:AM708)=0,AND(COUNTA(AK708:AM708)=3,ISNUMBER(AM708))),0,1)+IF(OR(COUNTA(AN708:AP708)=0,AND(COUNTA(AN708:AP708)=3,ISNUMBER(AP708))),0,1)+IF(OR(COUNTA(AQ708:AS708)=0,AND(COUNTA(AQ708:AS708)=3,ISNUMBER(AS708))),0,1)+IF(OR(COUNTA(AT708:AV708)=0,AND(COUNTA(AT708:AV708)=3,ISNUMBER(AV708))),0,1)+IF(OR(COUNTA(AW708:AY708)=0,AND(COUNTA(AW708:AY708)=3,ISNUMBER(AY708))),0,1)+IF(OR(COUNTA(AZ708:BB708)=0,AND(COUNTA(AZ708:BB708)=3,ISNUMBER(BB708))),0,1))&gt;0,"; An invoice is incomplete (needs No, Date and a number in Ex GST)","")&amp;IF((IF(T708="",0,IFERROR(--(EOMONTH(T708,0)&lt;&gt;S$5),1))+IF(W708="",0,IFERROR(--(EOMONTH(W708,0)&lt;&gt;V$5),1))+IF(Z708="",0,IFERROR(--(EOMONTH(Z708,0)&lt;&gt;Y$5),1))+IF(AC708="",0,IFERROR(--(EOMONTH(AC708,0)&lt;&gt;AB$5),1))+IF(AF708="",0,IFERROR(--(EOMONTH(AF708,0)&lt;&gt;AE$5),1))+IF(AI708="",0,IFERROR(--(EOMONTH(AI708,0)&lt;&gt;AH$5),1))+IF(AL708="",0,IFERROR(--(EOMONTH(AL708,0)&lt;&gt;AK$5),1))+IF(AO708="",0,IFERROR(--(EOMONTH(AO708,0)&lt;&gt;AN$5),1))+IF(AR708="",0,IFERROR(--(EOMONTH(AR708,0)&lt;&gt;AQ$5),1))+IF(AU708="",0,IFERROR(--(EOMONTH(AU708,0)&lt;&gt;AT$5),1))+IF(AX708="",0,IFERROR(--(EOMONTH(AX708,0)&lt;&gt;AW$5),1))+IF(BA708="",0,IFERROR(--(EOMONTH(BA708,0)&lt;&gt;AZ$5),1)))&gt;0,"; An invoice date is not in the month it is typed under",""),3,500))</f>
        <v/>
      </c>
      <c r="S708" s="12" t="n"/>
      <c r="T708" s="13" t="n"/>
      <c r="U708" s="14" t="n"/>
      <c r="V708" s="12" t="n"/>
      <c r="W708" s="13" t="n"/>
      <c r="X708" s="14" t="n"/>
      <c r="Y708" s="12" t="n"/>
      <c r="Z708" s="13" t="n"/>
      <c r="AA708" s="14" t="n"/>
      <c r="AB708" s="12" t="n"/>
      <c r="AC708" s="13" t="n"/>
      <c r="AD708" s="14" t="n"/>
      <c r="AE708" s="12" t="n"/>
      <c r="AF708" s="13" t="n"/>
      <c r="AG708" s="14" t="n"/>
      <c r="AH708" s="12" t="n"/>
      <c r="AI708" s="13" t="n"/>
      <c r="AJ708" s="14" t="n"/>
      <c r="AK708" s="12" t="n"/>
      <c r="AL708" s="13" t="n"/>
      <c r="AM708" s="14" t="n"/>
      <c r="AN708" s="12" t="n"/>
      <c r="AO708" s="13" t="n"/>
      <c r="AP708" s="14" t="n"/>
      <c r="AQ708" s="12" t="n"/>
      <c r="AR708" s="13" t="n"/>
      <c r="AS708" s="14" t="n"/>
      <c r="AT708" s="12" t="n"/>
      <c r="AU708" s="13" t="n"/>
      <c r="AV708" s="14" t="n"/>
      <c r="AW708" s="12" t="n"/>
      <c r="AX708" s="13" t="n"/>
      <c r="AY708" s="14" t="n"/>
      <c r="AZ708" s="12" t="n"/>
      <c r="BA708" s="13" t="n"/>
      <c r="BB708" s="14" t="n"/>
      <c r="BC708" s="11">
        <f>IF(O708="","",IF(J708="GST 10%",ROUND(O708*set_GSTRate,2),0))</f>
        <v/>
      </c>
      <c r="BD708" s="11">
        <f>IF(O708="","",O708+BC708)</f>
        <v/>
      </c>
      <c r="BE708" s="15">
        <f>IF(O708="","",COUNTA(S708,V708,Y708,AB708,AE708,AH708,AK708,AN708,AQ708,AT708,AW708,AZ708))</f>
        <v/>
      </c>
      <c r="BF708" s="16">
        <f>IF(COUNT(T708,W708,Z708,AC708,AF708,AI708,AL708,AO708,AR708,AU708,AX708,BA708)=0,"",MAX(T708,W708,Z708,AC708,AF708,AI708,AL708,AO708,AR708,AU708,AX708,BA708))</f>
        <v/>
      </c>
      <c r="BG708" s="10">
        <f>MID(IF(S708="","",", "&amp;S708)&amp;IF(V708="","",", "&amp;V708)&amp;IF(Y708="","",", "&amp;Y708)&amp;IF(AB708="","",", "&amp;AB708)&amp;IF(AE708="","",", "&amp;AE708)&amp;IF(AH708="","",", "&amp;AH708)&amp;IF(AK708="","",", "&amp;AK708)&amp;IF(AN708="","",", "&amp;AN708)&amp;IF(AQ708="","",", "&amp;AQ708)&amp;IF(AT708="","",", "&amp;AT708)&amp;IF(AW708="","",", "&amp;AW708)&amp;IF(AZ708="","",", "&amp;AZ708),3,500)</f>
        <v/>
      </c>
      <c r="BH708" s="12" t="n"/>
      <c r="BI708" s="15">
        <f>IFERROR(MATCH($A708,IF($B708="Onsite",tbl_Onsite[Row ID],IF($B708="Production",tbl_Production[Row ID],tbl_Consulting[Row ID])),0),"")</f>
        <v/>
      </c>
    </row>
    <row r="709">
      <c r="A709" s="10" t="inlineStr">
        <is>
          <t>PRD-0203</t>
        </is>
      </c>
      <c r="B709" s="10" t="inlineStr">
        <is>
          <t>Production</t>
        </is>
      </c>
      <c r="C709" s="10">
        <f>IF($BI709="","",IF($B709="Onsite",INDEX(tbl_Onsite[Job Number],$BI709),IF($B709="Production",INDEX(tbl_Production[Job Number],$BI709),INDEX(tbl_Consulting[Job Number],$BI709)))&amp;"")</f>
        <v/>
      </c>
      <c r="D709" s="10">
        <f>IF($BI709="","",IF($B709="Onsite",INDEX(tbl_Onsite[Client],$BI709),IF($B709="Production",INDEX(tbl_Production[Client],$BI709),INDEX(tbl_Consulting[Client],$BI709)))&amp;"")</f>
        <v/>
      </c>
      <c r="E709" s="10">
        <f>IF($C709="","",IF(COUNTIF(lst_Jobs,$C709)&gt;0,"OK","CHECK"))</f>
        <v/>
      </c>
      <c r="F709" s="10">
        <f>IF($C709="","",IFERROR(INDEX(lst_JobName,MATCH($C709,lst_Jobs,0)),""))</f>
        <v/>
      </c>
      <c r="G709" s="10">
        <f>IF($BI709="","",IF($B709="Onsite",INDEX(tbl_Onsite[Job Description],$BI709),IF($B709="Production",INDEX(tbl_Production[Job Description],$BI709),INDEX(tbl_Consulting[Job Description],$BI709)))&amp;"")</f>
        <v/>
      </c>
      <c r="H709" s="10">
        <f>IF($BI709="","",IF($B709="Onsite",INDEX(tbl_Onsite[Cost Centre],$BI709),IF($B709="Production",INDEX(tbl_Production[Cost Centre],$BI709),INDEX(tbl_Consulting[Cost Centre],$BI709)))&amp;"")</f>
        <v/>
      </c>
      <c r="I709" s="10">
        <f>IF($BI709="","",IF($B709="Onsite",INDEX(tbl_Onsite[Invoice Type],$BI709),IF($B709="Production",INDEX(tbl_Production[Invoice Type],$BI709),INDEX(tbl_Consulting[Invoice Type],$BI709)))&amp;"")</f>
        <v/>
      </c>
      <c r="J709" s="10">
        <f>IF($BI709="","",IF($B709="Onsite",INDEX(tbl_Onsite[Tax Code],$BI709),IF($B709="Production",INDEX(tbl_Production[Tax Code],$BI709),INDEX(tbl_Consulting[Tax Code],$BI709)))&amp;"")</f>
        <v/>
      </c>
      <c r="K709" s="10">
        <f>IF(H709="","",IFERROR(INDEX(lst_CCtoGL,MATCH(H709,lst_CCforGL,0)),""))</f>
        <v/>
      </c>
      <c r="L709" s="10">
        <f>IF($BI709="","",IF($B709="Onsite",INDEX(tbl_Onsite[PO / Reference],$BI709),IF($B709="Production",INDEX(tbl_Production[Current RMS No],$BI709),INDEX(tbl_Consulting[Qwilr Quote],$BI709)))&amp;"")</f>
        <v/>
      </c>
      <c r="M709" s="10">
        <f>IF($BI709="","",IF($B709="Onsite",INDEX(tbl_Onsite[Notes],$BI709),IF($B709="Production",INDEX(tbl_Production[Notes],$BI709),INDEX(tbl_Consulting[Notes],$BI709)))&amp;"")</f>
        <v/>
      </c>
      <c r="N709" s="11">
        <f>IF($BI709="","",IF(IF($B709="Onsite",INDEX(tbl_Onsite[Expected Revenue Ex GST],$BI709),IF($B709="Production",INDEX(tbl_Production[Expected Revenue Ex GST],$BI709),INDEX(tbl_Consulting[Expected Revenue Ex GST],$BI709)))="","",IF($B709="Onsite",INDEX(tbl_Onsite[Expected Revenue Ex GST],$BI709),IF($B709="Production",INDEX(tbl_Production[Expected Revenue Ex GST],$BI709),INDEX(tbl_Consulting[Expected Revenue Ex GST],$BI709)))))</f>
        <v/>
      </c>
      <c r="O709" s="11">
        <f>IF(AND($C709="",NOT(COUNTA($S709:$BB709)&gt;0)),"",SUM(U709,X709,AA709,AD709,AG709,AJ709,AM709,AP709,AS709,AV709,AY709,BB709))</f>
        <v/>
      </c>
      <c r="P709" s="11">
        <f>IF(O709="","",N(N709)-O709)</f>
        <v/>
      </c>
      <c r="Q709" s="10">
        <f>IF(O709="","",IF($C709="","Invoice on empty job row",IF(N709="",IF(ROUND(O709,2)=0,"No dept value","Invoiced - no dept value"),IF(ROUND(O709,2)=0,"Not invoiced - to invoice",IF(ROUND(P709,2)=0,"Agrees",IF(P709&gt;0,"Dept higher - to invoice","Xero higher - check dept"))))))</f>
        <v/>
      </c>
      <c r="R709" s="10">
        <f>IF(AND($C709="",NOT(COUNTA($S709:$BB709)&gt;0),$BI709&lt;&gt;""),"",MID(IF($BI709="","; Row ID not found on the department sheet - a row was deleted","")&amp;IF(AND($C709="",COUNTA($S709:$BB709)&gt;0),"; Invoice entered but the department row has no job number","")&amp;IF(E709="CHECK","; Job number not in the Xero job list","")&amp;IF(AND($C709&lt;&gt;"",COUNTIF($C$7:$C$1506,$C709)&gt;1),"; Job number on more than one row","")&amp;IF(AND($C709&lt;&gt;"",H709=""),"; Dept has not set a cost centre","")&amp;IF(AND($C709&lt;&gt;"",J709=""),"; Dept has not set a tax code","")&amp;IF(AND($C709&lt;&gt;"",N709=""),"; Dept has not entered an expected value","")&amp;IF((IF(OR(COUNTA(S709:U709)=0,AND(COUNTA(S709:U709)=3,ISNUMBER(U709))),0,1)+IF(OR(COUNTA(V709:X709)=0,AND(COUNTA(V709:X709)=3,ISNUMBER(X709))),0,1)+IF(OR(COUNTA(Y709:AA709)=0,AND(COUNTA(Y709:AA709)=3,ISNUMBER(AA709))),0,1)+IF(OR(COUNTA(AB709:AD709)=0,AND(COUNTA(AB709:AD709)=3,ISNUMBER(AD709))),0,1)+IF(OR(COUNTA(AE709:AG709)=0,AND(COUNTA(AE709:AG709)=3,ISNUMBER(AG709))),0,1)+IF(OR(COUNTA(AH709:AJ709)=0,AND(COUNTA(AH709:AJ709)=3,ISNUMBER(AJ709))),0,1)+IF(OR(COUNTA(AK709:AM709)=0,AND(COUNTA(AK709:AM709)=3,ISNUMBER(AM709))),0,1)+IF(OR(COUNTA(AN709:AP709)=0,AND(COUNTA(AN709:AP709)=3,ISNUMBER(AP709))),0,1)+IF(OR(COUNTA(AQ709:AS709)=0,AND(COUNTA(AQ709:AS709)=3,ISNUMBER(AS709))),0,1)+IF(OR(COUNTA(AT709:AV709)=0,AND(COUNTA(AT709:AV709)=3,ISNUMBER(AV709))),0,1)+IF(OR(COUNTA(AW709:AY709)=0,AND(COUNTA(AW709:AY709)=3,ISNUMBER(AY709))),0,1)+IF(OR(COUNTA(AZ709:BB709)=0,AND(COUNTA(AZ709:BB709)=3,ISNUMBER(BB709))),0,1))&gt;0,"; An invoice is incomplete (needs No, Date and a number in Ex GST)","")&amp;IF((IF(T709="",0,IFERROR(--(EOMONTH(T709,0)&lt;&gt;S$5),1))+IF(W709="",0,IFERROR(--(EOMONTH(W709,0)&lt;&gt;V$5),1))+IF(Z709="",0,IFERROR(--(EOMONTH(Z709,0)&lt;&gt;Y$5),1))+IF(AC709="",0,IFERROR(--(EOMONTH(AC709,0)&lt;&gt;AB$5),1))+IF(AF709="",0,IFERROR(--(EOMONTH(AF709,0)&lt;&gt;AE$5),1))+IF(AI709="",0,IFERROR(--(EOMONTH(AI709,0)&lt;&gt;AH$5),1))+IF(AL709="",0,IFERROR(--(EOMONTH(AL709,0)&lt;&gt;AK$5),1))+IF(AO709="",0,IFERROR(--(EOMONTH(AO709,0)&lt;&gt;AN$5),1))+IF(AR709="",0,IFERROR(--(EOMONTH(AR709,0)&lt;&gt;AQ$5),1))+IF(AU709="",0,IFERROR(--(EOMONTH(AU709,0)&lt;&gt;AT$5),1))+IF(AX709="",0,IFERROR(--(EOMONTH(AX709,0)&lt;&gt;AW$5),1))+IF(BA709="",0,IFERROR(--(EOMONTH(BA709,0)&lt;&gt;AZ$5),1)))&gt;0,"; An invoice date is not in the month it is typed under",""),3,500))</f>
        <v/>
      </c>
      <c r="S709" s="12" t="n"/>
      <c r="T709" s="13" t="n"/>
      <c r="U709" s="14" t="n"/>
      <c r="V709" s="12" t="n"/>
      <c r="W709" s="13" t="n"/>
      <c r="X709" s="14" t="n"/>
      <c r="Y709" s="12" t="n"/>
      <c r="Z709" s="13" t="n"/>
      <c r="AA709" s="14" t="n"/>
      <c r="AB709" s="12" t="n"/>
      <c r="AC709" s="13" t="n"/>
      <c r="AD709" s="14" t="n"/>
      <c r="AE709" s="12" t="n"/>
      <c r="AF709" s="13" t="n"/>
      <c r="AG709" s="14" t="n"/>
      <c r="AH709" s="12" t="n"/>
      <c r="AI709" s="13" t="n"/>
      <c r="AJ709" s="14" t="n"/>
      <c r="AK709" s="12" t="n"/>
      <c r="AL709" s="13" t="n"/>
      <c r="AM709" s="14" t="n"/>
      <c r="AN709" s="12" t="n"/>
      <c r="AO709" s="13" t="n"/>
      <c r="AP709" s="14" t="n"/>
      <c r="AQ709" s="12" t="n"/>
      <c r="AR709" s="13" t="n"/>
      <c r="AS709" s="14" t="n"/>
      <c r="AT709" s="12" t="n"/>
      <c r="AU709" s="13" t="n"/>
      <c r="AV709" s="14" t="n"/>
      <c r="AW709" s="12" t="n"/>
      <c r="AX709" s="13" t="n"/>
      <c r="AY709" s="14" t="n"/>
      <c r="AZ709" s="12" t="n"/>
      <c r="BA709" s="13" t="n"/>
      <c r="BB709" s="14" t="n"/>
      <c r="BC709" s="11">
        <f>IF(O709="","",IF(J709="GST 10%",ROUND(O709*set_GSTRate,2),0))</f>
        <v/>
      </c>
      <c r="BD709" s="11">
        <f>IF(O709="","",O709+BC709)</f>
        <v/>
      </c>
      <c r="BE709" s="15">
        <f>IF(O709="","",COUNTA(S709,V709,Y709,AB709,AE709,AH709,AK709,AN709,AQ709,AT709,AW709,AZ709))</f>
        <v/>
      </c>
      <c r="BF709" s="16">
        <f>IF(COUNT(T709,W709,Z709,AC709,AF709,AI709,AL709,AO709,AR709,AU709,AX709,BA709)=0,"",MAX(T709,W709,Z709,AC709,AF709,AI709,AL709,AO709,AR709,AU709,AX709,BA709))</f>
        <v/>
      </c>
      <c r="BG709" s="10">
        <f>MID(IF(S709="","",", "&amp;S709)&amp;IF(V709="","",", "&amp;V709)&amp;IF(Y709="","",", "&amp;Y709)&amp;IF(AB709="","",", "&amp;AB709)&amp;IF(AE709="","",", "&amp;AE709)&amp;IF(AH709="","",", "&amp;AH709)&amp;IF(AK709="","",", "&amp;AK709)&amp;IF(AN709="","",", "&amp;AN709)&amp;IF(AQ709="","",", "&amp;AQ709)&amp;IF(AT709="","",", "&amp;AT709)&amp;IF(AW709="","",", "&amp;AW709)&amp;IF(AZ709="","",", "&amp;AZ709),3,500)</f>
        <v/>
      </c>
      <c r="BH709" s="12" t="n"/>
      <c r="BI709" s="15">
        <f>IFERROR(MATCH($A709,IF($B709="Onsite",tbl_Onsite[Row ID],IF($B709="Production",tbl_Production[Row ID],tbl_Consulting[Row ID])),0),"")</f>
        <v/>
      </c>
    </row>
    <row r="710">
      <c r="A710" s="10" t="inlineStr">
        <is>
          <t>PRD-0204</t>
        </is>
      </c>
      <c r="B710" s="10" t="inlineStr">
        <is>
          <t>Production</t>
        </is>
      </c>
      <c r="C710" s="10">
        <f>IF($BI710="","",IF($B710="Onsite",INDEX(tbl_Onsite[Job Number],$BI710),IF($B710="Production",INDEX(tbl_Production[Job Number],$BI710),INDEX(tbl_Consulting[Job Number],$BI710)))&amp;"")</f>
        <v/>
      </c>
      <c r="D710" s="10">
        <f>IF($BI710="","",IF($B710="Onsite",INDEX(tbl_Onsite[Client],$BI710),IF($B710="Production",INDEX(tbl_Production[Client],$BI710),INDEX(tbl_Consulting[Client],$BI710)))&amp;"")</f>
        <v/>
      </c>
      <c r="E710" s="10">
        <f>IF($C710="","",IF(COUNTIF(lst_Jobs,$C710)&gt;0,"OK","CHECK"))</f>
        <v/>
      </c>
      <c r="F710" s="10">
        <f>IF($C710="","",IFERROR(INDEX(lst_JobName,MATCH($C710,lst_Jobs,0)),""))</f>
        <v/>
      </c>
      <c r="G710" s="10">
        <f>IF($BI710="","",IF($B710="Onsite",INDEX(tbl_Onsite[Job Description],$BI710),IF($B710="Production",INDEX(tbl_Production[Job Description],$BI710),INDEX(tbl_Consulting[Job Description],$BI710)))&amp;"")</f>
        <v/>
      </c>
      <c r="H710" s="10">
        <f>IF($BI710="","",IF($B710="Onsite",INDEX(tbl_Onsite[Cost Centre],$BI710),IF($B710="Production",INDEX(tbl_Production[Cost Centre],$BI710),INDEX(tbl_Consulting[Cost Centre],$BI710)))&amp;"")</f>
        <v/>
      </c>
      <c r="I710" s="10">
        <f>IF($BI710="","",IF($B710="Onsite",INDEX(tbl_Onsite[Invoice Type],$BI710),IF($B710="Production",INDEX(tbl_Production[Invoice Type],$BI710),INDEX(tbl_Consulting[Invoice Type],$BI710)))&amp;"")</f>
        <v/>
      </c>
      <c r="J710" s="10">
        <f>IF($BI710="","",IF($B710="Onsite",INDEX(tbl_Onsite[Tax Code],$BI710),IF($B710="Production",INDEX(tbl_Production[Tax Code],$BI710),INDEX(tbl_Consulting[Tax Code],$BI710)))&amp;"")</f>
        <v/>
      </c>
      <c r="K710" s="10">
        <f>IF(H710="","",IFERROR(INDEX(lst_CCtoGL,MATCH(H710,lst_CCforGL,0)),""))</f>
        <v/>
      </c>
      <c r="L710" s="10">
        <f>IF($BI710="","",IF($B710="Onsite",INDEX(tbl_Onsite[PO / Reference],$BI710),IF($B710="Production",INDEX(tbl_Production[Current RMS No],$BI710),INDEX(tbl_Consulting[Qwilr Quote],$BI710)))&amp;"")</f>
        <v/>
      </c>
      <c r="M710" s="10">
        <f>IF($BI710="","",IF($B710="Onsite",INDEX(tbl_Onsite[Notes],$BI710),IF($B710="Production",INDEX(tbl_Production[Notes],$BI710),INDEX(tbl_Consulting[Notes],$BI710)))&amp;"")</f>
        <v/>
      </c>
      <c r="N710" s="11">
        <f>IF($BI710="","",IF(IF($B710="Onsite",INDEX(tbl_Onsite[Expected Revenue Ex GST],$BI710),IF($B710="Production",INDEX(tbl_Production[Expected Revenue Ex GST],$BI710),INDEX(tbl_Consulting[Expected Revenue Ex GST],$BI710)))="","",IF($B710="Onsite",INDEX(tbl_Onsite[Expected Revenue Ex GST],$BI710),IF($B710="Production",INDEX(tbl_Production[Expected Revenue Ex GST],$BI710),INDEX(tbl_Consulting[Expected Revenue Ex GST],$BI710)))))</f>
        <v/>
      </c>
      <c r="O710" s="11">
        <f>IF(AND($C710="",NOT(COUNTA($S710:$BB710)&gt;0)),"",SUM(U710,X710,AA710,AD710,AG710,AJ710,AM710,AP710,AS710,AV710,AY710,BB710))</f>
        <v/>
      </c>
      <c r="P710" s="11">
        <f>IF(O710="","",N(N710)-O710)</f>
        <v/>
      </c>
      <c r="Q710" s="10">
        <f>IF(O710="","",IF($C710="","Invoice on empty job row",IF(N710="",IF(ROUND(O710,2)=0,"No dept value","Invoiced - no dept value"),IF(ROUND(O710,2)=0,"Not invoiced - to invoice",IF(ROUND(P710,2)=0,"Agrees",IF(P710&gt;0,"Dept higher - to invoice","Xero higher - check dept"))))))</f>
        <v/>
      </c>
      <c r="R710" s="10">
        <f>IF(AND($C710="",NOT(COUNTA($S710:$BB710)&gt;0),$BI710&lt;&gt;""),"",MID(IF($BI710="","; Row ID not found on the department sheet - a row was deleted","")&amp;IF(AND($C710="",COUNTA($S710:$BB710)&gt;0),"; Invoice entered but the department row has no job number","")&amp;IF(E710="CHECK","; Job number not in the Xero job list","")&amp;IF(AND($C710&lt;&gt;"",COUNTIF($C$7:$C$1506,$C710)&gt;1),"; Job number on more than one row","")&amp;IF(AND($C710&lt;&gt;"",H710=""),"; Dept has not set a cost centre","")&amp;IF(AND($C710&lt;&gt;"",J710=""),"; Dept has not set a tax code","")&amp;IF(AND($C710&lt;&gt;"",N710=""),"; Dept has not entered an expected value","")&amp;IF((IF(OR(COUNTA(S710:U710)=0,AND(COUNTA(S710:U710)=3,ISNUMBER(U710))),0,1)+IF(OR(COUNTA(V710:X710)=0,AND(COUNTA(V710:X710)=3,ISNUMBER(X710))),0,1)+IF(OR(COUNTA(Y710:AA710)=0,AND(COUNTA(Y710:AA710)=3,ISNUMBER(AA710))),0,1)+IF(OR(COUNTA(AB710:AD710)=0,AND(COUNTA(AB710:AD710)=3,ISNUMBER(AD710))),0,1)+IF(OR(COUNTA(AE710:AG710)=0,AND(COUNTA(AE710:AG710)=3,ISNUMBER(AG710))),0,1)+IF(OR(COUNTA(AH710:AJ710)=0,AND(COUNTA(AH710:AJ710)=3,ISNUMBER(AJ710))),0,1)+IF(OR(COUNTA(AK710:AM710)=0,AND(COUNTA(AK710:AM710)=3,ISNUMBER(AM710))),0,1)+IF(OR(COUNTA(AN710:AP710)=0,AND(COUNTA(AN710:AP710)=3,ISNUMBER(AP710))),0,1)+IF(OR(COUNTA(AQ710:AS710)=0,AND(COUNTA(AQ710:AS710)=3,ISNUMBER(AS710))),0,1)+IF(OR(COUNTA(AT710:AV710)=0,AND(COUNTA(AT710:AV710)=3,ISNUMBER(AV710))),0,1)+IF(OR(COUNTA(AW710:AY710)=0,AND(COUNTA(AW710:AY710)=3,ISNUMBER(AY710))),0,1)+IF(OR(COUNTA(AZ710:BB710)=0,AND(COUNTA(AZ710:BB710)=3,ISNUMBER(BB710))),0,1))&gt;0,"; An invoice is incomplete (needs No, Date and a number in Ex GST)","")&amp;IF((IF(T710="",0,IFERROR(--(EOMONTH(T710,0)&lt;&gt;S$5),1))+IF(W710="",0,IFERROR(--(EOMONTH(W710,0)&lt;&gt;V$5),1))+IF(Z710="",0,IFERROR(--(EOMONTH(Z710,0)&lt;&gt;Y$5),1))+IF(AC710="",0,IFERROR(--(EOMONTH(AC710,0)&lt;&gt;AB$5),1))+IF(AF710="",0,IFERROR(--(EOMONTH(AF710,0)&lt;&gt;AE$5),1))+IF(AI710="",0,IFERROR(--(EOMONTH(AI710,0)&lt;&gt;AH$5),1))+IF(AL710="",0,IFERROR(--(EOMONTH(AL710,0)&lt;&gt;AK$5),1))+IF(AO710="",0,IFERROR(--(EOMONTH(AO710,0)&lt;&gt;AN$5),1))+IF(AR710="",0,IFERROR(--(EOMONTH(AR710,0)&lt;&gt;AQ$5),1))+IF(AU710="",0,IFERROR(--(EOMONTH(AU710,0)&lt;&gt;AT$5),1))+IF(AX710="",0,IFERROR(--(EOMONTH(AX710,0)&lt;&gt;AW$5),1))+IF(BA710="",0,IFERROR(--(EOMONTH(BA710,0)&lt;&gt;AZ$5),1)))&gt;0,"; An invoice date is not in the month it is typed under",""),3,500))</f>
        <v/>
      </c>
      <c r="S710" s="12" t="n"/>
      <c r="T710" s="13" t="n"/>
      <c r="U710" s="14" t="n"/>
      <c r="V710" s="12" t="n"/>
      <c r="W710" s="13" t="n"/>
      <c r="X710" s="14" t="n"/>
      <c r="Y710" s="12" t="n"/>
      <c r="Z710" s="13" t="n"/>
      <c r="AA710" s="14" t="n"/>
      <c r="AB710" s="12" t="n"/>
      <c r="AC710" s="13" t="n"/>
      <c r="AD710" s="14" t="n"/>
      <c r="AE710" s="12" t="n"/>
      <c r="AF710" s="13" t="n"/>
      <c r="AG710" s="14" t="n"/>
      <c r="AH710" s="12" t="n"/>
      <c r="AI710" s="13" t="n"/>
      <c r="AJ710" s="14" t="n"/>
      <c r="AK710" s="12" t="n"/>
      <c r="AL710" s="13" t="n"/>
      <c r="AM710" s="14" t="n"/>
      <c r="AN710" s="12" t="n"/>
      <c r="AO710" s="13" t="n"/>
      <c r="AP710" s="14" t="n"/>
      <c r="AQ710" s="12" t="n"/>
      <c r="AR710" s="13" t="n"/>
      <c r="AS710" s="14" t="n"/>
      <c r="AT710" s="12" t="n"/>
      <c r="AU710" s="13" t="n"/>
      <c r="AV710" s="14" t="n"/>
      <c r="AW710" s="12" t="n"/>
      <c r="AX710" s="13" t="n"/>
      <c r="AY710" s="14" t="n"/>
      <c r="AZ710" s="12" t="n"/>
      <c r="BA710" s="13" t="n"/>
      <c r="BB710" s="14" t="n"/>
      <c r="BC710" s="11">
        <f>IF(O710="","",IF(J710="GST 10%",ROUND(O710*set_GSTRate,2),0))</f>
        <v/>
      </c>
      <c r="BD710" s="11">
        <f>IF(O710="","",O710+BC710)</f>
        <v/>
      </c>
      <c r="BE710" s="15">
        <f>IF(O710="","",COUNTA(S710,V710,Y710,AB710,AE710,AH710,AK710,AN710,AQ710,AT710,AW710,AZ710))</f>
        <v/>
      </c>
      <c r="BF710" s="16">
        <f>IF(COUNT(T710,W710,Z710,AC710,AF710,AI710,AL710,AO710,AR710,AU710,AX710,BA710)=0,"",MAX(T710,W710,Z710,AC710,AF710,AI710,AL710,AO710,AR710,AU710,AX710,BA710))</f>
        <v/>
      </c>
      <c r="BG710" s="10">
        <f>MID(IF(S710="","",", "&amp;S710)&amp;IF(V710="","",", "&amp;V710)&amp;IF(Y710="","",", "&amp;Y710)&amp;IF(AB710="","",", "&amp;AB710)&amp;IF(AE710="","",", "&amp;AE710)&amp;IF(AH710="","",", "&amp;AH710)&amp;IF(AK710="","",", "&amp;AK710)&amp;IF(AN710="","",", "&amp;AN710)&amp;IF(AQ710="","",", "&amp;AQ710)&amp;IF(AT710="","",", "&amp;AT710)&amp;IF(AW710="","",", "&amp;AW710)&amp;IF(AZ710="","",", "&amp;AZ710),3,500)</f>
        <v/>
      </c>
      <c r="BH710" s="12" t="n"/>
      <c r="BI710" s="15">
        <f>IFERROR(MATCH($A710,IF($B710="Onsite",tbl_Onsite[Row ID],IF($B710="Production",tbl_Production[Row ID],tbl_Consulting[Row ID])),0),"")</f>
        <v/>
      </c>
    </row>
    <row r="711">
      <c r="A711" s="10" t="inlineStr">
        <is>
          <t>PRD-0205</t>
        </is>
      </c>
      <c r="B711" s="10" t="inlineStr">
        <is>
          <t>Production</t>
        </is>
      </c>
      <c r="C711" s="10">
        <f>IF($BI711="","",IF($B711="Onsite",INDEX(tbl_Onsite[Job Number],$BI711),IF($B711="Production",INDEX(tbl_Production[Job Number],$BI711),INDEX(tbl_Consulting[Job Number],$BI711)))&amp;"")</f>
        <v/>
      </c>
      <c r="D711" s="10">
        <f>IF($BI711="","",IF($B711="Onsite",INDEX(tbl_Onsite[Client],$BI711),IF($B711="Production",INDEX(tbl_Production[Client],$BI711),INDEX(tbl_Consulting[Client],$BI711)))&amp;"")</f>
        <v/>
      </c>
      <c r="E711" s="10">
        <f>IF($C711="","",IF(COUNTIF(lst_Jobs,$C711)&gt;0,"OK","CHECK"))</f>
        <v/>
      </c>
      <c r="F711" s="10">
        <f>IF($C711="","",IFERROR(INDEX(lst_JobName,MATCH($C711,lst_Jobs,0)),""))</f>
        <v/>
      </c>
      <c r="G711" s="10">
        <f>IF($BI711="","",IF($B711="Onsite",INDEX(tbl_Onsite[Job Description],$BI711),IF($B711="Production",INDEX(tbl_Production[Job Description],$BI711),INDEX(tbl_Consulting[Job Description],$BI711)))&amp;"")</f>
        <v/>
      </c>
      <c r="H711" s="10">
        <f>IF($BI711="","",IF($B711="Onsite",INDEX(tbl_Onsite[Cost Centre],$BI711),IF($B711="Production",INDEX(tbl_Production[Cost Centre],$BI711),INDEX(tbl_Consulting[Cost Centre],$BI711)))&amp;"")</f>
        <v/>
      </c>
      <c r="I711" s="10">
        <f>IF($BI711="","",IF($B711="Onsite",INDEX(tbl_Onsite[Invoice Type],$BI711),IF($B711="Production",INDEX(tbl_Production[Invoice Type],$BI711),INDEX(tbl_Consulting[Invoice Type],$BI711)))&amp;"")</f>
        <v/>
      </c>
      <c r="J711" s="10">
        <f>IF($BI711="","",IF($B711="Onsite",INDEX(tbl_Onsite[Tax Code],$BI711),IF($B711="Production",INDEX(tbl_Production[Tax Code],$BI711),INDEX(tbl_Consulting[Tax Code],$BI711)))&amp;"")</f>
        <v/>
      </c>
      <c r="K711" s="10">
        <f>IF(H711="","",IFERROR(INDEX(lst_CCtoGL,MATCH(H711,lst_CCforGL,0)),""))</f>
        <v/>
      </c>
      <c r="L711" s="10">
        <f>IF($BI711="","",IF($B711="Onsite",INDEX(tbl_Onsite[PO / Reference],$BI711),IF($B711="Production",INDEX(tbl_Production[Current RMS No],$BI711),INDEX(tbl_Consulting[Qwilr Quote],$BI711)))&amp;"")</f>
        <v/>
      </c>
      <c r="M711" s="10">
        <f>IF($BI711="","",IF($B711="Onsite",INDEX(tbl_Onsite[Notes],$BI711),IF($B711="Production",INDEX(tbl_Production[Notes],$BI711),INDEX(tbl_Consulting[Notes],$BI711)))&amp;"")</f>
        <v/>
      </c>
      <c r="N711" s="11">
        <f>IF($BI711="","",IF(IF($B711="Onsite",INDEX(tbl_Onsite[Expected Revenue Ex GST],$BI711),IF($B711="Production",INDEX(tbl_Production[Expected Revenue Ex GST],$BI711),INDEX(tbl_Consulting[Expected Revenue Ex GST],$BI711)))="","",IF($B711="Onsite",INDEX(tbl_Onsite[Expected Revenue Ex GST],$BI711),IF($B711="Production",INDEX(tbl_Production[Expected Revenue Ex GST],$BI711),INDEX(tbl_Consulting[Expected Revenue Ex GST],$BI711)))))</f>
        <v/>
      </c>
      <c r="O711" s="11">
        <f>IF(AND($C711="",NOT(COUNTA($S711:$BB711)&gt;0)),"",SUM(U711,X711,AA711,AD711,AG711,AJ711,AM711,AP711,AS711,AV711,AY711,BB711))</f>
        <v/>
      </c>
      <c r="P711" s="11">
        <f>IF(O711="","",N(N711)-O711)</f>
        <v/>
      </c>
      <c r="Q711" s="10">
        <f>IF(O711="","",IF($C711="","Invoice on empty job row",IF(N711="",IF(ROUND(O711,2)=0,"No dept value","Invoiced - no dept value"),IF(ROUND(O711,2)=0,"Not invoiced - to invoice",IF(ROUND(P711,2)=0,"Agrees",IF(P711&gt;0,"Dept higher - to invoice","Xero higher - check dept"))))))</f>
        <v/>
      </c>
      <c r="R711" s="10">
        <f>IF(AND($C711="",NOT(COUNTA($S711:$BB711)&gt;0),$BI711&lt;&gt;""),"",MID(IF($BI711="","; Row ID not found on the department sheet - a row was deleted","")&amp;IF(AND($C711="",COUNTA($S711:$BB711)&gt;0),"; Invoice entered but the department row has no job number","")&amp;IF(E711="CHECK","; Job number not in the Xero job list","")&amp;IF(AND($C711&lt;&gt;"",COUNTIF($C$7:$C$1506,$C711)&gt;1),"; Job number on more than one row","")&amp;IF(AND($C711&lt;&gt;"",H711=""),"; Dept has not set a cost centre","")&amp;IF(AND($C711&lt;&gt;"",J711=""),"; Dept has not set a tax code","")&amp;IF(AND($C711&lt;&gt;"",N711=""),"; Dept has not entered an expected value","")&amp;IF((IF(OR(COUNTA(S711:U711)=0,AND(COUNTA(S711:U711)=3,ISNUMBER(U711))),0,1)+IF(OR(COUNTA(V711:X711)=0,AND(COUNTA(V711:X711)=3,ISNUMBER(X711))),0,1)+IF(OR(COUNTA(Y711:AA711)=0,AND(COUNTA(Y711:AA711)=3,ISNUMBER(AA711))),0,1)+IF(OR(COUNTA(AB711:AD711)=0,AND(COUNTA(AB711:AD711)=3,ISNUMBER(AD711))),0,1)+IF(OR(COUNTA(AE711:AG711)=0,AND(COUNTA(AE711:AG711)=3,ISNUMBER(AG711))),0,1)+IF(OR(COUNTA(AH711:AJ711)=0,AND(COUNTA(AH711:AJ711)=3,ISNUMBER(AJ711))),0,1)+IF(OR(COUNTA(AK711:AM711)=0,AND(COUNTA(AK711:AM711)=3,ISNUMBER(AM711))),0,1)+IF(OR(COUNTA(AN711:AP711)=0,AND(COUNTA(AN711:AP711)=3,ISNUMBER(AP711))),0,1)+IF(OR(COUNTA(AQ711:AS711)=0,AND(COUNTA(AQ711:AS711)=3,ISNUMBER(AS711))),0,1)+IF(OR(COUNTA(AT711:AV711)=0,AND(COUNTA(AT711:AV711)=3,ISNUMBER(AV711))),0,1)+IF(OR(COUNTA(AW711:AY711)=0,AND(COUNTA(AW711:AY711)=3,ISNUMBER(AY711))),0,1)+IF(OR(COUNTA(AZ711:BB711)=0,AND(COUNTA(AZ711:BB711)=3,ISNUMBER(BB711))),0,1))&gt;0,"; An invoice is incomplete (needs No, Date and a number in Ex GST)","")&amp;IF((IF(T711="",0,IFERROR(--(EOMONTH(T711,0)&lt;&gt;S$5),1))+IF(W711="",0,IFERROR(--(EOMONTH(W711,0)&lt;&gt;V$5),1))+IF(Z711="",0,IFERROR(--(EOMONTH(Z711,0)&lt;&gt;Y$5),1))+IF(AC711="",0,IFERROR(--(EOMONTH(AC711,0)&lt;&gt;AB$5),1))+IF(AF711="",0,IFERROR(--(EOMONTH(AF711,0)&lt;&gt;AE$5),1))+IF(AI711="",0,IFERROR(--(EOMONTH(AI711,0)&lt;&gt;AH$5),1))+IF(AL711="",0,IFERROR(--(EOMONTH(AL711,0)&lt;&gt;AK$5),1))+IF(AO711="",0,IFERROR(--(EOMONTH(AO711,0)&lt;&gt;AN$5),1))+IF(AR711="",0,IFERROR(--(EOMONTH(AR711,0)&lt;&gt;AQ$5),1))+IF(AU711="",0,IFERROR(--(EOMONTH(AU711,0)&lt;&gt;AT$5),1))+IF(AX711="",0,IFERROR(--(EOMONTH(AX711,0)&lt;&gt;AW$5),1))+IF(BA711="",0,IFERROR(--(EOMONTH(BA711,0)&lt;&gt;AZ$5),1)))&gt;0,"; An invoice date is not in the month it is typed under",""),3,500))</f>
        <v/>
      </c>
      <c r="S711" s="12" t="n"/>
      <c r="T711" s="13" t="n"/>
      <c r="U711" s="14" t="n"/>
      <c r="V711" s="12" t="n"/>
      <c r="W711" s="13" t="n"/>
      <c r="X711" s="14" t="n"/>
      <c r="Y711" s="12" t="n"/>
      <c r="Z711" s="13" t="n"/>
      <c r="AA711" s="14" t="n"/>
      <c r="AB711" s="12" t="n"/>
      <c r="AC711" s="13" t="n"/>
      <c r="AD711" s="14" t="n"/>
      <c r="AE711" s="12" t="n"/>
      <c r="AF711" s="13" t="n"/>
      <c r="AG711" s="14" t="n"/>
      <c r="AH711" s="12" t="n"/>
      <c r="AI711" s="13" t="n"/>
      <c r="AJ711" s="14" t="n"/>
      <c r="AK711" s="12" t="n"/>
      <c r="AL711" s="13" t="n"/>
      <c r="AM711" s="14" t="n"/>
      <c r="AN711" s="12" t="n"/>
      <c r="AO711" s="13" t="n"/>
      <c r="AP711" s="14" t="n"/>
      <c r="AQ711" s="12" t="n"/>
      <c r="AR711" s="13" t="n"/>
      <c r="AS711" s="14" t="n"/>
      <c r="AT711" s="12" t="n"/>
      <c r="AU711" s="13" t="n"/>
      <c r="AV711" s="14" t="n"/>
      <c r="AW711" s="12" t="n"/>
      <c r="AX711" s="13" t="n"/>
      <c r="AY711" s="14" t="n"/>
      <c r="AZ711" s="12" t="n"/>
      <c r="BA711" s="13" t="n"/>
      <c r="BB711" s="14" t="n"/>
      <c r="BC711" s="11">
        <f>IF(O711="","",IF(J711="GST 10%",ROUND(O711*set_GSTRate,2),0))</f>
        <v/>
      </c>
      <c r="BD711" s="11">
        <f>IF(O711="","",O711+BC711)</f>
        <v/>
      </c>
      <c r="BE711" s="15">
        <f>IF(O711="","",COUNTA(S711,V711,Y711,AB711,AE711,AH711,AK711,AN711,AQ711,AT711,AW711,AZ711))</f>
        <v/>
      </c>
      <c r="BF711" s="16">
        <f>IF(COUNT(T711,W711,Z711,AC711,AF711,AI711,AL711,AO711,AR711,AU711,AX711,BA711)=0,"",MAX(T711,W711,Z711,AC711,AF711,AI711,AL711,AO711,AR711,AU711,AX711,BA711))</f>
        <v/>
      </c>
      <c r="BG711" s="10">
        <f>MID(IF(S711="","",", "&amp;S711)&amp;IF(V711="","",", "&amp;V711)&amp;IF(Y711="","",", "&amp;Y711)&amp;IF(AB711="","",", "&amp;AB711)&amp;IF(AE711="","",", "&amp;AE711)&amp;IF(AH711="","",", "&amp;AH711)&amp;IF(AK711="","",", "&amp;AK711)&amp;IF(AN711="","",", "&amp;AN711)&amp;IF(AQ711="","",", "&amp;AQ711)&amp;IF(AT711="","",", "&amp;AT711)&amp;IF(AW711="","",", "&amp;AW711)&amp;IF(AZ711="","",", "&amp;AZ711),3,500)</f>
        <v/>
      </c>
      <c r="BH711" s="12" t="n"/>
      <c r="BI711" s="15">
        <f>IFERROR(MATCH($A711,IF($B711="Onsite",tbl_Onsite[Row ID],IF($B711="Production",tbl_Production[Row ID],tbl_Consulting[Row ID])),0),"")</f>
        <v/>
      </c>
    </row>
    <row r="712">
      <c r="A712" s="10" t="inlineStr">
        <is>
          <t>PRD-0206</t>
        </is>
      </c>
      <c r="B712" s="10" t="inlineStr">
        <is>
          <t>Production</t>
        </is>
      </c>
      <c r="C712" s="10">
        <f>IF($BI712="","",IF($B712="Onsite",INDEX(tbl_Onsite[Job Number],$BI712),IF($B712="Production",INDEX(tbl_Production[Job Number],$BI712),INDEX(tbl_Consulting[Job Number],$BI712)))&amp;"")</f>
        <v/>
      </c>
      <c r="D712" s="10">
        <f>IF($BI712="","",IF($B712="Onsite",INDEX(tbl_Onsite[Client],$BI712),IF($B712="Production",INDEX(tbl_Production[Client],$BI712),INDEX(tbl_Consulting[Client],$BI712)))&amp;"")</f>
        <v/>
      </c>
      <c r="E712" s="10">
        <f>IF($C712="","",IF(COUNTIF(lst_Jobs,$C712)&gt;0,"OK","CHECK"))</f>
        <v/>
      </c>
      <c r="F712" s="10">
        <f>IF($C712="","",IFERROR(INDEX(lst_JobName,MATCH($C712,lst_Jobs,0)),""))</f>
        <v/>
      </c>
      <c r="G712" s="10">
        <f>IF($BI712="","",IF($B712="Onsite",INDEX(tbl_Onsite[Job Description],$BI712),IF($B712="Production",INDEX(tbl_Production[Job Description],$BI712),INDEX(tbl_Consulting[Job Description],$BI712)))&amp;"")</f>
        <v/>
      </c>
      <c r="H712" s="10">
        <f>IF($BI712="","",IF($B712="Onsite",INDEX(tbl_Onsite[Cost Centre],$BI712),IF($B712="Production",INDEX(tbl_Production[Cost Centre],$BI712),INDEX(tbl_Consulting[Cost Centre],$BI712)))&amp;"")</f>
        <v/>
      </c>
      <c r="I712" s="10">
        <f>IF($BI712="","",IF($B712="Onsite",INDEX(tbl_Onsite[Invoice Type],$BI712),IF($B712="Production",INDEX(tbl_Production[Invoice Type],$BI712),INDEX(tbl_Consulting[Invoice Type],$BI712)))&amp;"")</f>
        <v/>
      </c>
      <c r="J712" s="10">
        <f>IF($BI712="","",IF($B712="Onsite",INDEX(tbl_Onsite[Tax Code],$BI712),IF($B712="Production",INDEX(tbl_Production[Tax Code],$BI712),INDEX(tbl_Consulting[Tax Code],$BI712)))&amp;"")</f>
        <v/>
      </c>
      <c r="K712" s="10">
        <f>IF(H712="","",IFERROR(INDEX(lst_CCtoGL,MATCH(H712,lst_CCforGL,0)),""))</f>
        <v/>
      </c>
      <c r="L712" s="10">
        <f>IF($BI712="","",IF($B712="Onsite",INDEX(tbl_Onsite[PO / Reference],$BI712),IF($B712="Production",INDEX(tbl_Production[Current RMS No],$BI712),INDEX(tbl_Consulting[Qwilr Quote],$BI712)))&amp;"")</f>
        <v/>
      </c>
      <c r="M712" s="10">
        <f>IF($BI712="","",IF($B712="Onsite",INDEX(tbl_Onsite[Notes],$BI712),IF($B712="Production",INDEX(tbl_Production[Notes],$BI712),INDEX(tbl_Consulting[Notes],$BI712)))&amp;"")</f>
        <v/>
      </c>
      <c r="N712" s="11">
        <f>IF($BI712="","",IF(IF($B712="Onsite",INDEX(tbl_Onsite[Expected Revenue Ex GST],$BI712),IF($B712="Production",INDEX(tbl_Production[Expected Revenue Ex GST],$BI712),INDEX(tbl_Consulting[Expected Revenue Ex GST],$BI712)))="","",IF($B712="Onsite",INDEX(tbl_Onsite[Expected Revenue Ex GST],$BI712),IF($B712="Production",INDEX(tbl_Production[Expected Revenue Ex GST],$BI712),INDEX(tbl_Consulting[Expected Revenue Ex GST],$BI712)))))</f>
        <v/>
      </c>
      <c r="O712" s="11">
        <f>IF(AND($C712="",NOT(COUNTA($S712:$BB712)&gt;0)),"",SUM(U712,X712,AA712,AD712,AG712,AJ712,AM712,AP712,AS712,AV712,AY712,BB712))</f>
        <v/>
      </c>
      <c r="P712" s="11">
        <f>IF(O712="","",N(N712)-O712)</f>
        <v/>
      </c>
      <c r="Q712" s="10">
        <f>IF(O712="","",IF($C712="","Invoice on empty job row",IF(N712="",IF(ROUND(O712,2)=0,"No dept value","Invoiced - no dept value"),IF(ROUND(O712,2)=0,"Not invoiced - to invoice",IF(ROUND(P712,2)=0,"Agrees",IF(P712&gt;0,"Dept higher - to invoice","Xero higher - check dept"))))))</f>
        <v/>
      </c>
      <c r="R712" s="10">
        <f>IF(AND($C712="",NOT(COUNTA($S712:$BB712)&gt;0),$BI712&lt;&gt;""),"",MID(IF($BI712="","; Row ID not found on the department sheet - a row was deleted","")&amp;IF(AND($C712="",COUNTA($S712:$BB712)&gt;0),"; Invoice entered but the department row has no job number","")&amp;IF(E712="CHECK","; Job number not in the Xero job list","")&amp;IF(AND($C712&lt;&gt;"",COUNTIF($C$7:$C$1506,$C712)&gt;1),"; Job number on more than one row","")&amp;IF(AND($C712&lt;&gt;"",H712=""),"; Dept has not set a cost centre","")&amp;IF(AND($C712&lt;&gt;"",J712=""),"; Dept has not set a tax code","")&amp;IF(AND($C712&lt;&gt;"",N712=""),"; Dept has not entered an expected value","")&amp;IF((IF(OR(COUNTA(S712:U712)=0,AND(COUNTA(S712:U712)=3,ISNUMBER(U712))),0,1)+IF(OR(COUNTA(V712:X712)=0,AND(COUNTA(V712:X712)=3,ISNUMBER(X712))),0,1)+IF(OR(COUNTA(Y712:AA712)=0,AND(COUNTA(Y712:AA712)=3,ISNUMBER(AA712))),0,1)+IF(OR(COUNTA(AB712:AD712)=0,AND(COUNTA(AB712:AD712)=3,ISNUMBER(AD712))),0,1)+IF(OR(COUNTA(AE712:AG712)=0,AND(COUNTA(AE712:AG712)=3,ISNUMBER(AG712))),0,1)+IF(OR(COUNTA(AH712:AJ712)=0,AND(COUNTA(AH712:AJ712)=3,ISNUMBER(AJ712))),0,1)+IF(OR(COUNTA(AK712:AM712)=0,AND(COUNTA(AK712:AM712)=3,ISNUMBER(AM712))),0,1)+IF(OR(COUNTA(AN712:AP712)=0,AND(COUNTA(AN712:AP712)=3,ISNUMBER(AP712))),0,1)+IF(OR(COUNTA(AQ712:AS712)=0,AND(COUNTA(AQ712:AS712)=3,ISNUMBER(AS712))),0,1)+IF(OR(COUNTA(AT712:AV712)=0,AND(COUNTA(AT712:AV712)=3,ISNUMBER(AV712))),0,1)+IF(OR(COUNTA(AW712:AY712)=0,AND(COUNTA(AW712:AY712)=3,ISNUMBER(AY712))),0,1)+IF(OR(COUNTA(AZ712:BB712)=0,AND(COUNTA(AZ712:BB712)=3,ISNUMBER(BB712))),0,1))&gt;0,"; An invoice is incomplete (needs No, Date and a number in Ex GST)","")&amp;IF((IF(T712="",0,IFERROR(--(EOMONTH(T712,0)&lt;&gt;S$5),1))+IF(W712="",0,IFERROR(--(EOMONTH(W712,0)&lt;&gt;V$5),1))+IF(Z712="",0,IFERROR(--(EOMONTH(Z712,0)&lt;&gt;Y$5),1))+IF(AC712="",0,IFERROR(--(EOMONTH(AC712,0)&lt;&gt;AB$5),1))+IF(AF712="",0,IFERROR(--(EOMONTH(AF712,0)&lt;&gt;AE$5),1))+IF(AI712="",0,IFERROR(--(EOMONTH(AI712,0)&lt;&gt;AH$5),1))+IF(AL712="",0,IFERROR(--(EOMONTH(AL712,0)&lt;&gt;AK$5),1))+IF(AO712="",0,IFERROR(--(EOMONTH(AO712,0)&lt;&gt;AN$5),1))+IF(AR712="",0,IFERROR(--(EOMONTH(AR712,0)&lt;&gt;AQ$5),1))+IF(AU712="",0,IFERROR(--(EOMONTH(AU712,0)&lt;&gt;AT$5),1))+IF(AX712="",0,IFERROR(--(EOMONTH(AX712,0)&lt;&gt;AW$5),1))+IF(BA712="",0,IFERROR(--(EOMONTH(BA712,0)&lt;&gt;AZ$5),1)))&gt;0,"; An invoice date is not in the month it is typed under",""),3,500))</f>
        <v/>
      </c>
      <c r="S712" s="12" t="n"/>
      <c r="T712" s="13" t="n"/>
      <c r="U712" s="14" t="n"/>
      <c r="V712" s="12" t="n"/>
      <c r="W712" s="13" t="n"/>
      <c r="X712" s="14" t="n"/>
      <c r="Y712" s="12" t="n"/>
      <c r="Z712" s="13" t="n"/>
      <c r="AA712" s="14" t="n"/>
      <c r="AB712" s="12" t="n"/>
      <c r="AC712" s="13" t="n"/>
      <c r="AD712" s="14" t="n"/>
      <c r="AE712" s="12" t="n"/>
      <c r="AF712" s="13" t="n"/>
      <c r="AG712" s="14" t="n"/>
      <c r="AH712" s="12" t="n"/>
      <c r="AI712" s="13" t="n"/>
      <c r="AJ712" s="14" t="n"/>
      <c r="AK712" s="12" t="n"/>
      <c r="AL712" s="13" t="n"/>
      <c r="AM712" s="14" t="n"/>
      <c r="AN712" s="12" t="n"/>
      <c r="AO712" s="13" t="n"/>
      <c r="AP712" s="14" t="n"/>
      <c r="AQ712" s="12" t="n"/>
      <c r="AR712" s="13" t="n"/>
      <c r="AS712" s="14" t="n"/>
      <c r="AT712" s="12" t="n"/>
      <c r="AU712" s="13" t="n"/>
      <c r="AV712" s="14" t="n"/>
      <c r="AW712" s="12" t="n"/>
      <c r="AX712" s="13" t="n"/>
      <c r="AY712" s="14" t="n"/>
      <c r="AZ712" s="12" t="n"/>
      <c r="BA712" s="13" t="n"/>
      <c r="BB712" s="14" t="n"/>
      <c r="BC712" s="11">
        <f>IF(O712="","",IF(J712="GST 10%",ROUND(O712*set_GSTRate,2),0))</f>
        <v/>
      </c>
      <c r="BD712" s="11">
        <f>IF(O712="","",O712+BC712)</f>
        <v/>
      </c>
      <c r="BE712" s="15">
        <f>IF(O712="","",COUNTA(S712,V712,Y712,AB712,AE712,AH712,AK712,AN712,AQ712,AT712,AW712,AZ712))</f>
        <v/>
      </c>
      <c r="BF712" s="16">
        <f>IF(COUNT(T712,W712,Z712,AC712,AF712,AI712,AL712,AO712,AR712,AU712,AX712,BA712)=0,"",MAX(T712,W712,Z712,AC712,AF712,AI712,AL712,AO712,AR712,AU712,AX712,BA712))</f>
        <v/>
      </c>
      <c r="BG712" s="10">
        <f>MID(IF(S712="","",", "&amp;S712)&amp;IF(V712="","",", "&amp;V712)&amp;IF(Y712="","",", "&amp;Y712)&amp;IF(AB712="","",", "&amp;AB712)&amp;IF(AE712="","",", "&amp;AE712)&amp;IF(AH712="","",", "&amp;AH712)&amp;IF(AK712="","",", "&amp;AK712)&amp;IF(AN712="","",", "&amp;AN712)&amp;IF(AQ712="","",", "&amp;AQ712)&amp;IF(AT712="","",", "&amp;AT712)&amp;IF(AW712="","",", "&amp;AW712)&amp;IF(AZ712="","",", "&amp;AZ712),3,500)</f>
        <v/>
      </c>
      <c r="BH712" s="12" t="n"/>
      <c r="BI712" s="15">
        <f>IFERROR(MATCH($A712,IF($B712="Onsite",tbl_Onsite[Row ID],IF($B712="Production",tbl_Production[Row ID],tbl_Consulting[Row ID])),0),"")</f>
        <v/>
      </c>
    </row>
    <row r="713">
      <c r="A713" s="10" t="inlineStr">
        <is>
          <t>PRD-0207</t>
        </is>
      </c>
      <c r="B713" s="10" t="inlineStr">
        <is>
          <t>Production</t>
        </is>
      </c>
      <c r="C713" s="10">
        <f>IF($BI713="","",IF($B713="Onsite",INDEX(tbl_Onsite[Job Number],$BI713),IF($B713="Production",INDEX(tbl_Production[Job Number],$BI713),INDEX(tbl_Consulting[Job Number],$BI713)))&amp;"")</f>
        <v/>
      </c>
      <c r="D713" s="10">
        <f>IF($BI713="","",IF($B713="Onsite",INDEX(tbl_Onsite[Client],$BI713),IF($B713="Production",INDEX(tbl_Production[Client],$BI713),INDEX(tbl_Consulting[Client],$BI713)))&amp;"")</f>
        <v/>
      </c>
      <c r="E713" s="10">
        <f>IF($C713="","",IF(COUNTIF(lst_Jobs,$C713)&gt;0,"OK","CHECK"))</f>
        <v/>
      </c>
      <c r="F713" s="10">
        <f>IF($C713="","",IFERROR(INDEX(lst_JobName,MATCH($C713,lst_Jobs,0)),""))</f>
        <v/>
      </c>
      <c r="G713" s="10">
        <f>IF($BI713="","",IF($B713="Onsite",INDEX(tbl_Onsite[Job Description],$BI713),IF($B713="Production",INDEX(tbl_Production[Job Description],$BI713),INDEX(tbl_Consulting[Job Description],$BI713)))&amp;"")</f>
        <v/>
      </c>
      <c r="H713" s="10">
        <f>IF($BI713="","",IF($B713="Onsite",INDEX(tbl_Onsite[Cost Centre],$BI713),IF($B713="Production",INDEX(tbl_Production[Cost Centre],$BI713),INDEX(tbl_Consulting[Cost Centre],$BI713)))&amp;"")</f>
        <v/>
      </c>
      <c r="I713" s="10">
        <f>IF($BI713="","",IF($B713="Onsite",INDEX(tbl_Onsite[Invoice Type],$BI713),IF($B713="Production",INDEX(tbl_Production[Invoice Type],$BI713),INDEX(tbl_Consulting[Invoice Type],$BI713)))&amp;"")</f>
        <v/>
      </c>
      <c r="J713" s="10">
        <f>IF($BI713="","",IF($B713="Onsite",INDEX(tbl_Onsite[Tax Code],$BI713),IF($B713="Production",INDEX(tbl_Production[Tax Code],$BI713),INDEX(tbl_Consulting[Tax Code],$BI713)))&amp;"")</f>
        <v/>
      </c>
      <c r="K713" s="10">
        <f>IF(H713="","",IFERROR(INDEX(lst_CCtoGL,MATCH(H713,lst_CCforGL,0)),""))</f>
        <v/>
      </c>
      <c r="L713" s="10">
        <f>IF($BI713="","",IF($B713="Onsite",INDEX(tbl_Onsite[PO / Reference],$BI713),IF($B713="Production",INDEX(tbl_Production[Current RMS No],$BI713),INDEX(tbl_Consulting[Qwilr Quote],$BI713)))&amp;"")</f>
        <v/>
      </c>
      <c r="M713" s="10">
        <f>IF($BI713="","",IF($B713="Onsite",INDEX(tbl_Onsite[Notes],$BI713),IF($B713="Production",INDEX(tbl_Production[Notes],$BI713),INDEX(tbl_Consulting[Notes],$BI713)))&amp;"")</f>
        <v/>
      </c>
      <c r="N713" s="11">
        <f>IF($BI713="","",IF(IF($B713="Onsite",INDEX(tbl_Onsite[Expected Revenue Ex GST],$BI713),IF($B713="Production",INDEX(tbl_Production[Expected Revenue Ex GST],$BI713),INDEX(tbl_Consulting[Expected Revenue Ex GST],$BI713)))="","",IF($B713="Onsite",INDEX(tbl_Onsite[Expected Revenue Ex GST],$BI713),IF($B713="Production",INDEX(tbl_Production[Expected Revenue Ex GST],$BI713),INDEX(tbl_Consulting[Expected Revenue Ex GST],$BI713)))))</f>
        <v/>
      </c>
      <c r="O713" s="11">
        <f>IF(AND($C713="",NOT(COUNTA($S713:$BB713)&gt;0)),"",SUM(U713,X713,AA713,AD713,AG713,AJ713,AM713,AP713,AS713,AV713,AY713,BB713))</f>
        <v/>
      </c>
      <c r="P713" s="11">
        <f>IF(O713="","",N(N713)-O713)</f>
        <v/>
      </c>
      <c r="Q713" s="10">
        <f>IF(O713="","",IF($C713="","Invoice on empty job row",IF(N713="",IF(ROUND(O713,2)=0,"No dept value","Invoiced - no dept value"),IF(ROUND(O713,2)=0,"Not invoiced - to invoice",IF(ROUND(P713,2)=0,"Agrees",IF(P713&gt;0,"Dept higher - to invoice","Xero higher - check dept"))))))</f>
        <v/>
      </c>
      <c r="R713" s="10">
        <f>IF(AND($C713="",NOT(COUNTA($S713:$BB713)&gt;0),$BI713&lt;&gt;""),"",MID(IF($BI713="","; Row ID not found on the department sheet - a row was deleted","")&amp;IF(AND($C713="",COUNTA($S713:$BB713)&gt;0),"; Invoice entered but the department row has no job number","")&amp;IF(E713="CHECK","; Job number not in the Xero job list","")&amp;IF(AND($C713&lt;&gt;"",COUNTIF($C$7:$C$1506,$C713)&gt;1),"; Job number on more than one row","")&amp;IF(AND($C713&lt;&gt;"",H713=""),"; Dept has not set a cost centre","")&amp;IF(AND($C713&lt;&gt;"",J713=""),"; Dept has not set a tax code","")&amp;IF(AND($C713&lt;&gt;"",N713=""),"; Dept has not entered an expected value","")&amp;IF((IF(OR(COUNTA(S713:U713)=0,AND(COUNTA(S713:U713)=3,ISNUMBER(U713))),0,1)+IF(OR(COUNTA(V713:X713)=0,AND(COUNTA(V713:X713)=3,ISNUMBER(X713))),0,1)+IF(OR(COUNTA(Y713:AA713)=0,AND(COUNTA(Y713:AA713)=3,ISNUMBER(AA713))),0,1)+IF(OR(COUNTA(AB713:AD713)=0,AND(COUNTA(AB713:AD713)=3,ISNUMBER(AD713))),0,1)+IF(OR(COUNTA(AE713:AG713)=0,AND(COUNTA(AE713:AG713)=3,ISNUMBER(AG713))),0,1)+IF(OR(COUNTA(AH713:AJ713)=0,AND(COUNTA(AH713:AJ713)=3,ISNUMBER(AJ713))),0,1)+IF(OR(COUNTA(AK713:AM713)=0,AND(COUNTA(AK713:AM713)=3,ISNUMBER(AM713))),0,1)+IF(OR(COUNTA(AN713:AP713)=0,AND(COUNTA(AN713:AP713)=3,ISNUMBER(AP713))),0,1)+IF(OR(COUNTA(AQ713:AS713)=0,AND(COUNTA(AQ713:AS713)=3,ISNUMBER(AS713))),0,1)+IF(OR(COUNTA(AT713:AV713)=0,AND(COUNTA(AT713:AV713)=3,ISNUMBER(AV713))),0,1)+IF(OR(COUNTA(AW713:AY713)=0,AND(COUNTA(AW713:AY713)=3,ISNUMBER(AY713))),0,1)+IF(OR(COUNTA(AZ713:BB713)=0,AND(COUNTA(AZ713:BB713)=3,ISNUMBER(BB713))),0,1))&gt;0,"; An invoice is incomplete (needs No, Date and a number in Ex GST)","")&amp;IF((IF(T713="",0,IFERROR(--(EOMONTH(T713,0)&lt;&gt;S$5),1))+IF(W713="",0,IFERROR(--(EOMONTH(W713,0)&lt;&gt;V$5),1))+IF(Z713="",0,IFERROR(--(EOMONTH(Z713,0)&lt;&gt;Y$5),1))+IF(AC713="",0,IFERROR(--(EOMONTH(AC713,0)&lt;&gt;AB$5),1))+IF(AF713="",0,IFERROR(--(EOMONTH(AF713,0)&lt;&gt;AE$5),1))+IF(AI713="",0,IFERROR(--(EOMONTH(AI713,0)&lt;&gt;AH$5),1))+IF(AL713="",0,IFERROR(--(EOMONTH(AL713,0)&lt;&gt;AK$5),1))+IF(AO713="",0,IFERROR(--(EOMONTH(AO713,0)&lt;&gt;AN$5),1))+IF(AR713="",0,IFERROR(--(EOMONTH(AR713,0)&lt;&gt;AQ$5),1))+IF(AU713="",0,IFERROR(--(EOMONTH(AU713,0)&lt;&gt;AT$5),1))+IF(AX713="",0,IFERROR(--(EOMONTH(AX713,0)&lt;&gt;AW$5),1))+IF(BA713="",0,IFERROR(--(EOMONTH(BA713,0)&lt;&gt;AZ$5),1)))&gt;0,"; An invoice date is not in the month it is typed under",""),3,500))</f>
        <v/>
      </c>
      <c r="S713" s="12" t="n"/>
      <c r="T713" s="13" t="n"/>
      <c r="U713" s="14" t="n"/>
      <c r="V713" s="12" t="n"/>
      <c r="W713" s="13" t="n"/>
      <c r="X713" s="14" t="n"/>
      <c r="Y713" s="12" t="n"/>
      <c r="Z713" s="13" t="n"/>
      <c r="AA713" s="14" t="n"/>
      <c r="AB713" s="12" t="n"/>
      <c r="AC713" s="13" t="n"/>
      <c r="AD713" s="14" t="n"/>
      <c r="AE713" s="12" t="n"/>
      <c r="AF713" s="13" t="n"/>
      <c r="AG713" s="14" t="n"/>
      <c r="AH713" s="12" t="n"/>
      <c r="AI713" s="13" t="n"/>
      <c r="AJ713" s="14" t="n"/>
      <c r="AK713" s="12" t="n"/>
      <c r="AL713" s="13" t="n"/>
      <c r="AM713" s="14" t="n"/>
      <c r="AN713" s="12" t="n"/>
      <c r="AO713" s="13" t="n"/>
      <c r="AP713" s="14" t="n"/>
      <c r="AQ713" s="12" t="n"/>
      <c r="AR713" s="13" t="n"/>
      <c r="AS713" s="14" t="n"/>
      <c r="AT713" s="12" t="n"/>
      <c r="AU713" s="13" t="n"/>
      <c r="AV713" s="14" t="n"/>
      <c r="AW713" s="12" t="n"/>
      <c r="AX713" s="13" t="n"/>
      <c r="AY713" s="14" t="n"/>
      <c r="AZ713" s="12" t="n"/>
      <c r="BA713" s="13" t="n"/>
      <c r="BB713" s="14" t="n"/>
      <c r="BC713" s="11">
        <f>IF(O713="","",IF(J713="GST 10%",ROUND(O713*set_GSTRate,2),0))</f>
        <v/>
      </c>
      <c r="BD713" s="11">
        <f>IF(O713="","",O713+BC713)</f>
        <v/>
      </c>
      <c r="BE713" s="15">
        <f>IF(O713="","",COUNTA(S713,V713,Y713,AB713,AE713,AH713,AK713,AN713,AQ713,AT713,AW713,AZ713))</f>
        <v/>
      </c>
      <c r="BF713" s="16">
        <f>IF(COUNT(T713,W713,Z713,AC713,AF713,AI713,AL713,AO713,AR713,AU713,AX713,BA713)=0,"",MAX(T713,W713,Z713,AC713,AF713,AI713,AL713,AO713,AR713,AU713,AX713,BA713))</f>
        <v/>
      </c>
      <c r="BG713" s="10">
        <f>MID(IF(S713="","",", "&amp;S713)&amp;IF(V713="","",", "&amp;V713)&amp;IF(Y713="","",", "&amp;Y713)&amp;IF(AB713="","",", "&amp;AB713)&amp;IF(AE713="","",", "&amp;AE713)&amp;IF(AH713="","",", "&amp;AH713)&amp;IF(AK713="","",", "&amp;AK713)&amp;IF(AN713="","",", "&amp;AN713)&amp;IF(AQ713="","",", "&amp;AQ713)&amp;IF(AT713="","",", "&amp;AT713)&amp;IF(AW713="","",", "&amp;AW713)&amp;IF(AZ713="","",", "&amp;AZ713),3,500)</f>
        <v/>
      </c>
      <c r="BH713" s="12" t="n"/>
      <c r="BI713" s="15">
        <f>IFERROR(MATCH($A713,IF($B713="Onsite",tbl_Onsite[Row ID],IF($B713="Production",tbl_Production[Row ID],tbl_Consulting[Row ID])),0),"")</f>
        <v/>
      </c>
    </row>
    <row r="714">
      <c r="A714" s="10" t="inlineStr">
        <is>
          <t>PRD-0208</t>
        </is>
      </c>
      <c r="B714" s="10" t="inlineStr">
        <is>
          <t>Production</t>
        </is>
      </c>
      <c r="C714" s="10">
        <f>IF($BI714="","",IF($B714="Onsite",INDEX(tbl_Onsite[Job Number],$BI714),IF($B714="Production",INDEX(tbl_Production[Job Number],$BI714),INDEX(tbl_Consulting[Job Number],$BI714)))&amp;"")</f>
        <v/>
      </c>
      <c r="D714" s="10">
        <f>IF($BI714="","",IF($B714="Onsite",INDEX(tbl_Onsite[Client],$BI714),IF($B714="Production",INDEX(tbl_Production[Client],$BI714),INDEX(tbl_Consulting[Client],$BI714)))&amp;"")</f>
        <v/>
      </c>
      <c r="E714" s="10">
        <f>IF($C714="","",IF(COUNTIF(lst_Jobs,$C714)&gt;0,"OK","CHECK"))</f>
        <v/>
      </c>
      <c r="F714" s="10">
        <f>IF($C714="","",IFERROR(INDEX(lst_JobName,MATCH($C714,lst_Jobs,0)),""))</f>
        <v/>
      </c>
      <c r="G714" s="10">
        <f>IF($BI714="","",IF($B714="Onsite",INDEX(tbl_Onsite[Job Description],$BI714),IF($B714="Production",INDEX(tbl_Production[Job Description],$BI714),INDEX(tbl_Consulting[Job Description],$BI714)))&amp;"")</f>
        <v/>
      </c>
      <c r="H714" s="10">
        <f>IF($BI714="","",IF($B714="Onsite",INDEX(tbl_Onsite[Cost Centre],$BI714),IF($B714="Production",INDEX(tbl_Production[Cost Centre],$BI714),INDEX(tbl_Consulting[Cost Centre],$BI714)))&amp;"")</f>
        <v/>
      </c>
      <c r="I714" s="10">
        <f>IF($BI714="","",IF($B714="Onsite",INDEX(tbl_Onsite[Invoice Type],$BI714),IF($B714="Production",INDEX(tbl_Production[Invoice Type],$BI714),INDEX(tbl_Consulting[Invoice Type],$BI714)))&amp;"")</f>
        <v/>
      </c>
      <c r="J714" s="10">
        <f>IF($BI714="","",IF($B714="Onsite",INDEX(tbl_Onsite[Tax Code],$BI714),IF($B714="Production",INDEX(tbl_Production[Tax Code],$BI714),INDEX(tbl_Consulting[Tax Code],$BI714)))&amp;"")</f>
        <v/>
      </c>
      <c r="K714" s="10">
        <f>IF(H714="","",IFERROR(INDEX(lst_CCtoGL,MATCH(H714,lst_CCforGL,0)),""))</f>
        <v/>
      </c>
      <c r="L714" s="10">
        <f>IF($BI714="","",IF($B714="Onsite",INDEX(tbl_Onsite[PO / Reference],$BI714),IF($B714="Production",INDEX(tbl_Production[Current RMS No],$BI714),INDEX(tbl_Consulting[Qwilr Quote],$BI714)))&amp;"")</f>
        <v/>
      </c>
      <c r="M714" s="10">
        <f>IF($BI714="","",IF($B714="Onsite",INDEX(tbl_Onsite[Notes],$BI714),IF($B714="Production",INDEX(tbl_Production[Notes],$BI714),INDEX(tbl_Consulting[Notes],$BI714)))&amp;"")</f>
        <v/>
      </c>
      <c r="N714" s="11">
        <f>IF($BI714="","",IF(IF($B714="Onsite",INDEX(tbl_Onsite[Expected Revenue Ex GST],$BI714),IF($B714="Production",INDEX(tbl_Production[Expected Revenue Ex GST],$BI714),INDEX(tbl_Consulting[Expected Revenue Ex GST],$BI714)))="","",IF($B714="Onsite",INDEX(tbl_Onsite[Expected Revenue Ex GST],$BI714),IF($B714="Production",INDEX(tbl_Production[Expected Revenue Ex GST],$BI714),INDEX(tbl_Consulting[Expected Revenue Ex GST],$BI714)))))</f>
        <v/>
      </c>
      <c r="O714" s="11">
        <f>IF(AND($C714="",NOT(COUNTA($S714:$BB714)&gt;0)),"",SUM(U714,X714,AA714,AD714,AG714,AJ714,AM714,AP714,AS714,AV714,AY714,BB714))</f>
        <v/>
      </c>
      <c r="P714" s="11">
        <f>IF(O714="","",N(N714)-O714)</f>
        <v/>
      </c>
      <c r="Q714" s="10">
        <f>IF(O714="","",IF($C714="","Invoice on empty job row",IF(N714="",IF(ROUND(O714,2)=0,"No dept value","Invoiced - no dept value"),IF(ROUND(O714,2)=0,"Not invoiced - to invoice",IF(ROUND(P714,2)=0,"Agrees",IF(P714&gt;0,"Dept higher - to invoice","Xero higher - check dept"))))))</f>
        <v/>
      </c>
      <c r="R714" s="10">
        <f>IF(AND($C714="",NOT(COUNTA($S714:$BB714)&gt;0),$BI714&lt;&gt;""),"",MID(IF($BI714="","; Row ID not found on the department sheet - a row was deleted","")&amp;IF(AND($C714="",COUNTA($S714:$BB714)&gt;0),"; Invoice entered but the department row has no job number","")&amp;IF(E714="CHECK","; Job number not in the Xero job list","")&amp;IF(AND($C714&lt;&gt;"",COUNTIF($C$7:$C$1506,$C714)&gt;1),"; Job number on more than one row","")&amp;IF(AND($C714&lt;&gt;"",H714=""),"; Dept has not set a cost centre","")&amp;IF(AND($C714&lt;&gt;"",J714=""),"; Dept has not set a tax code","")&amp;IF(AND($C714&lt;&gt;"",N714=""),"; Dept has not entered an expected value","")&amp;IF((IF(OR(COUNTA(S714:U714)=0,AND(COUNTA(S714:U714)=3,ISNUMBER(U714))),0,1)+IF(OR(COUNTA(V714:X714)=0,AND(COUNTA(V714:X714)=3,ISNUMBER(X714))),0,1)+IF(OR(COUNTA(Y714:AA714)=0,AND(COUNTA(Y714:AA714)=3,ISNUMBER(AA714))),0,1)+IF(OR(COUNTA(AB714:AD714)=0,AND(COUNTA(AB714:AD714)=3,ISNUMBER(AD714))),0,1)+IF(OR(COUNTA(AE714:AG714)=0,AND(COUNTA(AE714:AG714)=3,ISNUMBER(AG714))),0,1)+IF(OR(COUNTA(AH714:AJ714)=0,AND(COUNTA(AH714:AJ714)=3,ISNUMBER(AJ714))),0,1)+IF(OR(COUNTA(AK714:AM714)=0,AND(COUNTA(AK714:AM714)=3,ISNUMBER(AM714))),0,1)+IF(OR(COUNTA(AN714:AP714)=0,AND(COUNTA(AN714:AP714)=3,ISNUMBER(AP714))),0,1)+IF(OR(COUNTA(AQ714:AS714)=0,AND(COUNTA(AQ714:AS714)=3,ISNUMBER(AS714))),0,1)+IF(OR(COUNTA(AT714:AV714)=0,AND(COUNTA(AT714:AV714)=3,ISNUMBER(AV714))),0,1)+IF(OR(COUNTA(AW714:AY714)=0,AND(COUNTA(AW714:AY714)=3,ISNUMBER(AY714))),0,1)+IF(OR(COUNTA(AZ714:BB714)=0,AND(COUNTA(AZ714:BB714)=3,ISNUMBER(BB714))),0,1))&gt;0,"; An invoice is incomplete (needs No, Date and a number in Ex GST)","")&amp;IF((IF(T714="",0,IFERROR(--(EOMONTH(T714,0)&lt;&gt;S$5),1))+IF(W714="",0,IFERROR(--(EOMONTH(W714,0)&lt;&gt;V$5),1))+IF(Z714="",0,IFERROR(--(EOMONTH(Z714,0)&lt;&gt;Y$5),1))+IF(AC714="",0,IFERROR(--(EOMONTH(AC714,0)&lt;&gt;AB$5),1))+IF(AF714="",0,IFERROR(--(EOMONTH(AF714,0)&lt;&gt;AE$5),1))+IF(AI714="",0,IFERROR(--(EOMONTH(AI714,0)&lt;&gt;AH$5),1))+IF(AL714="",0,IFERROR(--(EOMONTH(AL714,0)&lt;&gt;AK$5),1))+IF(AO714="",0,IFERROR(--(EOMONTH(AO714,0)&lt;&gt;AN$5),1))+IF(AR714="",0,IFERROR(--(EOMONTH(AR714,0)&lt;&gt;AQ$5),1))+IF(AU714="",0,IFERROR(--(EOMONTH(AU714,0)&lt;&gt;AT$5),1))+IF(AX714="",0,IFERROR(--(EOMONTH(AX714,0)&lt;&gt;AW$5),1))+IF(BA714="",0,IFERROR(--(EOMONTH(BA714,0)&lt;&gt;AZ$5),1)))&gt;0,"; An invoice date is not in the month it is typed under",""),3,500))</f>
        <v/>
      </c>
      <c r="S714" s="12" t="n"/>
      <c r="T714" s="13" t="n"/>
      <c r="U714" s="14" t="n"/>
      <c r="V714" s="12" t="n"/>
      <c r="W714" s="13" t="n"/>
      <c r="X714" s="14" t="n"/>
      <c r="Y714" s="12" t="n"/>
      <c r="Z714" s="13" t="n"/>
      <c r="AA714" s="14" t="n"/>
      <c r="AB714" s="12" t="n"/>
      <c r="AC714" s="13" t="n"/>
      <c r="AD714" s="14" t="n"/>
      <c r="AE714" s="12" t="n"/>
      <c r="AF714" s="13" t="n"/>
      <c r="AG714" s="14" t="n"/>
      <c r="AH714" s="12" t="n"/>
      <c r="AI714" s="13" t="n"/>
      <c r="AJ714" s="14" t="n"/>
      <c r="AK714" s="12" t="n"/>
      <c r="AL714" s="13" t="n"/>
      <c r="AM714" s="14" t="n"/>
      <c r="AN714" s="12" t="n"/>
      <c r="AO714" s="13" t="n"/>
      <c r="AP714" s="14" t="n"/>
      <c r="AQ714" s="12" t="n"/>
      <c r="AR714" s="13" t="n"/>
      <c r="AS714" s="14" t="n"/>
      <c r="AT714" s="12" t="n"/>
      <c r="AU714" s="13" t="n"/>
      <c r="AV714" s="14" t="n"/>
      <c r="AW714" s="12" t="n"/>
      <c r="AX714" s="13" t="n"/>
      <c r="AY714" s="14" t="n"/>
      <c r="AZ714" s="12" t="n"/>
      <c r="BA714" s="13" t="n"/>
      <c r="BB714" s="14" t="n"/>
      <c r="BC714" s="11">
        <f>IF(O714="","",IF(J714="GST 10%",ROUND(O714*set_GSTRate,2),0))</f>
        <v/>
      </c>
      <c r="BD714" s="11">
        <f>IF(O714="","",O714+BC714)</f>
        <v/>
      </c>
      <c r="BE714" s="15">
        <f>IF(O714="","",COUNTA(S714,V714,Y714,AB714,AE714,AH714,AK714,AN714,AQ714,AT714,AW714,AZ714))</f>
        <v/>
      </c>
      <c r="BF714" s="16">
        <f>IF(COUNT(T714,W714,Z714,AC714,AF714,AI714,AL714,AO714,AR714,AU714,AX714,BA714)=0,"",MAX(T714,W714,Z714,AC714,AF714,AI714,AL714,AO714,AR714,AU714,AX714,BA714))</f>
        <v/>
      </c>
      <c r="BG714" s="10">
        <f>MID(IF(S714="","",", "&amp;S714)&amp;IF(V714="","",", "&amp;V714)&amp;IF(Y714="","",", "&amp;Y714)&amp;IF(AB714="","",", "&amp;AB714)&amp;IF(AE714="","",", "&amp;AE714)&amp;IF(AH714="","",", "&amp;AH714)&amp;IF(AK714="","",", "&amp;AK714)&amp;IF(AN714="","",", "&amp;AN714)&amp;IF(AQ714="","",", "&amp;AQ714)&amp;IF(AT714="","",", "&amp;AT714)&amp;IF(AW714="","",", "&amp;AW714)&amp;IF(AZ714="","",", "&amp;AZ714),3,500)</f>
        <v/>
      </c>
      <c r="BH714" s="12" t="n"/>
      <c r="BI714" s="15">
        <f>IFERROR(MATCH($A714,IF($B714="Onsite",tbl_Onsite[Row ID],IF($B714="Production",tbl_Production[Row ID],tbl_Consulting[Row ID])),0),"")</f>
        <v/>
      </c>
    </row>
    <row r="715">
      <c r="A715" s="10" t="inlineStr">
        <is>
          <t>PRD-0209</t>
        </is>
      </c>
      <c r="B715" s="10" t="inlineStr">
        <is>
          <t>Production</t>
        </is>
      </c>
      <c r="C715" s="10">
        <f>IF($BI715="","",IF($B715="Onsite",INDEX(tbl_Onsite[Job Number],$BI715),IF($B715="Production",INDEX(tbl_Production[Job Number],$BI715),INDEX(tbl_Consulting[Job Number],$BI715)))&amp;"")</f>
        <v/>
      </c>
      <c r="D715" s="10">
        <f>IF($BI715="","",IF($B715="Onsite",INDEX(tbl_Onsite[Client],$BI715),IF($B715="Production",INDEX(tbl_Production[Client],$BI715),INDEX(tbl_Consulting[Client],$BI715)))&amp;"")</f>
        <v/>
      </c>
      <c r="E715" s="10">
        <f>IF($C715="","",IF(COUNTIF(lst_Jobs,$C715)&gt;0,"OK","CHECK"))</f>
        <v/>
      </c>
      <c r="F715" s="10">
        <f>IF($C715="","",IFERROR(INDEX(lst_JobName,MATCH($C715,lst_Jobs,0)),""))</f>
        <v/>
      </c>
      <c r="G715" s="10">
        <f>IF($BI715="","",IF($B715="Onsite",INDEX(tbl_Onsite[Job Description],$BI715),IF($B715="Production",INDEX(tbl_Production[Job Description],$BI715),INDEX(tbl_Consulting[Job Description],$BI715)))&amp;"")</f>
        <v/>
      </c>
      <c r="H715" s="10">
        <f>IF($BI715="","",IF($B715="Onsite",INDEX(tbl_Onsite[Cost Centre],$BI715),IF($B715="Production",INDEX(tbl_Production[Cost Centre],$BI715),INDEX(tbl_Consulting[Cost Centre],$BI715)))&amp;"")</f>
        <v/>
      </c>
      <c r="I715" s="10">
        <f>IF($BI715="","",IF($B715="Onsite",INDEX(tbl_Onsite[Invoice Type],$BI715),IF($B715="Production",INDEX(tbl_Production[Invoice Type],$BI715),INDEX(tbl_Consulting[Invoice Type],$BI715)))&amp;"")</f>
        <v/>
      </c>
      <c r="J715" s="10">
        <f>IF($BI715="","",IF($B715="Onsite",INDEX(tbl_Onsite[Tax Code],$BI715),IF($B715="Production",INDEX(tbl_Production[Tax Code],$BI715),INDEX(tbl_Consulting[Tax Code],$BI715)))&amp;"")</f>
        <v/>
      </c>
      <c r="K715" s="10">
        <f>IF(H715="","",IFERROR(INDEX(lst_CCtoGL,MATCH(H715,lst_CCforGL,0)),""))</f>
        <v/>
      </c>
      <c r="L715" s="10">
        <f>IF($BI715="","",IF($B715="Onsite",INDEX(tbl_Onsite[PO / Reference],$BI715),IF($B715="Production",INDEX(tbl_Production[Current RMS No],$BI715),INDEX(tbl_Consulting[Qwilr Quote],$BI715)))&amp;"")</f>
        <v/>
      </c>
      <c r="M715" s="10">
        <f>IF($BI715="","",IF($B715="Onsite",INDEX(tbl_Onsite[Notes],$BI715),IF($B715="Production",INDEX(tbl_Production[Notes],$BI715),INDEX(tbl_Consulting[Notes],$BI715)))&amp;"")</f>
        <v/>
      </c>
      <c r="N715" s="11">
        <f>IF($BI715="","",IF(IF($B715="Onsite",INDEX(tbl_Onsite[Expected Revenue Ex GST],$BI715),IF($B715="Production",INDEX(tbl_Production[Expected Revenue Ex GST],$BI715),INDEX(tbl_Consulting[Expected Revenue Ex GST],$BI715)))="","",IF($B715="Onsite",INDEX(tbl_Onsite[Expected Revenue Ex GST],$BI715),IF($B715="Production",INDEX(tbl_Production[Expected Revenue Ex GST],$BI715),INDEX(tbl_Consulting[Expected Revenue Ex GST],$BI715)))))</f>
        <v/>
      </c>
      <c r="O715" s="11">
        <f>IF(AND($C715="",NOT(COUNTA($S715:$BB715)&gt;0)),"",SUM(U715,X715,AA715,AD715,AG715,AJ715,AM715,AP715,AS715,AV715,AY715,BB715))</f>
        <v/>
      </c>
      <c r="P715" s="11">
        <f>IF(O715="","",N(N715)-O715)</f>
        <v/>
      </c>
      <c r="Q715" s="10">
        <f>IF(O715="","",IF($C715="","Invoice on empty job row",IF(N715="",IF(ROUND(O715,2)=0,"No dept value","Invoiced - no dept value"),IF(ROUND(O715,2)=0,"Not invoiced - to invoice",IF(ROUND(P715,2)=0,"Agrees",IF(P715&gt;0,"Dept higher - to invoice","Xero higher - check dept"))))))</f>
        <v/>
      </c>
      <c r="R715" s="10">
        <f>IF(AND($C715="",NOT(COUNTA($S715:$BB715)&gt;0),$BI715&lt;&gt;""),"",MID(IF($BI715="","; Row ID not found on the department sheet - a row was deleted","")&amp;IF(AND($C715="",COUNTA($S715:$BB715)&gt;0),"; Invoice entered but the department row has no job number","")&amp;IF(E715="CHECK","; Job number not in the Xero job list","")&amp;IF(AND($C715&lt;&gt;"",COUNTIF($C$7:$C$1506,$C715)&gt;1),"; Job number on more than one row","")&amp;IF(AND($C715&lt;&gt;"",H715=""),"; Dept has not set a cost centre","")&amp;IF(AND($C715&lt;&gt;"",J715=""),"; Dept has not set a tax code","")&amp;IF(AND($C715&lt;&gt;"",N715=""),"; Dept has not entered an expected value","")&amp;IF((IF(OR(COUNTA(S715:U715)=0,AND(COUNTA(S715:U715)=3,ISNUMBER(U715))),0,1)+IF(OR(COUNTA(V715:X715)=0,AND(COUNTA(V715:X715)=3,ISNUMBER(X715))),0,1)+IF(OR(COUNTA(Y715:AA715)=0,AND(COUNTA(Y715:AA715)=3,ISNUMBER(AA715))),0,1)+IF(OR(COUNTA(AB715:AD715)=0,AND(COUNTA(AB715:AD715)=3,ISNUMBER(AD715))),0,1)+IF(OR(COUNTA(AE715:AG715)=0,AND(COUNTA(AE715:AG715)=3,ISNUMBER(AG715))),0,1)+IF(OR(COUNTA(AH715:AJ715)=0,AND(COUNTA(AH715:AJ715)=3,ISNUMBER(AJ715))),0,1)+IF(OR(COUNTA(AK715:AM715)=0,AND(COUNTA(AK715:AM715)=3,ISNUMBER(AM715))),0,1)+IF(OR(COUNTA(AN715:AP715)=0,AND(COUNTA(AN715:AP715)=3,ISNUMBER(AP715))),0,1)+IF(OR(COUNTA(AQ715:AS715)=0,AND(COUNTA(AQ715:AS715)=3,ISNUMBER(AS715))),0,1)+IF(OR(COUNTA(AT715:AV715)=0,AND(COUNTA(AT715:AV715)=3,ISNUMBER(AV715))),0,1)+IF(OR(COUNTA(AW715:AY715)=0,AND(COUNTA(AW715:AY715)=3,ISNUMBER(AY715))),0,1)+IF(OR(COUNTA(AZ715:BB715)=0,AND(COUNTA(AZ715:BB715)=3,ISNUMBER(BB715))),0,1))&gt;0,"; An invoice is incomplete (needs No, Date and a number in Ex GST)","")&amp;IF((IF(T715="",0,IFERROR(--(EOMONTH(T715,0)&lt;&gt;S$5),1))+IF(W715="",0,IFERROR(--(EOMONTH(W715,0)&lt;&gt;V$5),1))+IF(Z715="",0,IFERROR(--(EOMONTH(Z715,0)&lt;&gt;Y$5),1))+IF(AC715="",0,IFERROR(--(EOMONTH(AC715,0)&lt;&gt;AB$5),1))+IF(AF715="",0,IFERROR(--(EOMONTH(AF715,0)&lt;&gt;AE$5),1))+IF(AI715="",0,IFERROR(--(EOMONTH(AI715,0)&lt;&gt;AH$5),1))+IF(AL715="",0,IFERROR(--(EOMONTH(AL715,0)&lt;&gt;AK$5),1))+IF(AO715="",0,IFERROR(--(EOMONTH(AO715,0)&lt;&gt;AN$5),1))+IF(AR715="",0,IFERROR(--(EOMONTH(AR715,0)&lt;&gt;AQ$5),1))+IF(AU715="",0,IFERROR(--(EOMONTH(AU715,0)&lt;&gt;AT$5),1))+IF(AX715="",0,IFERROR(--(EOMONTH(AX715,0)&lt;&gt;AW$5),1))+IF(BA715="",0,IFERROR(--(EOMONTH(BA715,0)&lt;&gt;AZ$5),1)))&gt;0,"; An invoice date is not in the month it is typed under",""),3,500))</f>
        <v/>
      </c>
      <c r="S715" s="12" t="n"/>
      <c r="T715" s="13" t="n"/>
      <c r="U715" s="14" t="n"/>
      <c r="V715" s="12" t="n"/>
      <c r="W715" s="13" t="n"/>
      <c r="X715" s="14" t="n"/>
      <c r="Y715" s="12" t="n"/>
      <c r="Z715" s="13" t="n"/>
      <c r="AA715" s="14" t="n"/>
      <c r="AB715" s="12" t="n"/>
      <c r="AC715" s="13" t="n"/>
      <c r="AD715" s="14" t="n"/>
      <c r="AE715" s="12" t="n"/>
      <c r="AF715" s="13" t="n"/>
      <c r="AG715" s="14" t="n"/>
      <c r="AH715" s="12" t="n"/>
      <c r="AI715" s="13" t="n"/>
      <c r="AJ715" s="14" t="n"/>
      <c r="AK715" s="12" t="n"/>
      <c r="AL715" s="13" t="n"/>
      <c r="AM715" s="14" t="n"/>
      <c r="AN715" s="12" t="n"/>
      <c r="AO715" s="13" t="n"/>
      <c r="AP715" s="14" t="n"/>
      <c r="AQ715" s="12" t="n"/>
      <c r="AR715" s="13" t="n"/>
      <c r="AS715" s="14" t="n"/>
      <c r="AT715" s="12" t="n"/>
      <c r="AU715" s="13" t="n"/>
      <c r="AV715" s="14" t="n"/>
      <c r="AW715" s="12" t="n"/>
      <c r="AX715" s="13" t="n"/>
      <c r="AY715" s="14" t="n"/>
      <c r="AZ715" s="12" t="n"/>
      <c r="BA715" s="13" t="n"/>
      <c r="BB715" s="14" t="n"/>
      <c r="BC715" s="11">
        <f>IF(O715="","",IF(J715="GST 10%",ROUND(O715*set_GSTRate,2),0))</f>
        <v/>
      </c>
      <c r="BD715" s="11">
        <f>IF(O715="","",O715+BC715)</f>
        <v/>
      </c>
      <c r="BE715" s="15">
        <f>IF(O715="","",COUNTA(S715,V715,Y715,AB715,AE715,AH715,AK715,AN715,AQ715,AT715,AW715,AZ715))</f>
        <v/>
      </c>
      <c r="BF715" s="16">
        <f>IF(COUNT(T715,W715,Z715,AC715,AF715,AI715,AL715,AO715,AR715,AU715,AX715,BA715)=0,"",MAX(T715,W715,Z715,AC715,AF715,AI715,AL715,AO715,AR715,AU715,AX715,BA715))</f>
        <v/>
      </c>
      <c r="BG715" s="10">
        <f>MID(IF(S715="","",", "&amp;S715)&amp;IF(V715="","",", "&amp;V715)&amp;IF(Y715="","",", "&amp;Y715)&amp;IF(AB715="","",", "&amp;AB715)&amp;IF(AE715="","",", "&amp;AE715)&amp;IF(AH715="","",", "&amp;AH715)&amp;IF(AK715="","",", "&amp;AK715)&amp;IF(AN715="","",", "&amp;AN715)&amp;IF(AQ715="","",", "&amp;AQ715)&amp;IF(AT715="","",", "&amp;AT715)&amp;IF(AW715="","",", "&amp;AW715)&amp;IF(AZ715="","",", "&amp;AZ715),3,500)</f>
        <v/>
      </c>
      <c r="BH715" s="12" t="n"/>
      <c r="BI715" s="15">
        <f>IFERROR(MATCH($A715,IF($B715="Onsite",tbl_Onsite[Row ID],IF($B715="Production",tbl_Production[Row ID],tbl_Consulting[Row ID])),0),"")</f>
        <v/>
      </c>
    </row>
    <row r="716">
      <c r="A716" s="10" t="inlineStr">
        <is>
          <t>PRD-0210</t>
        </is>
      </c>
      <c r="B716" s="10" t="inlineStr">
        <is>
          <t>Production</t>
        </is>
      </c>
      <c r="C716" s="10">
        <f>IF($BI716="","",IF($B716="Onsite",INDEX(tbl_Onsite[Job Number],$BI716),IF($B716="Production",INDEX(tbl_Production[Job Number],$BI716),INDEX(tbl_Consulting[Job Number],$BI716)))&amp;"")</f>
        <v/>
      </c>
      <c r="D716" s="10">
        <f>IF($BI716="","",IF($B716="Onsite",INDEX(tbl_Onsite[Client],$BI716),IF($B716="Production",INDEX(tbl_Production[Client],$BI716),INDEX(tbl_Consulting[Client],$BI716)))&amp;"")</f>
        <v/>
      </c>
      <c r="E716" s="10">
        <f>IF($C716="","",IF(COUNTIF(lst_Jobs,$C716)&gt;0,"OK","CHECK"))</f>
        <v/>
      </c>
      <c r="F716" s="10">
        <f>IF($C716="","",IFERROR(INDEX(lst_JobName,MATCH($C716,lst_Jobs,0)),""))</f>
        <v/>
      </c>
      <c r="G716" s="10">
        <f>IF($BI716="","",IF($B716="Onsite",INDEX(tbl_Onsite[Job Description],$BI716),IF($B716="Production",INDEX(tbl_Production[Job Description],$BI716),INDEX(tbl_Consulting[Job Description],$BI716)))&amp;"")</f>
        <v/>
      </c>
      <c r="H716" s="10">
        <f>IF($BI716="","",IF($B716="Onsite",INDEX(tbl_Onsite[Cost Centre],$BI716),IF($B716="Production",INDEX(tbl_Production[Cost Centre],$BI716),INDEX(tbl_Consulting[Cost Centre],$BI716)))&amp;"")</f>
        <v/>
      </c>
      <c r="I716" s="10">
        <f>IF($BI716="","",IF($B716="Onsite",INDEX(tbl_Onsite[Invoice Type],$BI716),IF($B716="Production",INDEX(tbl_Production[Invoice Type],$BI716),INDEX(tbl_Consulting[Invoice Type],$BI716)))&amp;"")</f>
        <v/>
      </c>
      <c r="J716" s="10">
        <f>IF($BI716="","",IF($B716="Onsite",INDEX(tbl_Onsite[Tax Code],$BI716),IF($B716="Production",INDEX(tbl_Production[Tax Code],$BI716),INDEX(tbl_Consulting[Tax Code],$BI716)))&amp;"")</f>
        <v/>
      </c>
      <c r="K716" s="10">
        <f>IF(H716="","",IFERROR(INDEX(lst_CCtoGL,MATCH(H716,lst_CCforGL,0)),""))</f>
        <v/>
      </c>
      <c r="L716" s="10">
        <f>IF($BI716="","",IF($B716="Onsite",INDEX(tbl_Onsite[PO / Reference],$BI716),IF($B716="Production",INDEX(tbl_Production[Current RMS No],$BI716),INDEX(tbl_Consulting[Qwilr Quote],$BI716)))&amp;"")</f>
        <v/>
      </c>
      <c r="M716" s="10">
        <f>IF($BI716="","",IF($B716="Onsite",INDEX(tbl_Onsite[Notes],$BI716),IF($B716="Production",INDEX(tbl_Production[Notes],$BI716),INDEX(tbl_Consulting[Notes],$BI716)))&amp;"")</f>
        <v/>
      </c>
      <c r="N716" s="11">
        <f>IF($BI716="","",IF(IF($B716="Onsite",INDEX(tbl_Onsite[Expected Revenue Ex GST],$BI716),IF($B716="Production",INDEX(tbl_Production[Expected Revenue Ex GST],$BI716),INDEX(tbl_Consulting[Expected Revenue Ex GST],$BI716)))="","",IF($B716="Onsite",INDEX(tbl_Onsite[Expected Revenue Ex GST],$BI716),IF($B716="Production",INDEX(tbl_Production[Expected Revenue Ex GST],$BI716),INDEX(tbl_Consulting[Expected Revenue Ex GST],$BI716)))))</f>
        <v/>
      </c>
      <c r="O716" s="11">
        <f>IF(AND($C716="",NOT(COUNTA($S716:$BB716)&gt;0)),"",SUM(U716,X716,AA716,AD716,AG716,AJ716,AM716,AP716,AS716,AV716,AY716,BB716))</f>
        <v/>
      </c>
      <c r="P716" s="11">
        <f>IF(O716="","",N(N716)-O716)</f>
        <v/>
      </c>
      <c r="Q716" s="10">
        <f>IF(O716="","",IF($C716="","Invoice on empty job row",IF(N716="",IF(ROUND(O716,2)=0,"No dept value","Invoiced - no dept value"),IF(ROUND(O716,2)=0,"Not invoiced - to invoice",IF(ROUND(P716,2)=0,"Agrees",IF(P716&gt;0,"Dept higher - to invoice","Xero higher - check dept"))))))</f>
        <v/>
      </c>
      <c r="R716" s="10">
        <f>IF(AND($C716="",NOT(COUNTA($S716:$BB716)&gt;0),$BI716&lt;&gt;""),"",MID(IF($BI716="","; Row ID not found on the department sheet - a row was deleted","")&amp;IF(AND($C716="",COUNTA($S716:$BB716)&gt;0),"; Invoice entered but the department row has no job number","")&amp;IF(E716="CHECK","; Job number not in the Xero job list","")&amp;IF(AND($C716&lt;&gt;"",COUNTIF($C$7:$C$1506,$C716)&gt;1),"; Job number on more than one row","")&amp;IF(AND($C716&lt;&gt;"",H716=""),"; Dept has not set a cost centre","")&amp;IF(AND($C716&lt;&gt;"",J716=""),"; Dept has not set a tax code","")&amp;IF(AND($C716&lt;&gt;"",N716=""),"; Dept has not entered an expected value","")&amp;IF((IF(OR(COUNTA(S716:U716)=0,AND(COUNTA(S716:U716)=3,ISNUMBER(U716))),0,1)+IF(OR(COUNTA(V716:X716)=0,AND(COUNTA(V716:X716)=3,ISNUMBER(X716))),0,1)+IF(OR(COUNTA(Y716:AA716)=0,AND(COUNTA(Y716:AA716)=3,ISNUMBER(AA716))),0,1)+IF(OR(COUNTA(AB716:AD716)=0,AND(COUNTA(AB716:AD716)=3,ISNUMBER(AD716))),0,1)+IF(OR(COUNTA(AE716:AG716)=0,AND(COUNTA(AE716:AG716)=3,ISNUMBER(AG716))),0,1)+IF(OR(COUNTA(AH716:AJ716)=0,AND(COUNTA(AH716:AJ716)=3,ISNUMBER(AJ716))),0,1)+IF(OR(COUNTA(AK716:AM716)=0,AND(COUNTA(AK716:AM716)=3,ISNUMBER(AM716))),0,1)+IF(OR(COUNTA(AN716:AP716)=0,AND(COUNTA(AN716:AP716)=3,ISNUMBER(AP716))),0,1)+IF(OR(COUNTA(AQ716:AS716)=0,AND(COUNTA(AQ716:AS716)=3,ISNUMBER(AS716))),0,1)+IF(OR(COUNTA(AT716:AV716)=0,AND(COUNTA(AT716:AV716)=3,ISNUMBER(AV716))),0,1)+IF(OR(COUNTA(AW716:AY716)=0,AND(COUNTA(AW716:AY716)=3,ISNUMBER(AY716))),0,1)+IF(OR(COUNTA(AZ716:BB716)=0,AND(COUNTA(AZ716:BB716)=3,ISNUMBER(BB716))),0,1))&gt;0,"; An invoice is incomplete (needs No, Date and a number in Ex GST)","")&amp;IF((IF(T716="",0,IFERROR(--(EOMONTH(T716,0)&lt;&gt;S$5),1))+IF(W716="",0,IFERROR(--(EOMONTH(W716,0)&lt;&gt;V$5),1))+IF(Z716="",0,IFERROR(--(EOMONTH(Z716,0)&lt;&gt;Y$5),1))+IF(AC716="",0,IFERROR(--(EOMONTH(AC716,0)&lt;&gt;AB$5),1))+IF(AF716="",0,IFERROR(--(EOMONTH(AF716,0)&lt;&gt;AE$5),1))+IF(AI716="",0,IFERROR(--(EOMONTH(AI716,0)&lt;&gt;AH$5),1))+IF(AL716="",0,IFERROR(--(EOMONTH(AL716,0)&lt;&gt;AK$5),1))+IF(AO716="",0,IFERROR(--(EOMONTH(AO716,0)&lt;&gt;AN$5),1))+IF(AR716="",0,IFERROR(--(EOMONTH(AR716,0)&lt;&gt;AQ$5),1))+IF(AU716="",0,IFERROR(--(EOMONTH(AU716,0)&lt;&gt;AT$5),1))+IF(AX716="",0,IFERROR(--(EOMONTH(AX716,0)&lt;&gt;AW$5),1))+IF(BA716="",0,IFERROR(--(EOMONTH(BA716,0)&lt;&gt;AZ$5),1)))&gt;0,"; An invoice date is not in the month it is typed under",""),3,500))</f>
        <v/>
      </c>
      <c r="S716" s="12" t="n"/>
      <c r="T716" s="13" t="n"/>
      <c r="U716" s="14" t="n"/>
      <c r="V716" s="12" t="n"/>
      <c r="W716" s="13" t="n"/>
      <c r="X716" s="14" t="n"/>
      <c r="Y716" s="12" t="n"/>
      <c r="Z716" s="13" t="n"/>
      <c r="AA716" s="14" t="n"/>
      <c r="AB716" s="12" t="n"/>
      <c r="AC716" s="13" t="n"/>
      <c r="AD716" s="14" t="n"/>
      <c r="AE716" s="12" t="n"/>
      <c r="AF716" s="13" t="n"/>
      <c r="AG716" s="14" t="n"/>
      <c r="AH716" s="12" t="n"/>
      <c r="AI716" s="13" t="n"/>
      <c r="AJ716" s="14" t="n"/>
      <c r="AK716" s="12" t="n"/>
      <c r="AL716" s="13" t="n"/>
      <c r="AM716" s="14" t="n"/>
      <c r="AN716" s="12" t="n"/>
      <c r="AO716" s="13" t="n"/>
      <c r="AP716" s="14" t="n"/>
      <c r="AQ716" s="12" t="n"/>
      <c r="AR716" s="13" t="n"/>
      <c r="AS716" s="14" t="n"/>
      <c r="AT716" s="12" t="n"/>
      <c r="AU716" s="13" t="n"/>
      <c r="AV716" s="14" t="n"/>
      <c r="AW716" s="12" t="n"/>
      <c r="AX716" s="13" t="n"/>
      <c r="AY716" s="14" t="n"/>
      <c r="AZ716" s="12" t="n"/>
      <c r="BA716" s="13" t="n"/>
      <c r="BB716" s="14" t="n"/>
      <c r="BC716" s="11">
        <f>IF(O716="","",IF(J716="GST 10%",ROUND(O716*set_GSTRate,2),0))</f>
        <v/>
      </c>
      <c r="BD716" s="11">
        <f>IF(O716="","",O716+BC716)</f>
        <v/>
      </c>
      <c r="BE716" s="15">
        <f>IF(O716="","",COUNTA(S716,V716,Y716,AB716,AE716,AH716,AK716,AN716,AQ716,AT716,AW716,AZ716))</f>
        <v/>
      </c>
      <c r="BF716" s="16">
        <f>IF(COUNT(T716,W716,Z716,AC716,AF716,AI716,AL716,AO716,AR716,AU716,AX716,BA716)=0,"",MAX(T716,W716,Z716,AC716,AF716,AI716,AL716,AO716,AR716,AU716,AX716,BA716))</f>
        <v/>
      </c>
      <c r="BG716" s="10">
        <f>MID(IF(S716="","",", "&amp;S716)&amp;IF(V716="","",", "&amp;V716)&amp;IF(Y716="","",", "&amp;Y716)&amp;IF(AB716="","",", "&amp;AB716)&amp;IF(AE716="","",", "&amp;AE716)&amp;IF(AH716="","",", "&amp;AH716)&amp;IF(AK716="","",", "&amp;AK716)&amp;IF(AN716="","",", "&amp;AN716)&amp;IF(AQ716="","",", "&amp;AQ716)&amp;IF(AT716="","",", "&amp;AT716)&amp;IF(AW716="","",", "&amp;AW716)&amp;IF(AZ716="","",", "&amp;AZ716),3,500)</f>
        <v/>
      </c>
      <c r="BH716" s="12" t="n"/>
      <c r="BI716" s="15">
        <f>IFERROR(MATCH($A716,IF($B716="Onsite",tbl_Onsite[Row ID],IF($B716="Production",tbl_Production[Row ID],tbl_Consulting[Row ID])),0),"")</f>
        <v/>
      </c>
    </row>
    <row r="717">
      <c r="A717" s="10" t="inlineStr">
        <is>
          <t>PRD-0211</t>
        </is>
      </c>
      <c r="B717" s="10" t="inlineStr">
        <is>
          <t>Production</t>
        </is>
      </c>
      <c r="C717" s="10">
        <f>IF($BI717="","",IF($B717="Onsite",INDEX(tbl_Onsite[Job Number],$BI717),IF($B717="Production",INDEX(tbl_Production[Job Number],$BI717),INDEX(tbl_Consulting[Job Number],$BI717)))&amp;"")</f>
        <v/>
      </c>
      <c r="D717" s="10">
        <f>IF($BI717="","",IF($B717="Onsite",INDEX(tbl_Onsite[Client],$BI717),IF($B717="Production",INDEX(tbl_Production[Client],$BI717),INDEX(tbl_Consulting[Client],$BI717)))&amp;"")</f>
        <v/>
      </c>
      <c r="E717" s="10">
        <f>IF($C717="","",IF(COUNTIF(lst_Jobs,$C717)&gt;0,"OK","CHECK"))</f>
        <v/>
      </c>
      <c r="F717" s="10">
        <f>IF($C717="","",IFERROR(INDEX(lst_JobName,MATCH($C717,lst_Jobs,0)),""))</f>
        <v/>
      </c>
      <c r="G717" s="10">
        <f>IF($BI717="","",IF($B717="Onsite",INDEX(tbl_Onsite[Job Description],$BI717),IF($B717="Production",INDEX(tbl_Production[Job Description],$BI717),INDEX(tbl_Consulting[Job Description],$BI717)))&amp;"")</f>
        <v/>
      </c>
      <c r="H717" s="10">
        <f>IF($BI717="","",IF($B717="Onsite",INDEX(tbl_Onsite[Cost Centre],$BI717),IF($B717="Production",INDEX(tbl_Production[Cost Centre],$BI717),INDEX(tbl_Consulting[Cost Centre],$BI717)))&amp;"")</f>
        <v/>
      </c>
      <c r="I717" s="10">
        <f>IF($BI717="","",IF($B717="Onsite",INDEX(tbl_Onsite[Invoice Type],$BI717),IF($B717="Production",INDEX(tbl_Production[Invoice Type],$BI717),INDEX(tbl_Consulting[Invoice Type],$BI717)))&amp;"")</f>
        <v/>
      </c>
      <c r="J717" s="10">
        <f>IF($BI717="","",IF($B717="Onsite",INDEX(tbl_Onsite[Tax Code],$BI717),IF($B717="Production",INDEX(tbl_Production[Tax Code],$BI717),INDEX(tbl_Consulting[Tax Code],$BI717)))&amp;"")</f>
        <v/>
      </c>
      <c r="K717" s="10">
        <f>IF(H717="","",IFERROR(INDEX(lst_CCtoGL,MATCH(H717,lst_CCforGL,0)),""))</f>
        <v/>
      </c>
      <c r="L717" s="10">
        <f>IF($BI717="","",IF($B717="Onsite",INDEX(tbl_Onsite[PO / Reference],$BI717),IF($B717="Production",INDEX(tbl_Production[Current RMS No],$BI717),INDEX(tbl_Consulting[Qwilr Quote],$BI717)))&amp;"")</f>
        <v/>
      </c>
      <c r="M717" s="10">
        <f>IF($BI717="","",IF($B717="Onsite",INDEX(tbl_Onsite[Notes],$BI717),IF($B717="Production",INDEX(tbl_Production[Notes],$BI717),INDEX(tbl_Consulting[Notes],$BI717)))&amp;"")</f>
        <v/>
      </c>
      <c r="N717" s="11">
        <f>IF($BI717="","",IF(IF($B717="Onsite",INDEX(tbl_Onsite[Expected Revenue Ex GST],$BI717),IF($B717="Production",INDEX(tbl_Production[Expected Revenue Ex GST],$BI717),INDEX(tbl_Consulting[Expected Revenue Ex GST],$BI717)))="","",IF($B717="Onsite",INDEX(tbl_Onsite[Expected Revenue Ex GST],$BI717),IF($B717="Production",INDEX(tbl_Production[Expected Revenue Ex GST],$BI717),INDEX(tbl_Consulting[Expected Revenue Ex GST],$BI717)))))</f>
        <v/>
      </c>
      <c r="O717" s="11">
        <f>IF(AND($C717="",NOT(COUNTA($S717:$BB717)&gt;0)),"",SUM(U717,X717,AA717,AD717,AG717,AJ717,AM717,AP717,AS717,AV717,AY717,BB717))</f>
        <v/>
      </c>
      <c r="P717" s="11">
        <f>IF(O717="","",N(N717)-O717)</f>
        <v/>
      </c>
      <c r="Q717" s="10">
        <f>IF(O717="","",IF($C717="","Invoice on empty job row",IF(N717="",IF(ROUND(O717,2)=0,"No dept value","Invoiced - no dept value"),IF(ROUND(O717,2)=0,"Not invoiced - to invoice",IF(ROUND(P717,2)=0,"Agrees",IF(P717&gt;0,"Dept higher - to invoice","Xero higher - check dept"))))))</f>
        <v/>
      </c>
      <c r="R717" s="10">
        <f>IF(AND($C717="",NOT(COUNTA($S717:$BB717)&gt;0),$BI717&lt;&gt;""),"",MID(IF($BI717="","; Row ID not found on the department sheet - a row was deleted","")&amp;IF(AND($C717="",COUNTA($S717:$BB717)&gt;0),"; Invoice entered but the department row has no job number","")&amp;IF(E717="CHECK","; Job number not in the Xero job list","")&amp;IF(AND($C717&lt;&gt;"",COUNTIF($C$7:$C$1506,$C717)&gt;1),"; Job number on more than one row","")&amp;IF(AND($C717&lt;&gt;"",H717=""),"; Dept has not set a cost centre","")&amp;IF(AND($C717&lt;&gt;"",J717=""),"; Dept has not set a tax code","")&amp;IF(AND($C717&lt;&gt;"",N717=""),"; Dept has not entered an expected value","")&amp;IF((IF(OR(COUNTA(S717:U717)=0,AND(COUNTA(S717:U717)=3,ISNUMBER(U717))),0,1)+IF(OR(COUNTA(V717:X717)=0,AND(COUNTA(V717:X717)=3,ISNUMBER(X717))),0,1)+IF(OR(COUNTA(Y717:AA717)=0,AND(COUNTA(Y717:AA717)=3,ISNUMBER(AA717))),0,1)+IF(OR(COUNTA(AB717:AD717)=0,AND(COUNTA(AB717:AD717)=3,ISNUMBER(AD717))),0,1)+IF(OR(COUNTA(AE717:AG717)=0,AND(COUNTA(AE717:AG717)=3,ISNUMBER(AG717))),0,1)+IF(OR(COUNTA(AH717:AJ717)=0,AND(COUNTA(AH717:AJ717)=3,ISNUMBER(AJ717))),0,1)+IF(OR(COUNTA(AK717:AM717)=0,AND(COUNTA(AK717:AM717)=3,ISNUMBER(AM717))),0,1)+IF(OR(COUNTA(AN717:AP717)=0,AND(COUNTA(AN717:AP717)=3,ISNUMBER(AP717))),0,1)+IF(OR(COUNTA(AQ717:AS717)=0,AND(COUNTA(AQ717:AS717)=3,ISNUMBER(AS717))),0,1)+IF(OR(COUNTA(AT717:AV717)=0,AND(COUNTA(AT717:AV717)=3,ISNUMBER(AV717))),0,1)+IF(OR(COUNTA(AW717:AY717)=0,AND(COUNTA(AW717:AY717)=3,ISNUMBER(AY717))),0,1)+IF(OR(COUNTA(AZ717:BB717)=0,AND(COUNTA(AZ717:BB717)=3,ISNUMBER(BB717))),0,1))&gt;0,"; An invoice is incomplete (needs No, Date and a number in Ex GST)","")&amp;IF((IF(T717="",0,IFERROR(--(EOMONTH(T717,0)&lt;&gt;S$5),1))+IF(W717="",0,IFERROR(--(EOMONTH(W717,0)&lt;&gt;V$5),1))+IF(Z717="",0,IFERROR(--(EOMONTH(Z717,0)&lt;&gt;Y$5),1))+IF(AC717="",0,IFERROR(--(EOMONTH(AC717,0)&lt;&gt;AB$5),1))+IF(AF717="",0,IFERROR(--(EOMONTH(AF717,0)&lt;&gt;AE$5),1))+IF(AI717="",0,IFERROR(--(EOMONTH(AI717,0)&lt;&gt;AH$5),1))+IF(AL717="",0,IFERROR(--(EOMONTH(AL717,0)&lt;&gt;AK$5),1))+IF(AO717="",0,IFERROR(--(EOMONTH(AO717,0)&lt;&gt;AN$5),1))+IF(AR717="",0,IFERROR(--(EOMONTH(AR717,0)&lt;&gt;AQ$5),1))+IF(AU717="",0,IFERROR(--(EOMONTH(AU717,0)&lt;&gt;AT$5),1))+IF(AX717="",0,IFERROR(--(EOMONTH(AX717,0)&lt;&gt;AW$5),1))+IF(BA717="",0,IFERROR(--(EOMONTH(BA717,0)&lt;&gt;AZ$5),1)))&gt;0,"; An invoice date is not in the month it is typed under",""),3,500))</f>
        <v/>
      </c>
      <c r="S717" s="12" t="n"/>
      <c r="T717" s="13" t="n"/>
      <c r="U717" s="14" t="n"/>
      <c r="V717" s="12" t="n"/>
      <c r="W717" s="13" t="n"/>
      <c r="X717" s="14" t="n"/>
      <c r="Y717" s="12" t="n"/>
      <c r="Z717" s="13" t="n"/>
      <c r="AA717" s="14" t="n"/>
      <c r="AB717" s="12" t="n"/>
      <c r="AC717" s="13" t="n"/>
      <c r="AD717" s="14" t="n"/>
      <c r="AE717" s="12" t="n"/>
      <c r="AF717" s="13" t="n"/>
      <c r="AG717" s="14" t="n"/>
      <c r="AH717" s="12" t="n"/>
      <c r="AI717" s="13" t="n"/>
      <c r="AJ717" s="14" t="n"/>
      <c r="AK717" s="12" t="n"/>
      <c r="AL717" s="13" t="n"/>
      <c r="AM717" s="14" t="n"/>
      <c r="AN717" s="12" t="n"/>
      <c r="AO717" s="13" t="n"/>
      <c r="AP717" s="14" t="n"/>
      <c r="AQ717" s="12" t="n"/>
      <c r="AR717" s="13" t="n"/>
      <c r="AS717" s="14" t="n"/>
      <c r="AT717" s="12" t="n"/>
      <c r="AU717" s="13" t="n"/>
      <c r="AV717" s="14" t="n"/>
      <c r="AW717" s="12" t="n"/>
      <c r="AX717" s="13" t="n"/>
      <c r="AY717" s="14" t="n"/>
      <c r="AZ717" s="12" t="n"/>
      <c r="BA717" s="13" t="n"/>
      <c r="BB717" s="14" t="n"/>
      <c r="BC717" s="11">
        <f>IF(O717="","",IF(J717="GST 10%",ROUND(O717*set_GSTRate,2),0))</f>
        <v/>
      </c>
      <c r="BD717" s="11">
        <f>IF(O717="","",O717+BC717)</f>
        <v/>
      </c>
      <c r="BE717" s="15">
        <f>IF(O717="","",COUNTA(S717,V717,Y717,AB717,AE717,AH717,AK717,AN717,AQ717,AT717,AW717,AZ717))</f>
        <v/>
      </c>
      <c r="BF717" s="16">
        <f>IF(COUNT(T717,W717,Z717,AC717,AF717,AI717,AL717,AO717,AR717,AU717,AX717,BA717)=0,"",MAX(T717,W717,Z717,AC717,AF717,AI717,AL717,AO717,AR717,AU717,AX717,BA717))</f>
        <v/>
      </c>
      <c r="BG717" s="10">
        <f>MID(IF(S717="","",", "&amp;S717)&amp;IF(V717="","",", "&amp;V717)&amp;IF(Y717="","",", "&amp;Y717)&amp;IF(AB717="","",", "&amp;AB717)&amp;IF(AE717="","",", "&amp;AE717)&amp;IF(AH717="","",", "&amp;AH717)&amp;IF(AK717="","",", "&amp;AK717)&amp;IF(AN717="","",", "&amp;AN717)&amp;IF(AQ717="","",", "&amp;AQ717)&amp;IF(AT717="","",", "&amp;AT717)&amp;IF(AW717="","",", "&amp;AW717)&amp;IF(AZ717="","",", "&amp;AZ717),3,500)</f>
        <v/>
      </c>
      <c r="BH717" s="12" t="n"/>
      <c r="BI717" s="15">
        <f>IFERROR(MATCH($A717,IF($B717="Onsite",tbl_Onsite[Row ID],IF($B717="Production",tbl_Production[Row ID],tbl_Consulting[Row ID])),0),"")</f>
        <v/>
      </c>
    </row>
    <row r="718">
      <c r="A718" s="10" t="inlineStr">
        <is>
          <t>PRD-0212</t>
        </is>
      </c>
      <c r="B718" s="10" t="inlineStr">
        <is>
          <t>Production</t>
        </is>
      </c>
      <c r="C718" s="10">
        <f>IF($BI718="","",IF($B718="Onsite",INDEX(tbl_Onsite[Job Number],$BI718),IF($B718="Production",INDEX(tbl_Production[Job Number],$BI718),INDEX(tbl_Consulting[Job Number],$BI718)))&amp;"")</f>
        <v/>
      </c>
      <c r="D718" s="10">
        <f>IF($BI718="","",IF($B718="Onsite",INDEX(tbl_Onsite[Client],$BI718),IF($B718="Production",INDEX(tbl_Production[Client],$BI718),INDEX(tbl_Consulting[Client],$BI718)))&amp;"")</f>
        <v/>
      </c>
      <c r="E718" s="10">
        <f>IF($C718="","",IF(COUNTIF(lst_Jobs,$C718)&gt;0,"OK","CHECK"))</f>
        <v/>
      </c>
      <c r="F718" s="10">
        <f>IF($C718="","",IFERROR(INDEX(lst_JobName,MATCH($C718,lst_Jobs,0)),""))</f>
        <v/>
      </c>
      <c r="G718" s="10">
        <f>IF($BI718="","",IF($B718="Onsite",INDEX(tbl_Onsite[Job Description],$BI718),IF($B718="Production",INDEX(tbl_Production[Job Description],$BI718),INDEX(tbl_Consulting[Job Description],$BI718)))&amp;"")</f>
        <v/>
      </c>
      <c r="H718" s="10">
        <f>IF($BI718="","",IF($B718="Onsite",INDEX(tbl_Onsite[Cost Centre],$BI718),IF($B718="Production",INDEX(tbl_Production[Cost Centre],$BI718),INDEX(tbl_Consulting[Cost Centre],$BI718)))&amp;"")</f>
        <v/>
      </c>
      <c r="I718" s="10">
        <f>IF($BI718="","",IF($B718="Onsite",INDEX(tbl_Onsite[Invoice Type],$BI718),IF($B718="Production",INDEX(tbl_Production[Invoice Type],$BI718),INDEX(tbl_Consulting[Invoice Type],$BI718)))&amp;"")</f>
        <v/>
      </c>
      <c r="J718" s="10">
        <f>IF($BI718="","",IF($B718="Onsite",INDEX(tbl_Onsite[Tax Code],$BI718),IF($B718="Production",INDEX(tbl_Production[Tax Code],$BI718),INDEX(tbl_Consulting[Tax Code],$BI718)))&amp;"")</f>
        <v/>
      </c>
      <c r="K718" s="10">
        <f>IF(H718="","",IFERROR(INDEX(lst_CCtoGL,MATCH(H718,lst_CCforGL,0)),""))</f>
        <v/>
      </c>
      <c r="L718" s="10">
        <f>IF($BI718="","",IF($B718="Onsite",INDEX(tbl_Onsite[PO / Reference],$BI718),IF($B718="Production",INDEX(tbl_Production[Current RMS No],$BI718),INDEX(tbl_Consulting[Qwilr Quote],$BI718)))&amp;"")</f>
        <v/>
      </c>
      <c r="M718" s="10">
        <f>IF($BI718="","",IF($B718="Onsite",INDEX(tbl_Onsite[Notes],$BI718),IF($B718="Production",INDEX(tbl_Production[Notes],$BI718),INDEX(tbl_Consulting[Notes],$BI718)))&amp;"")</f>
        <v/>
      </c>
      <c r="N718" s="11">
        <f>IF($BI718="","",IF(IF($B718="Onsite",INDEX(tbl_Onsite[Expected Revenue Ex GST],$BI718),IF($B718="Production",INDEX(tbl_Production[Expected Revenue Ex GST],$BI718),INDEX(tbl_Consulting[Expected Revenue Ex GST],$BI718)))="","",IF($B718="Onsite",INDEX(tbl_Onsite[Expected Revenue Ex GST],$BI718),IF($B718="Production",INDEX(tbl_Production[Expected Revenue Ex GST],$BI718),INDEX(tbl_Consulting[Expected Revenue Ex GST],$BI718)))))</f>
        <v/>
      </c>
      <c r="O718" s="11">
        <f>IF(AND($C718="",NOT(COUNTA($S718:$BB718)&gt;0)),"",SUM(U718,X718,AA718,AD718,AG718,AJ718,AM718,AP718,AS718,AV718,AY718,BB718))</f>
        <v/>
      </c>
      <c r="P718" s="11">
        <f>IF(O718="","",N(N718)-O718)</f>
        <v/>
      </c>
      <c r="Q718" s="10">
        <f>IF(O718="","",IF($C718="","Invoice on empty job row",IF(N718="",IF(ROUND(O718,2)=0,"No dept value","Invoiced - no dept value"),IF(ROUND(O718,2)=0,"Not invoiced - to invoice",IF(ROUND(P718,2)=0,"Agrees",IF(P718&gt;0,"Dept higher - to invoice","Xero higher - check dept"))))))</f>
        <v/>
      </c>
      <c r="R718" s="10">
        <f>IF(AND($C718="",NOT(COUNTA($S718:$BB718)&gt;0),$BI718&lt;&gt;""),"",MID(IF($BI718="","; Row ID not found on the department sheet - a row was deleted","")&amp;IF(AND($C718="",COUNTA($S718:$BB718)&gt;0),"; Invoice entered but the department row has no job number","")&amp;IF(E718="CHECK","; Job number not in the Xero job list","")&amp;IF(AND($C718&lt;&gt;"",COUNTIF($C$7:$C$1506,$C718)&gt;1),"; Job number on more than one row","")&amp;IF(AND($C718&lt;&gt;"",H718=""),"; Dept has not set a cost centre","")&amp;IF(AND($C718&lt;&gt;"",J718=""),"; Dept has not set a tax code","")&amp;IF(AND($C718&lt;&gt;"",N718=""),"; Dept has not entered an expected value","")&amp;IF((IF(OR(COUNTA(S718:U718)=0,AND(COUNTA(S718:U718)=3,ISNUMBER(U718))),0,1)+IF(OR(COUNTA(V718:X718)=0,AND(COUNTA(V718:X718)=3,ISNUMBER(X718))),0,1)+IF(OR(COUNTA(Y718:AA718)=0,AND(COUNTA(Y718:AA718)=3,ISNUMBER(AA718))),0,1)+IF(OR(COUNTA(AB718:AD718)=0,AND(COUNTA(AB718:AD718)=3,ISNUMBER(AD718))),0,1)+IF(OR(COUNTA(AE718:AG718)=0,AND(COUNTA(AE718:AG718)=3,ISNUMBER(AG718))),0,1)+IF(OR(COUNTA(AH718:AJ718)=0,AND(COUNTA(AH718:AJ718)=3,ISNUMBER(AJ718))),0,1)+IF(OR(COUNTA(AK718:AM718)=0,AND(COUNTA(AK718:AM718)=3,ISNUMBER(AM718))),0,1)+IF(OR(COUNTA(AN718:AP718)=0,AND(COUNTA(AN718:AP718)=3,ISNUMBER(AP718))),0,1)+IF(OR(COUNTA(AQ718:AS718)=0,AND(COUNTA(AQ718:AS718)=3,ISNUMBER(AS718))),0,1)+IF(OR(COUNTA(AT718:AV718)=0,AND(COUNTA(AT718:AV718)=3,ISNUMBER(AV718))),0,1)+IF(OR(COUNTA(AW718:AY718)=0,AND(COUNTA(AW718:AY718)=3,ISNUMBER(AY718))),0,1)+IF(OR(COUNTA(AZ718:BB718)=0,AND(COUNTA(AZ718:BB718)=3,ISNUMBER(BB718))),0,1))&gt;0,"; An invoice is incomplete (needs No, Date and a number in Ex GST)","")&amp;IF((IF(T718="",0,IFERROR(--(EOMONTH(T718,0)&lt;&gt;S$5),1))+IF(W718="",0,IFERROR(--(EOMONTH(W718,0)&lt;&gt;V$5),1))+IF(Z718="",0,IFERROR(--(EOMONTH(Z718,0)&lt;&gt;Y$5),1))+IF(AC718="",0,IFERROR(--(EOMONTH(AC718,0)&lt;&gt;AB$5),1))+IF(AF718="",0,IFERROR(--(EOMONTH(AF718,0)&lt;&gt;AE$5),1))+IF(AI718="",0,IFERROR(--(EOMONTH(AI718,0)&lt;&gt;AH$5),1))+IF(AL718="",0,IFERROR(--(EOMONTH(AL718,0)&lt;&gt;AK$5),1))+IF(AO718="",0,IFERROR(--(EOMONTH(AO718,0)&lt;&gt;AN$5),1))+IF(AR718="",0,IFERROR(--(EOMONTH(AR718,0)&lt;&gt;AQ$5),1))+IF(AU718="",0,IFERROR(--(EOMONTH(AU718,0)&lt;&gt;AT$5),1))+IF(AX718="",0,IFERROR(--(EOMONTH(AX718,0)&lt;&gt;AW$5),1))+IF(BA718="",0,IFERROR(--(EOMONTH(BA718,0)&lt;&gt;AZ$5),1)))&gt;0,"; An invoice date is not in the month it is typed under",""),3,500))</f>
        <v/>
      </c>
      <c r="S718" s="12" t="n"/>
      <c r="T718" s="13" t="n"/>
      <c r="U718" s="14" t="n"/>
      <c r="V718" s="12" t="n"/>
      <c r="W718" s="13" t="n"/>
      <c r="X718" s="14" t="n"/>
      <c r="Y718" s="12" t="n"/>
      <c r="Z718" s="13" t="n"/>
      <c r="AA718" s="14" t="n"/>
      <c r="AB718" s="12" t="n"/>
      <c r="AC718" s="13" t="n"/>
      <c r="AD718" s="14" t="n"/>
      <c r="AE718" s="12" t="n"/>
      <c r="AF718" s="13" t="n"/>
      <c r="AG718" s="14" t="n"/>
      <c r="AH718" s="12" t="n"/>
      <c r="AI718" s="13" t="n"/>
      <c r="AJ718" s="14" t="n"/>
      <c r="AK718" s="12" t="n"/>
      <c r="AL718" s="13" t="n"/>
      <c r="AM718" s="14" t="n"/>
      <c r="AN718" s="12" t="n"/>
      <c r="AO718" s="13" t="n"/>
      <c r="AP718" s="14" t="n"/>
      <c r="AQ718" s="12" t="n"/>
      <c r="AR718" s="13" t="n"/>
      <c r="AS718" s="14" t="n"/>
      <c r="AT718" s="12" t="n"/>
      <c r="AU718" s="13" t="n"/>
      <c r="AV718" s="14" t="n"/>
      <c r="AW718" s="12" t="n"/>
      <c r="AX718" s="13" t="n"/>
      <c r="AY718" s="14" t="n"/>
      <c r="AZ718" s="12" t="n"/>
      <c r="BA718" s="13" t="n"/>
      <c r="BB718" s="14" t="n"/>
      <c r="BC718" s="11">
        <f>IF(O718="","",IF(J718="GST 10%",ROUND(O718*set_GSTRate,2),0))</f>
        <v/>
      </c>
      <c r="BD718" s="11">
        <f>IF(O718="","",O718+BC718)</f>
        <v/>
      </c>
      <c r="BE718" s="15">
        <f>IF(O718="","",COUNTA(S718,V718,Y718,AB718,AE718,AH718,AK718,AN718,AQ718,AT718,AW718,AZ718))</f>
        <v/>
      </c>
      <c r="BF718" s="16">
        <f>IF(COUNT(T718,W718,Z718,AC718,AF718,AI718,AL718,AO718,AR718,AU718,AX718,BA718)=0,"",MAX(T718,W718,Z718,AC718,AF718,AI718,AL718,AO718,AR718,AU718,AX718,BA718))</f>
        <v/>
      </c>
      <c r="BG718" s="10">
        <f>MID(IF(S718="","",", "&amp;S718)&amp;IF(V718="","",", "&amp;V718)&amp;IF(Y718="","",", "&amp;Y718)&amp;IF(AB718="","",", "&amp;AB718)&amp;IF(AE718="","",", "&amp;AE718)&amp;IF(AH718="","",", "&amp;AH718)&amp;IF(AK718="","",", "&amp;AK718)&amp;IF(AN718="","",", "&amp;AN718)&amp;IF(AQ718="","",", "&amp;AQ718)&amp;IF(AT718="","",", "&amp;AT718)&amp;IF(AW718="","",", "&amp;AW718)&amp;IF(AZ718="","",", "&amp;AZ718),3,500)</f>
        <v/>
      </c>
      <c r="BH718" s="12" t="n"/>
      <c r="BI718" s="15">
        <f>IFERROR(MATCH($A718,IF($B718="Onsite",tbl_Onsite[Row ID],IF($B718="Production",tbl_Production[Row ID],tbl_Consulting[Row ID])),0),"")</f>
        <v/>
      </c>
    </row>
    <row r="719">
      <c r="A719" s="10" t="inlineStr">
        <is>
          <t>PRD-0213</t>
        </is>
      </c>
      <c r="B719" s="10" t="inlineStr">
        <is>
          <t>Production</t>
        </is>
      </c>
      <c r="C719" s="10">
        <f>IF($BI719="","",IF($B719="Onsite",INDEX(tbl_Onsite[Job Number],$BI719),IF($B719="Production",INDEX(tbl_Production[Job Number],$BI719),INDEX(tbl_Consulting[Job Number],$BI719)))&amp;"")</f>
        <v/>
      </c>
      <c r="D719" s="10">
        <f>IF($BI719="","",IF($B719="Onsite",INDEX(tbl_Onsite[Client],$BI719),IF($B719="Production",INDEX(tbl_Production[Client],$BI719),INDEX(tbl_Consulting[Client],$BI719)))&amp;"")</f>
        <v/>
      </c>
      <c r="E719" s="10">
        <f>IF($C719="","",IF(COUNTIF(lst_Jobs,$C719)&gt;0,"OK","CHECK"))</f>
        <v/>
      </c>
      <c r="F719" s="10">
        <f>IF($C719="","",IFERROR(INDEX(lst_JobName,MATCH($C719,lst_Jobs,0)),""))</f>
        <v/>
      </c>
      <c r="G719" s="10">
        <f>IF($BI719="","",IF($B719="Onsite",INDEX(tbl_Onsite[Job Description],$BI719),IF($B719="Production",INDEX(tbl_Production[Job Description],$BI719),INDEX(tbl_Consulting[Job Description],$BI719)))&amp;"")</f>
        <v/>
      </c>
      <c r="H719" s="10">
        <f>IF($BI719="","",IF($B719="Onsite",INDEX(tbl_Onsite[Cost Centre],$BI719),IF($B719="Production",INDEX(tbl_Production[Cost Centre],$BI719),INDEX(tbl_Consulting[Cost Centre],$BI719)))&amp;"")</f>
        <v/>
      </c>
      <c r="I719" s="10">
        <f>IF($BI719="","",IF($B719="Onsite",INDEX(tbl_Onsite[Invoice Type],$BI719),IF($B719="Production",INDEX(tbl_Production[Invoice Type],$BI719),INDEX(tbl_Consulting[Invoice Type],$BI719)))&amp;"")</f>
        <v/>
      </c>
      <c r="J719" s="10">
        <f>IF($BI719="","",IF($B719="Onsite",INDEX(tbl_Onsite[Tax Code],$BI719),IF($B719="Production",INDEX(tbl_Production[Tax Code],$BI719),INDEX(tbl_Consulting[Tax Code],$BI719)))&amp;"")</f>
        <v/>
      </c>
      <c r="K719" s="10">
        <f>IF(H719="","",IFERROR(INDEX(lst_CCtoGL,MATCH(H719,lst_CCforGL,0)),""))</f>
        <v/>
      </c>
      <c r="L719" s="10">
        <f>IF($BI719="","",IF($B719="Onsite",INDEX(tbl_Onsite[PO / Reference],$BI719),IF($B719="Production",INDEX(tbl_Production[Current RMS No],$BI719),INDEX(tbl_Consulting[Qwilr Quote],$BI719)))&amp;"")</f>
        <v/>
      </c>
      <c r="M719" s="10">
        <f>IF($BI719="","",IF($B719="Onsite",INDEX(tbl_Onsite[Notes],$BI719),IF($B719="Production",INDEX(tbl_Production[Notes],$BI719),INDEX(tbl_Consulting[Notes],$BI719)))&amp;"")</f>
        <v/>
      </c>
      <c r="N719" s="11">
        <f>IF($BI719="","",IF(IF($B719="Onsite",INDEX(tbl_Onsite[Expected Revenue Ex GST],$BI719),IF($B719="Production",INDEX(tbl_Production[Expected Revenue Ex GST],$BI719),INDEX(tbl_Consulting[Expected Revenue Ex GST],$BI719)))="","",IF($B719="Onsite",INDEX(tbl_Onsite[Expected Revenue Ex GST],$BI719),IF($B719="Production",INDEX(tbl_Production[Expected Revenue Ex GST],$BI719),INDEX(tbl_Consulting[Expected Revenue Ex GST],$BI719)))))</f>
        <v/>
      </c>
      <c r="O719" s="11">
        <f>IF(AND($C719="",NOT(COUNTA($S719:$BB719)&gt;0)),"",SUM(U719,X719,AA719,AD719,AG719,AJ719,AM719,AP719,AS719,AV719,AY719,BB719))</f>
        <v/>
      </c>
      <c r="P719" s="11">
        <f>IF(O719="","",N(N719)-O719)</f>
        <v/>
      </c>
      <c r="Q719" s="10">
        <f>IF(O719="","",IF($C719="","Invoice on empty job row",IF(N719="",IF(ROUND(O719,2)=0,"No dept value","Invoiced - no dept value"),IF(ROUND(O719,2)=0,"Not invoiced - to invoice",IF(ROUND(P719,2)=0,"Agrees",IF(P719&gt;0,"Dept higher - to invoice","Xero higher - check dept"))))))</f>
        <v/>
      </c>
      <c r="R719" s="10">
        <f>IF(AND($C719="",NOT(COUNTA($S719:$BB719)&gt;0),$BI719&lt;&gt;""),"",MID(IF($BI719="","; Row ID not found on the department sheet - a row was deleted","")&amp;IF(AND($C719="",COUNTA($S719:$BB719)&gt;0),"; Invoice entered but the department row has no job number","")&amp;IF(E719="CHECK","; Job number not in the Xero job list","")&amp;IF(AND($C719&lt;&gt;"",COUNTIF($C$7:$C$1506,$C719)&gt;1),"; Job number on more than one row","")&amp;IF(AND($C719&lt;&gt;"",H719=""),"; Dept has not set a cost centre","")&amp;IF(AND($C719&lt;&gt;"",J719=""),"; Dept has not set a tax code","")&amp;IF(AND($C719&lt;&gt;"",N719=""),"; Dept has not entered an expected value","")&amp;IF((IF(OR(COUNTA(S719:U719)=0,AND(COUNTA(S719:U719)=3,ISNUMBER(U719))),0,1)+IF(OR(COUNTA(V719:X719)=0,AND(COUNTA(V719:X719)=3,ISNUMBER(X719))),0,1)+IF(OR(COUNTA(Y719:AA719)=0,AND(COUNTA(Y719:AA719)=3,ISNUMBER(AA719))),0,1)+IF(OR(COUNTA(AB719:AD719)=0,AND(COUNTA(AB719:AD719)=3,ISNUMBER(AD719))),0,1)+IF(OR(COUNTA(AE719:AG719)=0,AND(COUNTA(AE719:AG719)=3,ISNUMBER(AG719))),0,1)+IF(OR(COUNTA(AH719:AJ719)=0,AND(COUNTA(AH719:AJ719)=3,ISNUMBER(AJ719))),0,1)+IF(OR(COUNTA(AK719:AM719)=0,AND(COUNTA(AK719:AM719)=3,ISNUMBER(AM719))),0,1)+IF(OR(COUNTA(AN719:AP719)=0,AND(COUNTA(AN719:AP719)=3,ISNUMBER(AP719))),0,1)+IF(OR(COUNTA(AQ719:AS719)=0,AND(COUNTA(AQ719:AS719)=3,ISNUMBER(AS719))),0,1)+IF(OR(COUNTA(AT719:AV719)=0,AND(COUNTA(AT719:AV719)=3,ISNUMBER(AV719))),0,1)+IF(OR(COUNTA(AW719:AY719)=0,AND(COUNTA(AW719:AY719)=3,ISNUMBER(AY719))),0,1)+IF(OR(COUNTA(AZ719:BB719)=0,AND(COUNTA(AZ719:BB719)=3,ISNUMBER(BB719))),0,1))&gt;0,"; An invoice is incomplete (needs No, Date and a number in Ex GST)","")&amp;IF((IF(T719="",0,IFERROR(--(EOMONTH(T719,0)&lt;&gt;S$5),1))+IF(W719="",0,IFERROR(--(EOMONTH(W719,0)&lt;&gt;V$5),1))+IF(Z719="",0,IFERROR(--(EOMONTH(Z719,0)&lt;&gt;Y$5),1))+IF(AC719="",0,IFERROR(--(EOMONTH(AC719,0)&lt;&gt;AB$5),1))+IF(AF719="",0,IFERROR(--(EOMONTH(AF719,0)&lt;&gt;AE$5),1))+IF(AI719="",0,IFERROR(--(EOMONTH(AI719,0)&lt;&gt;AH$5),1))+IF(AL719="",0,IFERROR(--(EOMONTH(AL719,0)&lt;&gt;AK$5),1))+IF(AO719="",0,IFERROR(--(EOMONTH(AO719,0)&lt;&gt;AN$5),1))+IF(AR719="",0,IFERROR(--(EOMONTH(AR719,0)&lt;&gt;AQ$5),1))+IF(AU719="",0,IFERROR(--(EOMONTH(AU719,0)&lt;&gt;AT$5),1))+IF(AX719="",0,IFERROR(--(EOMONTH(AX719,0)&lt;&gt;AW$5),1))+IF(BA719="",0,IFERROR(--(EOMONTH(BA719,0)&lt;&gt;AZ$5),1)))&gt;0,"; An invoice date is not in the month it is typed under",""),3,500))</f>
        <v/>
      </c>
      <c r="S719" s="12" t="n"/>
      <c r="T719" s="13" t="n"/>
      <c r="U719" s="14" t="n"/>
      <c r="V719" s="12" t="n"/>
      <c r="W719" s="13" t="n"/>
      <c r="X719" s="14" t="n"/>
      <c r="Y719" s="12" t="n"/>
      <c r="Z719" s="13" t="n"/>
      <c r="AA719" s="14" t="n"/>
      <c r="AB719" s="12" t="n"/>
      <c r="AC719" s="13" t="n"/>
      <c r="AD719" s="14" t="n"/>
      <c r="AE719" s="12" t="n"/>
      <c r="AF719" s="13" t="n"/>
      <c r="AG719" s="14" t="n"/>
      <c r="AH719" s="12" t="n"/>
      <c r="AI719" s="13" t="n"/>
      <c r="AJ719" s="14" t="n"/>
      <c r="AK719" s="12" t="n"/>
      <c r="AL719" s="13" t="n"/>
      <c r="AM719" s="14" t="n"/>
      <c r="AN719" s="12" t="n"/>
      <c r="AO719" s="13" t="n"/>
      <c r="AP719" s="14" t="n"/>
      <c r="AQ719" s="12" t="n"/>
      <c r="AR719" s="13" t="n"/>
      <c r="AS719" s="14" t="n"/>
      <c r="AT719" s="12" t="n"/>
      <c r="AU719" s="13" t="n"/>
      <c r="AV719" s="14" t="n"/>
      <c r="AW719" s="12" t="n"/>
      <c r="AX719" s="13" t="n"/>
      <c r="AY719" s="14" t="n"/>
      <c r="AZ719" s="12" t="n"/>
      <c r="BA719" s="13" t="n"/>
      <c r="BB719" s="14" t="n"/>
      <c r="BC719" s="11">
        <f>IF(O719="","",IF(J719="GST 10%",ROUND(O719*set_GSTRate,2),0))</f>
        <v/>
      </c>
      <c r="BD719" s="11">
        <f>IF(O719="","",O719+BC719)</f>
        <v/>
      </c>
      <c r="BE719" s="15">
        <f>IF(O719="","",COUNTA(S719,V719,Y719,AB719,AE719,AH719,AK719,AN719,AQ719,AT719,AW719,AZ719))</f>
        <v/>
      </c>
      <c r="BF719" s="16">
        <f>IF(COUNT(T719,W719,Z719,AC719,AF719,AI719,AL719,AO719,AR719,AU719,AX719,BA719)=0,"",MAX(T719,W719,Z719,AC719,AF719,AI719,AL719,AO719,AR719,AU719,AX719,BA719))</f>
        <v/>
      </c>
      <c r="BG719" s="10">
        <f>MID(IF(S719="","",", "&amp;S719)&amp;IF(V719="","",", "&amp;V719)&amp;IF(Y719="","",", "&amp;Y719)&amp;IF(AB719="","",", "&amp;AB719)&amp;IF(AE719="","",", "&amp;AE719)&amp;IF(AH719="","",", "&amp;AH719)&amp;IF(AK719="","",", "&amp;AK719)&amp;IF(AN719="","",", "&amp;AN719)&amp;IF(AQ719="","",", "&amp;AQ719)&amp;IF(AT719="","",", "&amp;AT719)&amp;IF(AW719="","",", "&amp;AW719)&amp;IF(AZ719="","",", "&amp;AZ719),3,500)</f>
        <v/>
      </c>
      <c r="BH719" s="12" t="n"/>
      <c r="BI719" s="15">
        <f>IFERROR(MATCH($A719,IF($B719="Onsite",tbl_Onsite[Row ID],IF($B719="Production",tbl_Production[Row ID],tbl_Consulting[Row ID])),0),"")</f>
        <v/>
      </c>
    </row>
    <row r="720">
      <c r="A720" s="10" t="inlineStr">
        <is>
          <t>PRD-0214</t>
        </is>
      </c>
      <c r="B720" s="10" t="inlineStr">
        <is>
          <t>Production</t>
        </is>
      </c>
      <c r="C720" s="10">
        <f>IF($BI720="","",IF($B720="Onsite",INDEX(tbl_Onsite[Job Number],$BI720),IF($B720="Production",INDEX(tbl_Production[Job Number],$BI720),INDEX(tbl_Consulting[Job Number],$BI720)))&amp;"")</f>
        <v/>
      </c>
      <c r="D720" s="10">
        <f>IF($BI720="","",IF($B720="Onsite",INDEX(tbl_Onsite[Client],$BI720),IF($B720="Production",INDEX(tbl_Production[Client],$BI720),INDEX(tbl_Consulting[Client],$BI720)))&amp;"")</f>
        <v/>
      </c>
      <c r="E720" s="10">
        <f>IF($C720="","",IF(COUNTIF(lst_Jobs,$C720)&gt;0,"OK","CHECK"))</f>
        <v/>
      </c>
      <c r="F720" s="10">
        <f>IF($C720="","",IFERROR(INDEX(lst_JobName,MATCH($C720,lst_Jobs,0)),""))</f>
        <v/>
      </c>
      <c r="G720" s="10">
        <f>IF($BI720="","",IF($B720="Onsite",INDEX(tbl_Onsite[Job Description],$BI720),IF($B720="Production",INDEX(tbl_Production[Job Description],$BI720),INDEX(tbl_Consulting[Job Description],$BI720)))&amp;"")</f>
        <v/>
      </c>
      <c r="H720" s="10">
        <f>IF($BI720="","",IF($B720="Onsite",INDEX(tbl_Onsite[Cost Centre],$BI720),IF($B720="Production",INDEX(tbl_Production[Cost Centre],$BI720),INDEX(tbl_Consulting[Cost Centre],$BI720)))&amp;"")</f>
        <v/>
      </c>
      <c r="I720" s="10">
        <f>IF($BI720="","",IF($B720="Onsite",INDEX(tbl_Onsite[Invoice Type],$BI720),IF($B720="Production",INDEX(tbl_Production[Invoice Type],$BI720),INDEX(tbl_Consulting[Invoice Type],$BI720)))&amp;"")</f>
        <v/>
      </c>
      <c r="J720" s="10">
        <f>IF($BI720="","",IF($B720="Onsite",INDEX(tbl_Onsite[Tax Code],$BI720),IF($B720="Production",INDEX(tbl_Production[Tax Code],$BI720),INDEX(tbl_Consulting[Tax Code],$BI720)))&amp;"")</f>
        <v/>
      </c>
      <c r="K720" s="10">
        <f>IF(H720="","",IFERROR(INDEX(lst_CCtoGL,MATCH(H720,lst_CCforGL,0)),""))</f>
        <v/>
      </c>
      <c r="L720" s="10">
        <f>IF($BI720="","",IF($B720="Onsite",INDEX(tbl_Onsite[PO / Reference],$BI720),IF($B720="Production",INDEX(tbl_Production[Current RMS No],$BI720),INDEX(tbl_Consulting[Qwilr Quote],$BI720)))&amp;"")</f>
        <v/>
      </c>
      <c r="M720" s="10">
        <f>IF($BI720="","",IF($B720="Onsite",INDEX(tbl_Onsite[Notes],$BI720),IF($B720="Production",INDEX(tbl_Production[Notes],$BI720),INDEX(tbl_Consulting[Notes],$BI720)))&amp;"")</f>
        <v/>
      </c>
      <c r="N720" s="11">
        <f>IF($BI720="","",IF(IF($B720="Onsite",INDEX(tbl_Onsite[Expected Revenue Ex GST],$BI720),IF($B720="Production",INDEX(tbl_Production[Expected Revenue Ex GST],$BI720),INDEX(tbl_Consulting[Expected Revenue Ex GST],$BI720)))="","",IF($B720="Onsite",INDEX(tbl_Onsite[Expected Revenue Ex GST],$BI720),IF($B720="Production",INDEX(tbl_Production[Expected Revenue Ex GST],$BI720),INDEX(tbl_Consulting[Expected Revenue Ex GST],$BI720)))))</f>
        <v/>
      </c>
      <c r="O720" s="11">
        <f>IF(AND($C720="",NOT(COUNTA($S720:$BB720)&gt;0)),"",SUM(U720,X720,AA720,AD720,AG720,AJ720,AM720,AP720,AS720,AV720,AY720,BB720))</f>
        <v/>
      </c>
      <c r="P720" s="11">
        <f>IF(O720="","",N(N720)-O720)</f>
        <v/>
      </c>
      <c r="Q720" s="10">
        <f>IF(O720="","",IF($C720="","Invoice on empty job row",IF(N720="",IF(ROUND(O720,2)=0,"No dept value","Invoiced - no dept value"),IF(ROUND(O720,2)=0,"Not invoiced - to invoice",IF(ROUND(P720,2)=0,"Agrees",IF(P720&gt;0,"Dept higher - to invoice","Xero higher - check dept"))))))</f>
        <v/>
      </c>
      <c r="R720" s="10">
        <f>IF(AND($C720="",NOT(COUNTA($S720:$BB720)&gt;0),$BI720&lt;&gt;""),"",MID(IF($BI720="","; Row ID not found on the department sheet - a row was deleted","")&amp;IF(AND($C720="",COUNTA($S720:$BB720)&gt;0),"; Invoice entered but the department row has no job number","")&amp;IF(E720="CHECK","; Job number not in the Xero job list","")&amp;IF(AND($C720&lt;&gt;"",COUNTIF($C$7:$C$1506,$C720)&gt;1),"; Job number on more than one row","")&amp;IF(AND($C720&lt;&gt;"",H720=""),"; Dept has not set a cost centre","")&amp;IF(AND($C720&lt;&gt;"",J720=""),"; Dept has not set a tax code","")&amp;IF(AND($C720&lt;&gt;"",N720=""),"; Dept has not entered an expected value","")&amp;IF((IF(OR(COUNTA(S720:U720)=0,AND(COUNTA(S720:U720)=3,ISNUMBER(U720))),0,1)+IF(OR(COUNTA(V720:X720)=0,AND(COUNTA(V720:X720)=3,ISNUMBER(X720))),0,1)+IF(OR(COUNTA(Y720:AA720)=0,AND(COUNTA(Y720:AA720)=3,ISNUMBER(AA720))),0,1)+IF(OR(COUNTA(AB720:AD720)=0,AND(COUNTA(AB720:AD720)=3,ISNUMBER(AD720))),0,1)+IF(OR(COUNTA(AE720:AG720)=0,AND(COUNTA(AE720:AG720)=3,ISNUMBER(AG720))),0,1)+IF(OR(COUNTA(AH720:AJ720)=0,AND(COUNTA(AH720:AJ720)=3,ISNUMBER(AJ720))),0,1)+IF(OR(COUNTA(AK720:AM720)=0,AND(COUNTA(AK720:AM720)=3,ISNUMBER(AM720))),0,1)+IF(OR(COUNTA(AN720:AP720)=0,AND(COUNTA(AN720:AP720)=3,ISNUMBER(AP720))),0,1)+IF(OR(COUNTA(AQ720:AS720)=0,AND(COUNTA(AQ720:AS720)=3,ISNUMBER(AS720))),0,1)+IF(OR(COUNTA(AT720:AV720)=0,AND(COUNTA(AT720:AV720)=3,ISNUMBER(AV720))),0,1)+IF(OR(COUNTA(AW720:AY720)=0,AND(COUNTA(AW720:AY720)=3,ISNUMBER(AY720))),0,1)+IF(OR(COUNTA(AZ720:BB720)=0,AND(COUNTA(AZ720:BB720)=3,ISNUMBER(BB720))),0,1))&gt;0,"; An invoice is incomplete (needs No, Date and a number in Ex GST)","")&amp;IF((IF(T720="",0,IFERROR(--(EOMONTH(T720,0)&lt;&gt;S$5),1))+IF(W720="",0,IFERROR(--(EOMONTH(W720,0)&lt;&gt;V$5),1))+IF(Z720="",0,IFERROR(--(EOMONTH(Z720,0)&lt;&gt;Y$5),1))+IF(AC720="",0,IFERROR(--(EOMONTH(AC720,0)&lt;&gt;AB$5),1))+IF(AF720="",0,IFERROR(--(EOMONTH(AF720,0)&lt;&gt;AE$5),1))+IF(AI720="",0,IFERROR(--(EOMONTH(AI720,0)&lt;&gt;AH$5),1))+IF(AL720="",0,IFERROR(--(EOMONTH(AL720,0)&lt;&gt;AK$5),1))+IF(AO720="",0,IFERROR(--(EOMONTH(AO720,0)&lt;&gt;AN$5),1))+IF(AR720="",0,IFERROR(--(EOMONTH(AR720,0)&lt;&gt;AQ$5),1))+IF(AU720="",0,IFERROR(--(EOMONTH(AU720,0)&lt;&gt;AT$5),1))+IF(AX720="",0,IFERROR(--(EOMONTH(AX720,0)&lt;&gt;AW$5),1))+IF(BA720="",0,IFERROR(--(EOMONTH(BA720,0)&lt;&gt;AZ$5),1)))&gt;0,"; An invoice date is not in the month it is typed under",""),3,500))</f>
        <v/>
      </c>
      <c r="S720" s="12" t="n"/>
      <c r="T720" s="13" t="n"/>
      <c r="U720" s="14" t="n"/>
      <c r="V720" s="12" t="n"/>
      <c r="W720" s="13" t="n"/>
      <c r="X720" s="14" t="n"/>
      <c r="Y720" s="12" t="n"/>
      <c r="Z720" s="13" t="n"/>
      <c r="AA720" s="14" t="n"/>
      <c r="AB720" s="12" t="n"/>
      <c r="AC720" s="13" t="n"/>
      <c r="AD720" s="14" t="n"/>
      <c r="AE720" s="12" t="n"/>
      <c r="AF720" s="13" t="n"/>
      <c r="AG720" s="14" t="n"/>
      <c r="AH720" s="12" t="n"/>
      <c r="AI720" s="13" t="n"/>
      <c r="AJ720" s="14" t="n"/>
      <c r="AK720" s="12" t="n"/>
      <c r="AL720" s="13" t="n"/>
      <c r="AM720" s="14" t="n"/>
      <c r="AN720" s="12" t="n"/>
      <c r="AO720" s="13" t="n"/>
      <c r="AP720" s="14" t="n"/>
      <c r="AQ720" s="12" t="n"/>
      <c r="AR720" s="13" t="n"/>
      <c r="AS720" s="14" t="n"/>
      <c r="AT720" s="12" t="n"/>
      <c r="AU720" s="13" t="n"/>
      <c r="AV720" s="14" t="n"/>
      <c r="AW720" s="12" t="n"/>
      <c r="AX720" s="13" t="n"/>
      <c r="AY720" s="14" t="n"/>
      <c r="AZ720" s="12" t="n"/>
      <c r="BA720" s="13" t="n"/>
      <c r="BB720" s="14" t="n"/>
      <c r="BC720" s="11">
        <f>IF(O720="","",IF(J720="GST 10%",ROUND(O720*set_GSTRate,2),0))</f>
        <v/>
      </c>
      <c r="BD720" s="11">
        <f>IF(O720="","",O720+BC720)</f>
        <v/>
      </c>
      <c r="BE720" s="15">
        <f>IF(O720="","",COUNTA(S720,V720,Y720,AB720,AE720,AH720,AK720,AN720,AQ720,AT720,AW720,AZ720))</f>
        <v/>
      </c>
      <c r="BF720" s="16">
        <f>IF(COUNT(T720,W720,Z720,AC720,AF720,AI720,AL720,AO720,AR720,AU720,AX720,BA720)=0,"",MAX(T720,W720,Z720,AC720,AF720,AI720,AL720,AO720,AR720,AU720,AX720,BA720))</f>
        <v/>
      </c>
      <c r="BG720" s="10">
        <f>MID(IF(S720="","",", "&amp;S720)&amp;IF(V720="","",", "&amp;V720)&amp;IF(Y720="","",", "&amp;Y720)&amp;IF(AB720="","",", "&amp;AB720)&amp;IF(AE720="","",", "&amp;AE720)&amp;IF(AH720="","",", "&amp;AH720)&amp;IF(AK720="","",", "&amp;AK720)&amp;IF(AN720="","",", "&amp;AN720)&amp;IF(AQ720="","",", "&amp;AQ720)&amp;IF(AT720="","",", "&amp;AT720)&amp;IF(AW720="","",", "&amp;AW720)&amp;IF(AZ720="","",", "&amp;AZ720),3,500)</f>
        <v/>
      </c>
      <c r="BH720" s="12" t="n"/>
      <c r="BI720" s="15">
        <f>IFERROR(MATCH($A720,IF($B720="Onsite",tbl_Onsite[Row ID],IF($B720="Production",tbl_Production[Row ID],tbl_Consulting[Row ID])),0),"")</f>
        <v/>
      </c>
    </row>
    <row r="721">
      <c r="A721" s="10" t="inlineStr">
        <is>
          <t>PRD-0215</t>
        </is>
      </c>
      <c r="B721" s="10" t="inlineStr">
        <is>
          <t>Production</t>
        </is>
      </c>
      <c r="C721" s="10">
        <f>IF($BI721="","",IF($B721="Onsite",INDEX(tbl_Onsite[Job Number],$BI721),IF($B721="Production",INDEX(tbl_Production[Job Number],$BI721),INDEX(tbl_Consulting[Job Number],$BI721)))&amp;"")</f>
        <v/>
      </c>
      <c r="D721" s="10">
        <f>IF($BI721="","",IF($B721="Onsite",INDEX(tbl_Onsite[Client],$BI721),IF($B721="Production",INDEX(tbl_Production[Client],$BI721),INDEX(tbl_Consulting[Client],$BI721)))&amp;"")</f>
        <v/>
      </c>
      <c r="E721" s="10">
        <f>IF($C721="","",IF(COUNTIF(lst_Jobs,$C721)&gt;0,"OK","CHECK"))</f>
        <v/>
      </c>
      <c r="F721" s="10">
        <f>IF($C721="","",IFERROR(INDEX(lst_JobName,MATCH($C721,lst_Jobs,0)),""))</f>
        <v/>
      </c>
      <c r="G721" s="10">
        <f>IF($BI721="","",IF($B721="Onsite",INDEX(tbl_Onsite[Job Description],$BI721),IF($B721="Production",INDEX(tbl_Production[Job Description],$BI721),INDEX(tbl_Consulting[Job Description],$BI721)))&amp;"")</f>
        <v/>
      </c>
      <c r="H721" s="10">
        <f>IF($BI721="","",IF($B721="Onsite",INDEX(tbl_Onsite[Cost Centre],$BI721),IF($B721="Production",INDEX(tbl_Production[Cost Centre],$BI721),INDEX(tbl_Consulting[Cost Centre],$BI721)))&amp;"")</f>
        <v/>
      </c>
      <c r="I721" s="10">
        <f>IF($BI721="","",IF($B721="Onsite",INDEX(tbl_Onsite[Invoice Type],$BI721),IF($B721="Production",INDEX(tbl_Production[Invoice Type],$BI721),INDEX(tbl_Consulting[Invoice Type],$BI721)))&amp;"")</f>
        <v/>
      </c>
      <c r="J721" s="10">
        <f>IF($BI721="","",IF($B721="Onsite",INDEX(tbl_Onsite[Tax Code],$BI721),IF($B721="Production",INDEX(tbl_Production[Tax Code],$BI721),INDEX(tbl_Consulting[Tax Code],$BI721)))&amp;"")</f>
        <v/>
      </c>
      <c r="K721" s="10">
        <f>IF(H721="","",IFERROR(INDEX(lst_CCtoGL,MATCH(H721,lst_CCforGL,0)),""))</f>
        <v/>
      </c>
      <c r="L721" s="10">
        <f>IF($BI721="","",IF($B721="Onsite",INDEX(tbl_Onsite[PO / Reference],$BI721),IF($B721="Production",INDEX(tbl_Production[Current RMS No],$BI721),INDEX(tbl_Consulting[Qwilr Quote],$BI721)))&amp;"")</f>
        <v/>
      </c>
      <c r="M721" s="10">
        <f>IF($BI721="","",IF($B721="Onsite",INDEX(tbl_Onsite[Notes],$BI721),IF($B721="Production",INDEX(tbl_Production[Notes],$BI721),INDEX(tbl_Consulting[Notes],$BI721)))&amp;"")</f>
        <v/>
      </c>
      <c r="N721" s="11">
        <f>IF($BI721="","",IF(IF($B721="Onsite",INDEX(tbl_Onsite[Expected Revenue Ex GST],$BI721),IF($B721="Production",INDEX(tbl_Production[Expected Revenue Ex GST],$BI721),INDEX(tbl_Consulting[Expected Revenue Ex GST],$BI721)))="","",IF($B721="Onsite",INDEX(tbl_Onsite[Expected Revenue Ex GST],$BI721),IF($B721="Production",INDEX(tbl_Production[Expected Revenue Ex GST],$BI721),INDEX(tbl_Consulting[Expected Revenue Ex GST],$BI721)))))</f>
        <v/>
      </c>
      <c r="O721" s="11">
        <f>IF(AND($C721="",NOT(COUNTA($S721:$BB721)&gt;0)),"",SUM(U721,X721,AA721,AD721,AG721,AJ721,AM721,AP721,AS721,AV721,AY721,BB721))</f>
        <v/>
      </c>
      <c r="P721" s="11">
        <f>IF(O721="","",N(N721)-O721)</f>
        <v/>
      </c>
      <c r="Q721" s="10">
        <f>IF(O721="","",IF($C721="","Invoice on empty job row",IF(N721="",IF(ROUND(O721,2)=0,"No dept value","Invoiced - no dept value"),IF(ROUND(O721,2)=0,"Not invoiced - to invoice",IF(ROUND(P721,2)=0,"Agrees",IF(P721&gt;0,"Dept higher - to invoice","Xero higher - check dept"))))))</f>
        <v/>
      </c>
      <c r="R721" s="10">
        <f>IF(AND($C721="",NOT(COUNTA($S721:$BB721)&gt;0),$BI721&lt;&gt;""),"",MID(IF($BI721="","; Row ID not found on the department sheet - a row was deleted","")&amp;IF(AND($C721="",COUNTA($S721:$BB721)&gt;0),"; Invoice entered but the department row has no job number","")&amp;IF(E721="CHECK","; Job number not in the Xero job list","")&amp;IF(AND($C721&lt;&gt;"",COUNTIF($C$7:$C$1506,$C721)&gt;1),"; Job number on more than one row","")&amp;IF(AND($C721&lt;&gt;"",H721=""),"; Dept has not set a cost centre","")&amp;IF(AND($C721&lt;&gt;"",J721=""),"; Dept has not set a tax code","")&amp;IF(AND($C721&lt;&gt;"",N721=""),"; Dept has not entered an expected value","")&amp;IF((IF(OR(COUNTA(S721:U721)=0,AND(COUNTA(S721:U721)=3,ISNUMBER(U721))),0,1)+IF(OR(COUNTA(V721:X721)=0,AND(COUNTA(V721:X721)=3,ISNUMBER(X721))),0,1)+IF(OR(COUNTA(Y721:AA721)=0,AND(COUNTA(Y721:AA721)=3,ISNUMBER(AA721))),0,1)+IF(OR(COUNTA(AB721:AD721)=0,AND(COUNTA(AB721:AD721)=3,ISNUMBER(AD721))),0,1)+IF(OR(COUNTA(AE721:AG721)=0,AND(COUNTA(AE721:AG721)=3,ISNUMBER(AG721))),0,1)+IF(OR(COUNTA(AH721:AJ721)=0,AND(COUNTA(AH721:AJ721)=3,ISNUMBER(AJ721))),0,1)+IF(OR(COUNTA(AK721:AM721)=0,AND(COUNTA(AK721:AM721)=3,ISNUMBER(AM721))),0,1)+IF(OR(COUNTA(AN721:AP721)=0,AND(COUNTA(AN721:AP721)=3,ISNUMBER(AP721))),0,1)+IF(OR(COUNTA(AQ721:AS721)=0,AND(COUNTA(AQ721:AS721)=3,ISNUMBER(AS721))),0,1)+IF(OR(COUNTA(AT721:AV721)=0,AND(COUNTA(AT721:AV721)=3,ISNUMBER(AV721))),0,1)+IF(OR(COUNTA(AW721:AY721)=0,AND(COUNTA(AW721:AY721)=3,ISNUMBER(AY721))),0,1)+IF(OR(COUNTA(AZ721:BB721)=0,AND(COUNTA(AZ721:BB721)=3,ISNUMBER(BB721))),0,1))&gt;0,"; An invoice is incomplete (needs No, Date and a number in Ex GST)","")&amp;IF((IF(T721="",0,IFERROR(--(EOMONTH(T721,0)&lt;&gt;S$5),1))+IF(W721="",0,IFERROR(--(EOMONTH(W721,0)&lt;&gt;V$5),1))+IF(Z721="",0,IFERROR(--(EOMONTH(Z721,0)&lt;&gt;Y$5),1))+IF(AC721="",0,IFERROR(--(EOMONTH(AC721,0)&lt;&gt;AB$5),1))+IF(AF721="",0,IFERROR(--(EOMONTH(AF721,0)&lt;&gt;AE$5),1))+IF(AI721="",0,IFERROR(--(EOMONTH(AI721,0)&lt;&gt;AH$5),1))+IF(AL721="",0,IFERROR(--(EOMONTH(AL721,0)&lt;&gt;AK$5),1))+IF(AO721="",0,IFERROR(--(EOMONTH(AO721,0)&lt;&gt;AN$5),1))+IF(AR721="",0,IFERROR(--(EOMONTH(AR721,0)&lt;&gt;AQ$5),1))+IF(AU721="",0,IFERROR(--(EOMONTH(AU721,0)&lt;&gt;AT$5),1))+IF(AX721="",0,IFERROR(--(EOMONTH(AX721,0)&lt;&gt;AW$5),1))+IF(BA721="",0,IFERROR(--(EOMONTH(BA721,0)&lt;&gt;AZ$5),1)))&gt;0,"; An invoice date is not in the month it is typed under",""),3,500))</f>
        <v/>
      </c>
      <c r="S721" s="12" t="n"/>
      <c r="T721" s="13" t="n"/>
      <c r="U721" s="14" t="n"/>
      <c r="V721" s="12" t="n"/>
      <c r="W721" s="13" t="n"/>
      <c r="X721" s="14" t="n"/>
      <c r="Y721" s="12" t="n"/>
      <c r="Z721" s="13" t="n"/>
      <c r="AA721" s="14" t="n"/>
      <c r="AB721" s="12" t="n"/>
      <c r="AC721" s="13" t="n"/>
      <c r="AD721" s="14" t="n"/>
      <c r="AE721" s="12" t="n"/>
      <c r="AF721" s="13" t="n"/>
      <c r="AG721" s="14" t="n"/>
      <c r="AH721" s="12" t="n"/>
      <c r="AI721" s="13" t="n"/>
      <c r="AJ721" s="14" t="n"/>
      <c r="AK721" s="12" t="n"/>
      <c r="AL721" s="13" t="n"/>
      <c r="AM721" s="14" t="n"/>
      <c r="AN721" s="12" t="n"/>
      <c r="AO721" s="13" t="n"/>
      <c r="AP721" s="14" t="n"/>
      <c r="AQ721" s="12" t="n"/>
      <c r="AR721" s="13" t="n"/>
      <c r="AS721" s="14" t="n"/>
      <c r="AT721" s="12" t="n"/>
      <c r="AU721" s="13" t="n"/>
      <c r="AV721" s="14" t="n"/>
      <c r="AW721" s="12" t="n"/>
      <c r="AX721" s="13" t="n"/>
      <c r="AY721" s="14" t="n"/>
      <c r="AZ721" s="12" t="n"/>
      <c r="BA721" s="13" t="n"/>
      <c r="BB721" s="14" t="n"/>
      <c r="BC721" s="11">
        <f>IF(O721="","",IF(J721="GST 10%",ROUND(O721*set_GSTRate,2),0))</f>
        <v/>
      </c>
      <c r="BD721" s="11">
        <f>IF(O721="","",O721+BC721)</f>
        <v/>
      </c>
      <c r="BE721" s="15">
        <f>IF(O721="","",COUNTA(S721,V721,Y721,AB721,AE721,AH721,AK721,AN721,AQ721,AT721,AW721,AZ721))</f>
        <v/>
      </c>
      <c r="BF721" s="16">
        <f>IF(COUNT(T721,W721,Z721,AC721,AF721,AI721,AL721,AO721,AR721,AU721,AX721,BA721)=0,"",MAX(T721,W721,Z721,AC721,AF721,AI721,AL721,AO721,AR721,AU721,AX721,BA721))</f>
        <v/>
      </c>
      <c r="BG721" s="10">
        <f>MID(IF(S721="","",", "&amp;S721)&amp;IF(V721="","",", "&amp;V721)&amp;IF(Y721="","",", "&amp;Y721)&amp;IF(AB721="","",", "&amp;AB721)&amp;IF(AE721="","",", "&amp;AE721)&amp;IF(AH721="","",", "&amp;AH721)&amp;IF(AK721="","",", "&amp;AK721)&amp;IF(AN721="","",", "&amp;AN721)&amp;IF(AQ721="","",", "&amp;AQ721)&amp;IF(AT721="","",", "&amp;AT721)&amp;IF(AW721="","",", "&amp;AW721)&amp;IF(AZ721="","",", "&amp;AZ721),3,500)</f>
        <v/>
      </c>
      <c r="BH721" s="12" t="n"/>
      <c r="BI721" s="15">
        <f>IFERROR(MATCH($A721,IF($B721="Onsite",tbl_Onsite[Row ID],IF($B721="Production",tbl_Production[Row ID],tbl_Consulting[Row ID])),0),"")</f>
        <v/>
      </c>
    </row>
    <row r="722">
      <c r="A722" s="10" t="inlineStr">
        <is>
          <t>PRD-0216</t>
        </is>
      </c>
      <c r="B722" s="10" t="inlineStr">
        <is>
          <t>Production</t>
        </is>
      </c>
      <c r="C722" s="10">
        <f>IF($BI722="","",IF($B722="Onsite",INDEX(tbl_Onsite[Job Number],$BI722),IF($B722="Production",INDEX(tbl_Production[Job Number],$BI722),INDEX(tbl_Consulting[Job Number],$BI722)))&amp;"")</f>
        <v/>
      </c>
      <c r="D722" s="10">
        <f>IF($BI722="","",IF($B722="Onsite",INDEX(tbl_Onsite[Client],$BI722),IF($B722="Production",INDEX(tbl_Production[Client],$BI722),INDEX(tbl_Consulting[Client],$BI722)))&amp;"")</f>
        <v/>
      </c>
      <c r="E722" s="10">
        <f>IF($C722="","",IF(COUNTIF(lst_Jobs,$C722)&gt;0,"OK","CHECK"))</f>
        <v/>
      </c>
      <c r="F722" s="10">
        <f>IF($C722="","",IFERROR(INDEX(lst_JobName,MATCH($C722,lst_Jobs,0)),""))</f>
        <v/>
      </c>
      <c r="G722" s="10">
        <f>IF($BI722="","",IF($B722="Onsite",INDEX(tbl_Onsite[Job Description],$BI722),IF($B722="Production",INDEX(tbl_Production[Job Description],$BI722),INDEX(tbl_Consulting[Job Description],$BI722)))&amp;"")</f>
        <v/>
      </c>
      <c r="H722" s="10">
        <f>IF($BI722="","",IF($B722="Onsite",INDEX(tbl_Onsite[Cost Centre],$BI722),IF($B722="Production",INDEX(tbl_Production[Cost Centre],$BI722),INDEX(tbl_Consulting[Cost Centre],$BI722)))&amp;"")</f>
        <v/>
      </c>
      <c r="I722" s="10">
        <f>IF($BI722="","",IF($B722="Onsite",INDEX(tbl_Onsite[Invoice Type],$BI722),IF($B722="Production",INDEX(tbl_Production[Invoice Type],$BI722),INDEX(tbl_Consulting[Invoice Type],$BI722)))&amp;"")</f>
        <v/>
      </c>
      <c r="J722" s="10">
        <f>IF($BI722="","",IF($B722="Onsite",INDEX(tbl_Onsite[Tax Code],$BI722),IF($B722="Production",INDEX(tbl_Production[Tax Code],$BI722),INDEX(tbl_Consulting[Tax Code],$BI722)))&amp;"")</f>
        <v/>
      </c>
      <c r="K722" s="10">
        <f>IF(H722="","",IFERROR(INDEX(lst_CCtoGL,MATCH(H722,lst_CCforGL,0)),""))</f>
        <v/>
      </c>
      <c r="L722" s="10">
        <f>IF($BI722="","",IF($B722="Onsite",INDEX(tbl_Onsite[PO / Reference],$BI722),IF($B722="Production",INDEX(tbl_Production[Current RMS No],$BI722),INDEX(tbl_Consulting[Qwilr Quote],$BI722)))&amp;"")</f>
        <v/>
      </c>
      <c r="M722" s="10">
        <f>IF($BI722="","",IF($B722="Onsite",INDEX(tbl_Onsite[Notes],$BI722),IF($B722="Production",INDEX(tbl_Production[Notes],$BI722),INDEX(tbl_Consulting[Notes],$BI722)))&amp;"")</f>
        <v/>
      </c>
      <c r="N722" s="11">
        <f>IF($BI722="","",IF(IF($B722="Onsite",INDEX(tbl_Onsite[Expected Revenue Ex GST],$BI722),IF($B722="Production",INDEX(tbl_Production[Expected Revenue Ex GST],$BI722),INDEX(tbl_Consulting[Expected Revenue Ex GST],$BI722)))="","",IF($B722="Onsite",INDEX(tbl_Onsite[Expected Revenue Ex GST],$BI722),IF($B722="Production",INDEX(tbl_Production[Expected Revenue Ex GST],$BI722),INDEX(tbl_Consulting[Expected Revenue Ex GST],$BI722)))))</f>
        <v/>
      </c>
      <c r="O722" s="11">
        <f>IF(AND($C722="",NOT(COUNTA($S722:$BB722)&gt;0)),"",SUM(U722,X722,AA722,AD722,AG722,AJ722,AM722,AP722,AS722,AV722,AY722,BB722))</f>
        <v/>
      </c>
      <c r="P722" s="11">
        <f>IF(O722="","",N(N722)-O722)</f>
        <v/>
      </c>
      <c r="Q722" s="10">
        <f>IF(O722="","",IF($C722="","Invoice on empty job row",IF(N722="",IF(ROUND(O722,2)=0,"No dept value","Invoiced - no dept value"),IF(ROUND(O722,2)=0,"Not invoiced - to invoice",IF(ROUND(P722,2)=0,"Agrees",IF(P722&gt;0,"Dept higher - to invoice","Xero higher - check dept"))))))</f>
        <v/>
      </c>
      <c r="R722" s="10">
        <f>IF(AND($C722="",NOT(COUNTA($S722:$BB722)&gt;0),$BI722&lt;&gt;""),"",MID(IF($BI722="","; Row ID not found on the department sheet - a row was deleted","")&amp;IF(AND($C722="",COUNTA($S722:$BB722)&gt;0),"; Invoice entered but the department row has no job number","")&amp;IF(E722="CHECK","; Job number not in the Xero job list","")&amp;IF(AND($C722&lt;&gt;"",COUNTIF($C$7:$C$1506,$C722)&gt;1),"; Job number on more than one row","")&amp;IF(AND($C722&lt;&gt;"",H722=""),"; Dept has not set a cost centre","")&amp;IF(AND($C722&lt;&gt;"",J722=""),"; Dept has not set a tax code","")&amp;IF(AND($C722&lt;&gt;"",N722=""),"; Dept has not entered an expected value","")&amp;IF((IF(OR(COUNTA(S722:U722)=0,AND(COUNTA(S722:U722)=3,ISNUMBER(U722))),0,1)+IF(OR(COUNTA(V722:X722)=0,AND(COUNTA(V722:X722)=3,ISNUMBER(X722))),0,1)+IF(OR(COUNTA(Y722:AA722)=0,AND(COUNTA(Y722:AA722)=3,ISNUMBER(AA722))),0,1)+IF(OR(COUNTA(AB722:AD722)=0,AND(COUNTA(AB722:AD722)=3,ISNUMBER(AD722))),0,1)+IF(OR(COUNTA(AE722:AG722)=0,AND(COUNTA(AE722:AG722)=3,ISNUMBER(AG722))),0,1)+IF(OR(COUNTA(AH722:AJ722)=0,AND(COUNTA(AH722:AJ722)=3,ISNUMBER(AJ722))),0,1)+IF(OR(COUNTA(AK722:AM722)=0,AND(COUNTA(AK722:AM722)=3,ISNUMBER(AM722))),0,1)+IF(OR(COUNTA(AN722:AP722)=0,AND(COUNTA(AN722:AP722)=3,ISNUMBER(AP722))),0,1)+IF(OR(COUNTA(AQ722:AS722)=0,AND(COUNTA(AQ722:AS722)=3,ISNUMBER(AS722))),0,1)+IF(OR(COUNTA(AT722:AV722)=0,AND(COUNTA(AT722:AV722)=3,ISNUMBER(AV722))),0,1)+IF(OR(COUNTA(AW722:AY722)=0,AND(COUNTA(AW722:AY722)=3,ISNUMBER(AY722))),0,1)+IF(OR(COUNTA(AZ722:BB722)=0,AND(COUNTA(AZ722:BB722)=3,ISNUMBER(BB722))),0,1))&gt;0,"; An invoice is incomplete (needs No, Date and a number in Ex GST)","")&amp;IF((IF(T722="",0,IFERROR(--(EOMONTH(T722,0)&lt;&gt;S$5),1))+IF(W722="",0,IFERROR(--(EOMONTH(W722,0)&lt;&gt;V$5),1))+IF(Z722="",0,IFERROR(--(EOMONTH(Z722,0)&lt;&gt;Y$5),1))+IF(AC722="",0,IFERROR(--(EOMONTH(AC722,0)&lt;&gt;AB$5),1))+IF(AF722="",0,IFERROR(--(EOMONTH(AF722,0)&lt;&gt;AE$5),1))+IF(AI722="",0,IFERROR(--(EOMONTH(AI722,0)&lt;&gt;AH$5),1))+IF(AL722="",0,IFERROR(--(EOMONTH(AL722,0)&lt;&gt;AK$5),1))+IF(AO722="",0,IFERROR(--(EOMONTH(AO722,0)&lt;&gt;AN$5),1))+IF(AR722="",0,IFERROR(--(EOMONTH(AR722,0)&lt;&gt;AQ$5),1))+IF(AU722="",0,IFERROR(--(EOMONTH(AU722,0)&lt;&gt;AT$5),1))+IF(AX722="",0,IFERROR(--(EOMONTH(AX722,0)&lt;&gt;AW$5),1))+IF(BA722="",0,IFERROR(--(EOMONTH(BA722,0)&lt;&gt;AZ$5),1)))&gt;0,"; An invoice date is not in the month it is typed under",""),3,500))</f>
        <v/>
      </c>
      <c r="S722" s="12" t="n"/>
      <c r="T722" s="13" t="n"/>
      <c r="U722" s="14" t="n"/>
      <c r="V722" s="12" t="n"/>
      <c r="W722" s="13" t="n"/>
      <c r="X722" s="14" t="n"/>
      <c r="Y722" s="12" t="n"/>
      <c r="Z722" s="13" t="n"/>
      <c r="AA722" s="14" t="n"/>
      <c r="AB722" s="12" t="n"/>
      <c r="AC722" s="13" t="n"/>
      <c r="AD722" s="14" t="n"/>
      <c r="AE722" s="12" t="n"/>
      <c r="AF722" s="13" t="n"/>
      <c r="AG722" s="14" t="n"/>
      <c r="AH722" s="12" t="n"/>
      <c r="AI722" s="13" t="n"/>
      <c r="AJ722" s="14" t="n"/>
      <c r="AK722" s="12" t="n"/>
      <c r="AL722" s="13" t="n"/>
      <c r="AM722" s="14" t="n"/>
      <c r="AN722" s="12" t="n"/>
      <c r="AO722" s="13" t="n"/>
      <c r="AP722" s="14" t="n"/>
      <c r="AQ722" s="12" t="n"/>
      <c r="AR722" s="13" t="n"/>
      <c r="AS722" s="14" t="n"/>
      <c r="AT722" s="12" t="n"/>
      <c r="AU722" s="13" t="n"/>
      <c r="AV722" s="14" t="n"/>
      <c r="AW722" s="12" t="n"/>
      <c r="AX722" s="13" t="n"/>
      <c r="AY722" s="14" t="n"/>
      <c r="AZ722" s="12" t="n"/>
      <c r="BA722" s="13" t="n"/>
      <c r="BB722" s="14" t="n"/>
      <c r="BC722" s="11">
        <f>IF(O722="","",IF(J722="GST 10%",ROUND(O722*set_GSTRate,2),0))</f>
        <v/>
      </c>
      <c r="BD722" s="11">
        <f>IF(O722="","",O722+BC722)</f>
        <v/>
      </c>
      <c r="BE722" s="15">
        <f>IF(O722="","",COUNTA(S722,V722,Y722,AB722,AE722,AH722,AK722,AN722,AQ722,AT722,AW722,AZ722))</f>
        <v/>
      </c>
      <c r="BF722" s="16">
        <f>IF(COUNT(T722,W722,Z722,AC722,AF722,AI722,AL722,AO722,AR722,AU722,AX722,BA722)=0,"",MAX(T722,W722,Z722,AC722,AF722,AI722,AL722,AO722,AR722,AU722,AX722,BA722))</f>
        <v/>
      </c>
      <c r="BG722" s="10">
        <f>MID(IF(S722="","",", "&amp;S722)&amp;IF(V722="","",", "&amp;V722)&amp;IF(Y722="","",", "&amp;Y722)&amp;IF(AB722="","",", "&amp;AB722)&amp;IF(AE722="","",", "&amp;AE722)&amp;IF(AH722="","",", "&amp;AH722)&amp;IF(AK722="","",", "&amp;AK722)&amp;IF(AN722="","",", "&amp;AN722)&amp;IF(AQ722="","",", "&amp;AQ722)&amp;IF(AT722="","",", "&amp;AT722)&amp;IF(AW722="","",", "&amp;AW722)&amp;IF(AZ722="","",", "&amp;AZ722),3,500)</f>
        <v/>
      </c>
      <c r="BH722" s="12" t="n"/>
      <c r="BI722" s="15">
        <f>IFERROR(MATCH($A722,IF($B722="Onsite",tbl_Onsite[Row ID],IF($B722="Production",tbl_Production[Row ID],tbl_Consulting[Row ID])),0),"")</f>
        <v/>
      </c>
    </row>
    <row r="723">
      <c r="A723" s="10" t="inlineStr">
        <is>
          <t>PRD-0217</t>
        </is>
      </c>
      <c r="B723" s="10" t="inlineStr">
        <is>
          <t>Production</t>
        </is>
      </c>
      <c r="C723" s="10">
        <f>IF($BI723="","",IF($B723="Onsite",INDEX(tbl_Onsite[Job Number],$BI723),IF($B723="Production",INDEX(tbl_Production[Job Number],$BI723),INDEX(tbl_Consulting[Job Number],$BI723)))&amp;"")</f>
        <v/>
      </c>
      <c r="D723" s="10">
        <f>IF($BI723="","",IF($B723="Onsite",INDEX(tbl_Onsite[Client],$BI723),IF($B723="Production",INDEX(tbl_Production[Client],$BI723),INDEX(tbl_Consulting[Client],$BI723)))&amp;"")</f>
        <v/>
      </c>
      <c r="E723" s="10">
        <f>IF($C723="","",IF(COUNTIF(lst_Jobs,$C723)&gt;0,"OK","CHECK"))</f>
        <v/>
      </c>
      <c r="F723" s="10">
        <f>IF($C723="","",IFERROR(INDEX(lst_JobName,MATCH($C723,lst_Jobs,0)),""))</f>
        <v/>
      </c>
      <c r="G723" s="10">
        <f>IF($BI723="","",IF($B723="Onsite",INDEX(tbl_Onsite[Job Description],$BI723),IF($B723="Production",INDEX(tbl_Production[Job Description],$BI723),INDEX(tbl_Consulting[Job Description],$BI723)))&amp;"")</f>
        <v/>
      </c>
      <c r="H723" s="10">
        <f>IF($BI723="","",IF($B723="Onsite",INDEX(tbl_Onsite[Cost Centre],$BI723),IF($B723="Production",INDEX(tbl_Production[Cost Centre],$BI723),INDEX(tbl_Consulting[Cost Centre],$BI723)))&amp;"")</f>
        <v/>
      </c>
      <c r="I723" s="10">
        <f>IF($BI723="","",IF($B723="Onsite",INDEX(tbl_Onsite[Invoice Type],$BI723),IF($B723="Production",INDEX(tbl_Production[Invoice Type],$BI723),INDEX(tbl_Consulting[Invoice Type],$BI723)))&amp;"")</f>
        <v/>
      </c>
      <c r="J723" s="10">
        <f>IF($BI723="","",IF($B723="Onsite",INDEX(tbl_Onsite[Tax Code],$BI723),IF($B723="Production",INDEX(tbl_Production[Tax Code],$BI723),INDEX(tbl_Consulting[Tax Code],$BI723)))&amp;"")</f>
        <v/>
      </c>
      <c r="K723" s="10">
        <f>IF(H723="","",IFERROR(INDEX(lst_CCtoGL,MATCH(H723,lst_CCforGL,0)),""))</f>
        <v/>
      </c>
      <c r="L723" s="10">
        <f>IF($BI723="","",IF($B723="Onsite",INDEX(tbl_Onsite[PO / Reference],$BI723),IF($B723="Production",INDEX(tbl_Production[Current RMS No],$BI723),INDEX(tbl_Consulting[Qwilr Quote],$BI723)))&amp;"")</f>
        <v/>
      </c>
      <c r="M723" s="10">
        <f>IF($BI723="","",IF($B723="Onsite",INDEX(tbl_Onsite[Notes],$BI723),IF($B723="Production",INDEX(tbl_Production[Notes],$BI723),INDEX(tbl_Consulting[Notes],$BI723)))&amp;"")</f>
        <v/>
      </c>
      <c r="N723" s="11">
        <f>IF($BI723="","",IF(IF($B723="Onsite",INDEX(tbl_Onsite[Expected Revenue Ex GST],$BI723),IF($B723="Production",INDEX(tbl_Production[Expected Revenue Ex GST],$BI723),INDEX(tbl_Consulting[Expected Revenue Ex GST],$BI723)))="","",IF($B723="Onsite",INDEX(tbl_Onsite[Expected Revenue Ex GST],$BI723),IF($B723="Production",INDEX(tbl_Production[Expected Revenue Ex GST],$BI723),INDEX(tbl_Consulting[Expected Revenue Ex GST],$BI723)))))</f>
        <v/>
      </c>
      <c r="O723" s="11">
        <f>IF(AND($C723="",NOT(COUNTA($S723:$BB723)&gt;0)),"",SUM(U723,X723,AA723,AD723,AG723,AJ723,AM723,AP723,AS723,AV723,AY723,BB723))</f>
        <v/>
      </c>
      <c r="P723" s="11">
        <f>IF(O723="","",N(N723)-O723)</f>
        <v/>
      </c>
      <c r="Q723" s="10">
        <f>IF(O723="","",IF($C723="","Invoice on empty job row",IF(N723="",IF(ROUND(O723,2)=0,"No dept value","Invoiced - no dept value"),IF(ROUND(O723,2)=0,"Not invoiced - to invoice",IF(ROUND(P723,2)=0,"Agrees",IF(P723&gt;0,"Dept higher - to invoice","Xero higher - check dept"))))))</f>
        <v/>
      </c>
      <c r="R723" s="10">
        <f>IF(AND($C723="",NOT(COUNTA($S723:$BB723)&gt;0),$BI723&lt;&gt;""),"",MID(IF($BI723="","; Row ID not found on the department sheet - a row was deleted","")&amp;IF(AND($C723="",COUNTA($S723:$BB723)&gt;0),"; Invoice entered but the department row has no job number","")&amp;IF(E723="CHECK","; Job number not in the Xero job list","")&amp;IF(AND($C723&lt;&gt;"",COUNTIF($C$7:$C$1506,$C723)&gt;1),"; Job number on more than one row","")&amp;IF(AND($C723&lt;&gt;"",H723=""),"; Dept has not set a cost centre","")&amp;IF(AND($C723&lt;&gt;"",J723=""),"; Dept has not set a tax code","")&amp;IF(AND($C723&lt;&gt;"",N723=""),"; Dept has not entered an expected value","")&amp;IF((IF(OR(COUNTA(S723:U723)=0,AND(COUNTA(S723:U723)=3,ISNUMBER(U723))),0,1)+IF(OR(COUNTA(V723:X723)=0,AND(COUNTA(V723:X723)=3,ISNUMBER(X723))),0,1)+IF(OR(COUNTA(Y723:AA723)=0,AND(COUNTA(Y723:AA723)=3,ISNUMBER(AA723))),0,1)+IF(OR(COUNTA(AB723:AD723)=0,AND(COUNTA(AB723:AD723)=3,ISNUMBER(AD723))),0,1)+IF(OR(COUNTA(AE723:AG723)=0,AND(COUNTA(AE723:AG723)=3,ISNUMBER(AG723))),0,1)+IF(OR(COUNTA(AH723:AJ723)=0,AND(COUNTA(AH723:AJ723)=3,ISNUMBER(AJ723))),0,1)+IF(OR(COUNTA(AK723:AM723)=0,AND(COUNTA(AK723:AM723)=3,ISNUMBER(AM723))),0,1)+IF(OR(COUNTA(AN723:AP723)=0,AND(COUNTA(AN723:AP723)=3,ISNUMBER(AP723))),0,1)+IF(OR(COUNTA(AQ723:AS723)=0,AND(COUNTA(AQ723:AS723)=3,ISNUMBER(AS723))),0,1)+IF(OR(COUNTA(AT723:AV723)=0,AND(COUNTA(AT723:AV723)=3,ISNUMBER(AV723))),0,1)+IF(OR(COUNTA(AW723:AY723)=0,AND(COUNTA(AW723:AY723)=3,ISNUMBER(AY723))),0,1)+IF(OR(COUNTA(AZ723:BB723)=0,AND(COUNTA(AZ723:BB723)=3,ISNUMBER(BB723))),0,1))&gt;0,"; An invoice is incomplete (needs No, Date and a number in Ex GST)","")&amp;IF((IF(T723="",0,IFERROR(--(EOMONTH(T723,0)&lt;&gt;S$5),1))+IF(W723="",0,IFERROR(--(EOMONTH(W723,0)&lt;&gt;V$5),1))+IF(Z723="",0,IFERROR(--(EOMONTH(Z723,0)&lt;&gt;Y$5),1))+IF(AC723="",0,IFERROR(--(EOMONTH(AC723,0)&lt;&gt;AB$5),1))+IF(AF723="",0,IFERROR(--(EOMONTH(AF723,0)&lt;&gt;AE$5),1))+IF(AI723="",0,IFERROR(--(EOMONTH(AI723,0)&lt;&gt;AH$5),1))+IF(AL723="",0,IFERROR(--(EOMONTH(AL723,0)&lt;&gt;AK$5),1))+IF(AO723="",0,IFERROR(--(EOMONTH(AO723,0)&lt;&gt;AN$5),1))+IF(AR723="",0,IFERROR(--(EOMONTH(AR723,0)&lt;&gt;AQ$5),1))+IF(AU723="",0,IFERROR(--(EOMONTH(AU723,0)&lt;&gt;AT$5),1))+IF(AX723="",0,IFERROR(--(EOMONTH(AX723,0)&lt;&gt;AW$5),1))+IF(BA723="",0,IFERROR(--(EOMONTH(BA723,0)&lt;&gt;AZ$5),1)))&gt;0,"; An invoice date is not in the month it is typed under",""),3,500))</f>
        <v/>
      </c>
      <c r="S723" s="12" t="n"/>
      <c r="T723" s="13" t="n"/>
      <c r="U723" s="14" t="n"/>
      <c r="V723" s="12" t="n"/>
      <c r="W723" s="13" t="n"/>
      <c r="X723" s="14" t="n"/>
      <c r="Y723" s="12" t="n"/>
      <c r="Z723" s="13" t="n"/>
      <c r="AA723" s="14" t="n"/>
      <c r="AB723" s="12" t="n"/>
      <c r="AC723" s="13" t="n"/>
      <c r="AD723" s="14" t="n"/>
      <c r="AE723" s="12" t="n"/>
      <c r="AF723" s="13" t="n"/>
      <c r="AG723" s="14" t="n"/>
      <c r="AH723" s="12" t="n"/>
      <c r="AI723" s="13" t="n"/>
      <c r="AJ723" s="14" t="n"/>
      <c r="AK723" s="12" t="n"/>
      <c r="AL723" s="13" t="n"/>
      <c r="AM723" s="14" t="n"/>
      <c r="AN723" s="12" t="n"/>
      <c r="AO723" s="13" t="n"/>
      <c r="AP723" s="14" t="n"/>
      <c r="AQ723" s="12" t="n"/>
      <c r="AR723" s="13" t="n"/>
      <c r="AS723" s="14" t="n"/>
      <c r="AT723" s="12" t="n"/>
      <c r="AU723" s="13" t="n"/>
      <c r="AV723" s="14" t="n"/>
      <c r="AW723" s="12" t="n"/>
      <c r="AX723" s="13" t="n"/>
      <c r="AY723" s="14" t="n"/>
      <c r="AZ723" s="12" t="n"/>
      <c r="BA723" s="13" t="n"/>
      <c r="BB723" s="14" t="n"/>
      <c r="BC723" s="11">
        <f>IF(O723="","",IF(J723="GST 10%",ROUND(O723*set_GSTRate,2),0))</f>
        <v/>
      </c>
      <c r="BD723" s="11">
        <f>IF(O723="","",O723+BC723)</f>
        <v/>
      </c>
      <c r="BE723" s="15">
        <f>IF(O723="","",COUNTA(S723,V723,Y723,AB723,AE723,AH723,AK723,AN723,AQ723,AT723,AW723,AZ723))</f>
        <v/>
      </c>
      <c r="BF723" s="16">
        <f>IF(COUNT(T723,W723,Z723,AC723,AF723,AI723,AL723,AO723,AR723,AU723,AX723,BA723)=0,"",MAX(T723,W723,Z723,AC723,AF723,AI723,AL723,AO723,AR723,AU723,AX723,BA723))</f>
        <v/>
      </c>
      <c r="BG723" s="10">
        <f>MID(IF(S723="","",", "&amp;S723)&amp;IF(V723="","",", "&amp;V723)&amp;IF(Y723="","",", "&amp;Y723)&amp;IF(AB723="","",", "&amp;AB723)&amp;IF(AE723="","",", "&amp;AE723)&amp;IF(AH723="","",", "&amp;AH723)&amp;IF(AK723="","",", "&amp;AK723)&amp;IF(AN723="","",", "&amp;AN723)&amp;IF(AQ723="","",", "&amp;AQ723)&amp;IF(AT723="","",", "&amp;AT723)&amp;IF(AW723="","",", "&amp;AW723)&amp;IF(AZ723="","",", "&amp;AZ723),3,500)</f>
        <v/>
      </c>
      <c r="BH723" s="12" t="n"/>
      <c r="BI723" s="15">
        <f>IFERROR(MATCH($A723,IF($B723="Onsite",tbl_Onsite[Row ID],IF($B723="Production",tbl_Production[Row ID],tbl_Consulting[Row ID])),0),"")</f>
        <v/>
      </c>
    </row>
    <row r="724">
      <c r="A724" s="10" t="inlineStr">
        <is>
          <t>PRD-0218</t>
        </is>
      </c>
      <c r="B724" s="10" t="inlineStr">
        <is>
          <t>Production</t>
        </is>
      </c>
      <c r="C724" s="10">
        <f>IF($BI724="","",IF($B724="Onsite",INDEX(tbl_Onsite[Job Number],$BI724),IF($B724="Production",INDEX(tbl_Production[Job Number],$BI724),INDEX(tbl_Consulting[Job Number],$BI724)))&amp;"")</f>
        <v/>
      </c>
      <c r="D724" s="10">
        <f>IF($BI724="","",IF($B724="Onsite",INDEX(tbl_Onsite[Client],$BI724),IF($B724="Production",INDEX(tbl_Production[Client],$BI724),INDEX(tbl_Consulting[Client],$BI724)))&amp;"")</f>
        <v/>
      </c>
      <c r="E724" s="10">
        <f>IF($C724="","",IF(COUNTIF(lst_Jobs,$C724)&gt;0,"OK","CHECK"))</f>
        <v/>
      </c>
      <c r="F724" s="10">
        <f>IF($C724="","",IFERROR(INDEX(lst_JobName,MATCH($C724,lst_Jobs,0)),""))</f>
        <v/>
      </c>
      <c r="G724" s="10">
        <f>IF($BI724="","",IF($B724="Onsite",INDEX(tbl_Onsite[Job Description],$BI724),IF($B724="Production",INDEX(tbl_Production[Job Description],$BI724),INDEX(tbl_Consulting[Job Description],$BI724)))&amp;"")</f>
        <v/>
      </c>
      <c r="H724" s="10">
        <f>IF($BI724="","",IF($B724="Onsite",INDEX(tbl_Onsite[Cost Centre],$BI724),IF($B724="Production",INDEX(tbl_Production[Cost Centre],$BI724),INDEX(tbl_Consulting[Cost Centre],$BI724)))&amp;"")</f>
        <v/>
      </c>
      <c r="I724" s="10">
        <f>IF($BI724="","",IF($B724="Onsite",INDEX(tbl_Onsite[Invoice Type],$BI724),IF($B724="Production",INDEX(tbl_Production[Invoice Type],$BI724),INDEX(tbl_Consulting[Invoice Type],$BI724)))&amp;"")</f>
        <v/>
      </c>
      <c r="J724" s="10">
        <f>IF($BI724="","",IF($B724="Onsite",INDEX(tbl_Onsite[Tax Code],$BI724),IF($B724="Production",INDEX(tbl_Production[Tax Code],$BI724),INDEX(tbl_Consulting[Tax Code],$BI724)))&amp;"")</f>
        <v/>
      </c>
      <c r="K724" s="10">
        <f>IF(H724="","",IFERROR(INDEX(lst_CCtoGL,MATCH(H724,lst_CCforGL,0)),""))</f>
        <v/>
      </c>
      <c r="L724" s="10">
        <f>IF($BI724="","",IF($B724="Onsite",INDEX(tbl_Onsite[PO / Reference],$BI724),IF($B724="Production",INDEX(tbl_Production[Current RMS No],$BI724),INDEX(tbl_Consulting[Qwilr Quote],$BI724)))&amp;"")</f>
        <v/>
      </c>
      <c r="M724" s="10">
        <f>IF($BI724="","",IF($B724="Onsite",INDEX(tbl_Onsite[Notes],$BI724),IF($B724="Production",INDEX(tbl_Production[Notes],$BI724),INDEX(tbl_Consulting[Notes],$BI724)))&amp;"")</f>
        <v/>
      </c>
      <c r="N724" s="11">
        <f>IF($BI724="","",IF(IF($B724="Onsite",INDEX(tbl_Onsite[Expected Revenue Ex GST],$BI724),IF($B724="Production",INDEX(tbl_Production[Expected Revenue Ex GST],$BI724),INDEX(tbl_Consulting[Expected Revenue Ex GST],$BI724)))="","",IF($B724="Onsite",INDEX(tbl_Onsite[Expected Revenue Ex GST],$BI724),IF($B724="Production",INDEX(tbl_Production[Expected Revenue Ex GST],$BI724),INDEX(tbl_Consulting[Expected Revenue Ex GST],$BI724)))))</f>
        <v/>
      </c>
      <c r="O724" s="11">
        <f>IF(AND($C724="",NOT(COUNTA($S724:$BB724)&gt;0)),"",SUM(U724,X724,AA724,AD724,AG724,AJ724,AM724,AP724,AS724,AV724,AY724,BB724))</f>
        <v/>
      </c>
      <c r="P724" s="11">
        <f>IF(O724="","",N(N724)-O724)</f>
        <v/>
      </c>
      <c r="Q724" s="10">
        <f>IF(O724="","",IF($C724="","Invoice on empty job row",IF(N724="",IF(ROUND(O724,2)=0,"No dept value","Invoiced - no dept value"),IF(ROUND(O724,2)=0,"Not invoiced - to invoice",IF(ROUND(P724,2)=0,"Agrees",IF(P724&gt;0,"Dept higher - to invoice","Xero higher - check dept"))))))</f>
        <v/>
      </c>
      <c r="R724" s="10">
        <f>IF(AND($C724="",NOT(COUNTA($S724:$BB724)&gt;0),$BI724&lt;&gt;""),"",MID(IF($BI724="","; Row ID not found on the department sheet - a row was deleted","")&amp;IF(AND($C724="",COUNTA($S724:$BB724)&gt;0),"; Invoice entered but the department row has no job number","")&amp;IF(E724="CHECK","; Job number not in the Xero job list","")&amp;IF(AND($C724&lt;&gt;"",COUNTIF($C$7:$C$1506,$C724)&gt;1),"; Job number on more than one row","")&amp;IF(AND($C724&lt;&gt;"",H724=""),"; Dept has not set a cost centre","")&amp;IF(AND($C724&lt;&gt;"",J724=""),"; Dept has not set a tax code","")&amp;IF(AND($C724&lt;&gt;"",N724=""),"; Dept has not entered an expected value","")&amp;IF((IF(OR(COUNTA(S724:U724)=0,AND(COUNTA(S724:U724)=3,ISNUMBER(U724))),0,1)+IF(OR(COUNTA(V724:X724)=0,AND(COUNTA(V724:X724)=3,ISNUMBER(X724))),0,1)+IF(OR(COUNTA(Y724:AA724)=0,AND(COUNTA(Y724:AA724)=3,ISNUMBER(AA724))),0,1)+IF(OR(COUNTA(AB724:AD724)=0,AND(COUNTA(AB724:AD724)=3,ISNUMBER(AD724))),0,1)+IF(OR(COUNTA(AE724:AG724)=0,AND(COUNTA(AE724:AG724)=3,ISNUMBER(AG724))),0,1)+IF(OR(COUNTA(AH724:AJ724)=0,AND(COUNTA(AH724:AJ724)=3,ISNUMBER(AJ724))),0,1)+IF(OR(COUNTA(AK724:AM724)=0,AND(COUNTA(AK724:AM724)=3,ISNUMBER(AM724))),0,1)+IF(OR(COUNTA(AN724:AP724)=0,AND(COUNTA(AN724:AP724)=3,ISNUMBER(AP724))),0,1)+IF(OR(COUNTA(AQ724:AS724)=0,AND(COUNTA(AQ724:AS724)=3,ISNUMBER(AS724))),0,1)+IF(OR(COUNTA(AT724:AV724)=0,AND(COUNTA(AT724:AV724)=3,ISNUMBER(AV724))),0,1)+IF(OR(COUNTA(AW724:AY724)=0,AND(COUNTA(AW724:AY724)=3,ISNUMBER(AY724))),0,1)+IF(OR(COUNTA(AZ724:BB724)=0,AND(COUNTA(AZ724:BB724)=3,ISNUMBER(BB724))),0,1))&gt;0,"; An invoice is incomplete (needs No, Date and a number in Ex GST)","")&amp;IF((IF(T724="",0,IFERROR(--(EOMONTH(T724,0)&lt;&gt;S$5),1))+IF(W724="",0,IFERROR(--(EOMONTH(W724,0)&lt;&gt;V$5),1))+IF(Z724="",0,IFERROR(--(EOMONTH(Z724,0)&lt;&gt;Y$5),1))+IF(AC724="",0,IFERROR(--(EOMONTH(AC724,0)&lt;&gt;AB$5),1))+IF(AF724="",0,IFERROR(--(EOMONTH(AF724,0)&lt;&gt;AE$5),1))+IF(AI724="",0,IFERROR(--(EOMONTH(AI724,0)&lt;&gt;AH$5),1))+IF(AL724="",0,IFERROR(--(EOMONTH(AL724,0)&lt;&gt;AK$5),1))+IF(AO724="",0,IFERROR(--(EOMONTH(AO724,0)&lt;&gt;AN$5),1))+IF(AR724="",0,IFERROR(--(EOMONTH(AR724,0)&lt;&gt;AQ$5),1))+IF(AU724="",0,IFERROR(--(EOMONTH(AU724,0)&lt;&gt;AT$5),1))+IF(AX724="",0,IFERROR(--(EOMONTH(AX724,0)&lt;&gt;AW$5),1))+IF(BA724="",0,IFERROR(--(EOMONTH(BA724,0)&lt;&gt;AZ$5),1)))&gt;0,"; An invoice date is not in the month it is typed under",""),3,500))</f>
        <v/>
      </c>
      <c r="S724" s="12" t="n"/>
      <c r="T724" s="13" t="n"/>
      <c r="U724" s="14" t="n"/>
      <c r="V724" s="12" t="n"/>
      <c r="W724" s="13" t="n"/>
      <c r="X724" s="14" t="n"/>
      <c r="Y724" s="12" t="n"/>
      <c r="Z724" s="13" t="n"/>
      <c r="AA724" s="14" t="n"/>
      <c r="AB724" s="12" t="n"/>
      <c r="AC724" s="13" t="n"/>
      <c r="AD724" s="14" t="n"/>
      <c r="AE724" s="12" t="n"/>
      <c r="AF724" s="13" t="n"/>
      <c r="AG724" s="14" t="n"/>
      <c r="AH724" s="12" t="n"/>
      <c r="AI724" s="13" t="n"/>
      <c r="AJ724" s="14" t="n"/>
      <c r="AK724" s="12" t="n"/>
      <c r="AL724" s="13" t="n"/>
      <c r="AM724" s="14" t="n"/>
      <c r="AN724" s="12" t="n"/>
      <c r="AO724" s="13" t="n"/>
      <c r="AP724" s="14" t="n"/>
      <c r="AQ724" s="12" t="n"/>
      <c r="AR724" s="13" t="n"/>
      <c r="AS724" s="14" t="n"/>
      <c r="AT724" s="12" t="n"/>
      <c r="AU724" s="13" t="n"/>
      <c r="AV724" s="14" t="n"/>
      <c r="AW724" s="12" t="n"/>
      <c r="AX724" s="13" t="n"/>
      <c r="AY724" s="14" t="n"/>
      <c r="AZ724" s="12" t="n"/>
      <c r="BA724" s="13" t="n"/>
      <c r="BB724" s="14" t="n"/>
      <c r="BC724" s="11">
        <f>IF(O724="","",IF(J724="GST 10%",ROUND(O724*set_GSTRate,2),0))</f>
        <v/>
      </c>
      <c r="BD724" s="11">
        <f>IF(O724="","",O724+BC724)</f>
        <v/>
      </c>
      <c r="BE724" s="15">
        <f>IF(O724="","",COUNTA(S724,V724,Y724,AB724,AE724,AH724,AK724,AN724,AQ724,AT724,AW724,AZ724))</f>
        <v/>
      </c>
      <c r="BF724" s="16">
        <f>IF(COUNT(T724,W724,Z724,AC724,AF724,AI724,AL724,AO724,AR724,AU724,AX724,BA724)=0,"",MAX(T724,W724,Z724,AC724,AF724,AI724,AL724,AO724,AR724,AU724,AX724,BA724))</f>
        <v/>
      </c>
      <c r="BG724" s="10">
        <f>MID(IF(S724="","",", "&amp;S724)&amp;IF(V724="","",", "&amp;V724)&amp;IF(Y724="","",", "&amp;Y724)&amp;IF(AB724="","",", "&amp;AB724)&amp;IF(AE724="","",", "&amp;AE724)&amp;IF(AH724="","",", "&amp;AH724)&amp;IF(AK724="","",", "&amp;AK724)&amp;IF(AN724="","",", "&amp;AN724)&amp;IF(AQ724="","",", "&amp;AQ724)&amp;IF(AT724="","",", "&amp;AT724)&amp;IF(AW724="","",", "&amp;AW724)&amp;IF(AZ724="","",", "&amp;AZ724),3,500)</f>
        <v/>
      </c>
      <c r="BH724" s="12" t="n"/>
      <c r="BI724" s="15">
        <f>IFERROR(MATCH($A724,IF($B724="Onsite",tbl_Onsite[Row ID],IF($B724="Production",tbl_Production[Row ID],tbl_Consulting[Row ID])),0),"")</f>
        <v/>
      </c>
    </row>
    <row r="725">
      <c r="A725" s="10" t="inlineStr">
        <is>
          <t>PRD-0219</t>
        </is>
      </c>
      <c r="B725" s="10" t="inlineStr">
        <is>
          <t>Production</t>
        </is>
      </c>
      <c r="C725" s="10">
        <f>IF($BI725="","",IF($B725="Onsite",INDEX(tbl_Onsite[Job Number],$BI725),IF($B725="Production",INDEX(tbl_Production[Job Number],$BI725),INDEX(tbl_Consulting[Job Number],$BI725)))&amp;"")</f>
        <v/>
      </c>
      <c r="D725" s="10">
        <f>IF($BI725="","",IF($B725="Onsite",INDEX(tbl_Onsite[Client],$BI725),IF($B725="Production",INDEX(tbl_Production[Client],$BI725),INDEX(tbl_Consulting[Client],$BI725)))&amp;"")</f>
        <v/>
      </c>
      <c r="E725" s="10">
        <f>IF($C725="","",IF(COUNTIF(lst_Jobs,$C725)&gt;0,"OK","CHECK"))</f>
        <v/>
      </c>
      <c r="F725" s="10">
        <f>IF($C725="","",IFERROR(INDEX(lst_JobName,MATCH($C725,lst_Jobs,0)),""))</f>
        <v/>
      </c>
      <c r="G725" s="10">
        <f>IF($BI725="","",IF($B725="Onsite",INDEX(tbl_Onsite[Job Description],$BI725),IF($B725="Production",INDEX(tbl_Production[Job Description],$BI725),INDEX(tbl_Consulting[Job Description],$BI725)))&amp;"")</f>
        <v/>
      </c>
      <c r="H725" s="10">
        <f>IF($BI725="","",IF($B725="Onsite",INDEX(tbl_Onsite[Cost Centre],$BI725),IF($B725="Production",INDEX(tbl_Production[Cost Centre],$BI725),INDEX(tbl_Consulting[Cost Centre],$BI725)))&amp;"")</f>
        <v/>
      </c>
      <c r="I725" s="10">
        <f>IF($BI725="","",IF($B725="Onsite",INDEX(tbl_Onsite[Invoice Type],$BI725),IF($B725="Production",INDEX(tbl_Production[Invoice Type],$BI725),INDEX(tbl_Consulting[Invoice Type],$BI725)))&amp;"")</f>
        <v/>
      </c>
      <c r="J725" s="10">
        <f>IF($BI725="","",IF($B725="Onsite",INDEX(tbl_Onsite[Tax Code],$BI725),IF($B725="Production",INDEX(tbl_Production[Tax Code],$BI725),INDEX(tbl_Consulting[Tax Code],$BI725)))&amp;"")</f>
        <v/>
      </c>
      <c r="K725" s="10">
        <f>IF(H725="","",IFERROR(INDEX(lst_CCtoGL,MATCH(H725,lst_CCforGL,0)),""))</f>
        <v/>
      </c>
      <c r="L725" s="10">
        <f>IF($BI725="","",IF($B725="Onsite",INDEX(tbl_Onsite[PO / Reference],$BI725),IF($B725="Production",INDEX(tbl_Production[Current RMS No],$BI725),INDEX(tbl_Consulting[Qwilr Quote],$BI725)))&amp;"")</f>
        <v/>
      </c>
      <c r="M725" s="10">
        <f>IF($BI725="","",IF($B725="Onsite",INDEX(tbl_Onsite[Notes],$BI725),IF($B725="Production",INDEX(tbl_Production[Notes],$BI725),INDEX(tbl_Consulting[Notes],$BI725)))&amp;"")</f>
        <v/>
      </c>
      <c r="N725" s="11">
        <f>IF($BI725="","",IF(IF($B725="Onsite",INDEX(tbl_Onsite[Expected Revenue Ex GST],$BI725),IF($B725="Production",INDEX(tbl_Production[Expected Revenue Ex GST],$BI725),INDEX(tbl_Consulting[Expected Revenue Ex GST],$BI725)))="","",IF($B725="Onsite",INDEX(tbl_Onsite[Expected Revenue Ex GST],$BI725),IF($B725="Production",INDEX(tbl_Production[Expected Revenue Ex GST],$BI725),INDEX(tbl_Consulting[Expected Revenue Ex GST],$BI725)))))</f>
        <v/>
      </c>
      <c r="O725" s="11">
        <f>IF(AND($C725="",NOT(COUNTA($S725:$BB725)&gt;0)),"",SUM(U725,X725,AA725,AD725,AG725,AJ725,AM725,AP725,AS725,AV725,AY725,BB725))</f>
        <v/>
      </c>
      <c r="P725" s="11">
        <f>IF(O725="","",N(N725)-O725)</f>
        <v/>
      </c>
      <c r="Q725" s="10">
        <f>IF(O725="","",IF($C725="","Invoice on empty job row",IF(N725="",IF(ROUND(O725,2)=0,"No dept value","Invoiced - no dept value"),IF(ROUND(O725,2)=0,"Not invoiced - to invoice",IF(ROUND(P725,2)=0,"Agrees",IF(P725&gt;0,"Dept higher - to invoice","Xero higher - check dept"))))))</f>
        <v/>
      </c>
      <c r="R725" s="10">
        <f>IF(AND($C725="",NOT(COUNTA($S725:$BB725)&gt;0),$BI725&lt;&gt;""),"",MID(IF($BI725="","; Row ID not found on the department sheet - a row was deleted","")&amp;IF(AND($C725="",COUNTA($S725:$BB725)&gt;0),"; Invoice entered but the department row has no job number","")&amp;IF(E725="CHECK","; Job number not in the Xero job list","")&amp;IF(AND($C725&lt;&gt;"",COUNTIF($C$7:$C$1506,$C725)&gt;1),"; Job number on more than one row","")&amp;IF(AND($C725&lt;&gt;"",H725=""),"; Dept has not set a cost centre","")&amp;IF(AND($C725&lt;&gt;"",J725=""),"; Dept has not set a tax code","")&amp;IF(AND($C725&lt;&gt;"",N725=""),"; Dept has not entered an expected value","")&amp;IF((IF(OR(COUNTA(S725:U725)=0,AND(COUNTA(S725:U725)=3,ISNUMBER(U725))),0,1)+IF(OR(COUNTA(V725:X725)=0,AND(COUNTA(V725:X725)=3,ISNUMBER(X725))),0,1)+IF(OR(COUNTA(Y725:AA725)=0,AND(COUNTA(Y725:AA725)=3,ISNUMBER(AA725))),0,1)+IF(OR(COUNTA(AB725:AD725)=0,AND(COUNTA(AB725:AD725)=3,ISNUMBER(AD725))),0,1)+IF(OR(COUNTA(AE725:AG725)=0,AND(COUNTA(AE725:AG725)=3,ISNUMBER(AG725))),0,1)+IF(OR(COUNTA(AH725:AJ725)=0,AND(COUNTA(AH725:AJ725)=3,ISNUMBER(AJ725))),0,1)+IF(OR(COUNTA(AK725:AM725)=0,AND(COUNTA(AK725:AM725)=3,ISNUMBER(AM725))),0,1)+IF(OR(COUNTA(AN725:AP725)=0,AND(COUNTA(AN725:AP725)=3,ISNUMBER(AP725))),0,1)+IF(OR(COUNTA(AQ725:AS725)=0,AND(COUNTA(AQ725:AS725)=3,ISNUMBER(AS725))),0,1)+IF(OR(COUNTA(AT725:AV725)=0,AND(COUNTA(AT725:AV725)=3,ISNUMBER(AV725))),0,1)+IF(OR(COUNTA(AW725:AY725)=0,AND(COUNTA(AW725:AY725)=3,ISNUMBER(AY725))),0,1)+IF(OR(COUNTA(AZ725:BB725)=0,AND(COUNTA(AZ725:BB725)=3,ISNUMBER(BB725))),0,1))&gt;0,"; An invoice is incomplete (needs No, Date and a number in Ex GST)","")&amp;IF((IF(T725="",0,IFERROR(--(EOMONTH(T725,0)&lt;&gt;S$5),1))+IF(W725="",0,IFERROR(--(EOMONTH(W725,0)&lt;&gt;V$5),1))+IF(Z725="",0,IFERROR(--(EOMONTH(Z725,0)&lt;&gt;Y$5),1))+IF(AC725="",0,IFERROR(--(EOMONTH(AC725,0)&lt;&gt;AB$5),1))+IF(AF725="",0,IFERROR(--(EOMONTH(AF725,0)&lt;&gt;AE$5),1))+IF(AI725="",0,IFERROR(--(EOMONTH(AI725,0)&lt;&gt;AH$5),1))+IF(AL725="",0,IFERROR(--(EOMONTH(AL725,0)&lt;&gt;AK$5),1))+IF(AO725="",0,IFERROR(--(EOMONTH(AO725,0)&lt;&gt;AN$5),1))+IF(AR725="",0,IFERROR(--(EOMONTH(AR725,0)&lt;&gt;AQ$5),1))+IF(AU725="",0,IFERROR(--(EOMONTH(AU725,0)&lt;&gt;AT$5),1))+IF(AX725="",0,IFERROR(--(EOMONTH(AX725,0)&lt;&gt;AW$5),1))+IF(BA725="",0,IFERROR(--(EOMONTH(BA725,0)&lt;&gt;AZ$5),1)))&gt;0,"; An invoice date is not in the month it is typed under",""),3,500))</f>
        <v/>
      </c>
      <c r="S725" s="12" t="n"/>
      <c r="T725" s="13" t="n"/>
      <c r="U725" s="14" t="n"/>
      <c r="V725" s="12" t="n"/>
      <c r="W725" s="13" t="n"/>
      <c r="X725" s="14" t="n"/>
      <c r="Y725" s="12" t="n"/>
      <c r="Z725" s="13" t="n"/>
      <c r="AA725" s="14" t="n"/>
      <c r="AB725" s="12" t="n"/>
      <c r="AC725" s="13" t="n"/>
      <c r="AD725" s="14" t="n"/>
      <c r="AE725" s="12" t="n"/>
      <c r="AF725" s="13" t="n"/>
      <c r="AG725" s="14" t="n"/>
      <c r="AH725" s="12" t="n"/>
      <c r="AI725" s="13" t="n"/>
      <c r="AJ725" s="14" t="n"/>
      <c r="AK725" s="12" t="n"/>
      <c r="AL725" s="13" t="n"/>
      <c r="AM725" s="14" t="n"/>
      <c r="AN725" s="12" t="n"/>
      <c r="AO725" s="13" t="n"/>
      <c r="AP725" s="14" t="n"/>
      <c r="AQ725" s="12" t="n"/>
      <c r="AR725" s="13" t="n"/>
      <c r="AS725" s="14" t="n"/>
      <c r="AT725" s="12" t="n"/>
      <c r="AU725" s="13" t="n"/>
      <c r="AV725" s="14" t="n"/>
      <c r="AW725" s="12" t="n"/>
      <c r="AX725" s="13" t="n"/>
      <c r="AY725" s="14" t="n"/>
      <c r="AZ725" s="12" t="n"/>
      <c r="BA725" s="13" t="n"/>
      <c r="BB725" s="14" t="n"/>
      <c r="BC725" s="11">
        <f>IF(O725="","",IF(J725="GST 10%",ROUND(O725*set_GSTRate,2),0))</f>
        <v/>
      </c>
      <c r="BD725" s="11">
        <f>IF(O725="","",O725+BC725)</f>
        <v/>
      </c>
      <c r="BE725" s="15">
        <f>IF(O725="","",COUNTA(S725,V725,Y725,AB725,AE725,AH725,AK725,AN725,AQ725,AT725,AW725,AZ725))</f>
        <v/>
      </c>
      <c r="BF725" s="16">
        <f>IF(COUNT(T725,W725,Z725,AC725,AF725,AI725,AL725,AO725,AR725,AU725,AX725,BA725)=0,"",MAX(T725,W725,Z725,AC725,AF725,AI725,AL725,AO725,AR725,AU725,AX725,BA725))</f>
        <v/>
      </c>
      <c r="BG725" s="10">
        <f>MID(IF(S725="","",", "&amp;S725)&amp;IF(V725="","",", "&amp;V725)&amp;IF(Y725="","",", "&amp;Y725)&amp;IF(AB725="","",", "&amp;AB725)&amp;IF(AE725="","",", "&amp;AE725)&amp;IF(AH725="","",", "&amp;AH725)&amp;IF(AK725="","",", "&amp;AK725)&amp;IF(AN725="","",", "&amp;AN725)&amp;IF(AQ725="","",", "&amp;AQ725)&amp;IF(AT725="","",", "&amp;AT725)&amp;IF(AW725="","",", "&amp;AW725)&amp;IF(AZ725="","",", "&amp;AZ725),3,500)</f>
        <v/>
      </c>
      <c r="BH725" s="12" t="n"/>
      <c r="BI725" s="15">
        <f>IFERROR(MATCH($A725,IF($B725="Onsite",tbl_Onsite[Row ID],IF($B725="Production",tbl_Production[Row ID],tbl_Consulting[Row ID])),0),"")</f>
        <v/>
      </c>
    </row>
    <row r="726">
      <c r="A726" s="10" t="inlineStr">
        <is>
          <t>PRD-0220</t>
        </is>
      </c>
      <c r="B726" s="10" t="inlineStr">
        <is>
          <t>Production</t>
        </is>
      </c>
      <c r="C726" s="10">
        <f>IF($BI726="","",IF($B726="Onsite",INDEX(tbl_Onsite[Job Number],$BI726),IF($B726="Production",INDEX(tbl_Production[Job Number],$BI726),INDEX(tbl_Consulting[Job Number],$BI726)))&amp;"")</f>
        <v/>
      </c>
      <c r="D726" s="10">
        <f>IF($BI726="","",IF($B726="Onsite",INDEX(tbl_Onsite[Client],$BI726),IF($B726="Production",INDEX(tbl_Production[Client],$BI726),INDEX(tbl_Consulting[Client],$BI726)))&amp;"")</f>
        <v/>
      </c>
      <c r="E726" s="10">
        <f>IF($C726="","",IF(COUNTIF(lst_Jobs,$C726)&gt;0,"OK","CHECK"))</f>
        <v/>
      </c>
      <c r="F726" s="10">
        <f>IF($C726="","",IFERROR(INDEX(lst_JobName,MATCH($C726,lst_Jobs,0)),""))</f>
        <v/>
      </c>
      <c r="G726" s="10">
        <f>IF($BI726="","",IF($B726="Onsite",INDEX(tbl_Onsite[Job Description],$BI726),IF($B726="Production",INDEX(tbl_Production[Job Description],$BI726),INDEX(tbl_Consulting[Job Description],$BI726)))&amp;"")</f>
        <v/>
      </c>
      <c r="H726" s="10">
        <f>IF($BI726="","",IF($B726="Onsite",INDEX(tbl_Onsite[Cost Centre],$BI726),IF($B726="Production",INDEX(tbl_Production[Cost Centre],$BI726),INDEX(tbl_Consulting[Cost Centre],$BI726)))&amp;"")</f>
        <v/>
      </c>
      <c r="I726" s="10">
        <f>IF($BI726="","",IF($B726="Onsite",INDEX(tbl_Onsite[Invoice Type],$BI726),IF($B726="Production",INDEX(tbl_Production[Invoice Type],$BI726),INDEX(tbl_Consulting[Invoice Type],$BI726)))&amp;"")</f>
        <v/>
      </c>
      <c r="J726" s="10">
        <f>IF($BI726="","",IF($B726="Onsite",INDEX(tbl_Onsite[Tax Code],$BI726),IF($B726="Production",INDEX(tbl_Production[Tax Code],$BI726),INDEX(tbl_Consulting[Tax Code],$BI726)))&amp;"")</f>
        <v/>
      </c>
      <c r="K726" s="10">
        <f>IF(H726="","",IFERROR(INDEX(lst_CCtoGL,MATCH(H726,lst_CCforGL,0)),""))</f>
        <v/>
      </c>
      <c r="L726" s="10">
        <f>IF($BI726="","",IF($B726="Onsite",INDEX(tbl_Onsite[PO / Reference],$BI726),IF($B726="Production",INDEX(tbl_Production[Current RMS No],$BI726),INDEX(tbl_Consulting[Qwilr Quote],$BI726)))&amp;"")</f>
        <v/>
      </c>
      <c r="M726" s="10">
        <f>IF($BI726="","",IF($B726="Onsite",INDEX(tbl_Onsite[Notes],$BI726),IF($B726="Production",INDEX(tbl_Production[Notes],$BI726),INDEX(tbl_Consulting[Notes],$BI726)))&amp;"")</f>
        <v/>
      </c>
      <c r="N726" s="11">
        <f>IF($BI726="","",IF(IF($B726="Onsite",INDEX(tbl_Onsite[Expected Revenue Ex GST],$BI726),IF($B726="Production",INDEX(tbl_Production[Expected Revenue Ex GST],$BI726),INDEX(tbl_Consulting[Expected Revenue Ex GST],$BI726)))="","",IF($B726="Onsite",INDEX(tbl_Onsite[Expected Revenue Ex GST],$BI726),IF($B726="Production",INDEX(tbl_Production[Expected Revenue Ex GST],$BI726),INDEX(tbl_Consulting[Expected Revenue Ex GST],$BI726)))))</f>
        <v/>
      </c>
      <c r="O726" s="11">
        <f>IF(AND($C726="",NOT(COUNTA($S726:$BB726)&gt;0)),"",SUM(U726,X726,AA726,AD726,AG726,AJ726,AM726,AP726,AS726,AV726,AY726,BB726))</f>
        <v/>
      </c>
      <c r="P726" s="11">
        <f>IF(O726="","",N(N726)-O726)</f>
        <v/>
      </c>
      <c r="Q726" s="10">
        <f>IF(O726="","",IF($C726="","Invoice on empty job row",IF(N726="",IF(ROUND(O726,2)=0,"No dept value","Invoiced - no dept value"),IF(ROUND(O726,2)=0,"Not invoiced - to invoice",IF(ROUND(P726,2)=0,"Agrees",IF(P726&gt;0,"Dept higher - to invoice","Xero higher - check dept"))))))</f>
        <v/>
      </c>
      <c r="R726" s="10">
        <f>IF(AND($C726="",NOT(COUNTA($S726:$BB726)&gt;0),$BI726&lt;&gt;""),"",MID(IF($BI726="","; Row ID not found on the department sheet - a row was deleted","")&amp;IF(AND($C726="",COUNTA($S726:$BB726)&gt;0),"; Invoice entered but the department row has no job number","")&amp;IF(E726="CHECK","; Job number not in the Xero job list","")&amp;IF(AND($C726&lt;&gt;"",COUNTIF($C$7:$C$1506,$C726)&gt;1),"; Job number on more than one row","")&amp;IF(AND($C726&lt;&gt;"",H726=""),"; Dept has not set a cost centre","")&amp;IF(AND($C726&lt;&gt;"",J726=""),"; Dept has not set a tax code","")&amp;IF(AND($C726&lt;&gt;"",N726=""),"; Dept has not entered an expected value","")&amp;IF((IF(OR(COUNTA(S726:U726)=0,AND(COUNTA(S726:U726)=3,ISNUMBER(U726))),0,1)+IF(OR(COUNTA(V726:X726)=0,AND(COUNTA(V726:X726)=3,ISNUMBER(X726))),0,1)+IF(OR(COUNTA(Y726:AA726)=0,AND(COUNTA(Y726:AA726)=3,ISNUMBER(AA726))),0,1)+IF(OR(COUNTA(AB726:AD726)=0,AND(COUNTA(AB726:AD726)=3,ISNUMBER(AD726))),0,1)+IF(OR(COUNTA(AE726:AG726)=0,AND(COUNTA(AE726:AG726)=3,ISNUMBER(AG726))),0,1)+IF(OR(COUNTA(AH726:AJ726)=0,AND(COUNTA(AH726:AJ726)=3,ISNUMBER(AJ726))),0,1)+IF(OR(COUNTA(AK726:AM726)=0,AND(COUNTA(AK726:AM726)=3,ISNUMBER(AM726))),0,1)+IF(OR(COUNTA(AN726:AP726)=0,AND(COUNTA(AN726:AP726)=3,ISNUMBER(AP726))),0,1)+IF(OR(COUNTA(AQ726:AS726)=0,AND(COUNTA(AQ726:AS726)=3,ISNUMBER(AS726))),0,1)+IF(OR(COUNTA(AT726:AV726)=0,AND(COUNTA(AT726:AV726)=3,ISNUMBER(AV726))),0,1)+IF(OR(COUNTA(AW726:AY726)=0,AND(COUNTA(AW726:AY726)=3,ISNUMBER(AY726))),0,1)+IF(OR(COUNTA(AZ726:BB726)=0,AND(COUNTA(AZ726:BB726)=3,ISNUMBER(BB726))),0,1))&gt;0,"; An invoice is incomplete (needs No, Date and a number in Ex GST)","")&amp;IF((IF(T726="",0,IFERROR(--(EOMONTH(T726,0)&lt;&gt;S$5),1))+IF(W726="",0,IFERROR(--(EOMONTH(W726,0)&lt;&gt;V$5),1))+IF(Z726="",0,IFERROR(--(EOMONTH(Z726,0)&lt;&gt;Y$5),1))+IF(AC726="",0,IFERROR(--(EOMONTH(AC726,0)&lt;&gt;AB$5),1))+IF(AF726="",0,IFERROR(--(EOMONTH(AF726,0)&lt;&gt;AE$5),1))+IF(AI726="",0,IFERROR(--(EOMONTH(AI726,0)&lt;&gt;AH$5),1))+IF(AL726="",0,IFERROR(--(EOMONTH(AL726,0)&lt;&gt;AK$5),1))+IF(AO726="",0,IFERROR(--(EOMONTH(AO726,0)&lt;&gt;AN$5),1))+IF(AR726="",0,IFERROR(--(EOMONTH(AR726,0)&lt;&gt;AQ$5),1))+IF(AU726="",0,IFERROR(--(EOMONTH(AU726,0)&lt;&gt;AT$5),1))+IF(AX726="",0,IFERROR(--(EOMONTH(AX726,0)&lt;&gt;AW$5),1))+IF(BA726="",0,IFERROR(--(EOMONTH(BA726,0)&lt;&gt;AZ$5),1)))&gt;0,"; An invoice date is not in the month it is typed under",""),3,500))</f>
        <v/>
      </c>
      <c r="S726" s="12" t="n"/>
      <c r="T726" s="13" t="n"/>
      <c r="U726" s="14" t="n"/>
      <c r="V726" s="12" t="n"/>
      <c r="W726" s="13" t="n"/>
      <c r="X726" s="14" t="n"/>
      <c r="Y726" s="12" t="n"/>
      <c r="Z726" s="13" t="n"/>
      <c r="AA726" s="14" t="n"/>
      <c r="AB726" s="12" t="n"/>
      <c r="AC726" s="13" t="n"/>
      <c r="AD726" s="14" t="n"/>
      <c r="AE726" s="12" t="n"/>
      <c r="AF726" s="13" t="n"/>
      <c r="AG726" s="14" t="n"/>
      <c r="AH726" s="12" t="n"/>
      <c r="AI726" s="13" t="n"/>
      <c r="AJ726" s="14" t="n"/>
      <c r="AK726" s="12" t="n"/>
      <c r="AL726" s="13" t="n"/>
      <c r="AM726" s="14" t="n"/>
      <c r="AN726" s="12" t="n"/>
      <c r="AO726" s="13" t="n"/>
      <c r="AP726" s="14" t="n"/>
      <c r="AQ726" s="12" t="n"/>
      <c r="AR726" s="13" t="n"/>
      <c r="AS726" s="14" t="n"/>
      <c r="AT726" s="12" t="n"/>
      <c r="AU726" s="13" t="n"/>
      <c r="AV726" s="14" t="n"/>
      <c r="AW726" s="12" t="n"/>
      <c r="AX726" s="13" t="n"/>
      <c r="AY726" s="14" t="n"/>
      <c r="AZ726" s="12" t="n"/>
      <c r="BA726" s="13" t="n"/>
      <c r="BB726" s="14" t="n"/>
      <c r="BC726" s="11">
        <f>IF(O726="","",IF(J726="GST 10%",ROUND(O726*set_GSTRate,2),0))</f>
        <v/>
      </c>
      <c r="BD726" s="11">
        <f>IF(O726="","",O726+BC726)</f>
        <v/>
      </c>
      <c r="BE726" s="15">
        <f>IF(O726="","",COUNTA(S726,V726,Y726,AB726,AE726,AH726,AK726,AN726,AQ726,AT726,AW726,AZ726))</f>
        <v/>
      </c>
      <c r="BF726" s="16">
        <f>IF(COUNT(T726,W726,Z726,AC726,AF726,AI726,AL726,AO726,AR726,AU726,AX726,BA726)=0,"",MAX(T726,W726,Z726,AC726,AF726,AI726,AL726,AO726,AR726,AU726,AX726,BA726))</f>
        <v/>
      </c>
      <c r="BG726" s="10">
        <f>MID(IF(S726="","",", "&amp;S726)&amp;IF(V726="","",", "&amp;V726)&amp;IF(Y726="","",", "&amp;Y726)&amp;IF(AB726="","",", "&amp;AB726)&amp;IF(AE726="","",", "&amp;AE726)&amp;IF(AH726="","",", "&amp;AH726)&amp;IF(AK726="","",", "&amp;AK726)&amp;IF(AN726="","",", "&amp;AN726)&amp;IF(AQ726="","",", "&amp;AQ726)&amp;IF(AT726="","",", "&amp;AT726)&amp;IF(AW726="","",", "&amp;AW726)&amp;IF(AZ726="","",", "&amp;AZ726),3,500)</f>
        <v/>
      </c>
      <c r="BH726" s="12" t="n"/>
      <c r="BI726" s="15">
        <f>IFERROR(MATCH($A726,IF($B726="Onsite",tbl_Onsite[Row ID],IF($B726="Production",tbl_Production[Row ID],tbl_Consulting[Row ID])),0),"")</f>
        <v/>
      </c>
    </row>
    <row r="727">
      <c r="A727" s="10" t="inlineStr">
        <is>
          <t>PRD-0221</t>
        </is>
      </c>
      <c r="B727" s="10" t="inlineStr">
        <is>
          <t>Production</t>
        </is>
      </c>
      <c r="C727" s="10">
        <f>IF($BI727="","",IF($B727="Onsite",INDEX(tbl_Onsite[Job Number],$BI727),IF($B727="Production",INDEX(tbl_Production[Job Number],$BI727),INDEX(tbl_Consulting[Job Number],$BI727)))&amp;"")</f>
        <v/>
      </c>
      <c r="D727" s="10">
        <f>IF($BI727="","",IF($B727="Onsite",INDEX(tbl_Onsite[Client],$BI727),IF($B727="Production",INDEX(tbl_Production[Client],$BI727),INDEX(tbl_Consulting[Client],$BI727)))&amp;"")</f>
        <v/>
      </c>
      <c r="E727" s="10">
        <f>IF($C727="","",IF(COUNTIF(lst_Jobs,$C727)&gt;0,"OK","CHECK"))</f>
        <v/>
      </c>
      <c r="F727" s="10">
        <f>IF($C727="","",IFERROR(INDEX(lst_JobName,MATCH($C727,lst_Jobs,0)),""))</f>
        <v/>
      </c>
      <c r="G727" s="10">
        <f>IF($BI727="","",IF($B727="Onsite",INDEX(tbl_Onsite[Job Description],$BI727),IF($B727="Production",INDEX(tbl_Production[Job Description],$BI727),INDEX(tbl_Consulting[Job Description],$BI727)))&amp;"")</f>
        <v/>
      </c>
      <c r="H727" s="10">
        <f>IF($BI727="","",IF($B727="Onsite",INDEX(tbl_Onsite[Cost Centre],$BI727),IF($B727="Production",INDEX(tbl_Production[Cost Centre],$BI727),INDEX(tbl_Consulting[Cost Centre],$BI727)))&amp;"")</f>
        <v/>
      </c>
      <c r="I727" s="10">
        <f>IF($BI727="","",IF($B727="Onsite",INDEX(tbl_Onsite[Invoice Type],$BI727),IF($B727="Production",INDEX(tbl_Production[Invoice Type],$BI727),INDEX(tbl_Consulting[Invoice Type],$BI727)))&amp;"")</f>
        <v/>
      </c>
      <c r="J727" s="10">
        <f>IF($BI727="","",IF($B727="Onsite",INDEX(tbl_Onsite[Tax Code],$BI727),IF($B727="Production",INDEX(tbl_Production[Tax Code],$BI727),INDEX(tbl_Consulting[Tax Code],$BI727)))&amp;"")</f>
        <v/>
      </c>
      <c r="K727" s="10">
        <f>IF(H727="","",IFERROR(INDEX(lst_CCtoGL,MATCH(H727,lst_CCforGL,0)),""))</f>
        <v/>
      </c>
      <c r="L727" s="10">
        <f>IF($BI727="","",IF($B727="Onsite",INDEX(tbl_Onsite[PO / Reference],$BI727),IF($B727="Production",INDEX(tbl_Production[Current RMS No],$BI727),INDEX(tbl_Consulting[Qwilr Quote],$BI727)))&amp;"")</f>
        <v/>
      </c>
      <c r="M727" s="10">
        <f>IF($BI727="","",IF($B727="Onsite",INDEX(tbl_Onsite[Notes],$BI727),IF($B727="Production",INDEX(tbl_Production[Notes],$BI727),INDEX(tbl_Consulting[Notes],$BI727)))&amp;"")</f>
        <v/>
      </c>
      <c r="N727" s="11">
        <f>IF($BI727="","",IF(IF($B727="Onsite",INDEX(tbl_Onsite[Expected Revenue Ex GST],$BI727),IF($B727="Production",INDEX(tbl_Production[Expected Revenue Ex GST],$BI727),INDEX(tbl_Consulting[Expected Revenue Ex GST],$BI727)))="","",IF($B727="Onsite",INDEX(tbl_Onsite[Expected Revenue Ex GST],$BI727),IF($B727="Production",INDEX(tbl_Production[Expected Revenue Ex GST],$BI727),INDEX(tbl_Consulting[Expected Revenue Ex GST],$BI727)))))</f>
        <v/>
      </c>
      <c r="O727" s="11">
        <f>IF(AND($C727="",NOT(COUNTA($S727:$BB727)&gt;0)),"",SUM(U727,X727,AA727,AD727,AG727,AJ727,AM727,AP727,AS727,AV727,AY727,BB727))</f>
        <v/>
      </c>
      <c r="P727" s="11">
        <f>IF(O727="","",N(N727)-O727)</f>
        <v/>
      </c>
      <c r="Q727" s="10">
        <f>IF(O727="","",IF($C727="","Invoice on empty job row",IF(N727="",IF(ROUND(O727,2)=0,"No dept value","Invoiced - no dept value"),IF(ROUND(O727,2)=0,"Not invoiced - to invoice",IF(ROUND(P727,2)=0,"Agrees",IF(P727&gt;0,"Dept higher - to invoice","Xero higher - check dept"))))))</f>
        <v/>
      </c>
      <c r="R727" s="10">
        <f>IF(AND($C727="",NOT(COUNTA($S727:$BB727)&gt;0),$BI727&lt;&gt;""),"",MID(IF($BI727="","; Row ID not found on the department sheet - a row was deleted","")&amp;IF(AND($C727="",COUNTA($S727:$BB727)&gt;0),"; Invoice entered but the department row has no job number","")&amp;IF(E727="CHECK","; Job number not in the Xero job list","")&amp;IF(AND($C727&lt;&gt;"",COUNTIF($C$7:$C$1506,$C727)&gt;1),"; Job number on more than one row","")&amp;IF(AND($C727&lt;&gt;"",H727=""),"; Dept has not set a cost centre","")&amp;IF(AND($C727&lt;&gt;"",J727=""),"; Dept has not set a tax code","")&amp;IF(AND($C727&lt;&gt;"",N727=""),"; Dept has not entered an expected value","")&amp;IF((IF(OR(COUNTA(S727:U727)=0,AND(COUNTA(S727:U727)=3,ISNUMBER(U727))),0,1)+IF(OR(COUNTA(V727:X727)=0,AND(COUNTA(V727:X727)=3,ISNUMBER(X727))),0,1)+IF(OR(COUNTA(Y727:AA727)=0,AND(COUNTA(Y727:AA727)=3,ISNUMBER(AA727))),0,1)+IF(OR(COUNTA(AB727:AD727)=0,AND(COUNTA(AB727:AD727)=3,ISNUMBER(AD727))),0,1)+IF(OR(COUNTA(AE727:AG727)=0,AND(COUNTA(AE727:AG727)=3,ISNUMBER(AG727))),0,1)+IF(OR(COUNTA(AH727:AJ727)=0,AND(COUNTA(AH727:AJ727)=3,ISNUMBER(AJ727))),0,1)+IF(OR(COUNTA(AK727:AM727)=0,AND(COUNTA(AK727:AM727)=3,ISNUMBER(AM727))),0,1)+IF(OR(COUNTA(AN727:AP727)=0,AND(COUNTA(AN727:AP727)=3,ISNUMBER(AP727))),0,1)+IF(OR(COUNTA(AQ727:AS727)=0,AND(COUNTA(AQ727:AS727)=3,ISNUMBER(AS727))),0,1)+IF(OR(COUNTA(AT727:AV727)=0,AND(COUNTA(AT727:AV727)=3,ISNUMBER(AV727))),0,1)+IF(OR(COUNTA(AW727:AY727)=0,AND(COUNTA(AW727:AY727)=3,ISNUMBER(AY727))),0,1)+IF(OR(COUNTA(AZ727:BB727)=0,AND(COUNTA(AZ727:BB727)=3,ISNUMBER(BB727))),0,1))&gt;0,"; An invoice is incomplete (needs No, Date and a number in Ex GST)","")&amp;IF((IF(T727="",0,IFERROR(--(EOMONTH(T727,0)&lt;&gt;S$5),1))+IF(W727="",0,IFERROR(--(EOMONTH(W727,0)&lt;&gt;V$5),1))+IF(Z727="",0,IFERROR(--(EOMONTH(Z727,0)&lt;&gt;Y$5),1))+IF(AC727="",0,IFERROR(--(EOMONTH(AC727,0)&lt;&gt;AB$5),1))+IF(AF727="",0,IFERROR(--(EOMONTH(AF727,0)&lt;&gt;AE$5),1))+IF(AI727="",0,IFERROR(--(EOMONTH(AI727,0)&lt;&gt;AH$5),1))+IF(AL727="",0,IFERROR(--(EOMONTH(AL727,0)&lt;&gt;AK$5),1))+IF(AO727="",0,IFERROR(--(EOMONTH(AO727,0)&lt;&gt;AN$5),1))+IF(AR727="",0,IFERROR(--(EOMONTH(AR727,0)&lt;&gt;AQ$5),1))+IF(AU727="",0,IFERROR(--(EOMONTH(AU727,0)&lt;&gt;AT$5),1))+IF(AX727="",0,IFERROR(--(EOMONTH(AX727,0)&lt;&gt;AW$5),1))+IF(BA727="",0,IFERROR(--(EOMONTH(BA727,0)&lt;&gt;AZ$5),1)))&gt;0,"; An invoice date is not in the month it is typed under",""),3,500))</f>
        <v/>
      </c>
      <c r="S727" s="12" t="n"/>
      <c r="T727" s="13" t="n"/>
      <c r="U727" s="14" t="n"/>
      <c r="V727" s="12" t="n"/>
      <c r="W727" s="13" t="n"/>
      <c r="X727" s="14" t="n"/>
      <c r="Y727" s="12" t="n"/>
      <c r="Z727" s="13" t="n"/>
      <c r="AA727" s="14" t="n"/>
      <c r="AB727" s="12" t="n"/>
      <c r="AC727" s="13" t="n"/>
      <c r="AD727" s="14" t="n"/>
      <c r="AE727" s="12" t="n"/>
      <c r="AF727" s="13" t="n"/>
      <c r="AG727" s="14" t="n"/>
      <c r="AH727" s="12" t="n"/>
      <c r="AI727" s="13" t="n"/>
      <c r="AJ727" s="14" t="n"/>
      <c r="AK727" s="12" t="n"/>
      <c r="AL727" s="13" t="n"/>
      <c r="AM727" s="14" t="n"/>
      <c r="AN727" s="12" t="n"/>
      <c r="AO727" s="13" t="n"/>
      <c r="AP727" s="14" t="n"/>
      <c r="AQ727" s="12" t="n"/>
      <c r="AR727" s="13" t="n"/>
      <c r="AS727" s="14" t="n"/>
      <c r="AT727" s="12" t="n"/>
      <c r="AU727" s="13" t="n"/>
      <c r="AV727" s="14" t="n"/>
      <c r="AW727" s="12" t="n"/>
      <c r="AX727" s="13" t="n"/>
      <c r="AY727" s="14" t="n"/>
      <c r="AZ727" s="12" t="n"/>
      <c r="BA727" s="13" t="n"/>
      <c r="BB727" s="14" t="n"/>
      <c r="BC727" s="11">
        <f>IF(O727="","",IF(J727="GST 10%",ROUND(O727*set_GSTRate,2),0))</f>
        <v/>
      </c>
      <c r="BD727" s="11">
        <f>IF(O727="","",O727+BC727)</f>
        <v/>
      </c>
      <c r="BE727" s="15">
        <f>IF(O727="","",COUNTA(S727,V727,Y727,AB727,AE727,AH727,AK727,AN727,AQ727,AT727,AW727,AZ727))</f>
        <v/>
      </c>
      <c r="BF727" s="16">
        <f>IF(COUNT(T727,W727,Z727,AC727,AF727,AI727,AL727,AO727,AR727,AU727,AX727,BA727)=0,"",MAX(T727,W727,Z727,AC727,AF727,AI727,AL727,AO727,AR727,AU727,AX727,BA727))</f>
        <v/>
      </c>
      <c r="BG727" s="10">
        <f>MID(IF(S727="","",", "&amp;S727)&amp;IF(V727="","",", "&amp;V727)&amp;IF(Y727="","",", "&amp;Y727)&amp;IF(AB727="","",", "&amp;AB727)&amp;IF(AE727="","",", "&amp;AE727)&amp;IF(AH727="","",", "&amp;AH727)&amp;IF(AK727="","",", "&amp;AK727)&amp;IF(AN727="","",", "&amp;AN727)&amp;IF(AQ727="","",", "&amp;AQ727)&amp;IF(AT727="","",", "&amp;AT727)&amp;IF(AW727="","",", "&amp;AW727)&amp;IF(AZ727="","",", "&amp;AZ727),3,500)</f>
        <v/>
      </c>
      <c r="BH727" s="12" t="n"/>
      <c r="BI727" s="15">
        <f>IFERROR(MATCH($A727,IF($B727="Onsite",tbl_Onsite[Row ID],IF($B727="Production",tbl_Production[Row ID],tbl_Consulting[Row ID])),0),"")</f>
        <v/>
      </c>
    </row>
    <row r="728">
      <c r="A728" s="10" t="inlineStr">
        <is>
          <t>PRD-0222</t>
        </is>
      </c>
      <c r="B728" s="10" t="inlineStr">
        <is>
          <t>Production</t>
        </is>
      </c>
      <c r="C728" s="10">
        <f>IF($BI728="","",IF($B728="Onsite",INDEX(tbl_Onsite[Job Number],$BI728),IF($B728="Production",INDEX(tbl_Production[Job Number],$BI728),INDEX(tbl_Consulting[Job Number],$BI728)))&amp;"")</f>
        <v/>
      </c>
      <c r="D728" s="10">
        <f>IF($BI728="","",IF($B728="Onsite",INDEX(tbl_Onsite[Client],$BI728),IF($B728="Production",INDEX(tbl_Production[Client],$BI728),INDEX(tbl_Consulting[Client],$BI728)))&amp;"")</f>
        <v/>
      </c>
      <c r="E728" s="10">
        <f>IF($C728="","",IF(COUNTIF(lst_Jobs,$C728)&gt;0,"OK","CHECK"))</f>
        <v/>
      </c>
      <c r="F728" s="10">
        <f>IF($C728="","",IFERROR(INDEX(lst_JobName,MATCH($C728,lst_Jobs,0)),""))</f>
        <v/>
      </c>
      <c r="G728" s="10">
        <f>IF($BI728="","",IF($B728="Onsite",INDEX(tbl_Onsite[Job Description],$BI728),IF($B728="Production",INDEX(tbl_Production[Job Description],$BI728),INDEX(tbl_Consulting[Job Description],$BI728)))&amp;"")</f>
        <v/>
      </c>
      <c r="H728" s="10">
        <f>IF($BI728="","",IF($B728="Onsite",INDEX(tbl_Onsite[Cost Centre],$BI728),IF($B728="Production",INDEX(tbl_Production[Cost Centre],$BI728),INDEX(tbl_Consulting[Cost Centre],$BI728)))&amp;"")</f>
        <v/>
      </c>
      <c r="I728" s="10">
        <f>IF($BI728="","",IF($B728="Onsite",INDEX(tbl_Onsite[Invoice Type],$BI728),IF($B728="Production",INDEX(tbl_Production[Invoice Type],$BI728),INDEX(tbl_Consulting[Invoice Type],$BI728)))&amp;"")</f>
        <v/>
      </c>
      <c r="J728" s="10">
        <f>IF($BI728="","",IF($B728="Onsite",INDEX(tbl_Onsite[Tax Code],$BI728),IF($B728="Production",INDEX(tbl_Production[Tax Code],$BI728),INDEX(tbl_Consulting[Tax Code],$BI728)))&amp;"")</f>
        <v/>
      </c>
      <c r="K728" s="10">
        <f>IF(H728="","",IFERROR(INDEX(lst_CCtoGL,MATCH(H728,lst_CCforGL,0)),""))</f>
        <v/>
      </c>
      <c r="L728" s="10">
        <f>IF($BI728="","",IF($B728="Onsite",INDEX(tbl_Onsite[PO / Reference],$BI728),IF($B728="Production",INDEX(tbl_Production[Current RMS No],$BI728),INDEX(tbl_Consulting[Qwilr Quote],$BI728)))&amp;"")</f>
        <v/>
      </c>
      <c r="M728" s="10">
        <f>IF($BI728="","",IF($B728="Onsite",INDEX(tbl_Onsite[Notes],$BI728),IF($B728="Production",INDEX(tbl_Production[Notes],$BI728),INDEX(tbl_Consulting[Notes],$BI728)))&amp;"")</f>
        <v/>
      </c>
      <c r="N728" s="11">
        <f>IF($BI728="","",IF(IF($B728="Onsite",INDEX(tbl_Onsite[Expected Revenue Ex GST],$BI728),IF($B728="Production",INDEX(tbl_Production[Expected Revenue Ex GST],$BI728),INDEX(tbl_Consulting[Expected Revenue Ex GST],$BI728)))="","",IF($B728="Onsite",INDEX(tbl_Onsite[Expected Revenue Ex GST],$BI728),IF($B728="Production",INDEX(tbl_Production[Expected Revenue Ex GST],$BI728),INDEX(tbl_Consulting[Expected Revenue Ex GST],$BI728)))))</f>
        <v/>
      </c>
      <c r="O728" s="11">
        <f>IF(AND($C728="",NOT(COUNTA($S728:$BB728)&gt;0)),"",SUM(U728,X728,AA728,AD728,AG728,AJ728,AM728,AP728,AS728,AV728,AY728,BB728))</f>
        <v/>
      </c>
      <c r="P728" s="11">
        <f>IF(O728="","",N(N728)-O728)</f>
        <v/>
      </c>
      <c r="Q728" s="10">
        <f>IF(O728="","",IF($C728="","Invoice on empty job row",IF(N728="",IF(ROUND(O728,2)=0,"No dept value","Invoiced - no dept value"),IF(ROUND(O728,2)=0,"Not invoiced - to invoice",IF(ROUND(P728,2)=0,"Agrees",IF(P728&gt;0,"Dept higher - to invoice","Xero higher - check dept"))))))</f>
        <v/>
      </c>
      <c r="R728" s="10">
        <f>IF(AND($C728="",NOT(COUNTA($S728:$BB728)&gt;0),$BI728&lt;&gt;""),"",MID(IF($BI728="","; Row ID not found on the department sheet - a row was deleted","")&amp;IF(AND($C728="",COUNTA($S728:$BB728)&gt;0),"; Invoice entered but the department row has no job number","")&amp;IF(E728="CHECK","; Job number not in the Xero job list","")&amp;IF(AND($C728&lt;&gt;"",COUNTIF($C$7:$C$1506,$C728)&gt;1),"; Job number on more than one row","")&amp;IF(AND($C728&lt;&gt;"",H728=""),"; Dept has not set a cost centre","")&amp;IF(AND($C728&lt;&gt;"",J728=""),"; Dept has not set a tax code","")&amp;IF(AND($C728&lt;&gt;"",N728=""),"; Dept has not entered an expected value","")&amp;IF((IF(OR(COUNTA(S728:U728)=0,AND(COUNTA(S728:U728)=3,ISNUMBER(U728))),0,1)+IF(OR(COUNTA(V728:X728)=0,AND(COUNTA(V728:X728)=3,ISNUMBER(X728))),0,1)+IF(OR(COUNTA(Y728:AA728)=0,AND(COUNTA(Y728:AA728)=3,ISNUMBER(AA728))),0,1)+IF(OR(COUNTA(AB728:AD728)=0,AND(COUNTA(AB728:AD728)=3,ISNUMBER(AD728))),0,1)+IF(OR(COUNTA(AE728:AG728)=0,AND(COUNTA(AE728:AG728)=3,ISNUMBER(AG728))),0,1)+IF(OR(COUNTA(AH728:AJ728)=0,AND(COUNTA(AH728:AJ728)=3,ISNUMBER(AJ728))),0,1)+IF(OR(COUNTA(AK728:AM728)=0,AND(COUNTA(AK728:AM728)=3,ISNUMBER(AM728))),0,1)+IF(OR(COUNTA(AN728:AP728)=0,AND(COUNTA(AN728:AP728)=3,ISNUMBER(AP728))),0,1)+IF(OR(COUNTA(AQ728:AS728)=0,AND(COUNTA(AQ728:AS728)=3,ISNUMBER(AS728))),0,1)+IF(OR(COUNTA(AT728:AV728)=0,AND(COUNTA(AT728:AV728)=3,ISNUMBER(AV728))),0,1)+IF(OR(COUNTA(AW728:AY728)=0,AND(COUNTA(AW728:AY728)=3,ISNUMBER(AY728))),0,1)+IF(OR(COUNTA(AZ728:BB728)=0,AND(COUNTA(AZ728:BB728)=3,ISNUMBER(BB728))),0,1))&gt;0,"; An invoice is incomplete (needs No, Date and a number in Ex GST)","")&amp;IF((IF(T728="",0,IFERROR(--(EOMONTH(T728,0)&lt;&gt;S$5),1))+IF(W728="",0,IFERROR(--(EOMONTH(W728,0)&lt;&gt;V$5),1))+IF(Z728="",0,IFERROR(--(EOMONTH(Z728,0)&lt;&gt;Y$5),1))+IF(AC728="",0,IFERROR(--(EOMONTH(AC728,0)&lt;&gt;AB$5),1))+IF(AF728="",0,IFERROR(--(EOMONTH(AF728,0)&lt;&gt;AE$5),1))+IF(AI728="",0,IFERROR(--(EOMONTH(AI728,0)&lt;&gt;AH$5),1))+IF(AL728="",0,IFERROR(--(EOMONTH(AL728,0)&lt;&gt;AK$5),1))+IF(AO728="",0,IFERROR(--(EOMONTH(AO728,0)&lt;&gt;AN$5),1))+IF(AR728="",0,IFERROR(--(EOMONTH(AR728,0)&lt;&gt;AQ$5),1))+IF(AU728="",0,IFERROR(--(EOMONTH(AU728,0)&lt;&gt;AT$5),1))+IF(AX728="",0,IFERROR(--(EOMONTH(AX728,0)&lt;&gt;AW$5),1))+IF(BA728="",0,IFERROR(--(EOMONTH(BA728,0)&lt;&gt;AZ$5),1)))&gt;0,"; An invoice date is not in the month it is typed under",""),3,500))</f>
        <v/>
      </c>
      <c r="S728" s="12" t="n"/>
      <c r="T728" s="13" t="n"/>
      <c r="U728" s="14" t="n"/>
      <c r="V728" s="12" t="n"/>
      <c r="W728" s="13" t="n"/>
      <c r="X728" s="14" t="n"/>
      <c r="Y728" s="12" t="n"/>
      <c r="Z728" s="13" t="n"/>
      <c r="AA728" s="14" t="n"/>
      <c r="AB728" s="12" t="n"/>
      <c r="AC728" s="13" t="n"/>
      <c r="AD728" s="14" t="n"/>
      <c r="AE728" s="12" t="n"/>
      <c r="AF728" s="13" t="n"/>
      <c r="AG728" s="14" t="n"/>
      <c r="AH728" s="12" t="n"/>
      <c r="AI728" s="13" t="n"/>
      <c r="AJ728" s="14" t="n"/>
      <c r="AK728" s="12" t="n"/>
      <c r="AL728" s="13" t="n"/>
      <c r="AM728" s="14" t="n"/>
      <c r="AN728" s="12" t="n"/>
      <c r="AO728" s="13" t="n"/>
      <c r="AP728" s="14" t="n"/>
      <c r="AQ728" s="12" t="n"/>
      <c r="AR728" s="13" t="n"/>
      <c r="AS728" s="14" t="n"/>
      <c r="AT728" s="12" t="n"/>
      <c r="AU728" s="13" t="n"/>
      <c r="AV728" s="14" t="n"/>
      <c r="AW728" s="12" t="n"/>
      <c r="AX728" s="13" t="n"/>
      <c r="AY728" s="14" t="n"/>
      <c r="AZ728" s="12" t="n"/>
      <c r="BA728" s="13" t="n"/>
      <c r="BB728" s="14" t="n"/>
      <c r="BC728" s="11">
        <f>IF(O728="","",IF(J728="GST 10%",ROUND(O728*set_GSTRate,2),0))</f>
        <v/>
      </c>
      <c r="BD728" s="11">
        <f>IF(O728="","",O728+BC728)</f>
        <v/>
      </c>
      <c r="BE728" s="15">
        <f>IF(O728="","",COUNTA(S728,V728,Y728,AB728,AE728,AH728,AK728,AN728,AQ728,AT728,AW728,AZ728))</f>
        <v/>
      </c>
      <c r="BF728" s="16">
        <f>IF(COUNT(T728,W728,Z728,AC728,AF728,AI728,AL728,AO728,AR728,AU728,AX728,BA728)=0,"",MAX(T728,W728,Z728,AC728,AF728,AI728,AL728,AO728,AR728,AU728,AX728,BA728))</f>
        <v/>
      </c>
      <c r="BG728" s="10">
        <f>MID(IF(S728="","",", "&amp;S728)&amp;IF(V728="","",", "&amp;V728)&amp;IF(Y728="","",", "&amp;Y728)&amp;IF(AB728="","",", "&amp;AB728)&amp;IF(AE728="","",", "&amp;AE728)&amp;IF(AH728="","",", "&amp;AH728)&amp;IF(AK728="","",", "&amp;AK728)&amp;IF(AN728="","",", "&amp;AN728)&amp;IF(AQ728="","",", "&amp;AQ728)&amp;IF(AT728="","",", "&amp;AT728)&amp;IF(AW728="","",", "&amp;AW728)&amp;IF(AZ728="","",", "&amp;AZ728),3,500)</f>
        <v/>
      </c>
      <c r="BH728" s="12" t="n"/>
      <c r="BI728" s="15">
        <f>IFERROR(MATCH($A728,IF($B728="Onsite",tbl_Onsite[Row ID],IF($B728="Production",tbl_Production[Row ID],tbl_Consulting[Row ID])),0),"")</f>
        <v/>
      </c>
    </row>
    <row r="729">
      <c r="A729" s="10" t="inlineStr">
        <is>
          <t>PRD-0223</t>
        </is>
      </c>
      <c r="B729" s="10" t="inlineStr">
        <is>
          <t>Production</t>
        </is>
      </c>
      <c r="C729" s="10">
        <f>IF($BI729="","",IF($B729="Onsite",INDEX(tbl_Onsite[Job Number],$BI729),IF($B729="Production",INDEX(tbl_Production[Job Number],$BI729),INDEX(tbl_Consulting[Job Number],$BI729)))&amp;"")</f>
        <v/>
      </c>
      <c r="D729" s="10">
        <f>IF($BI729="","",IF($B729="Onsite",INDEX(tbl_Onsite[Client],$BI729),IF($B729="Production",INDEX(tbl_Production[Client],$BI729),INDEX(tbl_Consulting[Client],$BI729)))&amp;"")</f>
        <v/>
      </c>
      <c r="E729" s="10">
        <f>IF($C729="","",IF(COUNTIF(lst_Jobs,$C729)&gt;0,"OK","CHECK"))</f>
        <v/>
      </c>
      <c r="F729" s="10">
        <f>IF($C729="","",IFERROR(INDEX(lst_JobName,MATCH($C729,lst_Jobs,0)),""))</f>
        <v/>
      </c>
      <c r="G729" s="10">
        <f>IF($BI729="","",IF($B729="Onsite",INDEX(tbl_Onsite[Job Description],$BI729),IF($B729="Production",INDEX(tbl_Production[Job Description],$BI729),INDEX(tbl_Consulting[Job Description],$BI729)))&amp;"")</f>
        <v/>
      </c>
      <c r="H729" s="10">
        <f>IF($BI729="","",IF($B729="Onsite",INDEX(tbl_Onsite[Cost Centre],$BI729),IF($B729="Production",INDEX(tbl_Production[Cost Centre],$BI729),INDEX(tbl_Consulting[Cost Centre],$BI729)))&amp;"")</f>
        <v/>
      </c>
      <c r="I729" s="10">
        <f>IF($BI729="","",IF($B729="Onsite",INDEX(tbl_Onsite[Invoice Type],$BI729),IF($B729="Production",INDEX(tbl_Production[Invoice Type],$BI729),INDEX(tbl_Consulting[Invoice Type],$BI729)))&amp;"")</f>
        <v/>
      </c>
      <c r="J729" s="10">
        <f>IF($BI729="","",IF($B729="Onsite",INDEX(tbl_Onsite[Tax Code],$BI729),IF($B729="Production",INDEX(tbl_Production[Tax Code],$BI729),INDEX(tbl_Consulting[Tax Code],$BI729)))&amp;"")</f>
        <v/>
      </c>
      <c r="K729" s="10">
        <f>IF(H729="","",IFERROR(INDEX(lst_CCtoGL,MATCH(H729,lst_CCforGL,0)),""))</f>
        <v/>
      </c>
      <c r="L729" s="10">
        <f>IF($BI729="","",IF($B729="Onsite",INDEX(tbl_Onsite[PO / Reference],$BI729),IF($B729="Production",INDEX(tbl_Production[Current RMS No],$BI729),INDEX(tbl_Consulting[Qwilr Quote],$BI729)))&amp;"")</f>
        <v/>
      </c>
      <c r="M729" s="10">
        <f>IF($BI729="","",IF($B729="Onsite",INDEX(tbl_Onsite[Notes],$BI729),IF($B729="Production",INDEX(tbl_Production[Notes],$BI729),INDEX(tbl_Consulting[Notes],$BI729)))&amp;"")</f>
        <v/>
      </c>
      <c r="N729" s="11">
        <f>IF($BI729="","",IF(IF($B729="Onsite",INDEX(tbl_Onsite[Expected Revenue Ex GST],$BI729),IF($B729="Production",INDEX(tbl_Production[Expected Revenue Ex GST],$BI729),INDEX(tbl_Consulting[Expected Revenue Ex GST],$BI729)))="","",IF($B729="Onsite",INDEX(tbl_Onsite[Expected Revenue Ex GST],$BI729),IF($B729="Production",INDEX(tbl_Production[Expected Revenue Ex GST],$BI729),INDEX(tbl_Consulting[Expected Revenue Ex GST],$BI729)))))</f>
        <v/>
      </c>
      <c r="O729" s="11">
        <f>IF(AND($C729="",NOT(COUNTA($S729:$BB729)&gt;0)),"",SUM(U729,X729,AA729,AD729,AG729,AJ729,AM729,AP729,AS729,AV729,AY729,BB729))</f>
        <v/>
      </c>
      <c r="P729" s="11">
        <f>IF(O729="","",N(N729)-O729)</f>
        <v/>
      </c>
      <c r="Q729" s="10">
        <f>IF(O729="","",IF($C729="","Invoice on empty job row",IF(N729="",IF(ROUND(O729,2)=0,"No dept value","Invoiced - no dept value"),IF(ROUND(O729,2)=0,"Not invoiced - to invoice",IF(ROUND(P729,2)=0,"Agrees",IF(P729&gt;0,"Dept higher - to invoice","Xero higher - check dept"))))))</f>
        <v/>
      </c>
      <c r="R729" s="10">
        <f>IF(AND($C729="",NOT(COUNTA($S729:$BB729)&gt;0),$BI729&lt;&gt;""),"",MID(IF($BI729="","; Row ID not found on the department sheet - a row was deleted","")&amp;IF(AND($C729="",COUNTA($S729:$BB729)&gt;0),"; Invoice entered but the department row has no job number","")&amp;IF(E729="CHECK","; Job number not in the Xero job list","")&amp;IF(AND($C729&lt;&gt;"",COUNTIF($C$7:$C$1506,$C729)&gt;1),"; Job number on more than one row","")&amp;IF(AND($C729&lt;&gt;"",H729=""),"; Dept has not set a cost centre","")&amp;IF(AND($C729&lt;&gt;"",J729=""),"; Dept has not set a tax code","")&amp;IF(AND($C729&lt;&gt;"",N729=""),"; Dept has not entered an expected value","")&amp;IF((IF(OR(COUNTA(S729:U729)=0,AND(COUNTA(S729:U729)=3,ISNUMBER(U729))),0,1)+IF(OR(COUNTA(V729:X729)=0,AND(COUNTA(V729:X729)=3,ISNUMBER(X729))),0,1)+IF(OR(COUNTA(Y729:AA729)=0,AND(COUNTA(Y729:AA729)=3,ISNUMBER(AA729))),0,1)+IF(OR(COUNTA(AB729:AD729)=0,AND(COUNTA(AB729:AD729)=3,ISNUMBER(AD729))),0,1)+IF(OR(COUNTA(AE729:AG729)=0,AND(COUNTA(AE729:AG729)=3,ISNUMBER(AG729))),0,1)+IF(OR(COUNTA(AH729:AJ729)=0,AND(COUNTA(AH729:AJ729)=3,ISNUMBER(AJ729))),0,1)+IF(OR(COUNTA(AK729:AM729)=0,AND(COUNTA(AK729:AM729)=3,ISNUMBER(AM729))),0,1)+IF(OR(COUNTA(AN729:AP729)=0,AND(COUNTA(AN729:AP729)=3,ISNUMBER(AP729))),0,1)+IF(OR(COUNTA(AQ729:AS729)=0,AND(COUNTA(AQ729:AS729)=3,ISNUMBER(AS729))),0,1)+IF(OR(COUNTA(AT729:AV729)=0,AND(COUNTA(AT729:AV729)=3,ISNUMBER(AV729))),0,1)+IF(OR(COUNTA(AW729:AY729)=0,AND(COUNTA(AW729:AY729)=3,ISNUMBER(AY729))),0,1)+IF(OR(COUNTA(AZ729:BB729)=0,AND(COUNTA(AZ729:BB729)=3,ISNUMBER(BB729))),0,1))&gt;0,"; An invoice is incomplete (needs No, Date and a number in Ex GST)","")&amp;IF((IF(T729="",0,IFERROR(--(EOMONTH(T729,0)&lt;&gt;S$5),1))+IF(W729="",0,IFERROR(--(EOMONTH(W729,0)&lt;&gt;V$5),1))+IF(Z729="",0,IFERROR(--(EOMONTH(Z729,0)&lt;&gt;Y$5),1))+IF(AC729="",0,IFERROR(--(EOMONTH(AC729,0)&lt;&gt;AB$5),1))+IF(AF729="",0,IFERROR(--(EOMONTH(AF729,0)&lt;&gt;AE$5),1))+IF(AI729="",0,IFERROR(--(EOMONTH(AI729,0)&lt;&gt;AH$5),1))+IF(AL729="",0,IFERROR(--(EOMONTH(AL729,0)&lt;&gt;AK$5),1))+IF(AO729="",0,IFERROR(--(EOMONTH(AO729,0)&lt;&gt;AN$5),1))+IF(AR729="",0,IFERROR(--(EOMONTH(AR729,0)&lt;&gt;AQ$5),1))+IF(AU729="",0,IFERROR(--(EOMONTH(AU729,0)&lt;&gt;AT$5),1))+IF(AX729="",0,IFERROR(--(EOMONTH(AX729,0)&lt;&gt;AW$5),1))+IF(BA729="",0,IFERROR(--(EOMONTH(BA729,0)&lt;&gt;AZ$5),1)))&gt;0,"; An invoice date is not in the month it is typed under",""),3,500))</f>
        <v/>
      </c>
      <c r="S729" s="12" t="n"/>
      <c r="T729" s="13" t="n"/>
      <c r="U729" s="14" t="n"/>
      <c r="V729" s="12" t="n"/>
      <c r="W729" s="13" t="n"/>
      <c r="X729" s="14" t="n"/>
      <c r="Y729" s="12" t="n"/>
      <c r="Z729" s="13" t="n"/>
      <c r="AA729" s="14" t="n"/>
      <c r="AB729" s="12" t="n"/>
      <c r="AC729" s="13" t="n"/>
      <c r="AD729" s="14" t="n"/>
      <c r="AE729" s="12" t="n"/>
      <c r="AF729" s="13" t="n"/>
      <c r="AG729" s="14" t="n"/>
      <c r="AH729" s="12" t="n"/>
      <c r="AI729" s="13" t="n"/>
      <c r="AJ729" s="14" t="n"/>
      <c r="AK729" s="12" t="n"/>
      <c r="AL729" s="13" t="n"/>
      <c r="AM729" s="14" t="n"/>
      <c r="AN729" s="12" t="n"/>
      <c r="AO729" s="13" t="n"/>
      <c r="AP729" s="14" t="n"/>
      <c r="AQ729" s="12" t="n"/>
      <c r="AR729" s="13" t="n"/>
      <c r="AS729" s="14" t="n"/>
      <c r="AT729" s="12" t="n"/>
      <c r="AU729" s="13" t="n"/>
      <c r="AV729" s="14" t="n"/>
      <c r="AW729" s="12" t="n"/>
      <c r="AX729" s="13" t="n"/>
      <c r="AY729" s="14" t="n"/>
      <c r="AZ729" s="12" t="n"/>
      <c r="BA729" s="13" t="n"/>
      <c r="BB729" s="14" t="n"/>
      <c r="BC729" s="11">
        <f>IF(O729="","",IF(J729="GST 10%",ROUND(O729*set_GSTRate,2),0))</f>
        <v/>
      </c>
      <c r="BD729" s="11">
        <f>IF(O729="","",O729+BC729)</f>
        <v/>
      </c>
      <c r="BE729" s="15">
        <f>IF(O729="","",COUNTA(S729,V729,Y729,AB729,AE729,AH729,AK729,AN729,AQ729,AT729,AW729,AZ729))</f>
        <v/>
      </c>
      <c r="BF729" s="16">
        <f>IF(COUNT(T729,W729,Z729,AC729,AF729,AI729,AL729,AO729,AR729,AU729,AX729,BA729)=0,"",MAX(T729,W729,Z729,AC729,AF729,AI729,AL729,AO729,AR729,AU729,AX729,BA729))</f>
        <v/>
      </c>
      <c r="BG729" s="10">
        <f>MID(IF(S729="","",", "&amp;S729)&amp;IF(V729="","",", "&amp;V729)&amp;IF(Y729="","",", "&amp;Y729)&amp;IF(AB729="","",", "&amp;AB729)&amp;IF(AE729="","",", "&amp;AE729)&amp;IF(AH729="","",", "&amp;AH729)&amp;IF(AK729="","",", "&amp;AK729)&amp;IF(AN729="","",", "&amp;AN729)&amp;IF(AQ729="","",", "&amp;AQ729)&amp;IF(AT729="","",", "&amp;AT729)&amp;IF(AW729="","",", "&amp;AW729)&amp;IF(AZ729="","",", "&amp;AZ729),3,500)</f>
        <v/>
      </c>
      <c r="BH729" s="12" t="n"/>
      <c r="BI729" s="15">
        <f>IFERROR(MATCH($A729,IF($B729="Onsite",tbl_Onsite[Row ID],IF($B729="Production",tbl_Production[Row ID],tbl_Consulting[Row ID])),0),"")</f>
        <v/>
      </c>
    </row>
    <row r="730">
      <c r="A730" s="10" t="inlineStr">
        <is>
          <t>PRD-0224</t>
        </is>
      </c>
      <c r="B730" s="10" t="inlineStr">
        <is>
          <t>Production</t>
        </is>
      </c>
      <c r="C730" s="10">
        <f>IF($BI730="","",IF($B730="Onsite",INDEX(tbl_Onsite[Job Number],$BI730),IF($B730="Production",INDEX(tbl_Production[Job Number],$BI730),INDEX(tbl_Consulting[Job Number],$BI730)))&amp;"")</f>
        <v/>
      </c>
      <c r="D730" s="10">
        <f>IF($BI730="","",IF($B730="Onsite",INDEX(tbl_Onsite[Client],$BI730),IF($B730="Production",INDEX(tbl_Production[Client],$BI730),INDEX(tbl_Consulting[Client],$BI730)))&amp;"")</f>
        <v/>
      </c>
      <c r="E730" s="10">
        <f>IF($C730="","",IF(COUNTIF(lst_Jobs,$C730)&gt;0,"OK","CHECK"))</f>
        <v/>
      </c>
      <c r="F730" s="10">
        <f>IF($C730="","",IFERROR(INDEX(lst_JobName,MATCH($C730,lst_Jobs,0)),""))</f>
        <v/>
      </c>
      <c r="G730" s="10">
        <f>IF($BI730="","",IF($B730="Onsite",INDEX(tbl_Onsite[Job Description],$BI730),IF($B730="Production",INDEX(tbl_Production[Job Description],$BI730),INDEX(tbl_Consulting[Job Description],$BI730)))&amp;"")</f>
        <v/>
      </c>
      <c r="H730" s="10">
        <f>IF($BI730="","",IF($B730="Onsite",INDEX(tbl_Onsite[Cost Centre],$BI730),IF($B730="Production",INDEX(tbl_Production[Cost Centre],$BI730),INDEX(tbl_Consulting[Cost Centre],$BI730)))&amp;"")</f>
        <v/>
      </c>
      <c r="I730" s="10">
        <f>IF($BI730="","",IF($B730="Onsite",INDEX(tbl_Onsite[Invoice Type],$BI730),IF($B730="Production",INDEX(tbl_Production[Invoice Type],$BI730),INDEX(tbl_Consulting[Invoice Type],$BI730)))&amp;"")</f>
        <v/>
      </c>
      <c r="J730" s="10">
        <f>IF($BI730="","",IF($B730="Onsite",INDEX(tbl_Onsite[Tax Code],$BI730),IF($B730="Production",INDEX(tbl_Production[Tax Code],$BI730),INDEX(tbl_Consulting[Tax Code],$BI730)))&amp;"")</f>
        <v/>
      </c>
      <c r="K730" s="10">
        <f>IF(H730="","",IFERROR(INDEX(lst_CCtoGL,MATCH(H730,lst_CCforGL,0)),""))</f>
        <v/>
      </c>
      <c r="L730" s="10">
        <f>IF($BI730="","",IF($B730="Onsite",INDEX(tbl_Onsite[PO / Reference],$BI730),IF($B730="Production",INDEX(tbl_Production[Current RMS No],$BI730),INDEX(tbl_Consulting[Qwilr Quote],$BI730)))&amp;"")</f>
        <v/>
      </c>
      <c r="M730" s="10">
        <f>IF($BI730="","",IF($B730="Onsite",INDEX(tbl_Onsite[Notes],$BI730),IF($B730="Production",INDEX(tbl_Production[Notes],$BI730),INDEX(tbl_Consulting[Notes],$BI730)))&amp;"")</f>
        <v/>
      </c>
      <c r="N730" s="11">
        <f>IF($BI730="","",IF(IF($B730="Onsite",INDEX(tbl_Onsite[Expected Revenue Ex GST],$BI730),IF($B730="Production",INDEX(tbl_Production[Expected Revenue Ex GST],$BI730),INDEX(tbl_Consulting[Expected Revenue Ex GST],$BI730)))="","",IF($B730="Onsite",INDEX(tbl_Onsite[Expected Revenue Ex GST],$BI730),IF($B730="Production",INDEX(tbl_Production[Expected Revenue Ex GST],$BI730),INDEX(tbl_Consulting[Expected Revenue Ex GST],$BI730)))))</f>
        <v/>
      </c>
      <c r="O730" s="11">
        <f>IF(AND($C730="",NOT(COUNTA($S730:$BB730)&gt;0)),"",SUM(U730,X730,AA730,AD730,AG730,AJ730,AM730,AP730,AS730,AV730,AY730,BB730))</f>
        <v/>
      </c>
      <c r="P730" s="11">
        <f>IF(O730="","",N(N730)-O730)</f>
        <v/>
      </c>
      <c r="Q730" s="10">
        <f>IF(O730="","",IF($C730="","Invoice on empty job row",IF(N730="",IF(ROUND(O730,2)=0,"No dept value","Invoiced - no dept value"),IF(ROUND(O730,2)=0,"Not invoiced - to invoice",IF(ROUND(P730,2)=0,"Agrees",IF(P730&gt;0,"Dept higher - to invoice","Xero higher - check dept"))))))</f>
        <v/>
      </c>
      <c r="R730" s="10">
        <f>IF(AND($C730="",NOT(COUNTA($S730:$BB730)&gt;0),$BI730&lt;&gt;""),"",MID(IF($BI730="","; Row ID not found on the department sheet - a row was deleted","")&amp;IF(AND($C730="",COUNTA($S730:$BB730)&gt;0),"; Invoice entered but the department row has no job number","")&amp;IF(E730="CHECK","; Job number not in the Xero job list","")&amp;IF(AND($C730&lt;&gt;"",COUNTIF($C$7:$C$1506,$C730)&gt;1),"; Job number on more than one row","")&amp;IF(AND($C730&lt;&gt;"",H730=""),"; Dept has not set a cost centre","")&amp;IF(AND($C730&lt;&gt;"",J730=""),"; Dept has not set a tax code","")&amp;IF(AND($C730&lt;&gt;"",N730=""),"; Dept has not entered an expected value","")&amp;IF((IF(OR(COUNTA(S730:U730)=0,AND(COUNTA(S730:U730)=3,ISNUMBER(U730))),0,1)+IF(OR(COUNTA(V730:X730)=0,AND(COUNTA(V730:X730)=3,ISNUMBER(X730))),0,1)+IF(OR(COUNTA(Y730:AA730)=0,AND(COUNTA(Y730:AA730)=3,ISNUMBER(AA730))),0,1)+IF(OR(COUNTA(AB730:AD730)=0,AND(COUNTA(AB730:AD730)=3,ISNUMBER(AD730))),0,1)+IF(OR(COUNTA(AE730:AG730)=0,AND(COUNTA(AE730:AG730)=3,ISNUMBER(AG730))),0,1)+IF(OR(COUNTA(AH730:AJ730)=0,AND(COUNTA(AH730:AJ730)=3,ISNUMBER(AJ730))),0,1)+IF(OR(COUNTA(AK730:AM730)=0,AND(COUNTA(AK730:AM730)=3,ISNUMBER(AM730))),0,1)+IF(OR(COUNTA(AN730:AP730)=0,AND(COUNTA(AN730:AP730)=3,ISNUMBER(AP730))),0,1)+IF(OR(COUNTA(AQ730:AS730)=0,AND(COUNTA(AQ730:AS730)=3,ISNUMBER(AS730))),0,1)+IF(OR(COUNTA(AT730:AV730)=0,AND(COUNTA(AT730:AV730)=3,ISNUMBER(AV730))),0,1)+IF(OR(COUNTA(AW730:AY730)=0,AND(COUNTA(AW730:AY730)=3,ISNUMBER(AY730))),0,1)+IF(OR(COUNTA(AZ730:BB730)=0,AND(COUNTA(AZ730:BB730)=3,ISNUMBER(BB730))),0,1))&gt;0,"; An invoice is incomplete (needs No, Date and a number in Ex GST)","")&amp;IF((IF(T730="",0,IFERROR(--(EOMONTH(T730,0)&lt;&gt;S$5),1))+IF(W730="",0,IFERROR(--(EOMONTH(W730,0)&lt;&gt;V$5),1))+IF(Z730="",0,IFERROR(--(EOMONTH(Z730,0)&lt;&gt;Y$5),1))+IF(AC730="",0,IFERROR(--(EOMONTH(AC730,0)&lt;&gt;AB$5),1))+IF(AF730="",0,IFERROR(--(EOMONTH(AF730,0)&lt;&gt;AE$5),1))+IF(AI730="",0,IFERROR(--(EOMONTH(AI730,0)&lt;&gt;AH$5),1))+IF(AL730="",0,IFERROR(--(EOMONTH(AL730,0)&lt;&gt;AK$5),1))+IF(AO730="",0,IFERROR(--(EOMONTH(AO730,0)&lt;&gt;AN$5),1))+IF(AR730="",0,IFERROR(--(EOMONTH(AR730,0)&lt;&gt;AQ$5),1))+IF(AU730="",0,IFERROR(--(EOMONTH(AU730,0)&lt;&gt;AT$5),1))+IF(AX730="",0,IFERROR(--(EOMONTH(AX730,0)&lt;&gt;AW$5),1))+IF(BA730="",0,IFERROR(--(EOMONTH(BA730,0)&lt;&gt;AZ$5),1)))&gt;0,"; An invoice date is not in the month it is typed under",""),3,500))</f>
        <v/>
      </c>
      <c r="S730" s="12" t="n"/>
      <c r="T730" s="13" t="n"/>
      <c r="U730" s="14" t="n"/>
      <c r="V730" s="12" t="n"/>
      <c r="W730" s="13" t="n"/>
      <c r="X730" s="14" t="n"/>
      <c r="Y730" s="12" t="n"/>
      <c r="Z730" s="13" t="n"/>
      <c r="AA730" s="14" t="n"/>
      <c r="AB730" s="12" t="n"/>
      <c r="AC730" s="13" t="n"/>
      <c r="AD730" s="14" t="n"/>
      <c r="AE730" s="12" t="n"/>
      <c r="AF730" s="13" t="n"/>
      <c r="AG730" s="14" t="n"/>
      <c r="AH730" s="12" t="n"/>
      <c r="AI730" s="13" t="n"/>
      <c r="AJ730" s="14" t="n"/>
      <c r="AK730" s="12" t="n"/>
      <c r="AL730" s="13" t="n"/>
      <c r="AM730" s="14" t="n"/>
      <c r="AN730" s="12" t="n"/>
      <c r="AO730" s="13" t="n"/>
      <c r="AP730" s="14" t="n"/>
      <c r="AQ730" s="12" t="n"/>
      <c r="AR730" s="13" t="n"/>
      <c r="AS730" s="14" t="n"/>
      <c r="AT730" s="12" t="n"/>
      <c r="AU730" s="13" t="n"/>
      <c r="AV730" s="14" t="n"/>
      <c r="AW730" s="12" t="n"/>
      <c r="AX730" s="13" t="n"/>
      <c r="AY730" s="14" t="n"/>
      <c r="AZ730" s="12" t="n"/>
      <c r="BA730" s="13" t="n"/>
      <c r="BB730" s="14" t="n"/>
      <c r="BC730" s="11">
        <f>IF(O730="","",IF(J730="GST 10%",ROUND(O730*set_GSTRate,2),0))</f>
        <v/>
      </c>
      <c r="BD730" s="11">
        <f>IF(O730="","",O730+BC730)</f>
        <v/>
      </c>
      <c r="BE730" s="15">
        <f>IF(O730="","",COUNTA(S730,V730,Y730,AB730,AE730,AH730,AK730,AN730,AQ730,AT730,AW730,AZ730))</f>
        <v/>
      </c>
      <c r="BF730" s="16">
        <f>IF(COUNT(T730,W730,Z730,AC730,AF730,AI730,AL730,AO730,AR730,AU730,AX730,BA730)=0,"",MAX(T730,W730,Z730,AC730,AF730,AI730,AL730,AO730,AR730,AU730,AX730,BA730))</f>
        <v/>
      </c>
      <c r="BG730" s="10">
        <f>MID(IF(S730="","",", "&amp;S730)&amp;IF(V730="","",", "&amp;V730)&amp;IF(Y730="","",", "&amp;Y730)&amp;IF(AB730="","",", "&amp;AB730)&amp;IF(AE730="","",", "&amp;AE730)&amp;IF(AH730="","",", "&amp;AH730)&amp;IF(AK730="","",", "&amp;AK730)&amp;IF(AN730="","",", "&amp;AN730)&amp;IF(AQ730="","",", "&amp;AQ730)&amp;IF(AT730="","",", "&amp;AT730)&amp;IF(AW730="","",", "&amp;AW730)&amp;IF(AZ730="","",", "&amp;AZ730),3,500)</f>
        <v/>
      </c>
      <c r="BH730" s="12" t="n"/>
      <c r="BI730" s="15">
        <f>IFERROR(MATCH($A730,IF($B730="Onsite",tbl_Onsite[Row ID],IF($B730="Production",tbl_Production[Row ID],tbl_Consulting[Row ID])),0),"")</f>
        <v/>
      </c>
    </row>
    <row r="731">
      <c r="A731" s="10" t="inlineStr">
        <is>
          <t>PRD-0225</t>
        </is>
      </c>
      <c r="B731" s="10" t="inlineStr">
        <is>
          <t>Production</t>
        </is>
      </c>
      <c r="C731" s="10">
        <f>IF($BI731="","",IF($B731="Onsite",INDEX(tbl_Onsite[Job Number],$BI731),IF($B731="Production",INDEX(tbl_Production[Job Number],$BI731),INDEX(tbl_Consulting[Job Number],$BI731)))&amp;"")</f>
        <v/>
      </c>
      <c r="D731" s="10">
        <f>IF($BI731="","",IF($B731="Onsite",INDEX(tbl_Onsite[Client],$BI731),IF($B731="Production",INDEX(tbl_Production[Client],$BI731),INDEX(tbl_Consulting[Client],$BI731)))&amp;"")</f>
        <v/>
      </c>
      <c r="E731" s="10">
        <f>IF($C731="","",IF(COUNTIF(lst_Jobs,$C731)&gt;0,"OK","CHECK"))</f>
        <v/>
      </c>
      <c r="F731" s="10">
        <f>IF($C731="","",IFERROR(INDEX(lst_JobName,MATCH($C731,lst_Jobs,0)),""))</f>
        <v/>
      </c>
      <c r="G731" s="10">
        <f>IF($BI731="","",IF($B731="Onsite",INDEX(tbl_Onsite[Job Description],$BI731),IF($B731="Production",INDEX(tbl_Production[Job Description],$BI731),INDEX(tbl_Consulting[Job Description],$BI731)))&amp;"")</f>
        <v/>
      </c>
      <c r="H731" s="10">
        <f>IF($BI731="","",IF($B731="Onsite",INDEX(tbl_Onsite[Cost Centre],$BI731),IF($B731="Production",INDEX(tbl_Production[Cost Centre],$BI731),INDEX(tbl_Consulting[Cost Centre],$BI731)))&amp;"")</f>
        <v/>
      </c>
      <c r="I731" s="10">
        <f>IF($BI731="","",IF($B731="Onsite",INDEX(tbl_Onsite[Invoice Type],$BI731),IF($B731="Production",INDEX(tbl_Production[Invoice Type],$BI731),INDEX(tbl_Consulting[Invoice Type],$BI731)))&amp;"")</f>
        <v/>
      </c>
      <c r="J731" s="10">
        <f>IF($BI731="","",IF($B731="Onsite",INDEX(tbl_Onsite[Tax Code],$BI731),IF($B731="Production",INDEX(tbl_Production[Tax Code],$BI731),INDEX(tbl_Consulting[Tax Code],$BI731)))&amp;"")</f>
        <v/>
      </c>
      <c r="K731" s="10">
        <f>IF(H731="","",IFERROR(INDEX(lst_CCtoGL,MATCH(H731,lst_CCforGL,0)),""))</f>
        <v/>
      </c>
      <c r="L731" s="10">
        <f>IF($BI731="","",IF($B731="Onsite",INDEX(tbl_Onsite[PO / Reference],$BI731),IF($B731="Production",INDEX(tbl_Production[Current RMS No],$BI731),INDEX(tbl_Consulting[Qwilr Quote],$BI731)))&amp;"")</f>
        <v/>
      </c>
      <c r="M731" s="10">
        <f>IF($BI731="","",IF($B731="Onsite",INDEX(tbl_Onsite[Notes],$BI731),IF($B731="Production",INDEX(tbl_Production[Notes],$BI731),INDEX(tbl_Consulting[Notes],$BI731)))&amp;"")</f>
        <v/>
      </c>
      <c r="N731" s="11">
        <f>IF($BI731="","",IF(IF($B731="Onsite",INDEX(tbl_Onsite[Expected Revenue Ex GST],$BI731),IF($B731="Production",INDEX(tbl_Production[Expected Revenue Ex GST],$BI731),INDEX(tbl_Consulting[Expected Revenue Ex GST],$BI731)))="","",IF($B731="Onsite",INDEX(tbl_Onsite[Expected Revenue Ex GST],$BI731),IF($B731="Production",INDEX(tbl_Production[Expected Revenue Ex GST],$BI731),INDEX(tbl_Consulting[Expected Revenue Ex GST],$BI731)))))</f>
        <v/>
      </c>
      <c r="O731" s="11">
        <f>IF(AND($C731="",NOT(COUNTA($S731:$BB731)&gt;0)),"",SUM(U731,X731,AA731,AD731,AG731,AJ731,AM731,AP731,AS731,AV731,AY731,BB731))</f>
        <v/>
      </c>
      <c r="P731" s="11">
        <f>IF(O731="","",N(N731)-O731)</f>
        <v/>
      </c>
      <c r="Q731" s="10">
        <f>IF(O731="","",IF($C731="","Invoice on empty job row",IF(N731="",IF(ROUND(O731,2)=0,"No dept value","Invoiced - no dept value"),IF(ROUND(O731,2)=0,"Not invoiced - to invoice",IF(ROUND(P731,2)=0,"Agrees",IF(P731&gt;0,"Dept higher - to invoice","Xero higher - check dept"))))))</f>
        <v/>
      </c>
      <c r="R731" s="10">
        <f>IF(AND($C731="",NOT(COUNTA($S731:$BB731)&gt;0),$BI731&lt;&gt;""),"",MID(IF($BI731="","; Row ID not found on the department sheet - a row was deleted","")&amp;IF(AND($C731="",COUNTA($S731:$BB731)&gt;0),"; Invoice entered but the department row has no job number","")&amp;IF(E731="CHECK","; Job number not in the Xero job list","")&amp;IF(AND($C731&lt;&gt;"",COUNTIF($C$7:$C$1506,$C731)&gt;1),"; Job number on more than one row","")&amp;IF(AND($C731&lt;&gt;"",H731=""),"; Dept has not set a cost centre","")&amp;IF(AND($C731&lt;&gt;"",J731=""),"; Dept has not set a tax code","")&amp;IF(AND($C731&lt;&gt;"",N731=""),"; Dept has not entered an expected value","")&amp;IF((IF(OR(COUNTA(S731:U731)=0,AND(COUNTA(S731:U731)=3,ISNUMBER(U731))),0,1)+IF(OR(COUNTA(V731:X731)=0,AND(COUNTA(V731:X731)=3,ISNUMBER(X731))),0,1)+IF(OR(COUNTA(Y731:AA731)=0,AND(COUNTA(Y731:AA731)=3,ISNUMBER(AA731))),0,1)+IF(OR(COUNTA(AB731:AD731)=0,AND(COUNTA(AB731:AD731)=3,ISNUMBER(AD731))),0,1)+IF(OR(COUNTA(AE731:AG731)=0,AND(COUNTA(AE731:AG731)=3,ISNUMBER(AG731))),0,1)+IF(OR(COUNTA(AH731:AJ731)=0,AND(COUNTA(AH731:AJ731)=3,ISNUMBER(AJ731))),0,1)+IF(OR(COUNTA(AK731:AM731)=0,AND(COUNTA(AK731:AM731)=3,ISNUMBER(AM731))),0,1)+IF(OR(COUNTA(AN731:AP731)=0,AND(COUNTA(AN731:AP731)=3,ISNUMBER(AP731))),0,1)+IF(OR(COUNTA(AQ731:AS731)=0,AND(COUNTA(AQ731:AS731)=3,ISNUMBER(AS731))),0,1)+IF(OR(COUNTA(AT731:AV731)=0,AND(COUNTA(AT731:AV731)=3,ISNUMBER(AV731))),0,1)+IF(OR(COUNTA(AW731:AY731)=0,AND(COUNTA(AW731:AY731)=3,ISNUMBER(AY731))),0,1)+IF(OR(COUNTA(AZ731:BB731)=0,AND(COUNTA(AZ731:BB731)=3,ISNUMBER(BB731))),0,1))&gt;0,"; An invoice is incomplete (needs No, Date and a number in Ex GST)","")&amp;IF((IF(T731="",0,IFERROR(--(EOMONTH(T731,0)&lt;&gt;S$5),1))+IF(W731="",0,IFERROR(--(EOMONTH(W731,0)&lt;&gt;V$5),1))+IF(Z731="",0,IFERROR(--(EOMONTH(Z731,0)&lt;&gt;Y$5),1))+IF(AC731="",0,IFERROR(--(EOMONTH(AC731,0)&lt;&gt;AB$5),1))+IF(AF731="",0,IFERROR(--(EOMONTH(AF731,0)&lt;&gt;AE$5),1))+IF(AI731="",0,IFERROR(--(EOMONTH(AI731,0)&lt;&gt;AH$5),1))+IF(AL731="",0,IFERROR(--(EOMONTH(AL731,0)&lt;&gt;AK$5),1))+IF(AO731="",0,IFERROR(--(EOMONTH(AO731,0)&lt;&gt;AN$5),1))+IF(AR731="",0,IFERROR(--(EOMONTH(AR731,0)&lt;&gt;AQ$5),1))+IF(AU731="",0,IFERROR(--(EOMONTH(AU731,0)&lt;&gt;AT$5),1))+IF(AX731="",0,IFERROR(--(EOMONTH(AX731,0)&lt;&gt;AW$5),1))+IF(BA731="",0,IFERROR(--(EOMONTH(BA731,0)&lt;&gt;AZ$5),1)))&gt;0,"; An invoice date is not in the month it is typed under",""),3,500))</f>
        <v/>
      </c>
      <c r="S731" s="12" t="n"/>
      <c r="T731" s="13" t="n"/>
      <c r="U731" s="14" t="n"/>
      <c r="V731" s="12" t="n"/>
      <c r="W731" s="13" t="n"/>
      <c r="X731" s="14" t="n"/>
      <c r="Y731" s="12" t="n"/>
      <c r="Z731" s="13" t="n"/>
      <c r="AA731" s="14" t="n"/>
      <c r="AB731" s="12" t="n"/>
      <c r="AC731" s="13" t="n"/>
      <c r="AD731" s="14" t="n"/>
      <c r="AE731" s="12" t="n"/>
      <c r="AF731" s="13" t="n"/>
      <c r="AG731" s="14" t="n"/>
      <c r="AH731" s="12" t="n"/>
      <c r="AI731" s="13" t="n"/>
      <c r="AJ731" s="14" t="n"/>
      <c r="AK731" s="12" t="n"/>
      <c r="AL731" s="13" t="n"/>
      <c r="AM731" s="14" t="n"/>
      <c r="AN731" s="12" t="n"/>
      <c r="AO731" s="13" t="n"/>
      <c r="AP731" s="14" t="n"/>
      <c r="AQ731" s="12" t="n"/>
      <c r="AR731" s="13" t="n"/>
      <c r="AS731" s="14" t="n"/>
      <c r="AT731" s="12" t="n"/>
      <c r="AU731" s="13" t="n"/>
      <c r="AV731" s="14" t="n"/>
      <c r="AW731" s="12" t="n"/>
      <c r="AX731" s="13" t="n"/>
      <c r="AY731" s="14" t="n"/>
      <c r="AZ731" s="12" t="n"/>
      <c r="BA731" s="13" t="n"/>
      <c r="BB731" s="14" t="n"/>
      <c r="BC731" s="11">
        <f>IF(O731="","",IF(J731="GST 10%",ROUND(O731*set_GSTRate,2),0))</f>
        <v/>
      </c>
      <c r="BD731" s="11">
        <f>IF(O731="","",O731+BC731)</f>
        <v/>
      </c>
      <c r="BE731" s="15">
        <f>IF(O731="","",COUNTA(S731,V731,Y731,AB731,AE731,AH731,AK731,AN731,AQ731,AT731,AW731,AZ731))</f>
        <v/>
      </c>
      <c r="BF731" s="16">
        <f>IF(COUNT(T731,W731,Z731,AC731,AF731,AI731,AL731,AO731,AR731,AU731,AX731,BA731)=0,"",MAX(T731,W731,Z731,AC731,AF731,AI731,AL731,AO731,AR731,AU731,AX731,BA731))</f>
        <v/>
      </c>
      <c r="BG731" s="10">
        <f>MID(IF(S731="","",", "&amp;S731)&amp;IF(V731="","",", "&amp;V731)&amp;IF(Y731="","",", "&amp;Y731)&amp;IF(AB731="","",", "&amp;AB731)&amp;IF(AE731="","",", "&amp;AE731)&amp;IF(AH731="","",", "&amp;AH731)&amp;IF(AK731="","",", "&amp;AK731)&amp;IF(AN731="","",", "&amp;AN731)&amp;IF(AQ731="","",", "&amp;AQ731)&amp;IF(AT731="","",", "&amp;AT731)&amp;IF(AW731="","",", "&amp;AW731)&amp;IF(AZ731="","",", "&amp;AZ731),3,500)</f>
        <v/>
      </c>
      <c r="BH731" s="12" t="n"/>
      <c r="BI731" s="15">
        <f>IFERROR(MATCH($A731,IF($B731="Onsite",tbl_Onsite[Row ID],IF($B731="Production",tbl_Production[Row ID],tbl_Consulting[Row ID])),0),"")</f>
        <v/>
      </c>
    </row>
    <row r="732">
      <c r="A732" s="10" t="inlineStr">
        <is>
          <t>PRD-0226</t>
        </is>
      </c>
      <c r="B732" s="10" t="inlineStr">
        <is>
          <t>Production</t>
        </is>
      </c>
      <c r="C732" s="10">
        <f>IF($BI732="","",IF($B732="Onsite",INDEX(tbl_Onsite[Job Number],$BI732),IF($B732="Production",INDEX(tbl_Production[Job Number],$BI732),INDEX(tbl_Consulting[Job Number],$BI732)))&amp;"")</f>
        <v/>
      </c>
      <c r="D732" s="10">
        <f>IF($BI732="","",IF($B732="Onsite",INDEX(tbl_Onsite[Client],$BI732),IF($B732="Production",INDEX(tbl_Production[Client],$BI732),INDEX(tbl_Consulting[Client],$BI732)))&amp;"")</f>
        <v/>
      </c>
      <c r="E732" s="10">
        <f>IF($C732="","",IF(COUNTIF(lst_Jobs,$C732)&gt;0,"OK","CHECK"))</f>
        <v/>
      </c>
      <c r="F732" s="10">
        <f>IF($C732="","",IFERROR(INDEX(lst_JobName,MATCH($C732,lst_Jobs,0)),""))</f>
        <v/>
      </c>
      <c r="G732" s="10">
        <f>IF($BI732="","",IF($B732="Onsite",INDEX(tbl_Onsite[Job Description],$BI732),IF($B732="Production",INDEX(tbl_Production[Job Description],$BI732),INDEX(tbl_Consulting[Job Description],$BI732)))&amp;"")</f>
        <v/>
      </c>
      <c r="H732" s="10">
        <f>IF($BI732="","",IF($B732="Onsite",INDEX(tbl_Onsite[Cost Centre],$BI732),IF($B732="Production",INDEX(tbl_Production[Cost Centre],$BI732),INDEX(tbl_Consulting[Cost Centre],$BI732)))&amp;"")</f>
        <v/>
      </c>
      <c r="I732" s="10">
        <f>IF($BI732="","",IF($B732="Onsite",INDEX(tbl_Onsite[Invoice Type],$BI732),IF($B732="Production",INDEX(tbl_Production[Invoice Type],$BI732),INDEX(tbl_Consulting[Invoice Type],$BI732)))&amp;"")</f>
        <v/>
      </c>
      <c r="J732" s="10">
        <f>IF($BI732="","",IF($B732="Onsite",INDEX(tbl_Onsite[Tax Code],$BI732),IF($B732="Production",INDEX(tbl_Production[Tax Code],$BI732),INDEX(tbl_Consulting[Tax Code],$BI732)))&amp;"")</f>
        <v/>
      </c>
      <c r="K732" s="10">
        <f>IF(H732="","",IFERROR(INDEX(lst_CCtoGL,MATCH(H732,lst_CCforGL,0)),""))</f>
        <v/>
      </c>
      <c r="L732" s="10">
        <f>IF($BI732="","",IF($B732="Onsite",INDEX(tbl_Onsite[PO / Reference],$BI732),IF($B732="Production",INDEX(tbl_Production[Current RMS No],$BI732),INDEX(tbl_Consulting[Qwilr Quote],$BI732)))&amp;"")</f>
        <v/>
      </c>
      <c r="M732" s="10">
        <f>IF($BI732="","",IF($B732="Onsite",INDEX(tbl_Onsite[Notes],$BI732),IF($B732="Production",INDEX(tbl_Production[Notes],$BI732),INDEX(tbl_Consulting[Notes],$BI732)))&amp;"")</f>
        <v/>
      </c>
      <c r="N732" s="11">
        <f>IF($BI732="","",IF(IF($B732="Onsite",INDEX(tbl_Onsite[Expected Revenue Ex GST],$BI732),IF($B732="Production",INDEX(tbl_Production[Expected Revenue Ex GST],$BI732),INDEX(tbl_Consulting[Expected Revenue Ex GST],$BI732)))="","",IF($B732="Onsite",INDEX(tbl_Onsite[Expected Revenue Ex GST],$BI732),IF($B732="Production",INDEX(tbl_Production[Expected Revenue Ex GST],$BI732),INDEX(tbl_Consulting[Expected Revenue Ex GST],$BI732)))))</f>
        <v/>
      </c>
      <c r="O732" s="11">
        <f>IF(AND($C732="",NOT(COUNTA($S732:$BB732)&gt;0)),"",SUM(U732,X732,AA732,AD732,AG732,AJ732,AM732,AP732,AS732,AV732,AY732,BB732))</f>
        <v/>
      </c>
      <c r="P732" s="11">
        <f>IF(O732="","",N(N732)-O732)</f>
        <v/>
      </c>
      <c r="Q732" s="10">
        <f>IF(O732="","",IF($C732="","Invoice on empty job row",IF(N732="",IF(ROUND(O732,2)=0,"No dept value","Invoiced - no dept value"),IF(ROUND(O732,2)=0,"Not invoiced - to invoice",IF(ROUND(P732,2)=0,"Agrees",IF(P732&gt;0,"Dept higher - to invoice","Xero higher - check dept"))))))</f>
        <v/>
      </c>
      <c r="R732" s="10">
        <f>IF(AND($C732="",NOT(COUNTA($S732:$BB732)&gt;0),$BI732&lt;&gt;""),"",MID(IF($BI732="","; Row ID not found on the department sheet - a row was deleted","")&amp;IF(AND($C732="",COUNTA($S732:$BB732)&gt;0),"; Invoice entered but the department row has no job number","")&amp;IF(E732="CHECK","; Job number not in the Xero job list","")&amp;IF(AND($C732&lt;&gt;"",COUNTIF($C$7:$C$1506,$C732)&gt;1),"; Job number on more than one row","")&amp;IF(AND($C732&lt;&gt;"",H732=""),"; Dept has not set a cost centre","")&amp;IF(AND($C732&lt;&gt;"",J732=""),"; Dept has not set a tax code","")&amp;IF(AND($C732&lt;&gt;"",N732=""),"; Dept has not entered an expected value","")&amp;IF((IF(OR(COUNTA(S732:U732)=0,AND(COUNTA(S732:U732)=3,ISNUMBER(U732))),0,1)+IF(OR(COUNTA(V732:X732)=0,AND(COUNTA(V732:X732)=3,ISNUMBER(X732))),0,1)+IF(OR(COUNTA(Y732:AA732)=0,AND(COUNTA(Y732:AA732)=3,ISNUMBER(AA732))),0,1)+IF(OR(COUNTA(AB732:AD732)=0,AND(COUNTA(AB732:AD732)=3,ISNUMBER(AD732))),0,1)+IF(OR(COUNTA(AE732:AG732)=0,AND(COUNTA(AE732:AG732)=3,ISNUMBER(AG732))),0,1)+IF(OR(COUNTA(AH732:AJ732)=0,AND(COUNTA(AH732:AJ732)=3,ISNUMBER(AJ732))),0,1)+IF(OR(COUNTA(AK732:AM732)=0,AND(COUNTA(AK732:AM732)=3,ISNUMBER(AM732))),0,1)+IF(OR(COUNTA(AN732:AP732)=0,AND(COUNTA(AN732:AP732)=3,ISNUMBER(AP732))),0,1)+IF(OR(COUNTA(AQ732:AS732)=0,AND(COUNTA(AQ732:AS732)=3,ISNUMBER(AS732))),0,1)+IF(OR(COUNTA(AT732:AV732)=0,AND(COUNTA(AT732:AV732)=3,ISNUMBER(AV732))),0,1)+IF(OR(COUNTA(AW732:AY732)=0,AND(COUNTA(AW732:AY732)=3,ISNUMBER(AY732))),0,1)+IF(OR(COUNTA(AZ732:BB732)=0,AND(COUNTA(AZ732:BB732)=3,ISNUMBER(BB732))),0,1))&gt;0,"; An invoice is incomplete (needs No, Date and a number in Ex GST)","")&amp;IF((IF(T732="",0,IFERROR(--(EOMONTH(T732,0)&lt;&gt;S$5),1))+IF(W732="",0,IFERROR(--(EOMONTH(W732,0)&lt;&gt;V$5),1))+IF(Z732="",0,IFERROR(--(EOMONTH(Z732,0)&lt;&gt;Y$5),1))+IF(AC732="",0,IFERROR(--(EOMONTH(AC732,0)&lt;&gt;AB$5),1))+IF(AF732="",0,IFERROR(--(EOMONTH(AF732,0)&lt;&gt;AE$5),1))+IF(AI732="",0,IFERROR(--(EOMONTH(AI732,0)&lt;&gt;AH$5),1))+IF(AL732="",0,IFERROR(--(EOMONTH(AL732,0)&lt;&gt;AK$5),1))+IF(AO732="",0,IFERROR(--(EOMONTH(AO732,0)&lt;&gt;AN$5),1))+IF(AR732="",0,IFERROR(--(EOMONTH(AR732,0)&lt;&gt;AQ$5),1))+IF(AU732="",0,IFERROR(--(EOMONTH(AU732,0)&lt;&gt;AT$5),1))+IF(AX732="",0,IFERROR(--(EOMONTH(AX732,0)&lt;&gt;AW$5),1))+IF(BA732="",0,IFERROR(--(EOMONTH(BA732,0)&lt;&gt;AZ$5),1)))&gt;0,"; An invoice date is not in the month it is typed under",""),3,500))</f>
        <v/>
      </c>
      <c r="S732" s="12" t="n"/>
      <c r="T732" s="13" t="n"/>
      <c r="U732" s="14" t="n"/>
      <c r="V732" s="12" t="n"/>
      <c r="W732" s="13" t="n"/>
      <c r="X732" s="14" t="n"/>
      <c r="Y732" s="12" t="n"/>
      <c r="Z732" s="13" t="n"/>
      <c r="AA732" s="14" t="n"/>
      <c r="AB732" s="12" t="n"/>
      <c r="AC732" s="13" t="n"/>
      <c r="AD732" s="14" t="n"/>
      <c r="AE732" s="12" t="n"/>
      <c r="AF732" s="13" t="n"/>
      <c r="AG732" s="14" t="n"/>
      <c r="AH732" s="12" t="n"/>
      <c r="AI732" s="13" t="n"/>
      <c r="AJ732" s="14" t="n"/>
      <c r="AK732" s="12" t="n"/>
      <c r="AL732" s="13" t="n"/>
      <c r="AM732" s="14" t="n"/>
      <c r="AN732" s="12" t="n"/>
      <c r="AO732" s="13" t="n"/>
      <c r="AP732" s="14" t="n"/>
      <c r="AQ732" s="12" t="n"/>
      <c r="AR732" s="13" t="n"/>
      <c r="AS732" s="14" t="n"/>
      <c r="AT732" s="12" t="n"/>
      <c r="AU732" s="13" t="n"/>
      <c r="AV732" s="14" t="n"/>
      <c r="AW732" s="12" t="n"/>
      <c r="AX732" s="13" t="n"/>
      <c r="AY732" s="14" t="n"/>
      <c r="AZ732" s="12" t="n"/>
      <c r="BA732" s="13" t="n"/>
      <c r="BB732" s="14" t="n"/>
      <c r="BC732" s="11">
        <f>IF(O732="","",IF(J732="GST 10%",ROUND(O732*set_GSTRate,2),0))</f>
        <v/>
      </c>
      <c r="BD732" s="11">
        <f>IF(O732="","",O732+BC732)</f>
        <v/>
      </c>
      <c r="BE732" s="15">
        <f>IF(O732="","",COUNTA(S732,V732,Y732,AB732,AE732,AH732,AK732,AN732,AQ732,AT732,AW732,AZ732))</f>
        <v/>
      </c>
      <c r="BF732" s="16">
        <f>IF(COUNT(T732,W732,Z732,AC732,AF732,AI732,AL732,AO732,AR732,AU732,AX732,BA732)=0,"",MAX(T732,W732,Z732,AC732,AF732,AI732,AL732,AO732,AR732,AU732,AX732,BA732))</f>
        <v/>
      </c>
      <c r="BG732" s="10">
        <f>MID(IF(S732="","",", "&amp;S732)&amp;IF(V732="","",", "&amp;V732)&amp;IF(Y732="","",", "&amp;Y732)&amp;IF(AB732="","",", "&amp;AB732)&amp;IF(AE732="","",", "&amp;AE732)&amp;IF(AH732="","",", "&amp;AH732)&amp;IF(AK732="","",", "&amp;AK732)&amp;IF(AN732="","",", "&amp;AN732)&amp;IF(AQ732="","",", "&amp;AQ732)&amp;IF(AT732="","",", "&amp;AT732)&amp;IF(AW732="","",", "&amp;AW732)&amp;IF(AZ732="","",", "&amp;AZ732),3,500)</f>
        <v/>
      </c>
      <c r="BH732" s="12" t="n"/>
      <c r="BI732" s="15">
        <f>IFERROR(MATCH($A732,IF($B732="Onsite",tbl_Onsite[Row ID],IF($B732="Production",tbl_Production[Row ID],tbl_Consulting[Row ID])),0),"")</f>
        <v/>
      </c>
    </row>
    <row r="733">
      <c r="A733" s="10" t="inlineStr">
        <is>
          <t>PRD-0227</t>
        </is>
      </c>
      <c r="B733" s="10" t="inlineStr">
        <is>
          <t>Production</t>
        </is>
      </c>
      <c r="C733" s="10">
        <f>IF($BI733="","",IF($B733="Onsite",INDEX(tbl_Onsite[Job Number],$BI733),IF($B733="Production",INDEX(tbl_Production[Job Number],$BI733),INDEX(tbl_Consulting[Job Number],$BI733)))&amp;"")</f>
        <v/>
      </c>
      <c r="D733" s="10">
        <f>IF($BI733="","",IF($B733="Onsite",INDEX(tbl_Onsite[Client],$BI733),IF($B733="Production",INDEX(tbl_Production[Client],$BI733),INDEX(tbl_Consulting[Client],$BI733)))&amp;"")</f>
        <v/>
      </c>
      <c r="E733" s="10">
        <f>IF($C733="","",IF(COUNTIF(lst_Jobs,$C733)&gt;0,"OK","CHECK"))</f>
        <v/>
      </c>
      <c r="F733" s="10">
        <f>IF($C733="","",IFERROR(INDEX(lst_JobName,MATCH($C733,lst_Jobs,0)),""))</f>
        <v/>
      </c>
      <c r="G733" s="10">
        <f>IF($BI733="","",IF($B733="Onsite",INDEX(tbl_Onsite[Job Description],$BI733),IF($B733="Production",INDEX(tbl_Production[Job Description],$BI733),INDEX(tbl_Consulting[Job Description],$BI733)))&amp;"")</f>
        <v/>
      </c>
      <c r="H733" s="10">
        <f>IF($BI733="","",IF($B733="Onsite",INDEX(tbl_Onsite[Cost Centre],$BI733),IF($B733="Production",INDEX(tbl_Production[Cost Centre],$BI733),INDEX(tbl_Consulting[Cost Centre],$BI733)))&amp;"")</f>
        <v/>
      </c>
      <c r="I733" s="10">
        <f>IF($BI733="","",IF($B733="Onsite",INDEX(tbl_Onsite[Invoice Type],$BI733),IF($B733="Production",INDEX(tbl_Production[Invoice Type],$BI733),INDEX(tbl_Consulting[Invoice Type],$BI733)))&amp;"")</f>
        <v/>
      </c>
      <c r="J733" s="10">
        <f>IF($BI733="","",IF($B733="Onsite",INDEX(tbl_Onsite[Tax Code],$BI733),IF($B733="Production",INDEX(tbl_Production[Tax Code],$BI733),INDEX(tbl_Consulting[Tax Code],$BI733)))&amp;"")</f>
        <v/>
      </c>
      <c r="K733" s="10">
        <f>IF(H733="","",IFERROR(INDEX(lst_CCtoGL,MATCH(H733,lst_CCforGL,0)),""))</f>
        <v/>
      </c>
      <c r="L733" s="10">
        <f>IF($BI733="","",IF($B733="Onsite",INDEX(tbl_Onsite[PO / Reference],$BI733),IF($B733="Production",INDEX(tbl_Production[Current RMS No],$BI733),INDEX(tbl_Consulting[Qwilr Quote],$BI733)))&amp;"")</f>
        <v/>
      </c>
      <c r="M733" s="10">
        <f>IF($BI733="","",IF($B733="Onsite",INDEX(tbl_Onsite[Notes],$BI733),IF($B733="Production",INDEX(tbl_Production[Notes],$BI733),INDEX(tbl_Consulting[Notes],$BI733)))&amp;"")</f>
        <v/>
      </c>
      <c r="N733" s="11">
        <f>IF($BI733="","",IF(IF($B733="Onsite",INDEX(tbl_Onsite[Expected Revenue Ex GST],$BI733),IF($B733="Production",INDEX(tbl_Production[Expected Revenue Ex GST],$BI733),INDEX(tbl_Consulting[Expected Revenue Ex GST],$BI733)))="","",IF($B733="Onsite",INDEX(tbl_Onsite[Expected Revenue Ex GST],$BI733),IF($B733="Production",INDEX(tbl_Production[Expected Revenue Ex GST],$BI733),INDEX(tbl_Consulting[Expected Revenue Ex GST],$BI733)))))</f>
        <v/>
      </c>
      <c r="O733" s="11">
        <f>IF(AND($C733="",NOT(COUNTA($S733:$BB733)&gt;0)),"",SUM(U733,X733,AA733,AD733,AG733,AJ733,AM733,AP733,AS733,AV733,AY733,BB733))</f>
        <v/>
      </c>
      <c r="P733" s="11">
        <f>IF(O733="","",N(N733)-O733)</f>
        <v/>
      </c>
      <c r="Q733" s="10">
        <f>IF(O733="","",IF($C733="","Invoice on empty job row",IF(N733="",IF(ROUND(O733,2)=0,"No dept value","Invoiced - no dept value"),IF(ROUND(O733,2)=0,"Not invoiced - to invoice",IF(ROUND(P733,2)=0,"Agrees",IF(P733&gt;0,"Dept higher - to invoice","Xero higher - check dept"))))))</f>
        <v/>
      </c>
      <c r="R733" s="10">
        <f>IF(AND($C733="",NOT(COUNTA($S733:$BB733)&gt;0),$BI733&lt;&gt;""),"",MID(IF($BI733="","; Row ID not found on the department sheet - a row was deleted","")&amp;IF(AND($C733="",COUNTA($S733:$BB733)&gt;0),"; Invoice entered but the department row has no job number","")&amp;IF(E733="CHECK","; Job number not in the Xero job list","")&amp;IF(AND($C733&lt;&gt;"",COUNTIF($C$7:$C$1506,$C733)&gt;1),"; Job number on more than one row","")&amp;IF(AND($C733&lt;&gt;"",H733=""),"; Dept has not set a cost centre","")&amp;IF(AND($C733&lt;&gt;"",J733=""),"; Dept has not set a tax code","")&amp;IF(AND($C733&lt;&gt;"",N733=""),"; Dept has not entered an expected value","")&amp;IF((IF(OR(COUNTA(S733:U733)=0,AND(COUNTA(S733:U733)=3,ISNUMBER(U733))),0,1)+IF(OR(COUNTA(V733:X733)=0,AND(COUNTA(V733:X733)=3,ISNUMBER(X733))),0,1)+IF(OR(COUNTA(Y733:AA733)=0,AND(COUNTA(Y733:AA733)=3,ISNUMBER(AA733))),0,1)+IF(OR(COUNTA(AB733:AD733)=0,AND(COUNTA(AB733:AD733)=3,ISNUMBER(AD733))),0,1)+IF(OR(COUNTA(AE733:AG733)=0,AND(COUNTA(AE733:AG733)=3,ISNUMBER(AG733))),0,1)+IF(OR(COUNTA(AH733:AJ733)=0,AND(COUNTA(AH733:AJ733)=3,ISNUMBER(AJ733))),0,1)+IF(OR(COUNTA(AK733:AM733)=0,AND(COUNTA(AK733:AM733)=3,ISNUMBER(AM733))),0,1)+IF(OR(COUNTA(AN733:AP733)=0,AND(COUNTA(AN733:AP733)=3,ISNUMBER(AP733))),0,1)+IF(OR(COUNTA(AQ733:AS733)=0,AND(COUNTA(AQ733:AS733)=3,ISNUMBER(AS733))),0,1)+IF(OR(COUNTA(AT733:AV733)=0,AND(COUNTA(AT733:AV733)=3,ISNUMBER(AV733))),0,1)+IF(OR(COUNTA(AW733:AY733)=0,AND(COUNTA(AW733:AY733)=3,ISNUMBER(AY733))),0,1)+IF(OR(COUNTA(AZ733:BB733)=0,AND(COUNTA(AZ733:BB733)=3,ISNUMBER(BB733))),0,1))&gt;0,"; An invoice is incomplete (needs No, Date and a number in Ex GST)","")&amp;IF((IF(T733="",0,IFERROR(--(EOMONTH(T733,0)&lt;&gt;S$5),1))+IF(W733="",0,IFERROR(--(EOMONTH(W733,0)&lt;&gt;V$5),1))+IF(Z733="",0,IFERROR(--(EOMONTH(Z733,0)&lt;&gt;Y$5),1))+IF(AC733="",0,IFERROR(--(EOMONTH(AC733,0)&lt;&gt;AB$5),1))+IF(AF733="",0,IFERROR(--(EOMONTH(AF733,0)&lt;&gt;AE$5),1))+IF(AI733="",0,IFERROR(--(EOMONTH(AI733,0)&lt;&gt;AH$5),1))+IF(AL733="",0,IFERROR(--(EOMONTH(AL733,0)&lt;&gt;AK$5),1))+IF(AO733="",0,IFERROR(--(EOMONTH(AO733,0)&lt;&gt;AN$5),1))+IF(AR733="",0,IFERROR(--(EOMONTH(AR733,0)&lt;&gt;AQ$5),1))+IF(AU733="",0,IFERROR(--(EOMONTH(AU733,0)&lt;&gt;AT$5),1))+IF(AX733="",0,IFERROR(--(EOMONTH(AX733,0)&lt;&gt;AW$5),1))+IF(BA733="",0,IFERROR(--(EOMONTH(BA733,0)&lt;&gt;AZ$5),1)))&gt;0,"; An invoice date is not in the month it is typed under",""),3,500))</f>
        <v/>
      </c>
      <c r="S733" s="12" t="n"/>
      <c r="T733" s="13" t="n"/>
      <c r="U733" s="14" t="n"/>
      <c r="V733" s="12" t="n"/>
      <c r="W733" s="13" t="n"/>
      <c r="X733" s="14" t="n"/>
      <c r="Y733" s="12" t="n"/>
      <c r="Z733" s="13" t="n"/>
      <c r="AA733" s="14" t="n"/>
      <c r="AB733" s="12" t="n"/>
      <c r="AC733" s="13" t="n"/>
      <c r="AD733" s="14" t="n"/>
      <c r="AE733" s="12" t="n"/>
      <c r="AF733" s="13" t="n"/>
      <c r="AG733" s="14" t="n"/>
      <c r="AH733" s="12" t="n"/>
      <c r="AI733" s="13" t="n"/>
      <c r="AJ733" s="14" t="n"/>
      <c r="AK733" s="12" t="n"/>
      <c r="AL733" s="13" t="n"/>
      <c r="AM733" s="14" t="n"/>
      <c r="AN733" s="12" t="n"/>
      <c r="AO733" s="13" t="n"/>
      <c r="AP733" s="14" t="n"/>
      <c r="AQ733" s="12" t="n"/>
      <c r="AR733" s="13" t="n"/>
      <c r="AS733" s="14" t="n"/>
      <c r="AT733" s="12" t="n"/>
      <c r="AU733" s="13" t="n"/>
      <c r="AV733" s="14" t="n"/>
      <c r="AW733" s="12" t="n"/>
      <c r="AX733" s="13" t="n"/>
      <c r="AY733" s="14" t="n"/>
      <c r="AZ733" s="12" t="n"/>
      <c r="BA733" s="13" t="n"/>
      <c r="BB733" s="14" t="n"/>
      <c r="BC733" s="11">
        <f>IF(O733="","",IF(J733="GST 10%",ROUND(O733*set_GSTRate,2),0))</f>
        <v/>
      </c>
      <c r="BD733" s="11">
        <f>IF(O733="","",O733+BC733)</f>
        <v/>
      </c>
      <c r="BE733" s="15">
        <f>IF(O733="","",COUNTA(S733,V733,Y733,AB733,AE733,AH733,AK733,AN733,AQ733,AT733,AW733,AZ733))</f>
        <v/>
      </c>
      <c r="BF733" s="16">
        <f>IF(COUNT(T733,W733,Z733,AC733,AF733,AI733,AL733,AO733,AR733,AU733,AX733,BA733)=0,"",MAX(T733,W733,Z733,AC733,AF733,AI733,AL733,AO733,AR733,AU733,AX733,BA733))</f>
        <v/>
      </c>
      <c r="BG733" s="10">
        <f>MID(IF(S733="","",", "&amp;S733)&amp;IF(V733="","",", "&amp;V733)&amp;IF(Y733="","",", "&amp;Y733)&amp;IF(AB733="","",", "&amp;AB733)&amp;IF(AE733="","",", "&amp;AE733)&amp;IF(AH733="","",", "&amp;AH733)&amp;IF(AK733="","",", "&amp;AK733)&amp;IF(AN733="","",", "&amp;AN733)&amp;IF(AQ733="","",", "&amp;AQ733)&amp;IF(AT733="","",", "&amp;AT733)&amp;IF(AW733="","",", "&amp;AW733)&amp;IF(AZ733="","",", "&amp;AZ733),3,500)</f>
        <v/>
      </c>
      <c r="BH733" s="12" t="n"/>
      <c r="BI733" s="15">
        <f>IFERROR(MATCH($A733,IF($B733="Onsite",tbl_Onsite[Row ID],IF($B733="Production",tbl_Production[Row ID],tbl_Consulting[Row ID])),0),"")</f>
        <v/>
      </c>
    </row>
    <row r="734">
      <c r="A734" s="10" t="inlineStr">
        <is>
          <t>PRD-0228</t>
        </is>
      </c>
      <c r="B734" s="10" t="inlineStr">
        <is>
          <t>Production</t>
        </is>
      </c>
      <c r="C734" s="10">
        <f>IF($BI734="","",IF($B734="Onsite",INDEX(tbl_Onsite[Job Number],$BI734),IF($B734="Production",INDEX(tbl_Production[Job Number],$BI734),INDEX(tbl_Consulting[Job Number],$BI734)))&amp;"")</f>
        <v/>
      </c>
      <c r="D734" s="10">
        <f>IF($BI734="","",IF($B734="Onsite",INDEX(tbl_Onsite[Client],$BI734),IF($B734="Production",INDEX(tbl_Production[Client],$BI734),INDEX(tbl_Consulting[Client],$BI734)))&amp;"")</f>
        <v/>
      </c>
      <c r="E734" s="10">
        <f>IF($C734="","",IF(COUNTIF(lst_Jobs,$C734)&gt;0,"OK","CHECK"))</f>
        <v/>
      </c>
      <c r="F734" s="10">
        <f>IF($C734="","",IFERROR(INDEX(lst_JobName,MATCH($C734,lst_Jobs,0)),""))</f>
        <v/>
      </c>
      <c r="G734" s="10">
        <f>IF($BI734="","",IF($B734="Onsite",INDEX(tbl_Onsite[Job Description],$BI734),IF($B734="Production",INDEX(tbl_Production[Job Description],$BI734),INDEX(tbl_Consulting[Job Description],$BI734)))&amp;"")</f>
        <v/>
      </c>
      <c r="H734" s="10">
        <f>IF($BI734="","",IF($B734="Onsite",INDEX(tbl_Onsite[Cost Centre],$BI734),IF($B734="Production",INDEX(tbl_Production[Cost Centre],$BI734),INDEX(tbl_Consulting[Cost Centre],$BI734)))&amp;"")</f>
        <v/>
      </c>
      <c r="I734" s="10">
        <f>IF($BI734="","",IF($B734="Onsite",INDEX(tbl_Onsite[Invoice Type],$BI734),IF($B734="Production",INDEX(tbl_Production[Invoice Type],$BI734),INDEX(tbl_Consulting[Invoice Type],$BI734)))&amp;"")</f>
        <v/>
      </c>
      <c r="J734" s="10">
        <f>IF($BI734="","",IF($B734="Onsite",INDEX(tbl_Onsite[Tax Code],$BI734),IF($B734="Production",INDEX(tbl_Production[Tax Code],$BI734),INDEX(tbl_Consulting[Tax Code],$BI734)))&amp;"")</f>
        <v/>
      </c>
      <c r="K734" s="10">
        <f>IF(H734="","",IFERROR(INDEX(lst_CCtoGL,MATCH(H734,lst_CCforGL,0)),""))</f>
        <v/>
      </c>
      <c r="L734" s="10">
        <f>IF($BI734="","",IF($B734="Onsite",INDEX(tbl_Onsite[PO / Reference],$BI734),IF($B734="Production",INDEX(tbl_Production[Current RMS No],$BI734),INDEX(tbl_Consulting[Qwilr Quote],$BI734)))&amp;"")</f>
        <v/>
      </c>
      <c r="M734" s="10">
        <f>IF($BI734="","",IF($B734="Onsite",INDEX(tbl_Onsite[Notes],$BI734),IF($B734="Production",INDEX(tbl_Production[Notes],$BI734),INDEX(tbl_Consulting[Notes],$BI734)))&amp;"")</f>
        <v/>
      </c>
      <c r="N734" s="11">
        <f>IF($BI734="","",IF(IF($B734="Onsite",INDEX(tbl_Onsite[Expected Revenue Ex GST],$BI734),IF($B734="Production",INDEX(tbl_Production[Expected Revenue Ex GST],$BI734),INDEX(tbl_Consulting[Expected Revenue Ex GST],$BI734)))="","",IF($B734="Onsite",INDEX(tbl_Onsite[Expected Revenue Ex GST],$BI734),IF($B734="Production",INDEX(tbl_Production[Expected Revenue Ex GST],$BI734),INDEX(tbl_Consulting[Expected Revenue Ex GST],$BI734)))))</f>
        <v/>
      </c>
      <c r="O734" s="11">
        <f>IF(AND($C734="",NOT(COUNTA($S734:$BB734)&gt;0)),"",SUM(U734,X734,AA734,AD734,AG734,AJ734,AM734,AP734,AS734,AV734,AY734,BB734))</f>
        <v/>
      </c>
      <c r="P734" s="11">
        <f>IF(O734="","",N(N734)-O734)</f>
        <v/>
      </c>
      <c r="Q734" s="10">
        <f>IF(O734="","",IF($C734="","Invoice on empty job row",IF(N734="",IF(ROUND(O734,2)=0,"No dept value","Invoiced - no dept value"),IF(ROUND(O734,2)=0,"Not invoiced - to invoice",IF(ROUND(P734,2)=0,"Agrees",IF(P734&gt;0,"Dept higher - to invoice","Xero higher - check dept"))))))</f>
        <v/>
      </c>
      <c r="R734" s="10">
        <f>IF(AND($C734="",NOT(COUNTA($S734:$BB734)&gt;0),$BI734&lt;&gt;""),"",MID(IF($BI734="","; Row ID not found on the department sheet - a row was deleted","")&amp;IF(AND($C734="",COUNTA($S734:$BB734)&gt;0),"; Invoice entered but the department row has no job number","")&amp;IF(E734="CHECK","; Job number not in the Xero job list","")&amp;IF(AND($C734&lt;&gt;"",COUNTIF($C$7:$C$1506,$C734)&gt;1),"; Job number on more than one row","")&amp;IF(AND($C734&lt;&gt;"",H734=""),"; Dept has not set a cost centre","")&amp;IF(AND($C734&lt;&gt;"",J734=""),"; Dept has not set a tax code","")&amp;IF(AND($C734&lt;&gt;"",N734=""),"; Dept has not entered an expected value","")&amp;IF((IF(OR(COUNTA(S734:U734)=0,AND(COUNTA(S734:U734)=3,ISNUMBER(U734))),0,1)+IF(OR(COUNTA(V734:X734)=0,AND(COUNTA(V734:X734)=3,ISNUMBER(X734))),0,1)+IF(OR(COUNTA(Y734:AA734)=0,AND(COUNTA(Y734:AA734)=3,ISNUMBER(AA734))),0,1)+IF(OR(COUNTA(AB734:AD734)=0,AND(COUNTA(AB734:AD734)=3,ISNUMBER(AD734))),0,1)+IF(OR(COUNTA(AE734:AG734)=0,AND(COUNTA(AE734:AG734)=3,ISNUMBER(AG734))),0,1)+IF(OR(COUNTA(AH734:AJ734)=0,AND(COUNTA(AH734:AJ734)=3,ISNUMBER(AJ734))),0,1)+IF(OR(COUNTA(AK734:AM734)=0,AND(COUNTA(AK734:AM734)=3,ISNUMBER(AM734))),0,1)+IF(OR(COUNTA(AN734:AP734)=0,AND(COUNTA(AN734:AP734)=3,ISNUMBER(AP734))),0,1)+IF(OR(COUNTA(AQ734:AS734)=0,AND(COUNTA(AQ734:AS734)=3,ISNUMBER(AS734))),0,1)+IF(OR(COUNTA(AT734:AV734)=0,AND(COUNTA(AT734:AV734)=3,ISNUMBER(AV734))),0,1)+IF(OR(COUNTA(AW734:AY734)=0,AND(COUNTA(AW734:AY734)=3,ISNUMBER(AY734))),0,1)+IF(OR(COUNTA(AZ734:BB734)=0,AND(COUNTA(AZ734:BB734)=3,ISNUMBER(BB734))),0,1))&gt;0,"; An invoice is incomplete (needs No, Date and a number in Ex GST)","")&amp;IF((IF(T734="",0,IFERROR(--(EOMONTH(T734,0)&lt;&gt;S$5),1))+IF(W734="",0,IFERROR(--(EOMONTH(W734,0)&lt;&gt;V$5),1))+IF(Z734="",0,IFERROR(--(EOMONTH(Z734,0)&lt;&gt;Y$5),1))+IF(AC734="",0,IFERROR(--(EOMONTH(AC734,0)&lt;&gt;AB$5),1))+IF(AF734="",0,IFERROR(--(EOMONTH(AF734,0)&lt;&gt;AE$5),1))+IF(AI734="",0,IFERROR(--(EOMONTH(AI734,0)&lt;&gt;AH$5),1))+IF(AL734="",0,IFERROR(--(EOMONTH(AL734,0)&lt;&gt;AK$5),1))+IF(AO734="",0,IFERROR(--(EOMONTH(AO734,0)&lt;&gt;AN$5),1))+IF(AR734="",0,IFERROR(--(EOMONTH(AR734,0)&lt;&gt;AQ$5),1))+IF(AU734="",0,IFERROR(--(EOMONTH(AU734,0)&lt;&gt;AT$5),1))+IF(AX734="",0,IFERROR(--(EOMONTH(AX734,0)&lt;&gt;AW$5),1))+IF(BA734="",0,IFERROR(--(EOMONTH(BA734,0)&lt;&gt;AZ$5),1)))&gt;0,"; An invoice date is not in the month it is typed under",""),3,500))</f>
        <v/>
      </c>
      <c r="S734" s="12" t="n"/>
      <c r="T734" s="13" t="n"/>
      <c r="U734" s="14" t="n"/>
      <c r="V734" s="12" t="n"/>
      <c r="W734" s="13" t="n"/>
      <c r="X734" s="14" t="n"/>
      <c r="Y734" s="12" t="n"/>
      <c r="Z734" s="13" t="n"/>
      <c r="AA734" s="14" t="n"/>
      <c r="AB734" s="12" t="n"/>
      <c r="AC734" s="13" t="n"/>
      <c r="AD734" s="14" t="n"/>
      <c r="AE734" s="12" t="n"/>
      <c r="AF734" s="13" t="n"/>
      <c r="AG734" s="14" t="n"/>
      <c r="AH734" s="12" t="n"/>
      <c r="AI734" s="13" t="n"/>
      <c r="AJ734" s="14" t="n"/>
      <c r="AK734" s="12" t="n"/>
      <c r="AL734" s="13" t="n"/>
      <c r="AM734" s="14" t="n"/>
      <c r="AN734" s="12" t="n"/>
      <c r="AO734" s="13" t="n"/>
      <c r="AP734" s="14" t="n"/>
      <c r="AQ734" s="12" t="n"/>
      <c r="AR734" s="13" t="n"/>
      <c r="AS734" s="14" t="n"/>
      <c r="AT734" s="12" t="n"/>
      <c r="AU734" s="13" t="n"/>
      <c r="AV734" s="14" t="n"/>
      <c r="AW734" s="12" t="n"/>
      <c r="AX734" s="13" t="n"/>
      <c r="AY734" s="14" t="n"/>
      <c r="AZ734" s="12" t="n"/>
      <c r="BA734" s="13" t="n"/>
      <c r="BB734" s="14" t="n"/>
      <c r="BC734" s="11">
        <f>IF(O734="","",IF(J734="GST 10%",ROUND(O734*set_GSTRate,2),0))</f>
        <v/>
      </c>
      <c r="BD734" s="11">
        <f>IF(O734="","",O734+BC734)</f>
        <v/>
      </c>
      <c r="BE734" s="15">
        <f>IF(O734="","",COUNTA(S734,V734,Y734,AB734,AE734,AH734,AK734,AN734,AQ734,AT734,AW734,AZ734))</f>
        <v/>
      </c>
      <c r="BF734" s="16">
        <f>IF(COUNT(T734,W734,Z734,AC734,AF734,AI734,AL734,AO734,AR734,AU734,AX734,BA734)=0,"",MAX(T734,W734,Z734,AC734,AF734,AI734,AL734,AO734,AR734,AU734,AX734,BA734))</f>
        <v/>
      </c>
      <c r="BG734" s="10">
        <f>MID(IF(S734="","",", "&amp;S734)&amp;IF(V734="","",", "&amp;V734)&amp;IF(Y734="","",", "&amp;Y734)&amp;IF(AB734="","",", "&amp;AB734)&amp;IF(AE734="","",", "&amp;AE734)&amp;IF(AH734="","",", "&amp;AH734)&amp;IF(AK734="","",", "&amp;AK734)&amp;IF(AN734="","",", "&amp;AN734)&amp;IF(AQ734="","",", "&amp;AQ734)&amp;IF(AT734="","",", "&amp;AT734)&amp;IF(AW734="","",", "&amp;AW734)&amp;IF(AZ734="","",", "&amp;AZ734),3,500)</f>
        <v/>
      </c>
      <c r="BH734" s="12" t="n"/>
      <c r="BI734" s="15">
        <f>IFERROR(MATCH($A734,IF($B734="Onsite",tbl_Onsite[Row ID],IF($B734="Production",tbl_Production[Row ID],tbl_Consulting[Row ID])),0),"")</f>
        <v/>
      </c>
    </row>
    <row r="735">
      <c r="A735" s="10" t="inlineStr">
        <is>
          <t>PRD-0229</t>
        </is>
      </c>
      <c r="B735" s="10" t="inlineStr">
        <is>
          <t>Production</t>
        </is>
      </c>
      <c r="C735" s="10">
        <f>IF($BI735="","",IF($B735="Onsite",INDEX(tbl_Onsite[Job Number],$BI735),IF($B735="Production",INDEX(tbl_Production[Job Number],$BI735),INDEX(tbl_Consulting[Job Number],$BI735)))&amp;"")</f>
        <v/>
      </c>
      <c r="D735" s="10">
        <f>IF($BI735="","",IF($B735="Onsite",INDEX(tbl_Onsite[Client],$BI735),IF($B735="Production",INDEX(tbl_Production[Client],$BI735),INDEX(tbl_Consulting[Client],$BI735)))&amp;"")</f>
        <v/>
      </c>
      <c r="E735" s="10">
        <f>IF($C735="","",IF(COUNTIF(lst_Jobs,$C735)&gt;0,"OK","CHECK"))</f>
        <v/>
      </c>
      <c r="F735" s="10">
        <f>IF($C735="","",IFERROR(INDEX(lst_JobName,MATCH($C735,lst_Jobs,0)),""))</f>
        <v/>
      </c>
      <c r="G735" s="10">
        <f>IF($BI735="","",IF($B735="Onsite",INDEX(tbl_Onsite[Job Description],$BI735),IF($B735="Production",INDEX(tbl_Production[Job Description],$BI735),INDEX(tbl_Consulting[Job Description],$BI735)))&amp;"")</f>
        <v/>
      </c>
      <c r="H735" s="10">
        <f>IF($BI735="","",IF($B735="Onsite",INDEX(tbl_Onsite[Cost Centre],$BI735),IF($B735="Production",INDEX(tbl_Production[Cost Centre],$BI735),INDEX(tbl_Consulting[Cost Centre],$BI735)))&amp;"")</f>
        <v/>
      </c>
      <c r="I735" s="10">
        <f>IF($BI735="","",IF($B735="Onsite",INDEX(tbl_Onsite[Invoice Type],$BI735),IF($B735="Production",INDEX(tbl_Production[Invoice Type],$BI735),INDEX(tbl_Consulting[Invoice Type],$BI735)))&amp;"")</f>
        <v/>
      </c>
      <c r="J735" s="10">
        <f>IF($BI735="","",IF($B735="Onsite",INDEX(tbl_Onsite[Tax Code],$BI735),IF($B735="Production",INDEX(tbl_Production[Tax Code],$BI735),INDEX(tbl_Consulting[Tax Code],$BI735)))&amp;"")</f>
        <v/>
      </c>
      <c r="K735" s="10">
        <f>IF(H735="","",IFERROR(INDEX(lst_CCtoGL,MATCH(H735,lst_CCforGL,0)),""))</f>
        <v/>
      </c>
      <c r="L735" s="10">
        <f>IF($BI735="","",IF($B735="Onsite",INDEX(tbl_Onsite[PO / Reference],$BI735),IF($B735="Production",INDEX(tbl_Production[Current RMS No],$BI735),INDEX(tbl_Consulting[Qwilr Quote],$BI735)))&amp;"")</f>
        <v/>
      </c>
      <c r="M735" s="10">
        <f>IF($BI735="","",IF($B735="Onsite",INDEX(tbl_Onsite[Notes],$BI735),IF($B735="Production",INDEX(tbl_Production[Notes],$BI735),INDEX(tbl_Consulting[Notes],$BI735)))&amp;"")</f>
        <v/>
      </c>
      <c r="N735" s="11">
        <f>IF($BI735="","",IF(IF($B735="Onsite",INDEX(tbl_Onsite[Expected Revenue Ex GST],$BI735),IF($B735="Production",INDEX(tbl_Production[Expected Revenue Ex GST],$BI735),INDEX(tbl_Consulting[Expected Revenue Ex GST],$BI735)))="","",IF($B735="Onsite",INDEX(tbl_Onsite[Expected Revenue Ex GST],$BI735),IF($B735="Production",INDEX(tbl_Production[Expected Revenue Ex GST],$BI735),INDEX(tbl_Consulting[Expected Revenue Ex GST],$BI735)))))</f>
        <v/>
      </c>
      <c r="O735" s="11">
        <f>IF(AND($C735="",NOT(COUNTA($S735:$BB735)&gt;0)),"",SUM(U735,X735,AA735,AD735,AG735,AJ735,AM735,AP735,AS735,AV735,AY735,BB735))</f>
        <v/>
      </c>
      <c r="P735" s="11">
        <f>IF(O735="","",N(N735)-O735)</f>
        <v/>
      </c>
      <c r="Q735" s="10">
        <f>IF(O735="","",IF($C735="","Invoice on empty job row",IF(N735="",IF(ROUND(O735,2)=0,"No dept value","Invoiced - no dept value"),IF(ROUND(O735,2)=0,"Not invoiced - to invoice",IF(ROUND(P735,2)=0,"Agrees",IF(P735&gt;0,"Dept higher - to invoice","Xero higher - check dept"))))))</f>
        <v/>
      </c>
      <c r="R735" s="10">
        <f>IF(AND($C735="",NOT(COUNTA($S735:$BB735)&gt;0),$BI735&lt;&gt;""),"",MID(IF($BI735="","; Row ID not found on the department sheet - a row was deleted","")&amp;IF(AND($C735="",COUNTA($S735:$BB735)&gt;0),"; Invoice entered but the department row has no job number","")&amp;IF(E735="CHECK","; Job number not in the Xero job list","")&amp;IF(AND($C735&lt;&gt;"",COUNTIF($C$7:$C$1506,$C735)&gt;1),"; Job number on more than one row","")&amp;IF(AND($C735&lt;&gt;"",H735=""),"; Dept has not set a cost centre","")&amp;IF(AND($C735&lt;&gt;"",J735=""),"; Dept has not set a tax code","")&amp;IF(AND($C735&lt;&gt;"",N735=""),"; Dept has not entered an expected value","")&amp;IF((IF(OR(COUNTA(S735:U735)=0,AND(COUNTA(S735:U735)=3,ISNUMBER(U735))),0,1)+IF(OR(COUNTA(V735:X735)=0,AND(COUNTA(V735:X735)=3,ISNUMBER(X735))),0,1)+IF(OR(COUNTA(Y735:AA735)=0,AND(COUNTA(Y735:AA735)=3,ISNUMBER(AA735))),0,1)+IF(OR(COUNTA(AB735:AD735)=0,AND(COUNTA(AB735:AD735)=3,ISNUMBER(AD735))),0,1)+IF(OR(COUNTA(AE735:AG735)=0,AND(COUNTA(AE735:AG735)=3,ISNUMBER(AG735))),0,1)+IF(OR(COUNTA(AH735:AJ735)=0,AND(COUNTA(AH735:AJ735)=3,ISNUMBER(AJ735))),0,1)+IF(OR(COUNTA(AK735:AM735)=0,AND(COUNTA(AK735:AM735)=3,ISNUMBER(AM735))),0,1)+IF(OR(COUNTA(AN735:AP735)=0,AND(COUNTA(AN735:AP735)=3,ISNUMBER(AP735))),0,1)+IF(OR(COUNTA(AQ735:AS735)=0,AND(COUNTA(AQ735:AS735)=3,ISNUMBER(AS735))),0,1)+IF(OR(COUNTA(AT735:AV735)=0,AND(COUNTA(AT735:AV735)=3,ISNUMBER(AV735))),0,1)+IF(OR(COUNTA(AW735:AY735)=0,AND(COUNTA(AW735:AY735)=3,ISNUMBER(AY735))),0,1)+IF(OR(COUNTA(AZ735:BB735)=0,AND(COUNTA(AZ735:BB735)=3,ISNUMBER(BB735))),0,1))&gt;0,"; An invoice is incomplete (needs No, Date and a number in Ex GST)","")&amp;IF((IF(T735="",0,IFERROR(--(EOMONTH(T735,0)&lt;&gt;S$5),1))+IF(W735="",0,IFERROR(--(EOMONTH(W735,0)&lt;&gt;V$5),1))+IF(Z735="",0,IFERROR(--(EOMONTH(Z735,0)&lt;&gt;Y$5),1))+IF(AC735="",0,IFERROR(--(EOMONTH(AC735,0)&lt;&gt;AB$5),1))+IF(AF735="",0,IFERROR(--(EOMONTH(AF735,0)&lt;&gt;AE$5),1))+IF(AI735="",0,IFERROR(--(EOMONTH(AI735,0)&lt;&gt;AH$5),1))+IF(AL735="",0,IFERROR(--(EOMONTH(AL735,0)&lt;&gt;AK$5),1))+IF(AO735="",0,IFERROR(--(EOMONTH(AO735,0)&lt;&gt;AN$5),1))+IF(AR735="",0,IFERROR(--(EOMONTH(AR735,0)&lt;&gt;AQ$5),1))+IF(AU735="",0,IFERROR(--(EOMONTH(AU735,0)&lt;&gt;AT$5),1))+IF(AX735="",0,IFERROR(--(EOMONTH(AX735,0)&lt;&gt;AW$5),1))+IF(BA735="",0,IFERROR(--(EOMONTH(BA735,0)&lt;&gt;AZ$5),1)))&gt;0,"; An invoice date is not in the month it is typed under",""),3,500))</f>
        <v/>
      </c>
      <c r="S735" s="12" t="n"/>
      <c r="T735" s="13" t="n"/>
      <c r="U735" s="14" t="n"/>
      <c r="V735" s="12" t="n"/>
      <c r="W735" s="13" t="n"/>
      <c r="X735" s="14" t="n"/>
      <c r="Y735" s="12" t="n"/>
      <c r="Z735" s="13" t="n"/>
      <c r="AA735" s="14" t="n"/>
      <c r="AB735" s="12" t="n"/>
      <c r="AC735" s="13" t="n"/>
      <c r="AD735" s="14" t="n"/>
      <c r="AE735" s="12" t="n"/>
      <c r="AF735" s="13" t="n"/>
      <c r="AG735" s="14" t="n"/>
      <c r="AH735" s="12" t="n"/>
      <c r="AI735" s="13" t="n"/>
      <c r="AJ735" s="14" t="n"/>
      <c r="AK735" s="12" t="n"/>
      <c r="AL735" s="13" t="n"/>
      <c r="AM735" s="14" t="n"/>
      <c r="AN735" s="12" t="n"/>
      <c r="AO735" s="13" t="n"/>
      <c r="AP735" s="14" t="n"/>
      <c r="AQ735" s="12" t="n"/>
      <c r="AR735" s="13" t="n"/>
      <c r="AS735" s="14" t="n"/>
      <c r="AT735" s="12" t="n"/>
      <c r="AU735" s="13" t="n"/>
      <c r="AV735" s="14" t="n"/>
      <c r="AW735" s="12" t="n"/>
      <c r="AX735" s="13" t="n"/>
      <c r="AY735" s="14" t="n"/>
      <c r="AZ735" s="12" t="n"/>
      <c r="BA735" s="13" t="n"/>
      <c r="BB735" s="14" t="n"/>
      <c r="BC735" s="11">
        <f>IF(O735="","",IF(J735="GST 10%",ROUND(O735*set_GSTRate,2),0))</f>
        <v/>
      </c>
      <c r="BD735" s="11">
        <f>IF(O735="","",O735+BC735)</f>
        <v/>
      </c>
      <c r="BE735" s="15">
        <f>IF(O735="","",COUNTA(S735,V735,Y735,AB735,AE735,AH735,AK735,AN735,AQ735,AT735,AW735,AZ735))</f>
        <v/>
      </c>
      <c r="BF735" s="16">
        <f>IF(COUNT(T735,W735,Z735,AC735,AF735,AI735,AL735,AO735,AR735,AU735,AX735,BA735)=0,"",MAX(T735,W735,Z735,AC735,AF735,AI735,AL735,AO735,AR735,AU735,AX735,BA735))</f>
        <v/>
      </c>
      <c r="BG735" s="10">
        <f>MID(IF(S735="","",", "&amp;S735)&amp;IF(V735="","",", "&amp;V735)&amp;IF(Y735="","",", "&amp;Y735)&amp;IF(AB735="","",", "&amp;AB735)&amp;IF(AE735="","",", "&amp;AE735)&amp;IF(AH735="","",", "&amp;AH735)&amp;IF(AK735="","",", "&amp;AK735)&amp;IF(AN735="","",", "&amp;AN735)&amp;IF(AQ735="","",", "&amp;AQ735)&amp;IF(AT735="","",", "&amp;AT735)&amp;IF(AW735="","",", "&amp;AW735)&amp;IF(AZ735="","",", "&amp;AZ735),3,500)</f>
        <v/>
      </c>
      <c r="BH735" s="12" t="n"/>
      <c r="BI735" s="15">
        <f>IFERROR(MATCH($A735,IF($B735="Onsite",tbl_Onsite[Row ID],IF($B735="Production",tbl_Production[Row ID],tbl_Consulting[Row ID])),0),"")</f>
        <v/>
      </c>
    </row>
    <row r="736">
      <c r="A736" s="10" t="inlineStr">
        <is>
          <t>PRD-0230</t>
        </is>
      </c>
      <c r="B736" s="10" t="inlineStr">
        <is>
          <t>Production</t>
        </is>
      </c>
      <c r="C736" s="10">
        <f>IF($BI736="","",IF($B736="Onsite",INDEX(tbl_Onsite[Job Number],$BI736),IF($B736="Production",INDEX(tbl_Production[Job Number],$BI736),INDEX(tbl_Consulting[Job Number],$BI736)))&amp;"")</f>
        <v/>
      </c>
      <c r="D736" s="10">
        <f>IF($BI736="","",IF($B736="Onsite",INDEX(tbl_Onsite[Client],$BI736),IF($B736="Production",INDEX(tbl_Production[Client],$BI736),INDEX(tbl_Consulting[Client],$BI736)))&amp;"")</f>
        <v/>
      </c>
      <c r="E736" s="10">
        <f>IF($C736="","",IF(COUNTIF(lst_Jobs,$C736)&gt;0,"OK","CHECK"))</f>
        <v/>
      </c>
      <c r="F736" s="10">
        <f>IF($C736="","",IFERROR(INDEX(lst_JobName,MATCH($C736,lst_Jobs,0)),""))</f>
        <v/>
      </c>
      <c r="G736" s="10">
        <f>IF($BI736="","",IF($B736="Onsite",INDEX(tbl_Onsite[Job Description],$BI736),IF($B736="Production",INDEX(tbl_Production[Job Description],$BI736),INDEX(tbl_Consulting[Job Description],$BI736)))&amp;"")</f>
        <v/>
      </c>
      <c r="H736" s="10">
        <f>IF($BI736="","",IF($B736="Onsite",INDEX(tbl_Onsite[Cost Centre],$BI736),IF($B736="Production",INDEX(tbl_Production[Cost Centre],$BI736),INDEX(tbl_Consulting[Cost Centre],$BI736)))&amp;"")</f>
        <v/>
      </c>
      <c r="I736" s="10">
        <f>IF($BI736="","",IF($B736="Onsite",INDEX(tbl_Onsite[Invoice Type],$BI736),IF($B736="Production",INDEX(tbl_Production[Invoice Type],$BI736),INDEX(tbl_Consulting[Invoice Type],$BI736)))&amp;"")</f>
        <v/>
      </c>
      <c r="J736" s="10">
        <f>IF($BI736="","",IF($B736="Onsite",INDEX(tbl_Onsite[Tax Code],$BI736),IF($B736="Production",INDEX(tbl_Production[Tax Code],$BI736),INDEX(tbl_Consulting[Tax Code],$BI736)))&amp;"")</f>
        <v/>
      </c>
      <c r="K736" s="10">
        <f>IF(H736="","",IFERROR(INDEX(lst_CCtoGL,MATCH(H736,lst_CCforGL,0)),""))</f>
        <v/>
      </c>
      <c r="L736" s="10">
        <f>IF($BI736="","",IF($B736="Onsite",INDEX(tbl_Onsite[PO / Reference],$BI736),IF($B736="Production",INDEX(tbl_Production[Current RMS No],$BI736),INDEX(tbl_Consulting[Qwilr Quote],$BI736)))&amp;"")</f>
        <v/>
      </c>
      <c r="M736" s="10">
        <f>IF($BI736="","",IF($B736="Onsite",INDEX(tbl_Onsite[Notes],$BI736),IF($B736="Production",INDEX(tbl_Production[Notes],$BI736),INDEX(tbl_Consulting[Notes],$BI736)))&amp;"")</f>
        <v/>
      </c>
      <c r="N736" s="11">
        <f>IF($BI736="","",IF(IF($B736="Onsite",INDEX(tbl_Onsite[Expected Revenue Ex GST],$BI736),IF($B736="Production",INDEX(tbl_Production[Expected Revenue Ex GST],$BI736),INDEX(tbl_Consulting[Expected Revenue Ex GST],$BI736)))="","",IF($B736="Onsite",INDEX(tbl_Onsite[Expected Revenue Ex GST],$BI736),IF($B736="Production",INDEX(tbl_Production[Expected Revenue Ex GST],$BI736),INDEX(tbl_Consulting[Expected Revenue Ex GST],$BI736)))))</f>
        <v/>
      </c>
      <c r="O736" s="11">
        <f>IF(AND($C736="",NOT(COUNTA($S736:$BB736)&gt;0)),"",SUM(U736,X736,AA736,AD736,AG736,AJ736,AM736,AP736,AS736,AV736,AY736,BB736))</f>
        <v/>
      </c>
      <c r="P736" s="11">
        <f>IF(O736="","",N(N736)-O736)</f>
        <v/>
      </c>
      <c r="Q736" s="10">
        <f>IF(O736="","",IF($C736="","Invoice on empty job row",IF(N736="",IF(ROUND(O736,2)=0,"No dept value","Invoiced - no dept value"),IF(ROUND(O736,2)=0,"Not invoiced - to invoice",IF(ROUND(P736,2)=0,"Agrees",IF(P736&gt;0,"Dept higher - to invoice","Xero higher - check dept"))))))</f>
        <v/>
      </c>
      <c r="R736" s="10">
        <f>IF(AND($C736="",NOT(COUNTA($S736:$BB736)&gt;0),$BI736&lt;&gt;""),"",MID(IF($BI736="","; Row ID not found on the department sheet - a row was deleted","")&amp;IF(AND($C736="",COUNTA($S736:$BB736)&gt;0),"; Invoice entered but the department row has no job number","")&amp;IF(E736="CHECK","; Job number not in the Xero job list","")&amp;IF(AND($C736&lt;&gt;"",COUNTIF($C$7:$C$1506,$C736)&gt;1),"; Job number on more than one row","")&amp;IF(AND($C736&lt;&gt;"",H736=""),"; Dept has not set a cost centre","")&amp;IF(AND($C736&lt;&gt;"",J736=""),"; Dept has not set a tax code","")&amp;IF(AND($C736&lt;&gt;"",N736=""),"; Dept has not entered an expected value","")&amp;IF((IF(OR(COUNTA(S736:U736)=0,AND(COUNTA(S736:U736)=3,ISNUMBER(U736))),0,1)+IF(OR(COUNTA(V736:X736)=0,AND(COUNTA(V736:X736)=3,ISNUMBER(X736))),0,1)+IF(OR(COUNTA(Y736:AA736)=0,AND(COUNTA(Y736:AA736)=3,ISNUMBER(AA736))),0,1)+IF(OR(COUNTA(AB736:AD736)=0,AND(COUNTA(AB736:AD736)=3,ISNUMBER(AD736))),0,1)+IF(OR(COUNTA(AE736:AG736)=0,AND(COUNTA(AE736:AG736)=3,ISNUMBER(AG736))),0,1)+IF(OR(COUNTA(AH736:AJ736)=0,AND(COUNTA(AH736:AJ736)=3,ISNUMBER(AJ736))),0,1)+IF(OR(COUNTA(AK736:AM736)=0,AND(COUNTA(AK736:AM736)=3,ISNUMBER(AM736))),0,1)+IF(OR(COUNTA(AN736:AP736)=0,AND(COUNTA(AN736:AP736)=3,ISNUMBER(AP736))),0,1)+IF(OR(COUNTA(AQ736:AS736)=0,AND(COUNTA(AQ736:AS736)=3,ISNUMBER(AS736))),0,1)+IF(OR(COUNTA(AT736:AV736)=0,AND(COUNTA(AT736:AV736)=3,ISNUMBER(AV736))),0,1)+IF(OR(COUNTA(AW736:AY736)=0,AND(COUNTA(AW736:AY736)=3,ISNUMBER(AY736))),0,1)+IF(OR(COUNTA(AZ736:BB736)=0,AND(COUNTA(AZ736:BB736)=3,ISNUMBER(BB736))),0,1))&gt;0,"; An invoice is incomplete (needs No, Date and a number in Ex GST)","")&amp;IF((IF(T736="",0,IFERROR(--(EOMONTH(T736,0)&lt;&gt;S$5),1))+IF(W736="",0,IFERROR(--(EOMONTH(W736,0)&lt;&gt;V$5),1))+IF(Z736="",0,IFERROR(--(EOMONTH(Z736,0)&lt;&gt;Y$5),1))+IF(AC736="",0,IFERROR(--(EOMONTH(AC736,0)&lt;&gt;AB$5),1))+IF(AF736="",0,IFERROR(--(EOMONTH(AF736,0)&lt;&gt;AE$5),1))+IF(AI736="",0,IFERROR(--(EOMONTH(AI736,0)&lt;&gt;AH$5),1))+IF(AL736="",0,IFERROR(--(EOMONTH(AL736,0)&lt;&gt;AK$5),1))+IF(AO736="",0,IFERROR(--(EOMONTH(AO736,0)&lt;&gt;AN$5),1))+IF(AR736="",0,IFERROR(--(EOMONTH(AR736,0)&lt;&gt;AQ$5),1))+IF(AU736="",0,IFERROR(--(EOMONTH(AU736,0)&lt;&gt;AT$5),1))+IF(AX736="",0,IFERROR(--(EOMONTH(AX736,0)&lt;&gt;AW$5),1))+IF(BA736="",0,IFERROR(--(EOMONTH(BA736,0)&lt;&gt;AZ$5),1)))&gt;0,"; An invoice date is not in the month it is typed under",""),3,500))</f>
        <v/>
      </c>
      <c r="S736" s="12" t="n"/>
      <c r="T736" s="13" t="n"/>
      <c r="U736" s="14" t="n"/>
      <c r="V736" s="12" t="n"/>
      <c r="W736" s="13" t="n"/>
      <c r="X736" s="14" t="n"/>
      <c r="Y736" s="12" t="n"/>
      <c r="Z736" s="13" t="n"/>
      <c r="AA736" s="14" t="n"/>
      <c r="AB736" s="12" t="n"/>
      <c r="AC736" s="13" t="n"/>
      <c r="AD736" s="14" t="n"/>
      <c r="AE736" s="12" t="n"/>
      <c r="AF736" s="13" t="n"/>
      <c r="AG736" s="14" t="n"/>
      <c r="AH736" s="12" t="n"/>
      <c r="AI736" s="13" t="n"/>
      <c r="AJ736" s="14" t="n"/>
      <c r="AK736" s="12" t="n"/>
      <c r="AL736" s="13" t="n"/>
      <c r="AM736" s="14" t="n"/>
      <c r="AN736" s="12" t="n"/>
      <c r="AO736" s="13" t="n"/>
      <c r="AP736" s="14" t="n"/>
      <c r="AQ736" s="12" t="n"/>
      <c r="AR736" s="13" t="n"/>
      <c r="AS736" s="14" t="n"/>
      <c r="AT736" s="12" t="n"/>
      <c r="AU736" s="13" t="n"/>
      <c r="AV736" s="14" t="n"/>
      <c r="AW736" s="12" t="n"/>
      <c r="AX736" s="13" t="n"/>
      <c r="AY736" s="14" t="n"/>
      <c r="AZ736" s="12" t="n"/>
      <c r="BA736" s="13" t="n"/>
      <c r="BB736" s="14" t="n"/>
      <c r="BC736" s="11">
        <f>IF(O736="","",IF(J736="GST 10%",ROUND(O736*set_GSTRate,2),0))</f>
        <v/>
      </c>
      <c r="BD736" s="11">
        <f>IF(O736="","",O736+BC736)</f>
        <v/>
      </c>
      <c r="BE736" s="15">
        <f>IF(O736="","",COUNTA(S736,V736,Y736,AB736,AE736,AH736,AK736,AN736,AQ736,AT736,AW736,AZ736))</f>
        <v/>
      </c>
      <c r="BF736" s="16">
        <f>IF(COUNT(T736,W736,Z736,AC736,AF736,AI736,AL736,AO736,AR736,AU736,AX736,BA736)=0,"",MAX(T736,W736,Z736,AC736,AF736,AI736,AL736,AO736,AR736,AU736,AX736,BA736))</f>
        <v/>
      </c>
      <c r="BG736" s="10">
        <f>MID(IF(S736="","",", "&amp;S736)&amp;IF(V736="","",", "&amp;V736)&amp;IF(Y736="","",", "&amp;Y736)&amp;IF(AB736="","",", "&amp;AB736)&amp;IF(AE736="","",", "&amp;AE736)&amp;IF(AH736="","",", "&amp;AH736)&amp;IF(AK736="","",", "&amp;AK736)&amp;IF(AN736="","",", "&amp;AN736)&amp;IF(AQ736="","",", "&amp;AQ736)&amp;IF(AT736="","",", "&amp;AT736)&amp;IF(AW736="","",", "&amp;AW736)&amp;IF(AZ736="","",", "&amp;AZ736),3,500)</f>
        <v/>
      </c>
      <c r="BH736" s="12" t="n"/>
      <c r="BI736" s="15">
        <f>IFERROR(MATCH($A736,IF($B736="Onsite",tbl_Onsite[Row ID],IF($B736="Production",tbl_Production[Row ID],tbl_Consulting[Row ID])),0),"")</f>
        <v/>
      </c>
    </row>
    <row r="737">
      <c r="A737" s="10" t="inlineStr">
        <is>
          <t>PRD-0231</t>
        </is>
      </c>
      <c r="B737" s="10" t="inlineStr">
        <is>
          <t>Production</t>
        </is>
      </c>
      <c r="C737" s="10">
        <f>IF($BI737="","",IF($B737="Onsite",INDEX(tbl_Onsite[Job Number],$BI737),IF($B737="Production",INDEX(tbl_Production[Job Number],$BI737),INDEX(tbl_Consulting[Job Number],$BI737)))&amp;"")</f>
        <v/>
      </c>
      <c r="D737" s="10">
        <f>IF($BI737="","",IF($B737="Onsite",INDEX(tbl_Onsite[Client],$BI737),IF($B737="Production",INDEX(tbl_Production[Client],$BI737),INDEX(tbl_Consulting[Client],$BI737)))&amp;"")</f>
        <v/>
      </c>
      <c r="E737" s="10">
        <f>IF($C737="","",IF(COUNTIF(lst_Jobs,$C737)&gt;0,"OK","CHECK"))</f>
        <v/>
      </c>
      <c r="F737" s="10">
        <f>IF($C737="","",IFERROR(INDEX(lst_JobName,MATCH($C737,lst_Jobs,0)),""))</f>
        <v/>
      </c>
      <c r="G737" s="10">
        <f>IF($BI737="","",IF($B737="Onsite",INDEX(tbl_Onsite[Job Description],$BI737),IF($B737="Production",INDEX(tbl_Production[Job Description],$BI737),INDEX(tbl_Consulting[Job Description],$BI737)))&amp;"")</f>
        <v/>
      </c>
      <c r="H737" s="10">
        <f>IF($BI737="","",IF($B737="Onsite",INDEX(tbl_Onsite[Cost Centre],$BI737),IF($B737="Production",INDEX(tbl_Production[Cost Centre],$BI737),INDEX(tbl_Consulting[Cost Centre],$BI737)))&amp;"")</f>
        <v/>
      </c>
      <c r="I737" s="10">
        <f>IF($BI737="","",IF($B737="Onsite",INDEX(tbl_Onsite[Invoice Type],$BI737),IF($B737="Production",INDEX(tbl_Production[Invoice Type],$BI737),INDEX(tbl_Consulting[Invoice Type],$BI737)))&amp;"")</f>
        <v/>
      </c>
      <c r="J737" s="10">
        <f>IF($BI737="","",IF($B737="Onsite",INDEX(tbl_Onsite[Tax Code],$BI737),IF($B737="Production",INDEX(tbl_Production[Tax Code],$BI737),INDEX(tbl_Consulting[Tax Code],$BI737)))&amp;"")</f>
        <v/>
      </c>
      <c r="K737" s="10">
        <f>IF(H737="","",IFERROR(INDEX(lst_CCtoGL,MATCH(H737,lst_CCforGL,0)),""))</f>
        <v/>
      </c>
      <c r="L737" s="10">
        <f>IF($BI737="","",IF($B737="Onsite",INDEX(tbl_Onsite[PO / Reference],$BI737),IF($B737="Production",INDEX(tbl_Production[Current RMS No],$BI737),INDEX(tbl_Consulting[Qwilr Quote],$BI737)))&amp;"")</f>
        <v/>
      </c>
      <c r="M737" s="10">
        <f>IF($BI737="","",IF($B737="Onsite",INDEX(tbl_Onsite[Notes],$BI737),IF($B737="Production",INDEX(tbl_Production[Notes],$BI737),INDEX(tbl_Consulting[Notes],$BI737)))&amp;"")</f>
        <v/>
      </c>
      <c r="N737" s="11">
        <f>IF($BI737="","",IF(IF($B737="Onsite",INDEX(tbl_Onsite[Expected Revenue Ex GST],$BI737),IF($B737="Production",INDEX(tbl_Production[Expected Revenue Ex GST],$BI737),INDEX(tbl_Consulting[Expected Revenue Ex GST],$BI737)))="","",IF($B737="Onsite",INDEX(tbl_Onsite[Expected Revenue Ex GST],$BI737),IF($B737="Production",INDEX(tbl_Production[Expected Revenue Ex GST],$BI737),INDEX(tbl_Consulting[Expected Revenue Ex GST],$BI737)))))</f>
        <v/>
      </c>
      <c r="O737" s="11">
        <f>IF(AND($C737="",NOT(COUNTA($S737:$BB737)&gt;0)),"",SUM(U737,X737,AA737,AD737,AG737,AJ737,AM737,AP737,AS737,AV737,AY737,BB737))</f>
        <v/>
      </c>
      <c r="P737" s="11">
        <f>IF(O737="","",N(N737)-O737)</f>
        <v/>
      </c>
      <c r="Q737" s="10">
        <f>IF(O737="","",IF($C737="","Invoice on empty job row",IF(N737="",IF(ROUND(O737,2)=0,"No dept value","Invoiced - no dept value"),IF(ROUND(O737,2)=0,"Not invoiced - to invoice",IF(ROUND(P737,2)=0,"Agrees",IF(P737&gt;0,"Dept higher - to invoice","Xero higher - check dept"))))))</f>
        <v/>
      </c>
      <c r="R737" s="10">
        <f>IF(AND($C737="",NOT(COUNTA($S737:$BB737)&gt;0),$BI737&lt;&gt;""),"",MID(IF($BI737="","; Row ID not found on the department sheet - a row was deleted","")&amp;IF(AND($C737="",COUNTA($S737:$BB737)&gt;0),"; Invoice entered but the department row has no job number","")&amp;IF(E737="CHECK","; Job number not in the Xero job list","")&amp;IF(AND($C737&lt;&gt;"",COUNTIF($C$7:$C$1506,$C737)&gt;1),"; Job number on more than one row","")&amp;IF(AND($C737&lt;&gt;"",H737=""),"; Dept has not set a cost centre","")&amp;IF(AND($C737&lt;&gt;"",J737=""),"; Dept has not set a tax code","")&amp;IF(AND($C737&lt;&gt;"",N737=""),"; Dept has not entered an expected value","")&amp;IF((IF(OR(COUNTA(S737:U737)=0,AND(COUNTA(S737:U737)=3,ISNUMBER(U737))),0,1)+IF(OR(COUNTA(V737:X737)=0,AND(COUNTA(V737:X737)=3,ISNUMBER(X737))),0,1)+IF(OR(COUNTA(Y737:AA737)=0,AND(COUNTA(Y737:AA737)=3,ISNUMBER(AA737))),0,1)+IF(OR(COUNTA(AB737:AD737)=0,AND(COUNTA(AB737:AD737)=3,ISNUMBER(AD737))),0,1)+IF(OR(COUNTA(AE737:AG737)=0,AND(COUNTA(AE737:AG737)=3,ISNUMBER(AG737))),0,1)+IF(OR(COUNTA(AH737:AJ737)=0,AND(COUNTA(AH737:AJ737)=3,ISNUMBER(AJ737))),0,1)+IF(OR(COUNTA(AK737:AM737)=0,AND(COUNTA(AK737:AM737)=3,ISNUMBER(AM737))),0,1)+IF(OR(COUNTA(AN737:AP737)=0,AND(COUNTA(AN737:AP737)=3,ISNUMBER(AP737))),0,1)+IF(OR(COUNTA(AQ737:AS737)=0,AND(COUNTA(AQ737:AS737)=3,ISNUMBER(AS737))),0,1)+IF(OR(COUNTA(AT737:AV737)=0,AND(COUNTA(AT737:AV737)=3,ISNUMBER(AV737))),0,1)+IF(OR(COUNTA(AW737:AY737)=0,AND(COUNTA(AW737:AY737)=3,ISNUMBER(AY737))),0,1)+IF(OR(COUNTA(AZ737:BB737)=0,AND(COUNTA(AZ737:BB737)=3,ISNUMBER(BB737))),0,1))&gt;0,"; An invoice is incomplete (needs No, Date and a number in Ex GST)","")&amp;IF((IF(T737="",0,IFERROR(--(EOMONTH(T737,0)&lt;&gt;S$5),1))+IF(W737="",0,IFERROR(--(EOMONTH(W737,0)&lt;&gt;V$5),1))+IF(Z737="",0,IFERROR(--(EOMONTH(Z737,0)&lt;&gt;Y$5),1))+IF(AC737="",0,IFERROR(--(EOMONTH(AC737,0)&lt;&gt;AB$5),1))+IF(AF737="",0,IFERROR(--(EOMONTH(AF737,0)&lt;&gt;AE$5),1))+IF(AI737="",0,IFERROR(--(EOMONTH(AI737,0)&lt;&gt;AH$5),1))+IF(AL737="",0,IFERROR(--(EOMONTH(AL737,0)&lt;&gt;AK$5),1))+IF(AO737="",0,IFERROR(--(EOMONTH(AO737,0)&lt;&gt;AN$5),1))+IF(AR737="",0,IFERROR(--(EOMONTH(AR737,0)&lt;&gt;AQ$5),1))+IF(AU737="",0,IFERROR(--(EOMONTH(AU737,0)&lt;&gt;AT$5),1))+IF(AX737="",0,IFERROR(--(EOMONTH(AX737,0)&lt;&gt;AW$5),1))+IF(BA737="",0,IFERROR(--(EOMONTH(BA737,0)&lt;&gt;AZ$5),1)))&gt;0,"; An invoice date is not in the month it is typed under",""),3,500))</f>
        <v/>
      </c>
      <c r="S737" s="12" t="n"/>
      <c r="T737" s="13" t="n"/>
      <c r="U737" s="14" t="n"/>
      <c r="V737" s="12" t="n"/>
      <c r="W737" s="13" t="n"/>
      <c r="X737" s="14" t="n"/>
      <c r="Y737" s="12" t="n"/>
      <c r="Z737" s="13" t="n"/>
      <c r="AA737" s="14" t="n"/>
      <c r="AB737" s="12" t="n"/>
      <c r="AC737" s="13" t="n"/>
      <c r="AD737" s="14" t="n"/>
      <c r="AE737" s="12" t="n"/>
      <c r="AF737" s="13" t="n"/>
      <c r="AG737" s="14" t="n"/>
      <c r="AH737" s="12" t="n"/>
      <c r="AI737" s="13" t="n"/>
      <c r="AJ737" s="14" t="n"/>
      <c r="AK737" s="12" t="n"/>
      <c r="AL737" s="13" t="n"/>
      <c r="AM737" s="14" t="n"/>
      <c r="AN737" s="12" t="n"/>
      <c r="AO737" s="13" t="n"/>
      <c r="AP737" s="14" t="n"/>
      <c r="AQ737" s="12" t="n"/>
      <c r="AR737" s="13" t="n"/>
      <c r="AS737" s="14" t="n"/>
      <c r="AT737" s="12" t="n"/>
      <c r="AU737" s="13" t="n"/>
      <c r="AV737" s="14" t="n"/>
      <c r="AW737" s="12" t="n"/>
      <c r="AX737" s="13" t="n"/>
      <c r="AY737" s="14" t="n"/>
      <c r="AZ737" s="12" t="n"/>
      <c r="BA737" s="13" t="n"/>
      <c r="BB737" s="14" t="n"/>
      <c r="BC737" s="11">
        <f>IF(O737="","",IF(J737="GST 10%",ROUND(O737*set_GSTRate,2),0))</f>
        <v/>
      </c>
      <c r="BD737" s="11">
        <f>IF(O737="","",O737+BC737)</f>
        <v/>
      </c>
      <c r="BE737" s="15">
        <f>IF(O737="","",COUNTA(S737,V737,Y737,AB737,AE737,AH737,AK737,AN737,AQ737,AT737,AW737,AZ737))</f>
        <v/>
      </c>
      <c r="BF737" s="16">
        <f>IF(COUNT(T737,W737,Z737,AC737,AF737,AI737,AL737,AO737,AR737,AU737,AX737,BA737)=0,"",MAX(T737,W737,Z737,AC737,AF737,AI737,AL737,AO737,AR737,AU737,AX737,BA737))</f>
        <v/>
      </c>
      <c r="BG737" s="10">
        <f>MID(IF(S737="","",", "&amp;S737)&amp;IF(V737="","",", "&amp;V737)&amp;IF(Y737="","",", "&amp;Y737)&amp;IF(AB737="","",", "&amp;AB737)&amp;IF(AE737="","",", "&amp;AE737)&amp;IF(AH737="","",", "&amp;AH737)&amp;IF(AK737="","",", "&amp;AK737)&amp;IF(AN737="","",", "&amp;AN737)&amp;IF(AQ737="","",", "&amp;AQ737)&amp;IF(AT737="","",", "&amp;AT737)&amp;IF(AW737="","",", "&amp;AW737)&amp;IF(AZ737="","",", "&amp;AZ737),3,500)</f>
        <v/>
      </c>
      <c r="BH737" s="12" t="n"/>
      <c r="BI737" s="15">
        <f>IFERROR(MATCH($A737,IF($B737="Onsite",tbl_Onsite[Row ID],IF($B737="Production",tbl_Production[Row ID],tbl_Consulting[Row ID])),0),"")</f>
        <v/>
      </c>
    </row>
    <row r="738">
      <c r="A738" s="10" t="inlineStr">
        <is>
          <t>PRD-0232</t>
        </is>
      </c>
      <c r="B738" s="10" t="inlineStr">
        <is>
          <t>Production</t>
        </is>
      </c>
      <c r="C738" s="10">
        <f>IF($BI738="","",IF($B738="Onsite",INDEX(tbl_Onsite[Job Number],$BI738),IF($B738="Production",INDEX(tbl_Production[Job Number],$BI738),INDEX(tbl_Consulting[Job Number],$BI738)))&amp;"")</f>
        <v/>
      </c>
      <c r="D738" s="10">
        <f>IF($BI738="","",IF($B738="Onsite",INDEX(tbl_Onsite[Client],$BI738),IF($B738="Production",INDEX(tbl_Production[Client],$BI738),INDEX(tbl_Consulting[Client],$BI738)))&amp;"")</f>
        <v/>
      </c>
      <c r="E738" s="10">
        <f>IF($C738="","",IF(COUNTIF(lst_Jobs,$C738)&gt;0,"OK","CHECK"))</f>
        <v/>
      </c>
      <c r="F738" s="10">
        <f>IF($C738="","",IFERROR(INDEX(lst_JobName,MATCH($C738,lst_Jobs,0)),""))</f>
        <v/>
      </c>
      <c r="G738" s="10">
        <f>IF($BI738="","",IF($B738="Onsite",INDEX(tbl_Onsite[Job Description],$BI738),IF($B738="Production",INDEX(tbl_Production[Job Description],$BI738),INDEX(tbl_Consulting[Job Description],$BI738)))&amp;"")</f>
        <v/>
      </c>
      <c r="H738" s="10">
        <f>IF($BI738="","",IF($B738="Onsite",INDEX(tbl_Onsite[Cost Centre],$BI738),IF($B738="Production",INDEX(tbl_Production[Cost Centre],$BI738),INDEX(tbl_Consulting[Cost Centre],$BI738)))&amp;"")</f>
        <v/>
      </c>
      <c r="I738" s="10">
        <f>IF($BI738="","",IF($B738="Onsite",INDEX(tbl_Onsite[Invoice Type],$BI738),IF($B738="Production",INDEX(tbl_Production[Invoice Type],$BI738),INDEX(tbl_Consulting[Invoice Type],$BI738)))&amp;"")</f>
        <v/>
      </c>
      <c r="J738" s="10">
        <f>IF($BI738="","",IF($B738="Onsite",INDEX(tbl_Onsite[Tax Code],$BI738),IF($B738="Production",INDEX(tbl_Production[Tax Code],$BI738),INDEX(tbl_Consulting[Tax Code],$BI738)))&amp;"")</f>
        <v/>
      </c>
      <c r="K738" s="10">
        <f>IF(H738="","",IFERROR(INDEX(lst_CCtoGL,MATCH(H738,lst_CCforGL,0)),""))</f>
        <v/>
      </c>
      <c r="L738" s="10">
        <f>IF($BI738="","",IF($B738="Onsite",INDEX(tbl_Onsite[PO / Reference],$BI738),IF($B738="Production",INDEX(tbl_Production[Current RMS No],$BI738),INDEX(tbl_Consulting[Qwilr Quote],$BI738)))&amp;"")</f>
        <v/>
      </c>
      <c r="M738" s="10">
        <f>IF($BI738="","",IF($B738="Onsite",INDEX(tbl_Onsite[Notes],$BI738),IF($B738="Production",INDEX(tbl_Production[Notes],$BI738),INDEX(tbl_Consulting[Notes],$BI738)))&amp;"")</f>
        <v/>
      </c>
      <c r="N738" s="11">
        <f>IF($BI738="","",IF(IF($B738="Onsite",INDEX(tbl_Onsite[Expected Revenue Ex GST],$BI738),IF($B738="Production",INDEX(tbl_Production[Expected Revenue Ex GST],$BI738),INDEX(tbl_Consulting[Expected Revenue Ex GST],$BI738)))="","",IF($B738="Onsite",INDEX(tbl_Onsite[Expected Revenue Ex GST],$BI738),IF($B738="Production",INDEX(tbl_Production[Expected Revenue Ex GST],$BI738),INDEX(tbl_Consulting[Expected Revenue Ex GST],$BI738)))))</f>
        <v/>
      </c>
      <c r="O738" s="11">
        <f>IF(AND($C738="",NOT(COUNTA($S738:$BB738)&gt;0)),"",SUM(U738,X738,AA738,AD738,AG738,AJ738,AM738,AP738,AS738,AV738,AY738,BB738))</f>
        <v/>
      </c>
      <c r="P738" s="11">
        <f>IF(O738="","",N(N738)-O738)</f>
        <v/>
      </c>
      <c r="Q738" s="10">
        <f>IF(O738="","",IF($C738="","Invoice on empty job row",IF(N738="",IF(ROUND(O738,2)=0,"No dept value","Invoiced - no dept value"),IF(ROUND(O738,2)=0,"Not invoiced - to invoice",IF(ROUND(P738,2)=0,"Agrees",IF(P738&gt;0,"Dept higher - to invoice","Xero higher - check dept"))))))</f>
        <v/>
      </c>
      <c r="R738" s="10">
        <f>IF(AND($C738="",NOT(COUNTA($S738:$BB738)&gt;0),$BI738&lt;&gt;""),"",MID(IF($BI738="","; Row ID not found on the department sheet - a row was deleted","")&amp;IF(AND($C738="",COUNTA($S738:$BB738)&gt;0),"; Invoice entered but the department row has no job number","")&amp;IF(E738="CHECK","; Job number not in the Xero job list","")&amp;IF(AND($C738&lt;&gt;"",COUNTIF($C$7:$C$1506,$C738)&gt;1),"; Job number on more than one row","")&amp;IF(AND($C738&lt;&gt;"",H738=""),"; Dept has not set a cost centre","")&amp;IF(AND($C738&lt;&gt;"",J738=""),"; Dept has not set a tax code","")&amp;IF(AND($C738&lt;&gt;"",N738=""),"; Dept has not entered an expected value","")&amp;IF((IF(OR(COUNTA(S738:U738)=0,AND(COUNTA(S738:U738)=3,ISNUMBER(U738))),0,1)+IF(OR(COUNTA(V738:X738)=0,AND(COUNTA(V738:X738)=3,ISNUMBER(X738))),0,1)+IF(OR(COUNTA(Y738:AA738)=0,AND(COUNTA(Y738:AA738)=3,ISNUMBER(AA738))),0,1)+IF(OR(COUNTA(AB738:AD738)=0,AND(COUNTA(AB738:AD738)=3,ISNUMBER(AD738))),0,1)+IF(OR(COUNTA(AE738:AG738)=0,AND(COUNTA(AE738:AG738)=3,ISNUMBER(AG738))),0,1)+IF(OR(COUNTA(AH738:AJ738)=0,AND(COUNTA(AH738:AJ738)=3,ISNUMBER(AJ738))),0,1)+IF(OR(COUNTA(AK738:AM738)=0,AND(COUNTA(AK738:AM738)=3,ISNUMBER(AM738))),0,1)+IF(OR(COUNTA(AN738:AP738)=0,AND(COUNTA(AN738:AP738)=3,ISNUMBER(AP738))),0,1)+IF(OR(COUNTA(AQ738:AS738)=0,AND(COUNTA(AQ738:AS738)=3,ISNUMBER(AS738))),0,1)+IF(OR(COUNTA(AT738:AV738)=0,AND(COUNTA(AT738:AV738)=3,ISNUMBER(AV738))),0,1)+IF(OR(COUNTA(AW738:AY738)=0,AND(COUNTA(AW738:AY738)=3,ISNUMBER(AY738))),0,1)+IF(OR(COUNTA(AZ738:BB738)=0,AND(COUNTA(AZ738:BB738)=3,ISNUMBER(BB738))),0,1))&gt;0,"; An invoice is incomplete (needs No, Date and a number in Ex GST)","")&amp;IF((IF(T738="",0,IFERROR(--(EOMONTH(T738,0)&lt;&gt;S$5),1))+IF(W738="",0,IFERROR(--(EOMONTH(W738,0)&lt;&gt;V$5),1))+IF(Z738="",0,IFERROR(--(EOMONTH(Z738,0)&lt;&gt;Y$5),1))+IF(AC738="",0,IFERROR(--(EOMONTH(AC738,0)&lt;&gt;AB$5),1))+IF(AF738="",0,IFERROR(--(EOMONTH(AF738,0)&lt;&gt;AE$5),1))+IF(AI738="",0,IFERROR(--(EOMONTH(AI738,0)&lt;&gt;AH$5),1))+IF(AL738="",0,IFERROR(--(EOMONTH(AL738,0)&lt;&gt;AK$5),1))+IF(AO738="",0,IFERROR(--(EOMONTH(AO738,0)&lt;&gt;AN$5),1))+IF(AR738="",0,IFERROR(--(EOMONTH(AR738,0)&lt;&gt;AQ$5),1))+IF(AU738="",0,IFERROR(--(EOMONTH(AU738,0)&lt;&gt;AT$5),1))+IF(AX738="",0,IFERROR(--(EOMONTH(AX738,0)&lt;&gt;AW$5),1))+IF(BA738="",0,IFERROR(--(EOMONTH(BA738,0)&lt;&gt;AZ$5),1)))&gt;0,"; An invoice date is not in the month it is typed under",""),3,500))</f>
        <v/>
      </c>
      <c r="S738" s="12" t="n"/>
      <c r="T738" s="13" t="n"/>
      <c r="U738" s="14" t="n"/>
      <c r="V738" s="12" t="n"/>
      <c r="W738" s="13" t="n"/>
      <c r="X738" s="14" t="n"/>
      <c r="Y738" s="12" t="n"/>
      <c r="Z738" s="13" t="n"/>
      <c r="AA738" s="14" t="n"/>
      <c r="AB738" s="12" t="n"/>
      <c r="AC738" s="13" t="n"/>
      <c r="AD738" s="14" t="n"/>
      <c r="AE738" s="12" t="n"/>
      <c r="AF738" s="13" t="n"/>
      <c r="AG738" s="14" t="n"/>
      <c r="AH738" s="12" t="n"/>
      <c r="AI738" s="13" t="n"/>
      <c r="AJ738" s="14" t="n"/>
      <c r="AK738" s="12" t="n"/>
      <c r="AL738" s="13" t="n"/>
      <c r="AM738" s="14" t="n"/>
      <c r="AN738" s="12" t="n"/>
      <c r="AO738" s="13" t="n"/>
      <c r="AP738" s="14" t="n"/>
      <c r="AQ738" s="12" t="n"/>
      <c r="AR738" s="13" t="n"/>
      <c r="AS738" s="14" t="n"/>
      <c r="AT738" s="12" t="n"/>
      <c r="AU738" s="13" t="n"/>
      <c r="AV738" s="14" t="n"/>
      <c r="AW738" s="12" t="n"/>
      <c r="AX738" s="13" t="n"/>
      <c r="AY738" s="14" t="n"/>
      <c r="AZ738" s="12" t="n"/>
      <c r="BA738" s="13" t="n"/>
      <c r="BB738" s="14" t="n"/>
      <c r="BC738" s="11">
        <f>IF(O738="","",IF(J738="GST 10%",ROUND(O738*set_GSTRate,2),0))</f>
        <v/>
      </c>
      <c r="BD738" s="11">
        <f>IF(O738="","",O738+BC738)</f>
        <v/>
      </c>
      <c r="BE738" s="15">
        <f>IF(O738="","",COUNTA(S738,V738,Y738,AB738,AE738,AH738,AK738,AN738,AQ738,AT738,AW738,AZ738))</f>
        <v/>
      </c>
      <c r="BF738" s="16">
        <f>IF(COUNT(T738,W738,Z738,AC738,AF738,AI738,AL738,AO738,AR738,AU738,AX738,BA738)=0,"",MAX(T738,W738,Z738,AC738,AF738,AI738,AL738,AO738,AR738,AU738,AX738,BA738))</f>
        <v/>
      </c>
      <c r="BG738" s="10">
        <f>MID(IF(S738="","",", "&amp;S738)&amp;IF(V738="","",", "&amp;V738)&amp;IF(Y738="","",", "&amp;Y738)&amp;IF(AB738="","",", "&amp;AB738)&amp;IF(AE738="","",", "&amp;AE738)&amp;IF(AH738="","",", "&amp;AH738)&amp;IF(AK738="","",", "&amp;AK738)&amp;IF(AN738="","",", "&amp;AN738)&amp;IF(AQ738="","",", "&amp;AQ738)&amp;IF(AT738="","",", "&amp;AT738)&amp;IF(AW738="","",", "&amp;AW738)&amp;IF(AZ738="","",", "&amp;AZ738),3,500)</f>
        <v/>
      </c>
      <c r="BH738" s="12" t="n"/>
      <c r="BI738" s="15">
        <f>IFERROR(MATCH($A738,IF($B738="Onsite",tbl_Onsite[Row ID],IF($B738="Production",tbl_Production[Row ID],tbl_Consulting[Row ID])),0),"")</f>
        <v/>
      </c>
    </row>
    <row r="739">
      <c r="A739" s="10" t="inlineStr">
        <is>
          <t>PRD-0233</t>
        </is>
      </c>
      <c r="B739" s="10" t="inlineStr">
        <is>
          <t>Production</t>
        </is>
      </c>
      <c r="C739" s="10">
        <f>IF($BI739="","",IF($B739="Onsite",INDEX(tbl_Onsite[Job Number],$BI739),IF($B739="Production",INDEX(tbl_Production[Job Number],$BI739),INDEX(tbl_Consulting[Job Number],$BI739)))&amp;"")</f>
        <v/>
      </c>
      <c r="D739" s="10">
        <f>IF($BI739="","",IF($B739="Onsite",INDEX(tbl_Onsite[Client],$BI739),IF($B739="Production",INDEX(tbl_Production[Client],$BI739),INDEX(tbl_Consulting[Client],$BI739)))&amp;"")</f>
        <v/>
      </c>
      <c r="E739" s="10">
        <f>IF($C739="","",IF(COUNTIF(lst_Jobs,$C739)&gt;0,"OK","CHECK"))</f>
        <v/>
      </c>
      <c r="F739" s="10">
        <f>IF($C739="","",IFERROR(INDEX(lst_JobName,MATCH($C739,lst_Jobs,0)),""))</f>
        <v/>
      </c>
      <c r="G739" s="10">
        <f>IF($BI739="","",IF($B739="Onsite",INDEX(tbl_Onsite[Job Description],$BI739),IF($B739="Production",INDEX(tbl_Production[Job Description],$BI739),INDEX(tbl_Consulting[Job Description],$BI739)))&amp;"")</f>
        <v/>
      </c>
      <c r="H739" s="10">
        <f>IF($BI739="","",IF($B739="Onsite",INDEX(tbl_Onsite[Cost Centre],$BI739),IF($B739="Production",INDEX(tbl_Production[Cost Centre],$BI739),INDEX(tbl_Consulting[Cost Centre],$BI739)))&amp;"")</f>
        <v/>
      </c>
      <c r="I739" s="10">
        <f>IF($BI739="","",IF($B739="Onsite",INDEX(tbl_Onsite[Invoice Type],$BI739),IF($B739="Production",INDEX(tbl_Production[Invoice Type],$BI739),INDEX(tbl_Consulting[Invoice Type],$BI739)))&amp;"")</f>
        <v/>
      </c>
      <c r="J739" s="10">
        <f>IF($BI739="","",IF($B739="Onsite",INDEX(tbl_Onsite[Tax Code],$BI739),IF($B739="Production",INDEX(tbl_Production[Tax Code],$BI739),INDEX(tbl_Consulting[Tax Code],$BI739)))&amp;"")</f>
        <v/>
      </c>
      <c r="K739" s="10">
        <f>IF(H739="","",IFERROR(INDEX(lst_CCtoGL,MATCH(H739,lst_CCforGL,0)),""))</f>
        <v/>
      </c>
      <c r="L739" s="10">
        <f>IF($BI739="","",IF($B739="Onsite",INDEX(tbl_Onsite[PO / Reference],$BI739),IF($B739="Production",INDEX(tbl_Production[Current RMS No],$BI739),INDEX(tbl_Consulting[Qwilr Quote],$BI739)))&amp;"")</f>
        <v/>
      </c>
      <c r="M739" s="10">
        <f>IF($BI739="","",IF($B739="Onsite",INDEX(tbl_Onsite[Notes],$BI739),IF($B739="Production",INDEX(tbl_Production[Notes],$BI739),INDEX(tbl_Consulting[Notes],$BI739)))&amp;"")</f>
        <v/>
      </c>
      <c r="N739" s="11">
        <f>IF($BI739="","",IF(IF($B739="Onsite",INDEX(tbl_Onsite[Expected Revenue Ex GST],$BI739),IF($B739="Production",INDEX(tbl_Production[Expected Revenue Ex GST],$BI739),INDEX(tbl_Consulting[Expected Revenue Ex GST],$BI739)))="","",IF($B739="Onsite",INDEX(tbl_Onsite[Expected Revenue Ex GST],$BI739),IF($B739="Production",INDEX(tbl_Production[Expected Revenue Ex GST],$BI739),INDEX(tbl_Consulting[Expected Revenue Ex GST],$BI739)))))</f>
        <v/>
      </c>
      <c r="O739" s="11">
        <f>IF(AND($C739="",NOT(COUNTA($S739:$BB739)&gt;0)),"",SUM(U739,X739,AA739,AD739,AG739,AJ739,AM739,AP739,AS739,AV739,AY739,BB739))</f>
        <v/>
      </c>
      <c r="P739" s="11">
        <f>IF(O739="","",N(N739)-O739)</f>
        <v/>
      </c>
      <c r="Q739" s="10">
        <f>IF(O739="","",IF($C739="","Invoice on empty job row",IF(N739="",IF(ROUND(O739,2)=0,"No dept value","Invoiced - no dept value"),IF(ROUND(O739,2)=0,"Not invoiced - to invoice",IF(ROUND(P739,2)=0,"Agrees",IF(P739&gt;0,"Dept higher - to invoice","Xero higher - check dept"))))))</f>
        <v/>
      </c>
      <c r="R739" s="10">
        <f>IF(AND($C739="",NOT(COUNTA($S739:$BB739)&gt;0),$BI739&lt;&gt;""),"",MID(IF($BI739="","; Row ID not found on the department sheet - a row was deleted","")&amp;IF(AND($C739="",COUNTA($S739:$BB739)&gt;0),"; Invoice entered but the department row has no job number","")&amp;IF(E739="CHECK","; Job number not in the Xero job list","")&amp;IF(AND($C739&lt;&gt;"",COUNTIF($C$7:$C$1506,$C739)&gt;1),"; Job number on more than one row","")&amp;IF(AND($C739&lt;&gt;"",H739=""),"; Dept has not set a cost centre","")&amp;IF(AND($C739&lt;&gt;"",J739=""),"; Dept has not set a tax code","")&amp;IF(AND($C739&lt;&gt;"",N739=""),"; Dept has not entered an expected value","")&amp;IF((IF(OR(COUNTA(S739:U739)=0,AND(COUNTA(S739:U739)=3,ISNUMBER(U739))),0,1)+IF(OR(COUNTA(V739:X739)=0,AND(COUNTA(V739:X739)=3,ISNUMBER(X739))),0,1)+IF(OR(COUNTA(Y739:AA739)=0,AND(COUNTA(Y739:AA739)=3,ISNUMBER(AA739))),0,1)+IF(OR(COUNTA(AB739:AD739)=0,AND(COUNTA(AB739:AD739)=3,ISNUMBER(AD739))),0,1)+IF(OR(COUNTA(AE739:AG739)=0,AND(COUNTA(AE739:AG739)=3,ISNUMBER(AG739))),0,1)+IF(OR(COUNTA(AH739:AJ739)=0,AND(COUNTA(AH739:AJ739)=3,ISNUMBER(AJ739))),0,1)+IF(OR(COUNTA(AK739:AM739)=0,AND(COUNTA(AK739:AM739)=3,ISNUMBER(AM739))),0,1)+IF(OR(COUNTA(AN739:AP739)=0,AND(COUNTA(AN739:AP739)=3,ISNUMBER(AP739))),0,1)+IF(OR(COUNTA(AQ739:AS739)=0,AND(COUNTA(AQ739:AS739)=3,ISNUMBER(AS739))),0,1)+IF(OR(COUNTA(AT739:AV739)=0,AND(COUNTA(AT739:AV739)=3,ISNUMBER(AV739))),0,1)+IF(OR(COUNTA(AW739:AY739)=0,AND(COUNTA(AW739:AY739)=3,ISNUMBER(AY739))),0,1)+IF(OR(COUNTA(AZ739:BB739)=0,AND(COUNTA(AZ739:BB739)=3,ISNUMBER(BB739))),0,1))&gt;0,"; An invoice is incomplete (needs No, Date and a number in Ex GST)","")&amp;IF((IF(T739="",0,IFERROR(--(EOMONTH(T739,0)&lt;&gt;S$5),1))+IF(W739="",0,IFERROR(--(EOMONTH(W739,0)&lt;&gt;V$5),1))+IF(Z739="",0,IFERROR(--(EOMONTH(Z739,0)&lt;&gt;Y$5),1))+IF(AC739="",0,IFERROR(--(EOMONTH(AC739,0)&lt;&gt;AB$5),1))+IF(AF739="",0,IFERROR(--(EOMONTH(AF739,0)&lt;&gt;AE$5),1))+IF(AI739="",0,IFERROR(--(EOMONTH(AI739,0)&lt;&gt;AH$5),1))+IF(AL739="",0,IFERROR(--(EOMONTH(AL739,0)&lt;&gt;AK$5),1))+IF(AO739="",0,IFERROR(--(EOMONTH(AO739,0)&lt;&gt;AN$5),1))+IF(AR739="",0,IFERROR(--(EOMONTH(AR739,0)&lt;&gt;AQ$5),1))+IF(AU739="",0,IFERROR(--(EOMONTH(AU739,0)&lt;&gt;AT$5),1))+IF(AX739="",0,IFERROR(--(EOMONTH(AX739,0)&lt;&gt;AW$5),1))+IF(BA739="",0,IFERROR(--(EOMONTH(BA739,0)&lt;&gt;AZ$5),1)))&gt;0,"; An invoice date is not in the month it is typed under",""),3,500))</f>
        <v/>
      </c>
      <c r="S739" s="12" t="n"/>
      <c r="T739" s="13" t="n"/>
      <c r="U739" s="14" t="n"/>
      <c r="V739" s="12" t="n"/>
      <c r="W739" s="13" t="n"/>
      <c r="X739" s="14" t="n"/>
      <c r="Y739" s="12" t="n"/>
      <c r="Z739" s="13" t="n"/>
      <c r="AA739" s="14" t="n"/>
      <c r="AB739" s="12" t="n"/>
      <c r="AC739" s="13" t="n"/>
      <c r="AD739" s="14" t="n"/>
      <c r="AE739" s="12" t="n"/>
      <c r="AF739" s="13" t="n"/>
      <c r="AG739" s="14" t="n"/>
      <c r="AH739" s="12" t="n"/>
      <c r="AI739" s="13" t="n"/>
      <c r="AJ739" s="14" t="n"/>
      <c r="AK739" s="12" t="n"/>
      <c r="AL739" s="13" t="n"/>
      <c r="AM739" s="14" t="n"/>
      <c r="AN739" s="12" t="n"/>
      <c r="AO739" s="13" t="n"/>
      <c r="AP739" s="14" t="n"/>
      <c r="AQ739" s="12" t="n"/>
      <c r="AR739" s="13" t="n"/>
      <c r="AS739" s="14" t="n"/>
      <c r="AT739" s="12" t="n"/>
      <c r="AU739" s="13" t="n"/>
      <c r="AV739" s="14" t="n"/>
      <c r="AW739" s="12" t="n"/>
      <c r="AX739" s="13" t="n"/>
      <c r="AY739" s="14" t="n"/>
      <c r="AZ739" s="12" t="n"/>
      <c r="BA739" s="13" t="n"/>
      <c r="BB739" s="14" t="n"/>
      <c r="BC739" s="11">
        <f>IF(O739="","",IF(J739="GST 10%",ROUND(O739*set_GSTRate,2),0))</f>
        <v/>
      </c>
      <c r="BD739" s="11">
        <f>IF(O739="","",O739+BC739)</f>
        <v/>
      </c>
      <c r="BE739" s="15">
        <f>IF(O739="","",COUNTA(S739,V739,Y739,AB739,AE739,AH739,AK739,AN739,AQ739,AT739,AW739,AZ739))</f>
        <v/>
      </c>
      <c r="BF739" s="16">
        <f>IF(COUNT(T739,W739,Z739,AC739,AF739,AI739,AL739,AO739,AR739,AU739,AX739,BA739)=0,"",MAX(T739,W739,Z739,AC739,AF739,AI739,AL739,AO739,AR739,AU739,AX739,BA739))</f>
        <v/>
      </c>
      <c r="BG739" s="10">
        <f>MID(IF(S739="","",", "&amp;S739)&amp;IF(V739="","",", "&amp;V739)&amp;IF(Y739="","",", "&amp;Y739)&amp;IF(AB739="","",", "&amp;AB739)&amp;IF(AE739="","",", "&amp;AE739)&amp;IF(AH739="","",", "&amp;AH739)&amp;IF(AK739="","",", "&amp;AK739)&amp;IF(AN739="","",", "&amp;AN739)&amp;IF(AQ739="","",", "&amp;AQ739)&amp;IF(AT739="","",", "&amp;AT739)&amp;IF(AW739="","",", "&amp;AW739)&amp;IF(AZ739="","",", "&amp;AZ739),3,500)</f>
        <v/>
      </c>
      <c r="BH739" s="12" t="n"/>
      <c r="BI739" s="15">
        <f>IFERROR(MATCH($A739,IF($B739="Onsite",tbl_Onsite[Row ID],IF($B739="Production",tbl_Production[Row ID],tbl_Consulting[Row ID])),0),"")</f>
        <v/>
      </c>
    </row>
    <row r="740">
      <c r="A740" s="10" t="inlineStr">
        <is>
          <t>PRD-0234</t>
        </is>
      </c>
      <c r="B740" s="10" t="inlineStr">
        <is>
          <t>Production</t>
        </is>
      </c>
      <c r="C740" s="10">
        <f>IF($BI740="","",IF($B740="Onsite",INDEX(tbl_Onsite[Job Number],$BI740),IF($B740="Production",INDEX(tbl_Production[Job Number],$BI740),INDEX(tbl_Consulting[Job Number],$BI740)))&amp;"")</f>
        <v/>
      </c>
      <c r="D740" s="10">
        <f>IF($BI740="","",IF($B740="Onsite",INDEX(tbl_Onsite[Client],$BI740),IF($B740="Production",INDEX(tbl_Production[Client],$BI740),INDEX(tbl_Consulting[Client],$BI740)))&amp;"")</f>
        <v/>
      </c>
      <c r="E740" s="10">
        <f>IF($C740="","",IF(COUNTIF(lst_Jobs,$C740)&gt;0,"OK","CHECK"))</f>
        <v/>
      </c>
      <c r="F740" s="10">
        <f>IF($C740="","",IFERROR(INDEX(lst_JobName,MATCH($C740,lst_Jobs,0)),""))</f>
        <v/>
      </c>
      <c r="G740" s="10">
        <f>IF($BI740="","",IF($B740="Onsite",INDEX(tbl_Onsite[Job Description],$BI740),IF($B740="Production",INDEX(tbl_Production[Job Description],$BI740),INDEX(tbl_Consulting[Job Description],$BI740)))&amp;"")</f>
        <v/>
      </c>
      <c r="H740" s="10">
        <f>IF($BI740="","",IF($B740="Onsite",INDEX(tbl_Onsite[Cost Centre],$BI740),IF($B740="Production",INDEX(tbl_Production[Cost Centre],$BI740),INDEX(tbl_Consulting[Cost Centre],$BI740)))&amp;"")</f>
        <v/>
      </c>
      <c r="I740" s="10">
        <f>IF($BI740="","",IF($B740="Onsite",INDEX(tbl_Onsite[Invoice Type],$BI740),IF($B740="Production",INDEX(tbl_Production[Invoice Type],$BI740),INDEX(tbl_Consulting[Invoice Type],$BI740)))&amp;"")</f>
        <v/>
      </c>
      <c r="J740" s="10">
        <f>IF($BI740="","",IF($B740="Onsite",INDEX(tbl_Onsite[Tax Code],$BI740),IF($B740="Production",INDEX(tbl_Production[Tax Code],$BI740),INDEX(tbl_Consulting[Tax Code],$BI740)))&amp;"")</f>
        <v/>
      </c>
      <c r="K740" s="10">
        <f>IF(H740="","",IFERROR(INDEX(lst_CCtoGL,MATCH(H740,lst_CCforGL,0)),""))</f>
        <v/>
      </c>
      <c r="L740" s="10">
        <f>IF($BI740="","",IF($B740="Onsite",INDEX(tbl_Onsite[PO / Reference],$BI740),IF($B740="Production",INDEX(tbl_Production[Current RMS No],$BI740),INDEX(tbl_Consulting[Qwilr Quote],$BI740)))&amp;"")</f>
        <v/>
      </c>
      <c r="M740" s="10">
        <f>IF($BI740="","",IF($B740="Onsite",INDEX(tbl_Onsite[Notes],$BI740),IF($B740="Production",INDEX(tbl_Production[Notes],$BI740),INDEX(tbl_Consulting[Notes],$BI740)))&amp;"")</f>
        <v/>
      </c>
      <c r="N740" s="11">
        <f>IF($BI740="","",IF(IF($B740="Onsite",INDEX(tbl_Onsite[Expected Revenue Ex GST],$BI740),IF($B740="Production",INDEX(tbl_Production[Expected Revenue Ex GST],$BI740),INDEX(tbl_Consulting[Expected Revenue Ex GST],$BI740)))="","",IF($B740="Onsite",INDEX(tbl_Onsite[Expected Revenue Ex GST],$BI740),IF($B740="Production",INDEX(tbl_Production[Expected Revenue Ex GST],$BI740),INDEX(tbl_Consulting[Expected Revenue Ex GST],$BI740)))))</f>
        <v/>
      </c>
      <c r="O740" s="11">
        <f>IF(AND($C740="",NOT(COUNTA($S740:$BB740)&gt;0)),"",SUM(U740,X740,AA740,AD740,AG740,AJ740,AM740,AP740,AS740,AV740,AY740,BB740))</f>
        <v/>
      </c>
      <c r="P740" s="11">
        <f>IF(O740="","",N(N740)-O740)</f>
        <v/>
      </c>
      <c r="Q740" s="10">
        <f>IF(O740="","",IF($C740="","Invoice on empty job row",IF(N740="",IF(ROUND(O740,2)=0,"No dept value","Invoiced - no dept value"),IF(ROUND(O740,2)=0,"Not invoiced - to invoice",IF(ROUND(P740,2)=0,"Agrees",IF(P740&gt;0,"Dept higher - to invoice","Xero higher - check dept"))))))</f>
        <v/>
      </c>
      <c r="R740" s="10">
        <f>IF(AND($C740="",NOT(COUNTA($S740:$BB740)&gt;0),$BI740&lt;&gt;""),"",MID(IF($BI740="","; Row ID not found on the department sheet - a row was deleted","")&amp;IF(AND($C740="",COUNTA($S740:$BB740)&gt;0),"; Invoice entered but the department row has no job number","")&amp;IF(E740="CHECK","; Job number not in the Xero job list","")&amp;IF(AND($C740&lt;&gt;"",COUNTIF($C$7:$C$1506,$C740)&gt;1),"; Job number on more than one row","")&amp;IF(AND($C740&lt;&gt;"",H740=""),"; Dept has not set a cost centre","")&amp;IF(AND($C740&lt;&gt;"",J740=""),"; Dept has not set a tax code","")&amp;IF(AND($C740&lt;&gt;"",N740=""),"; Dept has not entered an expected value","")&amp;IF((IF(OR(COUNTA(S740:U740)=0,AND(COUNTA(S740:U740)=3,ISNUMBER(U740))),0,1)+IF(OR(COUNTA(V740:X740)=0,AND(COUNTA(V740:X740)=3,ISNUMBER(X740))),0,1)+IF(OR(COUNTA(Y740:AA740)=0,AND(COUNTA(Y740:AA740)=3,ISNUMBER(AA740))),0,1)+IF(OR(COUNTA(AB740:AD740)=0,AND(COUNTA(AB740:AD740)=3,ISNUMBER(AD740))),0,1)+IF(OR(COUNTA(AE740:AG740)=0,AND(COUNTA(AE740:AG740)=3,ISNUMBER(AG740))),0,1)+IF(OR(COUNTA(AH740:AJ740)=0,AND(COUNTA(AH740:AJ740)=3,ISNUMBER(AJ740))),0,1)+IF(OR(COUNTA(AK740:AM740)=0,AND(COUNTA(AK740:AM740)=3,ISNUMBER(AM740))),0,1)+IF(OR(COUNTA(AN740:AP740)=0,AND(COUNTA(AN740:AP740)=3,ISNUMBER(AP740))),0,1)+IF(OR(COUNTA(AQ740:AS740)=0,AND(COUNTA(AQ740:AS740)=3,ISNUMBER(AS740))),0,1)+IF(OR(COUNTA(AT740:AV740)=0,AND(COUNTA(AT740:AV740)=3,ISNUMBER(AV740))),0,1)+IF(OR(COUNTA(AW740:AY740)=0,AND(COUNTA(AW740:AY740)=3,ISNUMBER(AY740))),0,1)+IF(OR(COUNTA(AZ740:BB740)=0,AND(COUNTA(AZ740:BB740)=3,ISNUMBER(BB740))),0,1))&gt;0,"; An invoice is incomplete (needs No, Date and a number in Ex GST)","")&amp;IF((IF(T740="",0,IFERROR(--(EOMONTH(T740,0)&lt;&gt;S$5),1))+IF(W740="",0,IFERROR(--(EOMONTH(W740,0)&lt;&gt;V$5),1))+IF(Z740="",0,IFERROR(--(EOMONTH(Z740,0)&lt;&gt;Y$5),1))+IF(AC740="",0,IFERROR(--(EOMONTH(AC740,0)&lt;&gt;AB$5),1))+IF(AF740="",0,IFERROR(--(EOMONTH(AF740,0)&lt;&gt;AE$5),1))+IF(AI740="",0,IFERROR(--(EOMONTH(AI740,0)&lt;&gt;AH$5),1))+IF(AL740="",0,IFERROR(--(EOMONTH(AL740,0)&lt;&gt;AK$5),1))+IF(AO740="",0,IFERROR(--(EOMONTH(AO740,0)&lt;&gt;AN$5),1))+IF(AR740="",0,IFERROR(--(EOMONTH(AR740,0)&lt;&gt;AQ$5),1))+IF(AU740="",0,IFERROR(--(EOMONTH(AU740,0)&lt;&gt;AT$5),1))+IF(AX740="",0,IFERROR(--(EOMONTH(AX740,0)&lt;&gt;AW$5),1))+IF(BA740="",0,IFERROR(--(EOMONTH(BA740,0)&lt;&gt;AZ$5),1)))&gt;0,"; An invoice date is not in the month it is typed under",""),3,500))</f>
        <v/>
      </c>
      <c r="S740" s="12" t="n"/>
      <c r="T740" s="13" t="n"/>
      <c r="U740" s="14" t="n"/>
      <c r="V740" s="12" t="n"/>
      <c r="W740" s="13" t="n"/>
      <c r="X740" s="14" t="n"/>
      <c r="Y740" s="12" t="n"/>
      <c r="Z740" s="13" t="n"/>
      <c r="AA740" s="14" t="n"/>
      <c r="AB740" s="12" t="n"/>
      <c r="AC740" s="13" t="n"/>
      <c r="AD740" s="14" t="n"/>
      <c r="AE740" s="12" t="n"/>
      <c r="AF740" s="13" t="n"/>
      <c r="AG740" s="14" t="n"/>
      <c r="AH740" s="12" t="n"/>
      <c r="AI740" s="13" t="n"/>
      <c r="AJ740" s="14" t="n"/>
      <c r="AK740" s="12" t="n"/>
      <c r="AL740" s="13" t="n"/>
      <c r="AM740" s="14" t="n"/>
      <c r="AN740" s="12" t="n"/>
      <c r="AO740" s="13" t="n"/>
      <c r="AP740" s="14" t="n"/>
      <c r="AQ740" s="12" t="n"/>
      <c r="AR740" s="13" t="n"/>
      <c r="AS740" s="14" t="n"/>
      <c r="AT740" s="12" t="n"/>
      <c r="AU740" s="13" t="n"/>
      <c r="AV740" s="14" t="n"/>
      <c r="AW740" s="12" t="n"/>
      <c r="AX740" s="13" t="n"/>
      <c r="AY740" s="14" t="n"/>
      <c r="AZ740" s="12" t="n"/>
      <c r="BA740" s="13" t="n"/>
      <c r="BB740" s="14" t="n"/>
      <c r="BC740" s="11">
        <f>IF(O740="","",IF(J740="GST 10%",ROUND(O740*set_GSTRate,2),0))</f>
        <v/>
      </c>
      <c r="BD740" s="11">
        <f>IF(O740="","",O740+BC740)</f>
        <v/>
      </c>
      <c r="BE740" s="15">
        <f>IF(O740="","",COUNTA(S740,V740,Y740,AB740,AE740,AH740,AK740,AN740,AQ740,AT740,AW740,AZ740))</f>
        <v/>
      </c>
      <c r="BF740" s="16">
        <f>IF(COUNT(T740,W740,Z740,AC740,AF740,AI740,AL740,AO740,AR740,AU740,AX740,BA740)=0,"",MAX(T740,W740,Z740,AC740,AF740,AI740,AL740,AO740,AR740,AU740,AX740,BA740))</f>
        <v/>
      </c>
      <c r="BG740" s="10">
        <f>MID(IF(S740="","",", "&amp;S740)&amp;IF(V740="","",", "&amp;V740)&amp;IF(Y740="","",", "&amp;Y740)&amp;IF(AB740="","",", "&amp;AB740)&amp;IF(AE740="","",", "&amp;AE740)&amp;IF(AH740="","",", "&amp;AH740)&amp;IF(AK740="","",", "&amp;AK740)&amp;IF(AN740="","",", "&amp;AN740)&amp;IF(AQ740="","",", "&amp;AQ740)&amp;IF(AT740="","",", "&amp;AT740)&amp;IF(AW740="","",", "&amp;AW740)&amp;IF(AZ740="","",", "&amp;AZ740),3,500)</f>
        <v/>
      </c>
      <c r="BH740" s="12" t="n"/>
      <c r="BI740" s="15">
        <f>IFERROR(MATCH($A740,IF($B740="Onsite",tbl_Onsite[Row ID],IF($B740="Production",tbl_Production[Row ID],tbl_Consulting[Row ID])),0),"")</f>
        <v/>
      </c>
    </row>
    <row r="741">
      <c r="A741" s="10" t="inlineStr">
        <is>
          <t>PRD-0235</t>
        </is>
      </c>
      <c r="B741" s="10" t="inlineStr">
        <is>
          <t>Production</t>
        </is>
      </c>
      <c r="C741" s="10">
        <f>IF($BI741="","",IF($B741="Onsite",INDEX(tbl_Onsite[Job Number],$BI741),IF($B741="Production",INDEX(tbl_Production[Job Number],$BI741),INDEX(tbl_Consulting[Job Number],$BI741)))&amp;"")</f>
        <v/>
      </c>
      <c r="D741" s="10">
        <f>IF($BI741="","",IF($B741="Onsite",INDEX(tbl_Onsite[Client],$BI741),IF($B741="Production",INDEX(tbl_Production[Client],$BI741),INDEX(tbl_Consulting[Client],$BI741)))&amp;"")</f>
        <v/>
      </c>
      <c r="E741" s="10">
        <f>IF($C741="","",IF(COUNTIF(lst_Jobs,$C741)&gt;0,"OK","CHECK"))</f>
        <v/>
      </c>
      <c r="F741" s="10">
        <f>IF($C741="","",IFERROR(INDEX(lst_JobName,MATCH($C741,lst_Jobs,0)),""))</f>
        <v/>
      </c>
      <c r="G741" s="10">
        <f>IF($BI741="","",IF($B741="Onsite",INDEX(tbl_Onsite[Job Description],$BI741),IF($B741="Production",INDEX(tbl_Production[Job Description],$BI741),INDEX(tbl_Consulting[Job Description],$BI741)))&amp;"")</f>
        <v/>
      </c>
      <c r="H741" s="10">
        <f>IF($BI741="","",IF($B741="Onsite",INDEX(tbl_Onsite[Cost Centre],$BI741),IF($B741="Production",INDEX(tbl_Production[Cost Centre],$BI741),INDEX(tbl_Consulting[Cost Centre],$BI741)))&amp;"")</f>
        <v/>
      </c>
      <c r="I741" s="10">
        <f>IF($BI741="","",IF($B741="Onsite",INDEX(tbl_Onsite[Invoice Type],$BI741),IF($B741="Production",INDEX(tbl_Production[Invoice Type],$BI741),INDEX(tbl_Consulting[Invoice Type],$BI741)))&amp;"")</f>
        <v/>
      </c>
      <c r="J741" s="10">
        <f>IF($BI741="","",IF($B741="Onsite",INDEX(tbl_Onsite[Tax Code],$BI741),IF($B741="Production",INDEX(tbl_Production[Tax Code],$BI741),INDEX(tbl_Consulting[Tax Code],$BI741)))&amp;"")</f>
        <v/>
      </c>
      <c r="K741" s="10">
        <f>IF(H741="","",IFERROR(INDEX(lst_CCtoGL,MATCH(H741,lst_CCforGL,0)),""))</f>
        <v/>
      </c>
      <c r="L741" s="10">
        <f>IF($BI741="","",IF($B741="Onsite",INDEX(tbl_Onsite[PO / Reference],$BI741),IF($B741="Production",INDEX(tbl_Production[Current RMS No],$BI741),INDEX(tbl_Consulting[Qwilr Quote],$BI741)))&amp;"")</f>
        <v/>
      </c>
      <c r="M741" s="10">
        <f>IF($BI741="","",IF($B741="Onsite",INDEX(tbl_Onsite[Notes],$BI741),IF($B741="Production",INDEX(tbl_Production[Notes],$BI741),INDEX(tbl_Consulting[Notes],$BI741)))&amp;"")</f>
        <v/>
      </c>
      <c r="N741" s="11">
        <f>IF($BI741="","",IF(IF($B741="Onsite",INDEX(tbl_Onsite[Expected Revenue Ex GST],$BI741),IF($B741="Production",INDEX(tbl_Production[Expected Revenue Ex GST],$BI741),INDEX(tbl_Consulting[Expected Revenue Ex GST],$BI741)))="","",IF($B741="Onsite",INDEX(tbl_Onsite[Expected Revenue Ex GST],$BI741),IF($B741="Production",INDEX(tbl_Production[Expected Revenue Ex GST],$BI741),INDEX(tbl_Consulting[Expected Revenue Ex GST],$BI741)))))</f>
        <v/>
      </c>
      <c r="O741" s="11">
        <f>IF(AND($C741="",NOT(COUNTA($S741:$BB741)&gt;0)),"",SUM(U741,X741,AA741,AD741,AG741,AJ741,AM741,AP741,AS741,AV741,AY741,BB741))</f>
        <v/>
      </c>
      <c r="P741" s="11">
        <f>IF(O741="","",N(N741)-O741)</f>
        <v/>
      </c>
      <c r="Q741" s="10">
        <f>IF(O741="","",IF($C741="","Invoice on empty job row",IF(N741="",IF(ROUND(O741,2)=0,"No dept value","Invoiced - no dept value"),IF(ROUND(O741,2)=0,"Not invoiced - to invoice",IF(ROUND(P741,2)=0,"Agrees",IF(P741&gt;0,"Dept higher - to invoice","Xero higher - check dept"))))))</f>
        <v/>
      </c>
      <c r="R741" s="10">
        <f>IF(AND($C741="",NOT(COUNTA($S741:$BB741)&gt;0),$BI741&lt;&gt;""),"",MID(IF($BI741="","; Row ID not found on the department sheet - a row was deleted","")&amp;IF(AND($C741="",COUNTA($S741:$BB741)&gt;0),"; Invoice entered but the department row has no job number","")&amp;IF(E741="CHECK","; Job number not in the Xero job list","")&amp;IF(AND($C741&lt;&gt;"",COUNTIF($C$7:$C$1506,$C741)&gt;1),"; Job number on more than one row","")&amp;IF(AND($C741&lt;&gt;"",H741=""),"; Dept has not set a cost centre","")&amp;IF(AND($C741&lt;&gt;"",J741=""),"; Dept has not set a tax code","")&amp;IF(AND($C741&lt;&gt;"",N741=""),"; Dept has not entered an expected value","")&amp;IF((IF(OR(COUNTA(S741:U741)=0,AND(COUNTA(S741:U741)=3,ISNUMBER(U741))),0,1)+IF(OR(COUNTA(V741:X741)=0,AND(COUNTA(V741:X741)=3,ISNUMBER(X741))),0,1)+IF(OR(COUNTA(Y741:AA741)=0,AND(COUNTA(Y741:AA741)=3,ISNUMBER(AA741))),0,1)+IF(OR(COUNTA(AB741:AD741)=0,AND(COUNTA(AB741:AD741)=3,ISNUMBER(AD741))),0,1)+IF(OR(COUNTA(AE741:AG741)=0,AND(COUNTA(AE741:AG741)=3,ISNUMBER(AG741))),0,1)+IF(OR(COUNTA(AH741:AJ741)=0,AND(COUNTA(AH741:AJ741)=3,ISNUMBER(AJ741))),0,1)+IF(OR(COUNTA(AK741:AM741)=0,AND(COUNTA(AK741:AM741)=3,ISNUMBER(AM741))),0,1)+IF(OR(COUNTA(AN741:AP741)=0,AND(COUNTA(AN741:AP741)=3,ISNUMBER(AP741))),0,1)+IF(OR(COUNTA(AQ741:AS741)=0,AND(COUNTA(AQ741:AS741)=3,ISNUMBER(AS741))),0,1)+IF(OR(COUNTA(AT741:AV741)=0,AND(COUNTA(AT741:AV741)=3,ISNUMBER(AV741))),0,1)+IF(OR(COUNTA(AW741:AY741)=0,AND(COUNTA(AW741:AY741)=3,ISNUMBER(AY741))),0,1)+IF(OR(COUNTA(AZ741:BB741)=0,AND(COUNTA(AZ741:BB741)=3,ISNUMBER(BB741))),0,1))&gt;0,"; An invoice is incomplete (needs No, Date and a number in Ex GST)","")&amp;IF((IF(T741="",0,IFERROR(--(EOMONTH(T741,0)&lt;&gt;S$5),1))+IF(W741="",0,IFERROR(--(EOMONTH(W741,0)&lt;&gt;V$5),1))+IF(Z741="",0,IFERROR(--(EOMONTH(Z741,0)&lt;&gt;Y$5),1))+IF(AC741="",0,IFERROR(--(EOMONTH(AC741,0)&lt;&gt;AB$5),1))+IF(AF741="",0,IFERROR(--(EOMONTH(AF741,0)&lt;&gt;AE$5),1))+IF(AI741="",0,IFERROR(--(EOMONTH(AI741,0)&lt;&gt;AH$5),1))+IF(AL741="",0,IFERROR(--(EOMONTH(AL741,0)&lt;&gt;AK$5),1))+IF(AO741="",0,IFERROR(--(EOMONTH(AO741,0)&lt;&gt;AN$5),1))+IF(AR741="",0,IFERROR(--(EOMONTH(AR741,0)&lt;&gt;AQ$5),1))+IF(AU741="",0,IFERROR(--(EOMONTH(AU741,0)&lt;&gt;AT$5),1))+IF(AX741="",0,IFERROR(--(EOMONTH(AX741,0)&lt;&gt;AW$5),1))+IF(BA741="",0,IFERROR(--(EOMONTH(BA741,0)&lt;&gt;AZ$5),1)))&gt;0,"; An invoice date is not in the month it is typed under",""),3,500))</f>
        <v/>
      </c>
      <c r="S741" s="12" t="n"/>
      <c r="T741" s="13" t="n"/>
      <c r="U741" s="14" t="n"/>
      <c r="V741" s="12" t="n"/>
      <c r="W741" s="13" t="n"/>
      <c r="X741" s="14" t="n"/>
      <c r="Y741" s="12" t="n"/>
      <c r="Z741" s="13" t="n"/>
      <c r="AA741" s="14" t="n"/>
      <c r="AB741" s="12" t="n"/>
      <c r="AC741" s="13" t="n"/>
      <c r="AD741" s="14" t="n"/>
      <c r="AE741" s="12" t="n"/>
      <c r="AF741" s="13" t="n"/>
      <c r="AG741" s="14" t="n"/>
      <c r="AH741" s="12" t="n"/>
      <c r="AI741" s="13" t="n"/>
      <c r="AJ741" s="14" t="n"/>
      <c r="AK741" s="12" t="n"/>
      <c r="AL741" s="13" t="n"/>
      <c r="AM741" s="14" t="n"/>
      <c r="AN741" s="12" t="n"/>
      <c r="AO741" s="13" t="n"/>
      <c r="AP741" s="14" t="n"/>
      <c r="AQ741" s="12" t="n"/>
      <c r="AR741" s="13" t="n"/>
      <c r="AS741" s="14" t="n"/>
      <c r="AT741" s="12" t="n"/>
      <c r="AU741" s="13" t="n"/>
      <c r="AV741" s="14" t="n"/>
      <c r="AW741" s="12" t="n"/>
      <c r="AX741" s="13" t="n"/>
      <c r="AY741" s="14" t="n"/>
      <c r="AZ741" s="12" t="n"/>
      <c r="BA741" s="13" t="n"/>
      <c r="BB741" s="14" t="n"/>
      <c r="BC741" s="11">
        <f>IF(O741="","",IF(J741="GST 10%",ROUND(O741*set_GSTRate,2),0))</f>
        <v/>
      </c>
      <c r="BD741" s="11">
        <f>IF(O741="","",O741+BC741)</f>
        <v/>
      </c>
      <c r="BE741" s="15">
        <f>IF(O741="","",COUNTA(S741,V741,Y741,AB741,AE741,AH741,AK741,AN741,AQ741,AT741,AW741,AZ741))</f>
        <v/>
      </c>
      <c r="BF741" s="16">
        <f>IF(COUNT(T741,W741,Z741,AC741,AF741,AI741,AL741,AO741,AR741,AU741,AX741,BA741)=0,"",MAX(T741,W741,Z741,AC741,AF741,AI741,AL741,AO741,AR741,AU741,AX741,BA741))</f>
        <v/>
      </c>
      <c r="BG741" s="10">
        <f>MID(IF(S741="","",", "&amp;S741)&amp;IF(V741="","",", "&amp;V741)&amp;IF(Y741="","",", "&amp;Y741)&amp;IF(AB741="","",", "&amp;AB741)&amp;IF(AE741="","",", "&amp;AE741)&amp;IF(AH741="","",", "&amp;AH741)&amp;IF(AK741="","",", "&amp;AK741)&amp;IF(AN741="","",", "&amp;AN741)&amp;IF(AQ741="","",", "&amp;AQ741)&amp;IF(AT741="","",", "&amp;AT741)&amp;IF(AW741="","",", "&amp;AW741)&amp;IF(AZ741="","",", "&amp;AZ741),3,500)</f>
        <v/>
      </c>
      <c r="BH741" s="12" t="n"/>
      <c r="BI741" s="15">
        <f>IFERROR(MATCH($A741,IF($B741="Onsite",tbl_Onsite[Row ID],IF($B741="Production",tbl_Production[Row ID],tbl_Consulting[Row ID])),0),"")</f>
        <v/>
      </c>
    </row>
    <row r="742">
      <c r="A742" s="10" t="inlineStr">
        <is>
          <t>PRD-0236</t>
        </is>
      </c>
      <c r="B742" s="10" t="inlineStr">
        <is>
          <t>Production</t>
        </is>
      </c>
      <c r="C742" s="10">
        <f>IF($BI742="","",IF($B742="Onsite",INDEX(tbl_Onsite[Job Number],$BI742),IF($B742="Production",INDEX(tbl_Production[Job Number],$BI742),INDEX(tbl_Consulting[Job Number],$BI742)))&amp;"")</f>
        <v/>
      </c>
      <c r="D742" s="10">
        <f>IF($BI742="","",IF($B742="Onsite",INDEX(tbl_Onsite[Client],$BI742),IF($B742="Production",INDEX(tbl_Production[Client],$BI742),INDEX(tbl_Consulting[Client],$BI742)))&amp;"")</f>
        <v/>
      </c>
      <c r="E742" s="10">
        <f>IF($C742="","",IF(COUNTIF(lst_Jobs,$C742)&gt;0,"OK","CHECK"))</f>
        <v/>
      </c>
      <c r="F742" s="10">
        <f>IF($C742="","",IFERROR(INDEX(lst_JobName,MATCH($C742,lst_Jobs,0)),""))</f>
        <v/>
      </c>
      <c r="G742" s="10">
        <f>IF($BI742="","",IF($B742="Onsite",INDEX(tbl_Onsite[Job Description],$BI742),IF($B742="Production",INDEX(tbl_Production[Job Description],$BI742),INDEX(tbl_Consulting[Job Description],$BI742)))&amp;"")</f>
        <v/>
      </c>
      <c r="H742" s="10">
        <f>IF($BI742="","",IF($B742="Onsite",INDEX(tbl_Onsite[Cost Centre],$BI742),IF($B742="Production",INDEX(tbl_Production[Cost Centre],$BI742),INDEX(tbl_Consulting[Cost Centre],$BI742)))&amp;"")</f>
        <v/>
      </c>
      <c r="I742" s="10">
        <f>IF($BI742="","",IF($B742="Onsite",INDEX(tbl_Onsite[Invoice Type],$BI742),IF($B742="Production",INDEX(tbl_Production[Invoice Type],$BI742),INDEX(tbl_Consulting[Invoice Type],$BI742)))&amp;"")</f>
        <v/>
      </c>
      <c r="J742" s="10">
        <f>IF($BI742="","",IF($B742="Onsite",INDEX(tbl_Onsite[Tax Code],$BI742),IF($B742="Production",INDEX(tbl_Production[Tax Code],$BI742),INDEX(tbl_Consulting[Tax Code],$BI742)))&amp;"")</f>
        <v/>
      </c>
      <c r="K742" s="10">
        <f>IF(H742="","",IFERROR(INDEX(lst_CCtoGL,MATCH(H742,lst_CCforGL,0)),""))</f>
        <v/>
      </c>
      <c r="L742" s="10">
        <f>IF($BI742="","",IF($B742="Onsite",INDEX(tbl_Onsite[PO / Reference],$BI742),IF($B742="Production",INDEX(tbl_Production[Current RMS No],$BI742),INDEX(tbl_Consulting[Qwilr Quote],$BI742)))&amp;"")</f>
        <v/>
      </c>
      <c r="M742" s="10">
        <f>IF($BI742="","",IF($B742="Onsite",INDEX(tbl_Onsite[Notes],$BI742),IF($B742="Production",INDEX(tbl_Production[Notes],$BI742),INDEX(tbl_Consulting[Notes],$BI742)))&amp;"")</f>
        <v/>
      </c>
      <c r="N742" s="11">
        <f>IF($BI742="","",IF(IF($B742="Onsite",INDEX(tbl_Onsite[Expected Revenue Ex GST],$BI742),IF($B742="Production",INDEX(tbl_Production[Expected Revenue Ex GST],$BI742),INDEX(tbl_Consulting[Expected Revenue Ex GST],$BI742)))="","",IF($B742="Onsite",INDEX(tbl_Onsite[Expected Revenue Ex GST],$BI742),IF($B742="Production",INDEX(tbl_Production[Expected Revenue Ex GST],$BI742),INDEX(tbl_Consulting[Expected Revenue Ex GST],$BI742)))))</f>
        <v/>
      </c>
      <c r="O742" s="11">
        <f>IF(AND($C742="",NOT(COUNTA($S742:$BB742)&gt;0)),"",SUM(U742,X742,AA742,AD742,AG742,AJ742,AM742,AP742,AS742,AV742,AY742,BB742))</f>
        <v/>
      </c>
      <c r="P742" s="11">
        <f>IF(O742="","",N(N742)-O742)</f>
        <v/>
      </c>
      <c r="Q742" s="10">
        <f>IF(O742="","",IF($C742="","Invoice on empty job row",IF(N742="",IF(ROUND(O742,2)=0,"No dept value","Invoiced - no dept value"),IF(ROUND(O742,2)=0,"Not invoiced - to invoice",IF(ROUND(P742,2)=0,"Agrees",IF(P742&gt;0,"Dept higher - to invoice","Xero higher - check dept"))))))</f>
        <v/>
      </c>
      <c r="R742" s="10">
        <f>IF(AND($C742="",NOT(COUNTA($S742:$BB742)&gt;0),$BI742&lt;&gt;""),"",MID(IF($BI742="","; Row ID not found on the department sheet - a row was deleted","")&amp;IF(AND($C742="",COUNTA($S742:$BB742)&gt;0),"; Invoice entered but the department row has no job number","")&amp;IF(E742="CHECK","; Job number not in the Xero job list","")&amp;IF(AND($C742&lt;&gt;"",COUNTIF($C$7:$C$1506,$C742)&gt;1),"; Job number on more than one row","")&amp;IF(AND($C742&lt;&gt;"",H742=""),"; Dept has not set a cost centre","")&amp;IF(AND($C742&lt;&gt;"",J742=""),"; Dept has not set a tax code","")&amp;IF(AND($C742&lt;&gt;"",N742=""),"; Dept has not entered an expected value","")&amp;IF((IF(OR(COUNTA(S742:U742)=0,AND(COUNTA(S742:U742)=3,ISNUMBER(U742))),0,1)+IF(OR(COUNTA(V742:X742)=0,AND(COUNTA(V742:X742)=3,ISNUMBER(X742))),0,1)+IF(OR(COUNTA(Y742:AA742)=0,AND(COUNTA(Y742:AA742)=3,ISNUMBER(AA742))),0,1)+IF(OR(COUNTA(AB742:AD742)=0,AND(COUNTA(AB742:AD742)=3,ISNUMBER(AD742))),0,1)+IF(OR(COUNTA(AE742:AG742)=0,AND(COUNTA(AE742:AG742)=3,ISNUMBER(AG742))),0,1)+IF(OR(COUNTA(AH742:AJ742)=0,AND(COUNTA(AH742:AJ742)=3,ISNUMBER(AJ742))),0,1)+IF(OR(COUNTA(AK742:AM742)=0,AND(COUNTA(AK742:AM742)=3,ISNUMBER(AM742))),0,1)+IF(OR(COUNTA(AN742:AP742)=0,AND(COUNTA(AN742:AP742)=3,ISNUMBER(AP742))),0,1)+IF(OR(COUNTA(AQ742:AS742)=0,AND(COUNTA(AQ742:AS742)=3,ISNUMBER(AS742))),0,1)+IF(OR(COUNTA(AT742:AV742)=0,AND(COUNTA(AT742:AV742)=3,ISNUMBER(AV742))),0,1)+IF(OR(COUNTA(AW742:AY742)=0,AND(COUNTA(AW742:AY742)=3,ISNUMBER(AY742))),0,1)+IF(OR(COUNTA(AZ742:BB742)=0,AND(COUNTA(AZ742:BB742)=3,ISNUMBER(BB742))),0,1))&gt;0,"; An invoice is incomplete (needs No, Date and a number in Ex GST)","")&amp;IF((IF(T742="",0,IFERROR(--(EOMONTH(T742,0)&lt;&gt;S$5),1))+IF(W742="",0,IFERROR(--(EOMONTH(W742,0)&lt;&gt;V$5),1))+IF(Z742="",0,IFERROR(--(EOMONTH(Z742,0)&lt;&gt;Y$5),1))+IF(AC742="",0,IFERROR(--(EOMONTH(AC742,0)&lt;&gt;AB$5),1))+IF(AF742="",0,IFERROR(--(EOMONTH(AF742,0)&lt;&gt;AE$5),1))+IF(AI742="",0,IFERROR(--(EOMONTH(AI742,0)&lt;&gt;AH$5),1))+IF(AL742="",0,IFERROR(--(EOMONTH(AL742,0)&lt;&gt;AK$5),1))+IF(AO742="",0,IFERROR(--(EOMONTH(AO742,0)&lt;&gt;AN$5),1))+IF(AR742="",0,IFERROR(--(EOMONTH(AR742,0)&lt;&gt;AQ$5),1))+IF(AU742="",0,IFERROR(--(EOMONTH(AU742,0)&lt;&gt;AT$5),1))+IF(AX742="",0,IFERROR(--(EOMONTH(AX742,0)&lt;&gt;AW$5),1))+IF(BA742="",0,IFERROR(--(EOMONTH(BA742,0)&lt;&gt;AZ$5),1)))&gt;0,"; An invoice date is not in the month it is typed under",""),3,500))</f>
        <v/>
      </c>
      <c r="S742" s="12" t="n"/>
      <c r="T742" s="13" t="n"/>
      <c r="U742" s="14" t="n"/>
      <c r="V742" s="12" t="n"/>
      <c r="W742" s="13" t="n"/>
      <c r="X742" s="14" t="n"/>
      <c r="Y742" s="12" t="n"/>
      <c r="Z742" s="13" t="n"/>
      <c r="AA742" s="14" t="n"/>
      <c r="AB742" s="12" t="n"/>
      <c r="AC742" s="13" t="n"/>
      <c r="AD742" s="14" t="n"/>
      <c r="AE742" s="12" t="n"/>
      <c r="AF742" s="13" t="n"/>
      <c r="AG742" s="14" t="n"/>
      <c r="AH742" s="12" t="n"/>
      <c r="AI742" s="13" t="n"/>
      <c r="AJ742" s="14" t="n"/>
      <c r="AK742" s="12" t="n"/>
      <c r="AL742" s="13" t="n"/>
      <c r="AM742" s="14" t="n"/>
      <c r="AN742" s="12" t="n"/>
      <c r="AO742" s="13" t="n"/>
      <c r="AP742" s="14" t="n"/>
      <c r="AQ742" s="12" t="n"/>
      <c r="AR742" s="13" t="n"/>
      <c r="AS742" s="14" t="n"/>
      <c r="AT742" s="12" t="n"/>
      <c r="AU742" s="13" t="n"/>
      <c r="AV742" s="14" t="n"/>
      <c r="AW742" s="12" t="n"/>
      <c r="AX742" s="13" t="n"/>
      <c r="AY742" s="14" t="n"/>
      <c r="AZ742" s="12" t="n"/>
      <c r="BA742" s="13" t="n"/>
      <c r="BB742" s="14" t="n"/>
      <c r="BC742" s="11">
        <f>IF(O742="","",IF(J742="GST 10%",ROUND(O742*set_GSTRate,2),0))</f>
        <v/>
      </c>
      <c r="BD742" s="11">
        <f>IF(O742="","",O742+BC742)</f>
        <v/>
      </c>
      <c r="BE742" s="15">
        <f>IF(O742="","",COUNTA(S742,V742,Y742,AB742,AE742,AH742,AK742,AN742,AQ742,AT742,AW742,AZ742))</f>
        <v/>
      </c>
      <c r="BF742" s="16">
        <f>IF(COUNT(T742,W742,Z742,AC742,AF742,AI742,AL742,AO742,AR742,AU742,AX742,BA742)=0,"",MAX(T742,W742,Z742,AC742,AF742,AI742,AL742,AO742,AR742,AU742,AX742,BA742))</f>
        <v/>
      </c>
      <c r="BG742" s="10">
        <f>MID(IF(S742="","",", "&amp;S742)&amp;IF(V742="","",", "&amp;V742)&amp;IF(Y742="","",", "&amp;Y742)&amp;IF(AB742="","",", "&amp;AB742)&amp;IF(AE742="","",", "&amp;AE742)&amp;IF(AH742="","",", "&amp;AH742)&amp;IF(AK742="","",", "&amp;AK742)&amp;IF(AN742="","",", "&amp;AN742)&amp;IF(AQ742="","",", "&amp;AQ742)&amp;IF(AT742="","",", "&amp;AT742)&amp;IF(AW742="","",", "&amp;AW742)&amp;IF(AZ742="","",", "&amp;AZ742),3,500)</f>
        <v/>
      </c>
      <c r="BH742" s="12" t="n"/>
      <c r="BI742" s="15">
        <f>IFERROR(MATCH($A742,IF($B742="Onsite",tbl_Onsite[Row ID],IF($B742="Production",tbl_Production[Row ID],tbl_Consulting[Row ID])),0),"")</f>
        <v/>
      </c>
    </row>
    <row r="743">
      <c r="A743" s="10" t="inlineStr">
        <is>
          <t>PRD-0237</t>
        </is>
      </c>
      <c r="B743" s="10" t="inlineStr">
        <is>
          <t>Production</t>
        </is>
      </c>
      <c r="C743" s="10">
        <f>IF($BI743="","",IF($B743="Onsite",INDEX(tbl_Onsite[Job Number],$BI743),IF($B743="Production",INDEX(tbl_Production[Job Number],$BI743),INDEX(tbl_Consulting[Job Number],$BI743)))&amp;"")</f>
        <v/>
      </c>
      <c r="D743" s="10">
        <f>IF($BI743="","",IF($B743="Onsite",INDEX(tbl_Onsite[Client],$BI743),IF($B743="Production",INDEX(tbl_Production[Client],$BI743),INDEX(tbl_Consulting[Client],$BI743)))&amp;"")</f>
        <v/>
      </c>
      <c r="E743" s="10">
        <f>IF($C743="","",IF(COUNTIF(lst_Jobs,$C743)&gt;0,"OK","CHECK"))</f>
        <v/>
      </c>
      <c r="F743" s="10">
        <f>IF($C743="","",IFERROR(INDEX(lst_JobName,MATCH($C743,lst_Jobs,0)),""))</f>
        <v/>
      </c>
      <c r="G743" s="10">
        <f>IF($BI743="","",IF($B743="Onsite",INDEX(tbl_Onsite[Job Description],$BI743),IF($B743="Production",INDEX(tbl_Production[Job Description],$BI743),INDEX(tbl_Consulting[Job Description],$BI743)))&amp;"")</f>
        <v/>
      </c>
      <c r="H743" s="10">
        <f>IF($BI743="","",IF($B743="Onsite",INDEX(tbl_Onsite[Cost Centre],$BI743),IF($B743="Production",INDEX(tbl_Production[Cost Centre],$BI743),INDEX(tbl_Consulting[Cost Centre],$BI743)))&amp;"")</f>
        <v/>
      </c>
      <c r="I743" s="10">
        <f>IF($BI743="","",IF($B743="Onsite",INDEX(tbl_Onsite[Invoice Type],$BI743),IF($B743="Production",INDEX(tbl_Production[Invoice Type],$BI743),INDEX(tbl_Consulting[Invoice Type],$BI743)))&amp;"")</f>
        <v/>
      </c>
      <c r="J743" s="10">
        <f>IF($BI743="","",IF($B743="Onsite",INDEX(tbl_Onsite[Tax Code],$BI743),IF($B743="Production",INDEX(tbl_Production[Tax Code],$BI743),INDEX(tbl_Consulting[Tax Code],$BI743)))&amp;"")</f>
        <v/>
      </c>
      <c r="K743" s="10">
        <f>IF(H743="","",IFERROR(INDEX(lst_CCtoGL,MATCH(H743,lst_CCforGL,0)),""))</f>
        <v/>
      </c>
      <c r="L743" s="10">
        <f>IF($BI743="","",IF($B743="Onsite",INDEX(tbl_Onsite[PO / Reference],$BI743),IF($B743="Production",INDEX(tbl_Production[Current RMS No],$BI743),INDEX(tbl_Consulting[Qwilr Quote],$BI743)))&amp;"")</f>
        <v/>
      </c>
      <c r="M743" s="10">
        <f>IF($BI743="","",IF($B743="Onsite",INDEX(tbl_Onsite[Notes],$BI743),IF($B743="Production",INDEX(tbl_Production[Notes],$BI743),INDEX(tbl_Consulting[Notes],$BI743)))&amp;"")</f>
        <v/>
      </c>
      <c r="N743" s="11">
        <f>IF($BI743="","",IF(IF($B743="Onsite",INDEX(tbl_Onsite[Expected Revenue Ex GST],$BI743),IF($B743="Production",INDEX(tbl_Production[Expected Revenue Ex GST],$BI743),INDEX(tbl_Consulting[Expected Revenue Ex GST],$BI743)))="","",IF($B743="Onsite",INDEX(tbl_Onsite[Expected Revenue Ex GST],$BI743),IF($B743="Production",INDEX(tbl_Production[Expected Revenue Ex GST],$BI743),INDEX(tbl_Consulting[Expected Revenue Ex GST],$BI743)))))</f>
        <v/>
      </c>
      <c r="O743" s="11">
        <f>IF(AND($C743="",NOT(COUNTA($S743:$BB743)&gt;0)),"",SUM(U743,X743,AA743,AD743,AG743,AJ743,AM743,AP743,AS743,AV743,AY743,BB743))</f>
        <v/>
      </c>
      <c r="P743" s="11">
        <f>IF(O743="","",N(N743)-O743)</f>
        <v/>
      </c>
      <c r="Q743" s="10">
        <f>IF(O743="","",IF($C743="","Invoice on empty job row",IF(N743="",IF(ROUND(O743,2)=0,"No dept value","Invoiced - no dept value"),IF(ROUND(O743,2)=0,"Not invoiced - to invoice",IF(ROUND(P743,2)=0,"Agrees",IF(P743&gt;0,"Dept higher - to invoice","Xero higher - check dept"))))))</f>
        <v/>
      </c>
      <c r="R743" s="10">
        <f>IF(AND($C743="",NOT(COUNTA($S743:$BB743)&gt;0),$BI743&lt;&gt;""),"",MID(IF($BI743="","; Row ID not found on the department sheet - a row was deleted","")&amp;IF(AND($C743="",COUNTA($S743:$BB743)&gt;0),"; Invoice entered but the department row has no job number","")&amp;IF(E743="CHECK","; Job number not in the Xero job list","")&amp;IF(AND($C743&lt;&gt;"",COUNTIF($C$7:$C$1506,$C743)&gt;1),"; Job number on more than one row","")&amp;IF(AND($C743&lt;&gt;"",H743=""),"; Dept has not set a cost centre","")&amp;IF(AND($C743&lt;&gt;"",J743=""),"; Dept has not set a tax code","")&amp;IF(AND($C743&lt;&gt;"",N743=""),"; Dept has not entered an expected value","")&amp;IF((IF(OR(COUNTA(S743:U743)=0,AND(COUNTA(S743:U743)=3,ISNUMBER(U743))),0,1)+IF(OR(COUNTA(V743:X743)=0,AND(COUNTA(V743:X743)=3,ISNUMBER(X743))),0,1)+IF(OR(COUNTA(Y743:AA743)=0,AND(COUNTA(Y743:AA743)=3,ISNUMBER(AA743))),0,1)+IF(OR(COUNTA(AB743:AD743)=0,AND(COUNTA(AB743:AD743)=3,ISNUMBER(AD743))),0,1)+IF(OR(COUNTA(AE743:AG743)=0,AND(COUNTA(AE743:AG743)=3,ISNUMBER(AG743))),0,1)+IF(OR(COUNTA(AH743:AJ743)=0,AND(COUNTA(AH743:AJ743)=3,ISNUMBER(AJ743))),0,1)+IF(OR(COUNTA(AK743:AM743)=0,AND(COUNTA(AK743:AM743)=3,ISNUMBER(AM743))),0,1)+IF(OR(COUNTA(AN743:AP743)=0,AND(COUNTA(AN743:AP743)=3,ISNUMBER(AP743))),0,1)+IF(OR(COUNTA(AQ743:AS743)=0,AND(COUNTA(AQ743:AS743)=3,ISNUMBER(AS743))),0,1)+IF(OR(COUNTA(AT743:AV743)=0,AND(COUNTA(AT743:AV743)=3,ISNUMBER(AV743))),0,1)+IF(OR(COUNTA(AW743:AY743)=0,AND(COUNTA(AW743:AY743)=3,ISNUMBER(AY743))),0,1)+IF(OR(COUNTA(AZ743:BB743)=0,AND(COUNTA(AZ743:BB743)=3,ISNUMBER(BB743))),0,1))&gt;0,"; An invoice is incomplete (needs No, Date and a number in Ex GST)","")&amp;IF((IF(T743="",0,IFERROR(--(EOMONTH(T743,0)&lt;&gt;S$5),1))+IF(W743="",0,IFERROR(--(EOMONTH(W743,0)&lt;&gt;V$5),1))+IF(Z743="",0,IFERROR(--(EOMONTH(Z743,0)&lt;&gt;Y$5),1))+IF(AC743="",0,IFERROR(--(EOMONTH(AC743,0)&lt;&gt;AB$5),1))+IF(AF743="",0,IFERROR(--(EOMONTH(AF743,0)&lt;&gt;AE$5),1))+IF(AI743="",0,IFERROR(--(EOMONTH(AI743,0)&lt;&gt;AH$5),1))+IF(AL743="",0,IFERROR(--(EOMONTH(AL743,0)&lt;&gt;AK$5),1))+IF(AO743="",0,IFERROR(--(EOMONTH(AO743,0)&lt;&gt;AN$5),1))+IF(AR743="",0,IFERROR(--(EOMONTH(AR743,0)&lt;&gt;AQ$5),1))+IF(AU743="",0,IFERROR(--(EOMONTH(AU743,0)&lt;&gt;AT$5),1))+IF(AX743="",0,IFERROR(--(EOMONTH(AX743,0)&lt;&gt;AW$5),1))+IF(BA743="",0,IFERROR(--(EOMONTH(BA743,0)&lt;&gt;AZ$5),1)))&gt;0,"; An invoice date is not in the month it is typed under",""),3,500))</f>
        <v/>
      </c>
      <c r="S743" s="12" t="n"/>
      <c r="T743" s="13" t="n"/>
      <c r="U743" s="14" t="n"/>
      <c r="V743" s="12" t="n"/>
      <c r="W743" s="13" t="n"/>
      <c r="X743" s="14" t="n"/>
      <c r="Y743" s="12" t="n"/>
      <c r="Z743" s="13" t="n"/>
      <c r="AA743" s="14" t="n"/>
      <c r="AB743" s="12" t="n"/>
      <c r="AC743" s="13" t="n"/>
      <c r="AD743" s="14" t="n"/>
      <c r="AE743" s="12" t="n"/>
      <c r="AF743" s="13" t="n"/>
      <c r="AG743" s="14" t="n"/>
      <c r="AH743" s="12" t="n"/>
      <c r="AI743" s="13" t="n"/>
      <c r="AJ743" s="14" t="n"/>
      <c r="AK743" s="12" t="n"/>
      <c r="AL743" s="13" t="n"/>
      <c r="AM743" s="14" t="n"/>
      <c r="AN743" s="12" t="n"/>
      <c r="AO743" s="13" t="n"/>
      <c r="AP743" s="14" t="n"/>
      <c r="AQ743" s="12" t="n"/>
      <c r="AR743" s="13" t="n"/>
      <c r="AS743" s="14" t="n"/>
      <c r="AT743" s="12" t="n"/>
      <c r="AU743" s="13" t="n"/>
      <c r="AV743" s="14" t="n"/>
      <c r="AW743" s="12" t="n"/>
      <c r="AX743" s="13" t="n"/>
      <c r="AY743" s="14" t="n"/>
      <c r="AZ743" s="12" t="n"/>
      <c r="BA743" s="13" t="n"/>
      <c r="BB743" s="14" t="n"/>
      <c r="BC743" s="11">
        <f>IF(O743="","",IF(J743="GST 10%",ROUND(O743*set_GSTRate,2),0))</f>
        <v/>
      </c>
      <c r="BD743" s="11">
        <f>IF(O743="","",O743+BC743)</f>
        <v/>
      </c>
      <c r="BE743" s="15">
        <f>IF(O743="","",COUNTA(S743,V743,Y743,AB743,AE743,AH743,AK743,AN743,AQ743,AT743,AW743,AZ743))</f>
        <v/>
      </c>
      <c r="BF743" s="16">
        <f>IF(COUNT(T743,W743,Z743,AC743,AF743,AI743,AL743,AO743,AR743,AU743,AX743,BA743)=0,"",MAX(T743,W743,Z743,AC743,AF743,AI743,AL743,AO743,AR743,AU743,AX743,BA743))</f>
        <v/>
      </c>
      <c r="BG743" s="10">
        <f>MID(IF(S743="","",", "&amp;S743)&amp;IF(V743="","",", "&amp;V743)&amp;IF(Y743="","",", "&amp;Y743)&amp;IF(AB743="","",", "&amp;AB743)&amp;IF(AE743="","",", "&amp;AE743)&amp;IF(AH743="","",", "&amp;AH743)&amp;IF(AK743="","",", "&amp;AK743)&amp;IF(AN743="","",", "&amp;AN743)&amp;IF(AQ743="","",", "&amp;AQ743)&amp;IF(AT743="","",", "&amp;AT743)&amp;IF(AW743="","",", "&amp;AW743)&amp;IF(AZ743="","",", "&amp;AZ743),3,500)</f>
        <v/>
      </c>
      <c r="BH743" s="12" t="n"/>
      <c r="BI743" s="15">
        <f>IFERROR(MATCH($A743,IF($B743="Onsite",tbl_Onsite[Row ID],IF($B743="Production",tbl_Production[Row ID],tbl_Consulting[Row ID])),0),"")</f>
        <v/>
      </c>
    </row>
    <row r="744">
      <c r="A744" s="10" t="inlineStr">
        <is>
          <t>PRD-0238</t>
        </is>
      </c>
      <c r="B744" s="10" t="inlineStr">
        <is>
          <t>Production</t>
        </is>
      </c>
      <c r="C744" s="10">
        <f>IF($BI744="","",IF($B744="Onsite",INDEX(tbl_Onsite[Job Number],$BI744),IF($B744="Production",INDEX(tbl_Production[Job Number],$BI744),INDEX(tbl_Consulting[Job Number],$BI744)))&amp;"")</f>
        <v/>
      </c>
      <c r="D744" s="10">
        <f>IF($BI744="","",IF($B744="Onsite",INDEX(tbl_Onsite[Client],$BI744),IF($B744="Production",INDEX(tbl_Production[Client],$BI744),INDEX(tbl_Consulting[Client],$BI744)))&amp;"")</f>
        <v/>
      </c>
      <c r="E744" s="10">
        <f>IF($C744="","",IF(COUNTIF(lst_Jobs,$C744)&gt;0,"OK","CHECK"))</f>
        <v/>
      </c>
      <c r="F744" s="10">
        <f>IF($C744="","",IFERROR(INDEX(lst_JobName,MATCH($C744,lst_Jobs,0)),""))</f>
        <v/>
      </c>
      <c r="G744" s="10">
        <f>IF($BI744="","",IF($B744="Onsite",INDEX(tbl_Onsite[Job Description],$BI744),IF($B744="Production",INDEX(tbl_Production[Job Description],$BI744),INDEX(tbl_Consulting[Job Description],$BI744)))&amp;"")</f>
        <v/>
      </c>
      <c r="H744" s="10">
        <f>IF($BI744="","",IF($B744="Onsite",INDEX(tbl_Onsite[Cost Centre],$BI744),IF($B744="Production",INDEX(tbl_Production[Cost Centre],$BI744),INDEX(tbl_Consulting[Cost Centre],$BI744)))&amp;"")</f>
        <v/>
      </c>
      <c r="I744" s="10">
        <f>IF($BI744="","",IF($B744="Onsite",INDEX(tbl_Onsite[Invoice Type],$BI744),IF($B744="Production",INDEX(tbl_Production[Invoice Type],$BI744),INDEX(tbl_Consulting[Invoice Type],$BI744)))&amp;"")</f>
        <v/>
      </c>
      <c r="J744" s="10">
        <f>IF($BI744="","",IF($B744="Onsite",INDEX(tbl_Onsite[Tax Code],$BI744),IF($B744="Production",INDEX(tbl_Production[Tax Code],$BI744),INDEX(tbl_Consulting[Tax Code],$BI744)))&amp;"")</f>
        <v/>
      </c>
      <c r="K744" s="10">
        <f>IF(H744="","",IFERROR(INDEX(lst_CCtoGL,MATCH(H744,lst_CCforGL,0)),""))</f>
        <v/>
      </c>
      <c r="L744" s="10">
        <f>IF($BI744="","",IF($B744="Onsite",INDEX(tbl_Onsite[PO / Reference],$BI744),IF($B744="Production",INDEX(tbl_Production[Current RMS No],$BI744),INDEX(tbl_Consulting[Qwilr Quote],$BI744)))&amp;"")</f>
        <v/>
      </c>
      <c r="M744" s="10">
        <f>IF($BI744="","",IF($B744="Onsite",INDEX(tbl_Onsite[Notes],$BI744),IF($B744="Production",INDEX(tbl_Production[Notes],$BI744),INDEX(tbl_Consulting[Notes],$BI744)))&amp;"")</f>
        <v/>
      </c>
      <c r="N744" s="11">
        <f>IF($BI744="","",IF(IF($B744="Onsite",INDEX(tbl_Onsite[Expected Revenue Ex GST],$BI744),IF($B744="Production",INDEX(tbl_Production[Expected Revenue Ex GST],$BI744),INDEX(tbl_Consulting[Expected Revenue Ex GST],$BI744)))="","",IF($B744="Onsite",INDEX(tbl_Onsite[Expected Revenue Ex GST],$BI744),IF($B744="Production",INDEX(tbl_Production[Expected Revenue Ex GST],$BI744),INDEX(tbl_Consulting[Expected Revenue Ex GST],$BI744)))))</f>
        <v/>
      </c>
      <c r="O744" s="11">
        <f>IF(AND($C744="",NOT(COUNTA($S744:$BB744)&gt;0)),"",SUM(U744,X744,AA744,AD744,AG744,AJ744,AM744,AP744,AS744,AV744,AY744,BB744))</f>
        <v/>
      </c>
      <c r="P744" s="11">
        <f>IF(O744="","",N(N744)-O744)</f>
        <v/>
      </c>
      <c r="Q744" s="10">
        <f>IF(O744="","",IF($C744="","Invoice on empty job row",IF(N744="",IF(ROUND(O744,2)=0,"No dept value","Invoiced - no dept value"),IF(ROUND(O744,2)=0,"Not invoiced - to invoice",IF(ROUND(P744,2)=0,"Agrees",IF(P744&gt;0,"Dept higher - to invoice","Xero higher - check dept"))))))</f>
        <v/>
      </c>
      <c r="R744" s="10">
        <f>IF(AND($C744="",NOT(COUNTA($S744:$BB744)&gt;0),$BI744&lt;&gt;""),"",MID(IF($BI744="","; Row ID not found on the department sheet - a row was deleted","")&amp;IF(AND($C744="",COUNTA($S744:$BB744)&gt;0),"; Invoice entered but the department row has no job number","")&amp;IF(E744="CHECK","; Job number not in the Xero job list","")&amp;IF(AND($C744&lt;&gt;"",COUNTIF($C$7:$C$1506,$C744)&gt;1),"; Job number on more than one row","")&amp;IF(AND($C744&lt;&gt;"",H744=""),"; Dept has not set a cost centre","")&amp;IF(AND($C744&lt;&gt;"",J744=""),"; Dept has not set a tax code","")&amp;IF(AND($C744&lt;&gt;"",N744=""),"; Dept has not entered an expected value","")&amp;IF((IF(OR(COUNTA(S744:U744)=0,AND(COUNTA(S744:U744)=3,ISNUMBER(U744))),0,1)+IF(OR(COUNTA(V744:X744)=0,AND(COUNTA(V744:X744)=3,ISNUMBER(X744))),0,1)+IF(OR(COUNTA(Y744:AA744)=0,AND(COUNTA(Y744:AA744)=3,ISNUMBER(AA744))),0,1)+IF(OR(COUNTA(AB744:AD744)=0,AND(COUNTA(AB744:AD744)=3,ISNUMBER(AD744))),0,1)+IF(OR(COUNTA(AE744:AG744)=0,AND(COUNTA(AE744:AG744)=3,ISNUMBER(AG744))),0,1)+IF(OR(COUNTA(AH744:AJ744)=0,AND(COUNTA(AH744:AJ744)=3,ISNUMBER(AJ744))),0,1)+IF(OR(COUNTA(AK744:AM744)=0,AND(COUNTA(AK744:AM744)=3,ISNUMBER(AM744))),0,1)+IF(OR(COUNTA(AN744:AP744)=0,AND(COUNTA(AN744:AP744)=3,ISNUMBER(AP744))),0,1)+IF(OR(COUNTA(AQ744:AS744)=0,AND(COUNTA(AQ744:AS744)=3,ISNUMBER(AS744))),0,1)+IF(OR(COUNTA(AT744:AV744)=0,AND(COUNTA(AT744:AV744)=3,ISNUMBER(AV744))),0,1)+IF(OR(COUNTA(AW744:AY744)=0,AND(COUNTA(AW744:AY744)=3,ISNUMBER(AY744))),0,1)+IF(OR(COUNTA(AZ744:BB744)=0,AND(COUNTA(AZ744:BB744)=3,ISNUMBER(BB744))),0,1))&gt;0,"; An invoice is incomplete (needs No, Date and a number in Ex GST)","")&amp;IF((IF(T744="",0,IFERROR(--(EOMONTH(T744,0)&lt;&gt;S$5),1))+IF(W744="",0,IFERROR(--(EOMONTH(W744,0)&lt;&gt;V$5),1))+IF(Z744="",0,IFERROR(--(EOMONTH(Z744,0)&lt;&gt;Y$5),1))+IF(AC744="",0,IFERROR(--(EOMONTH(AC744,0)&lt;&gt;AB$5),1))+IF(AF744="",0,IFERROR(--(EOMONTH(AF744,0)&lt;&gt;AE$5),1))+IF(AI744="",0,IFERROR(--(EOMONTH(AI744,0)&lt;&gt;AH$5),1))+IF(AL744="",0,IFERROR(--(EOMONTH(AL744,0)&lt;&gt;AK$5),1))+IF(AO744="",0,IFERROR(--(EOMONTH(AO744,0)&lt;&gt;AN$5),1))+IF(AR744="",0,IFERROR(--(EOMONTH(AR744,0)&lt;&gt;AQ$5),1))+IF(AU744="",0,IFERROR(--(EOMONTH(AU744,0)&lt;&gt;AT$5),1))+IF(AX744="",0,IFERROR(--(EOMONTH(AX744,0)&lt;&gt;AW$5),1))+IF(BA744="",0,IFERROR(--(EOMONTH(BA744,0)&lt;&gt;AZ$5),1)))&gt;0,"; An invoice date is not in the month it is typed under",""),3,500))</f>
        <v/>
      </c>
      <c r="S744" s="12" t="n"/>
      <c r="T744" s="13" t="n"/>
      <c r="U744" s="14" t="n"/>
      <c r="V744" s="12" t="n"/>
      <c r="W744" s="13" t="n"/>
      <c r="X744" s="14" t="n"/>
      <c r="Y744" s="12" t="n"/>
      <c r="Z744" s="13" t="n"/>
      <c r="AA744" s="14" t="n"/>
      <c r="AB744" s="12" t="n"/>
      <c r="AC744" s="13" t="n"/>
      <c r="AD744" s="14" t="n"/>
      <c r="AE744" s="12" t="n"/>
      <c r="AF744" s="13" t="n"/>
      <c r="AG744" s="14" t="n"/>
      <c r="AH744" s="12" t="n"/>
      <c r="AI744" s="13" t="n"/>
      <c r="AJ744" s="14" t="n"/>
      <c r="AK744" s="12" t="n"/>
      <c r="AL744" s="13" t="n"/>
      <c r="AM744" s="14" t="n"/>
      <c r="AN744" s="12" t="n"/>
      <c r="AO744" s="13" t="n"/>
      <c r="AP744" s="14" t="n"/>
      <c r="AQ744" s="12" t="n"/>
      <c r="AR744" s="13" t="n"/>
      <c r="AS744" s="14" t="n"/>
      <c r="AT744" s="12" t="n"/>
      <c r="AU744" s="13" t="n"/>
      <c r="AV744" s="14" t="n"/>
      <c r="AW744" s="12" t="n"/>
      <c r="AX744" s="13" t="n"/>
      <c r="AY744" s="14" t="n"/>
      <c r="AZ744" s="12" t="n"/>
      <c r="BA744" s="13" t="n"/>
      <c r="BB744" s="14" t="n"/>
      <c r="BC744" s="11">
        <f>IF(O744="","",IF(J744="GST 10%",ROUND(O744*set_GSTRate,2),0))</f>
        <v/>
      </c>
      <c r="BD744" s="11">
        <f>IF(O744="","",O744+BC744)</f>
        <v/>
      </c>
      <c r="BE744" s="15">
        <f>IF(O744="","",COUNTA(S744,V744,Y744,AB744,AE744,AH744,AK744,AN744,AQ744,AT744,AW744,AZ744))</f>
        <v/>
      </c>
      <c r="BF744" s="16">
        <f>IF(COUNT(T744,W744,Z744,AC744,AF744,AI744,AL744,AO744,AR744,AU744,AX744,BA744)=0,"",MAX(T744,W744,Z744,AC744,AF744,AI744,AL744,AO744,AR744,AU744,AX744,BA744))</f>
        <v/>
      </c>
      <c r="BG744" s="10">
        <f>MID(IF(S744="","",", "&amp;S744)&amp;IF(V744="","",", "&amp;V744)&amp;IF(Y744="","",", "&amp;Y744)&amp;IF(AB744="","",", "&amp;AB744)&amp;IF(AE744="","",", "&amp;AE744)&amp;IF(AH744="","",", "&amp;AH744)&amp;IF(AK744="","",", "&amp;AK744)&amp;IF(AN744="","",", "&amp;AN744)&amp;IF(AQ744="","",", "&amp;AQ744)&amp;IF(AT744="","",", "&amp;AT744)&amp;IF(AW744="","",", "&amp;AW744)&amp;IF(AZ744="","",", "&amp;AZ744),3,500)</f>
        <v/>
      </c>
      <c r="BH744" s="12" t="n"/>
      <c r="BI744" s="15">
        <f>IFERROR(MATCH($A744,IF($B744="Onsite",tbl_Onsite[Row ID],IF($B744="Production",tbl_Production[Row ID],tbl_Consulting[Row ID])),0),"")</f>
        <v/>
      </c>
    </row>
    <row r="745">
      <c r="A745" s="10" t="inlineStr">
        <is>
          <t>PRD-0239</t>
        </is>
      </c>
      <c r="B745" s="10" t="inlineStr">
        <is>
          <t>Production</t>
        </is>
      </c>
      <c r="C745" s="10">
        <f>IF($BI745="","",IF($B745="Onsite",INDEX(tbl_Onsite[Job Number],$BI745),IF($B745="Production",INDEX(tbl_Production[Job Number],$BI745),INDEX(tbl_Consulting[Job Number],$BI745)))&amp;"")</f>
        <v/>
      </c>
      <c r="D745" s="10">
        <f>IF($BI745="","",IF($B745="Onsite",INDEX(tbl_Onsite[Client],$BI745),IF($B745="Production",INDEX(tbl_Production[Client],$BI745),INDEX(tbl_Consulting[Client],$BI745)))&amp;"")</f>
        <v/>
      </c>
      <c r="E745" s="10">
        <f>IF($C745="","",IF(COUNTIF(lst_Jobs,$C745)&gt;0,"OK","CHECK"))</f>
        <v/>
      </c>
      <c r="F745" s="10">
        <f>IF($C745="","",IFERROR(INDEX(lst_JobName,MATCH($C745,lst_Jobs,0)),""))</f>
        <v/>
      </c>
      <c r="G745" s="10">
        <f>IF($BI745="","",IF($B745="Onsite",INDEX(tbl_Onsite[Job Description],$BI745),IF($B745="Production",INDEX(tbl_Production[Job Description],$BI745),INDEX(tbl_Consulting[Job Description],$BI745)))&amp;"")</f>
        <v/>
      </c>
      <c r="H745" s="10">
        <f>IF($BI745="","",IF($B745="Onsite",INDEX(tbl_Onsite[Cost Centre],$BI745),IF($B745="Production",INDEX(tbl_Production[Cost Centre],$BI745),INDEX(tbl_Consulting[Cost Centre],$BI745)))&amp;"")</f>
        <v/>
      </c>
      <c r="I745" s="10">
        <f>IF($BI745="","",IF($B745="Onsite",INDEX(tbl_Onsite[Invoice Type],$BI745),IF($B745="Production",INDEX(tbl_Production[Invoice Type],$BI745),INDEX(tbl_Consulting[Invoice Type],$BI745)))&amp;"")</f>
        <v/>
      </c>
      <c r="J745" s="10">
        <f>IF($BI745="","",IF($B745="Onsite",INDEX(tbl_Onsite[Tax Code],$BI745),IF($B745="Production",INDEX(tbl_Production[Tax Code],$BI745),INDEX(tbl_Consulting[Tax Code],$BI745)))&amp;"")</f>
        <v/>
      </c>
      <c r="K745" s="10">
        <f>IF(H745="","",IFERROR(INDEX(lst_CCtoGL,MATCH(H745,lst_CCforGL,0)),""))</f>
        <v/>
      </c>
      <c r="L745" s="10">
        <f>IF($BI745="","",IF($B745="Onsite",INDEX(tbl_Onsite[PO / Reference],$BI745),IF($B745="Production",INDEX(tbl_Production[Current RMS No],$BI745),INDEX(tbl_Consulting[Qwilr Quote],$BI745)))&amp;"")</f>
        <v/>
      </c>
      <c r="M745" s="10">
        <f>IF($BI745="","",IF($B745="Onsite",INDEX(tbl_Onsite[Notes],$BI745),IF($B745="Production",INDEX(tbl_Production[Notes],$BI745),INDEX(tbl_Consulting[Notes],$BI745)))&amp;"")</f>
        <v/>
      </c>
      <c r="N745" s="11">
        <f>IF($BI745="","",IF(IF($B745="Onsite",INDEX(tbl_Onsite[Expected Revenue Ex GST],$BI745),IF($B745="Production",INDEX(tbl_Production[Expected Revenue Ex GST],$BI745),INDEX(tbl_Consulting[Expected Revenue Ex GST],$BI745)))="","",IF($B745="Onsite",INDEX(tbl_Onsite[Expected Revenue Ex GST],$BI745),IF($B745="Production",INDEX(tbl_Production[Expected Revenue Ex GST],$BI745),INDEX(tbl_Consulting[Expected Revenue Ex GST],$BI745)))))</f>
        <v/>
      </c>
      <c r="O745" s="11">
        <f>IF(AND($C745="",NOT(COUNTA($S745:$BB745)&gt;0)),"",SUM(U745,X745,AA745,AD745,AG745,AJ745,AM745,AP745,AS745,AV745,AY745,BB745))</f>
        <v/>
      </c>
      <c r="P745" s="11">
        <f>IF(O745="","",N(N745)-O745)</f>
        <v/>
      </c>
      <c r="Q745" s="10">
        <f>IF(O745="","",IF($C745="","Invoice on empty job row",IF(N745="",IF(ROUND(O745,2)=0,"No dept value","Invoiced - no dept value"),IF(ROUND(O745,2)=0,"Not invoiced - to invoice",IF(ROUND(P745,2)=0,"Agrees",IF(P745&gt;0,"Dept higher - to invoice","Xero higher - check dept"))))))</f>
        <v/>
      </c>
      <c r="R745" s="10">
        <f>IF(AND($C745="",NOT(COUNTA($S745:$BB745)&gt;0),$BI745&lt;&gt;""),"",MID(IF($BI745="","; Row ID not found on the department sheet - a row was deleted","")&amp;IF(AND($C745="",COUNTA($S745:$BB745)&gt;0),"; Invoice entered but the department row has no job number","")&amp;IF(E745="CHECK","; Job number not in the Xero job list","")&amp;IF(AND($C745&lt;&gt;"",COUNTIF($C$7:$C$1506,$C745)&gt;1),"; Job number on more than one row","")&amp;IF(AND($C745&lt;&gt;"",H745=""),"; Dept has not set a cost centre","")&amp;IF(AND($C745&lt;&gt;"",J745=""),"; Dept has not set a tax code","")&amp;IF(AND($C745&lt;&gt;"",N745=""),"; Dept has not entered an expected value","")&amp;IF((IF(OR(COUNTA(S745:U745)=0,AND(COUNTA(S745:U745)=3,ISNUMBER(U745))),0,1)+IF(OR(COUNTA(V745:X745)=0,AND(COUNTA(V745:X745)=3,ISNUMBER(X745))),0,1)+IF(OR(COUNTA(Y745:AA745)=0,AND(COUNTA(Y745:AA745)=3,ISNUMBER(AA745))),0,1)+IF(OR(COUNTA(AB745:AD745)=0,AND(COUNTA(AB745:AD745)=3,ISNUMBER(AD745))),0,1)+IF(OR(COUNTA(AE745:AG745)=0,AND(COUNTA(AE745:AG745)=3,ISNUMBER(AG745))),0,1)+IF(OR(COUNTA(AH745:AJ745)=0,AND(COUNTA(AH745:AJ745)=3,ISNUMBER(AJ745))),0,1)+IF(OR(COUNTA(AK745:AM745)=0,AND(COUNTA(AK745:AM745)=3,ISNUMBER(AM745))),0,1)+IF(OR(COUNTA(AN745:AP745)=0,AND(COUNTA(AN745:AP745)=3,ISNUMBER(AP745))),0,1)+IF(OR(COUNTA(AQ745:AS745)=0,AND(COUNTA(AQ745:AS745)=3,ISNUMBER(AS745))),0,1)+IF(OR(COUNTA(AT745:AV745)=0,AND(COUNTA(AT745:AV745)=3,ISNUMBER(AV745))),0,1)+IF(OR(COUNTA(AW745:AY745)=0,AND(COUNTA(AW745:AY745)=3,ISNUMBER(AY745))),0,1)+IF(OR(COUNTA(AZ745:BB745)=0,AND(COUNTA(AZ745:BB745)=3,ISNUMBER(BB745))),0,1))&gt;0,"; An invoice is incomplete (needs No, Date and a number in Ex GST)","")&amp;IF((IF(T745="",0,IFERROR(--(EOMONTH(T745,0)&lt;&gt;S$5),1))+IF(W745="",0,IFERROR(--(EOMONTH(W745,0)&lt;&gt;V$5),1))+IF(Z745="",0,IFERROR(--(EOMONTH(Z745,0)&lt;&gt;Y$5),1))+IF(AC745="",0,IFERROR(--(EOMONTH(AC745,0)&lt;&gt;AB$5),1))+IF(AF745="",0,IFERROR(--(EOMONTH(AF745,0)&lt;&gt;AE$5),1))+IF(AI745="",0,IFERROR(--(EOMONTH(AI745,0)&lt;&gt;AH$5),1))+IF(AL745="",0,IFERROR(--(EOMONTH(AL745,0)&lt;&gt;AK$5),1))+IF(AO745="",0,IFERROR(--(EOMONTH(AO745,0)&lt;&gt;AN$5),1))+IF(AR745="",0,IFERROR(--(EOMONTH(AR745,0)&lt;&gt;AQ$5),1))+IF(AU745="",0,IFERROR(--(EOMONTH(AU745,0)&lt;&gt;AT$5),1))+IF(AX745="",0,IFERROR(--(EOMONTH(AX745,0)&lt;&gt;AW$5),1))+IF(BA745="",0,IFERROR(--(EOMONTH(BA745,0)&lt;&gt;AZ$5),1)))&gt;0,"; An invoice date is not in the month it is typed under",""),3,500))</f>
        <v/>
      </c>
      <c r="S745" s="12" t="n"/>
      <c r="T745" s="13" t="n"/>
      <c r="U745" s="14" t="n"/>
      <c r="V745" s="12" t="n"/>
      <c r="W745" s="13" t="n"/>
      <c r="X745" s="14" t="n"/>
      <c r="Y745" s="12" t="n"/>
      <c r="Z745" s="13" t="n"/>
      <c r="AA745" s="14" t="n"/>
      <c r="AB745" s="12" t="n"/>
      <c r="AC745" s="13" t="n"/>
      <c r="AD745" s="14" t="n"/>
      <c r="AE745" s="12" t="n"/>
      <c r="AF745" s="13" t="n"/>
      <c r="AG745" s="14" t="n"/>
      <c r="AH745" s="12" t="n"/>
      <c r="AI745" s="13" t="n"/>
      <c r="AJ745" s="14" t="n"/>
      <c r="AK745" s="12" t="n"/>
      <c r="AL745" s="13" t="n"/>
      <c r="AM745" s="14" t="n"/>
      <c r="AN745" s="12" t="n"/>
      <c r="AO745" s="13" t="n"/>
      <c r="AP745" s="14" t="n"/>
      <c r="AQ745" s="12" t="n"/>
      <c r="AR745" s="13" t="n"/>
      <c r="AS745" s="14" t="n"/>
      <c r="AT745" s="12" t="n"/>
      <c r="AU745" s="13" t="n"/>
      <c r="AV745" s="14" t="n"/>
      <c r="AW745" s="12" t="n"/>
      <c r="AX745" s="13" t="n"/>
      <c r="AY745" s="14" t="n"/>
      <c r="AZ745" s="12" t="n"/>
      <c r="BA745" s="13" t="n"/>
      <c r="BB745" s="14" t="n"/>
      <c r="BC745" s="11">
        <f>IF(O745="","",IF(J745="GST 10%",ROUND(O745*set_GSTRate,2),0))</f>
        <v/>
      </c>
      <c r="BD745" s="11">
        <f>IF(O745="","",O745+BC745)</f>
        <v/>
      </c>
      <c r="BE745" s="15">
        <f>IF(O745="","",COUNTA(S745,V745,Y745,AB745,AE745,AH745,AK745,AN745,AQ745,AT745,AW745,AZ745))</f>
        <v/>
      </c>
      <c r="BF745" s="16">
        <f>IF(COUNT(T745,W745,Z745,AC745,AF745,AI745,AL745,AO745,AR745,AU745,AX745,BA745)=0,"",MAX(T745,W745,Z745,AC745,AF745,AI745,AL745,AO745,AR745,AU745,AX745,BA745))</f>
        <v/>
      </c>
      <c r="BG745" s="10">
        <f>MID(IF(S745="","",", "&amp;S745)&amp;IF(V745="","",", "&amp;V745)&amp;IF(Y745="","",", "&amp;Y745)&amp;IF(AB745="","",", "&amp;AB745)&amp;IF(AE745="","",", "&amp;AE745)&amp;IF(AH745="","",", "&amp;AH745)&amp;IF(AK745="","",", "&amp;AK745)&amp;IF(AN745="","",", "&amp;AN745)&amp;IF(AQ745="","",", "&amp;AQ745)&amp;IF(AT745="","",", "&amp;AT745)&amp;IF(AW745="","",", "&amp;AW745)&amp;IF(AZ745="","",", "&amp;AZ745),3,500)</f>
        <v/>
      </c>
      <c r="BH745" s="12" t="n"/>
      <c r="BI745" s="15">
        <f>IFERROR(MATCH($A745,IF($B745="Onsite",tbl_Onsite[Row ID],IF($B745="Production",tbl_Production[Row ID],tbl_Consulting[Row ID])),0),"")</f>
        <v/>
      </c>
    </row>
    <row r="746">
      <c r="A746" s="10" t="inlineStr">
        <is>
          <t>PRD-0240</t>
        </is>
      </c>
      <c r="B746" s="10" t="inlineStr">
        <is>
          <t>Production</t>
        </is>
      </c>
      <c r="C746" s="10">
        <f>IF($BI746="","",IF($B746="Onsite",INDEX(tbl_Onsite[Job Number],$BI746),IF($B746="Production",INDEX(tbl_Production[Job Number],$BI746),INDEX(tbl_Consulting[Job Number],$BI746)))&amp;"")</f>
        <v/>
      </c>
      <c r="D746" s="10">
        <f>IF($BI746="","",IF($B746="Onsite",INDEX(tbl_Onsite[Client],$BI746),IF($B746="Production",INDEX(tbl_Production[Client],$BI746),INDEX(tbl_Consulting[Client],$BI746)))&amp;"")</f>
        <v/>
      </c>
      <c r="E746" s="10">
        <f>IF($C746="","",IF(COUNTIF(lst_Jobs,$C746)&gt;0,"OK","CHECK"))</f>
        <v/>
      </c>
      <c r="F746" s="10">
        <f>IF($C746="","",IFERROR(INDEX(lst_JobName,MATCH($C746,lst_Jobs,0)),""))</f>
        <v/>
      </c>
      <c r="G746" s="10">
        <f>IF($BI746="","",IF($B746="Onsite",INDEX(tbl_Onsite[Job Description],$BI746),IF($B746="Production",INDEX(tbl_Production[Job Description],$BI746),INDEX(tbl_Consulting[Job Description],$BI746)))&amp;"")</f>
        <v/>
      </c>
      <c r="H746" s="10">
        <f>IF($BI746="","",IF($B746="Onsite",INDEX(tbl_Onsite[Cost Centre],$BI746),IF($B746="Production",INDEX(tbl_Production[Cost Centre],$BI746),INDEX(tbl_Consulting[Cost Centre],$BI746)))&amp;"")</f>
        <v/>
      </c>
      <c r="I746" s="10">
        <f>IF($BI746="","",IF($B746="Onsite",INDEX(tbl_Onsite[Invoice Type],$BI746),IF($B746="Production",INDEX(tbl_Production[Invoice Type],$BI746),INDEX(tbl_Consulting[Invoice Type],$BI746)))&amp;"")</f>
        <v/>
      </c>
      <c r="J746" s="10">
        <f>IF($BI746="","",IF($B746="Onsite",INDEX(tbl_Onsite[Tax Code],$BI746),IF($B746="Production",INDEX(tbl_Production[Tax Code],$BI746),INDEX(tbl_Consulting[Tax Code],$BI746)))&amp;"")</f>
        <v/>
      </c>
      <c r="K746" s="10">
        <f>IF(H746="","",IFERROR(INDEX(lst_CCtoGL,MATCH(H746,lst_CCforGL,0)),""))</f>
        <v/>
      </c>
      <c r="L746" s="10">
        <f>IF($BI746="","",IF($B746="Onsite",INDEX(tbl_Onsite[PO / Reference],$BI746),IF($B746="Production",INDEX(tbl_Production[Current RMS No],$BI746),INDEX(tbl_Consulting[Qwilr Quote],$BI746)))&amp;"")</f>
        <v/>
      </c>
      <c r="M746" s="10">
        <f>IF($BI746="","",IF($B746="Onsite",INDEX(tbl_Onsite[Notes],$BI746),IF($B746="Production",INDEX(tbl_Production[Notes],$BI746),INDEX(tbl_Consulting[Notes],$BI746)))&amp;"")</f>
        <v/>
      </c>
      <c r="N746" s="11">
        <f>IF($BI746="","",IF(IF($B746="Onsite",INDEX(tbl_Onsite[Expected Revenue Ex GST],$BI746),IF($B746="Production",INDEX(tbl_Production[Expected Revenue Ex GST],$BI746),INDEX(tbl_Consulting[Expected Revenue Ex GST],$BI746)))="","",IF($B746="Onsite",INDEX(tbl_Onsite[Expected Revenue Ex GST],$BI746),IF($B746="Production",INDEX(tbl_Production[Expected Revenue Ex GST],$BI746),INDEX(tbl_Consulting[Expected Revenue Ex GST],$BI746)))))</f>
        <v/>
      </c>
      <c r="O746" s="11">
        <f>IF(AND($C746="",NOT(COUNTA($S746:$BB746)&gt;0)),"",SUM(U746,X746,AA746,AD746,AG746,AJ746,AM746,AP746,AS746,AV746,AY746,BB746))</f>
        <v/>
      </c>
      <c r="P746" s="11">
        <f>IF(O746="","",N(N746)-O746)</f>
        <v/>
      </c>
      <c r="Q746" s="10">
        <f>IF(O746="","",IF($C746="","Invoice on empty job row",IF(N746="",IF(ROUND(O746,2)=0,"No dept value","Invoiced - no dept value"),IF(ROUND(O746,2)=0,"Not invoiced - to invoice",IF(ROUND(P746,2)=0,"Agrees",IF(P746&gt;0,"Dept higher - to invoice","Xero higher - check dept"))))))</f>
        <v/>
      </c>
      <c r="R746" s="10">
        <f>IF(AND($C746="",NOT(COUNTA($S746:$BB746)&gt;0),$BI746&lt;&gt;""),"",MID(IF($BI746="","; Row ID not found on the department sheet - a row was deleted","")&amp;IF(AND($C746="",COUNTA($S746:$BB746)&gt;0),"; Invoice entered but the department row has no job number","")&amp;IF(E746="CHECK","; Job number not in the Xero job list","")&amp;IF(AND($C746&lt;&gt;"",COUNTIF($C$7:$C$1506,$C746)&gt;1),"; Job number on more than one row","")&amp;IF(AND($C746&lt;&gt;"",H746=""),"; Dept has not set a cost centre","")&amp;IF(AND($C746&lt;&gt;"",J746=""),"; Dept has not set a tax code","")&amp;IF(AND($C746&lt;&gt;"",N746=""),"; Dept has not entered an expected value","")&amp;IF((IF(OR(COUNTA(S746:U746)=0,AND(COUNTA(S746:U746)=3,ISNUMBER(U746))),0,1)+IF(OR(COUNTA(V746:X746)=0,AND(COUNTA(V746:X746)=3,ISNUMBER(X746))),0,1)+IF(OR(COUNTA(Y746:AA746)=0,AND(COUNTA(Y746:AA746)=3,ISNUMBER(AA746))),0,1)+IF(OR(COUNTA(AB746:AD746)=0,AND(COUNTA(AB746:AD746)=3,ISNUMBER(AD746))),0,1)+IF(OR(COUNTA(AE746:AG746)=0,AND(COUNTA(AE746:AG746)=3,ISNUMBER(AG746))),0,1)+IF(OR(COUNTA(AH746:AJ746)=0,AND(COUNTA(AH746:AJ746)=3,ISNUMBER(AJ746))),0,1)+IF(OR(COUNTA(AK746:AM746)=0,AND(COUNTA(AK746:AM746)=3,ISNUMBER(AM746))),0,1)+IF(OR(COUNTA(AN746:AP746)=0,AND(COUNTA(AN746:AP746)=3,ISNUMBER(AP746))),0,1)+IF(OR(COUNTA(AQ746:AS746)=0,AND(COUNTA(AQ746:AS746)=3,ISNUMBER(AS746))),0,1)+IF(OR(COUNTA(AT746:AV746)=0,AND(COUNTA(AT746:AV746)=3,ISNUMBER(AV746))),0,1)+IF(OR(COUNTA(AW746:AY746)=0,AND(COUNTA(AW746:AY746)=3,ISNUMBER(AY746))),0,1)+IF(OR(COUNTA(AZ746:BB746)=0,AND(COUNTA(AZ746:BB746)=3,ISNUMBER(BB746))),0,1))&gt;0,"; An invoice is incomplete (needs No, Date and a number in Ex GST)","")&amp;IF((IF(T746="",0,IFERROR(--(EOMONTH(T746,0)&lt;&gt;S$5),1))+IF(W746="",0,IFERROR(--(EOMONTH(W746,0)&lt;&gt;V$5),1))+IF(Z746="",0,IFERROR(--(EOMONTH(Z746,0)&lt;&gt;Y$5),1))+IF(AC746="",0,IFERROR(--(EOMONTH(AC746,0)&lt;&gt;AB$5),1))+IF(AF746="",0,IFERROR(--(EOMONTH(AF746,0)&lt;&gt;AE$5),1))+IF(AI746="",0,IFERROR(--(EOMONTH(AI746,0)&lt;&gt;AH$5),1))+IF(AL746="",0,IFERROR(--(EOMONTH(AL746,0)&lt;&gt;AK$5),1))+IF(AO746="",0,IFERROR(--(EOMONTH(AO746,0)&lt;&gt;AN$5),1))+IF(AR746="",0,IFERROR(--(EOMONTH(AR746,0)&lt;&gt;AQ$5),1))+IF(AU746="",0,IFERROR(--(EOMONTH(AU746,0)&lt;&gt;AT$5),1))+IF(AX746="",0,IFERROR(--(EOMONTH(AX746,0)&lt;&gt;AW$5),1))+IF(BA746="",0,IFERROR(--(EOMONTH(BA746,0)&lt;&gt;AZ$5),1)))&gt;0,"; An invoice date is not in the month it is typed under",""),3,500))</f>
        <v/>
      </c>
      <c r="S746" s="12" t="n"/>
      <c r="T746" s="13" t="n"/>
      <c r="U746" s="14" t="n"/>
      <c r="V746" s="12" t="n"/>
      <c r="W746" s="13" t="n"/>
      <c r="X746" s="14" t="n"/>
      <c r="Y746" s="12" t="n"/>
      <c r="Z746" s="13" t="n"/>
      <c r="AA746" s="14" t="n"/>
      <c r="AB746" s="12" t="n"/>
      <c r="AC746" s="13" t="n"/>
      <c r="AD746" s="14" t="n"/>
      <c r="AE746" s="12" t="n"/>
      <c r="AF746" s="13" t="n"/>
      <c r="AG746" s="14" t="n"/>
      <c r="AH746" s="12" t="n"/>
      <c r="AI746" s="13" t="n"/>
      <c r="AJ746" s="14" t="n"/>
      <c r="AK746" s="12" t="n"/>
      <c r="AL746" s="13" t="n"/>
      <c r="AM746" s="14" t="n"/>
      <c r="AN746" s="12" t="n"/>
      <c r="AO746" s="13" t="n"/>
      <c r="AP746" s="14" t="n"/>
      <c r="AQ746" s="12" t="n"/>
      <c r="AR746" s="13" t="n"/>
      <c r="AS746" s="14" t="n"/>
      <c r="AT746" s="12" t="n"/>
      <c r="AU746" s="13" t="n"/>
      <c r="AV746" s="14" t="n"/>
      <c r="AW746" s="12" t="n"/>
      <c r="AX746" s="13" t="n"/>
      <c r="AY746" s="14" t="n"/>
      <c r="AZ746" s="12" t="n"/>
      <c r="BA746" s="13" t="n"/>
      <c r="BB746" s="14" t="n"/>
      <c r="BC746" s="11">
        <f>IF(O746="","",IF(J746="GST 10%",ROUND(O746*set_GSTRate,2),0))</f>
        <v/>
      </c>
      <c r="BD746" s="11">
        <f>IF(O746="","",O746+BC746)</f>
        <v/>
      </c>
      <c r="BE746" s="15">
        <f>IF(O746="","",COUNTA(S746,V746,Y746,AB746,AE746,AH746,AK746,AN746,AQ746,AT746,AW746,AZ746))</f>
        <v/>
      </c>
      <c r="BF746" s="16">
        <f>IF(COUNT(T746,W746,Z746,AC746,AF746,AI746,AL746,AO746,AR746,AU746,AX746,BA746)=0,"",MAX(T746,W746,Z746,AC746,AF746,AI746,AL746,AO746,AR746,AU746,AX746,BA746))</f>
        <v/>
      </c>
      <c r="BG746" s="10">
        <f>MID(IF(S746="","",", "&amp;S746)&amp;IF(V746="","",", "&amp;V746)&amp;IF(Y746="","",", "&amp;Y746)&amp;IF(AB746="","",", "&amp;AB746)&amp;IF(AE746="","",", "&amp;AE746)&amp;IF(AH746="","",", "&amp;AH746)&amp;IF(AK746="","",", "&amp;AK746)&amp;IF(AN746="","",", "&amp;AN746)&amp;IF(AQ746="","",", "&amp;AQ746)&amp;IF(AT746="","",", "&amp;AT746)&amp;IF(AW746="","",", "&amp;AW746)&amp;IF(AZ746="","",", "&amp;AZ746),3,500)</f>
        <v/>
      </c>
      <c r="BH746" s="12" t="n"/>
      <c r="BI746" s="15">
        <f>IFERROR(MATCH($A746,IF($B746="Onsite",tbl_Onsite[Row ID],IF($B746="Production",tbl_Production[Row ID],tbl_Consulting[Row ID])),0),"")</f>
        <v/>
      </c>
    </row>
    <row r="747">
      <c r="A747" s="10" t="inlineStr">
        <is>
          <t>PRD-0241</t>
        </is>
      </c>
      <c r="B747" s="10" t="inlineStr">
        <is>
          <t>Production</t>
        </is>
      </c>
      <c r="C747" s="10">
        <f>IF($BI747="","",IF($B747="Onsite",INDEX(tbl_Onsite[Job Number],$BI747),IF($B747="Production",INDEX(tbl_Production[Job Number],$BI747),INDEX(tbl_Consulting[Job Number],$BI747)))&amp;"")</f>
        <v/>
      </c>
      <c r="D747" s="10">
        <f>IF($BI747="","",IF($B747="Onsite",INDEX(tbl_Onsite[Client],$BI747),IF($B747="Production",INDEX(tbl_Production[Client],$BI747),INDEX(tbl_Consulting[Client],$BI747)))&amp;"")</f>
        <v/>
      </c>
      <c r="E747" s="10">
        <f>IF($C747="","",IF(COUNTIF(lst_Jobs,$C747)&gt;0,"OK","CHECK"))</f>
        <v/>
      </c>
      <c r="F747" s="10">
        <f>IF($C747="","",IFERROR(INDEX(lst_JobName,MATCH($C747,lst_Jobs,0)),""))</f>
        <v/>
      </c>
      <c r="G747" s="10">
        <f>IF($BI747="","",IF($B747="Onsite",INDEX(tbl_Onsite[Job Description],$BI747),IF($B747="Production",INDEX(tbl_Production[Job Description],$BI747),INDEX(tbl_Consulting[Job Description],$BI747)))&amp;"")</f>
        <v/>
      </c>
      <c r="H747" s="10">
        <f>IF($BI747="","",IF($B747="Onsite",INDEX(tbl_Onsite[Cost Centre],$BI747),IF($B747="Production",INDEX(tbl_Production[Cost Centre],$BI747),INDEX(tbl_Consulting[Cost Centre],$BI747)))&amp;"")</f>
        <v/>
      </c>
      <c r="I747" s="10">
        <f>IF($BI747="","",IF($B747="Onsite",INDEX(tbl_Onsite[Invoice Type],$BI747),IF($B747="Production",INDEX(tbl_Production[Invoice Type],$BI747),INDEX(tbl_Consulting[Invoice Type],$BI747)))&amp;"")</f>
        <v/>
      </c>
      <c r="J747" s="10">
        <f>IF($BI747="","",IF($B747="Onsite",INDEX(tbl_Onsite[Tax Code],$BI747),IF($B747="Production",INDEX(tbl_Production[Tax Code],$BI747),INDEX(tbl_Consulting[Tax Code],$BI747)))&amp;"")</f>
        <v/>
      </c>
      <c r="K747" s="10">
        <f>IF(H747="","",IFERROR(INDEX(lst_CCtoGL,MATCH(H747,lst_CCforGL,0)),""))</f>
        <v/>
      </c>
      <c r="L747" s="10">
        <f>IF($BI747="","",IF($B747="Onsite",INDEX(tbl_Onsite[PO / Reference],$BI747),IF($B747="Production",INDEX(tbl_Production[Current RMS No],$BI747),INDEX(tbl_Consulting[Qwilr Quote],$BI747)))&amp;"")</f>
        <v/>
      </c>
      <c r="M747" s="10">
        <f>IF($BI747="","",IF($B747="Onsite",INDEX(tbl_Onsite[Notes],$BI747),IF($B747="Production",INDEX(tbl_Production[Notes],$BI747),INDEX(tbl_Consulting[Notes],$BI747)))&amp;"")</f>
        <v/>
      </c>
      <c r="N747" s="11">
        <f>IF($BI747="","",IF(IF($B747="Onsite",INDEX(tbl_Onsite[Expected Revenue Ex GST],$BI747),IF($B747="Production",INDEX(tbl_Production[Expected Revenue Ex GST],$BI747),INDEX(tbl_Consulting[Expected Revenue Ex GST],$BI747)))="","",IF($B747="Onsite",INDEX(tbl_Onsite[Expected Revenue Ex GST],$BI747),IF($B747="Production",INDEX(tbl_Production[Expected Revenue Ex GST],$BI747),INDEX(tbl_Consulting[Expected Revenue Ex GST],$BI747)))))</f>
        <v/>
      </c>
      <c r="O747" s="11">
        <f>IF(AND($C747="",NOT(COUNTA($S747:$BB747)&gt;0)),"",SUM(U747,X747,AA747,AD747,AG747,AJ747,AM747,AP747,AS747,AV747,AY747,BB747))</f>
        <v/>
      </c>
      <c r="P747" s="11">
        <f>IF(O747="","",N(N747)-O747)</f>
        <v/>
      </c>
      <c r="Q747" s="10">
        <f>IF(O747="","",IF($C747="","Invoice on empty job row",IF(N747="",IF(ROUND(O747,2)=0,"No dept value","Invoiced - no dept value"),IF(ROUND(O747,2)=0,"Not invoiced - to invoice",IF(ROUND(P747,2)=0,"Agrees",IF(P747&gt;0,"Dept higher - to invoice","Xero higher - check dept"))))))</f>
        <v/>
      </c>
      <c r="R747" s="10">
        <f>IF(AND($C747="",NOT(COUNTA($S747:$BB747)&gt;0),$BI747&lt;&gt;""),"",MID(IF($BI747="","; Row ID not found on the department sheet - a row was deleted","")&amp;IF(AND($C747="",COUNTA($S747:$BB747)&gt;0),"; Invoice entered but the department row has no job number","")&amp;IF(E747="CHECK","; Job number not in the Xero job list","")&amp;IF(AND($C747&lt;&gt;"",COUNTIF($C$7:$C$1506,$C747)&gt;1),"; Job number on more than one row","")&amp;IF(AND($C747&lt;&gt;"",H747=""),"; Dept has not set a cost centre","")&amp;IF(AND($C747&lt;&gt;"",J747=""),"; Dept has not set a tax code","")&amp;IF(AND($C747&lt;&gt;"",N747=""),"; Dept has not entered an expected value","")&amp;IF((IF(OR(COUNTA(S747:U747)=0,AND(COUNTA(S747:U747)=3,ISNUMBER(U747))),0,1)+IF(OR(COUNTA(V747:X747)=0,AND(COUNTA(V747:X747)=3,ISNUMBER(X747))),0,1)+IF(OR(COUNTA(Y747:AA747)=0,AND(COUNTA(Y747:AA747)=3,ISNUMBER(AA747))),0,1)+IF(OR(COUNTA(AB747:AD747)=0,AND(COUNTA(AB747:AD747)=3,ISNUMBER(AD747))),0,1)+IF(OR(COUNTA(AE747:AG747)=0,AND(COUNTA(AE747:AG747)=3,ISNUMBER(AG747))),0,1)+IF(OR(COUNTA(AH747:AJ747)=0,AND(COUNTA(AH747:AJ747)=3,ISNUMBER(AJ747))),0,1)+IF(OR(COUNTA(AK747:AM747)=0,AND(COUNTA(AK747:AM747)=3,ISNUMBER(AM747))),0,1)+IF(OR(COUNTA(AN747:AP747)=0,AND(COUNTA(AN747:AP747)=3,ISNUMBER(AP747))),0,1)+IF(OR(COUNTA(AQ747:AS747)=0,AND(COUNTA(AQ747:AS747)=3,ISNUMBER(AS747))),0,1)+IF(OR(COUNTA(AT747:AV747)=0,AND(COUNTA(AT747:AV747)=3,ISNUMBER(AV747))),0,1)+IF(OR(COUNTA(AW747:AY747)=0,AND(COUNTA(AW747:AY747)=3,ISNUMBER(AY747))),0,1)+IF(OR(COUNTA(AZ747:BB747)=0,AND(COUNTA(AZ747:BB747)=3,ISNUMBER(BB747))),0,1))&gt;0,"; An invoice is incomplete (needs No, Date and a number in Ex GST)","")&amp;IF((IF(T747="",0,IFERROR(--(EOMONTH(T747,0)&lt;&gt;S$5),1))+IF(W747="",0,IFERROR(--(EOMONTH(W747,0)&lt;&gt;V$5),1))+IF(Z747="",0,IFERROR(--(EOMONTH(Z747,0)&lt;&gt;Y$5),1))+IF(AC747="",0,IFERROR(--(EOMONTH(AC747,0)&lt;&gt;AB$5),1))+IF(AF747="",0,IFERROR(--(EOMONTH(AF747,0)&lt;&gt;AE$5),1))+IF(AI747="",0,IFERROR(--(EOMONTH(AI747,0)&lt;&gt;AH$5),1))+IF(AL747="",0,IFERROR(--(EOMONTH(AL747,0)&lt;&gt;AK$5),1))+IF(AO747="",0,IFERROR(--(EOMONTH(AO747,0)&lt;&gt;AN$5),1))+IF(AR747="",0,IFERROR(--(EOMONTH(AR747,0)&lt;&gt;AQ$5),1))+IF(AU747="",0,IFERROR(--(EOMONTH(AU747,0)&lt;&gt;AT$5),1))+IF(AX747="",0,IFERROR(--(EOMONTH(AX747,0)&lt;&gt;AW$5),1))+IF(BA747="",0,IFERROR(--(EOMONTH(BA747,0)&lt;&gt;AZ$5),1)))&gt;0,"; An invoice date is not in the month it is typed under",""),3,500))</f>
        <v/>
      </c>
      <c r="S747" s="12" t="n"/>
      <c r="T747" s="13" t="n"/>
      <c r="U747" s="14" t="n"/>
      <c r="V747" s="12" t="n"/>
      <c r="W747" s="13" t="n"/>
      <c r="X747" s="14" t="n"/>
      <c r="Y747" s="12" t="n"/>
      <c r="Z747" s="13" t="n"/>
      <c r="AA747" s="14" t="n"/>
      <c r="AB747" s="12" t="n"/>
      <c r="AC747" s="13" t="n"/>
      <c r="AD747" s="14" t="n"/>
      <c r="AE747" s="12" t="n"/>
      <c r="AF747" s="13" t="n"/>
      <c r="AG747" s="14" t="n"/>
      <c r="AH747" s="12" t="n"/>
      <c r="AI747" s="13" t="n"/>
      <c r="AJ747" s="14" t="n"/>
      <c r="AK747" s="12" t="n"/>
      <c r="AL747" s="13" t="n"/>
      <c r="AM747" s="14" t="n"/>
      <c r="AN747" s="12" t="n"/>
      <c r="AO747" s="13" t="n"/>
      <c r="AP747" s="14" t="n"/>
      <c r="AQ747" s="12" t="n"/>
      <c r="AR747" s="13" t="n"/>
      <c r="AS747" s="14" t="n"/>
      <c r="AT747" s="12" t="n"/>
      <c r="AU747" s="13" t="n"/>
      <c r="AV747" s="14" t="n"/>
      <c r="AW747" s="12" t="n"/>
      <c r="AX747" s="13" t="n"/>
      <c r="AY747" s="14" t="n"/>
      <c r="AZ747" s="12" t="n"/>
      <c r="BA747" s="13" t="n"/>
      <c r="BB747" s="14" t="n"/>
      <c r="BC747" s="11">
        <f>IF(O747="","",IF(J747="GST 10%",ROUND(O747*set_GSTRate,2),0))</f>
        <v/>
      </c>
      <c r="BD747" s="11">
        <f>IF(O747="","",O747+BC747)</f>
        <v/>
      </c>
      <c r="BE747" s="15">
        <f>IF(O747="","",COUNTA(S747,V747,Y747,AB747,AE747,AH747,AK747,AN747,AQ747,AT747,AW747,AZ747))</f>
        <v/>
      </c>
      <c r="BF747" s="16">
        <f>IF(COUNT(T747,W747,Z747,AC747,AF747,AI747,AL747,AO747,AR747,AU747,AX747,BA747)=0,"",MAX(T747,W747,Z747,AC747,AF747,AI747,AL747,AO747,AR747,AU747,AX747,BA747))</f>
        <v/>
      </c>
      <c r="BG747" s="10">
        <f>MID(IF(S747="","",", "&amp;S747)&amp;IF(V747="","",", "&amp;V747)&amp;IF(Y747="","",", "&amp;Y747)&amp;IF(AB747="","",", "&amp;AB747)&amp;IF(AE747="","",", "&amp;AE747)&amp;IF(AH747="","",", "&amp;AH747)&amp;IF(AK747="","",", "&amp;AK747)&amp;IF(AN747="","",", "&amp;AN747)&amp;IF(AQ747="","",", "&amp;AQ747)&amp;IF(AT747="","",", "&amp;AT747)&amp;IF(AW747="","",", "&amp;AW747)&amp;IF(AZ747="","",", "&amp;AZ747),3,500)</f>
        <v/>
      </c>
      <c r="BH747" s="12" t="n"/>
      <c r="BI747" s="15">
        <f>IFERROR(MATCH($A747,IF($B747="Onsite",tbl_Onsite[Row ID],IF($B747="Production",tbl_Production[Row ID],tbl_Consulting[Row ID])),0),"")</f>
        <v/>
      </c>
    </row>
    <row r="748">
      <c r="A748" s="10" t="inlineStr">
        <is>
          <t>PRD-0242</t>
        </is>
      </c>
      <c r="B748" s="10" t="inlineStr">
        <is>
          <t>Production</t>
        </is>
      </c>
      <c r="C748" s="10">
        <f>IF($BI748="","",IF($B748="Onsite",INDEX(tbl_Onsite[Job Number],$BI748),IF($B748="Production",INDEX(tbl_Production[Job Number],$BI748),INDEX(tbl_Consulting[Job Number],$BI748)))&amp;"")</f>
        <v/>
      </c>
      <c r="D748" s="10">
        <f>IF($BI748="","",IF($B748="Onsite",INDEX(tbl_Onsite[Client],$BI748),IF($B748="Production",INDEX(tbl_Production[Client],$BI748),INDEX(tbl_Consulting[Client],$BI748)))&amp;"")</f>
        <v/>
      </c>
      <c r="E748" s="10">
        <f>IF($C748="","",IF(COUNTIF(lst_Jobs,$C748)&gt;0,"OK","CHECK"))</f>
        <v/>
      </c>
      <c r="F748" s="10">
        <f>IF($C748="","",IFERROR(INDEX(lst_JobName,MATCH($C748,lst_Jobs,0)),""))</f>
        <v/>
      </c>
      <c r="G748" s="10">
        <f>IF($BI748="","",IF($B748="Onsite",INDEX(tbl_Onsite[Job Description],$BI748),IF($B748="Production",INDEX(tbl_Production[Job Description],$BI748),INDEX(tbl_Consulting[Job Description],$BI748)))&amp;"")</f>
        <v/>
      </c>
      <c r="H748" s="10">
        <f>IF($BI748="","",IF($B748="Onsite",INDEX(tbl_Onsite[Cost Centre],$BI748),IF($B748="Production",INDEX(tbl_Production[Cost Centre],$BI748),INDEX(tbl_Consulting[Cost Centre],$BI748)))&amp;"")</f>
        <v/>
      </c>
      <c r="I748" s="10">
        <f>IF($BI748="","",IF($B748="Onsite",INDEX(tbl_Onsite[Invoice Type],$BI748),IF($B748="Production",INDEX(tbl_Production[Invoice Type],$BI748),INDEX(tbl_Consulting[Invoice Type],$BI748)))&amp;"")</f>
        <v/>
      </c>
      <c r="J748" s="10">
        <f>IF($BI748="","",IF($B748="Onsite",INDEX(tbl_Onsite[Tax Code],$BI748),IF($B748="Production",INDEX(tbl_Production[Tax Code],$BI748),INDEX(tbl_Consulting[Tax Code],$BI748)))&amp;"")</f>
        <v/>
      </c>
      <c r="K748" s="10">
        <f>IF(H748="","",IFERROR(INDEX(lst_CCtoGL,MATCH(H748,lst_CCforGL,0)),""))</f>
        <v/>
      </c>
      <c r="L748" s="10">
        <f>IF($BI748="","",IF($B748="Onsite",INDEX(tbl_Onsite[PO / Reference],$BI748),IF($B748="Production",INDEX(tbl_Production[Current RMS No],$BI748),INDEX(tbl_Consulting[Qwilr Quote],$BI748)))&amp;"")</f>
        <v/>
      </c>
      <c r="M748" s="10">
        <f>IF($BI748="","",IF($B748="Onsite",INDEX(tbl_Onsite[Notes],$BI748),IF($B748="Production",INDEX(tbl_Production[Notes],$BI748),INDEX(tbl_Consulting[Notes],$BI748)))&amp;"")</f>
        <v/>
      </c>
      <c r="N748" s="11">
        <f>IF($BI748="","",IF(IF($B748="Onsite",INDEX(tbl_Onsite[Expected Revenue Ex GST],$BI748),IF($B748="Production",INDEX(tbl_Production[Expected Revenue Ex GST],$BI748),INDEX(tbl_Consulting[Expected Revenue Ex GST],$BI748)))="","",IF($B748="Onsite",INDEX(tbl_Onsite[Expected Revenue Ex GST],$BI748),IF($B748="Production",INDEX(tbl_Production[Expected Revenue Ex GST],$BI748),INDEX(tbl_Consulting[Expected Revenue Ex GST],$BI748)))))</f>
        <v/>
      </c>
      <c r="O748" s="11">
        <f>IF(AND($C748="",NOT(COUNTA($S748:$BB748)&gt;0)),"",SUM(U748,X748,AA748,AD748,AG748,AJ748,AM748,AP748,AS748,AV748,AY748,BB748))</f>
        <v/>
      </c>
      <c r="P748" s="11">
        <f>IF(O748="","",N(N748)-O748)</f>
        <v/>
      </c>
      <c r="Q748" s="10">
        <f>IF(O748="","",IF($C748="","Invoice on empty job row",IF(N748="",IF(ROUND(O748,2)=0,"No dept value","Invoiced - no dept value"),IF(ROUND(O748,2)=0,"Not invoiced - to invoice",IF(ROUND(P748,2)=0,"Agrees",IF(P748&gt;0,"Dept higher - to invoice","Xero higher - check dept"))))))</f>
        <v/>
      </c>
      <c r="R748" s="10">
        <f>IF(AND($C748="",NOT(COUNTA($S748:$BB748)&gt;0),$BI748&lt;&gt;""),"",MID(IF($BI748="","; Row ID not found on the department sheet - a row was deleted","")&amp;IF(AND($C748="",COUNTA($S748:$BB748)&gt;0),"; Invoice entered but the department row has no job number","")&amp;IF(E748="CHECK","; Job number not in the Xero job list","")&amp;IF(AND($C748&lt;&gt;"",COUNTIF($C$7:$C$1506,$C748)&gt;1),"; Job number on more than one row","")&amp;IF(AND($C748&lt;&gt;"",H748=""),"; Dept has not set a cost centre","")&amp;IF(AND($C748&lt;&gt;"",J748=""),"; Dept has not set a tax code","")&amp;IF(AND($C748&lt;&gt;"",N748=""),"; Dept has not entered an expected value","")&amp;IF((IF(OR(COUNTA(S748:U748)=0,AND(COUNTA(S748:U748)=3,ISNUMBER(U748))),0,1)+IF(OR(COUNTA(V748:X748)=0,AND(COUNTA(V748:X748)=3,ISNUMBER(X748))),0,1)+IF(OR(COUNTA(Y748:AA748)=0,AND(COUNTA(Y748:AA748)=3,ISNUMBER(AA748))),0,1)+IF(OR(COUNTA(AB748:AD748)=0,AND(COUNTA(AB748:AD748)=3,ISNUMBER(AD748))),0,1)+IF(OR(COUNTA(AE748:AG748)=0,AND(COUNTA(AE748:AG748)=3,ISNUMBER(AG748))),0,1)+IF(OR(COUNTA(AH748:AJ748)=0,AND(COUNTA(AH748:AJ748)=3,ISNUMBER(AJ748))),0,1)+IF(OR(COUNTA(AK748:AM748)=0,AND(COUNTA(AK748:AM748)=3,ISNUMBER(AM748))),0,1)+IF(OR(COUNTA(AN748:AP748)=0,AND(COUNTA(AN748:AP748)=3,ISNUMBER(AP748))),0,1)+IF(OR(COUNTA(AQ748:AS748)=0,AND(COUNTA(AQ748:AS748)=3,ISNUMBER(AS748))),0,1)+IF(OR(COUNTA(AT748:AV748)=0,AND(COUNTA(AT748:AV748)=3,ISNUMBER(AV748))),0,1)+IF(OR(COUNTA(AW748:AY748)=0,AND(COUNTA(AW748:AY748)=3,ISNUMBER(AY748))),0,1)+IF(OR(COUNTA(AZ748:BB748)=0,AND(COUNTA(AZ748:BB748)=3,ISNUMBER(BB748))),0,1))&gt;0,"; An invoice is incomplete (needs No, Date and a number in Ex GST)","")&amp;IF((IF(T748="",0,IFERROR(--(EOMONTH(T748,0)&lt;&gt;S$5),1))+IF(W748="",0,IFERROR(--(EOMONTH(W748,0)&lt;&gt;V$5),1))+IF(Z748="",0,IFERROR(--(EOMONTH(Z748,0)&lt;&gt;Y$5),1))+IF(AC748="",0,IFERROR(--(EOMONTH(AC748,0)&lt;&gt;AB$5),1))+IF(AF748="",0,IFERROR(--(EOMONTH(AF748,0)&lt;&gt;AE$5),1))+IF(AI748="",0,IFERROR(--(EOMONTH(AI748,0)&lt;&gt;AH$5),1))+IF(AL748="",0,IFERROR(--(EOMONTH(AL748,0)&lt;&gt;AK$5),1))+IF(AO748="",0,IFERROR(--(EOMONTH(AO748,0)&lt;&gt;AN$5),1))+IF(AR748="",0,IFERROR(--(EOMONTH(AR748,0)&lt;&gt;AQ$5),1))+IF(AU748="",0,IFERROR(--(EOMONTH(AU748,0)&lt;&gt;AT$5),1))+IF(AX748="",0,IFERROR(--(EOMONTH(AX748,0)&lt;&gt;AW$5),1))+IF(BA748="",0,IFERROR(--(EOMONTH(BA748,0)&lt;&gt;AZ$5),1)))&gt;0,"; An invoice date is not in the month it is typed under",""),3,500))</f>
        <v/>
      </c>
      <c r="S748" s="12" t="n"/>
      <c r="T748" s="13" t="n"/>
      <c r="U748" s="14" t="n"/>
      <c r="V748" s="12" t="n"/>
      <c r="W748" s="13" t="n"/>
      <c r="X748" s="14" t="n"/>
      <c r="Y748" s="12" t="n"/>
      <c r="Z748" s="13" t="n"/>
      <c r="AA748" s="14" t="n"/>
      <c r="AB748" s="12" t="n"/>
      <c r="AC748" s="13" t="n"/>
      <c r="AD748" s="14" t="n"/>
      <c r="AE748" s="12" t="n"/>
      <c r="AF748" s="13" t="n"/>
      <c r="AG748" s="14" t="n"/>
      <c r="AH748" s="12" t="n"/>
      <c r="AI748" s="13" t="n"/>
      <c r="AJ748" s="14" t="n"/>
      <c r="AK748" s="12" t="n"/>
      <c r="AL748" s="13" t="n"/>
      <c r="AM748" s="14" t="n"/>
      <c r="AN748" s="12" t="n"/>
      <c r="AO748" s="13" t="n"/>
      <c r="AP748" s="14" t="n"/>
      <c r="AQ748" s="12" t="n"/>
      <c r="AR748" s="13" t="n"/>
      <c r="AS748" s="14" t="n"/>
      <c r="AT748" s="12" t="n"/>
      <c r="AU748" s="13" t="n"/>
      <c r="AV748" s="14" t="n"/>
      <c r="AW748" s="12" t="n"/>
      <c r="AX748" s="13" t="n"/>
      <c r="AY748" s="14" t="n"/>
      <c r="AZ748" s="12" t="n"/>
      <c r="BA748" s="13" t="n"/>
      <c r="BB748" s="14" t="n"/>
      <c r="BC748" s="11">
        <f>IF(O748="","",IF(J748="GST 10%",ROUND(O748*set_GSTRate,2),0))</f>
        <v/>
      </c>
      <c r="BD748" s="11">
        <f>IF(O748="","",O748+BC748)</f>
        <v/>
      </c>
      <c r="BE748" s="15">
        <f>IF(O748="","",COUNTA(S748,V748,Y748,AB748,AE748,AH748,AK748,AN748,AQ748,AT748,AW748,AZ748))</f>
        <v/>
      </c>
      <c r="BF748" s="16">
        <f>IF(COUNT(T748,W748,Z748,AC748,AF748,AI748,AL748,AO748,AR748,AU748,AX748,BA748)=0,"",MAX(T748,W748,Z748,AC748,AF748,AI748,AL748,AO748,AR748,AU748,AX748,BA748))</f>
        <v/>
      </c>
      <c r="BG748" s="10">
        <f>MID(IF(S748="","",", "&amp;S748)&amp;IF(V748="","",", "&amp;V748)&amp;IF(Y748="","",", "&amp;Y748)&amp;IF(AB748="","",", "&amp;AB748)&amp;IF(AE748="","",", "&amp;AE748)&amp;IF(AH748="","",", "&amp;AH748)&amp;IF(AK748="","",", "&amp;AK748)&amp;IF(AN748="","",", "&amp;AN748)&amp;IF(AQ748="","",", "&amp;AQ748)&amp;IF(AT748="","",", "&amp;AT748)&amp;IF(AW748="","",", "&amp;AW748)&amp;IF(AZ748="","",", "&amp;AZ748),3,500)</f>
        <v/>
      </c>
      <c r="BH748" s="12" t="n"/>
      <c r="BI748" s="15">
        <f>IFERROR(MATCH($A748,IF($B748="Onsite",tbl_Onsite[Row ID],IF($B748="Production",tbl_Production[Row ID],tbl_Consulting[Row ID])),0),"")</f>
        <v/>
      </c>
    </row>
    <row r="749">
      <c r="A749" s="10" t="inlineStr">
        <is>
          <t>PRD-0243</t>
        </is>
      </c>
      <c r="B749" s="10" t="inlineStr">
        <is>
          <t>Production</t>
        </is>
      </c>
      <c r="C749" s="10">
        <f>IF($BI749="","",IF($B749="Onsite",INDEX(tbl_Onsite[Job Number],$BI749),IF($B749="Production",INDEX(tbl_Production[Job Number],$BI749),INDEX(tbl_Consulting[Job Number],$BI749)))&amp;"")</f>
        <v/>
      </c>
      <c r="D749" s="10">
        <f>IF($BI749="","",IF($B749="Onsite",INDEX(tbl_Onsite[Client],$BI749),IF($B749="Production",INDEX(tbl_Production[Client],$BI749),INDEX(tbl_Consulting[Client],$BI749)))&amp;"")</f>
        <v/>
      </c>
      <c r="E749" s="10">
        <f>IF($C749="","",IF(COUNTIF(lst_Jobs,$C749)&gt;0,"OK","CHECK"))</f>
        <v/>
      </c>
      <c r="F749" s="10">
        <f>IF($C749="","",IFERROR(INDEX(lst_JobName,MATCH($C749,lst_Jobs,0)),""))</f>
        <v/>
      </c>
      <c r="G749" s="10">
        <f>IF($BI749="","",IF($B749="Onsite",INDEX(tbl_Onsite[Job Description],$BI749),IF($B749="Production",INDEX(tbl_Production[Job Description],$BI749),INDEX(tbl_Consulting[Job Description],$BI749)))&amp;"")</f>
        <v/>
      </c>
      <c r="H749" s="10">
        <f>IF($BI749="","",IF($B749="Onsite",INDEX(tbl_Onsite[Cost Centre],$BI749),IF($B749="Production",INDEX(tbl_Production[Cost Centre],$BI749),INDEX(tbl_Consulting[Cost Centre],$BI749)))&amp;"")</f>
        <v/>
      </c>
      <c r="I749" s="10">
        <f>IF($BI749="","",IF($B749="Onsite",INDEX(tbl_Onsite[Invoice Type],$BI749),IF($B749="Production",INDEX(tbl_Production[Invoice Type],$BI749),INDEX(tbl_Consulting[Invoice Type],$BI749)))&amp;"")</f>
        <v/>
      </c>
      <c r="J749" s="10">
        <f>IF($BI749="","",IF($B749="Onsite",INDEX(tbl_Onsite[Tax Code],$BI749),IF($B749="Production",INDEX(tbl_Production[Tax Code],$BI749),INDEX(tbl_Consulting[Tax Code],$BI749)))&amp;"")</f>
        <v/>
      </c>
      <c r="K749" s="10">
        <f>IF(H749="","",IFERROR(INDEX(lst_CCtoGL,MATCH(H749,lst_CCforGL,0)),""))</f>
        <v/>
      </c>
      <c r="L749" s="10">
        <f>IF($BI749="","",IF($B749="Onsite",INDEX(tbl_Onsite[PO / Reference],$BI749),IF($B749="Production",INDEX(tbl_Production[Current RMS No],$BI749),INDEX(tbl_Consulting[Qwilr Quote],$BI749)))&amp;"")</f>
        <v/>
      </c>
      <c r="M749" s="10">
        <f>IF($BI749="","",IF($B749="Onsite",INDEX(tbl_Onsite[Notes],$BI749),IF($B749="Production",INDEX(tbl_Production[Notes],$BI749),INDEX(tbl_Consulting[Notes],$BI749)))&amp;"")</f>
        <v/>
      </c>
      <c r="N749" s="11">
        <f>IF($BI749="","",IF(IF($B749="Onsite",INDEX(tbl_Onsite[Expected Revenue Ex GST],$BI749),IF($B749="Production",INDEX(tbl_Production[Expected Revenue Ex GST],$BI749),INDEX(tbl_Consulting[Expected Revenue Ex GST],$BI749)))="","",IF($B749="Onsite",INDEX(tbl_Onsite[Expected Revenue Ex GST],$BI749),IF($B749="Production",INDEX(tbl_Production[Expected Revenue Ex GST],$BI749),INDEX(tbl_Consulting[Expected Revenue Ex GST],$BI749)))))</f>
        <v/>
      </c>
      <c r="O749" s="11">
        <f>IF(AND($C749="",NOT(COUNTA($S749:$BB749)&gt;0)),"",SUM(U749,X749,AA749,AD749,AG749,AJ749,AM749,AP749,AS749,AV749,AY749,BB749))</f>
        <v/>
      </c>
      <c r="P749" s="11">
        <f>IF(O749="","",N(N749)-O749)</f>
        <v/>
      </c>
      <c r="Q749" s="10">
        <f>IF(O749="","",IF($C749="","Invoice on empty job row",IF(N749="",IF(ROUND(O749,2)=0,"No dept value","Invoiced - no dept value"),IF(ROUND(O749,2)=0,"Not invoiced - to invoice",IF(ROUND(P749,2)=0,"Agrees",IF(P749&gt;0,"Dept higher - to invoice","Xero higher - check dept"))))))</f>
        <v/>
      </c>
      <c r="R749" s="10">
        <f>IF(AND($C749="",NOT(COUNTA($S749:$BB749)&gt;0),$BI749&lt;&gt;""),"",MID(IF($BI749="","; Row ID not found on the department sheet - a row was deleted","")&amp;IF(AND($C749="",COUNTA($S749:$BB749)&gt;0),"; Invoice entered but the department row has no job number","")&amp;IF(E749="CHECK","; Job number not in the Xero job list","")&amp;IF(AND($C749&lt;&gt;"",COUNTIF($C$7:$C$1506,$C749)&gt;1),"; Job number on more than one row","")&amp;IF(AND($C749&lt;&gt;"",H749=""),"; Dept has not set a cost centre","")&amp;IF(AND($C749&lt;&gt;"",J749=""),"; Dept has not set a tax code","")&amp;IF(AND($C749&lt;&gt;"",N749=""),"; Dept has not entered an expected value","")&amp;IF((IF(OR(COUNTA(S749:U749)=0,AND(COUNTA(S749:U749)=3,ISNUMBER(U749))),0,1)+IF(OR(COUNTA(V749:X749)=0,AND(COUNTA(V749:X749)=3,ISNUMBER(X749))),0,1)+IF(OR(COUNTA(Y749:AA749)=0,AND(COUNTA(Y749:AA749)=3,ISNUMBER(AA749))),0,1)+IF(OR(COUNTA(AB749:AD749)=0,AND(COUNTA(AB749:AD749)=3,ISNUMBER(AD749))),0,1)+IF(OR(COUNTA(AE749:AG749)=0,AND(COUNTA(AE749:AG749)=3,ISNUMBER(AG749))),0,1)+IF(OR(COUNTA(AH749:AJ749)=0,AND(COUNTA(AH749:AJ749)=3,ISNUMBER(AJ749))),0,1)+IF(OR(COUNTA(AK749:AM749)=0,AND(COUNTA(AK749:AM749)=3,ISNUMBER(AM749))),0,1)+IF(OR(COUNTA(AN749:AP749)=0,AND(COUNTA(AN749:AP749)=3,ISNUMBER(AP749))),0,1)+IF(OR(COUNTA(AQ749:AS749)=0,AND(COUNTA(AQ749:AS749)=3,ISNUMBER(AS749))),0,1)+IF(OR(COUNTA(AT749:AV749)=0,AND(COUNTA(AT749:AV749)=3,ISNUMBER(AV749))),0,1)+IF(OR(COUNTA(AW749:AY749)=0,AND(COUNTA(AW749:AY749)=3,ISNUMBER(AY749))),0,1)+IF(OR(COUNTA(AZ749:BB749)=0,AND(COUNTA(AZ749:BB749)=3,ISNUMBER(BB749))),0,1))&gt;0,"; An invoice is incomplete (needs No, Date and a number in Ex GST)","")&amp;IF((IF(T749="",0,IFERROR(--(EOMONTH(T749,0)&lt;&gt;S$5),1))+IF(W749="",0,IFERROR(--(EOMONTH(W749,0)&lt;&gt;V$5),1))+IF(Z749="",0,IFERROR(--(EOMONTH(Z749,0)&lt;&gt;Y$5),1))+IF(AC749="",0,IFERROR(--(EOMONTH(AC749,0)&lt;&gt;AB$5),1))+IF(AF749="",0,IFERROR(--(EOMONTH(AF749,0)&lt;&gt;AE$5),1))+IF(AI749="",0,IFERROR(--(EOMONTH(AI749,0)&lt;&gt;AH$5),1))+IF(AL749="",0,IFERROR(--(EOMONTH(AL749,0)&lt;&gt;AK$5),1))+IF(AO749="",0,IFERROR(--(EOMONTH(AO749,0)&lt;&gt;AN$5),1))+IF(AR749="",0,IFERROR(--(EOMONTH(AR749,0)&lt;&gt;AQ$5),1))+IF(AU749="",0,IFERROR(--(EOMONTH(AU749,0)&lt;&gt;AT$5),1))+IF(AX749="",0,IFERROR(--(EOMONTH(AX749,0)&lt;&gt;AW$5),1))+IF(BA749="",0,IFERROR(--(EOMONTH(BA749,0)&lt;&gt;AZ$5),1)))&gt;0,"; An invoice date is not in the month it is typed under",""),3,500))</f>
        <v/>
      </c>
      <c r="S749" s="12" t="n"/>
      <c r="T749" s="13" t="n"/>
      <c r="U749" s="14" t="n"/>
      <c r="V749" s="12" t="n"/>
      <c r="W749" s="13" t="n"/>
      <c r="X749" s="14" t="n"/>
      <c r="Y749" s="12" t="n"/>
      <c r="Z749" s="13" t="n"/>
      <c r="AA749" s="14" t="n"/>
      <c r="AB749" s="12" t="n"/>
      <c r="AC749" s="13" t="n"/>
      <c r="AD749" s="14" t="n"/>
      <c r="AE749" s="12" t="n"/>
      <c r="AF749" s="13" t="n"/>
      <c r="AG749" s="14" t="n"/>
      <c r="AH749" s="12" t="n"/>
      <c r="AI749" s="13" t="n"/>
      <c r="AJ749" s="14" t="n"/>
      <c r="AK749" s="12" t="n"/>
      <c r="AL749" s="13" t="n"/>
      <c r="AM749" s="14" t="n"/>
      <c r="AN749" s="12" t="n"/>
      <c r="AO749" s="13" t="n"/>
      <c r="AP749" s="14" t="n"/>
      <c r="AQ749" s="12" t="n"/>
      <c r="AR749" s="13" t="n"/>
      <c r="AS749" s="14" t="n"/>
      <c r="AT749" s="12" t="n"/>
      <c r="AU749" s="13" t="n"/>
      <c r="AV749" s="14" t="n"/>
      <c r="AW749" s="12" t="n"/>
      <c r="AX749" s="13" t="n"/>
      <c r="AY749" s="14" t="n"/>
      <c r="AZ749" s="12" t="n"/>
      <c r="BA749" s="13" t="n"/>
      <c r="BB749" s="14" t="n"/>
      <c r="BC749" s="11">
        <f>IF(O749="","",IF(J749="GST 10%",ROUND(O749*set_GSTRate,2),0))</f>
        <v/>
      </c>
      <c r="BD749" s="11">
        <f>IF(O749="","",O749+BC749)</f>
        <v/>
      </c>
      <c r="BE749" s="15">
        <f>IF(O749="","",COUNTA(S749,V749,Y749,AB749,AE749,AH749,AK749,AN749,AQ749,AT749,AW749,AZ749))</f>
        <v/>
      </c>
      <c r="BF749" s="16">
        <f>IF(COUNT(T749,W749,Z749,AC749,AF749,AI749,AL749,AO749,AR749,AU749,AX749,BA749)=0,"",MAX(T749,W749,Z749,AC749,AF749,AI749,AL749,AO749,AR749,AU749,AX749,BA749))</f>
        <v/>
      </c>
      <c r="BG749" s="10">
        <f>MID(IF(S749="","",", "&amp;S749)&amp;IF(V749="","",", "&amp;V749)&amp;IF(Y749="","",", "&amp;Y749)&amp;IF(AB749="","",", "&amp;AB749)&amp;IF(AE749="","",", "&amp;AE749)&amp;IF(AH749="","",", "&amp;AH749)&amp;IF(AK749="","",", "&amp;AK749)&amp;IF(AN749="","",", "&amp;AN749)&amp;IF(AQ749="","",", "&amp;AQ749)&amp;IF(AT749="","",", "&amp;AT749)&amp;IF(AW749="","",", "&amp;AW749)&amp;IF(AZ749="","",", "&amp;AZ749),3,500)</f>
        <v/>
      </c>
      <c r="BH749" s="12" t="n"/>
      <c r="BI749" s="15">
        <f>IFERROR(MATCH($A749,IF($B749="Onsite",tbl_Onsite[Row ID],IF($B749="Production",tbl_Production[Row ID],tbl_Consulting[Row ID])),0),"")</f>
        <v/>
      </c>
    </row>
    <row r="750">
      <c r="A750" s="10" t="inlineStr">
        <is>
          <t>PRD-0244</t>
        </is>
      </c>
      <c r="B750" s="10" t="inlineStr">
        <is>
          <t>Production</t>
        </is>
      </c>
      <c r="C750" s="10">
        <f>IF($BI750="","",IF($B750="Onsite",INDEX(tbl_Onsite[Job Number],$BI750),IF($B750="Production",INDEX(tbl_Production[Job Number],$BI750),INDEX(tbl_Consulting[Job Number],$BI750)))&amp;"")</f>
        <v/>
      </c>
      <c r="D750" s="10">
        <f>IF($BI750="","",IF($B750="Onsite",INDEX(tbl_Onsite[Client],$BI750),IF($B750="Production",INDEX(tbl_Production[Client],$BI750),INDEX(tbl_Consulting[Client],$BI750)))&amp;"")</f>
        <v/>
      </c>
      <c r="E750" s="10">
        <f>IF($C750="","",IF(COUNTIF(lst_Jobs,$C750)&gt;0,"OK","CHECK"))</f>
        <v/>
      </c>
      <c r="F750" s="10">
        <f>IF($C750="","",IFERROR(INDEX(lst_JobName,MATCH($C750,lst_Jobs,0)),""))</f>
        <v/>
      </c>
      <c r="G750" s="10">
        <f>IF($BI750="","",IF($B750="Onsite",INDEX(tbl_Onsite[Job Description],$BI750),IF($B750="Production",INDEX(tbl_Production[Job Description],$BI750),INDEX(tbl_Consulting[Job Description],$BI750)))&amp;"")</f>
        <v/>
      </c>
      <c r="H750" s="10">
        <f>IF($BI750="","",IF($B750="Onsite",INDEX(tbl_Onsite[Cost Centre],$BI750),IF($B750="Production",INDEX(tbl_Production[Cost Centre],$BI750),INDEX(tbl_Consulting[Cost Centre],$BI750)))&amp;"")</f>
        <v/>
      </c>
      <c r="I750" s="10">
        <f>IF($BI750="","",IF($B750="Onsite",INDEX(tbl_Onsite[Invoice Type],$BI750),IF($B750="Production",INDEX(tbl_Production[Invoice Type],$BI750),INDEX(tbl_Consulting[Invoice Type],$BI750)))&amp;"")</f>
        <v/>
      </c>
      <c r="J750" s="10">
        <f>IF($BI750="","",IF($B750="Onsite",INDEX(tbl_Onsite[Tax Code],$BI750),IF($B750="Production",INDEX(tbl_Production[Tax Code],$BI750),INDEX(tbl_Consulting[Tax Code],$BI750)))&amp;"")</f>
        <v/>
      </c>
      <c r="K750" s="10">
        <f>IF(H750="","",IFERROR(INDEX(lst_CCtoGL,MATCH(H750,lst_CCforGL,0)),""))</f>
        <v/>
      </c>
      <c r="L750" s="10">
        <f>IF($BI750="","",IF($B750="Onsite",INDEX(tbl_Onsite[PO / Reference],$BI750),IF($B750="Production",INDEX(tbl_Production[Current RMS No],$BI750),INDEX(tbl_Consulting[Qwilr Quote],$BI750)))&amp;"")</f>
        <v/>
      </c>
      <c r="M750" s="10">
        <f>IF($BI750="","",IF($B750="Onsite",INDEX(tbl_Onsite[Notes],$BI750),IF($B750="Production",INDEX(tbl_Production[Notes],$BI750),INDEX(tbl_Consulting[Notes],$BI750)))&amp;"")</f>
        <v/>
      </c>
      <c r="N750" s="11">
        <f>IF($BI750="","",IF(IF($B750="Onsite",INDEX(tbl_Onsite[Expected Revenue Ex GST],$BI750),IF($B750="Production",INDEX(tbl_Production[Expected Revenue Ex GST],$BI750),INDEX(tbl_Consulting[Expected Revenue Ex GST],$BI750)))="","",IF($B750="Onsite",INDEX(tbl_Onsite[Expected Revenue Ex GST],$BI750),IF($B750="Production",INDEX(tbl_Production[Expected Revenue Ex GST],$BI750),INDEX(tbl_Consulting[Expected Revenue Ex GST],$BI750)))))</f>
        <v/>
      </c>
      <c r="O750" s="11">
        <f>IF(AND($C750="",NOT(COUNTA($S750:$BB750)&gt;0)),"",SUM(U750,X750,AA750,AD750,AG750,AJ750,AM750,AP750,AS750,AV750,AY750,BB750))</f>
        <v/>
      </c>
      <c r="P750" s="11">
        <f>IF(O750="","",N(N750)-O750)</f>
        <v/>
      </c>
      <c r="Q750" s="10">
        <f>IF(O750="","",IF($C750="","Invoice on empty job row",IF(N750="",IF(ROUND(O750,2)=0,"No dept value","Invoiced - no dept value"),IF(ROUND(O750,2)=0,"Not invoiced - to invoice",IF(ROUND(P750,2)=0,"Agrees",IF(P750&gt;0,"Dept higher - to invoice","Xero higher - check dept"))))))</f>
        <v/>
      </c>
      <c r="R750" s="10">
        <f>IF(AND($C750="",NOT(COUNTA($S750:$BB750)&gt;0),$BI750&lt;&gt;""),"",MID(IF($BI750="","; Row ID not found on the department sheet - a row was deleted","")&amp;IF(AND($C750="",COUNTA($S750:$BB750)&gt;0),"; Invoice entered but the department row has no job number","")&amp;IF(E750="CHECK","; Job number not in the Xero job list","")&amp;IF(AND($C750&lt;&gt;"",COUNTIF($C$7:$C$1506,$C750)&gt;1),"; Job number on more than one row","")&amp;IF(AND($C750&lt;&gt;"",H750=""),"; Dept has not set a cost centre","")&amp;IF(AND($C750&lt;&gt;"",J750=""),"; Dept has not set a tax code","")&amp;IF(AND($C750&lt;&gt;"",N750=""),"; Dept has not entered an expected value","")&amp;IF((IF(OR(COUNTA(S750:U750)=0,AND(COUNTA(S750:U750)=3,ISNUMBER(U750))),0,1)+IF(OR(COUNTA(V750:X750)=0,AND(COUNTA(V750:X750)=3,ISNUMBER(X750))),0,1)+IF(OR(COUNTA(Y750:AA750)=0,AND(COUNTA(Y750:AA750)=3,ISNUMBER(AA750))),0,1)+IF(OR(COUNTA(AB750:AD750)=0,AND(COUNTA(AB750:AD750)=3,ISNUMBER(AD750))),0,1)+IF(OR(COUNTA(AE750:AG750)=0,AND(COUNTA(AE750:AG750)=3,ISNUMBER(AG750))),0,1)+IF(OR(COUNTA(AH750:AJ750)=0,AND(COUNTA(AH750:AJ750)=3,ISNUMBER(AJ750))),0,1)+IF(OR(COUNTA(AK750:AM750)=0,AND(COUNTA(AK750:AM750)=3,ISNUMBER(AM750))),0,1)+IF(OR(COUNTA(AN750:AP750)=0,AND(COUNTA(AN750:AP750)=3,ISNUMBER(AP750))),0,1)+IF(OR(COUNTA(AQ750:AS750)=0,AND(COUNTA(AQ750:AS750)=3,ISNUMBER(AS750))),0,1)+IF(OR(COUNTA(AT750:AV750)=0,AND(COUNTA(AT750:AV750)=3,ISNUMBER(AV750))),0,1)+IF(OR(COUNTA(AW750:AY750)=0,AND(COUNTA(AW750:AY750)=3,ISNUMBER(AY750))),0,1)+IF(OR(COUNTA(AZ750:BB750)=0,AND(COUNTA(AZ750:BB750)=3,ISNUMBER(BB750))),0,1))&gt;0,"; An invoice is incomplete (needs No, Date and a number in Ex GST)","")&amp;IF((IF(T750="",0,IFERROR(--(EOMONTH(T750,0)&lt;&gt;S$5),1))+IF(W750="",0,IFERROR(--(EOMONTH(W750,0)&lt;&gt;V$5),1))+IF(Z750="",0,IFERROR(--(EOMONTH(Z750,0)&lt;&gt;Y$5),1))+IF(AC750="",0,IFERROR(--(EOMONTH(AC750,0)&lt;&gt;AB$5),1))+IF(AF750="",0,IFERROR(--(EOMONTH(AF750,0)&lt;&gt;AE$5),1))+IF(AI750="",0,IFERROR(--(EOMONTH(AI750,0)&lt;&gt;AH$5),1))+IF(AL750="",0,IFERROR(--(EOMONTH(AL750,0)&lt;&gt;AK$5),1))+IF(AO750="",0,IFERROR(--(EOMONTH(AO750,0)&lt;&gt;AN$5),1))+IF(AR750="",0,IFERROR(--(EOMONTH(AR750,0)&lt;&gt;AQ$5),1))+IF(AU750="",0,IFERROR(--(EOMONTH(AU750,0)&lt;&gt;AT$5),1))+IF(AX750="",0,IFERROR(--(EOMONTH(AX750,0)&lt;&gt;AW$5),1))+IF(BA750="",0,IFERROR(--(EOMONTH(BA750,0)&lt;&gt;AZ$5),1)))&gt;0,"; An invoice date is not in the month it is typed under",""),3,500))</f>
        <v/>
      </c>
      <c r="S750" s="12" t="n"/>
      <c r="T750" s="13" t="n"/>
      <c r="U750" s="14" t="n"/>
      <c r="V750" s="12" t="n"/>
      <c r="W750" s="13" t="n"/>
      <c r="X750" s="14" t="n"/>
      <c r="Y750" s="12" t="n"/>
      <c r="Z750" s="13" t="n"/>
      <c r="AA750" s="14" t="n"/>
      <c r="AB750" s="12" t="n"/>
      <c r="AC750" s="13" t="n"/>
      <c r="AD750" s="14" t="n"/>
      <c r="AE750" s="12" t="n"/>
      <c r="AF750" s="13" t="n"/>
      <c r="AG750" s="14" t="n"/>
      <c r="AH750" s="12" t="n"/>
      <c r="AI750" s="13" t="n"/>
      <c r="AJ750" s="14" t="n"/>
      <c r="AK750" s="12" t="n"/>
      <c r="AL750" s="13" t="n"/>
      <c r="AM750" s="14" t="n"/>
      <c r="AN750" s="12" t="n"/>
      <c r="AO750" s="13" t="n"/>
      <c r="AP750" s="14" t="n"/>
      <c r="AQ750" s="12" t="n"/>
      <c r="AR750" s="13" t="n"/>
      <c r="AS750" s="14" t="n"/>
      <c r="AT750" s="12" t="n"/>
      <c r="AU750" s="13" t="n"/>
      <c r="AV750" s="14" t="n"/>
      <c r="AW750" s="12" t="n"/>
      <c r="AX750" s="13" t="n"/>
      <c r="AY750" s="14" t="n"/>
      <c r="AZ750" s="12" t="n"/>
      <c r="BA750" s="13" t="n"/>
      <c r="BB750" s="14" t="n"/>
      <c r="BC750" s="11">
        <f>IF(O750="","",IF(J750="GST 10%",ROUND(O750*set_GSTRate,2),0))</f>
        <v/>
      </c>
      <c r="BD750" s="11">
        <f>IF(O750="","",O750+BC750)</f>
        <v/>
      </c>
      <c r="BE750" s="15">
        <f>IF(O750="","",COUNTA(S750,V750,Y750,AB750,AE750,AH750,AK750,AN750,AQ750,AT750,AW750,AZ750))</f>
        <v/>
      </c>
      <c r="BF750" s="16">
        <f>IF(COUNT(T750,W750,Z750,AC750,AF750,AI750,AL750,AO750,AR750,AU750,AX750,BA750)=0,"",MAX(T750,W750,Z750,AC750,AF750,AI750,AL750,AO750,AR750,AU750,AX750,BA750))</f>
        <v/>
      </c>
      <c r="BG750" s="10">
        <f>MID(IF(S750="","",", "&amp;S750)&amp;IF(V750="","",", "&amp;V750)&amp;IF(Y750="","",", "&amp;Y750)&amp;IF(AB750="","",", "&amp;AB750)&amp;IF(AE750="","",", "&amp;AE750)&amp;IF(AH750="","",", "&amp;AH750)&amp;IF(AK750="","",", "&amp;AK750)&amp;IF(AN750="","",", "&amp;AN750)&amp;IF(AQ750="","",", "&amp;AQ750)&amp;IF(AT750="","",", "&amp;AT750)&amp;IF(AW750="","",", "&amp;AW750)&amp;IF(AZ750="","",", "&amp;AZ750),3,500)</f>
        <v/>
      </c>
      <c r="BH750" s="12" t="n"/>
      <c r="BI750" s="15">
        <f>IFERROR(MATCH($A750,IF($B750="Onsite",tbl_Onsite[Row ID],IF($B750="Production",tbl_Production[Row ID],tbl_Consulting[Row ID])),0),"")</f>
        <v/>
      </c>
    </row>
    <row r="751">
      <c r="A751" s="10" t="inlineStr">
        <is>
          <t>PRD-0245</t>
        </is>
      </c>
      <c r="B751" s="10" t="inlineStr">
        <is>
          <t>Production</t>
        </is>
      </c>
      <c r="C751" s="10">
        <f>IF($BI751="","",IF($B751="Onsite",INDEX(tbl_Onsite[Job Number],$BI751),IF($B751="Production",INDEX(tbl_Production[Job Number],$BI751),INDEX(tbl_Consulting[Job Number],$BI751)))&amp;"")</f>
        <v/>
      </c>
      <c r="D751" s="10">
        <f>IF($BI751="","",IF($B751="Onsite",INDEX(tbl_Onsite[Client],$BI751),IF($B751="Production",INDEX(tbl_Production[Client],$BI751),INDEX(tbl_Consulting[Client],$BI751)))&amp;"")</f>
        <v/>
      </c>
      <c r="E751" s="10">
        <f>IF($C751="","",IF(COUNTIF(lst_Jobs,$C751)&gt;0,"OK","CHECK"))</f>
        <v/>
      </c>
      <c r="F751" s="10">
        <f>IF($C751="","",IFERROR(INDEX(lst_JobName,MATCH($C751,lst_Jobs,0)),""))</f>
        <v/>
      </c>
      <c r="G751" s="10">
        <f>IF($BI751="","",IF($B751="Onsite",INDEX(tbl_Onsite[Job Description],$BI751),IF($B751="Production",INDEX(tbl_Production[Job Description],$BI751),INDEX(tbl_Consulting[Job Description],$BI751)))&amp;"")</f>
        <v/>
      </c>
      <c r="H751" s="10">
        <f>IF($BI751="","",IF($B751="Onsite",INDEX(tbl_Onsite[Cost Centre],$BI751),IF($B751="Production",INDEX(tbl_Production[Cost Centre],$BI751),INDEX(tbl_Consulting[Cost Centre],$BI751)))&amp;"")</f>
        <v/>
      </c>
      <c r="I751" s="10">
        <f>IF($BI751="","",IF($B751="Onsite",INDEX(tbl_Onsite[Invoice Type],$BI751),IF($B751="Production",INDEX(tbl_Production[Invoice Type],$BI751),INDEX(tbl_Consulting[Invoice Type],$BI751)))&amp;"")</f>
        <v/>
      </c>
      <c r="J751" s="10">
        <f>IF($BI751="","",IF($B751="Onsite",INDEX(tbl_Onsite[Tax Code],$BI751),IF($B751="Production",INDEX(tbl_Production[Tax Code],$BI751),INDEX(tbl_Consulting[Tax Code],$BI751)))&amp;"")</f>
        <v/>
      </c>
      <c r="K751" s="10">
        <f>IF(H751="","",IFERROR(INDEX(lst_CCtoGL,MATCH(H751,lst_CCforGL,0)),""))</f>
        <v/>
      </c>
      <c r="L751" s="10">
        <f>IF($BI751="","",IF($B751="Onsite",INDEX(tbl_Onsite[PO / Reference],$BI751),IF($B751="Production",INDEX(tbl_Production[Current RMS No],$BI751),INDEX(tbl_Consulting[Qwilr Quote],$BI751)))&amp;"")</f>
        <v/>
      </c>
      <c r="M751" s="10">
        <f>IF($BI751="","",IF($B751="Onsite",INDEX(tbl_Onsite[Notes],$BI751),IF($B751="Production",INDEX(tbl_Production[Notes],$BI751),INDEX(tbl_Consulting[Notes],$BI751)))&amp;"")</f>
        <v/>
      </c>
      <c r="N751" s="11">
        <f>IF($BI751="","",IF(IF($B751="Onsite",INDEX(tbl_Onsite[Expected Revenue Ex GST],$BI751),IF($B751="Production",INDEX(tbl_Production[Expected Revenue Ex GST],$BI751),INDEX(tbl_Consulting[Expected Revenue Ex GST],$BI751)))="","",IF($B751="Onsite",INDEX(tbl_Onsite[Expected Revenue Ex GST],$BI751),IF($B751="Production",INDEX(tbl_Production[Expected Revenue Ex GST],$BI751),INDEX(tbl_Consulting[Expected Revenue Ex GST],$BI751)))))</f>
        <v/>
      </c>
      <c r="O751" s="11">
        <f>IF(AND($C751="",NOT(COUNTA($S751:$BB751)&gt;0)),"",SUM(U751,X751,AA751,AD751,AG751,AJ751,AM751,AP751,AS751,AV751,AY751,BB751))</f>
        <v/>
      </c>
      <c r="P751" s="11">
        <f>IF(O751="","",N(N751)-O751)</f>
        <v/>
      </c>
      <c r="Q751" s="10">
        <f>IF(O751="","",IF($C751="","Invoice on empty job row",IF(N751="",IF(ROUND(O751,2)=0,"No dept value","Invoiced - no dept value"),IF(ROUND(O751,2)=0,"Not invoiced - to invoice",IF(ROUND(P751,2)=0,"Agrees",IF(P751&gt;0,"Dept higher - to invoice","Xero higher - check dept"))))))</f>
        <v/>
      </c>
      <c r="R751" s="10">
        <f>IF(AND($C751="",NOT(COUNTA($S751:$BB751)&gt;0),$BI751&lt;&gt;""),"",MID(IF($BI751="","; Row ID not found on the department sheet - a row was deleted","")&amp;IF(AND($C751="",COUNTA($S751:$BB751)&gt;0),"; Invoice entered but the department row has no job number","")&amp;IF(E751="CHECK","; Job number not in the Xero job list","")&amp;IF(AND($C751&lt;&gt;"",COUNTIF($C$7:$C$1506,$C751)&gt;1),"; Job number on more than one row","")&amp;IF(AND($C751&lt;&gt;"",H751=""),"; Dept has not set a cost centre","")&amp;IF(AND($C751&lt;&gt;"",J751=""),"; Dept has not set a tax code","")&amp;IF(AND($C751&lt;&gt;"",N751=""),"; Dept has not entered an expected value","")&amp;IF((IF(OR(COUNTA(S751:U751)=0,AND(COUNTA(S751:U751)=3,ISNUMBER(U751))),0,1)+IF(OR(COUNTA(V751:X751)=0,AND(COUNTA(V751:X751)=3,ISNUMBER(X751))),0,1)+IF(OR(COUNTA(Y751:AA751)=0,AND(COUNTA(Y751:AA751)=3,ISNUMBER(AA751))),0,1)+IF(OR(COUNTA(AB751:AD751)=0,AND(COUNTA(AB751:AD751)=3,ISNUMBER(AD751))),0,1)+IF(OR(COUNTA(AE751:AG751)=0,AND(COUNTA(AE751:AG751)=3,ISNUMBER(AG751))),0,1)+IF(OR(COUNTA(AH751:AJ751)=0,AND(COUNTA(AH751:AJ751)=3,ISNUMBER(AJ751))),0,1)+IF(OR(COUNTA(AK751:AM751)=0,AND(COUNTA(AK751:AM751)=3,ISNUMBER(AM751))),0,1)+IF(OR(COUNTA(AN751:AP751)=0,AND(COUNTA(AN751:AP751)=3,ISNUMBER(AP751))),0,1)+IF(OR(COUNTA(AQ751:AS751)=0,AND(COUNTA(AQ751:AS751)=3,ISNUMBER(AS751))),0,1)+IF(OR(COUNTA(AT751:AV751)=0,AND(COUNTA(AT751:AV751)=3,ISNUMBER(AV751))),0,1)+IF(OR(COUNTA(AW751:AY751)=0,AND(COUNTA(AW751:AY751)=3,ISNUMBER(AY751))),0,1)+IF(OR(COUNTA(AZ751:BB751)=0,AND(COUNTA(AZ751:BB751)=3,ISNUMBER(BB751))),0,1))&gt;0,"; An invoice is incomplete (needs No, Date and a number in Ex GST)","")&amp;IF((IF(T751="",0,IFERROR(--(EOMONTH(T751,0)&lt;&gt;S$5),1))+IF(W751="",0,IFERROR(--(EOMONTH(W751,0)&lt;&gt;V$5),1))+IF(Z751="",0,IFERROR(--(EOMONTH(Z751,0)&lt;&gt;Y$5),1))+IF(AC751="",0,IFERROR(--(EOMONTH(AC751,0)&lt;&gt;AB$5),1))+IF(AF751="",0,IFERROR(--(EOMONTH(AF751,0)&lt;&gt;AE$5),1))+IF(AI751="",0,IFERROR(--(EOMONTH(AI751,0)&lt;&gt;AH$5),1))+IF(AL751="",0,IFERROR(--(EOMONTH(AL751,0)&lt;&gt;AK$5),1))+IF(AO751="",0,IFERROR(--(EOMONTH(AO751,0)&lt;&gt;AN$5),1))+IF(AR751="",0,IFERROR(--(EOMONTH(AR751,0)&lt;&gt;AQ$5),1))+IF(AU751="",0,IFERROR(--(EOMONTH(AU751,0)&lt;&gt;AT$5),1))+IF(AX751="",0,IFERROR(--(EOMONTH(AX751,0)&lt;&gt;AW$5),1))+IF(BA751="",0,IFERROR(--(EOMONTH(BA751,0)&lt;&gt;AZ$5),1)))&gt;0,"; An invoice date is not in the month it is typed under",""),3,500))</f>
        <v/>
      </c>
      <c r="S751" s="12" t="n"/>
      <c r="T751" s="13" t="n"/>
      <c r="U751" s="14" t="n"/>
      <c r="V751" s="12" t="n"/>
      <c r="W751" s="13" t="n"/>
      <c r="X751" s="14" t="n"/>
      <c r="Y751" s="12" t="n"/>
      <c r="Z751" s="13" t="n"/>
      <c r="AA751" s="14" t="n"/>
      <c r="AB751" s="12" t="n"/>
      <c r="AC751" s="13" t="n"/>
      <c r="AD751" s="14" t="n"/>
      <c r="AE751" s="12" t="n"/>
      <c r="AF751" s="13" t="n"/>
      <c r="AG751" s="14" t="n"/>
      <c r="AH751" s="12" t="n"/>
      <c r="AI751" s="13" t="n"/>
      <c r="AJ751" s="14" t="n"/>
      <c r="AK751" s="12" t="n"/>
      <c r="AL751" s="13" t="n"/>
      <c r="AM751" s="14" t="n"/>
      <c r="AN751" s="12" t="n"/>
      <c r="AO751" s="13" t="n"/>
      <c r="AP751" s="14" t="n"/>
      <c r="AQ751" s="12" t="n"/>
      <c r="AR751" s="13" t="n"/>
      <c r="AS751" s="14" t="n"/>
      <c r="AT751" s="12" t="n"/>
      <c r="AU751" s="13" t="n"/>
      <c r="AV751" s="14" t="n"/>
      <c r="AW751" s="12" t="n"/>
      <c r="AX751" s="13" t="n"/>
      <c r="AY751" s="14" t="n"/>
      <c r="AZ751" s="12" t="n"/>
      <c r="BA751" s="13" t="n"/>
      <c r="BB751" s="14" t="n"/>
      <c r="BC751" s="11">
        <f>IF(O751="","",IF(J751="GST 10%",ROUND(O751*set_GSTRate,2),0))</f>
        <v/>
      </c>
      <c r="BD751" s="11">
        <f>IF(O751="","",O751+BC751)</f>
        <v/>
      </c>
      <c r="BE751" s="15">
        <f>IF(O751="","",COUNTA(S751,V751,Y751,AB751,AE751,AH751,AK751,AN751,AQ751,AT751,AW751,AZ751))</f>
        <v/>
      </c>
      <c r="BF751" s="16">
        <f>IF(COUNT(T751,W751,Z751,AC751,AF751,AI751,AL751,AO751,AR751,AU751,AX751,BA751)=0,"",MAX(T751,W751,Z751,AC751,AF751,AI751,AL751,AO751,AR751,AU751,AX751,BA751))</f>
        <v/>
      </c>
      <c r="BG751" s="10">
        <f>MID(IF(S751="","",", "&amp;S751)&amp;IF(V751="","",", "&amp;V751)&amp;IF(Y751="","",", "&amp;Y751)&amp;IF(AB751="","",", "&amp;AB751)&amp;IF(AE751="","",", "&amp;AE751)&amp;IF(AH751="","",", "&amp;AH751)&amp;IF(AK751="","",", "&amp;AK751)&amp;IF(AN751="","",", "&amp;AN751)&amp;IF(AQ751="","",", "&amp;AQ751)&amp;IF(AT751="","",", "&amp;AT751)&amp;IF(AW751="","",", "&amp;AW751)&amp;IF(AZ751="","",", "&amp;AZ751),3,500)</f>
        <v/>
      </c>
      <c r="BH751" s="12" t="n"/>
      <c r="BI751" s="15">
        <f>IFERROR(MATCH($A751,IF($B751="Onsite",tbl_Onsite[Row ID],IF($B751="Production",tbl_Production[Row ID],tbl_Consulting[Row ID])),0),"")</f>
        <v/>
      </c>
    </row>
    <row r="752">
      <c r="A752" s="10" t="inlineStr">
        <is>
          <t>PRD-0246</t>
        </is>
      </c>
      <c r="B752" s="10" t="inlineStr">
        <is>
          <t>Production</t>
        </is>
      </c>
      <c r="C752" s="10">
        <f>IF($BI752="","",IF($B752="Onsite",INDEX(tbl_Onsite[Job Number],$BI752),IF($B752="Production",INDEX(tbl_Production[Job Number],$BI752),INDEX(tbl_Consulting[Job Number],$BI752)))&amp;"")</f>
        <v/>
      </c>
      <c r="D752" s="10">
        <f>IF($BI752="","",IF($B752="Onsite",INDEX(tbl_Onsite[Client],$BI752),IF($B752="Production",INDEX(tbl_Production[Client],$BI752),INDEX(tbl_Consulting[Client],$BI752)))&amp;"")</f>
        <v/>
      </c>
      <c r="E752" s="10">
        <f>IF($C752="","",IF(COUNTIF(lst_Jobs,$C752)&gt;0,"OK","CHECK"))</f>
        <v/>
      </c>
      <c r="F752" s="10">
        <f>IF($C752="","",IFERROR(INDEX(lst_JobName,MATCH($C752,lst_Jobs,0)),""))</f>
        <v/>
      </c>
      <c r="G752" s="10">
        <f>IF($BI752="","",IF($B752="Onsite",INDEX(tbl_Onsite[Job Description],$BI752),IF($B752="Production",INDEX(tbl_Production[Job Description],$BI752),INDEX(tbl_Consulting[Job Description],$BI752)))&amp;"")</f>
        <v/>
      </c>
      <c r="H752" s="10">
        <f>IF($BI752="","",IF($B752="Onsite",INDEX(tbl_Onsite[Cost Centre],$BI752),IF($B752="Production",INDEX(tbl_Production[Cost Centre],$BI752),INDEX(tbl_Consulting[Cost Centre],$BI752)))&amp;"")</f>
        <v/>
      </c>
      <c r="I752" s="10">
        <f>IF($BI752="","",IF($B752="Onsite",INDEX(tbl_Onsite[Invoice Type],$BI752),IF($B752="Production",INDEX(tbl_Production[Invoice Type],$BI752),INDEX(tbl_Consulting[Invoice Type],$BI752)))&amp;"")</f>
        <v/>
      </c>
      <c r="J752" s="10">
        <f>IF($BI752="","",IF($B752="Onsite",INDEX(tbl_Onsite[Tax Code],$BI752),IF($B752="Production",INDEX(tbl_Production[Tax Code],$BI752),INDEX(tbl_Consulting[Tax Code],$BI752)))&amp;"")</f>
        <v/>
      </c>
      <c r="K752" s="10">
        <f>IF(H752="","",IFERROR(INDEX(lst_CCtoGL,MATCH(H752,lst_CCforGL,0)),""))</f>
        <v/>
      </c>
      <c r="L752" s="10">
        <f>IF($BI752="","",IF($B752="Onsite",INDEX(tbl_Onsite[PO / Reference],$BI752),IF($B752="Production",INDEX(tbl_Production[Current RMS No],$BI752),INDEX(tbl_Consulting[Qwilr Quote],$BI752)))&amp;"")</f>
        <v/>
      </c>
      <c r="M752" s="10">
        <f>IF($BI752="","",IF($B752="Onsite",INDEX(tbl_Onsite[Notes],$BI752),IF($B752="Production",INDEX(tbl_Production[Notes],$BI752),INDEX(tbl_Consulting[Notes],$BI752)))&amp;"")</f>
        <v/>
      </c>
      <c r="N752" s="11">
        <f>IF($BI752="","",IF(IF($B752="Onsite",INDEX(tbl_Onsite[Expected Revenue Ex GST],$BI752),IF($B752="Production",INDEX(tbl_Production[Expected Revenue Ex GST],$BI752),INDEX(tbl_Consulting[Expected Revenue Ex GST],$BI752)))="","",IF($B752="Onsite",INDEX(tbl_Onsite[Expected Revenue Ex GST],$BI752),IF($B752="Production",INDEX(tbl_Production[Expected Revenue Ex GST],$BI752),INDEX(tbl_Consulting[Expected Revenue Ex GST],$BI752)))))</f>
        <v/>
      </c>
      <c r="O752" s="11">
        <f>IF(AND($C752="",NOT(COUNTA($S752:$BB752)&gt;0)),"",SUM(U752,X752,AA752,AD752,AG752,AJ752,AM752,AP752,AS752,AV752,AY752,BB752))</f>
        <v/>
      </c>
      <c r="P752" s="11">
        <f>IF(O752="","",N(N752)-O752)</f>
        <v/>
      </c>
      <c r="Q752" s="10">
        <f>IF(O752="","",IF($C752="","Invoice on empty job row",IF(N752="",IF(ROUND(O752,2)=0,"No dept value","Invoiced - no dept value"),IF(ROUND(O752,2)=0,"Not invoiced - to invoice",IF(ROUND(P752,2)=0,"Agrees",IF(P752&gt;0,"Dept higher - to invoice","Xero higher - check dept"))))))</f>
        <v/>
      </c>
      <c r="R752" s="10">
        <f>IF(AND($C752="",NOT(COUNTA($S752:$BB752)&gt;0),$BI752&lt;&gt;""),"",MID(IF($BI752="","; Row ID not found on the department sheet - a row was deleted","")&amp;IF(AND($C752="",COUNTA($S752:$BB752)&gt;0),"; Invoice entered but the department row has no job number","")&amp;IF(E752="CHECK","; Job number not in the Xero job list","")&amp;IF(AND($C752&lt;&gt;"",COUNTIF($C$7:$C$1506,$C752)&gt;1),"; Job number on more than one row","")&amp;IF(AND($C752&lt;&gt;"",H752=""),"; Dept has not set a cost centre","")&amp;IF(AND($C752&lt;&gt;"",J752=""),"; Dept has not set a tax code","")&amp;IF(AND($C752&lt;&gt;"",N752=""),"; Dept has not entered an expected value","")&amp;IF((IF(OR(COUNTA(S752:U752)=0,AND(COUNTA(S752:U752)=3,ISNUMBER(U752))),0,1)+IF(OR(COUNTA(V752:X752)=0,AND(COUNTA(V752:X752)=3,ISNUMBER(X752))),0,1)+IF(OR(COUNTA(Y752:AA752)=0,AND(COUNTA(Y752:AA752)=3,ISNUMBER(AA752))),0,1)+IF(OR(COUNTA(AB752:AD752)=0,AND(COUNTA(AB752:AD752)=3,ISNUMBER(AD752))),0,1)+IF(OR(COUNTA(AE752:AG752)=0,AND(COUNTA(AE752:AG752)=3,ISNUMBER(AG752))),0,1)+IF(OR(COUNTA(AH752:AJ752)=0,AND(COUNTA(AH752:AJ752)=3,ISNUMBER(AJ752))),0,1)+IF(OR(COUNTA(AK752:AM752)=0,AND(COUNTA(AK752:AM752)=3,ISNUMBER(AM752))),0,1)+IF(OR(COUNTA(AN752:AP752)=0,AND(COUNTA(AN752:AP752)=3,ISNUMBER(AP752))),0,1)+IF(OR(COUNTA(AQ752:AS752)=0,AND(COUNTA(AQ752:AS752)=3,ISNUMBER(AS752))),0,1)+IF(OR(COUNTA(AT752:AV752)=0,AND(COUNTA(AT752:AV752)=3,ISNUMBER(AV752))),0,1)+IF(OR(COUNTA(AW752:AY752)=0,AND(COUNTA(AW752:AY752)=3,ISNUMBER(AY752))),0,1)+IF(OR(COUNTA(AZ752:BB752)=0,AND(COUNTA(AZ752:BB752)=3,ISNUMBER(BB752))),0,1))&gt;0,"; An invoice is incomplete (needs No, Date and a number in Ex GST)","")&amp;IF((IF(T752="",0,IFERROR(--(EOMONTH(T752,0)&lt;&gt;S$5),1))+IF(W752="",0,IFERROR(--(EOMONTH(W752,0)&lt;&gt;V$5),1))+IF(Z752="",0,IFERROR(--(EOMONTH(Z752,0)&lt;&gt;Y$5),1))+IF(AC752="",0,IFERROR(--(EOMONTH(AC752,0)&lt;&gt;AB$5),1))+IF(AF752="",0,IFERROR(--(EOMONTH(AF752,0)&lt;&gt;AE$5),1))+IF(AI752="",0,IFERROR(--(EOMONTH(AI752,0)&lt;&gt;AH$5),1))+IF(AL752="",0,IFERROR(--(EOMONTH(AL752,0)&lt;&gt;AK$5),1))+IF(AO752="",0,IFERROR(--(EOMONTH(AO752,0)&lt;&gt;AN$5),1))+IF(AR752="",0,IFERROR(--(EOMONTH(AR752,0)&lt;&gt;AQ$5),1))+IF(AU752="",0,IFERROR(--(EOMONTH(AU752,0)&lt;&gt;AT$5),1))+IF(AX752="",0,IFERROR(--(EOMONTH(AX752,0)&lt;&gt;AW$5),1))+IF(BA752="",0,IFERROR(--(EOMONTH(BA752,0)&lt;&gt;AZ$5),1)))&gt;0,"; An invoice date is not in the month it is typed under",""),3,500))</f>
        <v/>
      </c>
      <c r="S752" s="12" t="n"/>
      <c r="T752" s="13" t="n"/>
      <c r="U752" s="14" t="n"/>
      <c r="V752" s="12" t="n"/>
      <c r="W752" s="13" t="n"/>
      <c r="X752" s="14" t="n"/>
      <c r="Y752" s="12" t="n"/>
      <c r="Z752" s="13" t="n"/>
      <c r="AA752" s="14" t="n"/>
      <c r="AB752" s="12" t="n"/>
      <c r="AC752" s="13" t="n"/>
      <c r="AD752" s="14" t="n"/>
      <c r="AE752" s="12" t="n"/>
      <c r="AF752" s="13" t="n"/>
      <c r="AG752" s="14" t="n"/>
      <c r="AH752" s="12" t="n"/>
      <c r="AI752" s="13" t="n"/>
      <c r="AJ752" s="14" t="n"/>
      <c r="AK752" s="12" t="n"/>
      <c r="AL752" s="13" t="n"/>
      <c r="AM752" s="14" t="n"/>
      <c r="AN752" s="12" t="n"/>
      <c r="AO752" s="13" t="n"/>
      <c r="AP752" s="14" t="n"/>
      <c r="AQ752" s="12" t="n"/>
      <c r="AR752" s="13" t="n"/>
      <c r="AS752" s="14" t="n"/>
      <c r="AT752" s="12" t="n"/>
      <c r="AU752" s="13" t="n"/>
      <c r="AV752" s="14" t="n"/>
      <c r="AW752" s="12" t="n"/>
      <c r="AX752" s="13" t="n"/>
      <c r="AY752" s="14" t="n"/>
      <c r="AZ752" s="12" t="n"/>
      <c r="BA752" s="13" t="n"/>
      <c r="BB752" s="14" t="n"/>
      <c r="BC752" s="11">
        <f>IF(O752="","",IF(J752="GST 10%",ROUND(O752*set_GSTRate,2),0))</f>
        <v/>
      </c>
      <c r="BD752" s="11">
        <f>IF(O752="","",O752+BC752)</f>
        <v/>
      </c>
      <c r="BE752" s="15">
        <f>IF(O752="","",COUNTA(S752,V752,Y752,AB752,AE752,AH752,AK752,AN752,AQ752,AT752,AW752,AZ752))</f>
        <v/>
      </c>
      <c r="BF752" s="16">
        <f>IF(COUNT(T752,W752,Z752,AC752,AF752,AI752,AL752,AO752,AR752,AU752,AX752,BA752)=0,"",MAX(T752,W752,Z752,AC752,AF752,AI752,AL752,AO752,AR752,AU752,AX752,BA752))</f>
        <v/>
      </c>
      <c r="BG752" s="10">
        <f>MID(IF(S752="","",", "&amp;S752)&amp;IF(V752="","",", "&amp;V752)&amp;IF(Y752="","",", "&amp;Y752)&amp;IF(AB752="","",", "&amp;AB752)&amp;IF(AE752="","",", "&amp;AE752)&amp;IF(AH752="","",", "&amp;AH752)&amp;IF(AK752="","",", "&amp;AK752)&amp;IF(AN752="","",", "&amp;AN752)&amp;IF(AQ752="","",", "&amp;AQ752)&amp;IF(AT752="","",", "&amp;AT752)&amp;IF(AW752="","",", "&amp;AW752)&amp;IF(AZ752="","",", "&amp;AZ752),3,500)</f>
        <v/>
      </c>
      <c r="BH752" s="12" t="n"/>
      <c r="BI752" s="15">
        <f>IFERROR(MATCH($A752,IF($B752="Onsite",tbl_Onsite[Row ID],IF($B752="Production",tbl_Production[Row ID],tbl_Consulting[Row ID])),0),"")</f>
        <v/>
      </c>
    </row>
    <row r="753">
      <c r="A753" s="10" t="inlineStr">
        <is>
          <t>PRD-0247</t>
        </is>
      </c>
      <c r="B753" s="10" t="inlineStr">
        <is>
          <t>Production</t>
        </is>
      </c>
      <c r="C753" s="10">
        <f>IF($BI753="","",IF($B753="Onsite",INDEX(tbl_Onsite[Job Number],$BI753),IF($B753="Production",INDEX(tbl_Production[Job Number],$BI753),INDEX(tbl_Consulting[Job Number],$BI753)))&amp;"")</f>
        <v/>
      </c>
      <c r="D753" s="10">
        <f>IF($BI753="","",IF($B753="Onsite",INDEX(tbl_Onsite[Client],$BI753),IF($B753="Production",INDEX(tbl_Production[Client],$BI753),INDEX(tbl_Consulting[Client],$BI753)))&amp;"")</f>
        <v/>
      </c>
      <c r="E753" s="10">
        <f>IF($C753="","",IF(COUNTIF(lst_Jobs,$C753)&gt;0,"OK","CHECK"))</f>
        <v/>
      </c>
      <c r="F753" s="10">
        <f>IF($C753="","",IFERROR(INDEX(lst_JobName,MATCH($C753,lst_Jobs,0)),""))</f>
        <v/>
      </c>
      <c r="G753" s="10">
        <f>IF($BI753="","",IF($B753="Onsite",INDEX(tbl_Onsite[Job Description],$BI753),IF($B753="Production",INDEX(tbl_Production[Job Description],$BI753),INDEX(tbl_Consulting[Job Description],$BI753)))&amp;"")</f>
        <v/>
      </c>
      <c r="H753" s="10">
        <f>IF($BI753="","",IF($B753="Onsite",INDEX(tbl_Onsite[Cost Centre],$BI753),IF($B753="Production",INDEX(tbl_Production[Cost Centre],$BI753),INDEX(tbl_Consulting[Cost Centre],$BI753)))&amp;"")</f>
        <v/>
      </c>
      <c r="I753" s="10">
        <f>IF($BI753="","",IF($B753="Onsite",INDEX(tbl_Onsite[Invoice Type],$BI753),IF($B753="Production",INDEX(tbl_Production[Invoice Type],$BI753),INDEX(tbl_Consulting[Invoice Type],$BI753)))&amp;"")</f>
        <v/>
      </c>
      <c r="J753" s="10">
        <f>IF($BI753="","",IF($B753="Onsite",INDEX(tbl_Onsite[Tax Code],$BI753),IF($B753="Production",INDEX(tbl_Production[Tax Code],$BI753),INDEX(tbl_Consulting[Tax Code],$BI753)))&amp;"")</f>
        <v/>
      </c>
      <c r="K753" s="10">
        <f>IF(H753="","",IFERROR(INDEX(lst_CCtoGL,MATCH(H753,lst_CCforGL,0)),""))</f>
        <v/>
      </c>
      <c r="L753" s="10">
        <f>IF($BI753="","",IF($B753="Onsite",INDEX(tbl_Onsite[PO / Reference],$BI753),IF($B753="Production",INDEX(tbl_Production[Current RMS No],$BI753),INDEX(tbl_Consulting[Qwilr Quote],$BI753)))&amp;"")</f>
        <v/>
      </c>
      <c r="M753" s="10">
        <f>IF($BI753="","",IF($B753="Onsite",INDEX(tbl_Onsite[Notes],$BI753),IF($B753="Production",INDEX(tbl_Production[Notes],$BI753),INDEX(tbl_Consulting[Notes],$BI753)))&amp;"")</f>
        <v/>
      </c>
      <c r="N753" s="11">
        <f>IF($BI753="","",IF(IF($B753="Onsite",INDEX(tbl_Onsite[Expected Revenue Ex GST],$BI753),IF($B753="Production",INDEX(tbl_Production[Expected Revenue Ex GST],$BI753),INDEX(tbl_Consulting[Expected Revenue Ex GST],$BI753)))="","",IF($B753="Onsite",INDEX(tbl_Onsite[Expected Revenue Ex GST],$BI753),IF($B753="Production",INDEX(tbl_Production[Expected Revenue Ex GST],$BI753),INDEX(tbl_Consulting[Expected Revenue Ex GST],$BI753)))))</f>
        <v/>
      </c>
      <c r="O753" s="11">
        <f>IF(AND($C753="",NOT(COUNTA($S753:$BB753)&gt;0)),"",SUM(U753,X753,AA753,AD753,AG753,AJ753,AM753,AP753,AS753,AV753,AY753,BB753))</f>
        <v/>
      </c>
      <c r="P753" s="11">
        <f>IF(O753="","",N(N753)-O753)</f>
        <v/>
      </c>
      <c r="Q753" s="10">
        <f>IF(O753="","",IF($C753="","Invoice on empty job row",IF(N753="",IF(ROUND(O753,2)=0,"No dept value","Invoiced - no dept value"),IF(ROUND(O753,2)=0,"Not invoiced - to invoice",IF(ROUND(P753,2)=0,"Agrees",IF(P753&gt;0,"Dept higher - to invoice","Xero higher - check dept"))))))</f>
        <v/>
      </c>
      <c r="R753" s="10">
        <f>IF(AND($C753="",NOT(COUNTA($S753:$BB753)&gt;0),$BI753&lt;&gt;""),"",MID(IF($BI753="","; Row ID not found on the department sheet - a row was deleted","")&amp;IF(AND($C753="",COUNTA($S753:$BB753)&gt;0),"; Invoice entered but the department row has no job number","")&amp;IF(E753="CHECK","; Job number not in the Xero job list","")&amp;IF(AND($C753&lt;&gt;"",COUNTIF($C$7:$C$1506,$C753)&gt;1),"; Job number on more than one row","")&amp;IF(AND($C753&lt;&gt;"",H753=""),"; Dept has not set a cost centre","")&amp;IF(AND($C753&lt;&gt;"",J753=""),"; Dept has not set a tax code","")&amp;IF(AND($C753&lt;&gt;"",N753=""),"; Dept has not entered an expected value","")&amp;IF((IF(OR(COUNTA(S753:U753)=0,AND(COUNTA(S753:U753)=3,ISNUMBER(U753))),0,1)+IF(OR(COUNTA(V753:X753)=0,AND(COUNTA(V753:X753)=3,ISNUMBER(X753))),0,1)+IF(OR(COUNTA(Y753:AA753)=0,AND(COUNTA(Y753:AA753)=3,ISNUMBER(AA753))),0,1)+IF(OR(COUNTA(AB753:AD753)=0,AND(COUNTA(AB753:AD753)=3,ISNUMBER(AD753))),0,1)+IF(OR(COUNTA(AE753:AG753)=0,AND(COUNTA(AE753:AG753)=3,ISNUMBER(AG753))),0,1)+IF(OR(COUNTA(AH753:AJ753)=0,AND(COUNTA(AH753:AJ753)=3,ISNUMBER(AJ753))),0,1)+IF(OR(COUNTA(AK753:AM753)=0,AND(COUNTA(AK753:AM753)=3,ISNUMBER(AM753))),0,1)+IF(OR(COUNTA(AN753:AP753)=0,AND(COUNTA(AN753:AP753)=3,ISNUMBER(AP753))),0,1)+IF(OR(COUNTA(AQ753:AS753)=0,AND(COUNTA(AQ753:AS753)=3,ISNUMBER(AS753))),0,1)+IF(OR(COUNTA(AT753:AV753)=0,AND(COUNTA(AT753:AV753)=3,ISNUMBER(AV753))),0,1)+IF(OR(COUNTA(AW753:AY753)=0,AND(COUNTA(AW753:AY753)=3,ISNUMBER(AY753))),0,1)+IF(OR(COUNTA(AZ753:BB753)=0,AND(COUNTA(AZ753:BB753)=3,ISNUMBER(BB753))),0,1))&gt;0,"; An invoice is incomplete (needs No, Date and a number in Ex GST)","")&amp;IF((IF(T753="",0,IFERROR(--(EOMONTH(T753,0)&lt;&gt;S$5),1))+IF(W753="",0,IFERROR(--(EOMONTH(W753,0)&lt;&gt;V$5),1))+IF(Z753="",0,IFERROR(--(EOMONTH(Z753,0)&lt;&gt;Y$5),1))+IF(AC753="",0,IFERROR(--(EOMONTH(AC753,0)&lt;&gt;AB$5),1))+IF(AF753="",0,IFERROR(--(EOMONTH(AF753,0)&lt;&gt;AE$5),1))+IF(AI753="",0,IFERROR(--(EOMONTH(AI753,0)&lt;&gt;AH$5),1))+IF(AL753="",0,IFERROR(--(EOMONTH(AL753,0)&lt;&gt;AK$5),1))+IF(AO753="",0,IFERROR(--(EOMONTH(AO753,0)&lt;&gt;AN$5),1))+IF(AR753="",0,IFERROR(--(EOMONTH(AR753,0)&lt;&gt;AQ$5),1))+IF(AU753="",0,IFERROR(--(EOMONTH(AU753,0)&lt;&gt;AT$5),1))+IF(AX753="",0,IFERROR(--(EOMONTH(AX753,0)&lt;&gt;AW$5),1))+IF(BA753="",0,IFERROR(--(EOMONTH(BA753,0)&lt;&gt;AZ$5),1)))&gt;0,"; An invoice date is not in the month it is typed under",""),3,500))</f>
        <v/>
      </c>
      <c r="S753" s="12" t="n"/>
      <c r="T753" s="13" t="n"/>
      <c r="U753" s="14" t="n"/>
      <c r="V753" s="12" t="n"/>
      <c r="W753" s="13" t="n"/>
      <c r="X753" s="14" t="n"/>
      <c r="Y753" s="12" t="n"/>
      <c r="Z753" s="13" t="n"/>
      <c r="AA753" s="14" t="n"/>
      <c r="AB753" s="12" t="n"/>
      <c r="AC753" s="13" t="n"/>
      <c r="AD753" s="14" t="n"/>
      <c r="AE753" s="12" t="n"/>
      <c r="AF753" s="13" t="n"/>
      <c r="AG753" s="14" t="n"/>
      <c r="AH753" s="12" t="n"/>
      <c r="AI753" s="13" t="n"/>
      <c r="AJ753" s="14" t="n"/>
      <c r="AK753" s="12" t="n"/>
      <c r="AL753" s="13" t="n"/>
      <c r="AM753" s="14" t="n"/>
      <c r="AN753" s="12" t="n"/>
      <c r="AO753" s="13" t="n"/>
      <c r="AP753" s="14" t="n"/>
      <c r="AQ753" s="12" t="n"/>
      <c r="AR753" s="13" t="n"/>
      <c r="AS753" s="14" t="n"/>
      <c r="AT753" s="12" t="n"/>
      <c r="AU753" s="13" t="n"/>
      <c r="AV753" s="14" t="n"/>
      <c r="AW753" s="12" t="n"/>
      <c r="AX753" s="13" t="n"/>
      <c r="AY753" s="14" t="n"/>
      <c r="AZ753" s="12" t="n"/>
      <c r="BA753" s="13" t="n"/>
      <c r="BB753" s="14" t="n"/>
      <c r="BC753" s="11">
        <f>IF(O753="","",IF(J753="GST 10%",ROUND(O753*set_GSTRate,2),0))</f>
        <v/>
      </c>
      <c r="BD753" s="11">
        <f>IF(O753="","",O753+BC753)</f>
        <v/>
      </c>
      <c r="BE753" s="15">
        <f>IF(O753="","",COUNTA(S753,V753,Y753,AB753,AE753,AH753,AK753,AN753,AQ753,AT753,AW753,AZ753))</f>
        <v/>
      </c>
      <c r="BF753" s="16">
        <f>IF(COUNT(T753,W753,Z753,AC753,AF753,AI753,AL753,AO753,AR753,AU753,AX753,BA753)=0,"",MAX(T753,W753,Z753,AC753,AF753,AI753,AL753,AO753,AR753,AU753,AX753,BA753))</f>
        <v/>
      </c>
      <c r="BG753" s="10">
        <f>MID(IF(S753="","",", "&amp;S753)&amp;IF(V753="","",", "&amp;V753)&amp;IF(Y753="","",", "&amp;Y753)&amp;IF(AB753="","",", "&amp;AB753)&amp;IF(AE753="","",", "&amp;AE753)&amp;IF(AH753="","",", "&amp;AH753)&amp;IF(AK753="","",", "&amp;AK753)&amp;IF(AN753="","",", "&amp;AN753)&amp;IF(AQ753="","",", "&amp;AQ753)&amp;IF(AT753="","",", "&amp;AT753)&amp;IF(AW753="","",", "&amp;AW753)&amp;IF(AZ753="","",", "&amp;AZ753),3,500)</f>
        <v/>
      </c>
      <c r="BH753" s="12" t="n"/>
      <c r="BI753" s="15">
        <f>IFERROR(MATCH($A753,IF($B753="Onsite",tbl_Onsite[Row ID],IF($B753="Production",tbl_Production[Row ID],tbl_Consulting[Row ID])),0),"")</f>
        <v/>
      </c>
    </row>
    <row r="754">
      <c r="A754" s="10" t="inlineStr">
        <is>
          <t>PRD-0248</t>
        </is>
      </c>
      <c r="B754" s="10" t="inlineStr">
        <is>
          <t>Production</t>
        </is>
      </c>
      <c r="C754" s="10">
        <f>IF($BI754="","",IF($B754="Onsite",INDEX(tbl_Onsite[Job Number],$BI754),IF($B754="Production",INDEX(tbl_Production[Job Number],$BI754),INDEX(tbl_Consulting[Job Number],$BI754)))&amp;"")</f>
        <v/>
      </c>
      <c r="D754" s="10">
        <f>IF($BI754="","",IF($B754="Onsite",INDEX(tbl_Onsite[Client],$BI754),IF($B754="Production",INDEX(tbl_Production[Client],$BI754),INDEX(tbl_Consulting[Client],$BI754)))&amp;"")</f>
        <v/>
      </c>
      <c r="E754" s="10">
        <f>IF($C754="","",IF(COUNTIF(lst_Jobs,$C754)&gt;0,"OK","CHECK"))</f>
        <v/>
      </c>
      <c r="F754" s="10">
        <f>IF($C754="","",IFERROR(INDEX(lst_JobName,MATCH($C754,lst_Jobs,0)),""))</f>
        <v/>
      </c>
      <c r="G754" s="10">
        <f>IF($BI754="","",IF($B754="Onsite",INDEX(tbl_Onsite[Job Description],$BI754),IF($B754="Production",INDEX(tbl_Production[Job Description],$BI754),INDEX(tbl_Consulting[Job Description],$BI754)))&amp;"")</f>
        <v/>
      </c>
      <c r="H754" s="10">
        <f>IF($BI754="","",IF($B754="Onsite",INDEX(tbl_Onsite[Cost Centre],$BI754),IF($B754="Production",INDEX(tbl_Production[Cost Centre],$BI754),INDEX(tbl_Consulting[Cost Centre],$BI754)))&amp;"")</f>
        <v/>
      </c>
      <c r="I754" s="10">
        <f>IF($BI754="","",IF($B754="Onsite",INDEX(tbl_Onsite[Invoice Type],$BI754),IF($B754="Production",INDEX(tbl_Production[Invoice Type],$BI754),INDEX(tbl_Consulting[Invoice Type],$BI754)))&amp;"")</f>
        <v/>
      </c>
      <c r="J754" s="10">
        <f>IF($BI754="","",IF($B754="Onsite",INDEX(tbl_Onsite[Tax Code],$BI754),IF($B754="Production",INDEX(tbl_Production[Tax Code],$BI754),INDEX(tbl_Consulting[Tax Code],$BI754)))&amp;"")</f>
        <v/>
      </c>
      <c r="K754" s="10">
        <f>IF(H754="","",IFERROR(INDEX(lst_CCtoGL,MATCH(H754,lst_CCforGL,0)),""))</f>
        <v/>
      </c>
      <c r="L754" s="10">
        <f>IF($BI754="","",IF($B754="Onsite",INDEX(tbl_Onsite[PO / Reference],$BI754),IF($B754="Production",INDEX(tbl_Production[Current RMS No],$BI754),INDEX(tbl_Consulting[Qwilr Quote],$BI754)))&amp;"")</f>
        <v/>
      </c>
      <c r="M754" s="10">
        <f>IF($BI754="","",IF($B754="Onsite",INDEX(tbl_Onsite[Notes],$BI754),IF($B754="Production",INDEX(tbl_Production[Notes],$BI754),INDEX(tbl_Consulting[Notes],$BI754)))&amp;"")</f>
        <v/>
      </c>
      <c r="N754" s="11">
        <f>IF($BI754="","",IF(IF($B754="Onsite",INDEX(tbl_Onsite[Expected Revenue Ex GST],$BI754),IF($B754="Production",INDEX(tbl_Production[Expected Revenue Ex GST],$BI754),INDEX(tbl_Consulting[Expected Revenue Ex GST],$BI754)))="","",IF($B754="Onsite",INDEX(tbl_Onsite[Expected Revenue Ex GST],$BI754),IF($B754="Production",INDEX(tbl_Production[Expected Revenue Ex GST],$BI754),INDEX(tbl_Consulting[Expected Revenue Ex GST],$BI754)))))</f>
        <v/>
      </c>
      <c r="O754" s="11">
        <f>IF(AND($C754="",NOT(COUNTA($S754:$BB754)&gt;0)),"",SUM(U754,X754,AA754,AD754,AG754,AJ754,AM754,AP754,AS754,AV754,AY754,BB754))</f>
        <v/>
      </c>
      <c r="P754" s="11">
        <f>IF(O754="","",N(N754)-O754)</f>
        <v/>
      </c>
      <c r="Q754" s="10">
        <f>IF(O754="","",IF($C754="","Invoice on empty job row",IF(N754="",IF(ROUND(O754,2)=0,"No dept value","Invoiced - no dept value"),IF(ROUND(O754,2)=0,"Not invoiced - to invoice",IF(ROUND(P754,2)=0,"Agrees",IF(P754&gt;0,"Dept higher - to invoice","Xero higher - check dept"))))))</f>
        <v/>
      </c>
      <c r="R754" s="10">
        <f>IF(AND($C754="",NOT(COUNTA($S754:$BB754)&gt;0),$BI754&lt;&gt;""),"",MID(IF($BI754="","; Row ID not found on the department sheet - a row was deleted","")&amp;IF(AND($C754="",COUNTA($S754:$BB754)&gt;0),"; Invoice entered but the department row has no job number","")&amp;IF(E754="CHECK","; Job number not in the Xero job list","")&amp;IF(AND($C754&lt;&gt;"",COUNTIF($C$7:$C$1506,$C754)&gt;1),"; Job number on more than one row","")&amp;IF(AND($C754&lt;&gt;"",H754=""),"; Dept has not set a cost centre","")&amp;IF(AND($C754&lt;&gt;"",J754=""),"; Dept has not set a tax code","")&amp;IF(AND($C754&lt;&gt;"",N754=""),"; Dept has not entered an expected value","")&amp;IF((IF(OR(COUNTA(S754:U754)=0,AND(COUNTA(S754:U754)=3,ISNUMBER(U754))),0,1)+IF(OR(COUNTA(V754:X754)=0,AND(COUNTA(V754:X754)=3,ISNUMBER(X754))),0,1)+IF(OR(COUNTA(Y754:AA754)=0,AND(COUNTA(Y754:AA754)=3,ISNUMBER(AA754))),0,1)+IF(OR(COUNTA(AB754:AD754)=0,AND(COUNTA(AB754:AD754)=3,ISNUMBER(AD754))),0,1)+IF(OR(COUNTA(AE754:AG754)=0,AND(COUNTA(AE754:AG754)=3,ISNUMBER(AG754))),0,1)+IF(OR(COUNTA(AH754:AJ754)=0,AND(COUNTA(AH754:AJ754)=3,ISNUMBER(AJ754))),0,1)+IF(OR(COUNTA(AK754:AM754)=0,AND(COUNTA(AK754:AM754)=3,ISNUMBER(AM754))),0,1)+IF(OR(COUNTA(AN754:AP754)=0,AND(COUNTA(AN754:AP754)=3,ISNUMBER(AP754))),0,1)+IF(OR(COUNTA(AQ754:AS754)=0,AND(COUNTA(AQ754:AS754)=3,ISNUMBER(AS754))),0,1)+IF(OR(COUNTA(AT754:AV754)=0,AND(COUNTA(AT754:AV754)=3,ISNUMBER(AV754))),0,1)+IF(OR(COUNTA(AW754:AY754)=0,AND(COUNTA(AW754:AY754)=3,ISNUMBER(AY754))),0,1)+IF(OR(COUNTA(AZ754:BB754)=0,AND(COUNTA(AZ754:BB754)=3,ISNUMBER(BB754))),0,1))&gt;0,"; An invoice is incomplete (needs No, Date and a number in Ex GST)","")&amp;IF((IF(T754="",0,IFERROR(--(EOMONTH(T754,0)&lt;&gt;S$5),1))+IF(W754="",0,IFERROR(--(EOMONTH(W754,0)&lt;&gt;V$5),1))+IF(Z754="",0,IFERROR(--(EOMONTH(Z754,0)&lt;&gt;Y$5),1))+IF(AC754="",0,IFERROR(--(EOMONTH(AC754,0)&lt;&gt;AB$5),1))+IF(AF754="",0,IFERROR(--(EOMONTH(AF754,0)&lt;&gt;AE$5),1))+IF(AI754="",0,IFERROR(--(EOMONTH(AI754,0)&lt;&gt;AH$5),1))+IF(AL754="",0,IFERROR(--(EOMONTH(AL754,0)&lt;&gt;AK$5),1))+IF(AO754="",0,IFERROR(--(EOMONTH(AO754,0)&lt;&gt;AN$5),1))+IF(AR754="",0,IFERROR(--(EOMONTH(AR754,0)&lt;&gt;AQ$5),1))+IF(AU754="",0,IFERROR(--(EOMONTH(AU754,0)&lt;&gt;AT$5),1))+IF(AX754="",0,IFERROR(--(EOMONTH(AX754,0)&lt;&gt;AW$5),1))+IF(BA754="",0,IFERROR(--(EOMONTH(BA754,0)&lt;&gt;AZ$5),1)))&gt;0,"; An invoice date is not in the month it is typed under",""),3,500))</f>
        <v/>
      </c>
      <c r="S754" s="12" t="n"/>
      <c r="T754" s="13" t="n"/>
      <c r="U754" s="14" t="n"/>
      <c r="V754" s="12" t="n"/>
      <c r="W754" s="13" t="n"/>
      <c r="X754" s="14" t="n"/>
      <c r="Y754" s="12" t="n"/>
      <c r="Z754" s="13" t="n"/>
      <c r="AA754" s="14" t="n"/>
      <c r="AB754" s="12" t="n"/>
      <c r="AC754" s="13" t="n"/>
      <c r="AD754" s="14" t="n"/>
      <c r="AE754" s="12" t="n"/>
      <c r="AF754" s="13" t="n"/>
      <c r="AG754" s="14" t="n"/>
      <c r="AH754" s="12" t="n"/>
      <c r="AI754" s="13" t="n"/>
      <c r="AJ754" s="14" t="n"/>
      <c r="AK754" s="12" t="n"/>
      <c r="AL754" s="13" t="n"/>
      <c r="AM754" s="14" t="n"/>
      <c r="AN754" s="12" t="n"/>
      <c r="AO754" s="13" t="n"/>
      <c r="AP754" s="14" t="n"/>
      <c r="AQ754" s="12" t="n"/>
      <c r="AR754" s="13" t="n"/>
      <c r="AS754" s="14" t="n"/>
      <c r="AT754" s="12" t="n"/>
      <c r="AU754" s="13" t="n"/>
      <c r="AV754" s="14" t="n"/>
      <c r="AW754" s="12" t="n"/>
      <c r="AX754" s="13" t="n"/>
      <c r="AY754" s="14" t="n"/>
      <c r="AZ754" s="12" t="n"/>
      <c r="BA754" s="13" t="n"/>
      <c r="BB754" s="14" t="n"/>
      <c r="BC754" s="11">
        <f>IF(O754="","",IF(J754="GST 10%",ROUND(O754*set_GSTRate,2),0))</f>
        <v/>
      </c>
      <c r="BD754" s="11">
        <f>IF(O754="","",O754+BC754)</f>
        <v/>
      </c>
      <c r="BE754" s="15">
        <f>IF(O754="","",COUNTA(S754,V754,Y754,AB754,AE754,AH754,AK754,AN754,AQ754,AT754,AW754,AZ754))</f>
        <v/>
      </c>
      <c r="BF754" s="16">
        <f>IF(COUNT(T754,W754,Z754,AC754,AF754,AI754,AL754,AO754,AR754,AU754,AX754,BA754)=0,"",MAX(T754,W754,Z754,AC754,AF754,AI754,AL754,AO754,AR754,AU754,AX754,BA754))</f>
        <v/>
      </c>
      <c r="BG754" s="10">
        <f>MID(IF(S754="","",", "&amp;S754)&amp;IF(V754="","",", "&amp;V754)&amp;IF(Y754="","",", "&amp;Y754)&amp;IF(AB754="","",", "&amp;AB754)&amp;IF(AE754="","",", "&amp;AE754)&amp;IF(AH754="","",", "&amp;AH754)&amp;IF(AK754="","",", "&amp;AK754)&amp;IF(AN754="","",", "&amp;AN754)&amp;IF(AQ754="","",", "&amp;AQ754)&amp;IF(AT754="","",", "&amp;AT754)&amp;IF(AW754="","",", "&amp;AW754)&amp;IF(AZ754="","",", "&amp;AZ754),3,500)</f>
        <v/>
      </c>
      <c r="BH754" s="12" t="n"/>
      <c r="BI754" s="15">
        <f>IFERROR(MATCH($A754,IF($B754="Onsite",tbl_Onsite[Row ID],IF($B754="Production",tbl_Production[Row ID],tbl_Consulting[Row ID])),0),"")</f>
        <v/>
      </c>
    </row>
    <row r="755">
      <c r="A755" s="10" t="inlineStr">
        <is>
          <t>PRD-0249</t>
        </is>
      </c>
      <c r="B755" s="10" t="inlineStr">
        <is>
          <t>Production</t>
        </is>
      </c>
      <c r="C755" s="10">
        <f>IF($BI755="","",IF($B755="Onsite",INDEX(tbl_Onsite[Job Number],$BI755),IF($B755="Production",INDEX(tbl_Production[Job Number],$BI755),INDEX(tbl_Consulting[Job Number],$BI755)))&amp;"")</f>
        <v/>
      </c>
      <c r="D755" s="10">
        <f>IF($BI755="","",IF($B755="Onsite",INDEX(tbl_Onsite[Client],$BI755),IF($B755="Production",INDEX(tbl_Production[Client],$BI755),INDEX(tbl_Consulting[Client],$BI755)))&amp;"")</f>
        <v/>
      </c>
      <c r="E755" s="10">
        <f>IF($C755="","",IF(COUNTIF(lst_Jobs,$C755)&gt;0,"OK","CHECK"))</f>
        <v/>
      </c>
      <c r="F755" s="10">
        <f>IF($C755="","",IFERROR(INDEX(lst_JobName,MATCH($C755,lst_Jobs,0)),""))</f>
        <v/>
      </c>
      <c r="G755" s="10">
        <f>IF($BI755="","",IF($B755="Onsite",INDEX(tbl_Onsite[Job Description],$BI755),IF($B755="Production",INDEX(tbl_Production[Job Description],$BI755),INDEX(tbl_Consulting[Job Description],$BI755)))&amp;"")</f>
        <v/>
      </c>
      <c r="H755" s="10">
        <f>IF($BI755="","",IF($B755="Onsite",INDEX(tbl_Onsite[Cost Centre],$BI755),IF($B755="Production",INDEX(tbl_Production[Cost Centre],$BI755),INDEX(tbl_Consulting[Cost Centre],$BI755)))&amp;"")</f>
        <v/>
      </c>
      <c r="I755" s="10">
        <f>IF($BI755="","",IF($B755="Onsite",INDEX(tbl_Onsite[Invoice Type],$BI755),IF($B755="Production",INDEX(tbl_Production[Invoice Type],$BI755),INDEX(tbl_Consulting[Invoice Type],$BI755)))&amp;"")</f>
        <v/>
      </c>
      <c r="J755" s="10">
        <f>IF($BI755="","",IF($B755="Onsite",INDEX(tbl_Onsite[Tax Code],$BI755),IF($B755="Production",INDEX(tbl_Production[Tax Code],$BI755),INDEX(tbl_Consulting[Tax Code],$BI755)))&amp;"")</f>
        <v/>
      </c>
      <c r="K755" s="10">
        <f>IF(H755="","",IFERROR(INDEX(lst_CCtoGL,MATCH(H755,lst_CCforGL,0)),""))</f>
        <v/>
      </c>
      <c r="L755" s="10">
        <f>IF($BI755="","",IF($B755="Onsite",INDEX(tbl_Onsite[PO / Reference],$BI755),IF($B755="Production",INDEX(tbl_Production[Current RMS No],$BI755),INDEX(tbl_Consulting[Qwilr Quote],$BI755)))&amp;"")</f>
        <v/>
      </c>
      <c r="M755" s="10">
        <f>IF($BI755="","",IF($B755="Onsite",INDEX(tbl_Onsite[Notes],$BI755),IF($B755="Production",INDEX(tbl_Production[Notes],$BI755),INDEX(tbl_Consulting[Notes],$BI755)))&amp;"")</f>
        <v/>
      </c>
      <c r="N755" s="11">
        <f>IF($BI755="","",IF(IF($B755="Onsite",INDEX(tbl_Onsite[Expected Revenue Ex GST],$BI755),IF($B755="Production",INDEX(tbl_Production[Expected Revenue Ex GST],$BI755),INDEX(tbl_Consulting[Expected Revenue Ex GST],$BI755)))="","",IF($B755="Onsite",INDEX(tbl_Onsite[Expected Revenue Ex GST],$BI755),IF($B755="Production",INDEX(tbl_Production[Expected Revenue Ex GST],$BI755),INDEX(tbl_Consulting[Expected Revenue Ex GST],$BI755)))))</f>
        <v/>
      </c>
      <c r="O755" s="11">
        <f>IF(AND($C755="",NOT(COUNTA($S755:$BB755)&gt;0)),"",SUM(U755,X755,AA755,AD755,AG755,AJ755,AM755,AP755,AS755,AV755,AY755,BB755))</f>
        <v/>
      </c>
      <c r="P755" s="11">
        <f>IF(O755="","",N(N755)-O755)</f>
        <v/>
      </c>
      <c r="Q755" s="10">
        <f>IF(O755="","",IF($C755="","Invoice on empty job row",IF(N755="",IF(ROUND(O755,2)=0,"No dept value","Invoiced - no dept value"),IF(ROUND(O755,2)=0,"Not invoiced - to invoice",IF(ROUND(P755,2)=0,"Agrees",IF(P755&gt;0,"Dept higher - to invoice","Xero higher - check dept"))))))</f>
        <v/>
      </c>
      <c r="R755" s="10">
        <f>IF(AND($C755="",NOT(COUNTA($S755:$BB755)&gt;0),$BI755&lt;&gt;""),"",MID(IF($BI755="","; Row ID not found on the department sheet - a row was deleted","")&amp;IF(AND($C755="",COUNTA($S755:$BB755)&gt;0),"; Invoice entered but the department row has no job number","")&amp;IF(E755="CHECK","; Job number not in the Xero job list","")&amp;IF(AND($C755&lt;&gt;"",COUNTIF($C$7:$C$1506,$C755)&gt;1),"; Job number on more than one row","")&amp;IF(AND($C755&lt;&gt;"",H755=""),"; Dept has not set a cost centre","")&amp;IF(AND($C755&lt;&gt;"",J755=""),"; Dept has not set a tax code","")&amp;IF(AND($C755&lt;&gt;"",N755=""),"; Dept has not entered an expected value","")&amp;IF((IF(OR(COUNTA(S755:U755)=0,AND(COUNTA(S755:U755)=3,ISNUMBER(U755))),0,1)+IF(OR(COUNTA(V755:X755)=0,AND(COUNTA(V755:X755)=3,ISNUMBER(X755))),0,1)+IF(OR(COUNTA(Y755:AA755)=0,AND(COUNTA(Y755:AA755)=3,ISNUMBER(AA755))),0,1)+IF(OR(COUNTA(AB755:AD755)=0,AND(COUNTA(AB755:AD755)=3,ISNUMBER(AD755))),0,1)+IF(OR(COUNTA(AE755:AG755)=0,AND(COUNTA(AE755:AG755)=3,ISNUMBER(AG755))),0,1)+IF(OR(COUNTA(AH755:AJ755)=0,AND(COUNTA(AH755:AJ755)=3,ISNUMBER(AJ755))),0,1)+IF(OR(COUNTA(AK755:AM755)=0,AND(COUNTA(AK755:AM755)=3,ISNUMBER(AM755))),0,1)+IF(OR(COUNTA(AN755:AP755)=0,AND(COUNTA(AN755:AP755)=3,ISNUMBER(AP755))),0,1)+IF(OR(COUNTA(AQ755:AS755)=0,AND(COUNTA(AQ755:AS755)=3,ISNUMBER(AS755))),0,1)+IF(OR(COUNTA(AT755:AV755)=0,AND(COUNTA(AT755:AV755)=3,ISNUMBER(AV755))),0,1)+IF(OR(COUNTA(AW755:AY755)=0,AND(COUNTA(AW755:AY755)=3,ISNUMBER(AY755))),0,1)+IF(OR(COUNTA(AZ755:BB755)=0,AND(COUNTA(AZ755:BB755)=3,ISNUMBER(BB755))),0,1))&gt;0,"; An invoice is incomplete (needs No, Date and a number in Ex GST)","")&amp;IF((IF(T755="",0,IFERROR(--(EOMONTH(T755,0)&lt;&gt;S$5),1))+IF(W755="",0,IFERROR(--(EOMONTH(W755,0)&lt;&gt;V$5),1))+IF(Z755="",0,IFERROR(--(EOMONTH(Z755,0)&lt;&gt;Y$5),1))+IF(AC755="",0,IFERROR(--(EOMONTH(AC755,0)&lt;&gt;AB$5),1))+IF(AF755="",0,IFERROR(--(EOMONTH(AF755,0)&lt;&gt;AE$5),1))+IF(AI755="",0,IFERROR(--(EOMONTH(AI755,0)&lt;&gt;AH$5),1))+IF(AL755="",0,IFERROR(--(EOMONTH(AL755,0)&lt;&gt;AK$5),1))+IF(AO755="",0,IFERROR(--(EOMONTH(AO755,0)&lt;&gt;AN$5),1))+IF(AR755="",0,IFERROR(--(EOMONTH(AR755,0)&lt;&gt;AQ$5),1))+IF(AU755="",0,IFERROR(--(EOMONTH(AU755,0)&lt;&gt;AT$5),1))+IF(AX755="",0,IFERROR(--(EOMONTH(AX755,0)&lt;&gt;AW$5),1))+IF(BA755="",0,IFERROR(--(EOMONTH(BA755,0)&lt;&gt;AZ$5),1)))&gt;0,"; An invoice date is not in the month it is typed under",""),3,500))</f>
        <v/>
      </c>
      <c r="S755" s="12" t="n"/>
      <c r="T755" s="13" t="n"/>
      <c r="U755" s="14" t="n"/>
      <c r="V755" s="12" t="n"/>
      <c r="W755" s="13" t="n"/>
      <c r="X755" s="14" t="n"/>
      <c r="Y755" s="12" t="n"/>
      <c r="Z755" s="13" t="n"/>
      <c r="AA755" s="14" t="n"/>
      <c r="AB755" s="12" t="n"/>
      <c r="AC755" s="13" t="n"/>
      <c r="AD755" s="14" t="n"/>
      <c r="AE755" s="12" t="n"/>
      <c r="AF755" s="13" t="n"/>
      <c r="AG755" s="14" t="n"/>
      <c r="AH755" s="12" t="n"/>
      <c r="AI755" s="13" t="n"/>
      <c r="AJ755" s="14" t="n"/>
      <c r="AK755" s="12" t="n"/>
      <c r="AL755" s="13" t="n"/>
      <c r="AM755" s="14" t="n"/>
      <c r="AN755" s="12" t="n"/>
      <c r="AO755" s="13" t="n"/>
      <c r="AP755" s="14" t="n"/>
      <c r="AQ755" s="12" t="n"/>
      <c r="AR755" s="13" t="n"/>
      <c r="AS755" s="14" t="n"/>
      <c r="AT755" s="12" t="n"/>
      <c r="AU755" s="13" t="n"/>
      <c r="AV755" s="14" t="n"/>
      <c r="AW755" s="12" t="n"/>
      <c r="AX755" s="13" t="n"/>
      <c r="AY755" s="14" t="n"/>
      <c r="AZ755" s="12" t="n"/>
      <c r="BA755" s="13" t="n"/>
      <c r="BB755" s="14" t="n"/>
      <c r="BC755" s="11">
        <f>IF(O755="","",IF(J755="GST 10%",ROUND(O755*set_GSTRate,2),0))</f>
        <v/>
      </c>
      <c r="BD755" s="11">
        <f>IF(O755="","",O755+BC755)</f>
        <v/>
      </c>
      <c r="BE755" s="15">
        <f>IF(O755="","",COUNTA(S755,V755,Y755,AB755,AE755,AH755,AK755,AN755,AQ755,AT755,AW755,AZ755))</f>
        <v/>
      </c>
      <c r="BF755" s="16">
        <f>IF(COUNT(T755,W755,Z755,AC755,AF755,AI755,AL755,AO755,AR755,AU755,AX755,BA755)=0,"",MAX(T755,W755,Z755,AC755,AF755,AI755,AL755,AO755,AR755,AU755,AX755,BA755))</f>
        <v/>
      </c>
      <c r="BG755" s="10">
        <f>MID(IF(S755="","",", "&amp;S755)&amp;IF(V755="","",", "&amp;V755)&amp;IF(Y755="","",", "&amp;Y755)&amp;IF(AB755="","",", "&amp;AB755)&amp;IF(AE755="","",", "&amp;AE755)&amp;IF(AH755="","",", "&amp;AH755)&amp;IF(AK755="","",", "&amp;AK755)&amp;IF(AN755="","",", "&amp;AN755)&amp;IF(AQ755="","",", "&amp;AQ755)&amp;IF(AT755="","",", "&amp;AT755)&amp;IF(AW755="","",", "&amp;AW755)&amp;IF(AZ755="","",", "&amp;AZ755),3,500)</f>
        <v/>
      </c>
      <c r="BH755" s="12" t="n"/>
      <c r="BI755" s="15">
        <f>IFERROR(MATCH($A755,IF($B755="Onsite",tbl_Onsite[Row ID],IF($B755="Production",tbl_Production[Row ID],tbl_Consulting[Row ID])),0),"")</f>
        <v/>
      </c>
    </row>
    <row r="756">
      <c r="A756" s="10" t="inlineStr">
        <is>
          <t>PRD-0250</t>
        </is>
      </c>
      <c r="B756" s="10" t="inlineStr">
        <is>
          <t>Production</t>
        </is>
      </c>
      <c r="C756" s="10">
        <f>IF($BI756="","",IF($B756="Onsite",INDEX(tbl_Onsite[Job Number],$BI756),IF($B756="Production",INDEX(tbl_Production[Job Number],$BI756),INDEX(tbl_Consulting[Job Number],$BI756)))&amp;"")</f>
        <v/>
      </c>
      <c r="D756" s="10">
        <f>IF($BI756="","",IF($B756="Onsite",INDEX(tbl_Onsite[Client],$BI756),IF($B756="Production",INDEX(tbl_Production[Client],$BI756),INDEX(tbl_Consulting[Client],$BI756)))&amp;"")</f>
        <v/>
      </c>
      <c r="E756" s="10">
        <f>IF($C756="","",IF(COUNTIF(lst_Jobs,$C756)&gt;0,"OK","CHECK"))</f>
        <v/>
      </c>
      <c r="F756" s="10">
        <f>IF($C756="","",IFERROR(INDEX(lst_JobName,MATCH($C756,lst_Jobs,0)),""))</f>
        <v/>
      </c>
      <c r="G756" s="10">
        <f>IF($BI756="","",IF($B756="Onsite",INDEX(tbl_Onsite[Job Description],$BI756),IF($B756="Production",INDEX(tbl_Production[Job Description],$BI756),INDEX(tbl_Consulting[Job Description],$BI756)))&amp;"")</f>
        <v/>
      </c>
      <c r="H756" s="10">
        <f>IF($BI756="","",IF($B756="Onsite",INDEX(tbl_Onsite[Cost Centre],$BI756),IF($B756="Production",INDEX(tbl_Production[Cost Centre],$BI756),INDEX(tbl_Consulting[Cost Centre],$BI756)))&amp;"")</f>
        <v/>
      </c>
      <c r="I756" s="10">
        <f>IF($BI756="","",IF($B756="Onsite",INDEX(tbl_Onsite[Invoice Type],$BI756),IF($B756="Production",INDEX(tbl_Production[Invoice Type],$BI756),INDEX(tbl_Consulting[Invoice Type],$BI756)))&amp;"")</f>
        <v/>
      </c>
      <c r="J756" s="10">
        <f>IF($BI756="","",IF($B756="Onsite",INDEX(tbl_Onsite[Tax Code],$BI756),IF($B756="Production",INDEX(tbl_Production[Tax Code],$BI756),INDEX(tbl_Consulting[Tax Code],$BI756)))&amp;"")</f>
        <v/>
      </c>
      <c r="K756" s="10">
        <f>IF(H756="","",IFERROR(INDEX(lst_CCtoGL,MATCH(H756,lst_CCforGL,0)),""))</f>
        <v/>
      </c>
      <c r="L756" s="10">
        <f>IF($BI756="","",IF($B756="Onsite",INDEX(tbl_Onsite[PO / Reference],$BI756),IF($B756="Production",INDEX(tbl_Production[Current RMS No],$BI756),INDEX(tbl_Consulting[Qwilr Quote],$BI756)))&amp;"")</f>
        <v/>
      </c>
      <c r="M756" s="10">
        <f>IF($BI756="","",IF($B756="Onsite",INDEX(tbl_Onsite[Notes],$BI756),IF($B756="Production",INDEX(tbl_Production[Notes],$BI756),INDEX(tbl_Consulting[Notes],$BI756)))&amp;"")</f>
        <v/>
      </c>
      <c r="N756" s="11">
        <f>IF($BI756="","",IF(IF($B756="Onsite",INDEX(tbl_Onsite[Expected Revenue Ex GST],$BI756),IF($B756="Production",INDEX(tbl_Production[Expected Revenue Ex GST],$BI756),INDEX(tbl_Consulting[Expected Revenue Ex GST],$BI756)))="","",IF($B756="Onsite",INDEX(tbl_Onsite[Expected Revenue Ex GST],$BI756),IF($B756="Production",INDEX(tbl_Production[Expected Revenue Ex GST],$BI756),INDEX(tbl_Consulting[Expected Revenue Ex GST],$BI756)))))</f>
        <v/>
      </c>
      <c r="O756" s="11">
        <f>IF(AND($C756="",NOT(COUNTA($S756:$BB756)&gt;0)),"",SUM(U756,X756,AA756,AD756,AG756,AJ756,AM756,AP756,AS756,AV756,AY756,BB756))</f>
        <v/>
      </c>
      <c r="P756" s="11">
        <f>IF(O756="","",N(N756)-O756)</f>
        <v/>
      </c>
      <c r="Q756" s="10">
        <f>IF(O756="","",IF($C756="","Invoice on empty job row",IF(N756="",IF(ROUND(O756,2)=0,"No dept value","Invoiced - no dept value"),IF(ROUND(O756,2)=0,"Not invoiced - to invoice",IF(ROUND(P756,2)=0,"Agrees",IF(P756&gt;0,"Dept higher - to invoice","Xero higher - check dept"))))))</f>
        <v/>
      </c>
      <c r="R756" s="10">
        <f>IF(AND($C756="",NOT(COUNTA($S756:$BB756)&gt;0),$BI756&lt;&gt;""),"",MID(IF($BI756="","; Row ID not found on the department sheet - a row was deleted","")&amp;IF(AND($C756="",COUNTA($S756:$BB756)&gt;0),"; Invoice entered but the department row has no job number","")&amp;IF(E756="CHECK","; Job number not in the Xero job list","")&amp;IF(AND($C756&lt;&gt;"",COUNTIF($C$7:$C$1506,$C756)&gt;1),"; Job number on more than one row","")&amp;IF(AND($C756&lt;&gt;"",H756=""),"; Dept has not set a cost centre","")&amp;IF(AND($C756&lt;&gt;"",J756=""),"; Dept has not set a tax code","")&amp;IF(AND($C756&lt;&gt;"",N756=""),"; Dept has not entered an expected value","")&amp;IF((IF(OR(COUNTA(S756:U756)=0,AND(COUNTA(S756:U756)=3,ISNUMBER(U756))),0,1)+IF(OR(COUNTA(V756:X756)=0,AND(COUNTA(V756:X756)=3,ISNUMBER(X756))),0,1)+IF(OR(COUNTA(Y756:AA756)=0,AND(COUNTA(Y756:AA756)=3,ISNUMBER(AA756))),0,1)+IF(OR(COUNTA(AB756:AD756)=0,AND(COUNTA(AB756:AD756)=3,ISNUMBER(AD756))),0,1)+IF(OR(COUNTA(AE756:AG756)=0,AND(COUNTA(AE756:AG756)=3,ISNUMBER(AG756))),0,1)+IF(OR(COUNTA(AH756:AJ756)=0,AND(COUNTA(AH756:AJ756)=3,ISNUMBER(AJ756))),0,1)+IF(OR(COUNTA(AK756:AM756)=0,AND(COUNTA(AK756:AM756)=3,ISNUMBER(AM756))),0,1)+IF(OR(COUNTA(AN756:AP756)=0,AND(COUNTA(AN756:AP756)=3,ISNUMBER(AP756))),0,1)+IF(OR(COUNTA(AQ756:AS756)=0,AND(COUNTA(AQ756:AS756)=3,ISNUMBER(AS756))),0,1)+IF(OR(COUNTA(AT756:AV756)=0,AND(COUNTA(AT756:AV756)=3,ISNUMBER(AV756))),0,1)+IF(OR(COUNTA(AW756:AY756)=0,AND(COUNTA(AW756:AY756)=3,ISNUMBER(AY756))),0,1)+IF(OR(COUNTA(AZ756:BB756)=0,AND(COUNTA(AZ756:BB756)=3,ISNUMBER(BB756))),0,1))&gt;0,"; An invoice is incomplete (needs No, Date and a number in Ex GST)","")&amp;IF((IF(T756="",0,IFERROR(--(EOMONTH(T756,0)&lt;&gt;S$5),1))+IF(W756="",0,IFERROR(--(EOMONTH(W756,0)&lt;&gt;V$5),1))+IF(Z756="",0,IFERROR(--(EOMONTH(Z756,0)&lt;&gt;Y$5),1))+IF(AC756="",0,IFERROR(--(EOMONTH(AC756,0)&lt;&gt;AB$5),1))+IF(AF756="",0,IFERROR(--(EOMONTH(AF756,0)&lt;&gt;AE$5),1))+IF(AI756="",0,IFERROR(--(EOMONTH(AI756,0)&lt;&gt;AH$5),1))+IF(AL756="",0,IFERROR(--(EOMONTH(AL756,0)&lt;&gt;AK$5),1))+IF(AO756="",0,IFERROR(--(EOMONTH(AO756,0)&lt;&gt;AN$5),1))+IF(AR756="",0,IFERROR(--(EOMONTH(AR756,0)&lt;&gt;AQ$5),1))+IF(AU756="",0,IFERROR(--(EOMONTH(AU756,0)&lt;&gt;AT$5),1))+IF(AX756="",0,IFERROR(--(EOMONTH(AX756,0)&lt;&gt;AW$5),1))+IF(BA756="",0,IFERROR(--(EOMONTH(BA756,0)&lt;&gt;AZ$5),1)))&gt;0,"; An invoice date is not in the month it is typed under",""),3,500))</f>
        <v/>
      </c>
      <c r="S756" s="12" t="n"/>
      <c r="T756" s="13" t="n"/>
      <c r="U756" s="14" t="n"/>
      <c r="V756" s="12" t="n"/>
      <c r="W756" s="13" t="n"/>
      <c r="X756" s="14" t="n"/>
      <c r="Y756" s="12" t="n"/>
      <c r="Z756" s="13" t="n"/>
      <c r="AA756" s="14" t="n"/>
      <c r="AB756" s="12" t="n"/>
      <c r="AC756" s="13" t="n"/>
      <c r="AD756" s="14" t="n"/>
      <c r="AE756" s="12" t="n"/>
      <c r="AF756" s="13" t="n"/>
      <c r="AG756" s="14" t="n"/>
      <c r="AH756" s="12" t="n"/>
      <c r="AI756" s="13" t="n"/>
      <c r="AJ756" s="14" t="n"/>
      <c r="AK756" s="12" t="n"/>
      <c r="AL756" s="13" t="n"/>
      <c r="AM756" s="14" t="n"/>
      <c r="AN756" s="12" t="n"/>
      <c r="AO756" s="13" t="n"/>
      <c r="AP756" s="14" t="n"/>
      <c r="AQ756" s="12" t="n"/>
      <c r="AR756" s="13" t="n"/>
      <c r="AS756" s="14" t="n"/>
      <c r="AT756" s="12" t="n"/>
      <c r="AU756" s="13" t="n"/>
      <c r="AV756" s="14" t="n"/>
      <c r="AW756" s="12" t="n"/>
      <c r="AX756" s="13" t="n"/>
      <c r="AY756" s="14" t="n"/>
      <c r="AZ756" s="12" t="n"/>
      <c r="BA756" s="13" t="n"/>
      <c r="BB756" s="14" t="n"/>
      <c r="BC756" s="11">
        <f>IF(O756="","",IF(J756="GST 10%",ROUND(O756*set_GSTRate,2),0))</f>
        <v/>
      </c>
      <c r="BD756" s="11">
        <f>IF(O756="","",O756+BC756)</f>
        <v/>
      </c>
      <c r="BE756" s="15">
        <f>IF(O756="","",COUNTA(S756,V756,Y756,AB756,AE756,AH756,AK756,AN756,AQ756,AT756,AW756,AZ756))</f>
        <v/>
      </c>
      <c r="BF756" s="16">
        <f>IF(COUNT(T756,W756,Z756,AC756,AF756,AI756,AL756,AO756,AR756,AU756,AX756,BA756)=0,"",MAX(T756,W756,Z756,AC756,AF756,AI756,AL756,AO756,AR756,AU756,AX756,BA756))</f>
        <v/>
      </c>
      <c r="BG756" s="10">
        <f>MID(IF(S756="","",", "&amp;S756)&amp;IF(V756="","",", "&amp;V756)&amp;IF(Y756="","",", "&amp;Y756)&amp;IF(AB756="","",", "&amp;AB756)&amp;IF(AE756="","",", "&amp;AE756)&amp;IF(AH756="","",", "&amp;AH756)&amp;IF(AK756="","",", "&amp;AK756)&amp;IF(AN756="","",", "&amp;AN756)&amp;IF(AQ756="","",", "&amp;AQ756)&amp;IF(AT756="","",", "&amp;AT756)&amp;IF(AW756="","",", "&amp;AW756)&amp;IF(AZ756="","",", "&amp;AZ756),3,500)</f>
        <v/>
      </c>
      <c r="BH756" s="12" t="n"/>
      <c r="BI756" s="15">
        <f>IFERROR(MATCH($A756,IF($B756="Onsite",tbl_Onsite[Row ID],IF($B756="Production",tbl_Production[Row ID],tbl_Consulting[Row ID])),0),"")</f>
        <v/>
      </c>
    </row>
    <row r="757">
      <c r="A757" s="10" t="inlineStr">
        <is>
          <t>PRD-0251</t>
        </is>
      </c>
      <c r="B757" s="10" t="inlineStr">
        <is>
          <t>Production</t>
        </is>
      </c>
      <c r="C757" s="10">
        <f>IF($BI757="","",IF($B757="Onsite",INDEX(tbl_Onsite[Job Number],$BI757),IF($B757="Production",INDEX(tbl_Production[Job Number],$BI757),INDEX(tbl_Consulting[Job Number],$BI757)))&amp;"")</f>
        <v/>
      </c>
      <c r="D757" s="10">
        <f>IF($BI757="","",IF($B757="Onsite",INDEX(tbl_Onsite[Client],$BI757),IF($B757="Production",INDEX(tbl_Production[Client],$BI757),INDEX(tbl_Consulting[Client],$BI757)))&amp;"")</f>
        <v/>
      </c>
      <c r="E757" s="10">
        <f>IF($C757="","",IF(COUNTIF(lst_Jobs,$C757)&gt;0,"OK","CHECK"))</f>
        <v/>
      </c>
      <c r="F757" s="10">
        <f>IF($C757="","",IFERROR(INDEX(lst_JobName,MATCH($C757,lst_Jobs,0)),""))</f>
        <v/>
      </c>
      <c r="G757" s="10">
        <f>IF($BI757="","",IF($B757="Onsite",INDEX(tbl_Onsite[Job Description],$BI757),IF($B757="Production",INDEX(tbl_Production[Job Description],$BI757),INDEX(tbl_Consulting[Job Description],$BI757)))&amp;"")</f>
        <v/>
      </c>
      <c r="H757" s="10">
        <f>IF($BI757="","",IF($B757="Onsite",INDEX(tbl_Onsite[Cost Centre],$BI757),IF($B757="Production",INDEX(tbl_Production[Cost Centre],$BI757),INDEX(tbl_Consulting[Cost Centre],$BI757)))&amp;"")</f>
        <v/>
      </c>
      <c r="I757" s="10">
        <f>IF($BI757="","",IF($B757="Onsite",INDEX(tbl_Onsite[Invoice Type],$BI757),IF($B757="Production",INDEX(tbl_Production[Invoice Type],$BI757),INDEX(tbl_Consulting[Invoice Type],$BI757)))&amp;"")</f>
        <v/>
      </c>
      <c r="J757" s="10">
        <f>IF($BI757="","",IF($B757="Onsite",INDEX(tbl_Onsite[Tax Code],$BI757),IF($B757="Production",INDEX(tbl_Production[Tax Code],$BI757),INDEX(tbl_Consulting[Tax Code],$BI757)))&amp;"")</f>
        <v/>
      </c>
      <c r="K757" s="10">
        <f>IF(H757="","",IFERROR(INDEX(lst_CCtoGL,MATCH(H757,lst_CCforGL,0)),""))</f>
        <v/>
      </c>
      <c r="L757" s="10">
        <f>IF($BI757="","",IF($B757="Onsite",INDEX(tbl_Onsite[PO / Reference],$BI757),IF($B757="Production",INDEX(tbl_Production[Current RMS No],$BI757),INDEX(tbl_Consulting[Qwilr Quote],$BI757)))&amp;"")</f>
        <v/>
      </c>
      <c r="M757" s="10">
        <f>IF($BI757="","",IF($B757="Onsite",INDEX(tbl_Onsite[Notes],$BI757),IF($B757="Production",INDEX(tbl_Production[Notes],$BI757),INDEX(tbl_Consulting[Notes],$BI757)))&amp;"")</f>
        <v/>
      </c>
      <c r="N757" s="11">
        <f>IF($BI757="","",IF(IF($B757="Onsite",INDEX(tbl_Onsite[Expected Revenue Ex GST],$BI757),IF($B757="Production",INDEX(tbl_Production[Expected Revenue Ex GST],$BI757),INDEX(tbl_Consulting[Expected Revenue Ex GST],$BI757)))="","",IF($B757="Onsite",INDEX(tbl_Onsite[Expected Revenue Ex GST],$BI757),IF($B757="Production",INDEX(tbl_Production[Expected Revenue Ex GST],$BI757),INDEX(tbl_Consulting[Expected Revenue Ex GST],$BI757)))))</f>
        <v/>
      </c>
      <c r="O757" s="11">
        <f>IF(AND($C757="",NOT(COUNTA($S757:$BB757)&gt;0)),"",SUM(U757,X757,AA757,AD757,AG757,AJ757,AM757,AP757,AS757,AV757,AY757,BB757))</f>
        <v/>
      </c>
      <c r="P757" s="11">
        <f>IF(O757="","",N(N757)-O757)</f>
        <v/>
      </c>
      <c r="Q757" s="10">
        <f>IF(O757="","",IF($C757="","Invoice on empty job row",IF(N757="",IF(ROUND(O757,2)=0,"No dept value","Invoiced - no dept value"),IF(ROUND(O757,2)=0,"Not invoiced - to invoice",IF(ROUND(P757,2)=0,"Agrees",IF(P757&gt;0,"Dept higher - to invoice","Xero higher - check dept"))))))</f>
        <v/>
      </c>
      <c r="R757" s="10">
        <f>IF(AND($C757="",NOT(COUNTA($S757:$BB757)&gt;0),$BI757&lt;&gt;""),"",MID(IF($BI757="","; Row ID not found on the department sheet - a row was deleted","")&amp;IF(AND($C757="",COUNTA($S757:$BB757)&gt;0),"; Invoice entered but the department row has no job number","")&amp;IF(E757="CHECK","; Job number not in the Xero job list","")&amp;IF(AND($C757&lt;&gt;"",COUNTIF($C$7:$C$1506,$C757)&gt;1),"; Job number on more than one row","")&amp;IF(AND($C757&lt;&gt;"",H757=""),"; Dept has not set a cost centre","")&amp;IF(AND($C757&lt;&gt;"",J757=""),"; Dept has not set a tax code","")&amp;IF(AND($C757&lt;&gt;"",N757=""),"; Dept has not entered an expected value","")&amp;IF((IF(OR(COUNTA(S757:U757)=0,AND(COUNTA(S757:U757)=3,ISNUMBER(U757))),0,1)+IF(OR(COUNTA(V757:X757)=0,AND(COUNTA(V757:X757)=3,ISNUMBER(X757))),0,1)+IF(OR(COUNTA(Y757:AA757)=0,AND(COUNTA(Y757:AA757)=3,ISNUMBER(AA757))),0,1)+IF(OR(COUNTA(AB757:AD757)=0,AND(COUNTA(AB757:AD757)=3,ISNUMBER(AD757))),0,1)+IF(OR(COUNTA(AE757:AG757)=0,AND(COUNTA(AE757:AG757)=3,ISNUMBER(AG757))),0,1)+IF(OR(COUNTA(AH757:AJ757)=0,AND(COUNTA(AH757:AJ757)=3,ISNUMBER(AJ757))),0,1)+IF(OR(COUNTA(AK757:AM757)=0,AND(COUNTA(AK757:AM757)=3,ISNUMBER(AM757))),0,1)+IF(OR(COUNTA(AN757:AP757)=0,AND(COUNTA(AN757:AP757)=3,ISNUMBER(AP757))),0,1)+IF(OR(COUNTA(AQ757:AS757)=0,AND(COUNTA(AQ757:AS757)=3,ISNUMBER(AS757))),0,1)+IF(OR(COUNTA(AT757:AV757)=0,AND(COUNTA(AT757:AV757)=3,ISNUMBER(AV757))),0,1)+IF(OR(COUNTA(AW757:AY757)=0,AND(COUNTA(AW757:AY757)=3,ISNUMBER(AY757))),0,1)+IF(OR(COUNTA(AZ757:BB757)=0,AND(COUNTA(AZ757:BB757)=3,ISNUMBER(BB757))),0,1))&gt;0,"; An invoice is incomplete (needs No, Date and a number in Ex GST)","")&amp;IF((IF(T757="",0,IFERROR(--(EOMONTH(T757,0)&lt;&gt;S$5),1))+IF(W757="",0,IFERROR(--(EOMONTH(W757,0)&lt;&gt;V$5),1))+IF(Z757="",0,IFERROR(--(EOMONTH(Z757,0)&lt;&gt;Y$5),1))+IF(AC757="",0,IFERROR(--(EOMONTH(AC757,0)&lt;&gt;AB$5),1))+IF(AF757="",0,IFERROR(--(EOMONTH(AF757,0)&lt;&gt;AE$5),1))+IF(AI757="",0,IFERROR(--(EOMONTH(AI757,0)&lt;&gt;AH$5),1))+IF(AL757="",0,IFERROR(--(EOMONTH(AL757,0)&lt;&gt;AK$5),1))+IF(AO757="",0,IFERROR(--(EOMONTH(AO757,0)&lt;&gt;AN$5),1))+IF(AR757="",0,IFERROR(--(EOMONTH(AR757,0)&lt;&gt;AQ$5),1))+IF(AU757="",0,IFERROR(--(EOMONTH(AU757,0)&lt;&gt;AT$5),1))+IF(AX757="",0,IFERROR(--(EOMONTH(AX757,0)&lt;&gt;AW$5),1))+IF(BA757="",0,IFERROR(--(EOMONTH(BA757,0)&lt;&gt;AZ$5),1)))&gt;0,"; An invoice date is not in the month it is typed under",""),3,500))</f>
        <v/>
      </c>
      <c r="S757" s="12" t="n"/>
      <c r="T757" s="13" t="n"/>
      <c r="U757" s="14" t="n"/>
      <c r="V757" s="12" t="n"/>
      <c r="W757" s="13" t="n"/>
      <c r="X757" s="14" t="n"/>
      <c r="Y757" s="12" t="n"/>
      <c r="Z757" s="13" t="n"/>
      <c r="AA757" s="14" t="n"/>
      <c r="AB757" s="12" t="n"/>
      <c r="AC757" s="13" t="n"/>
      <c r="AD757" s="14" t="n"/>
      <c r="AE757" s="12" t="n"/>
      <c r="AF757" s="13" t="n"/>
      <c r="AG757" s="14" t="n"/>
      <c r="AH757" s="12" t="n"/>
      <c r="AI757" s="13" t="n"/>
      <c r="AJ757" s="14" t="n"/>
      <c r="AK757" s="12" t="n"/>
      <c r="AL757" s="13" t="n"/>
      <c r="AM757" s="14" t="n"/>
      <c r="AN757" s="12" t="n"/>
      <c r="AO757" s="13" t="n"/>
      <c r="AP757" s="14" t="n"/>
      <c r="AQ757" s="12" t="n"/>
      <c r="AR757" s="13" t="n"/>
      <c r="AS757" s="14" t="n"/>
      <c r="AT757" s="12" t="n"/>
      <c r="AU757" s="13" t="n"/>
      <c r="AV757" s="14" t="n"/>
      <c r="AW757" s="12" t="n"/>
      <c r="AX757" s="13" t="n"/>
      <c r="AY757" s="14" t="n"/>
      <c r="AZ757" s="12" t="n"/>
      <c r="BA757" s="13" t="n"/>
      <c r="BB757" s="14" t="n"/>
      <c r="BC757" s="11">
        <f>IF(O757="","",IF(J757="GST 10%",ROUND(O757*set_GSTRate,2),0))</f>
        <v/>
      </c>
      <c r="BD757" s="11">
        <f>IF(O757="","",O757+BC757)</f>
        <v/>
      </c>
      <c r="BE757" s="15">
        <f>IF(O757="","",COUNTA(S757,V757,Y757,AB757,AE757,AH757,AK757,AN757,AQ757,AT757,AW757,AZ757))</f>
        <v/>
      </c>
      <c r="BF757" s="16">
        <f>IF(COUNT(T757,W757,Z757,AC757,AF757,AI757,AL757,AO757,AR757,AU757,AX757,BA757)=0,"",MAX(T757,W757,Z757,AC757,AF757,AI757,AL757,AO757,AR757,AU757,AX757,BA757))</f>
        <v/>
      </c>
      <c r="BG757" s="10">
        <f>MID(IF(S757="","",", "&amp;S757)&amp;IF(V757="","",", "&amp;V757)&amp;IF(Y757="","",", "&amp;Y757)&amp;IF(AB757="","",", "&amp;AB757)&amp;IF(AE757="","",", "&amp;AE757)&amp;IF(AH757="","",", "&amp;AH757)&amp;IF(AK757="","",", "&amp;AK757)&amp;IF(AN757="","",", "&amp;AN757)&amp;IF(AQ757="","",", "&amp;AQ757)&amp;IF(AT757="","",", "&amp;AT757)&amp;IF(AW757="","",", "&amp;AW757)&amp;IF(AZ757="","",", "&amp;AZ757),3,500)</f>
        <v/>
      </c>
      <c r="BH757" s="12" t="n"/>
      <c r="BI757" s="15">
        <f>IFERROR(MATCH($A757,IF($B757="Onsite",tbl_Onsite[Row ID],IF($B757="Production",tbl_Production[Row ID],tbl_Consulting[Row ID])),0),"")</f>
        <v/>
      </c>
    </row>
    <row r="758">
      <c r="A758" s="10" t="inlineStr">
        <is>
          <t>PRD-0252</t>
        </is>
      </c>
      <c r="B758" s="10" t="inlineStr">
        <is>
          <t>Production</t>
        </is>
      </c>
      <c r="C758" s="10">
        <f>IF($BI758="","",IF($B758="Onsite",INDEX(tbl_Onsite[Job Number],$BI758),IF($B758="Production",INDEX(tbl_Production[Job Number],$BI758),INDEX(tbl_Consulting[Job Number],$BI758)))&amp;"")</f>
        <v/>
      </c>
      <c r="D758" s="10">
        <f>IF($BI758="","",IF($B758="Onsite",INDEX(tbl_Onsite[Client],$BI758),IF($B758="Production",INDEX(tbl_Production[Client],$BI758),INDEX(tbl_Consulting[Client],$BI758)))&amp;"")</f>
        <v/>
      </c>
      <c r="E758" s="10">
        <f>IF($C758="","",IF(COUNTIF(lst_Jobs,$C758)&gt;0,"OK","CHECK"))</f>
        <v/>
      </c>
      <c r="F758" s="10">
        <f>IF($C758="","",IFERROR(INDEX(lst_JobName,MATCH($C758,lst_Jobs,0)),""))</f>
        <v/>
      </c>
      <c r="G758" s="10">
        <f>IF($BI758="","",IF($B758="Onsite",INDEX(tbl_Onsite[Job Description],$BI758),IF($B758="Production",INDEX(tbl_Production[Job Description],$BI758),INDEX(tbl_Consulting[Job Description],$BI758)))&amp;"")</f>
        <v/>
      </c>
      <c r="H758" s="10">
        <f>IF($BI758="","",IF($B758="Onsite",INDEX(tbl_Onsite[Cost Centre],$BI758),IF($B758="Production",INDEX(tbl_Production[Cost Centre],$BI758),INDEX(tbl_Consulting[Cost Centre],$BI758)))&amp;"")</f>
        <v/>
      </c>
      <c r="I758" s="10">
        <f>IF($BI758="","",IF($B758="Onsite",INDEX(tbl_Onsite[Invoice Type],$BI758),IF($B758="Production",INDEX(tbl_Production[Invoice Type],$BI758),INDEX(tbl_Consulting[Invoice Type],$BI758)))&amp;"")</f>
        <v/>
      </c>
      <c r="J758" s="10">
        <f>IF($BI758="","",IF($B758="Onsite",INDEX(tbl_Onsite[Tax Code],$BI758),IF($B758="Production",INDEX(tbl_Production[Tax Code],$BI758),INDEX(tbl_Consulting[Tax Code],$BI758)))&amp;"")</f>
        <v/>
      </c>
      <c r="K758" s="10">
        <f>IF(H758="","",IFERROR(INDEX(lst_CCtoGL,MATCH(H758,lst_CCforGL,0)),""))</f>
        <v/>
      </c>
      <c r="L758" s="10">
        <f>IF($BI758="","",IF($B758="Onsite",INDEX(tbl_Onsite[PO / Reference],$BI758),IF($B758="Production",INDEX(tbl_Production[Current RMS No],$BI758),INDEX(tbl_Consulting[Qwilr Quote],$BI758)))&amp;"")</f>
        <v/>
      </c>
      <c r="M758" s="10">
        <f>IF($BI758="","",IF($B758="Onsite",INDEX(tbl_Onsite[Notes],$BI758),IF($B758="Production",INDEX(tbl_Production[Notes],$BI758),INDEX(tbl_Consulting[Notes],$BI758)))&amp;"")</f>
        <v/>
      </c>
      <c r="N758" s="11">
        <f>IF($BI758="","",IF(IF($B758="Onsite",INDEX(tbl_Onsite[Expected Revenue Ex GST],$BI758),IF($B758="Production",INDEX(tbl_Production[Expected Revenue Ex GST],$BI758),INDEX(tbl_Consulting[Expected Revenue Ex GST],$BI758)))="","",IF($B758="Onsite",INDEX(tbl_Onsite[Expected Revenue Ex GST],$BI758),IF($B758="Production",INDEX(tbl_Production[Expected Revenue Ex GST],$BI758),INDEX(tbl_Consulting[Expected Revenue Ex GST],$BI758)))))</f>
        <v/>
      </c>
      <c r="O758" s="11">
        <f>IF(AND($C758="",NOT(COUNTA($S758:$BB758)&gt;0)),"",SUM(U758,X758,AA758,AD758,AG758,AJ758,AM758,AP758,AS758,AV758,AY758,BB758))</f>
        <v/>
      </c>
      <c r="P758" s="11">
        <f>IF(O758="","",N(N758)-O758)</f>
        <v/>
      </c>
      <c r="Q758" s="10">
        <f>IF(O758="","",IF($C758="","Invoice on empty job row",IF(N758="",IF(ROUND(O758,2)=0,"No dept value","Invoiced - no dept value"),IF(ROUND(O758,2)=0,"Not invoiced - to invoice",IF(ROUND(P758,2)=0,"Agrees",IF(P758&gt;0,"Dept higher - to invoice","Xero higher - check dept"))))))</f>
        <v/>
      </c>
      <c r="R758" s="10">
        <f>IF(AND($C758="",NOT(COUNTA($S758:$BB758)&gt;0),$BI758&lt;&gt;""),"",MID(IF($BI758="","; Row ID not found on the department sheet - a row was deleted","")&amp;IF(AND($C758="",COUNTA($S758:$BB758)&gt;0),"; Invoice entered but the department row has no job number","")&amp;IF(E758="CHECK","; Job number not in the Xero job list","")&amp;IF(AND($C758&lt;&gt;"",COUNTIF($C$7:$C$1506,$C758)&gt;1),"; Job number on more than one row","")&amp;IF(AND($C758&lt;&gt;"",H758=""),"; Dept has not set a cost centre","")&amp;IF(AND($C758&lt;&gt;"",J758=""),"; Dept has not set a tax code","")&amp;IF(AND($C758&lt;&gt;"",N758=""),"; Dept has not entered an expected value","")&amp;IF((IF(OR(COUNTA(S758:U758)=0,AND(COUNTA(S758:U758)=3,ISNUMBER(U758))),0,1)+IF(OR(COUNTA(V758:X758)=0,AND(COUNTA(V758:X758)=3,ISNUMBER(X758))),0,1)+IF(OR(COUNTA(Y758:AA758)=0,AND(COUNTA(Y758:AA758)=3,ISNUMBER(AA758))),0,1)+IF(OR(COUNTA(AB758:AD758)=0,AND(COUNTA(AB758:AD758)=3,ISNUMBER(AD758))),0,1)+IF(OR(COUNTA(AE758:AG758)=0,AND(COUNTA(AE758:AG758)=3,ISNUMBER(AG758))),0,1)+IF(OR(COUNTA(AH758:AJ758)=0,AND(COUNTA(AH758:AJ758)=3,ISNUMBER(AJ758))),0,1)+IF(OR(COUNTA(AK758:AM758)=0,AND(COUNTA(AK758:AM758)=3,ISNUMBER(AM758))),0,1)+IF(OR(COUNTA(AN758:AP758)=0,AND(COUNTA(AN758:AP758)=3,ISNUMBER(AP758))),0,1)+IF(OR(COUNTA(AQ758:AS758)=0,AND(COUNTA(AQ758:AS758)=3,ISNUMBER(AS758))),0,1)+IF(OR(COUNTA(AT758:AV758)=0,AND(COUNTA(AT758:AV758)=3,ISNUMBER(AV758))),0,1)+IF(OR(COUNTA(AW758:AY758)=0,AND(COUNTA(AW758:AY758)=3,ISNUMBER(AY758))),0,1)+IF(OR(COUNTA(AZ758:BB758)=0,AND(COUNTA(AZ758:BB758)=3,ISNUMBER(BB758))),0,1))&gt;0,"; An invoice is incomplete (needs No, Date and a number in Ex GST)","")&amp;IF((IF(T758="",0,IFERROR(--(EOMONTH(T758,0)&lt;&gt;S$5),1))+IF(W758="",0,IFERROR(--(EOMONTH(W758,0)&lt;&gt;V$5),1))+IF(Z758="",0,IFERROR(--(EOMONTH(Z758,0)&lt;&gt;Y$5),1))+IF(AC758="",0,IFERROR(--(EOMONTH(AC758,0)&lt;&gt;AB$5),1))+IF(AF758="",0,IFERROR(--(EOMONTH(AF758,0)&lt;&gt;AE$5),1))+IF(AI758="",0,IFERROR(--(EOMONTH(AI758,0)&lt;&gt;AH$5),1))+IF(AL758="",0,IFERROR(--(EOMONTH(AL758,0)&lt;&gt;AK$5),1))+IF(AO758="",0,IFERROR(--(EOMONTH(AO758,0)&lt;&gt;AN$5),1))+IF(AR758="",0,IFERROR(--(EOMONTH(AR758,0)&lt;&gt;AQ$5),1))+IF(AU758="",0,IFERROR(--(EOMONTH(AU758,0)&lt;&gt;AT$5),1))+IF(AX758="",0,IFERROR(--(EOMONTH(AX758,0)&lt;&gt;AW$5),1))+IF(BA758="",0,IFERROR(--(EOMONTH(BA758,0)&lt;&gt;AZ$5),1)))&gt;0,"; An invoice date is not in the month it is typed under",""),3,500))</f>
        <v/>
      </c>
      <c r="S758" s="12" t="n"/>
      <c r="T758" s="13" t="n"/>
      <c r="U758" s="14" t="n"/>
      <c r="V758" s="12" t="n"/>
      <c r="W758" s="13" t="n"/>
      <c r="X758" s="14" t="n"/>
      <c r="Y758" s="12" t="n"/>
      <c r="Z758" s="13" t="n"/>
      <c r="AA758" s="14" t="n"/>
      <c r="AB758" s="12" t="n"/>
      <c r="AC758" s="13" t="n"/>
      <c r="AD758" s="14" t="n"/>
      <c r="AE758" s="12" t="n"/>
      <c r="AF758" s="13" t="n"/>
      <c r="AG758" s="14" t="n"/>
      <c r="AH758" s="12" t="n"/>
      <c r="AI758" s="13" t="n"/>
      <c r="AJ758" s="14" t="n"/>
      <c r="AK758" s="12" t="n"/>
      <c r="AL758" s="13" t="n"/>
      <c r="AM758" s="14" t="n"/>
      <c r="AN758" s="12" t="n"/>
      <c r="AO758" s="13" t="n"/>
      <c r="AP758" s="14" t="n"/>
      <c r="AQ758" s="12" t="n"/>
      <c r="AR758" s="13" t="n"/>
      <c r="AS758" s="14" t="n"/>
      <c r="AT758" s="12" t="n"/>
      <c r="AU758" s="13" t="n"/>
      <c r="AV758" s="14" t="n"/>
      <c r="AW758" s="12" t="n"/>
      <c r="AX758" s="13" t="n"/>
      <c r="AY758" s="14" t="n"/>
      <c r="AZ758" s="12" t="n"/>
      <c r="BA758" s="13" t="n"/>
      <c r="BB758" s="14" t="n"/>
      <c r="BC758" s="11">
        <f>IF(O758="","",IF(J758="GST 10%",ROUND(O758*set_GSTRate,2),0))</f>
        <v/>
      </c>
      <c r="BD758" s="11">
        <f>IF(O758="","",O758+BC758)</f>
        <v/>
      </c>
      <c r="BE758" s="15">
        <f>IF(O758="","",COUNTA(S758,V758,Y758,AB758,AE758,AH758,AK758,AN758,AQ758,AT758,AW758,AZ758))</f>
        <v/>
      </c>
      <c r="BF758" s="16">
        <f>IF(COUNT(T758,W758,Z758,AC758,AF758,AI758,AL758,AO758,AR758,AU758,AX758,BA758)=0,"",MAX(T758,W758,Z758,AC758,AF758,AI758,AL758,AO758,AR758,AU758,AX758,BA758))</f>
        <v/>
      </c>
      <c r="BG758" s="10">
        <f>MID(IF(S758="","",", "&amp;S758)&amp;IF(V758="","",", "&amp;V758)&amp;IF(Y758="","",", "&amp;Y758)&amp;IF(AB758="","",", "&amp;AB758)&amp;IF(AE758="","",", "&amp;AE758)&amp;IF(AH758="","",", "&amp;AH758)&amp;IF(AK758="","",", "&amp;AK758)&amp;IF(AN758="","",", "&amp;AN758)&amp;IF(AQ758="","",", "&amp;AQ758)&amp;IF(AT758="","",", "&amp;AT758)&amp;IF(AW758="","",", "&amp;AW758)&amp;IF(AZ758="","",", "&amp;AZ758),3,500)</f>
        <v/>
      </c>
      <c r="BH758" s="12" t="n"/>
      <c r="BI758" s="15">
        <f>IFERROR(MATCH($A758,IF($B758="Onsite",tbl_Onsite[Row ID],IF($B758="Production",tbl_Production[Row ID],tbl_Consulting[Row ID])),0),"")</f>
        <v/>
      </c>
    </row>
    <row r="759">
      <c r="A759" s="10" t="inlineStr">
        <is>
          <t>PRD-0253</t>
        </is>
      </c>
      <c r="B759" s="10" t="inlineStr">
        <is>
          <t>Production</t>
        </is>
      </c>
      <c r="C759" s="10">
        <f>IF($BI759="","",IF($B759="Onsite",INDEX(tbl_Onsite[Job Number],$BI759),IF($B759="Production",INDEX(tbl_Production[Job Number],$BI759),INDEX(tbl_Consulting[Job Number],$BI759)))&amp;"")</f>
        <v/>
      </c>
      <c r="D759" s="10">
        <f>IF($BI759="","",IF($B759="Onsite",INDEX(tbl_Onsite[Client],$BI759),IF($B759="Production",INDEX(tbl_Production[Client],$BI759),INDEX(tbl_Consulting[Client],$BI759)))&amp;"")</f>
        <v/>
      </c>
      <c r="E759" s="10">
        <f>IF($C759="","",IF(COUNTIF(lst_Jobs,$C759)&gt;0,"OK","CHECK"))</f>
        <v/>
      </c>
      <c r="F759" s="10">
        <f>IF($C759="","",IFERROR(INDEX(lst_JobName,MATCH($C759,lst_Jobs,0)),""))</f>
        <v/>
      </c>
      <c r="G759" s="10">
        <f>IF($BI759="","",IF($B759="Onsite",INDEX(tbl_Onsite[Job Description],$BI759),IF($B759="Production",INDEX(tbl_Production[Job Description],$BI759),INDEX(tbl_Consulting[Job Description],$BI759)))&amp;"")</f>
        <v/>
      </c>
      <c r="H759" s="10">
        <f>IF($BI759="","",IF($B759="Onsite",INDEX(tbl_Onsite[Cost Centre],$BI759),IF($B759="Production",INDEX(tbl_Production[Cost Centre],$BI759),INDEX(tbl_Consulting[Cost Centre],$BI759)))&amp;"")</f>
        <v/>
      </c>
      <c r="I759" s="10">
        <f>IF($BI759="","",IF($B759="Onsite",INDEX(tbl_Onsite[Invoice Type],$BI759),IF($B759="Production",INDEX(tbl_Production[Invoice Type],$BI759),INDEX(tbl_Consulting[Invoice Type],$BI759)))&amp;"")</f>
        <v/>
      </c>
      <c r="J759" s="10">
        <f>IF($BI759="","",IF($B759="Onsite",INDEX(tbl_Onsite[Tax Code],$BI759),IF($B759="Production",INDEX(tbl_Production[Tax Code],$BI759),INDEX(tbl_Consulting[Tax Code],$BI759)))&amp;"")</f>
        <v/>
      </c>
      <c r="K759" s="10">
        <f>IF(H759="","",IFERROR(INDEX(lst_CCtoGL,MATCH(H759,lst_CCforGL,0)),""))</f>
        <v/>
      </c>
      <c r="L759" s="10">
        <f>IF($BI759="","",IF($B759="Onsite",INDEX(tbl_Onsite[PO / Reference],$BI759),IF($B759="Production",INDEX(tbl_Production[Current RMS No],$BI759),INDEX(tbl_Consulting[Qwilr Quote],$BI759)))&amp;"")</f>
        <v/>
      </c>
      <c r="M759" s="10">
        <f>IF($BI759="","",IF($B759="Onsite",INDEX(tbl_Onsite[Notes],$BI759),IF($B759="Production",INDEX(tbl_Production[Notes],$BI759),INDEX(tbl_Consulting[Notes],$BI759)))&amp;"")</f>
        <v/>
      </c>
      <c r="N759" s="11">
        <f>IF($BI759="","",IF(IF($B759="Onsite",INDEX(tbl_Onsite[Expected Revenue Ex GST],$BI759),IF($B759="Production",INDEX(tbl_Production[Expected Revenue Ex GST],$BI759),INDEX(tbl_Consulting[Expected Revenue Ex GST],$BI759)))="","",IF($B759="Onsite",INDEX(tbl_Onsite[Expected Revenue Ex GST],$BI759),IF($B759="Production",INDEX(tbl_Production[Expected Revenue Ex GST],$BI759),INDEX(tbl_Consulting[Expected Revenue Ex GST],$BI759)))))</f>
        <v/>
      </c>
      <c r="O759" s="11">
        <f>IF(AND($C759="",NOT(COUNTA($S759:$BB759)&gt;0)),"",SUM(U759,X759,AA759,AD759,AG759,AJ759,AM759,AP759,AS759,AV759,AY759,BB759))</f>
        <v/>
      </c>
      <c r="P759" s="11">
        <f>IF(O759="","",N(N759)-O759)</f>
        <v/>
      </c>
      <c r="Q759" s="10">
        <f>IF(O759="","",IF($C759="","Invoice on empty job row",IF(N759="",IF(ROUND(O759,2)=0,"No dept value","Invoiced - no dept value"),IF(ROUND(O759,2)=0,"Not invoiced - to invoice",IF(ROUND(P759,2)=0,"Agrees",IF(P759&gt;0,"Dept higher - to invoice","Xero higher - check dept"))))))</f>
        <v/>
      </c>
      <c r="R759" s="10">
        <f>IF(AND($C759="",NOT(COUNTA($S759:$BB759)&gt;0),$BI759&lt;&gt;""),"",MID(IF($BI759="","; Row ID not found on the department sheet - a row was deleted","")&amp;IF(AND($C759="",COUNTA($S759:$BB759)&gt;0),"; Invoice entered but the department row has no job number","")&amp;IF(E759="CHECK","; Job number not in the Xero job list","")&amp;IF(AND($C759&lt;&gt;"",COUNTIF($C$7:$C$1506,$C759)&gt;1),"; Job number on more than one row","")&amp;IF(AND($C759&lt;&gt;"",H759=""),"; Dept has not set a cost centre","")&amp;IF(AND($C759&lt;&gt;"",J759=""),"; Dept has not set a tax code","")&amp;IF(AND($C759&lt;&gt;"",N759=""),"; Dept has not entered an expected value","")&amp;IF((IF(OR(COUNTA(S759:U759)=0,AND(COUNTA(S759:U759)=3,ISNUMBER(U759))),0,1)+IF(OR(COUNTA(V759:X759)=0,AND(COUNTA(V759:X759)=3,ISNUMBER(X759))),0,1)+IF(OR(COUNTA(Y759:AA759)=0,AND(COUNTA(Y759:AA759)=3,ISNUMBER(AA759))),0,1)+IF(OR(COUNTA(AB759:AD759)=0,AND(COUNTA(AB759:AD759)=3,ISNUMBER(AD759))),0,1)+IF(OR(COUNTA(AE759:AG759)=0,AND(COUNTA(AE759:AG759)=3,ISNUMBER(AG759))),0,1)+IF(OR(COUNTA(AH759:AJ759)=0,AND(COUNTA(AH759:AJ759)=3,ISNUMBER(AJ759))),0,1)+IF(OR(COUNTA(AK759:AM759)=0,AND(COUNTA(AK759:AM759)=3,ISNUMBER(AM759))),0,1)+IF(OR(COUNTA(AN759:AP759)=0,AND(COUNTA(AN759:AP759)=3,ISNUMBER(AP759))),0,1)+IF(OR(COUNTA(AQ759:AS759)=0,AND(COUNTA(AQ759:AS759)=3,ISNUMBER(AS759))),0,1)+IF(OR(COUNTA(AT759:AV759)=0,AND(COUNTA(AT759:AV759)=3,ISNUMBER(AV759))),0,1)+IF(OR(COUNTA(AW759:AY759)=0,AND(COUNTA(AW759:AY759)=3,ISNUMBER(AY759))),0,1)+IF(OR(COUNTA(AZ759:BB759)=0,AND(COUNTA(AZ759:BB759)=3,ISNUMBER(BB759))),0,1))&gt;0,"; An invoice is incomplete (needs No, Date and a number in Ex GST)","")&amp;IF((IF(T759="",0,IFERROR(--(EOMONTH(T759,0)&lt;&gt;S$5),1))+IF(W759="",0,IFERROR(--(EOMONTH(W759,0)&lt;&gt;V$5),1))+IF(Z759="",0,IFERROR(--(EOMONTH(Z759,0)&lt;&gt;Y$5),1))+IF(AC759="",0,IFERROR(--(EOMONTH(AC759,0)&lt;&gt;AB$5),1))+IF(AF759="",0,IFERROR(--(EOMONTH(AF759,0)&lt;&gt;AE$5),1))+IF(AI759="",0,IFERROR(--(EOMONTH(AI759,0)&lt;&gt;AH$5),1))+IF(AL759="",0,IFERROR(--(EOMONTH(AL759,0)&lt;&gt;AK$5),1))+IF(AO759="",0,IFERROR(--(EOMONTH(AO759,0)&lt;&gt;AN$5),1))+IF(AR759="",0,IFERROR(--(EOMONTH(AR759,0)&lt;&gt;AQ$5),1))+IF(AU759="",0,IFERROR(--(EOMONTH(AU759,0)&lt;&gt;AT$5),1))+IF(AX759="",0,IFERROR(--(EOMONTH(AX759,0)&lt;&gt;AW$5),1))+IF(BA759="",0,IFERROR(--(EOMONTH(BA759,0)&lt;&gt;AZ$5),1)))&gt;0,"; An invoice date is not in the month it is typed under",""),3,500))</f>
        <v/>
      </c>
      <c r="S759" s="12" t="n"/>
      <c r="T759" s="13" t="n"/>
      <c r="U759" s="14" t="n"/>
      <c r="V759" s="12" t="n"/>
      <c r="W759" s="13" t="n"/>
      <c r="X759" s="14" t="n"/>
      <c r="Y759" s="12" t="n"/>
      <c r="Z759" s="13" t="n"/>
      <c r="AA759" s="14" t="n"/>
      <c r="AB759" s="12" t="n"/>
      <c r="AC759" s="13" t="n"/>
      <c r="AD759" s="14" t="n"/>
      <c r="AE759" s="12" t="n"/>
      <c r="AF759" s="13" t="n"/>
      <c r="AG759" s="14" t="n"/>
      <c r="AH759" s="12" t="n"/>
      <c r="AI759" s="13" t="n"/>
      <c r="AJ759" s="14" t="n"/>
      <c r="AK759" s="12" t="n"/>
      <c r="AL759" s="13" t="n"/>
      <c r="AM759" s="14" t="n"/>
      <c r="AN759" s="12" t="n"/>
      <c r="AO759" s="13" t="n"/>
      <c r="AP759" s="14" t="n"/>
      <c r="AQ759" s="12" t="n"/>
      <c r="AR759" s="13" t="n"/>
      <c r="AS759" s="14" t="n"/>
      <c r="AT759" s="12" t="n"/>
      <c r="AU759" s="13" t="n"/>
      <c r="AV759" s="14" t="n"/>
      <c r="AW759" s="12" t="n"/>
      <c r="AX759" s="13" t="n"/>
      <c r="AY759" s="14" t="n"/>
      <c r="AZ759" s="12" t="n"/>
      <c r="BA759" s="13" t="n"/>
      <c r="BB759" s="14" t="n"/>
      <c r="BC759" s="11">
        <f>IF(O759="","",IF(J759="GST 10%",ROUND(O759*set_GSTRate,2),0))</f>
        <v/>
      </c>
      <c r="BD759" s="11">
        <f>IF(O759="","",O759+BC759)</f>
        <v/>
      </c>
      <c r="BE759" s="15">
        <f>IF(O759="","",COUNTA(S759,V759,Y759,AB759,AE759,AH759,AK759,AN759,AQ759,AT759,AW759,AZ759))</f>
        <v/>
      </c>
      <c r="BF759" s="16">
        <f>IF(COUNT(T759,W759,Z759,AC759,AF759,AI759,AL759,AO759,AR759,AU759,AX759,BA759)=0,"",MAX(T759,W759,Z759,AC759,AF759,AI759,AL759,AO759,AR759,AU759,AX759,BA759))</f>
        <v/>
      </c>
      <c r="BG759" s="10">
        <f>MID(IF(S759="","",", "&amp;S759)&amp;IF(V759="","",", "&amp;V759)&amp;IF(Y759="","",", "&amp;Y759)&amp;IF(AB759="","",", "&amp;AB759)&amp;IF(AE759="","",", "&amp;AE759)&amp;IF(AH759="","",", "&amp;AH759)&amp;IF(AK759="","",", "&amp;AK759)&amp;IF(AN759="","",", "&amp;AN759)&amp;IF(AQ759="","",", "&amp;AQ759)&amp;IF(AT759="","",", "&amp;AT759)&amp;IF(AW759="","",", "&amp;AW759)&amp;IF(AZ759="","",", "&amp;AZ759),3,500)</f>
        <v/>
      </c>
      <c r="BH759" s="12" t="n"/>
      <c r="BI759" s="15">
        <f>IFERROR(MATCH($A759,IF($B759="Onsite",tbl_Onsite[Row ID],IF($B759="Production",tbl_Production[Row ID],tbl_Consulting[Row ID])),0),"")</f>
        <v/>
      </c>
    </row>
    <row r="760">
      <c r="A760" s="10" t="inlineStr">
        <is>
          <t>PRD-0254</t>
        </is>
      </c>
      <c r="B760" s="10" t="inlineStr">
        <is>
          <t>Production</t>
        </is>
      </c>
      <c r="C760" s="10">
        <f>IF($BI760="","",IF($B760="Onsite",INDEX(tbl_Onsite[Job Number],$BI760),IF($B760="Production",INDEX(tbl_Production[Job Number],$BI760),INDEX(tbl_Consulting[Job Number],$BI760)))&amp;"")</f>
        <v/>
      </c>
      <c r="D760" s="10">
        <f>IF($BI760="","",IF($B760="Onsite",INDEX(tbl_Onsite[Client],$BI760),IF($B760="Production",INDEX(tbl_Production[Client],$BI760),INDEX(tbl_Consulting[Client],$BI760)))&amp;"")</f>
        <v/>
      </c>
      <c r="E760" s="10">
        <f>IF($C760="","",IF(COUNTIF(lst_Jobs,$C760)&gt;0,"OK","CHECK"))</f>
        <v/>
      </c>
      <c r="F760" s="10">
        <f>IF($C760="","",IFERROR(INDEX(lst_JobName,MATCH($C760,lst_Jobs,0)),""))</f>
        <v/>
      </c>
      <c r="G760" s="10">
        <f>IF($BI760="","",IF($B760="Onsite",INDEX(tbl_Onsite[Job Description],$BI760),IF($B760="Production",INDEX(tbl_Production[Job Description],$BI760),INDEX(tbl_Consulting[Job Description],$BI760)))&amp;"")</f>
        <v/>
      </c>
      <c r="H760" s="10">
        <f>IF($BI760="","",IF($B760="Onsite",INDEX(tbl_Onsite[Cost Centre],$BI760),IF($B760="Production",INDEX(tbl_Production[Cost Centre],$BI760),INDEX(tbl_Consulting[Cost Centre],$BI760)))&amp;"")</f>
        <v/>
      </c>
      <c r="I760" s="10">
        <f>IF($BI760="","",IF($B760="Onsite",INDEX(tbl_Onsite[Invoice Type],$BI760),IF($B760="Production",INDEX(tbl_Production[Invoice Type],$BI760),INDEX(tbl_Consulting[Invoice Type],$BI760)))&amp;"")</f>
        <v/>
      </c>
      <c r="J760" s="10">
        <f>IF($BI760="","",IF($B760="Onsite",INDEX(tbl_Onsite[Tax Code],$BI760),IF($B760="Production",INDEX(tbl_Production[Tax Code],$BI760),INDEX(tbl_Consulting[Tax Code],$BI760)))&amp;"")</f>
        <v/>
      </c>
      <c r="K760" s="10">
        <f>IF(H760="","",IFERROR(INDEX(lst_CCtoGL,MATCH(H760,lst_CCforGL,0)),""))</f>
        <v/>
      </c>
      <c r="L760" s="10">
        <f>IF($BI760="","",IF($B760="Onsite",INDEX(tbl_Onsite[PO / Reference],$BI760),IF($B760="Production",INDEX(tbl_Production[Current RMS No],$BI760),INDEX(tbl_Consulting[Qwilr Quote],$BI760)))&amp;"")</f>
        <v/>
      </c>
      <c r="M760" s="10">
        <f>IF($BI760="","",IF($B760="Onsite",INDEX(tbl_Onsite[Notes],$BI760),IF($B760="Production",INDEX(tbl_Production[Notes],$BI760),INDEX(tbl_Consulting[Notes],$BI760)))&amp;"")</f>
        <v/>
      </c>
      <c r="N760" s="11">
        <f>IF($BI760="","",IF(IF($B760="Onsite",INDEX(tbl_Onsite[Expected Revenue Ex GST],$BI760),IF($B760="Production",INDEX(tbl_Production[Expected Revenue Ex GST],$BI760),INDEX(tbl_Consulting[Expected Revenue Ex GST],$BI760)))="","",IF($B760="Onsite",INDEX(tbl_Onsite[Expected Revenue Ex GST],$BI760),IF($B760="Production",INDEX(tbl_Production[Expected Revenue Ex GST],$BI760),INDEX(tbl_Consulting[Expected Revenue Ex GST],$BI760)))))</f>
        <v/>
      </c>
      <c r="O760" s="11">
        <f>IF(AND($C760="",NOT(COUNTA($S760:$BB760)&gt;0)),"",SUM(U760,X760,AA760,AD760,AG760,AJ760,AM760,AP760,AS760,AV760,AY760,BB760))</f>
        <v/>
      </c>
      <c r="P760" s="11">
        <f>IF(O760="","",N(N760)-O760)</f>
        <v/>
      </c>
      <c r="Q760" s="10">
        <f>IF(O760="","",IF($C760="","Invoice on empty job row",IF(N760="",IF(ROUND(O760,2)=0,"No dept value","Invoiced - no dept value"),IF(ROUND(O760,2)=0,"Not invoiced - to invoice",IF(ROUND(P760,2)=0,"Agrees",IF(P760&gt;0,"Dept higher - to invoice","Xero higher - check dept"))))))</f>
        <v/>
      </c>
      <c r="R760" s="10">
        <f>IF(AND($C760="",NOT(COUNTA($S760:$BB760)&gt;0),$BI760&lt;&gt;""),"",MID(IF($BI760="","; Row ID not found on the department sheet - a row was deleted","")&amp;IF(AND($C760="",COUNTA($S760:$BB760)&gt;0),"; Invoice entered but the department row has no job number","")&amp;IF(E760="CHECK","; Job number not in the Xero job list","")&amp;IF(AND($C760&lt;&gt;"",COUNTIF($C$7:$C$1506,$C760)&gt;1),"; Job number on more than one row","")&amp;IF(AND($C760&lt;&gt;"",H760=""),"; Dept has not set a cost centre","")&amp;IF(AND($C760&lt;&gt;"",J760=""),"; Dept has not set a tax code","")&amp;IF(AND($C760&lt;&gt;"",N760=""),"; Dept has not entered an expected value","")&amp;IF((IF(OR(COUNTA(S760:U760)=0,AND(COUNTA(S760:U760)=3,ISNUMBER(U760))),0,1)+IF(OR(COUNTA(V760:X760)=0,AND(COUNTA(V760:X760)=3,ISNUMBER(X760))),0,1)+IF(OR(COUNTA(Y760:AA760)=0,AND(COUNTA(Y760:AA760)=3,ISNUMBER(AA760))),0,1)+IF(OR(COUNTA(AB760:AD760)=0,AND(COUNTA(AB760:AD760)=3,ISNUMBER(AD760))),0,1)+IF(OR(COUNTA(AE760:AG760)=0,AND(COUNTA(AE760:AG760)=3,ISNUMBER(AG760))),0,1)+IF(OR(COUNTA(AH760:AJ760)=0,AND(COUNTA(AH760:AJ760)=3,ISNUMBER(AJ760))),0,1)+IF(OR(COUNTA(AK760:AM760)=0,AND(COUNTA(AK760:AM760)=3,ISNUMBER(AM760))),0,1)+IF(OR(COUNTA(AN760:AP760)=0,AND(COUNTA(AN760:AP760)=3,ISNUMBER(AP760))),0,1)+IF(OR(COUNTA(AQ760:AS760)=0,AND(COUNTA(AQ760:AS760)=3,ISNUMBER(AS760))),0,1)+IF(OR(COUNTA(AT760:AV760)=0,AND(COUNTA(AT760:AV760)=3,ISNUMBER(AV760))),0,1)+IF(OR(COUNTA(AW760:AY760)=0,AND(COUNTA(AW760:AY760)=3,ISNUMBER(AY760))),0,1)+IF(OR(COUNTA(AZ760:BB760)=0,AND(COUNTA(AZ760:BB760)=3,ISNUMBER(BB760))),0,1))&gt;0,"; An invoice is incomplete (needs No, Date and a number in Ex GST)","")&amp;IF((IF(T760="",0,IFERROR(--(EOMONTH(T760,0)&lt;&gt;S$5),1))+IF(W760="",0,IFERROR(--(EOMONTH(W760,0)&lt;&gt;V$5),1))+IF(Z760="",0,IFERROR(--(EOMONTH(Z760,0)&lt;&gt;Y$5),1))+IF(AC760="",0,IFERROR(--(EOMONTH(AC760,0)&lt;&gt;AB$5),1))+IF(AF760="",0,IFERROR(--(EOMONTH(AF760,0)&lt;&gt;AE$5),1))+IF(AI760="",0,IFERROR(--(EOMONTH(AI760,0)&lt;&gt;AH$5),1))+IF(AL760="",0,IFERROR(--(EOMONTH(AL760,0)&lt;&gt;AK$5),1))+IF(AO760="",0,IFERROR(--(EOMONTH(AO760,0)&lt;&gt;AN$5),1))+IF(AR760="",0,IFERROR(--(EOMONTH(AR760,0)&lt;&gt;AQ$5),1))+IF(AU760="",0,IFERROR(--(EOMONTH(AU760,0)&lt;&gt;AT$5),1))+IF(AX760="",0,IFERROR(--(EOMONTH(AX760,0)&lt;&gt;AW$5),1))+IF(BA760="",0,IFERROR(--(EOMONTH(BA760,0)&lt;&gt;AZ$5),1)))&gt;0,"; An invoice date is not in the month it is typed under",""),3,500))</f>
        <v/>
      </c>
      <c r="S760" s="12" t="n"/>
      <c r="T760" s="13" t="n"/>
      <c r="U760" s="14" t="n"/>
      <c r="V760" s="12" t="n"/>
      <c r="W760" s="13" t="n"/>
      <c r="X760" s="14" t="n"/>
      <c r="Y760" s="12" t="n"/>
      <c r="Z760" s="13" t="n"/>
      <c r="AA760" s="14" t="n"/>
      <c r="AB760" s="12" t="n"/>
      <c r="AC760" s="13" t="n"/>
      <c r="AD760" s="14" t="n"/>
      <c r="AE760" s="12" t="n"/>
      <c r="AF760" s="13" t="n"/>
      <c r="AG760" s="14" t="n"/>
      <c r="AH760" s="12" t="n"/>
      <c r="AI760" s="13" t="n"/>
      <c r="AJ760" s="14" t="n"/>
      <c r="AK760" s="12" t="n"/>
      <c r="AL760" s="13" t="n"/>
      <c r="AM760" s="14" t="n"/>
      <c r="AN760" s="12" t="n"/>
      <c r="AO760" s="13" t="n"/>
      <c r="AP760" s="14" t="n"/>
      <c r="AQ760" s="12" t="n"/>
      <c r="AR760" s="13" t="n"/>
      <c r="AS760" s="14" t="n"/>
      <c r="AT760" s="12" t="n"/>
      <c r="AU760" s="13" t="n"/>
      <c r="AV760" s="14" t="n"/>
      <c r="AW760" s="12" t="n"/>
      <c r="AX760" s="13" t="n"/>
      <c r="AY760" s="14" t="n"/>
      <c r="AZ760" s="12" t="n"/>
      <c r="BA760" s="13" t="n"/>
      <c r="BB760" s="14" t="n"/>
      <c r="BC760" s="11">
        <f>IF(O760="","",IF(J760="GST 10%",ROUND(O760*set_GSTRate,2),0))</f>
        <v/>
      </c>
      <c r="BD760" s="11">
        <f>IF(O760="","",O760+BC760)</f>
        <v/>
      </c>
      <c r="BE760" s="15">
        <f>IF(O760="","",COUNTA(S760,V760,Y760,AB760,AE760,AH760,AK760,AN760,AQ760,AT760,AW760,AZ760))</f>
        <v/>
      </c>
      <c r="BF760" s="16">
        <f>IF(COUNT(T760,W760,Z760,AC760,AF760,AI760,AL760,AO760,AR760,AU760,AX760,BA760)=0,"",MAX(T760,W760,Z760,AC760,AF760,AI760,AL760,AO760,AR760,AU760,AX760,BA760))</f>
        <v/>
      </c>
      <c r="BG760" s="10">
        <f>MID(IF(S760="","",", "&amp;S760)&amp;IF(V760="","",", "&amp;V760)&amp;IF(Y760="","",", "&amp;Y760)&amp;IF(AB760="","",", "&amp;AB760)&amp;IF(AE760="","",", "&amp;AE760)&amp;IF(AH760="","",", "&amp;AH760)&amp;IF(AK760="","",", "&amp;AK760)&amp;IF(AN760="","",", "&amp;AN760)&amp;IF(AQ760="","",", "&amp;AQ760)&amp;IF(AT760="","",", "&amp;AT760)&amp;IF(AW760="","",", "&amp;AW760)&amp;IF(AZ760="","",", "&amp;AZ760),3,500)</f>
        <v/>
      </c>
      <c r="BH760" s="12" t="n"/>
      <c r="BI760" s="15">
        <f>IFERROR(MATCH($A760,IF($B760="Onsite",tbl_Onsite[Row ID],IF($B760="Production",tbl_Production[Row ID],tbl_Consulting[Row ID])),0),"")</f>
        <v/>
      </c>
    </row>
    <row r="761">
      <c r="A761" s="10" t="inlineStr">
        <is>
          <t>PRD-0255</t>
        </is>
      </c>
      <c r="B761" s="10" t="inlineStr">
        <is>
          <t>Production</t>
        </is>
      </c>
      <c r="C761" s="10">
        <f>IF($BI761="","",IF($B761="Onsite",INDEX(tbl_Onsite[Job Number],$BI761),IF($B761="Production",INDEX(tbl_Production[Job Number],$BI761),INDEX(tbl_Consulting[Job Number],$BI761)))&amp;"")</f>
        <v/>
      </c>
      <c r="D761" s="10">
        <f>IF($BI761="","",IF($B761="Onsite",INDEX(tbl_Onsite[Client],$BI761),IF($B761="Production",INDEX(tbl_Production[Client],$BI761),INDEX(tbl_Consulting[Client],$BI761)))&amp;"")</f>
        <v/>
      </c>
      <c r="E761" s="10">
        <f>IF($C761="","",IF(COUNTIF(lst_Jobs,$C761)&gt;0,"OK","CHECK"))</f>
        <v/>
      </c>
      <c r="F761" s="10">
        <f>IF($C761="","",IFERROR(INDEX(lst_JobName,MATCH($C761,lst_Jobs,0)),""))</f>
        <v/>
      </c>
      <c r="G761" s="10">
        <f>IF($BI761="","",IF($B761="Onsite",INDEX(tbl_Onsite[Job Description],$BI761),IF($B761="Production",INDEX(tbl_Production[Job Description],$BI761),INDEX(tbl_Consulting[Job Description],$BI761)))&amp;"")</f>
        <v/>
      </c>
      <c r="H761" s="10">
        <f>IF($BI761="","",IF($B761="Onsite",INDEX(tbl_Onsite[Cost Centre],$BI761),IF($B761="Production",INDEX(tbl_Production[Cost Centre],$BI761),INDEX(tbl_Consulting[Cost Centre],$BI761)))&amp;"")</f>
        <v/>
      </c>
      <c r="I761" s="10">
        <f>IF($BI761="","",IF($B761="Onsite",INDEX(tbl_Onsite[Invoice Type],$BI761),IF($B761="Production",INDEX(tbl_Production[Invoice Type],$BI761),INDEX(tbl_Consulting[Invoice Type],$BI761)))&amp;"")</f>
        <v/>
      </c>
      <c r="J761" s="10">
        <f>IF($BI761="","",IF($B761="Onsite",INDEX(tbl_Onsite[Tax Code],$BI761),IF($B761="Production",INDEX(tbl_Production[Tax Code],$BI761),INDEX(tbl_Consulting[Tax Code],$BI761)))&amp;"")</f>
        <v/>
      </c>
      <c r="K761" s="10">
        <f>IF(H761="","",IFERROR(INDEX(lst_CCtoGL,MATCH(H761,lst_CCforGL,0)),""))</f>
        <v/>
      </c>
      <c r="L761" s="10">
        <f>IF($BI761="","",IF($B761="Onsite",INDEX(tbl_Onsite[PO / Reference],$BI761),IF($B761="Production",INDEX(tbl_Production[Current RMS No],$BI761),INDEX(tbl_Consulting[Qwilr Quote],$BI761)))&amp;"")</f>
        <v/>
      </c>
      <c r="M761" s="10">
        <f>IF($BI761="","",IF($B761="Onsite",INDEX(tbl_Onsite[Notes],$BI761),IF($B761="Production",INDEX(tbl_Production[Notes],$BI761),INDEX(tbl_Consulting[Notes],$BI761)))&amp;"")</f>
        <v/>
      </c>
      <c r="N761" s="11">
        <f>IF($BI761="","",IF(IF($B761="Onsite",INDEX(tbl_Onsite[Expected Revenue Ex GST],$BI761),IF($B761="Production",INDEX(tbl_Production[Expected Revenue Ex GST],$BI761),INDEX(tbl_Consulting[Expected Revenue Ex GST],$BI761)))="","",IF($B761="Onsite",INDEX(tbl_Onsite[Expected Revenue Ex GST],$BI761),IF($B761="Production",INDEX(tbl_Production[Expected Revenue Ex GST],$BI761),INDEX(tbl_Consulting[Expected Revenue Ex GST],$BI761)))))</f>
        <v/>
      </c>
      <c r="O761" s="11">
        <f>IF(AND($C761="",NOT(COUNTA($S761:$BB761)&gt;0)),"",SUM(U761,X761,AA761,AD761,AG761,AJ761,AM761,AP761,AS761,AV761,AY761,BB761))</f>
        <v/>
      </c>
      <c r="P761" s="11">
        <f>IF(O761="","",N(N761)-O761)</f>
        <v/>
      </c>
      <c r="Q761" s="10">
        <f>IF(O761="","",IF($C761="","Invoice on empty job row",IF(N761="",IF(ROUND(O761,2)=0,"No dept value","Invoiced - no dept value"),IF(ROUND(O761,2)=0,"Not invoiced - to invoice",IF(ROUND(P761,2)=0,"Agrees",IF(P761&gt;0,"Dept higher - to invoice","Xero higher - check dept"))))))</f>
        <v/>
      </c>
      <c r="R761" s="10">
        <f>IF(AND($C761="",NOT(COUNTA($S761:$BB761)&gt;0),$BI761&lt;&gt;""),"",MID(IF($BI761="","; Row ID not found on the department sheet - a row was deleted","")&amp;IF(AND($C761="",COUNTA($S761:$BB761)&gt;0),"; Invoice entered but the department row has no job number","")&amp;IF(E761="CHECK","; Job number not in the Xero job list","")&amp;IF(AND($C761&lt;&gt;"",COUNTIF($C$7:$C$1506,$C761)&gt;1),"; Job number on more than one row","")&amp;IF(AND($C761&lt;&gt;"",H761=""),"; Dept has not set a cost centre","")&amp;IF(AND($C761&lt;&gt;"",J761=""),"; Dept has not set a tax code","")&amp;IF(AND($C761&lt;&gt;"",N761=""),"; Dept has not entered an expected value","")&amp;IF((IF(OR(COUNTA(S761:U761)=0,AND(COUNTA(S761:U761)=3,ISNUMBER(U761))),0,1)+IF(OR(COUNTA(V761:X761)=0,AND(COUNTA(V761:X761)=3,ISNUMBER(X761))),0,1)+IF(OR(COUNTA(Y761:AA761)=0,AND(COUNTA(Y761:AA761)=3,ISNUMBER(AA761))),0,1)+IF(OR(COUNTA(AB761:AD761)=0,AND(COUNTA(AB761:AD761)=3,ISNUMBER(AD761))),0,1)+IF(OR(COUNTA(AE761:AG761)=0,AND(COUNTA(AE761:AG761)=3,ISNUMBER(AG761))),0,1)+IF(OR(COUNTA(AH761:AJ761)=0,AND(COUNTA(AH761:AJ761)=3,ISNUMBER(AJ761))),0,1)+IF(OR(COUNTA(AK761:AM761)=0,AND(COUNTA(AK761:AM761)=3,ISNUMBER(AM761))),0,1)+IF(OR(COUNTA(AN761:AP761)=0,AND(COUNTA(AN761:AP761)=3,ISNUMBER(AP761))),0,1)+IF(OR(COUNTA(AQ761:AS761)=0,AND(COUNTA(AQ761:AS761)=3,ISNUMBER(AS761))),0,1)+IF(OR(COUNTA(AT761:AV761)=0,AND(COUNTA(AT761:AV761)=3,ISNUMBER(AV761))),0,1)+IF(OR(COUNTA(AW761:AY761)=0,AND(COUNTA(AW761:AY761)=3,ISNUMBER(AY761))),0,1)+IF(OR(COUNTA(AZ761:BB761)=0,AND(COUNTA(AZ761:BB761)=3,ISNUMBER(BB761))),0,1))&gt;0,"; An invoice is incomplete (needs No, Date and a number in Ex GST)","")&amp;IF((IF(T761="",0,IFERROR(--(EOMONTH(T761,0)&lt;&gt;S$5),1))+IF(W761="",0,IFERROR(--(EOMONTH(W761,0)&lt;&gt;V$5),1))+IF(Z761="",0,IFERROR(--(EOMONTH(Z761,0)&lt;&gt;Y$5),1))+IF(AC761="",0,IFERROR(--(EOMONTH(AC761,0)&lt;&gt;AB$5),1))+IF(AF761="",0,IFERROR(--(EOMONTH(AF761,0)&lt;&gt;AE$5),1))+IF(AI761="",0,IFERROR(--(EOMONTH(AI761,0)&lt;&gt;AH$5),1))+IF(AL761="",0,IFERROR(--(EOMONTH(AL761,0)&lt;&gt;AK$5),1))+IF(AO761="",0,IFERROR(--(EOMONTH(AO761,0)&lt;&gt;AN$5),1))+IF(AR761="",0,IFERROR(--(EOMONTH(AR761,0)&lt;&gt;AQ$5),1))+IF(AU761="",0,IFERROR(--(EOMONTH(AU761,0)&lt;&gt;AT$5),1))+IF(AX761="",0,IFERROR(--(EOMONTH(AX761,0)&lt;&gt;AW$5),1))+IF(BA761="",0,IFERROR(--(EOMONTH(BA761,0)&lt;&gt;AZ$5),1)))&gt;0,"; An invoice date is not in the month it is typed under",""),3,500))</f>
        <v/>
      </c>
      <c r="S761" s="12" t="n"/>
      <c r="T761" s="13" t="n"/>
      <c r="U761" s="14" t="n"/>
      <c r="V761" s="12" t="n"/>
      <c r="W761" s="13" t="n"/>
      <c r="X761" s="14" t="n"/>
      <c r="Y761" s="12" t="n"/>
      <c r="Z761" s="13" t="n"/>
      <c r="AA761" s="14" t="n"/>
      <c r="AB761" s="12" t="n"/>
      <c r="AC761" s="13" t="n"/>
      <c r="AD761" s="14" t="n"/>
      <c r="AE761" s="12" t="n"/>
      <c r="AF761" s="13" t="n"/>
      <c r="AG761" s="14" t="n"/>
      <c r="AH761" s="12" t="n"/>
      <c r="AI761" s="13" t="n"/>
      <c r="AJ761" s="14" t="n"/>
      <c r="AK761" s="12" t="n"/>
      <c r="AL761" s="13" t="n"/>
      <c r="AM761" s="14" t="n"/>
      <c r="AN761" s="12" t="n"/>
      <c r="AO761" s="13" t="n"/>
      <c r="AP761" s="14" t="n"/>
      <c r="AQ761" s="12" t="n"/>
      <c r="AR761" s="13" t="n"/>
      <c r="AS761" s="14" t="n"/>
      <c r="AT761" s="12" t="n"/>
      <c r="AU761" s="13" t="n"/>
      <c r="AV761" s="14" t="n"/>
      <c r="AW761" s="12" t="n"/>
      <c r="AX761" s="13" t="n"/>
      <c r="AY761" s="14" t="n"/>
      <c r="AZ761" s="12" t="n"/>
      <c r="BA761" s="13" t="n"/>
      <c r="BB761" s="14" t="n"/>
      <c r="BC761" s="11">
        <f>IF(O761="","",IF(J761="GST 10%",ROUND(O761*set_GSTRate,2),0))</f>
        <v/>
      </c>
      <c r="BD761" s="11">
        <f>IF(O761="","",O761+BC761)</f>
        <v/>
      </c>
      <c r="BE761" s="15">
        <f>IF(O761="","",COUNTA(S761,V761,Y761,AB761,AE761,AH761,AK761,AN761,AQ761,AT761,AW761,AZ761))</f>
        <v/>
      </c>
      <c r="BF761" s="16">
        <f>IF(COUNT(T761,W761,Z761,AC761,AF761,AI761,AL761,AO761,AR761,AU761,AX761,BA761)=0,"",MAX(T761,W761,Z761,AC761,AF761,AI761,AL761,AO761,AR761,AU761,AX761,BA761))</f>
        <v/>
      </c>
      <c r="BG761" s="10">
        <f>MID(IF(S761="","",", "&amp;S761)&amp;IF(V761="","",", "&amp;V761)&amp;IF(Y761="","",", "&amp;Y761)&amp;IF(AB761="","",", "&amp;AB761)&amp;IF(AE761="","",", "&amp;AE761)&amp;IF(AH761="","",", "&amp;AH761)&amp;IF(AK761="","",", "&amp;AK761)&amp;IF(AN761="","",", "&amp;AN761)&amp;IF(AQ761="","",", "&amp;AQ761)&amp;IF(AT761="","",", "&amp;AT761)&amp;IF(AW761="","",", "&amp;AW761)&amp;IF(AZ761="","",", "&amp;AZ761),3,500)</f>
        <v/>
      </c>
      <c r="BH761" s="12" t="n"/>
      <c r="BI761" s="15">
        <f>IFERROR(MATCH($A761,IF($B761="Onsite",tbl_Onsite[Row ID],IF($B761="Production",tbl_Production[Row ID],tbl_Consulting[Row ID])),0),"")</f>
        <v/>
      </c>
    </row>
    <row r="762">
      <c r="A762" s="10" t="inlineStr">
        <is>
          <t>PRD-0256</t>
        </is>
      </c>
      <c r="B762" s="10" t="inlineStr">
        <is>
          <t>Production</t>
        </is>
      </c>
      <c r="C762" s="10">
        <f>IF($BI762="","",IF($B762="Onsite",INDEX(tbl_Onsite[Job Number],$BI762),IF($B762="Production",INDEX(tbl_Production[Job Number],$BI762),INDEX(tbl_Consulting[Job Number],$BI762)))&amp;"")</f>
        <v/>
      </c>
      <c r="D762" s="10">
        <f>IF($BI762="","",IF($B762="Onsite",INDEX(tbl_Onsite[Client],$BI762),IF($B762="Production",INDEX(tbl_Production[Client],$BI762),INDEX(tbl_Consulting[Client],$BI762)))&amp;"")</f>
        <v/>
      </c>
      <c r="E762" s="10">
        <f>IF($C762="","",IF(COUNTIF(lst_Jobs,$C762)&gt;0,"OK","CHECK"))</f>
        <v/>
      </c>
      <c r="F762" s="10">
        <f>IF($C762="","",IFERROR(INDEX(lst_JobName,MATCH($C762,lst_Jobs,0)),""))</f>
        <v/>
      </c>
      <c r="G762" s="10">
        <f>IF($BI762="","",IF($B762="Onsite",INDEX(tbl_Onsite[Job Description],$BI762),IF($B762="Production",INDEX(tbl_Production[Job Description],$BI762),INDEX(tbl_Consulting[Job Description],$BI762)))&amp;"")</f>
        <v/>
      </c>
      <c r="H762" s="10">
        <f>IF($BI762="","",IF($B762="Onsite",INDEX(tbl_Onsite[Cost Centre],$BI762),IF($B762="Production",INDEX(tbl_Production[Cost Centre],$BI762),INDEX(tbl_Consulting[Cost Centre],$BI762)))&amp;"")</f>
        <v/>
      </c>
      <c r="I762" s="10">
        <f>IF($BI762="","",IF($B762="Onsite",INDEX(tbl_Onsite[Invoice Type],$BI762),IF($B762="Production",INDEX(tbl_Production[Invoice Type],$BI762),INDEX(tbl_Consulting[Invoice Type],$BI762)))&amp;"")</f>
        <v/>
      </c>
      <c r="J762" s="10">
        <f>IF($BI762="","",IF($B762="Onsite",INDEX(tbl_Onsite[Tax Code],$BI762),IF($B762="Production",INDEX(tbl_Production[Tax Code],$BI762),INDEX(tbl_Consulting[Tax Code],$BI762)))&amp;"")</f>
        <v/>
      </c>
      <c r="K762" s="10">
        <f>IF(H762="","",IFERROR(INDEX(lst_CCtoGL,MATCH(H762,lst_CCforGL,0)),""))</f>
        <v/>
      </c>
      <c r="L762" s="10">
        <f>IF($BI762="","",IF($B762="Onsite",INDEX(tbl_Onsite[PO / Reference],$BI762),IF($B762="Production",INDEX(tbl_Production[Current RMS No],$BI762),INDEX(tbl_Consulting[Qwilr Quote],$BI762)))&amp;"")</f>
        <v/>
      </c>
      <c r="M762" s="10">
        <f>IF($BI762="","",IF($B762="Onsite",INDEX(tbl_Onsite[Notes],$BI762),IF($B762="Production",INDEX(tbl_Production[Notes],$BI762),INDEX(tbl_Consulting[Notes],$BI762)))&amp;"")</f>
        <v/>
      </c>
      <c r="N762" s="11">
        <f>IF($BI762="","",IF(IF($B762="Onsite",INDEX(tbl_Onsite[Expected Revenue Ex GST],$BI762),IF($B762="Production",INDEX(tbl_Production[Expected Revenue Ex GST],$BI762),INDEX(tbl_Consulting[Expected Revenue Ex GST],$BI762)))="","",IF($B762="Onsite",INDEX(tbl_Onsite[Expected Revenue Ex GST],$BI762),IF($B762="Production",INDEX(tbl_Production[Expected Revenue Ex GST],$BI762),INDEX(tbl_Consulting[Expected Revenue Ex GST],$BI762)))))</f>
        <v/>
      </c>
      <c r="O762" s="11">
        <f>IF(AND($C762="",NOT(COUNTA($S762:$BB762)&gt;0)),"",SUM(U762,X762,AA762,AD762,AG762,AJ762,AM762,AP762,AS762,AV762,AY762,BB762))</f>
        <v/>
      </c>
      <c r="P762" s="11">
        <f>IF(O762="","",N(N762)-O762)</f>
        <v/>
      </c>
      <c r="Q762" s="10">
        <f>IF(O762="","",IF($C762="","Invoice on empty job row",IF(N762="",IF(ROUND(O762,2)=0,"No dept value","Invoiced - no dept value"),IF(ROUND(O762,2)=0,"Not invoiced - to invoice",IF(ROUND(P762,2)=0,"Agrees",IF(P762&gt;0,"Dept higher - to invoice","Xero higher - check dept"))))))</f>
        <v/>
      </c>
      <c r="R762" s="10">
        <f>IF(AND($C762="",NOT(COUNTA($S762:$BB762)&gt;0),$BI762&lt;&gt;""),"",MID(IF($BI762="","; Row ID not found on the department sheet - a row was deleted","")&amp;IF(AND($C762="",COUNTA($S762:$BB762)&gt;0),"; Invoice entered but the department row has no job number","")&amp;IF(E762="CHECK","; Job number not in the Xero job list","")&amp;IF(AND($C762&lt;&gt;"",COUNTIF($C$7:$C$1506,$C762)&gt;1),"; Job number on more than one row","")&amp;IF(AND($C762&lt;&gt;"",H762=""),"; Dept has not set a cost centre","")&amp;IF(AND($C762&lt;&gt;"",J762=""),"; Dept has not set a tax code","")&amp;IF(AND($C762&lt;&gt;"",N762=""),"; Dept has not entered an expected value","")&amp;IF((IF(OR(COUNTA(S762:U762)=0,AND(COUNTA(S762:U762)=3,ISNUMBER(U762))),0,1)+IF(OR(COUNTA(V762:X762)=0,AND(COUNTA(V762:X762)=3,ISNUMBER(X762))),0,1)+IF(OR(COUNTA(Y762:AA762)=0,AND(COUNTA(Y762:AA762)=3,ISNUMBER(AA762))),0,1)+IF(OR(COUNTA(AB762:AD762)=0,AND(COUNTA(AB762:AD762)=3,ISNUMBER(AD762))),0,1)+IF(OR(COUNTA(AE762:AG762)=0,AND(COUNTA(AE762:AG762)=3,ISNUMBER(AG762))),0,1)+IF(OR(COUNTA(AH762:AJ762)=0,AND(COUNTA(AH762:AJ762)=3,ISNUMBER(AJ762))),0,1)+IF(OR(COUNTA(AK762:AM762)=0,AND(COUNTA(AK762:AM762)=3,ISNUMBER(AM762))),0,1)+IF(OR(COUNTA(AN762:AP762)=0,AND(COUNTA(AN762:AP762)=3,ISNUMBER(AP762))),0,1)+IF(OR(COUNTA(AQ762:AS762)=0,AND(COUNTA(AQ762:AS762)=3,ISNUMBER(AS762))),0,1)+IF(OR(COUNTA(AT762:AV762)=0,AND(COUNTA(AT762:AV762)=3,ISNUMBER(AV762))),0,1)+IF(OR(COUNTA(AW762:AY762)=0,AND(COUNTA(AW762:AY762)=3,ISNUMBER(AY762))),0,1)+IF(OR(COUNTA(AZ762:BB762)=0,AND(COUNTA(AZ762:BB762)=3,ISNUMBER(BB762))),0,1))&gt;0,"; An invoice is incomplete (needs No, Date and a number in Ex GST)","")&amp;IF((IF(T762="",0,IFERROR(--(EOMONTH(T762,0)&lt;&gt;S$5),1))+IF(W762="",0,IFERROR(--(EOMONTH(W762,0)&lt;&gt;V$5),1))+IF(Z762="",0,IFERROR(--(EOMONTH(Z762,0)&lt;&gt;Y$5),1))+IF(AC762="",0,IFERROR(--(EOMONTH(AC762,0)&lt;&gt;AB$5),1))+IF(AF762="",0,IFERROR(--(EOMONTH(AF762,0)&lt;&gt;AE$5),1))+IF(AI762="",0,IFERROR(--(EOMONTH(AI762,0)&lt;&gt;AH$5),1))+IF(AL762="",0,IFERROR(--(EOMONTH(AL762,0)&lt;&gt;AK$5),1))+IF(AO762="",0,IFERROR(--(EOMONTH(AO762,0)&lt;&gt;AN$5),1))+IF(AR762="",0,IFERROR(--(EOMONTH(AR762,0)&lt;&gt;AQ$5),1))+IF(AU762="",0,IFERROR(--(EOMONTH(AU762,0)&lt;&gt;AT$5),1))+IF(AX762="",0,IFERROR(--(EOMONTH(AX762,0)&lt;&gt;AW$5),1))+IF(BA762="",0,IFERROR(--(EOMONTH(BA762,0)&lt;&gt;AZ$5),1)))&gt;0,"; An invoice date is not in the month it is typed under",""),3,500))</f>
        <v/>
      </c>
      <c r="S762" s="12" t="n"/>
      <c r="T762" s="13" t="n"/>
      <c r="U762" s="14" t="n"/>
      <c r="V762" s="12" t="n"/>
      <c r="W762" s="13" t="n"/>
      <c r="X762" s="14" t="n"/>
      <c r="Y762" s="12" t="n"/>
      <c r="Z762" s="13" t="n"/>
      <c r="AA762" s="14" t="n"/>
      <c r="AB762" s="12" t="n"/>
      <c r="AC762" s="13" t="n"/>
      <c r="AD762" s="14" t="n"/>
      <c r="AE762" s="12" t="n"/>
      <c r="AF762" s="13" t="n"/>
      <c r="AG762" s="14" t="n"/>
      <c r="AH762" s="12" t="n"/>
      <c r="AI762" s="13" t="n"/>
      <c r="AJ762" s="14" t="n"/>
      <c r="AK762" s="12" t="n"/>
      <c r="AL762" s="13" t="n"/>
      <c r="AM762" s="14" t="n"/>
      <c r="AN762" s="12" t="n"/>
      <c r="AO762" s="13" t="n"/>
      <c r="AP762" s="14" t="n"/>
      <c r="AQ762" s="12" t="n"/>
      <c r="AR762" s="13" t="n"/>
      <c r="AS762" s="14" t="n"/>
      <c r="AT762" s="12" t="n"/>
      <c r="AU762" s="13" t="n"/>
      <c r="AV762" s="14" t="n"/>
      <c r="AW762" s="12" t="n"/>
      <c r="AX762" s="13" t="n"/>
      <c r="AY762" s="14" t="n"/>
      <c r="AZ762" s="12" t="n"/>
      <c r="BA762" s="13" t="n"/>
      <c r="BB762" s="14" t="n"/>
      <c r="BC762" s="11">
        <f>IF(O762="","",IF(J762="GST 10%",ROUND(O762*set_GSTRate,2),0))</f>
        <v/>
      </c>
      <c r="BD762" s="11">
        <f>IF(O762="","",O762+BC762)</f>
        <v/>
      </c>
      <c r="BE762" s="15">
        <f>IF(O762="","",COUNTA(S762,V762,Y762,AB762,AE762,AH762,AK762,AN762,AQ762,AT762,AW762,AZ762))</f>
        <v/>
      </c>
      <c r="BF762" s="16">
        <f>IF(COUNT(T762,W762,Z762,AC762,AF762,AI762,AL762,AO762,AR762,AU762,AX762,BA762)=0,"",MAX(T762,W762,Z762,AC762,AF762,AI762,AL762,AO762,AR762,AU762,AX762,BA762))</f>
        <v/>
      </c>
      <c r="BG762" s="10">
        <f>MID(IF(S762="","",", "&amp;S762)&amp;IF(V762="","",", "&amp;V762)&amp;IF(Y762="","",", "&amp;Y762)&amp;IF(AB762="","",", "&amp;AB762)&amp;IF(AE762="","",", "&amp;AE762)&amp;IF(AH762="","",", "&amp;AH762)&amp;IF(AK762="","",", "&amp;AK762)&amp;IF(AN762="","",", "&amp;AN762)&amp;IF(AQ762="","",", "&amp;AQ762)&amp;IF(AT762="","",", "&amp;AT762)&amp;IF(AW762="","",", "&amp;AW762)&amp;IF(AZ762="","",", "&amp;AZ762),3,500)</f>
        <v/>
      </c>
      <c r="BH762" s="12" t="n"/>
      <c r="BI762" s="15">
        <f>IFERROR(MATCH($A762,IF($B762="Onsite",tbl_Onsite[Row ID],IF($B762="Production",tbl_Production[Row ID],tbl_Consulting[Row ID])),0),"")</f>
        <v/>
      </c>
    </row>
    <row r="763">
      <c r="A763" s="10" t="inlineStr">
        <is>
          <t>PRD-0257</t>
        </is>
      </c>
      <c r="B763" s="10" t="inlineStr">
        <is>
          <t>Production</t>
        </is>
      </c>
      <c r="C763" s="10">
        <f>IF($BI763="","",IF($B763="Onsite",INDEX(tbl_Onsite[Job Number],$BI763),IF($B763="Production",INDEX(tbl_Production[Job Number],$BI763),INDEX(tbl_Consulting[Job Number],$BI763)))&amp;"")</f>
        <v/>
      </c>
      <c r="D763" s="10">
        <f>IF($BI763="","",IF($B763="Onsite",INDEX(tbl_Onsite[Client],$BI763),IF($B763="Production",INDEX(tbl_Production[Client],$BI763),INDEX(tbl_Consulting[Client],$BI763)))&amp;"")</f>
        <v/>
      </c>
      <c r="E763" s="10">
        <f>IF($C763="","",IF(COUNTIF(lst_Jobs,$C763)&gt;0,"OK","CHECK"))</f>
        <v/>
      </c>
      <c r="F763" s="10">
        <f>IF($C763="","",IFERROR(INDEX(lst_JobName,MATCH($C763,lst_Jobs,0)),""))</f>
        <v/>
      </c>
      <c r="G763" s="10">
        <f>IF($BI763="","",IF($B763="Onsite",INDEX(tbl_Onsite[Job Description],$BI763),IF($B763="Production",INDEX(tbl_Production[Job Description],$BI763),INDEX(tbl_Consulting[Job Description],$BI763)))&amp;"")</f>
        <v/>
      </c>
      <c r="H763" s="10">
        <f>IF($BI763="","",IF($B763="Onsite",INDEX(tbl_Onsite[Cost Centre],$BI763),IF($B763="Production",INDEX(tbl_Production[Cost Centre],$BI763),INDEX(tbl_Consulting[Cost Centre],$BI763)))&amp;"")</f>
        <v/>
      </c>
      <c r="I763" s="10">
        <f>IF($BI763="","",IF($B763="Onsite",INDEX(tbl_Onsite[Invoice Type],$BI763),IF($B763="Production",INDEX(tbl_Production[Invoice Type],$BI763),INDEX(tbl_Consulting[Invoice Type],$BI763)))&amp;"")</f>
        <v/>
      </c>
      <c r="J763" s="10">
        <f>IF($BI763="","",IF($B763="Onsite",INDEX(tbl_Onsite[Tax Code],$BI763),IF($B763="Production",INDEX(tbl_Production[Tax Code],$BI763),INDEX(tbl_Consulting[Tax Code],$BI763)))&amp;"")</f>
        <v/>
      </c>
      <c r="K763" s="10">
        <f>IF(H763="","",IFERROR(INDEX(lst_CCtoGL,MATCH(H763,lst_CCforGL,0)),""))</f>
        <v/>
      </c>
      <c r="L763" s="10">
        <f>IF($BI763="","",IF($B763="Onsite",INDEX(tbl_Onsite[PO / Reference],$BI763),IF($B763="Production",INDEX(tbl_Production[Current RMS No],$BI763),INDEX(tbl_Consulting[Qwilr Quote],$BI763)))&amp;"")</f>
        <v/>
      </c>
      <c r="M763" s="10">
        <f>IF($BI763="","",IF($B763="Onsite",INDEX(tbl_Onsite[Notes],$BI763),IF($B763="Production",INDEX(tbl_Production[Notes],$BI763),INDEX(tbl_Consulting[Notes],$BI763)))&amp;"")</f>
        <v/>
      </c>
      <c r="N763" s="11">
        <f>IF($BI763="","",IF(IF($B763="Onsite",INDEX(tbl_Onsite[Expected Revenue Ex GST],$BI763),IF($B763="Production",INDEX(tbl_Production[Expected Revenue Ex GST],$BI763),INDEX(tbl_Consulting[Expected Revenue Ex GST],$BI763)))="","",IF($B763="Onsite",INDEX(tbl_Onsite[Expected Revenue Ex GST],$BI763),IF($B763="Production",INDEX(tbl_Production[Expected Revenue Ex GST],$BI763),INDEX(tbl_Consulting[Expected Revenue Ex GST],$BI763)))))</f>
        <v/>
      </c>
      <c r="O763" s="11">
        <f>IF(AND($C763="",NOT(COUNTA($S763:$BB763)&gt;0)),"",SUM(U763,X763,AA763,AD763,AG763,AJ763,AM763,AP763,AS763,AV763,AY763,BB763))</f>
        <v/>
      </c>
      <c r="P763" s="11">
        <f>IF(O763="","",N(N763)-O763)</f>
        <v/>
      </c>
      <c r="Q763" s="10">
        <f>IF(O763="","",IF($C763="","Invoice on empty job row",IF(N763="",IF(ROUND(O763,2)=0,"No dept value","Invoiced - no dept value"),IF(ROUND(O763,2)=0,"Not invoiced - to invoice",IF(ROUND(P763,2)=0,"Agrees",IF(P763&gt;0,"Dept higher - to invoice","Xero higher - check dept"))))))</f>
        <v/>
      </c>
      <c r="R763" s="10">
        <f>IF(AND($C763="",NOT(COUNTA($S763:$BB763)&gt;0),$BI763&lt;&gt;""),"",MID(IF($BI763="","; Row ID not found on the department sheet - a row was deleted","")&amp;IF(AND($C763="",COUNTA($S763:$BB763)&gt;0),"; Invoice entered but the department row has no job number","")&amp;IF(E763="CHECK","; Job number not in the Xero job list","")&amp;IF(AND($C763&lt;&gt;"",COUNTIF($C$7:$C$1506,$C763)&gt;1),"; Job number on more than one row","")&amp;IF(AND($C763&lt;&gt;"",H763=""),"; Dept has not set a cost centre","")&amp;IF(AND($C763&lt;&gt;"",J763=""),"; Dept has not set a tax code","")&amp;IF(AND($C763&lt;&gt;"",N763=""),"; Dept has not entered an expected value","")&amp;IF((IF(OR(COUNTA(S763:U763)=0,AND(COUNTA(S763:U763)=3,ISNUMBER(U763))),0,1)+IF(OR(COUNTA(V763:X763)=0,AND(COUNTA(V763:X763)=3,ISNUMBER(X763))),0,1)+IF(OR(COUNTA(Y763:AA763)=0,AND(COUNTA(Y763:AA763)=3,ISNUMBER(AA763))),0,1)+IF(OR(COUNTA(AB763:AD763)=0,AND(COUNTA(AB763:AD763)=3,ISNUMBER(AD763))),0,1)+IF(OR(COUNTA(AE763:AG763)=0,AND(COUNTA(AE763:AG763)=3,ISNUMBER(AG763))),0,1)+IF(OR(COUNTA(AH763:AJ763)=0,AND(COUNTA(AH763:AJ763)=3,ISNUMBER(AJ763))),0,1)+IF(OR(COUNTA(AK763:AM763)=0,AND(COUNTA(AK763:AM763)=3,ISNUMBER(AM763))),0,1)+IF(OR(COUNTA(AN763:AP763)=0,AND(COUNTA(AN763:AP763)=3,ISNUMBER(AP763))),0,1)+IF(OR(COUNTA(AQ763:AS763)=0,AND(COUNTA(AQ763:AS763)=3,ISNUMBER(AS763))),0,1)+IF(OR(COUNTA(AT763:AV763)=0,AND(COUNTA(AT763:AV763)=3,ISNUMBER(AV763))),0,1)+IF(OR(COUNTA(AW763:AY763)=0,AND(COUNTA(AW763:AY763)=3,ISNUMBER(AY763))),0,1)+IF(OR(COUNTA(AZ763:BB763)=0,AND(COUNTA(AZ763:BB763)=3,ISNUMBER(BB763))),0,1))&gt;0,"; An invoice is incomplete (needs No, Date and a number in Ex GST)","")&amp;IF((IF(T763="",0,IFERROR(--(EOMONTH(T763,0)&lt;&gt;S$5),1))+IF(W763="",0,IFERROR(--(EOMONTH(W763,0)&lt;&gt;V$5),1))+IF(Z763="",0,IFERROR(--(EOMONTH(Z763,0)&lt;&gt;Y$5),1))+IF(AC763="",0,IFERROR(--(EOMONTH(AC763,0)&lt;&gt;AB$5),1))+IF(AF763="",0,IFERROR(--(EOMONTH(AF763,0)&lt;&gt;AE$5),1))+IF(AI763="",0,IFERROR(--(EOMONTH(AI763,0)&lt;&gt;AH$5),1))+IF(AL763="",0,IFERROR(--(EOMONTH(AL763,0)&lt;&gt;AK$5),1))+IF(AO763="",0,IFERROR(--(EOMONTH(AO763,0)&lt;&gt;AN$5),1))+IF(AR763="",0,IFERROR(--(EOMONTH(AR763,0)&lt;&gt;AQ$5),1))+IF(AU763="",0,IFERROR(--(EOMONTH(AU763,0)&lt;&gt;AT$5),1))+IF(AX763="",0,IFERROR(--(EOMONTH(AX763,0)&lt;&gt;AW$5),1))+IF(BA763="",0,IFERROR(--(EOMONTH(BA763,0)&lt;&gt;AZ$5),1)))&gt;0,"; An invoice date is not in the month it is typed under",""),3,500))</f>
        <v/>
      </c>
      <c r="S763" s="12" t="n"/>
      <c r="T763" s="13" t="n"/>
      <c r="U763" s="14" t="n"/>
      <c r="V763" s="12" t="n"/>
      <c r="W763" s="13" t="n"/>
      <c r="X763" s="14" t="n"/>
      <c r="Y763" s="12" t="n"/>
      <c r="Z763" s="13" t="n"/>
      <c r="AA763" s="14" t="n"/>
      <c r="AB763" s="12" t="n"/>
      <c r="AC763" s="13" t="n"/>
      <c r="AD763" s="14" t="n"/>
      <c r="AE763" s="12" t="n"/>
      <c r="AF763" s="13" t="n"/>
      <c r="AG763" s="14" t="n"/>
      <c r="AH763" s="12" t="n"/>
      <c r="AI763" s="13" t="n"/>
      <c r="AJ763" s="14" t="n"/>
      <c r="AK763" s="12" t="n"/>
      <c r="AL763" s="13" t="n"/>
      <c r="AM763" s="14" t="n"/>
      <c r="AN763" s="12" t="n"/>
      <c r="AO763" s="13" t="n"/>
      <c r="AP763" s="14" t="n"/>
      <c r="AQ763" s="12" t="n"/>
      <c r="AR763" s="13" t="n"/>
      <c r="AS763" s="14" t="n"/>
      <c r="AT763" s="12" t="n"/>
      <c r="AU763" s="13" t="n"/>
      <c r="AV763" s="14" t="n"/>
      <c r="AW763" s="12" t="n"/>
      <c r="AX763" s="13" t="n"/>
      <c r="AY763" s="14" t="n"/>
      <c r="AZ763" s="12" t="n"/>
      <c r="BA763" s="13" t="n"/>
      <c r="BB763" s="14" t="n"/>
      <c r="BC763" s="11">
        <f>IF(O763="","",IF(J763="GST 10%",ROUND(O763*set_GSTRate,2),0))</f>
        <v/>
      </c>
      <c r="BD763" s="11">
        <f>IF(O763="","",O763+BC763)</f>
        <v/>
      </c>
      <c r="BE763" s="15">
        <f>IF(O763="","",COUNTA(S763,V763,Y763,AB763,AE763,AH763,AK763,AN763,AQ763,AT763,AW763,AZ763))</f>
        <v/>
      </c>
      <c r="BF763" s="16">
        <f>IF(COUNT(T763,W763,Z763,AC763,AF763,AI763,AL763,AO763,AR763,AU763,AX763,BA763)=0,"",MAX(T763,W763,Z763,AC763,AF763,AI763,AL763,AO763,AR763,AU763,AX763,BA763))</f>
        <v/>
      </c>
      <c r="BG763" s="10">
        <f>MID(IF(S763="","",", "&amp;S763)&amp;IF(V763="","",", "&amp;V763)&amp;IF(Y763="","",", "&amp;Y763)&amp;IF(AB763="","",", "&amp;AB763)&amp;IF(AE763="","",", "&amp;AE763)&amp;IF(AH763="","",", "&amp;AH763)&amp;IF(AK763="","",", "&amp;AK763)&amp;IF(AN763="","",", "&amp;AN763)&amp;IF(AQ763="","",", "&amp;AQ763)&amp;IF(AT763="","",", "&amp;AT763)&amp;IF(AW763="","",", "&amp;AW763)&amp;IF(AZ763="","",", "&amp;AZ763),3,500)</f>
        <v/>
      </c>
      <c r="BH763" s="12" t="n"/>
      <c r="BI763" s="15">
        <f>IFERROR(MATCH($A763,IF($B763="Onsite",tbl_Onsite[Row ID],IF($B763="Production",tbl_Production[Row ID],tbl_Consulting[Row ID])),0),"")</f>
        <v/>
      </c>
    </row>
    <row r="764">
      <c r="A764" s="10" t="inlineStr">
        <is>
          <t>PRD-0258</t>
        </is>
      </c>
      <c r="B764" s="10" t="inlineStr">
        <is>
          <t>Production</t>
        </is>
      </c>
      <c r="C764" s="10">
        <f>IF($BI764="","",IF($B764="Onsite",INDEX(tbl_Onsite[Job Number],$BI764),IF($B764="Production",INDEX(tbl_Production[Job Number],$BI764),INDEX(tbl_Consulting[Job Number],$BI764)))&amp;"")</f>
        <v/>
      </c>
      <c r="D764" s="10">
        <f>IF($BI764="","",IF($B764="Onsite",INDEX(tbl_Onsite[Client],$BI764),IF($B764="Production",INDEX(tbl_Production[Client],$BI764),INDEX(tbl_Consulting[Client],$BI764)))&amp;"")</f>
        <v/>
      </c>
      <c r="E764" s="10">
        <f>IF($C764="","",IF(COUNTIF(lst_Jobs,$C764)&gt;0,"OK","CHECK"))</f>
        <v/>
      </c>
      <c r="F764" s="10">
        <f>IF($C764="","",IFERROR(INDEX(lst_JobName,MATCH($C764,lst_Jobs,0)),""))</f>
        <v/>
      </c>
      <c r="G764" s="10">
        <f>IF($BI764="","",IF($B764="Onsite",INDEX(tbl_Onsite[Job Description],$BI764),IF($B764="Production",INDEX(tbl_Production[Job Description],$BI764),INDEX(tbl_Consulting[Job Description],$BI764)))&amp;"")</f>
        <v/>
      </c>
      <c r="H764" s="10">
        <f>IF($BI764="","",IF($B764="Onsite",INDEX(tbl_Onsite[Cost Centre],$BI764),IF($B764="Production",INDEX(tbl_Production[Cost Centre],$BI764),INDEX(tbl_Consulting[Cost Centre],$BI764)))&amp;"")</f>
        <v/>
      </c>
      <c r="I764" s="10">
        <f>IF($BI764="","",IF($B764="Onsite",INDEX(tbl_Onsite[Invoice Type],$BI764),IF($B764="Production",INDEX(tbl_Production[Invoice Type],$BI764),INDEX(tbl_Consulting[Invoice Type],$BI764)))&amp;"")</f>
        <v/>
      </c>
      <c r="J764" s="10">
        <f>IF($BI764="","",IF($B764="Onsite",INDEX(tbl_Onsite[Tax Code],$BI764),IF($B764="Production",INDEX(tbl_Production[Tax Code],$BI764),INDEX(tbl_Consulting[Tax Code],$BI764)))&amp;"")</f>
        <v/>
      </c>
      <c r="K764" s="10">
        <f>IF(H764="","",IFERROR(INDEX(lst_CCtoGL,MATCH(H764,lst_CCforGL,0)),""))</f>
        <v/>
      </c>
      <c r="L764" s="10">
        <f>IF($BI764="","",IF($B764="Onsite",INDEX(tbl_Onsite[PO / Reference],$BI764),IF($B764="Production",INDEX(tbl_Production[Current RMS No],$BI764),INDEX(tbl_Consulting[Qwilr Quote],$BI764)))&amp;"")</f>
        <v/>
      </c>
      <c r="M764" s="10">
        <f>IF($BI764="","",IF($B764="Onsite",INDEX(tbl_Onsite[Notes],$BI764),IF($B764="Production",INDEX(tbl_Production[Notes],$BI764),INDEX(tbl_Consulting[Notes],$BI764)))&amp;"")</f>
        <v/>
      </c>
      <c r="N764" s="11">
        <f>IF($BI764="","",IF(IF($B764="Onsite",INDEX(tbl_Onsite[Expected Revenue Ex GST],$BI764),IF($B764="Production",INDEX(tbl_Production[Expected Revenue Ex GST],$BI764),INDEX(tbl_Consulting[Expected Revenue Ex GST],$BI764)))="","",IF($B764="Onsite",INDEX(tbl_Onsite[Expected Revenue Ex GST],$BI764),IF($B764="Production",INDEX(tbl_Production[Expected Revenue Ex GST],$BI764),INDEX(tbl_Consulting[Expected Revenue Ex GST],$BI764)))))</f>
        <v/>
      </c>
      <c r="O764" s="11">
        <f>IF(AND($C764="",NOT(COUNTA($S764:$BB764)&gt;0)),"",SUM(U764,X764,AA764,AD764,AG764,AJ764,AM764,AP764,AS764,AV764,AY764,BB764))</f>
        <v/>
      </c>
      <c r="P764" s="11">
        <f>IF(O764="","",N(N764)-O764)</f>
        <v/>
      </c>
      <c r="Q764" s="10">
        <f>IF(O764="","",IF($C764="","Invoice on empty job row",IF(N764="",IF(ROUND(O764,2)=0,"No dept value","Invoiced - no dept value"),IF(ROUND(O764,2)=0,"Not invoiced - to invoice",IF(ROUND(P764,2)=0,"Agrees",IF(P764&gt;0,"Dept higher - to invoice","Xero higher - check dept"))))))</f>
        <v/>
      </c>
      <c r="R764" s="10">
        <f>IF(AND($C764="",NOT(COUNTA($S764:$BB764)&gt;0),$BI764&lt;&gt;""),"",MID(IF($BI764="","; Row ID not found on the department sheet - a row was deleted","")&amp;IF(AND($C764="",COUNTA($S764:$BB764)&gt;0),"; Invoice entered but the department row has no job number","")&amp;IF(E764="CHECK","; Job number not in the Xero job list","")&amp;IF(AND($C764&lt;&gt;"",COUNTIF($C$7:$C$1506,$C764)&gt;1),"; Job number on more than one row","")&amp;IF(AND($C764&lt;&gt;"",H764=""),"; Dept has not set a cost centre","")&amp;IF(AND($C764&lt;&gt;"",J764=""),"; Dept has not set a tax code","")&amp;IF(AND($C764&lt;&gt;"",N764=""),"; Dept has not entered an expected value","")&amp;IF((IF(OR(COUNTA(S764:U764)=0,AND(COUNTA(S764:U764)=3,ISNUMBER(U764))),0,1)+IF(OR(COUNTA(V764:X764)=0,AND(COUNTA(V764:X764)=3,ISNUMBER(X764))),0,1)+IF(OR(COUNTA(Y764:AA764)=0,AND(COUNTA(Y764:AA764)=3,ISNUMBER(AA764))),0,1)+IF(OR(COUNTA(AB764:AD764)=0,AND(COUNTA(AB764:AD764)=3,ISNUMBER(AD764))),0,1)+IF(OR(COUNTA(AE764:AG764)=0,AND(COUNTA(AE764:AG764)=3,ISNUMBER(AG764))),0,1)+IF(OR(COUNTA(AH764:AJ764)=0,AND(COUNTA(AH764:AJ764)=3,ISNUMBER(AJ764))),0,1)+IF(OR(COUNTA(AK764:AM764)=0,AND(COUNTA(AK764:AM764)=3,ISNUMBER(AM764))),0,1)+IF(OR(COUNTA(AN764:AP764)=0,AND(COUNTA(AN764:AP764)=3,ISNUMBER(AP764))),0,1)+IF(OR(COUNTA(AQ764:AS764)=0,AND(COUNTA(AQ764:AS764)=3,ISNUMBER(AS764))),0,1)+IF(OR(COUNTA(AT764:AV764)=0,AND(COUNTA(AT764:AV764)=3,ISNUMBER(AV764))),0,1)+IF(OR(COUNTA(AW764:AY764)=0,AND(COUNTA(AW764:AY764)=3,ISNUMBER(AY764))),0,1)+IF(OR(COUNTA(AZ764:BB764)=0,AND(COUNTA(AZ764:BB764)=3,ISNUMBER(BB764))),0,1))&gt;0,"; An invoice is incomplete (needs No, Date and a number in Ex GST)","")&amp;IF((IF(T764="",0,IFERROR(--(EOMONTH(T764,0)&lt;&gt;S$5),1))+IF(W764="",0,IFERROR(--(EOMONTH(W764,0)&lt;&gt;V$5),1))+IF(Z764="",0,IFERROR(--(EOMONTH(Z764,0)&lt;&gt;Y$5),1))+IF(AC764="",0,IFERROR(--(EOMONTH(AC764,0)&lt;&gt;AB$5),1))+IF(AF764="",0,IFERROR(--(EOMONTH(AF764,0)&lt;&gt;AE$5),1))+IF(AI764="",0,IFERROR(--(EOMONTH(AI764,0)&lt;&gt;AH$5),1))+IF(AL764="",0,IFERROR(--(EOMONTH(AL764,0)&lt;&gt;AK$5),1))+IF(AO764="",0,IFERROR(--(EOMONTH(AO764,0)&lt;&gt;AN$5),1))+IF(AR764="",0,IFERROR(--(EOMONTH(AR764,0)&lt;&gt;AQ$5),1))+IF(AU764="",0,IFERROR(--(EOMONTH(AU764,0)&lt;&gt;AT$5),1))+IF(AX764="",0,IFERROR(--(EOMONTH(AX764,0)&lt;&gt;AW$5),1))+IF(BA764="",0,IFERROR(--(EOMONTH(BA764,0)&lt;&gt;AZ$5),1)))&gt;0,"; An invoice date is not in the month it is typed under",""),3,500))</f>
        <v/>
      </c>
      <c r="S764" s="12" t="n"/>
      <c r="T764" s="13" t="n"/>
      <c r="U764" s="14" t="n"/>
      <c r="V764" s="12" t="n"/>
      <c r="W764" s="13" t="n"/>
      <c r="X764" s="14" t="n"/>
      <c r="Y764" s="12" t="n"/>
      <c r="Z764" s="13" t="n"/>
      <c r="AA764" s="14" t="n"/>
      <c r="AB764" s="12" t="n"/>
      <c r="AC764" s="13" t="n"/>
      <c r="AD764" s="14" t="n"/>
      <c r="AE764" s="12" t="n"/>
      <c r="AF764" s="13" t="n"/>
      <c r="AG764" s="14" t="n"/>
      <c r="AH764" s="12" t="n"/>
      <c r="AI764" s="13" t="n"/>
      <c r="AJ764" s="14" t="n"/>
      <c r="AK764" s="12" t="n"/>
      <c r="AL764" s="13" t="n"/>
      <c r="AM764" s="14" t="n"/>
      <c r="AN764" s="12" t="n"/>
      <c r="AO764" s="13" t="n"/>
      <c r="AP764" s="14" t="n"/>
      <c r="AQ764" s="12" t="n"/>
      <c r="AR764" s="13" t="n"/>
      <c r="AS764" s="14" t="n"/>
      <c r="AT764" s="12" t="n"/>
      <c r="AU764" s="13" t="n"/>
      <c r="AV764" s="14" t="n"/>
      <c r="AW764" s="12" t="n"/>
      <c r="AX764" s="13" t="n"/>
      <c r="AY764" s="14" t="n"/>
      <c r="AZ764" s="12" t="n"/>
      <c r="BA764" s="13" t="n"/>
      <c r="BB764" s="14" t="n"/>
      <c r="BC764" s="11">
        <f>IF(O764="","",IF(J764="GST 10%",ROUND(O764*set_GSTRate,2),0))</f>
        <v/>
      </c>
      <c r="BD764" s="11">
        <f>IF(O764="","",O764+BC764)</f>
        <v/>
      </c>
      <c r="BE764" s="15">
        <f>IF(O764="","",COUNTA(S764,V764,Y764,AB764,AE764,AH764,AK764,AN764,AQ764,AT764,AW764,AZ764))</f>
        <v/>
      </c>
      <c r="BF764" s="16">
        <f>IF(COUNT(T764,W764,Z764,AC764,AF764,AI764,AL764,AO764,AR764,AU764,AX764,BA764)=0,"",MAX(T764,W764,Z764,AC764,AF764,AI764,AL764,AO764,AR764,AU764,AX764,BA764))</f>
        <v/>
      </c>
      <c r="BG764" s="10">
        <f>MID(IF(S764="","",", "&amp;S764)&amp;IF(V764="","",", "&amp;V764)&amp;IF(Y764="","",", "&amp;Y764)&amp;IF(AB764="","",", "&amp;AB764)&amp;IF(AE764="","",", "&amp;AE764)&amp;IF(AH764="","",", "&amp;AH764)&amp;IF(AK764="","",", "&amp;AK764)&amp;IF(AN764="","",", "&amp;AN764)&amp;IF(AQ764="","",", "&amp;AQ764)&amp;IF(AT764="","",", "&amp;AT764)&amp;IF(AW764="","",", "&amp;AW764)&amp;IF(AZ764="","",", "&amp;AZ764),3,500)</f>
        <v/>
      </c>
      <c r="BH764" s="12" t="n"/>
      <c r="BI764" s="15">
        <f>IFERROR(MATCH($A764,IF($B764="Onsite",tbl_Onsite[Row ID],IF($B764="Production",tbl_Production[Row ID],tbl_Consulting[Row ID])),0),"")</f>
        <v/>
      </c>
    </row>
    <row r="765">
      <c r="A765" s="10" t="inlineStr">
        <is>
          <t>PRD-0259</t>
        </is>
      </c>
      <c r="B765" s="10" t="inlineStr">
        <is>
          <t>Production</t>
        </is>
      </c>
      <c r="C765" s="10">
        <f>IF($BI765="","",IF($B765="Onsite",INDEX(tbl_Onsite[Job Number],$BI765),IF($B765="Production",INDEX(tbl_Production[Job Number],$BI765),INDEX(tbl_Consulting[Job Number],$BI765)))&amp;"")</f>
        <v/>
      </c>
      <c r="D765" s="10">
        <f>IF($BI765="","",IF($B765="Onsite",INDEX(tbl_Onsite[Client],$BI765),IF($B765="Production",INDEX(tbl_Production[Client],$BI765),INDEX(tbl_Consulting[Client],$BI765)))&amp;"")</f>
        <v/>
      </c>
      <c r="E765" s="10">
        <f>IF($C765="","",IF(COUNTIF(lst_Jobs,$C765)&gt;0,"OK","CHECK"))</f>
        <v/>
      </c>
      <c r="F765" s="10">
        <f>IF($C765="","",IFERROR(INDEX(lst_JobName,MATCH($C765,lst_Jobs,0)),""))</f>
        <v/>
      </c>
      <c r="G765" s="10">
        <f>IF($BI765="","",IF($B765="Onsite",INDEX(tbl_Onsite[Job Description],$BI765),IF($B765="Production",INDEX(tbl_Production[Job Description],$BI765),INDEX(tbl_Consulting[Job Description],$BI765)))&amp;"")</f>
        <v/>
      </c>
      <c r="H765" s="10">
        <f>IF($BI765="","",IF($B765="Onsite",INDEX(tbl_Onsite[Cost Centre],$BI765),IF($B765="Production",INDEX(tbl_Production[Cost Centre],$BI765),INDEX(tbl_Consulting[Cost Centre],$BI765)))&amp;"")</f>
        <v/>
      </c>
      <c r="I765" s="10">
        <f>IF($BI765="","",IF($B765="Onsite",INDEX(tbl_Onsite[Invoice Type],$BI765),IF($B765="Production",INDEX(tbl_Production[Invoice Type],$BI765),INDEX(tbl_Consulting[Invoice Type],$BI765)))&amp;"")</f>
        <v/>
      </c>
      <c r="J765" s="10">
        <f>IF($BI765="","",IF($B765="Onsite",INDEX(tbl_Onsite[Tax Code],$BI765),IF($B765="Production",INDEX(tbl_Production[Tax Code],$BI765),INDEX(tbl_Consulting[Tax Code],$BI765)))&amp;"")</f>
        <v/>
      </c>
      <c r="K765" s="10">
        <f>IF(H765="","",IFERROR(INDEX(lst_CCtoGL,MATCH(H765,lst_CCforGL,0)),""))</f>
        <v/>
      </c>
      <c r="L765" s="10">
        <f>IF($BI765="","",IF($B765="Onsite",INDEX(tbl_Onsite[PO / Reference],$BI765),IF($B765="Production",INDEX(tbl_Production[Current RMS No],$BI765),INDEX(tbl_Consulting[Qwilr Quote],$BI765)))&amp;"")</f>
        <v/>
      </c>
      <c r="M765" s="10">
        <f>IF($BI765="","",IF($B765="Onsite",INDEX(tbl_Onsite[Notes],$BI765),IF($B765="Production",INDEX(tbl_Production[Notes],$BI765),INDEX(tbl_Consulting[Notes],$BI765)))&amp;"")</f>
        <v/>
      </c>
      <c r="N765" s="11">
        <f>IF($BI765="","",IF(IF($B765="Onsite",INDEX(tbl_Onsite[Expected Revenue Ex GST],$BI765),IF($B765="Production",INDEX(tbl_Production[Expected Revenue Ex GST],$BI765),INDEX(tbl_Consulting[Expected Revenue Ex GST],$BI765)))="","",IF($B765="Onsite",INDEX(tbl_Onsite[Expected Revenue Ex GST],$BI765),IF($B765="Production",INDEX(tbl_Production[Expected Revenue Ex GST],$BI765),INDEX(tbl_Consulting[Expected Revenue Ex GST],$BI765)))))</f>
        <v/>
      </c>
      <c r="O765" s="11">
        <f>IF(AND($C765="",NOT(COUNTA($S765:$BB765)&gt;0)),"",SUM(U765,X765,AA765,AD765,AG765,AJ765,AM765,AP765,AS765,AV765,AY765,BB765))</f>
        <v/>
      </c>
      <c r="P765" s="11">
        <f>IF(O765="","",N(N765)-O765)</f>
        <v/>
      </c>
      <c r="Q765" s="10">
        <f>IF(O765="","",IF($C765="","Invoice on empty job row",IF(N765="",IF(ROUND(O765,2)=0,"No dept value","Invoiced - no dept value"),IF(ROUND(O765,2)=0,"Not invoiced - to invoice",IF(ROUND(P765,2)=0,"Agrees",IF(P765&gt;0,"Dept higher - to invoice","Xero higher - check dept"))))))</f>
        <v/>
      </c>
      <c r="R765" s="10">
        <f>IF(AND($C765="",NOT(COUNTA($S765:$BB765)&gt;0),$BI765&lt;&gt;""),"",MID(IF($BI765="","; Row ID not found on the department sheet - a row was deleted","")&amp;IF(AND($C765="",COUNTA($S765:$BB765)&gt;0),"; Invoice entered but the department row has no job number","")&amp;IF(E765="CHECK","; Job number not in the Xero job list","")&amp;IF(AND($C765&lt;&gt;"",COUNTIF($C$7:$C$1506,$C765)&gt;1),"; Job number on more than one row","")&amp;IF(AND($C765&lt;&gt;"",H765=""),"; Dept has not set a cost centre","")&amp;IF(AND($C765&lt;&gt;"",J765=""),"; Dept has not set a tax code","")&amp;IF(AND($C765&lt;&gt;"",N765=""),"; Dept has not entered an expected value","")&amp;IF((IF(OR(COUNTA(S765:U765)=0,AND(COUNTA(S765:U765)=3,ISNUMBER(U765))),0,1)+IF(OR(COUNTA(V765:X765)=0,AND(COUNTA(V765:X765)=3,ISNUMBER(X765))),0,1)+IF(OR(COUNTA(Y765:AA765)=0,AND(COUNTA(Y765:AA765)=3,ISNUMBER(AA765))),0,1)+IF(OR(COUNTA(AB765:AD765)=0,AND(COUNTA(AB765:AD765)=3,ISNUMBER(AD765))),0,1)+IF(OR(COUNTA(AE765:AG765)=0,AND(COUNTA(AE765:AG765)=3,ISNUMBER(AG765))),0,1)+IF(OR(COUNTA(AH765:AJ765)=0,AND(COUNTA(AH765:AJ765)=3,ISNUMBER(AJ765))),0,1)+IF(OR(COUNTA(AK765:AM765)=0,AND(COUNTA(AK765:AM765)=3,ISNUMBER(AM765))),0,1)+IF(OR(COUNTA(AN765:AP765)=0,AND(COUNTA(AN765:AP765)=3,ISNUMBER(AP765))),0,1)+IF(OR(COUNTA(AQ765:AS765)=0,AND(COUNTA(AQ765:AS765)=3,ISNUMBER(AS765))),0,1)+IF(OR(COUNTA(AT765:AV765)=0,AND(COUNTA(AT765:AV765)=3,ISNUMBER(AV765))),0,1)+IF(OR(COUNTA(AW765:AY765)=0,AND(COUNTA(AW765:AY765)=3,ISNUMBER(AY765))),0,1)+IF(OR(COUNTA(AZ765:BB765)=0,AND(COUNTA(AZ765:BB765)=3,ISNUMBER(BB765))),0,1))&gt;0,"; An invoice is incomplete (needs No, Date and a number in Ex GST)","")&amp;IF((IF(T765="",0,IFERROR(--(EOMONTH(T765,0)&lt;&gt;S$5),1))+IF(W765="",0,IFERROR(--(EOMONTH(W765,0)&lt;&gt;V$5),1))+IF(Z765="",0,IFERROR(--(EOMONTH(Z765,0)&lt;&gt;Y$5),1))+IF(AC765="",0,IFERROR(--(EOMONTH(AC765,0)&lt;&gt;AB$5),1))+IF(AF765="",0,IFERROR(--(EOMONTH(AF765,0)&lt;&gt;AE$5),1))+IF(AI765="",0,IFERROR(--(EOMONTH(AI765,0)&lt;&gt;AH$5),1))+IF(AL765="",0,IFERROR(--(EOMONTH(AL765,0)&lt;&gt;AK$5),1))+IF(AO765="",0,IFERROR(--(EOMONTH(AO765,0)&lt;&gt;AN$5),1))+IF(AR765="",0,IFERROR(--(EOMONTH(AR765,0)&lt;&gt;AQ$5),1))+IF(AU765="",0,IFERROR(--(EOMONTH(AU765,0)&lt;&gt;AT$5),1))+IF(AX765="",0,IFERROR(--(EOMONTH(AX765,0)&lt;&gt;AW$5),1))+IF(BA765="",0,IFERROR(--(EOMONTH(BA765,0)&lt;&gt;AZ$5),1)))&gt;0,"; An invoice date is not in the month it is typed under",""),3,500))</f>
        <v/>
      </c>
      <c r="S765" s="12" t="n"/>
      <c r="T765" s="13" t="n"/>
      <c r="U765" s="14" t="n"/>
      <c r="V765" s="12" t="n"/>
      <c r="W765" s="13" t="n"/>
      <c r="X765" s="14" t="n"/>
      <c r="Y765" s="12" t="n"/>
      <c r="Z765" s="13" t="n"/>
      <c r="AA765" s="14" t="n"/>
      <c r="AB765" s="12" t="n"/>
      <c r="AC765" s="13" t="n"/>
      <c r="AD765" s="14" t="n"/>
      <c r="AE765" s="12" t="n"/>
      <c r="AF765" s="13" t="n"/>
      <c r="AG765" s="14" t="n"/>
      <c r="AH765" s="12" t="n"/>
      <c r="AI765" s="13" t="n"/>
      <c r="AJ765" s="14" t="n"/>
      <c r="AK765" s="12" t="n"/>
      <c r="AL765" s="13" t="n"/>
      <c r="AM765" s="14" t="n"/>
      <c r="AN765" s="12" t="n"/>
      <c r="AO765" s="13" t="n"/>
      <c r="AP765" s="14" t="n"/>
      <c r="AQ765" s="12" t="n"/>
      <c r="AR765" s="13" t="n"/>
      <c r="AS765" s="14" t="n"/>
      <c r="AT765" s="12" t="n"/>
      <c r="AU765" s="13" t="n"/>
      <c r="AV765" s="14" t="n"/>
      <c r="AW765" s="12" t="n"/>
      <c r="AX765" s="13" t="n"/>
      <c r="AY765" s="14" t="n"/>
      <c r="AZ765" s="12" t="n"/>
      <c r="BA765" s="13" t="n"/>
      <c r="BB765" s="14" t="n"/>
      <c r="BC765" s="11">
        <f>IF(O765="","",IF(J765="GST 10%",ROUND(O765*set_GSTRate,2),0))</f>
        <v/>
      </c>
      <c r="BD765" s="11">
        <f>IF(O765="","",O765+BC765)</f>
        <v/>
      </c>
      <c r="BE765" s="15">
        <f>IF(O765="","",COUNTA(S765,V765,Y765,AB765,AE765,AH765,AK765,AN765,AQ765,AT765,AW765,AZ765))</f>
        <v/>
      </c>
      <c r="BF765" s="16">
        <f>IF(COUNT(T765,W765,Z765,AC765,AF765,AI765,AL765,AO765,AR765,AU765,AX765,BA765)=0,"",MAX(T765,W765,Z765,AC765,AF765,AI765,AL765,AO765,AR765,AU765,AX765,BA765))</f>
        <v/>
      </c>
      <c r="BG765" s="10">
        <f>MID(IF(S765="","",", "&amp;S765)&amp;IF(V765="","",", "&amp;V765)&amp;IF(Y765="","",", "&amp;Y765)&amp;IF(AB765="","",", "&amp;AB765)&amp;IF(AE765="","",", "&amp;AE765)&amp;IF(AH765="","",", "&amp;AH765)&amp;IF(AK765="","",", "&amp;AK765)&amp;IF(AN765="","",", "&amp;AN765)&amp;IF(AQ765="","",", "&amp;AQ765)&amp;IF(AT765="","",", "&amp;AT765)&amp;IF(AW765="","",", "&amp;AW765)&amp;IF(AZ765="","",", "&amp;AZ765),3,500)</f>
        <v/>
      </c>
      <c r="BH765" s="12" t="n"/>
      <c r="BI765" s="15">
        <f>IFERROR(MATCH($A765,IF($B765="Onsite",tbl_Onsite[Row ID],IF($B765="Production",tbl_Production[Row ID],tbl_Consulting[Row ID])),0),"")</f>
        <v/>
      </c>
    </row>
    <row r="766">
      <c r="A766" s="10" t="inlineStr">
        <is>
          <t>PRD-0260</t>
        </is>
      </c>
      <c r="B766" s="10" t="inlineStr">
        <is>
          <t>Production</t>
        </is>
      </c>
      <c r="C766" s="10">
        <f>IF($BI766="","",IF($B766="Onsite",INDEX(tbl_Onsite[Job Number],$BI766),IF($B766="Production",INDEX(tbl_Production[Job Number],$BI766),INDEX(tbl_Consulting[Job Number],$BI766)))&amp;"")</f>
        <v/>
      </c>
      <c r="D766" s="10">
        <f>IF($BI766="","",IF($B766="Onsite",INDEX(tbl_Onsite[Client],$BI766),IF($B766="Production",INDEX(tbl_Production[Client],$BI766),INDEX(tbl_Consulting[Client],$BI766)))&amp;"")</f>
        <v/>
      </c>
      <c r="E766" s="10">
        <f>IF($C766="","",IF(COUNTIF(lst_Jobs,$C766)&gt;0,"OK","CHECK"))</f>
        <v/>
      </c>
      <c r="F766" s="10">
        <f>IF($C766="","",IFERROR(INDEX(lst_JobName,MATCH($C766,lst_Jobs,0)),""))</f>
        <v/>
      </c>
      <c r="G766" s="10">
        <f>IF($BI766="","",IF($B766="Onsite",INDEX(tbl_Onsite[Job Description],$BI766),IF($B766="Production",INDEX(tbl_Production[Job Description],$BI766),INDEX(tbl_Consulting[Job Description],$BI766)))&amp;"")</f>
        <v/>
      </c>
      <c r="H766" s="10">
        <f>IF($BI766="","",IF($B766="Onsite",INDEX(tbl_Onsite[Cost Centre],$BI766),IF($B766="Production",INDEX(tbl_Production[Cost Centre],$BI766),INDEX(tbl_Consulting[Cost Centre],$BI766)))&amp;"")</f>
        <v/>
      </c>
      <c r="I766" s="10">
        <f>IF($BI766="","",IF($B766="Onsite",INDEX(tbl_Onsite[Invoice Type],$BI766),IF($B766="Production",INDEX(tbl_Production[Invoice Type],$BI766),INDEX(tbl_Consulting[Invoice Type],$BI766)))&amp;"")</f>
        <v/>
      </c>
      <c r="J766" s="10">
        <f>IF($BI766="","",IF($B766="Onsite",INDEX(tbl_Onsite[Tax Code],$BI766),IF($B766="Production",INDEX(tbl_Production[Tax Code],$BI766),INDEX(tbl_Consulting[Tax Code],$BI766)))&amp;"")</f>
        <v/>
      </c>
      <c r="K766" s="10">
        <f>IF(H766="","",IFERROR(INDEX(lst_CCtoGL,MATCH(H766,lst_CCforGL,0)),""))</f>
        <v/>
      </c>
      <c r="L766" s="10">
        <f>IF($BI766="","",IF($B766="Onsite",INDEX(tbl_Onsite[PO / Reference],$BI766),IF($B766="Production",INDEX(tbl_Production[Current RMS No],$BI766),INDEX(tbl_Consulting[Qwilr Quote],$BI766)))&amp;"")</f>
        <v/>
      </c>
      <c r="M766" s="10">
        <f>IF($BI766="","",IF($B766="Onsite",INDEX(tbl_Onsite[Notes],$BI766),IF($B766="Production",INDEX(tbl_Production[Notes],$BI766),INDEX(tbl_Consulting[Notes],$BI766)))&amp;"")</f>
        <v/>
      </c>
      <c r="N766" s="11">
        <f>IF($BI766="","",IF(IF($B766="Onsite",INDEX(tbl_Onsite[Expected Revenue Ex GST],$BI766),IF($B766="Production",INDEX(tbl_Production[Expected Revenue Ex GST],$BI766),INDEX(tbl_Consulting[Expected Revenue Ex GST],$BI766)))="","",IF($B766="Onsite",INDEX(tbl_Onsite[Expected Revenue Ex GST],$BI766),IF($B766="Production",INDEX(tbl_Production[Expected Revenue Ex GST],$BI766),INDEX(tbl_Consulting[Expected Revenue Ex GST],$BI766)))))</f>
        <v/>
      </c>
      <c r="O766" s="11">
        <f>IF(AND($C766="",NOT(COUNTA($S766:$BB766)&gt;0)),"",SUM(U766,X766,AA766,AD766,AG766,AJ766,AM766,AP766,AS766,AV766,AY766,BB766))</f>
        <v/>
      </c>
      <c r="P766" s="11">
        <f>IF(O766="","",N(N766)-O766)</f>
        <v/>
      </c>
      <c r="Q766" s="10">
        <f>IF(O766="","",IF($C766="","Invoice on empty job row",IF(N766="",IF(ROUND(O766,2)=0,"No dept value","Invoiced - no dept value"),IF(ROUND(O766,2)=0,"Not invoiced - to invoice",IF(ROUND(P766,2)=0,"Agrees",IF(P766&gt;0,"Dept higher - to invoice","Xero higher - check dept"))))))</f>
        <v/>
      </c>
      <c r="R766" s="10">
        <f>IF(AND($C766="",NOT(COUNTA($S766:$BB766)&gt;0),$BI766&lt;&gt;""),"",MID(IF($BI766="","; Row ID not found on the department sheet - a row was deleted","")&amp;IF(AND($C766="",COUNTA($S766:$BB766)&gt;0),"; Invoice entered but the department row has no job number","")&amp;IF(E766="CHECK","; Job number not in the Xero job list","")&amp;IF(AND($C766&lt;&gt;"",COUNTIF($C$7:$C$1506,$C766)&gt;1),"; Job number on more than one row","")&amp;IF(AND($C766&lt;&gt;"",H766=""),"; Dept has not set a cost centre","")&amp;IF(AND($C766&lt;&gt;"",J766=""),"; Dept has not set a tax code","")&amp;IF(AND($C766&lt;&gt;"",N766=""),"; Dept has not entered an expected value","")&amp;IF((IF(OR(COUNTA(S766:U766)=0,AND(COUNTA(S766:U766)=3,ISNUMBER(U766))),0,1)+IF(OR(COUNTA(V766:X766)=0,AND(COUNTA(V766:X766)=3,ISNUMBER(X766))),0,1)+IF(OR(COUNTA(Y766:AA766)=0,AND(COUNTA(Y766:AA766)=3,ISNUMBER(AA766))),0,1)+IF(OR(COUNTA(AB766:AD766)=0,AND(COUNTA(AB766:AD766)=3,ISNUMBER(AD766))),0,1)+IF(OR(COUNTA(AE766:AG766)=0,AND(COUNTA(AE766:AG766)=3,ISNUMBER(AG766))),0,1)+IF(OR(COUNTA(AH766:AJ766)=0,AND(COUNTA(AH766:AJ766)=3,ISNUMBER(AJ766))),0,1)+IF(OR(COUNTA(AK766:AM766)=0,AND(COUNTA(AK766:AM766)=3,ISNUMBER(AM766))),0,1)+IF(OR(COUNTA(AN766:AP766)=0,AND(COUNTA(AN766:AP766)=3,ISNUMBER(AP766))),0,1)+IF(OR(COUNTA(AQ766:AS766)=0,AND(COUNTA(AQ766:AS766)=3,ISNUMBER(AS766))),0,1)+IF(OR(COUNTA(AT766:AV766)=0,AND(COUNTA(AT766:AV766)=3,ISNUMBER(AV766))),0,1)+IF(OR(COUNTA(AW766:AY766)=0,AND(COUNTA(AW766:AY766)=3,ISNUMBER(AY766))),0,1)+IF(OR(COUNTA(AZ766:BB766)=0,AND(COUNTA(AZ766:BB766)=3,ISNUMBER(BB766))),0,1))&gt;0,"; An invoice is incomplete (needs No, Date and a number in Ex GST)","")&amp;IF((IF(T766="",0,IFERROR(--(EOMONTH(T766,0)&lt;&gt;S$5),1))+IF(W766="",0,IFERROR(--(EOMONTH(W766,0)&lt;&gt;V$5),1))+IF(Z766="",0,IFERROR(--(EOMONTH(Z766,0)&lt;&gt;Y$5),1))+IF(AC766="",0,IFERROR(--(EOMONTH(AC766,0)&lt;&gt;AB$5),1))+IF(AF766="",0,IFERROR(--(EOMONTH(AF766,0)&lt;&gt;AE$5),1))+IF(AI766="",0,IFERROR(--(EOMONTH(AI766,0)&lt;&gt;AH$5),1))+IF(AL766="",0,IFERROR(--(EOMONTH(AL766,0)&lt;&gt;AK$5),1))+IF(AO766="",0,IFERROR(--(EOMONTH(AO766,0)&lt;&gt;AN$5),1))+IF(AR766="",0,IFERROR(--(EOMONTH(AR766,0)&lt;&gt;AQ$5),1))+IF(AU766="",0,IFERROR(--(EOMONTH(AU766,0)&lt;&gt;AT$5),1))+IF(AX766="",0,IFERROR(--(EOMONTH(AX766,0)&lt;&gt;AW$5),1))+IF(BA766="",0,IFERROR(--(EOMONTH(BA766,0)&lt;&gt;AZ$5),1)))&gt;0,"; An invoice date is not in the month it is typed under",""),3,500))</f>
        <v/>
      </c>
      <c r="S766" s="12" t="n"/>
      <c r="T766" s="13" t="n"/>
      <c r="U766" s="14" t="n"/>
      <c r="V766" s="12" t="n"/>
      <c r="W766" s="13" t="n"/>
      <c r="X766" s="14" t="n"/>
      <c r="Y766" s="12" t="n"/>
      <c r="Z766" s="13" t="n"/>
      <c r="AA766" s="14" t="n"/>
      <c r="AB766" s="12" t="n"/>
      <c r="AC766" s="13" t="n"/>
      <c r="AD766" s="14" t="n"/>
      <c r="AE766" s="12" t="n"/>
      <c r="AF766" s="13" t="n"/>
      <c r="AG766" s="14" t="n"/>
      <c r="AH766" s="12" t="n"/>
      <c r="AI766" s="13" t="n"/>
      <c r="AJ766" s="14" t="n"/>
      <c r="AK766" s="12" t="n"/>
      <c r="AL766" s="13" t="n"/>
      <c r="AM766" s="14" t="n"/>
      <c r="AN766" s="12" t="n"/>
      <c r="AO766" s="13" t="n"/>
      <c r="AP766" s="14" t="n"/>
      <c r="AQ766" s="12" t="n"/>
      <c r="AR766" s="13" t="n"/>
      <c r="AS766" s="14" t="n"/>
      <c r="AT766" s="12" t="n"/>
      <c r="AU766" s="13" t="n"/>
      <c r="AV766" s="14" t="n"/>
      <c r="AW766" s="12" t="n"/>
      <c r="AX766" s="13" t="n"/>
      <c r="AY766" s="14" t="n"/>
      <c r="AZ766" s="12" t="n"/>
      <c r="BA766" s="13" t="n"/>
      <c r="BB766" s="14" t="n"/>
      <c r="BC766" s="11">
        <f>IF(O766="","",IF(J766="GST 10%",ROUND(O766*set_GSTRate,2),0))</f>
        <v/>
      </c>
      <c r="BD766" s="11">
        <f>IF(O766="","",O766+BC766)</f>
        <v/>
      </c>
      <c r="BE766" s="15">
        <f>IF(O766="","",COUNTA(S766,V766,Y766,AB766,AE766,AH766,AK766,AN766,AQ766,AT766,AW766,AZ766))</f>
        <v/>
      </c>
      <c r="BF766" s="16">
        <f>IF(COUNT(T766,W766,Z766,AC766,AF766,AI766,AL766,AO766,AR766,AU766,AX766,BA766)=0,"",MAX(T766,W766,Z766,AC766,AF766,AI766,AL766,AO766,AR766,AU766,AX766,BA766))</f>
        <v/>
      </c>
      <c r="BG766" s="10">
        <f>MID(IF(S766="","",", "&amp;S766)&amp;IF(V766="","",", "&amp;V766)&amp;IF(Y766="","",", "&amp;Y766)&amp;IF(AB766="","",", "&amp;AB766)&amp;IF(AE766="","",", "&amp;AE766)&amp;IF(AH766="","",", "&amp;AH766)&amp;IF(AK766="","",", "&amp;AK766)&amp;IF(AN766="","",", "&amp;AN766)&amp;IF(AQ766="","",", "&amp;AQ766)&amp;IF(AT766="","",", "&amp;AT766)&amp;IF(AW766="","",", "&amp;AW766)&amp;IF(AZ766="","",", "&amp;AZ766),3,500)</f>
        <v/>
      </c>
      <c r="BH766" s="12" t="n"/>
      <c r="BI766" s="15">
        <f>IFERROR(MATCH($A766,IF($B766="Onsite",tbl_Onsite[Row ID],IF($B766="Production",tbl_Production[Row ID],tbl_Consulting[Row ID])),0),"")</f>
        <v/>
      </c>
    </row>
    <row r="767">
      <c r="A767" s="10" t="inlineStr">
        <is>
          <t>PRD-0261</t>
        </is>
      </c>
      <c r="B767" s="10" t="inlineStr">
        <is>
          <t>Production</t>
        </is>
      </c>
      <c r="C767" s="10">
        <f>IF($BI767="","",IF($B767="Onsite",INDEX(tbl_Onsite[Job Number],$BI767),IF($B767="Production",INDEX(tbl_Production[Job Number],$BI767),INDEX(tbl_Consulting[Job Number],$BI767)))&amp;"")</f>
        <v/>
      </c>
      <c r="D767" s="10">
        <f>IF($BI767="","",IF($B767="Onsite",INDEX(tbl_Onsite[Client],$BI767),IF($B767="Production",INDEX(tbl_Production[Client],$BI767),INDEX(tbl_Consulting[Client],$BI767)))&amp;"")</f>
        <v/>
      </c>
      <c r="E767" s="10">
        <f>IF($C767="","",IF(COUNTIF(lst_Jobs,$C767)&gt;0,"OK","CHECK"))</f>
        <v/>
      </c>
      <c r="F767" s="10">
        <f>IF($C767="","",IFERROR(INDEX(lst_JobName,MATCH($C767,lst_Jobs,0)),""))</f>
        <v/>
      </c>
      <c r="G767" s="10">
        <f>IF($BI767="","",IF($B767="Onsite",INDEX(tbl_Onsite[Job Description],$BI767),IF($B767="Production",INDEX(tbl_Production[Job Description],$BI767),INDEX(tbl_Consulting[Job Description],$BI767)))&amp;"")</f>
        <v/>
      </c>
      <c r="H767" s="10">
        <f>IF($BI767="","",IF($B767="Onsite",INDEX(tbl_Onsite[Cost Centre],$BI767),IF($B767="Production",INDEX(tbl_Production[Cost Centre],$BI767),INDEX(tbl_Consulting[Cost Centre],$BI767)))&amp;"")</f>
        <v/>
      </c>
      <c r="I767" s="10">
        <f>IF($BI767="","",IF($B767="Onsite",INDEX(tbl_Onsite[Invoice Type],$BI767),IF($B767="Production",INDEX(tbl_Production[Invoice Type],$BI767),INDEX(tbl_Consulting[Invoice Type],$BI767)))&amp;"")</f>
        <v/>
      </c>
      <c r="J767" s="10">
        <f>IF($BI767="","",IF($B767="Onsite",INDEX(tbl_Onsite[Tax Code],$BI767),IF($B767="Production",INDEX(tbl_Production[Tax Code],$BI767),INDEX(tbl_Consulting[Tax Code],$BI767)))&amp;"")</f>
        <v/>
      </c>
      <c r="K767" s="10">
        <f>IF(H767="","",IFERROR(INDEX(lst_CCtoGL,MATCH(H767,lst_CCforGL,0)),""))</f>
        <v/>
      </c>
      <c r="L767" s="10">
        <f>IF($BI767="","",IF($B767="Onsite",INDEX(tbl_Onsite[PO / Reference],$BI767),IF($B767="Production",INDEX(tbl_Production[Current RMS No],$BI767),INDEX(tbl_Consulting[Qwilr Quote],$BI767)))&amp;"")</f>
        <v/>
      </c>
      <c r="M767" s="10">
        <f>IF($BI767="","",IF($B767="Onsite",INDEX(tbl_Onsite[Notes],$BI767),IF($B767="Production",INDEX(tbl_Production[Notes],$BI767),INDEX(tbl_Consulting[Notes],$BI767)))&amp;"")</f>
        <v/>
      </c>
      <c r="N767" s="11">
        <f>IF($BI767="","",IF(IF($B767="Onsite",INDEX(tbl_Onsite[Expected Revenue Ex GST],$BI767),IF($B767="Production",INDEX(tbl_Production[Expected Revenue Ex GST],$BI767),INDEX(tbl_Consulting[Expected Revenue Ex GST],$BI767)))="","",IF($B767="Onsite",INDEX(tbl_Onsite[Expected Revenue Ex GST],$BI767),IF($B767="Production",INDEX(tbl_Production[Expected Revenue Ex GST],$BI767),INDEX(tbl_Consulting[Expected Revenue Ex GST],$BI767)))))</f>
        <v/>
      </c>
      <c r="O767" s="11">
        <f>IF(AND($C767="",NOT(COUNTA($S767:$BB767)&gt;0)),"",SUM(U767,X767,AA767,AD767,AG767,AJ767,AM767,AP767,AS767,AV767,AY767,BB767))</f>
        <v/>
      </c>
      <c r="P767" s="11">
        <f>IF(O767="","",N(N767)-O767)</f>
        <v/>
      </c>
      <c r="Q767" s="10">
        <f>IF(O767="","",IF($C767="","Invoice on empty job row",IF(N767="",IF(ROUND(O767,2)=0,"No dept value","Invoiced - no dept value"),IF(ROUND(O767,2)=0,"Not invoiced - to invoice",IF(ROUND(P767,2)=0,"Agrees",IF(P767&gt;0,"Dept higher - to invoice","Xero higher - check dept"))))))</f>
        <v/>
      </c>
      <c r="R767" s="10">
        <f>IF(AND($C767="",NOT(COUNTA($S767:$BB767)&gt;0),$BI767&lt;&gt;""),"",MID(IF($BI767="","; Row ID not found on the department sheet - a row was deleted","")&amp;IF(AND($C767="",COUNTA($S767:$BB767)&gt;0),"; Invoice entered but the department row has no job number","")&amp;IF(E767="CHECK","; Job number not in the Xero job list","")&amp;IF(AND($C767&lt;&gt;"",COUNTIF($C$7:$C$1506,$C767)&gt;1),"; Job number on more than one row","")&amp;IF(AND($C767&lt;&gt;"",H767=""),"; Dept has not set a cost centre","")&amp;IF(AND($C767&lt;&gt;"",J767=""),"; Dept has not set a tax code","")&amp;IF(AND($C767&lt;&gt;"",N767=""),"; Dept has not entered an expected value","")&amp;IF((IF(OR(COUNTA(S767:U767)=0,AND(COUNTA(S767:U767)=3,ISNUMBER(U767))),0,1)+IF(OR(COUNTA(V767:X767)=0,AND(COUNTA(V767:X767)=3,ISNUMBER(X767))),0,1)+IF(OR(COUNTA(Y767:AA767)=0,AND(COUNTA(Y767:AA767)=3,ISNUMBER(AA767))),0,1)+IF(OR(COUNTA(AB767:AD767)=0,AND(COUNTA(AB767:AD767)=3,ISNUMBER(AD767))),0,1)+IF(OR(COUNTA(AE767:AG767)=0,AND(COUNTA(AE767:AG767)=3,ISNUMBER(AG767))),0,1)+IF(OR(COUNTA(AH767:AJ767)=0,AND(COUNTA(AH767:AJ767)=3,ISNUMBER(AJ767))),0,1)+IF(OR(COUNTA(AK767:AM767)=0,AND(COUNTA(AK767:AM767)=3,ISNUMBER(AM767))),0,1)+IF(OR(COUNTA(AN767:AP767)=0,AND(COUNTA(AN767:AP767)=3,ISNUMBER(AP767))),0,1)+IF(OR(COUNTA(AQ767:AS767)=0,AND(COUNTA(AQ767:AS767)=3,ISNUMBER(AS767))),0,1)+IF(OR(COUNTA(AT767:AV767)=0,AND(COUNTA(AT767:AV767)=3,ISNUMBER(AV767))),0,1)+IF(OR(COUNTA(AW767:AY767)=0,AND(COUNTA(AW767:AY767)=3,ISNUMBER(AY767))),0,1)+IF(OR(COUNTA(AZ767:BB767)=0,AND(COUNTA(AZ767:BB767)=3,ISNUMBER(BB767))),0,1))&gt;0,"; An invoice is incomplete (needs No, Date and a number in Ex GST)","")&amp;IF((IF(T767="",0,IFERROR(--(EOMONTH(T767,0)&lt;&gt;S$5),1))+IF(W767="",0,IFERROR(--(EOMONTH(W767,0)&lt;&gt;V$5),1))+IF(Z767="",0,IFERROR(--(EOMONTH(Z767,0)&lt;&gt;Y$5),1))+IF(AC767="",0,IFERROR(--(EOMONTH(AC767,0)&lt;&gt;AB$5),1))+IF(AF767="",0,IFERROR(--(EOMONTH(AF767,0)&lt;&gt;AE$5),1))+IF(AI767="",0,IFERROR(--(EOMONTH(AI767,0)&lt;&gt;AH$5),1))+IF(AL767="",0,IFERROR(--(EOMONTH(AL767,0)&lt;&gt;AK$5),1))+IF(AO767="",0,IFERROR(--(EOMONTH(AO767,0)&lt;&gt;AN$5),1))+IF(AR767="",0,IFERROR(--(EOMONTH(AR767,0)&lt;&gt;AQ$5),1))+IF(AU767="",0,IFERROR(--(EOMONTH(AU767,0)&lt;&gt;AT$5),1))+IF(AX767="",0,IFERROR(--(EOMONTH(AX767,0)&lt;&gt;AW$5),1))+IF(BA767="",0,IFERROR(--(EOMONTH(BA767,0)&lt;&gt;AZ$5),1)))&gt;0,"; An invoice date is not in the month it is typed under",""),3,500))</f>
        <v/>
      </c>
      <c r="S767" s="12" t="n"/>
      <c r="T767" s="13" t="n"/>
      <c r="U767" s="14" t="n"/>
      <c r="V767" s="12" t="n"/>
      <c r="W767" s="13" t="n"/>
      <c r="X767" s="14" t="n"/>
      <c r="Y767" s="12" t="n"/>
      <c r="Z767" s="13" t="n"/>
      <c r="AA767" s="14" t="n"/>
      <c r="AB767" s="12" t="n"/>
      <c r="AC767" s="13" t="n"/>
      <c r="AD767" s="14" t="n"/>
      <c r="AE767" s="12" t="n"/>
      <c r="AF767" s="13" t="n"/>
      <c r="AG767" s="14" t="n"/>
      <c r="AH767" s="12" t="n"/>
      <c r="AI767" s="13" t="n"/>
      <c r="AJ767" s="14" t="n"/>
      <c r="AK767" s="12" t="n"/>
      <c r="AL767" s="13" t="n"/>
      <c r="AM767" s="14" t="n"/>
      <c r="AN767" s="12" t="n"/>
      <c r="AO767" s="13" t="n"/>
      <c r="AP767" s="14" t="n"/>
      <c r="AQ767" s="12" t="n"/>
      <c r="AR767" s="13" t="n"/>
      <c r="AS767" s="14" t="n"/>
      <c r="AT767" s="12" t="n"/>
      <c r="AU767" s="13" t="n"/>
      <c r="AV767" s="14" t="n"/>
      <c r="AW767" s="12" t="n"/>
      <c r="AX767" s="13" t="n"/>
      <c r="AY767" s="14" t="n"/>
      <c r="AZ767" s="12" t="n"/>
      <c r="BA767" s="13" t="n"/>
      <c r="BB767" s="14" t="n"/>
      <c r="BC767" s="11">
        <f>IF(O767="","",IF(J767="GST 10%",ROUND(O767*set_GSTRate,2),0))</f>
        <v/>
      </c>
      <c r="BD767" s="11">
        <f>IF(O767="","",O767+BC767)</f>
        <v/>
      </c>
      <c r="BE767" s="15">
        <f>IF(O767="","",COUNTA(S767,V767,Y767,AB767,AE767,AH767,AK767,AN767,AQ767,AT767,AW767,AZ767))</f>
        <v/>
      </c>
      <c r="BF767" s="16">
        <f>IF(COUNT(T767,W767,Z767,AC767,AF767,AI767,AL767,AO767,AR767,AU767,AX767,BA767)=0,"",MAX(T767,W767,Z767,AC767,AF767,AI767,AL767,AO767,AR767,AU767,AX767,BA767))</f>
        <v/>
      </c>
      <c r="BG767" s="10">
        <f>MID(IF(S767="","",", "&amp;S767)&amp;IF(V767="","",", "&amp;V767)&amp;IF(Y767="","",", "&amp;Y767)&amp;IF(AB767="","",", "&amp;AB767)&amp;IF(AE767="","",", "&amp;AE767)&amp;IF(AH767="","",", "&amp;AH767)&amp;IF(AK767="","",", "&amp;AK767)&amp;IF(AN767="","",", "&amp;AN767)&amp;IF(AQ767="","",", "&amp;AQ767)&amp;IF(AT767="","",", "&amp;AT767)&amp;IF(AW767="","",", "&amp;AW767)&amp;IF(AZ767="","",", "&amp;AZ767),3,500)</f>
        <v/>
      </c>
      <c r="BH767" s="12" t="n"/>
      <c r="BI767" s="15">
        <f>IFERROR(MATCH($A767,IF($B767="Onsite",tbl_Onsite[Row ID],IF($B767="Production",tbl_Production[Row ID],tbl_Consulting[Row ID])),0),"")</f>
        <v/>
      </c>
    </row>
    <row r="768">
      <c r="A768" s="10" t="inlineStr">
        <is>
          <t>PRD-0262</t>
        </is>
      </c>
      <c r="B768" s="10" t="inlineStr">
        <is>
          <t>Production</t>
        </is>
      </c>
      <c r="C768" s="10">
        <f>IF($BI768="","",IF($B768="Onsite",INDEX(tbl_Onsite[Job Number],$BI768),IF($B768="Production",INDEX(tbl_Production[Job Number],$BI768),INDEX(tbl_Consulting[Job Number],$BI768)))&amp;"")</f>
        <v/>
      </c>
      <c r="D768" s="10">
        <f>IF($BI768="","",IF($B768="Onsite",INDEX(tbl_Onsite[Client],$BI768),IF($B768="Production",INDEX(tbl_Production[Client],$BI768),INDEX(tbl_Consulting[Client],$BI768)))&amp;"")</f>
        <v/>
      </c>
      <c r="E768" s="10">
        <f>IF($C768="","",IF(COUNTIF(lst_Jobs,$C768)&gt;0,"OK","CHECK"))</f>
        <v/>
      </c>
      <c r="F768" s="10">
        <f>IF($C768="","",IFERROR(INDEX(lst_JobName,MATCH($C768,lst_Jobs,0)),""))</f>
        <v/>
      </c>
      <c r="G768" s="10">
        <f>IF($BI768="","",IF($B768="Onsite",INDEX(tbl_Onsite[Job Description],$BI768),IF($B768="Production",INDEX(tbl_Production[Job Description],$BI768),INDEX(tbl_Consulting[Job Description],$BI768)))&amp;"")</f>
        <v/>
      </c>
      <c r="H768" s="10">
        <f>IF($BI768="","",IF($B768="Onsite",INDEX(tbl_Onsite[Cost Centre],$BI768),IF($B768="Production",INDEX(tbl_Production[Cost Centre],$BI768),INDEX(tbl_Consulting[Cost Centre],$BI768)))&amp;"")</f>
        <v/>
      </c>
      <c r="I768" s="10">
        <f>IF($BI768="","",IF($B768="Onsite",INDEX(tbl_Onsite[Invoice Type],$BI768),IF($B768="Production",INDEX(tbl_Production[Invoice Type],$BI768),INDEX(tbl_Consulting[Invoice Type],$BI768)))&amp;"")</f>
        <v/>
      </c>
      <c r="J768" s="10">
        <f>IF($BI768="","",IF($B768="Onsite",INDEX(tbl_Onsite[Tax Code],$BI768),IF($B768="Production",INDEX(tbl_Production[Tax Code],$BI768),INDEX(tbl_Consulting[Tax Code],$BI768)))&amp;"")</f>
        <v/>
      </c>
      <c r="K768" s="10">
        <f>IF(H768="","",IFERROR(INDEX(lst_CCtoGL,MATCH(H768,lst_CCforGL,0)),""))</f>
        <v/>
      </c>
      <c r="L768" s="10">
        <f>IF($BI768="","",IF($B768="Onsite",INDEX(tbl_Onsite[PO / Reference],$BI768),IF($B768="Production",INDEX(tbl_Production[Current RMS No],$BI768),INDEX(tbl_Consulting[Qwilr Quote],$BI768)))&amp;"")</f>
        <v/>
      </c>
      <c r="M768" s="10">
        <f>IF($BI768="","",IF($B768="Onsite",INDEX(tbl_Onsite[Notes],$BI768),IF($B768="Production",INDEX(tbl_Production[Notes],$BI768),INDEX(tbl_Consulting[Notes],$BI768)))&amp;"")</f>
        <v/>
      </c>
      <c r="N768" s="11">
        <f>IF($BI768="","",IF(IF($B768="Onsite",INDEX(tbl_Onsite[Expected Revenue Ex GST],$BI768),IF($B768="Production",INDEX(tbl_Production[Expected Revenue Ex GST],$BI768),INDEX(tbl_Consulting[Expected Revenue Ex GST],$BI768)))="","",IF($B768="Onsite",INDEX(tbl_Onsite[Expected Revenue Ex GST],$BI768),IF($B768="Production",INDEX(tbl_Production[Expected Revenue Ex GST],$BI768),INDEX(tbl_Consulting[Expected Revenue Ex GST],$BI768)))))</f>
        <v/>
      </c>
      <c r="O768" s="11">
        <f>IF(AND($C768="",NOT(COUNTA($S768:$BB768)&gt;0)),"",SUM(U768,X768,AA768,AD768,AG768,AJ768,AM768,AP768,AS768,AV768,AY768,BB768))</f>
        <v/>
      </c>
      <c r="P768" s="11">
        <f>IF(O768="","",N(N768)-O768)</f>
        <v/>
      </c>
      <c r="Q768" s="10">
        <f>IF(O768="","",IF($C768="","Invoice on empty job row",IF(N768="",IF(ROUND(O768,2)=0,"No dept value","Invoiced - no dept value"),IF(ROUND(O768,2)=0,"Not invoiced - to invoice",IF(ROUND(P768,2)=0,"Agrees",IF(P768&gt;0,"Dept higher - to invoice","Xero higher - check dept"))))))</f>
        <v/>
      </c>
      <c r="R768" s="10">
        <f>IF(AND($C768="",NOT(COUNTA($S768:$BB768)&gt;0),$BI768&lt;&gt;""),"",MID(IF($BI768="","; Row ID not found on the department sheet - a row was deleted","")&amp;IF(AND($C768="",COUNTA($S768:$BB768)&gt;0),"; Invoice entered but the department row has no job number","")&amp;IF(E768="CHECK","; Job number not in the Xero job list","")&amp;IF(AND($C768&lt;&gt;"",COUNTIF($C$7:$C$1506,$C768)&gt;1),"; Job number on more than one row","")&amp;IF(AND($C768&lt;&gt;"",H768=""),"; Dept has not set a cost centre","")&amp;IF(AND($C768&lt;&gt;"",J768=""),"; Dept has not set a tax code","")&amp;IF(AND($C768&lt;&gt;"",N768=""),"; Dept has not entered an expected value","")&amp;IF((IF(OR(COUNTA(S768:U768)=0,AND(COUNTA(S768:U768)=3,ISNUMBER(U768))),0,1)+IF(OR(COUNTA(V768:X768)=0,AND(COUNTA(V768:X768)=3,ISNUMBER(X768))),0,1)+IF(OR(COUNTA(Y768:AA768)=0,AND(COUNTA(Y768:AA768)=3,ISNUMBER(AA768))),0,1)+IF(OR(COUNTA(AB768:AD768)=0,AND(COUNTA(AB768:AD768)=3,ISNUMBER(AD768))),0,1)+IF(OR(COUNTA(AE768:AG768)=0,AND(COUNTA(AE768:AG768)=3,ISNUMBER(AG768))),0,1)+IF(OR(COUNTA(AH768:AJ768)=0,AND(COUNTA(AH768:AJ768)=3,ISNUMBER(AJ768))),0,1)+IF(OR(COUNTA(AK768:AM768)=0,AND(COUNTA(AK768:AM768)=3,ISNUMBER(AM768))),0,1)+IF(OR(COUNTA(AN768:AP768)=0,AND(COUNTA(AN768:AP768)=3,ISNUMBER(AP768))),0,1)+IF(OR(COUNTA(AQ768:AS768)=0,AND(COUNTA(AQ768:AS768)=3,ISNUMBER(AS768))),0,1)+IF(OR(COUNTA(AT768:AV768)=0,AND(COUNTA(AT768:AV768)=3,ISNUMBER(AV768))),0,1)+IF(OR(COUNTA(AW768:AY768)=0,AND(COUNTA(AW768:AY768)=3,ISNUMBER(AY768))),0,1)+IF(OR(COUNTA(AZ768:BB768)=0,AND(COUNTA(AZ768:BB768)=3,ISNUMBER(BB768))),0,1))&gt;0,"; An invoice is incomplete (needs No, Date and a number in Ex GST)","")&amp;IF((IF(T768="",0,IFERROR(--(EOMONTH(T768,0)&lt;&gt;S$5),1))+IF(W768="",0,IFERROR(--(EOMONTH(W768,0)&lt;&gt;V$5),1))+IF(Z768="",0,IFERROR(--(EOMONTH(Z768,0)&lt;&gt;Y$5),1))+IF(AC768="",0,IFERROR(--(EOMONTH(AC768,0)&lt;&gt;AB$5),1))+IF(AF768="",0,IFERROR(--(EOMONTH(AF768,0)&lt;&gt;AE$5),1))+IF(AI768="",0,IFERROR(--(EOMONTH(AI768,0)&lt;&gt;AH$5),1))+IF(AL768="",0,IFERROR(--(EOMONTH(AL768,0)&lt;&gt;AK$5),1))+IF(AO768="",0,IFERROR(--(EOMONTH(AO768,0)&lt;&gt;AN$5),1))+IF(AR768="",0,IFERROR(--(EOMONTH(AR768,0)&lt;&gt;AQ$5),1))+IF(AU768="",0,IFERROR(--(EOMONTH(AU768,0)&lt;&gt;AT$5),1))+IF(AX768="",0,IFERROR(--(EOMONTH(AX768,0)&lt;&gt;AW$5),1))+IF(BA768="",0,IFERROR(--(EOMONTH(BA768,0)&lt;&gt;AZ$5),1)))&gt;0,"; An invoice date is not in the month it is typed under",""),3,500))</f>
        <v/>
      </c>
      <c r="S768" s="12" t="n"/>
      <c r="T768" s="13" t="n"/>
      <c r="U768" s="14" t="n"/>
      <c r="V768" s="12" t="n"/>
      <c r="W768" s="13" t="n"/>
      <c r="X768" s="14" t="n"/>
      <c r="Y768" s="12" t="n"/>
      <c r="Z768" s="13" t="n"/>
      <c r="AA768" s="14" t="n"/>
      <c r="AB768" s="12" t="n"/>
      <c r="AC768" s="13" t="n"/>
      <c r="AD768" s="14" t="n"/>
      <c r="AE768" s="12" t="n"/>
      <c r="AF768" s="13" t="n"/>
      <c r="AG768" s="14" t="n"/>
      <c r="AH768" s="12" t="n"/>
      <c r="AI768" s="13" t="n"/>
      <c r="AJ768" s="14" t="n"/>
      <c r="AK768" s="12" t="n"/>
      <c r="AL768" s="13" t="n"/>
      <c r="AM768" s="14" t="n"/>
      <c r="AN768" s="12" t="n"/>
      <c r="AO768" s="13" t="n"/>
      <c r="AP768" s="14" t="n"/>
      <c r="AQ768" s="12" t="n"/>
      <c r="AR768" s="13" t="n"/>
      <c r="AS768" s="14" t="n"/>
      <c r="AT768" s="12" t="n"/>
      <c r="AU768" s="13" t="n"/>
      <c r="AV768" s="14" t="n"/>
      <c r="AW768" s="12" t="n"/>
      <c r="AX768" s="13" t="n"/>
      <c r="AY768" s="14" t="n"/>
      <c r="AZ768" s="12" t="n"/>
      <c r="BA768" s="13" t="n"/>
      <c r="BB768" s="14" t="n"/>
      <c r="BC768" s="11">
        <f>IF(O768="","",IF(J768="GST 10%",ROUND(O768*set_GSTRate,2),0))</f>
        <v/>
      </c>
      <c r="BD768" s="11">
        <f>IF(O768="","",O768+BC768)</f>
        <v/>
      </c>
      <c r="BE768" s="15">
        <f>IF(O768="","",COUNTA(S768,V768,Y768,AB768,AE768,AH768,AK768,AN768,AQ768,AT768,AW768,AZ768))</f>
        <v/>
      </c>
      <c r="BF768" s="16">
        <f>IF(COUNT(T768,W768,Z768,AC768,AF768,AI768,AL768,AO768,AR768,AU768,AX768,BA768)=0,"",MAX(T768,W768,Z768,AC768,AF768,AI768,AL768,AO768,AR768,AU768,AX768,BA768))</f>
        <v/>
      </c>
      <c r="BG768" s="10">
        <f>MID(IF(S768="","",", "&amp;S768)&amp;IF(V768="","",", "&amp;V768)&amp;IF(Y768="","",", "&amp;Y768)&amp;IF(AB768="","",", "&amp;AB768)&amp;IF(AE768="","",", "&amp;AE768)&amp;IF(AH768="","",", "&amp;AH768)&amp;IF(AK768="","",", "&amp;AK768)&amp;IF(AN768="","",", "&amp;AN768)&amp;IF(AQ768="","",", "&amp;AQ768)&amp;IF(AT768="","",", "&amp;AT768)&amp;IF(AW768="","",", "&amp;AW768)&amp;IF(AZ768="","",", "&amp;AZ768),3,500)</f>
        <v/>
      </c>
      <c r="BH768" s="12" t="n"/>
      <c r="BI768" s="15">
        <f>IFERROR(MATCH($A768,IF($B768="Onsite",tbl_Onsite[Row ID],IF($B768="Production",tbl_Production[Row ID],tbl_Consulting[Row ID])),0),"")</f>
        <v/>
      </c>
    </row>
    <row r="769">
      <c r="A769" s="10" t="inlineStr">
        <is>
          <t>PRD-0263</t>
        </is>
      </c>
      <c r="B769" s="10" t="inlineStr">
        <is>
          <t>Production</t>
        </is>
      </c>
      <c r="C769" s="10">
        <f>IF($BI769="","",IF($B769="Onsite",INDEX(tbl_Onsite[Job Number],$BI769),IF($B769="Production",INDEX(tbl_Production[Job Number],$BI769),INDEX(tbl_Consulting[Job Number],$BI769)))&amp;"")</f>
        <v/>
      </c>
      <c r="D769" s="10">
        <f>IF($BI769="","",IF($B769="Onsite",INDEX(tbl_Onsite[Client],$BI769),IF($B769="Production",INDEX(tbl_Production[Client],$BI769),INDEX(tbl_Consulting[Client],$BI769)))&amp;"")</f>
        <v/>
      </c>
      <c r="E769" s="10">
        <f>IF($C769="","",IF(COUNTIF(lst_Jobs,$C769)&gt;0,"OK","CHECK"))</f>
        <v/>
      </c>
      <c r="F769" s="10">
        <f>IF($C769="","",IFERROR(INDEX(lst_JobName,MATCH($C769,lst_Jobs,0)),""))</f>
        <v/>
      </c>
      <c r="G769" s="10">
        <f>IF($BI769="","",IF($B769="Onsite",INDEX(tbl_Onsite[Job Description],$BI769),IF($B769="Production",INDEX(tbl_Production[Job Description],$BI769),INDEX(tbl_Consulting[Job Description],$BI769)))&amp;"")</f>
        <v/>
      </c>
      <c r="H769" s="10">
        <f>IF($BI769="","",IF($B769="Onsite",INDEX(tbl_Onsite[Cost Centre],$BI769),IF($B769="Production",INDEX(tbl_Production[Cost Centre],$BI769),INDEX(tbl_Consulting[Cost Centre],$BI769)))&amp;"")</f>
        <v/>
      </c>
      <c r="I769" s="10">
        <f>IF($BI769="","",IF($B769="Onsite",INDEX(tbl_Onsite[Invoice Type],$BI769),IF($B769="Production",INDEX(tbl_Production[Invoice Type],$BI769),INDEX(tbl_Consulting[Invoice Type],$BI769)))&amp;"")</f>
        <v/>
      </c>
      <c r="J769" s="10">
        <f>IF($BI769="","",IF($B769="Onsite",INDEX(tbl_Onsite[Tax Code],$BI769),IF($B769="Production",INDEX(tbl_Production[Tax Code],$BI769),INDEX(tbl_Consulting[Tax Code],$BI769)))&amp;"")</f>
        <v/>
      </c>
      <c r="K769" s="10">
        <f>IF(H769="","",IFERROR(INDEX(lst_CCtoGL,MATCH(H769,lst_CCforGL,0)),""))</f>
        <v/>
      </c>
      <c r="L769" s="10">
        <f>IF($BI769="","",IF($B769="Onsite",INDEX(tbl_Onsite[PO / Reference],$BI769),IF($B769="Production",INDEX(tbl_Production[Current RMS No],$BI769),INDEX(tbl_Consulting[Qwilr Quote],$BI769)))&amp;"")</f>
        <v/>
      </c>
      <c r="M769" s="10">
        <f>IF($BI769="","",IF($B769="Onsite",INDEX(tbl_Onsite[Notes],$BI769),IF($B769="Production",INDEX(tbl_Production[Notes],$BI769),INDEX(tbl_Consulting[Notes],$BI769)))&amp;"")</f>
        <v/>
      </c>
      <c r="N769" s="11">
        <f>IF($BI769="","",IF(IF($B769="Onsite",INDEX(tbl_Onsite[Expected Revenue Ex GST],$BI769),IF($B769="Production",INDEX(tbl_Production[Expected Revenue Ex GST],$BI769),INDEX(tbl_Consulting[Expected Revenue Ex GST],$BI769)))="","",IF($B769="Onsite",INDEX(tbl_Onsite[Expected Revenue Ex GST],$BI769),IF($B769="Production",INDEX(tbl_Production[Expected Revenue Ex GST],$BI769),INDEX(tbl_Consulting[Expected Revenue Ex GST],$BI769)))))</f>
        <v/>
      </c>
      <c r="O769" s="11">
        <f>IF(AND($C769="",NOT(COUNTA($S769:$BB769)&gt;0)),"",SUM(U769,X769,AA769,AD769,AG769,AJ769,AM769,AP769,AS769,AV769,AY769,BB769))</f>
        <v/>
      </c>
      <c r="P769" s="11">
        <f>IF(O769="","",N(N769)-O769)</f>
        <v/>
      </c>
      <c r="Q769" s="10">
        <f>IF(O769="","",IF($C769="","Invoice on empty job row",IF(N769="",IF(ROUND(O769,2)=0,"No dept value","Invoiced - no dept value"),IF(ROUND(O769,2)=0,"Not invoiced - to invoice",IF(ROUND(P769,2)=0,"Agrees",IF(P769&gt;0,"Dept higher - to invoice","Xero higher - check dept"))))))</f>
        <v/>
      </c>
      <c r="R769" s="10">
        <f>IF(AND($C769="",NOT(COUNTA($S769:$BB769)&gt;0),$BI769&lt;&gt;""),"",MID(IF($BI769="","; Row ID not found on the department sheet - a row was deleted","")&amp;IF(AND($C769="",COUNTA($S769:$BB769)&gt;0),"; Invoice entered but the department row has no job number","")&amp;IF(E769="CHECK","; Job number not in the Xero job list","")&amp;IF(AND($C769&lt;&gt;"",COUNTIF($C$7:$C$1506,$C769)&gt;1),"; Job number on more than one row","")&amp;IF(AND($C769&lt;&gt;"",H769=""),"; Dept has not set a cost centre","")&amp;IF(AND($C769&lt;&gt;"",J769=""),"; Dept has not set a tax code","")&amp;IF(AND($C769&lt;&gt;"",N769=""),"; Dept has not entered an expected value","")&amp;IF((IF(OR(COUNTA(S769:U769)=0,AND(COUNTA(S769:U769)=3,ISNUMBER(U769))),0,1)+IF(OR(COUNTA(V769:X769)=0,AND(COUNTA(V769:X769)=3,ISNUMBER(X769))),0,1)+IF(OR(COUNTA(Y769:AA769)=0,AND(COUNTA(Y769:AA769)=3,ISNUMBER(AA769))),0,1)+IF(OR(COUNTA(AB769:AD769)=0,AND(COUNTA(AB769:AD769)=3,ISNUMBER(AD769))),0,1)+IF(OR(COUNTA(AE769:AG769)=0,AND(COUNTA(AE769:AG769)=3,ISNUMBER(AG769))),0,1)+IF(OR(COUNTA(AH769:AJ769)=0,AND(COUNTA(AH769:AJ769)=3,ISNUMBER(AJ769))),0,1)+IF(OR(COUNTA(AK769:AM769)=0,AND(COUNTA(AK769:AM769)=3,ISNUMBER(AM769))),0,1)+IF(OR(COUNTA(AN769:AP769)=0,AND(COUNTA(AN769:AP769)=3,ISNUMBER(AP769))),0,1)+IF(OR(COUNTA(AQ769:AS769)=0,AND(COUNTA(AQ769:AS769)=3,ISNUMBER(AS769))),0,1)+IF(OR(COUNTA(AT769:AV769)=0,AND(COUNTA(AT769:AV769)=3,ISNUMBER(AV769))),0,1)+IF(OR(COUNTA(AW769:AY769)=0,AND(COUNTA(AW769:AY769)=3,ISNUMBER(AY769))),0,1)+IF(OR(COUNTA(AZ769:BB769)=0,AND(COUNTA(AZ769:BB769)=3,ISNUMBER(BB769))),0,1))&gt;0,"; An invoice is incomplete (needs No, Date and a number in Ex GST)","")&amp;IF((IF(T769="",0,IFERROR(--(EOMONTH(T769,0)&lt;&gt;S$5),1))+IF(W769="",0,IFERROR(--(EOMONTH(W769,0)&lt;&gt;V$5),1))+IF(Z769="",0,IFERROR(--(EOMONTH(Z769,0)&lt;&gt;Y$5),1))+IF(AC769="",0,IFERROR(--(EOMONTH(AC769,0)&lt;&gt;AB$5),1))+IF(AF769="",0,IFERROR(--(EOMONTH(AF769,0)&lt;&gt;AE$5),1))+IF(AI769="",0,IFERROR(--(EOMONTH(AI769,0)&lt;&gt;AH$5),1))+IF(AL769="",0,IFERROR(--(EOMONTH(AL769,0)&lt;&gt;AK$5),1))+IF(AO769="",0,IFERROR(--(EOMONTH(AO769,0)&lt;&gt;AN$5),1))+IF(AR769="",0,IFERROR(--(EOMONTH(AR769,0)&lt;&gt;AQ$5),1))+IF(AU769="",0,IFERROR(--(EOMONTH(AU769,0)&lt;&gt;AT$5),1))+IF(AX769="",0,IFERROR(--(EOMONTH(AX769,0)&lt;&gt;AW$5),1))+IF(BA769="",0,IFERROR(--(EOMONTH(BA769,0)&lt;&gt;AZ$5),1)))&gt;0,"; An invoice date is not in the month it is typed under",""),3,500))</f>
        <v/>
      </c>
      <c r="S769" s="12" t="n"/>
      <c r="T769" s="13" t="n"/>
      <c r="U769" s="14" t="n"/>
      <c r="V769" s="12" t="n"/>
      <c r="W769" s="13" t="n"/>
      <c r="X769" s="14" t="n"/>
      <c r="Y769" s="12" t="n"/>
      <c r="Z769" s="13" t="n"/>
      <c r="AA769" s="14" t="n"/>
      <c r="AB769" s="12" t="n"/>
      <c r="AC769" s="13" t="n"/>
      <c r="AD769" s="14" t="n"/>
      <c r="AE769" s="12" t="n"/>
      <c r="AF769" s="13" t="n"/>
      <c r="AG769" s="14" t="n"/>
      <c r="AH769" s="12" t="n"/>
      <c r="AI769" s="13" t="n"/>
      <c r="AJ769" s="14" t="n"/>
      <c r="AK769" s="12" t="n"/>
      <c r="AL769" s="13" t="n"/>
      <c r="AM769" s="14" t="n"/>
      <c r="AN769" s="12" t="n"/>
      <c r="AO769" s="13" t="n"/>
      <c r="AP769" s="14" t="n"/>
      <c r="AQ769" s="12" t="n"/>
      <c r="AR769" s="13" t="n"/>
      <c r="AS769" s="14" t="n"/>
      <c r="AT769" s="12" t="n"/>
      <c r="AU769" s="13" t="n"/>
      <c r="AV769" s="14" t="n"/>
      <c r="AW769" s="12" t="n"/>
      <c r="AX769" s="13" t="n"/>
      <c r="AY769" s="14" t="n"/>
      <c r="AZ769" s="12" t="n"/>
      <c r="BA769" s="13" t="n"/>
      <c r="BB769" s="14" t="n"/>
      <c r="BC769" s="11">
        <f>IF(O769="","",IF(J769="GST 10%",ROUND(O769*set_GSTRate,2),0))</f>
        <v/>
      </c>
      <c r="BD769" s="11">
        <f>IF(O769="","",O769+BC769)</f>
        <v/>
      </c>
      <c r="BE769" s="15">
        <f>IF(O769="","",COUNTA(S769,V769,Y769,AB769,AE769,AH769,AK769,AN769,AQ769,AT769,AW769,AZ769))</f>
        <v/>
      </c>
      <c r="BF769" s="16">
        <f>IF(COUNT(T769,W769,Z769,AC769,AF769,AI769,AL769,AO769,AR769,AU769,AX769,BA769)=0,"",MAX(T769,W769,Z769,AC769,AF769,AI769,AL769,AO769,AR769,AU769,AX769,BA769))</f>
        <v/>
      </c>
      <c r="BG769" s="10">
        <f>MID(IF(S769="","",", "&amp;S769)&amp;IF(V769="","",", "&amp;V769)&amp;IF(Y769="","",", "&amp;Y769)&amp;IF(AB769="","",", "&amp;AB769)&amp;IF(AE769="","",", "&amp;AE769)&amp;IF(AH769="","",", "&amp;AH769)&amp;IF(AK769="","",", "&amp;AK769)&amp;IF(AN769="","",", "&amp;AN769)&amp;IF(AQ769="","",", "&amp;AQ769)&amp;IF(AT769="","",", "&amp;AT769)&amp;IF(AW769="","",", "&amp;AW769)&amp;IF(AZ769="","",", "&amp;AZ769),3,500)</f>
        <v/>
      </c>
      <c r="BH769" s="12" t="n"/>
      <c r="BI769" s="15">
        <f>IFERROR(MATCH($A769,IF($B769="Onsite",tbl_Onsite[Row ID],IF($B769="Production",tbl_Production[Row ID],tbl_Consulting[Row ID])),0),"")</f>
        <v/>
      </c>
    </row>
    <row r="770">
      <c r="A770" s="10" t="inlineStr">
        <is>
          <t>PRD-0264</t>
        </is>
      </c>
      <c r="B770" s="10" t="inlineStr">
        <is>
          <t>Production</t>
        </is>
      </c>
      <c r="C770" s="10">
        <f>IF($BI770="","",IF($B770="Onsite",INDEX(tbl_Onsite[Job Number],$BI770),IF($B770="Production",INDEX(tbl_Production[Job Number],$BI770),INDEX(tbl_Consulting[Job Number],$BI770)))&amp;"")</f>
        <v/>
      </c>
      <c r="D770" s="10">
        <f>IF($BI770="","",IF($B770="Onsite",INDEX(tbl_Onsite[Client],$BI770),IF($B770="Production",INDEX(tbl_Production[Client],$BI770),INDEX(tbl_Consulting[Client],$BI770)))&amp;"")</f>
        <v/>
      </c>
      <c r="E770" s="10">
        <f>IF($C770="","",IF(COUNTIF(lst_Jobs,$C770)&gt;0,"OK","CHECK"))</f>
        <v/>
      </c>
      <c r="F770" s="10">
        <f>IF($C770="","",IFERROR(INDEX(lst_JobName,MATCH($C770,lst_Jobs,0)),""))</f>
        <v/>
      </c>
      <c r="G770" s="10">
        <f>IF($BI770="","",IF($B770="Onsite",INDEX(tbl_Onsite[Job Description],$BI770),IF($B770="Production",INDEX(tbl_Production[Job Description],$BI770),INDEX(tbl_Consulting[Job Description],$BI770)))&amp;"")</f>
        <v/>
      </c>
      <c r="H770" s="10">
        <f>IF($BI770="","",IF($B770="Onsite",INDEX(tbl_Onsite[Cost Centre],$BI770),IF($B770="Production",INDEX(tbl_Production[Cost Centre],$BI770),INDEX(tbl_Consulting[Cost Centre],$BI770)))&amp;"")</f>
        <v/>
      </c>
      <c r="I770" s="10">
        <f>IF($BI770="","",IF($B770="Onsite",INDEX(tbl_Onsite[Invoice Type],$BI770),IF($B770="Production",INDEX(tbl_Production[Invoice Type],$BI770),INDEX(tbl_Consulting[Invoice Type],$BI770)))&amp;"")</f>
        <v/>
      </c>
      <c r="J770" s="10">
        <f>IF($BI770="","",IF($B770="Onsite",INDEX(tbl_Onsite[Tax Code],$BI770),IF($B770="Production",INDEX(tbl_Production[Tax Code],$BI770),INDEX(tbl_Consulting[Tax Code],$BI770)))&amp;"")</f>
        <v/>
      </c>
      <c r="K770" s="10">
        <f>IF(H770="","",IFERROR(INDEX(lst_CCtoGL,MATCH(H770,lst_CCforGL,0)),""))</f>
        <v/>
      </c>
      <c r="L770" s="10">
        <f>IF($BI770="","",IF($B770="Onsite",INDEX(tbl_Onsite[PO / Reference],$BI770),IF($B770="Production",INDEX(tbl_Production[Current RMS No],$BI770),INDEX(tbl_Consulting[Qwilr Quote],$BI770)))&amp;"")</f>
        <v/>
      </c>
      <c r="M770" s="10">
        <f>IF($BI770="","",IF($B770="Onsite",INDEX(tbl_Onsite[Notes],$BI770),IF($B770="Production",INDEX(tbl_Production[Notes],$BI770),INDEX(tbl_Consulting[Notes],$BI770)))&amp;"")</f>
        <v/>
      </c>
      <c r="N770" s="11">
        <f>IF($BI770="","",IF(IF($B770="Onsite",INDEX(tbl_Onsite[Expected Revenue Ex GST],$BI770),IF($B770="Production",INDEX(tbl_Production[Expected Revenue Ex GST],$BI770),INDEX(tbl_Consulting[Expected Revenue Ex GST],$BI770)))="","",IF($B770="Onsite",INDEX(tbl_Onsite[Expected Revenue Ex GST],$BI770),IF($B770="Production",INDEX(tbl_Production[Expected Revenue Ex GST],$BI770),INDEX(tbl_Consulting[Expected Revenue Ex GST],$BI770)))))</f>
        <v/>
      </c>
      <c r="O770" s="11">
        <f>IF(AND($C770="",NOT(COUNTA($S770:$BB770)&gt;0)),"",SUM(U770,X770,AA770,AD770,AG770,AJ770,AM770,AP770,AS770,AV770,AY770,BB770))</f>
        <v/>
      </c>
      <c r="P770" s="11">
        <f>IF(O770="","",N(N770)-O770)</f>
        <v/>
      </c>
      <c r="Q770" s="10">
        <f>IF(O770="","",IF($C770="","Invoice on empty job row",IF(N770="",IF(ROUND(O770,2)=0,"No dept value","Invoiced - no dept value"),IF(ROUND(O770,2)=0,"Not invoiced - to invoice",IF(ROUND(P770,2)=0,"Agrees",IF(P770&gt;0,"Dept higher - to invoice","Xero higher - check dept"))))))</f>
        <v/>
      </c>
      <c r="R770" s="10">
        <f>IF(AND($C770="",NOT(COUNTA($S770:$BB770)&gt;0),$BI770&lt;&gt;""),"",MID(IF($BI770="","; Row ID not found on the department sheet - a row was deleted","")&amp;IF(AND($C770="",COUNTA($S770:$BB770)&gt;0),"; Invoice entered but the department row has no job number","")&amp;IF(E770="CHECK","; Job number not in the Xero job list","")&amp;IF(AND($C770&lt;&gt;"",COUNTIF($C$7:$C$1506,$C770)&gt;1),"; Job number on more than one row","")&amp;IF(AND($C770&lt;&gt;"",H770=""),"; Dept has not set a cost centre","")&amp;IF(AND($C770&lt;&gt;"",J770=""),"; Dept has not set a tax code","")&amp;IF(AND($C770&lt;&gt;"",N770=""),"; Dept has not entered an expected value","")&amp;IF((IF(OR(COUNTA(S770:U770)=0,AND(COUNTA(S770:U770)=3,ISNUMBER(U770))),0,1)+IF(OR(COUNTA(V770:X770)=0,AND(COUNTA(V770:X770)=3,ISNUMBER(X770))),0,1)+IF(OR(COUNTA(Y770:AA770)=0,AND(COUNTA(Y770:AA770)=3,ISNUMBER(AA770))),0,1)+IF(OR(COUNTA(AB770:AD770)=0,AND(COUNTA(AB770:AD770)=3,ISNUMBER(AD770))),0,1)+IF(OR(COUNTA(AE770:AG770)=0,AND(COUNTA(AE770:AG770)=3,ISNUMBER(AG770))),0,1)+IF(OR(COUNTA(AH770:AJ770)=0,AND(COUNTA(AH770:AJ770)=3,ISNUMBER(AJ770))),0,1)+IF(OR(COUNTA(AK770:AM770)=0,AND(COUNTA(AK770:AM770)=3,ISNUMBER(AM770))),0,1)+IF(OR(COUNTA(AN770:AP770)=0,AND(COUNTA(AN770:AP770)=3,ISNUMBER(AP770))),0,1)+IF(OR(COUNTA(AQ770:AS770)=0,AND(COUNTA(AQ770:AS770)=3,ISNUMBER(AS770))),0,1)+IF(OR(COUNTA(AT770:AV770)=0,AND(COUNTA(AT770:AV770)=3,ISNUMBER(AV770))),0,1)+IF(OR(COUNTA(AW770:AY770)=0,AND(COUNTA(AW770:AY770)=3,ISNUMBER(AY770))),0,1)+IF(OR(COUNTA(AZ770:BB770)=0,AND(COUNTA(AZ770:BB770)=3,ISNUMBER(BB770))),0,1))&gt;0,"; An invoice is incomplete (needs No, Date and a number in Ex GST)","")&amp;IF((IF(T770="",0,IFERROR(--(EOMONTH(T770,0)&lt;&gt;S$5),1))+IF(W770="",0,IFERROR(--(EOMONTH(W770,0)&lt;&gt;V$5),1))+IF(Z770="",0,IFERROR(--(EOMONTH(Z770,0)&lt;&gt;Y$5),1))+IF(AC770="",0,IFERROR(--(EOMONTH(AC770,0)&lt;&gt;AB$5),1))+IF(AF770="",0,IFERROR(--(EOMONTH(AF770,0)&lt;&gt;AE$5),1))+IF(AI770="",0,IFERROR(--(EOMONTH(AI770,0)&lt;&gt;AH$5),1))+IF(AL770="",0,IFERROR(--(EOMONTH(AL770,0)&lt;&gt;AK$5),1))+IF(AO770="",0,IFERROR(--(EOMONTH(AO770,0)&lt;&gt;AN$5),1))+IF(AR770="",0,IFERROR(--(EOMONTH(AR770,0)&lt;&gt;AQ$5),1))+IF(AU770="",0,IFERROR(--(EOMONTH(AU770,0)&lt;&gt;AT$5),1))+IF(AX770="",0,IFERROR(--(EOMONTH(AX770,0)&lt;&gt;AW$5),1))+IF(BA770="",0,IFERROR(--(EOMONTH(BA770,0)&lt;&gt;AZ$5),1)))&gt;0,"; An invoice date is not in the month it is typed under",""),3,500))</f>
        <v/>
      </c>
      <c r="S770" s="12" t="n"/>
      <c r="T770" s="13" t="n"/>
      <c r="U770" s="14" t="n"/>
      <c r="V770" s="12" t="n"/>
      <c r="W770" s="13" t="n"/>
      <c r="X770" s="14" t="n"/>
      <c r="Y770" s="12" t="n"/>
      <c r="Z770" s="13" t="n"/>
      <c r="AA770" s="14" t="n"/>
      <c r="AB770" s="12" t="n"/>
      <c r="AC770" s="13" t="n"/>
      <c r="AD770" s="14" t="n"/>
      <c r="AE770" s="12" t="n"/>
      <c r="AF770" s="13" t="n"/>
      <c r="AG770" s="14" t="n"/>
      <c r="AH770" s="12" t="n"/>
      <c r="AI770" s="13" t="n"/>
      <c r="AJ770" s="14" t="n"/>
      <c r="AK770" s="12" t="n"/>
      <c r="AL770" s="13" t="n"/>
      <c r="AM770" s="14" t="n"/>
      <c r="AN770" s="12" t="n"/>
      <c r="AO770" s="13" t="n"/>
      <c r="AP770" s="14" t="n"/>
      <c r="AQ770" s="12" t="n"/>
      <c r="AR770" s="13" t="n"/>
      <c r="AS770" s="14" t="n"/>
      <c r="AT770" s="12" t="n"/>
      <c r="AU770" s="13" t="n"/>
      <c r="AV770" s="14" t="n"/>
      <c r="AW770" s="12" t="n"/>
      <c r="AX770" s="13" t="n"/>
      <c r="AY770" s="14" t="n"/>
      <c r="AZ770" s="12" t="n"/>
      <c r="BA770" s="13" t="n"/>
      <c r="BB770" s="14" t="n"/>
      <c r="BC770" s="11">
        <f>IF(O770="","",IF(J770="GST 10%",ROUND(O770*set_GSTRate,2),0))</f>
        <v/>
      </c>
      <c r="BD770" s="11">
        <f>IF(O770="","",O770+BC770)</f>
        <v/>
      </c>
      <c r="BE770" s="15">
        <f>IF(O770="","",COUNTA(S770,V770,Y770,AB770,AE770,AH770,AK770,AN770,AQ770,AT770,AW770,AZ770))</f>
        <v/>
      </c>
      <c r="BF770" s="16">
        <f>IF(COUNT(T770,W770,Z770,AC770,AF770,AI770,AL770,AO770,AR770,AU770,AX770,BA770)=0,"",MAX(T770,W770,Z770,AC770,AF770,AI770,AL770,AO770,AR770,AU770,AX770,BA770))</f>
        <v/>
      </c>
      <c r="BG770" s="10">
        <f>MID(IF(S770="","",", "&amp;S770)&amp;IF(V770="","",", "&amp;V770)&amp;IF(Y770="","",", "&amp;Y770)&amp;IF(AB770="","",", "&amp;AB770)&amp;IF(AE770="","",", "&amp;AE770)&amp;IF(AH770="","",", "&amp;AH770)&amp;IF(AK770="","",", "&amp;AK770)&amp;IF(AN770="","",", "&amp;AN770)&amp;IF(AQ770="","",", "&amp;AQ770)&amp;IF(AT770="","",", "&amp;AT770)&amp;IF(AW770="","",", "&amp;AW770)&amp;IF(AZ770="","",", "&amp;AZ770),3,500)</f>
        <v/>
      </c>
      <c r="BH770" s="12" t="n"/>
      <c r="BI770" s="15">
        <f>IFERROR(MATCH($A770,IF($B770="Onsite",tbl_Onsite[Row ID],IF($B770="Production",tbl_Production[Row ID],tbl_Consulting[Row ID])),0),"")</f>
        <v/>
      </c>
    </row>
    <row r="771">
      <c r="A771" s="10" t="inlineStr">
        <is>
          <t>PRD-0265</t>
        </is>
      </c>
      <c r="B771" s="10" t="inlineStr">
        <is>
          <t>Production</t>
        </is>
      </c>
      <c r="C771" s="10">
        <f>IF($BI771="","",IF($B771="Onsite",INDEX(tbl_Onsite[Job Number],$BI771),IF($B771="Production",INDEX(tbl_Production[Job Number],$BI771),INDEX(tbl_Consulting[Job Number],$BI771)))&amp;"")</f>
        <v/>
      </c>
      <c r="D771" s="10">
        <f>IF($BI771="","",IF($B771="Onsite",INDEX(tbl_Onsite[Client],$BI771),IF($B771="Production",INDEX(tbl_Production[Client],$BI771),INDEX(tbl_Consulting[Client],$BI771)))&amp;"")</f>
        <v/>
      </c>
      <c r="E771" s="10">
        <f>IF($C771="","",IF(COUNTIF(lst_Jobs,$C771)&gt;0,"OK","CHECK"))</f>
        <v/>
      </c>
      <c r="F771" s="10">
        <f>IF($C771="","",IFERROR(INDEX(lst_JobName,MATCH($C771,lst_Jobs,0)),""))</f>
        <v/>
      </c>
      <c r="G771" s="10">
        <f>IF($BI771="","",IF($B771="Onsite",INDEX(tbl_Onsite[Job Description],$BI771),IF($B771="Production",INDEX(tbl_Production[Job Description],$BI771),INDEX(tbl_Consulting[Job Description],$BI771)))&amp;"")</f>
        <v/>
      </c>
      <c r="H771" s="10">
        <f>IF($BI771="","",IF($B771="Onsite",INDEX(tbl_Onsite[Cost Centre],$BI771),IF($B771="Production",INDEX(tbl_Production[Cost Centre],$BI771),INDEX(tbl_Consulting[Cost Centre],$BI771)))&amp;"")</f>
        <v/>
      </c>
      <c r="I771" s="10">
        <f>IF($BI771="","",IF($B771="Onsite",INDEX(tbl_Onsite[Invoice Type],$BI771),IF($B771="Production",INDEX(tbl_Production[Invoice Type],$BI771),INDEX(tbl_Consulting[Invoice Type],$BI771)))&amp;"")</f>
        <v/>
      </c>
      <c r="J771" s="10">
        <f>IF($BI771="","",IF($B771="Onsite",INDEX(tbl_Onsite[Tax Code],$BI771),IF($B771="Production",INDEX(tbl_Production[Tax Code],$BI771),INDEX(tbl_Consulting[Tax Code],$BI771)))&amp;"")</f>
        <v/>
      </c>
      <c r="K771" s="10">
        <f>IF(H771="","",IFERROR(INDEX(lst_CCtoGL,MATCH(H771,lst_CCforGL,0)),""))</f>
        <v/>
      </c>
      <c r="L771" s="10">
        <f>IF($BI771="","",IF($B771="Onsite",INDEX(tbl_Onsite[PO / Reference],$BI771),IF($B771="Production",INDEX(tbl_Production[Current RMS No],$BI771),INDEX(tbl_Consulting[Qwilr Quote],$BI771)))&amp;"")</f>
        <v/>
      </c>
      <c r="M771" s="10">
        <f>IF($BI771="","",IF($B771="Onsite",INDEX(tbl_Onsite[Notes],$BI771),IF($B771="Production",INDEX(tbl_Production[Notes],$BI771),INDEX(tbl_Consulting[Notes],$BI771)))&amp;"")</f>
        <v/>
      </c>
      <c r="N771" s="11">
        <f>IF($BI771="","",IF(IF($B771="Onsite",INDEX(tbl_Onsite[Expected Revenue Ex GST],$BI771),IF($B771="Production",INDEX(tbl_Production[Expected Revenue Ex GST],$BI771),INDEX(tbl_Consulting[Expected Revenue Ex GST],$BI771)))="","",IF($B771="Onsite",INDEX(tbl_Onsite[Expected Revenue Ex GST],$BI771),IF($B771="Production",INDEX(tbl_Production[Expected Revenue Ex GST],$BI771),INDEX(tbl_Consulting[Expected Revenue Ex GST],$BI771)))))</f>
        <v/>
      </c>
      <c r="O771" s="11">
        <f>IF(AND($C771="",NOT(COUNTA($S771:$BB771)&gt;0)),"",SUM(U771,X771,AA771,AD771,AG771,AJ771,AM771,AP771,AS771,AV771,AY771,BB771))</f>
        <v/>
      </c>
      <c r="P771" s="11">
        <f>IF(O771="","",N(N771)-O771)</f>
        <v/>
      </c>
      <c r="Q771" s="10">
        <f>IF(O771="","",IF($C771="","Invoice on empty job row",IF(N771="",IF(ROUND(O771,2)=0,"No dept value","Invoiced - no dept value"),IF(ROUND(O771,2)=0,"Not invoiced - to invoice",IF(ROUND(P771,2)=0,"Agrees",IF(P771&gt;0,"Dept higher - to invoice","Xero higher - check dept"))))))</f>
        <v/>
      </c>
      <c r="R771" s="10">
        <f>IF(AND($C771="",NOT(COUNTA($S771:$BB771)&gt;0),$BI771&lt;&gt;""),"",MID(IF($BI771="","; Row ID not found on the department sheet - a row was deleted","")&amp;IF(AND($C771="",COUNTA($S771:$BB771)&gt;0),"; Invoice entered but the department row has no job number","")&amp;IF(E771="CHECK","; Job number not in the Xero job list","")&amp;IF(AND($C771&lt;&gt;"",COUNTIF($C$7:$C$1506,$C771)&gt;1),"; Job number on more than one row","")&amp;IF(AND($C771&lt;&gt;"",H771=""),"; Dept has not set a cost centre","")&amp;IF(AND($C771&lt;&gt;"",J771=""),"; Dept has not set a tax code","")&amp;IF(AND($C771&lt;&gt;"",N771=""),"; Dept has not entered an expected value","")&amp;IF((IF(OR(COUNTA(S771:U771)=0,AND(COUNTA(S771:U771)=3,ISNUMBER(U771))),0,1)+IF(OR(COUNTA(V771:X771)=0,AND(COUNTA(V771:X771)=3,ISNUMBER(X771))),0,1)+IF(OR(COUNTA(Y771:AA771)=0,AND(COUNTA(Y771:AA771)=3,ISNUMBER(AA771))),0,1)+IF(OR(COUNTA(AB771:AD771)=0,AND(COUNTA(AB771:AD771)=3,ISNUMBER(AD771))),0,1)+IF(OR(COUNTA(AE771:AG771)=0,AND(COUNTA(AE771:AG771)=3,ISNUMBER(AG771))),0,1)+IF(OR(COUNTA(AH771:AJ771)=0,AND(COUNTA(AH771:AJ771)=3,ISNUMBER(AJ771))),0,1)+IF(OR(COUNTA(AK771:AM771)=0,AND(COUNTA(AK771:AM771)=3,ISNUMBER(AM771))),0,1)+IF(OR(COUNTA(AN771:AP771)=0,AND(COUNTA(AN771:AP771)=3,ISNUMBER(AP771))),0,1)+IF(OR(COUNTA(AQ771:AS771)=0,AND(COUNTA(AQ771:AS771)=3,ISNUMBER(AS771))),0,1)+IF(OR(COUNTA(AT771:AV771)=0,AND(COUNTA(AT771:AV771)=3,ISNUMBER(AV771))),0,1)+IF(OR(COUNTA(AW771:AY771)=0,AND(COUNTA(AW771:AY771)=3,ISNUMBER(AY771))),0,1)+IF(OR(COUNTA(AZ771:BB771)=0,AND(COUNTA(AZ771:BB771)=3,ISNUMBER(BB771))),0,1))&gt;0,"; An invoice is incomplete (needs No, Date and a number in Ex GST)","")&amp;IF((IF(T771="",0,IFERROR(--(EOMONTH(T771,0)&lt;&gt;S$5),1))+IF(W771="",0,IFERROR(--(EOMONTH(W771,0)&lt;&gt;V$5),1))+IF(Z771="",0,IFERROR(--(EOMONTH(Z771,0)&lt;&gt;Y$5),1))+IF(AC771="",0,IFERROR(--(EOMONTH(AC771,0)&lt;&gt;AB$5),1))+IF(AF771="",0,IFERROR(--(EOMONTH(AF771,0)&lt;&gt;AE$5),1))+IF(AI771="",0,IFERROR(--(EOMONTH(AI771,0)&lt;&gt;AH$5),1))+IF(AL771="",0,IFERROR(--(EOMONTH(AL771,0)&lt;&gt;AK$5),1))+IF(AO771="",0,IFERROR(--(EOMONTH(AO771,0)&lt;&gt;AN$5),1))+IF(AR771="",0,IFERROR(--(EOMONTH(AR771,0)&lt;&gt;AQ$5),1))+IF(AU771="",0,IFERROR(--(EOMONTH(AU771,0)&lt;&gt;AT$5),1))+IF(AX771="",0,IFERROR(--(EOMONTH(AX771,0)&lt;&gt;AW$5),1))+IF(BA771="",0,IFERROR(--(EOMONTH(BA771,0)&lt;&gt;AZ$5),1)))&gt;0,"; An invoice date is not in the month it is typed under",""),3,500))</f>
        <v/>
      </c>
      <c r="S771" s="12" t="n"/>
      <c r="T771" s="13" t="n"/>
      <c r="U771" s="14" t="n"/>
      <c r="V771" s="12" t="n"/>
      <c r="W771" s="13" t="n"/>
      <c r="X771" s="14" t="n"/>
      <c r="Y771" s="12" t="n"/>
      <c r="Z771" s="13" t="n"/>
      <c r="AA771" s="14" t="n"/>
      <c r="AB771" s="12" t="n"/>
      <c r="AC771" s="13" t="n"/>
      <c r="AD771" s="14" t="n"/>
      <c r="AE771" s="12" t="n"/>
      <c r="AF771" s="13" t="n"/>
      <c r="AG771" s="14" t="n"/>
      <c r="AH771" s="12" t="n"/>
      <c r="AI771" s="13" t="n"/>
      <c r="AJ771" s="14" t="n"/>
      <c r="AK771" s="12" t="n"/>
      <c r="AL771" s="13" t="n"/>
      <c r="AM771" s="14" t="n"/>
      <c r="AN771" s="12" t="n"/>
      <c r="AO771" s="13" t="n"/>
      <c r="AP771" s="14" t="n"/>
      <c r="AQ771" s="12" t="n"/>
      <c r="AR771" s="13" t="n"/>
      <c r="AS771" s="14" t="n"/>
      <c r="AT771" s="12" t="n"/>
      <c r="AU771" s="13" t="n"/>
      <c r="AV771" s="14" t="n"/>
      <c r="AW771" s="12" t="n"/>
      <c r="AX771" s="13" t="n"/>
      <c r="AY771" s="14" t="n"/>
      <c r="AZ771" s="12" t="n"/>
      <c r="BA771" s="13" t="n"/>
      <c r="BB771" s="14" t="n"/>
      <c r="BC771" s="11">
        <f>IF(O771="","",IF(J771="GST 10%",ROUND(O771*set_GSTRate,2),0))</f>
        <v/>
      </c>
      <c r="BD771" s="11">
        <f>IF(O771="","",O771+BC771)</f>
        <v/>
      </c>
      <c r="BE771" s="15">
        <f>IF(O771="","",COUNTA(S771,V771,Y771,AB771,AE771,AH771,AK771,AN771,AQ771,AT771,AW771,AZ771))</f>
        <v/>
      </c>
      <c r="BF771" s="16">
        <f>IF(COUNT(T771,W771,Z771,AC771,AF771,AI771,AL771,AO771,AR771,AU771,AX771,BA771)=0,"",MAX(T771,W771,Z771,AC771,AF771,AI771,AL771,AO771,AR771,AU771,AX771,BA771))</f>
        <v/>
      </c>
      <c r="BG771" s="10">
        <f>MID(IF(S771="","",", "&amp;S771)&amp;IF(V771="","",", "&amp;V771)&amp;IF(Y771="","",", "&amp;Y771)&amp;IF(AB771="","",", "&amp;AB771)&amp;IF(AE771="","",", "&amp;AE771)&amp;IF(AH771="","",", "&amp;AH771)&amp;IF(AK771="","",", "&amp;AK771)&amp;IF(AN771="","",", "&amp;AN771)&amp;IF(AQ771="","",", "&amp;AQ771)&amp;IF(AT771="","",", "&amp;AT771)&amp;IF(AW771="","",", "&amp;AW771)&amp;IF(AZ771="","",", "&amp;AZ771),3,500)</f>
        <v/>
      </c>
      <c r="BH771" s="12" t="n"/>
      <c r="BI771" s="15">
        <f>IFERROR(MATCH($A771,IF($B771="Onsite",tbl_Onsite[Row ID],IF($B771="Production",tbl_Production[Row ID],tbl_Consulting[Row ID])),0),"")</f>
        <v/>
      </c>
    </row>
    <row r="772">
      <c r="A772" s="10" t="inlineStr">
        <is>
          <t>PRD-0266</t>
        </is>
      </c>
      <c r="B772" s="10" t="inlineStr">
        <is>
          <t>Production</t>
        </is>
      </c>
      <c r="C772" s="10">
        <f>IF($BI772="","",IF($B772="Onsite",INDEX(tbl_Onsite[Job Number],$BI772),IF($B772="Production",INDEX(tbl_Production[Job Number],$BI772),INDEX(tbl_Consulting[Job Number],$BI772)))&amp;"")</f>
        <v/>
      </c>
      <c r="D772" s="10">
        <f>IF($BI772="","",IF($B772="Onsite",INDEX(tbl_Onsite[Client],$BI772),IF($B772="Production",INDEX(tbl_Production[Client],$BI772),INDEX(tbl_Consulting[Client],$BI772)))&amp;"")</f>
        <v/>
      </c>
      <c r="E772" s="10">
        <f>IF($C772="","",IF(COUNTIF(lst_Jobs,$C772)&gt;0,"OK","CHECK"))</f>
        <v/>
      </c>
      <c r="F772" s="10">
        <f>IF($C772="","",IFERROR(INDEX(lst_JobName,MATCH($C772,lst_Jobs,0)),""))</f>
        <v/>
      </c>
      <c r="G772" s="10">
        <f>IF($BI772="","",IF($B772="Onsite",INDEX(tbl_Onsite[Job Description],$BI772),IF($B772="Production",INDEX(tbl_Production[Job Description],$BI772),INDEX(tbl_Consulting[Job Description],$BI772)))&amp;"")</f>
        <v/>
      </c>
      <c r="H772" s="10">
        <f>IF($BI772="","",IF($B772="Onsite",INDEX(tbl_Onsite[Cost Centre],$BI772),IF($B772="Production",INDEX(tbl_Production[Cost Centre],$BI772),INDEX(tbl_Consulting[Cost Centre],$BI772)))&amp;"")</f>
        <v/>
      </c>
      <c r="I772" s="10">
        <f>IF($BI772="","",IF($B772="Onsite",INDEX(tbl_Onsite[Invoice Type],$BI772),IF($B772="Production",INDEX(tbl_Production[Invoice Type],$BI772),INDEX(tbl_Consulting[Invoice Type],$BI772)))&amp;"")</f>
        <v/>
      </c>
      <c r="J772" s="10">
        <f>IF($BI772="","",IF($B772="Onsite",INDEX(tbl_Onsite[Tax Code],$BI772),IF($B772="Production",INDEX(tbl_Production[Tax Code],$BI772),INDEX(tbl_Consulting[Tax Code],$BI772)))&amp;"")</f>
        <v/>
      </c>
      <c r="K772" s="10">
        <f>IF(H772="","",IFERROR(INDEX(lst_CCtoGL,MATCH(H772,lst_CCforGL,0)),""))</f>
        <v/>
      </c>
      <c r="L772" s="10">
        <f>IF($BI772="","",IF($B772="Onsite",INDEX(tbl_Onsite[PO / Reference],$BI772),IF($B772="Production",INDEX(tbl_Production[Current RMS No],$BI772),INDEX(tbl_Consulting[Qwilr Quote],$BI772)))&amp;"")</f>
        <v/>
      </c>
      <c r="M772" s="10">
        <f>IF($BI772="","",IF($B772="Onsite",INDEX(tbl_Onsite[Notes],$BI772),IF($B772="Production",INDEX(tbl_Production[Notes],$BI772),INDEX(tbl_Consulting[Notes],$BI772)))&amp;"")</f>
        <v/>
      </c>
      <c r="N772" s="11">
        <f>IF($BI772="","",IF(IF($B772="Onsite",INDEX(tbl_Onsite[Expected Revenue Ex GST],$BI772),IF($B772="Production",INDEX(tbl_Production[Expected Revenue Ex GST],$BI772),INDEX(tbl_Consulting[Expected Revenue Ex GST],$BI772)))="","",IF($B772="Onsite",INDEX(tbl_Onsite[Expected Revenue Ex GST],$BI772),IF($B772="Production",INDEX(tbl_Production[Expected Revenue Ex GST],$BI772),INDEX(tbl_Consulting[Expected Revenue Ex GST],$BI772)))))</f>
        <v/>
      </c>
      <c r="O772" s="11">
        <f>IF(AND($C772="",NOT(COUNTA($S772:$BB772)&gt;0)),"",SUM(U772,X772,AA772,AD772,AG772,AJ772,AM772,AP772,AS772,AV772,AY772,BB772))</f>
        <v/>
      </c>
      <c r="P772" s="11">
        <f>IF(O772="","",N(N772)-O772)</f>
        <v/>
      </c>
      <c r="Q772" s="10">
        <f>IF(O772="","",IF($C772="","Invoice on empty job row",IF(N772="",IF(ROUND(O772,2)=0,"No dept value","Invoiced - no dept value"),IF(ROUND(O772,2)=0,"Not invoiced - to invoice",IF(ROUND(P772,2)=0,"Agrees",IF(P772&gt;0,"Dept higher - to invoice","Xero higher - check dept"))))))</f>
        <v/>
      </c>
      <c r="R772" s="10">
        <f>IF(AND($C772="",NOT(COUNTA($S772:$BB772)&gt;0),$BI772&lt;&gt;""),"",MID(IF($BI772="","; Row ID not found on the department sheet - a row was deleted","")&amp;IF(AND($C772="",COUNTA($S772:$BB772)&gt;0),"; Invoice entered but the department row has no job number","")&amp;IF(E772="CHECK","; Job number not in the Xero job list","")&amp;IF(AND($C772&lt;&gt;"",COUNTIF($C$7:$C$1506,$C772)&gt;1),"; Job number on more than one row","")&amp;IF(AND($C772&lt;&gt;"",H772=""),"; Dept has not set a cost centre","")&amp;IF(AND($C772&lt;&gt;"",J772=""),"; Dept has not set a tax code","")&amp;IF(AND($C772&lt;&gt;"",N772=""),"; Dept has not entered an expected value","")&amp;IF((IF(OR(COUNTA(S772:U772)=0,AND(COUNTA(S772:U772)=3,ISNUMBER(U772))),0,1)+IF(OR(COUNTA(V772:X772)=0,AND(COUNTA(V772:X772)=3,ISNUMBER(X772))),0,1)+IF(OR(COUNTA(Y772:AA772)=0,AND(COUNTA(Y772:AA772)=3,ISNUMBER(AA772))),0,1)+IF(OR(COUNTA(AB772:AD772)=0,AND(COUNTA(AB772:AD772)=3,ISNUMBER(AD772))),0,1)+IF(OR(COUNTA(AE772:AG772)=0,AND(COUNTA(AE772:AG772)=3,ISNUMBER(AG772))),0,1)+IF(OR(COUNTA(AH772:AJ772)=0,AND(COUNTA(AH772:AJ772)=3,ISNUMBER(AJ772))),0,1)+IF(OR(COUNTA(AK772:AM772)=0,AND(COUNTA(AK772:AM772)=3,ISNUMBER(AM772))),0,1)+IF(OR(COUNTA(AN772:AP772)=0,AND(COUNTA(AN772:AP772)=3,ISNUMBER(AP772))),0,1)+IF(OR(COUNTA(AQ772:AS772)=0,AND(COUNTA(AQ772:AS772)=3,ISNUMBER(AS772))),0,1)+IF(OR(COUNTA(AT772:AV772)=0,AND(COUNTA(AT772:AV772)=3,ISNUMBER(AV772))),0,1)+IF(OR(COUNTA(AW772:AY772)=0,AND(COUNTA(AW772:AY772)=3,ISNUMBER(AY772))),0,1)+IF(OR(COUNTA(AZ772:BB772)=0,AND(COUNTA(AZ772:BB772)=3,ISNUMBER(BB772))),0,1))&gt;0,"; An invoice is incomplete (needs No, Date and a number in Ex GST)","")&amp;IF((IF(T772="",0,IFERROR(--(EOMONTH(T772,0)&lt;&gt;S$5),1))+IF(W772="",0,IFERROR(--(EOMONTH(W772,0)&lt;&gt;V$5),1))+IF(Z772="",0,IFERROR(--(EOMONTH(Z772,0)&lt;&gt;Y$5),1))+IF(AC772="",0,IFERROR(--(EOMONTH(AC772,0)&lt;&gt;AB$5),1))+IF(AF772="",0,IFERROR(--(EOMONTH(AF772,0)&lt;&gt;AE$5),1))+IF(AI772="",0,IFERROR(--(EOMONTH(AI772,0)&lt;&gt;AH$5),1))+IF(AL772="",0,IFERROR(--(EOMONTH(AL772,0)&lt;&gt;AK$5),1))+IF(AO772="",0,IFERROR(--(EOMONTH(AO772,0)&lt;&gt;AN$5),1))+IF(AR772="",0,IFERROR(--(EOMONTH(AR772,0)&lt;&gt;AQ$5),1))+IF(AU772="",0,IFERROR(--(EOMONTH(AU772,0)&lt;&gt;AT$5),1))+IF(AX772="",0,IFERROR(--(EOMONTH(AX772,0)&lt;&gt;AW$5),1))+IF(BA772="",0,IFERROR(--(EOMONTH(BA772,0)&lt;&gt;AZ$5),1)))&gt;0,"; An invoice date is not in the month it is typed under",""),3,500))</f>
        <v/>
      </c>
      <c r="S772" s="12" t="n"/>
      <c r="T772" s="13" t="n"/>
      <c r="U772" s="14" t="n"/>
      <c r="V772" s="12" t="n"/>
      <c r="W772" s="13" t="n"/>
      <c r="X772" s="14" t="n"/>
      <c r="Y772" s="12" t="n"/>
      <c r="Z772" s="13" t="n"/>
      <c r="AA772" s="14" t="n"/>
      <c r="AB772" s="12" t="n"/>
      <c r="AC772" s="13" t="n"/>
      <c r="AD772" s="14" t="n"/>
      <c r="AE772" s="12" t="n"/>
      <c r="AF772" s="13" t="n"/>
      <c r="AG772" s="14" t="n"/>
      <c r="AH772" s="12" t="n"/>
      <c r="AI772" s="13" t="n"/>
      <c r="AJ772" s="14" t="n"/>
      <c r="AK772" s="12" t="n"/>
      <c r="AL772" s="13" t="n"/>
      <c r="AM772" s="14" t="n"/>
      <c r="AN772" s="12" t="n"/>
      <c r="AO772" s="13" t="n"/>
      <c r="AP772" s="14" t="n"/>
      <c r="AQ772" s="12" t="n"/>
      <c r="AR772" s="13" t="n"/>
      <c r="AS772" s="14" t="n"/>
      <c r="AT772" s="12" t="n"/>
      <c r="AU772" s="13" t="n"/>
      <c r="AV772" s="14" t="n"/>
      <c r="AW772" s="12" t="n"/>
      <c r="AX772" s="13" t="n"/>
      <c r="AY772" s="14" t="n"/>
      <c r="AZ772" s="12" t="n"/>
      <c r="BA772" s="13" t="n"/>
      <c r="BB772" s="14" t="n"/>
      <c r="BC772" s="11">
        <f>IF(O772="","",IF(J772="GST 10%",ROUND(O772*set_GSTRate,2),0))</f>
        <v/>
      </c>
      <c r="BD772" s="11">
        <f>IF(O772="","",O772+BC772)</f>
        <v/>
      </c>
      <c r="BE772" s="15">
        <f>IF(O772="","",COUNTA(S772,V772,Y772,AB772,AE772,AH772,AK772,AN772,AQ772,AT772,AW772,AZ772))</f>
        <v/>
      </c>
      <c r="BF772" s="16">
        <f>IF(COUNT(T772,W772,Z772,AC772,AF772,AI772,AL772,AO772,AR772,AU772,AX772,BA772)=0,"",MAX(T772,W772,Z772,AC772,AF772,AI772,AL772,AO772,AR772,AU772,AX772,BA772))</f>
        <v/>
      </c>
      <c r="BG772" s="10">
        <f>MID(IF(S772="","",", "&amp;S772)&amp;IF(V772="","",", "&amp;V772)&amp;IF(Y772="","",", "&amp;Y772)&amp;IF(AB772="","",", "&amp;AB772)&amp;IF(AE772="","",", "&amp;AE772)&amp;IF(AH772="","",", "&amp;AH772)&amp;IF(AK772="","",", "&amp;AK772)&amp;IF(AN772="","",", "&amp;AN772)&amp;IF(AQ772="","",", "&amp;AQ772)&amp;IF(AT772="","",", "&amp;AT772)&amp;IF(AW772="","",", "&amp;AW772)&amp;IF(AZ772="","",", "&amp;AZ772),3,500)</f>
        <v/>
      </c>
      <c r="BH772" s="12" t="n"/>
      <c r="BI772" s="15">
        <f>IFERROR(MATCH($A772,IF($B772="Onsite",tbl_Onsite[Row ID],IF($B772="Production",tbl_Production[Row ID],tbl_Consulting[Row ID])),0),"")</f>
        <v/>
      </c>
    </row>
    <row r="773">
      <c r="A773" s="10" t="inlineStr">
        <is>
          <t>PRD-0267</t>
        </is>
      </c>
      <c r="B773" s="10" t="inlineStr">
        <is>
          <t>Production</t>
        </is>
      </c>
      <c r="C773" s="10">
        <f>IF($BI773="","",IF($B773="Onsite",INDEX(tbl_Onsite[Job Number],$BI773),IF($B773="Production",INDEX(tbl_Production[Job Number],$BI773),INDEX(tbl_Consulting[Job Number],$BI773)))&amp;"")</f>
        <v/>
      </c>
      <c r="D773" s="10">
        <f>IF($BI773="","",IF($B773="Onsite",INDEX(tbl_Onsite[Client],$BI773),IF($B773="Production",INDEX(tbl_Production[Client],$BI773),INDEX(tbl_Consulting[Client],$BI773)))&amp;"")</f>
        <v/>
      </c>
      <c r="E773" s="10">
        <f>IF($C773="","",IF(COUNTIF(lst_Jobs,$C773)&gt;0,"OK","CHECK"))</f>
        <v/>
      </c>
      <c r="F773" s="10">
        <f>IF($C773="","",IFERROR(INDEX(lst_JobName,MATCH($C773,lst_Jobs,0)),""))</f>
        <v/>
      </c>
      <c r="G773" s="10">
        <f>IF($BI773="","",IF($B773="Onsite",INDEX(tbl_Onsite[Job Description],$BI773),IF($B773="Production",INDEX(tbl_Production[Job Description],$BI773),INDEX(tbl_Consulting[Job Description],$BI773)))&amp;"")</f>
        <v/>
      </c>
      <c r="H773" s="10">
        <f>IF($BI773="","",IF($B773="Onsite",INDEX(tbl_Onsite[Cost Centre],$BI773),IF($B773="Production",INDEX(tbl_Production[Cost Centre],$BI773),INDEX(tbl_Consulting[Cost Centre],$BI773)))&amp;"")</f>
        <v/>
      </c>
      <c r="I773" s="10">
        <f>IF($BI773="","",IF($B773="Onsite",INDEX(tbl_Onsite[Invoice Type],$BI773),IF($B773="Production",INDEX(tbl_Production[Invoice Type],$BI773),INDEX(tbl_Consulting[Invoice Type],$BI773)))&amp;"")</f>
        <v/>
      </c>
      <c r="J773" s="10">
        <f>IF($BI773="","",IF($B773="Onsite",INDEX(tbl_Onsite[Tax Code],$BI773),IF($B773="Production",INDEX(tbl_Production[Tax Code],$BI773),INDEX(tbl_Consulting[Tax Code],$BI773)))&amp;"")</f>
        <v/>
      </c>
      <c r="K773" s="10">
        <f>IF(H773="","",IFERROR(INDEX(lst_CCtoGL,MATCH(H773,lst_CCforGL,0)),""))</f>
        <v/>
      </c>
      <c r="L773" s="10">
        <f>IF($BI773="","",IF($B773="Onsite",INDEX(tbl_Onsite[PO / Reference],$BI773),IF($B773="Production",INDEX(tbl_Production[Current RMS No],$BI773),INDEX(tbl_Consulting[Qwilr Quote],$BI773)))&amp;"")</f>
        <v/>
      </c>
      <c r="M773" s="10">
        <f>IF($BI773="","",IF($B773="Onsite",INDEX(tbl_Onsite[Notes],$BI773),IF($B773="Production",INDEX(tbl_Production[Notes],$BI773),INDEX(tbl_Consulting[Notes],$BI773)))&amp;"")</f>
        <v/>
      </c>
      <c r="N773" s="11">
        <f>IF($BI773="","",IF(IF($B773="Onsite",INDEX(tbl_Onsite[Expected Revenue Ex GST],$BI773),IF($B773="Production",INDEX(tbl_Production[Expected Revenue Ex GST],$BI773),INDEX(tbl_Consulting[Expected Revenue Ex GST],$BI773)))="","",IF($B773="Onsite",INDEX(tbl_Onsite[Expected Revenue Ex GST],$BI773),IF($B773="Production",INDEX(tbl_Production[Expected Revenue Ex GST],$BI773),INDEX(tbl_Consulting[Expected Revenue Ex GST],$BI773)))))</f>
        <v/>
      </c>
      <c r="O773" s="11">
        <f>IF(AND($C773="",NOT(COUNTA($S773:$BB773)&gt;0)),"",SUM(U773,X773,AA773,AD773,AG773,AJ773,AM773,AP773,AS773,AV773,AY773,BB773))</f>
        <v/>
      </c>
      <c r="P773" s="11">
        <f>IF(O773="","",N(N773)-O773)</f>
        <v/>
      </c>
      <c r="Q773" s="10">
        <f>IF(O773="","",IF($C773="","Invoice on empty job row",IF(N773="",IF(ROUND(O773,2)=0,"No dept value","Invoiced - no dept value"),IF(ROUND(O773,2)=0,"Not invoiced - to invoice",IF(ROUND(P773,2)=0,"Agrees",IF(P773&gt;0,"Dept higher - to invoice","Xero higher - check dept"))))))</f>
        <v/>
      </c>
      <c r="R773" s="10">
        <f>IF(AND($C773="",NOT(COUNTA($S773:$BB773)&gt;0),$BI773&lt;&gt;""),"",MID(IF($BI773="","; Row ID not found on the department sheet - a row was deleted","")&amp;IF(AND($C773="",COUNTA($S773:$BB773)&gt;0),"; Invoice entered but the department row has no job number","")&amp;IF(E773="CHECK","; Job number not in the Xero job list","")&amp;IF(AND($C773&lt;&gt;"",COUNTIF($C$7:$C$1506,$C773)&gt;1),"; Job number on more than one row","")&amp;IF(AND($C773&lt;&gt;"",H773=""),"; Dept has not set a cost centre","")&amp;IF(AND($C773&lt;&gt;"",J773=""),"; Dept has not set a tax code","")&amp;IF(AND($C773&lt;&gt;"",N773=""),"; Dept has not entered an expected value","")&amp;IF((IF(OR(COUNTA(S773:U773)=0,AND(COUNTA(S773:U773)=3,ISNUMBER(U773))),0,1)+IF(OR(COUNTA(V773:X773)=0,AND(COUNTA(V773:X773)=3,ISNUMBER(X773))),0,1)+IF(OR(COUNTA(Y773:AA773)=0,AND(COUNTA(Y773:AA773)=3,ISNUMBER(AA773))),0,1)+IF(OR(COUNTA(AB773:AD773)=0,AND(COUNTA(AB773:AD773)=3,ISNUMBER(AD773))),0,1)+IF(OR(COUNTA(AE773:AG773)=0,AND(COUNTA(AE773:AG773)=3,ISNUMBER(AG773))),0,1)+IF(OR(COUNTA(AH773:AJ773)=0,AND(COUNTA(AH773:AJ773)=3,ISNUMBER(AJ773))),0,1)+IF(OR(COUNTA(AK773:AM773)=0,AND(COUNTA(AK773:AM773)=3,ISNUMBER(AM773))),0,1)+IF(OR(COUNTA(AN773:AP773)=0,AND(COUNTA(AN773:AP773)=3,ISNUMBER(AP773))),0,1)+IF(OR(COUNTA(AQ773:AS773)=0,AND(COUNTA(AQ773:AS773)=3,ISNUMBER(AS773))),0,1)+IF(OR(COUNTA(AT773:AV773)=0,AND(COUNTA(AT773:AV773)=3,ISNUMBER(AV773))),0,1)+IF(OR(COUNTA(AW773:AY773)=0,AND(COUNTA(AW773:AY773)=3,ISNUMBER(AY773))),0,1)+IF(OR(COUNTA(AZ773:BB773)=0,AND(COUNTA(AZ773:BB773)=3,ISNUMBER(BB773))),0,1))&gt;0,"; An invoice is incomplete (needs No, Date and a number in Ex GST)","")&amp;IF((IF(T773="",0,IFERROR(--(EOMONTH(T773,0)&lt;&gt;S$5),1))+IF(W773="",0,IFERROR(--(EOMONTH(W773,0)&lt;&gt;V$5),1))+IF(Z773="",0,IFERROR(--(EOMONTH(Z773,0)&lt;&gt;Y$5),1))+IF(AC773="",0,IFERROR(--(EOMONTH(AC773,0)&lt;&gt;AB$5),1))+IF(AF773="",0,IFERROR(--(EOMONTH(AF773,0)&lt;&gt;AE$5),1))+IF(AI773="",0,IFERROR(--(EOMONTH(AI773,0)&lt;&gt;AH$5),1))+IF(AL773="",0,IFERROR(--(EOMONTH(AL773,0)&lt;&gt;AK$5),1))+IF(AO773="",0,IFERROR(--(EOMONTH(AO773,0)&lt;&gt;AN$5),1))+IF(AR773="",0,IFERROR(--(EOMONTH(AR773,0)&lt;&gt;AQ$5),1))+IF(AU773="",0,IFERROR(--(EOMONTH(AU773,0)&lt;&gt;AT$5),1))+IF(AX773="",0,IFERROR(--(EOMONTH(AX773,0)&lt;&gt;AW$5),1))+IF(BA773="",0,IFERROR(--(EOMONTH(BA773,0)&lt;&gt;AZ$5),1)))&gt;0,"; An invoice date is not in the month it is typed under",""),3,500))</f>
        <v/>
      </c>
      <c r="S773" s="12" t="n"/>
      <c r="T773" s="13" t="n"/>
      <c r="U773" s="14" t="n"/>
      <c r="V773" s="12" t="n"/>
      <c r="W773" s="13" t="n"/>
      <c r="X773" s="14" t="n"/>
      <c r="Y773" s="12" t="n"/>
      <c r="Z773" s="13" t="n"/>
      <c r="AA773" s="14" t="n"/>
      <c r="AB773" s="12" t="n"/>
      <c r="AC773" s="13" t="n"/>
      <c r="AD773" s="14" t="n"/>
      <c r="AE773" s="12" t="n"/>
      <c r="AF773" s="13" t="n"/>
      <c r="AG773" s="14" t="n"/>
      <c r="AH773" s="12" t="n"/>
      <c r="AI773" s="13" t="n"/>
      <c r="AJ773" s="14" t="n"/>
      <c r="AK773" s="12" t="n"/>
      <c r="AL773" s="13" t="n"/>
      <c r="AM773" s="14" t="n"/>
      <c r="AN773" s="12" t="n"/>
      <c r="AO773" s="13" t="n"/>
      <c r="AP773" s="14" t="n"/>
      <c r="AQ773" s="12" t="n"/>
      <c r="AR773" s="13" t="n"/>
      <c r="AS773" s="14" t="n"/>
      <c r="AT773" s="12" t="n"/>
      <c r="AU773" s="13" t="n"/>
      <c r="AV773" s="14" t="n"/>
      <c r="AW773" s="12" t="n"/>
      <c r="AX773" s="13" t="n"/>
      <c r="AY773" s="14" t="n"/>
      <c r="AZ773" s="12" t="n"/>
      <c r="BA773" s="13" t="n"/>
      <c r="BB773" s="14" t="n"/>
      <c r="BC773" s="11">
        <f>IF(O773="","",IF(J773="GST 10%",ROUND(O773*set_GSTRate,2),0))</f>
        <v/>
      </c>
      <c r="BD773" s="11">
        <f>IF(O773="","",O773+BC773)</f>
        <v/>
      </c>
      <c r="BE773" s="15">
        <f>IF(O773="","",COUNTA(S773,V773,Y773,AB773,AE773,AH773,AK773,AN773,AQ773,AT773,AW773,AZ773))</f>
        <v/>
      </c>
      <c r="BF773" s="16">
        <f>IF(COUNT(T773,W773,Z773,AC773,AF773,AI773,AL773,AO773,AR773,AU773,AX773,BA773)=0,"",MAX(T773,W773,Z773,AC773,AF773,AI773,AL773,AO773,AR773,AU773,AX773,BA773))</f>
        <v/>
      </c>
      <c r="BG773" s="10">
        <f>MID(IF(S773="","",", "&amp;S773)&amp;IF(V773="","",", "&amp;V773)&amp;IF(Y773="","",", "&amp;Y773)&amp;IF(AB773="","",", "&amp;AB773)&amp;IF(AE773="","",", "&amp;AE773)&amp;IF(AH773="","",", "&amp;AH773)&amp;IF(AK773="","",", "&amp;AK773)&amp;IF(AN773="","",", "&amp;AN773)&amp;IF(AQ773="","",", "&amp;AQ773)&amp;IF(AT773="","",", "&amp;AT773)&amp;IF(AW773="","",", "&amp;AW773)&amp;IF(AZ773="","",", "&amp;AZ773),3,500)</f>
        <v/>
      </c>
      <c r="BH773" s="12" t="n"/>
      <c r="BI773" s="15">
        <f>IFERROR(MATCH($A773,IF($B773="Onsite",tbl_Onsite[Row ID],IF($B773="Production",tbl_Production[Row ID],tbl_Consulting[Row ID])),0),"")</f>
        <v/>
      </c>
    </row>
    <row r="774">
      <c r="A774" s="10" t="inlineStr">
        <is>
          <t>PRD-0268</t>
        </is>
      </c>
      <c r="B774" s="10" t="inlineStr">
        <is>
          <t>Production</t>
        </is>
      </c>
      <c r="C774" s="10">
        <f>IF($BI774="","",IF($B774="Onsite",INDEX(tbl_Onsite[Job Number],$BI774),IF($B774="Production",INDEX(tbl_Production[Job Number],$BI774),INDEX(tbl_Consulting[Job Number],$BI774)))&amp;"")</f>
        <v/>
      </c>
      <c r="D774" s="10">
        <f>IF($BI774="","",IF($B774="Onsite",INDEX(tbl_Onsite[Client],$BI774),IF($B774="Production",INDEX(tbl_Production[Client],$BI774),INDEX(tbl_Consulting[Client],$BI774)))&amp;"")</f>
        <v/>
      </c>
      <c r="E774" s="10">
        <f>IF($C774="","",IF(COUNTIF(lst_Jobs,$C774)&gt;0,"OK","CHECK"))</f>
        <v/>
      </c>
      <c r="F774" s="10">
        <f>IF($C774="","",IFERROR(INDEX(lst_JobName,MATCH($C774,lst_Jobs,0)),""))</f>
        <v/>
      </c>
      <c r="G774" s="10">
        <f>IF($BI774="","",IF($B774="Onsite",INDEX(tbl_Onsite[Job Description],$BI774),IF($B774="Production",INDEX(tbl_Production[Job Description],$BI774),INDEX(tbl_Consulting[Job Description],$BI774)))&amp;"")</f>
        <v/>
      </c>
      <c r="H774" s="10">
        <f>IF($BI774="","",IF($B774="Onsite",INDEX(tbl_Onsite[Cost Centre],$BI774),IF($B774="Production",INDEX(tbl_Production[Cost Centre],$BI774),INDEX(tbl_Consulting[Cost Centre],$BI774)))&amp;"")</f>
        <v/>
      </c>
      <c r="I774" s="10">
        <f>IF($BI774="","",IF($B774="Onsite",INDEX(tbl_Onsite[Invoice Type],$BI774),IF($B774="Production",INDEX(tbl_Production[Invoice Type],$BI774),INDEX(tbl_Consulting[Invoice Type],$BI774)))&amp;"")</f>
        <v/>
      </c>
      <c r="J774" s="10">
        <f>IF($BI774="","",IF($B774="Onsite",INDEX(tbl_Onsite[Tax Code],$BI774),IF($B774="Production",INDEX(tbl_Production[Tax Code],$BI774),INDEX(tbl_Consulting[Tax Code],$BI774)))&amp;"")</f>
        <v/>
      </c>
      <c r="K774" s="10">
        <f>IF(H774="","",IFERROR(INDEX(lst_CCtoGL,MATCH(H774,lst_CCforGL,0)),""))</f>
        <v/>
      </c>
      <c r="L774" s="10">
        <f>IF($BI774="","",IF($B774="Onsite",INDEX(tbl_Onsite[PO / Reference],$BI774),IF($B774="Production",INDEX(tbl_Production[Current RMS No],$BI774),INDEX(tbl_Consulting[Qwilr Quote],$BI774)))&amp;"")</f>
        <v/>
      </c>
      <c r="M774" s="10">
        <f>IF($BI774="","",IF($B774="Onsite",INDEX(tbl_Onsite[Notes],$BI774),IF($B774="Production",INDEX(tbl_Production[Notes],$BI774),INDEX(tbl_Consulting[Notes],$BI774)))&amp;"")</f>
        <v/>
      </c>
      <c r="N774" s="11">
        <f>IF($BI774="","",IF(IF($B774="Onsite",INDEX(tbl_Onsite[Expected Revenue Ex GST],$BI774),IF($B774="Production",INDEX(tbl_Production[Expected Revenue Ex GST],$BI774),INDEX(tbl_Consulting[Expected Revenue Ex GST],$BI774)))="","",IF($B774="Onsite",INDEX(tbl_Onsite[Expected Revenue Ex GST],$BI774),IF($B774="Production",INDEX(tbl_Production[Expected Revenue Ex GST],$BI774),INDEX(tbl_Consulting[Expected Revenue Ex GST],$BI774)))))</f>
        <v/>
      </c>
      <c r="O774" s="11">
        <f>IF(AND($C774="",NOT(COUNTA($S774:$BB774)&gt;0)),"",SUM(U774,X774,AA774,AD774,AG774,AJ774,AM774,AP774,AS774,AV774,AY774,BB774))</f>
        <v/>
      </c>
      <c r="P774" s="11">
        <f>IF(O774="","",N(N774)-O774)</f>
        <v/>
      </c>
      <c r="Q774" s="10">
        <f>IF(O774="","",IF($C774="","Invoice on empty job row",IF(N774="",IF(ROUND(O774,2)=0,"No dept value","Invoiced - no dept value"),IF(ROUND(O774,2)=0,"Not invoiced - to invoice",IF(ROUND(P774,2)=0,"Agrees",IF(P774&gt;0,"Dept higher - to invoice","Xero higher - check dept"))))))</f>
        <v/>
      </c>
      <c r="R774" s="10">
        <f>IF(AND($C774="",NOT(COUNTA($S774:$BB774)&gt;0),$BI774&lt;&gt;""),"",MID(IF($BI774="","; Row ID not found on the department sheet - a row was deleted","")&amp;IF(AND($C774="",COUNTA($S774:$BB774)&gt;0),"; Invoice entered but the department row has no job number","")&amp;IF(E774="CHECK","; Job number not in the Xero job list","")&amp;IF(AND($C774&lt;&gt;"",COUNTIF($C$7:$C$1506,$C774)&gt;1),"; Job number on more than one row","")&amp;IF(AND($C774&lt;&gt;"",H774=""),"; Dept has not set a cost centre","")&amp;IF(AND($C774&lt;&gt;"",J774=""),"; Dept has not set a tax code","")&amp;IF(AND($C774&lt;&gt;"",N774=""),"; Dept has not entered an expected value","")&amp;IF((IF(OR(COUNTA(S774:U774)=0,AND(COUNTA(S774:U774)=3,ISNUMBER(U774))),0,1)+IF(OR(COUNTA(V774:X774)=0,AND(COUNTA(V774:X774)=3,ISNUMBER(X774))),0,1)+IF(OR(COUNTA(Y774:AA774)=0,AND(COUNTA(Y774:AA774)=3,ISNUMBER(AA774))),0,1)+IF(OR(COUNTA(AB774:AD774)=0,AND(COUNTA(AB774:AD774)=3,ISNUMBER(AD774))),0,1)+IF(OR(COUNTA(AE774:AG774)=0,AND(COUNTA(AE774:AG774)=3,ISNUMBER(AG774))),0,1)+IF(OR(COUNTA(AH774:AJ774)=0,AND(COUNTA(AH774:AJ774)=3,ISNUMBER(AJ774))),0,1)+IF(OR(COUNTA(AK774:AM774)=0,AND(COUNTA(AK774:AM774)=3,ISNUMBER(AM774))),0,1)+IF(OR(COUNTA(AN774:AP774)=0,AND(COUNTA(AN774:AP774)=3,ISNUMBER(AP774))),0,1)+IF(OR(COUNTA(AQ774:AS774)=0,AND(COUNTA(AQ774:AS774)=3,ISNUMBER(AS774))),0,1)+IF(OR(COUNTA(AT774:AV774)=0,AND(COUNTA(AT774:AV774)=3,ISNUMBER(AV774))),0,1)+IF(OR(COUNTA(AW774:AY774)=0,AND(COUNTA(AW774:AY774)=3,ISNUMBER(AY774))),0,1)+IF(OR(COUNTA(AZ774:BB774)=0,AND(COUNTA(AZ774:BB774)=3,ISNUMBER(BB774))),0,1))&gt;0,"; An invoice is incomplete (needs No, Date and a number in Ex GST)","")&amp;IF((IF(T774="",0,IFERROR(--(EOMONTH(T774,0)&lt;&gt;S$5),1))+IF(W774="",0,IFERROR(--(EOMONTH(W774,0)&lt;&gt;V$5),1))+IF(Z774="",0,IFERROR(--(EOMONTH(Z774,0)&lt;&gt;Y$5),1))+IF(AC774="",0,IFERROR(--(EOMONTH(AC774,0)&lt;&gt;AB$5),1))+IF(AF774="",0,IFERROR(--(EOMONTH(AF774,0)&lt;&gt;AE$5),1))+IF(AI774="",0,IFERROR(--(EOMONTH(AI774,0)&lt;&gt;AH$5),1))+IF(AL774="",0,IFERROR(--(EOMONTH(AL774,0)&lt;&gt;AK$5),1))+IF(AO774="",0,IFERROR(--(EOMONTH(AO774,0)&lt;&gt;AN$5),1))+IF(AR774="",0,IFERROR(--(EOMONTH(AR774,0)&lt;&gt;AQ$5),1))+IF(AU774="",0,IFERROR(--(EOMONTH(AU774,0)&lt;&gt;AT$5),1))+IF(AX774="",0,IFERROR(--(EOMONTH(AX774,0)&lt;&gt;AW$5),1))+IF(BA774="",0,IFERROR(--(EOMONTH(BA774,0)&lt;&gt;AZ$5),1)))&gt;0,"; An invoice date is not in the month it is typed under",""),3,500))</f>
        <v/>
      </c>
      <c r="S774" s="12" t="n"/>
      <c r="T774" s="13" t="n"/>
      <c r="U774" s="14" t="n"/>
      <c r="V774" s="12" t="n"/>
      <c r="W774" s="13" t="n"/>
      <c r="X774" s="14" t="n"/>
      <c r="Y774" s="12" t="n"/>
      <c r="Z774" s="13" t="n"/>
      <c r="AA774" s="14" t="n"/>
      <c r="AB774" s="12" t="n"/>
      <c r="AC774" s="13" t="n"/>
      <c r="AD774" s="14" t="n"/>
      <c r="AE774" s="12" t="n"/>
      <c r="AF774" s="13" t="n"/>
      <c r="AG774" s="14" t="n"/>
      <c r="AH774" s="12" t="n"/>
      <c r="AI774" s="13" t="n"/>
      <c r="AJ774" s="14" t="n"/>
      <c r="AK774" s="12" t="n"/>
      <c r="AL774" s="13" t="n"/>
      <c r="AM774" s="14" t="n"/>
      <c r="AN774" s="12" t="n"/>
      <c r="AO774" s="13" t="n"/>
      <c r="AP774" s="14" t="n"/>
      <c r="AQ774" s="12" t="n"/>
      <c r="AR774" s="13" t="n"/>
      <c r="AS774" s="14" t="n"/>
      <c r="AT774" s="12" t="n"/>
      <c r="AU774" s="13" t="n"/>
      <c r="AV774" s="14" t="n"/>
      <c r="AW774" s="12" t="n"/>
      <c r="AX774" s="13" t="n"/>
      <c r="AY774" s="14" t="n"/>
      <c r="AZ774" s="12" t="n"/>
      <c r="BA774" s="13" t="n"/>
      <c r="BB774" s="14" t="n"/>
      <c r="BC774" s="11">
        <f>IF(O774="","",IF(J774="GST 10%",ROUND(O774*set_GSTRate,2),0))</f>
        <v/>
      </c>
      <c r="BD774" s="11">
        <f>IF(O774="","",O774+BC774)</f>
        <v/>
      </c>
      <c r="BE774" s="15">
        <f>IF(O774="","",COUNTA(S774,V774,Y774,AB774,AE774,AH774,AK774,AN774,AQ774,AT774,AW774,AZ774))</f>
        <v/>
      </c>
      <c r="BF774" s="16">
        <f>IF(COUNT(T774,W774,Z774,AC774,AF774,AI774,AL774,AO774,AR774,AU774,AX774,BA774)=0,"",MAX(T774,W774,Z774,AC774,AF774,AI774,AL774,AO774,AR774,AU774,AX774,BA774))</f>
        <v/>
      </c>
      <c r="BG774" s="10">
        <f>MID(IF(S774="","",", "&amp;S774)&amp;IF(V774="","",", "&amp;V774)&amp;IF(Y774="","",", "&amp;Y774)&amp;IF(AB774="","",", "&amp;AB774)&amp;IF(AE774="","",", "&amp;AE774)&amp;IF(AH774="","",", "&amp;AH774)&amp;IF(AK774="","",", "&amp;AK774)&amp;IF(AN774="","",", "&amp;AN774)&amp;IF(AQ774="","",", "&amp;AQ774)&amp;IF(AT774="","",", "&amp;AT774)&amp;IF(AW774="","",", "&amp;AW774)&amp;IF(AZ774="","",", "&amp;AZ774),3,500)</f>
        <v/>
      </c>
      <c r="BH774" s="12" t="n"/>
      <c r="BI774" s="15">
        <f>IFERROR(MATCH($A774,IF($B774="Onsite",tbl_Onsite[Row ID],IF($B774="Production",tbl_Production[Row ID],tbl_Consulting[Row ID])),0),"")</f>
        <v/>
      </c>
    </row>
    <row r="775">
      <c r="A775" s="10" t="inlineStr">
        <is>
          <t>PRD-0269</t>
        </is>
      </c>
      <c r="B775" s="10" t="inlineStr">
        <is>
          <t>Production</t>
        </is>
      </c>
      <c r="C775" s="10">
        <f>IF($BI775="","",IF($B775="Onsite",INDEX(tbl_Onsite[Job Number],$BI775),IF($B775="Production",INDEX(tbl_Production[Job Number],$BI775),INDEX(tbl_Consulting[Job Number],$BI775)))&amp;"")</f>
        <v/>
      </c>
      <c r="D775" s="10">
        <f>IF($BI775="","",IF($B775="Onsite",INDEX(tbl_Onsite[Client],$BI775),IF($B775="Production",INDEX(tbl_Production[Client],$BI775),INDEX(tbl_Consulting[Client],$BI775)))&amp;"")</f>
        <v/>
      </c>
      <c r="E775" s="10">
        <f>IF($C775="","",IF(COUNTIF(lst_Jobs,$C775)&gt;0,"OK","CHECK"))</f>
        <v/>
      </c>
      <c r="F775" s="10">
        <f>IF($C775="","",IFERROR(INDEX(lst_JobName,MATCH($C775,lst_Jobs,0)),""))</f>
        <v/>
      </c>
      <c r="G775" s="10">
        <f>IF($BI775="","",IF($B775="Onsite",INDEX(tbl_Onsite[Job Description],$BI775),IF($B775="Production",INDEX(tbl_Production[Job Description],$BI775),INDEX(tbl_Consulting[Job Description],$BI775)))&amp;"")</f>
        <v/>
      </c>
      <c r="H775" s="10">
        <f>IF($BI775="","",IF($B775="Onsite",INDEX(tbl_Onsite[Cost Centre],$BI775),IF($B775="Production",INDEX(tbl_Production[Cost Centre],$BI775),INDEX(tbl_Consulting[Cost Centre],$BI775)))&amp;"")</f>
        <v/>
      </c>
      <c r="I775" s="10">
        <f>IF($BI775="","",IF($B775="Onsite",INDEX(tbl_Onsite[Invoice Type],$BI775),IF($B775="Production",INDEX(tbl_Production[Invoice Type],$BI775),INDEX(tbl_Consulting[Invoice Type],$BI775)))&amp;"")</f>
        <v/>
      </c>
      <c r="J775" s="10">
        <f>IF($BI775="","",IF($B775="Onsite",INDEX(tbl_Onsite[Tax Code],$BI775),IF($B775="Production",INDEX(tbl_Production[Tax Code],$BI775),INDEX(tbl_Consulting[Tax Code],$BI775)))&amp;"")</f>
        <v/>
      </c>
      <c r="K775" s="10">
        <f>IF(H775="","",IFERROR(INDEX(lst_CCtoGL,MATCH(H775,lst_CCforGL,0)),""))</f>
        <v/>
      </c>
      <c r="L775" s="10">
        <f>IF($BI775="","",IF($B775="Onsite",INDEX(tbl_Onsite[PO / Reference],$BI775),IF($B775="Production",INDEX(tbl_Production[Current RMS No],$BI775),INDEX(tbl_Consulting[Qwilr Quote],$BI775)))&amp;"")</f>
        <v/>
      </c>
      <c r="M775" s="10">
        <f>IF($BI775="","",IF($B775="Onsite",INDEX(tbl_Onsite[Notes],$BI775),IF($B775="Production",INDEX(tbl_Production[Notes],$BI775),INDEX(tbl_Consulting[Notes],$BI775)))&amp;"")</f>
        <v/>
      </c>
      <c r="N775" s="11">
        <f>IF($BI775="","",IF(IF($B775="Onsite",INDEX(tbl_Onsite[Expected Revenue Ex GST],$BI775),IF($B775="Production",INDEX(tbl_Production[Expected Revenue Ex GST],$BI775),INDEX(tbl_Consulting[Expected Revenue Ex GST],$BI775)))="","",IF($B775="Onsite",INDEX(tbl_Onsite[Expected Revenue Ex GST],$BI775),IF($B775="Production",INDEX(tbl_Production[Expected Revenue Ex GST],$BI775),INDEX(tbl_Consulting[Expected Revenue Ex GST],$BI775)))))</f>
        <v/>
      </c>
      <c r="O775" s="11">
        <f>IF(AND($C775="",NOT(COUNTA($S775:$BB775)&gt;0)),"",SUM(U775,X775,AA775,AD775,AG775,AJ775,AM775,AP775,AS775,AV775,AY775,BB775))</f>
        <v/>
      </c>
      <c r="P775" s="11">
        <f>IF(O775="","",N(N775)-O775)</f>
        <v/>
      </c>
      <c r="Q775" s="10">
        <f>IF(O775="","",IF($C775="","Invoice on empty job row",IF(N775="",IF(ROUND(O775,2)=0,"No dept value","Invoiced - no dept value"),IF(ROUND(O775,2)=0,"Not invoiced - to invoice",IF(ROUND(P775,2)=0,"Agrees",IF(P775&gt;0,"Dept higher - to invoice","Xero higher - check dept"))))))</f>
        <v/>
      </c>
      <c r="R775" s="10">
        <f>IF(AND($C775="",NOT(COUNTA($S775:$BB775)&gt;0),$BI775&lt;&gt;""),"",MID(IF($BI775="","; Row ID not found on the department sheet - a row was deleted","")&amp;IF(AND($C775="",COUNTA($S775:$BB775)&gt;0),"; Invoice entered but the department row has no job number","")&amp;IF(E775="CHECK","; Job number not in the Xero job list","")&amp;IF(AND($C775&lt;&gt;"",COUNTIF($C$7:$C$1506,$C775)&gt;1),"; Job number on more than one row","")&amp;IF(AND($C775&lt;&gt;"",H775=""),"; Dept has not set a cost centre","")&amp;IF(AND($C775&lt;&gt;"",J775=""),"; Dept has not set a tax code","")&amp;IF(AND($C775&lt;&gt;"",N775=""),"; Dept has not entered an expected value","")&amp;IF((IF(OR(COUNTA(S775:U775)=0,AND(COUNTA(S775:U775)=3,ISNUMBER(U775))),0,1)+IF(OR(COUNTA(V775:X775)=0,AND(COUNTA(V775:X775)=3,ISNUMBER(X775))),0,1)+IF(OR(COUNTA(Y775:AA775)=0,AND(COUNTA(Y775:AA775)=3,ISNUMBER(AA775))),0,1)+IF(OR(COUNTA(AB775:AD775)=0,AND(COUNTA(AB775:AD775)=3,ISNUMBER(AD775))),0,1)+IF(OR(COUNTA(AE775:AG775)=0,AND(COUNTA(AE775:AG775)=3,ISNUMBER(AG775))),0,1)+IF(OR(COUNTA(AH775:AJ775)=0,AND(COUNTA(AH775:AJ775)=3,ISNUMBER(AJ775))),0,1)+IF(OR(COUNTA(AK775:AM775)=0,AND(COUNTA(AK775:AM775)=3,ISNUMBER(AM775))),0,1)+IF(OR(COUNTA(AN775:AP775)=0,AND(COUNTA(AN775:AP775)=3,ISNUMBER(AP775))),0,1)+IF(OR(COUNTA(AQ775:AS775)=0,AND(COUNTA(AQ775:AS775)=3,ISNUMBER(AS775))),0,1)+IF(OR(COUNTA(AT775:AV775)=0,AND(COUNTA(AT775:AV775)=3,ISNUMBER(AV775))),0,1)+IF(OR(COUNTA(AW775:AY775)=0,AND(COUNTA(AW775:AY775)=3,ISNUMBER(AY775))),0,1)+IF(OR(COUNTA(AZ775:BB775)=0,AND(COUNTA(AZ775:BB775)=3,ISNUMBER(BB775))),0,1))&gt;0,"; An invoice is incomplete (needs No, Date and a number in Ex GST)","")&amp;IF((IF(T775="",0,IFERROR(--(EOMONTH(T775,0)&lt;&gt;S$5),1))+IF(W775="",0,IFERROR(--(EOMONTH(W775,0)&lt;&gt;V$5),1))+IF(Z775="",0,IFERROR(--(EOMONTH(Z775,0)&lt;&gt;Y$5),1))+IF(AC775="",0,IFERROR(--(EOMONTH(AC775,0)&lt;&gt;AB$5),1))+IF(AF775="",0,IFERROR(--(EOMONTH(AF775,0)&lt;&gt;AE$5),1))+IF(AI775="",0,IFERROR(--(EOMONTH(AI775,0)&lt;&gt;AH$5),1))+IF(AL775="",0,IFERROR(--(EOMONTH(AL775,0)&lt;&gt;AK$5),1))+IF(AO775="",0,IFERROR(--(EOMONTH(AO775,0)&lt;&gt;AN$5),1))+IF(AR775="",0,IFERROR(--(EOMONTH(AR775,0)&lt;&gt;AQ$5),1))+IF(AU775="",0,IFERROR(--(EOMONTH(AU775,0)&lt;&gt;AT$5),1))+IF(AX775="",0,IFERROR(--(EOMONTH(AX775,0)&lt;&gt;AW$5),1))+IF(BA775="",0,IFERROR(--(EOMONTH(BA775,0)&lt;&gt;AZ$5),1)))&gt;0,"; An invoice date is not in the month it is typed under",""),3,500))</f>
        <v/>
      </c>
      <c r="S775" s="12" t="n"/>
      <c r="T775" s="13" t="n"/>
      <c r="U775" s="14" t="n"/>
      <c r="V775" s="12" t="n"/>
      <c r="W775" s="13" t="n"/>
      <c r="X775" s="14" t="n"/>
      <c r="Y775" s="12" t="n"/>
      <c r="Z775" s="13" t="n"/>
      <c r="AA775" s="14" t="n"/>
      <c r="AB775" s="12" t="n"/>
      <c r="AC775" s="13" t="n"/>
      <c r="AD775" s="14" t="n"/>
      <c r="AE775" s="12" t="n"/>
      <c r="AF775" s="13" t="n"/>
      <c r="AG775" s="14" t="n"/>
      <c r="AH775" s="12" t="n"/>
      <c r="AI775" s="13" t="n"/>
      <c r="AJ775" s="14" t="n"/>
      <c r="AK775" s="12" t="n"/>
      <c r="AL775" s="13" t="n"/>
      <c r="AM775" s="14" t="n"/>
      <c r="AN775" s="12" t="n"/>
      <c r="AO775" s="13" t="n"/>
      <c r="AP775" s="14" t="n"/>
      <c r="AQ775" s="12" t="n"/>
      <c r="AR775" s="13" t="n"/>
      <c r="AS775" s="14" t="n"/>
      <c r="AT775" s="12" t="n"/>
      <c r="AU775" s="13" t="n"/>
      <c r="AV775" s="14" t="n"/>
      <c r="AW775" s="12" t="n"/>
      <c r="AX775" s="13" t="n"/>
      <c r="AY775" s="14" t="n"/>
      <c r="AZ775" s="12" t="n"/>
      <c r="BA775" s="13" t="n"/>
      <c r="BB775" s="14" t="n"/>
      <c r="BC775" s="11">
        <f>IF(O775="","",IF(J775="GST 10%",ROUND(O775*set_GSTRate,2),0))</f>
        <v/>
      </c>
      <c r="BD775" s="11">
        <f>IF(O775="","",O775+BC775)</f>
        <v/>
      </c>
      <c r="BE775" s="15">
        <f>IF(O775="","",COUNTA(S775,V775,Y775,AB775,AE775,AH775,AK775,AN775,AQ775,AT775,AW775,AZ775))</f>
        <v/>
      </c>
      <c r="BF775" s="16">
        <f>IF(COUNT(T775,W775,Z775,AC775,AF775,AI775,AL775,AO775,AR775,AU775,AX775,BA775)=0,"",MAX(T775,W775,Z775,AC775,AF775,AI775,AL775,AO775,AR775,AU775,AX775,BA775))</f>
        <v/>
      </c>
      <c r="BG775" s="10">
        <f>MID(IF(S775="","",", "&amp;S775)&amp;IF(V775="","",", "&amp;V775)&amp;IF(Y775="","",", "&amp;Y775)&amp;IF(AB775="","",", "&amp;AB775)&amp;IF(AE775="","",", "&amp;AE775)&amp;IF(AH775="","",", "&amp;AH775)&amp;IF(AK775="","",", "&amp;AK775)&amp;IF(AN775="","",", "&amp;AN775)&amp;IF(AQ775="","",", "&amp;AQ775)&amp;IF(AT775="","",", "&amp;AT775)&amp;IF(AW775="","",", "&amp;AW775)&amp;IF(AZ775="","",", "&amp;AZ775),3,500)</f>
        <v/>
      </c>
      <c r="BH775" s="12" t="n"/>
      <c r="BI775" s="15">
        <f>IFERROR(MATCH($A775,IF($B775="Onsite",tbl_Onsite[Row ID],IF($B775="Production",tbl_Production[Row ID],tbl_Consulting[Row ID])),0),"")</f>
        <v/>
      </c>
    </row>
    <row r="776">
      <c r="A776" s="10" t="inlineStr">
        <is>
          <t>PRD-0270</t>
        </is>
      </c>
      <c r="B776" s="10" t="inlineStr">
        <is>
          <t>Production</t>
        </is>
      </c>
      <c r="C776" s="10">
        <f>IF($BI776="","",IF($B776="Onsite",INDEX(tbl_Onsite[Job Number],$BI776),IF($B776="Production",INDEX(tbl_Production[Job Number],$BI776),INDEX(tbl_Consulting[Job Number],$BI776)))&amp;"")</f>
        <v/>
      </c>
      <c r="D776" s="10">
        <f>IF($BI776="","",IF($B776="Onsite",INDEX(tbl_Onsite[Client],$BI776),IF($B776="Production",INDEX(tbl_Production[Client],$BI776),INDEX(tbl_Consulting[Client],$BI776)))&amp;"")</f>
        <v/>
      </c>
      <c r="E776" s="10">
        <f>IF($C776="","",IF(COUNTIF(lst_Jobs,$C776)&gt;0,"OK","CHECK"))</f>
        <v/>
      </c>
      <c r="F776" s="10">
        <f>IF($C776="","",IFERROR(INDEX(lst_JobName,MATCH($C776,lst_Jobs,0)),""))</f>
        <v/>
      </c>
      <c r="G776" s="10">
        <f>IF($BI776="","",IF($B776="Onsite",INDEX(tbl_Onsite[Job Description],$BI776),IF($B776="Production",INDEX(tbl_Production[Job Description],$BI776),INDEX(tbl_Consulting[Job Description],$BI776)))&amp;"")</f>
        <v/>
      </c>
      <c r="H776" s="10">
        <f>IF($BI776="","",IF($B776="Onsite",INDEX(tbl_Onsite[Cost Centre],$BI776),IF($B776="Production",INDEX(tbl_Production[Cost Centre],$BI776),INDEX(tbl_Consulting[Cost Centre],$BI776)))&amp;"")</f>
        <v/>
      </c>
      <c r="I776" s="10">
        <f>IF($BI776="","",IF($B776="Onsite",INDEX(tbl_Onsite[Invoice Type],$BI776),IF($B776="Production",INDEX(tbl_Production[Invoice Type],$BI776),INDEX(tbl_Consulting[Invoice Type],$BI776)))&amp;"")</f>
        <v/>
      </c>
      <c r="J776" s="10">
        <f>IF($BI776="","",IF($B776="Onsite",INDEX(tbl_Onsite[Tax Code],$BI776),IF($B776="Production",INDEX(tbl_Production[Tax Code],$BI776),INDEX(tbl_Consulting[Tax Code],$BI776)))&amp;"")</f>
        <v/>
      </c>
      <c r="K776" s="10">
        <f>IF(H776="","",IFERROR(INDEX(lst_CCtoGL,MATCH(H776,lst_CCforGL,0)),""))</f>
        <v/>
      </c>
      <c r="L776" s="10">
        <f>IF($BI776="","",IF($B776="Onsite",INDEX(tbl_Onsite[PO / Reference],$BI776),IF($B776="Production",INDEX(tbl_Production[Current RMS No],$BI776),INDEX(tbl_Consulting[Qwilr Quote],$BI776)))&amp;"")</f>
        <v/>
      </c>
      <c r="M776" s="10">
        <f>IF($BI776="","",IF($B776="Onsite",INDEX(tbl_Onsite[Notes],$BI776),IF($B776="Production",INDEX(tbl_Production[Notes],$BI776),INDEX(tbl_Consulting[Notes],$BI776)))&amp;"")</f>
        <v/>
      </c>
      <c r="N776" s="11">
        <f>IF($BI776="","",IF(IF($B776="Onsite",INDEX(tbl_Onsite[Expected Revenue Ex GST],$BI776),IF($B776="Production",INDEX(tbl_Production[Expected Revenue Ex GST],$BI776),INDEX(tbl_Consulting[Expected Revenue Ex GST],$BI776)))="","",IF($B776="Onsite",INDEX(tbl_Onsite[Expected Revenue Ex GST],$BI776),IF($B776="Production",INDEX(tbl_Production[Expected Revenue Ex GST],$BI776),INDEX(tbl_Consulting[Expected Revenue Ex GST],$BI776)))))</f>
        <v/>
      </c>
      <c r="O776" s="11">
        <f>IF(AND($C776="",NOT(COUNTA($S776:$BB776)&gt;0)),"",SUM(U776,X776,AA776,AD776,AG776,AJ776,AM776,AP776,AS776,AV776,AY776,BB776))</f>
        <v/>
      </c>
      <c r="P776" s="11">
        <f>IF(O776="","",N(N776)-O776)</f>
        <v/>
      </c>
      <c r="Q776" s="10">
        <f>IF(O776="","",IF($C776="","Invoice on empty job row",IF(N776="",IF(ROUND(O776,2)=0,"No dept value","Invoiced - no dept value"),IF(ROUND(O776,2)=0,"Not invoiced - to invoice",IF(ROUND(P776,2)=0,"Agrees",IF(P776&gt;0,"Dept higher - to invoice","Xero higher - check dept"))))))</f>
        <v/>
      </c>
      <c r="R776" s="10">
        <f>IF(AND($C776="",NOT(COUNTA($S776:$BB776)&gt;0),$BI776&lt;&gt;""),"",MID(IF($BI776="","; Row ID not found on the department sheet - a row was deleted","")&amp;IF(AND($C776="",COUNTA($S776:$BB776)&gt;0),"; Invoice entered but the department row has no job number","")&amp;IF(E776="CHECK","; Job number not in the Xero job list","")&amp;IF(AND($C776&lt;&gt;"",COUNTIF($C$7:$C$1506,$C776)&gt;1),"; Job number on more than one row","")&amp;IF(AND($C776&lt;&gt;"",H776=""),"; Dept has not set a cost centre","")&amp;IF(AND($C776&lt;&gt;"",J776=""),"; Dept has not set a tax code","")&amp;IF(AND($C776&lt;&gt;"",N776=""),"; Dept has not entered an expected value","")&amp;IF((IF(OR(COUNTA(S776:U776)=0,AND(COUNTA(S776:U776)=3,ISNUMBER(U776))),0,1)+IF(OR(COUNTA(V776:X776)=0,AND(COUNTA(V776:X776)=3,ISNUMBER(X776))),0,1)+IF(OR(COUNTA(Y776:AA776)=0,AND(COUNTA(Y776:AA776)=3,ISNUMBER(AA776))),0,1)+IF(OR(COUNTA(AB776:AD776)=0,AND(COUNTA(AB776:AD776)=3,ISNUMBER(AD776))),0,1)+IF(OR(COUNTA(AE776:AG776)=0,AND(COUNTA(AE776:AG776)=3,ISNUMBER(AG776))),0,1)+IF(OR(COUNTA(AH776:AJ776)=0,AND(COUNTA(AH776:AJ776)=3,ISNUMBER(AJ776))),0,1)+IF(OR(COUNTA(AK776:AM776)=0,AND(COUNTA(AK776:AM776)=3,ISNUMBER(AM776))),0,1)+IF(OR(COUNTA(AN776:AP776)=0,AND(COUNTA(AN776:AP776)=3,ISNUMBER(AP776))),0,1)+IF(OR(COUNTA(AQ776:AS776)=0,AND(COUNTA(AQ776:AS776)=3,ISNUMBER(AS776))),0,1)+IF(OR(COUNTA(AT776:AV776)=0,AND(COUNTA(AT776:AV776)=3,ISNUMBER(AV776))),0,1)+IF(OR(COUNTA(AW776:AY776)=0,AND(COUNTA(AW776:AY776)=3,ISNUMBER(AY776))),0,1)+IF(OR(COUNTA(AZ776:BB776)=0,AND(COUNTA(AZ776:BB776)=3,ISNUMBER(BB776))),0,1))&gt;0,"; An invoice is incomplete (needs No, Date and a number in Ex GST)","")&amp;IF((IF(T776="",0,IFERROR(--(EOMONTH(T776,0)&lt;&gt;S$5),1))+IF(W776="",0,IFERROR(--(EOMONTH(W776,0)&lt;&gt;V$5),1))+IF(Z776="",0,IFERROR(--(EOMONTH(Z776,0)&lt;&gt;Y$5),1))+IF(AC776="",0,IFERROR(--(EOMONTH(AC776,0)&lt;&gt;AB$5),1))+IF(AF776="",0,IFERROR(--(EOMONTH(AF776,0)&lt;&gt;AE$5),1))+IF(AI776="",0,IFERROR(--(EOMONTH(AI776,0)&lt;&gt;AH$5),1))+IF(AL776="",0,IFERROR(--(EOMONTH(AL776,0)&lt;&gt;AK$5),1))+IF(AO776="",0,IFERROR(--(EOMONTH(AO776,0)&lt;&gt;AN$5),1))+IF(AR776="",0,IFERROR(--(EOMONTH(AR776,0)&lt;&gt;AQ$5),1))+IF(AU776="",0,IFERROR(--(EOMONTH(AU776,0)&lt;&gt;AT$5),1))+IF(AX776="",0,IFERROR(--(EOMONTH(AX776,0)&lt;&gt;AW$5),1))+IF(BA776="",0,IFERROR(--(EOMONTH(BA776,0)&lt;&gt;AZ$5),1)))&gt;0,"; An invoice date is not in the month it is typed under",""),3,500))</f>
        <v/>
      </c>
      <c r="S776" s="12" t="n"/>
      <c r="T776" s="13" t="n"/>
      <c r="U776" s="14" t="n"/>
      <c r="V776" s="12" t="n"/>
      <c r="W776" s="13" t="n"/>
      <c r="X776" s="14" t="n"/>
      <c r="Y776" s="12" t="n"/>
      <c r="Z776" s="13" t="n"/>
      <c r="AA776" s="14" t="n"/>
      <c r="AB776" s="12" t="n"/>
      <c r="AC776" s="13" t="n"/>
      <c r="AD776" s="14" t="n"/>
      <c r="AE776" s="12" t="n"/>
      <c r="AF776" s="13" t="n"/>
      <c r="AG776" s="14" t="n"/>
      <c r="AH776" s="12" t="n"/>
      <c r="AI776" s="13" t="n"/>
      <c r="AJ776" s="14" t="n"/>
      <c r="AK776" s="12" t="n"/>
      <c r="AL776" s="13" t="n"/>
      <c r="AM776" s="14" t="n"/>
      <c r="AN776" s="12" t="n"/>
      <c r="AO776" s="13" t="n"/>
      <c r="AP776" s="14" t="n"/>
      <c r="AQ776" s="12" t="n"/>
      <c r="AR776" s="13" t="n"/>
      <c r="AS776" s="14" t="n"/>
      <c r="AT776" s="12" t="n"/>
      <c r="AU776" s="13" t="n"/>
      <c r="AV776" s="14" t="n"/>
      <c r="AW776" s="12" t="n"/>
      <c r="AX776" s="13" t="n"/>
      <c r="AY776" s="14" t="n"/>
      <c r="AZ776" s="12" t="n"/>
      <c r="BA776" s="13" t="n"/>
      <c r="BB776" s="14" t="n"/>
      <c r="BC776" s="11">
        <f>IF(O776="","",IF(J776="GST 10%",ROUND(O776*set_GSTRate,2),0))</f>
        <v/>
      </c>
      <c r="BD776" s="11">
        <f>IF(O776="","",O776+BC776)</f>
        <v/>
      </c>
      <c r="BE776" s="15">
        <f>IF(O776="","",COUNTA(S776,V776,Y776,AB776,AE776,AH776,AK776,AN776,AQ776,AT776,AW776,AZ776))</f>
        <v/>
      </c>
      <c r="BF776" s="16">
        <f>IF(COUNT(T776,W776,Z776,AC776,AF776,AI776,AL776,AO776,AR776,AU776,AX776,BA776)=0,"",MAX(T776,W776,Z776,AC776,AF776,AI776,AL776,AO776,AR776,AU776,AX776,BA776))</f>
        <v/>
      </c>
      <c r="BG776" s="10">
        <f>MID(IF(S776="","",", "&amp;S776)&amp;IF(V776="","",", "&amp;V776)&amp;IF(Y776="","",", "&amp;Y776)&amp;IF(AB776="","",", "&amp;AB776)&amp;IF(AE776="","",", "&amp;AE776)&amp;IF(AH776="","",", "&amp;AH776)&amp;IF(AK776="","",", "&amp;AK776)&amp;IF(AN776="","",", "&amp;AN776)&amp;IF(AQ776="","",", "&amp;AQ776)&amp;IF(AT776="","",", "&amp;AT776)&amp;IF(AW776="","",", "&amp;AW776)&amp;IF(AZ776="","",", "&amp;AZ776),3,500)</f>
        <v/>
      </c>
      <c r="BH776" s="12" t="n"/>
      <c r="BI776" s="15">
        <f>IFERROR(MATCH($A776,IF($B776="Onsite",tbl_Onsite[Row ID],IF($B776="Production",tbl_Production[Row ID],tbl_Consulting[Row ID])),0),"")</f>
        <v/>
      </c>
    </row>
    <row r="777">
      <c r="A777" s="10" t="inlineStr">
        <is>
          <t>PRD-0271</t>
        </is>
      </c>
      <c r="B777" s="10" t="inlineStr">
        <is>
          <t>Production</t>
        </is>
      </c>
      <c r="C777" s="10">
        <f>IF($BI777="","",IF($B777="Onsite",INDEX(tbl_Onsite[Job Number],$BI777),IF($B777="Production",INDEX(tbl_Production[Job Number],$BI777),INDEX(tbl_Consulting[Job Number],$BI777)))&amp;"")</f>
        <v/>
      </c>
      <c r="D777" s="10">
        <f>IF($BI777="","",IF($B777="Onsite",INDEX(tbl_Onsite[Client],$BI777),IF($B777="Production",INDEX(tbl_Production[Client],$BI777),INDEX(tbl_Consulting[Client],$BI777)))&amp;"")</f>
        <v/>
      </c>
      <c r="E777" s="10">
        <f>IF($C777="","",IF(COUNTIF(lst_Jobs,$C777)&gt;0,"OK","CHECK"))</f>
        <v/>
      </c>
      <c r="F777" s="10">
        <f>IF($C777="","",IFERROR(INDEX(lst_JobName,MATCH($C777,lst_Jobs,0)),""))</f>
        <v/>
      </c>
      <c r="G777" s="10">
        <f>IF($BI777="","",IF($B777="Onsite",INDEX(tbl_Onsite[Job Description],$BI777),IF($B777="Production",INDEX(tbl_Production[Job Description],$BI777),INDEX(tbl_Consulting[Job Description],$BI777)))&amp;"")</f>
        <v/>
      </c>
      <c r="H777" s="10">
        <f>IF($BI777="","",IF($B777="Onsite",INDEX(tbl_Onsite[Cost Centre],$BI777),IF($B777="Production",INDEX(tbl_Production[Cost Centre],$BI777),INDEX(tbl_Consulting[Cost Centre],$BI777)))&amp;"")</f>
        <v/>
      </c>
      <c r="I777" s="10">
        <f>IF($BI777="","",IF($B777="Onsite",INDEX(tbl_Onsite[Invoice Type],$BI777),IF($B777="Production",INDEX(tbl_Production[Invoice Type],$BI777),INDEX(tbl_Consulting[Invoice Type],$BI777)))&amp;"")</f>
        <v/>
      </c>
      <c r="J777" s="10">
        <f>IF($BI777="","",IF($B777="Onsite",INDEX(tbl_Onsite[Tax Code],$BI777),IF($B777="Production",INDEX(tbl_Production[Tax Code],$BI777),INDEX(tbl_Consulting[Tax Code],$BI777)))&amp;"")</f>
        <v/>
      </c>
      <c r="K777" s="10">
        <f>IF(H777="","",IFERROR(INDEX(lst_CCtoGL,MATCH(H777,lst_CCforGL,0)),""))</f>
        <v/>
      </c>
      <c r="L777" s="10">
        <f>IF($BI777="","",IF($B777="Onsite",INDEX(tbl_Onsite[PO / Reference],$BI777),IF($B777="Production",INDEX(tbl_Production[Current RMS No],$BI777),INDEX(tbl_Consulting[Qwilr Quote],$BI777)))&amp;"")</f>
        <v/>
      </c>
      <c r="M777" s="10">
        <f>IF($BI777="","",IF($B777="Onsite",INDEX(tbl_Onsite[Notes],$BI777),IF($B777="Production",INDEX(tbl_Production[Notes],$BI777),INDEX(tbl_Consulting[Notes],$BI777)))&amp;"")</f>
        <v/>
      </c>
      <c r="N777" s="11">
        <f>IF($BI777="","",IF(IF($B777="Onsite",INDEX(tbl_Onsite[Expected Revenue Ex GST],$BI777),IF($B777="Production",INDEX(tbl_Production[Expected Revenue Ex GST],$BI777),INDEX(tbl_Consulting[Expected Revenue Ex GST],$BI777)))="","",IF($B777="Onsite",INDEX(tbl_Onsite[Expected Revenue Ex GST],$BI777),IF($B777="Production",INDEX(tbl_Production[Expected Revenue Ex GST],$BI777),INDEX(tbl_Consulting[Expected Revenue Ex GST],$BI777)))))</f>
        <v/>
      </c>
      <c r="O777" s="11">
        <f>IF(AND($C777="",NOT(COUNTA($S777:$BB777)&gt;0)),"",SUM(U777,X777,AA777,AD777,AG777,AJ777,AM777,AP777,AS777,AV777,AY777,BB777))</f>
        <v/>
      </c>
      <c r="P777" s="11">
        <f>IF(O777="","",N(N777)-O777)</f>
        <v/>
      </c>
      <c r="Q777" s="10">
        <f>IF(O777="","",IF($C777="","Invoice on empty job row",IF(N777="",IF(ROUND(O777,2)=0,"No dept value","Invoiced - no dept value"),IF(ROUND(O777,2)=0,"Not invoiced - to invoice",IF(ROUND(P777,2)=0,"Agrees",IF(P777&gt;0,"Dept higher - to invoice","Xero higher - check dept"))))))</f>
        <v/>
      </c>
      <c r="R777" s="10">
        <f>IF(AND($C777="",NOT(COUNTA($S777:$BB777)&gt;0),$BI777&lt;&gt;""),"",MID(IF($BI777="","; Row ID not found on the department sheet - a row was deleted","")&amp;IF(AND($C777="",COUNTA($S777:$BB777)&gt;0),"; Invoice entered but the department row has no job number","")&amp;IF(E777="CHECK","; Job number not in the Xero job list","")&amp;IF(AND($C777&lt;&gt;"",COUNTIF($C$7:$C$1506,$C777)&gt;1),"; Job number on more than one row","")&amp;IF(AND($C777&lt;&gt;"",H777=""),"; Dept has not set a cost centre","")&amp;IF(AND($C777&lt;&gt;"",J777=""),"; Dept has not set a tax code","")&amp;IF(AND($C777&lt;&gt;"",N777=""),"; Dept has not entered an expected value","")&amp;IF((IF(OR(COUNTA(S777:U777)=0,AND(COUNTA(S777:U777)=3,ISNUMBER(U777))),0,1)+IF(OR(COUNTA(V777:X777)=0,AND(COUNTA(V777:X777)=3,ISNUMBER(X777))),0,1)+IF(OR(COUNTA(Y777:AA777)=0,AND(COUNTA(Y777:AA777)=3,ISNUMBER(AA777))),0,1)+IF(OR(COUNTA(AB777:AD777)=0,AND(COUNTA(AB777:AD777)=3,ISNUMBER(AD777))),0,1)+IF(OR(COUNTA(AE777:AG777)=0,AND(COUNTA(AE777:AG777)=3,ISNUMBER(AG777))),0,1)+IF(OR(COUNTA(AH777:AJ777)=0,AND(COUNTA(AH777:AJ777)=3,ISNUMBER(AJ777))),0,1)+IF(OR(COUNTA(AK777:AM777)=0,AND(COUNTA(AK777:AM777)=3,ISNUMBER(AM777))),0,1)+IF(OR(COUNTA(AN777:AP777)=0,AND(COUNTA(AN777:AP777)=3,ISNUMBER(AP777))),0,1)+IF(OR(COUNTA(AQ777:AS777)=0,AND(COUNTA(AQ777:AS777)=3,ISNUMBER(AS777))),0,1)+IF(OR(COUNTA(AT777:AV777)=0,AND(COUNTA(AT777:AV777)=3,ISNUMBER(AV777))),0,1)+IF(OR(COUNTA(AW777:AY777)=0,AND(COUNTA(AW777:AY777)=3,ISNUMBER(AY777))),0,1)+IF(OR(COUNTA(AZ777:BB777)=0,AND(COUNTA(AZ777:BB777)=3,ISNUMBER(BB777))),0,1))&gt;0,"; An invoice is incomplete (needs No, Date and a number in Ex GST)","")&amp;IF((IF(T777="",0,IFERROR(--(EOMONTH(T777,0)&lt;&gt;S$5),1))+IF(W777="",0,IFERROR(--(EOMONTH(W777,0)&lt;&gt;V$5),1))+IF(Z777="",0,IFERROR(--(EOMONTH(Z777,0)&lt;&gt;Y$5),1))+IF(AC777="",0,IFERROR(--(EOMONTH(AC777,0)&lt;&gt;AB$5),1))+IF(AF777="",0,IFERROR(--(EOMONTH(AF777,0)&lt;&gt;AE$5),1))+IF(AI777="",0,IFERROR(--(EOMONTH(AI777,0)&lt;&gt;AH$5),1))+IF(AL777="",0,IFERROR(--(EOMONTH(AL777,0)&lt;&gt;AK$5),1))+IF(AO777="",0,IFERROR(--(EOMONTH(AO777,0)&lt;&gt;AN$5),1))+IF(AR777="",0,IFERROR(--(EOMONTH(AR777,0)&lt;&gt;AQ$5),1))+IF(AU777="",0,IFERROR(--(EOMONTH(AU777,0)&lt;&gt;AT$5),1))+IF(AX777="",0,IFERROR(--(EOMONTH(AX777,0)&lt;&gt;AW$5),1))+IF(BA777="",0,IFERROR(--(EOMONTH(BA777,0)&lt;&gt;AZ$5),1)))&gt;0,"; An invoice date is not in the month it is typed under",""),3,500))</f>
        <v/>
      </c>
      <c r="S777" s="12" t="n"/>
      <c r="T777" s="13" t="n"/>
      <c r="U777" s="14" t="n"/>
      <c r="V777" s="12" t="n"/>
      <c r="W777" s="13" t="n"/>
      <c r="X777" s="14" t="n"/>
      <c r="Y777" s="12" t="n"/>
      <c r="Z777" s="13" t="n"/>
      <c r="AA777" s="14" t="n"/>
      <c r="AB777" s="12" t="n"/>
      <c r="AC777" s="13" t="n"/>
      <c r="AD777" s="14" t="n"/>
      <c r="AE777" s="12" t="n"/>
      <c r="AF777" s="13" t="n"/>
      <c r="AG777" s="14" t="n"/>
      <c r="AH777" s="12" t="n"/>
      <c r="AI777" s="13" t="n"/>
      <c r="AJ777" s="14" t="n"/>
      <c r="AK777" s="12" t="n"/>
      <c r="AL777" s="13" t="n"/>
      <c r="AM777" s="14" t="n"/>
      <c r="AN777" s="12" t="n"/>
      <c r="AO777" s="13" t="n"/>
      <c r="AP777" s="14" t="n"/>
      <c r="AQ777" s="12" t="n"/>
      <c r="AR777" s="13" t="n"/>
      <c r="AS777" s="14" t="n"/>
      <c r="AT777" s="12" t="n"/>
      <c r="AU777" s="13" t="n"/>
      <c r="AV777" s="14" t="n"/>
      <c r="AW777" s="12" t="n"/>
      <c r="AX777" s="13" t="n"/>
      <c r="AY777" s="14" t="n"/>
      <c r="AZ777" s="12" t="n"/>
      <c r="BA777" s="13" t="n"/>
      <c r="BB777" s="14" t="n"/>
      <c r="BC777" s="11">
        <f>IF(O777="","",IF(J777="GST 10%",ROUND(O777*set_GSTRate,2),0))</f>
        <v/>
      </c>
      <c r="BD777" s="11">
        <f>IF(O777="","",O777+BC777)</f>
        <v/>
      </c>
      <c r="BE777" s="15">
        <f>IF(O777="","",COUNTA(S777,V777,Y777,AB777,AE777,AH777,AK777,AN777,AQ777,AT777,AW777,AZ777))</f>
        <v/>
      </c>
      <c r="BF777" s="16">
        <f>IF(COUNT(T777,W777,Z777,AC777,AF777,AI777,AL777,AO777,AR777,AU777,AX777,BA777)=0,"",MAX(T777,W777,Z777,AC777,AF777,AI777,AL777,AO777,AR777,AU777,AX777,BA777))</f>
        <v/>
      </c>
      <c r="BG777" s="10">
        <f>MID(IF(S777="","",", "&amp;S777)&amp;IF(V777="","",", "&amp;V777)&amp;IF(Y777="","",", "&amp;Y777)&amp;IF(AB777="","",", "&amp;AB777)&amp;IF(AE777="","",", "&amp;AE777)&amp;IF(AH777="","",", "&amp;AH777)&amp;IF(AK777="","",", "&amp;AK777)&amp;IF(AN777="","",", "&amp;AN777)&amp;IF(AQ777="","",", "&amp;AQ777)&amp;IF(AT777="","",", "&amp;AT777)&amp;IF(AW777="","",", "&amp;AW777)&amp;IF(AZ777="","",", "&amp;AZ777),3,500)</f>
        <v/>
      </c>
      <c r="BH777" s="12" t="n"/>
      <c r="BI777" s="15">
        <f>IFERROR(MATCH($A777,IF($B777="Onsite",tbl_Onsite[Row ID],IF($B777="Production",tbl_Production[Row ID],tbl_Consulting[Row ID])),0),"")</f>
        <v/>
      </c>
    </row>
    <row r="778">
      <c r="A778" s="10" t="inlineStr">
        <is>
          <t>PRD-0272</t>
        </is>
      </c>
      <c r="B778" s="10" t="inlineStr">
        <is>
          <t>Production</t>
        </is>
      </c>
      <c r="C778" s="10">
        <f>IF($BI778="","",IF($B778="Onsite",INDEX(tbl_Onsite[Job Number],$BI778),IF($B778="Production",INDEX(tbl_Production[Job Number],$BI778),INDEX(tbl_Consulting[Job Number],$BI778)))&amp;"")</f>
        <v/>
      </c>
      <c r="D778" s="10">
        <f>IF($BI778="","",IF($B778="Onsite",INDEX(tbl_Onsite[Client],$BI778),IF($B778="Production",INDEX(tbl_Production[Client],$BI778),INDEX(tbl_Consulting[Client],$BI778)))&amp;"")</f>
        <v/>
      </c>
      <c r="E778" s="10">
        <f>IF($C778="","",IF(COUNTIF(lst_Jobs,$C778)&gt;0,"OK","CHECK"))</f>
        <v/>
      </c>
      <c r="F778" s="10">
        <f>IF($C778="","",IFERROR(INDEX(lst_JobName,MATCH($C778,lst_Jobs,0)),""))</f>
        <v/>
      </c>
      <c r="G778" s="10">
        <f>IF($BI778="","",IF($B778="Onsite",INDEX(tbl_Onsite[Job Description],$BI778),IF($B778="Production",INDEX(tbl_Production[Job Description],$BI778),INDEX(tbl_Consulting[Job Description],$BI778)))&amp;"")</f>
        <v/>
      </c>
      <c r="H778" s="10">
        <f>IF($BI778="","",IF($B778="Onsite",INDEX(tbl_Onsite[Cost Centre],$BI778),IF($B778="Production",INDEX(tbl_Production[Cost Centre],$BI778),INDEX(tbl_Consulting[Cost Centre],$BI778)))&amp;"")</f>
        <v/>
      </c>
      <c r="I778" s="10">
        <f>IF($BI778="","",IF($B778="Onsite",INDEX(tbl_Onsite[Invoice Type],$BI778),IF($B778="Production",INDEX(tbl_Production[Invoice Type],$BI778),INDEX(tbl_Consulting[Invoice Type],$BI778)))&amp;"")</f>
        <v/>
      </c>
      <c r="J778" s="10">
        <f>IF($BI778="","",IF($B778="Onsite",INDEX(tbl_Onsite[Tax Code],$BI778),IF($B778="Production",INDEX(tbl_Production[Tax Code],$BI778),INDEX(tbl_Consulting[Tax Code],$BI778)))&amp;"")</f>
        <v/>
      </c>
      <c r="K778" s="10">
        <f>IF(H778="","",IFERROR(INDEX(lst_CCtoGL,MATCH(H778,lst_CCforGL,0)),""))</f>
        <v/>
      </c>
      <c r="L778" s="10">
        <f>IF($BI778="","",IF($B778="Onsite",INDEX(tbl_Onsite[PO / Reference],$BI778),IF($B778="Production",INDEX(tbl_Production[Current RMS No],$BI778),INDEX(tbl_Consulting[Qwilr Quote],$BI778)))&amp;"")</f>
        <v/>
      </c>
      <c r="M778" s="10">
        <f>IF($BI778="","",IF($B778="Onsite",INDEX(tbl_Onsite[Notes],$BI778),IF($B778="Production",INDEX(tbl_Production[Notes],$BI778),INDEX(tbl_Consulting[Notes],$BI778)))&amp;"")</f>
        <v/>
      </c>
      <c r="N778" s="11">
        <f>IF($BI778="","",IF(IF($B778="Onsite",INDEX(tbl_Onsite[Expected Revenue Ex GST],$BI778),IF($B778="Production",INDEX(tbl_Production[Expected Revenue Ex GST],$BI778),INDEX(tbl_Consulting[Expected Revenue Ex GST],$BI778)))="","",IF($B778="Onsite",INDEX(tbl_Onsite[Expected Revenue Ex GST],$BI778),IF($B778="Production",INDEX(tbl_Production[Expected Revenue Ex GST],$BI778),INDEX(tbl_Consulting[Expected Revenue Ex GST],$BI778)))))</f>
        <v/>
      </c>
      <c r="O778" s="11">
        <f>IF(AND($C778="",NOT(COUNTA($S778:$BB778)&gt;0)),"",SUM(U778,X778,AA778,AD778,AG778,AJ778,AM778,AP778,AS778,AV778,AY778,BB778))</f>
        <v/>
      </c>
      <c r="P778" s="11">
        <f>IF(O778="","",N(N778)-O778)</f>
        <v/>
      </c>
      <c r="Q778" s="10">
        <f>IF(O778="","",IF($C778="","Invoice on empty job row",IF(N778="",IF(ROUND(O778,2)=0,"No dept value","Invoiced - no dept value"),IF(ROUND(O778,2)=0,"Not invoiced - to invoice",IF(ROUND(P778,2)=0,"Agrees",IF(P778&gt;0,"Dept higher - to invoice","Xero higher - check dept"))))))</f>
        <v/>
      </c>
      <c r="R778" s="10">
        <f>IF(AND($C778="",NOT(COUNTA($S778:$BB778)&gt;0),$BI778&lt;&gt;""),"",MID(IF($BI778="","; Row ID not found on the department sheet - a row was deleted","")&amp;IF(AND($C778="",COUNTA($S778:$BB778)&gt;0),"; Invoice entered but the department row has no job number","")&amp;IF(E778="CHECK","; Job number not in the Xero job list","")&amp;IF(AND($C778&lt;&gt;"",COUNTIF($C$7:$C$1506,$C778)&gt;1),"; Job number on more than one row","")&amp;IF(AND($C778&lt;&gt;"",H778=""),"; Dept has not set a cost centre","")&amp;IF(AND($C778&lt;&gt;"",J778=""),"; Dept has not set a tax code","")&amp;IF(AND($C778&lt;&gt;"",N778=""),"; Dept has not entered an expected value","")&amp;IF((IF(OR(COUNTA(S778:U778)=0,AND(COUNTA(S778:U778)=3,ISNUMBER(U778))),0,1)+IF(OR(COUNTA(V778:X778)=0,AND(COUNTA(V778:X778)=3,ISNUMBER(X778))),0,1)+IF(OR(COUNTA(Y778:AA778)=0,AND(COUNTA(Y778:AA778)=3,ISNUMBER(AA778))),0,1)+IF(OR(COUNTA(AB778:AD778)=0,AND(COUNTA(AB778:AD778)=3,ISNUMBER(AD778))),0,1)+IF(OR(COUNTA(AE778:AG778)=0,AND(COUNTA(AE778:AG778)=3,ISNUMBER(AG778))),0,1)+IF(OR(COUNTA(AH778:AJ778)=0,AND(COUNTA(AH778:AJ778)=3,ISNUMBER(AJ778))),0,1)+IF(OR(COUNTA(AK778:AM778)=0,AND(COUNTA(AK778:AM778)=3,ISNUMBER(AM778))),0,1)+IF(OR(COUNTA(AN778:AP778)=0,AND(COUNTA(AN778:AP778)=3,ISNUMBER(AP778))),0,1)+IF(OR(COUNTA(AQ778:AS778)=0,AND(COUNTA(AQ778:AS778)=3,ISNUMBER(AS778))),0,1)+IF(OR(COUNTA(AT778:AV778)=0,AND(COUNTA(AT778:AV778)=3,ISNUMBER(AV778))),0,1)+IF(OR(COUNTA(AW778:AY778)=0,AND(COUNTA(AW778:AY778)=3,ISNUMBER(AY778))),0,1)+IF(OR(COUNTA(AZ778:BB778)=0,AND(COUNTA(AZ778:BB778)=3,ISNUMBER(BB778))),0,1))&gt;0,"; An invoice is incomplete (needs No, Date and a number in Ex GST)","")&amp;IF((IF(T778="",0,IFERROR(--(EOMONTH(T778,0)&lt;&gt;S$5),1))+IF(W778="",0,IFERROR(--(EOMONTH(W778,0)&lt;&gt;V$5),1))+IF(Z778="",0,IFERROR(--(EOMONTH(Z778,0)&lt;&gt;Y$5),1))+IF(AC778="",0,IFERROR(--(EOMONTH(AC778,0)&lt;&gt;AB$5),1))+IF(AF778="",0,IFERROR(--(EOMONTH(AF778,0)&lt;&gt;AE$5),1))+IF(AI778="",0,IFERROR(--(EOMONTH(AI778,0)&lt;&gt;AH$5),1))+IF(AL778="",0,IFERROR(--(EOMONTH(AL778,0)&lt;&gt;AK$5),1))+IF(AO778="",0,IFERROR(--(EOMONTH(AO778,0)&lt;&gt;AN$5),1))+IF(AR778="",0,IFERROR(--(EOMONTH(AR778,0)&lt;&gt;AQ$5),1))+IF(AU778="",0,IFERROR(--(EOMONTH(AU778,0)&lt;&gt;AT$5),1))+IF(AX778="",0,IFERROR(--(EOMONTH(AX778,0)&lt;&gt;AW$5),1))+IF(BA778="",0,IFERROR(--(EOMONTH(BA778,0)&lt;&gt;AZ$5),1)))&gt;0,"; An invoice date is not in the month it is typed under",""),3,500))</f>
        <v/>
      </c>
      <c r="S778" s="12" t="n"/>
      <c r="T778" s="13" t="n"/>
      <c r="U778" s="14" t="n"/>
      <c r="V778" s="12" t="n"/>
      <c r="W778" s="13" t="n"/>
      <c r="X778" s="14" t="n"/>
      <c r="Y778" s="12" t="n"/>
      <c r="Z778" s="13" t="n"/>
      <c r="AA778" s="14" t="n"/>
      <c r="AB778" s="12" t="n"/>
      <c r="AC778" s="13" t="n"/>
      <c r="AD778" s="14" t="n"/>
      <c r="AE778" s="12" t="n"/>
      <c r="AF778" s="13" t="n"/>
      <c r="AG778" s="14" t="n"/>
      <c r="AH778" s="12" t="n"/>
      <c r="AI778" s="13" t="n"/>
      <c r="AJ778" s="14" t="n"/>
      <c r="AK778" s="12" t="n"/>
      <c r="AL778" s="13" t="n"/>
      <c r="AM778" s="14" t="n"/>
      <c r="AN778" s="12" t="n"/>
      <c r="AO778" s="13" t="n"/>
      <c r="AP778" s="14" t="n"/>
      <c r="AQ778" s="12" t="n"/>
      <c r="AR778" s="13" t="n"/>
      <c r="AS778" s="14" t="n"/>
      <c r="AT778" s="12" t="n"/>
      <c r="AU778" s="13" t="n"/>
      <c r="AV778" s="14" t="n"/>
      <c r="AW778" s="12" t="n"/>
      <c r="AX778" s="13" t="n"/>
      <c r="AY778" s="14" t="n"/>
      <c r="AZ778" s="12" t="n"/>
      <c r="BA778" s="13" t="n"/>
      <c r="BB778" s="14" t="n"/>
      <c r="BC778" s="11">
        <f>IF(O778="","",IF(J778="GST 10%",ROUND(O778*set_GSTRate,2),0))</f>
        <v/>
      </c>
      <c r="BD778" s="11">
        <f>IF(O778="","",O778+BC778)</f>
        <v/>
      </c>
      <c r="BE778" s="15">
        <f>IF(O778="","",COUNTA(S778,V778,Y778,AB778,AE778,AH778,AK778,AN778,AQ778,AT778,AW778,AZ778))</f>
        <v/>
      </c>
      <c r="BF778" s="16">
        <f>IF(COUNT(T778,W778,Z778,AC778,AF778,AI778,AL778,AO778,AR778,AU778,AX778,BA778)=0,"",MAX(T778,W778,Z778,AC778,AF778,AI778,AL778,AO778,AR778,AU778,AX778,BA778))</f>
        <v/>
      </c>
      <c r="BG778" s="10">
        <f>MID(IF(S778="","",", "&amp;S778)&amp;IF(V778="","",", "&amp;V778)&amp;IF(Y778="","",", "&amp;Y778)&amp;IF(AB778="","",", "&amp;AB778)&amp;IF(AE778="","",", "&amp;AE778)&amp;IF(AH778="","",", "&amp;AH778)&amp;IF(AK778="","",", "&amp;AK778)&amp;IF(AN778="","",", "&amp;AN778)&amp;IF(AQ778="","",", "&amp;AQ778)&amp;IF(AT778="","",", "&amp;AT778)&amp;IF(AW778="","",", "&amp;AW778)&amp;IF(AZ778="","",", "&amp;AZ778),3,500)</f>
        <v/>
      </c>
      <c r="BH778" s="12" t="n"/>
      <c r="BI778" s="15">
        <f>IFERROR(MATCH($A778,IF($B778="Onsite",tbl_Onsite[Row ID],IF($B778="Production",tbl_Production[Row ID],tbl_Consulting[Row ID])),0),"")</f>
        <v/>
      </c>
    </row>
    <row r="779">
      <c r="A779" s="10" t="inlineStr">
        <is>
          <t>PRD-0273</t>
        </is>
      </c>
      <c r="B779" s="10" t="inlineStr">
        <is>
          <t>Production</t>
        </is>
      </c>
      <c r="C779" s="10">
        <f>IF($BI779="","",IF($B779="Onsite",INDEX(tbl_Onsite[Job Number],$BI779),IF($B779="Production",INDEX(tbl_Production[Job Number],$BI779),INDEX(tbl_Consulting[Job Number],$BI779)))&amp;"")</f>
        <v/>
      </c>
      <c r="D779" s="10">
        <f>IF($BI779="","",IF($B779="Onsite",INDEX(tbl_Onsite[Client],$BI779),IF($B779="Production",INDEX(tbl_Production[Client],$BI779),INDEX(tbl_Consulting[Client],$BI779)))&amp;"")</f>
        <v/>
      </c>
      <c r="E779" s="10">
        <f>IF($C779="","",IF(COUNTIF(lst_Jobs,$C779)&gt;0,"OK","CHECK"))</f>
        <v/>
      </c>
      <c r="F779" s="10">
        <f>IF($C779="","",IFERROR(INDEX(lst_JobName,MATCH($C779,lst_Jobs,0)),""))</f>
        <v/>
      </c>
      <c r="G779" s="10">
        <f>IF($BI779="","",IF($B779="Onsite",INDEX(tbl_Onsite[Job Description],$BI779),IF($B779="Production",INDEX(tbl_Production[Job Description],$BI779),INDEX(tbl_Consulting[Job Description],$BI779)))&amp;"")</f>
        <v/>
      </c>
      <c r="H779" s="10">
        <f>IF($BI779="","",IF($B779="Onsite",INDEX(tbl_Onsite[Cost Centre],$BI779),IF($B779="Production",INDEX(tbl_Production[Cost Centre],$BI779),INDEX(tbl_Consulting[Cost Centre],$BI779)))&amp;"")</f>
        <v/>
      </c>
      <c r="I779" s="10">
        <f>IF($BI779="","",IF($B779="Onsite",INDEX(tbl_Onsite[Invoice Type],$BI779),IF($B779="Production",INDEX(tbl_Production[Invoice Type],$BI779),INDEX(tbl_Consulting[Invoice Type],$BI779)))&amp;"")</f>
        <v/>
      </c>
      <c r="J779" s="10">
        <f>IF($BI779="","",IF($B779="Onsite",INDEX(tbl_Onsite[Tax Code],$BI779),IF($B779="Production",INDEX(tbl_Production[Tax Code],$BI779),INDEX(tbl_Consulting[Tax Code],$BI779)))&amp;"")</f>
        <v/>
      </c>
      <c r="K779" s="10">
        <f>IF(H779="","",IFERROR(INDEX(lst_CCtoGL,MATCH(H779,lst_CCforGL,0)),""))</f>
        <v/>
      </c>
      <c r="L779" s="10">
        <f>IF($BI779="","",IF($B779="Onsite",INDEX(tbl_Onsite[PO / Reference],$BI779),IF($B779="Production",INDEX(tbl_Production[Current RMS No],$BI779),INDEX(tbl_Consulting[Qwilr Quote],$BI779)))&amp;"")</f>
        <v/>
      </c>
      <c r="M779" s="10">
        <f>IF($BI779="","",IF($B779="Onsite",INDEX(tbl_Onsite[Notes],$BI779),IF($B779="Production",INDEX(tbl_Production[Notes],$BI779),INDEX(tbl_Consulting[Notes],$BI779)))&amp;"")</f>
        <v/>
      </c>
      <c r="N779" s="11">
        <f>IF($BI779="","",IF(IF($B779="Onsite",INDEX(tbl_Onsite[Expected Revenue Ex GST],$BI779),IF($B779="Production",INDEX(tbl_Production[Expected Revenue Ex GST],$BI779),INDEX(tbl_Consulting[Expected Revenue Ex GST],$BI779)))="","",IF($B779="Onsite",INDEX(tbl_Onsite[Expected Revenue Ex GST],$BI779),IF($B779="Production",INDEX(tbl_Production[Expected Revenue Ex GST],$BI779),INDEX(tbl_Consulting[Expected Revenue Ex GST],$BI779)))))</f>
        <v/>
      </c>
      <c r="O779" s="11">
        <f>IF(AND($C779="",NOT(COUNTA($S779:$BB779)&gt;0)),"",SUM(U779,X779,AA779,AD779,AG779,AJ779,AM779,AP779,AS779,AV779,AY779,BB779))</f>
        <v/>
      </c>
      <c r="P779" s="11">
        <f>IF(O779="","",N(N779)-O779)</f>
        <v/>
      </c>
      <c r="Q779" s="10">
        <f>IF(O779="","",IF($C779="","Invoice on empty job row",IF(N779="",IF(ROUND(O779,2)=0,"No dept value","Invoiced - no dept value"),IF(ROUND(O779,2)=0,"Not invoiced - to invoice",IF(ROUND(P779,2)=0,"Agrees",IF(P779&gt;0,"Dept higher - to invoice","Xero higher - check dept"))))))</f>
        <v/>
      </c>
      <c r="R779" s="10">
        <f>IF(AND($C779="",NOT(COUNTA($S779:$BB779)&gt;0),$BI779&lt;&gt;""),"",MID(IF($BI779="","; Row ID not found on the department sheet - a row was deleted","")&amp;IF(AND($C779="",COUNTA($S779:$BB779)&gt;0),"; Invoice entered but the department row has no job number","")&amp;IF(E779="CHECK","; Job number not in the Xero job list","")&amp;IF(AND($C779&lt;&gt;"",COUNTIF($C$7:$C$1506,$C779)&gt;1),"; Job number on more than one row","")&amp;IF(AND($C779&lt;&gt;"",H779=""),"; Dept has not set a cost centre","")&amp;IF(AND($C779&lt;&gt;"",J779=""),"; Dept has not set a tax code","")&amp;IF(AND($C779&lt;&gt;"",N779=""),"; Dept has not entered an expected value","")&amp;IF((IF(OR(COUNTA(S779:U779)=0,AND(COUNTA(S779:U779)=3,ISNUMBER(U779))),0,1)+IF(OR(COUNTA(V779:X779)=0,AND(COUNTA(V779:X779)=3,ISNUMBER(X779))),0,1)+IF(OR(COUNTA(Y779:AA779)=0,AND(COUNTA(Y779:AA779)=3,ISNUMBER(AA779))),0,1)+IF(OR(COUNTA(AB779:AD779)=0,AND(COUNTA(AB779:AD779)=3,ISNUMBER(AD779))),0,1)+IF(OR(COUNTA(AE779:AG779)=0,AND(COUNTA(AE779:AG779)=3,ISNUMBER(AG779))),0,1)+IF(OR(COUNTA(AH779:AJ779)=0,AND(COUNTA(AH779:AJ779)=3,ISNUMBER(AJ779))),0,1)+IF(OR(COUNTA(AK779:AM779)=0,AND(COUNTA(AK779:AM779)=3,ISNUMBER(AM779))),0,1)+IF(OR(COUNTA(AN779:AP779)=0,AND(COUNTA(AN779:AP779)=3,ISNUMBER(AP779))),0,1)+IF(OR(COUNTA(AQ779:AS779)=0,AND(COUNTA(AQ779:AS779)=3,ISNUMBER(AS779))),0,1)+IF(OR(COUNTA(AT779:AV779)=0,AND(COUNTA(AT779:AV779)=3,ISNUMBER(AV779))),0,1)+IF(OR(COUNTA(AW779:AY779)=0,AND(COUNTA(AW779:AY779)=3,ISNUMBER(AY779))),0,1)+IF(OR(COUNTA(AZ779:BB779)=0,AND(COUNTA(AZ779:BB779)=3,ISNUMBER(BB779))),0,1))&gt;0,"; An invoice is incomplete (needs No, Date and a number in Ex GST)","")&amp;IF((IF(T779="",0,IFERROR(--(EOMONTH(T779,0)&lt;&gt;S$5),1))+IF(W779="",0,IFERROR(--(EOMONTH(W779,0)&lt;&gt;V$5),1))+IF(Z779="",0,IFERROR(--(EOMONTH(Z779,0)&lt;&gt;Y$5),1))+IF(AC779="",0,IFERROR(--(EOMONTH(AC779,0)&lt;&gt;AB$5),1))+IF(AF779="",0,IFERROR(--(EOMONTH(AF779,0)&lt;&gt;AE$5),1))+IF(AI779="",0,IFERROR(--(EOMONTH(AI779,0)&lt;&gt;AH$5),1))+IF(AL779="",0,IFERROR(--(EOMONTH(AL779,0)&lt;&gt;AK$5),1))+IF(AO779="",0,IFERROR(--(EOMONTH(AO779,0)&lt;&gt;AN$5),1))+IF(AR779="",0,IFERROR(--(EOMONTH(AR779,0)&lt;&gt;AQ$5),1))+IF(AU779="",0,IFERROR(--(EOMONTH(AU779,0)&lt;&gt;AT$5),1))+IF(AX779="",0,IFERROR(--(EOMONTH(AX779,0)&lt;&gt;AW$5),1))+IF(BA779="",0,IFERROR(--(EOMONTH(BA779,0)&lt;&gt;AZ$5),1)))&gt;0,"; An invoice date is not in the month it is typed under",""),3,500))</f>
        <v/>
      </c>
      <c r="S779" s="12" t="n"/>
      <c r="T779" s="13" t="n"/>
      <c r="U779" s="14" t="n"/>
      <c r="V779" s="12" t="n"/>
      <c r="W779" s="13" t="n"/>
      <c r="X779" s="14" t="n"/>
      <c r="Y779" s="12" t="n"/>
      <c r="Z779" s="13" t="n"/>
      <c r="AA779" s="14" t="n"/>
      <c r="AB779" s="12" t="n"/>
      <c r="AC779" s="13" t="n"/>
      <c r="AD779" s="14" t="n"/>
      <c r="AE779" s="12" t="n"/>
      <c r="AF779" s="13" t="n"/>
      <c r="AG779" s="14" t="n"/>
      <c r="AH779" s="12" t="n"/>
      <c r="AI779" s="13" t="n"/>
      <c r="AJ779" s="14" t="n"/>
      <c r="AK779" s="12" t="n"/>
      <c r="AL779" s="13" t="n"/>
      <c r="AM779" s="14" t="n"/>
      <c r="AN779" s="12" t="n"/>
      <c r="AO779" s="13" t="n"/>
      <c r="AP779" s="14" t="n"/>
      <c r="AQ779" s="12" t="n"/>
      <c r="AR779" s="13" t="n"/>
      <c r="AS779" s="14" t="n"/>
      <c r="AT779" s="12" t="n"/>
      <c r="AU779" s="13" t="n"/>
      <c r="AV779" s="14" t="n"/>
      <c r="AW779" s="12" t="n"/>
      <c r="AX779" s="13" t="n"/>
      <c r="AY779" s="14" t="n"/>
      <c r="AZ779" s="12" t="n"/>
      <c r="BA779" s="13" t="n"/>
      <c r="BB779" s="14" t="n"/>
      <c r="BC779" s="11">
        <f>IF(O779="","",IF(J779="GST 10%",ROUND(O779*set_GSTRate,2),0))</f>
        <v/>
      </c>
      <c r="BD779" s="11">
        <f>IF(O779="","",O779+BC779)</f>
        <v/>
      </c>
      <c r="BE779" s="15">
        <f>IF(O779="","",COUNTA(S779,V779,Y779,AB779,AE779,AH779,AK779,AN779,AQ779,AT779,AW779,AZ779))</f>
        <v/>
      </c>
      <c r="BF779" s="16">
        <f>IF(COUNT(T779,W779,Z779,AC779,AF779,AI779,AL779,AO779,AR779,AU779,AX779,BA779)=0,"",MAX(T779,W779,Z779,AC779,AF779,AI779,AL779,AO779,AR779,AU779,AX779,BA779))</f>
        <v/>
      </c>
      <c r="BG779" s="10">
        <f>MID(IF(S779="","",", "&amp;S779)&amp;IF(V779="","",", "&amp;V779)&amp;IF(Y779="","",", "&amp;Y779)&amp;IF(AB779="","",", "&amp;AB779)&amp;IF(AE779="","",", "&amp;AE779)&amp;IF(AH779="","",", "&amp;AH779)&amp;IF(AK779="","",", "&amp;AK779)&amp;IF(AN779="","",", "&amp;AN779)&amp;IF(AQ779="","",", "&amp;AQ779)&amp;IF(AT779="","",", "&amp;AT779)&amp;IF(AW779="","",", "&amp;AW779)&amp;IF(AZ779="","",", "&amp;AZ779),3,500)</f>
        <v/>
      </c>
      <c r="BH779" s="12" t="n"/>
      <c r="BI779" s="15">
        <f>IFERROR(MATCH($A779,IF($B779="Onsite",tbl_Onsite[Row ID],IF($B779="Production",tbl_Production[Row ID],tbl_Consulting[Row ID])),0),"")</f>
        <v/>
      </c>
    </row>
    <row r="780">
      <c r="A780" s="10" t="inlineStr">
        <is>
          <t>PRD-0274</t>
        </is>
      </c>
      <c r="B780" s="10" t="inlineStr">
        <is>
          <t>Production</t>
        </is>
      </c>
      <c r="C780" s="10">
        <f>IF($BI780="","",IF($B780="Onsite",INDEX(tbl_Onsite[Job Number],$BI780),IF($B780="Production",INDEX(tbl_Production[Job Number],$BI780),INDEX(tbl_Consulting[Job Number],$BI780)))&amp;"")</f>
        <v/>
      </c>
      <c r="D780" s="10">
        <f>IF($BI780="","",IF($B780="Onsite",INDEX(tbl_Onsite[Client],$BI780),IF($B780="Production",INDEX(tbl_Production[Client],$BI780),INDEX(tbl_Consulting[Client],$BI780)))&amp;"")</f>
        <v/>
      </c>
      <c r="E780" s="10">
        <f>IF($C780="","",IF(COUNTIF(lst_Jobs,$C780)&gt;0,"OK","CHECK"))</f>
        <v/>
      </c>
      <c r="F780" s="10">
        <f>IF($C780="","",IFERROR(INDEX(lst_JobName,MATCH($C780,lst_Jobs,0)),""))</f>
        <v/>
      </c>
      <c r="G780" s="10">
        <f>IF($BI780="","",IF($B780="Onsite",INDEX(tbl_Onsite[Job Description],$BI780),IF($B780="Production",INDEX(tbl_Production[Job Description],$BI780),INDEX(tbl_Consulting[Job Description],$BI780)))&amp;"")</f>
        <v/>
      </c>
      <c r="H780" s="10">
        <f>IF($BI780="","",IF($B780="Onsite",INDEX(tbl_Onsite[Cost Centre],$BI780),IF($B780="Production",INDEX(tbl_Production[Cost Centre],$BI780),INDEX(tbl_Consulting[Cost Centre],$BI780)))&amp;"")</f>
        <v/>
      </c>
      <c r="I780" s="10">
        <f>IF($BI780="","",IF($B780="Onsite",INDEX(tbl_Onsite[Invoice Type],$BI780),IF($B780="Production",INDEX(tbl_Production[Invoice Type],$BI780),INDEX(tbl_Consulting[Invoice Type],$BI780)))&amp;"")</f>
        <v/>
      </c>
      <c r="J780" s="10">
        <f>IF($BI780="","",IF($B780="Onsite",INDEX(tbl_Onsite[Tax Code],$BI780),IF($B780="Production",INDEX(tbl_Production[Tax Code],$BI780),INDEX(tbl_Consulting[Tax Code],$BI780)))&amp;"")</f>
        <v/>
      </c>
      <c r="K780" s="10">
        <f>IF(H780="","",IFERROR(INDEX(lst_CCtoGL,MATCH(H780,lst_CCforGL,0)),""))</f>
        <v/>
      </c>
      <c r="L780" s="10">
        <f>IF($BI780="","",IF($B780="Onsite",INDEX(tbl_Onsite[PO / Reference],$BI780),IF($B780="Production",INDEX(tbl_Production[Current RMS No],$BI780),INDEX(tbl_Consulting[Qwilr Quote],$BI780)))&amp;"")</f>
        <v/>
      </c>
      <c r="M780" s="10">
        <f>IF($BI780="","",IF($B780="Onsite",INDEX(tbl_Onsite[Notes],$BI780),IF($B780="Production",INDEX(tbl_Production[Notes],$BI780),INDEX(tbl_Consulting[Notes],$BI780)))&amp;"")</f>
        <v/>
      </c>
      <c r="N780" s="11">
        <f>IF($BI780="","",IF(IF($B780="Onsite",INDEX(tbl_Onsite[Expected Revenue Ex GST],$BI780),IF($B780="Production",INDEX(tbl_Production[Expected Revenue Ex GST],$BI780),INDEX(tbl_Consulting[Expected Revenue Ex GST],$BI780)))="","",IF($B780="Onsite",INDEX(tbl_Onsite[Expected Revenue Ex GST],$BI780),IF($B780="Production",INDEX(tbl_Production[Expected Revenue Ex GST],$BI780),INDEX(tbl_Consulting[Expected Revenue Ex GST],$BI780)))))</f>
        <v/>
      </c>
      <c r="O780" s="11">
        <f>IF(AND($C780="",NOT(COUNTA($S780:$BB780)&gt;0)),"",SUM(U780,X780,AA780,AD780,AG780,AJ780,AM780,AP780,AS780,AV780,AY780,BB780))</f>
        <v/>
      </c>
      <c r="P780" s="11">
        <f>IF(O780="","",N(N780)-O780)</f>
        <v/>
      </c>
      <c r="Q780" s="10">
        <f>IF(O780="","",IF($C780="","Invoice on empty job row",IF(N780="",IF(ROUND(O780,2)=0,"No dept value","Invoiced - no dept value"),IF(ROUND(O780,2)=0,"Not invoiced - to invoice",IF(ROUND(P780,2)=0,"Agrees",IF(P780&gt;0,"Dept higher - to invoice","Xero higher - check dept"))))))</f>
        <v/>
      </c>
      <c r="R780" s="10">
        <f>IF(AND($C780="",NOT(COUNTA($S780:$BB780)&gt;0),$BI780&lt;&gt;""),"",MID(IF($BI780="","; Row ID not found on the department sheet - a row was deleted","")&amp;IF(AND($C780="",COUNTA($S780:$BB780)&gt;0),"; Invoice entered but the department row has no job number","")&amp;IF(E780="CHECK","; Job number not in the Xero job list","")&amp;IF(AND($C780&lt;&gt;"",COUNTIF($C$7:$C$1506,$C780)&gt;1),"; Job number on more than one row","")&amp;IF(AND($C780&lt;&gt;"",H780=""),"; Dept has not set a cost centre","")&amp;IF(AND($C780&lt;&gt;"",J780=""),"; Dept has not set a tax code","")&amp;IF(AND($C780&lt;&gt;"",N780=""),"; Dept has not entered an expected value","")&amp;IF((IF(OR(COUNTA(S780:U780)=0,AND(COUNTA(S780:U780)=3,ISNUMBER(U780))),0,1)+IF(OR(COUNTA(V780:X780)=0,AND(COUNTA(V780:X780)=3,ISNUMBER(X780))),0,1)+IF(OR(COUNTA(Y780:AA780)=0,AND(COUNTA(Y780:AA780)=3,ISNUMBER(AA780))),0,1)+IF(OR(COUNTA(AB780:AD780)=0,AND(COUNTA(AB780:AD780)=3,ISNUMBER(AD780))),0,1)+IF(OR(COUNTA(AE780:AG780)=0,AND(COUNTA(AE780:AG780)=3,ISNUMBER(AG780))),0,1)+IF(OR(COUNTA(AH780:AJ780)=0,AND(COUNTA(AH780:AJ780)=3,ISNUMBER(AJ780))),0,1)+IF(OR(COUNTA(AK780:AM780)=0,AND(COUNTA(AK780:AM780)=3,ISNUMBER(AM780))),0,1)+IF(OR(COUNTA(AN780:AP780)=0,AND(COUNTA(AN780:AP780)=3,ISNUMBER(AP780))),0,1)+IF(OR(COUNTA(AQ780:AS780)=0,AND(COUNTA(AQ780:AS780)=3,ISNUMBER(AS780))),0,1)+IF(OR(COUNTA(AT780:AV780)=0,AND(COUNTA(AT780:AV780)=3,ISNUMBER(AV780))),0,1)+IF(OR(COUNTA(AW780:AY780)=0,AND(COUNTA(AW780:AY780)=3,ISNUMBER(AY780))),0,1)+IF(OR(COUNTA(AZ780:BB780)=0,AND(COUNTA(AZ780:BB780)=3,ISNUMBER(BB780))),0,1))&gt;0,"; An invoice is incomplete (needs No, Date and a number in Ex GST)","")&amp;IF((IF(T780="",0,IFERROR(--(EOMONTH(T780,0)&lt;&gt;S$5),1))+IF(W780="",0,IFERROR(--(EOMONTH(W780,0)&lt;&gt;V$5),1))+IF(Z780="",0,IFERROR(--(EOMONTH(Z780,0)&lt;&gt;Y$5),1))+IF(AC780="",0,IFERROR(--(EOMONTH(AC780,0)&lt;&gt;AB$5),1))+IF(AF780="",0,IFERROR(--(EOMONTH(AF780,0)&lt;&gt;AE$5),1))+IF(AI780="",0,IFERROR(--(EOMONTH(AI780,0)&lt;&gt;AH$5),1))+IF(AL780="",0,IFERROR(--(EOMONTH(AL780,0)&lt;&gt;AK$5),1))+IF(AO780="",0,IFERROR(--(EOMONTH(AO780,0)&lt;&gt;AN$5),1))+IF(AR780="",0,IFERROR(--(EOMONTH(AR780,0)&lt;&gt;AQ$5),1))+IF(AU780="",0,IFERROR(--(EOMONTH(AU780,0)&lt;&gt;AT$5),1))+IF(AX780="",0,IFERROR(--(EOMONTH(AX780,0)&lt;&gt;AW$5),1))+IF(BA780="",0,IFERROR(--(EOMONTH(BA780,0)&lt;&gt;AZ$5),1)))&gt;0,"; An invoice date is not in the month it is typed under",""),3,500))</f>
        <v/>
      </c>
      <c r="S780" s="12" t="n"/>
      <c r="T780" s="13" t="n"/>
      <c r="U780" s="14" t="n"/>
      <c r="V780" s="12" t="n"/>
      <c r="W780" s="13" t="n"/>
      <c r="X780" s="14" t="n"/>
      <c r="Y780" s="12" t="n"/>
      <c r="Z780" s="13" t="n"/>
      <c r="AA780" s="14" t="n"/>
      <c r="AB780" s="12" t="n"/>
      <c r="AC780" s="13" t="n"/>
      <c r="AD780" s="14" t="n"/>
      <c r="AE780" s="12" t="n"/>
      <c r="AF780" s="13" t="n"/>
      <c r="AG780" s="14" t="n"/>
      <c r="AH780" s="12" t="n"/>
      <c r="AI780" s="13" t="n"/>
      <c r="AJ780" s="14" t="n"/>
      <c r="AK780" s="12" t="n"/>
      <c r="AL780" s="13" t="n"/>
      <c r="AM780" s="14" t="n"/>
      <c r="AN780" s="12" t="n"/>
      <c r="AO780" s="13" t="n"/>
      <c r="AP780" s="14" t="n"/>
      <c r="AQ780" s="12" t="n"/>
      <c r="AR780" s="13" t="n"/>
      <c r="AS780" s="14" t="n"/>
      <c r="AT780" s="12" t="n"/>
      <c r="AU780" s="13" t="n"/>
      <c r="AV780" s="14" t="n"/>
      <c r="AW780" s="12" t="n"/>
      <c r="AX780" s="13" t="n"/>
      <c r="AY780" s="14" t="n"/>
      <c r="AZ780" s="12" t="n"/>
      <c r="BA780" s="13" t="n"/>
      <c r="BB780" s="14" t="n"/>
      <c r="BC780" s="11">
        <f>IF(O780="","",IF(J780="GST 10%",ROUND(O780*set_GSTRate,2),0))</f>
        <v/>
      </c>
      <c r="BD780" s="11">
        <f>IF(O780="","",O780+BC780)</f>
        <v/>
      </c>
      <c r="BE780" s="15">
        <f>IF(O780="","",COUNTA(S780,V780,Y780,AB780,AE780,AH780,AK780,AN780,AQ780,AT780,AW780,AZ780))</f>
        <v/>
      </c>
      <c r="BF780" s="16">
        <f>IF(COUNT(T780,W780,Z780,AC780,AF780,AI780,AL780,AO780,AR780,AU780,AX780,BA780)=0,"",MAX(T780,W780,Z780,AC780,AF780,AI780,AL780,AO780,AR780,AU780,AX780,BA780))</f>
        <v/>
      </c>
      <c r="BG780" s="10">
        <f>MID(IF(S780="","",", "&amp;S780)&amp;IF(V780="","",", "&amp;V780)&amp;IF(Y780="","",", "&amp;Y780)&amp;IF(AB780="","",", "&amp;AB780)&amp;IF(AE780="","",", "&amp;AE780)&amp;IF(AH780="","",", "&amp;AH780)&amp;IF(AK780="","",", "&amp;AK780)&amp;IF(AN780="","",", "&amp;AN780)&amp;IF(AQ780="","",", "&amp;AQ780)&amp;IF(AT780="","",", "&amp;AT780)&amp;IF(AW780="","",", "&amp;AW780)&amp;IF(AZ780="","",", "&amp;AZ780),3,500)</f>
        <v/>
      </c>
      <c r="BH780" s="12" t="n"/>
      <c r="BI780" s="15">
        <f>IFERROR(MATCH($A780,IF($B780="Onsite",tbl_Onsite[Row ID],IF($B780="Production",tbl_Production[Row ID],tbl_Consulting[Row ID])),0),"")</f>
        <v/>
      </c>
    </row>
    <row r="781">
      <c r="A781" s="10" t="inlineStr">
        <is>
          <t>PRD-0275</t>
        </is>
      </c>
      <c r="B781" s="10" t="inlineStr">
        <is>
          <t>Production</t>
        </is>
      </c>
      <c r="C781" s="10">
        <f>IF($BI781="","",IF($B781="Onsite",INDEX(tbl_Onsite[Job Number],$BI781),IF($B781="Production",INDEX(tbl_Production[Job Number],$BI781),INDEX(tbl_Consulting[Job Number],$BI781)))&amp;"")</f>
        <v/>
      </c>
      <c r="D781" s="10">
        <f>IF($BI781="","",IF($B781="Onsite",INDEX(tbl_Onsite[Client],$BI781),IF($B781="Production",INDEX(tbl_Production[Client],$BI781),INDEX(tbl_Consulting[Client],$BI781)))&amp;"")</f>
        <v/>
      </c>
      <c r="E781" s="10">
        <f>IF($C781="","",IF(COUNTIF(lst_Jobs,$C781)&gt;0,"OK","CHECK"))</f>
        <v/>
      </c>
      <c r="F781" s="10">
        <f>IF($C781="","",IFERROR(INDEX(lst_JobName,MATCH($C781,lst_Jobs,0)),""))</f>
        <v/>
      </c>
      <c r="G781" s="10">
        <f>IF($BI781="","",IF($B781="Onsite",INDEX(tbl_Onsite[Job Description],$BI781),IF($B781="Production",INDEX(tbl_Production[Job Description],$BI781),INDEX(tbl_Consulting[Job Description],$BI781)))&amp;"")</f>
        <v/>
      </c>
      <c r="H781" s="10">
        <f>IF($BI781="","",IF($B781="Onsite",INDEX(tbl_Onsite[Cost Centre],$BI781),IF($B781="Production",INDEX(tbl_Production[Cost Centre],$BI781),INDEX(tbl_Consulting[Cost Centre],$BI781)))&amp;"")</f>
        <v/>
      </c>
      <c r="I781" s="10">
        <f>IF($BI781="","",IF($B781="Onsite",INDEX(tbl_Onsite[Invoice Type],$BI781),IF($B781="Production",INDEX(tbl_Production[Invoice Type],$BI781),INDEX(tbl_Consulting[Invoice Type],$BI781)))&amp;"")</f>
        <v/>
      </c>
      <c r="J781" s="10">
        <f>IF($BI781="","",IF($B781="Onsite",INDEX(tbl_Onsite[Tax Code],$BI781),IF($B781="Production",INDEX(tbl_Production[Tax Code],$BI781),INDEX(tbl_Consulting[Tax Code],$BI781)))&amp;"")</f>
        <v/>
      </c>
      <c r="K781" s="10">
        <f>IF(H781="","",IFERROR(INDEX(lst_CCtoGL,MATCH(H781,lst_CCforGL,0)),""))</f>
        <v/>
      </c>
      <c r="L781" s="10">
        <f>IF($BI781="","",IF($B781="Onsite",INDEX(tbl_Onsite[PO / Reference],$BI781),IF($B781="Production",INDEX(tbl_Production[Current RMS No],$BI781),INDEX(tbl_Consulting[Qwilr Quote],$BI781)))&amp;"")</f>
        <v/>
      </c>
      <c r="M781" s="10">
        <f>IF($BI781="","",IF($B781="Onsite",INDEX(tbl_Onsite[Notes],$BI781),IF($B781="Production",INDEX(tbl_Production[Notes],$BI781),INDEX(tbl_Consulting[Notes],$BI781)))&amp;"")</f>
        <v/>
      </c>
      <c r="N781" s="11">
        <f>IF($BI781="","",IF(IF($B781="Onsite",INDEX(tbl_Onsite[Expected Revenue Ex GST],$BI781),IF($B781="Production",INDEX(tbl_Production[Expected Revenue Ex GST],$BI781),INDEX(tbl_Consulting[Expected Revenue Ex GST],$BI781)))="","",IF($B781="Onsite",INDEX(tbl_Onsite[Expected Revenue Ex GST],$BI781),IF($B781="Production",INDEX(tbl_Production[Expected Revenue Ex GST],$BI781),INDEX(tbl_Consulting[Expected Revenue Ex GST],$BI781)))))</f>
        <v/>
      </c>
      <c r="O781" s="11">
        <f>IF(AND($C781="",NOT(COUNTA($S781:$BB781)&gt;0)),"",SUM(U781,X781,AA781,AD781,AG781,AJ781,AM781,AP781,AS781,AV781,AY781,BB781))</f>
        <v/>
      </c>
      <c r="P781" s="11">
        <f>IF(O781="","",N(N781)-O781)</f>
        <v/>
      </c>
      <c r="Q781" s="10">
        <f>IF(O781="","",IF($C781="","Invoice on empty job row",IF(N781="",IF(ROUND(O781,2)=0,"No dept value","Invoiced - no dept value"),IF(ROUND(O781,2)=0,"Not invoiced - to invoice",IF(ROUND(P781,2)=0,"Agrees",IF(P781&gt;0,"Dept higher - to invoice","Xero higher - check dept"))))))</f>
        <v/>
      </c>
      <c r="R781" s="10">
        <f>IF(AND($C781="",NOT(COUNTA($S781:$BB781)&gt;0),$BI781&lt;&gt;""),"",MID(IF($BI781="","; Row ID not found on the department sheet - a row was deleted","")&amp;IF(AND($C781="",COUNTA($S781:$BB781)&gt;0),"; Invoice entered but the department row has no job number","")&amp;IF(E781="CHECK","; Job number not in the Xero job list","")&amp;IF(AND($C781&lt;&gt;"",COUNTIF($C$7:$C$1506,$C781)&gt;1),"; Job number on more than one row","")&amp;IF(AND($C781&lt;&gt;"",H781=""),"; Dept has not set a cost centre","")&amp;IF(AND($C781&lt;&gt;"",J781=""),"; Dept has not set a tax code","")&amp;IF(AND($C781&lt;&gt;"",N781=""),"; Dept has not entered an expected value","")&amp;IF((IF(OR(COUNTA(S781:U781)=0,AND(COUNTA(S781:U781)=3,ISNUMBER(U781))),0,1)+IF(OR(COUNTA(V781:X781)=0,AND(COUNTA(V781:X781)=3,ISNUMBER(X781))),0,1)+IF(OR(COUNTA(Y781:AA781)=0,AND(COUNTA(Y781:AA781)=3,ISNUMBER(AA781))),0,1)+IF(OR(COUNTA(AB781:AD781)=0,AND(COUNTA(AB781:AD781)=3,ISNUMBER(AD781))),0,1)+IF(OR(COUNTA(AE781:AG781)=0,AND(COUNTA(AE781:AG781)=3,ISNUMBER(AG781))),0,1)+IF(OR(COUNTA(AH781:AJ781)=0,AND(COUNTA(AH781:AJ781)=3,ISNUMBER(AJ781))),0,1)+IF(OR(COUNTA(AK781:AM781)=0,AND(COUNTA(AK781:AM781)=3,ISNUMBER(AM781))),0,1)+IF(OR(COUNTA(AN781:AP781)=0,AND(COUNTA(AN781:AP781)=3,ISNUMBER(AP781))),0,1)+IF(OR(COUNTA(AQ781:AS781)=0,AND(COUNTA(AQ781:AS781)=3,ISNUMBER(AS781))),0,1)+IF(OR(COUNTA(AT781:AV781)=0,AND(COUNTA(AT781:AV781)=3,ISNUMBER(AV781))),0,1)+IF(OR(COUNTA(AW781:AY781)=0,AND(COUNTA(AW781:AY781)=3,ISNUMBER(AY781))),0,1)+IF(OR(COUNTA(AZ781:BB781)=0,AND(COUNTA(AZ781:BB781)=3,ISNUMBER(BB781))),0,1))&gt;0,"; An invoice is incomplete (needs No, Date and a number in Ex GST)","")&amp;IF((IF(T781="",0,IFERROR(--(EOMONTH(T781,0)&lt;&gt;S$5),1))+IF(W781="",0,IFERROR(--(EOMONTH(W781,0)&lt;&gt;V$5),1))+IF(Z781="",0,IFERROR(--(EOMONTH(Z781,0)&lt;&gt;Y$5),1))+IF(AC781="",0,IFERROR(--(EOMONTH(AC781,0)&lt;&gt;AB$5),1))+IF(AF781="",0,IFERROR(--(EOMONTH(AF781,0)&lt;&gt;AE$5),1))+IF(AI781="",0,IFERROR(--(EOMONTH(AI781,0)&lt;&gt;AH$5),1))+IF(AL781="",0,IFERROR(--(EOMONTH(AL781,0)&lt;&gt;AK$5),1))+IF(AO781="",0,IFERROR(--(EOMONTH(AO781,0)&lt;&gt;AN$5),1))+IF(AR781="",0,IFERROR(--(EOMONTH(AR781,0)&lt;&gt;AQ$5),1))+IF(AU781="",0,IFERROR(--(EOMONTH(AU781,0)&lt;&gt;AT$5),1))+IF(AX781="",0,IFERROR(--(EOMONTH(AX781,0)&lt;&gt;AW$5),1))+IF(BA781="",0,IFERROR(--(EOMONTH(BA781,0)&lt;&gt;AZ$5),1)))&gt;0,"; An invoice date is not in the month it is typed under",""),3,500))</f>
        <v/>
      </c>
      <c r="S781" s="12" t="n"/>
      <c r="T781" s="13" t="n"/>
      <c r="U781" s="14" t="n"/>
      <c r="V781" s="12" t="n"/>
      <c r="W781" s="13" t="n"/>
      <c r="X781" s="14" t="n"/>
      <c r="Y781" s="12" t="n"/>
      <c r="Z781" s="13" t="n"/>
      <c r="AA781" s="14" t="n"/>
      <c r="AB781" s="12" t="n"/>
      <c r="AC781" s="13" t="n"/>
      <c r="AD781" s="14" t="n"/>
      <c r="AE781" s="12" t="n"/>
      <c r="AF781" s="13" t="n"/>
      <c r="AG781" s="14" t="n"/>
      <c r="AH781" s="12" t="n"/>
      <c r="AI781" s="13" t="n"/>
      <c r="AJ781" s="14" t="n"/>
      <c r="AK781" s="12" t="n"/>
      <c r="AL781" s="13" t="n"/>
      <c r="AM781" s="14" t="n"/>
      <c r="AN781" s="12" t="n"/>
      <c r="AO781" s="13" t="n"/>
      <c r="AP781" s="14" t="n"/>
      <c r="AQ781" s="12" t="n"/>
      <c r="AR781" s="13" t="n"/>
      <c r="AS781" s="14" t="n"/>
      <c r="AT781" s="12" t="n"/>
      <c r="AU781" s="13" t="n"/>
      <c r="AV781" s="14" t="n"/>
      <c r="AW781" s="12" t="n"/>
      <c r="AX781" s="13" t="n"/>
      <c r="AY781" s="14" t="n"/>
      <c r="AZ781" s="12" t="n"/>
      <c r="BA781" s="13" t="n"/>
      <c r="BB781" s="14" t="n"/>
      <c r="BC781" s="11">
        <f>IF(O781="","",IF(J781="GST 10%",ROUND(O781*set_GSTRate,2),0))</f>
        <v/>
      </c>
      <c r="BD781" s="11">
        <f>IF(O781="","",O781+BC781)</f>
        <v/>
      </c>
      <c r="BE781" s="15">
        <f>IF(O781="","",COUNTA(S781,V781,Y781,AB781,AE781,AH781,AK781,AN781,AQ781,AT781,AW781,AZ781))</f>
        <v/>
      </c>
      <c r="BF781" s="16">
        <f>IF(COUNT(T781,W781,Z781,AC781,AF781,AI781,AL781,AO781,AR781,AU781,AX781,BA781)=0,"",MAX(T781,W781,Z781,AC781,AF781,AI781,AL781,AO781,AR781,AU781,AX781,BA781))</f>
        <v/>
      </c>
      <c r="BG781" s="10">
        <f>MID(IF(S781="","",", "&amp;S781)&amp;IF(V781="","",", "&amp;V781)&amp;IF(Y781="","",", "&amp;Y781)&amp;IF(AB781="","",", "&amp;AB781)&amp;IF(AE781="","",", "&amp;AE781)&amp;IF(AH781="","",", "&amp;AH781)&amp;IF(AK781="","",", "&amp;AK781)&amp;IF(AN781="","",", "&amp;AN781)&amp;IF(AQ781="","",", "&amp;AQ781)&amp;IF(AT781="","",", "&amp;AT781)&amp;IF(AW781="","",", "&amp;AW781)&amp;IF(AZ781="","",", "&amp;AZ781),3,500)</f>
        <v/>
      </c>
      <c r="BH781" s="12" t="n"/>
      <c r="BI781" s="15">
        <f>IFERROR(MATCH($A781,IF($B781="Onsite",tbl_Onsite[Row ID],IF($B781="Production",tbl_Production[Row ID],tbl_Consulting[Row ID])),0),"")</f>
        <v/>
      </c>
    </row>
    <row r="782">
      <c r="A782" s="10" t="inlineStr">
        <is>
          <t>PRD-0276</t>
        </is>
      </c>
      <c r="B782" s="10" t="inlineStr">
        <is>
          <t>Production</t>
        </is>
      </c>
      <c r="C782" s="10">
        <f>IF($BI782="","",IF($B782="Onsite",INDEX(tbl_Onsite[Job Number],$BI782),IF($B782="Production",INDEX(tbl_Production[Job Number],$BI782),INDEX(tbl_Consulting[Job Number],$BI782)))&amp;"")</f>
        <v/>
      </c>
      <c r="D782" s="10">
        <f>IF($BI782="","",IF($B782="Onsite",INDEX(tbl_Onsite[Client],$BI782),IF($B782="Production",INDEX(tbl_Production[Client],$BI782),INDEX(tbl_Consulting[Client],$BI782)))&amp;"")</f>
        <v/>
      </c>
      <c r="E782" s="10">
        <f>IF($C782="","",IF(COUNTIF(lst_Jobs,$C782)&gt;0,"OK","CHECK"))</f>
        <v/>
      </c>
      <c r="F782" s="10">
        <f>IF($C782="","",IFERROR(INDEX(lst_JobName,MATCH($C782,lst_Jobs,0)),""))</f>
        <v/>
      </c>
      <c r="G782" s="10">
        <f>IF($BI782="","",IF($B782="Onsite",INDEX(tbl_Onsite[Job Description],$BI782),IF($B782="Production",INDEX(tbl_Production[Job Description],$BI782),INDEX(tbl_Consulting[Job Description],$BI782)))&amp;"")</f>
        <v/>
      </c>
      <c r="H782" s="10">
        <f>IF($BI782="","",IF($B782="Onsite",INDEX(tbl_Onsite[Cost Centre],$BI782),IF($B782="Production",INDEX(tbl_Production[Cost Centre],$BI782),INDEX(tbl_Consulting[Cost Centre],$BI782)))&amp;"")</f>
        <v/>
      </c>
      <c r="I782" s="10">
        <f>IF($BI782="","",IF($B782="Onsite",INDEX(tbl_Onsite[Invoice Type],$BI782),IF($B782="Production",INDEX(tbl_Production[Invoice Type],$BI782),INDEX(tbl_Consulting[Invoice Type],$BI782)))&amp;"")</f>
        <v/>
      </c>
      <c r="J782" s="10">
        <f>IF($BI782="","",IF($B782="Onsite",INDEX(tbl_Onsite[Tax Code],$BI782),IF($B782="Production",INDEX(tbl_Production[Tax Code],$BI782),INDEX(tbl_Consulting[Tax Code],$BI782)))&amp;"")</f>
        <v/>
      </c>
      <c r="K782" s="10">
        <f>IF(H782="","",IFERROR(INDEX(lst_CCtoGL,MATCH(H782,lst_CCforGL,0)),""))</f>
        <v/>
      </c>
      <c r="L782" s="10">
        <f>IF($BI782="","",IF($B782="Onsite",INDEX(tbl_Onsite[PO / Reference],$BI782),IF($B782="Production",INDEX(tbl_Production[Current RMS No],$BI782),INDEX(tbl_Consulting[Qwilr Quote],$BI782)))&amp;"")</f>
        <v/>
      </c>
      <c r="M782" s="10">
        <f>IF($BI782="","",IF($B782="Onsite",INDEX(tbl_Onsite[Notes],$BI782),IF($B782="Production",INDEX(tbl_Production[Notes],$BI782),INDEX(tbl_Consulting[Notes],$BI782)))&amp;"")</f>
        <v/>
      </c>
      <c r="N782" s="11">
        <f>IF($BI782="","",IF(IF($B782="Onsite",INDEX(tbl_Onsite[Expected Revenue Ex GST],$BI782),IF($B782="Production",INDEX(tbl_Production[Expected Revenue Ex GST],$BI782),INDEX(tbl_Consulting[Expected Revenue Ex GST],$BI782)))="","",IF($B782="Onsite",INDEX(tbl_Onsite[Expected Revenue Ex GST],$BI782),IF($B782="Production",INDEX(tbl_Production[Expected Revenue Ex GST],$BI782),INDEX(tbl_Consulting[Expected Revenue Ex GST],$BI782)))))</f>
        <v/>
      </c>
      <c r="O782" s="11">
        <f>IF(AND($C782="",NOT(COUNTA($S782:$BB782)&gt;0)),"",SUM(U782,X782,AA782,AD782,AG782,AJ782,AM782,AP782,AS782,AV782,AY782,BB782))</f>
        <v/>
      </c>
      <c r="P782" s="11">
        <f>IF(O782="","",N(N782)-O782)</f>
        <v/>
      </c>
      <c r="Q782" s="10">
        <f>IF(O782="","",IF($C782="","Invoice on empty job row",IF(N782="",IF(ROUND(O782,2)=0,"No dept value","Invoiced - no dept value"),IF(ROUND(O782,2)=0,"Not invoiced - to invoice",IF(ROUND(P782,2)=0,"Agrees",IF(P782&gt;0,"Dept higher - to invoice","Xero higher - check dept"))))))</f>
        <v/>
      </c>
      <c r="R782" s="10">
        <f>IF(AND($C782="",NOT(COUNTA($S782:$BB782)&gt;0),$BI782&lt;&gt;""),"",MID(IF($BI782="","; Row ID not found on the department sheet - a row was deleted","")&amp;IF(AND($C782="",COUNTA($S782:$BB782)&gt;0),"; Invoice entered but the department row has no job number","")&amp;IF(E782="CHECK","; Job number not in the Xero job list","")&amp;IF(AND($C782&lt;&gt;"",COUNTIF($C$7:$C$1506,$C782)&gt;1),"; Job number on more than one row","")&amp;IF(AND($C782&lt;&gt;"",H782=""),"; Dept has not set a cost centre","")&amp;IF(AND($C782&lt;&gt;"",J782=""),"; Dept has not set a tax code","")&amp;IF(AND($C782&lt;&gt;"",N782=""),"; Dept has not entered an expected value","")&amp;IF((IF(OR(COUNTA(S782:U782)=0,AND(COUNTA(S782:U782)=3,ISNUMBER(U782))),0,1)+IF(OR(COUNTA(V782:X782)=0,AND(COUNTA(V782:X782)=3,ISNUMBER(X782))),0,1)+IF(OR(COUNTA(Y782:AA782)=0,AND(COUNTA(Y782:AA782)=3,ISNUMBER(AA782))),0,1)+IF(OR(COUNTA(AB782:AD782)=0,AND(COUNTA(AB782:AD782)=3,ISNUMBER(AD782))),0,1)+IF(OR(COUNTA(AE782:AG782)=0,AND(COUNTA(AE782:AG782)=3,ISNUMBER(AG782))),0,1)+IF(OR(COUNTA(AH782:AJ782)=0,AND(COUNTA(AH782:AJ782)=3,ISNUMBER(AJ782))),0,1)+IF(OR(COUNTA(AK782:AM782)=0,AND(COUNTA(AK782:AM782)=3,ISNUMBER(AM782))),0,1)+IF(OR(COUNTA(AN782:AP782)=0,AND(COUNTA(AN782:AP782)=3,ISNUMBER(AP782))),0,1)+IF(OR(COUNTA(AQ782:AS782)=0,AND(COUNTA(AQ782:AS782)=3,ISNUMBER(AS782))),0,1)+IF(OR(COUNTA(AT782:AV782)=0,AND(COUNTA(AT782:AV782)=3,ISNUMBER(AV782))),0,1)+IF(OR(COUNTA(AW782:AY782)=0,AND(COUNTA(AW782:AY782)=3,ISNUMBER(AY782))),0,1)+IF(OR(COUNTA(AZ782:BB782)=0,AND(COUNTA(AZ782:BB782)=3,ISNUMBER(BB782))),0,1))&gt;0,"; An invoice is incomplete (needs No, Date and a number in Ex GST)","")&amp;IF((IF(T782="",0,IFERROR(--(EOMONTH(T782,0)&lt;&gt;S$5),1))+IF(W782="",0,IFERROR(--(EOMONTH(W782,0)&lt;&gt;V$5),1))+IF(Z782="",0,IFERROR(--(EOMONTH(Z782,0)&lt;&gt;Y$5),1))+IF(AC782="",0,IFERROR(--(EOMONTH(AC782,0)&lt;&gt;AB$5),1))+IF(AF782="",0,IFERROR(--(EOMONTH(AF782,0)&lt;&gt;AE$5),1))+IF(AI782="",0,IFERROR(--(EOMONTH(AI782,0)&lt;&gt;AH$5),1))+IF(AL782="",0,IFERROR(--(EOMONTH(AL782,0)&lt;&gt;AK$5),1))+IF(AO782="",0,IFERROR(--(EOMONTH(AO782,0)&lt;&gt;AN$5),1))+IF(AR782="",0,IFERROR(--(EOMONTH(AR782,0)&lt;&gt;AQ$5),1))+IF(AU782="",0,IFERROR(--(EOMONTH(AU782,0)&lt;&gt;AT$5),1))+IF(AX782="",0,IFERROR(--(EOMONTH(AX782,0)&lt;&gt;AW$5),1))+IF(BA782="",0,IFERROR(--(EOMONTH(BA782,0)&lt;&gt;AZ$5),1)))&gt;0,"; An invoice date is not in the month it is typed under",""),3,500))</f>
        <v/>
      </c>
      <c r="S782" s="12" t="n"/>
      <c r="T782" s="13" t="n"/>
      <c r="U782" s="14" t="n"/>
      <c r="V782" s="12" t="n"/>
      <c r="W782" s="13" t="n"/>
      <c r="X782" s="14" t="n"/>
      <c r="Y782" s="12" t="n"/>
      <c r="Z782" s="13" t="n"/>
      <c r="AA782" s="14" t="n"/>
      <c r="AB782" s="12" t="n"/>
      <c r="AC782" s="13" t="n"/>
      <c r="AD782" s="14" t="n"/>
      <c r="AE782" s="12" t="n"/>
      <c r="AF782" s="13" t="n"/>
      <c r="AG782" s="14" t="n"/>
      <c r="AH782" s="12" t="n"/>
      <c r="AI782" s="13" t="n"/>
      <c r="AJ782" s="14" t="n"/>
      <c r="AK782" s="12" t="n"/>
      <c r="AL782" s="13" t="n"/>
      <c r="AM782" s="14" t="n"/>
      <c r="AN782" s="12" t="n"/>
      <c r="AO782" s="13" t="n"/>
      <c r="AP782" s="14" t="n"/>
      <c r="AQ782" s="12" t="n"/>
      <c r="AR782" s="13" t="n"/>
      <c r="AS782" s="14" t="n"/>
      <c r="AT782" s="12" t="n"/>
      <c r="AU782" s="13" t="n"/>
      <c r="AV782" s="14" t="n"/>
      <c r="AW782" s="12" t="n"/>
      <c r="AX782" s="13" t="n"/>
      <c r="AY782" s="14" t="n"/>
      <c r="AZ782" s="12" t="n"/>
      <c r="BA782" s="13" t="n"/>
      <c r="BB782" s="14" t="n"/>
      <c r="BC782" s="11">
        <f>IF(O782="","",IF(J782="GST 10%",ROUND(O782*set_GSTRate,2),0))</f>
        <v/>
      </c>
      <c r="BD782" s="11">
        <f>IF(O782="","",O782+BC782)</f>
        <v/>
      </c>
      <c r="BE782" s="15">
        <f>IF(O782="","",COUNTA(S782,V782,Y782,AB782,AE782,AH782,AK782,AN782,AQ782,AT782,AW782,AZ782))</f>
        <v/>
      </c>
      <c r="BF782" s="16">
        <f>IF(COUNT(T782,W782,Z782,AC782,AF782,AI782,AL782,AO782,AR782,AU782,AX782,BA782)=0,"",MAX(T782,W782,Z782,AC782,AF782,AI782,AL782,AO782,AR782,AU782,AX782,BA782))</f>
        <v/>
      </c>
      <c r="BG782" s="10">
        <f>MID(IF(S782="","",", "&amp;S782)&amp;IF(V782="","",", "&amp;V782)&amp;IF(Y782="","",", "&amp;Y782)&amp;IF(AB782="","",", "&amp;AB782)&amp;IF(AE782="","",", "&amp;AE782)&amp;IF(AH782="","",", "&amp;AH782)&amp;IF(AK782="","",", "&amp;AK782)&amp;IF(AN782="","",", "&amp;AN782)&amp;IF(AQ782="","",", "&amp;AQ782)&amp;IF(AT782="","",", "&amp;AT782)&amp;IF(AW782="","",", "&amp;AW782)&amp;IF(AZ782="","",", "&amp;AZ782),3,500)</f>
        <v/>
      </c>
      <c r="BH782" s="12" t="n"/>
      <c r="BI782" s="15">
        <f>IFERROR(MATCH($A782,IF($B782="Onsite",tbl_Onsite[Row ID],IF($B782="Production",tbl_Production[Row ID],tbl_Consulting[Row ID])),0),"")</f>
        <v/>
      </c>
    </row>
    <row r="783">
      <c r="A783" s="10" t="inlineStr">
        <is>
          <t>PRD-0277</t>
        </is>
      </c>
      <c r="B783" s="10" t="inlineStr">
        <is>
          <t>Production</t>
        </is>
      </c>
      <c r="C783" s="10">
        <f>IF($BI783="","",IF($B783="Onsite",INDEX(tbl_Onsite[Job Number],$BI783),IF($B783="Production",INDEX(tbl_Production[Job Number],$BI783),INDEX(tbl_Consulting[Job Number],$BI783)))&amp;"")</f>
        <v/>
      </c>
      <c r="D783" s="10">
        <f>IF($BI783="","",IF($B783="Onsite",INDEX(tbl_Onsite[Client],$BI783),IF($B783="Production",INDEX(tbl_Production[Client],$BI783),INDEX(tbl_Consulting[Client],$BI783)))&amp;"")</f>
        <v/>
      </c>
      <c r="E783" s="10">
        <f>IF($C783="","",IF(COUNTIF(lst_Jobs,$C783)&gt;0,"OK","CHECK"))</f>
        <v/>
      </c>
      <c r="F783" s="10">
        <f>IF($C783="","",IFERROR(INDEX(lst_JobName,MATCH($C783,lst_Jobs,0)),""))</f>
        <v/>
      </c>
      <c r="G783" s="10">
        <f>IF($BI783="","",IF($B783="Onsite",INDEX(tbl_Onsite[Job Description],$BI783),IF($B783="Production",INDEX(tbl_Production[Job Description],$BI783),INDEX(tbl_Consulting[Job Description],$BI783)))&amp;"")</f>
        <v/>
      </c>
      <c r="H783" s="10">
        <f>IF($BI783="","",IF($B783="Onsite",INDEX(tbl_Onsite[Cost Centre],$BI783),IF($B783="Production",INDEX(tbl_Production[Cost Centre],$BI783),INDEX(tbl_Consulting[Cost Centre],$BI783)))&amp;"")</f>
        <v/>
      </c>
      <c r="I783" s="10">
        <f>IF($BI783="","",IF($B783="Onsite",INDEX(tbl_Onsite[Invoice Type],$BI783),IF($B783="Production",INDEX(tbl_Production[Invoice Type],$BI783),INDEX(tbl_Consulting[Invoice Type],$BI783)))&amp;"")</f>
        <v/>
      </c>
      <c r="J783" s="10">
        <f>IF($BI783="","",IF($B783="Onsite",INDEX(tbl_Onsite[Tax Code],$BI783),IF($B783="Production",INDEX(tbl_Production[Tax Code],$BI783),INDEX(tbl_Consulting[Tax Code],$BI783)))&amp;"")</f>
        <v/>
      </c>
      <c r="K783" s="10">
        <f>IF(H783="","",IFERROR(INDEX(lst_CCtoGL,MATCH(H783,lst_CCforGL,0)),""))</f>
        <v/>
      </c>
      <c r="L783" s="10">
        <f>IF($BI783="","",IF($B783="Onsite",INDEX(tbl_Onsite[PO / Reference],$BI783),IF($B783="Production",INDEX(tbl_Production[Current RMS No],$BI783),INDEX(tbl_Consulting[Qwilr Quote],$BI783)))&amp;"")</f>
        <v/>
      </c>
      <c r="M783" s="10">
        <f>IF($BI783="","",IF($B783="Onsite",INDEX(tbl_Onsite[Notes],$BI783),IF($B783="Production",INDEX(tbl_Production[Notes],$BI783),INDEX(tbl_Consulting[Notes],$BI783)))&amp;"")</f>
        <v/>
      </c>
      <c r="N783" s="11">
        <f>IF($BI783="","",IF(IF($B783="Onsite",INDEX(tbl_Onsite[Expected Revenue Ex GST],$BI783),IF($B783="Production",INDEX(tbl_Production[Expected Revenue Ex GST],$BI783),INDEX(tbl_Consulting[Expected Revenue Ex GST],$BI783)))="","",IF($B783="Onsite",INDEX(tbl_Onsite[Expected Revenue Ex GST],$BI783),IF($B783="Production",INDEX(tbl_Production[Expected Revenue Ex GST],$BI783),INDEX(tbl_Consulting[Expected Revenue Ex GST],$BI783)))))</f>
        <v/>
      </c>
      <c r="O783" s="11">
        <f>IF(AND($C783="",NOT(COUNTA($S783:$BB783)&gt;0)),"",SUM(U783,X783,AA783,AD783,AG783,AJ783,AM783,AP783,AS783,AV783,AY783,BB783))</f>
        <v/>
      </c>
      <c r="P783" s="11">
        <f>IF(O783="","",N(N783)-O783)</f>
        <v/>
      </c>
      <c r="Q783" s="10">
        <f>IF(O783="","",IF($C783="","Invoice on empty job row",IF(N783="",IF(ROUND(O783,2)=0,"No dept value","Invoiced - no dept value"),IF(ROUND(O783,2)=0,"Not invoiced - to invoice",IF(ROUND(P783,2)=0,"Agrees",IF(P783&gt;0,"Dept higher - to invoice","Xero higher - check dept"))))))</f>
        <v/>
      </c>
      <c r="R783" s="10">
        <f>IF(AND($C783="",NOT(COUNTA($S783:$BB783)&gt;0),$BI783&lt;&gt;""),"",MID(IF($BI783="","; Row ID not found on the department sheet - a row was deleted","")&amp;IF(AND($C783="",COUNTA($S783:$BB783)&gt;0),"; Invoice entered but the department row has no job number","")&amp;IF(E783="CHECK","; Job number not in the Xero job list","")&amp;IF(AND($C783&lt;&gt;"",COUNTIF($C$7:$C$1506,$C783)&gt;1),"; Job number on more than one row","")&amp;IF(AND($C783&lt;&gt;"",H783=""),"; Dept has not set a cost centre","")&amp;IF(AND($C783&lt;&gt;"",J783=""),"; Dept has not set a tax code","")&amp;IF(AND($C783&lt;&gt;"",N783=""),"; Dept has not entered an expected value","")&amp;IF((IF(OR(COUNTA(S783:U783)=0,AND(COUNTA(S783:U783)=3,ISNUMBER(U783))),0,1)+IF(OR(COUNTA(V783:X783)=0,AND(COUNTA(V783:X783)=3,ISNUMBER(X783))),0,1)+IF(OR(COUNTA(Y783:AA783)=0,AND(COUNTA(Y783:AA783)=3,ISNUMBER(AA783))),0,1)+IF(OR(COUNTA(AB783:AD783)=0,AND(COUNTA(AB783:AD783)=3,ISNUMBER(AD783))),0,1)+IF(OR(COUNTA(AE783:AG783)=0,AND(COUNTA(AE783:AG783)=3,ISNUMBER(AG783))),0,1)+IF(OR(COUNTA(AH783:AJ783)=0,AND(COUNTA(AH783:AJ783)=3,ISNUMBER(AJ783))),0,1)+IF(OR(COUNTA(AK783:AM783)=0,AND(COUNTA(AK783:AM783)=3,ISNUMBER(AM783))),0,1)+IF(OR(COUNTA(AN783:AP783)=0,AND(COUNTA(AN783:AP783)=3,ISNUMBER(AP783))),0,1)+IF(OR(COUNTA(AQ783:AS783)=0,AND(COUNTA(AQ783:AS783)=3,ISNUMBER(AS783))),0,1)+IF(OR(COUNTA(AT783:AV783)=0,AND(COUNTA(AT783:AV783)=3,ISNUMBER(AV783))),0,1)+IF(OR(COUNTA(AW783:AY783)=0,AND(COUNTA(AW783:AY783)=3,ISNUMBER(AY783))),0,1)+IF(OR(COUNTA(AZ783:BB783)=0,AND(COUNTA(AZ783:BB783)=3,ISNUMBER(BB783))),0,1))&gt;0,"; An invoice is incomplete (needs No, Date and a number in Ex GST)","")&amp;IF((IF(T783="",0,IFERROR(--(EOMONTH(T783,0)&lt;&gt;S$5),1))+IF(W783="",0,IFERROR(--(EOMONTH(W783,0)&lt;&gt;V$5),1))+IF(Z783="",0,IFERROR(--(EOMONTH(Z783,0)&lt;&gt;Y$5),1))+IF(AC783="",0,IFERROR(--(EOMONTH(AC783,0)&lt;&gt;AB$5),1))+IF(AF783="",0,IFERROR(--(EOMONTH(AF783,0)&lt;&gt;AE$5),1))+IF(AI783="",0,IFERROR(--(EOMONTH(AI783,0)&lt;&gt;AH$5),1))+IF(AL783="",0,IFERROR(--(EOMONTH(AL783,0)&lt;&gt;AK$5),1))+IF(AO783="",0,IFERROR(--(EOMONTH(AO783,0)&lt;&gt;AN$5),1))+IF(AR783="",0,IFERROR(--(EOMONTH(AR783,0)&lt;&gt;AQ$5),1))+IF(AU783="",0,IFERROR(--(EOMONTH(AU783,0)&lt;&gt;AT$5),1))+IF(AX783="",0,IFERROR(--(EOMONTH(AX783,0)&lt;&gt;AW$5),1))+IF(BA783="",0,IFERROR(--(EOMONTH(BA783,0)&lt;&gt;AZ$5),1)))&gt;0,"; An invoice date is not in the month it is typed under",""),3,500))</f>
        <v/>
      </c>
      <c r="S783" s="12" t="n"/>
      <c r="T783" s="13" t="n"/>
      <c r="U783" s="14" t="n"/>
      <c r="V783" s="12" t="n"/>
      <c r="W783" s="13" t="n"/>
      <c r="X783" s="14" t="n"/>
      <c r="Y783" s="12" t="n"/>
      <c r="Z783" s="13" t="n"/>
      <c r="AA783" s="14" t="n"/>
      <c r="AB783" s="12" t="n"/>
      <c r="AC783" s="13" t="n"/>
      <c r="AD783" s="14" t="n"/>
      <c r="AE783" s="12" t="n"/>
      <c r="AF783" s="13" t="n"/>
      <c r="AG783" s="14" t="n"/>
      <c r="AH783" s="12" t="n"/>
      <c r="AI783" s="13" t="n"/>
      <c r="AJ783" s="14" t="n"/>
      <c r="AK783" s="12" t="n"/>
      <c r="AL783" s="13" t="n"/>
      <c r="AM783" s="14" t="n"/>
      <c r="AN783" s="12" t="n"/>
      <c r="AO783" s="13" t="n"/>
      <c r="AP783" s="14" t="n"/>
      <c r="AQ783" s="12" t="n"/>
      <c r="AR783" s="13" t="n"/>
      <c r="AS783" s="14" t="n"/>
      <c r="AT783" s="12" t="n"/>
      <c r="AU783" s="13" t="n"/>
      <c r="AV783" s="14" t="n"/>
      <c r="AW783" s="12" t="n"/>
      <c r="AX783" s="13" t="n"/>
      <c r="AY783" s="14" t="n"/>
      <c r="AZ783" s="12" t="n"/>
      <c r="BA783" s="13" t="n"/>
      <c r="BB783" s="14" t="n"/>
      <c r="BC783" s="11">
        <f>IF(O783="","",IF(J783="GST 10%",ROUND(O783*set_GSTRate,2),0))</f>
        <v/>
      </c>
      <c r="BD783" s="11">
        <f>IF(O783="","",O783+BC783)</f>
        <v/>
      </c>
      <c r="BE783" s="15">
        <f>IF(O783="","",COUNTA(S783,V783,Y783,AB783,AE783,AH783,AK783,AN783,AQ783,AT783,AW783,AZ783))</f>
        <v/>
      </c>
      <c r="BF783" s="16">
        <f>IF(COUNT(T783,W783,Z783,AC783,AF783,AI783,AL783,AO783,AR783,AU783,AX783,BA783)=0,"",MAX(T783,W783,Z783,AC783,AF783,AI783,AL783,AO783,AR783,AU783,AX783,BA783))</f>
        <v/>
      </c>
      <c r="BG783" s="10">
        <f>MID(IF(S783="","",", "&amp;S783)&amp;IF(V783="","",", "&amp;V783)&amp;IF(Y783="","",", "&amp;Y783)&amp;IF(AB783="","",", "&amp;AB783)&amp;IF(AE783="","",", "&amp;AE783)&amp;IF(AH783="","",", "&amp;AH783)&amp;IF(AK783="","",", "&amp;AK783)&amp;IF(AN783="","",", "&amp;AN783)&amp;IF(AQ783="","",", "&amp;AQ783)&amp;IF(AT783="","",", "&amp;AT783)&amp;IF(AW783="","",", "&amp;AW783)&amp;IF(AZ783="","",", "&amp;AZ783),3,500)</f>
        <v/>
      </c>
      <c r="BH783" s="12" t="n"/>
      <c r="BI783" s="15">
        <f>IFERROR(MATCH($A783,IF($B783="Onsite",tbl_Onsite[Row ID],IF($B783="Production",tbl_Production[Row ID],tbl_Consulting[Row ID])),0),"")</f>
        <v/>
      </c>
    </row>
    <row r="784">
      <c r="A784" s="10" t="inlineStr">
        <is>
          <t>PRD-0278</t>
        </is>
      </c>
      <c r="B784" s="10" t="inlineStr">
        <is>
          <t>Production</t>
        </is>
      </c>
      <c r="C784" s="10">
        <f>IF($BI784="","",IF($B784="Onsite",INDEX(tbl_Onsite[Job Number],$BI784),IF($B784="Production",INDEX(tbl_Production[Job Number],$BI784),INDEX(tbl_Consulting[Job Number],$BI784)))&amp;"")</f>
        <v/>
      </c>
      <c r="D784" s="10">
        <f>IF($BI784="","",IF($B784="Onsite",INDEX(tbl_Onsite[Client],$BI784),IF($B784="Production",INDEX(tbl_Production[Client],$BI784),INDEX(tbl_Consulting[Client],$BI784)))&amp;"")</f>
        <v/>
      </c>
      <c r="E784" s="10">
        <f>IF($C784="","",IF(COUNTIF(lst_Jobs,$C784)&gt;0,"OK","CHECK"))</f>
        <v/>
      </c>
      <c r="F784" s="10">
        <f>IF($C784="","",IFERROR(INDEX(lst_JobName,MATCH($C784,lst_Jobs,0)),""))</f>
        <v/>
      </c>
      <c r="G784" s="10">
        <f>IF($BI784="","",IF($B784="Onsite",INDEX(tbl_Onsite[Job Description],$BI784),IF($B784="Production",INDEX(tbl_Production[Job Description],$BI784),INDEX(tbl_Consulting[Job Description],$BI784)))&amp;"")</f>
        <v/>
      </c>
      <c r="H784" s="10">
        <f>IF($BI784="","",IF($B784="Onsite",INDEX(tbl_Onsite[Cost Centre],$BI784),IF($B784="Production",INDEX(tbl_Production[Cost Centre],$BI784),INDEX(tbl_Consulting[Cost Centre],$BI784)))&amp;"")</f>
        <v/>
      </c>
      <c r="I784" s="10">
        <f>IF($BI784="","",IF($B784="Onsite",INDEX(tbl_Onsite[Invoice Type],$BI784),IF($B784="Production",INDEX(tbl_Production[Invoice Type],$BI784),INDEX(tbl_Consulting[Invoice Type],$BI784)))&amp;"")</f>
        <v/>
      </c>
      <c r="J784" s="10">
        <f>IF($BI784="","",IF($B784="Onsite",INDEX(tbl_Onsite[Tax Code],$BI784),IF($B784="Production",INDEX(tbl_Production[Tax Code],$BI784),INDEX(tbl_Consulting[Tax Code],$BI784)))&amp;"")</f>
        <v/>
      </c>
      <c r="K784" s="10">
        <f>IF(H784="","",IFERROR(INDEX(lst_CCtoGL,MATCH(H784,lst_CCforGL,0)),""))</f>
        <v/>
      </c>
      <c r="L784" s="10">
        <f>IF($BI784="","",IF($B784="Onsite",INDEX(tbl_Onsite[PO / Reference],$BI784),IF($B784="Production",INDEX(tbl_Production[Current RMS No],$BI784),INDEX(tbl_Consulting[Qwilr Quote],$BI784)))&amp;"")</f>
        <v/>
      </c>
      <c r="M784" s="10">
        <f>IF($BI784="","",IF($B784="Onsite",INDEX(tbl_Onsite[Notes],$BI784),IF($B784="Production",INDEX(tbl_Production[Notes],$BI784),INDEX(tbl_Consulting[Notes],$BI784)))&amp;"")</f>
        <v/>
      </c>
      <c r="N784" s="11">
        <f>IF($BI784="","",IF(IF($B784="Onsite",INDEX(tbl_Onsite[Expected Revenue Ex GST],$BI784),IF($B784="Production",INDEX(tbl_Production[Expected Revenue Ex GST],$BI784),INDEX(tbl_Consulting[Expected Revenue Ex GST],$BI784)))="","",IF($B784="Onsite",INDEX(tbl_Onsite[Expected Revenue Ex GST],$BI784),IF($B784="Production",INDEX(tbl_Production[Expected Revenue Ex GST],$BI784),INDEX(tbl_Consulting[Expected Revenue Ex GST],$BI784)))))</f>
        <v/>
      </c>
      <c r="O784" s="11">
        <f>IF(AND($C784="",NOT(COUNTA($S784:$BB784)&gt;0)),"",SUM(U784,X784,AA784,AD784,AG784,AJ784,AM784,AP784,AS784,AV784,AY784,BB784))</f>
        <v/>
      </c>
      <c r="P784" s="11">
        <f>IF(O784="","",N(N784)-O784)</f>
        <v/>
      </c>
      <c r="Q784" s="10">
        <f>IF(O784="","",IF($C784="","Invoice on empty job row",IF(N784="",IF(ROUND(O784,2)=0,"No dept value","Invoiced - no dept value"),IF(ROUND(O784,2)=0,"Not invoiced - to invoice",IF(ROUND(P784,2)=0,"Agrees",IF(P784&gt;0,"Dept higher - to invoice","Xero higher - check dept"))))))</f>
        <v/>
      </c>
      <c r="R784" s="10">
        <f>IF(AND($C784="",NOT(COUNTA($S784:$BB784)&gt;0),$BI784&lt;&gt;""),"",MID(IF($BI784="","; Row ID not found on the department sheet - a row was deleted","")&amp;IF(AND($C784="",COUNTA($S784:$BB784)&gt;0),"; Invoice entered but the department row has no job number","")&amp;IF(E784="CHECK","; Job number not in the Xero job list","")&amp;IF(AND($C784&lt;&gt;"",COUNTIF($C$7:$C$1506,$C784)&gt;1),"; Job number on more than one row","")&amp;IF(AND($C784&lt;&gt;"",H784=""),"; Dept has not set a cost centre","")&amp;IF(AND($C784&lt;&gt;"",J784=""),"; Dept has not set a tax code","")&amp;IF(AND($C784&lt;&gt;"",N784=""),"; Dept has not entered an expected value","")&amp;IF((IF(OR(COUNTA(S784:U784)=0,AND(COUNTA(S784:U784)=3,ISNUMBER(U784))),0,1)+IF(OR(COUNTA(V784:X784)=0,AND(COUNTA(V784:X784)=3,ISNUMBER(X784))),0,1)+IF(OR(COUNTA(Y784:AA784)=0,AND(COUNTA(Y784:AA784)=3,ISNUMBER(AA784))),0,1)+IF(OR(COUNTA(AB784:AD784)=0,AND(COUNTA(AB784:AD784)=3,ISNUMBER(AD784))),0,1)+IF(OR(COUNTA(AE784:AG784)=0,AND(COUNTA(AE784:AG784)=3,ISNUMBER(AG784))),0,1)+IF(OR(COUNTA(AH784:AJ784)=0,AND(COUNTA(AH784:AJ784)=3,ISNUMBER(AJ784))),0,1)+IF(OR(COUNTA(AK784:AM784)=0,AND(COUNTA(AK784:AM784)=3,ISNUMBER(AM784))),0,1)+IF(OR(COUNTA(AN784:AP784)=0,AND(COUNTA(AN784:AP784)=3,ISNUMBER(AP784))),0,1)+IF(OR(COUNTA(AQ784:AS784)=0,AND(COUNTA(AQ784:AS784)=3,ISNUMBER(AS784))),0,1)+IF(OR(COUNTA(AT784:AV784)=0,AND(COUNTA(AT784:AV784)=3,ISNUMBER(AV784))),0,1)+IF(OR(COUNTA(AW784:AY784)=0,AND(COUNTA(AW784:AY784)=3,ISNUMBER(AY784))),0,1)+IF(OR(COUNTA(AZ784:BB784)=0,AND(COUNTA(AZ784:BB784)=3,ISNUMBER(BB784))),0,1))&gt;0,"; An invoice is incomplete (needs No, Date and a number in Ex GST)","")&amp;IF((IF(T784="",0,IFERROR(--(EOMONTH(T784,0)&lt;&gt;S$5),1))+IF(W784="",0,IFERROR(--(EOMONTH(W784,0)&lt;&gt;V$5),1))+IF(Z784="",0,IFERROR(--(EOMONTH(Z784,0)&lt;&gt;Y$5),1))+IF(AC784="",0,IFERROR(--(EOMONTH(AC784,0)&lt;&gt;AB$5),1))+IF(AF784="",0,IFERROR(--(EOMONTH(AF784,0)&lt;&gt;AE$5),1))+IF(AI784="",0,IFERROR(--(EOMONTH(AI784,0)&lt;&gt;AH$5),1))+IF(AL784="",0,IFERROR(--(EOMONTH(AL784,0)&lt;&gt;AK$5),1))+IF(AO784="",0,IFERROR(--(EOMONTH(AO784,0)&lt;&gt;AN$5),1))+IF(AR784="",0,IFERROR(--(EOMONTH(AR784,0)&lt;&gt;AQ$5),1))+IF(AU784="",0,IFERROR(--(EOMONTH(AU784,0)&lt;&gt;AT$5),1))+IF(AX784="",0,IFERROR(--(EOMONTH(AX784,0)&lt;&gt;AW$5),1))+IF(BA784="",0,IFERROR(--(EOMONTH(BA784,0)&lt;&gt;AZ$5),1)))&gt;0,"; An invoice date is not in the month it is typed under",""),3,500))</f>
        <v/>
      </c>
      <c r="S784" s="12" t="n"/>
      <c r="T784" s="13" t="n"/>
      <c r="U784" s="14" t="n"/>
      <c r="V784" s="12" t="n"/>
      <c r="W784" s="13" t="n"/>
      <c r="X784" s="14" t="n"/>
      <c r="Y784" s="12" t="n"/>
      <c r="Z784" s="13" t="n"/>
      <c r="AA784" s="14" t="n"/>
      <c r="AB784" s="12" t="n"/>
      <c r="AC784" s="13" t="n"/>
      <c r="AD784" s="14" t="n"/>
      <c r="AE784" s="12" t="n"/>
      <c r="AF784" s="13" t="n"/>
      <c r="AG784" s="14" t="n"/>
      <c r="AH784" s="12" t="n"/>
      <c r="AI784" s="13" t="n"/>
      <c r="AJ784" s="14" t="n"/>
      <c r="AK784" s="12" t="n"/>
      <c r="AL784" s="13" t="n"/>
      <c r="AM784" s="14" t="n"/>
      <c r="AN784" s="12" t="n"/>
      <c r="AO784" s="13" t="n"/>
      <c r="AP784" s="14" t="n"/>
      <c r="AQ784" s="12" t="n"/>
      <c r="AR784" s="13" t="n"/>
      <c r="AS784" s="14" t="n"/>
      <c r="AT784" s="12" t="n"/>
      <c r="AU784" s="13" t="n"/>
      <c r="AV784" s="14" t="n"/>
      <c r="AW784" s="12" t="n"/>
      <c r="AX784" s="13" t="n"/>
      <c r="AY784" s="14" t="n"/>
      <c r="AZ784" s="12" t="n"/>
      <c r="BA784" s="13" t="n"/>
      <c r="BB784" s="14" t="n"/>
      <c r="BC784" s="11">
        <f>IF(O784="","",IF(J784="GST 10%",ROUND(O784*set_GSTRate,2),0))</f>
        <v/>
      </c>
      <c r="BD784" s="11">
        <f>IF(O784="","",O784+BC784)</f>
        <v/>
      </c>
      <c r="BE784" s="15">
        <f>IF(O784="","",COUNTA(S784,V784,Y784,AB784,AE784,AH784,AK784,AN784,AQ784,AT784,AW784,AZ784))</f>
        <v/>
      </c>
      <c r="BF784" s="16">
        <f>IF(COUNT(T784,W784,Z784,AC784,AF784,AI784,AL784,AO784,AR784,AU784,AX784,BA784)=0,"",MAX(T784,W784,Z784,AC784,AF784,AI784,AL784,AO784,AR784,AU784,AX784,BA784))</f>
        <v/>
      </c>
      <c r="BG784" s="10">
        <f>MID(IF(S784="","",", "&amp;S784)&amp;IF(V784="","",", "&amp;V784)&amp;IF(Y784="","",", "&amp;Y784)&amp;IF(AB784="","",", "&amp;AB784)&amp;IF(AE784="","",", "&amp;AE784)&amp;IF(AH784="","",", "&amp;AH784)&amp;IF(AK784="","",", "&amp;AK784)&amp;IF(AN784="","",", "&amp;AN784)&amp;IF(AQ784="","",", "&amp;AQ784)&amp;IF(AT784="","",", "&amp;AT784)&amp;IF(AW784="","",", "&amp;AW784)&amp;IF(AZ784="","",", "&amp;AZ784),3,500)</f>
        <v/>
      </c>
      <c r="BH784" s="12" t="n"/>
      <c r="BI784" s="15">
        <f>IFERROR(MATCH($A784,IF($B784="Onsite",tbl_Onsite[Row ID],IF($B784="Production",tbl_Production[Row ID],tbl_Consulting[Row ID])),0),"")</f>
        <v/>
      </c>
    </row>
    <row r="785">
      <c r="A785" s="10" t="inlineStr">
        <is>
          <t>PRD-0279</t>
        </is>
      </c>
      <c r="B785" s="10" t="inlineStr">
        <is>
          <t>Production</t>
        </is>
      </c>
      <c r="C785" s="10">
        <f>IF($BI785="","",IF($B785="Onsite",INDEX(tbl_Onsite[Job Number],$BI785),IF($B785="Production",INDEX(tbl_Production[Job Number],$BI785),INDEX(tbl_Consulting[Job Number],$BI785)))&amp;"")</f>
        <v/>
      </c>
      <c r="D785" s="10">
        <f>IF($BI785="","",IF($B785="Onsite",INDEX(tbl_Onsite[Client],$BI785),IF($B785="Production",INDEX(tbl_Production[Client],$BI785),INDEX(tbl_Consulting[Client],$BI785)))&amp;"")</f>
        <v/>
      </c>
      <c r="E785" s="10">
        <f>IF($C785="","",IF(COUNTIF(lst_Jobs,$C785)&gt;0,"OK","CHECK"))</f>
        <v/>
      </c>
      <c r="F785" s="10">
        <f>IF($C785="","",IFERROR(INDEX(lst_JobName,MATCH($C785,lst_Jobs,0)),""))</f>
        <v/>
      </c>
      <c r="G785" s="10">
        <f>IF($BI785="","",IF($B785="Onsite",INDEX(tbl_Onsite[Job Description],$BI785),IF($B785="Production",INDEX(tbl_Production[Job Description],$BI785),INDEX(tbl_Consulting[Job Description],$BI785)))&amp;"")</f>
        <v/>
      </c>
      <c r="H785" s="10">
        <f>IF($BI785="","",IF($B785="Onsite",INDEX(tbl_Onsite[Cost Centre],$BI785),IF($B785="Production",INDEX(tbl_Production[Cost Centre],$BI785),INDEX(tbl_Consulting[Cost Centre],$BI785)))&amp;"")</f>
        <v/>
      </c>
      <c r="I785" s="10">
        <f>IF($BI785="","",IF($B785="Onsite",INDEX(tbl_Onsite[Invoice Type],$BI785),IF($B785="Production",INDEX(tbl_Production[Invoice Type],$BI785),INDEX(tbl_Consulting[Invoice Type],$BI785)))&amp;"")</f>
        <v/>
      </c>
      <c r="J785" s="10">
        <f>IF($BI785="","",IF($B785="Onsite",INDEX(tbl_Onsite[Tax Code],$BI785),IF($B785="Production",INDEX(tbl_Production[Tax Code],$BI785),INDEX(tbl_Consulting[Tax Code],$BI785)))&amp;"")</f>
        <v/>
      </c>
      <c r="K785" s="10">
        <f>IF(H785="","",IFERROR(INDEX(lst_CCtoGL,MATCH(H785,lst_CCforGL,0)),""))</f>
        <v/>
      </c>
      <c r="L785" s="10">
        <f>IF($BI785="","",IF($B785="Onsite",INDEX(tbl_Onsite[PO / Reference],$BI785),IF($B785="Production",INDEX(tbl_Production[Current RMS No],$BI785),INDEX(tbl_Consulting[Qwilr Quote],$BI785)))&amp;"")</f>
        <v/>
      </c>
      <c r="M785" s="10">
        <f>IF($BI785="","",IF($B785="Onsite",INDEX(tbl_Onsite[Notes],$BI785),IF($B785="Production",INDEX(tbl_Production[Notes],$BI785),INDEX(tbl_Consulting[Notes],$BI785)))&amp;"")</f>
        <v/>
      </c>
      <c r="N785" s="11">
        <f>IF($BI785="","",IF(IF($B785="Onsite",INDEX(tbl_Onsite[Expected Revenue Ex GST],$BI785),IF($B785="Production",INDEX(tbl_Production[Expected Revenue Ex GST],$BI785),INDEX(tbl_Consulting[Expected Revenue Ex GST],$BI785)))="","",IF($B785="Onsite",INDEX(tbl_Onsite[Expected Revenue Ex GST],$BI785),IF($B785="Production",INDEX(tbl_Production[Expected Revenue Ex GST],$BI785),INDEX(tbl_Consulting[Expected Revenue Ex GST],$BI785)))))</f>
        <v/>
      </c>
      <c r="O785" s="11">
        <f>IF(AND($C785="",NOT(COUNTA($S785:$BB785)&gt;0)),"",SUM(U785,X785,AA785,AD785,AG785,AJ785,AM785,AP785,AS785,AV785,AY785,BB785))</f>
        <v/>
      </c>
      <c r="P785" s="11">
        <f>IF(O785="","",N(N785)-O785)</f>
        <v/>
      </c>
      <c r="Q785" s="10">
        <f>IF(O785="","",IF($C785="","Invoice on empty job row",IF(N785="",IF(ROUND(O785,2)=0,"No dept value","Invoiced - no dept value"),IF(ROUND(O785,2)=0,"Not invoiced - to invoice",IF(ROUND(P785,2)=0,"Agrees",IF(P785&gt;0,"Dept higher - to invoice","Xero higher - check dept"))))))</f>
        <v/>
      </c>
      <c r="R785" s="10">
        <f>IF(AND($C785="",NOT(COUNTA($S785:$BB785)&gt;0),$BI785&lt;&gt;""),"",MID(IF($BI785="","; Row ID not found on the department sheet - a row was deleted","")&amp;IF(AND($C785="",COUNTA($S785:$BB785)&gt;0),"; Invoice entered but the department row has no job number","")&amp;IF(E785="CHECK","; Job number not in the Xero job list","")&amp;IF(AND($C785&lt;&gt;"",COUNTIF($C$7:$C$1506,$C785)&gt;1),"; Job number on more than one row","")&amp;IF(AND($C785&lt;&gt;"",H785=""),"; Dept has not set a cost centre","")&amp;IF(AND($C785&lt;&gt;"",J785=""),"; Dept has not set a tax code","")&amp;IF(AND($C785&lt;&gt;"",N785=""),"; Dept has not entered an expected value","")&amp;IF((IF(OR(COUNTA(S785:U785)=0,AND(COUNTA(S785:U785)=3,ISNUMBER(U785))),0,1)+IF(OR(COUNTA(V785:X785)=0,AND(COUNTA(V785:X785)=3,ISNUMBER(X785))),0,1)+IF(OR(COUNTA(Y785:AA785)=0,AND(COUNTA(Y785:AA785)=3,ISNUMBER(AA785))),0,1)+IF(OR(COUNTA(AB785:AD785)=0,AND(COUNTA(AB785:AD785)=3,ISNUMBER(AD785))),0,1)+IF(OR(COUNTA(AE785:AG785)=0,AND(COUNTA(AE785:AG785)=3,ISNUMBER(AG785))),0,1)+IF(OR(COUNTA(AH785:AJ785)=0,AND(COUNTA(AH785:AJ785)=3,ISNUMBER(AJ785))),0,1)+IF(OR(COUNTA(AK785:AM785)=0,AND(COUNTA(AK785:AM785)=3,ISNUMBER(AM785))),0,1)+IF(OR(COUNTA(AN785:AP785)=0,AND(COUNTA(AN785:AP785)=3,ISNUMBER(AP785))),0,1)+IF(OR(COUNTA(AQ785:AS785)=0,AND(COUNTA(AQ785:AS785)=3,ISNUMBER(AS785))),0,1)+IF(OR(COUNTA(AT785:AV785)=0,AND(COUNTA(AT785:AV785)=3,ISNUMBER(AV785))),0,1)+IF(OR(COUNTA(AW785:AY785)=0,AND(COUNTA(AW785:AY785)=3,ISNUMBER(AY785))),0,1)+IF(OR(COUNTA(AZ785:BB785)=0,AND(COUNTA(AZ785:BB785)=3,ISNUMBER(BB785))),0,1))&gt;0,"; An invoice is incomplete (needs No, Date and a number in Ex GST)","")&amp;IF((IF(T785="",0,IFERROR(--(EOMONTH(T785,0)&lt;&gt;S$5),1))+IF(W785="",0,IFERROR(--(EOMONTH(W785,0)&lt;&gt;V$5),1))+IF(Z785="",0,IFERROR(--(EOMONTH(Z785,0)&lt;&gt;Y$5),1))+IF(AC785="",0,IFERROR(--(EOMONTH(AC785,0)&lt;&gt;AB$5),1))+IF(AF785="",0,IFERROR(--(EOMONTH(AF785,0)&lt;&gt;AE$5),1))+IF(AI785="",0,IFERROR(--(EOMONTH(AI785,0)&lt;&gt;AH$5),1))+IF(AL785="",0,IFERROR(--(EOMONTH(AL785,0)&lt;&gt;AK$5),1))+IF(AO785="",0,IFERROR(--(EOMONTH(AO785,0)&lt;&gt;AN$5),1))+IF(AR785="",0,IFERROR(--(EOMONTH(AR785,0)&lt;&gt;AQ$5),1))+IF(AU785="",0,IFERROR(--(EOMONTH(AU785,0)&lt;&gt;AT$5),1))+IF(AX785="",0,IFERROR(--(EOMONTH(AX785,0)&lt;&gt;AW$5),1))+IF(BA785="",0,IFERROR(--(EOMONTH(BA785,0)&lt;&gt;AZ$5),1)))&gt;0,"; An invoice date is not in the month it is typed under",""),3,500))</f>
        <v/>
      </c>
      <c r="S785" s="12" t="n"/>
      <c r="T785" s="13" t="n"/>
      <c r="U785" s="14" t="n"/>
      <c r="V785" s="12" t="n"/>
      <c r="W785" s="13" t="n"/>
      <c r="X785" s="14" t="n"/>
      <c r="Y785" s="12" t="n"/>
      <c r="Z785" s="13" t="n"/>
      <c r="AA785" s="14" t="n"/>
      <c r="AB785" s="12" t="n"/>
      <c r="AC785" s="13" t="n"/>
      <c r="AD785" s="14" t="n"/>
      <c r="AE785" s="12" t="n"/>
      <c r="AF785" s="13" t="n"/>
      <c r="AG785" s="14" t="n"/>
      <c r="AH785" s="12" t="n"/>
      <c r="AI785" s="13" t="n"/>
      <c r="AJ785" s="14" t="n"/>
      <c r="AK785" s="12" t="n"/>
      <c r="AL785" s="13" t="n"/>
      <c r="AM785" s="14" t="n"/>
      <c r="AN785" s="12" t="n"/>
      <c r="AO785" s="13" t="n"/>
      <c r="AP785" s="14" t="n"/>
      <c r="AQ785" s="12" t="n"/>
      <c r="AR785" s="13" t="n"/>
      <c r="AS785" s="14" t="n"/>
      <c r="AT785" s="12" t="n"/>
      <c r="AU785" s="13" t="n"/>
      <c r="AV785" s="14" t="n"/>
      <c r="AW785" s="12" t="n"/>
      <c r="AX785" s="13" t="n"/>
      <c r="AY785" s="14" t="n"/>
      <c r="AZ785" s="12" t="n"/>
      <c r="BA785" s="13" t="n"/>
      <c r="BB785" s="14" t="n"/>
      <c r="BC785" s="11">
        <f>IF(O785="","",IF(J785="GST 10%",ROUND(O785*set_GSTRate,2),0))</f>
        <v/>
      </c>
      <c r="BD785" s="11">
        <f>IF(O785="","",O785+BC785)</f>
        <v/>
      </c>
      <c r="BE785" s="15">
        <f>IF(O785="","",COUNTA(S785,V785,Y785,AB785,AE785,AH785,AK785,AN785,AQ785,AT785,AW785,AZ785))</f>
        <v/>
      </c>
      <c r="BF785" s="16">
        <f>IF(COUNT(T785,W785,Z785,AC785,AF785,AI785,AL785,AO785,AR785,AU785,AX785,BA785)=0,"",MAX(T785,W785,Z785,AC785,AF785,AI785,AL785,AO785,AR785,AU785,AX785,BA785))</f>
        <v/>
      </c>
      <c r="BG785" s="10">
        <f>MID(IF(S785="","",", "&amp;S785)&amp;IF(V785="","",", "&amp;V785)&amp;IF(Y785="","",", "&amp;Y785)&amp;IF(AB785="","",", "&amp;AB785)&amp;IF(AE785="","",", "&amp;AE785)&amp;IF(AH785="","",", "&amp;AH785)&amp;IF(AK785="","",", "&amp;AK785)&amp;IF(AN785="","",", "&amp;AN785)&amp;IF(AQ785="","",", "&amp;AQ785)&amp;IF(AT785="","",", "&amp;AT785)&amp;IF(AW785="","",", "&amp;AW785)&amp;IF(AZ785="","",", "&amp;AZ785),3,500)</f>
        <v/>
      </c>
      <c r="BH785" s="12" t="n"/>
      <c r="BI785" s="15">
        <f>IFERROR(MATCH($A785,IF($B785="Onsite",tbl_Onsite[Row ID],IF($B785="Production",tbl_Production[Row ID],tbl_Consulting[Row ID])),0),"")</f>
        <v/>
      </c>
    </row>
    <row r="786">
      <c r="A786" s="10" t="inlineStr">
        <is>
          <t>PRD-0280</t>
        </is>
      </c>
      <c r="B786" s="10" t="inlineStr">
        <is>
          <t>Production</t>
        </is>
      </c>
      <c r="C786" s="10">
        <f>IF($BI786="","",IF($B786="Onsite",INDEX(tbl_Onsite[Job Number],$BI786),IF($B786="Production",INDEX(tbl_Production[Job Number],$BI786),INDEX(tbl_Consulting[Job Number],$BI786)))&amp;"")</f>
        <v/>
      </c>
      <c r="D786" s="10">
        <f>IF($BI786="","",IF($B786="Onsite",INDEX(tbl_Onsite[Client],$BI786),IF($B786="Production",INDEX(tbl_Production[Client],$BI786),INDEX(tbl_Consulting[Client],$BI786)))&amp;"")</f>
        <v/>
      </c>
      <c r="E786" s="10">
        <f>IF($C786="","",IF(COUNTIF(lst_Jobs,$C786)&gt;0,"OK","CHECK"))</f>
        <v/>
      </c>
      <c r="F786" s="10">
        <f>IF($C786="","",IFERROR(INDEX(lst_JobName,MATCH($C786,lst_Jobs,0)),""))</f>
        <v/>
      </c>
      <c r="G786" s="10">
        <f>IF($BI786="","",IF($B786="Onsite",INDEX(tbl_Onsite[Job Description],$BI786),IF($B786="Production",INDEX(tbl_Production[Job Description],$BI786),INDEX(tbl_Consulting[Job Description],$BI786)))&amp;"")</f>
        <v/>
      </c>
      <c r="H786" s="10">
        <f>IF($BI786="","",IF($B786="Onsite",INDEX(tbl_Onsite[Cost Centre],$BI786),IF($B786="Production",INDEX(tbl_Production[Cost Centre],$BI786),INDEX(tbl_Consulting[Cost Centre],$BI786)))&amp;"")</f>
        <v/>
      </c>
      <c r="I786" s="10">
        <f>IF($BI786="","",IF($B786="Onsite",INDEX(tbl_Onsite[Invoice Type],$BI786),IF($B786="Production",INDEX(tbl_Production[Invoice Type],$BI786),INDEX(tbl_Consulting[Invoice Type],$BI786)))&amp;"")</f>
        <v/>
      </c>
      <c r="J786" s="10">
        <f>IF($BI786="","",IF($B786="Onsite",INDEX(tbl_Onsite[Tax Code],$BI786),IF($B786="Production",INDEX(tbl_Production[Tax Code],$BI786),INDEX(tbl_Consulting[Tax Code],$BI786)))&amp;"")</f>
        <v/>
      </c>
      <c r="K786" s="10">
        <f>IF(H786="","",IFERROR(INDEX(lst_CCtoGL,MATCH(H786,lst_CCforGL,0)),""))</f>
        <v/>
      </c>
      <c r="L786" s="10">
        <f>IF($BI786="","",IF($B786="Onsite",INDEX(tbl_Onsite[PO / Reference],$BI786),IF($B786="Production",INDEX(tbl_Production[Current RMS No],$BI786),INDEX(tbl_Consulting[Qwilr Quote],$BI786)))&amp;"")</f>
        <v/>
      </c>
      <c r="M786" s="10">
        <f>IF($BI786="","",IF($B786="Onsite",INDEX(tbl_Onsite[Notes],$BI786),IF($B786="Production",INDEX(tbl_Production[Notes],$BI786),INDEX(tbl_Consulting[Notes],$BI786)))&amp;"")</f>
        <v/>
      </c>
      <c r="N786" s="11">
        <f>IF($BI786="","",IF(IF($B786="Onsite",INDEX(tbl_Onsite[Expected Revenue Ex GST],$BI786),IF($B786="Production",INDEX(tbl_Production[Expected Revenue Ex GST],$BI786),INDEX(tbl_Consulting[Expected Revenue Ex GST],$BI786)))="","",IF($B786="Onsite",INDEX(tbl_Onsite[Expected Revenue Ex GST],$BI786),IF($B786="Production",INDEX(tbl_Production[Expected Revenue Ex GST],$BI786),INDEX(tbl_Consulting[Expected Revenue Ex GST],$BI786)))))</f>
        <v/>
      </c>
      <c r="O786" s="11">
        <f>IF(AND($C786="",NOT(COUNTA($S786:$BB786)&gt;0)),"",SUM(U786,X786,AA786,AD786,AG786,AJ786,AM786,AP786,AS786,AV786,AY786,BB786))</f>
        <v/>
      </c>
      <c r="P786" s="11">
        <f>IF(O786="","",N(N786)-O786)</f>
        <v/>
      </c>
      <c r="Q786" s="10">
        <f>IF(O786="","",IF($C786="","Invoice on empty job row",IF(N786="",IF(ROUND(O786,2)=0,"No dept value","Invoiced - no dept value"),IF(ROUND(O786,2)=0,"Not invoiced - to invoice",IF(ROUND(P786,2)=0,"Agrees",IF(P786&gt;0,"Dept higher - to invoice","Xero higher - check dept"))))))</f>
        <v/>
      </c>
      <c r="R786" s="10">
        <f>IF(AND($C786="",NOT(COUNTA($S786:$BB786)&gt;0),$BI786&lt;&gt;""),"",MID(IF($BI786="","; Row ID not found on the department sheet - a row was deleted","")&amp;IF(AND($C786="",COUNTA($S786:$BB786)&gt;0),"; Invoice entered but the department row has no job number","")&amp;IF(E786="CHECK","; Job number not in the Xero job list","")&amp;IF(AND($C786&lt;&gt;"",COUNTIF($C$7:$C$1506,$C786)&gt;1),"; Job number on more than one row","")&amp;IF(AND($C786&lt;&gt;"",H786=""),"; Dept has not set a cost centre","")&amp;IF(AND($C786&lt;&gt;"",J786=""),"; Dept has not set a tax code","")&amp;IF(AND($C786&lt;&gt;"",N786=""),"; Dept has not entered an expected value","")&amp;IF((IF(OR(COUNTA(S786:U786)=0,AND(COUNTA(S786:U786)=3,ISNUMBER(U786))),0,1)+IF(OR(COUNTA(V786:X786)=0,AND(COUNTA(V786:X786)=3,ISNUMBER(X786))),0,1)+IF(OR(COUNTA(Y786:AA786)=0,AND(COUNTA(Y786:AA786)=3,ISNUMBER(AA786))),0,1)+IF(OR(COUNTA(AB786:AD786)=0,AND(COUNTA(AB786:AD786)=3,ISNUMBER(AD786))),0,1)+IF(OR(COUNTA(AE786:AG786)=0,AND(COUNTA(AE786:AG786)=3,ISNUMBER(AG786))),0,1)+IF(OR(COUNTA(AH786:AJ786)=0,AND(COUNTA(AH786:AJ786)=3,ISNUMBER(AJ786))),0,1)+IF(OR(COUNTA(AK786:AM786)=0,AND(COUNTA(AK786:AM786)=3,ISNUMBER(AM786))),0,1)+IF(OR(COUNTA(AN786:AP786)=0,AND(COUNTA(AN786:AP786)=3,ISNUMBER(AP786))),0,1)+IF(OR(COUNTA(AQ786:AS786)=0,AND(COUNTA(AQ786:AS786)=3,ISNUMBER(AS786))),0,1)+IF(OR(COUNTA(AT786:AV786)=0,AND(COUNTA(AT786:AV786)=3,ISNUMBER(AV786))),0,1)+IF(OR(COUNTA(AW786:AY786)=0,AND(COUNTA(AW786:AY786)=3,ISNUMBER(AY786))),0,1)+IF(OR(COUNTA(AZ786:BB786)=0,AND(COUNTA(AZ786:BB786)=3,ISNUMBER(BB786))),0,1))&gt;0,"; An invoice is incomplete (needs No, Date and a number in Ex GST)","")&amp;IF((IF(T786="",0,IFERROR(--(EOMONTH(T786,0)&lt;&gt;S$5),1))+IF(W786="",0,IFERROR(--(EOMONTH(W786,0)&lt;&gt;V$5),1))+IF(Z786="",0,IFERROR(--(EOMONTH(Z786,0)&lt;&gt;Y$5),1))+IF(AC786="",0,IFERROR(--(EOMONTH(AC786,0)&lt;&gt;AB$5),1))+IF(AF786="",0,IFERROR(--(EOMONTH(AF786,0)&lt;&gt;AE$5),1))+IF(AI786="",0,IFERROR(--(EOMONTH(AI786,0)&lt;&gt;AH$5),1))+IF(AL786="",0,IFERROR(--(EOMONTH(AL786,0)&lt;&gt;AK$5),1))+IF(AO786="",0,IFERROR(--(EOMONTH(AO786,0)&lt;&gt;AN$5),1))+IF(AR786="",0,IFERROR(--(EOMONTH(AR786,0)&lt;&gt;AQ$5),1))+IF(AU786="",0,IFERROR(--(EOMONTH(AU786,0)&lt;&gt;AT$5),1))+IF(AX786="",0,IFERROR(--(EOMONTH(AX786,0)&lt;&gt;AW$5),1))+IF(BA786="",0,IFERROR(--(EOMONTH(BA786,0)&lt;&gt;AZ$5),1)))&gt;0,"; An invoice date is not in the month it is typed under",""),3,500))</f>
        <v/>
      </c>
      <c r="S786" s="12" t="n"/>
      <c r="T786" s="13" t="n"/>
      <c r="U786" s="14" t="n"/>
      <c r="V786" s="12" t="n"/>
      <c r="W786" s="13" t="n"/>
      <c r="X786" s="14" t="n"/>
      <c r="Y786" s="12" t="n"/>
      <c r="Z786" s="13" t="n"/>
      <c r="AA786" s="14" t="n"/>
      <c r="AB786" s="12" t="n"/>
      <c r="AC786" s="13" t="n"/>
      <c r="AD786" s="14" t="n"/>
      <c r="AE786" s="12" t="n"/>
      <c r="AF786" s="13" t="n"/>
      <c r="AG786" s="14" t="n"/>
      <c r="AH786" s="12" t="n"/>
      <c r="AI786" s="13" t="n"/>
      <c r="AJ786" s="14" t="n"/>
      <c r="AK786" s="12" t="n"/>
      <c r="AL786" s="13" t="n"/>
      <c r="AM786" s="14" t="n"/>
      <c r="AN786" s="12" t="n"/>
      <c r="AO786" s="13" t="n"/>
      <c r="AP786" s="14" t="n"/>
      <c r="AQ786" s="12" t="n"/>
      <c r="AR786" s="13" t="n"/>
      <c r="AS786" s="14" t="n"/>
      <c r="AT786" s="12" t="n"/>
      <c r="AU786" s="13" t="n"/>
      <c r="AV786" s="14" t="n"/>
      <c r="AW786" s="12" t="n"/>
      <c r="AX786" s="13" t="n"/>
      <c r="AY786" s="14" t="n"/>
      <c r="AZ786" s="12" t="n"/>
      <c r="BA786" s="13" t="n"/>
      <c r="BB786" s="14" t="n"/>
      <c r="BC786" s="11">
        <f>IF(O786="","",IF(J786="GST 10%",ROUND(O786*set_GSTRate,2),0))</f>
        <v/>
      </c>
      <c r="BD786" s="11">
        <f>IF(O786="","",O786+BC786)</f>
        <v/>
      </c>
      <c r="BE786" s="15">
        <f>IF(O786="","",COUNTA(S786,V786,Y786,AB786,AE786,AH786,AK786,AN786,AQ786,AT786,AW786,AZ786))</f>
        <v/>
      </c>
      <c r="BF786" s="16">
        <f>IF(COUNT(T786,W786,Z786,AC786,AF786,AI786,AL786,AO786,AR786,AU786,AX786,BA786)=0,"",MAX(T786,W786,Z786,AC786,AF786,AI786,AL786,AO786,AR786,AU786,AX786,BA786))</f>
        <v/>
      </c>
      <c r="BG786" s="10">
        <f>MID(IF(S786="","",", "&amp;S786)&amp;IF(V786="","",", "&amp;V786)&amp;IF(Y786="","",", "&amp;Y786)&amp;IF(AB786="","",", "&amp;AB786)&amp;IF(AE786="","",", "&amp;AE786)&amp;IF(AH786="","",", "&amp;AH786)&amp;IF(AK786="","",", "&amp;AK786)&amp;IF(AN786="","",", "&amp;AN786)&amp;IF(AQ786="","",", "&amp;AQ786)&amp;IF(AT786="","",", "&amp;AT786)&amp;IF(AW786="","",", "&amp;AW786)&amp;IF(AZ786="","",", "&amp;AZ786),3,500)</f>
        <v/>
      </c>
      <c r="BH786" s="12" t="n"/>
      <c r="BI786" s="15">
        <f>IFERROR(MATCH($A786,IF($B786="Onsite",tbl_Onsite[Row ID],IF($B786="Production",tbl_Production[Row ID],tbl_Consulting[Row ID])),0),"")</f>
        <v/>
      </c>
    </row>
    <row r="787">
      <c r="A787" s="10" t="inlineStr">
        <is>
          <t>PRD-0281</t>
        </is>
      </c>
      <c r="B787" s="10" t="inlineStr">
        <is>
          <t>Production</t>
        </is>
      </c>
      <c r="C787" s="10">
        <f>IF($BI787="","",IF($B787="Onsite",INDEX(tbl_Onsite[Job Number],$BI787),IF($B787="Production",INDEX(tbl_Production[Job Number],$BI787),INDEX(tbl_Consulting[Job Number],$BI787)))&amp;"")</f>
        <v/>
      </c>
      <c r="D787" s="10">
        <f>IF($BI787="","",IF($B787="Onsite",INDEX(tbl_Onsite[Client],$BI787),IF($B787="Production",INDEX(tbl_Production[Client],$BI787),INDEX(tbl_Consulting[Client],$BI787)))&amp;"")</f>
        <v/>
      </c>
      <c r="E787" s="10">
        <f>IF($C787="","",IF(COUNTIF(lst_Jobs,$C787)&gt;0,"OK","CHECK"))</f>
        <v/>
      </c>
      <c r="F787" s="10">
        <f>IF($C787="","",IFERROR(INDEX(lst_JobName,MATCH($C787,lst_Jobs,0)),""))</f>
        <v/>
      </c>
      <c r="G787" s="10">
        <f>IF($BI787="","",IF($B787="Onsite",INDEX(tbl_Onsite[Job Description],$BI787),IF($B787="Production",INDEX(tbl_Production[Job Description],$BI787),INDEX(tbl_Consulting[Job Description],$BI787)))&amp;"")</f>
        <v/>
      </c>
      <c r="H787" s="10">
        <f>IF($BI787="","",IF($B787="Onsite",INDEX(tbl_Onsite[Cost Centre],$BI787),IF($B787="Production",INDEX(tbl_Production[Cost Centre],$BI787),INDEX(tbl_Consulting[Cost Centre],$BI787)))&amp;"")</f>
        <v/>
      </c>
      <c r="I787" s="10">
        <f>IF($BI787="","",IF($B787="Onsite",INDEX(tbl_Onsite[Invoice Type],$BI787),IF($B787="Production",INDEX(tbl_Production[Invoice Type],$BI787),INDEX(tbl_Consulting[Invoice Type],$BI787)))&amp;"")</f>
        <v/>
      </c>
      <c r="J787" s="10">
        <f>IF($BI787="","",IF($B787="Onsite",INDEX(tbl_Onsite[Tax Code],$BI787),IF($B787="Production",INDEX(tbl_Production[Tax Code],$BI787),INDEX(tbl_Consulting[Tax Code],$BI787)))&amp;"")</f>
        <v/>
      </c>
      <c r="K787" s="10">
        <f>IF(H787="","",IFERROR(INDEX(lst_CCtoGL,MATCH(H787,lst_CCforGL,0)),""))</f>
        <v/>
      </c>
      <c r="L787" s="10">
        <f>IF($BI787="","",IF($B787="Onsite",INDEX(tbl_Onsite[PO / Reference],$BI787),IF($B787="Production",INDEX(tbl_Production[Current RMS No],$BI787),INDEX(tbl_Consulting[Qwilr Quote],$BI787)))&amp;"")</f>
        <v/>
      </c>
      <c r="M787" s="10">
        <f>IF($BI787="","",IF($B787="Onsite",INDEX(tbl_Onsite[Notes],$BI787),IF($B787="Production",INDEX(tbl_Production[Notes],$BI787),INDEX(tbl_Consulting[Notes],$BI787)))&amp;"")</f>
        <v/>
      </c>
      <c r="N787" s="11">
        <f>IF($BI787="","",IF(IF($B787="Onsite",INDEX(tbl_Onsite[Expected Revenue Ex GST],$BI787),IF($B787="Production",INDEX(tbl_Production[Expected Revenue Ex GST],$BI787),INDEX(tbl_Consulting[Expected Revenue Ex GST],$BI787)))="","",IF($B787="Onsite",INDEX(tbl_Onsite[Expected Revenue Ex GST],$BI787),IF($B787="Production",INDEX(tbl_Production[Expected Revenue Ex GST],$BI787),INDEX(tbl_Consulting[Expected Revenue Ex GST],$BI787)))))</f>
        <v/>
      </c>
      <c r="O787" s="11">
        <f>IF(AND($C787="",NOT(COUNTA($S787:$BB787)&gt;0)),"",SUM(U787,X787,AA787,AD787,AG787,AJ787,AM787,AP787,AS787,AV787,AY787,BB787))</f>
        <v/>
      </c>
      <c r="P787" s="11">
        <f>IF(O787="","",N(N787)-O787)</f>
        <v/>
      </c>
      <c r="Q787" s="10">
        <f>IF(O787="","",IF($C787="","Invoice on empty job row",IF(N787="",IF(ROUND(O787,2)=0,"No dept value","Invoiced - no dept value"),IF(ROUND(O787,2)=0,"Not invoiced - to invoice",IF(ROUND(P787,2)=0,"Agrees",IF(P787&gt;0,"Dept higher - to invoice","Xero higher - check dept"))))))</f>
        <v/>
      </c>
      <c r="R787" s="10">
        <f>IF(AND($C787="",NOT(COUNTA($S787:$BB787)&gt;0),$BI787&lt;&gt;""),"",MID(IF($BI787="","; Row ID not found on the department sheet - a row was deleted","")&amp;IF(AND($C787="",COUNTA($S787:$BB787)&gt;0),"; Invoice entered but the department row has no job number","")&amp;IF(E787="CHECK","; Job number not in the Xero job list","")&amp;IF(AND($C787&lt;&gt;"",COUNTIF($C$7:$C$1506,$C787)&gt;1),"; Job number on more than one row","")&amp;IF(AND($C787&lt;&gt;"",H787=""),"; Dept has not set a cost centre","")&amp;IF(AND($C787&lt;&gt;"",J787=""),"; Dept has not set a tax code","")&amp;IF(AND($C787&lt;&gt;"",N787=""),"; Dept has not entered an expected value","")&amp;IF((IF(OR(COUNTA(S787:U787)=0,AND(COUNTA(S787:U787)=3,ISNUMBER(U787))),0,1)+IF(OR(COUNTA(V787:X787)=0,AND(COUNTA(V787:X787)=3,ISNUMBER(X787))),0,1)+IF(OR(COUNTA(Y787:AA787)=0,AND(COUNTA(Y787:AA787)=3,ISNUMBER(AA787))),0,1)+IF(OR(COUNTA(AB787:AD787)=0,AND(COUNTA(AB787:AD787)=3,ISNUMBER(AD787))),0,1)+IF(OR(COUNTA(AE787:AG787)=0,AND(COUNTA(AE787:AG787)=3,ISNUMBER(AG787))),0,1)+IF(OR(COUNTA(AH787:AJ787)=0,AND(COUNTA(AH787:AJ787)=3,ISNUMBER(AJ787))),0,1)+IF(OR(COUNTA(AK787:AM787)=0,AND(COUNTA(AK787:AM787)=3,ISNUMBER(AM787))),0,1)+IF(OR(COUNTA(AN787:AP787)=0,AND(COUNTA(AN787:AP787)=3,ISNUMBER(AP787))),0,1)+IF(OR(COUNTA(AQ787:AS787)=0,AND(COUNTA(AQ787:AS787)=3,ISNUMBER(AS787))),0,1)+IF(OR(COUNTA(AT787:AV787)=0,AND(COUNTA(AT787:AV787)=3,ISNUMBER(AV787))),0,1)+IF(OR(COUNTA(AW787:AY787)=0,AND(COUNTA(AW787:AY787)=3,ISNUMBER(AY787))),0,1)+IF(OR(COUNTA(AZ787:BB787)=0,AND(COUNTA(AZ787:BB787)=3,ISNUMBER(BB787))),0,1))&gt;0,"; An invoice is incomplete (needs No, Date and a number in Ex GST)","")&amp;IF((IF(T787="",0,IFERROR(--(EOMONTH(T787,0)&lt;&gt;S$5),1))+IF(W787="",0,IFERROR(--(EOMONTH(W787,0)&lt;&gt;V$5),1))+IF(Z787="",0,IFERROR(--(EOMONTH(Z787,0)&lt;&gt;Y$5),1))+IF(AC787="",0,IFERROR(--(EOMONTH(AC787,0)&lt;&gt;AB$5),1))+IF(AF787="",0,IFERROR(--(EOMONTH(AF787,0)&lt;&gt;AE$5),1))+IF(AI787="",0,IFERROR(--(EOMONTH(AI787,0)&lt;&gt;AH$5),1))+IF(AL787="",0,IFERROR(--(EOMONTH(AL787,0)&lt;&gt;AK$5),1))+IF(AO787="",0,IFERROR(--(EOMONTH(AO787,0)&lt;&gt;AN$5),1))+IF(AR787="",0,IFERROR(--(EOMONTH(AR787,0)&lt;&gt;AQ$5),1))+IF(AU787="",0,IFERROR(--(EOMONTH(AU787,0)&lt;&gt;AT$5),1))+IF(AX787="",0,IFERROR(--(EOMONTH(AX787,0)&lt;&gt;AW$5),1))+IF(BA787="",0,IFERROR(--(EOMONTH(BA787,0)&lt;&gt;AZ$5),1)))&gt;0,"; An invoice date is not in the month it is typed under",""),3,500))</f>
        <v/>
      </c>
      <c r="S787" s="12" t="n"/>
      <c r="T787" s="13" t="n"/>
      <c r="U787" s="14" t="n"/>
      <c r="V787" s="12" t="n"/>
      <c r="W787" s="13" t="n"/>
      <c r="X787" s="14" t="n"/>
      <c r="Y787" s="12" t="n"/>
      <c r="Z787" s="13" t="n"/>
      <c r="AA787" s="14" t="n"/>
      <c r="AB787" s="12" t="n"/>
      <c r="AC787" s="13" t="n"/>
      <c r="AD787" s="14" t="n"/>
      <c r="AE787" s="12" t="n"/>
      <c r="AF787" s="13" t="n"/>
      <c r="AG787" s="14" t="n"/>
      <c r="AH787" s="12" t="n"/>
      <c r="AI787" s="13" t="n"/>
      <c r="AJ787" s="14" t="n"/>
      <c r="AK787" s="12" t="n"/>
      <c r="AL787" s="13" t="n"/>
      <c r="AM787" s="14" t="n"/>
      <c r="AN787" s="12" t="n"/>
      <c r="AO787" s="13" t="n"/>
      <c r="AP787" s="14" t="n"/>
      <c r="AQ787" s="12" t="n"/>
      <c r="AR787" s="13" t="n"/>
      <c r="AS787" s="14" t="n"/>
      <c r="AT787" s="12" t="n"/>
      <c r="AU787" s="13" t="n"/>
      <c r="AV787" s="14" t="n"/>
      <c r="AW787" s="12" t="n"/>
      <c r="AX787" s="13" t="n"/>
      <c r="AY787" s="14" t="n"/>
      <c r="AZ787" s="12" t="n"/>
      <c r="BA787" s="13" t="n"/>
      <c r="BB787" s="14" t="n"/>
      <c r="BC787" s="11">
        <f>IF(O787="","",IF(J787="GST 10%",ROUND(O787*set_GSTRate,2),0))</f>
        <v/>
      </c>
      <c r="BD787" s="11">
        <f>IF(O787="","",O787+BC787)</f>
        <v/>
      </c>
      <c r="BE787" s="15">
        <f>IF(O787="","",COUNTA(S787,V787,Y787,AB787,AE787,AH787,AK787,AN787,AQ787,AT787,AW787,AZ787))</f>
        <v/>
      </c>
      <c r="BF787" s="16">
        <f>IF(COUNT(T787,W787,Z787,AC787,AF787,AI787,AL787,AO787,AR787,AU787,AX787,BA787)=0,"",MAX(T787,W787,Z787,AC787,AF787,AI787,AL787,AO787,AR787,AU787,AX787,BA787))</f>
        <v/>
      </c>
      <c r="BG787" s="10">
        <f>MID(IF(S787="","",", "&amp;S787)&amp;IF(V787="","",", "&amp;V787)&amp;IF(Y787="","",", "&amp;Y787)&amp;IF(AB787="","",", "&amp;AB787)&amp;IF(AE787="","",", "&amp;AE787)&amp;IF(AH787="","",", "&amp;AH787)&amp;IF(AK787="","",", "&amp;AK787)&amp;IF(AN787="","",", "&amp;AN787)&amp;IF(AQ787="","",", "&amp;AQ787)&amp;IF(AT787="","",", "&amp;AT787)&amp;IF(AW787="","",", "&amp;AW787)&amp;IF(AZ787="","",", "&amp;AZ787),3,500)</f>
        <v/>
      </c>
      <c r="BH787" s="12" t="n"/>
      <c r="BI787" s="15">
        <f>IFERROR(MATCH($A787,IF($B787="Onsite",tbl_Onsite[Row ID],IF($B787="Production",tbl_Production[Row ID],tbl_Consulting[Row ID])),0),"")</f>
        <v/>
      </c>
    </row>
    <row r="788">
      <c r="A788" s="10" t="inlineStr">
        <is>
          <t>PRD-0282</t>
        </is>
      </c>
      <c r="B788" s="10" t="inlineStr">
        <is>
          <t>Production</t>
        </is>
      </c>
      <c r="C788" s="10">
        <f>IF($BI788="","",IF($B788="Onsite",INDEX(tbl_Onsite[Job Number],$BI788),IF($B788="Production",INDEX(tbl_Production[Job Number],$BI788),INDEX(tbl_Consulting[Job Number],$BI788)))&amp;"")</f>
        <v/>
      </c>
      <c r="D788" s="10">
        <f>IF($BI788="","",IF($B788="Onsite",INDEX(tbl_Onsite[Client],$BI788),IF($B788="Production",INDEX(tbl_Production[Client],$BI788),INDEX(tbl_Consulting[Client],$BI788)))&amp;"")</f>
        <v/>
      </c>
      <c r="E788" s="10">
        <f>IF($C788="","",IF(COUNTIF(lst_Jobs,$C788)&gt;0,"OK","CHECK"))</f>
        <v/>
      </c>
      <c r="F788" s="10">
        <f>IF($C788="","",IFERROR(INDEX(lst_JobName,MATCH($C788,lst_Jobs,0)),""))</f>
        <v/>
      </c>
      <c r="G788" s="10">
        <f>IF($BI788="","",IF($B788="Onsite",INDEX(tbl_Onsite[Job Description],$BI788),IF($B788="Production",INDEX(tbl_Production[Job Description],$BI788),INDEX(tbl_Consulting[Job Description],$BI788)))&amp;"")</f>
        <v/>
      </c>
      <c r="H788" s="10">
        <f>IF($BI788="","",IF($B788="Onsite",INDEX(tbl_Onsite[Cost Centre],$BI788),IF($B788="Production",INDEX(tbl_Production[Cost Centre],$BI788),INDEX(tbl_Consulting[Cost Centre],$BI788)))&amp;"")</f>
        <v/>
      </c>
      <c r="I788" s="10">
        <f>IF($BI788="","",IF($B788="Onsite",INDEX(tbl_Onsite[Invoice Type],$BI788),IF($B788="Production",INDEX(tbl_Production[Invoice Type],$BI788),INDEX(tbl_Consulting[Invoice Type],$BI788)))&amp;"")</f>
        <v/>
      </c>
      <c r="J788" s="10">
        <f>IF($BI788="","",IF($B788="Onsite",INDEX(tbl_Onsite[Tax Code],$BI788),IF($B788="Production",INDEX(tbl_Production[Tax Code],$BI788),INDEX(tbl_Consulting[Tax Code],$BI788)))&amp;"")</f>
        <v/>
      </c>
      <c r="K788" s="10">
        <f>IF(H788="","",IFERROR(INDEX(lst_CCtoGL,MATCH(H788,lst_CCforGL,0)),""))</f>
        <v/>
      </c>
      <c r="L788" s="10">
        <f>IF($BI788="","",IF($B788="Onsite",INDEX(tbl_Onsite[PO / Reference],$BI788),IF($B788="Production",INDEX(tbl_Production[Current RMS No],$BI788),INDEX(tbl_Consulting[Qwilr Quote],$BI788)))&amp;"")</f>
        <v/>
      </c>
      <c r="M788" s="10">
        <f>IF($BI788="","",IF($B788="Onsite",INDEX(tbl_Onsite[Notes],$BI788),IF($B788="Production",INDEX(tbl_Production[Notes],$BI788),INDEX(tbl_Consulting[Notes],$BI788)))&amp;"")</f>
        <v/>
      </c>
      <c r="N788" s="11">
        <f>IF($BI788="","",IF(IF($B788="Onsite",INDEX(tbl_Onsite[Expected Revenue Ex GST],$BI788),IF($B788="Production",INDEX(tbl_Production[Expected Revenue Ex GST],$BI788),INDEX(tbl_Consulting[Expected Revenue Ex GST],$BI788)))="","",IF($B788="Onsite",INDEX(tbl_Onsite[Expected Revenue Ex GST],$BI788),IF($B788="Production",INDEX(tbl_Production[Expected Revenue Ex GST],$BI788),INDEX(tbl_Consulting[Expected Revenue Ex GST],$BI788)))))</f>
        <v/>
      </c>
      <c r="O788" s="11">
        <f>IF(AND($C788="",NOT(COUNTA($S788:$BB788)&gt;0)),"",SUM(U788,X788,AA788,AD788,AG788,AJ788,AM788,AP788,AS788,AV788,AY788,BB788))</f>
        <v/>
      </c>
      <c r="P788" s="11">
        <f>IF(O788="","",N(N788)-O788)</f>
        <v/>
      </c>
      <c r="Q788" s="10">
        <f>IF(O788="","",IF($C788="","Invoice on empty job row",IF(N788="",IF(ROUND(O788,2)=0,"No dept value","Invoiced - no dept value"),IF(ROUND(O788,2)=0,"Not invoiced - to invoice",IF(ROUND(P788,2)=0,"Agrees",IF(P788&gt;0,"Dept higher - to invoice","Xero higher - check dept"))))))</f>
        <v/>
      </c>
      <c r="R788" s="10">
        <f>IF(AND($C788="",NOT(COUNTA($S788:$BB788)&gt;0),$BI788&lt;&gt;""),"",MID(IF($BI788="","; Row ID not found on the department sheet - a row was deleted","")&amp;IF(AND($C788="",COUNTA($S788:$BB788)&gt;0),"; Invoice entered but the department row has no job number","")&amp;IF(E788="CHECK","; Job number not in the Xero job list","")&amp;IF(AND($C788&lt;&gt;"",COUNTIF($C$7:$C$1506,$C788)&gt;1),"; Job number on more than one row","")&amp;IF(AND($C788&lt;&gt;"",H788=""),"; Dept has not set a cost centre","")&amp;IF(AND($C788&lt;&gt;"",J788=""),"; Dept has not set a tax code","")&amp;IF(AND($C788&lt;&gt;"",N788=""),"; Dept has not entered an expected value","")&amp;IF((IF(OR(COUNTA(S788:U788)=0,AND(COUNTA(S788:U788)=3,ISNUMBER(U788))),0,1)+IF(OR(COUNTA(V788:X788)=0,AND(COUNTA(V788:X788)=3,ISNUMBER(X788))),0,1)+IF(OR(COUNTA(Y788:AA788)=0,AND(COUNTA(Y788:AA788)=3,ISNUMBER(AA788))),0,1)+IF(OR(COUNTA(AB788:AD788)=0,AND(COUNTA(AB788:AD788)=3,ISNUMBER(AD788))),0,1)+IF(OR(COUNTA(AE788:AG788)=0,AND(COUNTA(AE788:AG788)=3,ISNUMBER(AG788))),0,1)+IF(OR(COUNTA(AH788:AJ788)=0,AND(COUNTA(AH788:AJ788)=3,ISNUMBER(AJ788))),0,1)+IF(OR(COUNTA(AK788:AM788)=0,AND(COUNTA(AK788:AM788)=3,ISNUMBER(AM788))),0,1)+IF(OR(COUNTA(AN788:AP788)=0,AND(COUNTA(AN788:AP788)=3,ISNUMBER(AP788))),0,1)+IF(OR(COUNTA(AQ788:AS788)=0,AND(COUNTA(AQ788:AS788)=3,ISNUMBER(AS788))),0,1)+IF(OR(COUNTA(AT788:AV788)=0,AND(COUNTA(AT788:AV788)=3,ISNUMBER(AV788))),0,1)+IF(OR(COUNTA(AW788:AY788)=0,AND(COUNTA(AW788:AY788)=3,ISNUMBER(AY788))),0,1)+IF(OR(COUNTA(AZ788:BB788)=0,AND(COUNTA(AZ788:BB788)=3,ISNUMBER(BB788))),0,1))&gt;0,"; An invoice is incomplete (needs No, Date and a number in Ex GST)","")&amp;IF((IF(T788="",0,IFERROR(--(EOMONTH(T788,0)&lt;&gt;S$5),1))+IF(W788="",0,IFERROR(--(EOMONTH(W788,0)&lt;&gt;V$5),1))+IF(Z788="",0,IFERROR(--(EOMONTH(Z788,0)&lt;&gt;Y$5),1))+IF(AC788="",0,IFERROR(--(EOMONTH(AC788,0)&lt;&gt;AB$5),1))+IF(AF788="",0,IFERROR(--(EOMONTH(AF788,0)&lt;&gt;AE$5),1))+IF(AI788="",0,IFERROR(--(EOMONTH(AI788,0)&lt;&gt;AH$5),1))+IF(AL788="",0,IFERROR(--(EOMONTH(AL788,0)&lt;&gt;AK$5),1))+IF(AO788="",0,IFERROR(--(EOMONTH(AO788,0)&lt;&gt;AN$5),1))+IF(AR788="",0,IFERROR(--(EOMONTH(AR788,0)&lt;&gt;AQ$5),1))+IF(AU788="",0,IFERROR(--(EOMONTH(AU788,0)&lt;&gt;AT$5),1))+IF(AX788="",0,IFERROR(--(EOMONTH(AX788,0)&lt;&gt;AW$5),1))+IF(BA788="",0,IFERROR(--(EOMONTH(BA788,0)&lt;&gt;AZ$5),1)))&gt;0,"; An invoice date is not in the month it is typed under",""),3,500))</f>
        <v/>
      </c>
      <c r="S788" s="12" t="n"/>
      <c r="T788" s="13" t="n"/>
      <c r="U788" s="14" t="n"/>
      <c r="V788" s="12" t="n"/>
      <c r="W788" s="13" t="n"/>
      <c r="X788" s="14" t="n"/>
      <c r="Y788" s="12" t="n"/>
      <c r="Z788" s="13" t="n"/>
      <c r="AA788" s="14" t="n"/>
      <c r="AB788" s="12" t="n"/>
      <c r="AC788" s="13" t="n"/>
      <c r="AD788" s="14" t="n"/>
      <c r="AE788" s="12" t="n"/>
      <c r="AF788" s="13" t="n"/>
      <c r="AG788" s="14" t="n"/>
      <c r="AH788" s="12" t="n"/>
      <c r="AI788" s="13" t="n"/>
      <c r="AJ788" s="14" t="n"/>
      <c r="AK788" s="12" t="n"/>
      <c r="AL788" s="13" t="n"/>
      <c r="AM788" s="14" t="n"/>
      <c r="AN788" s="12" t="n"/>
      <c r="AO788" s="13" t="n"/>
      <c r="AP788" s="14" t="n"/>
      <c r="AQ788" s="12" t="n"/>
      <c r="AR788" s="13" t="n"/>
      <c r="AS788" s="14" t="n"/>
      <c r="AT788" s="12" t="n"/>
      <c r="AU788" s="13" t="n"/>
      <c r="AV788" s="14" t="n"/>
      <c r="AW788" s="12" t="n"/>
      <c r="AX788" s="13" t="n"/>
      <c r="AY788" s="14" t="n"/>
      <c r="AZ788" s="12" t="n"/>
      <c r="BA788" s="13" t="n"/>
      <c r="BB788" s="14" t="n"/>
      <c r="BC788" s="11">
        <f>IF(O788="","",IF(J788="GST 10%",ROUND(O788*set_GSTRate,2),0))</f>
        <v/>
      </c>
      <c r="BD788" s="11">
        <f>IF(O788="","",O788+BC788)</f>
        <v/>
      </c>
      <c r="BE788" s="15">
        <f>IF(O788="","",COUNTA(S788,V788,Y788,AB788,AE788,AH788,AK788,AN788,AQ788,AT788,AW788,AZ788))</f>
        <v/>
      </c>
      <c r="BF788" s="16">
        <f>IF(COUNT(T788,W788,Z788,AC788,AF788,AI788,AL788,AO788,AR788,AU788,AX788,BA788)=0,"",MAX(T788,W788,Z788,AC788,AF788,AI788,AL788,AO788,AR788,AU788,AX788,BA788))</f>
        <v/>
      </c>
      <c r="BG788" s="10">
        <f>MID(IF(S788="","",", "&amp;S788)&amp;IF(V788="","",", "&amp;V788)&amp;IF(Y788="","",", "&amp;Y788)&amp;IF(AB788="","",", "&amp;AB788)&amp;IF(AE788="","",", "&amp;AE788)&amp;IF(AH788="","",", "&amp;AH788)&amp;IF(AK788="","",", "&amp;AK788)&amp;IF(AN788="","",", "&amp;AN788)&amp;IF(AQ788="","",", "&amp;AQ788)&amp;IF(AT788="","",", "&amp;AT788)&amp;IF(AW788="","",", "&amp;AW788)&amp;IF(AZ788="","",", "&amp;AZ788),3,500)</f>
        <v/>
      </c>
      <c r="BH788" s="12" t="n"/>
      <c r="BI788" s="15">
        <f>IFERROR(MATCH($A788,IF($B788="Onsite",tbl_Onsite[Row ID],IF($B788="Production",tbl_Production[Row ID],tbl_Consulting[Row ID])),0),"")</f>
        <v/>
      </c>
    </row>
    <row r="789">
      <c r="A789" s="10" t="inlineStr">
        <is>
          <t>PRD-0283</t>
        </is>
      </c>
      <c r="B789" s="10" t="inlineStr">
        <is>
          <t>Production</t>
        </is>
      </c>
      <c r="C789" s="10">
        <f>IF($BI789="","",IF($B789="Onsite",INDEX(tbl_Onsite[Job Number],$BI789),IF($B789="Production",INDEX(tbl_Production[Job Number],$BI789),INDEX(tbl_Consulting[Job Number],$BI789)))&amp;"")</f>
        <v/>
      </c>
      <c r="D789" s="10">
        <f>IF($BI789="","",IF($B789="Onsite",INDEX(tbl_Onsite[Client],$BI789),IF($B789="Production",INDEX(tbl_Production[Client],$BI789),INDEX(tbl_Consulting[Client],$BI789)))&amp;"")</f>
        <v/>
      </c>
      <c r="E789" s="10">
        <f>IF($C789="","",IF(COUNTIF(lst_Jobs,$C789)&gt;0,"OK","CHECK"))</f>
        <v/>
      </c>
      <c r="F789" s="10">
        <f>IF($C789="","",IFERROR(INDEX(lst_JobName,MATCH($C789,lst_Jobs,0)),""))</f>
        <v/>
      </c>
      <c r="G789" s="10">
        <f>IF($BI789="","",IF($B789="Onsite",INDEX(tbl_Onsite[Job Description],$BI789),IF($B789="Production",INDEX(tbl_Production[Job Description],$BI789),INDEX(tbl_Consulting[Job Description],$BI789)))&amp;"")</f>
        <v/>
      </c>
      <c r="H789" s="10">
        <f>IF($BI789="","",IF($B789="Onsite",INDEX(tbl_Onsite[Cost Centre],$BI789),IF($B789="Production",INDEX(tbl_Production[Cost Centre],$BI789),INDEX(tbl_Consulting[Cost Centre],$BI789)))&amp;"")</f>
        <v/>
      </c>
      <c r="I789" s="10">
        <f>IF($BI789="","",IF($B789="Onsite",INDEX(tbl_Onsite[Invoice Type],$BI789),IF($B789="Production",INDEX(tbl_Production[Invoice Type],$BI789),INDEX(tbl_Consulting[Invoice Type],$BI789)))&amp;"")</f>
        <v/>
      </c>
      <c r="J789" s="10">
        <f>IF($BI789="","",IF($B789="Onsite",INDEX(tbl_Onsite[Tax Code],$BI789),IF($B789="Production",INDEX(tbl_Production[Tax Code],$BI789),INDEX(tbl_Consulting[Tax Code],$BI789)))&amp;"")</f>
        <v/>
      </c>
      <c r="K789" s="10">
        <f>IF(H789="","",IFERROR(INDEX(lst_CCtoGL,MATCH(H789,lst_CCforGL,0)),""))</f>
        <v/>
      </c>
      <c r="L789" s="10">
        <f>IF($BI789="","",IF($B789="Onsite",INDEX(tbl_Onsite[PO / Reference],$BI789),IF($B789="Production",INDEX(tbl_Production[Current RMS No],$BI789),INDEX(tbl_Consulting[Qwilr Quote],$BI789)))&amp;"")</f>
        <v/>
      </c>
      <c r="M789" s="10">
        <f>IF($BI789="","",IF($B789="Onsite",INDEX(tbl_Onsite[Notes],$BI789),IF($B789="Production",INDEX(tbl_Production[Notes],$BI789),INDEX(tbl_Consulting[Notes],$BI789)))&amp;"")</f>
        <v/>
      </c>
      <c r="N789" s="11">
        <f>IF($BI789="","",IF(IF($B789="Onsite",INDEX(tbl_Onsite[Expected Revenue Ex GST],$BI789),IF($B789="Production",INDEX(tbl_Production[Expected Revenue Ex GST],$BI789),INDEX(tbl_Consulting[Expected Revenue Ex GST],$BI789)))="","",IF($B789="Onsite",INDEX(tbl_Onsite[Expected Revenue Ex GST],$BI789),IF($B789="Production",INDEX(tbl_Production[Expected Revenue Ex GST],$BI789),INDEX(tbl_Consulting[Expected Revenue Ex GST],$BI789)))))</f>
        <v/>
      </c>
      <c r="O789" s="11">
        <f>IF(AND($C789="",NOT(COUNTA($S789:$BB789)&gt;0)),"",SUM(U789,X789,AA789,AD789,AG789,AJ789,AM789,AP789,AS789,AV789,AY789,BB789))</f>
        <v/>
      </c>
      <c r="P789" s="11">
        <f>IF(O789="","",N(N789)-O789)</f>
        <v/>
      </c>
      <c r="Q789" s="10">
        <f>IF(O789="","",IF($C789="","Invoice on empty job row",IF(N789="",IF(ROUND(O789,2)=0,"No dept value","Invoiced - no dept value"),IF(ROUND(O789,2)=0,"Not invoiced - to invoice",IF(ROUND(P789,2)=0,"Agrees",IF(P789&gt;0,"Dept higher - to invoice","Xero higher - check dept"))))))</f>
        <v/>
      </c>
      <c r="R789" s="10">
        <f>IF(AND($C789="",NOT(COUNTA($S789:$BB789)&gt;0),$BI789&lt;&gt;""),"",MID(IF($BI789="","; Row ID not found on the department sheet - a row was deleted","")&amp;IF(AND($C789="",COUNTA($S789:$BB789)&gt;0),"; Invoice entered but the department row has no job number","")&amp;IF(E789="CHECK","; Job number not in the Xero job list","")&amp;IF(AND($C789&lt;&gt;"",COUNTIF($C$7:$C$1506,$C789)&gt;1),"; Job number on more than one row","")&amp;IF(AND($C789&lt;&gt;"",H789=""),"; Dept has not set a cost centre","")&amp;IF(AND($C789&lt;&gt;"",J789=""),"; Dept has not set a tax code","")&amp;IF(AND($C789&lt;&gt;"",N789=""),"; Dept has not entered an expected value","")&amp;IF((IF(OR(COUNTA(S789:U789)=0,AND(COUNTA(S789:U789)=3,ISNUMBER(U789))),0,1)+IF(OR(COUNTA(V789:X789)=0,AND(COUNTA(V789:X789)=3,ISNUMBER(X789))),0,1)+IF(OR(COUNTA(Y789:AA789)=0,AND(COUNTA(Y789:AA789)=3,ISNUMBER(AA789))),0,1)+IF(OR(COUNTA(AB789:AD789)=0,AND(COUNTA(AB789:AD789)=3,ISNUMBER(AD789))),0,1)+IF(OR(COUNTA(AE789:AG789)=0,AND(COUNTA(AE789:AG789)=3,ISNUMBER(AG789))),0,1)+IF(OR(COUNTA(AH789:AJ789)=0,AND(COUNTA(AH789:AJ789)=3,ISNUMBER(AJ789))),0,1)+IF(OR(COUNTA(AK789:AM789)=0,AND(COUNTA(AK789:AM789)=3,ISNUMBER(AM789))),0,1)+IF(OR(COUNTA(AN789:AP789)=0,AND(COUNTA(AN789:AP789)=3,ISNUMBER(AP789))),0,1)+IF(OR(COUNTA(AQ789:AS789)=0,AND(COUNTA(AQ789:AS789)=3,ISNUMBER(AS789))),0,1)+IF(OR(COUNTA(AT789:AV789)=0,AND(COUNTA(AT789:AV789)=3,ISNUMBER(AV789))),0,1)+IF(OR(COUNTA(AW789:AY789)=0,AND(COUNTA(AW789:AY789)=3,ISNUMBER(AY789))),0,1)+IF(OR(COUNTA(AZ789:BB789)=0,AND(COUNTA(AZ789:BB789)=3,ISNUMBER(BB789))),0,1))&gt;0,"; An invoice is incomplete (needs No, Date and a number in Ex GST)","")&amp;IF((IF(T789="",0,IFERROR(--(EOMONTH(T789,0)&lt;&gt;S$5),1))+IF(W789="",0,IFERROR(--(EOMONTH(W789,0)&lt;&gt;V$5),1))+IF(Z789="",0,IFERROR(--(EOMONTH(Z789,0)&lt;&gt;Y$5),1))+IF(AC789="",0,IFERROR(--(EOMONTH(AC789,0)&lt;&gt;AB$5),1))+IF(AF789="",0,IFERROR(--(EOMONTH(AF789,0)&lt;&gt;AE$5),1))+IF(AI789="",0,IFERROR(--(EOMONTH(AI789,0)&lt;&gt;AH$5),1))+IF(AL789="",0,IFERROR(--(EOMONTH(AL789,0)&lt;&gt;AK$5),1))+IF(AO789="",0,IFERROR(--(EOMONTH(AO789,0)&lt;&gt;AN$5),1))+IF(AR789="",0,IFERROR(--(EOMONTH(AR789,0)&lt;&gt;AQ$5),1))+IF(AU789="",0,IFERROR(--(EOMONTH(AU789,0)&lt;&gt;AT$5),1))+IF(AX789="",0,IFERROR(--(EOMONTH(AX789,0)&lt;&gt;AW$5),1))+IF(BA789="",0,IFERROR(--(EOMONTH(BA789,0)&lt;&gt;AZ$5),1)))&gt;0,"; An invoice date is not in the month it is typed under",""),3,500))</f>
        <v/>
      </c>
      <c r="S789" s="12" t="n"/>
      <c r="T789" s="13" t="n"/>
      <c r="U789" s="14" t="n"/>
      <c r="V789" s="12" t="n"/>
      <c r="W789" s="13" t="n"/>
      <c r="X789" s="14" t="n"/>
      <c r="Y789" s="12" t="n"/>
      <c r="Z789" s="13" t="n"/>
      <c r="AA789" s="14" t="n"/>
      <c r="AB789" s="12" t="n"/>
      <c r="AC789" s="13" t="n"/>
      <c r="AD789" s="14" t="n"/>
      <c r="AE789" s="12" t="n"/>
      <c r="AF789" s="13" t="n"/>
      <c r="AG789" s="14" t="n"/>
      <c r="AH789" s="12" t="n"/>
      <c r="AI789" s="13" t="n"/>
      <c r="AJ789" s="14" t="n"/>
      <c r="AK789" s="12" t="n"/>
      <c r="AL789" s="13" t="n"/>
      <c r="AM789" s="14" t="n"/>
      <c r="AN789" s="12" t="n"/>
      <c r="AO789" s="13" t="n"/>
      <c r="AP789" s="14" t="n"/>
      <c r="AQ789" s="12" t="n"/>
      <c r="AR789" s="13" t="n"/>
      <c r="AS789" s="14" t="n"/>
      <c r="AT789" s="12" t="n"/>
      <c r="AU789" s="13" t="n"/>
      <c r="AV789" s="14" t="n"/>
      <c r="AW789" s="12" t="n"/>
      <c r="AX789" s="13" t="n"/>
      <c r="AY789" s="14" t="n"/>
      <c r="AZ789" s="12" t="n"/>
      <c r="BA789" s="13" t="n"/>
      <c r="BB789" s="14" t="n"/>
      <c r="BC789" s="11">
        <f>IF(O789="","",IF(J789="GST 10%",ROUND(O789*set_GSTRate,2),0))</f>
        <v/>
      </c>
      <c r="BD789" s="11">
        <f>IF(O789="","",O789+BC789)</f>
        <v/>
      </c>
      <c r="BE789" s="15">
        <f>IF(O789="","",COUNTA(S789,V789,Y789,AB789,AE789,AH789,AK789,AN789,AQ789,AT789,AW789,AZ789))</f>
        <v/>
      </c>
      <c r="BF789" s="16">
        <f>IF(COUNT(T789,W789,Z789,AC789,AF789,AI789,AL789,AO789,AR789,AU789,AX789,BA789)=0,"",MAX(T789,W789,Z789,AC789,AF789,AI789,AL789,AO789,AR789,AU789,AX789,BA789))</f>
        <v/>
      </c>
      <c r="BG789" s="10">
        <f>MID(IF(S789="","",", "&amp;S789)&amp;IF(V789="","",", "&amp;V789)&amp;IF(Y789="","",", "&amp;Y789)&amp;IF(AB789="","",", "&amp;AB789)&amp;IF(AE789="","",", "&amp;AE789)&amp;IF(AH789="","",", "&amp;AH789)&amp;IF(AK789="","",", "&amp;AK789)&amp;IF(AN789="","",", "&amp;AN789)&amp;IF(AQ789="","",", "&amp;AQ789)&amp;IF(AT789="","",", "&amp;AT789)&amp;IF(AW789="","",", "&amp;AW789)&amp;IF(AZ789="","",", "&amp;AZ789),3,500)</f>
        <v/>
      </c>
      <c r="BH789" s="12" t="n"/>
      <c r="BI789" s="15">
        <f>IFERROR(MATCH($A789,IF($B789="Onsite",tbl_Onsite[Row ID],IF($B789="Production",tbl_Production[Row ID],tbl_Consulting[Row ID])),0),"")</f>
        <v/>
      </c>
    </row>
    <row r="790">
      <c r="A790" s="10" t="inlineStr">
        <is>
          <t>PRD-0284</t>
        </is>
      </c>
      <c r="B790" s="10" t="inlineStr">
        <is>
          <t>Production</t>
        </is>
      </c>
      <c r="C790" s="10">
        <f>IF($BI790="","",IF($B790="Onsite",INDEX(tbl_Onsite[Job Number],$BI790),IF($B790="Production",INDEX(tbl_Production[Job Number],$BI790),INDEX(tbl_Consulting[Job Number],$BI790)))&amp;"")</f>
        <v/>
      </c>
      <c r="D790" s="10">
        <f>IF($BI790="","",IF($B790="Onsite",INDEX(tbl_Onsite[Client],$BI790),IF($B790="Production",INDEX(tbl_Production[Client],$BI790),INDEX(tbl_Consulting[Client],$BI790)))&amp;"")</f>
        <v/>
      </c>
      <c r="E790" s="10">
        <f>IF($C790="","",IF(COUNTIF(lst_Jobs,$C790)&gt;0,"OK","CHECK"))</f>
        <v/>
      </c>
      <c r="F790" s="10">
        <f>IF($C790="","",IFERROR(INDEX(lst_JobName,MATCH($C790,lst_Jobs,0)),""))</f>
        <v/>
      </c>
      <c r="G790" s="10">
        <f>IF($BI790="","",IF($B790="Onsite",INDEX(tbl_Onsite[Job Description],$BI790),IF($B790="Production",INDEX(tbl_Production[Job Description],$BI790),INDEX(tbl_Consulting[Job Description],$BI790)))&amp;"")</f>
        <v/>
      </c>
      <c r="H790" s="10">
        <f>IF($BI790="","",IF($B790="Onsite",INDEX(tbl_Onsite[Cost Centre],$BI790),IF($B790="Production",INDEX(tbl_Production[Cost Centre],$BI790),INDEX(tbl_Consulting[Cost Centre],$BI790)))&amp;"")</f>
        <v/>
      </c>
      <c r="I790" s="10">
        <f>IF($BI790="","",IF($B790="Onsite",INDEX(tbl_Onsite[Invoice Type],$BI790),IF($B790="Production",INDEX(tbl_Production[Invoice Type],$BI790),INDEX(tbl_Consulting[Invoice Type],$BI790)))&amp;"")</f>
        <v/>
      </c>
      <c r="J790" s="10">
        <f>IF($BI790="","",IF($B790="Onsite",INDEX(tbl_Onsite[Tax Code],$BI790),IF($B790="Production",INDEX(tbl_Production[Tax Code],$BI790),INDEX(tbl_Consulting[Tax Code],$BI790)))&amp;"")</f>
        <v/>
      </c>
      <c r="K790" s="10">
        <f>IF(H790="","",IFERROR(INDEX(lst_CCtoGL,MATCH(H790,lst_CCforGL,0)),""))</f>
        <v/>
      </c>
      <c r="L790" s="10">
        <f>IF($BI790="","",IF($B790="Onsite",INDEX(tbl_Onsite[PO / Reference],$BI790),IF($B790="Production",INDEX(tbl_Production[Current RMS No],$BI790),INDEX(tbl_Consulting[Qwilr Quote],$BI790)))&amp;"")</f>
        <v/>
      </c>
      <c r="M790" s="10">
        <f>IF($BI790="","",IF($B790="Onsite",INDEX(tbl_Onsite[Notes],$BI790),IF($B790="Production",INDEX(tbl_Production[Notes],$BI790),INDEX(tbl_Consulting[Notes],$BI790)))&amp;"")</f>
        <v/>
      </c>
      <c r="N790" s="11">
        <f>IF($BI790="","",IF(IF($B790="Onsite",INDEX(tbl_Onsite[Expected Revenue Ex GST],$BI790),IF($B790="Production",INDEX(tbl_Production[Expected Revenue Ex GST],$BI790),INDEX(tbl_Consulting[Expected Revenue Ex GST],$BI790)))="","",IF($B790="Onsite",INDEX(tbl_Onsite[Expected Revenue Ex GST],$BI790),IF($B790="Production",INDEX(tbl_Production[Expected Revenue Ex GST],$BI790),INDEX(tbl_Consulting[Expected Revenue Ex GST],$BI790)))))</f>
        <v/>
      </c>
      <c r="O790" s="11">
        <f>IF(AND($C790="",NOT(COUNTA($S790:$BB790)&gt;0)),"",SUM(U790,X790,AA790,AD790,AG790,AJ790,AM790,AP790,AS790,AV790,AY790,BB790))</f>
        <v/>
      </c>
      <c r="P790" s="11">
        <f>IF(O790="","",N(N790)-O790)</f>
        <v/>
      </c>
      <c r="Q790" s="10">
        <f>IF(O790="","",IF($C790="","Invoice on empty job row",IF(N790="",IF(ROUND(O790,2)=0,"No dept value","Invoiced - no dept value"),IF(ROUND(O790,2)=0,"Not invoiced - to invoice",IF(ROUND(P790,2)=0,"Agrees",IF(P790&gt;0,"Dept higher - to invoice","Xero higher - check dept"))))))</f>
        <v/>
      </c>
      <c r="R790" s="10">
        <f>IF(AND($C790="",NOT(COUNTA($S790:$BB790)&gt;0),$BI790&lt;&gt;""),"",MID(IF($BI790="","; Row ID not found on the department sheet - a row was deleted","")&amp;IF(AND($C790="",COUNTA($S790:$BB790)&gt;0),"; Invoice entered but the department row has no job number","")&amp;IF(E790="CHECK","; Job number not in the Xero job list","")&amp;IF(AND($C790&lt;&gt;"",COUNTIF($C$7:$C$1506,$C790)&gt;1),"; Job number on more than one row","")&amp;IF(AND($C790&lt;&gt;"",H790=""),"; Dept has not set a cost centre","")&amp;IF(AND($C790&lt;&gt;"",J790=""),"; Dept has not set a tax code","")&amp;IF(AND($C790&lt;&gt;"",N790=""),"; Dept has not entered an expected value","")&amp;IF((IF(OR(COUNTA(S790:U790)=0,AND(COUNTA(S790:U790)=3,ISNUMBER(U790))),0,1)+IF(OR(COUNTA(V790:X790)=0,AND(COUNTA(V790:X790)=3,ISNUMBER(X790))),0,1)+IF(OR(COUNTA(Y790:AA790)=0,AND(COUNTA(Y790:AA790)=3,ISNUMBER(AA790))),0,1)+IF(OR(COUNTA(AB790:AD790)=0,AND(COUNTA(AB790:AD790)=3,ISNUMBER(AD790))),0,1)+IF(OR(COUNTA(AE790:AG790)=0,AND(COUNTA(AE790:AG790)=3,ISNUMBER(AG790))),0,1)+IF(OR(COUNTA(AH790:AJ790)=0,AND(COUNTA(AH790:AJ790)=3,ISNUMBER(AJ790))),0,1)+IF(OR(COUNTA(AK790:AM790)=0,AND(COUNTA(AK790:AM790)=3,ISNUMBER(AM790))),0,1)+IF(OR(COUNTA(AN790:AP790)=0,AND(COUNTA(AN790:AP790)=3,ISNUMBER(AP790))),0,1)+IF(OR(COUNTA(AQ790:AS790)=0,AND(COUNTA(AQ790:AS790)=3,ISNUMBER(AS790))),0,1)+IF(OR(COUNTA(AT790:AV790)=0,AND(COUNTA(AT790:AV790)=3,ISNUMBER(AV790))),0,1)+IF(OR(COUNTA(AW790:AY790)=0,AND(COUNTA(AW790:AY790)=3,ISNUMBER(AY790))),0,1)+IF(OR(COUNTA(AZ790:BB790)=0,AND(COUNTA(AZ790:BB790)=3,ISNUMBER(BB790))),0,1))&gt;0,"; An invoice is incomplete (needs No, Date and a number in Ex GST)","")&amp;IF((IF(T790="",0,IFERROR(--(EOMONTH(T790,0)&lt;&gt;S$5),1))+IF(W790="",0,IFERROR(--(EOMONTH(W790,0)&lt;&gt;V$5),1))+IF(Z790="",0,IFERROR(--(EOMONTH(Z790,0)&lt;&gt;Y$5),1))+IF(AC790="",0,IFERROR(--(EOMONTH(AC790,0)&lt;&gt;AB$5),1))+IF(AF790="",0,IFERROR(--(EOMONTH(AF790,0)&lt;&gt;AE$5),1))+IF(AI790="",0,IFERROR(--(EOMONTH(AI790,0)&lt;&gt;AH$5),1))+IF(AL790="",0,IFERROR(--(EOMONTH(AL790,0)&lt;&gt;AK$5),1))+IF(AO790="",0,IFERROR(--(EOMONTH(AO790,0)&lt;&gt;AN$5),1))+IF(AR790="",0,IFERROR(--(EOMONTH(AR790,0)&lt;&gt;AQ$5),1))+IF(AU790="",0,IFERROR(--(EOMONTH(AU790,0)&lt;&gt;AT$5),1))+IF(AX790="",0,IFERROR(--(EOMONTH(AX790,0)&lt;&gt;AW$5),1))+IF(BA790="",0,IFERROR(--(EOMONTH(BA790,0)&lt;&gt;AZ$5),1)))&gt;0,"; An invoice date is not in the month it is typed under",""),3,500))</f>
        <v/>
      </c>
      <c r="S790" s="12" t="n"/>
      <c r="T790" s="13" t="n"/>
      <c r="U790" s="14" t="n"/>
      <c r="V790" s="12" t="n"/>
      <c r="W790" s="13" t="n"/>
      <c r="X790" s="14" t="n"/>
      <c r="Y790" s="12" t="n"/>
      <c r="Z790" s="13" t="n"/>
      <c r="AA790" s="14" t="n"/>
      <c r="AB790" s="12" t="n"/>
      <c r="AC790" s="13" t="n"/>
      <c r="AD790" s="14" t="n"/>
      <c r="AE790" s="12" t="n"/>
      <c r="AF790" s="13" t="n"/>
      <c r="AG790" s="14" t="n"/>
      <c r="AH790" s="12" t="n"/>
      <c r="AI790" s="13" t="n"/>
      <c r="AJ790" s="14" t="n"/>
      <c r="AK790" s="12" t="n"/>
      <c r="AL790" s="13" t="n"/>
      <c r="AM790" s="14" t="n"/>
      <c r="AN790" s="12" t="n"/>
      <c r="AO790" s="13" t="n"/>
      <c r="AP790" s="14" t="n"/>
      <c r="AQ790" s="12" t="n"/>
      <c r="AR790" s="13" t="n"/>
      <c r="AS790" s="14" t="n"/>
      <c r="AT790" s="12" t="n"/>
      <c r="AU790" s="13" t="n"/>
      <c r="AV790" s="14" t="n"/>
      <c r="AW790" s="12" t="n"/>
      <c r="AX790" s="13" t="n"/>
      <c r="AY790" s="14" t="n"/>
      <c r="AZ790" s="12" t="n"/>
      <c r="BA790" s="13" t="n"/>
      <c r="BB790" s="14" t="n"/>
      <c r="BC790" s="11">
        <f>IF(O790="","",IF(J790="GST 10%",ROUND(O790*set_GSTRate,2),0))</f>
        <v/>
      </c>
      <c r="BD790" s="11">
        <f>IF(O790="","",O790+BC790)</f>
        <v/>
      </c>
      <c r="BE790" s="15">
        <f>IF(O790="","",COUNTA(S790,V790,Y790,AB790,AE790,AH790,AK790,AN790,AQ790,AT790,AW790,AZ790))</f>
        <v/>
      </c>
      <c r="BF790" s="16">
        <f>IF(COUNT(T790,W790,Z790,AC790,AF790,AI790,AL790,AO790,AR790,AU790,AX790,BA790)=0,"",MAX(T790,W790,Z790,AC790,AF790,AI790,AL790,AO790,AR790,AU790,AX790,BA790))</f>
        <v/>
      </c>
      <c r="BG790" s="10">
        <f>MID(IF(S790="","",", "&amp;S790)&amp;IF(V790="","",", "&amp;V790)&amp;IF(Y790="","",", "&amp;Y790)&amp;IF(AB790="","",", "&amp;AB790)&amp;IF(AE790="","",", "&amp;AE790)&amp;IF(AH790="","",", "&amp;AH790)&amp;IF(AK790="","",", "&amp;AK790)&amp;IF(AN790="","",", "&amp;AN790)&amp;IF(AQ790="","",", "&amp;AQ790)&amp;IF(AT790="","",", "&amp;AT790)&amp;IF(AW790="","",", "&amp;AW790)&amp;IF(AZ790="","",", "&amp;AZ790),3,500)</f>
        <v/>
      </c>
      <c r="BH790" s="12" t="n"/>
      <c r="BI790" s="15">
        <f>IFERROR(MATCH($A790,IF($B790="Onsite",tbl_Onsite[Row ID],IF($B790="Production",tbl_Production[Row ID],tbl_Consulting[Row ID])),0),"")</f>
        <v/>
      </c>
    </row>
    <row r="791">
      <c r="A791" s="10" t="inlineStr">
        <is>
          <t>PRD-0285</t>
        </is>
      </c>
      <c r="B791" s="10" t="inlineStr">
        <is>
          <t>Production</t>
        </is>
      </c>
      <c r="C791" s="10">
        <f>IF($BI791="","",IF($B791="Onsite",INDEX(tbl_Onsite[Job Number],$BI791),IF($B791="Production",INDEX(tbl_Production[Job Number],$BI791),INDEX(tbl_Consulting[Job Number],$BI791)))&amp;"")</f>
        <v/>
      </c>
      <c r="D791" s="10">
        <f>IF($BI791="","",IF($B791="Onsite",INDEX(tbl_Onsite[Client],$BI791),IF($B791="Production",INDEX(tbl_Production[Client],$BI791),INDEX(tbl_Consulting[Client],$BI791)))&amp;"")</f>
        <v/>
      </c>
      <c r="E791" s="10">
        <f>IF($C791="","",IF(COUNTIF(lst_Jobs,$C791)&gt;0,"OK","CHECK"))</f>
        <v/>
      </c>
      <c r="F791" s="10">
        <f>IF($C791="","",IFERROR(INDEX(lst_JobName,MATCH($C791,lst_Jobs,0)),""))</f>
        <v/>
      </c>
      <c r="G791" s="10">
        <f>IF($BI791="","",IF($B791="Onsite",INDEX(tbl_Onsite[Job Description],$BI791),IF($B791="Production",INDEX(tbl_Production[Job Description],$BI791),INDEX(tbl_Consulting[Job Description],$BI791)))&amp;"")</f>
        <v/>
      </c>
      <c r="H791" s="10">
        <f>IF($BI791="","",IF($B791="Onsite",INDEX(tbl_Onsite[Cost Centre],$BI791),IF($B791="Production",INDEX(tbl_Production[Cost Centre],$BI791),INDEX(tbl_Consulting[Cost Centre],$BI791)))&amp;"")</f>
        <v/>
      </c>
      <c r="I791" s="10">
        <f>IF($BI791="","",IF($B791="Onsite",INDEX(tbl_Onsite[Invoice Type],$BI791),IF($B791="Production",INDEX(tbl_Production[Invoice Type],$BI791),INDEX(tbl_Consulting[Invoice Type],$BI791)))&amp;"")</f>
        <v/>
      </c>
      <c r="J791" s="10">
        <f>IF($BI791="","",IF($B791="Onsite",INDEX(tbl_Onsite[Tax Code],$BI791),IF($B791="Production",INDEX(tbl_Production[Tax Code],$BI791),INDEX(tbl_Consulting[Tax Code],$BI791)))&amp;"")</f>
        <v/>
      </c>
      <c r="K791" s="10">
        <f>IF(H791="","",IFERROR(INDEX(lst_CCtoGL,MATCH(H791,lst_CCforGL,0)),""))</f>
        <v/>
      </c>
      <c r="L791" s="10">
        <f>IF($BI791="","",IF($B791="Onsite",INDEX(tbl_Onsite[PO / Reference],$BI791),IF($B791="Production",INDEX(tbl_Production[Current RMS No],$BI791),INDEX(tbl_Consulting[Qwilr Quote],$BI791)))&amp;"")</f>
        <v/>
      </c>
      <c r="M791" s="10">
        <f>IF($BI791="","",IF($B791="Onsite",INDEX(tbl_Onsite[Notes],$BI791),IF($B791="Production",INDEX(tbl_Production[Notes],$BI791),INDEX(tbl_Consulting[Notes],$BI791)))&amp;"")</f>
        <v/>
      </c>
      <c r="N791" s="11">
        <f>IF($BI791="","",IF(IF($B791="Onsite",INDEX(tbl_Onsite[Expected Revenue Ex GST],$BI791),IF($B791="Production",INDEX(tbl_Production[Expected Revenue Ex GST],$BI791),INDEX(tbl_Consulting[Expected Revenue Ex GST],$BI791)))="","",IF($B791="Onsite",INDEX(tbl_Onsite[Expected Revenue Ex GST],$BI791),IF($B791="Production",INDEX(tbl_Production[Expected Revenue Ex GST],$BI791),INDEX(tbl_Consulting[Expected Revenue Ex GST],$BI791)))))</f>
        <v/>
      </c>
      <c r="O791" s="11">
        <f>IF(AND($C791="",NOT(COUNTA($S791:$BB791)&gt;0)),"",SUM(U791,X791,AA791,AD791,AG791,AJ791,AM791,AP791,AS791,AV791,AY791,BB791))</f>
        <v/>
      </c>
      <c r="P791" s="11">
        <f>IF(O791="","",N(N791)-O791)</f>
        <v/>
      </c>
      <c r="Q791" s="10">
        <f>IF(O791="","",IF($C791="","Invoice on empty job row",IF(N791="",IF(ROUND(O791,2)=0,"No dept value","Invoiced - no dept value"),IF(ROUND(O791,2)=0,"Not invoiced - to invoice",IF(ROUND(P791,2)=0,"Agrees",IF(P791&gt;0,"Dept higher - to invoice","Xero higher - check dept"))))))</f>
        <v/>
      </c>
      <c r="R791" s="10">
        <f>IF(AND($C791="",NOT(COUNTA($S791:$BB791)&gt;0),$BI791&lt;&gt;""),"",MID(IF($BI791="","; Row ID not found on the department sheet - a row was deleted","")&amp;IF(AND($C791="",COUNTA($S791:$BB791)&gt;0),"; Invoice entered but the department row has no job number","")&amp;IF(E791="CHECK","; Job number not in the Xero job list","")&amp;IF(AND($C791&lt;&gt;"",COUNTIF($C$7:$C$1506,$C791)&gt;1),"; Job number on more than one row","")&amp;IF(AND($C791&lt;&gt;"",H791=""),"; Dept has not set a cost centre","")&amp;IF(AND($C791&lt;&gt;"",J791=""),"; Dept has not set a tax code","")&amp;IF(AND($C791&lt;&gt;"",N791=""),"; Dept has not entered an expected value","")&amp;IF((IF(OR(COUNTA(S791:U791)=0,AND(COUNTA(S791:U791)=3,ISNUMBER(U791))),0,1)+IF(OR(COUNTA(V791:X791)=0,AND(COUNTA(V791:X791)=3,ISNUMBER(X791))),0,1)+IF(OR(COUNTA(Y791:AA791)=0,AND(COUNTA(Y791:AA791)=3,ISNUMBER(AA791))),0,1)+IF(OR(COUNTA(AB791:AD791)=0,AND(COUNTA(AB791:AD791)=3,ISNUMBER(AD791))),0,1)+IF(OR(COUNTA(AE791:AG791)=0,AND(COUNTA(AE791:AG791)=3,ISNUMBER(AG791))),0,1)+IF(OR(COUNTA(AH791:AJ791)=0,AND(COUNTA(AH791:AJ791)=3,ISNUMBER(AJ791))),0,1)+IF(OR(COUNTA(AK791:AM791)=0,AND(COUNTA(AK791:AM791)=3,ISNUMBER(AM791))),0,1)+IF(OR(COUNTA(AN791:AP791)=0,AND(COUNTA(AN791:AP791)=3,ISNUMBER(AP791))),0,1)+IF(OR(COUNTA(AQ791:AS791)=0,AND(COUNTA(AQ791:AS791)=3,ISNUMBER(AS791))),0,1)+IF(OR(COUNTA(AT791:AV791)=0,AND(COUNTA(AT791:AV791)=3,ISNUMBER(AV791))),0,1)+IF(OR(COUNTA(AW791:AY791)=0,AND(COUNTA(AW791:AY791)=3,ISNUMBER(AY791))),0,1)+IF(OR(COUNTA(AZ791:BB791)=0,AND(COUNTA(AZ791:BB791)=3,ISNUMBER(BB791))),0,1))&gt;0,"; An invoice is incomplete (needs No, Date and a number in Ex GST)","")&amp;IF((IF(T791="",0,IFERROR(--(EOMONTH(T791,0)&lt;&gt;S$5),1))+IF(W791="",0,IFERROR(--(EOMONTH(W791,0)&lt;&gt;V$5),1))+IF(Z791="",0,IFERROR(--(EOMONTH(Z791,0)&lt;&gt;Y$5),1))+IF(AC791="",0,IFERROR(--(EOMONTH(AC791,0)&lt;&gt;AB$5),1))+IF(AF791="",0,IFERROR(--(EOMONTH(AF791,0)&lt;&gt;AE$5),1))+IF(AI791="",0,IFERROR(--(EOMONTH(AI791,0)&lt;&gt;AH$5),1))+IF(AL791="",0,IFERROR(--(EOMONTH(AL791,0)&lt;&gt;AK$5),1))+IF(AO791="",0,IFERROR(--(EOMONTH(AO791,0)&lt;&gt;AN$5),1))+IF(AR791="",0,IFERROR(--(EOMONTH(AR791,0)&lt;&gt;AQ$5),1))+IF(AU791="",0,IFERROR(--(EOMONTH(AU791,0)&lt;&gt;AT$5),1))+IF(AX791="",0,IFERROR(--(EOMONTH(AX791,0)&lt;&gt;AW$5),1))+IF(BA791="",0,IFERROR(--(EOMONTH(BA791,0)&lt;&gt;AZ$5),1)))&gt;0,"; An invoice date is not in the month it is typed under",""),3,500))</f>
        <v/>
      </c>
      <c r="S791" s="12" t="n"/>
      <c r="T791" s="13" t="n"/>
      <c r="U791" s="14" t="n"/>
      <c r="V791" s="12" t="n"/>
      <c r="W791" s="13" t="n"/>
      <c r="X791" s="14" t="n"/>
      <c r="Y791" s="12" t="n"/>
      <c r="Z791" s="13" t="n"/>
      <c r="AA791" s="14" t="n"/>
      <c r="AB791" s="12" t="n"/>
      <c r="AC791" s="13" t="n"/>
      <c r="AD791" s="14" t="n"/>
      <c r="AE791" s="12" t="n"/>
      <c r="AF791" s="13" t="n"/>
      <c r="AG791" s="14" t="n"/>
      <c r="AH791" s="12" t="n"/>
      <c r="AI791" s="13" t="n"/>
      <c r="AJ791" s="14" t="n"/>
      <c r="AK791" s="12" t="n"/>
      <c r="AL791" s="13" t="n"/>
      <c r="AM791" s="14" t="n"/>
      <c r="AN791" s="12" t="n"/>
      <c r="AO791" s="13" t="n"/>
      <c r="AP791" s="14" t="n"/>
      <c r="AQ791" s="12" t="n"/>
      <c r="AR791" s="13" t="n"/>
      <c r="AS791" s="14" t="n"/>
      <c r="AT791" s="12" t="n"/>
      <c r="AU791" s="13" t="n"/>
      <c r="AV791" s="14" t="n"/>
      <c r="AW791" s="12" t="n"/>
      <c r="AX791" s="13" t="n"/>
      <c r="AY791" s="14" t="n"/>
      <c r="AZ791" s="12" t="n"/>
      <c r="BA791" s="13" t="n"/>
      <c r="BB791" s="14" t="n"/>
      <c r="BC791" s="11">
        <f>IF(O791="","",IF(J791="GST 10%",ROUND(O791*set_GSTRate,2),0))</f>
        <v/>
      </c>
      <c r="BD791" s="11">
        <f>IF(O791="","",O791+BC791)</f>
        <v/>
      </c>
      <c r="BE791" s="15">
        <f>IF(O791="","",COUNTA(S791,V791,Y791,AB791,AE791,AH791,AK791,AN791,AQ791,AT791,AW791,AZ791))</f>
        <v/>
      </c>
      <c r="BF791" s="16">
        <f>IF(COUNT(T791,W791,Z791,AC791,AF791,AI791,AL791,AO791,AR791,AU791,AX791,BA791)=0,"",MAX(T791,W791,Z791,AC791,AF791,AI791,AL791,AO791,AR791,AU791,AX791,BA791))</f>
        <v/>
      </c>
      <c r="BG791" s="10">
        <f>MID(IF(S791="","",", "&amp;S791)&amp;IF(V791="","",", "&amp;V791)&amp;IF(Y791="","",", "&amp;Y791)&amp;IF(AB791="","",", "&amp;AB791)&amp;IF(AE791="","",", "&amp;AE791)&amp;IF(AH791="","",", "&amp;AH791)&amp;IF(AK791="","",", "&amp;AK791)&amp;IF(AN791="","",", "&amp;AN791)&amp;IF(AQ791="","",", "&amp;AQ791)&amp;IF(AT791="","",", "&amp;AT791)&amp;IF(AW791="","",", "&amp;AW791)&amp;IF(AZ791="","",", "&amp;AZ791),3,500)</f>
        <v/>
      </c>
      <c r="BH791" s="12" t="n"/>
      <c r="BI791" s="15">
        <f>IFERROR(MATCH($A791,IF($B791="Onsite",tbl_Onsite[Row ID],IF($B791="Production",tbl_Production[Row ID],tbl_Consulting[Row ID])),0),"")</f>
        <v/>
      </c>
    </row>
    <row r="792">
      <c r="A792" s="10" t="inlineStr">
        <is>
          <t>PRD-0286</t>
        </is>
      </c>
      <c r="B792" s="10" t="inlineStr">
        <is>
          <t>Production</t>
        </is>
      </c>
      <c r="C792" s="10">
        <f>IF($BI792="","",IF($B792="Onsite",INDEX(tbl_Onsite[Job Number],$BI792),IF($B792="Production",INDEX(tbl_Production[Job Number],$BI792),INDEX(tbl_Consulting[Job Number],$BI792)))&amp;"")</f>
        <v/>
      </c>
      <c r="D792" s="10">
        <f>IF($BI792="","",IF($B792="Onsite",INDEX(tbl_Onsite[Client],$BI792),IF($B792="Production",INDEX(tbl_Production[Client],$BI792),INDEX(tbl_Consulting[Client],$BI792)))&amp;"")</f>
        <v/>
      </c>
      <c r="E792" s="10">
        <f>IF($C792="","",IF(COUNTIF(lst_Jobs,$C792)&gt;0,"OK","CHECK"))</f>
        <v/>
      </c>
      <c r="F792" s="10">
        <f>IF($C792="","",IFERROR(INDEX(lst_JobName,MATCH($C792,lst_Jobs,0)),""))</f>
        <v/>
      </c>
      <c r="G792" s="10">
        <f>IF($BI792="","",IF($B792="Onsite",INDEX(tbl_Onsite[Job Description],$BI792),IF($B792="Production",INDEX(tbl_Production[Job Description],$BI792),INDEX(tbl_Consulting[Job Description],$BI792)))&amp;"")</f>
        <v/>
      </c>
      <c r="H792" s="10">
        <f>IF($BI792="","",IF($B792="Onsite",INDEX(tbl_Onsite[Cost Centre],$BI792),IF($B792="Production",INDEX(tbl_Production[Cost Centre],$BI792),INDEX(tbl_Consulting[Cost Centre],$BI792)))&amp;"")</f>
        <v/>
      </c>
      <c r="I792" s="10">
        <f>IF($BI792="","",IF($B792="Onsite",INDEX(tbl_Onsite[Invoice Type],$BI792),IF($B792="Production",INDEX(tbl_Production[Invoice Type],$BI792),INDEX(tbl_Consulting[Invoice Type],$BI792)))&amp;"")</f>
        <v/>
      </c>
      <c r="J792" s="10">
        <f>IF($BI792="","",IF($B792="Onsite",INDEX(tbl_Onsite[Tax Code],$BI792),IF($B792="Production",INDEX(tbl_Production[Tax Code],$BI792),INDEX(tbl_Consulting[Tax Code],$BI792)))&amp;"")</f>
        <v/>
      </c>
      <c r="K792" s="10">
        <f>IF(H792="","",IFERROR(INDEX(lst_CCtoGL,MATCH(H792,lst_CCforGL,0)),""))</f>
        <v/>
      </c>
      <c r="L792" s="10">
        <f>IF($BI792="","",IF($B792="Onsite",INDEX(tbl_Onsite[PO / Reference],$BI792),IF($B792="Production",INDEX(tbl_Production[Current RMS No],$BI792),INDEX(tbl_Consulting[Qwilr Quote],$BI792)))&amp;"")</f>
        <v/>
      </c>
      <c r="M792" s="10">
        <f>IF($BI792="","",IF($B792="Onsite",INDEX(tbl_Onsite[Notes],$BI792),IF($B792="Production",INDEX(tbl_Production[Notes],$BI792),INDEX(tbl_Consulting[Notes],$BI792)))&amp;"")</f>
        <v/>
      </c>
      <c r="N792" s="11">
        <f>IF($BI792="","",IF(IF($B792="Onsite",INDEX(tbl_Onsite[Expected Revenue Ex GST],$BI792),IF($B792="Production",INDEX(tbl_Production[Expected Revenue Ex GST],$BI792),INDEX(tbl_Consulting[Expected Revenue Ex GST],$BI792)))="","",IF($B792="Onsite",INDEX(tbl_Onsite[Expected Revenue Ex GST],$BI792),IF($B792="Production",INDEX(tbl_Production[Expected Revenue Ex GST],$BI792),INDEX(tbl_Consulting[Expected Revenue Ex GST],$BI792)))))</f>
        <v/>
      </c>
      <c r="O792" s="11">
        <f>IF(AND($C792="",NOT(COUNTA($S792:$BB792)&gt;0)),"",SUM(U792,X792,AA792,AD792,AG792,AJ792,AM792,AP792,AS792,AV792,AY792,BB792))</f>
        <v/>
      </c>
      <c r="P792" s="11">
        <f>IF(O792="","",N(N792)-O792)</f>
        <v/>
      </c>
      <c r="Q792" s="10">
        <f>IF(O792="","",IF($C792="","Invoice on empty job row",IF(N792="",IF(ROUND(O792,2)=0,"No dept value","Invoiced - no dept value"),IF(ROUND(O792,2)=0,"Not invoiced - to invoice",IF(ROUND(P792,2)=0,"Agrees",IF(P792&gt;0,"Dept higher - to invoice","Xero higher - check dept"))))))</f>
        <v/>
      </c>
      <c r="R792" s="10">
        <f>IF(AND($C792="",NOT(COUNTA($S792:$BB792)&gt;0),$BI792&lt;&gt;""),"",MID(IF($BI792="","; Row ID not found on the department sheet - a row was deleted","")&amp;IF(AND($C792="",COUNTA($S792:$BB792)&gt;0),"; Invoice entered but the department row has no job number","")&amp;IF(E792="CHECK","; Job number not in the Xero job list","")&amp;IF(AND($C792&lt;&gt;"",COUNTIF($C$7:$C$1506,$C792)&gt;1),"; Job number on more than one row","")&amp;IF(AND($C792&lt;&gt;"",H792=""),"; Dept has not set a cost centre","")&amp;IF(AND($C792&lt;&gt;"",J792=""),"; Dept has not set a tax code","")&amp;IF(AND($C792&lt;&gt;"",N792=""),"; Dept has not entered an expected value","")&amp;IF((IF(OR(COUNTA(S792:U792)=0,AND(COUNTA(S792:U792)=3,ISNUMBER(U792))),0,1)+IF(OR(COUNTA(V792:X792)=0,AND(COUNTA(V792:X792)=3,ISNUMBER(X792))),0,1)+IF(OR(COUNTA(Y792:AA792)=0,AND(COUNTA(Y792:AA792)=3,ISNUMBER(AA792))),0,1)+IF(OR(COUNTA(AB792:AD792)=0,AND(COUNTA(AB792:AD792)=3,ISNUMBER(AD792))),0,1)+IF(OR(COUNTA(AE792:AG792)=0,AND(COUNTA(AE792:AG792)=3,ISNUMBER(AG792))),0,1)+IF(OR(COUNTA(AH792:AJ792)=0,AND(COUNTA(AH792:AJ792)=3,ISNUMBER(AJ792))),0,1)+IF(OR(COUNTA(AK792:AM792)=0,AND(COUNTA(AK792:AM792)=3,ISNUMBER(AM792))),0,1)+IF(OR(COUNTA(AN792:AP792)=0,AND(COUNTA(AN792:AP792)=3,ISNUMBER(AP792))),0,1)+IF(OR(COUNTA(AQ792:AS792)=0,AND(COUNTA(AQ792:AS792)=3,ISNUMBER(AS792))),0,1)+IF(OR(COUNTA(AT792:AV792)=0,AND(COUNTA(AT792:AV792)=3,ISNUMBER(AV792))),0,1)+IF(OR(COUNTA(AW792:AY792)=0,AND(COUNTA(AW792:AY792)=3,ISNUMBER(AY792))),0,1)+IF(OR(COUNTA(AZ792:BB792)=0,AND(COUNTA(AZ792:BB792)=3,ISNUMBER(BB792))),0,1))&gt;0,"; An invoice is incomplete (needs No, Date and a number in Ex GST)","")&amp;IF((IF(T792="",0,IFERROR(--(EOMONTH(T792,0)&lt;&gt;S$5),1))+IF(W792="",0,IFERROR(--(EOMONTH(W792,0)&lt;&gt;V$5),1))+IF(Z792="",0,IFERROR(--(EOMONTH(Z792,0)&lt;&gt;Y$5),1))+IF(AC792="",0,IFERROR(--(EOMONTH(AC792,0)&lt;&gt;AB$5),1))+IF(AF792="",0,IFERROR(--(EOMONTH(AF792,0)&lt;&gt;AE$5),1))+IF(AI792="",0,IFERROR(--(EOMONTH(AI792,0)&lt;&gt;AH$5),1))+IF(AL792="",0,IFERROR(--(EOMONTH(AL792,0)&lt;&gt;AK$5),1))+IF(AO792="",0,IFERROR(--(EOMONTH(AO792,0)&lt;&gt;AN$5),1))+IF(AR792="",0,IFERROR(--(EOMONTH(AR792,0)&lt;&gt;AQ$5),1))+IF(AU792="",0,IFERROR(--(EOMONTH(AU792,0)&lt;&gt;AT$5),1))+IF(AX792="",0,IFERROR(--(EOMONTH(AX792,0)&lt;&gt;AW$5),1))+IF(BA792="",0,IFERROR(--(EOMONTH(BA792,0)&lt;&gt;AZ$5),1)))&gt;0,"; An invoice date is not in the month it is typed under",""),3,500))</f>
        <v/>
      </c>
      <c r="S792" s="12" t="n"/>
      <c r="T792" s="13" t="n"/>
      <c r="U792" s="14" t="n"/>
      <c r="V792" s="12" t="n"/>
      <c r="W792" s="13" t="n"/>
      <c r="X792" s="14" t="n"/>
      <c r="Y792" s="12" t="n"/>
      <c r="Z792" s="13" t="n"/>
      <c r="AA792" s="14" t="n"/>
      <c r="AB792" s="12" t="n"/>
      <c r="AC792" s="13" t="n"/>
      <c r="AD792" s="14" t="n"/>
      <c r="AE792" s="12" t="n"/>
      <c r="AF792" s="13" t="n"/>
      <c r="AG792" s="14" t="n"/>
      <c r="AH792" s="12" t="n"/>
      <c r="AI792" s="13" t="n"/>
      <c r="AJ792" s="14" t="n"/>
      <c r="AK792" s="12" t="n"/>
      <c r="AL792" s="13" t="n"/>
      <c r="AM792" s="14" t="n"/>
      <c r="AN792" s="12" t="n"/>
      <c r="AO792" s="13" t="n"/>
      <c r="AP792" s="14" t="n"/>
      <c r="AQ792" s="12" t="n"/>
      <c r="AR792" s="13" t="n"/>
      <c r="AS792" s="14" t="n"/>
      <c r="AT792" s="12" t="n"/>
      <c r="AU792" s="13" t="n"/>
      <c r="AV792" s="14" t="n"/>
      <c r="AW792" s="12" t="n"/>
      <c r="AX792" s="13" t="n"/>
      <c r="AY792" s="14" t="n"/>
      <c r="AZ792" s="12" t="n"/>
      <c r="BA792" s="13" t="n"/>
      <c r="BB792" s="14" t="n"/>
      <c r="BC792" s="11">
        <f>IF(O792="","",IF(J792="GST 10%",ROUND(O792*set_GSTRate,2),0))</f>
        <v/>
      </c>
      <c r="BD792" s="11">
        <f>IF(O792="","",O792+BC792)</f>
        <v/>
      </c>
      <c r="BE792" s="15">
        <f>IF(O792="","",COUNTA(S792,V792,Y792,AB792,AE792,AH792,AK792,AN792,AQ792,AT792,AW792,AZ792))</f>
        <v/>
      </c>
      <c r="BF792" s="16">
        <f>IF(COUNT(T792,W792,Z792,AC792,AF792,AI792,AL792,AO792,AR792,AU792,AX792,BA792)=0,"",MAX(T792,W792,Z792,AC792,AF792,AI792,AL792,AO792,AR792,AU792,AX792,BA792))</f>
        <v/>
      </c>
      <c r="BG792" s="10">
        <f>MID(IF(S792="","",", "&amp;S792)&amp;IF(V792="","",", "&amp;V792)&amp;IF(Y792="","",", "&amp;Y792)&amp;IF(AB792="","",", "&amp;AB792)&amp;IF(AE792="","",", "&amp;AE792)&amp;IF(AH792="","",", "&amp;AH792)&amp;IF(AK792="","",", "&amp;AK792)&amp;IF(AN792="","",", "&amp;AN792)&amp;IF(AQ792="","",", "&amp;AQ792)&amp;IF(AT792="","",", "&amp;AT792)&amp;IF(AW792="","",", "&amp;AW792)&amp;IF(AZ792="","",", "&amp;AZ792),3,500)</f>
        <v/>
      </c>
      <c r="BH792" s="12" t="n"/>
      <c r="BI792" s="15">
        <f>IFERROR(MATCH($A792,IF($B792="Onsite",tbl_Onsite[Row ID],IF($B792="Production",tbl_Production[Row ID],tbl_Consulting[Row ID])),0),"")</f>
        <v/>
      </c>
    </row>
    <row r="793">
      <c r="A793" s="10" t="inlineStr">
        <is>
          <t>PRD-0287</t>
        </is>
      </c>
      <c r="B793" s="10" t="inlineStr">
        <is>
          <t>Production</t>
        </is>
      </c>
      <c r="C793" s="10">
        <f>IF($BI793="","",IF($B793="Onsite",INDEX(tbl_Onsite[Job Number],$BI793),IF($B793="Production",INDEX(tbl_Production[Job Number],$BI793),INDEX(tbl_Consulting[Job Number],$BI793)))&amp;"")</f>
        <v/>
      </c>
      <c r="D793" s="10">
        <f>IF($BI793="","",IF($B793="Onsite",INDEX(tbl_Onsite[Client],$BI793),IF($B793="Production",INDEX(tbl_Production[Client],$BI793),INDEX(tbl_Consulting[Client],$BI793)))&amp;"")</f>
        <v/>
      </c>
      <c r="E793" s="10">
        <f>IF($C793="","",IF(COUNTIF(lst_Jobs,$C793)&gt;0,"OK","CHECK"))</f>
        <v/>
      </c>
      <c r="F793" s="10">
        <f>IF($C793="","",IFERROR(INDEX(lst_JobName,MATCH($C793,lst_Jobs,0)),""))</f>
        <v/>
      </c>
      <c r="G793" s="10">
        <f>IF($BI793="","",IF($B793="Onsite",INDEX(tbl_Onsite[Job Description],$BI793),IF($B793="Production",INDEX(tbl_Production[Job Description],$BI793),INDEX(tbl_Consulting[Job Description],$BI793)))&amp;"")</f>
        <v/>
      </c>
      <c r="H793" s="10">
        <f>IF($BI793="","",IF($B793="Onsite",INDEX(tbl_Onsite[Cost Centre],$BI793),IF($B793="Production",INDEX(tbl_Production[Cost Centre],$BI793),INDEX(tbl_Consulting[Cost Centre],$BI793)))&amp;"")</f>
        <v/>
      </c>
      <c r="I793" s="10">
        <f>IF($BI793="","",IF($B793="Onsite",INDEX(tbl_Onsite[Invoice Type],$BI793),IF($B793="Production",INDEX(tbl_Production[Invoice Type],$BI793),INDEX(tbl_Consulting[Invoice Type],$BI793)))&amp;"")</f>
        <v/>
      </c>
      <c r="J793" s="10">
        <f>IF($BI793="","",IF($B793="Onsite",INDEX(tbl_Onsite[Tax Code],$BI793),IF($B793="Production",INDEX(tbl_Production[Tax Code],$BI793),INDEX(tbl_Consulting[Tax Code],$BI793)))&amp;"")</f>
        <v/>
      </c>
      <c r="K793" s="10">
        <f>IF(H793="","",IFERROR(INDEX(lst_CCtoGL,MATCH(H793,lst_CCforGL,0)),""))</f>
        <v/>
      </c>
      <c r="L793" s="10">
        <f>IF($BI793="","",IF($B793="Onsite",INDEX(tbl_Onsite[PO / Reference],$BI793),IF($B793="Production",INDEX(tbl_Production[Current RMS No],$BI793),INDEX(tbl_Consulting[Qwilr Quote],$BI793)))&amp;"")</f>
        <v/>
      </c>
      <c r="M793" s="10">
        <f>IF($BI793="","",IF($B793="Onsite",INDEX(tbl_Onsite[Notes],$BI793),IF($B793="Production",INDEX(tbl_Production[Notes],$BI793),INDEX(tbl_Consulting[Notes],$BI793)))&amp;"")</f>
        <v/>
      </c>
      <c r="N793" s="11">
        <f>IF($BI793="","",IF(IF($B793="Onsite",INDEX(tbl_Onsite[Expected Revenue Ex GST],$BI793),IF($B793="Production",INDEX(tbl_Production[Expected Revenue Ex GST],$BI793),INDEX(tbl_Consulting[Expected Revenue Ex GST],$BI793)))="","",IF($B793="Onsite",INDEX(tbl_Onsite[Expected Revenue Ex GST],$BI793),IF($B793="Production",INDEX(tbl_Production[Expected Revenue Ex GST],$BI793),INDEX(tbl_Consulting[Expected Revenue Ex GST],$BI793)))))</f>
        <v/>
      </c>
      <c r="O793" s="11">
        <f>IF(AND($C793="",NOT(COUNTA($S793:$BB793)&gt;0)),"",SUM(U793,X793,AA793,AD793,AG793,AJ793,AM793,AP793,AS793,AV793,AY793,BB793))</f>
        <v/>
      </c>
      <c r="P793" s="11">
        <f>IF(O793="","",N(N793)-O793)</f>
        <v/>
      </c>
      <c r="Q793" s="10">
        <f>IF(O793="","",IF($C793="","Invoice on empty job row",IF(N793="",IF(ROUND(O793,2)=0,"No dept value","Invoiced - no dept value"),IF(ROUND(O793,2)=0,"Not invoiced - to invoice",IF(ROUND(P793,2)=0,"Agrees",IF(P793&gt;0,"Dept higher - to invoice","Xero higher - check dept"))))))</f>
        <v/>
      </c>
      <c r="R793" s="10">
        <f>IF(AND($C793="",NOT(COUNTA($S793:$BB793)&gt;0),$BI793&lt;&gt;""),"",MID(IF($BI793="","; Row ID not found on the department sheet - a row was deleted","")&amp;IF(AND($C793="",COUNTA($S793:$BB793)&gt;0),"; Invoice entered but the department row has no job number","")&amp;IF(E793="CHECK","; Job number not in the Xero job list","")&amp;IF(AND($C793&lt;&gt;"",COUNTIF($C$7:$C$1506,$C793)&gt;1),"; Job number on more than one row","")&amp;IF(AND($C793&lt;&gt;"",H793=""),"; Dept has not set a cost centre","")&amp;IF(AND($C793&lt;&gt;"",J793=""),"; Dept has not set a tax code","")&amp;IF(AND($C793&lt;&gt;"",N793=""),"; Dept has not entered an expected value","")&amp;IF((IF(OR(COUNTA(S793:U793)=0,AND(COUNTA(S793:U793)=3,ISNUMBER(U793))),0,1)+IF(OR(COUNTA(V793:X793)=0,AND(COUNTA(V793:X793)=3,ISNUMBER(X793))),0,1)+IF(OR(COUNTA(Y793:AA793)=0,AND(COUNTA(Y793:AA793)=3,ISNUMBER(AA793))),0,1)+IF(OR(COUNTA(AB793:AD793)=0,AND(COUNTA(AB793:AD793)=3,ISNUMBER(AD793))),0,1)+IF(OR(COUNTA(AE793:AG793)=0,AND(COUNTA(AE793:AG793)=3,ISNUMBER(AG793))),0,1)+IF(OR(COUNTA(AH793:AJ793)=0,AND(COUNTA(AH793:AJ793)=3,ISNUMBER(AJ793))),0,1)+IF(OR(COUNTA(AK793:AM793)=0,AND(COUNTA(AK793:AM793)=3,ISNUMBER(AM793))),0,1)+IF(OR(COUNTA(AN793:AP793)=0,AND(COUNTA(AN793:AP793)=3,ISNUMBER(AP793))),0,1)+IF(OR(COUNTA(AQ793:AS793)=0,AND(COUNTA(AQ793:AS793)=3,ISNUMBER(AS793))),0,1)+IF(OR(COUNTA(AT793:AV793)=0,AND(COUNTA(AT793:AV793)=3,ISNUMBER(AV793))),0,1)+IF(OR(COUNTA(AW793:AY793)=0,AND(COUNTA(AW793:AY793)=3,ISNUMBER(AY793))),0,1)+IF(OR(COUNTA(AZ793:BB793)=0,AND(COUNTA(AZ793:BB793)=3,ISNUMBER(BB793))),0,1))&gt;0,"; An invoice is incomplete (needs No, Date and a number in Ex GST)","")&amp;IF((IF(T793="",0,IFERROR(--(EOMONTH(T793,0)&lt;&gt;S$5),1))+IF(W793="",0,IFERROR(--(EOMONTH(W793,0)&lt;&gt;V$5),1))+IF(Z793="",0,IFERROR(--(EOMONTH(Z793,0)&lt;&gt;Y$5),1))+IF(AC793="",0,IFERROR(--(EOMONTH(AC793,0)&lt;&gt;AB$5),1))+IF(AF793="",0,IFERROR(--(EOMONTH(AF793,0)&lt;&gt;AE$5),1))+IF(AI793="",0,IFERROR(--(EOMONTH(AI793,0)&lt;&gt;AH$5),1))+IF(AL793="",0,IFERROR(--(EOMONTH(AL793,0)&lt;&gt;AK$5),1))+IF(AO793="",0,IFERROR(--(EOMONTH(AO793,0)&lt;&gt;AN$5),1))+IF(AR793="",0,IFERROR(--(EOMONTH(AR793,0)&lt;&gt;AQ$5),1))+IF(AU793="",0,IFERROR(--(EOMONTH(AU793,0)&lt;&gt;AT$5),1))+IF(AX793="",0,IFERROR(--(EOMONTH(AX793,0)&lt;&gt;AW$5),1))+IF(BA793="",0,IFERROR(--(EOMONTH(BA793,0)&lt;&gt;AZ$5),1)))&gt;0,"; An invoice date is not in the month it is typed under",""),3,500))</f>
        <v/>
      </c>
      <c r="S793" s="12" t="n"/>
      <c r="T793" s="13" t="n"/>
      <c r="U793" s="14" t="n"/>
      <c r="V793" s="12" t="n"/>
      <c r="W793" s="13" t="n"/>
      <c r="X793" s="14" t="n"/>
      <c r="Y793" s="12" t="n"/>
      <c r="Z793" s="13" t="n"/>
      <c r="AA793" s="14" t="n"/>
      <c r="AB793" s="12" t="n"/>
      <c r="AC793" s="13" t="n"/>
      <c r="AD793" s="14" t="n"/>
      <c r="AE793" s="12" t="n"/>
      <c r="AF793" s="13" t="n"/>
      <c r="AG793" s="14" t="n"/>
      <c r="AH793" s="12" t="n"/>
      <c r="AI793" s="13" t="n"/>
      <c r="AJ793" s="14" t="n"/>
      <c r="AK793" s="12" t="n"/>
      <c r="AL793" s="13" t="n"/>
      <c r="AM793" s="14" t="n"/>
      <c r="AN793" s="12" t="n"/>
      <c r="AO793" s="13" t="n"/>
      <c r="AP793" s="14" t="n"/>
      <c r="AQ793" s="12" t="n"/>
      <c r="AR793" s="13" t="n"/>
      <c r="AS793" s="14" t="n"/>
      <c r="AT793" s="12" t="n"/>
      <c r="AU793" s="13" t="n"/>
      <c r="AV793" s="14" t="n"/>
      <c r="AW793" s="12" t="n"/>
      <c r="AX793" s="13" t="n"/>
      <c r="AY793" s="14" t="n"/>
      <c r="AZ793" s="12" t="n"/>
      <c r="BA793" s="13" t="n"/>
      <c r="BB793" s="14" t="n"/>
      <c r="BC793" s="11">
        <f>IF(O793="","",IF(J793="GST 10%",ROUND(O793*set_GSTRate,2),0))</f>
        <v/>
      </c>
      <c r="BD793" s="11">
        <f>IF(O793="","",O793+BC793)</f>
        <v/>
      </c>
      <c r="BE793" s="15">
        <f>IF(O793="","",COUNTA(S793,V793,Y793,AB793,AE793,AH793,AK793,AN793,AQ793,AT793,AW793,AZ793))</f>
        <v/>
      </c>
      <c r="BF793" s="16">
        <f>IF(COUNT(T793,W793,Z793,AC793,AF793,AI793,AL793,AO793,AR793,AU793,AX793,BA793)=0,"",MAX(T793,W793,Z793,AC793,AF793,AI793,AL793,AO793,AR793,AU793,AX793,BA793))</f>
        <v/>
      </c>
      <c r="BG793" s="10">
        <f>MID(IF(S793="","",", "&amp;S793)&amp;IF(V793="","",", "&amp;V793)&amp;IF(Y793="","",", "&amp;Y793)&amp;IF(AB793="","",", "&amp;AB793)&amp;IF(AE793="","",", "&amp;AE793)&amp;IF(AH793="","",", "&amp;AH793)&amp;IF(AK793="","",", "&amp;AK793)&amp;IF(AN793="","",", "&amp;AN793)&amp;IF(AQ793="","",", "&amp;AQ793)&amp;IF(AT793="","",", "&amp;AT793)&amp;IF(AW793="","",", "&amp;AW793)&amp;IF(AZ793="","",", "&amp;AZ793),3,500)</f>
        <v/>
      </c>
      <c r="BH793" s="12" t="n"/>
      <c r="BI793" s="15">
        <f>IFERROR(MATCH($A793,IF($B793="Onsite",tbl_Onsite[Row ID],IF($B793="Production",tbl_Production[Row ID],tbl_Consulting[Row ID])),0),"")</f>
        <v/>
      </c>
    </row>
    <row r="794">
      <c r="A794" s="10" t="inlineStr">
        <is>
          <t>PRD-0288</t>
        </is>
      </c>
      <c r="B794" s="10" t="inlineStr">
        <is>
          <t>Production</t>
        </is>
      </c>
      <c r="C794" s="10">
        <f>IF($BI794="","",IF($B794="Onsite",INDEX(tbl_Onsite[Job Number],$BI794),IF($B794="Production",INDEX(tbl_Production[Job Number],$BI794),INDEX(tbl_Consulting[Job Number],$BI794)))&amp;"")</f>
        <v/>
      </c>
      <c r="D794" s="10">
        <f>IF($BI794="","",IF($B794="Onsite",INDEX(tbl_Onsite[Client],$BI794),IF($B794="Production",INDEX(tbl_Production[Client],$BI794),INDEX(tbl_Consulting[Client],$BI794)))&amp;"")</f>
        <v/>
      </c>
      <c r="E794" s="10">
        <f>IF($C794="","",IF(COUNTIF(lst_Jobs,$C794)&gt;0,"OK","CHECK"))</f>
        <v/>
      </c>
      <c r="F794" s="10">
        <f>IF($C794="","",IFERROR(INDEX(lst_JobName,MATCH($C794,lst_Jobs,0)),""))</f>
        <v/>
      </c>
      <c r="G794" s="10">
        <f>IF($BI794="","",IF($B794="Onsite",INDEX(tbl_Onsite[Job Description],$BI794),IF($B794="Production",INDEX(tbl_Production[Job Description],$BI794),INDEX(tbl_Consulting[Job Description],$BI794)))&amp;"")</f>
        <v/>
      </c>
      <c r="H794" s="10">
        <f>IF($BI794="","",IF($B794="Onsite",INDEX(tbl_Onsite[Cost Centre],$BI794),IF($B794="Production",INDEX(tbl_Production[Cost Centre],$BI794),INDEX(tbl_Consulting[Cost Centre],$BI794)))&amp;"")</f>
        <v/>
      </c>
      <c r="I794" s="10">
        <f>IF($BI794="","",IF($B794="Onsite",INDEX(tbl_Onsite[Invoice Type],$BI794),IF($B794="Production",INDEX(tbl_Production[Invoice Type],$BI794),INDEX(tbl_Consulting[Invoice Type],$BI794)))&amp;"")</f>
        <v/>
      </c>
      <c r="J794" s="10">
        <f>IF($BI794="","",IF($B794="Onsite",INDEX(tbl_Onsite[Tax Code],$BI794),IF($B794="Production",INDEX(tbl_Production[Tax Code],$BI794),INDEX(tbl_Consulting[Tax Code],$BI794)))&amp;"")</f>
        <v/>
      </c>
      <c r="K794" s="10">
        <f>IF(H794="","",IFERROR(INDEX(lst_CCtoGL,MATCH(H794,lst_CCforGL,0)),""))</f>
        <v/>
      </c>
      <c r="L794" s="10">
        <f>IF($BI794="","",IF($B794="Onsite",INDEX(tbl_Onsite[PO / Reference],$BI794),IF($B794="Production",INDEX(tbl_Production[Current RMS No],$BI794),INDEX(tbl_Consulting[Qwilr Quote],$BI794)))&amp;"")</f>
        <v/>
      </c>
      <c r="M794" s="10">
        <f>IF($BI794="","",IF($B794="Onsite",INDEX(tbl_Onsite[Notes],$BI794),IF($B794="Production",INDEX(tbl_Production[Notes],$BI794),INDEX(tbl_Consulting[Notes],$BI794)))&amp;"")</f>
        <v/>
      </c>
      <c r="N794" s="11">
        <f>IF($BI794="","",IF(IF($B794="Onsite",INDEX(tbl_Onsite[Expected Revenue Ex GST],$BI794),IF($B794="Production",INDEX(tbl_Production[Expected Revenue Ex GST],$BI794),INDEX(tbl_Consulting[Expected Revenue Ex GST],$BI794)))="","",IF($B794="Onsite",INDEX(tbl_Onsite[Expected Revenue Ex GST],$BI794),IF($B794="Production",INDEX(tbl_Production[Expected Revenue Ex GST],$BI794),INDEX(tbl_Consulting[Expected Revenue Ex GST],$BI794)))))</f>
        <v/>
      </c>
      <c r="O794" s="11">
        <f>IF(AND($C794="",NOT(COUNTA($S794:$BB794)&gt;0)),"",SUM(U794,X794,AA794,AD794,AG794,AJ794,AM794,AP794,AS794,AV794,AY794,BB794))</f>
        <v/>
      </c>
      <c r="P794" s="11">
        <f>IF(O794="","",N(N794)-O794)</f>
        <v/>
      </c>
      <c r="Q794" s="10">
        <f>IF(O794="","",IF($C794="","Invoice on empty job row",IF(N794="",IF(ROUND(O794,2)=0,"No dept value","Invoiced - no dept value"),IF(ROUND(O794,2)=0,"Not invoiced - to invoice",IF(ROUND(P794,2)=0,"Agrees",IF(P794&gt;0,"Dept higher - to invoice","Xero higher - check dept"))))))</f>
        <v/>
      </c>
      <c r="R794" s="10">
        <f>IF(AND($C794="",NOT(COUNTA($S794:$BB794)&gt;0),$BI794&lt;&gt;""),"",MID(IF($BI794="","; Row ID not found on the department sheet - a row was deleted","")&amp;IF(AND($C794="",COUNTA($S794:$BB794)&gt;0),"; Invoice entered but the department row has no job number","")&amp;IF(E794="CHECK","; Job number not in the Xero job list","")&amp;IF(AND($C794&lt;&gt;"",COUNTIF($C$7:$C$1506,$C794)&gt;1),"; Job number on more than one row","")&amp;IF(AND($C794&lt;&gt;"",H794=""),"; Dept has not set a cost centre","")&amp;IF(AND($C794&lt;&gt;"",J794=""),"; Dept has not set a tax code","")&amp;IF(AND($C794&lt;&gt;"",N794=""),"; Dept has not entered an expected value","")&amp;IF((IF(OR(COUNTA(S794:U794)=0,AND(COUNTA(S794:U794)=3,ISNUMBER(U794))),0,1)+IF(OR(COUNTA(V794:X794)=0,AND(COUNTA(V794:X794)=3,ISNUMBER(X794))),0,1)+IF(OR(COUNTA(Y794:AA794)=0,AND(COUNTA(Y794:AA794)=3,ISNUMBER(AA794))),0,1)+IF(OR(COUNTA(AB794:AD794)=0,AND(COUNTA(AB794:AD794)=3,ISNUMBER(AD794))),0,1)+IF(OR(COUNTA(AE794:AG794)=0,AND(COUNTA(AE794:AG794)=3,ISNUMBER(AG794))),0,1)+IF(OR(COUNTA(AH794:AJ794)=0,AND(COUNTA(AH794:AJ794)=3,ISNUMBER(AJ794))),0,1)+IF(OR(COUNTA(AK794:AM794)=0,AND(COUNTA(AK794:AM794)=3,ISNUMBER(AM794))),0,1)+IF(OR(COUNTA(AN794:AP794)=0,AND(COUNTA(AN794:AP794)=3,ISNUMBER(AP794))),0,1)+IF(OR(COUNTA(AQ794:AS794)=0,AND(COUNTA(AQ794:AS794)=3,ISNUMBER(AS794))),0,1)+IF(OR(COUNTA(AT794:AV794)=0,AND(COUNTA(AT794:AV794)=3,ISNUMBER(AV794))),0,1)+IF(OR(COUNTA(AW794:AY794)=0,AND(COUNTA(AW794:AY794)=3,ISNUMBER(AY794))),0,1)+IF(OR(COUNTA(AZ794:BB794)=0,AND(COUNTA(AZ794:BB794)=3,ISNUMBER(BB794))),0,1))&gt;0,"; An invoice is incomplete (needs No, Date and a number in Ex GST)","")&amp;IF((IF(T794="",0,IFERROR(--(EOMONTH(T794,0)&lt;&gt;S$5),1))+IF(W794="",0,IFERROR(--(EOMONTH(W794,0)&lt;&gt;V$5),1))+IF(Z794="",0,IFERROR(--(EOMONTH(Z794,0)&lt;&gt;Y$5),1))+IF(AC794="",0,IFERROR(--(EOMONTH(AC794,0)&lt;&gt;AB$5),1))+IF(AF794="",0,IFERROR(--(EOMONTH(AF794,0)&lt;&gt;AE$5),1))+IF(AI794="",0,IFERROR(--(EOMONTH(AI794,0)&lt;&gt;AH$5),1))+IF(AL794="",0,IFERROR(--(EOMONTH(AL794,0)&lt;&gt;AK$5),1))+IF(AO794="",0,IFERROR(--(EOMONTH(AO794,0)&lt;&gt;AN$5),1))+IF(AR794="",0,IFERROR(--(EOMONTH(AR794,0)&lt;&gt;AQ$5),1))+IF(AU794="",0,IFERROR(--(EOMONTH(AU794,0)&lt;&gt;AT$5),1))+IF(AX794="",0,IFERROR(--(EOMONTH(AX794,0)&lt;&gt;AW$5),1))+IF(BA794="",0,IFERROR(--(EOMONTH(BA794,0)&lt;&gt;AZ$5),1)))&gt;0,"; An invoice date is not in the month it is typed under",""),3,500))</f>
        <v/>
      </c>
      <c r="S794" s="12" t="n"/>
      <c r="T794" s="13" t="n"/>
      <c r="U794" s="14" t="n"/>
      <c r="V794" s="12" t="n"/>
      <c r="W794" s="13" t="n"/>
      <c r="X794" s="14" t="n"/>
      <c r="Y794" s="12" t="n"/>
      <c r="Z794" s="13" t="n"/>
      <c r="AA794" s="14" t="n"/>
      <c r="AB794" s="12" t="n"/>
      <c r="AC794" s="13" t="n"/>
      <c r="AD794" s="14" t="n"/>
      <c r="AE794" s="12" t="n"/>
      <c r="AF794" s="13" t="n"/>
      <c r="AG794" s="14" t="n"/>
      <c r="AH794" s="12" t="n"/>
      <c r="AI794" s="13" t="n"/>
      <c r="AJ794" s="14" t="n"/>
      <c r="AK794" s="12" t="n"/>
      <c r="AL794" s="13" t="n"/>
      <c r="AM794" s="14" t="n"/>
      <c r="AN794" s="12" t="n"/>
      <c r="AO794" s="13" t="n"/>
      <c r="AP794" s="14" t="n"/>
      <c r="AQ794" s="12" t="n"/>
      <c r="AR794" s="13" t="n"/>
      <c r="AS794" s="14" t="n"/>
      <c r="AT794" s="12" t="n"/>
      <c r="AU794" s="13" t="n"/>
      <c r="AV794" s="14" t="n"/>
      <c r="AW794" s="12" t="n"/>
      <c r="AX794" s="13" t="n"/>
      <c r="AY794" s="14" t="n"/>
      <c r="AZ794" s="12" t="n"/>
      <c r="BA794" s="13" t="n"/>
      <c r="BB794" s="14" t="n"/>
      <c r="BC794" s="11">
        <f>IF(O794="","",IF(J794="GST 10%",ROUND(O794*set_GSTRate,2),0))</f>
        <v/>
      </c>
      <c r="BD794" s="11">
        <f>IF(O794="","",O794+BC794)</f>
        <v/>
      </c>
      <c r="BE794" s="15">
        <f>IF(O794="","",COUNTA(S794,V794,Y794,AB794,AE794,AH794,AK794,AN794,AQ794,AT794,AW794,AZ794))</f>
        <v/>
      </c>
      <c r="BF794" s="16">
        <f>IF(COUNT(T794,W794,Z794,AC794,AF794,AI794,AL794,AO794,AR794,AU794,AX794,BA794)=0,"",MAX(T794,W794,Z794,AC794,AF794,AI794,AL794,AO794,AR794,AU794,AX794,BA794))</f>
        <v/>
      </c>
      <c r="BG794" s="10">
        <f>MID(IF(S794="","",", "&amp;S794)&amp;IF(V794="","",", "&amp;V794)&amp;IF(Y794="","",", "&amp;Y794)&amp;IF(AB794="","",", "&amp;AB794)&amp;IF(AE794="","",", "&amp;AE794)&amp;IF(AH794="","",", "&amp;AH794)&amp;IF(AK794="","",", "&amp;AK794)&amp;IF(AN794="","",", "&amp;AN794)&amp;IF(AQ794="","",", "&amp;AQ794)&amp;IF(AT794="","",", "&amp;AT794)&amp;IF(AW794="","",", "&amp;AW794)&amp;IF(AZ794="","",", "&amp;AZ794),3,500)</f>
        <v/>
      </c>
      <c r="BH794" s="12" t="n"/>
      <c r="BI794" s="15">
        <f>IFERROR(MATCH($A794,IF($B794="Onsite",tbl_Onsite[Row ID],IF($B794="Production",tbl_Production[Row ID],tbl_Consulting[Row ID])),0),"")</f>
        <v/>
      </c>
    </row>
    <row r="795">
      <c r="A795" s="10" t="inlineStr">
        <is>
          <t>PRD-0289</t>
        </is>
      </c>
      <c r="B795" s="10" t="inlineStr">
        <is>
          <t>Production</t>
        </is>
      </c>
      <c r="C795" s="10">
        <f>IF($BI795="","",IF($B795="Onsite",INDEX(tbl_Onsite[Job Number],$BI795),IF($B795="Production",INDEX(tbl_Production[Job Number],$BI795),INDEX(tbl_Consulting[Job Number],$BI795)))&amp;"")</f>
        <v/>
      </c>
      <c r="D795" s="10">
        <f>IF($BI795="","",IF($B795="Onsite",INDEX(tbl_Onsite[Client],$BI795),IF($B795="Production",INDEX(tbl_Production[Client],$BI795),INDEX(tbl_Consulting[Client],$BI795)))&amp;"")</f>
        <v/>
      </c>
      <c r="E795" s="10">
        <f>IF($C795="","",IF(COUNTIF(lst_Jobs,$C795)&gt;0,"OK","CHECK"))</f>
        <v/>
      </c>
      <c r="F795" s="10">
        <f>IF($C795="","",IFERROR(INDEX(lst_JobName,MATCH($C795,lst_Jobs,0)),""))</f>
        <v/>
      </c>
      <c r="G795" s="10">
        <f>IF($BI795="","",IF($B795="Onsite",INDEX(tbl_Onsite[Job Description],$BI795),IF($B795="Production",INDEX(tbl_Production[Job Description],$BI795),INDEX(tbl_Consulting[Job Description],$BI795)))&amp;"")</f>
        <v/>
      </c>
      <c r="H795" s="10">
        <f>IF($BI795="","",IF($B795="Onsite",INDEX(tbl_Onsite[Cost Centre],$BI795),IF($B795="Production",INDEX(tbl_Production[Cost Centre],$BI795),INDEX(tbl_Consulting[Cost Centre],$BI795)))&amp;"")</f>
        <v/>
      </c>
      <c r="I795" s="10">
        <f>IF($BI795="","",IF($B795="Onsite",INDEX(tbl_Onsite[Invoice Type],$BI795),IF($B795="Production",INDEX(tbl_Production[Invoice Type],$BI795),INDEX(tbl_Consulting[Invoice Type],$BI795)))&amp;"")</f>
        <v/>
      </c>
      <c r="J795" s="10">
        <f>IF($BI795="","",IF($B795="Onsite",INDEX(tbl_Onsite[Tax Code],$BI795),IF($B795="Production",INDEX(tbl_Production[Tax Code],$BI795),INDEX(tbl_Consulting[Tax Code],$BI795)))&amp;"")</f>
        <v/>
      </c>
      <c r="K795" s="10">
        <f>IF(H795="","",IFERROR(INDEX(lst_CCtoGL,MATCH(H795,lst_CCforGL,0)),""))</f>
        <v/>
      </c>
      <c r="L795" s="10">
        <f>IF($BI795="","",IF($B795="Onsite",INDEX(tbl_Onsite[PO / Reference],$BI795),IF($B795="Production",INDEX(tbl_Production[Current RMS No],$BI795),INDEX(tbl_Consulting[Qwilr Quote],$BI795)))&amp;"")</f>
        <v/>
      </c>
      <c r="M795" s="10">
        <f>IF($BI795="","",IF($B795="Onsite",INDEX(tbl_Onsite[Notes],$BI795),IF($B795="Production",INDEX(tbl_Production[Notes],$BI795),INDEX(tbl_Consulting[Notes],$BI795)))&amp;"")</f>
        <v/>
      </c>
      <c r="N795" s="11">
        <f>IF($BI795="","",IF(IF($B795="Onsite",INDEX(tbl_Onsite[Expected Revenue Ex GST],$BI795),IF($B795="Production",INDEX(tbl_Production[Expected Revenue Ex GST],$BI795),INDEX(tbl_Consulting[Expected Revenue Ex GST],$BI795)))="","",IF($B795="Onsite",INDEX(tbl_Onsite[Expected Revenue Ex GST],$BI795),IF($B795="Production",INDEX(tbl_Production[Expected Revenue Ex GST],$BI795),INDEX(tbl_Consulting[Expected Revenue Ex GST],$BI795)))))</f>
        <v/>
      </c>
      <c r="O795" s="11">
        <f>IF(AND($C795="",NOT(COUNTA($S795:$BB795)&gt;0)),"",SUM(U795,X795,AA795,AD795,AG795,AJ795,AM795,AP795,AS795,AV795,AY795,BB795))</f>
        <v/>
      </c>
      <c r="P795" s="11">
        <f>IF(O795="","",N(N795)-O795)</f>
        <v/>
      </c>
      <c r="Q795" s="10">
        <f>IF(O795="","",IF($C795="","Invoice on empty job row",IF(N795="",IF(ROUND(O795,2)=0,"No dept value","Invoiced - no dept value"),IF(ROUND(O795,2)=0,"Not invoiced - to invoice",IF(ROUND(P795,2)=0,"Agrees",IF(P795&gt;0,"Dept higher - to invoice","Xero higher - check dept"))))))</f>
        <v/>
      </c>
      <c r="R795" s="10">
        <f>IF(AND($C795="",NOT(COUNTA($S795:$BB795)&gt;0),$BI795&lt;&gt;""),"",MID(IF($BI795="","; Row ID not found on the department sheet - a row was deleted","")&amp;IF(AND($C795="",COUNTA($S795:$BB795)&gt;0),"; Invoice entered but the department row has no job number","")&amp;IF(E795="CHECK","; Job number not in the Xero job list","")&amp;IF(AND($C795&lt;&gt;"",COUNTIF($C$7:$C$1506,$C795)&gt;1),"; Job number on more than one row","")&amp;IF(AND($C795&lt;&gt;"",H795=""),"; Dept has not set a cost centre","")&amp;IF(AND($C795&lt;&gt;"",J795=""),"; Dept has not set a tax code","")&amp;IF(AND($C795&lt;&gt;"",N795=""),"; Dept has not entered an expected value","")&amp;IF((IF(OR(COUNTA(S795:U795)=0,AND(COUNTA(S795:U795)=3,ISNUMBER(U795))),0,1)+IF(OR(COUNTA(V795:X795)=0,AND(COUNTA(V795:X795)=3,ISNUMBER(X795))),0,1)+IF(OR(COUNTA(Y795:AA795)=0,AND(COUNTA(Y795:AA795)=3,ISNUMBER(AA795))),0,1)+IF(OR(COUNTA(AB795:AD795)=0,AND(COUNTA(AB795:AD795)=3,ISNUMBER(AD795))),0,1)+IF(OR(COUNTA(AE795:AG795)=0,AND(COUNTA(AE795:AG795)=3,ISNUMBER(AG795))),0,1)+IF(OR(COUNTA(AH795:AJ795)=0,AND(COUNTA(AH795:AJ795)=3,ISNUMBER(AJ795))),0,1)+IF(OR(COUNTA(AK795:AM795)=0,AND(COUNTA(AK795:AM795)=3,ISNUMBER(AM795))),0,1)+IF(OR(COUNTA(AN795:AP795)=0,AND(COUNTA(AN795:AP795)=3,ISNUMBER(AP795))),0,1)+IF(OR(COUNTA(AQ795:AS795)=0,AND(COUNTA(AQ795:AS795)=3,ISNUMBER(AS795))),0,1)+IF(OR(COUNTA(AT795:AV795)=0,AND(COUNTA(AT795:AV795)=3,ISNUMBER(AV795))),0,1)+IF(OR(COUNTA(AW795:AY795)=0,AND(COUNTA(AW795:AY795)=3,ISNUMBER(AY795))),0,1)+IF(OR(COUNTA(AZ795:BB795)=0,AND(COUNTA(AZ795:BB795)=3,ISNUMBER(BB795))),0,1))&gt;0,"; An invoice is incomplete (needs No, Date and a number in Ex GST)","")&amp;IF((IF(T795="",0,IFERROR(--(EOMONTH(T795,0)&lt;&gt;S$5),1))+IF(W795="",0,IFERROR(--(EOMONTH(W795,0)&lt;&gt;V$5),1))+IF(Z795="",0,IFERROR(--(EOMONTH(Z795,0)&lt;&gt;Y$5),1))+IF(AC795="",0,IFERROR(--(EOMONTH(AC795,0)&lt;&gt;AB$5),1))+IF(AF795="",0,IFERROR(--(EOMONTH(AF795,0)&lt;&gt;AE$5),1))+IF(AI795="",0,IFERROR(--(EOMONTH(AI795,0)&lt;&gt;AH$5),1))+IF(AL795="",0,IFERROR(--(EOMONTH(AL795,0)&lt;&gt;AK$5),1))+IF(AO795="",0,IFERROR(--(EOMONTH(AO795,0)&lt;&gt;AN$5),1))+IF(AR795="",0,IFERROR(--(EOMONTH(AR795,0)&lt;&gt;AQ$5),1))+IF(AU795="",0,IFERROR(--(EOMONTH(AU795,0)&lt;&gt;AT$5),1))+IF(AX795="",0,IFERROR(--(EOMONTH(AX795,0)&lt;&gt;AW$5),1))+IF(BA795="",0,IFERROR(--(EOMONTH(BA795,0)&lt;&gt;AZ$5),1)))&gt;0,"; An invoice date is not in the month it is typed under",""),3,500))</f>
        <v/>
      </c>
      <c r="S795" s="12" t="n"/>
      <c r="T795" s="13" t="n"/>
      <c r="U795" s="14" t="n"/>
      <c r="V795" s="12" t="n"/>
      <c r="W795" s="13" t="n"/>
      <c r="X795" s="14" t="n"/>
      <c r="Y795" s="12" t="n"/>
      <c r="Z795" s="13" t="n"/>
      <c r="AA795" s="14" t="n"/>
      <c r="AB795" s="12" t="n"/>
      <c r="AC795" s="13" t="n"/>
      <c r="AD795" s="14" t="n"/>
      <c r="AE795" s="12" t="n"/>
      <c r="AF795" s="13" t="n"/>
      <c r="AG795" s="14" t="n"/>
      <c r="AH795" s="12" t="n"/>
      <c r="AI795" s="13" t="n"/>
      <c r="AJ795" s="14" t="n"/>
      <c r="AK795" s="12" t="n"/>
      <c r="AL795" s="13" t="n"/>
      <c r="AM795" s="14" t="n"/>
      <c r="AN795" s="12" t="n"/>
      <c r="AO795" s="13" t="n"/>
      <c r="AP795" s="14" t="n"/>
      <c r="AQ795" s="12" t="n"/>
      <c r="AR795" s="13" t="n"/>
      <c r="AS795" s="14" t="n"/>
      <c r="AT795" s="12" t="n"/>
      <c r="AU795" s="13" t="n"/>
      <c r="AV795" s="14" t="n"/>
      <c r="AW795" s="12" t="n"/>
      <c r="AX795" s="13" t="n"/>
      <c r="AY795" s="14" t="n"/>
      <c r="AZ795" s="12" t="n"/>
      <c r="BA795" s="13" t="n"/>
      <c r="BB795" s="14" t="n"/>
      <c r="BC795" s="11">
        <f>IF(O795="","",IF(J795="GST 10%",ROUND(O795*set_GSTRate,2),0))</f>
        <v/>
      </c>
      <c r="BD795" s="11">
        <f>IF(O795="","",O795+BC795)</f>
        <v/>
      </c>
      <c r="BE795" s="15">
        <f>IF(O795="","",COUNTA(S795,V795,Y795,AB795,AE795,AH795,AK795,AN795,AQ795,AT795,AW795,AZ795))</f>
        <v/>
      </c>
      <c r="BF795" s="16">
        <f>IF(COUNT(T795,W795,Z795,AC795,AF795,AI795,AL795,AO795,AR795,AU795,AX795,BA795)=0,"",MAX(T795,W795,Z795,AC795,AF795,AI795,AL795,AO795,AR795,AU795,AX795,BA795))</f>
        <v/>
      </c>
      <c r="BG795" s="10">
        <f>MID(IF(S795="","",", "&amp;S795)&amp;IF(V795="","",", "&amp;V795)&amp;IF(Y795="","",", "&amp;Y795)&amp;IF(AB795="","",", "&amp;AB795)&amp;IF(AE795="","",", "&amp;AE795)&amp;IF(AH795="","",", "&amp;AH795)&amp;IF(AK795="","",", "&amp;AK795)&amp;IF(AN795="","",", "&amp;AN795)&amp;IF(AQ795="","",", "&amp;AQ795)&amp;IF(AT795="","",", "&amp;AT795)&amp;IF(AW795="","",", "&amp;AW795)&amp;IF(AZ795="","",", "&amp;AZ795),3,500)</f>
        <v/>
      </c>
      <c r="BH795" s="12" t="n"/>
      <c r="BI795" s="15">
        <f>IFERROR(MATCH($A795,IF($B795="Onsite",tbl_Onsite[Row ID],IF($B795="Production",tbl_Production[Row ID],tbl_Consulting[Row ID])),0),"")</f>
        <v/>
      </c>
    </row>
    <row r="796">
      <c r="A796" s="10" t="inlineStr">
        <is>
          <t>PRD-0290</t>
        </is>
      </c>
      <c r="B796" s="10" t="inlineStr">
        <is>
          <t>Production</t>
        </is>
      </c>
      <c r="C796" s="10">
        <f>IF($BI796="","",IF($B796="Onsite",INDEX(tbl_Onsite[Job Number],$BI796),IF($B796="Production",INDEX(tbl_Production[Job Number],$BI796),INDEX(tbl_Consulting[Job Number],$BI796)))&amp;"")</f>
        <v/>
      </c>
      <c r="D796" s="10">
        <f>IF($BI796="","",IF($B796="Onsite",INDEX(tbl_Onsite[Client],$BI796),IF($B796="Production",INDEX(tbl_Production[Client],$BI796),INDEX(tbl_Consulting[Client],$BI796)))&amp;"")</f>
        <v/>
      </c>
      <c r="E796" s="10">
        <f>IF($C796="","",IF(COUNTIF(lst_Jobs,$C796)&gt;0,"OK","CHECK"))</f>
        <v/>
      </c>
      <c r="F796" s="10">
        <f>IF($C796="","",IFERROR(INDEX(lst_JobName,MATCH($C796,lst_Jobs,0)),""))</f>
        <v/>
      </c>
      <c r="G796" s="10">
        <f>IF($BI796="","",IF($B796="Onsite",INDEX(tbl_Onsite[Job Description],$BI796),IF($B796="Production",INDEX(tbl_Production[Job Description],$BI796),INDEX(tbl_Consulting[Job Description],$BI796)))&amp;"")</f>
        <v/>
      </c>
      <c r="H796" s="10">
        <f>IF($BI796="","",IF($B796="Onsite",INDEX(tbl_Onsite[Cost Centre],$BI796),IF($B796="Production",INDEX(tbl_Production[Cost Centre],$BI796),INDEX(tbl_Consulting[Cost Centre],$BI796)))&amp;"")</f>
        <v/>
      </c>
      <c r="I796" s="10">
        <f>IF($BI796="","",IF($B796="Onsite",INDEX(tbl_Onsite[Invoice Type],$BI796),IF($B796="Production",INDEX(tbl_Production[Invoice Type],$BI796),INDEX(tbl_Consulting[Invoice Type],$BI796)))&amp;"")</f>
        <v/>
      </c>
      <c r="J796" s="10">
        <f>IF($BI796="","",IF($B796="Onsite",INDEX(tbl_Onsite[Tax Code],$BI796),IF($B796="Production",INDEX(tbl_Production[Tax Code],$BI796),INDEX(tbl_Consulting[Tax Code],$BI796)))&amp;"")</f>
        <v/>
      </c>
      <c r="K796" s="10">
        <f>IF(H796="","",IFERROR(INDEX(lst_CCtoGL,MATCH(H796,lst_CCforGL,0)),""))</f>
        <v/>
      </c>
      <c r="L796" s="10">
        <f>IF($BI796="","",IF($B796="Onsite",INDEX(tbl_Onsite[PO / Reference],$BI796),IF($B796="Production",INDEX(tbl_Production[Current RMS No],$BI796),INDEX(tbl_Consulting[Qwilr Quote],$BI796)))&amp;"")</f>
        <v/>
      </c>
      <c r="M796" s="10">
        <f>IF($BI796="","",IF($B796="Onsite",INDEX(tbl_Onsite[Notes],$BI796),IF($B796="Production",INDEX(tbl_Production[Notes],$BI796),INDEX(tbl_Consulting[Notes],$BI796)))&amp;"")</f>
        <v/>
      </c>
      <c r="N796" s="11">
        <f>IF($BI796="","",IF(IF($B796="Onsite",INDEX(tbl_Onsite[Expected Revenue Ex GST],$BI796),IF($B796="Production",INDEX(tbl_Production[Expected Revenue Ex GST],$BI796),INDEX(tbl_Consulting[Expected Revenue Ex GST],$BI796)))="","",IF($B796="Onsite",INDEX(tbl_Onsite[Expected Revenue Ex GST],$BI796),IF($B796="Production",INDEX(tbl_Production[Expected Revenue Ex GST],$BI796),INDEX(tbl_Consulting[Expected Revenue Ex GST],$BI796)))))</f>
        <v/>
      </c>
      <c r="O796" s="11">
        <f>IF(AND($C796="",NOT(COUNTA($S796:$BB796)&gt;0)),"",SUM(U796,X796,AA796,AD796,AG796,AJ796,AM796,AP796,AS796,AV796,AY796,BB796))</f>
        <v/>
      </c>
      <c r="P796" s="11">
        <f>IF(O796="","",N(N796)-O796)</f>
        <v/>
      </c>
      <c r="Q796" s="10">
        <f>IF(O796="","",IF($C796="","Invoice on empty job row",IF(N796="",IF(ROUND(O796,2)=0,"No dept value","Invoiced - no dept value"),IF(ROUND(O796,2)=0,"Not invoiced - to invoice",IF(ROUND(P796,2)=0,"Agrees",IF(P796&gt;0,"Dept higher - to invoice","Xero higher - check dept"))))))</f>
        <v/>
      </c>
      <c r="R796" s="10">
        <f>IF(AND($C796="",NOT(COUNTA($S796:$BB796)&gt;0),$BI796&lt;&gt;""),"",MID(IF($BI796="","; Row ID not found on the department sheet - a row was deleted","")&amp;IF(AND($C796="",COUNTA($S796:$BB796)&gt;0),"; Invoice entered but the department row has no job number","")&amp;IF(E796="CHECK","; Job number not in the Xero job list","")&amp;IF(AND($C796&lt;&gt;"",COUNTIF($C$7:$C$1506,$C796)&gt;1),"; Job number on more than one row","")&amp;IF(AND($C796&lt;&gt;"",H796=""),"; Dept has not set a cost centre","")&amp;IF(AND($C796&lt;&gt;"",J796=""),"; Dept has not set a tax code","")&amp;IF(AND($C796&lt;&gt;"",N796=""),"; Dept has not entered an expected value","")&amp;IF((IF(OR(COUNTA(S796:U796)=0,AND(COUNTA(S796:U796)=3,ISNUMBER(U796))),0,1)+IF(OR(COUNTA(V796:X796)=0,AND(COUNTA(V796:X796)=3,ISNUMBER(X796))),0,1)+IF(OR(COUNTA(Y796:AA796)=0,AND(COUNTA(Y796:AA796)=3,ISNUMBER(AA796))),0,1)+IF(OR(COUNTA(AB796:AD796)=0,AND(COUNTA(AB796:AD796)=3,ISNUMBER(AD796))),0,1)+IF(OR(COUNTA(AE796:AG796)=0,AND(COUNTA(AE796:AG796)=3,ISNUMBER(AG796))),0,1)+IF(OR(COUNTA(AH796:AJ796)=0,AND(COUNTA(AH796:AJ796)=3,ISNUMBER(AJ796))),0,1)+IF(OR(COUNTA(AK796:AM796)=0,AND(COUNTA(AK796:AM796)=3,ISNUMBER(AM796))),0,1)+IF(OR(COUNTA(AN796:AP796)=0,AND(COUNTA(AN796:AP796)=3,ISNUMBER(AP796))),0,1)+IF(OR(COUNTA(AQ796:AS796)=0,AND(COUNTA(AQ796:AS796)=3,ISNUMBER(AS796))),0,1)+IF(OR(COUNTA(AT796:AV796)=0,AND(COUNTA(AT796:AV796)=3,ISNUMBER(AV796))),0,1)+IF(OR(COUNTA(AW796:AY796)=0,AND(COUNTA(AW796:AY796)=3,ISNUMBER(AY796))),0,1)+IF(OR(COUNTA(AZ796:BB796)=0,AND(COUNTA(AZ796:BB796)=3,ISNUMBER(BB796))),0,1))&gt;0,"; An invoice is incomplete (needs No, Date and a number in Ex GST)","")&amp;IF((IF(T796="",0,IFERROR(--(EOMONTH(T796,0)&lt;&gt;S$5),1))+IF(W796="",0,IFERROR(--(EOMONTH(W796,0)&lt;&gt;V$5),1))+IF(Z796="",0,IFERROR(--(EOMONTH(Z796,0)&lt;&gt;Y$5),1))+IF(AC796="",0,IFERROR(--(EOMONTH(AC796,0)&lt;&gt;AB$5),1))+IF(AF796="",0,IFERROR(--(EOMONTH(AF796,0)&lt;&gt;AE$5),1))+IF(AI796="",0,IFERROR(--(EOMONTH(AI796,0)&lt;&gt;AH$5),1))+IF(AL796="",0,IFERROR(--(EOMONTH(AL796,0)&lt;&gt;AK$5),1))+IF(AO796="",0,IFERROR(--(EOMONTH(AO796,0)&lt;&gt;AN$5),1))+IF(AR796="",0,IFERROR(--(EOMONTH(AR796,0)&lt;&gt;AQ$5),1))+IF(AU796="",0,IFERROR(--(EOMONTH(AU796,0)&lt;&gt;AT$5),1))+IF(AX796="",0,IFERROR(--(EOMONTH(AX796,0)&lt;&gt;AW$5),1))+IF(BA796="",0,IFERROR(--(EOMONTH(BA796,0)&lt;&gt;AZ$5),1)))&gt;0,"; An invoice date is not in the month it is typed under",""),3,500))</f>
        <v/>
      </c>
      <c r="S796" s="12" t="n"/>
      <c r="T796" s="13" t="n"/>
      <c r="U796" s="14" t="n"/>
      <c r="V796" s="12" t="n"/>
      <c r="W796" s="13" t="n"/>
      <c r="X796" s="14" t="n"/>
      <c r="Y796" s="12" t="n"/>
      <c r="Z796" s="13" t="n"/>
      <c r="AA796" s="14" t="n"/>
      <c r="AB796" s="12" t="n"/>
      <c r="AC796" s="13" t="n"/>
      <c r="AD796" s="14" t="n"/>
      <c r="AE796" s="12" t="n"/>
      <c r="AF796" s="13" t="n"/>
      <c r="AG796" s="14" t="n"/>
      <c r="AH796" s="12" t="n"/>
      <c r="AI796" s="13" t="n"/>
      <c r="AJ796" s="14" t="n"/>
      <c r="AK796" s="12" t="n"/>
      <c r="AL796" s="13" t="n"/>
      <c r="AM796" s="14" t="n"/>
      <c r="AN796" s="12" t="n"/>
      <c r="AO796" s="13" t="n"/>
      <c r="AP796" s="14" t="n"/>
      <c r="AQ796" s="12" t="n"/>
      <c r="AR796" s="13" t="n"/>
      <c r="AS796" s="14" t="n"/>
      <c r="AT796" s="12" t="n"/>
      <c r="AU796" s="13" t="n"/>
      <c r="AV796" s="14" t="n"/>
      <c r="AW796" s="12" t="n"/>
      <c r="AX796" s="13" t="n"/>
      <c r="AY796" s="14" t="n"/>
      <c r="AZ796" s="12" t="n"/>
      <c r="BA796" s="13" t="n"/>
      <c r="BB796" s="14" t="n"/>
      <c r="BC796" s="11">
        <f>IF(O796="","",IF(J796="GST 10%",ROUND(O796*set_GSTRate,2),0))</f>
        <v/>
      </c>
      <c r="BD796" s="11">
        <f>IF(O796="","",O796+BC796)</f>
        <v/>
      </c>
      <c r="BE796" s="15">
        <f>IF(O796="","",COUNTA(S796,V796,Y796,AB796,AE796,AH796,AK796,AN796,AQ796,AT796,AW796,AZ796))</f>
        <v/>
      </c>
      <c r="BF796" s="16">
        <f>IF(COUNT(T796,W796,Z796,AC796,AF796,AI796,AL796,AO796,AR796,AU796,AX796,BA796)=0,"",MAX(T796,W796,Z796,AC796,AF796,AI796,AL796,AO796,AR796,AU796,AX796,BA796))</f>
        <v/>
      </c>
      <c r="BG796" s="10">
        <f>MID(IF(S796="","",", "&amp;S796)&amp;IF(V796="","",", "&amp;V796)&amp;IF(Y796="","",", "&amp;Y796)&amp;IF(AB796="","",", "&amp;AB796)&amp;IF(AE796="","",", "&amp;AE796)&amp;IF(AH796="","",", "&amp;AH796)&amp;IF(AK796="","",", "&amp;AK796)&amp;IF(AN796="","",", "&amp;AN796)&amp;IF(AQ796="","",", "&amp;AQ796)&amp;IF(AT796="","",", "&amp;AT796)&amp;IF(AW796="","",", "&amp;AW796)&amp;IF(AZ796="","",", "&amp;AZ796),3,500)</f>
        <v/>
      </c>
      <c r="BH796" s="12" t="n"/>
      <c r="BI796" s="15">
        <f>IFERROR(MATCH($A796,IF($B796="Onsite",tbl_Onsite[Row ID],IF($B796="Production",tbl_Production[Row ID],tbl_Consulting[Row ID])),0),"")</f>
        <v/>
      </c>
    </row>
    <row r="797">
      <c r="A797" s="10" t="inlineStr">
        <is>
          <t>PRD-0291</t>
        </is>
      </c>
      <c r="B797" s="10" t="inlineStr">
        <is>
          <t>Production</t>
        </is>
      </c>
      <c r="C797" s="10">
        <f>IF($BI797="","",IF($B797="Onsite",INDEX(tbl_Onsite[Job Number],$BI797),IF($B797="Production",INDEX(tbl_Production[Job Number],$BI797),INDEX(tbl_Consulting[Job Number],$BI797)))&amp;"")</f>
        <v/>
      </c>
      <c r="D797" s="10">
        <f>IF($BI797="","",IF($B797="Onsite",INDEX(tbl_Onsite[Client],$BI797),IF($B797="Production",INDEX(tbl_Production[Client],$BI797),INDEX(tbl_Consulting[Client],$BI797)))&amp;"")</f>
        <v/>
      </c>
      <c r="E797" s="10">
        <f>IF($C797="","",IF(COUNTIF(lst_Jobs,$C797)&gt;0,"OK","CHECK"))</f>
        <v/>
      </c>
      <c r="F797" s="10">
        <f>IF($C797="","",IFERROR(INDEX(lst_JobName,MATCH($C797,lst_Jobs,0)),""))</f>
        <v/>
      </c>
      <c r="G797" s="10">
        <f>IF($BI797="","",IF($B797="Onsite",INDEX(tbl_Onsite[Job Description],$BI797),IF($B797="Production",INDEX(tbl_Production[Job Description],$BI797),INDEX(tbl_Consulting[Job Description],$BI797)))&amp;"")</f>
        <v/>
      </c>
      <c r="H797" s="10">
        <f>IF($BI797="","",IF($B797="Onsite",INDEX(tbl_Onsite[Cost Centre],$BI797),IF($B797="Production",INDEX(tbl_Production[Cost Centre],$BI797),INDEX(tbl_Consulting[Cost Centre],$BI797)))&amp;"")</f>
        <v/>
      </c>
      <c r="I797" s="10">
        <f>IF($BI797="","",IF($B797="Onsite",INDEX(tbl_Onsite[Invoice Type],$BI797),IF($B797="Production",INDEX(tbl_Production[Invoice Type],$BI797),INDEX(tbl_Consulting[Invoice Type],$BI797)))&amp;"")</f>
        <v/>
      </c>
      <c r="J797" s="10">
        <f>IF($BI797="","",IF($B797="Onsite",INDEX(tbl_Onsite[Tax Code],$BI797),IF($B797="Production",INDEX(tbl_Production[Tax Code],$BI797),INDEX(tbl_Consulting[Tax Code],$BI797)))&amp;"")</f>
        <v/>
      </c>
      <c r="K797" s="10">
        <f>IF(H797="","",IFERROR(INDEX(lst_CCtoGL,MATCH(H797,lst_CCforGL,0)),""))</f>
        <v/>
      </c>
      <c r="L797" s="10">
        <f>IF($BI797="","",IF($B797="Onsite",INDEX(tbl_Onsite[PO / Reference],$BI797),IF($B797="Production",INDEX(tbl_Production[Current RMS No],$BI797),INDEX(tbl_Consulting[Qwilr Quote],$BI797)))&amp;"")</f>
        <v/>
      </c>
      <c r="M797" s="10">
        <f>IF($BI797="","",IF($B797="Onsite",INDEX(tbl_Onsite[Notes],$BI797),IF($B797="Production",INDEX(tbl_Production[Notes],$BI797),INDEX(tbl_Consulting[Notes],$BI797)))&amp;"")</f>
        <v/>
      </c>
      <c r="N797" s="11">
        <f>IF($BI797="","",IF(IF($B797="Onsite",INDEX(tbl_Onsite[Expected Revenue Ex GST],$BI797),IF($B797="Production",INDEX(tbl_Production[Expected Revenue Ex GST],$BI797),INDEX(tbl_Consulting[Expected Revenue Ex GST],$BI797)))="","",IF($B797="Onsite",INDEX(tbl_Onsite[Expected Revenue Ex GST],$BI797),IF($B797="Production",INDEX(tbl_Production[Expected Revenue Ex GST],$BI797),INDEX(tbl_Consulting[Expected Revenue Ex GST],$BI797)))))</f>
        <v/>
      </c>
      <c r="O797" s="11">
        <f>IF(AND($C797="",NOT(COUNTA($S797:$BB797)&gt;0)),"",SUM(U797,X797,AA797,AD797,AG797,AJ797,AM797,AP797,AS797,AV797,AY797,BB797))</f>
        <v/>
      </c>
      <c r="P797" s="11">
        <f>IF(O797="","",N(N797)-O797)</f>
        <v/>
      </c>
      <c r="Q797" s="10">
        <f>IF(O797="","",IF($C797="","Invoice on empty job row",IF(N797="",IF(ROUND(O797,2)=0,"No dept value","Invoiced - no dept value"),IF(ROUND(O797,2)=0,"Not invoiced - to invoice",IF(ROUND(P797,2)=0,"Agrees",IF(P797&gt;0,"Dept higher - to invoice","Xero higher - check dept"))))))</f>
        <v/>
      </c>
      <c r="R797" s="10">
        <f>IF(AND($C797="",NOT(COUNTA($S797:$BB797)&gt;0),$BI797&lt;&gt;""),"",MID(IF($BI797="","; Row ID not found on the department sheet - a row was deleted","")&amp;IF(AND($C797="",COUNTA($S797:$BB797)&gt;0),"; Invoice entered but the department row has no job number","")&amp;IF(E797="CHECK","; Job number not in the Xero job list","")&amp;IF(AND($C797&lt;&gt;"",COUNTIF($C$7:$C$1506,$C797)&gt;1),"; Job number on more than one row","")&amp;IF(AND($C797&lt;&gt;"",H797=""),"; Dept has not set a cost centre","")&amp;IF(AND($C797&lt;&gt;"",J797=""),"; Dept has not set a tax code","")&amp;IF(AND($C797&lt;&gt;"",N797=""),"; Dept has not entered an expected value","")&amp;IF((IF(OR(COUNTA(S797:U797)=0,AND(COUNTA(S797:U797)=3,ISNUMBER(U797))),0,1)+IF(OR(COUNTA(V797:X797)=0,AND(COUNTA(V797:X797)=3,ISNUMBER(X797))),0,1)+IF(OR(COUNTA(Y797:AA797)=0,AND(COUNTA(Y797:AA797)=3,ISNUMBER(AA797))),0,1)+IF(OR(COUNTA(AB797:AD797)=0,AND(COUNTA(AB797:AD797)=3,ISNUMBER(AD797))),0,1)+IF(OR(COUNTA(AE797:AG797)=0,AND(COUNTA(AE797:AG797)=3,ISNUMBER(AG797))),0,1)+IF(OR(COUNTA(AH797:AJ797)=0,AND(COUNTA(AH797:AJ797)=3,ISNUMBER(AJ797))),0,1)+IF(OR(COUNTA(AK797:AM797)=0,AND(COUNTA(AK797:AM797)=3,ISNUMBER(AM797))),0,1)+IF(OR(COUNTA(AN797:AP797)=0,AND(COUNTA(AN797:AP797)=3,ISNUMBER(AP797))),0,1)+IF(OR(COUNTA(AQ797:AS797)=0,AND(COUNTA(AQ797:AS797)=3,ISNUMBER(AS797))),0,1)+IF(OR(COUNTA(AT797:AV797)=0,AND(COUNTA(AT797:AV797)=3,ISNUMBER(AV797))),0,1)+IF(OR(COUNTA(AW797:AY797)=0,AND(COUNTA(AW797:AY797)=3,ISNUMBER(AY797))),0,1)+IF(OR(COUNTA(AZ797:BB797)=0,AND(COUNTA(AZ797:BB797)=3,ISNUMBER(BB797))),0,1))&gt;0,"; An invoice is incomplete (needs No, Date and a number in Ex GST)","")&amp;IF((IF(T797="",0,IFERROR(--(EOMONTH(T797,0)&lt;&gt;S$5),1))+IF(W797="",0,IFERROR(--(EOMONTH(W797,0)&lt;&gt;V$5),1))+IF(Z797="",0,IFERROR(--(EOMONTH(Z797,0)&lt;&gt;Y$5),1))+IF(AC797="",0,IFERROR(--(EOMONTH(AC797,0)&lt;&gt;AB$5),1))+IF(AF797="",0,IFERROR(--(EOMONTH(AF797,0)&lt;&gt;AE$5),1))+IF(AI797="",0,IFERROR(--(EOMONTH(AI797,0)&lt;&gt;AH$5),1))+IF(AL797="",0,IFERROR(--(EOMONTH(AL797,0)&lt;&gt;AK$5),1))+IF(AO797="",0,IFERROR(--(EOMONTH(AO797,0)&lt;&gt;AN$5),1))+IF(AR797="",0,IFERROR(--(EOMONTH(AR797,0)&lt;&gt;AQ$5),1))+IF(AU797="",0,IFERROR(--(EOMONTH(AU797,0)&lt;&gt;AT$5),1))+IF(AX797="",0,IFERROR(--(EOMONTH(AX797,0)&lt;&gt;AW$5),1))+IF(BA797="",0,IFERROR(--(EOMONTH(BA797,0)&lt;&gt;AZ$5),1)))&gt;0,"; An invoice date is not in the month it is typed under",""),3,500))</f>
        <v/>
      </c>
      <c r="S797" s="12" t="n"/>
      <c r="T797" s="13" t="n"/>
      <c r="U797" s="14" t="n"/>
      <c r="V797" s="12" t="n"/>
      <c r="W797" s="13" t="n"/>
      <c r="X797" s="14" t="n"/>
      <c r="Y797" s="12" t="n"/>
      <c r="Z797" s="13" t="n"/>
      <c r="AA797" s="14" t="n"/>
      <c r="AB797" s="12" t="n"/>
      <c r="AC797" s="13" t="n"/>
      <c r="AD797" s="14" t="n"/>
      <c r="AE797" s="12" t="n"/>
      <c r="AF797" s="13" t="n"/>
      <c r="AG797" s="14" t="n"/>
      <c r="AH797" s="12" t="n"/>
      <c r="AI797" s="13" t="n"/>
      <c r="AJ797" s="14" t="n"/>
      <c r="AK797" s="12" t="n"/>
      <c r="AL797" s="13" t="n"/>
      <c r="AM797" s="14" t="n"/>
      <c r="AN797" s="12" t="n"/>
      <c r="AO797" s="13" t="n"/>
      <c r="AP797" s="14" t="n"/>
      <c r="AQ797" s="12" t="n"/>
      <c r="AR797" s="13" t="n"/>
      <c r="AS797" s="14" t="n"/>
      <c r="AT797" s="12" t="n"/>
      <c r="AU797" s="13" t="n"/>
      <c r="AV797" s="14" t="n"/>
      <c r="AW797" s="12" t="n"/>
      <c r="AX797" s="13" t="n"/>
      <c r="AY797" s="14" t="n"/>
      <c r="AZ797" s="12" t="n"/>
      <c r="BA797" s="13" t="n"/>
      <c r="BB797" s="14" t="n"/>
      <c r="BC797" s="11">
        <f>IF(O797="","",IF(J797="GST 10%",ROUND(O797*set_GSTRate,2),0))</f>
        <v/>
      </c>
      <c r="BD797" s="11">
        <f>IF(O797="","",O797+BC797)</f>
        <v/>
      </c>
      <c r="BE797" s="15">
        <f>IF(O797="","",COUNTA(S797,V797,Y797,AB797,AE797,AH797,AK797,AN797,AQ797,AT797,AW797,AZ797))</f>
        <v/>
      </c>
      <c r="BF797" s="16">
        <f>IF(COUNT(T797,W797,Z797,AC797,AF797,AI797,AL797,AO797,AR797,AU797,AX797,BA797)=0,"",MAX(T797,W797,Z797,AC797,AF797,AI797,AL797,AO797,AR797,AU797,AX797,BA797))</f>
        <v/>
      </c>
      <c r="BG797" s="10">
        <f>MID(IF(S797="","",", "&amp;S797)&amp;IF(V797="","",", "&amp;V797)&amp;IF(Y797="","",", "&amp;Y797)&amp;IF(AB797="","",", "&amp;AB797)&amp;IF(AE797="","",", "&amp;AE797)&amp;IF(AH797="","",", "&amp;AH797)&amp;IF(AK797="","",", "&amp;AK797)&amp;IF(AN797="","",", "&amp;AN797)&amp;IF(AQ797="","",", "&amp;AQ797)&amp;IF(AT797="","",", "&amp;AT797)&amp;IF(AW797="","",", "&amp;AW797)&amp;IF(AZ797="","",", "&amp;AZ797),3,500)</f>
        <v/>
      </c>
      <c r="BH797" s="12" t="n"/>
      <c r="BI797" s="15">
        <f>IFERROR(MATCH($A797,IF($B797="Onsite",tbl_Onsite[Row ID],IF($B797="Production",tbl_Production[Row ID],tbl_Consulting[Row ID])),0),"")</f>
        <v/>
      </c>
    </row>
    <row r="798">
      <c r="A798" s="10" t="inlineStr">
        <is>
          <t>PRD-0292</t>
        </is>
      </c>
      <c r="B798" s="10" t="inlineStr">
        <is>
          <t>Production</t>
        </is>
      </c>
      <c r="C798" s="10">
        <f>IF($BI798="","",IF($B798="Onsite",INDEX(tbl_Onsite[Job Number],$BI798),IF($B798="Production",INDEX(tbl_Production[Job Number],$BI798),INDEX(tbl_Consulting[Job Number],$BI798)))&amp;"")</f>
        <v/>
      </c>
      <c r="D798" s="10">
        <f>IF($BI798="","",IF($B798="Onsite",INDEX(tbl_Onsite[Client],$BI798),IF($B798="Production",INDEX(tbl_Production[Client],$BI798),INDEX(tbl_Consulting[Client],$BI798)))&amp;"")</f>
        <v/>
      </c>
      <c r="E798" s="10">
        <f>IF($C798="","",IF(COUNTIF(lst_Jobs,$C798)&gt;0,"OK","CHECK"))</f>
        <v/>
      </c>
      <c r="F798" s="10">
        <f>IF($C798="","",IFERROR(INDEX(lst_JobName,MATCH($C798,lst_Jobs,0)),""))</f>
        <v/>
      </c>
      <c r="G798" s="10">
        <f>IF($BI798="","",IF($B798="Onsite",INDEX(tbl_Onsite[Job Description],$BI798),IF($B798="Production",INDEX(tbl_Production[Job Description],$BI798),INDEX(tbl_Consulting[Job Description],$BI798)))&amp;"")</f>
        <v/>
      </c>
      <c r="H798" s="10">
        <f>IF($BI798="","",IF($B798="Onsite",INDEX(tbl_Onsite[Cost Centre],$BI798),IF($B798="Production",INDEX(tbl_Production[Cost Centre],$BI798),INDEX(tbl_Consulting[Cost Centre],$BI798)))&amp;"")</f>
        <v/>
      </c>
      <c r="I798" s="10">
        <f>IF($BI798="","",IF($B798="Onsite",INDEX(tbl_Onsite[Invoice Type],$BI798),IF($B798="Production",INDEX(tbl_Production[Invoice Type],$BI798),INDEX(tbl_Consulting[Invoice Type],$BI798)))&amp;"")</f>
        <v/>
      </c>
      <c r="J798" s="10">
        <f>IF($BI798="","",IF($B798="Onsite",INDEX(tbl_Onsite[Tax Code],$BI798),IF($B798="Production",INDEX(tbl_Production[Tax Code],$BI798),INDEX(tbl_Consulting[Tax Code],$BI798)))&amp;"")</f>
        <v/>
      </c>
      <c r="K798" s="10">
        <f>IF(H798="","",IFERROR(INDEX(lst_CCtoGL,MATCH(H798,lst_CCforGL,0)),""))</f>
        <v/>
      </c>
      <c r="L798" s="10">
        <f>IF($BI798="","",IF($B798="Onsite",INDEX(tbl_Onsite[PO / Reference],$BI798),IF($B798="Production",INDEX(tbl_Production[Current RMS No],$BI798),INDEX(tbl_Consulting[Qwilr Quote],$BI798)))&amp;"")</f>
        <v/>
      </c>
      <c r="M798" s="10">
        <f>IF($BI798="","",IF($B798="Onsite",INDEX(tbl_Onsite[Notes],$BI798),IF($B798="Production",INDEX(tbl_Production[Notes],$BI798),INDEX(tbl_Consulting[Notes],$BI798)))&amp;"")</f>
        <v/>
      </c>
      <c r="N798" s="11">
        <f>IF($BI798="","",IF(IF($B798="Onsite",INDEX(tbl_Onsite[Expected Revenue Ex GST],$BI798),IF($B798="Production",INDEX(tbl_Production[Expected Revenue Ex GST],$BI798),INDEX(tbl_Consulting[Expected Revenue Ex GST],$BI798)))="","",IF($B798="Onsite",INDEX(tbl_Onsite[Expected Revenue Ex GST],$BI798),IF($B798="Production",INDEX(tbl_Production[Expected Revenue Ex GST],$BI798),INDEX(tbl_Consulting[Expected Revenue Ex GST],$BI798)))))</f>
        <v/>
      </c>
      <c r="O798" s="11">
        <f>IF(AND($C798="",NOT(COUNTA($S798:$BB798)&gt;0)),"",SUM(U798,X798,AA798,AD798,AG798,AJ798,AM798,AP798,AS798,AV798,AY798,BB798))</f>
        <v/>
      </c>
      <c r="P798" s="11">
        <f>IF(O798="","",N(N798)-O798)</f>
        <v/>
      </c>
      <c r="Q798" s="10">
        <f>IF(O798="","",IF($C798="","Invoice on empty job row",IF(N798="",IF(ROUND(O798,2)=0,"No dept value","Invoiced - no dept value"),IF(ROUND(O798,2)=0,"Not invoiced - to invoice",IF(ROUND(P798,2)=0,"Agrees",IF(P798&gt;0,"Dept higher - to invoice","Xero higher - check dept"))))))</f>
        <v/>
      </c>
      <c r="R798" s="10">
        <f>IF(AND($C798="",NOT(COUNTA($S798:$BB798)&gt;0),$BI798&lt;&gt;""),"",MID(IF($BI798="","; Row ID not found on the department sheet - a row was deleted","")&amp;IF(AND($C798="",COUNTA($S798:$BB798)&gt;0),"; Invoice entered but the department row has no job number","")&amp;IF(E798="CHECK","; Job number not in the Xero job list","")&amp;IF(AND($C798&lt;&gt;"",COUNTIF($C$7:$C$1506,$C798)&gt;1),"; Job number on more than one row","")&amp;IF(AND($C798&lt;&gt;"",H798=""),"; Dept has not set a cost centre","")&amp;IF(AND($C798&lt;&gt;"",J798=""),"; Dept has not set a tax code","")&amp;IF(AND($C798&lt;&gt;"",N798=""),"; Dept has not entered an expected value","")&amp;IF((IF(OR(COUNTA(S798:U798)=0,AND(COUNTA(S798:U798)=3,ISNUMBER(U798))),0,1)+IF(OR(COUNTA(V798:X798)=0,AND(COUNTA(V798:X798)=3,ISNUMBER(X798))),0,1)+IF(OR(COUNTA(Y798:AA798)=0,AND(COUNTA(Y798:AA798)=3,ISNUMBER(AA798))),0,1)+IF(OR(COUNTA(AB798:AD798)=0,AND(COUNTA(AB798:AD798)=3,ISNUMBER(AD798))),0,1)+IF(OR(COUNTA(AE798:AG798)=0,AND(COUNTA(AE798:AG798)=3,ISNUMBER(AG798))),0,1)+IF(OR(COUNTA(AH798:AJ798)=0,AND(COUNTA(AH798:AJ798)=3,ISNUMBER(AJ798))),0,1)+IF(OR(COUNTA(AK798:AM798)=0,AND(COUNTA(AK798:AM798)=3,ISNUMBER(AM798))),0,1)+IF(OR(COUNTA(AN798:AP798)=0,AND(COUNTA(AN798:AP798)=3,ISNUMBER(AP798))),0,1)+IF(OR(COUNTA(AQ798:AS798)=0,AND(COUNTA(AQ798:AS798)=3,ISNUMBER(AS798))),0,1)+IF(OR(COUNTA(AT798:AV798)=0,AND(COUNTA(AT798:AV798)=3,ISNUMBER(AV798))),0,1)+IF(OR(COUNTA(AW798:AY798)=0,AND(COUNTA(AW798:AY798)=3,ISNUMBER(AY798))),0,1)+IF(OR(COUNTA(AZ798:BB798)=0,AND(COUNTA(AZ798:BB798)=3,ISNUMBER(BB798))),0,1))&gt;0,"; An invoice is incomplete (needs No, Date and a number in Ex GST)","")&amp;IF((IF(T798="",0,IFERROR(--(EOMONTH(T798,0)&lt;&gt;S$5),1))+IF(W798="",0,IFERROR(--(EOMONTH(W798,0)&lt;&gt;V$5),1))+IF(Z798="",0,IFERROR(--(EOMONTH(Z798,0)&lt;&gt;Y$5),1))+IF(AC798="",0,IFERROR(--(EOMONTH(AC798,0)&lt;&gt;AB$5),1))+IF(AF798="",0,IFERROR(--(EOMONTH(AF798,0)&lt;&gt;AE$5),1))+IF(AI798="",0,IFERROR(--(EOMONTH(AI798,0)&lt;&gt;AH$5),1))+IF(AL798="",0,IFERROR(--(EOMONTH(AL798,0)&lt;&gt;AK$5),1))+IF(AO798="",0,IFERROR(--(EOMONTH(AO798,0)&lt;&gt;AN$5),1))+IF(AR798="",0,IFERROR(--(EOMONTH(AR798,0)&lt;&gt;AQ$5),1))+IF(AU798="",0,IFERROR(--(EOMONTH(AU798,0)&lt;&gt;AT$5),1))+IF(AX798="",0,IFERROR(--(EOMONTH(AX798,0)&lt;&gt;AW$5),1))+IF(BA798="",0,IFERROR(--(EOMONTH(BA798,0)&lt;&gt;AZ$5),1)))&gt;0,"; An invoice date is not in the month it is typed under",""),3,500))</f>
        <v/>
      </c>
      <c r="S798" s="12" t="n"/>
      <c r="T798" s="13" t="n"/>
      <c r="U798" s="14" t="n"/>
      <c r="V798" s="12" t="n"/>
      <c r="W798" s="13" t="n"/>
      <c r="X798" s="14" t="n"/>
      <c r="Y798" s="12" t="n"/>
      <c r="Z798" s="13" t="n"/>
      <c r="AA798" s="14" t="n"/>
      <c r="AB798" s="12" t="n"/>
      <c r="AC798" s="13" t="n"/>
      <c r="AD798" s="14" t="n"/>
      <c r="AE798" s="12" t="n"/>
      <c r="AF798" s="13" t="n"/>
      <c r="AG798" s="14" t="n"/>
      <c r="AH798" s="12" t="n"/>
      <c r="AI798" s="13" t="n"/>
      <c r="AJ798" s="14" t="n"/>
      <c r="AK798" s="12" t="n"/>
      <c r="AL798" s="13" t="n"/>
      <c r="AM798" s="14" t="n"/>
      <c r="AN798" s="12" t="n"/>
      <c r="AO798" s="13" t="n"/>
      <c r="AP798" s="14" t="n"/>
      <c r="AQ798" s="12" t="n"/>
      <c r="AR798" s="13" t="n"/>
      <c r="AS798" s="14" t="n"/>
      <c r="AT798" s="12" t="n"/>
      <c r="AU798" s="13" t="n"/>
      <c r="AV798" s="14" t="n"/>
      <c r="AW798" s="12" t="n"/>
      <c r="AX798" s="13" t="n"/>
      <c r="AY798" s="14" t="n"/>
      <c r="AZ798" s="12" t="n"/>
      <c r="BA798" s="13" t="n"/>
      <c r="BB798" s="14" t="n"/>
      <c r="BC798" s="11">
        <f>IF(O798="","",IF(J798="GST 10%",ROUND(O798*set_GSTRate,2),0))</f>
        <v/>
      </c>
      <c r="BD798" s="11">
        <f>IF(O798="","",O798+BC798)</f>
        <v/>
      </c>
      <c r="BE798" s="15">
        <f>IF(O798="","",COUNTA(S798,V798,Y798,AB798,AE798,AH798,AK798,AN798,AQ798,AT798,AW798,AZ798))</f>
        <v/>
      </c>
      <c r="BF798" s="16">
        <f>IF(COUNT(T798,W798,Z798,AC798,AF798,AI798,AL798,AO798,AR798,AU798,AX798,BA798)=0,"",MAX(T798,W798,Z798,AC798,AF798,AI798,AL798,AO798,AR798,AU798,AX798,BA798))</f>
        <v/>
      </c>
      <c r="BG798" s="10">
        <f>MID(IF(S798="","",", "&amp;S798)&amp;IF(V798="","",", "&amp;V798)&amp;IF(Y798="","",", "&amp;Y798)&amp;IF(AB798="","",", "&amp;AB798)&amp;IF(AE798="","",", "&amp;AE798)&amp;IF(AH798="","",", "&amp;AH798)&amp;IF(AK798="","",", "&amp;AK798)&amp;IF(AN798="","",", "&amp;AN798)&amp;IF(AQ798="","",", "&amp;AQ798)&amp;IF(AT798="","",", "&amp;AT798)&amp;IF(AW798="","",", "&amp;AW798)&amp;IF(AZ798="","",", "&amp;AZ798),3,500)</f>
        <v/>
      </c>
      <c r="BH798" s="12" t="n"/>
      <c r="BI798" s="15">
        <f>IFERROR(MATCH($A798,IF($B798="Onsite",tbl_Onsite[Row ID],IF($B798="Production",tbl_Production[Row ID],tbl_Consulting[Row ID])),0),"")</f>
        <v/>
      </c>
    </row>
    <row r="799">
      <c r="A799" s="10" t="inlineStr">
        <is>
          <t>PRD-0293</t>
        </is>
      </c>
      <c r="B799" s="10" t="inlineStr">
        <is>
          <t>Production</t>
        </is>
      </c>
      <c r="C799" s="10">
        <f>IF($BI799="","",IF($B799="Onsite",INDEX(tbl_Onsite[Job Number],$BI799),IF($B799="Production",INDEX(tbl_Production[Job Number],$BI799),INDEX(tbl_Consulting[Job Number],$BI799)))&amp;"")</f>
        <v/>
      </c>
      <c r="D799" s="10">
        <f>IF($BI799="","",IF($B799="Onsite",INDEX(tbl_Onsite[Client],$BI799),IF($B799="Production",INDEX(tbl_Production[Client],$BI799),INDEX(tbl_Consulting[Client],$BI799)))&amp;"")</f>
        <v/>
      </c>
      <c r="E799" s="10">
        <f>IF($C799="","",IF(COUNTIF(lst_Jobs,$C799)&gt;0,"OK","CHECK"))</f>
        <v/>
      </c>
      <c r="F799" s="10">
        <f>IF($C799="","",IFERROR(INDEX(lst_JobName,MATCH($C799,lst_Jobs,0)),""))</f>
        <v/>
      </c>
      <c r="G799" s="10">
        <f>IF($BI799="","",IF($B799="Onsite",INDEX(tbl_Onsite[Job Description],$BI799),IF($B799="Production",INDEX(tbl_Production[Job Description],$BI799),INDEX(tbl_Consulting[Job Description],$BI799)))&amp;"")</f>
        <v/>
      </c>
      <c r="H799" s="10">
        <f>IF($BI799="","",IF($B799="Onsite",INDEX(tbl_Onsite[Cost Centre],$BI799),IF($B799="Production",INDEX(tbl_Production[Cost Centre],$BI799),INDEX(tbl_Consulting[Cost Centre],$BI799)))&amp;"")</f>
        <v/>
      </c>
      <c r="I799" s="10">
        <f>IF($BI799="","",IF($B799="Onsite",INDEX(tbl_Onsite[Invoice Type],$BI799),IF($B799="Production",INDEX(tbl_Production[Invoice Type],$BI799),INDEX(tbl_Consulting[Invoice Type],$BI799)))&amp;"")</f>
        <v/>
      </c>
      <c r="J799" s="10">
        <f>IF($BI799="","",IF($B799="Onsite",INDEX(tbl_Onsite[Tax Code],$BI799),IF($B799="Production",INDEX(tbl_Production[Tax Code],$BI799),INDEX(tbl_Consulting[Tax Code],$BI799)))&amp;"")</f>
        <v/>
      </c>
      <c r="K799" s="10">
        <f>IF(H799="","",IFERROR(INDEX(lst_CCtoGL,MATCH(H799,lst_CCforGL,0)),""))</f>
        <v/>
      </c>
      <c r="L799" s="10">
        <f>IF($BI799="","",IF($B799="Onsite",INDEX(tbl_Onsite[PO / Reference],$BI799),IF($B799="Production",INDEX(tbl_Production[Current RMS No],$BI799),INDEX(tbl_Consulting[Qwilr Quote],$BI799)))&amp;"")</f>
        <v/>
      </c>
      <c r="M799" s="10">
        <f>IF($BI799="","",IF($B799="Onsite",INDEX(tbl_Onsite[Notes],$BI799),IF($B799="Production",INDEX(tbl_Production[Notes],$BI799),INDEX(tbl_Consulting[Notes],$BI799)))&amp;"")</f>
        <v/>
      </c>
      <c r="N799" s="11">
        <f>IF($BI799="","",IF(IF($B799="Onsite",INDEX(tbl_Onsite[Expected Revenue Ex GST],$BI799),IF($B799="Production",INDEX(tbl_Production[Expected Revenue Ex GST],$BI799),INDEX(tbl_Consulting[Expected Revenue Ex GST],$BI799)))="","",IF($B799="Onsite",INDEX(tbl_Onsite[Expected Revenue Ex GST],$BI799),IF($B799="Production",INDEX(tbl_Production[Expected Revenue Ex GST],$BI799),INDEX(tbl_Consulting[Expected Revenue Ex GST],$BI799)))))</f>
        <v/>
      </c>
      <c r="O799" s="11">
        <f>IF(AND($C799="",NOT(COUNTA($S799:$BB799)&gt;0)),"",SUM(U799,X799,AA799,AD799,AG799,AJ799,AM799,AP799,AS799,AV799,AY799,BB799))</f>
        <v/>
      </c>
      <c r="P799" s="11">
        <f>IF(O799="","",N(N799)-O799)</f>
        <v/>
      </c>
      <c r="Q799" s="10">
        <f>IF(O799="","",IF($C799="","Invoice on empty job row",IF(N799="",IF(ROUND(O799,2)=0,"No dept value","Invoiced - no dept value"),IF(ROUND(O799,2)=0,"Not invoiced - to invoice",IF(ROUND(P799,2)=0,"Agrees",IF(P799&gt;0,"Dept higher - to invoice","Xero higher - check dept"))))))</f>
        <v/>
      </c>
      <c r="R799" s="10">
        <f>IF(AND($C799="",NOT(COUNTA($S799:$BB799)&gt;0),$BI799&lt;&gt;""),"",MID(IF($BI799="","; Row ID not found on the department sheet - a row was deleted","")&amp;IF(AND($C799="",COUNTA($S799:$BB799)&gt;0),"; Invoice entered but the department row has no job number","")&amp;IF(E799="CHECK","; Job number not in the Xero job list","")&amp;IF(AND($C799&lt;&gt;"",COUNTIF($C$7:$C$1506,$C799)&gt;1),"; Job number on more than one row","")&amp;IF(AND($C799&lt;&gt;"",H799=""),"; Dept has not set a cost centre","")&amp;IF(AND($C799&lt;&gt;"",J799=""),"; Dept has not set a tax code","")&amp;IF(AND($C799&lt;&gt;"",N799=""),"; Dept has not entered an expected value","")&amp;IF((IF(OR(COUNTA(S799:U799)=0,AND(COUNTA(S799:U799)=3,ISNUMBER(U799))),0,1)+IF(OR(COUNTA(V799:X799)=0,AND(COUNTA(V799:X799)=3,ISNUMBER(X799))),0,1)+IF(OR(COUNTA(Y799:AA799)=0,AND(COUNTA(Y799:AA799)=3,ISNUMBER(AA799))),0,1)+IF(OR(COUNTA(AB799:AD799)=0,AND(COUNTA(AB799:AD799)=3,ISNUMBER(AD799))),0,1)+IF(OR(COUNTA(AE799:AG799)=0,AND(COUNTA(AE799:AG799)=3,ISNUMBER(AG799))),0,1)+IF(OR(COUNTA(AH799:AJ799)=0,AND(COUNTA(AH799:AJ799)=3,ISNUMBER(AJ799))),0,1)+IF(OR(COUNTA(AK799:AM799)=0,AND(COUNTA(AK799:AM799)=3,ISNUMBER(AM799))),0,1)+IF(OR(COUNTA(AN799:AP799)=0,AND(COUNTA(AN799:AP799)=3,ISNUMBER(AP799))),0,1)+IF(OR(COUNTA(AQ799:AS799)=0,AND(COUNTA(AQ799:AS799)=3,ISNUMBER(AS799))),0,1)+IF(OR(COUNTA(AT799:AV799)=0,AND(COUNTA(AT799:AV799)=3,ISNUMBER(AV799))),0,1)+IF(OR(COUNTA(AW799:AY799)=0,AND(COUNTA(AW799:AY799)=3,ISNUMBER(AY799))),0,1)+IF(OR(COUNTA(AZ799:BB799)=0,AND(COUNTA(AZ799:BB799)=3,ISNUMBER(BB799))),0,1))&gt;0,"; An invoice is incomplete (needs No, Date and a number in Ex GST)","")&amp;IF((IF(T799="",0,IFERROR(--(EOMONTH(T799,0)&lt;&gt;S$5),1))+IF(W799="",0,IFERROR(--(EOMONTH(W799,0)&lt;&gt;V$5),1))+IF(Z799="",0,IFERROR(--(EOMONTH(Z799,0)&lt;&gt;Y$5),1))+IF(AC799="",0,IFERROR(--(EOMONTH(AC799,0)&lt;&gt;AB$5),1))+IF(AF799="",0,IFERROR(--(EOMONTH(AF799,0)&lt;&gt;AE$5),1))+IF(AI799="",0,IFERROR(--(EOMONTH(AI799,0)&lt;&gt;AH$5),1))+IF(AL799="",0,IFERROR(--(EOMONTH(AL799,0)&lt;&gt;AK$5),1))+IF(AO799="",0,IFERROR(--(EOMONTH(AO799,0)&lt;&gt;AN$5),1))+IF(AR799="",0,IFERROR(--(EOMONTH(AR799,0)&lt;&gt;AQ$5),1))+IF(AU799="",0,IFERROR(--(EOMONTH(AU799,0)&lt;&gt;AT$5),1))+IF(AX799="",0,IFERROR(--(EOMONTH(AX799,0)&lt;&gt;AW$5),1))+IF(BA799="",0,IFERROR(--(EOMONTH(BA799,0)&lt;&gt;AZ$5),1)))&gt;0,"; An invoice date is not in the month it is typed under",""),3,500))</f>
        <v/>
      </c>
      <c r="S799" s="12" t="n"/>
      <c r="T799" s="13" t="n"/>
      <c r="U799" s="14" t="n"/>
      <c r="V799" s="12" t="n"/>
      <c r="W799" s="13" t="n"/>
      <c r="X799" s="14" t="n"/>
      <c r="Y799" s="12" t="n"/>
      <c r="Z799" s="13" t="n"/>
      <c r="AA799" s="14" t="n"/>
      <c r="AB799" s="12" t="n"/>
      <c r="AC799" s="13" t="n"/>
      <c r="AD799" s="14" t="n"/>
      <c r="AE799" s="12" t="n"/>
      <c r="AF799" s="13" t="n"/>
      <c r="AG799" s="14" t="n"/>
      <c r="AH799" s="12" t="n"/>
      <c r="AI799" s="13" t="n"/>
      <c r="AJ799" s="14" t="n"/>
      <c r="AK799" s="12" t="n"/>
      <c r="AL799" s="13" t="n"/>
      <c r="AM799" s="14" t="n"/>
      <c r="AN799" s="12" t="n"/>
      <c r="AO799" s="13" t="n"/>
      <c r="AP799" s="14" t="n"/>
      <c r="AQ799" s="12" t="n"/>
      <c r="AR799" s="13" t="n"/>
      <c r="AS799" s="14" t="n"/>
      <c r="AT799" s="12" t="n"/>
      <c r="AU799" s="13" t="n"/>
      <c r="AV799" s="14" t="n"/>
      <c r="AW799" s="12" t="n"/>
      <c r="AX799" s="13" t="n"/>
      <c r="AY799" s="14" t="n"/>
      <c r="AZ799" s="12" t="n"/>
      <c r="BA799" s="13" t="n"/>
      <c r="BB799" s="14" t="n"/>
      <c r="BC799" s="11">
        <f>IF(O799="","",IF(J799="GST 10%",ROUND(O799*set_GSTRate,2),0))</f>
        <v/>
      </c>
      <c r="BD799" s="11">
        <f>IF(O799="","",O799+BC799)</f>
        <v/>
      </c>
      <c r="BE799" s="15">
        <f>IF(O799="","",COUNTA(S799,V799,Y799,AB799,AE799,AH799,AK799,AN799,AQ799,AT799,AW799,AZ799))</f>
        <v/>
      </c>
      <c r="BF799" s="16">
        <f>IF(COUNT(T799,W799,Z799,AC799,AF799,AI799,AL799,AO799,AR799,AU799,AX799,BA799)=0,"",MAX(T799,W799,Z799,AC799,AF799,AI799,AL799,AO799,AR799,AU799,AX799,BA799))</f>
        <v/>
      </c>
      <c r="BG799" s="10">
        <f>MID(IF(S799="","",", "&amp;S799)&amp;IF(V799="","",", "&amp;V799)&amp;IF(Y799="","",", "&amp;Y799)&amp;IF(AB799="","",", "&amp;AB799)&amp;IF(AE799="","",", "&amp;AE799)&amp;IF(AH799="","",", "&amp;AH799)&amp;IF(AK799="","",", "&amp;AK799)&amp;IF(AN799="","",", "&amp;AN799)&amp;IF(AQ799="","",", "&amp;AQ799)&amp;IF(AT799="","",", "&amp;AT799)&amp;IF(AW799="","",", "&amp;AW799)&amp;IF(AZ799="","",", "&amp;AZ799),3,500)</f>
        <v/>
      </c>
      <c r="BH799" s="12" t="n"/>
      <c r="BI799" s="15">
        <f>IFERROR(MATCH($A799,IF($B799="Onsite",tbl_Onsite[Row ID],IF($B799="Production",tbl_Production[Row ID],tbl_Consulting[Row ID])),0),"")</f>
        <v/>
      </c>
    </row>
    <row r="800">
      <c r="A800" s="10" t="inlineStr">
        <is>
          <t>PRD-0294</t>
        </is>
      </c>
      <c r="B800" s="10" t="inlineStr">
        <is>
          <t>Production</t>
        </is>
      </c>
      <c r="C800" s="10">
        <f>IF($BI800="","",IF($B800="Onsite",INDEX(tbl_Onsite[Job Number],$BI800),IF($B800="Production",INDEX(tbl_Production[Job Number],$BI800),INDEX(tbl_Consulting[Job Number],$BI800)))&amp;"")</f>
        <v/>
      </c>
      <c r="D800" s="10">
        <f>IF($BI800="","",IF($B800="Onsite",INDEX(tbl_Onsite[Client],$BI800),IF($B800="Production",INDEX(tbl_Production[Client],$BI800),INDEX(tbl_Consulting[Client],$BI800)))&amp;"")</f>
        <v/>
      </c>
      <c r="E800" s="10">
        <f>IF($C800="","",IF(COUNTIF(lst_Jobs,$C800)&gt;0,"OK","CHECK"))</f>
        <v/>
      </c>
      <c r="F800" s="10">
        <f>IF($C800="","",IFERROR(INDEX(lst_JobName,MATCH($C800,lst_Jobs,0)),""))</f>
        <v/>
      </c>
      <c r="G800" s="10">
        <f>IF($BI800="","",IF($B800="Onsite",INDEX(tbl_Onsite[Job Description],$BI800),IF($B800="Production",INDEX(tbl_Production[Job Description],$BI800),INDEX(tbl_Consulting[Job Description],$BI800)))&amp;"")</f>
        <v/>
      </c>
      <c r="H800" s="10">
        <f>IF($BI800="","",IF($B800="Onsite",INDEX(tbl_Onsite[Cost Centre],$BI800),IF($B800="Production",INDEX(tbl_Production[Cost Centre],$BI800),INDEX(tbl_Consulting[Cost Centre],$BI800)))&amp;"")</f>
        <v/>
      </c>
      <c r="I800" s="10">
        <f>IF($BI800="","",IF($B800="Onsite",INDEX(tbl_Onsite[Invoice Type],$BI800),IF($B800="Production",INDEX(tbl_Production[Invoice Type],$BI800),INDEX(tbl_Consulting[Invoice Type],$BI800)))&amp;"")</f>
        <v/>
      </c>
      <c r="J800" s="10">
        <f>IF($BI800="","",IF($B800="Onsite",INDEX(tbl_Onsite[Tax Code],$BI800),IF($B800="Production",INDEX(tbl_Production[Tax Code],$BI800),INDEX(tbl_Consulting[Tax Code],$BI800)))&amp;"")</f>
        <v/>
      </c>
      <c r="K800" s="10">
        <f>IF(H800="","",IFERROR(INDEX(lst_CCtoGL,MATCH(H800,lst_CCforGL,0)),""))</f>
        <v/>
      </c>
      <c r="L800" s="10">
        <f>IF($BI800="","",IF($B800="Onsite",INDEX(tbl_Onsite[PO / Reference],$BI800),IF($B800="Production",INDEX(tbl_Production[Current RMS No],$BI800),INDEX(tbl_Consulting[Qwilr Quote],$BI800)))&amp;"")</f>
        <v/>
      </c>
      <c r="M800" s="10">
        <f>IF($BI800="","",IF($B800="Onsite",INDEX(tbl_Onsite[Notes],$BI800),IF($B800="Production",INDEX(tbl_Production[Notes],$BI800),INDEX(tbl_Consulting[Notes],$BI800)))&amp;"")</f>
        <v/>
      </c>
      <c r="N800" s="11">
        <f>IF($BI800="","",IF(IF($B800="Onsite",INDEX(tbl_Onsite[Expected Revenue Ex GST],$BI800),IF($B800="Production",INDEX(tbl_Production[Expected Revenue Ex GST],$BI800),INDEX(tbl_Consulting[Expected Revenue Ex GST],$BI800)))="","",IF($B800="Onsite",INDEX(tbl_Onsite[Expected Revenue Ex GST],$BI800),IF($B800="Production",INDEX(tbl_Production[Expected Revenue Ex GST],$BI800),INDEX(tbl_Consulting[Expected Revenue Ex GST],$BI800)))))</f>
        <v/>
      </c>
      <c r="O800" s="11">
        <f>IF(AND($C800="",NOT(COUNTA($S800:$BB800)&gt;0)),"",SUM(U800,X800,AA800,AD800,AG800,AJ800,AM800,AP800,AS800,AV800,AY800,BB800))</f>
        <v/>
      </c>
      <c r="P800" s="11">
        <f>IF(O800="","",N(N800)-O800)</f>
        <v/>
      </c>
      <c r="Q800" s="10">
        <f>IF(O800="","",IF($C800="","Invoice on empty job row",IF(N800="",IF(ROUND(O800,2)=0,"No dept value","Invoiced - no dept value"),IF(ROUND(O800,2)=0,"Not invoiced - to invoice",IF(ROUND(P800,2)=0,"Agrees",IF(P800&gt;0,"Dept higher - to invoice","Xero higher - check dept"))))))</f>
        <v/>
      </c>
      <c r="R800" s="10">
        <f>IF(AND($C800="",NOT(COUNTA($S800:$BB800)&gt;0),$BI800&lt;&gt;""),"",MID(IF($BI800="","; Row ID not found on the department sheet - a row was deleted","")&amp;IF(AND($C800="",COUNTA($S800:$BB800)&gt;0),"; Invoice entered but the department row has no job number","")&amp;IF(E800="CHECK","; Job number not in the Xero job list","")&amp;IF(AND($C800&lt;&gt;"",COUNTIF($C$7:$C$1506,$C800)&gt;1),"; Job number on more than one row","")&amp;IF(AND($C800&lt;&gt;"",H800=""),"; Dept has not set a cost centre","")&amp;IF(AND($C800&lt;&gt;"",J800=""),"; Dept has not set a tax code","")&amp;IF(AND($C800&lt;&gt;"",N800=""),"; Dept has not entered an expected value","")&amp;IF((IF(OR(COUNTA(S800:U800)=0,AND(COUNTA(S800:U800)=3,ISNUMBER(U800))),0,1)+IF(OR(COUNTA(V800:X800)=0,AND(COUNTA(V800:X800)=3,ISNUMBER(X800))),0,1)+IF(OR(COUNTA(Y800:AA800)=0,AND(COUNTA(Y800:AA800)=3,ISNUMBER(AA800))),0,1)+IF(OR(COUNTA(AB800:AD800)=0,AND(COUNTA(AB800:AD800)=3,ISNUMBER(AD800))),0,1)+IF(OR(COUNTA(AE800:AG800)=0,AND(COUNTA(AE800:AG800)=3,ISNUMBER(AG800))),0,1)+IF(OR(COUNTA(AH800:AJ800)=0,AND(COUNTA(AH800:AJ800)=3,ISNUMBER(AJ800))),0,1)+IF(OR(COUNTA(AK800:AM800)=0,AND(COUNTA(AK800:AM800)=3,ISNUMBER(AM800))),0,1)+IF(OR(COUNTA(AN800:AP800)=0,AND(COUNTA(AN800:AP800)=3,ISNUMBER(AP800))),0,1)+IF(OR(COUNTA(AQ800:AS800)=0,AND(COUNTA(AQ800:AS800)=3,ISNUMBER(AS800))),0,1)+IF(OR(COUNTA(AT800:AV800)=0,AND(COUNTA(AT800:AV800)=3,ISNUMBER(AV800))),0,1)+IF(OR(COUNTA(AW800:AY800)=0,AND(COUNTA(AW800:AY800)=3,ISNUMBER(AY800))),0,1)+IF(OR(COUNTA(AZ800:BB800)=0,AND(COUNTA(AZ800:BB800)=3,ISNUMBER(BB800))),0,1))&gt;0,"; An invoice is incomplete (needs No, Date and a number in Ex GST)","")&amp;IF((IF(T800="",0,IFERROR(--(EOMONTH(T800,0)&lt;&gt;S$5),1))+IF(W800="",0,IFERROR(--(EOMONTH(W800,0)&lt;&gt;V$5),1))+IF(Z800="",0,IFERROR(--(EOMONTH(Z800,0)&lt;&gt;Y$5),1))+IF(AC800="",0,IFERROR(--(EOMONTH(AC800,0)&lt;&gt;AB$5),1))+IF(AF800="",0,IFERROR(--(EOMONTH(AF800,0)&lt;&gt;AE$5),1))+IF(AI800="",0,IFERROR(--(EOMONTH(AI800,0)&lt;&gt;AH$5),1))+IF(AL800="",0,IFERROR(--(EOMONTH(AL800,0)&lt;&gt;AK$5),1))+IF(AO800="",0,IFERROR(--(EOMONTH(AO800,0)&lt;&gt;AN$5),1))+IF(AR800="",0,IFERROR(--(EOMONTH(AR800,0)&lt;&gt;AQ$5),1))+IF(AU800="",0,IFERROR(--(EOMONTH(AU800,0)&lt;&gt;AT$5),1))+IF(AX800="",0,IFERROR(--(EOMONTH(AX800,0)&lt;&gt;AW$5),1))+IF(BA800="",0,IFERROR(--(EOMONTH(BA800,0)&lt;&gt;AZ$5),1)))&gt;0,"; An invoice date is not in the month it is typed under",""),3,500))</f>
        <v/>
      </c>
      <c r="S800" s="12" t="n"/>
      <c r="T800" s="13" t="n"/>
      <c r="U800" s="14" t="n"/>
      <c r="V800" s="12" t="n"/>
      <c r="W800" s="13" t="n"/>
      <c r="X800" s="14" t="n"/>
      <c r="Y800" s="12" t="n"/>
      <c r="Z800" s="13" t="n"/>
      <c r="AA800" s="14" t="n"/>
      <c r="AB800" s="12" t="n"/>
      <c r="AC800" s="13" t="n"/>
      <c r="AD800" s="14" t="n"/>
      <c r="AE800" s="12" t="n"/>
      <c r="AF800" s="13" t="n"/>
      <c r="AG800" s="14" t="n"/>
      <c r="AH800" s="12" t="n"/>
      <c r="AI800" s="13" t="n"/>
      <c r="AJ800" s="14" t="n"/>
      <c r="AK800" s="12" t="n"/>
      <c r="AL800" s="13" t="n"/>
      <c r="AM800" s="14" t="n"/>
      <c r="AN800" s="12" t="n"/>
      <c r="AO800" s="13" t="n"/>
      <c r="AP800" s="14" t="n"/>
      <c r="AQ800" s="12" t="n"/>
      <c r="AR800" s="13" t="n"/>
      <c r="AS800" s="14" t="n"/>
      <c r="AT800" s="12" t="n"/>
      <c r="AU800" s="13" t="n"/>
      <c r="AV800" s="14" t="n"/>
      <c r="AW800" s="12" t="n"/>
      <c r="AX800" s="13" t="n"/>
      <c r="AY800" s="14" t="n"/>
      <c r="AZ800" s="12" t="n"/>
      <c r="BA800" s="13" t="n"/>
      <c r="BB800" s="14" t="n"/>
      <c r="BC800" s="11">
        <f>IF(O800="","",IF(J800="GST 10%",ROUND(O800*set_GSTRate,2),0))</f>
        <v/>
      </c>
      <c r="BD800" s="11">
        <f>IF(O800="","",O800+BC800)</f>
        <v/>
      </c>
      <c r="BE800" s="15">
        <f>IF(O800="","",COUNTA(S800,V800,Y800,AB800,AE800,AH800,AK800,AN800,AQ800,AT800,AW800,AZ800))</f>
        <v/>
      </c>
      <c r="BF800" s="16">
        <f>IF(COUNT(T800,W800,Z800,AC800,AF800,AI800,AL800,AO800,AR800,AU800,AX800,BA800)=0,"",MAX(T800,W800,Z800,AC800,AF800,AI800,AL800,AO800,AR800,AU800,AX800,BA800))</f>
        <v/>
      </c>
      <c r="BG800" s="10">
        <f>MID(IF(S800="","",", "&amp;S800)&amp;IF(V800="","",", "&amp;V800)&amp;IF(Y800="","",", "&amp;Y800)&amp;IF(AB800="","",", "&amp;AB800)&amp;IF(AE800="","",", "&amp;AE800)&amp;IF(AH800="","",", "&amp;AH800)&amp;IF(AK800="","",", "&amp;AK800)&amp;IF(AN800="","",", "&amp;AN800)&amp;IF(AQ800="","",", "&amp;AQ800)&amp;IF(AT800="","",", "&amp;AT800)&amp;IF(AW800="","",", "&amp;AW800)&amp;IF(AZ800="","",", "&amp;AZ800),3,500)</f>
        <v/>
      </c>
      <c r="BH800" s="12" t="n"/>
      <c r="BI800" s="15">
        <f>IFERROR(MATCH($A800,IF($B800="Onsite",tbl_Onsite[Row ID],IF($B800="Production",tbl_Production[Row ID],tbl_Consulting[Row ID])),0),"")</f>
        <v/>
      </c>
    </row>
    <row r="801">
      <c r="A801" s="10" t="inlineStr">
        <is>
          <t>PRD-0295</t>
        </is>
      </c>
      <c r="B801" s="10" t="inlineStr">
        <is>
          <t>Production</t>
        </is>
      </c>
      <c r="C801" s="10">
        <f>IF($BI801="","",IF($B801="Onsite",INDEX(tbl_Onsite[Job Number],$BI801),IF($B801="Production",INDEX(tbl_Production[Job Number],$BI801),INDEX(tbl_Consulting[Job Number],$BI801)))&amp;"")</f>
        <v/>
      </c>
      <c r="D801" s="10">
        <f>IF($BI801="","",IF($B801="Onsite",INDEX(tbl_Onsite[Client],$BI801),IF($B801="Production",INDEX(tbl_Production[Client],$BI801),INDEX(tbl_Consulting[Client],$BI801)))&amp;"")</f>
        <v/>
      </c>
      <c r="E801" s="10">
        <f>IF($C801="","",IF(COUNTIF(lst_Jobs,$C801)&gt;0,"OK","CHECK"))</f>
        <v/>
      </c>
      <c r="F801" s="10">
        <f>IF($C801="","",IFERROR(INDEX(lst_JobName,MATCH($C801,lst_Jobs,0)),""))</f>
        <v/>
      </c>
      <c r="G801" s="10">
        <f>IF($BI801="","",IF($B801="Onsite",INDEX(tbl_Onsite[Job Description],$BI801),IF($B801="Production",INDEX(tbl_Production[Job Description],$BI801),INDEX(tbl_Consulting[Job Description],$BI801)))&amp;"")</f>
        <v/>
      </c>
      <c r="H801" s="10">
        <f>IF($BI801="","",IF($B801="Onsite",INDEX(tbl_Onsite[Cost Centre],$BI801),IF($B801="Production",INDEX(tbl_Production[Cost Centre],$BI801),INDEX(tbl_Consulting[Cost Centre],$BI801)))&amp;"")</f>
        <v/>
      </c>
      <c r="I801" s="10">
        <f>IF($BI801="","",IF($B801="Onsite",INDEX(tbl_Onsite[Invoice Type],$BI801),IF($B801="Production",INDEX(tbl_Production[Invoice Type],$BI801),INDEX(tbl_Consulting[Invoice Type],$BI801)))&amp;"")</f>
        <v/>
      </c>
      <c r="J801" s="10">
        <f>IF($BI801="","",IF($B801="Onsite",INDEX(tbl_Onsite[Tax Code],$BI801),IF($B801="Production",INDEX(tbl_Production[Tax Code],$BI801),INDEX(tbl_Consulting[Tax Code],$BI801)))&amp;"")</f>
        <v/>
      </c>
      <c r="K801" s="10">
        <f>IF(H801="","",IFERROR(INDEX(lst_CCtoGL,MATCH(H801,lst_CCforGL,0)),""))</f>
        <v/>
      </c>
      <c r="L801" s="10">
        <f>IF($BI801="","",IF($B801="Onsite",INDEX(tbl_Onsite[PO / Reference],$BI801),IF($B801="Production",INDEX(tbl_Production[Current RMS No],$BI801),INDEX(tbl_Consulting[Qwilr Quote],$BI801)))&amp;"")</f>
        <v/>
      </c>
      <c r="M801" s="10">
        <f>IF($BI801="","",IF($B801="Onsite",INDEX(tbl_Onsite[Notes],$BI801),IF($B801="Production",INDEX(tbl_Production[Notes],$BI801),INDEX(tbl_Consulting[Notes],$BI801)))&amp;"")</f>
        <v/>
      </c>
      <c r="N801" s="11">
        <f>IF($BI801="","",IF(IF($B801="Onsite",INDEX(tbl_Onsite[Expected Revenue Ex GST],$BI801),IF($B801="Production",INDEX(tbl_Production[Expected Revenue Ex GST],$BI801),INDEX(tbl_Consulting[Expected Revenue Ex GST],$BI801)))="","",IF($B801="Onsite",INDEX(tbl_Onsite[Expected Revenue Ex GST],$BI801),IF($B801="Production",INDEX(tbl_Production[Expected Revenue Ex GST],$BI801),INDEX(tbl_Consulting[Expected Revenue Ex GST],$BI801)))))</f>
        <v/>
      </c>
      <c r="O801" s="11">
        <f>IF(AND($C801="",NOT(COUNTA($S801:$BB801)&gt;0)),"",SUM(U801,X801,AA801,AD801,AG801,AJ801,AM801,AP801,AS801,AV801,AY801,BB801))</f>
        <v/>
      </c>
      <c r="P801" s="11">
        <f>IF(O801="","",N(N801)-O801)</f>
        <v/>
      </c>
      <c r="Q801" s="10">
        <f>IF(O801="","",IF($C801="","Invoice on empty job row",IF(N801="",IF(ROUND(O801,2)=0,"No dept value","Invoiced - no dept value"),IF(ROUND(O801,2)=0,"Not invoiced - to invoice",IF(ROUND(P801,2)=0,"Agrees",IF(P801&gt;0,"Dept higher - to invoice","Xero higher - check dept"))))))</f>
        <v/>
      </c>
      <c r="R801" s="10">
        <f>IF(AND($C801="",NOT(COUNTA($S801:$BB801)&gt;0),$BI801&lt;&gt;""),"",MID(IF($BI801="","; Row ID not found on the department sheet - a row was deleted","")&amp;IF(AND($C801="",COUNTA($S801:$BB801)&gt;0),"; Invoice entered but the department row has no job number","")&amp;IF(E801="CHECK","; Job number not in the Xero job list","")&amp;IF(AND($C801&lt;&gt;"",COUNTIF($C$7:$C$1506,$C801)&gt;1),"; Job number on more than one row","")&amp;IF(AND($C801&lt;&gt;"",H801=""),"; Dept has not set a cost centre","")&amp;IF(AND($C801&lt;&gt;"",J801=""),"; Dept has not set a tax code","")&amp;IF(AND($C801&lt;&gt;"",N801=""),"; Dept has not entered an expected value","")&amp;IF((IF(OR(COUNTA(S801:U801)=0,AND(COUNTA(S801:U801)=3,ISNUMBER(U801))),0,1)+IF(OR(COUNTA(V801:X801)=0,AND(COUNTA(V801:X801)=3,ISNUMBER(X801))),0,1)+IF(OR(COUNTA(Y801:AA801)=0,AND(COUNTA(Y801:AA801)=3,ISNUMBER(AA801))),0,1)+IF(OR(COUNTA(AB801:AD801)=0,AND(COUNTA(AB801:AD801)=3,ISNUMBER(AD801))),0,1)+IF(OR(COUNTA(AE801:AG801)=0,AND(COUNTA(AE801:AG801)=3,ISNUMBER(AG801))),0,1)+IF(OR(COUNTA(AH801:AJ801)=0,AND(COUNTA(AH801:AJ801)=3,ISNUMBER(AJ801))),0,1)+IF(OR(COUNTA(AK801:AM801)=0,AND(COUNTA(AK801:AM801)=3,ISNUMBER(AM801))),0,1)+IF(OR(COUNTA(AN801:AP801)=0,AND(COUNTA(AN801:AP801)=3,ISNUMBER(AP801))),0,1)+IF(OR(COUNTA(AQ801:AS801)=0,AND(COUNTA(AQ801:AS801)=3,ISNUMBER(AS801))),0,1)+IF(OR(COUNTA(AT801:AV801)=0,AND(COUNTA(AT801:AV801)=3,ISNUMBER(AV801))),0,1)+IF(OR(COUNTA(AW801:AY801)=0,AND(COUNTA(AW801:AY801)=3,ISNUMBER(AY801))),0,1)+IF(OR(COUNTA(AZ801:BB801)=0,AND(COUNTA(AZ801:BB801)=3,ISNUMBER(BB801))),0,1))&gt;0,"; An invoice is incomplete (needs No, Date and a number in Ex GST)","")&amp;IF((IF(T801="",0,IFERROR(--(EOMONTH(T801,0)&lt;&gt;S$5),1))+IF(W801="",0,IFERROR(--(EOMONTH(W801,0)&lt;&gt;V$5),1))+IF(Z801="",0,IFERROR(--(EOMONTH(Z801,0)&lt;&gt;Y$5),1))+IF(AC801="",0,IFERROR(--(EOMONTH(AC801,0)&lt;&gt;AB$5),1))+IF(AF801="",0,IFERROR(--(EOMONTH(AF801,0)&lt;&gt;AE$5),1))+IF(AI801="",0,IFERROR(--(EOMONTH(AI801,0)&lt;&gt;AH$5),1))+IF(AL801="",0,IFERROR(--(EOMONTH(AL801,0)&lt;&gt;AK$5),1))+IF(AO801="",0,IFERROR(--(EOMONTH(AO801,0)&lt;&gt;AN$5),1))+IF(AR801="",0,IFERROR(--(EOMONTH(AR801,0)&lt;&gt;AQ$5),1))+IF(AU801="",0,IFERROR(--(EOMONTH(AU801,0)&lt;&gt;AT$5),1))+IF(AX801="",0,IFERROR(--(EOMONTH(AX801,0)&lt;&gt;AW$5),1))+IF(BA801="",0,IFERROR(--(EOMONTH(BA801,0)&lt;&gt;AZ$5),1)))&gt;0,"; An invoice date is not in the month it is typed under",""),3,500))</f>
        <v/>
      </c>
      <c r="S801" s="12" t="n"/>
      <c r="T801" s="13" t="n"/>
      <c r="U801" s="14" t="n"/>
      <c r="V801" s="12" t="n"/>
      <c r="W801" s="13" t="n"/>
      <c r="X801" s="14" t="n"/>
      <c r="Y801" s="12" t="n"/>
      <c r="Z801" s="13" t="n"/>
      <c r="AA801" s="14" t="n"/>
      <c r="AB801" s="12" t="n"/>
      <c r="AC801" s="13" t="n"/>
      <c r="AD801" s="14" t="n"/>
      <c r="AE801" s="12" t="n"/>
      <c r="AF801" s="13" t="n"/>
      <c r="AG801" s="14" t="n"/>
      <c r="AH801" s="12" t="n"/>
      <c r="AI801" s="13" t="n"/>
      <c r="AJ801" s="14" t="n"/>
      <c r="AK801" s="12" t="n"/>
      <c r="AL801" s="13" t="n"/>
      <c r="AM801" s="14" t="n"/>
      <c r="AN801" s="12" t="n"/>
      <c r="AO801" s="13" t="n"/>
      <c r="AP801" s="14" t="n"/>
      <c r="AQ801" s="12" t="n"/>
      <c r="AR801" s="13" t="n"/>
      <c r="AS801" s="14" t="n"/>
      <c r="AT801" s="12" t="n"/>
      <c r="AU801" s="13" t="n"/>
      <c r="AV801" s="14" t="n"/>
      <c r="AW801" s="12" t="n"/>
      <c r="AX801" s="13" t="n"/>
      <c r="AY801" s="14" t="n"/>
      <c r="AZ801" s="12" t="n"/>
      <c r="BA801" s="13" t="n"/>
      <c r="BB801" s="14" t="n"/>
      <c r="BC801" s="11">
        <f>IF(O801="","",IF(J801="GST 10%",ROUND(O801*set_GSTRate,2),0))</f>
        <v/>
      </c>
      <c r="BD801" s="11">
        <f>IF(O801="","",O801+BC801)</f>
        <v/>
      </c>
      <c r="BE801" s="15">
        <f>IF(O801="","",COUNTA(S801,V801,Y801,AB801,AE801,AH801,AK801,AN801,AQ801,AT801,AW801,AZ801))</f>
        <v/>
      </c>
      <c r="BF801" s="16">
        <f>IF(COUNT(T801,W801,Z801,AC801,AF801,AI801,AL801,AO801,AR801,AU801,AX801,BA801)=0,"",MAX(T801,W801,Z801,AC801,AF801,AI801,AL801,AO801,AR801,AU801,AX801,BA801))</f>
        <v/>
      </c>
      <c r="BG801" s="10">
        <f>MID(IF(S801="","",", "&amp;S801)&amp;IF(V801="","",", "&amp;V801)&amp;IF(Y801="","",", "&amp;Y801)&amp;IF(AB801="","",", "&amp;AB801)&amp;IF(AE801="","",", "&amp;AE801)&amp;IF(AH801="","",", "&amp;AH801)&amp;IF(AK801="","",", "&amp;AK801)&amp;IF(AN801="","",", "&amp;AN801)&amp;IF(AQ801="","",", "&amp;AQ801)&amp;IF(AT801="","",", "&amp;AT801)&amp;IF(AW801="","",", "&amp;AW801)&amp;IF(AZ801="","",", "&amp;AZ801),3,500)</f>
        <v/>
      </c>
      <c r="BH801" s="12" t="n"/>
      <c r="BI801" s="15">
        <f>IFERROR(MATCH($A801,IF($B801="Onsite",tbl_Onsite[Row ID],IF($B801="Production",tbl_Production[Row ID],tbl_Consulting[Row ID])),0),"")</f>
        <v/>
      </c>
    </row>
    <row r="802">
      <c r="A802" s="10" t="inlineStr">
        <is>
          <t>PRD-0296</t>
        </is>
      </c>
      <c r="B802" s="10" t="inlineStr">
        <is>
          <t>Production</t>
        </is>
      </c>
      <c r="C802" s="10">
        <f>IF($BI802="","",IF($B802="Onsite",INDEX(tbl_Onsite[Job Number],$BI802),IF($B802="Production",INDEX(tbl_Production[Job Number],$BI802),INDEX(tbl_Consulting[Job Number],$BI802)))&amp;"")</f>
        <v/>
      </c>
      <c r="D802" s="10">
        <f>IF($BI802="","",IF($B802="Onsite",INDEX(tbl_Onsite[Client],$BI802),IF($B802="Production",INDEX(tbl_Production[Client],$BI802),INDEX(tbl_Consulting[Client],$BI802)))&amp;"")</f>
        <v/>
      </c>
      <c r="E802" s="10">
        <f>IF($C802="","",IF(COUNTIF(lst_Jobs,$C802)&gt;0,"OK","CHECK"))</f>
        <v/>
      </c>
      <c r="F802" s="10">
        <f>IF($C802="","",IFERROR(INDEX(lst_JobName,MATCH($C802,lst_Jobs,0)),""))</f>
        <v/>
      </c>
      <c r="G802" s="10">
        <f>IF($BI802="","",IF($B802="Onsite",INDEX(tbl_Onsite[Job Description],$BI802),IF($B802="Production",INDEX(tbl_Production[Job Description],$BI802),INDEX(tbl_Consulting[Job Description],$BI802)))&amp;"")</f>
        <v/>
      </c>
      <c r="H802" s="10">
        <f>IF($BI802="","",IF($B802="Onsite",INDEX(tbl_Onsite[Cost Centre],$BI802),IF($B802="Production",INDEX(tbl_Production[Cost Centre],$BI802),INDEX(tbl_Consulting[Cost Centre],$BI802)))&amp;"")</f>
        <v/>
      </c>
      <c r="I802" s="10">
        <f>IF($BI802="","",IF($B802="Onsite",INDEX(tbl_Onsite[Invoice Type],$BI802),IF($B802="Production",INDEX(tbl_Production[Invoice Type],$BI802),INDEX(tbl_Consulting[Invoice Type],$BI802)))&amp;"")</f>
        <v/>
      </c>
      <c r="J802" s="10">
        <f>IF($BI802="","",IF($B802="Onsite",INDEX(tbl_Onsite[Tax Code],$BI802),IF($B802="Production",INDEX(tbl_Production[Tax Code],$BI802),INDEX(tbl_Consulting[Tax Code],$BI802)))&amp;"")</f>
        <v/>
      </c>
      <c r="K802" s="10">
        <f>IF(H802="","",IFERROR(INDEX(lst_CCtoGL,MATCH(H802,lst_CCforGL,0)),""))</f>
        <v/>
      </c>
      <c r="L802" s="10">
        <f>IF($BI802="","",IF($B802="Onsite",INDEX(tbl_Onsite[PO / Reference],$BI802),IF($B802="Production",INDEX(tbl_Production[Current RMS No],$BI802),INDEX(tbl_Consulting[Qwilr Quote],$BI802)))&amp;"")</f>
        <v/>
      </c>
      <c r="M802" s="10">
        <f>IF($BI802="","",IF($B802="Onsite",INDEX(tbl_Onsite[Notes],$BI802),IF($B802="Production",INDEX(tbl_Production[Notes],$BI802),INDEX(tbl_Consulting[Notes],$BI802)))&amp;"")</f>
        <v/>
      </c>
      <c r="N802" s="11">
        <f>IF($BI802="","",IF(IF($B802="Onsite",INDEX(tbl_Onsite[Expected Revenue Ex GST],$BI802),IF($B802="Production",INDEX(tbl_Production[Expected Revenue Ex GST],$BI802),INDEX(tbl_Consulting[Expected Revenue Ex GST],$BI802)))="","",IF($B802="Onsite",INDEX(tbl_Onsite[Expected Revenue Ex GST],$BI802),IF($B802="Production",INDEX(tbl_Production[Expected Revenue Ex GST],$BI802),INDEX(tbl_Consulting[Expected Revenue Ex GST],$BI802)))))</f>
        <v/>
      </c>
      <c r="O802" s="11">
        <f>IF(AND($C802="",NOT(COUNTA($S802:$BB802)&gt;0)),"",SUM(U802,X802,AA802,AD802,AG802,AJ802,AM802,AP802,AS802,AV802,AY802,BB802))</f>
        <v/>
      </c>
      <c r="P802" s="11">
        <f>IF(O802="","",N(N802)-O802)</f>
        <v/>
      </c>
      <c r="Q802" s="10">
        <f>IF(O802="","",IF($C802="","Invoice on empty job row",IF(N802="",IF(ROUND(O802,2)=0,"No dept value","Invoiced - no dept value"),IF(ROUND(O802,2)=0,"Not invoiced - to invoice",IF(ROUND(P802,2)=0,"Agrees",IF(P802&gt;0,"Dept higher - to invoice","Xero higher - check dept"))))))</f>
        <v/>
      </c>
      <c r="R802" s="10">
        <f>IF(AND($C802="",NOT(COUNTA($S802:$BB802)&gt;0),$BI802&lt;&gt;""),"",MID(IF($BI802="","; Row ID not found on the department sheet - a row was deleted","")&amp;IF(AND($C802="",COUNTA($S802:$BB802)&gt;0),"; Invoice entered but the department row has no job number","")&amp;IF(E802="CHECK","; Job number not in the Xero job list","")&amp;IF(AND($C802&lt;&gt;"",COUNTIF($C$7:$C$1506,$C802)&gt;1),"; Job number on more than one row","")&amp;IF(AND($C802&lt;&gt;"",H802=""),"; Dept has not set a cost centre","")&amp;IF(AND($C802&lt;&gt;"",J802=""),"; Dept has not set a tax code","")&amp;IF(AND($C802&lt;&gt;"",N802=""),"; Dept has not entered an expected value","")&amp;IF((IF(OR(COUNTA(S802:U802)=0,AND(COUNTA(S802:U802)=3,ISNUMBER(U802))),0,1)+IF(OR(COUNTA(V802:X802)=0,AND(COUNTA(V802:X802)=3,ISNUMBER(X802))),0,1)+IF(OR(COUNTA(Y802:AA802)=0,AND(COUNTA(Y802:AA802)=3,ISNUMBER(AA802))),0,1)+IF(OR(COUNTA(AB802:AD802)=0,AND(COUNTA(AB802:AD802)=3,ISNUMBER(AD802))),0,1)+IF(OR(COUNTA(AE802:AG802)=0,AND(COUNTA(AE802:AG802)=3,ISNUMBER(AG802))),0,1)+IF(OR(COUNTA(AH802:AJ802)=0,AND(COUNTA(AH802:AJ802)=3,ISNUMBER(AJ802))),0,1)+IF(OR(COUNTA(AK802:AM802)=0,AND(COUNTA(AK802:AM802)=3,ISNUMBER(AM802))),0,1)+IF(OR(COUNTA(AN802:AP802)=0,AND(COUNTA(AN802:AP802)=3,ISNUMBER(AP802))),0,1)+IF(OR(COUNTA(AQ802:AS802)=0,AND(COUNTA(AQ802:AS802)=3,ISNUMBER(AS802))),0,1)+IF(OR(COUNTA(AT802:AV802)=0,AND(COUNTA(AT802:AV802)=3,ISNUMBER(AV802))),0,1)+IF(OR(COUNTA(AW802:AY802)=0,AND(COUNTA(AW802:AY802)=3,ISNUMBER(AY802))),0,1)+IF(OR(COUNTA(AZ802:BB802)=0,AND(COUNTA(AZ802:BB802)=3,ISNUMBER(BB802))),0,1))&gt;0,"; An invoice is incomplete (needs No, Date and a number in Ex GST)","")&amp;IF((IF(T802="",0,IFERROR(--(EOMONTH(T802,0)&lt;&gt;S$5),1))+IF(W802="",0,IFERROR(--(EOMONTH(W802,0)&lt;&gt;V$5),1))+IF(Z802="",0,IFERROR(--(EOMONTH(Z802,0)&lt;&gt;Y$5),1))+IF(AC802="",0,IFERROR(--(EOMONTH(AC802,0)&lt;&gt;AB$5),1))+IF(AF802="",0,IFERROR(--(EOMONTH(AF802,0)&lt;&gt;AE$5),1))+IF(AI802="",0,IFERROR(--(EOMONTH(AI802,0)&lt;&gt;AH$5),1))+IF(AL802="",0,IFERROR(--(EOMONTH(AL802,0)&lt;&gt;AK$5),1))+IF(AO802="",0,IFERROR(--(EOMONTH(AO802,0)&lt;&gt;AN$5),1))+IF(AR802="",0,IFERROR(--(EOMONTH(AR802,0)&lt;&gt;AQ$5),1))+IF(AU802="",0,IFERROR(--(EOMONTH(AU802,0)&lt;&gt;AT$5),1))+IF(AX802="",0,IFERROR(--(EOMONTH(AX802,0)&lt;&gt;AW$5),1))+IF(BA802="",0,IFERROR(--(EOMONTH(BA802,0)&lt;&gt;AZ$5),1)))&gt;0,"; An invoice date is not in the month it is typed under",""),3,500))</f>
        <v/>
      </c>
      <c r="S802" s="12" t="n"/>
      <c r="T802" s="13" t="n"/>
      <c r="U802" s="14" t="n"/>
      <c r="V802" s="12" t="n"/>
      <c r="W802" s="13" t="n"/>
      <c r="X802" s="14" t="n"/>
      <c r="Y802" s="12" t="n"/>
      <c r="Z802" s="13" t="n"/>
      <c r="AA802" s="14" t="n"/>
      <c r="AB802" s="12" t="n"/>
      <c r="AC802" s="13" t="n"/>
      <c r="AD802" s="14" t="n"/>
      <c r="AE802" s="12" t="n"/>
      <c r="AF802" s="13" t="n"/>
      <c r="AG802" s="14" t="n"/>
      <c r="AH802" s="12" t="n"/>
      <c r="AI802" s="13" t="n"/>
      <c r="AJ802" s="14" t="n"/>
      <c r="AK802" s="12" t="n"/>
      <c r="AL802" s="13" t="n"/>
      <c r="AM802" s="14" t="n"/>
      <c r="AN802" s="12" t="n"/>
      <c r="AO802" s="13" t="n"/>
      <c r="AP802" s="14" t="n"/>
      <c r="AQ802" s="12" t="n"/>
      <c r="AR802" s="13" t="n"/>
      <c r="AS802" s="14" t="n"/>
      <c r="AT802" s="12" t="n"/>
      <c r="AU802" s="13" t="n"/>
      <c r="AV802" s="14" t="n"/>
      <c r="AW802" s="12" t="n"/>
      <c r="AX802" s="13" t="n"/>
      <c r="AY802" s="14" t="n"/>
      <c r="AZ802" s="12" t="n"/>
      <c r="BA802" s="13" t="n"/>
      <c r="BB802" s="14" t="n"/>
      <c r="BC802" s="11">
        <f>IF(O802="","",IF(J802="GST 10%",ROUND(O802*set_GSTRate,2),0))</f>
        <v/>
      </c>
      <c r="BD802" s="11">
        <f>IF(O802="","",O802+BC802)</f>
        <v/>
      </c>
      <c r="BE802" s="15">
        <f>IF(O802="","",COUNTA(S802,V802,Y802,AB802,AE802,AH802,AK802,AN802,AQ802,AT802,AW802,AZ802))</f>
        <v/>
      </c>
      <c r="BF802" s="16">
        <f>IF(COUNT(T802,W802,Z802,AC802,AF802,AI802,AL802,AO802,AR802,AU802,AX802,BA802)=0,"",MAX(T802,W802,Z802,AC802,AF802,AI802,AL802,AO802,AR802,AU802,AX802,BA802))</f>
        <v/>
      </c>
      <c r="BG802" s="10">
        <f>MID(IF(S802="","",", "&amp;S802)&amp;IF(V802="","",", "&amp;V802)&amp;IF(Y802="","",", "&amp;Y802)&amp;IF(AB802="","",", "&amp;AB802)&amp;IF(AE802="","",", "&amp;AE802)&amp;IF(AH802="","",", "&amp;AH802)&amp;IF(AK802="","",", "&amp;AK802)&amp;IF(AN802="","",", "&amp;AN802)&amp;IF(AQ802="","",", "&amp;AQ802)&amp;IF(AT802="","",", "&amp;AT802)&amp;IF(AW802="","",", "&amp;AW802)&amp;IF(AZ802="","",", "&amp;AZ802),3,500)</f>
        <v/>
      </c>
      <c r="BH802" s="12" t="n"/>
      <c r="BI802" s="15">
        <f>IFERROR(MATCH($A802,IF($B802="Onsite",tbl_Onsite[Row ID],IF($B802="Production",tbl_Production[Row ID],tbl_Consulting[Row ID])),0),"")</f>
        <v/>
      </c>
    </row>
    <row r="803">
      <c r="A803" s="10" t="inlineStr">
        <is>
          <t>PRD-0297</t>
        </is>
      </c>
      <c r="B803" s="10" t="inlineStr">
        <is>
          <t>Production</t>
        </is>
      </c>
      <c r="C803" s="10">
        <f>IF($BI803="","",IF($B803="Onsite",INDEX(tbl_Onsite[Job Number],$BI803),IF($B803="Production",INDEX(tbl_Production[Job Number],$BI803),INDEX(tbl_Consulting[Job Number],$BI803)))&amp;"")</f>
        <v/>
      </c>
      <c r="D803" s="10">
        <f>IF($BI803="","",IF($B803="Onsite",INDEX(tbl_Onsite[Client],$BI803),IF($B803="Production",INDEX(tbl_Production[Client],$BI803),INDEX(tbl_Consulting[Client],$BI803)))&amp;"")</f>
        <v/>
      </c>
      <c r="E803" s="10">
        <f>IF($C803="","",IF(COUNTIF(lst_Jobs,$C803)&gt;0,"OK","CHECK"))</f>
        <v/>
      </c>
      <c r="F803" s="10">
        <f>IF($C803="","",IFERROR(INDEX(lst_JobName,MATCH($C803,lst_Jobs,0)),""))</f>
        <v/>
      </c>
      <c r="G803" s="10">
        <f>IF($BI803="","",IF($B803="Onsite",INDEX(tbl_Onsite[Job Description],$BI803),IF($B803="Production",INDEX(tbl_Production[Job Description],$BI803),INDEX(tbl_Consulting[Job Description],$BI803)))&amp;"")</f>
        <v/>
      </c>
      <c r="H803" s="10">
        <f>IF($BI803="","",IF($B803="Onsite",INDEX(tbl_Onsite[Cost Centre],$BI803),IF($B803="Production",INDEX(tbl_Production[Cost Centre],$BI803),INDEX(tbl_Consulting[Cost Centre],$BI803)))&amp;"")</f>
        <v/>
      </c>
      <c r="I803" s="10">
        <f>IF($BI803="","",IF($B803="Onsite",INDEX(tbl_Onsite[Invoice Type],$BI803),IF($B803="Production",INDEX(tbl_Production[Invoice Type],$BI803),INDEX(tbl_Consulting[Invoice Type],$BI803)))&amp;"")</f>
        <v/>
      </c>
      <c r="J803" s="10">
        <f>IF($BI803="","",IF($B803="Onsite",INDEX(tbl_Onsite[Tax Code],$BI803),IF($B803="Production",INDEX(tbl_Production[Tax Code],$BI803),INDEX(tbl_Consulting[Tax Code],$BI803)))&amp;"")</f>
        <v/>
      </c>
      <c r="K803" s="10">
        <f>IF(H803="","",IFERROR(INDEX(lst_CCtoGL,MATCH(H803,lst_CCforGL,0)),""))</f>
        <v/>
      </c>
      <c r="L803" s="10">
        <f>IF($BI803="","",IF($B803="Onsite",INDEX(tbl_Onsite[PO / Reference],$BI803),IF($B803="Production",INDEX(tbl_Production[Current RMS No],$BI803),INDEX(tbl_Consulting[Qwilr Quote],$BI803)))&amp;"")</f>
        <v/>
      </c>
      <c r="M803" s="10">
        <f>IF($BI803="","",IF($B803="Onsite",INDEX(tbl_Onsite[Notes],$BI803),IF($B803="Production",INDEX(tbl_Production[Notes],$BI803),INDEX(tbl_Consulting[Notes],$BI803)))&amp;"")</f>
        <v/>
      </c>
      <c r="N803" s="11">
        <f>IF($BI803="","",IF(IF($B803="Onsite",INDEX(tbl_Onsite[Expected Revenue Ex GST],$BI803),IF($B803="Production",INDEX(tbl_Production[Expected Revenue Ex GST],$BI803),INDEX(tbl_Consulting[Expected Revenue Ex GST],$BI803)))="","",IF($B803="Onsite",INDEX(tbl_Onsite[Expected Revenue Ex GST],$BI803),IF($B803="Production",INDEX(tbl_Production[Expected Revenue Ex GST],$BI803),INDEX(tbl_Consulting[Expected Revenue Ex GST],$BI803)))))</f>
        <v/>
      </c>
      <c r="O803" s="11">
        <f>IF(AND($C803="",NOT(COUNTA($S803:$BB803)&gt;0)),"",SUM(U803,X803,AA803,AD803,AG803,AJ803,AM803,AP803,AS803,AV803,AY803,BB803))</f>
        <v/>
      </c>
      <c r="P803" s="11">
        <f>IF(O803="","",N(N803)-O803)</f>
        <v/>
      </c>
      <c r="Q803" s="10">
        <f>IF(O803="","",IF($C803="","Invoice on empty job row",IF(N803="",IF(ROUND(O803,2)=0,"No dept value","Invoiced - no dept value"),IF(ROUND(O803,2)=0,"Not invoiced - to invoice",IF(ROUND(P803,2)=0,"Agrees",IF(P803&gt;0,"Dept higher - to invoice","Xero higher - check dept"))))))</f>
        <v/>
      </c>
      <c r="R803" s="10">
        <f>IF(AND($C803="",NOT(COUNTA($S803:$BB803)&gt;0),$BI803&lt;&gt;""),"",MID(IF($BI803="","; Row ID not found on the department sheet - a row was deleted","")&amp;IF(AND($C803="",COUNTA($S803:$BB803)&gt;0),"; Invoice entered but the department row has no job number","")&amp;IF(E803="CHECK","; Job number not in the Xero job list","")&amp;IF(AND($C803&lt;&gt;"",COUNTIF($C$7:$C$1506,$C803)&gt;1),"; Job number on more than one row","")&amp;IF(AND($C803&lt;&gt;"",H803=""),"; Dept has not set a cost centre","")&amp;IF(AND($C803&lt;&gt;"",J803=""),"; Dept has not set a tax code","")&amp;IF(AND($C803&lt;&gt;"",N803=""),"; Dept has not entered an expected value","")&amp;IF((IF(OR(COUNTA(S803:U803)=0,AND(COUNTA(S803:U803)=3,ISNUMBER(U803))),0,1)+IF(OR(COUNTA(V803:X803)=0,AND(COUNTA(V803:X803)=3,ISNUMBER(X803))),0,1)+IF(OR(COUNTA(Y803:AA803)=0,AND(COUNTA(Y803:AA803)=3,ISNUMBER(AA803))),0,1)+IF(OR(COUNTA(AB803:AD803)=0,AND(COUNTA(AB803:AD803)=3,ISNUMBER(AD803))),0,1)+IF(OR(COUNTA(AE803:AG803)=0,AND(COUNTA(AE803:AG803)=3,ISNUMBER(AG803))),0,1)+IF(OR(COUNTA(AH803:AJ803)=0,AND(COUNTA(AH803:AJ803)=3,ISNUMBER(AJ803))),0,1)+IF(OR(COUNTA(AK803:AM803)=0,AND(COUNTA(AK803:AM803)=3,ISNUMBER(AM803))),0,1)+IF(OR(COUNTA(AN803:AP803)=0,AND(COUNTA(AN803:AP803)=3,ISNUMBER(AP803))),0,1)+IF(OR(COUNTA(AQ803:AS803)=0,AND(COUNTA(AQ803:AS803)=3,ISNUMBER(AS803))),0,1)+IF(OR(COUNTA(AT803:AV803)=0,AND(COUNTA(AT803:AV803)=3,ISNUMBER(AV803))),0,1)+IF(OR(COUNTA(AW803:AY803)=0,AND(COUNTA(AW803:AY803)=3,ISNUMBER(AY803))),0,1)+IF(OR(COUNTA(AZ803:BB803)=0,AND(COUNTA(AZ803:BB803)=3,ISNUMBER(BB803))),0,1))&gt;0,"; An invoice is incomplete (needs No, Date and a number in Ex GST)","")&amp;IF((IF(T803="",0,IFERROR(--(EOMONTH(T803,0)&lt;&gt;S$5),1))+IF(W803="",0,IFERROR(--(EOMONTH(W803,0)&lt;&gt;V$5),1))+IF(Z803="",0,IFERROR(--(EOMONTH(Z803,0)&lt;&gt;Y$5),1))+IF(AC803="",0,IFERROR(--(EOMONTH(AC803,0)&lt;&gt;AB$5),1))+IF(AF803="",0,IFERROR(--(EOMONTH(AF803,0)&lt;&gt;AE$5),1))+IF(AI803="",0,IFERROR(--(EOMONTH(AI803,0)&lt;&gt;AH$5),1))+IF(AL803="",0,IFERROR(--(EOMONTH(AL803,0)&lt;&gt;AK$5),1))+IF(AO803="",0,IFERROR(--(EOMONTH(AO803,0)&lt;&gt;AN$5),1))+IF(AR803="",0,IFERROR(--(EOMONTH(AR803,0)&lt;&gt;AQ$5),1))+IF(AU803="",0,IFERROR(--(EOMONTH(AU803,0)&lt;&gt;AT$5),1))+IF(AX803="",0,IFERROR(--(EOMONTH(AX803,0)&lt;&gt;AW$5),1))+IF(BA803="",0,IFERROR(--(EOMONTH(BA803,0)&lt;&gt;AZ$5),1)))&gt;0,"; An invoice date is not in the month it is typed under",""),3,500))</f>
        <v/>
      </c>
      <c r="S803" s="12" t="n"/>
      <c r="T803" s="13" t="n"/>
      <c r="U803" s="14" t="n"/>
      <c r="V803" s="12" t="n"/>
      <c r="W803" s="13" t="n"/>
      <c r="X803" s="14" t="n"/>
      <c r="Y803" s="12" t="n"/>
      <c r="Z803" s="13" t="n"/>
      <c r="AA803" s="14" t="n"/>
      <c r="AB803" s="12" t="n"/>
      <c r="AC803" s="13" t="n"/>
      <c r="AD803" s="14" t="n"/>
      <c r="AE803" s="12" t="n"/>
      <c r="AF803" s="13" t="n"/>
      <c r="AG803" s="14" t="n"/>
      <c r="AH803" s="12" t="n"/>
      <c r="AI803" s="13" t="n"/>
      <c r="AJ803" s="14" t="n"/>
      <c r="AK803" s="12" t="n"/>
      <c r="AL803" s="13" t="n"/>
      <c r="AM803" s="14" t="n"/>
      <c r="AN803" s="12" t="n"/>
      <c r="AO803" s="13" t="n"/>
      <c r="AP803" s="14" t="n"/>
      <c r="AQ803" s="12" t="n"/>
      <c r="AR803" s="13" t="n"/>
      <c r="AS803" s="14" t="n"/>
      <c r="AT803" s="12" t="n"/>
      <c r="AU803" s="13" t="n"/>
      <c r="AV803" s="14" t="n"/>
      <c r="AW803" s="12" t="n"/>
      <c r="AX803" s="13" t="n"/>
      <c r="AY803" s="14" t="n"/>
      <c r="AZ803" s="12" t="n"/>
      <c r="BA803" s="13" t="n"/>
      <c r="BB803" s="14" t="n"/>
      <c r="BC803" s="11">
        <f>IF(O803="","",IF(J803="GST 10%",ROUND(O803*set_GSTRate,2),0))</f>
        <v/>
      </c>
      <c r="BD803" s="11">
        <f>IF(O803="","",O803+BC803)</f>
        <v/>
      </c>
      <c r="BE803" s="15">
        <f>IF(O803="","",COUNTA(S803,V803,Y803,AB803,AE803,AH803,AK803,AN803,AQ803,AT803,AW803,AZ803))</f>
        <v/>
      </c>
      <c r="BF803" s="16">
        <f>IF(COUNT(T803,W803,Z803,AC803,AF803,AI803,AL803,AO803,AR803,AU803,AX803,BA803)=0,"",MAX(T803,W803,Z803,AC803,AF803,AI803,AL803,AO803,AR803,AU803,AX803,BA803))</f>
        <v/>
      </c>
      <c r="BG803" s="10">
        <f>MID(IF(S803="","",", "&amp;S803)&amp;IF(V803="","",", "&amp;V803)&amp;IF(Y803="","",", "&amp;Y803)&amp;IF(AB803="","",", "&amp;AB803)&amp;IF(AE803="","",", "&amp;AE803)&amp;IF(AH803="","",", "&amp;AH803)&amp;IF(AK803="","",", "&amp;AK803)&amp;IF(AN803="","",", "&amp;AN803)&amp;IF(AQ803="","",", "&amp;AQ803)&amp;IF(AT803="","",", "&amp;AT803)&amp;IF(AW803="","",", "&amp;AW803)&amp;IF(AZ803="","",", "&amp;AZ803),3,500)</f>
        <v/>
      </c>
      <c r="BH803" s="12" t="n"/>
      <c r="BI803" s="15">
        <f>IFERROR(MATCH($A803,IF($B803="Onsite",tbl_Onsite[Row ID],IF($B803="Production",tbl_Production[Row ID],tbl_Consulting[Row ID])),0),"")</f>
        <v/>
      </c>
    </row>
    <row r="804">
      <c r="A804" s="10" t="inlineStr">
        <is>
          <t>PRD-0298</t>
        </is>
      </c>
      <c r="B804" s="10" t="inlineStr">
        <is>
          <t>Production</t>
        </is>
      </c>
      <c r="C804" s="10">
        <f>IF($BI804="","",IF($B804="Onsite",INDEX(tbl_Onsite[Job Number],$BI804),IF($B804="Production",INDEX(tbl_Production[Job Number],$BI804),INDEX(tbl_Consulting[Job Number],$BI804)))&amp;"")</f>
        <v/>
      </c>
      <c r="D804" s="10">
        <f>IF($BI804="","",IF($B804="Onsite",INDEX(tbl_Onsite[Client],$BI804),IF($B804="Production",INDEX(tbl_Production[Client],$BI804),INDEX(tbl_Consulting[Client],$BI804)))&amp;"")</f>
        <v/>
      </c>
      <c r="E804" s="10">
        <f>IF($C804="","",IF(COUNTIF(lst_Jobs,$C804)&gt;0,"OK","CHECK"))</f>
        <v/>
      </c>
      <c r="F804" s="10">
        <f>IF($C804="","",IFERROR(INDEX(lst_JobName,MATCH($C804,lst_Jobs,0)),""))</f>
        <v/>
      </c>
      <c r="G804" s="10">
        <f>IF($BI804="","",IF($B804="Onsite",INDEX(tbl_Onsite[Job Description],$BI804),IF($B804="Production",INDEX(tbl_Production[Job Description],$BI804),INDEX(tbl_Consulting[Job Description],$BI804)))&amp;"")</f>
        <v/>
      </c>
      <c r="H804" s="10">
        <f>IF($BI804="","",IF($B804="Onsite",INDEX(tbl_Onsite[Cost Centre],$BI804),IF($B804="Production",INDEX(tbl_Production[Cost Centre],$BI804),INDEX(tbl_Consulting[Cost Centre],$BI804)))&amp;"")</f>
        <v/>
      </c>
      <c r="I804" s="10">
        <f>IF($BI804="","",IF($B804="Onsite",INDEX(tbl_Onsite[Invoice Type],$BI804),IF($B804="Production",INDEX(tbl_Production[Invoice Type],$BI804),INDEX(tbl_Consulting[Invoice Type],$BI804)))&amp;"")</f>
        <v/>
      </c>
      <c r="J804" s="10">
        <f>IF($BI804="","",IF($B804="Onsite",INDEX(tbl_Onsite[Tax Code],$BI804),IF($B804="Production",INDEX(tbl_Production[Tax Code],$BI804),INDEX(tbl_Consulting[Tax Code],$BI804)))&amp;"")</f>
        <v/>
      </c>
      <c r="K804" s="10">
        <f>IF(H804="","",IFERROR(INDEX(lst_CCtoGL,MATCH(H804,lst_CCforGL,0)),""))</f>
        <v/>
      </c>
      <c r="L804" s="10">
        <f>IF($BI804="","",IF($B804="Onsite",INDEX(tbl_Onsite[PO / Reference],$BI804),IF($B804="Production",INDEX(tbl_Production[Current RMS No],$BI804),INDEX(tbl_Consulting[Qwilr Quote],$BI804)))&amp;"")</f>
        <v/>
      </c>
      <c r="M804" s="10">
        <f>IF($BI804="","",IF($B804="Onsite",INDEX(tbl_Onsite[Notes],$BI804),IF($B804="Production",INDEX(tbl_Production[Notes],$BI804),INDEX(tbl_Consulting[Notes],$BI804)))&amp;"")</f>
        <v/>
      </c>
      <c r="N804" s="11">
        <f>IF($BI804="","",IF(IF($B804="Onsite",INDEX(tbl_Onsite[Expected Revenue Ex GST],$BI804),IF($B804="Production",INDEX(tbl_Production[Expected Revenue Ex GST],$BI804),INDEX(tbl_Consulting[Expected Revenue Ex GST],$BI804)))="","",IF($B804="Onsite",INDEX(tbl_Onsite[Expected Revenue Ex GST],$BI804),IF($B804="Production",INDEX(tbl_Production[Expected Revenue Ex GST],$BI804),INDEX(tbl_Consulting[Expected Revenue Ex GST],$BI804)))))</f>
        <v/>
      </c>
      <c r="O804" s="11">
        <f>IF(AND($C804="",NOT(COUNTA($S804:$BB804)&gt;0)),"",SUM(U804,X804,AA804,AD804,AG804,AJ804,AM804,AP804,AS804,AV804,AY804,BB804))</f>
        <v/>
      </c>
      <c r="P804" s="11">
        <f>IF(O804="","",N(N804)-O804)</f>
        <v/>
      </c>
      <c r="Q804" s="10">
        <f>IF(O804="","",IF($C804="","Invoice on empty job row",IF(N804="",IF(ROUND(O804,2)=0,"No dept value","Invoiced - no dept value"),IF(ROUND(O804,2)=0,"Not invoiced - to invoice",IF(ROUND(P804,2)=0,"Agrees",IF(P804&gt;0,"Dept higher - to invoice","Xero higher - check dept"))))))</f>
        <v/>
      </c>
      <c r="R804" s="10">
        <f>IF(AND($C804="",NOT(COUNTA($S804:$BB804)&gt;0),$BI804&lt;&gt;""),"",MID(IF($BI804="","; Row ID not found on the department sheet - a row was deleted","")&amp;IF(AND($C804="",COUNTA($S804:$BB804)&gt;0),"; Invoice entered but the department row has no job number","")&amp;IF(E804="CHECK","; Job number not in the Xero job list","")&amp;IF(AND($C804&lt;&gt;"",COUNTIF($C$7:$C$1506,$C804)&gt;1),"; Job number on more than one row","")&amp;IF(AND($C804&lt;&gt;"",H804=""),"; Dept has not set a cost centre","")&amp;IF(AND($C804&lt;&gt;"",J804=""),"; Dept has not set a tax code","")&amp;IF(AND($C804&lt;&gt;"",N804=""),"; Dept has not entered an expected value","")&amp;IF((IF(OR(COUNTA(S804:U804)=0,AND(COUNTA(S804:U804)=3,ISNUMBER(U804))),0,1)+IF(OR(COUNTA(V804:X804)=0,AND(COUNTA(V804:X804)=3,ISNUMBER(X804))),0,1)+IF(OR(COUNTA(Y804:AA804)=0,AND(COUNTA(Y804:AA804)=3,ISNUMBER(AA804))),0,1)+IF(OR(COUNTA(AB804:AD804)=0,AND(COUNTA(AB804:AD804)=3,ISNUMBER(AD804))),0,1)+IF(OR(COUNTA(AE804:AG804)=0,AND(COUNTA(AE804:AG804)=3,ISNUMBER(AG804))),0,1)+IF(OR(COUNTA(AH804:AJ804)=0,AND(COUNTA(AH804:AJ804)=3,ISNUMBER(AJ804))),0,1)+IF(OR(COUNTA(AK804:AM804)=0,AND(COUNTA(AK804:AM804)=3,ISNUMBER(AM804))),0,1)+IF(OR(COUNTA(AN804:AP804)=0,AND(COUNTA(AN804:AP804)=3,ISNUMBER(AP804))),0,1)+IF(OR(COUNTA(AQ804:AS804)=0,AND(COUNTA(AQ804:AS804)=3,ISNUMBER(AS804))),0,1)+IF(OR(COUNTA(AT804:AV804)=0,AND(COUNTA(AT804:AV804)=3,ISNUMBER(AV804))),0,1)+IF(OR(COUNTA(AW804:AY804)=0,AND(COUNTA(AW804:AY804)=3,ISNUMBER(AY804))),0,1)+IF(OR(COUNTA(AZ804:BB804)=0,AND(COUNTA(AZ804:BB804)=3,ISNUMBER(BB804))),0,1))&gt;0,"; An invoice is incomplete (needs No, Date and a number in Ex GST)","")&amp;IF((IF(T804="",0,IFERROR(--(EOMONTH(T804,0)&lt;&gt;S$5),1))+IF(W804="",0,IFERROR(--(EOMONTH(W804,0)&lt;&gt;V$5),1))+IF(Z804="",0,IFERROR(--(EOMONTH(Z804,0)&lt;&gt;Y$5),1))+IF(AC804="",0,IFERROR(--(EOMONTH(AC804,0)&lt;&gt;AB$5),1))+IF(AF804="",0,IFERROR(--(EOMONTH(AF804,0)&lt;&gt;AE$5),1))+IF(AI804="",0,IFERROR(--(EOMONTH(AI804,0)&lt;&gt;AH$5),1))+IF(AL804="",0,IFERROR(--(EOMONTH(AL804,0)&lt;&gt;AK$5),1))+IF(AO804="",0,IFERROR(--(EOMONTH(AO804,0)&lt;&gt;AN$5),1))+IF(AR804="",0,IFERROR(--(EOMONTH(AR804,0)&lt;&gt;AQ$5),1))+IF(AU804="",0,IFERROR(--(EOMONTH(AU804,0)&lt;&gt;AT$5),1))+IF(AX804="",0,IFERROR(--(EOMONTH(AX804,0)&lt;&gt;AW$5),1))+IF(BA804="",0,IFERROR(--(EOMONTH(BA804,0)&lt;&gt;AZ$5),1)))&gt;0,"; An invoice date is not in the month it is typed under",""),3,500))</f>
        <v/>
      </c>
      <c r="S804" s="12" t="n"/>
      <c r="T804" s="13" t="n"/>
      <c r="U804" s="14" t="n"/>
      <c r="V804" s="12" t="n"/>
      <c r="W804" s="13" t="n"/>
      <c r="X804" s="14" t="n"/>
      <c r="Y804" s="12" t="n"/>
      <c r="Z804" s="13" t="n"/>
      <c r="AA804" s="14" t="n"/>
      <c r="AB804" s="12" t="n"/>
      <c r="AC804" s="13" t="n"/>
      <c r="AD804" s="14" t="n"/>
      <c r="AE804" s="12" t="n"/>
      <c r="AF804" s="13" t="n"/>
      <c r="AG804" s="14" t="n"/>
      <c r="AH804" s="12" t="n"/>
      <c r="AI804" s="13" t="n"/>
      <c r="AJ804" s="14" t="n"/>
      <c r="AK804" s="12" t="n"/>
      <c r="AL804" s="13" t="n"/>
      <c r="AM804" s="14" t="n"/>
      <c r="AN804" s="12" t="n"/>
      <c r="AO804" s="13" t="n"/>
      <c r="AP804" s="14" t="n"/>
      <c r="AQ804" s="12" t="n"/>
      <c r="AR804" s="13" t="n"/>
      <c r="AS804" s="14" t="n"/>
      <c r="AT804" s="12" t="n"/>
      <c r="AU804" s="13" t="n"/>
      <c r="AV804" s="14" t="n"/>
      <c r="AW804" s="12" t="n"/>
      <c r="AX804" s="13" t="n"/>
      <c r="AY804" s="14" t="n"/>
      <c r="AZ804" s="12" t="n"/>
      <c r="BA804" s="13" t="n"/>
      <c r="BB804" s="14" t="n"/>
      <c r="BC804" s="11">
        <f>IF(O804="","",IF(J804="GST 10%",ROUND(O804*set_GSTRate,2),0))</f>
        <v/>
      </c>
      <c r="BD804" s="11">
        <f>IF(O804="","",O804+BC804)</f>
        <v/>
      </c>
      <c r="BE804" s="15">
        <f>IF(O804="","",COUNTA(S804,V804,Y804,AB804,AE804,AH804,AK804,AN804,AQ804,AT804,AW804,AZ804))</f>
        <v/>
      </c>
      <c r="BF804" s="16">
        <f>IF(COUNT(T804,W804,Z804,AC804,AF804,AI804,AL804,AO804,AR804,AU804,AX804,BA804)=0,"",MAX(T804,W804,Z804,AC804,AF804,AI804,AL804,AO804,AR804,AU804,AX804,BA804))</f>
        <v/>
      </c>
      <c r="BG804" s="10">
        <f>MID(IF(S804="","",", "&amp;S804)&amp;IF(V804="","",", "&amp;V804)&amp;IF(Y804="","",", "&amp;Y804)&amp;IF(AB804="","",", "&amp;AB804)&amp;IF(AE804="","",", "&amp;AE804)&amp;IF(AH804="","",", "&amp;AH804)&amp;IF(AK804="","",", "&amp;AK804)&amp;IF(AN804="","",", "&amp;AN804)&amp;IF(AQ804="","",", "&amp;AQ804)&amp;IF(AT804="","",", "&amp;AT804)&amp;IF(AW804="","",", "&amp;AW804)&amp;IF(AZ804="","",", "&amp;AZ804),3,500)</f>
        <v/>
      </c>
      <c r="BH804" s="12" t="n"/>
      <c r="BI804" s="15">
        <f>IFERROR(MATCH($A804,IF($B804="Onsite",tbl_Onsite[Row ID],IF($B804="Production",tbl_Production[Row ID],tbl_Consulting[Row ID])),0),"")</f>
        <v/>
      </c>
    </row>
    <row r="805">
      <c r="A805" s="10" t="inlineStr">
        <is>
          <t>PRD-0299</t>
        </is>
      </c>
      <c r="B805" s="10" t="inlineStr">
        <is>
          <t>Production</t>
        </is>
      </c>
      <c r="C805" s="10">
        <f>IF($BI805="","",IF($B805="Onsite",INDEX(tbl_Onsite[Job Number],$BI805),IF($B805="Production",INDEX(tbl_Production[Job Number],$BI805),INDEX(tbl_Consulting[Job Number],$BI805)))&amp;"")</f>
        <v/>
      </c>
      <c r="D805" s="10">
        <f>IF($BI805="","",IF($B805="Onsite",INDEX(tbl_Onsite[Client],$BI805),IF($B805="Production",INDEX(tbl_Production[Client],$BI805),INDEX(tbl_Consulting[Client],$BI805)))&amp;"")</f>
        <v/>
      </c>
      <c r="E805" s="10">
        <f>IF($C805="","",IF(COUNTIF(lst_Jobs,$C805)&gt;0,"OK","CHECK"))</f>
        <v/>
      </c>
      <c r="F805" s="10">
        <f>IF($C805="","",IFERROR(INDEX(lst_JobName,MATCH($C805,lst_Jobs,0)),""))</f>
        <v/>
      </c>
      <c r="G805" s="10">
        <f>IF($BI805="","",IF($B805="Onsite",INDEX(tbl_Onsite[Job Description],$BI805),IF($B805="Production",INDEX(tbl_Production[Job Description],$BI805),INDEX(tbl_Consulting[Job Description],$BI805)))&amp;"")</f>
        <v/>
      </c>
      <c r="H805" s="10">
        <f>IF($BI805="","",IF($B805="Onsite",INDEX(tbl_Onsite[Cost Centre],$BI805),IF($B805="Production",INDEX(tbl_Production[Cost Centre],$BI805),INDEX(tbl_Consulting[Cost Centre],$BI805)))&amp;"")</f>
        <v/>
      </c>
      <c r="I805" s="10">
        <f>IF($BI805="","",IF($B805="Onsite",INDEX(tbl_Onsite[Invoice Type],$BI805),IF($B805="Production",INDEX(tbl_Production[Invoice Type],$BI805),INDEX(tbl_Consulting[Invoice Type],$BI805)))&amp;"")</f>
        <v/>
      </c>
      <c r="J805" s="10">
        <f>IF($BI805="","",IF($B805="Onsite",INDEX(tbl_Onsite[Tax Code],$BI805),IF($B805="Production",INDEX(tbl_Production[Tax Code],$BI805),INDEX(tbl_Consulting[Tax Code],$BI805)))&amp;"")</f>
        <v/>
      </c>
      <c r="K805" s="10">
        <f>IF(H805="","",IFERROR(INDEX(lst_CCtoGL,MATCH(H805,lst_CCforGL,0)),""))</f>
        <v/>
      </c>
      <c r="L805" s="10">
        <f>IF($BI805="","",IF($B805="Onsite",INDEX(tbl_Onsite[PO / Reference],$BI805),IF($B805="Production",INDEX(tbl_Production[Current RMS No],$BI805),INDEX(tbl_Consulting[Qwilr Quote],$BI805)))&amp;"")</f>
        <v/>
      </c>
      <c r="M805" s="10">
        <f>IF($BI805="","",IF($B805="Onsite",INDEX(tbl_Onsite[Notes],$BI805),IF($B805="Production",INDEX(tbl_Production[Notes],$BI805),INDEX(tbl_Consulting[Notes],$BI805)))&amp;"")</f>
        <v/>
      </c>
      <c r="N805" s="11">
        <f>IF($BI805="","",IF(IF($B805="Onsite",INDEX(tbl_Onsite[Expected Revenue Ex GST],$BI805),IF($B805="Production",INDEX(tbl_Production[Expected Revenue Ex GST],$BI805),INDEX(tbl_Consulting[Expected Revenue Ex GST],$BI805)))="","",IF($B805="Onsite",INDEX(tbl_Onsite[Expected Revenue Ex GST],$BI805),IF($B805="Production",INDEX(tbl_Production[Expected Revenue Ex GST],$BI805),INDEX(tbl_Consulting[Expected Revenue Ex GST],$BI805)))))</f>
        <v/>
      </c>
      <c r="O805" s="11">
        <f>IF(AND($C805="",NOT(COUNTA($S805:$BB805)&gt;0)),"",SUM(U805,X805,AA805,AD805,AG805,AJ805,AM805,AP805,AS805,AV805,AY805,BB805))</f>
        <v/>
      </c>
      <c r="P805" s="11">
        <f>IF(O805="","",N(N805)-O805)</f>
        <v/>
      </c>
      <c r="Q805" s="10">
        <f>IF(O805="","",IF($C805="","Invoice on empty job row",IF(N805="",IF(ROUND(O805,2)=0,"No dept value","Invoiced - no dept value"),IF(ROUND(O805,2)=0,"Not invoiced - to invoice",IF(ROUND(P805,2)=0,"Agrees",IF(P805&gt;0,"Dept higher - to invoice","Xero higher - check dept"))))))</f>
        <v/>
      </c>
      <c r="R805" s="10">
        <f>IF(AND($C805="",NOT(COUNTA($S805:$BB805)&gt;0),$BI805&lt;&gt;""),"",MID(IF($BI805="","; Row ID not found on the department sheet - a row was deleted","")&amp;IF(AND($C805="",COUNTA($S805:$BB805)&gt;0),"; Invoice entered but the department row has no job number","")&amp;IF(E805="CHECK","; Job number not in the Xero job list","")&amp;IF(AND($C805&lt;&gt;"",COUNTIF($C$7:$C$1506,$C805)&gt;1),"; Job number on more than one row","")&amp;IF(AND($C805&lt;&gt;"",H805=""),"; Dept has not set a cost centre","")&amp;IF(AND($C805&lt;&gt;"",J805=""),"; Dept has not set a tax code","")&amp;IF(AND($C805&lt;&gt;"",N805=""),"; Dept has not entered an expected value","")&amp;IF((IF(OR(COUNTA(S805:U805)=0,AND(COUNTA(S805:U805)=3,ISNUMBER(U805))),0,1)+IF(OR(COUNTA(V805:X805)=0,AND(COUNTA(V805:X805)=3,ISNUMBER(X805))),0,1)+IF(OR(COUNTA(Y805:AA805)=0,AND(COUNTA(Y805:AA805)=3,ISNUMBER(AA805))),0,1)+IF(OR(COUNTA(AB805:AD805)=0,AND(COUNTA(AB805:AD805)=3,ISNUMBER(AD805))),0,1)+IF(OR(COUNTA(AE805:AG805)=0,AND(COUNTA(AE805:AG805)=3,ISNUMBER(AG805))),0,1)+IF(OR(COUNTA(AH805:AJ805)=0,AND(COUNTA(AH805:AJ805)=3,ISNUMBER(AJ805))),0,1)+IF(OR(COUNTA(AK805:AM805)=0,AND(COUNTA(AK805:AM805)=3,ISNUMBER(AM805))),0,1)+IF(OR(COUNTA(AN805:AP805)=0,AND(COUNTA(AN805:AP805)=3,ISNUMBER(AP805))),0,1)+IF(OR(COUNTA(AQ805:AS805)=0,AND(COUNTA(AQ805:AS805)=3,ISNUMBER(AS805))),0,1)+IF(OR(COUNTA(AT805:AV805)=0,AND(COUNTA(AT805:AV805)=3,ISNUMBER(AV805))),0,1)+IF(OR(COUNTA(AW805:AY805)=0,AND(COUNTA(AW805:AY805)=3,ISNUMBER(AY805))),0,1)+IF(OR(COUNTA(AZ805:BB805)=0,AND(COUNTA(AZ805:BB805)=3,ISNUMBER(BB805))),0,1))&gt;0,"; An invoice is incomplete (needs No, Date and a number in Ex GST)","")&amp;IF((IF(T805="",0,IFERROR(--(EOMONTH(T805,0)&lt;&gt;S$5),1))+IF(W805="",0,IFERROR(--(EOMONTH(W805,0)&lt;&gt;V$5),1))+IF(Z805="",0,IFERROR(--(EOMONTH(Z805,0)&lt;&gt;Y$5),1))+IF(AC805="",0,IFERROR(--(EOMONTH(AC805,0)&lt;&gt;AB$5),1))+IF(AF805="",0,IFERROR(--(EOMONTH(AF805,0)&lt;&gt;AE$5),1))+IF(AI805="",0,IFERROR(--(EOMONTH(AI805,0)&lt;&gt;AH$5),1))+IF(AL805="",0,IFERROR(--(EOMONTH(AL805,0)&lt;&gt;AK$5),1))+IF(AO805="",0,IFERROR(--(EOMONTH(AO805,0)&lt;&gt;AN$5),1))+IF(AR805="",0,IFERROR(--(EOMONTH(AR805,0)&lt;&gt;AQ$5),1))+IF(AU805="",0,IFERROR(--(EOMONTH(AU805,0)&lt;&gt;AT$5),1))+IF(AX805="",0,IFERROR(--(EOMONTH(AX805,0)&lt;&gt;AW$5),1))+IF(BA805="",0,IFERROR(--(EOMONTH(BA805,0)&lt;&gt;AZ$5),1)))&gt;0,"; An invoice date is not in the month it is typed under",""),3,500))</f>
        <v/>
      </c>
      <c r="S805" s="12" t="n"/>
      <c r="T805" s="13" t="n"/>
      <c r="U805" s="14" t="n"/>
      <c r="V805" s="12" t="n"/>
      <c r="W805" s="13" t="n"/>
      <c r="X805" s="14" t="n"/>
      <c r="Y805" s="12" t="n"/>
      <c r="Z805" s="13" t="n"/>
      <c r="AA805" s="14" t="n"/>
      <c r="AB805" s="12" t="n"/>
      <c r="AC805" s="13" t="n"/>
      <c r="AD805" s="14" t="n"/>
      <c r="AE805" s="12" t="n"/>
      <c r="AF805" s="13" t="n"/>
      <c r="AG805" s="14" t="n"/>
      <c r="AH805" s="12" t="n"/>
      <c r="AI805" s="13" t="n"/>
      <c r="AJ805" s="14" t="n"/>
      <c r="AK805" s="12" t="n"/>
      <c r="AL805" s="13" t="n"/>
      <c r="AM805" s="14" t="n"/>
      <c r="AN805" s="12" t="n"/>
      <c r="AO805" s="13" t="n"/>
      <c r="AP805" s="14" t="n"/>
      <c r="AQ805" s="12" t="n"/>
      <c r="AR805" s="13" t="n"/>
      <c r="AS805" s="14" t="n"/>
      <c r="AT805" s="12" t="n"/>
      <c r="AU805" s="13" t="n"/>
      <c r="AV805" s="14" t="n"/>
      <c r="AW805" s="12" t="n"/>
      <c r="AX805" s="13" t="n"/>
      <c r="AY805" s="14" t="n"/>
      <c r="AZ805" s="12" t="n"/>
      <c r="BA805" s="13" t="n"/>
      <c r="BB805" s="14" t="n"/>
      <c r="BC805" s="11">
        <f>IF(O805="","",IF(J805="GST 10%",ROUND(O805*set_GSTRate,2),0))</f>
        <v/>
      </c>
      <c r="BD805" s="11">
        <f>IF(O805="","",O805+BC805)</f>
        <v/>
      </c>
      <c r="BE805" s="15">
        <f>IF(O805="","",COUNTA(S805,V805,Y805,AB805,AE805,AH805,AK805,AN805,AQ805,AT805,AW805,AZ805))</f>
        <v/>
      </c>
      <c r="BF805" s="16">
        <f>IF(COUNT(T805,W805,Z805,AC805,AF805,AI805,AL805,AO805,AR805,AU805,AX805,BA805)=0,"",MAX(T805,W805,Z805,AC805,AF805,AI805,AL805,AO805,AR805,AU805,AX805,BA805))</f>
        <v/>
      </c>
      <c r="BG805" s="10">
        <f>MID(IF(S805="","",", "&amp;S805)&amp;IF(V805="","",", "&amp;V805)&amp;IF(Y805="","",", "&amp;Y805)&amp;IF(AB805="","",", "&amp;AB805)&amp;IF(AE805="","",", "&amp;AE805)&amp;IF(AH805="","",", "&amp;AH805)&amp;IF(AK805="","",", "&amp;AK805)&amp;IF(AN805="","",", "&amp;AN805)&amp;IF(AQ805="","",", "&amp;AQ805)&amp;IF(AT805="","",", "&amp;AT805)&amp;IF(AW805="","",", "&amp;AW805)&amp;IF(AZ805="","",", "&amp;AZ805),3,500)</f>
        <v/>
      </c>
      <c r="BH805" s="12" t="n"/>
      <c r="BI805" s="15">
        <f>IFERROR(MATCH($A805,IF($B805="Onsite",tbl_Onsite[Row ID],IF($B805="Production",tbl_Production[Row ID],tbl_Consulting[Row ID])),0),"")</f>
        <v/>
      </c>
    </row>
    <row r="806">
      <c r="A806" s="10" t="inlineStr">
        <is>
          <t>PRD-0300</t>
        </is>
      </c>
      <c r="B806" s="10" t="inlineStr">
        <is>
          <t>Production</t>
        </is>
      </c>
      <c r="C806" s="10">
        <f>IF($BI806="","",IF($B806="Onsite",INDEX(tbl_Onsite[Job Number],$BI806),IF($B806="Production",INDEX(tbl_Production[Job Number],$BI806),INDEX(tbl_Consulting[Job Number],$BI806)))&amp;"")</f>
        <v/>
      </c>
      <c r="D806" s="10">
        <f>IF($BI806="","",IF($B806="Onsite",INDEX(tbl_Onsite[Client],$BI806),IF($B806="Production",INDEX(tbl_Production[Client],$BI806),INDEX(tbl_Consulting[Client],$BI806)))&amp;"")</f>
        <v/>
      </c>
      <c r="E806" s="10">
        <f>IF($C806="","",IF(COUNTIF(lst_Jobs,$C806)&gt;0,"OK","CHECK"))</f>
        <v/>
      </c>
      <c r="F806" s="10">
        <f>IF($C806="","",IFERROR(INDEX(lst_JobName,MATCH($C806,lst_Jobs,0)),""))</f>
        <v/>
      </c>
      <c r="G806" s="10">
        <f>IF($BI806="","",IF($B806="Onsite",INDEX(tbl_Onsite[Job Description],$BI806),IF($B806="Production",INDEX(tbl_Production[Job Description],$BI806),INDEX(tbl_Consulting[Job Description],$BI806)))&amp;"")</f>
        <v/>
      </c>
      <c r="H806" s="10">
        <f>IF($BI806="","",IF($B806="Onsite",INDEX(tbl_Onsite[Cost Centre],$BI806),IF($B806="Production",INDEX(tbl_Production[Cost Centre],$BI806),INDEX(tbl_Consulting[Cost Centre],$BI806)))&amp;"")</f>
        <v/>
      </c>
      <c r="I806" s="10">
        <f>IF($BI806="","",IF($B806="Onsite",INDEX(tbl_Onsite[Invoice Type],$BI806),IF($B806="Production",INDEX(tbl_Production[Invoice Type],$BI806),INDEX(tbl_Consulting[Invoice Type],$BI806)))&amp;"")</f>
        <v/>
      </c>
      <c r="J806" s="10">
        <f>IF($BI806="","",IF($B806="Onsite",INDEX(tbl_Onsite[Tax Code],$BI806),IF($B806="Production",INDEX(tbl_Production[Tax Code],$BI806),INDEX(tbl_Consulting[Tax Code],$BI806)))&amp;"")</f>
        <v/>
      </c>
      <c r="K806" s="10">
        <f>IF(H806="","",IFERROR(INDEX(lst_CCtoGL,MATCH(H806,lst_CCforGL,0)),""))</f>
        <v/>
      </c>
      <c r="L806" s="10">
        <f>IF($BI806="","",IF($B806="Onsite",INDEX(tbl_Onsite[PO / Reference],$BI806),IF($B806="Production",INDEX(tbl_Production[Current RMS No],$BI806),INDEX(tbl_Consulting[Qwilr Quote],$BI806)))&amp;"")</f>
        <v/>
      </c>
      <c r="M806" s="10">
        <f>IF($BI806="","",IF($B806="Onsite",INDEX(tbl_Onsite[Notes],$BI806),IF($B806="Production",INDEX(tbl_Production[Notes],$BI806),INDEX(tbl_Consulting[Notes],$BI806)))&amp;"")</f>
        <v/>
      </c>
      <c r="N806" s="11">
        <f>IF($BI806="","",IF(IF($B806="Onsite",INDEX(tbl_Onsite[Expected Revenue Ex GST],$BI806),IF($B806="Production",INDEX(tbl_Production[Expected Revenue Ex GST],$BI806),INDEX(tbl_Consulting[Expected Revenue Ex GST],$BI806)))="","",IF($B806="Onsite",INDEX(tbl_Onsite[Expected Revenue Ex GST],$BI806),IF($B806="Production",INDEX(tbl_Production[Expected Revenue Ex GST],$BI806),INDEX(tbl_Consulting[Expected Revenue Ex GST],$BI806)))))</f>
        <v/>
      </c>
      <c r="O806" s="11">
        <f>IF(AND($C806="",NOT(COUNTA($S806:$BB806)&gt;0)),"",SUM(U806,X806,AA806,AD806,AG806,AJ806,AM806,AP806,AS806,AV806,AY806,BB806))</f>
        <v/>
      </c>
      <c r="P806" s="11">
        <f>IF(O806="","",N(N806)-O806)</f>
        <v/>
      </c>
      <c r="Q806" s="10">
        <f>IF(O806="","",IF($C806="","Invoice on empty job row",IF(N806="",IF(ROUND(O806,2)=0,"No dept value","Invoiced - no dept value"),IF(ROUND(O806,2)=0,"Not invoiced - to invoice",IF(ROUND(P806,2)=0,"Agrees",IF(P806&gt;0,"Dept higher - to invoice","Xero higher - check dept"))))))</f>
        <v/>
      </c>
      <c r="R806" s="10">
        <f>IF(AND($C806="",NOT(COUNTA($S806:$BB806)&gt;0),$BI806&lt;&gt;""),"",MID(IF($BI806="","; Row ID not found on the department sheet - a row was deleted","")&amp;IF(AND($C806="",COUNTA($S806:$BB806)&gt;0),"; Invoice entered but the department row has no job number","")&amp;IF(E806="CHECK","; Job number not in the Xero job list","")&amp;IF(AND($C806&lt;&gt;"",COUNTIF($C$7:$C$1506,$C806)&gt;1),"; Job number on more than one row","")&amp;IF(AND($C806&lt;&gt;"",H806=""),"; Dept has not set a cost centre","")&amp;IF(AND($C806&lt;&gt;"",J806=""),"; Dept has not set a tax code","")&amp;IF(AND($C806&lt;&gt;"",N806=""),"; Dept has not entered an expected value","")&amp;IF((IF(OR(COUNTA(S806:U806)=0,AND(COUNTA(S806:U806)=3,ISNUMBER(U806))),0,1)+IF(OR(COUNTA(V806:X806)=0,AND(COUNTA(V806:X806)=3,ISNUMBER(X806))),0,1)+IF(OR(COUNTA(Y806:AA806)=0,AND(COUNTA(Y806:AA806)=3,ISNUMBER(AA806))),0,1)+IF(OR(COUNTA(AB806:AD806)=0,AND(COUNTA(AB806:AD806)=3,ISNUMBER(AD806))),0,1)+IF(OR(COUNTA(AE806:AG806)=0,AND(COUNTA(AE806:AG806)=3,ISNUMBER(AG806))),0,1)+IF(OR(COUNTA(AH806:AJ806)=0,AND(COUNTA(AH806:AJ806)=3,ISNUMBER(AJ806))),0,1)+IF(OR(COUNTA(AK806:AM806)=0,AND(COUNTA(AK806:AM806)=3,ISNUMBER(AM806))),0,1)+IF(OR(COUNTA(AN806:AP806)=0,AND(COUNTA(AN806:AP806)=3,ISNUMBER(AP806))),0,1)+IF(OR(COUNTA(AQ806:AS806)=0,AND(COUNTA(AQ806:AS806)=3,ISNUMBER(AS806))),0,1)+IF(OR(COUNTA(AT806:AV806)=0,AND(COUNTA(AT806:AV806)=3,ISNUMBER(AV806))),0,1)+IF(OR(COUNTA(AW806:AY806)=0,AND(COUNTA(AW806:AY806)=3,ISNUMBER(AY806))),0,1)+IF(OR(COUNTA(AZ806:BB806)=0,AND(COUNTA(AZ806:BB806)=3,ISNUMBER(BB806))),0,1))&gt;0,"; An invoice is incomplete (needs No, Date and a number in Ex GST)","")&amp;IF((IF(T806="",0,IFERROR(--(EOMONTH(T806,0)&lt;&gt;S$5),1))+IF(W806="",0,IFERROR(--(EOMONTH(W806,0)&lt;&gt;V$5),1))+IF(Z806="",0,IFERROR(--(EOMONTH(Z806,0)&lt;&gt;Y$5),1))+IF(AC806="",0,IFERROR(--(EOMONTH(AC806,0)&lt;&gt;AB$5),1))+IF(AF806="",0,IFERROR(--(EOMONTH(AF806,0)&lt;&gt;AE$5),1))+IF(AI806="",0,IFERROR(--(EOMONTH(AI806,0)&lt;&gt;AH$5),1))+IF(AL806="",0,IFERROR(--(EOMONTH(AL806,0)&lt;&gt;AK$5),1))+IF(AO806="",0,IFERROR(--(EOMONTH(AO806,0)&lt;&gt;AN$5),1))+IF(AR806="",0,IFERROR(--(EOMONTH(AR806,0)&lt;&gt;AQ$5),1))+IF(AU806="",0,IFERROR(--(EOMONTH(AU806,0)&lt;&gt;AT$5),1))+IF(AX806="",0,IFERROR(--(EOMONTH(AX806,0)&lt;&gt;AW$5),1))+IF(BA806="",0,IFERROR(--(EOMONTH(BA806,0)&lt;&gt;AZ$5),1)))&gt;0,"; An invoice date is not in the month it is typed under",""),3,500))</f>
        <v/>
      </c>
      <c r="S806" s="12" t="n"/>
      <c r="T806" s="13" t="n"/>
      <c r="U806" s="14" t="n"/>
      <c r="V806" s="12" t="n"/>
      <c r="W806" s="13" t="n"/>
      <c r="X806" s="14" t="n"/>
      <c r="Y806" s="12" t="n"/>
      <c r="Z806" s="13" t="n"/>
      <c r="AA806" s="14" t="n"/>
      <c r="AB806" s="12" t="n"/>
      <c r="AC806" s="13" t="n"/>
      <c r="AD806" s="14" t="n"/>
      <c r="AE806" s="12" t="n"/>
      <c r="AF806" s="13" t="n"/>
      <c r="AG806" s="14" t="n"/>
      <c r="AH806" s="12" t="n"/>
      <c r="AI806" s="13" t="n"/>
      <c r="AJ806" s="14" t="n"/>
      <c r="AK806" s="12" t="n"/>
      <c r="AL806" s="13" t="n"/>
      <c r="AM806" s="14" t="n"/>
      <c r="AN806" s="12" t="n"/>
      <c r="AO806" s="13" t="n"/>
      <c r="AP806" s="14" t="n"/>
      <c r="AQ806" s="12" t="n"/>
      <c r="AR806" s="13" t="n"/>
      <c r="AS806" s="14" t="n"/>
      <c r="AT806" s="12" t="n"/>
      <c r="AU806" s="13" t="n"/>
      <c r="AV806" s="14" t="n"/>
      <c r="AW806" s="12" t="n"/>
      <c r="AX806" s="13" t="n"/>
      <c r="AY806" s="14" t="n"/>
      <c r="AZ806" s="12" t="n"/>
      <c r="BA806" s="13" t="n"/>
      <c r="BB806" s="14" t="n"/>
      <c r="BC806" s="11">
        <f>IF(O806="","",IF(J806="GST 10%",ROUND(O806*set_GSTRate,2),0))</f>
        <v/>
      </c>
      <c r="BD806" s="11">
        <f>IF(O806="","",O806+BC806)</f>
        <v/>
      </c>
      <c r="BE806" s="15">
        <f>IF(O806="","",COUNTA(S806,V806,Y806,AB806,AE806,AH806,AK806,AN806,AQ806,AT806,AW806,AZ806))</f>
        <v/>
      </c>
      <c r="BF806" s="16">
        <f>IF(COUNT(T806,W806,Z806,AC806,AF806,AI806,AL806,AO806,AR806,AU806,AX806,BA806)=0,"",MAX(T806,W806,Z806,AC806,AF806,AI806,AL806,AO806,AR806,AU806,AX806,BA806))</f>
        <v/>
      </c>
      <c r="BG806" s="10">
        <f>MID(IF(S806="","",", "&amp;S806)&amp;IF(V806="","",", "&amp;V806)&amp;IF(Y806="","",", "&amp;Y806)&amp;IF(AB806="","",", "&amp;AB806)&amp;IF(AE806="","",", "&amp;AE806)&amp;IF(AH806="","",", "&amp;AH806)&amp;IF(AK806="","",", "&amp;AK806)&amp;IF(AN806="","",", "&amp;AN806)&amp;IF(AQ806="","",", "&amp;AQ806)&amp;IF(AT806="","",", "&amp;AT806)&amp;IF(AW806="","",", "&amp;AW806)&amp;IF(AZ806="","",", "&amp;AZ806),3,500)</f>
        <v/>
      </c>
      <c r="BH806" s="12" t="n"/>
      <c r="BI806" s="15">
        <f>IFERROR(MATCH($A806,IF($B806="Onsite",tbl_Onsite[Row ID],IF($B806="Production",tbl_Production[Row ID],tbl_Consulting[Row ID])),0),"")</f>
        <v/>
      </c>
    </row>
    <row r="807">
      <c r="A807" s="10" t="inlineStr">
        <is>
          <t>PRD-0301</t>
        </is>
      </c>
      <c r="B807" s="10" t="inlineStr">
        <is>
          <t>Production</t>
        </is>
      </c>
      <c r="C807" s="10">
        <f>IF($BI807="","",IF($B807="Onsite",INDEX(tbl_Onsite[Job Number],$BI807),IF($B807="Production",INDEX(tbl_Production[Job Number],$BI807),INDEX(tbl_Consulting[Job Number],$BI807)))&amp;"")</f>
        <v/>
      </c>
      <c r="D807" s="10">
        <f>IF($BI807="","",IF($B807="Onsite",INDEX(tbl_Onsite[Client],$BI807),IF($B807="Production",INDEX(tbl_Production[Client],$BI807),INDEX(tbl_Consulting[Client],$BI807)))&amp;"")</f>
        <v/>
      </c>
      <c r="E807" s="10">
        <f>IF($C807="","",IF(COUNTIF(lst_Jobs,$C807)&gt;0,"OK","CHECK"))</f>
        <v/>
      </c>
      <c r="F807" s="10">
        <f>IF($C807="","",IFERROR(INDEX(lst_JobName,MATCH($C807,lst_Jobs,0)),""))</f>
        <v/>
      </c>
      <c r="G807" s="10">
        <f>IF($BI807="","",IF($B807="Onsite",INDEX(tbl_Onsite[Job Description],$BI807),IF($B807="Production",INDEX(tbl_Production[Job Description],$BI807),INDEX(tbl_Consulting[Job Description],$BI807)))&amp;"")</f>
        <v/>
      </c>
      <c r="H807" s="10">
        <f>IF($BI807="","",IF($B807="Onsite",INDEX(tbl_Onsite[Cost Centre],$BI807),IF($B807="Production",INDEX(tbl_Production[Cost Centre],$BI807),INDEX(tbl_Consulting[Cost Centre],$BI807)))&amp;"")</f>
        <v/>
      </c>
      <c r="I807" s="10">
        <f>IF($BI807="","",IF($B807="Onsite",INDEX(tbl_Onsite[Invoice Type],$BI807),IF($B807="Production",INDEX(tbl_Production[Invoice Type],$BI807),INDEX(tbl_Consulting[Invoice Type],$BI807)))&amp;"")</f>
        <v/>
      </c>
      <c r="J807" s="10">
        <f>IF($BI807="","",IF($B807="Onsite",INDEX(tbl_Onsite[Tax Code],$BI807),IF($B807="Production",INDEX(tbl_Production[Tax Code],$BI807),INDEX(tbl_Consulting[Tax Code],$BI807)))&amp;"")</f>
        <v/>
      </c>
      <c r="K807" s="10">
        <f>IF(H807="","",IFERROR(INDEX(lst_CCtoGL,MATCH(H807,lst_CCforGL,0)),""))</f>
        <v/>
      </c>
      <c r="L807" s="10">
        <f>IF($BI807="","",IF($B807="Onsite",INDEX(tbl_Onsite[PO / Reference],$BI807),IF($B807="Production",INDEX(tbl_Production[Current RMS No],$BI807),INDEX(tbl_Consulting[Qwilr Quote],$BI807)))&amp;"")</f>
        <v/>
      </c>
      <c r="M807" s="10">
        <f>IF($BI807="","",IF($B807="Onsite",INDEX(tbl_Onsite[Notes],$BI807),IF($B807="Production",INDEX(tbl_Production[Notes],$BI807),INDEX(tbl_Consulting[Notes],$BI807)))&amp;"")</f>
        <v/>
      </c>
      <c r="N807" s="11">
        <f>IF($BI807="","",IF(IF($B807="Onsite",INDEX(tbl_Onsite[Expected Revenue Ex GST],$BI807),IF($B807="Production",INDEX(tbl_Production[Expected Revenue Ex GST],$BI807),INDEX(tbl_Consulting[Expected Revenue Ex GST],$BI807)))="","",IF($B807="Onsite",INDEX(tbl_Onsite[Expected Revenue Ex GST],$BI807),IF($B807="Production",INDEX(tbl_Production[Expected Revenue Ex GST],$BI807),INDEX(tbl_Consulting[Expected Revenue Ex GST],$BI807)))))</f>
        <v/>
      </c>
      <c r="O807" s="11">
        <f>IF(AND($C807="",NOT(COUNTA($S807:$BB807)&gt;0)),"",SUM(U807,X807,AA807,AD807,AG807,AJ807,AM807,AP807,AS807,AV807,AY807,BB807))</f>
        <v/>
      </c>
      <c r="P807" s="11">
        <f>IF(O807="","",N(N807)-O807)</f>
        <v/>
      </c>
      <c r="Q807" s="10">
        <f>IF(O807="","",IF($C807="","Invoice on empty job row",IF(N807="",IF(ROUND(O807,2)=0,"No dept value","Invoiced - no dept value"),IF(ROUND(O807,2)=0,"Not invoiced - to invoice",IF(ROUND(P807,2)=0,"Agrees",IF(P807&gt;0,"Dept higher - to invoice","Xero higher - check dept"))))))</f>
        <v/>
      </c>
      <c r="R807" s="10">
        <f>IF(AND($C807="",NOT(COUNTA($S807:$BB807)&gt;0),$BI807&lt;&gt;""),"",MID(IF($BI807="","; Row ID not found on the department sheet - a row was deleted","")&amp;IF(AND($C807="",COUNTA($S807:$BB807)&gt;0),"; Invoice entered but the department row has no job number","")&amp;IF(E807="CHECK","; Job number not in the Xero job list","")&amp;IF(AND($C807&lt;&gt;"",COUNTIF($C$7:$C$1506,$C807)&gt;1),"; Job number on more than one row","")&amp;IF(AND($C807&lt;&gt;"",H807=""),"; Dept has not set a cost centre","")&amp;IF(AND($C807&lt;&gt;"",J807=""),"; Dept has not set a tax code","")&amp;IF(AND($C807&lt;&gt;"",N807=""),"; Dept has not entered an expected value","")&amp;IF((IF(OR(COUNTA(S807:U807)=0,AND(COUNTA(S807:U807)=3,ISNUMBER(U807))),0,1)+IF(OR(COUNTA(V807:X807)=0,AND(COUNTA(V807:X807)=3,ISNUMBER(X807))),0,1)+IF(OR(COUNTA(Y807:AA807)=0,AND(COUNTA(Y807:AA807)=3,ISNUMBER(AA807))),0,1)+IF(OR(COUNTA(AB807:AD807)=0,AND(COUNTA(AB807:AD807)=3,ISNUMBER(AD807))),0,1)+IF(OR(COUNTA(AE807:AG807)=0,AND(COUNTA(AE807:AG807)=3,ISNUMBER(AG807))),0,1)+IF(OR(COUNTA(AH807:AJ807)=0,AND(COUNTA(AH807:AJ807)=3,ISNUMBER(AJ807))),0,1)+IF(OR(COUNTA(AK807:AM807)=0,AND(COUNTA(AK807:AM807)=3,ISNUMBER(AM807))),0,1)+IF(OR(COUNTA(AN807:AP807)=0,AND(COUNTA(AN807:AP807)=3,ISNUMBER(AP807))),0,1)+IF(OR(COUNTA(AQ807:AS807)=0,AND(COUNTA(AQ807:AS807)=3,ISNUMBER(AS807))),0,1)+IF(OR(COUNTA(AT807:AV807)=0,AND(COUNTA(AT807:AV807)=3,ISNUMBER(AV807))),0,1)+IF(OR(COUNTA(AW807:AY807)=0,AND(COUNTA(AW807:AY807)=3,ISNUMBER(AY807))),0,1)+IF(OR(COUNTA(AZ807:BB807)=0,AND(COUNTA(AZ807:BB807)=3,ISNUMBER(BB807))),0,1))&gt;0,"; An invoice is incomplete (needs No, Date and a number in Ex GST)","")&amp;IF((IF(T807="",0,IFERROR(--(EOMONTH(T807,0)&lt;&gt;S$5),1))+IF(W807="",0,IFERROR(--(EOMONTH(W807,0)&lt;&gt;V$5),1))+IF(Z807="",0,IFERROR(--(EOMONTH(Z807,0)&lt;&gt;Y$5),1))+IF(AC807="",0,IFERROR(--(EOMONTH(AC807,0)&lt;&gt;AB$5),1))+IF(AF807="",0,IFERROR(--(EOMONTH(AF807,0)&lt;&gt;AE$5),1))+IF(AI807="",0,IFERROR(--(EOMONTH(AI807,0)&lt;&gt;AH$5),1))+IF(AL807="",0,IFERROR(--(EOMONTH(AL807,0)&lt;&gt;AK$5),1))+IF(AO807="",0,IFERROR(--(EOMONTH(AO807,0)&lt;&gt;AN$5),1))+IF(AR807="",0,IFERROR(--(EOMONTH(AR807,0)&lt;&gt;AQ$5),1))+IF(AU807="",0,IFERROR(--(EOMONTH(AU807,0)&lt;&gt;AT$5),1))+IF(AX807="",0,IFERROR(--(EOMONTH(AX807,0)&lt;&gt;AW$5),1))+IF(BA807="",0,IFERROR(--(EOMONTH(BA807,0)&lt;&gt;AZ$5),1)))&gt;0,"; An invoice date is not in the month it is typed under",""),3,500))</f>
        <v/>
      </c>
      <c r="S807" s="12" t="n"/>
      <c r="T807" s="13" t="n"/>
      <c r="U807" s="14" t="n"/>
      <c r="V807" s="12" t="n"/>
      <c r="W807" s="13" t="n"/>
      <c r="X807" s="14" t="n"/>
      <c r="Y807" s="12" t="n"/>
      <c r="Z807" s="13" t="n"/>
      <c r="AA807" s="14" t="n"/>
      <c r="AB807" s="12" t="n"/>
      <c r="AC807" s="13" t="n"/>
      <c r="AD807" s="14" t="n"/>
      <c r="AE807" s="12" t="n"/>
      <c r="AF807" s="13" t="n"/>
      <c r="AG807" s="14" t="n"/>
      <c r="AH807" s="12" t="n"/>
      <c r="AI807" s="13" t="n"/>
      <c r="AJ807" s="14" t="n"/>
      <c r="AK807" s="12" t="n"/>
      <c r="AL807" s="13" t="n"/>
      <c r="AM807" s="14" t="n"/>
      <c r="AN807" s="12" t="n"/>
      <c r="AO807" s="13" t="n"/>
      <c r="AP807" s="14" t="n"/>
      <c r="AQ807" s="12" t="n"/>
      <c r="AR807" s="13" t="n"/>
      <c r="AS807" s="14" t="n"/>
      <c r="AT807" s="12" t="n"/>
      <c r="AU807" s="13" t="n"/>
      <c r="AV807" s="14" t="n"/>
      <c r="AW807" s="12" t="n"/>
      <c r="AX807" s="13" t="n"/>
      <c r="AY807" s="14" t="n"/>
      <c r="AZ807" s="12" t="n"/>
      <c r="BA807" s="13" t="n"/>
      <c r="BB807" s="14" t="n"/>
      <c r="BC807" s="11">
        <f>IF(O807="","",IF(J807="GST 10%",ROUND(O807*set_GSTRate,2),0))</f>
        <v/>
      </c>
      <c r="BD807" s="11">
        <f>IF(O807="","",O807+BC807)</f>
        <v/>
      </c>
      <c r="BE807" s="15">
        <f>IF(O807="","",COUNTA(S807,V807,Y807,AB807,AE807,AH807,AK807,AN807,AQ807,AT807,AW807,AZ807))</f>
        <v/>
      </c>
      <c r="BF807" s="16">
        <f>IF(COUNT(T807,W807,Z807,AC807,AF807,AI807,AL807,AO807,AR807,AU807,AX807,BA807)=0,"",MAX(T807,W807,Z807,AC807,AF807,AI807,AL807,AO807,AR807,AU807,AX807,BA807))</f>
        <v/>
      </c>
      <c r="BG807" s="10">
        <f>MID(IF(S807="","",", "&amp;S807)&amp;IF(V807="","",", "&amp;V807)&amp;IF(Y807="","",", "&amp;Y807)&amp;IF(AB807="","",", "&amp;AB807)&amp;IF(AE807="","",", "&amp;AE807)&amp;IF(AH807="","",", "&amp;AH807)&amp;IF(AK807="","",", "&amp;AK807)&amp;IF(AN807="","",", "&amp;AN807)&amp;IF(AQ807="","",", "&amp;AQ807)&amp;IF(AT807="","",", "&amp;AT807)&amp;IF(AW807="","",", "&amp;AW807)&amp;IF(AZ807="","",", "&amp;AZ807),3,500)</f>
        <v/>
      </c>
      <c r="BH807" s="12" t="n"/>
      <c r="BI807" s="15">
        <f>IFERROR(MATCH($A807,IF($B807="Onsite",tbl_Onsite[Row ID],IF($B807="Production",tbl_Production[Row ID],tbl_Consulting[Row ID])),0),"")</f>
        <v/>
      </c>
    </row>
    <row r="808">
      <c r="A808" s="10" t="inlineStr">
        <is>
          <t>PRD-0302</t>
        </is>
      </c>
      <c r="B808" s="10" t="inlineStr">
        <is>
          <t>Production</t>
        </is>
      </c>
      <c r="C808" s="10">
        <f>IF($BI808="","",IF($B808="Onsite",INDEX(tbl_Onsite[Job Number],$BI808),IF($B808="Production",INDEX(tbl_Production[Job Number],$BI808),INDEX(tbl_Consulting[Job Number],$BI808)))&amp;"")</f>
        <v/>
      </c>
      <c r="D808" s="10">
        <f>IF($BI808="","",IF($B808="Onsite",INDEX(tbl_Onsite[Client],$BI808),IF($B808="Production",INDEX(tbl_Production[Client],$BI808),INDEX(tbl_Consulting[Client],$BI808)))&amp;"")</f>
        <v/>
      </c>
      <c r="E808" s="10">
        <f>IF($C808="","",IF(COUNTIF(lst_Jobs,$C808)&gt;0,"OK","CHECK"))</f>
        <v/>
      </c>
      <c r="F808" s="10">
        <f>IF($C808="","",IFERROR(INDEX(lst_JobName,MATCH($C808,lst_Jobs,0)),""))</f>
        <v/>
      </c>
      <c r="G808" s="10">
        <f>IF($BI808="","",IF($B808="Onsite",INDEX(tbl_Onsite[Job Description],$BI808),IF($B808="Production",INDEX(tbl_Production[Job Description],$BI808),INDEX(tbl_Consulting[Job Description],$BI808)))&amp;"")</f>
        <v/>
      </c>
      <c r="H808" s="10">
        <f>IF($BI808="","",IF($B808="Onsite",INDEX(tbl_Onsite[Cost Centre],$BI808),IF($B808="Production",INDEX(tbl_Production[Cost Centre],$BI808),INDEX(tbl_Consulting[Cost Centre],$BI808)))&amp;"")</f>
        <v/>
      </c>
      <c r="I808" s="10">
        <f>IF($BI808="","",IF($B808="Onsite",INDEX(tbl_Onsite[Invoice Type],$BI808),IF($B808="Production",INDEX(tbl_Production[Invoice Type],$BI808),INDEX(tbl_Consulting[Invoice Type],$BI808)))&amp;"")</f>
        <v/>
      </c>
      <c r="J808" s="10">
        <f>IF($BI808="","",IF($B808="Onsite",INDEX(tbl_Onsite[Tax Code],$BI808),IF($B808="Production",INDEX(tbl_Production[Tax Code],$BI808),INDEX(tbl_Consulting[Tax Code],$BI808)))&amp;"")</f>
        <v/>
      </c>
      <c r="K808" s="10">
        <f>IF(H808="","",IFERROR(INDEX(lst_CCtoGL,MATCH(H808,lst_CCforGL,0)),""))</f>
        <v/>
      </c>
      <c r="L808" s="10">
        <f>IF($BI808="","",IF($B808="Onsite",INDEX(tbl_Onsite[PO / Reference],$BI808),IF($B808="Production",INDEX(tbl_Production[Current RMS No],$BI808),INDEX(tbl_Consulting[Qwilr Quote],$BI808)))&amp;"")</f>
        <v/>
      </c>
      <c r="M808" s="10">
        <f>IF($BI808="","",IF($B808="Onsite",INDEX(tbl_Onsite[Notes],$BI808),IF($B808="Production",INDEX(tbl_Production[Notes],$BI808),INDEX(tbl_Consulting[Notes],$BI808)))&amp;"")</f>
        <v/>
      </c>
      <c r="N808" s="11">
        <f>IF($BI808="","",IF(IF($B808="Onsite",INDEX(tbl_Onsite[Expected Revenue Ex GST],$BI808),IF($B808="Production",INDEX(tbl_Production[Expected Revenue Ex GST],$BI808),INDEX(tbl_Consulting[Expected Revenue Ex GST],$BI808)))="","",IF($B808="Onsite",INDEX(tbl_Onsite[Expected Revenue Ex GST],$BI808),IF($B808="Production",INDEX(tbl_Production[Expected Revenue Ex GST],$BI808),INDEX(tbl_Consulting[Expected Revenue Ex GST],$BI808)))))</f>
        <v/>
      </c>
      <c r="O808" s="11">
        <f>IF(AND($C808="",NOT(COUNTA($S808:$BB808)&gt;0)),"",SUM(U808,X808,AA808,AD808,AG808,AJ808,AM808,AP808,AS808,AV808,AY808,BB808))</f>
        <v/>
      </c>
      <c r="P808" s="11">
        <f>IF(O808="","",N(N808)-O808)</f>
        <v/>
      </c>
      <c r="Q808" s="10">
        <f>IF(O808="","",IF($C808="","Invoice on empty job row",IF(N808="",IF(ROUND(O808,2)=0,"No dept value","Invoiced - no dept value"),IF(ROUND(O808,2)=0,"Not invoiced - to invoice",IF(ROUND(P808,2)=0,"Agrees",IF(P808&gt;0,"Dept higher - to invoice","Xero higher - check dept"))))))</f>
        <v/>
      </c>
      <c r="R808" s="10">
        <f>IF(AND($C808="",NOT(COUNTA($S808:$BB808)&gt;0),$BI808&lt;&gt;""),"",MID(IF($BI808="","; Row ID not found on the department sheet - a row was deleted","")&amp;IF(AND($C808="",COUNTA($S808:$BB808)&gt;0),"; Invoice entered but the department row has no job number","")&amp;IF(E808="CHECK","; Job number not in the Xero job list","")&amp;IF(AND($C808&lt;&gt;"",COUNTIF($C$7:$C$1506,$C808)&gt;1),"; Job number on more than one row","")&amp;IF(AND($C808&lt;&gt;"",H808=""),"; Dept has not set a cost centre","")&amp;IF(AND($C808&lt;&gt;"",J808=""),"; Dept has not set a tax code","")&amp;IF(AND($C808&lt;&gt;"",N808=""),"; Dept has not entered an expected value","")&amp;IF((IF(OR(COUNTA(S808:U808)=0,AND(COUNTA(S808:U808)=3,ISNUMBER(U808))),0,1)+IF(OR(COUNTA(V808:X808)=0,AND(COUNTA(V808:X808)=3,ISNUMBER(X808))),0,1)+IF(OR(COUNTA(Y808:AA808)=0,AND(COUNTA(Y808:AA808)=3,ISNUMBER(AA808))),0,1)+IF(OR(COUNTA(AB808:AD808)=0,AND(COUNTA(AB808:AD808)=3,ISNUMBER(AD808))),0,1)+IF(OR(COUNTA(AE808:AG808)=0,AND(COUNTA(AE808:AG808)=3,ISNUMBER(AG808))),0,1)+IF(OR(COUNTA(AH808:AJ808)=0,AND(COUNTA(AH808:AJ808)=3,ISNUMBER(AJ808))),0,1)+IF(OR(COUNTA(AK808:AM808)=0,AND(COUNTA(AK808:AM808)=3,ISNUMBER(AM808))),0,1)+IF(OR(COUNTA(AN808:AP808)=0,AND(COUNTA(AN808:AP808)=3,ISNUMBER(AP808))),0,1)+IF(OR(COUNTA(AQ808:AS808)=0,AND(COUNTA(AQ808:AS808)=3,ISNUMBER(AS808))),0,1)+IF(OR(COUNTA(AT808:AV808)=0,AND(COUNTA(AT808:AV808)=3,ISNUMBER(AV808))),0,1)+IF(OR(COUNTA(AW808:AY808)=0,AND(COUNTA(AW808:AY808)=3,ISNUMBER(AY808))),0,1)+IF(OR(COUNTA(AZ808:BB808)=0,AND(COUNTA(AZ808:BB808)=3,ISNUMBER(BB808))),0,1))&gt;0,"; An invoice is incomplete (needs No, Date and a number in Ex GST)","")&amp;IF((IF(T808="",0,IFERROR(--(EOMONTH(T808,0)&lt;&gt;S$5),1))+IF(W808="",0,IFERROR(--(EOMONTH(W808,0)&lt;&gt;V$5),1))+IF(Z808="",0,IFERROR(--(EOMONTH(Z808,0)&lt;&gt;Y$5),1))+IF(AC808="",0,IFERROR(--(EOMONTH(AC808,0)&lt;&gt;AB$5),1))+IF(AF808="",0,IFERROR(--(EOMONTH(AF808,0)&lt;&gt;AE$5),1))+IF(AI808="",0,IFERROR(--(EOMONTH(AI808,0)&lt;&gt;AH$5),1))+IF(AL808="",0,IFERROR(--(EOMONTH(AL808,0)&lt;&gt;AK$5),1))+IF(AO808="",0,IFERROR(--(EOMONTH(AO808,0)&lt;&gt;AN$5),1))+IF(AR808="",0,IFERROR(--(EOMONTH(AR808,0)&lt;&gt;AQ$5),1))+IF(AU808="",0,IFERROR(--(EOMONTH(AU808,0)&lt;&gt;AT$5),1))+IF(AX808="",0,IFERROR(--(EOMONTH(AX808,0)&lt;&gt;AW$5),1))+IF(BA808="",0,IFERROR(--(EOMONTH(BA808,0)&lt;&gt;AZ$5),1)))&gt;0,"; An invoice date is not in the month it is typed under",""),3,500))</f>
        <v/>
      </c>
      <c r="S808" s="12" t="n"/>
      <c r="T808" s="13" t="n"/>
      <c r="U808" s="14" t="n"/>
      <c r="V808" s="12" t="n"/>
      <c r="W808" s="13" t="n"/>
      <c r="X808" s="14" t="n"/>
      <c r="Y808" s="12" t="n"/>
      <c r="Z808" s="13" t="n"/>
      <c r="AA808" s="14" t="n"/>
      <c r="AB808" s="12" t="n"/>
      <c r="AC808" s="13" t="n"/>
      <c r="AD808" s="14" t="n"/>
      <c r="AE808" s="12" t="n"/>
      <c r="AF808" s="13" t="n"/>
      <c r="AG808" s="14" t="n"/>
      <c r="AH808" s="12" t="n"/>
      <c r="AI808" s="13" t="n"/>
      <c r="AJ808" s="14" t="n"/>
      <c r="AK808" s="12" t="n"/>
      <c r="AL808" s="13" t="n"/>
      <c r="AM808" s="14" t="n"/>
      <c r="AN808" s="12" t="n"/>
      <c r="AO808" s="13" t="n"/>
      <c r="AP808" s="14" t="n"/>
      <c r="AQ808" s="12" t="n"/>
      <c r="AR808" s="13" t="n"/>
      <c r="AS808" s="14" t="n"/>
      <c r="AT808" s="12" t="n"/>
      <c r="AU808" s="13" t="n"/>
      <c r="AV808" s="14" t="n"/>
      <c r="AW808" s="12" t="n"/>
      <c r="AX808" s="13" t="n"/>
      <c r="AY808" s="14" t="n"/>
      <c r="AZ808" s="12" t="n"/>
      <c r="BA808" s="13" t="n"/>
      <c r="BB808" s="14" t="n"/>
      <c r="BC808" s="11">
        <f>IF(O808="","",IF(J808="GST 10%",ROUND(O808*set_GSTRate,2),0))</f>
        <v/>
      </c>
      <c r="BD808" s="11">
        <f>IF(O808="","",O808+BC808)</f>
        <v/>
      </c>
      <c r="BE808" s="15">
        <f>IF(O808="","",COUNTA(S808,V808,Y808,AB808,AE808,AH808,AK808,AN808,AQ808,AT808,AW808,AZ808))</f>
        <v/>
      </c>
      <c r="BF808" s="16">
        <f>IF(COUNT(T808,W808,Z808,AC808,AF808,AI808,AL808,AO808,AR808,AU808,AX808,BA808)=0,"",MAX(T808,W808,Z808,AC808,AF808,AI808,AL808,AO808,AR808,AU808,AX808,BA808))</f>
        <v/>
      </c>
      <c r="BG808" s="10">
        <f>MID(IF(S808="","",", "&amp;S808)&amp;IF(V808="","",", "&amp;V808)&amp;IF(Y808="","",", "&amp;Y808)&amp;IF(AB808="","",", "&amp;AB808)&amp;IF(AE808="","",", "&amp;AE808)&amp;IF(AH808="","",", "&amp;AH808)&amp;IF(AK808="","",", "&amp;AK808)&amp;IF(AN808="","",", "&amp;AN808)&amp;IF(AQ808="","",", "&amp;AQ808)&amp;IF(AT808="","",", "&amp;AT808)&amp;IF(AW808="","",", "&amp;AW808)&amp;IF(AZ808="","",", "&amp;AZ808),3,500)</f>
        <v/>
      </c>
      <c r="BH808" s="12" t="n"/>
      <c r="BI808" s="15">
        <f>IFERROR(MATCH($A808,IF($B808="Onsite",tbl_Onsite[Row ID],IF($B808="Production",tbl_Production[Row ID],tbl_Consulting[Row ID])),0),"")</f>
        <v/>
      </c>
    </row>
    <row r="809">
      <c r="A809" s="10" t="inlineStr">
        <is>
          <t>PRD-0303</t>
        </is>
      </c>
      <c r="B809" s="10" t="inlineStr">
        <is>
          <t>Production</t>
        </is>
      </c>
      <c r="C809" s="10">
        <f>IF($BI809="","",IF($B809="Onsite",INDEX(tbl_Onsite[Job Number],$BI809),IF($B809="Production",INDEX(tbl_Production[Job Number],$BI809),INDEX(tbl_Consulting[Job Number],$BI809)))&amp;"")</f>
        <v/>
      </c>
      <c r="D809" s="10">
        <f>IF($BI809="","",IF($B809="Onsite",INDEX(tbl_Onsite[Client],$BI809),IF($B809="Production",INDEX(tbl_Production[Client],$BI809),INDEX(tbl_Consulting[Client],$BI809)))&amp;"")</f>
        <v/>
      </c>
      <c r="E809" s="10">
        <f>IF($C809="","",IF(COUNTIF(lst_Jobs,$C809)&gt;0,"OK","CHECK"))</f>
        <v/>
      </c>
      <c r="F809" s="10">
        <f>IF($C809="","",IFERROR(INDEX(lst_JobName,MATCH($C809,lst_Jobs,0)),""))</f>
        <v/>
      </c>
      <c r="G809" s="10">
        <f>IF($BI809="","",IF($B809="Onsite",INDEX(tbl_Onsite[Job Description],$BI809),IF($B809="Production",INDEX(tbl_Production[Job Description],$BI809),INDEX(tbl_Consulting[Job Description],$BI809)))&amp;"")</f>
        <v/>
      </c>
      <c r="H809" s="10">
        <f>IF($BI809="","",IF($B809="Onsite",INDEX(tbl_Onsite[Cost Centre],$BI809),IF($B809="Production",INDEX(tbl_Production[Cost Centre],$BI809),INDEX(tbl_Consulting[Cost Centre],$BI809)))&amp;"")</f>
        <v/>
      </c>
      <c r="I809" s="10">
        <f>IF($BI809="","",IF($B809="Onsite",INDEX(tbl_Onsite[Invoice Type],$BI809),IF($B809="Production",INDEX(tbl_Production[Invoice Type],$BI809),INDEX(tbl_Consulting[Invoice Type],$BI809)))&amp;"")</f>
        <v/>
      </c>
      <c r="J809" s="10">
        <f>IF($BI809="","",IF($B809="Onsite",INDEX(tbl_Onsite[Tax Code],$BI809),IF($B809="Production",INDEX(tbl_Production[Tax Code],$BI809),INDEX(tbl_Consulting[Tax Code],$BI809)))&amp;"")</f>
        <v/>
      </c>
      <c r="K809" s="10">
        <f>IF(H809="","",IFERROR(INDEX(lst_CCtoGL,MATCH(H809,lst_CCforGL,0)),""))</f>
        <v/>
      </c>
      <c r="L809" s="10">
        <f>IF($BI809="","",IF($B809="Onsite",INDEX(tbl_Onsite[PO / Reference],$BI809),IF($B809="Production",INDEX(tbl_Production[Current RMS No],$BI809),INDEX(tbl_Consulting[Qwilr Quote],$BI809)))&amp;"")</f>
        <v/>
      </c>
      <c r="M809" s="10">
        <f>IF($BI809="","",IF($B809="Onsite",INDEX(tbl_Onsite[Notes],$BI809),IF($B809="Production",INDEX(tbl_Production[Notes],$BI809),INDEX(tbl_Consulting[Notes],$BI809)))&amp;"")</f>
        <v/>
      </c>
      <c r="N809" s="11">
        <f>IF($BI809="","",IF(IF($B809="Onsite",INDEX(tbl_Onsite[Expected Revenue Ex GST],$BI809),IF($B809="Production",INDEX(tbl_Production[Expected Revenue Ex GST],$BI809),INDEX(tbl_Consulting[Expected Revenue Ex GST],$BI809)))="","",IF($B809="Onsite",INDEX(tbl_Onsite[Expected Revenue Ex GST],$BI809),IF($B809="Production",INDEX(tbl_Production[Expected Revenue Ex GST],$BI809),INDEX(tbl_Consulting[Expected Revenue Ex GST],$BI809)))))</f>
        <v/>
      </c>
      <c r="O809" s="11">
        <f>IF(AND($C809="",NOT(COUNTA($S809:$BB809)&gt;0)),"",SUM(U809,X809,AA809,AD809,AG809,AJ809,AM809,AP809,AS809,AV809,AY809,BB809))</f>
        <v/>
      </c>
      <c r="P809" s="11">
        <f>IF(O809="","",N(N809)-O809)</f>
        <v/>
      </c>
      <c r="Q809" s="10">
        <f>IF(O809="","",IF($C809="","Invoice on empty job row",IF(N809="",IF(ROUND(O809,2)=0,"No dept value","Invoiced - no dept value"),IF(ROUND(O809,2)=0,"Not invoiced - to invoice",IF(ROUND(P809,2)=0,"Agrees",IF(P809&gt;0,"Dept higher - to invoice","Xero higher - check dept"))))))</f>
        <v/>
      </c>
      <c r="R809" s="10">
        <f>IF(AND($C809="",NOT(COUNTA($S809:$BB809)&gt;0),$BI809&lt;&gt;""),"",MID(IF($BI809="","; Row ID not found on the department sheet - a row was deleted","")&amp;IF(AND($C809="",COUNTA($S809:$BB809)&gt;0),"; Invoice entered but the department row has no job number","")&amp;IF(E809="CHECK","; Job number not in the Xero job list","")&amp;IF(AND($C809&lt;&gt;"",COUNTIF($C$7:$C$1506,$C809)&gt;1),"; Job number on more than one row","")&amp;IF(AND($C809&lt;&gt;"",H809=""),"; Dept has not set a cost centre","")&amp;IF(AND($C809&lt;&gt;"",J809=""),"; Dept has not set a tax code","")&amp;IF(AND($C809&lt;&gt;"",N809=""),"; Dept has not entered an expected value","")&amp;IF((IF(OR(COUNTA(S809:U809)=0,AND(COUNTA(S809:U809)=3,ISNUMBER(U809))),0,1)+IF(OR(COUNTA(V809:X809)=0,AND(COUNTA(V809:X809)=3,ISNUMBER(X809))),0,1)+IF(OR(COUNTA(Y809:AA809)=0,AND(COUNTA(Y809:AA809)=3,ISNUMBER(AA809))),0,1)+IF(OR(COUNTA(AB809:AD809)=0,AND(COUNTA(AB809:AD809)=3,ISNUMBER(AD809))),0,1)+IF(OR(COUNTA(AE809:AG809)=0,AND(COUNTA(AE809:AG809)=3,ISNUMBER(AG809))),0,1)+IF(OR(COUNTA(AH809:AJ809)=0,AND(COUNTA(AH809:AJ809)=3,ISNUMBER(AJ809))),0,1)+IF(OR(COUNTA(AK809:AM809)=0,AND(COUNTA(AK809:AM809)=3,ISNUMBER(AM809))),0,1)+IF(OR(COUNTA(AN809:AP809)=0,AND(COUNTA(AN809:AP809)=3,ISNUMBER(AP809))),0,1)+IF(OR(COUNTA(AQ809:AS809)=0,AND(COUNTA(AQ809:AS809)=3,ISNUMBER(AS809))),0,1)+IF(OR(COUNTA(AT809:AV809)=0,AND(COUNTA(AT809:AV809)=3,ISNUMBER(AV809))),0,1)+IF(OR(COUNTA(AW809:AY809)=0,AND(COUNTA(AW809:AY809)=3,ISNUMBER(AY809))),0,1)+IF(OR(COUNTA(AZ809:BB809)=0,AND(COUNTA(AZ809:BB809)=3,ISNUMBER(BB809))),0,1))&gt;0,"; An invoice is incomplete (needs No, Date and a number in Ex GST)","")&amp;IF((IF(T809="",0,IFERROR(--(EOMONTH(T809,0)&lt;&gt;S$5),1))+IF(W809="",0,IFERROR(--(EOMONTH(W809,0)&lt;&gt;V$5),1))+IF(Z809="",0,IFERROR(--(EOMONTH(Z809,0)&lt;&gt;Y$5),1))+IF(AC809="",0,IFERROR(--(EOMONTH(AC809,0)&lt;&gt;AB$5),1))+IF(AF809="",0,IFERROR(--(EOMONTH(AF809,0)&lt;&gt;AE$5),1))+IF(AI809="",0,IFERROR(--(EOMONTH(AI809,0)&lt;&gt;AH$5),1))+IF(AL809="",0,IFERROR(--(EOMONTH(AL809,0)&lt;&gt;AK$5),1))+IF(AO809="",0,IFERROR(--(EOMONTH(AO809,0)&lt;&gt;AN$5),1))+IF(AR809="",0,IFERROR(--(EOMONTH(AR809,0)&lt;&gt;AQ$5),1))+IF(AU809="",0,IFERROR(--(EOMONTH(AU809,0)&lt;&gt;AT$5),1))+IF(AX809="",0,IFERROR(--(EOMONTH(AX809,0)&lt;&gt;AW$5),1))+IF(BA809="",0,IFERROR(--(EOMONTH(BA809,0)&lt;&gt;AZ$5),1)))&gt;0,"; An invoice date is not in the month it is typed under",""),3,500))</f>
        <v/>
      </c>
      <c r="S809" s="12" t="n"/>
      <c r="T809" s="13" t="n"/>
      <c r="U809" s="14" t="n"/>
      <c r="V809" s="12" t="n"/>
      <c r="W809" s="13" t="n"/>
      <c r="X809" s="14" t="n"/>
      <c r="Y809" s="12" t="n"/>
      <c r="Z809" s="13" t="n"/>
      <c r="AA809" s="14" t="n"/>
      <c r="AB809" s="12" t="n"/>
      <c r="AC809" s="13" t="n"/>
      <c r="AD809" s="14" t="n"/>
      <c r="AE809" s="12" t="n"/>
      <c r="AF809" s="13" t="n"/>
      <c r="AG809" s="14" t="n"/>
      <c r="AH809" s="12" t="n"/>
      <c r="AI809" s="13" t="n"/>
      <c r="AJ809" s="14" t="n"/>
      <c r="AK809" s="12" t="n"/>
      <c r="AL809" s="13" t="n"/>
      <c r="AM809" s="14" t="n"/>
      <c r="AN809" s="12" t="n"/>
      <c r="AO809" s="13" t="n"/>
      <c r="AP809" s="14" t="n"/>
      <c r="AQ809" s="12" t="n"/>
      <c r="AR809" s="13" t="n"/>
      <c r="AS809" s="14" t="n"/>
      <c r="AT809" s="12" t="n"/>
      <c r="AU809" s="13" t="n"/>
      <c r="AV809" s="14" t="n"/>
      <c r="AW809" s="12" t="n"/>
      <c r="AX809" s="13" t="n"/>
      <c r="AY809" s="14" t="n"/>
      <c r="AZ809" s="12" t="n"/>
      <c r="BA809" s="13" t="n"/>
      <c r="BB809" s="14" t="n"/>
      <c r="BC809" s="11">
        <f>IF(O809="","",IF(J809="GST 10%",ROUND(O809*set_GSTRate,2),0))</f>
        <v/>
      </c>
      <c r="BD809" s="11">
        <f>IF(O809="","",O809+BC809)</f>
        <v/>
      </c>
      <c r="BE809" s="15">
        <f>IF(O809="","",COUNTA(S809,V809,Y809,AB809,AE809,AH809,AK809,AN809,AQ809,AT809,AW809,AZ809))</f>
        <v/>
      </c>
      <c r="BF809" s="16">
        <f>IF(COUNT(T809,W809,Z809,AC809,AF809,AI809,AL809,AO809,AR809,AU809,AX809,BA809)=0,"",MAX(T809,W809,Z809,AC809,AF809,AI809,AL809,AO809,AR809,AU809,AX809,BA809))</f>
        <v/>
      </c>
      <c r="BG809" s="10">
        <f>MID(IF(S809="","",", "&amp;S809)&amp;IF(V809="","",", "&amp;V809)&amp;IF(Y809="","",", "&amp;Y809)&amp;IF(AB809="","",", "&amp;AB809)&amp;IF(AE809="","",", "&amp;AE809)&amp;IF(AH809="","",", "&amp;AH809)&amp;IF(AK809="","",", "&amp;AK809)&amp;IF(AN809="","",", "&amp;AN809)&amp;IF(AQ809="","",", "&amp;AQ809)&amp;IF(AT809="","",", "&amp;AT809)&amp;IF(AW809="","",", "&amp;AW809)&amp;IF(AZ809="","",", "&amp;AZ809),3,500)</f>
        <v/>
      </c>
      <c r="BH809" s="12" t="n"/>
      <c r="BI809" s="15">
        <f>IFERROR(MATCH($A809,IF($B809="Onsite",tbl_Onsite[Row ID],IF($B809="Production",tbl_Production[Row ID],tbl_Consulting[Row ID])),0),"")</f>
        <v/>
      </c>
    </row>
    <row r="810">
      <c r="A810" s="10" t="inlineStr">
        <is>
          <t>PRD-0304</t>
        </is>
      </c>
      <c r="B810" s="10" t="inlineStr">
        <is>
          <t>Production</t>
        </is>
      </c>
      <c r="C810" s="10">
        <f>IF($BI810="","",IF($B810="Onsite",INDEX(tbl_Onsite[Job Number],$BI810),IF($B810="Production",INDEX(tbl_Production[Job Number],$BI810),INDEX(tbl_Consulting[Job Number],$BI810)))&amp;"")</f>
        <v/>
      </c>
      <c r="D810" s="10">
        <f>IF($BI810="","",IF($B810="Onsite",INDEX(tbl_Onsite[Client],$BI810),IF($B810="Production",INDEX(tbl_Production[Client],$BI810),INDEX(tbl_Consulting[Client],$BI810)))&amp;"")</f>
        <v/>
      </c>
      <c r="E810" s="10">
        <f>IF($C810="","",IF(COUNTIF(lst_Jobs,$C810)&gt;0,"OK","CHECK"))</f>
        <v/>
      </c>
      <c r="F810" s="10">
        <f>IF($C810="","",IFERROR(INDEX(lst_JobName,MATCH($C810,lst_Jobs,0)),""))</f>
        <v/>
      </c>
      <c r="G810" s="10">
        <f>IF($BI810="","",IF($B810="Onsite",INDEX(tbl_Onsite[Job Description],$BI810),IF($B810="Production",INDEX(tbl_Production[Job Description],$BI810),INDEX(tbl_Consulting[Job Description],$BI810)))&amp;"")</f>
        <v/>
      </c>
      <c r="H810" s="10">
        <f>IF($BI810="","",IF($B810="Onsite",INDEX(tbl_Onsite[Cost Centre],$BI810),IF($B810="Production",INDEX(tbl_Production[Cost Centre],$BI810),INDEX(tbl_Consulting[Cost Centre],$BI810)))&amp;"")</f>
        <v/>
      </c>
      <c r="I810" s="10">
        <f>IF($BI810="","",IF($B810="Onsite",INDEX(tbl_Onsite[Invoice Type],$BI810),IF($B810="Production",INDEX(tbl_Production[Invoice Type],$BI810),INDEX(tbl_Consulting[Invoice Type],$BI810)))&amp;"")</f>
        <v/>
      </c>
      <c r="J810" s="10">
        <f>IF($BI810="","",IF($B810="Onsite",INDEX(tbl_Onsite[Tax Code],$BI810),IF($B810="Production",INDEX(tbl_Production[Tax Code],$BI810),INDEX(tbl_Consulting[Tax Code],$BI810)))&amp;"")</f>
        <v/>
      </c>
      <c r="K810" s="10">
        <f>IF(H810="","",IFERROR(INDEX(lst_CCtoGL,MATCH(H810,lst_CCforGL,0)),""))</f>
        <v/>
      </c>
      <c r="L810" s="10">
        <f>IF($BI810="","",IF($B810="Onsite",INDEX(tbl_Onsite[PO / Reference],$BI810),IF($B810="Production",INDEX(tbl_Production[Current RMS No],$BI810),INDEX(tbl_Consulting[Qwilr Quote],$BI810)))&amp;"")</f>
        <v/>
      </c>
      <c r="M810" s="10">
        <f>IF($BI810="","",IF($B810="Onsite",INDEX(tbl_Onsite[Notes],$BI810),IF($B810="Production",INDEX(tbl_Production[Notes],$BI810),INDEX(tbl_Consulting[Notes],$BI810)))&amp;"")</f>
        <v/>
      </c>
      <c r="N810" s="11">
        <f>IF($BI810="","",IF(IF($B810="Onsite",INDEX(tbl_Onsite[Expected Revenue Ex GST],$BI810),IF($B810="Production",INDEX(tbl_Production[Expected Revenue Ex GST],$BI810),INDEX(tbl_Consulting[Expected Revenue Ex GST],$BI810)))="","",IF($B810="Onsite",INDEX(tbl_Onsite[Expected Revenue Ex GST],$BI810),IF($B810="Production",INDEX(tbl_Production[Expected Revenue Ex GST],$BI810),INDEX(tbl_Consulting[Expected Revenue Ex GST],$BI810)))))</f>
        <v/>
      </c>
      <c r="O810" s="11">
        <f>IF(AND($C810="",NOT(COUNTA($S810:$BB810)&gt;0)),"",SUM(U810,X810,AA810,AD810,AG810,AJ810,AM810,AP810,AS810,AV810,AY810,BB810))</f>
        <v/>
      </c>
      <c r="P810" s="11">
        <f>IF(O810="","",N(N810)-O810)</f>
        <v/>
      </c>
      <c r="Q810" s="10">
        <f>IF(O810="","",IF($C810="","Invoice on empty job row",IF(N810="",IF(ROUND(O810,2)=0,"No dept value","Invoiced - no dept value"),IF(ROUND(O810,2)=0,"Not invoiced - to invoice",IF(ROUND(P810,2)=0,"Agrees",IF(P810&gt;0,"Dept higher - to invoice","Xero higher - check dept"))))))</f>
        <v/>
      </c>
      <c r="R810" s="10">
        <f>IF(AND($C810="",NOT(COUNTA($S810:$BB810)&gt;0),$BI810&lt;&gt;""),"",MID(IF($BI810="","; Row ID not found on the department sheet - a row was deleted","")&amp;IF(AND($C810="",COUNTA($S810:$BB810)&gt;0),"; Invoice entered but the department row has no job number","")&amp;IF(E810="CHECK","; Job number not in the Xero job list","")&amp;IF(AND($C810&lt;&gt;"",COUNTIF($C$7:$C$1506,$C810)&gt;1),"; Job number on more than one row","")&amp;IF(AND($C810&lt;&gt;"",H810=""),"; Dept has not set a cost centre","")&amp;IF(AND($C810&lt;&gt;"",J810=""),"; Dept has not set a tax code","")&amp;IF(AND($C810&lt;&gt;"",N810=""),"; Dept has not entered an expected value","")&amp;IF((IF(OR(COUNTA(S810:U810)=0,AND(COUNTA(S810:U810)=3,ISNUMBER(U810))),0,1)+IF(OR(COUNTA(V810:X810)=0,AND(COUNTA(V810:X810)=3,ISNUMBER(X810))),0,1)+IF(OR(COUNTA(Y810:AA810)=0,AND(COUNTA(Y810:AA810)=3,ISNUMBER(AA810))),0,1)+IF(OR(COUNTA(AB810:AD810)=0,AND(COUNTA(AB810:AD810)=3,ISNUMBER(AD810))),0,1)+IF(OR(COUNTA(AE810:AG810)=0,AND(COUNTA(AE810:AG810)=3,ISNUMBER(AG810))),0,1)+IF(OR(COUNTA(AH810:AJ810)=0,AND(COUNTA(AH810:AJ810)=3,ISNUMBER(AJ810))),0,1)+IF(OR(COUNTA(AK810:AM810)=0,AND(COUNTA(AK810:AM810)=3,ISNUMBER(AM810))),0,1)+IF(OR(COUNTA(AN810:AP810)=0,AND(COUNTA(AN810:AP810)=3,ISNUMBER(AP810))),0,1)+IF(OR(COUNTA(AQ810:AS810)=0,AND(COUNTA(AQ810:AS810)=3,ISNUMBER(AS810))),0,1)+IF(OR(COUNTA(AT810:AV810)=0,AND(COUNTA(AT810:AV810)=3,ISNUMBER(AV810))),0,1)+IF(OR(COUNTA(AW810:AY810)=0,AND(COUNTA(AW810:AY810)=3,ISNUMBER(AY810))),0,1)+IF(OR(COUNTA(AZ810:BB810)=0,AND(COUNTA(AZ810:BB810)=3,ISNUMBER(BB810))),0,1))&gt;0,"; An invoice is incomplete (needs No, Date and a number in Ex GST)","")&amp;IF((IF(T810="",0,IFERROR(--(EOMONTH(T810,0)&lt;&gt;S$5),1))+IF(W810="",0,IFERROR(--(EOMONTH(W810,0)&lt;&gt;V$5),1))+IF(Z810="",0,IFERROR(--(EOMONTH(Z810,0)&lt;&gt;Y$5),1))+IF(AC810="",0,IFERROR(--(EOMONTH(AC810,0)&lt;&gt;AB$5),1))+IF(AF810="",0,IFERROR(--(EOMONTH(AF810,0)&lt;&gt;AE$5),1))+IF(AI810="",0,IFERROR(--(EOMONTH(AI810,0)&lt;&gt;AH$5),1))+IF(AL810="",0,IFERROR(--(EOMONTH(AL810,0)&lt;&gt;AK$5),1))+IF(AO810="",0,IFERROR(--(EOMONTH(AO810,0)&lt;&gt;AN$5),1))+IF(AR810="",0,IFERROR(--(EOMONTH(AR810,0)&lt;&gt;AQ$5),1))+IF(AU810="",0,IFERROR(--(EOMONTH(AU810,0)&lt;&gt;AT$5),1))+IF(AX810="",0,IFERROR(--(EOMONTH(AX810,0)&lt;&gt;AW$5),1))+IF(BA810="",0,IFERROR(--(EOMONTH(BA810,0)&lt;&gt;AZ$5),1)))&gt;0,"; An invoice date is not in the month it is typed under",""),3,500))</f>
        <v/>
      </c>
      <c r="S810" s="12" t="n"/>
      <c r="T810" s="13" t="n"/>
      <c r="U810" s="14" t="n"/>
      <c r="V810" s="12" t="n"/>
      <c r="W810" s="13" t="n"/>
      <c r="X810" s="14" t="n"/>
      <c r="Y810" s="12" t="n"/>
      <c r="Z810" s="13" t="n"/>
      <c r="AA810" s="14" t="n"/>
      <c r="AB810" s="12" t="n"/>
      <c r="AC810" s="13" t="n"/>
      <c r="AD810" s="14" t="n"/>
      <c r="AE810" s="12" t="n"/>
      <c r="AF810" s="13" t="n"/>
      <c r="AG810" s="14" t="n"/>
      <c r="AH810" s="12" t="n"/>
      <c r="AI810" s="13" t="n"/>
      <c r="AJ810" s="14" t="n"/>
      <c r="AK810" s="12" t="n"/>
      <c r="AL810" s="13" t="n"/>
      <c r="AM810" s="14" t="n"/>
      <c r="AN810" s="12" t="n"/>
      <c r="AO810" s="13" t="n"/>
      <c r="AP810" s="14" t="n"/>
      <c r="AQ810" s="12" t="n"/>
      <c r="AR810" s="13" t="n"/>
      <c r="AS810" s="14" t="n"/>
      <c r="AT810" s="12" t="n"/>
      <c r="AU810" s="13" t="n"/>
      <c r="AV810" s="14" t="n"/>
      <c r="AW810" s="12" t="n"/>
      <c r="AX810" s="13" t="n"/>
      <c r="AY810" s="14" t="n"/>
      <c r="AZ810" s="12" t="n"/>
      <c r="BA810" s="13" t="n"/>
      <c r="BB810" s="14" t="n"/>
      <c r="BC810" s="11">
        <f>IF(O810="","",IF(J810="GST 10%",ROUND(O810*set_GSTRate,2),0))</f>
        <v/>
      </c>
      <c r="BD810" s="11">
        <f>IF(O810="","",O810+BC810)</f>
        <v/>
      </c>
      <c r="BE810" s="15">
        <f>IF(O810="","",COUNTA(S810,V810,Y810,AB810,AE810,AH810,AK810,AN810,AQ810,AT810,AW810,AZ810))</f>
        <v/>
      </c>
      <c r="BF810" s="16">
        <f>IF(COUNT(T810,W810,Z810,AC810,AF810,AI810,AL810,AO810,AR810,AU810,AX810,BA810)=0,"",MAX(T810,W810,Z810,AC810,AF810,AI810,AL810,AO810,AR810,AU810,AX810,BA810))</f>
        <v/>
      </c>
      <c r="BG810" s="10">
        <f>MID(IF(S810="","",", "&amp;S810)&amp;IF(V810="","",", "&amp;V810)&amp;IF(Y810="","",", "&amp;Y810)&amp;IF(AB810="","",", "&amp;AB810)&amp;IF(AE810="","",", "&amp;AE810)&amp;IF(AH810="","",", "&amp;AH810)&amp;IF(AK810="","",", "&amp;AK810)&amp;IF(AN810="","",", "&amp;AN810)&amp;IF(AQ810="","",", "&amp;AQ810)&amp;IF(AT810="","",", "&amp;AT810)&amp;IF(AW810="","",", "&amp;AW810)&amp;IF(AZ810="","",", "&amp;AZ810),3,500)</f>
        <v/>
      </c>
      <c r="BH810" s="12" t="n"/>
      <c r="BI810" s="15">
        <f>IFERROR(MATCH($A810,IF($B810="Onsite",tbl_Onsite[Row ID],IF($B810="Production",tbl_Production[Row ID],tbl_Consulting[Row ID])),0),"")</f>
        <v/>
      </c>
    </row>
    <row r="811">
      <c r="A811" s="10" t="inlineStr">
        <is>
          <t>PRD-0305</t>
        </is>
      </c>
      <c r="B811" s="10" t="inlineStr">
        <is>
          <t>Production</t>
        </is>
      </c>
      <c r="C811" s="10">
        <f>IF($BI811="","",IF($B811="Onsite",INDEX(tbl_Onsite[Job Number],$BI811),IF($B811="Production",INDEX(tbl_Production[Job Number],$BI811),INDEX(tbl_Consulting[Job Number],$BI811)))&amp;"")</f>
        <v/>
      </c>
      <c r="D811" s="10">
        <f>IF($BI811="","",IF($B811="Onsite",INDEX(tbl_Onsite[Client],$BI811),IF($B811="Production",INDEX(tbl_Production[Client],$BI811),INDEX(tbl_Consulting[Client],$BI811)))&amp;"")</f>
        <v/>
      </c>
      <c r="E811" s="10">
        <f>IF($C811="","",IF(COUNTIF(lst_Jobs,$C811)&gt;0,"OK","CHECK"))</f>
        <v/>
      </c>
      <c r="F811" s="10">
        <f>IF($C811="","",IFERROR(INDEX(lst_JobName,MATCH($C811,lst_Jobs,0)),""))</f>
        <v/>
      </c>
      <c r="G811" s="10">
        <f>IF($BI811="","",IF($B811="Onsite",INDEX(tbl_Onsite[Job Description],$BI811),IF($B811="Production",INDEX(tbl_Production[Job Description],$BI811),INDEX(tbl_Consulting[Job Description],$BI811)))&amp;"")</f>
        <v/>
      </c>
      <c r="H811" s="10">
        <f>IF($BI811="","",IF($B811="Onsite",INDEX(tbl_Onsite[Cost Centre],$BI811),IF($B811="Production",INDEX(tbl_Production[Cost Centre],$BI811),INDEX(tbl_Consulting[Cost Centre],$BI811)))&amp;"")</f>
        <v/>
      </c>
      <c r="I811" s="10">
        <f>IF($BI811="","",IF($B811="Onsite",INDEX(tbl_Onsite[Invoice Type],$BI811),IF($B811="Production",INDEX(tbl_Production[Invoice Type],$BI811),INDEX(tbl_Consulting[Invoice Type],$BI811)))&amp;"")</f>
        <v/>
      </c>
      <c r="J811" s="10">
        <f>IF($BI811="","",IF($B811="Onsite",INDEX(tbl_Onsite[Tax Code],$BI811),IF($B811="Production",INDEX(tbl_Production[Tax Code],$BI811),INDEX(tbl_Consulting[Tax Code],$BI811)))&amp;"")</f>
        <v/>
      </c>
      <c r="K811" s="10">
        <f>IF(H811="","",IFERROR(INDEX(lst_CCtoGL,MATCH(H811,lst_CCforGL,0)),""))</f>
        <v/>
      </c>
      <c r="L811" s="10">
        <f>IF($BI811="","",IF($B811="Onsite",INDEX(tbl_Onsite[PO / Reference],$BI811),IF($B811="Production",INDEX(tbl_Production[Current RMS No],$BI811),INDEX(tbl_Consulting[Qwilr Quote],$BI811)))&amp;"")</f>
        <v/>
      </c>
      <c r="M811" s="10">
        <f>IF($BI811="","",IF($B811="Onsite",INDEX(tbl_Onsite[Notes],$BI811),IF($B811="Production",INDEX(tbl_Production[Notes],$BI811),INDEX(tbl_Consulting[Notes],$BI811)))&amp;"")</f>
        <v/>
      </c>
      <c r="N811" s="11">
        <f>IF($BI811="","",IF(IF($B811="Onsite",INDEX(tbl_Onsite[Expected Revenue Ex GST],$BI811),IF($B811="Production",INDEX(tbl_Production[Expected Revenue Ex GST],$BI811),INDEX(tbl_Consulting[Expected Revenue Ex GST],$BI811)))="","",IF($B811="Onsite",INDEX(tbl_Onsite[Expected Revenue Ex GST],$BI811),IF($B811="Production",INDEX(tbl_Production[Expected Revenue Ex GST],$BI811),INDEX(tbl_Consulting[Expected Revenue Ex GST],$BI811)))))</f>
        <v/>
      </c>
      <c r="O811" s="11">
        <f>IF(AND($C811="",NOT(COUNTA($S811:$BB811)&gt;0)),"",SUM(U811,X811,AA811,AD811,AG811,AJ811,AM811,AP811,AS811,AV811,AY811,BB811))</f>
        <v/>
      </c>
      <c r="P811" s="11">
        <f>IF(O811="","",N(N811)-O811)</f>
        <v/>
      </c>
      <c r="Q811" s="10">
        <f>IF(O811="","",IF($C811="","Invoice on empty job row",IF(N811="",IF(ROUND(O811,2)=0,"No dept value","Invoiced - no dept value"),IF(ROUND(O811,2)=0,"Not invoiced - to invoice",IF(ROUND(P811,2)=0,"Agrees",IF(P811&gt;0,"Dept higher - to invoice","Xero higher - check dept"))))))</f>
        <v/>
      </c>
      <c r="R811" s="10">
        <f>IF(AND($C811="",NOT(COUNTA($S811:$BB811)&gt;0),$BI811&lt;&gt;""),"",MID(IF($BI811="","; Row ID not found on the department sheet - a row was deleted","")&amp;IF(AND($C811="",COUNTA($S811:$BB811)&gt;0),"; Invoice entered but the department row has no job number","")&amp;IF(E811="CHECK","; Job number not in the Xero job list","")&amp;IF(AND($C811&lt;&gt;"",COUNTIF($C$7:$C$1506,$C811)&gt;1),"; Job number on more than one row","")&amp;IF(AND($C811&lt;&gt;"",H811=""),"; Dept has not set a cost centre","")&amp;IF(AND($C811&lt;&gt;"",J811=""),"; Dept has not set a tax code","")&amp;IF(AND($C811&lt;&gt;"",N811=""),"; Dept has not entered an expected value","")&amp;IF((IF(OR(COUNTA(S811:U811)=0,AND(COUNTA(S811:U811)=3,ISNUMBER(U811))),0,1)+IF(OR(COUNTA(V811:X811)=0,AND(COUNTA(V811:X811)=3,ISNUMBER(X811))),0,1)+IF(OR(COUNTA(Y811:AA811)=0,AND(COUNTA(Y811:AA811)=3,ISNUMBER(AA811))),0,1)+IF(OR(COUNTA(AB811:AD811)=0,AND(COUNTA(AB811:AD811)=3,ISNUMBER(AD811))),0,1)+IF(OR(COUNTA(AE811:AG811)=0,AND(COUNTA(AE811:AG811)=3,ISNUMBER(AG811))),0,1)+IF(OR(COUNTA(AH811:AJ811)=0,AND(COUNTA(AH811:AJ811)=3,ISNUMBER(AJ811))),0,1)+IF(OR(COUNTA(AK811:AM811)=0,AND(COUNTA(AK811:AM811)=3,ISNUMBER(AM811))),0,1)+IF(OR(COUNTA(AN811:AP811)=0,AND(COUNTA(AN811:AP811)=3,ISNUMBER(AP811))),0,1)+IF(OR(COUNTA(AQ811:AS811)=0,AND(COUNTA(AQ811:AS811)=3,ISNUMBER(AS811))),0,1)+IF(OR(COUNTA(AT811:AV811)=0,AND(COUNTA(AT811:AV811)=3,ISNUMBER(AV811))),0,1)+IF(OR(COUNTA(AW811:AY811)=0,AND(COUNTA(AW811:AY811)=3,ISNUMBER(AY811))),0,1)+IF(OR(COUNTA(AZ811:BB811)=0,AND(COUNTA(AZ811:BB811)=3,ISNUMBER(BB811))),0,1))&gt;0,"; An invoice is incomplete (needs No, Date and a number in Ex GST)","")&amp;IF((IF(T811="",0,IFERROR(--(EOMONTH(T811,0)&lt;&gt;S$5),1))+IF(W811="",0,IFERROR(--(EOMONTH(W811,0)&lt;&gt;V$5),1))+IF(Z811="",0,IFERROR(--(EOMONTH(Z811,0)&lt;&gt;Y$5),1))+IF(AC811="",0,IFERROR(--(EOMONTH(AC811,0)&lt;&gt;AB$5),1))+IF(AF811="",0,IFERROR(--(EOMONTH(AF811,0)&lt;&gt;AE$5),1))+IF(AI811="",0,IFERROR(--(EOMONTH(AI811,0)&lt;&gt;AH$5),1))+IF(AL811="",0,IFERROR(--(EOMONTH(AL811,0)&lt;&gt;AK$5),1))+IF(AO811="",0,IFERROR(--(EOMONTH(AO811,0)&lt;&gt;AN$5),1))+IF(AR811="",0,IFERROR(--(EOMONTH(AR811,0)&lt;&gt;AQ$5),1))+IF(AU811="",0,IFERROR(--(EOMONTH(AU811,0)&lt;&gt;AT$5),1))+IF(AX811="",0,IFERROR(--(EOMONTH(AX811,0)&lt;&gt;AW$5),1))+IF(BA811="",0,IFERROR(--(EOMONTH(BA811,0)&lt;&gt;AZ$5),1)))&gt;0,"; An invoice date is not in the month it is typed under",""),3,500))</f>
        <v/>
      </c>
      <c r="S811" s="12" t="n"/>
      <c r="T811" s="13" t="n"/>
      <c r="U811" s="14" t="n"/>
      <c r="V811" s="12" t="n"/>
      <c r="W811" s="13" t="n"/>
      <c r="X811" s="14" t="n"/>
      <c r="Y811" s="12" t="n"/>
      <c r="Z811" s="13" t="n"/>
      <c r="AA811" s="14" t="n"/>
      <c r="AB811" s="12" t="n"/>
      <c r="AC811" s="13" t="n"/>
      <c r="AD811" s="14" t="n"/>
      <c r="AE811" s="12" t="n"/>
      <c r="AF811" s="13" t="n"/>
      <c r="AG811" s="14" t="n"/>
      <c r="AH811" s="12" t="n"/>
      <c r="AI811" s="13" t="n"/>
      <c r="AJ811" s="14" t="n"/>
      <c r="AK811" s="12" t="n"/>
      <c r="AL811" s="13" t="n"/>
      <c r="AM811" s="14" t="n"/>
      <c r="AN811" s="12" t="n"/>
      <c r="AO811" s="13" t="n"/>
      <c r="AP811" s="14" t="n"/>
      <c r="AQ811" s="12" t="n"/>
      <c r="AR811" s="13" t="n"/>
      <c r="AS811" s="14" t="n"/>
      <c r="AT811" s="12" t="n"/>
      <c r="AU811" s="13" t="n"/>
      <c r="AV811" s="14" t="n"/>
      <c r="AW811" s="12" t="n"/>
      <c r="AX811" s="13" t="n"/>
      <c r="AY811" s="14" t="n"/>
      <c r="AZ811" s="12" t="n"/>
      <c r="BA811" s="13" t="n"/>
      <c r="BB811" s="14" t="n"/>
      <c r="BC811" s="11">
        <f>IF(O811="","",IF(J811="GST 10%",ROUND(O811*set_GSTRate,2),0))</f>
        <v/>
      </c>
      <c r="BD811" s="11">
        <f>IF(O811="","",O811+BC811)</f>
        <v/>
      </c>
      <c r="BE811" s="15">
        <f>IF(O811="","",COUNTA(S811,V811,Y811,AB811,AE811,AH811,AK811,AN811,AQ811,AT811,AW811,AZ811))</f>
        <v/>
      </c>
      <c r="BF811" s="16">
        <f>IF(COUNT(T811,W811,Z811,AC811,AF811,AI811,AL811,AO811,AR811,AU811,AX811,BA811)=0,"",MAX(T811,W811,Z811,AC811,AF811,AI811,AL811,AO811,AR811,AU811,AX811,BA811))</f>
        <v/>
      </c>
      <c r="BG811" s="10">
        <f>MID(IF(S811="","",", "&amp;S811)&amp;IF(V811="","",", "&amp;V811)&amp;IF(Y811="","",", "&amp;Y811)&amp;IF(AB811="","",", "&amp;AB811)&amp;IF(AE811="","",", "&amp;AE811)&amp;IF(AH811="","",", "&amp;AH811)&amp;IF(AK811="","",", "&amp;AK811)&amp;IF(AN811="","",", "&amp;AN811)&amp;IF(AQ811="","",", "&amp;AQ811)&amp;IF(AT811="","",", "&amp;AT811)&amp;IF(AW811="","",", "&amp;AW811)&amp;IF(AZ811="","",", "&amp;AZ811),3,500)</f>
        <v/>
      </c>
      <c r="BH811" s="12" t="n"/>
      <c r="BI811" s="15">
        <f>IFERROR(MATCH($A811,IF($B811="Onsite",tbl_Onsite[Row ID],IF($B811="Production",tbl_Production[Row ID],tbl_Consulting[Row ID])),0),"")</f>
        <v/>
      </c>
    </row>
    <row r="812">
      <c r="A812" s="10" t="inlineStr">
        <is>
          <t>PRD-0306</t>
        </is>
      </c>
      <c r="B812" s="10" t="inlineStr">
        <is>
          <t>Production</t>
        </is>
      </c>
      <c r="C812" s="10">
        <f>IF($BI812="","",IF($B812="Onsite",INDEX(tbl_Onsite[Job Number],$BI812),IF($B812="Production",INDEX(tbl_Production[Job Number],$BI812),INDEX(tbl_Consulting[Job Number],$BI812)))&amp;"")</f>
        <v/>
      </c>
      <c r="D812" s="10">
        <f>IF($BI812="","",IF($B812="Onsite",INDEX(tbl_Onsite[Client],$BI812),IF($B812="Production",INDEX(tbl_Production[Client],$BI812),INDEX(tbl_Consulting[Client],$BI812)))&amp;"")</f>
        <v/>
      </c>
      <c r="E812" s="10">
        <f>IF($C812="","",IF(COUNTIF(lst_Jobs,$C812)&gt;0,"OK","CHECK"))</f>
        <v/>
      </c>
      <c r="F812" s="10">
        <f>IF($C812="","",IFERROR(INDEX(lst_JobName,MATCH($C812,lst_Jobs,0)),""))</f>
        <v/>
      </c>
      <c r="G812" s="10">
        <f>IF($BI812="","",IF($B812="Onsite",INDEX(tbl_Onsite[Job Description],$BI812),IF($B812="Production",INDEX(tbl_Production[Job Description],$BI812),INDEX(tbl_Consulting[Job Description],$BI812)))&amp;"")</f>
        <v/>
      </c>
      <c r="H812" s="10">
        <f>IF($BI812="","",IF($B812="Onsite",INDEX(tbl_Onsite[Cost Centre],$BI812),IF($B812="Production",INDEX(tbl_Production[Cost Centre],$BI812),INDEX(tbl_Consulting[Cost Centre],$BI812)))&amp;"")</f>
        <v/>
      </c>
      <c r="I812" s="10">
        <f>IF($BI812="","",IF($B812="Onsite",INDEX(tbl_Onsite[Invoice Type],$BI812),IF($B812="Production",INDEX(tbl_Production[Invoice Type],$BI812),INDEX(tbl_Consulting[Invoice Type],$BI812)))&amp;"")</f>
        <v/>
      </c>
      <c r="J812" s="10">
        <f>IF($BI812="","",IF($B812="Onsite",INDEX(tbl_Onsite[Tax Code],$BI812),IF($B812="Production",INDEX(tbl_Production[Tax Code],$BI812),INDEX(tbl_Consulting[Tax Code],$BI812)))&amp;"")</f>
        <v/>
      </c>
      <c r="K812" s="10">
        <f>IF(H812="","",IFERROR(INDEX(lst_CCtoGL,MATCH(H812,lst_CCforGL,0)),""))</f>
        <v/>
      </c>
      <c r="L812" s="10">
        <f>IF($BI812="","",IF($B812="Onsite",INDEX(tbl_Onsite[PO / Reference],$BI812),IF($B812="Production",INDEX(tbl_Production[Current RMS No],$BI812),INDEX(tbl_Consulting[Qwilr Quote],$BI812)))&amp;"")</f>
        <v/>
      </c>
      <c r="M812" s="10">
        <f>IF($BI812="","",IF($B812="Onsite",INDEX(tbl_Onsite[Notes],$BI812),IF($B812="Production",INDEX(tbl_Production[Notes],$BI812),INDEX(tbl_Consulting[Notes],$BI812)))&amp;"")</f>
        <v/>
      </c>
      <c r="N812" s="11">
        <f>IF($BI812="","",IF(IF($B812="Onsite",INDEX(tbl_Onsite[Expected Revenue Ex GST],$BI812),IF($B812="Production",INDEX(tbl_Production[Expected Revenue Ex GST],$BI812),INDEX(tbl_Consulting[Expected Revenue Ex GST],$BI812)))="","",IF($B812="Onsite",INDEX(tbl_Onsite[Expected Revenue Ex GST],$BI812),IF($B812="Production",INDEX(tbl_Production[Expected Revenue Ex GST],$BI812),INDEX(tbl_Consulting[Expected Revenue Ex GST],$BI812)))))</f>
        <v/>
      </c>
      <c r="O812" s="11">
        <f>IF(AND($C812="",NOT(COUNTA($S812:$BB812)&gt;0)),"",SUM(U812,X812,AA812,AD812,AG812,AJ812,AM812,AP812,AS812,AV812,AY812,BB812))</f>
        <v/>
      </c>
      <c r="P812" s="11">
        <f>IF(O812="","",N(N812)-O812)</f>
        <v/>
      </c>
      <c r="Q812" s="10">
        <f>IF(O812="","",IF($C812="","Invoice on empty job row",IF(N812="",IF(ROUND(O812,2)=0,"No dept value","Invoiced - no dept value"),IF(ROUND(O812,2)=0,"Not invoiced - to invoice",IF(ROUND(P812,2)=0,"Agrees",IF(P812&gt;0,"Dept higher - to invoice","Xero higher - check dept"))))))</f>
        <v/>
      </c>
      <c r="R812" s="10">
        <f>IF(AND($C812="",NOT(COUNTA($S812:$BB812)&gt;0),$BI812&lt;&gt;""),"",MID(IF($BI812="","; Row ID not found on the department sheet - a row was deleted","")&amp;IF(AND($C812="",COUNTA($S812:$BB812)&gt;0),"; Invoice entered but the department row has no job number","")&amp;IF(E812="CHECK","; Job number not in the Xero job list","")&amp;IF(AND($C812&lt;&gt;"",COUNTIF($C$7:$C$1506,$C812)&gt;1),"; Job number on more than one row","")&amp;IF(AND($C812&lt;&gt;"",H812=""),"; Dept has not set a cost centre","")&amp;IF(AND($C812&lt;&gt;"",J812=""),"; Dept has not set a tax code","")&amp;IF(AND($C812&lt;&gt;"",N812=""),"; Dept has not entered an expected value","")&amp;IF((IF(OR(COUNTA(S812:U812)=0,AND(COUNTA(S812:U812)=3,ISNUMBER(U812))),0,1)+IF(OR(COUNTA(V812:X812)=0,AND(COUNTA(V812:X812)=3,ISNUMBER(X812))),0,1)+IF(OR(COUNTA(Y812:AA812)=0,AND(COUNTA(Y812:AA812)=3,ISNUMBER(AA812))),0,1)+IF(OR(COUNTA(AB812:AD812)=0,AND(COUNTA(AB812:AD812)=3,ISNUMBER(AD812))),0,1)+IF(OR(COUNTA(AE812:AG812)=0,AND(COUNTA(AE812:AG812)=3,ISNUMBER(AG812))),0,1)+IF(OR(COUNTA(AH812:AJ812)=0,AND(COUNTA(AH812:AJ812)=3,ISNUMBER(AJ812))),0,1)+IF(OR(COUNTA(AK812:AM812)=0,AND(COUNTA(AK812:AM812)=3,ISNUMBER(AM812))),0,1)+IF(OR(COUNTA(AN812:AP812)=0,AND(COUNTA(AN812:AP812)=3,ISNUMBER(AP812))),0,1)+IF(OR(COUNTA(AQ812:AS812)=0,AND(COUNTA(AQ812:AS812)=3,ISNUMBER(AS812))),0,1)+IF(OR(COUNTA(AT812:AV812)=0,AND(COUNTA(AT812:AV812)=3,ISNUMBER(AV812))),0,1)+IF(OR(COUNTA(AW812:AY812)=0,AND(COUNTA(AW812:AY812)=3,ISNUMBER(AY812))),0,1)+IF(OR(COUNTA(AZ812:BB812)=0,AND(COUNTA(AZ812:BB812)=3,ISNUMBER(BB812))),0,1))&gt;0,"; An invoice is incomplete (needs No, Date and a number in Ex GST)","")&amp;IF((IF(T812="",0,IFERROR(--(EOMONTH(T812,0)&lt;&gt;S$5),1))+IF(W812="",0,IFERROR(--(EOMONTH(W812,0)&lt;&gt;V$5),1))+IF(Z812="",0,IFERROR(--(EOMONTH(Z812,0)&lt;&gt;Y$5),1))+IF(AC812="",0,IFERROR(--(EOMONTH(AC812,0)&lt;&gt;AB$5),1))+IF(AF812="",0,IFERROR(--(EOMONTH(AF812,0)&lt;&gt;AE$5),1))+IF(AI812="",0,IFERROR(--(EOMONTH(AI812,0)&lt;&gt;AH$5),1))+IF(AL812="",0,IFERROR(--(EOMONTH(AL812,0)&lt;&gt;AK$5),1))+IF(AO812="",0,IFERROR(--(EOMONTH(AO812,0)&lt;&gt;AN$5),1))+IF(AR812="",0,IFERROR(--(EOMONTH(AR812,0)&lt;&gt;AQ$5),1))+IF(AU812="",0,IFERROR(--(EOMONTH(AU812,0)&lt;&gt;AT$5),1))+IF(AX812="",0,IFERROR(--(EOMONTH(AX812,0)&lt;&gt;AW$5),1))+IF(BA812="",0,IFERROR(--(EOMONTH(BA812,0)&lt;&gt;AZ$5),1)))&gt;0,"; An invoice date is not in the month it is typed under",""),3,500))</f>
        <v/>
      </c>
      <c r="S812" s="12" t="n"/>
      <c r="T812" s="13" t="n"/>
      <c r="U812" s="14" t="n"/>
      <c r="V812" s="12" t="n"/>
      <c r="W812" s="13" t="n"/>
      <c r="X812" s="14" t="n"/>
      <c r="Y812" s="12" t="n"/>
      <c r="Z812" s="13" t="n"/>
      <c r="AA812" s="14" t="n"/>
      <c r="AB812" s="12" t="n"/>
      <c r="AC812" s="13" t="n"/>
      <c r="AD812" s="14" t="n"/>
      <c r="AE812" s="12" t="n"/>
      <c r="AF812" s="13" t="n"/>
      <c r="AG812" s="14" t="n"/>
      <c r="AH812" s="12" t="n"/>
      <c r="AI812" s="13" t="n"/>
      <c r="AJ812" s="14" t="n"/>
      <c r="AK812" s="12" t="n"/>
      <c r="AL812" s="13" t="n"/>
      <c r="AM812" s="14" t="n"/>
      <c r="AN812" s="12" t="n"/>
      <c r="AO812" s="13" t="n"/>
      <c r="AP812" s="14" t="n"/>
      <c r="AQ812" s="12" t="n"/>
      <c r="AR812" s="13" t="n"/>
      <c r="AS812" s="14" t="n"/>
      <c r="AT812" s="12" t="n"/>
      <c r="AU812" s="13" t="n"/>
      <c r="AV812" s="14" t="n"/>
      <c r="AW812" s="12" t="n"/>
      <c r="AX812" s="13" t="n"/>
      <c r="AY812" s="14" t="n"/>
      <c r="AZ812" s="12" t="n"/>
      <c r="BA812" s="13" t="n"/>
      <c r="BB812" s="14" t="n"/>
      <c r="BC812" s="11">
        <f>IF(O812="","",IF(J812="GST 10%",ROUND(O812*set_GSTRate,2),0))</f>
        <v/>
      </c>
      <c r="BD812" s="11">
        <f>IF(O812="","",O812+BC812)</f>
        <v/>
      </c>
      <c r="BE812" s="15">
        <f>IF(O812="","",COUNTA(S812,V812,Y812,AB812,AE812,AH812,AK812,AN812,AQ812,AT812,AW812,AZ812))</f>
        <v/>
      </c>
      <c r="BF812" s="16">
        <f>IF(COUNT(T812,W812,Z812,AC812,AF812,AI812,AL812,AO812,AR812,AU812,AX812,BA812)=0,"",MAX(T812,W812,Z812,AC812,AF812,AI812,AL812,AO812,AR812,AU812,AX812,BA812))</f>
        <v/>
      </c>
      <c r="BG812" s="10">
        <f>MID(IF(S812="","",", "&amp;S812)&amp;IF(V812="","",", "&amp;V812)&amp;IF(Y812="","",", "&amp;Y812)&amp;IF(AB812="","",", "&amp;AB812)&amp;IF(AE812="","",", "&amp;AE812)&amp;IF(AH812="","",", "&amp;AH812)&amp;IF(AK812="","",", "&amp;AK812)&amp;IF(AN812="","",", "&amp;AN812)&amp;IF(AQ812="","",", "&amp;AQ812)&amp;IF(AT812="","",", "&amp;AT812)&amp;IF(AW812="","",", "&amp;AW812)&amp;IF(AZ812="","",", "&amp;AZ812),3,500)</f>
        <v/>
      </c>
      <c r="BH812" s="12" t="n"/>
      <c r="BI812" s="15">
        <f>IFERROR(MATCH($A812,IF($B812="Onsite",tbl_Onsite[Row ID],IF($B812="Production",tbl_Production[Row ID],tbl_Consulting[Row ID])),0),"")</f>
        <v/>
      </c>
    </row>
    <row r="813">
      <c r="A813" s="10" t="inlineStr">
        <is>
          <t>PRD-0307</t>
        </is>
      </c>
      <c r="B813" s="10" t="inlineStr">
        <is>
          <t>Production</t>
        </is>
      </c>
      <c r="C813" s="10">
        <f>IF($BI813="","",IF($B813="Onsite",INDEX(tbl_Onsite[Job Number],$BI813),IF($B813="Production",INDEX(tbl_Production[Job Number],$BI813),INDEX(tbl_Consulting[Job Number],$BI813)))&amp;"")</f>
        <v/>
      </c>
      <c r="D813" s="10">
        <f>IF($BI813="","",IF($B813="Onsite",INDEX(tbl_Onsite[Client],$BI813),IF($B813="Production",INDEX(tbl_Production[Client],$BI813),INDEX(tbl_Consulting[Client],$BI813)))&amp;"")</f>
        <v/>
      </c>
      <c r="E813" s="10">
        <f>IF($C813="","",IF(COUNTIF(lst_Jobs,$C813)&gt;0,"OK","CHECK"))</f>
        <v/>
      </c>
      <c r="F813" s="10">
        <f>IF($C813="","",IFERROR(INDEX(lst_JobName,MATCH($C813,lst_Jobs,0)),""))</f>
        <v/>
      </c>
      <c r="G813" s="10">
        <f>IF($BI813="","",IF($B813="Onsite",INDEX(tbl_Onsite[Job Description],$BI813),IF($B813="Production",INDEX(tbl_Production[Job Description],$BI813),INDEX(tbl_Consulting[Job Description],$BI813)))&amp;"")</f>
        <v/>
      </c>
      <c r="H813" s="10">
        <f>IF($BI813="","",IF($B813="Onsite",INDEX(tbl_Onsite[Cost Centre],$BI813),IF($B813="Production",INDEX(tbl_Production[Cost Centre],$BI813),INDEX(tbl_Consulting[Cost Centre],$BI813)))&amp;"")</f>
        <v/>
      </c>
      <c r="I813" s="10">
        <f>IF($BI813="","",IF($B813="Onsite",INDEX(tbl_Onsite[Invoice Type],$BI813),IF($B813="Production",INDEX(tbl_Production[Invoice Type],$BI813),INDEX(tbl_Consulting[Invoice Type],$BI813)))&amp;"")</f>
        <v/>
      </c>
      <c r="J813" s="10">
        <f>IF($BI813="","",IF($B813="Onsite",INDEX(tbl_Onsite[Tax Code],$BI813),IF($B813="Production",INDEX(tbl_Production[Tax Code],$BI813),INDEX(tbl_Consulting[Tax Code],$BI813)))&amp;"")</f>
        <v/>
      </c>
      <c r="K813" s="10">
        <f>IF(H813="","",IFERROR(INDEX(lst_CCtoGL,MATCH(H813,lst_CCforGL,0)),""))</f>
        <v/>
      </c>
      <c r="L813" s="10">
        <f>IF($BI813="","",IF($B813="Onsite",INDEX(tbl_Onsite[PO / Reference],$BI813),IF($B813="Production",INDEX(tbl_Production[Current RMS No],$BI813),INDEX(tbl_Consulting[Qwilr Quote],$BI813)))&amp;"")</f>
        <v/>
      </c>
      <c r="M813" s="10">
        <f>IF($BI813="","",IF($B813="Onsite",INDEX(tbl_Onsite[Notes],$BI813),IF($B813="Production",INDEX(tbl_Production[Notes],$BI813),INDEX(tbl_Consulting[Notes],$BI813)))&amp;"")</f>
        <v/>
      </c>
      <c r="N813" s="11">
        <f>IF($BI813="","",IF(IF($B813="Onsite",INDEX(tbl_Onsite[Expected Revenue Ex GST],$BI813),IF($B813="Production",INDEX(tbl_Production[Expected Revenue Ex GST],$BI813),INDEX(tbl_Consulting[Expected Revenue Ex GST],$BI813)))="","",IF($B813="Onsite",INDEX(tbl_Onsite[Expected Revenue Ex GST],$BI813),IF($B813="Production",INDEX(tbl_Production[Expected Revenue Ex GST],$BI813),INDEX(tbl_Consulting[Expected Revenue Ex GST],$BI813)))))</f>
        <v/>
      </c>
      <c r="O813" s="11">
        <f>IF(AND($C813="",NOT(COUNTA($S813:$BB813)&gt;0)),"",SUM(U813,X813,AA813,AD813,AG813,AJ813,AM813,AP813,AS813,AV813,AY813,BB813))</f>
        <v/>
      </c>
      <c r="P813" s="11">
        <f>IF(O813="","",N(N813)-O813)</f>
        <v/>
      </c>
      <c r="Q813" s="10">
        <f>IF(O813="","",IF($C813="","Invoice on empty job row",IF(N813="",IF(ROUND(O813,2)=0,"No dept value","Invoiced - no dept value"),IF(ROUND(O813,2)=0,"Not invoiced - to invoice",IF(ROUND(P813,2)=0,"Agrees",IF(P813&gt;0,"Dept higher - to invoice","Xero higher - check dept"))))))</f>
        <v/>
      </c>
      <c r="R813" s="10">
        <f>IF(AND($C813="",NOT(COUNTA($S813:$BB813)&gt;0),$BI813&lt;&gt;""),"",MID(IF($BI813="","; Row ID not found on the department sheet - a row was deleted","")&amp;IF(AND($C813="",COUNTA($S813:$BB813)&gt;0),"; Invoice entered but the department row has no job number","")&amp;IF(E813="CHECK","; Job number not in the Xero job list","")&amp;IF(AND($C813&lt;&gt;"",COUNTIF($C$7:$C$1506,$C813)&gt;1),"; Job number on more than one row","")&amp;IF(AND($C813&lt;&gt;"",H813=""),"; Dept has not set a cost centre","")&amp;IF(AND($C813&lt;&gt;"",J813=""),"; Dept has not set a tax code","")&amp;IF(AND($C813&lt;&gt;"",N813=""),"; Dept has not entered an expected value","")&amp;IF((IF(OR(COUNTA(S813:U813)=0,AND(COUNTA(S813:U813)=3,ISNUMBER(U813))),0,1)+IF(OR(COUNTA(V813:X813)=0,AND(COUNTA(V813:X813)=3,ISNUMBER(X813))),0,1)+IF(OR(COUNTA(Y813:AA813)=0,AND(COUNTA(Y813:AA813)=3,ISNUMBER(AA813))),0,1)+IF(OR(COUNTA(AB813:AD813)=0,AND(COUNTA(AB813:AD813)=3,ISNUMBER(AD813))),0,1)+IF(OR(COUNTA(AE813:AG813)=0,AND(COUNTA(AE813:AG813)=3,ISNUMBER(AG813))),0,1)+IF(OR(COUNTA(AH813:AJ813)=0,AND(COUNTA(AH813:AJ813)=3,ISNUMBER(AJ813))),0,1)+IF(OR(COUNTA(AK813:AM813)=0,AND(COUNTA(AK813:AM813)=3,ISNUMBER(AM813))),0,1)+IF(OR(COUNTA(AN813:AP813)=0,AND(COUNTA(AN813:AP813)=3,ISNUMBER(AP813))),0,1)+IF(OR(COUNTA(AQ813:AS813)=0,AND(COUNTA(AQ813:AS813)=3,ISNUMBER(AS813))),0,1)+IF(OR(COUNTA(AT813:AV813)=0,AND(COUNTA(AT813:AV813)=3,ISNUMBER(AV813))),0,1)+IF(OR(COUNTA(AW813:AY813)=0,AND(COUNTA(AW813:AY813)=3,ISNUMBER(AY813))),0,1)+IF(OR(COUNTA(AZ813:BB813)=0,AND(COUNTA(AZ813:BB813)=3,ISNUMBER(BB813))),0,1))&gt;0,"; An invoice is incomplete (needs No, Date and a number in Ex GST)","")&amp;IF((IF(T813="",0,IFERROR(--(EOMONTH(T813,0)&lt;&gt;S$5),1))+IF(W813="",0,IFERROR(--(EOMONTH(W813,0)&lt;&gt;V$5),1))+IF(Z813="",0,IFERROR(--(EOMONTH(Z813,0)&lt;&gt;Y$5),1))+IF(AC813="",0,IFERROR(--(EOMONTH(AC813,0)&lt;&gt;AB$5),1))+IF(AF813="",0,IFERROR(--(EOMONTH(AF813,0)&lt;&gt;AE$5),1))+IF(AI813="",0,IFERROR(--(EOMONTH(AI813,0)&lt;&gt;AH$5),1))+IF(AL813="",0,IFERROR(--(EOMONTH(AL813,0)&lt;&gt;AK$5),1))+IF(AO813="",0,IFERROR(--(EOMONTH(AO813,0)&lt;&gt;AN$5),1))+IF(AR813="",0,IFERROR(--(EOMONTH(AR813,0)&lt;&gt;AQ$5),1))+IF(AU813="",0,IFERROR(--(EOMONTH(AU813,0)&lt;&gt;AT$5),1))+IF(AX813="",0,IFERROR(--(EOMONTH(AX813,0)&lt;&gt;AW$5),1))+IF(BA813="",0,IFERROR(--(EOMONTH(BA813,0)&lt;&gt;AZ$5),1)))&gt;0,"; An invoice date is not in the month it is typed under",""),3,500))</f>
        <v/>
      </c>
      <c r="S813" s="12" t="n"/>
      <c r="T813" s="13" t="n"/>
      <c r="U813" s="14" t="n"/>
      <c r="V813" s="12" t="n"/>
      <c r="W813" s="13" t="n"/>
      <c r="X813" s="14" t="n"/>
      <c r="Y813" s="12" t="n"/>
      <c r="Z813" s="13" t="n"/>
      <c r="AA813" s="14" t="n"/>
      <c r="AB813" s="12" t="n"/>
      <c r="AC813" s="13" t="n"/>
      <c r="AD813" s="14" t="n"/>
      <c r="AE813" s="12" t="n"/>
      <c r="AF813" s="13" t="n"/>
      <c r="AG813" s="14" t="n"/>
      <c r="AH813" s="12" t="n"/>
      <c r="AI813" s="13" t="n"/>
      <c r="AJ813" s="14" t="n"/>
      <c r="AK813" s="12" t="n"/>
      <c r="AL813" s="13" t="n"/>
      <c r="AM813" s="14" t="n"/>
      <c r="AN813" s="12" t="n"/>
      <c r="AO813" s="13" t="n"/>
      <c r="AP813" s="14" t="n"/>
      <c r="AQ813" s="12" t="n"/>
      <c r="AR813" s="13" t="n"/>
      <c r="AS813" s="14" t="n"/>
      <c r="AT813" s="12" t="n"/>
      <c r="AU813" s="13" t="n"/>
      <c r="AV813" s="14" t="n"/>
      <c r="AW813" s="12" t="n"/>
      <c r="AX813" s="13" t="n"/>
      <c r="AY813" s="14" t="n"/>
      <c r="AZ813" s="12" t="n"/>
      <c r="BA813" s="13" t="n"/>
      <c r="BB813" s="14" t="n"/>
      <c r="BC813" s="11">
        <f>IF(O813="","",IF(J813="GST 10%",ROUND(O813*set_GSTRate,2),0))</f>
        <v/>
      </c>
      <c r="BD813" s="11">
        <f>IF(O813="","",O813+BC813)</f>
        <v/>
      </c>
      <c r="BE813" s="15">
        <f>IF(O813="","",COUNTA(S813,V813,Y813,AB813,AE813,AH813,AK813,AN813,AQ813,AT813,AW813,AZ813))</f>
        <v/>
      </c>
      <c r="BF813" s="16">
        <f>IF(COUNT(T813,W813,Z813,AC813,AF813,AI813,AL813,AO813,AR813,AU813,AX813,BA813)=0,"",MAX(T813,W813,Z813,AC813,AF813,AI813,AL813,AO813,AR813,AU813,AX813,BA813))</f>
        <v/>
      </c>
      <c r="BG813" s="10">
        <f>MID(IF(S813="","",", "&amp;S813)&amp;IF(V813="","",", "&amp;V813)&amp;IF(Y813="","",", "&amp;Y813)&amp;IF(AB813="","",", "&amp;AB813)&amp;IF(AE813="","",", "&amp;AE813)&amp;IF(AH813="","",", "&amp;AH813)&amp;IF(AK813="","",", "&amp;AK813)&amp;IF(AN813="","",", "&amp;AN813)&amp;IF(AQ813="","",", "&amp;AQ813)&amp;IF(AT813="","",", "&amp;AT813)&amp;IF(AW813="","",", "&amp;AW813)&amp;IF(AZ813="","",", "&amp;AZ813),3,500)</f>
        <v/>
      </c>
      <c r="BH813" s="12" t="n"/>
      <c r="BI813" s="15">
        <f>IFERROR(MATCH($A813,IF($B813="Onsite",tbl_Onsite[Row ID],IF($B813="Production",tbl_Production[Row ID],tbl_Consulting[Row ID])),0),"")</f>
        <v/>
      </c>
    </row>
    <row r="814">
      <c r="A814" s="10" t="inlineStr">
        <is>
          <t>PRD-0308</t>
        </is>
      </c>
      <c r="B814" s="10" t="inlineStr">
        <is>
          <t>Production</t>
        </is>
      </c>
      <c r="C814" s="10">
        <f>IF($BI814="","",IF($B814="Onsite",INDEX(tbl_Onsite[Job Number],$BI814),IF($B814="Production",INDEX(tbl_Production[Job Number],$BI814),INDEX(tbl_Consulting[Job Number],$BI814)))&amp;"")</f>
        <v/>
      </c>
      <c r="D814" s="10">
        <f>IF($BI814="","",IF($B814="Onsite",INDEX(tbl_Onsite[Client],$BI814),IF($B814="Production",INDEX(tbl_Production[Client],$BI814),INDEX(tbl_Consulting[Client],$BI814)))&amp;"")</f>
        <v/>
      </c>
      <c r="E814" s="10">
        <f>IF($C814="","",IF(COUNTIF(lst_Jobs,$C814)&gt;0,"OK","CHECK"))</f>
        <v/>
      </c>
      <c r="F814" s="10">
        <f>IF($C814="","",IFERROR(INDEX(lst_JobName,MATCH($C814,lst_Jobs,0)),""))</f>
        <v/>
      </c>
      <c r="G814" s="10">
        <f>IF($BI814="","",IF($B814="Onsite",INDEX(tbl_Onsite[Job Description],$BI814),IF($B814="Production",INDEX(tbl_Production[Job Description],$BI814),INDEX(tbl_Consulting[Job Description],$BI814)))&amp;"")</f>
        <v/>
      </c>
      <c r="H814" s="10">
        <f>IF($BI814="","",IF($B814="Onsite",INDEX(tbl_Onsite[Cost Centre],$BI814),IF($B814="Production",INDEX(tbl_Production[Cost Centre],$BI814),INDEX(tbl_Consulting[Cost Centre],$BI814)))&amp;"")</f>
        <v/>
      </c>
      <c r="I814" s="10">
        <f>IF($BI814="","",IF($B814="Onsite",INDEX(tbl_Onsite[Invoice Type],$BI814),IF($B814="Production",INDEX(tbl_Production[Invoice Type],$BI814),INDEX(tbl_Consulting[Invoice Type],$BI814)))&amp;"")</f>
        <v/>
      </c>
      <c r="J814" s="10">
        <f>IF($BI814="","",IF($B814="Onsite",INDEX(tbl_Onsite[Tax Code],$BI814),IF($B814="Production",INDEX(tbl_Production[Tax Code],$BI814),INDEX(tbl_Consulting[Tax Code],$BI814)))&amp;"")</f>
        <v/>
      </c>
      <c r="K814" s="10">
        <f>IF(H814="","",IFERROR(INDEX(lst_CCtoGL,MATCH(H814,lst_CCforGL,0)),""))</f>
        <v/>
      </c>
      <c r="L814" s="10">
        <f>IF($BI814="","",IF($B814="Onsite",INDEX(tbl_Onsite[PO / Reference],$BI814),IF($B814="Production",INDEX(tbl_Production[Current RMS No],$BI814),INDEX(tbl_Consulting[Qwilr Quote],$BI814)))&amp;"")</f>
        <v/>
      </c>
      <c r="M814" s="10">
        <f>IF($BI814="","",IF($B814="Onsite",INDEX(tbl_Onsite[Notes],$BI814),IF($B814="Production",INDEX(tbl_Production[Notes],$BI814),INDEX(tbl_Consulting[Notes],$BI814)))&amp;"")</f>
        <v/>
      </c>
      <c r="N814" s="11">
        <f>IF($BI814="","",IF(IF($B814="Onsite",INDEX(tbl_Onsite[Expected Revenue Ex GST],$BI814),IF($B814="Production",INDEX(tbl_Production[Expected Revenue Ex GST],$BI814),INDEX(tbl_Consulting[Expected Revenue Ex GST],$BI814)))="","",IF($B814="Onsite",INDEX(tbl_Onsite[Expected Revenue Ex GST],$BI814),IF($B814="Production",INDEX(tbl_Production[Expected Revenue Ex GST],$BI814),INDEX(tbl_Consulting[Expected Revenue Ex GST],$BI814)))))</f>
        <v/>
      </c>
      <c r="O814" s="11">
        <f>IF(AND($C814="",NOT(COUNTA($S814:$BB814)&gt;0)),"",SUM(U814,X814,AA814,AD814,AG814,AJ814,AM814,AP814,AS814,AV814,AY814,BB814))</f>
        <v/>
      </c>
      <c r="P814" s="11">
        <f>IF(O814="","",N(N814)-O814)</f>
        <v/>
      </c>
      <c r="Q814" s="10">
        <f>IF(O814="","",IF($C814="","Invoice on empty job row",IF(N814="",IF(ROUND(O814,2)=0,"No dept value","Invoiced - no dept value"),IF(ROUND(O814,2)=0,"Not invoiced - to invoice",IF(ROUND(P814,2)=0,"Agrees",IF(P814&gt;0,"Dept higher - to invoice","Xero higher - check dept"))))))</f>
        <v/>
      </c>
      <c r="R814" s="10">
        <f>IF(AND($C814="",NOT(COUNTA($S814:$BB814)&gt;0),$BI814&lt;&gt;""),"",MID(IF($BI814="","; Row ID not found on the department sheet - a row was deleted","")&amp;IF(AND($C814="",COUNTA($S814:$BB814)&gt;0),"; Invoice entered but the department row has no job number","")&amp;IF(E814="CHECK","; Job number not in the Xero job list","")&amp;IF(AND($C814&lt;&gt;"",COUNTIF($C$7:$C$1506,$C814)&gt;1),"; Job number on more than one row","")&amp;IF(AND($C814&lt;&gt;"",H814=""),"; Dept has not set a cost centre","")&amp;IF(AND($C814&lt;&gt;"",J814=""),"; Dept has not set a tax code","")&amp;IF(AND($C814&lt;&gt;"",N814=""),"; Dept has not entered an expected value","")&amp;IF((IF(OR(COUNTA(S814:U814)=0,AND(COUNTA(S814:U814)=3,ISNUMBER(U814))),0,1)+IF(OR(COUNTA(V814:X814)=0,AND(COUNTA(V814:X814)=3,ISNUMBER(X814))),0,1)+IF(OR(COUNTA(Y814:AA814)=0,AND(COUNTA(Y814:AA814)=3,ISNUMBER(AA814))),0,1)+IF(OR(COUNTA(AB814:AD814)=0,AND(COUNTA(AB814:AD814)=3,ISNUMBER(AD814))),0,1)+IF(OR(COUNTA(AE814:AG814)=0,AND(COUNTA(AE814:AG814)=3,ISNUMBER(AG814))),0,1)+IF(OR(COUNTA(AH814:AJ814)=0,AND(COUNTA(AH814:AJ814)=3,ISNUMBER(AJ814))),0,1)+IF(OR(COUNTA(AK814:AM814)=0,AND(COUNTA(AK814:AM814)=3,ISNUMBER(AM814))),0,1)+IF(OR(COUNTA(AN814:AP814)=0,AND(COUNTA(AN814:AP814)=3,ISNUMBER(AP814))),0,1)+IF(OR(COUNTA(AQ814:AS814)=0,AND(COUNTA(AQ814:AS814)=3,ISNUMBER(AS814))),0,1)+IF(OR(COUNTA(AT814:AV814)=0,AND(COUNTA(AT814:AV814)=3,ISNUMBER(AV814))),0,1)+IF(OR(COUNTA(AW814:AY814)=0,AND(COUNTA(AW814:AY814)=3,ISNUMBER(AY814))),0,1)+IF(OR(COUNTA(AZ814:BB814)=0,AND(COUNTA(AZ814:BB814)=3,ISNUMBER(BB814))),0,1))&gt;0,"; An invoice is incomplete (needs No, Date and a number in Ex GST)","")&amp;IF((IF(T814="",0,IFERROR(--(EOMONTH(T814,0)&lt;&gt;S$5),1))+IF(W814="",0,IFERROR(--(EOMONTH(W814,0)&lt;&gt;V$5),1))+IF(Z814="",0,IFERROR(--(EOMONTH(Z814,0)&lt;&gt;Y$5),1))+IF(AC814="",0,IFERROR(--(EOMONTH(AC814,0)&lt;&gt;AB$5),1))+IF(AF814="",0,IFERROR(--(EOMONTH(AF814,0)&lt;&gt;AE$5),1))+IF(AI814="",0,IFERROR(--(EOMONTH(AI814,0)&lt;&gt;AH$5),1))+IF(AL814="",0,IFERROR(--(EOMONTH(AL814,0)&lt;&gt;AK$5),1))+IF(AO814="",0,IFERROR(--(EOMONTH(AO814,0)&lt;&gt;AN$5),1))+IF(AR814="",0,IFERROR(--(EOMONTH(AR814,0)&lt;&gt;AQ$5),1))+IF(AU814="",0,IFERROR(--(EOMONTH(AU814,0)&lt;&gt;AT$5),1))+IF(AX814="",0,IFERROR(--(EOMONTH(AX814,0)&lt;&gt;AW$5),1))+IF(BA814="",0,IFERROR(--(EOMONTH(BA814,0)&lt;&gt;AZ$5),1)))&gt;0,"; An invoice date is not in the month it is typed under",""),3,500))</f>
        <v/>
      </c>
      <c r="S814" s="12" t="n"/>
      <c r="T814" s="13" t="n"/>
      <c r="U814" s="14" t="n"/>
      <c r="V814" s="12" t="n"/>
      <c r="W814" s="13" t="n"/>
      <c r="X814" s="14" t="n"/>
      <c r="Y814" s="12" t="n"/>
      <c r="Z814" s="13" t="n"/>
      <c r="AA814" s="14" t="n"/>
      <c r="AB814" s="12" t="n"/>
      <c r="AC814" s="13" t="n"/>
      <c r="AD814" s="14" t="n"/>
      <c r="AE814" s="12" t="n"/>
      <c r="AF814" s="13" t="n"/>
      <c r="AG814" s="14" t="n"/>
      <c r="AH814" s="12" t="n"/>
      <c r="AI814" s="13" t="n"/>
      <c r="AJ814" s="14" t="n"/>
      <c r="AK814" s="12" t="n"/>
      <c r="AL814" s="13" t="n"/>
      <c r="AM814" s="14" t="n"/>
      <c r="AN814" s="12" t="n"/>
      <c r="AO814" s="13" t="n"/>
      <c r="AP814" s="14" t="n"/>
      <c r="AQ814" s="12" t="n"/>
      <c r="AR814" s="13" t="n"/>
      <c r="AS814" s="14" t="n"/>
      <c r="AT814" s="12" t="n"/>
      <c r="AU814" s="13" t="n"/>
      <c r="AV814" s="14" t="n"/>
      <c r="AW814" s="12" t="n"/>
      <c r="AX814" s="13" t="n"/>
      <c r="AY814" s="14" t="n"/>
      <c r="AZ814" s="12" t="n"/>
      <c r="BA814" s="13" t="n"/>
      <c r="BB814" s="14" t="n"/>
      <c r="BC814" s="11">
        <f>IF(O814="","",IF(J814="GST 10%",ROUND(O814*set_GSTRate,2),0))</f>
        <v/>
      </c>
      <c r="BD814" s="11">
        <f>IF(O814="","",O814+BC814)</f>
        <v/>
      </c>
      <c r="BE814" s="15">
        <f>IF(O814="","",COUNTA(S814,V814,Y814,AB814,AE814,AH814,AK814,AN814,AQ814,AT814,AW814,AZ814))</f>
        <v/>
      </c>
      <c r="BF814" s="16">
        <f>IF(COUNT(T814,W814,Z814,AC814,AF814,AI814,AL814,AO814,AR814,AU814,AX814,BA814)=0,"",MAX(T814,W814,Z814,AC814,AF814,AI814,AL814,AO814,AR814,AU814,AX814,BA814))</f>
        <v/>
      </c>
      <c r="BG814" s="10">
        <f>MID(IF(S814="","",", "&amp;S814)&amp;IF(V814="","",", "&amp;V814)&amp;IF(Y814="","",", "&amp;Y814)&amp;IF(AB814="","",", "&amp;AB814)&amp;IF(AE814="","",", "&amp;AE814)&amp;IF(AH814="","",", "&amp;AH814)&amp;IF(AK814="","",", "&amp;AK814)&amp;IF(AN814="","",", "&amp;AN814)&amp;IF(AQ814="","",", "&amp;AQ814)&amp;IF(AT814="","",", "&amp;AT814)&amp;IF(AW814="","",", "&amp;AW814)&amp;IF(AZ814="","",", "&amp;AZ814),3,500)</f>
        <v/>
      </c>
      <c r="BH814" s="12" t="n"/>
      <c r="BI814" s="15">
        <f>IFERROR(MATCH($A814,IF($B814="Onsite",tbl_Onsite[Row ID],IF($B814="Production",tbl_Production[Row ID],tbl_Consulting[Row ID])),0),"")</f>
        <v/>
      </c>
    </row>
    <row r="815">
      <c r="A815" s="10" t="inlineStr">
        <is>
          <t>PRD-0309</t>
        </is>
      </c>
      <c r="B815" s="10" t="inlineStr">
        <is>
          <t>Production</t>
        </is>
      </c>
      <c r="C815" s="10">
        <f>IF($BI815="","",IF($B815="Onsite",INDEX(tbl_Onsite[Job Number],$BI815),IF($B815="Production",INDEX(tbl_Production[Job Number],$BI815),INDEX(tbl_Consulting[Job Number],$BI815)))&amp;"")</f>
        <v/>
      </c>
      <c r="D815" s="10">
        <f>IF($BI815="","",IF($B815="Onsite",INDEX(tbl_Onsite[Client],$BI815),IF($B815="Production",INDEX(tbl_Production[Client],$BI815),INDEX(tbl_Consulting[Client],$BI815)))&amp;"")</f>
        <v/>
      </c>
      <c r="E815" s="10">
        <f>IF($C815="","",IF(COUNTIF(lst_Jobs,$C815)&gt;0,"OK","CHECK"))</f>
        <v/>
      </c>
      <c r="F815" s="10">
        <f>IF($C815="","",IFERROR(INDEX(lst_JobName,MATCH($C815,lst_Jobs,0)),""))</f>
        <v/>
      </c>
      <c r="G815" s="10">
        <f>IF($BI815="","",IF($B815="Onsite",INDEX(tbl_Onsite[Job Description],$BI815),IF($B815="Production",INDEX(tbl_Production[Job Description],$BI815),INDEX(tbl_Consulting[Job Description],$BI815)))&amp;"")</f>
        <v/>
      </c>
      <c r="H815" s="10">
        <f>IF($BI815="","",IF($B815="Onsite",INDEX(tbl_Onsite[Cost Centre],$BI815),IF($B815="Production",INDEX(tbl_Production[Cost Centre],$BI815),INDEX(tbl_Consulting[Cost Centre],$BI815)))&amp;"")</f>
        <v/>
      </c>
      <c r="I815" s="10">
        <f>IF($BI815="","",IF($B815="Onsite",INDEX(tbl_Onsite[Invoice Type],$BI815),IF($B815="Production",INDEX(tbl_Production[Invoice Type],$BI815),INDEX(tbl_Consulting[Invoice Type],$BI815)))&amp;"")</f>
        <v/>
      </c>
      <c r="J815" s="10">
        <f>IF($BI815="","",IF($B815="Onsite",INDEX(tbl_Onsite[Tax Code],$BI815),IF($B815="Production",INDEX(tbl_Production[Tax Code],$BI815),INDEX(tbl_Consulting[Tax Code],$BI815)))&amp;"")</f>
        <v/>
      </c>
      <c r="K815" s="10">
        <f>IF(H815="","",IFERROR(INDEX(lst_CCtoGL,MATCH(H815,lst_CCforGL,0)),""))</f>
        <v/>
      </c>
      <c r="L815" s="10">
        <f>IF($BI815="","",IF($B815="Onsite",INDEX(tbl_Onsite[PO / Reference],$BI815),IF($B815="Production",INDEX(tbl_Production[Current RMS No],$BI815),INDEX(tbl_Consulting[Qwilr Quote],$BI815)))&amp;"")</f>
        <v/>
      </c>
      <c r="M815" s="10">
        <f>IF($BI815="","",IF($B815="Onsite",INDEX(tbl_Onsite[Notes],$BI815),IF($B815="Production",INDEX(tbl_Production[Notes],$BI815),INDEX(tbl_Consulting[Notes],$BI815)))&amp;"")</f>
        <v/>
      </c>
      <c r="N815" s="11">
        <f>IF($BI815="","",IF(IF($B815="Onsite",INDEX(tbl_Onsite[Expected Revenue Ex GST],$BI815),IF($B815="Production",INDEX(tbl_Production[Expected Revenue Ex GST],$BI815),INDEX(tbl_Consulting[Expected Revenue Ex GST],$BI815)))="","",IF($B815="Onsite",INDEX(tbl_Onsite[Expected Revenue Ex GST],$BI815),IF($B815="Production",INDEX(tbl_Production[Expected Revenue Ex GST],$BI815),INDEX(tbl_Consulting[Expected Revenue Ex GST],$BI815)))))</f>
        <v/>
      </c>
      <c r="O815" s="11">
        <f>IF(AND($C815="",NOT(COUNTA($S815:$BB815)&gt;0)),"",SUM(U815,X815,AA815,AD815,AG815,AJ815,AM815,AP815,AS815,AV815,AY815,BB815))</f>
        <v/>
      </c>
      <c r="P815" s="11">
        <f>IF(O815="","",N(N815)-O815)</f>
        <v/>
      </c>
      <c r="Q815" s="10">
        <f>IF(O815="","",IF($C815="","Invoice on empty job row",IF(N815="",IF(ROUND(O815,2)=0,"No dept value","Invoiced - no dept value"),IF(ROUND(O815,2)=0,"Not invoiced - to invoice",IF(ROUND(P815,2)=0,"Agrees",IF(P815&gt;0,"Dept higher - to invoice","Xero higher - check dept"))))))</f>
        <v/>
      </c>
      <c r="R815" s="10">
        <f>IF(AND($C815="",NOT(COUNTA($S815:$BB815)&gt;0),$BI815&lt;&gt;""),"",MID(IF($BI815="","; Row ID not found on the department sheet - a row was deleted","")&amp;IF(AND($C815="",COUNTA($S815:$BB815)&gt;0),"; Invoice entered but the department row has no job number","")&amp;IF(E815="CHECK","; Job number not in the Xero job list","")&amp;IF(AND($C815&lt;&gt;"",COUNTIF($C$7:$C$1506,$C815)&gt;1),"; Job number on more than one row","")&amp;IF(AND($C815&lt;&gt;"",H815=""),"; Dept has not set a cost centre","")&amp;IF(AND($C815&lt;&gt;"",J815=""),"; Dept has not set a tax code","")&amp;IF(AND($C815&lt;&gt;"",N815=""),"; Dept has not entered an expected value","")&amp;IF((IF(OR(COUNTA(S815:U815)=0,AND(COUNTA(S815:U815)=3,ISNUMBER(U815))),0,1)+IF(OR(COUNTA(V815:X815)=0,AND(COUNTA(V815:X815)=3,ISNUMBER(X815))),0,1)+IF(OR(COUNTA(Y815:AA815)=0,AND(COUNTA(Y815:AA815)=3,ISNUMBER(AA815))),0,1)+IF(OR(COUNTA(AB815:AD815)=0,AND(COUNTA(AB815:AD815)=3,ISNUMBER(AD815))),0,1)+IF(OR(COUNTA(AE815:AG815)=0,AND(COUNTA(AE815:AG815)=3,ISNUMBER(AG815))),0,1)+IF(OR(COUNTA(AH815:AJ815)=0,AND(COUNTA(AH815:AJ815)=3,ISNUMBER(AJ815))),0,1)+IF(OR(COUNTA(AK815:AM815)=0,AND(COUNTA(AK815:AM815)=3,ISNUMBER(AM815))),0,1)+IF(OR(COUNTA(AN815:AP815)=0,AND(COUNTA(AN815:AP815)=3,ISNUMBER(AP815))),0,1)+IF(OR(COUNTA(AQ815:AS815)=0,AND(COUNTA(AQ815:AS815)=3,ISNUMBER(AS815))),0,1)+IF(OR(COUNTA(AT815:AV815)=0,AND(COUNTA(AT815:AV815)=3,ISNUMBER(AV815))),0,1)+IF(OR(COUNTA(AW815:AY815)=0,AND(COUNTA(AW815:AY815)=3,ISNUMBER(AY815))),0,1)+IF(OR(COUNTA(AZ815:BB815)=0,AND(COUNTA(AZ815:BB815)=3,ISNUMBER(BB815))),0,1))&gt;0,"; An invoice is incomplete (needs No, Date and a number in Ex GST)","")&amp;IF((IF(T815="",0,IFERROR(--(EOMONTH(T815,0)&lt;&gt;S$5),1))+IF(W815="",0,IFERROR(--(EOMONTH(W815,0)&lt;&gt;V$5),1))+IF(Z815="",0,IFERROR(--(EOMONTH(Z815,0)&lt;&gt;Y$5),1))+IF(AC815="",0,IFERROR(--(EOMONTH(AC815,0)&lt;&gt;AB$5),1))+IF(AF815="",0,IFERROR(--(EOMONTH(AF815,0)&lt;&gt;AE$5),1))+IF(AI815="",0,IFERROR(--(EOMONTH(AI815,0)&lt;&gt;AH$5),1))+IF(AL815="",0,IFERROR(--(EOMONTH(AL815,0)&lt;&gt;AK$5),1))+IF(AO815="",0,IFERROR(--(EOMONTH(AO815,0)&lt;&gt;AN$5),1))+IF(AR815="",0,IFERROR(--(EOMONTH(AR815,0)&lt;&gt;AQ$5),1))+IF(AU815="",0,IFERROR(--(EOMONTH(AU815,0)&lt;&gt;AT$5),1))+IF(AX815="",0,IFERROR(--(EOMONTH(AX815,0)&lt;&gt;AW$5),1))+IF(BA815="",0,IFERROR(--(EOMONTH(BA815,0)&lt;&gt;AZ$5),1)))&gt;0,"; An invoice date is not in the month it is typed under",""),3,500))</f>
        <v/>
      </c>
      <c r="S815" s="12" t="n"/>
      <c r="T815" s="13" t="n"/>
      <c r="U815" s="14" t="n"/>
      <c r="V815" s="12" t="n"/>
      <c r="W815" s="13" t="n"/>
      <c r="X815" s="14" t="n"/>
      <c r="Y815" s="12" t="n"/>
      <c r="Z815" s="13" t="n"/>
      <c r="AA815" s="14" t="n"/>
      <c r="AB815" s="12" t="n"/>
      <c r="AC815" s="13" t="n"/>
      <c r="AD815" s="14" t="n"/>
      <c r="AE815" s="12" t="n"/>
      <c r="AF815" s="13" t="n"/>
      <c r="AG815" s="14" t="n"/>
      <c r="AH815" s="12" t="n"/>
      <c r="AI815" s="13" t="n"/>
      <c r="AJ815" s="14" t="n"/>
      <c r="AK815" s="12" t="n"/>
      <c r="AL815" s="13" t="n"/>
      <c r="AM815" s="14" t="n"/>
      <c r="AN815" s="12" t="n"/>
      <c r="AO815" s="13" t="n"/>
      <c r="AP815" s="14" t="n"/>
      <c r="AQ815" s="12" t="n"/>
      <c r="AR815" s="13" t="n"/>
      <c r="AS815" s="14" t="n"/>
      <c r="AT815" s="12" t="n"/>
      <c r="AU815" s="13" t="n"/>
      <c r="AV815" s="14" t="n"/>
      <c r="AW815" s="12" t="n"/>
      <c r="AX815" s="13" t="n"/>
      <c r="AY815" s="14" t="n"/>
      <c r="AZ815" s="12" t="n"/>
      <c r="BA815" s="13" t="n"/>
      <c r="BB815" s="14" t="n"/>
      <c r="BC815" s="11">
        <f>IF(O815="","",IF(J815="GST 10%",ROUND(O815*set_GSTRate,2),0))</f>
        <v/>
      </c>
      <c r="BD815" s="11">
        <f>IF(O815="","",O815+BC815)</f>
        <v/>
      </c>
      <c r="BE815" s="15">
        <f>IF(O815="","",COUNTA(S815,V815,Y815,AB815,AE815,AH815,AK815,AN815,AQ815,AT815,AW815,AZ815))</f>
        <v/>
      </c>
      <c r="BF815" s="16">
        <f>IF(COUNT(T815,W815,Z815,AC815,AF815,AI815,AL815,AO815,AR815,AU815,AX815,BA815)=0,"",MAX(T815,W815,Z815,AC815,AF815,AI815,AL815,AO815,AR815,AU815,AX815,BA815))</f>
        <v/>
      </c>
      <c r="BG815" s="10">
        <f>MID(IF(S815="","",", "&amp;S815)&amp;IF(V815="","",", "&amp;V815)&amp;IF(Y815="","",", "&amp;Y815)&amp;IF(AB815="","",", "&amp;AB815)&amp;IF(AE815="","",", "&amp;AE815)&amp;IF(AH815="","",", "&amp;AH815)&amp;IF(AK815="","",", "&amp;AK815)&amp;IF(AN815="","",", "&amp;AN815)&amp;IF(AQ815="","",", "&amp;AQ815)&amp;IF(AT815="","",", "&amp;AT815)&amp;IF(AW815="","",", "&amp;AW815)&amp;IF(AZ815="","",", "&amp;AZ815),3,500)</f>
        <v/>
      </c>
      <c r="BH815" s="12" t="n"/>
      <c r="BI815" s="15">
        <f>IFERROR(MATCH($A815,IF($B815="Onsite",tbl_Onsite[Row ID],IF($B815="Production",tbl_Production[Row ID],tbl_Consulting[Row ID])),0),"")</f>
        <v/>
      </c>
    </row>
    <row r="816">
      <c r="A816" s="10" t="inlineStr">
        <is>
          <t>PRD-0310</t>
        </is>
      </c>
      <c r="B816" s="10" t="inlineStr">
        <is>
          <t>Production</t>
        </is>
      </c>
      <c r="C816" s="10">
        <f>IF($BI816="","",IF($B816="Onsite",INDEX(tbl_Onsite[Job Number],$BI816),IF($B816="Production",INDEX(tbl_Production[Job Number],$BI816),INDEX(tbl_Consulting[Job Number],$BI816)))&amp;"")</f>
        <v/>
      </c>
      <c r="D816" s="10">
        <f>IF($BI816="","",IF($B816="Onsite",INDEX(tbl_Onsite[Client],$BI816),IF($B816="Production",INDEX(tbl_Production[Client],$BI816),INDEX(tbl_Consulting[Client],$BI816)))&amp;"")</f>
        <v/>
      </c>
      <c r="E816" s="10">
        <f>IF($C816="","",IF(COUNTIF(lst_Jobs,$C816)&gt;0,"OK","CHECK"))</f>
        <v/>
      </c>
      <c r="F816" s="10">
        <f>IF($C816="","",IFERROR(INDEX(lst_JobName,MATCH($C816,lst_Jobs,0)),""))</f>
        <v/>
      </c>
      <c r="G816" s="10">
        <f>IF($BI816="","",IF($B816="Onsite",INDEX(tbl_Onsite[Job Description],$BI816),IF($B816="Production",INDEX(tbl_Production[Job Description],$BI816),INDEX(tbl_Consulting[Job Description],$BI816)))&amp;"")</f>
        <v/>
      </c>
      <c r="H816" s="10">
        <f>IF($BI816="","",IF($B816="Onsite",INDEX(tbl_Onsite[Cost Centre],$BI816),IF($B816="Production",INDEX(tbl_Production[Cost Centre],$BI816),INDEX(tbl_Consulting[Cost Centre],$BI816)))&amp;"")</f>
        <v/>
      </c>
      <c r="I816" s="10">
        <f>IF($BI816="","",IF($B816="Onsite",INDEX(tbl_Onsite[Invoice Type],$BI816),IF($B816="Production",INDEX(tbl_Production[Invoice Type],$BI816),INDEX(tbl_Consulting[Invoice Type],$BI816)))&amp;"")</f>
        <v/>
      </c>
      <c r="J816" s="10">
        <f>IF($BI816="","",IF($B816="Onsite",INDEX(tbl_Onsite[Tax Code],$BI816),IF($B816="Production",INDEX(tbl_Production[Tax Code],$BI816),INDEX(tbl_Consulting[Tax Code],$BI816)))&amp;"")</f>
        <v/>
      </c>
      <c r="K816" s="10">
        <f>IF(H816="","",IFERROR(INDEX(lst_CCtoGL,MATCH(H816,lst_CCforGL,0)),""))</f>
        <v/>
      </c>
      <c r="L816" s="10">
        <f>IF($BI816="","",IF($B816="Onsite",INDEX(tbl_Onsite[PO / Reference],$BI816),IF($B816="Production",INDEX(tbl_Production[Current RMS No],$BI816),INDEX(tbl_Consulting[Qwilr Quote],$BI816)))&amp;"")</f>
        <v/>
      </c>
      <c r="M816" s="10">
        <f>IF($BI816="","",IF($B816="Onsite",INDEX(tbl_Onsite[Notes],$BI816),IF($B816="Production",INDEX(tbl_Production[Notes],$BI816),INDEX(tbl_Consulting[Notes],$BI816)))&amp;"")</f>
        <v/>
      </c>
      <c r="N816" s="11">
        <f>IF($BI816="","",IF(IF($B816="Onsite",INDEX(tbl_Onsite[Expected Revenue Ex GST],$BI816),IF($B816="Production",INDEX(tbl_Production[Expected Revenue Ex GST],$BI816),INDEX(tbl_Consulting[Expected Revenue Ex GST],$BI816)))="","",IF($B816="Onsite",INDEX(tbl_Onsite[Expected Revenue Ex GST],$BI816),IF($B816="Production",INDEX(tbl_Production[Expected Revenue Ex GST],$BI816),INDEX(tbl_Consulting[Expected Revenue Ex GST],$BI816)))))</f>
        <v/>
      </c>
      <c r="O816" s="11">
        <f>IF(AND($C816="",NOT(COUNTA($S816:$BB816)&gt;0)),"",SUM(U816,X816,AA816,AD816,AG816,AJ816,AM816,AP816,AS816,AV816,AY816,BB816))</f>
        <v/>
      </c>
      <c r="P816" s="11">
        <f>IF(O816="","",N(N816)-O816)</f>
        <v/>
      </c>
      <c r="Q816" s="10">
        <f>IF(O816="","",IF($C816="","Invoice on empty job row",IF(N816="",IF(ROUND(O816,2)=0,"No dept value","Invoiced - no dept value"),IF(ROUND(O816,2)=0,"Not invoiced - to invoice",IF(ROUND(P816,2)=0,"Agrees",IF(P816&gt;0,"Dept higher - to invoice","Xero higher - check dept"))))))</f>
        <v/>
      </c>
      <c r="R816" s="10">
        <f>IF(AND($C816="",NOT(COUNTA($S816:$BB816)&gt;0),$BI816&lt;&gt;""),"",MID(IF($BI816="","; Row ID not found on the department sheet - a row was deleted","")&amp;IF(AND($C816="",COUNTA($S816:$BB816)&gt;0),"; Invoice entered but the department row has no job number","")&amp;IF(E816="CHECK","; Job number not in the Xero job list","")&amp;IF(AND($C816&lt;&gt;"",COUNTIF($C$7:$C$1506,$C816)&gt;1),"; Job number on more than one row","")&amp;IF(AND($C816&lt;&gt;"",H816=""),"; Dept has not set a cost centre","")&amp;IF(AND($C816&lt;&gt;"",J816=""),"; Dept has not set a tax code","")&amp;IF(AND($C816&lt;&gt;"",N816=""),"; Dept has not entered an expected value","")&amp;IF((IF(OR(COUNTA(S816:U816)=0,AND(COUNTA(S816:U816)=3,ISNUMBER(U816))),0,1)+IF(OR(COUNTA(V816:X816)=0,AND(COUNTA(V816:X816)=3,ISNUMBER(X816))),0,1)+IF(OR(COUNTA(Y816:AA816)=0,AND(COUNTA(Y816:AA816)=3,ISNUMBER(AA816))),0,1)+IF(OR(COUNTA(AB816:AD816)=0,AND(COUNTA(AB816:AD816)=3,ISNUMBER(AD816))),0,1)+IF(OR(COUNTA(AE816:AG816)=0,AND(COUNTA(AE816:AG816)=3,ISNUMBER(AG816))),0,1)+IF(OR(COUNTA(AH816:AJ816)=0,AND(COUNTA(AH816:AJ816)=3,ISNUMBER(AJ816))),0,1)+IF(OR(COUNTA(AK816:AM816)=0,AND(COUNTA(AK816:AM816)=3,ISNUMBER(AM816))),0,1)+IF(OR(COUNTA(AN816:AP816)=0,AND(COUNTA(AN816:AP816)=3,ISNUMBER(AP816))),0,1)+IF(OR(COUNTA(AQ816:AS816)=0,AND(COUNTA(AQ816:AS816)=3,ISNUMBER(AS816))),0,1)+IF(OR(COUNTA(AT816:AV816)=0,AND(COUNTA(AT816:AV816)=3,ISNUMBER(AV816))),0,1)+IF(OR(COUNTA(AW816:AY816)=0,AND(COUNTA(AW816:AY816)=3,ISNUMBER(AY816))),0,1)+IF(OR(COUNTA(AZ816:BB816)=0,AND(COUNTA(AZ816:BB816)=3,ISNUMBER(BB816))),0,1))&gt;0,"; An invoice is incomplete (needs No, Date and a number in Ex GST)","")&amp;IF((IF(T816="",0,IFERROR(--(EOMONTH(T816,0)&lt;&gt;S$5),1))+IF(W816="",0,IFERROR(--(EOMONTH(W816,0)&lt;&gt;V$5),1))+IF(Z816="",0,IFERROR(--(EOMONTH(Z816,0)&lt;&gt;Y$5),1))+IF(AC816="",0,IFERROR(--(EOMONTH(AC816,0)&lt;&gt;AB$5),1))+IF(AF816="",0,IFERROR(--(EOMONTH(AF816,0)&lt;&gt;AE$5),1))+IF(AI816="",0,IFERROR(--(EOMONTH(AI816,0)&lt;&gt;AH$5),1))+IF(AL816="",0,IFERROR(--(EOMONTH(AL816,0)&lt;&gt;AK$5),1))+IF(AO816="",0,IFERROR(--(EOMONTH(AO816,0)&lt;&gt;AN$5),1))+IF(AR816="",0,IFERROR(--(EOMONTH(AR816,0)&lt;&gt;AQ$5),1))+IF(AU816="",0,IFERROR(--(EOMONTH(AU816,0)&lt;&gt;AT$5),1))+IF(AX816="",0,IFERROR(--(EOMONTH(AX816,0)&lt;&gt;AW$5),1))+IF(BA816="",0,IFERROR(--(EOMONTH(BA816,0)&lt;&gt;AZ$5),1)))&gt;0,"; An invoice date is not in the month it is typed under",""),3,500))</f>
        <v/>
      </c>
      <c r="S816" s="12" t="n"/>
      <c r="T816" s="13" t="n"/>
      <c r="U816" s="14" t="n"/>
      <c r="V816" s="12" t="n"/>
      <c r="W816" s="13" t="n"/>
      <c r="X816" s="14" t="n"/>
      <c r="Y816" s="12" t="n"/>
      <c r="Z816" s="13" t="n"/>
      <c r="AA816" s="14" t="n"/>
      <c r="AB816" s="12" t="n"/>
      <c r="AC816" s="13" t="n"/>
      <c r="AD816" s="14" t="n"/>
      <c r="AE816" s="12" t="n"/>
      <c r="AF816" s="13" t="n"/>
      <c r="AG816" s="14" t="n"/>
      <c r="AH816" s="12" t="n"/>
      <c r="AI816" s="13" t="n"/>
      <c r="AJ816" s="14" t="n"/>
      <c r="AK816" s="12" t="n"/>
      <c r="AL816" s="13" t="n"/>
      <c r="AM816" s="14" t="n"/>
      <c r="AN816" s="12" t="n"/>
      <c r="AO816" s="13" t="n"/>
      <c r="AP816" s="14" t="n"/>
      <c r="AQ816" s="12" t="n"/>
      <c r="AR816" s="13" t="n"/>
      <c r="AS816" s="14" t="n"/>
      <c r="AT816" s="12" t="n"/>
      <c r="AU816" s="13" t="n"/>
      <c r="AV816" s="14" t="n"/>
      <c r="AW816" s="12" t="n"/>
      <c r="AX816" s="13" t="n"/>
      <c r="AY816" s="14" t="n"/>
      <c r="AZ816" s="12" t="n"/>
      <c r="BA816" s="13" t="n"/>
      <c r="BB816" s="14" t="n"/>
      <c r="BC816" s="11">
        <f>IF(O816="","",IF(J816="GST 10%",ROUND(O816*set_GSTRate,2),0))</f>
        <v/>
      </c>
      <c r="BD816" s="11">
        <f>IF(O816="","",O816+BC816)</f>
        <v/>
      </c>
      <c r="BE816" s="15">
        <f>IF(O816="","",COUNTA(S816,V816,Y816,AB816,AE816,AH816,AK816,AN816,AQ816,AT816,AW816,AZ816))</f>
        <v/>
      </c>
      <c r="BF816" s="16">
        <f>IF(COUNT(T816,W816,Z816,AC816,AF816,AI816,AL816,AO816,AR816,AU816,AX816,BA816)=0,"",MAX(T816,W816,Z816,AC816,AF816,AI816,AL816,AO816,AR816,AU816,AX816,BA816))</f>
        <v/>
      </c>
      <c r="BG816" s="10">
        <f>MID(IF(S816="","",", "&amp;S816)&amp;IF(V816="","",", "&amp;V816)&amp;IF(Y816="","",", "&amp;Y816)&amp;IF(AB816="","",", "&amp;AB816)&amp;IF(AE816="","",", "&amp;AE816)&amp;IF(AH816="","",", "&amp;AH816)&amp;IF(AK816="","",", "&amp;AK816)&amp;IF(AN816="","",", "&amp;AN816)&amp;IF(AQ816="","",", "&amp;AQ816)&amp;IF(AT816="","",", "&amp;AT816)&amp;IF(AW816="","",", "&amp;AW816)&amp;IF(AZ816="","",", "&amp;AZ816),3,500)</f>
        <v/>
      </c>
      <c r="BH816" s="12" t="n"/>
      <c r="BI816" s="15">
        <f>IFERROR(MATCH($A816,IF($B816="Onsite",tbl_Onsite[Row ID],IF($B816="Production",tbl_Production[Row ID],tbl_Consulting[Row ID])),0),"")</f>
        <v/>
      </c>
    </row>
    <row r="817">
      <c r="A817" s="10" t="inlineStr">
        <is>
          <t>PRD-0311</t>
        </is>
      </c>
      <c r="B817" s="10" t="inlineStr">
        <is>
          <t>Production</t>
        </is>
      </c>
      <c r="C817" s="10">
        <f>IF($BI817="","",IF($B817="Onsite",INDEX(tbl_Onsite[Job Number],$BI817),IF($B817="Production",INDEX(tbl_Production[Job Number],$BI817),INDEX(tbl_Consulting[Job Number],$BI817)))&amp;"")</f>
        <v/>
      </c>
      <c r="D817" s="10">
        <f>IF($BI817="","",IF($B817="Onsite",INDEX(tbl_Onsite[Client],$BI817),IF($B817="Production",INDEX(tbl_Production[Client],$BI817),INDEX(tbl_Consulting[Client],$BI817)))&amp;"")</f>
        <v/>
      </c>
      <c r="E817" s="10">
        <f>IF($C817="","",IF(COUNTIF(lst_Jobs,$C817)&gt;0,"OK","CHECK"))</f>
        <v/>
      </c>
      <c r="F817" s="10">
        <f>IF($C817="","",IFERROR(INDEX(lst_JobName,MATCH($C817,lst_Jobs,0)),""))</f>
        <v/>
      </c>
      <c r="G817" s="10">
        <f>IF($BI817="","",IF($B817="Onsite",INDEX(tbl_Onsite[Job Description],$BI817),IF($B817="Production",INDEX(tbl_Production[Job Description],$BI817),INDEX(tbl_Consulting[Job Description],$BI817)))&amp;"")</f>
        <v/>
      </c>
      <c r="H817" s="10">
        <f>IF($BI817="","",IF($B817="Onsite",INDEX(tbl_Onsite[Cost Centre],$BI817),IF($B817="Production",INDEX(tbl_Production[Cost Centre],$BI817),INDEX(tbl_Consulting[Cost Centre],$BI817)))&amp;"")</f>
        <v/>
      </c>
      <c r="I817" s="10">
        <f>IF($BI817="","",IF($B817="Onsite",INDEX(tbl_Onsite[Invoice Type],$BI817),IF($B817="Production",INDEX(tbl_Production[Invoice Type],$BI817),INDEX(tbl_Consulting[Invoice Type],$BI817)))&amp;"")</f>
        <v/>
      </c>
      <c r="J817" s="10">
        <f>IF($BI817="","",IF($B817="Onsite",INDEX(tbl_Onsite[Tax Code],$BI817),IF($B817="Production",INDEX(tbl_Production[Tax Code],$BI817),INDEX(tbl_Consulting[Tax Code],$BI817)))&amp;"")</f>
        <v/>
      </c>
      <c r="K817" s="10">
        <f>IF(H817="","",IFERROR(INDEX(lst_CCtoGL,MATCH(H817,lst_CCforGL,0)),""))</f>
        <v/>
      </c>
      <c r="L817" s="10">
        <f>IF($BI817="","",IF($B817="Onsite",INDEX(tbl_Onsite[PO / Reference],$BI817),IF($B817="Production",INDEX(tbl_Production[Current RMS No],$BI817),INDEX(tbl_Consulting[Qwilr Quote],$BI817)))&amp;"")</f>
        <v/>
      </c>
      <c r="M817" s="10">
        <f>IF($BI817="","",IF($B817="Onsite",INDEX(tbl_Onsite[Notes],$BI817),IF($B817="Production",INDEX(tbl_Production[Notes],$BI817),INDEX(tbl_Consulting[Notes],$BI817)))&amp;"")</f>
        <v/>
      </c>
      <c r="N817" s="11">
        <f>IF($BI817="","",IF(IF($B817="Onsite",INDEX(tbl_Onsite[Expected Revenue Ex GST],$BI817),IF($B817="Production",INDEX(tbl_Production[Expected Revenue Ex GST],$BI817),INDEX(tbl_Consulting[Expected Revenue Ex GST],$BI817)))="","",IF($B817="Onsite",INDEX(tbl_Onsite[Expected Revenue Ex GST],$BI817),IF($B817="Production",INDEX(tbl_Production[Expected Revenue Ex GST],$BI817),INDEX(tbl_Consulting[Expected Revenue Ex GST],$BI817)))))</f>
        <v/>
      </c>
      <c r="O817" s="11">
        <f>IF(AND($C817="",NOT(COUNTA($S817:$BB817)&gt;0)),"",SUM(U817,X817,AA817,AD817,AG817,AJ817,AM817,AP817,AS817,AV817,AY817,BB817))</f>
        <v/>
      </c>
      <c r="P817" s="11">
        <f>IF(O817="","",N(N817)-O817)</f>
        <v/>
      </c>
      <c r="Q817" s="10">
        <f>IF(O817="","",IF($C817="","Invoice on empty job row",IF(N817="",IF(ROUND(O817,2)=0,"No dept value","Invoiced - no dept value"),IF(ROUND(O817,2)=0,"Not invoiced - to invoice",IF(ROUND(P817,2)=0,"Agrees",IF(P817&gt;0,"Dept higher - to invoice","Xero higher - check dept"))))))</f>
        <v/>
      </c>
      <c r="R817" s="10">
        <f>IF(AND($C817="",NOT(COUNTA($S817:$BB817)&gt;0),$BI817&lt;&gt;""),"",MID(IF($BI817="","; Row ID not found on the department sheet - a row was deleted","")&amp;IF(AND($C817="",COUNTA($S817:$BB817)&gt;0),"; Invoice entered but the department row has no job number","")&amp;IF(E817="CHECK","; Job number not in the Xero job list","")&amp;IF(AND($C817&lt;&gt;"",COUNTIF($C$7:$C$1506,$C817)&gt;1),"; Job number on more than one row","")&amp;IF(AND($C817&lt;&gt;"",H817=""),"; Dept has not set a cost centre","")&amp;IF(AND($C817&lt;&gt;"",J817=""),"; Dept has not set a tax code","")&amp;IF(AND($C817&lt;&gt;"",N817=""),"; Dept has not entered an expected value","")&amp;IF((IF(OR(COUNTA(S817:U817)=0,AND(COUNTA(S817:U817)=3,ISNUMBER(U817))),0,1)+IF(OR(COUNTA(V817:X817)=0,AND(COUNTA(V817:X817)=3,ISNUMBER(X817))),0,1)+IF(OR(COUNTA(Y817:AA817)=0,AND(COUNTA(Y817:AA817)=3,ISNUMBER(AA817))),0,1)+IF(OR(COUNTA(AB817:AD817)=0,AND(COUNTA(AB817:AD817)=3,ISNUMBER(AD817))),0,1)+IF(OR(COUNTA(AE817:AG817)=0,AND(COUNTA(AE817:AG817)=3,ISNUMBER(AG817))),0,1)+IF(OR(COUNTA(AH817:AJ817)=0,AND(COUNTA(AH817:AJ817)=3,ISNUMBER(AJ817))),0,1)+IF(OR(COUNTA(AK817:AM817)=0,AND(COUNTA(AK817:AM817)=3,ISNUMBER(AM817))),0,1)+IF(OR(COUNTA(AN817:AP817)=0,AND(COUNTA(AN817:AP817)=3,ISNUMBER(AP817))),0,1)+IF(OR(COUNTA(AQ817:AS817)=0,AND(COUNTA(AQ817:AS817)=3,ISNUMBER(AS817))),0,1)+IF(OR(COUNTA(AT817:AV817)=0,AND(COUNTA(AT817:AV817)=3,ISNUMBER(AV817))),0,1)+IF(OR(COUNTA(AW817:AY817)=0,AND(COUNTA(AW817:AY817)=3,ISNUMBER(AY817))),0,1)+IF(OR(COUNTA(AZ817:BB817)=0,AND(COUNTA(AZ817:BB817)=3,ISNUMBER(BB817))),0,1))&gt;0,"; An invoice is incomplete (needs No, Date and a number in Ex GST)","")&amp;IF((IF(T817="",0,IFERROR(--(EOMONTH(T817,0)&lt;&gt;S$5),1))+IF(W817="",0,IFERROR(--(EOMONTH(W817,0)&lt;&gt;V$5),1))+IF(Z817="",0,IFERROR(--(EOMONTH(Z817,0)&lt;&gt;Y$5),1))+IF(AC817="",0,IFERROR(--(EOMONTH(AC817,0)&lt;&gt;AB$5),1))+IF(AF817="",0,IFERROR(--(EOMONTH(AF817,0)&lt;&gt;AE$5),1))+IF(AI817="",0,IFERROR(--(EOMONTH(AI817,0)&lt;&gt;AH$5),1))+IF(AL817="",0,IFERROR(--(EOMONTH(AL817,0)&lt;&gt;AK$5),1))+IF(AO817="",0,IFERROR(--(EOMONTH(AO817,0)&lt;&gt;AN$5),1))+IF(AR817="",0,IFERROR(--(EOMONTH(AR817,0)&lt;&gt;AQ$5),1))+IF(AU817="",0,IFERROR(--(EOMONTH(AU817,0)&lt;&gt;AT$5),1))+IF(AX817="",0,IFERROR(--(EOMONTH(AX817,0)&lt;&gt;AW$5),1))+IF(BA817="",0,IFERROR(--(EOMONTH(BA817,0)&lt;&gt;AZ$5),1)))&gt;0,"; An invoice date is not in the month it is typed under",""),3,500))</f>
        <v/>
      </c>
      <c r="S817" s="12" t="n"/>
      <c r="T817" s="13" t="n"/>
      <c r="U817" s="14" t="n"/>
      <c r="V817" s="12" t="n"/>
      <c r="W817" s="13" t="n"/>
      <c r="X817" s="14" t="n"/>
      <c r="Y817" s="12" t="n"/>
      <c r="Z817" s="13" t="n"/>
      <c r="AA817" s="14" t="n"/>
      <c r="AB817" s="12" t="n"/>
      <c r="AC817" s="13" t="n"/>
      <c r="AD817" s="14" t="n"/>
      <c r="AE817" s="12" t="n"/>
      <c r="AF817" s="13" t="n"/>
      <c r="AG817" s="14" t="n"/>
      <c r="AH817" s="12" t="n"/>
      <c r="AI817" s="13" t="n"/>
      <c r="AJ817" s="14" t="n"/>
      <c r="AK817" s="12" t="n"/>
      <c r="AL817" s="13" t="n"/>
      <c r="AM817" s="14" t="n"/>
      <c r="AN817" s="12" t="n"/>
      <c r="AO817" s="13" t="n"/>
      <c r="AP817" s="14" t="n"/>
      <c r="AQ817" s="12" t="n"/>
      <c r="AR817" s="13" t="n"/>
      <c r="AS817" s="14" t="n"/>
      <c r="AT817" s="12" t="n"/>
      <c r="AU817" s="13" t="n"/>
      <c r="AV817" s="14" t="n"/>
      <c r="AW817" s="12" t="n"/>
      <c r="AX817" s="13" t="n"/>
      <c r="AY817" s="14" t="n"/>
      <c r="AZ817" s="12" t="n"/>
      <c r="BA817" s="13" t="n"/>
      <c r="BB817" s="14" t="n"/>
      <c r="BC817" s="11">
        <f>IF(O817="","",IF(J817="GST 10%",ROUND(O817*set_GSTRate,2),0))</f>
        <v/>
      </c>
      <c r="BD817" s="11">
        <f>IF(O817="","",O817+BC817)</f>
        <v/>
      </c>
      <c r="BE817" s="15">
        <f>IF(O817="","",COUNTA(S817,V817,Y817,AB817,AE817,AH817,AK817,AN817,AQ817,AT817,AW817,AZ817))</f>
        <v/>
      </c>
      <c r="BF817" s="16">
        <f>IF(COUNT(T817,W817,Z817,AC817,AF817,AI817,AL817,AO817,AR817,AU817,AX817,BA817)=0,"",MAX(T817,W817,Z817,AC817,AF817,AI817,AL817,AO817,AR817,AU817,AX817,BA817))</f>
        <v/>
      </c>
      <c r="BG817" s="10">
        <f>MID(IF(S817="","",", "&amp;S817)&amp;IF(V817="","",", "&amp;V817)&amp;IF(Y817="","",", "&amp;Y817)&amp;IF(AB817="","",", "&amp;AB817)&amp;IF(AE817="","",", "&amp;AE817)&amp;IF(AH817="","",", "&amp;AH817)&amp;IF(AK817="","",", "&amp;AK817)&amp;IF(AN817="","",", "&amp;AN817)&amp;IF(AQ817="","",", "&amp;AQ817)&amp;IF(AT817="","",", "&amp;AT817)&amp;IF(AW817="","",", "&amp;AW817)&amp;IF(AZ817="","",", "&amp;AZ817),3,500)</f>
        <v/>
      </c>
      <c r="BH817" s="12" t="n"/>
      <c r="BI817" s="15">
        <f>IFERROR(MATCH($A817,IF($B817="Onsite",tbl_Onsite[Row ID],IF($B817="Production",tbl_Production[Row ID],tbl_Consulting[Row ID])),0),"")</f>
        <v/>
      </c>
    </row>
    <row r="818">
      <c r="A818" s="10" t="inlineStr">
        <is>
          <t>PRD-0312</t>
        </is>
      </c>
      <c r="B818" s="10" t="inlineStr">
        <is>
          <t>Production</t>
        </is>
      </c>
      <c r="C818" s="10">
        <f>IF($BI818="","",IF($B818="Onsite",INDEX(tbl_Onsite[Job Number],$BI818),IF($B818="Production",INDEX(tbl_Production[Job Number],$BI818),INDEX(tbl_Consulting[Job Number],$BI818)))&amp;"")</f>
        <v/>
      </c>
      <c r="D818" s="10">
        <f>IF($BI818="","",IF($B818="Onsite",INDEX(tbl_Onsite[Client],$BI818),IF($B818="Production",INDEX(tbl_Production[Client],$BI818),INDEX(tbl_Consulting[Client],$BI818)))&amp;"")</f>
        <v/>
      </c>
      <c r="E818" s="10">
        <f>IF($C818="","",IF(COUNTIF(lst_Jobs,$C818)&gt;0,"OK","CHECK"))</f>
        <v/>
      </c>
      <c r="F818" s="10">
        <f>IF($C818="","",IFERROR(INDEX(lst_JobName,MATCH($C818,lst_Jobs,0)),""))</f>
        <v/>
      </c>
      <c r="G818" s="10">
        <f>IF($BI818="","",IF($B818="Onsite",INDEX(tbl_Onsite[Job Description],$BI818),IF($B818="Production",INDEX(tbl_Production[Job Description],$BI818),INDEX(tbl_Consulting[Job Description],$BI818)))&amp;"")</f>
        <v/>
      </c>
      <c r="H818" s="10">
        <f>IF($BI818="","",IF($B818="Onsite",INDEX(tbl_Onsite[Cost Centre],$BI818),IF($B818="Production",INDEX(tbl_Production[Cost Centre],$BI818),INDEX(tbl_Consulting[Cost Centre],$BI818)))&amp;"")</f>
        <v/>
      </c>
      <c r="I818" s="10">
        <f>IF($BI818="","",IF($B818="Onsite",INDEX(tbl_Onsite[Invoice Type],$BI818),IF($B818="Production",INDEX(tbl_Production[Invoice Type],$BI818),INDEX(tbl_Consulting[Invoice Type],$BI818)))&amp;"")</f>
        <v/>
      </c>
      <c r="J818" s="10">
        <f>IF($BI818="","",IF($B818="Onsite",INDEX(tbl_Onsite[Tax Code],$BI818),IF($B818="Production",INDEX(tbl_Production[Tax Code],$BI818),INDEX(tbl_Consulting[Tax Code],$BI818)))&amp;"")</f>
        <v/>
      </c>
      <c r="K818" s="10">
        <f>IF(H818="","",IFERROR(INDEX(lst_CCtoGL,MATCH(H818,lst_CCforGL,0)),""))</f>
        <v/>
      </c>
      <c r="L818" s="10">
        <f>IF($BI818="","",IF($B818="Onsite",INDEX(tbl_Onsite[PO / Reference],$BI818),IF($B818="Production",INDEX(tbl_Production[Current RMS No],$BI818),INDEX(tbl_Consulting[Qwilr Quote],$BI818)))&amp;"")</f>
        <v/>
      </c>
      <c r="M818" s="10">
        <f>IF($BI818="","",IF($B818="Onsite",INDEX(tbl_Onsite[Notes],$BI818),IF($B818="Production",INDEX(tbl_Production[Notes],$BI818),INDEX(tbl_Consulting[Notes],$BI818)))&amp;"")</f>
        <v/>
      </c>
      <c r="N818" s="11">
        <f>IF($BI818="","",IF(IF($B818="Onsite",INDEX(tbl_Onsite[Expected Revenue Ex GST],$BI818),IF($B818="Production",INDEX(tbl_Production[Expected Revenue Ex GST],$BI818),INDEX(tbl_Consulting[Expected Revenue Ex GST],$BI818)))="","",IF($B818="Onsite",INDEX(tbl_Onsite[Expected Revenue Ex GST],$BI818),IF($B818="Production",INDEX(tbl_Production[Expected Revenue Ex GST],$BI818),INDEX(tbl_Consulting[Expected Revenue Ex GST],$BI818)))))</f>
        <v/>
      </c>
      <c r="O818" s="11">
        <f>IF(AND($C818="",NOT(COUNTA($S818:$BB818)&gt;0)),"",SUM(U818,X818,AA818,AD818,AG818,AJ818,AM818,AP818,AS818,AV818,AY818,BB818))</f>
        <v/>
      </c>
      <c r="P818" s="11">
        <f>IF(O818="","",N(N818)-O818)</f>
        <v/>
      </c>
      <c r="Q818" s="10">
        <f>IF(O818="","",IF($C818="","Invoice on empty job row",IF(N818="",IF(ROUND(O818,2)=0,"No dept value","Invoiced - no dept value"),IF(ROUND(O818,2)=0,"Not invoiced - to invoice",IF(ROUND(P818,2)=0,"Agrees",IF(P818&gt;0,"Dept higher - to invoice","Xero higher - check dept"))))))</f>
        <v/>
      </c>
      <c r="R818" s="10">
        <f>IF(AND($C818="",NOT(COUNTA($S818:$BB818)&gt;0),$BI818&lt;&gt;""),"",MID(IF($BI818="","; Row ID not found on the department sheet - a row was deleted","")&amp;IF(AND($C818="",COUNTA($S818:$BB818)&gt;0),"; Invoice entered but the department row has no job number","")&amp;IF(E818="CHECK","; Job number not in the Xero job list","")&amp;IF(AND($C818&lt;&gt;"",COUNTIF($C$7:$C$1506,$C818)&gt;1),"; Job number on more than one row","")&amp;IF(AND($C818&lt;&gt;"",H818=""),"; Dept has not set a cost centre","")&amp;IF(AND($C818&lt;&gt;"",J818=""),"; Dept has not set a tax code","")&amp;IF(AND($C818&lt;&gt;"",N818=""),"; Dept has not entered an expected value","")&amp;IF((IF(OR(COUNTA(S818:U818)=0,AND(COUNTA(S818:U818)=3,ISNUMBER(U818))),0,1)+IF(OR(COUNTA(V818:X818)=0,AND(COUNTA(V818:X818)=3,ISNUMBER(X818))),0,1)+IF(OR(COUNTA(Y818:AA818)=0,AND(COUNTA(Y818:AA818)=3,ISNUMBER(AA818))),0,1)+IF(OR(COUNTA(AB818:AD818)=0,AND(COUNTA(AB818:AD818)=3,ISNUMBER(AD818))),0,1)+IF(OR(COUNTA(AE818:AG818)=0,AND(COUNTA(AE818:AG818)=3,ISNUMBER(AG818))),0,1)+IF(OR(COUNTA(AH818:AJ818)=0,AND(COUNTA(AH818:AJ818)=3,ISNUMBER(AJ818))),0,1)+IF(OR(COUNTA(AK818:AM818)=0,AND(COUNTA(AK818:AM818)=3,ISNUMBER(AM818))),0,1)+IF(OR(COUNTA(AN818:AP818)=0,AND(COUNTA(AN818:AP818)=3,ISNUMBER(AP818))),0,1)+IF(OR(COUNTA(AQ818:AS818)=0,AND(COUNTA(AQ818:AS818)=3,ISNUMBER(AS818))),0,1)+IF(OR(COUNTA(AT818:AV818)=0,AND(COUNTA(AT818:AV818)=3,ISNUMBER(AV818))),0,1)+IF(OR(COUNTA(AW818:AY818)=0,AND(COUNTA(AW818:AY818)=3,ISNUMBER(AY818))),0,1)+IF(OR(COUNTA(AZ818:BB818)=0,AND(COUNTA(AZ818:BB818)=3,ISNUMBER(BB818))),0,1))&gt;0,"; An invoice is incomplete (needs No, Date and a number in Ex GST)","")&amp;IF((IF(T818="",0,IFERROR(--(EOMONTH(T818,0)&lt;&gt;S$5),1))+IF(W818="",0,IFERROR(--(EOMONTH(W818,0)&lt;&gt;V$5),1))+IF(Z818="",0,IFERROR(--(EOMONTH(Z818,0)&lt;&gt;Y$5),1))+IF(AC818="",0,IFERROR(--(EOMONTH(AC818,0)&lt;&gt;AB$5),1))+IF(AF818="",0,IFERROR(--(EOMONTH(AF818,0)&lt;&gt;AE$5),1))+IF(AI818="",0,IFERROR(--(EOMONTH(AI818,0)&lt;&gt;AH$5),1))+IF(AL818="",0,IFERROR(--(EOMONTH(AL818,0)&lt;&gt;AK$5),1))+IF(AO818="",0,IFERROR(--(EOMONTH(AO818,0)&lt;&gt;AN$5),1))+IF(AR818="",0,IFERROR(--(EOMONTH(AR818,0)&lt;&gt;AQ$5),1))+IF(AU818="",0,IFERROR(--(EOMONTH(AU818,0)&lt;&gt;AT$5),1))+IF(AX818="",0,IFERROR(--(EOMONTH(AX818,0)&lt;&gt;AW$5),1))+IF(BA818="",0,IFERROR(--(EOMONTH(BA818,0)&lt;&gt;AZ$5),1)))&gt;0,"; An invoice date is not in the month it is typed under",""),3,500))</f>
        <v/>
      </c>
      <c r="S818" s="12" t="n"/>
      <c r="T818" s="13" t="n"/>
      <c r="U818" s="14" t="n"/>
      <c r="V818" s="12" t="n"/>
      <c r="W818" s="13" t="n"/>
      <c r="X818" s="14" t="n"/>
      <c r="Y818" s="12" t="n"/>
      <c r="Z818" s="13" t="n"/>
      <c r="AA818" s="14" t="n"/>
      <c r="AB818" s="12" t="n"/>
      <c r="AC818" s="13" t="n"/>
      <c r="AD818" s="14" t="n"/>
      <c r="AE818" s="12" t="n"/>
      <c r="AF818" s="13" t="n"/>
      <c r="AG818" s="14" t="n"/>
      <c r="AH818" s="12" t="n"/>
      <c r="AI818" s="13" t="n"/>
      <c r="AJ818" s="14" t="n"/>
      <c r="AK818" s="12" t="n"/>
      <c r="AL818" s="13" t="n"/>
      <c r="AM818" s="14" t="n"/>
      <c r="AN818" s="12" t="n"/>
      <c r="AO818" s="13" t="n"/>
      <c r="AP818" s="14" t="n"/>
      <c r="AQ818" s="12" t="n"/>
      <c r="AR818" s="13" t="n"/>
      <c r="AS818" s="14" t="n"/>
      <c r="AT818" s="12" t="n"/>
      <c r="AU818" s="13" t="n"/>
      <c r="AV818" s="14" t="n"/>
      <c r="AW818" s="12" t="n"/>
      <c r="AX818" s="13" t="n"/>
      <c r="AY818" s="14" t="n"/>
      <c r="AZ818" s="12" t="n"/>
      <c r="BA818" s="13" t="n"/>
      <c r="BB818" s="14" t="n"/>
      <c r="BC818" s="11">
        <f>IF(O818="","",IF(J818="GST 10%",ROUND(O818*set_GSTRate,2),0))</f>
        <v/>
      </c>
      <c r="BD818" s="11">
        <f>IF(O818="","",O818+BC818)</f>
        <v/>
      </c>
      <c r="BE818" s="15">
        <f>IF(O818="","",COUNTA(S818,V818,Y818,AB818,AE818,AH818,AK818,AN818,AQ818,AT818,AW818,AZ818))</f>
        <v/>
      </c>
      <c r="BF818" s="16">
        <f>IF(COUNT(T818,W818,Z818,AC818,AF818,AI818,AL818,AO818,AR818,AU818,AX818,BA818)=0,"",MAX(T818,W818,Z818,AC818,AF818,AI818,AL818,AO818,AR818,AU818,AX818,BA818))</f>
        <v/>
      </c>
      <c r="BG818" s="10">
        <f>MID(IF(S818="","",", "&amp;S818)&amp;IF(V818="","",", "&amp;V818)&amp;IF(Y818="","",", "&amp;Y818)&amp;IF(AB818="","",", "&amp;AB818)&amp;IF(AE818="","",", "&amp;AE818)&amp;IF(AH818="","",", "&amp;AH818)&amp;IF(AK818="","",", "&amp;AK818)&amp;IF(AN818="","",", "&amp;AN818)&amp;IF(AQ818="","",", "&amp;AQ818)&amp;IF(AT818="","",", "&amp;AT818)&amp;IF(AW818="","",", "&amp;AW818)&amp;IF(AZ818="","",", "&amp;AZ818),3,500)</f>
        <v/>
      </c>
      <c r="BH818" s="12" t="n"/>
      <c r="BI818" s="15">
        <f>IFERROR(MATCH($A818,IF($B818="Onsite",tbl_Onsite[Row ID],IF($B818="Production",tbl_Production[Row ID],tbl_Consulting[Row ID])),0),"")</f>
        <v/>
      </c>
    </row>
    <row r="819">
      <c r="A819" s="10" t="inlineStr">
        <is>
          <t>PRD-0313</t>
        </is>
      </c>
      <c r="B819" s="10" t="inlineStr">
        <is>
          <t>Production</t>
        </is>
      </c>
      <c r="C819" s="10">
        <f>IF($BI819="","",IF($B819="Onsite",INDEX(tbl_Onsite[Job Number],$BI819),IF($B819="Production",INDEX(tbl_Production[Job Number],$BI819),INDEX(tbl_Consulting[Job Number],$BI819)))&amp;"")</f>
        <v/>
      </c>
      <c r="D819" s="10">
        <f>IF($BI819="","",IF($B819="Onsite",INDEX(tbl_Onsite[Client],$BI819),IF($B819="Production",INDEX(tbl_Production[Client],$BI819),INDEX(tbl_Consulting[Client],$BI819)))&amp;"")</f>
        <v/>
      </c>
      <c r="E819" s="10">
        <f>IF($C819="","",IF(COUNTIF(lst_Jobs,$C819)&gt;0,"OK","CHECK"))</f>
        <v/>
      </c>
      <c r="F819" s="10">
        <f>IF($C819="","",IFERROR(INDEX(lst_JobName,MATCH($C819,lst_Jobs,0)),""))</f>
        <v/>
      </c>
      <c r="G819" s="10">
        <f>IF($BI819="","",IF($B819="Onsite",INDEX(tbl_Onsite[Job Description],$BI819),IF($B819="Production",INDEX(tbl_Production[Job Description],$BI819),INDEX(tbl_Consulting[Job Description],$BI819)))&amp;"")</f>
        <v/>
      </c>
      <c r="H819" s="10">
        <f>IF($BI819="","",IF($B819="Onsite",INDEX(tbl_Onsite[Cost Centre],$BI819),IF($B819="Production",INDEX(tbl_Production[Cost Centre],$BI819),INDEX(tbl_Consulting[Cost Centre],$BI819)))&amp;"")</f>
        <v/>
      </c>
      <c r="I819" s="10">
        <f>IF($BI819="","",IF($B819="Onsite",INDEX(tbl_Onsite[Invoice Type],$BI819),IF($B819="Production",INDEX(tbl_Production[Invoice Type],$BI819),INDEX(tbl_Consulting[Invoice Type],$BI819)))&amp;"")</f>
        <v/>
      </c>
      <c r="J819" s="10">
        <f>IF($BI819="","",IF($B819="Onsite",INDEX(tbl_Onsite[Tax Code],$BI819),IF($B819="Production",INDEX(tbl_Production[Tax Code],$BI819),INDEX(tbl_Consulting[Tax Code],$BI819)))&amp;"")</f>
        <v/>
      </c>
      <c r="K819" s="10">
        <f>IF(H819="","",IFERROR(INDEX(lst_CCtoGL,MATCH(H819,lst_CCforGL,0)),""))</f>
        <v/>
      </c>
      <c r="L819" s="10">
        <f>IF($BI819="","",IF($B819="Onsite",INDEX(tbl_Onsite[PO / Reference],$BI819),IF($B819="Production",INDEX(tbl_Production[Current RMS No],$BI819),INDEX(tbl_Consulting[Qwilr Quote],$BI819)))&amp;"")</f>
        <v/>
      </c>
      <c r="M819" s="10">
        <f>IF($BI819="","",IF($B819="Onsite",INDEX(tbl_Onsite[Notes],$BI819),IF($B819="Production",INDEX(tbl_Production[Notes],$BI819),INDEX(tbl_Consulting[Notes],$BI819)))&amp;"")</f>
        <v/>
      </c>
      <c r="N819" s="11">
        <f>IF($BI819="","",IF(IF($B819="Onsite",INDEX(tbl_Onsite[Expected Revenue Ex GST],$BI819),IF($B819="Production",INDEX(tbl_Production[Expected Revenue Ex GST],$BI819),INDEX(tbl_Consulting[Expected Revenue Ex GST],$BI819)))="","",IF($B819="Onsite",INDEX(tbl_Onsite[Expected Revenue Ex GST],$BI819),IF($B819="Production",INDEX(tbl_Production[Expected Revenue Ex GST],$BI819),INDEX(tbl_Consulting[Expected Revenue Ex GST],$BI819)))))</f>
        <v/>
      </c>
      <c r="O819" s="11">
        <f>IF(AND($C819="",NOT(COUNTA($S819:$BB819)&gt;0)),"",SUM(U819,X819,AA819,AD819,AG819,AJ819,AM819,AP819,AS819,AV819,AY819,BB819))</f>
        <v/>
      </c>
      <c r="P819" s="11">
        <f>IF(O819="","",N(N819)-O819)</f>
        <v/>
      </c>
      <c r="Q819" s="10">
        <f>IF(O819="","",IF($C819="","Invoice on empty job row",IF(N819="",IF(ROUND(O819,2)=0,"No dept value","Invoiced - no dept value"),IF(ROUND(O819,2)=0,"Not invoiced - to invoice",IF(ROUND(P819,2)=0,"Agrees",IF(P819&gt;0,"Dept higher - to invoice","Xero higher - check dept"))))))</f>
        <v/>
      </c>
      <c r="R819" s="10">
        <f>IF(AND($C819="",NOT(COUNTA($S819:$BB819)&gt;0),$BI819&lt;&gt;""),"",MID(IF($BI819="","; Row ID not found on the department sheet - a row was deleted","")&amp;IF(AND($C819="",COUNTA($S819:$BB819)&gt;0),"; Invoice entered but the department row has no job number","")&amp;IF(E819="CHECK","; Job number not in the Xero job list","")&amp;IF(AND($C819&lt;&gt;"",COUNTIF($C$7:$C$1506,$C819)&gt;1),"; Job number on more than one row","")&amp;IF(AND($C819&lt;&gt;"",H819=""),"; Dept has not set a cost centre","")&amp;IF(AND($C819&lt;&gt;"",J819=""),"; Dept has not set a tax code","")&amp;IF(AND($C819&lt;&gt;"",N819=""),"; Dept has not entered an expected value","")&amp;IF((IF(OR(COUNTA(S819:U819)=0,AND(COUNTA(S819:U819)=3,ISNUMBER(U819))),0,1)+IF(OR(COUNTA(V819:X819)=0,AND(COUNTA(V819:X819)=3,ISNUMBER(X819))),0,1)+IF(OR(COUNTA(Y819:AA819)=0,AND(COUNTA(Y819:AA819)=3,ISNUMBER(AA819))),0,1)+IF(OR(COUNTA(AB819:AD819)=0,AND(COUNTA(AB819:AD819)=3,ISNUMBER(AD819))),0,1)+IF(OR(COUNTA(AE819:AG819)=0,AND(COUNTA(AE819:AG819)=3,ISNUMBER(AG819))),0,1)+IF(OR(COUNTA(AH819:AJ819)=0,AND(COUNTA(AH819:AJ819)=3,ISNUMBER(AJ819))),0,1)+IF(OR(COUNTA(AK819:AM819)=0,AND(COUNTA(AK819:AM819)=3,ISNUMBER(AM819))),0,1)+IF(OR(COUNTA(AN819:AP819)=0,AND(COUNTA(AN819:AP819)=3,ISNUMBER(AP819))),0,1)+IF(OR(COUNTA(AQ819:AS819)=0,AND(COUNTA(AQ819:AS819)=3,ISNUMBER(AS819))),0,1)+IF(OR(COUNTA(AT819:AV819)=0,AND(COUNTA(AT819:AV819)=3,ISNUMBER(AV819))),0,1)+IF(OR(COUNTA(AW819:AY819)=0,AND(COUNTA(AW819:AY819)=3,ISNUMBER(AY819))),0,1)+IF(OR(COUNTA(AZ819:BB819)=0,AND(COUNTA(AZ819:BB819)=3,ISNUMBER(BB819))),0,1))&gt;0,"; An invoice is incomplete (needs No, Date and a number in Ex GST)","")&amp;IF((IF(T819="",0,IFERROR(--(EOMONTH(T819,0)&lt;&gt;S$5),1))+IF(W819="",0,IFERROR(--(EOMONTH(W819,0)&lt;&gt;V$5),1))+IF(Z819="",0,IFERROR(--(EOMONTH(Z819,0)&lt;&gt;Y$5),1))+IF(AC819="",0,IFERROR(--(EOMONTH(AC819,0)&lt;&gt;AB$5),1))+IF(AF819="",0,IFERROR(--(EOMONTH(AF819,0)&lt;&gt;AE$5),1))+IF(AI819="",0,IFERROR(--(EOMONTH(AI819,0)&lt;&gt;AH$5),1))+IF(AL819="",0,IFERROR(--(EOMONTH(AL819,0)&lt;&gt;AK$5),1))+IF(AO819="",0,IFERROR(--(EOMONTH(AO819,0)&lt;&gt;AN$5),1))+IF(AR819="",0,IFERROR(--(EOMONTH(AR819,0)&lt;&gt;AQ$5),1))+IF(AU819="",0,IFERROR(--(EOMONTH(AU819,0)&lt;&gt;AT$5),1))+IF(AX819="",0,IFERROR(--(EOMONTH(AX819,0)&lt;&gt;AW$5),1))+IF(BA819="",0,IFERROR(--(EOMONTH(BA819,0)&lt;&gt;AZ$5),1)))&gt;0,"; An invoice date is not in the month it is typed under",""),3,500))</f>
        <v/>
      </c>
      <c r="S819" s="12" t="n"/>
      <c r="T819" s="13" t="n"/>
      <c r="U819" s="14" t="n"/>
      <c r="V819" s="12" t="n"/>
      <c r="W819" s="13" t="n"/>
      <c r="X819" s="14" t="n"/>
      <c r="Y819" s="12" t="n"/>
      <c r="Z819" s="13" t="n"/>
      <c r="AA819" s="14" t="n"/>
      <c r="AB819" s="12" t="n"/>
      <c r="AC819" s="13" t="n"/>
      <c r="AD819" s="14" t="n"/>
      <c r="AE819" s="12" t="n"/>
      <c r="AF819" s="13" t="n"/>
      <c r="AG819" s="14" t="n"/>
      <c r="AH819" s="12" t="n"/>
      <c r="AI819" s="13" t="n"/>
      <c r="AJ819" s="14" t="n"/>
      <c r="AK819" s="12" t="n"/>
      <c r="AL819" s="13" t="n"/>
      <c r="AM819" s="14" t="n"/>
      <c r="AN819" s="12" t="n"/>
      <c r="AO819" s="13" t="n"/>
      <c r="AP819" s="14" t="n"/>
      <c r="AQ819" s="12" t="n"/>
      <c r="AR819" s="13" t="n"/>
      <c r="AS819" s="14" t="n"/>
      <c r="AT819" s="12" t="n"/>
      <c r="AU819" s="13" t="n"/>
      <c r="AV819" s="14" t="n"/>
      <c r="AW819" s="12" t="n"/>
      <c r="AX819" s="13" t="n"/>
      <c r="AY819" s="14" t="n"/>
      <c r="AZ819" s="12" t="n"/>
      <c r="BA819" s="13" t="n"/>
      <c r="BB819" s="14" t="n"/>
      <c r="BC819" s="11">
        <f>IF(O819="","",IF(J819="GST 10%",ROUND(O819*set_GSTRate,2),0))</f>
        <v/>
      </c>
      <c r="BD819" s="11">
        <f>IF(O819="","",O819+BC819)</f>
        <v/>
      </c>
      <c r="BE819" s="15">
        <f>IF(O819="","",COUNTA(S819,V819,Y819,AB819,AE819,AH819,AK819,AN819,AQ819,AT819,AW819,AZ819))</f>
        <v/>
      </c>
      <c r="BF819" s="16">
        <f>IF(COUNT(T819,W819,Z819,AC819,AF819,AI819,AL819,AO819,AR819,AU819,AX819,BA819)=0,"",MAX(T819,W819,Z819,AC819,AF819,AI819,AL819,AO819,AR819,AU819,AX819,BA819))</f>
        <v/>
      </c>
      <c r="BG819" s="10">
        <f>MID(IF(S819="","",", "&amp;S819)&amp;IF(V819="","",", "&amp;V819)&amp;IF(Y819="","",", "&amp;Y819)&amp;IF(AB819="","",", "&amp;AB819)&amp;IF(AE819="","",", "&amp;AE819)&amp;IF(AH819="","",", "&amp;AH819)&amp;IF(AK819="","",", "&amp;AK819)&amp;IF(AN819="","",", "&amp;AN819)&amp;IF(AQ819="","",", "&amp;AQ819)&amp;IF(AT819="","",", "&amp;AT819)&amp;IF(AW819="","",", "&amp;AW819)&amp;IF(AZ819="","",", "&amp;AZ819),3,500)</f>
        <v/>
      </c>
      <c r="BH819" s="12" t="n"/>
      <c r="BI819" s="15">
        <f>IFERROR(MATCH($A819,IF($B819="Onsite",tbl_Onsite[Row ID],IF($B819="Production",tbl_Production[Row ID],tbl_Consulting[Row ID])),0),"")</f>
        <v/>
      </c>
    </row>
    <row r="820">
      <c r="A820" s="10" t="inlineStr">
        <is>
          <t>PRD-0314</t>
        </is>
      </c>
      <c r="B820" s="10" t="inlineStr">
        <is>
          <t>Production</t>
        </is>
      </c>
      <c r="C820" s="10">
        <f>IF($BI820="","",IF($B820="Onsite",INDEX(tbl_Onsite[Job Number],$BI820),IF($B820="Production",INDEX(tbl_Production[Job Number],$BI820),INDEX(tbl_Consulting[Job Number],$BI820)))&amp;"")</f>
        <v/>
      </c>
      <c r="D820" s="10">
        <f>IF($BI820="","",IF($B820="Onsite",INDEX(tbl_Onsite[Client],$BI820),IF($B820="Production",INDEX(tbl_Production[Client],$BI820),INDEX(tbl_Consulting[Client],$BI820)))&amp;"")</f>
        <v/>
      </c>
      <c r="E820" s="10">
        <f>IF($C820="","",IF(COUNTIF(lst_Jobs,$C820)&gt;0,"OK","CHECK"))</f>
        <v/>
      </c>
      <c r="F820" s="10">
        <f>IF($C820="","",IFERROR(INDEX(lst_JobName,MATCH($C820,lst_Jobs,0)),""))</f>
        <v/>
      </c>
      <c r="G820" s="10">
        <f>IF($BI820="","",IF($B820="Onsite",INDEX(tbl_Onsite[Job Description],$BI820),IF($B820="Production",INDEX(tbl_Production[Job Description],$BI820),INDEX(tbl_Consulting[Job Description],$BI820)))&amp;"")</f>
        <v/>
      </c>
      <c r="H820" s="10">
        <f>IF($BI820="","",IF($B820="Onsite",INDEX(tbl_Onsite[Cost Centre],$BI820),IF($B820="Production",INDEX(tbl_Production[Cost Centre],$BI820),INDEX(tbl_Consulting[Cost Centre],$BI820)))&amp;"")</f>
        <v/>
      </c>
      <c r="I820" s="10">
        <f>IF($BI820="","",IF($B820="Onsite",INDEX(tbl_Onsite[Invoice Type],$BI820),IF($B820="Production",INDEX(tbl_Production[Invoice Type],$BI820),INDEX(tbl_Consulting[Invoice Type],$BI820)))&amp;"")</f>
        <v/>
      </c>
      <c r="J820" s="10">
        <f>IF($BI820="","",IF($B820="Onsite",INDEX(tbl_Onsite[Tax Code],$BI820),IF($B820="Production",INDEX(tbl_Production[Tax Code],$BI820),INDEX(tbl_Consulting[Tax Code],$BI820)))&amp;"")</f>
        <v/>
      </c>
      <c r="K820" s="10">
        <f>IF(H820="","",IFERROR(INDEX(lst_CCtoGL,MATCH(H820,lst_CCforGL,0)),""))</f>
        <v/>
      </c>
      <c r="L820" s="10">
        <f>IF($BI820="","",IF($B820="Onsite",INDEX(tbl_Onsite[PO / Reference],$BI820),IF($B820="Production",INDEX(tbl_Production[Current RMS No],$BI820),INDEX(tbl_Consulting[Qwilr Quote],$BI820)))&amp;"")</f>
        <v/>
      </c>
      <c r="M820" s="10">
        <f>IF($BI820="","",IF($B820="Onsite",INDEX(tbl_Onsite[Notes],$BI820),IF($B820="Production",INDEX(tbl_Production[Notes],$BI820),INDEX(tbl_Consulting[Notes],$BI820)))&amp;"")</f>
        <v/>
      </c>
      <c r="N820" s="11">
        <f>IF($BI820="","",IF(IF($B820="Onsite",INDEX(tbl_Onsite[Expected Revenue Ex GST],$BI820),IF($B820="Production",INDEX(tbl_Production[Expected Revenue Ex GST],$BI820),INDEX(tbl_Consulting[Expected Revenue Ex GST],$BI820)))="","",IF($B820="Onsite",INDEX(tbl_Onsite[Expected Revenue Ex GST],$BI820),IF($B820="Production",INDEX(tbl_Production[Expected Revenue Ex GST],$BI820),INDEX(tbl_Consulting[Expected Revenue Ex GST],$BI820)))))</f>
        <v/>
      </c>
      <c r="O820" s="11">
        <f>IF(AND($C820="",NOT(COUNTA($S820:$BB820)&gt;0)),"",SUM(U820,X820,AA820,AD820,AG820,AJ820,AM820,AP820,AS820,AV820,AY820,BB820))</f>
        <v/>
      </c>
      <c r="P820" s="11">
        <f>IF(O820="","",N(N820)-O820)</f>
        <v/>
      </c>
      <c r="Q820" s="10">
        <f>IF(O820="","",IF($C820="","Invoice on empty job row",IF(N820="",IF(ROUND(O820,2)=0,"No dept value","Invoiced - no dept value"),IF(ROUND(O820,2)=0,"Not invoiced - to invoice",IF(ROUND(P820,2)=0,"Agrees",IF(P820&gt;0,"Dept higher - to invoice","Xero higher - check dept"))))))</f>
        <v/>
      </c>
      <c r="R820" s="10">
        <f>IF(AND($C820="",NOT(COUNTA($S820:$BB820)&gt;0),$BI820&lt;&gt;""),"",MID(IF($BI820="","; Row ID not found on the department sheet - a row was deleted","")&amp;IF(AND($C820="",COUNTA($S820:$BB820)&gt;0),"; Invoice entered but the department row has no job number","")&amp;IF(E820="CHECK","; Job number not in the Xero job list","")&amp;IF(AND($C820&lt;&gt;"",COUNTIF($C$7:$C$1506,$C820)&gt;1),"; Job number on more than one row","")&amp;IF(AND($C820&lt;&gt;"",H820=""),"; Dept has not set a cost centre","")&amp;IF(AND($C820&lt;&gt;"",J820=""),"; Dept has not set a tax code","")&amp;IF(AND($C820&lt;&gt;"",N820=""),"; Dept has not entered an expected value","")&amp;IF((IF(OR(COUNTA(S820:U820)=0,AND(COUNTA(S820:U820)=3,ISNUMBER(U820))),0,1)+IF(OR(COUNTA(V820:X820)=0,AND(COUNTA(V820:X820)=3,ISNUMBER(X820))),0,1)+IF(OR(COUNTA(Y820:AA820)=0,AND(COUNTA(Y820:AA820)=3,ISNUMBER(AA820))),0,1)+IF(OR(COUNTA(AB820:AD820)=0,AND(COUNTA(AB820:AD820)=3,ISNUMBER(AD820))),0,1)+IF(OR(COUNTA(AE820:AG820)=0,AND(COUNTA(AE820:AG820)=3,ISNUMBER(AG820))),0,1)+IF(OR(COUNTA(AH820:AJ820)=0,AND(COUNTA(AH820:AJ820)=3,ISNUMBER(AJ820))),0,1)+IF(OR(COUNTA(AK820:AM820)=0,AND(COUNTA(AK820:AM820)=3,ISNUMBER(AM820))),0,1)+IF(OR(COUNTA(AN820:AP820)=0,AND(COUNTA(AN820:AP820)=3,ISNUMBER(AP820))),0,1)+IF(OR(COUNTA(AQ820:AS820)=0,AND(COUNTA(AQ820:AS820)=3,ISNUMBER(AS820))),0,1)+IF(OR(COUNTA(AT820:AV820)=0,AND(COUNTA(AT820:AV820)=3,ISNUMBER(AV820))),0,1)+IF(OR(COUNTA(AW820:AY820)=0,AND(COUNTA(AW820:AY820)=3,ISNUMBER(AY820))),0,1)+IF(OR(COUNTA(AZ820:BB820)=0,AND(COUNTA(AZ820:BB820)=3,ISNUMBER(BB820))),0,1))&gt;0,"; An invoice is incomplete (needs No, Date and a number in Ex GST)","")&amp;IF((IF(T820="",0,IFERROR(--(EOMONTH(T820,0)&lt;&gt;S$5),1))+IF(W820="",0,IFERROR(--(EOMONTH(W820,0)&lt;&gt;V$5),1))+IF(Z820="",0,IFERROR(--(EOMONTH(Z820,0)&lt;&gt;Y$5),1))+IF(AC820="",0,IFERROR(--(EOMONTH(AC820,0)&lt;&gt;AB$5),1))+IF(AF820="",0,IFERROR(--(EOMONTH(AF820,0)&lt;&gt;AE$5),1))+IF(AI820="",0,IFERROR(--(EOMONTH(AI820,0)&lt;&gt;AH$5),1))+IF(AL820="",0,IFERROR(--(EOMONTH(AL820,0)&lt;&gt;AK$5),1))+IF(AO820="",0,IFERROR(--(EOMONTH(AO820,0)&lt;&gt;AN$5),1))+IF(AR820="",0,IFERROR(--(EOMONTH(AR820,0)&lt;&gt;AQ$5),1))+IF(AU820="",0,IFERROR(--(EOMONTH(AU820,0)&lt;&gt;AT$5),1))+IF(AX820="",0,IFERROR(--(EOMONTH(AX820,0)&lt;&gt;AW$5),1))+IF(BA820="",0,IFERROR(--(EOMONTH(BA820,0)&lt;&gt;AZ$5),1)))&gt;0,"; An invoice date is not in the month it is typed under",""),3,500))</f>
        <v/>
      </c>
      <c r="S820" s="12" t="n"/>
      <c r="T820" s="13" t="n"/>
      <c r="U820" s="14" t="n"/>
      <c r="V820" s="12" t="n"/>
      <c r="W820" s="13" t="n"/>
      <c r="X820" s="14" t="n"/>
      <c r="Y820" s="12" t="n"/>
      <c r="Z820" s="13" t="n"/>
      <c r="AA820" s="14" t="n"/>
      <c r="AB820" s="12" t="n"/>
      <c r="AC820" s="13" t="n"/>
      <c r="AD820" s="14" t="n"/>
      <c r="AE820" s="12" t="n"/>
      <c r="AF820" s="13" t="n"/>
      <c r="AG820" s="14" t="n"/>
      <c r="AH820" s="12" t="n"/>
      <c r="AI820" s="13" t="n"/>
      <c r="AJ820" s="14" t="n"/>
      <c r="AK820" s="12" t="n"/>
      <c r="AL820" s="13" t="n"/>
      <c r="AM820" s="14" t="n"/>
      <c r="AN820" s="12" t="n"/>
      <c r="AO820" s="13" t="n"/>
      <c r="AP820" s="14" t="n"/>
      <c r="AQ820" s="12" t="n"/>
      <c r="AR820" s="13" t="n"/>
      <c r="AS820" s="14" t="n"/>
      <c r="AT820" s="12" t="n"/>
      <c r="AU820" s="13" t="n"/>
      <c r="AV820" s="14" t="n"/>
      <c r="AW820" s="12" t="n"/>
      <c r="AX820" s="13" t="n"/>
      <c r="AY820" s="14" t="n"/>
      <c r="AZ820" s="12" t="n"/>
      <c r="BA820" s="13" t="n"/>
      <c r="BB820" s="14" t="n"/>
      <c r="BC820" s="11">
        <f>IF(O820="","",IF(J820="GST 10%",ROUND(O820*set_GSTRate,2),0))</f>
        <v/>
      </c>
      <c r="BD820" s="11">
        <f>IF(O820="","",O820+BC820)</f>
        <v/>
      </c>
      <c r="BE820" s="15">
        <f>IF(O820="","",COUNTA(S820,V820,Y820,AB820,AE820,AH820,AK820,AN820,AQ820,AT820,AW820,AZ820))</f>
        <v/>
      </c>
      <c r="BF820" s="16">
        <f>IF(COUNT(T820,W820,Z820,AC820,AF820,AI820,AL820,AO820,AR820,AU820,AX820,BA820)=0,"",MAX(T820,W820,Z820,AC820,AF820,AI820,AL820,AO820,AR820,AU820,AX820,BA820))</f>
        <v/>
      </c>
      <c r="BG820" s="10">
        <f>MID(IF(S820="","",", "&amp;S820)&amp;IF(V820="","",", "&amp;V820)&amp;IF(Y820="","",", "&amp;Y820)&amp;IF(AB820="","",", "&amp;AB820)&amp;IF(AE820="","",", "&amp;AE820)&amp;IF(AH820="","",", "&amp;AH820)&amp;IF(AK820="","",", "&amp;AK820)&amp;IF(AN820="","",", "&amp;AN820)&amp;IF(AQ820="","",", "&amp;AQ820)&amp;IF(AT820="","",", "&amp;AT820)&amp;IF(AW820="","",", "&amp;AW820)&amp;IF(AZ820="","",", "&amp;AZ820),3,500)</f>
        <v/>
      </c>
      <c r="BH820" s="12" t="n"/>
      <c r="BI820" s="15">
        <f>IFERROR(MATCH($A820,IF($B820="Onsite",tbl_Onsite[Row ID],IF($B820="Production",tbl_Production[Row ID],tbl_Consulting[Row ID])),0),"")</f>
        <v/>
      </c>
    </row>
    <row r="821">
      <c r="A821" s="10" t="inlineStr">
        <is>
          <t>PRD-0315</t>
        </is>
      </c>
      <c r="B821" s="10" t="inlineStr">
        <is>
          <t>Production</t>
        </is>
      </c>
      <c r="C821" s="10">
        <f>IF($BI821="","",IF($B821="Onsite",INDEX(tbl_Onsite[Job Number],$BI821),IF($B821="Production",INDEX(tbl_Production[Job Number],$BI821),INDEX(tbl_Consulting[Job Number],$BI821)))&amp;"")</f>
        <v/>
      </c>
      <c r="D821" s="10">
        <f>IF($BI821="","",IF($B821="Onsite",INDEX(tbl_Onsite[Client],$BI821),IF($B821="Production",INDEX(tbl_Production[Client],$BI821),INDEX(tbl_Consulting[Client],$BI821)))&amp;"")</f>
        <v/>
      </c>
      <c r="E821" s="10">
        <f>IF($C821="","",IF(COUNTIF(lst_Jobs,$C821)&gt;0,"OK","CHECK"))</f>
        <v/>
      </c>
      <c r="F821" s="10">
        <f>IF($C821="","",IFERROR(INDEX(lst_JobName,MATCH($C821,lst_Jobs,0)),""))</f>
        <v/>
      </c>
      <c r="G821" s="10">
        <f>IF($BI821="","",IF($B821="Onsite",INDEX(tbl_Onsite[Job Description],$BI821),IF($B821="Production",INDEX(tbl_Production[Job Description],$BI821),INDEX(tbl_Consulting[Job Description],$BI821)))&amp;"")</f>
        <v/>
      </c>
      <c r="H821" s="10">
        <f>IF($BI821="","",IF($B821="Onsite",INDEX(tbl_Onsite[Cost Centre],$BI821),IF($B821="Production",INDEX(tbl_Production[Cost Centre],$BI821),INDEX(tbl_Consulting[Cost Centre],$BI821)))&amp;"")</f>
        <v/>
      </c>
      <c r="I821" s="10">
        <f>IF($BI821="","",IF($B821="Onsite",INDEX(tbl_Onsite[Invoice Type],$BI821),IF($B821="Production",INDEX(tbl_Production[Invoice Type],$BI821),INDEX(tbl_Consulting[Invoice Type],$BI821)))&amp;"")</f>
        <v/>
      </c>
      <c r="J821" s="10">
        <f>IF($BI821="","",IF($B821="Onsite",INDEX(tbl_Onsite[Tax Code],$BI821),IF($B821="Production",INDEX(tbl_Production[Tax Code],$BI821),INDEX(tbl_Consulting[Tax Code],$BI821)))&amp;"")</f>
        <v/>
      </c>
      <c r="K821" s="10">
        <f>IF(H821="","",IFERROR(INDEX(lst_CCtoGL,MATCH(H821,lst_CCforGL,0)),""))</f>
        <v/>
      </c>
      <c r="L821" s="10">
        <f>IF($BI821="","",IF($B821="Onsite",INDEX(tbl_Onsite[PO / Reference],$BI821),IF($B821="Production",INDEX(tbl_Production[Current RMS No],$BI821),INDEX(tbl_Consulting[Qwilr Quote],$BI821)))&amp;"")</f>
        <v/>
      </c>
      <c r="M821" s="10">
        <f>IF($BI821="","",IF($B821="Onsite",INDEX(tbl_Onsite[Notes],$BI821),IF($B821="Production",INDEX(tbl_Production[Notes],$BI821),INDEX(tbl_Consulting[Notes],$BI821)))&amp;"")</f>
        <v/>
      </c>
      <c r="N821" s="11">
        <f>IF($BI821="","",IF(IF($B821="Onsite",INDEX(tbl_Onsite[Expected Revenue Ex GST],$BI821),IF($B821="Production",INDEX(tbl_Production[Expected Revenue Ex GST],$BI821),INDEX(tbl_Consulting[Expected Revenue Ex GST],$BI821)))="","",IF($B821="Onsite",INDEX(tbl_Onsite[Expected Revenue Ex GST],$BI821),IF($B821="Production",INDEX(tbl_Production[Expected Revenue Ex GST],$BI821),INDEX(tbl_Consulting[Expected Revenue Ex GST],$BI821)))))</f>
        <v/>
      </c>
      <c r="O821" s="11">
        <f>IF(AND($C821="",NOT(COUNTA($S821:$BB821)&gt;0)),"",SUM(U821,X821,AA821,AD821,AG821,AJ821,AM821,AP821,AS821,AV821,AY821,BB821))</f>
        <v/>
      </c>
      <c r="P821" s="11">
        <f>IF(O821="","",N(N821)-O821)</f>
        <v/>
      </c>
      <c r="Q821" s="10">
        <f>IF(O821="","",IF($C821="","Invoice on empty job row",IF(N821="",IF(ROUND(O821,2)=0,"No dept value","Invoiced - no dept value"),IF(ROUND(O821,2)=0,"Not invoiced - to invoice",IF(ROUND(P821,2)=0,"Agrees",IF(P821&gt;0,"Dept higher - to invoice","Xero higher - check dept"))))))</f>
        <v/>
      </c>
      <c r="R821" s="10">
        <f>IF(AND($C821="",NOT(COUNTA($S821:$BB821)&gt;0),$BI821&lt;&gt;""),"",MID(IF($BI821="","; Row ID not found on the department sheet - a row was deleted","")&amp;IF(AND($C821="",COUNTA($S821:$BB821)&gt;0),"; Invoice entered but the department row has no job number","")&amp;IF(E821="CHECK","; Job number not in the Xero job list","")&amp;IF(AND($C821&lt;&gt;"",COUNTIF($C$7:$C$1506,$C821)&gt;1),"; Job number on more than one row","")&amp;IF(AND($C821&lt;&gt;"",H821=""),"; Dept has not set a cost centre","")&amp;IF(AND($C821&lt;&gt;"",J821=""),"; Dept has not set a tax code","")&amp;IF(AND($C821&lt;&gt;"",N821=""),"; Dept has not entered an expected value","")&amp;IF((IF(OR(COUNTA(S821:U821)=0,AND(COUNTA(S821:U821)=3,ISNUMBER(U821))),0,1)+IF(OR(COUNTA(V821:X821)=0,AND(COUNTA(V821:X821)=3,ISNUMBER(X821))),0,1)+IF(OR(COUNTA(Y821:AA821)=0,AND(COUNTA(Y821:AA821)=3,ISNUMBER(AA821))),0,1)+IF(OR(COUNTA(AB821:AD821)=0,AND(COUNTA(AB821:AD821)=3,ISNUMBER(AD821))),0,1)+IF(OR(COUNTA(AE821:AG821)=0,AND(COUNTA(AE821:AG821)=3,ISNUMBER(AG821))),0,1)+IF(OR(COUNTA(AH821:AJ821)=0,AND(COUNTA(AH821:AJ821)=3,ISNUMBER(AJ821))),0,1)+IF(OR(COUNTA(AK821:AM821)=0,AND(COUNTA(AK821:AM821)=3,ISNUMBER(AM821))),0,1)+IF(OR(COUNTA(AN821:AP821)=0,AND(COUNTA(AN821:AP821)=3,ISNUMBER(AP821))),0,1)+IF(OR(COUNTA(AQ821:AS821)=0,AND(COUNTA(AQ821:AS821)=3,ISNUMBER(AS821))),0,1)+IF(OR(COUNTA(AT821:AV821)=0,AND(COUNTA(AT821:AV821)=3,ISNUMBER(AV821))),0,1)+IF(OR(COUNTA(AW821:AY821)=0,AND(COUNTA(AW821:AY821)=3,ISNUMBER(AY821))),0,1)+IF(OR(COUNTA(AZ821:BB821)=0,AND(COUNTA(AZ821:BB821)=3,ISNUMBER(BB821))),0,1))&gt;0,"; An invoice is incomplete (needs No, Date and a number in Ex GST)","")&amp;IF((IF(T821="",0,IFERROR(--(EOMONTH(T821,0)&lt;&gt;S$5),1))+IF(W821="",0,IFERROR(--(EOMONTH(W821,0)&lt;&gt;V$5),1))+IF(Z821="",0,IFERROR(--(EOMONTH(Z821,0)&lt;&gt;Y$5),1))+IF(AC821="",0,IFERROR(--(EOMONTH(AC821,0)&lt;&gt;AB$5),1))+IF(AF821="",0,IFERROR(--(EOMONTH(AF821,0)&lt;&gt;AE$5),1))+IF(AI821="",0,IFERROR(--(EOMONTH(AI821,0)&lt;&gt;AH$5),1))+IF(AL821="",0,IFERROR(--(EOMONTH(AL821,0)&lt;&gt;AK$5),1))+IF(AO821="",0,IFERROR(--(EOMONTH(AO821,0)&lt;&gt;AN$5),1))+IF(AR821="",0,IFERROR(--(EOMONTH(AR821,0)&lt;&gt;AQ$5),1))+IF(AU821="",0,IFERROR(--(EOMONTH(AU821,0)&lt;&gt;AT$5),1))+IF(AX821="",0,IFERROR(--(EOMONTH(AX821,0)&lt;&gt;AW$5),1))+IF(BA821="",0,IFERROR(--(EOMONTH(BA821,0)&lt;&gt;AZ$5),1)))&gt;0,"; An invoice date is not in the month it is typed under",""),3,500))</f>
        <v/>
      </c>
      <c r="S821" s="12" t="n"/>
      <c r="T821" s="13" t="n"/>
      <c r="U821" s="14" t="n"/>
      <c r="V821" s="12" t="n"/>
      <c r="W821" s="13" t="n"/>
      <c r="X821" s="14" t="n"/>
      <c r="Y821" s="12" t="n"/>
      <c r="Z821" s="13" t="n"/>
      <c r="AA821" s="14" t="n"/>
      <c r="AB821" s="12" t="n"/>
      <c r="AC821" s="13" t="n"/>
      <c r="AD821" s="14" t="n"/>
      <c r="AE821" s="12" t="n"/>
      <c r="AF821" s="13" t="n"/>
      <c r="AG821" s="14" t="n"/>
      <c r="AH821" s="12" t="n"/>
      <c r="AI821" s="13" t="n"/>
      <c r="AJ821" s="14" t="n"/>
      <c r="AK821" s="12" t="n"/>
      <c r="AL821" s="13" t="n"/>
      <c r="AM821" s="14" t="n"/>
      <c r="AN821" s="12" t="n"/>
      <c r="AO821" s="13" t="n"/>
      <c r="AP821" s="14" t="n"/>
      <c r="AQ821" s="12" t="n"/>
      <c r="AR821" s="13" t="n"/>
      <c r="AS821" s="14" t="n"/>
      <c r="AT821" s="12" t="n"/>
      <c r="AU821" s="13" t="n"/>
      <c r="AV821" s="14" t="n"/>
      <c r="AW821" s="12" t="n"/>
      <c r="AX821" s="13" t="n"/>
      <c r="AY821" s="14" t="n"/>
      <c r="AZ821" s="12" t="n"/>
      <c r="BA821" s="13" t="n"/>
      <c r="BB821" s="14" t="n"/>
      <c r="BC821" s="11">
        <f>IF(O821="","",IF(J821="GST 10%",ROUND(O821*set_GSTRate,2),0))</f>
        <v/>
      </c>
      <c r="BD821" s="11">
        <f>IF(O821="","",O821+BC821)</f>
        <v/>
      </c>
      <c r="BE821" s="15">
        <f>IF(O821="","",COUNTA(S821,V821,Y821,AB821,AE821,AH821,AK821,AN821,AQ821,AT821,AW821,AZ821))</f>
        <v/>
      </c>
      <c r="BF821" s="16">
        <f>IF(COUNT(T821,W821,Z821,AC821,AF821,AI821,AL821,AO821,AR821,AU821,AX821,BA821)=0,"",MAX(T821,W821,Z821,AC821,AF821,AI821,AL821,AO821,AR821,AU821,AX821,BA821))</f>
        <v/>
      </c>
      <c r="BG821" s="10">
        <f>MID(IF(S821="","",", "&amp;S821)&amp;IF(V821="","",", "&amp;V821)&amp;IF(Y821="","",", "&amp;Y821)&amp;IF(AB821="","",", "&amp;AB821)&amp;IF(AE821="","",", "&amp;AE821)&amp;IF(AH821="","",", "&amp;AH821)&amp;IF(AK821="","",", "&amp;AK821)&amp;IF(AN821="","",", "&amp;AN821)&amp;IF(AQ821="","",", "&amp;AQ821)&amp;IF(AT821="","",", "&amp;AT821)&amp;IF(AW821="","",", "&amp;AW821)&amp;IF(AZ821="","",", "&amp;AZ821),3,500)</f>
        <v/>
      </c>
      <c r="BH821" s="12" t="n"/>
      <c r="BI821" s="15">
        <f>IFERROR(MATCH($A821,IF($B821="Onsite",tbl_Onsite[Row ID],IF($B821="Production",tbl_Production[Row ID],tbl_Consulting[Row ID])),0),"")</f>
        <v/>
      </c>
    </row>
    <row r="822">
      <c r="A822" s="10" t="inlineStr">
        <is>
          <t>PRD-0316</t>
        </is>
      </c>
      <c r="B822" s="10" t="inlineStr">
        <is>
          <t>Production</t>
        </is>
      </c>
      <c r="C822" s="10">
        <f>IF($BI822="","",IF($B822="Onsite",INDEX(tbl_Onsite[Job Number],$BI822),IF($B822="Production",INDEX(tbl_Production[Job Number],$BI822),INDEX(tbl_Consulting[Job Number],$BI822)))&amp;"")</f>
        <v/>
      </c>
      <c r="D822" s="10">
        <f>IF($BI822="","",IF($B822="Onsite",INDEX(tbl_Onsite[Client],$BI822),IF($B822="Production",INDEX(tbl_Production[Client],$BI822),INDEX(tbl_Consulting[Client],$BI822)))&amp;"")</f>
        <v/>
      </c>
      <c r="E822" s="10">
        <f>IF($C822="","",IF(COUNTIF(lst_Jobs,$C822)&gt;0,"OK","CHECK"))</f>
        <v/>
      </c>
      <c r="F822" s="10">
        <f>IF($C822="","",IFERROR(INDEX(lst_JobName,MATCH($C822,lst_Jobs,0)),""))</f>
        <v/>
      </c>
      <c r="G822" s="10">
        <f>IF($BI822="","",IF($B822="Onsite",INDEX(tbl_Onsite[Job Description],$BI822),IF($B822="Production",INDEX(tbl_Production[Job Description],$BI822),INDEX(tbl_Consulting[Job Description],$BI822)))&amp;"")</f>
        <v/>
      </c>
      <c r="H822" s="10">
        <f>IF($BI822="","",IF($B822="Onsite",INDEX(tbl_Onsite[Cost Centre],$BI822),IF($B822="Production",INDEX(tbl_Production[Cost Centre],$BI822),INDEX(tbl_Consulting[Cost Centre],$BI822)))&amp;"")</f>
        <v/>
      </c>
      <c r="I822" s="10">
        <f>IF($BI822="","",IF($B822="Onsite",INDEX(tbl_Onsite[Invoice Type],$BI822),IF($B822="Production",INDEX(tbl_Production[Invoice Type],$BI822),INDEX(tbl_Consulting[Invoice Type],$BI822)))&amp;"")</f>
        <v/>
      </c>
      <c r="J822" s="10">
        <f>IF($BI822="","",IF($B822="Onsite",INDEX(tbl_Onsite[Tax Code],$BI822),IF($B822="Production",INDEX(tbl_Production[Tax Code],$BI822),INDEX(tbl_Consulting[Tax Code],$BI822)))&amp;"")</f>
        <v/>
      </c>
      <c r="K822" s="10">
        <f>IF(H822="","",IFERROR(INDEX(lst_CCtoGL,MATCH(H822,lst_CCforGL,0)),""))</f>
        <v/>
      </c>
      <c r="L822" s="10">
        <f>IF($BI822="","",IF($B822="Onsite",INDEX(tbl_Onsite[PO / Reference],$BI822),IF($B822="Production",INDEX(tbl_Production[Current RMS No],$BI822),INDEX(tbl_Consulting[Qwilr Quote],$BI822)))&amp;"")</f>
        <v/>
      </c>
      <c r="M822" s="10">
        <f>IF($BI822="","",IF($B822="Onsite",INDEX(tbl_Onsite[Notes],$BI822),IF($B822="Production",INDEX(tbl_Production[Notes],$BI822),INDEX(tbl_Consulting[Notes],$BI822)))&amp;"")</f>
        <v/>
      </c>
      <c r="N822" s="11">
        <f>IF($BI822="","",IF(IF($B822="Onsite",INDEX(tbl_Onsite[Expected Revenue Ex GST],$BI822),IF($B822="Production",INDEX(tbl_Production[Expected Revenue Ex GST],$BI822),INDEX(tbl_Consulting[Expected Revenue Ex GST],$BI822)))="","",IF($B822="Onsite",INDEX(tbl_Onsite[Expected Revenue Ex GST],$BI822),IF($B822="Production",INDEX(tbl_Production[Expected Revenue Ex GST],$BI822),INDEX(tbl_Consulting[Expected Revenue Ex GST],$BI822)))))</f>
        <v/>
      </c>
      <c r="O822" s="11">
        <f>IF(AND($C822="",NOT(COUNTA($S822:$BB822)&gt;0)),"",SUM(U822,X822,AA822,AD822,AG822,AJ822,AM822,AP822,AS822,AV822,AY822,BB822))</f>
        <v/>
      </c>
      <c r="P822" s="11">
        <f>IF(O822="","",N(N822)-O822)</f>
        <v/>
      </c>
      <c r="Q822" s="10">
        <f>IF(O822="","",IF($C822="","Invoice on empty job row",IF(N822="",IF(ROUND(O822,2)=0,"No dept value","Invoiced - no dept value"),IF(ROUND(O822,2)=0,"Not invoiced - to invoice",IF(ROUND(P822,2)=0,"Agrees",IF(P822&gt;0,"Dept higher - to invoice","Xero higher - check dept"))))))</f>
        <v/>
      </c>
      <c r="R822" s="10">
        <f>IF(AND($C822="",NOT(COUNTA($S822:$BB822)&gt;0),$BI822&lt;&gt;""),"",MID(IF($BI822="","; Row ID not found on the department sheet - a row was deleted","")&amp;IF(AND($C822="",COUNTA($S822:$BB822)&gt;0),"; Invoice entered but the department row has no job number","")&amp;IF(E822="CHECK","; Job number not in the Xero job list","")&amp;IF(AND($C822&lt;&gt;"",COUNTIF($C$7:$C$1506,$C822)&gt;1),"; Job number on more than one row","")&amp;IF(AND($C822&lt;&gt;"",H822=""),"; Dept has not set a cost centre","")&amp;IF(AND($C822&lt;&gt;"",J822=""),"; Dept has not set a tax code","")&amp;IF(AND($C822&lt;&gt;"",N822=""),"; Dept has not entered an expected value","")&amp;IF((IF(OR(COUNTA(S822:U822)=0,AND(COUNTA(S822:U822)=3,ISNUMBER(U822))),0,1)+IF(OR(COUNTA(V822:X822)=0,AND(COUNTA(V822:X822)=3,ISNUMBER(X822))),0,1)+IF(OR(COUNTA(Y822:AA822)=0,AND(COUNTA(Y822:AA822)=3,ISNUMBER(AA822))),0,1)+IF(OR(COUNTA(AB822:AD822)=0,AND(COUNTA(AB822:AD822)=3,ISNUMBER(AD822))),0,1)+IF(OR(COUNTA(AE822:AG822)=0,AND(COUNTA(AE822:AG822)=3,ISNUMBER(AG822))),0,1)+IF(OR(COUNTA(AH822:AJ822)=0,AND(COUNTA(AH822:AJ822)=3,ISNUMBER(AJ822))),0,1)+IF(OR(COUNTA(AK822:AM822)=0,AND(COUNTA(AK822:AM822)=3,ISNUMBER(AM822))),0,1)+IF(OR(COUNTA(AN822:AP822)=0,AND(COUNTA(AN822:AP822)=3,ISNUMBER(AP822))),0,1)+IF(OR(COUNTA(AQ822:AS822)=0,AND(COUNTA(AQ822:AS822)=3,ISNUMBER(AS822))),0,1)+IF(OR(COUNTA(AT822:AV822)=0,AND(COUNTA(AT822:AV822)=3,ISNUMBER(AV822))),0,1)+IF(OR(COUNTA(AW822:AY822)=0,AND(COUNTA(AW822:AY822)=3,ISNUMBER(AY822))),0,1)+IF(OR(COUNTA(AZ822:BB822)=0,AND(COUNTA(AZ822:BB822)=3,ISNUMBER(BB822))),0,1))&gt;0,"; An invoice is incomplete (needs No, Date and a number in Ex GST)","")&amp;IF((IF(T822="",0,IFERROR(--(EOMONTH(T822,0)&lt;&gt;S$5),1))+IF(W822="",0,IFERROR(--(EOMONTH(W822,0)&lt;&gt;V$5),1))+IF(Z822="",0,IFERROR(--(EOMONTH(Z822,0)&lt;&gt;Y$5),1))+IF(AC822="",0,IFERROR(--(EOMONTH(AC822,0)&lt;&gt;AB$5),1))+IF(AF822="",0,IFERROR(--(EOMONTH(AF822,0)&lt;&gt;AE$5),1))+IF(AI822="",0,IFERROR(--(EOMONTH(AI822,0)&lt;&gt;AH$5),1))+IF(AL822="",0,IFERROR(--(EOMONTH(AL822,0)&lt;&gt;AK$5),1))+IF(AO822="",0,IFERROR(--(EOMONTH(AO822,0)&lt;&gt;AN$5),1))+IF(AR822="",0,IFERROR(--(EOMONTH(AR822,0)&lt;&gt;AQ$5),1))+IF(AU822="",0,IFERROR(--(EOMONTH(AU822,0)&lt;&gt;AT$5),1))+IF(AX822="",0,IFERROR(--(EOMONTH(AX822,0)&lt;&gt;AW$5),1))+IF(BA822="",0,IFERROR(--(EOMONTH(BA822,0)&lt;&gt;AZ$5),1)))&gt;0,"; An invoice date is not in the month it is typed under",""),3,500))</f>
        <v/>
      </c>
      <c r="S822" s="12" t="n"/>
      <c r="T822" s="13" t="n"/>
      <c r="U822" s="14" t="n"/>
      <c r="V822" s="12" t="n"/>
      <c r="W822" s="13" t="n"/>
      <c r="X822" s="14" t="n"/>
      <c r="Y822" s="12" t="n"/>
      <c r="Z822" s="13" t="n"/>
      <c r="AA822" s="14" t="n"/>
      <c r="AB822" s="12" t="n"/>
      <c r="AC822" s="13" t="n"/>
      <c r="AD822" s="14" t="n"/>
      <c r="AE822" s="12" t="n"/>
      <c r="AF822" s="13" t="n"/>
      <c r="AG822" s="14" t="n"/>
      <c r="AH822" s="12" t="n"/>
      <c r="AI822" s="13" t="n"/>
      <c r="AJ822" s="14" t="n"/>
      <c r="AK822" s="12" t="n"/>
      <c r="AL822" s="13" t="n"/>
      <c r="AM822" s="14" t="n"/>
      <c r="AN822" s="12" t="n"/>
      <c r="AO822" s="13" t="n"/>
      <c r="AP822" s="14" t="n"/>
      <c r="AQ822" s="12" t="n"/>
      <c r="AR822" s="13" t="n"/>
      <c r="AS822" s="14" t="n"/>
      <c r="AT822" s="12" t="n"/>
      <c r="AU822" s="13" t="n"/>
      <c r="AV822" s="14" t="n"/>
      <c r="AW822" s="12" t="n"/>
      <c r="AX822" s="13" t="n"/>
      <c r="AY822" s="14" t="n"/>
      <c r="AZ822" s="12" t="n"/>
      <c r="BA822" s="13" t="n"/>
      <c r="BB822" s="14" t="n"/>
      <c r="BC822" s="11">
        <f>IF(O822="","",IF(J822="GST 10%",ROUND(O822*set_GSTRate,2),0))</f>
        <v/>
      </c>
      <c r="BD822" s="11">
        <f>IF(O822="","",O822+BC822)</f>
        <v/>
      </c>
      <c r="BE822" s="15">
        <f>IF(O822="","",COUNTA(S822,V822,Y822,AB822,AE822,AH822,AK822,AN822,AQ822,AT822,AW822,AZ822))</f>
        <v/>
      </c>
      <c r="BF822" s="16">
        <f>IF(COUNT(T822,W822,Z822,AC822,AF822,AI822,AL822,AO822,AR822,AU822,AX822,BA822)=0,"",MAX(T822,W822,Z822,AC822,AF822,AI822,AL822,AO822,AR822,AU822,AX822,BA822))</f>
        <v/>
      </c>
      <c r="BG822" s="10">
        <f>MID(IF(S822="","",", "&amp;S822)&amp;IF(V822="","",", "&amp;V822)&amp;IF(Y822="","",", "&amp;Y822)&amp;IF(AB822="","",", "&amp;AB822)&amp;IF(AE822="","",", "&amp;AE822)&amp;IF(AH822="","",", "&amp;AH822)&amp;IF(AK822="","",", "&amp;AK822)&amp;IF(AN822="","",", "&amp;AN822)&amp;IF(AQ822="","",", "&amp;AQ822)&amp;IF(AT822="","",", "&amp;AT822)&amp;IF(AW822="","",", "&amp;AW822)&amp;IF(AZ822="","",", "&amp;AZ822),3,500)</f>
        <v/>
      </c>
      <c r="BH822" s="12" t="n"/>
      <c r="BI822" s="15">
        <f>IFERROR(MATCH($A822,IF($B822="Onsite",tbl_Onsite[Row ID],IF($B822="Production",tbl_Production[Row ID],tbl_Consulting[Row ID])),0),"")</f>
        <v/>
      </c>
    </row>
    <row r="823">
      <c r="A823" s="10" t="inlineStr">
        <is>
          <t>PRD-0317</t>
        </is>
      </c>
      <c r="B823" s="10" t="inlineStr">
        <is>
          <t>Production</t>
        </is>
      </c>
      <c r="C823" s="10">
        <f>IF($BI823="","",IF($B823="Onsite",INDEX(tbl_Onsite[Job Number],$BI823),IF($B823="Production",INDEX(tbl_Production[Job Number],$BI823),INDEX(tbl_Consulting[Job Number],$BI823)))&amp;"")</f>
        <v/>
      </c>
      <c r="D823" s="10">
        <f>IF($BI823="","",IF($B823="Onsite",INDEX(tbl_Onsite[Client],$BI823),IF($B823="Production",INDEX(tbl_Production[Client],$BI823),INDEX(tbl_Consulting[Client],$BI823)))&amp;"")</f>
        <v/>
      </c>
      <c r="E823" s="10">
        <f>IF($C823="","",IF(COUNTIF(lst_Jobs,$C823)&gt;0,"OK","CHECK"))</f>
        <v/>
      </c>
      <c r="F823" s="10">
        <f>IF($C823="","",IFERROR(INDEX(lst_JobName,MATCH($C823,lst_Jobs,0)),""))</f>
        <v/>
      </c>
      <c r="G823" s="10">
        <f>IF($BI823="","",IF($B823="Onsite",INDEX(tbl_Onsite[Job Description],$BI823),IF($B823="Production",INDEX(tbl_Production[Job Description],$BI823),INDEX(tbl_Consulting[Job Description],$BI823)))&amp;"")</f>
        <v/>
      </c>
      <c r="H823" s="10">
        <f>IF($BI823="","",IF($B823="Onsite",INDEX(tbl_Onsite[Cost Centre],$BI823),IF($B823="Production",INDEX(tbl_Production[Cost Centre],$BI823),INDEX(tbl_Consulting[Cost Centre],$BI823)))&amp;"")</f>
        <v/>
      </c>
      <c r="I823" s="10">
        <f>IF($BI823="","",IF($B823="Onsite",INDEX(tbl_Onsite[Invoice Type],$BI823),IF($B823="Production",INDEX(tbl_Production[Invoice Type],$BI823),INDEX(tbl_Consulting[Invoice Type],$BI823)))&amp;"")</f>
        <v/>
      </c>
      <c r="J823" s="10">
        <f>IF($BI823="","",IF($B823="Onsite",INDEX(tbl_Onsite[Tax Code],$BI823),IF($B823="Production",INDEX(tbl_Production[Tax Code],$BI823),INDEX(tbl_Consulting[Tax Code],$BI823)))&amp;"")</f>
        <v/>
      </c>
      <c r="K823" s="10">
        <f>IF(H823="","",IFERROR(INDEX(lst_CCtoGL,MATCH(H823,lst_CCforGL,0)),""))</f>
        <v/>
      </c>
      <c r="L823" s="10">
        <f>IF($BI823="","",IF($B823="Onsite",INDEX(tbl_Onsite[PO / Reference],$BI823),IF($B823="Production",INDEX(tbl_Production[Current RMS No],$BI823),INDEX(tbl_Consulting[Qwilr Quote],$BI823)))&amp;"")</f>
        <v/>
      </c>
      <c r="M823" s="10">
        <f>IF($BI823="","",IF($B823="Onsite",INDEX(tbl_Onsite[Notes],$BI823),IF($B823="Production",INDEX(tbl_Production[Notes],$BI823),INDEX(tbl_Consulting[Notes],$BI823)))&amp;"")</f>
        <v/>
      </c>
      <c r="N823" s="11">
        <f>IF($BI823="","",IF(IF($B823="Onsite",INDEX(tbl_Onsite[Expected Revenue Ex GST],$BI823),IF($B823="Production",INDEX(tbl_Production[Expected Revenue Ex GST],$BI823),INDEX(tbl_Consulting[Expected Revenue Ex GST],$BI823)))="","",IF($B823="Onsite",INDEX(tbl_Onsite[Expected Revenue Ex GST],$BI823),IF($B823="Production",INDEX(tbl_Production[Expected Revenue Ex GST],$BI823),INDEX(tbl_Consulting[Expected Revenue Ex GST],$BI823)))))</f>
        <v/>
      </c>
      <c r="O823" s="11">
        <f>IF(AND($C823="",NOT(COUNTA($S823:$BB823)&gt;0)),"",SUM(U823,X823,AA823,AD823,AG823,AJ823,AM823,AP823,AS823,AV823,AY823,BB823))</f>
        <v/>
      </c>
      <c r="P823" s="11">
        <f>IF(O823="","",N(N823)-O823)</f>
        <v/>
      </c>
      <c r="Q823" s="10">
        <f>IF(O823="","",IF($C823="","Invoice on empty job row",IF(N823="",IF(ROUND(O823,2)=0,"No dept value","Invoiced - no dept value"),IF(ROUND(O823,2)=0,"Not invoiced - to invoice",IF(ROUND(P823,2)=0,"Agrees",IF(P823&gt;0,"Dept higher - to invoice","Xero higher - check dept"))))))</f>
        <v/>
      </c>
      <c r="R823" s="10">
        <f>IF(AND($C823="",NOT(COUNTA($S823:$BB823)&gt;0),$BI823&lt;&gt;""),"",MID(IF($BI823="","; Row ID not found on the department sheet - a row was deleted","")&amp;IF(AND($C823="",COUNTA($S823:$BB823)&gt;0),"; Invoice entered but the department row has no job number","")&amp;IF(E823="CHECK","; Job number not in the Xero job list","")&amp;IF(AND($C823&lt;&gt;"",COUNTIF($C$7:$C$1506,$C823)&gt;1),"; Job number on more than one row","")&amp;IF(AND($C823&lt;&gt;"",H823=""),"; Dept has not set a cost centre","")&amp;IF(AND($C823&lt;&gt;"",J823=""),"; Dept has not set a tax code","")&amp;IF(AND($C823&lt;&gt;"",N823=""),"; Dept has not entered an expected value","")&amp;IF((IF(OR(COUNTA(S823:U823)=0,AND(COUNTA(S823:U823)=3,ISNUMBER(U823))),0,1)+IF(OR(COUNTA(V823:X823)=0,AND(COUNTA(V823:X823)=3,ISNUMBER(X823))),0,1)+IF(OR(COUNTA(Y823:AA823)=0,AND(COUNTA(Y823:AA823)=3,ISNUMBER(AA823))),0,1)+IF(OR(COUNTA(AB823:AD823)=0,AND(COUNTA(AB823:AD823)=3,ISNUMBER(AD823))),0,1)+IF(OR(COUNTA(AE823:AG823)=0,AND(COUNTA(AE823:AG823)=3,ISNUMBER(AG823))),0,1)+IF(OR(COUNTA(AH823:AJ823)=0,AND(COUNTA(AH823:AJ823)=3,ISNUMBER(AJ823))),0,1)+IF(OR(COUNTA(AK823:AM823)=0,AND(COUNTA(AK823:AM823)=3,ISNUMBER(AM823))),0,1)+IF(OR(COUNTA(AN823:AP823)=0,AND(COUNTA(AN823:AP823)=3,ISNUMBER(AP823))),0,1)+IF(OR(COUNTA(AQ823:AS823)=0,AND(COUNTA(AQ823:AS823)=3,ISNUMBER(AS823))),0,1)+IF(OR(COUNTA(AT823:AV823)=0,AND(COUNTA(AT823:AV823)=3,ISNUMBER(AV823))),0,1)+IF(OR(COUNTA(AW823:AY823)=0,AND(COUNTA(AW823:AY823)=3,ISNUMBER(AY823))),0,1)+IF(OR(COUNTA(AZ823:BB823)=0,AND(COUNTA(AZ823:BB823)=3,ISNUMBER(BB823))),0,1))&gt;0,"; An invoice is incomplete (needs No, Date and a number in Ex GST)","")&amp;IF((IF(T823="",0,IFERROR(--(EOMONTH(T823,0)&lt;&gt;S$5),1))+IF(W823="",0,IFERROR(--(EOMONTH(W823,0)&lt;&gt;V$5),1))+IF(Z823="",0,IFERROR(--(EOMONTH(Z823,0)&lt;&gt;Y$5),1))+IF(AC823="",0,IFERROR(--(EOMONTH(AC823,0)&lt;&gt;AB$5),1))+IF(AF823="",0,IFERROR(--(EOMONTH(AF823,0)&lt;&gt;AE$5),1))+IF(AI823="",0,IFERROR(--(EOMONTH(AI823,0)&lt;&gt;AH$5),1))+IF(AL823="",0,IFERROR(--(EOMONTH(AL823,0)&lt;&gt;AK$5),1))+IF(AO823="",0,IFERROR(--(EOMONTH(AO823,0)&lt;&gt;AN$5),1))+IF(AR823="",0,IFERROR(--(EOMONTH(AR823,0)&lt;&gt;AQ$5),1))+IF(AU823="",0,IFERROR(--(EOMONTH(AU823,0)&lt;&gt;AT$5),1))+IF(AX823="",0,IFERROR(--(EOMONTH(AX823,0)&lt;&gt;AW$5),1))+IF(BA823="",0,IFERROR(--(EOMONTH(BA823,0)&lt;&gt;AZ$5),1)))&gt;0,"; An invoice date is not in the month it is typed under",""),3,500))</f>
        <v/>
      </c>
      <c r="S823" s="12" t="n"/>
      <c r="T823" s="13" t="n"/>
      <c r="U823" s="14" t="n"/>
      <c r="V823" s="12" t="n"/>
      <c r="W823" s="13" t="n"/>
      <c r="X823" s="14" t="n"/>
      <c r="Y823" s="12" t="n"/>
      <c r="Z823" s="13" t="n"/>
      <c r="AA823" s="14" t="n"/>
      <c r="AB823" s="12" t="n"/>
      <c r="AC823" s="13" t="n"/>
      <c r="AD823" s="14" t="n"/>
      <c r="AE823" s="12" t="n"/>
      <c r="AF823" s="13" t="n"/>
      <c r="AG823" s="14" t="n"/>
      <c r="AH823" s="12" t="n"/>
      <c r="AI823" s="13" t="n"/>
      <c r="AJ823" s="14" t="n"/>
      <c r="AK823" s="12" t="n"/>
      <c r="AL823" s="13" t="n"/>
      <c r="AM823" s="14" t="n"/>
      <c r="AN823" s="12" t="n"/>
      <c r="AO823" s="13" t="n"/>
      <c r="AP823" s="14" t="n"/>
      <c r="AQ823" s="12" t="n"/>
      <c r="AR823" s="13" t="n"/>
      <c r="AS823" s="14" t="n"/>
      <c r="AT823" s="12" t="n"/>
      <c r="AU823" s="13" t="n"/>
      <c r="AV823" s="14" t="n"/>
      <c r="AW823" s="12" t="n"/>
      <c r="AX823" s="13" t="n"/>
      <c r="AY823" s="14" t="n"/>
      <c r="AZ823" s="12" t="n"/>
      <c r="BA823" s="13" t="n"/>
      <c r="BB823" s="14" t="n"/>
      <c r="BC823" s="11">
        <f>IF(O823="","",IF(J823="GST 10%",ROUND(O823*set_GSTRate,2),0))</f>
        <v/>
      </c>
      <c r="BD823" s="11">
        <f>IF(O823="","",O823+BC823)</f>
        <v/>
      </c>
      <c r="BE823" s="15">
        <f>IF(O823="","",COUNTA(S823,V823,Y823,AB823,AE823,AH823,AK823,AN823,AQ823,AT823,AW823,AZ823))</f>
        <v/>
      </c>
      <c r="BF823" s="16">
        <f>IF(COUNT(T823,W823,Z823,AC823,AF823,AI823,AL823,AO823,AR823,AU823,AX823,BA823)=0,"",MAX(T823,W823,Z823,AC823,AF823,AI823,AL823,AO823,AR823,AU823,AX823,BA823))</f>
        <v/>
      </c>
      <c r="BG823" s="10">
        <f>MID(IF(S823="","",", "&amp;S823)&amp;IF(V823="","",", "&amp;V823)&amp;IF(Y823="","",", "&amp;Y823)&amp;IF(AB823="","",", "&amp;AB823)&amp;IF(AE823="","",", "&amp;AE823)&amp;IF(AH823="","",", "&amp;AH823)&amp;IF(AK823="","",", "&amp;AK823)&amp;IF(AN823="","",", "&amp;AN823)&amp;IF(AQ823="","",", "&amp;AQ823)&amp;IF(AT823="","",", "&amp;AT823)&amp;IF(AW823="","",", "&amp;AW823)&amp;IF(AZ823="","",", "&amp;AZ823),3,500)</f>
        <v/>
      </c>
      <c r="BH823" s="12" t="n"/>
      <c r="BI823" s="15">
        <f>IFERROR(MATCH($A823,IF($B823="Onsite",tbl_Onsite[Row ID],IF($B823="Production",tbl_Production[Row ID],tbl_Consulting[Row ID])),0),"")</f>
        <v/>
      </c>
    </row>
    <row r="824">
      <c r="A824" s="10" t="inlineStr">
        <is>
          <t>PRD-0318</t>
        </is>
      </c>
      <c r="B824" s="10" t="inlineStr">
        <is>
          <t>Production</t>
        </is>
      </c>
      <c r="C824" s="10">
        <f>IF($BI824="","",IF($B824="Onsite",INDEX(tbl_Onsite[Job Number],$BI824),IF($B824="Production",INDEX(tbl_Production[Job Number],$BI824),INDEX(tbl_Consulting[Job Number],$BI824)))&amp;"")</f>
        <v/>
      </c>
      <c r="D824" s="10">
        <f>IF($BI824="","",IF($B824="Onsite",INDEX(tbl_Onsite[Client],$BI824),IF($B824="Production",INDEX(tbl_Production[Client],$BI824),INDEX(tbl_Consulting[Client],$BI824)))&amp;"")</f>
        <v/>
      </c>
      <c r="E824" s="10">
        <f>IF($C824="","",IF(COUNTIF(lst_Jobs,$C824)&gt;0,"OK","CHECK"))</f>
        <v/>
      </c>
      <c r="F824" s="10">
        <f>IF($C824="","",IFERROR(INDEX(lst_JobName,MATCH($C824,lst_Jobs,0)),""))</f>
        <v/>
      </c>
      <c r="G824" s="10">
        <f>IF($BI824="","",IF($B824="Onsite",INDEX(tbl_Onsite[Job Description],$BI824),IF($B824="Production",INDEX(tbl_Production[Job Description],$BI824),INDEX(tbl_Consulting[Job Description],$BI824)))&amp;"")</f>
        <v/>
      </c>
      <c r="H824" s="10">
        <f>IF($BI824="","",IF($B824="Onsite",INDEX(tbl_Onsite[Cost Centre],$BI824),IF($B824="Production",INDEX(tbl_Production[Cost Centre],$BI824),INDEX(tbl_Consulting[Cost Centre],$BI824)))&amp;"")</f>
        <v/>
      </c>
      <c r="I824" s="10">
        <f>IF($BI824="","",IF($B824="Onsite",INDEX(tbl_Onsite[Invoice Type],$BI824),IF($B824="Production",INDEX(tbl_Production[Invoice Type],$BI824),INDEX(tbl_Consulting[Invoice Type],$BI824)))&amp;"")</f>
        <v/>
      </c>
      <c r="J824" s="10">
        <f>IF($BI824="","",IF($B824="Onsite",INDEX(tbl_Onsite[Tax Code],$BI824),IF($B824="Production",INDEX(tbl_Production[Tax Code],$BI824),INDEX(tbl_Consulting[Tax Code],$BI824)))&amp;"")</f>
        <v/>
      </c>
      <c r="K824" s="10">
        <f>IF(H824="","",IFERROR(INDEX(lst_CCtoGL,MATCH(H824,lst_CCforGL,0)),""))</f>
        <v/>
      </c>
      <c r="L824" s="10">
        <f>IF($BI824="","",IF($B824="Onsite",INDEX(tbl_Onsite[PO / Reference],$BI824),IF($B824="Production",INDEX(tbl_Production[Current RMS No],$BI824),INDEX(tbl_Consulting[Qwilr Quote],$BI824)))&amp;"")</f>
        <v/>
      </c>
      <c r="M824" s="10">
        <f>IF($BI824="","",IF($B824="Onsite",INDEX(tbl_Onsite[Notes],$BI824),IF($B824="Production",INDEX(tbl_Production[Notes],$BI824),INDEX(tbl_Consulting[Notes],$BI824)))&amp;"")</f>
        <v/>
      </c>
      <c r="N824" s="11">
        <f>IF($BI824="","",IF(IF($B824="Onsite",INDEX(tbl_Onsite[Expected Revenue Ex GST],$BI824),IF($B824="Production",INDEX(tbl_Production[Expected Revenue Ex GST],$BI824),INDEX(tbl_Consulting[Expected Revenue Ex GST],$BI824)))="","",IF($B824="Onsite",INDEX(tbl_Onsite[Expected Revenue Ex GST],$BI824),IF($B824="Production",INDEX(tbl_Production[Expected Revenue Ex GST],$BI824),INDEX(tbl_Consulting[Expected Revenue Ex GST],$BI824)))))</f>
        <v/>
      </c>
      <c r="O824" s="11">
        <f>IF(AND($C824="",NOT(COUNTA($S824:$BB824)&gt;0)),"",SUM(U824,X824,AA824,AD824,AG824,AJ824,AM824,AP824,AS824,AV824,AY824,BB824))</f>
        <v/>
      </c>
      <c r="P824" s="11">
        <f>IF(O824="","",N(N824)-O824)</f>
        <v/>
      </c>
      <c r="Q824" s="10">
        <f>IF(O824="","",IF($C824="","Invoice on empty job row",IF(N824="",IF(ROUND(O824,2)=0,"No dept value","Invoiced - no dept value"),IF(ROUND(O824,2)=0,"Not invoiced - to invoice",IF(ROUND(P824,2)=0,"Agrees",IF(P824&gt;0,"Dept higher - to invoice","Xero higher - check dept"))))))</f>
        <v/>
      </c>
      <c r="R824" s="10">
        <f>IF(AND($C824="",NOT(COUNTA($S824:$BB824)&gt;0),$BI824&lt;&gt;""),"",MID(IF($BI824="","; Row ID not found on the department sheet - a row was deleted","")&amp;IF(AND($C824="",COUNTA($S824:$BB824)&gt;0),"; Invoice entered but the department row has no job number","")&amp;IF(E824="CHECK","; Job number not in the Xero job list","")&amp;IF(AND($C824&lt;&gt;"",COUNTIF($C$7:$C$1506,$C824)&gt;1),"; Job number on more than one row","")&amp;IF(AND($C824&lt;&gt;"",H824=""),"; Dept has not set a cost centre","")&amp;IF(AND($C824&lt;&gt;"",J824=""),"; Dept has not set a tax code","")&amp;IF(AND($C824&lt;&gt;"",N824=""),"; Dept has not entered an expected value","")&amp;IF((IF(OR(COUNTA(S824:U824)=0,AND(COUNTA(S824:U824)=3,ISNUMBER(U824))),0,1)+IF(OR(COUNTA(V824:X824)=0,AND(COUNTA(V824:X824)=3,ISNUMBER(X824))),0,1)+IF(OR(COUNTA(Y824:AA824)=0,AND(COUNTA(Y824:AA824)=3,ISNUMBER(AA824))),0,1)+IF(OR(COUNTA(AB824:AD824)=0,AND(COUNTA(AB824:AD824)=3,ISNUMBER(AD824))),0,1)+IF(OR(COUNTA(AE824:AG824)=0,AND(COUNTA(AE824:AG824)=3,ISNUMBER(AG824))),0,1)+IF(OR(COUNTA(AH824:AJ824)=0,AND(COUNTA(AH824:AJ824)=3,ISNUMBER(AJ824))),0,1)+IF(OR(COUNTA(AK824:AM824)=0,AND(COUNTA(AK824:AM824)=3,ISNUMBER(AM824))),0,1)+IF(OR(COUNTA(AN824:AP824)=0,AND(COUNTA(AN824:AP824)=3,ISNUMBER(AP824))),0,1)+IF(OR(COUNTA(AQ824:AS824)=0,AND(COUNTA(AQ824:AS824)=3,ISNUMBER(AS824))),0,1)+IF(OR(COUNTA(AT824:AV824)=0,AND(COUNTA(AT824:AV824)=3,ISNUMBER(AV824))),0,1)+IF(OR(COUNTA(AW824:AY824)=0,AND(COUNTA(AW824:AY824)=3,ISNUMBER(AY824))),0,1)+IF(OR(COUNTA(AZ824:BB824)=0,AND(COUNTA(AZ824:BB824)=3,ISNUMBER(BB824))),0,1))&gt;0,"; An invoice is incomplete (needs No, Date and a number in Ex GST)","")&amp;IF((IF(T824="",0,IFERROR(--(EOMONTH(T824,0)&lt;&gt;S$5),1))+IF(W824="",0,IFERROR(--(EOMONTH(W824,0)&lt;&gt;V$5),1))+IF(Z824="",0,IFERROR(--(EOMONTH(Z824,0)&lt;&gt;Y$5),1))+IF(AC824="",0,IFERROR(--(EOMONTH(AC824,0)&lt;&gt;AB$5),1))+IF(AF824="",0,IFERROR(--(EOMONTH(AF824,0)&lt;&gt;AE$5),1))+IF(AI824="",0,IFERROR(--(EOMONTH(AI824,0)&lt;&gt;AH$5),1))+IF(AL824="",0,IFERROR(--(EOMONTH(AL824,0)&lt;&gt;AK$5),1))+IF(AO824="",0,IFERROR(--(EOMONTH(AO824,0)&lt;&gt;AN$5),1))+IF(AR824="",0,IFERROR(--(EOMONTH(AR824,0)&lt;&gt;AQ$5),1))+IF(AU824="",0,IFERROR(--(EOMONTH(AU824,0)&lt;&gt;AT$5),1))+IF(AX824="",0,IFERROR(--(EOMONTH(AX824,0)&lt;&gt;AW$5),1))+IF(BA824="",0,IFERROR(--(EOMONTH(BA824,0)&lt;&gt;AZ$5),1)))&gt;0,"; An invoice date is not in the month it is typed under",""),3,500))</f>
        <v/>
      </c>
      <c r="S824" s="12" t="n"/>
      <c r="T824" s="13" t="n"/>
      <c r="U824" s="14" t="n"/>
      <c r="V824" s="12" t="n"/>
      <c r="W824" s="13" t="n"/>
      <c r="X824" s="14" t="n"/>
      <c r="Y824" s="12" t="n"/>
      <c r="Z824" s="13" t="n"/>
      <c r="AA824" s="14" t="n"/>
      <c r="AB824" s="12" t="n"/>
      <c r="AC824" s="13" t="n"/>
      <c r="AD824" s="14" t="n"/>
      <c r="AE824" s="12" t="n"/>
      <c r="AF824" s="13" t="n"/>
      <c r="AG824" s="14" t="n"/>
      <c r="AH824" s="12" t="n"/>
      <c r="AI824" s="13" t="n"/>
      <c r="AJ824" s="14" t="n"/>
      <c r="AK824" s="12" t="n"/>
      <c r="AL824" s="13" t="n"/>
      <c r="AM824" s="14" t="n"/>
      <c r="AN824" s="12" t="n"/>
      <c r="AO824" s="13" t="n"/>
      <c r="AP824" s="14" t="n"/>
      <c r="AQ824" s="12" t="n"/>
      <c r="AR824" s="13" t="n"/>
      <c r="AS824" s="14" t="n"/>
      <c r="AT824" s="12" t="n"/>
      <c r="AU824" s="13" t="n"/>
      <c r="AV824" s="14" t="n"/>
      <c r="AW824" s="12" t="n"/>
      <c r="AX824" s="13" t="n"/>
      <c r="AY824" s="14" t="n"/>
      <c r="AZ824" s="12" t="n"/>
      <c r="BA824" s="13" t="n"/>
      <c r="BB824" s="14" t="n"/>
      <c r="BC824" s="11">
        <f>IF(O824="","",IF(J824="GST 10%",ROUND(O824*set_GSTRate,2),0))</f>
        <v/>
      </c>
      <c r="BD824" s="11">
        <f>IF(O824="","",O824+BC824)</f>
        <v/>
      </c>
      <c r="BE824" s="15">
        <f>IF(O824="","",COUNTA(S824,V824,Y824,AB824,AE824,AH824,AK824,AN824,AQ824,AT824,AW824,AZ824))</f>
        <v/>
      </c>
      <c r="BF824" s="16">
        <f>IF(COUNT(T824,W824,Z824,AC824,AF824,AI824,AL824,AO824,AR824,AU824,AX824,BA824)=0,"",MAX(T824,W824,Z824,AC824,AF824,AI824,AL824,AO824,AR824,AU824,AX824,BA824))</f>
        <v/>
      </c>
      <c r="BG824" s="10">
        <f>MID(IF(S824="","",", "&amp;S824)&amp;IF(V824="","",", "&amp;V824)&amp;IF(Y824="","",", "&amp;Y824)&amp;IF(AB824="","",", "&amp;AB824)&amp;IF(AE824="","",", "&amp;AE824)&amp;IF(AH824="","",", "&amp;AH824)&amp;IF(AK824="","",", "&amp;AK824)&amp;IF(AN824="","",", "&amp;AN824)&amp;IF(AQ824="","",", "&amp;AQ824)&amp;IF(AT824="","",", "&amp;AT824)&amp;IF(AW824="","",", "&amp;AW824)&amp;IF(AZ824="","",", "&amp;AZ824),3,500)</f>
        <v/>
      </c>
      <c r="BH824" s="12" t="n"/>
      <c r="BI824" s="15">
        <f>IFERROR(MATCH($A824,IF($B824="Onsite",tbl_Onsite[Row ID],IF($B824="Production",tbl_Production[Row ID],tbl_Consulting[Row ID])),0),"")</f>
        <v/>
      </c>
    </row>
    <row r="825">
      <c r="A825" s="10" t="inlineStr">
        <is>
          <t>PRD-0319</t>
        </is>
      </c>
      <c r="B825" s="10" t="inlineStr">
        <is>
          <t>Production</t>
        </is>
      </c>
      <c r="C825" s="10">
        <f>IF($BI825="","",IF($B825="Onsite",INDEX(tbl_Onsite[Job Number],$BI825),IF($B825="Production",INDEX(tbl_Production[Job Number],$BI825),INDEX(tbl_Consulting[Job Number],$BI825)))&amp;"")</f>
        <v/>
      </c>
      <c r="D825" s="10">
        <f>IF($BI825="","",IF($B825="Onsite",INDEX(tbl_Onsite[Client],$BI825),IF($B825="Production",INDEX(tbl_Production[Client],$BI825),INDEX(tbl_Consulting[Client],$BI825)))&amp;"")</f>
        <v/>
      </c>
      <c r="E825" s="10">
        <f>IF($C825="","",IF(COUNTIF(lst_Jobs,$C825)&gt;0,"OK","CHECK"))</f>
        <v/>
      </c>
      <c r="F825" s="10">
        <f>IF($C825="","",IFERROR(INDEX(lst_JobName,MATCH($C825,lst_Jobs,0)),""))</f>
        <v/>
      </c>
      <c r="G825" s="10">
        <f>IF($BI825="","",IF($B825="Onsite",INDEX(tbl_Onsite[Job Description],$BI825),IF($B825="Production",INDEX(tbl_Production[Job Description],$BI825),INDEX(tbl_Consulting[Job Description],$BI825)))&amp;"")</f>
        <v/>
      </c>
      <c r="H825" s="10">
        <f>IF($BI825="","",IF($B825="Onsite",INDEX(tbl_Onsite[Cost Centre],$BI825),IF($B825="Production",INDEX(tbl_Production[Cost Centre],$BI825),INDEX(tbl_Consulting[Cost Centre],$BI825)))&amp;"")</f>
        <v/>
      </c>
      <c r="I825" s="10">
        <f>IF($BI825="","",IF($B825="Onsite",INDEX(tbl_Onsite[Invoice Type],$BI825),IF($B825="Production",INDEX(tbl_Production[Invoice Type],$BI825),INDEX(tbl_Consulting[Invoice Type],$BI825)))&amp;"")</f>
        <v/>
      </c>
      <c r="J825" s="10">
        <f>IF($BI825="","",IF($B825="Onsite",INDEX(tbl_Onsite[Tax Code],$BI825),IF($B825="Production",INDEX(tbl_Production[Tax Code],$BI825),INDEX(tbl_Consulting[Tax Code],$BI825)))&amp;"")</f>
        <v/>
      </c>
      <c r="K825" s="10">
        <f>IF(H825="","",IFERROR(INDEX(lst_CCtoGL,MATCH(H825,lst_CCforGL,0)),""))</f>
        <v/>
      </c>
      <c r="L825" s="10">
        <f>IF($BI825="","",IF($B825="Onsite",INDEX(tbl_Onsite[PO / Reference],$BI825),IF($B825="Production",INDEX(tbl_Production[Current RMS No],$BI825),INDEX(tbl_Consulting[Qwilr Quote],$BI825)))&amp;"")</f>
        <v/>
      </c>
      <c r="M825" s="10">
        <f>IF($BI825="","",IF($B825="Onsite",INDEX(tbl_Onsite[Notes],$BI825),IF($B825="Production",INDEX(tbl_Production[Notes],$BI825),INDEX(tbl_Consulting[Notes],$BI825)))&amp;"")</f>
        <v/>
      </c>
      <c r="N825" s="11">
        <f>IF($BI825="","",IF(IF($B825="Onsite",INDEX(tbl_Onsite[Expected Revenue Ex GST],$BI825),IF($B825="Production",INDEX(tbl_Production[Expected Revenue Ex GST],$BI825),INDEX(tbl_Consulting[Expected Revenue Ex GST],$BI825)))="","",IF($B825="Onsite",INDEX(tbl_Onsite[Expected Revenue Ex GST],$BI825),IF($B825="Production",INDEX(tbl_Production[Expected Revenue Ex GST],$BI825),INDEX(tbl_Consulting[Expected Revenue Ex GST],$BI825)))))</f>
        <v/>
      </c>
      <c r="O825" s="11">
        <f>IF(AND($C825="",NOT(COUNTA($S825:$BB825)&gt;0)),"",SUM(U825,X825,AA825,AD825,AG825,AJ825,AM825,AP825,AS825,AV825,AY825,BB825))</f>
        <v/>
      </c>
      <c r="P825" s="11">
        <f>IF(O825="","",N(N825)-O825)</f>
        <v/>
      </c>
      <c r="Q825" s="10">
        <f>IF(O825="","",IF($C825="","Invoice on empty job row",IF(N825="",IF(ROUND(O825,2)=0,"No dept value","Invoiced - no dept value"),IF(ROUND(O825,2)=0,"Not invoiced - to invoice",IF(ROUND(P825,2)=0,"Agrees",IF(P825&gt;0,"Dept higher - to invoice","Xero higher - check dept"))))))</f>
        <v/>
      </c>
      <c r="R825" s="10">
        <f>IF(AND($C825="",NOT(COUNTA($S825:$BB825)&gt;0),$BI825&lt;&gt;""),"",MID(IF($BI825="","; Row ID not found on the department sheet - a row was deleted","")&amp;IF(AND($C825="",COUNTA($S825:$BB825)&gt;0),"; Invoice entered but the department row has no job number","")&amp;IF(E825="CHECK","; Job number not in the Xero job list","")&amp;IF(AND($C825&lt;&gt;"",COUNTIF($C$7:$C$1506,$C825)&gt;1),"; Job number on more than one row","")&amp;IF(AND($C825&lt;&gt;"",H825=""),"; Dept has not set a cost centre","")&amp;IF(AND($C825&lt;&gt;"",J825=""),"; Dept has not set a tax code","")&amp;IF(AND($C825&lt;&gt;"",N825=""),"; Dept has not entered an expected value","")&amp;IF((IF(OR(COUNTA(S825:U825)=0,AND(COUNTA(S825:U825)=3,ISNUMBER(U825))),0,1)+IF(OR(COUNTA(V825:X825)=0,AND(COUNTA(V825:X825)=3,ISNUMBER(X825))),0,1)+IF(OR(COUNTA(Y825:AA825)=0,AND(COUNTA(Y825:AA825)=3,ISNUMBER(AA825))),0,1)+IF(OR(COUNTA(AB825:AD825)=0,AND(COUNTA(AB825:AD825)=3,ISNUMBER(AD825))),0,1)+IF(OR(COUNTA(AE825:AG825)=0,AND(COUNTA(AE825:AG825)=3,ISNUMBER(AG825))),0,1)+IF(OR(COUNTA(AH825:AJ825)=0,AND(COUNTA(AH825:AJ825)=3,ISNUMBER(AJ825))),0,1)+IF(OR(COUNTA(AK825:AM825)=0,AND(COUNTA(AK825:AM825)=3,ISNUMBER(AM825))),0,1)+IF(OR(COUNTA(AN825:AP825)=0,AND(COUNTA(AN825:AP825)=3,ISNUMBER(AP825))),0,1)+IF(OR(COUNTA(AQ825:AS825)=0,AND(COUNTA(AQ825:AS825)=3,ISNUMBER(AS825))),0,1)+IF(OR(COUNTA(AT825:AV825)=0,AND(COUNTA(AT825:AV825)=3,ISNUMBER(AV825))),0,1)+IF(OR(COUNTA(AW825:AY825)=0,AND(COUNTA(AW825:AY825)=3,ISNUMBER(AY825))),0,1)+IF(OR(COUNTA(AZ825:BB825)=0,AND(COUNTA(AZ825:BB825)=3,ISNUMBER(BB825))),0,1))&gt;0,"; An invoice is incomplete (needs No, Date and a number in Ex GST)","")&amp;IF((IF(T825="",0,IFERROR(--(EOMONTH(T825,0)&lt;&gt;S$5),1))+IF(W825="",0,IFERROR(--(EOMONTH(W825,0)&lt;&gt;V$5),1))+IF(Z825="",0,IFERROR(--(EOMONTH(Z825,0)&lt;&gt;Y$5),1))+IF(AC825="",0,IFERROR(--(EOMONTH(AC825,0)&lt;&gt;AB$5),1))+IF(AF825="",0,IFERROR(--(EOMONTH(AF825,0)&lt;&gt;AE$5),1))+IF(AI825="",0,IFERROR(--(EOMONTH(AI825,0)&lt;&gt;AH$5),1))+IF(AL825="",0,IFERROR(--(EOMONTH(AL825,0)&lt;&gt;AK$5),1))+IF(AO825="",0,IFERROR(--(EOMONTH(AO825,0)&lt;&gt;AN$5),1))+IF(AR825="",0,IFERROR(--(EOMONTH(AR825,0)&lt;&gt;AQ$5),1))+IF(AU825="",0,IFERROR(--(EOMONTH(AU825,0)&lt;&gt;AT$5),1))+IF(AX825="",0,IFERROR(--(EOMONTH(AX825,0)&lt;&gt;AW$5),1))+IF(BA825="",0,IFERROR(--(EOMONTH(BA825,0)&lt;&gt;AZ$5),1)))&gt;0,"; An invoice date is not in the month it is typed under",""),3,500))</f>
        <v/>
      </c>
      <c r="S825" s="12" t="n"/>
      <c r="T825" s="13" t="n"/>
      <c r="U825" s="14" t="n"/>
      <c r="V825" s="12" t="n"/>
      <c r="W825" s="13" t="n"/>
      <c r="X825" s="14" t="n"/>
      <c r="Y825" s="12" t="n"/>
      <c r="Z825" s="13" t="n"/>
      <c r="AA825" s="14" t="n"/>
      <c r="AB825" s="12" t="n"/>
      <c r="AC825" s="13" t="n"/>
      <c r="AD825" s="14" t="n"/>
      <c r="AE825" s="12" t="n"/>
      <c r="AF825" s="13" t="n"/>
      <c r="AG825" s="14" t="n"/>
      <c r="AH825" s="12" t="n"/>
      <c r="AI825" s="13" t="n"/>
      <c r="AJ825" s="14" t="n"/>
      <c r="AK825" s="12" t="n"/>
      <c r="AL825" s="13" t="n"/>
      <c r="AM825" s="14" t="n"/>
      <c r="AN825" s="12" t="n"/>
      <c r="AO825" s="13" t="n"/>
      <c r="AP825" s="14" t="n"/>
      <c r="AQ825" s="12" t="n"/>
      <c r="AR825" s="13" t="n"/>
      <c r="AS825" s="14" t="n"/>
      <c r="AT825" s="12" t="n"/>
      <c r="AU825" s="13" t="n"/>
      <c r="AV825" s="14" t="n"/>
      <c r="AW825" s="12" t="n"/>
      <c r="AX825" s="13" t="n"/>
      <c r="AY825" s="14" t="n"/>
      <c r="AZ825" s="12" t="n"/>
      <c r="BA825" s="13" t="n"/>
      <c r="BB825" s="14" t="n"/>
      <c r="BC825" s="11">
        <f>IF(O825="","",IF(J825="GST 10%",ROUND(O825*set_GSTRate,2),0))</f>
        <v/>
      </c>
      <c r="BD825" s="11">
        <f>IF(O825="","",O825+BC825)</f>
        <v/>
      </c>
      <c r="BE825" s="15">
        <f>IF(O825="","",COUNTA(S825,V825,Y825,AB825,AE825,AH825,AK825,AN825,AQ825,AT825,AW825,AZ825))</f>
        <v/>
      </c>
      <c r="BF825" s="16">
        <f>IF(COUNT(T825,W825,Z825,AC825,AF825,AI825,AL825,AO825,AR825,AU825,AX825,BA825)=0,"",MAX(T825,W825,Z825,AC825,AF825,AI825,AL825,AO825,AR825,AU825,AX825,BA825))</f>
        <v/>
      </c>
      <c r="BG825" s="10">
        <f>MID(IF(S825="","",", "&amp;S825)&amp;IF(V825="","",", "&amp;V825)&amp;IF(Y825="","",", "&amp;Y825)&amp;IF(AB825="","",", "&amp;AB825)&amp;IF(AE825="","",", "&amp;AE825)&amp;IF(AH825="","",", "&amp;AH825)&amp;IF(AK825="","",", "&amp;AK825)&amp;IF(AN825="","",", "&amp;AN825)&amp;IF(AQ825="","",", "&amp;AQ825)&amp;IF(AT825="","",", "&amp;AT825)&amp;IF(AW825="","",", "&amp;AW825)&amp;IF(AZ825="","",", "&amp;AZ825),3,500)</f>
        <v/>
      </c>
      <c r="BH825" s="12" t="n"/>
      <c r="BI825" s="15">
        <f>IFERROR(MATCH($A825,IF($B825="Onsite",tbl_Onsite[Row ID],IF($B825="Production",tbl_Production[Row ID],tbl_Consulting[Row ID])),0),"")</f>
        <v/>
      </c>
    </row>
    <row r="826">
      <c r="A826" s="10" t="inlineStr">
        <is>
          <t>PRD-0320</t>
        </is>
      </c>
      <c r="B826" s="10" t="inlineStr">
        <is>
          <t>Production</t>
        </is>
      </c>
      <c r="C826" s="10">
        <f>IF($BI826="","",IF($B826="Onsite",INDEX(tbl_Onsite[Job Number],$BI826),IF($B826="Production",INDEX(tbl_Production[Job Number],$BI826),INDEX(tbl_Consulting[Job Number],$BI826)))&amp;"")</f>
        <v/>
      </c>
      <c r="D826" s="10">
        <f>IF($BI826="","",IF($B826="Onsite",INDEX(tbl_Onsite[Client],$BI826),IF($B826="Production",INDEX(tbl_Production[Client],$BI826),INDEX(tbl_Consulting[Client],$BI826)))&amp;"")</f>
        <v/>
      </c>
      <c r="E826" s="10">
        <f>IF($C826="","",IF(COUNTIF(lst_Jobs,$C826)&gt;0,"OK","CHECK"))</f>
        <v/>
      </c>
      <c r="F826" s="10">
        <f>IF($C826="","",IFERROR(INDEX(lst_JobName,MATCH($C826,lst_Jobs,0)),""))</f>
        <v/>
      </c>
      <c r="G826" s="10">
        <f>IF($BI826="","",IF($B826="Onsite",INDEX(tbl_Onsite[Job Description],$BI826),IF($B826="Production",INDEX(tbl_Production[Job Description],$BI826),INDEX(tbl_Consulting[Job Description],$BI826)))&amp;"")</f>
        <v/>
      </c>
      <c r="H826" s="10">
        <f>IF($BI826="","",IF($B826="Onsite",INDEX(tbl_Onsite[Cost Centre],$BI826),IF($B826="Production",INDEX(tbl_Production[Cost Centre],$BI826),INDEX(tbl_Consulting[Cost Centre],$BI826)))&amp;"")</f>
        <v/>
      </c>
      <c r="I826" s="10">
        <f>IF($BI826="","",IF($B826="Onsite",INDEX(tbl_Onsite[Invoice Type],$BI826),IF($B826="Production",INDEX(tbl_Production[Invoice Type],$BI826),INDEX(tbl_Consulting[Invoice Type],$BI826)))&amp;"")</f>
        <v/>
      </c>
      <c r="J826" s="10">
        <f>IF($BI826="","",IF($B826="Onsite",INDEX(tbl_Onsite[Tax Code],$BI826),IF($B826="Production",INDEX(tbl_Production[Tax Code],$BI826),INDEX(tbl_Consulting[Tax Code],$BI826)))&amp;"")</f>
        <v/>
      </c>
      <c r="K826" s="10">
        <f>IF(H826="","",IFERROR(INDEX(lst_CCtoGL,MATCH(H826,lst_CCforGL,0)),""))</f>
        <v/>
      </c>
      <c r="L826" s="10">
        <f>IF($BI826="","",IF($B826="Onsite",INDEX(tbl_Onsite[PO / Reference],$BI826),IF($B826="Production",INDEX(tbl_Production[Current RMS No],$BI826),INDEX(tbl_Consulting[Qwilr Quote],$BI826)))&amp;"")</f>
        <v/>
      </c>
      <c r="M826" s="10">
        <f>IF($BI826="","",IF($B826="Onsite",INDEX(tbl_Onsite[Notes],$BI826),IF($B826="Production",INDEX(tbl_Production[Notes],$BI826),INDEX(tbl_Consulting[Notes],$BI826)))&amp;"")</f>
        <v/>
      </c>
      <c r="N826" s="11">
        <f>IF($BI826="","",IF(IF($B826="Onsite",INDEX(tbl_Onsite[Expected Revenue Ex GST],$BI826),IF($B826="Production",INDEX(tbl_Production[Expected Revenue Ex GST],$BI826),INDEX(tbl_Consulting[Expected Revenue Ex GST],$BI826)))="","",IF($B826="Onsite",INDEX(tbl_Onsite[Expected Revenue Ex GST],$BI826),IF($B826="Production",INDEX(tbl_Production[Expected Revenue Ex GST],$BI826),INDEX(tbl_Consulting[Expected Revenue Ex GST],$BI826)))))</f>
        <v/>
      </c>
      <c r="O826" s="11">
        <f>IF(AND($C826="",NOT(COUNTA($S826:$BB826)&gt;0)),"",SUM(U826,X826,AA826,AD826,AG826,AJ826,AM826,AP826,AS826,AV826,AY826,BB826))</f>
        <v/>
      </c>
      <c r="P826" s="11">
        <f>IF(O826="","",N(N826)-O826)</f>
        <v/>
      </c>
      <c r="Q826" s="10">
        <f>IF(O826="","",IF($C826="","Invoice on empty job row",IF(N826="",IF(ROUND(O826,2)=0,"No dept value","Invoiced - no dept value"),IF(ROUND(O826,2)=0,"Not invoiced - to invoice",IF(ROUND(P826,2)=0,"Agrees",IF(P826&gt;0,"Dept higher - to invoice","Xero higher - check dept"))))))</f>
        <v/>
      </c>
      <c r="R826" s="10">
        <f>IF(AND($C826="",NOT(COUNTA($S826:$BB826)&gt;0),$BI826&lt;&gt;""),"",MID(IF($BI826="","; Row ID not found on the department sheet - a row was deleted","")&amp;IF(AND($C826="",COUNTA($S826:$BB826)&gt;0),"; Invoice entered but the department row has no job number","")&amp;IF(E826="CHECK","; Job number not in the Xero job list","")&amp;IF(AND($C826&lt;&gt;"",COUNTIF($C$7:$C$1506,$C826)&gt;1),"; Job number on more than one row","")&amp;IF(AND($C826&lt;&gt;"",H826=""),"; Dept has not set a cost centre","")&amp;IF(AND($C826&lt;&gt;"",J826=""),"; Dept has not set a tax code","")&amp;IF(AND($C826&lt;&gt;"",N826=""),"; Dept has not entered an expected value","")&amp;IF((IF(OR(COUNTA(S826:U826)=0,AND(COUNTA(S826:U826)=3,ISNUMBER(U826))),0,1)+IF(OR(COUNTA(V826:X826)=0,AND(COUNTA(V826:X826)=3,ISNUMBER(X826))),0,1)+IF(OR(COUNTA(Y826:AA826)=0,AND(COUNTA(Y826:AA826)=3,ISNUMBER(AA826))),0,1)+IF(OR(COUNTA(AB826:AD826)=0,AND(COUNTA(AB826:AD826)=3,ISNUMBER(AD826))),0,1)+IF(OR(COUNTA(AE826:AG826)=0,AND(COUNTA(AE826:AG826)=3,ISNUMBER(AG826))),0,1)+IF(OR(COUNTA(AH826:AJ826)=0,AND(COUNTA(AH826:AJ826)=3,ISNUMBER(AJ826))),0,1)+IF(OR(COUNTA(AK826:AM826)=0,AND(COUNTA(AK826:AM826)=3,ISNUMBER(AM826))),0,1)+IF(OR(COUNTA(AN826:AP826)=0,AND(COUNTA(AN826:AP826)=3,ISNUMBER(AP826))),0,1)+IF(OR(COUNTA(AQ826:AS826)=0,AND(COUNTA(AQ826:AS826)=3,ISNUMBER(AS826))),0,1)+IF(OR(COUNTA(AT826:AV826)=0,AND(COUNTA(AT826:AV826)=3,ISNUMBER(AV826))),0,1)+IF(OR(COUNTA(AW826:AY826)=0,AND(COUNTA(AW826:AY826)=3,ISNUMBER(AY826))),0,1)+IF(OR(COUNTA(AZ826:BB826)=0,AND(COUNTA(AZ826:BB826)=3,ISNUMBER(BB826))),0,1))&gt;0,"; An invoice is incomplete (needs No, Date and a number in Ex GST)","")&amp;IF((IF(T826="",0,IFERROR(--(EOMONTH(T826,0)&lt;&gt;S$5),1))+IF(W826="",0,IFERROR(--(EOMONTH(W826,0)&lt;&gt;V$5),1))+IF(Z826="",0,IFERROR(--(EOMONTH(Z826,0)&lt;&gt;Y$5),1))+IF(AC826="",0,IFERROR(--(EOMONTH(AC826,0)&lt;&gt;AB$5),1))+IF(AF826="",0,IFERROR(--(EOMONTH(AF826,0)&lt;&gt;AE$5),1))+IF(AI826="",0,IFERROR(--(EOMONTH(AI826,0)&lt;&gt;AH$5),1))+IF(AL826="",0,IFERROR(--(EOMONTH(AL826,0)&lt;&gt;AK$5),1))+IF(AO826="",0,IFERROR(--(EOMONTH(AO826,0)&lt;&gt;AN$5),1))+IF(AR826="",0,IFERROR(--(EOMONTH(AR826,0)&lt;&gt;AQ$5),1))+IF(AU826="",0,IFERROR(--(EOMONTH(AU826,0)&lt;&gt;AT$5),1))+IF(AX826="",0,IFERROR(--(EOMONTH(AX826,0)&lt;&gt;AW$5),1))+IF(BA826="",0,IFERROR(--(EOMONTH(BA826,0)&lt;&gt;AZ$5),1)))&gt;0,"; An invoice date is not in the month it is typed under",""),3,500))</f>
        <v/>
      </c>
      <c r="S826" s="12" t="n"/>
      <c r="T826" s="13" t="n"/>
      <c r="U826" s="14" t="n"/>
      <c r="V826" s="12" t="n"/>
      <c r="W826" s="13" t="n"/>
      <c r="X826" s="14" t="n"/>
      <c r="Y826" s="12" t="n"/>
      <c r="Z826" s="13" t="n"/>
      <c r="AA826" s="14" t="n"/>
      <c r="AB826" s="12" t="n"/>
      <c r="AC826" s="13" t="n"/>
      <c r="AD826" s="14" t="n"/>
      <c r="AE826" s="12" t="n"/>
      <c r="AF826" s="13" t="n"/>
      <c r="AG826" s="14" t="n"/>
      <c r="AH826" s="12" t="n"/>
      <c r="AI826" s="13" t="n"/>
      <c r="AJ826" s="14" t="n"/>
      <c r="AK826" s="12" t="n"/>
      <c r="AL826" s="13" t="n"/>
      <c r="AM826" s="14" t="n"/>
      <c r="AN826" s="12" t="n"/>
      <c r="AO826" s="13" t="n"/>
      <c r="AP826" s="14" t="n"/>
      <c r="AQ826" s="12" t="n"/>
      <c r="AR826" s="13" t="n"/>
      <c r="AS826" s="14" t="n"/>
      <c r="AT826" s="12" t="n"/>
      <c r="AU826" s="13" t="n"/>
      <c r="AV826" s="14" t="n"/>
      <c r="AW826" s="12" t="n"/>
      <c r="AX826" s="13" t="n"/>
      <c r="AY826" s="14" t="n"/>
      <c r="AZ826" s="12" t="n"/>
      <c r="BA826" s="13" t="n"/>
      <c r="BB826" s="14" t="n"/>
      <c r="BC826" s="11">
        <f>IF(O826="","",IF(J826="GST 10%",ROUND(O826*set_GSTRate,2),0))</f>
        <v/>
      </c>
      <c r="BD826" s="11">
        <f>IF(O826="","",O826+BC826)</f>
        <v/>
      </c>
      <c r="BE826" s="15">
        <f>IF(O826="","",COUNTA(S826,V826,Y826,AB826,AE826,AH826,AK826,AN826,AQ826,AT826,AW826,AZ826))</f>
        <v/>
      </c>
      <c r="BF826" s="16">
        <f>IF(COUNT(T826,W826,Z826,AC826,AF826,AI826,AL826,AO826,AR826,AU826,AX826,BA826)=0,"",MAX(T826,W826,Z826,AC826,AF826,AI826,AL826,AO826,AR826,AU826,AX826,BA826))</f>
        <v/>
      </c>
      <c r="BG826" s="10">
        <f>MID(IF(S826="","",", "&amp;S826)&amp;IF(V826="","",", "&amp;V826)&amp;IF(Y826="","",", "&amp;Y826)&amp;IF(AB826="","",", "&amp;AB826)&amp;IF(AE826="","",", "&amp;AE826)&amp;IF(AH826="","",", "&amp;AH826)&amp;IF(AK826="","",", "&amp;AK826)&amp;IF(AN826="","",", "&amp;AN826)&amp;IF(AQ826="","",", "&amp;AQ826)&amp;IF(AT826="","",", "&amp;AT826)&amp;IF(AW826="","",", "&amp;AW826)&amp;IF(AZ826="","",", "&amp;AZ826),3,500)</f>
        <v/>
      </c>
      <c r="BH826" s="12" t="n"/>
      <c r="BI826" s="15">
        <f>IFERROR(MATCH($A826,IF($B826="Onsite",tbl_Onsite[Row ID],IF($B826="Production",tbl_Production[Row ID],tbl_Consulting[Row ID])),0),"")</f>
        <v/>
      </c>
    </row>
    <row r="827">
      <c r="A827" s="10" t="inlineStr">
        <is>
          <t>PRD-0321</t>
        </is>
      </c>
      <c r="B827" s="10" t="inlineStr">
        <is>
          <t>Production</t>
        </is>
      </c>
      <c r="C827" s="10">
        <f>IF($BI827="","",IF($B827="Onsite",INDEX(tbl_Onsite[Job Number],$BI827),IF($B827="Production",INDEX(tbl_Production[Job Number],$BI827),INDEX(tbl_Consulting[Job Number],$BI827)))&amp;"")</f>
        <v/>
      </c>
      <c r="D827" s="10">
        <f>IF($BI827="","",IF($B827="Onsite",INDEX(tbl_Onsite[Client],$BI827),IF($B827="Production",INDEX(tbl_Production[Client],$BI827),INDEX(tbl_Consulting[Client],$BI827)))&amp;"")</f>
        <v/>
      </c>
      <c r="E827" s="10">
        <f>IF($C827="","",IF(COUNTIF(lst_Jobs,$C827)&gt;0,"OK","CHECK"))</f>
        <v/>
      </c>
      <c r="F827" s="10">
        <f>IF($C827="","",IFERROR(INDEX(lst_JobName,MATCH($C827,lst_Jobs,0)),""))</f>
        <v/>
      </c>
      <c r="G827" s="10">
        <f>IF($BI827="","",IF($B827="Onsite",INDEX(tbl_Onsite[Job Description],$BI827),IF($B827="Production",INDEX(tbl_Production[Job Description],$BI827),INDEX(tbl_Consulting[Job Description],$BI827)))&amp;"")</f>
        <v/>
      </c>
      <c r="H827" s="10">
        <f>IF($BI827="","",IF($B827="Onsite",INDEX(tbl_Onsite[Cost Centre],$BI827),IF($B827="Production",INDEX(tbl_Production[Cost Centre],$BI827),INDEX(tbl_Consulting[Cost Centre],$BI827)))&amp;"")</f>
        <v/>
      </c>
      <c r="I827" s="10">
        <f>IF($BI827="","",IF($B827="Onsite",INDEX(tbl_Onsite[Invoice Type],$BI827),IF($B827="Production",INDEX(tbl_Production[Invoice Type],$BI827),INDEX(tbl_Consulting[Invoice Type],$BI827)))&amp;"")</f>
        <v/>
      </c>
      <c r="J827" s="10">
        <f>IF($BI827="","",IF($B827="Onsite",INDEX(tbl_Onsite[Tax Code],$BI827),IF($B827="Production",INDEX(tbl_Production[Tax Code],$BI827),INDEX(tbl_Consulting[Tax Code],$BI827)))&amp;"")</f>
        <v/>
      </c>
      <c r="K827" s="10">
        <f>IF(H827="","",IFERROR(INDEX(lst_CCtoGL,MATCH(H827,lst_CCforGL,0)),""))</f>
        <v/>
      </c>
      <c r="L827" s="10">
        <f>IF($BI827="","",IF($B827="Onsite",INDEX(tbl_Onsite[PO / Reference],$BI827),IF($B827="Production",INDEX(tbl_Production[Current RMS No],$BI827),INDEX(tbl_Consulting[Qwilr Quote],$BI827)))&amp;"")</f>
        <v/>
      </c>
      <c r="M827" s="10">
        <f>IF($BI827="","",IF($B827="Onsite",INDEX(tbl_Onsite[Notes],$BI827),IF($B827="Production",INDEX(tbl_Production[Notes],$BI827),INDEX(tbl_Consulting[Notes],$BI827)))&amp;"")</f>
        <v/>
      </c>
      <c r="N827" s="11">
        <f>IF($BI827="","",IF(IF($B827="Onsite",INDEX(tbl_Onsite[Expected Revenue Ex GST],$BI827),IF($B827="Production",INDEX(tbl_Production[Expected Revenue Ex GST],$BI827),INDEX(tbl_Consulting[Expected Revenue Ex GST],$BI827)))="","",IF($B827="Onsite",INDEX(tbl_Onsite[Expected Revenue Ex GST],$BI827),IF($B827="Production",INDEX(tbl_Production[Expected Revenue Ex GST],$BI827),INDEX(tbl_Consulting[Expected Revenue Ex GST],$BI827)))))</f>
        <v/>
      </c>
      <c r="O827" s="11">
        <f>IF(AND($C827="",NOT(COUNTA($S827:$BB827)&gt;0)),"",SUM(U827,X827,AA827,AD827,AG827,AJ827,AM827,AP827,AS827,AV827,AY827,BB827))</f>
        <v/>
      </c>
      <c r="P827" s="11">
        <f>IF(O827="","",N(N827)-O827)</f>
        <v/>
      </c>
      <c r="Q827" s="10">
        <f>IF(O827="","",IF($C827="","Invoice on empty job row",IF(N827="",IF(ROUND(O827,2)=0,"No dept value","Invoiced - no dept value"),IF(ROUND(O827,2)=0,"Not invoiced - to invoice",IF(ROUND(P827,2)=0,"Agrees",IF(P827&gt;0,"Dept higher - to invoice","Xero higher - check dept"))))))</f>
        <v/>
      </c>
      <c r="R827" s="10">
        <f>IF(AND($C827="",NOT(COUNTA($S827:$BB827)&gt;0),$BI827&lt;&gt;""),"",MID(IF($BI827="","; Row ID not found on the department sheet - a row was deleted","")&amp;IF(AND($C827="",COUNTA($S827:$BB827)&gt;0),"; Invoice entered but the department row has no job number","")&amp;IF(E827="CHECK","; Job number not in the Xero job list","")&amp;IF(AND($C827&lt;&gt;"",COUNTIF($C$7:$C$1506,$C827)&gt;1),"; Job number on more than one row","")&amp;IF(AND($C827&lt;&gt;"",H827=""),"; Dept has not set a cost centre","")&amp;IF(AND($C827&lt;&gt;"",J827=""),"; Dept has not set a tax code","")&amp;IF(AND($C827&lt;&gt;"",N827=""),"; Dept has not entered an expected value","")&amp;IF((IF(OR(COUNTA(S827:U827)=0,AND(COUNTA(S827:U827)=3,ISNUMBER(U827))),0,1)+IF(OR(COUNTA(V827:X827)=0,AND(COUNTA(V827:X827)=3,ISNUMBER(X827))),0,1)+IF(OR(COUNTA(Y827:AA827)=0,AND(COUNTA(Y827:AA827)=3,ISNUMBER(AA827))),0,1)+IF(OR(COUNTA(AB827:AD827)=0,AND(COUNTA(AB827:AD827)=3,ISNUMBER(AD827))),0,1)+IF(OR(COUNTA(AE827:AG827)=0,AND(COUNTA(AE827:AG827)=3,ISNUMBER(AG827))),0,1)+IF(OR(COUNTA(AH827:AJ827)=0,AND(COUNTA(AH827:AJ827)=3,ISNUMBER(AJ827))),0,1)+IF(OR(COUNTA(AK827:AM827)=0,AND(COUNTA(AK827:AM827)=3,ISNUMBER(AM827))),0,1)+IF(OR(COUNTA(AN827:AP827)=0,AND(COUNTA(AN827:AP827)=3,ISNUMBER(AP827))),0,1)+IF(OR(COUNTA(AQ827:AS827)=0,AND(COUNTA(AQ827:AS827)=3,ISNUMBER(AS827))),0,1)+IF(OR(COUNTA(AT827:AV827)=0,AND(COUNTA(AT827:AV827)=3,ISNUMBER(AV827))),0,1)+IF(OR(COUNTA(AW827:AY827)=0,AND(COUNTA(AW827:AY827)=3,ISNUMBER(AY827))),0,1)+IF(OR(COUNTA(AZ827:BB827)=0,AND(COUNTA(AZ827:BB827)=3,ISNUMBER(BB827))),0,1))&gt;0,"; An invoice is incomplete (needs No, Date and a number in Ex GST)","")&amp;IF((IF(T827="",0,IFERROR(--(EOMONTH(T827,0)&lt;&gt;S$5),1))+IF(W827="",0,IFERROR(--(EOMONTH(W827,0)&lt;&gt;V$5),1))+IF(Z827="",0,IFERROR(--(EOMONTH(Z827,0)&lt;&gt;Y$5),1))+IF(AC827="",0,IFERROR(--(EOMONTH(AC827,0)&lt;&gt;AB$5),1))+IF(AF827="",0,IFERROR(--(EOMONTH(AF827,0)&lt;&gt;AE$5),1))+IF(AI827="",0,IFERROR(--(EOMONTH(AI827,0)&lt;&gt;AH$5),1))+IF(AL827="",0,IFERROR(--(EOMONTH(AL827,0)&lt;&gt;AK$5),1))+IF(AO827="",0,IFERROR(--(EOMONTH(AO827,0)&lt;&gt;AN$5),1))+IF(AR827="",0,IFERROR(--(EOMONTH(AR827,0)&lt;&gt;AQ$5),1))+IF(AU827="",0,IFERROR(--(EOMONTH(AU827,0)&lt;&gt;AT$5),1))+IF(AX827="",0,IFERROR(--(EOMONTH(AX827,0)&lt;&gt;AW$5),1))+IF(BA827="",0,IFERROR(--(EOMONTH(BA827,0)&lt;&gt;AZ$5),1)))&gt;0,"; An invoice date is not in the month it is typed under",""),3,500))</f>
        <v/>
      </c>
      <c r="S827" s="12" t="n"/>
      <c r="T827" s="13" t="n"/>
      <c r="U827" s="14" t="n"/>
      <c r="V827" s="12" t="n"/>
      <c r="W827" s="13" t="n"/>
      <c r="X827" s="14" t="n"/>
      <c r="Y827" s="12" t="n"/>
      <c r="Z827" s="13" t="n"/>
      <c r="AA827" s="14" t="n"/>
      <c r="AB827" s="12" t="n"/>
      <c r="AC827" s="13" t="n"/>
      <c r="AD827" s="14" t="n"/>
      <c r="AE827" s="12" t="n"/>
      <c r="AF827" s="13" t="n"/>
      <c r="AG827" s="14" t="n"/>
      <c r="AH827" s="12" t="n"/>
      <c r="AI827" s="13" t="n"/>
      <c r="AJ827" s="14" t="n"/>
      <c r="AK827" s="12" t="n"/>
      <c r="AL827" s="13" t="n"/>
      <c r="AM827" s="14" t="n"/>
      <c r="AN827" s="12" t="n"/>
      <c r="AO827" s="13" t="n"/>
      <c r="AP827" s="14" t="n"/>
      <c r="AQ827" s="12" t="n"/>
      <c r="AR827" s="13" t="n"/>
      <c r="AS827" s="14" t="n"/>
      <c r="AT827" s="12" t="n"/>
      <c r="AU827" s="13" t="n"/>
      <c r="AV827" s="14" t="n"/>
      <c r="AW827" s="12" t="n"/>
      <c r="AX827" s="13" t="n"/>
      <c r="AY827" s="14" t="n"/>
      <c r="AZ827" s="12" t="n"/>
      <c r="BA827" s="13" t="n"/>
      <c r="BB827" s="14" t="n"/>
      <c r="BC827" s="11">
        <f>IF(O827="","",IF(J827="GST 10%",ROUND(O827*set_GSTRate,2),0))</f>
        <v/>
      </c>
      <c r="BD827" s="11">
        <f>IF(O827="","",O827+BC827)</f>
        <v/>
      </c>
      <c r="BE827" s="15">
        <f>IF(O827="","",COUNTA(S827,V827,Y827,AB827,AE827,AH827,AK827,AN827,AQ827,AT827,AW827,AZ827))</f>
        <v/>
      </c>
      <c r="BF827" s="16">
        <f>IF(COUNT(T827,W827,Z827,AC827,AF827,AI827,AL827,AO827,AR827,AU827,AX827,BA827)=0,"",MAX(T827,W827,Z827,AC827,AF827,AI827,AL827,AO827,AR827,AU827,AX827,BA827))</f>
        <v/>
      </c>
      <c r="BG827" s="10">
        <f>MID(IF(S827="","",", "&amp;S827)&amp;IF(V827="","",", "&amp;V827)&amp;IF(Y827="","",", "&amp;Y827)&amp;IF(AB827="","",", "&amp;AB827)&amp;IF(AE827="","",", "&amp;AE827)&amp;IF(AH827="","",", "&amp;AH827)&amp;IF(AK827="","",", "&amp;AK827)&amp;IF(AN827="","",", "&amp;AN827)&amp;IF(AQ827="","",", "&amp;AQ827)&amp;IF(AT827="","",", "&amp;AT827)&amp;IF(AW827="","",", "&amp;AW827)&amp;IF(AZ827="","",", "&amp;AZ827),3,500)</f>
        <v/>
      </c>
      <c r="BH827" s="12" t="n"/>
      <c r="BI827" s="15">
        <f>IFERROR(MATCH($A827,IF($B827="Onsite",tbl_Onsite[Row ID],IF($B827="Production",tbl_Production[Row ID],tbl_Consulting[Row ID])),0),"")</f>
        <v/>
      </c>
    </row>
    <row r="828">
      <c r="A828" s="10" t="inlineStr">
        <is>
          <t>PRD-0322</t>
        </is>
      </c>
      <c r="B828" s="10" t="inlineStr">
        <is>
          <t>Production</t>
        </is>
      </c>
      <c r="C828" s="10">
        <f>IF($BI828="","",IF($B828="Onsite",INDEX(tbl_Onsite[Job Number],$BI828),IF($B828="Production",INDEX(tbl_Production[Job Number],$BI828),INDEX(tbl_Consulting[Job Number],$BI828)))&amp;"")</f>
        <v/>
      </c>
      <c r="D828" s="10">
        <f>IF($BI828="","",IF($B828="Onsite",INDEX(tbl_Onsite[Client],$BI828),IF($B828="Production",INDEX(tbl_Production[Client],$BI828),INDEX(tbl_Consulting[Client],$BI828)))&amp;"")</f>
        <v/>
      </c>
      <c r="E828" s="10">
        <f>IF($C828="","",IF(COUNTIF(lst_Jobs,$C828)&gt;0,"OK","CHECK"))</f>
        <v/>
      </c>
      <c r="F828" s="10">
        <f>IF($C828="","",IFERROR(INDEX(lst_JobName,MATCH($C828,lst_Jobs,0)),""))</f>
        <v/>
      </c>
      <c r="G828" s="10">
        <f>IF($BI828="","",IF($B828="Onsite",INDEX(tbl_Onsite[Job Description],$BI828),IF($B828="Production",INDEX(tbl_Production[Job Description],$BI828),INDEX(tbl_Consulting[Job Description],$BI828)))&amp;"")</f>
        <v/>
      </c>
      <c r="H828" s="10">
        <f>IF($BI828="","",IF($B828="Onsite",INDEX(tbl_Onsite[Cost Centre],$BI828),IF($B828="Production",INDEX(tbl_Production[Cost Centre],$BI828),INDEX(tbl_Consulting[Cost Centre],$BI828)))&amp;"")</f>
        <v/>
      </c>
      <c r="I828" s="10">
        <f>IF($BI828="","",IF($B828="Onsite",INDEX(tbl_Onsite[Invoice Type],$BI828),IF($B828="Production",INDEX(tbl_Production[Invoice Type],$BI828),INDEX(tbl_Consulting[Invoice Type],$BI828)))&amp;"")</f>
        <v/>
      </c>
      <c r="J828" s="10">
        <f>IF($BI828="","",IF($B828="Onsite",INDEX(tbl_Onsite[Tax Code],$BI828),IF($B828="Production",INDEX(tbl_Production[Tax Code],$BI828),INDEX(tbl_Consulting[Tax Code],$BI828)))&amp;"")</f>
        <v/>
      </c>
      <c r="K828" s="10">
        <f>IF(H828="","",IFERROR(INDEX(lst_CCtoGL,MATCH(H828,lst_CCforGL,0)),""))</f>
        <v/>
      </c>
      <c r="L828" s="10">
        <f>IF($BI828="","",IF($B828="Onsite",INDEX(tbl_Onsite[PO / Reference],$BI828),IF($B828="Production",INDEX(tbl_Production[Current RMS No],$BI828),INDEX(tbl_Consulting[Qwilr Quote],$BI828)))&amp;"")</f>
        <v/>
      </c>
      <c r="M828" s="10">
        <f>IF($BI828="","",IF($B828="Onsite",INDEX(tbl_Onsite[Notes],$BI828),IF($B828="Production",INDEX(tbl_Production[Notes],$BI828),INDEX(tbl_Consulting[Notes],$BI828)))&amp;"")</f>
        <v/>
      </c>
      <c r="N828" s="11">
        <f>IF($BI828="","",IF(IF($B828="Onsite",INDEX(tbl_Onsite[Expected Revenue Ex GST],$BI828),IF($B828="Production",INDEX(tbl_Production[Expected Revenue Ex GST],$BI828),INDEX(tbl_Consulting[Expected Revenue Ex GST],$BI828)))="","",IF($B828="Onsite",INDEX(tbl_Onsite[Expected Revenue Ex GST],$BI828),IF($B828="Production",INDEX(tbl_Production[Expected Revenue Ex GST],$BI828),INDEX(tbl_Consulting[Expected Revenue Ex GST],$BI828)))))</f>
        <v/>
      </c>
      <c r="O828" s="11">
        <f>IF(AND($C828="",NOT(COUNTA($S828:$BB828)&gt;0)),"",SUM(U828,X828,AA828,AD828,AG828,AJ828,AM828,AP828,AS828,AV828,AY828,BB828))</f>
        <v/>
      </c>
      <c r="P828" s="11">
        <f>IF(O828="","",N(N828)-O828)</f>
        <v/>
      </c>
      <c r="Q828" s="10">
        <f>IF(O828="","",IF($C828="","Invoice on empty job row",IF(N828="",IF(ROUND(O828,2)=0,"No dept value","Invoiced - no dept value"),IF(ROUND(O828,2)=0,"Not invoiced - to invoice",IF(ROUND(P828,2)=0,"Agrees",IF(P828&gt;0,"Dept higher - to invoice","Xero higher - check dept"))))))</f>
        <v/>
      </c>
      <c r="R828" s="10">
        <f>IF(AND($C828="",NOT(COUNTA($S828:$BB828)&gt;0),$BI828&lt;&gt;""),"",MID(IF($BI828="","; Row ID not found on the department sheet - a row was deleted","")&amp;IF(AND($C828="",COUNTA($S828:$BB828)&gt;0),"; Invoice entered but the department row has no job number","")&amp;IF(E828="CHECK","; Job number not in the Xero job list","")&amp;IF(AND($C828&lt;&gt;"",COUNTIF($C$7:$C$1506,$C828)&gt;1),"; Job number on more than one row","")&amp;IF(AND($C828&lt;&gt;"",H828=""),"; Dept has not set a cost centre","")&amp;IF(AND($C828&lt;&gt;"",J828=""),"; Dept has not set a tax code","")&amp;IF(AND($C828&lt;&gt;"",N828=""),"; Dept has not entered an expected value","")&amp;IF((IF(OR(COUNTA(S828:U828)=0,AND(COUNTA(S828:U828)=3,ISNUMBER(U828))),0,1)+IF(OR(COUNTA(V828:X828)=0,AND(COUNTA(V828:X828)=3,ISNUMBER(X828))),0,1)+IF(OR(COUNTA(Y828:AA828)=0,AND(COUNTA(Y828:AA828)=3,ISNUMBER(AA828))),0,1)+IF(OR(COUNTA(AB828:AD828)=0,AND(COUNTA(AB828:AD828)=3,ISNUMBER(AD828))),0,1)+IF(OR(COUNTA(AE828:AG828)=0,AND(COUNTA(AE828:AG828)=3,ISNUMBER(AG828))),0,1)+IF(OR(COUNTA(AH828:AJ828)=0,AND(COUNTA(AH828:AJ828)=3,ISNUMBER(AJ828))),0,1)+IF(OR(COUNTA(AK828:AM828)=0,AND(COUNTA(AK828:AM828)=3,ISNUMBER(AM828))),0,1)+IF(OR(COUNTA(AN828:AP828)=0,AND(COUNTA(AN828:AP828)=3,ISNUMBER(AP828))),0,1)+IF(OR(COUNTA(AQ828:AS828)=0,AND(COUNTA(AQ828:AS828)=3,ISNUMBER(AS828))),0,1)+IF(OR(COUNTA(AT828:AV828)=0,AND(COUNTA(AT828:AV828)=3,ISNUMBER(AV828))),0,1)+IF(OR(COUNTA(AW828:AY828)=0,AND(COUNTA(AW828:AY828)=3,ISNUMBER(AY828))),0,1)+IF(OR(COUNTA(AZ828:BB828)=0,AND(COUNTA(AZ828:BB828)=3,ISNUMBER(BB828))),0,1))&gt;0,"; An invoice is incomplete (needs No, Date and a number in Ex GST)","")&amp;IF((IF(T828="",0,IFERROR(--(EOMONTH(T828,0)&lt;&gt;S$5),1))+IF(W828="",0,IFERROR(--(EOMONTH(W828,0)&lt;&gt;V$5),1))+IF(Z828="",0,IFERROR(--(EOMONTH(Z828,0)&lt;&gt;Y$5),1))+IF(AC828="",0,IFERROR(--(EOMONTH(AC828,0)&lt;&gt;AB$5),1))+IF(AF828="",0,IFERROR(--(EOMONTH(AF828,0)&lt;&gt;AE$5),1))+IF(AI828="",0,IFERROR(--(EOMONTH(AI828,0)&lt;&gt;AH$5),1))+IF(AL828="",0,IFERROR(--(EOMONTH(AL828,0)&lt;&gt;AK$5),1))+IF(AO828="",0,IFERROR(--(EOMONTH(AO828,0)&lt;&gt;AN$5),1))+IF(AR828="",0,IFERROR(--(EOMONTH(AR828,0)&lt;&gt;AQ$5),1))+IF(AU828="",0,IFERROR(--(EOMONTH(AU828,0)&lt;&gt;AT$5),1))+IF(AX828="",0,IFERROR(--(EOMONTH(AX828,0)&lt;&gt;AW$5),1))+IF(BA828="",0,IFERROR(--(EOMONTH(BA828,0)&lt;&gt;AZ$5),1)))&gt;0,"; An invoice date is not in the month it is typed under",""),3,500))</f>
        <v/>
      </c>
      <c r="S828" s="12" t="n"/>
      <c r="T828" s="13" t="n"/>
      <c r="U828" s="14" t="n"/>
      <c r="V828" s="12" t="n"/>
      <c r="W828" s="13" t="n"/>
      <c r="X828" s="14" t="n"/>
      <c r="Y828" s="12" t="n"/>
      <c r="Z828" s="13" t="n"/>
      <c r="AA828" s="14" t="n"/>
      <c r="AB828" s="12" t="n"/>
      <c r="AC828" s="13" t="n"/>
      <c r="AD828" s="14" t="n"/>
      <c r="AE828" s="12" t="n"/>
      <c r="AF828" s="13" t="n"/>
      <c r="AG828" s="14" t="n"/>
      <c r="AH828" s="12" t="n"/>
      <c r="AI828" s="13" t="n"/>
      <c r="AJ828" s="14" t="n"/>
      <c r="AK828" s="12" t="n"/>
      <c r="AL828" s="13" t="n"/>
      <c r="AM828" s="14" t="n"/>
      <c r="AN828" s="12" t="n"/>
      <c r="AO828" s="13" t="n"/>
      <c r="AP828" s="14" t="n"/>
      <c r="AQ828" s="12" t="n"/>
      <c r="AR828" s="13" t="n"/>
      <c r="AS828" s="14" t="n"/>
      <c r="AT828" s="12" t="n"/>
      <c r="AU828" s="13" t="n"/>
      <c r="AV828" s="14" t="n"/>
      <c r="AW828" s="12" t="n"/>
      <c r="AX828" s="13" t="n"/>
      <c r="AY828" s="14" t="n"/>
      <c r="AZ828" s="12" t="n"/>
      <c r="BA828" s="13" t="n"/>
      <c r="BB828" s="14" t="n"/>
      <c r="BC828" s="11">
        <f>IF(O828="","",IF(J828="GST 10%",ROUND(O828*set_GSTRate,2),0))</f>
        <v/>
      </c>
      <c r="BD828" s="11">
        <f>IF(O828="","",O828+BC828)</f>
        <v/>
      </c>
      <c r="BE828" s="15">
        <f>IF(O828="","",COUNTA(S828,V828,Y828,AB828,AE828,AH828,AK828,AN828,AQ828,AT828,AW828,AZ828))</f>
        <v/>
      </c>
      <c r="BF828" s="16">
        <f>IF(COUNT(T828,W828,Z828,AC828,AF828,AI828,AL828,AO828,AR828,AU828,AX828,BA828)=0,"",MAX(T828,W828,Z828,AC828,AF828,AI828,AL828,AO828,AR828,AU828,AX828,BA828))</f>
        <v/>
      </c>
      <c r="BG828" s="10">
        <f>MID(IF(S828="","",", "&amp;S828)&amp;IF(V828="","",", "&amp;V828)&amp;IF(Y828="","",", "&amp;Y828)&amp;IF(AB828="","",", "&amp;AB828)&amp;IF(AE828="","",", "&amp;AE828)&amp;IF(AH828="","",", "&amp;AH828)&amp;IF(AK828="","",", "&amp;AK828)&amp;IF(AN828="","",", "&amp;AN828)&amp;IF(AQ828="","",", "&amp;AQ828)&amp;IF(AT828="","",", "&amp;AT828)&amp;IF(AW828="","",", "&amp;AW828)&amp;IF(AZ828="","",", "&amp;AZ828),3,500)</f>
        <v/>
      </c>
      <c r="BH828" s="12" t="n"/>
      <c r="BI828" s="15">
        <f>IFERROR(MATCH($A828,IF($B828="Onsite",tbl_Onsite[Row ID],IF($B828="Production",tbl_Production[Row ID],tbl_Consulting[Row ID])),0),"")</f>
        <v/>
      </c>
    </row>
    <row r="829">
      <c r="A829" s="10" t="inlineStr">
        <is>
          <t>PRD-0323</t>
        </is>
      </c>
      <c r="B829" s="10" t="inlineStr">
        <is>
          <t>Production</t>
        </is>
      </c>
      <c r="C829" s="10">
        <f>IF($BI829="","",IF($B829="Onsite",INDEX(tbl_Onsite[Job Number],$BI829),IF($B829="Production",INDEX(tbl_Production[Job Number],$BI829),INDEX(tbl_Consulting[Job Number],$BI829)))&amp;"")</f>
        <v/>
      </c>
      <c r="D829" s="10">
        <f>IF($BI829="","",IF($B829="Onsite",INDEX(tbl_Onsite[Client],$BI829),IF($B829="Production",INDEX(tbl_Production[Client],$BI829),INDEX(tbl_Consulting[Client],$BI829)))&amp;"")</f>
        <v/>
      </c>
      <c r="E829" s="10">
        <f>IF($C829="","",IF(COUNTIF(lst_Jobs,$C829)&gt;0,"OK","CHECK"))</f>
        <v/>
      </c>
      <c r="F829" s="10">
        <f>IF($C829="","",IFERROR(INDEX(lst_JobName,MATCH($C829,lst_Jobs,0)),""))</f>
        <v/>
      </c>
      <c r="G829" s="10">
        <f>IF($BI829="","",IF($B829="Onsite",INDEX(tbl_Onsite[Job Description],$BI829),IF($B829="Production",INDEX(tbl_Production[Job Description],$BI829),INDEX(tbl_Consulting[Job Description],$BI829)))&amp;"")</f>
        <v/>
      </c>
      <c r="H829" s="10">
        <f>IF($BI829="","",IF($B829="Onsite",INDEX(tbl_Onsite[Cost Centre],$BI829),IF($B829="Production",INDEX(tbl_Production[Cost Centre],$BI829),INDEX(tbl_Consulting[Cost Centre],$BI829)))&amp;"")</f>
        <v/>
      </c>
      <c r="I829" s="10">
        <f>IF($BI829="","",IF($B829="Onsite",INDEX(tbl_Onsite[Invoice Type],$BI829),IF($B829="Production",INDEX(tbl_Production[Invoice Type],$BI829),INDEX(tbl_Consulting[Invoice Type],$BI829)))&amp;"")</f>
        <v/>
      </c>
      <c r="J829" s="10">
        <f>IF($BI829="","",IF($B829="Onsite",INDEX(tbl_Onsite[Tax Code],$BI829),IF($B829="Production",INDEX(tbl_Production[Tax Code],$BI829),INDEX(tbl_Consulting[Tax Code],$BI829)))&amp;"")</f>
        <v/>
      </c>
      <c r="K829" s="10">
        <f>IF(H829="","",IFERROR(INDEX(lst_CCtoGL,MATCH(H829,lst_CCforGL,0)),""))</f>
        <v/>
      </c>
      <c r="L829" s="10">
        <f>IF($BI829="","",IF($B829="Onsite",INDEX(tbl_Onsite[PO / Reference],$BI829),IF($B829="Production",INDEX(tbl_Production[Current RMS No],$BI829),INDEX(tbl_Consulting[Qwilr Quote],$BI829)))&amp;"")</f>
        <v/>
      </c>
      <c r="M829" s="10">
        <f>IF($BI829="","",IF($B829="Onsite",INDEX(tbl_Onsite[Notes],$BI829),IF($B829="Production",INDEX(tbl_Production[Notes],$BI829),INDEX(tbl_Consulting[Notes],$BI829)))&amp;"")</f>
        <v/>
      </c>
      <c r="N829" s="11">
        <f>IF($BI829="","",IF(IF($B829="Onsite",INDEX(tbl_Onsite[Expected Revenue Ex GST],$BI829),IF($B829="Production",INDEX(tbl_Production[Expected Revenue Ex GST],$BI829),INDEX(tbl_Consulting[Expected Revenue Ex GST],$BI829)))="","",IF($B829="Onsite",INDEX(tbl_Onsite[Expected Revenue Ex GST],$BI829),IF($B829="Production",INDEX(tbl_Production[Expected Revenue Ex GST],$BI829),INDEX(tbl_Consulting[Expected Revenue Ex GST],$BI829)))))</f>
        <v/>
      </c>
      <c r="O829" s="11">
        <f>IF(AND($C829="",NOT(COUNTA($S829:$BB829)&gt;0)),"",SUM(U829,X829,AA829,AD829,AG829,AJ829,AM829,AP829,AS829,AV829,AY829,BB829))</f>
        <v/>
      </c>
      <c r="P829" s="11">
        <f>IF(O829="","",N(N829)-O829)</f>
        <v/>
      </c>
      <c r="Q829" s="10">
        <f>IF(O829="","",IF($C829="","Invoice on empty job row",IF(N829="",IF(ROUND(O829,2)=0,"No dept value","Invoiced - no dept value"),IF(ROUND(O829,2)=0,"Not invoiced - to invoice",IF(ROUND(P829,2)=0,"Agrees",IF(P829&gt;0,"Dept higher - to invoice","Xero higher - check dept"))))))</f>
        <v/>
      </c>
      <c r="R829" s="10">
        <f>IF(AND($C829="",NOT(COUNTA($S829:$BB829)&gt;0),$BI829&lt;&gt;""),"",MID(IF($BI829="","; Row ID not found on the department sheet - a row was deleted","")&amp;IF(AND($C829="",COUNTA($S829:$BB829)&gt;0),"; Invoice entered but the department row has no job number","")&amp;IF(E829="CHECK","; Job number not in the Xero job list","")&amp;IF(AND($C829&lt;&gt;"",COUNTIF($C$7:$C$1506,$C829)&gt;1),"; Job number on more than one row","")&amp;IF(AND($C829&lt;&gt;"",H829=""),"; Dept has not set a cost centre","")&amp;IF(AND($C829&lt;&gt;"",J829=""),"; Dept has not set a tax code","")&amp;IF(AND($C829&lt;&gt;"",N829=""),"; Dept has not entered an expected value","")&amp;IF((IF(OR(COUNTA(S829:U829)=0,AND(COUNTA(S829:U829)=3,ISNUMBER(U829))),0,1)+IF(OR(COUNTA(V829:X829)=0,AND(COUNTA(V829:X829)=3,ISNUMBER(X829))),0,1)+IF(OR(COUNTA(Y829:AA829)=0,AND(COUNTA(Y829:AA829)=3,ISNUMBER(AA829))),0,1)+IF(OR(COUNTA(AB829:AD829)=0,AND(COUNTA(AB829:AD829)=3,ISNUMBER(AD829))),0,1)+IF(OR(COUNTA(AE829:AG829)=0,AND(COUNTA(AE829:AG829)=3,ISNUMBER(AG829))),0,1)+IF(OR(COUNTA(AH829:AJ829)=0,AND(COUNTA(AH829:AJ829)=3,ISNUMBER(AJ829))),0,1)+IF(OR(COUNTA(AK829:AM829)=0,AND(COUNTA(AK829:AM829)=3,ISNUMBER(AM829))),0,1)+IF(OR(COUNTA(AN829:AP829)=0,AND(COUNTA(AN829:AP829)=3,ISNUMBER(AP829))),0,1)+IF(OR(COUNTA(AQ829:AS829)=0,AND(COUNTA(AQ829:AS829)=3,ISNUMBER(AS829))),0,1)+IF(OR(COUNTA(AT829:AV829)=0,AND(COUNTA(AT829:AV829)=3,ISNUMBER(AV829))),0,1)+IF(OR(COUNTA(AW829:AY829)=0,AND(COUNTA(AW829:AY829)=3,ISNUMBER(AY829))),0,1)+IF(OR(COUNTA(AZ829:BB829)=0,AND(COUNTA(AZ829:BB829)=3,ISNUMBER(BB829))),0,1))&gt;0,"; An invoice is incomplete (needs No, Date and a number in Ex GST)","")&amp;IF((IF(T829="",0,IFERROR(--(EOMONTH(T829,0)&lt;&gt;S$5),1))+IF(W829="",0,IFERROR(--(EOMONTH(W829,0)&lt;&gt;V$5),1))+IF(Z829="",0,IFERROR(--(EOMONTH(Z829,0)&lt;&gt;Y$5),1))+IF(AC829="",0,IFERROR(--(EOMONTH(AC829,0)&lt;&gt;AB$5),1))+IF(AF829="",0,IFERROR(--(EOMONTH(AF829,0)&lt;&gt;AE$5),1))+IF(AI829="",0,IFERROR(--(EOMONTH(AI829,0)&lt;&gt;AH$5),1))+IF(AL829="",0,IFERROR(--(EOMONTH(AL829,0)&lt;&gt;AK$5),1))+IF(AO829="",0,IFERROR(--(EOMONTH(AO829,0)&lt;&gt;AN$5),1))+IF(AR829="",0,IFERROR(--(EOMONTH(AR829,0)&lt;&gt;AQ$5),1))+IF(AU829="",0,IFERROR(--(EOMONTH(AU829,0)&lt;&gt;AT$5),1))+IF(AX829="",0,IFERROR(--(EOMONTH(AX829,0)&lt;&gt;AW$5),1))+IF(BA829="",0,IFERROR(--(EOMONTH(BA829,0)&lt;&gt;AZ$5),1)))&gt;0,"; An invoice date is not in the month it is typed under",""),3,500))</f>
        <v/>
      </c>
      <c r="S829" s="12" t="n"/>
      <c r="T829" s="13" t="n"/>
      <c r="U829" s="14" t="n"/>
      <c r="V829" s="12" t="n"/>
      <c r="W829" s="13" t="n"/>
      <c r="X829" s="14" t="n"/>
      <c r="Y829" s="12" t="n"/>
      <c r="Z829" s="13" t="n"/>
      <c r="AA829" s="14" t="n"/>
      <c r="AB829" s="12" t="n"/>
      <c r="AC829" s="13" t="n"/>
      <c r="AD829" s="14" t="n"/>
      <c r="AE829" s="12" t="n"/>
      <c r="AF829" s="13" t="n"/>
      <c r="AG829" s="14" t="n"/>
      <c r="AH829" s="12" t="n"/>
      <c r="AI829" s="13" t="n"/>
      <c r="AJ829" s="14" t="n"/>
      <c r="AK829" s="12" t="n"/>
      <c r="AL829" s="13" t="n"/>
      <c r="AM829" s="14" t="n"/>
      <c r="AN829" s="12" t="n"/>
      <c r="AO829" s="13" t="n"/>
      <c r="AP829" s="14" t="n"/>
      <c r="AQ829" s="12" t="n"/>
      <c r="AR829" s="13" t="n"/>
      <c r="AS829" s="14" t="n"/>
      <c r="AT829" s="12" t="n"/>
      <c r="AU829" s="13" t="n"/>
      <c r="AV829" s="14" t="n"/>
      <c r="AW829" s="12" t="n"/>
      <c r="AX829" s="13" t="n"/>
      <c r="AY829" s="14" t="n"/>
      <c r="AZ829" s="12" t="n"/>
      <c r="BA829" s="13" t="n"/>
      <c r="BB829" s="14" t="n"/>
      <c r="BC829" s="11">
        <f>IF(O829="","",IF(J829="GST 10%",ROUND(O829*set_GSTRate,2),0))</f>
        <v/>
      </c>
      <c r="BD829" s="11">
        <f>IF(O829="","",O829+BC829)</f>
        <v/>
      </c>
      <c r="BE829" s="15">
        <f>IF(O829="","",COUNTA(S829,V829,Y829,AB829,AE829,AH829,AK829,AN829,AQ829,AT829,AW829,AZ829))</f>
        <v/>
      </c>
      <c r="BF829" s="16">
        <f>IF(COUNT(T829,W829,Z829,AC829,AF829,AI829,AL829,AO829,AR829,AU829,AX829,BA829)=0,"",MAX(T829,W829,Z829,AC829,AF829,AI829,AL829,AO829,AR829,AU829,AX829,BA829))</f>
        <v/>
      </c>
      <c r="BG829" s="10">
        <f>MID(IF(S829="","",", "&amp;S829)&amp;IF(V829="","",", "&amp;V829)&amp;IF(Y829="","",", "&amp;Y829)&amp;IF(AB829="","",", "&amp;AB829)&amp;IF(AE829="","",", "&amp;AE829)&amp;IF(AH829="","",", "&amp;AH829)&amp;IF(AK829="","",", "&amp;AK829)&amp;IF(AN829="","",", "&amp;AN829)&amp;IF(AQ829="","",", "&amp;AQ829)&amp;IF(AT829="","",", "&amp;AT829)&amp;IF(AW829="","",", "&amp;AW829)&amp;IF(AZ829="","",", "&amp;AZ829),3,500)</f>
        <v/>
      </c>
      <c r="BH829" s="12" t="n"/>
      <c r="BI829" s="15">
        <f>IFERROR(MATCH($A829,IF($B829="Onsite",tbl_Onsite[Row ID],IF($B829="Production",tbl_Production[Row ID],tbl_Consulting[Row ID])),0),"")</f>
        <v/>
      </c>
    </row>
    <row r="830">
      <c r="A830" s="10" t="inlineStr">
        <is>
          <t>PRD-0324</t>
        </is>
      </c>
      <c r="B830" s="10" t="inlineStr">
        <is>
          <t>Production</t>
        </is>
      </c>
      <c r="C830" s="10">
        <f>IF($BI830="","",IF($B830="Onsite",INDEX(tbl_Onsite[Job Number],$BI830),IF($B830="Production",INDEX(tbl_Production[Job Number],$BI830),INDEX(tbl_Consulting[Job Number],$BI830)))&amp;"")</f>
        <v/>
      </c>
      <c r="D830" s="10">
        <f>IF($BI830="","",IF($B830="Onsite",INDEX(tbl_Onsite[Client],$BI830),IF($B830="Production",INDEX(tbl_Production[Client],$BI830),INDEX(tbl_Consulting[Client],$BI830)))&amp;"")</f>
        <v/>
      </c>
      <c r="E830" s="10">
        <f>IF($C830="","",IF(COUNTIF(lst_Jobs,$C830)&gt;0,"OK","CHECK"))</f>
        <v/>
      </c>
      <c r="F830" s="10">
        <f>IF($C830="","",IFERROR(INDEX(lst_JobName,MATCH($C830,lst_Jobs,0)),""))</f>
        <v/>
      </c>
      <c r="G830" s="10">
        <f>IF($BI830="","",IF($B830="Onsite",INDEX(tbl_Onsite[Job Description],$BI830),IF($B830="Production",INDEX(tbl_Production[Job Description],$BI830),INDEX(tbl_Consulting[Job Description],$BI830)))&amp;"")</f>
        <v/>
      </c>
      <c r="H830" s="10">
        <f>IF($BI830="","",IF($B830="Onsite",INDEX(tbl_Onsite[Cost Centre],$BI830),IF($B830="Production",INDEX(tbl_Production[Cost Centre],$BI830),INDEX(tbl_Consulting[Cost Centre],$BI830)))&amp;"")</f>
        <v/>
      </c>
      <c r="I830" s="10">
        <f>IF($BI830="","",IF($B830="Onsite",INDEX(tbl_Onsite[Invoice Type],$BI830),IF($B830="Production",INDEX(tbl_Production[Invoice Type],$BI830),INDEX(tbl_Consulting[Invoice Type],$BI830)))&amp;"")</f>
        <v/>
      </c>
      <c r="J830" s="10">
        <f>IF($BI830="","",IF($B830="Onsite",INDEX(tbl_Onsite[Tax Code],$BI830),IF($B830="Production",INDEX(tbl_Production[Tax Code],$BI830),INDEX(tbl_Consulting[Tax Code],$BI830)))&amp;"")</f>
        <v/>
      </c>
      <c r="K830" s="10">
        <f>IF(H830="","",IFERROR(INDEX(lst_CCtoGL,MATCH(H830,lst_CCforGL,0)),""))</f>
        <v/>
      </c>
      <c r="L830" s="10">
        <f>IF($BI830="","",IF($B830="Onsite",INDEX(tbl_Onsite[PO / Reference],$BI830),IF($B830="Production",INDEX(tbl_Production[Current RMS No],$BI830),INDEX(tbl_Consulting[Qwilr Quote],$BI830)))&amp;"")</f>
        <v/>
      </c>
      <c r="M830" s="10">
        <f>IF($BI830="","",IF($B830="Onsite",INDEX(tbl_Onsite[Notes],$BI830),IF($B830="Production",INDEX(tbl_Production[Notes],$BI830),INDEX(tbl_Consulting[Notes],$BI830)))&amp;"")</f>
        <v/>
      </c>
      <c r="N830" s="11">
        <f>IF($BI830="","",IF(IF($B830="Onsite",INDEX(tbl_Onsite[Expected Revenue Ex GST],$BI830),IF($B830="Production",INDEX(tbl_Production[Expected Revenue Ex GST],$BI830),INDEX(tbl_Consulting[Expected Revenue Ex GST],$BI830)))="","",IF($B830="Onsite",INDEX(tbl_Onsite[Expected Revenue Ex GST],$BI830),IF($B830="Production",INDEX(tbl_Production[Expected Revenue Ex GST],$BI830),INDEX(tbl_Consulting[Expected Revenue Ex GST],$BI830)))))</f>
        <v/>
      </c>
      <c r="O830" s="11">
        <f>IF(AND($C830="",NOT(COUNTA($S830:$BB830)&gt;0)),"",SUM(U830,X830,AA830,AD830,AG830,AJ830,AM830,AP830,AS830,AV830,AY830,BB830))</f>
        <v/>
      </c>
      <c r="P830" s="11">
        <f>IF(O830="","",N(N830)-O830)</f>
        <v/>
      </c>
      <c r="Q830" s="10">
        <f>IF(O830="","",IF($C830="","Invoice on empty job row",IF(N830="",IF(ROUND(O830,2)=0,"No dept value","Invoiced - no dept value"),IF(ROUND(O830,2)=0,"Not invoiced - to invoice",IF(ROUND(P830,2)=0,"Agrees",IF(P830&gt;0,"Dept higher - to invoice","Xero higher - check dept"))))))</f>
        <v/>
      </c>
      <c r="R830" s="10">
        <f>IF(AND($C830="",NOT(COUNTA($S830:$BB830)&gt;0),$BI830&lt;&gt;""),"",MID(IF($BI830="","; Row ID not found on the department sheet - a row was deleted","")&amp;IF(AND($C830="",COUNTA($S830:$BB830)&gt;0),"; Invoice entered but the department row has no job number","")&amp;IF(E830="CHECK","; Job number not in the Xero job list","")&amp;IF(AND($C830&lt;&gt;"",COUNTIF($C$7:$C$1506,$C830)&gt;1),"; Job number on more than one row","")&amp;IF(AND($C830&lt;&gt;"",H830=""),"; Dept has not set a cost centre","")&amp;IF(AND($C830&lt;&gt;"",J830=""),"; Dept has not set a tax code","")&amp;IF(AND($C830&lt;&gt;"",N830=""),"; Dept has not entered an expected value","")&amp;IF((IF(OR(COUNTA(S830:U830)=0,AND(COUNTA(S830:U830)=3,ISNUMBER(U830))),0,1)+IF(OR(COUNTA(V830:X830)=0,AND(COUNTA(V830:X830)=3,ISNUMBER(X830))),0,1)+IF(OR(COUNTA(Y830:AA830)=0,AND(COUNTA(Y830:AA830)=3,ISNUMBER(AA830))),0,1)+IF(OR(COUNTA(AB830:AD830)=0,AND(COUNTA(AB830:AD830)=3,ISNUMBER(AD830))),0,1)+IF(OR(COUNTA(AE830:AG830)=0,AND(COUNTA(AE830:AG830)=3,ISNUMBER(AG830))),0,1)+IF(OR(COUNTA(AH830:AJ830)=0,AND(COUNTA(AH830:AJ830)=3,ISNUMBER(AJ830))),0,1)+IF(OR(COUNTA(AK830:AM830)=0,AND(COUNTA(AK830:AM830)=3,ISNUMBER(AM830))),0,1)+IF(OR(COUNTA(AN830:AP830)=0,AND(COUNTA(AN830:AP830)=3,ISNUMBER(AP830))),0,1)+IF(OR(COUNTA(AQ830:AS830)=0,AND(COUNTA(AQ830:AS830)=3,ISNUMBER(AS830))),0,1)+IF(OR(COUNTA(AT830:AV830)=0,AND(COUNTA(AT830:AV830)=3,ISNUMBER(AV830))),0,1)+IF(OR(COUNTA(AW830:AY830)=0,AND(COUNTA(AW830:AY830)=3,ISNUMBER(AY830))),0,1)+IF(OR(COUNTA(AZ830:BB830)=0,AND(COUNTA(AZ830:BB830)=3,ISNUMBER(BB830))),0,1))&gt;0,"; An invoice is incomplete (needs No, Date and a number in Ex GST)","")&amp;IF((IF(T830="",0,IFERROR(--(EOMONTH(T830,0)&lt;&gt;S$5),1))+IF(W830="",0,IFERROR(--(EOMONTH(W830,0)&lt;&gt;V$5),1))+IF(Z830="",0,IFERROR(--(EOMONTH(Z830,0)&lt;&gt;Y$5),1))+IF(AC830="",0,IFERROR(--(EOMONTH(AC830,0)&lt;&gt;AB$5),1))+IF(AF830="",0,IFERROR(--(EOMONTH(AF830,0)&lt;&gt;AE$5),1))+IF(AI830="",0,IFERROR(--(EOMONTH(AI830,0)&lt;&gt;AH$5),1))+IF(AL830="",0,IFERROR(--(EOMONTH(AL830,0)&lt;&gt;AK$5),1))+IF(AO830="",0,IFERROR(--(EOMONTH(AO830,0)&lt;&gt;AN$5),1))+IF(AR830="",0,IFERROR(--(EOMONTH(AR830,0)&lt;&gt;AQ$5),1))+IF(AU830="",0,IFERROR(--(EOMONTH(AU830,0)&lt;&gt;AT$5),1))+IF(AX830="",0,IFERROR(--(EOMONTH(AX830,0)&lt;&gt;AW$5),1))+IF(BA830="",0,IFERROR(--(EOMONTH(BA830,0)&lt;&gt;AZ$5),1)))&gt;0,"; An invoice date is not in the month it is typed under",""),3,500))</f>
        <v/>
      </c>
      <c r="S830" s="12" t="n"/>
      <c r="T830" s="13" t="n"/>
      <c r="U830" s="14" t="n"/>
      <c r="V830" s="12" t="n"/>
      <c r="W830" s="13" t="n"/>
      <c r="X830" s="14" t="n"/>
      <c r="Y830" s="12" t="n"/>
      <c r="Z830" s="13" t="n"/>
      <c r="AA830" s="14" t="n"/>
      <c r="AB830" s="12" t="n"/>
      <c r="AC830" s="13" t="n"/>
      <c r="AD830" s="14" t="n"/>
      <c r="AE830" s="12" t="n"/>
      <c r="AF830" s="13" t="n"/>
      <c r="AG830" s="14" t="n"/>
      <c r="AH830" s="12" t="n"/>
      <c r="AI830" s="13" t="n"/>
      <c r="AJ830" s="14" t="n"/>
      <c r="AK830" s="12" t="n"/>
      <c r="AL830" s="13" t="n"/>
      <c r="AM830" s="14" t="n"/>
      <c r="AN830" s="12" t="n"/>
      <c r="AO830" s="13" t="n"/>
      <c r="AP830" s="14" t="n"/>
      <c r="AQ830" s="12" t="n"/>
      <c r="AR830" s="13" t="n"/>
      <c r="AS830" s="14" t="n"/>
      <c r="AT830" s="12" t="n"/>
      <c r="AU830" s="13" t="n"/>
      <c r="AV830" s="14" t="n"/>
      <c r="AW830" s="12" t="n"/>
      <c r="AX830" s="13" t="n"/>
      <c r="AY830" s="14" t="n"/>
      <c r="AZ830" s="12" t="n"/>
      <c r="BA830" s="13" t="n"/>
      <c r="BB830" s="14" t="n"/>
      <c r="BC830" s="11">
        <f>IF(O830="","",IF(J830="GST 10%",ROUND(O830*set_GSTRate,2),0))</f>
        <v/>
      </c>
      <c r="BD830" s="11">
        <f>IF(O830="","",O830+BC830)</f>
        <v/>
      </c>
      <c r="BE830" s="15">
        <f>IF(O830="","",COUNTA(S830,V830,Y830,AB830,AE830,AH830,AK830,AN830,AQ830,AT830,AW830,AZ830))</f>
        <v/>
      </c>
      <c r="BF830" s="16">
        <f>IF(COUNT(T830,W830,Z830,AC830,AF830,AI830,AL830,AO830,AR830,AU830,AX830,BA830)=0,"",MAX(T830,W830,Z830,AC830,AF830,AI830,AL830,AO830,AR830,AU830,AX830,BA830))</f>
        <v/>
      </c>
      <c r="BG830" s="10">
        <f>MID(IF(S830="","",", "&amp;S830)&amp;IF(V830="","",", "&amp;V830)&amp;IF(Y830="","",", "&amp;Y830)&amp;IF(AB830="","",", "&amp;AB830)&amp;IF(AE830="","",", "&amp;AE830)&amp;IF(AH830="","",", "&amp;AH830)&amp;IF(AK830="","",", "&amp;AK830)&amp;IF(AN830="","",", "&amp;AN830)&amp;IF(AQ830="","",", "&amp;AQ830)&amp;IF(AT830="","",", "&amp;AT830)&amp;IF(AW830="","",", "&amp;AW830)&amp;IF(AZ830="","",", "&amp;AZ830),3,500)</f>
        <v/>
      </c>
      <c r="BH830" s="12" t="n"/>
      <c r="BI830" s="15">
        <f>IFERROR(MATCH($A830,IF($B830="Onsite",tbl_Onsite[Row ID],IF($B830="Production",tbl_Production[Row ID],tbl_Consulting[Row ID])),0),"")</f>
        <v/>
      </c>
    </row>
    <row r="831">
      <c r="A831" s="10" t="inlineStr">
        <is>
          <t>PRD-0325</t>
        </is>
      </c>
      <c r="B831" s="10" t="inlineStr">
        <is>
          <t>Production</t>
        </is>
      </c>
      <c r="C831" s="10">
        <f>IF($BI831="","",IF($B831="Onsite",INDEX(tbl_Onsite[Job Number],$BI831),IF($B831="Production",INDEX(tbl_Production[Job Number],$BI831),INDEX(tbl_Consulting[Job Number],$BI831)))&amp;"")</f>
        <v/>
      </c>
      <c r="D831" s="10">
        <f>IF($BI831="","",IF($B831="Onsite",INDEX(tbl_Onsite[Client],$BI831),IF($B831="Production",INDEX(tbl_Production[Client],$BI831),INDEX(tbl_Consulting[Client],$BI831)))&amp;"")</f>
        <v/>
      </c>
      <c r="E831" s="10">
        <f>IF($C831="","",IF(COUNTIF(lst_Jobs,$C831)&gt;0,"OK","CHECK"))</f>
        <v/>
      </c>
      <c r="F831" s="10">
        <f>IF($C831="","",IFERROR(INDEX(lst_JobName,MATCH($C831,lst_Jobs,0)),""))</f>
        <v/>
      </c>
      <c r="G831" s="10">
        <f>IF($BI831="","",IF($B831="Onsite",INDEX(tbl_Onsite[Job Description],$BI831),IF($B831="Production",INDEX(tbl_Production[Job Description],$BI831),INDEX(tbl_Consulting[Job Description],$BI831)))&amp;"")</f>
        <v/>
      </c>
      <c r="H831" s="10">
        <f>IF($BI831="","",IF($B831="Onsite",INDEX(tbl_Onsite[Cost Centre],$BI831),IF($B831="Production",INDEX(tbl_Production[Cost Centre],$BI831),INDEX(tbl_Consulting[Cost Centre],$BI831)))&amp;"")</f>
        <v/>
      </c>
      <c r="I831" s="10">
        <f>IF($BI831="","",IF($B831="Onsite",INDEX(tbl_Onsite[Invoice Type],$BI831),IF($B831="Production",INDEX(tbl_Production[Invoice Type],$BI831),INDEX(tbl_Consulting[Invoice Type],$BI831)))&amp;"")</f>
        <v/>
      </c>
      <c r="J831" s="10">
        <f>IF($BI831="","",IF($B831="Onsite",INDEX(tbl_Onsite[Tax Code],$BI831),IF($B831="Production",INDEX(tbl_Production[Tax Code],$BI831),INDEX(tbl_Consulting[Tax Code],$BI831)))&amp;"")</f>
        <v/>
      </c>
      <c r="K831" s="10">
        <f>IF(H831="","",IFERROR(INDEX(lst_CCtoGL,MATCH(H831,lst_CCforGL,0)),""))</f>
        <v/>
      </c>
      <c r="L831" s="10">
        <f>IF($BI831="","",IF($B831="Onsite",INDEX(tbl_Onsite[PO / Reference],$BI831),IF($B831="Production",INDEX(tbl_Production[Current RMS No],$BI831),INDEX(tbl_Consulting[Qwilr Quote],$BI831)))&amp;"")</f>
        <v/>
      </c>
      <c r="M831" s="10">
        <f>IF($BI831="","",IF($B831="Onsite",INDEX(tbl_Onsite[Notes],$BI831),IF($B831="Production",INDEX(tbl_Production[Notes],$BI831),INDEX(tbl_Consulting[Notes],$BI831)))&amp;"")</f>
        <v/>
      </c>
      <c r="N831" s="11">
        <f>IF($BI831="","",IF(IF($B831="Onsite",INDEX(tbl_Onsite[Expected Revenue Ex GST],$BI831),IF($B831="Production",INDEX(tbl_Production[Expected Revenue Ex GST],$BI831),INDEX(tbl_Consulting[Expected Revenue Ex GST],$BI831)))="","",IF($B831="Onsite",INDEX(tbl_Onsite[Expected Revenue Ex GST],$BI831),IF($B831="Production",INDEX(tbl_Production[Expected Revenue Ex GST],$BI831),INDEX(tbl_Consulting[Expected Revenue Ex GST],$BI831)))))</f>
        <v/>
      </c>
      <c r="O831" s="11">
        <f>IF(AND($C831="",NOT(COUNTA($S831:$BB831)&gt;0)),"",SUM(U831,X831,AA831,AD831,AG831,AJ831,AM831,AP831,AS831,AV831,AY831,BB831))</f>
        <v/>
      </c>
      <c r="P831" s="11">
        <f>IF(O831="","",N(N831)-O831)</f>
        <v/>
      </c>
      <c r="Q831" s="10">
        <f>IF(O831="","",IF($C831="","Invoice on empty job row",IF(N831="",IF(ROUND(O831,2)=0,"No dept value","Invoiced - no dept value"),IF(ROUND(O831,2)=0,"Not invoiced - to invoice",IF(ROUND(P831,2)=0,"Agrees",IF(P831&gt;0,"Dept higher - to invoice","Xero higher - check dept"))))))</f>
        <v/>
      </c>
      <c r="R831" s="10">
        <f>IF(AND($C831="",NOT(COUNTA($S831:$BB831)&gt;0),$BI831&lt;&gt;""),"",MID(IF($BI831="","; Row ID not found on the department sheet - a row was deleted","")&amp;IF(AND($C831="",COUNTA($S831:$BB831)&gt;0),"; Invoice entered but the department row has no job number","")&amp;IF(E831="CHECK","; Job number not in the Xero job list","")&amp;IF(AND($C831&lt;&gt;"",COUNTIF($C$7:$C$1506,$C831)&gt;1),"; Job number on more than one row","")&amp;IF(AND($C831&lt;&gt;"",H831=""),"; Dept has not set a cost centre","")&amp;IF(AND($C831&lt;&gt;"",J831=""),"; Dept has not set a tax code","")&amp;IF(AND($C831&lt;&gt;"",N831=""),"; Dept has not entered an expected value","")&amp;IF((IF(OR(COUNTA(S831:U831)=0,AND(COUNTA(S831:U831)=3,ISNUMBER(U831))),0,1)+IF(OR(COUNTA(V831:X831)=0,AND(COUNTA(V831:X831)=3,ISNUMBER(X831))),0,1)+IF(OR(COUNTA(Y831:AA831)=0,AND(COUNTA(Y831:AA831)=3,ISNUMBER(AA831))),0,1)+IF(OR(COUNTA(AB831:AD831)=0,AND(COUNTA(AB831:AD831)=3,ISNUMBER(AD831))),0,1)+IF(OR(COUNTA(AE831:AG831)=0,AND(COUNTA(AE831:AG831)=3,ISNUMBER(AG831))),0,1)+IF(OR(COUNTA(AH831:AJ831)=0,AND(COUNTA(AH831:AJ831)=3,ISNUMBER(AJ831))),0,1)+IF(OR(COUNTA(AK831:AM831)=0,AND(COUNTA(AK831:AM831)=3,ISNUMBER(AM831))),0,1)+IF(OR(COUNTA(AN831:AP831)=0,AND(COUNTA(AN831:AP831)=3,ISNUMBER(AP831))),0,1)+IF(OR(COUNTA(AQ831:AS831)=0,AND(COUNTA(AQ831:AS831)=3,ISNUMBER(AS831))),0,1)+IF(OR(COUNTA(AT831:AV831)=0,AND(COUNTA(AT831:AV831)=3,ISNUMBER(AV831))),0,1)+IF(OR(COUNTA(AW831:AY831)=0,AND(COUNTA(AW831:AY831)=3,ISNUMBER(AY831))),0,1)+IF(OR(COUNTA(AZ831:BB831)=0,AND(COUNTA(AZ831:BB831)=3,ISNUMBER(BB831))),0,1))&gt;0,"; An invoice is incomplete (needs No, Date and a number in Ex GST)","")&amp;IF((IF(T831="",0,IFERROR(--(EOMONTH(T831,0)&lt;&gt;S$5),1))+IF(W831="",0,IFERROR(--(EOMONTH(W831,0)&lt;&gt;V$5),1))+IF(Z831="",0,IFERROR(--(EOMONTH(Z831,0)&lt;&gt;Y$5),1))+IF(AC831="",0,IFERROR(--(EOMONTH(AC831,0)&lt;&gt;AB$5),1))+IF(AF831="",0,IFERROR(--(EOMONTH(AF831,0)&lt;&gt;AE$5),1))+IF(AI831="",0,IFERROR(--(EOMONTH(AI831,0)&lt;&gt;AH$5),1))+IF(AL831="",0,IFERROR(--(EOMONTH(AL831,0)&lt;&gt;AK$5),1))+IF(AO831="",0,IFERROR(--(EOMONTH(AO831,0)&lt;&gt;AN$5),1))+IF(AR831="",0,IFERROR(--(EOMONTH(AR831,0)&lt;&gt;AQ$5),1))+IF(AU831="",0,IFERROR(--(EOMONTH(AU831,0)&lt;&gt;AT$5),1))+IF(AX831="",0,IFERROR(--(EOMONTH(AX831,0)&lt;&gt;AW$5),1))+IF(BA831="",0,IFERROR(--(EOMONTH(BA831,0)&lt;&gt;AZ$5),1)))&gt;0,"; An invoice date is not in the month it is typed under",""),3,500))</f>
        <v/>
      </c>
      <c r="S831" s="12" t="n"/>
      <c r="T831" s="13" t="n"/>
      <c r="U831" s="14" t="n"/>
      <c r="V831" s="12" t="n"/>
      <c r="W831" s="13" t="n"/>
      <c r="X831" s="14" t="n"/>
      <c r="Y831" s="12" t="n"/>
      <c r="Z831" s="13" t="n"/>
      <c r="AA831" s="14" t="n"/>
      <c r="AB831" s="12" t="n"/>
      <c r="AC831" s="13" t="n"/>
      <c r="AD831" s="14" t="n"/>
      <c r="AE831" s="12" t="n"/>
      <c r="AF831" s="13" t="n"/>
      <c r="AG831" s="14" t="n"/>
      <c r="AH831" s="12" t="n"/>
      <c r="AI831" s="13" t="n"/>
      <c r="AJ831" s="14" t="n"/>
      <c r="AK831" s="12" t="n"/>
      <c r="AL831" s="13" t="n"/>
      <c r="AM831" s="14" t="n"/>
      <c r="AN831" s="12" t="n"/>
      <c r="AO831" s="13" t="n"/>
      <c r="AP831" s="14" t="n"/>
      <c r="AQ831" s="12" t="n"/>
      <c r="AR831" s="13" t="n"/>
      <c r="AS831" s="14" t="n"/>
      <c r="AT831" s="12" t="n"/>
      <c r="AU831" s="13" t="n"/>
      <c r="AV831" s="14" t="n"/>
      <c r="AW831" s="12" t="n"/>
      <c r="AX831" s="13" t="n"/>
      <c r="AY831" s="14" t="n"/>
      <c r="AZ831" s="12" t="n"/>
      <c r="BA831" s="13" t="n"/>
      <c r="BB831" s="14" t="n"/>
      <c r="BC831" s="11">
        <f>IF(O831="","",IF(J831="GST 10%",ROUND(O831*set_GSTRate,2),0))</f>
        <v/>
      </c>
      <c r="BD831" s="11">
        <f>IF(O831="","",O831+BC831)</f>
        <v/>
      </c>
      <c r="BE831" s="15">
        <f>IF(O831="","",COUNTA(S831,V831,Y831,AB831,AE831,AH831,AK831,AN831,AQ831,AT831,AW831,AZ831))</f>
        <v/>
      </c>
      <c r="BF831" s="16">
        <f>IF(COUNT(T831,W831,Z831,AC831,AF831,AI831,AL831,AO831,AR831,AU831,AX831,BA831)=0,"",MAX(T831,W831,Z831,AC831,AF831,AI831,AL831,AO831,AR831,AU831,AX831,BA831))</f>
        <v/>
      </c>
      <c r="BG831" s="10">
        <f>MID(IF(S831="","",", "&amp;S831)&amp;IF(V831="","",", "&amp;V831)&amp;IF(Y831="","",", "&amp;Y831)&amp;IF(AB831="","",", "&amp;AB831)&amp;IF(AE831="","",", "&amp;AE831)&amp;IF(AH831="","",", "&amp;AH831)&amp;IF(AK831="","",", "&amp;AK831)&amp;IF(AN831="","",", "&amp;AN831)&amp;IF(AQ831="","",", "&amp;AQ831)&amp;IF(AT831="","",", "&amp;AT831)&amp;IF(AW831="","",", "&amp;AW831)&amp;IF(AZ831="","",", "&amp;AZ831),3,500)</f>
        <v/>
      </c>
      <c r="BH831" s="12" t="n"/>
      <c r="BI831" s="15">
        <f>IFERROR(MATCH($A831,IF($B831="Onsite",tbl_Onsite[Row ID],IF($B831="Production",tbl_Production[Row ID],tbl_Consulting[Row ID])),0),"")</f>
        <v/>
      </c>
    </row>
    <row r="832">
      <c r="A832" s="10" t="inlineStr">
        <is>
          <t>PRD-0326</t>
        </is>
      </c>
      <c r="B832" s="10" t="inlineStr">
        <is>
          <t>Production</t>
        </is>
      </c>
      <c r="C832" s="10">
        <f>IF($BI832="","",IF($B832="Onsite",INDEX(tbl_Onsite[Job Number],$BI832),IF($B832="Production",INDEX(tbl_Production[Job Number],$BI832),INDEX(tbl_Consulting[Job Number],$BI832)))&amp;"")</f>
        <v/>
      </c>
      <c r="D832" s="10">
        <f>IF($BI832="","",IF($B832="Onsite",INDEX(tbl_Onsite[Client],$BI832),IF($B832="Production",INDEX(tbl_Production[Client],$BI832),INDEX(tbl_Consulting[Client],$BI832)))&amp;"")</f>
        <v/>
      </c>
      <c r="E832" s="10">
        <f>IF($C832="","",IF(COUNTIF(lst_Jobs,$C832)&gt;0,"OK","CHECK"))</f>
        <v/>
      </c>
      <c r="F832" s="10">
        <f>IF($C832="","",IFERROR(INDEX(lst_JobName,MATCH($C832,lst_Jobs,0)),""))</f>
        <v/>
      </c>
      <c r="G832" s="10">
        <f>IF($BI832="","",IF($B832="Onsite",INDEX(tbl_Onsite[Job Description],$BI832),IF($B832="Production",INDEX(tbl_Production[Job Description],$BI832),INDEX(tbl_Consulting[Job Description],$BI832)))&amp;"")</f>
        <v/>
      </c>
      <c r="H832" s="10">
        <f>IF($BI832="","",IF($B832="Onsite",INDEX(tbl_Onsite[Cost Centre],$BI832),IF($B832="Production",INDEX(tbl_Production[Cost Centre],$BI832),INDEX(tbl_Consulting[Cost Centre],$BI832)))&amp;"")</f>
        <v/>
      </c>
      <c r="I832" s="10">
        <f>IF($BI832="","",IF($B832="Onsite",INDEX(tbl_Onsite[Invoice Type],$BI832),IF($B832="Production",INDEX(tbl_Production[Invoice Type],$BI832),INDEX(tbl_Consulting[Invoice Type],$BI832)))&amp;"")</f>
        <v/>
      </c>
      <c r="J832" s="10">
        <f>IF($BI832="","",IF($B832="Onsite",INDEX(tbl_Onsite[Tax Code],$BI832),IF($B832="Production",INDEX(tbl_Production[Tax Code],$BI832),INDEX(tbl_Consulting[Tax Code],$BI832)))&amp;"")</f>
        <v/>
      </c>
      <c r="K832" s="10">
        <f>IF(H832="","",IFERROR(INDEX(lst_CCtoGL,MATCH(H832,lst_CCforGL,0)),""))</f>
        <v/>
      </c>
      <c r="L832" s="10">
        <f>IF($BI832="","",IF($B832="Onsite",INDEX(tbl_Onsite[PO / Reference],$BI832),IF($B832="Production",INDEX(tbl_Production[Current RMS No],$BI832),INDEX(tbl_Consulting[Qwilr Quote],$BI832)))&amp;"")</f>
        <v/>
      </c>
      <c r="M832" s="10">
        <f>IF($BI832="","",IF($B832="Onsite",INDEX(tbl_Onsite[Notes],$BI832),IF($B832="Production",INDEX(tbl_Production[Notes],$BI832),INDEX(tbl_Consulting[Notes],$BI832)))&amp;"")</f>
        <v/>
      </c>
      <c r="N832" s="11">
        <f>IF($BI832="","",IF(IF($B832="Onsite",INDEX(tbl_Onsite[Expected Revenue Ex GST],$BI832),IF($B832="Production",INDEX(tbl_Production[Expected Revenue Ex GST],$BI832),INDEX(tbl_Consulting[Expected Revenue Ex GST],$BI832)))="","",IF($B832="Onsite",INDEX(tbl_Onsite[Expected Revenue Ex GST],$BI832),IF($B832="Production",INDEX(tbl_Production[Expected Revenue Ex GST],$BI832),INDEX(tbl_Consulting[Expected Revenue Ex GST],$BI832)))))</f>
        <v/>
      </c>
      <c r="O832" s="11">
        <f>IF(AND($C832="",NOT(COUNTA($S832:$BB832)&gt;0)),"",SUM(U832,X832,AA832,AD832,AG832,AJ832,AM832,AP832,AS832,AV832,AY832,BB832))</f>
        <v/>
      </c>
      <c r="P832" s="11">
        <f>IF(O832="","",N(N832)-O832)</f>
        <v/>
      </c>
      <c r="Q832" s="10">
        <f>IF(O832="","",IF($C832="","Invoice on empty job row",IF(N832="",IF(ROUND(O832,2)=0,"No dept value","Invoiced - no dept value"),IF(ROUND(O832,2)=0,"Not invoiced - to invoice",IF(ROUND(P832,2)=0,"Agrees",IF(P832&gt;0,"Dept higher - to invoice","Xero higher - check dept"))))))</f>
        <v/>
      </c>
      <c r="R832" s="10">
        <f>IF(AND($C832="",NOT(COUNTA($S832:$BB832)&gt;0),$BI832&lt;&gt;""),"",MID(IF($BI832="","; Row ID not found on the department sheet - a row was deleted","")&amp;IF(AND($C832="",COUNTA($S832:$BB832)&gt;0),"; Invoice entered but the department row has no job number","")&amp;IF(E832="CHECK","; Job number not in the Xero job list","")&amp;IF(AND($C832&lt;&gt;"",COUNTIF($C$7:$C$1506,$C832)&gt;1),"; Job number on more than one row","")&amp;IF(AND($C832&lt;&gt;"",H832=""),"; Dept has not set a cost centre","")&amp;IF(AND($C832&lt;&gt;"",J832=""),"; Dept has not set a tax code","")&amp;IF(AND($C832&lt;&gt;"",N832=""),"; Dept has not entered an expected value","")&amp;IF((IF(OR(COUNTA(S832:U832)=0,AND(COUNTA(S832:U832)=3,ISNUMBER(U832))),0,1)+IF(OR(COUNTA(V832:X832)=0,AND(COUNTA(V832:X832)=3,ISNUMBER(X832))),0,1)+IF(OR(COUNTA(Y832:AA832)=0,AND(COUNTA(Y832:AA832)=3,ISNUMBER(AA832))),0,1)+IF(OR(COUNTA(AB832:AD832)=0,AND(COUNTA(AB832:AD832)=3,ISNUMBER(AD832))),0,1)+IF(OR(COUNTA(AE832:AG832)=0,AND(COUNTA(AE832:AG832)=3,ISNUMBER(AG832))),0,1)+IF(OR(COUNTA(AH832:AJ832)=0,AND(COUNTA(AH832:AJ832)=3,ISNUMBER(AJ832))),0,1)+IF(OR(COUNTA(AK832:AM832)=0,AND(COUNTA(AK832:AM832)=3,ISNUMBER(AM832))),0,1)+IF(OR(COUNTA(AN832:AP832)=0,AND(COUNTA(AN832:AP832)=3,ISNUMBER(AP832))),0,1)+IF(OR(COUNTA(AQ832:AS832)=0,AND(COUNTA(AQ832:AS832)=3,ISNUMBER(AS832))),0,1)+IF(OR(COUNTA(AT832:AV832)=0,AND(COUNTA(AT832:AV832)=3,ISNUMBER(AV832))),0,1)+IF(OR(COUNTA(AW832:AY832)=0,AND(COUNTA(AW832:AY832)=3,ISNUMBER(AY832))),0,1)+IF(OR(COUNTA(AZ832:BB832)=0,AND(COUNTA(AZ832:BB832)=3,ISNUMBER(BB832))),0,1))&gt;0,"; An invoice is incomplete (needs No, Date and a number in Ex GST)","")&amp;IF((IF(T832="",0,IFERROR(--(EOMONTH(T832,0)&lt;&gt;S$5),1))+IF(W832="",0,IFERROR(--(EOMONTH(W832,0)&lt;&gt;V$5),1))+IF(Z832="",0,IFERROR(--(EOMONTH(Z832,0)&lt;&gt;Y$5),1))+IF(AC832="",0,IFERROR(--(EOMONTH(AC832,0)&lt;&gt;AB$5),1))+IF(AF832="",0,IFERROR(--(EOMONTH(AF832,0)&lt;&gt;AE$5),1))+IF(AI832="",0,IFERROR(--(EOMONTH(AI832,0)&lt;&gt;AH$5),1))+IF(AL832="",0,IFERROR(--(EOMONTH(AL832,0)&lt;&gt;AK$5),1))+IF(AO832="",0,IFERROR(--(EOMONTH(AO832,0)&lt;&gt;AN$5),1))+IF(AR832="",0,IFERROR(--(EOMONTH(AR832,0)&lt;&gt;AQ$5),1))+IF(AU832="",0,IFERROR(--(EOMONTH(AU832,0)&lt;&gt;AT$5),1))+IF(AX832="",0,IFERROR(--(EOMONTH(AX832,0)&lt;&gt;AW$5),1))+IF(BA832="",0,IFERROR(--(EOMONTH(BA832,0)&lt;&gt;AZ$5),1)))&gt;0,"; An invoice date is not in the month it is typed under",""),3,500))</f>
        <v/>
      </c>
      <c r="S832" s="12" t="n"/>
      <c r="T832" s="13" t="n"/>
      <c r="U832" s="14" t="n"/>
      <c r="V832" s="12" t="n"/>
      <c r="W832" s="13" t="n"/>
      <c r="X832" s="14" t="n"/>
      <c r="Y832" s="12" t="n"/>
      <c r="Z832" s="13" t="n"/>
      <c r="AA832" s="14" t="n"/>
      <c r="AB832" s="12" t="n"/>
      <c r="AC832" s="13" t="n"/>
      <c r="AD832" s="14" t="n"/>
      <c r="AE832" s="12" t="n"/>
      <c r="AF832" s="13" t="n"/>
      <c r="AG832" s="14" t="n"/>
      <c r="AH832" s="12" t="n"/>
      <c r="AI832" s="13" t="n"/>
      <c r="AJ832" s="14" t="n"/>
      <c r="AK832" s="12" t="n"/>
      <c r="AL832" s="13" t="n"/>
      <c r="AM832" s="14" t="n"/>
      <c r="AN832" s="12" t="n"/>
      <c r="AO832" s="13" t="n"/>
      <c r="AP832" s="14" t="n"/>
      <c r="AQ832" s="12" t="n"/>
      <c r="AR832" s="13" t="n"/>
      <c r="AS832" s="14" t="n"/>
      <c r="AT832" s="12" t="n"/>
      <c r="AU832" s="13" t="n"/>
      <c r="AV832" s="14" t="n"/>
      <c r="AW832" s="12" t="n"/>
      <c r="AX832" s="13" t="n"/>
      <c r="AY832" s="14" t="n"/>
      <c r="AZ832" s="12" t="n"/>
      <c r="BA832" s="13" t="n"/>
      <c r="BB832" s="14" t="n"/>
      <c r="BC832" s="11">
        <f>IF(O832="","",IF(J832="GST 10%",ROUND(O832*set_GSTRate,2),0))</f>
        <v/>
      </c>
      <c r="BD832" s="11">
        <f>IF(O832="","",O832+BC832)</f>
        <v/>
      </c>
      <c r="BE832" s="15">
        <f>IF(O832="","",COUNTA(S832,V832,Y832,AB832,AE832,AH832,AK832,AN832,AQ832,AT832,AW832,AZ832))</f>
        <v/>
      </c>
      <c r="BF832" s="16">
        <f>IF(COUNT(T832,W832,Z832,AC832,AF832,AI832,AL832,AO832,AR832,AU832,AX832,BA832)=0,"",MAX(T832,W832,Z832,AC832,AF832,AI832,AL832,AO832,AR832,AU832,AX832,BA832))</f>
        <v/>
      </c>
      <c r="BG832" s="10">
        <f>MID(IF(S832="","",", "&amp;S832)&amp;IF(V832="","",", "&amp;V832)&amp;IF(Y832="","",", "&amp;Y832)&amp;IF(AB832="","",", "&amp;AB832)&amp;IF(AE832="","",", "&amp;AE832)&amp;IF(AH832="","",", "&amp;AH832)&amp;IF(AK832="","",", "&amp;AK832)&amp;IF(AN832="","",", "&amp;AN832)&amp;IF(AQ832="","",", "&amp;AQ832)&amp;IF(AT832="","",", "&amp;AT832)&amp;IF(AW832="","",", "&amp;AW832)&amp;IF(AZ832="","",", "&amp;AZ832),3,500)</f>
        <v/>
      </c>
      <c r="BH832" s="12" t="n"/>
      <c r="BI832" s="15">
        <f>IFERROR(MATCH($A832,IF($B832="Onsite",tbl_Onsite[Row ID],IF($B832="Production",tbl_Production[Row ID],tbl_Consulting[Row ID])),0),"")</f>
        <v/>
      </c>
    </row>
    <row r="833">
      <c r="A833" s="10" t="inlineStr">
        <is>
          <t>PRD-0327</t>
        </is>
      </c>
      <c r="B833" s="10" t="inlineStr">
        <is>
          <t>Production</t>
        </is>
      </c>
      <c r="C833" s="10">
        <f>IF($BI833="","",IF($B833="Onsite",INDEX(tbl_Onsite[Job Number],$BI833),IF($B833="Production",INDEX(tbl_Production[Job Number],$BI833),INDEX(tbl_Consulting[Job Number],$BI833)))&amp;"")</f>
        <v/>
      </c>
      <c r="D833" s="10">
        <f>IF($BI833="","",IF($B833="Onsite",INDEX(tbl_Onsite[Client],$BI833),IF($B833="Production",INDEX(tbl_Production[Client],$BI833),INDEX(tbl_Consulting[Client],$BI833)))&amp;"")</f>
        <v/>
      </c>
      <c r="E833" s="10">
        <f>IF($C833="","",IF(COUNTIF(lst_Jobs,$C833)&gt;0,"OK","CHECK"))</f>
        <v/>
      </c>
      <c r="F833" s="10">
        <f>IF($C833="","",IFERROR(INDEX(lst_JobName,MATCH($C833,lst_Jobs,0)),""))</f>
        <v/>
      </c>
      <c r="G833" s="10">
        <f>IF($BI833="","",IF($B833="Onsite",INDEX(tbl_Onsite[Job Description],$BI833),IF($B833="Production",INDEX(tbl_Production[Job Description],$BI833),INDEX(tbl_Consulting[Job Description],$BI833)))&amp;"")</f>
        <v/>
      </c>
      <c r="H833" s="10">
        <f>IF($BI833="","",IF($B833="Onsite",INDEX(tbl_Onsite[Cost Centre],$BI833),IF($B833="Production",INDEX(tbl_Production[Cost Centre],$BI833),INDEX(tbl_Consulting[Cost Centre],$BI833)))&amp;"")</f>
        <v/>
      </c>
      <c r="I833" s="10">
        <f>IF($BI833="","",IF($B833="Onsite",INDEX(tbl_Onsite[Invoice Type],$BI833),IF($B833="Production",INDEX(tbl_Production[Invoice Type],$BI833),INDEX(tbl_Consulting[Invoice Type],$BI833)))&amp;"")</f>
        <v/>
      </c>
      <c r="J833" s="10">
        <f>IF($BI833="","",IF($B833="Onsite",INDEX(tbl_Onsite[Tax Code],$BI833),IF($B833="Production",INDEX(tbl_Production[Tax Code],$BI833),INDEX(tbl_Consulting[Tax Code],$BI833)))&amp;"")</f>
        <v/>
      </c>
      <c r="K833" s="10">
        <f>IF(H833="","",IFERROR(INDEX(lst_CCtoGL,MATCH(H833,lst_CCforGL,0)),""))</f>
        <v/>
      </c>
      <c r="L833" s="10">
        <f>IF($BI833="","",IF($B833="Onsite",INDEX(tbl_Onsite[PO / Reference],$BI833),IF($B833="Production",INDEX(tbl_Production[Current RMS No],$BI833),INDEX(tbl_Consulting[Qwilr Quote],$BI833)))&amp;"")</f>
        <v/>
      </c>
      <c r="M833" s="10">
        <f>IF($BI833="","",IF($B833="Onsite",INDEX(tbl_Onsite[Notes],$BI833),IF($B833="Production",INDEX(tbl_Production[Notes],$BI833),INDEX(tbl_Consulting[Notes],$BI833)))&amp;"")</f>
        <v/>
      </c>
      <c r="N833" s="11">
        <f>IF($BI833="","",IF(IF($B833="Onsite",INDEX(tbl_Onsite[Expected Revenue Ex GST],$BI833),IF($B833="Production",INDEX(tbl_Production[Expected Revenue Ex GST],$BI833),INDEX(tbl_Consulting[Expected Revenue Ex GST],$BI833)))="","",IF($B833="Onsite",INDEX(tbl_Onsite[Expected Revenue Ex GST],$BI833),IF($B833="Production",INDEX(tbl_Production[Expected Revenue Ex GST],$BI833),INDEX(tbl_Consulting[Expected Revenue Ex GST],$BI833)))))</f>
        <v/>
      </c>
      <c r="O833" s="11">
        <f>IF(AND($C833="",NOT(COUNTA($S833:$BB833)&gt;0)),"",SUM(U833,X833,AA833,AD833,AG833,AJ833,AM833,AP833,AS833,AV833,AY833,BB833))</f>
        <v/>
      </c>
      <c r="P833" s="11">
        <f>IF(O833="","",N(N833)-O833)</f>
        <v/>
      </c>
      <c r="Q833" s="10">
        <f>IF(O833="","",IF($C833="","Invoice on empty job row",IF(N833="",IF(ROUND(O833,2)=0,"No dept value","Invoiced - no dept value"),IF(ROUND(O833,2)=0,"Not invoiced - to invoice",IF(ROUND(P833,2)=0,"Agrees",IF(P833&gt;0,"Dept higher - to invoice","Xero higher - check dept"))))))</f>
        <v/>
      </c>
      <c r="R833" s="10">
        <f>IF(AND($C833="",NOT(COUNTA($S833:$BB833)&gt;0),$BI833&lt;&gt;""),"",MID(IF($BI833="","; Row ID not found on the department sheet - a row was deleted","")&amp;IF(AND($C833="",COUNTA($S833:$BB833)&gt;0),"; Invoice entered but the department row has no job number","")&amp;IF(E833="CHECK","; Job number not in the Xero job list","")&amp;IF(AND($C833&lt;&gt;"",COUNTIF($C$7:$C$1506,$C833)&gt;1),"; Job number on more than one row","")&amp;IF(AND($C833&lt;&gt;"",H833=""),"; Dept has not set a cost centre","")&amp;IF(AND($C833&lt;&gt;"",J833=""),"; Dept has not set a tax code","")&amp;IF(AND($C833&lt;&gt;"",N833=""),"; Dept has not entered an expected value","")&amp;IF((IF(OR(COUNTA(S833:U833)=0,AND(COUNTA(S833:U833)=3,ISNUMBER(U833))),0,1)+IF(OR(COUNTA(V833:X833)=0,AND(COUNTA(V833:X833)=3,ISNUMBER(X833))),0,1)+IF(OR(COUNTA(Y833:AA833)=0,AND(COUNTA(Y833:AA833)=3,ISNUMBER(AA833))),0,1)+IF(OR(COUNTA(AB833:AD833)=0,AND(COUNTA(AB833:AD833)=3,ISNUMBER(AD833))),0,1)+IF(OR(COUNTA(AE833:AG833)=0,AND(COUNTA(AE833:AG833)=3,ISNUMBER(AG833))),0,1)+IF(OR(COUNTA(AH833:AJ833)=0,AND(COUNTA(AH833:AJ833)=3,ISNUMBER(AJ833))),0,1)+IF(OR(COUNTA(AK833:AM833)=0,AND(COUNTA(AK833:AM833)=3,ISNUMBER(AM833))),0,1)+IF(OR(COUNTA(AN833:AP833)=0,AND(COUNTA(AN833:AP833)=3,ISNUMBER(AP833))),0,1)+IF(OR(COUNTA(AQ833:AS833)=0,AND(COUNTA(AQ833:AS833)=3,ISNUMBER(AS833))),0,1)+IF(OR(COUNTA(AT833:AV833)=0,AND(COUNTA(AT833:AV833)=3,ISNUMBER(AV833))),0,1)+IF(OR(COUNTA(AW833:AY833)=0,AND(COUNTA(AW833:AY833)=3,ISNUMBER(AY833))),0,1)+IF(OR(COUNTA(AZ833:BB833)=0,AND(COUNTA(AZ833:BB833)=3,ISNUMBER(BB833))),0,1))&gt;0,"; An invoice is incomplete (needs No, Date and a number in Ex GST)","")&amp;IF((IF(T833="",0,IFERROR(--(EOMONTH(T833,0)&lt;&gt;S$5),1))+IF(W833="",0,IFERROR(--(EOMONTH(W833,0)&lt;&gt;V$5),1))+IF(Z833="",0,IFERROR(--(EOMONTH(Z833,0)&lt;&gt;Y$5),1))+IF(AC833="",0,IFERROR(--(EOMONTH(AC833,0)&lt;&gt;AB$5),1))+IF(AF833="",0,IFERROR(--(EOMONTH(AF833,0)&lt;&gt;AE$5),1))+IF(AI833="",0,IFERROR(--(EOMONTH(AI833,0)&lt;&gt;AH$5),1))+IF(AL833="",0,IFERROR(--(EOMONTH(AL833,0)&lt;&gt;AK$5),1))+IF(AO833="",0,IFERROR(--(EOMONTH(AO833,0)&lt;&gt;AN$5),1))+IF(AR833="",0,IFERROR(--(EOMONTH(AR833,0)&lt;&gt;AQ$5),1))+IF(AU833="",0,IFERROR(--(EOMONTH(AU833,0)&lt;&gt;AT$5),1))+IF(AX833="",0,IFERROR(--(EOMONTH(AX833,0)&lt;&gt;AW$5),1))+IF(BA833="",0,IFERROR(--(EOMONTH(BA833,0)&lt;&gt;AZ$5),1)))&gt;0,"; An invoice date is not in the month it is typed under",""),3,500))</f>
        <v/>
      </c>
      <c r="S833" s="12" t="n"/>
      <c r="T833" s="13" t="n"/>
      <c r="U833" s="14" t="n"/>
      <c r="V833" s="12" t="n"/>
      <c r="W833" s="13" t="n"/>
      <c r="X833" s="14" t="n"/>
      <c r="Y833" s="12" t="n"/>
      <c r="Z833" s="13" t="n"/>
      <c r="AA833" s="14" t="n"/>
      <c r="AB833" s="12" t="n"/>
      <c r="AC833" s="13" t="n"/>
      <c r="AD833" s="14" t="n"/>
      <c r="AE833" s="12" t="n"/>
      <c r="AF833" s="13" t="n"/>
      <c r="AG833" s="14" t="n"/>
      <c r="AH833" s="12" t="n"/>
      <c r="AI833" s="13" t="n"/>
      <c r="AJ833" s="14" t="n"/>
      <c r="AK833" s="12" t="n"/>
      <c r="AL833" s="13" t="n"/>
      <c r="AM833" s="14" t="n"/>
      <c r="AN833" s="12" t="n"/>
      <c r="AO833" s="13" t="n"/>
      <c r="AP833" s="14" t="n"/>
      <c r="AQ833" s="12" t="n"/>
      <c r="AR833" s="13" t="n"/>
      <c r="AS833" s="14" t="n"/>
      <c r="AT833" s="12" t="n"/>
      <c r="AU833" s="13" t="n"/>
      <c r="AV833" s="14" t="n"/>
      <c r="AW833" s="12" t="n"/>
      <c r="AX833" s="13" t="n"/>
      <c r="AY833" s="14" t="n"/>
      <c r="AZ833" s="12" t="n"/>
      <c r="BA833" s="13" t="n"/>
      <c r="BB833" s="14" t="n"/>
      <c r="BC833" s="11">
        <f>IF(O833="","",IF(J833="GST 10%",ROUND(O833*set_GSTRate,2),0))</f>
        <v/>
      </c>
      <c r="BD833" s="11">
        <f>IF(O833="","",O833+BC833)</f>
        <v/>
      </c>
      <c r="BE833" s="15">
        <f>IF(O833="","",COUNTA(S833,V833,Y833,AB833,AE833,AH833,AK833,AN833,AQ833,AT833,AW833,AZ833))</f>
        <v/>
      </c>
      <c r="BF833" s="16">
        <f>IF(COUNT(T833,W833,Z833,AC833,AF833,AI833,AL833,AO833,AR833,AU833,AX833,BA833)=0,"",MAX(T833,W833,Z833,AC833,AF833,AI833,AL833,AO833,AR833,AU833,AX833,BA833))</f>
        <v/>
      </c>
      <c r="BG833" s="10">
        <f>MID(IF(S833="","",", "&amp;S833)&amp;IF(V833="","",", "&amp;V833)&amp;IF(Y833="","",", "&amp;Y833)&amp;IF(AB833="","",", "&amp;AB833)&amp;IF(AE833="","",", "&amp;AE833)&amp;IF(AH833="","",", "&amp;AH833)&amp;IF(AK833="","",", "&amp;AK833)&amp;IF(AN833="","",", "&amp;AN833)&amp;IF(AQ833="","",", "&amp;AQ833)&amp;IF(AT833="","",", "&amp;AT833)&amp;IF(AW833="","",", "&amp;AW833)&amp;IF(AZ833="","",", "&amp;AZ833),3,500)</f>
        <v/>
      </c>
      <c r="BH833" s="12" t="n"/>
      <c r="BI833" s="15">
        <f>IFERROR(MATCH($A833,IF($B833="Onsite",tbl_Onsite[Row ID],IF($B833="Production",tbl_Production[Row ID],tbl_Consulting[Row ID])),0),"")</f>
        <v/>
      </c>
    </row>
    <row r="834">
      <c r="A834" s="10" t="inlineStr">
        <is>
          <t>PRD-0328</t>
        </is>
      </c>
      <c r="B834" s="10" t="inlineStr">
        <is>
          <t>Production</t>
        </is>
      </c>
      <c r="C834" s="10">
        <f>IF($BI834="","",IF($B834="Onsite",INDEX(tbl_Onsite[Job Number],$BI834),IF($B834="Production",INDEX(tbl_Production[Job Number],$BI834),INDEX(tbl_Consulting[Job Number],$BI834)))&amp;"")</f>
        <v/>
      </c>
      <c r="D834" s="10">
        <f>IF($BI834="","",IF($B834="Onsite",INDEX(tbl_Onsite[Client],$BI834),IF($B834="Production",INDEX(tbl_Production[Client],$BI834),INDEX(tbl_Consulting[Client],$BI834)))&amp;"")</f>
        <v/>
      </c>
      <c r="E834" s="10">
        <f>IF($C834="","",IF(COUNTIF(lst_Jobs,$C834)&gt;0,"OK","CHECK"))</f>
        <v/>
      </c>
      <c r="F834" s="10">
        <f>IF($C834="","",IFERROR(INDEX(lst_JobName,MATCH($C834,lst_Jobs,0)),""))</f>
        <v/>
      </c>
      <c r="G834" s="10">
        <f>IF($BI834="","",IF($B834="Onsite",INDEX(tbl_Onsite[Job Description],$BI834),IF($B834="Production",INDEX(tbl_Production[Job Description],$BI834),INDEX(tbl_Consulting[Job Description],$BI834)))&amp;"")</f>
        <v/>
      </c>
      <c r="H834" s="10">
        <f>IF($BI834="","",IF($B834="Onsite",INDEX(tbl_Onsite[Cost Centre],$BI834),IF($B834="Production",INDEX(tbl_Production[Cost Centre],$BI834),INDEX(tbl_Consulting[Cost Centre],$BI834)))&amp;"")</f>
        <v/>
      </c>
      <c r="I834" s="10">
        <f>IF($BI834="","",IF($B834="Onsite",INDEX(tbl_Onsite[Invoice Type],$BI834),IF($B834="Production",INDEX(tbl_Production[Invoice Type],$BI834),INDEX(tbl_Consulting[Invoice Type],$BI834)))&amp;"")</f>
        <v/>
      </c>
      <c r="J834" s="10">
        <f>IF($BI834="","",IF($B834="Onsite",INDEX(tbl_Onsite[Tax Code],$BI834),IF($B834="Production",INDEX(tbl_Production[Tax Code],$BI834),INDEX(tbl_Consulting[Tax Code],$BI834)))&amp;"")</f>
        <v/>
      </c>
      <c r="K834" s="10">
        <f>IF(H834="","",IFERROR(INDEX(lst_CCtoGL,MATCH(H834,lst_CCforGL,0)),""))</f>
        <v/>
      </c>
      <c r="L834" s="10">
        <f>IF($BI834="","",IF($B834="Onsite",INDEX(tbl_Onsite[PO / Reference],$BI834),IF($B834="Production",INDEX(tbl_Production[Current RMS No],$BI834),INDEX(tbl_Consulting[Qwilr Quote],$BI834)))&amp;"")</f>
        <v/>
      </c>
      <c r="M834" s="10">
        <f>IF($BI834="","",IF($B834="Onsite",INDEX(tbl_Onsite[Notes],$BI834),IF($B834="Production",INDEX(tbl_Production[Notes],$BI834),INDEX(tbl_Consulting[Notes],$BI834)))&amp;"")</f>
        <v/>
      </c>
      <c r="N834" s="11">
        <f>IF($BI834="","",IF(IF($B834="Onsite",INDEX(tbl_Onsite[Expected Revenue Ex GST],$BI834),IF($B834="Production",INDEX(tbl_Production[Expected Revenue Ex GST],$BI834),INDEX(tbl_Consulting[Expected Revenue Ex GST],$BI834)))="","",IF($B834="Onsite",INDEX(tbl_Onsite[Expected Revenue Ex GST],$BI834),IF($B834="Production",INDEX(tbl_Production[Expected Revenue Ex GST],$BI834),INDEX(tbl_Consulting[Expected Revenue Ex GST],$BI834)))))</f>
        <v/>
      </c>
      <c r="O834" s="11">
        <f>IF(AND($C834="",NOT(COUNTA($S834:$BB834)&gt;0)),"",SUM(U834,X834,AA834,AD834,AG834,AJ834,AM834,AP834,AS834,AV834,AY834,BB834))</f>
        <v/>
      </c>
      <c r="P834" s="11">
        <f>IF(O834="","",N(N834)-O834)</f>
        <v/>
      </c>
      <c r="Q834" s="10">
        <f>IF(O834="","",IF($C834="","Invoice on empty job row",IF(N834="",IF(ROUND(O834,2)=0,"No dept value","Invoiced - no dept value"),IF(ROUND(O834,2)=0,"Not invoiced - to invoice",IF(ROUND(P834,2)=0,"Agrees",IF(P834&gt;0,"Dept higher - to invoice","Xero higher - check dept"))))))</f>
        <v/>
      </c>
      <c r="R834" s="10">
        <f>IF(AND($C834="",NOT(COUNTA($S834:$BB834)&gt;0),$BI834&lt;&gt;""),"",MID(IF($BI834="","; Row ID not found on the department sheet - a row was deleted","")&amp;IF(AND($C834="",COUNTA($S834:$BB834)&gt;0),"; Invoice entered but the department row has no job number","")&amp;IF(E834="CHECK","; Job number not in the Xero job list","")&amp;IF(AND($C834&lt;&gt;"",COUNTIF($C$7:$C$1506,$C834)&gt;1),"; Job number on more than one row","")&amp;IF(AND($C834&lt;&gt;"",H834=""),"; Dept has not set a cost centre","")&amp;IF(AND($C834&lt;&gt;"",J834=""),"; Dept has not set a tax code","")&amp;IF(AND($C834&lt;&gt;"",N834=""),"; Dept has not entered an expected value","")&amp;IF((IF(OR(COUNTA(S834:U834)=0,AND(COUNTA(S834:U834)=3,ISNUMBER(U834))),0,1)+IF(OR(COUNTA(V834:X834)=0,AND(COUNTA(V834:X834)=3,ISNUMBER(X834))),0,1)+IF(OR(COUNTA(Y834:AA834)=0,AND(COUNTA(Y834:AA834)=3,ISNUMBER(AA834))),0,1)+IF(OR(COUNTA(AB834:AD834)=0,AND(COUNTA(AB834:AD834)=3,ISNUMBER(AD834))),0,1)+IF(OR(COUNTA(AE834:AG834)=0,AND(COUNTA(AE834:AG834)=3,ISNUMBER(AG834))),0,1)+IF(OR(COUNTA(AH834:AJ834)=0,AND(COUNTA(AH834:AJ834)=3,ISNUMBER(AJ834))),0,1)+IF(OR(COUNTA(AK834:AM834)=0,AND(COUNTA(AK834:AM834)=3,ISNUMBER(AM834))),0,1)+IF(OR(COUNTA(AN834:AP834)=0,AND(COUNTA(AN834:AP834)=3,ISNUMBER(AP834))),0,1)+IF(OR(COUNTA(AQ834:AS834)=0,AND(COUNTA(AQ834:AS834)=3,ISNUMBER(AS834))),0,1)+IF(OR(COUNTA(AT834:AV834)=0,AND(COUNTA(AT834:AV834)=3,ISNUMBER(AV834))),0,1)+IF(OR(COUNTA(AW834:AY834)=0,AND(COUNTA(AW834:AY834)=3,ISNUMBER(AY834))),0,1)+IF(OR(COUNTA(AZ834:BB834)=0,AND(COUNTA(AZ834:BB834)=3,ISNUMBER(BB834))),0,1))&gt;0,"; An invoice is incomplete (needs No, Date and a number in Ex GST)","")&amp;IF((IF(T834="",0,IFERROR(--(EOMONTH(T834,0)&lt;&gt;S$5),1))+IF(W834="",0,IFERROR(--(EOMONTH(W834,0)&lt;&gt;V$5),1))+IF(Z834="",0,IFERROR(--(EOMONTH(Z834,0)&lt;&gt;Y$5),1))+IF(AC834="",0,IFERROR(--(EOMONTH(AC834,0)&lt;&gt;AB$5),1))+IF(AF834="",0,IFERROR(--(EOMONTH(AF834,0)&lt;&gt;AE$5),1))+IF(AI834="",0,IFERROR(--(EOMONTH(AI834,0)&lt;&gt;AH$5),1))+IF(AL834="",0,IFERROR(--(EOMONTH(AL834,0)&lt;&gt;AK$5),1))+IF(AO834="",0,IFERROR(--(EOMONTH(AO834,0)&lt;&gt;AN$5),1))+IF(AR834="",0,IFERROR(--(EOMONTH(AR834,0)&lt;&gt;AQ$5),1))+IF(AU834="",0,IFERROR(--(EOMONTH(AU834,0)&lt;&gt;AT$5),1))+IF(AX834="",0,IFERROR(--(EOMONTH(AX834,0)&lt;&gt;AW$5),1))+IF(BA834="",0,IFERROR(--(EOMONTH(BA834,0)&lt;&gt;AZ$5),1)))&gt;0,"; An invoice date is not in the month it is typed under",""),3,500))</f>
        <v/>
      </c>
      <c r="S834" s="12" t="n"/>
      <c r="T834" s="13" t="n"/>
      <c r="U834" s="14" t="n"/>
      <c r="V834" s="12" t="n"/>
      <c r="W834" s="13" t="n"/>
      <c r="X834" s="14" t="n"/>
      <c r="Y834" s="12" t="n"/>
      <c r="Z834" s="13" t="n"/>
      <c r="AA834" s="14" t="n"/>
      <c r="AB834" s="12" t="n"/>
      <c r="AC834" s="13" t="n"/>
      <c r="AD834" s="14" t="n"/>
      <c r="AE834" s="12" t="n"/>
      <c r="AF834" s="13" t="n"/>
      <c r="AG834" s="14" t="n"/>
      <c r="AH834" s="12" t="n"/>
      <c r="AI834" s="13" t="n"/>
      <c r="AJ834" s="14" t="n"/>
      <c r="AK834" s="12" t="n"/>
      <c r="AL834" s="13" t="n"/>
      <c r="AM834" s="14" t="n"/>
      <c r="AN834" s="12" t="n"/>
      <c r="AO834" s="13" t="n"/>
      <c r="AP834" s="14" t="n"/>
      <c r="AQ834" s="12" t="n"/>
      <c r="AR834" s="13" t="n"/>
      <c r="AS834" s="14" t="n"/>
      <c r="AT834" s="12" t="n"/>
      <c r="AU834" s="13" t="n"/>
      <c r="AV834" s="14" t="n"/>
      <c r="AW834" s="12" t="n"/>
      <c r="AX834" s="13" t="n"/>
      <c r="AY834" s="14" t="n"/>
      <c r="AZ834" s="12" t="n"/>
      <c r="BA834" s="13" t="n"/>
      <c r="BB834" s="14" t="n"/>
      <c r="BC834" s="11">
        <f>IF(O834="","",IF(J834="GST 10%",ROUND(O834*set_GSTRate,2),0))</f>
        <v/>
      </c>
      <c r="BD834" s="11">
        <f>IF(O834="","",O834+BC834)</f>
        <v/>
      </c>
      <c r="BE834" s="15">
        <f>IF(O834="","",COUNTA(S834,V834,Y834,AB834,AE834,AH834,AK834,AN834,AQ834,AT834,AW834,AZ834))</f>
        <v/>
      </c>
      <c r="BF834" s="16">
        <f>IF(COUNT(T834,W834,Z834,AC834,AF834,AI834,AL834,AO834,AR834,AU834,AX834,BA834)=0,"",MAX(T834,W834,Z834,AC834,AF834,AI834,AL834,AO834,AR834,AU834,AX834,BA834))</f>
        <v/>
      </c>
      <c r="BG834" s="10">
        <f>MID(IF(S834="","",", "&amp;S834)&amp;IF(V834="","",", "&amp;V834)&amp;IF(Y834="","",", "&amp;Y834)&amp;IF(AB834="","",", "&amp;AB834)&amp;IF(AE834="","",", "&amp;AE834)&amp;IF(AH834="","",", "&amp;AH834)&amp;IF(AK834="","",", "&amp;AK834)&amp;IF(AN834="","",", "&amp;AN834)&amp;IF(AQ834="","",", "&amp;AQ834)&amp;IF(AT834="","",", "&amp;AT834)&amp;IF(AW834="","",", "&amp;AW834)&amp;IF(AZ834="","",", "&amp;AZ834),3,500)</f>
        <v/>
      </c>
      <c r="BH834" s="12" t="n"/>
      <c r="BI834" s="15">
        <f>IFERROR(MATCH($A834,IF($B834="Onsite",tbl_Onsite[Row ID],IF($B834="Production",tbl_Production[Row ID],tbl_Consulting[Row ID])),0),"")</f>
        <v/>
      </c>
    </row>
    <row r="835">
      <c r="A835" s="10" t="inlineStr">
        <is>
          <t>PRD-0329</t>
        </is>
      </c>
      <c r="B835" s="10" t="inlineStr">
        <is>
          <t>Production</t>
        </is>
      </c>
      <c r="C835" s="10">
        <f>IF($BI835="","",IF($B835="Onsite",INDEX(tbl_Onsite[Job Number],$BI835),IF($B835="Production",INDEX(tbl_Production[Job Number],$BI835),INDEX(tbl_Consulting[Job Number],$BI835)))&amp;"")</f>
        <v/>
      </c>
      <c r="D835" s="10">
        <f>IF($BI835="","",IF($B835="Onsite",INDEX(tbl_Onsite[Client],$BI835),IF($B835="Production",INDEX(tbl_Production[Client],$BI835),INDEX(tbl_Consulting[Client],$BI835)))&amp;"")</f>
        <v/>
      </c>
      <c r="E835" s="10">
        <f>IF($C835="","",IF(COUNTIF(lst_Jobs,$C835)&gt;0,"OK","CHECK"))</f>
        <v/>
      </c>
      <c r="F835" s="10">
        <f>IF($C835="","",IFERROR(INDEX(lst_JobName,MATCH($C835,lst_Jobs,0)),""))</f>
        <v/>
      </c>
      <c r="G835" s="10">
        <f>IF($BI835="","",IF($B835="Onsite",INDEX(tbl_Onsite[Job Description],$BI835),IF($B835="Production",INDEX(tbl_Production[Job Description],$BI835),INDEX(tbl_Consulting[Job Description],$BI835)))&amp;"")</f>
        <v/>
      </c>
      <c r="H835" s="10">
        <f>IF($BI835="","",IF($B835="Onsite",INDEX(tbl_Onsite[Cost Centre],$BI835),IF($B835="Production",INDEX(tbl_Production[Cost Centre],$BI835),INDEX(tbl_Consulting[Cost Centre],$BI835)))&amp;"")</f>
        <v/>
      </c>
      <c r="I835" s="10">
        <f>IF($BI835="","",IF($B835="Onsite",INDEX(tbl_Onsite[Invoice Type],$BI835),IF($B835="Production",INDEX(tbl_Production[Invoice Type],$BI835),INDEX(tbl_Consulting[Invoice Type],$BI835)))&amp;"")</f>
        <v/>
      </c>
      <c r="J835" s="10">
        <f>IF($BI835="","",IF($B835="Onsite",INDEX(tbl_Onsite[Tax Code],$BI835),IF($B835="Production",INDEX(tbl_Production[Tax Code],$BI835),INDEX(tbl_Consulting[Tax Code],$BI835)))&amp;"")</f>
        <v/>
      </c>
      <c r="K835" s="10">
        <f>IF(H835="","",IFERROR(INDEX(lst_CCtoGL,MATCH(H835,lst_CCforGL,0)),""))</f>
        <v/>
      </c>
      <c r="L835" s="10">
        <f>IF($BI835="","",IF($B835="Onsite",INDEX(tbl_Onsite[PO / Reference],$BI835),IF($B835="Production",INDEX(tbl_Production[Current RMS No],$BI835),INDEX(tbl_Consulting[Qwilr Quote],$BI835)))&amp;"")</f>
        <v/>
      </c>
      <c r="M835" s="10">
        <f>IF($BI835="","",IF($B835="Onsite",INDEX(tbl_Onsite[Notes],$BI835),IF($B835="Production",INDEX(tbl_Production[Notes],$BI835),INDEX(tbl_Consulting[Notes],$BI835)))&amp;"")</f>
        <v/>
      </c>
      <c r="N835" s="11">
        <f>IF($BI835="","",IF(IF($B835="Onsite",INDEX(tbl_Onsite[Expected Revenue Ex GST],$BI835),IF($B835="Production",INDEX(tbl_Production[Expected Revenue Ex GST],$BI835),INDEX(tbl_Consulting[Expected Revenue Ex GST],$BI835)))="","",IF($B835="Onsite",INDEX(tbl_Onsite[Expected Revenue Ex GST],$BI835),IF($B835="Production",INDEX(tbl_Production[Expected Revenue Ex GST],$BI835),INDEX(tbl_Consulting[Expected Revenue Ex GST],$BI835)))))</f>
        <v/>
      </c>
      <c r="O835" s="11">
        <f>IF(AND($C835="",NOT(COUNTA($S835:$BB835)&gt;0)),"",SUM(U835,X835,AA835,AD835,AG835,AJ835,AM835,AP835,AS835,AV835,AY835,BB835))</f>
        <v/>
      </c>
      <c r="P835" s="11">
        <f>IF(O835="","",N(N835)-O835)</f>
        <v/>
      </c>
      <c r="Q835" s="10">
        <f>IF(O835="","",IF($C835="","Invoice on empty job row",IF(N835="",IF(ROUND(O835,2)=0,"No dept value","Invoiced - no dept value"),IF(ROUND(O835,2)=0,"Not invoiced - to invoice",IF(ROUND(P835,2)=0,"Agrees",IF(P835&gt;0,"Dept higher - to invoice","Xero higher - check dept"))))))</f>
        <v/>
      </c>
      <c r="R835" s="10">
        <f>IF(AND($C835="",NOT(COUNTA($S835:$BB835)&gt;0),$BI835&lt;&gt;""),"",MID(IF($BI835="","; Row ID not found on the department sheet - a row was deleted","")&amp;IF(AND($C835="",COUNTA($S835:$BB835)&gt;0),"; Invoice entered but the department row has no job number","")&amp;IF(E835="CHECK","; Job number not in the Xero job list","")&amp;IF(AND($C835&lt;&gt;"",COUNTIF($C$7:$C$1506,$C835)&gt;1),"; Job number on more than one row","")&amp;IF(AND($C835&lt;&gt;"",H835=""),"; Dept has not set a cost centre","")&amp;IF(AND($C835&lt;&gt;"",J835=""),"; Dept has not set a tax code","")&amp;IF(AND($C835&lt;&gt;"",N835=""),"; Dept has not entered an expected value","")&amp;IF((IF(OR(COUNTA(S835:U835)=0,AND(COUNTA(S835:U835)=3,ISNUMBER(U835))),0,1)+IF(OR(COUNTA(V835:X835)=0,AND(COUNTA(V835:X835)=3,ISNUMBER(X835))),0,1)+IF(OR(COUNTA(Y835:AA835)=0,AND(COUNTA(Y835:AA835)=3,ISNUMBER(AA835))),0,1)+IF(OR(COUNTA(AB835:AD835)=0,AND(COUNTA(AB835:AD835)=3,ISNUMBER(AD835))),0,1)+IF(OR(COUNTA(AE835:AG835)=0,AND(COUNTA(AE835:AG835)=3,ISNUMBER(AG835))),0,1)+IF(OR(COUNTA(AH835:AJ835)=0,AND(COUNTA(AH835:AJ835)=3,ISNUMBER(AJ835))),0,1)+IF(OR(COUNTA(AK835:AM835)=0,AND(COUNTA(AK835:AM835)=3,ISNUMBER(AM835))),0,1)+IF(OR(COUNTA(AN835:AP835)=0,AND(COUNTA(AN835:AP835)=3,ISNUMBER(AP835))),0,1)+IF(OR(COUNTA(AQ835:AS835)=0,AND(COUNTA(AQ835:AS835)=3,ISNUMBER(AS835))),0,1)+IF(OR(COUNTA(AT835:AV835)=0,AND(COUNTA(AT835:AV835)=3,ISNUMBER(AV835))),0,1)+IF(OR(COUNTA(AW835:AY835)=0,AND(COUNTA(AW835:AY835)=3,ISNUMBER(AY835))),0,1)+IF(OR(COUNTA(AZ835:BB835)=0,AND(COUNTA(AZ835:BB835)=3,ISNUMBER(BB835))),0,1))&gt;0,"; An invoice is incomplete (needs No, Date and a number in Ex GST)","")&amp;IF((IF(T835="",0,IFERROR(--(EOMONTH(T835,0)&lt;&gt;S$5),1))+IF(W835="",0,IFERROR(--(EOMONTH(W835,0)&lt;&gt;V$5),1))+IF(Z835="",0,IFERROR(--(EOMONTH(Z835,0)&lt;&gt;Y$5),1))+IF(AC835="",0,IFERROR(--(EOMONTH(AC835,0)&lt;&gt;AB$5),1))+IF(AF835="",0,IFERROR(--(EOMONTH(AF835,0)&lt;&gt;AE$5),1))+IF(AI835="",0,IFERROR(--(EOMONTH(AI835,0)&lt;&gt;AH$5),1))+IF(AL835="",0,IFERROR(--(EOMONTH(AL835,0)&lt;&gt;AK$5),1))+IF(AO835="",0,IFERROR(--(EOMONTH(AO835,0)&lt;&gt;AN$5),1))+IF(AR835="",0,IFERROR(--(EOMONTH(AR835,0)&lt;&gt;AQ$5),1))+IF(AU835="",0,IFERROR(--(EOMONTH(AU835,0)&lt;&gt;AT$5),1))+IF(AX835="",0,IFERROR(--(EOMONTH(AX835,0)&lt;&gt;AW$5),1))+IF(BA835="",0,IFERROR(--(EOMONTH(BA835,0)&lt;&gt;AZ$5),1)))&gt;0,"; An invoice date is not in the month it is typed under",""),3,500))</f>
        <v/>
      </c>
      <c r="S835" s="12" t="n"/>
      <c r="T835" s="13" t="n"/>
      <c r="U835" s="14" t="n"/>
      <c r="V835" s="12" t="n"/>
      <c r="W835" s="13" t="n"/>
      <c r="X835" s="14" t="n"/>
      <c r="Y835" s="12" t="n"/>
      <c r="Z835" s="13" t="n"/>
      <c r="AA835" s="14" t="n"/>
      <c r="AB835" s="12" t="n"/>
      <c r="AC835" s="13" t="n"/>
      <c r="AD835" s="14" t="n"/>
      <c r="AE835" s="12" t="n"/>
      <c r="AF835" s="13" t="n"/>
      <c r="AG835" s="14" t="n"/>
      <c r="AH835" s="12" t="n"/>
      <c r="AI835" s="13" t="n"/>
      <c r="AJ835" s="14" t="n"/>
      <c r="AK835" s="12" t="n"/>
      <c r="AL835" s="13" t="n"/>
      <c r="AM835" s="14" t="n"/>
      <c r="AN835" s="12" t="n"/>
      <c r="AO835" s="13" t="n"/>
      <c r="AP835" s="14" t="n"/>
      <c r="AQ835" s="12" t="n"/>
      <c r="AR835" s="13" t="n"/>
      <c r="AS835" s="14" t="n"/>
      <c r="AT835" s="12" t="n"/>
      <c r="AU835" s="13" t="n"/>
      <c r="AV835" s="14" t="n"/>
      <c r="AW835" s="12" t="n"/>
      <c r="AX835" s="13" t="n"/>
      <c r="AY835" s="14" t="n"/>
      <c r="AZ835" s="12" t="n"/>
      <c r="BA835" s="13" t="n"/>
      <c r="BB835" s="14" t="n"/>
      <c r="BC835" s="11">
        <f>IF(O835="","",IF(J835="GST 10%",ROUND(O835*set_GSTRate,2),0))</f>
        <v/>
      </c>
      <c r="BD835" s="11">
        <f>IF(O835="","",O835+BC835)</f>
        <v/>
      </c>
      <c r="BE835" s="15">
        <f>IF(O835="","",COUNTA(S835,V835,Y835,AB835,AE835,AH835,AK835,AN835,AQ835,AT835,AW835,AZ835))</f>
        <v/>
      </c>
      <c r="BF835" s="16">
        <f>IF(COUNT(T835,W835,Z835,AC835,AF835,AI835,AL835,AO835,AR835,AU835,AX835,BA835)=0,"",MAX(T835,W835,Z835,AC835,AF835,AI835,AL835,AO835,AR835,AU835,AX835,BA835))</f>
        <v/>
      </c>
      <c r="BG835" s="10">
        <f>MID(IF(S835="","",", "&amp;S835)&amp;IF(V835="","",", "&amp;V835)&amp;IF(Y835="","",", "&amp;Y835)&amp;IF(AB835="","",", "&amp;AB835)&amp;IF(AE835="","",", "&amp;AE835)&amp;IF(AH835="","",", "&amp;AH835)&amp;IF(AK835="","",", "&amp;AK835)&amp;IF(AN835="","",", "&amp;AN835)&amp;IF(AQ835="","",", "&amp;AQ835)&amp;IF(AT835="","",", "&amp;AT835)&amp;IF(AW835="","",", "&amp;AW835)&amp;IF(AZ835="","",", "&amp;AZ835),3,500)</f>
        <v/>
      </c>
      <c r="BH835" s="12" t="n"/>
      <c r="BI835" s="15">
        <f>IFERROR(MATCH($A835,IF($B835="Onsite",tbl_Onsite[Row ID],IF($B835="Production",tbl_Production[Row ID],tbl_Consulting[Row ID])),0),"")</f>
        <v/>
      </c>
    </row>
    <row r="836">
      <c r="A836" s="10" t="inlineStr">
        <is>
          <t>PRD-0330</t>
        </is>
      </c>
      <c r="B836" s="10" t="inlineStr">
        <is>
          <t>Production</t>
        </is>
      </c>
      <c r="C836" s="10">
        <f>IF($BI836="","",IF($B836="Onsite",INDEX(tbl_Onsite[Job Number],$BI836),IF($B836="Production",INDEX(tbl_Production[Job Number],$BI836),INDEX(tbl_Consulting[Job Number],$BI836)))&amp;"")</f>
        <v/>
      </c>
      <c r="D836" s="10">
        <f>IF($BI836="","",IF($B836="Onsite",INDEX(tbl_Onsite[Client],$BI836),IF($B836="Production",INDEX(tbl_Production[Client],$BI836),INDEX(tbl_Consulting[Client],$BI836)))&amp;"")</f>
        <v/>
      </c>
      <c r="E836" s="10">
        <f>IF($C836="","",IF(COUNTIF(lst_Jobs,$C836)&gt;0,"OK","CHECK"))</f>
        <v/>
      </c>
      <c r="F836" s="10">
        <f>IF($C836="","",IFERROR(INDEX(lst_JobName,MATCH($C836,lst_Jobs,0)),""))</f>
        <v/>
      </c>
      <c r="G836" s="10">
        <f>IF($BI836="","",IF($B836="Onsite",INDEX(tbl_Onsite[Job Description],$BI836),IF($B836="Production",INDEX(tbl_Production[Job Description],$BI836),INDEX(tbl_Consulting[Job Description],$BI836)))&amp;"")</f>
        <v/>
      </c>
      <c r="H836" s="10">
        <f>IF($BI836="","",IF($B836="Onsite",INDEX(tbl_Onsite[Cost Centre],$BI836),IF($B836="Production",INDEX(tbl_Production[Cost Centre],$BI836),INDEX(tbl_Consulting[Cost Centre],$BI836)))&amp;"")</f>
        <v/>
      </c>
      <c r="I836" s="10">
        <f>IF($BI836="","",IF($B836="Onsite",INDEX(tbl_Onsite[Invoice Type],$BI836),IF($B836="Production",INDEX(tbl_Production[Invoice Type],$BI836),INDEX(tbl_Consulting[Invoice Type],$BI836)))&amp;"")</f>
        <v/>
      </c>
      <c r="J836" s="10">
        <f>IF($BI836="","",IF($B836="Onsite",INDEX(tbl_Onsite[Tax Code],$BI836),IF($B836="Production",INDEX(tbl_Production[Tax Code],$BI836),INDEX(tbl_Consulting[Tax Code],$BI836)))&amp;"")</f>
        <v/>
      </c>
      <c r="K836" s="10">
        <f>IF(H836="","",IFERROR(INDEX(lst_CCtoGL,MATCH(H836,lst_CCforGL,0)),""))</f>
        <v/>
      </c>
      <c r="L836" s="10">
        <f>IF($BI836="","",IF($B836="Onsite",INDEX(tbl_Onsite[PO / Reference],$BI836),IF($B836="Production",INDEX(tbl_Production[Current RMS No],$BI836),INDEX(tbl_Consulting[Qwilr Quote],$BI836)))&amp;"")</f>
        <v/>
      </c>
      <c r="M836" s="10">
        <f>IF($BI836="","",IF($B836="Onsite",INDEX(tbl_Onsite[Notes],$BI836),IF($B836="Production",INDEX(tbl_Production[Notes],$BI836),INDEX(tbl_Consulting[Notes],$BI836)))&amp;"")</f>
        <v/>
      </c>
      <c r="N836" s="11">
        <f>IF($BI836="","",IF(IF($B836="Onsite",INDEX(tbl_Onsite[Expected Revenue Ex GST],$BI836),IF($B836="Production",INDEX(tbl_Production[Expected Revenue Ex GST],$BI836),INDEX(tbl_Consulting[Expected Revenue Ex GST],$BI836)))="","",IF($B836="Onsite",INDEX(tbl_Onsite[Expected Revenue Ex GST],$BI836),IF($B836="Production",INDEX(tbl_Production[Expected Revenue Ex GST],$BI836),INDEX(tbl_Consulting[Expected Revenue Ex GST],$BI836)))))</f>
        <v/>
      </c>
      <c r="O836" s="11">
        <f>IF(AND($C836="",NOT(COUNTA($S836:$BB836)&gt;0)),"",SUM(U836,X836,AA836,AD836,AG836,AJ836,AM836,AP836,AS836,AV836,AY836,BB836))</f>
        <v/>
      </c>
      <c r="P836" s="11">
        <f>IF(O836="","",N(N836)-O836)</f>
        <v/>
      </c>
      <c r="Q836" s="10">
        <f>IF(O836="","",IF($C836="","Invoice on empty job row",IF(N836="",IF(ROUND(O836,2)=0,"No dept value","Invoiced - no dept value"),IF(ROUND(O836,2)=0,"Not invoiced - to invoice",IF(ROUND(P836,2)=0,"Agrees",IF(P836&gt;0,"Dept higher - to invoice","Xero higher - check dept"))))))</f>
        <v/>
      </c>
      <c r="R836" s="10">
        <f>IF(AND($C836="",NOT(COUNTA($S836:$BB836)&gt;0),$BI836&lt;&gt;""),"",MID(IF($BI836="","; Row ID not found on the department sheet - a row was deleted","")&amp;IF(AND($C836="",COUNTA($S836:$BB836)&gt;0),"; Invoice entered but the department row has no job number","")&amp;IF(E836="CHECK","; Job number not in the Xero job list","")&amp;IF(AND($C836&lt;&gt;"",COUNTIF($C$7:$C$1506,$C836)&gt;1),"; Job number on more than one row","")&amp;IF(AND($C836&lt;&gt;"",H836=""),"; Dept has not set a cost centre","")&amp;IF(AND($C836&lt;&gt;"",J836=""),"; Dept has not set a tax code","")&amp;IF(AND($C836&lt;&gt;"",N836=""),"; Dept has not entered an expected value","")&amp;IF((IF(OR(COUNTA(S836:U836)=0,AND(COUNTA(S836:U836)=3,ISNUMBER(U836))),0,1)+IF(OR(COUNTA(V836:X836)=0,AND(COUNTA(V836:X836)=3,ISNUMBER(X836))),0,1)+IF(OR(COUNTA(Y836:AA836)=0,AND(COUNTA(Y836:AA836)=3,ISNUMBER(AA836))),0,1)+IF(OR(COUNTA(AB836:AD836)=0,AND(COUNTA(AB836:AD836)=3,ISNUMBER(AD836))),0,1)+IF(OR(COUNTA(AE836:AG836)=0,AND(COUNTA(AE836:AG836)=3,ISNUMBER(AG836))),0,1)+IF(OR(COUNTA(AH836:AJ836)=0,AND(COUNTA(AH836:AJ836)=3,ISNUMBER(AJ836))),0,1)+IF(OR(COUNTA(AK836:AM836)=0,AND(COUNTA(AK836:AM836)=3,ISNUMBER(AM836))),0,1)+IF(OR(COUNTA(AN836:AP836)=0,AND(COUNTA(AN836:AP836)=3,ISNUMBER(AP836))),0,1)+IF(OR(COUNTA(AQ836:AS836)=0,AND(COUNTA(AQ836:AS836)=3,ISNUMBER(AS836))),0,1)+IF(OR(COUNTA(AT836:AV836)=0,AND(COUNTA(AT836:AV836)=3,ISNUMBER(AV836))),0,1)+IF(OR(COUNTA(AW836:AY836)=0,AND(COUNTA(AW836:AY836)=3,ISNUMBER(AY836))),0,1)+IF(OR(COUNTA(AZ836:BB836)=0,AND(COUNTA(AZ836:BB836)=3,ISNUMBER(BB836))),0,1))&gt;0,"; An invoice is incomplete (needs No, Date and a number in Ex GST)","")&amp;IF((IF(T836="",0,IFERROR(--(EOMONTH(T836,0)&lt;&gt;S$5),1))+IF(W836="",0,IFERROR(--(EOMONTH(W836,0)&lt;&gt;V$5),1))+IF(Z836="",0,IFERROR(--(EOMONTH(Z836,0)&lt;&gt;Y$5),1))+IF(AC836="",0,IFERROR(--(EOMONTH(AC836,0)&lt;&gt;AB$5),1))+IF(AF836="",0,IFERROR(--(EOMONTH(AF836,0)&lt;&gt;AE$5),1))+IF(AI836="",0,IFERROR(--(EOMONTH(AI836,0)&lt;&gt;AH$5),1))+IF(AL836="",0,IFERROR(--(EOMONTH(AL836,0)&lt;&gt;AK$5),1))+IF(AO836="",0,IFERROR(--(EOMONTH(AO836,0)&lt;&gt;AN$5),1))+IF(AR836="",0,IFERROR(--(EOMONTH(AR836,0)&lt;&gt;AQ$5),1))+IF(AU836="",0,IFERROR(--(EOMONTH(AU836,0)&lt;&gt;AT$5),1))+IF(AX836="",0,IFERROR(--(EOMONTH(AX836,0)&lt;&gt;AW$5),1))+IF(BA836="",0,IFERROR(--(EOMONTH(BA836,0)&lt;&gt;AZ$5),1)))&gt;0,"; An invoice date is not in the month it is typed under",""),3,500))</f>
        <v/>
      </c>
      <c r="S836" s="12" t="n"/>
      <c r="T836" s="13" t="n"/>
      <c r="U836" s="14" t="n"/>
      <c r="V836" s="12" t="n"/>
      <c r="W836" s="13" t="n"/>
      <c r="X836" s="14" t="n"/>
      <c r="Y836" s="12" t="n"/>
      <c r="Z836" s="13" t="n"/>
      <c r="AA836" s="14" t="n"/>
      <c r="AB836" s="12" t="n"/>
      <c r="AC836" s="13" t="n"/>
      <c r="AD836" s="14" t="n"/>
      <c r="AE836" s="12" t="n"/>
      <c r="AF836" s="13" t="n"/>
      <c r="AG836" s="14" t="n"/>
      <c r="AH836" s="12" t="n"/>
      <c r="AI836" s="13" t="n"/>
      <c r="AJ836" s="14" t="n"/>
      <c r="AK836" s="12" t="n"/>
      <c r="AL836" s="13" t="n"/>
      <c r="AM836" s="14" t="n"/>
      <c r="AN836" s="12" t="n"/>
      <c r="AO836" s="13" t="n"/>
      <c r="AP836" s="14" t="n"/>
      <c r="AQ836" s="12" t="n"/>
      <c r="AR836" s="13" t="n"/>
      <c r="AS836" s="14" t="n"/>
      <c r="AT836" s="12" t="n"/>
      <c r="AU836" s="13" t="n"/>
      <c r="AV836" s="14" t="n"/>
      <c r="AW836" s="12" t="n"/>
      <c r="AX836" s="13" t="n"/>
      <c r="AY836" s="14" t="n"/>
      <c r="AZ836" s="12" t="n"/>
      <c r="BA836" s="13" t="n"/>
      <c r="BB836" s="14" t="n"/>
      <c r="BC836" s="11">
        <f>IF(O836="","",IF(J836="GST 10%",ROUND(O836*set_GSTRate,2),0))</f>
        <v/>
      </c>
      <c r="BD836" s="11">
        <f>IF(O836="","",O836+BC836)</f>
        <v/>
      </c>
      <c r="BE836" s="15">
        <f>IF(O836="","",COUNTA(S836,V836,Y836,AB836,AE836,AH836,AK836,AN836,AQ836,AT836,AW836,AZ836))</f>
        <v/>
      </c>
      <c r="BF836" s="16">
        <f>IF(COUNT(T836,W836,Z836,AC836,AF836,AI836,AL836,AO836,AR836,AU836,AX836,BA836)=0,"",MAX(T836,W836,Z836,AC836,AF836,AI836,AL836,AO836,AR836,AU836,AX836,BA836))</f>
        <v/>
      </c>
      <c r="BG836" s="10">
        <f>MID(IF(S836="","",", "&amp;S836)&amp;IF(V836="","",", "&amp;V836)&amp;IF(Y836="","",", "&amp;Y836)&amp;IF(AB836="","",", "&amp;AB836)&amp;IF(AE836="","",", "&amp;AE836)&amp;IF(AH836="","",", "&amp;AH836)&amp;IF(AK836="","",", "&amp;AK836)&amp;IF(AN836="","",", "&amp;AN836)&amp;IF(AQ836="","",", "&amp;AQ836)&amp;IF(AT836="","",", "&amp;AT836)&amp;IF(AW836="","",", "&amp;AW836)&amp;IF(AZ836="","",", "&amp;AZ836),3,500)</f>
        <v/>
      </c>
      <c r="BH836" s="12" t="n"/>
      <c r="BI836" s="15">
        <f>IFERROR(MATCH($A836,IF($B836="Onsite",tbl_Onsite[Row ID],IF($B836="Production",tbl_Production[Row ID],tbl_Consulting[Row ID])),0),"")</f>
        <v/>
      </c>
    </row>
    <row r="837">
      <c r="A837" s="10" t="inlineStr">
        <is>
          <t>PRD-0331</t>
        </is>
      </c>
      <c r="B837" s="10" t="inlineStr">
        <is>
          <t>Production</t>
        </is>
      </c>
      <c r="C837" s="10">
        <f>IF($BI837="","",IF($B837="Onsite",INDEX(tbl_Onsite[Job Number],$BI837),IF($B837="Production",INDEX(tbl_Production[Job Number],$BI837),INDEX(tbl_Consulting[Job Number],$BI837)))&amp;"")</f>
        <v/>
      </c>
      <c r="D837" s="10">
        <f>IF($BI837="","",IF($B837="Onsite",INDEX(tbl_Onsite[Client],$BI837),IF($B837="Production",INDEX(tbl_Production[Client],$BI837),INDEX(tbl_Consulting[Client],$BI837)))&amp;"")</f>
        <v/>
      </c>
      <c r="E837" s="10">
        <f>IF($C837="","",IF(COUNTIF(lst_Jobs,$C837)&gt;0,"OK","CHECK"))</f>
        <v/>
      </c>
      <c r="F837" s="10">
        <f>IF($C837="","",IFERROR(INDEX(lst_JobName,MATCH($C837,lst_Jobs,0)),""))</f>
        <v/>
      </c>
      <c r="G837" s="10">
        <f>IF($BI837="","",IF($B837="Onsite",INDEX(tbl_Onsite[Job Description],$BI837),IF($B837="Production",INDEX(tbl_Production[Job Description],$BI837),INDEX(tbl_Consulting[Job Description],$BI837)))&amp;"")</f>
        <v/>
      </c>
      <c r="H837" s="10">
        <f>IF($BI837="","",IF($B837="Onsite",INDEX(tbl_Onsite[Cost Centre],$BI837),IF($B837="Production",INDEX(tbl_Production[Cost Centre],$BI837),INDEX(tbl_Consulting[Cost Centre],$BI837)))&amp;"")</f>
        <v/>
      </c>
      <c r="I837" s="10">
        <f>IF($BI837="","",IF($B837="Onsite",INDEX(tbl_Onsite[Invoice Type],$BI837),IF($B837="Production",INDEX(tbl_Production[Invoice Type],$BI837),INDEX(tbl_Consulting[Invoice Type],$BI837)))&amp;"")</f>
        <v/>
      </c>
      <c r="J837" s="10">
        <f>IF($BI837="","",IF($B837="Onsite",INDEX(tbl_Onsite[Tax Code],$BI837),IF($B837="Production",INDEX(tbl_Production[Tax Code],$BI837),INDEX(tbl_Consulting[Tax Code],$BI837)))&amp;"")</f>
        <v/>
      </c>
      <c r="K837" s="10">
        <f>IF(H837="","",IFERROR(INDEX(lst_CCtoGL,MATCH(H837,lst_CCforGL,0)),""))</f>
        <v/>
      </c>
      <c r="L837" s="10">
        <f>IF($BI837="","",IF($B837="Onsite",INDEX(tbl_Onsite[PO / Reference],$BI837),IF($B837="Production",INDEX(tbl_Production[Current RMS No],$BI837),INDEX(tbl_Consulting[Qwilr Quote],$BI837)))&amp;"")</f>
        <v/>
      </c>
      <c r="M837" s="10">
        <f>IF($BI837="","",IF($B837="Onsite",INDEX(tbl_Onsite[Notes],$BI837),IF($B837="Production",INDEX(tbl_Production[Notes],$BI837),INDEX(tbl_Consulting[Notes],$BI837)))&amp;"")</f>
        <v/>
      </c>
      <c r="N837" s="11">
        <f>IF($BI837="","",IF(IF($B837="Onsite",INDEX(tbl_Onsite[Expected Revenue Ex GST],$BI837),IF($B837="Production",INDEX(tbl_Production[Expected Revenue Ex GST],$BI837),INDEX(tbl_Consulting[Expected Revenue Ex GST],$BI837)))="","",IF($B837="Onsite",INDEX(tbl_Onsite[Expected Revenue Ex GST],$BI837),IF($B837="Production",INDEX(tbl_Production[Expected Revenue Ex GST],$BI837),INDEX(tbl_Consulting[Expected Revenue Ex GST],$BI837)))))</f>
        <v/>
      </c>
      <c r="O837" s="11">
        <f>IF(AND($C837="",NOT(COUNTA($S837:$BB837)&gt;0)),"",SUM(U837,X837,AA837,AD837,AG837,AJ837,AM837,AP837,AS837,AV837,AY837,BB837))</f>
        <v/>
      </c>
      <c r="P837" s="11">
        <f>IF(O837="","",N(N837)-O837)</f>
        <v/>
      </c>
      <c r="Q837" s="10">
        <f>IF(O837="","",IF($C837="","Invoice on empty job row",IF(N837="",IF(ROUND(O837,2)=0,"No dept value","Invoiced - no dept value"),IF(ROUND(O837,2)=0,"Not invoiced - to invoice",IF(ROUND(P837,2)=0,"Agrees",IF(P837&gt;0,"Dept higher - to invoice","Xero higher - check dept"))))))</f>
        <v/>
      </c>
      <c r="R837" s="10">
        <f>IF(AND($C837="",NOT(COUNTA($S837:$BB837)&gt;0),$BI837&lt;&gt;""),"",MID(IF($BI837="","; Row ID not found on the department sheet - a row was deleted","")&amp;IF(AND($C837="",COUNTA($S837:$BB837)&gt;0),"; Invoice entered but the department row has no job number","")&amp;IF(E837="CHECK","; Job number not in the Xero job list","")&amp;IF(AND($C837&lt;&gt;"",COUNTIF($C$7:$C$1506,$C837)&gt;1),"; Job number on more than one row","")&amp;IF(AND($C837&lt;&gt;"",H837=""),"; Dept has not set a cost centre","")&amp;IF(AND($C837&lt;&gt;"",J837=""),"; Dept has not set a tax code","")&amp;IF(AND($C837&lt;&gt;"",N837=""),"; Dept has not entered an expected value","")&amp;IF((IF(OR(COUNTA(S837:U837)=0,AND(COUNTA(S837:U837)=3,ISNUMBER(U837))),0,1)+IF(OR(COUNTA(V837:X837)=0,AND(COUNTA(V837:X837)=3,ISNUMBER(X837))),0,1)+IF(OR(COUNTA(Y837:AA837)=0,AND(COUNTA(Y837:AA837)=3,ISNUMBER(AA837))),0,1)+IF(OR(COUNTA(AB837:AD837)=0,AND(COUNTA(AB837:AD837)=3,ISNUMBER(AD837))),0,1)+IF(OR(COUNTA(AE837:AG837)=0,AND(COUNTA(AE837:AG837)=3,ISNUMBER(AG837))),0,1)+IF(OR(COUNTA(AH837:AJ837)=0,AND(COUNTA(AH837:AJ837)=3,ISNUMBER(AJ837))),0,1)+IF(OR(COUNTA(AK837:AM837)=0,AND(COUNTA(AK837:AM837)=3,ISNUMBER(AM837))),0,1)+IF(OR(COUNTA(AN837:AP837)=0,AND(COUNTA(AN837:AP837)=3,ISNUMBER(AP837))),0,1)+IF(OR(COUNTA(AQ837:AS837)=0,AND(COUNTA(AQ837:AS837)=3,ISNUMBER(AS837))),0,1)+IF(OR(COUNTA(AT837:AV837)=0,AND(COUNTA(AT837:AV837)=3,ISNUMBER(AV837))),0,1)+IF(OR(COUNTA(AW837:AY837)=0,AND(COUNTA(AW837:AY837)=3,ISNUMBER(AY837))),0,1)+IF(OR(COUNTA(AZ837:BB837)=0,AND(COUNTA(AZ837:BB837)=3,ISNUMBER(BB837))),0,1))&gt;0,"; An invoice is incomplete (needs No, Date and a number in Ex GST)","")&amp;IF((IF(T837="",0,IFERROR(--(EOMONTH(T837,0)&lt;&gt;S$5),1))+IF(W837="",0,IFERROR(--(EOMONTH(W837,0)&lt;&gt;V$5),1))+IF(Z837="",0,IFERROR(--(EOMONTH(Z837,0)&lt;&gt;Y$5),1))+IF(AC837="",0,IFERROR(--(EOMONTH(AC837,0)&lt;&gt;AB$5),1))+IF(AF837="",0,IFERROR(--(EOMONTH(AF837,0)&lt;&gt;AE$5),1))+IF(AI837="",0,IFERROR(--(EOMONTH(AI837,0)&lt;&gt;AH$5),1))+IF(AL837="",0,IFERROR(--(EOMONTH(AL837,0)&lt;&gt;AK$5),1))+IF(AO837="",0,IFERROR(--(EOMONTH(AO837,0)&lt;&gt;AN$5),1))+IF(AR837="",0,IFERROR(--(EOMONTH(AR837,0)&lt;&gt;AQ$5),1))+IF(AU837="",0,IFERROR(--(EOMONTH(AU837,0)&lt;&gt;AT$5),1))+IF(AX837="",0,IFERROR(--(EOMONTH(AX837,0)&lt;&gt;AW$5),1))+IF(BA837="",0,IFERROR(--(EOMONTH(BA837,0)&lt;&gt;AZ$5),1)))&gt;0,"; An invoice date is not in the month it is typed under",""),3,500))</f>
        <v/>
      </c>
      <c r="S837" s="12" t="n"/>
      <c r="T837" s="13" t="n"/>
      <c r="U837" s="14" t="n"/>
      <c r="V837" s="12" t="n"/>
      <c r="W837" s="13" t="n"/>
      <c r="X837" s="14" t="n"/>
      <c r="Y837" s="12" t="n"/>
      <c r="Z837" s="13" t="n"/>
      <c r="AA837" s="14" t="n"/>
      <c r="AB837" s="12" t="n"/>
      <c r="AC837" s="13" t="n"/>
      <c r="AD837" s="14" t="n"/>
      <c r="AE837" s="12" t="n"/>
      <c r="AF837" s="13" t="n"/>
      <c r="AG837" s="14" t="n"/>
      <c r="AH837" s="12" t="n"/>
      <c r="AI837" s="13" t="n"/>
      <c r="AJ837" s="14" t="n"/>
      <c r="AK837" s="12" t="n"/>
      <c r="AL837" s="13" t="n"/>
      <c r="AM837" s="14" t="n"/>
      <c r="AN837" s="12" t="n"/>
      <c r="AO837" s="13" t="n"/>
      <c r="AP837" s="14" t="n"/>
      <c r="AQ837" s="12" t="n"/>
      <c r="AR837" s="13" t="n"/>
      <c r="AS837" s="14" t="n"/>
      <c r="AT837" s="12" t="n"/>
      <c r="AU837" s="13" t="n"/>
      <c r="AV837" s="14" t="n"/>
      <c r="AW837" s="12" t="n"/>
      <c r="AX837" s="13" t="n"/>
      <c r="AY837" s="14" t="n"/>
      <c r="AZ837" s="12" t="n"/>
      <c r="BA837" s="13" t="n"/>
      <c r="BB837" s="14" t="n"/>
      <c r="BC837" s="11">
        <f>IF(O837="","",IF(J837="GST 10%",ROUND(O837*set_GSTRate,2),0))</f>
        <v/>
      </c>
      <c r="BD837" s="11">
        <f>IF(O837="","",O837+BC837)</f>
        <v/>
      </c>
      <c r="BE837" s="15">
        <f>IF(O837="","",COUNTA(S837,V837,Y837,AB837,AE837,AH837,AK837,AN837,AQ837,AT837,AW837,AZ837))</f>
        <v/>
      </c>
      <c r="BF837" s="16">
        <f>IF(COUNT(T837,W837,Z837,AC837,AF837,AI837,AL837,AO837,AR837,AU837,AX837,BA837)=0,"",MAX(T837,W837,Z837,AC837,AF837,AI837,AL837,AO837,AR837,AU837,AX837,BA837))</f>
        <v/>
      </c>
      <c r="BG837" s="10">
        <f>MID(IF(S837="","",", "&amp;S837)&amp;IF(V837="","",", "&amp;V837)&amp;IF(Y837="","",", "&amp;Y837)&amp;IF(AB837="","",", "&amp;AB837)&amp;IF(AE837="","",", "&amp;AE837)&amp;IF(AH837="","",", "&amp;AH837)&amp;IF(AK837="","",", "&amp;AK837)&amp;IF(AN837="","",", "&amp;AN837)&amp;IF(AQ837="","",", "&amp;AQ837)&amp;IF(AT837="","",", "&amp;AT837)&amp;IF(AW837="","",", "&amp;AW837)&amp;IF(AZ837="","",", "&amp;AZ837),3,500)</f>
        <v/>
      </c>
      <c r="BH837" s="12" t="n"/>
      <c r="BI837" s="15">
        <f>IFERROR(MATCH($A837,IF($B837="Onsite",tbl_Onsite[Row ID],IF($B837="Production",tbl_Production[Row ID],tbl_Consulting[Row ID])),0),"")</f>
        <v/>
      </c>
    </row>
    <row r="838">
      <c r="A838" s="10" t="inlineStr">
        <is>
          <t>PRD-0332</t>
        </is>
      </c>
      <c r="B838" s="10" t="inlineStr">
        <is>
          <t>Production</t>
        </is>
      </c>
      <c r="C838" s="10">
        <f>IF($BI838="","",IF($B838="Onsite",INDEX(tbl_Onsite[Job Number],$BI838),IF($B838="Production",INDEX(tbl_Production[Job Number],$BI838),INDEX(tbl_Consulting[Job Number],$BI838)))&amp;"")</f>
        <v/>
      </c>
      <c r="D838" s="10">
        <f>IF($BI838="","",IF($B838="Onsite",INDEX(tbl_Onsite[Client],$BI838),IF($B838="Production",INDEX(tbl_Production[Client],$BI838),INDEX(tbl_Consulting[Client],$BI838)))&amp;"")</f>
        <v/>
      </c>
      <c r="E838" s="10">
        <f>IF($C838="","",IF(COUNTIF(lst_Jobs,$C838)&gt;0,"OK","CHECK"))</f>
        <v/>
      </c>
      <c r="F838" s="10">
        <f>IF($C838="","",IFERROR(INDEX(lst_JobName,MATCH($C838,lst_Jobs,0)),""))</f>
        <v/>
      </c>
      <c r="G838" s="10">
        <f>IF($BI838="","",IF($B838="Onsite",INDEX(tbl_Onsite[Job Description],$BI838),IF($B838="Production",INDEX(tbl_Production[Job Description],$BI838),INDEX(tbl_Consulting[Job Description],$BI838)))&amp;"")</f>
        <v/>
      </c>
      <c r="H838" s="10">
        <f>IF($BI838="","",IF($B838="Onsite",INDEX(tbl_Onsite[Cost Centre],$BI838),IF($B838="Production",INDEX(tbl_Production[Cost Centre],$BI838),INDEX(tbl_Consulting[Cost Centre],$BI838)))&amp;"")</f>
        <v/>
      </c>
      <c r="I838" s="10">
        <f>IF($BI838="","",IF($B838="Onsite",INDEX(tbl_Onsite[Invoice Type],$BI838),IF($B838="Production",INDEX(tbl_Production[Invoice Type],$BI838),INDEX(tbl_Consulting[Invoice Type],$BI838)))&amp;"")</f>
        <v/>
      </c>
      <c r="J838" s="10">
        <f>IF($BI838="","",IF($B838="Onsite",INDEX(tbl_Onsite[Tax Code],$BI838),IF($B838="Production",INDEX(tbl_Production[Tax Code],$BI838),INDEX(tbl_Consulting[Tax Code],$BI838)))&amp;"")</f>
        <v/>
      </c>
      <c r="K838" s="10">
        <f>IF(H838="","",IFERROR(INDEX(lst_CCtoGL,MATCH(H838,lst_CCforGL,0)),""))</f>
        <v/>
      </c>
      <c r="L838" s="10">
        <f>IF($BI838="","",IF($B838="Onsite",INDEX(tbl_Onsite[PO / Reference],$BI838),IF($B838="Production",INDEX(tbl_Production[Current RMS No],$BI838),INDEX(tbl_Consulting[Qwilr Quote],$BI838)))&amp;"")</f>
        <v/>
      </c>
      <c r="M838" s="10">
        <f>IF($BI838="","",IF($B838="Onsite",INDEX(tbl_Onsite[Notes],$BI838),IF($B838="Production",INDEX(tbl_Production[Notes],$BI838),INDEX(tbl_Consulting[Notes],$BI838)))&amp;"")</f>
        <v/>
      </c>
      <c r="N838" s="11">
        <f>IF($BI838="","",IF(IF($B838="Onsite",INDEX(tbl_Onsite[Expected Revenue Ex GST],$BI838),IF($B838="Production",INDEX(tbl_Production[Expected Revenue Ex GST],$BI838),INDEX(tbl_Consulting[Expected Revenue Ex GST],$BI838)))="","",IF($B838="Onsite",INDEX(tbl_Onsite[Expected Revenue Ex GST],$BI838),IF($B838="Production",INDEX(tbl_Production[Expected Revenue Ex GST],$BI838),INDEX(tbl_Consulting[Expected Revenue Ex GST],$BI838)))))</f>
        <v/>
      </c>
      <c r="O838" s="11">
        <f>IF(AND($C838="",NOT(COUNTA($S838:$BB838)&gt;0)),"",SUM(U838,X838,AA838,AD838,AG838,AJ838,AM838,AP838,AS838,AV838,AY838,BB838))</f>
        <v/>
      </c>
      <c r="P838" s="11">
        <f>IF(O838="","",N(N838)-O838)</f>
        <v/>
      </c>
      <c r="Q838" s="10">
        <f>IF(O838="","",IF($C838="","Invoice on empty job row",IF(N838="",IF(ROUND(O838,2)=0,"No dept value","Invoiced - no dept value"),IF(ROUND(O838,2)=0,"Not invoiced - to invoice",IF(ROUND(P838,2)=0,"Agrees",IF(P838&gt;0,"Dept higher - to invoice","Xero higher - check dept"))))))</f>
        <v/>
      </c>
      <c r="R838" s="10">
        <f>IF(AND($C838="",NOT(COUNTA($S838:$BB838)&gt;0),$BI838&lt;&gt;""),"",MID(IF($BI838="","; Row ID not found on the department sheet - a row was deleted","")&amp;IF(AND($C838="",COUNTA($S838:$BB838)&gt;0),"; Invoice entered but the department row has no job number","")&amp;IF(E838="CHECK","; Job number not in the Xero job list","")&amp;IF(AND($C838&lt;&gt;"",COUNTIF($C$7:$C$1506,$C838)&gt;1),"; Job number on more than one row","")&amp;IF(AND($C838&lt;&gt;"",H838=""),"; Dept has not set a cost centre","")&amp;IF(AND($C838&lt;&gt;"",J838=""),"; Dept has not set a tax code","")&amp;IF(AND($C838&lt;&gt;"",N838=""),"; Dept has not entered an expected value","")&amp;IF((IF(OR(COUNTA(S838:U838)=0,AND(COUNTA(S838:U838)=3,ISNUMBER(U838))),0,1)+IF(OR(COUNTA(V838:X838)=0,AND(COUNTA(V838:X838)=3,ISNUMBER(X838))),0,1)+IF(OR(COUNTA(Y838:AA838)=0,AND(COUNTA(Y838:AA838)=3,ISNUMBER(AA838))),0,1)+IF(OR(COUNTA(AB838:AD838)=0,AND(COUNTA(AB838:AD838)=3,ISNUMBER(AD838))),0,1)+IF(OR(COUNTA(AE838:AG838)=0,AND(COUNTA(AE838:AG838)=3,ISNUMBER(AG838))),0,1)+IF(OR(COUNTA(AH838:AJ838)=0,AND(COUNTA(AH838:AJ838)=3,ISNUMBER(AJ838))),0,1)+IF(OR(COUNTA(AK838:AM838)=0,AND(COUNTA(AK838:AM838)=3,ISNUMBER(AM838))),0,1)+IF(OR(COUNTA(AN838:AP838)=0,AND(COUNTA(AN838:AP838)=3,ISNUMBER(AP838))),0,1)+IF(OR(COUNTA(AQ838:AS838)=0,AND(COUNTA(AQ838:AS838)=3,ISNUMBER(AS838))),0,1)+IF(OR(COUNTA(AT838:AV838)=0,AND(COUNTA(AT838:AV838)=3,ISNUMBER(AV838))),0,1)+IF(OR(COUNTA(AW838:AY838)=0,AND(COUNTA(AW838:AY838)=3,ISNUMBER(AY838))),0,1)+IF(OR(COUNTA(AZ838:BB838)=0,AND(COUNTA(AZ838:BB838)=3,ISNUMBER(BB838))),0,1))&gt;0,"; An invoice is incomplete (needs No, Date and a number in Ex GST)","")&amp;IF((IF(T838="",0,IFERROR(--(EOMONTH(T838,0)&lt;&gt;S$5),1))+IF(W838="",0,IFERROR(--(EOMONTH(W838,0)&lt;&gt;V$5),1))+IF(Z838="",0,IFERROR(--(EOMONTH(Z838,0)&lt;&gt;Y$5),1))+IF(AC838="",0,IFERROR(--(EOMONTH(AC838,0)&lt;&gt;AB$5),1))+IF(AF838="",0,IFERROR(--(EOMONTH(AF838,0)&lt;&gt;AE$5),1))+IF(AI838="",0,IFERROR(--(EOMONTH(AI838,0)&lt;&gt;AH$5),1))+IF(AL838="",0,IFERROR(--(EOMONTH(AL838,0)&lt;&gt;AK$5),1))+IF(AO838="",0,IFERROR(--(EOMONTH(AO838,0)&lt;&gt;AN$5),1))+IF(AR838="",0,IFERROR(--(EOMONTH(AR838,0)&lt;&gt;AQ$5),1))+IF(AU838="",0,IFERROR(--(EOMONTH(AU838,0)&lt;&gt;AT$5),1))+IF(AX838="",0,IFERROR(--(EOMONTH(AX838,0)&lt;&gt;AW$5),1))+IF(BA838="",0,IFERROR(--(EOMONTH(BA838,0)&lt;&gt;AZ$5),1)))&gt;0,"; An invoice date is not in the month it is typed under",""),3,500))</f>
        <v/>
      </c>
      <c r="S838" s="12" t="n"/>
      <c r="T838" s="13" t="n"/>
      <c r="U838" s="14" t="n"/>
      <c r="V838" s="12" t="n"/>
      <c r="W838" s="13" t="n"/>
      <c r="X838" s="14" t="n"/>
      <c r="Y838" s="12" t="n"/>
      <c r="Z838" s="13" t="n"/>
      <c r="AA838" s="14" t="n"/>
      <c r="AB838" s="12" t="n"/>
      <c r="AC838" s="13" t="n"/>
      <c r="AD838" s="14" t="n"/>
      <c r="AE838" s="12" t="n"/>
      <c r="AF838" s="13" t="n"/>
      <c r="AG838" s="14" t="n"/>
      <c r="AH838" s="12" t="n"/>
      <c r="AI838" s="13" t="n"/>
      <c r="AJ838" s="14" t="n"/>
      <c r="AK838" s="12" t="n"/>
      <c r="AL838" s="13" t="n"/>
      <c r="AM838" s="14" t="n"/>
      <c r="AN838" s="12" t="n"/>
      <c r="AO838" s="13" t="n"/>
      <c r="AP838" s="14" t="n"/>
      <c r="AQ838" s="12" t="n"/>
      <c r="AR838" s="13" t="n"/>
      <c r="AS838" s="14" t="n"/>
      <c r="AT838" s="12" t="n"/>
      <c r="AU838" s="13" t="n"/>
      <c r="AV838" s="14" t="n"/>
      <c r="AW838" s="12" t="n"/>
      <c r="AX838" s="13" t="n"/>
      <c r="AY838" s="14" t="n"/>
      <c r="AZ838" s="12" t="n"/>
      <c r="BA838" s="13" t="n"/>
      <c r="BB838" s="14" t="n"/>
      <c r="BC838" s="11">
        <f>IF(O838="","",IF(J838="GST 10%",ROUND(O838*set_GSTRate,2),0))</f>
        <v/>
      </c>
      <c r="BD838" s="11">
        <f>IF(O838="","",O838+BC838)</f>
        <v/>
      </c>
      <c r="BE838" s="15">
        <f>IF(O838="","",COUNTA(S838,V838,Y838,AB838,AE838,AH838,AK838,AN838,AQ838,AT838,AW838,AZ838))</f>
        <v/>
      </c>
      <c r="BF838" s="16">
        <f>IF(COUNT(T838,W838,Z838,AC838,AF838,AI838,AL838,AO838,AR838,AU838,AX838,BA838)=0,"",MAX(T838,W838,Z838,AC838,AF838,AI838,AL838,AO838,AR838,AU838,AX838,BA838))</f>
        <v/>
      </c>
      <c r="BG838" s="10">
        <f>MID(IF(S838="","",", "&amp;S838)&amp;IF(V838="","",", "&amp;V838)&amp;IF(Y838="","",", "&amp;Y838)&amp;IF(AB838="","",", "&amp;AB838)&amp;IF(AE838="","",", "&amp;AE838)&amp;IF(AH838="","",", "&amp;AH838)&amp;IF(AK838="","",", "&amp;AK838)&amp;IF(AN838="","",", "&amp;AN838)&amp;IF(AQ838="","",", "&amp;AQ838)&amp;IF(AT838="","",", "&amp;AT838)&amp;IF(AW838="","",", "&amp;AW838)&amp;IF(AZ838="","",", "&amp;AZ838),3,500)</f>
        <v/>
      </c>
      <c r="BH838" s="12" t="n"/>
      <c r="BI838" s="15">
        <f>IFERROR(MATCH($A838,IF($B838="Onsite",tbl_Onsite[Row ID],IF($B838="Production",tbl_Production[Row ID],tbl_Consulting[Row ID])),0),"")</f>
        <v/>
      </c>
    </row>
    <row r="839">
      <c r="A839" s="10" t="inlineStr">
        <is>
          <t>PRD-0333</t>
        </is>
      </c>
      <c r="B839" s="10" t="inlineStr">
        <is>
          <t>Production</t>
        </is>
      </c>
      <c r="C839" s="10">
        <f>IF($BI839="","",IF($B839="Onsite",INDEX(tbl_Onsite[Job Number],$BI839),IF($B839="Production",INDEX(tbl_Production[Job Number],$BI839),INDEX(tbl_Consulting[Job Number],$BI839)))&amp;"")</f>
        <v/>
      </c>
      <c r="D839" s="10">
        <f>IF($BI839="","",IF($B839="Onsite",INDEX(tbl_Onsite[Client],$BI839),IF($B839="Production",INDEX(tbl_Production[Client],$BI839),INDEX(tbl_Consulting[Client],$BI839)))&amp;"")</f>
        <v/>
      </c>
      <c r="E839" s="10">
        <f>IF($C839="","",IF(COUNTIF(lst_Jobs,$C839)&gt;0,"OK","CHECK"))</f>
        <v/>
      </c>
      <c r="F839" s="10">
        <f>IF($C839="","",IFERROR(INDEX(lst_JobName,MATCH($C839,lst_Jobs,0)),""))</f>
        <v/>
      </c>
      <c r="G839" s="10">
        <f>IF($BI839="","",IF($B839="Onsite",INDEX(tbl_Onsite[Job Description],$BI839),IF($B839="Production",INDEX(tbl_Production[Job Description],$BI839),INDEX(tbl_Consulting[Job Description],$BI839)))&amp;"")</f>
        <v/>
      </c>
      <c r="H839" s="10">
        <f>IF($BI839="","",IF($B839="Onsite",INDEX(tbl_Onsite[Cost Centre],$BI839),IF($B839="Production",INDEX(tbl_Production[Cost Centre],$BI839),INDEX(tbl_Consulting[Cost Centre],$BI839)))&amp;"")</f>
        <v/>
      </c>
      <c r="I839" s="10">
        <f>IF($BI839="","",IF($B839="Onsite",INDEX(tbl_Onsite[Invoice Type],$BI839),IF($B839="Production",INDEX(tbl_Production[Invoice Type],$BI839),INDEX(tbl_Consulting[Invoice Type],$BI839)))&amp;"")</f>
        <v/>
      </c>
      <c r="J839" s="10">
        <f>IF($BI839="","",IF($B839="Onsite",INDEX(tbl_Onsite[Tax Code],$BI839),IF($B839="Production",INDEX(tbl_Production[Tax Code],$BI839),INDEX(tbl_Consulting[Tax Code],$BI839)))&amp;"")</f>
        <v/>
      </c>
      <c r="K839" s="10">
        <f>IF(H839="","",IFERROR(INDEX(lst_CCtoGL,MATCH(H839,lst_CCforGL,0)),""))</f>
        <v/>
      </c>
      <c r="L839" s="10">
        <f>IF($BI839="","",IF($B839="Onsite",INDEX(tbl_Onsite[PO / Reference],$BI839),IF($B839="Production",INDEX(tbl_Production[Current RMS No],$BI839),INDEX(tbl_Consulting[Qwilr Quote],$BI839)))&amp;"")</f>
        <v/>
      </c>
      <c r="M839" s="10">
        <f>IF($BI839="","",IF($B839="Onsite",INDEX(tbl_Onsite[Notes],$BI839),IF($B839="Production",INDEX(tbl_Production[Notes],$BI839),INDEX(tbl_Consulting[Notes],$BI839)))&amp;"")</f>
        <v/>
      </c>
      <c r="N839" s="11">
        <f>IF($BI839="","",IF(IF($B839="Onsite",INDEX(tbl_Onsite[Expected Revenue Ex GST],$BI839),IF($B839="Production",INDEX(tbl_Production[Expected Revenue Ex GST],$BI839),INDEX(tbl_Consulting[Expected Revenue Ex GST],$BI839)))="","",IF($B839="Onsite",INDEX(tbl_Onsite[Expected Revenue Ex GST],$BI839),IF($B839="Production",INDEX(tbl_Production[Expected Revenue Ex GST],$BI839),INDEX(tbl_Consulting[Expected Revenue Ex GST],$BI839)))))</f>
        <v/>
      </c>
      <c r="O839" s="11">
        <f>IF(AND($C839="",NOT(COUNTA($S839:$BB839)&gt;0)),"",SUM(U839,X839,AA839,AD839,AG839,AJ839,AM839,AP839,AS839,AV839,AY839,BB839))</f>
        <v/>
      </c>
      <c r="P839" s="11">
        <f>IF(O839="","",N(N839)-O839)</f>
        <v/>
      </c>
      <c r="Q839" s="10">
        <f>IF(O839="","",IF($C839="","Invoice on empty job row",IF(N839="",IF(ROUND(O839,2)=0,"No dept value","Invoiced - no dept value"),IF(ROUND(O839,2)=0,"Not invoiced - to invoice",IF(ROUND(P839,2)=0,"Agrees",IF(P839&gt;0,"Dept higher - to invoice","Xero higher - check dept"))))))</f>
        <v/>
      </c>
      <c r="R839" s="10">
        <f>IF(AND($C839="",NOT(COUNTA($S839:$BB839)&gt;0),$BI839&lt;&gt;""),"",MID(IF($BI839="","; Row ID not found on the department sheet - a row was deleted","")&amp;IF(AND($C839="",COUNTA($S839:$BB839)&gt;0),"; Invoice entered but the department row has no job number","")&amp;IF(E839="CHECK","; Job number not in the Xero job list","")&amp;IF(AND($C839&lt;&gt;"",COUNTIF($C$7:$C$1506,$C839)&gt;1),"; Job number on more than one row","")&amp;IF(AND($C839&lt;&gt;"",H839=""),"; Dept has not set a cost centre","")&amp;IF(AND($C839&lt;&gt;"",J839=""),"; Dept has not set a tax code","")&amp;IF(AND($C839&lt;&gt;"",N839=""),"; Dept has not entered an expected value","")&amp;IF((IF(OR(COUNTA(S839:U839)=0,AND(COUNTA(S839:U839)=3,ISNUMBER(U839))),0,1)+IF(OR(COUNTA(V839:X839)=0,AND(COUNTA(V839:X839)=3,ISNUMBER(X839))),0,1)+IF(OR(COUNTA(Y839:AA839)=0,AND(COUNTA(Y839:AA839)=3,ISNUMBER(AA839))),0,1)+IF(OR(COUNTA(AB839:AD839)=0,AND(COUNTA(AB839:AD839)=3,ISNUMBER(AD839))),0,1)+IF(OR(COUNTA(AE839:AG839)=0,AND(COUNTA(AE839:AG839)=3,ISNUMBER(AG839))),0,1)+IF(OR(COUNTA(AH839:AJ839)=0,AND(COUNTA(AH839:AJ839)=3,ISNUMBER(AJ839))),0,1)+IF(OR(COUNTA(AK839:AM839)=0,AND(COUNTA(AK839:AM839)=3,ISNUMBER(AM839))),0,1)+IF(OR(COUNTA(AN839:AP839)=0,AND(COUNTA(AN839:AP839)=3,ISNUMBER(AP839))),0,1)+IF(OR(COUNTA(AQ839:AS839)=0,AND(COUNTA(AQ839:AS839)=3,ISNUMBER(AS839))),0,1)+IF(OR(COUNTA(AT839:AV839)=0,AND(COUNTA(AT839:AV839)=3,ISNUMBER(AV839))),0,1)+IF(OR(COUNTA(AW839:AY839)=0,AND(COUNTA(AW839:AY839)=3,ISNUMBER(AY839))),0,1)+IF(OR(COUNTA(AZ839:BB839)=0,AND(COUNTA(AZ839:BB839)=3,ISNUMBER(BB839))),0,1))&gt;0,"; An invoice is incomplete (needs No, Date and a number in Ex GST)","")&amp;IF((IF(T839="",0,IFERROR(--(EOMONTH(T839,0)&lt;&gt;S$5),1))+IF(W839="",0,IFERROR(--(EOMONTH(W839,0)&lt;&gt;V$5),1))+IF(Z839="",0,IFERROR(--(EOMONTH(Z839,0)&lt;&gt;Y$5),1))+IF(AC839="",0,IFERROR(--(EOMONTH(AC839,0)&lt;&gt;AB$5),1))+IF(AF839="",0,IFERROR(--(EOMONTH(AF839,0)&lt;&gt;AE$5),1))+IF(AI839="",0,IFERROR(--(EOMONTH(AI839,0)&lt;&gt;AH$5),1))+IF(AL839="",0,IFERROR(--(EOMONTH(AL839,0)&lt;&gt;AK$5),1))+IF(AO839="",0,IFERROR(--(EOMONTH(AO839,0)&lt;&gt;AN$5),1))+IF(AR839="",0,IFERROR(--(EOMONTH(AR839,0)&lt;&gt;AQ$5),1))+IF(AU839="",0,IFERROR(--(EOMONTH(AU839,0)&lt;&gt;AT$5),1))+IF(AX839="",0,IFERROR(--(EOMONTH(AX839,0)&lt;&gt;AW$5),1))+IF(BA839="",0,IFERROR(--(EOMONTH(BA839,0)&lt;&gt;AZ$5),1)))&gt;0,"; An invoice date is not in the month it is typed under",""),3,500))</f>
        <v/>
      </c>
      <c r="S839" s="12" t="n"/>
      <c r="T839" s="13" t="n"/>
      <c r="U839" s="14" t="n"/>
      <c r="V839" s="12" t="n"/>
      <c r="W839" s="13" t="n"/>
      <c r="X839" s="14" t="n"/>
      <c r="Y839" s="12" t="n"/>
      <c r="Z839" s="13" t="n"/>
      <c r="AA839" s="14" t="n"/>
      <c r="AB839" s="12" t="n"/>
      <c r="AC839" s="13" t="n"/>
      <c r="AD839" s="14" t="n"/>
      <c r="AE839" s="12" t="n"/>
      <c r="AF839" s="13" t="n"/>
      <c r="AG839" s="14" t="n"/>
      <c r="AH839" s="12" t="n"/>
      <c r="AI839" s="13" t="n"/>
      <c r="AJ839" s="14" t="n"/>
      <c r="AK839" s="12" t="n"/>
      <c r="AL839" s="13" t="n"/>
      <c r="AM839" s="14" t="n"/>
      <c r="AN839" s="12" t="n"/>
      <c r="AO839" s="13" t="n"/>
      <c r="AP839" s="14" t="n"/>
      <c r="AQ839" s="12" t="n"/>
      <c r="AR839" s="13" t="n"/>
      <c r="AS839" s="14" t="n"/>
      <c r="AT839" s="12" t="n"/>
      <c r="AU839" s="13" t="n"/>
      <c r="AV839" s="14" t="n"/>
      <c r="AW839" s="12" t="n"/>
      <c r="AX839" s="13" t="n"/>
      <c r="AY839" s="14" t="n"/>
      <c r="AZ839" s="12" t="n"/>
      <c r="BA839" s="13" t="n"/>
      <c r="BB839" s="14" t="n"/>
      <c r="BC839" s="11">
        <f>IF(O839="","",IF(J839="GST 10%",ROUND(O839*set_GSTRate,2),0))</f>
        <v/>
      </c>
      <c r="BD839" s="11">
        <f>IF(O839="","",O839+BC839)</f>
        <v/>
      </c>
      <c r="BE839" s="15">
        <f>IF(O839="","",COUNTA(S839,V839,Y839,AB839,AE839,AH839,AK839,AN839,AQ839,AT839,AW839,AZ839))</f>
        <v/>
      </c>
      <c r="BF839" s="16">
        <f>IF(COUNT(T839,W839,Z839,AC839,AF839,AI839,AL839,AO839,AR839,AU839,AX839,BA839)=0,"",MAX(T839,W839,Z839,AC839,AF839,AI839,AL839,AO839,AR839,AU839,AX839,BA839))</f>
        <v/>
      </c>
      <c r="BG839" s="10">
        <f>MID(IF(S839="","",", "&amp;S839)&amp;IF(V839="","",", "&amp;V839)&amp;IF(Y839="","",", "&amp;Y839)&amp;IF(AB839="","",", "&amp;AB839)&amp;IF(AE839="","",", "&amp;AE839)&amp;IF(AH839="","",", "&amp;AH839)&amp;IF(AK839="","",", "&amp;AK839)&amp;IF(AN839="","",", "&amp;AN839)&amp;IF(AQ839="","",", "&amp;AQ839)&amp;IF(AT839="","",", "&amp;AT839)&amp;IF(AW839="","",", "&amp;AW839)&amp;IF(AZ839="","",", "&amp;AZ839),3,500)</f>
        <v/>
      </c>
      <c r="BH839" s="12" t="n"/>
      <c r="BI839" s="15">
        <f>IFERROR(MATCH($A839,IF($B839="Onsite",tbl_Onsite[Row ID],IF($B839="Production",tbl_Production[Row ID],tbl_Consulting[Row ID])),0),"")</f>
        <v/>
      </c>
    </row>
    <row r="840">
      <c r="A840" s="10" t="inlineStr">
        <is>
          <t>PRD-0334</t>
        </is>
      </c>
      <c r="B840" s="10" t="inlineStr">
        <is>
          <t>Production</t>
        </is>
      </c>
      <c r="C840" s="10">
        <f>IF($BI840="","",IF($B840="Onsite",INDEX(tbl_Onsite[Job Number],$BI840),IF($B840="Production",INDEX(tbl_Production[Job Number],$BI840),INDEX(tbl_Consulting[Job Number],$BI840)))&amp;"")</f>
        <v/>
      </c>
      <c r="D840" s="10">
        <f>IF($BI840="","",IF($B840="Onsite",INDEX(tbl_Onsite[Client],$BI840),IF($B840="Production",INDEX(tbl_Production[Client],$BI840),INDEX(tbl_Consulting[Client],$BI840)))&amp;"")</f>
        <v/>
      </c>
      <c r="E840" s="10">
        <f>IF($C840="","",IF(COUNTIF(lst_Jobs,$C840)&gt;0,"OK","CHECK"))</f>
        <v/>
      </c>
      <c r="F840" s="10">
        <f>IF($C840="","",IFERROR(INDEX(lst_JobName,MATCH($C840,lst_Jobs,0)),""))</f>
        <v/>
      </c>
      <c r="G840" s="10">
        <f>IF($BI840="","",IF($B840="Onsite",INDEX(tbl_Onsite[Job Description],$BI840),IF($B840="Production",INDEX(tbl_Production[Job Description],$BI840),INDEX(tbl_Consulting[Job Description],$BI840)))&amp;"")</f>
        <v/>
      </c>
      <c r="H840" s="10">
        <f>IF($BI840="","",IF($B840="Onsite",INDEX(tbl_Onsite[Cost Centre],$BI840),IF($B840="Production",INDEX(tbl_Production[Cost Centre],$BI840),INDEX(tbl_Consulting[Cost Centre],$BI840)))&amp;"")</f>
        <v/>
      </c>
      <c r="I840" s="10">
        <f>IF($BI840="","",IF($B840="Onsite",INDEX(tbl_Onsite[Invoice Type],$BI840),IF($B840="Production",INDEX(tbl_Production[Invoice Type],$BI840),INDEX(tbl_Consulting[Invoice Type],$BI840)))&amp;"")</f>
        <v/>
      </c>
      <c r="J840" s="10">
        <f>IF($BI840="","",IF($B840="Onsite",INDEX(tbl_Onsite[Tax Code],$BI840),IF($B840="Production",INDEX(tbl_Production[Tax Code],$BI840),INDEX(tbl_Consulting[Tax Code],$BI840)))&amp;"")</f>
        <v/>
      </c>
      <c r="K840" s="10">
        <f>IF(H840="","",IFERROR(INDEX(lst_CCtoGL,MATCH(H840,lst_CCforGL,0)),""))</f>
        <v/>
      </c>
      <c r="L840" s="10">
        <f>IF($BI840="","",IF($B840="Onsite",INDEX(tbl_Onsite[PO / Reference],$BI840),IF($B840="Production",INDEX(tbl_Production[Current RMS No],$BI840),INDEX(tbl_Consulting[Qwilr Quote],$BI840)))&amp;"")</f>
        <v/>
      </c>
      <c r="M840" s="10">
        <f>IF($BI840="","",IF($B840="Onsite",INDEX(tbl_Onsite[Notes],$BI840),IF($B840="Production",INDEX(tbl_Production[Notes],$BI840),INDEX(tbl_Consulting[Notes],$BI840)))&amp;"")</f>
        <v/>
      </c>
      <c r="N840" s="11">
        <f>IF($BI840="","",IF(IF($B840="Onsite",INDEX(tbl_Onsite[Expected Revenue Ex GST],$BI840),IF($B840="Production",INDEX(tbl_Production[Expected Revenue Ex GST],$BI840),INDEX(tbl_Consulting[Expected Revenue Ex GST],$BI840)))="","",IF($B840="Onsite",INDEX(tbl_Onsite[Expected Revenue Ex GST],$BI840),IF($B840="Production",INDEX(tbl_Production[Expected Revenue Ex GST],$BI840),INDEX(tbl_Consulting[Expected Revenue Ex GST],$BI840)))))</f>
        <v/>
      </c>
      <c r="O840" s="11">
        <f>IF(AND($C840="",NOT(COUNTA($S840:$BB840)&gt;0)),"",SUM(U840,X840,AA840,AD840,AG840,AJ840,AM840,AP840,AS840,AV840,AY840,BB840))</f>
        <v/>
      </c>
      <c r="P840" s="11">
        <f>IF(O840="","",N(N840)-O840)</f>
        <v/>
      </c>
      <c r="Q840" s="10">
        <f>IF(O840="","",IF($C840="","Invoice on empty job row",IF(N840="",IF(ROUND(O840,2)=0,"No dept value","Invoiced - no dept value"),IF(ROUND(O840,2)=0,"Not invoiced - to invoice",IF(ROUND(P840,2)=0,"Agrees",IF(P840&gt;0,"Dept higher - to invoice","Xero higher - check dept"))))))</f>
        <v/>
      </c>
      <c r="R840" s="10">
        <f>IF(AND($C840="",NOT(COUNTA($S840:$BB840)&gt;0),$BI840&lt;&gt;""),"",MID(IF($BI840="","; Row ID not found on the department sheet - a row was deleted","")&amp;IF(AND($C840="",COUNTA($S840:$BB840)&gt;0),"; Invoice entered but the department row has no job number","")&amp;IF(E840="CHECK","; Job number not in the Xero job list","")&amp;IF(AND($C840&lt;&gt;"",COUNTIF($C$7:$C$1506,$C840)&gt;1),"; Job number on more than one row","")&amp;IF(AND($C840&lt;&gt;"",H840=""),"; Dept has not set a cost centre","")&amp;IF(AND($C840&lt;&gt;"",J840=""),"; Dept has not set a tax code","")&amp;IF(AND($C840&lt;&gt;"",N840=""),"; Dept has not entered an expected value","")&amp;IF((IF(OR(COUNTA(S840:U840)=0,AND(COUNTA(S840:U840)=3,ISNUMBER(U840))),0,1)+IF(OR(COUNTA(V840:X840)=0,AND(COUNTA(V840:X840)=3,ISNUMBER(X840))),0,1)+IF(OR(COUNTA(Y840:AA840)=0,AND(COUNTA(Y840:AA840)=3,ISNUMBER(AA840))),0,1)+IF(OR(COUNTA(AB840:AD840)=0,AND(COUNTA(AB840:AD840)=3,ISNUMBER(AD840))),0,1)+IF(OR(COUNTA(AE840:AG840)=0,AND(COUNTA(AE840:AG840)=3,ISNUMBER(AG840))),0,1)+IF(OR(COUNTA(AH840:AJ840)=0,AND(COUNTA(AH840:AJ840)=3,ISNUMBER(AJ840))),0,1)+IF(OR(COUNTA(AK840:AM840)=0,AND(COUNTA(AK840:AM840)=3,ISNUMBER(AM840))),0,1)+IF(OR(COUNTA(AN840:AP840)=0,AND(COUNTA(AN840:AP840)=3,ISNUMBER(AP840))),0,1)+IF(OR(COUNTA(AQ840:AS840)=0,AND(COUNTA(AQ840:AS840)=3,ISNUMBER(AS840))),0,1)+IF(OR(COUNTA(AT840:AV840)=0,AND(COUNTA(AT840:AV840)=3,ISNUMBER(AV840))),0,1)+IF(OR(COUNTA(AW840:AY840)=0,AND(COUNTA(AW840:AY840)=3,ISNUMBER(AY840))),0,1)+IF(OR(COUNTA(AZ840:BB840)=0,AND(COUNTA(AZ840:BB840)=3,ISNUMBER(BB840))),0,1))&gt;0,"; An invoice is incomplete (needs No, Date and a number in Ex GST)","")&amp;IF((IF(T840="",0,IFERROR(--(EOMONTH(T840,0)&lt;&gt;S$5),1))+IF(W840="",0,IFERROR(--(EOMONTH(W840,0)&lt;&gt;V$5),1))+IF(Z840="",0,IFERROR(--(EOMONTH(Z840,0)&lt;&gt;Y$5),1))+IF(AC840="",0,IFERROR(--(EOMONTH(AC840,0)&lt;&gt;AB$5),1))+IF(AF840="",0,IFERROR(--(EOMONTH(AF840,0)&lt;&gt;AE$5),1))+IF(AI840="",0,IFERROR(--(EOMONTH(AI840,0)&lt;&gt;AH$5),1))+IF(AL840="",0,IFERROR(--(EOMONTH(AL840,0)&lt;&gt;AK$5),1))+IF(AO840="",0,IFERROR(--(EOMONTH(AO840,0)&lt;&gt;AN$5),1))+IF(AR840="",0,IFERROR(--(EOMONTH(AR840,0)&lt;&gt;AQ$5),1))+IF(AU840="",0,IFERROR(--(EOMONTH(AU840,0)&lt;&gt;AT$5),1))+IF(AX840="",0,IFERROR(--(EOMONTH(AX840,0)&lt;&gt;AW$5),1))+IF(BA840="",0,IFERROR(--(EOMONTH(BA840,0)&lt;&gt;AZ$5),1)))&gt;0,"; An invoice date is not in the month it is typed under",""),3,500))</f>
        <v/>
      </c>
      <c r="S840" s="12" t="n"/>
      <c r="T840" s="13" t="n"/>
      <c r="U840" s="14" t="n"/>
      <c r="V840" s="12" t="n"/>
      <c r="W840" s="13" t="n"/>
      <c r="X840" s="14" t="n"/>
      <c r="Y840" s="12" t="n"/>
      <c r="Z840" s="13" t="n"/>
      <c r="AA840" s="14" t="n"/>
      <c r="AB840" s="12" t="n"/>
      <c r="AC840" s="13" t="n"/>
      <c r="AD840" s="14" t="n"/>
      <c r="AE840" s="12" t="n"/>
      <c r="AF840" s="13" t="n"/>
      <c r="AG840" s="14" t="n"/>
      <c r="AH840" s="12" t="n"/>
      <c r="AI840" s="13" t="n"/>
      <c r="AJ840" s="14" t="n"/>
      <c r="AK840" s="12" t="n"/>
      <c r="AL840" s="13" t="n"/>
      <c r="AM840" s="14" t="n"/>
      <c r="AN840" s="12" t="n"/>
      <c r="AO840" s="13" t="n"/>
      <c r="AP840" s="14" t="n"/>
      <c r="AQ840" s="12" t="n"/>
      <c r="AR840" s="13" t="n"/>
      <c r="AS840" s="14" t="n"/>
      <c r="AT840" s="12" t="n"/>
      <c r="AU840" s="13" t="n"/>
      <c r="AV840" s="14" t="n"/>
      <c r="AW840" s="12" t="n"/>
      <c r="AX840" s="13" t="n"/>
      <c r="AY840" s="14" t="n"/>
      <c r="AZ840" s="12" t="n"/>
      <c r="BA840" s="13" t="n"/>
      <c r="BB840" s="14" t="n"/>
      <c r="BC840" s="11">
        <f>IF(O840="","",IF(J840="GST 10%",ROUND(O840*set_GSTRate,2),0))</f>
        <v/>
      </c>
      <c r="BD840" s="11">
        <f>IF(O840="","",O840+BC840)</f>
        <v/>
      </c>
      <c r="BE840" s="15">
        <f>IF(O840="","",COUNTA(S840,V840,Y840,AB840,AE840,AH840,AK840,AN840,AQ840,AT840,AW840,AZ840))</f>
        <v/>
      </c>
      <c r="BF840" s="16">
        <f>IF(COUNT(T840,W840,Z840,AC840,AF840,AI840,AL840,AO840,AR840,AU840,AX840,BA840)=0,"",MAX(T840,W840,Z840,AC840,AF840,AI840,AL840,AO840,AR840,AU840,AX840,BA840))</f>
        <v/>
      </c>
      <c r="BG840" s="10">
        <f>MID(IF(S840="","",", "&amp;S840)&amp;IF(V840="","",", "&amp;V840)&amp;IF(Y840="","",", "&amp;Y840)&amp;IF(AB840="","",", "&amp;AB840)&amp;IF(AE840="","",", "&amp;AE840)&amp;IF(AH840="","",", "&amp;AH840)&amp;IF(AK840="","",", "&amp;AK840)&amp;IF(AN840="","",", "&amp;AN840)&amp;IF(AQ840="","",", "&amp;AQ840)&amp;IF(AT840="","",", "&amp;AT840)&amp;IF(AW840="","",", "&amp;AW840)&amp;IF(AZ840="","",", "&amp;AZ840),3,500)</f>
        <v/>
      </c>
      <c r="BH840" s="12" t="n"/>
      <c r="BI840" s="15">
        <f>IFERROR(MATCH($A840,IF($B840="Onsite",tbl_Onsite[Row ID],IF($B840="Production",tbl_Production[Row ID],tbl_Consulting[Row ID])),0),"")</f>
        <v/>
      </c>
    </row>
    <row r="841">
      <c r="A841" s="10" t="inlineStr">
        <is>
          <t>PRD-0335</t>
        </is>
      </c>
      <c r="B841" s="10" t="inlineStr">
        <is>
          <t>Production</t>
        </is>
      </c>
      <c r="C841" s="10">
        <f>IF($BI841="","",IF($B841="Onsite",INDEX(tbl_Onsite[Job Number],$BI841),IF($B841="Production",INDEX(tbl_Production[Job Number],$BI841),INDEX(tbl_Consulting[Job Number],$BI841)))&amp;"")</f>
        <v/>
      </c>
      <c r="D841" s="10">
        <f>IF($BI841="","",IF($B841="Onsite",INDEX(tbl_Onsite[Client],$BI841),IF($B841="Production",INDEX(tbl_Production[Client],$BI841),INDEX(tbl_Consulting[Client],$BI841)))&amp;"")</f>
        <v/>
      </c>
      <c r="E841" s="10">
        <f>IF($C841="","",IF(COUNTIF(lst_Jobs,$C841)&gt;0,"OK","CHECK"))</f>
        <v/>
      </c>
      <c r="F841" s="10">
        <f>IF($C841="","",IFERROR(INDEX(lst_JobName,MATCH($C841,lst_Jobs,0)),""))</f>
        <v/>
      </c>
      <c r="G841" s="10">
        <f>IF($BI841="","",IF($B841="Onsite",INDEX(tbl_Onsite[Job Description],$BI841),IF($B841="Production",INDEX(tbl_Production[Job Description],$BI841),INDEX(tbl_Consulting[Job Description],$BI841)))&amp;"")</f>
        <v/>
      </c>
      <c r="H841" s="10">
        <f>IF($BI841="","",IF($B841="Onsite",INDEX(tbl_Onsite[Cost Centre],$BI841),IF($B841="Production",INDEX(tbl_Production[Cost Centre],$BI841),INDEX(tbl_Consulting[Cost Centre],$BI841)))&amp;"")</f>
        <v/>
      </c>
      <c r="I841" s="10">
        <f>IF($BI841="","",IF($B841="Onsite",INDEX(tbl_Onsite[Invoice Type],$BI841),IF($B841="Production",INDEX(tbl_Production[Invoice Type],$BI841),INDEX(tbl_Consulting[Invoice Type],$BI841)))&amp;"")</f>
        <v/>
      </c>
      <c r="J841" s="10">
        <f>IF($BI841="","",IF($B841="Onsite",INDEX(tbl_Onsite[Tax Code],$BI841),IF($B841="Production",INDEX(tbl_Production[Tax Code],$BI841),INDEX(tbl_Consulting[Tax Code],$BI841)))&amp;"")</f>
        <v/>
      </c>
      <c r="K841" s="10">
        <f>IF(H841="","",IFERROR(INDEX(lst_CCtoGL,MATCH(H841,lst_CCforGL,0)),""))</f>
        <v/>
      </c>
      <c r="L841" s="10">
        <f>IF($BI841="","",IF($B841="Onsite",INDEX(tbl_Onsite[PO / Reference],$BI841),IF($B841="Production",INDEX(tbl_Production[Current RMS No],$BI841),INDEX(tbl_Consulting[Qwilr Quote],$BI841)))&amp;"")</f>
        <v/>
      </c>
      <c r="M841" s="10">
        <f>IF($BI841="","",IF($B841="Onsite",INDEX(tbl_Onsite[Notes],$BI841),IF($B841="Production",INDEX(tbl_Production[Notes],$BI841),INDEX(tbl_Consulting[Notes],$BI841)))&amp;"")</f>
        <v/>
      </c>
      <c r="N841" s="11">
        <f>IF($BI841="","",IF(IF($B841="Onsite",INDEX(tbl_Onsite[Expected Revenue Ex GST],$BI841),IF($B841="Production",INDEX(tbl_Production[Expected Revenue Ex GST],$BI841),INDEX(tbl_Consulting[Expected Revenue Ex GST],$BI841)))="","",IF($B841="Onsite",INDEX(tbl_Onsite[Expected Revenue Ex GST],$BI841),IF($B841="Production",INDEX(tbl_Production[Expected Revenue Ex GST],$BI841),INDEX(tbl_Consulting[Expected Revenue Ex GST],$BI841)))))</f>
        <v/>
      </c>
      <c r="O841" s="11">
        <f>IF(AND($C841="",NOT(COUNTA($S841:$BB841)&gt;0)),"",SUM(U841,X841,AA841,AD841,AG841,AJ841,AM841,AP841,AS841,AV841,AY841,BB841))</f>
        <v/>
      </c>
      <c r="P841" s="11">
        <f>IF(O841="","",N(N841)-O841)</f>
        <v/>
      </c>
      <c r="Q841" s="10">
        <f>IF(O841="","",IF($C841="","Invoice on empty job row",IF(N841="",IF(ROUND(O841,2)=0,"No dept value","Invoiced - no dept value"),IF(ROUND(O841,2)=0,"Not invoiced - to invoice",IF(ROUND(P841,2)=0,"Agrees",IF(P841&gt;0,"Dept higher - to invoice","Xero higher - check dept"))))))</f>
        <v/>
      </c>
      <c r="R841" s="10">
        <f>IF(AND($C841="",NOT(COUNTA($S841:$BB841)&gt;0),$BI841&lt;&gt;""),"",MID(IF($BI841="","; Row ID not found on the department sheet - a row was deleted","")&amp;IF(AND($C841="",COUNTA($S841:$BB841)&gt;0),"; Invoice entered but the department row has no job number","")&amp;IF(E841="CHECK","; Job number not in the Xero job list","")&amp;IF(AND($C841&lt;&gt;"",COUNTIF($C$7:$C$1506,$C841)&gt;1),"; Job number on more than one row","")&amp;IF(AND($C841&lt;&gt;"",H841=""),"; Dept has not set a cost centre","")&amp;IF(AND($C841&lt;&gt;"",J841=""),"; Dept has not set a tax code","")&amp;IF(AND($C841&lt;&gt;"",N841=""),"; Dept has not entered an expected value","")&amp;IF((IF(OR(COUNTA(S841:U841)=0,AND(COUNTA(S841:U841)=3,ISNUMBER(U841))),0,1)+IF(OR(COUNTA(V841:X841)=0,AND(COUNTA(V841:X841)=3,ISNUMBER(X841))),0,1)+IF(OR(COUNTA(Y841:AA841)=0,AND(COUNTA(Y841:AA841)=3,ISNUMBER(AA841))),0,1)+IF(OR(COUNTA(AB841:AD841)=0,AND(COUNTA(AB841:AD841)=3,ISNUMBER(AD841))),0,1)+IF(OR(COUNTA(AE841:AG841)=0,AND(COUNTA(AE841:AG841)=3,ISNUMBER(AG841))),0,1)+IF(OR(COUNTA(AH841:AJ841)=0,AND(COUNTA(AH841:AJ841)=3,ISNUMBER(AJ841))),0,1)+IF(OR(COUNTA(AK841:AM841)=0,AND(COUNTA(AK841:AM841)=3,ISNUMBER(AM841))),0,1)+IF(OR(COUNTA(AN841:AP841)=0,AND(COUNTA(AN841:AP841)=3,ISNUMBER(AP841))),0,1)+IF(OR(COUNTA(AQ841:AS841)=0,AND(COUNTA(AQ841:AS841)=3,ISNUMBER(AS841))),0,1)+IF(OR(COUNTA(AT841:AV841)=0,AND(COUNTA(AT841:AV841)=3,ISNUMBER(AV841))),0,1)+IF(OR(COUNTA(AW841:AY841)=0,AND(COUNTA(AW841:AY841)=3,ISNUMBER(AY841))),0,1)+IF(OR(COUNTA(AZ841:BB841)=0,AND(COUNTA(AZ841:BB841)=3,ISNUMBER(BB841))),0,1))&gt;0,"; An invoice is incomplete (needs No, Date and a number in Ex GST)","")&amp;IF((IF(T841="",0,IFERROR(--(EOMONTH(T841,0)&lt;&gt;S$5),1))+IF(W841="",0,IFERROR(--(EOMONTH(W841,0)&lt;&gt;V$5),1))+IF(Z841="",0,IFERROR(--(EOMONTH(Z841,0)&lt;&gt;Y$5),1))+IF(AC841="",0,IFERROR(--(EOMONTH(AC841,0)&lt;&gt;AB$5),1))+IF(AF841="",0,IFERROR(--(EOMONTH(AF841,0)&lt;&gt;AE$5),1))+IF(AI841="",0,IFERROR(--(EOMONTH(AI841,0)&lt;&gt;AH$5),1))+IF(AL841="",0,IFERROR(--(EOMONTH(AL841,0)&lt;&gt;AK$5),1))+IF(AO841="",0,IFERROR(--(EOMONTH(AO841,0)&lt;&gt;AN$5),1))+IF(AR841="",0,IFERROR(--(EOMONTH(AR841,0)&lt;&gt;AQ$5),1))+IF(AU841="",0,IFERROR(--(EOMONTH(AU841,0)&lt;&gt;AT$5),1))+IF(AX841="",0,IFERROR(--(EOMONTH(AX841,0)&lt;&gt;AW$5),1))+IF(BA841="",0,IFERROR(--(EOMONTH(BA841,0)&lt;&gt;AZ$5),1)))&gt;0,"; An invoice date is not in the month it is typed under",""),3,500))</f>
        <v/>
      </c>
      <c r="S841" s="12" t="n"/>
      <c r="T841" s="13" t="n"/>
      <c r="U841" s="14" t="n"/>
      <c r="V841" s="12" t="n"/>
      <c r="W841" s="13" t="n"/>
      <c r="X841" s="14" t="n"/>
      <c r="Y841" s="12" t="n"/>
      <c r="Z841" s="13" t="n"/>
      <c r="AA841" s="14" t="n"/>
      <c r="AB841" s="12" t="n"/>
      <c r="AC841" s="13" t="n"/>
      <c r="AD841" s="14" t="n"/>
      <c r="AE841" s="12" t="n"/>
      <c r="AF841" s="13" t="n"/>
      <c r="AG841" s="14" t="n"/>
      <c r="AH841" s="12" t="n"/>
      <c r="AI841" s="13" t="n"/>
      <c r="AJ841" s="14" t="n"/>
      <c r="AK841" s="12" t="n"/>
      <c r="AL841" s="13" t="n"/>
      <c r="AM841" s="14" t="n"/>
      <c r="AN841" s="12" t="n"/>
      <c r="AO841" s="13" t="n"/>
      <c r="AP841" s="14" t="n"/>
      <c r="AQ841" s="12" t="n"/>
      <c r="AR841" s="13" t="n"/>
      <c r="AS841" s="14" t="n"/>
      <c r="AT841" s="12" t="n"/>
      <c r="AU841" s="13" t="n"/>
      <c r="AV841" s="14" t="n"/>
      <c r="AW841" s="12" t="n"/>
      <c r="AX841" s="13" t="n"/>
      <c r="AY841" s="14" t="n"/>
      <c r="AZ841" s="12" t="n"/>
      <c r="BA841" s="13" t="n"/>
      <c r="BB841" s="14" t="n"/>
      <c r="BC841" s="11">
        <f>IF(O841="","",IF(J841="GST 10%",ROUND(O841*set_GSTRate,2),0))</f>
        <v/>
      </c>
      <c r="BD841" s="11">
        <f>IF(O841="","",O841+BC841)</f>
        <v/>
      </c>
      <c r="BE841" s="15">
        <f>IF(O841="","",COUNTA(S841,V841,Y841,AB841,AE841,AH841,AK841,AN841,AQ841,AT841,AW841,AZ841))</f>
        <v/>
      </c>
      <c r="BF841" s="16">
        <f>IF(COUNT(T841,W841,Z841,AC841,AF841,AI841,AL841,AO841,AR841,AU841,AX841,BA841)=0,"",MAX(T841,W841,Z841,AC841,AF841,AI841,AL841,AO841,AR841,AU841,AX841,BA841))</f>
        <v/>
      </c>
      <c r="BG841" s="10">
        <f>MID(IF(S841="","",", "&amp;S841)&amp;IF(V841="","",", "&amp;V841)&amp;IF(Y841="","",", "&amp;Y841)&amp;IF(AB841="","",", "&amp;AB841)&amp;IF(AE841="","",", "&amp;AE841)&amp;IF(AH841="","",", "&amp;AH841)&amp;IF(AK841="","",", "&amp;AK841)&amp;IF(AN841="","",", "&amp;AN841)&amp;IF(AQ841="","",", "&amp;AQ841)&amp;IF(AT841="","",", "&amp;AT841)&amp;IF(AW841="","",", "&amp;AW841)&amp;IF(AZ841="","",", "&amp;AZ841),3,500)</f>
        <v/>
      </c>
      <c r="BH841" s="12" t="n"/>
      <c r="BI841" s="15">
        <f>IFERROR(MATCH($A841,IF($B841="Onsite",tbl_Onsite[Row ID],IF($B841="Production",tbl_Production[Row ID],tbl_Consulting[Row ID])),0),"")</f>
        <v/>
      </c>
    </row>
    <row r="842">
      <c r="A842" s="10" t="inlineStr">
        <is>
          <t>PRD-0336</t>
        </is>
      </c>
      <c r="B842" s="10" t="inlineStr">
        <is>
          <t>Production</t>
        </is>
      </c>
      <c r="C842" s="10">
        <f>IF($BI842="","",IF($B842="Onsite",INDEX(tbl_Onsite[Job Number],$BI842),IF($B842="Production",INDEX(tbl_Production[Job Number],$BI842),INDEX(tbl_Consulting[Job Number],$BI842)))&amp;"")</f>
        <v/>
      </c>
      <c r="D842" s="10">
        <f>IF($BI842="","",IF($B842="Onsite",INDEX(tbl_Onsite[Client],$BI842),IF($B842="Production",INDEX(tbl_Production[Client],$BI842),INDEX(tbl_Consulting[Client],$BI842)))&amp;"")</f>
        <v/>
      </c>
      <c r="E842" s="10">
        <f>IF($C842="","",IF(COUNTIF(lst_Jobs,$C842)&gt;0,"OK","CHECK"))</f>
        <v/>
      </c>
      <c r="F842" s="10">
        <f>IF($C842="","",IFERROR(INDEX(lst_JobName,MATCH($C842,lst_Jobs,0)),""))</f>
        <v/>
      </c>
      <c r="G842" s="10">
        <f>IF($BI842="","",IF($B842="Onsite",INDEX(tbl_Onsite[Job Description],$BI842),IF($B842="Production",INDEX(tbl_Production[Job Description],$BI842),INDEX(tbl_Consulting[Job Description],$BI842)))&amp;"")</f>
        <v/>
      </c>
      <c r="H842" s="10">
        <f>IF($BI842="","",IF($B842="Onsite",INDEX(tbl_Onsite[Cost Centre],$BI842),IF($B842="Production",INDEX(tbl_Production[Cost Centre],$BI842),INDEX(tbl_Consulting[Cost Centre],$BI842)))&amp;"")</f>
        <v/>
      </c>
      <c r="I842" s="10">
        <f>IF($BI842="","",IF($B842="Onsite",INDEX(tbl_Onsite[Invoice Type],$BI842),IF($B842="Production",INDEX(tbl_Production[Invoice Type],$BI842),INDEX(tbl_Consulting[Invoice Type],$BI842)))&amp;"")</f>
        <v/>
      </c>
      <c r="J842" s="10">
        <f>IF($BI842="","",IF($B842="Onsite",INDEX(tbl_Onsite[Tax Code],$BI842),IF($B842="Production",INDEX(tbl_Production[Tax Code],$BI842),INDEX(tbl_Consulting[Tax Code],$BI842)))&amp;"")</f>
        <v/>
      </c>
      <c r="K842" s="10">
        <f>IF(H842="","",IFERROR(INDEX(lst_CCtoGL,MATCH(H842,lst_CCforGL,0)),""))</f>
        <v/>
      </c>
      <c r="L842" s="10">
        <f>IF($BI842="","",IF($B842="Onsite",INDEX(tbl_Onsite[PO / Reference],$BI842),IF($B842="Production",INDEX(tbl_Production[Current RMS No],$BI842),INDEX(tbl_Consulting[Qwilr Quote],$BI842)))&amp;"")</f>
        <v/>
      </c>
      <c r="M842" s="10">
        <f>IF($BI842="","",IF($B842="Onsite",INDEX(tbl_Onsite[Notes],$BI842),IF($B842="Production",INDEX(tbl_Production[Notes],$BI842),INDEX(tbl_Consulting[Notes],$BI842)))&amp;"")</f>
        <v/>
      </c>
      <c r="N842" s="11">
        <f>IF($BI842="","",IF(IF($B842="Onsite",INDEX(tbl_Onsite[Expected Revenue Ex GST],$BI842),IF($B842="Production",INDEX(tbl_Production[Expected Revenue Ex GST],$BI842),INDEX(tbl_Consulting[Expected Revenue Ex GST],$BI842)))="","",IF($B842="Onsite",INDEX(tbl_Onsite[Expected Revenue Ex GST],$BI842),IF($B842="Production",INDEX(tbl_Production[Expected Revenue Ex GST],$BI842),INDEX(tbl_Consulting[Expected Revenue Ex GST],$BI842)))))</f>
        <v/>
      </c>
      <c r="O842" s="11">
        <f>IF(AND($C842="",NOT(COUNTA($S842:$BB842)&gt;0)),"",SUM(U842,X842,AA842,AD842,AG842,AJ842,AM842,AP842,AS842,AV842,AY842,BB842))</f>
        <v/>
      </c>
      <c r="P842" s="11">
        <f>IF(O842="","",N(N842)-O842)</f>
        <v/>
      </c>
      <c r="Q842" s="10">
        <f>IF(O842="","",IF($C842="","Invoice on empty job row",IF(N842="",IF(ROUND(O842,2)=0,"No dept value","Invoiced - no dept value"),IF(ROUND(O842,2)=0,"Not invoiced - to invoice",IF(ROUND(P842,2)=0,"Agrees",IF(P842&gt;0,"Dept higher - to invoice","Xero higher - check dept"))))))</f>
        <v/>
      </c>
      <c r="R842" s="10">
        <f>IF(AND($C842="",NOT(COUNTA($S842:$BB842)&gt;0),$BI842&lt;&gt;""),"",MID(IF($BI842="","; Row ID not found on the department sheet - a row was deleted","")&amp;IF(AND($C842="",COUNTA($S842:$BB842)&gt;0),"; Invoice entered but the department row has no job number","")&amp;IF(E842="CHECK","; Job number not in the Xero job list","")&amp;IF(AND($C842&lt;&gt;"",COUNTIF($C$7:$C$1506,$C842)&gt;1),"; Job number on more than one row","")&amp;IF(AND($C842&lt;&gt;"",H842=""),"; Dept has not set a cost centre","")&amp;IF(AND($C842&lt;&gt;"",J842=""),"; Dept has not set a tax code","")&amp;IF(AND($C842&lt;&gt;"",N842=""),"; Dept has not entered an expected value","")&amp;IF((IF(OR(COUNTA(S842:U842)=0,AND(COUNTA(S842:U842)=3,ISNUMBER(U842))),0,1)+IF(OR(COUNTA(V842:X842)=0,AND(COUNTA(V842:X842)=3,ISNUMBER(X842))),0,1)+IF(OR(COUNTA(Y842:AA842)=0,AND(COUNTA(Y842:AA842)=3,ISNUMBER(AA842))),0,1)+IF(OR(COUNTA(AB842:AD842)=0,AND(COUNTA(AB842:AD842)=3,ISNUMBER(AD842))),0,1)+IF(OR(COUNTA(AE842:AG842)=0,AND(COUNTA(AE842:AG842)=3,ISNUMBER(AG842))),0,1)+IF(OR(COUNTA(AH842:AJ842)=0,AND(COUNTA(AH842:AJ842)=3,ISNUMBER(AJ842))),0,1)+IF(OR(COUNTA(AK842:AM842)=0,AND(COUNTA(AK842:AM842)=3,ISNUMBER(AM842))),0,1)+IF(OR(COUNTA(AN842:AP842)=0,AND(COUNTA(AN842:AP842)=3,ISNUMBER(AP842))),0,1)+IF(OR(COUNTA(AQ842:AS842)=0,AND(COUNTA(AQ842:AS842)=3,ISNUMBER(AS842))),0,1)+IF(OR(COUNTA(AT842:AV842)=0,AND(COUNTA(AT842:AV842)=3,ISNUMBER(AV842))),0,1)+IF(OR(COUNTA(AW842:AY842)=0,AND(COUNTA(AW842:AY842)=3,ISNUMBER(AY842))),0,1)+IF(OR(COUNTA(AZ842:BB842)=0,AND(COUNTA(AZ842:BB842)=3,ISNUMBER(BB842))),0,1))&gt;0,"; An invoice is incomplete (needs No, Date and a number in Ex GST)","")&amp;IF((IF(T842="",0,IFERROR(--(EOMONTH(T842,0)&lt;&gt;S$5),1))+IF(W842="",0,IFERROR(--(EOMONTH(W842,0)&lt;&gt;V$5),1))+IF(Z842="",0,IFERROR(--(EOMONTH(Z842,0)&lt;&gt;Y$5),1))+IF(AC842="",0,IFERROR(--(EOMONTH(AC842,0)&lt;&gt;AB$5),1))+IF(AF842="",0,IFERROR(--(EOMONTH(AF842,0)&lt;&gt;AE$5),1))+IF(AI842="",0,IFERROR(--(EOMONTH(AI842,0)&lt;&gt;AH$5),1))+IF(AL842="",0,IFERROR(--(EOMONTH(AL842,0)&lt;&gt;AK$5),1))+IF(AO842="",0,IFERROR(--(EOMONTH(AO842,0)&lt;&gt;AN$5),1))+IF(AR842="",0,IFERROR(--(EOMONTH(AR842,0)&lt;&gt;AQ$5),1))+IF(AU842="",0,IFERROR(--(EOMONTH(AU842,0)&lt;&gt;AT$5),1))+IF(AX842="",0,IFERROR(--(EOMONTH(AX842,0)&lt;&gt;AW$5),1))+IF(BA842="",0,IFERROR(--(EOMONTH(BA842,0)&lt;&gt;AZ$5),1)))&gt;0,"; An invoice date is not in the month it is typed under",""),3,500))</f>
        <v/>
      </c>
      <c r="S842" s="12" t="n"/>
      <c r="T842" s="13" t="n"/>
      <c r="U842" s="14" t="n"/>
      <c r="V842" s="12" t="n"/>
      <c r="W842" s="13" t="n"/>
      <c r="X842" s="14" t="n"/>
      <c r="Y842" s="12" t="n"/>
      <c r="Z842" s="13" t="n"/>
      <c r="AA842" s="14" t="n"/>
      <c r="AB842" s="12" t="n"/>
      <c r="AC842" s="13" t="n"/>
      <c r="AD842" s="14" t="n"/>
      <c r="AE842" s="12" t="n"/>
      <c r="AF842" s="13" t="n"/>
      <c r="AG842" s="14" t="n"/>
      <c r="AH842" s="12" t="n"/>
      <c r="AI842" s="13" t="n"/>
      <c r="AJ842" s="14" t="n"/>
      <c r="AK842" s="12" t="n"/>
      <c r="AL842" s="13" t="n"/>
      <c r="AM842" s="14" t="n"/>
      <c r="AN842" s="12" t="n"/>
      <c r="AO842" s="13" t="n"/>
      <c r="AP842" s="14" t="n"/>
      <c r="AQ842" s="12" t="n"/>
      <c r="AR842" s="13" t="n"/>
      <c r="AS842" s="14" t="n"/>
      <c r="AT842" s="12" t="n"/>
      <c r="AU842" s="13" t="n"/>
      <c r="AV842" s="14" t="n"/>
      <c r="AW842" s="12" t="n"/>
      <c r="AX842" s="13" t="n"/>
      <c r="AY842" s="14" t="n"/>
      <c r="AZ842" s="12" t="n"/>
      <c r="BA842" s="13" t="n"/>
      <c r="BB842" s="14" t="n"/>
      <c r="BC842" s="11">
        <f>IF(O842="","",IF(J842="GST 10%",ROUND(O842*set_GSTRate,2),0))</f>
        <v/>
      </c>
      <c r="BD842" s="11">
        <f>IF(O842="","",O842+BC842)</f>
        <v/>
      </c>
      <c r="BE842" s="15">
        <f>IF(O842="","",COUNTA(S842,V842,Y842,AB842,AE842,AH842,AK842,AN842,AQ842,AT842,AW842,AZ842))</f>
        <v/>
      </c>
      <c r="BF842" s="16">
        <f>IF(COUNT(T842,W842,Z842,AC842,AF842,AI842,AL842,AO842,AR842,AU842,AX842,BA842)=0,"",MAX(T842,W842,Z842,AC842,AF842,AI842,AL842,AO842,AR842,AU842,AX842,BA842))</f>
        <v/>
      </c>
      <c r="BG842" s="10">
        <f>MID(IF(S842="","",", "&amp;S842)&amp;IF(V842="","",", "&amp;V842)&amp;IF(Y842="","",", "&amp;Y842)&amp;IF(AB842="","",", "&amp;AB842)&amp;IF(AE842="","",", "&amp;AE842)&amp;IF(AH842="","",", "&amp;AH842)&amp;IF(AK842="","",", "&amp;AK842)&amp;IF(AN842="","",", "&amp;AN842)&amp;IF(AQ842="","",", "&amp;AQ842)&amp;IF(AT842="","",", "&amp;AT842)&amp;IF(AW842="","",", "&amp;AW842)&amp;IF(AZ842="","",", "&amp;AZ842),3,500)</f>
        <v/>
      </c>
      <c r="BH842" s="12" t="n"/>
      <c r="BI842" s="15">
        <f>IFERROR(MATCH($A842,IF($B842="Onsite",tbl_Onsite[Row ID],IF($B842="Production",tbl_Production[Row ID],tbl_Consulting[Row ID])),0),"")</f>
        <v/>
      </c>
    </row>
    <row r="843">
      <c r="A843" s="10" t="inlineStr">
        <is>
          <t>PRD-0337</t>
        </is>
      </c>
      <c r="B843" s="10" t="inlineStr">
        <is>
          <t>Production</t>
        </is>
      </c>
      <c r="C843" s="10">
        <f>IF($BI843="","",IF($B843="Onsite",INDEX(tbl_Onsite[Job Number],$BI843),IF($B843="Production",INDEX(tbl_Production[Job Number],$BI843),INDEX(tbl_Consulting[Job Number],$BI843)))&amp;"")</f>
        <v/>
      </c>
      <c r="D843" s="10">
        <f>IF($BI843="","",IF($B843="Onsite",INDEX(tbl_Onsite[Client],$BI843),IF($B843="Production",INDEX(tbl_Production[Client],$BI843),INDEX(tbl_Consulting[Client],$BI843)))&amp;"")</f>
        <v/>
      </c>
      <c r="E843" s="10">
        <f>IF($C843="","",IF(COUNTIF(lst_Jobs,$C843)&gt;0,"OK","CHECK"))</f>
        <v/>
      </c>
      <c r="F843" s="10">
        <f>IF($C843="","",IFERROR(INDEX(lst_JobName,MATCH($C843,lst_Jobs,0)),""))</f>
        <v/>
      </c>
      <c r="G843" s="10">
        <f>IF($BI843="","",IF($B843="Onsite",INDEX(tbl_Onsite[Job Description],$BI843),IF($B843="Production",INDEX(tbl_Production[Job Description],$BI843),INDEX(tbl_Consulting[Job Description],$BI843)))&amp;"")</f>
        <v/>
      </c>
      <c r="H843" s="10">
        <f>IF($BI843="","",IF($B843="Onsite",INDEX(tbl_Onsite[Cost Centre],$BI843),IF($B843="Production",INDEX(tbl_Production[Cost Centre],$BI843),INDEX(tbl_Consulting[Cost Centre],$BI843)))&amp;"")</f>
        <v/>
      </c>
      <c r="I843" s="10">
        <f>IF($BI843="","",IF($B843="Onsite",INDEX(tbl_Onsite[Invoice Type],$BI843),IF($B843="Production",INDEX(tbl_Production[Invoice Type],$BI843),INDEX(tbl_Consulting[Invoice Type],$BI843)))&amp;"")</f>
        <v/>
      </c>
      <c r="J843" s="10">
        <f>IF($BI843="","",IF($B843="Onsite",INDEX(tbl_Onsite[Tax Code],$BI843),IF($B843="Production",INDEX(tbl_Production[Tax Code],$BI843),INDEX(tbl_Consulting[Tax Code],$BI843)))&amp;"")</f>
        <v/>
      </c>
      <c r="K843" s="10">
        <f>IF(H843="","",IFERROR(INDEX(lst_CCtoGL,MATCH(H843,lst_CCforGL,0)),""))</f>
        <v/>
      </c>
      <c r="L843" s="10">
        <f>IF($BI843="","",IF($B843="Onsite",INDEX(tbl_Onsite[PO / Reference],$BI843),IF($B843="Production",INDEX(tbl_Production[Current RMS No],$BI843),INDEX(tbl_Consulting[Qwilr Quote],$BI843)))&amp;"")</f>
        <v/>
      </c>
      <c r="M843" s="10">
        <f>IF($BI843="","",IF($B843="Onsite",INDEX(tbl_Onsite[Notes],$BI843),IF($B843="Production",INDEX(tbl_Production[Notes],$BI843),INDEX(tbl_Consulting[Notes],$BI843)))&amp;"")</f>
        <v/>
      </c>
      <c r="N843" s="11">
        <f>IF($BI843="","",IF(IF($B843="Onsite",INDEX(tbl_Onsite[Expected Revenue Ex GST],$BI843),IF($B843="Production",INDEX(tbl_Production[Expected Revenue Ex GST],$BI843),INDEX(tbl_Consulting[Expected Revenue Ex GST],$BI843)))="","",IF($B843="Onsite",INDEX(tbl_Onsite[Expected Revenue Ex GST],$BI843),IF($B843="Production",INDEX(tbl_Production[Expected Revenue Ex GST],$BI843),INDEX(tbl_Consulting[Expected Revenue Ex GST],$BI843)))))</f>
        <v/>
      </c>
      <c r="O843" s="11">
        <f>IF(AND($C843="",NOT(COUNTA($S843:$BB843)&gt;0)),"",SUM(U843,X843,AA843,AD843,AG843,AJ843,AM843,AP843,AS843,AV843,AY843,BB843))</f>
        <v/>
      </c>
      <c r="P843" s="11">
        <f>IF(O843="","",N(N843)-O843)</f>
        <v/>
      </c>
      <c r="Q843" s="10">
        <f>IF(O843="","",IF($C843="","Invoice on empty job row",IF(N843="",IF(ROUND(O843,2)=0,"No dept value","Invoiced - no dept value"),IF(ROUND(O843,2)=0,"Not invoiced - to invoice",IF(ROUND(P843,2)=0,"Agrees",IF(P843&gt;0,"Dept higher - to invoice","Xero higher - check dept"))))))</f>
        <v/>
      </c>
      <c r="R843" s="10">
        <f>IF(AND($C843="",NOT(COUNTA($S843:$BB843)&gt;0),$BI843&lt;&gt;""),"",MID(IF($BI843="","; Row ID not found on the department sheet - a row was deleted","")&amp;IF(AND($C843="",COUNTA($S843:$BB843)&gt;0),"; Invoice entered but the department row has no job number","")&amp;IF(E843="CHECK","; Job number not in the Xero job list","")&amp;IF(AND($C843&lt;&gt;"",COUNTIF($C$7:$C$1506,$C843)&gt;1),"; Job number on more than one row","")&amp;IF(AND($C843&lt;&gt;"",H843=""),"; Dept has not set a cost centre","")&amp;IF(AND($C843&lt;&gt;"",J843=""),"; Dept has not set a tax code","")&amp;IF(AND($C843&lt;&gt;"",N843=""),"; Dept has not entered an expected value","")&amp;IF((IF(OR(COUNTA(S843:U843)=0,AND(COUNTA(S843:U843)=3,ISNUMBER(U843))),0,1)+IF(OR(COUNTA(V843:X843)=0,AND(COUNTA(V843:X843)=3,ISNUMBER(X843))),0,1)+IF(OR(COUNTA(Y843:AA843)=0,AND(COUNTA(Y843:AA843)=3,ISNUMBER(AA843))),0,1)+IF(OR(COUNTA(AB843:AD843)=0,AND(COUNTA(AB843:AD843)=3,ISNUMBER(AD843))),0,1)+IF(OR(COUNTA(AE843:AG843)=0,AND(COUNTA(AE843:AG843)=3,ISNUMBER(AG843))),0,1)+IF(OR(COUNTA(AH843:AJ843)=0,AND(COUNTA(AH843:AJ843)=3,ISNUMBER(AJ843))),0,1)+IF(OR(COUNTA(AK843:AM843)=0,AND(COUNTA(AK843:AM843)=3,ISNUMBER(AM843))),0,1)+IF(OR(COUNTA(AN843:AP843)=0,AND(COUNTA(AN843:AP843)=3,ISNUMBER(AP843))),0,1)+IF(OR(COUNTA(AQ843:AS843)=0,AND(COUNTA(AQ843:AS843)=3,ISNUMBER(AS843))),0,1)+IF(OR(COUNTA(AT843:AV843)=0,AND(COUNTA(AT843:AV843)=3,ISNUMBER(AV843))),0,1)+IF(OR(COUNTA(AW843:AY843)=0,AND(COUNTA(AW843:AY843)=3,ISNUMBER(AY843))),0,1)+IF(OR(COUNTA(AZ843:BB843)=0,AND(COUNTA(AZ843:BB843)=3,ISNUMBER(BB843))),0,1))&gt;0,"; An invoice is incomplete (needs No, Date and a number in Ex GST)","")&amp;IF((IF(T843="",0,IFERROR(--(EOMONTH(T843,0)&lt;&gt;S$5),1))+IF(W843="",0,IFERROR(--(EOMONTH(W843,0)&lt;&gt;V$5),1))+IF(Z843="",0,IFERROR(--(EOMONTH(Z843,0)&lt;&gt;Y$5),1))+IF(AC843="",0,IFERROR(--(EOMONTH(AC843,0)&lt;&gt;AB$5),1))+IF(AF843="",0,IFERROR(--(EOMONTH(AF843,0)&lt;&gt;AE$5),1))+IF(AI843="",0,IFERROR(--(EOMONTH(AI843,0)&lt;&gt;AH$5),1))+IF(AL843="",0,IFERROR(--(EOMONTH(AL843,0)&lt;&gt;AK$5),1))+IF(AO843="",0,IFERROR(--(EOMONTH(AO843,0)&lt;&gt;AN$5),1))+IF(AR843="",0,IFERROR(--(EOMONTH(AR843,0)&lt;&gt;AQ$5),1))+IF(AU843="",0,IFERROR(--(EOMONTH(AU843,0)&lt;&gt;AT$5),1))+IF(AX843="",0,IFERROR(--(EOMONTH(AX843,0)&lt;&gt;AW$5),1))+IF(BA843="",0,IFERROR(--(EOMONTH(BA843,0)&lt;&gt;AZ$5),1)))&gt;0,"; An invoice date is not in the month it is typed under",""),3,500))</f>
        <v/>
      </c>
      <c r="S843" s="12" t="n"/>
      <c r="T843" s="13" t="n"/>
      <c r="U843" s="14" t="n"/>
      <c r="V843" s="12" t="n"/>
      <c r="W843" s="13" t="n"/>
      <c r="X843" s="14" t="n"/>
      <c r="Y843" s="12" t="n"/>
      <c r="Z843" s="13" t="n"/>
      <c r="AA843" s="14" t="n"/>
      <c r="AB843" s="12" t="n"/>
      <c r="AC843" s="13" t="n"/>
      <c r="AD843" s="14" t="n"/>
      <c r="AE843" s="12" t="n"/>
      <c r="AF843" s="13" t="n"/>
      <c r="AG843" s="14" t="n"/>
      <c r="AH843" s="12" t="n"/>
      <c r="AI843" s="13" t="n"/>
      <c r="AJ843" s="14" t="n"/>
      <c r="AK843" s="12" t="n"/>
      <c r="AL843" s="13" t="n"/>
      <c r="AM843" s="14" t="n"/>
      <c r="AN843" s="12" t="n"/>
      <c r="AO843" s="13" t="n"/>
      <c r="AP843" s="14" t="n"/>
      <c r="AQ843" s="12" t="n"/>
      <c r="AR843" s="13" t="n"/>
      <c r="AS843" s="14" t="n"/>
      <c r="AT843" s="12" t="n"/>
      <c r="AU843" s="13" t="n"/>
      <c r="AV843" s="14" t="n"/>
      <c r="AW843" s="12" t="n"/>
      <c r="AX843" s="13" t="n"/>
      <c r="AY843" s="14" t="n"/>
      <c r="AZ843" s="12" t="n"/>
      <c r="BA843" s="13" t="n"/>
      <c r="BB843" s="14" t="n"/>
      <c r="BC843" s="11">
        <f>IF(O843="","",IF(J843="GST 10%",ROUND(O843*set_GSTRate,2),0))</f>
        <v/>
      </c>
      <c r="BD843" s="11">
        <f>IF(O843="","",O843+BC843)</f>
        <v/>
      </c>
      <c r="BE843" s="15">
        <f>IF(O843="","",COUNTA(S843,V843,Y843,AB843,AE843,AH843,AK843,AN843,AQ843,AT843,AW843,AZ843))</f>
        <v/>
      </c>
      <c r="BF843" s="16">
        <f>IF(COUNT(T843,W843,Z843,AC843,AF843,AI843,AL843,AO843,AR843,AU843,AX843,BA843)=0,"",MAX(T843,W843,Z843,AC843,AF843,AI843,AL843,AO843,AR843,AU843,AX843,BA843))</f>
        <v/>
      </c>
      <c r="BG843" s="10">
        <f>MID(IF(S843="","",", "&amp;S843)&amp;IF(V843="","",", "&amp;V843)&amp;IF(Y843="","",", "&amp;Y843)&amp;IF(AB843="","",", "&amp;AB843)&amp;IF(AE843="","",", "&amp;AE843)&amp;IF(AH843="","",", "&amp;AH843)&amp;IF(AK843="","",", "&amp;AK843)&amp;IF(AN843="","",", "&amp;AN843)&amp;IF(AQ843="","",", "&amp;AQ843)&amp;IF(AT843="","",", "&amp;AT843)&amp;IF(AW843="","",", "&amp;AW843)&amp;IF(AZ843="","",", "&amp;AZ843),3,500)</f>
        <v/>
      </c>
      <c r="BH843" s="12" t="n"/>
      <c r="BI843" s="15">
        <f>IFERROR(MATCH($A843,IF($B843="Onsite",tbl_Onsite[Row ID],IF($B843="Production",tbl_Production[Row ID],tbl_Consulting[Row ID])),0),"")</f>
        <v/>
      </c>
    </row>
    <row r="844">
      <c r="A844" s="10" t="inlineStr">
        <is>
          <t>PRD-0338</t>
        </is>
      </c>
      <c r="B844" s="10" t="inlineStr">
        <is>
          <t>Production</t>
        </is>
      </c>
      <c r="C844" s="10">
        <f>IF($BI844="","",IF($B844="Onsite",INDEX(tbl_Onsite[Job Number],$BI844),IF($B844="Production",INDEX(tbl_Production[Job Number],$BI844),INDEX(tbl_Consulting[Job Number],$BI844)))&amp;"")</f>
        <v/>
      </c>
      <c r="D844" s="10">
        <f>IF($BI844="","",IF($B844="Onsite",INDEX(tbl_Onsite[Client],$BI844),IF($B844="Production",INDEX(tbl_Production[Client],$BI844),INDEX(tbl_Consulting[Client],$BI844)))&amp;"")</f>
        <v/>
      </c>
      <c r="E844" s="10">
        <f>IF($C844="","",IF(COUNTIF(lst_Jobs,$C844)&gt;0,"OK","CHECK"))</f>
        <v/>
      </c>
      <c r="F844" s="10">
        <f>IF($C844="","",IFERROR(INDEX(lst_JobName,MATCH($C844,lst_Jobs,0)),""))</f>
        <v/>
      </c>
      <c r="G844" s="10">
        <f>IF($BI844="","",IF($B844="Onsite",INDEX(tbl_Onsite[Job Description],$BI844),IF($B844="Production",INDEX(tbl_Production[Job Description],$BI844),INDEX(tbl_Consulting[Job Description],$BI844)))&amp;"")</f>
        <v/>
      </c>
      <c r="H844" s="10">
        <f>IF($BI844="","",IF($B844="Onsite",INDEX(tbl_Onsite[Cost Centre],$BI844),IF($B844="Production",INDEX(tbl_Production[Cost Centre],$BI844),INDEX(tbl_Consulting[Cost Centre],$BI844)))&amp;"")</f>
        <v/>
      </c>
      <c r="I844" s="10">
        <f>IF($BI844="","",IF($B844="Onsite",INDEX(tbl_Onsite[Invoice Type],$BI844),IF($B844="Production",INDEX(tbl_Production[Invoice Type],$BI844),INDEX(tbl_Consulting[Invoice Type],$BI844)))&amp;"")</f>
        <v/>
      </c>
      <c r="J844" s="10">
        <f>IF($BI844="","",IF($B844="Onsite",INDEX(tbl_Onsite[Tax Code],$BI844),IF($B844="Production",INDEX(tbl_Production[Tax Code],$BI844),INDEX(tbl_Consulting[Tax Code],$BI844)))&amp;"")</f>
        <v/>
      </c>
      <c r="K844" s="10">
        <f>IF(H844="","",IFERROR(INDEX(lst_CCtoGL,MATCH(H844,lst_CCforGL,0)),""))</f>
        <v/>
      </c>
      <c r="L844" s="10">
        <f>IF($BI844="","",IF($B844="Onsite",INDEX(tbl_Onsite[PO / Reference],$BI844),IF($B844="Production",INDEX(tbl_Production[Current RMS No],$BI844),INDEX(tbl_Consulting[Qwilr Quote],$BI844)))&amp;"")</f>
        <v/>
      </c>
      <c r="M844" s="10">
        <f>IF($BI844="","",IF($B844="Onsite",INDEX(tbl_Onsite[Notes],$BI844),IF($B844="Production",INDEX(tbl_Production[Notes],$BI844),INDEX(tbl_Consulting[Notes],$BI844)))&amp;"")</f>
        <v/>
      </c>
      <c r="N844" s="11">
        <f>IF($BI844="","",IF(IF($B844="Onsite",INDEX(tbl_Onsite[Expected Revenue Ex GST],$BI844),IF($B844="Production",INDEX(tbl_Production[Expected Revenue Ex GST],$BI844),INDEX(tbl_Consulting[Expected Revenue Ex GST],$BI844)))="","",IF($B844="Onsite",INDEX(tbl_Onsite[Expected Revenue Ex GST],$BI844),IF($B844="Production",INDEX(tbl_Production[Expected Revenue Ex GST],$BI844),INDEX(tbl_Consulting[Expected Revenue Ex GST],$BI844)))))</f>
        <v/>
      </c>
      <c r="O844" s="11">
        <f>IF(AND($C844="",NOT(COUNTA($S844:$BB844)&gt;0)),"",SUM(U844,X844,AA844,AD844,AG844,AJ844,AM844,AP844,AS844,AV844,AY844,BB844))</f>
        <v/>
      </c>
      <c r="P844" s="11">
        <f>IF(O844="","",N(N844)-O844)</f>
        <v/>
      </c>
      <c r="Q844" s="10">
        <f>IF(O844="","",IF($C844="","Invoice on empty job row",IF(N844="",IF(ROUND(O844,2)=0,"No dept value","Invoiced - no dept value"),IF(ROUND(O844,2)=0,"Not invoiced - to invoice",IF(ROUND(P844,2)=0,"Agrees",IF(P844&gt;0,"Dept higher - to invoice","Xero higher - check dept"))))))</f>
        <v/>
      </c>
      <c r="R844" s="10">
        <f>IF(AND($C844="",NOT(COUNTA($S844:$BB844)&gt;0),$BI844&lt;&gt;""),"",MID(IF($BI844="","; Row ID not found on the department sheet - a row was deleted","")&amp;IF(AND($C844="",COUNTA($S844:$BB844)&gt;0),"; Invoice entered but the department row has no job number","")&amp;IF(E844="CHECK","; Job number not in the Xero job list","")&amp;IF(AND($C844&lt;&gt;"",COUNTIF($C$7:$C$1506,$C844)&gt;1),"; Job number on more than one row","")&amp;IF(AND($C844&lt;&gt;"",H844=""),"; Dept has not set a cost centre","")&amp;IF(AND($C844&lt;&gt;"",J844=""),"; Dept has not set a tax code","")&amp;IF(AND($C844&lt;&gt;"",N844=""),"; Dept has not entered an expected value","")&amp;IF((IF(OR(COUNTA(S844:U844)=0,AND(COUNTA(S844:U844)=3,ISNUMBER(U844))),0,1)+IF(OR(COUNTA(V844:X844)=0,AND(COUNTA(V844:X844)=3,ISNUMBER(X844))),0,1)+IF(OR(COUNTA(Y844:AA844)=0,AND(COUNTA(Y844:AA844)=3,ISNUMBER(AA844))),0,1)+IF(OR(COUNTA(AB844:AD844)=0,AND(COUNTA(AB844:AD844)=3,ISNUMBER(AD844))),0,1)+IF(OR(COUNTA(AE844:AG844)=0,AND(COUNTA(AE844:AG844)=3,ISNUMBER(AG844))),0,1)+IF(OR(COUNTA(AH844:AJ844)=0,AND(COUNTA(AH844:AJ844)=3,ISNUMBER(AJ844))),0,1)+IF(OR(COUNTA(AK844:AM844)=0,AND(COUNTA(AK844:AM844)=3,ISNUMBER(AM844))),0,1)+IF(OR(COUNTA(AN844:AP844)=0,AND(COUNTA(AN844:AP844)=3,ISNUMBER(AP844))),0,1)+IF(OR(COUNTA(AQ844:AS844)=0,AND(COUNTA(AQ844:AS844)=3,ISNUMBER(AS844))),0,1)+IF(OR(COUNTA(AT844:AV844)=0,AND(COUNTA(AT844:AV844)=3,ISNUMBER(AV844))),0,1)+IF(OR(COUNTA(AW844:AY844)=0,AND(COUNTA(AW844:AY844)=3,ISNUMBER(AY844))),0,1)+IF(OR(COUNTA(AZ844:BB844)=0,AND(COUNTA(AZ844:BB844)=3,ISNUMBER(BB844))),0,1))&gt;0,"; An invoice is incomplete (needs No, Date and a number in Ex GST)","")&amp;IF((IF(T844="",0,IFERROR(--(EOMONTH(T844,0)&lt;&gt;S$5),1))+IF(W844="",0,IFERROR(--(EOMONTH(W844,0)&lt;&gt;V$5),1))+IF(Z844="",0,IFERROR(--(EOMONTH(Z844,0)&lt;&gt;Y$5),1))+IF(AC844="",0,IFERROR(--(EOMONTH(AC844,0)&lt;&gt;AB$5),1))+IF(AF844="",0,IFERROR(--(EOMONTH(AF844,0)&lt;&gt;AE$5),1))+IF(AI844="",0,IFERROR(--(EOMONTH(AI844,0)&lt;&gt;AH$5),1))+IF(AL844="",0,IFERROR(--(EOMONTH(AL844,0)&lt;&gt;AK$5),1))+IF(AO844="",0,IFERROR(--(EOMONTH(AO844,0)&lt;&gt;AN$5),1))+IF(AR844="",0,IFERROR(--(EOMONTH(AR844,0)&lt;&gt;AQ$5),1))+IF(AU844="",0,IFERROR(--(EOMONTH(AU844,0)&lt;&gt;AT$5),1))+IF(AX844="",0,IFERROR(--(EOMONTH(AX844,0)&lt;&gt;AW$5),1))+IF(BA844="",0,IFERROR(--(EOMONTH(BA844,0)&lt;&gt;AZ$5),1)))&gt;0,"; An invoice date is not in the month it is typed under",""),3,500))</f>
        <v/>
      </c>
      <c r="S844" s="12" t="n"/>
      <c r="T844" s="13" t="n"/>
      <c r="U844" s="14" t="n"/>
      <c r="V844" s="12" t="n"/>
      <c r="W844" s="13" t="n"/>
      <c r="X844" s="14" t="n"/>
      <c r="Y844" s="12" t="n"/>
      <c r="Z844" s="13" t="n"/>
      <c r="AA844" s="14" t="n"/>
      <c r="AB844" s="12" t="n"/>
      <c r="AC844" s="13" t="n"/>
      <c r="AD844" s="14" t="n"/>
      <c r="AE844" s="12" t="n"/>
      <c r="AF844" s="13" t="n"/>
      <c r="AG844" s="14" t="n"/>
      <c r="AH844" s="12" t="n"/>
      <c r="AI844" s="13" t="n"/>
      <c r="AJ844" s="14" t="n"/>
      <c r="AK844" s="12" t="n"/>
      <c r="AL844" s="13" t="n"/>
      <c r="AM844" s="14" t="n"/>
      <c r="AN844" s="12" t="n"/>
      <c r="AO844" s="13" t="n"/>
      <c r="AP844" s="14" t="n"/>
      <c r="AQ844" s="12" t="n"/>
      <c r="AR844" s="13" t="n"/>
      <c r="AS844" s="14" t="n"/>
      <c r="AT844" s="12" t="n"/>
      <c r="AU844" s="13" t="n"/>
      <c r="AV844" s="14" t="n"/>
      <c r="AW844" s="12" t="n"/>
      <c r="AX844" s="13" t="n"/>
      <c r="AY844" s="14" t="n"/>
      <c r="AZ844" s="12" t="n"/>
      <c r="BA844" s="13" t="n"/>
      <c r="BB844" s="14" t="n"/>
      <c r="BC844" s="11">
        <f>IF(O844="","",IF(J844="GST 10%",ROUND(O844*set_GSTRate,2),0))</f>
        <v/>
      </c>
      <c r="BD844" s="11">
        <f>IF(O844="","",O844+BC844)</f>
        <v/>
      </c>
      <c r="BE844" s="15">
        <f>IF(O844="","",COUNTA(S844,V844,Y844,AB844,AE844,AH844,AK844,AN844,AQ844,AT844,AW844,AZ844))</f>
        <v/>
      </c>
      <c r="BF844" s="16">
        <f>IF(COUNT(T844,W844,Z844,AC844,AF844,AI844,AL844,AO844,AR844,AU844,AX844,BA844)=0,"",MAX(T844,W844,Z844,AC844,AF844,AI844,AL844,AO844,AR844,AU844,AX844,BA844))</f>
        <v/>
      </c>
      <c r="BG844" s="10">
        <f>MID(IF(S844="","",", "&amp;S844)&amp;IF(V844="","",", "&amp;V844)&amp;IF(Y844="","",", "&amp;Y844)&amp;IF(AB844="","",", "&amp;AB844)&amp;IF(AE844="","",", "&amp;AE844)&amp;IF(AH844="","",", "&amp;AH844)&amp;IF(AK844="","",", "&amp;AK844)&amp;IF(AN844="","",", "&amp;AN844)&amp;IF(AQ844="","",", "&amp;AQ844)&amp;IF(AT844="","",", "&amp;AT844)&amp;IF(AW844="","",", "&amp;AW844)&amp;IF(AZ844="","",", "&amp;AZ844),3,500)</f>
        <v/>
      </c>
      <c r="BH844" s="12" t="n"/>
      <c r="BI844" s="15">
        <f>IFERROR(MATCH($A844,IF($B844="Onsite",tbl_Onsite[Row ID],IF($B844="Production",tbl_Production[Row ID],tbl_Consulting[Row ID])),0),"")</f>
        <v/>
      </c>
    </row>
    <row r="845">
      <c r="A845" s="10" t="inlineStr">
        <is>
          <t>PRD-0339</t>
        </is>
      </c>
      <c r="B845" s="10" t="inlineStr">
        <is>
          <t>Production</t>
        </is>
      </c>
      <c r="C845" s="10">
        <f>IF($BI845="","",IF($B845="Onsite",INDEX(tbl_Onsite[Job Number],$BI845),IF($B845="Production",INDEX(tbl_Production[Job Number],$BI845),INDEX(tbl_Consulting[Job Number],$BI845)))&amp;"")</f>
        <v/>
      </c>
      <c r="D845" s="10">
        <f>IF($BI845="","",IF($B845="Onsite",INDEX(tbl_Onsite[Client],$BI845),IF($B845="Production",INDEX(tbl_Production[Client],$BI845),INDEX(tbl_Consulting[Client],$BI845)))&amp;"")</f>
        <v/>
      </c>
      <c r="E845" s="10">
        <f>IF($C845="","",IF(COUNTIF(lst_Jobs,$C845)&gt;0,"OK","CHECK"))</f>
        <v/>
      </c>
      <c r="F845" s="10">
        <f>IF($C845="","",IFERROR(INDEX(lst_JobName,MATCH($C845,lst_Jobs,0)),""))</f>
        <v/>
      </c>
      <c r="G845" s="10">
        <f>IF($BI845="","",IF($B845="Onsite",INDEX(tbl_Onsite[Job Description],$BI845),IF($B845="Production",INDEX(tbl_Production[Job Description],$BI845),INDEX(tbl_Consulting[Job Description],$BI845)))&amp;"")</f>
        <v/>
      </c>
      <c r="H845" s="10">
        <f>IF($BI845="","",IF($B845="Onsite",INDEX(tbl_Onsite[Cost Centre],$BI845),IF($B845="Production",INDEX(tbl_Production[Cost Centre],$BI845),INDEX(tbl_Consulting[Cost Centre],$BI845)))&amp;"")</f>
        <v/>
      </c>
      <c r="I845" s="10">
        <f>IF($BI845="","",IF($B845="Onsite",INDEX(tbl_Onsite[Invoice Type],$BI845),IF($B845="Production",INDEX(tbl_Production[Invoice Type],$BI845),INDEX(tbl_Consulting[Invoice Type],$BI845)))&amp;"")</f>
        <v/>
      </c>
      <c r="J845" s="10">
        <f>IF($BI845="","",IF($B845="Onsite",INDEX(tbl_Onsite[Tax Code],$BI845),IF($B845="Production",INDEX(tbl_Production[Tax Code],$BI845),INDEX(tbl_Consulting[Tax Code],$BI845)))&amp;"")</f>
        <v/>
      </c>
      <c r="K845" s="10">
        <f>IF(H845="","",IFERROR(INDEX(lst_CCtoGL,MATCH(H845,lst_CCforGL,0)),""))</f>
        <v/>
      </c>
      <c r="L845" s="10">
        <f>IF($BI845="","",IF($B845="Onsite",INDEX(tbl_Onsite[PO / Reference],$BI845),IF($B845="Production",INDEX(tbl_Production[Current RMS No],$BI845),INDEX(tbl_Consulting[Qwilr Quote],$BI845)))&amp;"")</f>
        <v/>
      </c>
      <c r="M845" s="10">
        <f>IF($BI845="","",IF($B845="Onsite",INDEX(tbl_Onsite[Notes],$BI845),IF($B845="Production",INDEX(tbl_Production[Notes],$BI845),INDEX(tbl_Consulting[Notes],$BI845)))&amp;"")</f>
        <v/>
      </c>
      <c r="N845" s="11">
        <f>IF($BI845="","",IF(IF($B845="Onsite",INDEX(tbl_Onsite[Expected Revenue Ex GST],$BI845),IF($B845="Production",INDEX(tbl_Production[Expected Revenue Ex GST],$BI845),INDEX(tbl_Consulting[Expected Revenue Ex GST],$BI845)))="","",IF($B845="Onsite",INDEX(tbl_Onsite[Expected Revenue Ex GST],$BI845),IF($B845="Production",INDEX(tbl_Production[Expected Revenue Ex GST],$BI845),INDEX(tbl_Consulting[Expected Revenue Ex GST],$BI845)))))</f>
        <v/>
      </c>
      <c r="O845" s="11">
        <f>IF(AND($C845="",NOT(COUNTA($S845:$BB845)&gt;0)),"",SUM(U845,X845,AA845,AD845,AG845,AJ845,AM845,AP845,AS845,AV845,AY845,BB845))</f>
        <v/>
      </c>
      <c r="P845" s="11">
        <f>IF(O845="","",N(N845)-O845)</f>
        <v/>
      </c>
      <c r="Q845" s="10">
        <f>IF(O845="","",IF($C845="","Invoice on empty job row",IF(N845="",IF(ROUND(O845,2)=0,"No dept value","Invoiced - no dept value"),IF(ROUND(O845,2)=0,"Not invoiced - to invoice",IF(ROUND(P845,2)=0,"Agrees",IF(P845&gt;0,"Dept higher - to invoice","Xero higher - check dept"))))))</f>
        <v/>
      </c>
      <c r="R845" s="10">
        <f>IF(AND($C845="",NOT(COUNTA($S845:$BB845)&gt;0),$BI845&lt;&gt;""),"",MID(IF($BI845="","; Row ID not found on the department sheet - a row was deleted","")&amp;IF(AND($C845="",COUNTA($S845:$BB845)&gt;0),"; Invoice entered but the department row has no job number","")&amp;IF(E845="CHECK","; Job number not in the Xero job list","")&amp;IF(AND($C845&lt;&gt;"",COUNTIF($C$7:$C$1506,$C845)&gt;1),"; Job number on more than one row","")&amp;IF(AND($C845&lt;&gt;"",H845=""),"; Dept has not set a cost centre","")&amp;IF(AND($C845&lt;&gt;"",J845=""),"; Dept has not set a tax code","")&amp;IF(AND($C845&lt;&gt;"",N845=""),"; Dept has not entered an expected value","")&amp;IF((IF(OR(COUNTA(S845:U845)=0,AND(COUNTA(S845:U845)=3,ISNUMBER(U845))),0,1)+IF(OR(COUNTA(V845:X845)=0,AND(COUNTA(V845:X845)=3,ISNUMBER(X845))),0,1)+IF(OR(COUNTA(Y845:AA845)=0,AND(COUNTA(Y845:AA845)=3,ISNUMBER(AA845))),0,1)+IF(OR(COUNTA(AB845:AD845)=0,AND(COUNTA(AB845:AD845)=3,ISNUMBER(AD845))),0,1)+IF(OR(COUNTA(AE845:AG845)=0,AND(COUNTA(AE845:AG845)=3,ISNUMBER(AG845))),0,1)+IF(OR(COUNTA(AH845:AJ845)=0,AND(COUNTA(AH845:AJ845)=3,ISNUMBER(AJ845))),0,1)+IF(OR(COUNTA(AK845:AM845)=0,AND(COUNTA(AK845:AM845)=3,ISNUMBER(AM845))),0,1)+IF(OR(COUNTA(AN845:AP845)=0,AND(COUNTA(AN845:AP845)=3,ISNUMBER(AP845))),0,1)+IF(OR(COUNTA(AQ845:AS845)=0,AND(COUNTA(AQ845:AS845)=3,ISNUMBER(AS845))),0,1)+IF(OR(COUNTA(AT845:AV845)=0,AND(COUNTA(AT845:AV845)=3,ISNUMBER(AV845))),0,1)+IF(OR(COUNTA(AW845:AY845)=0,AND(COUNTA(AW845:AY845)=3,ISNUMBER(AY845))),0,1)+IF(OR(COUNTA(AZ845:BB845)=0,AND(COUNTA(AZ845:BB845)=3,ISNUMBER(BB845))),0,1))&gt;0,"; An invoice is incomplete (needs No, Date and a number in Ex GST)","")&amp;IF((IF(T845="",0,IFERROR(--(EOMONTH(T845,0)&lt;&gt;S$5),1))+IF(W845="",0,IFERROR(--(EOMONTH(W845,0)&lt;&gt;V$5),1))+IF(Z845="",0,IFERROR(--(EOMONTH(Z845,0)&lt;&gt;Y$5),1))+IF(AC845="",0,IFERROR(--(EOMONTH(AC845,0)&lt;&gt;AB$5),1))+IF(AF845="",0,IFERROR(--(EOMONTH(AF845,0)&lt;&gt;AE$5),1))+IF(AI845="",0,IFERROR(--(EOMONTH(AI845,0)&lt;&gt;AH$5),1))+IF(AL845="",0,IFERROR(--(EOMONTH(AL845,0)&lt;&gt;AK$5),1))+IF(AO845="",0,IFERROR(--(EOMONTH(AO845,0)&lt;&gt;AN$5),1))+IF(AR845="",0,IFERROR(--(EOMONTH(AR845,0)&lt;&gt;AQ$5),1))+IF(AU845="",0,IFERROR(--(EOMONTH(AU845,0)&lt;&gt;AT$5),1))+IF(AX845="",0,IFERROR(--(EOMONTH(AX845,0)&lt;&gt;AW$5),1))+IF(BA845="",0,IFERROR(--(EOMONTH(BA845,0)&lt;&gt;AZ$5),1)))&gt;0,"; An invoice date is not in the month it is typed under",""),3,500))</f>
        <v/>
      </c>
      <c r="S845" s="12" t="n"/>
      <c r="T845" s="13" t="n"/>
      <c r="U845" s="14" t="n"/>
      <c r="V845" s="12" t="n"/>
      <c r="W845" s="13" t="n"/>
      <c r="X845" s="14" t="n"/>
      <c r="Y845" s="12" t="n"/>
      <c r="Z845" s="13" t="n"/>
      <c r="AA845" s="14" t="n"/>
      <c r="AB845" s="12" t="n"/>
      <c r="AC845" s="13" t="n"/>
      <c r="AD845" s="14" t="n"/>
      <c r="AE845" s="12" t="n"/>
      <c r="AF845" s="13" t="n"/>
      <c r="AG845" s="14" t="n"/>
      <c r="AH845" s="12" t="n"/>
      <c r="AI845" s="13" t="n"/>
      <c r="AJ845" s="14" t="n"/>
      <c r="AK845" s="12" t="n"/>
      <c r="AL845" s="13" t="n"/>
      <c r="AM845" s="14" t="n"/>
      <c r="AN845" s="12" t="n"/>
      <c r="AO845" s="13" t="n"/>
      <c r="AP845" s="14" t="n"/>
      <c r="AQ845" s="12" t="n"/>
      <c r="AR845" s="13" t="n"/>
      <c r="AS845" s="14" t="n"/>
      <c r="AT845" s="12" t="n"/>
      <c r="AU845" s="13" t="n"/>
      <c r="AV845" s="14" t="n"/>
      <c r="AW845" s="12" t="n"/>
      <c r="AX845" s="13" t="n"/>
      <c r="AY845" s="14" t="n"/>
      <c r="AZ845" s="12" t="n"/>
      <c r="BA845" s="13" t="n"/>
      <c r="BB845" s="14" t="n"/>
      <c r="BC845" s="11">
        <f>IF(O845="","",IF(J845="GST 10%",ROUND(O845*set_GSTRate,2),0))</f>
        <v/>
      </c>
      <c r="BD845" s="11">
        <f>IF(O845="","",O845+BC845)</f>
        <v/>
      </c>
      <c r="BE845" s="15">
        <f>IF(O845="","",COUNTA(S845,V845,Y845,AB845,AE845,AH845,AK845,AN845,AQ845,AT845,AW845,AZ845))</f>
        <v/>
      </c>
      <c r="BF845" s="16">
        <f>IF(COUNT(T845,W845,Z845,AC845,AF845,AI845,AL845,AO845,AR845,AU845,AX845,BA845)=0,"",MAX(T845,W845,Z845,AC845,AF845,AI845,AL845,AO845,AR845,AU845,AX845,BA845))</f>
        <v/>
      </c>
      <c r="BG845" s="10">
        <f>MID(IF(S845="","",", "&amp;S845)&amp;IF(V845="","",", "&amp;V845)&amp;IF(Y845="","",", "&amp;Y845)&amp;IF(AB845="","",", "&amp;AB845)&amp;IF(AE845="","",", "&amp;AE845)&amp;IF(AH845="","",", "&amp;AH845)&amp;IF(AK845="","",", "&amp;AK845)&amp;IF(AN845="","",", "&amp;AN845)&amp;IF(AQ845="","",", "&amp;AQ845)&amp;IF(AT845="","",", "&amp;AT845)&amp;IF(AW845="","",", "&amp;AW845)&amp;IF(AZ845="","",", "&amp;AZ845),3,500)</f>
        <v/>
      </c>
      <c r="BH845" s="12" t="n"/>
      <c r="BI845" s="15">
        <f>IFERROR(MATCH($A845,IF($B845="Onsite",tbl_Onsite[Row ID],IF($B845="Production",tbl_Production[Row ID],tbl_Consulting[Row ID])),0),"")</f>
        <v/>
      </c>
    </row>
    <row r="846">
      <c r="A846" s="10" t="inlineStr">
        <is>
          <t>PRD-0340</t>
        </is>
      </c>
      <c r="B846" s="10" t="inlineStr">
        <is>
          <t>Production</t>
        </is>
      </c>
      <c r="C846" s="10">
        <f>IF($BI846="","",IF($B846="Onsite",INDEX(tbl_Onsite[Job Number],$BI846),IF($B846="Production",INDEX(tbl_Production[Job Number],$BI846),INDEX(tbl_Consulting[Job Number],$BI846)))&amp;"")</f>
        <v/>
      </c>
      <c r="D846" s="10">
        <f>IF($BI846="","",IF($B846="Onsite",INDEX(tbl_Onsite[Client],$BI846),IF($B846="Production",INDEX(tbl_Production[Client],$BI846),INDEX(tbl_Consulting[Client],$BI846)))&amp;"")</f>
        <v/>
      </c>
      <c r="E846" s="10">
        <f>IF($C846="","",IF(COUNTIF(lst_Jobs,$C846)&gt;0,"OK","CHECK"))</f>
        <v/>
      </c>
      <c r="F846" s="10">
        <f>IF($C846="","",IFERROR(INDEX(lst_JobName,MATCH($C846,lst_Jobs,0)),""))</f>
        <v/>
      </c>
      <c r="G846" s="10">
        <f>IF($BI846="","",IF($B846="Onsite",INDEX(tbl_Onsite[Job Description],$BI846),IF($B846="Production",INDEX(tbl_Production[Job Description],$BI846),INDEX(tbl_Consulting[Job Description],$BI846)))&amp;"")</f>
        <v/>
      </c>
      <c r="H846" s="10">
        <f>IF($BI846="","",IF($B846="Onsite",INDEX(tbl_Onsite[Cost Centre],$BI846),IF($B846="Production",INDEX(tbl_Production[Cost Centre],$BI846),INDEX(tbl_Consulting[Cost Centre],$BI846)))&amp;"")</f>
        <v/>
      </c>
      <c r="I846" s="10">
        <f>IF($BI846="","",IF($B846="Onsite",INDEX(tbl_Onsite[Invoice Type],$BI846),IF($B846="Production",INDEX(tbl_Production[Invoice Type],$BI846),INDEX(tbl_Consulting[Invoice Type],$BI846)))&amp;"")</f>
        <v/>
      </c>
      <c r="J846" s="10">
        <f>IF($BI846="","",IF($B846="Onsite",INDEX(tbl_Onsite[Tax Code],$BI846),IF($B846="Production",INDEX(tbl_Production[Tax Code],$BI846),INDEX(tbl_Consulting[Tax Code],$BI846)))&amp;"")</f>
        <v/>
      </c>
      <c r="K846" s="10">
        <f>IF(H846="","",IFERROR(INDEX(lst_CCtoGL,MATCH(H846,lst_CCforGL,0)),""))</f>
        <v/>
      </c>
      <c r="L846" s="10">
        <f>IF($BI846="","",IF($B846="Onsite",INDEX(tbl_Onsite[PO / Reference],$BI846),IF($B846="Production",INDEX(tbl_Production[Current RMS No],$BI846),INDEX(tbl_Consulting[Qwilr Quote],$BI846)))&amp;"")</f>
        <v/>
      </c>
      <c r="M846" s="10">
        <f>IF($BI846="","",IF($B846="Onsite",INDEX(tbl_Onsite[Notes],$BI846),IF($B846="Production",INDEX(tbl_Production[Notes],$BI846),INDEX(tbl_Consulting[Notes],$BI846)))&amp;"")</f>
        <v/>
      </c>
      <c r="N846" s="11">
        <f>IF($BI846="","",IF(IF($B846="Onsite",INDEX(tbl_Onsite[Expected Revenue Ex GST],$BI846),IF($B846="Production",INDEX(tbl_Production[Expected Revenue Ex GST],$BI846),INDEX(tbl_Consulting[Expected Revenue Ex GST],$BI846)))="","",IF($B846="Onsite",INDEX(tbl_Onsite[Expected Revenue Ex GST],$BI846),IF($B846="Production",INDEX(tbl_Production[Expected Revenue Ex GST],$BI846),INDEX(tbl_Consulting[Expected Revenue Ex GST],$BI846)))))</f>
        <v/>
      </c>
      <c r="O846" s="11">
        <f>IF(AND($C846="",NOT(COUNTA($S846:$BB846)&gt;0)),"",SUM(U846,X846,AA846,AD846,AG846,AJ846,AM846,AP846,AS846,AV846,AY846,BB846))</f>
        <v/>
      </c>
      <c r="P846" s="11">
        <f>IF(O846="","",N(N846)-O846)</f>
        <v/>
      </c>
      <c r="Q846" s="10">
        <f>IF(O846="","",IF($C846="","Invoice on empty job row",IF(N846="",IF(ROUND(O846,2)=0,"No dept value","Invoiced - no dept value"),IF(ROUND(O846,2)=0,"Not invoiced - to invoice",IF(ROUND(P846,2)=0,"Agrees",IF(P846&gt;0,"Dept higher - to invoice","Xero higher - check dept"))))))</f>
        <v/>
      </c>
      <c r="R846" s="10">
        <f>IF(AND($C846="",NOT(COUNTA($S846:$BB846)&gt;0),$BI846&lt;&gt;""),"",MID(IF($BI846="","; Row ID not found on the department sheet - a row was deleted","")&amp;IF(AND($C846="",COUNTA($S846:$BB846)&gt;0),"; Invoice entered but the department row has no job number","")&amp;IF(E846="CHECK","; Job number not in the Xero job list","")&amp;IF(AND($C846&lt;&gt;"",COUNTIF($C$7:$C$1506,$C846)&gt;1),"; Job number on more than one row","")&amp;IF(AND($C846&lt;&gt;"",H846=""),"; Dept has not set a cost centre","")&amp;IF(AND($C846&lt;&gt;"",J846=""),"; Dept has not set a tax code","")&amp;IF(AND($C846&lt;&gt;"",N846=""),"; Dept has not entered an expected value","")&amp;IF((IF(OR(COUNTA(S846:U846)=0,AND(COUNTA(S846:U846)=3,ISNUMBER(U846))),0,1)+IF(OR(COUNTA(V846:X846)=0,AND(COUNTA(V846:X846)=3,ISNUMBER(X846))),0,1)+IF(OR(COUNTA(Y846:AA846)=0,AND(COUNTA(Y846:AA846)=3,ISNUMBER(AA846))),0,1)+IF(OR(COUNTA(AB846:AD846)=0,AND(COUNTA(AB846:AD846)=3,ISNUMBER(AD846))),0,1)+IF(OR(COUNTA(AE846:AG846)=0,AND(COUNTA(AE846:AG846)=3,ISNUMBER(AG846))),0,1)+IF(OR(COUNTA(AH846:AJ846)=0,AND(COUNTA(AH846:AJ846)=3,ISNUMBER(AJ846))),0,1)+IF(OR(COUNTA(AK846:AM846)=0,AND(COUNTA(AK846:AM846)=3,ISNUMBER(AM846))),0,1)+IF(OR(COUNTA(AN846:AP846)=0,AND(COUNTA(AN846:AP846)=3,ISNUMBER(AP846))),0,1)+IF(OR(COUNTA(AQ846:AS846)=0,AND(COUNTA(AQ846:AS846)=3,ISNUMBER(AS846))),0,1)+IF(OR(COUNTA(AT846:AV846)=0,AND(COUNTA(AT846:AV846)=3,ISNUMBER(AV846))),0,1)+IF(OR(COUNTA(AW846:AY846)=0,AND(COUNTA(AW846:AY846)=3,ISNUMBER(AY846))),0,1)+IF(OR(COUNTA(AZ846:BB846)=0,AND(COUNTA(AZ846:BB846)=3,ISNUMBER(BB846))),0,1))&gt;0,"; An invoice is incomplete (needs No, Date and a number in Ex GST)","")&amp;IF((IF(T846="",0,IFERROR(--(EOMONTH(T846,0)&lt;&gt;S$5),1))+IF(W846="",0,IFERROR(--(EOMONTH(W846,0)&lt;&gt;V$5),1))+IF(Z846="",0,IFERROR(--(EOMONTH(Z846,0)&lt;&gt;Y$5),1))+IF(AC846="",0,IFERROR(--(EOMONTH(AC846,0)&lt;&gt;AB$5),1))+IF(AF846="",0,IFERROR(--(EOMONTH(AF846,0)&lt;&gt;AE$5),1))+IF(AI846="",0,IFERROR(--(EOMONTH(AI846,0)&lt;&gt;AH$5),1))+IF(AL846="",0,IFERROR(--(EOMONTH(AL846,0)&lt;&gt;AK$5),1))+IF(AO846="",0,IFERROR(--(EOMONTH(AO846,0)&lt;&gt;AN$5),1))+IF(AR846="",0,IFERROR(--(EOMONTH(AR846,0)&lt;&gt;AQ$5),1))+IF(AU846="",0,IFERROR(--(EOMONTH(AU846,0)&lt;&gt;AT$5),1))+IF(AX846="",0,IFERROR(--(EOMONTH(AX846,0)&lt;&gt;AW$5),1))+IF(BA846="",0,IFERROR(--(EOMONTH(BA846,0)&lt;&gt;AZ$5),1)))&gt;0,"; An invoice date is not in the month it is typed under",""),3,500))</f>
        <v/>
      </c>
      <c r="S846" s="12" t="n"/>
      <c r="T846" s="13" t="n"/>
      <c r="U846" s="14" t="n"/>
      <c r="V846" s="12" t="n"/>
      <c r="W846" s="13" t="n"/>
      <c r="X846" s="14" t="n"/>
      <c r="Y846" s="12" t="n"/>
      <c r="Z846" s="13" t="n"/>
      <c r="AA846" s="14" t="n"/>
      <c r="AB846" s="12" t="n"/>
      <c r="AC846" s="13" t="n"/>
      <c r="AD846" s="14" t="n"/>
      <c r="AE846" s="12" t="n"/>
      <c r="AF846" s="13" t="n"/>
      <c r="AG846" s="14" t="n"/>
      <c r="AH846" s="12" t="n"/>
      <c r="AI846" s="13" t="n"/>
      <c r="AJ846" s="14" t="n"/>
      <c r="AK846" s="12" t="n"/>
      <c r="AL846" s="13" t="n"/>
      <c r="AM846" s="14" t="n"/>
      <c r="AN846" s="12" t="n"/>
      <c r="AO846" s="13" t="n"/>
      <c r="AP846" s="14" t="n"/>
      <c r="AQ846" s="12" t="n"/>
      <c r="AR846" s="13" t="n"/>
      <c r="AS846" s="14" t="n"/>
      <c r="AT846" s="12" t="n"/>
      <c r="AU846" s="13" t="n"/>
      <c r="AV846" s="14" t="n"/>
      <c r="AW846" s="12" t="n"/>
      <c r="AX846" s="13" t="n"/>
      <c r="AY846" s="14" t="n"/>
      <c r="AZ846" s="12" t="n"/>
      <c r="BA846" s="13" t="n"/>
      <c r="BB846" s="14" t="n"/>
      <c r="BC846" s="11">
        <f>IF(O846="","",IF(J846="GST 10%",ROUND(O846*set_GSTRate,2),0))</f>
        <v/>
      </c>
      <c r="BD846" s="11">
        <f>IF(O846="","",O846+BC846)</f>
        <v/>
      </c>
      <c r="BE846" s="15">
        <f>IF(O846="","",COUNTA(S846,V846,Y846,AB846,AE846,AH846,AK846,AN846,AQ846,AT846,AW846,AZ846))</f>
        <v/>
      </c>
      <c r="BF846" s="16">
        <f>IF(COUNT(T846,W846,Z846,AC846,AF846,AI846,AL846,AO846,AR846,AU846,AX846,BA846)=0,"",MAX(T846,W846,Z846,AC846,AF846,AI846,AL846,AO846,AR846,AU846,AX846,BA846))</f>
        <v/>
      </c>
      <c r="BG846" s="10">
        <f>MID(IF(S846="","",", "&amp;S846)&amp;IF(V846="","",", "&amp;V846)&amp;IF(Y846="","",", "&amp;Y846)&amp;IF(AB846="","",", "&amp;AB846)&amp;IF(AE846="","",", "&amp;AE846)&amp;IF(AH846="","",", "&amp;AH846)&amp;IF(AK846="","",", "&amp;AK846)&amp;IF(AN846="","",", "&amp;AN846)&amp;IF(AQ846="","",", "&amp;AQ846)&amp;IF(AT846="","",", "&amp;AT846)&amp;IF(AW846="","",", "&amp;AW846)&amp;IF(AZ846="","",", "&amp;AZ846),3,500)</f>
        <v/>
      </c>
      <c r="BH846" s="12" t="n"/>
      <c r="BI846" s="15">
        <f>IFERROR(MATCH($A846,IF($B846="Onsite",tbl_Onsite[Row ID],IF($B846="Production",tbl_Production[Row ID],tbl_Consulting[Row ID])),0),"")</f>
        <v/>
      </c>
    </row>
    <row r="847">
      <c r="A847" s="10" t="inlineStr">
        <is>
          <t>PRD-0341</t>
        </is>
      </c>
      <c r="B847" s="10" t="inlineStr">
        <is>
          <t>Production</t>
        </is>
      </c>
      <c r="C847" s="10">
        <f>IF($BI847="","",IF($B847="Onsite",INDEX(tbl_Onsite[Job Number],$BI847),IF($B847="Production",INDEX(tbl_Production[Job Number],$BI847),INDEX(tbl_Consulting[Job Number],$BI847)))&amp;"")</f>
        <v/>
      </c>
      <c r="D847" s="10">
        <f>IF($BI847="","",IF($B847="Onsite",INDEX(tbl_Onsite[Client],$BI847),IF($B847="Production",INDEX(tbl_Production[Client],$BI847),INDEX(tbl_Consulting[Client],$BI847)))&amp;"")</f>
        <v/>
      </c>
      <c r="E847" s="10">
        <f>IF($C847="","",IF(COUNTIF(lst_Jobs,$C847)&gt;0,"OK","CHECK"))</f>
        <v/>
      </c>
      <c r="F847" s="10">
        <f>IF($C847="","",IFERROR(INDEX(lst_JobName,MATCH($C847,lst_Jobs,0)),""))</f>
        <v/>
      </c>
      <c r="G847" s="10">
        <f>IF($BI847="","",IF($B847="Onsite",INDEX(tbl_Onsite[Job Description],$BI847),IF($B847="Production",INDEX(tbl_Production[Job Description],$BI847),INDEX(tbl_Consulting[Job Description],$BI847)))&amp;"")</f>
        <v/>
      </c>
      <c r="H847" s="10">
        <f>IF($BI847="","",IF($B847="Onsite",INDEX(tbl_Onsite[Cost Centre],$BI847),IF($B847="Production",INDEX(tbl_Production[Cost Centre],$BI847),INDEX(tbl_Consulting[Cost Centre],$BI847)))&amp;"")</f>
        <v/>
      </c>
      <c r="I847" s="10">
        <f>IF($BI847="","",IF($B847="Onsite",INDEX(tbl_Onsite[Invoice Type],$BI847),IF($B847="Production",INDEX(tbl_Production[Invoice Type],$BI847),INDEX(tbl_Consulting[Invoice Type],$BI847)))&amp;"")</f>
        <v/>
      </c>
      <c r="J847" s="10">
        <f>IF($BI847="","",IF($B847="Onsite",INDEX(tbl_Onsite[Tax Code],$BI847),IF($B847="Production",INDEX(tbl_Production[Tax Code],$BI847),INDEX(tbl_Consulting[Tax Code],$BI847)))&amp;"")</f>
        <v/>
      </c>
      <c r="K847" s="10">
        <f>IF(H847="","",IFERROR(INDEX(lst_CCtoGL,MATCH(H847,lst_CCforGL,0)),""))</f>
        <v/>
      </c>
      <c r="L847" s="10">
        <f>IF($BI847="","",IF($B847="Onsite",INDEX(tbl_Onsite[PO / Reference],$BI847),IF($B847="Production",INDEX(tbl_Production[Current RMS No],$BI847),INDEX(tbl_Consulting[Qwilr Quote],$BI847)))&amp;"")</f>
        <v/>
      </c>
      <c r="M847" s="10">
        <f>IF($BI847="","",IF($B847="Onsite",INDEX(tbl_Onsite[Notes],$BI847),IF($B847="Production",INDEX(tbl_Production[Notes],$BI847),INDEX(tbl_Consulting[Notes],$BI847)))&amp;"")</f>
        <v/>
      </c>
      <c r="N847" s="11">
        <f>IF($BI847="","",IF(IF($B847="Onsite",INDEX(tbl_Onsite[Expected Revenue Ex GST],$BI847),IF($B847="Production",INDEX(tbl_Production[Expected Revenue Ex GST],$BI847),INDEX(tbl_Consulting[Expected Revenue Ex GST],$BI847)))="","",IF($B847="Onsite",INDEX(tbl_Onsite[Expected Revenue Ex GST],$BI847),IF($B847="Production",INDEX(tbl_Production[Expected Revenue Ex GST],$BI847),INDEX(tbl_Consulting[Expected Revenue Ex GST],$BI847)))))</f>
        <v/>
      </c>
      <c r="O847" s="11">
        <f>IF(AND($C847="",NOT(COUNTA($S847:$BB847)&gt;0)),"",SUM(U847,X847,AA847,AD847,AG847,AJ847,AM847,AP847,AS847,AV847,AY847,BB847))</f>
        <v/>
      </c>
      <c r="P847" s="11">
        <f>IF(O847="","",N(N847)-O847)</f>
        <v/>
      </c>
      <c r="Q847" s="10">
        <f>IF(O847="","",IF($C847="","Invoice on empty job row",IF(N847="",IF(ROUND(O847,2)=0,"No dept value","Invoiced - no dept value"),IF(ROUND(O847,2)=0,"Not invoiced - to invoice",IF(ROUND(P847,2)=0,"Agrees",IF(P847&gt;0,"Dept higher - to invoice","Xero higher - check dept"))))))</f>
        <v/>
      </c>
      <c r="R847" s="10">
        <f>IF(AND($C847="",NOT(COUNTA($S847:$BB847)&gt;0),$BI847&lt;&gt;""),"",MID(IF($BI847="","; Row ID not found on the department sheet - a row was deleted","")&amp;IF(AND($C847="",COUNTA($S847:$BB847)&gt;0),"; Invoice entered but the department row has no job number","")&amp;IF(E847="CHECK","; Job number not in the Xero job list","")&amp;IF(AND($C847&lt;&gt;"",COUNTIF($C$7:$C$1506,$C847)&gt;1),"; Job number on more than one row","")&amp;IF(AND($C847&lt;&gt;"",H847=""),"; Dept has not set a cost centre","")&amp;IF(AND($C847&lt;&gt;"",J847=""),"; Dept has not set a tax code","")&amp;IF(AND($C847&lt;&gt;"",N847=""),"; Dept has not entered an expected value","")&amp;IF((IF(OR(COUNTA(S847:U847)=0,AND(COUNTA(S847:U847)=3,ISNUMBER(U847))),0,1)+IF(OR(COUNTA(V847:X847)=0,AND(COUNTA(V847:X847)=3,ISNUMBER(X847))),0,1)+IF(OR(COUNTA(Y847:AA847)=0,AND(COUNTA(Y847:AA847)=3,ISNUMBER(AA847))),0,1)+IF(OR(COUNTA(AB847:AD847)=0,AND(COUNTA(AB847:AD847)=3,ISNUMBER(AD847))),0,1)+IF(OR(COUNTA(AE847:AG847)=0,AND(COUNTA(AE847:AG847)=3,ISNUMBER(AG847))),0,1)+IF(OR(COUNTA(AH847:AJ847)=0,AND(COUNTA(AH847:AJ847)=3,ISNUMBER(AJ847))),0,1)+IF(OR(COUNTA(AK847:AM847)=0,AND(COUNTA(AK847:AM847)=3,ISNUMBER(AM847))),0,1)+IF(OR(COUNTA(AN847:AP847)=0,AND(COUNTA(AN847:AP847)=3,ISNUMBER(AP847))),0,1)+IF(OR(COUNTA(AQ847:AS847)=0,AND(COUNTA(AQ847:AS847)=3,ISNUMBER(AS847))),0,1)+IF(OR(COUNTA(AT847:AV847)=0,AND(COUNTA(AT847:AV847)=3,ISNUMBER(AV847))),0,1)+IF(OR(COUNTA(AW847:AY847)=0,AND(COUNTA(AW847:AY847)=3,ISNUMBER(AY847))),0,1)+IF(OR(COUNTA(AZ847:BB847)=0,AND(COUNTA(AZ847:BB847)=3,ISNUMBER(BB847))),0,1))&gt;0,"; An invoice is incomplete (needs No, Date and a number in Ex GST)","")&amp;IF((IF(T847="",0,IFERROR(--(EOMONTH(T847,0)&lt;&gt;S$5),1))+IF(W847="",0,IFERROR(--(EOMONTH(W847,0)&lt;&gt;V$5),1))+IF(Z847="",0,IFERROR(--(EOMONTH(Z847,0)&lt;&gt;Y$5),1))+IF(AC847="",0,IFERROR(--(EOMONTH(AC847,0)&lt;&gt;AB$5),1))+IF(AF847="",0,IFERROR(--(EOMONTH(AF847,0)&lt;&gt;AE$5),1))+IF(AI847="",0,IFERROR(--(EOMONTH(AI847,0)&lt;&gt;AH$5),1))+IF(AL847="",0,IFERROR(--(EOMONTH(AL847,0)&lt;&gt;AK$5),1))+IF(AO847="",0,IFERROR(--(EOMONTH(AO847,0)&lt;&gt;AN$5),1))+IF(AR847="",0,IFERROR(--(EOMONTH(AR847,0)&lt;&gt;AQ$5),1))+IF(AU847="",0,IFERROR(--(EOMONTH(AU847,0)&lt;&gt;AT$5),1))+IF(AX847="",0,IFERROR(--(EOMONTH(AX847,0)&lt;&gt;AW$5),1))+IF(BA847="",0,IFERROR(--(EOMONTH(BA847,0)&lt;&gt;AZ$5),1)))&gt;0,"; An invoice date is not in the month it is typed under",""),3,500))</f>
        <v/>
      </c>
      <c r="S847" s="12" t="n"/>
      <c r="T847" s="13" t="n"/>
      <c r="U847" s="14" t="n"/>
      <c r="V847" s="12" t="n"/>
      <c r="W847" s="13" t="n"/>
      <c r="X847" s="14" t="n"/>
      <c r="Y847" s="12" t="n"/>
      <c r="Z847" s="13" t="n"/>
      <c r="AA847" s="14" t="n"/>
      <c r="AB847" s="12" t="n"/>
      <c r="AC847" s="13" t="n"/>
      <c r="AD847" s="14" t="n"/>
      <c r="AE847" s="12" t="n"/>
      <c r="AF847" s="13" t="n"/>
      <c r="AG847" s="14" t="n"/>
      <c r="AH847" s="12" t="n"/>
      <c r="AI847" s="13" t="n"/>
      <c r="AJ847" s="14" t="n"/>
      <c r="AK847" s="12" t="n"/>
      <c r="AL847" s="13" t="n"/>
      <c r="AM847" s="14" t="n"/>
      <c r="AN847" s="12" t="n"/>
      <c r="AO847" s="13" t="n"/>
      <c r="AP847" s="14" t="n"/>
      <c r="AQ847" s="12" t="n"/>
      <c r="AR847" s="13" t="n"/>
      <c r="AS847" s="14" t="n"/>
      <c r="AT847" s="12" t="n"/>
      <c r="AU847" s="13" t="n"/>
      <c r="AV847" s="14" t="n"/>
      <c r="AW847" s="12" t="n"/>
      <c r="AX847" s="13" t="n"/>
      <c r="AY847" s="14" t="n"/>
      <c r="AZ847" s="12" t="n"/>
      <c r="BA847" s="13" t="n"/>
      <c r="BB847" s="14" t="n"/>
      <c r="BC847" s="11">
        <f>IF(O847="","",IF(J847="GST 10%",ROUND(O847*set_GSTRate,2),0))</f>
        <v/>
      </c>
      <c r="BD847" s="11">
        <f>IF(O847="","",O847+BC847)</f>
        <v/>
      </c>
      <c r="BE847" s="15">
        <f>IF(O847="","",COUNTA(S847,V847,Y847,AB847,AE847,AH847,AK847,AN847,AQ847,AT847,AW847,AZ847))</f>
        <v/>
      </c>
      <c r="BF847" s="16">
        <f>IF(COUNT(T847,W847,Z847,AC847,AF847,AI847,AL847,AO847,AR847,AU847,AX847,BA847)=0,"",MAX(T847,W847,Z847,AC847,AF847,AI847,AL847,AO847,AR847,AU847,AX847,BA847))</f>
        <v/>
      </c>
      <c r="BG847" s="10">
        <f>MID(IF(S847="","",", "&amp;S847)&amp;IF(V847="","",", "&amp;V847)&amp;IF(Y847="","",", "&amp;Y847)&amp;IF(AB847="","",", "&amp;AB847)&amp;IF(AE847="","",", "&amp;AE847)&amp;IF(AH847="","",", "&amp;AH847)&amp;IF(AK847="","",", "&amp;AK847)&amp;IF(AN847="","",", "&amp;AN847)&amp;IF(AQ847="","",", "&amp;AQ847)&amp;IF(AT847="","",", "&amp;AT847)&amp;IF(AW847="","",", "&amp;AW847)&amp;IF(AZ847="","",", "&amp;AZ847),3,500)</f>
        <v/>
      </c>
      <c r="BH847" s="12" t="n"/>
      <c r="BI847" s="15">
        <f>IFERROR(MATCH($A847,IF($B847="Onsite",tbl_Onsite[Row ID],IF($B847="Production",tbl_Production[Row ID],tbl_Consulting[Row ID])),0),"")</f>
        <v/>
      </c>
    </row>
    <row r="848">
      <c r="A848" s="10" t="inlineStr">
        <is>
          <t>PRD-0342</t>
        </is>
      </c>
      <c r="B848" s="10" t="inlineStr">
        <is>
          <t>Production</t>
        </is>
      </c>
      <c r="C848" s="10">
        <f>IF($BI848="","",IF($B848="Onsite",INDEX(tbl_Onsite[Job Number],$BI848),IF($B848="Production",INDEX(tbl_Production[Job Number],$BI848),INDEX(tbl_Consulting[Job Number],$BI848)))&amp;"")</f>
        <v/>
      </c>
      <c r="D848" s="10">
        <f>IF($BI848="","",IF($B848="Onsite",INDEX(tbl_Onsite[Client],$BI848),IF($B848="Production",INDEX(tbl_Production[Client],$BI848),INDEX(tbl_Consulting[Client],$BI848)))&amp;"")</f>
        <v/>
      </c>
      <c r="E848" s="10">
        <f>IF($C848="","",IF(COUNTIF(lst_Jobs,$C848)&gt;0,"OK","CHECK"))</f>
        <v/>
      </c>
      <c r="F848" s="10">
        <f>IF($C848="","",IFERROR(INDEX(lst_JobName,MATCH($C848,lst_Jobs,0)),""))</f>
        <v/>
      </c>
      <c r="G848" s="10">
        <f>IF($BI848="","",IF($B848="Onsite",INDEX(tbl_Onsite[Job Description],$BI848),IF($B848="Production",INDEX(tbl_Production[Job Description],$BI848),INDEX(tbl_Consulting[Job Description],$BI848)))&amp;"")</f>
        <v/>
      </c>
      <c r="H848" s="10">
        <f>IF($BI848="","",IF($B848="Onsite",INDEX(tbl_Onsite[Cost Centre],$BI848),IF($B848="Production",INDEX(tbl_Production[Cost Centre],$BI848),INDEX(tbl_Consulting[Cost Centre],$BI848)))&amp;"")</f>
        <v/>
      </c>
      <c r="I848" s="10">
        <f>IF($BI848="","",IF($B848="Onsite",INDEX(tbl_Onsite[Invoice Type],$BI848),IF($B848="Production",INDEX(tbl_Production[Invoice Type],$BI848),INDEX(tbl_Consulting[Invoice Type],$BI848)))&amp;"")</f>
        <v/>
      </c>
      <c r="J848" s="10">
        <f>IF($BI848="","",IF($B848="Onsite",INDEX(tbl_Onsite[Tax Code],$BI848),IF($B848="Production",INDEX(tbl_Production[Tax Code],$BI848),INDEX(tbl_Consulting[Tax Code],$BI848)))&amp;"")</f>
        <v/>
      </c>
      <c r="K848" s="10">
        <f>IF(H848="","",IFERROR(INDEX(lst_CCtoGL,MATCH(H848,lst_CCforGL,0)),""))</f>
        <v/>
      </c>
      <c r="L848" s="10">
        <f>IF($BI848="","",IF($B848="Onsite",INDEX(tbl_Onsite[PO / Reference],$BI848),IF($B848="Production",INDEX(tbl_Production[Current RMS No],$BI848),INDEX(tbl_Consulting[Qwilr Quote],$BI848)))&amp;"")</f>
        <v/>
      </c>
      <c r="M848" s="10">
        <f>IF($BI848="","",IF($B848="Onsite",INDEX(tbl_Onsite[Notes],$BI848),IF($B848="Production",INDEX(tbl_Production[Notes],$BI848),INDEX(tbl_Consulting[Notes],$BI848)))&amp;"")</f>
        <v/>
      </c>
      <c r="N848" s="11">
        <f>IF($BI848="","",IF(IF($B848="Onsite",INDEX(tbl_Onsite[Expected Revenue Ex GST],$BI848),IF($B848="Production",INDEX(tbl_Production[Expected Revenue Ex GST],$BI848),INDEX(tbl_Consulting[Expected Revenue Ex GST],$BI848)))="","",IF($B848="Onsite",INDEX(tbl_Onsite[Expected Revenue Ex GST],$BI848),IF($B848="Production",INDEX(tbl_Production[Expected Revenue Ex GST],$BI848),INDEX(tbl_Consulting[Expected Revenue Ex GST],$BI848)))))</f>
        <v/>
      </c>
      <c r="O848" s="11">
        <f>IF(AND($C848="",NOT(COUNTA($S848:$BB848)&gt;0)),"",SUM(U848,X848,AA848,AD848,AG848,AJ848,AM848,AP848,AS848,AV848,AY848,BB848))</f>
        <v/>
      </c>
      <c r="P848" s="11">
        <f>IF(O848="","",N(N848)-O848)</f>
        <v/>
      </c>
      <c r="Q848" s="10">
        <f>IF(O848="","",IF($C848="","Invoice on empty job row",IF(N848="",IF(ROUND(O848,2)=0,"No dept value","Invoiced - no dept value"),IF(ROUND(O848,2)=0,"Not invoiced - to invoice",IF(ROUND(P848,2)=0,"Agrees",IF(P848&gt;0,"Dept higher - to invoice","Xero higher - check dept"))))))</f>
        <v/>
      </c>
      <c r="R848" s="10">
        <f>IF(AND($C848="",NOT(COUNTA($S848:$BB848)&gt;0),$BI848&lt;&gt;""),"",MID(IF($BI848="","; Row ID not found on the department sheet - a row was deleted","")&amp;IF(AND($C848="",COUNTA($S848:$BB848)&gt;0),"; Invoice entered but the department row has no job number","")&amp;IF(E848="CHECK","; Job number not in the Xero job list","")&amp;IF(AND($C848&lt;&gt;"",COUNTIF($C$7:$C$1506,$C848)&gt;1),"; Job number on more than one row","")&amp;IF(AND($C848&lt;&gt;"",H848=""),"; Dept has not set a cost centre","")&amp;IF(AND($C848&lt;&gt;"",J848=""),"; Dept has not set a tax code","")&amp;IF(AND($C848&lt;&gt;"",N848=""),"; Dept has not entered an expected value","")&amp;IF((IF(OR(COUNTA(S848:U848)=0,AND(COUNTA(S848:U848)=3,ISNUMBER(U848))),0,1)+IF(OR(COUNTA(V848:X848)=0,AND(COUNTA(V848:X848)=3,ISNUMBER(X848))),0,1)+IF(OR(COUNTA(Y848:AA848)=0,AND(COUNTA(Y848:AA848)=3,ISNUMBER(AA848))),0,1)+IF(OR(COUNTA(AB848:AD848)=0,AND(COUNTA(AB848:AD848)=3,ISNUMBER(AD848))),0,1)+IF(OR(COUNTA(AE848:AG848)=0,AND(COUNTA(AE848:AG848)=3,ISNUMBER(AG848))),0,1)+IF(OR(COUNTA(AH848:AJ848)=0,AND(COUNTA(AH848:AJ848)=3,ISNUMBER(AJ848))),0,1)+IF(OR(COUNTA(AK848:AM848)=0,AND(COUNTA(AK848:AM848)=3,ISNUMBER(AM848))),0,1)+IF(OR(COUNTA(AN848:AP848)=0,AND(COUNTA(AN848:AP848)=3,ISNUMBER(AP848))),0,1)+IF(OR(COUNTA(AQ848:AS848)=0,AND(COUNTA(AQ848:AS848)=3,ISNUMBER(AS848))),0,1)+IF(OR(COUNTA(AT848:AV848)=0,AND(COUNTA(AT848:AV848)=3,ISNUMBER(AV848))),0,1)+IF(OR(COUNTA(AW848:AY848)=0,AND(COUNTA(AW848:AY848)=3,ISNUMBER(AY848))),0,1)+IF(OR(COUNTA(AZ848:BB848)=0,AND(COUNTA(AZ848:BB848)=3,ISNUMBER(BB848))),0,1))&gt;0,"; An invoice is incomplete (needs No, Date and a number in Ex GST)","")&amp;IF((IF(T848="",0,IFERROR(--(EOMONTH(T848,0)&lt;&gt;S$5),1))+IF(W848="",0,IFERROR(--(EOMONTH(W848,0)&lt;&gt;V$5),1))+IF(Z848="",0,IFERROR(--(EOMONTH(Z848,0)&lt;&gt;Y$5),1))+IF(AC848="",0,IFERROR(--(EOMONTH(AC848,0)&lt;&gt;AB$5),1))+IF(AF848="",0,IFERROR(--(EOMONTH(AF848,0)&lt;&gt;AE$5),1))+IF(AI848="",0,IFERROR(--(EOMONTH(AI848,0)&lt;&gt;AH$5),1))+IF(AL848="",0,IFERROR(--(EOMONTH(AL848,0)&lt;&gt;AK$5),1))+IF(AO848="",0,IFERROR(--(EOMONTH(AO848,0)&lt;&gt;AN$5),1))+IF(AR848="",0,IFERROR(--(EOMONTH(AR848,0)&lt;&gt;AQ$5),1))+IF(AU848="",0,IFERROR(--(EOMONTH(AU848,0)&lt;&gt;AT$5),1))+IF(AX848="",0,IFERROR(--(EOMONTH(AX848,0)&lt;&gt;AW$5),1))+IF(BA848="",0,IFERROR(--(EOMONTH(BA848,0)&lt;&gt;AZ$5),1)))&gt;0,"; An invoice date is not in the month it is typed under",""),3,500))</f>
        <v/>
      </c>
      <c r="S848" s="12" t="n"/>
      <c r="T848" s="13" t="n"/>
      <c r="U848" s="14" t="n"/>
      <c r="V848" s="12" t="n"/>
      <c r="W848" s="13" t="n"/>
      <c r="X848" s="14" t="n"/>
      <c r="Y848" s="12" t="n"/>
      <c r="Z848" s="13" t="n"/>
      <c r="AA848" s="14" t="n"/>
      <c r="AB848" s="12" t="n"/>
      <c r="AC848" s="13" t="n"/>
      <c r="AD848" s="14" t="n"/>
      <c r="AE848" s="12" t="n"/>
      <c r="AF848" s="13" t="n"/>
      <c r="AG848" s="14" t="n"/>
      <c r="AH848" s="12" t="n"/>
      <c r="AI848" s="13" t="n"/>
      <c r="AJ848" s="14" t="n"/>
      <c r="AK848" s="12" t="n"/>
      <c r="AL848" s="13" t="n"/>
      <c r="AM848" s="14" t="n"/>
      <c r="AN848" s="12" t="n"/>
      <c r="AO848" s="13" t="n"/>
      <c r="AP848" s="14" t="n"/>
      <c r="AQ848" s="12" t="n"/>
      <c r="AR848" s="13" t="n"/>
      <c r="AS848" s="14" t="n"/>
      <c r="AT848" s="12" t="n"/>
      <c r="AU848" s="13" t="n"/>
      <c r="AV848" s="14" t="n"/>
      <c r="AW848" s="12" t="n"/>
      <c r="AX848" s="13" t="n"/>
      <c r="AY848" s="14" t="n"/>
      <c r="AZ848" s="12" t="n"/>
      <c r="BA848" s="13" t="n"/>
      <c r="BB848" s="14" t="n"/>
      <c r="BC848" s="11">
        <f>IF(O848="","",IF(J848="GST 10%",ROUND(O848*set_GSTRate,2),0))</f>
        <v/>
      </c>
      <c r="BD848" s="11">
        <f>IF(O848="","",O848+BC848)</f>
        <v/>
      </c>
      <c r="BE848" s="15">
        <f>IF(O848="","",COUNTA(S848,V848,Y848,AB848,AE848,AH848,AK848,AN848,AQ848,AT848,AW848,AZ848))</f>
        <v/>
      </c>
      <c r="BF848" s="16">
        <f>IF(COUNT(T848,W848,Z848,AC848,AF848,AI848,AL848,AO848,AR848,AU848,AX848,BA848)=0,"",MAX(T848,W848,Z848,AC848,AF848,AI848,AL848,AO848,AR848,AU848,AX848,BA848))</f>
        <v/>
      </c>
      <c r="BG848" s="10">
        <f>MID(IF(S848="","",", "&amp;S848)&amp;IF(V848="","",", "&amp;V848)&amp;IF(Y848="","",", "&amp;Y848)&amp;IF(AB848="","",", "&amp;AB848)&amp;IF(AE848="","",", "&amp;AE848)&amp;IF(AH848="","",", "&amp;AH848)&amp;IF(AK848="","",", "&amp;AK848)&amp;IF(AN848="","",", "&amp;AN848)&amp;IF(AQ848="","",", "&amp;AQ848)&amp;IF(AT848="","",", "&amp;AT848)&amp;IF(AW848="","",", "&amp;AW848)&amp;IF(AZ848="","",", "&amp;AZ848),3,500)</f>
        <v/>
      </c>
      <c r="BH848" s="12" t="n"/>
      <c r="BI848" s="15">
        <f>IFERROR(MATCH($A848,IF($B848="Onsite",tbl_Onsite[Row ID],IF($B848="Production",tbl_Production[Row ID],tbl_Consulting[Row ID])),0),"")</f>
        <v/>
      </c>
    </row>
    <row r="849">
      <c r="A849" s="10" t="inlineStr">
        <is>
          <t>PRD-0343</t>
        </is>
      </c>
      <c r="B849" s="10" t="inlineStr">
        <is>
          <t>Production</t>
        </is>
      </c>
      <c r="C849" s="10">
        <f>IF($BI849="","",IF($B849="Onsite",INDEX(tbl_Onsite[Job Number],$BI849),IF($B849="Production",INDEX(tbl_Production[Job Number],$BI849),INDEX(tbl_Consulting[Job Number],$BI849)))&amp;"")</f>
        <v/>
      </c>
      <c r="D849" s="10">
        <f>IF($BI849="","",IF($B849="Onsite",INDEX(tbl_Onsite[Client],$BI849),IF($B849="Production",INDEX(tbl_Production[Client],$BI849),INDEX(tbl_Consulting[Client],$BI849)))&amp;"")</f>
        <v/>
      </c>
      <c r="E849" s="10">
        <f>IF($C849="","",IF(COUNTIF(lst_Jobs,$C849)&gt;0,"OK","CHECK"))</f>
        <v/>
      </c>
      <c r="F849" s="10">
        <f>IF($C849="","",IFERROR(INDEX(lst_JobName,MATCH($C849,lst_Jobs,0)),""))</f>
        <v/>
      </c>
      <c r="G849" s="10">
        <f>IF($BI849="","",IF($B849="Onsite",INDEX(tbl_Onsite[Job Description],$BI849),IF($B849="Production",INDEX(tbl_Production[Job Description],$BI849),INDEX(tbl_Consulting[Job Description],$BI849)))&amp;"")</f>
        <v/>
      </c>
      <c r="H849" s="10">
        <f>IF($BI849="","",IF($B849="Onsite",INDEX(tbl_Onsite[Cost Centre],$BI849),IF($B849="Production",INDEX(tbl_Production[Cost Centre],$BI849),INDEX(tbl_Consulting[Cost Centre],$BI849)))&amp;"")</f>
        <v/>
      </c>
      <c r="I849" s="10">
        <f>IF($BI849="","",IF($B849="Onsite",INDEX(tbl_Onsite[Invoice Type],$BI849),IF($B849="Production",INDEX(tbl_Production[Invoice Type],$BI849),INDEX(tbl_Consulting[Invoice Type],$BI849)))&amp;"")</f>
        <v/>
      </c>
      <c r="J849" s="10">
        <f>IF($BI849="","",IF($B849="Onsite",INDEX(tbl_Onsite[Tax Code],$BI849),IF($B849="Production",INDEX(tbl_Production[Tax Code],$BI849),INDEX(tbl_Consulting[Tax Code],$BI849)))&amp;"")</f>
        <v/>
      </c>
      <c r="K849" s="10">
        <f>IF(H849="","",IFERROR(INDEX(lst_CCtoGL,MATCH(H849,lst_CCforGL,0)),""))</f>
        <v/>
      </c>
      <c r="L849" s="10">
        <f>IF($BI849="","",IF($B849="Onsite",INDEX(tbl_Onsite[PO / Reference],$BI849),IF($B849="Production",INDEX(tbl_Production[Current RMS No],$BI849),INDEX(tbl_Consulting[Qwilr Quote],$BI849)))&amp;"")</f>
        <v/>
      </c>
      <c r="M849" s="10">
        <f>IF($BI849="","",IF($B849="Onsite",INDEX(tbl_Onsite[Notes],$BI849),IF($B849="Production",INDEX(tbl_Production[Notes],$BI849),INDEX(tbl_Consulting[Notes],$BI849)))&amp;"")</f>
        <v/>
      </c>
      <c r="N849" s="11">
        <f>IF($BI849="","",IF(IF($B849="Onsite",INDEX(tbl_Onsite[Expected Revenue Ex GST],$BI849),IF($B849="Production",INDEX(tbl_Production[Expected Revenue Ex GST],$BI849),INDEX(tbl_Consulting[Expected Revenue Ex GST],$BI849)))="","",IF($B849="Onsite",INDEX(tbl_Onsite[Expected Revenue Ex GST],$BI849),IF($B849="Production",INDEX(tbl_Production[Expected Revenue Ex GST],$BI849),INDEX(tbl_Consulting[Expected Revenue Ex GST],$BI849)))))</f>
        <v/>
      </c>
      <c r="O849" s="11">
        <f>IF(AND($C849="",NOT(COUNTA($S849:$BB849)&gt;0)),"",SUM(U849,X849,AA849,AD849,AG849,AJ849,AM849,AP849,AS849,AV849,AY849,BB849))</f>
        <v/>
      </c>
      <c r="P849" s="11">
        <f>IF(O849="","",N(N849)-O849)</f>
        <v/>
      </c>
      <c r="Q849" s="10">
        <f>IF(O849="","",IF($C849="","Invoice on empty job row",IF(N849="",IF(ROUND(O849,2)=0,"No dept value","Invoiced - no dept value"),IF(ROUND(O849,2)=0,"Not invoiced - to invoice",IF(ROUND(P849,2)=0,"Agrees",IF(P849&gt;0,"Dept higher - to invoice","Xero higher - check dept"))))))</f>
        <v/>
      </c>
      <c r="R849" s="10">
        <f>IF(AND($C849="",NOT(COUNTA($S849:$BB849)&gt;0),$BI849&lt;&gt;""),"",MID(IF($BI849="","; Row ID not found on the department sheet - a row was deleted","")&amp;IF(AND($C849="",COUNTA($S849:$BB849)&gt;0),"; Invoice entered but the department row has no job number","")&amp;IF(E849="CHECK","; Job number not in the Xero job list","")&amp;IF(AND($C849&lt;&gt;"",COUNTIF($C$7:$C$1506,$C849)&gt;1),"; Job number on more than one row","")&amp;IF(AND($C849&lt;&gt;"",H849=""),"; Dept has not set a cost centre","")&amp;IF(AND($C849&lt;&gt;"",J849=""),"; Dept has not set a tax code","")&amp;IF(AND($C849&lt;&gt;"",N849=""),"; Dept has not entered an expected value","")&amp;IF((IF(OR(COUNTA(S849:U849)=0,AND(COUNTA(S849:U849)=3,ISNUMBER(U849))),0,1)+IF(OR(COUNTA(V849:X849)=0,AND(COUNTA(V849:X849)=3,ISNUMBER(X849))),0,1)+IF(OR(COUNTA(Y849:AA849)=0,AND(COUNTA(Y849:AA849)=3,ISNUMBER(AA849))),0,1)+IF(OR(COUNTA(AB849:AD849)=0,AND(COUNTA(AB849:AD849)=3,ISNUMBER(AD849))),0,1)+IF(OR(COUNTA(AE849:AG849)=0,AND(COUNTA(AE849:AG849)=3,ISNUMBER(AG849))),0,1)+IF(OR(COUNTA(AH849:AJ849)=0,AND(COUNTA(AH849:AJ849)=3,ISNUMBER(AJ849))),0,1)+IF(OR(COUNTA(AK849:AM849)=0,AND(COUNTA(AK849:AM849)=3,ISNUMBER(AM849))),0,1)+IF(OR(COUNTA(AN849:AP849)=0,AND(COUNTA(AN849:AP849)=3,ISNUMBER(AP849))),0,1)+IF(OR(COUNTA(AQ849:AS849)=0,AND(COUNTA(AQ849:AS849)=3,ISNUMBER(AS849))),0,1)+IF(OR(COUNTA(AT849:AV849)=0,AND(COUNTA(AT849:AV849)=3,ISNUMBER(AV849))),0,1)+IF(OR(COUNTA(AW849:AY849)=0,AND(COUNTA(AW849:AY849)=3,ISNUMBER(AY849))),0,1)+IF(OR(COUNTA(AZ849:BB849)=0,AND(COUNTA(AZ849:BB849)=3,ISNUMBER(BB849))),0,1))&gt;0,"; An invoice is incomplete (needs No, Date and a number in Ex GST)","")&amp;IF((IF(T849="",0,IFERROR(--(EOMONTH(T849,0)&lt;&gt;S$5),1))+IF(W849="",0,IFERROR(--(EOMONTH(W849,0)&lt;&gt;V$5),1))+IF(Z849="",0,IFERROR(--(EOMONTH(Z849,0)&lt;&gt;Y$5),1))+IF(AC849="",0,IFERROR(--(EOMONTH(AC849,0)&lt;&gt;AB$5),1))+IF(AF849="",0,IFERROR(--(EOMONTH(AF849,0)&lt;&gt;AE$5),1))+IF(AI849="",0,IFERROR(--(EOMONTH(AI849,0)&lt;&gt;AH$5),1))+IF(AL849="",0,IFERROR(--(EOMONTH(AL849,0)&lt;&gt;AK$5),1))+IF(AO849="",0,IFERROR(--(EOMONTH(AO849,0)&lt;&gt;AN$5),1))+IF(AR849="",0,IFERROR(--(EOMONTH(AR849,0)&lt;&gt;AQ$5),1))+IF(AU849="",0,IFERROR(--(EOMONTH(AU849,0)&lt;&gt;AT$5),1))+IF(AX849="",0,IFERROR(--(EOMONTH(AX849,0)&lt;&gt;AW$5),1))+IF(BA849="",0,IFERROR(--(EOMONTH(BA849,0)&lt;&gt;AZ$5),1)))&gt;0,"; An invoice date is not in the month it is typed under",""),3,500))</f>
        <v/>
      </c>
      <c r="S849" s="12" t="n"/>
      <c r="T849" s="13" t="n"/>
      <c r="U849" s="14" t="n"/>
      <c r="V849" s="12" t="n"/>
      <c r="W849" s="13" t="n"/>
      <c r="X849" s="14" t="n"/>
      <c r="Y849" s="12" t="n"/>
      <c r="Z849" s="13" t="n"/>
      <c r="AA849" s="14" t="n"/>
      <c r="AB849" s="12" t="n"/>
      <c r="AC849" s="13" t="n"/>
      <c r="AD849" s="14" t="n"/>
      <c r="AE849" s="12" t="n"/>
      <c r="AF849" s="13" t="n"/>
      <c r="AG849" s="14" t="n"/>
      <c r="AH849" s="12" t="n"/>
      <c r="AI849" s="13" t="n"/>
      <c r="AJ849" s="14" t="n"/>
      <c r="AK849" s="12" t="n"/>
      <c r="AL849" s="13" t="n"/>
      <c r="AM849" s="14" t="n"/>
      <c r="AN849" s="12" t="n"/>
      <c r="AO849" s="13" t="n"/>
      <c r="AP849" s="14" t="n"/>
      <c r="AQ849" s="12" t="n"/>
      <c r="AR849" s="13" t="n"/>
      <c r="AS849" s="14" t="n"/>
      <c r="AT849" s="12" t="n"/>
      <c r="AU849" s="13" t="n"/>
      <c r="AV849" s="14" t="n"/>
      <c r="AW849" s="12" t="n"/>
      <c r="AX849" s="13" t="n"/>
      <c r="AY849" s="14" t="n"/>
      <c r="AZ849" s="12" t="n"/>
      <c r="BA849" s="13" t="n"/>
      <c r="BB849" s="14" t="n"/>
      <c r="BC849" s="11">
        <f>IF(O849="","",IF(J849="GST 10%",ROUND(O849*set_GSTRate,2),0))</f>
        <v/>
      </c>
      <c r="BD849" s="11">
        <f>IF(O849="","",O849+BC849)</f>
        <v/>
      </c>
      <c r="BE849" s="15">
        <f>IF(O849="","",COUNTA(S849,V849,Y849,AB849,AE849,AH849,AK849,AN849,AQ849,AT849,AW849,AZ849))</f>
        <v/>
      </c>
      <c r="BF849" s="16">
        <f>IF(COUNT(T849,W849,Z849,AC849,AF849,AI849,AL849,AO849,AR849,AU849,AX849,BA849)=0,"",MAX(T849,W849,Z849,AC849,AF849,AI849,AL849,AO849,AR849,AU849,AX849,BA849))</f>
        <v/>
      </c>
      <c r="BG849" s="10">
        <f>MID(IF(S849="","",", "&amp;S849)&amp;IF(V849="","",", "&amp;V849)&amp;IF(Y849="","",", "&amp;Y849)&amp;IF(AB849="","",", "&amp;AB849)&amp;IF(AE849="","",", "&amp;AE849)&amp;IF(AH849="","",", "&amp;AH849)&amp;IF(AK849="","",", "&amp;AK849)&amp;IF(AN849="","",", "&amp;AN849)&amp;IF(AQ849="","",", "&amp;AQ849)&amp;IF(AT849="","",", "&amp;AT849)&amp;IF(AW849="","",", "&amp;AW849)&amp;IF(AZ849="","",", "&amp;AZ849),3,500)</f>
        <v/>
      </c>
      <c r="BH849" s="12" t="n"/>
      <c r="BI849" s="15">
        <f>IFERROR(MATCH($A849,IF($B849="Onsite",tbl_Onsite[Row ID],IF($B849="Production",tbl_Production[Row ID],tbl_Consulting[Row ID])),0),"")</f>
        <v/>
      </c>
    </row>
    <row r="850">
      <c r="A850" s="10" t="inlineStr">
        <is>
          <t>PRD-0344</t>
        </is>
      </c>
      <c r="B850" s="10" t="inlineStr">
        <is>
          <t>Production</t>
        </is>
      </c>
      <c r="C850" s="10">
        <f>IF($BI850="","",IF($B850="Onsite",INDEX(tbl_Onsite[Job Number],$BI850),IF($B850="Production",INDEX(tbl_Production[Job Number],$BI850),INDEX(tbl_Consulting[Job Number],$BI850)))&amp;"")</f>
        <v/>
      </c>
      <c r="D850" s="10">
        <f>IF($BI850="","",IF($B850="Onsite",INDEX(tbl_Onsite[Client],$BI850),IF($B850="Production",INDEX(tbl_Production[Client],$BI850),INDEX(tbl_Consulting[Client],$BI850)))&amp;"")</f>
        <v/>
      </c>
      <c r="E850" s="10">
        <f>IF($C850="","",IF(COUNTIF(lst_Jobs,$C850)&gt;0,"OK","CHECK"))</f>
        <v/>
      </c>
      <c r="F850" s="10">
        <f>IF($C850="","",IFERROR(INDEX(lst_JobName,MATCH($C850,lst_Jobs,0)),""))</f>
        <v/>
      </c>
      <c r="G850" s="10">
        <f>IF($BI850="","",IF($B850="Onsite",INDEX(tbl_Onsite[Job Description],$BI850),IF($B850="Production",INDEX(tbl_Production[Job Description],$BI850),INDEX(tbl_Consulting[Job Description],$BI850)))&amp;"")</f>
        <v/>
      </c>
      <c r="H850" s="10">
        <f>IF($BI850="","",IF($B850="Onsite",INDEX(tbl_Onsite[Cost Centre],$BI850),IF($B850="Production",INDEX(tbl_Production[Cost Centre],$BI850),INDEX(tbl_Consulting[Cost Centre],$BI850)))&amp;"")</f>
        <v/>
      </c>
      <c r="I850" s="10">
        <f>IF($BI850="","",IF($B850="Onsite",INDEX(tbl_Onsite[Invoice Type],$BI850),IF($B850="Production",INDEX(tbl_Production[Invoice Type],$BI850),INDEX(tbl_Consulting[Invoice Type],$BI850)))&amp;"")</f>
        <v/>
      </c>
      <c r="J850" s="10">
        <f>IF($BI850="","",IF($B850="Onsite",INDEX(tbl_Onsite[Tax Code],$BI850),IF($B850="Production",INDEX(tbl_Production[Tax Code],$BI850),INDEX(tbl_Consulting[Tax Code],$BI850)))&amp;"")</f>
        <v/>
      </c>
      <c r="K850" s="10">
        <f>IF(H850="","",IFERROR(INDEX(lst_CCtoGL,MATCH(H850,lst_CCforGL,0)),""))</f>
        <v/>
      </c>
      <c r="L850" s="10">
        <f>IF($BI850="","",IF($B850="Onsite",INDEX(tbl_Onsite[PO / Reference],$BI850),IF($B850="Production",INDEX(tbl_Production[Current RMS No],$BI850),INDEX(tbl_Consulting[Qwilr Quote],$BI850)))&amp;"")</f>
        <v/>
      </c>
      <c r="M850" s="10">
        <f>IF($BI850="","",IF($B850="Onsite",INDEX(tbl_Onsite[Notes],$BI850),IF($B850="Production",INDEX(tbl_Production[Notes],$BI850),INDEX(tbl_Consulting[Notes],$BI850)))&amp;"")</f>
        <v/>
      </c>
      <c r="N850" s="11">
        <f>IF($BI850="","",IF(IF($B850="Onsite",INDEX(tbl_Onsite[Expected Revenue Ex GST],$BI850),IF($B850="Production",INDEX(tbl_Production[Expected Revenue Ex GST],$BI850),INDEX(tbl_Consulting[Expected Revenue Ex GST],$BI850)))="","",IF($B850="Onsite",INDEX(tbl_Onsite[Expected Revenue Ex GST],$BI850),IF($B850="Production",INDEX(tbl_Production[Expected Revenue Ex GST],$BI850),INDEX(tbl_Consulting[Expected Revenue Ex GST],$BI850)))))</f>
        <v/>
      </c>
      <c r="O850" s="11">
        <f>IF(AND($C850="",NOT(COUNTA($S850:$BB850)&gt;0)),"",SUM(U850,X850,AA850,AD850,AG850,AJ850,AM850,AP850,AS850,AV850,AY850,BB850))</f>
        <v/>
      </c>
      <c r="P850" s="11">
        <f>IF(O850="","",N(N850)-O850)</f>
        <v/>
      </c>
      <c r="Q850" s="10">
        <f>IF(O850="","",IF($C850="","Invoice on empty job row",IF(N850="",IF(ROUND(O850,2)=0,"No dept value","Invoiced - no dept value"),IF(ROUND(O850,2)=0,"Not invoiced - to invoice",IF(ROUND(P850,2)=0,"Agrees",IF(P850&gt;0,"Dept higher - to invoice","Xero higher - check dept"))))))</f>
        <v/>
      </c>
      <c r="R850" s="10">
        <f>IF(AND($C850="",NOT(COUNTA($S850:$BB850)&gt;0),$BI850&lt;&gt;""),"",MID(IF($BI850="","; Row ID not found on the department sheet - a row was deleted","")&amp;IF(AND($C850="",COUNTA($S850:$BB850)&gt;0),"; Invoice entered but the department row has no job number","")&amp;IF(E850="CHECK","; Job number not in the Xero job list","")&amp;IF(AND($C850&lt;&gt;"",COUNTIF($C$7:$C$1506,$C850)&gt;1),"; Job number on more than one row","")&amp;IF(AND($C850&lt;&gt;"",H850=""),"; Dept has not set a cost centre","")&amp;IF(AND($C850&lt;&gt;"",J850=""),"; Dept has not set a tax code","")&amp;IF(AND($C850&lt;&gt;"",N850=""),"; Dept has not entered an expected value","")&amp;IF((IF(OR(COUNTA(S850:U850)=0,AND(COUNTA(S850:U850)=3,ISNUMBER(U850))),0,1)+IF(OR(COUNTA(V850:X850)=0,AND(COUNTA(V850:X850)=3,ISNUMBER(X850))),0,1)+IF(OR(COUNTA(Y850:AA850)=0,AND(COUNTA(Y850:AA850)=3,ISNUMBER(AA850))),0,1)+IF(OR(COUNTA(AB850:AD850)=0,AND(COUNTA(AB850:AD850)=3,ISNUMBER(AD850))),0,1)+IF(OR(COUNTA(AE850:AG850)=0,AND(COUNTA(AE850:AG850)=3,ISNUMBER(AG850))),0,1)+IF(OR(COUNTA(AH850:AJ850)=0,AND(COUNTA(AH850:AJ850)=3,ISNUMBER(AJ850))),0,1)+IF(OR(COUNTA(AK850:AM850)=0,AND(COUNTA(AK850:AM850)=3,ISNUMBER(AM850))),0,1)+IF(OR(COUNTA(AN850:AP850)=0,AND(COUNTA(AN850:AP850)=3,ISNUMBER(AP850))),0,1)+IF(OR(COUNTA(AQ850:AS850)=0,AND(COUNTA(AQ850:AS850)=3,ISNUMBER(AS850))),0,1)+IF(OR(COUNTA(AT850:AV850)=0,AND(COUNTA(AT850:AV850)=3,ISNUMBER(AV850))),0,1)+IF(OR(COUNTA(AW850:AY850)=0,AND(COUNTA(AW850:AY850)=3,ISNUMBER(AY850))),0,1)+IF(OR(COUNTA(AZ850:BB850)=0,AND(COUNTA(AZ850:BB850)=3,ISNUMBER(BB850))),0,1))&gt;0,"; An invoice is incomplete (needs No, Date and a number in Ex GST)","")&amp;IF((IF(T850="",0,IFERROR(--(EOMONTH(T850,0)&lt;&gt;S$5),1))+IF(W850="",0,IFERROR(--(EOMONTH(W850,0)&lt;&gt;V$5),1))+IF(Z850="",0,IFERROR(--(EOMONTH(Z850,0)&lt;&gt;Y$5),1))+IF(AC850="",0,IFERROR(--(EOMONTH(AC850,0)&lt;&gt;AB$5),1))+IF(AF850="",0,IFERROR(--(EOMONTH(AF850,0)&lt;&gt;AE$5),1))+IF(AI850="",0,IFERROR(--(EOMONTH(AI850,0)&lt;&gt;AH$5),1))+IF(AL850="",0,IFERROR(--(EOMONTH(AL850,0)&lt;&gt;AK$5),1))+IF(AO850="",0,IFERROR(--(EOMONTH(AO850,0)&lt;&gt;AN$5),1))+IF(AR850="",0,IFERROR(--(EOMONTH(AR850,0)&lt;&gt;AQ$5),1))+IF(AU850="",0,IFERROR(--(EOMONTH(AU850,0)&lt;&gt;AT$5),1))+IF(AX850="",0,IFERROR(--(EOMONTH(AX850,0)&lt;&gt;AW$5),1))+IF(BA850="",0,IFERROR(--(EOMONTH(BA850,0)&lt;&gt;AZ$5),1)))&gt;0,"; An invoice date is not in the month it is typed under",""),3,500))</f>
        <v/>
      </c>
      <c r="S850" s="12" t="n"/>
      <c r="T850" s="13" t="n"/>
      <c r="U850" s="14" t="n"/>
      <c r="V850" s="12" t="n"/>
      <c r="W850" s="13" t="n"/>
      <c r="X850" s="14" t="n"/>
      <c r="Y850" s="12" t="n"/>
      <c r="Z850" s="13" t="n"/>
      <c r="AA850" s="14" t="n"/>
      <c r="AB850" s="12" t="n"/>
      <c r="AC850" s="13" t="n"/>
      <c r="AD850" s="14" t="n"/>
      <c r="AE850" s="12" t="n"/>
      <c r="AF850" s="13" t="n"/>
      <c r="AG850" s="14" t="n"/>
      <c r="AH850" s="12" t="n"/>
      <c r="AI850" s="13" t="n"/>
      <c r="AJ850" s="14" t="n"/>
      <c r="AK850" s="12" t="n"/>
      <c r="AL850" s="13" t="n"/>
      <c r="AM850" s="14" t="n"/>
      <c r="AN850" s="12" t="n"/>
      <c r="AO850" s="13" t="n"/>
      <c r="AP850" s="14" t="n"/>
      <c r="AQ850" s="12" t="n"/>
      <c r="AR850" s="13" t="n"/>
      <c r="AS850" s="14" t="n"/>
      <c r="AT850" s="12" t="n"/>
      <c r="AU850" s="13" t="n"/>
      <c r="AV850" s="14" t="n"/>
      <c r="AW850" s="12" t="n"/>
      <c r="AX850" s="13" t="n"/>
      <c r="AY850" s="14" t="n"/>
      <c r="AZ850" s="12" t="n"/>
      <c r="BA850" s="13" t="n"/>
      <c r="BB850" s="14" t="n"/>
      <c r="BC850" s="11">
        <f>IF(O850="","",IF(J850="GST 10%",ROUND(O850*set_GSTRate,2),0))</f>
        <v/>
      </c>
      <c r="BD850" s="11">
        <f>IF(O850="","",O850+BC850)</f>
        <v/>
      </c>
      <c r="BE850" s="15">
        <f>IF(O850="","",COUNTA(S850,V850,Y850,AB850,AE850,AH850,AK850,AN850,AQ850,AT850,AW850,AZ850))</f>
        <v/>
      </c>
      <c r="BF850" s="16">
        <f>IF(COUNT(T850,W850,Z850,AC850,AF850,AI850,AL850,AO850,AR850,AU850,AX850,BA850)=0,"",MAX(T850,W850,Z850,AC850,AF850,AI850,AL850,AO850,AR850,AU850,AX850,BA850))</f>
        <v/>
      </c>
      <c r="BG850" s="10">
        <f>MID(IF(S850="","",", "&amp;S850)&amp;IF(V850="","",", "&amp;V850)&amp;IF(Y850="","",", "&amp;Y850)&amp;IF(AB850="","",", "&amp;AB850)&amp;IF(AE850="","",", "&amp;AE850)&amp;IF(AH850="","",", "&amp;AH850)&amp;IF(AK850="","",", "&amp;AK850)&amp;IF(AN850="","",", "&amp;AN850)&amp;IF(AQ850="","",", "&amp;AQ850)&amp;IF(AT850="","",", "&amp;AT850)&amp;IF(AW850="","",", "&amp;AW850)&amp;IF(AZ850="","",", "&amp;AZ850),3,500)</f>
        <v/>
      </c>
      <c r="BH850" s="12" t="n"/>
      <c r="BI850" s="15">
        <f>IFERROR(MATCH($A850,IF($B850="Onsite",tbl_Onsite[Row ID],IF($B850="Production",tbl_Production[Row ID],tbl_Consulting[Row ID])),0),"")</f>
        <v/>
      </c>
    </row>
    <row r="851">
      <c r="A851" s="10" t="inlineStr">
        <is>
          <t>PRD-0345</t>
        </is>
      </c>
      <c r="B851" s="10" t="inlineStr">
        <is>
          <t>Production</t>
        </is>
      </c>
      <c r="C851" s="10">
        <f>IF($BI851="","",IF($B851="Onsite",INDEX(tbl_Onsite[Job Number],$BI851),IF($B851="Production",INDEX(tbl_Production[Job Number],$BI851),INDEX(tbl_Consulting[Job Number],$BI851)))&amp;"")</f>
        <v/>
      </c>
      <c r="D851" s="10">
        <f>IF($BI851="","",IF($B851="Onsite",INDEX(tbl_Onsite[Client],$BI851),IF($B851="Production",INDEX(tbl_Production[Client],$BI851),INDEX(tbl_Consulting[Client],$BI851)))&amp;"")</f>
        <v/>
      </c>
      <c r="E851" s="10">
        <f>IF($C851="","",IF(COUNTIF(lst_Jobs,$C851)&gt;0,"OK","CHECK"))</f>
        <v/>
      </c>
      <c r="F851" s="10">
        <f>IF($C851="","",IFERROR(INDEX(lst_JobName,MATCH($C851,lst_Jobs,0)),""))</f>
        <v/>
      </c>
      <c r="G851" s="10">
        <f>IF($BI851="","",IF($B851="Onsite",INDEX(tbl_Onsite[Job Description],$BI851),IF($B851="Production",INDEX(tbl_Production[Job Description],$BI851),INDEX(tbl_Consulting[Job Description],$BI851)))&amp;"")</f>
        <v/>
      </c>
      <c r="H851" s="10">
        <f>IF($BI851="","",IF($B851="Onsite",INDEX(tbl_Onsite[Cost Centre],$BI851),IF($B851="Production",INDEX(tbl_Production[Cost Centre],$BI851),INDEX(tbl_Consulting[Cost Centre],$BI851)))&amp;"")</f>
        <v/>
      </c>
      <c r="I851" s="10">
        <f>IF($BI851="","",IF($B851="Onsite",INDEX(tbl_Onsite[Invoice Type],$BI851),IF($B851="Production",INDEX(tbl_Production[Invoice Type],$BI851),INDEX(tbl_Consulting[Invoice Type],$BI851)))&amp;"")</f>
        <v/>
      </c>
      <c r="J851" s="10">
        <f>IF($BI851="","",IF($B851="Onsite",INDEX(tbl_Onsite[Tax Code],$BI851),IF($B851="Production",INDEX(tbl_Production[Tax Code],$BI851),INDEX(tbl_Consulting[Tax Code],$BI851)))&amp;"")</f>
        <v/>
      </c>
      <c r="K851" s="10">
        <f>IF(H851="","",IFERROR(INDEX(lst_CCtoGL,MATCH(H851,lst_CCforGL,0)),""))</f>
        <v/>
      </c>
      <c r="L851" s="10">
        <f>IF($BI851="","",IF($B851="Onsite",INDEX(tbl_Onsite[PO / Reference],$BI851),IF($B851="Production",INDEX(tbl_Production[Current RMS No],$BI851),INDEX(tbl_Consulting[Qwilr Quote],$BI851)))&amp;"")</f>
        <v/>
      </c>
      <c r="M851" s="10">
        <f>IF($BI851="","",IF($B851="Onsite",INDEX(tbl_Onsite[Notes],$BI851),IF($B851="Production",INDEX(tbl_Production[Notes],$BI851),INDEX(tbl_Consulting[Notes],$BI851)))&amp;"")</f>
        <v/>
      </c>
      <c r="N851" s="11">
        <f>IF($BI851="","",IF(IF($B851="Onsite",INDEX(tbl_Onsite[Expected Revenue Ex GST],$BI851),IF($B851="Production",INDEX(tbl_Production[Expected Revenue Ex GST],$BI851),INDEX(tbl_Consulting[Expected Revenue Ex GST],$BI851)))="","",IF($B851="Onsite",INDEX(tbl_Onsite[Expected Revenue Ex GST],$BI851),IF($B851="Production",INDEX(tbl_Production[Expected Revenue Ex GST],$BI851),INDEX(tbl_Consulting[Expected Revenue Ex GST],$BI851)))))</f>
        <v/>
      </c>
      <c r="O851" s="11">
        <f>IF(AND($C851="",NOT(COUNTA($S851:$BB851)&gt;0)),"",SUM(U851,X851,AA851,AD851,AG851,AJ851,AM851,AP851,AS851,AV851,AY851,BB851))</f>
        <v/>
      </c>
      <c r="P851" s="11">
        <f>IF(O851="","",N(N851)-O851)</f>
        <v/>
      </c>
      <c r="Q851" s="10">
        <f>IF(O851="","",IF($C851="","Invoice on empty job row",IF(N851="",IF(ROUND(O851,2)=0,"No dept value","Invoiced - no dept value"),IF(ROUND(O851,2)=0,"Not invoiced - to invoice",IF(ROUND(P851,2)=0,"Agrees",IF(P851&gt;0,"Dept higher - to invoice","Xero higher - check dept"))))))</f>
        <v/>
      </c>
      <c r="R851" s="10">
        <f>IF(AND($C851="",NOT(COUNTA($S851:$BB851)&gt;0),$BI851&lt;&gt;""),"",MID(IF($BI851="","; Row ID not found on the department sheet - a row was deleted","")&amp;IF(AND($C851="",COUNTA($S851:$BB851)&gt;0),"; Invoice entered but the department row has no job number","")&amp;IF(E851="CHECK","; Job number not in the Xero job list","")&amp;IF(AND($C851&lt;&gt;"",COUNTIF($C$7:$C$1506,$C851)&gt;1),"; Job number on more than one row","")&amp;IF(AND($C851&lt;&gt;"",H851=""),"; Dept has not set a cost centre","")&amp;IF(AND($C851&lt;&gt;"",J851=""),"; Dept has not set a tax code","")&amp;IF(AND($C851&lt;&gt;"",N851=""),"; Dept has not entered an expected value","")&amp;IF((IF(OR(COUNTA(S851:U851)=0,AND(COUNTA(S851:U851)=3,ISNUMBER(U851))),0,1)+IF(OR(COUNTA(V851:X851)=0,AND(COUNTA(V851:X851)=3,ISNUMBER(X851))),0,1)+IF(OR(COUNTA(Y851:AA851)=0,AND(COUNTA(Y851:AA851)=3,ISNUMBER(AA851))),0,1)+IF(OR(COUNTA(AB851:AD851)=0,AND(COUNTA(AB851:AD851)=3,ISNUMBER(AD851))),0,1)+IF(OR(COUNTA(AE851:AG851)=0,AND(COUNTA(AE851:AG851)=3,ISNUMBER(AG851))),0,1)+IF(OR(COUNTA(AH851:AJ851)=0,AND(COUNTA(AH851:AJ851)=3,ISNUMBER(AJ851))),0,1)+IF(OR(COUNTA(AK851:AM851)=0,AND(COUNTA(AK851:AM851)=3,ISNUMBER(AM851))),0,1)+IF(OR(COUNTA(AN851:AP851)=0,AND(COUNTA(AN851:AP851)=3,ISNUMBER(AP851))),0,1)+IF(OR(COUNTA(AQ851:AS851)=0,AND(COUNTA(AQ851:AS851)=3,ISNUMBER(AS851))),0,1)+IF(OR(COUNTA(AT851:AV851)=0,AND(COUNTA(AT851:AV851)=3,ISNUMBER(AV851))),0,1)+IF(OR(COUNTA(AW851:AY851)=0,AND(COUNTA(AW851:AY851)=3,ISNUMBER(AY851))),0,1)+IF(OR(COUNTA(AZ851:BB851)=0,AND(COUNTA(AZ851:BB851)=3,ISNUMBER(BB851))),0,1))&gt;0,"; An invoice is incomplete (needs No, Date and a number in Ex GST)","")&amp;IF((IF(T851="",0,IFERROR(--(EOMONTH(T851,0)&lt;&gt;S$5),1))+IF(W851="",0,IFERROR(--(EOMONTH(W851,0)&lt;&gt;V$5),1))+IF(Z851="",0,IFERROR(--(EOMONTH(Z851,0)&lt;&gt;Y$5),1))+IF(AC851="",0,IFERROR(--(EOMONTH(AC851,0)&lt;&gt;AB$5),1))+IF(AF851="",0,IFERROR(--(EOMONTH(AF851,0)&lt;&gt;AE$5),1))+IF(AI851="",0,IFERROR(--(EOMONTH(AI851,0)&lt;&gt;AH$5),1))+IF(AL851="",0,IFERROR(--(EOMONTH(AL851,0)&lt;&gt;AK$5),1))+IF(AO851="",0,IFERROR(--(EOMONTH(AO851,0)&lt;&gt;AN$5),1))+IF(AR851="",0,IFERROR(--(EOMONTH(AR851,0)&lt;&gt;AQ$5),1))+IF(AU851="",0,IFERROR(--(EOMONTH(AU851,0)&lt;&gt;AT$5),1))+IF(AX851="",0,IFERROR(--(EOMONTH(AX851,0)&lt;&gt;AW$5),1))+IF(BA851="",0,IFERROR(--(EOMONTH(BA851,0)&lt;&gt;AZ$5),1)))&gt;0,"; An invoice date is not in the month it is typed under",""),3,500))</f>
        <v/>
      </c>
      <c r="S851" s="12" t="n"/>
      <c r="T851" s="13" t="n"/>
      <c r="U851" s="14" t="n"/>
      <c r="V851" s="12" t="n"/>
      <c r="W851" s="13" t="n"/>
      <c r="X851" s="14" t="n"/>
      <c r="Y851" s="12" t="n"/>
      <c r="Z851" s="13" t="n"/>
      <c r="AA851" s="14" t="n"/>
      <c r="AB851" s="12" t="n"/>
      <c r="AC851" s="13" t="n"/>
      <c r="AD851" s="14" t="n"/>
      <c r="AE851" s="12" t="n"/>
      <c r="AF851" s="13" t="n"/>
      <c r="AG851" s="14" t="n"/>
      <c r="AH851" s="12" t="n"/>
      <c r="AI851" s="13" t="n"/>
      <c r="AJ851" s="14" t="n"/>
      <c r="AK851" s="12" t="n"/>
      <c r="AL851" s="13" t="n"/>
      <c r="AM851" s="14" t="n"/>
      <c r="AN851" s="12" t="n"/>
      <c r="AO851" s="13" t="n"/>
      <c r="AP851" s="14" t="n"/>
      <c r="AQ851" s="12" t="n"/>
      <c r="AR851" s="13" t="n"/>
      <c r="AS851" s="14" t="n"/>
      <c r="AT851" s="12" t="n"/>
      <c r="AU851" s="13" t="n"/>
      <c r="AV851" s="14" t="n"/>
      <c r="AW851" s="12" t="n"/>
      <c r="AX851" s="13" t="n"/>
      <c r="AY851" s="14" t="n"/>
      <c r="AZ851" s="12" t="n"/>
      <c r="BA851" s="13" t="n"/>
      <c r="BB851" s="14" t="n"/>
      <c r="BC851" s="11">
        <f>IF(O851="","",IF(J851="GST 10%",ROUND(O851*set_GSTRate,2),0))</f>
        <v/>
      </c>
      <c r="BD851" s="11">
        <f>IF(O851="","",O851+BC851)</f>
        <v/>
      </c>
      <c r="BE851" s="15">
        <f>IF(O851="","",COUNTA(S851,V851,Y851,AB851,AE851,AH851,AK851,AN851,AQ851,AT851,AW851,AZ851))</f>
        <v/>
      </c>
      <c r="BF851" s="16">
        <f>IF(COUNT(T851,W851,Z851,AC851,AF851,AI851,AL851,AO851,AR851,AU851,AX851,BA851)=0,"",MAX(T851,W851,Z851,AC851,AF851,AI851,AL851,AO851,AR851,AU851,AX851,BA851))</f>
        <v/>
      </c>
      <c r="BG851" s="10">
        <f>MID(IF(S851="","",", "&amp;S851)&amp;IF(V851="","",", "&amp;V851)&amp;IF(Y851="","",", "&amp;Y851)&amp;IF(AB851="","",", "&amp;AB851)&amp;IF(AE851="","",", "&amp;AE851)&amp;IF(AH851="","",", "&amp;AH851)&amp;IF(AK851="","",", "&amp;AK851)&amp;IF(AN851="","",", "&amp;AN851)&amp;IF(AQ851="","",", "&amp;AQ851)&amp;IF(AT851="","",", "&amp;AT851)&amp;IF(AW851="","",", "&amp;AW851)&amp;IF(AZ851="","",", "&amp;AZ851),3,500)</f>
        <v/>
      </c>
      <c r="BH851" s="12" t="n"/>
      <c r="BI851" s="15">
        <f>IFERROR(MATCH($A851,IF($B851="Onsite",tbl_Onsite[Row ID],IF($B851="Production",tbl_Production[Row ID],tbl_Consulting[Row ID])),0),"")</f>
        <v/>
      </c>
    </row>
    <row r="852">
      <c r="A852" s="10" t="inlineStr">
        <is>
          <t>PRD-0346</t>
        </is>
      </c>
      <c r="B852" s="10" t="inlineStr">
        <is>
          <t>Production</t>
        </is>
      </c>
      <c r="C852" s="10">
        <f>IF($BI852="","",IF($B852="Onsite",INDEX(tbl_Onsite[Job Number],$BI852),IF($B852="Production",INDEX(tbl_Production[Job Number],$BI852),INDEX(tbl_Consulting[Job Number],$BI852)))&amp;"")</f>
        <v/>
      </c>
      <c r="D852" s="10">
        <f>IF($BI852="","",IF($B852="Onsite",INDEX(tbl_Onsite[Client],$BI852),IF($B852="Production",INDEX(tbl_Production[Client],$BI852),INDEX(tbl_Consulting[Client],$BI852)))&amp;"")</f>
        <v/>
      </c>
      <c r="E852" s="10">
        <f>IF($C852="","",IF(COUNTIF(lst_Jobs,$C852)&gt;0,"OK","CHECK"))</f>
        <v/>
      </c>
      <c r="F852" s="10">
        <f>IF($C852="","",IFERROR(INDEX(lst_JobName,MATCH($C852,lst_Jobs,0)),""))</f>
        <v/>
      </c>
      <c r="G852" s="10">
        <f>IF($BI852="","",IF($B852="Onsite",INDEX(tbl_Onsite[Job Description],$BI852),IF($B852="Production",INDEX(tbl_Production[Job Description],$BI852),INDEX(tbl_Consulting[Job Description],$BI852)))&amp;"")</f>
        <v/>
      </c>
      <c r="H852" s="10">
        <f>IF($BI852="","",IF($B852="Onsite",INDEX(tbl_Onsite[Cost Centre],$BI852),IF($B852="Production",INDEX(tbl_Production[Cost Centre],$BI852),INDEX(tbl_Consulting[Cost Centre],$BI852)))&amp;"")</f>
        <v/>
      </c>
      <c r="I852" s="10">
        <f>IF($BI852="","",IF($B852="Onsite",INDEX(tbl_Onsite[Invoice Type],$BI852),IF($B852="Production",INDEX(tbl_Production[Invoice Type],$BI852),INDEX(tbl_Consulting[Invoice Type],$BI852)))&amp;"")</f>
        <v/>
      </c>
      <c r="J852" s="10">
        <f>IF($BI852="","",IF($B852="Onsite",INDEX(tbl_Onsite[Tax Code],$BI852),IF($B852="Production",INDEX(tbl_Production[Tax Code],$BI852),INDEX(tbl_Consulting[Tax Code],$BI852)))&amp;"")</f>
        <v/>
      </c>
      <c r="K852" s="10">
        <f>IF(H852="","",IFERROR(INDEX(lst_CCtoGL,MATCH(H852,lst_CCforGL,0)),""))</f>
        <v/>
      </c>
      <c r="L852" s="10">
        <f>IF($BI852="","",IF($B852="Onsite",INDEX(tbl_Onsite[PO / Reference],$BI852),IF($B852="Production",INDEX(tbl_Production[Current RMS No],$BI852),INDEX(tbl_Consulting[Qwilr Quote],$BI852)))&amp;"")</f>
        <v/>
      </c>
      <c r="M852" s="10">
        <f>IF($BI852="","",IF($B852="Onsite",INDEX(tbl_Onsite[Notes],$BI852),IF($B852="Production",INDEX(tbl_Production[Notes],$BI852),INDEX(tbl_Consulting[Notes],$BI852)))&amp;"")</f>
        <v/>
      </c>
      <c r="N852" s="11">
        <f>IF($BI852="","",IF(IF($B852="Onsite",INDEX(tbl_Onsite[Expected Revenue Ex GST],$BI852),IF($B852="Production",INDEX(tbl_Production[Expected Revenue Ex GST],$BI852),INDEX(tbl_Consulting[Expected Revenue Ex GST],$BI852)))="","",IF($B852="Onsite",INDEX(tbl_Onsite[Expected Revenue Ex GST],$BI852),IF($B852="Production",INDEX(tbl_Production[Expected Revenue Ex GST],$BI852),INDEX(tbl_Consulting[Expected Revenue Ex GST],$BI852)))))</f>
        <v/>
      </c>
      <c r="O852" s="11">
        <f>IF(AND($C852="",NOT(COUNTA($S852:$BB852)&gt;0)),"",SUM(U852,X852,AA852,AD852,AG852,AJ852,AM852,AP852,AS852,AV852,AY852,BB852))</f>
        <v/>
      </c>
      <c r="P852" s="11">
        <f>IF(O852="","",N(N852)-O852)</f>
        <v/>
      </c>
      <c r="Q852" s="10">
        <f>IF(O852="","",IF($C852="","Invoice on empty job row",IF(N852="",IF(ROUND(O852,2)=0,"No dept value","Invoiced - no dept value"),IF(ROUND(O852,2)=0,"Not invoiced - to invoice",IF(ROUND(P852,2)=0,"Agrees",IF(P852&gt;0,"Dept higher - to invoice","Xero higher - check dept"))))))</f>
        <v/>
      </c>
      <c r="R852" s="10">
        <f>IF(AND($C852="",NOT(COUNTA($S852:$BB852)&gt;0),$BI852&lt;&gt;""),"",MID(IF($BI852="","; Row ID not found on the department sheet - a row was deleted","")&amp;IF(AND($C852="",COUNTA($S852:$BB852)&gt;0),"; Invoice entered but the department row has no job number","")&amp;IF(E852="CHECK","; Job number not in the Xero job list","")&amp;IF(AND($C852&lt;&gt;"",COUNTIF($C$7:$C$1506,$C852)&gt;1),"; Job number on more than one row","")&amp;IF(AND($C852&lt;&gt;"",H852=""),"; Dept has not set a cost centre","")&amp;IF(AND($C852&lt;&gt;"",J852=""),"; Dept has not set a tax code","")&amp;IF(AND($C852&lt;&gt;"",N852=""),"; Dept has not entered an expected value","")&amp;IF((IF(OR(COUNTA(S852:U852)=0,AND(COUNTA(S852:U852)=3,ISNUMBER(U852))),0,1)+IF(OR(COUNTA(V852:X852)=0,AND(COUNTA(V852:X852)=3,ISNUMBER(X852))),0,1)+IF(OR(COUNTA(Y852:AA852)=0,AND(COUNTA(Y852:AA852)=3,ISNUMBER(AA852))),0,1)+IF(OR(COUNTA(AB852:AD852)=0,AND(COUNTA(AB852:AD852)=3,ISNUMBER(AD852))),0,1)+IF(OR(COUNTA(AE852:AG852)=0,AND(COUNTA(AE852:AG852)=3,ISNUMBER(AG852))),0,1)+IF(OR(COUNTA(AH852:AJ852)=0,AND(COUNTA(AH852:AJ852)=3,ISNUMBER(AJ852))),0,1)+IF(OR(COUNTA(AK852:AM852)=0,AND(COUNTA(AK852:AM852)=3,ISNUMBER(AM852))),0,1)+IF(OR(COUNTA(AN852:AP852)=0,AND(COUNTA(AN852:AP852)=3,ISNUMBER(AP852))),0,1)+IF(OR(COUNTA(AQ852:AS852)=0,AND(COUNTA(AQ852:AS852)=3,ISNUMBER(AS852))),0,1)+IF(OR(COUNTA(AT852:AV852)=0,AND(COUNTA(AT852:AV852)=3,ISNUMBER(AV852))),0,1)+IF(OR(COUNTA(AW852:AY852)=0,AND(COUNTA(AW852:AY852)=3,ISNUMBER(AY852))),0,1)+IF(OR(COUNTA(AZ852:BB852)=0,AND(COUNTA(AZ852:BB852)=3,ISNUMBER(BB852))),0,1))&gt;0,"; An invoice is incomplete (needs No, Date and a number in Ex GST)","")&amp;IF((IF(T852="",0,IFERROR(--(EOMONTH(T852,0)&lt;&gt;S$5),1))+IF(W852="",0,IFERROR(--(EOMONTH(W852,0)&lt;&gt;V$5),1))+IF(Z852="",0,IFERROR(--(EOMONTH(Z852,0)&lt;&gt;Y$5),1))+IF(AC852="",0,IFERROR(--(EOMONTH(AC852,0)&lt;&gt;AB$5),1))+IF(AF852="",0,IFERROR(--(EOMONTH(AF852,0)&lt;&gt;AE$5),1))+IF(AI852="",0,IFERROR(--(EOMONTH(AI852,0)&lt;&gt;AH$5),1))+IF(AL852="",0,IFERROR(--(EOMONTH(AL852,0)&lt;&gt;AK$5),1))+IF(AO852="",0,IFERROR(--(EOMONTH(AO852,0)&lt;&gt;AN$5),1))+IF(AR852="",0,IFERROR(--(EOMONTH(AR852,0)&lt;&gt;AQ$5),1))+IF(AU852="",0,IFERROR(--(EOMONTH(AU852,0)&lt;&gt;AT$5),1))+IF(AX852="",0,IFERROR(--(EOMONTH(AX852,0)&lt;&gt;AW$5),1))+IF(BA852="",0,IFERROR(--(EOMONTH(BA852,0)&lt;&gt;AZ$5),1)))&gt;0,"; An invoice date is not in the month it is typed under",""),3,500))</f>
        <v/>
      </c>
      <c r="S852" s="12" t="n"/>
      <c r="T852" s="13" t="n"/>
      <c r="U852" s="14" t="n"/>
      <c r="V852" s="12" t="n"/>
      <c r="W852" s="13" t="n"/>
      <c r="X852" s="14" t="n"/>
      <c r="Y852" s="12" t="n"/>
      <c r="Z852" s="13" t="n"/>
      <c r="AA852" s="14" t="n"/>
      <c r="AB852" s="12" t="n"/>
      <c r="AC852" s="13" t="n"/>
      <c r="AD852" s="14" t="n"/>
      <c r="AE852" s="12" t="n"/>
      <c r="AF852" s="13" t="n"/>
      <c r="AG852" s="14" t="n"/>
      <c r="AH852" s="12" t="n"/>
      <c r="AI852" s="13" t="n"/>
      <c r="AJ852" s="14" t="n"/>
      <c r="AK852" s="12" t="n"/>
      <c r="AL852" s="13" t="n"/>
      <c r="AM852" s="14" t="n"/>
      <c r="AN852" s="12" t="n"/>
      <c r="AO852" s="13" t="n"/>
      <c r="AP852" s="14" t="n"/>
      <c r="AQ852" s="12" t="n"/>
      <c r="AR852" s="13" t="n"/>
      <c r="AS852" s="14" t="n"/>
      <c r="AT852" s="12" t="n"/>
      <c r="AU852" s="13" t="n"/>
      <c r="AV852" s="14" t="n"/>
      <c r="AW852" s="12" t="n"/>
      <c r="AX852" s="13" t="n"/>
      <c r="AY852" s="14" t="n"/>
      <c r="AZ852" s="12" t="n"/>
      <c r="BA852" s="13" t="n"/>
      <c r="BB852" s="14" t="n"/>
      <c r="BC852" s="11">
        <f>IF(O852="","",IF(J852="GST 10%",ROUND(O852*set_GSTRate,2),0))</f>
        <v/>
      </c>
      <c r="BD852" s="11">
        <f>IF(O852="","",O852+BC852)</f>
        <v/>
      </c>
      <c r="BE852" s="15">
        <f>IF(O852="","",COUNTA(S852,V852,Y852,AB852,AE852,AH852,AK852,AN852,AQ852,AT852,AW852,AZ852))</f>
        <v/>
      </c>
      <c r="BF852" s="16">
        <f>IF(COUNT(T852,W852,Z852,AC852,AF852,AI852,AL852,AO852,AR852,AU852,AX852,BA852)=0,"",MAX(T852,W852,Z852,AC852,AF852,AI852,AL852,AO852,AR852,AU852,AX852,BA852))</f>
        <v/>
      </c>
      <c r="BG852" s="10">
        <f>MID(IF(S852="","",", "&amp;S852)&amp;IF(V852="","",", "&amp;V852)&amp;IF(Y852="","",", "&amp;Y852)&amp;IF(AB852="","",", "&amp;AB852)&amp;IF(AE852="","",", "&amp;AE852)&amp;IF(AH852="","",", "&amp;AH852)&amp;IF(AK852="","",", "&amp;AK852)&amp;IF(AN852="","",", "&amp;AN852)&amp;IF(AQ852="","",", "&amp;AQ852)&amp;IF(AT852="","",", "&amp;AT852)&amp;IF(AW852="","",", "&amp;AW852)&amp;IF(AZ852="","",", "&amp;AZ852),3,500)</f>
        <v/>
      </c>
      <c r="BH852" s="12" t="n"/>
      <c r="BI852" s="15">
        <f>IFERROR(MATCH($A852,IF($B852="Onsite",tbl_Onsite[Row ID],IF($B852="Production",tbl_Production[Row ID],tbl_Consulting[Row ID])),0),"")</f>
        <v/>
      </c>
    </row>
    <row r="853">
      <c r="A853" s="10" t="inlineStr">
        <is>
          <t>PRD-0347</t>
        </is>
      </c>
      <c r="B853" s="10" t="inlineStr">
        <is>
          <t>Production</t>
        </is>
      </c>
      <c r="C853" s="10">
        <f>IF($BI853="","",IF($B853="Onsite",INDEX(tbl_Onsite[Job Number],$BI853),IF($B853="Production",INDEX(tbl_Production[Job Number],$BI853),INDEX(tbl_Consulting[Job Number],$BI853)))&amp;"")</f>
        <v/>
      </c>
      <c r="D853" s="10">
        <f>IF($BI853="","",IF($B853="Onsite",INDEX(tbl_Onsite[Client],$BI853),IF($B853="Production",INDEX(tbl_Production[Client],$BI853),INDEX(tbl_Consulting[Client],$BI853)))&amp;"")</f>
        <v/>
      </c>
      <c r="E853" s="10">
        <f>IF($C853="","",IF(COUNTIF(lst_Jobs,$C853)&gt;0,"OK","CHECK"))</f>
        <v/>
      </c>
      <c r="F853" s="10">
        <f>IF($C853="","",IFERROR(INDEX(lst_JobName,MATCH($C853,lst_Jobs,0)),""))</f>
        <v/>
      </c>
      <c r="G853" s="10">
        <f>IF($BI853="","",IF($B853="Onsite",INDEX(tbl_Onsite[Job Description],$BI853),IF($B853="Production",INDEX(tbl_Production[Job Description],$BI853),INDEX(tbl_Consulting[Job Description],$BI853)))&amp;"")</f>
        <v/>
      </c>
      <c r="H853" s="10">
        <f>IF($BI853="","",IF($B853="Onsite",INDEX(tbl_Onsite[Cost Centre],$BI853),IF($B853="Production",INDEX(tbl_Production[Cost Centre],$BI853),INDEX(tbl_Consulting[Cost Centre],$BI853)))&amp;"")</f>
        <v/>
      </c>
      <c r="I853" s="10">
        <f>IF($BI853="","",IF($B853="Onsite",INDEX(tbl_Onsite[Invoice Type],$BI853),IF($B853="Production",INDEX(tbl_Production[Invoice Type],$BI853),INDEX(tbl_Consulting[Invoice Type],$BI853)))&amp;"")</f>
        <v/>
      </c>
      <c r="J853" s="10">
        <f>IF($BI853="","",IF($B853="Onsite",INDEX(tbl_Onsite[Tax Code],$BI853),IF($B853="Production",INDEX(tbl_Production[Tax Code],$BI853),INDEX(tbl_Consulting[Tax Code],$BI853)))&amp;"")</f>
        <v/>
      </c>
      <c r="K853" s="10">
        <f>IF(H853="","",IFERROR(INDEX(lst_CCtoGL,MATCH(H853,lst_CCforGL,0)),""))</f>
        <v/>
      </c>
      <c r="L853" s="10">
        <f>IF($BI853="","",IF($B853="Onsite",INDEX(tbl_Onsite[PO / Reference],$BI853),IF($B853="Production",INDEX(tbl_Production[Current RMS No],$BI853),INDEX(tbl_Consulting[Qwilr Quote],$BI853)))&amp;"")</f>
        <v/>
      </c>
      <c r="M853" s="10">
        <f>IF($BI853="","",IF($B853="Onsite",INDEX(tbl_Onsite[Notes],$BI853),IF($B853="Production",INDEX(tbl_Production[Notes],$BI853),INDEX(tbl_Consulting[Notes],$BI853)))&amp;"")</f>
        <v/>
      </c>
      <c r="N853" s="11">
        <f>IF($BI853="","",IF(IF($B853="Onsite",INDEX(tbl_Onsite[Expected Revenue Ex GST],$BI853),IF($B853="Production",INDEX(tbl_Production[Expected Revenue Ex GST],$BI853),INDEX(tbl_Consulting[Expected Revenue Ex GST],$BI853)))="","",IF($B853="Onsite",INDEX(tbl_Onsite[Expected Revenue Ex GST],$BI853),IF($B853="Production",INDEX(tbl_Production[Expected Revenue Ex GST],$BI853),INDEX(tbl_Consulting[Expected Revenue Ex GST],$BI853)))))</f>
        <v/>
      </c>
      <c r="O853" s="11">
        <f>IF(AND($C853="",NOT(COUNTA($S853:$BB853)&gt;0)),"",SUM(U853,X853,AA853,AD853,AG853,AJ853,AM853,AP853,AS853,AV853,AY853,BB853))</f>
        <v/>
      </c>
      <c r="P853" s="11">
        <f>IF(O853="","",N(N853)-O853)</f>
        <v/>
      </c>
      <c r="Q853" s="10">
        <f>IF(O853="","",IF($C853="","Invoice on empty job row",IF(N853="",IF(ROUND(O853,2)=0,"No dept value","Invoiced - no dept value"),IF(ROUND(O853,2)=0,"Not invoiced - to invoice",IF(ROUND(P853,2)=0,"Agrees",IF(P853&gt;0,"Dept higher - to invoice","Xero higher - check dept"))))))</f>
        <v/>
      </c>
      <c r="R853" s="10">
        <f>IF(AND($C853="",NOT(COUNTA($S853:$BB853)&gt;0),$BI853&lt;&gt;""),"",MID(IF($BI853="","; Row ID not found on the department sheet - a row was deleted","")&amp;IF(AND($C853="",COUNTA($S853:$BB853)&gt;0),"; Invoice entered but the department row has no job number","")&amp;IF(E853="CHECK","; Job number not in the Xero job list","")&amp;IF(AND($C853&lt;&gt;"",COUNTIF($C$7:$C$1506,$C853)&gt;1),"; Job number on more than one row","")&amp;IF(AND($C853&lt;&gt;"",H853=""),"; Dept has not set a cost centre","")&amp;IF(AND($C853&lt;&gt;"",J853=""),"; Dept has not set a tax code","")&amp;IF(AND($C853&lt;&gt;"",N853=""),"; Dept has not entered an expected value","")&amp;IF((IF(OR(COUNTA(S853:U853)=0,AND(COUNTA(S853:U853)=3,ISNUMBER(U853))),0,1)+IF(OR(COUNTA(V853:X853)=0,AND(COUNTA(V853:X853)=3,ISNUMBER(X853))),0,1)+IF(OR(COUNTA(Y853:AA853)=0,AND(COUNTA(Y853:AA853)=3,ISNUMBER(AA853))),0,1)+IF(OR(COUNTA(AB853:AD853)=0,AND(COUNTA(AB853:AD853)=3,ISNUMBER(AD853))),0,1)+IF(OR(COUNTA(AE853:AG853)=0,AND(COUNTA(AE853:AG853)=3,ISNUMBER(AG853))),0,1)+IF(OR(COUNTA(AH853:AJ853)=0,AND(COUNTA(AH853:AJ853)=3,ISNUMBER(AJ853))),0,1)+IF(OR(COUNTA(AK853:AM853)=0,AND(COUNTA(AK853:AM853)=3,ISNUMBER(AM853))),0,1)+IF(OR(COUNTA(AN853:AP853)=0,AND(COUNTA(AN853:AP853)=3,ISNUMBER(AP853))),0,1)+IF(OR(COUNTA(AQ853:AS853)=0,AND(COUNTA(AQ853:AS853)=3,ISNUMBER(AS853))),0,1)+IF(OR(COUNTA(AT853:AV853)=0,AND(COUNTA(AT853:AV853)=3,ISNUMBER(AV853))),0,1)+IF(OR(COUNTA(AW853:AY853)=0,AND(COUNTA(AW853:AY853)=3,ISNUMBER(AY853))),0,1)+IF(OR(COUNTA(AZ853:BB853)=0,AND(COUNTA(AZ853:BB853)=3,ISNUMBER(BB853))),0,1))&gt;0,"; An invoice is incomplete (needs No, Date and a number in Ex GST)","")&amp;IF((IF(T853="",0,IFERROR(--(EOMONTH(T853,0)&lt;&gt;S$5),1))+IF(W853="",0,IFERROR(--(EOMONTH(W853,0)&lt;&gt;V$5),1))+IF(Z853="",0,IFERROR(--(EOMONTH(Z853,0)&lt;&gt;Y$5),1))+IF(AC853="",0,IFERROR(--(EOMONTH(AC853,0)&lt;&gt;AB$5),1))+IF(AF853="",0,IFERROR(--(EOMONTH(AF853,0)&lt;&gt;AE$5),1))+IF(AI853="",0,IFERROR(--(EOMONTH(AI853,0)&lt;&gt;AH$5),1))+IF(AL853="",0,IFERROR(--(EOMONTH(AL853,0)&lt;&gt;AK$5),1))+IF(AO853="",0,IFERROR(--(EOMONTH(AO853,0)&lt;&gt;AN$5),1))+IF(AR853="",0,IFERROR(--(EOMONTH(AR853,0)&lt;&gt;AQ$5),1))+IF(AU853="",0,IFERROR(--(EOMONTH(AU853,0)&lt;&gt;AT$5),1))+IF(AX853="",0,IFERROR(--(EOMONTH(AX853,0)&lt;&gt;AW$5),1))+IF(BA853="",0,IFERROR(--(EOMONTH(BA853,0)&lt;&gt;AZ$5),1)))&gt;0,"; An invoice date is not in the month it is typed under",""),3,500))</f>
        <v/>
      </c>
      <c r="S853" s="12" t="n"/>
      <c r="T853" s="13" t="n"/>
      <c r="U853" s="14" t="n"/>
      <c r="V853" s="12" t="n"/>
      <c r="W853" s="13" t="n"/>
      <c r="X853" s="14" t="n"/>
      <c r="Y853" s="12" t="n"/>
      <c r="Z853" s="13" t="n"/>
      <c r="AA853" s="14" t="n"/>
      <c r="AB853" s="12" t="n"/>
      <c r="AC853" s="13" t="n"/>
      <c r="AD853" s="14" t="n"/>
      <c r="AE853" s="12" t="n"/>
      <c r="AF853" s="13" t="n"/>
      <c r="AG853" s="14" t="n"/>
      <c r="AH853" s="12" t="n"/>
      <c r="AI853" s="13" t="n"/>
      <c r="AJ853" s="14" t="n"/>
      <c r="AK853" s="12" t="n"/>
      <c r="AL853" s="13" t="n"/>
      <c r="AM853" s="14" t="n"/>
      <c r="AN853" s="12" t="n"/>
      <c r="AO853" s="13" t="n"/>
      <c r="AP853" s="14" t="n"/>
      <c r="AQ853" s="12" t="n"/>
      <c r="AR853" s="13" t="n"/>
      <c r="AS853" s="14" t="n"/>
      <c r="AT853" s="12" t="n"/>
      <c r="AU853" s="13" t="n"/>
      <c r="AV853" s="14" t="n"/>
      <c r="AW853" s="12" t="n"/>
      <c r="AX853" s="13" t="n"/>
      <c r="AY853" s="14" t="n"/>
      <c r="AZ853" s="12" t="n"/>
      <c r="BA853" s="13" t="n"/>
      <c r="BB853" s="14" t="n"/>
      <c r="BC853" s="11">
        <f>IF(O853="","",IF(J853="GST 10%",ROUND(O853*set_GSTRate,2),0))</f>
        <v/>
      </c>
      <c r="BD853" s="11">
        <f>IF(O853="","",O853+BC853)</f>
        <v/>
      </c>
      <c r="BE853" s="15">
        <f>IF(O853="","",COUNTA(S853,V853,Y853,AB853,AE853,AH853,AK853,AN853,AQ853,AT853,AW853,AZ853))</f>
        <v/>
      </c>
      <c r="BF853" s="16">
        <f>IF(COUNT(T853,W853,Z853,AC853,AF853,AI853,AL853,AO853,AR853,AU853,AX853,BA853)=0,"",MAX(T853,W853,Z853,AC853,AF853,AI853,AL853,AO853,AR853,AU853,AX853,BA853))</f>
        <v/>
      </c>
      <c r="BG853" s="10">
        <f>MID(IF(S853="","",", "&amp;S853)&amp;IF(V853="","",", "&amp;V853)&amp;IF(Y853="","",", "&amp;Y853)&amp;IF(AB853="","",", "&amp;AB853)&amp;IF(AE853="","",", "&amp;AE853)&amp;IF(AH853="","",", "&amp;AH853)&amp;IF(AK853="","",", "&amp;AK853)&amp;IF(AN853="","",", "&amp;AN853)&amp;IF(AQ853="","",", "&amp;AQ853)&amp;IF(AT853="","",", "&amp;AT853)&amp;IF(AW853="","",", "&amp;AW853)&amp;IF(AZ853="","",", "&amp;AZ853),3,500)</f>
        <v/>
      </c>
      <c r="BH853" s="12" t="n"/>
      <c r="BI853" s="15">
        <f>IFERROR(MATCH($A853,IF($B853="Onsite",tbl_Onsite[Row ID],IF($B853="Production",tbl_Production[Row ID],tbl_Consulting[Row ID])),0),"")</f>
        <v/>
      </c>
    </row>
    <row r="854">
      <c r="A854" s="10" t="inlineStr">
        <is>
          <t>PRD-0348</t>
        </is>
      </c>
      <c r="B854" s="10" t="inlineStr">
        <is>
          <t>Production</t>
        </is>
      </c>
      <c r="C854" s="10">
        <f>IF($BI854="","",IF($B854="Onsite",INDEX(tbl_Onsite[Job Number],$BI854),IF($B854="Production",INDEX(tbl_Production[Job Number],$BI854),INDEX(tbl_Consulting[Job Number],$BI854)))&amp;"")</f>
        <v/>
      </c>
      <c r="D854" s="10">
        <f>IF($BI854="","",IF($B854="Onsite",INDEX(tbl_Onsite[Client],$BI854),IF($B854="Production",INDEX(tbl_Production[Client],$BI854),INDEX(tbl_Consulting[Client],$BI854)))&amp;"")</f>
        <v/>
      </c>
      <c r="E854" s="10">
        <f>IF($C854="","",IF(COUNTIF(lst_Jobs,$C854)&gt;0,"OK","CHECK"))</f>
        <v/>
      </c>
      <c r="F854" s="10">
        <f>IF($C854="","",IFERROR(INDEX(lst_JobName,MATCH($C854,lst_Jobs,0)),""))</f>
        <v/>
      </c>
      <c r="G854" s="10">
        <f>IF($BI854="","",IF($B854="Onsite",INDEX(tbl_Onsite[Job Description],$BI854),IF($B854="Production",INDEX(tbl_Production[Job Description],$BI854),INDEX(tbl_Consulting[Job Description],$BI854)))&amp;"")</f>
        <v/>
      </c>
      <c r="H854" s="10">
        <f>IF($BI854="","",IF($B854="Onsite",INDEX(tbl_Onsite[Cost Centre],$BI854),IF($B854="Production",INDEX(tbl_Production[Cost Centre],$BI854),INDEX(tbl_Consulting[Cost Centre],$BI854)))&amp;"")</f>
        <v/>
      </c>
      <c r="I854" s="10">
        <f>IF($BI854="","",IF($B854="Onsite",INDEX(tbl_Onsite[Invoice Type],$BI854),IF($B854="Production",INDEX(tbl_Production[Invoice Type],$BI854),INDEX(tbl_Consulting[Invoice Type],$BI854)))&amp;"")</f>
        <v/>
      </c>
      <c r="J854" s="10">
        <f>IF($BI854="","",IF($B854="Onsite",INDEX(tbl_Onsite[Tax Code],$BI854),IF($B854="Production",INDEX(tbl_Production[Tax Code],$BI854),INDEX(tbl_Consulting[Tax Code],$BI854)))&amp;"")</f>
        <v/>
      </c>
      <c r="K854" s="10">
        <f>IF(H854="","",IFERROR(INDEX(lst_CCtoGL,MATCH(H854,lst_CCforGL,0)),""))</f>
        <v/>
      </c>
      <c r="L854" s="10">
        <f>IF($BI854="","",IF($B854="Onsite",INDEX(tbl_Onsite[PO / Reference],$BI854),IF($B854="Production",INDEX(tbl_Production[Current RMS No],$BI854),INDEX(tbl_Consulting[Qwilr Quote],$BI854)))&amp;"")</f>
        <v/>
      </c>
      <c r="M854" s="10">
        <f>IF($BI854="","",IF($B854="Onsite",INDEX(tbl_Onsite[Notes],$BI854),IF($B854="Production",INDEX(tbl_Production[Notes],$BI854),INDEX(tbl_Consulting[Notes],$BI854)))&amp;"")</f>
        <v/>
      </c>
      <c r="N854" s="11">
        <f>IF($BI854="","",IF(IF($B854="Onsite",INDEX(tbl_Onsite[Expected Revenue Ex GST],$BI854),IF($B854="Production",INDEX(tbl_Production[Expected Revenue Ex GST],$BI854),INDEX(tbl_Consulting[Expected Revenue Ex GST],$BI854)))="","",IF($B854="Onsite",INDEX(tbl_Onsite[Expected Revenue Ex GST],$BI854),IF($B854="Production",INDEX(tbl_Production[Expected Revenue Ex GST],$BI854),INDEX(tbl_Consulting[Expected Revenue Ex GST],$BI854)))))</f>
        <v/>
      </c>
      <c r="O854" s="11">
        <f>IF(AND($C854="",NOT(COUNTA($S854:$BB854)&gt;0)),"",SUM(U854,X854,AA854,AD854,AG854,AJ854,AM854,AP854,AS854,AV854,AY854,BB854))</f>
        <v/>
      </c>
      <c r="P854" s="11">
        <f>IF(O854="","",N(N854)-O854)</f>
        <v/>
      </c>
      <c r="Q854" s="10">
        <f>IF(O854="","",IF($C854="","Invoice on empty job row",IF(N854="",IF(ROUND(O854,2)=0,"No dept value","Invoiced - no dept value"),IF(ROUND(O854,2)=0,"Not invoiced - to invoice",IF(ROUND(P854,2)=0,"Agrees",IF(P854&gt;0,"Dept higher - to invoice","Xero higher - check dept"))))))</f>
        <v/>
      </c>
      <c r="R854" s="10">
        <f>IF(AND($C854="",NOT(COUNTA($S854:$BB854)&gt;0),$BI854&lt;&gt;""),"",MID(IF($BI854="","; Row ID not found on the department sheet - a row was deleted","")&amp;IF(AND($C854="",COUNTA($S854:$BB854)&gt;0),"; Invoice entered but the department row has no job number","")&amp;IF(E854="CHECK","; Job number not in the Xero job list","")&amp;IF(AND($C854&lt;&gt;"",COUNTIF($C$7:$C$1506,$C854)&gt;1),"; Job number on more than one row","")&amp;IF(AND($C854&lt;&gt;"",H854=""),"; Dept has not set a cost centre","")&amp;IF(AND($C854&lt;&gt;"",J854=""),"; Dept has not set a tax code","")&amp;IF(AND($C854&lt;&gt;"",N854=""),"; Dept has not entered an expected value","")&amp;IF((IF(OR(COUNTA(S854:U854)=0,AND(COUNTA(S854:U854)=3,ISNUMBER(U854))),0,1)+IF(OR(COUNTA(V854:X854)=0,AND(COUNTA(V854:X854)=3,ISNUMBER(X854))),0,1)+IF(OR(COUNTA(Y854:AA854)=0,AND(COUNTA(Y854:AA854)=3,ISNUMBER(AA854))),0,1)+IF(OR(COUNTA(AB854:AD854)=0,AND(COUNTA(AB854:AD854)=3,ISNUMBER(AD854))),0,1)+IF(OR(COUNTA(AE854:AG854)=0,AND(COUNTA(AE854:AG854)=3,ISNUMBER(AG854))),0,1)+IF(OR(COUNTA(AH854:AJ854)=0,AND(COUNTA(AH854:AJ854)=3,ISNUMBER(AJ854))),0,1)+IF(OR(COUNTA(AK854:AM854)=0,AND(COUNTA(AK854:AM854)=3,ISNUMBER(AM854))),0,1)+IF(OR(COUNTA(AN854:AP854)=0,AND(COUNTA(AN854:AP854)=3,ISNUMBER(AP854))),0,1)+IF(OR(COUNTA(AQ854:AS854)=0,AND(COUNTA(AQ854:AS854)=3,ISNUMBER(AS854))),0,1)+IF(OR(COUNTA(AT854:AV854)=0,AND(COUNTA(AT854:AV854)=3,ISNUMBER(AV854))),0,1)+IF(OR(COUNTA(AW854:AY854)=0,AND(COUNTA(AW854:AY854)=3,ISNUMBER(AY854))),0,1)+IF(OR(COUNTA(AZ854:BB854)=0,AND(COUNTA(AZ854:BB854)=3,ISNUMBER(BB854))),0,1))&gt;0,"; An invoice is incomplete (needs No, Date and a number in Ex GST)","")&amp;IF((IF(T854="",0,IFERROR(--(EOMONTH(T854,0)&lt;&gt;S$5),1))+IF(W854="",0,IFERROR(--(EOMONTH(W854,0)&lt;&gt;V$5),1))+IF(Z854="",0,IFERROR(--(EOMONTH(Z854,0)&lt;&gt;Y$5),1))+IF(AC854="",0,IFERROR(--(EOMONTH(AC854,0)&lt;&gt;AB$5),1))+IF(AF854="",0,IFERROR(--(EOMONTH(AF854,0)&lt;&gt;AE$5),1))+IF(AI854="",0,IFERROR(--(EOMONTH(AI854,0)&lt;&gt;AH$5),1))+IF(AL854="",0,IFERROR(--(EOMONTH(AL854,0)&lt;&gt;AK$5),1))+IF(AO854="",0,IFERROR(--(EOMONTH(AO854,0)&lt;&gt;AN$5),1))+IF(AR854="",0,IFERROR(--(EOMONTH(AR854,0)&lt;&gt;AQ$5),1))+IF(AU854="",0,IFERROR(--(EOMONTH(AU854,0)&lt;&gt;AT$5),1))+IF(AX854="",0,IFERROR(--(EOMONTH(AX854,0)&lt;&gt;AW$5),1))+IF(BA854="",0,IFERROR(--(EOMONTH(BA854,0)&lt;&gt;AZ$5),1)))&gt;0,"; An invoice date is not in the month it is typed under",""),3,500))</f>
        <v/>
      </c>
      <c r="S854" s="12" t="n"/>
      <c r="T854" s="13" t="n"/>
      <c r="U854" s="14" t="n"/>
      <c r="V854" s="12" t="n"/>
      <c r="W854" s="13" t="n"/>
      <c r="X854" s="14" t="n"/>
      <c r="Y854" s="12" t="n"/>
      <c r="Z854" s="13" t="n"/>
      <c r="AA854" s="14" t="n"/>
      <c r="AB854" s="12" t="n"/>
      <c r="AC854" s="13" t="n"/>
      <c r="AD854" s="14" t="n"/>
      <c r="AE854" s="12" t="n"/>
      <c r="AF854" s="13" t="n"/>
      <c r="AG854" s="14" t="n"/>
      <c r="AH854" s="12" t="n"/>
      <c r="AI854" s="13" t="n"/>
      <c r="AJ854" s="14" t="n"/>
      <c r="AK854" s="12" t="n"/>
      <c r="AL854" s="13" t="n"/>
      <c r="AM854" s="14" t="n"/>
      <c r="AN854" s="12" t="n"/>
      <c r="AO854" s="13" t="n"/>
      <c r="AP854" s="14" t="n"/>
      <c r="AQ854" s="12" t="n"/>
      <c r="AR854" s="13" t="n"/>
      <c r="AS854" s="14" t="n"/>
      <c r="AT854" s="12" t="n"/>
      <c r="AU854" s="13" t="n"/>
      <c r="AV854" s="14" t="n"/>
      <c r="AW854" s="12" t="n"/>
      <c r="AX854" s="13" t="n"/>
      <c r="AY854" s="14" t="n"/>
      <c r="AZ854" s="12" t="n"/>
      <c r="BA854" s="13" t="n"/>
      <c r="BB854" s="14" t="n"/>
      <c r="BC854" s="11">
        <f>IF(O854="","",IF(J854="GST 10%",ROUND(O854*set_GSTRate,2),0))</f>
        <v/>
      </c>
      <c r="BD854" s="11">
        <f>IF(O854="","",O854+BC854)</f>
        <v/>
      </c>
      <c r="BE854" s="15">
        <f>IF(O854="","",COUNTA(S854,V854,Y854,AB854,AE854,AH854,AK854,AN854,AQ854,AT854,AW854,AZ854))</f>
        <v/>
      </c>
      <c r="BF854" s="16">
        <f>IF(COUNT(T854,W854,Z854,AC854,AF854,AI854,AL854,AO854,AR854,AU854,AX854,BA854)=0,"",MAX(T854,W854,Z854,AC854,AF854,AI854,AL854,AO854,AR854,AU854,AX854,BA854))</f>
        <v/>
      </c>
      <c r="BG854" s="10">
        <f>MID(IF(S854="","",", "&amp;S854)&amp;IF(V854="","",", "&amp;V854)&amp;IF(Y854="","",", "&amp;Y854)&amp;IF(AB854="","",", "&amp;AB854)&amp;IF(AE854="","",", "&amp;AE854)&amp;IF(AH854="","",", "&amp;AH854)&amp;IF(AK854="","",", "&amp;AK854)&amp;IF(AN854="","",", "&amp;AN854)&amp;IF(AQ854="","",", "&amp;AQ854)&amp;IF(AT854="","",", "&amp;AT854)&amp;IF(AW854="","",", "&amp;AW854)&amp;IF(AZ854="","",", "&amp;AZ854),3,500)</f>
        <v/>
      </c>
      <c r="BH854" s="12" t="n"/>
      <c r="BI854" s="15">
        <f>IFERROR(MATCH($A854,IF($B854="Onsite",tbl_Onsite[Row ID],IF($B854="Production",tbl_Production[Row ID],tbl_Consulting[Row ID])),0),"")</f>
        <v/>
      </c>
    </row>
    <row r="855">
      <c r="A855" s="10" t="inlineStr">
        <is>
          <t>PRD-0349</t>
        </is>
      </c>
      <c r="B855" s="10" t="inlineStr">
        <is>
          <t>Production</t>
        </is>
      </c>
      <c r="C855" s="10">
        <f>IF($BI855="","",IF($B855="Onsite",INDEX(tbl_Onsite[Job Number],$BI855),IF($B855="Production",INDEX(tbl_Production[Job Number],$BI855),INDEX(tbl_Consulting[Job Number],$BI855)))&amp;"")</f>
        <v/>
      </c>
      <c r="D855" s="10">
        <f>IF($BI855="","",IF($B855="Onsite",INDEX(tbl_Onsite[Client],$BI855),IF($B855="Production",INDEX(tbl_Production[Client],$BI855),INDEX(tbl_Consulting[Client],$BI855)))&amp;"")</f>
        <v/>
      </c>
      <c r="E855" s="10">
        <f>IF($C855="","",IF(COUNTIF(lst_Jobs,$C855)&gt;0,"OK","CHECK"))</f>
        <v/>
      </c>
      <c r="F855" s="10">
        <f>IF($C855="","",IFERROR(INDEX(lst_JobName,MATCH($C855,lst_Jobs,0)),""))</f>
        <v/>
      </c>
      <c r="G855" s="10">
        <f>IF($BI855="","",IF($B855="Onsite",INDEX(tbl_Onsite[Job Description],$BI855),IF($B855="Production",INDEX(tbl_Production[Job Description],$BI855),INDEX(tbl_Consulting[Job Description],$BI855)))&amp;"")</f>
        <v/>
      </c>
      <c r="H855" s="10">
        <f>IF($BI855="","",IF($B855="Onsite",INDEX(tbl_Onsite[Cost Centre],$BI855),IF($B855="Production",INDEX(tbl_Production[Cost Centre],$BI855),INDEX(tbl_Consulting[Cost Centre],$BI855)))&amp;"")</f>
        <v/>
      </c>
      <c r="I855" s="10">
        <f>IF($BI855="","",IF($B855="Onsite",INDEX(tbl_Onsite[Invoice Type],$BI855),IF($B855="Production",INDEX(tbl_Production[Invoice Type],$BI855),INDEX(tbl_Consulting[Invoice Type],$BI855)))&amp;"")</f>
        <v/>
      </c>
      <c r="J855" s="10">
        <f>IF($BI855="","",IF($B855="Onsite",INDEX(tbl_Onsite[Tax Code],$BI855),IF($B855="Production",INDEX(tbl_Production[Tax Code],$BI855),INDEX(tbl_Consulting[Tax Code],$BI855)))&amp;"")</f>
        <v/>
      </c>
      <c r="K855" s="10">
        <f>IF(H855="","",IFERROR(INDEX(lst_CCtoGL,MATCH(H855,lst_CCforGL,0)),""))</f>
        <v/>
      </c>
      <c r="L855" s="10">
        <f>IF($BI855="","",IF($B855="Onsite",INDEX(tbl_Onsite[PO / Reference],$BI855),IF($B855="Production",INDEX(tbl_Production[Current RMS No],$BI855),INDEX(tbl_Consulting[Qwilr Quote],$BI855)))&amp;"")</f>
        <v/>
      </c>
      <c r="M855" s="10">
        <f>IF($BI855="","",IF($B855="Onsite",INDEX(tbl_Onsite[Notes],$BI855),IF($B855="Production",INDEX(tbl_Production[Notes],$BI855),INDEX(tbl_Consulting[Notes],$BI855)))&amp;"")</f>
        <v/>
      </c>
      <c r="N855" s="11">
        <f>IF($BI855="","",IF(IF($B855="Onsite",INDEX(tbl_Onsite[Expected Revenue Ex GST],$BI855),IF($B855="Production",INDEX(tbl_Production[Expected Revenue Ex GST],$BI855),INDEX(tbl_Consulting[Expected Revenue Ex GST],$BI855)))="","",IF($B855="Onsite",INDEX(tbl_Onsite[Expected Revenue Ex GST],$BI855),IF($B855="Production",INDEX(tbl_Production[Expected Revenue Ex GST],$BI855),INDEX(tbl_Consulting[Expected Revenue Ex GST],$BI855)))))</f>
        <v/>
      </c>
      <c r="O855" s="11">
        <f>IF(AND($C855="",NOT(COUNTA($S855:$BB855)&gt;0)),"",SUM(U855,X855,AA855,AD855,AG855,AJ855,AM855,AP855,AS855,AV855,AY855,BB855))</f>
        <v/>
      </c>
      <c r="P855" s="11">
        <f>IF(O855="","",N(N855)-O855)</f>
        <v/>
      </c>
      <c r="Q855" s="10">
        <f>IF(O855="","",IF($C855="","Invoice on empty job row",IF(N855="",IF(ROUND(O855,2)=0,"No dept value","Invoiced - no dept value"),IF(ROUND(O855,2)=0,"Not invoiced - to invoice",IF(ROUND(P855,2)=0,"Agrees",IF(P855&gt;0,"Dept higher - to invoice","Xero higher - check dept"))))))</f>
        <v/>
      </c>
      <c r="R855" s="10">
        <f>IF(AND($C855="",NOT(COUNTA($S855:$BB855)&gt;0),$BI855&lt;&gt;""),"",MID(IF($BI855="","; Row ID not found on the department sheet - a row was deleted","")&amp;IF(AND($C855="",COUNTA($S855:$BB855)&gt;0),"; Invoice entered but the department row has no job number","")&amp;IF(E855="CHECK","; Job number not in the Xero job list","")&amp;IF(AND($C855&lt;&gt;"",COUNTIF($C$7:$C$1506,$C855)&gt;1),"; Job number on more than one row","")&amp;IF(AND($C855&lt;&gt;"",H855=""),"; Dept has not set a cost centre","")&amp;IF(AND($C855&lt;&gt;"",J855=""),"; Dept has not set a tax code","")&amp;IF(AND($C855&lt;&gt;"",N855=""),"; Dept has not entered an expected value","")&amp;IF((IF(OR(COUNTA(S855:U855)=0,AND(COUNTA(S855:U855)=3,ISNUMBER(U855))),0,1)+IF(OR(COUNTA(V855:X855)=0,AND(COUNTA(V855:X855)=3,ISNUMBER(X855))),0,1)+IF(OR(COUNTA(Y855:AA855)=0,AND(COUNTA(Y855:AA855)=3,ISNUMBER(AA855))),0,1)+IF(OR(COUNTA(AB855:AD855)=0,AND(COUNTA(AB855:AD855)=3,ISNUMBER(AD855))),0,1)+IF(OR(COUNTA(AE855:AG855)=0,AND(COUNTA(AE855:AG855)=3,ISNUMBER(AG855))),0,1)+IF(OR(COUNTA(AH855:AJ855)=0,AND(COUNTA(AH855:AJ855)=3,ISNUMBER(AJ855))),0,1)+IF(OR(COUNTA(AK855:AM855)=0,AND(COUNTA(AK855:AM855)=3,ISNUMBER(AM855))),0,1)+IF(OR(COUNTA(AN855:AP855)=0,AND(COUNTA(AN855:AP855)=3,ISNUMBER(AP855))),0,1)+IF(OR(COUNTA(AQ855:AS855)=0,AND(COUNTA(AQ855:AS855)=3,ISNUMBER(AS855))),0,1)+IF(OR(COUNTA(AT855:AV855)=0,AND(COUNTA(AT855:AV855)=3,ISNUMBER(AV855))),0,1)+IF(OR(COUNTA(AW855:AY855)=0,AND(COUNTA(AW855:AY855)=3,ISNUMBER(AY855))),0,1)+IF(OR(COUNTA(AZ855:BB855)=0,AND(COUNTA(AZ855:BB855)=3,ISNUMBER(BB855))),0,1))&gt;0,"; An invoice is incomplete (needs No, Date and a number in Ex GST)","")&amp;IF((IF(T855="",0,IFERROR(--(EOMONTH(T855,0)&lt;&gt;S$5),1))+IF(W855="",0,IFERROR(--(EOMONTH(W855,0)&lt;&gt;V$5),1))+IF(Z855="",0,IFERROR(--(EOMONTH(Z855,0)&lt;&gt;Y$5),1))+IF(AC855="",0,IFERROR(--(EOMONTH(AC855,0)&lt;&gt;AB$5),1))+IF(AF855="",0,IFERROR(--(EOMONTH(AF855,0)&lt;&gt;AE$5),1))+IF(AI855="",0,IFERROR(--(EOMONTH(AI855,0)&lt;&gt;AH$5),1))+IF(AL855="",0,IFERROR(--(EOMONTH(AL855,0)&lt;&gt;AK$5),1))+IF(AO855="",0,IFERROR(--(EOMONTH(AO855,0)&lt;&gt;AN$5),1))+IF(AR855="",0,IFERROR(--(EOMONTH(AR855,0)&lt;&gt;AQ$5),1))+IF(AU855="",0,IFERROR(--(EOMONTH(AU855,0)&lt;&gt;AT$5),1))+IF(AX855="",0,IFERROR(--(EOMONTH(AX855,0)&lt;&gt;AW$5),1))+IF(BA855="",0,IFERROR(--(EOMONTH(BA855,0)&lt;&gt;AZ$5),1)))&gt;0,"; An invoice date is not in the month it is typed under",""),3,500))</f>
        <v/>
      </c>
      <c r="S855" s="12" t="n"/>
      <c r="T855" s="13" t="n"/>
      <c r="U855" s="14" t="n"/>
      <c r="V855" s="12" t="n"/>
      <c r="W855" s="13" t="n"/>
      <c r="X855" s="14" t="n"/>
      <c r="Y855" s="12" t="n"/>
      <c r="Z855" s="13" t="n"/>
      <c r="AA855" s="14" t="n"/>
      <c r="AB855" s="12" t="n"/>
      <c r="AC855" s="13" t="n"/>
      <c r="AD855" s="14" t="n"/>
      <c r="AE855" s="12" t="n"/>
      <c r="AF855" s="13" t="n"/>
      <c r="AG855" s="14" t="n"/>
      <c r="AH855" s="12" t="n"/>
      <c r="AI855" s="13" t="n"/>
      <c r="AJ855" s="14" t="n"/>
      <c r="AK855" s="12" t="n"/>
      <c r="AL855" s="13" t="n"/>
      <c r="AM855" s="14" t="n"/>
      <c r="AN855" s="12" t="n"/>
      <c r="AO855" s="13" t="n"/>
      <c r="AP855" s="14" t="n"/>
      <c r="AQ855" s="12" t="n"/>
      <c r="AR855" s="13" t="n"/>
      <c r="AS855" s="14" t="n"/>
      <c r="AT855" s="12" t="n"/>
      <c r="AU855" s="13" t="n"/>
      <c r="AV855" s="14" t="n"/>
      <c r="AW855" s="12" t="n"/>
      <c r="AX855" s="13" t="n"/>
      <c r="AY855" s="14" t="n"/>
      <c r="AZ855" s="12" t="n"/>
      <c r="BA855" s="13" t="n"/>
      <c r="BB855" s="14" t="n"/>
      <c r="BC855" s="11">
        <f>IF(O855="","",IF(J855="GST 10%",ROUND(O855*set_GSTRate,2),0))</f>
        <v/>
      </c>
      <c r="BD855" s="11">
        <f>IF(O855="","",O855+BC855)</f>
        <v/>
      </c>
      <c r="BE855" s="15">
        <f>IF(O855="","",COUNTA(S855,V855,Y855,AB855,AE855,AH855,AK855,AN855,AQ855,AT855,AW855,AZ855))</f>
        <v/>
      </c>
      <c r="BF855" s="16">
        <f>IF(COUNT(T855,W855,Z855,AC855,AF855,AI855,AL855,AO855,AR855,AU855,AX855,BA855)=0,"",MAX(T855,W855,Z855,AC855,AF855,AI855,AL855,AO855,AR855,AU855,AX855,BA855))</f>
        <v/>
      </c>
      <c r="BG855" s="10">
        <f>MID(IF(S855="","",", "&amp;S855)&amp;IF(V855="","",", "&amp;V855)&amp;IF(Y855="","",", "&amp;Y855)&amp;IF(AB855="","",", "&amp;AB855)&amp;IF(AE855="","",", "&amp;AE855)&amp;IF(AH855="","",", "&amp;AH855)&amp;IF(AK855="","",", "&amp;AK855)&amp;IF(AN855="","",", "&amp;AN855)&amp;IF(AQ855="","",", "&amp;AQ855)&amp;IF(AT855="","",", "&amp;AT855)&amp;IF(AW855="","",", "&amp;AW855)&amp;IF(AZ855="","",", "&amp;AZ855),3,500)</f>
        <v/>
      </c>
      <c r="BH855" s="12" t="n"/>
      <c r="BI855" s="15">
        <f>IFERROR(MATCH($A855,IF($B855="Onsite",tbl_Onsite[Row ID],IF($B855="Production",tbl_Production[Row ID],tbl_Consulting[Row ID])),0),"")</f>
        <v/>
      </c>
    </row>
    <row r="856">
      <c r="A856" s="10" t="inlineStr">
        <is>
          <t>PRD-0350</t>
        </is>
      </c>
      <c r="B856" s="10" t="inlineStr">
        <is>
          <t>Production</t>
        </is>
      </c>
      <c r="C856" s="10">
        <f>IF($BI856="","",IF($B856="Onsite",INDEX(tbl_Onsite[Job Number],$BI856),IF($B856="Production",INDEX(tbl_Production[Job Number],$BI856),INDEX(tbl_Consulting[Job Number],$BI856)))&amp;"")</f>
        <v/>
      </c>
      <c r="D856" s="10">
        <f>IF($BI856="","",IF($B856="Onsite",INDEX(tbl_Onsite[Client],$BI856),IF($B856="Production",INDEX(tbl_Production[Client],$BI856),INDEX(tbl_Consulting[Client],$BI856)))&amp;"")</f>
        <v/>
      </c>
      <c r="E856" s="10">
        <f>IF($C856="","",IF(COUNTIF(lst_Jobs,$C856)&gt;0,"OK","CHECK"))</f>
        <v/>
      </c>
      <c r="F856" s="10">
        <f>IF($C856="","",IFERROR(INDEX(lst_JobName,MATCH($C856,lst_Jobs,0)),""))</f>
        <v/>
      </c>
      <c r="G856" s="10">
        <f>IF($BI856="","",IF($B856="Onsite",INDEX(tbl_Onsite[Job Description],$BI856),IF($B856="Production",INDEX(tbl_Production[Job Description],$BI856),INDEX(tbl_Consulting[Job Description],$BI856)))&amp;"")</f>
        <v/>
      </c>
      <c r="H856" s="10">
        <f>IF($BI856="","",IF($B856="Onsite",INDEX(tbl_Onsite[Cost Centre],$BI856),IF($B856="Production",INDEX(tbl_Production[Cost Centre],$BI856),INDEX(tbl_Consulting[Cost Centre],$BI856)))&amp;"")</f>
        <v/>
      </c>
      <c r="I856" s="10">
        <f>IF($BI856="","",IF($B856="Onsite",INDEX(tbl_Onsite[Invoice Type],$BI856),IF($B856="Production",INDEX(tbl_Production[Invoice Type],$BI856),INDEX(tbl_Consulting[Invoice Type],$BI856)))&amp;"")</f>
        <v/>
      </c>
      <c r="J856" s="10">
        <f>IF($BI856="","",IF($B856="Onsite",INDEX(tbl_Onsite[Tax Code],$BI856),IF($B856="Production",INDEX(tbl_Production[Tax Code],$BI856),INDEX(tbl_Consulting[Tax Code],$BI856)))&amp;"")</f>
        <v/>
      </c>
      <c r="K856" s="10">
        <f>IF(H856="","",IFERROR(INDEX(lst_CCtoGL,MATCH(H856,lst_CCforGL,0)),""))</f>
        <v/>
      </c>
      <c r="L856" s="10">
        <f>IF($BI856="","",IF($B856="Onsite",INDEX(tbl_Onsite[PO / Reference],$BI856),IF($B856="Production",INDEX(tbl_Production[Current RMS No],$BI856),INDEX(tbl_Consulting[Qwilr Quote],$BI856)))&amp;"")</f>
        <v/>
      </c>
      <c r="M856" s="10">
        <f>IF($BI856="","",IF($B856="Onsite",INDEX(tbl_Onsite[Notes],$BI856),IF($B856="Production",INDEX(tbl_Production[Notes],$BI856),INDEX(tbl_Consulting[Notes],$BI856)))&amp;"")</f>
        <v/>
      </c>
      <c r="N856" s="11">
        <f>IF($BI856="","",IF(IF($B856="Onsite",INDEX(tbl_Onsite[Expected Revenue Ex GST],$BI856),IF($B856="Production",INDEX(tbl_Production[Expected Revenue Ex GST],$BI856),INDEX(tbl_Consulting[Expected Revenue Ex GST],$BI856)))="","",IF($B856="Onsite",INDEX(tbl_Onsite[Expected Revenue Ex GST],$BI856),IF($B856="Production",INDEX(tbl_Production[Expected Revenue Ex GST],$BI856),INDEX(tbl_Consulting[Expected Revenue Ex GST],$BI856)))))</f>
        <v/>
      </c>
      <c r="O856" s="11">
        <f>IF(AND($C856="",NOT(COUNTA($S856:$BB856)&gt;0)),"",SUM(U856,X856,AA856,AD856,AG856,AJ856,AM856,AP856,AS856,AV856,AY856,BB856))</f>
        <v/>
      </c>
      <c r="P856" s="11">
        <f>IF(O856="","",N(N856)-O856)</f>
        <v/>
      </c>
      <c r="Q856" s="10">
        <f>IF(O856="","",IF($C856="","Invoice on empty job row",IF(N856="",IF(ROUND(O856,2)=0,"No dept value","Invoiced - no dept value"),IF(ROUND(O856,2)=0,"Not invoiced - to invoice",IF(ROUND(P856,2)=0,"Agrees",IF(P856&gt;0,"Dept higher - to invoice","Xero higher - check dept"))))))</f>
        <v/>
      </c>
      <c r="R856" s="10">
        <f>IF(AND($C856="",NOT(COUNTA($S856:$BB856)&gt;0),$BI856&lt;&gt;""),"",MID(IF($BI856="","; Row ID not found on the department sheet - a row was deleted","")&amp;IF(AND($C856="",COUNTA($S856:$BB856)&gt;0),"; Invoice entered but the department row has no job number","")&amp;IF(E856="CHECK","; Job number not in the Xero job list","")&amp;IF(AND($C856&lt;&gt;"",COUNTIF($C$7:$C$1506,$C856)&gt;1),"; Job number on more than one row","")&amp;IF(AND($C856&lt;&gt;"",H856=""),"; Dept has not set a cost centre","")&amp;IF(AND($C856&lt;&gt;"",J856=""),"; Dept has not set a tax code","")&amp;IF(AND($C856&lt;&gt;"",N856=""),"; Dept has not entered an expected value","")&amp;IF((IF(OR(COUNTA(S856:U856)=0,AND(COUNTA(S856:U856)=3,ISNUMBER(U856))),0,1)+IF(OR(COUNTA(V856:X856)=0,AND(COUNTA(V856:X856)=3,ISNUMBER(X856))),0,1)+IF(OR(COUNTA(Y856:AA856)=0,AND(COUNTA(Y856:AA856)=3,ISNUMBER(AA856))),0,1)+IF(OR(COUNTA(AB856:AD856)=0,AND(COUNTA(AB856:AD856)=3,ISNUMBER(AD856))),0,1)+IF(OR(COUNTA(AE856:AG856)=0,AND(COUNTA(AE856:AG856)=3,ISNUMBER(AG856))),0,1)+IF(OR(COUNTA(AH856:AJ856)=0,AND(COUNTA(AH856:AJ856)=3,ISNUMBER(AJ856))),0,1)+IF(OR(COUNTA(AK856:AM856)=0,AND(COUNTA(AK856:AM856)=3,ISNUMBER(AM856))),0,1)+IF(OR(COUNTA(AN856:AP856)=0,AND(COUNTA(AN856:AP856)=3,ISNUMBER(AP856))),0,1)+IF(OR(COUNTA(AQ856:AS856)=0,AND(COUNTA(AQ856:AS856)=3,ISNUMBER(AS856))),0,1)+IF(OR(COUNTA(AT856:AV856)=0,AND(COUNTA(AT856:AV856)=3,ISNUMBER(AV856))),0,1)+IF(OR(COUNTA(AW856:AY856)=0,AND(COUNTA(AW856:AY856)=3,ISNUMBER(AY856))),0,1)+IF(OR(COUNTA(AZ856:BB856)=0,AND(COUNTA(AZ856:BB856)=3,ISNUMBER(BB856))),0,1))&gt;0,"; An invoice is incomplete (needs No, Date and a number in Ex GST)","")&amp;IF((IF(T856="",0,IFERROR(--(EOMONTH(T856,0)&lt;&gt;S$5),1))+IF(W856="",0,IFERROR(--(EOMONTH(W856,0)&lt;&gt;V$5),1))+IF(Z856="",0,IFERROR(--(EOMONTH(Z856,0)&lt;&gt;Y$5),1))+IF(AC856="",0,IFERROR(--(EOMONTH(AC856,0)&lt;&gt;AB$5),1))+IF(AF856="",0,IFERROR(--(EOMONTH(AF856,0)&lt;&gt;AE$5),1))+IF(AI856="",0,IFERROR(--(EOMONTH(AI856,0)&lt;&gt;AH$5),1))+IF(AL856="",0,IFERROR(--(EOMONTH(AL856,0)&lt;&gt;AK$5),1))+IF(AO856="",0,IFERROR(--(EOMONTH(AO856,0)&lt;&gt;AN$5),1))+IF(AR856="",0,IFERROR(--(EOMONTH(AR856,0)&lt;&gt;AQ$5),1))+IF(AU856="",0,IFERROR(--(EOMONTH(AU856,0)&lt;&gt;AT$5),1))+IF(AX856="",0,IFERROR(--(EOMONTH(AX856,0)&lt;&gt;AW$5),1))+IF(BA856="",0,IFERROR(--(EOMONTH(BA856,0)&lt;&gt;AZ$5),1)))&gt;0,"; An invoice date is not in the month it is typed under",""),3,500))</f>
        <v/>
      </c>
      <c r="S856" s="12" t="n"/>
      <c r="T856" s="13" t="n"/>
      <c r="U856" s="14" t="n"/>
      <c r="V856" s="12" t="n"/>
      <c r="W856" s="13" t="n"/>
      <c r="X856" s="14" t="n"/>
      <c r="Y856" s="12" t="n"/>
      <c r="Z856" s="13" t="n"/>
      <c r="AA856" s="14" t="n"/>
      <c r="AB856" s="12" t="n"/>
      <c r="AC856" s="13" t="n"/>
      <c r="AD856" s="14" t="n"/>
      <c r="AE856" s="12" t="n"/>
      <c r="AF856" s="13" t="n"/>
      <c r="AG856" s="14" t="n"/>
      <c r="AH856" s="12" t="n"/>
      <c r="AI856" s="13" t="n"/>
      <c r="AJ856" s="14" t="n"/>
      <c r="AK856" s="12" t="n"/>
      <c r="AL856" s="13" t="n"/>
      <c r="AM856" s="14" t="n"/>
      <c r="AN856" s="12" t="n"/>
      <c r="AO856" s="13" t="n"/>
      <c r="AP856" s="14" t="n"/>
      <c r="AQ856" s="12" t="n"/>
      <c r="AR856" s="13" t="n"/>
      <c r="AS856" s="14" t="n"/>
      <c r="AT856" s="12" t="n"/>
      <c r="AU856" s="13" t="n"/>
      <c r="AV856" s="14" t="n"/>
      <c r="AW856" s="12" t="n"/>
      <c r="AX856" s="13" t="n"/>
      <c r="AY856" s="14" t="n"/>
      <c r="AZ856" s="12" t="n"/>
      <c r="BA856" s="13" t="n"/>
      <c r="BB856" s="14" t="n"/>
      <c r="BC856" s="11">
        <f>IF(O856="","",IF(J856="GST 10%",ROUND(O856*set_GSTRate,2),0))</f>
        <v/>
      </c>
      <c r="BD856" s="11">
        <f>IF(O856="","",O856+BC856)</f>
        <v/>
      </c>
      <c r="BE856" s="15">
        <f>IF(O856="","",COUNTA(S856,V856,Y856,AB856,AE856,AH856,AK856,AN856,AQ856,AT856,AW856,AZ856))</f>
        <v/>
      </c>
      <c r="BF856" s="16">
        <f>IF(COUNT(T856,W856,Z856,AC856,AF856,AI856,AL856,AO856,AR856,AU856,AX856,BA856)=0,"",MAX(T856,W856,Z856,AC856,AF856,AI856,AL856,AO856,AR856,AU856,AX856,BA856))</f>
        <v/>
      </c>
      <c r="BG856" s="10">
        <f>MID(IF(S856="","",", "&amp;S856)&amp;IF(V856="","",", "&amp;V856)&amp;IF(Y856="","",", "&amp;Y856)&amp;IF(AB856="","",", "&amp;AB856)&amp;IF(AE856="","",", "&amp;AE856)&amp;IF(AH856="","",", "&amp;AH856)&amp;IF(AK856="","",", "&amp;AK856)&amp;IF(AN856="","",", "&amp;AN856)&amp;IF(AQ856="","",", "&amp;AQ856)&amp;IF(AT856="","",", "&amp;AT856)&amp;IF(AW856="","",", "&amp;AW856)&amp;IF(AZ856="","",", "&amp;AZ856),3,500)</f>
        <v/>
      </c>
      <c r="BH856" s="12" t="n"/>
      <c r="BI856" s="15">
        <f>IFERROR(MATCH($A856,IF($B856="Onsite",tbl_Onsite[Row ID],IF($B856="Production",tbl_Production[Row ID],tbl_Consulting[Row ID])),0),"")</f>
        <v/>
      </c>
    </row>
    <row r="857">
      <c r="A857" s="10" t="inlineStr">
        <is>
          <t>PRD-0351</t>
        </is>
      </c>
      <c r="B857" s="10" t="inlineStr">
        <is>
          <t>Production</t>
        </is>
      </c>
      <c r="C857" s="10">
        <f>IF($BI857="","",IF($B857="Onsite",INDEX(tbl_Onsite[Job Number],$BI857),IF($B857="Production",INDEX(tbl_Production[Job Number],$BI857),INDEX(tbl_Consulting[Job Number],$BI857)))&amp;"")</f>
        <v/>
      </c>
      <c r="D857" s="10">
        <f>IF($BI857="","",IF($B857="Onsite",INDEX(tbl_Onsite[Client],$BI857),IF($B857="Production",INDEX(tbl_Production[Client],$BI857),INDEX(tbl_Consulting[Client],$BI857)))&amp;"")</f>
        <v/>
      </c>
      <c r="E857" s="10">
        <f>IF($C857="","",IF(COUNTIF(lst_Jobs,$C857)&gt;0,"OK","CHECK"))</f>
        <v/>
      </c>
      <c r="F857" s="10">
        <f>IF($C857="","",IFERROR(INDEX(lst_JobName,MATCH($C857,lst_Jobs,0)),""))</f>
        <v/>
      </c>
      <c r="G857" s="10">
        <f>IF($BI857="","",IF($B857="Onsite",INDEX(tbl_Onsite[Job Description],$BI857),IF($B857="Production",INDEX(tbl_Production[Job Description],$BI857),INDEX(tbl_Consulting[Job Description],$BI857)))&amp;"")</f>
        <v/>
      </c>
      <c r="H857" s="10">
        <f>IF($BI857="","",IF($B857="Onsite",INDEX(tbl_Onsite[Cost Centre],$BI857),IF($B857="Production",INDEX(tbl_Production[Cost Centre],$BI857),INDEX(tbl_Consulting[Cost Centre],$BI857)))&amp;"")</f>
        <v/>
      </c>
      <c r="I857" s="10">
        <f>IF($BI857="","",IF($B857="Onsite",INDEX(tbl_Onsite[Invoice Type],$BI857),IF($B857="Production",INDEX(tbl_Production[Invoice Type],$BI857),INDEX(tbl_Consulting[Invoice Type],$BI857)))&amp;"")</f>
        <v/>
      </c>
      <c r="J857" s="10">
        <f>IF($BI857="","",IF($B857="Onsite",INDEX(tbl_Onsite[Tax Code],$BI857),IF($B857="Production",INDEX(tbl_Production[Tax Code],$BI857),INDEX(tbl_Consulting[Tax Code],$BI857)))&amp;"")</f>
        <v/>
      </c>
      <c r="K857" s="10">
        <f>IF(H857="","",IFERROR(INDEX(lst_CCtoGL,MATCH(H857,lst_CCforGL,0)),""))</f>
        <v/>
      </c>
      <c r="L857" s="10">
        <f>IF($BI857="","",IF($B857="Onsite",INDEX(tbl_Onsite[PO / Reference],$BI857),IF($B857="Production",INDEX(tbl_Production[Current RMS No],$BI857),INDEX(tbl_Consulting[Qwilr Quote],$BI857)))&amp;"")</f>
        <v/>
      </c>
      <c r="M857" s="10">
        <f>IF($BI857="","",IF($B857="Onsite",INDEX(tbl_Onsite[Notes],$BI857),IF($B857="Production",INDEX(tbl_Production[Notes],$BI857),INDEX(tbl_Consulting[Notes],$BI857)))&amp;"")</f>
        <v/>
      </c>
      <c r="N857" s="11">
        <f>IF($BI857="","",IF(IF($B857="Onsite",INDEX(tbl_Onsite[Expected Revenue Ex GST],$BI857),IF($B857="Production",INDEX(tbl_Production[Expected Revenue Ex GST],$BI857),INDEX(tbl_Consulting[Expected Revenue Ex GST],$BI857)))="","",IF($B857="Onsite",INDEX(tbl_Onsite[Expected Revenue Ex GST],$BI857),IF($B857="Production",INDEX(tbl_Production[Expected Revenue Ex GST],$BI857),INDEX(tbl_Consulting[Expected Revenue Ex GST],$BI857)))))</f>
        <v/>
      </c>
      <c r="O857" s="11">
        <f>IF(AND($C857="",NOT(COUNTA($S857:$BB857)&gt;0)),"",SUM(U857,X857,AA857,AD857,AG857,AJ857,AM857,AP857,AS857,AV857,AY857,BB857))</f>
        <v/>
      </c>
      <c r="P857" s="11">
        <f>IF(O857="","",N(N857)-O857)</f>
        <v/>
      </c>
      <c r="Q857" s="10">
        <f>IF(O857="","",IF($C857="","Invoice on empty job row",IF(N857="",IF(ROUND(O857,2)=0,"No dept value","Invoiced - no dept value"),IF(ROUND(O857,2)=0,"Not invoiced - to invoice",IF(ROUND(P857,2)=0,"Agrees",IF(P857&gt;0,"Dept higher - to invoice","Xero higher - check dept"))))))</f>
        <v/>
      </c>
      <c r="R857" s="10">
        <f>IF(AND($C857="",NOT(COUNTA($S857:$BB857)&gt;0),$BI857&lt;&gt;""),"",MID(IF($BI857="","; Row ID not found on the department sheet - a row was deleted","")&amp;IF(AND($C857="",COUNTA($S857:$BB857)&gt;0),"; Invoice entered but the department row has no job number","")&amp;IF(E857="CHECK","; Job number not in the Xero job list","")&amp;IF(AND($C857&lt;&gt;"",COUNTIF($C$7:$C$1506,$C857)&gt;1),"; Job number on more than one row","")&amp;IF(AND($C857&lt;&gt;"",H857=""),"; Dept has not set a cost centre","")&amp;IF(AND($C857&lt;&gt;"",J857=""),"; Dept has not set a tax code","")&amp;IF(AND($C857&lt;&gt;"",N857=""),"; Dept has not entered an expected value","")&amp;IF((IF(OR(COUNTA(S857:U857)=0,AND(COUNTA(S857:U857)=3,ISNUMBER(U857))),0,1)+IF(OR(COUNTA(V857:X857)=0,AND(COUNTA(V857:X857)=3,ISNUMBER(X857))),0,1)+IF(OR(COUNTA(Y857:AA857)=0,AND(COUNTA(Y857:AA857)=3,ISNUMBER(AA857))),0,1)+IF(OR(COUNTA(AB857:AD857)=0,AND(COUNTA(AB857:AD857)=3,ISNUMBER(AD857))),0,1)+IF(OR(COUNTA(AE857:AG857)=0,AND(COUNTA(AE857:AG857)=3,ISNUMBER(AG857))),0,1)+IF(OR(COUNTA(AH857:AJ857)=0,AND(COUNTA(AH857:AJ857)=3,ISNUMBER(AJ857))),0,1)+IF(OR(COUNTA(AK857:AM857)=0,AND(COUNTA(AK857:AM857)=3,ISNUMBER(AM857))),0,1)+IF(OR(COUNTA(AN857:AP857)=0,AND(COUNTA(AN857:AP857)=3,ISNUMBER(AP857))),0,1)+IF(OR(COUNTA(AQ857:AS857)=0,AND(COUNTA(AQ857:AS857)=3,ISNUMBER(AS857))),0,1)+IF(OR(COUNTA(AT857:AV857)=0,AND(COUNTA(AT857:AV857)=3,ISNUMBER(AV857))),0,1)+IF(OR(COUNTA(AW857:AY857)=0,AND(COUNTA(AW857:AY857)=3,ISNUMBER(AY857))),0,1)+IF(OR(COUNTA(AZ857:BB857)=0,AND(COUNTA(AZ857:BB857)=3,ISNUMBER(BB857))),0,1))&gt;0,"; An invoice is incomplete (needs No, Date and a number in Ex GST)","")&amp;IF((IF(T857="",0,IFERROR(--(EOMONTH(T857,0)&lt;&gt;S$5),1))+IF(W857="",0,IFERROR(--(EOMONTH(W857,0)&lt;&gt;V$5),1))+IF(Z857="",0,IFERROR(--(EOMONTH(Z857,0)&lt;&gt;Y$5),1))+IF(AC857="",0,IFERROR(--(EOMONTH(AC857,0)&lt;&gt;AB$5),1))+IF(AF857="",0,IFERROR(--(EOMONTH(AF857,0)&lt;&gt;AE$5),1))+IF(AI857="",0,IFERROR(--(EOMONTH(AI857,0)&lt;&gt;AH$5),1))+IF(AL857="",0,IFERROR(--(EOMONTH(AL857,0)&lt;&gt;AK$5),1))+IF(AO857="",0,IFERROR(--(EOMONTH(AO857,0)&lt;&gt;AN$5),1))+IF(AR857="",0,IFERROR(--(EOMONTH(AR857,0)&lt;&gt;AQ$5),1))+IF(AU857="",0,IFERROR(--(EOMONTH(AU857,0)&lt;&gt;AT$5),1))+IF(AX857="",0,IFERROR(--(EOMONTH(AX857,0)&lt;&gt;AW$5),1))+IF(BA857="",0,IFERROR(--(EOMONTH(BA857,0)&lt;&gt;AZ$5),1)))&gt;0,"; An invoice date is not in the month it is typed under",""),3,500))</f>
        <v/>
      </c>
      <c r="S857" s="12" t="n"/>
      <c r="T857" s="13" t="n"/>
      <c r="U857" s="14" t="n"/>
      <c r="V857" s="12" t="n"/>
      <c r="W857" s="13" t="n"/>
      <c r="X857" s="14" t="n"/>
      <c r="Y857" s="12" t="n"/>
      <c r="Z857" s="13" t="n"/>
      <c r="AA857" s="14" t="n"/>
      <c r="AB857" s="12" t="n"/>
      <c r="AC857" s="13" t="n"/>
      <c r="AD857" s="14" t="n"/>
      <c r="AE857" s="12" t="n"/>
      <c r="AF857" s="13" t="n"/>
      <c r="AG857" s="14" t="n"/>
      <c r="AH857" s="12" t="n"/>
      <c r="AI857" s="13" t="n"/>
      <c r="AJ857" s="14" t="n"/>
      <c r="AK857" s="12" t="n"/>
      <c r="AL857" s="13" t="n"/>
      <c r="AM857" s="14" t="n"/>
      <c r="AN857" s="12" t="n"/>
      <c r="AO857" s="13" t="n"/>
      <c r="AP857" s="14" t="n"/>
      <c r="AQ857" s="12" t="n"/>
      <c r="AR857" s="13" t="n"/>
      <c r="AS857" s="14" t="n"/>
      <c r="AT857" s="12" t="n"/>
      <c r="AU857" s="13" t="n"/>
      <c r="AV857" s="14" t="n"/>
      <c r="AW857" s="12" t="n"/>
      <c r="AX857" s="13" t="n"/>
      <c r="AY857" s="14" t="n"/>
      <c r="AZ857" s="12" t="n"/>
      <c r="BA857" s="13" t="n"/>
      <c r="BB857" s="14" t="n"/>
      <c r="BC857" s="11">
        <f>IF(O857="","",IF(J857="GST 10%",ROUND(O857*set_GSTRate,2),0))</f>
        <v/>
      </c>
      <c r="BD857" s="11">
        <f>IF(O857="","",O857+BC857)</f>
        <v/>
      </c>
      <c r="BE857" s="15">
        <f>IF(O857="","",COUNTA(S857,V857,Y857,AB857,AE857,AH857,AK857,AN857,AQ857,AT857,AW857,AZ857))</f>
        <v/>
      </c>
      <c r="BF857" s="16">
        <f>IF(COUNT(T857,W857,Z857,AC857,AF857,AI857,AL857,AO857,AR857,AU857,AX857,BA857)=0,"",MAX(T857,W857,Z857,AC857,AF857,AI857,AL857,AO857,AR857,AU857,AX857,BA857))</f>
        <v/>
      </c>
      <c r="BG857" s="10">
        <f>MID(IF(S857="","",", "&amp;S857)&amp;IF(V857="","",", "&amp;V857)&amp;IF(Y857="","",", "&amp;Y857)&amp;IF(AB857="","",", "&amp;AB857)&amp;IF(AE857="","",", "&amp;AE857)&amp;IF(AH857="","",", "&amp;AH857)&amp;IF(AK857="","",", "&amp;AK857)&amp;IF(AN857="","",", "&amp;AN857)&amp;IF(AQ857="","",", "&amp;AQ857)&amp;IF(AT857="","",", "&amp;AT857)&amp;IF(AW857="","",", "&amp;AW857)&amp;IF(AZ857="","",", "&amp;AZ857),3,500)</f>
        <v/>
      </c>
      <c r="BH857" s="12" t="n"/>
      <c r="BI857" s="15">
        <f>IFERROR(MATCH($A857,IF($B857="Onsite",tbl_Onsite[Row ID],IF($B857="Production",tbl_Production[Row ID],tbl_Consulting[Row ID])),0),"")</f>
        <v/>
      </c>
    </row>
    <row r="858">
      <c r="A858" s="10" t="inlineStr">
        <is>
          <t>PRD-0352</t>
        </is>
      </c>
      <c r="B858" s="10" t="inlineStr">
        <is>
          <t>Production</t>
        </is>
      </c>
      <c r="C858" s="10">
        <f>IF($BI858="","",IF($B858="Onsite",INDEX(tbl_Onsite[Job Number],$BI858),IF($B858="Production",INDEX(tbl_Production[Job Number],$BI858),INDEX(tbl_Consulting[Job Number],$BI858)))&amp;"")</f>
        <v/>
      </c>
      <c r="D858" s="10">
        <f>IF($BI858="","",IF($B858="Onsite",INDEX(tbl_Onsite[Client],$BI858),IF($B858="Production",INDEX(tbl_Production[Client],$BI858),INDEX(tbl_Consulting[Client],$BI858)))&amp;"")</f>
        <v/>
      </c>
      <c r="E858" s="10">
        <f>IF($C858="","",IF(COUNTIF(lst_Jobs,$C858)&gt;0,"OK","CHECK"))</f>
        <v/>
      </c>
      <c r="F858" s="10">
        <f>IF($C858="","",IFERROR(INDEX(lst_JobName,MATCH($C858,lst_Jobs,0)),""))</f>
        <v/>
      </c>
      <c r="G858" s="10">
        <f>IF($BI858="","",IF($B858="Onsite",INDEX(tbl_Onsite[Job Description],$BI858),IF($B858="Production",INDEX(tbl_Production[Job Description],$BI858),INDEX(tbl_Consulting[Job Description],$BI858)))&amp;"")</f>
        <v/>
      </c>
      <c r="H858" s="10">
        <f>IF($BI858="","",IF($B858="Onsite",INDEX(tbl_Onsite[Cost Centre],$BI858),IF($B858="Production",INDEX(tbl_Production[Cost Centre],$BI858),INDEX(tbl_Consulting[Cost Centre],$BI858)))&amp;"")</f>
        <v/>
      </c>
      <c r="I858" s="10">
        <f>IF($BI858="","",IF($B858="Onsite",INDEX(tbl_Onsite[Invoice Type],$BI858),IF($B858="Production",INDEX(tbl_Production[Invoice Type],$BI858),INDEX(tbl_Consulting[Invoice Type],$BI858)))&amp;"")</f>
        <v/>
      </c>
      <c r="J858" s="10">
        <f>IF($BI858="","",IF($B858="Onsite",INDEX(tbl_Onsite[Tax Code],$BI858),IF($B858="Production",INDEX(tbl_Production[Tax Code],$BI858),INDEX(tbl_Consulting[Tax Code],$BI858)))&amp;"")</f>
        <v/>
      </c>
      <c r="K858" s="10">
        <f>IF(H858="","",IFERROR(INDEX(lst_CCtoGL,MATCH(H858,lst_CCforGL,0)),""))</f>
        <v/>
      </c>
      <c r="L858" s="10">
        <f>IF($BI858="","",IF($B858="Onsite",INDEX(tbl_Onsite[PO / Reference],$BI858),IF($B858="Production",INDEX(tbl_Production[Current RMS No],$BI858),INDEX(tbl_Consulting[Qwilr Quote],$BI858)))&amp;"")</f>
        <v/>
      </c>
      <c r="M858" s="10">
        <f>IF($BI858="","",IF($B858="Onsite",INDEX(tbl_Onsite[Notes],$BI858),IF($B858="Production",INDEX(tbl_Production[Notes],$BI858),INDEX(tbl_Consulting[Notes],$BI858)))&amp;"")</f>
        <v/>
      </c>
      <c r="N858" s="11">
        <f>IF($BI858="","",IF(IF($B858="Onsite",INDEX(tbl_Onsite[Expected Revenue Ex GST],$BI858),IF($B858="Production",INDEX(tbl_Production[Expected Revenue Ex GST],$BI858),INDEX(tbl_Consulting[Expected Revenue Ex GST],$BI858)))="","",IF($B858="Onsite",INDEX(tbl_Onsite[Expected Revenue Ex GST],$BI858),IF($B858="Production",INDEX(tbl_Production[Expected Revenue Ex GST],$BI858),INDEX(tbl_Consulting[Expected Revenue Ex GST],$BI858)))))</f>
        <v/>
      </c>
      <c r="O858" s="11">
        <f>IF(AND($C858="",NOT(COUNTA($S858:$BB858)&gt;0)),"",SUM(U858,X858,AA858,AD858,AG858,AJ858,AM858,AP858,AS858,AV858,AY858,BB858))</f>
        <v/>
      </c>
      <c r="P858" s="11">
        <f>IF(O858="","",N(N858)-O858)</f>
        <v/>
      </c>
      <c r="Q858" s="10">
        <f>IF(O858="","",IF($C858="","Invoice on empty job row",IF(N858="",IF(ROUND(O858,2)=0,"No dept value","Invoiced - no dept value"),IF(ROUND(O858,2)=0,"Not invoiced - to invoice",IF(ROUND(P858,2)=0,"Agrees",IF(P858&gt;0,"Dept higher - to invoice","Xero higher - check dept"))))))</f>
        <v/>
      </c>
      <c r="R858" s="10">
        <f>IF(AND($C858="",NOT(COUNTA($S858:$BB858)&gt;0),$BI858&lt;&gt;""),"",MID(IF($BI858="","; Row ID not found on the department sheet - a row was deleted","")&amp;IF(AND($C858="",COUNTA($S858:$BB858)&gt;0),"; Invoice entered but the department row has no job number","")&amp;IF(E858="CHECK","; Job number not in the Xero job list","")&amp;IF(AND($C858&lt;&gt;"",COUNTIF($C$7:$C$1506,$C858)&gt;1),"; Job number on more than one row","")&amp;IF(AND($C858&lt;&gt;"",H858=""),"; Dept has not set a cost centre","")&amp;IF(AND($C858&lt;&gt;"",J858=""),"; Dept has not set a tax code","")&amp;IF(AND($C858&lt;&gt;"",N858=""),"; Dept has not entered an expected value","")&amp;IF((IF(OR(COUNTA(S858:U858)=0,AND(COUNTA(S858:U858)=3,ISNUMBER(U858))),0,1)+IF(OR(COUNTA(V858:X858)=0,AND(COUNTA(V858:X858)=3,ISNUMBER(X858))),0,1)+IF(OR(COUNTA(Y858:AA858)=0,AND(COUNTA(Y858:AA858)=3,ISNUMBER(AA858))),0,1)+IF(OR(COUNTA(AB858:AD858)=0,AND(COUNTA(AB858:AD858)=3,ISNUMBER(AD858))),0,1)+IF(OR(COUNTA(AE858:AG858)=0,AND(COUNTA(AE858:AG858)=3,ISNUMBER(AG858))),0,1)+IF(OR(COUNTA(AH858:AJ858)=0,AND(COUNTA(AH858:AJ858)=3,ISNUMBER(AJ858))),0,1)+IF(OR(COUNTA(AK858:AM858)=0,AND(COUNTA(AK858:AM858)=3,ISNUMBER(AM858))),0,1)+IF(OR(COUNTA(AN858:AP858)=0,AND(COUNTA(AN858:AP858)=3,ISNUMBER(AP858))),0,1)+IF(OR(COUNTA(AQ858:AS858)=0,AND(COUNTA(AQ858:AS858)=3,ISNUMBER(AS858))),0,1)+IF(OR(COUNTA(AT858:AV858)=0,AND(COUNTA(AT858:AV858)=3,ISNUMBER(AV858))),0,1)+IF(OR(COUNTA(AW858:AY858)=0,AND(COUNTA(AW858:AY858)=3,ISNUMBER(AY858))),0,1)+IF(OR(COUNTA(AZ858:BB858)=0,AND(COUNTA(AZ858:BB858)=3,ISNUMBER(BB858))),0,1))&gt;0,"; An invoice is incomplete (needs No, Date and a number in Ex GST)","")&amp;IF((IF(T858="",0,IFERROR(--(EOMONTH(T858,0)&lt;&gt;S$5),1))+IF(W858="",0,IFERROR(--(EOMONTH(W858,0)&lt;&gt;V$5),1))+IF(Z858="",0,IFERROR(--(EOMONTH(Z858,0)&lt;&gt;Y$5),1))+IF(AC858="",0,IFERROR(--(EOMONTH(AC858,0)&lt;&gt;AB$5),1))+IF(AF858="",0,IFERROR(--(EOMONTH(AF858,0)&lt;&gt;AE$5),1))+IF(AI858="",0,IFERROR(--(EOMONTH(AI858,0)&lt;&gt;AH$5),1))+IF(AL858="",0,IFERROR(--(EOMONTH(AL858,0)&lt;&gt;AK$5),1))+IF(AO858="",0,IFERROR(--(EOMONTH(AO858,0)&lt;&gt;AN$5),1))+IF(AR858="",0,IFERROR(--(EOMONTH(AR858,0)&lt;&gt;AQ$5),1))+IF(AU858="",0,IFERROR(--(EOMONTH(AU858,0)&lt;&gt;AT$5),1))+IF(AX858="",0,IFERROR(--(EOMONTH(AX858,0)&lt;&gt;AW$5),1))+IF(BA858="",0,IFERROR(--(EOMONTH(BA858,0)&lt;&gt;AZ$5),1)))&gt;0,"; An invoice date is not in the month it is typed under",""),3,500))</f>
        <v/>
      </c>
      <c r="S858" s="12" t="n"/>
      <c r="T858" s="13" t="n"/>
      <c r="U858" s="14" t="n"/>
      <c r="V858" s="12" t="n"/>
      <c r="W858" s="13" t="n"/>
      <c r="X858" s="14" t="n"/>
      <c r="Y858" s="12" t="n"/>
      <c r="Z858" s="13" t="n"/>
      <c r="AA858" s="14" t="n"/>
      <c r="AB858" s="12" t="n"/>
      <c r="AC858" s="13" t="n"/>
      <c r="AD858" s="14" t="n"/>
      <c r="AE858" s="12" t="n"/>
      <c r="AF858" s="13" t="n"/>
      <c r="AG858" s="14" t="n"/>
      <c r="AH858" s="12" t="n"/>
      <c r="AI858" s="13" t="n"/>
      <c r="AJ858" s="14" t="n"/>
      <c r="AK858" s="12" t="n"/>
      <c r="AL858" s="13" t="n"/>
      <c r="AM858" s="14" t="n"/>
      <c r="AN858" s="12" t="n"/>
      <c r="AO858" s="13" t="n"/>
      <c r="AP858" s="14" t="n"/>
      <c r="AQ858" s="12" t="n"/>
      <c r="AR858" s="13" t="n"/>
      <c r="AS858" s="14" t="n"/>
      <c r="AT858" s="12" t="n"/>
      <c r="AU858" s="13" t="n"/>
      <c r="AV858" s="14" t="n"/>
      <c r="AW858" s="12" t="n"/>
      <c r="AX858" s="13" t="n"/>
      <c r="AY858" s="14" t="n"/>
      <c r="AZ858" s="12" t="n"/>
      <c r="BA858" s="13" t="n"/>
      <c r="BB858" s="14" t="n"/>
      <c r="BC858" s="11">
        <f>IF(O858="","",IF(J858="GST 10%",ROUND(O858*set_GSTRate,2),0))</f>
        <v/>
      </c>
      <c r="BD858" s="11">
        <f>IF(O858="","",O858+BC858)</f>
        <v/>
      </c>
      <c r="BE858" s="15">
        <f>IF(O858="","",COUNTA(S858,V858,Y858,AB858,AE858,AH858,AK858,AN858,AQ858,AT858,AW858,AZ858))</f>
        <v/>
      </c>
      <c r="BF858" s="16">
        <f>IF(COUNT(T858,W858,Z858,AC858,AF858,AI858,AL858,AO858,AR858,AU858,AX858,BA858)=0,"",MAX(T858,W858,Z858,AC858,AF858,AI858,AL858,AO858,AR858,AU858,AX858,BA858))</f>
        <v/>
      </c>
      <c r="BG858" s="10">
        <f>MID(IF(S858="","",", "&amp;S858)&amp;IF(V858="","",", "&amp;V858)&amp;IF(Y858="","",", "&amp;Y858)&amp;IF(AB858="","",", "&amp;AB858)&amp;IF(AE858="","",", "&amp;AE858)&amp;IF(AH858="","",", "&amp;AH858)&amp;IF(AK858="","",", "&amp;AK858)&amp;IF(AN858="","",", "&amp;AN858)&amp;IF(AQ858="","",", "&amp;AQ858)&amp;IF(AT858="","",", "&amp;AT858)&amp;IF(AW858="","",", "&amp;AW858)&amp;IF(AZ858="","",", "&amp;AZ858),3,500)</f>
        <v/>
      </c>
      <c r="BH858" s="12" t="n"/>
      <c r="BI858" s="15">
        <f>IFERROR(MATCH($A858,IF($B858="Onsite",tbl_Onsite[Row ID],IF($B858="Production",tbl_Production[Row ID],tbl_Consulting[Row ID])),0),"")</f>
        <v/>
      </c>
    </row>
    <row r="859">
      <c r="A859" s="10" t="inlineStr">
        <is>
          <t>PRD-0353</t>
        </is>
      </c>
      <c r="B859" s="10" t="inlineStr">
        <is>
          <t>Production</t>
        </is>
      </c>
      <c r="C859" s="10">
        <f>IF($BI859="","",IF($B859="Onsite",INDEX(tbl_Onsite[Job Number],$BI859),IF($B859="Production",INDEX(tbl_Production[Job Number],$BI859),INDEX(tbl_Consulting[Job Number],$BI859)))&amp;"")</f>
        <v/>
      </c>
      <c r="D859" s="10">
        <f>IF($BI859="","",IF($B859="Onsite",INDEX(tbl_Onsite[Client],$BI859),IF($B859="Production",INDEX(tbl_Production[Client],$BI859),INDEX(tbl_Consulting[Client],$BI859)))&amp;"")</f>
        <v/>
      </c>
      <c r="E859" s="10">
        <f>IF($C859="","",IF(COUNTIF(lst_Jobs,$C859)&gt;0,"OK","CHECK"))</f>
        <v/>
      </c>
      <c r="F859" s="10">
        <f>IF($C859="","",IFERROR(INDEX(lst_JobName,MATCH($C859,lst_Jobs,0)),""))</f>
        <v/>
      </c>
      <c r="G859" s="10">
        <f>IF($BI859="","",IF($B859="Onsite",INDEX(tbl_Onsite[Job Description],$BI859),IF($B859="Production",INDEX(tbl_Production[Job Description],$BI859),INDEX(tbl_Consulting[Job Description],$BI859)))&amp;"")</f>
        <v/>
      </c>
      <c r="H859" s="10">
        <f>IF($BI859="","",IF($B859="Onsite",INDEX(tbl_Onsite[Cost Centre],$BI859),IF($B859="Production",INDEX(tbl_Production[Cost Centre],$BI859),INDEX(tbl_Consulting[Cost Centre],$BI859)))&amp;"")</f>
        <v/>
      </c>
      <c r="I859" s="10">
        <f>IF($BI859="","",IF($B859="Onsite",INDEX(tbl_Onsite[Invoice Type],$BI859),IF($B859="Production",INDEX(tbl_Production[Invoice Type],$BI859),INDEX(tbl_Consulting[Invoice Type],$BI859)))&amp;"")</f>
        <v/>
      </c>
      <c r="J859" s="10">
        <f>IF($BI859="","",IF($B859="Onsite",INDEX(tbl_Onsite[Tax Code],$BI859),IF($B859="Production",INDEX(tbl_Production[Tax Code],$BI859),INDEX(tbl_Consulting[Tax Code],$BI859)))&amp;"")</f>
        <v/>
      </c>
      <c r="K859" s="10">
        <f>IF(H859="","",IFERROR(INDEX(lst_CCtoGL,MATCH(H859,lst_CCforGL,0)),""))</f>
        <v/>
      </c>
      <c r="L859" s="10">
        <f>IF($BI859="","",IF($B859="Onsite",INDEX(tbl_Onsite[PO / Reference],$BI859),IF($B859="Production",INDEX(tbl_Production[Current RMS No],$BI859),INDEX(tbl_Consulting[Qwilr Quote],$BI859)))&amp;"")</f>
        <v/>
      </c>
      <c r="M859" s="10">
        <f>IF($BI859="","",IF($B859="Onsite",INDEX(tbl_Onsite[Notes],$BI859),IF($B859="Production",INDEX(tbl_Production[Notes],$BI859),INDEX(tbl_Consulting[Notes],$BI859)))&amp;"")</f>
        <v/>
      </c>
      <c r="N859" s="11">
        <f>IF($BI859="","",IF(IF($B859="Onsite",INDEX(tbl_Onsite[Expected Revenue Ex GST],$BI859),IF($B859="Production",INDEX(tbl_Production[Expected Revenue Ex GST],$BI859),INDEX(tbl_Consulting[Expected Revenue Ex GST],$BI859)))="","",IF($B859="Onsite",INDEX(tbl_Onsite[Expected Revenue Ex GST],$BI859),IF($B859="Production",INDEX(tbl_Production[Expected Revenue Ex GST],$BI859),INDEX(tbl_Consulting[Expected Revenue Ex GST],$BI859)))))</f>
        <v/>
      </c>
      <c r="O859" s="11">
        <f>IF(AND($C859="",NOT(COUNTA($S859:$BB859)&gt;0)),"",SUM(U859,X859,AA859,AD859,AG859,AJ859,AM859,AP859,AS859,AV859,AY859,BB859))</f>
        <v/>
      </c>
      <c r="P859" s="11">
        <f>IF(O859="","",N(N859)-O859)</f>
        <v/>
      </c>
      <c r="Q859" s="10">
        <f>IF(O859="","",IF($C859="","Invoice on empty job row",IF(N859="",IF(ROUND(O859,2)=0,"No dept value","Invoiced - no dept value"),IF(ROUND(O859,2)=0,"Not invoiced - to invoice",IF(ROUND(P859,2)=0,"Agrees",IF(P859&gt;0,"Dept higher - to invoice","Xero higher - check dept"))))))</f>
        <v/>
      </c>
      <c r="R859" s="10">
        <f>IF(AND($C859="",NOT(COUNTA($S859:$BB859)&gt;0),$BI859&lt;&gt;""),"",MID(IF($BI859="","; Row ID not found on the department sheet - a row was deleted","")&amp;IF(AND($C859="",COUNTA($S859:$BB859)&gt;0),"; Invoice entered but the department row has no job number","")&amp;IF(E859="CHECK","; Job number not in the Xero job list","")&amp;IF(AND($C859&lt;&gt;"",COUNTIF($C$7:$C$1506,$C859)&gt;1),"; Job number on more than one row","")&amp;IF(AND($C859&lt;&gt;"",H859=""),"; Dept has not set a cost centre","")&amp;IF(AND($C859&lt;&gt;"",J859=""),"; Dept has not set a tax code","")&amp;IF(AND($C859&lt;&gt;"",N859=""),"; Dept has not entered an expected value","")&amp;IF((IF(OR(COUNTA(S859:U859)=0,AND(COUNTA(S859:U859)=3,ISNUMBER(U859))),0,1)+IF(OR(COUNTA(V859:X859)=0,AND(COUNTA(V859:X859)=3,ISNUMBER(X859))),0,1)+IF(OR(COUNTA(Y859:AA859)=0,AND(COUNTA(Y859:AA859)=3,ISNUMBER(AA859))),0,1)+IF(OR(COUNTA(AB859:AD859)=0,AND(COUNTA(AB859:AD859)=3,ISNUMBER(AD859))),0,1)+IF(OR(COUNTA(AE859:AG859)=0,AND(COUNTA(AE859:AG859)=3,ISNUMBER(AG859))),0,1)+IF(OR(COUNTA(AH859:AJ859)=0,AND(COUNTA(AH859:AJ859)=3,ISNUMBER(AJ859))),0,1)+IF(OR(COUNTA(AK859:AM859)=0,AND(COUNTA(AK859:AM859)=3,ISNUMBER(AM859))),0,1)+IF(OR(COUNTA(AN859:AP859)=0,AND(COUNTA(AN859:AP859)=3,ISNUMBER(AP859))),0,1)+IF(OR(COUNTA(AQ859:AS859)=0,AND(COUNTA(AQ859:AS859)=3,ISNUMBER(AS859))),0,1)+IF(OR(COUNTA(AT859:AV859)=0,AND(COUNTA(AT859:AV859)=3,ISNUMBER(AV859))),0,1)+IF(OR(COUNTA(AW859:AY859)=0,AND(COUNTA(AW859:AY859)=3,ISNUMBER(AY859))),0,1)+IF(OR(COUNTA(AZ859:BB859)=0,AND(COUNTA(AZ859:BB859)=3,ISNUMBER(BB859))),0,1))&gt;0,"; An invoice is incomplete (needs No, Date and a number in Ex GST)","")&amp;IF((IF(T859="",0,IFERROR(--(EOMONTH(T859,0)&lt;&gt;S$5),1))+IF(W859="",0,IFERROR(--(EOMONTH(W859,0)&lt;&gt;V$5),1))+IF(Z859="",0,IFERROR(--(EOMONTH(Z859,0)&lt;&gt;Y$5),1))+IF(AC859="",0,IFERROR(--(EOMONTH(AC859,0)&lt;&gt;AB$5),1))+IF(AF859="",0,IFERROR(--(EOMONTH(AF859,0)&lt;&gt;AE$5),1))+IF(AI859="",0,IFERROR(--(EOMONTH(AI859,0)&lt;&gt;AH$5),1))+IF(AL859="",0,IFERROR(--(EOMONTH(AL859,0)&lt;&gt;AK$5),1))+IF(AO859="",0,IFERROR(--(EOMONTH(AO859,0)&lt;&gt;AN$5),1))+IF(AR859="",0,IFERROR(--(EOMONTH(AR859,0)&lt;&gt;AQ$5),1))+IF(AU859="",0,IFERROR(--(EOMONTH(AU859,0)&lt;&gt;AT$5),1))+IF(AX859="",0,IFERROR(--(EOMONTH(AX859,0)&lt;&gt;AW$5),1))+IF(BA859="",0,IFERROR(--(EOMONTH(BA859,0)&lt;&gt;AZ$5),1)))&gt;0,"; An invoice date is not in the month it is typed under",""),3,500))</f>
        <v/>
      </c>
      <c r="S859" s="12" t="n"/>
      <c r="T859" s="13" t="n"/>
      <c r="U859" s="14" t="n"/>
      <c r="V859" s="12" t="n"/>
      <c r="W859" s="13" t="n"/>
      <c r="X859" s="14" t="n"/>
      <c r="Y859" s="12" t="n"/>
      <c r="Z859" s="13" t="n"/>
      <c r="AA859" s="14" t="n"/>
      <c r="AB859" s="12" t="n"/>
      <c r="AC859" s="13" t="n"/>
      <c r="AD859" s="14" t="n"/>
      <c r="AE859" s="12" t="n"/>
      <c r="AF859" s="13" t="n"/>
      <c r="AG859" s="14" t="n"/>
      <c r="AH859" s="12" t="n"/>
      <c r="AI859" s="13" t="n"/>
      <c r="AJ859" s="14" t="n"/>
      <c r="AK859" s="12" t="n"/>
      <c r="AL859" s="13" t="n"/>
      <c r="AM859" s="14" t="n"/>
      <c r="AN859" s="12" t="n"/>
      <c r="AO859" s="13" t="n"/>
      <c r="AP859" s="14" t="n"/>
      <c r="AQ859" s="12" t="n"/>
      <c r="AR859" s="13" t="n"/>
      <c r="AS859" s="14" t="n"/>
      <c r="AT859" s="12" t="n"/>
      <c r="AU859" s="13" t="n"/>
      <c r="AV859" s="14" t="n"/>
      <c r="AW859" s="12" t="n"/>
      <c r="AX859" s="13" t="n"/>
      <c r="AY859" s="14" t="n"/>
      <c r="AZ859" s="12" t="n"/>
      <c r="BA859" s="13" t="n"/>
      <c r="BB859" s="14" t="n"/>
      <c r="BC859" s="11">
        <f>IF(O859="","",IF(J859="GST 10%",ROUND(O859*set_GSTRate,2),0))</f>
        <v/>
      </c>
      <c r="BD859" s="11">
        <f>IF(O859="","",O859+BC859)</f>
        <v/>
      </c>
      <c r="BE859" s="15">
        <f>IF(O859="","",COUNTA(S859,V859,Y859,AB859,AE859,AH859,AK859,AN859,AQ859,AT859,AW859,AZ859))</f>
        <v/>
      </c>
      <c r="BF859" s="16">
        <f>IF(COUNT(T859,W859,Z859,AC859,AF859,AI859,AL859,AO859,AR859,AU859,AX859,BA859)=0,"",MAX(T859,W859,Z859,AC859,AF859,AI859,AL859,AO859,AR859,AU859,AX859,BA859))</f>
        <v/>
      </c>
      <c r="BG859" s="10">
        <f>MID(IF(S859="","",", "&amp;S859)&amp;IF(V859="","",", "&amp;V859)&amp;IF(Y859="","",", "&amp;Y859)&amp;IF(AB859="","",", "&amp;AB859)&amp;IF(AE859="","",", "&amp;AE859)&amp;IF(AH859="","",", "&amp;AH859)&amp;IF(AK859="","",", "&amp;AK859)&amp;IF(AN859="","",", "&amp;AN859)&amp;IF(AQ859="","",", "&amp;AQ859)&amp;IF(AT859="","",", "&amp;AT859)&amp;IF(AW859="","",", "&amp;AW859)&amp;IF(AZ859="","",", "&amp;AZ859),3,500)</f>
        <v/>
      </c>
      <c r="BH859" s="12" t="n"/>
      <c r="BI859" s="15">
        <f>IFERROR(MATCH($A859,IF($B859="Onsite",tbl_Onsite[Row ID],IF($B859="Production",tbl_Production[Row ID],tbl_Consulting[Row ID])),0),"")</f>
        <v/>
      </c>
    </row>
    <row r="860">
      <c r="A860" s="10" t="inlineStr">
        <is>
          <t>PRD-0354</t>
        </is>
      </c>
      <c r="B860" s="10" t="inlineStr">
        <is>
          <t>Production</t>
        </is>
      </c>
      <c r="C860" s="10">
        <f>IF($BI860="","",IF($B860="Onsite",INDEX(tbl_Onsite[Job Number],$BI860),IF($B860="Production",INDEX(tbl_Production[Job Number],$BI860),INDEX(tbl_Consulting[Job Number],$BI860)))&amp;"")</f>
        <v/>
      </c>
      <c r="D860" s="10">
        <f>IF($BI860="","",IF($B860="Onsite",INDEX(tbl_Onsite[Client],$BI860),IF($B860="Production",INDEX(tbl_Production[Client],$BI860),INDEX(tbl_Consulting[Client],$BI860)))&amp;"")</f>
        <v/>
      </c>
      <c r="E860" s="10">
        <f>IF($C860="","",IF(COUNTIF(lst_Jobs,$C860)&gt;0,"OK","CHECK"))</f>
        <v/>
      </c>
      <c r="F860" s="10">
        <f>IF($C860="","",IFERROR(INDEX(lst_JobName,MATCH($C860,lst_Jobs,0)),""))</f>
        <v/>
      </c>
      <c r="G860" s="10">
        <f>IF($BI860="","",IF($B860="Onsite",INDEX(tbl_Onsite[Job Description],$BI860),IF($B860="Production",INDEX(tbl_Production[Job Description],$BI860),INDEX(tbl_Consulting[Job Description],$BI860)))&amp;"")</f>
        <v/>
      </c>
      <c r="H860" s="10">
        <f>IF($BI860="","",IF($B860="Onsite",INDEX(tbl_Onsite[Cost Centre],$BI860),IF($B860="Production",INDEX(tbl_Production[Cost Centre],$BI860),INDEX(tbl_Consulting[Cost Centre],$BI860)))&amp;"")</f>
        <v/>
      </c>
      <c r="I860" s="10">
        <f>IF($BI860="","",IF($B860="Onsite",INDEX(tbl_Onsite[Invoice Type],$BI860),IF($B860="Production",INDEX(tbl_Production[Invoice Type],$BI860),INDEX(tbl_Consulting[Invoice Type],$BI860)))&amp;"")</f>
        <v/>
      </c>
      <c r="J860" s="10">
        <f>IF($BI860="","",IF($B860="Onsite",INDEX(tbl_Onsite[Tax Code],$BI860),IF($B860="Production",INDEX(tbl_Production[Tax Code],$BI860),INDEX(tbl_Consulting[Tax Code],$BI860)))&amp;"")</f>
        <v/>
      </c>
      <c r="K860" s="10">
        <f>IF(H860="","",IFERROR(INDEX(lst_CCtoGL,MATCH(H860,lst_CCforGL,0)),""))</f>
        <v/>
      </c>
      <c r="L860" s="10">
        <f>IF($BI860="","",IF($B860="Onsite",INDEX(tbl_Onsite[PO / Reference],$BI860),IF($B860="Production",INDEX(tbl_Production[Current RMS No],$BI860),INDEX(tbl_Consulting[Qwilr Quote],$BI860)))&amp;"")</f>
        <v/>
      </c>
      <c r="M860" s="10">
        <f>IF($BI860="","",IF($B860="Onsite",INDEX(tbl_Onsite[Notes],$BI860),IF($B860="Production",INDEX(tbl_Production[Notes],$BI860),INDEX(tbl_Consulting[Notes],$BI860)))&amp;"")</f>
        <v/>
      </c>
      <c r="N860" s="11">
        <f>IF($BI860="","",IF(IF($B860="Onsite",INDEX(tbl_Onsite[Expected Revenue Ex GST],$BI860),IF($B860="Production",INDEX(tbl_Production[Expected Revenue Ex GST],$BI860),INDEX(tbl_Consulting[Expected Revenue Ex GST],$BI860)))="","",IF($B860="Onsite",INDEX(tbl_Onsite[Expected Revenue Ex GST],$BI860),IF($B860="Production",INDEX(tbl_Production[Expected Revenue Ex GST],$BI860),INDEX(tbl_Consulting[Expected Revenue Ex GST],$BI860)))))</f>
        <v/>
      </c>
      <c r="O860" s="11">
        <f>IF(AND($C860="",NOT(COUNTA($S860:$BB860)&gt;0)),"",SUM(U860,X860,AA860,AD860,AG860,AJ860,AM860,AP860,AS860,AV860,AY860,BB860))</f>
        <v/>
      </c>
      <c r="P860" s="11">
        <f>IF(O860="","",N(N860)-O860)</f>
        <v/>
      </c>
      <c r="Q860" s="10">
        <f>IF(O860="","",IF($C860="","Invoice on empty job row",IF(N860="",IF(ROUND(O860,2)=0,"No dept value","Invoiced - no dept value"),IF(ROUND(O860,2)=0,"Not invoiced - to invoice",IF(ROUND(P860,2)=0,"Agrees",IF(P860&gt;0,"Dept higher - to invoice","Xero higher - check dept"))))))</f>
        <v/>
      </c>
      <c r="R860" s="10">
        <f>IF(AND($C860="",NOT(COUNTA($S860:$BB860)&gt;0),$BI860&lt;&gt;""),"",MID(IF($BI860="","; Row ID not found on the department sheet - a row was deleted","")&amp;IF(AND($C860="",COUNTA($S860:$BB860)&gt;0),"; Invoice entered but the department row has no job number","")&amp;IF(E860="CHECK","; Job number not in the Xero job list","")&amp;IF(AND($C860&lt;&gt;"",COUNTIF($C$7:$C$1506,$C860)&gt;1),"; Job number on more than one row","")&amp;IF(AND($C860&lt;&gt;"",H860=""),"; Dept has not set a cost centre","")&amp;IF(AND($C860&lt;&gt;"",J860=""),"; Dept has not set a tax code","")&amp;IF(AND($C860&lt;&gt;"",N860=""),"; Dept has not entered an expected value","")&amp;IF((IF(OR(COUNTA(S860:U860)=0,AND(COUNTA(S860:U860)=3,ISNUMBER(U860))),0,1)+IF(OR(COUNTA(V860:X860)=0,AND(COUNTA(V860:X860)=3,ISNUMBER(X860))),0,1)+IF(OR(COUNTA(Y860:AA860)=0,AND(COUNTA(Y860:AA860)=3,ISNUMBER(AA860))),0,1)+IF(OR(COUNTA(AB860:AD860)=0,AND(COUNTA(AB860:AD860)=3,ISNUMBER(AD860))),0,1)+IF(OR(COUNTA(AE860:AG860)=0,AND(COUNTA(AE860:AG860)=3,ISNUMBER(AG860))),0,1)+IF(OR(COUNTA(AH860:AJ860)=0,AND(COUNTA(AH860:AJ860)=3,ISNUMBER(AJ860))),0,1)+IF(OR(COUNTA(AK860:AM860)=0,AND(COUNTA(AK860:AM860)=3,ISNUMBER(AM860))),0,1)+IF(OR(COUNTA(AN860:AP860)=0,AND(COUNTA(AN860:AP860)=3,ISNUMBER(AP860))),0,1)+IF(OR(COUNTA(AQ860:AS860)=0,AND(COUNTA(AQ860:AS860)=3,ISNUMBER(AS860))),0,1)+IF(OR(COUNTA(AT860:AV860)=0,AND(COUNTA(AT860:AV860)=3,ISNUMBER(AV860))),0,1)+IF(OR(COUNTA(AW860:AY860)=0,AND(COUNTA(AW860:AY860)=3,ISNUMBER(AY860))),0,1)+IF(OR(COUNTA(AZ860:BB860)=0,AND(COUNTA(AZ860:BB860)=3,ISNUMBER(BB860))),0,1))&gt;0,"; An invoice is incomplete (needs No, Date and a number in Ex GST)","")&amp;IF((IF(T860="",0,IFERROR(--(EOMONTH(T860,0)&lt;&gt;S$5),1))+IF(W860="",0,IFERROR(--(EOMONTH(W860,0)&lt;&gt;V$5),1))+IF(Z860="",0,IFERROR(--(EOMONTH(Z860,0)&lt;&gt;Y$5),1))+IF(AC860="",0,IFERROR(--(EOMONTH(AC860,0)&lt;&gt;AB$5),1))+IF(AF860="",0,IFERROR(--(EOMONTH(AF860,0)&lt;&gt;AE$5),1))+IF(AI860="",0,IFERROR(--(EOMONTH(AI860,0)&lt;&gt;AH$5),1))+IF(AL860="",0,IFERROR(--(EOMONTH(AL860,0)&lt;&gt;AK$5),1))+IF(AO860="",0,IFERROR(--(EOMONTH(AO860,0)&lt;&gt;AN$5),1))+IF(AR860="",0,IFERROR(--(EOMONTH(AR860,0)&lt;&gt;AQ$5),1))+IF(AU860="",0,IFERROR(--(EOMONTH(AU860,0)&lt;&gt;AT$5),1))+IF(AX860="",0,IFERROR(--(EOMONTH(AX860,0)&lt;&gt;AW$5),1))+IF(BA860="",0,IFERROR(--(EOMONTH(BA860,0)&lt;&gt;AZ$5),1)))&gt;0,"; An invoice date is not in the month it is typed under",""),3,500))</f>
        <v/>
      </c>
      <c r="S860" s="12" t="n"/>
      <c r="T860" s="13" t="n"/>
      <c r="U860" s="14" t="n"/>
      <c r="V860" s="12" t="n"/>
      <c r="W860" s="13" t="n"/>
      <c r="X860" s="14" t="n"/>
      <c r="Y860" s="12" t="n"/>
      <c r="Z860" s="13" t="n"/>
      <c r="AA860" s="14" t="n"/>
      <c r="AB860" s="12" t="n"/>
      <c r="AC860" s="13" t="n"/>
      <c r="AD860" s="14" t="n"/>
      <c r="AE860" s="12" t="n"/>
      <c r="AF860" s="13" t="n"/>
      <c r="AG860" s="14" t="n"/>
      <c r="AH860" s="12" t="n"/>
      <c r="AI860" s="13" t="n"/>
      <c r="AJ860" s="14" t="n"/>
      <c r="AK860" s="12" t="n"/>
      <c r="AL860" s="13" t="n"/>
      <c r="AM860" s="14" t="n"/>
      <c r="AN860" s="12" t="n"/>
      <c r="AO860" s="13" t="n"/>
      <c r="AP860" s="14" t="n"/>
      <c r="AQ860" s="12" t="n"/>
      <c r="AR860" s="13" t="n"/>
      <c r="AS860" s="14" t="n"/>
      <c r="AT860" s="12" t="n"/>
      <c r="AU860" s="13" t="n"/>
      <c r="AV860" s="14" t="n"/>
      <c r="AW860" s="12" t="n"/>
      <c r="AX860" s="13" t="n"/>
      <c r="AY860" s="14" t="n"/>
      <c r="AZ860" s="12" t="n"/>
      <c r="BA860" s="13" t="n"/>
      <c r="BB860" s="14" t="n"/>
      <c r="BC860" s="11">
        <f>IF(O860="","",IF(J860="GST 10%",ROUND(O860*set_GSTRate,2),0))</f>
        <v/>
      </c>
      <c r="BD860" s="11">
        <f>IF(O860="","",O860+BC860)</f>
        <v/>
      </c>
      <c r="BE860" s="15">
        <f>IF(O860="","",COUNTA(S860,V860,Y860,AB860,AE860,AH860,AK860,AN860,AQ860,AT860,AW860,AZ860))</f>
        <v/>
      </c>
      <c r="BF860" s="16">
        <f>IF(COUNT(T860,W860,Z860,AC860,AF860,AI860,AL860,AO860,AR860,AU860,AX860,BA860)=0,"",MAX(T860,W860,Z860,AC860,AF860,AI860,AL860,AO860,AR860,AU860,AX860,BA860))</f>
        <v/>
      </c>
      <c r="BG860" s="10">
        <f>MID(IF(S860="","",", "&amp;S860)&amp;IF(V860="","",", "&amp;V860)&amp;IF(Y860="","",", "&amp;Y860)&amp;IF(AB860="","",", "&amp;AB860)&amp;IF(AE860="","",", "&amp;AE860)&amp;IF(AH860="","",", "&amp;AH860)&amp;IF(AK860="","",", "&amp;AK860)&amp;IF(AN860="","",", "&amp;AN860)&amp;IF(AQ860="","",", "&amp;AQ860)&amp;IF(AT860="","",", "&amp;AT860)&amp;IF(AW860="","",", "&amp;AW860)&amp;IF(AZ860="","",", "&amp;AZ860),3,500)</f>
        <v/>
      </c>
      <c r="BH860" s="12" t="n"/>
      <c r="BI860" s="15">
        <f>IFERROR(MATCH($A860,IF($B860="Onsite",tbl_Onsite[Row ID],IF($B860="Production",tbl_Production[Row ID],tbl_Consulting[Row ID])),0),"")</f>
        <v/>
      </c>
    </row>
    <row r="861">
      <c r="A861" s="10" t="inlineStr">
        <is>
          <t>PRD-0355</t>
        </is>
      </c>
      <c r="B861" s="10" t="inlineStr">
        <is>
          <t>Production</t>
        </is>
      </c>
      <c r="C861" s="10">
        <f>IF($BI861="","",IF($B861="Onsite",INDEX(tbl_Onsite[Job Number],$BI861),IF($B861="Production",INDEX(tbl_Production[Job Number],$BI861),INDEX(tbl_Consulting[Job Number],$BI861)))&amp;"")</f>
        <v/>
      </c>
      <c r="D861" s="10">
        <f>IF($BI861="","",IF($B861="Onsite",INDEX(tbl_Onsite[Client],$BI861),IF($B861="Production",INDEX(tbl_Production[Client],$BI861),INDEX(tbl_Consulting[Client],$BI861)))&amp;"")</f>
        <v/>
      </c>
      <c r="E861" s="10">
        <f>IF($C861="","",IF(COUNTIF(lst_Jobs,$C861)&gt;0,"OK","CHECK"))</f>
        <v/>
      </c>
      <c r="F861" s="10">
        <f>IF($C861="","",IFERROR(INDEX(lst_JobName,MATCH($C861,lst_Jobs,0)),""))</f>
        <v/>
      </c>
      <c r="G861" s="10">
        <f>IF($BI861="","",IF($B861="Onsite",INDEX(tbl_Onsite[Job Description],$BI861),IF($B861="Production",INDEX(tbl_Production[Job Description],$BI861),INDEX(tbl_Consulting[Job Description],$BI861)))&amp;"")</f>
        <v/>
      </c>
      <c r="H861" s="10">
        <f>IF($BI861="","",IF($B861="Onsite",INDEX(tbl_Onsite[Cost Centre],$BI861),IF($B861="Production",INDEX(tbl_Production[Cost Centre],$BI861),INDEX(tbl_Consulting[Cost Centre],$BI861)))&amp;"")</f>
        <v/>
      </c>
      <c r="I861" s="10">
        <f>IF($BI861="","",IF($B861="Onsite",INDEX(tbl_Onsite[Invoice Type],$BI861),IF($B861="Production",INDEX(tbl_Production[Invoice Type],$BI861),INDEX(tbl_Consulting[Invoice Type],$BI861)))&amp;"")</f>
        <v/>
      </c>
      <c r="J861" s="10">
        <f>IF($BI861="","",IF($B861="Onsite",INDEX(tbl_Onsite[Tax Code],$BI861),IF($B861="Production",INDEX(tbl_Production[Tax Code],$BI861),INDEX(tbl_Consulting[Tax Code],$BI861)))&amp;"")</f>
        <v/>
      </c>
      <c r="K861" s="10">
        <f>IF(H861="","",IFERROR(INDEX(lst_CCtoGL,MATCH(H861,lst_CCforGL,0)),""))</f>
        <v/>
      </c>
      <c r="L861" s="10">
        <f>IF($BI861="","",IF($B861="Onsite",INDEX(tbl_Onsite[PO / Reference],$BI861),IF($B861="Production",INDEX(tbl_Production[Current RMS No],$BI861),INDEX(tbl_Consulting[Qwilr Quote],$BI861)))&amp;"")</f>
        <v/>
      </c>
      <c r="M861" s="10">
        <f>IF($BI861="","",IF($B861="Onsite",INDEX(tbl_Onsite[Notes],$BI861),IF($B861="Production",INDEX(tbl_Production[Notes],$BI861),INDEX(tbl_Consulting[Notes],$BI861)))&amp;"")</f>
        <v/>
      </c>
      <c r="N861" s="11">
        <f>IF($BI861="","",IF(IF($B861="Onsite",INDEX(tbl_Onsite[Expected Revenue Ex GST],$BI861),IF($B861="Production",INDEX(tbl_Production[Expected Revenue Ex GST],$BI861),INDEX(tbl_Consulting[Expected Revenue Ex GST],$BI861)))="","",IF($B861="Onsite",INDEX(tbl_Onsite[Expected Revenue Ex GST],$BI861),IF($B861="Production",INDEX(tbl_Production[Expected Revenue Ex GST],$BI861),INDEX(tbl_Consulting[Expected Revenue Ex GST],$BI861)))))</f>
        <v/>
      </c>
      <c r="O861" s="11">
        <f>IF(AND($C861="",NOT(COUNTA($S861:$BB861)&gt;0)),"",SUM(U861,X861,AA861,AD861,AG861,AJ861,AM861,AP861,AS861,AV861,AY861,BB861))</f>
        <v/>
      </c>
      <c r="P861" s="11">
        <f>IF(O861="","",N(N861)-O861)</f>
        <v/>
      </c>
      <c r="Q861" s="10">
        <f>IF(O861="","",IF($C861="","Invoice on empty job row",IF(N861="",IF(ROUND(O861,2)=0,"No dept value","Invoiced - no dept value"),IF(ROUND(O861,2)=0,"Not invoiced - to invoice",IF(ROUND(P861,2)=0,"Agrees",IF(P861&gt;0,"Dept higher - to invoice","Xero higher - check dept"))))))</f>
        <v/>
      </c>
      <c r="R861" s="10">
        <f>IF(AND($C861="",NOT(COUNTA($S861:$BB861)&gt;0),$BI861&lt;&gt;""),"",MID(IF($BI861="","; Row ID not found on the department sheet - a row was deleted","")&amp;IF(AND($C861="",COUNTA($S861:$BB861)&gt;0),"; Invoice entered but the department row has no job number","")&amp;IF(E861="CHECK","; Job number not in the Xero job list","")&amp;IF(AND($C861&lt;&gt;"",COUNTIF($C$7:$C$1506,$C861)&gt;1),"; Job number on more than one row","")&amp;IF(AND($C861&lt;&gt;"",H861=""),"; Dept has not set a cost centre","")&amp;IF(AND($C861&lt;&gt;"",J861=""),"; Dept has not set a tax code","")&amp;IF(AND($C861&lt;&gt;"",N861=""),"; Dept has not entered an expected value","")&amp;IF((IF(OR(COUNTA(S861:U861)=0,AND(COUNTA(S861:U861)=3,ISNUMBER(U861))),0,1)+IF(OR(COUNTA(V861:X861)=0,AND(COUNTA(V861:X861)=3,ISNUMBER(X861))),0,1)+IF(OR(COUNTA(Y861:AA861)=0,AND(COUNTA(Y861:AA861)=3,ISNUMBER(AA861))),0,1)+IF(OR(COUNTA(AB861:AD861)=0,AND(COUNTA(AB861:AD861)=3,ISNUMBER(AD861))),0,1)+IF(OR(COUNTA(AE861:AG861)=0,AND(COUNTA(AE861:AG861)=3,ISNUMBER(AG861))),0,1)+IF(OR(COUNTA(AH861:AJ861)=0,AND(COUNTA(AH861:AJ861)=3,ISNUMBER(AJ861))),0,1)+IF(OR(COUNTA(AK861:AM861)=0,AND(COUNTA(AK861:AM861)=3,ISNUMBER(AM861))),0,1)+IF(OR(COUNTA(AN861:AP861)=0,AND(COUNTA(AN861:AP861)=3,ISNUMBER(AP861))),0,1)+IF(OR(COUNTA(AQ861:AS861)=0,AND(COUNTA(AQ861:AS861)=3,ISNUMBER(AS861))),0,1)+IF(OR(COUNTA(AT861:AV861)=0,AND(COUNTA(AT861:AV861)=3,ISNUMBER(AV861))),0,1)+IF(OR(COUNTA(AW861:AY861)=0,AND(COUNTA(AW861:AY861)=3,ISNUMBER(AY861))),0,1)+IF(OR(COUNTA(AZ861:BB861)=0,AND(COUNTA(AZ861:BB861)=3,ISNUMBER(BB861))),0,1))&gt;0,"; An invoice is incomplete (needs No, Date and a number in Ex GST)","")&amp;IF((IF(T861="",0,IFERROR(--(EOMONTH(T861,0)&lt;&gt;S$5),1))+IF(W861="",0,IFERROR(--(EOMONTH(W861,0)&lt;&gt;V$5),1))+IF(Z861="",0,IFERROR(--(EOMONTH(Z861,0)&lt;&gt;Y$5),1))+IF(AC861="",0,IFERROR(--(EOMONTH(AC861,0)&lt;&gt;AB$5),1))+IF(AF861="",0,IFERROR(--(EOMONTH(AF861,0)&lt;&gt;AE$5),1))+IF(AI861="",0,IFERROR(--(EOMONTH(AI861,0)&lt;&gt;AH$5),1))+IF(AL861="",0,IFERROR(--(EOMONTH(AL861,0)&lt;&gt;AK$5),1))+IF(AO861="",0,IFERROR(--(EOMONTH(AO861,0)&lt;&gt;AN$5),1))+IF(AR861="",0,IFERROR(--(EOMONTH(AR861,0)&lt;&gt;AQ$5),1))+IF(AU861="",0,IFERROR(--(EOMONTH(AU861,0)&lt;&gt;AT$5),1))+IF(AX861="",0,IFERROR(--(EOMONTH(AX861,0)&lt;&gt;AW$5),1))+IF(BA861="",0,IFERROR(--(EOMONTH(BA861,0)&lt;&gt;AZ$5),1)))&gt;0,"; An invoice date is not in the month it is typed under",""),3,500))</f>
        <v/>
      </c>
      <c r="S861" s="12" t="n"/>
      <c r="T861" s="13" t="n"/>
      <c r="U861" s="14" t="n"/>
      <c r="V861" s="12" t="n"/>
      <c r="W861" s="13" t="n"/>
      <c r="X861" s="14" t="n"/>
      <c r="Y861" s="12" t="n"/>
      <c r="Z861" s="13" t="n"/>
      <c r="AA861" s="14" t="n"/>
      <c r="AB861" s="12" t="n"/>
      <c r="AC861" s="13" t="n"/>
      <c r="AD861" s="14" t="n"/>
      <c r="AE861" s="12" t="n"/>
      <c r="AF861" s="13" t="n"/>
      <c r="AG861" s="14" t="n"/>
      <c r="AH861" s="12" t="n"/>
      <c r="AI861" s="13" t="n"/>
      <c r="AJ861" s="14" t="n"/>
      <c r="AK861" s="12" t="n"/>
      <c r="AL861" s="13" t="n"/>
      <c r="AM861" s="14" t="n"/>
      <c r="AN861" s="12" t="n"/>
      <c r="AO861" s="13" t="n"/>
      <c r="AP861" s="14" t="n"/>
      <c r="AQ861" s="12" t="n"/>
      <c r="AR861" s="13" t="n"/>
      <c r="AS861" s="14" t="n"/>
      <c r="AT861" s="12" t="n"/>
      <c r="AU861" s="13" t="n"/>
      <c r="AV861" s="14" t="n"/>
      <c r="AW861" s="12" t="n"/>
      <c r="AX861" s="13" t="n"/>
      <c r="AY861" s="14" t="n"/>
      <c r="AZ861" s="12" t="n"/>
      <c r="BA861" s="13" t="n"/>
      <c r="BB861" s="14" t="n"/>
      <c r="BC861" s="11">
        <f>IF(O861="","",IF(J861="GST 10%",ROUND(O861*set_GSTRate,2),0))</f>
        <v/>
      </c>
      <c r="BD861" s="11">
        <f>IF(O861="","",O861+BC861)</f>
        <v/>
      </c>
      <c r="BE861" s="15">
        <f>IF(O861="","",COUNTA(S861,V861,Y861,AB861,AE861,AH861,AK861,AN861,AQ861,AT861,AW861,AZ861))</f>
        <v/>
      </c>
      <c r="BF861" s="16">
        <f>IF(COUNT(T861,W861,Z861,AC861,AF861,AI861,AL861,AO861,AR861,AU861,AX861,BA861)=0,"",MAX(T861,W861,Z861,AC861,AF861,AI861,AL861,AO861,AR861,AU861,AX861,BA861))</f>
        <v/>
      </c>
      <c r="BG861" s="10">
        <f>MID(IF(S861="","",", "&amp;S861)&amp;IF(V861="","",", "&amp;V861)&amp;IF(Y861="","",", "&amp;Y861)&amp;IF(AB861="","",", "&amp;AB861)&amp;IF(AE861="","",", "&amp;AE861)&amp;IF(AH861="","",", "&amp;AH861)&amp;IF(AK861="","",", "&amp;AK861)&amp;IF(AN861="","",", "&amp;AN861)&amp;IF(AQ861="","",", "&amp;AQ861)&amp;IF(AT861="","",", "&amp;AT861)&amp;IF(AW861="","",", "&amp;AW861)&amp;IF(AZ861="","",", "&amp;AZ861),3,500)</f>
        <v/>
      </c>
      <c r="BH861" s="12" t="n"/>
      <c r="BI861" s="15">
        <f>IFERROR(MATCH($A861,IF($B861="Onsite",tbl_Onsite[Row ID],IF($B861="Production",tbl_Production[Row ID],tbl_Consulting[Row ID])),0),"")</f>
        <v/>
      </c>
    </row>
    <row r="862">
      <c r="A862" s="10" t="inlineStr">
        <is>
          <t>PRD-0356</t>
        </is>
      </c>
      <c r="B862" s="10" t="inlineStr">
        <is>
          <t>Production</t>
        </is>
      </c>
      <c r="C862" s="10">
        <f>IF($BI862="","",IF($B862="Onsite",INDEX(tbl_Onsite[Job Number],$BI862),IF($B862="Production",INDEX(tbl_Production[Job Number],$BI862),INDEX(tbl_Consulting[Job Number],$BI862)))&amp;"")</f>
        <v/>
      </c>
      <c r="D862" s="10">
        <f>IF($BI862="","",IF($B862="Onsite",INDEX(tbl_Onsite[Client],$BI862),IF($B862="Production",INDEX(tbl_Production[Client],$BI862),INDEX(tbl_Consulting[Client],$BI862)))&amp;"")</f>
        <v/>
      </c>
      <c r="E862" s="10">
        <f>IF($C862="","",IF(COUNTIF(lst_Jobs,$C862)&gt;0,"OK","CHECK"))</f>
        <v/>
      </c>
      <c r="F862" s="10">
        <f>IF($C862="","",IFERROR(INDEX(lst_JobName,MATCH($C862,lst_Jobs,0)),""))</f>
        <v/>
      </c>
      <c r="G862" s="10">
        <f>IF($BI862="","",IF($B862="Onsite",INDEX(tbl_Onsite[Job Description],$BI862),IF($B862="Production",INDEX(tbl_Production[Job Description],$BI862),INDEX(tbl_Consulting[Job Description],$BI862)))&amp;"")</f>
        <v/>
      </c>
      <c r="H862" s="10">
        <f>IF($BI862="","",IF($B862="Onsite",INDEX(tbl_Onsite[Cost Centre],$BI862),IF($B862="Production",INDEX(tbl_Production[Cost Centre],$BI862),INDEX(tbl_Consulting[Cost Centre],$BI862)))&amp;"")</f>
        <v/>
      </c>
      <c r="I862" s="10">
        <f>IF($BI862="","",IF($B862="Onsite",INDEX(tbl_Onsite[Invoice Type],$BI862),IF($B862="Production",INDEX(tbl_Production[Invoice Type],$BI862),INDEX(tbl_Consulting[Invoice Type],$BI862)))&amp;"")</f>
        <v/>
      </c>
      <c r="J862" s="10">
        <f>IF($BI862="","",IF($B862="Onsite",INDEX(tbl_Onsite[Tax Code],$BI862),IF($B862="Production",INDEX(tbl_Production[Tax Code],$BI862),INDEX(tbl_Consulting[Tax Code],$BI862)))&amp;"")</f>
        <v/>
      </c>
      <c r="K862" s="10">
        <f>IF(H862="","",IFERROR(INDEX(lst_CCtoGL,MATCH(H862,lst_CCforGL,0)),""))</f>
        <v/>
      </c>
      <c r="L862" s="10">
        <f>IF($BI862="","",IF($B862="Onsite",INDEX(tbl_Onsite[PO / Reference],$BI862),IF($B862="Production",INDEX(tbl_Production[Current RMS No],$BI862),INDEX(tbl_Consulting[Qwilr Quote],$BI862)))&amp;"")</f>
        <v/>
      </c>
      <c r="M862" s="10">
        <f>IF($BI862="","",IF($B862="Onsite",INDEX(tbl_Onsite[Notes],$BI862),IF($B862="Production",INDEX(tbl_Production[Notes],$BI862),INDEX(tbl_Consulting[Notes],$BI862)))&amp;"")</f>
        <v/>
      </c>
      <c r="N862" s="11">
        <f>IF($BI862="","",IF(IF($B862="Onsite",INDEX(tbl_Onsite[Expected Revenue Ex GST],$BI862),IF($B862="Production",INDEX(tbl_Production[Expected Revenue Ex GST],$BI862),INDEX(tbl_Consulting[Expected Revenue Ex GST],$BI862)))="","",IF($B862="Onsite",INDEX(tbl_Onsite[Expected Revenue Ex GST],$BI862),IF($B862="Production",INDEX(tbl_Production[Expected Revenue Ex GST],$BI862),INDEX(tbl_Consulting[Expected Revenue Ex GST],$BI862)))))</f>
        <v/>
      </c>
      <c r="O862" s="11">
        <f>IF(AND($C862="",NOT(COUNTA($S862:$BB862)&gt;0)),"",SUM(U862,X862,AA862,AD862,AG862,AJ862,AM862,AP862,AS862,AV862,AY862,BB862))</f>
        <v/>
      </c>
      <c r="P862" s="11">
        <f>IF(O862="","",N(N862)-O862)</f>
        <v/>
      </c>
      <c r="Q862" s="10">
        <f>IF(O862="","",IF($C862="","Invoice on empty job row",IF(N862="",IF(ROUND(O862,2)=0,"No dept value","Invoiced - no dept value"),IF(ROUND(O862,2)=0,"Not invoiced - to invoice",IF(ROUND(P862,2)=0,"Agrees",IF(P862&gt;0,"Dept higher - to invoice","Xero higher - check dept"))))))</f>
        <v/>
      </c>
      <c r="R862" s="10">
        <f>IF(AND($C862="",NOT(COUNTA($S862:$BB862)&gt;0),$BI862&lt;&gt;""),"",MID(IF($BI862="","; Row ID not found on the department sheet - a row was deleted","")&amp;IF(AND($C862="",COUNTA($S862:$BB862)&gt;0),"; Invoice entered but the department row has no job number","")&amp;IF(E862="CHECK","; Job number not in the Xero job list","")&amp;IF(AND($C862&lt;&gt;"",COUNTIF($C$7:$C$1506,$C862)&gt;1),"; Job number on more than one row","")&amp;IF(AND($C862&lt;&gt;"",H862=""),"; Dept has not set a cost centre","")&amp;IF(AND($C862&lt;&gt;"",J862=""),"; Dept has not set a tax code","")&amp;IF(AND($C862&lt;&gt;"",N862=""),"; Dept has not entered an expected value","")&amp;IF((IF(OR(COUNTA(S862:U862)=0,AND(COUNTA(S862:U862)=3,ISNUMBER(U862))),0,1)+IF(OR(COUNTA(V862:X862)=0,AND(COUNTA(V862:X862)=3,ISNUMBER(X862))),0,1)+IF(OR(COUNTA(Y862:AA862)=0,AND(COUNTA(Y862:AA862)=3,ISNUMBER(AA862))),0,1)+IF(OR(COUNTA(AB862:AD862)=0,AND(COUNTA(AB862:AD862)=3,ISNUMBER(AD862))),0,1)+IF(OR(COUNTA(AE862:AG862)=0,AND(COUNTA(AE862:AG862)=3,ISNUMBER(AG862))),0,1)+IF(OR(COUNTA(AH862:AJ862)=0,AND(COUNTA(AH862:AJ862)=3,ISNUMBER(AJ862))),0,1)+IF(OR(COUNTA(AK862:AM862)=0,AND(COUNTA(AK862:AM862)=3,ISNUMBER(AM862))),0,1)+IF(OR(COUNTA(AN862:AP862)=0,AND(COUNTA(AN862:AP862)=3,ISNUMBER(AP862))),0,1)+IF(OR(COUNTA(AQ862:AS862)=0,AND(COUNTA(AQ862:AS862)=3,ISNUMBER(AS862))),0,1)+IF(OR(COUNTA(AT862:AV862)=0,AND(COUNTA(AT862:AV862)=3,ISNUMBER(AV862))),0,1)+IF(OR(COUNTA(AW862:AY862)=0,AND(COUNTA(AW862:AY862)=3,ISNUMBER(AY862))),0,1)+IF(OR(COUNTA(AZ862:BB862)=0,AND(COUNTA(AZ862:BB862)=3,ISNUMBER(BB862))),0,1))&gt;0,"; An invoice is incomplete (needs No, Date and a number in Ex GST)","")&amp;IF((IF(T862="",0,IFERROR(--(EOMONTH(T862,0)&lt;&gt;S$5),1))+IF(W862="",0,IFERROR(--(EOMONTH(W862,0)&lt;&gt;V$5),1))+IF(Z862="",0,IFERROR(--(EOMONTH(Z862,0)&lt;&gt;Y$5),1))+IF(AC862="",0,IFERROR(--(EOMONTH(AC862,0)&lt;&gt;AB$5),1))+IF(AF862="",0,IFERROR(--(EOMONTH(AF862,0)&lt;&gt;AE$5),1))+IF(AI862="",0,IFERROR(--(EOMONTH(AI862,0)&lt;&gt;AH$5),1))+IF(AL862="",0,IFERROR(--(EOMONTH(AL862,0)&lt;&gt;AK$5),1))+IF(AO862="",0,IFERROR(--(EOMONTH(AO862,0)&lt;&gt;AN$5),1))+IF(AR862="",0,IFERROR(--(EOMONTH(AR862,0)&lt;&gt;AQ$5),1))+IF(AU862="",0,IFERROR(--(EOMONTH(AU862,0)&lt;&gt;AT$5),1))+IF(AX862="",0,IFERROR(--(EOMONTH(AX862,0)&lt;&gt;AW$5),1))+IF(BA862="",0,IFERROR(--(EOMONTH(BA862,0)&lt;&gt;AZ$5),1)))&gt;0,"; An invoice date is not in the month it is typed under",""),3,500))</f>
        <v/>
      </c>
      <c r="S862" s="12" t="n"/>
      <c r="T862" s="13" t="n"/>
      <c r="U862" s="14" t="n"/>
      <c r="V862" s="12" t="n"/>
      <c r="W862" s="13" t="n"/>
      <c r="X862" s="14" t="n"/>
      <c r="Y862" s="12" t="n"/>
      <c r="Z862" s="13" t="n"/>
      <c r="AA862" s="14" t="n"/>
      <c r="AB862" s="12" t="n"/>
      <c r="AC862" s="13" t="n"/>
      <c r="AD862" s="14" t="n"/>
      <c r="AE862" s="12" t="n"/>
      <c r="AF862" s="13" t="n"/>
      <c r="AG862" s="14" t="n"/>
      <c r="AH862" s="12" t="n"/>
      <c r="AI862" s="13" t="n"/>
      <c r="AJ862" s="14" t="n"/>
      <c r="AK862" s="12" t="n"/>
      <c r="AL862" s="13" t="n"/>
      <c r="AM862" s="14" t="n"/>
      <c r="AN862" s="12" t="n"/>
      <c r="AO862" s="13" t="n"/>
      <c r="AP862" s="14" t="n"/>
      <c r="AQ862" s="12" t="n"/>
      <c r="AR862" s="13" t="n"/>
      <c r="AS862" s="14" t="n"/>
      <c r="AT862" s="12" t="n"/>
      <c r="AU862" s="13" t="n"/>
      <c r="AV862" s="14" t="n"/>
      <c r="AW862" s="12" t="n"/>
      <c r="AX862" s="13" t="n"/>
      <c r="AY862" s="14" t="n"/>
      <c r="AZ862" s="12" t="n"/>
      <c r="BA862" s="13" t="n"/>
      <c r="BB862" s="14" t="n"/>
      <c r="BC862" s="11">
        <f>IF(O862="","",IF(J862="GST 10%",ROUND(O862*set_GSTRate,2),0))</f>
        <v/>
      </c>
      <c r="BD862" s="11">
        <f>IF(O862="","",O862+BC862)</f>
        <v/>
      </c>
      <c r="BE862" s="15">
        <f>IF(O862="","",COUNTA(S862,V862,Y862,AB862,AE862,AH862,AK862,AN862,AQ862,AT862,AW862,AZ862))</f>
        <v/>
      </c>
      <c r="BF862" s="16">
        <f>IF(COUNT(T862,W862,Z862,AC862,AF862,AI862,AL862,AO862,AR862,AU862,AX862,BA862)=0,"",MAX(T862,W862,Z862,AC862,AF862,AI862,AL862,AO862,AR862,AU862,AX862,BA862))</f>
        <v/>
      </c>
      <c r="BG862" s="10">
        <f>MID(IF(S862="","",", "&amp;S862)&amp;IF(V862="","",", "&amp;V862)&amp;IF(Y862="","",", "&amp;Y862)&amp;IF(AB862="","",", "&amp;AB862)&amp;IF(AE862="","",", "&amp;AE862)&amp;IF(AH862="","",", "&amp;AH862)&amp;IF(AK862="","",", "&amp;AK862)&amp;IF(AN862="","",", "&amp;AN862)&amp;IF(AQ862="","",", "&amp;AQ862)&amp;IF(AT862="","",", "&amp;AT862)&amp;IF(AW862="","",", "&amp;AW862)&amp;IF(AZ862="","",", "&amp;AZ862),3,500)</f>
        <v/>
      </c>
      <c r="BH862" s="12" t="n"/>
      <c r="BI862" s="15">
        <f>IFERROR(MATCH($A862,IF($B862="Onsite",tbl_Onsite[Row ID],IF($B862="Production",tbl_Production[Row ID],tbl_Consulting[Row ID])),0),"")</f>
        <v/>
      </c>
    </row>
    <row r="863">
      <c r="A863" s="10" t="inlineStr">
        <is>
          <t>PRD-0357</t>
        </is>
      </c>
      <c r="B863" s="10" t="inlineStr">
        <is>
          <t>Production</t>
        </is>
      </c>
      <c r="C863" s="10">
        <f>IF($BI863="","",IF($B863="Onsite",INDEX(tbl_Onsite[Job Number],$BI863),IF($B863="Production",INDEX(tbl_Production[Job Number],$BI863),INDEX(tbl_Consulting[Job Number],$BI863)))&amp;"")</f>
        <v/>
      </c>
      <c r="D863" s="10">
        <f>IF($BI863="","",IF($B863="Onsite",INDEX(tbl_Onsite[Client],$BI863),IF($B863="Production",INDEX(tbl_Production[Client],$BI863),INDEX(tbl_Consulting[Client],$BI863)))&amp;"")</f>
        <v/>
      </c>
      <c r="E863" s="10">
        <f>IF($C863="","",IF(COUNTIF(lst_Jobs,$C863)&gt;0,"OK","CHECK"))</f>
        <v/>
      </c>
      <c r="F863" s="10">
        <f>IF($C863="","",IFERROR(INDEX(lst_JobName,MATCH($C863,lst_Jobs,0)),""))</f>
        <v/>
      </c>
      <c r="G863" s="10">
        <f>IF($BI863="","",IF($B863="Onsite",INDEX(tbl_Onsite[Job Description],$BI863),IF($B863="Production",INDEX(tbl_Production[Job Description],$BI863),INDEX(tbl_Consulting[Job Description],$BI863)))&amp;"")</f>
        <v/>
      </c>
      <c r="H863" s="10">
        <f>IF($BI863="","",IF($B863="Onsite",INDEX(tbl_Onsite[Cost Centre],$BI863),IF($B863="Production",INDEX(tbl_Production[Cost Centre],$BI863),INDEX(tbl_Consulting[Cost Centre],$BI863)))&amp;"")</f>
        <v/>
      </c>
      <c r="I863" s="10">
        <f>IF($BI863="","",IF($B863="Onsite",INDEX(tbl_Onsite[Invoice Type],$BI863),IF($B863="Production",INDEX(tbl_Production[Invoice Type],$BI863),INDEX(tbl_Consulting[Invoice Type],$BI863)))&amp;"")</f>
        <v/>
      </c>
      <c r="J863" s="10">
        <f>IF($BI863="","",IF($B863="Onsite",INDEX(tbl_Onsite[Tax Code],$BI863),IF($B863="Production",INDEX(tbl_Production[Tax Code],$BI863),INDEX(tbl_Consulting[Tax Code],$BI863)))&amp;"")</f>
        <v/>
      </c>
      <c r="K863" s="10">
        <f>IF(H863="","",IFERROR(INDEX(lst_CCtoGL,MATCH(H863,lst_CCforGL,0)),""))</f>
        <v/>
      </c>
      <c r="L863" s="10">
        <f>IF($BI863="","",IF($B863="Onsite",INDEX(tbl_Onsite[PO / Reference],$BI863),IF($B863="Production",INDEX(tbl_Production[Current RMS No],$BI863),INDEX(tbl_Consulting[Qwilr Quote],$BI863)))&amp;"")</f>
        <v/>
      </c>
      <c r="M863" s="10">
        <f>IF($BI863="","",IF($B863="Onsite",INDEX(tbl_Onsite[Notes],$BI863),IF($B863="Production",INDEX(tbl_Production[Notes],$BI863),INDEX(tbl_Consulting[Notes],$BI863)))&amp;"")</f>
        <v/>
      </c>
      <c r="N863" s="11">
        <f>IF($BI863="","",IF(IF($B863="Onsite",INDEX(tbl_Onsite[Expected Revenue Ex GST],$BI863),IF($B863="Production",INDEX(tbl_Production[Expected Revenue Ex GST],$BI863),INDEX(tbl_Consulting[Expected Revenue Ex GST],$BI863)))="","",IF($B863="Onsite",INDEX(tbl_Onsite[Expected Revenue Ex GST],$BI863),IF($B863="Production",INDEX(tbl_Production[Expected Revenue Ex GST],$BI863),INDEX(tbl_Consulting[Expected Revenue Ex GST],$BI863)))))</f>
        <v/>
      </c>
      <c r="O863" s="11">
        <f>IF(AND($C863="",NOT(COUNTA($S863:$BB863)&gt;0)),"",SUM(U863,X863,AA863,AD863,AG863,AJ863,AM863,AP863,AS863,AV863,AY863,BB863))</f>
        <v/>
      </c>
      <c r="P863" s="11">
        <f>IF(O863="","",N(N863)-O863)</f>
        <v/>
      </c>
      <c r="Q863" s="10">
        <f>IF(O863="","",IF($C863="","Invoice on empty job row",IF(N863="",IF(ROUND(O863,2)=0,"No dept value","Invoiced - no dept value"),IF(ROUND(O863,2)=0,"Not invoiced - to invoice",IF(ROUND(P863,2)=0,"Agrees",IF(P863&gt;0,"Dept higher - to invoice","Xero higher - check dept"))))))</f>
        <v/>
      </c>
      <c r="R863" s="10">
        <f>IF(AND($C863="",NOT(COUNTA($S863:$BB863)&gt;0),$BI863&lt;&gt;""),"",MID(IF($BI863="","; Row ID not found on the department sheet - a row was deleted","")&amp;IF(AND($C863="",COUNTA($S863:$BB863)&gt;0),"; Invoice entered but the department row has no job number","")&amp;IF(E863="CHECK","; Job number not in the Xero job list","")&amp;IF(AND($C863&lt;&gt;"",COUNTIF($C$7:$C$1506,$C863)&gt;1),"; Job number on more than one row","")&amp;IF(AND($C863&lt;&gt;"",H863=""),"; Dept has not set a cost centre","")&amp;IF(AND($C863&lt;&gt;"",J863=""),"; Dept has not set a tax code","")&amp;IF(AND($C863&lt;&gt;"",N863=""),"; Dept has not entered an expected value","")&amp;IF((IF(OR(COUNTA(S863:U863)=0,AND(COUNTA(S863:U863)=3,ISNUMBER(U863))),0,1)+IF(OR(COUNTA(V863:X863)=0,AND(COUNTA(V863:X863)=3,ISNUMBER(X863))),0,1)+IF(OR(COUNTA(Y863:AA863)=0,AND(COUNTA(Y863:AA863)=3,ISNUMBER(AA863))),0,1)+IF(OR(COUNTA(AB863:AD863)=0,AND(COUNTA(AB863:AD863)=3,ISNUMBER(AD863))),0,1)+IF(OR(COUNTA(AE863:AG863)=0,AND(COUNTA(AE863:AG863)=3,ISNUMBER(AG863))),0,1)+IF(OR(COUNTA(AH863:AJ863)=0,AND(COUNTA(AH863:AJ863)=3,ISNUMBER(AJ863))),0,1)+IF(OR(COUNTA(AK863:AM863)=0,AND(COUNTA(AK863:AM863)=3,ISNUMBER(AM863))),0,1)+IF(OR(COUNTA(AN863:AP863)=0,AND(COUNTA(AN863:AP863)=3,ISNUMBER(AP863))),0,1)+IF(OR(COUNTA(AQ863:AS863)=0,AND(COUNTA(AQ863:AS863)=3,ISNUMBER(AS863))),0,1)+IF(OR(COUNTA(AT863:AV863)=0,AND(COUNTA(AT863:AV863)=3,ISNUMBER(AV863))),0,1)+IF(OR(COUNTA(AW863:AY863)=0,AND(COUNTA(AW863:AY863)=3,ISNUMBER(AY863))),0,1)+IF(OR(COUNTA(AZ863:BB863)=0,AND(COUNTA(AZ863:BB863)=3,ISNUMBER(BB863))),0,1))&gt;0,"; An invoice is incomplete (needs No, Date and a number in Ex GST)","")&amp;IF((IF(T863="",0,IFERROR(--(EOMONTH(T863,0)&lt;&gt;S$5),1))+IF(W863="",0,IFERROR(--(EOMONTH(W863,0)&lt;&gt;V$5),1))+IF(Z863="",0,IFERROR(--(EOMONTH(Z863,0)&lt;&gt;Y$5),1))+IF(AC863="",0,IFERROR(--(EOMONTH(AC863,0)&lt;&gt;AB$5),1))+IF(AF863="",0,IFERROR(--(EOMONTH(AF863,0)&lt;&gt;AE$5),1))+IF(AI863="",0,IFERROR(--(EOMONTH(AI863,0)&lt;&gt;AH$5),1))+IF(AL863="",0,IFERROR(--(EOMONTH(AL863,0)&lt;&gt;AK$5),1))+IF(AO863="",0,IFERROR(--(EOMONTH(AO863,0)&lt;&gt;AN$5),1))+IF(AR863="",0,IFERROR(--(EOMONTH(AR863,0)&lt;&gt;AQ$5),1))+IF(AU863="",0,IFERROR(--(EOMONTH(AU863,0)&lt;&gt;AT$5),1))+IF(AX863="",0,IFERROR(--(EOMONTH(AX863,0)&lt;&gt;AW$5),1))+IF(BA863="",0,IFERROR(--(EOMONTH(BA863,0)&lt;&gt;AZ$5),1)))&gt;0,"; An invoice date is not in the month it is typed under",""),3,500))</f>
        <v/>
      </c>
      <c r="S863" s="12" t="n"/>
      <c r="T863" s="13" t="n"/>
      <c r="U863" s="14" t="n"/>
      <c r="V863" s="12" t="n"/>
      <c r="W863" s="13" t="n"/>
      <c r="X863" s="14" t="n"/>
      <c r="Y863" s="12" t="n"/>
      <c r="Z863" s="13" t="n"/>
      <c r="AA863" s="14" t="n"/>
      <c r="AB863" s="12" t="n"/>
      <c r="AC863" s="13" t="n"/>
      <c r="AD863" s="14" t="n"/>
      <c r="AE863" s="12" t="n"/>
      <c r="AF863" s="13" t="n"/>
      <c r="AG863" s="14" t="n"/>
      <c r="AH863" s="12" t="n"/>
      <c r="AI863" s="13" t="n"/>
      <c r="AJ863" s="14" t="n"/>
      <c r="AK863" s="12" t="n"/>
      <c r="AL863" s="13" t="n"/>
      <c r="AM863" s="14" t="n"/>
      <c r="AN863" s="12" t="n"/>
      <c r="AO863" s="13" t="n"/>
      <c r="AP863" s="14" t="n"/>
      <c r="AQ863" s="12" t="n"/>
      <c r="AR863" s="13" t="n"/>
      <c r="AS863" s="14" t="n"/>
      <c r="AT863" s="12" t="n"/>
      <c r="AU863" s="13" t="n"/>
      <c r="AV863" s="14" t="n"/>
      <c r="AW863" s="12" t="n"/>
      <c r="AX863" s="13" t="n"/>
      <c r="AY863" s="14" t="n"/>
      <c r="AZ863" s="12" t="n"/>
      <c r="BA863" s="13" t="n"/>
      <c r="BB863" s="14" t="n"/>
      <c r="BC863" s="11">
        <f>IF(O863="","",IF(J863="GST 10%",ROUND(O863*set_GSTRate,2),0))</f>
        <v/>
      </c>
      <c r="BD863" s="11">
        <f>IF(O863="","",O863+BC863)</f>
        <v/>
      </c>
      <c r="BE863" s="15">
        <f>IF(O863="","",COUNTA(S863,V863,Y863,AB863,AE863,AH863,AK863,AN863,AQ863,AT863,AW863,AZ863))</f>
        <v/>
      </c>
      <c r="BF863" s="16">
        <f>IF(COUNT(T863,W863,Z863,AC863,AF863,AI863,AL863,AO863,AR863,AU863,AX863,BA863)=0,"",MAX(T863,W863,Z863,AC863,AF863,AI863,AL863,AO863,AR863,AU863,AX863,BA863))</f>
        <v/>
      </c>
      <c r="BG863" s="10">
        <f>MID(IF(S863="","",", "&amp;S863)&amp;IF(V863="","",", "&amp;V863)&amp;IF(Y863="","",", "&amp;Y863)&amp;IF(AB863="","",", "&amp;AB863)&amp;IF(AE863="","",", "&amp;AE863)&amp;IF(AH863="","",", "&amp;AH863)&amp;IF(AK863="","",", "&amp;AK863)&amp;IF(AN863="","",", "&amp;AN863)&amp;IF(AQ863="","",", "&amp;AQ863)&amp;IF(AT863="","",", "&amp;AT863)&amp;IF(AW863="","",", "&amp;AW863)&amp;IF(AZ863="","",", "&amp;AZ863),3,500)</f>
        <v/>
      </c>
      <c r="BH863" s="12" t="n"/>
      <c r="BI863" s="15">
        <f>IFERROR(MATCH($A863,IF($B863="Onsite",tbl_Onsite[Row ID],IF($B863="Production",tbl_Production[Row ID],tbl_Consulting[Row ID])),0),"")</f>
        <v/>
      </c>
    </row>
    <row r="864">
      <c r="A864" s="10" t="inlineStr">
        <is>
          <t>PRD-0358</t>
        </is>
      </c>
      <c r="B864" s="10" t="inlineStr">
        <is>
          <t>Production</t>
        </is>
      </c>
      <c r="C864" s="10">
        <f>IF($BI864="","",IF($B864="Onsite",INDEX(tbl_Onsite[Job Number],$BI864),IF($B864="Production",INDEX(tbl_Production[Job Number],$BI864),INDEX(tbl_Consulting[Job Number],$BI864)))&amp;"")</f>
        <v/>
      </c>
      <c r="D864" s="10">
        <f>IF($BI864="","",IF($B864="Onsite",INDEX(tbl_Onsite[Client],$BI864),IF($B864="Production",INDEX(tbl_Production[Client],$BI864),INDEX(tbl_Consulting[Client],$BI864)))&amp;"")</f>
        <v/>
      </c>
      <c r="E864" s="10">
        <f>IF($C864="","",IF(COUNTIF(lst_Jobs,$C864)&gt;0,"OK","CHECK"))</f>
        <v/>
      </c>
      <c r="F864" s="10">
        <f>IF($C864="","",IFERROR(INDEX(lst_JobName,MATCH($C864,lst_Jobs,0)),""))</f>
        <v/>
      </c>
      <c r="G864" s="10">
        <f>IF($BI864="","",IF($B864="Onsite",INDEX(tbl_Onsite[Job Description],$BI864),IF($B864="Production",INDEX(tbl_Production[Job Description],$BI864),INDEX(tbl_Consulting[Job Description],$BI864)))&amp;"")</f>
        <v/>
      </c>
      <c r="H864" s="10">
        <f>IF($BI864="","",IF($B864="Onsite",INDEX(tbl_Onsite[Cost Centre],$BI864),IF($B864="Production",INDEX(tbl_Production[Cost Centre],$BI864),INDEX(tbl_Consulting[Cost Centre],$BI864)))&amp;"")</f>
        <v/>
      </c>
      <c r="I864" s="10">
        <f>IF($BI864="","",IF($B864="Onsite",INDEX(tbl_Onsite[Invoice Type],$BI864),IF($B864="Production",INDEX(tbl_Production[Invoice Type],$BI864),INDEX(tbl_Consulting[Invoice Type],$BI864)))&amp;"")</f>
        <v/>
      </c>
      <c r="J864" s="10">
        <f>IF($BI864="","",IF($B864="Onsite",INDEX(tbl_Onsite[Tax Code],$BI864),IF($B864="Production",INDEX(tbl_Production[Tax Code],$BI864),INDEX(tbl_Consulting[Tax Code],$BI864)))&amp;"")</f>
        <v/>
      </c>
      <c r="K864" s="10">
        <f>IF(H864="","",IFERROR(INDEX(lst_CCtoGL,MATCH(H864,lst_CCforGL,0)),""))</f>
        <v/>
      </c>
      <c r="L864" s="10">
        <f>IF($BI864="","",IF($B864="Onsite",INDEX(tbl_Onsite[PO / Reference],$BI864),IF($B864="Production",INDEX(tbl_Production[Current RMS No],$BI864),INDEX(tbl_Consulting[Qwilr Quote],$BI864)))&amp;"")</f>
        <v/>
      </c>
      <c r="M864" s="10">
        <f>IF($BI864="","",IF($B864="Onsite",INDEX(tbl_Onsite[Notes],$BI864),IF($B864="Production",INDEX(tbl_Production[Notes],$BI864),INDEX(tbl_Consulting[Notes],$BI864)))&amp;"")</f>
        <v/>
      </c>
      <c r="N864" s="11">
        <f>IF($BI864="","",IF(IF($B864="Onsite",INDEX(tbl_Onsite[Expected Revenue Ex GST],$BI864),IF($B864="Production",INDEX(tbl_Production[Expected Revenue Ex GST],$BI864),INDEX(tbl_Consulting[Expected Revenue Ex GST],$BI864)))="","",IF($B864="Onsite",INDEX(tbl_Onsite[Expected Revenue Ex GST],$BI864),IF($B864="Production",INDEX(tbl_Production[Expected Revenue Ex GST],$BI864),INDEX(tbl_Consulting[Expected Revenue Ex GST],$BI864)))))</f>
        <v/>
      </c>
      <c r="O864" s="11">
        <f>IF(AND($C864="",NOT(COUNTA($S864:$BB864)&gt;0)),"",SUM(U864,X864,AA864,AD864,AG864,AJ864,AM864,AP864,AS864,AV864,AY864,BB864))</f>
        <v/>
      </c>
      <c r="P864" s="11">
        <f>IF(O864="","",N(N864)-O864)</f>
        <v/>
      </c>
      <c r="Q864" s="10">
        <f>IF(O864="","",IF($C864="","Invoice on empty job row",IF(N864="",IF(ROUND(O864,2)=0,"No dept value","Invoiced - no dept value"),IF(ROUND(O864,2)=0,"Not invoiced - to invoice",IF(ROUND(P864,2)=0,"Agrees",IF(P864&gt;0,"Dept higher - to invoice","Xero higher - check dept"))))))</f>
        <v/>
      </c>
      <c r="R864" s="10">
        <f>IF(AND($C864="",NOT(COUNTA($S864:$BB864)&gt;0),$BI864&lt;&gt;""),"",MID(IF($BI864="","; Row ID not found on the department sheet - a row was deleted","")&amp;IF(AND($C864="",COUNTA($S864:$BB864)&gt;0),"; Invoice entered but the department row has no job number","")&amp;IF(E864="CHECK","; Job number not in the Xero job list","")&amp;IF(AND($C864&lt;&gt;"",COUNTIF($C$7:$C$1506,$C864)&gt;1),"; Job number on more than one row","")&amp;IF(AND($C864&lt;&gt;"",H864=""),"; Dept has not set a cost centre","")&amp;IF(AND($C864&lt;&gt;"",J864=""),"; Dept has not set a tax code","")&amp;IF(AND($C864&lt;&gt;"",N864=""),"; Dept has not entered an expected value","")&amp;IF((IF(OR(COUNTA(S864:U864)=0,AND(COUNTA(S864:U864)=3,ISNUMBER(U864))),0,1)+IF(OR(COUNTA(V864:X864)=0,AND(COUNTA(V864:X864)=3,ISNUMBER(X864))),0,1)+IF(OR(COUNTA(Y864:AA864)=0,AND(COUNTA(Y864:AA864)=3,ISNUMBER(AA864))),0,1)+IF(OR(COUNTA(AB864:AD864)=0,AND(COUNTA(AB864:AD864)=3,ISNUMBER(AD864))),0,1)+IF(OR(COUNTA(AE864:AG864)=0,AND(COUNTA(AE864:AG864)=3,ISNUMBER(AG864))),0,1)+IF(OR(COUNTA(AH864:AJ864)=0,AND(COUNTA(AH864:AJ864)=3,ISNUMBER(AJ864))),0,1)+IF(OR(COUNTA(AK864:AM864)=0,AND(COUNTA(AK864:AM864)=3,ISNUMBER(AM864))),0,1)+IF(OR(COUNTA(AN864:AP864)=0,AND(COUNTA(AN864:AP864)=3,ISNUMBER(AP864))),0,1)+IF(OR(COUNTA(AQ864:AS864)=0,AND(COUNTA(AQ864:AS864)=3,ISNUMBER(AS864))),0,1)+IF(OR(COUNTA(AT864:AV864)=0,AND(COUNTA(AT864:AV864)=3,ISNUMBER(AV864))),0,1)+IF(OR(COUNTA(AW864:AY864)=0,AND(COUNTA(AW864:AY864)=3,ISNUMBER(AY864))),0,1)+IF(OR(COUNTA(AZ864:BB864)=0,AND(COUNTA(AZ864:BB864)=3,ISNUMBER(BB864))),0,1))&gt;0,"; An invoice is incomplete (needs No, Date and a number in Ex GST)","")&amp;IF((IF(T864="",0,IFERROR(--(EOMONTH(T864,0)&lt;&gt;S$5),1))+IF(W864="",0,IFERROR(--(EOMONTH(W864,0)&lt;&gt;V$5),1))+IF(Z864="",0,IFERROR(--(EOMONTH(Z864,0)&lt;&gt;Y$5),1))+IF(AC864="",0,IFERROR(--(EOMONTH(AC864,0)&lt;&gt;AB$5),1))+IF(AF864="",0,IFERROR(--(EOMONTH(AF864,0)&lt;&gt;AE$5),1))+IF(AI864="",0,IFERROR(--(EOMONTH(AI864,0)&lt;&gt;AH$5),1))+IF(AL864="",0,IFERROR(--(EOMONTH(AL864,0)&lt;&gt;AK$5),1))+IF(AO864="",0,IFERROR(--(EOMONTH(AO864,0)&lt;&gt;AN$5),1))+IF(AR864="",0,IFERROR(--(EOMONTH(AR864,0)&lt;&gt;AQ$5),1))+IF(AU864="",0,IFERROR(--(EOMONTH(AU864,0)&lt;&gt;AT$5),1))+IF(AX864="",0,IFERROR(--(EOMONTH(AX864,0)&lt;&gt;AW$5),1))+IF(BA864="",0,IFERROR(--(EOMONTH(BA864,0)&lt;&gt;AZ$5),1)))&gt;0,"; An invoice date is not in the month it is typed under",""),3,500))</f>
        <v/>
      </c>
      <c r="S864" s="12" t="n"/>
      <c r="T864" s="13" t="n"/>
      <c r="U864" s="14" t="n"/>
      <c r="V864" s="12" t="n"/>
      <c r="W864" s="13" t="n"/>
      <c r="X864" s="14" t="n"/>
      <c r="Y864" s="12" t="n"/>
      <c r="Z864" s="13" t="n"/>
      <c r="AA864" s="14" t="n"/>
      <c r="AB864" s="12" t="n"/>
      <c r="AC864" s="13" t="n"/>
      <c r="AD864" s="14" t="n"/>
      <c r="AE864" s="12" t="n"/>
      <c r="AF864" s="13" t="n"/>
      <c r="AG864" s="14" t="n"/>
      <c r="AH864" s="12" t="n"/>
      <c r="AI864" s="13" t="n"/>
      <c r="AJ864" s="14" t="n"/>
      <c r="AK864" s="12" t="n"/>
      <c r="AL864" s="13" t="n"/>
      <c r="AM864" s="14" t="n"/>
      <c r="AN864" s="12" t="n"/>
      <c r="AO864" s="13" t="n"/>
      <c r="AP864" s="14" t="n"/>
      <c r="AQ864" s="12" t="n"/>
      <c r="AR864" s="13" t="n"/>
      <c r="AS864" s="14" t="n"/>
      <c r="AT864" s="12" t="n"/>
      <c r="AU864" s="13" t="n"/>
      <c r="AV864" s="14" t="n"/>
      <c r="AW864" s="12" t="n"/>
      <c r="AX864" s="13" t="n"/>
      <c r="AY864" s="14" t="n"/>
      <c r="AZ864" s="12" t="n"/>
      <c r="BA864" s="13" t="n"/>
      <c r="BB864" s="14" t="n"/>
      <c r="BC864" s="11">
        <f>IF(O864="","",IF(J864="GST 10%",ROUND(O864*set_GSTRate,2),0))</f>
        <v/>
      </c>
      <c r="BD864" s="11">
        <f>IF(O864="","",O864+BC864)</f>
        <v/>
      </c>
      <c r="BE864" s="15">
        <f>IF(O864="","",COUNTA(S864,V864,Y864,AB864,AE864,AH864,AK864,AN864,AQ864,AT864,AW864,AZ864))</f>
        <v/>
      </c>
      <c r="BF864" s="16">
        <f>IF(COUNT(T864,W864,Z864,AC864,AF864,AI864,AL864,AO864,AR864,AU864,AX864,BA864)=0,"",MAX(T864,W864,Z864,AC864,AF864,AI864,AL864,AO864,AR864,AU864,AX864,BA864))</f>
        <v/>
      </c>
      <c r="BG864" s="10">
        <f>MID(IF(S864="","",", "&amp;S864)&amp;IF(V864="","",", "&amp;V864)&amp;IF(Y864="","",", "&amp;Y864)&amp;IF(AB864="","",", "&amp;AB864)&amp;IF(AE864="","",", "&amp;AE864)&amp;IF(AH864="","",", "&amp;AH864)&amp;IF(AK864="","",", "&amp;AK864)&amp;IF(AN864="","",", "&amp;AN864)&amp;IF(AQ864="","",", "&amp;AQ864)&amp;IF(AT864="","",", "&amp;AT864)&amp;IF(AW864="","",", "&amp;AW864)&amp;IF(AZ864="","",", "&amp;AZ864),3,500)</f>
        <v/>
      </c>
      <c r="BH864" s="12" t="n"/>
      <c r="BI864" s="15">
        <f>IFERROR(MATCH($A864,IF($B864="Onsite",tbl_Onsite[Row ID],IF($B864="Production",tbl_Production[Row ID],tbl_Consulting[Row ID])),0),"")</f>
        <v/>
      </c>
    </row>
    <row r="865">
      <c r="A865" s="10" t="inlineStr">
        <is>
          <t>PRD-0359</t>
        </is>
      </c>
      <c r="B865" s="10" t="inlineStr">
        <is>
          <t>Production</t>
        </is>
      </c>
      <c r="C865" s="10">
        <f>IF($BI865="","",IF($B865="Onsite",INDEX(tbl_Onsite[Job Number],$BI865),IF($B865="Production",INDEX(tbl_Production[Job Number],$BI865),INDEX(tbl_Consulting[Job Number],$BI865)))&amp;"")</f>
        <v/>
      </c>
      <c r="D865" s="10">
        <f>IF($BI865="","",IF($B865="Onsite",INDEX(tbl_Onsite[Client],$BI865),IF($B865="Production",INDEX(tbl_Production[Client],$BI865),INDEX(tbl_Consulting[Client],$BI865)))&amp;"")</f>
        <v/>
      </c>
      <c r="E865" s="10">
        <f>IF($C865="","",IF(COUNTIF(lst_Jobs,$C865)&gt;0,"OK","CHECK"))</f>
        <v/>
      </c>
      <c r="F865" s="10">
        <f>IF($C865="","",IFERROR(INDEX(lst_JobName,MATCH($C865,lst_Jobs,0)),""))</f>
        <v/>
      </c>
      <c r="G865" s="10">
        <f>IF($BI865="","",IF($B865="Onsite",INDEX(tbl_Onsite[Job Description],$BI865),IF($B865="Production",INDEX(tbl_Production[Job Description],$BI865),INDEX(tbl_Consulting[Job Description],$BI865)))&amp;"")</f>
        <v/>
      </c>
      <c r="H865" s="10">
        <f>IF($BI865="","",IF($B865="Onsite",INDEX(tbl_Onsite[Cost Centre],$BI865),IF($B865="Production",INDEX(tbl_Production[Cost Centre],$BI865),INDEX(tbl_Consulting[Cost Centre],$BI865)))&amp;"")</f>
        <v/>
      </c>
      <c r="I865" s="10">
        <f>IF($BI865="","",IF($B865="Onsite",INDEX(tbl_Onsite[Invoice Type],$BI865),IF($B865="Production",INDEX(tbl_Production[Invoice Type],$BI865),INDEX(tbl_Consulting[Invoice Type],$BI865)))&amp;"")</f>
        <v/>
      </c>
      <c r="J865" s="10">
        <f>IF($BI865="","",IF($B865="Onsite",INDEX(tbl_Onsite[Tax Code],$BI865),IF($B865="Production",INDEX(tbl_Production[Tax Code],$BI865),INDEX(tbl_Consulting[Tax Code],$BI865)))&amp;"")</f>
        <v/>
      </c>
      <c r="K865" s="10">
        <f>IF(H865="","",IFERROR(INDEX(lst_CCtoGL,MATCH(H865,lst_CCforGL,0)),""))</f>
        <v/>
      </c>
      <c r="L865" s="10">
        <f>IF($BI865="","",IF($B865="Onsite",INDEX(tbl_Onsite[PO / Reference],$BI865),IF($B865="Production",INDEX(tbl_Production[Current RMS No],$BI865),INDEX(tbl_Consulting[Qwilr Quote],$BI865)))&amp;"")</f>
        <v/>
      </c>
      <c r="M865" s="10">
        <f>IF($BI865="","",IF($B865="Onsite",INDEX(tbl_Onsite[Notes],$BI865),IF($B865="Production",INDEX(tbl_Production[Notes],$BI865),INDEX(tbl_Consulting[Notes],$BI865)))&amp;"")</f>
        <v/>
      </c>
      <c r="N865" s="11">
        <f>IF($BI865="","",IF(IF($B865="Onsite",INDEX(tbl_Onsite[Expected Revenue Ex GST],$BI865),IF($B865="Production",INDEX(tbl_Production[Expected Revenue Ex GST],$BI865),INDEX(tbl_Consulting[Expected Revenue Ex GST],$BI865)))="","",IF($B865="Onsite",INDEX(tbl_Onsite[Expected Revenue Ex GST],$BI865),IF($B865="Production",INDEX(tbl_Production[Expected Revenue Ex GST],$BI865),INDEX(tbl_Consulting[Expected Revenue Ex GST],$BI865)))))</f>
        <v/>
      </c>
      <c r="O865" s="11">
        <f>IF(AND($C865="",NOT(COUNTA($S865:$BB865)&gt;0)),"",SUM(U865,X865,AA865,AD865,AG865,AJ865,AM865,AP865,AS865,AV865,AY865,BB865))</f>
        <v/>
      </c>
      <c r="P865" s="11">
        <f>IF(O865="","",N(N865)-O865)</f>
        <v/>
      </c>
      <c r="Q865" s="10">
        <f>IF(O865="","",IF($C865="","Invoice on empty job row",IF(N865="",IF(ROUND(O865,2)=0,"No dept value","Invoiced - no dept value"),IF(ROUND(O865,2)=0,"Not invoiced - to invoice",IF(ROUND(P865,2)=0,"Agrees",IF(P865&gt;0,"Dept higher - to invoice","Xero higher - check dept"))))))</f>
        <v/>
      </c>
      <c r="R865" s="10">
        <f>IF(AND($C865="",NOT(COUNTA($S865:$BB865)&gt;0),$BI865&lt;&gt;""),"",MID(IF($BI865="","; Row ID not found on the department sheet - a row was deleted","")&amp;IF(AND($C865="",COUNTA($S865:$BB865)&gt;0),"; Invoice entered but the department row has no job number","")&amp;IF(E865="CHECK","; Job number not in the Xero job list","")&amp;IF(AND($C865&lt;&gt;"",COUNTIF($C$7:$C$1506,$C865)&gt;1),"; Job number on more than one row","")&amp;IF(AND($C865&lt;&gt;"",H865=""),"; Dept has not set a cost centre","")&amp;IF(AND($C865&lt;&gt;"",J865=""),"; Dept has not set a tax code","")&amp;IF(AND($C865&lt;&gt;"",N865=""),"; Dept has not entered an expected value","")&amp;IF((IF(OR(COUNTA(S865:U865)=0,AND(COUNTA(S865:U865)=3,ISNUMBER(U865))),0,1)+IF(OR(COUNTA(V865:X865)=0,AND(COUNTA(V865:X865)=3,ISNUMBER(X865))),0,1)+IF(OR(COUNTA(Y865:AA865)=0,AND(COUNTA(Y865:AA865)=3,ISNUMBER(AA865))),0,1)+IF(OR(COUNTA(AB865:AD865)=0,AND(COUNTA(AB865:AD865)=3,ISNUMBER(AD865))),0,1)+IF(OR(COUNTA(AE865:AG865)=0,AND(COUNTA(AE865:AG865)=3,ISNUMBER(AG865))),0,1)+IF(OR(COUNTA(AH865:AJ865)=0,AND(COUNTA(AH865:AJ865)=3,ISNUMBER(AJ865))),0,1)+IF(OR(COUNTA(AK865:AM865)=0,AND(COUNTA(AK865:AM865)=3,ISNUMBER(AM865))),0,1)+IF(OR(COUNTA(AN865:AP865)=0,AND(COUNTA(AN865:AP865)=3,ISNUMBER(AP865))),0,1)+IF(OR(COUNTA(AQ865:AS865)=0,AND(COUNTA(AQ865:AS865)=3,ISNUMBER(AS865))),0,1)+IF(OR(COUNTA(AT865:AV865)=0,AND(COUNTA(AT865:AV865)=3,ISNUMBER(AV865))),0,1)+IF(OR(COUNTA(AW865:AY865)=0,AND(COUNTA(AW865:AY865)=3,ISNUMBER(AY865))),0,1)+IF(OR(COUNTA(AZ865:BB865)=0,AND(COUNTA(AZ865:BB865)=3,ISNUMBER(BB865))),0,1))&gt;0,"; An invoice is incomplete (needs No, Date and a number in Ex GST)","")&amp;IF((IF(T865="",0,IFERROR(--(EOMONTH(T865,0)&lt;&gt;S$5),1))+IF(W865="",0,IFERROR(--(EOMONTH(W865,0)&lt;&gt;V$5),1))+IF(Z865="",0,IFERROR(--(EOMONTH(Z865,0)&lt;&gt;Y$5),1))+IF(AC865="",0,IFERROR(--(EOMONTH(AC865,0)&lt;&gt;AB$5),1))+IF(AF865="",0,IFERROR(--(EOMONTH(AF865,0)&lt;&gt;AE$5),1))+IF(AI865="",0,IFERROR(--(EOMONTH(AI865,0)&lt;&gt;AH$5),1))+IF(AL865="",0,IFERROR(--(EOMONTH(AL865,0)&lt;&gt;AK$5),1))+IF(AO865="",0,IFERROR(--(EOMONTH(AO865,0)&lt;&gt;AN$5),1))+IF(AR865="",0,IFERROR(--(EOMONTH(AR865,0)&lt;&gt;AQ$5),1))+IF(AU865="",0,IFERROR(--(EOMONTH(AU865,0)&lt;&gt;AT$5),1))+IF(AX865="",0,IFERROR(--(EOMONTH(AX865,0)&lt;&gt;AW$5),1))+IF(BA865="",0,IFERROR(--(EOMONTH(BA865,0)&lt;&gt;AZ$5),1)))&gt;0,"; An invoice date is not in the month it is typed under",""),3,500))</f>
        <v/>
      </c>
      <c r="S865" s="12" t="n"/>
      <c r="T865" s="13" t="n"/>
      <c r="U865" s="14" t="n"/>
      <c r="V865" s="12" t="n"/>
      <c r="W865" s="13" t="n"/>
      <c r="X865" s="14" t="n"/>
      <c r="Y865" s="12" t="n"/>
      <c r="Z865" s="13" t="n"/>
      <c r="AA865" s="14" t="n"/>
      <c r="AB865" s="12" t="n"/>
      <c r="AC865" s="13" t="n"/>
      <c r="AD865" s="14" t="n"/>
      <c r="AE865" s="12" t="n"/>
      <c r="AF865" s="13" t="n"/>
      <c r="AG865" s="14" t="n"/>
      <c r="AH865" s="12" t="n"/>
      <c r="AI865" s="13" t="n"/>
      <c r="AJ865" s="14" t="n"/>
      <c r="AK865" s="12" t="n"/>
      <c r="AL865" s="13" t="n"/>
      <c r="AM865" s="14" t="n"/>
      <c r="AN865" s="12" t="n"/>
      <c r="AO865" s="13" t="n"/>
      <c r="AP865" s="14" t="n"/>
      <c r="AQ865" s="12" t="n"/>
      <c r="AR865" s="13" t="n"/>
      <c r="AS865" s="14" t="n"/>
      <c r="AT865" s="12" t="n"/>
      <c r="AU865" s="13" t="n"/>
      <c r="AV865" s="14" t="n"/>
      <c r="AW865" s="12" t="n"/>
      <c r="AX865" s="13" t="n"/>
      <c r="AY865" s="14" t="n"/>
      <c r="AZ865" s="12" t="n"/>
      <c r="BA865" s="13" t="n"/>
      <c r="BB865" s="14" t="n"/>
      <c r="BC865" s="11">
        <f>IF(O865="","",IF(J865="GST 10%",ROUND(O865*set_GSTRate,2),0))</f>
        <v/>
      </c>
      <c r="BD865" s="11">
        <f>IF(O865="","",O865+BC865)</f>
        <v/>
      </c>
      <c r="BE865" s="15">
        <f>IF(O865="","",COUNTA(S865,V865,Y865,AB865,AE865,AH865,AK865,AN865,AQ865,AT865,AW865,AZ865))</f>
        <v/>
      </c>
      <c r="BF865" s="16">
        <f>IF(COUNT(T865,W865,Z865,AC865,AF865,AI865,AL865,AO865,AR865,AU865,AX865,BA865)=0,"",MAX(T865,W865,Z865,AC865,AF865,AI865,AL865,AO865,AR865,AU865,AX865,BA865))</f>
        <v/>
      </c>
      <c r="BG865" s="10">
        <f>MID(IF(S865="","",", "&amp;S865)&amp;IF(V865="","",", "&amp;V865)&amp;IF(Y865="","",", "&amp;Y865)&amp;IF(AB865="","",", "&amp;AB865)&amp;IF(AE865="","",", "&amp;AE865)&amp;IF(AH865="","",", "&amp;AH865)&amp;IF(AK865="","",", "&amp;AK865)&amp;IF(AN865="","",", "&amp;AN865)&amp;IF(AQ865="","",", "&amp;AQ865)&amp;IF(AT865="","",", "&amp;AT865)&amp;IF(AW865="","",", "&amp;AW865)&amp;IF(AZ865="","",", "&amp;AZ865),3,500)</f>
        <v/>
      </c>
      <c r="BH865" s="12" t="n"/>
      <c r="BI865" s="15">
        <f>IFERROR(MATCH($A865,IF($B865="Onsite",tbl_Onsite[Row ID],IF($B865="Production",tbl_Production[Row ID],tbl_Consulting[Row ID])),0),"")</f>
        <v/>
      </c>
    </row>
    <row r="866">
      <c r="A866" s="10" t="inlineStr">
        <is>
          <t>PRD-0360</t>
        </is>
      </c>
      <c r="B866" s="10" t="inlineStr">
        <is>
          <t>Production</t>
        </is>
      </c>
      <c r="C866" s="10">
        <f>IF($BI866="","",IF($B866="Onsite",INDEX(tbl_Onsite[Job Number],$BI866),IF($B866="Production",INDEX(tbl_Production[Job Number],$BI866),INDEX(tbl_Consulting[Job Number],$BI866)))&amp;"")</f>
        <v/>
      </c>
      <c r="D866" s="10">
        <f>IF($BI866="","",IF($B866="Onsite",INDEX(tbl_Onsite[Client],$BI866),IF($B866="Production",INDEX(tbl_Production[Client],$BI866),INDEX(tbl_Consulting[Client],$BI866)))&amp;"")</f>
        <v/>
      </c>
      <c r="E866" s="10">
        <f>IF($C866="","",IF(COUNTIF(lst_Jobs,$C866)&gt;0,"OK","CHECK"))</f>
        <v/>
      </c>
      <c r="F866" s="10">
        <f>IF($C866="","",IFERROR(INDEX(lst_JobName,MATCH($C866,lst_Jobs,0)),""))</f>
        <v/>
      </c>
      <c r="G866" s="10">
        <f>IF($BI866="","",IF($B866="Onsite",INDEX(tbl_Onsite[Job Description],$BI866),IF($B866="Production",INDEX(tbl_Production[Job Description],$BI866),INDEX(tbl_Consulting[Job Description],$BI866)))&amp;"")</f>
        <v/>
      </c>
      <c r="H866" s="10">
        <f>IF($BI866="","",IF($B866="Onsite",INDEX(tbl_Onsite[Cost Centre],$BI866),IF($B866="Production",INDEX(tbl_Production[Cost Centre],$BI866),INDEX(tbl_Consulting[Cost Centre],$BI866)))&amp;"")</f>
        <v/>
      </c>
      <c r="I866" s="10">
        <f>IF($BI866="","",IF($B866="Onsite",INDEX(tbl_Onsite[Invoice Type],$BI866),IF($B866="Production",INDEX(tbl_Production[Invoice Type],$BI866),INDEX(tbl_Consulting[Invoice Type],$BI866)))&amp;"")</f>
        <v/>
      </c>
      <c r="J866" s="10">
        <f>IF($BI866="","",IF($B866="Onsite",INDEX(tbl_Onsite[Tax Code],$BI866),IF($B866="Production",INDEX(tbl_Production[Tax Code],$BI866),INDEX(tbl_Consulting[Tax Code],$BI866)))&amp;"")</f>
        <v/>
      </c>
      <c r="K866" s="10">
        <f>IF(H866="","",IFERROR(INDEX(lst_CCtoGL,MATCH(H866,lst_CCforGL,0)),""))</f>
        <v/>
      </c>
      <c r="L866" s="10">
        <f>IF($BI866="","",IF($B866="Onsite",INDEX(tbl_Onsite[PO / Reference],$BI866),IF($B866="Production",INDEX(tbl_Production[Current RMS No],$BI866),INDEX(tbl_Consulting[Qwilr Quote],$BI866)))&amp;"")</f>
        <v/>
      </c>
      <c r="M866" s="10">
        <f>IF($BI866="","",IF($B866="Onsite",INDEX(tbl_Onsite[Notes],$BI866),IF($B866="Production",INDEX(tbl_Production[Notes],$BI866),INDEX(tbl_Consulting[Notes],$BI866)))&amp;"")</f>
        <v/>
      </c>
      <c r="N866" s="11">
        <f>IF($BI866="","",IF(IF($B866="Onsite",INDEX(tbl_Onsite[Expected Revenue Ex GST],$BI866),IF($B866="Production",INDEX(tbl_Production[Expected Revenue Ex GST],$BI866),INDEX(tbl_Consulting[Expected Revenue Ex GST],$BI866)))="","",IF($B866="Onsite",INDEX(tbl_Onsite[Expected Revenue Ex GST],$BI866),IF($B866="Production",INDEX(tbl_Production[Expected Revenue Ex GST],$BI866),INDEX(tbl_Consulting[Expected Revenue Ex GST],$BI866)))))</f>
        <v/>
      </c>
      <c r="O866" s="11">
        <f>IF(AND($C866="",NOT(COUNTA($S866:$BB866)&gt;0)),"",SUM(U866,X866,AA866,AD866,AG866,AJ866,AM866,AP866,AS866,AV866,AY866,BB866))</f>
        <v/>
      </c>
      <c r="P866" s="11">
        <f>IF(O866="","",N(N866)-O866)</f>
        <v/>
      </c>
      <c r="Q866" s="10">
        <f>IF(O866="","",IF($C866="","Invoice on empty job row",IF(N866="",IF(ROUND(O866,2)=0,"No dept value","Invoiced - no dept value"),IF(ROUND(O866,2)=0,"Not invoiced - to invoice",IF(ROUND(P866,2)=0,"Agrees",IF(P866&gt;0,"Dept higher - to invoice","Xero higher - check dept"))))))</f>
        <v/>
      </c>
      <c r="R866" s="10">
        <f>IF(AND($C866="",NOT(COUNTA($S866:$BB866)&gt;0),$BI866&lt;&gt;""),"",MID(IF($BI866="","; Row ID not found on the department sheet - a row was deleted","")&amp;IF(AND($C866="",COUNTA($S866:$BB866)&gt;0),"; Invoice entered but the department row has no job number","")&amp;IF(E866="CHECK","; Job number not in the Xero job list","")&amp;IF(AND($C866&lt;&gt;"",COUNTIF($C$7:$C$1506,$C866)&gt;1),"; Job number on more than one row","")&amp;IF(AND($C866&lt;&gt;"",H866=""),"; Dept has not set a cost centre","")&amp;IF(AND($C866&lt;&gt;"",J866=""),"; Dept has not set a tax code","")&amp;IF(AND($C866&lt;&gt;"",N866=""),"; Dept has not entered an expected value","")&amp;IF((IF(OR(COUNTA(S866:U866)=0,AND(COUNTA(S866:U866)=3,ISNUMBER(U866))),0,1)+IF(OR(COUNTA(V866:X866)=0,AND(COUNTA(V866:X866)=3,ISNUMBER(X866))),0,1)+IF(OR(COUNTA(Y866:AA866)=0,AND(COUNTA(Y866:AA866)=3,ISNUMBER(AA866))),0,1)+IF(OR(COUNTA(AB866:AD866)=0,AND(COUNTA(AB866:AD866)=3,ISNUMBER(AD866))),0,1)+IF(OR(COUNTA(AE866:AG866)=0,AND(COUNTA(AE866:AG866)=3,ISNUMBER(AG866))),0,1)+IF(OR(COUNTA(AH866:AJ866)=0,AND(COUNTA(AH866:AJ866)=3,ISNUMBER(AJ866))),0,1)+IF(OR(COUNTA(AK866:AM866)=0,AND(COUNTA(AK866:AM866)=3,ISNUMBER(AM866))),0,1)+IF(OR(COUNTA(AN866:AP866)=0,AND(COUNTA(AN866:AP866)=3,ISNUMBER(AP866))),0,1)+IF(OR(COUNTA(AQ866:AS866)=0,AND(COUNTA(AQ866:AS866)=3,ISNUMBER(AS866))),0,1)+IF(OR(COUNTA(AT866:AV866)=0,AND(COUNTA(AT866:AV866)=3,ISNUMBER(AV866))),0,1)+IF(OR(COUNTA(AW866:AY866)=0,AND(COUNTA(AW866:AY866)=3,ISNUMBER(AY866))),0,1)+IF(OR(COUNTA(AZ866:BB866)=0,AND(COUNTA(AZ866:BB866)=3,ISNUMBER(BB866))),0,1))&gt;0,"; An invoice is incomplete (needs No, Date and a number in Ex GST)","")&amp;IF((IF(T866="",0,IFERROR(--(EOMONTH(T866,0)&lt;&gt;S$5),1))+IF(W866="",0,IFERROR(--(EOMONTH(W866,0)&lt;&gt;V$5),1))+IF(Z866="",0,IFERROR(--(EOMONTH(Z866,0)&lt;&gt;Y$5),1))+IF(AC866="",0,IFERROR(--(EOMONTH(AC866,0)&lt;&gt;AB$5),1))+IF(AF866="",0,IFERROR(--(EOMONTH(AF866,0)&lt;&gt;AE$5),1))+IF(AI866="",0,IFERROR(--(EOMONTH(AI866,0)&lt;&gt;AH$5),1))+IF(AL866="",0,IFERROR(--(EOMONTH(AL866,0)&lt;&gt;AK$5),1))+IF(AO866="",0,IFERROR(--(EOMONTH(AO866,0)&lt;&gt;AN$5),1))+IF(AR866="",0,IFERROR(--(EOMONTH(AR866,0)&lt;&gt;AQ$5),1))+IF(AU866="",0,IFERROR(--(EOMONTH(AU866,0)&lt;&gt;AT$5),1))+IF(AX866="",0,IFERROR(--(EOMONTH(AX866,0)&lt;&gt;AW$5),1))+IF(BA866="",0,IFERROR(--(EOMONTH(BA866,0)&lt;&gt;AZ$5),1)))&gt;0,"; An invoice date is not in the month it is typed under",""),3,500))</f>
        <v/>
      </c>
      <c r="S866" s="12" t="n"/>
      <c r="T866" s="13" t="n"/>
      <c r="U866" s="14" t="n"/>
      <c r="V866" s="12" t="n"/>
      <c r="W866" s="13" t="n"/>
      <c r="X866" s="14" t="n"/>
      <c r="Y866" s="12" t="n"/>
      <c r="Z866" s="13" t="n"/>
      <c r="AA866" s="14" t="n"/>
      <c r="AB866" s="12" t="n"/>
      <c r="AC866" s="13" t="n"/>
      <c r="AD866" s="14" t="n"/>
      <c r="AE866" s="12" t="n"/>
      <c r="AF866" s="13" t="n"/>
      <c r="AG866" s="14" t="n"/>
      <c r="AH866" s="12" t="n"/>
      <c r="AI866" s="13" t="n"/>
      <c r="AJ866" s="14" t="n"/>
      <c r="AK866" s="12" t="n"/>
      <c r="AL866" s="13" t="n"/>
      <c r="AM866" s="14" t="n"/>
      <c r="AN866" s="12" t="n"/>
      <c r="AO866" s="13" t="n"/>
      <c r="AP866" s="14" t="n"/>
      <c r="AQ866" s="12" t="n"/>
      <c r="AR866" s="13" t="n"/>
      <c r="AS866" s="14" t="n"/>
      <c r="AT866" s="12" t="n"/>
      <c r="AU866" s="13" t="n"/>
      <c r="AV866" s="14" t="n"/>
      <c r="AW866" s="12" t="n"/>
      <c r="AX866" s="13" t="n"/>
      <c r="AY866" s="14" t="n"/>
      <c r="AZ866" s="12" t="n"/>
      <c r="BA866" s="13" t="n"/>
      <c r="BB866" s="14" t="n"/>
      <c r="BC866" s="11">
        <f>IF(O866="","",IF(J866="GST 10%",ROUND(O866*set_GSTRate,2),0))</f>
        <v/>
      </c>
      <c r="BD866" s="11">
        <f>IF(O866="","",O866+BC866)</f>
        <v/>
      </c>
      <c r="BE866" s="15">
        <f>IF(O866="","",COUNTA(S866,V866,Y866,AB866,AE866,AH866,AK866,AN866,AQ866,AT866,AW866,AZ866))</f>
        <v/>
      </c>
      <c r="BF866" s="16">
        <f>IF(COUNT(T866,W866,Z866,AC866,AF866,AI866,AL866,AO866,AR866,AU866,AX866,BA866)=0,"",MAX(T866,W866,Z866,AC866,AF866,AI866,AL866,AO866,AR866,AU866,AX866,BA866))</f>
        <v/>
      </c>
      <c r="BG866" s="10">
        <f>MID(IF(S866="","",", "&amp;S866)&amp;IF(V866="","",", "&amp;V866)&amp;IF(Y866="","",", "&amp;Y866)&amp;IF(AB866="","",", "&amp;AB866)&amp;IF(AE866="","",", "&amp;AE866)&amp;IF(AH866="","",", "&amp;AH866)&amp;IF(AK866="","",", "&amp;AK866)&amp;IF(AN866="","",", "&amp;AN866)&amp;IF(AQ866="","",", "&amp;AQ866)&amp;IF(AT866="","",", "&amp;AT866)&amp;IF(AW866="","",", "&amp;AW866)&amp;IF(AZ866="","",", "&amp;AZ866),3,500)</f>
        <v/>
      </c>
      <c r="BH866" s="12" t="n"/>
      <c r="BI866" s="15">
        <f>IFERROR(MATCH($A866,IF($B866="Onsite",tbl_Onsite[Row ID],IF($B866="Production",tbl_Production[Row ID],tbl_Consulting[Row ID])),0),"")</f>
        <v/>
      </c>
    </row>
    <row r="867">
      <c r="A867" s="10" t="inlineStr">
        <is>
          <t>PRD-0361</t>
        </is>
      </c>
      <c r="B867" s="10" t="inlineStr">
        <is>
          <t>Production</t>
        </is>
      </c>
      <c r="C867" s="10">
        <f>IF($BI867="","",IF($B867="Onsite",INDEX(tbl_Onsite[Job Number],$BI867),IF($B867="Production",INDEX(tbl_Production[Job Number],$BI867),INDEX(tbl_Consulting[Job Number],$BI867)))&amp;"")</f>
        <v/>
      </c>
      <c r="D867" s="10">
        <f>IF($BI867="","",IF($B867="Onsite",INDEX(tbl_Onsite[Client],$BI867),IF($B867="Production",INDEX(tbl_Production[Client],$BI867),INDEX(tbl_Consulting[Client],$BI867)))&amp;"")</f>
        <v/>
      </c>
      <c r="E867" s="10">
        <f>IF($C867="","",IF(COUNTIF(lst_Jobs,$C867)&gt;0,"OK","CHECK"))</f>
        <v/>
      </c>
      <c r="F867" s="10">
        <f>IF($C867="","",IFERROR(INDEX(lst_JobName,MATCH($C867,lst_Jobs,0)),""))</f>
        <v/>
      </c>
      <c r="G867" s="10">
        <f>IF($BI867="","",IF($B867="Onsite",INDEX(tbl_Onsite[Job Description],$BI867),IF($B867="Production",INDEX(tbl_Production[Job Description],$BI867),INDEX(tbl_Consulting[Job Description],$BI867)))&amp;"")</f>
        <v/>
      </c>
      <c r="H867" s="10">
        <f>IF($BI867="","",IF($B867="Onsite",INDEX(tbl_Onsite[Cost Centre],$BI867),IF($B867="Production",INDEX(tbl_Production[Cost Centre],$BI867),INDEX(tbl_Consulting[Cost Centre],$BI867)))&amp;"")</f>
        <v/>
      </c>
      <c r="I867" s="10">
        <f>IF($BI867="","",IF($B867="Onsite",INDEX(tbl_Onsite[Invoice Type],$BI867),IF($B867="Production",INDEX(tbl_Production[Invoice Type],$BI867),INDEX(tbl_Consulting[Invoice Type],$BI867)))&amp;"")</f>
        <v/>
      </c>
      <c r="J867" s="10">
        <f>IF($BI867="","",IF($B867="Onsite",INDEX(tbl_Onsite[Tax Code],$BI867),IF($B867="Production",INDEX(tbl_Production[Tax Code],$BI867),INDEX(tbl_Consulting[Tax Code],$BI867)))&amp;"")</f>
        <v/>
      </c>
      <c r="K867" s="10">
        <f>IF(H867="","",IFERROR(INDEX(lst_CCtoGL,MATCH(H867,lst_CCforGL,0)),""))</f>
        <v/>
      </c>
      <c r="L867" s="10">
        <f>IF($BI867="","",IF($B867="Onsite",INDEX(tbl_Onsite[PO / Reference],$BI867),IF($B867="Production",INDEX(tbl_Production[Current RMS No],$BI867),INDEX(tbl_Consulting[Qwilr Quote],$BI867)))&amp;"")</f>
        <v/>
      </c>
      <c r="M867" s="10">
        <f>IF($BI867="","",IF($B867="Onsite",INDEX(tbl_Onsite[Notes],$BI867),IF($B867="Production",INDEX(tbl_Production[Notes],$BI867),INDEX(tbl_Consulting[Notes],$BI867)))&amp;"")</f>
        <v/>
      </c>
      <c r="N867" s="11">
        <f>IF($BI867="","",IF(IF($B867="Onsite",INDEX(tbl_Onsite[Expected Revenue Ex GST],$BI867),IF($B867="Production",INDEX(tbl_Production[Expected Revenue Ex GST],$BI867),INDEX(tbl_Consulting[Expected Revenue Ex GST],$BI867)))="","",IF($B867="Onsite",INDEX(tbl_Onsite[Expected Revenue Ex GST],$BI867),IF($B867="Production",INDEX(tbl_Production[Expected Revenue Ex GST],$BI867),INDEX(tbl_Consulting[Expected Revenue Ex GST],$BI867)))))</f>
        <v/>
      </c>
      <c r="O867" s="11">
        <f>IF(AND($C867="",NOT(COUNTA($S867:$BB867)&gt;0)),"",SUM(U867,X867,AA867,AD867,AG867,AJ867,AM867,AP867,AS867,AV867,AY867,BB867))</f>
        <v/>
      </c>
      <c r="P867" s="11">
        <f>IF(O867="","",N(N867)-O867)</f>
        <v/>
      </c>
      <c r="Q867" s="10">
        <f>IF(O867="","",IF($C867="","Invoice on empty job row",IF(N867="",IF(ROUND(O867,2)=0,"No dept value","Invoiced - no dept value"),IF(ROUND(O867,2)=0,"Not invoiced - to invoice",IF(ROUND(P867,2)=0,"Agrees",IF(P867&gt;0,"Dept higher - to invoice","Xero higher - check dept"))))))</f>
        <v/>
      </c>
      <c r="R867" s="10">
        <f>IF(AND($C867="",NOT(COUNTA($S867:$BB867)&gt;0),$BI867&lt;&gt;""),"",MID(IF($BI867="","; Row ID not found on the department sheet - a row was deleted","")&amp;IF(AND($C867="",COUNTA($S867:$BB867)&gt;0),"; Invoice entered but the department row has no job number","")&amp;IF(E867="CHECK","; Job number not in the Xero job list","")&amp;IF(AND($C867&lt;&gt;"",COUNTIF($C$7:$C$1506,$C867)&gt;1),"; Job number on more than one row","")&amp;IF(AND($C867&lt;&gt;"",H867=""),"; Dept has not set a cost centre","")&amp;IF(AND($C867&lt;&gt;"",J867=""),"; Dept has not set a tax code","")&amp;IF(AND($C867&lt;&gt;"",N867=""),"; Dept has not entered an expected value","")&amp;IF((IF(OR(COUNTA(S867:U867)=0,AND(COUNTA(S867:U867)=3,ISNUMBER(U867))),0,1)+IF(OR(COUNTA(V867:X867)=0,AND(COUNTA(V867:X867)=3,ISNUMBER(X867))),0,1)+IF(OR(COUNTA(Y867:AA867)=0,AND(COUNTA(Y867:AA867)=3,ISNUMBER(AA867))),0,1)+IF(OR(COUNTA(AB867:AD867)=0,AND(COUNTA(AB867:AD867)=3,ISNUMBER(AD867))),0,1)+IF(OR(COUNTA(AE867:AG867)=0,AND(COUNTA(AE867:AG867)=3,ISNUMBER(AG867))),0,1)+IF(OR(COUNTA(AH867:AJ867)=0,AND(COUNTA(AH867:AJ867)=3,ISNUMBER(AJ867))),0,1)+IF(OR(COUNTA(AK867:AM867)=0,AND(COUNTA(AK867:AM867)=3,ISNUMBER(AM867))),0,1)+IF(OR(COUNTA(AN867:AP867)=0,AND(COUNTA(AN867:AP867)=3,ISNUMBER(AP867))),0,1)+IF(OR(COUNTA(AQ867:AS867)=0,AND(COUNTA(AQ867:AS867)=3,ISNUMBER(AS867))),0,1)+IF(OR(COUNTA(AT867:AV867)=0,AND(COUNTA(AT867:AV867)=3,ISNUMBER(AV867))),0,1)+IF(OR(COUNTA(AW867:AY867)=0,AND(COUNTA(AW867:AY867)=3,ISNUMBER(AY867))),0,1)+IF(OR(COUNTA(AZ867:BB867)=0,AND(COUNTA(AZ867:BB867)=3,ISNUMBER(BB867))),0,1))&gt;0,"; An invoice is incomplete (needs No, Date and a number in Ex GST)","")&amp;IF((IF(T867="",0,IFERROR(--(EOMONTH(T867,0)&lt;&gt;S$5),1))+IF(W867="",0,IFERROR(--(EOMONTH(W867,0)&lt;&gt;V$5),1))+IF(Z867="",0,IFERROR(--(EOMONTH(Z867,0)&lt;&gt;Y$5),1))+IF(AC867="",0,IFERROR(--(EOMONTH(AC867,0)&lt;&gt;AB$5),1))+IF(AF867="",0,IFERROR(--(EOMONTH(AF867,0)&lt;&gt;AE$5),1))+IF(AI867="",0,IFERROR(--(EOMONTH(AI867,0)&lt;&gt;AH$5),1))+IF(AL867="",0,IFERROR(--(EOMONTH(AL867,0)&lt;&gt;AK$5),1))+IF(AO867="",0,IFERROR(--(EOMONTH(AO867,0)&lt;&gt;AN$5),1))+IF(AR867="",0,IFERROR(--(EOMONTH(AR867,0)&lt;&gt;AQ$5),1))+IF(AU867="",0,IFERROR(--(EOMONTH(AU867,0)&lt;&gt;AT$5),1))+IF(AX867="",0,IFERROR(--(EOMONTH(AX867,0)&lt;&gt;AW$5),1))+IF(BA867="",0,IFERROR(--(EOMONTH(BA867,0)&lt;&gt;AZ$5),1)))&gt;0,"; An invoice date is not in the month it is typed under",""),3,500))</f>
        <v/>
      </c>
      <c r="S867" s="12" t="n"/>
      <c r="T867" s="13" t="n"/>
      <c r="U867" s="14" t="n"/>
      <c r="V867" s="12" t="n"/>
      <c r="W867" s="13" t="n"/>
      <c r="X867" s="14" t="n"/>
      <c r="Y867" s="12" t="n"/>
      <c r="Z867" s="13" t="n"/>
      <c r="AA867" s="14" t="n"/>
      <c r="AB867" s="12" t="n"/>
      <c r="AC867" s="13" t="n"/>
      <c r="AD867" s="14" t="n"/>
      <c r="AE867" s="12" t="n"/>
      <c r="AF867" s="13" t="n"/>
      <c r="AG867" s="14" t="n"/>
      <c r="AH867" s="12" t="n"/>
      <c r="AI867" s="13" t="n"/>
      <c r="AJ867" s="14" t="n"/>
      <c r="AK867" s="12" t="n"/>
      <c r="AL867" s="13" t="n"/>
      <c r="AM867" s="14" t="n"/>
      <c r="AN867" s="12" t="n"/>
      <c r="AO867" s="13" t="n"/>
      <c r="AP867" s="14" t="n"/>
      <c r="AQ867" s="12" t="n"/>
      <c r="AR867" s="13" t="n"/>
      <c r="AS867" s="14" t="n"/>
      <c r="AT867" s="12" t="n"/>
      <c r="AU867" s="13" t="n"/>
      <c r="AV867" s="14" t="n"/>
      <c r="AW867" s="12" t="n"/>
      <c r="AX867" s="13" t="n"/>
      <c r="AY867" s="14" t="n"/>
      <c r="AZ867" s="12" t="n"/>
      <c r="BA867" s="13" t="n"/>
      <c r="BB867" s="14" t="n"/>
      <c r="BC867" s="11">
        <f>IF(O867="","",IF(J867="GST 10%",ROUND(O867*set_GSTRate,2),0))</f>
        <v/>
      </c>
      <c r="BD867" s="11">
        <f>IF(O867="","",O867+BC867)</f>
        <v/>
      </c>
      <c r="BE867" s="15">
        <f>IF(O867="","",COUNTA(S867,V867,Y867,AB867,AE867,AH867,AK867,AN867,AQ867,AT867,AW867,AZ867))</f>
        <v/>
      </c>
      <c r="BF867" s="16">
        <f>IF(COUNT(T867,W867,Z867,AC867,AF867,AI867,AL867,AO867,AR867,AU867,AX867,BA867)=0,"",MAX(T867,W867,Z867,AC867,AF867,AI867,AL867,AO867,AR867,AU867,AX867,BA867))</f>
        <v/>
      </c>
      <c r="BG867" s="10">
        <f>MID(IF(S867="","",", "&amp;S867)&amp;IF(V867="","",", "&amp;V867)&amp;IF(Y867="","",", "&amp;Y867)&amp;IF(AB867="","",", "&amp;AB867)&amp;IF(AE867="","",", "&amp;AE867)&amp;IF(AH867="","",", "&amp;AH867)&amp;IF(AK867="","",", "&amp;AK867)&amp;IF(AN867="","",", "&amp;AN867)&amp;IF(AQ867="","",", "&amp;AQ867)&amp;IF(AT867="","",", "&amp;AT867)&amp;IF(AW867="","",", "&amp;AW867)&amp;IF(AZ867="","",", "&amp;AZ867),3,500)</f>
        <v/>
      </c>
      <c r="BH867" s="12" t="n"/>
      <c r="BI867" s="15">
        <f>IFERROR(MATCH($A867,IF($B867="Onsite",tbl_Onsite[Row ID],IF($B867="Production",tbl_Production[Row ID],tbl_Consulting[Row ID])),0),"")</f>
        <v/>
      </c>
    </row>
    <row r="868">
      <c r="A868" s="10" t="inlineStr">
        <is>
          <t>PRD-0362</t>
        </is>
      </c>
      <c r="B868" s="10" t="inlineStr">
        <is>
          <t>Production</t>
        </is>
      </c>
      <c r="C868" s="10">
        <f>IF($BI868="","",IF($B868="Onsite",INDEX(tbl_Onsite[Job Number],$BI868),IF($B868="Production",INDEX(tbl_Production[Job Number],$BI868),INDEX(tbl_Consulting[Job Number],$BI868)))&amp;"")</f>
        <v/>
      </c>
      <c r="D868" s="10">
        <f>IF($BI868="","",IF($B868="Onsite",INDEX(tbl_Onsite[Client],$BI868),IF($B868="Production",INDEX(tbl_Production[Client],$BI868),INDEX(tbl_Consulting[Client],$BI868)))&amp;"")</f>
        <v/>
      </c>
      <c r="E868" s="10">
        <f>IF($C868="","",IF(COUNTIF(lst_Jobs,$C868)&gt;0,"OK","CHECK"))</f>
        <v/>
      </c>
      <c r="F868" s="10">
        <f>IF($C868="","",IFERROR(INDEX(lst_JobName,MATCH($C868,lst_Jobs,0)),""))</f>
        <v/>
      </c>
      <c r="G868" s="10">
        <f>IF($BI868="","",IF($B868="Onsite",INDEX(tbl_Onsite[Job Description],$BI868),IF($B868="Production",INDEX(tbl_Production[Job Description],$BI868),INDEX(tbl_Consulting[Job Description],$BI868)))&amp;"")</f>
        <v/>
      </c>
      <c r="H868" s="10">
        <f>IF($BI868="","",IF($B868="Onsite",INDEX(tbl_Onsite[Cost Centre],$BI868),IF($B868="Production",INDEX(tbl_Production[Cost Centre],$BI868),INDEX(tbl_Consulting[Cost Centre],$BI868)))&amp;"")</f>
        <v/>
      </c>
      <c r="I868" s="10">
        <f>IF($BI868="","",IF($B868="Onsite",INDEX(tbl_Onsite[Invoice Type],$BI868),IF($B868="Production",INDEX(tbl_Production[Invoice Type],$BI868),INDEX(tbl_Consulting[Invoice Type],$BI868)))&amp;"")</f>
        <v/>
      </c>
      <c r="J868" s="10">
        <f>IF($BI868="","",IF($B868="Onsite",INDEX(tbl_Onsite[Tax Code],$BI868),IF($B868="Production",INDEX(tbl_Production[Tax Code],$BI868),INDEX(tbl_Consulting[Tax Code],$BI868)))&amp;"")</f>
        <v/>
      </c>
      <c r="K868" s="10">
        <f>IF(H868="","",IFERROR(INDEX(lst_CCtoGL,MATCH(H868,lst_CCforGL,0)),""))</f>
        <v/>
      </c>
      <c r="L868" s="10">
        <f>IF($BI868="","",IF($B868="Onsite",INDEX(tbl_Onsite[PO / Reference],$BI868),IF($B868="Production",INDEX(tbl_Production[Current RMS No],$BI868),INDEX(tbl_Consulting[Qwilr Quote],$BI868)))&amp;"")</f>
        <v/>
      </c>
      <c r="M868" s="10">
        <f>IF($BI868="","",IF($B868="Onsite",INDEX(tbl_Onsite[Notes],$BI868),IF($B868="Production",INDEX(tbl_Production[Notes],$BI868),INDEX(tbl_Consulting[Notes],$BI868)))&amp;"")</f>
        <v/>
      </c>
      <c r="N868" s="11">
        <f>IF($BI868="","",IF(IF($B868="Onsite",INDEX(tbl_Onsite[Expected Revenue Ex GST],$BI868),IF($B868="Production",INDEX(tbl_Production[Expected Revenue Ex GST],$BI868),INDEX(tbl_Consulting[Expected Revenue Ex GST],$BI868)))="","",IF($B868="Onsite",INDEX(tbl_Onsite[Expected Revenue Ex GST],$BI868),IF($B868="Production",INDEX(tbl_Production[Expected Revenue Ex GST],$BI868),INDEX(tbl_Consulting[Expected Revenue Ex GST],$BI868)))))</f>
        <v/>
      </c>
      <c r="O868" s="11">
        <f>IF(AND($C868="",NOT(COUNTA($S868:$BB868)&gt;0)),"",SUM(U868,X868,AA868,AD868,AG868,AJ868,AM868,AP868,AS868,AV868,AY868,BB868))</f>
        <v/>
      </c>
      <c r="P868" s="11">
        <f>IF(O868="","",N(N868)-O868)</f>
        <v/>
      </c>
      <c r="Q868" s="10">
        <f>IF(O868="","",IF($C868="","Invoice on empty job row",IF(N868="",IF(ROUND(O868,2)=0,"No dept value","Invoiced - no dept value"),IF(ROUND(O868,2)=0,"Not invoiced - to invoice",IF(ROUND(P868,2)=0,"Agrees",IF(P868&gt;0,"Dept higher - to invoice","Xero higher - check dept"))))))</f>
        <v/>
      </c>
      <c r="R868" s="10">
        <f>IF(AND($C868="",NOT(COUNTA($S868:$BB868)&gt;0),$BI868&lt;&gt;""),"",MID(IF($BI868="","; Row ID not found on the department sheet - a row was deleted","")&amp;IF(AND($C868="",COUNTA($S868:$BB868)&gt;0),"; Invoice entered but the department row has no job number","")&amp;IF(E868="CHECK","; Job number not in the Xero job list","")&amp;IF(AND($C868&lt;&gt;"",COUNTIF($C$7:$C$1506,$C868)&gt;1),"; Job number on more than one row","")&amp;IF(AND($C868&lt;&gt;"",H868=""),"; Dept has not set a cost centre","")&amp;IF(AND($C868&lt;&gt;"",J868=""),"; Dept has not set a tax code","")&amp;IF(AND($C868&lt;&gt;"",N868=""),"; Dept has not entered an expected value","")&amp;IF((IF(OR(COUNTA(S868:U868)=0,AND(COUNTA(S868:U868)=3,ISNUMBER(U868))),0,1)+IF(OR(COUNTA(V868:X868)=0,AND(COUNTA(V868:X868)=3,ISNUMBER(X868))),0,1)+IF(OR(COUNTA(Y868:AA868)=0,AND(COUNTA(Y868:AA868)=3,ISNUMBER(AA868))),0,1)+IF(OR(COUNTA(AB868:AD868)=0,AND(COUNTA(AB868:AD868)=3,ISNUMBER(AD868))),0,1)+IF(OR(COUNTA(AE868:AG868)=0,AND(COUNTA(AE868:AG868)=3,ISNUMBER(AG868))),0,1)+IF(OR(COUNTA(AH868:AJ868)=0,AND(COUNTA(AH868:AJ868)=3,ISNUMBER(AJ868))),0,1)+IF(OR(COUNTA(AK868:AM868)=0,AND(COUNTA(AK868:AM868)=3,ISNUMBER(AM868))),0,1)+IF(OR(COUNTA(AN868:AP868)=0,AND(COUNTA(AN868:AP868)=3,ISNUMBER(AP868))),0,1)+IF(OR(COUNTA(AQ868:AS868)=0,AND(COUNTA(AQ868:AS868)=3,ISNUMBER(AS868))),0,1)+IF(OR(COUNTA(AT868:AV868)=0,AND(COUNTA(AT868:AV868)=3,ISNUMBER(AV868))),0,1)+IF(OR(COUNTA(AW868:AY868)=0,AND(COUNTA(AW868:AY868)=3,ISNUMBER(AY868))),0,1)+IF(OR(COUNTA(AZ868:BB868)=0,AND(COUNTA(AZ868:BB868)=3,ISNUMBER(BB868))),0,1))&gt;0,"; An invoice is incomplete (needs No, Date and a number in Ex GST)","")&amp;IF((IF(T868="",0,IFERROR(--(EOMONTH(T868,0)&lt;&gt;S$5),1))+IF(W868="",0,IFERROR(--(EOMONTH(W868,0)&lt;&gt;V$5),1))+IF(Z868="",0,IFERROR(--(EOMONTH(Z868,0)&lt;&gt;Y$5),1))+IF(AC868="",0,IFERROR(--(EOMONTH(AC868,0)&lt;&gt;AB$5),1))+IF(AF868="",0,IFERROR(--(EOMONTH(AF868,0)&lt;&gt;AE$5),1))+IF(AI868="",0,IFERROR(--(EOMONTH(AI868,0)&lt;&gt;AH$5),1))+IF(AL868="",0,IFERROR(--(EOMONTH(AL868,0)&lt;&gt;AK$5),1))+IF(AO868="",0,IFERROR(--(EOMONTH(AO868,0)&lt;&gt;AN$5),1))+IF(AR868="",0,IFERROR(--(EOMONTH(AR868,0)&lt;&gt;AQ$5),1))+IF(AU868="",0,IFERROR(--(EOMONTH(AU868,0)&lt;&gt;AT$5),1))+IF(AX868="",0,IFERROR(--(EOMONTH(AX868,0)&lt;&gt;AW$5),1))+IF(BA868="",0,IFERROR(--(EOMONTH(BA868,0)&lt;&gt;AZ$5),1)))&gt;0,"; An invoice date is not in the month it is typed under",""),3,500))</f>
        <v/>
      </c>
      <c r="S868" s="12" t="n"/>
      <c r="T868" s="13" t="n"/>
      <c r="U868" s="14" t="n"/>
      <c r="V868" s="12" t="n"/>
      <c r="W868" s="13" t="n"/>
      <c r="X868" s="14" t="n"/>
      <c r="Y868" s="12" t="n"/>
      <c r="Z868" s="13" t="n"/>
      <c r="AA868" s="14" t="n"/>
      <c r="AB868" s="12" t="n"/>
      <c r="AC868" s="13" t="n"/>
      <c r="AD868" s="14" t="n"/>
      <c r="AE868" s="12" t="n"/>
      <c r="AF868" s="13" t="n"/>
      <c r="AG868" s="14" t="n"/>
      <c r="AH868" s="12" t="n"/>
      <c r="AI868" s="13" t="n"/>
      <c r="AJ868" s="14" t="n"/>
      <c r="AK868" s="12" t="n"/>
      <c r="AL868" s="13" t="n"/>
      <c r="AM868" s="14" t="n"/>
      <c r="AN868" s="12" t="n"/>
      <c r="AO868" s="13" t="n"/>
      <c r="AP868" s="14" t="n"/>
      <c r="AQ868" s="12" t="n"/>
      <c r="AR868" s="13" t="n"/>
      <c r="AS868" s="14" t="n"/>
      <c r="AT868" s="12" t="n"/>
      <c r="AU868" s="13" t="n"/>
      <c r="AV868" s="14" t="n"/>
      <c r="AW868" s="12" t="n"/>
      <c r="AX868" s="13" t="n"/>
      <c r="AY868" s="14" t="n"/>
      <c r="AZ868" s="12" t="n"/>
      <c r="BA868" s="13" t="n"/>
      <c r="BB868" s="14" t="n"/>
      <c r="BC868" s="11">
        <f>IF(O868="","",IF(J868="GST 10%",ROUND(O868*set_GSTRate,2),0))</f>
        <v/>
      </c>
      <c r="BD868" s="11">
        <f>IF(O868="","",O868+BC868)</f>
        <v/>
      </c>
      <c r="BE868" s="15">
        <f>IF(O868="","",COUNTA(S868,V868,Y868,AB868,AE868,AH868,AK868,AN868,AQ868,AT868,AW868,AZ868))</f>
        <v/>
      </c>
      <c r="BF868" s="16">
        <f>IF(COUNT(T868,W868,Z868,AC868,AF868,AI868,AL868,AO868,AR868,AU868,AX868,BA868)=0,"",MAX(T868,W868,Z868,AC868,AF868,AI868,AL868,AO868,AR868,AU868,AX868,BA868))</f>
        <v/>
      </c>
      <c r="BG868" s="10">
        <f>MID(IF(S868="","",", "&amp;S868)&amp;IF(V868="","",", "&amp;V868)&amp;IF(Y868="","",", "&amp;Y868)&amp;IF(AB868="","",", "&amp;AB868)&amp;IF(AE868="","",", "&amp;AE868)&amp;IF(AH868="","",", "&amp;AH868)&amp;IF(AK868="","",", "&amp;AK868)&amp;IF(AN868="","",", "&amp;AN868)&amp;IF(AQ868="","",", "&amp;AQ868)&amp;IF(AT868="","",", "&amp;AT868)&amp;IF(AW868="","",", "&amp;AW868)&amp;IF(AZ868="","",", "&amp;AZ868),3,500)</f>
        <v/>
      </c>
      <c r="BH868" s="12" t="n"/>
      <c r="BI868" s="15">
        <f>IFERROR(MATCH($A868,IF($B868="Onsite",tbl_Onsite[Row ID],IF($B868="Production",tbl_Production[Row ID],tbl_Consulting[Row ID])),0),"")</f>
        <v/>
      </c>
    </row>
    <row r="869">
      <c r="A869" s="10" t="inlineStr">
        <is>
          <t>PRD-0363</t>
        </is>
      </c>
      <c r="B869" s="10" t="inlineStr">
        <is>
          <t>Production</t>
        </is>
      </c>
      <c r="C869" s="10">
        <f>IF($BI869="","",IF($B869="Onsite",INDEX(tbl_Onsite[Job Number],$BI869),IF($B869="Production",INDEX(tbl_Production[Job Number],$BI869),INDEX(tbl_Consulting[Job Number],$BI869)))&amp;"")</f>
        <v/>
      </c>
      <c r="D869" s="10">
        <f>IF($BI869="","",IF($B869="Onsite",INDEX(tbl_Onsite[Client],$BI869),IF($B869="Production",INDEX(tbl_Production[Client],$BI869),INDEX(tbl_Consulting[Client],$BI869)))&amp;"")</f>
        <v/>
      </c>
      <c r="E869" s="10">
        <f>IF($C869="","",IF(COUNTIF(lst_Jobs,$C869)&gt;0,"OK","CHECK"))</f>
        <v/>
      </c>
      <c r="F869" s="10">
        <f>IF($C869="","",IFERROR(INDEX(lst_JobName,MATCH($C869,lst_Jobs,0)),""))</f>
        <v/>
      </c>
      <c r="G869" s="10">
        <f>IF($BI869="","",IF($B869="Onsite",INDEX(tbl_Onsite[Job Description],$BI869),IF($B869="Production",INDEX(tbl_Production[Job Description],$BI869),INDEX(tbl_Consulting[Job Description],$BI869)))&amp;"")</f>
        <v/>
      </c>
      <c r="H869" s="10">
        <f>IF($BI869="","",IF($B869="Onsite",INDEX(tbl_Onsite[Cost Centre],$BI869),IF($B869="Production",INDEX(tbl_Production[Cost Centre],$BI869),INDEX(tbl_Consulting[Cost Centre],$BI869)))&amp;"")</f>
        <v/>
      </c>
      <c r="I869" s="10">
        <f>IF($BI869="","",IF($B869="Onsite",INDEX(tbl_Onsite[Invoice Type],$BI869),IF($B869="Production",INDEX(tbl_Production[Invoice Type],$BI869),INDEX(tbl_Consulting[Invoice Type],$BI869)))&amp;"")</f>
        <v/>
      </c>
      <c r="J869" s="10">
        <f>IF($BI869="","",IF($B869="Onsite",INDEX(tbl_Onsite[Tax Code],$BI869),IF($B869="Production",INDEX(tbl_Production[Tax Code],$BI869),INDEX(tbl_Consulting[Tax Code],$BI869)))&amp;"")</f>
        <v/>
      </c>
      <c r="K869" s="10">
        <f>IF(H869="","",IFERROR(INDEX(lst_CCtoGL,MATCH(H869,lst_CCforGL,0)),""))</f>
        <v/>
      </c>
      <c r="L869" s="10">
        <f>IF($BI869="","",IF($B869="Onsite",INDEX(tbl_Onsite[PO / Reference],$BI869),IF($B869="Production",INDEX(tbl_Production[Current RMS No],$BI869),INDEX(tbl_Consulting[Qwilr Quote],$BI869)))&amp;"")</f>
        <v/>
      </c>
      <c r="M869" s="10">
        <f>IF($BI869="","",IF($B869="Onsite",INDEX(tbl_Onsite[Notes],$BI869),IF($B869="Production",INDEX(tbl_Production[Notes],$BI869),INDEX(tbl_Consulting[Notes],$BI869)))&amp;"")</f>
        <v/>
      </c>
      <c r="N869" s="11">
        <f>IF($BI869="","",IF(IF($B869="Onsite",INDEX(tbl_Onsite[Expected Revenue Ex GST],$BI869),IF($B869="Production",INDEX(tbl_Production[Expected Revenue Ex GST],$BI869),INDEX(tbl_Consulting[Expected Revenue Ex GST],$BI869)))="","",IF($B869="Onsite",INDEX(tbl_Onsite[Expected Revenue Ex GST],$BI869),IF($B869="Production",INDEX(tbl_Production[Expected Revenue Ex GST],$BI869),INDEX(tbl_Consulting[Expected Revenue Ex GST],$BI869)))))</f>
        <v/>
      </c>
      <c r="O869" s="11">
        <f>IF(AND($C869="",NOT(COUNTA($S869:$BB869)&gt;0)),"",SUM(U869,X869,AA869,AD869,AG869,AJ869,AM869,AP869,AS869,AV869,AY869,BB869))</f>
        <v/>
      </c>
      <c r="P869" s="11">
        <f>IF(O869="","",N(N869)-O869)</f>
        <v/>
      </c>
      <c r="Q869" s="10">
        <f>IF(O869="","",IF($C869="","Invoice on empty job row",IF(N869="",IF(ROUND(O869,2)=0,"No dept value","Invoiced - no dept value"),IF(ROUND(O869,2)=0,"Not invoiced - to invoice",IF(ROUND(P869,2)=0,"Agrees",IF(P869&gt;0,"Dept higher - to invoice","Xero higher - check dept"))))))</f>
        <v/>
      </c>
      <c r="R869" s="10">
        <f>IF(AND($C869="",NOT(COUNTA($S869:$BB869)&gt;0),$BI869&lt;&gt;""),"",MID(IF($BI869="","; Row ID not found on the department sheet - a row was deleted","")&amp;IF(AND($C869="",COUNTA($S869:$BB869)&gt;0),"; Invoice entered but the department row has no job number","")&amp;IF(E869="CHECK","; Job number not in the Xero job list","")&amp;IF(AND($C869&lt;&gt;"",COUNTIF($C$7:$C$1506,$C869)&gt;1),"; Job number on more than one row","")&amp;IF(AND($C869&lt;&gt;"",H869=""),"; Dept has not set a cost centre","")&amp;IF(AND($C869&lt;&gt;"",J869=""),"; Dept has not set a tax code","")&amp;IF(AND($C869&lt;&gt;"",N869=""),"; Dept has not entered an expected value","")&amp;IF((IF(OR(COUNTA(S869:U869)=0,AND(COUNTA(S869:U869)=3,ISNUMBER(U869))),0,1)+IF(OR(COUNTA(V869:X869)=0,AND(COUNTA(V869:X869)=3,ISNUMBER(X869))),0,1)+IF(OR(COUNTA(Y869:AA869)=0,AND(COUNTA(Y869:AA869)=3,ISNUMBER(AA869))),0,1)+IF(OR(COUNTA(AB869:AD869)=0,AND(COUNTA(AB869:AD869)=3,ISNUMBER(AD869))),0,1)+IF(OR(COUNTA(AE869:AG869)=0,AND(COUNTA(AE869:AG869)=3,ISNUMBER(AG869))),0,1)+IF(OR(COUNTA(AH869:AJ869)=0,AND(COUNTA(AH869:AJ869)=3,ISNUMBER(AJ869))),0,1)+IF(OR(COUNTA(AK869:AM869)=0,AND(COUNTA(AK869:AM869)=3,ISNUMBER(AM869))),0,1)+IF(OR(COUNTA(AN869:AP869)=0,AND(COUNTA(AN869:AP869)=3,ISNUMBER(AP869))),0,1)+IF(OR(COUNTA(AQ869:AS869)=0,AND(COUNTA(AQ869:AS869)=3,ISNUMBER(AS869))),0,1)+IF(OR(COUNTA(AT869:AV869)=0,AND(COUNTA(AT869:AV869)=3,ISNUMBER(AV869))),0,1)+IF(OR(COUNTA(AW869:AY869)=0,AND(COUNTA(AW869:AY869)=3,ISNUMBER(AY869))),0,1)+IF(OR(COUNTA(AZ869:BB869)=0,AND(COUNTA(AZ869:BB869)=3,ISNUMBER(BB869))),0,1))&gt;0,"; An invoice is incomplete (needs No, Date and a number in Ex GST)","")&amp;IF((IF(T869="",0,IFERROR(--(EOMONTH(T869,0)&lt;&gt;S$5),1))+IF(W869="",0,IFERROR(--(EOMONTH(W869,0)&lt;&gt;V$5),1))+IF(Z869="",0,IFERROR(--(EOMONTH(Z869,0)&lt;&gt;Y$5),1))+IF(AC869="",0,IFERROR(--(EOMONTH(AC869,0)&lt;&gt;AB$5),1))+IF(AF869="",0,IFERROR(--(EOMONTH(AF869,0)&lt;&gt;AE$5),1))+IF(AI869="",0,IFERROR(--(EOMONTH(AI869,0)&lt;&gt;AH$5),1))+IF(AL869="",0,IFERROR(--(EOMONTH(AL869,0)&lt;&gt;AK$5),1))+IF(AO869="",0,IFERROR(--(EOMONTH(AO869,0)&lt;&gt;AN$5),1))+IF(AR869="",0,IFERROR(--(EOMONTH(AR869,0)&lt;&gt;AQ$5),1))+IF(AU869="",0,IFERROR(--(EOMONTH(AU869,0)&lt;&gt;AT$5),1))+IF(AX869="",0,IFERROR(--(EOMONTH(AX869,0)&lt;&gt;AW$5),1))+IF(BA869="",0,IFERROR(--(EOMONTH(BA869,0)&lt;&gt;AZ$5),1)))&gt;0,"; An invoice date is not in the month it is typed under",""),3,500))</f>
        <v/>
      </c>
      <c r="S869" s="12" t="n"/>
      <c r="T869" s="13" t="n"/>
      <c r="U869" s="14" t="n"/>
      <c r="V869" s="12" t="n"/>
      <c r="W869" s="13" t="n"/>
      <c r="X869" s="14" t="n"/>
      <c r="Y869" s="12" t="n"/>
      <c r="Z869" s="13" t="n"/>
      <c r="AA869" s="14" t="n"/>
      <c r="AB869" s="12" t="n"/>
      <c r="AC869" s="13" t="n"/>
      <c r="AD869" s="14" t="n"/>
      <c r="AE869" s="12" t="n"/>
      <c r="AF869" s="13" t="n"/>
      <c r="AG869" s="14" t="n"/>
      <c r="AH869" s="12" t="n"/>
      <c r="AI869" s="13" t="n"/>
      <c r="AJ869" s="14" t="n"/>
      <c r="AK869" s="12" t="n"/>
      <c r="AL869" s="13" t="n"/>
      <c r="AM869" s="14" t="n"/>
      <c r="AN869" s="12" t="n"/>
      <c r="AO869" s="13" t="n"/>
      <c r="AP869" s="14" t="n"/>
      <c r="AQ869" s="12" t="n"/>
      <c r="AR869" s="13" t="n"/>
      <c r="AS869" s="14" t="n"/>
      <c r="AT869" s="12" t="n"/>
      <c r="AU869" s="13" t="n"/>
      <c r="AV869" s="14" t="n"/>
      <c r="AW869" s="12" t="n"/>
      <c r="AX869" s="13" t="n"/>
      <c r="AY869" s="14" t="n"/>
      <c r="AZ869" s="12" t="n"/>
      <c r="BA869" s="13" t="n"/>
      <c r="BB869" s="14" t="n"/>
      <c r="BC869" s="11">
        <f>IF(O869="","",IF(J869="GST 10%",ROUND(O869*set_GSTRate,2),0))</f>
        <v/>
      </c>
      <c r="BD869" s="11">
        <f>IF(O869="","",O869+BC869)</f>
        <v/>
      </c>
      <c r="BE869" s="15">
        <f>IF(O869="","",COUNTA(S869,V869,Y869,AB869,AE869,AH869,AK869,AN869,AQ869,AT869,AW869,AZ869))</f>
        <v/>
      </c>
      <c r="BF869" s="16">
        <f>IF(COUNT(T869,W869,Z869,AC869,AF869,AI869,AL869,AO869,AR869,AU869,AX869,BA869)=0,"",MAX(T869,W869,Z869,AC869,AF869,AI869,AL869,AO869,AR869,AU869,AX869,BA869))</f>
        <v/>
      </c>
      <c r="BG869" s="10">
        <f>MID(IF(S869="","",", "&amp;S869)&amp;IF(V869="","",", "&amp;V869)&amp;IF(Y869="","",", "&amp;Y869)&amp;IF(AB869="","",", "&amp;AB869)&amp;IF(AE869="","",", "&amp;AE869)&amp;IF(AH869="","",", "&amp;AH869)&amp;IF(AK869="","",", "&amp;AK869)&amp;IF(AN869="","",", "&amp;AN869)&amp;IF(AQ869="","",", "&amp;AQ869)&amp;IF(AT869="","",", "&amp;AT869)&amp;IF(AW869="","",", "&amp;AW869)&amp;IF(AZ869="","",", "&amp;AZ869),3,500)</f>
        <v/>
      </c>
      <c r="BH869" s="12" t="n"/>
      <c r="BI869" s="15">
        <f>IFERROR(MATCH($A869,IF($B869="Onsite",tbl_Onsite[Row ID],IF($B869="Production",tbl_Production[Row ID],tbl_Consulting[Row ID])),0),"")</f>
        <v/>
      </c>
    </row>
    <row r="870">
      <c r="A870" s="10" t="inlineStr">
        <is>
          <t>PRD-0364</t>
        </is>
      </c>
      <c r="B870" s="10" t="inlineStr">
        <is>
          <t>Production</t>
        </is>
      </c>
      <c r="C870" s="10">
        <f>IF($BI870="","",IF($B870="Onsite",INDEX(tbl_Onsite[Job Number],$BI870),IF($B870="Production",INDEX(tbl_Production[Job Number],$BI870),INDEX(tbl_Consulting[Job Number],$BI870)))&amp;"")</f>
        <v/>
      </c>
      <c r="D870" s="10">
        <f>IF($BI870="","",IF($B870="Onsite",INDEX(tbl_Onsite[Client],$BI870),IF($B870="Production",INDEX(tbl_Production[Client],$BI870),INDEX(tbl_Consulting[Client],$BI870)))&amp;"")</f>
        <v/>
      </c>
      <c r="E870" s="10">
        <f>IF($C870="","",IF(COUNTIF(lst_Jobs,$C870)&gt;0,"OK","CHECK"))</f>
        <v/>
      </c>
      <c r="F870" s="10">
        <f>IF($C870="","",IFERROR(INDEX(lst_JobName,MATCH($C870,lst_Jobs,0)),""))</f>
        <v/>
      </c>
      <c r="G870" s="10">
        <f>IF($BI870="","",IF($B870="Onsite",INDEX(tbl_Onsite[Job Description],$BI870),IF($B870="Production",INDEX(tbl_Production[Job Description],$BI870),INDEX(tbl_Consulting[Job Description],$BI870)))&amp;"")</f>
        <v/>
      </c>
      <c r="H870" s="10">
        <f>IF($BI870="","",IF($B870="Onsite",INDEX(tbl_Onsite[Cost Centre],$BI870),IF($B870="Production",INDEX(tbl_Production[Cost Centre],$BI870),INDEX(tbl_Consulting[Cost Centre],$BI870)))&amp;"")</f>
        <v/>
      </c>
      <c r="I870" s="10">
        <f>IF($BI870="","",IF($B870="Onsite",INDEX(tbl_Onsite[Invoice Type],$BI870),IF($B870="Production",INDEX(tbl_Production[Invoice Type],$BI870),INDEX(tbl_Consulting[Invoice Type],$BI870)))&amp;"")</f>
        <v/>
      </c>
      <c r="J870" s="10">
        <f>IF($BI870="","",IF($B870="Onsite",INDEX(tbl_Onsite[Tax Code],$BI870),IF($B870="Production",INDEX(tbl_Production[Tax Code],$BI870),INDEX(tbl_Consulting[Tax Code],$BI870)))&amp;"")</f>
        <v/>
      </c>
      <c r="K870" s="10">
        <f>IF(H870="","",IFERROR(INDEX(lst_CCtoGL,MATCH(H870,lst_CCforGL,0)),""))</f>
        <v/>
      </c>
      <c r="L870" s="10">
        <f>IF($BI870="","",IF($B870="Onsite",INDEX(tbl_Onsite[PO / Reference],$BI870),IF($B870="Production",INDEX(tbl_Production[Current RMS No],$BI870),INDEX(tbl_Consulting[Qwilr Quote],$BI870)))&amp;"")</f>
        <v/>
      </c>
      <c r="M870" s="10">
        <f>IF($BI870="","",IF($B870="Onsite",INDEX(tbl_Onsite[Notes],$BI870),IF($B870="Production",INDEX(tbl_Production[Notes],$BI870),INDEX(tbl_Consulting[Notes],$BI870)))&amp;"")</f>
        <v/>
      </c>
      <c r="N870" s="11">
        <f>IF($BI870="","",IF(IF($B870="Onsite",INDEX(tbl_Onsite[Expected Revenue Ex GST],$BI870),IF($B870="Production",INDEX(tbl_Production[Expected Revenue Ex GST],$BI870),INDEX(tbl_Consulting[Expected Revenue Ex GST],$BI870)))="","",IF($B870="Onsite",INDEX(tbl_Onsite[Expected Revenue Ex GST],$BI870),IF($B870="Production",INDEX(tbl_Production[Expected Revenue Ex GST],$BI870),INDEX(tbl_Consulting[Expected Revenue Ex GST],$BI870)))))</f>
        <v/>
      </c>
      <c r="O870" s="11">
        <f>IF(AND($C870="",NOT(COUNTA($S870:$BB870)&gt;0)),"",SUM(U870,X870,AA870,AD870,AG870,AJ870,AM870,AP870,AS870,AV870,AY870,BB870))</f>
        <v/>
      </c>
      <c r="P870" s="11">
        <f>IF(O870="","",N(N870)-O870)</f>
        <v/>
      </c>
      <c r="Q870" s="10">
        <f>IF(O870="","",IF($C870="","Invoice on empty job row",IF(N870="",IF(ROUND(O870,2)=0,"No dept value","Invoiced - no dept value"),IF(ROUND(O870,2)=0,"Not invoiced - to invoice",IF(ROUND(P870,2)=0,"Agrees",IF(P870&gt;0,"Dept higher - to invoice","Xero higher - check dept"))))))</f>
        <v/>
      </c>
      <c r="R870" s="10">
        <f>IF(AND($C870="",NOT(COUNTA($S870:$BB870)&gt;0),$BI870&lt;&gt;""),"",MID(IF($BI870="","; Row ID not found on the department sheet - a row was deleted","")&amp;IF(AND($C870="",COUNTA($S870:$BB870)&gt;0),"; Invoice entered but the department row has no job number","")&amp;IF(E870="CHECK","; Job number not in the Xero job list","")&amp;IF(AND($C870&lt;&gt;"",COUNTIF($C$7:$C$1506,$C870)&gt;1),"; Job number on more than one row","")&amp;IF(AND($C870&lt;&gt;"",H870=""),"; Dept has not set a cost centre","")&amp;IF(AND($C870&lt;&gt;"",J870=""),"; Dept has not set a tax code","")&amp;IF(AND($C870&lt;&gt;"",N870=""),"; Dept has not entered an expected value","")&amp;IF((IF(OR(COUNTA(S870:U870)=0,AND(COUNTA(S870:U870)=3,ISNUMBER(U870))),0,1)+IF(OR(COUNTA(V870:X870)=0,AND(COUNTA(V870:X870)=3,ISNUMBER(X870))),0,1)+IF(OR(COUNTA(Y870:AA870)=0,AND(COUNTA(Y870:AA870)=3,ISNUMBER(AA870))),0,1)+IF(OR(COUNTA(AB870:AD870)=0,AND(COUNTA(AB870:AD870)=3,ISNUMBER(AD870))),0,1)+IF(OR(COUNTA(AE870:AG870)=0,AND(COUNTA(AE870:AG870)=3,ISNUMBER(AG870))),0,1)+IF(OR(COUNTA(AH870:AJ870)=0,AND(COUNTA(AH870:AJ870)=3,ISNUMBER(AJ870))),0,1)+IF(OR(COUNTA(AK870:AM870)=0,AND(COUNTA(AK870:AM870)=3,ISNUMBER(AM870))),0,1)+IF(OR(COUNTA(AN870:AP870)=0,AND(COUNTA(AN870:AP870)=3,ISNUMBER(AP870))),0,1)+IF(OR(COUNTA(AQ870:AS870)=0,AND(COUNTA(AQ870:AS870)=3,ISNUMBER(AS870))),0,1)+IF(OR(COUNTA(AT870:AV870)=0,AND(COUNTA(AT870:AV870)=3,ISNUMBER(AV870))),0,1)+IF(OR(COUNTA(AW870:AY870)=0,AND(COUNTA(AW870:AY870)=3,ISNUMBER(AY870))),0,1)+IF(OR(COUNTA(AZ870:BB870)=0,AND(COUNTA(AZ870:BB870)=3,ISNUMBER(BB870))),0,1))&gt;0,"; An invoice is incomplete (needs No, Date and a number in Ex GST)","")&amp;IF((IF(T870="",0,IFERROR(--(EOMONTH(T870,0)&lt;&gt;S$5),1))+IF(W870="",0,IFERROR(--(EOMONTH(W870,0)&lt;&gt;V$5),1))+IF(Z870="",0,IFERROR(--(EOMONTH(Z870,0)&lt;&gt;Y$5),1))+IF(AC870="",0,IFERROR(--(EOMONTH(AC870,0)&lt;&gt;AB$5),1))+IF(AF870="",0,IFERROR(--(EOMONTH(AF870,0)&lt;&gt;AE$5),1))+IF(AI870="",0,IFERROR(--(EOMONTH(AI870,0)&lt;&gt;AH$5),1))+IF(AL870="",0,IFERROR(--(EOMONTH(AL870,0)&lt;&gt;AK$5),1))+IF(AO870="",0,IFERROR(--(EOMONTH(AO870,0)&lt;&gt;AN$5),1))+IF(AR870="",0,IFERROR(--(EOMONTH(AR870,0)&lt;&gt;AQ$5),1))+IF(AU870="",0,IFERROR(--(EOMONTH(AU870,0)&lt;&gt;AT$5),1))+IF(AX870="",0,IFERROR(--(EOMONTH(AX870,0)&lt;&gt;AW$5),1))+IF(BA870="",0,IFERROR(--(EOMONTH(BA870,0)&lt;&gt;AZ$5),1)))&gt;0,"; An invoice date is not in the month it is typed under",""),3,500))</f>
        <v/>
      </c>
      <c r="S870" s="12" t="n"/>
      <c r="T870" s="13" t="n"/>
      <c r="U870" s="14" t="n"/>
      <c r="V870" s="12" t="n"/>
      <c r="W870" s="13" t="n"/>
      <c r="X870" s="14" t="n"/>
      <c r="Y870" s="12" t="n"/>
      <c r="Z870" s="13" t="n"/>
      <c r="AA870" s="14" t="n"/>
      <c r="AB870" s="12" t="n"/>
      <c r="AC870" s="13" t="n"/>
      <c r="AD870" s="14" t="n"/>
      <c r="AE870" s="12" t="n"/>
      <c r="AF870" s="13" t="n"/>
      <c r="AG870" s="14" t="n"/>
      <c r="AH870" s="12" t="n"/>
      <c r="AI870" s="13" t="n"/>
      <c r="AJ870" s="14" t="n"/>
      <c r="AK870" s="12" t="n"/>
      <c r="AL870" s="13" t="n"/>
      <c r="AM870" s="14" t="n"/>
      <c r="AN870" s="12" t="n"/>
      <c r="AO870" s="13" t="n"/>
      <c r="AP870" s="14" t="n"/>
      <c r="AQ870" s="12" t="n"/>
      <c r="AR870" s="13" t="n"/>
      <c r="AS870" s="14" t="n"/>
      <c r="AT870" s="12" t="n"/>
      <c r="AU870" s="13" t="n"/>
      <c r="AV870" s="14" t="n"/>
      <c r="AW870" s="12" t="n"/>
      <c r="AX870" s="13" t="n"/>
      <c r="AY870" s="14" t="n"/>
      <c r="AZ870" s="12" t="n"/>
      <c r="BA870" s="13" t="n"/>
      <c r="BB870" s="14" t="n"/>
      <c r="BC870" s="11">
        <f>IF(O870="","",IF(J870="GST 10%",ROUND(O870*set_GSTRate,2),0))</f>
        <v/>
      </c>
      <c r="BD870" s="11">
        <f>IF(O870="","",O870+BC870)</f>
        <v/>
      </c>
      <c r="BE870" s="15">
        <f>IF(O870="","",COUNTA(S870,V870,Y870,AB870,AE870,AH870,AK870,AN870,AQ870,AT870,AW870,AZ870))</f>
        <v/>
      </c>
      <c r="BF870" s="16">
        <f>IF(COUNT(T870,W870,Z870,AC870,AF870,AI870,AL870,AO870,AR870,AU870,AX870,BA870)=0,"",MAX(T870,W870,Z870,AC870,AF870,AI870,AL870,AO870,AR870,AU870,AX870,BA870))</f>
        <v/>
      </c>
      <c r="BG870" s="10">
        <f>MID(IF(S870="","",", "&amp;S870)&amp;IF(V870="","",", "&amp;V870)&amp;IF(Y870="","",", "&amp;Y870)&amp;IF(AB870="","",", "&amp;AB870)&amp;IF(AE870="","",", "&amp;AE870)&amp;IF(AH870="","",", "&amp;AH870)&amp;IF(AK870="","",", "&amp;AK870)&amp;IF(AN870="","",", "&amp;AN870)&amp;IF(AQ870="","",", "&amp;AQ870)&amp;IF(AT870="","",", "&amp;AT870)&amp;IF(AW870="","",", "&amp;AW870)&amp;IF(AZ870="","",", "&amp;AZ870),3,500)</f>
        <v/>
      </c>
      <c r="BH870" s="12" t="n"/>
      <c r="BI870" s="15">
        <f>IFERROR(MATCH($A870,IF($B870="Onsite",tbl_Onsite[Row ID],IF($B870="Production",tbl_Production[Row ID],tbl_Consulting[Row ID])),0),"")</f>
        <v/>
      </c>
    </row>
    <row r="871">
      <c r="A871" s="10" t="inlineStr">
        <is>
          <t>PRD-0365</t>
        </is>
      </c>
      <c r="B871" s="10" t="inlineStr">
        <is>
          <t>Production</t>
        </is>
      </c>
      <c r="C871" s="10">
        <f>IF($BI871="","",IF($B871="Onsite",INDEX(tbl_Onsite[Job Number],$BI871),IF($B871="Production",INDEX(tbl_Production[Job Number],$BI871),INDEX(tbl_Consulting[Job Number],$BI871)))&amp;"")</f>
        <v/>
      </c>
      <c r="D871" s="10">
        <f>IF($BI871="","",IF($B871="Onsite",INDEX(tbl_Onsite[Client],$BI871),IF($B871="Production",INDEX(tbl_Production[Client],$BI871),INDEX(tbl_Consulting[Client],$BI871)))&amp;"")</f>
        <v/>
      </c>
      <c r="E871" s="10">
        <f>IF($C871="","",IF(COUNTIF(lst_Jobs,$C871)&gt;0,"OK","CHECK"))</f>
        <v/>
      </c>
      <c r="F871" s="10">
        <f>IF($C871="","",IFERROR(INDEX(lst_JobName,MATCH($C871,lst_Jobs,0)),""))</f>
        <v/>
      </c>
      <c r="G871" s="10">
        <f>IF($BI871="","",IF($B871="Onsite",INDEX(tbl_Onsite[Job Description],$BI871),IF($B871="Production",INDEX(tbl_Production[Job Description],$BI871),INDEX(tbl_Consulting[Job Description],$BI871)))&amp;"")</f>
        <v/>
      </c>
      <c r="H871" s="10">
        <f>IF($BI871="","",IF($B871="Onsite",INDEX(tbl_Onsite[Cost Centre],$BI871),IF($B871="Production",INDEX(tbl_Production[Cost Centre],$BI871),INDEX(tbl_Consulting[Cost Centre],$BI871)))&amp;"")</f>
        <v/>
      </c>
      <c r="I871" s="10">
        <f>IF($BI871="","",IF($B871="Onsite",INDEX(tbl_Onsite[Invoice Type],$BI871),IF($B871="Production",INDEX(tbl_Production[Invoice Type],$BI871),INDEX(tbl_Consulting[Invoice Type],$BI871)))&amp;"")</f>
        <v/>
      </c>
      <c r="J871" s="10">
        <f>IF($BI871="","",IF($B871="Onsite",INDEX(tbl_Onsite[Tax Code],$BI871),IF($B871="Production",INDEX(tbl_Production[Tax Code],$BI871),INDEX(tbl_Consulting[Tax Code],$BI871)))&amp;"")</f>
        <v/>
      </c>
      <c r="K871" s="10">
        <f>IF(H871="","",IFERROR(INDEX(lst_CCtoGL,MATCH(H871,lst_CCforGL,0)),""))</f>
        <v/>
      </c>
      <c r="L871" s="10">
        <f>IF($BI871="","",IF($B871="Onsite",INDEX(tbl_Onsite[PO / Reference],$BI871),IF($B871="Production",INDEX(tbl_Production[Current RMS No],$BI871),INDEX(tbl_Consulting[Qwilr Quote],$BI871)))&amp;"")</f>
        <v/>
      </c>
      <c r="M871" s="10">
        <f>IF($BI871="","",IF($B871="Onsite",INDEX(tbl_Onsite[Notes],$BI871),IF($B871="Production",INDEX(tbl_Production[Notes],$BI871),INDEX(tbl_Consulting[Notes],$BI871)))&amp;"")</f>
        <v/>
      </c>
      <c r="N871" s="11">
        <f>IF($BI871="","",IF(IF($B871="Onsite",INDEX(tbl_Onsite[Expected Revenue Ex GST],$BI871),IF($B871="Production",INDEX(tbl_Production[Expected Revenue Ex GST],$BI871),INDEX(tbl_Consulting[Expected Revenue Ex GST],$BI871)))="","",IF($B871="Onsite",INDEX(tbl_Onsite[Expected Revenue Ex GST],$BI871),IF($B871="Production",INDEX(tbl_Production[Expected Revenue Ex GST],$BI871),INDEX(tbl_Consulting[Expected Revenue Ex GST],$BI871)))))</f>
        <v/>
      </c>
      <c r="O871" s="11">
        <f>IF(AND($C871="",NOT(COUNTA($S871:$BB871)&gt;0)),"",SUM(U871,X871,AA871,AD871,AG871,AJ871,AM871,AP871,AS871,AV871,AY871,BB871))</f>
        <v/>
      </c>
      <c r="P871" s="11">
        <f>IF(O871="","",N(N871)-O871)</f>
        <v/>
      </c>
      <c r="Q871" s="10">
        <f>IF(O871="","",IF($C871="","Invoice on empty job row",IF(N871="",IF(ROUND(O871,2)=0,"No dept value","Invoiced - no dept value"),IF(ROUND(O871,2)=0,"Not invoiced - to invoice",IF(ROUND(P871,2)=0,"Agrees",IF(P871&gt;0,"Dept higher - to invoice","Xero higher - check dept"))))))</f>
        <v/>
      </c>
      <c r="R871" s="10">
        <f>IF(AND($C871="",NOT(COUNTA($S871:$BB871)&gt;0),$BI871&lt;&gt;""),"",MID(IF($BI871="","; Row ID not found on the department sheet - a row was deleted","")&amp;IF(AND($C871="",COUNTA($S871:$BB871)&gt;0),"; Invoice entered but the department row has no job number","")&amp;IF(E871="CHECK","; Job number not in the Xero job list","")&amp;IF(AND($C871&lt;&gt;"",COUNTIF($C$7:$C$1506,$C871)&gt;1),"; Job number on more than one row","")&amp;IF(AND($C871&lt;&gt;"",H871=""),"; Dept has not set a cost centre","")&amp;IF(AND($C871&lt;&gt;"",J871=""),"; Dept has not set a tax code","")&amp;IF(AND($C871&lt;&gt;"",N871=""),"; Dept has not entered an expected value","")&amp;IF((IF(OR(COUNTA(S871:U871)=0,AND(COUNTA(S871:U871)=3,ISNUMBER(U871))),0,1)+IF(OR(COUNTA(V871:X871)=0,AND(COUNTA(V871:X871)=3,ISNUMBER(X871))),0,1)+IF(OR(COUNTA(Y871:AA871)=0,AND(COUNTA(Y871:AA871)=3,ISNUMBER(AA871))),0,1)+IF(OR(COUNTA(AB871:AD871)=0,AND(COUNTA(AB871:AD871)=3,ISNUMBER(AD871))),0,1)+IF(OR(COUNTA(AE871:AG871)=0,AND(COUNTA(AE871:AG871)=3,ISNUMBER(AG871))),0,1)+IF(OR(COUNTA(AH871:AJ871)=0,AND(COUNTA(AH871:AJ871)=3,ISNUMBER(AJ871))),0,1)+IF(OR(COUNTA(AK871:AM871)=0,AND(COUNTA(AK871:AM871)=3,ISNUMBER(AM871))),0,1)+IF(OR(COUNTA(AN871:AP871)=0,AND(COUNTA(AN871:AP871)=3,ISNUMBER(AP871))),0,1)+IF(OR(COUNTA(AQ871:AS871)=0,AND(COUNTA(AQ871:AS871)=3,ISNUMBER(AS871))),0,1)+IF(OR(COUNTA(AT871:AV871)=0,AND(COUNTA(AT871:AV871)=3,ISNUMBER(AV871))),0,1)+IF(OR(COUNTA(AW871:AY871)=0,AND(COUNTA(AW871:AY871)=3,ISNUMBER(AY871))),0,1)+IF(OR(COUNTA(AZ871:BB871)=0,AND(COUNTA(AZ871:BB871)=3,ISNUMBER(BB871))),0,1))&gt;0,"; An invoice is incomplete (needs No, Date and a number in Ex GST)","")&amp;IF((IF(T871="",0,IFERROR(--(EOMONTH(T871,0)&lt;&gt;S$5),1))+IF(W871="",0,IFERROR(--(EOMONTH(W871,0)&lt;&gt;V$5),1))+IF(Z871="",0,IFERROR(--(EOMONTH(Z871,0)&lt;&gt;Y$5),1))+IF(AC871="",0,IFERROR(--(EOMONTH(AC871,0)&lt;&gt;AB$5),1))+IF(AF871="",0,IFERROR(--(EOMONTH(AF871,0)&lt;&gt;AE$5),1))+IF(AI871="",0,IFERROR(--(EOMONTH(AI871,0)&lt;&gt;AH$5),1))+IF(AL871="",0,IFERROR(--(EOMONTH(AL871,0)&lt;&gt;AK$5),1))+IF(AO871="",0,IFERROR(--(EOMONTH(AO871,0)&lt;&gt;AN$5),1))+IF(AR871="",0,IFERROR(--(EOMONTH(AR871,0)&lt;&gt;AQ$5),1))+IF(AU871="",0,IFERROR(--(EOMONTH(AU871,0)&lt;&gt;AT$5),1))+IF(AX871="",0,IFERROR(--(EOMONTH(AX871,0)&lt;&gt;AW$5),1))+IF(BA871="",0,IFERROR(--(EOMONTH(BA871,0)&lt;&gt;AZ$5),1)))&gt;0,"; An invoice date is not in the month it is typed under",""),3,500))</f>
        <v/>
      </c>
      <c r="S871" s="12" t="n"/>
      <c r="T871" s="13" t="n"/>
      <c r="U871" s="14" t="n"/>
      <c r="V871" s="12" t="n"/>
      <c r="W871" s="13" t="n"/>
      <c r="X871" s="14" t="n"/>
      <c r="Y871" s="12" t="n"/>
      <c r="Z871" s="13" t="n"/>
      <c r="AA871" s="14" t="n"/>
      <c r="AB871" s="12" t="n"/>
      <c r="AC871" s="13" t="n"/>
      <c r="AD871" s="14" t="n"/>
      <c r="AE871" s="12" t="n"/>
      <c r="AF871" s="13" t="n"/>
      <c r="AG871" s="14" t="n"/>
      <c r="AH871" s="12" t="n"/>
      <c r="AI871" s="13" t="n"/>
      <c r="AJ871" s="14" t="n"/>
      <c r="AK871" s="12" t="n"/>
      <c r="AL871" s="13" t="n"/>
      <c r="AM871" s="14" t="n"/>
      <c r="AN871" s="12" t="n"/>
      <c r="AO871" s="13" t="n"/>
      <c r="AP871" s="14" t="n"/>
      <c r="AQ871" s="12" t="n"/>
      <c r="AR871" s="13" t="n"/>
      <c r="AS871" s="14" t="n"/>
      <c r="AT871" s="12" t="n"/>
      <c r="AU871" s="13" t="n"/>
      <c r="AV871" s="14" t="n"/>
      <c r="AW871" s="12" t="n"/>
      <c r="AX871" s="13" t="n"/>
      <c r="AY871" s="14" t="n"/>
      <c r="AZ871" s="12" t="n"/>
      <c r="BA871" s="13" t="n"/>
      <c r="BB871" s="14" t="n"/>
      <c r="BC871" s="11">
        <f>IF(O871="","",IF(J871="GST 10%",ROUND(O871*set_GSTRate,2),0))</f>
        <v/>
      </c>
      <c r="BD871" s="11">
        <f>IF(O871="","",O871+BC871)</f>
        <v/>
      </c>
      <c r="BE871" s="15">
        <f>IF(O871="","",COUNTA(S871,V871,Y871,AB871,AE871,AH871,AK871,AN871,AQ871,AT871,AW871,AZ871))</f>
        <v/>
      </c>
      <c r="BF871" s="16">
        <f>IF(COUNT(T871,W871,Z871,AC871,AF871,AI871,AL871,AO871,AR871,AU871,AX871,BA871)=0,"",MAX(T871,W871,Z871,AC871,AF871,AI871,AL871,AO871,AR871,AU871,AX871,BA871))</f>
        <v/>
      </c>
      <c r="BG871" s="10">
        <f>MID(IF(S871="","",", "&amp;S871)&amp;IF(V871="","",", "&amp;V871)&amp;IF(Y871="","",", "&amp;Y871)&amp;IF(AB871="","",", "&amp;AB871)&amp;IF(AE871="","",", "&amp;AE871)&amp;IF(AH871="","",", "&amp;AH871)&amp;IF(AK871="","",", "&amp;AK871)&amp;IF(AN871="","",", "&amp;AN871)&amp;IF(AQ871="","",", "&amp;AQ871)&amp;IF(AT871="","",", "&amp;AT871)&amp;IF(AW871="","",", "&amp;AW871)&amp;IF(AZ871="","",", "&amp;AZ871),3,500)</f>
        <v/>
      </c>
      <c r="BH871" s="12" t="n"/>
      <c r="BI871" s="15">
        <f>IFERROR(MATCH($A871,IF($B871="Onsite",tbl_Onsite[Row ID],IF($B871="Production",tbl_Production[Row ID],tbl_Consulting[Row ID])),0),"")</f>
        <v/>
      </c>
    </row>
    <row r="872">
      <c r="A872" s="10" t="inlineStr">
        <is>
          <t>PRD-0366</t>
        </is>
      </c>
      <c r="B872" s="10" t="inlineStr">
        <is>
          <t>Production</t>
        </is>
      </c>
      <c r="C872" s="10">
        <f>IF($BI872="","",IF($B872="Onsite",INDEX(tbl_Onsite[Job Number],$BI872),IF($B872="Production",INDEX(tbl_Production[Job Number],$BI872),INDEX(tbl_Consulting[Job Number],$BI872)))&amp;"")</f>
        <v/>
      </c>
      <c r="D872" s="10">
        <f>IF($BI872="","",IF($B872="Onsite",INDEX(tbl_Onsite[Client],$BI872),IF($B872="Production",INDEX(tbl_Production[Client],$BI872),INDEX(tbl_Consulting[Client],$BI872)))&amp;"")</f>
        <v/>
      </c>
      <c r="E872" s="10">
        <f>IF($C872="","",IF(COUNTIF(lst_Jobs,$C872)&gt;0,"OK","CHECK"))</f>
        <v/>
      </c>
      <c r="F872" s="10">
        <f>IF($C872="","",IFERROR(INDEX(lst_JobName,MATCH($C872,lst_Jobs,0)),""))</f>
        <v/>
      </c>
      <c r="G872" s="10">
        <f>IF($BI872="","",IF($B872="Onsite",INDEX(tbl_Onsite[Job Description],$BI872),IF($B872="Production",INDEX(tbl_Production[Job Description],$BI872),INDEX(tbl_Consulting[Job Description],$BI872)))&amp;"")</f>
        <v/>
      </c>
      <c r="H872" s="10">
        <f>IF($BI872="","",IF($B872="Onsite",INDEX(tbl_Onsite[Cost Centre],$BI872),IF($B872="Production",INDEX(tbl_Production[Cost Centre],$BI872),INDEX(tbl_Consulting[Cost Centre],$BI872)))&amp;"")</f>
        <v/>
      </c>
      <c r="I872" s="10">
        <f>IF($BI872="","",IF($B872="Onsite",INDEX(tbl_Onsite[Invoice Type],$BI872),IF($B872="Production",INDEX(tbl_Production[Invoice Type],$BI872),INDEX(tbl_Consulting[Invoice Type],$BI872)))&amp;"")</f>
        <v/>
      </c>
      <c r="J872" s="10">
        <f>IF($BI872="","",IF($B872="Onsite",INDEX(tbl_Onsite[Tax Code],$BI872),IF($B872="Production",INDEX(tbl_Production[Tax Code],$BI872),INDEX(tbl_Consulting[Tax Code],$BI872)))&amp;"")</f>
        <v/>
      </c>
      <c r="K872" s="10">
        <f>IF(H872="","",IFERROR(INDEX(lst_CCtoGL,MATCH(H872,lst_CCforGL,0)),""))</f>
        <v/>
      </c>
      <c r="L872" s="10">
        <f>IF($BI872="","",IF($B872="Onsite",INDEX(tbl_Onsite[PO / Reference],$BI872),IF($B872="Production",INDEX(tbl_Production[Current RMS No],$BI872),INDEX(tbl_Consulting[Qwilr Quote],$BI872)))&amp;"")</f>
        <v/>
      </c>
      <c r="M872" s="10">
        <f>IF($BI872="","",IF($B872="Onsite",INDEX(tbl_Onsite[Notes],$BI872),IF($B872="Production",INDEX(tbl_Production[Notes],$BI872),INDEX(tbl_Consulting[Notes],$BI872)))&amp;"")</f>
        <v/>
      </c>
      <c r="N872" s="11">
        <f>IF($BI872="","",IF(IF($B872="Onsite",INDEX(tbl_Onsite[Expected Revenue Ex GST],$BI872),IF($B872="Production",INDEX(tbl_Production[Expected Revenue Ex GST],$BI872),INDEX(tbl_Consulting[Expected Revenue Ex GST],$BI872)))="","",IF($B872="Onsite",INDEX(tbl_Onsite[Expected Revenue Ex GST],$BI872),IF($B872="Production",INDEX(tbl_Production[Expected Revenue Ex GST],$BI872),INDEX(tbl_Consulting[Expected Revenue Ex GST],$BI872)))))</f>
        <v/>
      </c>
      <c r="O872" s="11">
        <f>IF(AND($C872="",NOT(COUNTA($S872:$BB872)&gt;0)),"",SUM(U872,X872,AA872,AD872,AG872,AJ872,AM872,AP872,AS872,AV872,AY872,BB872))</f>
        <v/>
      </c>
      <c r="P872" s="11">
        <f>IF(O872="","",N(N872)-O872)</f>
        <v/>
      </c>
      <c r="Q872" s="10">
        <f>IF(O872="","",IF($C872="","Invoice on empty job row",IF(N872="",IF(ROUND(O872,2)=0,"No dept value","Invoiced - no dept value"),IF(ROUND(O872,2)=0,"Not invoiced - to invoice",IF(ROUND(P872,2)=0,"Agrees",IF(P872&gt;0,"Dept higher - to invoice","Xero higher - check dept"))))))</f>
        <v/>
      </c>
      <c r="R872" s="10">
        <f>IF(AND($C872="",NOT(COUNTA($S872:$BB872)&gt;0),$BI872&lt;&gt;""),"",MID(IF($BI872="","; Row ID not found on the department sheet - a row was deleted","")&amp;IF(AND($C872="",COUNTA($S872:$BB872)&gt;0),"; Invoice entered but the department row has no job number","")&amp;IF(E872="CHECK","; Job number not in the Xero job list","")&amp;IF(AND($C872&lt;&gt;"",COUNTIF($C$7:$C$1506,$C872)&gt;1),"; Job number on more than one row","")&amp;IF(AND($C872&lt;&gt;"",H872=""),"; Dept has not set a cost centre","")&amp;IF(AND($C872&lt;&gt;"",J872=""),"; Dept has not set a tax code","")&amp;IF(AND($C872&lt;&gt;"",N872=""),"; Dept has not entered an expected value","")&amp;IF((IF(OR(COUNTA(S872:U872)=0,AND(COUNTA(S872:U872)=3,ISNUMBER(U872))),0,1)+IF(OR(COUNTA(V872:X872)=0,AND(COUNTA(V872:X872)=3,ISNUMBER(X872))),0,1)+IF(OR(COUNTA(Y872:AA872)=0,AND(COUNTA(Y872:AA872)=3,ISNUMBER(AA872))),0,1)+IF(OR(COUNTA(AB872:AD872)=0,AND(COUNTA(AB872:AD872)=3,ISNUMBER(AD872))),0,1)+IF(OR(COUNTA(AE872:AG872)=0,AND(COUNTA(AE872:AG872)=3,ISNUMBER(AG872))),0,1)+IF(OR(COUNTA(AH872:AJ872)=0,AND(COUNTA(AH872:AJ872)=3,ISNUMBER(AJ872))),0,1)+IF(OR(COUNTA(AK872:AM872)=0,AND(COUNTA(AK872:AM872)=3,ISNUMBER(AM872))),0,1)+IF(OR(COUNTA(AN872:AP872)=0,AND(COUNTA(AN872:AP872)=3,ISNUMBER(AP872))),0,1)+IF(OR(COUNTA(AQ872:AS872)=0,AND(COUNTA(AQ872:AS872)=3,ISNUMBER(AS872))),0,1)+IF(OR(COUNTA(AT872:AV872)=0,AND(COUNTA(AT872:AV872)=3,ISNUMBER(AV872))),0,1)+IF(OR(COUNTA(AW872:AY872)=0,AND(COUNTA(AW872:AY872)=3,ISNUMBER(AY872))),0,1)+IF(OR(COUNTA(AZ872:BB872)=0,AND(COUNTA(AZ872:BB872)=3,ISNUMBER(BB872))),0,1))&gt;0,"; An invoice is incomplete (needs No, Date and a number in Ex GST)","")&amp;IF((IF(T872="",0,IFERROR(--(EOMONTH(T872,0)&lt;&gt;S$5),1))+IF(W872="",0,IFERROR(--(EOMONTH(W872,0)&lt;&gt;V$5),1))+IF(Z872="",0,IFERROR(--(EOMONTH(Z872,0)&lt;&gt;Y$5),1))+IF(AC872="",0,IFERROR(--(EOMONTH(AC872,0)&lt;&gt;AB$5),1))+IF(AF872="",0,IFERROR(--(EOMONTH(AF872,0)&lt;&gt;AE$5),1))+IF(AI872="",0,IFERROR(--(EOMONTH(AI872,0)&lt;&gt;AH$5),1))+IF(AL872="",0,IFERROR(--(EOMONTH(AL872,0)&lt;&gt;AK$5),1))+IF(AO872="",0,IFERROR(--(EOMONTH(AO872,0)&lt;&gt;AN$5),1))+IF(AR872="",0,IFERROR(--(EOMONTH(AR872,0)&lt;&gt;AQ$5),1))+IF(AU872="",0,IFERROR(--(EOMONTH(AU872,0)&lt;&gt;AT$5),1))+IF(AX872="",0,IFERROR(--(EOMONTH(AX872,0)&lt;&gt;AW$5),1))+IF(BA872="",0,IFERROR(--(EOMONTH(BA872,0)&lt;&gt;AZ$5),1)))&gt;0,"; An invoice date is not in the month it is typed under",""),3,500))</f>
        <v/>
      </c>
      <c r="S872" s="12" t="n"/>
      <c r="T872" s="13" t="n"/>
      <c r="U872" s="14" t="n"/>
      <c r="V872" s="12" t="n"/>
      <c r="W872" s="13" t="n"/>
      <c r="X872" s="14" t="n"/>
      <c r="Y872" s="12" t="n"/>
      <c r="Z872" s="13" t="n"/>
      <c r="AA872" s="14" t="n"/>
      <c r="AB872" s="12" t="n"/>
      <c r="AC872" s="13" t="n"/>
      <c r="AD872" s="14" t="n"/>
      <c r="AE872" s="12" t="n"/>
      <c r="AF872" s="13" t="n"/>
      <c r="AG872" s="14" t="n"/>
      <c r="AH872" s="12" t="n"/>
      <c r="AI872" s="13" t="n"/>
      <c r="AJ872" s="14" t="n"/>
      <c r="AK872" s="12" t="n"/>
      <c r="AL872" s="13" t="n"/>
      <c r="AM872" s="14" t="n"/>
      <c r="AN872" s="12" t="n"/>
      <c r="AO872" s="13" t="n"/>
      <c r="AP872" s="14" t="n"/>
      <c r="AQ872" s="12" t="n"/>
      <c r="AR872" s="13" t="n"/>
      <c r="AS872" s="14" t="n"/>
      <c r="AT872" s="12" t="n"/>
      <c r="AU872" s="13" t="n"/>
      <c r="AV872" s="14" t="n"/>
      <c r="AW872" s="12" t="n"/>
      <c r="AX872" s="13" t="n"/>
      <c r="AY872" s="14" t="n"/>
      <c r="AZ872" s="12" t="n"/>
      <c r="BA872" s="13" t="n"/>
      <c r="BB872" s="14" t="n"/>
      <c r="BC872" s="11">
        <f>IF(O872="","",IF(J872="GST 10%",ROUND(O872*set_GSTRate,2),0))</f>
        <v/>
      </c>
      <c r="BD872" s="11">
        <f>IF(O872="","",O872+BC872)</f>
        <v/>
      </c>
      <c r="BE872" s="15">
        <f>IF(O872="","",COUNTA(S872,V872,Y872,AB872,AE872,AH872,AK872,AN872,AQ872,AT872,AW872,AZ872))</f>
        <v/>
      </c>
      <c r="BF872" s="16">
        <f>IF(COUNT(T872,W872,Z872,AC872,AF872,AI872,AL872,AO872,AR872,AU872,AX872,BA872)=0,"",MAX(T872,W872,Z872,AC872,AF872,AI872,AL872,AO872,AR872,AU872,AX872,BA872))</f>
        <v/>
      </c>
      <c r="BG872" s="10">
        <f>MID(IF(S872="","",", "&amp;S872)&amp;IF(V872="","",", "&amp;V872)&amp;IF(Y872="","",", "&amp;Y872)&amp;IF(AB872="","",", "&amp;AB872)&amp;IF(AE872="","",", "&amp;AE872)&amp;IF(AH872="","",", "&amp;AH872)&amp;IF(AK872="","",", "&amp;AK872)&amp;IF(AN872="","",", "&amp;AN872)&amp;IF(AQ872="","",", "&amp;AQ872)&amp;IF(AT872="","",", "&amp;AT872)&amp;IF(AW872="","",", "&amp;AW872)&amp;IF(AZ872="","",", "&amp;AZ872),3,500)</f>
        <v/>
      </c>
      <c r="BH872" s="12" t="n"/>
      <c r="BI872" s="15">
        <f>IFERROR(MATCH($A872,IF($B872="Onsite",tbl_Onsite[Row ID],IF($B872="Production",tbl_Production[Row ID],tbl_Consulting[Row ID])),0),"")</f>
        <v/>
      </c>
    </row>
    <row r="873">
      <c r="A873" s="10" t="inlineStr">
        <is>
          <t>PRD-0367</t>
        </is>
      </c>
      <c r="B873" s="10" t="inlineStr">
        <is>
          <t>Production</t>
        </is>
      </c>
      <c r="C873" s="10">
        <f>IF($BI873="","",IF($B873="Onsite",INDEX(tbl_Onsite[Job Number],$BI873),IF($B873="Production",INDEX(tbl_Production[Job Number],$BI873),INDEX(tbl_Consulting[Job Number],$BI873)))&amp;"")</f>
        <v/>
      </c>
      <c r="D873" s="10">
        <f>IF($BI873="","",IF($B873="Onsite",INDEX(tbl_Onsite[Client],$BI873),IF($B873="Production",INDEX(tbl_Production[Client],$BI873),INDEX(tbl_Consulting[Client],$BI873)))&amp;"")</f>
        <v/>
      </c>
      <c r="E873" s="10">
        <f>IF($C873="","",IF(COUNTIF(lst_Jobs,$C873)&gt;0,"OK","CHECK"))</f>
        <v/>
      </c>
      <c r="F873" s="10">
        <f>IF($C873="","",IFERROR(INDEX(lst_JobName,MATCH($C873,lst_Jobs,0)),""))</f>
        <v/>
      </c>
      <c r="G873" s="10">
        <f>IF($BI873="","",IF($B873="Onsite",INDEX(tbl_Onsite[Job Description],$BI873),IF($B873="Production",INDEX(tbl_Production[Job Description],$BI873),INDEX(tbl_Consulting[Job Description],$BI873)))&amp;"")</f>
        <v/>
      </c>
      <c r="H873" s="10">
        <f>IF($BI873="","",IF($B873="Onsite",INDEX(tbl_Onsite[Cost Centre],$BI873),IF($B873="Production",INDEX(tbl_Production[Cost Centre],$BI873),INDEX(tbl_Consulting[Cost Centre],$BI873)))&amp;"")</f>
        <v/>
      </c>
      <c r="I873" s="10">
        <f>IF($BI873="","",IF($B873="Onsite",INDEX(tbl_Onsite[Invoice Type],$BI873),IF($B873="Production",INDEX(tbl_Production[Invoice Type],$BI873),INDEX(tbl_Consulting[Invoice Type],$BI873)))&amp;"")</f>
        <v/>
      </c>
      <c r="J873" s="10">
        <f>IF($BI873="","",IF($B873="Onsite",INDEX(tbl_Onsite[Tax Code],$BI873),IF($B873="Production",INDEX(tbl_Production[Tax Code],$BI873),INDEX(tbl_Consulting[Tax Code],$BI873)))&amp;"")</f>
        <v/>
      </c>
      <c r="K873" s="10">
        <f>IF(H873="","",IFERROR(INDEX(lst_CCtoGL,MATCH(H873,lst_CCforGL,0)),""))</f>
        <v/>
      </c>
      <c r="L873" s="10">
        <f>IF($BI873="","",IF($B873="Onsite",INDEX(tbl_Onsite[PO / Reference],$BI873),IF($B873="Production",INDEX(tbl_Production[Current RMS No],$BI873),INDEX(tbl_Consulting[Qwilr Quote],$BI873)))&amp;"")</f>
        <v/>
      </c>
      <c r="M873" s="10">
        <f>IF($BI873="","",IF($B873="Onsite",INDEX(tbl_Onsite[Notes],$BI873),IF($B873="Production",INDEX(tbl_Production[Notes],$BI873),INDEX(tbl_Consulting[Notes],$BI873)))&amp;"")</f>
        <v/>
      </c>
      <c r="N873" s="11">
        <f>IF($BI873="","",IF(IF($B873="Onsite",INDEX(tbl_Onsite[Expected Revenue Ex GST],$BI873),IF($B873="Production",INDEX(tbl_Production[Expected Revenue Ex GST],$BI873),INDEX(tbl_Consulting[Expected Revenue Ex GST],$BI873)))="","",IF($B873="Onsite",INDEX(tbl_Onsite[Expected Revenue Ex GST],$BI873),IF($B873="Production",INDEX(tbl_Production[Expected Revenue Ex GST],$BI873),INDEX(tbl_Consulting[Expected Revenue Ex GST],$BI873)))))</f>
        <v/>
      </c>
      <c r="O873" s="11">
        <f>IF(AND($C873="",NOT(COUNTA($S873:$BB873)&gt;0)),"",SUM(U873,X873,AA873,AD873,AG873,AJ873,AM873,AP873,AS873,AV873,AY873,BB873))</f>
        <v/>
      </c>
      <c r="P873" s="11">
        <f>IF(O873="","",N(N873)-O873)</f>
        <v/>
      </c>
      <c r="Q873" s="10">
        <f>IF(O873="","",IF($C873="","Invoice on empty job row",IF(N873="",IF(ROUND(O873,2)=0,"No dept value","Invoiced - no dept value"),IF(ROUND(O873,2)=0,"Not invoiced - to invoice",IF(ROUND(P873,2)=0,"Agrees",IF(P873&gt;0,"Dept higher - to invoice","Xero higher - check dept"))))))</f>
        <v/>
      </c>
      <c r="R873" s="10">
        <f>IF(AND($C873="",NOT(COUNTA($S873:$BB873)&gt;0),$BI873&lt;&gt;""),"",MID(IF($BI873="","; Row ID not found on the department sheet - a row was deleted","")&amp;IF(AND($C873="",COUNTA($S873:$BB873)&gt;0),"; Invoice entered but the department row has no job number","")&amp;IF(E873="CHECK","; Job number not in the Xero job list","")&amp;IF(AND($C873&lt;&gt;"",COUNTIF($C$7:$C$1506,$C873)&gt;1),"; Job number on more than one row","")&amp;IF(AND($C873&lt;&gt;"",H873=""),"; Dept has not set a cost centre","")&amp;IF(AND($C873&lt;&gt;"",J873=""),"; Dept has not set a tax code","")&amp;IF(AND($C873&lt;&gt;"",N873=""),"; Dept has not entered an expected value","")&amp;IF((IF(OR(COUNTA(S873:U873)=0,AND(COUNTA(S873:U873)=3,ISNUMBER(U873))),0,1)+IF(OR(COUNTA(V873:X873)=0,AND(COUNTA(V873:X873)=3,ISNUMBER(X873))),0,1)+IF(OR(COUNTA(Y873:AA873)=0,AND(COUNTA(Y873:AA873)=3,ISNUMBER(AA873))),0,1)+IF(OR(COUNTA(AB873:AD873)=0,AND(COUNTA(AB873:AD873)=3,ISNUMBER(AD873))),0,1)+IF(OR(COUNTA(AE873:AG873)=0,AND(COUNTA(AE873:AG873)=3,ISNUMBER(AG873))),0,1)+IF(OR(COUNTA(AH873:AJ873)=0,AND(COUNTA(AH873:AJ873)=3,ISNUMBER(AJ873))),0,1)+IF(OR(COUNTA(AK873:AM873)=0,AND(COUNTA(AK873:AM873)=3,ISNUMBER(AM873))),0,1)+IF(OR(COUNTA(AN873:AP873)=0,AND(COUNTA(AN873:AP873)=3,ISNUMBER(AP873))),0,1)+IF(OR(COUNTA(AQ873:AS873)=0,AND(COUNTA(AQ873:AS873)=3,ISNUMBER(AS873))),0,1)+IF(OR(COUNTA(AT873:AV873)=0,AND(COUNTA(AT873:AV873)=3,ISNUMBER(AV873))),0,1)+IF(OR(COUNTA(AW873:AY873)=0,AND(COUNTA(AW873:AY873)=3,ISNUMBER(AY873))),0,1)+IF(OR(COUNTA(AZ873:BB873)=0,AND(COUNTA(AZ873:BB873)=3,ISNUMBER(BB873))),0,1))&gt;0,"; An invoice is incomplete (needs No, Date and a number in Ex GST)","")&amp;IF((IF(T873="",0,IFERROR(--(EOMONTH(T873,0)&lt;&gt;S$5),1))+IF(W873="",0,IFERROR(--(EOMONTH(W873,0)&lt;&gt;V$5),1))+IF(Z873="",0,IFERROR(--(EOMONTH(Z873,0)&lt;&gt;Y$5),1))+IF(AC873="",0,IFERROR(--(EOMONTH(AC873,0)&lt;&gt;AB$5),1))+IF(AF873="",0,IFERROR(--(EOMONTH(AF873,0)&lt;&gt;AE$5),1))+IF(AI873="",0,IFERROR(--(EOMONTH(AI873,0)&lt;&gt;AH$5),1))+IF(AL873="",0,IFERROR(--(EOMONTH(AL873,0)&lt;&gt;AK$5),1))+IF(AO873="",0,IFERROR(--(EOMONTH(AO873,0)&lt;&gt;AN$5),1))+IF(AR873="",0,IFERROR(--(EOMONTH(AR873,0)&lt;&gt;AQ$5),1))+IF(AU873="",0,IFERROR(--(EOMONTH(AU873,0)&lt;&gt;AT$5),1))+IF(AX873="",0,IFERROR(--(EOMONTH(AX873,0)&lt;&gt;AW$5),1))+IF(BA873="",0,IFERROR(--(EOMONTH(BA873,0)&lt;&gt;AZ$5),1)))&gt;0,"; An invoice date is not in the month it is typed under",""),3,500))</f>
        <v/>
      </c>
      <c r="S873" s="12" t="n"/>
      <c r="T873" s="13" t="n"/>
      <c r="U873" s="14" t="n"/>
      <c r="V873" s="12" t="n"/>
      <c r="W873" s="13" t="n"/>
      <c r="X873" s="14" t="n"/>
      <c r="Y873" s="12" t="n"/>
      <c r="Z873" s="13" t="n"/>
      <c r="AA873" s="14" t="n"/>
      <c r="AB873" s="12" t="n"/>
      <c r="AC873" s="13" t="n"/>
      <c r="AD873" s="14" t="n"/>
      <c r="AE873" s="12" t="n"/>
      <c r="AF873" s="13" t="n"/>
      <c r="AG873" s="14" t="n"/>
      <c r="AH873" s="12" t="n"/>
      <c r="AI873" s="13" t="n"/>
      <c r="AJ873" s="14" t="n"/>
      <c r="AK873" s="12" t="n"/>
      <c r="AL873" s="13" t="n"/>
      <c r="AM873" s="14" t="n"/>
      <c r="AN873" s="12" t="n"/>
      <c r="AO873" s="13" t="n"/>
      <c r="AP873" s="14" t="n"/>
      <c r="AQ873" s="12" t="n"/>
      <c r="AR873" s="13" t="n"/>
      <c r="AS873" s="14" t="n"/>
      <c r="AT873" s="12" t="n"/>
      <c r="AU873" s="13" t="n"/>
      <c r="AV873" s="14" t="n"/>
      <c r="AW873" s="12" t="n"/>
      <c r="AX873" s="13" t="n"/>
      <c r="AY873" s="14" t="n"/>
      <c r="AZ873" s="12" t="n"/>
      <c r="BA873" s="13" t="n"/>
      <c r="BB873" s="14" t="n"/>
      <c r="BC873" s="11">
        <f>IF(O873="","",IF(J873="GST 10%",ROUND(O873*set_GSTRate,2),0))</f>
        <v/>
      </c>
      <c r="BD873" s="11">
        <f>IF(O873="","",O873+BC873)</f>
        <v/>
      </c>
      <c r="BE873" s="15">
        <f>IF(O873="","",COUNTA(S873,V873,Y873,AB873,AE873,AH873,AK873,AN873,AQ873,AT873,AW873,AZ873))</f>
        <v/>
      </c>
      <c r="BF873" s="16">
        <f>IF(COUNT(T873,W873,Z873,AC873,AF873,AI873,AL873,AO873,AR873,AU873,AX873,BA873)=0,"",MAX(T873,W873,Z873,AC873,AF873,AI873,AL873,AO873,AR873,AU873,AX873,BA873))</f>
        <v/>
      </c>
      <c r="BG873" s="10">
        <f>MID(IF(S873="","",", "&amp;S873)&amp;IF(V873="","",", "&amp;V873)&amp;IF(Y873="","",", "&amp;Y873)&amp;IF(AB873="","",", "&amp;AB873)&amp;IF(AE873="","",", "&amp;AE873)&amp;IF(AH873="","",", "&amp;AH873)&amp;IF(AK873="","",", "&amp;AK873)&amp;IF(AN873="","",", "&amp;AN873)&amp;IF(AQ873="","",", "&amp;AQ873)&amp;IF(AT873="","",", "&amp;AT873)&amp;IF(AW873="","",", "&amp;AW873)&amp;IF(AZ873="","",", "&amp;AZ873),3,500)</f>
        <v/>
      </c>
      <c r="BH873" s="12" t="n"/>
      <c r="BI873" s="15">
        <f>IFERROR(MATCH($A873,IF($B873="Onsite",tbl_Onsite[Row ID],IF($B873="Production",tbl_Production[Row ID],tbl_Consulting[Row ID])),0),"")</f>
        <v/>
      </c>
    </row>
    <row r="874">
      <c r="A874" s="10" t="inlineStr">
        <is>
          <t>PRD-0368</t>
        </is>
      </c>
      <c r="B874" s="10" t="inlineStr">
        <is>
          <t>Production</t>
        </is>
      </c>
      <c r="C874" s="10">
        <f>IF($BI874="","",IF($B874="Onsite",INDEX(tbl_Onsite[Job Number],$BI874),IF($B874="Production",INDEX(tbl_Production[Job Number],$BI874),INDEX(tbl_Consulting[Job Number],$BI874)))&amp;"")</f>
        <v/>
      </c>
      <c r="D874" s="10">
        <f>IF($BI874="","",IF($B874="Onsite",INDEX(tbl_Onsite[Client],$BI874),IF($B874="Production",INDEX(tbl_Production[Client],$BI874),INDEX(tbl_Consulting[Client],$BI874)))&amp;"")</f>
        <v/>
      </c>
      <c r="E874" s="10">
        <f>IF($C874="","",IF(COUNTIF(lst_Jobs,$C874)&gt;0,"OK","CHECK"))</f>
        <v/>
      </c>
      <c r="F874" s="10">
        <f>IF($C874="","",IFERROR(INDEX(lst_JobName,MATCH($C874,lst_Jobs,0)),""))</f>
        <v/>
      </c>
      <c r="G874" s="10">
        <f>IF($BI874="","",IF($B874="Onsite",INDEX(tbl_Onsite[Job Description],$BI874),IF($B874="Production",INDEX(tbl_Production[Job Description],$BI874),INDEX(tbl_Consulting[Job Description],$BI874)))&amp;"")</f>
        <v/>
      </c>
      <c r="H874" s="10">
        <f>IF($BI874="","",IF($B874="Onsite",INDEX(tbl_Onsite[Cost Centre],$BI874),IF($B874="Production",INDEX(tbl_Production[Cost Centre],$BI874),INDEX(tbl_Consulting[Cost Centre],$BI874)))&amp;"")</f>
        <v/>
      </c>
      <c r="I874" s="10">
        <f>IF($BI874="","",IF($B874="Onsite",INDEX(tbl_Onsite[Invoice Type],$BI874),IF($B874="Production",INDEX(tbl_Production[Invoice Type],$BI874),INDEX(tbl_Consulting[Invoice Type],$BI874)))&amp;"")</f>
        <v/>
      </c>
      <c r="J874" s="10">
        <f>IF($BI874="","",IF($B874="Onsite",INDEX(tbl_Onsite[Tax Code],$BI874),IF($B874="Production",INDEX(tbl_Production[Tax Code],$BI874),INDEX(tbl_Consulting[Tax Code],$BI874)))&amp;"")</f>
        <v/>
      </c>
      <c r="K874" s="10">
        <f>IF(H874="","",IFERROR(INDEX(lst_CCtoGL,MATCH(H874,lst_CCforGL,0)),""))</f>
        <v/>
      </c>
      <c r="L874" s="10">
        <f>IF($BI874="","",IF($B874="Onsite",INDEX(tbl_Onsite[PO / Reference],$BI874),IF($B874="Production",INDEX(tbl_Production[Current RMS No],$BI874),INDEX(tbl_Consulting[Qwilr Quote],$BI874)))&amp;"")</f>
        <v/>
      </c>
      <c r="M874" s="10">
        <f>IF($BI874="","",IF($B874="Onsite",INDEX(tbl_Onsite[Notes],$BI874),IF($B874="Production",INDEX(tbl_Production[Notes],$BI874),INDEX(tbl_Consulting[Notes],$BI874)))&amp;"")</f>
        <v/>
      </c>
      <c r="N874" s="11">
        <f>IF($BI874="","",IF(IF($B874="Onsite",INDEX(tbl_Onsite[Expected Revenue Ex GST],$BI874),IF($B874="Production",INDEX(tbl_Production[Expected Revenue Ex GST],$BI874),INDEX(tbl_Consulting[Expected Revenue Ex GST],$BI874)))="","",IF($B874="Onsite",INDEX(tbl_Onsite[Expected Revenue Ex GST],$BI874),IF($B874="Production",INDEX(tbl_Production[Expected Revenue Ex GST],$BI874),INDEX(tbl_Consulting[Expected Revenue Ex GST],$BI874)))))</f>
        <v/>
      </c>
      <c r="O874" s="11">
        <f>IF(AND($C874="",NOT(COUNTA($S874:$BB874)&gt;0)),"",SUM(U874,X874,AA874,AD874,AG874,AJ874,AM874,AP874,AS874,AV874,AY874,BB874))</f>
        <v/>
      </c>
      <c r="P874" s="11">
        <f>IF(O874="","",N(N874)-O874)</f>
        <v/>
      </c>
      <c r="Q874" s="10">
        <f>IF(O874="","",IF($C874="","Invoice on empty job row",IF(N874="",IF(ROUND(O874,2)=0,"No dept value","Invoiced - no dept value"),IF(ROUND(O874,2)=0,"Not invoiced - to invoice",IF(ROUND(P874,2)=0,"Agrees",IF(P874&gt;0,"Dept higher - to invoice","Xero higher - check dept"))))))</f>
        <v/>
      </c>
      <c r="R874" s="10">
        <f>IF(AND($C874="",NOT(COUNTA($S874:$BB874)&gt;0),$BI874&lt;&gt;""),"",MID(IF($BI874="","; Row ID not found on the department sheet - a row was deleted","")&amp;IF(AND($C874="",COUNTA($S874:$BB874)&gt;0),"; Invoice entered but the department row has no job number","")&amp;IF(E874="CHECK","; Job number not in the Xero job list","")&amp;IF(AND($C874&lt;&gt;"",COUNTIF($C$7:$C$1506,$C874)&gt;1),"; Job number on more than one row","")&amp;IF(AND($C874&lt;&gt;"",H874=""),"; Dept has not set a cost centre","")&amp;IF(AND($C874&lt;&gt;"",J874=""),"; Dept has not set a tax code","")&amp;IF(AND($C874&lt;&gt;"",N874=""),"; Dept has not entered an expected value","")&amp;IF((IF(OR(COUNTA(S874:U874)=0,AND(COUNTA(S874:U874)=3,ISNUMBER(U874))),0,1)+IF(OR(COUNTA(V874:X874)=0,AND(COUNTA(V874:X874)=3,ISNUMBER(X874))),0,1)+IF(OR(COUNTA(Y874:AA874)=0,AND(COUNTA(Y874:AA874)=3,ISNUMBER(AA874))),0,1)+IF(OR(COUNTA(AB874:AD874)=0,AND(COUNTA(AB874:AD874)=3,ISNUMBER(AD874))),0,1)+IF(OR(COUNTA(AE874:AG874)=0,AND(COUNTA(AE874:AG874)=3,ISNUMBER(AG874))),0,1)+IF(OR(COUNTA(AH874:AJ874)=0,AND(COUNTA(AH874:AJ874)=3,ISNUMBER(AJ874))),0,1)+IF(OR(COUNTA(AK874:AM874)=0,AND(COUNTA(AK874:AM874)=3,ISNUMBER(AM874))),0,1)+IF(OR(COUNTA(AN874:AP874)=0,AND(COUNTA(AN874:AP874)=3,ISNUMBER(AP874))),0,1)+IF(OR(COUNTA(AQ874:AS874)=0,AND(COUNTA(AQ874:AS874)=3,ISNUMBER(AS874))),0,1)+IF(OR(COUNTA(AT874:AV874)=0,AND(COUNTA(AT874:AV874)=3,ISNUMBER(AV874))),0,1)+IF(OR(COUNTA(AW874:AY874)=0,AND(COUNTA(AW874:AY874)=3,ISNUMBER(AY874))),0,1)+IF(OR(COUNTA(AZ874:BB874)=0,AND(COUNTA(AZ874:BB874)=3,ISNUMBER(BB874))),0,1))&gt;0,"; An invoice is incomplete (needs No, Date and a number in Ex GST)","")&amp;IF((IF(T874="",0,IFERROR(--(EOMONTH(T874,0)&lt;&gt;S$5),1))+IF(W874="",0,IFERROR(--(EOMONTH(W874,0)&lt;&gt;V$5),1))+IF(Z874="",0,IFERROR(--(EOMONTH(Z874,0)&lt;&gt;Y$5),1))+IF(AC874="",0,IFERROR(--(EOMONTH(AC874,0)&lt;&gt;AB$5),1))+IF(AF874="",0,IFERROR(--(EOMONTH(AF874,0)&lt;&gt;AE$5),1))+IF(AI874="",0,IFERROR(--(EOMONTH(AI874,0)&lt;&gt;AH$5),1))+IF(AL874="",0,IFERROR(--(EOMONTH(AL874,0)&lt;&gt;AK$5),1))+IF(AO874="",0,IFERROR(--(EOMONTH(AO874,0)&lt;&gt;AN$5),1))+IF(AR874="",0,IFERROR(--(EOMONTH(AR874,0)&lt;&gt;AQ$5),1))+IF(AU874="",0,IFERROR(--(EOMONTH(AU874,0)&lt;&gt;AT$5),1))+IF(AX874="",0,IFERROR(--(EOMONTH(AX874,0)&lt;&gt;AW$5),1))+IF(BA874="",0,IFERROR(--(EOMONTH(BA874,0)&lt;&gt;AZ$5),1)))&gt;0,"; An invoice date is not in the month it is typed under",""),3,500))</f>
        <v/>
      </c>
      <c r="S874" s="12" t="n"/>
      <c r="T874" s="13" t="n"/>
      <c r="U874" s="14" t="n"/>
      <c r="V874" s="12" t="n"/>
      <c r="W874" s="13" t="n"/>
      <c r="X874" s="14" t="n"/>
      <c r="Y874" s="12" t="n"/>
      <c r="Z874" s="13" t="n"/>
      <c r="AA874" s="14" t="n"/>
      <c r="AB874" s="12" t="n"/>
      <c r="AC874" s="13" t="n"/>
      <c r="AD874" s="14" t="n"/>
      <c r="AE874" s="12" t="n"/>
      <c r="AF874" s="13" t="n"/>
      <c r="AG874" s="14" t="n"/>
      <c r="AH874" s="12" t="n"/>
      <c r="AI874" s="13" t="n"/>
      <c r="AJ874" s="14" t="n"/>
      <c r="AK874" s="12" t="n"/>
      <c r="AL874" s="13" t="n"/>
      <c r="AM874" s="14" t="n"/>
      <c r="AN874" s="12" t="n"/>
      <c r="AO874" s="13" t="n"/>
      <c r="AP874" s="14" t="n"/>
      <c r="AQ874" s="12" t="n"/>
      <c r="AR874" s="13" t="n"/>
      <c r="AS874" s="14" t="n"/>
      <c r="AT874" s="12" t="n"/>
      <c r="AU874" s="13" t="n"/>
      <c r="AV874" s="14" t="n"/>
      <c r="AW874" s="12" t="n"/>
      <c r="AX874" s="13" t="n"/>
      <c r="AY874" s="14" t="n"/>
      <c r="AZ874" s="12" t="n"/>
      <c r="BA874" s="13" t="n"/>
      <c r="BB874" s="14" t="n"/>
      <c r="BC874" s="11">
        <f>IF(O874="","",IF(J874="GST 10%",ROUND(O874*set_GSTRate,2),0))</f>
        <v/>
      </c>
      <c r="BD874" s="11">
        <f>IF(O874="","",O874+BC874)</f>
        <v/>
      </c>
      <c r="BE874" s="15">
        <f>IF(O874="","",COUNTA(S874,V874,Y874,AB874,AE874,AH874,AK874,AN874,AQ874,AT874,AW874,AZ874))</f>
        <v/>
      </c>
      <c r="BF874" s="16">
        <f>IF(COUNT(T874,W874,Z874,AC874,AF874,AI874,AL874,AO874,AR874,AU874,AX874,BA874)=0,"",MAX(T874,W874,Z874,AC874,AF874,AI874,AL874,AO874,AR874,AU874,AX874,BA874))</f>
        <v/>
      </c>
      <c r="BG874" s="10">
        <f>MID(IF(S874="","",", "&amp;S874)&amp;IF(V874="","",", "&amp;V874)&amp;IF(Y874="","",", "&amp;Y874)&amp;IF(AB874="","",", "&amp;AB874)&amp;IF(AE874="","",", "&amp;AE874)&amp;IF(AH874="","",", "&amp;AH874)&amp;IF(AK874="","",", "&amp;AK874)&amp;IF(AN874="","",", "&amp;AN874)&amp;IF(AQ874="","",", "&amp;AQ874)&amp;IF(AT874="","",", "&amp;AT874)&amp;IF(AW874="","",", "&amp;AW874)&amp;IF(AZ874="","",", "&amp;AZ874),3,500)</f>
        <v/>
      </c>
      <c r="BH874" s="12" t="n"/>
      <c r="BI874" s="15">
        <f>IFERROR(MATCH($A874,IF($B874="Onsite",tbl_Onsite[Row ID],IF($B874="Production",tbl_Production[Row ID],tbl_Consulting[Row ID])),0),"")</f>
        <v/>
      </c>
    </row>
    <row r="875">
      <c r="A875" s="10" t="inlineStr">
        <is>
          <t>PRD-0369</t>
        </is>
      </c>
      <c r="B875" s="10" t="inlineStr">
        <is>
          <t>Production</t>
        </is>
      </c>
      <c r="C875" s="10">
        <f>IF($BI875="","",IF($B875="Onsite",INDEX(tbl_Onsite[Job Number],$BI875),IF($B875="Production",INDEX(tbl_Production[Job Number],$BI875),INDEX(tbl_Consulting[Job Number],$BI875)))&amp;"")</f>
        <v/>
      </c>
      <c r="D875" s="10">
        <f>IF($BI875="","",IF($B875="Onsite",INDEX(tbl_Onsite[Client],$BI875),IF($B875="Production",INDEX(tbl_Production[Client],$BI875),INDEX(tbl_Consulting[Client],$BI875)))&amp;"")</f>
        <v/>
      </c>
      <c r="E875" s="10">
        <f>IF($C875="","",IF(COUNTIF(lst_Jobs,$C875)&gt;0,"OK","CHECK"))</f>
        <v/>
      </c>
      <c r="F875" s="10">
        <f>IF($C875="","",IFERROR(INDEX(lst_JobName,MATCH($C875,lst_Jobs,0)),""))</f>
        <v/>
      </c>
      <c r="G875" s="10">
        <f>IF($BI875="","",IF($B875="Onsite",INDEX(tbl_Onsite[Job Description],$BI875),IF($B875="Production",INDEX(tbl_Production[Job Description],$BI875),INDEX(tbl_Consulting[Job Description],$BI875)))&amp;"")</f>
        <v/>
      </c>
      <c r="H875" s="10">
        <f>IF($BI875="","",IF($B875="Onsite",INDEX(tbl_Onsite[Cost Centre],$BI875),IF($B875="Production",INDEX(tbl_Production[Cost Centre],$BI875),INDEX(tbl_Consulting[Cost Centre],$BI875)))&amp;"")</f>
        <v/>
      </c>
      <c r="I875" s="10">
        <f>IF($BI875="","",IF($B875="Onsite",INDEX(tbl_Onsite[Invoice Type],$BI875),IF($B875="Production",INDEX(tbl_Production[Invoice Type],$BI875),INDEX(tbl_Consulting[Invoice Type],$BI875)))&amp;"")</f>
        <v/>
      </c>
      <c r="J875" s="10">
        <f>IF($BI875="","",IF($B875="Onsite",INDEX(tbl_Onsite[Tax Code],$BI875),IF($B875="Production",INDEX(tbl_Production[Tax Code],$BI875),INDEX(tbl_Consulting[Tax Code],$BI875)))&amp;"")</f>
        <v/>
      </c>
      <c r="K875" s="10">
        <f>IF(H875="","",IFERROR(INDEX(lst_CCtoGL,MATCH(H875,lst_CCforGL,0)),""))</f>
        <v/>
      </c>
      <c r="L875" s="10">
        <f>IF($BI875="","",IF($B875="Onsite",INDEX(tbl_Onsite[PO / Reference],$BI875),IF($B875="Production",INDEX(tbl_Production[Current RMS No],$BI875),INDEX(tbl_Consulting[Qwilr Quote],$BI875)))&amp;"")</f>
        <v/>
      </c>
      <c r="M875" s="10">
        <f>IF($BI875="","",IF($B875="Onsite",INDEX(tbl_Onsite[Notes],$BI875),IF($B875="Production",INDEX(tbl_Production[Notes],$BI875),INDEX(tbl_Consulting[Notes],$BI875)))&amp;"")</f>
        <v/>
      </c>
      <c r="N875" s="11">
        <f>IF($BI875="","",IF(IF($B875="Onsite",INDEX(tbl_Onsite[Expected Revenue Ex GST],$BI875),IF($B875="Production",INDEX(tbl_Production[Expected Revenue Ex GST],$BI875),INDEX(tbl_Consulting[Expected Revenue Ex GST],$BI875)))="","",IF($B875="Onsite",INDEX(tbl_Onsite[Expected Revenue Ex GST],$BI875),IF($B875="Production",INDEX(tbl_Production[Expected Revenue Ex GST],$BI875),INDEX(tbl_Consulting[Expected Revenue Ex GST],$BI875)))))</f>
        <v/>
      </c>
      <c r="O875" s="11">
        <f>IF(AND($C875="",NOT(COUNTA($S875:$BB875)&gt;0)),"",SUM(U875,X875,AA875,AD875,AG875,AJ875,AM875,AP875,AS875,AV875,AY875,BB875))</f>
        <v/>
      </c>
      <c r="P875" s="11">
        <f>IF(O875="","",N(N875)-O875)</f>
        <v/>
      </c>
      <c r="Q875" s="10">
        <f>IF(O875="","",IF($C875="","Invoice on empty job row",IF(N875="",IF(ROUND(O875,2)=0,"No dept value","Invoiced - no dept value"),IF(ROUND(O875,2)=0,"Not invoiced - to invoice",IF(ROUND(P875,2)=0,"Agrees",IF(P875&gt;0,"Dept higher - to invoice","Xero higher - check dept"))))))</f>
        <v/>
      </c>
      <c r="R875" s="10">
        <f>IF(AND($C875="",NOT(COUNTA($S875:$BB875)&gt;0),$BI875&lt;&gt;""),"",MID(IF($BI875="","; Row ID not found on the department sheet - a row was deleted","")&amp;IF(AND($C875="",COUNTA($S875:$BB875)&gt;0),"; Invoice entered but the department row has no job number","")&amp;IF(E875="CHECK","; Job number not in the Xero job list","")&amp;IF(AND($C875&lt;&gt;"",COUNTIF($C$7:$C$1506,$C875)&gt;1),"; Job number on more than one row","")&amp;IF(AND($C875&lt;&gt;"",H875=""),"; Dept has not set a cost centre","")&amp;IF(AND($C875&lt;&gt;"",J875=""),"; Dept has not set a tax code","")&amp;IF(AND($C875&lt;&gt;"",N875=""),"; Dept has not entered an expected value","")&amp;IF((IF(OR(COUNTA(S875:U875)=0,AND(COUNTA(S875:U875)=3,ISNUMBER(U875))),0,1)+IF(OR(COUNTA(V875:X875)=0,AND(COUNTA(V875:X875)=3,ISNUMBER(X875))),0,1)+IF(OR(COUNTA(Y875:AA875)=0,AND(COUNTA(Y875:AA875)=3,ISNUMBER(AA875))),0,1)+IF(OR(COUNTA(AB875:AD875)=0,AND(COUNTA(AB875:AD875)=3,ISNUMBER(AD875))),0,1)+IF(OR(COUNTA(AE875:AG875)=0,AND(COUNTA(AE875:AG875)=3,ISNUMBER(AG875))),0,1)+IF(OR(COUNTA(AH875:AJ875)=0,AND(COUNTA(AH875:AJ875)=3,ISNUMBER(AJ875))),0,1)+IF(OR(COUNTA(AK875:AM875)=0,AND(COUNTA(AK875:AM875)=3,ISNUMBER(AM875))),0,1)+IF(OR(COUNTA(AN875:AP875)=0,AND(COUNTA(AN875:AP875)=3,ISNUMBER(AP875))),0,1)+IF(OR(COUNTA(AQ875:AS875)=0,AND(COUNTA(AQ875:AS875)=3,ISNUMBER(AS875))),0,1)+IF(OR(COUNTA(AT875:AV875)=0,AND(COUNTA(AT875:AV875)=3,ISNUMBER(AV875))),0,1)+IF(OR(COUNTA(AW875:AY875)=0,AND(COUNTA(AW875:AY875)=3,ISNUMBER(AY875))),0,1)+IF(OR(COUNTA(AZ875:BB875)=0,AND(COUNTA(AZ875:BB875)=3,ISNUMBER(BB875))),0,1))&gt;0,"; An invoice is incomplete (needs No, Date and a number in Ex GST)","")&amp;IF((IF(T875="",0,IFERROR(--(EOMONTH(T875,0)&lt;&gt;S$5),1))+IF(W875="",0,IFERROR(--(EOMONTH(W875,0)&lt;&gt;V$5),1))+IF(Z875="",0,IFERROR(--(EOMONTH(Z875,0)&lt;&gt;Y$5),1))+IF(AC875="",0,IFERROR(--(EOMONTH(AC875,0)&lt;&gt;AB$5),1))+IF(AF875="",0,IFERROR(--(EOMONTH(AF875,0)&lt;&gt;AE$5),1))+IF(AI875="",0,IFERROR(--(EOMONTH(AI875,0)&lt;&gt;AH$5),1))+IF(AL875="",0,IFERROR(--(EOMONTH(AL875,0)&lt;&gt;AK$5),1))+IF(AO875="",0,IFERROR(--(EOMONTH(AO875,0)&lt;&gt;AN$5),1))+IF(AR875="",0,IFERROR(--(EOMONTH(AR875,0)&lt;&gt;AQ$5),1))+IF(AU875="",0,IFERROR(--(EOMONTH(AU875,0)&lt;&gt;AT$5),1))+IF(AX875="",0,IFERROR(--(EOMONTH(AX875,0)&lt;&gt;AW$5),1))+IF(BA875="",0,IFERROR(--(EOMONTH(BA875,0)&lt;&gt;AZ$5),1)))&gt;0,"; An invoice date is not in the month it is typed under",""),3,500))</f>
        <v/>
      </c>
      <c r="S875" s="12" t="n"/>
      <c r="T875" s="13" t="n"/>
      <c r="U875" s="14" t="n"/>
      <c r="V875" s="12" t="n"/>
      <c r="W875" s="13" t="n"/>
      <c r="X875" s="14" t="n"/>
      <c r="Y875" s="12" t="n"/>
      <c r="Z875" s="13" t="n"/>
      <c r="AA875" s="14" t="n"/>
      <c r="AB875" s="12" t="n"/>
      <c r="AC875" s="13" t="n"/>
      <c r="AD875" s="14" t="n"/>
      <c r="AE875" s="12" t="n"/>
      <c r="AF875" s="13" t="n"/>
      <c r="AG875" s="14" t="n"/>
      <c r="AH875" s="12" t="n"/>
      <c r="AI875" s="13" t="n"/>
      <c r="AJ875" s="14" t="n"/>
      <c r="AK875" s="12" t="n"/>
      <c r="AL875" s="13" t="n"/>
      <c r="AM875" s="14" t="n"/>
      <c r="AN875" s="12" t="n"/>
      <c r="AO875" s="13" t="n"/>
      <c r="AP875" s="14" t="n"/>
      <c r="AQ875" s="12" t="n"/>
      <c r="AR875" s="13" t="n"/>
      <c r="AS875" s="14" t="n"/>
      <c r="AT875" s="12" t="n"/>
      <c r="AU875" s="13" t="n"/>
      <c r="AV875" s="14" t="n"/>
      <c r="AW875" s="12" t="n"/>
      <c r="AX875" s="13" t="n"/>
      <c r="AY875" s="14" t="n"/>
      <c r="AZ875" s="12" t="n"/>
      <c r="BA875" s="13" t="n"/>
      <c r="BB875" s="14" t="n"/>
      <c r="BC875" s="11">
        <f>IF(O875="","",IF(J875="GST 10%",ROUND(O875*set_GSTRate,2),0))</f>
        <v/>
      </c>
      <c r="BD875" s="11">
        <f>IF(O875="","",O875+BC875)</f>
        <v/>
      </c>
      <c r="BE875" s="15">
        <f>IF(O875="","",COUNTA(S875,V875,Y875,AB875,AE875,AH875,AK875,AN875,AQ875,AT875,AW875,AZ875))</f>
        <v/>
      </c>
      <c r="BF875" s="16">
        <f>IF(COUNT(T875,W875,Z875,AC875,AF875,AI875,AL875,AO875,AR875,AU875,AX875,BA875)=0,"",MAX(T875,W875,Z875,AC875,AF875,AI875,AL875,AO875,AR875,AU875,AX875,BA875))</f>
        <v/>
      </c>
      <c r="BG875" s="10">
        <f>MID(IF(S875="","",", "&amp;S875)&amp;IF(V875="","",", "&amp;V875)&amp;IF(Y875="","",", "&amp;Y875)&amp;IF(AB875="","",", "&amp;AB875)&amp;IF(AE875="","",", "&amp;AE875)&amp;IF(AH875="","",", "&amp;AH875)&amp;IF(AK875="","",", "&amp;AK875)&amp;IF(AN875="","",", "&amp;AN875)&amp;IF(AQ875="","",", "&amp;AQ875)&amp;IF(AT875="","",", "&amp;AT875)&amp;IF(AW875="","",", "&amp;AW875)&amp;IF(AZ875="","",", "&amp;AZ875),3,500)</f>
        <v/>
      </c>
      <c r="BH875" s="12" t="n"/>
      <c r="BI875" s="15">
        <f>IFERROR(MATCH($A875,IF($B875="Onsite",tbl_Onsite[Row ID],IF($B875="Production",tbl_Production[Row ID],tbl_Consulting[Row ID])),0),"")</f>
        <v/>
      </c>
    </row>
    <row r="876">
      <c r="A876" s="10" t="inlineStr">
        <is>
          <t>PRD-0370</t>
        </is>
      </c>
      <c r="B876" s="10" t="inlineStr">
        <is>
          <t>Production</t>
        </is>
      </c>
      <c r="C876" s="10">
        <f>IF($BI876="","",IF($B876="Onsite",INDEX(tbl_Onsite[Job Number],$BI876),IF($B876="Production",INDEX(tbl_Production[Job Number],$BI876),INDEX(tbl_Consulting[Job Number],$BI876)))&amp;"")</f>
        <v/>
      </c>
      <c r="D876" s="10">
        <f>IF($BI876="","",IF($B876="Onsite",INDEX(tbl_Onsite[Client],$BI876),IF($B876="Production",INDEX(tbl_Production[Client],$BI876),INDEX(tbl_Consulting[Client],$BI876)))&amp;"")</f>
        <v/>
      </c>
      <c r="E876" s="10">
        <f>IF($C876="","",IF(COUNTIF(lst_Jobs,$C876)&gt;0,"OK","CHECK"))</f>
        <v/>
      </c>
      <c r="F876" s="10">
        <f>IF($C876="","",IFERROR(INDEX(lst_JobName,MATCH($C876,lst_Jobs,0)),""))</f>
        <v/>
      </c>
      <c r="G876" s="10">
        <f>IF($BI876="","",IF($B876="Onsite",INDEX(tbl_Onsite[Job Description],$BI876),IF($B876="Production",INDEX(tbl_Production[Job Description],$BI876),INDEX(tbl_Consulting[Job Description],$BI876)))&amp;"")</f>
        <v/>
      </c>
      <c r="H876" s="10">
        <f>IF($BI876="","",IF($B876="Onsite",INDEX(tbl_Onsite[Cost Centre],$BI876),IF($B876="Production",INDEX(tbl_Production[Cost Centre],$BI876),INDEX(tbl_Consulting[Cost Centre],$BI876)))&amp;"")</f>
        <v/>
      </c>
      <c r="I876" s="10">
        <f>IF($BI876="","",IF($B876="Onsite",INDEX(tbl_Onsite[Invoice Type],$BI876),IF($B876="Production",INDEX(tbl_Production[Invoice Type],$BI876),INDEX(tbl_Consulting[Invoice Type],$BI876)))&amp;"")</f>
        <v/>
      </c>
      <c r="J876" s="10">
        <f>IF($BI876="","",IF($B876="Onsite",INDEX(tbl_Onsite[Tax Code],$BI876),IF($B876="Production",INDEX(tbl_Production[Tax Code],$BI876),INDEX(tbl_Consulting[Tax Code],$BI876)))&amp;"")</f>
        <v/>
      </c>
      <c r="K876" s="10">
        <f>IF(H876="","",IFERROR(INDEX(lst_CCtoGL,MATCH(H876,lst_CCforGL,0)),""))</f>
        <v/>
      </c>
      <c r="L876" s="10">
        <f>IF($BI876="","",IF($B876="Onsite",INDEX(tbl_Onsite[PO / Reference],$BI876),IF($B876="Production",INDEX(tbl_Production[Current RMS No],$BI876),INDEX(tbl_Consulting[Qwilr Quote],$BI876)))&amp;"")</f>
        <v/>
      </c>
      <c r="M876" s="10">
        <f>IF($BI876="","",IF($B876="Onsite",INDEX(tbl_Onsite[Notes],$BI876),IF($B876="Production",INDEX(tbl_Production[Notes],$BI876),INDEX(tbl_Consulting[Notes],$BI876)))&amp;"")</f>
        <v/>
      </c>
      <c r="N876" s="11">
        <f>IF($BI876="","",IF(IF($B876="Onsite",INDEX(tbl_Onsite[Expected Revenue Ex GST],$BI876),IF($B876="Production",INDEX(tbl_Production[Expected Revenue Ex GST],$BI876),INDEX(tbl_Consulting[Expected Revenue Ex GST],$BI876)))="","",IF($B876="Onsite",INDEX(tbl_Onsite[Expected Revenue Ex GST],$BI876),IF($B876="Production",INDEX(tbl_Production[Expected Revenue Ex GST],$BI876),INDEX(tbl_Consulting[Expected Revenue Ex GST],$BI876)))))</f>
        <v/>
      </c>
      <c r="O876" s="11">
        <f>IF(AND($C876="",NOT(COUNTA($S876:$BB876)&gt;0)),"",SUM(U876,X876,AA876,AD876,AG876,AJ876,AM876,AP876,AS876,AV876,AY876,BB876))</f>
        <v/>
      </c>
      <c r="P876" s="11">
        <f>IF(O876="","",N(N876)-O876)</f>
        <v/>
      </c>
      <c r="Q876" s="10">
        <f>IF(O876="","",IF($C876="","Invoice on empty job row",IF(N876="",IF(ROUND(O876,2)=0,"No dept value","Invoiced - no dept value"),IF(ROUND(O876,2)=0,"Not invoiced - to invoice",IF(ROUND(P876,2)=0,"Agrees",IF(P876&gt;0,"Dept higher - to invoice","Xero higher - check dept"))))))</f>
        <v/>
      </c>
      <c r="R876" s="10">
        <f>IF(AND($C876="",NOT(COUNTA($S876:$BB876)&gt;0),$BI876&lt;&gt;""),"",MID(IF($BI876="","; Row ID not found on the department sheet - a row was deleted","")&amp;IF(AND($C876="",COUNTA($S876:$BB876)&gt;0),"; Invoice entered but the department row has no job number","")&amp;IF(E876="CHECK","; Job number not in the Xero job list","")&amp;IF(AND($C876&lt;&gt;"",COUNTIF($C$7:$C$1506,$C876)&gt;1),"; Job number on more than one row","")&amp;IF(AND($C876&lt;&gt;"",H876=""),"; Dept has not set a cost centre","")&amp;IF(AND($C876&lt;&gt;"",J876=""),"; Dept has not set a tax code","")&amp;IF(AND($C876&lt;&gt;"",N876=""),"; Dept has not entered an expected value","")&amp;IF((IF(OR(COUNTA(S876:U876)=0,AND(COUNTA(S876:U876)=3,ISNUMBER(U876))),0,1)+IF(OR(COUNTA(V876:X876)=0,AND(COUNTA(V876:X876)=3,ISNUMBER(X876))),0,1)+IF(OR(COUNTA(Y876:AA876)=0,AND(COUNTA(Y876:AA876)=3,ISNUMBER(AA876))),0,1)+IF(OR(COUNTA(AB876:AD876)=0,AND(COUNTA(AB876:AD876)=3,ISNUMBER(AD876))),0,1)+IF(OR(COUNTA(AE876:AG876)=0,AND(COUNTA(AE876:AG876)=3,ISNUMBER(AG876))),0,1)+IF(OR(COUNTA(AH876:AJ876)=0,AND(COUNTA(AH876:AJ876)=3,ISNUMBER(AJ876))),0,1)+IF(OR(COUNTA(AK876:AM876)=0,AND(COUNTA(AK876:AM876)=3,ISNUMBER(AM876))),0,1)+IF(OR(COUNTA(AN876:AP876)=0,AND(COUNTA(AN876:AP876)=3,ISNUMBER(AP876))),0,1)+IF(OR(COUNTA(AQ876:AS876)=0,AND(COUNTA(AQ876:AS876)=3,ISNUMBER(AS876))),0,1)+IF(OR(COUNTA(AT876:AV876)=0,AND(COUNTA(AT876:AV876)=3,ISNUMBER(AV876))),0,1)+IF(OR(COUNTA(AW876:AY876)=0,AND(COUNTA(AW876:AY876)=3,ISNUMBER(AY876))),0,1)+IF(OR(COUNTA(AZ876:BB876)=0,AND(COUNTA(AZ876:BB876)=3,ISNUMBER(BB876))),0,1))&gt;0,"; An invoice is incomplete (needs No, Date and a number in Ex GST)","")&amp;IF((IF(T876="",0,IFERROR(--(EOMONTH(T876,0)&lt;&gt;S$5),1))+IF(W876="",0,IFERROR(--(EOMONTH(W876,0)&lt;&gt;V$5),1))+IF(Z876="",0,IFERROR(--(EOMONTH(Z876,0)&lt;&gt;Y$5),1))+IF(AC876="",0,IFERROR(--(EOMONTH(AC876,0)&lt;&gt;AB$5),1))+IF(AF876="",0,IFERROR(--(EOMONTH(AF876,0)&lt;&gt;AE$5),1))+IF(AI876="",0,IFERROR(--(EOMONTH(AI876,0)&lt;&gt;AH$5),1))+IF(AL876="",0,IFERROR(--(EOMONTH(AL876,0)&lt;&gt;AK$5),1))+IF(AO876="",0,IFERROR(--(EOMONTH(AO876,0)&lt;&gt;AN$5),1))+IF(AR876="",0,IFERROR(--(EOMONTH(AR876,0)&lt;&gt;AQ$5),1))+IF(AU876="",0,IFERROR(--(EOMONTH(AU876,0)&lt;&gt;AT$5),1))+IF(AX876="",0,IFERROR(--(EOMONTH(AX876,0)&lt;&gt;AW$5),1))+IF(BA876="",0,IFERROR(--(EOMONTH(BA876,0)&lt;&gt;AZ$5),1)))&gt;0,"; An invoice date is not in the month it is typed under",""),3,500))</f>
        <v/>
      </c>
      <c r="S876" s="12" t="n"/>
      <c r="T876" s="13" t="n"/>
      <c r="U876" s="14" t="n"/>
      <c r="V876" s="12" t="n"/>
      <c r="W876" s="13" t="n"/>
      <c r="X876" s="14" t="n"/>
      <c r="Y876" s="12" t="n"/>
      <c r="Z876" s="13" t="n"/>
      <c r="AA876" s="14" t="n"/>
      <c r="AB876" s="12" t="n"/>
      <c r="AC876" s="13" t="n"/>
      <c r="AD876" s="14" t="n"/>
      <c r="AE876" s="12" t="n"/>
      <c r="AF876" s="13" t="n"/>
      <c r="AG876" s="14" t="n"/>
      <c r="AH876" s="12" t="n"/>
      <c r="AI876" s="13" t="n"/>
      <c r="AJ876" s="14" t="n"/>
      <c r="AK876" s="12" t="n"/>
      <c r="AL876" s="13" t="n"/>
      <c r="AM876" s="14" t="n"/>
      <c r="AN876" s="12" t="n"/>
      <c r="AO876" s="13" t="n"/>
      <c r="AP876" s="14" t="n"/>
      <c r="AQ876" s="12" t="n"/>
      <c r="AR876" s="13" t="n"/>
      <c r="AS876" s="14" t="n"/>
      <c r="AT876" s="12" t="n"/>
      <c r="AU876" s="13" t="n"/>
      <c r="AV876" s="14" t="n"/>
      <c r="AW876" s="12" t="n"/>
      <c r="AX876" s="13" t="n"/>
      <c r="AY876" s="14" t="n"/>
      <c r="AZ876" s="12" t="n"/>
      <c r="BA876" s="13" t="n"/>
      <c r="BB876" s="14" t="n"/>
      <c r="BC876" s="11">
        <f>IF(O876="","",IF(J876="GST 10%",ROUND(O876*set_GSTRate,2),0))</f>
        <v/>
      </c>
      <c r="BD876" s="11">
        <f>IF(O876="","",O876+BC876)</f>
        <v/>
      </c>
      <c r="BE876" s="15">
        <f>IF(O876="","",COUNTA(S876,V876,Y876,AB876,AE876,AH876,AK876,AN876,AQ876,AT876,AW876,AZ876))</f>
        <v/>
      </c>
      <c r="BF876" s="16">
        <f>IF(COUNT(T876,W876,Z876,AC876,AF876,AI876,AL876,AO876,AR876,AU876,AX876,BA876)=0,"",MAX(T876,W876,Z876,AC876,AF876,AI876,AL876,AO876,AR876,AU876,AX876,BA876))</f>
        <v/>
      </c>
      <c r="BG876" s="10">
        <f>MID(IF(S876="","",", "&amp;S876)&amp;IF(V876="","",", "&amp;V876)&amp;IF(Y876="","",", "&amp;Y876)&amp;IF(AB876="","",", "&amp;AB876)&amp;IF(AE876="","",", "&amp;AE876)&amp;IF(AH876="","",", "&amp;AH876)&amp;IF(AK876="","",", "&amp;AK876)&amp;IF(AN876="","",", "&amp;AN876)&amp;IF(AQ876="","",", "&amp;AQ876)&amp;IF(AT876="","",", "&amp;AT876)&amp;IF(AW876="","",", "&amp;AW876)&amp;IF(AZ876="","",", "&amp;AZ876),3,500)</f>
        <v/>
      </c>
      <c r="BH876" s="12" t="n"/>
      <c r="BI876" s="15">
        <f>IFERROR(MATCH($A876,IF($B876="Onsite",tbl_Onsite[Row ID],IF($B876="Production",tbl_Production[Row ID],tbl_Consulting[Row ID])),0),"")</f>
        <v/>
      </c>
    </row>
    <row r="877">
      <c r="A877" s="10" t="inlineStr">
        <is>
          <t>PRD-0371</t>
        </is>
      </c>
      <c r="B877" s="10" t="inlineStr">
        <is>
          <t>Production</t>
        </is>
      </c>
      <c r="C877" s="10">
        <f>IF($BI877="","",IF($B877="Onsite",INDEX(tbl_Onsite[Job Number],$BI877),IF($B877="Production",INDEX(tbl_Production[Job Number],$BI877),INDEX(tbl_Consulting[Job Number],$BI877)))&amp;"")</f>
        <v/>
      </c>
      <c r="D877" s="10">
        <f>IF($BI877="","",IF($B877="Onsite",INDEX(tbl_Onsite[Client],$BI877),IF($B877="Production",INDEX(tbl_Production[Client],$BI877),INDEX(tbl_Consulting[Client],$BI877)))&amp;"")</f>
        <v/>
      </c>
      <c r="E877" s="10">
        <f>IF($C877="","",IF(COUNTIF(lst_Jobs,$C877)&gt;0,"OK","CHECK"))</f>
        <v/>
      </c>
      <c r="F877" s="10">
        <f>IF($C877="","",IFERROR(INDEX(lst_JobName,MATCH($C877,lst_Jobs,0)),""))</f>
        <v/>
      </c>
      <c r="G877" s="10">
        <f>IF($BI877="","",IF($B877="Onsite",INDEX(tbl_Onsite[Job Description],$BI877),IF($B877="Production",INDEX(tbl_Production[Job Description],$BI877),INDEX(tbl_Consulting[Job Description],$BI877)))&amp;"")</f>
        <v/>
      </c>
      <c r="H877" s="10">
        <f>IF($BI877="","",IF($B877="Onsite",INDEX(tbl_Onsite[Cost Centre],$BI877),IF($B877="Production",INDEX(tbl_Production[Cost Centre],$BI877),INDEX(tbl_Consulting[Cost Centre],$BI877)))&amp;"")</f>
        <v/>
      </c>
      <c r="I877" s="10">
        <f>IF($BI877="","",IF($B877="Onsite",INDEX(tbl_Onsite[Invoice Type],$BI877),IF($B877="Production",INDEX(tbl_Production[Invoice Type],$BI877),INDEX(tbl_Consulting[Invoice Type],$BI877)))&amp;"")</f>
        <v/>
      </c>
      <c r="J877" s="10">
        <f>IF($BI877="","",IF($B877="Onsite",INDEX(tbl_Onsite[Tax Code],$BI877),IF($B877="Production",INDEX(tbl_Production[Tax Code],$BI877),INDEX(tbl_Consulting[Tax Code],$BI877)))&amp;"")</f>
        <v/>
      </c>
      <c r="K877" s="10">
        <f>IF(H877="","",IFERROR(INDEX(lst_CCtoGL,MATCH(H877,lst_CCforGL,0)),""))</f>
        <v/>
      </c>
      <c r="L877" s="10">
        <f>IF($BI877="","",IF($B877="Onsite",INDEX(tbl_Onsite[PO / Reference],$BI877),IF($B877="Production",INDEX(tbl_Production[Current RMS No],$BI877),INDEX(tbl_Consulting[Qwilr Quote],$BI877)))&amp;"")</f>
        <v/>
      </c>
      <c r="M877" s="10">
        <f>IF($BI877="","",IF($B877="Onsite",INDEX(tbl_Onsite[Notes],$BI877),IF($B877="Production",INDEX(tbl_Production[Notes],$BI877),INDEX(tbl_Consulting[Notes],$BI877)))&amp;"")</f>
        <v/>
      </c>
      <c r="N877" s="11">
        <f>IF($BI877="","",IF(IF($B877="Onsite",INDEX(tbl_Onsite[Expected Revenue Ex GST],$BI877),IF($B877="Production",INDEX(tbl_Production[Expected Revenue Ex GST],$BI877),INDEX(tbl_Consulting[Expected Revenue Ex GST],$BI877)))="","",IF($B877="Onsite",INDEX(tbl_Onsite[Expected Revenue Ex GST],$BI877),IF($B877="Production",INDEX(tbl_Production[Expected Revenue Ex GST],$BI877),INDEX(tbl_Consulting[Expected Revenue Ex GST],$BI877)))))</f>
        <v/>
      </c>
      <c r="O877" s="11">
        <f>IF(AND($C877="",NOT(COUNTA($S877:$BB877)&gt;0)),"",SUM(U877,X877,AA877,AD877,AG877,AJ877,AM877,AP877,AS877,AV877,AY877,BB877))</f>
        <v/>
      </c>
      <c r="P877" s="11">
        <f>IF(O877="","",N(N877)-O877)</f>
        <v/>
      </c>
      <c r="Q877" s="10">
        <f>IF(O877="","",IF($C877="","Invoice on empty job row",IF(N877="",IF(ROUND(O877,2)=0,"No dept value","Invoiced - no dept value"),IF(ROUND(O877,2)=0,"Not invoiced - to invoice",IF(ROUND(P877,2)=0,"Agrees",IF(P877&gt;0,"Dept higher - to invoice","Xero higher - check dept"))))))</f>
        <v/>
      </c>
      <c r="R877" s="10">
        <f>IF(AND($C877="",NOT(COUNTA($S877:$BB877)&gt;0),$BI877&lt;&gt;""),"",MID(IF($BI877="","; Row ID not found on the department sheet - a row was deleted","")&amp;IF(AND($C877="",COUNTA($S877:$BB877)&gt;0),"; Invoice entered but the department row has no job number","")&amp;IF(E877="CHECK","; Job number not in the Xero job list","")&amp;IF(AND($C877&lt;&gt;"",COUNTIF($C$7:$C$1506,$C877)&gt;1),"; Job number on more than one row","")&amp;IF(AND($C877&lt;&gt;"",H877=""),"; Dept has not set a cost centre","")&amp;IF(AND($C877&lt;&gt;"",J877=""),"; Dept has not set a tax code","")&amp;IF(AND($C877&lt;&gt;"",N877=""),"; Dept has not entered an expected value","")&amp;IF((IF(OR(COUNTA(S877:U877)=0,AND(COUNTA(S877:U877)=3,ISNUMBER(U877))),0,1)+IF(OR(COUNTA(V877:X877)=0,AND(COUNTA(V877:X877)=3,ISNUMBER(X877))),0,1)+IF(OR(COUNTA(Y877:AA877)=0,AND(COUNTA(Y877:AA877)=3,ISNUMBER(AA877))),0,1)+IF(OR(COUNTA(AB877:AD877)=0,AND(COUNTA(AB877:AD877)=3,ISNUMBER(AD877))),0,1)+IF(OR(COUNTA(AE877:AG877)=0,AND(COUNTA(AE877:AG877)=3,ISNUMBER(AG877))),0,1)+IF(OR(COUNTA(AH877:AJ877)=0,AND(COUNTA(AH877:AJ877)=3,ISNUMBER(AJ877))),0,1)+IF(OR(COUNTA(AK877:AM877)=0,AND(COUNTA(AK877:AM877)=3,ISNUMBER(AM877))),0,1)+IF(OR(COUNTA(AN877:AP877)=0,AND(COUNTA(AN877:AP877)=3,ISNUMBER(AP877))),0,1)+IF(OR(COUNTA(AQ877:AS877)=0,AND(COUNTA(AQ877:AS877)=3,ISNUMBER(AS877))),0,1)+IF(OR(COUNTA(AT877:AV877)=0,AND(COUNTA(AT877:AV877)=3,ISNUMBER(AV877))),0,1)+IF(OR(COUNTA(AW877:AY877)=0,AND(COUNTA(AW877:AY877)=3,ISNUMBER(AY877))),0,1)+IF(OR(COUNTA(AZ877:BB877)=0,AND(COUNTA(AZ877:BB877)=3,ISNUMBER(BB877))),0,1))&gt;0,"; An invoice is incomplete (needs No, Date and a number in Ex GST)","")&amp;IF((IF(T877="",0,IFERROR(--(EOMONTH(T877,0)&lt;&gt;S$5),1))+IF(W877="",0,IFERROR(--(EOMONTH(W877,0)&lt;&gt;V$5),1))+IF(Z877="",0,IFERROR(--(EOMONTH(Z877,0)&lt;&gt;Y$5),1))+IF(AC877="",0,IFERROR(--(EOMONTH(AC877,0)&lt;&gt;AB$5),1))+IF(AF877="",0,IFERROR(--(EOMONTH(AF877,0)&lt;&gt;AE$5),1))+IF(AI877="",0,IFERROR(--(EOMONTH(AI877,0)&lt;&gt;AH$5),1))+IF(AL877="",0,IFERROR(--(EOMONTH(AL877,0)&lt;&gt;AK$5),1))+IF(AO877="",0,IFERROR(--(EOMONTH(AO877,0)&lt;&gt;AN$5),1))+IF(AR877="",0,IFERROR(--(EOMONTH(AR877,0)&lt;&gt;AQ$5),1))+IF(AU877="",0,IFERROR(--(EOMONTH(AU877,0)&lt;&gt;AT$5),1))+IF(AX877="",0,IFERROR(--(EOMONTH(AX877,0)&lt;&gt;AW$5),1))+IF(BA877="",0,IFERROR(--(EOMONTH(BA877,0)&lt;&gt;AZ$5),1)))&gt;0,"; An invoice date is not in the month it is typed under",""),3,500))</f>
        <v/>
      </c>
      <c r="S877" s="12" t="n"/>
      <c r="T877" s="13" t="n"/>
      <c r="U877" s="14" t="n"/>
      <c r="V877" s="12" t="n"/>
      <c r="W877" s="13" t="n"/>
      <c r="X877" s="14" t="n"/>
      <c r="Y877" s="12" t="n"/>
      <c r="Z877" s="13" t="n"/>
      <c r="AA877" s="14" t="n"/>
      <c r="AB877" s="12" t="n"/>
      <c r="AC877" s="13" t="n"/>
      <c r="AD877" s="14" t="n"/>
      <c r="AE877" s="12" t="n"/>
      <c r="AF877" s="13" t="n"/>
      <c r="AG877" s="14" t="n"/>
      <c r="AH877" s="12" t="n"/>
      <c r="AI877" s="13" t="n"/>
      <c r="AJ877" s="14" t="n"/>
      <c r="AK877" s="12" t="n"/>
      <c r="AL877" s="13" t="n"/>
      <c r="AM877" s="14" t="n"/>
      <c r="AN877" s="12" t="n"/>
      <c r="AO877" s="13" t="n"/>
      <c r="AP877" s="14" t="n"/>
      <c r="AQ877" s="12" t="n"/>
      <c r="AR877" s="13" t="n"/>
      <c r="AS877" s="14" t="n"/>
      <c r="AT877" s="12" t="n"/>
      <c r="AU877" s="13" t="n"/>
      <c r="AV877" s="14" t="n"/>
      <c r="AW877" s="12" t="n"/>
      <c r="AX877" s="13" t="n"/>
      <c r="AY877" s="14" t="n"/>
      <c r="AZ877" s="12" t="n"/>
      <c r="BA877" s="13" t="n"/>
      <c r="BB877" s="14" t="n"/>
      <c r="BC877" s="11">
        <f>IF(O877="","",IF(J877="GST 10%",ROUND(O877*set_GSTRate,2),0))</f>
        <v/>
      </c>
      <c r="BD877" s="11">
        <f>IF(O877="","",O877+BC877)</f>
        <v/>
      </c>
      <c r="BE877" s="15">
        <f>IF(O877="","",COUNTA(S877,V877,Y877,AB877,AE877,AH877,AK877,AN877,AQ877,AT877,AW877,AZ877))</f>
        <v/>
      </c>
      <c r="BF877" s="16">
        <f>IF(COUNT(T877,W877,Z877,AC877,AF877,AI877,AL877,AO877,AR877,AU877,AX877,BA877)=0,"",MAX(T877,W877,Z877,AC877,AF877,AI877,AL877,AO877,AR877,AU877,AX877,BA877))</f>
        <v/>
      </c>
      <c r="BG877" s="10">
        <f>MID(IF(S877="","",", "&amp;S877)&amp;IF(V877="","",", "&amp;V877)&amp;IF(Y877="","",", "&amp;Y877)&amp;IF(AB877="","",", "&amp;AB877)&amp;IF(AE877="","",", "&amp;AE877)&amp;IF(AH877="","",", "&amp;AH877)&amp;IF(AK877="","",", "&amp;AK877)&amp;IF(AN877="","",", "&amp;AN877)&amp;IF(AQ877="","",", "&amp;AQ877)&amp;IF(AT877="","",", "&amp;AT877)&amp;IF(AW877="","",", "&amp;AW877)&amp;IF(AZ877="","",", "&amp;AZ877),3,500)</f>
        <v/>
      </c>
      <c r="BH877" s="12" t="n"/>
      <c r="BI877" s="15">
        <f>IFERROR(MATCH($A877,IF($B877="Onsite",tbl_Onsite[Row ID],IF($B877="Production",tbl_Production[Row ID],tbl_Consulting[Row ID])),0),"")</f>
        <v/>
      </c>
    </row>
    <row r="878">
      <c r="A878" s="10" t="inlineStr">
        <is>
          <t>PRD-0372</t>
        </is>
      </c>
      <c r="B878" s="10" t="inlineStr">
        <is>
          <t>Production</t>
        </is>
      </c>
      <c r="C878" s="10">
        <f>IF($BI878="","",IF($B878="Onsite",INDEX(tbl_Onsite[Job Number],$BI878),IF($B878="Production",INDEX(tbl_Production[Job Number],$BI878),INDEX(tbl_Consulting[Job Number],$BI878)))&amp;"")</f>
        <v/>
      </c>
      <c r="D878" s="10">
        <f>IF($BI878="","",IF($B878="Onsite",INDEX(tbl_Onsite[Client],$BI878),IF($B878="Production",INDEX(tbl_Production[Client],$BI878),INDEX(tbl_Consulting[Client],$BI878)))&amp;"")</f>
        <v/>
      </c>
      <c r="E878" s="10">
        <f>IF($C878="","",IF(COUNTIF(lst_Jobs,$C878)&gt;0,"OK","CHECK"))</f>
        <v/>
      </c>
      <c r="F878" s="10">
        <f>IF($C878="","",IFERROR(INDEX(lst_JobName,MATCH($C878,lst_Jobs,0)),""))</f>
        <v/>
      </c>
      <c r="G878" s="10">
        <f>IF($BI878="","",IF($B878="Onsite",INDEX(tbl_Onsite[Job Description],$BI878),IF($B878="Production",INDEX(tbl_Production[Job Description],$BI878),INDEX(tbl_Consulting[Job Description],$BI878)))&amp;"")</f>
        <v/>
      </c>
      <c r="H878" s="10">
        <f>IF($BI878="","",IF($B878="Onsite",INDEX(tbl_Onsite[Cost Centre],$BI878),IF($B878="Production",INDEX(tbl_Production[Cost Centre],$BI878),INDEX(tbl_Consulting[Cost Centre],$BI878)))&amp;"")</f>
        <v/>
      </c>
      <c r="I878" s="10">
        <f>IF($BI878="","",IF($B878="Onsite",INDEX(tbl_Onsite[Invoice Type],$BI878),IF($B878="Production",INDEX(tbl_Production[Invoice Type],$BI878),INDEX(tbl_Consulting[Invoice Type],$BI878)))&amp;"")</f>
        <v/>
      </c>
      <c r="J878" s="10">
        <f>IF($BI878="","",IF($B878="Onsite",INDEX(tbl_Onsite[Tax Code],$BI878),IF($B878="Production",INDEX(tbl_Production[Tax Code],$BI878),INDEX(tbl_Consulting[Tax Code],$BI878)))&amp;"")</f>
        <v/>
      </c>
      <c r="K878" s="10">
        <f>IF(H878="","",IFERROR(INDEX(lst_CCtoGL,MATCH(H878,lst_CCforGL,0)),""))</f>
        <v/>
      </c>
      <c r="L878" s="10">
        <f>IF($BI878="","",IF($B878="Onsite",INDEX(tbl_Onsite[PO / Reference],$BI878),IF($B878="Production",INDEX(tbl_Production[Current RMS No],$BI878),INDEX(tbl_Consulting[Qwilr Quote],$BI878)))&amp;"")</f>
        <v/>
      </c>
      <c r="M878" s="10">
        <f>IF($BI878="","",IF($B878="Onsite",INDEX(tbl_Onsite[Notes],$BI878),IF($B878="Production",INDEX(tbl_Production[Notes],$BI878),INDEX(tbl_Consulting[Notes],$BI878)))&amp;"")</f>
        <v/>
      </c>
      <c r="N878" s="11">
        <f>IF($BI878="","",IF(IF($B878="Onsite",INDEX(tbl_Onsite[Expected Revenue Ex GST],$BI878),IF($B878="Production",INDEX(tbl_Production[Expected Revenue Ex GST],$BI878),INDEX(tbl_Consulting[Expected Revenue Ex GST],$BI878)))="","",IF($B878="Onsite",INDEX(tbl_Onsite[Expected Revenue Ex GST],$BI878),IF($B878="Production",INDEX(tbl_Production[Expected Revenue Ex GST],$BI878),INDEX(tbl_Consulting[Expected Revenue Ex GST],$BI878)))))</f>
        <v/>
      </c>
      <c r="O878" s="11">
        <f>IF(AND($C878="",NOT(COUNTA($S878:$BB878)&gt;0)),"",SUM(U878,X878,AA878,AD878,AG878,AJ878,AM878,AP878,AS878,AV878,AY878,BB878))</f>
        <v/>
      </c>
      <c r="P878" s="11">
        <f>IF(O878="","",N(N878)-O878)</f>
        <v/>
      </c>
      <c r="Q878" s="10">
        <f>IF(O878="","",IF($C878="","Invoice on empty job row",IF(N878="",IF(ROUND(O878,2)=0,"No dept value","Invoiced - no dept value"),IF(ROUND(O878,2)=0,"Not invoiced - to invoice",IF(ROUND(P878,2)=0,"Agrees",IF(P878&gt;0,"Dept higher - to invoice","Xero higher - check dept"))))))</f>
        <v/>
      </c>
      <c r="R878" s="10">
        <f>IF(AND($C878="",NOT(COUNTA($S878:$BB878)&gt;0),$BI878&lt;&gt;""),"",MID(IF($BI878="","; Row ID not found on the department sheet - a row was deleted","")&amp;IF(AND($C878="",COUNTA($S878:$BB878)&gt;0),"; Invoice entered but the department row has no job number","")&amp;IF(E878="CHECK","; Job number not in the Xero job list","")&amp;IF(AND($C878&lt;&gt;"",COUNTIF($C$7:$C$1506,$C878)&gt;1),"; Job number on more than one row","")&amp;IF(AND($C878&lt;&gt;"",H878=""),"; Dept has not set a cost centre","")&amp;IF(AND($C878&lt;&gt;"",J878=""),"; Dept has not set a tax code","")&amp;IF(AND($C878&lt;&gt;"",N878=""),"; Dept has not entered an expected value","")&amp;IF((IF(OR(COUNTA(S878:U878)=0,AND(COUNTA(S878:U878)=3,ISNUMBER(U878))),0,1)+IF(OR(COUNTA(V878:X878)=0,AND(COUNTA(V878:X878)=3,ISNUMBER(X878))),0,1)+IF(OR(COUNTA(Y878:AA878)=0,AND(COUNTA(Y878:AA878)=3,ISNUMBER(AA878))),0,1)+IF(OR(COUNTA(AB878:AD878)=0,AND(COUNTA(AB878:AD878)=3,ISNUMBER(AD878))),0,1)+IF(OR(COUNTA(AE878:AG878)=0,AND(COUNTA(AE878:AG878)=3,ISNUMBER(AG878))),0,1)+IF(OR(COUNTA(AH878:AJ878)=0,AND(COUNTA(AH878:AJ878)=3,ISNUMBER(AJ878))),0,1)+IF(OR(COUNTA(AK878:AM878)=0,AND(COUNTA(AK878:AM878)=3,ISNUMBER(AM878))),0,1)+IF(OR(COUNTA(AN878:AP878)=0,AND(COUNTA(AN878:AP878)=3,ISNUMBER(AP878))),0,1)+IF(OR(COUNTA(AQ878:AS878)=0,AND(COUNTA(AQ878:AS878)=3,ISNUMBER(AS878))),0,1)+IF(OR(COUNTA(AT878:AV878)=0,AND(COUNTA(AT878:AV878)=3,ISNUMBER(AV878))),0,1)+IF(OR(COUNTA(AW878:AY878)=0,AND(COUNTA(AW878:AY878)=3,ISNUMBER(AY878))),0,1)+IF(OR(COUNTA(AZ878:BB878)=0,AND(COUNTA(AZ878:BB878)=3,ISNUMBER(BB878))),0,1))&gt;0,"; An invoice is incomplete (needs No, Date and a number in Ex GST)","")&amp;IF((IF(T878="",0,IFERROR(--(EOMONTH(T878,0)&lt;&gt;S$5),1))+IF(W878="",0,IFERROR(--(EOMONTH(W878,0)&lt;&gt;V$5),1))+IF(Z878="",0,IFERROR(--(EOMONTH(Z878,0)&lt;&gt;Y$5),1))+IF(AC878="",0,IFERROR(--(EOMONTH(AC878,0)&lt;&gt;AB$5),1))+IF(AF878="",0,IFERROR(--(EOMONTH(AF878,0)&lt;&gt;AE$5),1))+IF(AI878="",0,IFERROR(--(EOMONTH(AI878,0)&lt;&gt;AH$5),1))+IF(AL878="",0,IFERROR(--(EOMONTH(AL878,0)&lt;&gt;AK$5),1))+IF(AO878="",0,IFERROR(--(EOMONTH(AO878,0)&lt;&gt;AN$5),1))+IF(AR878="",0,IFERROR(--(EOMONTH(AR878,0)&lt;&gt;AQ$5),1))+IF(AU878="",0,IFERROR(--(EOMONTH(AU878,0)&lt;&gt;AT$5),1))+IF(AX878="",0,IFERROR(--(EOMONTH(AX878,0)&lt;&gt;AW$5),1))+IF(BA878="",0,IFERROR(--(EOMONTH(BA878,0)&lt;&gt;AZ$5),1)))&gt;0,"; An invoice date is not in the month it is typed under",""),3,500))</f>
        <v/>
      </c>
      <c r="S878" s="12" t="n"/>
      <c r="T878" s="13" t="n"/>
      <c r="U878" s="14" t="n"/>
      <c r="V878" s="12" t="n"/>
      <c r="W878" s="13" t="n"/>
      <c r="X878" s="14" t="n"/>
      <c r="Y878" s="12" t="n"/>
      <c r="Z878" s="13" t="n"/>
      <c r="AA878" s="14" t="n"/>
      <c r="AB878" s="12" t="n"/>
      <c r="AC878" s="13" t="n"/>
      <c r="AD878" s="14" t="n"/>
      <c r="AE878" s="12" t="n"/>
      <c r="AF878" s="13" t="n"/>
      <c r="AG878" s="14" t="n"/>
      <c r="AH878" s="12" t="n"/>
      <c r="AI878" s="13" t="n"/>
      <c r="AJ878" s="14" t="n"/>
      <c r="AK878" s="12" t="n"/>
      <c r="AL878" s="13" t="n"/>
      <c r="AM878" s="14" t="n"/>
      <c r="AN878" s="12" t="n"/>
      <c r="AO878" s="13" t="n"/>
      <c r="AP878" s="14" t="n"/>
      <c r="AQ878" s="12" t="n"/>
      <c r="AR878" s="13" t="n"/>
      <c r="AS878" s="14" t="n"/>
      <c r="AT878" s="12" t="n"/>
      <c r="AU878" s="13" t="n"/>
      <c r="AV878" s="14" t="n"/>
      <c r="AW878" s="12" t="n"/>
      <c r="AX878" s="13" t="n"/>
      <c r="AY878" s="14" t="n"/>
      <c r="AZ878" s="12" t="n"/>
      <c r="BA878" s="13" t="n"/>
      <c r="BB878" s="14" t="n"/>
      <c r="BC878" s="11">
        <f>IF(O878="","",IF(J878="GST 10%",ROUND(O878*set_GSTRate,2),0))</f>
        <v/>
      </c>
      <c r="BD878" s="11">
        <f>IF(O878="","",O878+BC878)</f>
        <v/>
      </c>
      <c r="BE878" s="15">
        <f>IF(O878="","",COUNTA(S878,V878,Y878,AB878,AE878,AH878,AK878,AN878,AQ878,AT878,AW878,AZ878))</f>
        <v/>
      </c>
      <c r="BF878" s="16">
        <f>IF(COUNT(T878,W878,Z878,AC878,AF878,AI878,AL878,AO878,AR878,AU878,AX878,BA878)=0,"",MAX(T878,W878,Z878,AC878,AF878,AI878,AL878,AO878,AR878,AU878,AX878,BA878))</f>
        <v/>
      </c>
      <c r="BG878" s="10">
        <f>MID(IF(S878="","",", "&amp;S878)&amp;IF(V878="","",", "&amp;V878)&amp;IF(Y878="","",", "&amp;Y878)&amp;IF(AB878="","",", "&amp;AB878)&amp;IF(AE878="","",", "&amp;AE878)&amp;IF(AH878="","",", "&amp;AH878)&amp;IF(AK878="","",", "&amp;AK878)&amp;IF(AN878="","",", "&amp;AN878)&amp;IF(AQ878="","",", "&amp;AQ878)&amp;IF(AT878="","",", "&amp;AT878)&amp;IF(AW878="","",", "&amp;AW878)&amp;IF(AZ878="","",", "&amp;AZ878),3,500)</f>
        <v/>
      </c>
      <c r="BH878" s="12" t="n"/>
      <c r="BI878" s="15">
        <f>IFERROR(MATCH($A878,IF($B878="Onsite",tbl_Onsite[Row ID],IF($B878="Production",tbl_Production[Row ID],tbl_Consulting[Row ID])),0),"")</f>
        <v/>
      </c>
    </row>
    <row r="879">
      <c r="A879" s="10" t="inlineStr">
        <is>
          <t>PRD-0373</t>
        </is>
      </c>
      <c r="B879" s="10" t="inlineStr">
        <is>
          <t>Production</t>
        </is>
      </c>
      <c r="C879" s="10">
        <f>IF($BI879="","",IF($B879="Onsite",INDEX(tbl_Onsite[Job Number],$BI879),IF($B879="Production",INDEX(tbl_Production[Job Number],$BI879),INDEX(tbl_Consulting[Job Number],$BI879)))&amp;"")</f>
        <v/>
      </c>
      <c r="D879" s="10">
        <f>IF($BI879="","",IF($B879="Onsite",INDEX(tbl_Onsite[Client],$BI879),IF($B879="Production",INDEX(tbl_Production[Client],$BI879),INDEX(tbl_Consulting[Client],$BI879)))&amp;"")</f>
        <v/>
      </c>
      <c r="E879" s="10">
        <f>IF($C879="","",IF(COUNTIF(lst_Jobs,$C879)&gt;0,"OK","CHECK"))</f>
        <v/>
      </c>
      <c r="F879" s="10">
        <f>IF($C879="","",IFERROR(INDEX(lst_JobName,MATCH($C879,lst_Jobs,0)),""))</f>
        <v/>
      </c>
      <c r="G879" s="10">
        <f>IF($BI879="","",IF($B879="Onsite",INDEX(tbl_Onsite[Job Description],$BI879),IF($B879="Production",INDEX(tbl_Production[Job Description],$BI879),INDEX(tbl_Consulting[Job Description],$BI879)))&amp;"")</f>
        <v/>
      </c>
      <c r="H879" s="10">
        <f>IF($BI879="","",IF($B879="Onsite",INDEX(tbl_Onsite[Cost Centre],$BI879),IF($B879="Production",INDEX(tbl_Production[Cost Centre],$BI879),INDEX(tbl_Consulting[Cost Centre],$BI879)))&amp;"")</f>
        <v/>
      </c>
      <c r="I879" s="10">
        <f>IF($BI879="","",IF($B879="Onsite",INDEX(tbl_Onsite[Invoice Type],$BI879),IF($B879="Production",INDEX(tbl_Production[Invoice Type],$BI879),INDEX(tbl_Consulting[Invoice Type],$BI879)))&amp;"")</f>
        <v/>
      </c>
      <c r="J879" s="10">
        <f>IF($BI879="","",IF($B879="Onsite",INDEX(tbl_Onsite[Tax Code],$BI879),IF($B879="Production",INDEX(tbl_Production[Tax Code],$BI879),INDEX(tbl_Consulting[Tax Code],$BI879)))&amp;"")</f>
        <v/>
      </c>
      <c r="K879" s="10">
        <f>IF(H879="","",IFERROR(INDEX(lst_CCtoGL,MATCH(H879,lst_CCforGL,0)),""))</f>
        <v/>
      </c>
      <c r="L879" s="10">
        <f>IF($BI879="","",IF($B879="Onsite",INDEX(tbl_Onsite[PO / Reference],$BI879),IF($B879="Production",INDEX(tbl_Production[Current RMS No],$BI879),INDEX(tbl_Consulting[Qwilr Quote],$BI879)))&amp;"")</f>
        <v/>
      </c>
      <c r="M879" s="10">
        <f>IF($BI879="","",IF($B879="Onsite",INDEX(tbl_Onsite[Notes],$BI879),IF($B879="Production",INDEX(tbl_Production[Notes],$BI879),INDEX(tbl_Consulting[Notes],$BI879)))&amp;"")</f>
        <v/>
      </c>
      <c r="N879" s="11">
        <f>IF($BI879="","",IF(IF($B879="Onsite",INDEX(tbl_Onsite[Expected Revenue Ex GST],$BI879),IF($B879="Production",INDEX(tbl_Production[Expected Revenue Ex GST],$BI879),INDEX(tbl_Consulting[Expected Revenue Ex GST],$BI879)))="","",IF($B879="Onsite",INDEX(tbl_Onsite[Expected Revenue Ex GST],$BI879),IF($B879="Production",INDEX(tbl_Production[Expected Revenue Ex GST],$BI879),INDEX(tbl_Consulting[Expected Revenue Ex GST],$BI879)))))</f>
        <v/>
      </c>
      <c r="O879" s="11">
        <f>IF(AND($C879="",NOT(COUNTA($S879:$BB879)&gt;0)),"",SUM(U879,X879,AA879,AD879,AG879,AJ879,AM879,AP879,AS879,AV879,AY879,BB879))</f>
        <v/>
      </c>
      <c r="P879" s="11">
        <f>IF(O879="","",N(N879)-O879)</f>
        <v/>
      </c>
      <c r="Q879" s="10">
        <f>IF(O879="","",IF($C879="","Invoice on empty job row",IF(N879="",IF(ROUND(O879,2)=0,"No dept value","Invoiced - no dept value"),IF(ROUND(O879,2)=0,"Not invoiced - to invoice",IF(ROUND(P879,2)=0,"Agrees",IF(P879&gt;0,"Dept higher - to invoice","Xero higher - check dept"))))))</f>
        <v/>
      </c>
      <c r="R879" s="10">
        <f>IF(AND($C879="",NOT(COUNTA($S879:$BB879)&gt;0),$BI879&lt;&gt;""),"",MID(IF($BI879="","; Row ID not found on the department sheet - a row was deleted","")&amp;IF(AND($C879="",COUNTA($S879:$BB879)&gt;0),"; Invoice entered but the department row has no job number","")&amp;IF(E879="CHECK","; Job number not in the Xero job list","")&amp;IF(AND($C879&lt;&gt;"",COUNTIF($C$7:$C$1506,$C879)&gt;1),"; Job number on more than one row","")&amp;IF(AND($C879&lt;&gt;"",H879=""),"; Dept has not set a cost centre","")&amp;IF(AND($C879&lt;&gt;"",J879=""),"; Dept has not set a tax code","")&amp;IF(AND($C879&lt;&gt;"",N879=""),"; Dept has not entered an expected value","")&amp;IF((IF(OR(COUNTA(S879:U879)=0,AND(COUNTA(S879:U879)=3,ISNUMBER(U879))),0,1)+IF(OR(COUNTA(V879:X879)=0,AND(COUNTA(V879:X879)=3,ISNUMBER(X879))),0,1)+IF(OR(COUNTA(Y879:AA879)=0,AND(COUNTA(Y879:AA879)=3,ISNUMBER(AA879))),0,1)+IF(OR(COUNTA(AB879:AD879)=0,AND(COUNTA(AB879:AD879)=3,ISNUMBER(AD879))),0,1)+IF(OR(COUNTA(AE879:AG879)=0,AND(COUNTA(AE879:AG879)=3,ISNUMBER(AG879))),0,1)+IF(OR(COUNTA(AH879:AJ879)=0,AND(COUNTA(AH879:AJ879)=3,ISNUMBER(AJ879))),0,1)+IF(OR(COUNTA(AK879:AM879)=0,AND(COUNTA(AK879:AM879)=3,ISNUMBER(AM879))),0,1)+IF(OR(COUNTA(AN879:AP879)=0,AND(COUNTA(AN879:AP879)=3,ISNUMBER(AP879))),0,1)+IF(OR(COUNTA(AQ879:AS879)=0,AND(COUNTA(AQ879:AS879)=3,ISNUMBER(AS879))),0,1)+IF(OR(COUNTA(AT879:AV879)=0,AND(COUNTA(AT879:AV879)=3,ISNUMBER(AV879))),0,1)+IF(OR(COUNTA(AW879:AY879)=0,AND(COUNTA(AW879:AY879)=3,ISNUMBER(AY879))),0,1)+IF(OR(COUNTA(AZ879:BB879)=0,AND(COUNTA(AZ879:BB879)=3,ISNUMBER(BB879))),0,1))&gt;0,"; An invoice is incomplete (needs No, Date and a number in Ex GST)","")&amp;IF((IF(T879="",0,IFERROR(--(EOMONTH(T879,0)&lt;&gt;S$5),1))+IF(W879="",0,IFERROR(--(EOMONTH(W879,0)&lt;&gt;V$5),1))+IF(Z879="",0,IFERROR(--(EOMONTH(Z879,0)&lt;&gt;Y$5),1))+IF(AC879="",0,IFERROR(--(EOMONTH(AC879,0)&lt;&gt;AB$5),1))+IF(AF879="",0,IFERROR(--(EOMONTH(AF879,0)&lt;&gt;AE$5),1))+IF(AI879="",0,IFERROR(--(EOMONTH(AI879,0)&lt;&gt;AH$5),1))+IF(AL879="",0,IFERROR(--(EOMONTH(AL879,0)&lt;&gt;AK$5),1))+IF(AO879="",0,IFERROR(--(EOMONTH(AO879,0)&lt;&gt;AN$5),1))+IF(AR879="",0,IFERROR(--(EOMONTH(AR879,0)&lt;&gt;AQ$5),1))+IF(AU879="",0,IFERROR(--(EOMONTH(AU879,0)&lt;&gt;AT$5),1))+IF(AX879="",0,IFERROR(--(EOMONTH(AX879,0)&lt;&gt;AW$5),1))+IF(BA879="",0,IFERROR(--(EOMONTH(BA879,0)&lt;&gt;AZ$5),1)))&gt;0,"; An invoice date is not in the month it is typed under",""),3,500))</f>
        <v/>
      </c>
      <c r="S879" s="12" t="n"/>
      <c r="T879" s="13" t="n"/>
      <c r="U879" s="14" t="n"/>
      <c r="V879" s="12" t="n"/>
      <c r="W879" s="13" t="n"/>
      <c r="X879" s="14" t="n"/>
      <c r="Y879" s="12" t="n"/>
      <c r="Z879" s="13" t="n"/>
      <c r="AA879" s="14" t="n"/>
      <c r="AB879" s="12" t="n"/>
      <c r="AC879" s="13" t="n"/>
      <c r="AD879" s="14" t="n"/>
      <c r="AE879" s="12" t="n"/>
      <c r="AF879" s="13" t="n"/>
      <c r="AG879" s="14" t="n"/>
      <c r="AH879" s="12" t="n"/>
      <c r="AI879" s="13" t="n"/>
      <c r="AJ879" s="14" t="n"/>
      <c r="AK879" s="12" t="n"/>
      <c r="AL879" s="13" t="n"/>
      <c r="AM879" s="14" t="n"/>
      <c r="AN879" s="12" t="n"/>
      <c r="AO879" s="13" t="n"/>
      <c r="AP879" s="14" t="n"/>
      <c r="AQ879" s="12" t="n"/>
      <c r="AR879" s="13" t="n"/>
      <c r="AS879" s="14" t="n"/>
      <c r="AT879" s="12" t="n"/>
      <c r="AU879" s="13" t="n"/>
      <c r="AV879" s="14" t="n"/>
      <c r="AW879" s="12" t="n"/>
      <c r="AX879" s="13" t="n"/>
      <c r="AY879" s="14" t="n"/>
      <c r="AZ879" s="12" t="n"/>
      <c r="BA879" s="13" t="n"/>
      <c r="BB879" s="14" t="n"/>
      <c r="BC879" s="11">
        <f>IF(O879="","",IF(J879="GST 10%",ROUND(O879*set_GSTRate,2),0))</f>
        <v/>
      </c>
      <c r="BD879" s="11">
        <f>IF(O879="","",O879+BC879)</f>
        <v/>
      </c>
      <c r="BE879" s="15">
        <f>IF(O879="","",COUNTA(S879,V879,Y879,AB879,AE879,AH879,AK879,AN879,AQ879,AT879,AW879,AZ879))</f>
        <v/>
      </c>
      <c r="BF879" s="16">
        <f>IF(COUNT(T879,W879,Z879,AC879,AF879,AI879,AL879,AO879,AR879,AU879,AX879,BA879)=0,"",MAX(T879,W879,Z879,AC879,AF879,AI879,AL879,AO879,AR879,AU879,AX879,BA879))</f>
        <v/>
      </c>
      <c r="BG879" s="10">
        <f>MID(IF(S879="","",", "&amp;S879)&amp;IF(V879="","",", "&amp;V879)&amp;IF(Y879="","",", "&amp;Y879)&amp;IF(AB879="","",", "&amp;AB879)&amp;IF(AE879="","",", "&amp;AE879)&amp;IF(AH879="","",", "&amp;AH879)&amp;IF(AK879="","",", "&amp;AK879)&amp;IF(AN879="","",", "&amp;AN879)&amp;IF(AQ879="","",", "&amp;AQ879)&amp;IF(AT879="","",", "&amp;AT879)&amp;IF(AW879="","",", "&amp;AW879)&amp;IF(AZ879="","",", "&amp;AZ879),3,500)</f>
        <v/>
      </c>
      <c r="BH879" s="12" t="n"/>
      <c r="BI879" s="15">
        <f>IFERROR(MATCH($A879,IF($B879="Onsite",tbl_Onsite[Row ID],IF($B879="Production",tbl_Production[Row ID],tbl_Consulting[Row ID])),0),"")</f>
        <v/>
      </c>
    </row>
    <row r="880">
      <c r="A880" s="10" t="inlineStr">
        <is>
          <t>PRD-0374</t>
        </is>
      </c>
      <c r="B880" s="10" t="inlineStr">
        <is>
          <t>Production</t>
        </is>
      </c>
      <c r="C880" s="10">
        <f>IF($BI880="","",IF($B880="Onsite",INDEX(tbl_Onsite[Job Number],$BI880),IF($B880="Production",INDEX(tbl_Production[Job Number],$BI880),INDEX(tbl_Consulting[Job Number],$BI880)))&amp;"")</f>
        <v/>
      </c>
      <c r="D880" s="10">
        <f>IF($BI880="","",IF($B880="Onsite",INDEX(tbl_Onsite[Client],$BI880),IF($B880="Production",INDEX(tbl_Production[Client],$BI880),INDEX(tbl_Consulting[Client],$BI880)))&amp;"")</f>
        <v/>
      </c>
      <c r="E880" s="10">
        <f>IF($C880="","",IF(COUNTIF(lst_Jobs,$C880)&gt;0,"OK","CHECK"))</f>
        <v/>
      </c>
      <c r="F880" s="10">
        <f>IF($C880="","",IFERROR(INDEX(lst_JobName,MATCH($C880,lst_Jobs,0)),""))</f>
        <v/>
      </c>
      <c r="G880" s="10">
        <f>IF($BI880="","",IF($B880="Onsite",INDEX(tbl_Onsite[Job Description],$BI880),IF($B880="Production",INDEX(tbl_Production[Job Description],$BI880),INDEX(tbl_Consulting[Job Description],$BI880)))&amp;"")</f>
        <v/>
      </c>
      <c r="H880" s="10">
        <f>IF($BI880="","",IF($B880="Onsite",INDEX(tbl_Onsite[Cost Centre],$BI880),IF($B880="Production",INDEX(tbl_Production[Cost Centre],$BI880),INDEX(tbl_Consulting[Cost Centre],$BI880)))&amp;"")</f>
        <v/>
      </c>
      <c r="I880" s="10">
        <f>IF($BI880="","",IF($B880="Onsite",INDEX(tbl_Onsite[Invoice Type],$BI880),IF($B880="Production",INDEX(tbl_Production[Invoice Type],$BI880),INDEX(tbl_Consulting[Invoice Type],$BI880)))&amp;"")</f>
        <v/>
      </c>
      <c r="J880" s="10">
        <f>IF($BI880="","",IF($B880="Onsite",INDEX(tbl_Onsite[Tax Code],$BI880),IF($B880="Production",INDEX(tbl_Production[Tax Code],$BI880),INDEX(tbl_Consulting[Tax Code],$BI880)))&amp;"")</f>
        <v/>
      </c>
      <c r="K880" s="10">
        <f>IF(H880="","",IFERROR(INDEX(lst_CCtoGL,MATCH(H880,lst_CCforGL,0)),""))</f>
        <v/>
      </c>
      <c r="L880" s="10">
        <f>IF($BI880="","",IF($B880="Onsite",INDEX(tbl_Onsite[PO / Reference],$BI880),IF($B880="Production",INDEX(tbl_Production[Current RMS No],$BI880),INDEX(tbl_Consulting[Qwilr Quote],$BI880)))&amp;"")</f>
        <v/>
      </c>
      <c r="M880" s="10">
        <f>IF($BI880="","",IF($B880="Onsite",INDEX(tbl_Onsite[Notes],$BI880),IF($B880="Production",INDEX(tbl_Production[Notes],$BI880),INDEX(tbl_Consulting[Notes],$BI880)))&amp;"")</f>
        <v/>
      </c>
      <c r="N880" s="11">
        <f>IF($BI880="","",IF(IF($B880="Onsite",INDEX(tbl_Onsite[Expected Revenue Ex GST],$BI880),IF($B880="Production",INDEX(tbl_Production[Expected Revenue Ex GST],$BI880),INDEX(tbl_Consulting[Expected Revenue Ex GST],$BI880)))="","",IF($B880="Onsite",INDEX(tbl_Onsite[Expected Revenue Ex GST],$BI880),IF($B880="Production",INDEX(tbl_Production[Expected Revenue Ex GST],$BI880),INDEX(tbl_Consulting[Expected Revenue Ex GST],$BI880)))))</f>
        <v/>
      </c>
      <c r="O880" s="11">
        <f>IF(AND($C880="",NOT(COUNTA($S880:$BB880)&gt;0)),"",SUM(U880,X880,AA880,AD880,AG880,AJ880,AM880,AP880,AS880,AV880,AY880,BB880))</f>
        <v/>
      </c>
      <c r="P880" s="11">
        <f>IF(O880="","",N(N880)-O880)</f>
        <v/>
      </c>
      <c r="Q880" s="10">
        <f>IF(O880="","",IF($C880="","Invoice on empty job row",IF(N880="",IF(ROUND(O880,2)=0,"No dept value","Invoiced - no dept value"),IF(ROUND(O880,2)=0,"Not invoiced - to invoice",IF(ROUND(P880,2)=0,"Agrees",IF(P880&gt;0,"Dept higher - to invoice","Xero higher - check dept"))))))</f>
        <v/>
      </c>
      <c r="R880" s="10">
        <f>IF(AND($C880="",NOT(COUNTA($S880:$BB880)&gt;0),$BI880&lt;&gt;""),"",MID(IF($BI880="","; Row ID not found on the department sheet - a row was deleted","")&amp;IF(AND($C880="",COUNTA($S880:$BB880)&gt;0),"; Invoice entered but the department row has no job number","")&amp;IF(E880="CHECK","; Job number not in the Xero job list","")&amp;IF(AND($C880&lt;&gt;"",COUNTIF($C$7:$C$1506,$C880)&gt;1),"; Job number on more than one row","")&amp;IF(AND($C880&lt;&gt;"",H880=""),"; Dept has not set a cost centre","")&amp;IF(AND($C880&lt;&gt;"",J880=""),"; Dept has not set a tax code","")&amp;IF(AND($C880&lt;&gt;"",N880=""),"; Dept has not entered an expected value","")&amp;IF((IF(OR(COUNTA(S880:U880)=0,AND(COUNTA(S880:U880)=3,ISNUMBER(U880))),0,1)+IF(OR(COUNTA(V880:X880)=0,AND(COUNTA(V880:X880)=3,ISNUMBER(X880))),0,1)+IF(OR(COUNTA(Y880:AA880)=0,AND(COUNTA(Y880:AA880)=3,ISNUMBER(AA880))),0,1)+IF(OR(COUNTA(AB880:AD880)=0,AND(COUNTA(AB880:AD880)=3,ISNUMBER(AD880))),0,1)+IF(OR(COUNTA(AE880:AG880)=0,AND(COUNTA(AE880:AG880)=3,ISNUMBER(AG880))),0,1)+IF(OR(COUNTA(AH880:AJ880)=0,AND(COUNTA(AH880:AJ880)=3,ISNUMBER(AJ880))),0,1)+IF(OR(COUNTA(AK880:AM880)=0,AND(COUNTA(AK880:AM880)=3,ISNUMBER(AM880))),0,1)+IF(OR(COUNTA(AN880:AP880)=0,AND(COUNTA(AN880:AP880)=3,ISNUMBER(AP880))),0,1)+IF(OR(COUNTA(AQ880:AS880)=0,AND(COUNTA(AQ880:AS880)=3,ISNUMBER(AS880))),0,1)+IF(OR(COUNTA(AT880:AV880)=0,AND(COUNTA(AT880:AV880)=3,ISNUMBER(AV880))),0,1)+IF(OR(COUNTA(AW880:AY880)=0,AND(COUNTA(AW880:AY880)=3,ISNUMBER(AY880))),0,1)+IF(OR(COUNTA(AZ880:BB880)=0,AND(COUNTA(AZ880:BB880)=3,ISNUMBER(BB880))),0,1))&gt;0,"; An invoice is incomplete (needs No, Date and a number in Ex GST)","")&amp;IF((IF(T880="",0,IFERROR(--(EOMONTH(T880,0)&lt;&gt;S$5),1))+IF(W880="",0,IFERROR(--(EOMONTH(W880,0)&lt;&gt;V$5),1))+IF(Z880="",0,IFERROR(--(EOMONTH(Z880,0)&lt;&gt;Y$5),1))+IF(AC880="",0,IFERROR(--(EOMONTH(AC880,0)&lt;&gt;AB$5),1))+IF(AF880="",0,IFERROR(--(EOMONTH(AF880,0)&lt;&gt;AE$5),1))+IF(AI880="",0,IFERROR(--(EOMONTH(AI880,0)&lt;&gt;AH$5),1))+IF(AL880="",0,IFERROR(--(EOMONTH(AL880,0)&lt;&gt;AK$5),1))+IF(AO880="",0,IFERROR(--(EOMONTH(AO880,0)&lt;&gt;AN$5),1))+IF(AR880="",0,IFERROR(--(EOMONTH(AR880,0)&lt;&gt;AQ$5),1))+IF(AU880="",0,IFERROR(--(EOMONTH(AU880,0)&lt;&gt;AT$5),1))+IF(AX880="",0,IFERROR(--(EOMONTH(AX880,0)&lt;&gt;AW$5),1))+IF(BA880="",0,IFERROR(--(EOMONTH(BA880,0)&lt;&gt;AZ$5),1)))&gt;0,"; An invoice date is not in the month it is typed under",""),3,500))</f>
        <v/>
      </c>
      <c r="S880" s="12" t="n"/>
      <c r="T880" s="13" t="n"/>
      <c r="U880" s="14" t="n"/>
      <c r="V880" s="12" t="n"/>
      <c r="W880" s="13" t="n"/>
      <c r="X880" s="14" t="n"/>
      <c r="Y880" s="12" t="n"/>
      <c r="Z880" s="13" t="n"/>
      <c r="AA880" s="14" t="n"/>
      <c r="AB880" s="12" t="n"/>
      <c r="AC880" s="13" t="n"/>
      <c r="AD880" s="14" t="n"/>
      <c r="AE880" s="12" t="n"/>
      <c r="AF880" s="13" t="n"/>
      <c r="AG880" s="14" t="n"/>
      <c r="AH880" s="12" t="n"/>
      <c r="AI880" s="13" t="n"/>
      <c r="AJ880" s="14" t="n"/>
      <c r="AK880" s="12" t="n"/>
      <c r="AL880" s="13" t="n"/>
      <c r="AM880" s="14" t="n"/>
      <c r="AN880" s="12" t="n"/>
      <c r="AO880" s="13" t="n"/>
      <c r="AP880" s="14" t="n"/>
      <c r="AQ880" s="12" t="n"/>
      <c r="AR880" s="13" t="n"/>
      <c r="AS880" s="14" t="n"/>
      <c r="AT880" s="12" t="n"/>
      <c r="AU880" s="13" t="n"/>
      <c r="AV880" s="14" t="n"/>
      <c r="AW880" s="12" t="n"/>
      <c r="AX880" s="13" t="n"/>
      <c r="AY880" s="14" t="n"/>
      <c r="AZ880" s="12" t="n"/>
      <c r="BA880" s="13" t="n"/>
      <c r="BB880" s="14" t="n"/>
      <c r="BC880" s="11">
        <f>IF(O880="","",IF(J880="GST 10%",ROUND(O880*set_GSTRate,2),0))</f>
        <v/>
      </c>
      <c r="BD880" s="11">
        <f>IF(O880="","",O880+BC880)</f>
        <v/>
      </c>
      <c r="BE880" s="15">
        <f>IF(O880="","",COUNTA(S880,V880,Y880,AB880,AE880,AH880,AK880,AN880,AQ880,AT880,AW880,AZ880))</f>
        <v/>
      </c>
      <c r="BF880" s="16">
        <f>IF(COUNT(T880,W880,Z880,AC880,AF880,AI880,AL880,AO880,AR880,AU880,AX880,BA880)=0,"",MAX(T880,W880,Z880,AC880,AF880,AI880,AL880,AO880,AR880,AU880,AX880,BA880))</f>
        <v/>
      </c>
      <c r="BG880" s="10">
        <f>MID(IF(S880="","",", "&amp;S880)&amp;IF(V880="","",", "&amp;V880)&amp;IF(Y880="","",", "&amp;Y880)&amp;IF(AB880="","",", "&amp;AB880)&amp;IF(AE880="","",", "&amp;AE880)&amp;IF(AH880="","",", "&amp;AH880)&amp;IF(AK880="","",", "&amp;AK880)&amp;IF(AN880="","",", "&amp;AN880)&amp;IF(AQ880="","",", "&amp;AQ880)&amp;IF(AT880="","",", "&amp;AT880)&amp;IF(AW880="","",", "&amp;AW880)&amp;IF(AZ880="","",", "&amp;AZ880),3,500)</f>
        <v/>
      </c>
      <c r="BH880" s="12" t="n"/>
      <c r="BI880" s="15">
        <f>IFERROR(MATCH($A880,IF($B880="Onsite",tbl_Onsite[Row ID],IF($B880="Production",tbl_Production[Row ID],tbl_Consulting[Row ID])),0),"")</f>
        <v/>
      </c>
    </row>
    <row r="881">
      <c r="A881" s="10" t="inlineStr">
        <is>
          <t>PRD-0375</t>
        </is>
      </c>
      <c r="B881" s="10" t="inlineStr">
        <is>
          <t>Production</t>
        </is>
      </c>
      <c r="C881" s="10">
        <f>IF($BI881="","",IF($B881="Onsite",INDEX(tbl_Onsite[Job Number],$BI881),IF($B881="Production",INDEX(tbl_Production[Job Number],$BI881),INDEX(tbl_Consulting[Job Number],$BI881)))&amp;"")</f>
        <v/>
      </c>
      <c r="D881" s="10">
        <f>IF($BI881="","",IF($B881="Onsite",INDEX(tbl_Onsite[Client],$BI881),IF($B881="Production",INDEX(tbl_Production[Client],$BI881),INDEX(tbl_Consulting[Client],$BI881)))&amp;"")</f>
        <v/>
      </c>
      <c r="E881" s="10">
        <f>IF($C881="","",IF(COUNTIF(lst_Jobs,$C881)&gt;0,"OK","CHECK"))</f>
        <v/>
      </c>
      <c r="F881" s="10">
        <f>IF($C881="","",IFERROR(INDEX(lst_JobName,MATCH($C881,lst_Jobs,0)),""))</f>
        <v/>
      </c>
      <c r="G881" s="10">
        <f>IF($BI881="","",IF($B881="Onsite",INDEX(tbl_Onsite[Job Description],$BI881),IF($B881="Production",INDEX(tbl_Production[Job Description],$BI881),INDEX(tbl_Consulting[Job Description],$BI881)))&amp;"")</f>
        <v/>
      </c>
      <c r="H881" s="10">
        <f>IF($BI881="","",IF($B881="Onsite",INDEX(tbl_Onsite[Cost Centre],$BI881),IF($B881="Production",INDEX(tbl_Production[Cost Centre],$BI881),INDEX(tbl_Consulting[Cost Centre],$BI881)))&amp;"")</f>
        <v/>
      </c>
      <c r="I881" s="10">
        <f>IF($BI881="","",IF($B881="Onsite",INDEX(tbl_Onsite[Invoice Type],$BI881),IF($B881="Production",INDEX(tbl_Production[Invoice Type],$BI881),INDEX(tbl_Consulting[Invoice Type],$BI881)))&amp;"")</f>
        <v/>
      </c>
      <c r="J881" s="10">
        <f>IF($BI881="","",IF($B881="Onsite",INDEX(tbl_Onsite[Tax Code],$BI881),IF($B881="Production",INDEX(tbl_Production[Tax Code],$BI881),INDEX(tbl_Consulting[Tax Code],$BI881)))&amp;"")</f>
        <v/>
      </c>
      <c r="K881" s="10">
        <f>IF(H881="","",IFERROR(INDEX(lst_CCtoGL,MATCH(H881,lst_CCforGL,0)),""))</f>
        <v/>
      </c>
      <c r="L881" s="10">
        <f>IF($BI881="","",IF($B881="Onsite",INDEX(tbl_Onsite[PO / Reference],$BI881),IF($B881="Production",INDEX(tbl_Production[Current RMS No],$BI881),INDEX(tbl_Consulting[Qwilr Quote],$BI881)))&amp;"")</f>
        <v/>
      </c>
      <c r="M881" s="10">
        <f>IF($BI881="","",IF($B881="Onsite",INDEX(tbl_Onsite[Notes],$BI881),IF($B881="Production",INDEX(tbl_Production[Notes],$BI881),INDEX(tbl_Consulting[Notes],$BI881)))&amp;"")</f>
        <v/>
      </c>
      <c r="N881" s="11">
        <f>IF($BI881="","",IF(IF($B881="Onsite",INDEX(tbl_Onsite[Expected Revenue Ex GST],$BI881),IF($B881="Production",INDEX(tbl_Production[Expected Revenue Ex GST],$BI881),INDEX(tbl_Consulting[Expected Revenue Ex GST],$BI881)))="","",IF($B881="Onsite",INDEX(tbl_Onsite[Expected Revenue Ex GST],$BI881),IF($B881="Production",INDEX(tbl_Production[Expected Revenue Ex GST],$BI881),INDEX(tbl_Consulting[Expected Revenue Ex GST],$BI881)))))</f>
        <v/>
      </c>
      <c r="O881" s="11">
        <f>IF(AND($C881="",NOT(COUNTA($S881:$BB881)&gt;0)),"",SUM(U881,X881,AA881,AD881,AG881,AJ881,AM881,AP881,AS881,AV881,AY881,BB881))</f>
        <v/>
      </c>
      <c r="P881" s="11">
        <f>IF(O881="","",N(N881)-O881)</f>
        <v/>
      </c>
      <c r="Q881" s="10">
        <f>IF(O881="","",IF($C881="","Invoice on empty job row",IF(N881="",IF(ROUND(O881,2)=0,"No dept value","Invoiced - no dept value"),IF(ROUND(O881,2)=0,"Not invoiced - to invoice",IF(ROUND(P881,2)=0,"Agrees",IF(P881&gt;0,"Dept higher - to invoice","Xero higher - check dept"))))))</f>
        <v/>
      </c>
      <c r="R881" s="10">
        <f>IF(AND($C881="",NOT(COUNTA($S881:$BB881)&gt;0),$BI881&lt;&gt;""),"",MID(IF($BI881="","; Row ID not found on the department sheet - a row was deleted","")&amp;IF(AND($C881="",COUNTA($S881:$BB881)&gt;0),"; Invoice entered but the department row has no job number","")&amp;IF(E881="CHECK","; Job number not in the Xero job list","")&amp;IF(AND($C881&lt;&gt;"",COUNTIF($C$7:$C$1506,$C881)&gt;1),"; Job number on more than one row","")&amp;IF(AND($C881&lt;&gt;"",H881=""),"; Dept has not set a cost centre","")&amp;IF(AND($C881&lt;&gt;"",J881=""),"; Dept has not set a tax code","")&amp;IF(AND($C881&lt;&gt;"",N881=""),"; Dept has not entered an expected value","")&amp;IF((IF(OR(COUNTA(S881:U881)=0,AND(COUNTA(S881:U881)=3,ISNUMBER(U881))),0,1)+IF(OR(COUNTA(V881:X881)=0,AND(COUNTA(V881:X881)=3,ISNUMBER(X881))),0,1)+IF(OR(COUNTA(Y881:AA881)=0,AND(COUNTA(Y881:AA881)=3,ISNUMBER(AA881))),0,1)+IF(OR(COUNTA(AB881:AD881)=0,AND(COUNTA(AB881:AD881)=3,ISNUMBER(AD881))),0,1)+IF(OR(COUNTA(AE881:AG881)=0,AND(COUNTA(AE881:AG881)=3,ISNUMBER(AG881))),0,1)+IF(OR(COUNTA(AH881:AJ881)=0,AND(COUNTA(AH881:AJ881)=3,ISNUMBER(AJ881))),0,1)+IF(OR(COUNTA(AK881:AM881)=0,AND(COUNTA(AK881:AM881)=3,ISNUMBER(AM881))),0,1)+IF(OR(COUNTA(AN881:AP881)=0,AND(COUNTA(AN881:AP881)=3,ISNUMBER(AP881))),0,1)+IF(OR(COUNTA(AQ881:AS881)=0,AND(COUNTA(AQ881:AS881)=3,ISNUMBER(AS881))),0,1)+IF(OR(COUNTA(AT881:AV881)=0,AND(COUNTA(AT881:AV881)=3,ISNUMBER(AV881))),0,1)+IF(OR(COUNTA(AW881:AY881)=0,AND(COUNTA(AW881:AY881)=3,ISNUMBER(AY881))),0,1)+IF(OR(COUNTA(AZ881:BB881)=0,AND(COUNTA(AZ881:BB881)=3,ISNUMBER(BB881))),0,1))&gt;0,"; An invoice is incomplete (needs No, Date and a number in Ex GST)","")&amp;IF((IF(T881="",0,IFERROR(--(EOMONTH(T881,0)&lt;&gt;S$5),1))+IF(W881="",0,IFERROR(--(EOMONTH(W881,0)&lt;&gt;V$5),1))+IF(Z881="",0,IFERROR(--(EOMONTH(Z881,0)&lt;&gt;Y$5),1))+IF(AC881="",0,IFERROR(--(EOMONTH(AC881,0)&lt;&gt;AB$5),1))+IF(AF881="",0,IFERROR(--(EOMONTH(AF881,0)&lt;&gt;AE$5),1))+IF(AI881="",0,IFERROR(--(EOMONTH(AI881,0)&lt;&gt;AH$5),1))+IF(AL881="",0,IFERROR(--(EOMONTH(AL881,0)&lt;&gt;AK$5),1))+IF(AO881="",0,IFERROR(--(EOMONTH(AO881,0)&lt;&gt;AN$5),1))+IF(AR881="",0,IFERROR(--(EOMONTH(AR881,0)&lt;&gt;AQ$5),1))+IF(AU881="",0,IFERROR(--(EOMONTH(AU881,0)&lt;&gt;AT$5),1))+IF(AX881="",0,IFERROR(--(EOMONTH(AX881,0)&lt;&gt;AW$5),1))+IF(BA881="",0,IFERROR(--(EOMONTH(BA881,0)&lt;&gt;AZ$5),1)))&gt;0,"; An invoice date is not in the month it is typed under",""),3,500))</f>
        <v/>
      </c>
      <c r="S881" s="12" t="n"/>
      <c r="T881" s="13" t="n"/>
      <c r="U881" s="14" t="n"/>
      <c r="V881" s="12" t="n"/>
      <c r="W881" s="13" t="n"/>
      <c r="X881" s="14" t="n"/>
      <c r="Y881" s="12" t="n"/>
      <c r="Z881" s="13" t="n"/>
      <c r="AA881" s="14" t="n"/>
      <c r="AB881" s="12" t="n"/>
      <c r="AC881" s="13" t="n"/>
      <c r="AD881" s="14" t="n"/>
      <c r="AE881" s="12" t="n"/>
      <c r="AF881" s="13" t="n"/>
      <c r="AG881" s="14" t="n"/>
      <c r="AH881" s="12" t="n"/>
      <c r="AI881" s="13" t="n"/>
      <c r="AJ881" s="14" t="n"/>
      <c r="AK881" s="12" t="n"/>
      <c r="AL881" s="13" t="n"/>
      <c r="AM881" s="14" t="n"/>
      <c r="AN881" s="12" t="n"/>
      <c r="AO881" s="13" t="n"/>
      <c r="AP881" s="14" t="n"/>
      <c r="AQ881" s="12" t="n"/>
      <c r="AR881" s="13" t="n"/>
      <c r="AS881" s="14" t="n"/>
      <c r="AT881" s="12" t="n"/>
      <c r="AU881" s="13" t="n"/>
      <c r="AV881" s="14" t="n"/>
      <c r="AW881" s="12" t="n"/>
      <c r="AX881" s="13" t="n"/>
      <c r="AY881" s="14" t="n"/>
      <c r="AZ881" s="12" t="n"/>
      <c r="BA881" s="13" t="n"/>
      <c r="BB881" s="14" t="n"/>
      <c r="BC881" s="11">
        <f>IF(O881="","",IF(J881="GST 10%",ROUND(O881*set_GSTRate,2),0))</f>
        <v/>
      </c>
      <c r="BD881" s="11">
        <f>IF(O881="","",O881+BC881)</f>
        <v/>
      </c>
      <c r="BE881" s="15">
        <f>IF(O881="","",COUNTA(S881,V881,Y881,AB881,AE881,AH881,AK881,AN881,AQ881,AT881,AW881,AZ881))</f>
        <v/>
      </c>
      <c r="BF881" s="16">
        <f>IF(COUNT(T881,W881,Z881,AC881,AF881,AI881,AL881,AO881,AR881,AU881,AX881,BA881)=0,"",MAX(T881,W881,Z881,AC881,AF881,AI881,AL881,AO881,AR881,AU881,AX881,BA881))</f>
        <v/>
      </c>
      <c r="BG881" s="10">
        <f>MID(IF(S881="","",", "&amp;S881)&amp;IF(V881="","",", "&amp;V881)&amp;IF(Y881="","",", "&amp;Y881)&amp;IF(AB881="","",", "&amp;AB881)&amp;IF(AE881="","",", "&amp;AE881)&amp;IF(AH881="","",", "&amp;AH881)&amp;IF(AK881="","",", "&amp;AK881)&amp;IF(AN881="","",", "&amp;AN881)&amp;IF(AQ881="","",", "&amp;AQ881)&amp;IF(AT881="","",", "&amp;AT881)&amp;IF(AW881="","",", "&amp;AW881)&amp;IF(AZ881="","",", "&amp;AZ881),3,500)</f>
        <v/>
      </c>
      <c r="BH881" s="12" t="n"/>
      <c r="BI881" s="15">
        <f>IFERROR(MATCH($A881,IF($B881="Onsite",tbl_Onsite[Row ID],IF($B881="Production",tbl_Production[Row ID],tbl_Consulting[Row ID])),0),"")</f>
        <v/>
      </c>
    </row>
    <row r="882">
      <c r="A882" s="10" t="inlineStr">
        <is>
          <t>PRD-0376</t>
        </is>
      </c>
      <c r="B882" s="10" t="inlineStr">
        <is>
          <t>Production</t>
        </is>
      </c>
      <c r="C882" s="10">
        <f>IF($BI882="","",IF($B882="Onsite",INDEX(tbl_Onsite[Job Number],$BI882),IF($B882="Production",INDEX(tbl_Production[Job Number],$BI882),INDEX(tbl_Consulting[Job Number],$BI882)))&amp;"")</f>
        <v/>
      </c>
      <c r="D882" s="10">
        <f>IF($BI882="","",IF($B882="Onsite",INDEX(tbl_Onsite[Client],$BI882),IF($B882="Production",INDEX(tbl_Production[Client],$BI882),INDEX(tbl_Consulting[Client],$BI882)))&amp;"")</f>
        <v/>
      </c>
      <c r="E882" s="10">
        <f>IF($C882="","",IF(COUNTIF(lst_Jobs,$C882)&gt;0,"OK","CHECK"))</f>
        <v/>
      </c>
      <c r="F882" s="10">
        <f>IF($C882="","",IFERROR(INDEX(lst_JobName,MATCH($C882,lst_Jobs,0)),""))</f>
        <v/>
      </c>
      <c r="G882" s="10">
        <f>IF($BI882="","",IF($B882="Onsite",INDEX(tbl_Onsite[Job Description],$BI882),IF($B882="Production",INDEX(tbl_Production[Job Description],$BI882),INDEX(tbl_Consulting[Job Description],$BI882)))&amp;"")</f>
        <v/>
      </c>
      <c r="H882" s="10">
        <f>IF($BI882="","",IF($B882="Onsite",INDEX(tbl_Onsite[Cost Centre],$BI882),IF($B882="Production",INDEX(tbl_Production[Cost Centre],$BI882),INDEX(tbl_Consulting[Cost Centre],$BI882)))&amp;"")</f>
        <v/>
      </c>
      <c r="I882" s="10">
        <f>IF($BI882="","",IF($B882="Onsite",INDEX(tbl_Onsite[Invoice Type],$BI882),IF($B882="Production",INDEX(tbl_Production[Invoice Type],$BI882),INDEX(tbl_Consulting[Invoice Type],$BI882)))&amp;"")</f>
        <v/>
      </c>
      <c r="J882" s="10">
        <f>IF($BI882="","",IF($B882="Onsite",INDEX(tbl_Onsite[Tax Code],$BI882),IF($B882="Production",INDEX(tbl_Production[Tax Code],$BI882),INDEX(tbl_Consulting[Tax Code],$BI882)))&amp;"")</f>
        <v/>
      </c>
      <c r="K882" s="10">
        <f>IF(H882="","",IFERROR(INDEX(lst_CCtoGL,MATCH(H882,lst_CCforGL,0)),""))</f>
        <v/>
      </c>
      <c r="L882" s="10">
        <f>IF($BI882="","",IF($B882="Onsite",INDEX(tbl_Onsite[PO / Reference],$BI882),IF($B882="Production",INDEX(tbl_Production[Current RMS No],$BI882),INDEX(tbl_Consulting[Qwilr Quote],$BI882)))&amp;"")</f>
        <v/>
      </c>
      <c r="M882" s="10">
        <f>IF($BI882="","",IF($B882="Onsite",INDEX(tbl_Onsite[Notes],$BI882),IF($B882="Production",INDEX(tbl_Production[Notes],$BI882),INDEX(tbl_Consulting[Notes],$BI882)))&amp;"")</f>
        <v/>
      </c>
      <c r="N882" s="11">
        <f>IF($BI882="","",IF(IF($B882="Onsite",INDEX(tbl_Onsite[Expected Revenue Ex GST],$BI882),IF($B882="Production",INDEX(tbl_Production[Expected Revenue Ex GST],$BI882),INDEX(tbl_Consulting[Expected Revenue Ex GST],$BI882)))="","",IF($B882="Onsite",INDEX(tbl_Onsite[Expected Revenue Ex GST],$BI882),IF($B882="Production",INDEX(tbl_Production[Expected Revenue Ex GST],$BI882),INDEX(tbl_Consulting[Expected Revenue Ex GST],$BI882)))))</f>
        <v/>
      </c>
      <c r="O882" s="11">
        <f>IF(AND($C882="",NOT(COUNTA($S882:$BB882)&gt;0)),"",SUM(U882,X882,AA882,AD882,AG882,AJ882,AM882,AP882,AS882,AV882,AY882,BB882))</f>
        <v/>
      </c>
      <c r="P882" s="11">
        <f>IF(O882="","",N(N882)-O882)</f>
        <v/>
      </c>
      <c r="Q882" s="10">
        <f>IF(O882="","",IF($C882="","Invoice on empty job row",IF(N882="",IF(ROUND(O882,2)=0,"No dept value","Invoiced - no dept value"),IF(ROUND(O882,2)=0,"Not invoiced - to invoice",IF(ROUND(P882,2)=0,"Agrees",IF(P882&gt;0,"Dept higher - to invoice","Xero higher - check dept"))))))</f>
        <v/>
      </c>
      <c r="R882" s="10">
        <f>IF(AND($C882="",NOT(COUNTA($S882:$BB882)&gt;0),$BI882&lt;&gt;""),"",MID(IF($BI882="","; Row ID not found on the department sheet - a row was deleted","")&amp;IF(AND($C882="",COUNTA($S882:$BB882)&gt;0),"; Invoice entered but the department row has no job number","")&amp;IF(E882="CHECK","; Job number not in the Xero job list","")&amp;IF(AND($C882&lt;&gt;"",COUNTIF($C$7:$C$1506,$C882)&gt;1),"; Job number on more than one row","")&amp;IF(AND($C882&lt;&gt;"",H882=""),"; Dept has not set a cost centre","")&amp;IF(AND($C882&lt;&gt;"",J882=""),"; Dept has not set a tax code","")&amp;IF(AND($C882&lt;&gt;"",N882=""),"; Dept has not entered an expected value","")&amp;IF((IF(OR(COUNTA(S882:U882)=0,AND(COUNTA(S882:U882)=3,ISNUMBER(U882))),0,1)+IF(OR(COUNTA(V882:X882)=0,AND(COUNTA(V882:X882)=3,ISNUMBER(X882))),0,1)+IF(OR(COUNTA(Y882:AA882)=0,AND(COUNTA(Y882:AA882)=3,ISNUMBER(AA882))),0,1)+IF(OR(COUNTA(AB882:AD882)=0,AND(COUNTA(AB882:AD882)=3,ISNUMBER(AD882))),0,1)+IF(OR(COUNTA(AE882:AG882)=0,AND(COUNTA(AE882:AG882)=3,ISNUMBER(AG882))),0,1)+IF(OR(COUNTA(AH882:AJ882)=0,AND(COUNTA(AH882:AJ882)=3,ISNUMBER(AJ882))),0,1)+IF(OR(COUNTA(AK882:AM882)=0,AND(COUNTA(AK882:AM882)=3,ISNUMBER(AM882))),0,1)+IF(OR(COUNTA(AN882:AP882)=0,AND(COUNTA(AN882:AP882)=3,ISNUMBER(AP882))),0,1)+IF(OR(COUNTA(AQ882:AS882)=0,AND(COUNTA(AQ882:AS882)=3,ISNUMBER(AS882))),0,1)+IF(OR(COUNTA(AT882:AV882)=0,AND(COUNTA(AT882:AV882)=3,ISNUMBER(AV882))),0,1)+IF(OR(COUNTA(AW882:AY882)=0,AND(COUNTA(AW882:AY882)=3,ISNUMBER(AY882))),0,1)+IF(OR(COUNTA(AZ882:BB882)=0,AND(COUNTA(AZ882:BB882)=3,ISNUMBER(BB882))),0,1))&gt;0,"; An invoice is incomplete (needs No, Date and a number in Ex GST)","")&amp;IF((IF(T882="",0,IFERROR(--(EOMONTH(T882,0)&lt;&gt;S$5),1))+IF(W882="",0,IFERROR(--(EOMONTH(W882,0)&lt;&gt;V$5),1))+IF(Z882="",0,IFERROR(--(EOMONTH(Z882,0)&lt;&gt;Y$5),1))+IF(AC882="",0,IFERROR(--(EOMONTH(AC882,0)&lt;&gt;AB$5),1))+IF(AF882="",0,IFERROR(--(EOMONTH(AF882,0)&lt;&gt;AE$5),1))+IF(AI882="",0,IFERROR(--(EOMONTH(AI882,0)&lt;&gt;AH$5),1))+IF(AL882="",0,IFERROR(--(EOMONTH(AL882,0)&lt;&gt;AK$5),1))+IF(AO882="",0,IFERROR(--(EOMONTH(AO882,0)&lt;&gt;AN$5),1))+IF(AR882="",0,IFERROR(--(EOMONTH(AR882,0)&lt;&gt;AQ$5),1))+IF(AU882="",0,IFERROR(--(EOMONTH(AU882,0)&lt;&gt;AT$5),1))+IF(AX882="",0,IFERROR(--(EOMONTH(AX882,0)&lt;&gt;AW$5),1))+IF(BA882="",0,IFERROR(--(EOMONTH(BA882,0)&lt;&gt;AZ$5),1)))&gt;0,"; An invoice date is not in the month it is typed under",""),3,500))</f>
        <v/>
      </c>
      <c r="S882" s="12" t="n"/>
      <c r="T882" s="13" t="n"/>
      <c r="U882" s="14" t="n"/>
      <c r="V882" s="12" t="n"/>
      <c r="W882" s="13" t="n"/>
      <c r="X882" s="14" t="n"/>
      <c r="Y882" s="12" t="n"/>
      <c r="Z882" s="13" t="n"/>
      <c r="AA882" s="14" t="n"/>
      <c r="AB882" s="12" t="n"/>
      <c r="AC882" s="13" t="n"/>
      <c r="AD882" s="14" t="n"/>
      <c r="AE882" s="12" t="n"/>
      <c r="AF882" s="13" t="n"/>
      <c r="AG882" s="14" t="n"/>
      <c r="AH882" s="12" t="n"/>
      <c r="AI882" s="13" t="n"/>
      <c r="AJ882" s="14" t="n"/>
      <c r="AK882" s="12" t="n"/>
      <c r="AL882" s="13" t="n"/>
      <c r="AM882" s="14" t="n"/>
      <c r="AN882" s="12" t="n"/>
      <c r="AO882" s="13" t="n"/>
      <c r="AP882" s="14" t="n"/>
      <c r="AQ882" s="12" t="n"/>
      <c r="AR882" s="13" t="n"/>
      <c r="AS882" s="14" t="n"/>
      <c r="AT882" s="12" t="n"/>
      <c r="AU882" s="13" t="n"/>
      <c r="AV882" s="14" t="n"/>
      <c r="AW882" s="12" t="n"/>
      <c r="AX882" s="13" t="n"/>
      <c r="AY882" s="14" t="n"/>
      <c r="AZ882" s="12" t="n"/>
      <c r="BA882" s="13" t="n"/>
      <c r="BB882" s="14" t="n"/>
      <c r="BC882" s="11">
        <f>IF(O882="","",IF(J882="GST 10%",ROUND(O882*set_GSTRate,2),0))</f>
        <v/>
      </c>
      <c r="BD882" s="11">
        <f>IF(O882="","",O882+BC882)</f>
        <v/>
      </c>
      <c r="BE882" s="15">
        <f>IF(O882="","",COUNTA(S882,V882,Y882,AB882,AE882,AH882,AK882,AN882,AQ882,AT882,AW882,AZ882))</f>
        <v/>
      </c>
      <c r="BF882" s="16">
        <f>IF(COUNT(T882,W882,Z882,AC882,AF882,AI882,AL882,AO882,AR882,AU882,AX882,BA882)=0,"",MAX(T882,W882,Z882,AC882,AF882,AI882,AL882,AO882,AR882,AU882,AX882,BA882))</f>
        <v/>
      </c>
      <c r="BG882" s="10">
        <f>MID(IF(S882="","",", "&amp;S882)&amp;IF(V882="","",", "&amp;V882)&amp;IF(Y882="","",", "&amp;Y882)&amp;IF(AB882="","",", "&amp;AB882)&amp;IF(AE882="","",", "&amp;AE882)&amp;IF(AH882="","",", "&amp;AH882)&amp;IF(AK882="","",", "&amp;AK882)&amp;IF(AN882="","",", "&amp;AN882)&amp;IF(AQ882="","",", "&amp;AQ882)&amp;IF(AT882="","",", "&amp;AT882)&amp;IF(AW882="","",", "&amp;AW882)&amp;IF(AZ882="","",", "&amp;AZ882),3,500)</f>
        <v/>
      </c>
      <c r="BH882" s="12" t="n"/>
      <c r="BI882" s="15">
        <f>IFERROR(MATCH($A882,IF($B882="Onsite",tbl_Onsite[Row ID],IF($B882="Production",tbl_Production[Row ID],tbl_Consulting[Row ID])),0),"")</f>
        <v/>
      </c>
    </row>
    <row r="883">
      <c r="A883" s="10" t="inlineStr">
        <is>
          <t>PRD-0377</t>
        </is>
      </c>
      <c r="B883" s="10" t="inlineStr">
        <is>
          <t>Production</t>
        </is>
      </c>
      <c r="C883" s="10">
        <f>IF($BI883="","",IF($B883="Onsite",INDEX(tbl_Onsite[Job Number],$BI883),IF($B883="Production",INDEX(tbl_Production[Job Number],$BI883),INDEX(tbl_Consulting[Job Number],$BI883)))&amp;"")</f>
        <v/>
      </c>
      <c r="D883" s="10">
        <f>IF($BI883="","",IF($B883="Onsite",INDEX(tbl_Onsite[Client],$BI883),IF($B883="Production",INDEX(tbl_Production[Client],$BI883),INDEX(tbl_Consulting[Client],$BI883)))&amp;"")</f>
        <v/>
      </c>
      <c r="E883" s="10">
        <f>IF($C883="","",IF(COUNTIF(lst_Jobs,$C883)&gt;0,"OK","CHECK"))</f>
        <v/>
      </c>
      <c r="F883" s="10">
        <f>IF($C883="","",IFERROR(INDEX(lst_JobName,MATCH($C883,lst_Jobs,0)),""))</f>
        <v/>
      </c>
      <c r="G883" s="10">
        <f>IF($BI883="","",IF($B883="Onsite",INDEX(tbl_Onsite[Job Description],$BI883),IF($B883="Production",INDEX(tbl_Production[Job Description],$BI883),INDEX(tbl_Consulting[Job Description],$BI883)))&amp;"")</f>
        <v/>
      </c>
      <c r="H883" s="10">
        <f>IF($BI883="","",IF($B883="Onsite",INDEX(tbl_Onsite[Cost Centre],$BI883),IF($B883="Production",INDEX(tbl_Production[Cost Centre],$BI883),INDEX(tbl_Consulting[Cost Centre],$BI883)))&amp;"")</f>
        <v/>
      </c>
      <c r="I883" s="10">
        <f>IF($BI883="","",IF($B883="Onsite",INDEX(tbl_Onsite[Invoice Type],$BI883),IF($B883="Production",INDEX(tbl_Production[Invoice Type],$BI883),INDEX(tbl_Consulting[Invoice Type],$BI883)))&amp;"")</f>
        <v/>
      </c>
      <c r="J883" s="10">
        <f>IF($BI883="","",IF($B883="Onsite",INDEX(tbl_Onsite[Tax Code],$BI883),IF($B883="Production",INDEX(tbl_Production[Tax Code],$BI883),INDEX(tbl_Consulting[Tax Code],$BI883)))&amp;"")</f>
        <v/>
      </c>
      <c r="K883" s="10">
        <f>IF(H883="","",IFERROR(INDEX(lst_CCtoGL,MATCH(H883,lst_CCforGL,0)),""))</f>
        <v/>
      </c>
      <c r="L883" s="10">
        <f>IF($BI883="","",IF($B883="Onsite",INDEX(tbl_Onsite[PO / Reference],$BI883),IF($B883="Production",INDEX(tbl_Production[Current RMS No],$BI883),INDEX(tbl_Consulting[Qwilr Quote],$BI883)))&amp;"")</f>
        <v/>
      </c>
      <c r="M883" s="10">
        <f>IF($BI883="","",IF($B883="Onsite",INDEX(tbl_Onsite[Notes],$BI883),IF($B883="Production",INDEX(tbl_Production[Notes],$BI883),INDEX(tbl_Consulting[Notes],$BI883)))&amp;"")</f>
        <v/>
      </c>
      <c r="N883" s="11">
        <f>IF($BI883="","",IF(IF($B883="Onsite",INDEX(tbl_Onsite[Expected Revenue Ex GST],$BI883),IF($B883="Production",INDEX(tbl_Production[Expected Revenue Ex GST],$BI883),INDEX(tbl_Consulting[Expected Revenue Ex GST],$BI883)))="","",IF($B883="Onsite",INDEX(tbl_Onsite[Expected Revenue Ex GST],$BI883),IF($B883="Production",INDEX(tbl_Production[Expected Revenue Ex GST],$BI883),INDEX(tbl_Consulting[Expected Revenue Ex GST],$BI883)))))</f>
        <v/>
      </c>
      <c r="O883" s="11">
        <f>IF(AND($C883="",NOT(COUNTA($S883:$BB883)&gt;0)),"",SUM(U883,X883,AA883,AD883,AG883,AJ883,AM883,AP883,AS883,AV883,AY883,BB883))</f>
        <v/>
      </c>
      <c r="P883" s="11">
        <f>IF(O883="","",N(N883)-O883)</f>
        <v/>
      </c>
      <c r="Q883" s="10">
        <f>IF(O883="","",IF($C883="","Invoice on empty job row",IF(N883="",IF(ROUND(O883,2)=0,"No dept value","Invoiced - no dept value"),IF(ROUND(O883,2)=0,"Not invoiced - to invoice",IF(ROUND(P883,2)=0,"Agrees",IF(P883&gt;0,"Dept higher - to invoice","Xero higher - check dept"))))))</f>
        <v/>
      </c>
      <c r="R883" s="10">
        <f>IF(AND($C883="",NOT(COUNTA($S883:$BB883)&gt;0),$BI883&lt;&gt;""),"",MID(IF($BI883="","; Row ID not found on the department sheet - a row was deleted","")&amp;IF(AND($C883="",COUNTA($S883:$BB883)&gt;0),"; Invoice entered but the department row has no job number","")&amp;IF(E883="CHECK","; Job number not in the Xero job list","")&amp;IF(AND($C883&lt;&gt;"",COUNTIF($C$7:$C$1506,$C883)&gt;1),"; Job number on more than one row","")&amp;IF(AND($C883&lt;&gt;"",H883=""),"; Dept has not set a cost centre","")&amp;IF(AND($C883&lt;&gt;"",J883=""),"; Dept has not set a tax code","")&amp;IF(AND($C883&lt;&gt;"",N883=""),"; Dept has not entered an expected value","")&amp;IF((IF(OR(COUNTA(S883:U883)=0,AND(COUNTA(S883:U883)=3,ISNUMBER(U883))),0,1)+IF(OR(COUNTA(V883:X883)=0,AND(COUNTA(V883:X883)=3,ISNUMBER(X883))),0,1)+IF(OR(COUNTA(Y883:AA883)=0,AND(COUNTA(Y883:AA883)=3,ISNUMBER(AA883))),0,1)+IF(OR(COUNTA(AB883:AD883)=0,AND(COUNTA(AB883:AD883)=3,ISNUMBER(AD883))),0,1)+IF(OR(COUNTA(AE883:AG883)=0,AND(COUNTA(AE883:AG883)=3,ISNUMBER(AG883))),0,1)+IF(OR(COUNTA(AH883:AJ883)=0,AND(COUNTA(AH883:AJ883)=3,ISNUMBER(AJ883))),0,1)+IF(OR(COUNTA(AK883:AM883)=0,AND(COUNTA(AK883:AM883)=3,ISNUMBER(AM883))),0,1)+IF(OR(COUNTA(AN883:AP883)=0,AND(COUNTA(AN883:AP883)=3,ISNUMBER(AP883))),0,1)+IF(OR(COUNTA(AQ883:AS883)=0,AND(COUNTA(AQ883:AS883)=3,ISNUMBER(AS883))),0,1)+IF(OR(COUNTA(AT883:AV883)=0,AND(COUNTA(AT883:AV883)=3,ISNUMBER(AV883))),0,1)+IF(OR(COUNTA(AW883:AY883)=0,AND(COUNTA(AW883:AY883)=3,ISNUMBER(AY883))),0,1)+IF(OR(COUNTA(AZ883:BB883)=0,AND(COUNTA(AZ883:BB883)=3,ISNUMBER(BB883))),0,1))&gt;0,"; An invoice is incomplete (needs No, Date and a number in Ex GST)","")&amp;IF((IF(T883="",0,IFERROR(--(EOMONTH(T883,0)&lt;&gt;S$5),1))+IF(W883="",0,IFERROR(--(EOMONTH(W883,0)&lt;&gt;V$5),1))+IF(Z883="",0,IFERROR(--(EOMONTH(Z883,0)&lt;&gt;Y$5),1))+IF(AC883="",0,IFERROR(--(EOMONTH(AC883,0)&lt;&gt;AB$5),1))+IF(AF883="",0,IFERROR(--(EOMONTH(AF883,0)&lt;&gt;AE$5),1))+IF(AI883="",0,IFERROR(--(EOMONTH(AI883,0)&lt;&gt;AH$5),1))+IF(AL883="",0,IFERROR(--(EOMONTH(AL883,0)&lt;&gt;AK$5),1))+IF(AO883="",0,IFERROR(--(EOMONTH(AO883,0)&lt;&gt;AN$5),1))+IF(AR883="",0,IFERROR(--(EOMONTH(AR883,0)&lt;&gt;AQ$5),1))+IF(AU883="",0,IFERROR(--(EOMONTH(AU883,0)&lt;&gt;AT$5),1))+IF(AX883="",0,IFERROR(--(EOMONTH(AX883,0)&lt;&gt;AW$5),1))+IF(BA883="",0,IFERROR(--(EOMONTH(BA883,0)&lt;&gt;AZ$5),1)))&gt;0,"; An invoice date is not in the month it is typed under",""),3,500))</f>
        <v/>
      </c>
      <c r="S883" s="12" t="n"/>
      <c r="T883" s="13" t="n"/>
      <c r="U883" s="14" t="n"/>
      <c r="V883" s="12" t="n"/>
      <c r="W883" s="13" t="n"/>
      <c r="X883" s="14" t="n"/>
      <c r="Y883" s="12" t="n"/>
      <c r="Z883" s="13" t="n"/>
      <c r="AA883" s="14" t="n"/>
      <c r="AB883" s="12" t="n"/>
      <c r="AC883" s="13" t="n"/>
      <c r="AD883" s="14" t="n"/>
      <c r="AE883" s="12" t="n"/>
      <c r="AF883" s="13" t="n"/>
      <c r="AG883" s="14" t="n"/>
      <c r="AH883" s="12" t="n"/>
      <c r="AI883" s="13" t="n"/>
      <c r="AJ883" s="14" t="n"/>
      <c r="AK883" s="12" t="n"/>
      <c r="AL883" s="13" t="n"/>
      <c r="AM883" s="14" t="n"/>
      <c r="AN883" s="12" t="n"/>
      <c r="AO883" s="13" t="n"/>
      <c r="AP883" s="14" t="n"/>
      <c r="AQ883" s="12" t="n"/>
      <c r="AR883" s="13" t="n"/>
      <c r="AS883" s="14" t="n"/>
      <c r="AT883" s="12" t="n"/>
      <c r="AU883" s="13" t="n"/>
      <c r="AV883" s="14" t="n"/>
      <c r="AW883" s="12" t="n"/>
      <c r="AX883" s="13" t="n"/>
      <c r="AY883" s="14" t="n"/>
      <c r="AZ883" s="12" t="n"/>
      <c r="BA883" s="13" t="n"/>
      <c r="BB883" s="14" t="n"/>
      <c r="BC883" s="11">
        <f>IF(O883="","",IF(J883="GST 10%",ROUND(O883*set_GSTRate,2),0))</f>
        <v/>
      </c>
      <c r="BD883" s="11">
        <f>IF(O883="","",O883+BC883)</f>
        <v/>
      </c>
      <c r="BE883" s="15">
        <f>IF(O883="","",COUNTA(S883,V883,Y883,AB883,AE883,AH883,AK883,AN883,AQ883,AT883,AW883,AZ883))</f>
        <v/>
      </c>
      <c r="BF883" s="16">
        <f>IF(COUNT(T883,W883,Z883,AC883,AF883,AI883,AL883,AO883,AR883,AU883,AX883,BA883)=0,"",MAX(T883,W883,Z883,AC883,AF883,AI883,AL883,AO883,AR883,AU883,AX883,BA883))</f>
        <v/>
      </c>
      <c r="BG883" s="10">
        <f>MID(IF(S883="","",", "&amp;S883)&amp;IF(V883="","",", "&amp;V883)&amp;IF(Y883="","",", "&amp;Y883)&amp;IF(AB883="","",", "&amp;AB883)&amp;IF(AE883="","",", "&amp;AE883)&amp;IF(AH883="","",", "&amp;AH883)&amp;IF(AK883="","",", "&amp;AK883)&amp;IF(AN883="","",", "&amp;AN883)&amp;IF(AQ883="","",", "&amp;AQ883)&amp;IF(AT883="","",", "&amp;AT883)&amp;IF(AW883="","",", "&amp;AW883)&amp;IF(AZ883="","",", "&amp;AZ883),3,500)</f>
        <v/>
      </c>
      <c r="BH883" s="12" t="n"/>
      <c r="BI883" s="15">
        <f>IFERROR(MATCH($A883,IF($B883="Onsite",tbl_Onsite[Row ID],IF($B883="Production",tbl_Production[Row ID],tbl_Consulting[Row ID])),0),"")</f>
        <v/>
      </c>
    </row>
    <row r="884">
      <c r="A884" s="10" t="inlineStr">
        <is>
          <t>PRD-0378</t>
        </is>
      </c>
      <c r="B884" s="10" t="inlineStr">
        <is>
          <t>Production</t>
        </is>
      </c>
      <c r="C884" s="10">
        <f>IF($BI884="","",IF($B884="Onsite",INDEX(tbl_Onsite[Job Number],$BI884),IF($B884="Production",INDEX(tbl_Production[Job Number],$BI884),INDEX(tbl_Consulting[Job Number],$BI884)))&amp;"")</f>
        <v/>
      </c>
      <c r="D884" s="10">
        <f>IF($BI884="","",IF($B884="Onsite",INDEX(tbl_Onsite[Client],$BI884),IF($B884="Production",INDEX(tbl_Production[Client],$BI884),INDEX(tbl_Consulting[Client],$BI884)))&amp;"")</f>
        <v/>
      </c>
      <c r="E884" s="10">
        <f>IF($C884="","",IF(COUNTIF(lst_Jobs,$C884)&gt;0,"OK","CHECK"))</f>
        <v/>
      </c>
      <c r="F884" s="10">
        <f>IF($C884="","",IFERROR(INDEX(lst_JobName,MATCH($C884,lst_Jobs,0)),""))</f>
        <v/>
      </c>
      <c r="G884" s="10">
        <f>IF($BI884="","",IF($B884="Onsite",INDEX(tbl_Onsite[Job Description],$BI884),IF($B884="Production",INDEX(tbl_Production[Job Description],$BI884),INDEX(tbl_Consulting[Job Description],$BI884)))&amp;"")</f>
        <v/>
      </c>
      <c r="H884" s="10">
        <f>IF($BI884="","",IF($B884="Onsite",INDEX(tbl_Onsite[Cost Centre],$BI884),IF($B884="Production",INDEX(tbl_Production[Cost Centre],$BI884),INDEX(tbl_Consulting[Cost Centre],$BI884)))&amp;"")</f>
        <v/>
      </c>
      <c r="I884" s="10">
        <f>IF($BI884="","",IF($B884="Onsite",INDEX(tbl_Onsite[Invoice Type],$BI884),IF($B884="Production",INDEX(tbl_Production[Invoice Type],$BI884),INDEX(tbl_Consulting[Invoice Type],$BI884)))&amp;"")</f>
        <v/>
      </c>
      <c r="J884" s="10">
        <f>IF($BI884="","",IF($B884="Onsite",INDEX(tbl_Onsite[Tax Code],$BI884),IF($B884="Production",INDEX(tbl_Production[Tax Code],$BI884),INDEX(tbl_Consulting[Tax Code],$BI884)))&amp;"")</f>
        <v/>
      </c>
      <c r="K884" s="10">
        <f>IF(H884="","",IFERROR(INDEX(lst_CCtoGL,MATCH(H884,lst_CCforGL,0)),""))</f>
        <v/>
      </c>
      <c r="L884" s="10">
        <f>IF($BI884="","",IF($B884="Onsite",INDEX(tbl_Onsite[PO / Reference],$BI884),IF($B884="Production",INDEX(tbl_Production[Current RMS No],$BI884),INDEX(tbl_Consulting[Qwilr Quote],$BI884)))&amp;"")</f>
        <v/>
      </c>
      <c r="M884" s="10">
        <f>IF($BI884="","",IF($B884="Onsite",INDEX(tbl_Onsite[Notes],$BI884),IF($B884="Production",INDEX(tbl_Production[Notes],$BI884),INDEX(tbl_Consulting[Notes],$BI884)))&amp;"")</f>
        <v/>
      </c>
      <c r="N884" s="11">
        <f>IF($BI884="","",IF(IF($B884="Onsite",INDEX(tbl_Onsite[Expected Revenue Ex GST],$BI884),IF($B884="Production",INDEX(tbl_Production[Expected Revenue Ex GST],$BI884),INDEX(tbl_Consulting[Expected Revenue Ex GST],$BI884)))="","",IF($B884="Onsite",INDEX(tbl_Onsite[Expected Revenue Ex GST],$BI884),IF($B884="Production",INDEX(tbl_Production[Expected Revenue Ex GST],$BI884),INDEX(tbl_Consulting[Expected Revenue Ex GST],$BI884)))))</f>
        <v/>
      </c>
      <c r="O884" s="11">
        <f>IF(AND($C884="",NOT(COUNTA($S884:$BB884)&gt;0)),"",SUM(U884,X884,AA884,AD884,AG884,AJ884,AM884,AP884,AS884,AV884,AY884,BB884))</f>
        <v/>
      </c>
      <c r="P884" s="11">
        <f>IF(O884="","",N(N884)-O884)</f>
        <v/>
      </c>
      <c r="Q884" s="10">
        <f>IF(O884="","",IF($C884="","Invoice on empty job row",IF(N884="",IF(ROUND(O884,2)=0,"No dept value","Invoiced - no dept value"),IF(ROUND(O884,2)=0,"Not invoiced - to invoice",IF(ROUND(P884,2)=0,"Agrees",IF(P884&gt;0,"Dept higher - to invoice","Xero higher - check dept"))))))</f>
        <v/>
      </c>
      <c r="R884" s="10">
        <f>IF(AND($C884="",NOT(COUNTA($S884:$BB884)&gt;0),$BI884&lt;&gt;""),"",MID(IF($BI884="","; Row ID not found on the department sheet - a row was deleted","")&amp;IF(AND($C884="",COUNTA($S884:$BB884)&gt;0),"; Invoice entered but the department row has no job number","")&amp;IF(E884="CHECK","; Job number not in the Xero job list","")&amp;IF(AND($C884&lt;&gt;"",COUNTIF($C$7:$C$1506,$C884)&gt;1),"; Job number on more than one row","")&amp;IF(AND($C884&lt;&gt;"",H884=""),"; Dept has not set a cost centre","")&amp;IF(AND($C884&lt;&gt;"",J884=""),"; Dept has not set a tax code","")&amp;IF(AND($C884&lt;&gt;"",N884=""),"; Dept has not entered an expected value","")&amp;IF((IF(OR(COUNTA(S884:U884)=0,AND(COUNTA(S884:U884)=3,ISNUMBER(U884))),0,1)+IF(OR(COUNTA(V884:X884)=0,AND(COUNTA(V884:X884)=3,ISNUMBER(X884))),0,1)+IF(OR(COUNTA(Y884:AA884)=0,AND(COUNTA(Y884:AA884)=3,ISNUMBER(AA884))),0,1)+IF(OR(COUNTA(AB884:AD884)=0,AND(COUNTA(AB884:AD884)=3,ISNUMBER(AD884))),0,1)+IF(OR(COUNTA(AE884:AG884)=0,AND(COUNTA(AE884:AG884)=3,ISNUMBER(AG884))),0,1)+IF(OR(COUNTA(AH884:AJ884)=0,AND(COUNTA(AH884:AJ884)=3,ISNUMBER(AJ884))),0,1)+IF(OR(COUNTA(AK884:AM884)=0,AND(COUNTA(AK884:AM884)=3,ISNUMBER(AM884))),0,1)+IF(OR(COUNTA(AN884:AP884)=0,AND(COUNTA(AN884:AP884)=3,ISNUMBER(AP884))),0,1)+IF(OR(COUNTA(AQ884:AS884)=0,AND(COUNTA(AQ884:AS884)=3,ISNUMBER(AS884))),0,1)+IF(OR(COUNTA(AT884:AV884)=0,AND(COUNTA(AT884:AV884)=3,ISNUMBER(AV884))),0,1)+IF(OR(COUNTA(AW884:AY884)=0,AND(COUNTA(AW884:AY884)=3,ISNUMBER(AY884))),0,1)+IF(OR(COUNTA(AZ884:BB884)=0,AND(COUNTA(AZ884:BB884)=3,ISNUMBER(BB884))),0,1))&gt;0,"; An invoice is incomplete (needs No, Date and a number in Ex GST)","")&amp;IF((IF(T884="",0,IFERROR(--(EOMONTH(T884,0)&lt;&gt;S$5),1))+IF(W884="",0,IFERROR(--(EOMONTH(W884,0)&lt;&gt;V$5),1))+IF(Z884="",0,IFERROR(--(EOMONTH(Z884,0)&lt;&gt;Y$5),1))+IF(AC884="",0,IFERROR(--(EOMONTH(AC884,0)&lt;&gt;AB$5),1))+IF(AF884="",0,IFERROR(--(EOMONTH(AF884,0)&lt;&gt;AE$5),1))+IF(AI884="",0,IFERROR(--(EOMONTH(AI884,0)&lt;&gt;AH$5),1))+IF(AL884="",0,IFERROR(--(EOMONTH(AL884,0)&lt;&gt;AK$5),1))+IF(AO884="",0,IFERROR(--(EOMONTH(AO884,0)&lt;&gt;AN$5),1))+IF(AR884="",0,IFERROR(--(EOMONTH(AR884,0)&lt;&gt;AQ$5),1))+IF(AU884="",0,IFERROR(--(EOMONTH(AU884,0)&lt;&gt;AT$5),1))+IF(AX884="",0,IFERROR(--(EOMONTH(AX884,0)&lt;&gt;AW$5),1))+IF(BA884="",0,IFERROR(--(EOMONTH(BA884,0)&lt;&gt;AZ$5),1)))&gt;0,"; An invoice date is not in the month it is typed under",""),3,500))</f>
        <v/>
      </c>
      <c r="S884" s="12" t="n"/>
      <c r="T884" s="13" t="n"/>
      <c r="U884" s="14" t="n"/>
      <c r="V884" s="12" t="n"/>
      <c r="W884" s="13" t="n"/>
      <c r="X884" s="14" t="n"/>
      <c r="Y884" s="12" t="n"/>
      <c r="Z884" s="13" t="n"/>
      <c r="AA884" s="14" t="n"/>
      <c r="AB884" s="12" t="n"/>
      <c r="AC884" s="13" t="n"/>
      <c r="AD884" s="14" t="n"/>
      <c r="AE884" s="12" t="n"/>
      <c r="AF884" s="13" t="n"/>
      <c r="AG884" s="14" t="n"/>
      <c r="AH884" s="12" t="n"/>
      <c r="AI884" s="13" t="n"/>
      <c r="AJ884" s="14" t="n"/>
      <c r="AK884" s="12" t="n"/>
      <c r="AL884" s="13" t="n"/>
      <c r="AM884" s="14" t="n"/>
      <c r="AN884" s="12" t="n"/>
      <c r="AO884" s="13" t="n"/>
      <c r="AP884" s="14" t="n"/>
      <c r="AQ884" s="12" t="n"/>
      <c r="AR884" s="13" t="n"/>
      <c r="AS884" s="14" t="n"/>
      <c r="AT884" s="12" t="n"/>
      <c r="AU884" s="13" t="n"/>
      <c r="AV884" s="14" t="n"/>
      <c r="AW884" s="12" t="n"/>
      <c r="AX884" s="13" t="n"/>
      <c r="AY884" s="14" t="n"/>
      <c r="AZ884" s="12" t="n"/>
      <c r="BA884" s="13" t="n"/>
      <c r="BB884" s="14" t="n"/>
      <c r="BC884" s="11">
        <f>IF(O884="","",IF(J884="GST 10%",ROUND(O884*set_GSTRate,2),0))</f>
        <v/>
      </c>
      <c r="BD884" s="11">
        <f>IF(O884="","",O884+BC884)</f>
        <v/>
      </c>
      <c r="BE884" s="15">
        <f>IF(O884="","",COUNTA(S884,V884,Y884,AB884,AE884,AH884,AK884,AN884,AQ884,AT884,AW884,AZ884))</f>
        <v/>
      </c>
      <c r="BF884" s="16">
        <f>IF(COUNT(T884,W884,Z884,AC884,AF884,AI884,AL884,AO884,AR884,AU884,AX884,BA884)=0,"",MAX(T884,W884,Z884,AC884,AF884,AI884,AL884,AO884,AR884,AU884,AX884,BA884))</f>
        <v/>
      </c>
      <c r="BG884" s="10">
        <f>MID(IF(S884="","",", "&amp;S884)&amp;IF(V884="","",", "&amp;V884)&amp;IF(Y884="","",", "&amp;Y884)&amp;IF(AB884="","",", "&amp;AB884)&amp;IF(AE884="","",", "&amp;AE884)&amp;IF(AH884="","",", "&amp;AH884)&amp;IF(AK884="","",", "&amp;AK884)&amp;IF(AN884="","",", "&amp;AN884)&amp;IF(AQ884="","",", "&amp;AQ884)&amp;IF(AT884="","",", "&amp;AT884)&amp;IF(AW884="","",", "&amp;AW884)&amp;IF(AZ884="","",", "&amp;AZ884),3,500)</f>
        <v/>
      </c>
      <c r="BH884" s="12" t="n"/>
      <c r="BI884" s="15">
        <f>IFERROR(MATCH($A884,IF($B884="Onsite",tbl_Onsite[Row ID],IF($B884="Production",tbl_Production[Row ID],tbl_Consulting[Row ID])),0),"")</f>
        <v/>
      </c>
    </row>
    <row r="885">
      <c r="A885" s="10" t="inlineStr">
        <is>
          <t>PRD-0379</t>
        </is>
      </c>
      <c r="B885" s="10" t="inlineStr">
        <is>
          <t>Production</t>
        </is>
      </c>
      <c r="C885" s="10">
        <f>IF($BI885="","",IF($B885="Onsite",INDEX(tbl_Onsite[Job Number],$BI885),IF($B885="Production",INDEX(tbl_Production[Job Number],$BI885),INDEX(tbl_Consulting[Job Number],$BI885)))&amp;"")</f>
        <v/>
      </c>
      <c r="D885" s="10">
        <f>IF($BI885="","",IF($B885="Onsite",INDEX(tbl_Onsite[Client],$BI885),IF($B885="Production",INDEX(tbl_Production[Client],$BI885),INDEX(tbl_Consulting[Client],$BI885)))&amp;"")</f>
        <v/>
      </c>
      <c r="E885" s="10">
        <f>IF($C885="","",IF(COUNTIF(lst_Jobs,$C885)&gt;0,"OK","CHECK"))</f>
        <v/>
      </c>
      <c r="F885" s="10">
        <f>IF($C885="","",IFERROR(INDEX(lst_JobName,MATCH($C885,lst_Jobs,0)),""))</f>
        <v/>
      </c>
      <c r="G885" s="10">
        <f>IF($BI885="","",IF($B885="Onsite",INDEX(tbl_Onsite[Job Description],$BI885),IF($B885="Production",INDEX(tbl_Production[Job Description],$BI885),INDEX(tbl_Consulting[Job Description],$BI885)))&amp;"")</f>
        <v/>
      </c>
      <c r="H885" s="10">
        <f>IF($BI885="","",IF($B885="Onsite",INDEX(tbl_Onsite[Cost Centre],$BI885),IF($B885="Production",INDEX(tbl_Production[Cost Centre],$BI885),INDEX(tbl_Consulting[Cost Centre],$BI885)))&amp;"")</f>
        <v/>
      </c>
      <c r="I885" s="10">
        <f>IF($BI885="","",IF($B885="Onsite",INDEX(tbl_Onsite[Invoice Type],$BI885),IF($B885="Production",INDEX(tbl_Production[Invoice Type],$BI885),INDEX(tbl_Consulting[Invoice Type],$BI885)))&amp;"")</f>
        <v/>
      </c>
      <c r="J885" s="10">
        <f>IF($BI885="","",IF($B885="Onsite",INDEX(tbl_Onsite[Tax Code],$BI885),IF($B885="Production",INDEX(tbl_Production[Tax Code],$BI885),INDEX(tbl_Consulting[Tax Code],$BI885)))&amp;"")</f>
        <v/>
      </c>
      <c r="K885" s="10">
        <f>IF(H885="","",IFERROR(INDEX(lst_CCtoGL,MATCH(H885,lst_CCforGL,0)),""))</f>
        <v/>
      </c>
      <c r="L885" s="10">
        <f>IF($BI885="","",IF($B885="Onsite",INDEX(tbl_Onsite[PO / Reference],$BI885),IF($B885="Production",INDEX(tbl_Production[Current RMS No],$BI885),INDEX(tbl_Consulting[Qwilr Quote],$BI885)))&amp;"")</f>
        <v/>
      </c>
      <c r="M885" s="10">
        <f>IF($BI885="","",IF($B885="Onsite",INDEX(tbl_Onsite[Notes],$BI885),IF($B885="Production",INDEX(tbl_Production[Notes],$BI885),INDEX(tbl_Consulting[Notes],$BI885)))&amp;"")</f>
        <v/>
      </c>
      <c r="N885" s="11">
        <f>IF($BI885="","",IF(IF($B885="Onsite",INDEX(tbl_Onsite[Expected Revenue Ex GST],$BI885),IF($B885="Production",INDEX(tbl_Production[Expected Revenue Ex GST],$BI885),INDEX(tbl_Consulting[Expected Revenue Ex GST],$BI885)))="","",IF($B885="Onsite",INDEX(tbl_Onsite[Expected Revenue Ex GST],$BI885),IF($B885="Production",INDEX(tbl_Production[Expected Revenue Ex GST],$BI885),INDEX(tbl_Consulting[Expected Revenue Ex GST],$BI885)))))</f>
        <v/>
      </c>
      <c r="O885" s="11">
        <f>IF(AND($C885="",NOT(COUNTA($S885:$BB885)&gt;0)),"",SUM(U885,X885,AA885,AD885,AG885,AJ885,AM885,AP885,AS885,AV885,AY885,BB885))</f>
        <v/>
      </c>
      <c r="P885" s="11">
        <f>IF(O885="","",N(N885)-O885)</f>
        <v/>
      </c>
      <c r="Q885" s="10">
        <f>IF(O885="","",IF($C885="","Invoice on empty job row",IF(N885="",IF(ROUND(O885,2)=0,"No dept value","Invoiced - no dept value"),IF(ROUND(O885,2)=0,"Not invoiced - to invoice",IF(ROUND(P885,2)=0,"Agrees",IF(P885&gt;0,"Dept higher - to invoice","Xero higher - check dept"))))))</f>
        <v/>
      </c>
      <c r="R885" s="10">
        <f>IF(AND($C885="",NOT(COUNTA($S885:$BB885)&gt;0),$BI885&lt;&gt;""),"",MID(IF($BI885="","; Row ID not found on the department sheet - a row was deleted","")&amp;IF(AND($C885="",COUNTA($S885:$BB885)&gt;0),"; Invoice entered but the department row has no job number","")&amp;IF(E885="CHECK","; Job number not in the Xero job list","")&amp;IF(AND($C885&lt;&gt;"",COUNTIF($C$7:$C$1506,$C885)&gt;1),"; Job number on more than one row","")&amp;IF(AND($C885&lt;&gt;"",H885=""),"; Dept has not set a cost centre","")&amp;IF(AND($C885&lt;&gt;"",J885=""),"; Dept has not set a tax code","")&amp;IF(AND($C885&lt;&gt;"",N885=""),"; Dept has not entered an expected value","")&amp;IF((IF(OR(COUNTA(S885:U885)=0,AND(COUNTA(S885:U885)=3,ISNUMBER(U885))),0,1)+IF(OR(COUNTA(V885:X885)=0,AND(COUNTA(V885:X885)=3,ISNUMBER(X885))),0,1)+IF(OR(COUNTA(Y885:AA885)=0,AND(COUNTA(Y885:AA885)=3,ISNUMBER(AA885))),0,1)+IF(OR(COUNTA(AB885:AD885)=0,AND(COUNTA(AB885:AD885)=3,ISNUMBER(AD885))),0,1)+IF(OR(COUNTA(AE885:AG885)=0,AND(COUNTA(AE885:AG885)=3,ISNUMBER(AG885))),0,1)+IF(OR(COUNTA(AH885:AJ885)=0,AND(COUNTA(AH885:AJ885)=3,ISNUMBER(AJ885))),0,1)+IF(OR(COUNTA(AK885:AM885)=0,AND(COUNTA(AK885:AM885)=3,ISNUMBER(AM885))),0,1)+IF(OR(COUNTA(AN885:AP885)=0,AND(COUNTA(AN885:AP885)=3,ISNUMBER(AP885))),0,1)+IF(OR(COUNTA(AQ885:AS885)=0,AND(COUNTA(AQ885:AS885)=3,ISNUMBER(AS885))),0,1)+IF(OR(COUNTA(AT885:AV885)=0,AND(COUNTA(AT885:AV885)=3,ISNUMBER(AV885))),0,1)+IF(OR(COUNTA(AW885:AY885)=0,AND(COUNTA(AW885:AY885)=3,ISNUMBER(AY885))),0,1)+IF(OR(COUNTA(AZ885:BB885)=0,AND(COUNTA(AZ885:BB885)=3,ISNUMBER(BB885))),0,1))&gt;0,"; An invoice is incomplete (needs No, Date and a number in Ex GST)","")&amp;IF((IF(T885="",0,IFERROR(--(EOMONTH(T885,0)&lt;&gt;S$5),1))+IF(W885="",0,IFERROR(--(EOMONTH(W885,0)&lt;&gt;V$5),1))+IF(Z885="",0,IFERROR(--(EOMONTH(Z885,0)&lt;&gt;Y$5),1))+IF(AC885="",0,IFERROR(--(EOMONTH(AC885,0)&lt;&gt;AB$5),1))+IF(AF885="",0,IFERROR(--(EOMONTH(AF885,0)&lt;&gt;AE$5),1))+IF(AI885="",0,IFERROR(--(EOMONTH(AI885,0)&lt;&gt;AH$5),1))+IF(AL885="",0,IFERROR(--(EOMONTH(AL885,0)&lt;&gt;AK$5),1))+IF(AO885="",0,IFERROR(--(EOMONTH(AO885,0)&lt;&gt;AN$5),1))+IF(AR885="",0,IFERROR(--(EOMONTH(AR885,0)&lt;&gt;AQ$5),1))+IF(AU885="",0,IFERROR(--(EOMONTH(AU885,0)&lt;&gt;AT$5),1))+IF(AX885="",0,IFERROR(--(EOMONTH(AX885,0)&lt;&gt;AW$5),1))+IF(BA885="",0,IFERROR(--(EOMONTH(BA885,0)&lt;&gt;AZ$5),1)))&gt;0,"; An invoice date is not in the month it is typed under",""),3,500))</f>
        <v/>
      </c>
      <c r="S885" s="12" t="n"/>
      <c r="T885" s="13" t="n"/>
      <c r="U885" s="14" t="n"/>
      <c r="V885" s="12" t="n"/>
      <c r="W885" s="13" t="n"/>
      <c r="X885" s="14" t="n"/>
      <c r="Y885" s="12" t="n"/>
      <c r="Z885" s="13" t="n"/>
      <c r="AA885" s="14" t="n"/>
      <c r="AB885" s="12" t="n"/>
      <c r="AC885" s="13" t="n"/>
      <c r="AD885" s="14" t="n"/>
      <c r="AE885" s="12" t="n"/>
      <c r="AF885" s="13" t="n"/>
      <c r="AG885" s="14" t="n"/>
      <c r="AH885" s="12" t="n"/>
      <c r="AI885" s="13" t="n"/>
      <c r="AJ885" s="14" t="n"/>
      <c r="AK885" s="12" t="n"/>
      <c r="AL885" s="13" t="n"/>
      <c r="AM885" s="14" t="n"/>
      <c r="AN885" s="12" t="n"/>
      <c r="AO885" s="13" t="n"/>
      <c r="AP885" s="14" t="n"/>
      <c r="AQ885" s="12" t="n"/>
      <c r="AR885" s="13" t="n"/>
      <c r="AS885" s="14" t="n"/>
      <c r="AT885" s="12" t="n"/>
      <c r="AU885" s="13" t="n"/>
      <c r="AV885" s="14" t="n"/>
      <c r="AW885" s="12" t="n"/>
      <c r="AX885" s="13" t="n"/>
      <c r="AY885" s="14" t="n"/>
      <c r="AZ885" s="12" t="n"/>
      <c r="BA885" s="13" t="n"/>
      <c r="BB885" s="14" t="n"/>
      <c r="BC885" s="11">
        <f>IF(O885="","",IF(J885="GST 10%",ROUND(O885*set_GSTRate,2),0))</f>
        <v/>
      </c>
      <c r="BD885" s="11">
        <f>IF(O885="","",O885+BC885)</f>
        <v/>
      </c>
      <c r="BE885" s="15">
        <f>IF(O885="","",COUNTA(S885,V885,Y885,AB885,AE885,AH885,AK885,AN885,AQ885,AT885,AW885,AZ885))</f>
        <v/>
      </c>
      <c r="BF885" s="16">
        <f>IF(COUNT(T885,W885,Z885,AC885,AF885,AI885,AL885,AO885,AR885,AU885,AX885,BA885)=0,"",MAX(T885,W885,Z885,AC885,AF885,AI885,AL885,AO885,AR885,AU885,AX885,BA885))</f>
        <v/>
      </c>
      <c r="BG885" s="10">
        <f>MID(IF(S885="","",", "&amp;S885)&amp;IF(V885="","",", "&amp;V885)&amp;IF(Y885="","",", "&amp;Y885)&amp;IF(AB885="","",", "&amp;AB885)&amp;IF(AE885="","",", "&amp;AE885)&amp;IF(AH885="","",", "&amp;AH885)&amp;IF(AK885="","",", "&amp;AK885)&amp;IF(AN885="","",", "&amp;AN885)&amp;IF(AQ885="","",", "&amp;AQ885)&amp;IF(AT885="","",", "&amp;AT885)&amp;IF(AW885="","",", "&amp;AW885)&amp;IF(AZ885="","",", "&amp;AZ885),3,500)</f>
        <v/>
      </c>
      <c r="BH885" s="12" t="n"/>
      <c r="BI885" s="15">
        <f>IFERROR(MATCH($A885,IF($B885="Onsite",tbl_Onsite[Row ID],IF($B885="Production",tbl_Production[Row ID],tbl_Consulting[Row ID])),0),"")</f>
        <v/>
      </c>
    </row>
    <row r="886">
      <c r="A886" s="10" t="inlineStr">
        <is>
          <t>PRD-0380</t>
        </is>
      </c>
      <c r="B886" s="10" t="inlineStr">
        <is>
          <t>Production</t>
        </is>
      </c>
      <c r="C886" s="10">
        <f>IF($BI886="","",IF($B886="Onsite",INDEX(tbl_Onsite[Job Number],$BI886),IF($B886="Production",INDEX(tbl_Production[Job Number],$BI886),INDEX(tbl_Consulting[Job Number],$BI886)))&amp;"")</f>
        <v/>
      </c>
      <c r="D886" s="10">
        <f>IF($BI886="","",IF($B886="Onsite",INDEX(tbl_Onsite[Client],$BI886),IF($B886="Production",INDEX(tbl_Production[Client],$BI886),INDEX(tbl_Consulting[Client],$BI886)))&amp;"")</f>
        <v/>
      </c>
      <c r="E886" s="10">
        <f>IF($C886="","",IF(COUNTIF(lst_Jobs,$C886)&gt;0,"OK","CHECK"))</f>
        <v/>
      </c>
      <c r="F886" s="10">
        <f>IF($C886="","",IFERROR(INDEX(lst_JobName,MATCH($C886,lst_Jobs,0)),""))</f>
        <v/>
      </c>
      <c r="G886" s="10">
        <f>IF($BI886="","",IF($B886="Onsite",INDEX(tbl_Onsite[Job Description],$BI886),IF($B886="Production",INDEX(tbl_Production[Job Description],$BI886),INDEX(tbl_Consulting[Job Description],$BI886)))&amp;"")</f>
        <v/>
      </c>
      <c r="H886" s="10">
        <f>IF($BI886="","",IF($B886="Onsite",INDEX(tbl_Onsite[Cost Centre],$BI886),IF($B886="Production",INDEX(tbl_Production[Cost Centre],$BI886),INDEX(tbl_Consulting[Cost Centre],$BI886)))&amp;"")</f>
        <v/>
      </c>
      <c r="I886" s="10">
        <f>IF($BI886="","",IF($B886="Onsite",INDEX(tbl_Onsite[Invoice Type],$BI886),IF($B886="Production",INDEX(tbl_Production[Invoice Type],$BI886),INDEX(tbl_Consulting[Invoice Type],$BI886)))&amp;"")</f>
        <v/>
      </c>
      <c r="J886" s="10">
        <f>IF($BI886="","",IF($B886="Onsite",INDEX(tbl_Onsite[Tax Code],$BI886),IF($B886="Production",INDEX(tbl_Production[Tax Code],$BI886),INDEX(tbl_Consulting[Tax Code],$BI886)))&amp;"")</f>
        <v/>
      </c>
      <c r="K886" s="10">
        <f>IF(H886="","",IFERROR(INDEX(lst_CCtoGL,MATCH(H886,lst_CCforGL,0)),""))</f>
        <v/>
      </c>
      <c r="L886" s="10">
        <f>IF($BI886="","",IF($B886="Onsite",INDEX(tbl_Onsite[PO / Reference],$BI886),IF($B886="Production",INDEX(tbl_Production[Current RMS No],$BI886),INDEX(tbl_Consulting[Qwilr Quote],$BI886)))&amp;"")</f>
        <v/>
      </c>
      <c r="M886" s="10">
        <f>IF($BI886="","",IF($B886="Onsite",INDEX(tbl_Onsite[Notes],$BI886),IF($B886="Production",INDEX(tbl_Production[Notes],$BI886),INDEX(tbl_Consulting[Notes],$BI886)))&amp;"")</f>
        <v/>
      </c>
      <c r="N886" s="11">
        <f>IF($BI886="","",IF(IF($B886="Onsite",INDEX(tbl_Onsite[Expected Revenue Ex GST],$BI886),IF($B886="Production",INDEX(tbl_Production[Expected Revenue Ex GST],$BI886),INDEX(tbl_Consulting[Expected Revenue Ex GST],$BI886)))="","",IF($B886="Onsite",INDEX(tbl_Onsite[Expected Revenue Ex GST],$BI886),IF($B886="Production",INDEX(tbl_Production[Expected Revenue Ex GST],$BI886),INDEX(tbl_Consulting[Expected Revenue Ex GST],$BI886)))))</f>
        <v/>
      </c>
      <c r="O886" s="11">
        <f>IF(AND($C886="",NOT(COUNTA($S886:$BB886)&gt;0)),"",SUM(U886,X886,AA886,AD886,AG886,AJ886,AM886,AP886,AS886,AV886,AY886,BB886))</f>
        <v/>
      </c>
      <c r="P886" s="11">
        <f>IF(O886="","",N(N886)-O886)</f>
        <v/>
      </c>
      <c r="Q886" s="10">
        <f>IF(O886="","",IF($C886="","Invoice on empty job row",IF(N886="",IF(ROUND(O886,2)=0,"No dept value","Invoiced - no dept value"),IF(ROUND(O886,2)=0,"Not invoiced - to invoice",IF(ROUND(P886,2)=0,"Agrees",IF(P886&gt;0,"Dept higher - to invoice","Xero higher - check dept"))))))</f>
        <v/>
      </c>
      <c r="R886" s="10">
        <f>IF(AND($C886="",NOT(COUNTA($S886:$BB886)&gt;0),$BI886&lt;&gt;""),"",MID(IF($BI886="","; Row ID not found on the department sheet - a row was deleted","")&amp;IF(AND($C886="",COUNTA($S886:$BB886)&gt;0),"; Invoice entered but the department row has no job number","")&amp;IF(E886="CHECK","; Job number not in the Xero job list","")&amp;IF(AND($C886&lt;&gt;"",COUNTIF($C$7:$C$1506,$C886)&gt;1),"; Job number on more than one row","")&amp;IF(AND($C886&lt;&gt;"",H886=""),"; Dept has not set a cost centre","")&amp;IF(AND($C886&lt;&gt;"",J886=""),"; Dept has not set a tax code","")&amp;IF(AND($C886&lt;&gt;"",N886=""),"; Dept has not entered an expected value","")&amp;IF((IF(OR(COUNTA(S886:U886)=0,AND(COUNTA(S886:U886)=3,ISNUMBER(U886))),0,1)+IF(OR(COUNTA(V886:X886)=0,AND(COUNTA(V886:X886)=3,ISNUMBER(X886))),0,1)+IF(OR(COUNTA(Y886:AA886)=0,AND(COUNTA(Y886:AA886)=3,ISNUMBER(AA886))),0,1)+IF(OR(COUNTA(AB886:AD886)=0,AND(COUNTA(AB886:AD886)=3,ISNUMBER(AD886))),0,1)+IF(OR(COUNTA(AE886:AG886)=0,AND(COUNTA(AE886:AG886)=3,ISNUMBER(AG886))),0,1)+IF(OR(COUNTA(AH886:AJ886)=0,AND(COUNTA(AH886:AJ886)=3,ISNUMBER(AJ886))),0,1)+IF(OR(COUNTA(AK886:AM886)=0,AND(COUNTA(AK886:AM886)=3,ISNUMBER(AM886))),0,1)+IF(OR(COUNTA(AN886:AP886)=0,AND(COUNTA(AN886:AP886)=3,ISNUMBER(AP886))),0,1)+IF(OR(COUNTA(AQ886:AS886)=0,AND(COUNTA(AQ886:AS886)=3,ISNUMBER(AS886))),0,1)+IF(OR(COUNTA(AT886:AV886)=0,AND(COUNTA(AT886:AV886)=3,ISNUMBER(AV886))),0,1)+IF(OR(COUNTA(AW886:AY886)=0,AND(COUNTA(AW886:AY886)=3,ISNUMBER(AY886))),0,1)+IF(OR(COUNTA(AZ886:BB886)=0,AND(COUNTA(AZ886:BB886)=3,ISNUMBER(BB886))),0,1))&gt;0,"; An invoice is incomplete (needs No, Date and a number in Ex GST)","")&amp;IF((IF(T886="",0,IFERROR(--(EOMONTH(T886,0)&lt;&gt;S$5),1))+IF(W886="",0,IFERROR(--(EOMONTH(W886,0)&lt;&gt;V$5),1))+IF(Z886="",0,IFERROR(--(EOMONTH(Z886,0)&lt;&gt;Y$5),1))+IF(AC886="",0,IFERROR(--(EOMONTH(AC886,0)&lt;&gt;AB$5),1))+IF(AF886="",0,IFERROR(--(EOMONTH(AF886,0)&lt;&gt;AE$5),1))+IF(AI886="",0,IFERROR(--(EOMONTH(AI886,0)&lt;&gt;AH$5),1))+IF(AL886="",0,IFERROR(--(EOMONTH(AL886,0)&lt;&gt;AK$5),1))+IF(AO886="",0,IFERROR(--(EOMONTH(AO886,0)&lt;&gt;AN$5),1))+IF(AR886="",0,IFERROR(--(EOMONTH(AR886,0)&lt;&gt;AQ$5),1))+IF(AU886="",0,IFERROR(--(EOMONTH(AU886,0)&lt;&gt;AT$5),1))+IF(AX886="",0,IFERROR(--(EOMONTH(AX886,0)&lt;&gt;AW$5),1))+IF(BA886="",0,IFERROR(--(EOMONTH(BA886,0)&lt;&gt;AZ$5),1)))&gt;0,"; An invoice date is not in the month it is typed under",""),3,500))</f>
        <v/>
      </c>
      <c r="S886" s="12" t="n"/>
      <c r="T886" s="13" t="n"/>
      <c r="U886" s="14" t="n"/>
      <c r="V886" s="12" t="n"/>
      <c r="W886" s="13" t="n"/>
      <c r="X886" s="14" t="n"/>
      <c r="Y886" s="12" t="n"/>
      <c r="Z886" s="13" t="n"/>
      <c r="AA886" s="14" t="n"/>
      <c r="AB886" s="12" t="n"/>
      <c r="AC886" s="13" t="n"/>
      <c r="AD886" s="14" t="n"/>
      <c r="AE886" s="12" t="n"/>
      <c r="AF886" s="13" t="n"/>
      <c r="AG886" s="14" t="n"/>
      <c r="AH886" s="12" t="n"/>
      <c r="AI886" s="13" t="n"/>
      <c r="AJ886" s="14" t="n"/>
      <c r="AK886" s="12" t="n"/>
      <c r="AL886" s="13" t="n"/>
      <c r="AM886" s="14" t="n"/>
      <c r="AN886" s="12" t="n"/>
      <c r="AO886" s="13" t="n"/>
      <c r="AP886" s="14" t="n"/>
      <c r="AQ886" s="12" t="n"/>
      <c r="AR886" s="13" t="n"/>
      <c r="AS886" s="14" t="n"/>
      <c r="AT886" s="12" t="n"/>
      <c r="AU886" s="13" t="n"/>
      <c r="AV886" s="14" t="n"/>
      <c r="AW886" s="12" t="n"/>
      <c r="AX886" s="13" t="n"/>
      <c r="AY886" s="14" t="n"/>
      <c r="AZ886" s="12" t="n"/>
      <c r="BA886" s="13" t="n"/>
      <c r="BB886" s="14" t="n"/>
      <c r="BC886" s="11">
        <f>IF(O886="","",IF(J886="GST 10%",ROUND(O886*set_GSTRate,2),0))</f>
        <v/>
      </c>
      <c r="BD886" s="11">
        <f>IF(O886="","",O886+BC886)</f>
        <v/>
      </c>
      <c r="BE886" s="15">
        <f>IF(O886="","",COUNTA(S886,V886,Y886,AB886,AE886,AH886,AK886,AN886,AQ886,AT886,AW886,AZ886))</f>
        <v/>
      </c>
      <c r="BF886" s="16">
        <f>IF(COUNT(T886,W886,Z886,AC886,AF886,AI886,AL886,AO886,AR886,AU886,AX886,BA886)=0,"",MAX(T886,W886,Z886,AC886,AF886,AI886,AL886,AO886,AR886,AU886,AX886,BA886))</f>
        <v/>
      </c>
      <c r="BG886" s="10">
        <f>MID(IF(S886="","",", "&amp;S886)&amp;IF(V886="","",", "&amp;V886)&amp;IF(Y886="","",", "&amp;Y886)&amp;IF(AB886="","",", "&amp;AB886)&amp;IF(AE886="","",", "&amp;AE886)&amp;IF(AH886="","",", "&amp;AH886)&amp;IF(AK886="","",", "&amp;AK886)&amp;IF(AN886="","",", "&amp;AN886)&amp;IF(AQ886="","",", "&amp;AQ886)&amp;IF(AT886="","",", "&amp;AT886)&amp;IF(AW886="","",", "&amp;AW886)&amp;IF(AZ886="","",", "&amp;AZ886),3,500)</f>
        <v/>
      </c>
      <c r="BH886" s="12" t="n"/>
      <c r="BI886" s="15">
        <f>IFERROR(MATCH($A886,IF($B886="Onsite",tbl_Onsite[Row ID],IF($B886="Production",tbl_Production[Row ID],tbl_Consulting[Row ID])),0),"")</f>
        <v/>
      </c>
    </row>
    <row r="887">
      <c r="A887" s="10" t="inlineStr">
        <is>
          <t>PRD-0381</t>
        </is>
      </c>
      <c r="B887" s="10" t="inlineStr">
        <is>
          <t>Production</t>
        </is>
      </c>
      <c r="C887" s="10">
        <f>IF($BI887="","",IF($B887="Onsite",INDEX(tbl_Onsite[Job Number],$BI887),IF($B887="Production",INDEX(tbl_Production[Job Number],$BI887),INDEX(tbl_Consulting[Job Number],$BI887)))&amp;"")</f>
        <v/>
      </c>
      <c r="D887" s="10">
        <f>IF($BI887="","",IF($B887="Onsite",INDEX(tbl_Onsite[Client],$BI887),IF($B887="Production",INDEX(tbl_Production[Client],$BI887),INDEX(tbl_Consulting[Client],$BI887)))&amp;"")</f>
        <v/>
      </c>
      <c r="E887" s="10">
        <f>IF($C887="","",IF(COUNTIF(lst_Jobs,$C887)&gt;0,"OK","CHECK"))</f>
        <v/>
      </c>
      <c r="F887" s="10">
        <f>IF($C887="","",IFERROR(INDEX(lst_JobName,MATCH($C887,lst_Jobs,0)),""))</f>
        <v/>
      </c>
      <c r="G887" s="10">
        <f>IF($BI887="","",IF($B887="Onsite",INDEX(tbl_Onsite[Job Description],$BI887),IF($B887="Production",INDEX(tbl_Production[Job Description],$BI887),INDEX(tbl_Consulting[Job Description],$BI887)))&amp;"")</f>
        <v/>
      </c>
      <c r="H887" s="10">
        <f>IF($BI887="","",IF($B887="Onsite",INDEX(tbl_Onsite[Cost Centre],$BI887),IF($B887="Production",INDEX(tbl_Production[Cost Centre],$BI887),INDEX(tbl_Consulting[Cost Centre],$BI887)))&amp;"")</f>
        <v/>
      </c>
      <c r="I887" s="10">
        <f>IF($BI887="","",IF($B887="Onsite",INDEX(tbl_Onsite[Invoice Type],$BI887),IF($B887="Production",INDEX(tbl_Production[Invoice Type],$BI887),INDEX(tbl_Consulting[Invoice Type],$BI887)))&amp;"")</f>
        <v/>
      </c>
      <c r="J887" s="10">
        <f>IF($BI887="","",IF($B887="Onsite",INDEX(tbl_Onsite[Tax Code],$BI887),IF($B887="Production",INDEX(tbl_Production[Tax Code],$BI887),INDEX(tbl_Consulting[Tax Code],$BI887)))&amp;"")</f>
        <v/>
      </c>
      <c r="K887" s="10">
        <f>IF(H887="","",IFERROR(INDEX(lst_CCtoGL,MATCH(H887,lst_CCforGL,0)),""))</f>
        <v/>
      </c>
      <c r="L887" s="10">
        <f>IF($BI887="","",IF($B887="Onsite",INDEX(tbl_Onsite[PO / Reference],$BI887),IF($B887="Production",INDEX(tbl_Production[Current RMS No],$BI887),INDEX(tbl_Consulting[Qwilr Quote],$BI887)))&amp;"")</f>
        <v/>
      </c>
      <c r="M887" s="10">
        <f>IF($BI887="","",IF($B887="Onsite",INDEX(tbl_Onsite[Notes],$BI887),IF($B887="Production",INDEX(tbl_Production[Notes],$BI887),INDEX(tbl_Consulting[Notes],$BI887)))&amp;"")</f>
        <v/>
      </c>
      <c r="N887" s="11">
        <f>IF($BI887="","",IF(IF($B887="Onsite",INDEX(tbl_Onsite[Expected Revenue Ex GST],$BI887),IF($B887="Production",INDEX(tbl_Production[Expected Revenue Ex GST],$BI887),INDEX(tbl_Consulting[Expected Revenue Ex GST],$BI887)))="","",IF($B887="Onsite",INDEX(tbl_Onsite[Expected Revenue Ex GST],$BI887),IF($B887="Production",INDEX(tbl_Production[Expected Revenue Ex GST],$BI887),INDEX(tbl_Consulting[Expected Revenue Ex GST],$BI887)))))</f>
        <v/>
      </c>
      <c r="O887" s="11">
        <f>IF(AND($C887="",NOT(COUNTA($S887:$BB887)&gt;0)),"",SUM(U887,X887,AA887,AD887,AG887,AJ887,AM887,AP887,AS887,AV887,AY887,BB887))</f>
        <v/>
      </c>
      <c r="P887" s="11">
        <f>IF(O887="","",N(N887)-O887)</f>
        <v/>
      </c>
      <c r="Q887" s="10">
        <f>IF(O887="","",IF($C887="","Invoice on empty job row",IF(N887="",IF(ROUND(O887,2)=0,"No dept value","Invoiced - no dept value"),IF(ROUND(O887,2)=0,"Not invoiced - to invoice",IF(ROUND(P887,2)=0,"Agrees",IF(P887&gt;0,"Dept higher - to invoice","Xero higher - check dept"))))))</f>
        <v/>
      </c>
      <c r="R887" s="10">
        <f>IF(AND($C887="",NOT(COUNTA($S887:$BB887)&gt;0),$BI887&lt;&gt;""),"",MID(IF($BI887="","; Row ID not found on the department sheet - a row was deleted","")&amp;IF(AND($C887="",COUNTA($S887:$BB887)&gt;0),"; Invoice entered but the department row has no job number","")&amp;IF(E887="CHECK","; Job number not in the Xero job list","")&amp;IF(AND($C887&lt;&gt;"",COUNTIF($C$7:$C$1506,$C887)&gt;1),"; Job number on more than one row","")&amp;IF(AND($C887&lt;&gt;"",H887=""),"; Dept has not set a cost centre","")&amp;IF(AND($C887&lt;&gt;"",J887=""),"; Dept has not set a tax code","")&amp;IF(AND($C887&lt;&gt;"",N887=""),"; Dept has not entered an expected value","")&amp;IF((IF(OR(COUNTA(S887:U887)=0,AND(COUNTA(S887:U887)=3,ISNUMBER(U887))),0,1)+IF(OR(COUNTA(V887:X887)=0,AND(COUNTA(V887:X887)=3,ISNUMBER(X887))),0,1)+IF(OR(COUNTA(Y887:AA887)=0,AND(COUNTA(Y887:AA887)=3,ISNUMBER(AA887))),0,1)+IF(OR(COUNTA(AB887:AD887)=0,AND(COUNTA(AB887:AD887)=3,ISNUMBER(AD887))),0,1)+IF(OR(COUNTA(AE887:AG887)=0,AND(COUNTA(AE887:AG887)=3,ISNUMBER(AG887))),0,1)+IF(OR(COUNTA(AH887:AJ887)=0,AND(COUNTA(AH887:AJ887)=3,ISNUMBER(AJ887))),0,1)+IF(OR(COUNTA(AK887:AM887)=0,AND(COUNTA(AK887:AM887)=3,ISNUMBER(AM887))),0,1)+IF(OR(COUNTA(AN887:AP887)=0,AND(COUNTA(AN887:AP887)=3,ISNUMBER(AP887))),0,1)+IF(OR(COUNTA(AQ887:AS887)=0,AND(COUNTA(AQ887:AS887)=3,ISNUMBER(AS887))),0,1)+IF(OR(COUNTA(AT887:AV887)=0,AND(COUNTA(AT887:AV887)=3,ISNUMBER(AV887))),0,1)+IF(OR(COUNTA(AW887:AY887)=0,AND(COUNTA(AW887:AY887)=3,ISNUMBER(AY887))),0,1)+IF(OR(COUNTA(AZ887:BB887)=0,AND(COUNTA(AZ887:BB887)=3,ISNUMBER(BB887))),0,1))&gt;0,"; An invoice is incomplete (needs No, Date and a number in Ex GST)","")&amp;IF((IF(T887="",0,IFERROR(--(EOMONTH(T887,0)&lt;&gt;S$5),1))+IF(W887="",0,IFERROR(--(EOMONTH(W887,0)&lt;&gt;V$5),1))+IF(Z887="",0,IFERROR(--(EOMONTH(Z887,0)&lt;&gt;Y$5),1))+IF(AC887="",0,IFERROR(--(EOMONTH(AC887,0)&lt;&gt;AB$5),1))+IF(AF887="",0,IFERROR(--(EOMONTH(AF887,0)&lt;&gt;AE$5),1))+IF(AI887="",0,IFERROR(--(EOMONTH(AI887,0)&lt;&gt;AH$5),1))+IF(AL887="",0,IFERROR(--(EOMONTH(AL887,0)&lt;&gt;AK$5),1))+IF(AO887="",0,IFERROR(--(EOMONTH(AO887,0)&lt;&gt;AN$5),1))+IF(AR887="",0,IFERROR(--(EOMONTH(AR887,0)&lt;&gt;AQ$5),1))+IF(AU887="",0,IFERROR(--(EOMONTH(AU887,0)&lt;&gt;AT$5),1))+IF(AX887="",0,IFERROR(--(EOMONTH(AX887,0)&lt;&gt;AW$5),1))+IF(BA887="",0,IFERROR(--(EOMONTH(BA887,0)&lt;&gt;AZ$5),1)))&gt;0,"; An invoice date is not in the month it is typed under",""),3,500))</f>
        <v/>
      </c>
      <c r="S887" s="12" t="n"/>
      <c r="T887" s="13" t="n"/>
      <c r="U887" s="14" t="n"/>
      <c r="V887" s="12" t="n"/>
      <c r="W887" s="13" t="n"/>
      <c r="X887" s="14" t="n"/>
      <c r="Y887" s="12" t="n"/>
      <c r="Z887" s="13" t="n"/>
      <c r="AA887" s="14" t="n"/>
      <c r="AB887" s="12" t="n"/>
      <c r="AC887" s="13" t="n"/>
      <c r="AD887" s="14" t="n"/>
      <c r="AE887" s="12" t="n"/>
      <c r="AF887" s="13" t="n"/>
      <c r="AG887" s="14" t="n"/>
      <c r="AH887" s="12" t="n"/>
      <c r="AI887" s="13" t="n"/>
      <c r="AJ887" s="14" t="n"/>
      <c r="AK887" s="12" t="n"/>
      <c r="AL887" s="13" t="n"/>
      <c r="AM887" s="14" t="n"/>
      <c r="AN887" s="12" t="n"/>
      <c r="AO887" s="13" t="n"/>
      <c r="AP887" s="14" t="n"/>
      <c r="AQ887" s="12" t="n"/>
      <c r="AR887" s="13" t="n"/>
      <c r="AS887" s="14" t="n"/>
      <c r="AT887" s="12" t="n"/>
      <c r="AU887" s="13" t="n"/>
      <c r="AV887" s="14" t="n"/>
      <c r="AW887" s="12" t="n"/>
      <c r="AX887" s="13" t="n"/>
      <c r="AY887" s="14" t="n"/>
      <c r="AZ887" s="12" t="n"/>
      <c r="BA887" s="13" t="n"/>
      <c r="BB887" s="14" t="n"/>
      <c r="BC887" s="11">
        <f>IF(O887="","",IF(J887="GST 10%",ROUND(O887*set_GSTRate,2),0))</f>
        <v/>
      </c>
      <c r="BD887" s="11">
        <f>IF(O887="","",O887+BC887)</f>
        <v/>
      </c>
      <c r="BE887" s="15">
        <f>IF(O887="","",COUNTA(S887,V887,Y887,AB887,AE887,AH887,AK887,AN887,AQ887,AT887,AW887,AZ887))</f>
        <v/>
      </c>
      <c r="BF887" s="16">
        <f>IF(COUNT(T887,W887,Z887,AC887,AF887,AI887,AL887,AO887,AR887,AU887,AX887,BA887)=0,"",MAX(T887,W887,Z887,AC887,AF887,AI887,AL887,AO887,AR887,AU887,AX887,BA887))</f>
        <v/>
      </c>
      <c r="BG887" s="10">
        <f>MID(IF(S887="","",", "&amp;S887)&amp;IF(V887="","",", "&amp;V887)&amp;IF(Y887="","",", "&amp;Y887)&amp;IF(AB887="","",", "&amp;AB887)&amp;IF(AE887="","",", "&amp;AE887)&amp;IF(AH887="","",", "&amp;AH887)&amp;IF(AK887="","",", "&amp;AK887)&amp;IF(AN887="","",", "&amp;AN887)&amp;IF(AQ887="","",", "&amp;AQ887)&amp;IF(AT887="","",", "&amp;AT887)&amp;IF(AW887="","",", "&amp;AW887)&amp;IF(AZ887="","",", "&amp;AZ887),3,500)</f>
        <v/>
      </c>
      <c r="BH887" s="12" t="n"/>
      <c r="BI887" s="15">
        <f>IFERROR(MATCH($A887,IF($B887="Onsite",tbl_Onsite[Row ID],IF($B887="Production",tbl_Production[Row ID],tbl_Consulting[Row ID])),0),"")</f>
        <v/>
      </c>
    </row>
    <row r="888">
      <c r="A888" s="10" t="inlineStr">
        <is>
          <t>PRD-0382</t>
        </is>
      </c>
      <c r="B888" s="10" t="inlineStr">
        <is>
          <t>Production</t>
        </is>
      </c>
      <c r="C888" s="10">
        <f>IF($BI888="","",IF($B888="Onsite",INDEX(tbl_Onsite[Job Number],$BI888),IF($B888="Production",INDEX(tbl_Production[Job Number],$BI888),INDEX(tbl_Consulting[Job Number],$BI888)))&amp;"")</f>
        <v/>
      </c>
      <c r="D888" s="10">
        <f>IF($BI888="","",IF($B888="Onsite",INDEX(tbl_Onsite[Client],$BI888),IF($B888="Production",INDEX(tbl_Production[Client],$BI888),INDEX(tbl_Consulting[Client],$BI888)))&amp;"")</f>
        <v/>
      </c>
      <c r="E888" s="10">
        <f>IF($C888="","",IF(COUNTIF(lst_Jobs,$C888)&gt;0,"OK","CHECK"))</f>
        <v/>
      </c>
      <c r="F888" s="10">
        <f>IF($C888="","",IFERROR(INDEX(lst_JobName,MATCH($C888,lst_Jobs,0)),""))</f>
        <v/>
      </c>
      <c r="G888" s="10">
        <f>IF($BI888="","",IF($B888="Onsite",INDEX(tbl_Onsite[Job Description],$BI888),IF($B888="Production",INDEX(tbl_Production[Job Description],$BI888),INDEX(tbl_Consulting[Job Description],$BI888)))&amp;"")</f>
        <v/>
      </c>
      <c r="H888" s="10">
        <f>IF($BI888="","",IF($B888="Onsite",INDEX(tbl_Onsite[Cost Centre],$BI888),IF($B888="Production",INDEX(tbl_Production[Cost Centre],$BI888),INDEX(tbl_Consulting[Cost Centre],$BI888)))&amp;"")</f>
        <v/>
      </c>
      <c r="I888" s="10">
        <f>IF($BI888="","",IF($B888="Onsite",INDEX(tbl_Onsite[Invoice Type],$BI888),IF($B888="Production",INDEX(tbl_Production[Invoice Type],$BI888),INDEX(tbl_Consulting[Invoice Type],$BI888)))&amp;"")</f>
        <v/>
      </c>
      <c r="J888" s="10">
        <f>IF($BI888="","",IF($B888="Onsite",INDEX(tbl_Onsite[Tax Code],$BI888),IF($B888="Production",INDEX(tbl_Production[Tax Code],$BI888),INDEX(tbl_Consulting[Tax Code],$BI888)))&amp;"")</f>
        <v/>
      </c>
      <c r="K888" s="10">
        <f>IF(H888="","",IFERROR(INDEX(lst_CCtoGL,MATCH(H888,lst_CCforGL,0)),""))</f>
        <v/>
      </c>
      <c r="L888" s="10">
        <f>IF($BI888="","",IF($B888="Onsite",INDEX(tbl_Onsite[PO / Reference],$BI888),IF($B888="Production",INDEX(tbl_Production[Current RMS No],$BI888),INDEX(tbl_Consulting[Qwilr Quote],$BI888)))&amp;"")</f>
        <v/>
      </c>
      <c r="M888" s="10">
        <f>IF($BI888="","",IF($B888="Onsite",INDEX(tbl_Onsite[Notes],$BI888),IF($B888="Production",INDEX(tbl_Production[Notes],$BI888),INDEX(tbl_Consulting[Notes],$BI888)))&amp;"")</f>
        <v/>
      </c>
      <c r="N888" s="11">
        <f>IF($BI888="","",IF(IF($B888="Onsite",INDEX(tbl_Onsite[Expected Revenue Ex GST],$BI888),IF($B888="Production",INDEX(tbl_Production[Expected Revenue Ex GST],$BI888),INDEX(tbl_Consulting[Expected Revenue Ex GST],$BI888)))="","",IF($B888="Onsite",INDEX(tbl_Onsite[Expected Revenue Ex GST],$BI888),IF($B888="Production",INDEX(tbl_Production[Expected Revenue Ex GST],$BI888),INDEX(tbl_Consulting[Expected Revenue Ex GST],$BI888)))))</f>
        <v/>
      </c>
      <c r="O888" s="11">
        <f>IF(AND($C888="",NOT(COUNTA($S888:$BB888)&gt;0)),"",SUM(U888,X888,AA888,AD888,AG888,AJ888,AM888,AP888,AS888,AV888,AY888,BB888))</f>
        <v/>
      </c>
      <c r="P888" s="11">
        <f>IF(O888="","",N(N888)-O888)</f>
        <v/>
      </c>
      <c r="Q888" s="10">
        <f>IF(O888="","",IF($C888="","Invoice on empty job row",IF(N888="",IF(ROUND(O888,2)=0,"No dept value","Invoiced - no dept value"),IF(ROUND(O888,2)=0,"Not invoiced - to invoice",IF(ROUND(P888,2)=0,"Agrees",IF(P888&gt;0,"Dept higher - to invoice","Xero higher - check dept"))))))</f>
        <v/>
      </c>
      <c r="R888" s="10">
        <f>IF(AND($C888="",NOT(COUNTA($S888:$BB888)&gt;0),$BI888&lt;&gt;""),"",MID(IF($BI888="","; Row ID not found on the department sheet - a row was deleted","")&amp;IF(AND($C888="",COUNTA($S888:$BB888)&gt;0),"; Invoice entered but the department row has no job number","")&amp;IF(E888="CHECK","; Job number not in the Xero job list","")&amp;IF(AND($C888&lt;&gt;"",COUNTIF($C$7:$C$1506,$C888)&gt;1),"; Job number on more than one row","")&amp;IF(AND($C888&lt;&gt;"",H888=""),"; Dept has not set a cost centre","")&amp;IF(AND($C888&lt;&gt;"",J888=""),"; Dept has not set a tax code","")&amp;IF(AND($C888&lt;&gt;"",N888=""),"; Dept has not entered an expected value","")&amp;IF((IF(OR(COUNTA(S888:U888)=0,AND(COUNTA(S888:U888)=3,ISNUMBER(U888))),0,1)+IF(OR(COUNTA(V888:X888)=0,AND(COUNTA(V888:X888)=3,ISNUMBER(X888))),0,1)+IF(OR(COUNTA(Y888:AA888)=0,AND(COUNTA(Y888:AA888)=3,ISNUMBER(AA888))),0,1)+IF(OR(COUNTA(AB888:AD888)=0,AND(COUNTA(AB888:AD888)=3,ISNUMBER(AD888))),0,1)+IF(OR(COUNTA(AE888:AG888)=0,AND(COUNTA(AE888:AG888)=3,ISNUMBER(AG888))),0,1)+IF(OR(COUNTA(AH888:AJ888)=0,AND(COUNTA(AH888:AJ888)=3,ISNUMBER(AJ888))),0,1)+IF(OR(COUNTA(AK888:AM888)=0,AND(COUNTA(AK888:AM888)=3,ISNUMBER(AM888))),0,1)+IF(OR(COUNTA(AN888:AP888)=0,AND(COUNTA(AN888:AP888)=3,ISNUMBER(AP888))),0,1)+IF(OR(COUNTA(AQ888:AS888)=0,AND(COUNTA(AQ888:AS888)=3,ISNUMBER(AS888))),0,1)+IF(OR(COUNTA(AT888:AV888)=0,AND(COUNTA(AT888:AV888)=3,ISNUMBER(AV888))),0,1)+IF(OR(COUNTA(AW888:AY888)=0,AND(COUNTA(AW888:AY888)=3,ISNUMBER(AY888))),0,1)+IF(OR(COUNTA(AZ888:BB888)=0,AND(COUNTA(AZ888:BB888)=3,ISNUMBER(BB888))),0,1))&gt;0,"; An invoice is incomplete (needs No, Date and a number in Ex GST)","")&amp;IF((IF(T888="",0,IFERROR(--(EOMONTH(T888,0)&lt;&gt;S$5),1))+IF(W888="",0,IFERROR(--(EOMONTH(W888,0)&lt;&gt;V$5),1))+IF(Z888="",0,IFERROR(--(EOMONTH(Z888,0)&lt;&gt;Y$5),1))+IF(AC888="",0,IFERROR(--(EOMONTH(AC888,0)&lt;&gt;AB$5),1))+IF(AF888="",0,IFERROR(--(EOMONTH(AF888,0)&lt;&gt;AE$5),1))+IF(AI888="",0,IFERROR(--(EOMONTH(AI888,0)&lt;&gt;AH$5),1))+IF(AL888="",0,IFERROR(--(EOMONTH(AL888,0)&lt;&gt;AK$5),1))+IF(AO888="",0,IFERROR(--(EOMONTH(AO888,0)&lt;&gt;AN$5),1))+IF(AR888="",0,IFERROR(--(EOMONTH(AR888,0)&lt;&gt;AQ$5),1))+IF(AU888="",0,IFERROR(--(EOMONTH(AU888,0)&lt;&gt;AT$5),1))+IF(AX888="",0,IFERROR(--(EOMONTH(AX888,0)&lt;&gt;AW$5),1))+IF(BA888="",0,IFERROR(--(EOMONTH(BA888,0)&lt;&gt;AZ$5),1)))&gt;0,"; An invoice date is not in the month it is typed under",""),3,500))</f>
        <v/>
      </c>
      <c r="S888" s="12" t="n"/>
      <c r="T888" s="13" t="n"/>
      <c r="U888" s="14" t="n"/>
      <c r="V888" s="12" t="n"/>
      <c r="W888" s="13" t="n"/>
      <c r="X888" s="14" t="n"/>
      <c r="Y888" s="12" t="n"/>
      <c r="Z888" s="13" t="n"/>
      <c r="AA888" s="14" t="n"/>
      <c r="AB888" s="12" t="n"/>
      <c r="AC888" s="13" t="n"/>
      <c r="AD888" s="14" t="n"/>
      <c r="AE888" s="12" t="n"/>
      <c r="AF888" s="13" t="n"/>
      <c r="AG888" s="14" t="n"/>
      <c r="AH888" s="12" t="n"/>
      <c r="AI888" s="13" t="n"/>
      <c r="AJ888" s="14" t="n"/>
      <c r="AK888" s="12" t="n"/>
      <c r="AL888" s="13" t="n"/>
      <c r="AM888" s="14" t="n"/>
      <c r="AN888" s="12" t="n"/>
      <c r="AO888" s="13" t="n"/>
      <c r="AP888" s="14" t="n"/>
      <c r="AQ888" s="12" t="n"/>
      <c r="AR888" s="13" t="n"/>
      <c r="AS888" s="14" t="n"/>
      <c r="AT888" s="12" t="n"/>
      <c r="AU888" s="13" t="n"/>
      <c r="AV888" s="14" t="n"/>
      <c r="AW888" s="12" t="n"/>
      <c r="AX888" s="13" t="n"/>
      <c r="AY888" s="14" t="n"/>
      <c r="AZ888" s="12" t="n"/>
      <c r="BA888" s="13" t="n"/>
      <c r="BB888" s="14" t="n"/>
      <c r="BC888" s="11">
        <f>IF(O888="","",IF(J888="GST 10%",ROUND(O888*set_GSTRate,2),0))</f>
        <v/>
      </c>
      <c r="BD888" s="11">
        <f>IF(O888="","",O888+BC888)</f>
        <v/>
      </c>
      <c r="BE888" s="15">
        <f>IF(O888="","",COUNTA(S888,V888,Y888,AB888,AE888,AH888,AK888,AN888,AQ888,AT888,AW888,AZ888))</f>
        <v/>
      </c>
      <c r="BF888" s="16">
        <f>IF(COUNT(T888,W888,Z888,AC888,AF888,AI888,AL888,AO888,AR888,AU888,AX888,BA888)=0,"",MAX(T888,W888,Z888,AC888,AF888,AI888,AL888,AO888,AR888,AU888,AX888,BA888))</f>
        <v/>
      </c>
      <c r="BG888" s="10">
        <f>MID(IF(S888="","",", "&amp;S888)&amp;IF(V888="","",", "&amp;V888)&amp;IF(Y888="","",", "&amp;Y888)&amp;IF(AB888="","",", "&amp;AB888)&amp;IF(AE888="","",", "&amp;AE888)&amp;IF(AH888="","",", "&amp;AH888)&amp;IF(AK888="","",", "&amp;AK888)&amp;IF(AN888="","",", "&amp;AN888)&amp;IF(AQ888="","",", "&amp;AQ888)&amp;IF(AT888="","",", "&amp;AT888)&amp;IF(AW888="","",", "&amp;AW888)&amp;IF(AZ888="","",", "&amp;AZ888),3,500)</f>
        <v/>
      </c>
      <c r="BH888" s="12" t="n"/>
      <c r="BI888" s="15">
        <f>IFERROR(MATCH($A888,IF($B888="Onsite",tbl_Onsite[Row ID],IF($B888="Production",tbl_Production[Row ID],tbl_Consulting[Row ID])),0),"")</f>
        <v/>
      </c>
    </row>
    <row r="889">
      <c r="A889" s="10" t="inlineStr">
        <is>
          <t>PRD-0383</t>
        </is>
      </c>
      <c r="B889" s="10" t="inlineStr">
        <is>
          <t>Production</t>
        </is>
      </c>
      <c r="C889" s="10">
        <f>IF($BI889="","",IF($B889="Onsite",INDEX(tbl_Onsite[Job Number],$BI889),IF($B889="Production",INDEX(tbl_Production[Job Number],$BI889),INDEX(tbl_Consulting[Job Number],$BI889)))&amp;"")</f>
        <v/>
      </c>
      <c r="D889" s="10">
        <f>IF($BI889="","",IF($B889="Onsite",INDEX(tbl_Onsite[Client],$BI889),IF($B889="Production",INDEX(tbl_Production[Client],$BI889),INDEX(tbl_Consulting[Client],$BI889)))&amp;"")</f>
        <v/>
      </c>
      <c r="E889" s="10">
        <f>IF($C889="","",IF(COUNTIF(lst_Jobs,$C889)&gt;0,"OK","CHECK"))</f>
        <v/>
      </c>
      <c r="F889" s="10">
        <f>IF($C889="","",IFERROR(INDEX(lst_JobName,MATCH($C889,lst_Jobs,0)),""))</f>
        <v/>
      </c>
      <c r="G889" s="10">
        <f>IF($BI889="","",IF($B889="Onsite",INDEX(tbl_Onsite[Job Description],$BI889),IF($B889="Production",INDEX(tbl_Production[Job Description],$BI889),INDEX(tbl_Consulting[Job Description],$BI889)))&amp;"")</f>
        <v/>
      </c>
      <c r="H889" s="10">
        <f>IF($BI889="","",IF($B889="Onsite",INDEX(tbl_Onsite[Cost Centre],$BI889),IF($B889="Production",INDEX(tbl_Production[Cost Centre],$BI889),INDEX(tbl_Consulting[Cost Centre],$BI889)))&amp;"")</f>
        <v/>
      </c>
      <c r="I889" s="10">
        <f>IF($BI889="","",IF($B889="Onsite",INDEX(tbl_Onsite[Invoice Type],$BI889),IF($B889="Production",INDEX(tbl_Production[Invoice Type],$BI889),INDEX(tbl_Consulting[Invoice Type],$BI889)))&amp;"")</f>
        <v/>
      </c>
      <c r="J889" s="10">
        <f>IF($BI889="","",IF($B889="Onsite",INDEX(tbl_Onsite[Tax Code],$BI889),IF($B889="Production",INDEX(tbl_Production[Tax Code],$BI889),INDEX(tbl_Consulting[Tax Code],$BI889)))&amp;"")</f>
        <v/>
      </c>
      <c r="K889" s="10">
        <f>IF(H889="","",IFERROR(INDEX(lst_CCtoGL,MATCH(H889,lst_CCforGL,0)),""))</f>
        <v/>
      </c>
      <c r="L889" s="10">
        <f>IF($BI889="","",IF($B889="Onsite",INDEX(tbl_Onsite[PO / Reference],$BI889),IF($B889="Production",INDEX(tbl_Production[Current RMS No],$BI889),INDEX(tbl_Consulting[Qwilr Quote],$BI889)))&amp;"")</f>
        <v/>
      </c>
      <c r="M889" s="10">
        <f>IF($BI889="","",IF($B889="Onsite",INDEX(tbl_Onsite[Notes],$BI889),IF($B889="Production",INDEX(tbl_Production[Notes],$BI889),INDEX(tbl_Consulting[Notes],$BI889)))&amp;"")</f>
        <v/>
      </c>
      <c r="N889" s="11">
        <f>IF($BI889="","",IF(IF($B889="Onsite",INDEX(tbl_Onsite[Expected Revenue Ex GST],$BI889),IF($B889="Production",INDEX(tbl_Production[Expected Revenue Ex GST],$BI889),INDEX(tbl_Consulting[Expected Revenue Ex GST],$BI889)))="","",IF($B889="Onsite",INDEX(tbl_Onsite[Expected Revenue Ex GST],$BI889),IF($B889="Production",INDEX(tbl_Production[Expected Revenue Ex GST],$BI889),INDEX(tbl_Consulting[Expected Revenue Ex GST],$BI889)))))</f>
        <v/>
      </c>
      <c r="O889" s="11">
        <f>IF(AND($C889="",NOT(COUNTA($S889:$BB889)&gt;0)),"",SUM(U889,X889,AA889,AD889,AG889,AJ889,AM889,AP889,AS889,AV889,AY889,BB889))</f>
        <v/>
      </c>
      <c r="P889" s="11">
        <f>IF(O889="","",N(N889)-O889)</f>
        <v/>
      </c>
      <c r="Q889" s="10">
        <f>IF(O889="","",IF($C889="","Invoice on empty job row",IF(N889="",IF(ROUND(O889,2)=0,"No dept value","Invoiced - no dept value"),IF(ROUND(O889,2)=0,"Not invoiced - to invoice",IF(ROUND(P889,2)=0,"Agrees",IF(P889&gt;0,"Dept higher - to invoice","Xero higher - check dept"))))))</f>
        <v/>
      </c>
      <c r="R889" s="10">
        <f>IF(AND($C889="",NOT(COUNTA($S889:$BB889)&gt;0),$BI889&lt;&gt;""),"",MID(IF($BI889="","; Row ID not found on the department sheet - a row was deleted","")&amp;IF(AND($C889="",COUNTA($S889:$BB889)&gt;0),"; Invoice entered but the department row has no job number","")&amp;IF(E889="CHECK","; Job number not in the Xero job list","")&amp;IF(AND($C889&lt;&gt;"",COUNTIF($C$7:$C$1506,$C889)&gt;1),"; Job number on more than one row","")&amp;IF(AND($C889&lt;&gt;"",H889=""),"; Dept has not set a cost centre","")&amp;IF(AND($C889&lt;&gt;"",J889=""),"; Dept has not set a tax code","")&amp;IF(AND($C889&lt;&gt;"",N889=""),"; Dept has not entered an expected value","")&amp;IF((IF(OR(COUNTA(S889:U889)=0,AND(COUNTA(S889:U889)=3,ISNUMBER(U889))),0,1)+IF(OR(COUNTA(V889:X889)=0,AND(COUNTA(V889:X889)=3,ISNUMBER(X889))),0,1)+IF(OR(COUNTA(Y889:AA889)=0,AND(COUNTA(Y889:AA889)=3,ISNUMBER(AA889))),0,1)+IF(OR(COUNTA(AB889:AD889)=0,AND(COUNTA(AB889:AD889)=3,ISNUMBER(AD889))),0,1)+IF(OR(COUNTA(AE889:AG889)=0,AND(COUNTA(AE889:AG889)=3,ISNUMBER(AG889))),0,1)+IF(OR(COUNTA(AH889:AJ889)=0,AND(COUNTA(AH889:AJ889)=3,ISNUMBER(AJ889))),0,1)+IF(OR(COUNTA(AK889:AM889)=0,AND(COUNTA(AK889:AM889)=3,ISNUMBER(AM889))),0,1)+IF(OR(COUNTA(AN889:AP889)=0,AND(COUNTA(AN889:AP889)=3,ISNUMBER(AP889))),0,1)+IF(OR(COUNTA(AQ889:AS889)=0,AND(COUNTA(AQ889:AS889)=3,ISNUMBER(AS889))),0,1)+IF(OR(COUNTA(AT889:AV889)=0,AND(COUNTA(AT889:AV889)=3,ISNUMBER(AV889))),0,1)+IF(OR(COUNTA(AW889:AY889)=0,AND(COUNTA(AW889:AY889)=3,ISNUMBER(AY889))),0,1)+IF(OR(COUNTA(AZ889:BB889)=0,AND(COUNTA(AZ889:BB889)=3,ISNUMBER(BB889))),0,1))&gt;0,"; An invoice is incomplete (needs No, Date and a number in Ex GST)","")&amp;IF((IF(T889="",0,IFERROR(--(EOMONTH(T889,0)&lt;&gt;S$5),1))+IF(W889="",0,IFERROR(--(EOMONTH(W889,0)&lt;&gt;V$5),1))+IF(Z889="",0,IFERROR(--(EOMONTH(Z889,0)&lt;&gt;Y$5),1))+IF(AC889="",0,IFERROR(--(EOMONTH(AC889,0)&lt;&gt;AB$5),1))+IF(AF889="",0,IFERROR(--(EOMONTH(AF889,0)&lt;&gt;AE$5),1))+IF(AI889="",0,IFERROR(--(EOMONTH(AI889,0)&lt;&gt;AH$5),1))+IF(AL889="",0,IFERROR(--(EOMONTH(AL889,0)&lt;&gt;AK$5),1))+IF(AO889="",0,IFERROR(--(EOMONTH(AO889,0)&lt;&gt;AN$5),1))+IF(AR889="",0,IFERROR(--(EOMONTH(AR889,0)&lt;&gt;AQ$5),1))+IF(AU889="",0,IFERROR(--(EOMONTH(AU889,0)&lt;&gt;AT$5),1))+IF(AX889="",0,IFERROR(--(EOMONTH(AX889,0)&lt;&gt;AW$5),1))+IF(BA889="",0,IFERROR(--(EOMONTH(BA889,0)&lt;&gt;AZ$5),1)))&gt;0,"; An invoice date is not in the month it is typed under",""),3,500))</f>
        <v/>
      </c>
      <c r="S889" s="12" t="n"/>
      <c r="T889" s="13" t="n"/>
      <c r="U889" s="14" t="n"/>
      <c r="V889" s="12" t="n"/>
      <c r="W889" s="13" t="n"/>
      <c r="X889" s="14" t="n"/>
      <c r="Y889" s="12" t="n"/>
      <c r="Z889" s="13" t="n"/>
      <c r="AA889" s="14" t="n"/>
      <c r="AB889" s="12" t="n"/>
      <c r="AC889" s="13" t="n"/>
      <c r="AD889" s="14" t="n"/>
      <c r="AE889" s="12" t="n"/>
      <c r="AF889" s="13" t="n"/>
      <c r="AG889" s="14" t="n"/>
      <c r="AH889" s="12" t="n"/>
      <c r="AI889" s="13" t="n"/>
      <c r="AJ889" s="14" t="n"/>
      <c r="AK889" s="12" t="n"/>
      <c r="AL889" s="13" t="n"/>
      <c r="AM889" s="14" t="n"/>
      <c r="AN889" s="12" t="n"/>
      <c r="AO889" s="13" t="n"/>
      <c r="AP889" s="14" t="n"/>
      <c r="AQ889" s="12" t="n"/>
      <c r="AR889" s="13" t="n"/>
      <c r="AS889" s="14" t="n"/>
      <c r="AT889" s="12" t="n"/>
      <c r="AU889" s="13" t="n"/>
      <c r="AV889" s="14" t="n"/>
      <c r="AW889" s="12" t="n"/>
      <c r="AX889" s="13" t="n"/>
      <c r="AY889" s="14" t="n"/>
      <c r="AZ889" s="12" t="n"/>
      <c r="BA889" s="13" t="n"/>
      <c r="BB889" s="14" t="n"/>
      <c r="BC889" s="11">
        <f>IF(O889="","",IF(J889="GST 10%",ROUND(O889*set_GSTRate,2),0))</f>
        <v/>
      </c>
      <c r="BD889" s="11">
        <f>IF(O889="","",O889+BC889)</f>
        <v/>
      </c>
      <c r="BE889" s="15">
        <f>IF(O889="","",COUNTA(S889,V889,Y889,AB889,AE889,AH889,AK889,AN889,AQ889,AT889,AW889,AZ889))</f>
        <v/>
      </c>
      <c r="BF889" s="16">
        <f>IF(COUNT(T889,W889,Z889,AC889,AF889,AI889,AL889,AO889,AR889,AU889,AX889,BA889)=0,"",MAX(T889,W889,Z889,AC889,AF889,AI889,AL889,AO889,AR889,AU889,AX889,BA889))</f>
        <v/>
      </c>
      <c r="BG889" s="10">
        <f>MID(IF(S889="","",", "&amp;S889)&amp;IF(V889="","",", "&amp;V889)&amp;IF(Y889="","",", "&amp;Y889)&amp;IF(AB889="","",", "&amp;AB889)&amp;IF(AE889="","",", "&amp;AE889)&amp;IF(AH889="","",", "&amp;AH889)&amp;IF(AK889="","",", "&amp;AK889)&amp;IF(AN889="","",", "&amp;AN889)&amp;IF(AQ889="","",", "&amp;AQ889)&amp;IF(AT889="","",", "&amp;AT889)&amp;IF(AW889="","",", "&amp;AW889)&amp;IF(AZ889="","",", "&amp;AZ889),3,500)</f>
        <v/>
      </c>
      <c r="BH889" s="12" t="n"/>
      <c r="BI889" s="15">
        <f>IFERROR(MATCH($A889,IF($B889="Onsite",tbl_Onsite[Row ID],IF($B889="Production",tbl_Production[Row ID],tbl_Consulting[Row ID])),0),"")</f>
        <v/>
      </c>
    </row>
    <row r="890">
      <c r="A890" s="10" t="inlineStr">
        <is>
          <t>PRD-0384</t>
        </is>
      </c>
      <c r="B890" s="10" t="inlineStr">
        <is>
          <t>Production</t>
        </is>
      </c>
      <c r="C890" s="10">
        <f>IF($BI890="","",IF($B890="Onsite",INDEX(tbl_Onsite[Job Number],$BI890),IF($B890="Production",INDEX(tbl_Production[Job Number],$BI890),INDEX(tbl_Consulting[Job Number],$BI890)))&amp;"")</f>
        <v/>
      </c>
      <c r="D890" s="10">
        <f>IF($BI890="","",IF($B890="Onsite",INDEX(tbl_Onsite[Client],$BI890),IF($B890="Production",INDEX(tbl_Production[Client],$BI890),INDEX(tbl_Consulting[Client],$BI890)))&amp;"")</f>
        <v/>
      </c>
      <c r="E890" s="10">
        <f>IF($C890="","",IF(COUNTIF(lst_Jobs,$C890)&gt;0,"OK","CHECK"))</f>
        <v/>
      </c>
      <c r="F890" s="10">
        <f>IF($C890="","",IFERROR(INDEX(lst_JobName,MATCH($C890,lst_Jobs,0)),""))</f>
        <v/>
      </c>
      <c r="G890" s="10">
        <f>IF($BI890="","",IF($B890="Onsite",INDEX(tbl_Onsite[Job Description],$BI890),IF($B890="Production",INDEX(tbl_Production[Job Description],$BI890),INDEX(tbl_Consulting[Job Description],$BI890)))&amp;"")</f>
        <v/>
      </c>
      <c r="H890" s="10">
        <f>IF($BI890="","",IF($B890="Onsite",INDEX(tbl_Onsite[Cost Centre],$BI890),IF($B890="Production",INDEX(tbl_Production[Cost Centre],$BI890),INDEX(tbl_Consulting[Cost Centre],$BI890)))&amp;"")</f>
        <v/>
      </c>
      <c r="I890" s="10">
        <f>IF($BI890="","",IF($B890="Onsite",INDEX(tbl_Onsite[Invoice Type],$BI890),IF($B890="Production",INDEX(tbl_Production[Invoice Type],$BI890),INDEX(tbl_Consulting[Invoice Type],$BI890)))&amp;"")</f>
        <v/>
      </c>
      <c r="J890" s="10">
        <f>IF($BI890="","",IF($B890="Onsite",INDEX(tbl_Onsite[Tax Code],$BI890),IF($B890="Production",INDEX(tbl_Production[Tax Code],$BI890),INDEX(tbl_Consulting[Tax Code],$BI890)))&amp;"")</f>
        <v/>
      </c>
      <c r="K890" s="10">
        <f>IF(H890="","",IFERROR(INDEX(lst_CCtoGL,MATCH(H890,lst_CCforGL,0)),""))</f>
        <v/>
      </c>
      <c r="L890" s="10">
        <f>IF($BI890="","",IF($B890="Onsite",INDEX(tbl_Onsite[PO / Reference],$BI890),IF($B890="Production",INDEX(tbl_Production[Current RMS No],$BI890),INDEX(tbl_Consulting[Qwilr Quote],$BI890)))&amp;"")</f>
        <v/>
      </c>
      <c r="M890" s="10">
        <f>IF($BI890="","",IF($B890="Onsite",INDEX(tbl_Onsite[Notes],$BI890),IF($B890="Production",INDEX(tbl_Production[Notes],$BI890),INDEX(tbl_Consulting[Notes],$BI890)))&amp;"")</f>
        <v/>
      </c>
      <c r="N890" s="11">
        <f>IF($BI890="","",IF(IF($B890="Onsite",INDEX(tbl_Onsite[Expected Revenue Ex GST],$BI890),IF($B890="Production",INDEX(tbl_Production[Expected Revenue Ex GST],$BI890),INDEX(tbl_Consulting[Expected Revenue Ex GST],$BI890)))="","",IF($B890="Onsite",INDEX(tbl_Onsite[Expected Revenue Ex GST],$BI890),IF($B890="Production",INDEX(tbl_Production[Expected Revenue Ex GST],$BI890),INDEX(tbl_Consulting[Expected Revenue Ex GST],$BI890)))))</f>
        <v/>
      </c>
      <c r="O890" s="11">
        <f>IF(AND($C890="",NOT(COUNTA($S890:$BB890)&gt;0)),"",SUM(U890,X890,AA890,AD890,AG890,AJ890,AM890,AP890,AS890,AV890,AY890,BB890))</f>
        <v/>
      </c>
      <c r="P890" s="11">
        <f>IF(O890="","",N(N890)-O890)</f>
        <v/>
      </c>
      <c r="Q890" s="10">
        <f>IF(O890="","",IF($C890="","Invoice on empty job row",IF(N890="",IF(ROUND(O890,2)=0,"No dept value","Invoiced - no dept value"),IF(ROUND(O890,2)=0,"Not invoiced - to invoice",IF(ROUND(P890,2)=0,"Agrees",IF(P890&gt;0,"Dept higher - to invoice","Xero higher - check dept"))))))</f>
        <v/>
      </c>
      <c r="R890" s="10">
        <f>IF(AND($C890="",NOT(COUNTA($S890:$BB890)&gt;0),$BI890&lt;&gt;""),"",MID(IF($BI890="","; Row ID not found on the department sheet - a row was deleted","")&amp;IF(AND($C890="",COUNTA($S890:$BB890)&gt;0),"; Invoice entered but the department row has no job number","")&amp;IF(E890="CHECK","; Job number not in the Xero job list","")&amp;IF(AND($C890&lt;&gt;"",COUNTIF($C$7:$C$1506,$C890)&gt;1),"; Job number on more than one row","")&amp;IF(AND($C890&lt;&gt;"",H890=""),"; Dept has not set a cost centre","")&amp;IF(AND($C890&lt;&gt;"",J890=""),"; Dept has not set a tax code","")&amp;IF(AND($C890&lt;&gt;"",N890=""),"; Dept has not entered an expected value","")&amp;IF((IF(OR(COUNTA(S890:U890)=0,AND(COUNTA(S890:U890)=3,ISNUMBER(U890))),0,1)+IF(OR(COUNTA(V890:X890)=0,AND(COUNTA(V890:X890)=3,ISNUMBER(X890))),0,1)+IF(OR(COUNTA(Y890:AA890)=0,AND(COUNTA(Y890:AA890)=3,ISNUMBER(AA890))),0,1)+IF(OR(COUNTA(AB890:AD890)=0,AND(COUNTA(AB890:AD890)=3,ISNUMBER(AD890))),0,1)+IF(OR(COUNTA(AE890:AG890)=0,AND(COUNTA(AE890:AG890)=3,ISNUMBER(AG890))),0,1)+IF(OR(COUNTA(AH890:AJ890)=0,AND(COUNTA(AH890:AJ890)=3,ISNUMBER(AJ890))),0,1)+IF(OR(COUNTA(AK890:AM890)=0,AND(COUNTA(AK890:AM890)=3,ISNUMBER(AM890))),0,1)+IF(OR(COUNTA(AN890:AP890)=0,AND(COUNTA(AN890:AP890)=3,ISNUMBER(AP890))),0,1)+IF(OR(COUNTA(AQ890:AS890)=0,AND(COUNTA(AQ890:AS890)=3,ISNUMBER(AS890))),0,1)+IF(OR(COUNTA(AT890:AV890)=0,AND(COUNTA(AT890:AV890)=3,ISNUMBER(AV890))),0,1)+IF(OR(COUNTA(AW890:AY890)=0,AND(COUNTA(AW890:AY890)=3,ISNUMBER(AY890))),0,1)+IF(OR(COUNTA(AZ890:BB890)=0,AND(COUNTA(AZ890:BB890)=3,ISNUMBER(BB890))),0,1))&gt;0,"; An invoice is incomplete (needs No, Date and a number in Ex GST)","")&amp;IF((IF(T890="",0,IFERROR(--(EOMONTH(T890,0)&lt;&gt;S$5),1))+IF(W890="",0,IFERROR(--(EOMONTH(W890,0)&lt;&gt;V$5),1))+IF(Z890="",0,IFERROR(--(EOMONTH(Z890,0)&lt;&gt;Y$5),1))+IF(AC890="",0,IFERROR(--(EOMONTH(AC890,0)&lt;&gt;AB$5),1))+IF(AF890="",0,IFERROR(--(EOMONTH(AF890,0)&lt;&gt;AE$5),1))+IF(AI890="",0,IFERROR(--(EOMONTH(AI890,0)&lt;&gt;AH$5),1))+IF(AL890="",0,IFERROR(--(EOMONTH(AL890,0)&lt;&gt;AK$5),1))+IF(AO890="",0,IFERROR(--(EOMONTH(AO890,0)&lt;&gt;AN$5),1))+IF(AR890="",0,IFERROR(--(EOMONTH(AR890,0)&lt;&gt;AQ$5),1))+IF(AU890="",0,IFERROR(--(EOMONTH(AU890,0)&lt;&gt;AT$5),1))+IF(AX890="",0,IFERROR(--(EOMONTH(AX890,0)&lt;&gt;AW$5),1))+IF(BA890="",0,IFERROR(--(EOMONTH(BA890,0)&lt;&gt;AZ$5),1)))&gt;0,"; An invoice date is not in the month it is typed under",""),3,500))</f>
        <v/>
      </c>
      <c r="S890" s="12" t="n"/>
      <c r="T890" s="13" t="n"/>
      <c r="U890" s="14" t="n"/>
      <c r="V890" s="12" t="n"/>
      <c r="W890" s="13" t="n"/>
      <c r="X890" s="14" t="n"/>
      <c r="Y890" s="12" t="n"/>
      <c r="Z890" s="13" t="n"/>
      <c r="AA890" s="14" t="n"/>
      <c r="AB890" s="12" t="n"/>
      <c r="AC890" s="13" t="n"/>
      <c r="AD890" s="14" t="n"/>
      <c r="AE890" s="12" t="n"/>
      <c r="AF890" s="13" t="n"/>
      <c r="AG890" s="14" t="n"/>
      <c r="AH890" s="12" t="n"/>
      <c r="AI890" s="13" t="n"/>
      <c r="AJ890" s="14" t="n"/>
      <c r="AK890" s="12" t="n"/>
      <c r="AL890" s="13" t="n"/>
      <c r="AM890" s="14" t="n"/>
      <c r="AN890" s="12" t="n"/>
      <c r="AO890" s="13" t="n"/>
      <c r="AP890" s="14" t="n"/>
      <c r="AQ890" s="12" t="n"/>
      <c r="AR890" s="13" t="n"/>
      <c r="AS890" s="14" t="n"/>
      <c r="AT890" s="12" t="n"/>
      <c r="AU890" s="13" t="n"/>
      <c r="AV890" s="14" t="n"/>
      <c r="AW890" s="12" t="n"/>
      <c r="AX890" s="13" t="n"/>
      <c r="AY890" s="14" t="n"/>
      <c r="AZ890" s="12" t="n"/>
      <c r="BA890" s="13" t="n"/>
      <c r="BB890" s="14" t="n"/>
      <c r="BC890" s="11">
        <f>IF(O890="","",IF(J890="GST 10%",ROUND(O890*set_GSTRate,2),0))</f>
        <v/>
      </c>
      <c r="BD890" s="11">
        <f>IF(O890="","",O890+BC890)</f>
        <v/>
      </c>
      <c r="BE890" s="15">
        <f>IF(O890="","",COUNTA(S890,V890,Y890,AB890,AE890,AH890,AK890,AN890,AQ890,AT890,AW890,AZ890))</f>
        <v/>
      </c>
      <c r="BF890" s="16">
        <f>IF(COUNT(T890,W890,Z890,AC890,AF890,AI890,AL890,AO890,AR890,AU890,AX890,BA890)=0,"",MAX(T890,W890,Z890,AC890,AF890,AI890,AL890,AO890,AR890,AU890,AX890,BA890))</f>
        <v/>
      </c>
      <c r="BG890" s="10">
        <f>MID(IF(S890="","",", "&amp;S890)&amp;IF(V890="","",", "&amp;V890)&amp;IF(Y890="","",", "&amp;Y890)&amp;IF(AB890="","",", "&amp;AB890)&amp;IF(AE890="","",", "&amp;AE890)&amp;IF(AH890="","",", "&amp;AH890)&amp;IF(AK890="","",", "&amp;AK890)&amp;IF(AN890="","",", "&amp;AN890)&amp;IF(AQ890="","",", "&amp;AQ890)&amp;IF(AT890="","",", "&amp;AT890)&amp;IF(AW890="","",", "&amp;AW890)&amp;IF(AZ890="","",", "&amp;AZ890),3,500)</f>
        <v/>
      </c>
      <c r="BH890" s="12" t="n"/>
      <c r="BI890" s="15">
        <f>IFERROR(MATCH($A890,IF($B890="Onsite",tbl_Onsite[Row ID],IF($B890="Production",tbl_Production[Row ID],tbl_Consulting[Row ID])),0),"")</f>
        <v/>
      </c>
    </row>
    <row r="891">
      <c r="A891" s="10" t="inlineStr">
        <is>
          <t>PRD-0385</t>
        </is>
      </c>
      <c r="B891" s="10" t="inlineStr">
        <is>
          <t>Production</t>
        </is>
      </c>
      <c r="C891" s="10">
        <f>IF($BI891="","",IF($B891="Onsite",INDEX(tbl_Onsite[Job Number],$BI891),IF($B891="Production",INDEX(tbl_Production[Job Number],$BI891),INDEX(tbl_Consulting[Job Number],$BI891)))&amp;"")</f>
        <v/>
      </c>
      <c r="D891" s="10">
        <f>IF($BI891="","",IF($B891="Onsite",INDEX(tbl_Onsite[Client],$BI891),IF($B891="Production",INDEX(tbl_Production[Client],$BI891),INDEX(tbl_Consulting[Client],$BI891)))&amp;"")</f>
        <v/>
      </c>
      <c r="E891" s="10">
        <f>IF($C891="","",IF(COUNTIF(lst_Jobs,$C891)&gt;0,"OK","CHECK"))</f>
        <v/>
      </c>
      <c r="F891" s="10">
        <f>IF($C891="","",IFERROR(INDEX(lst_JobName,MATCH($C891,lst_Jobs,0)),""))</f>
        <v/>
      </c>
      <c r="G891" s="10">
        <f>IF($BI891="","",IF($B891="Onsite",INDEX(tbl_Onsite[Job Description],$BI891),IF($B891="Production",INDEX(tbl_Production[Job Description],$BI891),INDEX(tbl_Consulting[Job Description],$BI891)))&amp;"")</f>
        <v/>
      </c>
      <c r="H891" s="10">
        <f>IF($BI891="","",IF($B891="Onsite",INDEX(tbl_Onsite[Cost Centre],$BI891),IF($B891="Production",INDEX(tbl_Production[Cost Centre],$BI891),INDEX(tbl_Consulting[Cost Centre],$BI891)))&amp;"")</f>
        <v/>
      </c>
      <c r="I891" s="10">
        <f>IF($BI891="","",IF($B891="Onsite",INDEX(tbl_Onsite[Invoice Type],$BI891),IF($B891="Production",INDEX(tbl_Production[Invoice Type],$BI891),INDEX(tbl_Consulting[Invoice Type],$BI891)))&amp;"")</f>
        <v/>
      </c>
      <c r="J891" s="10">
        <f>IF($BI891="","",IF($B891="Onsite",INDEX(tbl_Onsite[Tax Code],$BI891),IF($B891="Production",INDEX(tbl_Production[Tax Code],$BI891),INDEX(tbl_Consulting[Tax Code],$BI891)))&amp;"")</f>
        <v/>
      </c>
      <c r="K891" s="10">
        <f>IF(H891="","",IFERROR(INDEX(lst_CCtoGL,MATCH(H891,lst_CCforGL,0)),""))</f>
        <v/>
      </c>
      <c r="L891" s="10">
        <f>IF($BI891="","",IF($B891="Onsite",INDEX(tbl_Onsite[PO / Reference],$BI891),IF($B891="Production",INDEX(tbl_Production[Current RMS No],$BI891),INDEX(tbl_Consulting[Qwilr Quote],$BI891)))&amp;"")</f>
        <v/>
      </c>
      <c r="M891" s="10">
        <f>IF($BI891="","",IF($B891="Onsite",INDEX(tbl_Onsite[Notes],$BI891),IF($B891="Production",INDEX(tbl_Production[Notes],$BI891),INDEX(tbl_Consulting[Notes],$BI891)))&amp;"")</f>
        <v/>
      </c>
      <c r="N891" s="11">
        <f>IF($BI891="","",IF(IF($B891="Onsite",INDEX(tbl_Onsite[Expected Revenue Ex GST],$BI891),IF($B891="Production",INDEX(tbl_Production[Expected Revenue Ex GST],$BI891),INDEX(tbl_Consulting[Expected Revenue Ex GST],$BI891)))="","",IF($B891="Onsite",INDEX(tbl_Onsite[Expected Revenue Ex GST],$BI891),IF($B891="Production",INDEX(tbl_Production[Expected Revenue Ex GST],$BI891),INDEX(tbl_Consulting[Expected Revenue Ex GST],$BI891)))))</f>
        <v/>
      </c>
      <c r="O891" s="11">
        <f>IF(AND($C891="",NOT(COUNTA($S891:$BB891)&gt;0)),"",SUM(U891,X891,AA891,AD891,AG891,AJ891,AM891,AP891,AS891,AV891,AY891,BB891))</f>
        <v/>
      </c>
      <c r="P891" s="11">
        <f>IF(O891="","",N(N891)-O891)</f>
        <v/>
      </c>
      <c r="Q891" s="10">
        <f>IF(O891="","",IF($C891="","Invoice on empty job row",IF(N891="",IF(ROUND(O891,2)=0,"No dept value","Invoiced - no dept value"),IF(ROUND(O891,2)=0,"Not invoiced - to invoice",IF(ROUND(P891,2)=0,"Agrees",IF(P891&gt;0,"Dept higher - to invoice","Xero higher - check dept"))))))</f>
        <v/>
      </c>
      <c r="R891" s="10">
        <f>IF(AND($C891="",NOT(COUNTA($S891:$BB891)&gt;0),$BI891&lt;&gt;""),"",MID(IF($BI891="","; Row ID not found on the department sheet - a row was deleted","")&amp;IF(AND($C891="",COUNTA($S891:$BB891)&gt;0),"; Invoice entered but the department row has no job number","")&amp;IF(E891="CHECK","; Job number not in the Xero job list","")&amp;IF(AND($C891&lt;&gt;"",COUNTIF($C$7:$C$1506,$C891)&gt;1),"; Job number on more than one row","")&amp;IF(AND($C891&lt;&gt;"",H891=""),"; Dept has not set a cost centre","")&amp;IF(AND($C891&lt;&gt;"",J891=""),"; Dept has not set a tax code","")&amp;IF(AND($C891&lt;&gt;"",N891=""),"; Dept has not entered an expected value","")&amp;IF((IF(OR(COUNTA(S891:U891)=0,AND(COUNTA(S891:U891)=3,ISNUMBER(U891))),0,1)+IF(OR(COUNTA(V891:X891)=0,AND(COUNTA(V891:X891)=3,ISNUMBER(X891))),0,1)+IF(OR(COUNTA(Y891:AA891)=0,AND(COUNTA(Y891:AA891)=3,ISNUMBER(AA891))),0,1)+IF(OR(COUNTA(AB891:AD891)=0,AND(COUNTA(AB891:AD891)=3,ISNUMBER(AD891))),0,1)+IF(OR(COUNTA(AE891:AG891)=0,AND(COUNTA(AE891:AG891)=3,ISNUMBER(AG891))),0,1)+IF(OR(COUNTA(AH891:AJ891)=0,AND(COUNTA(AH891:AJ891)=3,ISNUMBER(AJ891))),0,1)+IF(OR(COUNTA(AK891:AM891)=0,AND(COUNTA(AK891:AM891)=3,ISNUMBER(AM891))),0,1)+IF(OR(COUNTA(AN891:AP891)=0,AND(COUNTA(AN891:AP891)=3,ISNUMBER(AP891))),0,1)+IF(OR(COUNTA(AQ891:AS891)=0,AND(COUNTA(AQ891:AS891)=3,ISNUMBER(AS891))),0,1)+IF(OR(COUNTA(AT891:AV891)=0,AND(COUNTA(AT891:AV891)=3,ISNUMBER(AV891))),0,1)+IF(OR(COUNTA(AW891:AY891)=0,AND(COUNTA(AW891:AY891)=3,ISNUMBER(AY891))),0,1)+IF(OR(COUNTA(AZ891:BB891)=0,AND(COUNTA(AZ891:BB891)=3,ISNUMBER(BB891))),0,1))&gt;0,"; An invoice is incomplete (needs No, Date and a number in Ex GST)","")&amp;IF((IF(T891="",0,IFERROR(--(EOMONTH(T891,0)&lt;&gt;S$5),1))+IF(W891="",0,IFERROR(--(EOMONTH(W891,0)&lt;&gt;V$5),1))+IF(Z891="",0,IFERROR(--(EOMONTH(Z891,0)&lt;&gt;Y$5),1))+IF(AC891="",0,IFERROR(--(EOMONTH(AC891,0)&lt;&gt;AB$5),1))+IF(AF891="",0,IFERROR(--(EOMONTH(AF891,0)&lt;&gt;AE$5),1))+IF(AI891="",0,IFERROR(--(EOMONTH(AI891,0)&lt;&gt;AH$5),1))+IF(AL891="",0,IFERROR(--(EOMONTH(AL891,0)&lt;&gt;AK$5),1))+IF(AO891="",0,IFERROR(--(EOMONTH(AO891,0)&lt;&gt;AN$5),1))+IF(AR891="",0,IFERROR(--(EOMONTH(AR891,0)&lt;&gt;AQ$5),1))+IF(AU891="",0,IFERROR(--(EOMONTH(AU891,0)&lt;&gt;AT$5),1))+IF(AX891="",0,IFERROR(--(EOMONTH(AX891,0)&lt;&gt;AW$5),1))+IF(BA891="",0,IFERROR(--(EOMONTH(BA891,0)&lt;&gt;AZ$5),1)))&gt;0,"; An invoice date is not in the month it is typed under",""),3,500))</f>
        <v/>
      </c>
      <c r="S891" s="12" t="n"/>
      <c r="T891" s="13" t="n"/>
      <c r="U891" s="14" t="n"/>
      <c r="V891" s="12" t="n"/>
      <c r="W891" s="13" t="n"/>
      <c r="X891" s="14" t="n"/>
      <c r="Y891" s="12" t="n"/>
      <c r="Z891" s="13" t="n"/>
      <c r="AA891" s="14" t="n"/>
      <c r="AB891" s="12" t="n"/>
      <c r="AC891" s="13" t="n"/>
      <c r="AD891" s="14" t="n"/>
      <c r="AE891" s="12" t="n"/>
      <c r="AF891" s="13" t="n"/>
      <c r="AG891" s="14" t="n"/>
      <c r="AH891" s="12" t="n"/>
      <c r="AI891" s="13" t="n"/>
      <c r="AJ891" s="14" t="n"/>
      <c r="AK891" s="12" t="n"/>
      <c r="AL891" s="13" t="n"/>
      <c r="AM891" s="14" t="n"/>
      <c r="AN891" s="12" t="n"/>
      <c r="AO891" s="13" t="n"/>
      <c r="AP891" s="14" t="n"/>
      <c r="AQ891" s="12" t="n"/>
      <c r="AR891" s="13" t="n"/>
      <c r="AS891" s="14" t="n"/>
      <c r="AT891" s="12" t="n"/>
      <c r="AU891" s="13" t="n"/>
      <c r="AV891" s="14" t="n"/>
      <c r="AW891" s="12" t="n"/>
      <c r="AX891" s="13" t="n"/>
      <c r="AY891" s="14" t="n"/>
      <c r="AZ891" s="12" t="n"/>
      <c r="BA891" s="13" t="n"/>
      <c r="BB891" s="14" t="n"/>
      <c r="BC891" s="11">
        <f>IF(O891="","",IF(J891="GST 10%",ROUND(O891*set_GSTRate,2),0))</f>
        <v/>
      </c>
      <c r="BD891" s="11">
        <f>IF(O891="","",O891+BC891)</f>
        <v/>
      </c>
      <c r="BE891" s="15">
        <f>IF(O891="","",COUNTA(S891,V891,Y891,AB891,AE891,AH891,AK891,AN891,AQ891,AT891,AW891,AZ891))</f>
        <v/>
      </c>
      <c r="BF891" s="16">
        <f>IF(COUNT(T891,W891,Z891,AC891,AF891,AI891,AL891,AO891,AR891,AU891,AX891,BA891)=0,"",MAX(T891,W891,Z891,AC891,AF891,AI891,AL891,AO891,AR891,AU891,AX891,BA891))</f>
        <v/>
      </c>
      <c r="BG891" s="10">
        <f>MID(IF(S891="","",", "&amp;S891)&amp;IF(V891="","",", "&amp;V891)&amp;IF(Y891="","",", "&amp;Y891)&amp;IF(AB891="","",", "&amp;AB891)&amp;IF(AE891="","",", "&amp;AE891)&amp;IF(AH891="","",", "&amp;AH891)&amp;IF(AK891="","",", "&amp;AK891)&amp;IF(AN891="","",", "&amp;AN891)&amp;IF(AQ891="","",", "&amp;AQ891)&amp;IF(AT891="","",", "&amp;AT891)&amp;IF(AW891="","",", "&amp;AW891)&amp;IF(AZ891="","",", "&amp;AZ891),3,500)</f>
        <v/>
      </c>
      <c r="BH891" s="12" t="n"/>
      <c r="BI891" s="15">
        <f>IFERROR(MATCH($A891,IF($B891="Onsite",tbl_Onsite[Row ID],IF($B891="Production",tbl_Production[Row ID],tbl_Consulting[Row ID])),0),"")</f>
        <v/>
      </c>
    </row>
    <row r="892">
      <c r="A892" s="10" t="inlineStr">
        <is>
          <t>PRD-0386</t>
        </is>
      </c>
      <c r="B892" s="10" t="inlineStr">
        <is>
          <t>Production</t>
        </is>
      </c>
      <c r="C892" s="10">
        <f>IF($BI892="","",IF($B892="Onsite",INDEX(tbl_Onsite[Job Number],$BI892),IF($B892="Production",INDEX(tbl_Production[Job Number],$BI892),INDEX(tbl_Consulting[Job Number],$BI892)))&amp;"")</f>
        <v/>
      </c>
      <c r="D892" s="10">
        <f>IF($BI892="","",IF($B892="Onsite",INDEX(tbl_Onsite[Client],$BI892),IF($B892="Production",INDEX(tbl_Production[Client],$BI892),INDEX(tbl_Consulting[Client],$BI892)))&amp;"")</f>
        <v/>
      </c>
      <c r="E892" s="10">
        <f>IF($C892="","",IF(COUNTIF(lst_Jobs,$C892)&gt;0,"OK","CHECK"))</f>
        <v/>
      </c>
      <c r="F892" s="10">
        <f>IF($C892="","",IFERROR(INDEX(lst_JobName,MATCH($C892,lst_Jobs,0)),""))</f>
        <v/>
      </c>
      <c r="G892" s="10">
        <f>IF($BI892="","",IF($B892="Onsite",INDEX(tbl_Onsite[Job Description],$BI892),IF($B892="Production",INDEX(tbl_Production[Job Description],$BI892),INDEX(tbl_Consulting[Job Description],$BI892)))&amp;"")</f>
        <v/>
      </c>
      <c r="H892" s="10">
        <f>IF($BI892="","",IF($B892="Onsite",INDEX(tbl_Onsite[Cost Centre],$BI892),IF($B892="Production",INDEX(tbl_Production[Cost Centre],$BI892),INDEX(tbl_Consulting[Cost Centre],$BI892)))&amp;"")</f>
        <v/>
      </c>
      <c r="I892" s="10">
        <f>IF($BI892="","",IF($B892="Onsite",INDEX(tbl_Onsite[Invoice Type],$BI892),IF($B892="Production",INDEX(tbl_Production[Invoice Type],$BI892),INDEX(tbl_Consulting[Invoice Type],$BI892)))&amp;"")</f>
        <v/>
      </c>
      <c r="J892" s="10">
        <f>IF($BI892="","",IF($B892="Onsite",INDEX(tbl_Onsite[Tax Code],$BI892),IF($B892="Production",INDEX(tbl_Production[Tax Code],$BI892),INDEX(tbl_Consulting[Tax Code],$BI892)))&amp;"")</f>
        <v/>
      </c>
      <c r="K892" s="10">
        <f>IF(H892="","",IFERROR(INDEX(lst_CCtoGL,MATCH(H892,lst_CCforGL,0)),""))</f>
        <v/>
      </c>
      <c r="L892" s="10">
        <f>IF($BI892="","",IF($B892="Onsite",INDEX(tbl_Onsite[PO / Reference],$BI892),IF($B892="Production",INDEX(tbl_Production[Current RMS No],$BI892),INDEX(tbl_Consulting[Qwilr Quote],$BI892)))&amp;"")</f>
        <v/>
      </c>
      <c r="M892" s="10">
        <f>IF($BI892="","",IF($B892="Onsite",INDEX(tbl_Onsite[Notes],$BI892),IF($B892="Production",INDEX(tbl_Production[Notes],$BI892),INDEX(tbl_Consulting[Notes],$BI892)))&amp;"")</f>
        <v/>
      </c>
      <c r="N892" s="11">
        <f>IF($BI892="","",IF(IF($B892="Onsite",INDEX(tbl_Onsite[Expected Revenue Ex GST],$BI892),IF($B892="Production",INDEX(tbl_Production[Expected Revenue Ex GST],$BI892),INDEX(tbl_Consulting[Expected Revenue Ex GST],$BI892)))="","",IF($B892="Onsite",INDEX(tbl_Onsite[Expected Revenue Ex GST],$BI892),IF($B892="Production",INDEX(tbl_Production[Expected Revenue Ex GST],$BI892),INDEX(tbl_Consulting[Expected Revenue Ex GST],$BI892)))))</f>
        <v/>
      </c>
      <c r="O892" s="11">
        <f>IF(AND($C892="",NOT(COUNTA($S892:$BB892)&gt;0)),"",SUM(U892,X892,AA892,AD892,AG892,AJ892,AM892,AP892,AS892,AV892,AY892,BB892))</f>
        <v/>
      </c>
      <c r="P892" s="11">
        <f>IF(O892="","",N(N892)-O892)</f>
        <v/>
      </c>
      <c r="Q892" s="10">
        <f>IF(O892="","",IF($C892="","Invoice on empty job row",IF(N892="",IF(ROUND(O892,2)=0,"No dept value","Invoiced - no dept value"),IF(ROUND(O892,2)=0,"Not invoiced - to invoice",IF(ROUND(P892,2)=0,"Agrees",IF(P892&gt;0,"Dept higher - to invoice","Xero higher - check dept"))))))</f>
        <v/>
      </c>
      <c r="R892" s="10">
        <f>IF(AND($C892="",NOT(COUNTA($S892:$BB892)&gt;0),$BI892&lt;&gt;""),"",MID(IF($BI892="","; Row ID not found on the department sheet - a row was deleted","")&amp;IF(AND($C892="",COUNTA($S892:$BB892)&gt;0),"; Invoice entered but the department row has no job number","")&amp;IF(E892="CHECK","; Job number not in the Xero job list","")&amp;IF(AND($C892&lt;&gt;"",COUNTIF($C$7:$C$1506,$C892)&gt;1),"; Job number on more than one row","")&amp;IF(AND($C892&lt;&gt;"",H892=""),"; Dept has not set a cost centre","")&amp;IF(AND($C892&lt;&gt;"",J892=""),"; Dept has not set a tax code","")&amp;IF(AND($C892&lt;&gt;"",N892=""),"; Dept has not entered an expected value","")&amp;IF((IF(OR(COUNTA(S892:U892)=0,AND(COUNTA(S892:U892)=3,ISNUMBER(U892))),0,1)+IF(OR(COUNTA(V892:X892)=0,AND(COUNTA(V892:X892)=3,ISNUMBER(X892))),0,1)+IF(OR(COUNTA(Y892:AA892)=0,AND(COUNTA(Y892:AA892)=3,ISNUMBER(AA892))),0,1)+IF(OR(COUNTA(AB892:AD892)=0,AND(COUNTA(AB892:AD892)=3,ISNUMBER(AD892))),0,1)+IF(OR(COUNTA(AE892:AG892)=0,AND(COUNTA(AE892:AG892)=3,ISNUMBER(AG892))),0,1)+IF(OR(COUNTA(AH892:AJ892)=0,AND(COUNTA(AH892:AJ892)=3,ISNUMBER(AJ892))),0,1)+IF(OR(COUNTA(AK892:AM892)=0,AND(COUNTA(AK892:AM892)=3,ISNUMBER(AM892))),0,1)+IF(OR(COUNTA(AN892:AP892)=0,AND(COUNTA(AN892:AP892)=3,ISNUMBER(AP892))),0,1)+IF(OR(COUNTA(AQ892:AS892)=0,AND(COUNTA(AQ892:AS892)=3,ISNUMBER(AS892))),0,1)+IF(OR(COUNTA(AT892:AV892)=0,AND(COUNTA(AT892:AV892)=3,ISNUMBER(AV892))),0,1)+IF(OR(COUNTA(AW892:AY892)=0,AND(COUNTA(AW892:AY892)=3,ISNUMBER(AY892))),0,1)+IF(OR(COUNTA(AZ892:BB892)=0,AND(COUNTA(AZ892:BB892)=3,ISNUMBER(BB892))),0,1))&gt;0,"; An invoice is incomplete (needs No, Date and a number in Ex GST)","")&amp;IF((IF(T892="",0,IFERROR(--(EOMONTH(T892,0)&lt;&gt;S$5),1))+IF(W892="",0,IFERROR(--(EOMONTH(W892,0)&lt;&gt;V$5),1))+IF(Z892="",0,IFERROR(--(EOMONTH(Z892,0)&lt;&gt;Y$5),1))+IF(AC892="",0,IFERROR(--(EOMONTH(AC892,0)&lt;&gt;AB$5),1))+IF(AF892="",0,IFERROR(--(EOMONTH(AF892,0)&lt;&gt;AE$5),1))+IF(AI892="",0,IFERROR(--(EOMONTH(AI892,0)&lt;&gt;AH$5),1))+IF(AL892="",0,IFERROR(--(EOMONTH(AL892,0)&lt;&gt;AK$5),1))+IF(AO892="",0,IFERROR(--(EOMONTH(AO892,0)&lt;&gt;AN$5),1))+IF(AR892="",0,IFERROR(--(EOMONTH(AR892,0)&lt;&gt;AQ$5),1))+IF(AU892="",0,IFERROR(--(EOMONTH(AU892,0)&lt;&gt;AT$5),1))+IF(AX892="",0,IFERROR(--(EOMONTH(AX892,0)&lt;&gt;AW$5),1))+IF(BA892="",0,IFERROR(--(EOMONTH(BA892,0)&lt;&gt;AZ$5),1)))&gt;0,"; An invoice date is not in the month it is typed under",""),3,500))</f>
        <v/>
      </c>
      <c r="S892" s="12" t="n"/>
      <c r="T892" s="13" t="n"/>
      <c r="U892" s="14" t="n"/>
      <c r="V892" s="12" t="n"/>
      <c r="W892" s="13" t="n"/>
      <c r="X892" s="14" t="n"/>
      <c r="Y892" s="12" t="n"/>
      <c r="Z892" s="13" t="n"/>
      <c r="AA892" s="14" t="n"/>
      <c r="AB892" s="12" t="n"/>
      <c r="AC892" s="13" t="n"/>
      <c r="AD892" s="14" t="n"/>
      <c r="AE892" s="12" t="n"/>
      <c r="AF892" s="13" t="n"/>
      <c r="AG892" s="14" t="n"/>
      <c r="AH892" s="12" t="n"/>
      <c r="AI892" s="13" t="n"/>
      <c r="AJ892" s="14" t="n"/>
      <c r="AK892" s="12" t="n"/>
      <c r="AL892" s="13" t="n"/>
      <c r="AM892" s="14" t="n"/>
      <c r="AN892" s="12" t="n"/>
      <c r="AO892" s="13" t="n"/>
      <c r="AP892" s="14" t="n"/>
      <c r="AQ892" s="12" t="n"/>
      <c r="AR892" s="13" t="n"/>
      <c r="AS892" s="14" t="n"/>
      <c r="AT892" s="12" t="n"/>
      <c r="AU892" s="13" t="n"/>
      <c r="AV892" s="14" t="n"/>
      <c r="AW892" s="12" t="n"/>
      <c r="AX892" s="13" t="n"/>
      <c r="AY892" s="14" t="n"/>
      <c r="AZ892" s="12" t="n"/>
      <c r="BA892" s="13" t="n"/>
      <c r="BB892" s="14" t="n"/>
      <c r="BC892" s="11">
        <f>IF(O892="","",IF(J892="GST 10%",ROUND(O892*set_GSTRate,2),0))</f>
        <v/>
      </c>
      <c r="BD892" s="11">
        <f>IF(O892="","",O892+BC892)</f>
        <v/>
      </c>
      <c r="BE892" s="15">
        <f>IF(O892="","",COUNTA(S892,V892,Y892,AB892,AE892,AH892,AK892,AN892,AQ892,AT892,AW892,AZ892))</f>
        <v/>
      </c>
      <c r="BF892" s="16">
        <f>IF(COUNT(T892,W892,Z892,AC892,AF892,AI892,AL892,AO892,AR892,AU892,AX892,BA892)=0,"",MAX(T892,W892,Z892,AC892,AF892,AI892,AL892,AO892,AR892,AU892,AX892,BA892))</f>
        <v/>
      </c>
      <c r="BG892" s="10">
        <f>MID(IF(S892="","",", "&amp;S892)&amp;IF(V892="","",", "&amp;V892)&amp;IF(Y892="","",", "&amp;Y892)&amp;IF(AB892="","",", "&amp;AB892)&amp;IF(AE892="","",", "&amp;AE892)&amp;IF(AH892="","",", "&amp;AH892)&amp;IF(AK892="","",", "&amp;AK892)&amp;IF(AN892="","",", "&amp;AN892)&amp;IF(AQ892="","",", "&amp;AQ892)&amp;IF(AT892="","",", "&amp;AT892)&amp;IF(AW892="","",", "&amp;AW892)&amp;IF(AZ892="","",", "&amp;AZ892),3,500)</f>
        <v/>
      </c>
      <c r="BH892" s="12" t="n"/>
      <c r="BI892" s="15">
        <f>IFERROR(MATCH($A892,IF($B892="Onsite",tbl_Onsite[Row ID],IF($B892="Production",tbl_Production[Row ID],tbl_Consulting[Row ID])),0),"")</f>
        <v/>
      </c>
    </row>
    <row r="893">
      <c r="A893" s="10" t="inlineStr">
        <is>
          <t>PRD-0387</t>
        </is>
      </c>
      <c r="B893" s="10" t="inlineStr">
        <is>
          <t>Production</t>
        </is>
      </c>
      <c r="C893" s="10">
        <f>IF($BI893="","",IF($B893="Onsite",INDEX(tbl_Onsite[Job Number],$BI893),IF($B893="Production",INDEX(tbl_Production[Job Number],$BI893),INDEX(tbl_Consulting[Job Number],$BI893)))&amp;"")</f>
        <v/>
      </c>
      <c r="D893" s="10">
        <f>IF($BI893="","",IF($B893="Onsite",INDEX(tbl_Onsite[Client],$BI893),IF($B893="Production",INDEX(tbl_Production[Client],$BI893),INDEX(tbl_Consulting[Client],$BI893)))&amp;"")</f>
        <v/>
      </c>
      <c r="E893" s="10">
        <f>IF($C893="","",IF(COUNTIF(lst_Jobs,$C893)&gt;0,"OK","CHECK"))</f>
        <v/>
      </c>
      <c r="F893" s="10">
        <f>IF($C893="","",IFERROR(INDEX(lst_JobName,MATCH($C893,lst_Jobs,0)),""))</f>
        <v/>
      </c>
      <c r="G893" s="10">
        <f>IF($BI893="","",IF($B893="Onsite",INDEX(tbl_Onsite[Job Description],$BI893),IF($B893="Production",INDEX(tbl_Production[Job Description],$BI893),INDEX(tbl_Consulting[Job Description],$BI893)))&amp;"")</f>
        <v/>
      </c>
      <c r="H893" s="10">
        <f>IF($BI893="","",IF($B893="Onsite",INDEX(tbl_Onsite[Cost Centre],$BI893),IF($B893="Production",INDEX(tbl_Production[Cost Centre],$BI893),INDEX(tbl_Consulting[Cost Centre],$BI893)))&amp;"")</f>
        <v/>
      </c>
      <c r="I893" s="10">
        <f>IF($BI893="","",IF($B893="Onsite",INDEX(tbl_Onsite[Invoice Type],$BI893),IF($B893="Production",INDEX(tbl_Production[Invoice Type],$BI893),INDEX(tbl_Consulting[Invoice Type],$BI893)))&amp;"")</f>
        <v/>
      </c>
      <c r="J893" s="10">
        <f>IF($BI893="","",IF($B893="Onsite",INDEX(tbl_Onsite[Tax Code],$BI893),IF($B893="Production",INDEX(tbl_Production[Tax Code],$BI893),INDEX(tbl_Consulting[Tax Code],$BI893)))&amp;"")</f>
        <v/>
      </c>
      <c r="K893" s="10">
        <f>IF(H893="","",IFERROR(INDEX(lst_CCtoGL,MATCH(H893,lst_CCforGL,0)),""))</f>
        <v/>
      </c>
      <c r="L893" s="10">
        <f>IF($BI893="","",IF($B893="Onsite",INDEX(tbl_Onsite[PO / Reference],$BI893),IF($B893="Production",INDEX(tbl_Production[Current RMS No],$BI893),INDEX(tbl_Consulting[Qwilr Quote],$BI893)))&amp;"")</f>
        <v/>
      </c>
      <c r="M893" s="10">
        <f>IF($BI893="","",IF($B893="Onsite",INDEX(tbl_Onsite[Notes],$BI893),IF($B893="Production",INDEX(tbl_Production[Notes],$BI893),INDEX(tbl_Consulting[Notes],$BI893)))&amp;"")</f>
        <v/>
      </c>
      <c r="N893" s="11">
        <f>IF($BI893="","",IF(IF($B893="Onsite",INDEX(tbl_Onsite[Expected Revenue Ex GST],$BI893),IF($B893="Production",INDEX(tbl_Production[Expected Revenue Ex GST],$BI893),INDEX(tbl_Consulting[Expected Revenue Ex GST],$BI893)))="","",IF($B893="Onsite",INDEX(tbl_Onsite[Expected Revenue Ex GST],$BI893),IF($B893="Production",INDEX(tbl_Production[Expected Revenue Ex GST],$BI893),INDEX(tbl_Consulting[Expected Revenue Ex GST],$BI893)))))</f>
        <v/>
      </c>
      <c r="O893" s="11">
        <f>IF(AND($C893="",NOT(COUNTA($S893:$BB893)&gt;0)),"",SUM(U893,X893,AA893,AD893,AG893,AJ893,AM893,AP893,AS893,AV893,AY893,BB893))</f>
        <v/>
      </c>
      <c r="P893" s="11">
        <f>IF(O893="","",N(N893)-O893)</f>
        <v/>
      </c>
      <c r="Q893" s="10">
        <f>IF(O893="","",IF($C893="","Invoice on empty job row",IF(N893="",IF(ROUND(O893,2)=0,"No dept value","Invoiced - no dept value"),IF(ROUND(O893,2)=0,"Not invoiced - to invoice",IF(ROUND(P893,2)=0,"Agrees",IF(P893&gt;0,"Dept higher - to invoice","Xero higher - check dept"))))))</f>
        <v/>
      </c>
      <c r="R893" s="10">
        <f>IF(AND($C893="",NOT(COUNTA($S893:$BB893)&gt;0),$BI893&lt;&gt;""),"",MID(IF($BI893="","; Row ID not found on the department sheet - a row was deleted","")&amp;IF(AND($C893="",COUNTA($S893:$BB893)&gt;0),"; Invoice entered but the department row has no job number","")&amp;IF(E893="CHECK","; Job number not in the Xero job list","")&amp;IF(AND($C893&lt;&gt;"",COUNTIF($C$7:$C$1506,$C893)&gt;1),"; Job number on more than one row","")&amp;IF(AND($C893&lt;&gt;"",H893=""),"; Dept has not set a cost centre","")&amp;IF(AND($C893&lt;&gt;"",J893=""),"; Dept has not set a tax code","")&amp;IF(AND($C893&lt;&gt;"",N893=""),"; Dept has not entered an expected value","")&amp;IF((IF(OR(COUNTA(S893:U893)=0,AND(COUNTA(S893:U893)=3,ISNUMBER(U893))),0,1)+IF(OR(COUNTA(V893:X893)=0,AND(COUNTA(V893:X893)=3,ISNUMBER(X893))),0,1)+IF(OR(COUNTA(Y893:AA893)=0,AND(COUNTA(Y893:AA893)=3,ISNUMBER(AA893))),0,1)+IF(OR(COUNTA(AB893:AD893)=0,AND(COUNTA(AB893:AD893)=3,ISNUMBER(AD893))),0,1)+IF(OR(COUNTA(AE893:AG893)=0,AND(COUNTA(AE893:AG893)=3,ISNUMBER(AG893))),0,1)+IF(OR(COUNTA(AH893:AJ893)=0,AND(COUNTA(AH893:AJ893)=3,ISNUMBER(AJ893))),0,1)+IF(OR(COUNTA(AK893:AM893)=0,AND(COUNTA(AK893:AM893)=3,ISNUMBER(AM893))),0,1)+IF(OR(COUNTA(AN893:AP893)=0,AND(COUNTA(AN893:AP893)=3,ISNUMBER(AP893))),0,1)+IF(OR(COUNTA(AQ893:AS893)=0,AND(COUNTA(AQ893:AS893)=3,ISNUMBER(AS893))),0,1)+IF(OR(COUNTA(AT893:AV893)=0,AND(COUNTA(AT893:AV893)=3,ISNUMBER(AV893))),0,1)+IF(OR(COUNTA(AW893:AY893)=0,AND(COUNTA(AW893:AY893)=3,ISNUMBER(AY893))),0,1)+IF(OR(COUNTA(AZ893:BB893)=0,AND(COUNTA(AZ893:BB893)=3,ISNUMBER(BB893))),0,1))&gt;0,"; An invoice is incomplete (needs No, Date and a number in Ex GST)","")&amp;IF((IF(T893="",0,IFERROR(--(EOMONTH(T893,0)&lt;&gt;S$5),1))+IF(W893="",0,IFERROR(--(EOMONTH(W893,0)&lt;&gt;V$5),1))+IF(Z893="",0,IFERROR(--(EOMONTH(Z893,0)&lt;&gt;Y$5),1))+IF(AC893="",0,IFERROR(--(EOMONTH(AC893,0)&lt;&gt;AB$5),1))+IF(AF893="",0,IFERROR(--(EOMONTH(AF893,0)&lt;&gt;AE$5),1))+IF(AI893="",0,IFERROR(--(EOMONTH(AI893,0)&lt;&gt;AH$5),1))+IF(AL893="",0,IFERROR(--(EOMONTH(AL893,0)&lt;&gt;AK$5),1))+IF(AO893="",0,IFERROR(--(EOMONTH(AO893,0)&lt;&gt;AN$5),1))+IF(AR893="",0,IFERROR(--(EOMONTH(AR893,0)&lt;&gt;AQ$5),1))+IF(AU893="",0,IFERROR(--(EOMONTH(AU893,0)&lt;&gt;AT$5),1))+IF(AX893="",0,IFERROR(--(EOMONTH(AX893,0)&lt;&gt;AW$5),1))+IF(BA893="",0,IFERROR(--(EOMONTH(BA893,0)&lt;&gt;AZ$5),1)))&gt;0,"; An invoice date is not in the month it is typed under",""),3,500))</f>
        <v/>
      </c>
      <c r="S893" s="12" t="n"/>
      <c r="T893" s="13" t="n"/>
      <c r="U893" s="14" t="n"/>
      <c r="V893" s="12" t="n"/>
      <c r="W893" s="13" t="n"/>
      <c r="X893" s="14" t="n"/>
      <c r="Y893" s="12" t="n"/>
      <c r="Z893" s="13" t="n"/>
      <c r="AA893" s="14" t="n"/>
      <c r="AB893" s="12" t="n"/>
      <c r="AC893" s="13" t="n"/>
      <c r="AD893" s="14" t="n"/>
      <c r="AE893" s="12" t="n"/>
      <c r="AF893" s="13" t="n"/>
      <c r="AG893" s="14" t="n"/>
      <c r="AH893" s="12" t="n"/>
      <c r="AI893" s="13" t="n"/>
      <c r="AJ893" s="14" t="n"/>
      <c r="AK893" s="12" t="n"/>
      <c r="AL893" s="13" t="n"/>
      <c r="AM893" s="14" t="n"/>
      <c r="AN893" s="12" t="n"/>
      <c r="AO893" s="13" t="n"/>
      <c r="AP893" s="14" t="n"/>
      <c r="AQ893" s="12" t="n"/>
      <c r="AR893" s="13" t="n"/>
      <c r="AS893" s="14" t="n"/>
      <c r="AT893" s="12" t="n"/>
      <c r="AU893" s="13" t="n"/>
      <c r="AV893" s="14" t="n"/>
      <c r="AW893" s="12" t="n"/>
      <c r="AX893" s="13" t="n"/>
      <c r="AY893" s="14" t="n"/>
      <c r="AZ893" s="12" t="n"/>
      <c r="BA893" s="13" t="n"/>
      <c r="BB893" s="14" t="n"/>
      <c r="BC893" s="11">
        <f>IF(O893="","",IF(J893="GST 10%",ROUND(O893*set_GSTRate,2),0))</f>
        <v/>
      </c>
      <c r="BD893" s="11">
        <f>IF(O893="","",O893+BC893)</f>
        <v/>
      </c>
      <c r="BE893" s="15">
        <f>IF(O893="","",COUNTA(S893,V893,Y893,AB893,AE893,AH893,AK893,AN893,AQ893,AT893,AW893,AZ893))</f>
        <v/>
      </c>
      <c r="BF893" s="16">
        <f>IF(COUNT(T893,W893,Z893,AC893,AF893,AI893,AL893,AO893,AR893,AU893,AX893,BA893)=0,"",MAX(T893,W893,Z893,AC893,AF893,AI893,AL893,AO893,AR893,AU893,AX893,BA893))</f>
        <v/>
      </c>
      <c r="BG893" s="10">
        <f>MID(IF(S893="","",", "&amp;S893)&amp;IF(V893="","",", "&amp;V893)&amp;IF(Y893="","",", "&amp;Y893)&amp;IF(AB893="","",", "&amp;AB893)&amp;IF(AE893="","",", "&amp;AE893)&amp;IF(AH893="","",", "&amp;AH893)&amp;IF(AK893="","",", "&amp;AK893)&amp;IF(AN893="","",", "&amp;AN893)&amp;IF(AQ893="","",", "&amp;AQ893)&amp;IF(AT893="","",", "&amp;AT893)&amp;IF(AW893="","",", "&amp;AW893)&amp;IF(AZ893="","",", "&amp;AZ893),3,500)</f>
        <v/>
      </c>
      <c r="BH893" s="12" t="n"/>
      <c r="BI893" s="15">
        <f>IFERROR(MATCH($A893,IF($B893="Onsite",tbl_Onsite[Row ID],IF($B893="Production",tbl_Production[Row ID],tbl_Consulting[Row ID])),0),"")</f>
        <v/>
      </c>
    </row>
    <row r="894">
      <c r="A894" s="10" t="inlineStr">
        <is>
          <t>PRD-0388</t>
        </is>
      </c>
      <c r="B894" s="10" t="inlineStr">
        <is>
          <t>Production</t>
        </is>
      </c>
      <c r="C894" s="10">
        <f>IF($BI894="","",IF($B894="Onsite",INDEX(tbl_Onsite[Job Number],$BI894),IF($B894="Production",INDEX(tbl_Production[Job Number],$BI894),INDEX(tbl_Consulting[Job Number],$BI894)))&amp;"")</f>
        <v/>
      </c>
      <c r="D894" s="10">
        <f>IF($BI894="","",IF($B894="Onsite",INDEX(tbl_Onsite[Client],$BI894),IF($B894="Production",INDEX(tbl_Production[Client],$BI894),INDEX(tbl_Consulting[Client],$BI894)))&amp;"")</f>
        <v/>
      </c>
      <c r="E894" s="10">
        <f>IF($C894="","",IF(COUNTIF(lst_Jobs,$C894)&gt;0,"OK","CHECK"))</f>
        <v/>
      </c>
      <c r="F894" s="10">
        <f>IF($C894="","",IFERROR(INDEX(lst_JobName,MATCH($C894,lst_Jobs,0)),""))</f>
        <v/>
      </c>
      <c r="G894" s="10">
        <f>IF($BI894="","",IF($B894="Onsite",INDEX(tbl_Onsite[Job Description],$BI894),IF($B894="Production",INDEX(tbl_Production[Job Description],$BI894),INDEX(tbl_Consulting[Job Description],$BI894)))&amp;"")</f>
        <v/>
      </c>
      <c r="H894" s="10">
        <f>IF($BI894="","",IF($B894="Onsite",INDEX(tbl_Onsite[Cost Centre],$BI894),IF($B894="Production",INDEX(tbl_Production[Cost Centre],$BI894),INDEX(tbl_Consulting[Cost Centre],$BI894)))&amp;"")</f>
        <v/>
      </c>
      <c r="I894" s="10">
        <f>IF($BI894="","",IF($B894="Onsite",INDEX(tbl_Onsite[Invoice Type],$BI894),IF($B894="Production",INDEX(tbl_Production[Invoice Type],$BI894),INDEX(tbl_Consulting[Invoice Type],$BI894)))&amp;"")</f>
        <v/>
      </c>
      <c r="J894" s="10">
        <f>IF($BI894="","",IF($B894="Onsite",INDEX(tbl_Onsite[Tax Code],$BI894),IF($B894="Production",INDEX(tbl_Production[Tax Code],$BI894),INDEX(tbl_Consulting[Tax Code],$BI894)))&amp;"")</f>
        <v/>
      </c>
      <c r="K894" s="10">
        <f>IF(H894="","",IFERROR(INDEX(lst_CCtoGL,MATCH(H894,lst_CCforGL,0)),""))</f>
        <v/>
      </c>
      <c r="L894" s="10">
        <f>IF($BI894="","",IF($B894="Onsite",INDEX(tbl_Onsite[PO / Reference],$BI894),IF($B894="Production",INDEX(tbl_Production[Current RMS No],$BI894),INDEX(tbl_Consulting[Qwilr Quote],$BI894)))&amp;"")</f>
        <v/>
      </c>
      <c r="M894" s="10">
        <f>IF($BI894="","",IF($B894="Onsite",INDEX(tbl_Onsite[Notes],$BI894),IF($B894="Production",INDEX(tbl_Production[Notes],$BI894),INDEX(tbl_Consulting[Notes],$BI894)))&amp;"")</f>
        <v/>
      </c>
      <c r="N894" s="11">
        <f>IF($BI894="","",IF(IF($B894="Onsite",INDEX(tbl_Onsite[Expected Revenue Ex GST],$BI894),IF($B894="Production",INDEX(tbl_Production[Expected Revenue Ex GST],$BI894),INDEX(tbl_Consulting[Expected Revenue Ex GST],$BI894)))="","",IF($B894="Onsite",INDEX(tbl_Onsite[Expected Revenue Ex GST],$BI894),IF($B894="Production",INDEX(tbl_Production[Expected Revenue Ex GST],$BI894),INDEX(tbl_Consulting[Expected Revenue Ex GST],$BI894)))))</f>
        <v/>
      </c>
      <c r="O894" s="11">
        <f>IF(AND($C894="",NOT(COUNTA($S894:$BB894)&gt;0)),"",SUM(U894,X894,AA894,AD894,AG894,AJ894,AM894,AP894,AS894,AV894,AY894,BB894))</f>
        <v/>
      </c>
      <c r="P894" s="11">
        <f>IF(O894="","",N(N894)-O894)</f>
        <v/>
      </c>
      <c r="Q894" s="10">
        <f>IF(O894="","",IF($C894="","Invoice on empty job row",IF(N894="",IF(ROUND(O894,2)=0,"No dept value","Invoiced - no dept value"),IF(ROUND(O894,2)=0,"Not invoiced - to invoice",IF(ROUND(P894,2)=0,"Agrees",IF(P894&gt;0,"Dept higher - to invoice","Xero higher - check dept"))))))</f>
        <v/>
      </c>
      <c r="R894" s="10">
        <f>IF(AND($C894="",NOT(COUNTA($S894:$BB894)&gt;0),$BI894&lt;&gt;""),"",MID(IF($BI894="","; Row ID not found on the department sheet - a row was deleted","")&amp;IF(AND($C894="",COUNTA($S894:$BB894)&gt;0),"; Invoice entered but the department row has no job number","")&amp;IF(E894="CHECK","; Job number not in the Xero job list","")&amp;IF(AND($C894&lt;&gt;"",COUNTIF($C$7:$C$1506,$C894)&gt;1),"; Job number on more than one row","")&amp;IF(AND($C894&lt;&gt;"",H894=""),"; Dept has not set a cost centre","")&amp;IF(AND($C894&lt;&gt;"",J894=""),"; Dept has not set a tax code","")&amp;IF(AND($C894&lt;&gt;"",N894=""),"; Dept has not entered an expected value","")&amp;IF((IF(OR(COUNTA(S894:U894)=0,AND(COUNTA(S894:U894)=3,ISNUMBER(U894))),0,1)+IF(OR(COUNTA(V894:X894)=0,AND(COUNTA(V894:X894)=3,ISNUMBER(X894))),0,1)+IF(OR(COUNTA(Y894:AA894)=0,AND(COUNTA(Y894:AA894)=3,ISNUMBER(AA894))),0,1)+IF(OR(COUNTA(AB894:AD894)=0,AND(COUNTA(AB894:AD894)=3,ISNUMBER(AD894))),0,1)+IF(OR(COUNTA(AE894:AG894)=0,AND(COUNTA(AE894:AG894)=3,ISNUMBER(AG894))),0,1)+IF(OR(COUNTA(AH894:AJ894)=0,AND(COUNTA(AH894:AJ894)=3,ISNUMBER(AJ894))),0,1)+IF(OR(COUNTA(AK894:AM894)=0,AND(COUNTA(AK894:AM894)=3,ISNUMBER(AM894))),0,1)+IF(OR(COUNTA(AN894:AP894)=0,AND(COUNTA(AN894:AP894)=3,ISNUMBER(AP894))),0,1)+IF(OR(COUNTA(AQ894:AS894)=0,AND(COUNTA(AQ894:AS894)=3,ISNUMBER(AS894))),0,1)+IF(OR(COUNTA(AT894:AV894)=0,AND(COUNTA(AT894:AV894)=3,ISNUMBER(AV894))),0,1)+IF(OR(COUNTA(AW894:AY894)=0,AND(COUNTA(AW894:AY894)=3,ISNUMBER(AY894))),0,1)+IF(OR(COUNTA(AZ894:BB894)=0,AND(COUNTA(AZ894:BB894)=3,ISNUMBER(BB894))),0,1))&gt;0,"; An invoice is incomplete (needs No, Date and a number in Ex GST)","")&amp;IF((IF(T894="",0,IFERROR(--(EOMONTH(T894,0)&lt;&gt;S$5),1))+IF(W894="",0,IFERROR(--(EOMONTH(W894,0)&lt;&gt;V$5),1))+IF(Z894="",0,IFERROR(--(EOMONTH(Z894,0)&lt;&gt;Y$5),1))+IF(AC894="",0,IFERROR(--(EOMONTH(AC894,0)&lt;&gt;AB$5),1))+IF(AF894="",0,IFERROR(--(EOMONTH(AF894,0)&lt;&gt;AE$5),1))+IF(AI894="",0,IFERROR(--(EOMONTH(AI894,0)&lt;&gt;AH$5),1))+IF(AL894="",0,IFERROR(--(EOMONTH(AL894,0)&lt;&gt;AK$5),1))+IF(AO894="",0,IFERROR(--(EOMONTH(AO894,0)&lt;&gt;AN$5),1))+IF(AR894="",0,IFERROR(--(EOMONTH(AR894,0)&lt;&gt;AQ$5),1))+IF(AU894="",0,IFERROR(--(EOMONTH(AU894,0)&lt;&gt;AT$5),1))+IF(AX894="",0,IFERROR(--(EOMONTH(AX894,0)&lt;&gt;AW$5),1))+IF(BA894="",0,IFERROR(--(EOMONTH(BA894,0)&lt;&gt;AZ$5),1)))&gt;0,"; An invoice date is not in the month it is typed under",""),3,500))</f>
        <v/>
      </c>
      <c r="S894" s="12" t="n"/>
      <c r="T894" s="13" t="n"/>
      <c r="U894" s="14" t="n"/>
      <c r="V894" s="12" t="n"/>
      <c r="W894" s="13" t="n"/>
      <c r="X894" s="14" t="n"/>
      <c r="Y894" s="12" t="n"/>
      <c r="Z894" s="13" t="n"/>
      <c r="AA894" s="14" t="n"/>
      <c r="AB894" s="12" t="n"/>
      <c r="AC894" s="13" t="n"/>
      <c r="AD894" s="14" t="n"/>
      <c r="AE894" s="12" t="n"/>
      <c r="AF894" s="13" t="n"/>
      <c r="AG894" s="14" t="n"/>
      <c r="AH894" s="12" t="n"/>
      <c r="AI894" s="13" t="n"/>
      <c r="AJ894" s="14" t="n"/>
      <c r="AK894" s="12" t="n"/>
      <c r="AL894" s="13" t="n"/>
      <c r="AM894" s="14" t="n"/>
      <c r="AN894" s="12" t="n"/>
      <c r="AO894" s="13" t="n"/>
      <c r="AP894" s="14" t="n"/>
      <c r="AQ894" s="12" t="n"/>
      <c r="AR894" s="13" t="n"/>
      <c r="AS894" s="14" t="n"/>
      <c r="AT894" s="12" t="n"/>
      <c r="AU894" s="13" t="n"/>
      <c r="AV894" s="14" t="n"/>
      <c r="AW894" s="12" t="n"/>
      <c r="AX894" s="13" t="n"/>
      <c r="AY894" s="14" t="n"/>
      <c r="AZ894" s="12" t="n"/>
      <c r="BA894" s="13" t="n"/>
      <c r="BB894" s="14" t="n"/>
      <c r="BC894" s="11">
        <f>IF(O894="","",IF(J894="GST 10%",ROUND(O894*set_GSTRate,2),0))</f>
        <v/>
      </c>
      <c r="BD894" s="11">
        <f>IF(O894="","",O894+BC894)</f>
        <v/>
      </c>
      <c r="BE894" s="15">
        <f>IF(O894="","",COUNTA(S894,V894,Y894,AB894,AE894,AH894,AK894,AN894,AQ894,AT894,AW894,AZ894))</f>
        <v/>
      </c>
      <c r="BF894" s="16">
        <f>IF(COUNT(T894,W894,Z894,AC894,AF894,AI894,AL894,AO894,AR894,AU894,AX894,BA894)=0,"",MAX(T894,W894,Z894,AC894,AF894,AI894,AL894,AO894,AR894,AU894,AX894,BA894))</f>
        <v/>
      </c>
      <c r="BG894" s="10">
        <f>MID(IF(S894="","",", "&amp;S894)&amp;IF(V894="","",", "&amp;V894)&amp;IF(Y894="","",", "&amp;Y894)&amp;IF(AB894="","",", "&amp;AB894)&amp;IF(AE894="","",", "&amp;AE894)&amp;IF(AH894="","",", "&amp;AH894)&amp;IF(AK894="","",", "&amp;AK894)&amp;IF(AN894="","",", "&amp;AN894)&amp;IF(AQ894="","",", "&amp;AQ894)&amp;IF(AT894="","",", "&amp;AT894)&amp;IF(AW894="","",", "&amp;AW894)&amp;IF(AZ894="","",", "&amp;AZ894),3,500)</f>
        <v/>
      </c>
      <c r="BH894" s="12" t="n"/>
      <c r="BI894" s="15">
        <f>IFERROR(MATCH($A894,IF($B894="Onsite",tbl_Onsite[Row ID],IF($B894="Production",tbl_Production[Row ID],tbl_Consulting[Row ID])),0),"")</f>
        <v/>
      </c>
    </row>
    <row r="895">
      <c r="A895" s="10" t="inlineStr">
        <is>
          <t>PRD-0389</t>
        </is>
      </c>
      <c r="B895" s="10" t="inlineStr">
        <is>
          <t>Production</t>
        </is>
      </c>
      <c r="C895" s="10">
        <f>IF($BI895="","",IF($B895="Onsite",INDEX(tbl_Onsite[Job Number],$BI895),IF($B895="Production",INDEX(tbl_Production[Job Number],$BI895),INDEX(tbl_Consulting[Job Number],$BI895)))&amp;"")</f>
        <v/>
      </c>
      <c r="D895" s="10">
        <f>IF($BI895="","",IF($B895="Onsite",INDEX(tbl_Onsite[Client],$BI895),IF($B895="Production",INDEX(tbl_Production[Client],$BI895),INDEX(tbl_Consulting[Client],$BI895)))&amp;"")</f>
        <v/>
      </c>
      <c r="E895" s="10">
        <f>IF($C895="","",IF(COUNTIF(lst_Jobs,$C895)&gt;0,"OK","CHECK"))</f>
        <v/>
      </c>
      <c r="F895" s="10">
        <f>IF($C895="","",IFERROR(INDEX(lst_JobName,MATCH($C895,lst_Jobs,0)),""))</f>
        <v/>
      </c>
      <c r="G895" s="10">
        <f>IF($BI895="","",IF($B895="Onsite",INDEX(tbl_Onsite[Job Description],$BI895),IF($B895="Production",INDEX(tbl_Production[Job Description],$BI895),INDEX(tbl_Consulting[Job Description],$BI895)))&amp;"")</f>
        <v/>
      </c>
      <c r="H895" s="10">
        <f>IF($BI895="","",IF($B895="Onsite",INDEX(tbl_Onsite[Cost Centre],$BI895),IF($B895="Production",INDEX(tbl_Production[Cost Centre],$BI895),INDEX(tbl_Consulting[Cost Centre],$BI895)))&amp;"")</f>
        <v/>
      </c>
      <c r="I895" s="10">
        <f>IF($BI895="","",IF($B895="Onsite",INDEX(tbl_Onsite[Invoice Type],$BI895),IF($B895="Production",INDEX(tbl_Production[Invoice Type],$BI895),INDEX(tbl_Consulting[Invoice Type],$BI895)))&amp;"")</f>
        <v/>
      </c>
      <c r="J895" s="10">
        <f>IF($BI895="","",IF($B895="Onsite",INDEX(tbl_Onsite[Tax Code],$BI895),IF($B895="Production",INDEX(tbl_Production[Tax Code],$BI895),INDEX(tbl_Consulting[Tax Code],$BI895)))&amp;"")</f>
        <v/>
      </c>
      <c r="K895" s="10">
        <f>IF(H895="","",IFERROR(INDEX(lst_CCtoGL,MATCH(H895,lst_CCforGL,0)),""))</f>
        <v/>
      </c>
      <c r="L895" s="10">
        <f>IF($BI895="","",IF($B895="Onsite",INDEX(tbl_Onsite[PO / Reference],$BI895),IF($B895="Production",INDEX(tbl_Production[Current RMS No],$BI895),INDEX(tbl_Consulting[Qwilr Quote],$BI895)))&amp;"")</f>
        <v/>
      </c>
      <c r="M895" s="10">
        <f>IF($BI895="","",IF($B895="Onsite",INDEX(tbl_Onsite[Notes],$BI895),IF($B895="Production",INDEX(tbl_Production[Notes],$BI895),INDEX(tbl_Consulting[Notes],$BI895)))&amp;"")</f>
        <v/>
      </c>
      <c r="N895" s="11">
        <f>IF($BI895="","",IF(IF($B895="Onsite",INDEX(tbl_Onsite[Expected Revenue Ex GST],$BI895),IF($B895="Production",INDEX(tbl_Production[Expected Revenue Ex GST],$BI895),INDEX(tbl_Consulting[Expected Revenue Ex GST],$BI895)))="","",IF($B895="Onsite",INDEX(tbl_Onsite[Expected Revenue Ex GST],$BI895),IF($B895="Production",INDEX(tbl_Production[Expected Revenue Ex GST],$BI895),INDEX(tbl_Consulting[Expected Revenue Ex GST],$BI895)))))</f>
        <v/>
      </c>
      <c r="O895" s="11">
        <f>IF(AND($C895="",NOT(COUNTA($S895:$BB895)&gt;0)),"",SUM(U895,X895,AA895,AD895,AG895,AJ895,AM895,AP895,AS895,AV895,AY895,BB895))</f>
        <v/>
      </c>
      <c r="P895" s="11">
        <f>IF(O895="","",N(N895)-O895)</f>
        <v/>
      </c>
      <c r="Q895" s="10">
        <f>IF(O895="","",IF($C895="","Invoice on empty job row",IF(N895="",IF(ROUND(O895,2)=0,"No dept value","Invoiced - no dept value"),IF(ROUND(O895,2)=0,"Not invoiced - to invoice",IF(ROUND(P895,2)=0,"Agrees",IF(P895&gt;0,"Dept higher - to invoice","Xero higher - check dept"))))))</f>
        <v/>
      </c>
      <c r="R895" s="10">
        <f>IF(AND($C895="",NOT(COUNTA($S895:$BB895)&gt;0),$BI895&lt;&gt;""),"",MID(IF($BI895="","; Row ID not found on the department sheet - a row was deleted","")&amp;IF(AND($C895="",COUNTA($S895:$BB895)&gt;0),"; Invoice entered but the department row has no job number","")&amp;IF(E895="CHECK","; Job number not in the Xero job list","")&amp;IF(AND($C895&lt;&gt;"",COUNTIF($C$7:$C$1506,$C895)&gt;1),"; Job number on more than one row","")&amp;IF(AND($C895&lt;&gt;"",H895=""),"; Dept has not set a cost centre","")&amp;IF(AND($C895&lt;&gt;"",J895=""),"; Dept has not set a tax code","")&amp;IF(AND($C895&lt;&gt;"",N895=""),"; Dept has not entered an expected value","")&amp;IF((IF(OR(COUNTA(S895:U895)=0,AND(COUNTA(S895:U895)=3,ISNUMBER(U895))),0,1)+IF(OR(COUNTA(V895:X895)=0,AND(COUNTA(V895:X895)=3,ISNUMBER(X895))),0,1)+IF(OR(COUNTA(Y895:AA895)=0,AND(COUNTA(Y895:AA895)=3,ISNUMBER(AA895))),0,1)+IF(OR(COUNTA(AB895:AD895)=0,AND(COUNTA(AB895:AD895)=3,ISNUMBER(AD895))),0,1)+IF(OR(COUNTA(AE895:AG895)=0,AND(COUNTA(AE895:AG895)=3,ISNUMBER(AG895))),0,1)+IF(OR(COUNTA(AH895:AJ895)=0,AND(COUNTA(AH895:AJ895)=3,ISNUMBER(AJ895))),0,1)+IF(OR(COUNTA(AK895:AM895)=0,AND(COUNTA(AK895:AM895)=3,ISNUMBER(AM895))),0,1)+IF(OR(COUNTA(AN895:AP895)=0,AND(COUNTA(AN895:AP895)=3,ISNUMBER(AP895))),0,1)+IF(OR(COUNTA(AQ895:AS895)=0,AND(COUNTA(AQ895:AS895)=3,ISNUMBER(AS895))),0,1)+IF(OR(COUNTA(AT895:AV895)=0,AND(COUNTA(AT895:AV895)=3,ISNUMBER(AV895))),0,1)+IF(OR(COUNTA(AW895:AY895)=0,AND(COUNTA(AW895:AY895)=3,ISNUMBER(AY895))),0,1)+IF(OR(COUNTA(AZ895:BB895)=0,AND(COUNTA(AZ895:BB895)=3,ISNUMBER(BB895))),0,1))&gt;0,"; An invoice is incomplete (needs No, Date and a number in Ex GST)","")&amp;IF((IF(T895="",0,IFERROR(--(EOMONTH(T895,0)&lt;&gt;S$5),1))+IF(W895="",0,IFERROR(--(EOMONTH(W895,0)&lt;&gt;V$5),1))+IF(Z895="",0,IFERROR(--(EOMONTH(Z895,0)&lt;&gt;Y$5),1))+IF(AC895="",0,IFERROR(--(EOMONTH(AC895,0)&lt;&gt;AB$5),1))+IF(AF895="",0,IFERROR(--(EOMONTH(AF895,0)&lt;&gt;AE$5),1))+IF(AI895="",0,IFERROR(--(EOMONTH(AI895,0)&lt;&gt;AH$5),1))+IF(AL895="",0,IFERROR(--(EOMONTH(AL895,0)&lt;&gt;AK$5),1))+IF(AO895="",0,IFERROR(--(EOMONTH(AO895,0)&lt;&gt;AN$5),1))+IF(AR895="",0,IFERROR(--(EOMONTH(AR895,0)&lt;&gt;AQ$5),1))+IF(AU895="",0,IFERROR(--(EOMONTH(AU895,0)&lt;&gt;AT$5),1))+IF(AX895="",0,IFERROR(--(EOMONTH(AX895,0)&lt;&gt;AW$5),1))+IF(BA895="",0,IFERROR(--(EOMONTH(BA895,0)&lt;&gt;AZ$5),1)))&gt;0,"; An invoice date is not in the month it is typed under",""),3,500))</f>
        <v/>
      </c>
      <c r="S895" s="12" t="n"/>
      <c r="T895" s="13" t="n"/>
      <c r="U895" s="14" t="n"/>
      <c r="V895" s="12" t="n"/>
      <c r="W895" s="13" t="n"/>
      <c r="X895" s="14" t="n"/>
      <c r="Y895" s="12" t="n"/>
      <c r="Z895" s="13" t="n"/>
      <c r="AA895" s="14" t="n"/>
      <c r="AB895" s="12" t="n"/>
      <c r="AC895" s="13" t="n"/>
      <c r="AD895" s="14" t="n"/>
      <c r="AE895" s="12" t="n"/>
      <c r="AF895" s="13" t="n"/>
      <c r="AG895" s="14" t="n"/>
      <c r="AH895" s="12" t="n"/>
      <c r="AI895" s="13" t="n"/>
      <c r="AJ895" s="14" t="n"/>
      <c r="AK895" s="12" t="n"/>
      <c r="AL895" s="13" t="n"/>
      <c r="AM895" s="14" t="n"/>
      <c r="AN895" s="12" t="n"/>
      <c r="AO895" s="13" t="n"/>
      <c r="AP895" s="14" t="n"/>
      <c r="AQ895" s="12" t="n"/>
      <c r="AR895" s="13" t="n"/>
      <c r="AS895" s="14" t="n"/>
      <c r="AT895" s="12" t="n"/>
      <c r="AU895" s="13" t="n"/>
      <c r="AV895" s="14" t="n"/>
      <c r="AW895" s="12" t="n"/>
      <c r="AX895" s="13" t="n"/>
      <c r="AY895" s="14" t="n"/>
      <c r="AZ895" s="12" t="n"/>
      <c r="BA895" s="13" t="n"/>
      <c r="BB895" s="14" t="n"/>
      <c r="BC895" s="11">
        <f>IF(O895="","",IF(J895="GST 10%",ROUND(O895*set_GSTRate,2),0))</f>
        <v/>
      </c>
      <c r="BD895" s="11">
        <f>IF(O895="","",O895+BC895)</f>
        <v/>
      </c>
      <c r="BE895" s="15">
        <f>IF(O895="","",COUNTA(S895,V895,Y895,AB895,AE895,AH895,AK895,AN895,AQ895,AT895,AW895,AZ895))</f>
        <v/>
      </c>
      <c r="BF895" s="16">
        <f>IF(COUNT(T895,W895,Z895,AC895,AF895,AI895,AL895,AO895,AR895,AU895,AX895,BA895)=0,"",MAX(T895,W895,Z895,AC895,AF895,AI895,AL895,AO895,AR895,AU895,AX895,BA895))</f>
        <v/>
      </c>
      <c r="BG895" s="10">
        <f>MID(IF(S895="","",", "&amp;S895)&amp;IF(V895="","",", "&amp;V895)&amp;IF(Y895="","",", "&amp;Y895)&amp;IF(AB895="","",", "&amp;AB895)&amp;IF(AE895="","",", "&amp;AE895)&amp;IF(AH895="","",", "&amp;AH895)&amp;IF(AK895="","",", "&amp;AK895)&amp;IF(AN895="","",", "&amp;AN895)&amp;IF(AQ895="","",", "&amp;AQ895)&amp;IF(AT895="","",", "&amp;AT895)&amp;IF(AW895="","",", "&amp;AW895)&amp;IF(AZ895="","",", "&amp;AZ895),3,500)</f>
        <v/>
      </c>
      <c r="BH895" s="12" t="n"/>
      <c r="BI895" s="15">
        <f>IFERROR(MATCH($A895,IF($B895="Onsite",tbl_Onsite[Row ID],IF($B895="Production",tbl_Production[Row ID],tbl_Consulting[Row ID])),0),"")</f>
        <v/>
      </c>
    </row>
    <row r="896">
      <c r="A896" s="10" t="inlineStr">
        <is>
          <t>PRD-0390</t>
        </is>
      </c>
      <c r="B896" s="10" t="inlineStr">
        <is>
          <t>Production</t>
        </is>
      </c>
      <c r="C896" s="10">
        <f>IF($BI896="","",IF($B896="Onsite",INDEX(tbl_Onsite[Job Number],$BI896),IF($B896="Production",INDEX(tbl_Production[Job Number],$BI896),INDEX(tbl_Consulting[Job Number],$BI896)))&amp;"")</f>
        <v/>
      </c>
      <c r="D896" s="10">
        <f>IF($BI896="","",IF($B896="Onsite",INDEX(tbl_Onsite[Client],$BI896),IF($B896="Production",INDEX(tbl_Production[Client],$BI896),INDEX(tbl_Consulting[Client],$BI896)))&amp;"")</f>
        <v/>
      </c>
      <c r="E896" s="10">
        <f>IF($C896="","",IF(COUNTIF(lst_Jobs,$C896)&gt;0,"OK","CHECK"))</f>
        <v/>
      </c>
      <c r="F896" s="10">
        <f>IF($C896="","",IFERROR(INDEX(lst_JobName,MATCH($C896,lst_Jobs,0)),""))</f>
        <v/>
      </c>
      <c r="G896" s="10">
        <f>IF($BI896="","",IF($B896="Onsite",INDEX(tbl_Onsite[Job Description],$BI896),IF($B896="Production",INDEX(tbl_Production[Job Description],$BI896),INDEX(tbl_Consulting[Job Description],$BI896)))&amp;"")</f>
        <v/>
      </c>
      <c r="H896" s="10">
        <f>IF($BI896="","",IF($B896="Onsite",INDEX(tbl_Onsite[Cost Centre],$BI896),IF($B896="Production",INDEX(tbl_Production[Cost Centre],$BI896),INDEX(tbl_Consulting[Cost Centre],$BI896)))&amp;"")</f>
        <v/>
      </c>
      <c r="I896" s="10">
        <f>IF($BI896="","",IF($B896="Onsite",INDEX(tbl_Onsite[Invoice Type],$BI896),IF($B896="Production",INDEX(tbl_Production[Invoice Type],$BI896),INDEX(tbl_Consulting[Invoice Type],$BI896)))&amp;"")</f>
        <v/>
      </c>
      <c r="J896" s="10">
        <f>IF($BI896="","",IF($B896="Onsite",INDEX(tbl_Onsite[Tax Code],$BI896),IF($B896="Production",INDEX(tbl_Production[Tax Code],$BI896),INDEX(tbl_Consulting[Tax Code],$BI896)))&amp;"")</f>
        <v/>
      </c>
      <c r="K896" s="10">
        <f>IF(H896="","",IFERROR(INDEX(lst_CCtoGL,MATCH(H896,lst_CCforGL,0)),""))</f>
        <v/>
      </c>
      <c r="L896" s="10">
        <f>IF($BI896="","",IF($B896="Onsite",INDEX(tbl_Onsite[PO / Reference],$BI896),IF($B896="Production",INDEX(tbl_Production[Current RMS No],$BI896),INDEX(tbl_Consulting[Qwilr Quote],$BI896)))&amp;"")</f>
        <v/>
      </c>
      <c r="M896" s="10">
        <f>IF($BI896="","",IF($B896="Onsite",INDEX(tbl_Onsite[Notes],$BI896),IF($B896="Production",INDEX(tbl_Production[Notes],$BI896),INDEX(tbl_Consulting[Notes],$BI896)))&amp;"")</f>
        <v/>
      </c>
      <c r="N896" s="11">
        <f>IF($BI896="","",IF(IF($B896="Onsite",INDEX(tbl_Onsite[Expected Revenue Ex GST],$BI896),IF($B896="Production",INDEX(tbl_Production[Expected Revenue Ex GST],$BI896),INDEX(tbl_Consulting[Expected Revenue Ex GST],$BI896)))="","",IF($B896="Onsite",INDEX(tbl_Onsite[Expected Revenue Ex GST],$BI896),IF($B896="Production",INDEX(tbl_Production[Expected Revenue Ex GST],$BI896),INDEX(tbl_Consulting[Expected Revenue Ex GST],$BI896)))))</f>
        <v/>
      </c>
      <c r="O896" s="11">
        <f>IF(AND($C896="",NOT(COUNTA($S896:$BB896)&gt;0)),"",SUM(U896,X896,AA896,AD896,AG896,AJ896,AM896,AP896,AS896,AV896,AY896,BB896))</f>
        <v/>
      </c>
      <c r="P896" s="11">
        <f>IF(O896="","",N(N896)-O896)</f>
        <v/>
      </c>
      <c r="Q896" s="10">
        <f>IF(O896="","",IF($C896="","Invoice on empty job row",IF(N896="",IF(ROUND(O896,2)=0,"No dept value","Invoiced - no dept value"),IF(ROUND(O896,2)=0,"Not invoiced - to invoice",IF(ROUND(P896,2)=0,"Agrees",IF(P896&gt;0,"Dept higher - to invoice","Xero higher - check dept"))))))</f>
        <v/>
      </c>
      <c r="R896" s="10">
        <f>IF(AND($C896="",NOT(COUNTA($S896:$BB896)&gt;0),$BI896&lt;&gt;""),"",MID(IF($BI896="","; Row ID not found on the department sheet - a row was deleted","")&amp;IF(AND($C896="",COUNTA($S896:$BB896)&gt;0),"; Invoice entered but the department row has no job number","")&amp;IF(E896="CHECK","; Job number not in the Xero job list","")&amp;IF(AND($C896&lt;&gt;"",COUNTIF($C$7:$C$1506,$C896)&gt;1),"; Job number on more than one row","")&amp;IF(AND($C896&lt;&gt;"",H896=""),"; Dept has not set a cost centre","")&amp;IF(AND($C896&lt;&gt;"",J896=""),"; Dept has not set a tax code","")&amp;IF(AND($C896&lt;&gt;"",N896=""),"; Dept has not entered an expected value","")&amp;IF((IF(OR(COUNTA(S896:U896)=0,AND(COUNTA(S896:U896)=3,ISNUMBER(U896))),0,1)+IF(OR(COUNTA(V896:X896)=0,AND(COUNTA(V896:X896)=3,ISNUMBER(X896))),0,1)+IF(OR(COUNTA(Y896:AA896)=0,AND(COUNTA(Y896:AA896)=3,ISNUMBER(AA896))),0,1)+IF(OR(COUNTA(AB896:AD896)=0,AND(COUNTA(AB896:AD896)=3,ISNUMBER(AD896))),0,1)+IF(OR(COUNTA(AE896:AG896)=0,AND(COUNTA(AE896:AG896)=3,ISNUMBER(AG896))),0,1)+IF(OR(COUNTA(AH896:AJ896)=0,AND(COUNTA(AH896:AJ896)=3,ISNUMBER(AJ896))),0,1)+IF(OR(COUNTA(AK896:AM896)=0,AND(COUNTA(AK896:AM896)=3,ISNUMBER(AM896))),0,1)+IF(OR(COUNTA(AN896:AP896)=0,AND(COUNTA(AN896:AP896)=3,ISNUMBER(AP896))),0,1)+IF(OR(COUNTA(AQ896:AS896)=0,AND(COUNTA(AQ896:AS896)=3,ISNUMBER(AS896))),0,1)+IF(OR(COUNTA(AT896:AV896)=0,AND(COUNTA(AT896:AV896)=3,ISNUMBER(AV896))),0,1)+IF(OR(COUNTA(AW896:AY896)=0,AND(COUNTA(AW896:AY896)=3,ISNUMBER(AY896))),0,1)+IF(OR(COUNTA(AZ896:BB896)=0,AND(COUNTA(AZ896:BB896)=3,ISNUMBER(BB896))),0,1))&gt;0,"; An invoice is incomplete (needs No, Date and a number in Ex GST)","")&amp;IF((IF(T896="",0,IFERROR(--(EOMONTH(T896,0)&lt;&gt;S$5),1))+IF(W896="",0,IFERROR(--(EOMONTH(W896,0)&lt;&gt;V$5),1))+IF(Z896="",0,IFERROR(--(EOMONTH(Z896,0)&lt;&gt;Y$5),1))+IF(AC896="",0,IFERROR(--(EOMONTH(AC896,0)&lt;&gt;AB$5),1))+IF(AF896="",0,IFERROR(--(EOMONTH(AF896,0)&lt;&gt;AE$5),1))+IF(AI896="",0,IFERROR(--(EOMONTH(AI896,0)&lt;&gt;AH$5),1))+IF(AL896="",0,IFERROR(--(EOMONTH(AL896,0)&lt;&gt;AK$5),1))+IF(AO896="",0,IFERROR(--(EOMONTH(AO896,0)&lt;&gt;AN$5),1))+IF(AR896="",0,IFERROR(--(EOMONTH(AR896,0)&lt;&gt;AQ$5),1))+IF(AU896="",0,IFERROR(--(EOMONTH(AU896,0)&lt;&gt;AT$5),1))+IF(AX896="",0,IFERROR(--(EOMONTH(AX896,0)&lt;&gt;AW$5),1))+IF(BA896="",0,IFERROR(--(EOMONTH(BA896,0)&lt;&gt;AZ$5),1)))&gt;0,"; An invoice date is not in the month it is typed under",""),3,500))</f>
        <v/>
      </c>
      <c r="S896" s="12" t="n"/>
      <c r="T896" s="13" t="n"/>
      <c r="U896" s="14" t="n"/>
      <c r="V896" s="12" t="n"/>
      <c r="W896" s="13" t="n"/>
      <c r="X896" s="14" t="n"/>
      <c r="Y896" s="12" t="n"/>
      <c r="Z896" s="13" t="n"/>
      <c r="AA896" s="14" t="n"/>
      <c r="AB896" s="12" t="n"/>
      <c r="AC896" s="13" t="n"/>
      <c r="AD896" s="14" t="n"/>
      <c r="AE896" s="12" t="n"/>
      <c r="AF896" s="13" t="n"/>
      <c r="AG896" s="14" t="n"/>
      <c r="AH896" s="12" t="n"/>
      <c r="AI896" s="13" t="n"/>
      <c r="AJ896" s="14" t="n"/>
      <c r="AK896" s="12" t="n"/>
      <c r="AL896" s="13" t="n"/>
      <c r="AM896" s="14" t="n"/>
      <c r="AN896" s="12" t="n"/>
      <c r="AO896" s="13" t="n"/>
      <c r="AP896" s="14" t="n"/>
      <c r="AQ896" s="12" t="n"/>
      <c r="AR896" s="13" t="n"/>
      <c r="AS896" s="14" t="n"/>
      <c r="AT896" s="12" t="n"/>
      <c r="AU896" s="13" t="n"/>
      <c r="AV896" s="14" t="n"/>
      <c r="AW896" s="12" t="n"/>
      <c r="AX896" s="13" t="n"/>
      <c r="AY896" s="14" t="n"/>
      <c r="AZ896" s="12" t="n"/>
      <c r="BA896" s="13" t="n"/>
      <c r="BB896" s="14" t="n"/>
      <c r="BC896" s="11">
        <f>IF(O896="","",IF(J896="GST 10%",ROUND(O896*set_GSTRate,2),0))</f>
        <v/>
      </c>
      <c r="BD896" s="11">
        <f>IF(O896="","",O896+BC896)</f>
        <v/>
      </c>
      <c r="BE896" s="15">
        <f>IF(O896="","",COUNTA(S896,V896,Y896,AB896,AE896,AH896,AK896,AN896,AQ896,AT896,AW896,AZ896))</f>
        <v/>
      </c>
      <c r="BF896" s="16">
        <f>IF(COUNT(T896,W896,Z896,AC896,AF896,AI896,AL896,AO896,AR896,AU896,AX896,BA896)=0,"",MAX(T896,W896,Z896,AC896,AF896,AI896,AL896,AO896,AR896,AU896,AX896,BA896))</f>
        <v/>
      </c>
      <c r="BG896" s="10">
        <f>MID(IF(S896="","",", "&amp;S896)&amp;IF(V896="","",", "&amp;V896)&amp;IF(Y896="","",", "&amp;Y896)&amp;IF(AB896="","",", "&amp;AB896)&amp;IF(AE896="","",", "&amp;AE896)&amp;IF(AH896="","",", "&amp;AH896)&amp;IF(AK896="","",", "&amp;AK896)&amp;IF(AN896="","",", "&amp;AN896)&amp;IF(AQ896="","",", "&amp;AQ896)&amp;IF(AT896="","",", "&amp;AT896)&amp;IF(AW896="","",", "&amp;AW896)&amp;IF(AZ896="","",", "&amp;AZ896),3,500)</f>
        <v/>
      </c>
      <c r="BH896" s="12" t="n"/>
      <c r="BI896" s="15">
        <f>IFERROR(MATCH($A896,IF($B896="Onsite",tbl_Onsite[Row ID],IF($B896="Production",tbl_Production[Row ID],tbl_Consulting[Row ID])),0),"")</f>
        <v/>
      </c>
    </row>
    <row r="897">
      <c r="A897" s="10" t="inlineStr">
        <is>
          <t>PRD-0391</t>
        </is>
      </c>
      <c r="B897" s="10" t="inlineStr">
        <is>
          <t>Production</t>
        </is>
      </c>
      <c r="C897" s="10">
        <f>IF($BI897="","",IF($B897="Onsite",INDEX(tbl_Onsite[Job Number],$BI897),IF($B897="Production",INDEX(tbl_Production[Job Number],$BI897),INDEX(tbl_Consulting[Job Number],$BI897)))&amp;"")</f>
        <v/>
      </c>
      <c r="D897" s="10">
        <f>IF($BI897="","",IF($B897="Onsite",INDEX(tbl_Onsite[Client],$BI897),IF($B897="Production",INDEX(tbl_Production[Client],$BI897),INDEX(tbl_Consulting[Client],$BI897)))&amp;"")</f>
        <v/>
      </c>
      <c r="E897" s="10">
        <f>IF($C897="","",IF(COUNTIF(lst_Jobs,$C897)&gt;0,"OK","CHECK"))</f>
        <v/>
      </c>
      <c r="F897" s="10">
        <f>IF($C897="","",IFERROR(INDEX(lst_JobName,MATCH($C897,lst_Jobs,0)),""))</f>
        <v/>
      </c>
      <c r="G897" s="10">
        <f>IF($BI897="","",IF($B897="Onsite",INDEX(tbl_Onsite[Job Description],$BI897),IF($B897="Production",INDEX(tbl_Production[Job Description],$BI897),INDEX(tbl_Consulting[Job Description],$BI897)))&amp;"")</f>
        <v/>
      </c>
      <c r="H897" s="10">
        <f>IF($BI897="","",IF($B897="Onsite",INDEX(tbl_Onsite[Cost Centre],$BI897),IF($B897="Production",INDEX(tbl_Production[Cost Centre],$BI897),INDEX(tbl_Consulting[Cost Centre],$BI897)))&amp;"")</f>
        <v/>
      </c>
      <c r="I897" s="10">
        <f>IF($BI897="","",IF($B897="Onsite",INDEX(tbl_Onsite[Invoice Type],$BI897),IF($B897="Production",INDEX(tbl_Production[Invoice Type],$BI897),INDEX(tbl_Consulting[Invoice Type],$BI897)))&amp;"")</f>
        <v/>
      </c>
      <c r="J897" s="10">
        <f>IF($BI897="","",IF($B897="Onsite",INDEX(tbl_Onsite[Tax Code],$BI897),IF($B897="Production",INDEX(tbl_Production[Tax Code],$BI897),INDEX(tbl_Consulting[Tax Code],$BI897)))&amp;"")</f>
        <v/>
      </c>
      <c r="K897" s="10">
        <f>IF(H897="","",IFERROR(INDEX(lst_CCtoGL,MATCH(H897,lst_CCforGL,0)),""))</f>
        <v/>
      </c>
      <c r="L897" s="10">
        <f>IF($BI897="","",IF($B897="Onsite",INDEX(tbl_Onsite[PO / Reference],$BI897),IF($B897="Production",INDEX(tbl_Production[Current RMS No],$BI897),INDEX(tbl_Consulting[Qwilr Quote],$BI897)))&amp;"")</f>
        <v/>
      </c>
      <c r="M897" s="10">
        <f>IF($BI897="","",IF($B897="Onsite",INDEX(tbl_Onsite[Notes],$BI897),IF($B897="Production",INDEX(tbl_Production[Notes],$BI897),INDEX(tbl_Consulting[Notes],$BI897)))&amp;"")</f>
        <v/>
      </c>
      <c r="N897" s="11">
        <f>IF($BI897="","",IF(IF($B897="Onsite",INDEX(tbl_Onsite[Expected Revenue Ex GST],$BI897),IF($B897="Production",INDEX(tbl_Production[Expected Revenue Ex GST],$BI897),INDEX(tbl_Consulting[Expected Revenue Ex GST],$BI897)))="","",IF($B897="Onsite",INDEX(tbl_Onsite[Expected Revenue Ex GST],$BI897),IF($B897="Production",INDEX(tbl_Production[Expected Revenue Ex GST],$BI897),INDEX(tbl_Consulting[Expected Revenue Ex GST],$BI897)))))</f>
        <v/>
      </c>
      <c r="O897" s="11">
        <f>IF(AND($C897="",NOT(COUNTA($S897:$BB897)&gt;0)),"",SUM(U897,X897,AA897,AD897,AG897,AJ897,AM897,AP897,AS897,AV897,AY897,BB897))</f>
        <v/>
      </c>
      <c r="P897" s="11">
        <f>IF(O897="","",N(N897)-O897)</f>
        <v/>
      </c>
      <c r="Q897" s="10">
        <f>IF(O897="","",IF($C897="","Invoice on empty job row",IF(N897="",IF(ROUND(O897,2)=0,"No dept value","Invoiced - no dept value"),IF(ROUND(O897,2)=0,"Not invoiced - to invoice",IF(ROUND(P897,2)=0,"Agrees",IF(P897&gt;0,"Dept higher - to invoice","Xero higher - check dept"))))))</f>
        <v/>
      </c>
      <c r="R897" s="10">
        <f>IF(AND($C897="",NOT(COUNTA($S897:$BB897)&gt;0),$BI897&lt;&gt;""),"",MID(IF($BI897="","; Row ID not found on the department sheet - a row was deleted","")&amp;IF(AND($C897="",COUNTA($S897:$BB897)&gt;0),"; Invoice entered but the department row has no job number","")&amp;IF(E897="CHECK","; Job number not in the Xero job list","")&amp;IF(AND($C897&lt;&gt;"",COUNTIF($C$7:$C$1506,$C897)&gt;1),"; Job number on more than one row","")&amp;IF(AND($C897&lt;&gt;"",H897=""),"; Dept has not set a cost centre","")&amp;IF(AND($C897&lt;&gt;"",J897=""),"; Dept has not set a tax code","")&amp;IF(AND($C897&lt;&gt;"",N897=""),"; Dept has not entered an expected value","")&amp;IF((IF(OR(COUNTA(S897:U897)=0,AND(COUNTA(S897:U897)=3,ISNUMBER(U897))),0,1)+IF(OR(COUNTA(V897:X897)=0,AND(COUNTA(V897:X897)=3,ISNUMBER(X897))),0,1)+IF(OR(COUNTA(Y897:AA897)=0,AND(COUNTA(Y897:AA897)=3,ISNUMBER(AA897))),0,1)+IF(OR(COUNTA(AB897:AD897)=0,AND(COUNTA(AB897:AD897)=3,ISNUMBER(AD897))),0,1)+IF(OR(COUNTA(AE897:AG897)=0,AND(COUNTA(AE897:AG897)=3,ISNUMBER(AG897))),0,1)+IF(OR(COUNTA(AH897:AJ897)=0,AND(COUNTA(AH897:AJ897)=3,ISNUMBER(AJ897))),0,1)+IF(OR(COUNTA(AK897:AM897)=0,AND(COUNTA(AK897:AM897)=3,ISNUMBER(AM897))),0,1)+IF(OR(COUNTA(AN897:AP897)=0,AND(COUNTA(AN897:AP897)=3,ISNUMBER(AP897))),0,1)+IF(OR(COUNTA(AQ897:AS897)=0,AND(COUNTA(AQ897:AS897)=3,ISNUMBER(AS897))),0,1)+IF(OR(COUNTA(AT897:AV897)=0,AND(COUNTA(AT897:AV897)=3,ISNUMBER(AV897))),0,1)+IF(OR(COUNTA(AW897:AY897)=0,AND(COUNTA(AW897:AY897)=3,ISNUMBER(AY897))),0,1)+IF(OR(COUNTA(AZ897:BB897)=0,AND(COUNTA(AZ897:BB897)=3,ISNUMBER(BB897))),0,1))&gt;0,"; An invoice is incomplete (needs No, Date and a number in Ex GST)","")&amp;IF((IF(T897="",0,IFERROR(--(EOMONTH(T897,0)&lt;&gt;S$5),1))+IF(W897="",0,IFERROR(--(EOMONTH(W897,0)&lt;&gt;V$5),1))+IF(Z897="",0,IFERROR(--(EOMONTH(Z897,0)&lt;&gt;Y$5),1))+IF(AC897="",0,IFERROR(--(EOMONTH(AC897,0)&lt;&gt;AB$5),1))+IF(AF897="",0,IFERROR(--(EOMONTH(AF897,0)&lt;&gt;AE$5),1))+IF(AI897="",0,IFERROR(--(EOMONTH(AI897,0)&lt;&gt;AH$5),1))+IF(AL897="",0,IFERROR(--(EOMONTH(AL897,0)&lt;&gt;AK$5),1))+IF(AO897="",0,IFERROR(--(EOMONTH(AO897,0)&lt;&gt;AN$5),1))+IF(AR897="",0,IFERROR(--(EOMONTH(AR897,0)&lt;&gt;AQ$5),1))+IF(AU897="",0,IFERROR(--(EOMONTH(AU897,0)&lt;&gt;AT$5),1))+IF(AX897="",0,IFERROR(--(EOMONTH(AX897,0)&lt;&gt;AW$5),1))+IF(BA897="",0,IFERROR(--(EOMONTH(BA897,0)&lt;&gt;AZ$5),1)))&gt;0,"; An invoice date is not in the month it is typed under",""),3,500))</f>
        <v/>
      </c>
      <c r="S897" s="12" t="n"/>
      <c r="T897" s="13" t="n"/>
      <c r="U897" s="14" t="n"/>
      <c r="V897" s="12" t="n"/>
      <c r="W897" s="13" t="n"/>
      <c r="X897" s="14" t="n"/>
      <c r="Y897" s="12" t="n"/>
      <c r="Z897" s="13" t="n"/>
      <c r="AA897" s="14" t="n"/>
      <c r="AB897" s="12" t="n"/>
      <c r="AC897" s="13" t="n"/>
      <c r="AD897" s="14" t="n"/>
      <c r="AE897" s="12" t="n"/>
      <c r="AF897" s="13" t="n"/>
      <c r="AG897" s="14" t="n"/>
      <c r="AH897" s="12" t="n"/>
      <c r="AI897" s="13" t="n"/>
      <c r="AJ897" s="14" t="n"/>
      <c r="AK897" s="12" t="n"/>
      <c r="AL897" s="13" t="n"/>
      <c r="AM897" s="14" t="n"/>
      <c r="AN897" s="12" t="n"/>
      <c r="AO897" s="13" t="n"/>
      <c r="AP897" s="14" t="n"/>
      <c r="AQ897" s="12" t="n"/>
      <c r="AR897" s="13" t="n"/>
      <c r="AS897" s="14" t="n"/>
      <c r="AT897" s="12" t="n"/>
      <c r="AU897" s="13" t="n"/>
      <c r="AV897" s="14" t="n"/>
      <c r="AW897" s="12" t="n"/>
      <c r="AX897" s="13" t="n"/>
      <c r="AY897" s="14" t="n"/>
      <c r="AZ897" s="12" t="n"/>
      <c r="BA897" s="13" t="n"/>
      <c r="BB897" s="14" t="n"/>
      <c r="BC897" s="11">
        <f>IF(O897="","",IF(J897="GST 10%",ROUND(O897*set_GSTRate,2),0))</f>
        <v/>
      </c>
      <c r="BD897" s="11">
        <f>IF(O897="","",O897+BC897)</f>
        <v/>
      </c>
      <c r="BE897" s="15">
        <f>IF(O897="","",COUNTA(S897,V897,Y897,AB897,AE897,AH897,AK897,AN897,AQ897,AT897,AW897,AZ897))</f>
        <v/>
      </c>
      <c r="BF897" s="16">
        <f>IF(COUNT(T897,W897,Z897,AC897,AF897,AI897,AL897,AO897,AR897,AU897,AX897,BA897)=0,"",MAX(T897,W897,Z897,AC897,AF897,AI897,AL897,AO897,AR897,AU897,AX897,BA897))</f>
        <v/>
      </c>
      <c r="BG897" s="10">
        <f>MID(IF(S897="","",", "&amp;S897)&amp;IF(V897="","",", "&amp;V897)&amp;IF(Y897="","",", "&amp;Y897)&amp;IF(AB897="","",", "&amp;AB897)&amp;IF(AE897="","",", "&amp;AE897)&amp;IF(AH897="","",", "&amp;AH897)&amp;IF(AK897="","",", "&amp;AK897)&amp;IF(AN897="","",", "&amp;AN897)&amp;IF(AQ897="","",", "&amp;AQ897)&amp;IF(AT897="","",", "&amp;AT897)&amp;IF(AW897="","",", "&amp;AW897)&amp;IF(AZ897="","",", "&amp;AZ897),3,500)</f>
        <v/>
      </c>
      <c r="BH897" s="12" t="n"/>
      <c r="BI897" s="15">
        <f>IFERROR(MATCH($A897,IF($B897="Onsite",tbl_Onsite[Row ID],IF($B897="Production",tbl_Production[Row ID],tbl_Consulting[Row ID])),0),"")</f>
        <v/>
      </c>
    </row>
    <row r="898">
      <c r="A898" s="10" t="inlineStr">
        <is>
          <t>PRD-0392</t>
        </is>
      </c>
      <c r="B898" s="10" t="inlineStr">
        <is>
          <t>Production</t>
        </is>
      </c>
      <c r="C898" s="10">
        <f>IF($BI898="","",IF($B898="Onsite",INDEX(tbl_Onsite[Job Number],$BI898),IF($B898="Production",INDEX(tbl_Production[Job Number],$BI898),INDEX(tbl_Consulting[Job Number],$BI898)))&amp;"")</f>
        <v/>
      </c>
      <c r="D898" s="10">
        <f>IF($BI898="","",IF($B898="Onsite",INDEX(tbl_Onsite[Client],$BI898),IF($B898="Production",INDEX(tbl_Production[Client],$BI898),INDEX(tbl_Consulting[Client],$BI898)))&amp;"")</f>
        <v/>
      </c>
      <c r="E898" s="10">
        <f>IF($C898="","",IF(COUNTIF(lst_Jobs,$C898)&gt;0,"OK","CHECK"))</f>
        <v/>
      </c>
      <c r="F898" s="10">
        <f>IF($C898="","",IFERROR(INDEX(lst_JobName,MATCH($C898,lst_Jobs,0)),""))</f>
        <v/>
      </c>
      <c r="G898" s="10">
        <f>IF($BI898="","",IF($B898="Onsite",INDEX(tbl_Onsite[Job Description],$BI898),IF($B898="Production",INDEX(tbl_Production[Job Description],$BI898),INDEX(tbl_Consulting[Job Description],$BI898)))&amp;"")</f>
        <v/>
      </c>
      <c r="H898" s="10">
        <f>IF($BI898="","",IF($B898="Onsite",INDEX(tbl_Onsite[Cost Centre],$BI898),IF($B898="Production",INDEX(tbl_Production[Cost Centre],$BI898),INDEX(tbl_Consulting[Cost Centre],$BI898)))&amp;"")</f>
        <v/>
      </c>
      <c r="I898" s="10">
        <f>IF($BI898="","",IF($B898="Onsite",INDEX(tbl_Onsite[Invoice Type],$BI898),IF($B898="Production",INDEX(tbl_Production[Invoice Type],$BI898),INDEX(tbl_Consulting[Invoice Type],$BI898)))&amp;"")</f>
        <v/>
      </c>
      <c r="J898" s="10">
        <f>IF($BI898="","",IF($B898="Onsite",INDEX(tbl_Onsite[Tax Code],$BI898),IF($B898="Production",INDEX(tbl_Production[Tax Code],$BI898),INDEX(tbl_Consulting[Tax Code],$BI898)))&amp;"")</f>
        <v/>
      </c>
      <c r="K898" s="10">
        <f>IF(H898="","",IFERROR(INDEX(lst_CCtoGL,MATCH(H898,lst_CCforGL,0)),""))</f>
        <v/>
      </c>
      <c r="L898" s="10">
        <f>IF($BI898="","",IF($B898="Onsite",INDEX(tbl_Onsite[PO / Reference],$BI898),IF($B898="Production",INDEX(tbl_Production[Current RMS No],$BI898),INDEX(tbl_Consulting[Qwilr Quote],$BI898)))&amp;"")</f>
        <v/>
      </c>
      <c r="M898" s="10">
        <f>IF($BI898="","",IF($B898="Onsite",INDEX(tbl_Onsite[Notes],$BI898),IF($B898="Production",INDEX(tbl_Production[Notes],$BI898),INDEX(tbl_Consulting[Notes],$BI898)))&amp;"")</f>
        <v/>
      </c>
      <c r="N898" s="11">
        <f>IF($BI898="","",IF(IF($B898="Onsite",INDEX(tbl_Onsite[Expected Revenue Ex GST],$BI898),IF($B898="Production",INDEX(tbl_Production[Expected Revenue Ex GST],$BI898),INDEX(tbl_Consulting[Expected Revenue Ex GST],$BI898)))="","",IF($B898="Onsite",INDEX(tbl_Onsite[Expected Revenue Ex GST],$BI898),IF($B898="Production",INDEX(tbl_Production[Expected Revenue Ex GST],$BI898),INDEX(tbl_Consulting[Expected Revenue Ex GST],$BI898)))))</f>
        <v/>
      </c>
      <c r="O898" s="11">
        <f>IF(AND($C898="",NOT(COUNTA($S898:$BB898)&gt;0)),"",SUM(U898,X898,AA898,AD898,AG898,AJ898,AM898,AP898,AS898,AV898,AY898,BB898))</f>
        <v/>
      </c>
      <c r="P898" s="11">
        <f>IF(O898="","",N(N898)-O898)</f>
        <v/>
      </c>
      <c r="Q898" s="10">
        <f>IF(O898="","",IF($C898="","Invoice on empty job row",IF(N898="",IF(ROUND(O898,2)=0,"No dept value","Invoiced - no dept value"),IF(ROUND(O898,2)=0,"Not invoiced - to invoice",IF(ROUND(P898,2)=0,"Agrees",IF(P898&gt;0,"Dept higher - to invoice","Xero higher - check dept"))))))</f>
        <v/>
      </c>
      <c r="R898" s="10">
        <f>IF(AND($C898="",NOT(COUNTA($S898:$BB898)&gt;0),$BI898&lt;&gt;""),"",MID(IF($BI898="","; Row ID not found on the department sheet - a row was deleted","")&amp;IF(AND($C898="",COUNTA($S898:$BB898)&gt;0),"; Invoice entered but the department row has no job number","")&amp;IF(E898="CHECK","; Job number not in the Xero job list","")&amp;IF(AND($C898&lt;&gt;"",COUNTIF($C$7:$C$1506,$C898)&gt;1),"; Job number on more than one row","")&amp;IF(AND($C898&lt;&gt;"",H898=""),"; Dept has not set a cost centre","")&amp;IF(AND($C898&lt;&gt;"",J898=""),"; Dept has not set a tax code","")&amp;IF(AND($C898&lt;&gt;"",N898=""),"; Dept has not entered an expected value","")&amp;IF((IF(OR(COUNTA(S898:U898)=0,AND(COUNTA(S898:U898)=3,ISNUMBER(U898))),0,1)+IF(OR(COUNTA(V898:X898)=0,AND(COUNTA(V898:X898)=3,ISNUMBER(X898))),0,1)+IF(OR(COUNTA(Y898:AA898)=0,AND(COUNTA(Y898:AA898)=3,ISNUMBER(AA898))),0,1)+IF(OR(COUNTA(AB898:AD898)=0,AND(COUNTA(AB898:AD898)=3,ISNUMBER(AD898))),0,1)+IF(OR(COUNTA(AE898:AG898)=0,AND(COUNTA(AE898:AG898)=3,ISNUMBER(AG898))),0,1)+IF(OR(COUNTA(AH898:AJ898)=0,AND(COUNTA(AH898:AJ898)=3,ISNUMBER(AJ898))),0,1)+IF(OR(COUNTA(AK898:AM898)=0,AND(COUNTA(AK898:AM898)=3,ISNUMBER(AM898))),0,1)+IF(OR(COUNTA(AN898:AP898)=0,AND(COUNTA(AN898:AP898)=3,ISNUMBER(AP898))),0,1)+IF(OR(COUNTA(AQ898:AS898)=0,AND(COUNTA(AQ898:AS898)=3,ISNUMBER(AS898))),0,1)+IF(OR(COUNTA(AT898:AV898)=0,AND(COUNTA(AT898:AV898)=3,ISNUMBER(AV898))),0,1)+IF(OR(COUNTA(AW898:AY898)=0,AND(COUNTA(AW898:AY898)=3,ISNUMBER(AY898))),0,1)+IF(OR(COUNTA(AZ898:BB898)=0,AND(COUNTA(AZ898:BB898)=3,ISNUMBER(BB898))),0,1))&gt;0,"; An invoice is incomplete (needs No, Date and a number in Ex GST)","")&amp;IF((IF(T898="",0,IFERROR(--(EOMONTH(T898,0)&lt;&gt;S$5),1))+IF(W898="",0,IFERROR(--(EOMONTH(W898,0)&lt;&gt;V$5),1))+IF(Z898="",0,IFERROR(--(EOMONTH(Z898,0)&lt;&gt;Y$5),1))+IF(AC898="",0,IFERROR(--(EOMONTH(AC898,0)&lt;&gt;AB$5),1))+IF(AF898="",0,IFERROR(--(EOMONTH(AF898,0)&lt;&gt;AE$5),1))+IF(AI898="",0,IFERROR(--(EOMONTH(AI898,0)&lt;&gt;AH$5),1))+IF(AL898="",0,IFERROR(--(EOMONTH(AL898,0)&lt;&gt;AK$5),1))+IF(AO898="",0,IFERROR(--(EOMONTH(AO898,0)&lt;&gt;AN$5),1))+IF(AR898="",0,IFERROR(--(EOMONTH(AR898,0)&lt;&gt;AQ$5),1))+IF(AU898="",0,IFERROR(--(EOMONTH(AU898,0)&lt;&gt;AT$5),1))+IF(AX898="",0,IFERROR(--(EOMONTH(AX898,0)&lt;&gt;AW$5),1))+IF(BA898="",0,IFERROR(--(EOMONTH(BA898,0)&lt;&gt;AZ$5),1)))&gt;0,"; An invoice date is not in the month it is typed under",""),3,500))</f>
        <v/>
      </c>
      <c r="S898" s="12" t="n"/>
      <c r="T898" s="13" t="n"/>
      <c r="U898" s="14" t="n"/>
      <c r="V898" s="12" t="n"/>
      <c r="W898" s="13" t="n"/>
      <c r="X898" s="14" t="n"/>
      <c r="Y898" s="12" t="n"/>
      <c r="Z898" s="13" t="n"/>
      <c r="AA898" s="14" t="n"/>
      <c r="AB898" s="12" t="n"/>
      <c r="AC898" s="13" t="n"/>
      <c r="AD898" s="14" t="n"/>
      <c r="AE898" s="12" t="n"/>
      <c r="AF898" s="13" t="n"/>
      <c r="AG898" s="14" t="n"/>
      <c r="AH898" s="12" t="n"/>
      <c r="AI898" s="13" t="n"/>
      <c r="AJ898" s="14" t="n"/>
      <c r="AK898" s="12" t="n"/>
      <c r="AL898" s="13" t="n"/>
      <c r="AM898" s="14" t="n"/>
      <c r="AN898" s="12" t="n"/>
      <c r="AO898" s="13" t="n"/>
      <c r="AP898" s="14" t="n"/>
      <c r="AQ898" s="12" t="n"/>
      <c r="AR898" s="13" t="n"/>
      <c r="AS898" s="14" t="n"/>
      <c r="AT898" s="12" t="n"/>
      <c r="AU898" s="13" t="n"/>
      <c r="AV898" s="14" t="n"/>
      <c r="AW898" s="12" t="n"/>
      <c r="AX898" s="13" t="n"/>
      <c r="AY898" s="14" t="n"/>
      <c r="AZ898" s="12" t="n"/>
      <c r="BA898" s="13" t="n"/>
      <c r="BB898" s="14" t="n"/>
      <c r="BC898" s="11">
        <f>IF(O898="","",IF(J898="GST 10%",ROUND(O898*set_GSTRate,2),0))</f>
        <v/>
      </c>
      <c r="BD898" s="11">
        <f>IF(O898="","",O898+BC898)</f>
        <v/>
      </c>
      <c r="BE898" s="15">
        <f>IF(O898="","",COUNTA(S898,V898,Y898,AB898,AE898,AH898,AK898,AN898,AQ898,AT898,AW898,AZ898))</f>
        <v/>
      </c>
      <c r="BF898" s="16">
        <f>IF(COUNT(T898,W898,Z898,AC898,AF898,AI898,AL898,AO898,AR898,AU898,AX898,BA898)=0,"",MAX(T898,W898,Z898,AC898,AF898,AI898,AL898,AO898,AR898,AU898,AX898,BA898))</f>
        <v/>
      </c>
      <c r="BG898" s="10">
        <f>MID(IF(S898="","",", "&amp;S898)&amp;IF(V898="","",", "&amp;V898)&amp;IF(Y898="","",", "&amp;Y898)&amp;IF(AB898="","",", "&amp;AB898)&amp;IF(AE898="","",", "&amp;AE898)&amp;IF(AH898="","",", "&amp;AH898)&amp;IF(AK898="","",", "&amp;AK898)&amp;IF(AN898="","",", "&amp;AN898)&amp;IF(AQ898="","",", "&amp;AQ898)&amp;IF(AT898="","",", "&amp;AT898)&amp;IF(AW898="","",", "&amp;AW898)&amp;IF(AZ898="","",", "&amp;AZ898),3,500)</f>
        <v/>
      </c>
      <c r="BH898" s="12" t="n"/>
      <c r="BI898" s="15">
        <f>IFERROR(MATCH($A898,IF($B898="Onsite",tbl_Onsite[Row ID],IF($B898="Production",tbl_Production[Row ID],tbl_Consulting[Row ID])),0),"")</f>
        <v/>
      </c>
    </row>
    <row r="899">
      <c r="A899" s="10" t="inlineStr">
        <is>
          <t>PRD-0393</t>
        </is>
      </c>
      <c r="B899" s="10" t="inlineStr">
        <is>
          <t>Production</t>
        </is>
      </c>
      <c r="C899" s="10">
        <f>IF($BI899="","",IF($B899="Onsite",INDEX(tbl_Onsite[Job Number],$BI899),IF($B899="Production",INDEX(tbl_Production[Job Number],$BI899),INDEX(tbl_Consulting[Job Number],$BI899)))&amp;"")</f>
        <v/>
      </c>
      <c r="D899" s="10">
        <f>IF($BI899="","",IF($B899="Onsite",INDEX(tbl_Onsite[Client],$BI899),IF($B899="Production",INDEX(tbl_Production[Client],$BI899),INDEX(tbl_Consulting[Client],$BI899)))&amp;"")</f>
        <v/>
      </c>
      <c r="E899" s="10">
        <f>IF($C899="","",IF(COUNTIF(lst_Jobs,$C899)&gt;0,"OK","CHECK"))</f>
        <v/>
      </c>
      <c r="F899" s="10">
        <f>IF($C899="","",IFERROR(INDEX(lst_JobName,MATCH($C899,lst_Jobs,0)),""))</f>
        <v/>
      </c>
      <c r="G899" s="10">
        <f>IF($BI899="","",IF($B899="Onsite",INDEX(tbl_Onsite[Job Description],$BI899),IF($B899="Production",INDEX(tbl_Production[Job Description],$BI899),INDEX(tbl_Consulting[Job Description],$BI899)))&amp;"")</f>
        <v/>
      </c>
      <c r="H899" s="10">
        <f>IF($BI899="","",IF($B899="Onsite",INDEX(tbl_Onsite[Cost Centre],$BI899),IF($B899="Production",INDEX(tbl_Production[Cost Centre],$BI899),INDEX(tbl_Consulting[Cost Centre],$BI899)))&amp;"")</f>
        <v/>
      </c>
      <c r="I899" s="10">
        <f>IF($BI899="","",IF($B899="Onsite",INDEX(tbl_Onsite[Invoice Type],$BI899),IF($B899="Production",INDEX(tbl_Production[Invoice Type],$BI899),INDEX(tbl_Consulting[Invoice Type],$BI899)))&amp;"")</f>
        <v/>
      </c>
      <c r="J899" s="10">
        <f>IF($BI899="","",IF($B899="Onsite",INDEX(tbl_Onsite[Tax Code],$BI899),IF($B899="Production",INDEX(tbl_Production[Tax Code],$BI899),INDEX(tbl_Consulting[Tax Code],$BI899)))&amp;"")</f>
        <v/>
      </c>
      <c r="K899" s="10">
        <f>IF(H899="","",IFERROR(INDEX(lst_CCtoGL,MATCH(H899,lst_CCforGL,0)),""))</f>
        <v/>
      </c>
      <c r="L899" s="10">
        <f>IF($BI899="","",IF($B899="Onsite",INDEX(tbl_Onsite[PO / Reference],$BI899),IF($B899="Production",INDEX(tbl_Production[Current RMS No],$BI899),INDEX(tbl_Consulting[Qwilr Quote],$BI899)))&amp;"")</f>
        <v/>
      </c>
      <c r="M899" s="10">
        <f>IF($BI899="","",IF($B899="Onsite",INDEX(tbl_Onsite[Notes],$BI899),IF($B899="Production",INDEX(tbl_Production[Notes],$BI899),INDEX(tbl_Consulting[Notes],$BI899)))&amp;"")</f>
        <v/>
      </c>
      <c r="N899" s="11">
        <f>IF($BI899="","",IF(IF($B899="Onsite",INDEX(tbl_Onsite[Expected Revenue Ex GST],$BI899),IF($B899="Production",INDEX(tbl_Production[Expected Revenue Ex GST],$BI899),INDEX(tbl_Consulting[Expected Revenue Ex GST],$BI899)))="","",IF($B899="Onsite",INDEX(tbl_Onsite[Expected Revenue Ex GST],$BI899),IF($B899="Production",INDEX(tbl_Production[Expected Revenue Ex GST],$BI899),INDEX(tbl_Consulting[Expected Revenue Ex GST],$BI899)))))</f>
        <v/>
      </c>
      <c r="O899" s="11">
        <f>IF(AND($C899="",NOT(COUNTA($S899:$BB899)&gt;0)),"",SUM(U899,X899,AA899,AD899,AG899,AJ899,AM899,AP899,AS899,AV899,AY899,BB899))</f>
        <v/>
      </c>
      <c r="P899" s="11">
        <f>IF(O899="","",N(N899)-O899)</f>
        <v/>
      </c>
      <c r="Q899" s="10">
        <f>IF(O899="","",IF($C899="","Invoice on empty job row",IF(N899="",IF(ROUND(O899,2)=0,"No dept value","Invoiced - no dept value"),IF(ROUND(O899,2)=0,"Not invoiced - to invoice",IF(ROUND(P899,2)=0,"Agrees",IF(P899&gt;0,"Dept higher - to invoice","Xero higher - check dept"))))))</f>
        <v/>
      </c>
      <c r="R899" s="10">
        <f>IF(AND($C899="",NOT(COUNTA($S899:$BB899)&gt;0),$BI899&lt;&gt;""),"",MID(IF($BI899="","; Row ID not found on the department sheet - a row was deleted","")&amp;IF(AND($C899="",COUNTA($S899:$BB899)&gt;0),"; Invoice entered but the department row has no job number","")&amp;IF(E899="CHECK","; Job number not in the Xero job list","")&amp;IF(AND($C899&lt;&gt;"",COUNTIF($C$7:$C$1506,$C899)&gt;1),"; Job number on more than one row","")&amp;IF(AND($C899&lt;&gt;"",H899=""),"; Dept has not set a cost centre","")&amp;IF(AND($C899&lt;&gt;"",J899=""),"; Dept has not set a tax code","")&amp;IF(AND($C899&lt;&gt;"",N899=""),"; Dept has not entered an expected value","")&amp;IF((IF(OR(COUNTA(S899:U899)=0,AND(COUNTA(S899:U899)=3,ISNUMBER(U899))),0,1)+IF(OR(COUNTA(V899:X899)=0,AND(COUNTA(V899:X899)=3,ISNUMBER(X899))),0,1)+IF(OR(COUNTA(Y899:AA899)=0,AND(COUNTA(Y899:AA899)=3,ISNUMBER(AA899))),0,1)+IF(OR(COUNTA(AB899:AD899)=0,AND(COUNTA(AB899:AD899)=3,ISNUMBER(AD899))),0,1)+IF(OR(COUNTA(AE899:AG899)=0,AND(COUNTA(AE899:AG899)=3,ISNUMBER(AG899))),0,1)+IF(OR(COUNTA(AH899:AJ899)=0,AND(COUNTA(AH899:AJ899)=3,ISNUMBER(AJ899))),0,1)+IF(OR(COUNTA(AK899:AM899)=0,AND(COUNTA(AK899:AM899)=3,ISNUMBER(AM899))),0,1)+IF(OR(COUNTA(AN899:AP899)=0,AND(COUNTA(AN899:AP899)=3,ISNUMBER(AP899))),0,1)+IF(OR(COUNTA(AQ899:AS899)=0,AND(COUNTA(AQ899:AS899)=3,ISNUMBER(AS899))),0,1)+IF(OR(COUNTA(AT899:AV899)=0,AND(COUNTA(AT899:AV899)=3,ISNUMBER(AV899))),0,1)+IF(OR(COUNTA(AW899:AY899)=0,AND(COUNTA(AW899:AY899)=3,ISNUMBER(AY899))),0,1)+IF(OR(COUNTA(AZ899:BB899)=0,AND(COUNTA(AZ899:BB899)=3,ISNUMBER(BB899))),0,1))&gt;0,"; An invoice is incomplete (needs No, Date and a number in Ex GST)","")&amp;IF((IF(T899="",0,IFERROR(--(EOMONTH(T899,0)&lt;&gt;S$5),1))+IF(W899="",0,IFERROR(--(EOMONTH(W899,0)&lt;&gt;V$5),1))+IF(Z899="",0,IFERROR(--(EOMONTH(Z899,0)&lt;&gt;Y$5),1))+IF(AC899="",0,IFERROR(--(EOMONTH(AC899,0)&lt;&gt;AB$5),1))+IF(AF899="",0,IFERROR(--(EOMONTH(AF899,0)&lt;&gt;AE$5),1))+IF(AI899="",0,IFERROR(--(EOMONTH(AI899,0)&lt;&gt;AH$5),1))+IF(AL899="",0,IFERROR(--(EOMONTH(AL899,0)&lt;&gt;AK$5),1))+IF(AO899="",0,IFERROR(--(EOMONTH(AO899,0)&lt;&gt;AN$5),1))+IF(AR899="",0,IFERROR(--(EOMONTH(AR899,0)&lt;&gt;AQ$5),1))+IF(AU899="",0,IFERROR(--(EOMONTH(AU899,0)&lt;&gt;AT$5),1))+IF(AX899="",0,IFERROR(--(EOMONTH(AX899,0)&lt;&gt;AW$5),1))+IF(BA899="",0,IFERROR(--(EOMONTH(BA899,0)&lt;&gt;AZ$5),1)))&gt;0,"; An invoice date is not in the month it is typed under",""),3,500))</f>
        <v/>
      </c>
      <c r="S899" s="12" t="n"/>
      <c r="T899" s="13" t="n"/>
      <c r="U899" s="14" t="n"/>
      <c r="V899" s="12" t="n"/>
      <c r="W899" s="13" t="n"/>
      <c r="X899" s="14" t="n"/>
      <c r="Y899" s="12" t="n"/>
      <c r="Z899" s="13" t="n"/>
      <c r="AA899" s="14" t="n"/>
      <c r="AB899" s="12" t="n"/>
      <c r="AC899" s="13" t="n"/>
      <c r="AD899" s="14" t="n"/>
      <c r="AE899" s="12" t="n"/>
      <c r="AF899" s="13" t="n"/>
      <c r="AG899" s="14" t="n"/>
      <c r="AH899" s="12" t="n"/>
      <c r="AI899" s="13" t="n"/>
      <c r="AJ899" s="14" t="n"/>
      <c r="AK899" s="12" t="n"/>
      <c r="AL899" s="13" t="n"/>
      <c r="AM899" s="14" t="n"/>
      <c r="AN899" s="12" t="n"/>
      <c r="AO899" s="13" t="n"/>
      <c r="AP899" s="14" t="n"/>
      <c r="AQ899" s="12" t="n"/>
      <c r="AR899" s="13" t="n"/>
      <c r="AS899" s="14" t="n"/>
      <c r="AT899" s="12" t="n"/>
      <c r="AU899" s="13" t="n"/>
      <c r="AV899" s="14" t="n"/>
      <c r="AW899" s="12" t="n"/>
      <c r="AX899" s="13" t="n"/>
      <c r="AY899" s="14" t="n"/>
      <c r="AZ899" s="12" t="n"/>
      <c r="BA899" s="13" t="n"/>
      <c r="BB899" s="14" t="n"/>
      <c r="BC899" s="11">
        <f>IF(O899="","",IF(J899="GST 10%",ROUND(O899*set_GSTRate,2),0))</f>
        <v/>
      </c>
      <c r="BD899" s="11">
        <f>IF(O899="","",O899+BC899)</f>
        <v/>
      </c>
      <c r="BE899" s="15">
        <f>IF(O899="","",COUNTA(S899,V899,Y899,AB899,AE899,AH899,AK899,AN899,AQ899,AT899,AW899,AZ899))</f>
        <v/>
      </c>
      <c r="BF899" s="16">
        <f>IF(COUNT(T899,W899,Z899,AC899,AF899,AI899,AL899,AO899,AR899,AU899,AX899,BA899)=0,"",MAX(T899,W899,Z899,AC899,AF899,AI899,AL899,AO899,AR899,AU899,AX899,BA899))</f>
        <v/>
      </c>
      <c r="BG899" s="10">
        <f>MID(IF(S899="","",", "&amp;S899)&amp;IF(V899="","",", "&amp;V899)&amp;IF(Y899="","",", "&amp;Y899)&amp;IF(AB899="","",", "&amp;AB899)&amp;IF(AE899="","",", "&amp;AE899)&amp;IF(AH899="","",", "&amp;AH899)&amp;IF(AK899="","",", "&amp;AK899)&amp;IF(AN899="","",", "&amp;AN899)&amp;IF(AQ899="","",", "&amp;AQ899)&amp;IF(AT899="","",", "&amp;AT899)&amp;IF(AW899="","",", "&amp;AW899)&amp;IF(AZ899="","",", "&amp;AZ899),3,500)</f>
        <v/>
      </c>
      <c r="BH899" s="12" t="n"/>
      <c r="BI899" s="15">
        <f>IFERROR(MATCH($A899,IF($B899="Onsite",tbl_Onsite[Row ID],IF($B899="Production",tbl_Production[Row ID],tbl_Consulting[Row ID])),0),"")</f>
        <v/>
      </c>
    </row>
    <row r="900">
      <c r="A900" s="10" t="inlineStr">
        <is>
          <t>PRD-0394</t>
        </is>
      </c>
      <c r="B900" s="10" t="inlineStr">
        <is>
          <t>Production</t>
        </is>
      </c>
      <c r="C900" s="10">
        <f>IF($BI900="","",IF($B900="Onsite",INDEX(tbl_Onsite[Job Number],$BI900),IF($B900="Production",INDEX(tbl_Production[Job Number],$BI900),INDEX(tbl_Consulting[Job Number],$BI900)))&amp;"")</f>
        <v/>
      </c>
      <c r="D900" s="10">
        <f>IF($BI900="","",IF($B900="Onsite",INDEX(tbl_Onsite[Client],$BI900),IF($B900="Production",INDEX(tbl_Production[Client],$BI900),INDEX(tbl_Consulting[Client],$BI900)))&amp;"")</f>
        <v/>
      </c>
      <c r="E900" s="10">
        <f>IF($C900="","",IF(COUNTIF(lst_Jobs,$C900)&gt;0,"OK","CHECK"))</f>
        <v/>
      </c>
      <c r="F900" s="10">
        <f>IF($C900="","",IFERROR(INDEX(lst_JobName,MATCH($C900,lst_Jobs,0)),""))</f>
        <v/>
      </c>
      <c r="G900" s="10">
        <f>IF($BI900="","",IF($B900="Onsite",INDEX(tbl_Onsite[Job Description],$BI900),IF($B900="Production",INDEX(tbl_Production[Job Description],$BI900),INDEX(tbl_Consulting[Job Description],$BI900)))&amp;"")</f>
        <v/>
      </c>
      <c r="H900" s="10">
        <f>IF($BI900="","",IF($B900="Onsite",INDEX(tbl_Onsite[Cost Centre],$BI900),IF($B900="Production",INDEX(tbl_Production[Cost Centre],$BI900),INDEX(tbl_Consulting[Cost Centre],$BI900)))&amp;"")</f>
        <v/>
      </c>
      <c r="I900" s="10">
        <f>IF($BI900="","",IF($B900="Onsite",INDEX(tbl_Onsite[Invoice Type],$BI900),IF($B900="Production",INDEX(tbl_Production[Invoice Type],$BI900),INDEX(tbl_Consulting[Invoice Type],$BI900)))&amp;"")</f>
        <v/>
      </c>
      <c r="J900" s="10">
        <f>IF($BI900="","",IF($B900="Onsite",INDEX(tbl_Onsite[Tax Code],$BI900),IF($B900="Production",INDEX(tbl_Production[Tax Code],$BI900),INDEX(tbl_Consulting[Tax Code],$BI900)))&amp;"")</f>
        <v/>
      </c>
      <c r="K900" s="10">
        <f>IF(H900="","",IFERROR(INDEX(lst_CCtoGL,MATCH(H900,lst_CCforGL,0)),""))</f>
        <v/>
      </c>
      <c r="L900" s="10">
        <f>IF($BI900="","",IF($B900="Onsite",INDEX(tbl_Onsite[PO / Reference],$BI900),IF($B900="Production",INDEX(tbl_Production[Current RMS No],$BI900),INDEX(tbl_Consulting[Qwilr Quote],$BI900)))&amp;"")</f>
        <v/>
      </c>
      <c r="M900" s="10">
        <f>IF($BI900="","",IF($B900="Onsite",INDEX(tbl_Onsite[Notes],$BI900),IF($B900="Production",INDEX(tbl_Production[Notes],$BI900),INDEX(tbl_Consulting[Notes],$BI900)))&amp;"")</f>
        <v/>
      </c>
      <c r="N900" s="11">
        <f>IF($BI900="","",IF(IF($B900="Onsite",INDEX(tbl_Onsite[Expected Revenue Ex GST],$BI900),IF($B900="Production",INDEX(tbl_Production[Expected Revenue Ex GST],$BI900),INDEX(tbl_Consulting[Expected Revenue Ex GST],$BI900)))="","",IF($B900="Onsite",INDEX(tbl_Onsite[Expected Revenue Ex GST],$BI900),IF($B900="Production",INDEX(tbl_Production[Expected Revenue Ex GST],$BI900),INDEX(tbl_Consulting[Expected Revenue Ex GST],$BI900)))))</f>
        <v/>
      </c>
      <c r="O900" s="11">
        <f>IF(AND($C900="",NOT(COUNTA($S900:$BB900)&gt;0)),"",SUM(U900,X900,AA900,AD900,AG900,AJ900,AM900,AP900,AS900,AV900,AY900,BB900))</f>
        <v/>
      </c>
      <c r="P900" s="11">
        <f>IF(O900="","",N(N900)-O900)</f>
        <v/>
      </c>
      <c r="Q900" s="10">
        <f>IF(O900="","",IF($C900="","Invoice on empty job row",IF(N900="",IF(ROUND(O900,2)=0,"No dept value","Invoiced - no dept value"),IF(ROUND(O900,2)=0,"Not invoiced - to invoice",IF(ROUND(P900,2)=0,"Agrees",IF(P900&gt;0,"Dept higher - to invoice","Xero higher - check dept"))))))</f>
        <v/>
      </c>
      <c r="R900" s="10">
        <f>IF(AND($C900="",NOT(COUNTA($S900:$BB900)&gt;0),$BI900&lt;&gt;""),"",MID(IF($BI900="","; Row ID not found on the department sheet - a row was deleted","")&amp;IF(AND($C900="",COUNTA($S900:$BB900)&gt;0),"; Invoice entered but the department row has no job number","")&amp;IF(E900="CHECK","; Job number not in the Xero job list","")&amp;IF(AND($C900&lt;&gt;"",COUNTIF($C$7:$C$1506,$C900)&gt;1),"; Job number on more than one row","")&amp;IF(AND($C900&lt;&gt;"",H900=""),"; Dept has not set a cost centre","")&amp;IF(AND($C900&lt;&gt;"",J900=""),"; Dept has not set a tax code","")&amp;IF(AND($C900&lt;&gt;"",N900=""),"; Dept has not entered an expected value","")&amp;IF((IF(OR(COUNTA(S900:U900)=0,AND(COUNTA(S900:U900)=3,ISNUMBER(U900))),0,1)+IF(OR(COUNTA(V900:X900)=0,AND(COUNTA(V900:X900)=3,ISNUMBER(X900))),0,1)+IF(OR(COUNTA(Y900:AA900)=0,AND(COUNTA(Y900:AA900)=3,ISNUMBER(AA900))),0,1)+IF(OR(COUNTA(AB900:AD900)=0,AND(COUNTA(AB900:AD900)=3,ISNUMBER(AD900))),0,1)+IF(OR(COUNTA(AE900:AG900)=0,AND(COUNTA(AE900:AG900)=3,ISNUMBER(AG900))),0,1)+IF(OR(COUNTA(AH900:AJ900)=0,AND(COUNTA(AH900:AJ900)=3,ISNUMBER(AJ900))),0,1)+IF(OR(COUNTA(AK900:AM900)=0,AND(COUNTA(AK900:AM900)=3,ISNUMBER(AM900))),0,1)+IF(OR(COUNTA(AN900:AP900)=0,AND(COUNTA(AN900:AP900)=3,ISNUMBER(AP900))),0,1)+IF(OR(COUNTA(AQ900:AS900)=0,AND(COUNTA(AQ900:AS900)=3,ISNUMBER(AS900))),0,1)+IF(OR(COUNTA(AT900:AV900)=0,AND(COUNTA(AT900:AV900)=3,ISNUMBER(AV900))),0,1)+IF(OR(COUNTA(AW900:AY900)=0,AND(COUNTA(AW900:AY900)=3,ISNUMBER(AY900))),0,1)+IF(OR(COUNTA(AZ900:BB900)=0,AND(COUNTA(AZ900:BB900)=3,ISNUMBER(BB900))),0,1))&gt;0,"; An invoice is incomplete (needs No, Date and a number in Ex GST)","")&amp;IF((IF(T900="",0,IFERROR(--(EOMONTH(T900,0)&lt;&gt;S$5),1))+IF(W900="",0,IFERROR(--(EOMONTH(W900,0)&lt;&gt;V$5),1))+IF(Z900="",0,IFERROR(--(EOMONTH(Z900,0)&lt;&gt;Y$5),1))+IF(AC900="",0,IFERROR(--(EOMONTH(AC900,0)&lt;&gt;AB$5),1))+IF(AF900="",0,IFERROR(--(EOMONTH(AF900,0)&lt;&gt;AE$5),1))+IF(AI900="",0,IFERROR(--(EOMONTH(AI900,0)&lt;&gt;AH$5),1))+IF(AL900="",0,IFERROR(--(EOMONTH(AL900,0)&lt;&gt;AK$5),1))+IF(AO900="",0,IFERROR(--(EOMONTH(AO900,0)&lt;&gt;AN$5),1))+IF(AR900="",0,IFERROR(--(EOMONTH(AR900,0)&lt;&gt;AQ$5),1))+IF(AU900="",0,IFERROR(--(EOMONTH(AU900,0)&lt;&gt;AT$5),1))+IF(AX900="",0,IFERROR(--(EOMONTH(AX900,0)&lt;&gt;AW$5),1))+IF(BA900="",0,IFERROR(--(EOMONTH(BA900,0)&lt;&gt;AZ$5),1)))&gt;0,"; An invoice date is not in the month it is typed under",""),3,500))</f>
        <v/>
      </c>
      <c r="S900" s="12" t="n"/>
      <c r="T900" s="13" t="n"/>
      <c r="U900" s="14" t="n"/>
      <c r="V900" s="12" t="n"/>
      <c r="W900" s="13" t="n"/>
      <c r="X900" s="14" t="n"/>
      <c r="Y900" s="12" t="n"/>
      <c r="Z900" s="13" t="n"/>
      <c r="AA900" s="14" t="n"/>
      <c r="AB900" s="12" t="n"/>
      <c r="AC900" s="13" t="n"/>
      <c r="AD900" s="14" t="n"/>
      <c r="AE900" s="12" t="n"/>
      <c r="AF900" s="13" t="n"/>
      <c r="AG900" s="14" t="n"/>
      <c r="AH900" s="12" t="n"/>
      <c r="AI900" s="13" t="n"/>
      <c r="AJ900" s="14" t="n"/>
      <c r="AK900" s="12" t="n"/>
      <c r="AL900" s="13" t="n"/>
      <c r="AM900" s="14" t="n"/>
      <c r="AN900" s="12" t="n"/>
      <c r="AO900" s="13" t="n"/>
      <c r="AP900" s="14" t="n"/>
      <c r="AQ900" s="12" t="n"/>
      <c r="AR900" s="13" t="n"/>
      <c r="AS900" s="14" t="n"/>
      <c r="AT900" s="12" t="n"/>
      <c r="AU900" s="13" t="n"/>
      <c r="AV900" s="14" t="n"/>
      <c r="AW900" s="12" t="n"/>
      <c r="AX900" s="13" t="n"/>
      <c r="AY900" s="14" t="n"/>
      <c r="AZ900" s="12" t="n"/>
      <c r="BA900" s="13" t="n"/>
      <c r="BB900" s="14" t="n"/>
      <c r="BC900" s="11">
        <f>IF(O900="","",IF(J900="GST 10%",ROUND(O900*set_GSTRate,2),0))</f>
        <v/>
      </c>
      <c r="BD900" s="11">
        <f>IF(O900="","",O900+BC900)</f>
        <v/>
      </c>
      <c r="BE900" s="15">
        <f>IF(O900="","",COUNTA(S900,V900,Y900,AB900,AE900,AH900,AK900,AN900,AQ900,AT900,AW900,AZ900))</f>
        <v/>
      </c>
      <c r="BF900" s="16">
        <f>IF(COUNT(T900,W900,Z900,AC900,AF900,AI900,AL900,AO900,AR900,AU900,AX900,BA900)=0,"",MAX(T900,W900,Z900,AC900,AF900,AI900,AL900,AO900,AR900,AU900,AX900,BA900))</f>
        <v/>
      </c>
      <c r="BG900" s="10">
        <f>MID(IF(S900="","",", "&amp;S900)&amp;IF(V900="","",", "&amp;V900)&amp;IF(Y900="","",", "&amp;Y900)&amp;IF(AB900="","",", "&amp;AB900)&amp;IF(AE900="","",", "&amp;AE900)&amp;IF(AH900="","",", "&amp;AH900)&amp;IF(AK900="","",", "&amp;AK900)&amp;IF(AN900="","",", "&amp;AN900)&amp;IF(AQ900="","",", "&amp;AQ900)&amp;IF(AT900="","",", "&amp;AT900)&amp;IF(AW900="","",", "&amp;AW900)&amp;IF(AZ900="","",", "&amp;AZ900),3,500)</f>
        <v/>
      </c>
      <c r="BH900" s="12" t="n"/>
      <c r="BI900" s="15">
        <f>IFERROR(MATCH($A900,IF($B900="Onsite",tbl_Onsite[Row ID],IF($B900="Production",tbl_Production[Row ID],tbl_Consulting[Row ID])),0),"")</f>
        <v/>
      </c>
    </row>
    <row r="901">
      <c r="A901" s="10" t="inlineStr">
        <is>
          <t>PRD-0395</t>
        </is>
      </c>
      <c r="B901" s="10" t="inlineStr">
        <is>
          <t>Production</t>
        </is>
      </c>
      <c r="C901" s="10">
        <f>IF($BI901="","",IF($B901="Onsite",INDEX(tbl_Onsite[Job Number],$BI901),IF($B901="Production",INDEX(tbl_Production[Job Number],$BI901),INDEX(tbl_Consulting[Job Number],$BI901)))&amp;"")</f>
        <v/>
      </c>
      <c r="D901" s="10">
        <f>IF($BI901="","",IF($B901="Onsite",INDEX(tbl_Onsite[Client],$BI901),IF($B901="Production",INDEX(tbl_Production[Client],$BI901),INDEX(tbl_Consulting[Client],$BI901)))&amp;"")</f>
        <v/>
      </c>
      <c r="E901" s="10">
        <f>IF($C901="","",IF(COUNTIF(lst_Jobs,$C901)&gt;0,"OK","CHECK"))</f>
        <v/>
      </c>
      <c r="F901" s="10">
        <f>IF($C901="","",IFERROR(INDEX(lst_JobName,MATCH($C901,lst_Jobs,0)),""))</f>
        <v/>
      </c>
      <c r="G901" s="10">
        <f>IF($BI901="","",IF($B901="Onsite",INDEX(tbl_Onsite[Job Description],$BI901),IF($B901="Production",INDEX(tbl_Production[Job Description],$BI901),INDEX(tbl_Consulting[Job Description],$BI901)))&amp;"")</f>
        <v/>
      </c>
      <c r="H901" s="10">
        <f>IF($BI901="","",IF($B901="Onsite",INDEX(tbl_Onsite[Cost Centre],$BI901),IF($B901="Production",INDEX(tbl_Production[Cost Centre],$BI901),INDEX(tbl_Consulting[Cost Centre],$BI901)))&amp;"")</f>
        <v/>
      </c>
      <c r="I901" s="10">
        <f>IF($BI901="","",IF($B901="Onsite",INDEX(tbl_Onsite[Invoice Type],$BI901),IF($B901="Production",INDEX(tbl_Production[Invoice Type],$BI901),INDEX(tbl_Consulting[Invoice Type],$BI901)))&amp;"")</f>
        <v/>
      </c>
      <c r="J901" s="10">
        <f>IF($BI901="","",IF($B901="Onsite",INDEX(tbl_Onsite[Tax Code],$BI901),IF($B901="Production",INDEX(tbl_Production[Tax Code],$BI901),INDEX(tbl_Consulting[Tax Code],$BI901)))&amp;"")</f>
        <v/>
      </c>
      <c r="K901" s="10">
        <f>IF(H901="","",IFERROR(INDEX(lst_CCtoGL,MATCH(H901,lst_CCforGL,0)),""))</f>
        <v/>
      </c>
      <c r="L901" s="10">
        <f>IF($BI901="","",IF($B901="Onsite",INDEX(tbl_Onsite[PO / Reference],$BI901),IF($B901="Production",INDEX(tbl_Production[Current RMS No],$BI901),INDEX(tbl_Consulting[Qwilr Quote],$BI901)))&amp;"")</f>
        <v/>
      </c>
      <c r="M901" s="10">
        <f>IF($BI901="","",IF($B901="Onsite",INDEX(tbl_Onsite[Notes],$BI901),IF($B901="Production",INDEX(tbl_Production[Notes],$BI901),INDEX(tbl_Consulting[Notes],$BI901)))&amp;"")</f>
        <v/>
      </c>
      <c r="N901" s="11">
        <f>IF($BI901="","",IF(IF($B901="Onsite",INDEX(tbl_Onsite[Expected Revenue Ex GST],$BI901),IF($B901="Production",INDEX(tbl_Production[Expected Revenue Ex GST],$BI901),INDEX(tbl_Consulting[Expected Revenue Ex GST],$BI901)))="","",IF($B901="Onsite",INDEX(tbl_Onsite[Expected Revenue Ex GST],$BI901),IF($B901="Production",INDEX(tbl_Production[Expected Revenue Ex GST],$BI901),INDEX(tbl_Consulting[Expected Revenue Ex GST],$BI901)))))</f>
        <v/>
      </c>
      <c r="O901" s="11">
        <f>IF(AND($C901="",NOT(COUNTA($S901:$BB901)&gt;0)),"",SUM(U901,X901,AA901,AD901,AG901,AJ901,AM901,AP901,AS901,AV901,AY901,BB901))</f>
        <v/>
      </c>
      <c r="P901" s="11">
        <f>IF(O901="","",N(N901)-O901)</f>
        <v/>
      </c>
      <c r="Q901" s="10">
        <f>IF(O901="","",IF($C901="","Invoice on empty job row",IF(N901="",IF(ROUND(O901,2)=0,"No dept value","Invoiced - no dept value"),IF(ROUND(O901,2)=0,"Not invoiced - to invoice",IF(ROUND(P901,2)=0,"Agrees",IF(P901&gt;0,"Dept higher - to invoice","Xero higher - check dept"))))))</f>
        <v/>
      </c>
      <c r="R901" s="10">
        <f>IF(AND($C901="",NOT(COUNTA($S901:$BB901)&gt;0),$BI901&lt;&gt;""),"",MID(IF($BI901="","; Row ID not found on the department sheet - a row was deleted","")&amp;IF(AND($C901="",COUNTA($S901:$BB901)&gt;0),"; Invoice entered but the department row has no job number","")&amp;IF(E901="CHECK","; Job number not in the Xero job list","")&amp;IF(AND($C901&lt;&gt;"",COUNTIF($C$7:$C$1506,$C901)&gt;1),"; Job number on more than one row","")&amp;IF(AND($C901&lt;&gt;"",H901=""),"; Dept has not set a cost centre","")&amp;IF(AND($C901&lt;&gt;"",J901=""),"; Dept has not set a tax code","")&amp;IF(AND($C901&lt;&gt;"",N901=""),"; Dept has not entered an expected value","")&amp;IF((IF(OR(COUNTA(S901:U901)=0,AND(COUNTA(S901:U901)=3,ISNUMBER(U901))),0,1)+IF(OR(COUNTA(V901:X901)=0,AND(COUNTA(V901:X901)=3,ISNUMBER(X901))),0,1)+IF(OR(COUNTA(Y901:AA901)=0,AND(COUNTA(Y901:AA901)=3,ISNUMBER(AA901))),0,1)+IF(OR(COUNTA(AB901:AD901)=0,AND(COUNTA(AB901:AD901)=3,ISNUMBER(AD901))),0,1)+IF(OR(COUNTA(AE901:AG901)=0,AND(COUNTA(AE901:AG901)=3,ISNUMBER(AG901))),0,1)+IF(OR(COUNTA(AH901:AJ901)=0,AND(COUNTA(AH901:AJ901)=3,ISNUMBER(AJ901))),0,1)+IF(OR(COUNTA(AK901:AM901)=0,AND(COUNTA(AK901:AM901)=3,ISNUMBER(AM901))),0,1)+IF(OR(COUNTA(AN901:AP901)=0,AND(COUNTA(AN901:AP901)=3,ISNUMBER(AP901))),0,1)+IF(OR(COUNTA(AQ901:AS901)=0,AND(COUNTA(AQ901:AS901)=3,ISNUMBER(AS901))),0,1)+IF(OR(COUNTA(AT901:AV901)=0,AND(COUNTA(AT901:AV901)=3,ISNUMBER(AV901))),0,1)+IF(OR(COUNTA(AW901:AY901)=0,AND(COUNTA(AW901:AY901)=3,ISNUMBER(AY901))),0,1)+IF(OR(COUNTA(AZ901:BB901)=0,AND(COUNTA(AZ901:BB901)=3,ISNUMBER(BB901))),0,1))&gt;0,"; An invoice is incomplete (needs No, Date and a number in Ex GST)","")&amp;IF((IF(T901="",0,IFERROR(--(EOMONTH(T901,0)&lt;&gt;S$5),1))+IF(W901="",0,IFERROR(--(EOMONTH(W901,0)&lt;&gt;V$5),1))+IF(Z901="",0,IFERROR(--(EOMONTH(Z901,0)&lt;&gt;Y$5),1))+IF(AC901="",0,IFERROR(--(EOMONTH(AC901,0)&lt;&gt;AB$5),1))+IF(AF901="",0,IFERROR(--(EOMONTH(AF901,0)&lt;&gt;AE$5),1))+IF(AI901="",0,IFERROR(--(EOMONTH(AI901,0)&lt;&gt;AH$5),1))+IF(AL901="",0,IFERROR(--(EOMONTH(AL901,0)&lt;&gt;AK$5),1))+IF(AO901="",0,IFERROR(--(EOMONTH(AO901,0)&lt;&gt;AN$5),1))+IF(AR901="",0,IFERROR(--(EOMONTH(AR901,0)&lt;&gt;AQ$5),1))+IF(AU901="",0,IFERROR(--(EOMONTH(AU901,0)&lt;&gt;AT$5),1))+IF(AX901="",0,IFERROR(--(EOMONTH(AX901,0)&lt;&gt;AW$5),1))+IF(BA901="",0,IFERROR(--(EOMONTH(BA901,0)&lt;&gt;AZ$5),1)))&gt;0,"; An invoice date is not in the month it is typed under",""),3,500))</f>
        <v/>
      </c>
      <c r="S901" s="12" t="n"/>
      <c r="T901" s="13" t="n"/>
      <c r="U901" s="14" t="n"/>
      <c r="V901" s="12" t="n"/>
      <c r="W901" s="13" t="n"/>
      <c r="X901" s="14" t="n"/>
      <c r="Y901" s="12" t="n"/>
      <c r="Z901" s="13" t="n"/>
      <c r="AA901" s="14" t="n"/>
      <c r="AB901" s="12" t="n"/>
      <c r="AC901" s="13" t="n"/>
      <c r="AD901" s="14" t="n"/>
      <c r="AE901" s="12" t="n"/>
      <c r="AF901" s="13" t="n"/>
      <c r="AG901" s="14" t="n"/>
      <c r="AH901" s="12" t="n"/>
      <c r="AI901" s="13" t="n"/>
      <c r="AJ901" s="14" t="n"/>
      <c r="AK901" s="12" t="n"/>
      <c r="AL901" s="13" t="n"/>
      <c r="AM901" s="14" t="n"/>
      <c r="AN901" s="12" t="n"/>
      <c r="AO901" s="13" t="n"/>
      <c r="AP901" s="14" t="n"/>
      <c r="AQ901" s="12" t="n"/>
      <c r="AR901" s="13" t="n"/>
      <c r="AS901" s="14" t="n"/>
      <c r="AT901" s="12" t="n"/>
      <c r="AU901" s="13" t="n"/>
      <c r="AV901" s="14" t="n"/>
      <c r="AW901" s="12" t="n"/>
      <c r="AX901" s="13" t="n"/>
      <c r="AY901" s="14" t="n"/>
      <c r="AZ901" s="12" t="n"/>
      <c r="BA901" s="13" t="n"/>
      <c r="BB901" s="14" t="n"/>
      <c r="BC901" s="11">
        <f>IF(O901="","",IF(J901="GST 10%",ROUND(O901*set_GSTRate,2),0))</f>
        <v/>
      </c>
      <c r="BD901" s="11">
        <f>IF(O901="","",O901+BC901)</f>
        <v/>
      </c>
      <c r="BE901" s="15">
        <f>IF(O901="","",COUNTA(S901,V901,Y901,AB901,AE901,AH901,AK901,AN901,AQ901,AT901,AW901,AZ901))</f>
        <v/>
      </c>
      <c r="BF901" s="16">
        <f>IF(COUNT(T901,W901,Z901,AC901,AF901,AI901,AL901,AO901,AR901,AU901,AX901,BA901)=0,"",MAX(T901,W901,Z901,AC901,AF901,AI901,AL901,AO901,AR901,AU901,AX901,BA901))</f>
        <v/>
      </c>
      <c r="BG901" s="10">
        <f>MID(IF(S901="","",", "&amp;S901)&amp;IF(V901="","",", "&amp;V901)&amp;IF(Y901="","",", "&amp;Y901)&amp;IF(AB901="","",", "&amp;AB901)&amp;IF(AE901="","",", "&amp;AE901)&amp;IF(AH901="","",", "&amp;AH901)&amp;IF(AK901="","",", "&amp;AK901)&amp;IF(AN901="","",", "&amp;AN901)&amp;IF(AQ901="","",", "&amp;AQ901)&amp;IF(AT901="","",", "&amp;AT901)&amp;IF(AW901="","",", "&amp;AW901)&amp;IF(AZ901="","",", "&amp;AZ901),3,500)</f>
        <v/>
      </c>
      <c r="BH901" s="12" t="n"/>
      <c r="BI901" s="15">
        <f>IFERROR(MATCH($A901,IF($B901="Onsite",tbl_Onsite[Row ID],IF($B901="Production",tbl_Production[Row ID],tbl_Consulting[Row ID])),0),"")</f>
        <v/>
      </c>
    </row>
    <row r="902">
      <c r="A902" s="10" t="inlineStr">
        <is>
          <t>PRD-0396</t>
        </is>
      </c>
      <c r="B902" s="10" t="inlineStr">
        <is>
          <t>Production</t>
        </is>
      </c>
      <c r="C902" s="10">
        <f>IF($BI902="","",IF($B902="Onsite",INDEX(tbl_Onsite[Job Number],$BI902),IF($B902="Production",INDEX(tbl_Production[Job Number],$BI902),INDEX(tbl_Consulting[Job Number],$BI902)))&amp;"")</f>
        <v/>
      </c>
      <c r="D902" s="10">
        <f>IF($BI902="","",IF($B902="Onsite",INDEX(tbl_Onsite[Client],$BI902),IF($B902="Production",INDEX(tbl_Production[Client],$BI902),INDEX(tbl_Consulting[Client],$BI902)))&amp;"")</f>
        <v/>
      </c>
      <c r="E902" s="10">
        <f>IF($C902="","",IF(COUNTIF(lst_Jobs,$C902)&gt;0,"OK","CHECK"))</f>
        <v/>
      </c>
      <c r="F902" s="10">
        <f>IF($C902="","",IFERROR(INDEX(lst_JobName,MATCH($C902,lst_Jobs,0)),""))</f>
        <v/>
      </c>
      <c r="G902" s="10">
        <f>IF($BI902="","",IF($B902="Onsite",INDEX(tbl_Onsite[Job Description],$BI902),IF($B902="Production",INDEX(tbl_Production[Job Description],$BI902),INDEX(tbl_Consulting[Job Description],$BI902)))&amp;"")</f>
        <v/>
      </c>
      <c r="H902" s="10">
        <f>IF($BI902="","",IF($B902="Onsite",INDEX(tbl_Onsite[Cost Centre],$BI902),IF($B902="Production",INDEX(tbl_Production[Cost Centre],$BI902),INDEX(tbl_Consulting[Cost Centre],$BI902)))&amp;"")</f>
        <v/>
      </c>
      <c r="I902" s="10">
        <f>IF($BI902="","",IF($B902="Onsite",INDEX(tbl_Onsite[Invoice Type],$BI902),IF($B902="Production",INDEX(tbl_Production[Invoice Type],$BI902),INDEX(tbl_Consulting[Invoice Type],$BI902)))&amp;"")</f>
        <v/>
      </c>
      <c r="J902" s="10">
        <f>IF($BI902="","",IF($B902="Onsite",INDEX(tbl_Onsite[Tax Code],$BI902),IF($B902="Production",INDEX(tbl_Production[Tax Code],$BI902),INDEX(tbl_Consulting[Tax Code],$BI902)))&amp;"")</f>
        <v/>
      </c>
      <c r="K902" s="10">
        <f>IF(H902="","",IFERROR(INDEX(lst_CCtoGL,MATCH(H902,lst_CCforGL,0)),""))</f>
        <v/>
      </c>
      <c r="L902" s="10">
        <f>IF($BI902="","",IF($B902="Onsite",INDEX(tbl_Onsite[PO / Reference],$BI902),IF($B902="Production",INDEX(tbl_Production[Current RMS No],$BI902),INDEX(tbl_Consulting[Qwilr Quote],$BI902)))&amp;"")</f>
        <v/>
      </c>
      <c r="M902" s="10">
        <f>IF($BI902="","",IF($B902="Onsite",INDEX(tbl_Onsite[Notes],$BI902),IF($B902="Production",INDEX(tbl_Production[Notes],$BI902),INDEX(tbl_Consulting[Notes],$BI902)))&amp;"")</f>
        <v/>
      </c>
      <c r="N902" s="11">
        <f>IF($BI902="","",IF(IF($B902="Onsite",INDEX(tbl_Onsite[Expected Revenue Ex GST],$BI902),IF($B902="Production",INDEX(tbl_Production[Expected Revenue Ex GST],$BI902),INDEX(tbl_Consulting[Expected Revenue Ex GST],$BI902)))="","",IF($B902="Onsite",INDEX(tbl_Onsite[Expected Revenue Ex GST],$BI902),IF($B902="Production",INDEX(tbl_Production[Expected Revenue Ex GST],$BI902),INDEX(tbl_Consulting[Expected Revenue Ex GST],$BI902)))))</f>
        <v/>
      </c>
      <c r="O902" s="11">
        <f>IF(AND($C902="",NOT(COUNTA($S902:$BB902)&gt;0)),"",SUM(U902,X902,AA902,AD902,AG902,AJ902,AM902,AP902,AS902,AV902,AY902,BB902))</f>
        <v/>
      </c>
      <c r="P902" s="11">
        <f>IF(O902="","",N(N902)-O902)</f>
        <v/>
      </c>
      <c r="Q902" s="10">
        <f>IF(O902="","",IF($C902="","Invoice on empty job row",IF(N902="",IF(ROUND(O902,2)=0,"No dept value","Invoiced - no dept value"),IF(ROUND(O902,2)=0,"Not invoiced - to invoice",IF(ROUND(P902,2)=0,"Agrees",IF(P902&gt;0,"Dept higher - to invoice","Xero higher - check dept"))))))</f>
        <v/>
      </c>
      <c r="R902" s="10">
        <f>IF(AND($C902="",NOT(COUNTA($S902:$BB902)&gt;0),$BI902&lt;&gt;""),"",MID(IF($BI902="","; Row ID not found on the department sheet - a row was deleted","")&amp;IF(AND($C902="",COUNTA($S902:$BB902)&gt;0),"; Invoice entered but the department row has no job number","")&amp;IF(E902="CHECK","; Job number not in the Xero job list","")&amp;IF(AND($C902&lt;&gt;"",COUNTIF($C$7:$C$1506,$C902)&gt;1),"; Job number on more than one row","")&amp;IF(AND($C902&lt;&gt;"",H902=""),"; Dept has not set a cost centre","")&amp;IF(AND($C902&lt;&gt;"",J902=""),"; Dept has not set a tax code","")&amp;IF(AND($C902&lt;&gt;"",N902=""),"; Dept has not entered an expected value","")&amp;IF((IF(OR(COUNTA(S902:U902)=0,AND(COUNTA(S902:U902)=3,ISNUMBER(U902))),0,1)+IF(OR(COUNTA(V902:X902)=0,AND(COUNTA(V902:X902)=3,ISNUMBER(X902))),0,1)+IF(OR(COUNTA(Y902:AA902)=0,AND(COUNTA(Y902:AA902)=3,ISNUMBER(AA902))),0,1)+IF(OR(COUNTA(AB902:AD902)=0,AND(COUNTA(AB902:AD902)=3,ISNUMBER(AD902))),0,1)+IF(OR(COUNTA(AE902:AG902)=0,AND(COUNTA(AE902:AG902)=3,ISNUMBER(AG902))),0,1)+IF(OR(COUNTA(AH902:AJ902)=0,AND(COUNTA(AH902:AJ902)=3,ISNUMBER(AJ902))),0,1)+IF(OR(COUNTA(AK902:AM902)=0,AND(COUNTA(AK902:AM902)=3,ISNUMBER(AM902))),0,1)+IF(OR(COUNTA(AN902:AP902)=0,AND(COUNTA(AN902:AP902)=3,ISNUMBER(AP902))),0,1)+IF(OR(COUNTA(AQ902:AS902)=0,AND(COUNTA(AQ902:AS902)=3,ISNUMBER(AS902))),0,1)+IF(OR(COUNTA(AT902:AV902)=0,AND(COUNTA(AT902:AV902)=3,ISNUMBER(AV902))),0,1)+IF(OR(COUNTA(AW902:AY902)=0,AND(COUNTA(AW902:AY902)=3,ISNUMBER(AY902))),0,1)+IF(OR(COUNTA(AZ902:BB902)=0,AND(COUNTA(AZ902:BB902)=3,ISNUMBER(BB902))),0,1))&gt;0,"; An invoice is incomplete (needs No, Date and a number in Ex GST)","")&amp;IF((IF(T902="",0,IFERROR(--(EOMONTH(T902,0)&lt;&gt;S$5),1))+IF(W902="",0,IFERROR(--(EOMONTH(W902,0)&lt;&gt;V$5),1))+IF(Z902="",0,IFERROR(--(EOMONTH(Z902,0)&lt;&gt;Y$5),1))+IF(AC902="",0,IFERROR(--(EOMONTH(AC902,0)&lt;&gt;AB$5),1))+IF(AF902="",0,IFERROR(--(EOMONTH(AF902,0)&lt;&gt;AE$5),1))+IF(AI902="",0,IFERROR(--(EOMONTH(AI902,0)&lt;&gt;AH$5),1))+IF(AL902="",0,IFERROR(--(EOMONTH(AL902,0)&lt;&gt;AK$5),1))+IF(AO902="",0,IFERROR(--(EOMONTH(AO902,0)&lt;&gt;AN$5),1))+IF(AR902="",0,IFERROR(--(EOMONTH(AR902,0)&lt;&gt;AQ$5),1))+IF(AU902="",0,IFERROR(--(EOMONTH(AU902,0)&lt;&gt;AT$5),1))+IF(AX902="",0,IFERROR(--(EOMONTH(AX902,0)&lt;&gt;AW$5),1))+IF(BA902="",0,IFERROR(--(EOMONTH(BA902,0)&lt;&gt;AZ$5),1)))&gt;0,"; An invoice date is not in the month it is typed under",""),3,500))</f>
        <v/>
      </c>
      <c r="S902" s="12" t="n"/>
      <c r="T902" s="13" t="n"/>
      <c r="U902" s="14" t="n"/>
      <c r="V902" s="12" t="n"/>
      <c r="W902" s="13" t="n"/>
      <c r="X902" s="14" t="n"/>
      <c r="Y902" s="12" t="n"/>
      <c r="Z902" s="13" t="n"/>
      <c r="AA902" s="14" t="n"/>
      <c r="AB902" s="12" t="n"/>
      <c r="AC902" s="13" t="n"/>
      <c r="AD902" s="14" t="n"/>
      <c r="AE902" s="12" t="n"/>
      <c r="AF902" s="13" t="n"/>
      <c r="AG902" s="14" t="n"/>
      <c r="AH902" s="12" t="n"/>
      <c r="AI902" s="13" t="n"/>
      <c r="AJ902" s="14" t="n"/>
      <c r="AK902" s="12" t="n"/>
      <c r="AL902" s="13" t="n"/>
      <c r="AM902" s="14" t="n"/>
      <c r="AN902" s="12" t="n"/>
      <c r="AO902" s="13" t="n"/>
      <c r="AP902" s="14" t="n"/>
      <c r="AQ902" s="12" t="n"/>
      <c r="AR902" s="13" t="n"/>
      <c r="AS902" s="14" t="n"/>
      <c r="AT902" s="12" t="n"/>
      <c r="AU902" s="13" t="n"/>
      <c r="AV902" s="14" t="n"/>
      <c r="AW902" s="12" t="n"/>
      <c r="AX902" s="13" t="n"/>
      <c r="AY902" s="14" t="n"/>
      <c r="AZ902" s="12" t="n"/>
      <c r="BA902" s="13" t="n"/>
      <c r="BB902" s="14" t="n"/>
      <c r="BC902" s="11">
        <f>IF(O902="","",IF(J902="GST 10%",ROUND(O902*set_GSTRate,2),0))</f>
        <v/>
      </c>
      <c r="BD902" s="11">
        <f>IF(O902="","",O902+BC902)</f>
        <v/>
      </c>
      <c r="BE902" s="15">
        <f>IF(O902="","",COUNTA(S902,V902,Y902,AB902,AE902,AH902,AK902,AN902,AQ902,AT902,AW902,AZ902))</f>
        <v/>
      </c>
      <c r="BF902" s="16">
        <f>IF(COUNT(T902,W902,Z902,AC902,AF902,AI902,AL902,AO902,AR902,AU902,AX902,BA902)=0,"",MAX(T902,W902,Z902,AC902,AF902,AI902,AL902,AO902,AR902,AU902,AX902,BA902))</f>
        <v/>
      </c>
      <c r="BG902" s="10">
        <f>MID(IF(S902="","",", "&amp;S902)&amp;IF(V902="","",", "&amp;V902)&amp;IF(Y902="","",", "&amp;Y902)&amp;IF(AB902="","",", "&amp;AB902)&amp;IF(AE902="","",", "&amp;AE902)&amp;IF(AH902="","",", "&amp;AH902)&amp;IF(AK902="","",", "&amp;AK902)&amp;IF(AN902="","",", "&amp;AN902)&amp;IF(AQ902="","",", "&amp;AQ902)&amp;IF(AT902="","",", "&amp;AT902)&amp;IF(AW902="","",", "&amp;AW902)&amp;IF(AZ902="","",", "&amp;AZ902),3,500)</f>
        <v/>
      </c>
      <c r="BH902" s="12" t="n"/>
      <c r="BI902" s="15">
        <f>IFERROR(MATCH($A902,IF($B902="Onsite",tbl_Onsite[Row ID],IF($B902="Production",tbl_Production[Row ID],tbl_Consulting[Row ID])),0),"")</f>
        <v/>
      </c>
    </row>
    <row r="903">
      <c r="A903" s="10" t="inlineStr">
        <is>
          <t>PRD-0397</t>
        </is>
      </c>
      <c r="B903" s="10" t="inlineStr">
        <is>
          <t>Production</t>
        </is>
      </c>
      <c r="C903" s="10">
        <f>IF($BI903="","",IF($B903="Onsite",INDEX(tbl_Onsite[Job Number],$BI903),IF($B903="Production",INDEX(tbl_Production[Job Number],$BI903),INDEX(tbl_Consulting[Job Number],$BI903)))&amp;"")</f>
        <v/>
      </c>
      <c r="D903" s="10">
        <f>IF($BI903="","",IF($B903="Onsite",INDEX(tbl_Onsite[Client],$BI903),IF($B903="Production",INDEX(tbl_Production[Client],$BI903),INDEX(tbl_Consulting[Client],$BI903)))&amp;"")</f>
        <v/>
      </c>
      <c r="E903" s="10">
        <f>IF($C903="","",IF(COUNTIF(lst_Jobs,$C903)&gt;0,"OK","CHECK"))</f>
        <v/>
      </c>
      <c r="F903" s="10">
        <f>IF($C903="","",IFERROR(INDEX(lst_JobName,MATCH($C903,lst_Jobs,0)),""))</f>
        <v/>
      </c>
      <c r="G903" s="10">
        <f>IF($BI903="","",IF($B903="Onsite",INDEX(tbl_Onsite[Job Description],$BI903),IF($B903="Production",INDEX(tbl_Production[Job Description],$BI903),INDEX(tbl_Consulting[Job Description],$BI903)))&amp;"")</f>
        <v/>
      </c>
      <c r="H903" s="10">
        <f>IF($BI903="","",IF($B903="Onsite",INDEX(tbl_Onsite[Cost Centre],$BI903),IF($B903="Production",INDEX(tbl_Production[Cost Centre],$BI903),INDEX(tbl_Consulting[Cost Centre],$BI903)))&amp;"")</f>
        <v/>
      </c>
      <c r="I903" s="10">
        <f>IF($BI903="","",IF($B903="Onsite",INDEX(tbl_Onsite[Invoice Type],$BI903),IF($B903="Production",INDEX(tbl_Production[Invoice Type],$BI903),INDEX(tbl_Consulting[Invoice Type],$BI903)))&amp;"")</f>
        <v/>
      </c>
      <c r="J903" s="10">
        <f>IF($BI903="","",IF($B903="Onsite",INDEX(tbl_Onsite[Tax Code],$BI903),IF($B903="Production",INDEX(tbl_Production[Tax Code],$BI903),INDEX(tbl_Consulting[Tax Code],$BI903)))&amp;"")</f>
        <v/>
      </c>
      <c r="K903" s="10">
        <f>IF(H903="","",IFERROR(INDEX(lst_CCtoGL,MATCH(H903,lst_CCforGL,0)),""))</f>
        <v/>
      </c>
      <c r="L903" s="10">
        <f>IF($BI903="","",IF($B903="Onsite",INDEX(tbl_Onsite[PO / Reference],$BI903),IF($B903="Production",INDEX(tbl_Production[Current RMS No],$BI903),INDEX(tbl_Consulting[Qwilr Quote],$BI903)))&amp;"")</f>
        <v/>
      </c>
      <c r="M903" s="10">
        <f>IF($BI903="","",IF($B903="Onsite",INDEX(tbl_Onsite[Notes],$BI903),IF($B903="Production",INDEX(tbl_Production[Notes],$BI903),INDEX(tbl_Consulting[Notes],$BI903)))&amp;"")</f>
        <v/>
      </c>
      <c r="N903" s="11">
        <f>IF($BI903="","",IF(IF($B903="Onsite",INDEX(tbl_Onsite[Expected Revenue Ex GST],$BI903),IF($B903="Production",INDEX(tbl_Production[Expected Revenue Ex GST],$BI903),INDEX(tbl_Consulting[Expected Revenue Ex GST],$BI903)))="","",IF($B903="Onsite",INDEX(tbl_Onsite[Expected Revenue Ex GST],$BI903),IF($B903="Production",INDEX(tbl_Production[Expected Revenue Ex GST],$BI903),INDEX(tbl_Consulting[Expected Revenue Ex GST],$BI903)))))</f>
        <v/>
      </c>
      <c r="O903" s="11">
        <f>IF(AND($C903="",NOT(COUNTA($S903:$BB903)&gt;0)),"",SUM(U903,X903,AA903,AD903,AG903,AJ903,AM903,AP903,AS903,AV903,AY903,BB903))</f>
        <v/>
      </c>
      <c r="P903" s="11">
        <f>IF(O903="","",N(N903)-O903)</f>
        <v/>
      </c>
      <c r="Q903" s="10">
        <f>IF(O903="","",IF($C903="","Invoice on empty job row",IF(N903="",IF(ROUND(O903,2)=0,"No dept value","Invoiced - no dept value"),IF(ROUND(O903,2)=0,"Not invoiced - to invoice",IF(ROUND(P903,2)=0,"Agrees",IF(P903&gt;0,"Dept higher - to invoice","Xero higher - check dept"))))))</f>
        <v/>
      </c>
      <c r="R903" s="10">
        <f>IF(AND($C903="",NOT(COUNTA($S903:$BB903)&gt;0),$BI903&lt;&gt;""),"",MID(IF($BI903="","; Row ID not found on the department sheet - a row was deleted","")&amp;IF(AND($C903="",COUNTA($S903:$BB903)&gt;0),"; Invoice entered but the department row has no job number","")&amp;IF(E903="CHECK","; Job number not in the Xero job list","")&amp;IF(AND($C903&lt;&gt;"",COUNTIF($C$7:$C$1506,$C903)&gt;1),"; Job number on more than one row","")&amp;IF(AND($C903&lt;&gt;"",H903=""),"; Dept has not set a cost centre","")&amp;IF(AND($C903&lt;&gt;"",J903=""),"; Dept has not set a tax code","")&amp;IF(AND($C903&lt;&gt;"",N903=""),"; Dept has not entered an expected value","")&amp;IF((IF(OR(COUNTA(S903:U903)=0,AND(COUNTA(S903:U903)=3,ISNUMBER(U903))),0,1)+IF(OR(COUNTA(V903:X903)=0,AND(COUNTA(V903:X903)=3,ISNUMBER(X903))),0,1)+IF(OR(COUNTA(Y903:AA903)=0,AND(COUNTA(Y903:AA903)=3,ISNUMBER(AA903))),0,1)+IF(OR(COUNTA(AB903:AD903)=0,AND(COUNTA(AB903:AD903)=3,ISNUMBER(AD903))),0,1)+IF(OR(COUNTA(AE903:AG903)=0,AND(COUNTA(AE903:AG903)=3,ISNUMBER(AG903))),0,1)+IF(OR(COUNTA(AH903:AJ903)=0,AND(COUNTA(AH903:AJ903)=3,ISNUMBER(AJ903))),0,1)+IF(OR(COUNTA(AK903:AM903)=0,AND(COUNTA(AK903:AM903)=3,ISNUMBER(AM903))),0,1)+IF(OR(COUNTA(AN903:AP903)=0,AND(COUNTA(AN903:AP903)=3,ISNUMBER(AP903))),0,1)+IF(OR(COUNTA(AQ903:AS903)=0,AND(COUNTA(AQ903:AS903)=3,ISNUMBER(AS903))),0,1)+IF(OR(COUNTA(AT903:AV903)=0,AND(COUNTA(AT903:AV903)=3,ISNUMBER(AV903))),0,1)+IF(OR(COUNTA(AW903:AY903)=0,AND(COUNTA(AW903:AY903)=3,ISNUMBER(AY903))),0,1)+IF(OR(COUNTA(AZ903:BB903)=0,AND(COUNTA(AZ903:BB903)=3,ISNUMBER(BB903))),0,1))&gt;0,"; An invoice is incomplete (needs No, Date and a number in Ex GST)","")&amp;IF((IF(T903="",0,IFERROR(--(EOMONTH(T903,0)&lt;&gt;S$5),1))+IF(W903="",0,IFERROR(--(EOMONTH(W903,0)&lt;&gt;V$5),1))+IF(Z903="",0,IFERROR(--(EOMONTH(Z903,0)&lt;&gt;Y$5),1))+IF(AC903="",0,IFERROR(--(EOMONTH(AC903,0)&lt;&gt;AB$5),1))+IF(AF903="",0,IFERROR(--(EOMONTH(AF903,0)&lt;&gt;AE$5),1))+IF(AI903="",0,IFERROR(--(EOMONTH(AI903,0)&lt;&gt;AH$5),1))+IF(AL903="",0,IFERROR(--(EOMONTH(AL903,0)&lt;&gt;AK$5),1))+IF(AO903="",0,IFERROR(--(EOMONTH(AO903,0)&lt;&gt;AN$5),1))+IF(AR903="",0,IFERROR(--(EOMONTH(AR903,0)&lt;&gt;AQ$5),1))+IF(AU903="",0,IFERROR(--(EOMONTH(AU903,0)&lt;&gt;AT$5),1))+IF(AX903="",0,IFERROR(--(EOMONTH(AX903,0)&lt;&gt;AW$5),1))+IF(BA903="",0,IFERROR(--(EOMONTH(BA903,0)&lt;&gt;AZ$5),1)))&gt;0,"; An invoice date is not in the month it is typed under",""),3,500))</f>
        <v/>
      </c>
      <c r="S903" s="12" t="n"/>
      <c r="T903" s="13" t="n"/>
      <c r="U903" s="14" t="n"/>
      <c r="V903" s="12" t="n"/>
      <c r="W903" s="13" t="n"/>
      <c r="X903" s="14" t="n"/>
      <c r="Y903" s="12" t="n"/>
      <c r="Z903" s="13" t="n"/>
      <c r="AA903" s="14" t="n"/>
      <c r="AB903" s="12" t="n"/>
      <c r="AC903" s="13" t="n"/>
      <c r="AD903" s="14" t="n"/>
      <c r="AE903" s="12" t="n"/>
      <c r="AF903" s="13" t="n"/>
      <c r="AG903" s="14" t="n"/>
      <c r="AH903" s="12" t="n"/>
      <c r="AI903" s="13" t="n"/>
      <c r="AJ903" s="14" t="n"/>
      <c r="AK903" s="12" t="n"/>
      <c r="AL903" s="13" t="n"/>
      <c r="AM903" s="14" t="n"/>
      <c r="AN903" s="12" t="n"/>
      <c r="AO903" s="13" t="n"/>
      <c r="AP903" s="14" t="n"/>
      <c r="AQ903" s="12" t="n"/>
      <c r="AR903" s="13" t="n"/>
      <c r="AS903" s="14" t="n"/>
      <c r="AT903" s="12" t="n"/>
      <c r="AU903" s="13" t="n"/>
      <c r="AV903" s="14" t="n"/>
      <c r="AW903" s="12" t="n"/>
      <c r="AX903" s="13" t="n"/>
      <c r="AY903" s="14" t="n"/>
      <c r="AZ903" s="12" t="n"/>
      <c r="BA903" s="13" t="n"/>
      <c r="BB903" s="14" t="n"/>
      <c r="BC903" s="11">
        <f>IF(O903="","",IF(J903="GST 10%",ROUND(O903*set_GSTRate,2),0))</f>
        <v/>
      </c>
      <c r="BD903" s="11">
        <f>IF(O903="","",O903+BC903)</f>
        <v/>
      </c>
      <c r="BE903" s="15">
        <f>IF(O903="","",COUNTA(S903,V903,Y903,AB903,AE903,AH903,AK903,AN903,AQ903,AT903,AW903,AZ903))</f>
        <v/>
      </c>
      <c r="BF903" s="16">
        <f>IF(COUNT(T903,W903,Z903,AC903,AF903,AI903,AL903,AO903,AR903,AU903,AX903,BA903)=0,"",MAX(T903,W903,Z903,AC903,AF903,AI903,AL903,AO903,AR903,AU903,AX903,BA903))</f>
        <v/>
      </c>
      <c r="BG903" s="10">
        <f>MID(IF(S903="","",", "&amp;S903)&amp;IF(V903="","",", "&amp;V903)&amp;IF(Y903="","",", "&amp;Y903)&amp;IF(AB903="","",", "&amp;AB903)&amp;IF(AE903="","",", "&amp;AE903)&amp;IF(AH903="","",", "&amp;AH903)&amp;IF(AK903="","",", "&amp;AK903)&amp;IF(AN903="","",", "&amp;AN903)&amp;IF(AQ903="","",", "&amp;AQ903)&amp;IF(AT903="","",", "&amp;AT903)&amp;IF(AW903="","",", "&amp;AW903)&amp;IF(AZ903="","",", "&amp;AZ903),3,500)</f>
        <v/>
      </c>
      <c r="BH903" s="12" t="n"/>
      <c r="BI903" s="15">
        <f>IFERROR(MATCH($A903,IF($B903="Onsite",tbl_Onsite[Row ID],IF($B903="Production",tbl_Production[Row ID],tbl_Consulting[Row ID])),0),"")</f>
        <v/>
      </c>
    </row>
    <row r="904">
      <c r="A904" s="10" t="inlineStr">
        <is>
          <t>PRD-0398</t>
        </is>
      </c>
      <c r="B904" s="10" t="inlineStr">
        <is>
          <t>Production</t>
        </is>
      </c>
      <c r="C904" s="10">
        <f>IF($BI904="","",IF($B904="Onsite",INDEX(tbl_Onsite[Job Number],$BI904),IF($B904="Production",INDEX(tbl_Production[Job Number],$BI904),INDEX(tbl_Consulting[Job Number],$BI904)))&amp;"")</f>
        <v/>
      </c>
      <c r="D904" s="10">
        <f>IF($BI904="","",IF($B904="Onsite",INDEX(tbl_Onsite[Client],$BI904),IF($B904="Production",INDEX(tbl_Production[Client],$BI904),INDEX(tbl_Consulting[Client],$BI904)))&amp;"")</f>
        <v/>
      </c>
      <c r="E904" s="10">
        <f>IF($C904="","",IF(COUNTIF(lst_Jobs,$C904)&gt;0,"OK","CHECK"))</f>
        <v/>
      </c>
      <c r="F904" s="10">
        <f>IF($C904="","",IFERROR(INDEX(lst_JobName,MATCH($C904,lst_Jobs,0)),""))</f>
        <v/>
      </c>
      <c r="G904" s="10">
        <f>IF($BI904="","",IF($B904="Onsite",INDEX(tbl_Onsite[Job Description],$BI904),IF($B904="Production",INDEX(tbl_Production[Job Description],$BI904),INDEX(tbl_Consulting[Job Description],$BI904)))&amp;"")</f>
        <v/>
      </c>
      <c r="H904" s="10">
        <f>IF($BI904="","",IF($B904="Onsite",INDEX(tbl_Onsite[Cost Centre],$BI904),IF($B904="Production",INDEX(tbl_Production[Cost Centre],$BI904),INDEX(tbl_Consulting[Cost Centre],$BI904)))&amp;"")</f>
        <v/>
      </c>
      <c r="I904" s="10">
        <f>IF($BI904="","",IF($B904="Onsite",INDEX(tbl_Onsite[Invoice Type],$BI904),IF($B904="Production",INDEX(tbl_Production[Invoice Type],$BI904),INDEX(tbl_Consulting[Invoice Type],$BI904)))&amp;"")</f>
        <v/>
      </c>
      <c r="J904" s="10">
        <f>IF($BI904="","",IF($B904="Onsite",INDEX(tbl_Onsite[Tax Code],$BI904),IF($B904="Production",INDEX(tbl_Production[Tax Code],$BI904),INDEX(tbl_Consulting[Tax Code],$BI904)))&amp;"")</f>
        <v/>
      </c>
      <c r="K904" s="10">
        <f>IF(H904="","",IFERROR(INDEX(lst_CCtoGL,MATCH(H904,lst_CCforGL,0)),""))</f>
        <v/>
      </c>
      <c r="L904" s="10">
        <f>IF($BI904="","",IF($B904="Onsite",INDEX(tbl_Onsite[PO / Reference],$BI904),IF($B904="Production",INDEX(tbl_Production[Current RMS No],$BI904),INDEX(tbl_Consulting[Qwilr Quote],$BI904)))&amp;"")</f>
        <v/>
      </c>
      <c r="M904" s="10">
        <f>IF($BI904="","",IF($B904="Onsite",INDEX(tbl_Onsite[Notes],$BI904),IF($B904="Production",INDEX(tbl_Production[Notes],$BI904),INDEX(tbl_Consulting[Notes],$BI904)))&amp;"")</f>
        <v/>
      </c>
      <c r="N904" s="11">
        <f>IF($BI904="","",IF(IF($B904="Onsite",INDEX(tbl_Onsite[Expected Revenue Ex GST],$BI904),IF($B904="Production",INDEX(tbl_Production[Expected Revenue Ex GST],$BI904),INDEX(tbl_Consulting[Expected Revenue Ex GST],$BI904)))="","",IF($B904="Onsite",INDEX(tbl_Onsite[Expected Revenue Ex GST],$BI904),IF($B904="Production",INDEX(tbl_Production[Expected Revenue Ex GST],$BI904),INDEX(tbl_Consulting[Expected Revenue Ex GST],$BI904)))))</f>
        <v/>
      </c>
      <c r="O904" s="11">
        <f>IF(AND($C904="",NOT(COUNTA($S904:$BB904)&gt;0)),"",SUM(U904,X904,AA904,AD904,AG904,AJ904,AM904,AP904,AS904,AV904,AY904,BB904))</f>
        <v/>
      </c>
      <c r="P904" s="11">
        <f>IF(O904="","",N(N904)-O904)</f>
        <v/>
      </c>
      <c r="Q904" s="10">
        <f>IF(O904="","",IF($C904="","Invoice on empty job row",IF(N904="",IF(ROUND(O904,2)=0,"No dept value","Invoiced - no dept value"),IF(ROUND(O904,2)=0,"Not invoiced - to invoice",IF(ROUND(P904,2)=0,"Agrees",IF(P904&gt;0,"Dept higher - to invoice","Xero higher - check dept"))))))</f>
        <v/>
      </c>
      <c r="R904" s="10">
        <f>IF(AND($C904="",NOT(COUNTA($S904:$BB904)&gt;0),$BI904&lt;&gt;""),"",MID(IF($BI904="","; Row ID not found on the department sheet - a row was deleted","")&amp;IF(AND($C904="",COUNTA($S904:$BB904)&gt;0),"; Invoice entered but the department row has no job number","")&amp;IF(E904="CHECK","; Job number not in the Xero job list","")&amp;IF(AND($C904&lt;&gt;"",COUNTIF($C$7:$C$1506,$C904)&gt;1),"; Job number on more than one row","")&amp;IF(AND($C904&lt;&gt;"",H904=""),"; Dept has not set a cost centre","")&amp;IF(AND($C904&lt;&gt;"",J904=""),"; Dept has not set a tax code","")&amp;IF(AND($C904&lt;&gt;"",N904=""),"; Dept has not entered an expected value","")&amp;IF((IF(OR(COUNTA(S904:U904)=0,AND(COUNTA(S904:U904)=3,ISNUMBER(U904))),0,1)+IF(OR(COUNTA(V904:X904)=0,AND(COUNTA(V904:X904)=3,ISNUMBER(X904))),0,1)+IF(OR(COUNTA(Y904:AA904)=0,AND(COUNTA(Y904:AA904)=3,ISNUMBER(AA904))),0,1)+IF(OR(COUNTA(AB904:AD904)=0,AND(COUNTA(AB904:AD904)=3,ISNUMBER(AD904))),0,1)+IF(OR(COUNTA(AE904:AG904)=0,AND(COUNTA(AE904:AG904)=3,ISNUMBER(AG904))),0,1)+IF(OR(COUNTA(AH904:AJ904)=0,AND(COUNTA(AH904:AJ904)=3,ISNUMBER(AJ904))),0,1)+IF(OR(COUNTA(AK904:AM904)=0,AND(COUNTA(AK904:AM904)=3,ISNUMBER(AM904))),0,1)+IF(OR(COUNTA(AN904:AP904)=0,AND(COUNTA(AN904:AP904)=3,ISNUMBER(AP904))),0,1)+IF(OR(COUNTA(AQ904:AS904)=0,AND(COUNTA(AQ904:AS904)=3,ISNUMBER(AS904))),0,1)+IF(OR(COUNTA(AT904:AV904)=0,AND(COUNTA(AT904:AV904)=3,ISNUMBER(AV904))),0,1)+IF(OR(COUNTA(AW904:AY904)=0,AND(COUNTA(AW904:AY904)=3,ISNUMBER(AY904))),0,1)+IF(OR(COUNTA(AZ904:BB904)=0,AND(COUNTA(AZ904:BB904)=3,ISNUMBER(BB904))),0,1))&gt;0,"; An invoice is incomplete (needs No, Date and a number in Ex GST)","")&amp;IF((IF(T904="",0,IFERROR(--(EOMONTH(T904,0)&lt;&gt;S$5),1))+IF(W904="",0,IFERROR(--(EOMONTH(W904,0)&lt;&gt;V$5),1))+IF(Z904="",0,IFERROR(--(EOMONTH(Z904,0)&lt;&gt;Y$5),1))+IF(AC904="",0,IFERROR(--(EOMONTH(AC904,0)&lt;&gt;AB$5),1))+IF(AF904="",0,IFERROR(--(EOMONTH(AF904,0)&lt;&gt;AE$5),1))+IF(AI904="",0,IFERROR(--(EOMONTH(AI904,0)&lt;&gt;AH$5),1))+IF(AL904="",0,IFERROR(--(EOMONTH(AL904,0)&lt;&gt;AK$5),1))+IF(AO904="",0,IFERROR(--(EOMONTH(AO904,0)&lt;&gt;AN$5),1))+IF(AR904="",0,IFERROR(--(EOMONTH(AR904,0)&lt;&gt;AQ$5),1))+IF(AU904="",0,IFERROR(--(EOMONTH(AU904,0)&lt;&gt;AT$5),1))+IF(AX904="",0,IFERROR(--(EOMONTH(AX904,0)&lt;&gt;AW$5),1))+IF(BA904="",0,IFERROR(--(EOMONTH(BA904,0)&lt;&gt;AZ$5),1)))&gt;0,"; An invoice date is not in the month it is typed under",""),3,500))</f>
        <v/>
      </c>
      <c r="S904" s="12" t="n"/>
      <c r="T904" s="13" t="n"/>
      <c r="U904" s="14" t="n"/>
      <c r="V904" s="12" t="n"/>
      <c r="W904" s="13" t="n"/>
      <c r="X904" s="14" t="n"/>
      <c r="Y904" s="12" t="n"/>
      <c r="Z904" s="13" t="n"/>
      <c r="AA904" s="14" t="n"/>
      <c r="AB904" s="12" t="n"/>
      <c r="AC904" s="13" t="n"/>
      <c r="AD904" s="14" t="n"/>
      <c r="AE904" s="12" t="n"/>
      <c r="AF904" s="13" t="n"/>
      <c r="AG904" s="14" t="n"/>
      <c r="AH904" s="12" t="n"/>
      <c r="AI904" s="13" t="n"/>
      <c r="AJ904" s="14" t="n"/>
      <c r="AK904" s="12" t="n"/>
      <c r="AL904" s="13" t="n"/>
      <c r="AM904" s="14" t="n"/>
      <c r="AN904" s="12" t="n"/>
      <c r="AO904" s="13" t="n"/>
      <c r="AP904" s="14" t="n"/>
      <c r="AQ904" s="12" t="n"/>
      <c r="AR904" s="13" t="n"/>
      <c r="AS904" s="14" t="n"/>
      <c r="AT904" s="12" t="n"/>
      <c r="AU904" s="13" t="n"/>
      <c r="AV904" s="14" t="n"/>
      <c r="AW904" s="12" t="n"/>
      <c r="AX904" s="13" t="n"/>
      <c r="AY904" s="14" t="n"/>
      <c r="AZ904" s="12" t="n"/>
      <c r="BA904" s="13" t="n"/>
      <c r="BB904" s="14" t="n"/>
      <c r="BC904" s="11">
        <f>IF(O904="","",IF(J904="GST 10%",ROUND(O904*set_GSTRate,2),0))</f>
        <v/>
      </c>
      <c r="BD904" s="11">
        <f>IF(O904="","",O904+BC904)</f>
        <v/>
      </c>
      <c r="BE904" s="15">
        <f>IF(O904="","",COUNTA(S904,V904,Y904,AB904,AE904,AH904,AK904,AN904,AQ904,AT904,AW904,AZ904))</f>
        <v/>
      </c>
      <c r="BF904" s="16">
        <f>IF(COUNT(T904,W904,Z904,AC904,AF904,AI904,AL904,AO904,AR904,AU904,AX904,BA904)=0,"",MAX(T904,W904,Z904,AC904,AF904,AI904,AL904,AO904,AR904,AU904,AX904,BA904))</f>
        <v/>
      </c>
      <c r="BG904" s="10">
        <f>MID(IF(S904="","",", "&amp;S904)&amp;IF(V904="","",", "&amp;V904)&amp;IF(Y904="","",", "&amp;Y904)&amp;IF(AB904="","",", "&amp;AB904)&amp;IF(AE904="","",", "&amp;AE904)&amp;IF(AH904="","",", "&amp;AH904)&amp;IF(AK904="","",", "&amp;AK904)&amp;IF(AN904="","",", "&amp;AN904)&amp;IF(AQ904="","",", "&amp;AQ904)&amp;IF(AT904="","",", "&amp;AT904)&amp;IF(AW904="","",", "&amp;AW904)&amp;IF(AZ904="","",", "&amp;AZ904),3,500)</f>
        <v/>
      </c>
      <c r="BH904" s="12" t="n"/>
      <c r="BI904" s="15">
        <f>IFERROR(MATCH($A904,IF($B904="Onsite",tbl_Onsite[Row ID],IF($B904="Production",tbl_Production[Row ID],tbl_Consulting[Row ID])),0),"")</f>
        <v/>
      </c>
    </row>
    <row r="905">
      <c r="A905" s="10" t="inlineStr">
        <is>
          <t>PRD-0399</t>
        </is>
      </c>
      <c r="B905" s="10" t="inlineStr">
        <is>
          <t>Production</t>
        </is>
      </c>
      <c r="C905" s="10">
        <f>IF($BI905="","",IF($B905="Onsite",INDEX(tbl_Onsite[Job Number],$BI905),IF($B905="Production",INDEX(tbl_Production[Job Number],$BI905),INDEX(tbl_Consulting[Job Number],$BI905)))&amp;"")</f>
        <v/>
      </c>
      <c r="D905" s="10">
        <f>IF($BI905="","",IF($B905="Onsite",INDEX(tbl_Onsite[Client],$BI905),IF($B905="Production",INDEX(tbl_Production[Client],$BI905),INDEX(tbl_Consulting[Client],$BI905)))&amp;"")</f>
        <v/>
      </c>
      <c r="E905" s="10">
        <f>IF($C905="","",IF(COUNTIF(lst_Jobs,$C905)&gt;0,"OK","CHECK"))</f>
        <v/>
      </c>
      <c r="F905" s="10">
        <f>IF($C905="","",IFERROR(INDEX(lst_JobName,MATCH($C905,lst_Jobs,0)),""))</f>
        <v/>
      </c>
      <c r="G905" s="10">
        <f>IF($BI905="","",IF($B905="Onsite",INDEX(tbl_Onsite[Job Description],$BI905),IF($B905="Production",INDEX(tbl_Production[Job Description],$BI905),INDEX(tbl_Consulting[Job Description],$BI905)))&amp;"")</f>
        <v/>
      </c>
      <c r="H905" s="10">
        <f>IF($BI905="","",IF($B905="Onsite",INDEX(tbl_Onsite[Cost Centre],$BI905),IF($B905="Production",INDEX(tbl_Production[Cost Centre],$BI905),INDEX(tbl_Consulting[Cost Centre],$BI905)))&amp;"")</f>
        <v/>
      </c>
      <c r="I905" s="10">
        <f>IF($BI905="","",IF($B905="Onsite",INDEX(tbl_Onsite[Invoice Type],$BI905),IF($B905="Production",INDEX(tbl_Production[Invoice Type],$BI905),INDEX(tbl_Consulting[Invoice Type],$BI905)))&amp;"")</f>
        <v/>
      </c>
      <c r="J905" s="10">
        <f>IF($BI905="","",IF($B905="Onsite",INDEX(tbl_Onsite[Tax Code],$BI905),IF($B905="Production",INDEX(tbl_Production[Tax Code],$BI905),INDEX(tbl_Consulting[Tax Code],$BI905)))&amp;"")</f>
        <v/>
      </c>
      <c r="K905" s="10">
        <f>IF(H905="","",IFERROR(INDEX(lst_CCtoGL,MATCH(H905,lst_CCforGL,0)),""))</f>
        <v/>
      </c>
      <c r="L905" s="10">
        <f>IF($BI905="","",IF($B905="Onsite",INDEX(tbl_Onsite[PO / Reference],$BI905),IF($B905="Production",INDEX(tbl_Production[Current RMS No],$BI905),INDEX(tbl_Consulting[Qwilr Quote],$BI905)))&amp;"")</f>
        <v/>
      </c>
      <c r="M905" s="10">
        <f>IF($BI905="","",IF($B905="Onsite",INDEX(tbl_Onsite[Notes],$BI905),IF($B905="Production",INDEX(tbl_Production[Notes],$BI905),INDEX(tbl_Consulting[Notes],$BI905)))&amp;"")</f>
        <v/>
      </c>
      <c r="N905" s="11">
        <f>IF($BI905="","",IF(IF($B905="Onsite",INDEX(tbl_Onsite[Expected Revenue Ex GST],$BI905),IF($B905="Production",INDEX(tbl_Production[Expected Revenue Ex GST],$BI905),INDEX(tbl_Consulting[Expected Revenue Ex GST],$BI905)))="","",IF($B905="Onsite",INDEX(tbl_Onsite[Expected Revenue Ex GST],$BI905),IF($B905="Production",INDEX(tbl_Production[Expected Revenue Ex GST],$BI905),INDEX(tbl_Consulting[Expected Revenue Ex GST],$BI905)))))</f>
        <v/>
      </c>
      <c r="O905" s="11">
        <f>IF(AND($C905="",NOT(COUNTA($S905:$BB905)&gt;0)),"",SUM(U905,X905,AA905,AD905,AG905,AJ905,AM905,AP905,AS905,AV905,AY905,BB905))</f>
        <v/>
      </c>
      <c r="P905" s="11">
        <f>IF(O905="","",N(N905)-O905)</f>
        <v/>
      </c>
      <c r="Q905" s="10">
        <f>IF(O905="","",IF($C905="","Invoice on empty job row",IF(N905="",IF(ROUND(O905,2)=0,"No dept value","Invoiced - no dept value"),IF(ROUND(O905,2)=0,"Not invoiced - to invoice",IF(ROUND(P905,2)=0,"Agrees",IF(P905&gt;0,"Dept higher - to invoice","Xero higher - check dept"))))))</f>
        <v/>
      </c>
      <c r="R905" s="10">
        <f>IF(AND($C905="",NOT(COUNTA($S905:$BB905)&gt;0),$BI905&lt;&gt;""),"",MID(IF($BI905="","; Row ID not found on the department sheet - a row was deleted","")&amp;IF(AND($C905="",COUNTA($S905:$BB905)&gt;0),"; Invoice entered but the department row has no job number","")&amp;IF(E905="CHECK","; Job number not in the Xero job list","")&amp;IF(AND($C905&lt;&gt;"",COUNTIF($C$7:$C$1506,$C905)&gt;1),"; Job number on more than one row","")&amp;IF(AND($C905&lt;&gt;"",H905=""),"; Dept has not set a cost centre","")&amp;IF(AND($C905&lt;&gt;"",J905=""),"; Dept has not set a tax code","")&amp;IF(AND($C905&lt;&gt;"",N905=""),"; Dept has not entered an expected value","")&amp;IF((IF(OR(COUNTA(S905:U905)=0,AND(COUNTA(S905:U905)=3,ISNUMBER(U905))),0,1)+IF(OR(COUNTA(V905:X905)=0,AND(COUNTA(V905:X905)=3,ISNUMBER(X905))),0,1)+IF(OR(COUNTA(Y905:AA905)=0,AND(COUNTA(Y905:AA905)=3,ISNUMBER(AA905))),0,1)+IF(OR(COUNTA(AB905:AD905)=0,AND(COUNTA(AB905:AD905)=3,ISNUMBER(AD905))),0,1)+IF(OR(COUNTA(AE905:AG905)=0,AND(COUNTA(AE905:AG905)=3,ISNUMBER(AG905))),0,1)+IF(OR(COUNTA(AH905:AJ905)=0,AND(COUNTA(AH905:AJ905)=3,ISNUMBER(AJ905))),0,1)+IF(OR(COUNTA(AK905:AM905)=0,AND(COUNTA(AK905:AM905)=3,ISNUMBER(AM905))),0,1)+IF(OR(COUNTA(AN905:AP905)=0,AND(COUNTA(AN905:AP905)=3,ISNUMBER(AP905))),0,1)+IF(OR(COUNTA(AQ905:AS905)=0,AND(COUNTA(AQ905:AS905)=3,ISNUMBER(AS905))),0,1)+IF(OR(COUNTA(AT905:AV905)=0,AND(COUNTA(AT905:AV905)=3,ISNUMBER(AV905))),0,1)+IF(OR(COUNTA(AW905:AY905)=0,AND(COUNTA(AW905:AY905)=3,ISNUMBER(AY905))),0,1)+IF(OR(COUNTA(AZ905:BB905)=0,AND(COUNTA(AZ905:BB905)=3,ISNUMBER(BB905))),0,1))&gt;0,"; An invoice is incomplete (needs No, Date and a number in Ex GST)","")&amp;IF((IF(T905="",0,IFERROR(--(EOMONTH(T905,0)&lt;&gt;S$5),1))+IF(W905="",0,IFERROR(--(EOMONTH(W905,0)&lt;&gt;V$5),1))+IF(Z905="",0,IFERROR(--(EOMONTH(Z905,0)&lt;&gt;Y$5),1))+IF(AC905="",0,IFERROR(--(EOMONTH(AC905,0)&lt;&gt;AB$5),1))+IF(AF905="",0,IFERROR(--(EOMONTH(AF905,0)&lt;&gt;AE$5),1))+IF(AI905="",0,IFERROR(--(EOMONTH(AI905,0)&lt;&gt;AH$5),1))+IF(AL905="",0,IFERROR(--(EOMONTH(AL905,0)&lt;&gt;AK$5),1))+IF(AO905="",0,IFERROR(--(EOMONTH(AO905,0)&lt;&gt;AN$5),1))+IF(AR905="",0,IFERROR(--(EOMONTH(AR905,0)&lt;&gt;AQ$5),1))+IF(AU905="",0,IFERROR(--(EOMONTH(AU905,0)&lt;&gt;AT$5),1))+IF(AX905="",0,IFERROR(--(EOMONTH(AX905,0)&lt;&gt;AW$5),1))+IF(BA905="",0,IFERROR(--(EOMONTH(BA905,0)&lt;&gt;AZ$5),1)))&gt;0,"; An invoice date is not in the month it is typed under",""),3,500))</f>
        <v/>
      </c>
      <c r="S905" s="12" t="n"/>
      <c r="T905" s="13" t="n"/>
      <c r="U905" s="14" t="n"/>
      <c r="V905" s="12" t="n"/>
      <c r="W905" s="13" t="n"/>
      <c r="X905" s="14" t="n"/>
      <c r="Y905" s="12" t="n"/>
      <c r="Z905" s="13" t="n"/>
      <c r="AA905" s="14" t="n"/>
      <c r="AB905" s="12" t="n"/>
      <c r="AC905" s="13" t="n"/>
      <c r="AD905" s="14" t="n"/>
      <c r="AE905" s="12" t="n"/>
      <c r="AF905" s="13" t="n"/>
      <c r="AG905" s="14" t="n"/>
      <c r="AH905" s="12" t="n"/>
      <c r="AI905" s="13" t="n"/>
      <c r="AJ905" s="14" t="n"/>
      <c r="AK905" s="12" t="n"/>
      <c r="AL905" s="13" t="n"/>
      <c r="AM905" s="14" t="n"/>
      <c r="AN905" s="12" t="n"/>
      <c r="AO905" s="13" t="n"/>
      <c r="AP905" s="14" t="n"/>
      <c r="AQ905" s="12" t="n"/>
      <c r="AR905" s="13" t="n"/>
      <c r="AS905" s="14" t="n"/>
      <c r="AT905" s="12" t="n"/>
      <c r="AU905" s="13" t="n"/>
      <c r="AV905" s="14" t="n"/>
      <c r="AW905" s="12" t="n"/>
      <c r="AX905" s="13" t="n"/>
      <c r="AY905" s="14" t="n"/>
      <c r="AZ905" s="12" t="n"/>
      <c r="BA905" s="13" t="n"/>
      <c r="BB905" s="14" t="n"/>
      <c r="BC905" s="11">
        <f>IF(O905="","",IF(J905="GST 10%",ROUND(O905*set_GSTRate,2),0))</f>
        <v/>
      </c>
      <c r="BD905" s="11">
        <f>IF(O905="","",O905+BC905)</f>
        <v/>
      </c>
      <c r="BE905" s="15">
        <f>IF(O905="","",COUNTA(S905,V905,Y905,AB905,AE905,AH905,AK905,AN905,AQ905,AT905,AW905,AZ905))</f>
        <v/>
      </c>
      <c r="BF905" s="16">
        <f>IF(COUNT(T905,W905,Z905,AC905,AF905,AI905,AL905,AO905,AR905,AU905,AX905,BA905)=0,"",MAX(T905,W905,Z905,AC905,AF905,AI905,AL905,AO905,AR905,AU905,AX905,BA905))</f>
        <v/>
      </c>
      <c r="BG905" s="10">
        <f>MID(IF(S905="","",", "&amp;S905)&amp;IF(V905="","",", "&amp;V905)&amp;IF(Y905="","",", "&amp;Y905)&amp;IF(AB905="","",", "&amp;AB905)&amp;IF(AE905="","",", "&amp;AE905)&amp;IF(AH905="","",", "&amp;AH905)&amp;IF(AK905="","",", "&amp;AK905)&amp;IF(AN905="","",", "&amp;AN905)&amp;IF(AQ905="","",", "&amp;AQ905)&amp;IF(AT905="","",", "&amp;AT905)&amp;IF(AW905="","",", "&amp;AW905)&amp;IF(AZ905="","",", "&amp;AZ905),3,500)</f>
        <v/>
      </c>
      <c r="BH905" s="12" t="n"/>
      <c r="BI905" s="15">
        <f>IFERROR(MATCH($A905,IF($B905="Onsite",tbl_Onsite[Row ID],IF($B905="Production",tbl_Production[Row ID],tbl_Consulting[Row ID])),0),"")</f>
        <v/>
      </c>
    </row>
    <row r="906">
      <c r="A906" s="10" t="inlineStr">
        <is>
          <t>PRD-0400</t>
        </is>
      </c>
      <c r="B906" s="10" t="inlineStr">
        <is>
          <t>Production</t>
        </is>
      </c>
      <c r="C906" s="10">
        <f>IF($BI906="","",IF($B906="Onsite",INDEX(tbl_Onsite[Job Number],$BI906),IF($B906="Production",INDEX(tbl_Production[Job Number],$BI906),INDEX(tbl_Consulting[Job Number],$BI906)))&amp;"")</f>
        <v/>
      </c>
      <c r="D906" s="10">
        <f>IF($BI906="","",IF($B906="Onsite",INDEX(tbl_Onsite[Client],$BI906),IF($B906="Production",INDEX(tbl_Production[Client],$BI906),INDEX(tbl_Consulting[Client],$BI906)))&amp;"")</f>
        <v/>
      </c>
      <c r="E906" s="10">
        <f>IF($C906="","",IF(COUNTIF(lst_Jobs,$C906)&gt;0,"OK","CHECK"))</f>
        <v/>
      </c>
      <c r="F906" s="10">
        <f>IF($C906="","",IFERROR(INDEX(lst_JobName,MATCH($C906,lst_Jobs,0)),""))</f>
        <v/>
      </c>
      <c r="G906" s="10">
        <f>IF($BI906="","",IF($B906="Onsite",INDEX(tbl_Onsite[Job Description],$BI906),IF($B906="Production",INDEX(tbl_Production[Job Description],$BI906),INDEX(tbl_Consulting[Job Description],$BI906)))&amp;"")</f>
        <v/>
      </c>
      <c r="H906" s="10">
        <f>IF($BI906="","",IF($B906="Onsite",INDEX(tbl_Onsite[Cost Centre],$BI906),IF($B906="Production",INDEX(tbl_Production[Cost Centre],$BI906),INDEX(tbl_Consulting[Cost Centre],$BI906)))&amp;"")</f>
        <v/>
      </c>
      <c r="I906" s="10">
        <f>IF($BI906="","",IF($B906="Onsite",INDEX(tbl_Onsite[Invoice Type],$BI906),IF($B906="Production",INDEX(tbl_Production[Invoice Type],$BI906),INDEX(tbl_Consulting[Invoice Type],$BI906)))&amp;"")</f>
        <v/>
      </c>
      <c r="J906" s="10">
        <f>IF($BI906="","",IF($B906="Onsite",INDEX(tbl_Onsite[Tax Code],$BI906),IF($B906="Production",INDEX(tbl_Production[Tax Code],$BI906),INDEX(tbl_Consulting[Tax Code],$BI906)))&amp;"")</f>
        <v/>
      </c>
      <c r="K906" s="10">
        <f>IF(H906="","",IFERROR(INDEX(lst_CCtoGL,MATCH(H906,lst_CCforGL,0)),""))</f>
        <v/>
      </c>
      <c r="L906" s="10">
        <f>IF($BI906="","",IF($B906="Onsite",INDEX(tbl_Onsite[PO / Reference],$BI906),IF($B906="Production",INDEX(tbl_Production[Current RMS No],$BI906),INDEX(tbl_Consulting[Qwilr Quote],$BI906)))&amp;"")</f>
        <v/>
      </c>
      <c r="M906" s="10">
        <f>IF($BI906="","",IF($B906="Onsite",INDEX(tbl_Onsite[Notes],$BI906),IF($B906="Production",INDEX(tbl_Production[Notes],$BI906),INDEX(tbl_Consulting[Notes],$BI906)))&amp;"")</f>
        <v/>
      </c>
      <c r="N906" s="11">
        <f>IF($BI906="","",IF(IF($B906="Onsite",INDEX(tbl_Onsite[Expected Revenue Ex GST],$BI906),IF($B906="Production",INDEX(tbl_Production[Expected Revenue Ex GST],$BI906),INDEX(tbl_Consulting[Expected Revenue Ex GST],$BI906)))="","",IF($B906="Onsite",INDEX(tbl_Onsite[Expected Revenue Ex GST],$BI906),IF($B906="Production",INDEX(tbl_Production[Expected Revenue Ex GST],$BI906),INDEX(tbl_Consulting[Expected Revenue Ex GST],$BI906)))))</f>
        <v/>
      </c>
      <c r="O906" s="11">
        <f>IF(AND($C906="",NOT(COUNTA($S906:$BB906)&gt;0)),"",SUM(U906,X906,AA906,AD906,AG906,AJ906,AM906,AP906,AS906,AV906,AY906,BB906))</f>
        <v/>
      </c>
      <c r="P906" s="11">
        <f>IF(O906="","",N(N906)-O906)</f>
        <v/>
      </c>
      <c r="Q906" s="10">
        <f>IF(O906="","",IF($C906="","Invoice on empty job row",IF(N906="",IF(ROUND(O906,2)=0,"No dept value","Invoiced - no dept value"),IF(ROUND(O906,2)=0,"Not invoiced - to invoice",IF(ROUND(P906,2)=0,"Agrees",IF(P906&gt;0,"Dept higher - to invoice","Xero higher - check dept"))))))</f>
        <v/>
      </c>
      <c r="R906" s="10">
        <f>IF(AND($C906="",NOT(COUNTA($S906:$BB906)&gt;0),$BI906&lt;&gt;""),"",MID(IF($BI906="","; Row ID not found on the department sheet - a row was deleted","")&amp;IF(AND($C906="",COUNTA($S906:$BB906)&gt;0),"; Invoice entered but the department row has no job number","")&amp;IF(E906="CHECK","; Job number not in the Xero job list","")&amp;IF(AND($C906&lt;&gt;"",COUNTIF($C$7:$C$1506,$C906)&gt;1),"; Job number on more than one row","")&amp;IF(AND($C906&lt;&gt;"",H906=""),"; Dept has not set a cost centre","")&amp;IF(AND($C906&lt;&gt;"",J906=""),"; Dept has not set a tax code","")&amp;IF(AND($C906&lt;&gt;"",N906=""),"; Dept has not entered an expected value","")&amp;IF((IF(OR(COUNTA(S906:U906)=0,AND(COUNTA(S906:U906)=3,ISNUMBER(U906))),0,1)+IF(OR(COUNTA(V906:X906)=0,AND(COUNTA(V906:X906)=3,ISNUMBER(X906))),0,1)+IF(OR(COUNTA(Y906:AA906)=0,AND(COUNTA(Y906:AA906)=3,ISNUMBER(AA906))),0,1)+IF(OR(COUNTA(AB906:AD906)=0,AND(COUNTA(AB906:AD906)=3,ISNUMBER(AD906))),0,1)+IF(OR(COUNTA(AE906:AG906)=0,AND(COUNTA(AE906:AG906)=3,ISNUMBER(AG906))),0,1)+IF(OR(COUNTA(AH906:AJ906)=0,AND(COUNTA(AH906:AJ906)=3,ISNUMBER(AJ906))),0,1)+IF(OR(COUNTA(AK906:AM906)=0,AND(COUNTA(AK906:AM906)=3,ISNUMBER(AM906))),0,1)+IF(OR(COUNTA(AN906:AP906)=0,AND(COUNTA(AN906:AP906)=3,ISNUMBER(AP906))),0,1)+IF(OR(COUNTA(AQ906:AS906)=0,AND(COUNTA(AQ906:AS906)=3,ISNUMBER(AS906))),0,1)+IF(OR(COUNTA(AT906:AV906)=0,AND(COUNTA(AT906:AV906)=3,ISNUMBER(AV906))),0,1)+IF(OR(COUNTA(AW906:AY906)=0,AND(COUNTA(AW906:AY906)=3,ISNUMBER(AY906))),0,1)+IF(OR(COUNTA(AZ906:BB906)=0,AND(COUNTA(AZ906:BB906)=3,ISNUMBER(BB906))),0,1))&gt;0,"; An invoice is incomplete (needs No, Date and a number in Ex GST)","")&amp;IF((IF(T906="",0,IFERROR(--(EOMONTH(T906,0)&lt;&gt;S$5),1))+IF(W906="",0,IFERROR(--(EOMONTH(W906,0)&lt;&gt;V$5),1))+IF(Z906="",0,IFERROR(--(EOMONTH(Z906,0)&lt;&gt;Y$5),1))+IF(AC906="",0,IFERROR(--(EOMONTH(AC906,0)&lt;&gt;AB$5),1))+IF(AF906="",0,IFERROR(--(EOMONTH(AF906,0)&lt;&gt;AE$5),1))+IF(AI906="",0,IFERROR(--(EOMONTH(AI906,0)&lt;&gt;AH$5),1))+IF(AL906="",0,IFERROR(--(EOMONTH(AL906,0)&lt;&gt;AK$5),1))+IF(AO906="",0,IFERROR(--(EOMONTH(AO906,0)&lt;&gt;AN$5),1))+IF(AR906="",0,IFERROR(--(EOMONTH(AR906,0)&lt;&gt;AQ$5),1))+IF(AU906="",0,IFERROR(--(EOMONTH(AU906,0)&lt;&gt;AT$5),1))+IF(AX906="",0,IFERROR(--(EOMONTH(AX906,0)&lt;&gt;AW$5),1))+IF(BA906="",0,IFERROR(--(EOMONTH(BA906,0)&lt;&gt;AZ$5),1)))&gt;0,"; An invoice date is not in the month it is typed under",""),3,500))</f>
        <v/>
      </c>
      <c r="S906" s="12" t="n"/>
      <c r="T906" s="13" t="n"/>
      <c r="U906" s="14" t="n"/>
      <c r="V906" s="12" t="n"/>
      <c r="W906" s="13" t="n"/>
      <c r="X906" s="14" t="n"/>
      <c r="Y906" s="12" t="n"/>
      <c r="Z906" s="13" t="n"/>
      <c r="AA906" s="14" t="n"/>
      <c r="AB906" s="12" t="n"/>
      <c r="AC906" s="13" t="n"/>
      <c r="AD906" s="14" t="n"/>
      <c r="AE906" s="12" t="n"/>
      <c r="AF906" s="13" t="n"/>
      <c r="AG906" s="14" t="n"/>
      <c r="AH906" s="12" t="n"/>
      <c r="AI906" s="13" t="n"/>
      <c r="AJ906" s="14" t="n"/>
      <c r="AK906" s="12" t="n"/>
      <c r="AL906" s="13" t="n"/>
      <c r="AM906" s="14" t="n"/>
      <c r="AN906" s="12" t="n"/>
      <c r="AO906" s="13" t="n"/>
      <c r="AP906" s="14" t="n"/>
      <c r="AQ906" s="12" t="n"/>
      <c r="AR906" s="13" t="n"/>
      <c r="AS906" s="14" t="n"/>
      <c r="AT906" s="12" t="n"/>
      <c r="AU906" s="13" t="n"/>
      <c r="AV906" s="14" t="n"/>
      <c r="AW906" s="12" t="n"/>
      <c r="AX906" s="13" t="n"/>
      <c r="AY906" s="14" t="n"/>
      <c r="AZ906" s="12" t="n"/>
      <c r="BA906" s="13" t="n"/>
      <c r="BB906" s="14" t="n"/>
      <c r="BC906" s="11">
        <f>IF(O906="","",IF(J906="GST 10%",ROUND(O906*set_GSTRate,2),0))</f>
        <v/>
      </c>
      <c r="BD906" s="11">
        <f>IF(O906="","",O906+BC906)</f>
        <v/>
      </c>
      <c r="BE906" s="15">
        <f>IF(O906="","",COUNTA(S906,V906,Y906,AB906,AE906,AH906,AK906,AN906,AQ906,AT906,AW906,AZ906))</f>
        <v/>
      </c>
      <c r="BF906" s="16">
        <f>IF(COUNT(T906,W906,Z906,AC906,AF906,AI906,AL906,AO906,AR906,AU906,AX906,BA906)=0,"",MAX(T906,W906,Z906,AC906,AF906,AI906,AL906,AO906,AR906,AU906,AX906,BA906))</f>
        <v/>
      </c>
      <c r="BG906" s="10">
        <f>MID(IF(S906="","",", "&amp;S906)&amp;IF(V906="","",", "&amp;V906)&amp;IF(Y906="","",", "&amp;Y906)&amp;IF(AB906="","",", "&amp;AB906)&amp;IF(AE906="","",", "&amp;AE906)&amp;IF(AH906="","",", "&amp;AH906)&amp;IF(AK906="","",", "&amp;AK906)&amp;IF(AN906="","",", "&amp;AN906)&amp;IF(AQ906="","",", "&amp;AQ906)&amp;IF(AT906="","",", "&amp;AT906)&amp;IF(AW906="","",", "&amp;AW906)&amp;IF(AZ906="","",", "&amp;AZ906),3,500)</f>
        <v/>
      </c>
      <c r="BH906" s="12" t="n"/>
      <c r="BI906" s="15">
        <f>IFERROR(MATCH($A906,IF($B906="Onsite",tbl_Onsite[Row ID],IF($B906="Production",tbl_Production[Row ID],tbl_Consulting[Row ID])),0),"")</f>
        <v/>
      </c>
    </row>
    <row r="907">
      <c r="A907" s="10" t="inlineStr">
        <is>
          <t>PRD-0401</t>
        </is>
      </c>
      <c r="B907" s="10" t="inlineStr">
        <is>
          <t>Production</t>
        </is>
      </c>
      <c r="C907" s="10">
        <f>IF($BI907="","",IF($B907="Onsite",INDEX(tbl_Onsite[Job Number],$BI907),IF($B907="Production",INDEX(tbl_Production[Job Number],$BI907),INDEX(tbl_Consulting[Job Number],$BI907)))&amp;"")</f>
        <v/>
      </c>
      <c r="D907" s="10">
        <f>IF($BI907="","",IF($B907="Onsite",INDEX(tbl_Onsite[Client],$BI907),IF($B907="Production",INDEX(tbl_Production[Client],$BI907),INDEX(tbl_Consulting[Client],$BI907)))&amp;"")</f>
        <v/>
      </c>
      <c r="E907" s="10">
        <f>IF($C907="","",IF(COUNTIF(lst_Jobs,$C907)&gt;0,"OK","CHECK"))</f>
        <v/>
      </c>
      <c r="F907" s="10">
        <f>IF($C907="","",IFERROR(INDEX(lst_JobName,MATCH($C907,lst_Jobs,0)),""))</f>
        <v/>
      </c>
      <c r="G907" s="10">
        <f>IF($BI907="","",IF($B907="Onsite",INDEX(tbl_Onsite[Job Description],$BI907),IF($B907="Production",INDEX(tbl_Production[Job Description],$BI907),INDEX(tbl_Consulting[Job Description],$BI907)))&amp;"")</f>
        <v/>
      </c>
      <c r="H907" s="10">
        <f>IF($BI907="","",IF($B907="Onsite",INDEX(tbl_Onsite[Cost Centre],$BI907),IF($B907="Production",INDEX(tbl_Production[Cost Centre],$BI907),INDEX(tbl_Consulting[Cost Centre],$BI907)))&amp;"")</f>
        <v/>
      </c>
      <c r="I907" s="10">
        <f>IF($BI907="","",IF($B907="Onsite",INDEX(tbl_Onsite[Invoice Type],$BI907),IF($B907="Production",INDEX(tbl_Production[Invoice Type],$BI907),INDEX(tbl_Consulting[Invoice Type],$BI907)))&amp;"")</f>
        <v/>
      </c>
      <c r="J907" s="10">
        <f>IF($BI907="","",IF($B907="Onsite",INDEX(tbl_Onsite[Tax Code],$BI907),IF($B907="Production",INDEX(tbl_Production[Tax Code],$BI907),INDEX(tbl_Consulting[Tax Code],$BI907)))&amp;"")</f>
        <v/>
      </c>
      <c r="K907" s="10">
        <f>IF(H907="","",IFERROR(INDEX(lst_CCtoGL,MATCH(H907,lst_CCforGL,0)),""))</f>
        <v/>
      </c>
      <c r="L907" s="10">
        <f>IF($BI907="","",IF($B907="Onsite",INDEX(tbl_Onsite[PO / Reference],$BI907),IF($B907="Production",INDEX(tbl_Production[Current RMS No],$BI907),INDEX(tbl_Consulting[Qwilr Quote],$BI907)))&amp;"")</f>
        <v/>
      </c>
      <c r="M907" s="10">
        <f>IF($BI907="","",IF($B907="Onsite",INDEX(tbl_Onsite[Notes],$BI907),IF($B907="Production",INDEX(tbl_Production[Notes],$BI907),INDEX(tbl_Consulting[Notes],$BI907)))&amp;"")</f>
        <v/>
      </c>
      <c r="N907" s="11">
        <f>IF($BI907="","",IF(IF($B907="Onsite",INDEX(tbl_Onsite[Expected Revenue Ex GST],$BI907),IF($B907="Production",INDEX(tbl_Production[Expected Revenue Ex GST],$BI907),INDEX(tbl_Consulting[Expected Revenue Ex GST],$BI907)))="","",IF($B907="Onsite",INDEX(tbl_Onsite[Expected Revenue Ex GST],$BI907),IF($B907="Production",INDEX(tbl_Production[Expected Revenue Ex GST],$BI907),INDEX(tbl_Consulting[Expected Revenue Ex GST],$BI907)))))</f>
        <v/>
      </c>
      <c r="O907" s="11">
        <f>IF(AND($C907="",NOT(COUNTA($S907:$BB907)&gt;0)),"",SUM(U907,X907,AA907,AD907,AG907,AJ907,AM907,AP907,AS907,AV907,AY907,BB907))</f>
        <v/>
      </c>
      <c r="P907" s="11">
        <f>IF(O907="","",N(N907)-O907)</f>
        <v/>
      </c>
      <c r="Q907" s="10">
        <f>IF(O907="","",IF($C907="","Invoice on empty job row",IF(N907="",IF(ROUND(O907,2)=0,"No dept value","Invoiced - no dept value"),IF(ROUND(O907,2)=0,"Not invoiced - to invoice",IF(ROUND(P907,2)=0,"Agrees",IF(P907&gt;0,"Dept higher - to invoice","Xero higher - check dept"))))))</f>
        <v/>
      </c>
      <c r="R907" s="10">
        <f>IF(AND($C907="",NOT(COUNTA($S907:$BB907)&gt;0),$BI907&lt;&gt;""),"",MID(IF($BI907="","; Row ID not found on the department sheet - a row was deleted","")&amp;IF(AND($C907="",COUNTA($S907:$BB907)&gt;0),"; Invoice entered but the department row has no job number","")&amp;IF(E907="CHECK","; Job number not in the Xero job list","")&amp;IF(AND($C907&lt;&gt;"",COUNTIF($C$7:$C$1506,$C907)&gt;1),"; Job number on more than one row","")&amp;IF(AND($C907&lt;&gt;"",H907=""),"; Dept has not set a cost centre","")&amp;IF(AND($C907&lt;&gt;"",J907=""),"; Dept has not set a tax code","")&amp;IF(AND($C907&lt;&gt;"",N907=""),"; Dept has not entered an expected value","")&amp;IF((IF(OR(COUNTA(S907:U907)=0,AND(COUNTA(S907:U907)=3,ISNUMBER(U907))),0,1)+IF(OR(COUNTA(V907:X907)=0,AND(COUNTA(V907:X907)=3,ISNUMBER(X907))),0,1)+IF(OR(COUNTA(Y907:AA907)=0,AND(COUNTA(Y907:AA907)=3,ISNUMBER(AA907))),0,1)+IF(OR(COUNTA(AB907:AD907)=0,AND(COUNTA(AB907:AD907)=3,ISNUMBER(AD907))),0,1)+IF(OR(COUNTA(AE907:AG907)=0,AND(COUNTA(AE907:AG907)=3,ISNUMBER(AG907))),0,1)+IF(OR(COUNTA(AH907:AJ907)=0,AND(COUNTA(AH907:AJ907)=3,ISNUMBER(AJ907))),0,1)+IF(OR(COUNTA(AK907:AM907)=0,AND(COUNTA(AK907:AM907)=3,ISNUMBER(AM907))),0,1)+IF(OR(COUNTA(AN907:AP907)=0,AND(COUNTA(AN907:AP907)=3,ISNUMBER(AP907))),0,1)+IF(OR(COUNTA(AQ907:AS907)=0,AND(COUNTA(AQ907:AS907)=3,ISNUMBER(AS907))),0,1)+IF(OR(COUNTA(AT907:AV907)=0,AND(COUNTA(AT907:AV907)=3,ISNUMBER(AV907))),0,1)+IF(OR(COUNTA(AW907:AY907)=0,AND(COUNTA(AW907:AY907)=3,ISNUMBER(AY907))),0,1)+IF(OR(COUNTA(AZ907:BB907)=0,AND(COUNTA(AZ907:BB907)=3,ISNUMBER(BB907))),0,1))&gt;0,"; An invoice is incomplete (needs No, Date and a number in Ex GST)","")&amp;IF((IF(T907="",0,IFERROR(--(EOMONTH(T907,0)&lt;&gt;S$5),1))+IF(W907="",0,IFERROR(--(EOMONTH(W907,0)&lt;&gt;V$5),1))+IF(Z907="",0,IFERROR(--(EOMONTH(Z907,0)&lt;&gt;Y$5),1))+IF(AC907="",0,IFERROR(--(EOMONTH(AC907,0)&lt;&gt;AB$5),1))+IF(AF907="",0,IFERROR(--(EOMONTH(AF907,0)&lt;&gt;AE$5),1))+IF(AI907="",0,IFERROR(--(EOMONTH(AI907,0)&lt;&gt;AH$5),1))+IF(AL907="",0,IFERROR(--(EOMONTH(AL907,0)&lt;&gt;AK$5),1))+IF(AO907="",0,IFERROR(--(EOMONTH(AO907,0)&lt;&gt;AN$5),1))+IF(AR907="",0,IFERROR(--(EOMONTH(AR907,0)&lt;&gt;AQ$5),1))+IF(AU907="",0,IFERROR(--(EOMONTH(AU907,0)&lt;&gt;AT$5),1))+IF(AX907="",0,IFERROR(--(EOMONTH(AX907,0)&lt;&gt;AW$5),1))+IF(BA907="",0,IFERROR(--(EOMONTH(BA907,0)&lt;&gt;AZ$5),1)))&gt;0,"; An invoice date is not in the month it is typed under",""),3,500))</f>
        <v/>
      </c>
      <c r="S907" s="12" t="n"/>
      <c r="T907" s="13" t="n"/>
      <c r="U907" s="14" t="n"/>
      <c r="V907" s="12" t="n"/>
      <c r="W907" s="13" t="n"/>
      <c r="X907" s="14" t="n"/>
      <c r="Y907" s="12" t="n"/>
      <c r="Z907" s="13" t="n"/>
      <c r="AA907" s="14" t="n"/>
      <c r="AB907" s="12" t="n"/>
      <c r="AC907" s="13" t="n"/>
      <c r="AD907" s="14" t="n"/>
      <c r="AE907" s="12" t="n"/>
      <c r="AF907" s="13" t="n"/>
      <c r="AG907" s="14" t="n"/>
      <c r="AH907" s="12" t="n"/>
      <c r="AI907" s="13" t="n"/>
      <c r="AJ907" s="14" t="n"/>
      <c r="AK907" s="12" t="n"/>
      <c r="AL907" s="13" t="n"/>
      <c r="AM907" s="14" t="n"/>
      <c r="AN907" s="12" t="n"/>
      <c r="AO907" s="13" t="n"/>
      <c r="AP907" s="14" t="n"/>
      <c r="AQ907" s="12" t="n"/>
      <c r="AR907" s="13" t="n"/>
      <c r="AS907" s="14" t="n"/>
      <c r="AT907" s="12" t="n"/>
      <c r="AU907" s="13" t="n"/>
      <c r="AV907" s="14" t="n"/>
      <c r="AW907" s="12" t="n"/>
      <c r="AX907" s="13" t="n"/>
      <c r="AY907" s="14" t="n"/>
      <c r="AZ907" s="12" t="n"/>
      <c r="BA907" s="13" t="n"/>
      <c r="BB907" s="14" t="n"/>
      <c r="BC907" s="11">
        <f>IF(O907="","",IF(J907="GST 10%",ROUND(O907*set_GSTRate,2),0))</f>
        <v/>
      </c>
      <c r="BD907" s="11">
        <f>IF(O907="","",O907+BC907)</f>
        <v/>
      </c>
      <c r="BE907" s="15">
        <f>IF(O907="","",COUNTA(S907,V907,Y907,AB907,AE907,AH907,AK907,AN907,AQ907,AT907,AW907,AZ907))</f>
        <v/>
      </c>
      <c r="BF907" s="16">
        <f>IF(COUNT(T907,W907,Z907,AC907,AF907,AI907,AL907,AO907,AR907,AU907,AX907,BA907)=0,"",MAX(T907,W907,Z907,AC907,AF907,AI907,AL907,AO907,AR907,AU907,AX907,BA907))</f>
        <v/>
      </c>
      <c r="BG907" s="10">
        <f>MID(IF(S907="","",", "&amp;S907)&amp;IF(V907="","",", "&amp;V907)&amp;IF(Y907="","",", "&amp;Y907)&amp;IF(AB907="","",", "&amp;AB907)&amp;IF(AE907="","",", "&amp;AE907)&amp;IF(AH907="","",", "&amp;AH907)&amp;IF(AK907="","",", "&amp;AK907)&amp;IF(AN907="","",", "&amp;AN907)&amp;IF(AQ907="","",", "&amp;AQ907)&amp;IF(AT907="","",", "&amp;AT907)&amp;IF(AW907="","",", "&amp;AW907)&amp;IF(AZ907="","",", "&amp;AZ907),3,500)</f>
        <v/>
      </c>
      <c r="BH907" s="12" t="n"/>
      <c r="BI907" s="15">
        <f>IFERROR(MATCH($A907,IF($B907="Onsite",tbl_Onsite[Row ID],IF($B907="Production",tbl_Production[Row ID],tbl_Consulting[Row ID])),0),"")</f>
        <v/>
      </c>
    </row>
    <row r="908">
      <c r="A908" s="10" t="inlineStr">
        <is>
          <t>PRD-0402</t>
        </is>
      </c>
      <c r="B908" s="10" t="inlineStr">
        <is>
          <t>Production</t>
        </is>
      </c>
      <c r="C908" s="10">
        <f>IF($BI908="","",IF($B908="Onsite",INDEX(tbl_Onsite[Job Number],$BI908),IF($B908="Production",INDEX(tbl_Production[Job Number],$BI908),INDEX(tbl_Consulting[Job Number],$BI908)))&amp;"")</f>
        <v/>
      </c>
      <c r="D908" s="10">
        <f>IF($BI908="","",IF($B908="Onsite",INDEX(tbl_Onsite[Client],$BI908),IF($B908="Production",INDEX(tbl_Production[Client],$BI908),INDEX(tbl_Consulting[Client],$BI908)))&amp;"")</f>
        <v/>
      </c>
      <c r="E908" s="10">
        <f>IF($C908="","",IF(COUNTIF(lst_Jobs,$C908)&gt;0,"OK","CHECK"))</f>
        <v/>
      </c>
      <c r="F908" s="10">
        <f>IF($C908="","",IFERROR(INDEX(lst_JobName,MATCH($C908,lst_Jobs,0)),""))</f>
        <v/>
      </c>
      <c r="G908" s="10">
        <f>IF($BI908="","",IF($B908="Onsite",INDEX(tbl_Onsite[Job Description],$BI908),IF($B908="Production",INDEX(tbl_Production[Job Description],$BI908),INDEX(tbl_Consulting[Job Description],$BI908)))&amp;"")</f>
        <v/>
      </c>
      <c r="H908" s="10">
        <f>IF($BI908="","",IF($B908="Onsite",INDEX(tbl_Onsite[Cost Centre],$BI908),IF($B908="Production",INDEX(tbl_Production[Cost Centre],$BI908),INDEX(tbl_Consulting[Cost Centre],$BI908)))&amp;"")</f>
        <v/>
      </c>
      <c r="I908" s="10">
        <f>IF($BI908="","",IF($B908="Onsite",INDEX(tbl_Onsite[Invoice Type],$BI908),IF($B908="Production",INDEX(tbl_Production[Invoice Type],$BI908),INDEX(tbl_Consulting[Invoice Type],$BI908)))&amp;"")</f>
        <v/>
      </c>
      <c r="J908" s="10">
        <f>IF($BI908="","",IF($B908="Onsite",INDEX(tbl_Onsite[Tax Code],$BI908),IF($B908="Production",INDEX(tbl_Production[Tax Code],$BI908),INDEX(tbl_Consulting[Tax Code],$BI908)))&amp;"")</f>
        <v/>
      </c>
      <c r="K908" s="10">
        <f>IF(H908="","",IFERROR(INDEX(lst_CCtoGL,MATCH(H908,lst_CCforGL,0)),""))</f>
        <v/>
      </c>
      <c r="L908" s="10">
        <f>IF($BI908="","",IF($B908="Onsite",INDEX(tbl_Onsite[PO / Reference],$BI908),IF($B908="Production",INDEX(tbl_Production[Current RMS No],$BI908),INDEX(tbl_Consulting[Qwilr Quote],$BI908)))&amp;"")</f>
        <v/>
      </c>
      <c r="M908" s="10">
        <f>IF($BI908="","",IF($B908="Onsite",INDEX(tbl_Onsite[Notes],$BI908),IF($B908="Production",INDEX(tbl_Production[Notes],$BI908),INDEX(tbl_Consulting[Notes],$BI908)))&amp;"")</f>
        <v/>
      </c>
      <c r="N908" s="11">
        <f>IF($BI908="","",IF(IF($B908="Onsite",INDEX(tbl_Onsite[Expected Revenue Ex GST],$BI908),IF($B908="Production",INDEX(tbl_Production[Expected Revenue Ex GST],$BI908),INDEX(tbl_Consulting[Expected Revenue Ex GST],$BI908)))="","",IF($B908="Onsite",INDEX(tbl_Onsite[Expected Revenue Ex GST],$BI908),IF($B908="Production",INDEX(tbl_Production[Expected Revenue Ex GST],$BI908),INDEX(tbl_Consulting[Expected Revenue Ex GST],$BI908)))))</f>
        <v/>
      </c>
      <c r="O908" s="11">
        <f>IF(AND($C908="",NOT(COUNTA($S908:$BB908)&gt;0)),"",SUM(U908,X908,AA908,AD908,AG908,AJ908,AM908,AP908,AS908,AV908,AY908,BB908))</f>
        <v/>
      </c>
      <c r="P908" s="11">
        <f>IF(O908="","",N(N908)-O908)</f>
        <v/>
      </c>
      <c r="Q908" s="10">
        <f>IF(O908="","",IF($C908="","Invoice on empty job row",IF(N908="",IF(ROUND(O908,2)=0,"No dept value","Invoiced - no dept value"),IF(ROUND(O908,2)=0,"Not invoiced - to invoice",IF(ROUND(P908,2)=0,"Agrees",IF(P908&gt;0,"Dept higher - to invoice","Xero higher - check dept"))))))</f>
        <v/>
      </c>
      <c r="R908" s="10">
        <f>IF(AND($C908="",NOT(COUNTA($S908:$BB908)&gt;0),$BI908&lt;&gt;""),"",MID(IF($BI908="","; Row ID not found on the department sheet - a row was deleted","")&amp;IF(AND($C908="",COUNTA($S908:$BB908)&gt;0),"; Invoice entered but the department row has no job number","")&amp;IF(E908="CHECK","; Job number not in the Xero job list","")&amp;IF(AND($C908&lt;&gt;"",COUNTIF($C$7:$C$1506,$C908)&gt;1),"; Job number on more than one row","")&amp;IF(AND($C908&lt;&gt;"",H908=""),"; Dept has not set a cost centre","")&amp;IF(AND($C908&lt;&gt;"",J908=""),"; Dept has not set a tax code","")&amp;IF(AND($C908&lt;&gt;"",N908=""),"; Dept has not entered an expected value","")&amp;IF((IF(OR(COUNTA(S908:U908)=0,AND(COUNTA(S908:U908)=3,ISNUMBER(U908))),0,1)+IF(OR(COUNTA(V908:X908)=0,AND(COUNTA(V908:X908)=3,ISNUMBER(X908))),0,1)+IF(OR(COUNTA(Y908:AA908)=0,AND(COUNTA(Y908:AA908)=3,ISNUMBER(AA908))),0,1)+IF(OR(COUNTA(AB908:AD908)=0,AND(COUNTA(AB908:AD908)=3,ISNUMBER(AD908))),0,1)+IF(OR(COUNTA(AE908:AG908)=0,AND(COUNTA(AE908:AG908)=3,ISNUMBER(AG908))),0,1)+IF(OR(COUNTA(AH908:AJ908)=0,AND(COUNTA(AH908:AJ908)=3,ISNUMBER(AJ908))),0,1)+IF(OR(COUNTA(AK908:AM908)=0,AND(COUNTA(AK908:AM908)=3,ISNUMBER(AM908))),0,1)+IF(OR(COUNTA(AN908:AP908)=0,AND(COUNTA(AN908:AP908)=3,ISNUMBER(AP908))),0,1)+IF(OR(COUNTA(AQ908:AS908)=0,AND(COUNTA(AQ908:AS908)=3,ISNUMBER(AS908))),0,1)+IF(OR(COUNTA(AT908:AV908)=0,AND(COUNTA(AT908:AV908)=3,ISNUMBER(AV908))),0,1)+IF(OR(COUNTA(AW908:AY908)=0,AND(COUNTA(AW908:AY908)=3,ISNUMBER(AY908))),0,1)+IF(OR(COUNTA(AZ908:BB908)=0,AND(COUNTA(AZ908:BB908)=3,ISNUMBER(BB908))),0,1))&gt;0,"; An invoice is incomplete (needs No, Date and a number in Ex GST)","")&amp;IF((IF(T908="",0,IFERROR(--(EOMONTH(T908,0)&lt;&gt;S$5),1))+IF(W908="",0,IFERROR(--(EOMONTH(W908,0)&lt;&gt;V$5),1))+IF(Z908="",0,IFERROR(--(EOMONTH(Z908,0)&lt;&gt;Y$5),1))+IF(AC908="",0,IFERROR(--(EOMONTH(AC908,0)&lt;&gt;AB$5),1))+IF(AF908="",0,IFERROR(--(EOMONTH(AF908,0)&lt;&gt;AE$5),1))+IF(AI908="",0,IFERROR(--(EOMONTH(AI908,0)&lt;&gt;AH$5),1))+IF(AL908="",0,IFERROR(--(EOMONTH(AL908,0)&lt;&gt;AK$5),1))+IF(AO908="",0,IFERROR(--(EOMONTH(AO908,0)&lt;&gt;AN$5),1))+IF(AR908="",0,IFERROR(--(EOMONTH(AR908,0)&lt;&gt;AQ$5),1))+IF(AU908="",0,IFERROR(--(EOMONTH(AU908,0)&lt;&gt;AT$5),1))+IF(AX908="",0,IFERROR(--(EOMONTH(AX908,0)&lt;&gt;AW$5),1))+IF(BA908="",0,IFERROR(--(EOMONTH(BA908,0)&lt;&gt;AZ$5),1)))&gt;0,"; An invoice date is not in the month it is typed under",""),3,500))</f>
        <v/>
      </c>
      <c r="S908" s="12" t="n"/>
      <c r="T908" s="13" t="n"/>
      <c r="U908" s="14" t="n"/>
      <c r="V908" s="12" t="n"/>
      <c r="W908" s="13" t="n"/>
      <c r="X908" s="14" t="n"/>
      <c r="Y908" s="12" t="n"/>
      <c r="Z908" s="13" t="n"/>
      <c r="AA908" s="14" t="n"/>
      <c r="AB908" s="12" t="n"/>
      <c r="AC908" s="13" t="n"/>
      <c r="AD908" s="14" t="n"/>
      <c r="AE908" s="12" t="n"/>
      <c r="AF908" s="13" t="n"/>
      <c r="AG908" s="14" t="n"/>
      <c r="AH908" s="12" t="n"/>
      <c r="AI908" s="13" t="n"/>
      <c r="AJ908" s="14" t="n"/>
      <c r="AK908" s="12" t="n"/>
      <c r="AL908" s="13" t="n"/>
      <c r="AM908" s="14" t="n"/>
      <c r="AN908" s="12" t="n"/>
      <c r="AO908" s="13" t="n"/>
      <c r="AP908" s="14" t="n"/>
      <c r="AQ908" s="12" t="n"/>
      <c r="AR908" s="13" t="n"/>
      <c r="AS908" s="14" t="n"/>
      <c r="AT908" s="12" t="n"/>
      <c r="AU908" s="13" t="n"/>
      <c r="AV908" s="14" t="n"/>
      <c r="AW908" s="12" t="n"/>
      <c r="AX908" s="13" t="n"/>
      <c r="AY908" s="14" t="n"/>
      <c r="AZ908" s="12" t="n"/>
      <c r="BA908" s="13" t="n"/>
      <c r="BB908" s="14" t="n"/>
      <c r="BC908" s="11">
        <f>IF(O908="","",IF(J908="GST 10%",ROUND(O908*set_GSTRate,2),0))</f>
        <v/>
      </c>
      <c r="BD908" s="11">
        <f>IF(O908="","",O908+BC908)</f>
        <v/>
      </c>
      <c r="BE908" s="15">
        <f>IF(O908="","",COUNTA(S908,V908,Y908,AB908,AE908,AH908,AK908,AN908,AQ908,AT908,AW908,AZ908))</f>
        <v/>
      </c>
      <c r="BF908" s="16">
        <f>IF(COUNT(T908,W908,Z908,AC908,AF908,AI908,AL908,AO908,AR908,AU908,AX908,BA908)=0,"",MAX(T908,W908,Z908,AC908,AF908,AI908,AL908,AO908,AR908,AU908,AX908,BA908))</f>
        <v/>
      </c>
      <c r="BG908" s="10">
        <f>MID(IF(S908="","",", "&amp;S908)&amp;IF(V908="","",", "&amp;V908)&amp;IF(Y908="","",", "&amp;Y908)&amp;IF(AB908="","",", "&amp;AB908)&amp;IF(AE908="","",", "&amp;AE908)&amp;IF(AH908="","",", "&amp;AH908)&amp;IF(AK908="","",", "&amp;AK908)&amp;IF(AN908="","",", "&amp;AN908)&amp;IF(AQ908="","",", "&amp;AQ908)&amp;IF(AT908="","",", "&amp;AT908)&amp;IF(AW908="","",", "&amp;AW908)&amp;IF(AZ908="","",", "&amp;AZ908),3,500)</f>
        <v/>
      </c>
      <c r="BH908" s="12" t="n"/>
      <c r="BI908" s="15">
        <f>IFERROR(MATCH($A908,IF($B908="Onsite",tbl_Onsite[Row ID],IF($B908="Production",tbl_Production[Row ID],tbl_Consulting[Row ID])),0),"")</f>
        <v/>
      </c>
    </row>
    <row r="909">
      <c r="A909" s="10" t="inlineStr">
        <is>
          <t>PRD-0403</t>
        </is>
      </c>
      <c r="B909" s="10" t="inlineStr">
        <is>
          <t>Production</t>
        </is>
      </c>
      <c r="C909" s="10">
        <f>IF($BI909="","",IF($B909="Onsite",INDEX(tbl_Onsite[Job Number],$BI909),IF($B909="Production",INDEX(tbl_Production[Job Number],$BI909),INDEX(tbl_Consulting[Job Number],$BI909)))&amp;"")</f>
        <v/>
      </c>
      <c r="D909" s="10">
        <f>IF($BI909="","",IF($B909="Onsite",INDEX(tbl_Onsite[Client],$BI909),IF($B909="Production",INDEX(tbl_Production[Client],$BI909),INDEX(tbl_Consulting[Client],$BI909)))&amp;"")</f>
        <v/>
      </c>
      <c r="E909" s="10">
        <f>IF($C909="","",IF(COUNTIF(lst_Jobs,$C909)&gt;0,"OK","CHECK"))</f>
        <v/>
      </c>
      <c r="F909" s="10">
        <f>IF($C909="","",IFERROR(INDEX(lst_JobName,MATCH($C909,lst_Jobs,0)),""))</f>
        <v/>
      </c>
      <c r="G909" s="10">
        <f>IF($BI909="","",IF($B909="Onsite",INDEX(tbl_Onsite[Job Description],$BI909),IF($B909="Production",INDEX(tbl_Production[Job Description],$BI909),INDEX(tbl_Consulting[Job Description],$BI909)))&amp;"")</f>
        <v/>
      </c>
      <c r="H909" s="10">
        <f>IF($BI909="","",IF($B909="Onsite",INDEX(tbl_Onsite[Cost Centre],$BI909),IF($B909="Production",INDEX(tbl_Production[Cost Centre],$BI909),INDEX(tbl_Consulting[Cost Centre],$BI909)))&amp;"")</f>
        <v/>
      </c>
      <c r="I909" s="10">
        <f>IF($BI909="","",IF($B909="Onsite",INDEX(tbl_Onsite[Invoice Type],$BI909),IF($B909="Production",INDEX(tbl_Production[Invoice Type],$BI909),INDEX(tbl_Consulting[Invoice Type],$BI909)))&amp;"")</f>
        <v/>
      </c>
      <c r="J909" s="10">
        <f>IF($BI909="","",IF($B909="Onsite",INDEX(tbl_Onsite[Tax Code],$BI909),IF($B909="Production",INDEX(tbl_Production[Tax Code],$BI909),INDEX(tbl_Consulting[Tax Code],$BI909)))&amp;"")</f>
        <v/>
      </c>
      <c r="K909" s="10">
        <f>IF(H909="","",IFERROR(INDEX(lst_CCtoGL,MATCH(H909,lst_CCforGL,0)),""))</f>
        <v/>
      </c>
      <c r="L909" s="10">
        <f>IF($BI909="","",IF($B909="Onsite",INDEX(tbl_Onsite[PO / Reference],$BI909),IF($B909="Production",INDEX(tbl_Production[Current RMS No],$BI909),INDEX(tbl_Consulting[Qwilr Quote],$BI909)))&amp;"")</f>
        <v/>
      </c>
      <c r="M909" s="10">
        <f>IF($BI909="","",IF($B909="Onsite",INDEX(tbl_Onsite[Notes],$BI909),IF($B909="Production",INDEX(tbl_Production[Notes],$BI909),INDEX(tbl_Consulting[Notes],$BI909)))&amp;"")</f>
        <v/>
      </c>
      <c r="N909" s="11">
        <f>IF($BI909="","",IF(IF($B909="Onsite",INDEX(tbl_Onsite[Expected Revenue Ex GST],$BI909),IF($B909="Production",INDEX(tbl_Production[Expected Revenue Ex GST],$BI909),INDEX(tbl_Consulting[Expected Revenue Ex GST],$BI909)))="","",IF($B909="Onsite",INDEX(tbl_Onsite[Expected Revenue Ex GST],$BI909),IF($B909="Production",INDEX(tbl_Production[Expected Revenue Ex GST],$BI909),INDEX(tbl_Consulting[Expected Revenue Ex GST],$BI909)))))</f>
        <v/>
      </c>
      <c r="O909" s="11">
        <f>IF(AND($C909="",NOT(COUNTA($S909:$BB909)&gt;0)),"",SUM(U909,X909,AA909,AD909,AG909,AJ909,AM909,AP909,AS909,AV909,AY909,BB909))</f>
        <v/>
      </c>
      <c r="P909" s="11">
        <f>IF(O909="","",N(N909)-O909)</f>
        <v/>
      </c>
      <c r="Q909" s="10">
        <f>IF(O909="","",IF($C909="","Invoice on empty job row",IF(N909="",IF(ROUND(O909,2)=0,"No dept value","Invoiced - no dept value"),IF(ROUND(O909,2)=0,"Not invoiced - to invoice",IF(ROUND(P909,2)=0,"Agrees",IF(P909&gt;0,"Dept higher - to invoice","Xero higher - check dept"))))))</f>
        <v/>
      </c>
      <c r="R909" s="10">
        <f>IF(AND($C909="",NOT(COUNTA($S909:$BB909)&gt;0),$BI909&lt;&gt;""),"",MID(IF($BI909="","; Row ID not found on the department sheet - a row was deleted","")&amp;IF(AND($C909="",COUNTA($S909:$BB909)&gt;0),"; Invoice entered but the department row has no job number","")&amp;IF(E909="CHECK","; Job number not in the Xero job list","")&amp;IF(AND($C909&lt;&gt;"",COUNTIF($C$7:$C$1506,$C909)&gt;1),"; Job number on more than one row","")&amp;IF(AND($C909&lt;&gt;"",H909=""),"; Dept has not set a cost centre","")&amp;IF(AND($C909&lt;&gt;"",J909=""),"; Dept has not set a tax code","")&amp;IF(AND($C909&lt;&gt;"",N909=""),"; Dept has not entered an expected value","")&amp;IF((IF(OR(COUNTA(S909:U909)=0,AND(COUNTA(S909:U909)=3,ISNUMBER(U909))),0,1)+IF(OR(COUNTA(V909:X909)=0,AND(COUNTA(V909:X909)=3,ISNUMBER(X909))),0,1)+IF(OR(COUNTA(Y909:AA909)=0,AND(COUNTA(Y909:AA909)=3,ISNUMBER(AA909))),0,1)+IF(OR(COUNTA(AB909:AD909)=0,AND(COUNTA(AB909:AD909)=3,ISNUMBER(AD909))),0,1)+IF(OR(COUNTA(AE909:AG909)=0,AND(COUNTA(AE909:AG909)=3,ISNUMBER(AG909))),0,1)+IF(OR(COUNTA(AH909:AJ909)=0,AND(COUNTA(AH909:AJ909)=3,ISNUMBER(AJ909))),0,1)+IF(OR(COUNTA(AK909:AM909)=0,AND(COUNTA(AK909:AM909)=3,ISNUMBER(AM909))),0,1)+IF(OR(COUNTA(AN909:AP909)=0,AND(COUNTA(AN909:AP909)=3,ISNUMBER(AP909))),0,1)+IF(OR(COUNTA(AQ909:AS909)=0,AND(COUNTA(AQ909:AS909)=3,ISNUMBER(AS909))),0,1)+IF(OR(COUNTA(AT909:AV909)=0,AND(COUNTA(AT909:AV909)=3,ISNUMBER(AV909))),0,1)+IF(OR(COUNTA(AW909:AY909)=0,AND(COUNTA(AW909:AY909)=3,ISNUMBER(AY909))),0,1)+IF(OR(COUNTA(AZ909:BB909)=0,AND(COUNTA(AZ909:BB909)=3,ISNUMBER(BB909))),0,1))&gt;0,"; An invoice is incomplete (needs No, Date and a number in Ex GST)","")&amp;IF((IF(T909="",0,IFERROR(--(EOMONTH(T909,0)&lt;&gt;S$5),1))+IF(W909="",0,IFERROR(--(EOMONTH(W909,0)&lt;&gt;V$5),1))+IF(Z909="",0,IFERROR(--(EOMONTH(Z909,0)&lt;&gt;Y$5),1))+IF(AC909="",0,IFERROR(--(EOMONTH(AC909,0)&lt;&gt;AB$5),1))+IF(AF909="",0,IFERROR(--(EOMONTH(AF909,0)&lt;&gt;AE$5),1))+IF(AI909="",0,IFERROR(--(EOMONTH(AI909,0)&lt;&gt;AH$5),1))+IF(AL909="",0,IFERROR(--(EOMONTH(AL909,0)&lt;&gt;AK$5),1))+IF(AO909="",0,IFERROR(--(EOMONTH(AO909,0)&lt;&gt;AN$5),1))+IF(AR909="",0,IFERROR(--(EOMONTH(AR909,0)&lt;&gt;AQ$5),1))+IF(AU909="",0,IFERROR(--(EOMONTH(AU909,0)&lt;&gt;AT$5),1))+IF(AX909="",0,IFERROR(--(EOMONTH(AX909,0)&lt;&gt;AW$5),1))+IF(BA909="",0,IFERROR(--(EOMONTH(BA909,0)&lt;&gt;AZ$5),1)))&gt;0,"; An invoice date is not in the month it is typed under",""),3,500))</f>
        <v/>
      </c>
      <c r="S909" s="12" t="n"/>
      <c r="T909" s="13" t="n"/>
      <c r="U909" s="14" t="n"/>
      <c r="V909" s="12" t="n"/>
      <c r="W909" s="13" t="n"/>
      <c r="X909" s="14" t="n"/>
      <c r="Y909" s="12" t="n"/>
      <c r="Z909" s="13" t="n"/>
      <c r="AA909" s="14" t="n"/>
      <c r="AB909" s="12" t="n"/>
      <c r="AC909" s="13" t="n"/>
      <c r="AD909" s="14" t="n"/>
      <c r="AE909" s="12" t="n"/>
      <c r="AF909" s="13" t="n"/>
      <c r="AG909" s="14" t="n"/>
      <c r="AH909" s="12" t="n"/>
      <c r="AI909" s="13" t="n"/>
      <c r="AJ909" s="14" t="n"/>
      <c r="AK909" s="12" t="n"/>
      <c r="AL909" s="13" t="n"/>
      <c r="AM909" s="14" t="n"/>
      <c r="AN909" s="12" t="n"/>
      <c r="AO909" s="13" t="n"/>
      <c r="AP909" s="14" t="n"/>
      <c r="AQ909" s="12" t="n"/>
      <c r="AR909" s="13" t="n"/>
      <c r="AS909" s="14" t="n"/>
      <c r="AT909" s="12" t="n"/>
      <c r="AU909" s="13" t="n"/>
      <c r="AV909" s="14" t="n"/>
      <c r="AW909" s="12" t="n"/>
      <c r="AX909" s="13" t="n"/>
      <c r="AY909" s="14" t="n"/>
      <c r="AZ909" s="12" t="n"/>
      <c r="BA909" s="13" t="n"/>
      <c r="BB909" s="14" t="n"/>
      <c r="BC909" s="11">
        <f>IF(O909="","",IF(J909="GST 10%",ROUND(O909*set_GSTRate,2),0))</f>
        <v/>
      </c>
      <c r="BD909" s="11">
        <f>IF(O909="","",O909+BC909)</f>
        <v/>
      </c>
      <c r="BE909" s="15">
        <f>IF(O909="","",COUNTA(S909,V909,Y909,AB909,AE909,AH909,AK909,AN909,AQ909,AT909,AW909,AZ909))</f>
        <v/>
      </c>
      <c r="BF909" s="16">
        <f>IF(COUNT(T909,W909,Z909,AC909,AF909,AI909,AL909,AO909,AR909,AU909,AX909,BA909)=0,"",MAX(T909,W909,Z909,AC909,AF909,AI909,AL909,AO909,AR909,AU909,AX909,BA909))</f>
        <v/>
      </c>
      <c r="BG909" s="10">
        <f>MID(IF(S909="","",", "&amp;S909)&amp;IF(V909="","",", "&amp;V909)&amp;IF(Y909="","",", "&amp;Y909)&amp;IF(AB909="","",", "&amp;AB909)&amp;IF(AE909="","",", "&amp;AE909)&amp;IF(AH909="","",", "&amp;AH909)&amp;IF(AK909="","",", "&amp;AK909)&amp;IF(AN909="","",", "&amp;AN909)&amp;IF(AQ909="","",", "&amp;AQ909)&amp;IF(AT909="","",", "&amp;AT909)&amp;IF(AW909="","",", "&amp;AW909)&amp;IF(AZ909="","",", "&amp;AZ909),3,500)</f>
        <v/>
      </c>
      <c r="BH909" s="12" t="n"/>
      <c r="BI909" s="15">
        <f>IFERROR(MATCH($A909,IF($B909="Onsite",tbl_Onsite[Row ID],IF($B909="Production",tbl_Production[Row ID],tbl_Consulting[Row ID])),0),"")</f>
        <v/>
      </c>
    </row>
    <row r="910">
      <c r="A910" s="10" t="inlineStr">
        <is>
          <t>PRD-0404</t>
        </is>
      </c>
      <c r="B910" s="10" t="inlineStr">
        <is>
          <t>Production</t>
        </is>
      </c>
      <c r="C910" s="10">
        <f>IF($BI910="","",IF($B910="Onsite",INDEX(tbl_Onsite[Job Number],$BI910),IF($B910="Production",INDEX(tbl_Production[Job Number],$BI910),INDEX(tbl_Consulting[Job Number],$BI910)))&amp;"")</f>
        <v/>
      </c>
      <c r="D910" s="10">
        <f>IF($BI910="","",IF($B910="Onsite",INDEX(tbl_Onsite[Client],$BI910),IF($B910="Production",INDEX(tbl_Production[Client],$BI910),INDEX(tbl_Consulting[Client],$BI910)))&amp;"")</f>
        <v/>
      </c>
      <c r="E910" s="10">
        <f>IF($C910="","",IF(COUNTIF(lst_Jobs,$C910)&gt;0,"OK","CHECK"))</f>
        <v/>
      </c>
      <c r="F910" s="10">
        <f>IF($C910="","",IFERROR(INDEX(lst_JobName,MATCH($C910,lst_Jobs,0)),""))</f>
        <v/>
      </c>
      <c r="G910" s="10">
        <f>IF($BI910="","",IF($B910="Onsite",INDEX(tbl_Onsite[Job Description],$BI910),IF($B910="Production",INDEX(tbl_Production[Job Description],$BI910),INDEX(tbl_Consulting[Job Description],$BI910)))&amp;"")</f>
        <v/>
      </c>
      <c r="H910" s="10">
        <f>IF($BI910="","",IF($B910="Onsite",INDEX(tbl_Onsite[Cost Centre],$BI910),IF($B910="Production",INDEX(tbl_Production[Cost Centre],$BI910),INDEX(tbl_Consulting[Cost Centre],$BI910)))&amp;"")</f>
        <v/>
      </c>
      <c r="I910" s="10">
        <f>IF($BI910="","",IF($B910="Onsite",INDEX(tbl_Onsite[Invoice Type],$BI910),IF($B910="Production",INDEX(tbl_Production[Invoice Type],$BI910),INDEX(tbl_Consulting[Invoice Type],$BI910)))&amp;"")</f>
        <v/>
      </c>
      <c r="J910" s="10">
        <f>IF($BI910="","",IF($B910="Onsite",INDEX(tbl_Onsite[Tax Code],$BI910),IF($B910="Production",INDEX(tbl_Production[Tax Code],$BI910),INDEX(tbl_Consulting[Tax Code],$BI910)))&amp;"")</f>
        <v/>
      </c>
      <c r="K910" s="10">
        <f>IF(H910="","",IFERROR(INDEX(lst_CCtoGL,MATCH(H910,lst_CCforGL,0)),""))</f>
        <v/>
      </c>
      <c r="L910" s="10">
        <f>IF($BI910="","",IF($B910="Onsite",INDEX(tbl_Onsite[PO / Reference],$BI910),IF($B910="Production",INDEX(tbl_Production[Current RMS No],$BI910),INDEX(tbl_Consulting[Qwilr Quote],$BI910)))&amp;"")</f>
        <v/>
      </c>
      <c r="M910" s="10">
        <f>IF($BI910="","",IF($B910="Onsite",INDEX(tbl_Onsite[Notes],$BI910),IF($B910="Production",INDEX(tbl_Production[Notes],$BI910),INDEX(tbl_Consulting[Notes],$BI910)))&amp;"")</f>
        <v/>
      </c>
      <c r="N910" s="11">
        <f>IF($BI910="","",IF(IF($B910="Onsite",INDEX(tbl_Onsite[Expected Revenue Ex GST],$BI910),IF($B910="Production",INDEX(tbl_Production[Expected Revenue Ex GST],$BI910),INDEX(tbl_Consulting[Expected Revenue Ex GST],$BI910)))="","",IF($B910="Onsite",INDEX(tbl_Onsite[Expected Revenue Ex GST],$BI910),IF($B910="Production",INDEX(tbl_Production[Expected Revenue Ex GST],$BI910),INDEX(tbl_Consulting[Expected Revenue Ex GST],$BI910)))))</f>
        <v/>
      </c>
      <c r="O910" s="11">
        <f>IF(AND($C910="",NOT(COUNTA($S910:$BB910)&gt;0)),"",SUM(U910,X910,AA910,AD910,AG910,AJ910,AM910,AP910,AS910,AV910,AY910,BB910))</f>
        <v/>
      </c>
      <c r="P910" s="11">
        <f>IF(O910="","",N(N910)-O910)</f>
        <v/>
      </c>
      <c r="Q910" s="10">
        <f>IF(O910="","",IF($C910="","Invoice on empty job row",IF(N910="",IF(ROUND(O910,2)=0,"No dept value","Invoiced - no dept value"),IF(ROUND(O910,2)=0,"Not invoiced - to invoice",IF(ROUND(P910,2)=0,"Agrees",IF(P910&gt;0,"Dept higher - to invoice","Xero higher - check dept"))))))</f>
        <v/>
      </c>
      <c r="R910" s="10">
        <f>IF(AND($C910="",NOT(COUNTA($S910:$BB910)&gt;0),$BI910&lt;&gt;""),"",MID(IF($BI910="","; Row ID not found on the department sheet - a row was deleted","")&amp;IF(AND($C910="",COUNTA($S910:$BB910)&gt;0),"; Invoice entered but the department row has no job number","")&amp;IF(E910="CHECK","; Job number not in the Xero job list","")&amp;IF(AND($C910&lt;&gt;"",COUNTIF($C$7:$C$1506,$C910)&gt;1),"; Job number on more than one row","")&amp;IF(AND($C910&lt;&gt;"",H910=""),"; Dept has not set a cost centre","")&amp;IF(AND($C910&lt;&gt;"",J910=""),"; Dept has not set a tax code","")&amp;IF(AND($C910&lt;&gt;"",N910=""),"; Dept has not entered an expected value","")&amp;IF((IF(OR(COUNTA(S910:U910)=0,AND(COUNTA(S910:U910)=3,ISNUMBER(U910))),0,1)+IF(OR(COUNTA(V910:X910)=0,AND(COUNTA(V910:X910)=3,ISNUMBER(X910))),0,1)+IF(OR(COUNTA(Y910:AA910)=0,AND(COUNTA(Y910:AA910)=3,ISNUMBER(AA910))),0,1)+IF(OR(COUNTA(AB910:AD910)=0,AND(COUNTA(AB910:AD910)=3,ISNUMBER(AD910))),0,1)+IF(OR(COUNTA(AE910:AG910)=0,AND(COUNTA(AE910:AG910)=3,ISNUMBER(AG910))),0,1)+IF(OR(COUNTA(AH910:AJ910)=0,AND(COUNTA(AH910:AJ910)=3,ISNUMBER(AJ910))),0,1)+IF(OR(COUNTA(AK910:AM910)=0,AND(COUNTA(AK910:AM910)=3,ISNUMBER(AM910))),0,1)+IF(OR(COUNTA(AN910:AP910)=0,AND(COUNTA(AN910:AP910)=3,ISNUMBER(AP910))),0,1)+IF(OR(COUNTA(AQ910:AS910)=0,AND(COUNTA(AQ910:AS910)=3,ISNUMBER(AS910))),0,1)+IF(OR(COUNTA(AT910:AV910)=0,AND(COUNTA(AT910:AV910)=3,ISNUMBER(AV910))),0,1)+IF(OR(COUNTA(AW910:AY910)=0,AND(COUNTA(AW910:AY910)=3,ISNUMBER(AY910))),0,1)+IF(OR(COUNTA(AZ910:BB910)=0,AND(COUNTA(AZ910:BB910)=3,ISNUMBER(BB910))),0,1))&gt;0,"; An invoice is incomplete (needs No, Date and a number in Ex GST)","")&amp;IF((IF(T910="",0,IFERROR(--(EOMONTH(T910,0)&lt;&gt;S$5),1))+IF(W910="",0,IFERROR(--(EOMONTH(W910,0)&lt;&gt;V$5),1))+IF(Z910="",0,IFERROR(--(EOMONTH(Z910,0)&lt;&gt;Y$5),1))+IF(AC910="",0,IFERROR(--(EOMONTH(AC910,0)&lt;&gt;AB$5),1))+IF(AF910="",0,IFERROR(--(EOMONTH(AF910,0)&lt;&gt;AE$5),1))+IF(AI910="",0,IFERROR(--(EOMONTH(AI910,0)&lt;&gt;AH$5),1))+IF(AL910="",0,IFERROR(--(EOMONTH(AL910,0)&lt;&gt;AK$5),1))+IF(AO910="",0,IFERROR(--(EOMONTH(AO910,0)&lt;&gt;AN$5),1))+IF(AR910="",0,IFERROR(--(EOMONTH(AR910,0)&lt;&gt;AQ$5),1))+IF(AU910="",0,IFERROR(--(EOMONTH(AU910,0)&lt;&gt;AT$5),1))+IF(AX910="",0,IFERROR(--(EOMONTH(AX910,0)&lt;&gt;AW$5),1))+IF(BA910="",0,IFERROR(--(EOMONTH(BA910,0)&lt;&gt;AZ$5),1)))&gt;0,"; An invoice date is not in the month it is typed under",""),3,500))</f>
        <v/>
      </c>
      <c r="S910" s="12" t="n"/>
      <c r="T910" s="13" t="n"/>
      <c r="U910" s="14" t="n"/>
      <c r="V910" s="12" t="n"/>
      <c r="W910" s="13" t="n"/>
      <c r="X910" s="14" t="n"/>
      <c r="Y910" s="12" t="n"/>
      <c r="Z910" s="13" t="n"/>
      <c r="AA910" s="14" t="n"/>
      <c r="AB910" s="12" t="n"/>
      <c r="AC910" s="13" t="n"/>
      <c r="AD910" s="14" t="n"/>
      <c r="AE910" s="12" t="n"/>
      <c r="AF910" s="13" t="n"/>
      <c r="AG910" s="14" t="n"/>
      <c r="AH910" s="12" t="n"/>
      <c r="AI910" s="13" t="n"/>
      <c r="AJ910" s="14" t="n"/>
      <c r="AK910" s="12" t="n"/>
      <c r="AL910" s="13" t="n"/>
      <c r="AM910" s="14" t="n"/>
      <c r="AN910" s="12" t="n"/>
      <c r="AO910" s="13" t="n"/>
      <c r="AP910" s="14" t="n"/>
      <c r="AQ910" s="12" t="n"/>
      <c r="AR910" s="13" t="n"/>
      <c r="AS910" s="14" t="n"/>
      <c r="AT910" s="12" t="n"/>
      <c r="AU910" s="13" t="n"/>
      <c r="AV910" s="14" t="n"/>
      <c r="AW910" s="12" t="n"/>
      <c r="AX910" s="13" t="n"/>
      <c r="AY910" s="14" t="n"/>
      <c r="AZ910" s="12" t="n"/>
      <c r="BA910" s="13" t="n"/>
      <c r="BB910" s="14" t="n"/>
      <c r="BC910" s="11">
        <f>IF(O910="","",IF(J910="GST 10%",ROUND(O910*set_GSTRate,2),0))</f>
        <v/>
      </c>
      <c r="BD910" s="11">
        <f>IF(O910="","",O910+BC910)</f>
        <v/>
      </c>
      <c r="BE910" s="15">
        <f>IF(O910="","",COUNTA(S910,V910,Y910,AB910,AE910,AH910,AK910,AN910,AQ910,AT910,AW910,AZ910))</f>
        <v/>
      </c>
      <c r="BF910" s="16">
        <f>IF(COUNT(T910,W910,Z910,AC910,AF910,AI910,AL910,AO910,AR910,AU910,AX910,BA910)=0,"",MAX(T910,W910,Z910,AC910,AF910,AI910,AL910,AO910,AR910,AU910,AX910,BA910))</f>
        <v/>
      </c>
      <c r="BG910" s="10">
        <f>MID(IF(S910="","",", "&amp;S910)&amp;IF(V910="","",", "&amp;V910)&amp;IF(Y910="","",", "&amp;Y910)&amp;IF(AB910="","",", "&amp;AB910)&amp;IF(AE910="","",", "&amp;AE910)&amp;IF(AH910="","",", "&amp;AH910)&amp;IF(AK910="","",", "&amp;AK910)&amp;IF(AN910="","",", "&amp;AN910)&amp;IF(AQ910="","",", "&amp;AQ910)&amp;IF(AT910="","",", "&amp;AT910)&amp;IF(AW910="","",", "&amp;AW910)&amp;IF(AZ910="","",", "&amp;AZ910),3,500)</f>
        <v/>
      </c>
      <c r="BH910" s="12" t="n"/>
      <c r="BI910" s="15">
        <f>IFERROR(MATCH($A910,IF($B910="Onsite",tbl_Onsite[Row ID],IF($B910="Production",tbl_Production[Row ID],tbl_Consulting[Row ID])),0),"")</f>
        <v/>
      </c>
    </row>
    <row r="911">
      <c r="A911" s="10" t="inlineStr">
        <is>
          <t>PRD-0405</t>
        </is>
      </c>
      <c r="B911" s="10" t="inlineStr">
        <is>
          <t>Production</t>
        </is>
      </c>
      <c r="C911" s="10">
        <f>IF($BI911="","",IF($B911="Onsite",INDEX(tbl_Onsite[Job Number],$BI911),IF($B911="Production",INDEX(tbl_Production[Job Number],$BI911),INDEX(tbl_Consulting[Job Number],$BI911)))&amp;"")</f>
        <v/>
      </c>
      <c r="D911" s="10">
        <f>IF($BI911="","",IF($B911="Onsite",INDEX(tbl_Onsite[Client],$BI911),IF($B911="Production",INDEX(tbl_Production[Client],$BI911),INDEX(tbl_Consulting[Client],$BI911)))&amp;"")</f>
        <v/>
      </c>
      <c r="E911" s="10">
        <f>IF($C911="","",IF(COUNTIF(lst_Jobs,$C911)&gt;0,"OK","CHECK"))</f>
        <v/>
      </c>
      <c r="F911" s="10">
        <f>IF($C911="","",IFERROR(INDEX(lst_JobName,MATCH($C911,lst_Jobs,0)),""))</f>
        <v/>
      </c>
      <c r="G911" s="10">
        <f>IF($BI911="","",IF($B911="Onsite",INDEX(tbl_Onsite[Job Description],$BI911),IF($B911="Production",INDEX(tbl_Production[Job Description],$BI911),INDEX(tbl_Consulting[Job Description],$BI911)))&amp;"")</f>
        <v/>
      </c>
      <c r="H911" s="10">
        <f>IF($BI911="","",IF($B911="Onsite",INDEX(tbl_Onsite[Cost Centre],$BI911),IF($B911="Production",INDEX(tbl_Production[Cost Centre],$BI911),INDEX(tbl_Consulting[Cost Centre],$BI911)))&amp;"")</f>
        <v/>
      </c>
      <c r="I911" s="10">
        <f>IF($BI911="","",IF($B911="Onsite",INDEX(tbl_Onsite[Invoice Type],$BI911),IF($B911="Production",INDEX(tbl_Production[Invoice Type],$BI911),INDEX(tbl_Consulting[Invoice Type],$BI911)))&amp;"")</f>
        <v/>
      </c>
      <c r="J911" s="10">
        <f>IF($BI911="","",IF($B911="Onsite",INDEX(tbl_Onsite[Tax Code],$BI911),IF($B911="Production",INDEX(tbl_Production[Tax Code],$BI911),INDEX(tbl_Consulting[Tax Code],$BI911)))&amp;"")</f>
        <v/>
      </c>
      <c r="K911" s="10">
        <f>IF(H911="","",IFERROR(INDEX(lst_CCtoGL,MATCH(H911,lst_CCforGL,0)),""))</f>
        <v/>
      </c>
      <c r="L911" s="10">
        <f>IF($BI911="","",IF($B911="Onsite",INDEX(tbl_Onsite[PO / Reference],$BI911),IF($B911="Production",INDEX(tbl_Production[Current RMS No],$BI911),INDEX(tbl_Consulting[Qwilr Quote],$BI911)))&amp;"")</f>
        <v/>
      </c>
      <c r="M911" s="10">
        <f>IF($BI911="","",IF($B911="Onsite",INDEX(tbl_Onsite[Notes],$BI911),IF($B911="Production",INDEX(tbl_Production[Notes],$BI911),INDEX(tbl_Consulting[Notes],$BI911)))&amp;"")</f>
        <v/>
      </c>
      <c r="N911" s="11">
        <f>IF($BI911="","",IF(IF($B911="Onsite",INDEX(tbl_Onsite[Expected Revenue Ex GST],$BI911),IF($B911="Production",INDEX(tbl_Production[Expected Revenue Ex GST],$BI911),INDEX(tbl_Consulting[Expected Revenue Ex GST],$BI911)))="","",IF($B911="Onsite",INDEX(tbl_Onsite[Expected Revenue Ex GST],$BI911),IF($B911="Production",INDEX(tbl_Production[Expected Revenue Ex GST],$BI911),INDEX(tbl_Consulting[Expected Revenue Ex GST],$BI911)))))</f>
        <v/>
      </c>
      <c r="O911" s="11">
        <f>IF(AND($C911="",NOT(COUNTA($S911:$BB911)&gt;0)),"",SUM(U911,X911,AA911,AD911,AG911,AJ911,AM911,AP911,AS911,AV911,AY911,BB911))</f>
        <v/>
      </c>
      <c r="P911" s="11">
        <f>IF(O911="","",N(N911)-O911)</f>
        <v/>
      </c>
      <c r="Q911" s="10">
        <f>IF(O911="","",IF($C911="","Invoice on empty job row",IF(N911="",IF(ROUND(O911,2)=0,"No dept value","Invoiced - no dept value"),IF(ROUND(O911,2)=0,"Not invoiced - to invoice",IF(ROUND(P911,2)=0,"Agrees",IF(P911&gt;0,"Dept higher - to invoice","Xero higher - check dept"))))))</f>
        <v/>
      </c>
      <c r="R911" s="10">
        <f>IF(AND($C911="",NOT(COUNTA($S911:$BB911)&gt;0),$BI911&lt;&gt;""),"",MID(IF($BI911="","; Row ID not found on the department sheet - a row was deleted","")&amp;IF(AND($C911="",COUNTA($S911:$BB911)&gt;0),"; Invoice entered but the department row has no job number","")&amp;IF(E911="CHECK","; Job number not in the Xero job list","")&amp;IF(AND($C911&lt;&gt;"",COUNTIF($C$7:$C$1506,$C911)&gt;1),"; Job number on more than one row","")&amp;IF(AND($C911&lt;&gt;"",H911=""),"; Dept has not set a cost centre","")&amp;IF(AND($C911&lt;&gt;"",J911=""),"; Dept has not set a tax code","")&amp;IF(AND($C911&lt;&gt;"",N911=""),"; Dept has not entered an expected value","")&amp;IF((IF(OR(COUNTA(S911:U911)=0,AND(COUNTA(S911:U911)=3,ISNUMBER(U911))),0,1)+IF(OR(COUNTA(V911:X911)=0,AND(COUNTA(V911:X911)=3,ISNUMBER(X911))),0,1)+IF(OR(COUNTA(Y911:AA911)=0,AND(COUNTA(Y911:AA911)=3,ISNUMBER(AA911))),0,1)+IF(OR(COUNTA(AB911:AD911)=0,AND(COUNTA(AB911:AD911)=3,ISNUMBER(AD911))),0,1)+IF(OR(COUNTA(AE911:AG911)=0,AND(COUNTA(AE911:AG911)=3,ISNUMBER(AG911))),0,1)+IF(OR(COUNTA(AH911:AJ911)=0,AND(COUNTA(AH911:AJ911)=3,ISNUMBER(AJ911))),0,1)+IF(OR(COUNTA(AK911:AM911)=0,AND(COUNTA(AK911:AM911)=3,ISNUMBER(AM911))),0,1)+IF(OR(COUNTA(AN911:AP911)=0,AND(COUNTA(AN911:AP911)=3,ISNUMBER(AP911))),0,1)+IF(OR(COUNTA(AQ911:AS911)=0,AND(COUNTA(AQ911:AS911)=3,ISNUMBER(AS911))),0,1)+IF(OR(COUNTA(AT911:AV911)=0,AND(COUNTA(AT911:AV911)=3,ISNUMBER(AV911))),0,1)+IF(OR(COUNTA(AW911:AY911)=0,AND(COUNTA(AW911:AY911)=3,ISNUMBER(AY911))),0,1)+IF(OR(COUNTA(AZ911:BB911)=0,AND(COUNTA(AZ911:BB911)=3,ISNUMBER(BB911))),0,1))&gt;0,"; An invoice is incomplete (needs No, Date and a number in Ex GST)","")&amp;IF((IF(T911="",0,IFERROR(--(EOMONTH(T911,0)&lt;&gt;S$5),1))+IF(W911="",0,IFERROR(--(EOMONTH(W911,0)&lt;&gt;V$5),1))+IF(Z911="",0,IFERROR(--(EOMONTH(Z911,0)&lt;&gt;Y$5),1))+IF(AC911="",0,IFERROR(--(EOMONTH(AC911,0)&lt;&gt;AB$5),1))+IF(AF911="",0,IFERROR(--(EOMONTH(AF911,0)&lt;&gt;AE$5),1))+IF(AI911="",0,IFERROR(--(EOMONTH(AI911,0)&lt;&gt;AH$5),1))+IF(AL911="",0,IFERROR(--(EOMONTH(AL911,0)&lt;&gt;AK$5),1))+IF(AO911="",0,IFERROR(--(EOMONTH(AO911,0)&lt;&gt;AN$5),1))+IF(AR911="",0,IFERROR(--(EOMONTH(AR911,0)&lt;&gt;AQ$5),1))+IF(AU911="",0,IFERROR(--(EOMONTH(AU911,0)&lt;&gt;AT$5),1))+IF(AX911="",0,IFERROR(--(EOMONTH(AX911,0)&lt;&gt;AW$5),1))+IF(BA911="",0,IFERROR(--(EOMONTH(BA911,0)&lt;&gt;AZ$5),1)))&gt;0,"; An invoice date is not in the month it is typed under",""),3,500))</f>
        <v/>
      </c>
      <c r="S911" s="12" t="n"/>
      <c r="T911" s="13" t="n"/>
      <c r="U911" s="14" t="n"/>
      <c r="V911" s="12" t="n"/>
      <c r="W911" s="13" t="n"/>
      <c r="X911" s="14" t="n"/>
      <c r="Y911" s="12" t="n"/>
      <c r="Z911" s="13" t="n"/>
      <c r="AA911" s="14" t="n"/>
      <c r="AB911" s="12" t="n"/>
      <c r="AC911" s="13" t="n"/>
      <c r="AD911" s="14" t="n"/>
      <c r="AE911" s="12" t="n"/>
      <c r="AF911" s="13" t="n"/>
      <c r="AG911" s="14" t="n"/>
      <c r="AH911" s="12" t="n"/>
      <c r="AI911" s="13" t="n"/>
      <c r="AJ911" s="14" t="n"/>
      <c r="AK911" s="12" t="n"/>
      <c r="AL911" s="13" t="n"/>
      <c r="AM911" s="14" t="n"/>
      <c r="AN911" s="12" t="n"/>
      <c r="AO911" s="13" t="n"/>
      <c r="AP911" s="14" t="n"/>
      <c r="AQ911" s="12" t="n"/>
      <c r="AR911" s="13" t="n"/>
      <c r="AS911" s="14" t="n"/>
      <c r="AT911" s="12" t="n"/>
      <c r="AU911" s="13" t="n"/>
      <c r="AV911" s="14" t="n"/>
      <c r="AW911" s="12" t="n"/>
      <c r="AX911" s="13" t="n"/>
      <c r="AY911" s="14" t="n"/>
      <c r="AZ911" s="12" t="n"/>
      <c r="BA911" s="13" t="n"/>
      <c r="BB911" s="14" t="n"/>
      <c r="BC911" s="11">
        <f>IF(O911="","",IF(J911="GST 10%",ROUND(O911*set_GSTRate,2),0))</f>
        <v/>
      </c>
      <c r="BD911" s="11">
        <f>IF(O911="","",O911+BC911)</f>
        <v/>
      </c>
      <c r="BE911" s="15">
        <f>IF(O911="","",COUNTA(S911,V911,Y911,AB911,AE911,AH911,AK911,AN911,AQ911,AT911,AW911,AZ911))</f>
        <v/>
      </c>
      <c r="BF911" s="16">
        <f>IF(COUNT(T911,W911,Z911,AC911,AF911,AI911,AL911,AO911,AR911,AU911,AX911,BA911)=0,"",MAX(T911,W911,Z911,AC911,AF911,AI911,AL911,AO911,AR911,AU911,AX911,BA911))</f>
        <v/>
      </c>
      <c r="BG911" s="10">
        <f>MID(IF(S911="","",", "&amp;S911)&amp;IF(V911="","",", "&amp;V911)&amp;IF(Y911="","",", "&amp;Y911)&amp;IF(AB911="","",", "&amp;AB911)&amp;IF(AE911="","",", "&amp;AE911)&amp;IF(AH911="","",", "&amp;AH911)&amp;IF(AK911="","",", "&amp;AK911)&amp;IF(AN911="","",", "&amp;AN911)&amp;IF(AQ911="","",", "&amp;AQ911)&amp;IF(AT911="","",", "&amp;AT911)&amp;IF(AW911="","",", "&amp;AW911)&amp;IF(AZ911="","",", "&amp;AZ911),3,500)</f>
        <v/>
      </c>
      <c r="BH911" s="12" t="n"/>
      <c r="BI911" s="15">
        <f>IFERROR(MATCH($A911,IF($B911="Onsite",tbl_Onsite[Row ID],IF($B911="Production",tbl_Production[Row ID],tbl_Consulting[Row ID])),0),"")</f>
        <v/>
      </c>
    </row>
    <row r="912">
      <c r="A912" s="10" t="inlineStr">
        <is>
          <t>PRD-0406</t>
        </is>
      </c>
      <c r="B912" s="10" t="inlineStr">
        <is>
          <t>Production</t>
        </is>
      </c>
      <c r="C912" s="10">
        <f>IF($BI912="","",IF($B912="Onsite",INDEX(tbl_Onsite[Job Number],$BI912),IF($B912="Production",INDEX(tbl_Production[Job Number],$BI912),INDEX(tbl_Consulting[Job Number],$BI912)))&amp;"")</f>
        <v/>
      </c>
      <c r="D912" s="10">
        <f>IF($BI912="","",IF($B912="Onsite",INDEX(tbl_Onsite[Client],$BI912),IF($B912="Production",INDEX(tbl_Production[Client],$BI912),INDEX(tbl_Consulting[Client],$BI912)))&amp;"")</f>
        <v/>
      </c>
      <c r="E912" s="10">
        <f>IF($C912="","",IF(COUNTIF(lst_Jobs,$C912)&gt;0,"OK","CHECK"))</f>
        <v/>
      </c>
      <c r="F912" s="10">
        <f>IF($C912="","",IFERROR(INDEX(lst_JobName,MATCH($C912,lst_Jobs,0)),""))</f>
        <v/>
      </c>
      <c r="G912" s="10">
        <f>IF($BI912="","",IF($B912="Onsite",INDEX(tbl_Onsite[Job Description],$BI912),IF($B912="Production",INDEX(tbl_Production[Job Description],$BI912),INDEX(tbl_Consulting[Job Description],$BI912)))&amp;"")</f>
        <v/>
      </c>
      <c r="H912" s="10">
        <f>IF($BI912="","",IF($B912="Onsite",INDEX(tbl_Onsite[Cost Centre],$BI912),IF($B912="Production",INDEX(tbl_Production[Cost Centre],$BI912),INDEX(tbl_Consulting[Cost Centre],$BI912)))&amp;"")</f>
        <v/>
      </c>
      <c r="I912" s="10">
        <f>IF($BI912="","",IF($B912="Onsite",INDEX(tbl_Onsite[Invoice Type],$BI912),IF($B912="Production",INDEX(tbl_Production[Invoice Type],$BI912),INDEX(tbl_Consulting[Invoice Type],$BI912)))&amp;"")</f>
        <v/>
      </c>
      <c r="J912" s="10">
        <f>IF($BI912="","",IF($B912="Onsite",INDEX(tbl_Onsite[Tax Code],$BI912),IF($B912="Production",INDEX(tbl_Production[Tax Code],$BI912),INDEX(tbl_Consulting[Tax Code],$BI912)))&amp;"")</f>
        <v/>
      </c>
      <c r="K912" s="10">
        <f>IF(H912="","",IFERROR(INDEX(lst_CCtoGL,MATCH(H912,lst_CCforGL,0)),""))</f>
        <v/>
      </c>
      <c r="L912" s="10">
        <f>IF($BI912="","",IF($B912="Onsite",INDEX(tbl_Onsite[PO / Reference],$BI912),IF($B912="Production",INDEX(tbl_Production[Current RMS No],$BI912),INDEX(tbl_Consulting[Qwilr Quote],$BI912)))&amp;"")</f>
        <v/>
      </c>
      <c r="M912" s="10">
        <f>IF($BI912="","",IF($B912="Onsite",INDEX(tbl_Onsite[Notes],$BI912),IF($B912="Production",INDEX(tbl_Production[Notes],$BI912),INDEX(tbl_Consulting[Notes],$BI912)))&amp;"")</f>
        <v/>
      </c>
      <c r="N912" s="11">
        <f>IF($BI912="","",IF(IF($B912="Onsite",INDEX(tbl_Onsite[Expected Revenue Ex GST],$BI912),IF($B912="Production",INDEX(tbl_Production[Expected Revenue Ex GST],$BI912),INDEX(tbl_Consulting[Expected Revenue Ex GST],$BI912)))="","",IF($B912="Onsite",INDEX(tbl_Onsite[Expected Revenue Ex GST],$BI912),IF($B912="Production",INDEX(tbl_Production[Expected Revenue Ex GST],$BI912),INDEX(tbl_Consulting[Expected Revenue Ex GST],$BI912)))))</f>
        <v/>
      </c>
      <c r="O912" s="11">
        <f>IF(AND($C912="",NOT(COUNTA($S912:$BB912)&gt;0)),"",SUM(U912,X912,AA912,AD912,AG912,AJ912,AM912,AP912,AS912,AV912,AY912,BB912))</f>
        <v/>
      </c>
      <c r="P912" s="11">
        <f>IF(O912="","",N(N912)-O912)</f>
        <v/>
      </c>
      <c r="Q912" s="10">
        <f>IF(O912="","",IF($C912="","Invoice on empty job row",IF(N912="",IF(ROUND(O912,2)=0,"No dept value","Invoiced - no dept value"),IF(ROUND(O912,2)=0,"Not invoiced - to invoice",IF(ROUND(P912,2)=0,"Agrees",IF(P912&gt;0,"Dept higher - to invoice","Xero higher - check dept"))))))</f>
        <v/>
      </c>
      <c r="R912" s="10">
        <f>IF(AND($C912="",NOT(COUNTA($S912:$BB912)&gt;0),$BI912&lt;&gt;""),"",MID(IF($BI912="","; Row ID not found on the department sheet - a row was deleted","")&amp;IF(AND($C912="",COUNTA($S912:$BB912)&gt;0),"; Invoice entered but the department row has no job number","")&amp;IF(E912="CHECK","; Job number not in the Xero job list","")&amp;IF(AND($C912&lt;&gt;"",COUNTIF($C$7:$C$1506,$C912)&gt;1),"; Job number on more than one row","")&amp;IF(AND($C912&lt;&gt;"",H912=""),"; Dept has not set a cost centre","")&amp;IF(AND($C912&lt;&gt;"",J912=""),"; Dept has not set a tax code","")&amp;IF(AND($C912&lt;&gt;"",N912=""),"; Dept has not entered an expected value","")&amp;IF((IF(OR(COUNTA(S912:U912)=0,AND(COUNTA(S912:U912)=3,ISNUMBER(U912))),0,1)+IF(OR(COUNTA(V912:X912)=0,AND(COUNTA(V912:X912)=3,ISNUMBER(X912))),0,1)+IF(OR(COUNTA(Y912:AA912)=0,AND(COUNTA(Y912:AA912)=3,ISNUMBER(AA912))),0,1)+IF(OR(COUNTA(AB912:AD912)=0,AND(COUNTA(AB912:AD912)=3,ISNUMBER(AD912))),0,1)+IF(OR(COUNTA(AE912:AG912)=0,AND(COUNTA(AE912:AG912)=3,ISNUMBER(AG912))),0,1)+IF(OR(COUNTA(AH912:AJ912)=0,AND(COUNTA(AH912:AJ912)=3,ISNUMBER(AJ912))),0,1)+IF(OR(COUNTA(AK912:AM912)=0,AND(COUNTA(AK912:AM912)=3,ISNUMBER(AM912))),0,1)+IF(OR(COUNTA(AN912:AP912)=0,AND(COUNTA(AN912:AP912)=3,ISNUMBER(AP912))),0,1)+IF(OR(COUNTA(AQ912:AS912)=0,AND(COUNTA(AQ912:AS912)=3,ISNUMBER(AS912))),0,1)+IF(OR(COUNTA(AT912:AV912)=0,AND(COUNTA(AT912:AV912)=3,ISNUMBER(AV912))),0,1)+IF(OR(COUNTA(AW912:AY912)=0,AND(COUNTA(AW912:AY912)=3,ISNUMBER(AY912))),0,1)+IF(OR(COUNTA(AZ912:BB912)=0,AND(COUNTA(AZ912:BB912)=3,ISNUMBER(BB912))),0,1))&gt;0,"; An invoice is incomplete (needs No, Date and a number in Ex GST)","")&amp;IF((IF(T912="",0,IFERROR(--(EOMONTH(T912,0)&lt;&gt;S$5),1))+IF(W912="",0,IFERROR(--(EOMONTH(W912,0)&lt;&gt;V$5),1))+IF(Z912="",0,IFERROR(--(EOMONTH(Z912,0)&lt;&gt;Y$5),1))+IF(AC912="",0,IFERROR(--(EOMONTH(AC912,0)&lt;&gt;AB$5),1))+IF(AF912="",0,IFERROR(--(EOMONTH(AF912,0)&lt;&gt;AE$5),1))+IF(AI912="",0,IFERROR(--(EOMONTH(AI912,0)&lt;&gt;AH$5),1))+IF(AL912="",0,IFERROR(--(EOMONTH(AL912,0)&lt;&gt;AK$5),1))+IF(AO912="",0,IFERROR(--(EOMONTH(AO912,0)&lt;&gt;AN$5),1))+IF(AR912="",0,IFERROR(--(EOMONTH(AR912,0)&lt;&gt;AQ$5),1))+IF(AU912="",0,IFERROR(--(EOMONTH(AU912,0)&lt;&gt;AT$5),1))+IF(AX912="",0,IFERROR(--(EOMONTH(AX912,0)&lt;&gt;AW$5),1))+IF(BA912="",0,IFERROR(--(EOMONTH(BA912,0)&lt;&gt;AZ$5),1)))&gt;0,"; An invoice date is not in the month it is typed under",""),3,500))</f>
        <v/>
      </c>
      <c r="S912" s="12" t="n"/>
      <c r="T912" s="13" t="n"/>
      <c r="U912" s="14" t="n"/>
      <c r="V912" s="12" t="n"/>
      <c r="W912" s="13" t="n"/>
      <c r="X912" s="14" t="n"/>
      <c r="Y912" s="12" t="n"/>
      <c r="Z912" s="13" t="n"/>
      <c r="AA912" s="14" t="n"/>
      <c r="AB912" s="12" t="n"/>
      <c r="AC912" s="13" t="n"/>
      <c r="AD912" s="14" t="n"/>
      <c r="AE912" s="12" t="n"/>
      <c r="AF912" s="13" t="n"/>
      <c r="AG912" s="14" t="n"/>
      <c r="AH912" s="12" t="n"/>
      <c r="AI912" s="13" t="n"/>
      <c r="AJ912" s="14" t="n"/>
      <c r="AK912" s="12" t="n"/>
      <c r="AL912" s="13" t="n"/>
      <c r="AM912" s="14" t="n"/>
      <c r="AN912" s="12" t="n"/>
      <c r="AO912" s="13" t="n"/>
      <c r="AP912" s="14" t="n"/>
      <c r="AQ912" s="12" t="n"/>
      <c r="AR912" s="13" t="n"/>
      <c r="AS912" s="14" t="n"/>
      <c r="AT912" s="12" t="n"/>
      <c r="AU912" s="13" t="n"/>
      <c r="AV912" s="14" t="n"/>
      <c r="AW912" s="12" t="n"/>
      <c r="AX912" s="13" t="n"/>
      <c r="AY912" s="14" t="n"/>
      <c r="AZ912" s="12" t="n"/>
      <c r="BA912" s="13" t="n"/>
      <c r="BB912" s="14" t="n"/>
      <c r="BC912" s="11">
        <f>IF(O912="","",IF(J912="GST 10%",ROUND(O912*set_GSTRate,2),0))</f>
        <v/>
      </c>
      <c r="BD912" s="11">
        <f>IF(O912="","",O912+BC912)</f>
        <v/>
      </c>
      <c r="BE912" s="15">
        <f>IF(O912="","",COUNTA(S912,V912,Y912,AB912,AE912,AH912,AK912,AN912,AQ912,AT912,AW912,AZ912))</f>
        <v/>
      </c>
      <c r="BF912" s="16">
        <f>IF(COUNT(T912,W912,Z912,AC912,AF912,AI912,AL912,AO912,AR912,AU912,AX912,BA912)=0,"",MAX(T912,W912,Z912,AC912,AF912,AI912,AL912,AO912,AR912,AU912,AX912,BA912))</f>
        <v/>
      </c>
      <c r="BG912" s="10">
        <f>MID(IF(S912="","",", "&amp;S912)&amp;IF(V912="","",", "&amp;V912)&amp;IF(Y912="","",", "&amp;Y912)&amp;IF(AB912="","",", "&amp;AB912)&amp;IF(AE912="","",", "&amp;AE912)&amp;IF(AH912="","",", "&amp;AH912)&amp;IF(AK912="","",", "&amp;AK912)&amp;IF(AN912="","",", "&amp;AN912)&amp;IF(AQ912="","",", "&amp;AQ912)&amp;IF(AT912="","",", "&amp;AT912)&amp;IF(AW912="","",", "&amp;AW912)&amp;IF(AZ912="","",", "&amp;AZ912),3,500)</f>
        <v/>
      </c>
      <c r="BH912" s="12" t="n"/>
      <c r="BI912" s="15">
        <f>IFERROR(MATCH($A912,IF($B912="Onsite",tbl_Onsite[Row ID],IF($B912="Production",tbl_Production[Row ID],tbl_Consulting[Row ID])),0),"")</f>
        <v/>
      </c>
    </row>
    <row r="913">
      <c r="A913" s="10" t="inlineStr">
        <is>
          <t>PRD-0407</t>
        </is>
      </c>
      <c r="B913" s="10" t="inlineStr">
        <is>
          <t>Production</t>
        </is>
      </c>
      <c r="C913" s="10">
        <f>IF($BI913="","",IF($B913="Onsite",INDEX(tbl_Onsite[Job Number],$BI913),IF($B913="Production",INDEX(tbl_Production[Job Number],$BI913),INDEX(tbl_Consulting[Job Number],$BI913)))&amp;"")</f>
        <v/>
      </c>
      <c r="D913" s="10">
        <f>IF($BI913="","",IF($B913="Onsite",INDEX(tbl_Onsite[Client],$BI913),IF($B913="Production",INDEX(tbl_Production[Client],$BI913),INDEX(tbl_Consulting[Client],$BI913)))&amp;"")</f>
        <v/>
      </c>
      <c r="E913" s="10">
        <f>IF($C913="","",IF(COUNTIF(lst_Jobs,$C913)&gt;0,"OK","CHECK"))</f>
        <v/>
      </c>
      <c r="F913" s="10">
        <f>IF($C913="","",IFERROR(INDEX(lst_JobName,MATCH($C913,lst_Jobs,0)),""))</f>
        <v/>
      </c>
      <c r="G913" s="10">
        <f>IF($BI913="","",IF($B913="Onsite",INDEX(tbl_Onsite[Job Description],$BI913),IF($B913="Production",INDEX(tbl_Production[Job Description],$BI913),INDEX(tbl_Consulting[Job Description],$BI913)))&amp;"")</f>
        <v/>
      </c>
      <c r="H913" s="10">
        <f>IF($BI913="","",IF($B913="Onsite",INDEX(tbl_Onsite[Cost Centre],$BI913),IF($B913="Production",INDEX(tbl_Production[Cost Centre],$BI913),INDEX(tbl_Consulting[Cost Centre],$BI913)))&amp;"")</f>
        <v/>
      </c>
      <c r="I913" s="10">
        <f>IF($BI913="","",IF($B913="Onsite",INDEX(tbl_Onsite[Invoice Type],$BI913),IF($B913="Production",INDEX(tbl_Production[Invoice Type],$BI913),INDEX(tbl_Consulting[Invoice Type],$BI913)))&amp;"")</f>
        <v/>
      </c>
      <c r="J913" s="10">
        <f>IF($BI913="","",IF($B913="Onsite",INDEX(tbl_Onsite[Tax Code],$BI913),IF($B913="Production",INDEX(tbl_Production[Tax Code],$BI913),INDEX(tbl_Consulting[Tax Code],$BI913)))&amp;"")</f>
        <v/>
      </c>
      <c r="K913" s="10">
        <f>IF(H913="","",IFERROR(INDEX(lst_CCtoGL,MATCH(H913,lst_CCforGL,0)),""))</f>
        <v/>
      </c>
      <c r="L913" s="10">
        <f>IF($BI913="","",IF($B913="Onsite",INDEX(tbl_Onsite[PO / Reference],$BI913),IF($B913="Production",INDEX(tbl_Production[Current RMS No],$BI913),INDEX(tbl_Consulting[Qwilr Quote],$BI913)))&amp;"")</f>
        <v/>
      </c>
      <c r="M913" s="10">
        <f>IF($BI913="","",IF($B913="Onsite",INDEX(tbl_Onsite[Notes],$BI913),IF($B913="Production",INDEX(tbl_Production[Notes],$BI913),INDEX(tbl_Consulting[Notes],$BI913)))&amp;"")</f>
        <v/>
      </c>
      <c r="N913" s="11">
        <f>IF($BI913="","",IF(IF($B913="Onsite",INDEX(tbl_Onsite[Expected Revenue Ex GST],$BI913),IF($B913="Production",INDEX(tbl_Production[Expected Revenue Ex GST],$BI913),INDEX(tbl_Consulting[Expected Revenue Ex GST],$BI913)))="","",IF($B913="Onsite",INDEX(tbl_Onsite[Expected Revenue Ex GST],$BI913),IF($B913="Production",INDEX(tbl_Production[Expected Revenue Ex GST],$BI913),INDEX(tbl_Consulting[Expected Revenue Ex GST],$BI913)))))</f>
        <v/>
      </c>
      <c r="O913" s="11">
        <f>IF(AND($C913="",NOT(COUNTA($S913:$BB913)&gt;0)),"",SUM(U913,X913,AA913,AD913,AG913,AJ913,AM913,AP913,AS913,AV913,AY913,BB913))</f>
        <v/>
      </c>
      <c r="P913" s="11">
        <f>IF(O913="","",N(N913)-O913)</f>
        <v/>
      </c>
      <c r="Q913" s="10">
        <f>IF(O913="","",IF($C913="","Invoice on empty job row",IF(N913="",IF(ROUND(O913,2)=0,"No dept value","Invoiced - no dept value"),IF(ROUND(O913,2)=0,"Not invoiced - to invoice",IF(ROUND(P913,2)=0,"Agrees",IF(P913&gt;0,"Dept higher - to invoice","Xero higher - check dept"))))))</f>
        <v/>
      </c>
      <c r="R913" s="10">
        <f>IF(AND($C913="",NOT(COUNTA($S913:$BB913)&gt;0),$BI913&lt;&gt;""),"",MID(IF($BI913="","; Row ID not found on the department sheet - a row was deleted","")&amp;IF(AND($C913="",COUNTA($S913:$BB913)&gt;0),"; Invoice entered but the department row has no job number","")&amp;IF(E913="CHECK","; Job number not in the Xero job list","")&amp;IF(AND($C913&lt;&gt;"",COUNTIF($C$7:$C$1506,$C913)&gt;1),"; Job number on more than one row","")&amp;IF(AND($C913&lt;&gt;"",H913=""),"; Dept has not set a cost centre","")&amp;IF(AND($C913&lt;&gt;"",J913=""),"; Dept has not set a tax code","")&amp;IF(AND($C913&lt;&gt;"",N913=""),"; Dept has not entered an expected value","")&amp;IF((IF(OR(COUNTA(S913:U913)=0,AND(COUNTA(S913:U913)=3,ISNUMBER(U913))),0,1)+IF(OR(COUNTA(V913:X913)=0,AND(COUNTA(V913:X913)=3,ISNUMBER(X913))),0,1)+IF(OR(COUNTA(Y913:AA913)=0,AND(COUNTA(Y913:AA913)=3,ISNUMBER(AA913))),0,1)+IF(OR(COUNTA(AB913:AD913)=0,AND(COUNTA(AB913:AD913)=3,ISNUMBER(AD913))),0,1)+IF(OR(COUNTA(AE913:AG913)=0,AND(COUNTA(AE913:AG913)=3,ISNUMBER(AG913))),0,1)+IF(OR(COUNTA(AH913:AJ913)=0,AND(COUNTA(AH913:AJ913)=3,ISNUMBER(AJ913))),0,1)+IF(OR(COUNTA(AK913:AM913)=0,AND(COUNTA(AK913:AM913)=3,ISNUMBER(AM913))),0,1)+IF(OR(COUNTA(AN913:AP913)=0,AND(COUNTA(AN913:AP913)=3,ISNUMBER(AP913))),0,1)+IF(OR(COUNTA(AQ913:AS913)=0,AND(COUNTA(AQ913:AS913)=3,ISNUMBER(AS913))),0,1)+IF(OR(COUNTA(AT913:AV913)=0,AND(COUNTA(AT913:AV913)=3,ISNUMBER(AV913))),0,1)+IF(OR(COUNTA(AW913:AY913)=0,AND(COUNTA(AW913:AY913)=3,ISNUMBER(AY913))),0,1)+IF(OR(COUNTA(AZ913:BB913)=0,AND(COUNTA(AZ913:BB913)=3,ISNUMBER(BB913))),0,1))&gt;0,"; An invoice is incomplete (needs No, Date and a number in Ex GST)","")&amp;IF((IF(T913="",0,IFERROR(--(EOMONTH(T913,0)&lt;&gt;S$5),1))+IF(W913="",0,IFERROR(--(EOMONTH(W913,0)&lt;&gt;V$5),1))+IF(Z913="",0,IFERROR(--(EOMONTH(Z913,0)&lt;&gt;Y$5),1))+IF(AC913="",0,IFERROR(--(EOMONTH(AC913,0)&lt;&gt;AB$5),1))+IF(AF913="",0,IFERROR(--(EOMONTH(AF913,0)&lt;&gt;AE$5),1))+IF(AI913="",0,IFERROR(--(EOMONTH(AI913,0)&lt;&gt;AH$5),1))+IF(AL913="",0,IFERROR(--(EOMONTH(AL913,0)&lt;&gt;AK$5),1))+IF(AO913="",0,IFERROR(--(EOMONTH(AO913,0)&lt;&gt;AN$5),1))+IF(AR913="",0,IFERROR(--(EOMONTH(AR913,0)&lt;&gt;AQ$5),1))+IF(AU913="",0,IFERROR(--(EOMONTH(AU913,0)&lt;&gt;AT$5),1))+IF(AX913="",0,IFERROR(--(EOMONTH(AX913,0)&lt;&gt;AW$5),1))+IF(BA913="",0,IFERROR(--(EOMONTH(BA913,0)&lt;&gt;AZ$5),1)))&gt;0,"; An invoice date is not in the month it is typed under",""),3,500))</f>
        <v/>
      </c>
      <c r="S913" s="12" t="n"/>
      <c r="T913" s="13" t="n"/>
      <c r="U913" s="14" t="n"/>
      <c r="V913" s="12" t="n"/>
      <c r="W913" s="13" t="n"/>
      <c r="X913" s="14" t="n"/>
      <c r="Y913" s="12" t="n"/>
      <c r="Z913" s="13" t="n"/>
      <c r="AA913" s="14" t="n"/>
      <c r="AB913" s="12" t="n"/>
      <c r="AC913" s="13" t="n"/>
      <c r="AD913" s="14" t="n"/>
      <c r="AE913" s="12" t="n"/>
      <c r="AF913" s="13" t="n"/>
      <c r="AG913" s="14" t="n"/>
      <c r="AH913" s="12" t="n"/>
      <c r="AI913" s="13" t="n"/>
      <c r="AJ913" s="14" t="n"/>
      <c r="AK913" s="12" t="n"/>
      <c r="AL913" s="13" t="n"/>
      <c r="AM913" s="14" t="n"/>
      <c r="AN913" s="12" t="n"/>
      <c r="AO913" s="13" t="n"/>
      <c r="AP913" s="14" t="n"/>
      <c r="AQ913" s="12" t="n"/>
      <c r="AR913" s="13" t="n"/>
      <c r="AS913" s="14" t="n"/>
      <c r="AT913" s="12" t="n"/>
      <c r="AU913" s="13" t="n"/>
      <c r="AV913" s="14" t="n"/>
      <c r="AW913" s="12" t="n"/>
      <c r="AX913" s="13" t="n"/>
      <c r="AY913" s="14" t="n"/>
      <c r="AZ913" s="12" t="n"/>
      <c r="BA913" s="13" t="n"/>
      <c r="BB913" s="14" t="n"/>
      <c r="BC913" s="11">
        <f>IF(O913="","",IF(J913="GST 10%",ROUND(O913*set_GSTRate,2),0))</f>
        <v/>
      </c>
      <c r="BD913" s="11">
        <f>IF(O913="","",O913+BC913)</f>
        <v/>
      </c>
      <c r="BE913" s="15">
        <f>IF(O913="","",COUNTA(S913,V913,Y913,AB913,AE913,AH913,AK913,AN913,AQ913,AT913,AW913,AZ913))</f>
        <v/>
      </c>
      <c r="BF913" s="16">
        <f>IF(COUNT(T913,W913,Z913,AC913,AF913,AI913,AL913,AO913,AR913,AU913,AX913,BA913)=0,"",MAX(T913,W913,Z913,AC913,AF913,AI913,AL913,AO913,AR913,AU913,AX913,BA913))</f>
        <v/>
      </c>
      <c r="BG913" s="10">
        <f>MID(IF(S913="","",", "&amp;S913)&amp;IF(V913="","",", "&amp;V913)&amp;IF(Y913="","",", "&amp;Y913)&amp;IF(AB913="","",", "&amp;AB913)&amp;IF(AE913="","",", "&amp;AE913)&amp;IF(AH913="","",", "&amp;AH913)&amp;IF(AK913="","",", "&amp;AK913)&amp;IF(AN913="","",", "&amp;AN913)&amp;IF(AQ913="","",", "&amp;AQ913)&amp;IF(AT913="","",", "&amp;AT913)&amp;IF(AW913="","",", "&amp;AW913)&amp;IF(AZ913="","",", "&amp;AZ913),3,500)</f>
        <v/>
      </c>
      <c r="BH913" s="12" t="n"/>
      <c r="BI913" s="15">
        <f>IFERROR(MATCH($A913,IF($B913="Onsite",tbl_Onsite[Row ID],IF($B913="Production",tbl_Production[Row ID],tbl_Consulting[Row ID])),0),"")</f>
        <v/>
      </c>
    </row>
    <row r="914">
      <c r="A914" s="10" t="inlineStr">
        <is>
          <t>PRD-0408</t>
        </is>
      </c>
      <c r="B914" s="10" t="inlineStr">
        <is>
          <t>Production</t>
        </is>
      </c>
      <c r="C914" s="10">
        <f>IF($BI914="","",IF($B914="Onsite",INDEX(tbl_Onsite[Job Number],$BI914),IF($B914="Production",INDEX(tbl_Production[Job Number],$BI914),INDEX(tbl_Consulting[Job Number],$BI914)))&amp;"")</f>
        <v/>
      </c>
      <c r="D914" s="10">
        <f>IF($BI914="","",IF($B914="Onsite",INDEX(tbl_Onsite[Client],$BI914),IF($B914="Production",INDEX(tbl_Production[Client],$BI914),INDEX(tbl_Consulting[Client],$BI914)))&amp;"")</f>
        <v/>
      </c>
      <c r="E914" s="10">
        <f>IF($C914="","",IF(COUNTIF(lst_Jobs,$C914)&gt;0,"OK","CHECK"))</f>
        <v/>
      </c>
      <c r="F914" s="10">
        <f>IF($C914="","",IFERROR(INDEX(lst_JobName,MATCH($C914,lst_Jobs,0)),""))</f>
        <v/>
      </c>
      <c r="G914" s="10">
        <f>IF($BI914="","",IF($B914="Onsite",INDEX(tbl_Onsite[Job Description],$BI914),IF($B914="Production",INDEX(tbl_Production[Job Description],$BI914),INDEX(tbl_Consulting[Job Description],$BI914)))&amp;"")</f>
        <v/>
      </c>
      <c r="H914" s="10">
        <f>IF($BI914="","",IF($B914="Onsite",INDEX(tbl_Onsite[Cost Centre],$BI914),IF($B914="Production",INDEX(tbl_Production[Cost Centre],$BI914),INDEX(tbl_Consulting[Cost Centre],$BI914)))&amp;"")</f>
        <v/>
      </c>
      <c r="I914" s="10">
        <f>IF($BI914="","",IF($B914="Onsite",INDEX(tbl_Onsite[Invoice Type],$BI914),IF($B914="Production",INDEX(tbl_Production[Invoice Type],$BI914),INDEX(tbl_Consulting[Invoice Type],$BI914)))&amp;"")</f>
        <v/>
      </c>
      <c r="J914" s="10">
        <f>IF($BI914="","",IF($B914="Onsite",INDEX(tbl_Onsite[Tax Code],$BI914),IF($B914="Production",INDEX(tbl_Production[Tax Code],$BI914),INDEX(tbl_Consulting[Tax Code],$BI914)))&amp;"")</f>
        <v/>
      </c>
      <c r="K914" s="10">
        <f>IF(H914="","",IFERROR(INDEX(lst_CCtoGL,MATCH(H914,lst_CCforGL,0)),""))</f>
        <v/>
      </c>
      <c r="L914" s="10">
        <f>IF($BI914="","",IF($B914="Onsite",INDEX(tbl_Onsite[PO / Reference],$BI914),IF($B914="Production",INDEX(tbl_Production[Current RMS No],$BI914),INDEX(tbl_Consulting[Qwilr Quote],$BI914)))&amp;"")</f>
        <v/>
      </c>
      <c r="M914" s="10">
        <f>IF($BI914="","",IF($B914="Onsite",INDEX(tbl_Onsite[Notes],$BI914),IF($B914="Production",INDEX(tbl_Production[Notes],$BI914),INDEX(tbl_Consulting[Notes],$BI914)))&amp;"")</f>
        <v/>
      </c>
      <c r="N914" s="11">
        <f>IF($BI914="","",IF(IF($B914="Onsite",INDEX(tbl_Onsite[Expected Revenue Ex GST],$BI914),IF($B914="Production",INDEX(tbl_Production[Expected Revenue Ex GST],$BI914),INDEX(tbl_Consulting[Expected Revenue Ex GST],$BI914)))="","",IF($B914="Onsite",INDEX(tbl_Onsite[Expected Revenue Ex GST],$BI914),IF($B914="Production",INDEX(tbl_Production[Expected Revenue Ex GST],$BI914),INDEX(tbl_Consulting[Expected Revenue Ex GST],$BI914)))))</f>
        <v/>
      </c>
      <c r="O914" s="11">
        <f>IF(AND($C914="",NOT(COUNTA($S914:$BB914)&gt;0)),"",SUM(U914,X914,AA914,AD914,AG914,AJ914,AM914,AP914,AS914,AV914,AY914,BB914))</f>
        <v/>
      </c>
      <c r="P914" s="11">
        <f>IF(O914="","",N(N914)-O914)</f>
        <v/>
      </c>
      <c r="Q914" s="10">
        <f>IF(O914="","",IF($C914="","Invoice on empty job row",IF(N914="",IF(ROUND(O914,2)=0,"No dept value","Invoiced - no dept value"),IF(ROUND(O914,2)=0,"Not invoiced - to invoice",IF(ROUND(P914,2)=0,"Agrees",IF(P914&gt;0,"Dept higher - to invoice","Xero higher - check dept"))))))</f>
        <v/>
      </c>
      <c r="R914" s="10">
        <f>IF(AND($C914="",NOT(COUNTA($S914:$BB914)&gt;0),$BI914&lt;&gt;""),"",MID(IF($BI914="","; Row ID not found on the department sheet - a row was deleted","")&amp;IF(AND($C914="",COUNTA($S914:$BB914)&gt;0),"; Invoice entered but the department row has no job number","")&amp;IF(E914="CHECK","; Job number not in the Xero job list","")&amp;IF(AND($C914&lt;&gt;"",COUNTIF($C$7:$C$1506,$C914)&gt;1),"; Job number on more than one row","")&amp;IF(AND($C914&lt;&gt;"",H914=""),"; Dept has not set a cost centre","")&amp;IF(AND($C914&lt;&gt;"",J914=""),"; Dept has not set a tax code","")&amp;IF(AND($C914&lt;&gt;"",N914=""),"; Dept has not entered an expected value","")&amp;IF((IF(OR(COUNTA(S914:U914)=0,AND(COUNTA(S914:U914)=3,ISNUMBER(U914))),0,1)+IF(OR(COUNTA(V914:X914)=0,AND(COUNTA(V914:X914)=3,ISNUMBER(X914))),0,1)+IF(OR(COUNTA(Y914:AA914)=0,AND(COUNTA(Y914:AA914)=3,ISNUMBER(AA914))),0,1)+IF(OR(COUNTA(AB914:AD914)=0,AND(COUNTA(AB914:AD914)=3,ISNUMBER(AD914))),0,1)+IF(OR(COUNTA(AE914:AG914)=0,AND(COUNTA(AE914:AG914)=3,ISNUMBER(AG914))),0,1)+IF(OR(COUNTA(AH914:AJ914)=0,AND(COUNTA(AH914:AJ914)=3,ISNUMBER(AJ914))),0,1)+IF(OR(COUNTA(AK914:AM914)=0,AND(COUNTA(AK914:AM914)=3,ISNUMBER(AM914))),0,1)+IF(OR(COUNTA(AN914:AP914)=0,AND(COUNTA(AN914:AP914)=3,ISNUMBER(AP914))),0,1)+IF(OR(COUNTA(AQ914:AS914)=0,AND(COUNTA(AQ914:AS914)=3,ISNUMBER(AS914))),0,1)+IF(OR(COUNTA(AT914:AV914)=0,AND(COUNTA(AT914:AV914)=3,ISNUMBER(AV914))),0,1)+IF(OR(COUNTA(AW914:AY914)=0,AND(COUNTA(AW914:AY914)=3,ISNUMBER(AY914))),0,1)+IF(OR(COUNTA(AZ914:BB914)=0,AND(COUNTA(AZ914:BB914)=3,ISNUMBER(BB914))),0,1))&gt;0,"; An invoice is incomplete (needs No, Date and a number in Ex GST)","")&amp;IF((IF(T914="",0,IFERROR(--(EOMONTH(T914,0)&lt;&gt;S$5),1))+IF(W914="",0,IFERROR(--(EOMONTH(W914,0)&lt;&gt;V$5),1))+IF(Z914="",0,IFERROR(--(EOMONTH(Z914,0)&lt;&gt;Y$5),1))+IF(AC914="",0,IFERROR(--(EOMONTH(AC914,0)&lt;&gt;AB$5),1))+IF(AF914="",0,IFERROR(--(EOMONTH(AF914,0)&lt;&gt;AE$5),1))+IF(AI914="",0,IFERROR(--(EOMONTH(AI914,0)&lt;&gt;AH$5),1))+IF(AL914="",0,IFERROR(--(EOMONTH(AL914,0)&lt;&gt;AK$5),1))+IF(AO914="",0,IFERROR(--(EOMONTH(AO914,0)&lt;&gt;AN$5),1))+IF(AR914="",0,IFERROR(--(EOMONTH(AR914,0)&lt;&gt;AQ$5),1))+IF(AU914="",0,IFERROR(--(EOMONTH(AU914,0)&lt;&gt;AT$5),1))+IF(AX914="",0,IFERROR(--(EOMONTH(AX914,0)&lt;&gt;AW$5),1))+IF(BA914="",0,IFERROR(--(EOMONTH(BA914,0)&lt;&gt;AZ$5),1)))&gt;0,"; An invoice date is not in the month it is typed under",""),3,500))</f>
        <v/>
      </c>
      <c r="S914" s="12" t="n"/>
      <c r="T914" s="13" t="n"/>
      <c r="U914" s="14" t="n"/>
      <c r="V914" s="12" t="n"/>
      <c r="W914" s="13" t="n"/>
      <c r="X914" s="14" t="n"/>
      <c r="Y914" s="12" t="n"/>
      <c r="Z914" s="13" t="n"/>
      <c r="AA914" s="14" t="n"/>
      <c r="AB914" s="12" t="n"/>
      <c r="AC914" s="13" t="n"/>
      <c r="AD914" s="14" t="n"/>
      <c r="AE914" s="12" t="n"/>
      <c r="AF914" s="13" t="n"/>
      <c r="AG914" s="14" t="n"/>
      <c r="AH914" s="12" t="n"/>
      <c r="AI914" s="13" t="n"/>
      <c r="AJ914" s="14" t="n"/>
      <c r="AK914" s="12" t="n"/>
      <c r="AL914" s="13" t="n"/>
      <c r="AM914" s="14" t="n"/>
      <c r="AN914" s="12" t="n"/>
      <c r="AO914" s="13" t="n"/>
      <c r="AP914" s="14" t="n"/>
      <c r="AQ914" s="12" t="n"/>
      <c r="AR914" s="13" t="n"/>
      <c r="AS914" s="14" t="n"/>
      <c r="AT914" s="12" t="n"/>
      <c r="AU914" s="13" t="n"/>
      <c r="AV914" s="14" t="n"/>
      <c r="AW914" s="12" t="n"/>
      <c r="AX914" s="13" t="n"/>
      <c r="AY914" s="14" t="n"/>
      <c r="AZ914" s="12" t="n"/>
      <c r="BA914" s="13" t="n"/>
      <c r="BB914" s="14" t="n"/>
      <c r="BC914" s="11">
        <f>IF(O914="","",IF(J914="GST 10%",ROUND(O914*set_GSTRate,2),0))</f>
        <v/>
      </c>
      <c r="BD914" s="11">
        <f>IF(O914="","",O914+BC914)</f>
        <v/>
      </c>
      <c r="BE914" s="15">
        <f>IF(O914="","",COUNTA(S914,V914,Y914,AB914,AE914,AH914,AK914,AN914,AQ914,AT914,AW914,AZ914))</f>
        <v/>
      </c>
      <c r="BF914" s="16">
        <f>IF(COUNT(T914,W914,Z914,AC914,AF914,AI914,AL914,AO914,AR914,AU914,AX914,BA914)=0,"",MAX(T914,W914,Z914,AC914,AF914,AI914,AL914,AO914,AR914,AU914,AX914,BA914))</f>
        <v/>
      </c>
      <c r="BG914" s="10">
        <f>MID(IF(S914="","",", "&amp;S914)&amp;IF(V914="","",", "&amp;V914)&amp;IF(Y914="","",", "&amp;Y914)&amp;IF(AB914="","",", "&amp;AB914)&amp;IF(AE914="","",", "&amp;AE914)&amp;IF(AH914="","",", "&amp;AH914)&amp;IF(AK914="","",", "&amp;AK914)&amp;IF(AN914="","",", "&amp;AN914)&amp;IF(AQ914="","",", "&amp;AQ914)&amp;IF(AT914="","",", "&amp;AT914)&amp;IF(AW914="","",", "&amp;AW914)&amp;IF(AZ914="","",", "&amp;AZ914),3,500)</f>
        <v/>
      </c>
      <c r="BH914" s="12" t="n"/>
      <c r="BI914" s="15">
        <f>IFERROR(MATCH($A914,IF($B914="Onsite",tbl_Onsite[Row ID],IF($B914="Production",tbl_Production[Row ID],tbl_Consulting[Row ID])),0),"")</f>
        <v/>
      </c>
    </row>
    <row r="915">
      <c r="A915" s="10" t="inlineStr">
        <is>
          <t>PRD-0409</t>
        </is>
      </c>
      <c r="B915" s="10" t="inlineStr">
        <is>
          <t>Production</t>
        </is>
      </c>
      <c r="C915" s="10">
        <f>IF($BI915="","",IF($B915="Onsite",INDEX(tbl_Onsite[Job Number],$BI915),IF($B915="Production",INDEX(tbl_Production[Job Number],$BI915),INDEX(tbl_Consulting[Job Number],$BI915)))&amp;"")</f>
        <v/>
      </c>
      <c r="D915" s="10">
        <f>IF($BI915="","",IF($B915="Onsite",INDEX(tbl_Onsite[Client],$BI915),IF($B915="Production",INDEX(tbl_Production[Client],$BI915),INDEX(tbl_Consulting[Client],$BI915)))&amp;"")</f>
        <v/>
      </c>
      <c r="E915" s="10">
        <f>IF($C915="","",IF(COUNTIF(lst_Jobs,$C915)&gt;0,"OK","CHECK"))</f>
        <v/>
      </c>
      <c r="F915" s="10">
        <f>IF($C915="","",IFERROR(INDEX(lst_JobName,MATCH($C915,lst_Jobs,0)),""))</f>
        <v/>
      </c>
      <c r="G915" s="10">
        <f>IF($BI915="","",IF($B915="Onsite",INDEX(tbl_Onsite[Job Description],$BI915),IF($B915="Production",INDEX(tbl_Production[Job Description],$BI915),INDEX(tbl_Consulting[Job Description],$BI915)))&amp;"")</f>
        <v/>
      </c>
      <c r="H915" s="10">
        <f>IF($BI915="","",IF($B915="Onsite",INDEX(tbl_Onsite[Cost Centre],$BI915),IF($B915="Production",INDEX(tbl_Production[Cost Centre],$BI915),INDEX(tbl_Consulting[Cost Centre],$BI915)))&amp;"")</f>
        <v/>
      </c>
      <c r="I915" s="10">
        <f>IF($BI915="","",IF($B915="Onsite",INDEX(tbl_Onsite[Invoice Type],$BI915),IF($B915="Production",INDEX(tbl_Production[Invoice Type],$BI915),INDEX(tbl_Consulting[Invoice Type],$BI915)))&amp;"")</f>
        <v/>
      </c>
      <c r="J915" s="10">
        <f>IF($BI915="","",IF($B915="Onsite",INDEX(tbl_Onsite[Tax Code],$BI915),IF($B915="Production",INDEX(tbl_Production[Tax Code],$BI915),INDEX(tbl_Consulting[Tax Code],$BI915)))&amp;"")</f>
        <v/>
      </c>
      <c r="K915" s="10">
        <f>IF(H915="","",IFERROR(INDEX(lst_CCtoGL,MATCH(H915,lst_CCforGL,0)),""))</f>
        <v/>
      </c>
      <c r="L915" s="10">
        <f>IF($BI915="","",IF($B915="Onsite",INDEX(tbl_Onsite[PO / Reference],$BI915),IF($B915="Production",INDEX(tbl_Production[Current RMS No],$BI915),INDEX(tbl_Consulting[Qwilr Quote],$BI915)))&amp;"")</f>
        <v/>
      </c>
      <c r="M915" s="10">
        <f>IF($BI915="","",IF($B915="Onsite",INDEX(tbl_Onsite[Notes],$BI915),IF($B915="Production",INDEX(tbl_Production[Notes],$BI915),INDEX(tbl_Consulting[Notes],$BI915)))&amp;"")</f>
        <v/>
      </c>
      <c r="N915" s="11">
        <f>IF($BI915="","",IF(IF($B915="Onsite",INDEX(tbl_Onsite[Expected Revenue Ex GST],$BI915),IF($B915="Production",INDEX(tbl_Production[Expected Revenue Ex GST],$BI915),INDEX(tbl_Consulting[Expected Revenue Ex GST],$BI915)))="","",IF($B915="Onsite",INDEX(tbl_Onsite[Expected Revenue Ex GST],$BI915),IF($B915="Production",INDEX(tbl_Production[Expected Revenue Ex GST],$BI915),INDEX(tbl_Consulting[Expected Revenue Ex GST],$BI915)))))</f>
        <v/>
      </c>
      <c r="O915" s="11">
        <f>IF(AND($C915="",NOT(COUNTA($S915:$BB915)&gt;0)),"",SUM(U915,X915,AA915,AD915,AG915,AJ915,AM915,AP915,AS915,AV915,AY915,BB915))</f>
        <v/>
      </c>
      <c r="P915" s="11">
        <f>IF(O915="","",N(N915)-O915)</f>
        <v/>
      </c>
      <c r="Q915" s="10">
        <f>IF(O915="","",IF($C915="","Invoice on empty job row",IF(N915="",IF(ROUND(O915,2)=0,"No dept value","Invoiced - no dept value"),IF(ROUND(O915,2)=0,"Not invoiced - to invoice",IF(ROUND(P915,2)=0,"Agrees",IF(P915&gt;0,"Dept higher - to invoice","Xero higher - check dept"))))))</f>
        <v/>
      </c>
      <c r="R915" s="10">
        <f>IF(AND($C915="",NOT(COUNTA($S915:$BB915)&gt;0),$BI915&lt;&gt;""),"",MID(IF($BI915="","; Row ID not found on the department sheet - a row was deleted","")&amp;IF(AND($C915="",COUNTA($S915:$BB915)&gt;0),"; Invoice entered but the department row has no job number","")&amp;IF(E915="CHECK","; Job number not in the Xero job list","")&amp;IF(AND($C915&lt;&gt;"",COUNTIF($C$7:$C$1506,$C915)&gt;1),"; Job number on more than one row","")&amp;IF(AND($C915&lt;&gt;"",H915=""),"; Dept has not set a cost centre","")&amp;IF(AND($C915&lt;&gt;"",J915=""),"; Dept has not set a tax code","")&amp;IF(AND($C915&lt;&gt;"",N915=""),"; Dept has not entered an expected value","")&amp;IF((IF(OR(COUNTA(S915:U915)=0,AND(COUNTA(S915:U915)=3,ISNUMBER(U915))),0,1)+IF(OR(COUNTA(V915:X915)=0,AND(COUNTA(V915:X915)=3,ISNUMBER(X915))),0,1)+IF(OR(COUNTA(Y915:AA915)=0,AND(COUNTA(Y915:AA915)=3,ISNUMBER(AA915))),0,1)+IF(OR(COUNTA(AB915:AD915)=0,AND(COUNTA(AB915:AD915)=3,ISNUMBER(AD915))),0,1)+IF(OR(COUNTA(AE915:AG915)=0,AND(COUNTA(AE915:AG915)=3,ISNUMBER(AG915))),0,1)+IF(OR(COUNTA(AH915:AJ915)=0,AND(COUNTA(AH915:AJ915)=3,ISNUMBER(AJ915))),0,1)+IF(OR(COUNTA(AK915:AM915)=0,AND(COUNTA(AK915:AM915)=3,ISNUMBER(AM915))),0,1)+IF(OR(COUNTA(AN915:AP915)=0,AND(COUNTA(AN915:AP915)=3,ISNUMBER(AP915))),0,1)+IF(OR(COUNTA(AQ915:AS915)=0,AND(COUNTA(AQ915:AS915)=3,ISNUMBER(AS915))),0,1)+IF(OR(COUNTA(AT915:AV915)=0,AND(COUNTA(AT915:AV915)=3,ISNUMBER(AV915))),0,1)+IF(OR(COUNTA(AW915:AY915)=0,AND(COUNTA(AW915:AY915)=3,ISNUMBER(AY915))),0,1)+IF(OR(COUNTA(AZ915:BB915)=0,AND(COUNTA(AZ915:BB915)=3,ISNUMBER(BB915))),0,1))&gt;0,"; An invoice is incomplete (needs No, Date and a number in Ex GST)","")&amp;IF((IF(T915="",0,IFERROR(--(EOMONTH(T915,0)&lt;&gt;S$5),1))+IF(W915="",0,IFERROR(--(EOMONTH(W915,0)&lt;&gt;V$5),1))+IF(Z915="",0,IFERROR(--(EOMONTH(Z915,0)&lt;&gt;Y$5),1))+IF(AC915="",0,IFERROR(--(EOMONTH(AC915,0)&lt;&gt;AB$5),1))+IF(AF915="",0,IFERROR(--(EOMONTH(AF915,0)&lt;&gt;AE$5),1))+IF(AI915="",0,IFERROR(--(EOMONTH(AI915,0)&lt;&gt;AH$5),1))+IF(AL915="",0,IFERROR(--(EOMONTH(AL915,0)&lt;&gt;AK$5),1))+IF(AO915="",0,IFERROR(--(EOMONTH(AO915,0)&lt;&gt;AN$5),1))+IF(AR915="",0,IFERROR(--(EOMONTH(AR915,0)&lt;&gt;AQ$5),1))+IF(AU915="",0,IFERROR(--(EOMONTH(AU915,0)&lt;&gt;AT$5),1))+IF(AX915="",0,IFERROR(--(EOMONTH(AX915,0)&lt;&gt;AW$5),1))+IF(BA915="",0,IFERROR(--(EOMONTH(BA915,0)&lt;&gt;AZ$5),1)))&gt;0,"; An invoice date is not in the month it is typed under",""),3,500))</f>
        <v/>
      </c>
      <c r="S915" s="12" t="n"/>
      <c r="T915" s="13" t="n"/>
      <c r="U915" s="14" t="n"/>
      <c r="V915" s="12" t="n"/>
      <c r="W915" s="13" t="n"/>
      <c r="X915" s="14" t="n"/>
      <c r="Y915" s="12" t="n"/>
      <c r="Z915" s="13" t="n"/>
      <c r="AA915" s="14" t="n"/>
      <c r="AB915" s="12" t="n"/>
      <c r="AC915" s="13" t="n"/>
      <c r="AD915" s="14" t="n"/>
      <c r="AE915" s="12" t="n"/>
      <c r="AF915" s="13" t="n"/>
      <c r="AG915" s="14" t="n"/>
      <c r="AH915" s="12" t="n"/>
      <c r="AI915" s="13" t="n"/>
      <c r="AJ915" s="14" t="n"/>
      <c r="AK915" s="12" t="n"/>
      <c r="AL915" s="13" t="n"/>
      <c r="AM915" s="14" t="n"/>
      <c r="AN915" s="12" t="n"/>
      <c r="AO915" s="13" t="n"/>
      <c r="AP915" s="14" t="n"/>
      <c r="AQ915" s="12" t="n"/>
      <c r="AR915" s="13" t="n"/>
      <c r="AS915" s="14" t="n"/>
      <c r="AT915" s="12" t="n"/>
      <c r="AU915" s="13" t="n"/>
      <c r="AV915" s="14" t="n"/>
      <c r="AW915" s="12" t="n"/>
      <c r="AX915" s="13" t="n"/>
      <c r="AY915" s="14" t="n"/>
      <c r="AZ915" s="12" t="n"/>
      <c r="BA915" s="13" t="n"/>
      <c r="BB915" s="14" t="n"/>
      <c r="BC915" s="11">
        <f>IF(O915="","",IF(J915="GST 10%",ROUND(O915*set_GSTRate,2),0))</f>
        <v/>
      </c>
      <c r="BD915" s="11">
        <f>IF(O915="","",O915+BC915)</f>
        <v/>
      </c>
      <c r="BE915" s="15">
        <f>IF(O915="","",COUNTA(S915,V915,Y915,AB915,AE915,AH915,AK915,AN915,AQ915,AT915,AW915,AZ915))</f>
        <v/>
      </c>
      <c r="BF915" s="16">
        <f>IF(COUNT(T915,W915,Z915,AC915,AF915,AI915,AL915,AO915,AR915,AU915,AX915,BA915)=0,"",MAX(T915,W915,Z915,AC915,AF915,AI915,AL915,AO915,AR915,AU915,AX915,BA915))</f>
        <v/>
      </c>
      <c r="BG915" s="10">
        <f>MID(IF(S915="","",", "&amp;S915)&amp;IF(V915="","",", "&amp;V915)&amp;IF(Y915="","",", "&amp;Y915)&amp;IF(AB915="","",", "&amp;AB915)&amp;IF(AE915="","",", "&amp;AE915)&amp;IF(AH915="","",", "&amp;AH915)&amp;IF(AK915="","",", "&amp;AK915)&amp;IF(AN915="","",", "&amp;AN915)&amp;IF(AQ915="","",", "&amp;AQ915)&amp;IF(AT915="","",", "&amp;AT915)&amp;IF(AW915="","",", "&amp;AW915)&amp;IF(AZ915="","",", "&amp;AZ915),3,500)</f>
        <v/>
      </c>
      <c r="BH915" s="12" t="n"/>
      <c r="BI915" s="15">
        <f>IFERROR(MATCH($A915,IF($B915="Onsite",tbl_Onsite[Row ID],IF($B915="Production",tbl_Production[Row ID],tbl_Consulting[Row ID])),0),"")</f>
        <v/>
      </c>
    </row>
    <row r="916">
      <c r="A916" s="10" t="inlineStr">
        <is>
          <t>PRD-0410</t>
        </is>
      </c>
      <c r="B916" s="10" t="inlineStr">
        <is>
          <t>Production</t>
        </is>
      </c>
      <c r="C916" s="10">
        <f>IF($BI916="","",IF($B916="Onsite",INDEX(tbl_Onsite[Job Number],$BI916),IF($B916="Production",INDEX(tbl_Production[Job Number],$BI916),INDEX(tbl_Consulting[Job Number],$BI916)))&amp;"")</f>
        <v/>
      </c>
      <c r="D916" s="10">
        <f>IF($BI916="","",IF($B916="Onsite",INDEX(tbl_Onsite[Client],$BI916),IF($B916="Production",INDEX(tbl_Production[Client],$BI916),INDEX(tbl_Consulting[Client],$BI916)))&amp;"")</f>
        <v/>
      </c>
      <c r="E916" s="10">
        <f>IF($C916="","",IF(COUNTIF(lst_Jobs,$C916)&gt;0,"OK","CHECK"))</f>
        <v/>
      </c>
      <c r="F916" s="10">
        <f>IF($C916="","",IFERROR(INDEX(lst_JobName,MATCH($C916,lst_Jobs,0)),""))</f>
        <v/>
      </c>
      <c r="G916" s="10">
        <f>IF($BI916="","",IF($B916="Onsite",INDEX(tbl_Onsite[Job Description],$BI916),IF($B916="Production",INDEX(tbl_Production[Job Description],$BI916),INDEX(tbl_Consulting[Job Description],$BI916)))&amp;"")</f>
        <v/>
      </c>
      <c r="H916" s="10">
        <f>IF($BI916="","",IF($B916="Onsite",INDEX(tbl_Onsite[Cost Centre],$BI916),IF($B916="Production",INDEX(tbl_Production[Cost Centre],$BI916),INDEX(tbl_Consulting[Cost Centre],$BI916)))&amp;"")</f>
        <v/>
      </c>
      <c r="I916" s="10">
        <f>IF($BI916="","",IF($B916="Onsite",INDEX(tbl_Onsite[Invoice Type],$BI916),IF($B916="Production",INDEX(tbl_Production[Invoice Type],$BI916),INDEX(tbl_Consulting[Invoice Type],$BI916)))&amp;"")</f>
        <v/>
      </c>
      <c r="J916" s="10">
        <f>IF($BI916="","",IF($B916="Onsite",INDEX(tbl_Onsite[Tax Code],$BI916),IF($B916="Production",INDEX(tbl_Production[Tax Code],$BI916),INDEX(tbl_Consulting[Tax Code],$BI916)))&amp;"")</f>
        <v/>
      </c>
      <c r="K916" s="10">
        <f>IF(H916="","",IFERROR(INDEX(lst_CCtoGL,MATCH(H916,lst_CCforGL,0)),""))</f>
        <v/>
      </c>
      <c r="L916" s="10">
        <f>IF($BI916="","",IF($B916="Onsite",INDEX(tbl_Onsite[PO / Reference],$BI916),IF($B916="Production",INDEX(tbl_Production[Current RMS No],$BI916),INDEX(tbl_Consulting[Qwilr Quote],$BI916)))&amp;"")</f>
        <v/>
      </c>
      <c r="M916" s="10">
        <f>IF($BI916="","",IF($B916="Onsite",INDEX(tbl_Onsite[Notes],$BI916),IF($B916="Production",INDEX(tbl_Production[Notes],$BI916),INDEX(tbl_Consulting[Notes],$BI916)))&amp;"")</f>
        <v/>
      </c>
      <c r="N916" s="11">
        <f>IF($BI916="","",IF(IF($B916="Onsite",INDEX(tbl_Onsite[Expected Revenue Ex GST],$BI916),IF($B916="Production",INDEX(tbl_Production[Expected Revenue Ex GST],$BI916),INDEX(tbl_Consulting[Expected Revenue Ex GST],$BI916)))="","",IF($B916="Onsite",INDEX(tbl_Onsite[Expected Revenue Ex GST],$BI916),IF($B916="Production",INDEX(tbl_Production[Expected Revenue Ex GST],$BI916),INDEX(tbl_Consulting[Expected Revenue Ex GST],$BI916)))))</f>
        <v/>
      </c>
      <c r="O916" s="11">
        <f>IF(AND($C916="",NOT(COUNTA($S916:$BB916)&gt;0)),"",SUM(U916,X916,AA916,AD916,AG916,AJ916,AM916,AP916,AS916,AV916,AY916,BB916))</f>
        <v/>
      </c>
      <c r="P916" s="11">
        <f>IF(O916="","",N(N916)-O916)</f>
        <v/>
      </c>
      <c r="Q916" s="10">
        <f>IF(O916="","",IF($C916="","Invoice on empty job row",IF(N916="",IF(ROUND(O916,2)=0,"No dept value","Invoiced - no dept value"),IF(ROUND(O916,2)=0,"Not invoiced - to invoice",IF(ROUND(P916,2)=0,"Agrees",IF(P916&gt;0,"Dept higher - to invoice","Xero higher - check dept"))))))</f>
        <v/>
      </c>
      <c r="R916" s="10">
        <f>IF(AND($C916="",NOT(COUNTA($S916:$BB916)&gt;0),$BI916&lt;&gt;""),"",MID(IF($BI916="","; Row ID not found on the department sheet - a row was deleted","")&amp;IF(AND($C916="",COUNTA($S916:$BB916)&gt;0),"; Invoice entered but the department row has no job number","")&amp;IF(E916="CHECK","; Job number not in the Xero job list","")&amp;IF(AND($C916&lt;&gt;"",COUNTIF($C$7:$C$1506,$C916)&gt;1),"; Job number on more than one row","")&amp;IF(AND($C916&lt;&gt;"",H916=""),"; Dept has not set a cost centre","")&amp;IF(AND($C916&lt;&gt;"",J916=""),"; Dept has not set a tax code","")&amp;IF(AND($C916&lt;&gt;"",N916=""),"; Dept has not entered an expected value","")&amp;IF((IF(OR(COUNTA(S916:U916)=0,AND(COUNTA(S916:U916)=3,ISNUMBER(U916))),0,1)+IF(OR(COUNTA(V916:X916)=0,AND(COUNTA(V916:X916)=3,ISNUMBER(X916))),0,1)+IF(OR(COUNTA(Y916:AA916)=0,AND(COUNTA(Y916:AA916)=3,ISNUMBER(AA916))),0,1)+IF(OR(COUNTA(AB916:AD916)=0,AND(COUNTA(AB916:AD916)=3,ISNUMBER(AD916))),0,1)+IF(OR(COUNTA(AE916:AG916)=0,AND(COUNTA(AE916:AG916)=3,ISNUMBER(AG916))),0,1)+IF(OR(COUNTA(AH916:AJ916)=0,AND(COUNTA(AH916:AJ916)=3,ISNUMBER(AJ916))),0,1)+IF(OR(COUNTA(AK916:AM916)=0,AND(COUNTA(AK916:AM916)=3,ISNUMBER(AM916))),0,1)+IF(OR(COUNTA(AN916:AP916)=0,AND(COUNTA(AN916:AP916)=3,ISNUMBER(AP916))),0,1)+IF(OR(COUNTA(AQ916:AS916)=0,AND(COUNTA(AQ916:AS916)=3,ISNUMBER(AS916))),0,1)+IF(OR(COUNTA(AT916:AV916)=0,AND(COUNTA(AT916:AV916)=3,ISNUMBER(AV916))),0,1)+IF(OR(COUNTA(AW916:AY916)=0,AND(COUNTA(AW916:AY916)=3,ISNUMBER(AY916))),0,1)+IF(OR(COUNTA(AZ916:BB916)=0,AND(COUNTA(AZ916:BB916)=3,ISNUMBER(BB916))),0,1))&gt;0,"; An invoice is incomplete (needs No, Date and a number in Ex GST)","")&amp;IF((IF(T916="",0,IFERROR(--(EOMONTH(T916,0)&lt;&gt;S$5),1))+IF(W916="",0,IFERROR(--(EOMONTH(W916,0)&lt;&gt;V$5),1))+IF(Z916="",0,IFERROR(--(EOMONTH(Z916,0)&lt;&gt;Y$5),1))+IF(AC916="",0,IFERROR(--(EOMONTH(AC916,0)&lt;&gt;AB$5),1))+IF(AF916="",0,IFERROR(--(EOMONTH(AF916,0)&lt;&gt;AE$5),1))+IF(AI916="",0,IFERROR(--(EOMONTH(AI916,0)&lt;&gt;AH$5),1))+IF(AL916="",0,IFERROR(--(EOMONTH(AL916,0)&lt;&gt;AK$5),1))+IF(AO916="",0,IFERROR(--(EOMONTH(AO916,0)&lt;&gt;AN$5),1))+IF(AR916="",0,IFERROR(--(EOMONTH(AR916,0)&lt;&gt;AQ$5),1))+IF(AU916="",0,IFERROR(--(EOMONTH(AU916,0)&lt;&gt;AT$5),1))+IF(AX916="",0,IFERROR(--(EOMONTH(AX916,0)&lt;&gt;AW$5),1))+IF(BA916="",0,IFERROR(--(EOMONTH(BA916,0)&lt;&gt;AZ$5),1)))&gt;0,"; An invoice date is not in the month it is typed under",""),3,500))</f>
        <v/>
      </c>
      <c r="S916" s="12" t="n"/>
      <c r="T916" s="13" t="n"/>
      <c r="U916" s="14" t="n"/>
      <c r="V916" s="12" t="n"/>
      <c r="W916" s="13" t="n"/>
      <c r="X916" s="14" t="n"/>
      <c r="Y916" s="12" t="n"/>
      <c r="Z916" s="13" t="n"/>
      <c r="AA916" s="14" t="n"/>
      <c r="AB916" s="12" t="n"/>
      <c r="AC916" s="13" t="n"/>
      <c r="AD916" s="14" t="n"/>
      <c r="AE916" s="12" t="n"/>
      <c r="AF916" s="13" t="n"/>
      <c r="AG916" s="14" t="n"/>
      <c r="AH916" s="12" t="n"/>
      <c r="AI916" s="13" t="n"/>
      <c r="AJ916" s="14" t="n"/>
      <c r="AK916" s="12" t="n"/>
      <c r="AL916" s="13" t="n"/>
      <c r="AM916" s="14" t="n"/>
      <c r="AN916" s="12" t="n"/>
      <c r="AO916" s="13" t="n"/>
      <c r="AP916" s="14" t="n"/>
      <c r="AQ916" s="12" t="n"/>
      <c r="AR916" s="13" t="n"/>
      <c r="AS916" s="14" t="n"/>
      <c r="AT916" s="12" t="n"/>
      <c r="AU916" s="13" t="n"/>
      <c r="AV916" s="14" t="n"/>
      <c r="AW916" s="12" t="n"/>
      <c r="AX916" s="13" t="n"/>
      <c r="AY916" s="14" t="n"/>
      <c r="AZ916" s="12" t="n"/>
      <c r="BA916" s="13" t="n"/>
      <c r="BB916" s="14" t="n"/>
      <c r="BC916" s="11">
        <f>IF(O916="","",IF(J916="GST 10%",ROUND(O916*set_GSTRate,2),0))</f>
        <v/>
      </c>
      <c r="BD916" s="11">
        <f>IF(O916="","",O916+BC916)</f>
        <v/>
      </c>
      <c r="BE916" s="15">
        <f>IF(O916="","",COUNTA(S916,V916,Y916,AB916,AE916,AH916,AK916,AN916,AQ916,AT916,AW916,AZ916))</f>
        <v/>
      </c>
      <c r="BF916" s="16">
        <f>IF(COUNT(T916,W916,Z916,AC916,AF916,AI916,AL916,AO916,AR916,AU916,AX916,BA916)=0,"",MAX(T916,W916,Z916,AC916,AF916,AI916,AL916,AO916,AR916,AU916,AX916,BA916))</f>
        <v/>
      </c>
      <c r="BG916" s="10">
        <f>MID(IF(S916="","",", "&amp;S916)&amp;IF(V916="","",", "&amp;V916)&amp;IF(Y916="","",", "&amp;Y916)&amp;IF(AB916="","",", "&amp;AB916)&amp;IF(AE916="","",", "&amp;AE916)&amp;IF(AH916="","",", "&amp;AH916)&amp;IF(AK916="","",", "&amp;AK916)&amp;IF(AN916="","",", "&amp;AN916)&amp;IF(AQ916="","",", "&amp;AQ916)&amp;IF(AT916="","",", "&amp;AT916)&amp;IF(AW916="","",", "&amp;AW916)&amp;IF(AZ916="","",", "&amp;AZ916),3,500)</f>
        <v/>
      </c>
      <c r="BH916" s="12" t="n"/>
      <c r="BI916" s="15">
        <f>IFERROR(MATCH($A916,IF($B916="Onsite",tbl_Onsite[Row ID],IF($B916="Production",tbl_Production[Row ID],tbl_Consulting[Row ID])),0),"")</f>
        <v/>
      </c>
    </row>
    <row r="917">
      <c r="A917" s="10" t="inlineStr">
        <is>
          <t>PRD-0411</t>
        </is>
      </c>
      <c r="B917" s="10" t="inlineStr">
        <is>
          <t>Production</t>
        </is>
      </c>
      <c r="C917" s="10">
        <f>IF($BI917="","",IF($B917="Onsite",INDEX(tbl_Onsite[Job Number],$BI917),IF($B917="Production",INDEX(tbl_Production[Job Number],$BI917),INDEX(tbl_Consulting[Job Number],$BI917)))&amp;"")</f>
        <v/>
      </c>
      <c r="D917" s="10">
        <f>IF($BI917="","",IF($B917="Onsite",INDEX(tbl_Onsite[Client],$BI917),IF($B917="Production",INDEX(tbl_Production[Client],$BI917),INDEX(tbl_Consulting[Client],$BI917)))&amp;"")</f>
        <v/>
      </c>
      <c r="E917" s="10">
        <f>IF($C917="","",IF(COUNTIF(lst_Jobs,$C917)&gt;0,"OK","CHECK"))</f>
        <v/>
      </c>
      <c r="F917" s="10">
        <f>IF($C917="","",IFERROR(INDEX(lst_JobName,MATCH($C917,lst_Jobs,0)),""))</f>
        <v/>
      </c>
      <c r="G917" s="10">
        <f>IF($BI917="","",IF($B917="Onsite",INDEX(tbl_Onsite[Job Description],$BI917),IF($B917="Production",INDEX(tbl_Production[Job Description],$BI917),INDEX(tbl_Consulting[Job Description],$BI917)))&amp;"")</f>
        <v/>
      </c>
      <c r="H917" s="10">
        <f>IF($BI917="","",IF($B917="Onsite",INDEX(tbl_Onsite[Cost Centre],$BI917),IF($B917="Production",INDEX(tbl_Production[Cost Centre],$BI917),INDEX(tbl_Consulting[Cost Centre],$BI917)))&amp;"")</f>
        <v/>
      </c>
      <c r="I917" s="10">
        <f>IF($BI917="","",IF($B917="Onsite",INDEX(tbl_Onsite[Invoice Type],$BI917),IF($B917="Production",INDEX(tbl_Production[Invoice Type],$BI917),INDEX(tbl_Consulting[Invoice Type],$BI917)))&amp;"")</f>
        <v/>
      </c>
      <c r="J917" s="10">
        <f>IF($BI917="","",IF($B917="Onsite",INDEX(tbl_Onsite[Tax Code],$BI917),IF($B917="Production",INDEX(tbl_Production[Tax Code],$BI917),INDEX(tbl_Consulting[Tax Code],$BI917)))&amp;"")</f>
        <v/>
      </c>
      <c r="K917" s="10">
        <f>IF(H917="","",IFERROR(INDEX(lst_CCtoGL,MATCH(H917,lst_CCforGL,0)),""))</f>
        <v/>
      </c>
      <c r="L917" s="10">
        <f>IF($BI917="","",IF($B917="Onsite",INDEX(tbl_Onsite[PO / Reference],$BI917),IF($B917="Production",INDEX(tbl_Production[Current RMS No],$BI917),INDEX(tbl_Consulting[Qwilr Quote],$BI917)))&amp;"")</f>
        <v/>
      </c>
      <c r="M917" s="10">
        <f>IF($BI917="","",IF($B917="Onsite",INDEX(tbl_Onsite[Notes],$BI917),IF($B917="Production",INDEX(tbl_Production[Notes],$BI917),INDEX(tbl_Consulting[Notes],$BI917)))&amp;"")</f>
        <v/>
      </c>
      <c r="N917" s="11">
        <f>IF($BI917="","",IF(IF($B917="Onsite",INDEX(tbl_Onsite[Expected Revenue Ex GST],$BI917),IF($B917="Production",INDEX(tbl_Production[Expected Revenue Ex GST],$BI917),INDEX(tbl_Consulting[Expected Revenue Ex GST],$BI917)))="","",IF($B917="Onsite",INDEX(tbl_Onsite[Expected Revenue Ex GST],$BI917),IF($B917="Production",INDEX(tbl_Production[Expected Revenue Ex GST],$BI917),INDEX(tbl_Consulting[Expected Revenue Ex GST],$BI917)))))</f>
        <v/>
      </c>
      <c r="O917" s="11">
        <f>IF(AND($C917="",NOT(COUNTA($S917:$BB917)&gt;0)),"",SUM(U917,X917,AA917,AD917,AG917,AJ917,AM917,AP917,AS917,AV917,AY917,BB917))</f>
        <v/>
      </c>
      <c r="P917" s="11">
        <f>IF(O917="","",N(N917)-O917)</f>
        <v/>
      </c>
      <c r="Q917" s="10">
        <f>IF(O917="","",IF($C917="","Invoice on empty job row",IF(N917="",IF(ROUND(O917,2)=0,"No dept value","Invoiced - no dept value"),IF(ROUND(O917,2)=0,"Not invoiced - to invoice",IF(ROUND(P917,2)=0,"Agrees",IF(P917&gt;0,"Dept higher - to invoice","Xero higher - check dept"))))))</f>
        <v/>
      </c>
      <c r="R917" s="10">
        <f>IF(AND($C917="",NOT(COUNTA($S917:$BB917)&gt;0),$BI917&lt;&gt;""),"",MID(IF($BI917="","; Row ID not found on the department sheet - a row was deleted","")&amp;IF(AND($C917="",COUNTA($S917:$BB917)&gt;0),"; Invoice entered but the department row has no job number","")&amp;IF(E917="CHECK","; Job number not in the Xero job list","")&amp;IF(AND($C917&lt;&gt;"",COUNTIF($C$7:$C$1506,$C917)&gt;1),"; Job number on more than one row","")&amp;IF(AND($C917&lt;&gt;"",H917=""),"; Dept has not set a cost centre","")&amp;IF(AND($C917&lt;&gt;"",J917=""),"; Dept has not set a tax code","")&amp;IF(AND($C917&lt;&gt;"",N917=""),"; Dept has not entered an expected value","")&amp;IF((IF(OR(COUNTA(S917:U917)=0,AND(COUNTA(S917:U917)=3,ISNUMBER(U917))),0,1)+IF(OR(COUNTA(V917:X917)=0,AND(COUNTA(V917:X917)=3,ISNUMBER(X917))),0,1)+IF(OR(COUNTA(Y917:AA917)=0,AND(COUNTA(Y917:AA917)=3,ISNUMBER(AA917))),0,1)+IF(OR(COUNTA(AB917:AD917)=0,AND(COUNTA(AB917:AD917)=3,ISNUMBER(AD917))),0,1)+IF(OR(COUNTA(AE917:AG917)=0,AND(COUNTA(AE917:AG917)=3,ISNUMBER(AG917))),0,1)+IF(OR(COUNTA(AH917:AJ917)=0,AND(COUNTA(AH917:AJ917)=3,ISNUMBER(AJ917))),0,1)+IF(OR(COUNTA(AK917:AM917)=0,AND(COUNTA(AK917:AM917)=3,ISNUMBER(AM917))),0,1)+IF(OR(COUNTA(AN917:AP917)=0,AND(COUNTA(AN917:AP917)=3,ISNUMBER(AP917))),0,1)+IF(OR(COUNTA(AQ917:AS917)=0,AND(COUNTA(AQ917:AS917)=3,ISNUMBER(AS917))),0,1)+IF(OR(COUNTA(AT917:AV917)=0,AND(COUNTA(AT917:AV917)=3,ISNUMBER(AV917))),0,1)+IF(OR(COUNTA(AW917:AY917)=0,AND(COUNTA(AW917:AY917)=3,ISNUMBER(AY917))),0,1)+IF(OR(COUNTA(AZ917:BB917)=0,AND(COUNTA(AZ917:BB917)=3,ISNUMBER(BB917))),0,1))&gt;0,"; An invoice is incomplete (needs No, Date and a number in Ex GST)","")&amp;IF((IF(T917="",0,IFERROR(--(EOMONTH(T917,0)&lt;&gt;S$5),1))+IF(W917="",0,IFERROR(--(EOMONTH(W917,0)&lt;&gt;V$5),1))+IF(Z917="",0,IFERROR(--(EOMONTH(Z917,0)&lt;&gt;Y$5),1))+IF(AC917="",0,IFERROR(--(EOMONTH(AC917,0)&lt;&gt;AB$5),1))+IF(AF917="",0,IFERROR(--(EOMONTH(AF917,0)&lt;&gt;AE$5),1))+IF(AI917="",0,IFERROR(--(EOMONTH(AI917,0)&lt;&gt;AH$5),1))+IF(AL917="",0,IFERROR(--(EOMONTH(AL917,0)&lt;&gt;AK$5),1))+IF(AO917="",0,IFERROR(--(EOMONTH(AO917,0)&lt;&gt;AN$5),1))+IF(AR917="",0,IFERROR(--(EOMONTH(AR917,0)&lt;&gt;AQ$5),1))+IF(AU917="",0,IFERROR(--(EOMONTH(AU917,0)&lt;&gt;AT$5),1))+IF(AX917="",0,IFERROR(--(EOMONTH(AX917,0)&lt;&gt;AW$5),1))+IF(BA917="",0,IFERROR(--(EOMONTH(BA917,0)&lt;&gt;AZ$5),1)))&gt;0,"; An invoice date is not in the month it is typed under",""),3,500))</f>
        <v/>
      </c>
      <c r="S917" s="12" t="n"/>
      <c r="T917" s="13" t="n"/>
      <c r="U917" s="14" t="n"/>
      <c r="V917" s="12" t="n"/>
      <c r="W917" s="13" t="n"/>
      <c r="X917" s="14" t="n"/>
      <c r="Y917" s="12" t="n"/>
      <c r="Z917" s="13" t="n"/>
      <c r="AA917" s="14" t="n"/>
      <c r="AB917" s="12" t="n"/>
      <c r="AC917" s="13" t="n"/>
      <c r="AD917" s="14" t="n"/>
      <c r="AE917" s="12" t="n"/>
      <c r="AF917" s="13" t="n"/>
      <c r="AG917" s="14" t="n"/>
      <c r="AH917" s="12" t="n"/>
      <c r="AI917" s="13" t="n"/>
      <c r="AJ917" s="14" t="n"/>
      <c r="AK917" s="12" t="n"/>
      <c r="AL917" s="13" t="n"/>
      <c r="AM917" s="14" t="n"/>
      <c r="AN917" s="12" t="n"/>
      <c r="AO917" s="13" t="n"/>
      <c r="AP917" s="14" t="n"/>
      <c r="AQ917" s="12" t="n"/>
      <c r="AR917" s="13" t="n"/>
      <c r="AS917" s="14" t="n"/>
      <c r="AT917" s="12" t="n"/>
      <c r="AU917" s="13" t="n"/>
      <c r="AV917" s="14" t="n"/>
      <c r="AW917" s="12" t="n"/>
      <c r="AX917" s="13" t="n"/>
      <c r="AY917" s="14" t="n"/>
      <c r="AZ917" s="12" t="n"/>
      <c r="BA917" s="13" t="n"/>
      <c r="BB917" s="14" t="n"/>
      <c r="BC917" s="11">
        <f>IF(O917="","",IF(J917="GST 10%",ROUND(O917*set_GSTRate,2),0))</f>
        <v/>
      </c>
      <c r="BD917" s="11">
        <f>IF(O917="","",O917+BC917)</f>
        <v/>
      </c>
      <c r="BE917" s="15">
        <f>IF(O917="","",COUNTA(S917,V917,Y917,AB917,AE917,AH917,AK917,AN917,AQ917,AT917,AW917,AZ917))</f>
        <v/>
      </c>
      <c r="BF917" s="16">
        <f>IF(COUNT(T917,W917,Z917,AC917,AF917,AI917,AL917,AO917,AR917,AU917,AX917,BA917)=0,"",MAX(T917,W917,Z917,AC917,AF917,AI917,AL917,AO917,AR917,AU917,AX917,BA917))</f>
        <v/>
      </c>
      <c r="BG917" s="10">
        <f>MID(IF(S917="","",", "&amp;S917)&amp;IF(V917="","",", "&amp;V917)&amp;IF(Y917="","",", "&amp;Y917)&amp;IF(AB917="","",", "&amp;AB917)&amp;IF(AE917="","",", "&amp;AE917)&amp;IF(AH917="","",", "&amp;AH917)&amp;IF(AK917="","",", "&amp;AK917)&amp;IF(AN917="","",", "&amp;AN917)&amp;IF(AQ917="","",", "&amp;AQ917)&amp;IF(AT917="","",", "&amp;AT917)&amp;IF(AW917="","",", "&amp;AW917)&amp;IF(AZ917="","",", "&amp;AZ917),3,500)</f>
        <v/>
      </c>
      <c r="BH917" s="12" t="n"/>
      <c r="BI917" s="15">
        <f>IFERROR(MATCH($A917,IF($B917="Onsite",tbl_Onsite[Row ID],IF($B917="Production",tbl_Production[Row ID],tbl_Consulting[Row ID])),0),"")</f>
        <v/>
      </c>
    </row>
    <row r="918">
      <c r="A918" s="10" t="inlineStr">
        <is>
          <t>PRD-0412</t>
        </is>
      </c>
      <c r="B918" s="10" t="inlineStr">
        <is>
          <t>Production</t>
        </is>
      </c>
      <c r="C918" s="10">
        <f>IF($BI918="","",IF($B918="Onsite",INDEX(tbl_Onsite[Job Number],$BI918),IF($B918="Production",INDEX(tbl_Production[Job Number],$BI918),INDEX(tbl_Consulting[Job Number],$BI918)))&amp;"")</f>
        <v/>
      </c>
      <c r="D918" s="10">
        <f>IF($BI918="","",IF($B918="Onsite",INDEX(tbl_Onsite[Client],$BI918),IF($B918="Production",INDEX(tbl_Production[Client],$BI918),INDEX(tbl_Consulting[Client],$BI918)))&amp;"")</f>
        <v/>
      </c>
      <c r="E918" s="10">
        <f>IF($C918="","",IF(COUNTIF(lst_Jobs,$C918)&gt;0,"OK","CHECK"))</f>
        <v/>
      </c>
      <c r="F918" s="10">
        <f>IF($C918="","",IFERROR(INDEX(lst_JobName,MATCH($C918,lst_Jobs,0)),""))</f>
        <v/>
      </c>
      <c r="G918" s="10">
        <f>IF($BI918="","",IF($B918="Onsite",INDEX(tbl_Onsite[Job Description],$BI918),IF($B918="Production",INDEX(tbl_Production[Job Description],$BI918),INDEX(tbl_Consulting[Job Description],$BI918)))&amp;"")</f>
        <v/>
      </c>
      <c r="H918" s="10">
        <f>IF($BI918="","",IF($B918="Onsite",INDEX(tbl_Onsite[Cost Centre],$BI918),IF($B918="Production",INDEX(tbl_Production[Cost Centre],$BI918),INDEX(tbl_Consulting[Cost Centre],$BI918)))&amp;"")</f>
        <v/>
      </c>
      <c r="I918" s="10">
        <f>IF($BI918="","",IF($B918="Onsite",INDEX(tbl_Onsite[Invoice Type],$BI918),IF($B918="Production",INDEX(tbl_Production[Invoice Type],$BI918),INDEX(tbl_Consulting[Invoice Type],$BI918)))&amp;"")</f>
        <v/>
      </c>
      <c r="J918" s="10">
        <f>IF($BI918="","",IF($B918="Onsite",INDEX(tbl_Onsite[Tax Code],$BI918),IF($B918="Production",INDEX(tbl_Production[Tax Code],$BI918),INDEX(tbl_Consulting[Tax Code],$BI918)))&amp;"")</f>
        <v/>
      </c>
      <c r="K918" s="10">
        <f>IF(H918="","",IFERROR(INDEX(lst_CCtoGL,MATCH(H918,lst_CCforGL,0)),""))</f>
        <v/>
      </c>
      <c r="L918" s="10">
        <f>IF($BI918="","",IF($B918="Onsite",INDEX(tbl_Onsite[PO / Reference],$BI918),IF($B918="Production",INDEX(tbl_Production[Current RMS No],$BI918),INDEX(tbl_Consulting[Qwilr Quote],$BI918)))&amp;"")</f>
        <v/>
      </c>
      <c r="M918" s="10">
        <f>IF($BI918="","",IF($B918="Onsite",INDEX(tbl_Onsite[Notes],$BI918),IF($B918="Production",INDEX(tbl_Production[Notes],$BI918),INDEX(tbl_Consulting[Notes],$BI918)))&amp;"")</f>
        <v/>
      </c>
      <c r="N918" s="11">
        <f>IF($BI918="","",IF(IF($B918="Onsite",INDEX(tbl_Onsite[Expected Revenue Ex GST],$BI918),IF($B918="Production",INDEX(tbl_Production[Expected Revenue Ex GST],$BI918),INDEX(tbl_Consulting[Expected Revenue Ex GST],$BI918)))="","",IF($B918="Onsite",INDEX(tbl_Onsite[Expected Revenue Ex GST],$BI918),IF($B918="Production",INDEX(tbl_Production[Expected Revenue Ex GST],$BI918),INDEX(tbl_Consulting[Expected Revenue Ex GST],$BI918)))))</f>
        <v/>
      </c>
      <c r="O918" s="11">
        <f>IF(AND($C918="",NOT(COUNTA($S918:$BB918)&gt;0)),"",SUM(U918,X918,AA918,AD918,AG918,AJ918,AM918,AP918,AS918,AV918,AY918,BB918))</f>
        <v/>
      </c>
      <c r="P918" s="11">
        <f>IF(O918="","",N(N918)-O918)</f>
        <v/>
      </c>
      <c r="Q918" s="10">
        <f>IF(O918="","",IF($C918="","Invoice on empty job row",IF(N918="",IF(ROUND(O918,2)=0,"No dept value","Invoiced - no dept value"),IF(ROUND(O918,2)=0,"Not invoiced - to invoice",IF(ROUND(P918,2)=0,"Agrees",IF(P918&gt;0,"Dept higher - to invoice","Xero higher - check dept"))))))</f>
        <v/>
      </c>
      <c r="R918" s="10">
        <f>IF(AND($C918="",NOT(COUNTA($S918:$BB918)&gt;0),$BI918&lt;&gt;""),"",MID(IF($BI918="","; Row ID not found on the department sheet - a row was deleted","")&amp;IF(AND($C918="",COUNTA($S918:$BB918)&gt;0),"; Invoice entered but the department row has no job number","")&amp;IF(E918="CHECK","; Job number not in the Xero job list","")&amp;IF(AND($C918&lt;&gt;"",COUNTIF($C$7:$C$1506,$C918)&gt;1),"; Job number on more than one row","")&amp;IF(AND($C918&lt;&gt;"",H918=""),"; Dept has not set a cost centre","")&amp;IF(AND($C918&lt;&gt;"",J918=""),"; Dept has not set a tax code","")&amp;IF(AND($C918&lt;&gt;"",N918=""),"; Dept has not entered an expected value","")&amp;IF((IF(OR(COUNTA(S918:U918)=0,AND(COUNTA(S918:U918)=3,ISNUMBER(U918))),0,1)+IF(OR(COUNTA(V918:X918)=0,AND(COUNTA(V918:X918)=3,ISNUMBER(X918))),0,1)+IF(OR(COUNTA(Y918:AA918)=0,AND(COUNTA(Y918:AA918)=3,ISNUMBER(AA918))),0,1)+IF(OR(COUNTA(AB918:AD918)=0,AND(COUNTA(AB918:AD918)=3,ISNUMBER(AD918))),0,1)+IF(OR(COUNTA(AE918:AG918)=0,AND(COUNTA(AE918:AG918)=3,ISNUMBER(AG918))),0,1)+IF(OR(COUNTA(AH918:AJ918)=0,AND(COUNTA(AH918:AJ918)=3,ISNUMBER(AJ918))),0,1)+IF(OR(COUNTA(AK918:AM918)=0,AND(COUNTA(AK918:AM918)=3,ISNUMBER(AM918))),0,1)+IF(OR(COUNTA(AN918:AP918)=0,AND(COUNTA(AN918:AP918)=3,ISNUMBER(AP918))),0,1)+IF(OR(COUNTA(AQ918:AS918)=0,AND(COUNTA(AQ918:AS918)=3,ISNUMBER(AS918))),0,1)+IF(OR(COUNTA(AT918:AV918)=0,AND(COUNTA(AT918:AV918)=3,ISNUMBER(AV918))),0,1)+IF(OR(COUNTA(AW918:AY918)=0,AND(COUNTA(AW918:AY918)=3,ISNUMBER(AY918))),0,1)+IF(OR(COUNTA(AZ918:BB918)=0,AND(COUNTA(AZ918:BB918)=3,ISNUMBER(BB918))),0,1))&gt;0,"; An invoice is incomplete (needs No, Date and a number in Ex GST)","")&amp;IF((IF(T918="",0,IFERROR(--(EOMONTH(T918,0)&lt;&gt;S$5),1))+IF(W918="",0,IFERROR(--(EOMONTH(W918,0)&lt;&gt;V$5),1))+IF(Z918="",0,IFERROR(--(EOMONTH(Z918,0)&lt;&gt;Y$5),1))+IF(AC918="",0,IFERROR(--(EOMONTH(AC918,0)&lt;&gt;AB$5),1))+IF(AF918="",0,IFERROR(--(EOMONTH(AF918,0)&lt;&gt;AE$5),1))+IF(AI918="",0,IFERROR(--(EOMONTH(AI918,0)&lt;&gt;AH$5),1))+IF(AL918="",0,IFERROR(--(EOMONTH(AL918,0)&lt;&gt;AK$5),1))+IF(AO918="",0,IFERROR(--(EOMONTH(AO918,0)&lt;&gt;AN$5),1))+IF(AR918="",0,IFERROR(--(EOMONTH(AR918,0)&lt;&gt;AQ$5),1))+IF(AU918="",0,IFERROR(--(EOMONTH(AU918,0)&lt;&gt;AT$5),1))+IF(AX918="",0,IFERROR(--(EOMONTH(AX918,0)&lt;&gt;AW$5),1))+IF(BA918="",0,IFERROR(--(EOMONTH(BA918,0)&lt;&gt;AZ$5),1)))&gt;0,"; An invoice date is not in the month it is typed under",""),3,500))</f>
        <v/>
      </c>
      <c r="S918" s="12" t="n"/>
      <c r="T918" s="13" t="n"/>
      <c r="U918" s="14" t="n"/>
      <c r="V918" s="12" t="n"/>
      <c r="W918" s="13" t="n"/>
      <c r="X918" s="14" t="n"/>
      <c r="Y918" s="12" t="n"/>
      <c r="Z918" s="13" t="n"/>
      <c r="AA918" s="14" t="n"/>
      <c r="AB918" s="12" t="n"/>
      <c r="AC918" s="13" t="n"/>
      <c r="AD918" s="14" t="n"/>
      <c r="AE918" s="12" t="n"/>
      <c r="AF918" s="13" t="n"/>
      <c r="AG918" s="14" t="n"/>
      <c r="AH918" s="12" t="n"/>
      <c r="AI918" s="13" t="n"/>
      <c r="AJ918" s="14" t="n"/>
      <c r="AK918" s="12" t="n"/>
      <c r="AL918" s="13" t="n"/>
      <c r="AM918" s="14" t="n"/>
      <c r="AN918" s="12" t="n"/>
      <c r="AO918" s="13" t="n"/>
      <c r="AP918" s="14" t="n"/>
      <c r="AQ918" s="12" t="n"/>
      <c r="AR918" s="13" t="n"/>
      <c r="AS918" s="14" t="n"/>
      <c r="AT918" s="12" t="n"/>
      <c r="AU918" s="13" t="n"/>
      <c r="AV918" s="14" t="n"/>
      <c r="AW918" s="12" t="n"/>
      <c r="AX918" s="13" t="n"/>
      <c r="AY918" s="14" t="n"/>
      <c r="AZ918" s="12" t="n"/>
      <c r="BA918" s="13" t="n"/>
      <c r="BB918" s="14" t="n"/>
      <c r="BC918" s="11">
        <f>IF(O918="","",IF(J918="GST 10%",ROUND(O918*set_GSTRate,2),0))</f>
        <v/>
      </c>
      <c r="BD918" s="11">
        <f>IF(O918="","",O918+BC918)</f>
        <v/>
      </c>
      <c r="BE918" s="15">
        <f>IF(O918="","",COUNTA(S918,V918,Y918,AB918,AE918,AH918,AK918,AN918,AQ918,AT918,AW918,AZ918))</f>
        <v/>
      </c>
      <c r="BF918" s="16">
        <f>IF(COUNT(T918,W918,Z918,AC918,AF918,AI918,AL918,AO918,AR918,AU918,AX918,BA918)=0,"",MAX(T918,W918,Z918,AC918,AF918,AI918,AL918,AO918,AR918,AU918,AX918,BA918))</f>
        <v/>
      </c>
      <c r="BG918" s="10">
        <f>MID(IF(S918="","",", "&amp;S918)&amp;IF(V918="","",", "&amp;V918)&amp;IF(Y918="","",", "&amp;Y918)&amp;IF(AB918="","",", "&amp;AB918)&amp;IF(AE918="","",", "&amp;AE918)&amp;IF(AH918="","",", "&amp;AH918)&amp;IF(AK918="","",", "&amp;AK918)&amp;IF(AN918="","",", "&amp;AN918)&amp;IF(AQ918="","",", "&amp;AQ918)&amp;IF(AT918="","",", "&amp;AT918)&amp;IF(AW918="","",", "&amp;AW918)&amp;IF(AZ918="","",", "&amp;AZ918),3,500)</f>
        <v/>
      </c>
      <c r="BH918" s="12" t="n"/>
      <c r="BI918" s="15">
        <f>IFERROR(MATCH($A918,IF($B918="Onsite",tbl_Onsite[Row ID],IF($B918="Production",tbl_Production[Row ID],tbl_Consulting[Row ID])),0),"")</f>
        <v/>
      </c>
    </row>
    <row r="919">
      <c r="A919" s="10" t="inlineStr">
        <is>
          <t>PRD-0413</t>
        </is>
      </c>
      <c r="B919" s="10" t="inlineStr">
        <is>
          <t>Production</t>
        </is>
      </c>
      <c r="C919" s="10">
        <f>IF($BI919="","",IF($B919="Onsite",INDEX(tbl_Onsite[Job Number],$BI919),IF($B919="Production",INDEX(tbl_Production[Job Number],$BI919),INDEX(tbl_Consulting[Job Number],$BI919)))&amp;"")</f>
        <v/>
      </c>
      <c r="D919" s="10">
        <f>IF($BI919="","",IF($B919="Onsite",INDEX(tbl_Onsite[Client],$BI919),IF($B919="Production",INDEX(tbl_Production[Client],$BI919),INDEX(tbl_Consulting[Client],$BI919)))&amp;"")</f>
        <v/>
      </c>
      <c r="E919" s="10">
        <f>IF($C919="","",IF(COUNTIF(lst_Jobs,$C919)&gt;0,"OK","CHECK"))</f>
        <v/>
      </c>
      <c r="F919" s="10">
        <f>IF($C919="","",IFERROR(INDEX(lst_JobName,MATCH($C919,lst_Jobs,0)),""))</f>
        <v/>
      </c>
      <c r="G919" s="10">
        <f>IF($BI919="","",IF($B919="Onsite",INDEX(tbl_Onsite[Job Description],$BI919),IF($B919="Production",INDEX(tbl_Production[Job Description],$BI919),INDEX(tbl_Consulting[Job Description],$BI919)))&amp;"")</f>
        <v/>
      </c>
      <c r="H919" s="10">
        <f>IF($BI919="","",IF($B919="Onsite",INDEX(tbl_Onsite[Cost Centre],$BI919),IF($B919="Production",INDEX(tbl_Production[Cost Centre],$BI919),INDEX(tbl_Consulting[Cost Centre],$BI919)))&amp;"")</f>
        <v/>
      </c>
      <c r="I919" s="10">
        <f>IF($BI919="","",IF($B919="Onsite",INDEX(tbl_Onsite[Invoice Type],$BI919),IF($B919="Production",INDEX(tbl_Production[Invoice Type],$BI919),INDEX(tbl_Consulting[Invoice Type],$BI919)))&amp;"")</f>
        <v/>
      </c>
      <c r="J919" s="10">
        <f>IF($BI919="","",IF($B919="Onsite",INDEX(tbl_Onsite[Tax Code],$BI919),IF($B919="Production",INDEX(tbl_Production[Tax Code],$BI919),INDEX(tbl_Consulting[Tax Code],$BI919)))&amp;"")</f>
        <v/>
      </c>
      <c r="K919" s="10">
        <f>IF(H919="","",IFERROR(INDEX(lst_CCtoGL,MATCH(H919,lst_CCforGL,0)),""))</f>
        <v/>
      </c>
      <c r="L919" s="10">
        <f>IF($BI919="","",IF($B919="Onsite",INDEX(tbl_Onsite[PO / Reference],$BI919),IF($B919="Production",INDEX(tbl_Production[Current RMS No],$BI919),INDEX(tbl_Consulting[Qwilr Quote],$BI919)))&amp;"")</f>
        <v/>
      </c>
      <c r="M919" s="10">
        <f>IF($BI919="","",IF($B919="Onsite",INDEX(tbl_Onsite[Notes],$BI919),IF($B919="Production",INDEX(tbl_Production[Notes],$BI919),INDEX(tbl_Consulting[Notes],$BI919)))&amp;"")</f>
        <v/>
      </c>
      <c r="N919" s="11">
        <f>IF($BI919="","",IF(IF($B919="Onsite",INDEX(tbl_Onsite[Expected Revenue Ex GST],$BI919),IF($B919="Production",INDEX(tbl_Production[Expected Revenue Ex GST],$BI919),INDEX(tbl_Consulting[Expected Revenue Ex GST],$BI919)))="","",IF($B919="Onsite",INDEX(tbl_Onsite[Expected Revenue Ex GST],$BI919),IF($B919="Production",INDEX(tbl_Production[Expected Revenue Ex GST],$BI919),INDEX(tbl_Consulting[Expected Revenue Ex GST],$BI919)))))</f>
        <v/>
      </c>
      <c r="O919" s="11">
        <f>IF(AND($C919="",NOT(COUNTA($S919:$BB919)&gt;0)),"",SUM(U919,X919,AA919,AD919,AG919,AJ919,AM919,AP919,AS919,AV919,AY919,BB919))</f>
        <v/>
      </c>
      <c r="P919" s="11">
        <f>IF(O919="","",N(N919)-O919)</f>
        <v/>
      </c>
      <c r="Q919" s="10">
        <f>IF(O919="","",IF($C919="","Invoice on empty job row",IF(N919="",IF(ROUND(O919,2)=0,"No dept value","Invoiced - no dept value"),IF(ROUND(O919,2)=0,"Not invoiced - to invoice",IF(ROUND(P919,2)=0,"Agrees",IF(P919&gt;0,"Dept higher - to invoice","Xero higher - check dept"))))))</f>
        <v/>
      </c>
      <c r="R919" s="10">
        <f>IF(AND($C919="",NOT(COUNTA($S919:$BB919)&gt;0),$BI919&lt;&gt;""),"",MID(IF($BI919="","; Row ID not found on the department sheet - a row was deleted","")&amp;IF(AND($C919="",COUNTA($S919:$BB919)&gt;0),"; Invoice entered but the department row has no job number","")&amp;IF(E919="CHECK","; Job number not in the Xero job list","")&amp;IF(AND($C919&lt;&gt;"",COUNTIF($C$7:$C$1506,$C919)&gt;1),"; Job number on more than one row","")&amp;IF(AND($C919&lt;&gt;"",H919=""),"; Dept has not set a cost centre","")&amp;IF(AND($C919&lt;&gt;"",J919=""),"; Dept has not set a tax code","")&amp;IF(AND($C919&lt;&gt;"",N919=""),"; Dept has not entered an expected value","")&amp;IF((IF(OR(COUNTA(S919:U919)=0,AND(COUNTA(S919:U919)=3,ISNUMBER(U919))),0,1)+IF(OR(COUNTA(V919:X919)=0,AND(COUNTA(V919:X919)=3,ISNUMBER(X919))),0,1)+IF(OR(COUNTA(Y919:AA919)=0,AND(COUNTA(Y919:AA919)=3,ISNUMBER(AA919))),0,1)+IF(OR(COUNTA(AB919:AD919)=0,AND(COUNTA(AB919:AD919)=3,ISNUMBER(AD919))),0,1)+IF(OR(COUNTA(AE919:AG919)=0,AND(COUNTA(AE919:AG919)=3,ISNUMBER(AG919))),0,1)+IF(OR(COUNTA(AH919:AJ919)=0,AND(COUNTA(AH919:AJ919)=3,ISNUMBER(AJ919))),0,1)+IF(OR(COUNTA(AK919:AM919)=0,AND(COUNTA(AK919:AM919)=3,ISNUMBER(AM919))),0,1)+IF(OR(COUNTA(AN919:AP919)=0,AND(COUNTA(AN919:AP919)=3,ISNUMBER(AP919))),0,1)+IF(OR(COUNTA(AQ919:AS919)=0,AND(COUNTA(AQ919:AS919)=3,ISNUMBER(AS919))),0,1)+IF(OR(COUNTA(AT919:AV919)=0,AND(COUNTA(AT919:AV919)=3,ISNUMBER(AV919))),0,1)+IF(OR(COUNTA(AW919:AY919)=0,AND(COUNTA(AW919:AY919)=3,ISNUMBER(AY919))),0,1)+IF(OR(COUNTA(AZ919:BB919)=0,AND(COUNTA(AZ919:BB919)=3,ISNUMBER(BB919))),0,1))&gt;0,"; An invoice is incomplete (needs No, Date and a number in Ex GST)","")&amp;IF((IF(T919="",0,IFERROR(--(EOMONTH(T919,0)&lt;&gt;S$5),1))+IF(W919="",0,IFERROR(--(EOMONTH(W919,0)&lt;&gt;V$5),1))+IF(Z919="",0,IFERROR(--(EOMONTH(Z919,0)&lt;&gt;Y$5),1))+IF(AC919="",0,IFERROR(--(EOMONTH(AC919,0)&lt;&gt;AB$5),1))+IF(AF919="",0,IFERROR(--(EOMONTH(AF919,0)&lt;&gt;AE$5),1))+IF(AI919="",0,IFERROR(--(EOMONTH(AI919,0)&lt;&gt;AH$5),1))+IF(AL919="",0,IFERROR(--(EOMONTH(AL919,0)&lt;&gt;AK$5),1))+IF(AO919="",0,IFERROR(--(EOMONTH(AO919,0)&lt;&gt;AN$5),1))+IF(AR919="",0,IFERROR(--(EOMONTH(AR919,0)&lt;&gt;AQ$5),1))+IF(AU919="",0,IFERROR(--(EOMONTH(AU919,0)&lt;&gt;AT$5),1))+IF(AX919="",0,IFERROR(--(EOMONTH(AX919,0)&lt;&gt;AW$5),1))+IF(BA919="",0,IFERROR(--(EOMONTH(BA919,0)&lt;&gt;AZ$5),1)))&gt;0,"; An invoice date is not in the month it is typed under",""),3,500))</f>
        <v/>
      </c>
      <c r="S919" s="12" t="n"/>
      <c r="T919" s="13" t="n"/>
      <c r="U919" s="14" t="n"/>
      <c r="V919" s="12" t="n"/>
      <c r="W919" s="13" t="n"/>
      <c r="X919" s="14" t="n"/>
      <c r="Y919" s="12" t="n"/>
      <c r="Z919" s="13" t="n"/>
      <c r="AA919" s="14" t="n"/>
      <c r="AB919" s="12" t="n"/>
      <c r="AC919" s="13" t="n"/>
      <c r="AD919" s="14" t="n"/>
      <c r="AE919" s="12" t="n"/>
      <c r="AF919" s="13" t="n"/>
      <c r="AG919" s="14" t="n"/>
      <c r="AH919" s="12" t="n"/>
      <c r="AI919" s="13" t="n"/>
      <c r="AJ919" s="14" t="n"/>
      <c r="AK919" s="12" t="n"/>
      <c r="AL919" s="13" t="n"/>
      <c r="AM919" s="14" t="n"/>
      <c r="AN919" s="12" t="n"/>
      <c r="AO919" s="13" t="n"/>
      <c r="AP919" s="14" t="n"/>
      <c r="AQ919" s="12" t="n"/>
      <c r="AR919" s="13" t="n"/>
      <c r="AS919" s="14" t="n"/>
      <c r="AT919" s="12" t="n"/>
      <c r="AU919" s="13" t="n"/>
      <c r="AV919" s="14" t="n"/>
      <c r="AW919" s="12" t="n"/>
      <c r="AX919" s="13" t="n"/>
      <c r="AY919" s="14" t="n"/>
      <c r="AZ919" s="12" t="n"/>
      <c r="BA919" s="13" t="n"/>
      <c r="BB919" s="14" t="n"/>
      <c r="BC919" s="11">
        <f>IF(O919="","",IF(J919="GST 10%",ROUND(O919*set_GSTRate,2),0))</f>
        <v/>
      </c>
      <c r="BD919" s="11">
        <f>IF(O919="","",O919+BC919)</f>
        <v/>
      </c>
      <c r="BE919" s="15">
        <f>IF(O919="","",COUNTA(S919,V919,Y919,AB919,AE919,AH919,AK919,AN919,AQ919,AT919,AW919,AZ919))</f>
        <v/>
      </c>
      <c r="BF919" s="16">
        <f>IF(COUNT(T919,W919,Z919,AC919,AF919,AI919,AL919,AO919,AR919,AU919,AX919,BA919)=0,"",MAX(T919,W919,Z919,AC919,AF919,AI919,AL919,AO919,AR919,AU919,AX919,BA919))</f>
        <v/>
      </c>
      <c r="BG919" s="10">
        <f>MID(IF(S919="","",", "&amp;S919)&amp;IF(V919="","",", "&amp;V919)&amp;IF(Y919="","",", "&amp;Y919)&amp;IF(AB919="","",", "&amp;AB919)&amp;IF(AE919="","",", "&amp;AE919)&amp;IF(AH919="","",", "&amp;AH919)&amp;IF(AK919="","",", "&amp;AK919)&amp;IF(AN919="","",", "&amp;AN919)&amp;IF(AQ919="","",", "&amp;AQ919)&amp;IF(AT919="","",", "&amp;AT919)&amp;IF(AW919="","",", "&amp;AW919)&amp;IF(AZ919="","",", "&amp;AZ919),3,500)</f>
        <v/>
      </c>
      <c r="BH919" s="12" t="n"/>
      <c r="BI919" s="15">
        <f>IFERROR(MATCH($A919,IF($B919="Onsite",tbl_Onsite[Row ID],IF($B919="Production",tbl_Production[Row ID],tbl_Consulting[Row ID])),0),"")</f>
        <v/>
      </c>
    </row>
    <row r="920">
      <c r="A920" s="10" t="inlineStr">
        <is>
          <t>PRD-0414</t>
        </is>
      </c>
      <c r="B920" s="10" t="inlineStr">
        <is>
          <t>Production</t>
        </is>
      </c>
      <c r="C920" s="10">
        <f>IF($BI920="","",IF($B920="Onsite",INDEX(tbl_Onsite[Job Number],$BI920),IF($B920="Production",INDEX(tbl_Production[Job Number],$BI920),INDEX(tbl_Consulting[Job Number],$BI920)))&amp;"")</f>
        <v/>
      </c>
      <c r="D920" s="10">
        <f>IF($BI920="","",IF($B920="Onsite",INDEX(tbl_Onsite[Client],$BI920),IF($B920="Production",INDEX(tbl_Production[Client],$BI920),INDEX(tbl_Consulting[Client],$BI920)))&amp;"")</f>
        <v/>
      </c>
      <c r="E920" s="10">
        <f>IF($C920="","",IF(COUNTIF(lst_Jobs,$C920)&gt;0,"OK","CHECK"))</f>
        <v/>
      </c>
      <c r="F920" s="10">
        <f>IF($C920="","",IFERROR(INDEX(lst_JobName,MATCH($C920,lst_Jobs,0)),""))</f>
        <v/>
      </c>
      <c r="G920" s="10">
        <f>IF($BI920="","",IF($B920="Onsite",INDEX(tbl_Onsite[Job Description],$BI920),IF($B920="Production",INDEX(tbl_Production[Job Description],$BI920),INDEX(tbl_Consulting[Job Description],$BI920)))&amp;"")</f>
        <v/>
      </c>
      <c r="H920" s="10">
        <f>IF($BI920="","",IF($B920="Onsite",INDEX(tbl_Onsite[Cost Centre],$BI920),IF($B920="Production",INDEX(tbl_Production[Cost Centre],$BI920),INDEX(tbl_Consulting[Cost Centre],$BI920)))&amp;"")</f>
        <v/>
      </c>
      <c r="I920" s="10">
        <f>IF($BI920="","",IF($B920="Onsite",INDEX(tbl_Onsite[Invoice Type],$BI920),IF($B920="Production",INDEX(tbl_Production[Invoice Type],$BI920),INDEX(tbl_Consulting[Invoice Type],$BI920)))&amp;"")</f>
        <v/>
      </c>
      <c r="J920" s="10">
        <f>IF($BI920="","",IF($B920="Onsite",INDEX(tbl_Onsite[Tax Code],$BI920),IF($B920="Production",INDEX(tbl_Production[Tax Code],$BI920),INDEX(tbl_Consulting[Tax Code],$BI920)))&amp;"")</f>
        <v/>
      </c>
      <c r="K920" s="10">
        <f>IF(H920="","",IFERROR(INDEX(lst_CCtoGL,MATCH(H920,lst_CCforGL,0)),""))</f>
        <v/>
      </c>
      <c r="L920" s="10">
        <f>IF($BI920="","",IF($B920="Onsite",INDEX(tbl_Onsite[PO / Reference],$BI920),IF($B920="Production",INDEX(tbl_Production[Current RMS No],$BI920),INDEX(tbl_Consulting[Qwilr Quote],$BI920)))&amp;"")</f>
        <v/>
      </c>
      <c r="M920" s="10">
        <f>IF($BI920="","",IF($B920="Onsite",INDEX(tbl_Onsite[Notes],$BI920),IF($B920="Production",INDEX(tbl_Production[Notes],$BI920),INDEX(tbl_Consulting[Notes],$BI920)))&amp;"")</f>
        <v/>
      </c>
      <c r="N920" s="11">
        <f>IF($BI920="","",IF(IF($B920="Onsite",INDEX(tbl_Onsite[Expected Revenue Ex GST],$BI920),IF($B920="Production",INDEX(tbl_Production[Expected Revenue Ex GST],$BI920),INDEX(tbl_Consulting[Expected Revenue Ex GST],$BI920)))="","",IF($B920="Onsite",INDEX(tbl_Onsite[Expected Revenue Ex GST],$BI920),IF($B920="Production",INDEX(tbl_Production[Expected Revenue Ex GST],$BI920),INDEX(tbl_Consulting[Expected Revenue Ex GST],$BI920)))))</f>
        <v/>
      </c>
      <c r="O920" s="11">
        <f>IF(AND($C920="",NOT(COUNTA($S920:$BB920)&gt;0)),"",SUM(U920,X920,AA920,AD920,AG920,AJ920,AM920,AP920,AS920,AV920,AY920,BB920))</f>
        <v/>
      </c>
      <c r="P920" s="11">
        <f>IF(O920="","",N(N920)-O920)</f>
        <v/>
      </c>
      <c r="Q920" s="10">
        <f>IF(O920="","",IF($C920="","Invoice on empty job row",IF(N920="",IF(ROUND(O920,2)=0,"No dept value","Invoiced - no dept value"),IF(ROUND(O920,2)=0,"Not invoiced - to invoice",IF(ROUND(P920,2)=0,"Agrees",IF(P920&gt;0,"Dept higher - to invoice","Xero higher - check dept"))))))</f>
        <v/>
      </c>
      <c r="R920" s="10">
        <f>IF(AND($C920="",NOT(COUNTA($S920:$BB920)&gt;0),$BI920&lt;&gt;""),"",MID(IF($BI920="","; Row ID not found on the department sheet - a row was deleted","")&amp;IF(AND($C920="",COUNTA($S920:$BB920)&gt;0),"; Invoice entered but the department row has no job number","")&amp;IF(E920="CHECK","; Job number not in the Xero job list","")&amp;IF(AND($C920&lt;&gt;"",COUNTIF($C$7:$C$1506,$C920)&gt;1),"; Job number on more than one row","")&amp;IF(AND($C920&lt;&gt;"",H920=""),"; Dept has not set a cost centre","")&amp;IF(AND($C920&lt;&gt;"",J920=""),"; Dept has not set a tax code","")&amp;IF(AND($C920&lt;&gt;"",N920=""),"; Dept has not entered an expected value","")&amp;IF((IF(OR(COUNTA(S920:U920)=0,AND(COUNTA(S920:U920)=3,ISNUMBER(U920))),0,1)+IF(OR(COUNTA(V920:X920)=0,AND(COUNTA(V920:X920)=3,ISNUMBER(X920))),0,1)+IF(OR(COUNTA(Y920:AA920)=0,AND(COUNTA(Y920:AA920)=3,ISNUMBER(AA920))),0,1)+IF(OR(COUNTA(AB920:AD920)=0,AND(COUNTA(AB920:AD920)=3,ISNUMBER(AD920))),0,1)+IF(OR(COUNTA(AE920:AG920)=0,AND(COUNTA(AE920:AG920)=3,ISNUMBER(AG920))),0,1)+IF(OR(COUNTA(AH920:AJ920)=0,AND(COUNTA(AH920:AJ920)=3,ISNUMBER(AJ920))),0,1)+IF(OR(COUNTA(AK920:AM920)=0,AND(COUNTA(AK920:AM920)=3,ISNUMBER(AM920))),0,1)+IF(OR(COUNTA(AN920:AP920)=0,AND(COUNTA(AN920:AP920)=3,ISNUMBER(AP920))),0,1)+IF(OR(COUNTA(AQ920:AS920)=0,AND(COUNTA(AQ920:AS920)=3,ISNUMBER(AS920))),0,1)+IF(OR(COUNTA(AT920:AV920)=0,AND(COUNTA(AT920:AV920)=3,ISNUMBER(AV920))),0,1)+IF(OR(COUNTA(AW920:AY920)=0,AND(COUNTA(AW920:AY920)=3,ISNUMBER(AY920))),0,1)+IF(OR(COUNTA(AZ920:BB920)=0,AND(COUNTA(AZ920:BB920)=3,ISNUMBER(BB920))),0,1))&gt;0,"; An invoice is incomplete (needs No, Date and a number in Ex GST)","")&amp;IF((IF(T920="",0,IFERROR(--(EOMONTH(T920,0)&lt;&gt;S$5),1))+IF(W920="",0,IFERROR(--(EOMONTH(W920,0)&lt;&gt;V$5),1))+IF(Z920="",0,IFERROR(--(EOMONTH(Z920,0)&lt;&gt;Y$5),1))+IF(AC920="",0,IFERROR(--(EOMONTH(AC920,0)&lt;&gt;AB$5),1))+IF(AF920="",0,IFERROR(--(EOMONTH(AF920,0)&lt;&gt;AE$5),1))+IF(AI920="",0,IFERROR(--(EOMONTH(AI920,0)&lt;&gt;AH$5),1))+IF(AL920="",0,IFERROR(--(EOMONTH(AL920,0)&lt;&gt;AK$5),1))+IF(AO920="",0,IFERROR(--(EOMONTH(AO920,0)&lt;&gt;AN$5),1))+IF(AR920="",0,IFERROR(--(EOMONTH(AR920,0)&lt;&gt;AQ$5),1))+IF(AU920="",0,IFERROR(--(EOMONTH(AU920,0)&lt;&gt;AT$5),1))+IF(AX920="",0,IFERROR(--(EOMONTH(AX920,0)&lt;&gt;AW$5),1))+IF(BA920="",0,IFERROR(--(EOMONTH(BA920,0)&lt;&gt;AZ$5),1)))&gt;0,"; An invoice date is not in the month it is typed under",""),3,500))</f>
        <v/>
      </c>
      <c r="S920" s="12" t="n"/>
      <c r="T920" s="13" t="n"/>
      <c r="U920" s="14" t="n"/>
      <c r="V920" s="12" t="n"/>
      <c r="W920" s="13" t="n"/>
      <c r="X920" s="14" t="n"/>
      <c r="Y920" s="12" t="n"/>
      <c r="Z920" s="13" t="n"/>
      <c r="AA920" s="14" t="n"/>
      <c r="AB920" s="12" t="n"/>
      <c r="AC920" s="13" t="n"/>
      <c r="AD920" s="14" t="n"/>
      <c r="AE920" s="12" t="n"/>
      <c r="AF920" s="13" t="n"/>
      <c r="AG920" s="14" t="n"/>
      <c r="AH920" s="12" t="n"/>
      <c r="AI920" s="13" t="n"/>
      <c r="AJ920" s="14" t="n"/>
      <c r="AK920" s="12" t="n"/>
      <c r="AL920" s="13" t="n"/>
      <c r="AM920" s="14" t="n"/>
      <c r="AN920" s="12" t="n"/>
      <c r="AO920" s="13" t="n"/>
      <c r="AP920" s="14" t="n"/>
      <c r="AQ920" s="12" t="n"/>
      <c r="AR920" s="13" t="n"/>
      <c r="AS920" s="14" t="n"/>
      <c r="AT920" s="12" t="n"/>
      <c r="AU920" s="13" t="n"/>
      <c r="AV920" s="14" t="n"/>
      <c r="AW920" s="12" t="n"/>
      <c r="AX920" s="13" t="n"/>
      <c r="AY920" s="14" t="n"/>
      <c r="AZ920" s="12" t="n"/>
      <c r="BA920" s="13" t="n"/>
      <c r="BB920" s="14" t="n"/>
      <c r="BC920" s="11">
        <f>IF(O920="","",IF(J920="GST 10%",ROUND(O920*set_GSTRate,2),0))</f>
        <v/>
      </c>
      <c r="BD920" s="11">
        <f>IF(O920="","",O920+BC920)</f>
        <v/>
      </c>
      <c r="BE920" s="15">
        <f>IF(O920="","",COUNTA(S920,V920,Y920,AB920,AE920,AH920,AK920,AN920,AQ920,AT920,AW920,AZ920))</f>
        <v/>
      </c>
      <c r="BF920" s="16">
        <f>IF(COUNT(T920,W920,Z920,AC920,AF920,AI920,AL920,AO920,AR920,AU920,AX920,BA920)=0,"",MAX(T920,W920,Z920,AC920,AF920,AI920,AL920,AO920,AR920,AU920,AX920,BA920))</f>
        <v/>
      </c>
      <c r="BG920" s="10">
        <f>MID(IF(S920="","",", "&amp;S920)&amp;IF(V920="","",", "&amp;V920)&amp;IF(Y920="","",", "&amp;Y920)&amp;IF(AB920="","",", "&amp;AB920)&amp;IF(AE920="","",", "&amp;AE920)&amp;IF(AH920="","",", "&amp;AH920)&amp;IF(AK920="","",", "&amp;AK920)&amp;IF(AN920="","",", "&amp;AN920)&amp;IF(AQ920="","",", "&amp;AQ920)&amp;IF(AT920="","",", "&amp;AT920)&amp;IF(AW920="","",", "&amp;AW920)&amp;IF(AZ920="","",", "&amp;AZ920),3,500)</f>
        <v/>
      </c>
      <c r="BH920" s="12" t="n"/>
      <c r="BI920" s="15">
        <f>IFERROR(MATCH($A920,IF($B920="Onsite",tbl_Onsite[Row ID],IF($B920="Production",tbl_Production[Row ID],tbl_Consulting[Row ID])),0),"")</f>
        <v/>
      </c>
    </row>
    <row r="921">
      <c r="A921" s="10" t="inlineStr">
        <is>
          <t>PRD-0415</t>
        </is>
      </c>
      <c r="B921" s="10" t="inlineStr">
        <is>
          <t>Production</t>
        </is>
      </c>
      <c r="C921" s="10">
        <f>IF($BI921="","",IF($B921="Onsite",INDEX(tbl_Onsite[Job Number],$BI921),IF($B921="Production",INDEX(tbl_Production[Job Number],$BI921),INDEX(tbl_Consulting[Job Number],$BI921)))&amp;"")</f>
        <v/>
      </c>
      <c r="D921" s="10">
        <f>IF($BI921="","",IF($B921="Onsite",INDEX(tbl_Onsite[Client],$BI921),IF($B921="Production",INDEX(tbl_Production[Client],$BI921),INDEX(tbl_Consulting[Client],$BI921)))&amp;"")</f>
        <v/>
      </c>
      <c r="E921" s="10">
        <f>IF($C921="","",IF(COUNTIF(lst_Jobs,$C921)&gt;0,"OK","CHECK"))</f>
        <v/>
      </c>
      <c r="F921" s="10">
        <f>IF($C921="","",IFERROR(INDEX(lst_JobName,MATCH($C921,lst_Jobs,0)),""))</f>
        <v/>
      </c>
      <c r="G921" s="10">
        <f>IF($BI921="","",IF($B921="Onsite",INDEX(tbl_Onsite[Job Description],$BI921),IF($B921="Production",INDEX(tbl_Production[Job Description],$BI921),INDEX(tbl_Consulting[Job Description],$BI921)))&amp;"")</f>
        <v/>
      </c>
      <c r="H921" s="10">
        <f>IF($BI921="","",IF($B921="Onsite",INDEX(tbl_Onsite[Cost Centre],$BI921),IF($B921="Production",INDEX(tbl_Production[Cost Centre],$BI921),INDEX(tbl_Consulting[Cost Centre],$BI921)))&amp;"")</f>
        <v/>
      </c>
      <c r="I921" s="10">
        <f>IF($BI921="","",IF($B921="Onsite",INDEX(tbl_Onsite[Invoice Type],$BI921),IF($B921="Production",INDEX(tbl_Production[Invoice Type],$BI921),INDEX(tbl_Consulting[Invoice Type],$BI921)))&amp;"")</f>
        <v/>
      </c>
      <c r="J921" s="10">
        <f>IF($BI921="","",IF($B921="Onsite",INDEX(tbl_Onsite[Tax Code],$BI921),IF($B921="Production",INDEX(tbl_Production[Tax Code],$BI921),INDEX(tbl_Consulting[Tax Code],$BI921)))&amp;"")</f>
        <v/>
      </c>
      <c r="K921" s="10">
        <f>IF(H921="","",IFERROR(INDEX(lst_CCtoGL,MATCH(H921,lst_CCforGL,0)),""))</f>
        <v/>
      </c>
      <c r="L921" s="10">
        <f>IF($BI921="","",IF($B921="Onsite",INDEX(tbl_Onsite[PO / Reference],$BI921),IF($B921="Production",INDEX(tbl_Production[Current RMS No],$BI921),INDEX(tbl_Consulting[Qwilr Quote],$BI921)))&amp;"")</f>
        <v/>
      </c>
      <c r="M921" s="10">
        <f>IF($BI921="","",IF($B921="Onsite",INDEX(tbl_Onsite[Notes],$BI921),IF($B921="Production",INDEX(tbl_Production[Notes],$BI921),INDEX(tbl_Consulting[Notes],$BI921)))&amp;"")</f>
        <v/>
      </c>
      <c r="N921" s="11">
        <f>IF($BI921="","",IF(IF($B921="Onsite",INDEX(tbl_Onsite[Expected Revenue Ex GST],$BI921),IF($B921="Production",INDEX(tbl_Production[Expected Revenue Ex GST],$BI921),INDEX(tbl_Consulting[Expected Revenue Ex GST],$BI921)))="","",IF($B921="Onsite",INDEX(tbl_Onsite[Expected Revenue Ex GST],$BI921),IF($B921="Production",INDEX(tbl_Production[Expected Revenue Ex GST],$BI921),INDEX(tbl_Consulting[Expected Revenue Ex GST],$BI921)))))</f>
        <v/>
      </c>
      <c r="O921" s="11">
        <f>IF(AND($C921="",NOT(COUNTA($S921:$BB921)&gt;0)),"",SUM(U921,X921,AA921,AD921,AG921,AJ921,AM921,AP921,AS921,AV921,AY921,BB921))</f>
        <v/>
      </c>
      <c r="P921" s="11">
        <f>IF(O921="","",N(N921)-O921)</f>
        <v/>
      </c>
      <c r="Q921" s="10">
        <f>IF(O921="","",IF($C921="","Invoice on empty job row",IF(N921="",IF(ROUND(O921,2)=0,"No dept value","Invoiced - no dept value"),IF(ROUND(O921,2)=0,"Not invoiced - to invoice",IF(ROUND(P921,2)=0,"Agrees",IF(P921&gt;0,"Dept higher - to invoice","Xero higher - check dept"))))))</f>
        <v/>
      </c>
      <c r="R921" s="10">
        <f>IF(AND($C921="",NOT(COUNTA($S921:$BB921)&gt;0),$BI921&lt;&gt;""),"",MID(IF($BI921="","; Row ID not found on the department sheet - a row was deleted","")&amp;IF(AND($C921="",COUNTA($S921:$BB921)&gt;0),"; Invoice entered but the department row has no job number","")&amp;IF(E921="CHECK","; Job number not in the Xero job list","")&amp;IF(AND($C921&lt;&gt;"",COUNTIF($C$7:$C$1506,$C921)&gt;1),"; Job number on more than one row","")&amp;IF(AND($C921&lt;&gt;"",H921=""),"; Dept has not set a cost centre","")&amp;IF(AND($C921&lt;&gt;"",J921=""),"; Dept has not set a tax code","")&amp;IF(AND($C921&lt;&gt;"",N921=""),"; Dept has not entered an expected value","")&amp;IF((IF(OR(COUNTA(S921:U921)=0,AND(COUNTA(S921:U921)=3,ISNUMBER(U921))),0,1)+IF(OR(COUNTA(V921:X921)=0,AND(COUNTA(V921:X921)=3,ISNUMBER(X921))),0,1)+IF(OR(COUNTA(Y921:AA921)=0,AND(COUNTA(Y921:AA921)=3,ISNUMBER(AA921))),0,1)+IF(OR(COUNTA(AB921:AD921)=0,AND(COUNTA(AB921:AD921)=3,ISNUMBER(AD921))),0,1)+IF(OR(COUNTA(AE921:AG921)=0,AND(COUNTA(AE921:AG921)=3,ISNUMBER(AG921))),0,1)+IF(OR(COUNTA(AH921:AJ921)=0,AND(COUNTA(AH921:AJ921)=3,ISNUMBER(AJ921))),0,1)+IF(OR(COUNTA(AK921:AM921)=0,AND(COUNTA(AK921:AM921)=3,ISNUMBER(AM921))),0,1)+IF(OR(COUNTA(AN921:AP921)=0,AND(COUNTA(AN921:AP921)=3,ISNUMBER(AP921))),0,1)+IF(OR(COUNTA(AQ921:AS921)=0,AND(COUNTA(AQ921:AS921)=3,ISNUMBER(AS921))),0,1)+IF(OR(COUNTA(AT921:AV921)=0,AND(COUNTA(AT921:AV921)=3,ISNUMBER(AV921))),0,1)+IF(OR(COUNTA(AW921:AY921)=0,AND(COUNTA(AW921:AY921)=3,ISNUMBER(AY921))),0,1)+IF(OR(COUNTA(AZ921:BB921)=0,AND(COUNTA(AZ921:BB921)=3,ISNUMBER(BB921))),0,1))&gt;0,"; An invoice is incomplete (needs No, Date and a number in Ex GST)","")&amp;IF((IF(T921="",0,IFERROR(--(EOMONTH(T921,0)&lt;&gt;S$5),1))+IF(W921="",0,IFERROR(--(EOMONTH(W921,0)&lt;&gt;V$5),1))+IF(Z921="",0,IFERROR(--(EOMONTH(Z921,0)&lt;&gt;Y$5),1))+IF(AC921="",0,IFERROR(--(EOMONTH(AC921,0)&lt;&gt;AB$5),1))+IF(AF921="",0,IFERROR(--(EOMONTH(AF921,0)&lt;&gt;AE$5),1))+IF(AI921="",0,IFERROR(--(EOMONTH(AI921,0)&lt;&gt;AH$5),1))+IF(AL921="",0,IFERROR(--(EOMONTH(AL921,0)&lt;&gt;AK$5),1))+IF(AO921="",0,IFERROR(--(EOMONTH(AO921,0)&lt;&gt;AN$5),1))+IF(AR921="",0,IFERROR(--(EOMONTH(AR921,0)&lt;&gt;AQ$5),1))+IF(AU921="",0,IFERROR(--(EOMONTH(AU921,0)&lt;&gt;AT$5),1))+IF(AX921="",0,IFERROR(--(EOMONTH(AX921,0)&lt;&gt;AW$5),1))+IF(BA921="",0,IFERROR(--(EOMONTH(BA921,0)&lt;&gt;AZ$5),1)))&gt;0,"; An invoice date is not in the month it is typed under",""),3,500))</f>
        <v/>
      </c>
      <c r="S921" s="12" t="n"/>
      <c r="T921" s="13" t="n"/>
      <c r="U921" s="14" t="n"/>
      <c r="V921" s="12" t="n"/>
      <c r="W921" s="13" t="n"/>
      <c r="X921" s="14" t="n"/>
      <c r="Y921" s="12" t="n"/>
      <c r="Z921" s="13" t="n"/>
      <c r="AA921" s="14" t="n"/>
      <c r="AB921" s="12" t="n"/>
      <c r="AC921" s="13" t="n"/>
      <c r="AD921" s="14" t="n"/>
      <c r="AE921" s="12" t="n"/>
      <c r="AF921" s="13" t="n"/>
      <c r="AG921" s="14" t="n"/>
      <c r="AH921" s="12" t="n"/>
      <c r="AI921" s="13" t="n"/>
      <c r="AJ921" s="14" t="n"/>
      <c r="AK921" s="12" t="n"/>
      <c r="AL921" s="13" t="n"/>
      <c r="AM921" s="14" t="n"/>
      <c r="AN921" s="12" t="n"/>
      <c r="AO921" s="13" t="n"/>
      <c r="AP921" s="14" t="n"/>
      <c r="AQ921" s="12" t="n"/>
      <c r="AR921" s="13" t="n"/>
      <c r="AS921" s="14" t="n"/>
      <c r="AT921" s="12" t="n"/>
      <c r="AU921" s="13" t="n"/>
      <c r="AV921" s="14" t="n"/>
      <c r="AW921" s="12" t="n"/>
      <c r="AX921" s="13" t="n"/>
      <c r="AY921" s="14" t="n"/>
      <c r="AZ921" s="12" t="n"/>
      <c r="BA921" s="13" t="n"/>
      <c r="BB921" s="14" t="n"/>
      <c r="BC921" s="11">
        <f>IF(O921="","",IF(J921="GST 10%",ROUND(O921*set_GSTRate,2),0))</f>
        <v/>
      </c>
      <c r="BD921" s="11">
        <f>IF(O921="","",O921+BC921)</f>
        <v/>
      </c>
      <c r="BE921" s="15">
        <f>IF(O921="","",COUNTA(S921,V921,Y921,AB921,AE921,AH921,AK921,AN921,AQ921,AT921,AW921,AZ921))</f>
        <v/>
      </c>
      <c r="BF921" s="16">
        <f>IF(COUNT(T921,W921,Z921,AC921,AF921,AI921,AL921,AO921,AR921,AU921,AX921,BA921)=0,"",MAX(T921,W921,Z921,AC921,AF921,AI921,AL921,AO921,AR921,AU921,AX921,BA921))</f>
        <v/>
      </c>
      <c r="BG921" s="10">
        <f>MID(IF(S921="","",", "&amp;S921)&amp;IF(V921="","",", "&amp;V921)&amp;IF(Y921="","",", "&amp;Y921)&amp;IF(AB921="","",", "&amp;AB921)&amp;IF(AE921="","",", "&amp;AE921)&amp;IF(AH921="","",", "&amp;AH921)&amp;IF(AK921="","",", "&amp;AK921)&amp;IF(AN921="","",", "&amp;AN921)&amp;IF(AQ921="","",", "&amp;AQ921)&amp;IF(AT921="","",", "&amp;AT921)&amp;IF(AW921="","",", "&amp;AW921)&amp;IF(AZ921="","",", "&amp;AZ921),3,500)</f>
        <v/>
      </c>
      <c r="BH921" s="12" t="n"/>
      <c r="BI921" s="15">
        <f>IFERROR(MATCH($A921,IF($B921="Onsite",tbl_Onsite[Row ID],IF($B921="Production",tbl_Production[Row ID],tbl_Consulting[Row ID])),0),"")</f>
        <v/>
      </c>
    </row>
    <row r="922">
      <c r="A922" s="10" t="inlineStr">
        <is>
          <t>PRD-0416</t>
        </is>
      </c>
      <c r="B922" s="10" t="inlineStr">
        <is>
          <t>Production</t>
        </is>
      </c>
      <c r="C922" s="10">
        <f>IF($BI922="","",IF($B922="Onsite",INDEX(tbl_Onsite[Job Number],$BI922),IF($B922="Production",INDEX(tbl_Production[Job Number],$BI922),INDEX(tbl_Consulting[Job Number],$BI922)))&amp;"")</f>
        <v/>
      </c>
      <c r="D922" s="10">
        <f>IF($BI922="","",IF($B922="Onsite",INDEX(tbl_Onsite[Client],$BI922),IF($B922="Production",INDEX(tbl_Production[Client],$BI922),INDEX(tbl_Consulting[Client],$BI922)))&amp;"")</f>
        <v/>
      </c>
      <c r="E922" s="10">
        <f>IF($C922="","",IF(COUNTIF(lst_Jobs,$C922)&gt;0,"OK","CHECK"))</f>
        <v/>
      </c>
      <c r="F922" s="10">
        <f>IF($C922="","",IFERROR(INDEX(lst_JobName,MATCH($C922,lst_Jobs,0)),""))</f>
        <v/>
      </c>
      <c r="G922" s="10">
        <f>IF($BI922="","",IF($B922="Onsite",INDEX(tbl_Onsite[Job Description],$BI922),IF($B922="Production",INDEX(tbl_Production[Job Description],$BI922),INDEX(tbl_Consulting[Job Description],$BI922)))&amp;"")</f>
        <v/>
      </c>
      <c r="H922" s="10">
        <f>IF($BI922="","",IF($B922="Onsite",INDEX(tbl_Onsite[Cost Centre],$BI922),IF($B922="Production",INDEX(tbl_Production[Cost Centre],$BI922),INDEX(tbl_Consulting[Cost Centre],$BI922)))&amp;"")</f>
        <v/>
      </c>
      <c r="I922" s="10">
        <f>IF($BI922="","",IF($B922="Onsite",INDEX(tbl_Onsite[Invoice Type],$BI922),IF($B922="Production",INDEX(tbl_Production[Invoice Type],$BI922),INDEX(tbl_Consulting[Invoice Type],$BI922)))&amp;"")</f>
        <v/>
      </c>
      <c r="J922" s="10">
        <f>IF($BI922="","",IF($B922="Onsite",INDEX(tbl_Onsite[Tax Code],$BI922),IF($B922="Production",INDEX(tbl_Production[Tax Code],$BI922),INDEX(tbl_Consulting[Tax Code],$BI922)))&amp;"")</f>
        <v/>
      </c>
      <c r="K922" s="10">
        <f>IF(H922="","",IFERROR(INDEX(lst_CCtoGL,MATCH(H922,lst_CCforGL,0)),""))</f>
        <v/>
      </c>
      <c r="L922" s="10">
        <f>IF($BI922="","",IF($B922="Onsite",INDEX(tbl_Onsite[PO / Reference],$BI922),IF($B922="Production",INDEX(tbl_Production[Current RMS No],$BI922),INDEX(tbl_Consulting[Qwilr Quote],$BI922)))&amp;"")</f>
        <v/>
      </c>
      <c r="M922" s="10">
        <f>IF($BI922="","",IF($B922="Onsite",INDEX(tbl_Onsite[Notes],$BI922),IF($B922="Production",INDEX(tbl_Production[Notes],$BI922),INDEX(tbl_Consulting[Notes],$BI922)))&amp;"")</f>
        <v/>
      </c>
      <c r="N922" s="11">
        <f>IF($BI922="","",IF(IF($B922="Onsite",INDEX(tbl_Onsite[Expected Revenue Ex GST],$BI922),IF($B922="Production",INDEX(tbl_Production[Expected Revenue Ex GST],$BI922),INDEX(tbl_Consulting[Expected Revenue Ex GST],$BI922)))="","",IF($B922="Onsite",INDEX(tbl_Onsite[Expected Revenue Ex GST],$BI922),IF($B922="Production",INDEX(tbl_Production[Expected Revenue Ex GST],$BI922),INDEX(tbl_Consulting[Expected Revenue Ex GST],$BI922)))))</f>
        <v/>
      </c>
      <c r="O922" s="11">
        <f>IF(AND($C922="",NOT(COUNTA($S922:$BB922)&gt;0)),"",SUM(U922,X922,AA922,AD922,AG922,AJ922,AM922,AP922,AS922,AV922,AY922,BB922))</f>
        <v/>
      </c>
      <c r="P922" s="11">
        <f>IF(O922="","",N(N922)-O922)</f>
        <v/>
      </c>
      <c r="Q922" s="10">
        <f>IF(O922="","",IF($C922="","Invoice on empty job row",IF(N922="",IF(ROUND(O922,2)=0,"No dept value","Invoiced - no dept value"),IF(ROUND(O922,2)=0,"Not invoiced - to invoice",IF(ROUND(P922,2)=0,"Agrees",IF(P922&gt;0,"Dept higher - to invoice","Xero higher - check dept"))))))</f>
        <v/>
      </c>
      <c r="R922" s="10">
        <f>IF(AND($C922="",NOT(COUNTA($S922:$BB922)&gt;0),$BI922&lt;&gt;""),"",MID(IF($BI922="","; Row ID not found on the department sheet - a row was deleted","")&amp;IF(AND($C922="",COUNTA($S922:$BB922)&gt;0),"; Invoice entered but the department row has no job number","")&amp;IF(E922="CHECK","; Job number not in the Xero job list","")&amp;IF(AND($C922&lt;&gt;"",COUNTIF($C$7:$C$1506,$C922)&gt;1),"; Job number on more than one row","")&amp;IF(AND($C922&lt;&gt;"",H922=""),"; Dept has not set a cost centre","")&amp;IF(AND($C922&lt;&gt;"",J922=""),"; Dept has not set a tax code","")&amp;IF(AND($C922&lt;&gt;"",N922=""),"; Dept has not entered an expected value","")&amp;IF((IF(OR(COUNTA(S922:U922)=0,AND(COUNTA(S922:U922)=3,ISNUMBER(U922))),0,1)+IF(OR(COUNTA(V922:X922)=0,AND(COUNTA(V922:X922)=3,ISNUMBER(X922))),0,1)+IF(OR(COUNTA(Y922:AA922)=0,AND(COUNTA(Y922:AA922)=3,ISNUMBER(AA922))),0,1)+IF(OR(COUNTA(AB922:AD922)=0,AND(COUNTA(AB922:AD922)=3,ISNUMBER(AD922))),0,1)+IF(OR(COUNTA(AE922:AG922)=0,AND(COUNTA(AE922:AG922)=3,ISNUMBER(AG922))),0,1)+IF(OR(COUNTA(AH922:AJ922)=0,AND(COUNTA(AH922:AJ922)=3,ISNUMBER(AJ922))),0,1)+IF(OR(COUNTA(AK922:AM922)=0,AND(COUNTA(AK922:AM922)=3,ISNUMBER(AM922))),0,1)+IF(OR(COUNTA(AN922:AP922)=0,AND(COUNTA(AN922:AP922)=3,ISNUMBER(AP922))),0,1)+IF(OR(COUNTA(AQ922:AS922)=0,AND(COUNTA(AQ922:AS922)=3,ISNUMBER(AS922))),0,1)+IF(OR(COUNTA(AT922:AV922)=0,AND(COUNTA(AT922:AV922)=3,ISNUMBER(AV922))),0,1)+IF(OR(COUNTA(AW922:AY922)=0,AND(COUNTA(AW922:AY922)=3,ISNUMBER(AY922))),0,1)+IF(OR(COUNTA(AZ922:BB922)=0,AND(COUNTA(AZ922:BB922)=3,ISNUMBER(BB922))),0,1))&gt;0,"; An invoice is incomplete (needs No, Date and a number in Ex GST)","")&amp;IF((IF(T922="",0,IFERROR(--(EOMONTH(T922,0)&lt;&gt;S$5),1))+IF(W922="",0,IFERROR(--(EOMONTH(W922,0)&lt;&gt;V$5),1))+IF(Z922="",0,IFERROR(--(EOMONTH(Z922,0)&lt;&gt;Y$5),1))+IF(AC922="",0,IFERROR(--(EOMONTH(AC922,0)&lt;&gt;AB$5),1))+IF(AF922="",0,IFERROR(--(EOMONTH(AF922,0)&lt;&gt;AE$5),1))+IF(AI922="",0,IFERROR(--(EOMONTH(AI922,0)&lt;&gt;AH$5),1))+IF(AL922="",0,IFERROR(--(EOMONTH(AL922,0)&lt;&gt;AK$5),1))+IF(AO922="",0,IFERROR(--(EOMONTH(AO922,0)&lt;&gt;AN$5),1))+IF(AR922="",0,IFERROR(--(EOMONTH(AR922,0)&lt;&gt;AQ$5),1))+IF(AU922="",0,IFERROR(--(EOMONTH(AU922,0)&lt;&gt;AT$5),1))+IF(AX922="",0,IFERROR(--(EOMONTH(AX922,0)&lt;&gt;AW$5),1))+IF(BA922="",0,IFERROR(--(EOMONTH(BA922,0)&lt;&gt;AZ$5),1)))&gt;0,"; An invoice date is not in the month it is typed under",""),3,500))</f>
        <v/>
      </c>
      <c r="S922" s="12" t="n"/>
      <c r="T922" s="13" t="n"/>
      <c r="U922" s="14" t="n"/>
      <c r="V922" s="12" t="n"/>
      <c r="W922" s="13" t="n"/>
      <c r="X922" s="14" t="n"/>
      <c r="Y922" s="12" t="n"/>
      <c r="Z922" s="13" t="n"/>
      <c r="AA922" s="14" t="n"/>
      <c r="AB922" s="12" t="n"/>
      <c r="AC922" s="13" t="n"/>
      <c r="AD922" s="14" t="n"/>
      <c r="AE922" s="12" t="n"/>
      <c r="AF922" s="13" t="n"/>
      <c r="AG922" s="14" t="n"/>
      <c r="AH922" s="12" t="n"/>
      <c r="AI922" s="13" t="n"/>
      <c r="AJ922" s="14" t="n"/>
      <c r="AK922" s="12" t="n"/>
      <c r="AL922" s="13" t="n"/>
      <c r="AM922" s="14" t="n"/>
      <c r="AN922" s="12" t="n"/>
      <c r="AO922" s="13" t="n"/>
      <c r="AP922" s="14" t="n"/>
      <c r="AQ922" s="12" t="n"/>
      <c r="AR922" s="13" t="n"/>
      <c r="AS922" s="14" t="n"/>
      <c r="AT922" s="12" t="n"/>
      <c r="AU922" s="13" t="n"/>
      <c r="AV922" s="14" t="n"/>
      <c r="AW922" s="12" t="n"/>
      <c r="AX922" s="13" t="n"/>
      <c r="AY922" s="14" t="n"/>
      <c r="AZ922" s="12" t="n"/>
      <c r="BA922" s="13" t="n"/>
      <c r="BB922" s="14" t="n"/>
      <c r="BC922" s="11">
        <f>IF(O922="","",IF(J922="GST 10%",ROUND(O922*set_GSTRate,2),0))</f>
        <v/>
      </c>
      <c r="BD922" s="11">
        <f>IF(O922="","",O922+BC922)</f>
        <v/>
      </c>
      <c r="BE922" s="15">
        <f>IF(O922="","",COUNTA(S922,V922,Y922,AB922,AE922,AH922,AK922,AN922,AQ922,AT922,AW922,AZ922))</f>
        <v/>
      </c>
      <c r="BF922" s="16">
        <f>IF(COUNT(T922,W922,Z922,AC922,AF922,AI922,AL922,AO922,AR922,AU922,AX922,BA922)=0,"",MAX(T922,W922,Z922,AC922,AF922,AI922,AL922,AO922,AR922,AU922,AX922,BA922))</f>
        <v/>
      </c>
      <c r="BG922" s="10">
        <f>MID(IF(S922="","",", "&amp;S922)&amp;IF(V922="","",", "&amp;V922)&amp;IF(Y922="","",", "&amp;Y922)&amp;IF(AB922="","",", "&amp;AB922)&amp;IF(AE922="","",", "&amp;AE922)&amp;IF(AH922="","",", "&amp;AH922)&amp;IF(AK922="","",", "&amp;AK922)&amp;IF(AN922="","",", "&amp;AN922)&amp;IF(AQ922="","",", "&amp;AQ922)&amp;IF(AT922="","",", "&amp;AT922)&amp;IF(AW922="","",", "&amp;AW922)&amp;IF(AZ922="","",", "&amp;AZ922),3,500)</f>
        <v/>
      </c>
      <c r="BH922" s="12" t="n"/>
      <c r="BI922" s="15">
        <f>IFERROR(MATCH($A922,IF($B922="Onsite",tbl_Onsite[Row ID],IF($B922="Production",tbl_Production[Row ID],tbl_Consulting[Row ID])),0),"")</f>
        <v/>
      </c>
    </row>
    <row r="923">
      <c r="A923" s="10" t="inlineStr">
        <is>
          <t>PRD-0417</t>
        </is>
      </c>
      <c r="B923" s="10" t="inlineStr">
        <is>
          <t>Production</t>
        </is>
      </c>
      <c r="C923" s="10">
        <f>IF($BI923="","",IF($B923="Onsite",INDEX(tbl_Onsite[Job Number],$BI923),IF($B923="Production",INDEX(tbl_Production[Job Number],$BI923),INDEX(tbl_Consulting[Job Number],$BI923)))&amp;"")</f>
        <v/>
      </c>
      <c r="D923" s="10">
        <f>IF($BI923="","",IF($B923="Onsite",INDEX(tbl_Onsite[Client],$BI923),IF($B923="Production",INDEX(tbl_Production[Client],$BI923),INDEX(tbl_Consulting[Client],$BI923)))&amp;"")</f>
        <v/>
      </c>
      <c r="E923" s="10">
        <f>IF($C923="","",IF(COUNTIF(lst_Jobs,$C923)&gt;0,"OK","CHECK"))</f>
        <v/>
      </c>
      <c r="F923" s="10">
        <f>IF($C923="","",IFERROR(INDEX(lst_JobName,MATCH($C923,lst_Jobs,0)),""))</f>
        <v/>
      </c>
      <c r="G923" s="10">
        <f>IF($BI923="","",IF($B923="Onsite",INDEX(tbl_Onsite[Job Description],$BI923),IF($B923="Production",INDEX(tbl_Production[Job Description],$BI923),INDEX(tbl_Consulting[Job Description],$BI923)))&amp;"")</f>
        <v/>
      </c>
      <c r="H923" s="10">
        <f>IF($BI923="","",IF($B923="Onsite",INDEX(tbl_Onsite[Cost Centre],$BI923),IF($B923="Production",INDEX(tbl_Production[Cost Centre],$BI923),INDEX(tbl_Consulting[Cost Centre],$BI923)))&amp;"")</f>
        <v/>
      </c>
      <c r="I923" s="10">
        <f>IF($BI923="","",IF($B923="Onsite",INDEX(tbl_Onsite[Invoice Type],$BI923),IF($B923="Production",INDEX(tbl_Production[Invoice Type],$BI923),INDEX(tbl_Consulting[Invoice Type],$BI923)))&amp;"")</f>
        <v/>
      </c>
      <c r="J923" s="10">
        <f>IF($BI923="","",IF($B923="Onsite",INDEX(tbl_Onsite[Tax Code],$BI923),IF($B923="Production",INDEX(tbl_Production[Tax Code],$BI923),INDEX(tbl_Consulting[Tax Code],$BI923)))&amp;"")</f>
        <v/>
      </c>
      <c r="K923" s="10">
        <f>IF(H923="","",IFERROR(INDEX(lst_CCtoGL,MATCH(H923,lst_CCforGL,0)),""))</f>
        <v/>
      </c>
      <c r="L923" s="10">
        <f>IF($BI923="","",IF($B923="Onsite",INDEX(tbl_Onsite[PO / Reference],$BI923),IF($B923="Production",INDEX(tbl_Production[Current RMS No],$BI923),INDEX(tbl_Consulting[Qwilr Quote],$BI923)))&amp;"")</f>
        <v/>
      </c>
      <c r="M923" s="10">
        <f>IF($BI923="","",IF($B923="Onsite",INDEX(tbl_Onsite[Notes],$BI923),IF($B923="Production",INDEX(tbl_Production[Notes],$BI923),INDEX(tbl_Consulting[Notes],$BI923)))&amp;"")</f>
        <v/>
      </c>
      <c r="N923" s="11">
        <f>IF($BI923="","",IF(IF($B923="Onsite",INDEX(tbl_Onsite[Expected Revenue Ex GST],$BI923),IF($B923="Production",INDEX(tbl_Production[Expected Revenue Ex GST],$BI923),INDEX(tbl_Consulting[Expected Revenue Ex GST],$BI923)))="","",IF($B923="Onsite",INDEX(tbl_Onsite[Expected Revenue Ex GST],$BI923),IF($B923="Production",INDEX(tbl_Production[Expected Revenue Ex GST],$BI923),INDEX(tbl_Consulting[Expected Revenue Ex GST],$BI923)))))</f>
        <v/>
      </c>
      <c r="O923" s="11">
        <f>IF(AND($C923="",NOT(COUNTA($S923:$BB923)&gt;0)),"",SUM(U923,X923,AA923,AD923,AG923,AJ923,AM923,AP923,AS923,AV923,AY923,BB923))</f>
        <v/>
      </c>
      <c r="P923" s="11">
        <f>IF(O923="","",N(N923)-O923)</f>
        <v/>
      </c>
      <c r="Q923" s="10">
        <f>IF(O923="","",IF($C923="","Invoice on empty job row",IF(N923="",IF(ROUND(O923,2)=0,"No dept value","Invoiced - no dept value"),IF(ROUND(O923,2)=0,"Not invoiced - to invoice",IF(ROUND(P923,2)=0,"Agrees",IF(P923&gt;0,"Dept higher - to invoice","Xero higher - check dept"))))))</f>
        <v/>
      </c>
      <c r="R923" s="10">
        <f>IF(AND($C923="",NOT(COUNTA($S923:$BB923)&gt;0),$BI923&lt;&gt;""),"",MID(IF($BI923="","; Row ID not found on the department sheet - a row was deleted","")&amp;IF(AND($C923="",COUNTA($S923:$BB923)&gt;0),"; Invoice entered but the department row has no job number","")&amp;IF(E923="CHECK","; Job number not in the Xero job list","")&amp;IF(AND($C923&lt;&gt;"",COUNTIF($C$7:$C$1506,$C923)&gt;1),"; Job number on more than one row","")&amp;IF(AND($C923&lt;&gt;"",H923=""),"; Dept has not set a cost centre","")&amp;IF(AND($C923&lt;&gt;"",J923=""),"; Dept has not set a tax code","")&amp;IF(AND($C923&lt;&gt;"",N923=""),"; Dept has not entered an expected value","")&amp;IF((IF(OR(COUNTA(S923:U923)=0,AND(COUNTA(S923:U923)=3,ISNUMBER(U923))),0,1)+IF(OR(COUNTA(V923:X923)=0,AND(COUNTA(V923:X923)=3,ISNUMBER(X923))),0,1)+IF(OR(COUNTA(Y923:AA923)=0,AND(COUNTA(Y923:AA923)=3,ISNUMBER(AA923))),0,1)+IF(OR(COUNTA(AB923:AD923)=0,AND(COUNTA(AB923:AD923)=3,ISNUMBER(AD923))),0,1)+IF(OR(COUNTA(AE923:AG923)=0,AND(COUNTA(AE923:AG923)=3,ISNUMBER(AG923))),0,1)+IF(OR(COUNTA(AH923:AJ923)=0,AND(COUNTA(AH923:AJ923)=3,ISNUMBER(AJ923))),0,1)+IF(OR(COUNTA(AK923:AM923)=0,AND(COUNTA(AK923:AM923)=3,ISNUMBER(AM923))),0,1)+IF(OR(COUNTA(AN923:AP923)=0,AND(COUNTA(AN923:AP923)=3,ISNUMBER(AP923))),0,1)+IF(OR(COUNTA(AQ923:AS923)=0,AND(COUNTA(AQ923:AS923)=3,ISNUMBER(AS923))),0,1)+IF(OR(COUNTA(AT923:AV923)=0,AND(COUNTA(AT923:AV923)=3,ISNUMBER(AV923))),0,1)+IF(OR(COUNTA(AW923:AY923)=0,AND(COUNTA(AW923:AY923)=3,ISNUMBER(AY923))),0,1)+IF(OR(COUNTA(AZ923:BB923)=0,AND(COUNTA(AZ923:BB923)=3,ISNUMBER(BB923))),0,1))&gt;0,"; An invoice is incomplete (needs No, Date and a number in Ex GST)","")&amp;IF((IF(T923="",0,IFERROR(--(EOMONTH(T923,0)&lt;&gt;S$5),1))+IF(W923="",0,IFERROR(--(EOMONTH(W923,0)&lt;&gt;V$5),1))+IF(Z923="",0,IFERROR(--(EOMONTH(Z923,0)&lt;&gt;Y$5),1))+IF(AC923="",0,IFERROR(--(EOMONTH(AC923,0)&lt;&gt;AB$5),1))+IF(AF923="",0,IFERROR(--(EOMONTH(AF923,0)&lt;&gt;AE$5),1))+IF(AI923="",0,IFERROR(--(EOMONTH(AI923,0)&lt;&gt;AH$5),1))+IF(AL923="",0,IFERROR(--(EOMONTH(AL923,0)&lt;&gt;AK$5),1))+IF(AO923="",0,IFERROR(--(EOMONTH(AO923,0)&lt;&gt;AN$5),1))+IF(AR923="",0,IFERROR(--(EOMONTH(AR923,0)&lt;&gt;AQ$5),1))+IF(AU923="",0,IFERROR(--(EOMONTH(AU923,0)&lt;&gt;AT$5),1))+IF(AX923="",0,IFERROR(--(EOMONTH(AX923,0)&lt;&gt;AW$5),1))+IF(BA923="",0,IFERROR(--(EOMONTH(BA923,0)&lt;&gt;AZ$5),1)))&gt;0,"; An invoice date is not in the month it is typed under",""),3,500))</f>
        <v/>
      </c>
      <c r="S923" s="12" t="n"/>
      <c r="T923" s="13" t="n"/>
      <c r="U923" s="14" t="n"/>
      <c r="V923" s="12" t="n"/>
      <c r="W923" s="13" t="n"/>
      <c r="X923" s="14" t="n"/>
      <c r="Y923" s="12" t="n"/>
      <c r="Z923" s="13" t="n"/>
      <c r="AA923" s="14" t="n"/>
      <c r="AB923" s="12" t="n"/>
      <c r="AC923" s="13" t="n"/>
      <c r="AD923" s="14" t="n"/>
      <c r="AE923" s="12" t="n"/>
      <c r="AF923" s="13" t="n"/>
      <c r="AG923" s="14" t="n"/>
      <c r="AH923" s="12" t="n"/>
      <c r="AI923" s="13" t="n"/>
      <c r="AJ923" s="14" t="n"/>
      <c r="AK923" s="12" t="n"/>
      <c r="AL923" s="13" t="n"/>
      <c r="AM923" s="14" t="n"/>
      <c r="AN923" s="12" t="n"/>
      <c r="AO923" s="13" t="n"/>
      <c r="AP923" s="14" t="n"/>
      <c r="AQ923" s="12" t="n"/>
      <c r="AR923" s="13" t="n"/>
      <c r="AS923" s="14" t="n"/>
      <c r="AT923" s="12" t="n"/>
      <c r="AU923" s="13" t="n"/>
      <c r="AV923" s="14" t="n"/>
      <c r="AW923" s="12" t="n"/>
      <c r="AX923" s="13" t="n"/>
      <c r="AY923" s="14" t="n"/>
      <c r="AZ923" s="12" t="n"/>
      <c r="BA923" s="13" t="n"/>
      <c r="BB923" s="14" t="n"/>
      <c r="BC923" s="11">
        <f>IF(O923="","",IF(J923="GST 10%",ROUND(O923*set_GSTRate,2),0))</f>
        <v/>
      </c>
      <c r="BD923" s="11">
        <f>IF(O923="","",O923+BC923)</f>
        <v/>
      </c>
      <c r="BE923" s="15">
        <f>IF(O923="","",COUNTA(S923,V923,Y923,AB923,AE923,AH923,AK923,AN923,AQ923,AT923,AW923,AZ923))</f>
        <v/>
      </c>
      <c r="BF923" s="16">
        <f>IF(COUNT(T923,W923,Z923,AC923,AF923,AI923,AL923,AO923,AR923,AU923,AX923,BA923)=0,"",MAX(T923,W923,Z923,AC923,AF923,AI923,AL923,AO923,AR923,AU923,AX923,BA923))</f>
        <v/>
      </c>
      <c r="BG923" s="10">
        <f>MID(IF(S923="","",", "&amp;S923)&amp;IF(V923="","",", "&amp;V923)&amp;IF(Y923="","",", "&amp;Y923)&amp;IF(AB923="","",", "&amp;AB923)&amp;IF(AE923="","",", "&amp;AE923)&amp;IF(AH923="","",", "&amp;AH923)&amp;IF(AK923="","",", "&amp;AK923)&amp;IF(AN923="","",", "&amp;AN923)&amp;IF(AQ923="","",", "&amp;AQ923)&amp;IF(AT923="","",", "&amp;AT923)&amp;IF(AW923="","",", "&amp;AW923)&amp;IF(AZ923="","",", "&amp;AZ923),3,500)</f>
        <v/>
      </c>
      <c r="BH923" s="12" t="n"/>
      <c r="BI923" s="15">
        <f>IFERROR(MATCH($A923,IF($B923="Onsite",tbl_Onsite[Row ID],IF($B923="Production",tbl_Production[Row ID],tbl_Consulting[Row ID])),0),"")</f>
        <v/>
      </c>
    </row>
    <row r="924">
      <c r="A924" s="10" t="inlineStr">
        <is>
          <t>PRD-0418</t>
        </is>
      </c>
      <c r="B924" s="10" t="inlineStr">
        <is>
          <t>Production</t>
        </is>
      </c>
      <c r="C924" s="10">
        <f>IF($BI924="","",IF($B924="Onsite",INDEX(tbl_Onsite[Job Number],$BI924),IF($B924="Production",INDEX(tbl_Production[Job Number],$BI924),INDEX(tbl_Consulting[Job Number],$BI924)))&amp;"")</f>
        <v/>
      </c>
      <c r="D924" s="10">
        <f>IF($BI924="","",IF($B924="Onsite",INDEX(tbl_Onsite[Client],$BI924),IF($B924="Production",INDEX(tbl_Production[Client],$BI924),INDEX(tbl_Consulting[Client],$BI924)))&amp;"")</f>
        <v/>
      </c>
      <c r="E924" s="10">
        <f>IF($C924="","",IF(COUNTIF(lst_Jobs,$C924)&gt;0,"OK","CHECK"))</f>
        <v/>
      </c>
      <c r="F924" s="10">
        <f>IF($C924="","",IFERROR(INDEX(lst_JobName,MATCH($C924,lst_Jobs,0)),""))</f>
        <v/>
      </c>
      <c r="G924" s="10">
        <f>IF($BI924="","",IF($B924="Onsite",INDEX(tbl_Onsite[Job Description],$BI924),IF($B924="Production",INDEX(tbl_Production[Job Description],$BI924),INDEX(tbl_Consulting[Job Description],$BI924)))&amp;"")</f>
        <v/>
      </c>
      <c r="H924" s="10">
        <f>IF($BI924="","",IF($B924="Onsite",INDEX(tbl_Onsite[Cost Centre],$BI924),IF($B924="Production",INDEX(tbl_Production[Cost Centre],$BI924),INDEX(tbl_Consulting[Cost Centre],$BI924)))&amp;"")</f>
        <v/>
      </c>
      <c r="I924" s="10">
        <f>IF($BI924="","",IF($B924="Onsite",INDEX(tbl_Onsite[Invoice Type],$BI924),IF($B924="Production",INDEX(tbl_Production[Invoice Type],$BI924),INDEX(tbl_Consulting[Invoice Type],$BI924)))&amp;"")</f>
        <v/>
      </c>
      <c r="J924" s="10">
        <f>IF($BI924="","",IF($B924="Onsite",INDEX(tbl_Onsite[Tax Code],$BI924),IF($B924="Production",INDEX(tbl_Production[Tax Code],$BI924),INDEX(tbl_Consulting[Tax Code],$BI924)))&amp;"")</f>
        <v/>
      </c>
      <c r="K924" s="10">
        <f>IF(H924="","",IFERROR(INDEX(lst_CCtoGL,MATCH(H924,lst_CCforGL,0)),""))</f>
        <v/>
      </c>
      <c r="L924" s="10">
        <f>IF($BI924="","",IF($B924="Onsite",INDEX(tbl_Onsite[PO / Reference],$BI924),IF($B924="Production",INDEX(tbl_Production[Current RMS No],$BI924),INDEX(tbl_Consulting[Qwilr Quote],$BI924)))&amp;"")</f>
        <v/>
      </c>
      <c r="M924" s="10">
        <f>IF($BI924="","",IF($B924="Onsite",INDEX(tbl_Onsite[Notes],$BI924),IF($B924="Production",INDEX(tbl_Production[Notes],$BI924),INDEX(tbl_Consulting[Notes],$BI924)))&amp;"")</f>
        <v/>
      </c>
      <c r="N924" s="11">
        <f>IF($BI924="","",IF(IF($B924="Onsite",INDEX(tbl_Onsite[Expected Revenue Ex GST],$BI924),IF($B924="Production",INDEX(tbl_Production[Expected Revenue Ex GST],$BI924),INDEX(tbl_Consulting[Expected Revenue Ex GST],$BI924)))="","",IF($B924="Onsite",INDEX(tbl_Onsite[Expected Revenue Ex GST],$BI924),IF($B924="Production",INDEX(tbl_Production[Expected Revenue Ex GST],$BI924),INDEX(tbl_Consulting[Expected Revenue Ex GST],$BI924)))))</f>
        <v/>
      </c>
      <c r="O924" s="11">
        <f>IF(AND($C924="",NOT(COUNTA($S924:$BB924)&gt;0)),"",SUM(U924,X924,AA924,AD924,AG924,AJ924,AM924,AP924,AS924,AV924,AY924,BB924))</f>
        <v/>
      </c>
      <c r="P924" s="11">
        <f>IF(O924="","",N(N924)-O924)</f>
        <v/>
      </c>
      <c r="Q924" s="10">
        <f>IF(O924="","",IF($C924="","Invoice on empty job row",IF(N924="",IF(ROUND(O924,2)=0,"No dept value","Invoiced - no dept value"),IF(ROUND(O924,2)=0,"Not invoiced - to invoice",IF(ROUND(P924,2)=0,"Agrees",IF(P924&gt;0,"Dept higher - to invoice","Xero higher - check dept"))))))</f>
        <v/>
      </c>
      <c r="R924" s="10">
        <f>IF(AND($C924="",NOT(COUNTA($S924:$BB924)&gt;0),$BI924&lt;&gt;""),"",MID(IF($BI924="","; Row ID not found on the department sheet - a row was deleted","")&amp;IF(AND($C924="",COUNTA($S924:$BB924)&gt;0),"; Invoice entered but the department row has no job number","")&amp;IF(E924="CHECK","; Job number not in the Xero job list","")&amp;IF(AND($C924&lt;&gt;"",COUNTIF($C$7:$C$1506,$C924)&gt;1),"; Job number on more than one row","")&amp;IF(AND($C924&lt;&gt;"",H924=""),"; Dept has not set a cost centre","")&amp;IF(AND($C924&lt;&gt;"",J924=""),"; Dept has not set a tax code","")&amp;IF(AND($C924&lt;&gt;"",N924=""),"; Dept has not entered an expected value","")&amp;IF((IF(OR(COUNTA(S924:U924)=0,AND(COUNTA(S924:U924)=3,ISNUMBER(U924))),0,1)+IF(OR(COUNTA(V924:X924)=0,AND(COUNTA(V924:X924)=3,ISNUMBER(X924))),0,1)+IF(OR(COUNTA(Y924:AA924)=0,AND(COUNTA(Y924:AA924)=3,ISNUMBER(AA924))),0,1)+IF(OR(COUNTA(AB924:AD924)=0,AND(COUNTA(AB924:AD924)=3,ISNUMBER(AD924))),0,1)+IF(OR(COUNTA(AE924:AG924)=0,AND(COUNTA(AE924:AG924)=3,ISNUMBER(AG924))),0,1)+IF(OR(COUNTA(AH924:AJ924)=0,AND(COUNTA(AH924:AJ924)=3,ISNUMBER(AJ924))),0,1)+IF(OR(COUNTA(AK924:AM924)=0,AND(COUNTA(AK924:AM924)=3,ISNUMBER(AM924))),0,1)+IF(OR(COUNTA(AN924:AP924)=0,AND(COUNTA(AN924:AP924)=3,ISNUMBER(AP924))),0,1)+IF(OR(COUNTA(AQ924:AS924)=0,AND(COUNTA(AQ924:AS924)=3,ISNUMBER(AS924))),0,1)+IF(OR(COUNTA(AT924:AV924)=0,AND(COUNTA(AT924:AV924)=3,ISNUMBER(AV924))),0,1)+IF(OR(COUNTA(AW924:AY924)=0,AND(COUNTA(AW924:AY924)=3,ISNUMBER(AY924))),0,1)+IF(OR(COUNTA(AZ924:BB924)=0,AND(COUNTA(AZ924:BB924)=3,ISNUMBER(BB924))),0,1))&gt;0,"; An invoice is incomplete (needs No, Date and a number in Ex GST)","")&amp;IF((IF(T924="",0,IFERROR(--(EOMONTH(T924,0)&lt;&gt;S$5),1))+IF(W924="",0,IFERROR(--(EOMONTH(W924,0)&lt;&gt;V$5),1))+IF(Z924="",0,IFERROR(--(EOMONTH(Z924,0)&lt;&gt;Y$5),1))+IF(AC924="",0,IFERROR(--(EOMONTH(AC924,0)&lt;&gt;AB$5),1))+IF(AF924="",0,IFERROR(--(EOMONTH(AF924,0)&lt;&gt;AE$5),1))+IF(AI924="",0,IFERROR(--(EOMONTH(AI924,0)&lt;&gt;AH$5),1))+IF(AL924="",0,IFERROR(--(EOMONTH(AL924,0)&lt;&gt;AK$5),1))+IF(AO924="",0,IFERROR(--(EOMONTH(AO924,0)&lt;&gt;AN$5),1))+IF(AR924="",0,IFERROR(--(EOMONTH(AR924,0)&lt;&gt;AQ$5),1))+IF(AU924="",0,IFERROR(--(EOMONTH(AU924,0)&lt;&gt;AT$5),1))+IF(AX924="",0,IFERROR(--(EOMONTH(AX924,0)&lt;&gt;AW$5),1))+IF(BA924="",0,IFERROR(--(EOMONTH(BA924,0)&lt;&gt;AZ$5),1)))&gt;0,"; An invoice date is not in the month it is typed under",""),3,500))</f>
        <v/>
      </c>
      <c r="S924" s="12" t="n"/>
      <c r="T924" s="13" t="n"/>
      <c r="U924" s="14" t="n"/>
      <c r="V924" s="12" t="n"/>
      <c r="W924" s="13" t="n"/>
      <c r="X924" s="14" t="n"/>
      <c r="Y924" s="12" t="n"/>
      <c r="Z924" s="13" t="n"/>
      <c r="AA924" s="14" t="n"/>
      <c r="AB924" s="12" t="n"/>
      <c r="AC924" s="13" t="n"/>
      <c r="AD924" s="14" t="n"/>
      <c r="AE924" s="12" t="n"/>
      <c r="AF924" s="13" t="n"/>
      <c r="AG924" s="14" t="n"/>
      <c r="AH924" s="12" t="n"/>
      <c r="AI924" s="13" t="n"/>
      <c r="AJ924" s="14" t="n"/>
      <c r="AK924" s="12" t="n"/>
      <c r="AL924" s="13" t="n"/>
      <c r="AM924" s="14" t="n"/>
      <c r="AN924" s="12" t="n"/>
      <c r="AO924" s="13" t="n"/>
      <c r="AP924" s="14" t="n"/>
      <c r="AQ924" s="12" t="n"/>
      <c r="AR924" s="13" t="n"/>
      <c r="AS924" s="14" t="n"/>
      <c r="AT924" s="12" t="n"/>
      <c r="AU924" s="13" t="n"/>
      <c r="AV924" s="14" t="n"/>
      <c r="AW924" s="12" t="n"/>
      <c r="AX924" s="13" t="n"/>
      <c r="AY924" s="14" t="n"/>
      <c r="AZ924" s="12" t="n"/>
      <c r="BA924" s="13" t="n"/>
      <c r="BB924" s="14" t="n"/>
      <c r="BC924" s="11">
        <f>IF(O924="","",IF(J924="GST 10%",ROUND(O924*set_GSTRate,2),0))</f>
        <v/>
      </c>
      <c r="BD924" s="11">
        <f>IF(O924="","",O924+BC924)</f>
        <v/>
      </c>
      <c r="BE924" s="15">
        <f>IF(O924="","",COUNTA(S924,V924,Y924,AB924,AE924,AH924,AK924,AN924,AQ924,AT924,AW924,AZ924))</f>
        <v/>
      </c>
      <c r="BF924" s="16">
        <f>IF(COUNT(T924,W924,Z924,AC924,AF924,AI924,AL924,AO924,AR924,AU924,AX924,BA924)=0,"",MAX(T924,W924,Z924,AC924,AF924,AI924,AL924,AO924,AR924,AU924,AX924,BA924))</f>
        <v/>
      </c>
      <c r="BG924" s="10">
        <f>MID(IF(S924="","",", "&amp;S924)&amp;IF(V924="","",", "&amp;V924)&amp;IF(Y924="","",", "&amp;Y924)&amp;IF(AB924="","",", "&amp;AB924)&amp;IF(AE924="","",", "&amp;AE924)&amp;IF(AH924="","",", "&amp;AH924)&amp;IF(AK924="","",", "&amp;AK924)&amp;IF(AN924="","",", "&amp;AN924)&amp;IF(AQ924="","",", "&amp;AQ924)&amp;IF(AT924="","",", "&amp;AT924)&amp;IF(AW924="","",", "&amp;AW924)&amp;IF(AZ924="","",", "&amp;AZ924),3,500)</f>
        <v/>
      </c>
      <c r="BH924" s="12" t="n"/>
      <c r="BI924" s="15">
        <f>IFERROR(MATCH($A924,IF($B924="Onsite",tbl_Onsite[Row ID],IF($B924="Production",tbl_Production[Row ID],tbl_Consulting[Row ID])),0),"")</f>
        <v/>
      </c>
    </row>
    <row r="925">
      <c r="A925" s="10" t="inlineStr">
        <is>
          <t>PRD-0419</t>
        </is>
      </c>
      <c r="B925" s="10" t="inlineStr">
        <is>
          <t>Production</t>
        </is>
      </c>
      <c r="C925" s="10">
        <f>IF($BI925="","",IF($B925="Onsite",INDEX(tbl_Onsite[Job Number],$BI925),IF($B925="Production",INDEX(tbl_Production[Job Number],$BI925),INDEX(tbl_Consulting[Job Number],$BI925)))&amp;"")</f>
        <v/>
      </c>
      <c r="D925" s="10">
        <f>IF($BI925="","",IF($B925="Onsite",INDEX(tbl_Onsite[Client],$BI925),IF($B925="Production",INDEX(tbl_Production[Client],$BI925),INDEX(tbl_Consulting[Client],$BI925)))&amp;"")</f>
        <v/>
      </c>
      <c r="E925" s="10">
        <f>IF($C925="","",IF(COUNTIF(lst_Jobs,$C925)&gt;0,"OK","CHECK"))</f>
        <v/>
      </c>
      <c r="F925" s="10">
        <f>IF($C925="","",IFERROR(INDEX(lst_JobName,MATCH($C925,lst_Jobs,0)),""))</f>
        <v/>
      </c>
      <c r="G925" s="10">
        <f>IF($BI925="","",IF($B925="Onsite",INDEX(tbl_Onsite[Job Description],$BI925),IF($B925="Production",INDEX(tbl_Production[Job Description],$BI925),INDEX(tbl_Consulting[Job Description],$BI925)))&amp;"")</f>
        <v/>
      </c>
      <c r="H925" s="10">
        <f>IF($BI925="","",IF($B925="Onsite",INDEX(tbl_Onsite[Cost Centre],$BI925),IF($B925="Production",INDEX(tbl_Production[Cost Centre],$BI925),INDEX(tbl_Consulting[Cost Centre],$BI925)))&amp;"")</f>
        <v/>
      </c>
      <c r="I925" s="10">
        <f>IF($BI925="","",IF($B925="Onsite",INDEX(tbl_Onsite[Invoice Type],$BI925),IF($B925="Production",INDEX(tbl_Production[Invoice Type],$BI925),INDEX(tbl_Consulting[Invoice Type],$BI925)))&amp;"")</f>
        <v/>
      </c>
      <c r="J925" s="10">
        <f>IF($BI925="","",IF($B925="Onsite",INDEX(tbl_Onsite[Tax Code],$BI925),IF($B925="Production",INDEX(tbl_Production[Tax Code],$BI925),INDEX(tbl_Consulting[Tax Code],$BI925)))&amp;"")</f>
        <v/>
      </c>
      <c r="K925" s="10">
        <f>IF(H925="","",IFERROR(INDEX(lst_CCtoGL,MATCH(H925,lst_CCforGL,0)),""))</f>
        <v/>
      </c>
      <c r="L925" s="10">
        <f>IF($BI925="","",IF($B925="Onsite",INDEX(tbl_Onsite[PO / Reference],$BI925),IF($B925="Production",INDEX(tbl_Production[Current RMS No],$BI925),INDEX(tbl_Consulting[Qwilr Quote],$BI925)))&amp;"")</f>
        <v/>
      </c>
      <c r="M925" s="10">
        <f>IF($BI925="","",IF($B925="Onsite",INDEX(tbl_Onsite[Notes],$BI925),IF($B925="Production",INDEX(tbl_Production[Notes],$BI925),INDEX(tbl_Consulting[Notes],$BI925)))&amp;"")</f>
        <v/>
      </c>
      <c r="N925" s="11">
        <f>IF($BI925="","",IF(IF($B925="Onsite",INDEX(tbl_Onsite[Expected Revenue Ex GST],$BI925),IF($B925="Production",INDEX(tbl_Production[Expected Revenue Ex GST],$BI925),INDEX(tbl_Consulting[Expected Revenue Ex GST],$BI925)))="","",IF($B925="Onsite",INDEX(tbl_Onsite[Expected Revenue Ex GST],$BI925),IF($B925="Production",INDEX(tbl_Production[Expected Revenue Ex GST],$BI925),INDEX(tbl_Consulting[Expected Revenue Ex GST],$BI925)))))</f>
        <v/>
      </c>
      <c r="O925" s="11">
        <f>IF(AND($C925="",NOT(COUNTA($S925:$BB925)&gt;0)),"",SUM(U925,X925,AA925,AD925,AG925,AJ925,AM925,AP925,AS925,AV925,AY925,BB925))</f>
        <v/>
      </c>
      <c r="P925" s="11">
        <f>IF(O925="","",N(N925)-O925)</f>
        <v/>
      </c>
      <c r="Q925" s="10">
        <f>IF(O925="","",IF($C925="","Invoice on empty job row",IF(N925="",IF(ROUND(O925,2)=0,"No dept value","Invoiced - no dept value"),IF(ROUND(O925,2)=0,"Not invoiced - to invoice",IF(ROUND(P925,2)=0,"Agrees",IF(P925&gt;0,"Dept higher - to invoice","Xero higher - check dept"))))))</f>
        <v/>
      </c>
      <c r="R925" s="10">
        <f>IF(AND($C925="",NOT(COUNTA($S925:$BB925)&gt;0),$BI925&lt;&gt;""),"",MID(IF($BI925="","; Row ID not found on the department sheet - a row was deleted","")&amp;IF(AND($C925="",COUNTA($S925:$BB925)&gt;0),"; Invoice entered but the department row has no job number","")&amp;IF(E925="CHECK","; Job number not in the Xero job list","")&amp;IF(AND($C925&lt;&gt;"",COUNTIF($C$7:$C$1506,$C925)&gt;1),"; Job number on more than one row","")&amp;IF(AND($C925&lt;&gt;"",H925=""),"; Dept has not set a cost centre","")&amp;IF(AND($C925&lt;&gt;"",J925=""),"; Dept has not set a tax code","")&amp;IF(AND($C925&lt;&gt;"",N925=""),"; Dept has not entered an expected value","")&amp;IF((IF(OR(COUNTA(S925:U925)=0,AND(COUNTA(S925:U925)=3,ISNUMBER(U925))),0,1)+IF(OR(COUNTA(V925:X925)=0,AND(COUNTA(V925:X925)=3,ISNUMBER(X925))),0,1)+IF(OR(COUNTA(Y925:AA925)=0,AND(COUNTA(Y925:AA925)=3,ISNUMBER(AA925))),0,1)+IF(OR(COUNTA(AB925:AD925)=0,AND(COUNTA(AB925:AD925)=3,ISNUMBER(AD925))),0,1)+IF(OR(COUNTA(AE925:AG925)=0,AND(COUNTA(AE925:AG925)=3,ISNUMBER(AG925))),0,1)+IF(OR(COUNTA(AH925:AJ925)=0,AND(COUNTA(AH925:AJ925)=3,ISNUMBER(AJ925))),0,1)+IF(OR(COUNTA(AK925:AM925)=0,AND(COUNTA(AK925:AM925)=3,ISNUMBER(AM925))),0,1)+IF(OR(COUNTA(AN925:AP925)=0,AND(COUNTA(AN925:AP925)=3,ISNUMBER(AP925))),0,1)+IF(OR(COUNTA(AQ925:AS925)=0,AND(COUNTA(AQ925:AS925)=3,ISNUMBER(AS925))),0,1)+IF(OR(COUNTA(AT925:AV925)=0,AND(COUNTA(AT925:AV925)=3,ISNUMBER(AV925))),0,1)+IF(OR(COUNTA(AW925:AY925)=0,AND(COUNTA(AW925:AY925)=3,ISNUMBER(AY925))),0,1)+IF(OR(COUNTA(AZ925:BB925)=0,AND(COUNTA(AZ925:BB925)=3,ISNUMBER(BB925))),0,1))&gt;0,"; An invoice is incomplete (needs No, Date and a number in Ex GST)","")&amp;IF((IF(T925="",0,IFERROR(--(EOMONTH(T925,0)&lt;&gt;S$5),1))+IF(W925="",0,IFERROR(--(EOMONTH(W925,0)&lt;&gt;V$5),1))+IF(Z925="",0,IFERROR(--(EOMONTH(Z925,0)&lt;&gt;Y$5),1))+IF(AC925="",0,IFERROR(--(EOMONTH(AC925,0)&lt;&gt;AB$5),1))+IF(AF925="",0,IFERROR(--(EOMONTH(AF925,0)&lt;&gt;AE$5),1))+IF(AI925="",0,IFERROR(--(EOMONTH(AI925,0)&lt;&gt;AH$5),1))+IF(AL925="",0,IFERROR(--(EOMONTH(AL925,0)&lt;&gt;AK$5),1))+IF(AO925="",0,IFERROR(--(EOMONTH(AO925,0)&lt;&gt;AN$5),1))+IF(AR925="",0,IFERROR(--(EOMONTH(AR925,0)&lt;&gt;AQ$5),1))+IF(AU925="",0,IFERROR(--(EOMONTH(AU925,0)&lt;&gt;AT$5),1))+IF(AX925="",0,IFERROR(--(EOMONTH(AX925,0)&lt;&gt;AW$5),1))+IF(BA925="",0,IFERROR(--(EOMONTH(BA925,0)&lt;&gt;AZ$5),1)))&gt;0,"; An invoice date is not in the month it is typed under",""),3,500))</f>
        <v/>
      </c>
      <c r="S925" s="12" t="n"/>
      <c r="T925" s="13" t="n"/>
      <c r="U925" s="14" t="n"/>
      <c r="V925" s="12" t="n"/>
      <c r="W925" s="13" t="n"/>
      <c r="X925" s="14" t="n"/>
      <c r="Y925" s="12" t="n"/>
      <c r="Z925" s="13" t="n"/>
      <c r="AA925" s="14" t="n"/>
      <c r="AB925" s="12" t="n"/>
      <c r="AC925" s="13" t="n"/>
      <c r="AD925" s="14" t="n"/>
      <c r="AE925" s="12" t="n"/>
      <c r="AF925" s="13" t="n"/>
      <c r="AG925" s="14" t="n"/>
      <c r="AH925" s="12" t="n"/>
      <c r="AI925" s="13" t="n"/>
      <c r="AJ925" s="14" t="n"/>
      <c r="AK925" s="12" t="n"/>
      <c r="AL925" s="13" t="n"/>
      <c r="AM925" s="14" t="n"/>
      <c r="AN925" s="12" t="n"/>
      <c r="AO925" s="13" t="n"/>
      <c r="AP925" s="14" t="n"/>
      <c r="AQ925" s="12" t="n"/>
      <c r="AR925" s="13" t="n"/>
      <c r="AS925" s="14" t="n"/>
      <c r="AT925" s="12" t="n"/>
      <c r="AU925" s="13" t="n"/>
      <c r="AV925" s="14" t="n"/>
      <c r="AW925" s="12" t="n"/>
      <c r="AX925" s="13" t="n"/>
      <c r="AY925" s="14" t="n"/>
      <c r="AZ925" s="12" t="n"/>
      <c r="BA925" s="13" t="n"/>
      <c r="BB925" s="14" t="n"/>
      <c r="BC925" s="11">
        <f>IF(O925="","",IF(J925="GST 10%",ROUND(O925*set_GSTRate,2),0))</f>
        <v/>
      </c>
      <c r="BD925" s="11">
        <f>IF(O925="","",O925+BC925)</f>
        <v/>
      </c>
      <c r="BE925" s="15">
        <f>IF(O925="","",COUNTA(S925,V925,Y925,AB925,AE925,AH925,AK925,AN925,AQ925,AT925,AW925,AZ925))</f>
        <v/>
      </c>
      <c r="BF925" s="16">
        <f>IF(COUNT(T925,W925,Z925,AC925,AF925,AI925,AL925,AO925,AR925,AU925,AX925,BA925)=0,"",MAX(T925,W925,Z925,AC925,AF925,AI925,AL925,AO925,AR925,AU925,AX925,BA925))</f>
        <v/>
      </c>
      <c r="BG925" s="10">
        <f>MID(IF(S925="","",", "&amp;S925)&amp;IF(V925="","",", "&amp;V925)&amp;IF(Y925="","",", "&amp;Y925)&amp;IF(AB925="","",", "&amp;AB925)&amp;IF(AE925="","",", "&amp;AE925)&amp;IF(AH925="","",", "&amp;AH925)&amp;IF(AK925="","",", "&amp;AK925)&amp;IF(AN925="","",", "&amp;AN925)&amp;IF(AQ925="","",", "&amp;AQ925)&amp;IF(AT925="","",", "&amp;AT925)&amp;IF(AW925="","",", "&amp;AW925)&amp;IF(AZ925="","",", "&amp;AZ925),3,500)</f>
        <v/>
      </c>
      <c r="BH925" s="12" t="n"/>
      <c r="BI925" s="15">
        <f>IFERROR(MATCH($A925,IF($B925="Onsite",tbl_Onsite[Row ID],IF($B925="Production",tbl_Production[Row ID],tbl_Consulting[Row ID])),0),"")</f>
        <v/>
      </c>
    </row>
    <row r="926">
      <c r="A926" s="10" t="inlineStr">
        <is>
          <t>PRD-0420</t>
        </is>
      </c>
      <c r="B926" s="10" t="inlineStr">
        <is>
          <t>Production</t>
        </is>
      </c>
      <c r="C926" s="10">
        <f>IF($BI926="","",IF($B926="Onsite",INDEX(tbl_Onsite[Job Number],$BI926),IF($B926="Production",INDEX(tbl_Production[Job Number],$BI926),INDEX(tbl_Consulting[Job Number],$BI926)))&amp;"")</f>
        <v/>
      </c>
      <c r="D926" s="10">
        <f>IF($BI926="","",IF($B926="Onsite",INDEX(tbl_Onsite[Client],$BI926),IF($B926="Production",INDEX(tbl_Production[Client],$BI926),INDEX(tbl_Consulting[Client],$BI926)))&amp;"")</f>
        <v/>
      </c>
      <c r="E926" s="10">
        <f>IF($C926="","",IF(COUNTIF(lst_Jobs,$C926)&gt;0,"OK","CHECK"))</f>
        <v/>
      </c>
      <c r="F926" s="10">
        <f>IF($C926="","",IFERROR(INDEX(lst_JobName,MATCH($C926,lst_Jobs,0)),""))</f>
        <v/>
      </c>
      <c r="G926" s="10">
        <f>IF($BI926="","",IF($B926="Onsite",INDEX(tbl_Onsite[Job Description],$BI926),IF($B926="Production",INDEX(tbl_Production[Job Description],$BI926),INDEX(tbl_Consulting[Job Description],$BI926)))&amp;"")</f>
        <v/>
      </c>
      <c r="H926" s="10">
        <f>IF($BI926="","",IF($B926="Onsite",INDEX(tbl_Onsite[Cost Centre],$BI926),IF($B926="Production",INDEX(tbl_Production[Cost Centre],$BI926),INDEX(tbl_Consulting[Cost Centre],$BI926)))&amp;"")</f>
        <v/>
      </c>
      <c r="I926" s="10">
        <f>IF($BI926="","",IF($B926="Onsite",INDEX(tbl_Onsite[Invoice Type],$BI926),IF($B926="Production",INDEX(tbl_Production[Invoice Type],$BI926),INDEX(tbl_Consulting[Invoice Type],$BI926)))&amp;"")</f>
        <v/>
      </c>
      <c r="J926" s="10">
        <f>IF($BI926="","",IF($B926="Onsite",INDEX(tbl_Onsite[Tax Code],$BI926),IF($B926="Production",INDEX(tbl_Production[Tax Code],$BI926),INDEX(tbl_Consulting[Tax Code],$BI926)))&amp;"")</f>
        <v/>
      </c>
      <c r="K926" s="10">
        <f>IF(H926="","",IFERROR(INDEX(lst_CCtoGL,MATCH(H926,lst_CCforGL,0)),""))</f>
        <v/>
      </c>
      <c r="L926" s="10">
        <f>IF($BI926="","",IF($B926="Onsite",INDEX(tbl_Onsite[PO / Reference],$BI926),IF($B926="Production",INDEX(tbl_Production[Current RMS No],$BI926),INDEX(tbl_Consulting[Qwilr Quote],$BI926)))&amp;"")</f>
        <v/>
      </c>
      <c r="M926" s="10">
        <f>IF($BI926="","",IF($B926="Onsite",INDEX(tbl_Onsite[Notes],$BI926),IF($B926="Production",INDEX(tbl_Production[Notes],$BI926),INDEX(tbl_Consulting[Notes],$BI926)))&amp;"")</f>
        <v/>
      </c>
      <c r="N926" s="11">
        <f>IF($BI926="","",IF(IF($B926="Onsite",INDEX(tbl_Onsite[Expected Revenue Ex GST],$BI926),IF($B926="Production",INDEX(tbl_Production[Expected Revenue Ex GST],$BI926),INDEX(tbl_Consulting[Expected Revenue Ex GST],$BI926)))="","",IF($B926="Onsite",INDEX(tbl_Onsite[Expected Revenue Ex GST],$BI926),IF($B926="Production",INDEX(tbl_Production[Expected Revenue Ex GST],$BI926),INDEX(tbl_Consulting[Expected Revenue Ex GST],$BI926)))))</f>
        <v/>
      </c>
      <c r="O926" s="11">
        <f>IF(AND($C926="",NOT(COUNTA($S926:$BB926)&gt;0)),"",SUM(U926,X926,AA926,AD926,AG926,AJ926,AM926,AP926,AS926,AV926,AY926,BB926))</f>
        <v/>
      </c>
      <c r="P926" s="11">
        <f>IF(O926="","",N(N926)-O926)</f>
        <v/>
      </c>
      <c r="Q926" s="10">
        <f>IF(O926="","",IF($C926="","Invoice on empty job row",IF(N926="",IF(ROUND(O926,2)=0,"No dept value","Invoiced - no dept value"),IF(ROUND(O926,2)=0,"Not invoiced - to invoice",IF(ROUND(P926,2)=0,"Agrees",IF(P926&gt;0,"Dept higher - to invoice","Xero higher - check dept"))))))</f>
        <v/>
      </c>
      <c r="R926" s="10">
        <f>IF(AND($C926="",NOT(COUNTA($S926:$BB926)&gt;0),$BI926&lt;&gt;""),"",MID(IF($BI926="","; Row ID not found on the department sheet - a row was deleted","")&amp;IF(AND($C926="",COUNTA($S926:$BB926)&gt;0),"; Invoice entered but the department row has no job number","")&amp;IF(E926="CHECK","; Job number not in the Xero job list","")&amp;IF(AND($C926&lt;&gt;"",COUNTIF($C$7:$C$1506,$C926)&gt;1),"; Job number on more than one row","")&amp;IF(AND($C926&lt;&gt;"",H926=""),"; Dept has not set a cost centre","")&amp;IF(AND($C926&lt;&gt;"",J926=""),"; Dept has not set a tax code","")&amp;IF(AND($C926&lt;&gt;"",N926=""),"; Dept has not entered an expected value","")&amp;IF((IF(OR(COUNTA(S926:U926)=0,AND(COUNTA(S926:U926)=3,ISNUMBER(U926))),0,1)+IF(OR(COUNTA(V926:X926)=0,AND(COUNTA(V926:X926)=3,ISNUMBER(X926))),0,1)+IF(OR(COUNTA(Y926:AA926)=0,AND(COUNTA(Y926:AA926)=3,ISNUMBER(AA926))),0,1)+IF(OR(COUNTA(AB926:AD926)=0,AND(COUNTA(AB926:AD926)=3,ISNUMBER(AD926))),0,1)+IF(OR(COUNTA(AE926:AG926)=0,AND(COUNTA(AE926:AG926)=3,ISNUMBER(AG926))),0,1)+IF(OR(COUNTA(AH926:AJ926)=0,AND(COUNTA(AH926:AJ926)=3,ISNUMBER(AJ926))),0,1)+IF(OR(COUNTA(AK926:AM926)=0,AND(COUNTA(AK926:AM926)=3,ISNUMBER(AM926))),0,1)+IF(OR(COUNTA(AN926:AP926)=0,AND(COUNTA(AN926:AP926)=3,ISNUMBER(AP926))),0,1)+IF(OR(COUNTA(AQ926:AS926)=0,AND(COUNTA(AQ926:AS926)=3,ISNUMBER(AS926))),0,1)+IF(OR(COUNTA(AT926:AV926)=0,AND(COUNTA(AT926:AV926)=3,ISNUMBER(AV926))),0,1)+IF(OR(COUNTA(AW926:AY926)=0,AND(COUNTA(AW926:AY926)=3,ISNUMBER(AY926))),0,1)+IF(OR(COUNTA(AZ926:BB926)=0,AND(COUNTA(AZ926:BB926)=3,ISNUMBER(BB926))),0,1))&gt;0,"; An invoice is incomplete (needs No, Date and a number in Ex GST)","")&amp;IF((IF(T926="",0,IFERROR(--(EOMONTH(T926,0)&lt;&gt;S$5),1))+IF(W926="",0,IFERROR(--(EOMONTH(W926,0)&lt;&gt;V$5),1))+IF(Z926="",0,IFERROR(--(EOMONTH(Z926,0)&lt;&gt;Y$5),1))+IF(AC926="",0,IFERROR(--(EOMONTH(AC926,0)&lt;&gt;AB$5),1))+IF(AF926="",0,IFERROR(--(EOMONTH(AF926,0)&lt;&gt;AE$5),1))+IF(AI926="",0,IFERROR(--(EOMONTH(AI926,0)&lt;&gt;AH$5),1))+IF(AL926="",0,IFERROR(--(EOMONTH(AL926,0)&lt;&gt;AK$5),1))+IF(AO926="",0,IFERROR(--(EOMONTH(AO926,0)&lt;&gt;AN$5),1))+IF(AR926="",0,IFERROR(--(EOMONTH(AR926,0)&lt;&gt;AQ$5),1))+IF(AU926="",0,IFERROR(--(EOMONTH(AU926,0)&lt;&gt;AT$5),1))+IF(AX926="",0,IFERROR(--(EOMONTH(AX926,0)&lt;&gt;AW$5),1))+IF(BA926="",0,IFERROR(--(EOMONTH(BA926,0)&lt;&gt;AZ$5),1)))&gt;0,"; An invoice date is not in the month it is typed under",""),3,500))</f>
        <v/>
      </c>
      <c r="S926" s="12" t="n"/>
      <c r="T926" s="13" t="n"/>
      <c r="U926" s="14" t="n"/>
      <c r="V926" s="12" t="n"/>
      <c r="W926" s="13" t="n"/>
      <c r="X926" s="14" t="n"/>
      <c r="Y926" s="12" t="n"/>
      <c r="Z926" s="13" t="n"/>
      <c r="AA926" s="14" t="n"/>
      <c r="AB926" s="12" t="n"/>
      <c r="AC926" s="13" t="n"/>
      <c r="AD926" s="14" t="n"/>
      <c r="AE926" s="12" t="n"/>
      <c r="AF926" s="13" t="n"/>
      <c r="AG926" s="14" t="n"/>
      <c r="AH926" s="12" t="n"/>
      <c r="AI926" s="13" t="n"/>
      <c r="AJ926" s="14" t="n"/>
      <c r="AK926" s="12" t="n"/>
      <c r="AL926" s="13" t="n"/>
      <c r="AM926" s="14" t="n"/>
      <c r="AN926" s="12" t="n"/>
      <c r="AO926" s="13" t="n"/>
      <c r="AP926" s="14" t="n"/>
      <c r="AQ926" s="12" t="n"/>
      <c r="AR926" s="13" t="n"/>
      <c r="AS926" s="14" t="n"/>
      <c r="AT926" s="12" t="n"/>
      <c r="AU926" s="13" t="n"/>
      <c r="AV926" s="14" t="n"/>
      <c r="AW926" s="12" t="n"/>
      <c r="AX926" s="13" t="n"/>
      <c r="AY926" s="14" t="n"/>
      <c r="AZ926" s="12" t="n"/>
      <c r="BA926" s="13" t="n"/>
      <c r="BB926" s="14" t="n"/>
      <c r="BC926" s="11">
        <f>IF(O926="","",IF(J926="GST 10%",ROUND(O926*set_GSTRate,2),0))</f>
        <v/>
      </c>
      <c r="BD926" s="11">
        <f>IF(O926="","",O926+BC926)</f>
        <v/>
      </c>
      <c r="BE926" s="15">
        <f>IF(O926="","",COUNTA(S926,V926,Y926,AB926,AE926,AH926,AK926,AN926,AQ926,AT926,AW926,AZ926))</f>
        <v/>
      </c>
      <c r="BF926" s="16">
        <f>IF(COUNT(T926,W926,Z926,AC926,AF926,AI926,AL926,AO926,AR926,AU926,AX926,BA926)=0,"",MAX(T926,W926,Z926,AC926,AF926,AI926,AL926,AO926,AR926,AU926,AX926,BA926))</f>
        <v/>
      </c>
      <c r="BG926" s="10">
        <f>MID(IF(S926="","",", "&amp;S926)&amp;IF(V926="","",", "&amp;V926)&amp;IF(Y926="","",", "&amp;Y926)&amp;IF(AB926="","",", "&amp;AB926)&amp;IF(AE926="","",", "&amp;AE926)&amp;IF(AH926="","",", "&amp;AH926)&amp;IF(AK926="","",", "&amp;AK926)&amp;IF(AN926="","",", "&amp;AN926)&amp;IF(AQ926="","",", "&amp;AQ926)&amp;IF(AT926="","",", "&amp;AT926)&amp;IF(AW926="","",", "&amp;AW926)&amp;IF(AZ926="","",", "&amp;AZ926),3,500)</f>
        <v/>
      </c>
      <c r="BH926" s="12" t="n"/>
      <c r="BI926" s="15">
        <f>IFERROR(MATCH($A926,IF($B926="Onsite",tbl_Onsite[Row ID],IF($B926="Production",tbl_Production[Row ID],tbl_Consulting[Row ID])),0),"")</f>
        <v/>
      </c>
    </row>
    <row r="927">
      <c r="A927" s="10" t="inlineStr">
        <is>
          <t>PRD-0421</t>
        </is>
      </c>
      <c r="B927" s="10" t="inlineStr">
        <is>
          <t>Production</t>
        </is>
      </c>
      <c r="C927" s="10">
        <f>IF($BI927="","",IF($B927="Onsite",INDEX(tbl_Onsite[Job Number],$BI927),IF($B927="Production",INDEX(tbl_Production[Job Number],$BI927),INDEX(tbl_Consulting[Job Number],$BI927)))&amp;"")</f>
        <v/>
      </c>
      <c r="D927" s="10">
        <f>IF($BI927="","",IF($B927="Onsite",INDEX(tbl_Onsite[Client],$BI927),IF($B927="Production",INDEX(tbl_Production[Client],$BI927),INDEX(tbl_Consulting[Client],$BI927)))&amp;"")</f>
        <v/>
      </c>
      <c r="E927" s="10">
        <f>IF($C927="","",IF(COUNTIF(lst_Jobs,$C927)&gt;0,"OK","CHECK"))</f>
        <v/>
      </c>
      <c r="F927" s="10">
        <f>IF($C927="","",IFERROR(INDEX(lst_JobName,MATCH($C927,lst_Jobs,0)),""))</f>
        <v/>
      </c>
      <c r="G927" s="10">
        <f>IF($BI927="","",IF($B927="Onsite",INDEX(tbl_Onsite[Job Description],$BI927),IF($B927="Production",INDEX(tbl_Production[Job Description],$BI927),INDEX(tbl_Consulting[Job Description],$BI927)))&amp;"")</f>
        <v/>
      </c>
      <c r="H927" s="10">
        <f>IF($BI927="","",IF($B927="Onsite",INDEX(tbl_Onsite[Cost Centre],$BI927),IF($B927="Production",INDEX(tbl_Production[Cost Centre],$BI927),INDEX(tbl_Consulting[Cost Centre],$BI927)))&amp;"")</f>
        <v/>
      </c>
      <c r="I927" s="10">
        <f>IF($BI927="","",IF($B927="Onsite",INDEX(tbl_Onsite[Invoice Type],$BI927),IF($B927="Production",INDEX(tbl_Production[Invoice Type],$BI927),INDEX(tbl_Consulting[Invoice Type],$BI927)))&amp;"")</f>
        <v/>
      </c>
      <c r="J927" s="10">
        <f>IF($BI927="","",IF($B927="Onsite",INDEX(tbl_Onsite[Tax Code],$BI927),IF($B927="Production",INDEX(tbl_Production[Tax Code],$BI927),INDEX(tbl_Consulting[Tax Code],$BI927)))&amp;"")</f>
        <v/>
      </c>
      <c r="K927" s="10">
        <f>IF(H927="","",IFERROR(INDEX(lst_CCtoGL,MATCH(H927,lst_CCforGL,0)),""))</f>
        <v/>
      </c>
      <c r="L927" s="10">
        <f>IF($BI927="","",IF($B927="Onsite",INDEX(tbl_Onsite[PO / Reference],$BI927),IF($B927="Production",INDEX(tbl_Production[Current RMS No],$BI927),INDEX(tbl_Consulting[Qwilr Quote],$BI927)))&amp;"")</f>
        <v/>
      </c>
      <c r="M927" s="10">
        <f>IF($BI927="","",IF($B927="Onsite",INDEX(tbl_Onsite[Notes],$BI927),IF($B927="Production",INDEX(tbl_Production[Notes],$BI927),INDEX(tbl_Consulting[Notes],$BI927)))&amp;"")</f>
        <v/>
      </c>
      <c r="N927" s="11">
        <f>IF($BI927="","",IF(IF($B927="Onsite",INDEX(tbl_Onsite[Expected Revenue Ex GST],$BI927),IF($B927="Production",INDEX(tbl_Production[Expected Revenue Ex GST],$BI927),INDEX(tbl_Consulting[Expected Revenue Ex GST],$BI927)))="","",IF($B927="Onsite",INDEX(tbl_Onsite[Expected Revenue Ex GST],$BI927),IF($B927="Production",INDEX(tbl_Production[Expected Revenue Ex GST],$BI927),INDEX(tbl_Consulting[Expected Revenue Ex GST],$BI927)))))</f>
        <v/>
      </c>
      <c r="O927" s="11">
        <f>IF(AND($C927="",NOT(COUNTA($S927:$BB927)&gt;0)),"",SUM(U927,X927,AA927,AD927,AG927,AJ927,AM927,AP927,AS927,AV927,AY927,BB927))</f>
        <v/>
      </c>
      <c r="P927" s="11">
        <f>IF(O927="","",N(N927)-O927)</f>
        <v/>
      </c>
      <c r="Q927" s="10">
        <f>IF(O927="","",IF($C927="","Invoice on empty job row",IF(N927="",IF(ROUND(O927,2)=0,"No dept value","Invoiced - no dept value"),IF(ROUND(O927,2)=0,"Not invoiced - to invoice",IF(ROUND(P927,2)=0,"Agrees",IF(P927&gt;0,"Dept higher - to invoice","Xero higher - check dept"))))))</f>
        <v/>
      </c>
      <c r="R927" s="10">
        <f>IF(AND($C927="",NOT(COUNTA($S927:$BB927)&gt;0),$BI927&lt;&gt;""),"",MID(IF($BI927="","; Row ID not found on the department sheet - a row was deleted","")&amp;IF(AND($C927="",COUNTA($S927:$BB927)&gt;0),"; Invoice entered but the department row has no job number","")&amp;IF(E927="CHECK","; Job number not in the Xero job list","")&amp;IF(AND($C927&lt;&gt;"",COUNTIF($C$7:$C$1506,$C927)&gt;1),"; Job number on more than one row","")&amp;IF(AND($C927&lt;&gt;"",H927=""),"; Dept has not set a cost centre","")&amp;IF(AND($C927&lt;&gt;"",J927=""),"; Dept has not set a tax code","")&amp;IF(AND($C927&lt;&gt;"",N927=""),"; Dept has not entered an expected value","")&amp;IF((IF(OR(COUNTA(S927:U927)=0,AND(COUNTA(S927:U927)=3,ISNUMBER(U927))),0,1)+IF(OR(COUNTA(V927:X927)=0,AND(COUNTA(V927:X927)=3,ISNUMBER(X927))),0,1)+IF(OR(COUNTA(Y927:AA927)=0,AND(COUNTA(Y927:AA927)=3,ISNUMBER(AA927))),0,1)+IF(OR(COUNTA(AB927:AD927)=0,AND(COUNTA(AB927:AD927)=3,ISNUMBER(AD927))),0,1)+IF(OR(COUNTA(AE927:AG927)=0,AND(COUNTA(AE927:AG927)=3,ISNUMBER(AG927))),0,1)+IF(OR(COUNTA(AH927:AJ927)=0,AND(COUNTA(AH927:AJ927)=3,ISNUMBER(AJ927))),0,1)+IF(OR(COUNTA(AK927:AM927)=0,AND(COUNTA(AK927:AM927)=3,ISNUMBER(AM927))),0,1)+IF(OR(COUNTA(AN927:AP927)=0,AND(COUNTA(AN927:AP927)=3,ISNUMBER(AP927))),0,1)+IF(OR(COUNTA(AQ927:AS927)=0,AND(COUNTA(AQ927:AS927)=3,ISNUMBER(AS927))),0,1)+IF(OR(COUNTA(AT927:AV927)=0,AND(COUNTA(AT927:AV927)=3,ISNUMBER(AV927))),0,1)+IF(OR(COUNTA(AW927:AY927)=0,AND(COUNTA(AW927:AY927)=3,ISNUMBER(AY927))),0,1)+IF(OR(COUNTA(AZ927:BB927)=0,AND(COUNTA(AZ927:BB927)=3,ISNUMBER(BB927))),0,1))&gt;0,"; An invoice is incomplete (needs No, Date and a number in Ex GST)","")&amp;IF((IF(T927="",0,IFERROR(--(EOMONTH(T927,0)&lt;&gt;S$5),1))+IF(W927="",0,IFERROR(--(EOMONTH(W927,0)&lt;&gt;V$5),1))+IF(Z927="",0,IFERROR(--(EOMONTH(Z927,0)&lt;&gt;Y$5),1))+IF(AC927="",0,IFERROR(--(EOMONTH(AC927,0)&lt;&gt;AB$5),1))+IF(AF927="",0,IFERROR(--(EOMONTH(AF927,0)&lt;&gt;AE$5),1))+IF(AI927="",0,IFERROR(--(EOMONTH(AI927,0)&lt;&gt;AH$5),1))+IF(AL927="",0,IFERROR(--(EOMONTH(AL927,0)&lt;&gt;AK$5),1))+IF(AO927="",0,IFERROR(--(EOMONTH(AO927,0)&lt;&gt;AN$5),1))+IF(AR927="",0,IFERROR(--(EOMONTH(AR927,0)&lt;&gt;AQ$5),1))+IF(AU927="",0,IFERROR(--(EOMONTH(AU927,0)&lt;&gt;AT$5),1))+IF(AX927="",0,IFERROR(--(EOMONTH(AX927,0)&lt;&gt;AW$5),1))+IF(BA927="",0,IFERROR(--(EOMONTH(BA927,0)&lt;&gt;AZ$5),1)))&gt;0,"; An invoice date is not in the month it is typed under",""),3,500))</f>
        <v/>
      </c>
      <c r="S927" s="12" t="n"/>
      <c r="T927" s="13" t="n"/>
      <c r="U927" s="14" t="n"/>
      <c r="V927" s="12" t="n"/>
      <c r="W927" s="13" t="n"/>
      <c r="X927" s="14" t="n"/>
      <c r="Y927" s="12" t="n"/>
      <c r="Z927" s="13" t="n"/>
      <c r="AA927" s="14" t="n"/>
      <c r="AB927" s="12" t="n"/>
      <c r="AC927" s="13" t="n"/>
      <c r="AD927" s="14" t="n"/>
      <c r="AE927" s="12" t="n"/>
      <c r="AF927" s="13" t="n"/>
      <c r="AG927" s="14" t="n"/>
      <c r="AH927" s="12" t="n"/>
      <c r="AI927" s="13" t="n"/>
      <c r="AJ927" s="14" t="n"/>
      <c r="AK927" s="12" t="n"/>
      <c r="AL927" s="13" t="n"/>
      <c r="AM927" s="14" t="n"/>
      <c r="AN927" s="12" t="n"/>
      <c r="AO927" s="13" t="n"/>
      <c r="AP927" s="14" t="n"/>
      <c r="AQ927" s="12" t="n"/>
      <c r="AR927" s="13" t="n"/>
      <c r="AS927" s="14" t="n"/>
      <c r="AT927" s="12" t="n"/>
      <c r="AU927" s="13" t="n"/>
      <c r="AV927" s="14" t="n"/>
      <c r="AW927" s="12" t="n"/>
      <c r="AX927" s="13" t="n"/>
      <c r="AY927" s="14" t="n"/>
      <c r="AZ927" s="12" t="n"/>
      <c r="BA927" s="13" t="n"/>
      <c r="BB927" s="14" t="n"/>
      <c r="BC927" s="11">
        <f>IF(O927="","",IF(J927="GST 10%",ROUND(O927*set_GSTRate,2),0))</f>
        <v/>
      </c>
      <c r="BD927" s="11">
        <f>IF(O927="","",O927+BC927)</f>
        <v/>
      </c>
      <c r="BE927" s="15">
        <f>IF(O927="","",COUNTA(S927,V927,Y927,AB927,AE927,AH927,AK927,AN927,AQ927,AT927,AW927,AZ927))</f>
        <v/>
      </c>
      <c r="BF927" s="16">
        <f>IF(COUNT(T927,W927,Z927,AC927,AF927,AI927,AL927,AO927,AR927,AU927,AX927,BA927)=0,"",MAX(T927,W927,Z927,AC927,AF927,AI927,AL927,AO927,AR927,AU927,AX927,BA927))</f>
        <v/>
      </c>
      <c r="BG927" s="10">
        <f>MID(IF(S927="","",", "&amp;S927)&amp;IF(V927="","",", "&amp;V927)&amp;IF(Y927="","",", "&amp;Y927)&amp;IF(AB927="","",", "&amp;AB927)&amp;IF(AE927="","",", "&amp;AE927)&amp;IF(AH927="","",", "&amp;AH927)&amp;IF(AK927="","",", "&amp;AK927)&amp;IF(AN927="","",", "&amp;AN927)&amp;IF(AQ927="","",", "&amp;AQ927)&amp;IF(AT927="","",", "&amp;AT927)&amp;IF(AW927="","",", "&amp;AW927)&amp;IF(AZ927="","",", "&amp;AZ927),3,500)</f>
        <v/>
      </c>
      <c r="BH927" s="12" t="n"/>
      <c r="BI927" s="15">
        <f>IFERROR(MATCH($A927,IF($B927="Onsite",tbl_Onsite[Row ID],IF($B927="Production",tbl_Production[Row ID],tbl_Consulting[Row ID])),0),"")</f>
        <v/>
      </c>
    </row>
    <row r="928">
      <c r="A928" s="10" t="inlineStr">
        <is>
          <t>PRD-0422</t>
        </is>
      </c>
      <c r="B928" s="10" t="inlineStr">
        <is>
          <t>Production</t>
        </is>
      </c>
      <c r="C928" s="10">
        <f>IF($BI928="","",IF($B928="Onsite",INDEX(tbl_Onsite[Job Number],$BI928),IF($B928="Production",INDEX(tbl_Production[Job Number],$BI928),INDEX(tbl_Consulting[Job Number],$BI928)))&amp;"")</f>
        <v/>
      </c>
      <c r="D928" s="10">
        <f>IF($BI928="","",IF($B928="Onsite",INDEX(tbl_Onsite[Client],$BI928),IF($B928="Production",INDEX(tbl_Production[Client],$BI928),INDEX(tbl_Consulting[Client],$BI928)))&amp;"")</f>
        <v/>
      </c>
      <c r="E928" s="10">
        <f>IF($C928="","",IF(COUNTIF(lst_Jobs,$C928)&gt;0,"OK","CHECK"))</f>
        <v/>
      </c>
      <c r="F928" s="10">
        <f>IF($C928="","",IFERROR(INDEX(lst_JobName,MATCH($C928,lst_Jobs,0)),""))</f>
        <v/>
      </c>
      <c r="G928" s="10">
        <f>IF($BI928="","",IF($B928="Onsite",INDEX(tbl_Onsite[Job Description],$BI928),IF($B928="Production",INDEX(tbl_Production[Job Description],$BI928),INDEX(tbl_Consulting[Job Description],$BI928)))&amp;"")</f>
        <v/>
      </c>
      <c r="H928" s="10">
        <f>IF($BI928="","",IF($B928="Onsite",INDEX(tbl_Onsite[Cost Centre],$BI928),IF($B928="Production",INDEX(tbl_Production[Cost Centre],$BI928),INDEX(tbl_Consulting[Cost Centre],$BI928)))&amp;"")</f>
        <v/>
      </c>
      <c r="I928" s="10">
        <f>IF($BI928="","",IF($B928="Onsite",INDEX(tbl_Onsite[Invoice Type],$BI928),IF($B928="Production",INDEX(tbl_Production[Invoice Type],$BI928),INDEX(tbl_Consulting[Invoice Type],$BI928)))&amp;"")</f>
        <v/>
      </c>
      <c r="J928" s="10">
        <f>IF($BI928="","",IF($B928="Onsite",INDEX(tbl_Onsite[Tax Code],$BI928),IF($B928="Production",INDEX(tbl_Production[Tax Code],$BI928),INDEX(tbl_Consulting[Tax Code],$BI928)))&amp;"")</f>
        <v/>
      </c>
      <c r="K928" s="10">
        <f>IF(H928="","",IFERROR(INDEX(lst_CCtoGL,MATCH(H928,lst_CCforGL,0)),""))</f>
        <v/>
      </c>
      <c r="L928" s="10">
        <f>IF($BI928="","",IF($B928="Onsite",INDEX(tbl_Onsite[PO / Reference],$BI928),IF($B928="Production",INDEX(tbl_Production[Current RMS No],$BI928),INDEX(tbl_Consulting[Qwilr Quote],$BI928)))&amp;"")</f>
        <v/>
      </c>
      <c r="M928" s="10">
        <f>IF($BI928="","",IF($B928="Onsite",INDEX(tbl_Onsite[Notes],$BI928),IF($B928="Production",INDEX(tbl_Production[Notes],$BI928),INDEX(tbl_Consulting[Notes],$BI928)))&amp;"")</f>
        <v/>
      </c>
      <c r="N928" s="11">
        <f>IF($BI928="","",IF(IF($B928="Onsite",INDEX(tbl_Onsite[Expected Revenue Ex GST],$BI928),IF($B928="Production",INDEX(tbl_Production[Expected Revenue Ex GST],$BI928),INDEX(tbl_Consulting[Expected Revenue Ex GST],$BI928)))="","",IF($B928="Onsite",INDEX(tbl_Onsite[Expected Revenue Ex GST],$BI928),IF($B928="Production",INDEX(tbl_Production[Expected Revenue Ex GST],$BI928),INDEX(tbl_Consulting[Expected Revenue Ex GST],$BI928)))))</f>
        <v/>
      </c>
      <c r="O928" s="11">
        <f>IF(AND($C928="",NOT(COUNTA($S928:$BB928)&gt;0)),"",SUM(U928,X928,AA928,AD928,AG928,AJ928,AM928,AP928,AS928,AV928,AY928,BB928))</f>
        <v/>
      </c>
      <c r="P928" s="11">
        <f>IF(O928="","",N(N928)-O928)</f>
        <v/>
      </c>
      <c r="Q928" s="10">
        <f>IF(O928="","",IF($C928="","Invoice on empty job row",IF(N928="",IF(ROUND(O928,2)=0,"No dept value","Invoiced - no dept value"),IF(ROUND(O928,2)=0,"Not invoiced - to invoice",IF(ROUND(P928,2)=0,"Agrees",IF(P928&gt;0,"Dept higher - to invoice","Xero higher - check dept"))))))</f>
        <v/>
      </c>
      <c r="R928" s="10">
        <f>IF(AND($C928="",NOT(COUNTA($S928:$BB928)&gt;0),$BI928&lt;&gt;""),"",MID(IF($BI928="","; Row ID not found on the department sheet - a row was deleted","")&amp;IF(AND($C928="",COUNTA($S928:$BB928)&gt;0),"; Invoice entered but the department row has no job number","")&amp;IF(E928="CHECK","; Job number not in the Xero job list","")&amp;IF(AND($C928&lt;&gt;"",COUNTIF($C$7:$C$1506,$C928)&gt;1),"; Job number on more than one row","")&amp;IF(AND($C928&lt;&gt;"",H928=""),"; Dept has not set a cost centre","")&amp;IF(AND($C928&lt;&gt;"",J928=""),"; Dept has not set a tax code","")&amp;IF(AND($C928&lt;&gt;"",N928=""),"; Dept has not entered an expected value","")&amp;IF((IF(OR(COUNTA(S928:U928)=0,AND(COUNTA(S928:U928)=3,ISNUMBER(U928))),0,1)+IF(OR(COUNTA(V928:X928)=0,AND(COUNTA(V928:X928)=3,ISNUMBER(X928))),0,1)+IF(OR(COUNTA(Y928:AA928)=0,AND(COUNTA(Y928:AA928)=3,ISNUMBER(AA928))),0,1)+IF(OR(COUNTA(AB928:AD928)=0,AND(COUNTA(AB928:AD928)=3,ISNUMBER(AD928))),0,1)+IF(OR(COUNTA(AE928:AG928)=0,AND(COUNTA(AE928:AG928)=3,ISNUMBER(AG928))),0,1)+IF(OR(COUNTA(AH928:AJ928)=0,AND(COUNTA(AH928:AJ928)=3,ISNUMBER(AJ928))),0,1)+IF(OR(COUNTA(AK928:AM928)=0,AND(COUNTA(AK928:AM928)=3,ISNUMBER(AM928))),0,1)+IF(OR(COUNTA(AN928:AP928)=0,AND(COUNTA(AN928:AP928)=3,ISNUMBER(AP928))),0,1)+IF(OR(COUNTA(AQ928:AS928)=0,AND(COUNTA(AQ928:AS928)=3,ISNUMBER(AS928))),0,1)+IF(OR(COUNTA(AT928:AV928)=0,AND(COUNTA(AT928:AV928)=3,ISNUMBER(AV928))),0,1)+IF(OR(COUNTA(AW928:AY928)=0,AND(COUNTA(AW928:AY928)=3,ISNUMBER(AY928))),0,1)+IF(OR(COUNTA(AZ928:BB928)=0,AND(COUNTA(AZ928:BB928)=3,ISNUMBER(BB928))),0,1))&gt;0,"; An invoice is incomplete (needs No, Date and a number in Ex GST)","")&amp;IF((IF(T928="",0,IFERROR(--(EOMONTH(T928,0)&lt;&gt;S$5),1))+IF(W928="",0,IFERROR(--(EOMONTH(W928,0)&lt;&gt;V$5),1))+IF(Z928="",0,IFERROR(--(EOMONTH(Z928,0)&lt;&gt;Y$5),1))+IF(AC928="",0,IFERROR(--(EOMONTH(AC928,0)&lt;&gt;AB$5),1))+IF(AF928="",0,IFERROR(--(EOMONTH(AF928,0)&lt;&gt;AE$5),1))+IF(AI928="",0,IFERROR(--(EOMONTH(AI928,0)&lt;&gt;AH$5),1))+IF(AL928="",0,IFERROR(--(EOMONTH(AL928,0)&lt;&gt;AK$5),1))+IF(AO928="",0,IFERROR(--(EOMONTH(AO928,0)&lt;&gt;AN$5),1))+IF(AR928="",0,IFERROR(--(EOMONTH(AR928,0)&lt;&gt;AQ$5),1))+IF(AU928="",0,IFERROR(--(EOMONTH(AU928,0)&lt;&gt;AT$5),1))+IF(AX928="",0,IFERROR(--(EOMONTH(AX928,0)&lt;&gt;AW$5),1))+IF(BA928="",0,IFERROR(--(EOMONTH(BA928,0)&lt;&gt;AZ$5),1)))&gt;0,"; An invoice date is not in the month it is typed under",""),3,500))</f>
        <v/>
      </c>
      <c r="S928" s="12" t="n"/>
      <c r="T928" s="13" t="n"/>
      <c r="U928" s="14" t="n"/>
      <c r="V928" s="12" t="n"/>
      <c r="W928" s="13" t="n"/>
      <c r="X928" s="14" t="n"/>
      <c r="Y928" s="12" t="n"/>
      <c r="Z928" s="13" t="n"/>
      <c r="AA928" s="14" t="n"/>
      <c r="AB928" s="12" t="n"/>
      <c r="AC928" s="13" t="n"/>
      <c r="AD928" s="14" t="n"/>
      <c r="AE928" s="12" t="n"/>
      <c r="AF928" s="13" t="n"/>
      <c r="AG928" s="14" t="n"/>
      <c r="AH928" s="12" t="n"/>
      <c r="AI928" s="13" t="n"/>
      <c r="AJ928" s="14" t="n"/>
      <c r="AK928" s="12" t="n"/>
      <c r="AL928" s="13" t="n"/>
      <c r="AM928" s="14" t="n"/>
      <c r="AN928" s="12" t="n"/>
      <c r="AO928" s="13" t="n"/>
      <c r="AP928" s="14" t="n"/>
      <c r="AQ928" s="12" t="n"/>
      <c r="AR928" s="13" t="n"/>
      <c r="AS928" s="14" t="n"/>
      <c r="AT928" s="12" t="n"/>
      <c r="AU928" s="13" t="n"/>
      <c r="AV928" s="14" t="n"/>
      <c r="AW928" s="12" t="n"/>
      <c r="AX928" s="13" t="n"/>
      <c r="AY928" s="14" t="n"/>
      <c r="AZ928" s="12" t="n"/>
      <c r="BA928" s="13" t="n"/>
      <c r="BB928" s="14" t="n"/>
      <c r="BC928" s="11">
        <f>IF(O928="","",IF(J928="GST 10%",ROUND(O928*set_GSTRate,2),0))</f>
        <v/>
      </c>
      <c r="BD928" s="11">
        <f>IF(O928="","",O928+BC928)</f>
        <v/>
      </c>
      <c r="BE928" s="15">
        <f>IF(O928="","",COUNTA(S928,V928,Y928,AB928,AE928,AH928,AK928,AN928,AQ928,AT928,AW928,AZ928))</f>
        <v/>
      </c>
      <c r="BF928" s="16">
        <f>IF(COUNT(T928,W928,Z928,AC928,AF928,AI928,AL928,AO928,AR928,AU928,AX928,BA928)=0,"",MAX(T928,W928,Z928,AC928,AF928,AI928,AL928,AO928,AR928,AU928,AX928,BA928))</f>
        <v/>
      </c>
      <c r="BG928" s="10">
        <f>MID(IF(S928="","",", "&amp;S928)&amp;IF(V928="","",", "&amp;V928)&amp;IF(Y928="","",", "&amp;Y928)&amp;IF(AB928="","",", "&amp;AB928)&amp;IF(AE928="","",", "&amp;AE928)&amp;IF(AH928="","",", "&amp;AH928)&amp;IF(AK928="","",", "&amp;AK928)&amp;IF(AN928="","",", "&amp;AN928)&amp;IF(AQ928="","",", "&amp;AQ928)&amp;IF(AT928="","",", "&amp;AT928)&amp;IF(AW928="","",", "&amp;AW928)&amp;IF(AZ928="","",", "&amp;AZ928),3,500)</f>
        <v/>
      </c>
      <c r="BH928" s="12" t="n"/>
      <c r="BI928" s="15">
        <f>IFERROR(MATCH($A928,IF($B928="Onsite",tbl_Onsite[Row ID],IF($B928="Production",tbl_Production[Row ID],tbl_Consulting[Row ID])),0),"")</f>
        <v/>
      </c>
    </row>
    <row r="929">
      <c r="A929" s="10" t="inlineStr">
        <is>
          <t>PRD-0423</t>
        </is>
      </c>
      <c r="B929" s="10" t="inlineStr">
        <is>
          <t>Production</t>
        </is>
      </c>
      <c r="C929" s="10">
        <f>IF($BI929="","",IF($B929="Onsite",INDEX(tbl_Onsite[Job Number],$BI929),IF($B929="Production",INDEX(tbl_Production[Job Number],$BI929),INDEX(tbl_Consulting[Job Number],$BI929)))&amp;"")</f>
        <v/>
      </c>
      <c r="D929" s="10">
        <f>IF($BI929="","",IF($B929="Onsite",INDEX(tbl_Onsite[Client],$BI929),IF($B929="Production",INDEX(tbl_Production[Client],$BI929),INDEX(tbl_Consulting[Client],$BI929)))&amp;"")</f>
        <v/>
      </c>
      <c r="E929" s="10">
        <f>IF($C929="","",IF(COUNTIF(lst_Jobs,$C929)&gt;0,"OK","CHECK"))</f>
        <v/>
      </c>
      <c r="F929" s="10">
        <f>IF($C929="","",IFERROR(INDEX(lst_JobName,MATCH($C929,lst_Jobs,0)),""))</f>
        <v/>
      </c>
      <c r="G929" s="10">
        <f>IF($BI929="","",IF($B929="Onsite",INDEX(tbl_Onsite[Job Description],$BI929),IF($B929="Production",INDEX(tbl_Production[Job Description],$BI929),INDEX(tbl_Consulting[Job Description],$BI929)))&amp;"")</f>
        <v/>
      </c>
      <c r="H929" s="10">
        <f>IF($BI929="","",IF($B929="Onsite",INDEX(tbl_Onsite[Cost Centre],$BI929),IF($B929="Production",INDEX(tbl_Production[Cost Centre],$BI929),INDEX(tbl_Consulting[Cost Centre],$BI929)))&amp;"")</f>
        <v/>
      </c>
      <c r="I929" s="10">
        <f>IF($BI929="","",IF($B929="Onsite",INDEX(tbl_Onsite[Invoice Type],$BI929),IF($B929="Production",INDEX(tbl_Production[Invoice Type],$BI929),INDEX(tbl_Consulting[Invoice Type],$BI929)))&amp;"")</f>
        <v/>
      </c>
      <c r="J929" s="10">
        <f>IF($BI929="","",IF($B929="Onsite",INDEX(tbl_Onsite[Tax Code],$BI929),IF($B929="Production",INDEX(tbl_Production[Tax Code],$BI929),INDEX(tbl_Consulting[Tax Code],$BI929)))&amp;"")</f>
        <v/>
      </c>
      <c r="K929" s="10">
        <f>IF(H929="","",IFERROR(INDEX(lst_CCtoGL,MATCH(H929,lst_CCforGL,0)),""))</f>
        <v/>
      </c>
      <c r="L929" s="10">
        <f>IF($BI929="","",IF($B929="Onsite",INDEX(tbl_Onsite[PO / Reference],$BI929),IF($B929="Production",INDEX(tbl_Production[Current RMS No],$BI929),INDEX(tbl_Consulting[Qwilr Quote],$BI929)))&amp;"")</f>
        <v/>
      </c>
      <c r="M929" s="10">
        <f>IF($BI929="","",IF($B929="Onsite",INDEX(tbl_Onsite[Notes],$BI929),IF($B929="Production",INDEX(tbl_Production[Notes],$BI929),INDEX(tbl_Consulting[Notes],$BI929)))&amp;"")</f>
        <v/>
      </c>
      <c r="N929" s="11">
        <f>IF($BI929="","",IF(IF($B929="Onsite",INDEX(tbl_Onsite[Expected Revenue Ex GST],$BI929),IF($B929="Production",INDEX(tbl_Production[Expected Revenue Ex GST],$BI929),INDEX(tbl_Consulting[Expected Revenue Ex GST],$BI929)))="","",IF($B929="Onsite",INDEX(tbl_Onsite[Expected Revenue Ex GST],$BI929),IF($B929="Production",INDEX(tbl_Production[Expected Revenue Ex GST],$BI929),INDEX(tbl_Consulting[Expected Revenue Ex GST],$BI929)))))</f>
        <v/>
      </c>
      <c r="O929" s="11">
        <f>IF(AND($C929="",NOT(COUNTA($S929:$BB929)&gt;0)),"",SUM(U929,X929,AA929,AD929,AG929,AJ929,AM929,AP929,AS929,AV929,AY929,BB929))</f>
        <v/>
      </c>
      <c r="P929" s="11">
        <f>IF(O929="","",N(N929)-O929)</f>
        <v/>
      </c>
      <c r="Q929" s="10">
        <f>IF(O929="","",IF($C929="","Invoice on empty job row",IF(N929="",IF(ROUND(O929,2)=0,"No dept value","Invoiced - no dept value"),IF(ROUND(O929,2)=0,"Not invoiced - to invoice",IF(ROUND(P929,2)=0,"Agrees",IF(P929&gt;0,"Dept higher - to invoice","Xero higher - check dept"))))))</f>
        <v/>
      </c>
      <c r="R929" s="10">
        <f>IF(AND($C929="",NOT(COUNTA($S929:$BB929)&gt;0),$BI929&lt;&gt;""),"",MID(IF($BI929="","; Row ID not found on the department sheet - a row was deleted","")&amp;IF(AND($C929="",COUNTA($S929:$BB929)&gt;0),"; Invoice entered but the department row has no job number","")&amp;IF(E929="CHECK","; Job number not in the Xero job list","")&amp;IF(AND($C929&lt;&gt;"",COUNTIF($C$7:$C$1506,$C929)&gt;1),"; Job number on more than one row","")&amp;IF(AND($C929&lt;&gt;"",H929=""),"; Dept has not set a cost centre","")&amp;IF(AND($C929&lt;&gt;"",J929=""),"; Dept has not set a tax code","")&amp;IF(AND($C929&lt;&gt;"",N929=""),"; Dept has not entered an expected value","")&amp;IF((IF(OR(COUNTA(S929:U929)=0,AND(COUNTA(S929:U929)=3,ISNUMBER(U929))),0,1)+IF(OR(COUNTA(V929:X929)=0,AND(COUNTA(V929:X929)=3,ISNUMBER(X929))),0,1)+IF(OR(COUNTA(Y929:AA929)=0,AND(COUNTA(Y929:AA929)=3,ISNUMBER(AA929))),0,1)+IF(OR(COUNTA(AB929:AD929)=0,AND(COUNTA(AB929:AD929)=3,ISNUMBER(AD929))),0,1)+IF(OR(COUNTA(AE929:AG929)=0,AND(COUNTA(AE929:AG929)=3,ISNUMBER(AG929))),0,1)+IF(OR(COUNTA(AH929:AJ929)=0,AND(COUNTA(AH929:AJ929)=3,ISNUMBER(AJ929))),0,1)+IF(OR(COUNTA(AK929:AM929)=0,AND(COUNTA(AK929:AM929)=3,ISNUMBER(AM929))),0,1)+IF(OR(COUNTA(AN929:AP929)=0,AND(COUNTA(AN929:AP929)=3,ISNUMBER(AP929))),0,1)+IF(OR(COUNTA(AQ929:AS929)=0,AND(COUNTA(AQ929:AS929)=3,ISNUMBER(AS929))),0,1)+IF(OR(COUNTA(AT929:AV929)=0,AND(COUNTA(AT929:AV929)=3,ISNUMBER(AV929))),0,1)+IF(OR(COUNTA(AW929:AY929)=0,AND(COUNTA(AW929:AY929)=3,ISNUMBER(AY929))),0,1)+IF(OR(COUNTA(AZ929:BB929)=0,AND(COUNTA(AZ929:BB929)=3,ISNUMBER(BB929))),0,1))&gt;0,"; An invoice is incomplete (needs No, Date and a number in Ex GST)","")&amp;IF((IF(T929="",0,IFERROR(--(EOMONTH(T929,0)&lt;&gt;S$5),1))+IF(W929="",0,IFERROR(--(EOMONTH(W929,0)&lt;&gt;V$5),1))+IF(Z929="",0,IFERROR(--(EOMONTH(Z929,0)&lt;&gt;Y$5),1))+IF(AC929="",0,IFERROR(--(EOMONTH(AC929,0)&lt;&gt;AB$5),1))+IF(AF929="",0,IFERROR(--(EOMONTH(AF929,0)&lt;&gt;AE$5),1))+IF(AI929="",0,IFERROR(--(EOMONTH(AI929,0)&lt;&gt;AH$5),1))+IF(AL929="",0,IFERROR(--(EOMONTH(AL929,0)&lt;&gt;AK$5),1))+IF(AO929="",0,IFERROR(--(EOMONTH(AO929,0)&lt;&gt;AN$5),1))+IF(AR929="",0,IFERROR(--(EOMONTH(AR929,0)&lt;&gt;AQ$5),1))+IF(AU929="",0,IFERROR(--(EOMONTH(AU929,0)&lt;&gt;AT$5),1))+IF(AX929="",0,IFERROR(--(EOMONTH(AX929,0)&lt;&gt;AW$5),1))+IF(BA929="",0,IFERROR(--(EOMONTH(BA929,0)&lt;&gt;AZ$5),1)))&gt;0,"; An invoice date is not in the month it is typed under",""),3,500))</f>
        <v/>
      </c>
      <c r="S929" s="12" t="n"/>
      <c r="T929" s="13" t="n"/>
      <c r="U929" s="14" t="n"/>
      <c r="V929" s="12" t="n"/>
      <c r="W929" s="13" t="n"/>
      <c r="X929" s="14" t="n"/>
      <c r="Y929" s="12" t="n"/>
      <c r="Z929" s="13" t="n"/>
      <c r="AA929" s="14" t="n"/>
      <c r="AB929" s="12" t="n"/>
      <c r="AC929" s="13" t="n"/>
      <c r="AD929" s="14" t="n"/>
      <c r="AE929" s="12" t="n"/>
      <c r="AF929" s="13" t="n"/>
      <c r="AG929" s="14" t="n"/>
      <c r="AH929" s="12" t="n"/>
      <c r="AI929" s="13" t="n"/>
      <c r="AJ929" s="14" t="n"/>
      <c r="AK929" s="12" t="n"/>
      <c r="AL929" s="13" t="n"/>
      <c r="AM929" s="14" t="n"/>
      <c r="AN929" s="12" t="n"/>
      <c r="AO929" s="13" t="n"/>
      <c r="AP929" s="14" t="n"/>
      <c r="AQ929" s="12" t="n"/>
      <c r="AR929" s="13" t="n"/>
      <c r="AS929" s="14" t="n"/>
      <c r="AT929" s="12" t="n"/>
      <c r="AU929" s="13" t="n"/>
      <c r="AV929" s="14" t="n"/>
      <c r="AW929" s="12" t="n"/>
      <c r="AX929" s="13" t="n"/>
      <c r="AY929" s="14" t="n"/>
      <c r="AZ929" s="12" t="n"/>
      <c r="BA929" s="13" t="n"/>
      <c r="BB929" s="14" t="n"/>
      <c r="BC929" s="11">
        <f>IF(O929="","",IF(J929="GST 10%",ROUND(O929*set_GSTRate,2),0))</f>
        <v/>
      </c>
      <c r="BD929" s="11">
        <f>IF(O929="","",O929+BC929)</f>
        <v/>
      </c>
      <c r="BE929" s="15">
        <f>IF(O929="","",COUNTA(S929,V929,Y929,AB929,AE929,AH929,AK929,AN929,AQ929,AT929,AW929,AZ929))</f>
        <v/>
      </c>
      <c r="BF929" s="16">
        <f>IF(COUNT(T929,W929,Z929,AC929,AF929,AI929,AL929,AO929,AR929,AU929,AX929,BA929)=0,"",MAX(T929,W929,Z929,AC929,AF929,AI929,AL929,AO929,AR929,AU929,AX929,BA929))</f>
        <v/>
      </c>
      <c r="BG929" s="10">
        <f>MID(IF(S929="","",", "&amp;S929)&amp;IF(V929="","",", "&amp;V929)&amp;IF(Y929="","",", "&amp;Y929)&amp;IF(AB929="","",", "&amp;AB929)&amp;IF(AE929="","",", "&amp;AE929)&amp;IF(AH929="","",", "&amp;AH929)&amp;IF(AK929="","",", "&amp;AK929)&amp;IF(AN929="","",", "&amp;AN929)&amp;IF(AQ929="","",", "&amp;AQ929)&amp;IF(AT929="","",", "&amp;AT929)&amp;IF(AW929="","",", "&amp;AW929)&amp;IF(AZ929="","",", "&amp;AZ929),3,500)</f>
        <v/>
      </c>
      <c r="BH929" s="12" t="n"/>
      <c r="BI929" s="15">
        <f>IFERROR(MATCH($A929,IF($B929="Onsite",tbl_Onsite[Row ID],IF($B929="Production",tbl_Production[Row ID],tbl_Consulting[Row ID])),0),"")</f>
        <v/>
      </c>
    </row>
    <row r="930">
      <c r="A930" s="10" t="inlineStr">
        <is>
          <t>PRD-0424</t>
        </is>
      </c>
      <c r="B930" s="10" t="inlineStr">
        <is>
          <t>Production</t>
        </is>
      </c>
      <c r="C930" s="10">
        <f>IF($BI930="","",IF($B930="Onsite",INDEX(tbl_Onsite[Job Number],$BI930),IF($B930="Production",INDEX(tbl_Production[Job Number],$BI930),INDEX(tbl_Consulting[Job Number],$BI930)))&amp;"")</f>
        <v/>
      </c>
      <c r="D930" s="10">
        <f>IF($BI930="","",IF($B930="Onsite",INDEX(tbl_Onsite[Client],$BI930),IF($B930="Production",INDEX(tbl_Production[Client],$BI930),INDEX(tbl_Consulting[Client],$BI930)))&amp;"")</f>
        <v/>
      </c>
      <c r="E930" s="10">
        <f>IF($C930="","",IF(COUNTIF(lst_Jobs,$C930)&gt;0,"OK","CHECK"))</f>
        <v/>
      </c>
      <c r="F930" s="10">
        <f>IF($C930="","",IFERROR(INDEX(lst_JobName,MATCH($C930,lst_Jobs,0)),""))</f>
        <v/>
      </c>
      <c r="G930" s="10">
        <f>IF($BI930="","",IF($B930="Onsite",INDEX(tbl_Onsite[Job Description],$BI930),IF($B930="Production",INDEX(tbl_Production[Job Description],$BI930),INDEX(tbl_Consulting[Job Description],$BI930)))&amp;"")</f>
        <v/>
      </c>
      <c r="H930" s="10">
        <f>IF($BI930="","",IF($B930="Onsite",INDEX(tbl_Onsite[Cost Centre],$BI930),IF($B930="Production",INDEX(tbl_Production[Cost Centre],$BI930),INDEX(tbl_Consulting[Cost Centre],$BI930)))&amp;"")</f>
        <v/>
      </c>
      <c r="I930" s="10">
        <f>IF($BI930="","",IF($B930="Onsite",INDEX(tbl_Onsite[Invoice Type],$BI930),IF($B930="Production",INDEX(tbl_Production[Invoice Type],$BI930),INDEX(tbl_Consulting[Invoice Type],$BI930)))&amp;"")</f>
        <v/>
      </c>
      <c r="J930" s="10">
        <f>IF($BI930="","",IF($B930="Onsite",INDEX(tbl_Onsite[Tax Code],$BI930),IF($B930="Production",INDEX(tbl_Production[Tax Code],$BI930),INDEX(tbl_Consulting[Tax Code],$BI930)))&amp;"")</f>
        <v/>
      </c>
      <c r="K930" s="10">
        <f>IF(H930="","",IFERROR(INDEX(lst_CCtoGL,MATCH(H930,lst_CCforGL,0)),""))</f>
        <v/>
      </c>
      <c r="L930" s="10">
        <f>IF($BI930="","",IF($B930="Onsite",INDEX(tbl_Onsite[PO / Reference],$BI930),IF($B930="Production",INDEX(tbl_Production[Current RMS No],$BI930),INDEX(tbl_Consulting[Qwilr Quote],$BI930)))&amp;"")</f>
        <v/>
      </c>
      <c r="M930" s="10">
        <f>IF($BI930="","",IF($B930="Onsite",INDEX(tbl_Onsite[Notes],$BI930),IF($B930="Production",INDEX(tbl_Production[Notes],$BI930),INDEX(tbl_Consulting[Notes],$BI930)))&amp;"")</f>
        <v/>
      </c>
      <c r="N930" s="11">
        <f>IF($BI930="","",IF(IF($B930="Onsite",INDEX(tbl_Onsite[Expected Revenue Ex GST],$BI930),IF($B930="Production",INDEX(tbl_Production[Expected Revenue Ex GST],$BI930),INDEX(tbl_Consulting[Expected Revenue Ex GST],$BI930)))="","",IF($B930="Onsite",INDEX(tbl_Onsite[Expected Revenue Ex GST],$BI930),IF($B930="Production",INDEX(tbl_Production[Expected Revenue Ex GST],$BI930),INDEX(tbl_Consulting[Expected Revenue Ex GST],$BI930)))))</f>
        <v/>
      </c>
      <c r="O930" s="11">
        <f>IF(AND($C930="",NOT(COUNTA($S930:$BB930)&gt;0)),"",SUM(U930,X930,AA930,AD930,AG930,AJ930,AM930,AP930,AS930,AV930,AY930,BB930))</f>
        <v/>
      </c>
      <c r="P930" s="11">
        <f>IF(O930="","",N(N930)-O930)</f>
        <v/>
      </c>
      <c r="Q930" s="10">
        <f>IF(O930="","",IF($C930="","Invoice on empty job row",IF(N930="",IF(ROUND(O930,2)=0,"No dept value","Invoiced - no dept value"),IF(ROUND(O930,2)=0,"Not invoiced - to invoice",IF(ROUND(P930,2)=0,"Agrees",IF(P930&gt;0,"Dept higher - to invoice","Xero higher - check dept"))))))</f>
        <v/>
      </c>
      <c r="R930" s="10">
        <f>IF(AND($C930="",NOT(COUNTA($S930:$BB930)&gt;0),$BI930&lt;&gt;""),"",MID(IF($BI930="","; Row ID not found on the department sheet - a row was deleted","")&amp;IF(AND($C930="",COUNTA($S930:$BB930)&gt;0),"; Invoice entered but the department row has no job number","")&amp;IF(E930="CHECK","; Job number not in the Xero job list","")&amp;IF(AND($C930&lt;&gt;"",COUNTIF($C$7:$C$1506,$C930)&gt;1),"; Job number on more than one row","")&amp;IF(AND($C930&lt;&gt;"",H930=""),"; Dept has not set a cost centre","")&amp;IF(AND($C930&lt;&gt;"",J930=""),"; Dept has not set a tax code","")&amp;IF(AND($C930&lt;&gt;"",N930=""),"; Dept has not entered an expected value","")&amp;IF((IF(OR(COUNTA(S930:U930)=0,AND(COUNTA(S930:U930)=3,ISNUMBER(U930))),0,1)+IF(OR(COUNTA(V930:X930)=0,AND(COUNTA(V930:X930)=3,ISNUMBER(X930))),0,1)+IF(OR(COUNTA(Y930:AA930)=0,AND(COUNTA(Y930:AA930)=3,ISNUMBER(AA930))),0,1)+IF(OR(COUNTA(AB930:AD930)=0,AND(COUNTA(AB930:AD930)=3,ISNUMBER(AD930))),0,1)+IF(OR(COUNTA(AE930:AG930)=0,AND(COUNTA(AE930:AG930)=3,ISNUMBER(AG930))),0,1)+IF(OR(COUNTA(AH930:AJ930)=0,AND(COUNTA(AH930:AJ930)=3,ISNUMBER(AJ930))),0,1)+IF(OR(COUNTA(AK930:AM930)=0,AND(COUNTA(AK930:AM930)=3,ISNUMBER(AM930))),0,1)+IF(OR(COUNTA(AN930:AP930)=0,AND(COUNTA(AN930:AP930)=3,ISNUMBER(AP930))),0,1)+IF(OR(COUNTA(AQ930:AS930)=0,AND(COUNTA(AQ930:AS930)=3,ISNUMBER(AS930))),0,1)+IF(OR(COUNTA(AT930:AV930)=0,AND(COUNTA(AT930:AV930)=3,ISNUMBER(AV930))),0,1)+IF(OR(COUNTA(AW930:AY930)=0,AND(COUNTA(AW930:AY930)=3,ISNUMBER(AY930))),0,1)+IF(OR(COUNTA(AZ930:BB930)=0,AND(COUNTA(AZ930:BB930)=3,ISNUMBER(BB930))),0,1))&gt;0,"; An invoice is incomplete (needs No, Date and a number in Ex GST)","")&amp;IF((IF(T930="",0,IFERROR(--(EOMONTH(T930,0)&lt;&gt;S$5),1))+IF(W930="",0,IFERROR(--(EOMONTH(W930,0)&lt;&gt;V$5),1))+IF(Z930="",0,IFERROR(--(EOMONTH(Z930,0)&lt;&gt;Y$5),1))+IF(AC930="",0,IFERROR(--(EOMONTH(AC930,0)&lt;&gt;AB$5),1))+IF(AF930="",0,IFERROR(--(EOMONTH(AF930,0)&lt;&gt;AE$5),1))+IF(AI930="",0,IFERROR(--(EOMONTH(AI930,0)&lt;&gt;AH$5),1))+IF(AL930="",0,IFERROR(--(EOMONTH(AL930,0)&lt;&gt;AK$5),1))+IF(AO930="",0,IFERROR(--(EOMONTH(AO930,0)&lt;&gt;AN$5),1))+IF(AR930="",0,IFERROR(--(EOMONTH(AR930,0)&lt;&gt;AQ$5),1))+IF(AU930="",0,IFERROR(--(EOMONTH(AU930,0)&lt;&gt;AT$5),1))+IF(AX930="",0,IFERROR(--(EOMONTH(AX930,0)&lt;&gt;AW$5),1))+IF(BA930="",0,IFERROR(--(EOMONTH(BA930,0)&lt;&gt;AZ$5),1)))&gt;0,"; An invoice date is not in the month it is typed under",""),3,500))</f>
        <v/>
      </c>
      <c r="S930" s="12" t="n"/>
      <c r="T930" s="13" t="n"/>
      <c r="U930" s="14" t="n"/>
      <c r="V930" s="12" t="n"/>
      <c r="W930" s="13" t="n"/>
      <c r="X930" s="14" t="n"/>
      <c r="Y930" s="12" t="n"/>
      <c r="Z930" s="13" t="n"/>
      <c r="AA930" s="14" t="n"/>
      <c r="AB930" s="12" t="n"/>
      <c r="AC930" s="13" t="n"/>
      <c r="AD930" s="14" t="n"/>
      <c r="AE930" s="12" t="n"/>
      <c r="AF930" s="13" t="n"/>
      <c r="AG930" s="14" t="n"/>
      <c r="AH930" s="12" t="n"/>
      <c r="AI930" s="13" t="n"/>
      <c r="AJ930" s="14" t="n"/>
      <c r="AK930" s="12" t="n"/>
      <c r="AL930" s="13" t="n"/>
      <c r="AM930" s="14" t="n"/>
      <c r="AN930" s="12" t="n"/>
      <c r="AO930" s="13" t="n"/>
      <c r="AP930" s="14" t="n"/>
      <c r="AQ930" s="12" t="n"/>
      <c r="AR930" s="13" t="n"/>
      <c r="AS930" s="14" t="n"/>
      <c r="AT930" s="12" t="n"/>
      <c r="AU930" s="13" t="n"/>
      <c r="AV930" s="14" t="n"/>
      <c r="AW930" s="12" t="n"/>
      <c r="AX930" s="13" t="n"/>
      <c r="AY930" s="14" t="n"/>
      <c r="AZ930" s="12" t="n"/>
      <c r="BA930" s="13" t="n"/>
      <c r="BB930" s="14" t="n"/>
      <c r="BC930" s="11">
        <f>IF(O930="","",IF(J930="GST 10%",ROUND(O930*set_GSTRate,2),0))</f>
        <v/>
      </c>
      <c r="BD930" s="11">
        <f>IF(O930="","",O930+BC930)</f>
        <v/>
      </c>
      <c r="BE930" s="15">
        <f>IF(O930="","",COUNTA(S930,V930,Y930,AB930,AE930,AH930,AK930,AN930,AQ930,AT930,AW930,AZ930))</f>
        <v/>
      </c>
      <c r="BF930" s="16">
        <f>IF(COUNT(T930,W930,Z930,AC930,AF930,AI930,AL930,AO930,AR930,AU930,AX930,BA930)=0,"",MAX(T930,W930,Z930,AC930,AF930,AI930,AL930,AO930,AR930,AU930,AX930,BA930))</f>
        <v/>
      </c>
      <c r="BG930" s="10">
        <f>MID(IF(S930="","",", "&amp;S930)&amp;IF(V930="","",", "&amp;V930)&amp;IF(Y930="","",", "&amp;Y930)&amp;IF(AB930="","",", "&amp;AB930)&amp;IF(AE930="","",", "&amp;AE930)&amp;IF(AH930="","",", "&amp;AH930)&amp;IF(AK930="","",", "&amp;AK930)&amp;IF(AN930="","",", "&amp;AN930)&amp;IF(AQ930="","",", "&amp;AQ930)&amp;IF(AT930="","",", "&amp;AT930)&amp;IF(AW930="","",", "&amp;AW930)&amp;IF(AZ930="","",", "&amp;AZ930),3,500)</f>
        <v/>
      </c>
      <c r="BH930" s="12" t="n"/>
      <c r="BI930" s="15">
        <f>IFERROR(MATCH($A930,IF($B930="Onsite",tbl_Onsite[Row ID],IF($B930="Production",tbl_Production[Row ID],tbl_Consulting[Row ID])),0),"")</f>
        <v/>
      </c>
    </row>
    <row r="931">
      <c r="A931" s="10" t="inlineStr">
        <is>
          <t>PRD-0425</t>
        </is>
      </c>
      <c r="B931" s="10" t="inlineStr">
        <is>
          <t>Production</t>
        </is>
      </c>
      <c r="C931" s="10">
        <f>IF($BI931="","",IF($B931="Onsite",INDEX(tbl_Onsite[Job Number],$BI931),IF($B931="Production",INDEX(tbl_Production[Job Number],$BI931),INDEX(tbl_Consulting[Job Number],$BI931)))&amp;"")</f>
        <v/>
      </c>
      <c r="D931" s="10">
        <f>IF($BI931="","",IF($B931="Onsite",INDEX(tbl_Onsite[Client],$BI931),IF($B931="Production",INDEX(tbl_Production[Client],$BI931),INDEX(tbl_Consulting[Client],$BI931)))&amp;"")</f>
        <v/>
      </c>
      <c r="E931" s="10">
        <f>IF($C931="","",IF(COUNTIF(lst_Jobs,$C931)&gt;0,"OK","CHECK"))</f>
        <v/>
      </c>
      <c r="F931" s="10">
        <f>IF($C931="","",IFERROR(INDEX(lst_JobName,MATCH($C931,lst_Jobs,0)),""))</f>
        <v/>
      </c>
      <c r="G931" s="10">
        <f>IF($BI931="","",IF($B931="Onsite",INDEX(tbl_Onsite[Job Description],$BI931),IF($B931="Production",INDEX(tbl_Production[Job Description],$BI931),INDEX(tbl_Consulting[Job Description],$BI931)))&amp;"")</f>
        <v/>
      </c>
      <c r="H931" s="10">
        <f>IF($BI931="","",IF($B931="Onsite",INDEX(tbl_Onsite[Cost Centre],$BI931),IF($B931="Production",INDEX(tbl_Production[Cost Centre],$BI931),INDEX(tbl_Consulting[Cost Centre],$BI931)))&amp;"")</f>
        <v/>
      </c>
      <c r="I931" s="10">
        <f>IF($BI931="","",IF($B931="Onsite",INDEX(tbl_Onsite[Invoice Type],$BI931),IF($B931="Production",INDEX(tbl_Production[Invoice Type],$BI931),INDEX(tbl_Consulting[Invoice Type],$BI931)))&amp;"")</f>
        <v/>
      </c>
      <c r="J931" s="10">
        <f>IF($BI931="","",IF($B931="Onsite",INDEX(tbl_Onsite[Tax Code],$BI931),IF($B931="Production",INDEX(tbl_Production[Tax Code],$BI931),INDEX(tbl_Consulting[Tax Code],$BI931)))&amp;"")</f>
        <v/>
      </c>
      <c r="K931" s="10">
        <f>IF(H931="","",IFERROR(INDEX(lst_CCtoGL,MATCH(H931,lst_CCforGL,0)),""))</f>
        <v/>
      </c>
      <c r="L931" s="10">
        <f>IF($BI931="","",IF($B931="Onsite",INDEX(tbl_Onsite[PO / Reference],$BI931),IF($B931="Production",INDEX(tbl_Production[Current RMS No],$BI931),INDEX(tbl_Consulting[Qwilr Quote],$BI931)))&amp;"")</f>
        <v/>
      </c>
      <c r="M931" s="10">
        <f>IF($BI931="","",IF($B931="Onsite",INDEX(tbl_Onsite[Notes],$BI931),IF($B931="Production",INDEX(tbl_Production[Notes],$BI931),INDEX(tbl_Consulting[Notes],$BI931)))&amp;"")</f>
        <v/>
      </c>
      <c r="N931" s="11">
        <f>IF($BI931="","",IF(IF($B931="Onsite",INDEX(tbl_Onsite[Expected Revenue Ex GST],$BI931),IF($B931="Production",INDEX(tbl_Production[Expected Revenue Ex GST],$BI931),INDEX(tbl_Consulting[Expected Revenue Ex GST],$BI931)))="","",IF($B931="Onsite",INDEX(tbl_Onsite[Expected Revenue Ex GST],$BI931),IF($B931="Production",INDEX(tbl_Production[Expected Revenue Ex GST],$BI931),INDEX(tbl_Consulting[Expected Revenue Ex GST],$BI931)))))</f>
        <v/>
      </c>
      <c r="O931" s="11">
        <f>IF(AND($C931="",NOT(COUNTA($S931:$BB931)&gt;0)),"",SUM(U931,X931,AA931,AD931,AG931,AJ931,AM931,AP931,AS931,AV931,AY931,BB931))</f>
        <v/>
      </c>
      <c r="P931" s="11">
        <f>IF(O931="","",N(N931)-O931)</f>
        <v/>
      </c>
      <c r="Q931" s="10">
        <f>IF(O931="","",IF($C931="","Invoice on empty job row",IF(N931="",IF(ROUND(O931,2)=0,"No dept value","Invoiced - no dept value"),IF(ROUND(O931,2)=0,"Not invoiced - to invoice",IF(ROUND(P931,2)=0,"Agrees",IF(P931&gt;0,"Dept higher - to invoice","Xero higher - check dept"))))))</f>
        <v/>
      </c>
      <c r="R931" s="10">
        <f>IF(AND($C931="",NOT(COUNTA($S931:$BB931)&gt;0),$BI931&lt;&gt;""),"",MID(IF($BI931="","; Row ID not found on the department sheet - a row was deleted","")&amp;IF(AND($C931="",COUNTA($S931:$BB931)&gt;0),"; Invoice entered but the department row has no job number","")&amp;IF(E931="CHECK","; Job number not in the Xero job list","")&amp;IF(AND($C931&lt;&gt;"",COUNTIF($C$7:$C$1506,$C931)&gt;1),"; Job number on more than one row","")&amp;IF(AND($C931&lt;&gt;"",H931=""),"; Dept has not set a cost centre","")&amp;IF(AND($C931&lt;&gt;"",J931=""),"; Dept has not set a tax code","")&amp;IF(AND($C931&lt;&gt;"",N931=""),"; Dept has not entered an expected value","")&amp;IF((IF(OR(COUNTA(S931:U931)=0,AND(COUNTA(S931:U931)=3,ISNUMBER(U931))),0,1)+IF(OR(COUNTA(V931:X931)=0,AND(COUNTA(V931:X931)=3,ISNUMBER(X931))),0,1)+IF(OR(COUNTA(Y931:AA931)=0,AND(COUNTA(Y931:AA931)=3,ISNUMBER(AA931))),0,1)+IF(OR(COUNTA(AB931:AD931)=0,AND(COUNTA(AB931:AD931)=3,ISNUMBER(AD931))),0,1)+IF(OR(COUNTA(AE931:AG931)=0,AND(COUNTA(AE931:AG931)=3,ISNUMBER(AG931))),0,1)+IF(OR(COUNTA(AH931:AJ931)=0,AND(COUNTA(AH931:AJ931)=3,ISNUMBER(AJ931))),0,1)+IF(OR(COUNTA(AK931:AM931)=0,AND(COUNTA(AK931:AM931)=3,ISNUMBER(AM931))),0,1)+IF(OR(COUNTA(AN931:AP931)=0,AND(COUNTA(AN931:AP931)=3,ISNUMBER(AP931))),0,1)+IF(OR(COUNTA(AQ931:AS931)=0,AND(COUNTA(AQ931:AS931)=3,ISNUMBER(AS931))),0,1)+IF(OR(COUNTA(AT931:AV931)=0,AND(COUNTA(AT931:AV931)=3,ISNUMBER(AV931))),0,1)+IF(OR(COUNTA(AW931:AY931)=0,AND(COUNTA(AW931:AY931)=3,ISNUMBER(AY931))),0,1)+IF(OR(COUNTA(AZ931:BB931)=0,AND(COUNTA(AZ931:BB931)=3,ISNUMBER(BB931))),0,1))&gt;0,"; An invoice is incomplete (needs No, Date and a number in Ex GST)","")&amp;IF((IF(T931="",0,IFERROR(--(EOMONTH(T931,0)&lt;&gt;S$5),1))+IF(W931="",0,IFERROR(--(EOMONTH(W931,0)&lt;&gt;V$5),1))+IF(Z931="",0,IFERROR(--(EOMONTH(Z931,0)&lt;&gt;Y$5),1))+IF(AC931="",0,IFERROR(--(EOMONTH(AC931,0)&lt;&gt;AB$5),1))+IF(AF931="",0,IFERROR(--(EOMONTH(AF931,0)&lt;&gt;AE$5),1))+IF(AI931="",0,IFERROR(--(EOMONTH(AI931,0)&lt;&gt;AH$5),1))+IF(AL931="",0,IFERROR(--(EOMONTH(AL931,0)&lt;&gt;AK$5),1))+IF(AO931="",0,IFERROR(--(EOMONTH(AO931,0)&lt;&gt;AN$5),1))+IF(AR931="",0,IFERROR(--(EOMONTH(AR931,0)&lt;&gt;AQ$5),1))+IF(AU931="",0,IFERROR(--(EOMONTH(AU931,0)&lt;&gt;AT$5),1))+IF(AX931="",0,IFERROR(--(EOMONTH(AX931,0)&lt;&gt;AW$5),1))+IF(BA931="",0,IFERROR(--(EOMONTH(BA931,0)&lt;&gt;AZ$5),1)))&gt;0,"; An invoice date is not in the month it is typed under",""),3,500))</f>
        <v/>
      </c>
      <c r="S931" s="12" t="n"/>
      <c r="T931" s="13" t="n"/>
      <c r="U931" s="14" t="n"/>
      <c r="V931" s="12" t="n"/>
      <c r="W931" s="13" t="n"/>
      <c r="X931" s="14" t="n"/>
      <c r="Y931" s="12" t="n"/>
      <c r="Z931" s="13" t="n"/>
      <c r="AA931" s="14" t="n"/>
      <c r="AB931" s="12" t="n"/>
      <c r="AC931" s="13" t="n"/>
      <c r="AD931" s="14" t="n"/>
      <c r="AE931" s="12" t="n"/>
      <c r="AF931" s="13" t="n"/>
      <c r="AG931" s="14" t="n"/>
      <c r="AH931" s="12" t="n"/>
      <c r="AI931" s="13" t="n"/>
      <c r="AJ931" s="14" t="n"/>
      <c r="AK931" s="12" t="n"/>
      <c r="AL931" s="13" t="n"/>
      <c r="AM931" s="14" t="n"/>
      <c r="AN931" s="12" t="n"/>
      <c r="AO931" s="13" t="n"/>
      <c r="AP931" s="14" t="n"/>
      <c r="AQ931" s="12" t="n"/>
      <c r="AR931" s="13" t="n"/>
      <c r="AS931" s="14" t="n"/>
      <c r="AT931" s="12" t="n"/>
      <c r="AU931" s="13" t="n"/>
      <c r="AV931" s="14" t="n"/>
      <c r="AW931" s="12" t="n"/>
      <c r="AX931" s="13" t="n"/>
      <c r="AY931" s="14" t="n"/>
      <c r="AZ931" s="12" t="n"/>
      <c r="BA931" s="13" t="n"/>
      <c r="BB931" s="14" t="n"/>
      <c r="BC931" s="11">
        <f>IF(O931="","",IF(J931="GST 10%",ROUND(O931*set_GSTRate,2),0))</f>
        <v/>
      </c>
      <c r="BD931" s="11">
        <f>IF(O931="","",O931+BC931)</f>
        <v/>
      </c>
      <c r="BE931" s="15">
        <f>IF(O931="","",COUNTA(S931,V931,Y931,AB931,AE931,AH931,AK931,AN931,AQ931,AT931,AW931,AZ931))</f>
        <v/>
      </c>
      <c r="BF931" s="16">
        <f>IF(COUNT(T931,W931,Z931,AC931,AF931,AI931,AL931,AO931,AR931,AU931,AX931,BA931)=0,"",MAX(T931,W931,Z931,AC931,AF931,AI931,AL931,AO931,AR931,AU931,AX931,BA931))</f>
        <v/>
      </c>
      <c r="BG931" s="10">
        <f>MID(IF(S931="","",", "&amp;S931)&amp;IF(V931="","",", "&amp;V931)&amp;IF(Y931="","",", "&amp;Y931)&amp;IF(AB931="","",", "&amp;AB931)&amp;IF(AE931="","",", "&amp;AE931)&amp;IF(AH931="","",", "&amp;AH931)&amp;IF(AK931="","",", "&amp;AK931)&amp;IF(AN931="","",", "&amp;AN931)&amp;IF(AQ931="","",", "&amp;AQ931)&amp;IF(AT931="","",", "&amp;AT931)&amp;IF(AW931="","",", "&amp;AW931)&amp;IF(AZ931="","",", "&amp;AZ931),3,500)</f>
        <v/>
      </c>
      <c r="BH931" s="12" t="n"/>
      <c r="BI931" s="15">
        <f>IFERROR(MATCH($A931,IF($B931="Onsite",tbl_Onsite[Row ID],IF($B931="Production",tbl_Production[Row ID],tbl_Consulting[Row ID])),0),"")</f>
        <v/>
      </c>
    </row>
    <row r="932">
      <c r="A932" s="10" t="inlineStr">
        <is>
          <t>PRD-0426</t>
        </is>
      </c>
      <c r="B932" s="10" t="inlineStr">
        <is>
          <t>Production</t>
        </is>
      </c>
      <c r="C932" s="10">
        <f>IF($BI932="","",IF($B932="Onsite",INDEX(tbl_Onsite[Job Number],$BI932),IF($B932="Production",INDEX(tbl_Production[Job Number],$BI932),INDEX(tbl_Consulting[Job Number],$BI932)))&amp;"")</f>
        <v/>
      </c>
      <c r="D932" s="10">
        <f>IF($BI932="","",IF($B932="Onsite",INDEX(tbl_Onsite[Client],$BI932),IF($B932="Production",INDEX(tbl_Production[Client],$BI932),INDEX(tbl_Consulting[Client],$BI932)))&amp;"")</f>
        <v/>
      </c>
      <c r="E932" s="10">
        <f>IF($C932="","",IF(COUNTIF(lst_Jobs,$C932)&gt;0,"OK","CHECK"))</f>
        <v/>
      </c>
      <c r="F932" s="10">
        <f>IF($C932="","",IFERROR(INDEX(lst_JobName,MATCH($C932,lst_Jobs,0)),""))</f>
        <v/>
      </c>
      <c r="G932" s="10">
        <f>IF($BI932="","",IF($B932="Onsite",INDEX(tbl_Onsite[Job Description],$BI932),IF($B932="Production",INDEX(tbl_Production[Job Description],$BI932),INDEX(tbl_Consulting[Job Description],$BI932)))&amp;"")</f>
        <v/>
      </c>
      <c r="H932" s="10">
        <f>IF($BI932="","",IF($B932="Onsite",INDEX(tbl_Onsite[Cost Centre],$BI932),IF($B932="Production",INDEX(tbl_Production[Cost Centre],$BI932),INDEX(tbl_Consulting[Cost Centre],$BI932)))&amp;"")</f>
        <v/>
      </c>
      <c r="I932" s="10">
        <f>IF($BI932="","",IF($B932="Onsite",INDEX(tbl_Onsite[Invoice Type],$BI932),IF($B932="Production",INDEX(tbl_Production[Invoice Type],$BI932),INDEX(tbl_Consulting[Invoice Type],$BI932)))&amp;"")</f>
        <v/>
      </c>
      <c r="J932" s="10">
        <f>IF($BI932="","",IF($B932="Onsite",INDEX(tbl_Onsite[Tax Code],$BI932),IF($B932="Production",INDEX(tbl_Production[Tax Code],$BI932),INDEX(tbl_Consulting[Tax Code],$BI932)))&amp;"")</f>
        <v/>
      </c>
      <c r="K932" s="10">
        <f>IF(H932="","",IFERROR(INDEX(lst_CCtoGL,MATCH(H932,lst_CCforGL,0)),""))</f>
        <v/>
      </c>
      <c r="L932" s="10">
        <f>IF($BI932="","",IF($B932="Onsite",INDEX(tbl_Onsite[PO / Reference],$BI932),IF($B932="Production",INDEX(tbl_Production[Current RMS No],$BI932),INDEX(tbl_Consulting[Qwilr Quote],$BI932)))&amp;"")</f>
        <v/>
      </c>
      <c r="M932" s="10">
        <f>IF($BI932="","",IF($B932="Onsite",INDEX(tbl_Onsite[Notes],$BI932),IF($B932="Production",INDEX(tbl_Production[Notes],$BI932),INDEX(tbl_Consulting[Notes],$BI932)))&amp;"")</f>
        <v/>
      </c>
      <c r="N932" s="11">
        <f>IF($BI932="","",IF(IF($B932="Onsite",INDEX(tbl_Onsite[Expected Revenue Ex GST],$BI932),IF($B932="Production",INDEX(tbl_Production[Expected Revenue Ex GST],$BI932),INDEX(tbl_Consulting[Expected Revenue Ex GST],$BI932)))="","",IF($B932="Onsite",INDEX(tbl_Onsite[Expected Revenue Ex GST],$BI932),IF($B932="Production",INDEX(tbl_Production[Expected Revenue Ex GST],$BI932),INDEX(tbl_Consulting[Expected Revenue Ex GST],$BI932)))))</f>
        <v/>
      </c>
      <c r="O932" s="11">
        <f>IF(AND($C932="",NOT(COUNTA($S932:$BB932)&gt;0)),"",SUM(U932,X932,AA932,AD932,AG932,AJ932,AM932,AP932,AS932,AV932,AY932,BB932))</f>
        <v/>
      </c>
      <c r="P932" s="11">
        <f>IF(O932="","",N(N932)-O932)</f>
        <v/>
      </c>
      <c r="Q932" s="10">
        <f>IF(O932="","",IF($C932="","Invoice on empty job row",IF(N932="",IF(ROUND(O932,2)=0,"No dept value","Invoiced - no dept value"),IF(ROUND(O932,2)=0,"Not invoiced - to invoice",IF(ROUND(P932,2)=0,"Agrees",IF(P932&gt;0,"Dept higher - to invoice","Xero higher - check dept"))))))</f>
        <v/>
      </c>
      <c r="R932" s="10">
        <f>IF(AND($C932="",NOT(COUNTA($S932:$BB932)&gt;0),$BI932&lt;&gt;""),"",MID(IF($BI932="","; Row ID not found on the department sheet - a row was deleted","")&amp;IF(AND($C932="",COUNTA($S932:$BB932)&gt;0),"; Invoice entered but the department row has no job number","")&amp;IF(E932="CHECK","; Job number not in the Xero job list","")&amp;IF(AND($C932&lt;&gt;"",COUNTIF($C$7:$C$1506,$C932)&gt;1),"; Job number on more than one row","")&amp;IF(AND($C932&lt;&gt;"",H932=""),"; Dept has not set a cost centre","")&amp;IF(AND($C932&lt;&gt;"",J932=""),"; Dept has not set a tax code","")&amp;IF(AND($C932&lt;&gt;"",N932=""),"; Dept has not entered an expected value","")&amp;IF((IF(OR(COUNTA(S932:U932)=0,AND(COUNTA(S932:U932)=3,ISNUMBER(U932))),0,1)+IF(OR(COUNTA(V932:X932)=0,AND(COUNTA(V932:X932)=3,ISNUMBER(X932))),0,1)+IF(OR(COUNTA(Y932:AA932)=0,AND(COUNTA(Y932:AA932)=3,ISNUMBER(AA932))),0,1)+IF(OR(COUNTA(AB932:AD932)=0,AND(COUNTA(AB932:AD932)=3,ISNUMBER(AD932))),0,1)+IF(OR(COUNTA(AE932:AG932)=0,AND(COUNTA(AE932:AG932)=3,ISNUMBER(AG932))),0,1)+IF(OR(COUNTA(AH932:AJ932)=0,AND(COUNTA(AH932:AJ932)=3,ISNUMBER(AJ932))),0,1)+IF(OR(COUNTA(AK932:AM932)=0,AND(COUNTA(AK932:AM932)=3,ISNUMBER(AM932))),0,1)+IF(OR(COUNTA(AN932:AP932)=0,AND(COUNTA(AN932:AP932)=3,ISNUMBER(AP932))),0,1)+IF(OR(COUNTA(AQ932:AS932)=0,AND(COUNTA(AQ932:AS932)=3,ISNUMBER(AS932))),0,1)+IF(OR(COUNTA(AT932:AV932)=0,AND(COUNTA(AT932:AV932)=3,ISNUMBER(AV932))),0,1)+IF(OR(COUNTA(AW932:AY932)=0,AND(COUNTA(AW932:AY932)=3,ISNUMBER(AY932))),0,1)+IF(OR(COUNTA(AZ932:BB932)=0,AND(COUNTA(AZ932:BB932)=3,ISNUMBER(BB932))),0,1))&gt;0,"; An invoice is incomplete (needs No, Date and a number in Ex GST)","")&amp;IF((IF(T932="",0,IFERROR(--(EOMONTH(T932,0)&lt;&gt;S$5),1))+IF(W932="",0,IFERROR(--(EOMONTH(W932,0)&lt;&gt;V$5),1))+IF(Z932="",0,IFERROR(--(EOMONTH(Z932,0)&lt;&gt;Y$5),1))+IF(AC932="",0,IFERROR(--(EOMONTH(AC932,0)&lt;&gt;AB$5),1))+IF(AF932="",0,IFERROR(--(EOMONTH(AF932,0)&lt;&gt;AE$5),1))+IF(AI932="",0,IFERROR(--(EOMONTH(AI932,0)&lt;&gt;AH$5),1))+IF(AL932="",0,IFERROR(--(EOMONTH(AL932,0)&lt;&gt;AK$5),1))+IF(AO932="",0,IFERROR(--(EOMONTH(AO932,0)&lt;&gt;AN$5),1))+IF(AR932="",0,IFERROR(--(EOMONTH(AR932,0)&lt;&gt;AQ$5),1))+IF(AU932="",0,IFERROR(--(EOMONTH(AU932,0)&lt;&gt;AT$5),1))+IF(AX932="",0,IFERROR(--(EOMONTH(AX932,0)&lt;&gt;AW$5),1))+IF(BA932="",0,IFERROR(--(EOMONTH(BA932,0)&lt;&gt;AZ$5),1)))&gt;0,"; An invoice date is not in the month it is typed under",""),3,500))</f>
        <v/>
      </c>
      <c r="S932" s="12" t="n"/>
      <c r="T932" s="13" t="n"/>
      <c r="U932" s="14" t="n"/>
      <c r="V932" s="12" t="n"/>
      <c r="W932" s="13" t="n"/>
      <c r="X932" s="14" t="n"/>
      <c r="Y932" s="12" t="n"/>
      <c r="Z932" s="13" t="n"/>
      <c r="AA932" s="14" t="n"/>
      <c r="AB932" s="12" t="n"/>
      <c r="AC932" s="13" t="n"/>
      <c r="AD932" s="14" t="n"/>
      <c r="AE932" s="12" t="n"/>
      <c r="AF932" s="13" t="n"/>
      <c r="AG932" s="14" t="n"/>
      <c r="AH932" s="12" t="n"/>
      <c r="AI932" s="13" t="n"/>
      <c r="AJ932" s="14" t="n"/>
      <c r="AK932" s="12" t="n"/>
      <c r="AL932" s="13" t="n"/>
      <c r="AM932" s="14" t="n"/>
      <c r="AN932" s="12" t="n"/>
      <c r="AO932" s="13" t="n"/>
      <c r="AP932" s="14" t="n"/>
      <c r="AQ932" s="12" t="n"/>
      <c r="AR932" s="13" t="n"/>
      <c r="AS932" s="14" t="n"/>
      <c r="AT932" s="12" t="n"/>
      <c r="AU932" s="13" t="n"/>
      <c r="AV932" s="14" t="n"/>
      <c r="AW932" s="12" t="n"/>
      <c r="AX932" s="13" t="n"/>
      <c r="AY932" s="14" t="n"/>
      <c r="AZ932" s="12" t="n"/>
      <c r="BA932" s="13" t="n"/>
      <c r="BB932" s="14" t="n"/>
      <c r="BC932" s="11">
        <f>IF(O932="","",IF(J932="GST 10%",ROUND(O932*set_GSTRate,2),0))</f>
        <v/>
      </c>
      <c r="BD932" s="11">
        <f>IF(O932="","",O932+BC932)</f>
        <v/>
      </c>
      <c r="BE932" s="15">
        <f>IF(O932="","",COUNTA(S932,V932,Y932,AB932,AE932,AH932,AK932,AN932,AQ932,AT932,AW932,AZ932))</f>
        <v/>
      </c>
      <c r="BF932" s="16">
        <f>IF(COUNT(T932,W932,Z932,AC932,AF932,AI932,AL932,AO932,AR932,AU932,AX932,BA932)=0,"",MAX(T932,W932,Z932,AC932,AF932,AI932,AL932,AO932,AR932,AU932,AX932,BA932))</f>
        <v/>
      </c>
      <c r="BG932" s="10">
        <f>MID(IF(S932="","",", "&amp;S932)&amp;IF(V932="","",", "&amp;V932)&amp;IF(Y932="","",", "&amp;Y932)&amp;IF(AB932="","",", "&amp;AB932)&amp;IF(AE932="","",", "&amp;AE932)&amp;IF(AH932="","",", "&amp;AH932)&amp;IF(AK932="","",", "&amp;AK932)&amp;IF(AN932="","",", "&amp;AN932)&amp;IF(AQ932="","",", "&amp;AQ932)&amp;IF(AT932="","",", "&amp;AT932)&amp;IF(AW932="","",", "&amp;AW932)&amp;IF(AZ932="","",", "&amp;AZ932),3,500)</f>
        <v/>
      </c>
      <c r="BH932" s="12" t="n"/>
      <c r="BI932" s="15">
        <f>IFERROR(MATCH($A932,IF($B932="Onsite",tbl_Onsite[Row ID],IF($B932="Production",tbl_Production[Row ID],tbl_Consulting[Row ID])),0),"")</f>
        <v/>
      </c>
    </row>
    <row r="933">
      <c r="A933" s="10" t="inlineStr">
        <is>
          <t>PRD-0427</t>
        </is>
      </c>
      <c r="B933" s="10" t="inlineStr">
        <is>
          <t>Production</t>
        </is>
      </c>
      <c r="C933" s="10">
        <f>IF($BI933="","",IF($B933="Onsite",INDEX(tbl_Onsite[Job Number],$BI933),IF($B933="Production",INDEX(tbl_Production[Job Number],$BI933),INDEX(tbl_Consulting[Job Number],$BI933)))&amp;"")</f>
        <v/>
      </c>
      <c r="D933" s="10">
        <f>IF($BI933="","",IF($B933="Onsite",INDEX(tbl_Onsite[Client],$BI933),IF($B933="Production",INDEX(tbl_Production[Client],$BI933),INDEX(tbl_Consulting[Client],$BI933)))&amp;"")</f>
        <v/>
      </c>
      <c r="E933" s="10">
        <f>IF($C933="","",IF(COUNTIF(lst_Jobs,$C933)&gt;0,"OK","CHECK"))</f>
        <v/>
      </c>
      <c r="F933" s="10">
        <f>IF($C933="","",IFERROR(INDEX(lst_JobName,MATCH($C933,lst_Jobs,0)),""))</f>
        <v/>
      </c>
      <c r="G933" s="10">
        <f>IF($BI933="","",IF($B933="Onsite",INDEX(tbl_Onsite[Job Description],$BI933),IF($B933="Production",INDEX(tbl_Production[Job Description],$BI933),INDEX(tbl_Consulting[Job Description],$BI933)))&amp;"")</f>
        <v/>
      </c>
      <c r="H933" s="10">
        <f>IF($BI933="","",IF($B933="Onsite",INDEX(tbl_Onsite[Cost Centre],$BI933),IF($B933="Production",INDEX(tbl_Production[Cost Centre],$BI933),INDEX(tbl_Consulting[Cost Centre],$BI933)))&amp;"")</f>
        <v/>
      </c>
      <c r="I933" s="10">
        <f>IF($BI933="","",IF($B933="Onsite",INDEX(tbl_Onsite[Invoice Type],$BI933),IF($B933="Production",INDEX(tbl_Production[Invoice Type],$BI933),INDEX(tbl_Consulting[Invoice Type],$BI933)))&amp;"")</f>
        <v/>
      </c>
      <c r="J933" s="10">
        <f>IF($BI933="","",IF($B933="Onsite",INDEX(tbl_Onsite[Tax Code],$BI933),IF($B933="Production",INDEX(tbl_Production[Tax Code],$BI933),INDEX(tbl_Consulting[Tax Code],$BI933)))&amp;"")</f>
        <v/>
      </c>
      <c r="K933" s="10">
        <f>IF(H933="","",IFERROR(INDEX(lst_CCtoGL,MATCH(H933,lst_CCforGL,0)),""))</f>
        <v/>
      </c>
      <c r="L933" s="10">
        <f>IF($BI933="","",IF($B933="Onsite",INDEX(tbl_Onsite[PO / Reference],$BI933),IF($B933="Production",INDEX(tbl_Production[Current RMS No],$BI933),INDEX(tbl_Consulting[Qwilr Quote],$BI933)))&amp;"")</f>
        <v/>
      </c>
      <c r="M933" s="10">
        <f>IF($BI933="","",IF($B933="Onsite",INDEX(tbl_Onsite[Notes],$BI933),IF($B933="Production",INDEX(tbl_Production[Notes],$BI933),INDEX(tbl_Consulting[Notes],$BI933)))&amp;"")</f>
        <v/>
      </c>
      <c r="N933" s="11">
        <f>IF($BI933="","",IF(IF($B933="Onsite",INDEX(tbl_Onsite[Expected Revenue Ex GST],$BI933),IF($B933="Production",INDEX(tbl_Production[Expected Revenue Ex GST],$BI933),INDEX(tbl_Consulting[Expected Revenue Ex GST],$BI933)))="","",IF($B933="Onsite",INDEX(tbl_Onsite[Expected Revenue Ex GST],$BI933),IF($B933="Production",INDEX(tbl_Production[Expected Revenue Ex GST],$BI933),INDEX(tbl_Consulting[Expected Revenue Ex GST],$BI933)))))</f>
        <v/>
      </c>
      <c r="O933" s="11">
        <f>IF(AND($C933="",NOT(COUNTA($S933:$BB933)&gt;0)),"",SUM(U933,X933,AA933,AD933,AG933,AJ933,AM933,AP933,AS933,AV933,AY933,BB933))</f>
        <v/>
      </c>
      <c r="P933" s="11">
        <f>IF(O933="","",N(N933)-O933)</f>
        <v/>
      </c>
      <c r="Q933" s="10">
        <f>IF(O933="","",IF($C933="","Invoice on empty job row",IF(N933="",IF(ROUND(O933,2)=0,"No dept value","Invoiced - no dept value"),IF(ROUND(O933,2)=0,"Not invoiced - to invoice",IF(ROUND(P933,2)=0,"Agrees",IF(P933&gt;0,"Dept higher - to invoice","Xero higher - check dept"))))))</f>
        <v/>
      </c>
      <c r="R933" s="10">
        <f>IF(AND($C933="",NOT(COUNTA($S933:$BB933)&gt;0),$BI933&lt;&gt;""),"",MID(IF($BI933="","; Row ID not found on the department sheet - a row was deleted","")&amp;IF(AND($C933="",COUNTA($S933:$BB933)&gt;0),"; Invoice entered but the department row has no job number","")&amp;IF(E933="CHECK","; Job number not in the Xero job list","")&amp;IF(AND($C933&lt;&gt;"",COUNTIF($C$7:$C$1506,$C933)&gt;1),"; Job number on more than one row","")&amp;IF(AND($C933&lt;&gt;"",H933=""),"; Dept has not set a cost centre","")&amp;IF(AND($C933&lt;&gt;"",J933=""),"; Dept has not set a tax code","")&amp;IF(AND($C933&lt;&gt;"",N933=""),"; Dept has not entered an expected value","")&amp;IF((IF(OR(COUNTA(S933:U933)=0,AND(COUNTA(S933:U933)=3,ISNUMBER(U933))),0,1)+IF(OR(COUNTA(V933:X933)=0,AND(COUNTA(V933:X933)=3,ISNUMBER(X933))),0,1)+IF(OR(COUNTA(Y933:AA933)=0,AND(COUNTA(Y933:AA933)=3,ISNUMBER(AA933))),0,1)+IF(OR(COUNTA(AB933:AD933)=0,AND(COUNTA(AB933:AD933)=3,ISNUMBER(AD933))),0,1)+IF(OR(COUNTA(AE933:AG933)=0,AND(COUNTA(AE933:AG933)=3,ISNUMBER(AG933))),0,1)+IF(OR(COUNTA(AH933:AJ933)=0,AND(COUNTA(AH933:AJ933)=3,ISNUMBER(AJ933))),0,1)+IF(OR(COUNTA(AK933:AM933)=0,AND(COUNTA(AK933:AM933)=3,ISNUMBER(AM933))),0,1)+IF(OR(COUNTA(AN933:AP933)=0,AND(COUNTA(AN933:AP933)=3,ISNUMBER(AP933))),0,1)+IF(OR(COUNTA(AQ933:AS933)=0,AND(COUNTA(AQ933:AS933)=3,ISNUMBER(AS933))),0,1)+IF(OR(COUNTA(AT933:AV933)=0,AND(COUNTA(AT933:AV933)=3,ISNUMBER(AV933))),0,1)+IF(OR(COUNTA(AW933:AY933)=0,AND(COUNTA(AW933:AY933)=3,ISNUMBER(AY933))),0,1)+IF(OR(COUNTA(AZ933:BB933)=0,AND(COUNTA(AZ933:BB933)=3,ISNUMBER(BB933))),0,1))&gt;0,"; An invoice is incomplete (needs No, Date and a number in Ex GST)","")&amp;IF((IF(T933="",0,IFERROR(--(EOMONTH(T933,0)&lt;&gt;S$5),1))+IF(W933="",0,IFERROR(--(EOMONTH(W933,0)&lt;&gt;V$5),1))+IF(Z933="",0,IFERROR(--(EOMONTH(Z933,0)&lt;&gt;Y$5),1))+IF(AC933="",0,IFERROR(--(EOMONTH(AC933,0)&lt;&gt;AB$5),1))+IF(AF933="",0,IFERROR(--(EOMONTH(AF933,0)&lt;&gt;AE$5),1))+IF(AI933="",0,IFERROR(--(EOMONTH(AI933,0)&lt;&gt;AH$5),1))+IF(AL933="",0,IFERROR(--(EOMONTH(AL933,0)&lt;&gt;AK$5),1))+IF(AO933="",0,IFERROR(--(EOMONTH(AO933,0)&lt;&gt;AN$5),1))+IF(AR933="",0,IFERROR(--(EOMONTH(AR933,0)&lt;&gt;AQ$5),1))+IF(AU933="",0,IFERROR(--(EOMONTH(AU933,0)&lt;&gt;AT$5),1))+IF(AX933="",0,IFERROR(--(EOMONTH(AX933,0)&lt;&gt;AW$5),1))+IF(BA933="",0,IFERROR(--(EOMONTH(BA933,0)&lt;&gt;AZ$5),1)))&gt;0,"; An invoice date is not in the month it is typed under",""),3,500))</f>
        <v/>
      </c>
      <c r="S933" s="12" t="n"/>
      <c r="T933" s="13" t="n"/>
      <c r="U933" s="14" t="n"/>
      <c r="V933" s="12" t="n"/>
      <c r="W933" s="13" t="n"/>
      <c r="X933" s="14" t="n"/>
      <c r="Y933" s="12" t="n"/>
      <c r="Z933" s="13" t="n"/>
      <c r="AA933" s="14" t="n"/>
      <c r="AB933" s="12" t="n"/>
      <c r="AC933" s="13" t="n"/>
      <c r="AD933" s="14" t="n"/>
      <c r="AE933" s="12" t="n"/>
      <c r="AF933" s="13" t="n"/>
      <c r="AG933" s="14" t="n"/>
      <c r="AH933" s="12" t="n"/>
      <c r="AI933" s="13" t="n"/>
      <c r="AJ933" s="14" t="n"/>
      <c r="AK933" s="12" t="n"/>
      <c r="AL933" s="13" t="n"/>
      <c r="AM933" s="14" t="n"/>
      <c r="AN933" s="12" t="n"/>
      <c r="AO933" s="13" t="n"/>
      <c r="AP933" s="14" t="n"/>
      <c r="AQ933" s="12" t="n"/>
      <c r="AR933" s="13" t="n"/>
      <c r="AS933" s="14" t="n"/>
      <c r="AT933" s="12" t="n"/>
      <c r="AU933" s="13" t="n"/>
      <c r="AV933" s="14" t="n"/>
      <c r="AW933" s="12" t="n"/>
      <c r="AX933" s="13" t="n"/>
      <c r="AY933" s="14" t="n"/>
      <c r="AZ933" s="12" t="n"/>
      <c r="BA933" s="13" t="n"/>
      <c r="BB933" s="14" t="n"/>
      <c r="BC933" s="11">
        <f>IF(O933="","",IF(J933="GST 10%",ROUND(O933*set_GSTRate,2),0))</f>
        <v/>
      </c>
      <c r="BD933" s="11">
        <f>IF(O933="","",O933+BC933)</f>
        <v/>
      </c>
      <c r="BE933" s="15">
        <f>IF(O933="","",COUNTA(S933,V933,Y933,AB933,AE933,AH933,AK933,AN933,AQ933,AT933,AW933,AZ933))</f>
        <v/>
      </c>
      <c r="BF933" s="16">
        <f>IF(COUNT(T933,W933,Z933,AC933,AF933,AI933,AL933,AO933,AR933,AU933,AX933,BA933)=0,"",MAX(T933,W933,Z933,AC933,AF933,AI933,AL933,AO933,AR933,AU933,AX933,BA933))</f>
        <v/>
      </c>
      <c r="BG933" s="10">
        <f>MID(IF(S933="","",", "&amp;S933)&amp;IF(V933="","",", "&amp;V933)&amp;IF(Y933="","",", "&amp;Y933)&amp;IF(AB933="","",", "&amp;AB933)&amp;IF(AE933="","",", "&amp;AE933)&amp;IF(AH933="","",", "&amp;AH933)&amp;IF(AK933="","",", "&amp;AK933)&amp;IF(AN933="","",", "&amp;AN933)&amp;IF(AQ933="","",", "&amp;AQ933)&amp;IF(AT933="","",", "&amp;AT933)&amp;IF(AW933="","",", "&amp;AW933)&amp;IF(AZ933="","",", "&amp;AZ933),3,500)</f>
        <v/>
      </c>
      <c r="BH933" s="12" t="n"/>
      <c r="BI933" s="15">
        <f>IFERROR(MATCH($A933,IF($B933="Onsite",tbl_Onsite[Row ID],IF($B933="Production",tbl_Production[Row ID],tbl_Consulting[Row ID])),0),"")</f>
        <v/>
      </c>
    </row>
    <row r="934">
      <c r="A934" s="10" t="inlineStr">
        <is>
          <t>PRD-0428</t>
        </is>
      </c>
      <c r="B934" s="10" t="inlineStr">
        <is>
          <t>Production</t>
        </is>
      </c>
      <c r="C934" s="10">
        <f>IF($BI934="","",IF($B934="Onsite",INDEX(tbl_Onsite[Job Number],$BI934),IF($B934="Production",INDEX(tbl_Production[Job Number],$BI934),INDEX(tbl_Consulting[Job Number],$BI934)))&amp;"")</f>
        <v/>
      </c>
      <c r="D934" s="10">
        <f>IF($BI934="","",IF($B934="Onsite",INDEX(tbl_Onsite[Client],$BI934),IF($B934="Production",INDEX(tbl_Production[Client],$BI934),INDEX(tbl_Consulting[Client],$BI934)))&amp;"")</f>
        <v/>
      </c>
      <c r="E934" s="10">
        <f>IF($C934="","",IF(COUNTIF(lst_Jobs,$C934)&gt;0,"OK","CHECK"))</f>
        <v/>
      </c>
      <c r="F934" s="10">
        <f>IF($C934="","",IFERROR(INDEX(lst_JobName,MATCH($C934,lst_Jobs,0)),""))</f>
        <v/>
      </c>
      <c r="G934" s="10">
        <f>IF($BI934="","",IF($B934="Onsite",INDEX(tbl_Onsite[Job Description],$BI934),IF($B934="Production",INDEX(tbl_Production[Job Description],$BI934),INDEX(tbl_Consulting[Job Description],$BI934)))&amp;"")</f>
        <v/>
      </c>
      <c r="H934" s="10">
        <f>IF($BI934="","",IF($B934="Onsite",INDEX(tbl_Onsite[Cost Centre],$BI934),IF($B934="Production",INDEX(tbl_Production[Cost Centre],$BI934),INDEX(tbl_Consulting[Cost Centre],$BI934)))&amp;"")</f>
        <v/>
      </c>
      <c r="I934" s="10">
        <f>IF($BI934="","",IF($B934="Onsite",INDEX(tbl_Onsite[Invoice Type],$BI934),IF($B934="Production",INDEX(tbl_Production[Invoice Type],$BI934),INDEX(tbl_Consulting[Invoice Type],$BI934)))&amp;"")</f>
        <v/>
      </c>
      <c r="J934" s="10">
        <f>IF($BI934="","",IF($B934="Onsite",INDEX(tbl_Onsite[Tax Code],$BI934),IF($B934="Production",INDEX(tbl_Production[Tax Code],$BI934),INDEX(tbl_Consulting[Tax Code],$BI934)))&amp;"")</f>
        <v/>
      </c>
      <c r="K934" s="10">
        <f>IF(H934="","",IFERROR(INDEX(lst_CCtoGL,MATCH(H934,lst_CCforGL,0)),""))</f>
        <v/>
      </c>
      <c r="L934" s="10">
        <f>IF($BI934="","",IF($B934="Onsite",INDEX(tbl_Onsite[PO / Reference],$BI934),IF($B934="Production",INDEX(tbl_Production[Current RMS No],$BI934),INDEX(tbl_Consulting[Qwilr Quote],$BI934)))&amp;"")</f>
        <v/>
      </c>
      <c r="M934" s="10">
        <f>IF($BI934="","",IF($B934="Onsite",INDEX(tbl_Onsite[Notes],$BI934),IF($B934="Production",INDEX(tbl_Production[Notes],$BI934),INDEX(tbl_Consulting[Notes],$BI934)))&amp;"")</f>
        <v/>
      </c>
      <c r="N934" s="11">
        <f>IF($BI934="","",IF(IF($B934="Onsite",INDEX(tbl_Onsite[Expected Revenue Ex GST],$BI934),IF($B934="Production",INDEX(tbl_Production[Expected Revenue Ex GST],$BI934),INDEX(tbl_Consulting[Expected Revenue Ex GST],$BI934)))="","",IF($B934="Onsite",INDEX(tbl_Onsite[Expected Revenue Ex GST],$BI934),IF($B934="Production",INDEX(tbl_Production[Expected Revenue Ex GST],$BI934),INDEX(tbl_Consulting[Expected Revenue Ex GST],$BI934)))))</f>
        <v/>
      </c>
      <c r="O934" s="11">
        <f>IF(AND($C934="",NOT(COUNTA($S934:$BB934)&gt;0)),"",SUM(U934,X934,AA934,AD934,AG934,AJ934,AM934,AP934,AS934,AV934,AY934,BB934))</f>
        <v/>
      </c>
      <c r="P934" s="11">
        <f>IF(O934="","",N(N934)-O934)</f>
        <v/>
      </c>
      <c r="Q934" s="10">
        <f>IF(O934="","",IF($C934="","Invoice on empty job row",IF(N934="",IF(ROUND(O934,2)=0,"No dept value","Invoiced - no dept value"),IF(ROUND(O934,2)=0,"Not invoiced - to invoice",IF(ROUND(P934,2)=0,"Agrees",IF(P934&gt;0,"Dept higher - to invoice","Xero higher - check dept"))))))</f>
        <v/>
      </c>
      <c r="R934" s="10">
        <f>IF(AND($C934="",NOT(COUNTA($S934:$BB934)&gt;0),$BI934&lt;&gt;""),"",MID(IF($BI934="","; Row ID not found on the department sheet - a row was deleted","")&amp;IF(AND($C934="",COUNTA($S934:$BB934)&gt;0),"; Invoice entered but the department row has no job number","")&amp;IF(E934="CHECK","; Job number not in the Xero job list","")&amp;IF(AND($C934&lt;&gt;"",COUNTIF($C$7:$C$1506,$C934)&gt;1),"; Job number on more than one row","")&amp;IF(AND($C934&lt;&gt;"",H934=""),"; Dept has not set a cost centre","")&amp;IF(AND($C934&lt;&gt;"",J934=""),"; Dept has not set a tax code","")&amp;IF(AND($C934&lt;&gt;"",N934=""),"; Dept has not entered an expected value","")&amp;IF((IF(OR(COUNTA(S934:U934)=0,AND(COUNTA(S934:U934)=3,ISNUMBER(U934))),0,1)+IF(OR(COUNTA(V934:X934)=0,AND(COUNTA(V934:X934)=3,ISNUMBER(X934))),0,1)+IF(OR(COUNTA(Y934:AA934)=0,AND(COUNTA(Y934:AA934)=3,ISNUMBER(AA934))),0,1)+IF(OR(COUNTA(AB934:AD934)=0,AND(COUNTA(AB934:AD934)=3,ISNUMBER(AD934))),0,1)+IF(OR(COUNTA(AE934:AG934)=0,AND(COUNTA(AE934:AG934)=3,ISNUMBER(AG934))),0,1)+IF(OR(COUNTA(AH934:AJ934)=0,AND(COUNTA(AH934:AJ934)=3,ISNUMBER(AJ934))),0,1)+IF(OR(COUNTA(AK934:AM934)=0,AND(COUNTA(AK934:AM934)=3,ISNUMBER(AM934))),0,1)+IF(OR(COUNTA(AN934:AP934)=0,AND(COUNTA(AN934:AP934)=3,ISNUMBER(AP934))),0,1)+IF(OR(COUNTA(AQ934:AS934)=0,AND(COUNTA(AQ934:AS934)=3,ISNUMBER(AS934))),0,1)+IF(OR(COUNTA(AT934:AV934)=0,AND(COUNTA(AT934:AV934)=3,ISNUMBER(AV934))),0,1)+IF(OR(COUNTA(AW934:AY934)=0,AND(COUNTA(AW934:AY934)=3,ISNUMBER(AY934))),0,1)+IF(OR(COUNTA(AZ934:BB934)=0,AND(COUNTA(AZ934:BB934)=3,ISNUMBER(BB934))),0,1))&gt;0,"; An invoice is incomplete (needs No, Date and a number in Ex GST)","")&amp;IF((IF(T934="",0,IFERROR(--(EOMONTH(T934,0)&lt;&gt;S$5),1))+IF(W934="",0,IFERROR(--(EOMONTH(W934,0)&lt;&gt;V$5),1))+IF(Z934="",0,IFERROR(--(EOMONTH(Z934,0)&lt;&gt;Y$5),1))+IF(AC934="",0,IFERROR(--(EOMONTH(AC934,0)&lt;&gt;AB$5),1))+IF(AF934="",0,IFERROR(--(EOMONTH(AF934,0)&lt;&gt;AE$5),1))+IF(AI934="",0,IFERROR(--(EOMONTH(AI934,0)&lt;&gt;AH$5),1))+IF(AL934="",0,IFERROR(--(EOMONTH(AL934,0)&lt;&gt;AK$5),1))+IF(AO934="",0,IFERROR(--(EOMONTH(AO934,0)&lt;&gt;AN$5),1))+IF(AR934="",0,IFERROR(--(EOMONTH(AR934,0)&lt;&gt;AQ$5),1))+IF(AU934="",0,IFERROR(--(EOMONTH(AU934,0)&lt;&gt;AT$5),1))+IF(AX934="",0,IFERROR(--(EOMONTH(AX934,0)&lt;&gt;AW$5),1))+IF(BA934="",0,IFERROR(--(EOMONTH(BA934,0)&lt;&gt;AZ$5),1)))&gt;0,"; An invoice date is not in the month it is typed under",""),3,500))</f>
        <v/>
      </c>
      <c r="S934" s="12" t="n"/>
      <c r="T934" s="13" t="n"/>
      <c r="U934" s="14" t="n"/>
      <c r="V934" s="12" t="n"/>
      <c r="W934" s="13" t="n"/>
      <c r="X934" s="14" t="n"/>
      <c r="Y934" s="12" t="n"/>
      <c r="Z934" s="13" t="n"/>
      <c r="AA934" s="14" t="n"/>
      <c r="AB934" s="12" t="n"/>
      <c r="AC934" s="13" t="n"/>
      <c r="AD934" s="14" t="n"/>
      <c r="AE934" s="12" t="n"/>
      <c r="AF934" s="13" t="n"/>
      <c r="AG934" s="14" t="n"/>
      <c r="AH934" s="12" t="n"/>
      <c r="AI934" s="13" t="n"/>
      <c r="AJ934" s="14" t="n"/>
      <c r="AK934" s="12" t="n"/>
      <c r="AL934" s="13" t="n"/>
      <c r="AM934" s="14" t="n"/>
      <c r="AN934" s="12" t="n"/>
      <c r="AO934" s="13" t="n"/>
      <c r="AP934" s="14" t="n"/>
      <c r="AQ934" s="12" t="n"/>
      <c r="AR934" s="13" t="n"/>
      <c r="AS934" s="14" t="n"/>
      <c r="AT934" s="12" t="n"/>
      <c r="AU934" s="13" t="n"/>
      <c r="AV934" s="14" t="n"/>
      <c r="AW934" s="12" t="n"/>
      <c r="AX934" s="13" t="n"/>
      <c r="AY934" s="14" t="n"/>
      <c r="AZ934" s="12" t="n"/>
      <c r="BA934" s="13" t="n"/>
      <c r="BB934" s="14" t="n"/>
      <c r="BC934" s="11">
        <f>IF(O934="","",IF(J934="GST 10%",ROUND(O934*set_GSTRate,2),0))</f>
        <v/>
      </c>
      <c r="BD934" s="11">
        <f>IF(O934="","",O934+BC934)</f>
        <v/>
      </c>
      <c r="BE934" s="15">
        <f>IF(O934="","",COUNTA(S934,V934,Y934,AB934,AE934,AH934,AK934,AN934,AQ934,AT934,AW934,AZ934))</f>
        <v/>
      </c>
      <c r="BF934" s="16">
        <f>IF(COUNT(T934,W934,Z934,AC934,AF934,AI934,AL934,AO934,AR934,AU934,AX934,BA934)=0,"",MAX(T934,W934,Z934,AC934,AF934,AI934,AL934,AO934,AR934,AU934,AX934,BA934))</f>
        <v/>
      </c>
      <c r="BG934" s="10">
        <f>MID(IF(S934="","",", "&amp;S934)&amp;IF(V934="","",", "&amp;V934)&amp;IF(Y934="","",", "&amp;Y934)&amp;IF(AB934="","",", "&amp;AB934)&amp;IF(AE934="","",", "&amp;AE934)&amp;IF(AH934="","",", "&amp;AH934)&amp;IF(AK934="","",", "&amp;AK934)&amp;IF(AN934="","",", "&amp;AN934)&amp;IF(AQ934="","",", "&amp;AQ934)&amp;IF(AT934="","",", "&amp;AT934)&amp;IF(AW934="","",", "&amp;AW934)&amp;IF(AZ934="","",", "&amp;AZ934),3,500)</f>
        <v/>
      </c>
      <c r="BH934" s="12" t="n"/>
      <c r="BI934" s="15">
        <f>IFERROR(MATCH($A934,IF($B934="Onsite",tbl_Onsite[Row ID],IF($B934="Production",tbl_Production[Row ID],tbl_Consulting[Row ID])),0),"")</f>
        <v/>
      </c>
    </row>
    <row r="935">
      <c r="A935" s="10" t="inlineStr">
        <is>
          <t>PRD-0429</t>
        </is>
      </c>
      <c r="B935" s="10" t="inlineStr">
        <is>
          <t>Production</t>
        </is>
      </c>
      <c r="C935" s="10">
        <f>IF($BI935="","",IF($B935="Onsite",INDEX(tbl_Onsite[Job Number],$BI935),IF($B935="Production",INDEX(tbl_Production[Job Number],$BI935),INDEX(tbl_Consulting[Job Number],$BI935)))&amp;"")</f>
        <v/>
      </c>
      <c r="D935" s="10">
        <f>IF($BI935="","",IF($B935="Onsite",INDEX(tbl_Onsite[Client],$BI935),IF($B935="Production",INDEX(tbl_Production[Client],$BI935),INDEX(tbl_Consulting[Client],$BI935)))&amp;"")</f>
        <v/>
      </c>
      <c r="E935" s="10">
        <f>IF($C935="","",IF(COUNTIF(lst_Jobs,$C935)&gt;0,"OK","CHECK"))</f>
        <v/>
      </c>
      <c r="F935" s="10">
        <f>IF($C935="","",IFERROR(INDEX(lst_JobName,MATCH($C935,lst_Jobs,0)),""))</f>
        <v/>
      </c>
      <c r="G935" s="10">
        <f>IF($BI935="","",IF($B935="Onsite",INDEX(tbl_Onsite[Job Description],$BI935),IF($B935="Production",INDEX(tbl_Production[Job Description],$BI935),INDEX(tbl_Consulting[Job Description],$BI935)))&amp;"")</f>
        <v/>
      </c>
      <c r="H935" s="10">
        <f>IF($BI935="","",IF($B935="Onsite",INDEX(tbl_Onsite[Cost Centre],$BI935),IF($B935="Production",INDEX(tbl_Production[Cost Centre],$BI935),INDEX(tbl_Consulting[Cost Centre],$BI935)))&amp;"")</f>
        <v/>
      </c>
      <c r="I935" s="10">
        <f>IF($BI935="","",IF($B935="Onsite",INDEX(tbl_Onsite[Invoice Type],$BI935),IF($B935="Production",INDEX(tbl_Production[Invoice Type],$BI935),INDEX(tbl_Consulting[Invoice Type],$BI935)))&amp;"")</f>
        <v/>
      </c>
      <c r="J935" s="10">
        <f>IF($BI935="","",IF($B935="Onsite",INDEX(tbl_Onsite[Tax Code],$BI935),IF($B935="Production",INDEX(tbl_Production[Tax Code],$BI935),INDEX(tbl_Consulting[Tax Code],$BI935)))&amp;"")</f>
        <v/>
      </c>
      <c r="K935" s="10">
        <f>IF(H935="","",IFERROR(INDEX(lst_CCtoGL,MATCH(H935,lst_CCforGL,0)),""))</f>
        <v/>
      </c>
      <c r="L935" s="10">
        <f>IF($BI935="","",IF($B935="Onsite",INDEX(tbl_Onsite[PO / Reference],$BI935),IF($B935="Production",INDEX(tbl_Production[Current RMS No],$BI935),INDEX(tbl_Consulting[Qwilr Quote],$BI935)))&amp;"")</f>
        <v/>
      </c>
      <c r="M935" s="10">
        <f>IF($BI935="","",IF($B935="Onsite",INDEX(tbl_Onsite[Notes],$BI935),IF($B935="Production",INDEX(tbl_Production[Notes],$BI935),INDEX(tbl_Consulting[Notes],$BI935)))&amp;"")</f>
        <v/>
      </c>
      <c r="N935" s="11">
        <f>IF($BI935="","",IF(IF($B935="Onsite",INDEX(tbl_Onsite[Expected Revenue Ex GST],$BI935),IF($B935="Production",INDEX(tbl_Production[Expected Revenue Ex GST],$BI935),INDEX(tbl_Consulting[Expected Revenue Ex GST],$BI935)))="","",IF($B935="Onsite",INDEX(tbl_Onsite[Expected Revenue Ex GST],$BI935),IF($B935="Production",INDEX(tbl_Production[Expected Revenue Ex GST],$BI935),INDEX(tbl_Consulting[Expected Revenue Ex GST],$BI935)))))</f>
        <v/>
      </c>
      <c r="O935" s="11">
        <f>IF(AND($C935="",NOT(COUNTA($S935:$BB935)&gt;0)),"",SUM(U935,X935,AA935,AD935,AG935,AJ935,AM935,AP935,AS935,AV935,AY935,BB935))</f>
        <v/>
      </c>
      <c r="P935" s="11">
        <f>IF(O935="","",N(N935)-O935)</f>
        <v/>
      </c>
      <c r="Q935" s="10">
        <f>IF(O935="","",IF($C935="","Invoice on empty job row",IF(N935="",IF(ROUND(O935,2)=0,"No dept value","Invoiced - no dept value"),IF(ROUND(O935,2)=0,"Not invoiced - to invoice",IF(ROUND(P935,2)=0,"Agrees",IF(P935&gt;0,"Dept higher - to invoice","Xero higher - check dept"))))))</f>
        <v/>
      </c>
      <c r="R935" s="10">
        <f>IF(AND($C935="",NOT(COUNTA($S935:$BB935)&gt;0),$BI935&lt;&gt;""),"",MID(IF($BI935="","; Row ID not found on the department sheet - a row was deleted","")&amp;IF(AND($C935="",COUNTA($S935:$BB935)&gt;0),"; Invoice entered but the department row has no job number","")&amp;IF(E935="CHECK","; Job number not in the Xero job list","")&amp;IF(AND($C935&lt;&gt;"",COUNTIF($C$7:$C$1506,$C935)&gt;1),"; Job number on more than one row","")&amp;IF(AND($C935&lt;&gt;"",H935=""),"; Dept has not set a cost centre","")&amp;IF(AND($C935&lt;&gt;"",J935=""),"; Dept has not set a tax code","")&amp;IF(AND($C935&lt;&gt;"",N935=""),"; Dept has not entered an expected value","")&amp;IF((IF(OR(COUNTA(S935:U935)=0,AND(COUNTA(S935:U935)=3,ISNUMBER(U935))),0,1)+IF(OR(COUNTA(V935:X935)=0,AND(COUNTA(V935:X935)=3,ISNUMBER(X935))),0,1)+IF(OR(COUNTA(Y935:AA935)=0,AND(COUNTA(Y935:AA935)=3,ISNUMBER(AA935))),0,1)+IF(OR(COUNTA(AB935:AD935)=0,AND(COUNTA(AB935:AD935)=3,ISNUMBER(AD935))),0,1)+IF(OR(COUNTA(AE935:AG935)=0,AND(COUNTA(AE935:AG935)=3,ISNUMBER(AG935))),0,1)+IF(OR(COUNTA(AH935:AJ935)=0,AND(COUNTA(AH935:AJ935)=3,ISNUMBER(AJ935))),0,1)+IF(OR(COUNTA(AK935:AM935)=0,AND(COUNTA(AK935:AM935)=3,ISNUMBER(AM935))),0,1)+IF(OR(COUNTA(AN935:AP935)=0,AND(COUNTA(AN935:AP935)=3,ISNUMBER(AP935))),0,1)+IF(OR(COUNTA(AQ935:AS935)=0,AND(COUNTA(AQ935:AS935)=3,ISNUMBER(AS935))),0,1)+IF(OR(COUNTA(AT935:AV935)=0,AND(COUNTA(AT935:AV935)=3,ISNUMBER(AV935))),0,1)+IF(OR(COUNTA(AW935:AY935)=0,AND(COUNTA(AW935:AY935)=3,ISNUMBER(AY935))),0,1)+IF(OR(COUNTA(AZ935:BB935)=0,AND(COUNTA(AZ935:BB935)=3,ISNUMBER(BB935))),0,1))&gt;0,"; An invoice is incomplete (needs No, Date and a number in Ex GST)","")&amp;IF((IF(T935="",0,IFERROR(--(EOMONTH(T935,0)&lt;&gt;S$5),1))+IF(W935="",0,IFERROR(--(EOMONTH(W935,0)&lt;&gt;V$5),1))+IF(Z935="",0,IFERROR(--(EOMONTH(Z935,0)&lt;&gt;Y$5),1))+IF(AC935="",0,IFERROR(--(EOMONTH(AC935,0)&lt;&gt;AB$5),1))+IF(AF935="",0,IFERROR(--(EOMONTH(AF935,0)&lt;&gt;AE$5),1))+IF(AI935="",0,IFERROR(--(EOMONTH(AI935,0)&lt;&gt;AH$5),1))+IF(AL935="",0,IFERROR(--(EOMONTH(AL935,0)&lt;&gt;AK$5),1))+IF(AO935="",0,IFERROR(--(EOMONTH(AO935,0)&lt;&gt;AN$5),1))+IF(AR935="",0,IFERROR(--(EOMONTH(AR935,0)&lt;&gt;AQ$5),1))+IF(AU935="",0,IFERROR(--(EOMONTH(AU935,0)&lt;&gt;AT$5),1))+IF(AX935="",0,IFERROR(--(EOMONTH(AX935,0)&lt;&gt;AW$5),1))+IF(BA935="",0,IFERROR(--(EOMONTH(BA935,0)&lt;&gt;AZ$5),1)))&gt;0,"; An invoice date is not in the month it is typed under",""),3,500))</f>
        <v/>
      </c>
      <c r="S935" s="12" t="n"/>
      <c r="T935" s="13" t="n"/>
      <c r="U935" s="14" t="n"/>
      <c r="V935" s="12" t="n"/>
      <c r="W935" s="13" t="n"/>
      <c r="X935" s="14" t="n"/>
      <c r="Y935" s="12" t="n"/>
      <c r="Z935" s="13" t="n"/>
      <c r="AA935" s="14" t="n"/>
      <c r="AB935" s="12" t="n"/>
      <c r="AC935" s="13" t="n"/>
      <c r="AD935" s="14" t="n"/>
      <c r="AE935" s="12" t="n"/>
      <c r="AF935" s="13" t="n"/>
      <c r="AG935" s="14" t="n"/>
      <c r="AH935" s="12" t="n"/>
      <c r="AI935" s="13" t="n"/>
      <c r="AJ935" s="14" t="n"/>
      <c r="AK935" s="12" t="n"/>
      <c r="AL935" s="13" t="n"/>
      <c r="AM935" s="14" t="n"/>
      <c r="AN935" s="12" t="n"/>
      <c r="AO935" s="13" t="n"/>
      <c r="AP935" s="14" t="n"/>
      <c r="AQ935" s="12" t="n"/>
      <c r="AR935" s="13" t="n"/>
      <c r="AS935" s="14" t="n"/>
      <c r="AT935" s="12" t="n"/>
      <c r="AU935" s="13" t="n"/>
      <c r="AV935" s="14" t="n"/>
      <c r="AW935" s="12" t="n"/>
      <c r="AX935" s="13" t="n"/>
      <c r="AY935" s="14" t="n"/>
      <c r="AZ935" s="12" t="n"/>
      <c r="BA935" s="13" t="n"/>
      <c r="BB935" s="14" t="n"/>
      <c r="BC935" s="11">
        <f>IF(O935="","",IF(J935="GST 10%",ROUND(O935*set_GSTRate,2),0))</f>
        <v/>
      </c>
      <c r="BD935" s="11">
        <f>IF(O935="","",O935+BC935)</f>
        <v/>
      </c>
      <c r="BE935" s="15">
        <f>IF(O935="","",COUNTA(S935,V935,Y935,AB935,AE935,AH935,AK935,AN935,AQ935,AT935,AW935,AZ935))</f>
        <v/>
      </c>
      <c r="BF935" s="16">
        <f>IF(COUNT(T935,W935,Z935,AC935,AF935,AI935,AL935,AO935,AR935,AU935,AX935,BA935)=0,"",MAX(T935,W935,Z935,AC935,AF935,AI935,AL935,AO935,AR935,AU935,AX935,BA935))</f>
        <v/>
      </c>
      <c r="BG935" s="10">
        <f>MID(IF(S935="","",", "&amp;S935)&amp;IF(V935="","",", "&amp;V935)&amp;IF(Y935="","",", "&amp;Y935)&amp;IF(AB935="","",", "&amp;AB935)&amp;IF(AE935="","",", "&amp;AE935)&amp;IF(AH935="","",", "&amp;AH935)&amp;IF(AK935="","",", "&amp;AK935)&amp;IF(AN935="","",", "&amp;AN935)&amp;IF(AQ935="","",", "&amp;AQ935)&amp;IF(AT935="","",", "&amp;AT935)&amp;IF(AW935="","",", "&amp;AW935)&amp;IF(AZ935="","",", "&amp;AZ935),3,500)</f>
        <v/>
      </c>
      <c r="BH935" s="12" t="n"/>
      <c r="BI935" s="15">
        <f>IFERROR(MATCH($A935,IF($B935="Onsite",tbl_Onsite[Row ID],IF($B935="Production",tbl_Production[Row ID],tbl_Consulting[Row ID])),0),"")</f>
        <v/>
      </c>
    </row>
    <row r="936">
      <c r="A936" s="10" t="inlineStr">
        <is>
          <t>PRD-0430</t>
        </is>
      </c>
      <c r="B936" s="10" t="inlineStr">
        <is>
          <t>Production</t>
        </is>
      </c>
      <c r="C936" s="10">
        <f>IF($BI936="","",IF($B936="Onsite",INDEX(tbl_Onsite[Job Number],$BI936),IF($B936="Production",INDEX(tbl_Production[Job Number],$BI936),INDEX(tbl_Consulting[Job Number],$BI936)))&amp;"")</f>
        <v/>
      </c>
      <c r="D936" s="10">
        <f>IF($BI936="","",IF($B936="Onsite",INDEX(tbl_Onsite[Client],$BI936),IF($B936="Production",INDEX(tbl_Production[Client],$BI936),INDEX(tbl_Consulting[Client],$BI936)))&amp;"")</f>
        <v/>
      </c>
      <c r="E936" s="10">
        <f>IF($C936="","",IF(COUNTIF(lst_Jobs,$C936)&gt;0,"OK","CHECK"))</f>
        <v/>
      </c>
      <c r="F936" s="10">
        <f>IF($C936="","",IFERROR(INDEX(lst_JobName,MATCH($C936,lst_Jobs,0)),""))</f>
        <v/>
      </c>
      <c r="G936" s="10">
        <f>IF($BI936="","",IF($B936="Onsite",INDEX(tbl_Onsite[Job Description],$BI936),IF($B936="Production",INDEX(tbl_Production[Job Description],$BI936),INDEX(tbl_Consulting[Job Description],$BI936)))&amp;"")</f>
        <v/>
      </c>
      <c r="H936" s="10">
        <f>IF($BI936="","",IF($B936="Onsite",INDEX(tbl_Onsite[Cost Centre],$BI936),IF($B936="Production",INDEX(tbl_Production[Cost Centre],$BI936),INDEX(tbl_Consulting[Cost Centre],$BI936)))&amp;"")</f>
        <v/>
      </c>
      <c r="I936" s="10">
        <f>IF($BI936="","",IF($B936="Onsite",INDEX(tbl_Onsite[Invoice Type],$BI936),IF($B936="Production",INDEX(tbl_Production[Invoice Type],$BI936),INDEX(tbl_Consulting[Invoice Type],$BI936)))&amp;"")</f>
        <v/>
      </c>
      <c r="J936" s="10">
        <f>IF($BI936="","",IF($B936="Onsite",INDEX(tbl_Onsite[Tax Code],$BI936),IF($B936="Production",INDEX(tbl_Production[Tax Code],$BI936),INDEX(tbl_Consulting[Tax Code],$BI936)))&amp;"")</f>
        <v/>
      </c>
      <c r="K936" s="10">
        <f>IF(H936="","",IFERROR(INDEX(lst_CCtoGL,MATCH(H936,lst_CCforGL,0)),""))</f>
        <v/>
      </c>
      <c r="L936" s="10">
        <f>IF($BI936="","",IF($B936="Onsite",INDEX(tbl_Onsite[PO / Reference],$BI936),IF($B936="Production",INDEX(tbl_Production[Current RMS No],$BI936),INDEX(tbl_Consulting[Qwilr Quote],$BI936)))&amp;"")</f>
        <v/>
      </c>
      <c r="M936" s="10">
        <f>IF($BI936="","",IF($B936="Onsite",INDEX(tbl_Onsite[Notes],$BI936),IF($B936="Production",INDEX(tbl_Production[Notes],$BI936),INDEX(tbl_Consulting[Notes],$BI936)))&amp;"")</f>
        <v/>
      </c>
      <c r="N936" s="11">
        <f>IF($BI936="","",IF(IF($B936="Onsite",INDEX(tbl_Onsite[Expected Revenue Ex GST],$BI936),IF($B936="Production",INDEX(tbl_Production[Expected Revenue Ex GST],$BI936),INDEX(tbl_Consulting[Expected Revenue Ex GST],$BI936)))="","",IF($B936="Onsite",INDEX(tbl_Onsite[Expected Revenue Ex GST],$BI936),IF($B936="Production",INDEX(tbl_Production[Expected Revenue Ex GST],$BI936),INDEX(tbl_Consulting[Expected Revenue Ex GST],$BI936)))))</f>
        <v/>
      </c>
      <c r="O936" s="11">
        <f>IF(AND($C936="",NOT(COUNTA($S936:$BB936)&gt;0)),"",SUM(U936,X936,AA936,AD936,AG936,AJ936,AM936,AP936,AS936,AV936,AY936,BB936))</f>
        <v/>
      </c>
      <c r="P936" s="11">
        <f>IF(O936="","",N(N936)-O936)</f>
        <v/>
      </c>
      <c r="Q936" s="10">
        <f>IF(O936="","",IF($C936="","Invoice on empty job row",IF(N936="",IF(ROUND(O936,2)=0,"No dept value","Invoiced - no dept value"),IF(ROUND(O936,2)=0,"Not invoiced - to invoice",IF(ROUND(P936,2)=0,"Agrees",IF(P936&gt;0,"Dept higher - to invoice","Xero higher - check dept"))))))</f>
        <v/>
      </c>
      <c r="R936" s="10">
        <f>IF(AND($C936="",NOT(COUNTA($S936:$BB936)&gt;0),$BI936&lt;&gt;""),"",MID(IF($BI936="","; Row ID not found on the department sheet - a row was deleted","")&amp;IF(AND($C936="",COUNTA($S936:$BB936)&gt;0),"; Invoice entered but the department row has no job number","")&amp;IF(E936="CHECK","; Job number not in the Xero job list","")&amp;IF(AND($C936&lt;&gt;"",COUNTIF($C$7:$C$1506,$C936)&gt;1),"; Job number on more than one row","")&amp;IF(AND($C936&lt;&gt;"",H936=""),"; Dept has not set a cost centre","")&amp;IF(AND($C936&lt;&gt;"",J936=""),"; Dept has not set a tax code","")&amp;IF(AND($C936&lt;&gt;"",N936=""),"; Dept has not entered an expected value","")&amp;IF((IF(OR(COUNTA(S936:U936)=0,AND(COUNTA(S936:U936)=3,ISNUMBER(U936))),0,1)+IF(OR(COUNTA(V936:X936)=0,AND(COUNTA(V936:X936)=3,ISNUMBER(X936))),0,1)+IF(OR(COUNTA(Y936:AA936)=0,AND(COUNTA(Y936:AA936)=3,ISNUMBER(AA936))),0,1)+IF(OR(COUNTA(AB936:AD936)=0,AND(COUNTA(AB936:AD936)=3,ISNUMBER(AD936))),0,1)+IF(OR(COUNTA(AE936:AG936)=0,AND(COUNTA(AE936:AG936)=3,ISNUMBER(AG936))),0,1)+IF(OR(COUNTA(AH936:AJ936)=0,AND(COUNTA(AH936:AJ936)=3,ISNUMBER(AJ936))),0,1)+IF(OR(COUNTA(AK936:AM936)=0,AND(COUNTA(AK936:AM936)=3,ISNUMBER(AM936))),0,1)+IF(OR(COUNTA(AN936:AP936)=0,AND(COUNTA(AN936:AP936)=3,ISNUMBER(AP936))),0,1)+IF(OR(COUNTA(AQ936:AS936)=0,AND(COUNTA(AQ936:AS936)=3,ISNUMBER(AS936))),0,1)+IF(OR(COUNTA(AT936:AV936)=0,AND(COUNTA(AT936:AV936)=3,ISNUMBER(AV936))),0,1)+IF(OR(COUNTA(AW936:AY936)=0,AND(COUNTA(AW936:AY936)=3,ISNUMBER(AY936))),0,1)+IF(OR(COUNTA(AZ936:BB936)=0,AND(COUNTA(AZ936:BB936)=3,ISNUMBER(BB936))),0,1))&gt;0,"; An invoice is incomplete (needs No, Date and a number in Ex GST)","")&amp;IF((IF(T936="",0,IFERROR(--(EOMONTH(T936,0)&lt;&gt;S$5),1))+IF(W936="",0,IFERROR(--(EOMONTH(W936,0)&lt;&gt;V$5),1))+IF(Z936="",0,IFERROR(--(EOMONTH(Z936,0)&lt;&gt;Y$5),1))+IF(AC936="",0,IFERROR(--(EOMONTH(AC936,0)&lt;&gt;AB$5),1))+IF(AF936="",0,IFERROR(--(EOMONTH(AF936,0)&lt;&gt;AE$5),1))+IF(AI936="",0,IFERROR(--(EOMONTH(AI936,0)&lt;&gt;AH$5),1))+IF(AL936="",0,IFERROR(--(EOMONTH(AL936,0)&lt;&gt;AK$5),1))+IF(AO936="",0,IFERROR(--(EOMONTH(AO936,0)&lt;&gt;AN$5),1))+IF(AR936="",0,IFERROR(--(EOMONTH(AR936,0)&lt;&gt;AQ$5),1))+IF(AU936="",0,IFERROR(--(EOMONTH(AU936,0)&lt;&gt;AT$5),1))+IF(AX936="",0,IFERROR(--(EOMONTH(AX936,0)&lt;&gt;AW$5),1))+IF(BA936="",0,IFERROR(--(EOMONTH(BA936,0)&lt;&gt;AZ$5),1)))&gt;0,"; An invoice date is not in the month it is typed under",""),3,500))</f>
        <v/>
      </c>
      <c r="S936" s="12" t="n"/>
      <c r="T936" s="13" t="n"/>
      <c r="U936" s="14" t="n"/>
      <c r="V936" s="12" t="n"/>
      <c r="W936" s="13" t="n"/>
      <c r="X936" s="14" t="n"/>
      <c r="Y936" s="12" t="n"/>
      <c r="Z936" s="13" t="n"/>
      <c r="AA936" s="14" t="n"/>
      <c r="AB936" s="12" t="n"/>
      <c r="AC936" s="13" t="n"/>
      <c r="AD936" s="14" t="n"/>
      <c r="AE936" s="12" t="n"/>
      <c r="AF936" s="13" t="n"/>
      <c r="AG936" s="14" t="n"/>
      <c r="AH936" s="12" t="n"/>
      <c r="AI936" s="13" t="n"/>
      <c r="AJ936" s="14" t="n"/>
      <c r="AK936" s="12" t="n"/>
      <c r="AL936" s="13" t="n"/>
      <c r="AM936" s="14" t="n"/>
      <c r="AN936" s="12" t="n"/>
      <c r="AO936" s="13" t="n"/>
      <c r="AP936" s="14" t="n"/>
      <c r="AQ936" s="12" t="n"/>
      <c r="AR936" s="13" t="n"/>
      <c r="AS936" s="14" t="n"/>
      <c r="AT936" s="12" t="n"/>
      <c r="AU936" s="13" t="n"/>
      <c r="AV936" s="14" t="n"/>
      <c r="AW936" s="12" t="n"/>
      <c r="AX936" s="13" t="n"/>
      <c r="AY936" s="14" t="n"/>
      <c r="AZ936" s="12" t="n"/>
      <c r="BA936" s="13" t="n"/>
      <c r="BB936" s="14" t="n"/>
      <c r="BC936" s="11">
        <f>IF(O936="","",IF(J936="GST 10%",ROUND(O936*set_GSTRate,2),0))</f>
        <v/>
      </c>
      <c r="BD936" s="11">
        <f>IF(O936="","",O936+BC936)</f>
        <v/>
      </c>
      <c r="BE936" s="15">
        <f>IF(O936="","",COUNTA(S936,V936,Y936,AB936,AE936,AH936,AK936,AN936,AQ936,AT936,AW936,AZ936))</f>
        <v/>
      </c>
      <c r="BF936" s="16">
        <f>IF(COUNT(T936,W936,Z936,AC936,AF936,AI936,AL936,AO936,AR936,AU936,AX936,BA936)=0,"",MAX(T936,W936,Z936,AC936,AF936,AI936,AL936,AO936,AR936,AU936,AX936,BA936))</f>
        <v/>
      </c>
      <c r="BG936" s="10">
        <f>MID(IF(S936="","",", "&amp;S936)&amp;IF(V936="","",", "&amp;V936)&amp;IF(Y936="","",", "&amp;Y936)&amp;IF(AB936="","",", "&amp;AB936)&amp;IF(AE936="","",", "&amp;AE936)&amp;IF(AH936="","",", "&amp;AH936)&amp;IF(AK936="","",", "&amp;AK936)&amp;IF(AN936="","",", "&amp;AN936)&amp;IF(AQ936="","",", "&amp;AQ936)&amp;IF(AT936="","",", "&amp;AT936)&amp;IF(AW936="","",", "&amp;AW936)&amp;IF(AZ936="","",", "&amp;AZ936),3,500)</f>
        <v/>
      </c>
      <c r="BH936" s="12" t="n"/>
      <c r="BI936" s="15">
        <f>IFERROR(MATCH($A936,IF($B936="Onsite",tbl_Onsite[Row ID],IF($B936="Production",tbl_Production[Row ID],tbl_Consulting[Row ID])),0),"")</f>
        <v/>
      </c>
    </row>
    <row r="937">
      <c r="A937" s="10" t="inlineStr">
        <is>
          <t>PRD-0431</t>
        </is>
      </c>
      <c r="B937" s="10" t="inlineStr">
        <is>
          <t>Production</t>
        </is>
      </c>
      <c r="C937" s="10">
        <f>IF($BI937="","",IF($B937="Onsite",INDEX(tbl_Onsite[Job Number],$BI937),IF($B937="Production",INDEX(tbl_Production[Job Number],$BI937),INDEX(tbl_Consulting[Job Number],$BI937)))&amp;"")</f>
        <v/>
      </c>
      <c r="D937" s="10">
        <f>IF($BI937="","",IF($B937="Onsite",INDEX(tbl_Onsite[Client],$BI937),IF($B937="Production",INDEX(tbl_Production[Client],$BI937),INDEX(tbl_Consulting[Client],$BI937)))&amp;"")</f>
        <v/>
      </c>
      <c r="E937" s="10">
        <f>IF($C937="","",IF(COUNTIF(lst_Jobs,$C937)&gt;0,"OK","CHECK"))</f>
        <v/>
      </c>
      <c r="F937" s="10">
        <f>IF($C937="","",IFERROR(INDEX(lst_JobName,MATCH($C937,lst_Jobs,0)),""))</f>
        <v/>
      </c>
      <c r="G937" s="10">
        <f>IF($BI937="","",IF($B937="Onsite",INDEX(tbl_Onsite[Job Description],$BI937),IF($B937="Production",INDEX(tbl_Production[Job Description],$BI937),INDEX(tbl_Consulting[Job Description],$BI937)))&amp;"")</f>
        <v/>
      </c>
      <c r="H937" s="10">
        <f>IF($BI937="","",IF($B937="Onsite",INDEX(tbl_Onsite[Cost Centre],$BI937),IF($B937="Production",INDEX(tbl_Production[Cost Centre],$BI937),INDEX(tbl_Consulting[Cost Centre],$BI937)))&amp;"")</f>
        <v/>
      </c>
      <c r="I937" s="10">
        <f>IF($BI937="","",IF($B937="Onsite",INDEX(tbl_Onsite[Invoice Type],$BI937),IF($B937="Production",INDEX(tbl_Production[Invoice Type],$BI937),INDEX(tbl_Consulting[Invoice Type],$BI937)))&amp;"")</f>
        <v/>
      </c>
      <c r="J937" s="10">
        <f>IF($BI937="","",IF($B937="Onsite",INDEX(tbl_Onsite[Tax Code],$BI937),IF($B937="Production",INDEX(tbl_Production[Tax Code],$BI937),INDEX(tbl_Consulting[Tax Code],$BI937)))&amp;"")</f>
        <v/>
      </c>
      <c r="K937" s="10">
        <f>IF(H937="","",IFERROR(INDEX(lst_CCtoGL,MATCH(H937,lst_CCforGL,0)),""))</f>
        <v/>
      </c>
      <c r="L937" s="10">
        <f>IF($BI937="","",IF($B937="Onsite",INDEX(tbl_Onsite[PO / Reference],$BI937),IF($B937="Production",INDEX(tbl_Production[Current RMS No],$BI937),INDEX(tbl_Consulting[Qwilr Quote],$BI937)))&amp;"")</f>
        <v/>
      </c>
      <c r="M937" s="10">
        <f>IF($BI937="","",IF($B937="Onsite",INDEX(tbl_Onsite[Notes],$BI937),IF($B937="Production",INDEX(tbl_Production[Notes],$BI937),INDEX(tbl_Consulting[Notes],$BI937)))&amp;"")</f>
        <v/>
      </c>
      <c r="N937" s="11">
        <f>IF($BI937="","",IF(IF($B937="Onsite",INDEX(tbl_Onsite[Expected Revenue Ex GST],$BI937),IF($B937="Production",INDEX(tbl_Production[Expected Revenue Ex GST],$BI937),INDEX(tbl_Consulting[Expected Revenue Ex GST],$BI937)))="","",IF($B937="Onsite",INDEX(tbl_Onsite[Expected Revenue Ex GST],$BI937),IF($B937="Production",INDEX(tbl_Production[Expected Revenue Ex GST],$BI937),INDEX(tbl_Consulting[Expected Revenue Ex GST],$BI937)))))</f>
        <v/>
      </c>
      <c r="O937" s="11">
        <f>IF(AND($C937="",NOT(COUNTA($S937:$BB937)&gt;0)),"",SUM(U937,X937,AA937,AD937,AG937,AJ937,AM937,AP937,AS937,AV937,AY937,BB937))</f>
        <v/>
      </c>
      <c r="P937" s="11">
        <f>IF(O937="","",N(N937)-O937)</f>
        <v/>
      </c>
      <c r="Q937" s="10">
        <f>IF(O937="","",IF($C937="","Invoice on empty job row",IF(N937="",IF(ROUND(O937,2)=0,"No dept value","Invoiced - no dept value"),IF(ROUND(O937,2)=0,"Not invoiced - to invoice",IF(ROUND(P937,2)=0,"Agrees",IF(P937&gt;0,"Dept higher - to invoice","Xero higher - check dept"))))))</f>
        <v/>
      </c>
      <c r="R937" s="10">
        <f>IF(AND($C937="",NOT(COUNTA($S937:$BB937)&gt;0),$BI937&lt;&gt;""),"",MID(IF($BI937="","; Row ID not found on the department sheet - a row was deleted","")&amp;IF(AND($C937="",COUNTA($S937:$BB937)&gt;0),"; Invoice entered but the department row has no job number","")&amp;IF(E937="CHECK","; Job number not in the Xero job list","")&amp;IF(AND($C937&lt;&gt;"",COUNTIF($C$7:$C$1506,$C937)&gt;1),"; Job number on more than one row","")&amp;IF(AND($C937&lt;&gt;"",H937=""),"; Dept has not set a cost centre","")&amp;IF(AND($C937&lt;&gt;"",J937=""),"; Dept has not set a tax code","")&amp;IF(AND($C937&lt;&gt;"",N937=""),"; Dept has not entered an expected value","")&amp;IF((IF(OR(COUNTA(S937:U937)=0,AND(COUNTA(S937:U937)=3,ISNUMBER(U937))),0,1)+IF(OR(COUNTA(V937:X937)=0,AND(COUNTA(V937:X937)=3,ISNUMBER(X937))),0,1)+IF(OR(COUNTA(Y937:AA937)=0,AND(COUNTA(Y937:AA937)=3,ISNUMBER(AA937))),0,1)+IF(OR(COUNTA(AB937:AD937)=0,AND(COUNTA(AB937:AD937)=3,ISNUMBER(AD937))),0,1)+IF(OR(COUNTA(AE937:AG937)=0,AND(COUNTA(AE937:AG937)=3,ISNUMBER(AG937))),0,1)+IF(OR(COUNTA(AH937:AJ937)=0,AND(COUNTA(AH937:AJ937)=3,ISNUMBER(AJ937))),0,1)+IF(OR(COUNTA(AK937:AM937)=0,AND(COUNTA(AK937:AM937)=3,ISNUMBER(AM937))),0,1)+IF(OR(COUNTA(AN937:AP937)=0,AND(COUNTA(AN937:AP937)=3,ISNUMBER(AP937))),0,1)+IF(OR(COUNTA(AQ937:AS937)=0,AND(COUNTA(AQ937:AS937)=3,ISNUMBER(AS937))),0,1)+IF(OR(COUNTA(AT937:AV937)=0,AND(COUNTA(AT937:AV937)=3,ISNUMBER(AV937))),0,1)+IF(OR(COUNTA(AW937:AY937)=0,AND(COUNTA(AW937:AY937)=3,ISNUMBER(AY937))),0,1)+IF(OR(COUNTA(AZ937:BB937)=0,AND(COUNTA(AZ937:BB937)=3,ISNUMBER(BB937))),0,1))&gt;0,"; An invoice is incomplete (needs No, Date and a number in Ex GST)","")&amp;IF((IF(T937="",0,IFERROR(--(EOMONTH(T937,0)&lt;&gt;S$5),1))+IF(W937="",0,IFERROR(--(EOMONTH(W937,0)&lt;&gt;V$5),1))+IF(Z937="",0,IFERROR(--(EOMONTH(Z937,0)&lt;&gt;Y$5),1))+IF(AC937="",0,IFERROR(--(EOMONTH(AC937,0)&lt;&gt;AB$5),1))+IF(AF937="",0,IFERROR(--(EOMONTH(AF937,0)&lt;&gt;AE$5),1))+IF(AI937="",0,IFERROR(--(EOMONTH(AI937,0)&lt;&gt;AH$5),1))+IF(AL937="",0,IFERROR(--(EOMONTH(AL937,0)&lt;&gt;AK$5),1))+IF(AO937="",0,IFERROR(--(EOMONTH(AO937,0)&lt;&gt;AN$5),1))+IF(AR937="",0,IFERROR(--(EOMONTH(AR937,0)&lt;&gt;AQ$5),1))+IF(AU937="",0,IFERROR(--(EOMONTH(AU937,0)&lt;&gt;AT$5),1))+IF(AX937="",0,IFERROR(--(EOMONTH(AX937,0)&lt;&gt;AW$5),1))+IF(BA937="",0,IFERROR(--(EOMONTH(BA937,0)&lt;&gt;AZ$5),1)))&gt;0,"; An invoice date is not in the month it is typed under",""),3,500))</f>
        <v/>
      </c>
      <c r="S937" s="12" t="n"/>
      <c r="T937" s="13" t="n"/>
      <c r="U937" s="14" t="n"/>
      <c r="V937" s="12" t="n"/>
      <c r="W937" s="13" t="n"/>
      <c r="X937" s="14" t="n"/>
      <c r="Y937" s="12" t="n"/>
      <c r="Z937" s="13" t="n"/>
      <c r="AA937" s="14" t="n"/>
      <c r="AB937" s="12" t="n"/>
      <c r="AC937" s="13" t="n"/>
      <c r="AD937" s="14" t="n"/>
      <c r="AE937" s="12" t="n"/>
      <c r="AF937" s="13" t="n"/>
      <c r="AG937" s="14" t="n"/>
      <c r="AH937" s="12" t="n"/>
      <c r="AI937" s="13" t="n"/>
      <c r="AJ937" s="14" t="n"/>
      <c r="AK937" s="12" t="n"/>
      <c r="AL937" s="13" t="n"/>
      <c r="AM937" s="14" t="n"/>
      <c r="AN937" s="12" t="n"/>
      <c r="AO937" s="13" t="n"/>
      <c r="AP937" s="14" t="n"/>
      <c r="AQ937" s="12" t="n"/>
      <c r="AR937" s="13" t="n"/>
      <c r="AS937" s="14" t="n"/>
      <c r="AT937" s="12" t="n"/>
      <c r="AU937" s="13" t="n"/>
      <c r="AV937" s="14" t="n"/>
      <c r="AW937" s="12" t="n"/>
      <c r="AX937" s="13" t="n"/>
      <c r="AY937" s="14" t="n"/>
      <c r="AZ937" s="12" t="n"/>
      <c r="BA937" s="13" t="n"/>
      <c r="BB937" s="14" t="n"/>
      <c r="BC937" s="11">
        <f>IF(O937="","",IF(J937="GST 10%",ROUND(O937*set_GSTRate,2),0))</f>
        <v/>
      </c>
      <c r="BD937" s="11">
        <f>IF(O937="","",O937+BC937)</f>
        <v/>
      </c>
      <c r="BE937" s="15">
        <f>IF(O937="","",COUNTA(S937,V937,Y937,AB937,AE937,AH937,AK937,AN937,AQ937,AT937,AW937,AZ937))</f>
        <v/>
      </c>
      <c r="BF937" s="16">
        <f>IF(COUNT(T937,W937,Z937,AC937,AF937,AI937,AL937,AO937,AR937,AU937,AX937,BA937)=0,"",MAX(T937,W937,Z937,AC937,AF937,AI937,AL937,AO937,AR937,AU937,AX937,BA937))</f>
        <v/>
      </c>
      <c r="BG937" s="10">
        <f>MID(IF(S937="","",", "&amp;S937)&amp;IF(V937="","",", "&amp;V937)&amp;IF(Y937="","",", "&amp;Y937)&amp;IF(AB937="","",", "&amp;AB937)&amp;IF(AE937="","",", "&amp;AE937)&amp;IF(AH937="","",", "&amp;AH937)&amp;IF(AK937="","",", "&amp;AK937)&amp;IF(AN937="","",", "&amp;AN937)&amp;IF(AQ937="","",", "&amp;AQ937)&amp;IF(AT937="","",", "&amp;AT937)&amp;IF(AW937="","",", "&amp;AW937)&amp;IF(AZ937="","",", "&amp;AZ937),3,500)</f>
        <v/>
      </c>
      <c r="BH937" s="12" t="n"/>
      <c r="BI937" s="15">
        <f>IFERROR(MATCH($A937,IF($B937="Onsite",tbl_Onsite[Row ID],IF($B937="Production",tbl_Production[Row ID],tbl_Consulting[Row ID])),0),"")</f>
        <v/>
      </c>
    </row>
    <row r="938">
      <c r="A938" s="10" t="inlineStr">
        <is>
          <t>PRD-0432</t>
        </is>
      </c>
      <c r="B938" s="10" t="inlineStr">
        <is>
          <t>Production</t>
        </is>
      </c>
      <c r="C938" s="10">
        <f>IF($BI938="","",IF($B938="Onsite",INDEX(tbl_Onsite[Job Number],$BI938),IF($B938="Production",INDEX(tbl_Production[Job Number],$BI938),INDEX(tbl_Consulting[Job Number],$BI938)))&amp;"")</f>
        <v/>
      </c>
      <c r="D938" s="10">
        <f>IF($BI938="","",IF($B938="Onsite",INDEX(tbl_Onsite[Client],$BI938),IF($B938="Production",INDEX(tbl_Production[Client],$BI938),INDEX(tbl_Consulting[Client],$BI938)))&amp;"")</f>
        <v/>
      </c>
      <c r="E938" s="10">
        <f>IF($C938="","",IF(COUNTIF(lst_Jobs,$C938)&gt;0,"OK","CHECK"))</f>
        <v/>
      </c>
      <c r="F938" s="10">
        <f>IF($C938="","",IFERROR(INDEX(lst_JobName,MATCH($C938,lst_Jobs,0)),""))</f>
        <v/>
      </c>
      <c r="G938" s="10">
        <f>IF($BI938="","",IF($B938="Onsite",INDEX(tbl_Onsite[Job Description],$BI938),IF($B938="Production",INDEX(tbl_Production[Job Description],$BI938),INDEX(tbl_Consulting[Job Description],$BI938)))&amp;"")</f>
        <v/>
      </c>
      <c r="H938" s="10">
        <f>IF($BI938="","",IF($B938="Onsite",INDEX(tbl_Onsite[Cost Centre],$BI938),IF($B938="Production",INDEX(tbl_Production[Cost Centre],$BI938),INDEX(tbl_Consulting[Cost Centre],$BI938)))&amp;"")</f>
        <v/>
      </c>
      <c r="I938" s="10">
        <f>IF($BI938="","",IF($B938="Onsite",INDEX(tbl_Onsite[Invoice Type],$BI938),IF($B938="Production",INDEX(tbl_Production[Invoice Type],$BI938),INDEX(tbl_Consulting[Invoice Type],$BI938)))&amp;"")</f>
        <v/>
      </c>
      <c r="J938" s="10">
        <f>IF($BI938="","",IF($B938="Onsite",INDEX(tbl_Onsite[Tax Code],$BI938),IF($B938="Production",INDEX(tbl_Production[Tax Code],$BI938),INDEX(tbl_Consulting[Tax Code],$BI938)))&amp;"")</f>
        <v/>
      </c>
      <c r="K938" s="10">
        <f>IF(H938="","",IFERROR(INDEX(lst_CCtoGL,MATCH(H938,lst_CCforGL,0)),""))</f>
        <v/>
      </c>
      <c r="L938" s="10">
        <f>IF($BI938="","",IF($B938="Onsite",INDEX(tbl_Onsite[PO / Reference],$BI938),IF($B938="Production",INDEX(tbl_Production[Current RMS No],$BI938),INDEX(tbl_Consulting[Qwilr Quote],$BI938)))&amp;"")</f>
        <v/>
      </c>
      <c r="M938" s="10">
        <f>IF($BI938="","",IF($B938="Onsite",INDEX(tbl_Onsite[Notes],$BI938),IF($B938="Production",INDEX(tbl_Production[Notes],$BI938),INDEX(tbl_Consulting[Notes],$BI938)))&amp;"")</f>
        <v/>
      </c>
      <c r="N938" s="11">
        <f>IF($BI938="","",IF(IF($B938="Onsite",INDEX(tbl_Onsite[Expected Revenue Ex GST],$BI938),IF($B938="Production",INDEX(tbl_Production[Expected Revenue Ex GST],$BI938),INDEX(tbl_Consulting[Expected Revenue Ex GST],$BI938)))="","",IF($B938="Onsite",INDEX(tbl_Onsite[Expected Revenue Ex GST],$BI938),IF($B938="Production",INDEX(tbl_Production[Expected Revenue Ex GST],$BI938),INDEX(tbl_Consulting[Expected Revenue Ex GST],$BI938)))))</f>
        <v/>
      </c>
      <c r="O938" s="11">
        <f>IF(AND($C938="",NOT(COUNTA($S938:$BB938)&gt;0)),"",SUM(U938,X938,AA938,AD938,AG938,AJ938,AM938,AP938,AS938,AV938,AY938,BB938))</f>
        <v/>
      </c>
      <c r="P938" s="11">
        <f>IF(O938="","",N(N938)-O938)</f>
        <v/>
      </c>
      <c r="Q938" s="10">
        <f>IF(O938="","",IF($C938="","Invoice on empty job row",IF(N938="",IF(ROUND(O938,2)=0,"No dept value","Invoiced - no dept value"),IF(ROUND(O938,2)=0,"Not invoiced - to invoice",IF(ROUND(P938,2)=0,"Agrees",IF(P938&gt;0,"Dept higher - to invoice","Xero higher - check dept"))))))</f>
        <v/>
      </c>
      <c r="R938" s="10">
        <f>IF(AND($C938="",NOT(COUNTA($S938:$BB938)&gt;0),$BI938&lt;&gt;""),"",MID(IF($BI938="","; Row ID not found on the department sheet - a row was deleted","")&amp;IF(AND($C938="",COUNTA($S938:$BB938)&gt;0),"; Invoice entered but the department row has no job number","")&amp;IF(E938="CHECK","; Job number not in the Xero job list","")&amp;IF(AND($C938&lt;&gt;"",COUNTIF($C$7:$C$1506,$C938)&gt;1),"; Job number on more than one row","")&amp;IF(AND($C938&lt;&gt;"",H938=""),"; Dept has not set a cost centre","")&amp;IF(AND($C938&lt;&gt;"",J938=""),"; Dept has not set a tax code","")&amp;IF(AND($C938&lt;&gt;"",N938=""),"; Dept has not entered an expected value","")&amp;IF((IF(OR(COUNTA(S938:U938)=0,AND(COUNTA(S938:U938)=3,ISNUMBER(U938))),0,1)+IF(OR(COUNTA(V938:X938)=0,AND(COUNTA(V938:X938)=3,ISNUMBER(X938))),0,1)+IF(OR(COUNTA(Y938:AA938)=0,AND(COUNTA(Y938:AA938)=3,ISNUMBER(AA938))),0,1)+IF(OR(COUNTA(AB938:AD938)=0,AND(COUNTA(AB938:AD938)=3,ISNUMBER(AD938))),0,1)+IF(OR(COUNTA(AE938:AG938)=0,AND(COUNTA(AE938:AG938)=3,ISNUMBER(AG938))),0,1)+IF(OR(COUNTA(AH938:AJ938)=0,AND(COUNTA(AH938:AJ938)=3,ISNUMBER(AJ938))),0,1)+IF(OR(COUNTA(AK938:AM938)=0,AND(COUNTA(AK938:AM938)=3,ISNUMBER(AM938))),0,1)+IF(OR(COUNTA(AN938:AP938)=0,AND(COUNTA(AN938:AP938)=3,ISNUMBER(AP938))),0,1)+IF(OR(COUNTA(AQ938:AS938)=0,AND(COUNTA(AQ938:AS938)=3,ISNUMBER(AS938))),0,1)+IF(OR(COUNTA(AT938:AV938)=0,AND(COUNTA(AT938:AV938)=3,ISNUMBER(AV938))),0,1)+IF(OR(COUNTA(AW938:AY938)=0,AND(COUNTA(AW938:AY938)=3,ISNUMBER(AY938))),0,1)+IF(OR(COUNTA(AZ938:BB938)=0,AND(COUNTA(AZ938:BB938)=3,ISNUMBER(BB938))),0,1))&gt;0,"; An invoice is incomplete (needs No, Date and a number in Ex GST)","")&amp;IF((IF(T938="",0,IFERROR(--(EOMONTH(T938,0)&lt;&gt;S$5),1))+IF(W938="",0,IFERROR(--(EOMONTH(W938,0)&lt;&gt;V$5),1))+IF(Z938="",0,IFERROR(--(EOMONTH(Z938,0)&lt;&gt;Y$5),1))+IF(AC938="",0,IFERROR(--(EOMONTH(AC938,0)&lt;&gt;AB$5),1))+IF(AF938="",0,IFERROR(--(EOMONTH(AF938,0)&lt;&gt;AE$5),1))+IF(AI938="",0,IFERROR(--(EOMONTH(AI938,0)&lt;&gt;AH$5),1))+IF(AL938="",0,IFERROR(--(EOMONTH(AL938,0)&lt;&gt;AK$5),1))+IF(AO938="",0,IFERROR(--(EOMONTH(AO938,0)&lt;&gt;AN$5),1))+IF(AR938="",0,IFERROR(--(EOMONTH(AR938,0)&lt;&gt;AQ$5),1))+IF(AU938="",0,IFERROR(--(EOMONTH(AU938,0)&lt;&gt;AT$5),1))+IF(AX938="",0,IFERROR(--(EOMONTH(AX938,0)&lt;&gt;AW$5),1))+IF(BA938="",0,IFERROR(--(EOMONTH(BA938,0)&lt;&gt;AZ$5),1)))&gt;0,"; An invoice date is not in the month it is typed under",""),3,500))</f>
        <v/>
      </c>
      <c r="S938" s="12" t="n"/>
      <c r="T938" s="13" t="n"/>
      <c r="U938" s="14" t="n"/>
      <c r="V938" s="12" t="n"/>
      <c r="W938" s="13" t="n"/>
      <c r="X938" s="14" t="n"/>
      <c r="Y938" s="12" t="n"/>
      <c r="Z938" s="13" t="n"/>
      <c r="AA938" s="14" t="n"/>
      <c r="AB938" s="12" t="n"/>
      <c r="AC938" s="13" t="n"/>
      <c r="AD938" s="14" t="n"/>
      <c r="AE938" s="12" t="n"/>
      <c r="AF938" s="13" t="n"/>
      <c r="AG938" s="14" t="n"/>
      <c r="AH938" s="12" t="n"/>
      <c r="AI938" s="13" t="n"/>
      <c r="AJ938" s="14" t="n"/>
      <c r="AK938" s="12" t="n"/>
      <c r="AL938" s="13" t="n"/>
      <c r="AM938" s="14" t="n"/>
      <c r="AN938" s="12" t="n"/>
      <c r="AO938" s="13" t="n"/>
      <c r="AP938" s="14" t="n"/>
      <c r="AQ938" s="12" t="n"/>
      <c r="AR938" s="13" t="n"/>
      <c r="AS938" s="14" t="n"/>
      <c r="AT938" s="12" t="n"/>
      <c r="AU938" s="13" t="n"/>
      <c r="AV938" s="14" t="n"/>
      <c r="AW938" s="12" t="n"/>
      <c r="AX938" s="13" t="n"/>
      <c r="AY938" s="14" t="n"/>
      <c r="AZ938" s="12" t="n"/>
      <c r="BA938" s="13" t="n"/>
      <c r="BB938" s="14" t="n"/>
      <c r="BC938" s="11">
        <f>IF(O938="","",IF(J938="GST 10%",ROUND(O938*set_GSTRate,2),0))</f>
        <v/>
      </c>
      <c r="BD938" s="11">
        <f>IF(O938="","",O938+BC938)</f>
        <v/>
      </c>
      <c r="BE938" s="15">
        <f>IF(O938="","",COUNTA(S938,V938,Y938,AB938,AE938,AH938,AK938,AN938,AQ938,AT938,AW938,AZ938))</f>
        <v/>
      </c>
      <c r="BF938" s="16">
        <f>IF(COUNT(T938,W938,Z938,AC938,AF938,AI938,AL938,AO938,AR938,AU938,AX938,BA938)=0,"",MAX(T938,W938,Z938,AC938,AF938,AI938,AL938,AO938,AR938,AU938,AX938,BA938))</f>
        <v/>
      </c>
      <c r="BG938" s="10">
        <f>MID(IF(S938="","",", "&amp;S938)&amp;IF(V938="","",", "&amp;V938)&amp;IF(Y938="","",", "&amp;Y938)&amp;IF(AB938="","",", "&amp;AB938)&amp;IF(AE938="","",", "&amp;AE938)&amp;IF(AH938="","",", "&amp;AH938)&amp;IF(AK938="","",", "&amp;AK938)&amp;IF(AN938="","",", "&amp;AN938)&amp;IF(AQ938="","",", "&amp;AQ938)&amp;IF(AT938="","",", "&amp;AT938)&amp;IF(AW938="","",", "&amp;AW938)&amp;IF(AZ938="","",", "&amp;AZ938),3,500)</f>
        <v/>
      </c>
      <c r="BH938" s="12" t="n"/>
      <c r="BI938" s="15">
        <f>IFERROR(MATCH($A938,IF($B938="Onsite",tbl_Onsite[Row ID],IF($B938="Production",tbl_Production[Row ID],tbl_Consulting[Row ID])),0),"")</f>
        <v/>
      </c>
    </row>
    <row r="939">
      <c r="A939" s="10" t="inlineStr">
        <is>
          <t>PRD-0433</t>
        </is>
      </c>
      <c r="B939" s="10" t="inlineStr">
        <is>
          <t>Production</t>
        </is>
      </c>
      <c r="C939" s="10">
        <f>IF($BI939="","",IF($B939="Onsite",INDEX(tbl_Onsite[Job Number],$BI939),IF($B939="Production",INDEX(tbl_Production[Job Number],$BI939),INDEX(tbl_Consulting[Job Number],$BI939)))&amp;"")</f>
        <v/>
      </c>
      <c r="D939" s="10">
        <f>IF($BI939="","",IF($B939="Onsite",INDEX(tbl_Onsite[Client],$BI939),IF($B939="Production",INDEX(tbl_Production[Client],$BI939),INDEX(tbl_Consulting[Client],$BI939)))&amp;"")</f>
        <v/>
      </c>
      <c r="E939" s="10">
        <f>IF($C939="","",IF(COUNTIF(lst_Jobs,$C939)&gt;0,"OK","CHECK"))</f>
        <v/>
      </c>
      <c r="F939" s="10">
        <f>IF($C939="","",IFERROR(INDEX(lst_JobName,MATCH($C939,lst_Jobs,0)),""))</f>
        <v/>
      </c>
      <c r="G939" s="10">
        <f>IF($BI939="","",IF($B939="Onsite",INDEX(tbl_Onsite[Job Description],$BI939),IF($B939="Production",INDEX(tbl_Production[Job Description],$BI939),INDEX(tbl_Consulting[Job Description],$BI939)))&amp;"")</f>
        <v/>
      </c>
      <c r="H939" s="10">
        <f>IF($BI939="","",IF($B939="Onsite",INDEX(tbl_Onsite[Cost Centre],$BI939),IF($B939="Production",INDEX(tbl_Production[Cost Centre],$BI939),INDEX(tbl_Consulting[Cost Centre],$BI939)))&amp;"")</f>
        <v/>
      </c>
      <c r="I939" s="10">
        <f>IF($BI939="","",IF($B939="Onsite",INDEX(tbl_Onsite[Invoice Type],$BI939),IF($B939="Production",INDEX(tbl_Production[Invoice Type],$BI939),INDEX(tbl_Consulting[Invoice Type],$BI939)))&amp;"")</f>
        <v/>
      </c>
      <c r="J939" s="10">
        <f>IF($BI939="","",IF($B939="Onsite",INDEX(tbl_Onsite[Tax Code],$BI939),IF($B939="Production",INDEX(tbl_Production[Tax Code],$BI939),INDEX(tbl_Consulting[Tax Code],$BI939)))&amp;"")</f>
        <v/>
      </c>
      <c r="K939" s="10">
        <f>IF(H939="","",IFERROR(INDEX(lst_CCtoGL,MATCH(H939,lst_CCforGL,0)),""))</f>
        <v/>
      </c>
      <c r="L939" s="10">
        <f>IF($BI939="","",IF($B939="Onsite",INDEX(tbl_Onsite[PO / Reference],$BI939),IF($B939="Production",INDEX(tbl_Production[Current RMS No],$BI939),INDEX(tbl_Consulting[Qwilr Quote],$BI939)))&amp;"")</f>
        <v/>
      </c>
      <c r="M939" s="10">
        <f>IF($BI939="","",IF($B939="Onsite",INDEX(tbl_Onsite[Notes],$BI939),IF($B939="Production",INDEX(tbl_Production[Notes],$BI939),INDEX(tbl_Consulting[Notes],$BI939)))&amp;"")</f>
        <v/>
      </c>
      <c r="N939" s="11">
        <f>IF($BI939="","",IF(IF($B939="Onsite",INDEX(tbl_Onsite[Expected Revenue Ex GST],$BI939),IF($B939="Production",INDEX(tbl_Production[Expected Revenue Ex GST],$BI939),INDEX(tbl_Consulting[Expected Revenue Ex GST],$BI939)))="","",IF($B939="Onsite",INDEX(tbl_Onsite[Expected Revenue Ex GST],$BI939),IF($B939="Production",INDEX(tbl_Production[Expected Revenue Ex GST],$BI939),INDEX(tbl_Consulting[Expected Revenue Ex GST],$BI939)))))</f>
        <v/>
      </c>
      <c r="O939" s="11">
        <f>IF(AND($C939="",NOT(COUNTA($S939:$BB939)&gt;0)),"",SUM(U939,X939,AA939,AD939,AG939,AJ939,AM939,AP939,AS939,AV939,AY939,BB939))</f>
        <v/>
      </c>
      <c r="P939" s="11">
        <f>IF(O939="","",N(N939)-O939)</f>
        <v/>
      </c>
      <c r="Q939" s="10">
        <f>IF(O939="","",IF($C939="","Invoice on empty job row",IF(N939="",IF(ROUND(O939,2)=0,"No dept value","Invoiced - no dept value"),IF(ROUND(O939,2)=0,"Not invoiced - to invoice",IF(ROUND(P939,2)=0,"Agrees",IF(P939&gt;0,"Dept higher - to invoice","Xero higher - check dept"))))))</f>
        <v/>
      </c>
      <c r="R939" s="10">
        <f>IF(AND($C939="",NOT(COUNTA($S939:$BB939)&gt;0),$BI939&lt;&gt;""),"",MID(IF($BI939="","; Row ID not found on the department sheet - a row was deleted","")&amp;IF(AND($C939="",COUNTA($S939:$BB939)&gt;0),"; Invoice entered but the department row has no job number","")&amp;IF(E939="CHECK","; Job number not in the Xero job list","")&amp;IF(AND($C939&lt;&gt;"",COUNTIF($C$7:$C$1506,$C939)&gt;1),"; Job number on more than one row","")&amp;IF(AND($C939&lt;&gt;"",H939=""),"; Dept has not set a cost centre","")&amp;IF(AND($C939&lt;&gt;"",J939=""),"; Dept has not set a tax code","")&amp;IF(AND($C939&lt;&gt;"",N939=""),"; Dept has not entered an expected value","")&amp;IF((IF(OR(COUNTA(S939:U939)=0,AND(COUNTA(S939:U939)=3,ISNUMBER(U939))),0,1)+IF(OR(COUNTA(V939:X939)=0,AND(COUNTA(V939:X939)=3,ISNUMBER(X939))),0,1)+IF(OR(COUNTA(Y939:AA939)=0,AND(COUNTA(Y939:AA939)=3,ISNUMBER(AA939))),0,1)+IF(OR(COUNTA(AB939:AD939)=0,AND(COUNTA(AB939:AD939)=3,ISNUMBER(AD939))),0,1)+IF(OR(COUNTA(AE939:AG939)=0,AND(COUNTA(AE939:AG939)=3,ISNUMBER(AG939))),0,1)+IF(OR(COUNTA(AH939:AJ939)=0,AND(COUNTA(AH939:AJ939)=3,ISNUMBER(AJ939))),0,1)+IF(OR(COUNTA(AK939:AM939)=0,AND(COUNTA(AK939:AM939)=3,ISNUMBER(AM939))),0,1)+IF(OR(COUNTA(AN939:AP939)=0,AND(COUNTA(AN939:AP939)=3,ISNUMBER(AP939))),0,1)+IF(OR(COUNTA(AQ939:AS939)=0,AND(COUNTA(AQ939:AS939)=3,ISNUMBER(AS939))),0,1)+IF(OR(COUNTA(AT939:AV939)=0,AND(COUNTA(AT939:AV939)=3,ISNUMBER(AV939))),0,1)+IF(OR(COUNTA(AW939:AY939)=0,AND(COUNTA(AW939:AY939)=3,ISNUMBER(AY939))),0,1)+IF(OR(COUNTA(AZ939:BB939)=0,AND(COUNTA(AZ939:BB939)=3,ISNUMBER(BB939))),0,1))&gt;0,"; An invoice is incomplete (needs No, Date and a number in Ex GST)","")&amp;IF((IF(T939="",0,IFERROR(--(EOMONTH(T939,0)&lt;&gt;S$5),1))+IF(W939="",0,IFERROR(--(EOMONTH(W939,0)&lt;&gt;V$5),1))+IF(Z939="",0,IFERROR(--(EOMONTH(Z939,0)&lt;&gt;Y$5),1))+IF(AC939="",0,IFERROR(--(EOMONTH(AC939,0)&lt;&gt;AB$5),1))+IF(AF939="",0,IFERROR(--(EOMONTH(AF939,0)&lt;&gt;AE$5),1))+IF(AI939="",0,IFERROR(--(EOMONTH(AI939,0)&lt;&gt;AH$5),1))+IF(AL939="",0,IFERROR(--(EOMONTH(AL939,0)&lt;&gt;AK$5),1))+IF(AO939="",0,IFERROR(--(EOMONTH(AO939,0)&lt;&gt;AN$5),1))+IF(AR939="",0,IFERROR(--(EOMONTH(AR939,0)&lt;&gt;AQ$5),1))+IF(AU939="",0,IFERROR(--(EOMONTH(AU939,0)&lt;&gt;AT$5),1))+IF(AX939="",0,IFERROR(--(EOMONTH(AX939,0)&lt;&gt;AW$5),1))+IF(BA939="",0,IFERROR(--(EOMONTH(BA939,0)&lt;&gt;AZ$5),1)))&gt;0,"; An invoice date is not in the month it is typed under",""),3,500))</f>
        <v/>
      </c>
      <c r="S939" s="12" t="n"/>
      <c r="T939" s="13" t="n"/>
      <c r="U939" s="14" t="n"/>
      <c r="V939" s="12" t="n"/>
      <c r="W939" s="13" t="n"/>
      <c r="X939" s="14" t="n"/>
      <c r="Y939" s="12" t="n"/>
      <c r="Z939" s="13" t="n"/>
      <c r="AA939" s="14" t="n"/>
      <c r="AB939" s="12" t="n"/>
      <c r="AC939" s="13" t="n"/>
      <c r="AD939" s="14" t="n"/>
      <c r="AE939" s="12" t="n"/>
      <c r="AF939" s="13" t="n"/>
      <c r="AG939" s="14" t="n"/>
      <c r="AH939" s="12" t="n"/>
      <c r="AI939" s="13" t="n"/>
      <c r="AJ939" s="14" t="n"/>
      <c r="AK939" s="12" t="n"/>
      <c r="AL939" s="13" t="n"/>
      <c r="AM939" s="14" t="n"/>
      <c r="AN939" s="12" t="n"/>
      <c r="AO939" s="13" t="n"/>
      <c r="AP939" s="14" t="n"/>
      <c r="AQ939" s="12" t="n"/>
      <c r="AR939" s="13" t="n"/>
      <c r="AS939" s="14" t="n"/>
      <c r="AT939" s="12" t="n"/>
      <c r="AU939" s="13" t="n"/>
      <c r="AV939" s="14" t="n"/>
      <c r="AW939" s="12" t="n"/>
      <c r="AX939" s="13" t="n"/>
      <c r="AY939" s="14" t="n"/>
      <c r="AZ939" s="12" t="n"/>
      <c r="BA939" s="13" t="n"/>
      <c r="BB939" s="14" t="n"/>
      <c r="BC939" s="11">
        <f>IF(O939="","",IF(J939="GST 10%",ROUND(O939*set_GSTRate,2),0))</f>
        <v/>
      </c>
      <c r="BD939" s="11">
        <f>IF(O939="","",O939+BC939)</f>
        <v/>
      </c>
      <c r="BE939" s="15">
        <f>IF(O939="","",COUNTA(S939,V939,Y939,AB939,AE939,AH939,AK939,AN939,AQ939,AT939,AW939,AZ939))</f>
        <v/>
      </c>
      <c r="BF939" s="16">
        <f>IF(COUNT(T939,W939,Z939,AC939,AF939,AI939,AL939,AO939,AR939,AU939,AX939,BA939)=0,"",MAX(T939,W939,Z939,AC939,AF939,AI939,AL939,AO939,AR939,AU939,AX939,BA939))</f>
        <v/>
      </c>
      <c r="BG939" s="10">
        <f>MID(IF(S939="","",", "&amp;S939)&amp;IF(V939="","",", "&amp;V939)&amp;IF(Y939="","",", "&amp;Y939)&amp;IF(AB939="","",", "&amp;AB939)&amp;IF(AE939="","",", "&amp;AE939)&amp;IF(AH939="","",", "&amp;AH939)&amp;IF(AK939="","",", "&amp;AK939)&amp;IF(AN939="","",", "&amp;AN939)&amp;IF(AQ939="","",", "&amp;AQ939)&amp;IF(AT939="","",", "&amp;AT939)&amp;IF(AW939="","",", "&amp;AW939)&amp;IF(AZ939="","",", "&amp;AZ939),3,500)</f>
        <v/>
      </c>
      <c r="BH939" s="12" t="n"/>
      <c r="BI939" s="15">
        <f>IFERROR(MATCH($A939,IF($B939="Onsite",tbl_Onsite[Row ID],IF($B939="Production",tbl_Production[Row ID],tbl_Consulting[Row ID])),0),"")</f>
        <v/>
      </c>
    </row>
    <row r="940">
      <c r="A940" s="10" t="inlineStr">
        <is>
          <t>PRD-0434</t>
        </is>
      </c>
      <c r="B940" s="10" t="inlineStr">
        <is>
          <t>Production</t>
        </is>
      </c>
      <c r="C940" s="10">
        <f>IF($BI940="","",IF($B940="Onsite",INDEX(tbl_Onsite[Job Number],$BI940),IF($B940="Production",INDEX(tbl_Production[Job Number],$BI940),INDEX(tbl_Consulting[Job Number],$BI940)))&amp;"")</f>
        <v/>
      </c>
      <c r="D940" s="10">
        <f>IF($BI940="","",IF($B940="Onsite",INDEX(tbl_Onsite[Client],$BI940),IF($B940="Production",INDEX(tbl_Production[Client],$BI940),INDEX(tbl_Consulting[Client],$BI940)))&amp;"")</f>
        <v/>
      </c>
      <c r="E940" s="10">
        <f>IF($C940="","",IF(COUNTIF(lst_Jobs,$C940)&gt;0,"OK","CHECK"))</f>
        <v/>
      </c>
      <c r="F940" s="10">
        <f>IF($C940="","",IFERROR(INDEX(lst_JobName,MATCH($C940,lst_Jobs,0)),""))</f>
        <v/>
      </c>
      <c r="G940" s="10">
        <f>IF($BI940="","",IF($B940="Onsite",INDEX(tbl_Onsite[Job Description],$BI940),IF($B940="Production",INDEX(tbl_Production[Job Description],$BI940),INDEX(tbl_Consulting[Job Description],$BI940)))&amp;"")</f>
        <v/>
      </c>
      <c r="H940" s="10">
        <f>IF($BI940="","",IF($B940="Onsite",INDEX(tbl_Onsite[Cost Centre],$BI940),IF($B940="Production",INDEX(tbl_Production[Cost Centre],$BI940),INDEX(tbl_Consulting[Cost Centre],$BI940)))&amp;"")</f>
        <v/>
      </c>
      <c r="I940" s="10">
        <f>IF($BI940="","",IF($B940="Onsite",INDEX(tbl_Onsite[Invoice Type],$BI940),IF($B940="Production",INDEX(tbl_Production[Invoice Type],$BI940),INDEX(tbl_Consulting[Invoice Type],$BI940)))&amp;"")</f>
        <v/>
      </c>
      <c r="J940" s="10">
        <f>IF($BI940="","",IF($B940="Onsite",INDEX(tbl_Onsite[Tax Code],$BI940),IF($B940="Production",INDEX(tbl_Production[Tax Code],$BI940),INDEX(tbl_Consulting[Tax Code],$BI940)))&amp;"")</f>
        <v/>
      </c>
      <c r="K940" s="10">
        <f>IF(H940="","",IFERROR(INDEX(lst_CCtoGL,MATCH(H940,lst_CCforGL,0)),""))</f>
        <v/>
      </c>
      <c r="L940" s="10">
        <f>IF($BI940="","",IF($B940="Onsite",INDEX(tbl_Onsite[PO / Reference],$BI940),IF($B940="Production",INDEX(tbl_Production[Current RMS No],$BI940),INDEX(tbl_Consulting[Qwilr Quote],$BI940)))&amp;"")</f>
        <v/>
      </c>
      <c r="M940" s="10">
        <f>IF($BI940="","",IF($B940="Onsite",INDEX(tbl_Onsite[Notes],$BI940),IF($B940="Production",INDEX(tbl_Production[Notes],$BI940),INDEX(tbl_Consulting[Notes],$BI940)))&amp;"")</f>
        <v/>
      </c>
      <c r="N940" s="11">
        <f>IF($BI940="","",IF(IF($B940="Onsite",INDEX(tbl_Onsite[Expected Revenue Ex GST],$BI940),IF($B940="Production",INDEX(tbl_Production[Expected Revenue Ex GST],$BI940),INDEX(tbl_Consulting[Expected Revenue Ex GST],$BI940)))="","",IF($B940="Onsite",INDEX(tbl_Onsite[Expected Revenue Ex GST],$BI940),IF($B940="Production",INDEX(tbl_Production[Expected Revenue Ex GST],$BI940),INDEX(tbl_Consulting[Expected Revenue Ex GST],$BI940)))))</f>
        <v/>
      </c>
      <c r="O940" s="11">
        <f>IF(AND($C940="",NOT(COUNTA($S940:$BB940)&gt;0)),"",SUM(U940,X940,AA940,AD940,AG940,AJ940,AM940,AP940,AS940,AV940,AY940,BB940))</f>
        <v/>
      </c>
      <c r="P940" s="11">
        <f>IF(O940="","",N(N940)-O940)</f>
        <v/>
      </c>
      <c r="Q940" s="10">
        <f>IF(O940="","",IF($C940="","Invoice on empty job row",IF(N940="",IF(ROUND(O940,2)=0,"No dept value","Invoiced - no dept value"),IF(ROUND(O940,2)=0,"Not invoiced - to invoice",IF(ROUND(P940,2)=0,"Agrees",IF(P940&gt;0,"Dept higher - to invoice","Xero higher - check dept"))))))</f>
        <v/>
      </c>
      <c r="R940" s="10">
        <f>IF(AND($C940="",NOT(COUNTA($S940:$BB940)&gt;0),$BI940&lt;&gt;""),"",MID(IF($BI940="","; Row ID not found on the department sheet - a row was deleted","")&amp;IF(AND($C940="",COUNTA($S940:$BB940)&gt;0),"; Invoice entered but the department row has no job number","")&amp;IF(E940="CHECK","; Job number not in the Xero job list","")&amp;IF(AND($C940&lt;&gt;"",COUNTIF($C$7:$C$1506,$C940)&gt;1),"; Job number on more than one row","")&amp;IF(AND($C940&lt;&gt;"",H940=""),"; Dept has not set a cost centre","")&amp;IF(AND($C940&lt;&gt;"",J940=""),"; Dept has not set a tax code","")&amp;IF(AND($C940&lt;&gt;"",N940=""),"; Dept has not entered an expected value","")&amp;IF((IF(OR(COUNTA(S940:U940)=0,AND(COUNTA(S940:U940)=3,ISNUMBER(U940))),0,1)+IF(OR(COUNTA(V940:X940)=0,AND(COUNTA(V940:X940)=3,ISNUMBER(X940))),0,1)+IF(OR(COUNTA(Y940:AA940)=0,AND(COUNTA(Y940:AA940)=3,ISNUMBER(AA940))),0,1)+IF(OR(COUNTA(AB940:AD940)=0,AND(COUNTA(AB940:AD940)=3,ISNUMBER(AD940))),0,1)+IF(OR(COUNTA(AE940:AG940)=0,AND(COUNTA(AE940:AG940)=3,ISNUMBER(AG940))),0,1)+IF(OR(COUNTA(AH940:AJ940)=0,AND(COUNTA(AH940:AJ940)=3,ISNUMBER(AJ940))),0,1)+IF(OR(COUNTA(AK940:AM940)=0,AND(COUNTA(AK940:AM940)=3,ISNUMBER(AM940))),0,1)+IF(OR(COUNTA(AN940:AP940)=0,AND(COUNTA(AN940:AP940)=3,ISNUMBER(AP940))),0,1)+IF(OR(COUNTA(AQ940:AS940)=0,AND(COUNTA(AQ940:AS940)=3,ISNUMBER(AS940))),0,1)+IF(OR(COUNTA(AT940:AV940)=0,AND(COUNTA(AT940:AV940)=3,ISNUMBER(AV940))),0,1)+IF(OR(COUNTA(AW940:AY940)=0,AND(COUNTA(AW940:AY940)=3,ISNUMBER(AY940))),0,1)+IF(OR(COUNTA(AZ940:BB940)=0,AND(COUNTA(AZ940:BB940)=3,ISNUMBER(BB940))),0,1))&gt;0,"; An invoice is incomplete (needs No, Date and a number in Ex GST)","")&amp;IF((IF(T940="",0,IFERROR(--(EOMONTH(T940,0)&lt;&gt;S$5),1))+IF(W940="",0,IFERROR(--(EOMONTH(W940,0)&lt;&gt;V$5),1))+IF(Z940="",0,IFERROR(--(EOMONTH(Z940,0)&lt;&gt;Y$5),1))+IF(AC940="",0,IFERROR(--(EOMONTH(AC940,0)&lt;&gt;AB$5),1))+IF(AF940="",0,IFERROR(--(EOMONTH(AF940,0)&lt;&gt;AE$5),1))+IF(AI940="",0,IFERROR(--(EOMONTH(AI940,0)&lt;&gt;AH$5),1))+IF(AL940="",0,IFERROR(--(EOMONTH(AL940,0)&lt;&gt;AK$5),1))+IF(AO940="",0,IFERROR(--(EOMONTH(AO940,0)&lt;&gt;AN$5),1))+IF(AR940="",0,IFERROR(--(EOMONTH(AR940,0)&lt;&gt;AQ$5),1))+IF(AU940="",0,IFERROR(--(EOMONTH(AU940,0)&lt;&gt;AT$5),1))+IF(AX940="",0,IFERROR(--(EOMONTH(AX940,0)&lt;&gt;AW$5),1))+IF(BA940="",0,IFERROR(--(EOMONTH(BA940,0)&lt;&gt;AZ$5),1)))&gt;0,"; An invoice date is not in the month it is typed under",""),3,500))</f>
        <v/>
      </c>
      <c r="S940" s="12" t="n"/>
      <c r="T940" s="13" t="n"/>
      <c r="U940" s="14" t="n"/>
      <c r="V940" s="12" t="n"/>
      <c r="W940" s="13" t="n"/>
      <c r="X940" s="14" t="n"/>
      <c r="Y940" s="12" t="n"/>
      <c r="Z940" s="13" t="n"/>
      <c r="AA940" s="14" t="n"/>
      <c r="AB940" s="12" t="n"/>
      <c r="AC940" s="13" t="n"/>
      <c r="AD940" s="14" t="n"/>
      <c r="AE940" s="12" t="n"/>
      <c r="AF940" s="13" t="n"/>
      <c r="AG940" s="14" t="n"/>
      <c r="AH940" s="12" t="n"/>
      <c r="AI940" s="13" t="n"/>
      <c r="AJ940" s="14" t="n"/>
      <c r="AK940" s="12" t="n"/>
      <c r="AL940" s="13" t="n"/>
      <c r="AM940" s="14" t="n"/>
      <c r="AN940" s="12" t="n"/>
      <c r="AO940" s="13" t="n"/>
      <c r="AP940" s="14" t="n"/>
      <c r="AQ940" s="12" t="n"/>
      <c r="AR940" s="13" t="n"/>
      <c r="AS940" s="14" t="n"/>
      <c r="AT940" s="12" t="n"/>
      <c r="AU940" s="13" t="n"/>
      <c r="AV940" s="14" t="n"/>
      <c r="AW940" s="12" t="n"/>
      <c r="AX940" s="13" t="n"/>
      <c r="AY940" s="14" t="n"/>
      <c r="AZ940" s="12" t="n"/>
      <c r="BA940" s="13" t="n"/>
      <c r="BB940" s="14" t="n"/>
      <c r="BC940" s="11">
        <f>IF(O940="","",IF(J940="GST 10%",ROUND(O940*set_GSTRate,2),0))</f>
        <v/>
      </c>
      <c r="BD940" s="11">
        <f>IF(O940="","",O940+BC940)</f>
        <v/>
      </c>
      <c r="BE940" s="15">
        <f>IF(O940="","",COUNTA(S940,V940,Y940,AB940,AE940,AH940,AK940,AN940,AQ940,AT940,AW940,AZ940))</f>
        <v/>
      </c>
      <c r="BF940" s="16">
        <f>IF(COUNT(T940,W940,Z940,AC940,AF940,AI940,AL940,AO940,AR940,AU940,AX940,BA940)=0,"",MAX(T940,W940,Z940,AC940,AF940,AI940,AL940,AO940,AR940,AU940,AX940,BA940))</f>
        <v/>
      </c>
      <c r="BG940" s="10">
        <f>MID(IF(S940="","",", "&amp;S940)&amp;IF(V940="","",", "&amp;V940)&amp;IF(Y940="","",", "&amp;Y940)&amp;IF(AB940="","",", "&amp;AB940)&amp;IF(AE940="","",", "&amp;AE940)&amp;IF(AH940="","",", "&amp;AH940)&amp;IF(AK940="","",", "&amp;AK940)&amp;IF(AN940="","",", "&amp;AN940)&amp;IF(AQ940="","",", "&amp;AQ940)&amp;IF(AT940="","",", "&amp;AT940)&amp;IF(AW940="","",", "&amp;AW940)&amp;IF(AZ940="","",", "&amp;AZ940),3,500)</f>
        <v/>
      </c>
      <c r="BH940" s="12" t="n"/>
      <c r="BI940" s="15">
        <f>IFERROR(MATCH($A940,IF($B940="Onsite",tbl_Onsite[Row ID],IF($B940="Production",tbl_Production[Row ID],tbl_Consulting[Row ID])),0),"")</f>
        <v/>
      </c>
    </row>
    <row r="941">
      <c r="A941" s="10" t="inlineStr">
        <is>
          <t>PRD-0435</t>
        </is>
      </c>
      <c r="B941" s="10" t="inlineStr">
        <is>
          <t>Production</t>
        </is>
      </c>
      <c r="C941" s="10">
        <f>IF($BI941="","",IF($B941="Onsite",INDEX(tbl_Onsite[Job Number],$BI941),IF($B941="Production",INDEX(tbl_Production[Job Number],$BI941),INDEX(tbl_Consulting[Job Number],$BI941)))&amp;"")</f>
        <v/>
      </c>
      <c r="D941" s="10">
        <f>IF($BI941="","",IF($B941="Onsite",INDEX(tbl_Onsite[Client],$BI941),IF($B941="Production",INDEX(tbl_Production[Client],$BI941),INDEX(tbl_Consulting[Client],$BI941)))&amp;"")</f>
        <v/>
      </c>
      <c r="E941" s="10">
        <f>IF($C941="","",IF(COUNTIF(lst_Jobs,$C941)&gt;0,"OK","CHECK"))</f>
        <v/>
      </c>
      <c r="F941" s="10">
        <f>IF($C941="","",IFERROR(INDEX(lst_JobName,MATCH($C941,lst_Jobs,0)),""))</f>
        <v/>
      </c>
      <c r="G941" s="10">
        <f>IF($BI941="","",IF($B941="Onsite",INDEX(tbl_Onsite[Job Description],$BI941),IF($B941="Production",INDEX(tbl_Production[Job Description],$BI941),INDEX(tbl_Consulting[Job Description],$BI941)))&amp;"")</f>
        <v/>
      </c>
      <c r="H941" s="10">
        <f>IF($BI941="","",IF($B941="Onsite",INDEX(tbl_Onsite[Cost Centre],$BI941),IF($B941="Production",INDEX(tbl_Production[Cost Centre],$BI941),INDEX(tbl_Consulting[Cost Centre],$BI941)))&amp;"")</f>
        <v/>
      </c>
      <c r="I941" s="10">
        <f>IF($BI941="","",IF($B941="Onsite",INDEX(tbl_Onsite[Invoice Type],$BI941),IF($B941="Production",INDEX(tbl_Production[Invoice Type],$BI941),INDEX(tbl_Consulting[Invoice Type],$BI941)))&amp;"")</f>
        <v/>
      </c>
      <c r="J941" s="10">
        <f>IF($BI941="","",IF($B941="Onsite",INDEX(tbl_Onsite[Tax Code],$BI941),IF($B941="Production",INDEX(tbl_Production[Tax Code],$BI941),INDEX(tbl_Consulting[Tax Code],$BI941)))&amp;"")</f>
        <v/>
      </c>
      <c r="K941" s="10">
        <f>IF(H941="","",IFERROR(INDEX(lst_CCtoGL,MATCH(H941,lst_CCforGL,0)),""))</f>
        <v/>
      </c>
      <c r="L941" s="10">
        <f>IF($BI941="","",IF($B941="Onsite",INDEX(tbl_Onsite[PO / Reference],$BI941),IF($B941="Production",INDEX(tbl_Production[Current RMS No],$BI941),INDEX(tbl_Consulting[Qwilr Quote],$BI941)))&amp;"")</f>
        <v/>
      </c>
      <c r="M941" s="10">
        <f>IF($BI941="","",IF($B941="Onsite",INDEX(tbl_Onsite[Notes],$BI941),IF($B941="Production",INDEX(tbl_Production[Notes],$BI941),INDEX(tbl_Consulting[Notes],$BI941)))&amp;"")</f>
        <v/>
      </c>
      <c r="N941" s="11">
        <f>IF($BI941="","",IF(IF($B941="Onsite",INDEX(tbl_Onsite[Expected Revenue Ex GST],$BI941),IF($B941="Production",INDEX(tbl_Production[Expected Revenue Ex GST],$BI941),INDEX(tbl_Consulting[Expected Revenue Ex GST],$BI941)))="","",IF($B941="Onsite",INDEX(tbl_Onsite[Expected Revenue Ex GST],$BI941),IF($B941="Production",INDEX(tbl_Production[Expected Revenue Ex GST],$BI941),INDEX(tbl_Consulting[Expected Revenue Ex GST],$BI941)))))</f>
        <v/>
      </c>
      <c r="O941" s="11">
        <f>IF(AND($C941="",NOT(COUNTA($S941:$BB941)&gt;0)),"",SUM(U941,X941,AA941,AD941,AG941,AJ941,AM941,AP941,AS941,AV941,AY941,BB941))</f>
        <v/>
      </c>
      <c r="P941" s="11">
        <f>IF(O941="","",N(N941)-O941)</f>
        <v/>
      </c>
      <c r="Q941" s="10">
        <f>IF(O941="","",IF($C941="","Invoice on empty job row",IF(N941="",IF(ROUND(O941,2)=0,"No dept value","Invoiced - no dept value"),IF(ROUND(O941,2)=0,"Not invoiced - to invoice",IF(ROUND(P941,2)=0,"Agrees",IF(P941&gt;0,"Dept higher - to invoice","Xero higher - check dept"))))))</f>
        <v/>
      </c>
      <c r="R941" s="10">
        <f>IF(AND($C941="",NOT(COUNTA($S941:$BB941)&gt;0),$BI941&lt;&gt;""),"",MID(IF($BI941="","; Row ID not found on the department sheet - a row was deleted","")&amp;IF(AND($C941="",COUNTA($S941:$BB941)&gt;0),"; Invoice entered but the department row has no job number","")&amp;IF(E941="CHECK","; Job number not in the Xero job list","")&amp;IF(AND($C941&lt;&gt;"",COUNTIF($C$7:$C$1506,$C941)&gt;1),"; Job number on more than one row","")&amp;IF(AND($C941&lt;&gt;"",H941=""),"; Dept has not set a cost centre","")&amp;IF(AND($C941&lt;&gt;"",J941=""),"; Dept has not set a tax code","")&amp;IF(AND($C941&lt;&gt;"",N941=""),"; Dept has not entered an expected value","")&amp;IF((IF(OR(COUNTA(S941:U941)=0,AND(COUNTA(S941:U941)=3,ISNUMBER(U941))),0,1)+IF(OR(COUNTA(V941:X941)=0,AND(COUNTA(V941:X941)=3,ISNUMBER(X941))),0,1)+IF(OR(COUNTA(Y941:AA941)=0,AND(COUNTA(Y941:AA941)=3,ISNUMBER(AA941))),0,1)+IF(OR(COUNTA(AB941:AD941)=0,AND(COUNTA(AB941:AD941)=3,ISNUMBER(AD941))),0,1)+IF(OR(COUNTA(AE941:AG941)=0,AND(COUNTA(AE941:AG941)=3,ISNUMBER(AG941))),0,1)+IF(OR(COUNTA(AH941:AJ941)=0,AND(COUNTA(AH941:AJ941)=3,ISNUMBER(AJ941))),0,1)+IF(OR(COUNTA(AK941:AM941)=0,AND(COUNTA(AK941:AM941)=3,ISNUMBER(AM941))),0,1)+IF(OR(COUNTA(AN941:AP941)=0,AND(COUNTA(AN941:AP941)=3,ISNUMBER(AP941))),0,1)+IF(OR(COUNTA(AQ941:AS941)=0,AND(COUNTA(AQ941:AS941)=3,ISNUMBER(AS941))),0,1)+IF(OR(COUNTA(AT941:AV941)=0,AND(COUNTA(AT941:AV941)=3,ISNUMBER(AV941))),0,1)+IF(OR(COUNTA(AW941:AY941)=0,AND(COUNTA(AW941:AY941)=3,ISNUMBER(AY941))),0,1)+IF(OR(COUNTA(AZ941:BB941)=0,AND(COUNTA(AZ941:BB941)=3,ISNUMBER(BB941))),0,1))&gt;0,"; An invoice is incomplete (needs No, Date and a number in Ex GST)","")&amp;IF((IF(T941="",0,IFERROR(--(EOMONTH(T941,0)&lt;&gt;S$5),1))+IF(W941="",0,IFERROR(--(EOMONTH(W941,0)&lt;&gt;V$5),1))+IF(Z941="",0,IFERROR(--(EOMONTH(Z941,0)&lt;&gt;Y$5),1))+IF(AC941="",0,IFERROR(--(EOMONTH(AC941,0)&lt;&gt;AB$5),1))+IF(AF941="",0,IFERROR(--(EOMONTH(AF941,0)&lt;&gt;AE$5),1))+IF(AI941="",0,IFERROR(--(EOMONTH(AI941,0)&lt;&gt;AH$5),1))+IF(AL941="",0,IFERROR(--(EOMONTH(AL941,0)&lt;&gt;AK$5),1))+IF(AO941="",0,IFERROR(--(EOMONTH(AO941,0)&lt;&gt;AN$5),1))+IF(AR941="",0,IFERROR(--(EOMONTH(AR941,0)&lt;&gt;AQ$5),1))+IF(AU941="",0,IFERROR(--(EOMONTH(AU941,0)&lt;&gt;AT$5),1))+IF(AX941="",0,IFERROR(--(EOMONTH(AX941,0)&lt;&gt;AW$5),1))+IF(BA941="",0,IFERROR(--(EOMONTH(BA941,0)&lt;&gt;AZ$5),1)))&gt;0,"; An invoice date is not in the month it is typed under",""),3,500))</f>
        <v/>
      </c>
      <c r="S941" s="12" t="n"/>
      <c r="T941" s="13" t="n"/>
      <c r="U941" s="14" t="n"/>
      <c r="V941" s="12" t="n"/>
      <c r="W941" s="13" t="n"/>
      <c r="X941" s="14" t="n"/>
      <c r="Y941" s="12" t="n"/>
      <c r="Z941" s="13" t="n"/>
      <c r="AA941" s="14" t="n"/>
      <c r="AB941" s="12" t="n"/>
      <c r="AC941" s="13" t="n"/>
      <c r="AD941" s="14" t="n"/>
      <c r="AE941" s="12" t="n"/>
      <c r="AF941" s="13" t="n"/>
      <c r="AG941" s="14" t="n"/>
      <c r="AH941" s="12" t="n"/>
      <c r="AI941" s="13" t="n"/>
      <c r="AJ941" s="14" t="n"/>
      <c r="AK941" s="12" t="n"/>
      <c r="AL941" s="13" t="n"/>
      <c r="AM941" s="14" t="n"/>
      <c r="AN941" s="12" t="n"/>
      <c r="AO941" s="13" t="n"/>
      <c r="AP941" s="14" t="n"/>
      <c r="AQ941" s="12" t="n"/>
      <c r="AR941" s="13" t="n"/>
      <c r="AS941" s="14" t="n"/>
      <c r="AT941" s="12" t="n"/>
      <c r="AU941" s="13" t="n"/>
      <c r="AV941" s="14" t="n"/>
      <c r="AW941" s="12" t="n"/>
      <c r="AX941" s="13" t="n"/>
      <c r="AY941" s="14" t="n"/>
      <c r="AZ941" s="12" t="n"/>
      <c r="BA941" s="13" t="n"/>
      <c r="BB941" s="14" t="n"/>
      <c r="BC941" s="11">
        <f>IF(O941="","",IF(J941="GST 10%",ROUND(O941*set_GSTRate,2),0))</f>
        <v/>
      </c>
      <c r="BD941" s="11">
        <f>IF(O941="","",O941+BC941)</f>
        <v/>
      </c>
      <c r="BE941" s="15">
        <f>IF(O941="","",COUNTA(S941,V941,Y941,AB941,AE941,AH941,AK941,AN941,AQ941,AT941,AW941,AZ941))</f>
        <v/>
      </c>
      <c r="BF941" s="16">
        <f>IF(COUNT(T941,W941,Z941,AC941,AF941,AI941,AL941,AO941,AR941,AU941,AX941,BA941)=0,"",MAX(T941,W941,Z941,AC941,AF941,AI941,AL941,AO941,AR941,AU941,AX941,BA941))</f>
        <v/>
      </c>
      <c r="BG941" s="10">
        <f>MID(IF(S941="","",", "&amp;S941)&amp;IF(V941="","",", "&amp;V941)&amp;IF(Y941="","",", "&amp;Y941)&amp;IF(AB941="","",", "&amp;AB941)&amp;IF(AE941="","",", "&amp;AE941)&amp;IF(AH941="","",", "&amp;AH941)&amp;IF(AK941="","",", "&amp;AK941)&amp;IF(AN941="","",", "&amp;AN941)&amp;IF(AQ941="","",", "&amp;AQ941)&amp;IF(AT941="","",", "&amp;AT941)&amp;IF(AW941="","",", "&amp;AW941)&amp;IF(AZ941="","",", "&amp;AZ941),3,500)</f>
        <v/>
      </c>
      <c r="BH941" s="12" t="n"/>
      <c r="BI941" s="15">
        <f>IFERROR(MATCH($A941,IF($B941="Onsite",tbl_Onsite[Row ID],IF($B941="Production",tbl_Production[Row ID],tbl_Consulting[Row ID])),0),"")</f>
        <v/>
      </c>
    </row>
    <row r="942">
      <c r="A942" s="10" t="inlineStr">
        <is>
          <t>PRD-0436</t>
        </is>
      </c>
      <c r="B942" s="10" t="inlineStr">
        <is>
          <t>Production</t>
        </is>
      </c>
      <c r="C942" s="10">
        <f>IF($BI942="","",IF($B942="Onsite",INDEX(tbl_Onsite[Job Number],$BI942),IF($B942="Production",INDEX(tbl_Production[Job Number],$BI942),INDEX(tbl_Consulting[Job Number],$BI942)))&amp;"")</f>
        <v/>
      </c>
      <c r="D942" s="10">
        <f>IF($BI942="","",IF($B942="Onsite",INDEX(tbl_Onsite[Client],$BI942),IF($B942="Production",INDEX(tbl_Production[Client],$BI942),INDEX(tbl_Consulting[Client],$BI942)))&amp;"")</f>
        <v/>
      </c>
      <c r="E942" s="10">
        <f>IF($C942="","",IF(COUNTIF(lst_Jobs,$C942)&gt;0,"OK","CHECK"))</f>
        <v/>
      </c>
      <c r="F942" s="10">
        <f>IF($C942="","",IFERROR(INDEX(lst_JobName,MATCH($C942,lst_Jobs,0)),""))</f>
        <v/>
      </c>
      <c r="G942" s="10">
        <f>IF($BI942="","",IF($B942="Onsite",INDEX(tbl_Onsite[Job Description],$BI942),IF($B942="Production",INDEX(tbl_Production[Job Description],$BI942),INDEX(tbl_Consulting[Job Description],$BI942)))&amp;"")</f>
        <v/>
      </c>
      <c r="H942" s="10">
        <f>IF($BI942="","",IF($B942="Onsite",INDEX(tbl_Onsite[Cost Centre],$BI942),IF($B942="Production",INDEX(tbl_Production[Cost Centre],$BI942),INDEX(tbl_Consulting[Cost Centre],$BI942)))&amp;"")</f>
        <v/>
      </c>
      <c r="I942" s="10">
        <f>IF($BI942="","",IF($B942="Onsite",INDEX(tbl_Onsite[Invoice Type],$BI942),IF($B942="Production",INDEX(tbl_Production[Invoice Type],$BI942),INDEX(tbl_Consulting[Invoice Type],$BI942)))&amp;"")</f>
        <v/>
      </c>
      <c r="J942" s="10">
        <f>IF($BI942="","",IF($B942="Onsite",INDEX(tbl_Onsite[Tax Code],$BI942),IF($B942="Production",INDEX(tbl_Production[Tax Code],$BI942),INDEX(tbl_Consulting[Tax Code],$BI942)))&amp;"")</f>
        <v/>
      </c>
      <c r="K942" s="10">
        <f>IF(H942="","",IFERROR(INDEX(lst_CCtoGL,MATCH(H942,lst_CCforGL,0)),""))</f>
        <v/>
      </c>
      <c r="L942" s="10">
        <f>IF($BI942="","",IF($B942="Onsite",INDEX(tbl_Onsite[PO / Reference],$BI942),IF($B942="Production",INDEX(tbl_Production[Current RMS No],$BI942),INDEX(tbl_Consulting[Qwilr Quote],$BI942)))&amp;"")</f>
        <v/>
      </c>
      <c r="M942" s="10">
        <f>IF($BI942="","",IF($B942="Onsite",INDEX(tbl_Onsite[Notes],$BI942),IF($B942="Production",INDEX(tbl_Production[Notes],$BI942),INDEX(tbl_Consulting[Notes],$BI942)))&amp;"")</f>
        <v/>
      </c>
      <c r="N942" s="11">
        <f>IF($BI942="","",IF(IF($B942="Onsite",INDEX(tbl_Onsite[Expected Revenue Ex GST],$BI942),IF($B942="Production",INDEX(tbl_Production[Expected Revenue Ex GST],$BI942),INDEX(tbl_Consulting[Expected Revenue Ex GST],$BI942)))="","",IF($B942="Onsite",INDEX(tbl_Onsite[Expected Revenue Ex GST],$BI942),IF($B942="Production",INDEX(tbl_Production[Expected Revenue Ex GST],$BI942),INDEX(tbl_Consulting[Expected Revenue Ex GST],$BI942)))))</f>
        <v/>
      </c>
      <c r="O942" s="11">
        <f>IF(AND($C942="",NOT(COUNTA($S942:$BB942)&gt;0)),"",SUM(U942,X942,AA942,AD942,AG942,AJ942,AM942,AP942,AS942,AV942,AY942,BB942))</f>
        <v/>
      </c>
      <c r="P942" s="11">
        <f>IF(O942="","",N(N942)-O942)</f>
        <v/>
      </c>
      <c r="Q942" s="10">
        <f>IF(O942="","",IF($C942="","Invoice on empty job row",IF(N942="",IF(ROUND(O942,2)=0,"No dept value","Invoiced - no dept value"),IF(ROUND(O942,2)=0,"Not invoiced - to invoice",IF(ROUND(P942,2)=0,"Agrees",IF(P942&gt;0,"Dept higher - to invoice","Xero higher - check dept"))))))</f>
        <v/>
      </c>
      <c r="R942" s="10">
        <f>IF(AND($C942="",NOT(COUNTA($S942:$BB942)&gt;0),$BI942&lt;&gt;""),"",MID(IF($BI942="","; Row ID not found on the department sheet - a row was deleted","")&amp;IF(AND($C942="",COUNTA($S942:$BB942)&gt;0),"; Invoice entered but the department row has no job number","")&amp;IF(E942="CHECK","; Job number not in the Xero job list","")&amp;IF(AND($C942&lt;&gt;"",COUNTIF($C$7:$C$1506,$C942)&gt;1),"; Job number on more than one row","")&amp;IF(AND($C942&lt;&gt;"",H942=""),"; Dept has not set a cost centre","")&amp;IF(AND($C942&lt;&gt;"",J942=""),"; Dept has not set a tax code","")&amp;IF(AND($C942&lt;&gt;"",N942=""),"; Dept has not entered an expected value","")&amp;IF((IF(OR(COUNTA(S942:U942)=0,AND(COUNTA(S942:U942)=3,ISNUMBER(U942))),0,1)+IF(OR(COUNTA(V942:X942)=0,AND(COUNTA(V942:X942)=3,ISNUMBER(X942))),0,1)+IF(OR(COUNTA(Y942:AA942)=0,AND(COUNTA(Y942:AA942)=3,ISNUMBER(AA942))),0,1)+IF(OR(COUNTA(AB942:AD942)=0,AND(COUNTA(AB942:AD942)=3,ISNUMBER(AD942))),0,1)+IF(OR(COUNTA(AE942:AG942)=0,AND(COUNTA(AE942:AG942)=3,ISNUMBER(AG942))),0,1)+IF(OR(COUNTA(AH942:AJ942)=0,AND(COUNTA(AH942:AJ942)=3,ISNUMBER(AJ942))),0,1)+IF(OR(COUNTA(AK942:AM942)=0,AND(COUNTA(AK942:AM942)=3,ISNUMBER(AM942))),0,1)+IF(OR(COUNTA(AN942:AP942)=0,AND(COUNTA(AN942:AP942)=3,ISNUMBER(AP942))),0,1)+IF(OR(COUNTA(AQ942:AS942)=0,AND(COUNTA(AQ942:AS942)=3,ISNUMBER(AS942))),0,1)+IF(OR(COUNTA(AT942:AV942)=0,AND(COUNTA(AT942:AV942)=3,ISNUMBER(AV942))),0,1)+IF(OR(COUNTA(AW942:AY942)=0,AND(COUNTA(AW942:AY942)=3,ISNUMBER(AY942))),0,1)+IF(OR(COUNTA(AZ942:BB942)=0,AND(COUNTA(AZ942:BB942)=3,ISNUMBER(BB942))),0,1))&gt;0,"; An invoice is incomplete (needs No, Date and a number in Ex GST)","")&amp;IF((IF(T942="",0,IFERROR(--(EOMONTH(T942,0)&lt;&gt;S$5),1))+IF(W942="",0,IFERROR(--(EOMONTH(W942,0)&lt;&gt;V$5),1))+IF(Z942="",0,IFERROR(--(EOMONTH(Z942,0)&lt;&gt;Y$5),1))+IF(AC942="",0,IFERROR(--(EOMONTH(AC942,0)&lt;&gt;AB$5),1))+IF(AF942="",0,IFERROR(--(EOMONTH(AF942,0)&lt;&gt;AE$5),1))+IF(AI942="",0,IFERROR(--(EOMONTH(AI942,0)&lt;&gt;AH$5),1))+IF(AL942="",0,IFERROR(--(EOMONTH(AL942,0)&lt;&gt;AK$5),1))+IF(AO942="",0,IFERROR(--(EOMONTH(AO942,0)&lt;&gt;AN$5),1))+IF(AR942="",0,IFERROR(--(EOMONTH(AR942,0)&lt;&gt;AQ$5),1))+IF(AU942="",0,IFERROR(--(EOMONTH(AU942,0)&lt;&gt;AT$5),1))+IF(AX942="",0,IFERROR(--(EOMONTH(AX942,0)&lt;&gt;AW$5),1))+IF(BA942="",0,IFERROR(--(EOMONTH(BA942,0)&lt;&gt;AZ$5),1)))&gt;0,"; An invoice date is not in the month it is typed under",""),3,500))</f>
        <v/>
      </c>
      <c r="S942" s="12" t="n"/>
      <c r="T942" s="13" t="n"/>
      <c r="U942" s="14" t="n"/>
      <c r="V942" s="12" t="n"/>
      <c r="W942" s="13" t="n"/>
      <c r="X942" s="14" t="n"/>
      <c r="Y942" s="12" t="n"/>
      <c r="Z942" s="13" t="n"/>
      <c r="AA942" s="14" t="n"/>
      <c r="AB942" s="12" t="n"/>
      <c r="AC942" s="13" t="n"/>
      <c r="AD942" s="14" t="n"/>
      <c r="AE942" s="12" t="n"/>
      <c r="AF942" s="13" t="n"/>
      <c r="AG942" s="14" t="n"/>
      <c r="AH942" s="12" t="n"/>
      <c r="AI942" s="13" t="n"/>
      <c r="AJ942" s="14" t="n"/>
      <c r="AK942" s="12" t="n"/>
      <c r="AL942" s="13" t="n"/>
      <c r="AM942" s="14" t="n"/>
      <c r="AN942" s="12" t="n"/>
      <c r="AO942" s="13" t="n"/>
      <c r="AP942" s="14" t="n"/>
      <c r="AQ942" s="12" t="n"/>
      <c r="AR942" s="13" t="n"/>
      <c r="AS942" s="14" t="n"/>
      <c r="AT942" s="12" t="n"/>
      <c r="AU942" s="13" t="n"/>
      <c r="AV942" s="14" t="n"/>
      <c r="AW942" s="12" t="n"/>
      <c r="AX942" s="13" t="n"/>
      <c r="AY942" s="14" t="n"/>
      <c r="AZ942" s="12" t="n"/>
      <c r="BA942" s="13" t="n"/>
      <c r="BB942" s="14" t="n"/>
      <c r="BC942" s="11">
        <f>IF(O942="","",IF(J942="GST 10%",ROUND(O942*set_GSTRate,2),0))</f>
        <v/>
      </c>
      <c r="BD942" s="11">
        <f>IF(O942="","",O942+BC942)</f>
        <v/>
      </c>
      <c r="BE942" s="15">
        <f>IF(O942="","",COUNTA(S942,V942,Y942,AB942,AE942,AH942,AK942,AN942,AQ942,AT942,AW942,AZ942))</f>
        <v/>
      </c>
      <c r="BF942" s="16">
        <f>IF(COUNT(T942,W942,Z942,AC942,AF942,AI942,AL942,AO942,AR942,AU942,AX942,BA942)=0,"",MAX(T942,W942,Z942,AC942,AF942,AI942,AL942,AO942,AR942,AU942,AX942,BA942))</f>
        <v/>
      </c>
      <c r="BG942" s="10">
        <f>MID(IF(S942="","",", "&amp;S942)&amp;IF(V942="","",", "&amp;V942)&amp;IF(Y942="","",", "&amp;Y942)&amp;IF(AB942="","",", "&amp;AB942)&amp;IF(AE942="","",", "&amp;AE942)&amp;IF(AH942="","",", "&amp;AH942)&amp;IF(AK942="","",", "&amp;AK942)&amp;IF(AN942="","",", "&amp;AN942)&amp;IF(AQ942="","",", "&amp;AQ942)&amp;IF(AT942="","",", "&amp;AT942)&amp;IF(AW942="","",", "&amp;AW942)&amp;IF(AZ942="","",", "&amp;AZ942),3,500)</f>
        <v/>
      </c>
      <c r="BH942" s="12" t="n"/>
      <c r="BI942" s="15">
        <f>IFERROR(MATCH($A942,IF($B942="Onsite",tbl_Onsite[Row ID],IF($B942="Production",tbl_Production[Row ID],tbl_Consulting[Row ID])),0),"")</f>
        <v/>
      </c>
    </row>
    <row r="943">
      <c r="A943" s="10" t="inlineStr">
        <is>
          <t>PRD-0437</t>
        </is>
      </c>
      <c r="B943" s="10" t="inlineStr">
        <is>
          <t>Production</t>
        </is>
      </c>
      <c r="C943" s="10">
        <f>IF($BI943="","",IF($B943="Onsite",INDEX(tbl_Onsite[Job Number],$BI943),IF($B943="Production",INDEX(tbl_Production[Job Number],$BI943),INDEX(tbl_Consulting[Job Number],$BI943)))&amp;"")</f>
        <v/>
      </c>
      <c r="D943" s="10">
        <f>IF($BI943="","",IF($B943="Onsite",INDEX(tbl_Onsite[Client],$BI943),IF($B943="Production",INDEX(tbl_Production[Client],$BI943),INDEX(tbl_Consulting[Client],$BI943)))&amp;"")</f>
        <v/>
      </c>
      <c r="E943" s="10">
        <f>IF($C943="","",IF(COUNTIF(lst_Jobs,$C943)&gt;0,"OK","CHECK"))</f>
        <v/>
      </c>
      <c r="F943" s="10">
        <f>IF($C943="","",IFERROR(INDEX(lst_JobName,MATCH($C943,lst_Jobs,0)),""))</f>
        <v/>
      </c>
      <c r="G943" s="10">
        <f>IF($BI943="","",IF($B943="Onsite",INDEX(tbl_Onsite[Job Description],$BI943),IF($B943="Production",INDEX(tbl_Production[Job Description],$BI943),INDEX(tbl_Consulting[Job Description],$BI943)))&amp;"")</f>
        <v/>
      </c>
      <c r="H943" s="10">
        <f>IF($BI943="","",IF($B943="Onsite",INDEX(tbl_Onsite[Cost Centre],$BI943),IF($B943="Production",INDEX(tbl_Production[Cost Centre],$BI943),INDEX(tbl_Consulting[Cost Centre],$BI943)))&amp;"")</f>
        <v/>
      </c>
      <c r="I943" s="10">
        <f>IF($BI943="","",IF($B943="Onsite",INDEX(tbl_Onsite[Invoice Type],$BI943),IF($B943="Production",INDEX(tbl_Production[Invoice Type],$BI943),INDEX(tbl_Consulting[Invoice Type],$BI943)))&amp;"")</f>
        <v/>
      </c>
      <c r="J943" s="10">
        <f>IF($BI943="","",IF($B943="Onsite",INDEX(tbl_Onsite[Tax Code],$BI943),IF($B943="Production",INDEX(tbl_Production[Tax Code],$BI943),INDEX(tbl_Consulting[Tax Code],$BI943)))&amp;"")</f>
        <v/>
      </c>
      <c r="K943" s="10">
        <f>IF(H943="","",IFERROR(INDEX(lst_CCtoGL,MATCH(H943,lst_CCforGL,0)),""))</f>
        <v/>
      </c>
      <c r="L943" s="10">
        <f>IF($BI943="","",IF($B943="Onsite",INDEX(tbl_Onsite[PO / Reference],$BI943),IF($B943="Production",INDEX(tbl_Production[Current RMS No],$BI943),INDEX(tbl_Consulting[Qwilr Quote],$BI943)))&amp;"")</f>
        <v/>
      </c>
      <c r="M943" s="10">
        <f>IF($BI943="","",IF($B943="Onsite",INDEX(tbl_Onsite[Notes],$BI943),IF($B943="Production",INDEX(tbl_Production[Notes],$BI943),INDEX(tbl_Consulting[Notes],$BI943)))&amp;"")</f>
        <v/>
      </c>
      <c r="N943" s="11">
        <f>IF($BI943="","",IF(IF($B943="Onsite",INDEX(tbl_Onsite[Expected Revenue Ex GST],$BI943),IF($B943="Production",INDEX(tbl_Production[Expected Revenue Ex GST],$BI943),INDEX(tbl_Consulting[Expected Revenue Ex GST],$BI943)))="","",IF($B943="Onsite",INDEX(tbl_Onsite[Expected Revenue Ex GST],$BI943),IF($B943="Production",INDEX(tbl_Production[Expected Revenue Ex GST],$BI943),INDEX(tbl_Consulting[Expected Revenue Ex GST],$BI943)))))</f>
        <v/>
      </c>
      <c r="O943" s="11">
        <f>IF(AND($C943="",NOT(COUNTA($S943:$BB943)&gt;0)),"",SUM(U943,X943,AA943,AD943,AG943,AJ943,AM943,AP943,AS943,AV943,AY943,BB943))</f>
        <v/>
      </c>
      <c r="P943" s="11">
        <f>IF(O943="","",N(N943)-O943)</f>
        <v/>
      </c>
      <c r="Q943" s="10">
        <f>IF(O943="","",IF($C943="","Invoice on empty job row",IF(N943="",IF(ROUND(O943,2)=0,"No dept value","Invoiced - no dept value"),IF(ROUND(O943,2)=0,"Not invoiced - to invoice",IF(ROUND(P943,2)=0,"Agrees",IF(P943&gt;0,"Dept higher - to invoice","Xero higher - check dept"))))))</f>
        <v/>
      </c>
      <c r="R943" s="10">
        <f>IF(AND($C943="",NOT(COUNTA($S943:$BB943)&gt;0),$BI943&lt;&gt;""),"",MID(IF($BI943="","; Row ID not found on the department sheet - a row was deleted","")&amp;IF(AND($C943="",COUNTA($S943:$BB943)&gt;0),"; Invoice entered but the department row has no job number","")&amp;IF(E943="CHECK","; Job number not in the Xero job list","")&amp;IF(AND($C943&lt;&gt;"",COUNTIF($C$7:$C$1506,$C943)&gt;1),"; Job number on more than one row","")&amp;IF(AND($C943&lt;&gt;"",H943=""),"; Dept has not set a cost centre","")&amp;IF(AND($C943&lt;&gt;"",J943=""),"; Dept has not set a tax code","")&amp;IF(AND($C943&lt;&gt;"",N943=""),"; Dept has not entered an expected value","")&amp;IF((IF(OR(COUNTA(S943:U943)=0,AND(COUNTA(S943:U943)=3,ISNUMBER(U943))),0,1)+IF(OR(COUNTA(V943:X943)=0,AND(COUNTA(V943:X943)=3,ISNUMBER(X943))),0,1)+IF(OR(COUNTA(Y943:AA943)=0,AND(COUNTA(Y943:AA943)=3,ISNUMBER(AA943))),0,1)+IF(OR(COUNTA(AB943:AD943)=0,AND(COUNTA(AB943:AD943)=3,ISNUMBER(AD943))),0,1)+IF(OR(COUNTA(AE943:AG943)=0,AND(COUNTA(AE943:AG943)=3,ISNUMBER(AG943))),0,1)+IF(OR(COUNTA(AH943:AJ943)=0,AND(COUNTA(AH943:AJ943)=3,ISNUMBER(AJ943))),0,1)+IF(OR(COUNTA(AK943:AM943)=0,AND(COUNTA(AK943:AM943)=3,ISNUMBER(AM943))),0,1)+IF(OR(COUNTA(AN943:AP943)=0,AND(COUNTA(AN943:AP943)=3,ISNUMBER(AP943))),0,1)+IF(OR(COUNTA(AQ943:AS943)=0,AND(COUNTA(AQ943:AS943)=3,ISNUMBER(AS943))),0,1)+IF(OR(COUNTA(AT943:AV943)=0,AND(COUNTA(AT943:AV943)=3,ISNUMBER(AV943))),0,1)+IF(OR(COUNTA(AW943:AY943)=0,AND(COUNTA(AW943:AY943)=3,ISNUMBER(AY943))),0,1)+IF(OR(COUNTA(AZ943:BB943)=0,AND(COUNTA(AZ943:BB943)=3,ISNUMBER(BB943))),0,1))&gt;0,"; An invoice is incomplete (needs No, Date and a number in Ex GST)","")&amp;IF((IF(T943="",0,IFERROR(--(EOMONTH(T943,0)&lt;&gt;S$5),1))+IF(W943="",0,IFERROR(--(EOMONTH(W943,0)&lt;&gt;V$5),1))+IF(Z943="",0,IFERROR(--(EOMONTH(Z943,0)&lt;&gt;Y$5),1))+IF(AC943="",0,IFERROR(--(EOMONTH(AC943,0)&lt;&gt;AB$5),1))+IF(AF943="",0,IFERROR(--(EOMONTH(AF943,0)&lt;&gt;AE$5),1))+IF(AI943="",0,IFERROR(--(EOMONTH(AI943,0)&lt;&gt;AH$5),1))+IF(AL943="",0,IFERROR(--(EOMONTH(AL943,0)&lt;&gt;AK$5),1))+IF(AO943="",0,IFERROR(--(EOMONTH(AO943,0)&lt;&gt;AN$5),1))+IF(AR943="",0,IFERROR(--(EOMONTH(AR943,0)&lt;&gt;AQ$5),1))+IF(AU943="",0,IFERROR(--(EOMONTH(AU943,0)&lt;&gt;AT$5),1))+IF(AX943="",0,IFERROR(--(EOMONTH(AX943,0)&lt;&gt;AW$5),1))+IF(BA943="",0,IFERROR(--(EOMONTH(BA943,0)&lt;&gt;AZ$5),1)))&gt;0,"; An invoice date is not in the month it is typed under",""),3,500))</f>
        <v/>
      </c>
      <c r="S943" s="12" t="n"/>
      <c r="T943" s="13" t="n"/>
      <c r="U943" s="14" t="n"/>
      <c r="V943" s="12" t="n"/>
      <c r="W943" s="13" t="n"/>
      <c r="X943" s="14" t="n"/>
      <c r="Y943" s="12" t="n"/>
      <c r="Z943" s="13" t="n"/>
      <c r="AA943" s="14" t="n"/>
      <c r="AB943" s="12" t="n"/>
      <c r="AC943" s="13" t="n"/>
      <c r="AD943" s="14" t="n"/>
      <c r="AE943" s="12" t="n"/>
      <c r="AF943" s="13" t="n"/>
      <c r="AG943" s="14" t="n"/>
      <c r="AH943" s="12" t="n"/>
      <c r="AI943" s="13" t="n"/>
      <c r="AJ943" s="14" t="n"/>
      <c r="AK943" s="12" t="n"/>
      <c r="AL943" s="13" t="n"/>
      <c r="AM943" s="14" t="n"/>
      <c r="AN943" s="12" t="n"/>
      <c r="AO943" s="13" t="n"/>
      <c r="AP943" s="14" t="n"/>
      <c r="AQ943" s="12" t="n"/>
      <c r="AR943" s="13" t="n"/>
      <c r="AS943" s="14" t="n"/>
      <c r="AT943" s="12" t="n"/>
      <c r="AU943" s="13" t="n"/>
      <c r="AV943" s="14" t="n"/>
      <c r="AW943" s="12" t="n"/>
      <c r="AX943" s="13" t="n"/>
      <c r="AY943" s="14" t="n"/>
      <c r="AZ943" s="12" t="n"/>
      <c r="BA943" s="13" t="n"/>
      <c r="BB943" s="14" t="n"/>
      <c r="BC943" s="11">
        <f>IF(O943="","",IF(J943="GST 10%",ROUND(O943*set_GSTRate,2),0))</f>
        <v/>
      </c>
      <c r="BD943" s="11">
        <f>IF(O943="","",O943+BC943)</f>
        <v/>
      </c>
      <c r="BE943" s="15">
        <f>IF(O943="","",COUNTA(S943,V943,Y943,AB943,AE943,AH943,AK943,AN943,AQ943,AT943,AW943,AZ943))</f>
        <v/>
      </c>
      <c r="BF943" s="16">
        <f>IF(COUNT(T943,W943,Z943,AC943,AF943,AI943,AL943,AO943,AR943,AU943,AX943,BA943)=0,"",MAX(T943,W943,Z943,AC943,AF943,AI943,AL943,AO943,AR943,AU943,AX943,BA943))</f>
        <v/>
      </c>
      <c r="BG943" s="10">
        <f>MID(IF(S943="","",", "&amp;S943)&amp;IF(V943="","",", "&amp;V943)&amp;IF(Y943="","",", "&amp;Y943)&amp;IF(AB943="","",", "&amp;AB943)&amp;IF(AE943="","",", "&amp;AE943)&amp;IF(AH943="","",", "&amp;AH943)&amp;IF(AK943="","",", "&amp;AK943)&amp;IF(AN943="","",", "&amp;AN943)&amp;IF(AQ943="","",", "&amp;AQ943)&amp;IF(AT943="","",", "&amp;AT943)&amp;IF(AW943="","",", "&amp;AW943)&amp;IF(AZ943="","",", "&amp;AZ943),3,500)</f>
        <v/>
      </c>
      <c r="BH943" s="12" t="n"/>
      <c r="BI943" s="15">
        <f>IFERROR(MATCH($A943,IF($B943="Onsite",tbl_Onsite[Row ID],IF($B943="Production",tbl_Production[Row ID],tbl_Consulting[Row ID])),0),"")</f>
        <v/>
      </c>
    </row>
    <row r="944">
      <c r="A944" s="10" t="inlineStr">
        <is>
          <t>PRD-0438</t>
        </is>
      </c>
      <c r="B944" s="10" t="inlineStr">
        <is>
          <t>Production</t>
        </is>
      </c>
      <c r="C944" s="10">
        <f>IF($BI944="","",IF($B944="Onsite",INDEX(tbl_Onsite[Job Number],$BI944),IF($B944="Production",INDEX(tbl_Production[Job Number],$BI944),INDEX(tbl_Consulting[Job Number],$BI944)))&amp;"")</f>
        <v/>
      </c>
      <c r="D944" s="10">
        <f>IF($BI944="","",IF($B944="Onsite",INDEX(tbl_Onsite[Client],$BI944),IF($B944="Production",INDEX(tbl_Production[Client],$BI944),INDEX(tbl_Consulting[Client],$BI944)))&amp;"")</f>
        <v/>
      </c>
      <c r="E944" s="10">
        <f>IF($C944="","",IF(COUNTIF(lst_Jobs,$C944)&gt;0,"OK","CHECK"))</f>
        <v/>
      </c>
      <c r="F944" s="10">
        <f>IF($C944="","",IFERROR(INDEX(lst_JobName,MATCH($C944,lst_Jobs,0)),""))</f>
        <v/>
      </c>
      <c r="G944" s="10">
        <f>IF($BI944="","",IF($B944="Onsite",INDEX(tbl_Onsite[Job Description],$BI944),IF($B944="Production",INDEX(tbl_Production[Job Description],$BI944),INDEX(tbl_Consulting[Job Description],$BI944)))&amp;"")</f>
        <v/>
      </c>
      <c r="H944" s="10">
        <f>IF($BI944="","",IF($B944="Onsite",INDEX(tbl_Onsite[Cost Centre],$BI944),IF($B944="Production",INDEX(tbl_Production[Cost Centre],$BI944),INDEX(tbl_Consulting[Cost Centre],$BI944)))&amp;"")</f>
        <v/>
      </c>
      <c r="I944" s="10">
        <f>IF($BI944="","",IF($B944="Onsite",INDEX(tbl_Onsite[Invoice Type],$BI944),IF($B944="Production",INDEX(tbl_Production[Invoice Type],$BI944),INDEX(tbl_Consulting[Invoice Type],$BI944)))&amp;"")</f>
        <v/>
      </c>
      <c r="J944" s="10">
        <f>IF($BI944="","",IF($B944="Onsite",INDEX(tbl_Onsite[Tax Code],$BI944),IF($B944="Production",INDEX(tbl_Production[Tax Code],$BI944),INDEX(tbl_Consulting[Tax Code],$BI944)))&amp;"")</f>
        <v/>
      </c>
      <c r="K944" s="10">
        <f>IF(H944="","",IFERROR(INDEX(lst_CCtoGL,MATCH(H944,lst_CCforGL,0)),""))</f>
        <v/>
      </c>
      <c r="L944" s="10">
        <f>IF($BI944="","",IF($B944="Onsite",INDEX(tbl_Onsite[PO / Reference],$BI944),IF($B944="Production",INDEX(tbl_Production[Current RMS No],$BI944),INDEX(tbl_Consulting[Qwilr Quote],$BI944)))&amp;"")</f>
        <v/>
      </c>
      <c r="M944" s="10">
        <f>IF($BI944="","",IF($B944="Onsite",INDEX(tbl_Onsite[Notes],$BI944),IF($B944="Production",INDEX(tbl_Production[Notes],$BI944),INDEX(tbl_Consulting[Notes],$BI944)))&amp;"")</f>
        <v/>
      </c>
      <c r="N944" s="11">
        <f>IF($BI944="","",IF(IF($B944="Onsite",INDEX(tbl_Onsite[Expected Revenue Ex GST],$BI944),IF($B944="Production",INDEX(tbl_Production[Expected Revenue Ex GST],$BI944),INDEX(tbl_Consulting[Expected Revenue Ex GST],$BI944)))="","",IF($B944="Onsite",INDEX(tbl_Onsite[Expected Revenue Ex GST],$BI944),IF($B944="Production",INDEX(tbl_Production[Expected Revenue Ex GST],$BI944),INDEX(tbl_Consulting[Expected Revenue Ex GST],$BI944)))))</f>
        <v/>
      </c>
      <c r="O944" s="11">
        <f>IF(AND($C944="",NOT(COUNTA($S944:$BB944)&gt;0)),"",SUM(U944,X944,AA944,AD944,AG944,AJ944,AM944,AP944,AS944,AV944,AY944,BB944))</f>
        <v/>
      </c>
      <c r="P944" s="11">
        <f>IF(O944="","",N(N944)-O944)</f>
        <v/>
      </c>
      <c r="Q944" s="10">
        <f>IF(O944="","",IF($C944="","Invoice on empty job row",IF(N944="",IF(ROUND(O944,2)=0,"No dept value","Invoiced - no dept value"),IF(ROUND(O944,2)=0,"Not invoiced - to invoice",IF(ROUND(P944,2)=0,"Agrees",IF(P944&gt;0,"Dept higher - to invoice","Xero higher - check dept"))))))</f>
        <v/>
      </c>
      <c r="R944" s="10">
        <f>IF(AND($C944="",NOT(COUNTA($S944:$BB944)&gt;0),$BI944&lt;&gt;""),"",MID(IF($BI944="","; Row ID not found on the department sheet - a row was deleted","")&amp;IF(AND($C944="",COUNTA($S944:$BB944)&gt;0),"; Invoice entered but the department row has no job number","")&amp;IF(E944="CHECK","; Job number not in the Xero job list","")&amp;IF(AND($C944&lt;&gt;"",COUNTIF($C$7:$C$1506,$C944)&gt;1),"; Job number on more than one row","")&amp;IF(AND($C944&lt;&gt;"",H944=""),"; Dept has not set a cost centre","")&amp;IF(AND($C944&lt;&gt;"",J944=""),"; Dept has not set a tax code","")&amp;IF(AND($C944&lt;&gt;"",N944=""),"; Dept has not entered an expected value","")&amp;IF((IF(OR(COUNTA(S944:U944)=0,AND(COUNTA(S944:U944)=3,ISNUMBER(U944))),0,1)+IF(OR(COUNTA(V944:X944)=0,AND(COUNTA(V944:X944)=3,ISNUMBER(X944))),0,1)+IF(OR(COUNTA(Y944:AA944)=0,AND(COUNTA(Y944:AA944)=3,ISNUMBER(AA944))),0,1)+IF(OR(COUNTA(AB944:AD944)=0,AND(COUNTA(AB944:AD944)=3,ISNUMBER(AD944))),0,1)+IF(OR(COUNTA(AE944:AG944)=0,AND(COUNTA(AE944:AG944)=3,ISNUMBER(AG944))),0,1)+IF(OR(COUNTA(AH944:AJ944)=0,AND(COUNTA(AH944:AJ944)=3,ISNUMBER(AJ944))),0,1)+IF(OR(COUNTA(AK944:AM944)=0,AND(COUNTA(AK944:AM944)=3,ISNUMBER(AM944))),0,1)+IF(OR(COUNTA(AN944:AP944)=0,AND(COUNTA(AN944:AP944)=3,ISNUMBER(AP944))),0,1)+IF(OR(COUNTA(AQ944:AS944)=0,AND(COUNTA(AQ944:AS944)=3,ISNUMBER(AS944))),0,1)+IF(OR(COUNTA(AT944:AV944)=0,AND(COUNTA(AT944:AV944)=3,ISNUMBER(AV944))),0,1)+IF(OR(COUNTA(AW944:AY944)=0,AND(COUNTA(AW944:AY944)=3,ISNUMBER(AY944))),0,1)+IF(OR(COUNTA(AZ944:BB944)=0,AND(COUNTA(AZ944:BB944)=3,ISNUMBER(BB944))),0,1))&gt;0,"; An invoice is incomplete (needs No, Date and a number in Ex GST)","")&amp;IF((IF(T944="",0,IFERROR(--(EOMONTH(T944,0)&lt;&gt;S$5),1))+IF(W944="",0,IFERROR(--(EOMONTH(W944,0)&lt;&gt;V$5),1))+IF(Z944="",0,IFERROR(--(EOMONTH(Z944,0)&lt;&gt;Y$5),1))+IF(AC944="",0,IFERROR(--(EOMONTH(AC944,0)&lt;&gt;AB$5),1))+IF(AF944="",0,IFERROR(--(EOMONTH(AF944,0)&lt;&gt;AE$5),1))+IF(AI944="",0,IFERROR(--(EOMONTH(AI944,0)&lt;&gt;AH$5),1))+IF(AL944="",0,IFERROR(--(EOMONTH(AL944,0)&lt;&gt;AK$5),1))+IF(AO944="",0,IFERROR(--(EOMONTH(AO944,0)&lt;&gt;AN$5),1))+IF(AR944="",0,IFERROR(--(EOMONTH(AR944,0)&lt;&gt;AQ$5),1))+IF(AU944="",0,IFERROR(--(EOMONTH(AU944,0)&lt;&gt;AT$5),1))+IF(AX944="",0,IFERROR(--(EOMONTH(AX944,0)&lt;&gt;AW$5),1))+IF(BA944="",0,IFERROR(--(EOMONTH(BA944,0)&lt;&gt;AZ$5),1)))&gt;0,"; An invoice date is not in the month it is typed under",""),3,500))</f>
        <v/>
      </c>
      <c r="S944" s="12" t="n"/>
      <c r="T944" s="13" t="n"/>
      <c r="U944" s="14" t="n"/>
      <c r="V944" s="12" t="n"/>
      <c r="W944" s="13" t="n"/>
      <c r="X944" s="14" t="n"/>
      <c r="Y944" s="12" t="n"/>
      <c r="Z944" s="13" t="n"/>
      <c r="AA944" s="14" t="n"/>
      <c r="AB944" s="12" t="n"/>
      <c r="AC944" s="13" t="n"/>
      <c r="AD944" s="14" t="n"/>
      <c r="AE944" s="12" t="n"/>
      <c r="AF944" s="13" t="n"/>
      <c r="AG944" s="14" t="n"/>
      <c r="AH944" s="12" t="n"/>
      <c r="AI944" s="13" t="n"/>
      <c r="AJ944" s="14" t="n"/>
      <c r="AK944" s="12" t="n"/>
      <c r="AL944" s="13" t="n"/>
      <c r="AM944" s="14" t="n"/>
      <c r="AN944" s="12" t="n"/>
      <c r="AO944" s="13" t="n"/>
      <c r="AP944" s="14" t="n"/>
      <c r="AQ944" s="12" t="n"/>
      <c r="AR944" s="13" t="n"/>
      <c r="AS944" s="14" t="n"/>
      <c r="AT944" s="12" t="n"/>
      <c r="AU944" s="13" t="n"/>
      <c r="AV944" s="14" t="n"/>
      <c r="AW944" s="12" t="n"/>
      <c r="AX944" s="13" t="n"/>
      <c r="AY944" s="14" t="n"/>
      <c r="AZ944" s="12" t="n"/>
      <c r="BA944" s="13" t="n"/>
      <c r="BB944" s="14" t="n"/>
      <c r="BC944" s="11">
        <f>IF(O944="","",IF(J944="GST 10%",ROUND(O944*set_GSTRate,2),0))</f>
        <v/>
      </c>
      <c r="BD944" s="11">
        <f>IF(O944="","",O944+BC944)</f>
        <v/>
      </c>
      <c r="BE944" s="15">
        <f>IF(O944="","",COUNTA(S944,V944,Y944,AB944,AE944,AH944,AK944,AN944,AQ944,AT944,AW944,AZ944))</f>
        <v/>
      </c>
      <c r="BF944" s="16">
        <f>IF(COUNT(T944,W944,Z944,AC944,AF944,AI944,AL944,AO944,AR944,AU944,AX944,BA944)=0,"",MAX(T944,W944,Z944,AC944,AF944,AI944,AL944,AO944,AR944,AU944,AX944,BA944))</f>
        <v/>
      </c>
      <c r="BG944" s="10">
        <f>MID(IF(S944="","",", "&amp;S944)&amp;IF(V944="","",", "&amp;V944)&amp;IF(Y944="","",", "&amp;Y944)&amp;IF(AB944="","",", "&amp;AB944)&amp;IF(AE944="","",", "&amp;AE944)&amp;IF(AH944="","",", "&amp;AH944)&amp;IF(AK944="","",", "&amp;AK944)&amp;IF(AN944="","",", "&amp;AN944)&amp;IF(AQ944="","",", "&amp;AQ944)&amp;IF(AT944="","",", "&amp;AT944)&amp;IF(AW944="","",", "&amp;AW944)&amp;IF(AZ944="","",", "&amp;AZ944),3,500)</f>
        <v/>
      </c>
      <c r="BH944" s="12" t="n"/>
      <c r="BI944" s="15">
        <f>IFERROR(MATCH($A944,IF($B944="Onsite",tbl_Onsite[Row ID],IF($B944="Production",tbl_Production[Row ID],tbl_Consulting[Row ID])),0),"")</f>
        <v/>
      </c>
    </row>
    <row r="945">
      <c r="A945" s="10" t="inlineStr">
        <is>
          <t>PRD-0439</t>
        </is>
      </c>
      <c r="B945" s="10" t="inlineStr">
        <is>
          <t>Production</t>
        </is>
      </c>
      <c r="C945" s="10">
        <f>IF($BI945="","",IF($B945="Onsite",INDEX(tbl_Onsite[Job Number],$BI945),IF($B945="Production",INDEX(tbl_Production[Job Number],$BI945),INDEX(tbl_Consulting[Job Number],$BI945)))&amp;"")</f>
        <v/>
      </c>
      <c r="D945" s="10">
        <f>IF($BI945="","",IF($B945="Onsite",INDEX(tbl_Onsite[Client],$BI945),IF($B945="Production",INDEX(tbl_Production[Client],$BI945),INDEX(tbl_Consulting[Client],$BI945)))&amp;"")</f>
        <v/>
      </c>
      <c r="E945" s="10">
        <f>IF($C945="","",IF(COUNTIF(lst_Jobs,$C945)&gt;0,"OK","CHECK"))</f>
        <v/>
      </c>
      <c r="F945" s="10">
        <f>IF($C945="","",IFERROR(INDEX(lst_JobName,MATCH($C945,lst_Jobs,0)),""))</f>
        <v/>
      </c>
      <c r="G945" s="10">
        <f>IF($BI945="","",IF($B945="Onsite",INDEX(tbl_Onsite[Job Description],$BI945),IF($B945="Production",INDEX(tbl_Production[Job Description],$BI945),INDEX(tbl_Consulting[Job Description],$BI945)))&amp;"")</f>
        <v/>
      </c>
      <c r="H945" s="10">
        <f>IF($BI945="","",IF($B945="Onsite",INDEX(tbl_Onsite[Cost Centre],$BI945),IF($B945="Production",INDEX(tbl_Production[Cost Centre],$BI945),INDEX(tbl_Consulting[Cost Centre],$BI945)))&amp;"")</f>
        <v/>
      </c>
      <c r="I945" s="10">
        <f>IF($BI945="","",IF($B945="Onsite",INDEX(tbl_Onsite[Invoice Type],$BI945),IF($B945="Production",INDEX(tbl_Production[Invoice Type],$BI945),INDEX(tbl_Consulting[Invoice Type],$BI945)))&amp;"")</f>
        <v/>
      </c>
      <c r="J945" s="10">
        <f>IF($BI945="","",IF($B945="Onsite",INDEX(tbl_Onsite[Tax Code],$BI945),IF($B945="Production",INDEX(tbl_Production[Tax Code],$BI945),INDEX(tbl_Consulting[Tax Code],$BI945)))&amp;"")</f>
        <v/>
      </c>
      <c r="K945" s="10">
        <f>IF(H945="","",IFERROR(INDEX(lst_CCtoGL,MATCH(H945,lst_CCforGL,0)),""))</f>
        <v/>
      </c>
      <c r="L945" s="10">
        <f>IF($BI945="","",IF($B945="Onsite",INDEX(tbl_Onsite[PO / Reference],$BI945),IF($B945="Production",INDEX(tbl_Production[Current RMS No],$BI945),INDEX(tbl_Consulting[Qwilr Quote],$BI945)))&amp;"")</f>
        <v/>
      </c>
      <c r="M945" s="10">
        <f>IF($BI945="","",IF($B945="Onsite",INDEX(tbl_Onsite[Notes],$BI945),IF($B945="Production",INDEX(tbl_Production[Notes],$BI945),INDEX(tbl_Consulting[Notes],$BI945)))&amp;"")</f>
        <v/>
      </c>
      <c r="N945" s="11">
        <f>IF($BI945="","",IF(IF($B945="Onsite",INDEX(tbl_Onsite[Expected Revenue Ex GST],$BI945),IF($B945="Production",INDEX(tbl_Production[Expected Revenue Ex GST],$BI945),INDEX(tbl_Consulting[Expected Revenue Ex GST],$BI945)))="","",IF($B945="Onsite",INDEX(tbl_Onsite[Expected Revenue Ex GST],$BI945),IF($B945="Production",INDEX(tbl_Production[Expected Revenue Ex GST],$BI945),INDEX(tbl_Consulting[Expected Revenue Ex GST],$BI945)))))</f>
        <v/>
      </c>
      <c r="O945" s="11">
        <f>IF(AND($C945="",NOT(COUNTA($S945:$BB945)&gt;0)),"",SUM(U945,X945,AA945,AD945,AG945,AJ945,AM945,AP945,AS945,AV945,AY945,BB945))</f>
        <v/>
      </c>
      <c r="P945" s="11">
        <f>IF(O945="","",N(N945)-O945)</f>
        <v/>
      </c>
      <c r="Q945" s="10">
        <f>IF(O945="","",IF($C945="","Invoice on empty job row",IF(N945="",IF(ROUND(O945,2)=0,"No dept value","Invoiced - no dept value"),IF(ROUND(O945,2)=0,"Not invoiced - to invoice",IF(ROUND(P945,2)=0,"Agrees",IF(P945&gt;0,"Dept higher - to invoice","Xero higher - check dept"))))))</f>
        <v/>
      </c>
      <c r="R945" s="10">
        <f>IF(AND($C945="",NOT(COUNTA($S945:$BB945)&gt;0),$BI945&lt;&gt;""),"",MID(IF($BI945="","; Row ID not found on the department sheet - a row was deleted","")&amp;IF(AND($C945="",COUNTA($S945:$BB945)&gt;0),"; Invoice entered but the department row has no job number","")&amp;IF(E945="CHECK","; Job number not in the Xero job list","")&amp;IF(AND($C945&lt;&gt;"",COUNTIF($C$7:$C$1506,$C945)&gt;1),"; Job number on more than one row","")&amp;IF(AND($C945&lt;&gt;"",H945=""),"; Dept has not set a cost centre","")&amp;IF(AND($C945&lt;&gt;"",J945=""),"; Dept has not set a tax code","")&amp;IF(AND($C945&lt;&gt;"",N945=""),"; Dept has not entered an expected value","")&amp;IF((IF(OR(COUNTA(S945:U945)=0,AND(COUNTA(S945:U945)=3,ISNUMBER(U945))),0,1)+IF(OR(COUNTA(V945:X945)=0,AND(COUNTA(V945:X945)=3,ISNUMBER(X945))),0,1)+IF(OR(COUNTA(Y945:AA945)=0,AND(COUNTA(Y945:AA945)=3,ISNUMBER(AA945))),0,1)+IF(OR(COUNTA(AB945:AD945)=0,AND(COUNTA(AB945:AD945)=3,ISNUMBER(AD945))),0,1)+IF(OR(COUNTA(AE945:AG945)=0,AND(COUNTA(AE945:AG945)=3,ISNUMBER(AG945))),0,1)+IF(OR(COUNTA(AH945:AJ945)=0,AND(COUNTA(AH945:AJ945)=3,ISNUMBER(AJ945))),0,1)+IF(OR(COUNTA(AK945:AM945)=0,AND(COUNTA(AK945:AM945)=3,ISNUMBER(AM945))),0,1)+IF(OR(COUNTA(AN945:AP945)=0,AND(COUNTA(AN945:AP945)=3,ISNUMBER(AP945))),0,1)+IF(OR(COUNTA(AQ945:AS945)=0,AND(COUNTA(AQ945:AS945)=3,ISNUMBER(AS945))),0,1)+IF(OR(COUNTA(AT945:AV945)=0,AND(COUNTA(AT945:AV945)=3,ISNUMBER(AV945))),0,1)+IF(OR(COUNTA(AW945:AY945)=0,AND(COUNTA(AW945:AY945)=3,ISNUMBER(AY945))),0,1)+IF(OR(COUNTA(AZ945:BB945)=0,AND(COUNTA(AZ945:BB945)=3,ISNUMBER(BB945))),0,1))&gt;0,"; An invoice is incomplete (needs No, Date and a number in Ex GST)","")&amp;IF((IF(T945="",0,IFERROR(--(EOMONTH(T945,0)&lt;&gt;S$5),1))+IF(W945="",0,IFERROR(--(EOMONTH(W945,0)&lt;&gt;V$5),1))+IF(Z945="",0,IFERROR(--(EOMONTH(Z945,0)&lt;&gt;Y$5),1))+IF(AC945="",0,IFERROR(--(EOMONTH(AC945,0)&lt;&gt;AB$5),1))+IF(AF945="",0,IFERROR(--(EOMONTH(AF945,0)&lt;&gt;AE$5),1))+IF(AI945="",0,IFERROR(--(EOMONTH(AI945,0)&lt;&gt;AH$5),1))+IF(AL945="",0,IFERROR(--(EOMONTH(AL945,0)&lt;&gt;AK$5),1))+IF(AO945="",0,IFERROR(--(EOMONTH(AO945,0)&lt;&gt;AN$5),1))+IF(AR945="",0,IFERROR(--(EOMONTH(AR945,0)&lt;&gt;AQ$5),1))+IF(AU945="",0,IFERROR(--(EOMONTH(AU945,0)&lt;&gt;AT$5),1))+IF(AX945="",0,IFERROR(--(EOMONTH(AX945,0)&lt;&gt;AW$5),1))+IF(BA945="",0,IFERROR(--(EOMONTH(BA945,0)&lt;&gt;AZ$5),1)))&gt;0,"; An invoice date is not in the month it is typed under",""),3,500))</f>
        <v/>
      </c>
      <c r="S945" s="12" t="n"/>
      <c r="T945" s="13" t="n"/>
      <c r="U945" s="14" t="n"/>
      <c r="V945" s="12" t="n"/>
      <c r="W945" s="13" t="n"/>
      <c r="X945" s="14" t="n"/>
      <c r="Y945" s="12" t="n"/>
      <c r="Z945" s="13" t="n"/>
      <c r="AA945" s="14" t="n"/>
      <c r="AB945" s="12" t="n"/>
      <c r="AC945" s="13" t="n"/>
      <c r="AD945" s="14" t="n"/>
      <c r="AE945" s="12" t="n"/>
      <c r="AF945" s="13" t="n"/>
      <c r="AG945" s="14" t="n"/>
      <c r="AH945" s="12" t="n"/>
      <c r="AI945" s="13" t="n"/>
      <c r="AJ945" s="14" t="n"/>
      <c r="AK945" s="12" t="n"/>
      <c r="AL945" s="13" t="n"/>
      <c r="AM945" s="14" t="n"/>
      <c r="AN945" s="12" t="n"/>
      <c r="AO945" s="13" t="n"/>
      <c r="AP945" s="14" t="n"/>
      <c r="AQ945" s="12" t="n"/>
      <c r="AR945" s="13" t="n"/>
      <c r="AS945" s="14" t="n"/>
      <c r="AT945" s="12" t="n"/>
      <c r="AU945" s="13" t="n"/>
      <c r="AV945" s="14" t="n"/>
      <c r="AW945" s="12" t="n"/>
      <c r="AX945" s="13" t="n"/>
      <c r="AY945" s="14" t="n"/>
      <c r="AZ945" s="12" t="n"/>
      <c r="BA945" s="13" t="n"/>
      <c r="BB945" s="14" t="n"/>
      <c r="BC945" s="11">
        <f>IF(O945="","",IF(J945="GST 10%",ROUND(O945*set_GSTRate,2),0))</f>
        <v/>
      </c>
      <c r="BD945" s="11">
        <f>IF(O945="","",O945+BC945)</f>
        <v/>
      </c>
      <c r="BE945" s="15">
        <f>IF(O945="","",COUNTA(S945,V945,Y945,AB945,AE945,AH945,AK945,AN945,AQ945,AT945,AW945,AZ945))</f>
        <v/>
      </c>
      <c r="BF945" s="16">
        <f>IF(COUNT(T945,W945,Z945,AC945,AF945,AI945,AL945,AO945,AR945,AU945,AX945,BA945)=0,"",MAX(T945,W945,Z945,AC945,AF945,AI945,AL945,AO945,AR945,AU945,AX945,BA945))</f>
        <v/>
      </c>
      <c r="BG945" s="10">
        <f>MID(IF(S945="","",", "&amp;S945)&amp;IF(V945="","",", "&amp;V945)&amp;IF(Y945="","",", "&amp;Y945)&amp;IF(AB945="","",", "&amp;AB945)&amp;IF(AE945="","",", "&amp;AE945)&amp;IF(AH945="","",", "&amp;AH945)&amp;IF(AK945="","",", "&amp;AK945)&amp;IF(AN945="","",", "&amp;AN945)&amp;IF(AQ945="","",", "&amp;AQ945)&amp;IF(AT945="","",", "&amp;AT945)&amp;IF(AW945="","",", "&amp;AW945)&amp;IF(AZ945="","",", "&amp;AZ945),3,500)</f>
        <v/>
      </c>
      <c r="BH945" s="12" t="n"/>
      <c r="BI945" s="15">
        <f>IFERROR(MATCH($A945,IF($B945="Onsite",tbl_Onsite[Row ID],IF($B945="Production",tbl_Production[Row ID],tbl_Consulting[Row ID])),0),"")</f>
        <v/>
      </c>
    </row>
    <row r="946">
      <c r="A946" s="10" t="inlineStr">
        <is>
          <t>PRD-0440</t>
        </is>
      </c>
      <c r="B946" s="10" t="inlineStr">
        <is>
          <t>Production</t>
        </is>
      </c>
      <c r="C946" s="10">
        <f>IF($BI946="","",IF($B946="Onsite",INDEX(tbl_Onsite[Job Number],$BI946),IF($B946="Production",INDEX(tbl_Production[Job Number],$BI946),INDEX(tbl_Consulting[Job Number],$BI946)))&amp;"")</f>
        <v/>
      </c>
      <c r="D946" s="10">
        <f>IF($BI946="","",IF($B946="Onsite",INDEX(tbl_Onsite[Client],$BI946),IF($B946="Production",INDEX(tbl_Production[Client],$BI946),INDEX(tbl_Consulting[Client],$BI946)))&amp;"")</f>
        <v/>
      </c>
      <c r="E946" s="10">
        <f>IF($C946="","",IF(COUNTIF(lst_Jobs,$C946)&gt;0,"OK","CHECK"))</f>
        <v/>
      </c>
      <c r="F946" s="10">
        <f>IF($C946="","",IFERROR(INDEX(lst_JobName,MATCH($C946,lst_Jobs,0)),""))</f>
        <v/>
      </c>
      <c r="G946" s="10">
        <f>IF($BI946="","",IF($B946="Onsite",INDEX(tbl_Onsite[Job Description],$BI946),IF($B946="Production",INDEX(tbl_Production[Job Description],$BI946),INDEX(tbl_Consulting[Job Description],$BI946)))&amp;"")</f>
        <v/>
      </c>
      <c r="H946" s="10">
        <f>IF($BI946="","",IF($B946="Onsite",INDEX(tbl_Onsite[Cost Centre],$BI946),IF($B946="Production",INDEX(tbl_Production[Cost Centre],$BI946),INDEX(tbl_Consulting[Cost Centre],$BI946)))&amp;"")</f>
        <v/>
      </c>
      <c r="I946" s="10">
        <f>IF($BI946="","",IF($B946="Onsite",INDEX(tbl_Onsite[Invoice Type],$BI946),IF($B946="Production",INDEX(tbl_Production[Invoice Type],$BI946),INDEX(tbl_Consulting[Invoice Type],$BI946)))&amp;"")</f>
        <v/>
      </c>
      <c r="J946" s="10">
        <f>IF($BI946="","",IF($B946="Onsite",INDEX(tbl_Onsite[Tax Code],$BI946),IF($B946="Production",INDEX(tbl_Production[Tax Code],$BI946),INDEX(tbl_Consulting[Tax Code],$BI946)))&amp;"")</f>
        <v/>
      </c>
      <c r="K946" s="10">
        <f>IF(H946="","",IFERROR(INDEX(lst_CCtoGL,MATCH(H946,lst_CCforGL,0)),""))</f>
        <v/>
      </c>
      <c r="L946" s="10">
        <f>IF($BI946="","",IF($B946="Onsite",INDEX(tbl_Onsite[PO / Reference],$BI946),IF($B946="Production",INDEX(tbl_Production[Current RMS No],$BI946),INDEX(tbl_Consulting[Qwilr Quote],$BI946)))&amp;"")</f>
        <v/>
      </c>
      <c r="M946" s="10">
        <f>IF($BI946="","",IF($B946="Onsite",INDEX(tbl_Onsite[Notes],$BI946),IF($B946="Production",INDEX(tbl_Production[Notes],$BI946),INDEX(tbl_Consulting[Notes],$BI946)))&amp;"")</f>
        <v/>
      </c>
      <c r="N946" s="11">
        <f>IF($BI946="","",IF(IF($B946="Onsite",INDEX(tbl_Onsite[Expected Revenue Ex GST],$BI946),IF($B946="Production",INDEX(tbl_Production[Expected Revenue Ex GST],$BI946),INDEX(tbl_Consulting[Expected Revenue Ex GST],$BI946)))="","",IF($B946="Onsite",INDEX(tbl_Onsite[Expected Revenue Ex GST],$BI946),IF($B946="Production",INDEX(tbl_Production[Expected Revenue Ex GST],$BI946),INDEX(tbl_Consulting[Expected Revenue Ex GST],$BI946)))))</f>
        <v/>
      </c>
      <c r="O946" s="11">
        <f>IF(AND($C946="",NOT(COUNTA($S946:$BB946)&gt;0)),"",SUM(U946,X946,AA946,AD946,AG946,AJ946,AM946,AP946,AS946,AV946,AY946,BB946))</f>
        <v/>
      </c>
      <c r="P946" s="11">
        <f>IF(O946="","",N(N946)-O946)</f>
        <v/>
      </c>
      <c r="Q946" s="10">
        <f>IF(O946="","",IF($C946="","Invoice on empty job row",IF(N946="",IF(ROUND(O946,2)=0,"No dept value","Invoiced - no dept value"),IF(ROUND(O946,2)=0,"Not invoiced - to invoice",IF(ROUND(P946,2)=0,"Agrees",IF(P946&gt;0,"Dept higher - to invoice","Xero higher - check dept"))))))</f>
        <v/>
      </c>
      <c r="R946" s="10">
        <f>IF(AND($C946="",NOT(COUNTA($S946:$BB946)&gt;0),$BI946&lt;&gt;""),"",MID(IF($BI946="","; Row ID not found on the department sheet - a row was deleted","")&amp;IF(AND($C946="",COUNTA($S946:$BB946)&gt;0),"; Invoice entered but the department row has no job number","")&amp;IF(E946="CHECK","; Job number not in the Xero job list","")&amp;IF(AND($C946&lt;&gt;"",COUNTIF($C$7:$C$1506,$C946)&gt;1),"; Job number on more than one row","")&amp;IF(AND($C946&lt;&gt;"",H946=""),"; Dept has not set a cost centre","")&amp;IF(AND($C946&lt;&gt;"",J946=""),"; Dept has not set a tax code","")&amp;IF(AND($C946&lt;&gt;"",N946=""),"; Dept has not entered an expected value","")&amp;IF((IF(OR(COUNTA(S946:U946)=0,AND(COUNTA(S946:U946)=3,ISNUMBER(U946))),0,1)+IF(OR(COUNTA(V946:X946)=0,AND(COUNTA(V946:X946)=3,ISNUMBER(X946))),0,1)+IF(OR(COUNTA(Y946:AA946)=0,AND(COUNTA(Y946:AA946)=3,ISNUMBER(AA946))),0,1)+IF(OR(COUNTA(AB946:AD946)=0,AND(COUNTA(AB946:AD946)=3,ISNUMBER(AD946))),0,1)+IF(OR(COUNTA(AE946:AG946)=0,AND(COUNTA(AE946:AG946)=3,ISNUMBER(AG946))),0,1)+IF(OR(COUNTA(AH946:AJ946)=0,AND(COUNTA(AH946:AJ946)=3,ISNUMBER(AJ946))),0,1)+IF(OR(COUNTA(AK946:AM946)=0,AND(COUNTA(AK946:AM946)=3,ISNUMBER(AM946))),0,1)+IF(OR(COUNTA(AN946:AP946)=0,AND(COUNTA(AN946:AP946)=3,ISNUMBER(AP946))),0,1)+IF(OR(COUNTA(AQ946:AS946)=0,AND(COUNTA(AQ946:AS946)=3,ISNUMBER(AS946))),0,1)+IF(OR(COUNTA(AT946:AV946)=0,AND(COUNTA(AT946:AV946)=3,ISNUMBER(AV946))),0,1)+IF(OR(COUNTA(AW946:AY946)=0,AND(COUNTA(AW946:AY946)=3,ISNUMBER(AY946))),0,1)+IF(OR(COUNTA(AZ946:BB946)=0,AND(COUNTA(AZ946:BB946)=3,ISNUMBER(BB946))),0,1))&gt;0,"; An invoice is incomplete (needs No, Date and a number in Ex GST)","")&amp;IF((IF(T946="",0,IFERROR(--(EOMONTH(T946,0)&lt;&gt;S$5),1))+IF(W946="",0,IFERROR(--(EOMONTH(W946,0)&lt;&gt;V$5),1))+IF(Z946="",0,IFERROR(--(EOMONTH(Z946,0)&lt;&gt;Y$5),1))+IF(AC946="",0,IFERROR(--(EOMONTH(AC946,0)&lt;&gt;AB$5),1))+IF(AF946="",0,IFERROR(--(EOMONTH(AF946,0)&lt;&gt;AE$5),1))+IF(AI946="",0,IFERROR(--(EOMONTH(AI946,0)&lt;&gt;AH$5),1))+IF(AL946="",0,IFERROR(--(EOMONTH(AL946,0)&lt;&gt;AK$5),1))+IF(AO946="",0,IFERROR(--(EOMONTH(AO946,0)&lt;&gt;AN$5),1))+IF(AR946="",0,IFERROR(--(EOMONTH(AR946,0)&lt;&gt;AQ$5),1))+IF(AU946="",0,IFERROR(--(EOMONTH(AU946,0)&lt;&gt;AT$5),1))+IF(AX946="",0,IFERROR(--(EOMONTH(AX946,0)&lt;&gt;AW$5),1))+IF(BA946="",0,IFERROR(--(EOMONTH(BA946,0)&lt;&gt;AZ$5),1)))&gt;0,"; An invoice date is not in the month it is typed under",""),3,500))</f>
        <v/>
      </c>
      <c r="S946" s="12" t="n"/>
      <c r="T946" s="13" t="n"/>
      <c r="U946" s="14" t="n"/>
      <c r="V946" s="12" t="n"/>
      <c r="W946" s="13" t="n"/>
      <c r="X946" s="14" t="n"/>
      <c r="Y946" s="12" t="n"/>
      <c r="Z946" s="13" t="n"/>
      <c r="AA946" s="14" t="n"/>
      <c r="AB946" s="12" t="n"/>
      <c r="AC946" s="13" t="n"/>
      <c r="AD946" s="14" t="n"/>
      <c r="AE946" s="12" t="n"/>
      <c r="AF946" s="13" t="n"/>
      <c r="AG946" s="14" t="n"/>
      <c r="AH946" s="12" t="n"/>
      <c r="AI946" s="13" t="n"/>
      <c r="AJ946" s="14" t="n"/>
      <c r="AK946" s="12" t="n"/>
      <c r="AL946" s="13" t="n"/>
      <c r="AM946" s="14" t="n"/>
      <c r="AN946" s="12" t="n"/>
      <c r="AO946" s="13" t="n"/>
      <c r="AP946" s="14" t="n"/>
      <c r="AQ946" s="12" t="n"/>
      <c r="AR946" s="13" t="n"/>
      <c r="AS946" s="14" t="n"/>
      <c r="AT946" s="12" t="n"/>
      <c r="AU946" s="13" t="n"/>
      <c r="AV946" s="14" t="n"/>
      <c r="AW946" s="12" t="n"/>
      <c r="AX946" s="13" t="n"/>
      <c r="AY946" s="14" t="n"/>
      <c r="AZ946" s="12" t="n"/>
      <c r="BA946" s="13" t="n"/>
      <c r="BB946" s="14" t="n"/>
      <c r="BC946" s="11">
        <f>IF(O946="","",IF(J946="GST 10%",ROUND(O946*set_GSTRate,2),0))</f>
        <v/>
      </c>
      <c r="BD946" s="11">
        <f>IF(O946="","",O946+BC946)</f>
        <v/>
      </c>
      <c r="BE946" s="15">
        <f>IF(O946="","",COUNTA(S946,V946,Y946,AB946,AE946,AH946,AK946,AN946,AQ946,AT946,AW946,AZ946))</f>
        <v/>
      </c>
      <c r="BF946" s="16">
        <f>IF(COUNT(T946,W946,Z946,AC946,AF946,AI946,AL946,AO946,AR946,AU946,AX946,BA946)=0,"",MAX(T946,W946,Z946,AC946,AF946,AI946,AL946,AO946,AR946,AU946,AX946,BA946))</f>
        <v/>
      </c>
      <c r="BG946" s="10">
        <f>MID(IF(S946="","",", "&amp;S946)&amp;IF(V946="","",", "&amp;V946)&amp;IF(Y946="","",", "&amp;Y946)&amp;IF(AB946="","",", "&amp;AB946)&amp;IF(AE946="","",", "&amp;AE946)&amp;IF(AH946="","",", "&amp;AH946)&amp;IF(AK946="","",", "&amp;AK946)&amp;IF(AN946="","",", "&amp;AN946)&amp;IF(AQ946="","",", "&amp;AQ946)&amp;IF(AT946="","",", "&amp;AT946)&amp;IF(AW946="","",", "&amp;AW946)&amp;IF(AZ946="","",", "&amp;AZ946),3,500)</f>
        <v/>
      </c>
      <c r="BH946" s="12" t="n"/>
      <c r="BI946" s="15">
        <f>IFERROR(MATCH($A946,IF($B946="Onsite",tbl_Onsite[Row ID],IF($B946="Production",tbl_Production[Row ID],tbl_Consulting[Row ID])),0),"")</f>
        <v/>
      </c>
    </row>
    <row r="947">
      <c r="A947" s="10" t="inlineStr">
        <is>
          <t>PRD-0441</t>
        </is>
      </c>
      <c r="B947" s="10" t="inlineStr">
        <is>
          <t>Production</t>
        </is>
      </c>
      <c r="C947" s="10">
        <f>IF($BI947="","",IF($B947="Onsite",INDEX(tbl_Onsite[Job Number],$BI947),IF($B947="Production",INDEX(tbl_Production[Job Number],$BI947),INDEX(tbl_Consulting[Job Number],$BI947)))&amp;"")</f>
        <v/>
      </c>
      <c r="D947" s="10">
        <f>IF($BI947="","",IF($B947="Onsite",INDEX(tbl_Onsite[Client],$BI947),IF($B947="Production",INDEX(tbl_Production[Client],$BI947),INDEX(tbl_Consulting[Client],$BI947)))&amp;"")</f>
        <v/>
      </c>
      <c r="E947" s="10">
        <f>IF($C947="","",IF(COUNTIF(lst_Jobs,$C947)&gt;0,"OK","CHECK"))</f>
        <v/>
      </c>
      <c r="F947" s="10">
        <f>IF($C947="","",IFERROR(INDEX(lst_JobName,MATCH($C947,lst_Jobs,0)),""))</f>
        <v/>
      </c>
      <c r="G947" s="10">
        <f>IF($BI947="","",IF($B947="Onsite",INDEX(tbl_Onsite[Job Description],$BI947),IF($B947="Production",INDEX(tbl_Production[Job Description],$BI947),INDEX(tbl_Consulting[Job Description],$BI947)))&amp;"")</f>
        <v/>
      </c>
      <c r="H947" s="10">
        <f>IF($BI947="","",IF($B947="Onsite",INDEX(tbl_Onsite[Cost Centre],$BI947),IF($B947="Production",INDEX(tbl_Production[Cost Centre],$BI947),INDEX(tbl_Consulting[Cost Centre],$BI947)))&amp;"")</f>
        <v/>
      </c>
      <c r="I947" s="10">
        <f>IF($BI947="","",IF($B947="Onsite",INDEX(tbl_Onsite[Invoice Type],$BI947),IF($B947="Production",INDEX(tbl_Production[Invoice Type],$BI947),INDEX(tbl_Consulting[Invoice Type],$BI947)))&amp;"")</f>
        <v/>
      </c>
      <c r="J947" s="10">
        <f>IF($BI947="","",IF($B947="Onsite",INDEX(tbl_Onsite[Tax Code],$BI947),IF($B947="Production",INDEX(tbl_Production[Tax Code],$BI947),INDEX(tbl_Consulting[Tax Code],$BI947)))&amp;"")</f>
        <v/>
      </c>
      <c r="K947" s="10">
        <f>IF(H947="","",IFERROR(INDEX(lst_CCtoGL,MATCH(H947,lst_CCforGL,0)),""))</f>
        <v/>
      </c>
      <c r="L947" s="10">
        <f>IF($BI947="","",IF($B947="Onsite",INDEX(tbl_Onsite[PO / Reference],$BI947),IF($B947="Production",INDEX(tbl_Production[Current RMS No],$BI947),INDEX(tbl_Consulting[Qwilr Quote],$BI947)))&amp;"")</f>
        <v/>
      </c>
      <c r="M947" s="10">
        <f>IF($BI947="","",IF($B947="Onsite",INDEX(tbl_Onsite[Notes],$BI947),IF($B947="Production",INDEX(tbl_Production[Notes],$BI947),INDEX(tbl_Consulting[Notes],$BI947)))&amp;"")</f>
        <v/>
      </c>
      <c r="N947" s="11">
        <f>IF($BI947="","",IF(IF($B947="Onsite",INDEX(tbl_Onsite[Expected Revenue Ex GST],$BI947),IF($B947="Production",INDEX(tbl_Production[Expected Revenue Ex GST],$BI947),INDEX(tbl_Consulting[Expected Revenue Ex GST],$BI947)))="","",IF($B947="Onsite",INDEX(tbl_Onsite[Expected Revenue Ex GST],$BI947),IF($B947="Production",INDEX(tbl_Production[Expected Revenue Ex GST],$BI947),INDEX(tbl_Consulting[Expected Revenue Ex GST],$BI947)))))</f>
        <v/>
      </c>
      <c r="O947" s="11">
        <f>IF(AND($C947="",NOT(COUNTA($S947:$BB947)&gt;0)),"",SUM(U947,X947,AA947,AD947,AG947,AJ947,AM947,AP947,AS947,AV947,AY947,BB947))</f>
        <v/>
      </c>
      <c r="P947" s="11">
        <f>IF(O947="","",N(N947)-O947)</f>
        <v/>
      </c>
      <c r="Q947" s="10">
        <f>IF(O947="","",IF($C947="","Invoice on empty job row",IF(N947="",IF(ROUND(O947,2)=0,"No dept value","Invoiced - no dept value"),IF(ROUND(O947,2)=0,"Not invoiced - to invoice",IF(ROUND(P947,2)=0,"Agrees",IF(P947&gt;0,"Dept higher - to invoice","Xero higher - check dept"))))))</f>
        <v/>
      </c>
      <c r="R947" s="10">
        <f>IF(AND($C947="",NOT(COUNTA($S947:$BB947)&gt;0),$BI947&lt;&gt;""),"",MID(IF($BI947="","; Row ID not found on the department sheet - a row was deleted","")&amp;IF(AND($C947="",COUNTA($S947:$BB947)&gt;0),"; Invoice entered but the department row has no job number","")&amp;IF(E947="CHECK","; Job number not in the Xero job list","")&amp;IF(AND($C947&lt;&gt;"",COUNTIF($C$7:$C$1506,$C947)&gt;1),"; Job number on more than one row","")&amp;IF(AND($C947&lt;&gt;"",H947=""),"; Dept has not set a cost centre","")&amp;IF(AND($C947&lt;&gt;"",J947=""),"; Dept has not set a tax code","")&amp;IF(AND($C947&lt;&gt;"",N947=""),"; Dept has not entered an expected value","")&amp;IF((IF(OR(COUNTA(S947:U947)=0,AND(COUNTA(S947:U947)=3,ISNUMBER(U947))),0,1)+IF(OR(COUNTA(V947:X947)=0,AND(COUNTA(V947:X947)=3,ISNUMBER(X947))),0,1)+IF(OR(COUNTA(Y947:AA947)=0,AND(COUNTA(Y947:AA947)=3,ISNUMBER(AA947))),0,1)+IF(OR(COUNTA(AB947:AD947)=0,AND(COUNTA(AB947:AD947)=3,ISNUMBER(AD947))),0,1)+IF(OR(COUNTA(AE947:AG947)=0,AND(COUNTA(AE947:AG947)=3,ISNUMBER(AG947))),0,1)+IF(OR(COUNTA(AH947:AJ947)=0,AND(COUNTA(AH947:AJ947)=3,ISNUMBER(AJ947))),0,1)+IF(OR(COUNTA(AK947:AM947)=0,AND(COUNTA(AK947:AM947)=3,ISNUMBER(AM947))),0,1)+IF(OR(COUNTA(AN947:AP947)=0,AND(COUNTA(AN947:AP947)=3,ISNUMBER(AP947))),0,1)+IF(OR(COUNTA(AQ947:AS947)=0,AND(COUNTA(AQ947:AS947)=3,ISNUMBER(AS947))),0,1)+IF(OR(COUNTA(AT947:AV947)=0,AND(COUNTA(AT947:AV947)=3,ISNUMBER(AV947))),0,1)+IF(OR(COUNTA(AW947:AY947)=0,AND(COUNTA(AW947:AY947)=3,ISNUMBER(AY947))),0,1)+IF(OR(COUNTA(AZ947:BB947)=0,AND(COUNTA(AZ947:BB947)=3,ISNUMBER(BB947))),0,1))&gt;0,"; An invoice is incomplete (needs No, Date and a number in Ex GST)","")&amp;IF((IF(T947="",0,IFERROR(--(EOMONTH(T947,0)&lt;&gt;S$5),1))+IF(W947="",0,IFERROR(--(EOMONTH(W947,0)&lt;&gt;V$5),1))+IF(Z947="",0,IFERROR(--(EOMONTH(Z947,0)&lt;&gt;Y$5),1))+IF(AC947="",0,IFERROR(--(EOMONTH(AC947,0)&lt;&gt;AB$5),1))+IF(AF947="",0,IFERROR(--(EOMONTH(AF947,0)&lt;&gt;AE$5),1))+IF(AI947="",0,IFERROR(--(EOMONTH(AI947,0)&lt;&gt;AH$5),1))+IF(AL947="",0,IFERROR(--(EOMONTH(AL947,0)&lt;&gt;AK$5),1))+IF(AO947="",0,IFERROR(--(EOMONTH(AO947,0)&lt;&gt;AN$5),1))+IF(AR947="",0,IFERROR(--(EOMONTH(AR947,0)&lt;&gt;AQ$5),1))+IF(AU947="",0,IFERROR(--(EOMONTH(AU947,0)&lt;&gt;AT$5),1))+IF(AX947="",0,IFERROR(--(EOMONTH(AX947,0)&lt;&gt;AW$5),1))+IF(BA947="",0,IFERROR(--(EOMONTH(BA947,0)&lt;&gt;AZ$5),1)))&gt;0,"; An invoice date is not in the month it is typed under",""),3,500))</f>
        <v/>
      </c>
      <c r="S947" s="12" t="n"/>
      <c r="T947" s="13" t="n"/>
      <c r="U947" s="14" t="n"/>
      <c r="V947" s="12" t="n"/>
      <c r="W947" s="13" t="n"/>
      <c r="X947" s="14" t="n"/>
      <c r="Y947" s="12" t="n"/>
      <c r="Z947" s="13" t="n"/>
      <c r="AA947" s="14" t="n"/>
      <c r="AB947" s="12" t="n"/>
      <c r="AC947" s="13" t="n"/>
      <c r="AD947" s="14" t="n"/>
      <c r="AE947" s="12" t="n"/>
      <c r="AF947" s="13" t="n"/>
      <c r="AG947" s="14" t="n"/>
      <c r="AH947" s="12" t="n"/>
      <c r="AI947" s="13" t="n"/>
      <c r="AJ947" s="14" t="n"/>
      <c r="AK947" s="12" t="n"/>
      <c r="AL947" s="13" t="n"/>
      <c r="AM947" s="14" t="n"/>
      <c r="AN947" s="12" t="n"/>
      <c r="AO947" s="13" t="n"/>
      <c r="AP947" s="14" t="n"/>
      <c r="AQ947" s="12" t="n"/>
      <c r="AR947" s="13" t="n"/>
      <c r="AS947" s="14" t="n"/>
      <c r="AT947" s="12" t="n"/>
      <c r="AU947" s="13" t="n"/>
      <c r="AV947" s="14" t="n"/>
      <c r="AW947" s="12" t="n"/>
      <c r="AX947" s="13" t="n"/>
      <c r="AY947" s="14" t="n"/>
      <c r="AZ947" s="12" t="n"/>
      <c r="BA947" s="13" t="n"/>
      <c r="BB947" s="14" t="n"/>
      <c r="BC947" s="11">
        <f>IF(O947="","",IF(J947="GST 10%",ROUND(O947*set_GSTRate,2),0))</f>
        <v/>
      </c>
      <c r="BD947" s="11">
        <f>IF(O947="","",O947+BC947)</f>
        <v/>
      </c>
      <c r="BE947" s="15">
        <f>IF(O947="","",COUNTA(S947,V947,Y947,AB947,AE947,AH947,AK947,AN947,AQ947,AT947,AW947,AZ947))</f>
        <v/>
      </c>
      <c r="BF947" s="16">
        <f>IF(COUNT(T947,W947,Z947,AC947,AF947,AI947,AL947,AO947,AR947,AU947,AX947,BA947)=0,"",MAX(T947,W947,Z947,AC947,AF947,AI947,AL947,AO947,AR947,AU947,AX947,BA947))</f>
        <v/>
      </c>
      <c r="BG947" s="10">
        <f>MID(IF(S947="","",", "&amp;S947)&amp;IF(V947="","",", "&amp;V947)&amp;IF(Y947="","",", "&amp;Y947)&amp;IF(AB947="","",", "&amp;AB947)&amp;IF(AE947="","",", "&amp;AE947)&amp;IF(AH947="","",", "&amp;AH947)&amp;IF(AK947="","",", "&amp;AK947)&amp;IF(AN947="","",", "&amp;AN947)&amp;IF(AQ947="","",", "&amp;AQ947)&amp;IF(AT947="","",", "&amp;AT947)&amp;IF(AW947="","",", "&amp;AW947)&amp;IF(AZ947="","",", "&amp;AZ947),3,500)</f>
        <v/>
      </c>
      <c r="BH947" s="12" t="n"/>
      <c r="BI947" s="15">
        <f>IFERROR(MATCH($A947,IF($B947="Onsite",tbl_Onsite[Row ID],IF($B947="Production",tbl_Production[Row ID],tbl_Consulting[Row ID])),0),"")</f>
        <v/>
      </c>
    </row>
    <row r="948">
      <c r="A948" s="10" t="inlineStr">
        <is>
          <t>PRD-0442</t>
        </is>
      </c>
      <c r="B948" s="10" t="inlineStr">
        <is>
          <t>Production</t>
        </is>
      </c>
      <c r="C948" s="10">
        <f>IF($BI948="","",IF($B948="Onsite",INDEX(tbl_Onsite[Job Number],$BI948),IF($B948="Production",INDEX(tbl_Production[Job Number],$BI948),INDEX(tbl_Consulting[Job Number],$BI948)))&amp;"")</f>
        <v/>
      </c>
      <c r="D948" s="10">
        <f>IF($BI948="","",IF($B948="Onsite",INDEX(tbl_Onsite[Client],$BI948),IF($B948="Production",INDEX(tbl_Production[Client],$BI948),INDEX(tbl_Consulting[Client],$BI948)))&amp;"")</f>
        <v/>
      </c>
      <c r="E948" s="10">
        <f>IF($C948="","",IF(COUNTIF(lst_Jobs,$C948)&gt;0,"OK","CHECK"))</f>
        <v/>
      </c>
      <c r="F948" s="10">
        <f>IF($C948="","",IFERROR(INDEX(lst_JobName,MATCH($C948,lst_Jobs,0)),""))</f>
        <v/>
      </c>
      <c r="G948" s="10">
        <f>IF($BI948="","",IF($B948="Onsite",INDEX(tbl_Onsite[Job Description],$BI948),IF($B948="Production",INDEX(tbl_Production[Job Description],$BI948),INDEX(tbl_Consulting[Job Description],$BI948)))&amp;"")</f>
        <v/>
      </c>
      <c r="H948" s="10">
        <f>IF($BI948="","",IF($B948="Onsite",INDEX(tbl_Onsite[Cost Centre],$BI948),IF($B948="Production",INDEX(tbl_Production[Cost Centre],$BI948),INDEX(tbl_Consulting[Cost Centre],$BI948)))&amp;"")</f>
        <v/>
      </c>
      <c r="I948" s="10">
        <f>IF($BI948="","",IF($B948="Onsite",INDEX(tbl_Onsite[Invoice Type],$BI948),IF($B948="Production",INDEX(tbl_Production[Invoice Type],$BI948),INDEX(tbl_Consulting[Invoice Type],$BI948)))&amp;"")</f>
        <v/>
      </c>
      <c r="J948" s="10">
        <f>IF($BI948="","",IF($B948="Onsite",INDEX(tbl_Onsite[Tax Code],$BI948),IF($B948="Production",INDEX(tbl_Production[Tax Code],$BI948),INDEX(tbl_Consulting[Tax Code],$BI948)))&amp;"")</f>
        <v/>
      </c>
      <c r="K948" s="10">
        <f>IF(H948="","",IFERROR(INDEX(lst_CCtoGL,MATCH(H948,lst_CCforGL,0)),""))</f>
        <v/>
      </c>
      <c r="L948" s="10">
        <f>IF($BI948="","",IF($B948="Onsite",INDEX(tbl_Onsite[PO / Reference],$BI948),IF($B948="Production",INDEX(tbl_Production[Current RMS No],$BI948),INDEX(tbl_Consulting[Qwilr Quote],$BI948)))&amp;"")</f>
        <v/>
      </c>
      <c r="M948" s="10">
        <f>IF($BI948="","",IF($B948="Onsite",INDEX(tbl_Onsite[Notes],$BI948),IF($B948="Production",INDEX(tbl_Production[Notes],$BI948),INDEX(tbl_Consulting[Notes],$BI948)))&amp;"")</f>
        <v/>
      </c>
      <c r="N948" s="11">
        <f>IF($BI948="","",IF(IF($B948="Onsite",INDEX(tbl_Onsite[Expected Revenue Ex GST],$BI948),IF($B948="Production",INDEX(tbl_Production[Expected Revenue Ex GST],$BI948),INDEX(tbl_Consulting[Expected Revenue Ex GST],$BI948)))="","",IF($B948="Onsite",INDEX(tbl_Onsite[Expected Revenue Ex GST],$BI948),IF($B948="Production",INDEX(tbl_Production[Expected Revenue Ex GST],$BI948),INDEX(tbl_Consulting[Expected Revenue Ex GST],$BI948)))))</f>
        <v/>
      </c>
      <c r="O948" s="11">
        <f>IF(AND($C948="",NOT(COUNTA($S948:$BB948)&gt;0)),"",SUM(U948,X948,AA948,AD948,AG948,AJ948,AM948,AP948,AS948,AV948,AY948,BB948))</f>
        <v/>
      </c>
      <c r="P948" s="11">
        <f>IF(O948="","",N(N948)-O948)</f>
        <v/>
      </c>
      <c r="Q948" s="10">
        <f>IF(O948="","",IF($C948="","Invoice on empty job row",IF(N948="",IF(ROUND(O948,2)=0,"No dept value","Invoiced - no dept value"),IF(ROUND(O948,2)=0,"Not invoiced - to invoice",IF(ROUND(P948,2)=0,"Agrees",IF(P948&gt;0,"Dept higher - to invoice","Xero higher - check dept"))))))</f>
        <v/>
      </c>
      <c r="R948" s="10">
        <f>IF(AND($C948="",NOT(COUNTA($S948:$BB948)&gt;0),$BI948&lt;&gt;""),"",MID(IF($BI948="","; Row ID not found on the department sheet - a row was deleted","")&amp;IF(AND($C948="",COUNTA($S948:$BB948)&gt;0),"; Invoice entered but the department row has no job number","")&amp;IF(E948="CHECK","; Job number not in the Xero job list","")&amp;IF(AND($C948&lt;&gt;"",COUNTIF($C$7:$C$1506,$C948)&gt;1),"; Job number on more than one row","")&amp;IF(AND($C948&lt;&gt;"",H948=""),"; Dept has not set a cost centre","")&amp;IF(AND($C948&lt;&gt;"",J948=""),"; Dept has not set a tax code","")&amp;IF(AND($C948&lt;&gt;"",N948=""),"; Dept has not entered an expected value","")&amp;IF((IF(OR(COUNTA(S948:U948)=0,AND(COUNTA(S948:U948)=3,ISNUMBER(U948))),0,1)+IF(OR(COUNTA(V948:X948)=0,AND(COUNTA(V948:X948)=3,ISNUMBER(X948))),0,1)+IF(OR(COUNTA(Y948:AA948)=0,AND(COUNTA(Y948:AA948)=3,ISNUMBER(AA948))),0,1)+IF(OR(COUNTA(AB948:AD948)=0,AND(COUNTA(AB948:AD948)=3,ISNUMBER(AD948))),0,1)+IF(OR(COUNTA(AE948:AG948)=0,AND(COUNTA(AE948:AG948)=3,ISNUMBER(AG948))),0,1)+IF(OR(COUNTA(AH948:AJ948)=0,AND(COUNTA(AH948:AJ948)=3,ISNUMBER(AJ948))),0,1)+IF(OR(COUNTA(AK948:AM948)=0,AND(COUNTA(AK948:AM948)=3,ISNUMBER(AM948))),0,1)+IF(OR(COUNTA(AN948:AP948)=0,AND(COUNTA(AN948:AP948)=3,ISNUMBER(AP948))),0,1)+IF(OR(COUNTA(AQ948:AS948)=0,AND(COUNTA(AQ948:AS948)=3,ISNUMBER(AS948))),0,1)+IF(OR(COUNTA(AT948:AV948)=0,AND(COUNTA(AT948:AV948)=3,ISNUMBER(AV948))),0,1)+IF(OR(COUNTA(AW948:AY948)=0,AND(COUNTA(AW948:AY948)=3,ISNUMBER(AY948))),0,1)+IF(OR(COUNTA(AZ948:BB948)=0,AND(COUNTA(AZ948:BB948)=3,ISNUMBER(BB948))),0,1))&gt;0,"; An invoice is incomplete (needs No, Date and a number in Ex GST)","")&amp;IF((IF(T948="",0,IFERROR(--(EOMONTH(T948,0)&lt;&gt;S$5),1))+IF(W948="",0,IFERROR(--(EOMONTH(W948,0)&lt;&gt;V$5),1))+IF(Z948="",0,IFERROR(--(EOMONTH(Z948,0)&lt;&gt;Y$5),1))+IF(AC948="",0,IFERROR(--(EOMONTH(AC948,0)&lt;&gt;AB$5),1))+IF(AF948="",0,IFERROR(--(EOMONTH(AF948,0)&lt;&gt;AE$5),1))+IF(AI948="",0,IFERROR(--(EOMONTH(AI948,0)&lt;&gt;AH$5),1))+IF(AL948="",0,IFERROR(--(EOMONTH(AL948,0)&lt;&gt;AK$5),1))+IF(AO948="",0,IFERROR(--(EOMONTH(AO948,0)&lt;&gt;AN$5),1))+IF(AR948="",0,IFERROR(--(EOMONTH(AR948,0)&lt;&gt;AQ$5),1))+IF(AU948="",0,IFERROR(--(EOMONTH(AU948,0)&lt;&gt;AT$5),1))+IF(AX948="",0,IFERROR(--(EOMONTH(AX948,0)&lt;&gt;AW$5),1))+IF(BA948="",0,IFERROR(--(EOMONTH(BA948,0)&lt;&gt;AZ$5),1)))&gt;0,"; An invoice date is not in the month it is typed under",""),3,500))</f>
        <v/>
      </c>
      <c r="S948" s="12" t="n"/>
      <c r="T948" s="13" t="n"/>
      <c r="U948" s="14" t="n"/>
      <c r="V948" s="12" t="n"/>
      <c r="W948" s="13" t="n"/>
      <c r="X948" s="14" t="n"/>
      <c r="Y948" s="12" t="n"/>
      <c r="Z948" s="13" t="n"/>
      <c r="AA948" s="14" t="n"/>
      <c r="AB948" s="12" t="n"/>
      <c r="AC948" s="13" t="n"/>
      <c r="AD948" s="14" t="n"/>
      <c r="AE948" s="12" t="n"/>
      <c r="AF948" s="13" t="n"/>
      <c r="AG948" s="14" t="n"/>
      <c r="AH948" s="12" t="n"/>
      <c r="AI948" s="13" t="n"/>
      <c r="AJ948" s="14" t="n"/>
      <c r="AK948" s="12" t="n"/>
      <c r="AL948" s="13" t="n"/>
      <c r="AM948" s="14" t="n"/>
      <c r="AN948" s="12" t="n"/>
      <c r="AO948" s="13" t="n"/>
      <c r="AP948" s="14" t="n"/>
      <c r="AQ948" s="12" t="n"/>
      <c r="AR948" s="13" t="n"/>
      <c r="AS948" s="14" t="n"/>
      <c r="AT948" s="12" t="n"/>
      <c r="AU948" s="13" t="n"/>
      <c r="AV948" s="14" t="n"/>
      <c r="AW948" s="12" t="n"/>
      <c r="AX948" s="13" t="n"/>
      <c r="AY948" s="14" t="n"/>
      <c r="AZ948" s="12" t="n"/>
      <c r="BA948" s="13" t="n"/>
      <c r="BB948" s="14" t="n"/>
      <c r="BC948" s="11">
        <f>IF(O948="","",IF(J948="GST 10%",ROUND(O948*set_GSTRate,2),0))</f>
        <v/>
      </c>
      <c r="BD948" s="11">
        <f>IF(O948="","",O948+BC948)</f>
        <v/>
      </c>
      <c r="BE948" s="15">
        <f>IF(O948="","",COUNTA(S948,V948,Y948,AB948,AE948,AH948,AK948,AN948,AQ948,AT948,AW948,AZ948))</f>
        <v/>
      </c>
      <c r="BF948" s="16">
        <f>IF(COUNT(T948,W948,Z948,AC948,AF948,AI948,AL948,AO948,AR948,AU948,AX948,BA948)=0,"",MAX(T948,W948,Z948,AC948,AF948,AI948,AL948,AO948,AR948,AU948,AX948,BA948))</f>
        <v/>
      </c>
      <c r="BG948" s="10">
        <f>MID(IF(S948="","",", "&amp;S948)&amp;IF(V948="","",", "&amp;V948)&amp;IF(Y948="","",", "&amp;Y948)&amp;IF(AB948="","",", "&amp;AB948)&amp;IF(AE948="","",", "&amp;AE948)&amp;IF(AH948="","",", "&amp;AH948)&amp;IF(AK948="","",", "&amp;AK948)&amp;IF(AN948="","",", "&amp;AN948)&amp;IF(AQ948="","",", "&amp;AQ948)&amp;IF(AT948="","",", "&amp;AT948)&amp;IF(AW948="","",", "&amp;AW948)&amp;IF(AZ948="","",", "&amp;AZ948),3,500)</f>
        <v/>
      </c>
      <c r="BH948" s="12" t="n"/>
      <c r="BI948" s="15">
        <f>IFERROR(MATCH($A948,IF($B948="Onsite",tbl_Onsite[Row ID],IF($B948="Production",tbl_Production[Row ID],tbl_Consulting[Row ID])),0),"")</f>
        <v/>
      </c>
    </row>
    <row r="949">
      <c r="A949" s="10" t="inlineStr">
        <is>
          <t>PRD-0443</t>
        </is>
      </c>
      <c r="B949" s="10" t="inlineStr">
        <is>
          <t>Production</t>
        </is>
      </c>
      <c r="C949" s="10">
        <f>IF($BI949="","",IF($B949="Onsite",INDEX(tbl_Onsite[Job Number],$BI949),IF($B949="Production",INDEX(tbl_Production[Job Number],$BI949),INDEX(tbl_Consulting[Job Number],$BI949)))&amp;"")</f>
        <v/>
      </c>
      <c r="D949" s="10">
        <f>IF($BI949="","",IF($B949="Onsite",INDEX(tbl_Onsite[Client],$BI949),IF($B949="Production",INDEX(tbl_Production[Client],$BI949),INDEX(tbl_Consulting[Client],$BI949)))&amp;"")</f>
        <v/>
      </c>
      <c r="E949" s="10">
        <f>IF($C949="","",IF(COUNTIF(lst_Jobs,$C949)&gt;0,"OK","CHECK"))</f>
        <v/>
      </c>
      <c r="F949" s="10">
        <f>IF($C949="","",IFERROR(INDEX(lst_JobName,MATCH($C949,lst_Jobs,0)),""))</f>
        <v/>
      </c>
      <c r="G949" s="10">
        <f>IF($BI949="","",IF($B949="Onsite",INDEX(tbl_Onsite[Job Description],$BI949),IF($B949="Production",INDEX(tbl_Production[Job Description],$BI949),INDEX(tbl_Consulting[Job Description],$BI949)))&amp;"")</f>
        <v/>
      </c>
      <c r="H949" s="10">
        <f>IF($BI949="","",IF($B949="Onsite",INDEX(tbl_Onsite[Cost Centre],$BI949),IF($B949="Production",INDEX(tbl_Production[Cost Centre],$BI949),INDEX(tbl_Consulting[Cost Centre],$BI949)))&amp;"")</f>
        <v/>
      </c>
      <c r="I949" s="10">
        <f>IF($BI949="","",IF($B949="Onsite",INDEX(tbl_Onsite[Invoice Type],$BI949),IF($B949="Production",INDEX(tbl_Production[Invoice Type],$BI949),INDEX(tbl_Consulting[Invoice Type],$BI949)))&amp;"")</f>
        <v/>
      </c>
      <c r="J949" s="10">
        <f>IF($BI949="","",IF($B949="Onsite",INDEX(tbl_Onsite[Tax Code],$BI949),IF($B949="Production",INDEX(tbl_Production[Tax Code],$BI949),INDEX(tbl_Consulting[Tax Code],$BI949)))&amp;"")</f>
        <v/>
      </c>
      <c r="K949" s="10">
        <f>IF(H949="","",IFERROR(INDEX(lst_CCtoGL,MATCH(H949,lst_CCforGL,0)),""))</f>
        <v/>
      </c>
      <c r="L949" s="10">
        <f>IF($BI949="","",IF($B949="Onsite",INDEX(tbl_Onsite[PO / Reference],$BI949),IF($B949="Production",INDEX(tbl_Production[Current RMS No],$BI949),INDEX(tbl_Consulting[Qwilr Quote],$BI949)))&amp;"")</f>
        <v/>
      </c>
      <c r="M949" s="10">
        <f>IF($BI949="","",IF($B949="Onsite",INDEX(tbl_Onsite[Notes],$BI949),IF($B949="Production",INDEX(tbl_Production[Notes],$BI949),INDEX(tbl_Consulting[Notes],$BI949)))&amp;"")</f>
        <v/>
      </c>
      <c r="N949" s="11">
        <f>IF($BI949="","",IF(IF($B949="Onsite",INDEX(tbl_Onsite[Expected Revenue Ex GST],$BI949),IF($B949="Production",INDEX(tbl_Production[Expected Revenue Ex GST],$BI949),INDEX(tbl_Consulting[Expected Revenue Ex GST],$BI949)))="","",IF($B949="Onsite",INDEX(tbl_Onsite[Expected Revenue Ex GST],$BI949),IF($B949="Production",INDEX(tbl_Production[Expected Revenue Ex GST],$BI949),INDEX(tbl_Consulting[Expected Revenue Ex GST],$BI949)))))</f>
        <v/>
      </c>
      <c r="O949" s="11">
        <f>IF(AND($C949="",NOT(COUNTA($S949:$BB949)&gt;0)),"",SUM(U949,X949,AA949,AD949,AG949,AJ949,AM949,AP949,AS949,AV949,AY949,BB949))</f>
        <v/>
      </c>
      <c r="P949" s="11">
        <f>IF(O949="","",N(N949)-O949)</f>
        <v/>
      </c>
      <c r="Q949" s="10">
        <f>IF(O949="","",IF($C949="","Invoice on empty job row",IF(N949="",IF(ROUND(O949,2)=0,"No dept value","Invoiced - no dept value"),IF(ROUND(O949,2)=0,"Not invoiced - to invoice",IF(ROUND(P949,2)=0,"Agrees",IF(P949&gt;0,"Dept higher - to invoice","Xero higher - check dept"))))))</f>
        <v/>
      </c>
      <c r="R949" s="10">
        <f>IF(AND($C949="",NOT(COUNTA($S949:$BB949)&gt;0),$BI949&lt;&gt;""),"",MID(IF($BI949="","; Row ID not found on the department sheet - a row was deleted","")&amp;IF(AND($C949="",COUNTA($S949:$BB949)&gt;0),"; Invoice entered but the department row has no job number","")&amp;IF(E949="CHECK","; Job number not in the Xero job list","")&amp;IF(AND($C949&lt;&gt;"",COUNTIF($C$7:$C$1506,$C949)&gt;1),"; Job number on more than one row","")&amp;IF(AND($C949&lt;&gt;"",H949=""),"; Dept has not set a cost centre","")&amp;IF(AND($C949&lt;&gt;"",J949=""),"; Dept has not set a tax code","")&amp;IF(AND($C949&lt;&gt;"",N949=""),"; Dept has not entered an expected value","")&amp;IF((IF(OR(COUNTA(S949:U949)=0,AND(COUNTA(S949:U949)=3,ISNUMBER(U949))),0,1)+IF(OR(COUNTA(V949:X949)=0,AND(COUNTA(V949:X949)=3,ISNUMBER(X949))),0,1)+IF(OR(COUNTA(Y949:AA949)=0,AND(COUNTA(Y949:AA949)=3,ISNUMBER(AA949))),0,1)+IF(OR(COUNTA(AB949:AD949)=0,AND(COUNTA(AB949:AD949)=3,ISNUMBER(AD949))),0,1)+IF(OR(COUNTA(AE949:AG949)=0,AND(COUNTA(AE949:AG949)=3,ISNUMBER(AG949))),0,1)+IF(OR(COUNTA(AH949:AJ949)=0,AND(COUNTA(AH949:AJ949)=3,ISNUMBER(AJ949))),0,1)+IF(OR(COUNTA(AK949:AM949)=0,AND(COUNTA(AK949:AM949)=3,ISNUMBER(AM949))),0,1)+IF(OR(COUNTA(AN949:AP949)=0,AND(COUNTA(AN949:AP949)=3,ISNUMBER(AP949))),0,1)+IF(OR(COUNTA(AQ949:AS949)=0,AND(COUNTA(AQ949:AS949)=3,ISNUMBER(AS949))),0,1)+IF(OR(COUNTA(AT949:AV949)=0,AND(COUNTA(AT949:AV949)=3,ISNUMBER(AV949))),0,1)+IF(OR(COUNTA(AW949:AY949)=0,AND(COUNTA(AW949:AY949)=3,ISNUMBER(AY949))),0,1)+IF(OR(COUNTA(AZ949:BB949)=0,AND(COUNTA(AZ949:BB949)=3,ISNUMBER(BB949))),0,1))&gt;0,"; An invoice is incomplete (needs No, Date and a number in Ex GST)","")&amp;IF((IF(T949="",0,IFERROR(--(EOMONTH(T949,0)&lt;&gt;S$5),1))+IF(W949="",0,IFERROR(--(EOMONTH(W949,0)&lt;&gt;V$5),1))+IF(Z949="",0,IFERROR(--(EOMONTH(Z949,0)&lt;&gt;Y$5),1))+IF(AC949="",0,IFERROR(--(EOMONTH(AC949,0)&lt;&gt;AB$5),1))+IF(AF949="",0,IFERROR(--(EOMONTH(AF949,0)&lt;&gt;AE$5),1))+IF(AI949="",0,IFERROR(--(EOMONTH(AI949,0)&lt;&gt;AH$5),1))+IF(AL949="",0,IFERROR(--(EOMONTH(AL949,0)&lt;&gt;AK$5),1))+IF(AO949="",0,IFERROR(--(EOMONTH(AO949,0)&lt;&gt;AN$5),1))+IF(AR949="",0,IFERROR(--(EOMONTH(AR949,0)&lt;&gt;AQ$5),1))+IF(AU949="",0,IFERROR(--(EOMONTH(AU949,0)&lt;&gt;AT$5),1))+IF(AX949="",0,IFERROR(--(EOMONTH(AX949,0)&lt;&gt;AW$5),1))+IF(BA949="",0,IFERROR(--(EOMONTH(BA949,0)&lt;&gt;AZ$5),1)))&gt;0,"; An invoice date is not in the month it is typed under",""),3,500))</f>
        <v/>
      </c>
      <c r="S949" s="12" t="n"/>
      <c r="T949" s="13" t="n"/>
      <c r="U949" s="14" t="n"/>
      <c r="V949" s="12" t="n"/>
      <c r="W949" s="13" t="n"/>
      <c r="X949" s="14" t="n"/>
      <c r="Y949" s="12" t="n"/>
      <c r="Z949" s="13" t="n"/>
      <c r="AA949" s="14" t="n"/>
      <c r="AB949" s="12" t="n"/>
      <c r="AC949" s="13" t="n"/>
      <c r="AD949" s="14" t="n"/>
      <c r="AE949" s="12" t="n"/>
      <c r="AF949" s="13" t="n"/>
      <c r="AG949" s="14" t="n"/>
      <c r="AH949" s="12" t="n"/>
      <c r="AI949" s="13" t="n"/>
      <c r="AJ949" s="14" t="n"/>
      <c r="AK949" s="12" t="n"/>
      <c r="AL949" s="13" t="n"/>
      <c r="AM949" s="14" t="n"/>
      <c r="AN949" s="12" t="n"/>
      <c r="AO949" s="13" t="n"/>
      <c r="AP949" s="14" t="n"/>
      <c r="AQ949" s="12" t="n"/>
      <c r="AR949" s="13" t="n"/>
      <c r="AS949" s="14" t="n"/>
      <c r="AT949" s="12" t="n"/>
      <c r="AU949" s="13" t="n"/>
      <c r="AV949" s="14" t="n"/>
      <c r="AW949" s="12" t="n"/>
      <c r="AX949" s="13" t="n"/>
      <c r="AY949" s="14" t="n"/>
      <c r="AZ949" s="12" t="n"/>
      <c r="BA949" s="13" t="n"/>
      <c r="BB949" s="14" t="n"/>
      <c r="BC949" s="11">
        <f>IF(O949="","",IF(J949="GST 10%",ROUND(O949*set_GSTRate,2),0))</f>
        <v/>
      </c>
      <c r="BD949" s="11">
        <f>IF(O949="","",O949+BC949)</f>
        <v/>
      </c>
      <c r="BE949" s="15">
        <f>IF(O949="","",COUNTA(S949,V949,Y949,AB949,AE949,AH949,AK949,AN949,AQ949,AT949,AW949,AZ949))</f>
        <v/>
      </c>
      <c r="BF949" s="16">
        <f>IF(COUNT(T949,W949,Z949,AC949,AF949,AI949,AL949,AO949,AR949,AU949,AX949,BA949)=0,"",MAX(T949,W949,Z949,AC949,AF949,AI949,AL949,AO949,AR949,AU949,AX949,BA949))</f>
        <v/>
      </c>
      <c r="BG949" s="10">
        <f>MID(IF(S949="","",", "&amp;S949)&amp;IF(V949="","",", "&amp;V949)&amp;IF(Y949="","",", "&amp;Y949)&amp;IF(AB949="","",", "&amp;AB949)&amp;IF(AE949="","",", "&amp;AE949)&amp;IF(AH949="","",", "&amp;AH949)&amp;IF(AK949="","",", "&amp;AK949)&amp;IF(AN949="","",", "&amp;AN949)&amp;IF(AQ949="","",", "&amp;AQ949)&amp;IF(AT949="","",", "&amp;AT949)&amp;IF(AW949="","",", "&amp;AW949)&amp;IF(AZ949="","",", "&amp;AZ949),3,500)</f>
        <v/>
      </c>
      <c r="BH949" s="12" t="n"/>
      <c r="BI949" s="15">
        <f>IFERROR(MATCH($A949,IF($B949="Onsite",tbl_Onsite[Row ID],IF($B949="Production",tbl_Production[Row ID],tbl_Consulting[Row ID])),0),"")</f>
        <v/>
      </c>
    </row>
    <row r="950">
      <c r="A950" s="10" t="inlineStr">
        <is>
          <t>PRD-0444</t>
        </is>
      </c>
      <c r="B950" s="10" t="inlineStr">
        <is>
          <t>Production</t>
        </is>
      </c>
      <c r="C950" s="10">
        <f>IF($BI950="","",IF($B950="Onsite",INDEX(tbl_Onsite[Job Number],$BI950),IF($B950="Production",INDEX(tbl_Production[Job Number],$BI950),INDEX(tbl_Consulting[Job Number],$BI950)))&amp;"")</f>
        <v/>
      </c>
      <c r="D950" s="10">
        <f>IF($BI950="","",IF($B950="Onsite",INDEX(tbl_Onsite[Client],$BI950),IF($B950="Production",INDEX(tbl_Production[Client],$BI950),INDEX(tbl_Consulting[Client],$BI950)))&amp;"")</f>
        <v/>
      </c>
      <c r="E950" s="10">
        <f>IF($C950="","",IF(COUNTIF(lst_Jobs,$C950)&gt;0,"OK","CHECK"))</f>
        <v/>
      </c>
      <c r="F950" s="10">
        <f>IF($C950="","",IFERROR(INDEX(lst_JobName,MATCH($C950,lst_Jobs,0)),""))</f>
        <v/>
      </c>
      <c r="G950" s="10">
        <f>IF($BI950="","",IF($B950="Onsite",INDEX(tbl_Onsite[Job Description],$BI950),IF($B950="Production",INDEX(tbl_Production[Job Description],$BI950),INDEX(tbl_Consulting[Job Description],$BI950)))&amp;"")</f>
        <v/>
      </c>
      <c r="H950" s="10">
        <f>IF($BI950="","",IF($B950="Onsite",INDEX(tbl_Onsite[Cost Centre],$BI950),IF($B950="Production",INDEX(tbl_Production[Cost Centre],$BI950),INDEX(tbl_Consulting[Cost Centre],$BI950)))&amp;"")</f>
        <v/>
      </c>
      <c r="I950" s="10">
        <f>IF($BI950="","",IF($B950="Onsite",INDEX(tbl_Onsite[Invoice Type],$BI950),IF($B950="Production",INDEX(tbl_Production[Invoice Type],$BI950),INDEX(tbl_Consulting[Invoice Type],$BI950)))&amp;"")</f>
        <v/>
      </c>
      <c r="J950" s="10">
        <f>IF($BI950="","",IF($B950="Onsite",INDEX(tbl_Onsite[Tax Code],$BI950),IF($B950="Production",INDEX(tbl_Production[Tax Code],$BI950),INDEX(tbl_Consulting[Tax Code],$BI950)))&amp;"")</f>
        <v/>
      </c>
      <c r="K950" s="10">
        <f>IF(H950="","",IFERROR(INDEX(lst_CCtoGL,MATCH(H950,lst_CCforGL,0)),""))</f>
        <v/>
      </c>
      <c r="L950" s="10">
        <f>IF($BI950="","",IF($B950="Onsite",INDEX(tbl_Onsite[PO / Reference],$BI950),IF($B950="Production",INDEX(tbl_Production[Current RMS No],$BI950),INDEX(tbl_Consulting[Qwilr Quote],$BI950)))&amp;"")</f>
        <v/>
      </c>
      <c r="M950" s="10">
        <f>IF($BI950="","",IF($B950="Onsite",INDEX(tbl_Onsite[Notes],$BI950),IF($B950="Production",INDEX(tbl_Production[Notes],$BI950),INDEX(tbl_Consulting[Notes],$BI950)))&amp;"")</f>
        <v/>
      </c>
      <c r="N950" s="11">
        <f>IF($BI950="","",IF(IF($B950="Onsite",INDEX(tbl_Onsite[Expected Revenue Ex GST],$BI950),IF($B950="Production",INDEX(tbl_Production[Expected Revenue Ex GST],$BI950),INDEX(tbl_Consulting[Expected Revenue Ex GST],$BI950)))="","",IF($B950="Onsite",INDEX(tbl_Onsite[Expected Revenue Ex GST],$BI950),IF($B950="Production",INDEX(tbl_Production[Expected Revenue Ex GST],$BI950),INDEX(tbl_Consulting[Expected Revenue Ex GST],$BI950)))))</f>
        <v/>
      </c>
      <c r="O950" s="11">
        <f>IF(AND($C950="",NOT(COUNTA($S950:$BB950)&gt;0)),"",SUM(U950,X950,AA950,AD950,AG950,AJ950,AM950,AP950,AS950,AV950,AY950,BB950))</f>
        <v/>
      </c>
      <c r="P950" s="11">
        <f>IF(O950="","",N(N950)-O950)</f>
        <v/>
      </c>
      <c r="Q950" s="10">
        <f>IF(O950="","",IF($C950="","Invoice on empty job row",IF(N950="",IF(ROUND(O950,2)=0,"No dept value","Invoiced - no dept value"),IF(ROUND(O950,2)=0,"Not invoiced - to invoice",IF(ROUND(P950,2)=0,"Agrees",IF(P950&gt;0,"Dept higher - to invoice","Xero higher - check dept"))))))</f>
        <v/>
      </c>
      <c r="R950" s="10">
        <f>IF(AND($C950="",NOT(COUNTA($S950:$BB950)&gt;0),$BI950&lt;&gt;""),"",MID(IF($BI950="","; Row ID not found on the department sheet - a row was deleted","")&amp;IF(AND($C950="",COUNTA($S950:$BB950)&gt;0),"; Invoice entered but the department row has no job number","")&amp;IF(E950="CHECK","; Job number not in the Xero job list","")&amp;IF(AND($C950&lt;&gt;"",COUNTIF($C$7:$C$1506,$C950)&gt;1),"; Job number on more than one row","")&amp;IF(AND($C950&lt;&gt;"",H950=""),"; Dept has not set a cost centre","")&amp;IF(AND($C950&lt;&gt;"",J950=""),"; Dept has not set a tax code","")&amp;IF(AND($C950&lt;&gt;"",N950=""),"; Dept has not entered an expected value","")&amp;IF((IF(OR(COUNTA(S950:U950)=0,AND(COUNTA(S950:U950)=3,ISNUMBER(U950))),0,1)+IF(OR(COUNTA(V950:X950)=0,AND(COUNTA(V950:X950)=3,ISNUMBER(X950))),0,1)+IF(OR(COUNTA(Y950:AA950)=0,AND(COUNTA(Y950:AA950)=3,ISNUMBER(AA950))),0,1)+IF(OR(COUNTA(AB950:AD950)=0,AND(COUNTA(AB950:AD950)=3,ISNUMBER(AD950))),0,1)+IF(OR(COUNTA(AE950:AG950)=0,AND(COUNTA(AE950:AG950)=3,ISNUMBER(AG950))),0,1)+IF(OR(COUNTA(AH950:AJ950)=0,AND(COUNTA(AH950:AJ950)=3,ISNUMBER(AJ950))),0,1)+IF(OR(COUNTA(AK950:AM950)=0,AND(COUNTA(AK950:AM950)=3,ISNUMBER(AM950))),0,1)+IF(OR(COUNTA(AN950:AP950)=0,AND(COUNTA(AN950:AP950)=3,ISNUMBER(AP950))),0,1)+IF(OR(COUNTA(AQ950:AS950)=0,AND(COUNTA(AQ950:AS950)=3,ISNUMBER(AS950))),0,1)+IF(OR(COUNTA(AT950:AV950)=0,AND(COUNTA(AT950:AV950)=3,ISNUMBER(AV950))),0,1)+IF(OR(COUNTA(AW950:AY950)=0,AND(COUNTA(AW950:AY950)=3,ISNUMBER(AY950))),0,1)+IF(OR(COUNTA(AZ950:BB950)=0,AND(COUNTA(AZ950:BB950)=3,ISNUMBER(BB950))),0,1))&gt;0,"; An invoice is incomplete (needs No, Date and a number in Ex GST)","")&amp;IF((IF(T950="",0,IFERROR(--(EOMONTH(T950,0)&lt;&gt;S$5),1))+IF(W950="",0,IFERROR(--(EOMONTH(W950,0)&lt;&gt;V$5),1))+IF(Z950="",0,IFERROR(--(EOMONTH(Z950,0)&lt;&gt;Y$5),1))+IF(AC950="",0,IFERROR(--(EOMONTH(AC950,0)&lt;&gt;AB$5),1))+IF(AF950="",0,IFERROR(--(EOMONTH(AF950,0)&lt;&gt;AE$5),1))+IF(AI950="",0,IFERROR(--(EOMONTH(AI950,0)&lt;&gt;AH$5),1))+IF(AL950="",0,IFERROR(--(EOMONTH(AL950,0)&lt;&gt;AK$5),1))+IF(AO950="",0,IFERROR(--(EOMONTH(AO950,0)&lt;&gt;AN$5),1))+IF(AR950="",0,IFERROR(--(EOMONTH(AR950,0)&lt;&gt;AQ$5),1))+IF(AU950="",0,IFERROR(--(EOMONTH(AU950,0)&lt;&gt;AT$5),1))+IF(AX950="",0,IFERROR(--(EOMONTH(AX950,0)&lt;&gt;AW$5),1))+IF(BA950="",0,IFERROR(--(EOMONTH(BA950,0)&lt;&gt;AZ$5),1)))&gt;0,"; An invoice date is not in the month it is typed under",""),3,500))</f>
        <v/>
      </c>
      <c r="S950" s="12" t="n"/>
      <c r="T950" s="13" t="n"/>
      <c r="U950" s="14" t="n"/>
      <c r="V950" s="12" t="n"/>
      <c r="W950" s="13" t="n"/>
      <c r="X950" s="14" t="n"/>
      <c r="Y950" s="12" t="n"/>
      <c r="Z950" s="13" t="n"/>
      <c r="AA950" s="14" t="n"/>
      <c r="AB950" s="12" t="n"/>
      <c r="AC950" s="13" t="n"/>
      <c r="AD950" s="14" t="n"/>
      <c r="AE950" s="12" t="n"/>
      <c r="AF950" s="13" t="n"/>
      <c r="AG950" s="14" t="n"/>
      <c r="AH950" s="12" t="n"/>
      <c r="AI950" s="13" t="n"/>
      <c r="AJ950" s="14" t="n"/>
      <c r="AK950" s="12" t="n"/>
      <c r="AL950" s="13" t="n"/>
      <c r="AM950" s="14" t="n"/>
      <c r="AN950" s="12" t="n"/>
      <c r="AO950" s="13" t="n"/>
      <c r="AP950" s="14" t="n"/>
      <c r="AQ950" s="12" t="n"/>
      <c r="AR950" s="13" t="n"/>
      <c r="AS950" s="14" t="n"/>
      <c r="AT950" s="12" t="n"/>
      <c r="AU950" s="13" t="n"/>
      <c r="AV950" s="14" t="n"/>
      <c r="AW950" s="12" t="n"/>
      <c r="AX950" s="13" t="n"/>
      <c r="AY950" s="14" t="n"/>
      <c r="AZ950" s="12" t="n"/>
      <c r="BA950" s="13" t="n"/>
      <c r="BB950" s="14" t="n"/>
      <c r="BC950" s="11">
        <f>IF(O950="","",IF(J950="GST 10%",ROUND(O950*set_GSTRate,2),0))</f>
        <v/>
      </c>
      <c r="BD950" s="11">
        <f>IF(O950="","",O950+BC950)</f>
        <v/>
      </c>
      <c r="BE950" s="15">
        <f>IF(O950="","",COUNTA(S950,V950,Y950,AB950,AE950,AH950,AK950,AN950,AQ950,AT950,AW950,AZ950))</f>
        <v/>
      </c>
      <c r="BF950" s="16">
        <f>IF(COUNT(T950,W950,Z950,AC950,AF950,AI950,AL950,AO950,AR950,AU950,AX950,BA950)=0,"",MAX(T950,W950,Z950,AC950,AF950,AI950,AL950,AO950,AR950,AU950,AX950,BA950))</f>
        <v/>
      </c>
      <c r="BG950" s="10">
        <f>MID(IF(S950="","",", "&amp;S950)&amp;IF(V950="","",", "&amp;V950)&amp;IF(Y950="","",", "&amp;Y950)&amp;IF(AB950="","",", "&amp;AB950)&amp;IF(AE950="","",", "&amp;AE950)&amp;IF(AH950="","",", "&amp;AH950)&amp;IF(AK950="","",", "&amp;AK950)&amp;IF(AN950="","",", "&amp;AN950)&amp;IF(AQ950="","",", "&amp;AQ950)&amp;IF(AT950="","",", "&amp;AT950)&amp;IF(AW950="","",", "&amp;AW950)&amp;IF(AZ950="","",", "&amp;AZ950),3,500)</f>
        <v/>
      </c>
      <c r="BH950" s="12" t="n"/>
      <c r="BI950" s="15">
        <f>IFERROR(MATCH($A950,IF($B950="Onsite",tbl_Onsite[Row ID],IF($B950="Production",tbl_Production[Row ID],tbl_Consulting[Row ID])),0),"")</f>
        <v/>
      </c>
    </row>
    <row r="951">
      <c r="A951" s="10" t="inlineStr">
        <is>
          <t>PRD-0445</t>
        </is>
      </c>
      <c r="B951" s="10" t="inlineStr">
        <is>
          <t>Production</t>
        </is>
      </c>
      <c r="C951" s="10">
        <f>IF($BI951="","",IF($B951="Onsite",INDEX(tbl_Onsite[Job Number],$BI951),IF($B951="Production",INDEX(tbl_Production[Job Number],$BI951),INDEX(tbl_Consulting[Job Number],$BI951)))&amp;"")</f>
        <v/>
      </c>
      <c r="D951" s="10">
        <f>IF($BI951="","",IF($B951="Onsite",INDEX(tbl_Onsite[Client],$BI951),IF($B951="Production",INDEX(tbl_Production[Client],$BI951),INDEX(tbl_Consulting[Client],$BI951)))&amp;"")</f>
        <v/>
      </c>
      <c r="E951" s="10">
        <f>IF($C951="","",IF(COUNTIF(lst_Jobs,$C951)&gt;0,"OK","CHECK"))</f>
        <v/>
      </c>
      <c r="F951" s="10">
        <f>IF($C951="","",IFERROR(INDEX(lst_JobName,MATCH($C951,lst_Jobs,0)),""))</f>
        <v/>
      </c>
      <c r="G951" s="10">
        <f>IF($BI951="","",IF($B951="Onsite",INDEX(tbl_Onsite[Job Description],$BI951),IF($B951="Production",INDEX(tbl_Production[Job Description],$BI951),INDEX(tbl_Consulting[Job Description],$BI951)))&amp;"")</f>
        <v/>
      </c>
      <c r="H951" s="10">
        <f>IF($BI951="","",IF($B951="Onsite",INDEX(tbl_Onsite[Cost Centre],$BI951),IF($B951="Production",INDEX(tbl_Production[Cost Centre],$BI951),INDEX(tbl_Consulting[Cost Centre],$BI951)))&amp;"")</f>
        <v/>
      </c>
      <c r="I951" s="10">
        <f>IF($BI951="","",IF($B951="Onsite",INDEX(tbl_Onsite[Invoice Type],$BI951),IF($B951="Production",INDEX(tbl_Production[Invoice Type],$BI951),INDEX(tbl_Consulting[Invoice Type],$BI951)))&amp;"")</f>
        <v/>
      </c>
      <c r="J951" s="10">
        <f>IF($BI951="","",IF($B951="Onsite",INDEX(tbl_Onsite[Tax Code],$BI951),IF($B951="Production",INDEX(tbl_Production[Tax Code],$BI951),INDEX(tbl_Consulting[Tax Code],$BI951)))&amp;"")</f>
        <v/>
      </c>
      <c r="K951" s="10">
        <f>IF(H951="","",IFERROR(INDEX(lst_CCtoGL,MATCH(H951,lst_CCforGL,0)),""))</f>
        <v/>
      </c>
      <c r="L951" s="10">
        <f>IF($BI951="","",IF($B951="Onsite",INDEX(tbl_Onsite[PO / Reference],$BI951),IF($B951="Production",INDEX(tbl_Production[Current RMS No],$BI951),INDEX(tbl_Consulting[Qwilr Quote],$BI951)))&amp;"")</f>
        <v/>
      </c>
      <c r="M951" s="10">
        <f>IF($BI951="","",IF($B951="Onsite",INDEX(tbl_Onsite[Notes],$BI951),IF($B951="Production",INDEX(tbl_Production[Notes],$BI951),INDEX(tbl_Consulting[Notes],$BI951)))&amp;"")</f>
        <v/>
      </c>
      <c r="N951" s="11">
        <f>IF($BI951="","",IF(IF($B951="Onsite",INDEX(tbl_Onsite[Expected Revenue Ex GST],$BI951),IF($B951="Production",INDEX(tbl_Production[Expected Revenue Ex GST],$BI951),INDEX(tbl_Consulting[Expected Revenue Ex GST],$BI951)))="","",IF($B951="Onsite",INDEX(tbl_Onsite[Expected Revenue Ex GST],$BI951),IF($B951="Production",INDEX(tbl_Production[Expected Revenue Ex GST],$BI951),INDEX(tbl_Consulting[Expected Revenue Ex GST],$BI951)))))</f>
        <v/>
      </c>
      <c r="O951" s="11">
        <f>IF(AND($C951="",NOT(COUNTA($S951:$BB951)&gt;0)),"",SUM(U951,X951,AA951,AD951,AG951,AJ951,AM951,AP951,AS951,AV951,AY951,BB951))</f>
        <v/>
      </c>
      <c r="P951" s="11">
        <f>IF(O951="","",N(N951)-O951)</f>
        <v/>
      </c>
      <c r="Q951" s="10">
        <f>IF(O951="","",IF($C951="","Invoice on empty job row",IF(N951="",IF(ROUND(O951,2)=0,"No dept value","Invoiced - no dept value"),IF(ROUND(O951,2)=0,"Not invoiced - to invoice",IF(ROUND(P951,2)=0,"Agrees",IF(P951&gt;0,"Dept higher - to invoice","Xero higher - check dept"))))))</f>
        <v/>
      </c>
      <c r="R951" s="10">
        <f>IF(AND($C951="",NOT(COUNTA($S951:$BB951)&gt;0),$BI951&lt;&gt;""),"",MID(IF($BI951="","; Row ID not found on the department sheet - a row was deleted","")&amp;IF(AND($C951="",COUNTA($S951:$BB951)&gt;0),"; Invoice entered but the department row has no job number","")&amp;IF(E951="CHECK","; Job number not in the Xero job list","")&amp;IF(AND($C951&lt;&gt;"",COUNTIF($C$7:$C$1506,$C951)&gt;1),"; Job number on more than one row","")&amp;IF(AND($C951&lt;&gt;"",H951=""),"; Dept has not set a cost centre","")&amp;IF(AND($C951&lt;&gt;"",J951=""),"; Dept has not set a tax code","")&amp;IF(AND($C951&lt;&gt;"",N951=""),"; Dept has not entered an expected value","")&amp;IF((IF(OR(COUNTA(S951:U951)=0,AND(COUNTA(S951:U951)=3,ISNUMBER(U951))),0,1)+IF(OR(COUNTA(V951:X951)=0,AND(COUNTA(V951:X951)=3,ISNUMBER(X951))),0,1)+IF(OR(COUNTA(Y951:AA951)=0,AND(COUNTA(Y951:AA951)=3,ISNUMBER(AA951))),0,1)+IF(OR(COUNTA(AB951:AD951)=0,AND(COUNTA(AB951:AD951)=3,ISNUMBER(AD951))),0,1)+IF(OR(COUNTA(AE951:AG951)=0,AND(COUNTA(AE951:AG951)=3,ISNUMBER(AG951))),0,1)+IF(OR(COUNTA(AH951:AJ951)=0,AND(COUNTA(AH951:AJ951)=3,ISNUMBER(AJ951))),0,1)+IF(OR(COUNTA(AK951:AM951)=0,AND(COUNTA(AK951:AM951)=3,ISNUMBER(AM951))),0,1)+IF(OR(COUNTA(AN951:AP951)=0,AND(COUNTA(AN951:AP951)=3,ISNUMBER(AP951))),0,1)+IF(OR(COUNTA(AQ951:AS951)=0,AND(COUNTA(AQ951:AS951)=3,ISNUMBER(AS951))),0,1)+IF(OR(COUNTA(AT951:AV951)=0,AND(COUNTA(AT951:AV951)=3,ISNUMBER(AV951))),0,1)+IF(OR(COUNTA(AW951:AY951)=0,AND(COUNTA(AW951:AY951)=3,ISNUMBER(AY951))),0,1)+IF(OR(COUNTA(AZ951:BB951)=0,AND(COUNTA(AZ951:BB951)=3,ISNUMBER(BB951))),0,1))&gt;0,"; An invoice is incomplete (needs No, Date and a number in Ex GST)","")&amp;IF((IF(T951="",0,IFERROR(--(EOMONTH(T951,0)&lt;&gt;S$5),1))+IF(W951="",0,IFERROR(--(EOMONTH(W951,0)&lt;&gt;V$5),1))+IF(Z951="",0,IFERROR(--(EOMONTH(Z951,0)&lt;&gt;Y$5),1))+IF(AC951="",0,IFERROR(--(EOMONTH(AC951,0)&lt;&gt;AB$5),1))+IF(AF951="",0,IFERROR(--(EOMONTH(AF951,0)&lt;&gt;AE$5),1))+IF(AI951="",0,IFERROR(--(EOMONTH(AI951,0)&lt;&gt;AH$5),1))+IF(AL951="",0,IFERROR(--(EOMONTH(AL951,0)&lt;&gt;AK$5),1))+IF(AO951="",0,IFERROR(--(EOMONTH(AO951,0)&lt;&gt;AN$5),1))+IF(AR951="",0,IFERROR(--(EOMONTH(AR951,0)&lt;&gt;AQ$5),1))+IF(AU951="",0,IFERROR(--(EOMONTH(AU951,0)&lt;&gt;AT$5),1))+IF(AX951="",0,IFERROR(--(EOMONTH(AX951,0)&lt;&gt;AW$5),1))+IF(BA951="",0,IFERROR(--(EOMONTH(BA951,0)&lt;&gt;AZ$5),1)))&gt;0,"; An invoice date is not in the month it is typed under",""),3,500))</f>
        <v/>
      </c>
      <c r="S951" s="12" t="n"/>
      <c r="T951" s="13" t="n"/>
      <c r="U951" s="14" t="n"/>
      <c r="V951" s="12" t="n"/>
      <c r="W951" s="13" t="n"/>
      <c r="X951" s="14" t="n"/>
      <c r="Y951" s="12" t="n"/>
      <c r="Z951" s="13" t="n"/>
      <c r="AA951" s="14" t="n"/>
      <c r="AB951" s="12" t="n"/>
      <c r="AC951" s="13" t="n"/>
      <c r="AD951" s="14" t="n"/>
      <c r="AE951" s="12" t="n"/>
      <c r="AF951" s="13" t="n"/>
      <c r="AG951" s="14" t="n"/>
      <c r="AH951" s="12" t="n"/>
      <c r="AI951" s="13" t="n"/>
      <c r="AJ951" s="14" t="n"/>
      <c r="AK951" s="12" t="n"/>
      <c r="AL951" s="13" t="n"/>
      <c r="AM951" s="14" t="n"/>
      <c r="AN951" s="12" t="n"/>
      <c r="AO951" s="13" t="n"/>
      <c r="AP951" s="14" t="n"/>
      <c r="AQ951" s="12" t="n"/>
      <c r="AR951" s="13" t="n"/>
      <c r="AS951" s="14" t="n"/>
      <c r="AT951" s="12" t="n"/>
      <c r="AU951" s="13" t="n"/>
      <c r="AV951" s="14" t="n"/>
      <c r="AW951" s="12" t="n"/>
      <c r="AX951" s="13" t="n"/>
      <c r="AY951" s="14" t="n"/>
      <c r="AZ951" s="12" t="n"/>
      <c r="BA951" s="13" t="n"/>
      <c r="BB951" s="14" t="n"/>
      <c r="BC951" s="11">
        <f>IF(O951="","",IF(J951="GST 10%",ROUND(O951*set_GSTRate,2),0))</f>
        <v/>
      </c>
      <c r="BD951" s="11">
        <f>IF(O951="","",O951+BC951)</f>
        <v/>
      </c>
      <c r="BE951" s="15">
        <f>IF(O951="","",COUNTA(S951,V951,Y951,AB951,AE951,AH951,AK951,AN951,AQ951,AT951,AW951,AZ951))</f>
        <v/>
      </c>
      <c r="BF951" s="16">
        <f>IF(COUNT(T951,W951,Z951,AC951,AF951,AI951,AL951,AO951,AR951,AU951,AX951,BA951)=0,"",MAX(T951,W951,Z951,AC951,AF951,AI951,AL951,AO951,AR951,AU951,AX951,BA951))</f>
        <v/>
      </c>
      <c r="BG951" s="10">
        <f>MID(IF(S951="","",", "&amp;S951)&amp;IF(V951="","",", "&amp;V951)&amp;IF(Y951="","",", "&amp;Y951)&amp;IF(AB951="","",", "&amp;AB951)&amp;IF(AE951="","",", "&amp;AE951)&amp;IF(AH951="","",", "&amp;AH951)&amp;IF(AK951="","",", "&amp;AK951)&amp;IF(AN951="","",", "&amp;AN951)&amp;IF(AQ951="","",", "&amp;AQ951)&amp;IF(AT951="","",", "&amp;AT951)&amp;IF(AW951="","",", "&amp;AW951)&amp;IF(AZ951="","",", "&amp;AZ951),3,500)</f>
        <v/>
      </c>
      <c r="BH951" s="12" t="n"/>
      <c r="BI951" s="15">
        <f>IFERROR(MATCH($A951,IF($B951="Onsite",tbl_Onsite[Row ID],IF($B951="Production",tbl_Production[Row ID],tbl_Consulting[Row ID])),0),"")</f>
        <v/>
      </c>
    </row>
    <row r="952">
      <c r="A952" s="10" t="inlineStr">
        <is>
          <t>PRD-0446</t>
        </is>
      </c>
      <c r="B952" s="10" t="inlineStr">
        <is>
          <t>Production</t>
        </is>
      </c>
      <c r="C952" s="10">
        <f>IF($BI952="","",IF($B952="Onsite",INDEX(tbl_Onsite[Job Number],$BI952),IF($B952="Production",INDEX(tbl_Production[Job Number],$BI952),INDEX(tbl_Consulting[Job Number],$BI952)))&amp;"")</f>
        <v/>
      </c>
      <c r="D952" s="10">
        <f>IF($BI952="","",IF($B952="Onsite",INDEX(tbl_Onsite[Client],$BI952),IF($B952="Production",INDEX(tbl_Production[Client],$BI952),INDEX(tbl_Consulting[Client],$BI952)))&amp;"")</f>
        <v/>
      </c>
      <c r="E952" s="10">
        <f>IF($C952="","",IF(COUNTIF(lst_Jobs,$C952)&gt;0,"OK","CHECK"))</f>
        <v/>
      </c>
      <c r="F952" s="10">
        <f>IF($C952="","",IFERROR(INDEX(lst_JobName,MATCH($C952,lst_Jobs,0)),""))</f>
        <v/>
      </c>
      <c r="G952" s="10">
        <f>IF($BI952="","",IF($B952="Onsite",INDEX(tbl_Onsite[Job Description],$BI952),IF($B952="Production",INDEX(tbl_Production[Job Description],$BI952),INDEX(tbl_Consulting[Job Description],$BI952)))&amp;"")</f>
        <v/>
      </c>
      <c r="H952" s="10">
        <f>IF($BI952="","",IF($B952="Onsite",INDEX(tbl_Onsite[Cost Centre],$BI952),IF($B952="Production",INDEX(tbl_Production[Cost Centre],$BI952),INDEX(tbl_Consulting[Cost Centre],$BI952)))&amp;"")</f>
        <v/>
      </c>
      <c r="I952" s="10">
        <f>IF($BI952="","",IF($B952="Onsite",INDEX(tbl_Onsite[Invoice Type],$BI952),IF($B952="Production",INDEX(tbl_Production[Invoice Type],$BI952),INDEX(tbl_Consulting[Invoice Type],$BI952)))&amp;"")</f>
        <v/>
      </c>
      <c r="J952" s="10">
        <f>IF($BI952="","",IF($B952="Onsite",INDEX(tbl_Onsite[Tax Code],$BI952),IF($B952="Production",INDEX(tbl_Production[Tax Code],$BI952),INDEX(tbl_Consulting[Tax Code],$BI952)))&amp;"")</f>
        <v/>
      </c>
      <c r="K952" s="10">
        <f>IF(H952="","",IFERROR(INDEX(lst_CCtoGL,MATCH(H952,lst_CCforGL,0)),""))</f>
        <v/>
      </c>
      <c r="L952" s="10">
        <f>IF($BI952="","",IF($B952="Onsite",INDEX(tbl_Onsite[PO / Reference],$BI952),IF($B952="Production",INDEX(tbl_Production[Current RMS No],$BI952),INDEX(tbl_Consulting[Qwilr Quote],$BI952)))&amp;"")</f>
        <v/>
      </c>
      <c r="M952" s="10">
        <f>IF($BI952="","",IF($B952="Onsite",INDEX(tbl_Onsite[Notes],$BI952),IF($B952="Production",INDEX(tbl_Production[Notes],$BI952),INDEX(tbl_Consulting[Notes],$BI952)))&amp;"")</f>
        <v/>
      </c>
      <c r="N952" s="11">
        <f>IF($BI952="","",IF(IF($B952="Onsite",INDEX(tbl_Onsite[Expected Revenue Ex GST],$BI952),IF($B952="Production",INDEX(tbl_Production[Expected Revenue Ex GST],$BI952),INDEX(tbl_Consulting[Expected Revenue Ex GST],$BI952)))="","",IF($B952="Onsite",INDEX(tbl_Onsite[Expected Revenue Ex GST],$BI952),IF($B952="Production",INDEX(tbl_Production[Expected Revenue Ex GST],$BI952),INDEX(tbl_Consulting[Expected Revenue Ex GST],$BI952)))))</f>
        <v/>
      </c>
      <c r="O952" s="11">
        <f>IF(AND($C952="",NOT(COUNTA($S952:$BB952)&gt;0)),"",SUM(U952,X952,AA952,AD952,AG952,AJ952,AM952,AP952,AS952,AV952,AY952,BB952))</f>
        <v/>
      </c>
      <c r="P952" s="11">
        <f>IF(O952="","",N(N952)-O952)</f>
        <v/>
      </c>
      <c r="Q952" s="10">
        <f>IF(O952="","",IF($C952="","Invoice on empty job row",IF(N952="",IF(ROUND(O952,2)=0,"No dept value","Invoiced - no dept value"),IF(ROUND(O952,2)=0,"Not invoiced - to invoice",IF(ROUND(P952,2)=0,"Agrees",IF(P952&gt;0,"Dept higher - to invoice","Xero higher - check dept"))))))</f>
        <v/>
      </c>
      <c r="R952" s="10">
        <f>IF(AND($C952="",NOT(COUNTA($S952:$BB952)&gt;0),$BI952&lt;&gt;""),"",MID(IF($BI952="","; Row ID not found on the department sheet - a row was deleted","")&amp;IF(AND($C952="",COUNTA($S952:$BB952)&gt;0),"; Invoice entered but the department row has no job number","")&amp;IF(E952="CHECK","; Job number not in the Xero job list","")&amp;IF(AND($C952&lt;&gt;"",COUNTIF($C$7:$C$1506,$C952)&gt;1),"; Job number on more than one row","")&amp;IF(AND($C952&lt;&gt;"",H952=""),"; Dept has not set a cost centre","")&amp;IF(AND($C952&lt;&gt;"",J952=""),"; Dept has not set a tax code","")&amp;IF(AND($C952&lt;&gt;"",N952=""),"; Dept has not entered an expected value","")&amp;IF((IF(OR(COUNTA(S952:U952)=0,AND(COUNTA(S952:U952)=3,ISNUMBER(U952))),0,1)+IF(OR(COUNTA(V952:X952)=0,AND(COUNTA(V952:X952)=3,ISNUMBER(X952))),0,1)+IF(OR(COUNTA(Y952:AA952)=0,AND(COUNTA(Y952:AA952)=3,ISNUMBER(AA952))),0,1)+IF(OR(COUNTA(AB952:AD952)=0,AND(COUNTA(AB952:AD952)=3,ISNUMBER(AD952))),0,1)+IF(OR(COUNTA(AE952:AG952)=0,AND(COUNTA(AE952:AG952)=3,ISNUMBER(AG952))),0,1)+IF(OR(COUNTA(AH952:AJ952)=0,AND(COUNTA(AH952:AJ952)=3,ISNUMBER(AJ952))),0,1)+IF(OR(COUNTA(AK952:AM952)=0,AND(COUNTA(AK952:AM952)=3,ISNUMBER(AM952))),0,1)+IF(OR(COUNTA(AN952:AP952)=0,AND(COUNTA(AN952:AP952)=3,ISNUMBER(AP952))),0,1)+IF(OR(COUNTA(AQ952:AS952)=0,AND(COUNTA(AQ952:AS952)=3,ISNUMBER(AS952))),0,1)+IF(OR(COUNTA(AT952:AV952)=0,AND(COUNTA(AT952:AV952)=3,ISNUMBER(AV952))),0,1)+IF(OR(COUNTA(AW952:AY952)=0,AND(COUNTA(AW952:AY952)=3,ISNUMBER(AY952))),0,1)+IF(OR(COUNTA(AZ952:BB952)=0,AND(COUNTA(AZ952:BB952)=3,ISNUMBER(BB952))),0,1))&gt;0,"; An invoice is incomplete (needs No, Date and a number in Ex GST)","")&amp;IF((IF(T952="",0,IFERROR(--(EOMONTH(T952,0)&lt;&gt;S$5),1))+IF(W952="",0,IFERROR(--(EOMONTH(W952,0)&lt;&gt;V$5),1))+IF(Z952="",0,IFERROR(--(EOMONTH(Z952,0)&lt;&gt;Y$5),1))+IF(AC952="",0,IFERROR(--(EOMONTH(AC952,0)&lt;&gt;AB$5),1))+IF(AF952="",0,IFERROR(--(EOMONTH(AF952,0)&lt;&gt;AE$5),1))+IF(AI952="",0,IFERROR(--(EOMONTH(AI952,0)&lt;&gt;AH$5),1))+IF(AL952="",0,IFERROR(--(EOMONTH(AL952,0)&lt;&gt;AK$5),1))+IF(AO952="",0,IFERROR(--(EOMONTH(AO952,0)&lt;&gt;AN$5),1))+IF(AR952="",0,IFERROR(--(EOMONTH(AR952,0)&lt;&gt;AQ$5),1))+IF(AU952="",0,IFERROR(--(EOMONTH(AU952,0)&lt;&gt;AT$5),1))+IF(AX952="",0,IFERROR(--(EOMONTH(AX952,0)&lt;&gt;AW$5),1))+IF(BA952="",0,IFERROR(--(EOMONTH(BA952,0)&lt;&gt;AZ$5),1)))&gt;0,"; An invoice date is not in the month it is typed under",""),3,500))</f>
        <v/>
      </c>
      <c r="S952" s="12" t="n"/>
      <c r="T952" s="13" t="n"/>
      <c r="U952" s="14" t="n"/>
      <c r="V952" s="12" t="n"/>
      <c r="W952" s="13" t="n"/>
      <c r="X952" s="14" t="n"/>
      <c r="Y952" s="12" t="n"/>
      <c r="Z952" s="13" t="n"/>
      <c r="AA952" s="14" t="n"/>
      <c r="AB952" s="12" t="n"/>
      <c r="AC952" s="13" t="n"/>
      <c r="AD952" s="14" t="n"/>
      <c r="AE952" s="12" t="n"/>
      <c r="AF952" s="13" t="n"/>
      <c r="AG952" s="14" t="n"/>
      <c r="AH952" s="12" t="n"/>
      <c r="AI952" s="13" t="n"/>
      <c r="AJ952" s="14" t="n"/>
      <c r="AK952" s="12" t="n"/>
      <c r="AL952" s="13" t="n"/>
      <c r="AM952" s="14" t="n"/>
      <c r="AN952" s="12" t="n"/>
      <c r="AO952" s="13" t="n"/>
      <c r="AP952" s="14" t="n"/>
      <c r="AQ952" s="12" t="n"/>
      <c r="AR952" s="13" t="n"/>
      <c r="AS952" s="14" t="n"/>
      <c r="AT952" s="12" t="n"/>
      <c r="AU952" s="13" t="n"/>
      <c r="AV952" s="14" t="n"/>
      <c r="AW952" s="12" t="n"/>
      <c r="AX952" s="13" t="n"/>
      <c r="AY952" s="14" t="n"/>
      <c r="AZ952" s="12" t="n"/>
      <c r="BA952" s="13" t="n"/>
      <c r="BB952" s="14" t="n"/>
      <c r="BC952" s="11">
        <f>IF(O952="","",IF(J952="GST 10%",ROUND(O952*set_GSTRate,2),0))</f>
        <v/>
      </c>
      <c r="BD952" s="11">
        <f>IF(O952="","",O952+BC952)</f>
        <v/>
      </c>
      <c r="BE952" s="15">
        <f>IF(O952="","",COUNTA(S952,V952,Y952,AB952,AE952,AH952,AK952,AN952,AQ952,AT952,AW952,AZ952))</f>
        <v/>
      </c>
      <c r="BF952" s="16">
        <f>IF(COUNT(T952,W952,Z952,AC952,AF952,AI952,AL952,AO952,AR952,AU952,AX952,BA952)=0,"",MAX(T952,W952,Z952,AC952,AF952,AI952,AL952,AO952,AR952,AU952,AX952,BA952))</f>
        <v/>
      </c>
      <c r="BG952" s="10">
        <f>MID(IF(S952="","",", "&amp;S952)&amp;IF(V952="","",", "&amp;V952)&amp;IF(Y952="","",", "&amp;Y952)&amp;IF(AB952="","",", "&amp;AB952)&amp;IF(AE952="","",", "&amp;AE952)&amp;IF(AH952="","",", "&amp;AH952)&amp;IF(AK952="","",", "&amp;AK952)&amp;IF(AN952="","",", "&amp;AN952)&amp;IF(AQ952="","",", "&amp;AQ952)&amp;IF(AT952="","",", "&amp;AT952)&amp;IF(AW952="","",", "&amp;AW952)&amp;IF(AZ952="","",", "&amp;AZ952),3,500)</f>
        <v/>
      </c>
      <c r="BH952" s="12" t="n"/>
      <c r="BI952" s="15">
        <f>IFERROR(MATCH($A952,IF($B952="Onsite",tbl_Onsite[Row ID],IF($B952="Production",tbl_Production[Row ID],tbl_Consulting[Row ID])),0),"")</f>
        <v/>
      </c>
    </row>
    <row r="953">
      <c r="A953" s="10" t="inlineStr">
        <is>
          <t>PRD-0447</t>
        </is>
      </c>
      <c r="B953" s="10" t="inlineStr">
        <is>
          <t>Production</t>
        </is>
      </c>
      <c r="C953" s="10">
        <f>IF($BI953="","",IF($B953="Onsite",INDEX(tbl_Onsite[Job Number],$BI953),IF($B953="Production",INDEX(tbl_Production[Job Number],$BI953),INDEX(tbl_Consulting[Job Number],$BI953)))&amp;"")</f>
        <v/>
      </c>
      <c r="D953" s="10">
        <f>IF($BI953="","",IF($B953="Onsite",INDEX(tbl_Onsite[Client],$BI953),IF($B953="Production",INDEX(tbl_Production[Client],$BI953),INDEX(tbl_Consulting[Client],$BI953)))&amp;"")</f>
        <v/>
      </c>
      <c r="E953" s="10">
        <f>IF($C953="","",IF(COUNTIF(lst_Jobs,$C953)&gt;0,"OK","CHECK"))</f>
        <v/>
      </c>
      <c r="F953" s="10">
        <f>IF($C953="","",IFERROR(INDEX(lst_JobName,MATCH($C953,lst_Jobs,0)),""))</f>
        <v/>
      </c>
      <c r="G953" s="10">
        <f>IF($BI953="","",IF($B953="Onsite",INDEX(tbl_Onsite[Job Description],$BI953),IF($B953="Production",INDEX(tbl_Production[Job Description],$BI953),INDEX(tbl_Consulting[Job Description],$BI953)))&amp;"")</f>
        <v/>
      </c>
      <c r="H953" s="10">
        <f>IF($BI953="","",IF($B953="Onsite",INDEX(tbl_Onsite[Cost Centre],$BI953),IF($B953="Production",INDEX(tbl_Production[Cost Centre],$BI953),INDEX(tbl_Consulting[Cost Centre],$BI953)))&amp;"")</f>
        <v/>
      </c>
      <c r="I953" s="10">
        <f>IF($BI953="","",IF($B953="Onsite",INDEX(tbl_Onsite[Invoice Type],$BI953),IF($B953="Production",INDEX(tbl_Production[Invoice Type],$BI953),INDEX(tbl_Consulting[Invoice Type],$BI953)))&amp;"")</f>
        <v/>
      </c>
      <c r="J953" s="10">
        <f>IF($BI953="","",IF($B953="Onsite",INDEX(tbl_Onsite[Tax Code],$BI953),IF($B953="Production",INDEX(tbl_Production[Tax Code],$BI953),INDEX(tbl_Consulting[Tax Code],$BI953)))&amp;"")</f>
        <v/>
      </c>
      <c r="K953" s="10">
        <f>IF(H953="","",IFERROR(INDEX(lst_CCtoGL,MATCH(H953,lst_CCforGL,0)),""))</f>
        <v/>
      </c>
      <c r="L953" s="10">
        <f>IF($BI953="","",IF($B953="Onsite",INDEX(tbl_Onsite[PO / Reference],$BI953),IF($B953="Production",INDEX(tbl_Production[Current RMS No],$BI953),INDEX(tbl_Consulting[Qwilr Quote],$BI953)))&amp;"")</f>
        <v/>
      </c>
      <c r="M953" s="10">
        <f>IF($BI953="","",IF($B953="Onsite",INDEX(tbl_Onsite[Notes],$BI953),IF($B953="Production",INDEX(tbl_Production[Notes],$BI953),INDEX(tbl_Consulting[Notes],$BI953)))&amp;"")</f>
        <v/>
      </c>
      <c r="N953" s="11">
        <f>IF($BI953="","",IF(IF($B953="Onsite",INDEX(tbl_Onsite[Expected Revenue Ex GST],$BI953),IF($B953="Production",INDEX(tbl_Production[Expected Revenue Ex GST],$BI953),INDEX(tbl_Consulting[Expected Revenue Ex GST],$BI953)))="","",IF($B953="Onsite",INDEX(tbl_Onsite[Expected Revenue Ex GST],$BI953),IF($B953="Production",INDEX(tbl_Production[Expected Revenue Ex GST],$BI953),INDEX(tbl_Consulting[Expected Revenue Ex GST],$BI953)))))</f>
        <v/>
      </c>
      <c r="O953" s="11">
        <f>IF(AND($C953="",NOT(COUNTA($S953:$BB953)&gt;0)),"",SUM(U953,X953,AA953,AD953,AG953,AJ953,AM953,AP953,AS953,AV953,AY953,BB953))</f>
        <v/>
      </c>
      <c r="P953" s="11">
        <f>IF(O953="","",N(N953)-O953)</f>
        <v/>
      </c>
      <c r="Q953" s="10">
        <f>IF(O953="","",IF($C953="","Invoice on empty job row",IF(N953="",IF(ROUND(O953,2)=0,"No dept value","Invoiced - no dept value"),IF(ROUND(O953,2)=0,"Not invoiced - to invoice",IF(ROUND(P953,2)=0,"Agrees",IF(P953&gt;0,"Dept higher - to invoice","Xero higher - check dept"))))))</f>
        <v/>
      </c>
      <c r="R953" s="10">
        <f>IF(AND($C953="",NOT(COUNTA($S953:$BB953)&gt;0),$BI953&lt;&gt;""),"",MID(IF($BI953="","; Row ID not found on the department sheet - a row was deleted","")&amp;IF(AND($C953="",COUNTA($S953:$BB953)&gt;0),"; Invoice entered but the department row has no job number","")&amp;IF(E953="CHECK","; Job number not in the Xero job list","")&amp;IF(AND($C953&lt;&gt;"",COUNTIF($C$7:$C$1506,$C953)&gt;1),"; Job number on more than one row","")&amp;IF(AND($C953&lt;&gt;"",H953=""),"; Dept has not set a cost centre","")&amp;IF(AND($C953&lt;&gt;"",J953=""),"; Dept has not set a tax code","")&amp;IF(AND($C953&lt;&gt;"",N953=""),"; Dept has not entered an expected value","")&amp;IF((IF(OR(COUNTA(S953:U953)=0,AND(COUNTA(S953:U953)=3,ISNUMBER(U953))),0,1)+IF(OR(COUNTA(V953:X953)=0,AND(COUNTA(V953:X953)=3,ISNUMBER(X953))),0,1)+IF(OR(COUNTA(Y953:AA953)=0,AND(COUNTA(Y953:AA953)=3,ISNUMBER(AA953))),0,1)+IF(OR(COUNTA(AB953:AD953)=0,AND(COUNTA(AB953:AD953)=3,ISNUMBER(AD953))),0,1)+IF(OR(COUNTA(AE953:AG953)=0,AND(COUNTA(AE953:AG953)=3,ISNUMBER(AG953))),0,1)+IF(OR(COUNTA(AH953:AJ953)=0,AND(COUNTA(AH953:AJ953)=3,ISNUMBER(AJ953))),0,1)+IF(OR(COUNTA(AK953:AM953)=0,AND(COUNTA(AK953:AM953)=3,ISNUMBER(AM953))),0,1)+IF(OR(COUNTA(AN953:AP953)=0,AND(COUNTA(AN953:AP953)=3,ISNUMBER(AP953))),0,1)+IF(OR(COUNTA(AQ953:AS953)=0,AND(COUNTA(AQ953:AS953)=3,ISNUMBER(AS953))),0,1)+IF(OR(COUNTA(AT953:AV953)=0,AND(COUNTA(AT953:AV953)=3,ISNUMBER(AV953))),0,1)+IF(OR(COUNTA(AW953:AY953)=0,AND(COUNTA(AW953:AY953)=3,ISNUMBER(AY953))),0,1)+IF(OR(COUNTA(AZ953:BB953)=0,AND(COUNTA(AZ953:BB953)=3,ISNUMBER(BB953))),0,1))&gt;0,"; An invoice is incomplete (needs No, Date and a number in Ex GST)","")&amp;IF((IF(T953="",0,IFERROR(--(EOMONTH(T953,0)&lt;&gt;S$5),1))+IF(W953="",0,IFERROR(--(EOMONTH(W953,0)&lt;&gt;V$5),1))+IF(Z953="",0,IFERROR(--(EOMONTH(Z953,0)&lt;&gt;Y$5),1))+IF(AC953="",0,IFERROR(--(EOMONTH(AC953,0)&lt;&gt;AB$5),1))+IF(AF953="",0,IFERROR(--(EOMONTH(AF953,0)&lt;&gt;AE$5),1))+IF(AI953="",0,IFERROR(--(EOMONTH(AI953,0)&lt;&gt;AH$5),1))+IF(AL953="",0,IFERROR(--(EOMONTH(AL953,0)&lt;&gt;AK$5),1))+IF(AO953="",0,IFERROR(--(EOMONTH(AO953,0)&lt;&gt;AN$5),1))+IF(AR953="",0,IFERROR(--(EOMONTH(AR953,0)&lt;&gt;AQ$5),1))+IF(AU953="",0,IFERROR(--(EOMONTH(AU953,0)&lt;&gt;AT$5),1))+IF(AX953="",0,IFERROR(--(EOMONTH(AX953,0)&lt;&gt;AW$5),1))+IF(BA953="",0,IFERROR(--(EOMONTH(BA953,0)&lt;&gt;AZ$5),1)))&gt;0,"; An invoice date is not in the month it is typed under",""),3,500))</f>
        <v/>
      </c>
      <c r="S953" s="12" t="n"/>
      <c r="T953" s="13" t="n"/>
      <c r="U953" s="14" t="n"/>
      <c r="V953" s="12" t="n"/>
      <c r="W953" s="13" t="n"/>
      <c r="X953" s="14" t="n"/>
      <c r="Y953" s="12" t="n"/>
      <c r="Z953" s="13" t="n"/>
      <c r="AA953" s="14" t="n"/>
      <c r="AB953" s="12" t="n"/>
      <c r="AC953" s="13" t="n"/>
      <c r="AD953" s="14" t="n"/>
      <c r="AE953" s="12" t="n"/>
      <c r="AF953" s="13" t="n"/>
      <c r="AG953" s="14" t="n"/>
      <c r="AH953" s="12" t="n"/>
      <c r="AI953" s="13" t="n"/>
      <c r="AJ953" s="14" t="n"/>
      <c r="AK953" s="12" t="n"/>
      <c r="AL953" s="13" t="n"/>
      <c r="AM953" s="14" t="n"/>
      <c r="AN953" s="12" t="n"/>
      <c r="AO953" s="13" t="n"/>
      <c r="AP953" s="14" t="n"/>
      <c r="AQ953" s="12" t="n"/>
      <c r="AR953" s="13" t="n"/>
      <c r="AS953" s="14" t="n"/>
      <c r="AT953" s="12" t="n"/>
      <c r="AU953" s="13" t="n"/>
      <c r="AV953" s="14" t="n"/>
      <c r="AW953" s="12" t="n"/>
      <c r="AX953" s="13" t="n"/>
      <c r="AY953" s="14" t="n"/>
      <c r="AZ953" s="12" t="n"/>
      <c r="BA953" s="13" t="n"/>
      <c r="BB953" s="14" t="n"/>
      <c r="BC953" s="11">
        <f>IF(O953="","",IF(J953="GST 10%",ROUND(O953*set_GSTRate,2),0))</f>
        <v/>
      </c>
      <c r="BD953" s="11">
        <f>IF(O953="","",O953+BC953)</f>
        <v/>
      </c>
      <c r="BE953" s="15">
        <f>IF(O953="","",COUNTA(S953,V953,Y953,AB953,AE953,AH953,AK953,AN953,AQ953,AT953,AW953,AZ953))</f>
        <v/>
      </c>
      <c r="BF953" s="16">
        <f>IF(COUNT(T953,W953,Z953,AC953,AF953,AI953,AL953,AO953,AR953,AU953,AX953,BA953)=0,"",MAX(T953,W953,Z953,AC953,AF953,AI953,AL953,AO953,AR953,AU953,AX953,BA953))</f>
        <v/>
      </c>
      <c r="BG953" s="10">
        <f>MID(IF(S953="","",", "&amp;S953)&amp;IF(V953="","",", "&amp;V953)&amp;IF(Y953="","",", "&amp;Y953)&amp;IF(AB953="","",", "&amp;AB953)&amp;IF(AE953="","",", "&amp;AE953)&amp;IF(AH953="","",", "&amp;AH953)&amp;IF(AK953="","",", "&amp;AK953)&amp;IF(AN953="","",", "&amp;AN953)&amp;IF(AQ953="","",", "&amp;AQ953)&amp;IF(AT953="","",", "&amp;AT953)&amp;IF(AW953="","",", "&amp;AW953)&amp;IF(AZ953="","",", "&amp;AZ953),3,500)</f>
        <v/>
      </c>
      <c r="BH953" s="12" t="n"/>
      <c r="BI953" s="15">
        <f>IFERROR(MATCH($A953,IF($B953="Onsite",tbl_Onsite[Row ID],IF($B953="Production",tbl_Production[Row ID],tbl_Consulting[Row ID])),0),"")</f>
        <v/>
      </c>
    </row>
    <row r="954">
      <c r="A954" s="10" t="inlineStr">
        <is>
          <t>PRD-0448</t>
        </is>
      </c>
      <c r="B954" s="10" t="inlineStr">
        <is>
          <t>Production</t>
        </is>
      </c>
      <c r="C954" s="10">
        <f>IF($BI954="","",IF($B954="Onsite",INDEX(tbl_Onsite[Job Number],$BI954),IF($B954="Production",INDEX(tbl_Production[Job Number],$BI954),INDEX(tbl_Consulting[Job Number],$BI954)))&amp;"")</f>
        <v/>
      </c>
      <c r="D954" s="10">
        <f>IF($BI954="","",IF($B954="Onsite",INDEX(tbl_Onsite[Client],$BI954),IF($B954="Production",INDEX(tbl_Production[Client],$BI954),INDEX(tbl_Consulting[Client],$BI954)))&amp;"")</f>
        <v/>
      </c>
      <c r="E954" s="10">
        <f>IF($C954="","",IF(COUNTIF(lst_Jobs,$C954)&gt;0,"OK","CHECK"))</f>
        <v/>
      </c>
      <c r="F954" s="10">
        <f>IF($C954="","",IFERROR(INDEX(lst_JobName,MATCH($C954,lst_Jobs,0)),""))</f>
        <v/>
      </c>
      <c r="G954" s="10">
        <f>IF($BI954="","",IF($B954="Onsite",INDEX(tbl_Onsite[Job Description],$BI954),IF($B954="Production",INDEX(tbl_Production[Job Description],$BI954),INDEX(tbl_Consulting[Job Description],$BI954)))&amp;"")</f>
        <v/>
      </c>
      <c r="H954" s="10">
        <f>IF($BI954="","",IF($B954="Onsite",INDEX(tbl_Onsite[Cost Centre],$BI954),IF($B954="Production",INDEX(tbl_Production[Cost Centre],$BI954),INDEX(tbl_Consulting[Cost Centre],$BI954)))&amp;"")</f>
        <v/>
      </c>
      <c r="I954" s="10">
        <f>IF($BI954="","",IF($B954="Onsite",INDEX(tbl_Onsite[Invoice Type],$BI954),IF($B954="Production",INDEX(tbl_Production[Invoice Type],$BI954),INDEX(tbl_Consulting[Invoice Type],$BI954)))&amp;"")</f>
        <v/>
      </c>
      <c r="J954" s="10">
        <f>IF($BI954="","",IF($B954="Onsite",INDEX(tbl_Onsite[Tax Code],$BI954),IF($B954="Production",INDEX(tbl_Production[Tax Code],$BI954),INDEX(tbl_Consulting[Tax Code],$BI954)))&amp;"")</f>
        <v/>
      </c>
      <c r="K954" s="10">
        <f>IF(H954="","",IFERROR(INDEX(lst_CCtoGL,MATCH(H954,lst_CCforGL,0)),""))</f>
        <v/>
      </c>
      <c r="L954" s="10">
        <f>IF($BI954="","",IF($B954="Onsite",INDEX(tbl_Onsite[PO / Reference],$BI954),IF($B954="Production",INDEX(tbl_Production[Current RMS No],$BI954),INDEX(tbl_Consulting[Qwilr Quote],$BI954)))&amp;"")</f>
        <v/>
      </c>
      <c r="M954" s="10">
        <f>IF($BI954="","",IF($B954="Onsite",INDEX(tbl_Onsite[Notes],$BI954),IF($B954="Production",INDEX(tbl_Production[Notes],$BI954),INDEX(tbl_Consulting[Notes],$BI954)))&amp;"")</f>
        <v/>
      </c>
      <c r="N954" s="11">
        <f>IF($BI954="","",IF(IF($B954="Onsite",INDEX(tbl_Onsite[Expected Revenue Ex GST],$BI954),IF($B954="Production",INDEX(tbl_Production[Expected Revenue Ex GST],$BI954),INDEX(tbl_Consulting[Expected Revenue Ex GST],$BI954)))="","",IF($B954="Onsite",INDEX(tbl_Onsite[Expected Revenue Ex GST],$BI954),IF($B954="Production",INDEX(tbl_Production[Expected Revenue Ex GST],$BI954),INDEX(tbl_Consulting[Expected Revenue Ex GST],$BI954)))))</f>
        <v/>
      </c>
      <c r="O954" s="11">
        <f>IF(AND($C954="",NOT(COUNTA($S954:$BB954)&gt;0)),"",SUM(U954,X954,AA954,AD954,AG954,AJ954,AM954,AP954,AS954,AV954,AY954,BB954))</f>
        <v/>
      </c>
      <c r="P954" s="11">
        <f>IF(O954="","",N(N954)-O954)</f>
        <v/>
      </c>
      <c r="Q954" s="10">
        <f>IF(O954="","",IF($C954="","Invoice on empty job row",IF(N954="",IF(ROUND(O954,2)=0,"No dept value","Invoiced - no dept value"),IF(ROUND(O954,2)=0,"Not invoiced - to invoice",IF(ROUND(P954,2)=0,"Agrees",IF(P954&gt;0,"Dept higher - to invoice","Xero higher - check dept"))))))</f>
        <v/>
      </c>
      <c r="R954" s="10">
        <f>IF(AND($C954="",NOT(COUNTA($S954:$BB954)&gt;0),$BI954&lt;&gt;""),"",MID(IF($BI954="","; Row ID not found on the department sheet - a row was deleted","")&amp;IF(AND($C954="",COUNTA($S954:$BB954)&gt;0),"; Invoice entered but the department row has no job number","")&amp;IF(E954="CHECK","; Job number not in the Xero job list","")&amp;IF(AND($C954&lt;&gt;"",COUNTIF($C$7:$C$1506,$C954)&gt;1),"; Job number on more than one row","")&amp;IF(AND($C954&lt;&gt;"",H954=""),"; Dept has not set a cost centre","")&amp;IF(AND($C954&lt;&gt;"",J954=""),"; Dept has not set a tax code","")&amp;IF(AND($C954&lt;&gt;"",N954=""),"; Dept has not entered an expected value","")&amp;IF((IF(OR(COUNTA(S954:U954)=0,AND(COUNTA(S954:U954)=3,ISNUMBER(U954))),0,1)+IF(OR(COUNTA(V954:X954)=0,AND(COUNTA(V954:X954)=3,ISNUMBER(X954))),0,1)+IF(OR(COUNTA(Y954:AA954)=0,AND(COUNTA(Y954:AA954)=3,ISNUMBER(AA954))),0,1)+IF(OR(COUNTA(AB954:AD954)=0,AND(COUNTA(AB954:AD954)=3,ISNUMBER(AD954))),0,1)+IF(OR(COUNTA(AE954:AG954)=0,AND(COUNTA(AE954:AG954)=3,ISNUMBER(AG954))),0,1)+IF(OR(COUNTA(AH954:AJ954)=0,AND(COUNTA(AH954:AJ954)=3,ISNUMBER(AJ954))),0,1)+IF(OR(COUNTA(AK954:AM954)=0,AND(COUNTA(AK954:AM954)=3,ISNUMBER(AM954))),0,1)+IF(OR(COUNTA(AN954:AP954)=0,AND(COUNTA(AN954:AP954)=3,ISNUMBER(AP954))),0,1)+IF(OR(COUNTA(AQ954:AS954)=0,AND(COUNTA(AQ954:AS954)=3,ISNUMBER(AS954))),0,1)+IF(OR(COUNTA(AT954:AV954)=0,AND(COUNTA(AT954:AV954)=3,ISNUMBER(AV954))),0,1)+IF(OR(COUNTA(AW954:AY954)=0,AND(COUNTA(AW954:AY954)=3,ISNUMBER(AY954))),0,1)+IF(OR(COUNTA(AZ954:BB954)=0,AND(COUNTA(AZ954:BB954)=3,ISNUMBER(BB954))),0,1))&gt;0,"; An invoice is incomplete (needs No, Date and a number in Ex GST)","")&amp;IF((IF(T954="",0,IFERROR(--(EOMONTH(T954,0)&lt;&gt;S$5),1))+IF(W954="",0,IFERROR(--(EOMONTH(W954,0)&lt;&gt;V$5),1))+IF(Z954="",0,IFERROR(--(EOMONTH(Z954,0)&lt;&gt;Y$5),1))+IF(AC954="",0,IFERROR(--(EOMONTH(AC954,0)&lt;&gt;AB$5),1))+IF(AF954="",0,IFERROR(--(EOMONTH(AF954,0)&lt;&gt;AE$5),1))+IF(AI954="",0,IFERROR(--(EOMONTH(AI954,0)&lt;&gt;AH$5),1))+IF(AL954="",0,IFERROR(--(EOMONTH(AL954,0)&lt;&gt;AK$5),1))+IF(AO954="",0,IFERROR(--(EOMONTH(AO954,0)&lt;&gt;AN$5),1))+IF(AR954="",0,IFERROR(--(EOMONTH(AR954,0)&lt;&gt;AQ$5),1))+IF(AU954="",0,IFERROR(--(EOMONTH(AU954,0)&lt;&gt;AT$5),1))+IF(AX954="",0,IFERROR(--(EOMONTH(AX954,0)&lt;&gt;AW$5),1))+IF(BA954="",0,IFERROR(--(EOMONTH(BA954,0)&lt;&gt;AZ$5),1)))&gt;0,"; An invoice date is not in the month it is typed under",""),3,500))</f>
        <v/>
      </c>
      <c r="S954" s="12" t="n"/>
      <c r="T954" s="13" t="n"/>
      <c r="U954" s="14" t="n"/>
      <c r="V954" s="12" t="n"/>
      <c r="W954" s="13" t="n"/>
      <c r="X954" s="14" t="n"/>
      <c r="Y954" s="12" t="n"/>
      <c r="Z954" s="13" t="n"/>
      <c r="AA954" s="14" t="n"/>
      <c r="AB954" s="12" t="n"/>
      <c r="AC954" s="13" t="n"/>
      <c r="AD954" s="14" t="n"/>
      <c r="AE954" s="12" t="n"/>
      <c r="AF954" s="13" t="n"/>
      <c r="AG954" s="14" t="n"/>
      <c r="AH954" s="12" t="n"/>
      <c r="AI954" s="13" t="n"/>
      <c r="AJ954" s="14" t="n"/>
      <c r="AK954" s="12" t="n"/>
      <c r="AL954" s="13" t="n"/>
      <c r="AM954" s="14" t="n"/>
      <c r="AN954" s="12" t="n"/>
      <c r="AO954" s="13" t="n"/>
      <c r="AP954" s="14" t="n"/>
      <c r="AQ954" s="12" t="n"/>
      <c r="AR954" s="13" t="n"/>
      <c r="AS954" s="14" t="n"/>
      <c r="AT954" s="12" t="n"/>
      <c r="AU954" s="13" t="n"/>
      <c r="AV954" s="14" t="n"/>
      <c r="AW954" s="12" t="n"/>
      <c r="AX954" s="13" t="n"/>
      <c r="AY954" s="14" t="n"/>
      <c r="AZ954" s="12" t="n"/>
      <c r="BA954" s="13" t="n"/>
      <c r="BB954" s="14" t="n"/>
      <c r="BC954" s="11">
        <f>IF(O954="","",IF(J954="GST 10%",ROUND(O954*set_GSTRate,2),0))</f>
        <v/>
      </c>
      <c r="BD954" s="11">
        <f>IF(O954="","",O954+BC954)</f>
        <v/>
      </c>
      <c r="BE954" s="15">
        <f>IF(O954="","",COUNTA(S954,V954,Y954,AB954,AE954,AH954,AK954,AN954,AQ954,AT954,AW954,AZ954))</f>
        <v/>
      </c>
      <c r="BF954" s="16">
        <f>IF(COUNT(T954,W954,Z954,AC954,AF954,AI954,AL954,AO954,AR954,AU954,AX954,BA954)=0,"",MAX(T954,W954,Z954,AC954,AF954,AI954,AL954,AO954,AR954,AU954,AX954,BA954))</f>
        <v/>
      </c>
      <c r="BG954" s="10">
        <f>MID(IF(S954="","",", "&amp;S954)&amp;IF(V954="","",", "&amp;V954)&amp;IF(Y954="","",", "&amp;Y954)&amp;IF(AB954="","",", "&amp;AB954)&amp;IF(AE954="","",", "&amp;AE954)&amp;IF(AH954="","",", "&amp;AH954)&amp;IF(AK954="","",", "&amp;AK954)&amp;IF(AN954="","",", "&amp;AN954)&amp;IF(AQ954="","",", "&amp;AQ954)&amp;IF(AT954="","",", "&amp;AT954)&amp;IF(AW954="","",", "&amp;AW954)&amp;IF(AZ954="","",", "&amp;AZ954),3,500)</f>
        <v/>
      </c>
      <c r="BH954" s="12" t="n"/>
      <c r="BI954" s="15">
        <f>IFERROR(MATCH($A954,IF($B954="Onsite",tbl_Onsite[Row ID],IF($B954="Production",tbl_Production[Row ID],tbl_Consulting[Row ID])),0),"")</f>
        <v/>
      </c>
    </row>
    <row r="955">
      <c r="A955" s="10" t="inlineStr">
        <is>
          <t>PRD-0449</t>
        </is>
      </c>
      <c r="B955" s="10" t="inlineStr">
        <is>
          <t>Production</t>
        </is>
      </c>
      <c r="C955" s="10">
        <f>IF($BI955="","",IF($B955="Onsite",INDEX(tbl_Onsite[Job Number],$BI955),IF($B955="Production",INDEX(tbl_Production[Job Number],$BI955),INDEX(tbl_Consulting[Job Number],$BI955)))&amp;"")</f>
        <v/>
      </c>
      <c r="D955" s="10">
        <f>IF($BI955="","",IF($B955="Onsite",INDEX(tbl_Onsite[Client],$BI955),IF($B955="Production",INDEX(tbl_Production[Client],$BI955),INDEX(tbl_Consulting[Client],$BI955)))&amp;"")</f>
        <v/>
      </c>
      <c r="E955" s="10">
        <f>IF($C955="","",IF(COUNTIF(lst_Jobs,$C955)&gt;0,"OK","CHECK"))</f>
        <v/>
      </c>
      <c r="F955" s="10">
        <f>IF($C955="","",IFERROR(INDEX(lst_JobName,MATCH($C955,lst_Jobs,0)),""))</f>
        <v/>
      </c>
      <c r="G955" s="10">
        <f>IF($BI955="","",IF($B955="Onsite",INDEX(tbl_Onsite[Job Description],$BI955),IF($B955="Production",INDEX(tbl_Production[Job Description],$BI955),INDEX(tbl_Consulting[Job Description],$BI955)))&amp;"")</f>
        <v/>
      </c>
      <c r="H955" s="10">
        <f>IF($BI955="","",IF($B955="Onsite",INDEX(tbl_Onsite[Cost Centre],$BI955),IF($B955="Production",INDEX(tbl_Production[Cost Centre],$BI955),INDEX(tbl_Consulting[Cost Centre],$BI955)))&amp;"")</f>
        <v/>
      </c>
      <c r="I955" s="10">
        <f>IF($BI955="","",IF($B955="Onsite",INDEX(tbl_Onsite[Invoice Type],$BI955),IF($B955="Production",INDEX(tbl_Production[Invoice Type],$BI955),INDEX(tbl_Consulting[Invoice Type],$BI955)))&amp;"")</f>
        <v/>
      </c>
      <c r="J955" s="10">
        <f>IF($BI955="","",IF($B955="Onsite",INDEX(tbl_Onsite[Tax Code],$BI955),IF($B955="Production",INDEX(tbl_Production[Tax Code],$BI955),INDEX(tbl_Consulting[Tax Code],$BI955)))&amp;"")</f>
        <v/>
      </c>
      <c r="K955" s="10">
        <f>IF(H955="","",IFERROR(INDEX(lst_CCtoGL,MATCH(H955,lst_CCforGL,0)),""))</f>
        <v/>
      </c>
      <c r="L955" s="10">
        <f>IF($BI955="","",IF($B955="Onsite",INDEX(tbl_Onsite[PO / Reference],$BI955),IF($B955="Production",INDEX(tbl_Production[Current RMS No],$BI955),INDEX(tbl_Consulting[Qwilr Quote],$BI955)))&amp;"")</f>
        <v/>
      </c>
      <c r="M955" s="10">
        <f>IF($BI955="","",IF($B955="Onsite",INDEX(tbl_Onsite[Notes],$BI955),IF($B955="Production",INDEX(tbl_Production[Notes],$BI955),INDEX(tbl_Consulting[Notes],$BI955)))&amp;"")</f>
        <v/>
      </c>
      <c r="N955" s="11">
        <f>IF($BI955="","",IF(IF($B955="Onsite",INDEX(tbl_Onsite[Expected Revenue Ex GST],$BI955),IF($B955="Production",INDEX(tbl_Production[Expected Revenue Ex GST],$BI955),INDEX(tbl_Consulting[Expected Revenue Ex GST],$BI955)))="","",IF($B955="Onsite",INDEX(tbl_Onsite[Expected Revenue Ex GST],$BI955),IF($B955="Production",INDEX(tbl_Production[Expected Revenue Ex GST],$BI955),INDEX(tbl_Consulting[Expected Revenue Ex GST],$BI955)))))</f>
        <v/>
      </c>
      <c r="O955" s="11">
        <f>IF(AND($C955="",NOT(COUNTA($S955:$BB955)&gt;0)),"",SUM(U955,X955,AA955,AD955,AG955,AJ955,AM955,AP955,AS955,AV955,AY955,BB955))</f>
        <v/>
      </c>
      <c r="P955" s="11">
        <f>IF(O955="","",N(N955)-O955)</f>
        <v/>
      </c>
      <c r="Q955" s="10">
        <f>IF(O955="","",IF($C955="","Invoice on empty job row",IF(N955="",IF(ROUND(O955,2)=0,"No dept value","Invoiced - no dept value"),IF(ROUND(O955,2)=0,"Not invoiced - to invoice",IF(ROUND(P955,2)=0,"Agrees",IF(P955&gt;0,"Dept higher - to invoice","Xero higher - check dept"))))))</f>
        <v/>
      </c>
      <c r="R955" s="10">
        <f>IF(AND($C955="",NOT(COUNTA($S955:$BB955)&gt;0),$BI955&lt;&gt;""),"",MID(IF($BI955="","; Row ID not found on the department sheet - a row was deleted","")&amp;IF(AND($C955="",COUNTA($S955:$BB955)&gt;0),"; Invoice entered but the department row has no job number","")&amp;IF(E955="CHECK","; Job number not in the Xero job list","")&amp;IF(AND($C955&lt;&gt;"",COUNTIF($C$7:$C$1506,$C955)&gt;1),"; Job number on more than one row","")&amp;IF(AND($C955&lt;&gt;"",H955=""),"; Dept has not set a cost centre","")&amp;IF(AND($C955&lt;&gt;"",J955=""),"; Dept has not set a tax code","")&amp;IF(AND($C955&lt;&gt;"",N955=""),"; Dept has not entered an expected value","")&amp;IF((IF(OR(COUNTA(S955:U955)=0,AND(COUNTA(S955:U955)=3,ISNUMBER(U955))),0,1)+IF(OR(COUNTA(V955:X955)=0,AND(COUNTA(V955:X955)=3,ISNUMBER(X955))),0,1)+IF(OR(COUNTA(Y955:AA955)=0,AND(COUNTA(Y955:AA955)=3,ISNUMBER(AA955))),0,1)+IF(OR(COUNTA(AB955:AD955)=0,AND(COUNTA(AB955:AD955)=3,ISNUMBER(AD955))),0,1)+IF(OR(COUNTA(AE955:AG955)=0,AND(COUNTA(AE955:AG955)=3,ISNUMBER(AG955))),0,1)+IF(OR(COUNTA(AH955:AJ955)=0,AND(COUNTA(AH955:AJ955)=3,ISNUMBER(AJ955))),0,1)+IF(OR(COUNTA(AK955:AM955)=0,AND(COUNTA(AK955:AM955)=3,ISNUMBER(AM955))),0,1)+IF(OR(COUNTA(AN955:AP955)=0,AND(COUNTA(AN955:AP955)=3,ISNUMBER(AP955))),0,1)+IF(OR(COUNTA(AQ955:AS955)=0,AND(COUNTA(AQ955:AS955)=3,ISNUMBER(AS955))),0,1)+IF(OR(COUNTA(AT955:AV955)=0,AND(COUNTA(AT955:AV955)=3,ISNUMBER(AV955))),0,1)+IF(OR(COUNTA(AW955:AY955)=0,AND(COUNTA(AW955:AY955)=3,ISNUMBER(AY955))),0,1)+IF(OR(COUNTA(AZ955:BB955)=0,AND(COUNTA(AZ955:BB955)=3,ISNUMBER(BB955))),0,1))&gt;0,"; An invoice is incomplete (needs No, Date and a number in Ex GST)","")&amp;IF((IF(T955="",0,IFERROR(--(EOMONTH(T955,0)&lt;&gt;S$5),1))+IF(W955="",0,IFERROR(--(EOMONTH(W955,0)&lt;&gt;V$5),1))+IF(Z955="",0,IFERROR(--(EOMONTH(Z955,0)&lt;&gt;Y$5),1))+IF(AC955="",0,IFERROR(--(EOMONTH(AC955,0)&lt;&gt;AB$5),1))+IF(AF955="",0,IFERROR(--(EOMONTH(AF955,0)&lt;&gt;AE$5),1))+IF(AI955="",0,IFERROR(--(EOMONTH(AI955,0)&lt;&gt;AH$5),1))+IF(AL955="",0,IFERROR(--(EOMONTH(AL955,0)&lt;&gt;AK$5),1))+IF(AO955="",0,IFERROR(--(EOMONTH(AO955,0)&lt;&gt;AN$5),1))+IF(AR955="",0,IFERROR(--(EOMONTH(AR955,0)&lt;&gt;AQ$5),1))+IF(AU955="",0,IFERROR(--(EOMONTH(AU955,0)&lt;&gt;AT$5),1))+IF(AX955="",0,IFERROR(--(EOMONTH(AX955,0)&lt;&gt;AW$5),1))+IF(BA955="",0,IFERROR(--(EOMONTH(BA955,0)&lt;&gt;AZ$5),1)))&gt;0,"; An invoice date is not in the month it is typed under",""),3,500))</f>
        <v/>
      </c>
      <c r="S955" s="12" t="n"/>
      <c r="T955" s="13" t="n"/>
      <c r="U955" s="14" t="n"/>
      <c r="V955" s="12" t="n"/>
      <c r="W955" s="13" t="n"/>
      <c r="X955" s="14" t="n"/>
      <c r="Y955" s="12" t="n"/>
      <c r="Z955" s="13" t="n"/>
      <c r="AA955" s="14" t="n"/>
      <c r="AB955" s="12" t="n"/>
      <c r="AC955" s="13" t="n"/>
      <c r="AD955" s="14" t="n"/>
      <c r="AE955" s="12" t="n"/>
      <c r="AF955" s="13" t="n"/>
      <c r="AG955" s="14" t="n"/>
      <c r="AH955" s="12" t="n"/>
      <c r="AI955" s="13" t="n"/>
      <c r="AJ955" s="14" t="n"/>
      <c r="AK955" s="12" t="n"/>
      <c r="AL955" s="13" t="n"/>
      <c r="AM955" s="14" t="n"/>
      <c r="AN955" s="12" t="n"/>
      <c r="AO955" s="13" t="n"/>
      <c r="AP955" s="14" t="n"/>
      <c r="AQ955" s="12" t="n"/>
      <c r="AR955" s="13" t="n"/>
      <c r="AS955" s="14" t="n"/>
      <c r="AT955" s="12" t="n"/>
      <c r="AU955" s="13" t="n"/>
      <c r="AV955" s="14" t="n"/>
      <c r="AW955" s="12" t="n"/>
      <c r="AX955" s="13" t="n"/>
      <c r="AY955" s="14" t="n"/>
      <c r="AZ955" s="12" t="n"/>
      <c r="BA955" s="13" t="n"/>
      <c r="BB955" s="14" t="n"/>
      <c r="BC955" s="11">
        <f>IF(O955="","",IF(J955="GST 10%",ROUND(O955*set_GSTRate,2),0))</f>
        <v/>
      </c>
      <c r="BD955" s="11">
        <f>IF(O955="","",O955+BC955)</f>
        <v/>
      </c>
      <c r="BE955" s="15">
        <f>IF(O955="","",COUNTA(S955,V955,Y955,AB955,AE955,AH955,AK955,AN955,AQ955,AT955,AW955,AZ955))</f>
        <v/>
      </c>
      <c r="BF955" s="16">
        <f>IF(COUNT(T955,W955,Z955,AC955,AF955,AI955,AL955,AO955,AR955,AU955,AX955,BA955)=0,"",MAX(T955,W955,Z955,AC955,AF955,AI955,AL955,AO955,AR955,AU955,AX955,BA955))</f>
        <v/>
      </c>
      <c r="BG955" s="10">
        <f>MID(IF(S955="","",", "&amp;S955)&amp;IF(V955="","",", "&amp;V955)&amp;IF(Y955="","",", "&amp;Y955)&amp;IF(AB955="","",", "&amp;AB955)&amp;IF(AE955="","",", "&amp;AE955)&amp;IF(AH955="","",", "&amp;AH955)&amp;IF(AK955="","",", "&amp;AK955)&amp;IF(AN955="","",", "&amp;AN955)&amp;IF(AQ955="","",", "&amp;AQ955)&amp;IF(AT955="","",", "&amp;AT955)&amp;IF(AW955="","",", "&amp;AW955)&amp;IF(AZ955="","",", "&amp;AZ955),3,500)</f>
        <v/>
      </c>
      <c r="BH955" s="12" t="n"/>
      <c r="BI955" s="15">
        <f>IFERROR(MATCH($A955,IF($B955="Onsite",tbl_Onsite[Row ID],IF($B955="Production",tbl_Production[Row ID],tbl_Consulting[Row ID])),0),"")</f>
        <v/>
      </c>
    </row>
    <row r="956">
      <c r="A956" s="10" t="inlineStr">
        <is>
          <t>PRD-0450</t>
        </is>
      </c>
      <c r="B956" s="10" t="inlineStr">
        <is>
          <t>Production</t>
        </is>
      </c>
      <c r="C956" s="10">
        <f>IF($BI956="","",IF($B956="Onsite",INDEX(tbl_Onsite[Job Number],$BI956),IF($B956="Production",INDEX(tbl_Production[Job Number],$BI956),INDEX(tbl_Consulting[Job Number],$BI956)))&amp;"")</f>
        <v/>
      </c>
      <c r="D956" s="10">
        <f>IF($BI956="","",IF($B956="Onsite",INDEX(tbl_Onsite[Client],$BI956),IF($B956="Production",INDEX(tbl_Production[Client],$BI956),INDEX(tbl_Consulting[Client],$BI956)))&amp;"")</f>
        <v/>
      </c>
      <c r="E956" s="10">
        <f>IF($C956="","",IF(COUNTIF(lst_Jobs,$C956)&gt;0,"OK","CHECK"))</f>
        <v/>
      </c>
      <c r="F956" s="10">
        <f>IF($C956="","",IFERROR(INDEX(lst_JobName,MATCH($C956,lst_Jobs,0)),""))</f>
        <v/>
      </c>
      <c r="G956" s="10">
        <f>IF($BI956="","",IF($B956="Onsite",INDEX(tbl_Onsite[Job Description],$BI956),IF($B956="Production",INDEX(tbl_Production[Job Description],$BI956),INDEX(tbl_Consulting[Job Description],$BI956)))&amp;"")</f>
        <v/>
      </c>
      <c r="H956" s="10">
        <f>IF($BI956="","",IF($B956="Onsite",INDEX(tbl_Onsite[Cost Centre],$BI956),IF($B956="Production",INDEX(tbl_Production[Cost Centre],$BI956),INDEX(tbl_Consulting[Cost Centre],$BI956)))&amp;"")</f>
        <v/>
      </c>
      <c r="I956" s="10">
        <f>IF($BI956="","",IF($B956="Onsite",INDEX(tbl_Onsite[Invoice Type],$BI956),IF($B956="Production",INDEX(tbl_Production[Invoice Type],$BI956),INDEX(tbl_Consulting[Invoice Type],$BI956)))&amp;"")</f>
        <v/>
      </c>
      <c r="J956" s="10">
        <f>IF($BI956="","",IF($B956="Onsite",INDEX(tbl_Onsite[Tax Code],$BI956),IF($B956="Production",INDEX(tbl_Production[Tax Code],$BI956),INDEX(tbl_Consulting[Tax Code],$BI956)))&amp;"")</f>
        <v/>
      </c>
      <c r="K956" s="10">
        <f>IF(H956="","",IFERROR(INDEX(lst_CCtoGL,MATCH(H956,lst_CCforGL,0)),""))</f>
        <v/>
      </c>
      <c r="L956" s="10">
        <f>IF($BI956="","",IF($B956="Onsite",INDEX(tbl_Onsite[PO / Reference],$BI956),IF($B956="Production",INDEX(tbl_Production[Current RMS No],$BI956),INDEX(tbl_Consulting[Qwilr Quote],$BI956)))&amp;"")</f>
        <v/>
      </c>
      <c r="M956" s="10">
        <f>IF($BI956="","",IF($B956="Onsite",INDEX(tbl_Onsite[Notes],$BI956),IF($B956="Production",INDEX(tbl_Production[Notes],$BI956),INDEX(tbl_Consulting[Notes],$BI956)))&amp;"")</f>
        <v/>
      </c>
      <c r="N956" s="11">
        <f>IF($BI956="","",IF(IF($B956="Onsite",INDEX(tbl_Onsite[Expected Revenue Ex GST],$BI956),IF($B956="Production",INDEX(tbl_Production[Expected Revenue Ex GST],$BI956),INDEX(tbl_Consulting[Expected Revenue Ex GST],$BI956)))="","",IF($B956="Onsite",INDEX(tbl_Onsite[Expected Revenue Ex GST],$BI956),IF($B956="Production",INDEX(tbl_Production[Expected Revenue Ex GST],$BI956),INDEX(tbl_Consulting[Expected Revenue Ex GST],$BI956)))))</f>
        <v/>
      </c>
      <c r="O956" s="11">
        <f>IF(AND($C956="",NOT(COUNTA($S956:$BB956)&gt;0)),"",SUM(U956,X956,AA956,AD956,AG956,AJ956,AM956,AP956,AS956,AV956,AY956,BB956))</f>
        <v/>
      </c>
      <c r="P956" s="11">
        <f>IF(O956="","",N(N956)-O956)</f>
        <v/>
      </c>
      <c r="Q956" s="10">
        <f>IF(O956="","",IF($C956="","Invoice on empty job row",IF(N956="",IF(ROUND(O956,2)=0,"No dept value","Invoiced - no dept value"),IF(ROUND(O956,2)=0,"Not invoiced - to invoice",IF(ROUND(P956,2)=0,"Agrees",IF(P956&gt;0,"Dept higher - to invoice","Xero higher - check dept"))))))</f>
        <v/>
      </c>
      <c r="R956" s="10">
        <f>IF(AND($C956="",NOT(COUNTA($S956:$BB956)&gt;0),$BI956&lt;&gt;""),"",MID(IF($BI956="","; Row ID not found on the department sheet - a row was deleted","")&amp;IF(AND($C956="",COUNTA($S956:$BB956)&gt;0),"; Invoice entered but the department row has no job number","")&amp;IF(E956="CHECK","; Job number not in the Xero job list","")&amp;IF(AND($C956&lt;&gt;"",COUNTIF($C$7:$C$1506,$C956)&gt;1),"; Job number on more than one row","")&amp;IF(AND($C956&lt;&gt;"",H956=""),"; Dept has not set a cost centre","")&amp;IF(AND($C956&lt;&gt;"",J956=""),"; Dept has not set a tax code","")&amp;IF(AND($C956&lt;&gt;"",N956=""),"; Dept has not entered an expected value","")&amp;IF((IF(OR(COUNTA(S956:U956)=0,AND(COUNTA(S956:U956)=3,ISNUMBER(U956))),0,1)+IF(OR(COUNTA(V956:X956)=0,AND(COUNTA(V956:X956)=3,ISNUMBER(X956))),0,1)+IF(OR(COUNTA(Y956:AA956)=0,AND(COUNTA(Y956:AA956)=3,ISNUMBER(AA956))),0,1)+IF(OR(COUNTA(AB956:AD956)=0,AND(COUNTA(AB956:AD956)=3,ISNUMBER(AD956))),0,1)+IF(OR(COUNTA(AE956:AG956)=0,AND(COUNTA(AE956:AG956)=3,ISNUMBER(AG956))),0,1)+IF(OR(COUNTA(AH956:AJ956)=0,AND(COUNTA(AH956:AJ956)=3,ISNUMBER(AJ956))),0,1)+IF(OR(COUNTA(AK956:AM956)=0,AND(COUNTA(AK956:AM956)=3,ISNUMBER(AM956))),0,1)+IF(OR(COUNTA(AN956:AP956)=0,AND(COUNTA(AN956:AP956)=3,ISNUMBER(AP956))),0,1)+IF(OR(COUNTA(AQ956:AS956)=0,AND(COUNTA(AQ956:AS956)=3,ISNUMBER(AS956))),0,1)+IF(OR(COUNTA(AT956:AV956)=0,AND(COUNTA(AT956:AV956)=3,ISNUMBER(AV956))),0,1)+IF(OR(COUNTA(AW956:AY956)=0,AND(COUNTA(AW956:AY956)=3,ISNUMBER(AY956))),0,1)+IF(OR(COUNTA(AZ956:BB956)=0,AND(COUNTA(AZ956:BB956)=3,ISNUMBER(BB956))),0,1))&gt;0,"; An invoice is incomplete (needs No, Date and a number in Ex GST)","")&amp;IF((IF(T956="",0,IFERROR(--(EOMONTH(T956,0)&lt;&gt;S$5),1))+IF(W956="",0,IFERROR(--(EOMONTH(W956,0)&lt;&gt;V$5),1))+IF(Z956="",0,IFERROR(--(EOMONTH(Z956,0)&lt;&gt;Y$5),1))+IF(AC956="",0,IFERROR(--(EOMONTH(AC956,0)&lt;&gt;AB$5),1))+IF(AF956="",0,IFERROR(--(EOMONTH(AF956,0)&lt;&gt;AE$5),1))+IF(AI956="",0,IFERROR(--(EOMONTH(AI956,0)&lt;&gt;AH$5),1))+IF(AL956="",0,IFERROR(--(EOMONTH(AL956,0)&lt;&gt;AK$5),1))+IF(AO956="",0,IFERROR(--(EOMONTH(AO956,0)&lt;&gt;AN$5),1))+IF(AR956="",0,IFERROR(--(EOMONTH(AR956,0)&lt;&gt;AQ$5),1))+IF(AU956="",0,IFERROR(--(EOMONTH(AU956,0)&lt;&gt;AT$5),1))+IF(AX956="",0,IFERROR(--(EOMONTH(AX956,0)&lt;&gt;AW$5),1))+IF(BA956="",0,IFERROR(--(EOMONTH(BA956,0)&lt;&gt;AZ$5),1)))&gt;0,"; An invoice date is not in the month it is typed under",""),3,500))</f>
        <v/>
      </c>
      <c r="S956" s="12" t="n"/>
      <c r="T956" s="13" t="n"/>
      <c r="U956" s="14" t="n"/>
      <c r="V956" s="12" t="n"/>
      <c r="W956" s="13" t="n"/>
      <c r="X956" s="14" t="n"/>
      <c r="Y956" s="12" t="n"/>
      <c r="Z956" s="13" t="n"/>
      <c r="AA956" s="14" t="n"/>
      <c r="AB956" s="12" t="n"/>
      <c r="AC956" s="13" t="n"/>
      <c r="AD956" s="14" t="n"/>
      <c r="AE956" s="12" t="n"/>
      <c r="AF956" s="13" t="n"/>
      <c r="AG956" s="14" t="n"/>
      <c r="AH956" s="12" t="n"/>
      <c r="AI956" s="13" t="n"/>
      <c r="AJ956" s="14" t="n"/>
      <c r="AK956" s="12" t="n"/>
      <c r="AL956" s="13" t="n"/>
      <c r="AM956" s="14" t="n"/>
      <c r="AN956" s="12" t="n"/>
      <c r="AO956" s="13" t="n"/>
      <c r="AP956" s="14" t="n"/>
      <c r="AQ956" s="12" t="n"/>
      <c r="AR956" s="13" t="n"/>
      <c r="AS956" s="14" t="n"/>
      <c r="AT956" s="12" t="n"/>
      <c r="AU956" s="13" t="n"/>
      <c r="AV956" s="14" t="n"/>
      <c r="AW956" s="12" t="n"/>
      <c r="AX956" s="13" t="n"/>
      <c r="AY956" s="14" t="n"/>
      <c r="AZ956" s="12" t="n"/>
      <c r="BA956" s="13" t="n"/>
      <c r="BB956" s="14" t="n"/>
      <c r="BC956" s="11">
        <f>IF(O956="","",IF(J956="GST 10%",ROUND(O956*set_GSTRate,2),0))</f>
        <v/>
      </c>
      <c r="BD956" s="11">
        <f>IF(O956="","",O956+BC956)</f>
        <v/>
      </c>
      <c r="BE956" s="15">
        <f>IF(O956="","",COUNTA(S956,V956,Y956,AB956,AE956,AH956,AK956,AN956,AQ956,AT956,AW956,AZ956))</f>
        <v/>
      </c>
      <c r="BF956" s="16">
        <f>IF(COUNT(T956,W956,Z956,AC956,AF956,AI956,AL956,AO956,AR956,AU956,AX956,BA956)=0,"",MAX(T956,W956,Z956,AC956,AF956,AI956,AL956,AO956,AR956,AU956,AX956,BA956))</f>
        <v/>
      </c>
      <c r="BG956" s="10">
        <f>MID(IF(S956="","",", "&amp;S956)&amp;IF(V956="","",", "&amp;V956)&amp;IF(Y956="","",", "&amp;Y956)&amp;IF(AB956="","",", "&amp;AB956)&amp;IF(AE956="","",", "&amp;AE956)&amp;IF(AH956="","",", "&amp;AH956)&amp;IF(AK956="","",", "&amp;AK956)&amp;IF(AN956="","",", "&amp;AN956)&amp;IF(AQ956="","",", "&amp;AQ956)&amp;IF(AT956="","",", "&amp;AT956)&amp;IF(AW956="","",", "&amp;AW956)&amp;IF(AZ956="","",", "&amp;AZ956),3,500)</f>
        <v/>
      </c>
      <c r="BH956" s="12" t="n"/>
      <c r="BI956" s="15">
        <f>IFERROR(MATCH($A956,IF($B956="Onsite",tbl_Onsite[Row ID],IF($B956="Production",tbl_Production[Row ID],tbl_Consulting[Row ID])),0),"")</f>
        <v/>
      </c>
    </row>
    <row r="957">
      <c r="A957" s="10" t="inlineStr">
        <is>
          <t>PRD-0451</t>
        </is>
      </c>
      <c r="B957" s="10" t="inlineStr">
        <is>
          <t>Production</t>
        </is>
      </c>
      <c r="C957" s="10">
        <f>IF($BI957="","",IF($B957="Onsite",INDEX(tbl_Onsite[Job Number],$BI957),IF($B957="Production",INDEX(tbl_Production[Job Number],$BI957),INDEX(tbl_Consulting[Job Number],$BI957)))&amp;"")</f>
        <v/>
      </c>
      <c r="D957" s="10">
        <f>IF($BI957="","",IF($B957="Onsite",INDEX(tbl_Onsite[Client],$BI957),IF($B957="Production",INDEX(tbl_Production[Client],$BI957),INDEX(tbl_Consulting[Client],$BI957)))&amp;"")</f>
        <v/>
      </c>
      <c r="E957" s="10">
        <f>IF($C957="","",IF(COUNTIF(lst_Jobs,$C957)&gt;0,"OK","CHECK"))</f>
        <v/>
      </c>
      <c r="F957" s="10">
        <f>IF($C957="","",IFERROR(INDEX(lst_JobName,MATCH($C957,lst_Jobs,0)),""))</f>
        <v/>
      </c>
      <c r="G957" s="10">
        <f>IF($BI957="","",IF($B957="Onsite",INDEX(tbl_Onsite[Job Description],$BI957),IF($B957="Production",INDEX(tbl_Production[Job Description],$BI957),INDEX(tbl_Consulting[Job Description],$BI957)))&amp;"")</f>
        <v/>
      </c>
      <c r="H957" s="10">
        <f>IF($BI957="","",IF($B957="Onsite",INDEX(tbl_Onsite[Cost Centre],$BI957),IF($B957="Production",INDEX(tbl_Production[Cost Centre],$BI957),INDEX(tbl_Consulting[Cost Centre],$BI957)))&amp;"")</f>
        <v/>
      </c>
      <c r="I957" s="10">
        <f>IF($BI957="","",IF($B957="Onsite",INDEX(tbl_Onsite[Invoice Type],$BI957),IF($B957="Production",INDEX(tbl_Production[Invoice Type],$BI957),INDEX(tbl_Consulting[Invoice Type],$BI957)))&amp;"")</f>
        <v/>
      </c>
      <c r="J957" s="10">
        <f>IF($BI957="","",IF($B957="Onsite",INDEX(tbl_Onsite[Tax Code],$BI957),IF($B957="Production",INDEX(tbl_Production[Tax Code],$BI957),INDEX(tbl_Consulting[Tax Code],$BI957)))&amp;"")</f>
        <v/>
      </c>
      <c r="K957" s="10">
        <f>IF(H957="","",IFERROR(INDEX(lst_CCtoGL,MATCH(H957,lst_CCforGL,0)),""))</f>
        <v/>
      </c>
      <c r="L957" s="10">
        <f>IF($BI957="","",IF($B957="Onsite",INDEX(tbl_Onsite[PO / Reference],$BI957),IF($B957="Production",INDEX(tbl_Production[Current RMS No],$BI957),INDEX(tbl_Consulting[Qwilr Quote],$BI957)))&amp;"")</f>
        <v/>
      </c>
      <c r="M957" s="10">
        <f>IF($BI957="","",IF($B957="Onsite",INDEX(tbl_Onsite[Notes],$BI957),IF($B957="Production",INDEX(tbl_Production[Notes],$BI957),INDEX(tbl_Consulting[Notes],$BI957)))&amp;"")</f>
        <v/>
      </c>
      <c r="N957" s="11">
        <f>IF($BI957="","",IF(IF($B957="Onsite",INDEX(tbl_Onsite[Expected Revenue Ex GST],$BI957),IF($B957="Production",INDEX(tbl_Production[Expected Revenue Ex GST],$BI957),INDEX(tbl_Consulting[Expected Revenue Ex GST],$BI957)))="","",IF($B957="Onsite",INDEX(tbl_Onsite[Expected Revenue Ex GST],$BI957),IF($B957="Production",INDEX(tbl_Production[Expected Revenue Ex GST],$BI957),INDEX(tbl_Consulting[Expected Revenue Ex GST],$BI957)))))</f>
        <v/>
      </c>
      <c r="O957" s="11">
        <f>IF(AND($C957="",NOT(COUNTA($S957:$BB957)&gt;0)),"",SUM(U957,X957,AA957,AD957,AG957,AJ957,AM957,AP957,AS957,AV957,AY957,BB957))</f>
        <v/>
      </c>
      <c r="P957" s="11">
        <f>IF(O957="","",N(N957)-O957)</f>
        <v/>
      </c>
      <c r="Q957" s="10">
        <f>IF(O957="","",IF($C957="","Invoice on empty job row",IF(N957="",IF(ROUND(O957,2)=0,"No dept value","Invoiced - no dept value"),IF(ROUND(O957,2)=0,"Not invoiced - to invoice",IF(ROUND(P957,2)=0,"Agrees",IF(P957&gt;0,"Dept higher - to invoice","Xero higher - check dept"))))))</f>
        <v/>
      </c>
      <c r="R957" s="10">
        <f>IF(AND($C957="",NOT(COUNTA($S957:$BB957)&gt;0),$BI957&lt;&gt;""),"",MID(IF($BI957="","; Row ID not found on the department sheet - a row was deleted","")&amp;IF(AND($C957="",COUNTA($S957:$BB957)&gt;0),"; Invoice entered but the department row has no job number","")&amp;IF(E957="CHECK","; Job number not in the Xero job list","")&amp;IF(AND($C957&lt;&gt;"",COUNTIF($C$7:$C$1506,$C957)&gt;1),"; Job number on more than one row","")&amp;IF(AND($C957&lt;&gt;"",H957=""),"; Dept has not set a cost centre","")&amp;IF(AND($C957&lt;&gt;"",J957=""),"; Dept has not set a tax code","")&amp;IF(AND($C957&lt;&gt;"",N957=""),"; Dept has not entered an expected value","")&amp;IF((IF(OR(COUNTA(S957:U957)=0,AND(COUNTA(S957:U957)=3,ISNUMBER(U957))),0,1)+IF(OR(COUNTA(V957:X957)=0,AND(COUNTA(V957:X957)=3,ISNUMBER(X957))),0,1)+IF(OR(COUNTA(Y957:AA957)=0,AND(COUNTA(Y957:AA957)=3,ISNUMBER(AA957))),0,1)+IF(OR(COUNTA(AB957:AD957)=0,AND(COUNTA(AB957:AD957)=3,ISNUMBER(AD957))),0,1)+IF(OR(COUNTA(AE957:AG957)=0,AND(COUNTA(AE957:AG957)=3,ISNUMBER(AG957))),0,1)+IF(OR(COUNTA(AH957:AJ957)=0,AND(COUNTA(AH957:AJ957)=3,ISNUMBER(AJ957))),0,1)+IF(OR(COUNTA(AK957:AM957)=0,AND(COUNTA(AK957:AM957)=3,ISNUMBER(AM957))),0,1)+IF(OR(COUNTA(AN957:AP957)=0,AND(COUNTA(AN957:AP957)=3,ISNUMBER(AP957))),0,1)+IF(OR(COUNTA(AQ957:AS957)=0,AND(COUNTA(AQ957:AS957)=3,ISNUMBER(AS957))),0,1)+IF(OR(COUNTA(AT957:AV957)=0,AND(COUNTA(AT957:AV957)=3,ISNUMBER(AV957))),0,1)+IF(OR(COUNTA(AW957:AY957)=0,AND(COUNTA(AW957:AY957)=3,ISNUMBER(AY957))),0,1)+IF(OR(COUNTA(AZ957:BB957)=0,AND(COUNTA(AZ957:BB957)=3,ISNUMBER(BB957))),0,1))&gt;0,"; An invoice is incomplete (needs No, Date and a number in Ex GST)","")&amp;IF((IF(T957="",0,IFERROR(--(EOMONTH(T957,0)&lt;&gt;S$5),1))+IF(W957="",0,IFERROR(--(EOMONTH(W957,0)&lt;&gt;V$5),1))+IF(Z957="",0,IFERROR(--(EOMONTH(Z957,0)&lt;&gt;Y$5),1))+IF(AC957="",0,IFERROR(--(EOMONTH(AC957,0)&lt;&gt;AB$5),1))+IF(AF957="",0,IFERROR(--(EOMONTH(AF957,0)&lt;&gt;AE$5),1))+IF(AI957="",0,IFERROR(--(EOMONTH(AI957,0)&lt;&gt;AH$5),1))+IF(AL957="",0,IFERROR(--(EOMONTH(AL957,0)&lt;&gt;AK$5),1))+IF(AO957="",0,IFERROR(--(EOMONTH(AO957,0)&lt;&gt;AN$5),1))+IF(AR957="",0,IFERROR(--(EOMONTH(AR957,0)&lt;&gt;AQ$5),1))+IF(AU957="",0,IFERROR(--(EOMONTH(AU957,0)&lt;&gt;AT$5),1))+IF(AX957="",0,IFERROR(--(EOMONTH(AX957,0)&lt;&gt;AW$5),1))+IF(BA957="",0,IFERROR(--(EOMONTH(BA957,0)&lt;&gt;AZ$5),1)))&gt;0,"; An invoice date is not in the month it is typed under",""),3,500))</f>
        <v/>
      </c>
      <c r="S957" s="12" t="n"/>
      <c r="T957" s="13" t="n"/>
      <c r="U957" s="14" t="n"/>
      <c r="V957" s="12" t="n"/>
      <c r="W957" s="13" t="n"/>
      <c r="X957" s="14" t="n"/>
      <c r="Y957" s="12" t="n"/>
      <c r="Z957" s="13" t="n"/>
      <c r="AA957" s="14" t="n"/>
      <c r="AB957" s="12" t="n"/>
      <c r="AC957" s="13" t="n"/>
      <c r="AD957" s="14" t="n"/>
      <c r="AE957" s="12" t="n"/>
      <c r="AF957" s="13" t="n"/>
      <c r="AG957" s="14" t="n"/>
      <c r="AH957" s="12" t="n"/>
      <c r="AI957" s="13" t="n"/>
      <c r="AJ957" s="14" t="n"/>
      <c r="AK957" s="12" t="n"/>
      <c r="AL957" s="13" t="n"/>
      <c r="AM957" s="14" t="n"/>
      <c r="AN957" s="12" t="n"/>
      <c r="AO957" s="13" t="n"/>
      <c r="AP957" s="14" t="n"/>
      <c r="AQ957" s="12" t="n"/>
      <c r="AR957" s="13" t="n"/>
      <c r="AS957" s="14" t="n"/>
      <c r="AT957" s="12" t="n"/>
      <c r="AU957" s="13" t="n"/>
      <c r="AV957" s="14" t="n"/>
      <c r="AW957" s="12" t="n"/>
      <c r="AX957" s="13" t="n"/>
      <c r="AY957" s="14" t="n"/>
      <c r="AZ957" s="12" t="n"/>
      <c r="BA957" s="13" t="n"/>
      <c r="BB957" s="14" t="n"/>
      <c r="BC957" s="11">
        <f>IF(O957="","",IF(J957="GST 10%",ROUND(O957*set_GSTRate,2),0))</f>
        <v/>
      </c>
      <c r="BD957" s="11">
        <f>IF(O957="","",O957+BC957)</f>
        <v/>
      </c>
      <c r="BE957" s="15">
        <f>IF(O957="","",COUNTA(S957,V957,Y957,AB957,AE957,AH957,AK957,AN957,AQ957,AT957,AW957,AZ957))</f>
        <v/>
      </c>
      <c r="BF957" s="16">
        <f>IF(COUNT(T957,W957,Z957,AC957,AF957,AI957,AL957,AO957,AR957,AU957,AX957,BA957)=0,"",MAX(T957,W957,Z957,AC957,AF957,AI957,AL957,AO957,AR957,AU957,AX957,BA957))</f>
        <v/>
      </c>
      <c r="BG957" s="10">
        <f>MID(IF(S957="","",", "&amp;S957)&amp;IF(V957="","",", "&amp;V957)&amp;IF(Y957="","",", "&amp;Y957)&amp;IF(AB957="","",", "&amp;AB957)&amp;IF(AE957="","",", "&amp;AE957)&amp;IF(AH957="","",", "&amp;AH957)&amp;IF(AK957="","",", "&amp;AK957)&amp;IF(AN957="","",", "&amp;AN957)&amp;IF(AQ957="","",", "&amp;AQ957)&amp;IF(AT957="","",", "&amp;AT957)&amp;IF(AW957="","",", "&amp;AW957)&amp;IF(AZ957="","",", "&amp;AZ957),3,500)</f>
        <v/>
      </c>
      <c r="BH957" s="12" t="n"/>
      <c r="BI957" s="15">
        <f>IFERROR(MATCH($A957,IF($B957="Onsite",tbl_Onsite[Row ID],IF($B957="Production",tbl_Production[Row ID],tbl_Consulting[Row ID])),0),"")</f>
        <v/>
      </c>
    </row>
    <row r="958">
      <c r="A958" s="10" t="inlineStr">
        <is>
          <t>PRD-0452</t>
        </is>
      </c>
      <c r="B958" s="10" t="inlineStr">
        <is>
          <t>Production</t>
        </is>
      </c>
      <c r="C958" s="10">
        <f>IF($BI958="","",IF($B958="Onsite",INDEX(tbl_Onsite[Job Number],$BI958),IF($B958="Production",INDEX(tbl_Production[Job Number],$BI958),INDEX(tbl_Consulting[Job Number],$BI958)))&amp;"")</f>
        <v/>
      </c>
      <c r="D958" s="10">
        <f>IF($BI958="","",IF($B958="Onsite",INDEX(tbl_Onsite[Client],$BI958),IF($B958="Production",INDEX(tbl_Production[Client],$BI958),INDEX(tbl_Consulting[Client],$BI958)))&amp;"")</f>
        <v/>
      </c>
      <c r="E958" s="10">
        <f>IF($C958="","",IF(COUNTIF(lst_Jobs,$C958)&gt;0,"OK","CHECK"))</f>
        <v/>
      </c>
      <c r="F958" s="10">
        <f>IF($C958="","",IFERROR(INDEX(lst_JobName,MATCH($C958,lst_Jobs,0)),""))</f>
        <v/>
      </c>
      <c r="G958" s="10">
        <f>IF($BI958="","",IF($B958="Onsite",INDEX(tbl_Onsite[Job Description],$BI958),IF($B958="Production",INDEX(tbl_Production[Job Description],$BI958),INDEX(tbl_Consulting[Job Description],$BI958)))&amp;"")</f>
        <v/>
      </c>
      <c r="H958" s="10">
        <f>IF($BI958="","",IF($B958="Onsite",INDEX(tbl_Onsite[Cost Centre],$BI958),IF($B958="Production",INDEX(tbl_Production[Cost Centre],$BI958),INDEX(tbl_Consulting[Cost Centre],$BI958)))&amp;"")</f>
        <v/>
      </c>
      <c r="I958" s="10">
        <f>IF($BI958="","",IF($B958="Onsite",INDEX(tbl_Onsite[Invoice Type],$BI958),IF($B958="Production",INDEX(tbl_Production[Invoice Type],$BI958),INDEX(tbl_Consulting[Invoice Type],$BI958)))&amp;"")</f>
        <v/>
      </c>
      <c r="J958" s="10">
        <f>IF($BI958="","",IF($B958="Onsite",INDEX(tbl_Onsite[Tax Code],$BI958),IF($B958="Production",INDEX(tbl_Production[Tax Code],$BI958),INDEX(tbl_Consulting[Tax Code],$BI958)))&amp;"")</f>
        <v/>
      </c>
      <c r="K958" s="10">
        <f>IF(H958="","",IFERROR(INDEX(lst_CCtoGL,MATCH(H958,lst_CCforGL,0)),""))</f>
        <v/>
      </c>
      <c r="L958" s="10">
        <f>IF($BI958="","",IF($B958="Onsite",INDEX(tbl_Onsite[PO / Reference],$BI958),IF($B958="Production",INDEX(tbl_Production[Current RMS No],$BI958),INDEX(tbl_Consulting[Qwilr Quote],$BI958)))&amp;"")</f>
        <v/>
      </c>
      <c r="M958" s="10">
        <f>IF($BI958="","",IF($B958="Onsite",INDEX(tbl_Onsite[Notes],$BI958),IF($B958="Production",INDEX(tbl_Production[Notes],$BI958),INDEX(tbl_Consulting[Notes],$BI958)))&amp;"")</f>
        <v/>
      </c>
      <c r="N958" s="11">
        <f>IF($BI958="","",IF(IF($B958="Onsite",INDEX(tbl_Onsite[Expected Revenue Ex GST],$BI958),IF($B958="Production",INDEX(tbl_Production[Expected Revenue Ex GST],$BI958),INDEX(tbl_Consulting[Expected Revenue Ex GST],$BI958)))="","",IF($B958="Onsite",INDEX(tbl_Onsite[Expected Revenue Ex GST],$BI958),IF($B958="Production",INDEX(tbl_Production[Expected Revenue Ex GST],$BI958),INDEX(tbl_Consulting[Expected Revenue Ex GST],$BI958)))))</f>
        <v/>
      </c>
      <c r="O958" s="11">
        <f>IF(AND($C958="",NOT(COUNTA($S958:$BB958)&gt;0)),"",SUM(U958,X958,AA958,AD958,AG958,AJ958,AM958,AP958,AS958,AV958,AY958,BB958))</f>
        <v/>
      </c>
      <c r="P958" s="11">
        <f>IF(O958="","",N(N958)-O958)</f>
        <v/>
      </c>
      <c r="Q958" s="10">
        <f>IF(O958="","",IF($C958="","Invoice on empty job row",IF(N958="",IF(ROUND(O958,2)=0,"No dept value","Invoiced - no dept value"),IF(ROUND(O958,2)=0,"Not invoiced - to invoice",IF(ROUND(P958,2)=0,"Agrees",IF(P958&gt;0,"Dept higher - to invoice","Xero higher - check dept"))))))</f>
        <v/>
      </c>
      <c r="R958" s="10">
        <f>IF(AND($C958="",NOT(COUNTA($S958:$BB958)&gt;0),$BI958&lt;&gt;""),"",MID(IF($BI958="","; Row ID not found on the department sheet - a row was deleted","")&amp;IF(AND($C958="",COUNTA($S958:$BB958)&gt;0),"; Invoice entered but the department row has no job number","")&amp;IF(E958="CHECK","; Job number not in the Xero job list","")&amp;IF(AND($C958&lt;&gt;"",COUNTIF($C$7:$C$1506,$C958)&gt;1),"; Job number on more than one row","")&amp;IF(AND($C958&lt;&gt;"",H958=""),"; Dept has not set a cost centre","")&amp;IF(AND($C958&lt;&gt;"",J958=""),"; Dept has not set a tax code","")&amp;IF(AND($C958&lt;&gt;"",N958=""),"; Dept has not entered an expected value","")&amp;IF((IF(OR(COUNTA(S958:U958)=0,AND(COUNTA(S958:U958)=3,ISNUMBER(U958))),0,1)+IF(OR(COUNTA(V958:X958)=0,AND(COUNTA(V958:X958)=3,ISNUMBER(X958))),0,1)+IF(OR(COUNTA(Y958:AA958)=0,AND(COUNTA(Y958:AA958)=3,ISNUMBER(AA958))),0,1)+IF(OR(COUNTA(AB958:AD958)=0,AND(COUNTA(AB958:AD958)=3,ISNUMBER(AD958))),0,1)+IF(OR(COUNTA(AE958:AG958)=0,AND(COUNTA(AE958:AG958)=3,ISNUMBER(AG958))),0,1)+IF(OR(COUNTA(AH958:AJ958)=0,AND(COUNTA(AH958:AJ958)=3,ISNUMBER(AJ958))),0,1)+IF(OR(COUNTA(AK958:AM958)=0,AND(COUNTA(AK958:AM958)=3,ISNUMBER(AM958))),0,1)+IF(OR(COUNTA(AN958:AP958)=0,AND(COUNTA(AN958:AP958)=3,ISNUMBER(AP958))),0,1)+IF(OR(COUNTA(AQ958:AS958)=0,AND(COUNTA(AQ958:AS958)=3,ISNUMBER(AS958))),0,1)+IF(OR(COUNTA(AT958:AV958)=0,AND(COUNTA(AT958:AV958)=3,ISNUMBER(AV958))),0,1)+IF(OR(COUNTA(AW958:AY958)=0,AND(COUNTA(AW958:AY958)=3,ISNUMBER(AY958))),0,1)+IF(OR(COUNTA(AZ958:BB958)=0,AND(COUNTA(AZ958:BB958)=3,ISNUMBER(BB958))),0,1))&gt;0,"; An invoice is incomplete (needs No, Date and a number in Ex GST)","")&amp;IF((IF(T958="",0,IFERROR(--(EOMONTH(T958,0)&lt;&gt;S$5),1))+IF(W958="",0,IFERROR(--(EOMONTH(W958,0)&lt;&gt;V$5),1))+IF(Z958="",0,IFERROR(--(EOMONTH(Z958,0)&lt;&gt;Y$5),1))+IF(AC958="",0,IFERROR(--(EOMONTH(AC958,0)&lt;&gt;AB$5),1))+IF(AF958="",0,IFERROR(--(EOMONTH(AF958,0)&lt;&gt;AE$5),1))+IF(AI958="",0,IFERROR(--(EOMONTH(AI958,0)&lt;&gt;AH$5),1))+IF(AL958="",0,IFERROR(--(EOMONTH(AL958,0)&lt;&gt;AK$5),1))+IF(AO958="",0,IFERROR(--(EOMONTH(AO958,0)&lt;&gt;AN$5),1))+IF(AR958="",0,IFERROR(--(EOMONTH(AR958,0)&lt;&gt;AQ$5),1))+IF(AU958="",0,IFERROR(--(EOMONTH(AU958,0)&lt;&gt;AT$5),1))+IF(AX958="",0,IFERROR(--(EOMONTH(AX958,0)&lt;&gt;AW$5),1))+IF(BA958="",0,IFERROR(--(EOMONTH(BA958,0)&lt;&gt;AZ$5),1)))&gt;0,"; An invoice date is not in the month it is typed under",""),3,500))</f>
        <v/>
      </c>
      <c r="S958" s="12" t="n"/>
      <c r="T958" s="13" t="n"/>
      <c r="U958" s="14" t="n"/>
      <c r="V958" s="12" t="n"/>
      <c r="W958" s="13" t="n"/>
      <c r="X958" s="14" t="n"/>
      <c r="Y958" s="12" t="n"/>
      <c r="Z958" s="13" t="n"/>
      <c r="AA958" s="14" t="n"/>
      <c r="AB958" s="12" t="n"/>
      <c r="AC958" s="13" t="n"/>
      <c r="AD958" s="14" t="n"/>
      <c r="AE958" s="12" t="n"/>
      <c r="AF958" s="13" t="n"/>
      <c r="AG958" s="14" t="n"/>
      <c r="AH958" s="12" t="n"/>
      <c r="AI958" s="13" t="n"/>
      <c r="AJ958" s="14" t="n"/>
      <c r="AK958" s="12" t="n"/>
      <c r="AL958" s="13" t="n"/>
      <c r="AM958" s="14" t="n"/>
      <c r="AN958" s="12" t="n"/>
      <c r="AO958" s="13" t="n"/>
      <c r="AP958" s="14" t="n"/>
      <c r="AQ958" s="12" t="n"/>
      <c r="AR958" s="13" t="n"/>
      <c r="AS958" s="14" t="n"/>
      <c r="AT958" s="12" t="n"/>
      <c r="AU958" s="13" t="n"/>
      <c r="AV958" s="14" t="n"/>
      <c r="AW958" s="12" t="n"/>
      <c r="AX958" s="13" t="n"/>
      <c r="AY958" s="14" t="n"/>
      <c r="AZ958" s="12" t="n"/>
      <c r="BA958" s="13" t="n"/>
      <c r="BB958" s="14" t="n"/>
      <c r="BC958" s="11">
        <f>IF(O958="","",IF(J958="GST 10%",ROUND(O958*set_GSTRate,2),0))</f>
        <v/>
      </c>
      <c r="BD958" s="11">
        <f>IF(O958="","",O958+BC958)</f>
        <v/>
      </c>
      <c r="BE958" s="15">
        <f>IF(O958="","",COUNTA(S958,V958,Y958,AB958,AE958,AH958,AK958,AN958,AQ958,AT958,AW958,AZ958))</f>
        <v/>
      </c>
      <c r="BF958" s="16">
        <f>IF(COUNT(T958,W958,Z958,AC958,AF958,AI958,AL958,AO958,AR958,AU958,AX958,BA958)=0,"",MAX(T958,W958,Z958,AC958,AF958,AI958,AL958,AO958,AR958,AU958,AX958,BA958))</f>
        <v/>
      </c>
      <c r="BG958" s="10">
        <f>MID(IF(S958="","",", "&amp;S958)&amp;IF(V958="","",", "&amp;V958)&amp;IF(Y958="","",", "&amp;Y958)&amp;IF(AB958="","",", "&amp;AB958)&amp;IF(AE958="","",", "&amp;AE958)&amp;IF(AH958="","",", "&amp;AH958)&amp;IF(AK958="","",", "&amp;AK958)&amp;IF(AN958="","",", "&amp;AN958)&amp;IF(AQ958="","",", "&amp;AQ958)&amp;IF(AT958="","",", "&amp;AT958)&amp;IF(AW958="","",", "&amp;AW958)&amp;IF(AZ958="","",", "&amp;AZ958),3,500)</f>
        <v/>
      </c>
      <c r="BH958" s="12" t="n"/>
      <c r="BI958" s="15">
        <f>IFERROR(MATCH($A958,IF($B958="Onsite",tbl_Onsite[Row ID],IF($B958="Production",tbl_Production[Row ID],tbl_Consulting[Row ID])),0),"")</f>
        <v/>
      </c>
    </row>
    <row r="959">
      <c r="A959" s="10" t="inlineStr">
        <is>
          <t>PRD-0453</t>
        </is>
      </c>
      <c r="B959" s="10" t="inlineStr">
        <is>
          <t>Production</t>
        </is>
      </c>
      <c r="C959" s="10">
        <f>IF($BI959="","",IF($B959="Onsite",INDEX(tbl_Onsite[Job Number],$BI959),IF($B959="Production",INDEX(tbl_Production[Job Number],$BI959),INDEX(tbl_Consulting[Job Number],$BI959)))&amp;"")</f>
        <v/>
      </c>
      <c r="D959" s="10">
        <f>IF($BI959="","",IF($B959="Onsite",INDEX(tbl_Onsite[Client],$BI959),IF($B959="Production",INDEX(tbl_Production[Client],$BI959),INDEX(tbl_Consulting[Client],$BI959)))&amp;"")</f>
        <v/>
      </c>
      <c r="E959" s="10">
        <f>IF($C959="","",IF(COUNTIF(lst_Jobs,$C959)&gt;0,"OK","CHECK"))</f>
        <v/>
      </c>
      <c r="F959" s="10">
        <f>IF($C959="","",IFERROR(INDEX(lst_JobName,MATCH($C959,lst_Jobs,0)),""))</f>
        <v/>
      </c>
      <c r="G959" s="10">
        <f>IF($BI959="","",IF($B959="Onsite",INDEX(tbl_Onsite[Job Description],$BI959),IF($B959="Production",INDEX(tbl_Production[Job Description],$BI959),INDEX(tbl_Consulting[Job Description],$BI959)))&amp;"")</f>
        <v/>
      </c>
      <c r="H959" s="10">
        <f>IF($BI959="","",IF($B959="Onsite",INDEX(tbl_Onsite[Cost Centre],$BI959),IF($B959="Production",INDEX(tbl_Production[Cost Centre],$BI959),INDEX(tbl_Consulting[Cost Centre],$BI959)))&amp;"")</f>
        <v/>
      </c>
      <c r="I959" s="10">
        <f>IF($BI959="","",IF($B959="Onsite",INDEX(tbl_Onsite[Invoice Type],$BI959),IF($B959="Production",INDEX(tbl_Production[Invoice Type],$BI959),INDEX(tbl_Consulting[Invoice Type],$BI959)))&amp;"")</f>
        <v/>
      </c>
      <c r="J959" s="10">
        <f>IF($BI959="","",IF($B959="Onsite",INDEX(tbl_Onsite[Tax Code],$BI959),IF($B959="Production",INDEX(tbl_Production[Tax Code],$BI959),INDEX(tbl_Consulting[Tax Code],$BI959)))&amp;"")</f>
        <v/>
      </c>
      <c r="K959" s="10">
        <f>IF(H959="","",IFERROR(INDEX(lst_CCtoGL,MATCH(H959,lst_CCforGL,0)),""))</f>
        <v/>
      </c>
      <c r="L959" s="10">
        <f>IF($BI959="","",IF($B959="Onsite",INDEX(tbl_Onsite[PO / Reference],$BI959),IF($B959="Production",INDEX(tbl_Production[Current RMS No],$BI959),INDEX(tbl_Consulting[Qwilr Quote],$BI959)))&amp;"")</f>
        <v/>
      </c>
      <c r="M959" s="10">
        <f>IF($BI959="","",IF($B959="Onsite",INDEX(tbl_Onsite[Notes],$BI959),IF($B959="Production",INDEX(tbl_Production[Notes],$BI959),INDEX(tbl_Consulting[Notes],$BI959)))&amp;"")</f>
        <v/>
      </c>
      <c r="N959" s="11">
        <f>IF($BI959="","",IF(IF($B959="Onsite",INDEX(tbl_Onsite[Expected Revenue Ex GST],$BI959),IF($B959="Production",INDEX(tbl_Production[Expected Revenue Ex GST],$BI959),INDEX(tbl_Consulting[Expected Revenue Ex GST],$BI959)))="","",IF($B959="Onsite",INDEX(tbl_Onsite[Expected Revenue Ex GST],$BI959),IF($B959="Production",INDEX(tbl_Production[Expected Revenue Ex GST],$BI959),INDEX(tbl_Consulting[Expected Revenue Ex GST],$BI959)))))</f>
        <v/>
      </c>
      <c r="O959" s="11">
        <f>IF(AND($C959="",NOT(COUNTA($S959:$BB959)&gt;0)),"",SUM(U959,X959,AA959,AD959,AG959,AJ959,AM959,AP959,AS959,AV959,AY959,BB959))</f>
        <v/>
      </c>
      <c r="P959" s="11">
        <f>IF(O959="","",N(N959)-O959)</f>
        <v/>
      </c>
      <c r="Q959" s="10">
        <f>IF(O959="","",IF($C959="","Invoice on empty job row",IF(N959="",IF(ROUND(O959,2)=0,"No dept value","Invoiced - no dept value"),IF(ROUND(O959,2)=0,"Not invoiced - to invoice",IF(ROUND(P959,2)=0,"Agrees",IF(P959&gt;0,"Dept higher - to invoice","Xero higher - check dept"))))))</f>
        <v/>
      </c>
      <c r="R959" s="10">
        <f>IF(AND($C959="",NOT(COUNTA($S959:$BB959)&gt;0),$BI959&lt;&gt;""),"",MID(IF($BI959="","; Row ID not found on the department sheet - a row was deleted","")&amp;IF(AND($C959="",COUNTA($S959:$BB959)&gt;0),"; Invoice entered but the department row has no job number","")&amp;IF(E959="CHECK","; Job number not in the Xero job list","")&amp;IF(AND($C959&lt;&gt;"",COUNTIF($C$7:$C$1506,$C959)&gt;1),"; Job number on more than one row","")&amp;IF(AND($C959&lt;&gt;"",H959=""),"; Dept has not set a cost centre","")&amp;IF(AND($C959&lt;&gt;"",J959=""),"; Dept has not set a tax code","")&amp;IF(AND($C959&lt;&gt;"",N959=""),"; Dept has not entered an expected value","")&amp;IF((IF(OR(COUNTA(S959:U959)=0,AND(COUNTA(S959:U959)=3,ISNUMBER(U959))),0,1)+IF(OR(COUNTA(V959:X959)=0,AND(COUNTA(V959:X959)=3,ISNUMBER(X959))),0,1)+IF(OR(COUNTA(Y959:AA959)=0,AND(COUNTA(Y959:AA959)=3,ISNUMBER(AA959))),0,1)+IF(OR(COUNTA(AB959:AD959)=0,AND(COUNTA(AB959:AD959)=3,ISNUMBER(AD959))),0,1)+IF(OR(COUNTA(AE959:AG959)=0,AND(COUNTA(AE959:AG959)=3,ISNUMBER(AG959))),0,1)+IF(OR(COUNTA(AH959:AJ959)=0,AND(COUNTA(AH959:AJ959)=3,ISNUMBER(AJ959))),0,1)+IF(OR(COUNTA(AK959:AM959)=0,AND(COUNTA(AK959:AM959)=3,ISNUMBER(AM959))),0,1)+IF(OR(COUNTA(AN959:AP959)=0,AND(COUNTA(AN959:AP959)=3,ISNUMBER(AP959))),0,1)+IF(OR(COUNTA(AQ959:AS959)=0,AND(COUNTA(AQ959:AS959)=3,ISNUMBER(AS959))),0,1)+IF(OR(COUNTA(AT959:AV959)=0,AND(COUNTA(AT959:AV959)=3,ISNUMBER(AV959))),0,1)+IF(OR(COUNTA(AW959:AY959)=0,AND(COUNTA(AW959:AY959)=3,ISNUMBER(AY959))),0,1)+IF(OR(COUNTA(AZ959:BB959)=0,AND(COUNTA(AZ959:BB959)=3,ISNUMBER(BB959))),0,1))&gt;0,"; An invoice is incomplete (needs No, Date and a number in Ex GST)","")&amp;IF((IF(T959="",0,IFERROR(--(EOMONTH(T959,0)&lt;&gt;S$5),1))+IF(W959="",0,IFERROR(--(EOMONTH(W959,0)&lt;&gt;V$5),1))+IF(Z959="",0,IFERROR(--(EOMONTH(Z959,0)&lt;&gt;Y$5),1))+IF(AC959="",0,IFERROR(--(EOMONTH(AC959,0)&lt;&gt;AB$5),1))+IF(AF959="",0,IFERROR(--(EOMONTH(AF959,0)&lt;&gt;AE$5),1))+IF(AI959="",0,IFERROR(--(EOMONTH(AI959,0)&lt;&gt;AH$5),1))+IF(AL959="",0,IFERROR(--(EOMONTH(AL959,0)&lt;&gt;AK$5),1))+IF(AO959="",0,IFERROR(--(EOMONTH(AO959,0)&lt;&gt;AN$5),1))+IF(AR959="",0,IFERROR(--(EOMONTH(AR959,0)&lt;&gt;AQ$5),1))+IF(AU959="",0,IFERROR(--(EOMONTH(AU959,0)&lt;&gt;AT$5),1))+IF(AX959="",0,IFERROR(--(EOMONTH(AX959,0)&lt;&gt;AW$5),1))+IF(BA959="",0,IFERROR(--(EOMONTH(BA959,0)&lt;&gt;AZ$5),1)))&gt;0,"; An invoice date is not in the month it is typed under",""),3,500))</f>
        <v/>
      </c>
      <c r="S959" s="12" t="n"/>
      <c r="T959" s="13" t="n"/>
      <c r="U959" s="14" t="n"/>
      <c r="V959" s="12" t="n"/>
      <c r="W959" s="13" t="n"/>
      <c r="X959" s="14" t="n"/>
      <c r="Y959" s="12" t="n"/>
      <c r="Z959" s="13" t="n"/>
      <c r="AA959" s="14" t="n"/>
      <c r="AB959" s="12" t="n"/>
      <c r="AC959" s="13" t="n"/>
      <c r="AD959" s="14" t="n"/>
      <c r="AE959" s="12" t="n"/>
      <c r="AF959" s="13" t="n"/>
      <c r="AG959" s="14" t="n"/>
      <c r="AH959" s="12" t="n"/>
      <c r="AI959" s="13" t="n"/>
      <c r="AJ959" s="14" t="n"/>
      <c r="AK959" s="12" t="n"/>
      <c r="AL959" s="13" t="n"/>
      <c r="AM959" s="14" t="n"/>
      <c r="AN959" s="12" t="n"/>
      <c r="AO959" s="13" t="n"/>
      <c r="AP959" s="14" t="n"/>
      <c r="AQ959" s="12" t="n"/>
      <c r="AR959" s="13" t="n"/>
      <c r="AS959" s="14" t="n"/>
      <c r="AT959" s="12" t="n"/>
      <c r="AU959" s="13" t="n"/>
      <c r="AV959" s="14" t="n"/>
      <c r="AW959" s="12" t="n"/>
      <c r="AX959" s="13" t="n"/>
      <c r="AY959" s="14" t="n"/>
      <c r="AZ959" s="12" t="n"/>
      <c r="BA959" s="13" t="n"/>
      <c r="BB959" s="14" t="n"/>
      <c r="BC959" s="11">
        <f>IF(O959="","",IF(J959="GST 10%",ROUND(O959*set_GSTRate,2),0))</f>
        <v/>
      </c>
      <c r="BD959" s="11">
        <f>IF(O959="","",O959+BC959)</f>
        <v/>
      </c>
      <c r="BE959" s="15">
        <f>IF(O959="","",COUNTA(S959,V959,Y959,AB959,AE959,AH959,AK959,AN959,AQ959,AT959,AW959,AZ959))</f>
        <v/>
      </c>
      <c r="BF959" s="16">
        <f>IF(COUNT(T959,W959,Z959,AC959,AF959,AI959,AL959,AO959,AR959,AU959,AX959,BA959)=0,"",MAX(T959,W959,Z959,AC959,AF959,AI959,AL959,AO959,AR959,AU959,AX959,BA959))</f>
        <v/>
      </c>
      <c r="BG959" s="10">
        <f>MID(IF(S959="","",", "&amp;S959)&amp;IF(V959="","",", "&amp;V959)&amp;IF(Y959="","",", "&amp;Y959)&amp;IF(AB959="","",", "&amp;AB959)&amp;IF(AE959="","",", "&amp;AE959)&amp;IF(AH959="","",", "&amp;AH959)&amp;IF(AK959="","",", "&amp;AK959)&amp;IF(AN959="","",", "&amp;AN959)&amp;IF(AQ959="","",", "&amp;AQ959)&amp;IF(AT959="","",", "&amp;AT959)&amp;IF(AW959="","",", "&amp;AW959)&amp;IF(AZ959="","",", "&amp;AZ959),3,500)</f>
        <v/>
      </c>
      <c r="BH959" s="12" t="n"/>
      <c r="BI959" s="15">
        <f>IFERROR(MATCH($A959,IF($B959="Onsite",tbl_Onsite[Row ID],IF($B959="Production",tbl_Production[Row ID],tbl_Consulting[Row ID])),0),"")</f>
        <v/>
      </c>
    </row>
    <row r="960">
      <c r="A960" s="10" t="inlineStr">
        <is>
          <t>PRD-0454</t>
        </is>
      </c>
      <c r="B960" s="10" t="inlineStr">
        <is>
          <t>Production</t>
        </is>
      </c>
      <c r="C960" s="10">
        <f>IF($BI960="","",IF($B960="Onsite",INDEX(tbl_Onsite[Job Number],$BI960),IF($B960="Production",INDEX(tbl_Production[Job Number],$BI960),INDEX(tbl_Consulting[Job Number],$BI960)))&amp;"")</f>
        <v/>
      </c>
      <c r="D960" s="10">
        <f>IF($BI960="","",IF($B960="Onsite",INDEX(tbl_Onsite[Client],$BI960),IF($B960="Production",INDEX(tbl_Production[Client],$BI960),INDEX(tbl_Consulting[Client],$BI960)))&amp;"")</f>
        <v/>
      </c>
      <c r="E960" s="10">
        <f>IF($C960="","",IF(COUNTIF(lst_Jobs,$C960)&gt;0,"OK","CHECK"))</f>
        <v/>
      </c>
      <c r="F960" s="10">
        <f>IF($C960="","",IFERROR(INDEX(lst_JobName,MATCH($C960,lst_Jobs,0)),""))</f>
        <v/>
      </c>
      <c r="G960" s="10">
        <f>IF($BI960="","",IF($B960="Onsite",INDEX(tbl_Onsite[Job Description],$BI960),IF($B960="Production",INDEX(tbl_Production[Job Description],$BI960),INDEX(tbl_Consulting[Job Description],$BI960)))&amp;"")</f>
        <v/>
      </c>
      <c r="H960" s="10">
        <f>IF($BI960="","",IF($B960="Onsite",INDEX(tbl_Onsite[Cost Centre],$BI960),IF($B960="Production",INDEX(tbl_Production[Cost Centre],$BI960),INDEX(tbl_Consulting[Cost Centre],$BI960)))&amp;"")</f>
        <v/>
      </c>
      <c r="I960" s="10">
        <f>IF($BI960="","",IF($B960="Onsite",INDEX(tbl_Onsite[Invoice Type],$BI960),IF($B960="Production",INDEX(tbl_Production[Invoice Type],$BI960),INDEX(tbl_Consulting[Invoice Type],$BI960)))&amp;"")</f>
        <v/>
      </c>
      <c r="J960" s="10">
        <f>IF($BI960="","",IF($B960="Onsite",INDEX(tbl_Onsite[Tax Code],$BI960),IF($B960="Production",INDEX(tbl_Production[Tax Code],$BI960),INDEX(tbl_Consulting[Tax Code],$BI960)))&amp;"")</f>
        <v/>
      </c>
      <c r="K960" s="10">
        <f>IF(H960="","",IFERROR(INDEX(lst_CCtoGL,MATCH(H960,lst_CCforGL,0)),""))</f>
        <v/>
      </c>
      <c r="L960" s="10">
        <f>IF($BI960="","",IF($B960="Onsite",INDEX(tbl_Onsite[PO / Reference],$BI960),IF($B960="Production",INDEX(tbl_Production[Current RMS No],$BI960),INDEX(tbl_Consulting[Qwilr Quote],$BI960)))&amp;"")</f>
        <v/>
      </c>
      <c r="M960" s="10">
        <f>IF($BI960="","",IF($B960="Onsite",INDEX(tbl_Onsite[Notes],$BI960),IF($B960="Production",INDEX(tbl_Production[Notes],$BI960),INDEX(tbl_Consulting[Notes],$BI960)))&amp;"")</f>
        <v/>
      </c>
      <c r="N960" s="11">
        <f>IF($BI960="","",IF(IF($B960="Onsite",INDEX(tbl_Onsite[Expected Revenue Ex GST],$BI960),IF($B960="Production",INDEX(tbl_Production[Expected Revenue Ex GST],$BI960),INDEX(tbl_Consulting[Expected Revenue Ex GST],$BI960)))="","",IF($B960="Onsite",INDEX(tbl_Onsite[Expected Revenue Ex GST],$BI960),IF($B960="Production",INDEX(tbl_Production[Expected Revenue Ex GST],$BI960),INDEX(tbl_Consulting[Expected Revenue Ex GST],$BI960)))))</f>
        <v/>
      </c>
      <c r="O960" s="11">
        <f>IF(AND($C960="",NOT(COUNTA($S960:$BB960)&gt;0)),"",SUM(U960,X960,AA960,AD960,AG960,AJ960,AM960,AP960,AS960,AV960,AY960,BB960))</f>
        <v/>
      </c>
      <c r="P960" s="11">
        <f>IF(O960="","",N(N960)-O960)</f>
        <v/>
      </c>
      <c r="Q960" s="10">
        <f>IF(O960="","",IF($C960="","Invoice on empty job row",IF(N960="",IF(ROUND(O960,2)=0,"No dept value","Invoiced - no dept value"),IF(ROUND(O960,2)=0,"Not invoiced - to invoice",IF(ROUND(P960,2)=0,"Agrees",IF(P960&gt;0,"Dept higher - to invoice","Xero higher - check dept"))))))</f>
        <v/>
      </c>
      <c r="R960" s="10">
        <f>IF(AND($C960="",NOT(COUNTA($S960:$BB960)&gt;0),$BI960&lt;&gt;""),"",MID(IF($BI960="","; Row ID not found on the department sheet - a row was deleted","")&amp;IF(AND($C960="",COUNTA($S960:$BB960)&gt;0),"; Invoice entered but the department row has no job number","")&amp;IF(E960="CHECK","; Job number not in the Xero job list","")&amp;IF(AND($C960&lt;&gt;"",COUNTIF($C$7:$C$1506,$C960)&gt;1),"; Job number on more than one row","")&amp;IF(AND($C960&lt;&gt;"",H960=""),"; Dept has not set a cost centre","")&amp;IF(AND($C960&lt;&gt;"",J960=""),"; Dept has not set a tax code","")&amp;IF(AND($C960&lt;&gt;"",N960=""),"; Dept has not entered an expected value","")&amp;IF((IF(OR(COUNTA(S960:U960)=0,AND(COUNTA(S960:U960)=3,ISNUMBER(U960))),0,1)+IF(OR(COUNTA(V960:X960)=0,AND(COUNTA(V960:X960)=3,ISNUMBER(X960))),0,1)+IF(OR(COUNTA(Y960:AA960)=0,AND(COUNTA(Y960:AA960)=3,ISNUMBER(AA960))),0,1)+IF(OR(COUNTA(AB960:AD960)=0,AND(COUNTA(AB960:AD960)=3,ISNUMBER(AD960))),0,1)+IF(OR(COUNTA(AE960:AG960)=0,AND(COUNTA(AE960:AG960)=3,ISNUMBER(AG960))),0,1)+IF(OR(COUNTA(AH960:AJ960)=0,AND(COUNTA(AH960:AJ960)=3,ISNUMBER(AJ960))),0,1)+IF(OR(COUNTA(AK960:AM960)=0,AND(COUNTA(AK960:AM960)=3,ISNUMBER(AM960))),0,1)+IF(OR(COUNTA(AN960:AP960)=0,AND(COUNTA(AN960:AP960)=3,ISNUMBER(AP960))),0,1)+IF(OR(COUNTA(AQ960:AS960)=0,AND(COUNTA(AQ960:AS960)=3,ISNUMBER(AS960))),0,1)+IF(OR(COUNTA(AT960:AV960)=0,AND(COUNTA(AT960:AV960)=3,ISNUMBER(AV960))),0,1)+IF(OR(COUNTA(AW960:AY960)=0,AND(COUNTA(AW960:AY960)=3,ISNUMBER(AY960))),0,1)+IF(OR(COUNTA(AZ960:BB960)=0,AND(COUNTA(AZ960:BB960)=3,ISNUMBER(BB960))),0,1))&gt;0,"; An invoice is incomplete (needs No, Date and a number in Ex GST)","")&amp;IF((IF(T960="",0,IFERROR(--(EOMONTH(T960,0)&lt;&gt;S$5),1))+IF(W960="",0,IFERROR(--(EOMONTH(W960,0)&lt;&gt;V$5),1))+IF(Z960="",0,IFERROR(--(EOMONTH(Z960,0)&lt;&gt;Y$5),1))+IF(AC960="",0,IFERROR(--(EOMONTH(AC960,0)&lt;&gt;AB$5),1))+IF(AF960="",0,IFERROR(--(EOMONTH(AF960,0)&lt;&gt;AE$5),1))+IF(AI960="",0,IFERROR(--(EOMONTH(AI960,0)&lt;&gt;AH$5),1))+IF(AL960="",0,IFERROR(--(EOMONTH(AL960,0)&lt;&gt;AK$5),1))+IF(AO960="",0,IFERROR(--(EOMONTH(AO960,0)&lt;&gt;AN$5),1))+IF(AR960="",0,IFERROR(--(EOMONTH(AR960,0)&lt;&gt;AQ$5),1))+IF(AU960="",0,IFERROR(--(EOMONTH(AU960,0)&lt;&gt;AT$5),1))+IF(AX960="",0,IFERROR(--(EOMONTH(AX960,0)&lt;&gt;AW$5),1))+IF(BA960="",0,IFERROR(--(EOMONTH(BA960,0)&lt;&gt;AZ$5),1)))&gt;0,"; An invoice date is not in the month it is typed under",""),3,500))</f>
        <v/>
      </c>
      <c r="S960" s="12" t="n"/>
      <c r="T960" s="13" t="n"/>
      <c r="U960" s="14" t="n"/>
      <c r="V960" s="12" t="n"/>
      <c r="W960" s="13" t="n"/>
      <c r="X960" s="14" t="n"/>
      <c r="Y960" s="12" t="n"/>
      <c r="Z960" s="13" t="n"/>
      <c r="AA960" s="14" t="n"/>
      <c r="AB960" s="12" t="n"/>
      <c r="AC960" s="13" t="n"/>
      <c r="AD960" s="14" t="n"/>
      <c r="AE960" s="12" t="n"/>
      <c r="AF960" s="13" t="n"/>
      <c r="AG960" s="14" t="n"/>
      <c r="AH960" s="12" t="n"/>
      <c r="AI960" s="13" t="n"/>
      <c r="AJ960" s="14" t="n"/>
      <c r="AK960" s="12" t="n"/>
      <c r="AL960" s="13" t="n"/>
      <c r="AM960" s="14" t="n"/>
      <c r="AN960" s="12" t="n"/>
      <c r="AO960" s="13" t="n"/>
      <c r="AP960" s="14" t="n"/>
      <c r="AQ960" s="12" t="n"/>
      <c r="AR960" s="13" t="n"/>
      <c r="AS960" s="14" t="n"/>
      <c r="AT960" s="12" t="n"/>
      <c r="AU960" s="13" t="n"/>
      <c r="AV960" s="14" t="n"/>
      <c r="AW960" s="12" t="n"/>
      <c r="AX960" s="13" t="n"/>
      <c r="AY960" s="14" t="n"/>
      <c r="AZ960" s="12" t="n"/>
      <c r="BA960" s="13" t="n"/>
      <c r="BB960" s="14" t="n"/>
      <c r="BC960" s="11">
        <f>IF(O960="","",IF(J960="GST 10%",ROUND(O960*set_GSTRate,2),0))</f>
        <v/>
      </c>
      <c r="BD960" s="11">
        <f>IF(O960="","",O960+BC960)</f>
        <v/>
      </c>
      <c r="BE960" s="15">
        <f>IF(O960="","",COUNTA(S960,V960,Y960,AB960,AE960,AH960,AK960,AN960,AQ960,AT960,AW960,AZ960))</f>
        <v/>
      </c>
      <c r="BF960" s="16">
        <f>IF(COUNT(T960,W960,Z960,AC960,AF960,AI960,AL960,AO960,AR960,AU960,AX960,BA960)=0,"",MAX(T960,W960,Z960,AC960,AF960,AI960,AL960,AO960,AR960,AU960,AX960,BA960))</f>
        <v/>
      </c>
      <c r="BG960" s="10">
        <f>MID(IF(S960="","",", "&amp;S960)&amp;IF(V960="","",", "&amp;V960)&amp;IF(Y960="","",", "&amp;Y960)&amp;IF(AB960="","",", "&amp;AB960)&amp;IF(AE960="","",", "&amp;AE960)&amp;IF(AH960="","",", "&amp;AH960)&amp;IF(AK960="","",", "&amp;AK960)&amp;IF(AN960="","",", "&amp;AN960)&amp;IF(AQ960="","",", "&amp;AQ960)&amp;IF(AT960="","",", "&amp;AT960)&amp;IF(AW960="","",", "&amp;AW960)&amp;IF(AZ960="","",", "&amp;AZ960),3,500)</f>
        <v/>
      </c>
      <c r="BH960" s="12" t="n"/>
      <c r="BI960" s="15">
        <f>IFERROR(MATCH($A960,IF($B960="Onsite",tbl_Onsite[Row ID],IF($B960="Production",tbl_Production[Row ID],tbl_Consulting[Row ID])),0),"")</f>
        <v/>
      </c>
    </row>
    <row r="961">
      <c r="A961" s="10" t="inlineStr">
        <is>
          <t>PRD-0455</t>
        </is>
      </c>
      <c r="B961" s="10" t="inlineStr">
        <is>
          <t>Production</t>
        </is>
      </c>
      <c r="C961" s="10">
        <f>IF($BI961="","",IF($B961="Onsite",INDEX(tbl_Onsite[Job Number],$BI961),IF($B961="Production",INDEX(tbl_Production[Job Number],$BI961),INDEX(tbl_Consulting[Job Number],$BI961)))&amp;"")</f>
        <v/>
      </c>
      <c r="D961" s="10">
        <f>IF($BI961="","",IF($B961="Onsite",INDEX(tbl_Onsite[Client],$BI961),IF($B961="Production",INDEX(tbl_Production[Client],$BI961),INDEX(tbl_Consulting[Client],$BI961)))&amp;"")</f>
        <v/>
      </c>
      <c r="E961" s="10">
        <f>IF($C961="","",IF(COUNTIF(lst_Jobs,$C961)&gt;0,"OK","CHECK"))</f>
        <v/>
      </c>
      <c r="F961" s="10">
        <f>IF($C961="","",IFERROR(INDEX(lst_JobName,MATCH($C961,lst_Jobs,0)),""))</f>
        <v/>
      </c>
      <c r="G961" s="10">
        <f>IF($BI961="","",IF($B961="Onsite",INDEX(tbl_Onsite[Job Description],$BI961),IF($B961="Production",INDEX(tbl_Production[Job Description],$BI961),INDEX(tbl_Consulting[Job Description],$BI961)))&amp;"")</f>
        <v/>
      </c>
      <c r="H961" s="10">
        <f>IF($BI961="","",IF($B961="Onsite",INDEX(tbl_Onsite[Cost Centre],$BI961),IF($B961="Production",INDEX(tbl_Production[Cost Centre],$BI961),INDEX(tbl_Consulting[Cost Centre],$BI961)))&amp;"")</f>
        <v/>
      </c>
      <c r="I961" s="10">
        <f>IF($BI961="","",IF($B961="Onsite",INDEX(tbl_Onsite[Invoice Type],$BI961),IF($B961="Production",INDEX(tbl_Production[Invoice Type],$BI961),INDEX(tbl_Consulting[Invoice Type],$BI961)))&amp;"")</f>
        <v/>
      </c>
      <c r="J961" s="10">
        <f>IF($BI961="","",IF($B961="Onsite",INDEX(tbl_Onsite[Tax Code],$BI961),IF($B961="Production",INDEX(tbl_Production[Tax Code],$BI961),INDEX(tbl_Consulting[Tax Code],$BI961)))&amp;"")</f>
        <v/>
      </c>
      <c r="K961" s="10">
        <f>IF(H961="","",IFERROR(INDEX(lst_CCtoGL,MATCH(H961,lst_CCforGL,0)),""))</f>
        <v/>
      </c>
      <c r="L961" s="10">
        <f>IF($BI961="","",IF($B961="Onsite",INDEX(tbl_Onsite[PO / Reference],$BI961),IF($B961="Production",INDEX(tbl_Production[Current RMS No],$BI961),INDEX(tbl_Consulting[Qwilr Quote],$BI961)))&amp;"")</f>
        <v/>
      </c>
      <c r="M961" s="10">
        <f>IF($BI961="","",IF($B961="Onsite",INDEX(tbl_Onsite[Notes],$BI961),IF($B961="Production",INDEX(tbl_Production[Notes],$BI961),INDEX(tbl_Consulting[Notes],$BI961)))&amp;"")</f>
        <v/>
      </c>
      <c r="N961" s="11">
        <f>IF($BI961="","",IF(IF($B961="Onsite",INDEX(tbl_Onsite[Expected Revenue Ex GST],$BI961),IF($B961="Production",INDEX(tbl_Production[Expected Revenue Ex GST],$BI961),INDEX(tbl_Consulting[Expected Revenue Ex GST],$BI961)))="","",IF($B961="Onsite",INDEX(tbl_Onsite[Expected Revenue Ex GST],$BI961),IF($B961="Production",INDEX(tbl_Production[Expected Revenue Ex GST],$BI961),INDEX(tbl_Consulting[Expected Revenue Ex GST],$BI961)))))</f>
        <v/>
      </c>
      <c r="O961" s="11">
        <f>IF(AND($C961="",NOT(COUNTA($S961:$BB961)&gt;0)),"",SUM(U961,X961,AA961,AD961,AG961,AJ961,AM961,AP961,AS961,AV961,AY961,BB961))</f>
        <v/>
      </c>
      <c r="P961" s="11">
        <f>IF(O961="","",N(N961)-O961)</f>
        <v/>
      </c>
      <c r="Q961" s="10">
        <f>IF(O961="","",IF($C961="","Invoice on empty job row",IF(N961="",IF(ROUND(O961,2)=0,"No dept value","Invoiced - no dept value"),IF(ROUND(O961,2)=0,"Not invoiced - to invoice",IF(ROUND(P961,2)=0,"Agrees",IF(P961&gt;0,"Dept higher - to invoice","Xero higher - check dept"))))))</f>
        <v/>
      </c>
      <c r="R961" s="10">
        <f>IF(AND($C961="",NOT(COUNTA($S961:$BB961)&gt;0),$BI961&lt;&gt;""),"",MID(IF($BI961="","; Row ID not found on the department sheet - a row was deleted","")&amp;IF(AND($C961="",COUNTA($S961:$BB961)&gt;0),"; Invoice entered but the department row has no job number","")&amp;IF(E961="CHECK","; Job number not in the Xero job list","")&amp;IF(AND($C961&lt;&gt;"",COUNTIF($C$7:$C$1506,$C961)&gt;1),"; Job number on more than one row","")&amp;IF(AND($C961&lt;&gt;"",H961=""),"; Dept has not set a cost centre","")&amp;IF(AND($C961&lt;&gt;"",J961=""),"; Dept has not set a tax code","")&amp;IF(AND($C961&lt;&gt;"",N961=""),"; Dept has not entered an expected value","")&amp;IF((IF(OR(COUNTA(S961:U961)=0,AND(COUNTA(S961:U961)=3,ISNUMBER(U961))),0,1)+IF(OR(COUNTA(V961:X961)=0,AND(COUNTA(V961:X961)=3,ISNUMBER(X961))),0,1)+IF(OR(COUNTA(Y961:AA961)=0,AND(COUNTA(Y961:AA961)=3,ISNUMBER(AA961))),0,1)+IF(OR(COUNTA(AB961:AD961)=0,AND(COUNTA(AB961:AD961)=3,ISNUMBER(AD961))),0,1)+IF(OR(COUNTA(AE961:AG961)=0,AND(COUNTA(AE961:AG961)=3,ISNUMBER(AG961))),0,1)+IF(OR(COUNTA(AH961:AJ961)=0,AND(COUNTA(AH961:AJ961)=3,ISNUMBER(AJ961))),0,1)+IF(OR(COUNTA(AK961:AM961)=0,AND(COUNTA(AK961:AM961)=3,ISNUMBER(AM961))),0,1)+IF(OR(COUNTA(AN961:AP961)=0,AND(COUNTA(AN961:AP961)=3,ISNUMBER(AP961))),0,1)+IF(OR(COUNTA(AQ961:AS961)=0,AND(COUNTA(AQ961:AS961)=3,ISNUMBER(AS961))),0,1)+IF(OR(COUNTA(AT961:AV961)=0,AND(COUNTA(AT961:AV961)=3,ISNUMBER(AV961))),0,1)+IF(OR(COUNTA(AW961:AY961)=0,AND(COUNTA(AW961:AY961)=3,ISNUMBER(AY961))),0,1)+IF(OR(COUNTA(AZ961:BB961)=0,AND(COUNTA(AZ961:BB961)=3,ISNUMBER(BB961))),0,1))&gt;0,"; An invoice is incomplete (needs No, Date and a number in Ex GST)","")&amp;IF((IF(T961="",0,IFERROR(--(EOMONTH(T961,0)&lt;&gt;S$5),1))+IF(W961="",0,IFERROR(--(EOMONTH(W961,0)&lt;&gt;V$5),1))+IF(Z961="",0,IFERROR(--(EOMONTH(Z961,0)&lt;&gt;Y$5),1))+IF(AC961="",0,IFERROR(--(EOMONTH(AC961,0)&lt;&gt;AB$5),1))+IF(AF961="",0,IFERROR(--(EOMONTH(AF961,0)&lt;&gt;AE$5),1))+IF(AI961="",0,IFERROR(--(EOMONTH(AI961,0)&lt;&gt;AH$5),1))+IF(AL961="",0,IFERROR(--(EOMONTH(AL961,0)&lt;&gt;AK$5),1))+IF(AO961="",0,IFERROR(--(EOMONTH(AO961,0)&lt;&gt;AN$5),1))+IF(AR961="",0,IFERROR(--(EOMONTH(AR961,0)&lt;&gt;AQ$5),1))+IF(AU961="",0,IFERROR(--(EOMONTH(AU961,0)&lt;&gt;AT$5),1))+IF(AX961="",0,IFERROR(--(EOMONTH(AX961,0)&lt;&gt;AW$5),1))+IF(BA961="",0,IFERROR(--(EOMONTH(BA961,0)&lt;&gt;AZ$5),1)))&gt;0,"; An invoice date is not in the month it is typed under",""),3,500))</f>
        <v/>
      </c>
      <c r="S961" s="12" t="n"/>
      <c r="T961" s="13" t="n"/>
      <c r="U961" s="14" t="n"/>
      <c r="V961" s="12" t="n"/>
      <c r="W961" s="13" t="n"/>
      <c r="X961" s="14" t="n"/>
      <c r="Y961" s="12" t="n"/>
      <c r="Z961" s="13" t="n"/>
      <c r="AA961" s="14" t="n"/>
      <c r="AB961" s="12" t="n"/>
      <c r="AC961" s="13" t="n"/>
      <c r="AD961" s="14" t="n"/>
      <c r="AE961" s="12" t="n"/>
      <c r="AF961" s="13" t="n"/>
      <c r="AG961" s="14" t="n"/>
      <c r="AH961" s="12" t="n"/>
      <c r="AI961" s="13" t="n"/>
      <c r="AJ961" s="14" t="n"/>
      <c r="AK961" s="12" t="n"/>
      <c r="AL961" s="13" t="n"/>
      <c r="AM961" s="14" t="n"/>
      <c r="AN961" s="12" t="n"/>
      <c r="AO961" s="13" t="n"/>
      <c r="AP961" s="14" t="n"/>
      <c r="AQ961" s="12" t="n"/>
      <c r="AR961" s="13" t="n"/>
      <c r="AS961" s="14" t="n"/>
      <c r="AT961" s="12" t="n"/>
      <c r="AU961" s="13" t="n"/>
      <c r="AV961" s="14" t="n"/>
      <c r="AW961" s="12" t="n"/>
      <c r="AX961" s="13" t="n"/>
      <c r="AY961" s="14" t="n"/>
      <c r="AZ961" s="12" t="n"/>
      <c r="BA961" s="13" t="n"/>
      <c r="BB961" s="14" t="n"/>
      <c r="BC961" s="11">
        <f>IF(O961="","",IF(J961="GST 10%",ROUND(O961*set_GSTRate,2),0))</f>
        <v/>
      </c>
      <c r="BD961" s="11">
        <f>IF(O961="","",O961+BC961)</f>
        <v/>
      </c>
      <c r="BE961" s="15">
        <f>IF(O961="","",COUNTA(S961,V961,Y961,AB961,AE961,AH961,AK961,AN961,AQ961,AT961,AW961,AZ961))</f>
        <v/>
      </c>
      <c r="BF961" s="16">
        <f>IF(COUNT(T961,W961,Z961,AC961,AF961,AI961,AL961,AO961,AR961,AU961,AX961,BA961)=0,"",MAX(T961,W961,Z961,AC961,AF961,AI961,AL961,AO961,AR961,AU961,AX961,BA961))</f>
        <v/>
      </c>
      <c r="BG961" s="10">
        <f>MID(IF(S961="","",", "&amp;S961)&amp;IF(V961="","",", "&amp;V961)&amp;IF(Y961="","",", "&amp;Y961)&amp;IF(AB961="","",", "&amp;AB961)&amp;IF(AE961="","",", "&amp;AE961)&amp;IF(AH961="","",", "&amp;AH961)&amp;IF(AK961="","",", "&amp;AK961)&amp;IF(AN961="","",", "&amp;AN961)&amp;IF(AQ961="","",", "&amp;AQ961)&amp;IF(AT961="","",", "&amp;AT961)&amp;IF(AW961="","",", "&amp;AW961)&amp;IF(AZ961="","",", "&amp;AZ961),3,500)</f>
        <v/>
      </c>
      <c r="BH961" s="12" t="n"/>
      <c r="BI961" s="15">
        <f>IFERROR(MATCH($A961,IF($B961="Onsite",tbl_Onsite[Row ID],IF($B961="Production",tbl_Production[Row ID],tbl_Consulting[Row ID])),0),"")</f>
        <v/>
      </c>
    </row>
    <row r="962">
      <c r="A962" s="10" t="inlineStr">
        <is>
          <t>PRD-0456</t>
        </is>
      </c>
      <c r="B962" s="10" t="inlineStr">
        <is>
          <t>Production</t>
        </is>
      </c>
      <c r="C962" s="10">
        <f>IF($BI962="","",IF($B962="Onsite",INDEX(tbl_Onsite[Job Number],$BI962),IF($B962="Production",INDEX(tbl_Production[Job Number],$BI962),INDEX(tbl_Consulting[Job Number],$BI962)))&amp;"")</f>
        <v/>
      </c>
      <c r="D962" s="10">
        <f>IF($BI962="","",IF($B962="Onsite",INDEX(tbl_Onsite[Client],$BI962),IF($B962="Production",INDEX(tbl_Production[Client],$BI962),INDEX(tbl_Consulting[Client],$BI962)))&amp;"")</f>
        <v/>
      </c>
      <c r="E962" s="10">
        <f>IF($C962="","",IF(COUNTIF(lst_Jobs,$C962)&gt;0,"OK","CHECK"))</f>
        <v/>
      </c>
      <c r="F962" s="10">
        <f>IF($C962="","",IFERROR(INDEX(lst_JobName,MATCH($C962,lst_Jobs,0)),""))</f>
        <v/>
      </c>
      <c r="G962" s="10">
        <f>IF($BI962="","",IF($B962="Onsite",INDEX(tbl_Onsite[Job Description],$BI962),IF($B962="Production",INDEX(tbl_Production[Job Description],$BI962),INDEX(tbl_Consulting[Job Description],$BI962)))&amp;"")</f>
        <v/>
      </c>
      <c r="H962" s="10">
        <f>IF($BI962="","",IF($B962="Onsite",INDEX(tbl_Onsite[Cost Centre],$BI962),IF($B962="Production",INDEX(tbl_Production[Cost Centre],$BI962),INDEX(tbl_Consulting[Cost Centre],$BI962)))&amp;"")</f>
        <v/>
      </c>
      <c r="I962" s="10">
        <f>IF($BI962="","",IF($B962="Onsite",INDEX(tbl_Onsite[Invoice Type],$BI962),IF($B962="Production",INDEX(tbl_Production[Invoice Type],$BI962),INDEX(tbl_Consulting[Invoice Type],$BI962)))&amp;"")</f>
        <v/>
      </c>
      <c r="J962" s="10">
        <f>IF($BI962="","",IF($B962="Onsite",INDEX(tbl_Onsite[Tax Code],$BI962),IF($B962="Production",INDEX(tbl_Production[Tax Code],$BI962),INDEX(tbl_Consulting[Tax Code],$BI962)))&amp;"")</f>
        <v/>
      </c>
      <c r="K962" s="10">
        <f>IF(H962="","",IFERROR(INDEX(lst_CCtoGL,MATCH(H962,lst_CCforGL,0)),""))</f>
        <v/>
      </c>
      <c r="L962" s="10">
        <f>IF($BI962="","",IF($B962="Onsite",INDEX(tbl_Onsite[PO / Reference],$BI962),IF($B962="Production",INDEX(tbl_Production[Current RMS No],$BI962),INDEX(tbl_Consulting[Qwilr Quote],$BI962)))&amp;"")</f>
        <v/>
      </c>
      <c r="M962" s="10">
        <f>IF($BI962="","",IF($B962="Onsite",INDEX(tbl_Onsite[Notes],$BI962),IF($B962="Production",INDEX(tbl_Production[Notes],$BI962),INDEX(tbl_Consulting[Notes],$BI962)))&amp;"")</f>
        <v/>
      </c>
      <c r="N962" s="11">
        <f>IF($BI962="","",IF(IF($B962="Onsite",INDEX(tbl_Onsite[Expected Revenue Ex GST],$BI962),IF($B962="Production",INDEX(tbl_Production[Expected Revenue Ex GST],$BI962),INDEX(tbl_Consulting[Expected Revenue Ex GST],$BI962)))="","",IF($B962="Onsite",INDEX(tbl_Onsite[Expected Revenue Ex GST],$BI962),IF($B962="Production",INDEX(tbl_Production[Expected Revenue Ex GST],$BI962),INDEX(tbl_Consulting[Expected Revenue Ex GST],$BI962)))))</f>
        <v/>
      </c>
      <c r="O962" s="11">
        <f>IF(AND($C962="",NOT(COUNTA($S962:$BB962)&gt;0)),"",SUM(U962,X962,AA962,AD962,AG962,AJ962,AM962,AP962,AS962,AV962,AY962,BB962))</f>
        <v/>
      </c>
      <c r="P962" s="11">
        <f>IF(O962="","",N(N962)-O962)</f>
        <v/>
      </c>
      <c r="Q962" s="10">
        <f>IF(O962="","",IF($C962="","Invoice on empty job row",IF(N962="",IF(ROUND(O962,2)=0,"No dept value","Invoiced - no dept value"),IF(ROUND(O962,2)=0,"Not invoiced - to invoice",IF(ROUND(P962,2)=0,"Agrees",IF(P962&gt;0,"Dept higher - to invoice","Xero higher - check dept"))))))</f>
        <v/>
      </c>
      <c r="R962" s="10">
        <f>IF(AND($C962="",NOT(COUNTA($S962:$BB962)&gt;0),$BI962&lt;&gt;""),"",MID(IF($BI962="","; Row ID not found on the department sheet - a row was deleted","")&amp;IF(AND($C962="",COUNTA($S962:$BB962)&gt;0),"; Invoice entered but the department row has no job number","")&amp;IF(E962="CHECK","; Job number not in the Xero job list","")&amp;IF(AND($C962&lt;&gt;"",COUNTIF($C$7:$C$1506,$C962)&gt;1),"; Job number on more than one row","")&amp;IF(AND($C962&lt;&gt;"",H962=""),"; Dept has not set a cost centre","")&amp;IF(AND($C962&lt;&gt;"",J962=""),"; Dept has not set a tax code","")&amp;IF(AND($C962&lt;&gt;"",N962=""),"; Dept has not entered an expected value","")&amp;IF((IF(OR(COUNTA(S962:U962)=0,AND(COUNTA(S962:U962)=3,ISNUMBER(U962))),0,1)+IF(OR(COUNTA(V962:X962)=0,AND(COUNTA(V962:X962)=3,ISNUMBER(X962))),0,1)+IF(OR(COUNTA(Y962:AA962)=0,AND(COUNTA(Y962:AA962)=3,ISNUMBER(AA962))),0,1)+IF(OR(COUNTA(AB962:AD962)=0,AND(COUNTA(AB962:AD962)=3,ISNUMBER(AD962))),0,1)+IF(OR(COUNTA(AE962:AG962)=0,AND(COUNTA(AE962:AG962)=3,ISNUMBER(AG962))),0,1)+IF(OR(COUNTA(AH962:AJ962)=0,AND(COUNTA(AH962:AJ962)=3,ISNUMBER(AJ962))),0,1)+IF(OR(COUNTA(AK962:AM962)=0,AND(COUNTA(AK962:AM962)=3,ISNUMBER(AM962))),0,1)+IF(OR(COUNTA(AN962:AP962)=0,AND(COUNTA(AN962:AP962)=3,ISNUMBER(AP962))),0,1)+IF(OR(COUNTA(AQ962:AS962)=0,AND(COUNTA(AQ962:AS962)=3,ISNUMBER(AS962))),0,1)+IF(OR(COUNTA(AT962:AV962)=0,AND(COUNTA(AT962:AV962)=3,ISNUMBER(AV962))),0,1)+IF(OR(COUNTA(AW962:AY962)=0,AND(COUNTA(AW962:AY962)=3,ISNUMBER(AY962))),0,1)+IF(OR(COUNTA(AZ962:BB962)=0,AND(COUNTA(AZ962:BB962)=3,ISNUMBER(BB962))),0,1))&gt;0,"; An invoice is incomplete (needs No, Date and a number in Ex GST)","")&amp;IF((IF(T962="",0,IFERROR(--(EOMONTH(T962,0)&lt;&gt;S$5),1))+IF(W962="",0,IFERROR(--(EOMONTH(W962,0)&lt;&gt;V$5),1))+IF(Z962="",0,IFERROR(--(EOMONTH(Z962,0)&lt;&gt;Y$5),1))+IF(AC962="",0,IFERROR(--(EOMONTH(AC962,0)&lt;&gt;AB$5),1))+IF(AF962="",0,IFERROR(--(EOMONTH(AF962,0)&lt;&gt;AE$5),1))+IF(AI962="",0,IFERROR(--(EOMONTH(AI962,0)&lt;&gt;AH$5),1))+IF(AL962="",0,IFERROR(--(EOMONTH(AL962,0)&lt;&gt;AK$5),1))+IF(AO962="",0,IFERROR(--(EOMONTH(AO962,0)&lt;&gt;AN$5),1))+IF(AR962="",0,IFERROR(--(EOMONTH(AR962,0)&lt;&gt;AQ$5),1))+IF(AU962="",0,IFERROR(--(EOMONTH(AU962,0)&lt;&gt;AT$5),1))+IF(AX962="",0,IFERROR(--(EOMONTH(AX962,0)&lt;&gt;AW$5),1))+IF(BA962="",0,IFERROR(--(EOMONTH(BA962,0)&lt;&gt;AZ$5),1)))&gt;0,"; An invoice date is not in the month it is typed under",""),3,500))</f>
        <v/>
      </c>
      <c r="S962" s="12" t="n"/>
      <c r="T962" s="13" t="n"/>
      <c r="U962" s="14" t="n"/>
      <c r="V962" s="12" t="n"/>
      <c r="W962" s="13" t="n"/>
      <c r="X962" s="14" t="n"/>
      <c r="Y962" s="12" t="n"/>
      <c r="Z962" s="13" t="n"/>
      <c r="AA962" s="14" t="n"/>
      <c r="AB962" s="12" t="n"/>
      <c r="AC962" s="13" t="n"/>
      <c r="AD962" s="14" t="n"/>
      <c r="AE962" s="12" t="n"/>
      <c r="AF962" s="13" t="n"/>
      <c r="AG962" s="14" t="n"/>
      <c r="AH962" s="12" t="n"/>
      <c r="AI962" s="13" t="n"/>
      <c r="AJ962" s="14" t="n"/>
      <c r="AK962" s="12" t="n"/>
      <c r="AL962" s="13" t="n"/>
      <c r="AM962" s="14" t="n"/>
      <c r="AN962" s="12" t="n"/>
      <c r="AO962" s="13" t="n"/>
      <c r="AP962" s="14" t="n"/>
      <c r="AQ962" s="12" t="n"/>
      <c r="AR962" s="13" t="n"/>
      <c r="AS962" s="14" t="n"/>
      <c r="AT962" s="12" t="n"/>
      <c r="AU962" s="13" t="n"/>
      <c r="AV962" s="14" t="n"/>
      <c r="AW962" s="12" t="n"/>
      <c r="AX962" s="13" t="n"/>
      <c r="AY962" s="14" t="n"/>
      <c r="AZ962" s="12" t="n"/>
      <c r="BA962" s="13" t="n"/>
      <c r="BB962" s="14" t="n"/>
      <c r="BC962" s="11">
        <f>IF(O962="","",IF(J962="GST 10%",ROUND(O962*set_GSTRate,2),0))</f>
        <v/>
      </c>
      <c r="BD962" s="11">
        <f>IF(O962="","",O962+BC962)</f>
        <v/>
      </c>
      <c r="BE962" s="15">
        <f>IF(O962="","",COUNTA(S962,V962,Y962,AB962,AE962,AH962,AK962,AN962,AQ962,AT962,AW962,AZ962))</f>
        <v/>
      </c>
      <c r="BF962" s="16">
        <f>IF(COUNT(T962,W962,Z962,AC962,AF962,AI962,AL962,AO962,AR962,AU962,AX962,BA962)=0,"",MAX(T962,W962,Z962,AC962,AF962,AI962,AL962,AO962,AR962,AU962,AX962,BA962))</f>
        <v/>
      </c>
      <c r="BG962" s="10">
        <f>MID(IF(S962="","",", "&amp;S962)&amp;IF(V962="","",", "&amp;V962)&amp;IF(Y962="","",", "&amp;Y962)&amp;IF(AB962="","",", "&amp;AB962)&amp;IF(AE962="","",", "&amp;AE962)&amp;IF(AH962="","",", "&amp;AH962)&amp;IF(AK962="","",", "&amp;AK962)&amp;IF(AN962="","",", "&amp;AN962)&amp;IF(AQ962="","",", "&amp;AQ962)&amp;IF(AT962="","",", "&amp;AT962)&amp;IF(AW962="","",", "&amp;AW962)&amp;IF(AZ962="","",", "&amp;AZ962),3,500)</f>
        <v/>
      </c>
      <c r="BH962" s="12" t="n"/>
      <c r="BI962" s="15">
        <f>IFERROR(MATCH($A962,IF($B962="Onsite",tbl_Onsite[Row ID],IF($B962="Production",tbl_Production[Row ID],tbl_Consulting[Row ID])),0),"")</f>
        <v/>
      </c>
    </row>
    <row r="963">
      <c r="A963" s="10" t="inlineStr">
        <is>
          <t>PRD-0457</t>
        </is>
      </c>
      <c r="B963" s="10" t="inlineStr">
        <is>
          <t>Production</t>
        </is>
      </c>
      <c r="C963" s="10">
        <f>IF($BI963="","",IF($B963="Onsite",INDEX(tbl_Onsite[Job Number],$BI963),IF($B963="Production",INDEX(tbl_Production[Job Number],$BI963),INDEX(tbl_Consulting[Job Number],$BI963)))&amp;"")</f>
        <v/>
      </c>
      <c r="D963" s="10">
        <f>IF($BI963="","",IF($B963="Onsite",INDEX(tbl_Onsite[Client],$BI963),IF($B963="Production",INDEX(tbl_Production[Client],$BI963),INDEX(tbl_Consulting[Client],$BI963)))&amp;"")</f>
        <v/>
      </c>
      <c r="E963" s="10">
        <f>IF($C963="","",IF(COUNTIF(lst_Jobs,$C963)&gt;0,"OK","CHECK"))</f>
        <v/>
      </c>
      <c r="F963" s="10">
        <f>IF($C963="","",IFERROR(INDEX(lst_JobName,MATCH($C963,lst_Jobs,0)),""))</f>
        <v/>
      </c>
      <c r="G963" s="10">
        <f>IF($BI963="","",IF($B963="Onsite",INDEX(tbl_Onsite[Job Description],$BI963),IF($B963="Production",INDEX(tbl_Production[Job Description],$BI963),INDEX(tbl_Consulting[Job Description],$BI963)))&amp;"")</f>
        <v/>
      </c>
      <c r="H963" s="10">
        <f>IF($BI963="","",IF($B963="Onsite",INDEX(tbl_Onsite[Cost Centre],$BI963),IF($B963="Production",INDEX(tbl_Production[Cost Centre],$BI963),INDEX(tbl_Consulting[Cost Centre],$BI963)))&amp;"")</f>
        <v/>
      </c>
      <c r="I963" s="10">
        <f>IF($BI963="","",IF($B963="Onsite",INDEX(tbl_Onsite[Invoice Type],$BI963),IF($B963="Production",INDEX(tbl_Production[Invoice Type],$BI963),INDEX(tbl_Consulting[Invoice Type],$BI963)))&amp;"")</f>
        <v/>
      </c>
      <c r="J963" s="10">
        <f>IF($BI963="","",IF($B963="Onsite",INDEX(tbl_Onsite[Tax Code],$BI963),IF($B963="Production",INDEX(tbl_Production[Tax Code],$BI963),INDEX(tbl_Consulting[Tax Code],$BI963)))&amp;"")</f>
        <v/>
      </c>
      <c r="K963" s="10">
        <f>IF(H963="","",IFERROR(INDEX(lst_CCtoGL,MATCH(H963,lst_CCforGL,0)),""))</f>
        <v/>
      </c>
      <c r="L963" s="10">
        <f>IF($BI963="","",IF($B963="Onsite",INDEX(tbl_Onsite[PO / Reference],$BI963),IF($B963="Production",INDEX(tbl_Production[Current RMS No],$BI963),INDEX(tbl_Consulting[Qwilr Quote],$BI963)))&amp;"")</f>
        <v/>
      </c>
      <c r="M963" s="10">
        <f>IF($BI963="","",IF($B963="Onsite",INDEX(tbl_Onsite[Notes],$BI963),IF($B963="Production",INDEX(tbl_Production[Notes],$BI963),INDEX(tbl_Consulting[Notes],$BI963)))&amp;"")</f>
        <v/>
      </c>
      <c r="N963" s="11">
        <f>IF($BI963="","",IF(IF($B963="Onsite",INDEX(tbl_Onsite[Expected Revenue Ex GST],$BI963),IF($B963="Production",INDEX(tbl_Production[Expected Revenue Ex GST],$BI963),INDEX(tbl_Consulting[Expected Revenue Ex GST],$BI963)))="","",IF($B963="Onsite",INDEX(tbl_Onsite[Expected Revenue Ex GST],$BI963),IF($B963="Production",INDEX(tbl_Production[Expected Revenue Ex GST],$BI963),INDEX(tbl_Consulting[Expected Revenue Ex GST],$BI963)))))</f>
        <v/>
      </c>
      <c r="O963" s="11">
        <f>IF(AND($C963="",NOT(COUNTA($S963:$BB963)&gt;0)),"",SUM(U963,X963,AA963,AD963,AG963,AJ963,AM963,AP963,AS963,AV963,AY963,BB963))</f>
        <v/>
      </c>
      <c r="P963" s="11">
        <f>IF(O963="","",N(N963)-O963)</f>
        <v/>
      </c>
      <c r="Q963" s="10">
        <f>IF(O963="","",IF($C963="","Invoice on empty job row",IF(N963="",IF(ROUND(O963,2)=0,"No dept value","Invoiced - no dept value"),IF(ROUND(O963,2)=0,"Not invoiced - to invoice",IF(ROUND(P963,2)=0,"Agrees",IF(P963&gt;0,"Dept higher - to invoice","Xero higher - check dept"))))))</f>
        <v/>
      </c>
      <c r="R963" s="10">
        <f>IF(AND($C963="",NOT(COUNTA($S963:$BB963)&gt;0),$BI963&lt;&gt;""),"",MID(IF($BI963="","; Row ID not found on the department sheet - a row was deleted","")&amp;IF(AND($C963="",COUNTA($S963:$BB963)&gt;0),"; Invoice entered but the department row has no job number","")&amp;IF(E963="CHECK","; Job number not in the Xero job list","")&amp;IF(AND($C963&lt;&gt;"",COUNTIF($C$7:$C$1506,$C963)&gt;1),"; Job number on more than one row","")&amp;IF(AND($C963&lt;&gt;"",H963=""),"; Dept has not set a cost centre","")&amp;IF(AND($C963&lt;&gt;"",J963=""),"; Dept has not set a tax code","")&amp;IF(AND($C963&lt;&gt;"",N963=""),"; Dept has not entered an expected value","")&amp;IF((IF(OR(COUNTA(S963:U963)=0,AND(COUNTA(S963:U963)=3,ISNUMBER(U963))),0,1)+IF(OR(COUNTA(V963:X963)=0,AND(COUNTA(V963:X963)=3,ISNUMBER(X963))),0,1)+IF(OR(COUNTA(Y963:AA963)=0,AND(COUNTA(Y963:AA963)=3,ISNUMBER(AA963))),0,1)+IF(OR(COUNTA(AB963:AD963)=0,AND(COUNTA(AB963:AD963)=3,ISNUMBER(AD963))),0,1)+IF(OR(COUNTA(AE963:AG963)=0,AND(COUNTA(AE963:AG963)=3,ISNUMBER(AG963))),0,1)+IF(OR(COUNTA(AH963:AJ963)=0,AND(COUNTA(AH963:AJ963)=3,ISNUMBER(AJ963))),0,1)+IF(OR(COUNTA(AK963:AM963)=0,AND(COUNTA(AK963:AM963)=3,ISNUMBER(AM963))),0,1)+IF(OR(COUNTA(AN963:AP963)=0,AND(COUNTA(AN963:AP963)=3,ISNUMBER(AP963))),0,1)+IF(OR(COUNTA(AQ963:AS963)=0,AND(COUNTA(AQ963:AS963)=3,ISNUMBER(AS963))),0,1)+IF(OR(COUNTA(AT963:AV963)=0,AND(COUNTA(AT963:AV963)=3,ISNUMBER(AV963))),0,1)+IF(OR(COUNTA(AW963:AY963)=0,AND(COUNTA(AW963:AY963)=3,ISNUMBER(AY963))),0,1)+IF(OR(COUNTA(AZ963:BB963)=0,AND(COUNTA(AZ963:BB963)=3,ISNUMBER(BB963))),0,1))&gt;0,"; An invoice is incomplete (needs No, Date and a number in Ex GST)","")&amp;IF((IF(T963="",0,IFERROR(--(EOMONTH(T963,0)&lt;&gt;S$5),1))+IF(W963="",0,IFERROR(--(EOMONTH(W963,0)&lt;&gt;V$5),1))+IF(Z963="",0,IFERROR(--(EOMONTH(Z963,0)&lt;&gt;Y$5),1))+IF(AC963="",0,IFERROR(--(EOMONTH(AC963,0)&lt;&gt;AB$5),1))+IF(AF963="",0,IFERROR(--(EOMONTH(AF963,0)&lt;&gt;AE$5),1))+IF(AI963="",0,IFERROR(--(EOMONTH(AI963,0)&lt;&gt;AH$5),1))+IF(AL963="",0,IFERROR(--(EOMONTH(AL963,0)&lt;&gt;AK$5),1))+IF(AO963="",0,IFERROR(--(EOMONTH(AO963,0)&lt;&gt;AN$5),1))+IF(AR963="",0,IFERROR(--(EOMONTH(AR963,0)&lt;&gt;AQ$5),1))+IF(AU963="",0,IFERROR(--(EOMONTH(AU963,0)&lt;&gt;AT$5),1))+IF(AX963="",0,IFERROR(--(EOMONTH(AX963,0)&lt;&gt;AW$5),1))+IF(BA963="",0,IFERROR(--(EOMONTH(BA963,0)&lt;&gt;AZ$5),1)))&gt;0,"; An invoice date is not in the month it is typed under",""),3,500))</f>
        <v/>
      </c>
      <c r="S963" s="12" t="n"/>
      <c r="T963" s="13" t="n"/>
      <c r="U963" s="14" t="n"/>
      <c r="V963" s="12" t="n"/>
      <c r="W963" s="13" t="n"/>
      <c r="X963" s="14" t="n"/>
      <c r="Y963" s="12" t="n"/>
      <c r="Z963" s="13" t="n"/>
      <c r="AA963" s="14" t="n"/>
      <c r="AB963" s="12" t="n"/>
      <c r="AC963" s="13" t="n"/>
      <c r="AD963" s="14" t="n"/>
      <c r="AE963" s="12" t="n"/>
      <c r="AF963" s="13" t="n"/>
      <c r="AG963" s="14" t="n"/>
      <c r="AH963" s="12" t="n"/>
      <c r="AI963" s="13" t="n"/>
      <c r="AJ963" s="14" t="n"/>
      <c r="AK963" s="12" t="n"/>
      <c r="AL963" s="13" t="n"/>
      <c r="AM963" s="14" t="n"/>
      <c r="AN963" s="12" t="n"/>
      <c r="AO963" s="13" t="n"/>
      <c r="AP963" s="14" t="n"/>
      <c r="AQ963" s="12" t="n"/>
      <c r="AR963" s="13" t="n"/>
      <c r="AS963" s="14" t="n"/>
      <c r="AT963" s="12" t="n"/>
      <c r="AU963" s="13" t="n"/>
      <c r="AV963" s="14" t="n"/>
      <c r="AW963" s="12" t="n"/>
      <c r="AX963" s="13" t="n"/>
      <c r="AY963" s="14" t="n"/>
      <c r="AZ963" s="12" t="n"/>
      <c r="BA963" s="13" t="n"/>
      <c r="BB963" s="14" t="n"/>
      <c r="BC963" s="11">
        <f>IF(O963="","",IF(J963="GST 10%",ROUND(O963*set_GSTRate,2),0))</f>
        <v/>
      </c>
      <c r="BD963" s="11">
        <f>IF(O963="","",O963+BC963)</f>
        <v/>
      </c>
      <c r="BE963" s="15">
        <f>IF(O963="","",COUNTA(S963,V963,Y963,AB963,AE963,AH963,AK963,AN963,AQ963,AT963,AW963,AZ963))</f>
        <v/>
      </c>
      <c r="BF963" s="16">
        <f>IF(COUNT(T963,W963,Z963,AC963,AF963,AI963,AL963,AO963,AR963,AU963,AX963,BA963)=0,"",MAX(T963,W963,Z963,AC963,AF963,AI963,AL963,AO963,AR963,AU963,AX963,BA963))</f>
        <v/>
      </c>
      <c r="BG963" s="10">
        <f>MID(IF(S963="","",", "&amp;S963)&amp;IF(V963="","",", "&amp;V963)&amp;IF(Y963="","",", "&amp;Y963)&amp;IF(AB963="","",", "&amp;AB963)&amp;IF(AE963="","",", "&amp;AE963)&amp;IF(AH963="","",", "&amp;AH963)&amp;IF(AK963="","",", "&amp;AK963)&amp;IF(AN963="","",", "&amp;AN963)&amp;IF(AQ963="","",", "&amp;AQ963)&amp;IF(AT963="","",", "&amp;AT963)&amp;IF(AW963="","",", "&amp;AW963)&amp;IF(AZ963="","",", "&amp;AZ963),3,500)</f>
        <v/>
      </c>
      <c r="BH963" s="12" t="n"/>
      <c r="BI963" s="15">
        <f>IFERROR(MATCH($A963,IF($B963="Onsite",tbl_Onsite[Row ID],IF($B963="Production",tbl_Production[Row ID],tbl_Consulting[Row ID])),0),"")</f>
        <v/>
      </c>
    </row>
    <row r="964">
      <c r="A964" s="10" t="inlineStr">
        <is>
          <t>PRD-0458</t>
        </is>
      </c>
      <c r="B964" s="10" t="inlineStr">
        <is>
          <t>Production</t>
        </is>
      </c>
      <c r="C964" s="10">
        <f>IF($BI964="","",IF($B964="Onsite",INDEX(tbl_Onsite[Job Number],$BI964),IF($B964="Production",INDEX(tbl_Production[Job Number],$BI964),INDEX(tbl_Consulting[Job Number],$BI964)))&amp;"")</f>
        <v/>
      </c>
      <c r="D964" s="10">
        <f>IF($BI964="","",IF($B964="Onsite",INDEX(tbl_Onsite[Client],$BI964),IF($B964="Production",INDEX(tbl_Production[Client],$BI964),INDEX(tbl_Consulting[Client],$BI964)))&amp;"")</f>
        <v/>
      </c>
      <c r="E964" s="10">
        <f>IF($C964="","",IF(COUNTIF(lst_Jobs,$C964)&gt;0,"OK","CHECK"))</f>
        <v/>
      </c>
      <c r="F964" s="10">
        <f>IF($C964="","",IFERROR(INDEX(lst_JobName,MATCH($C964,lst_Jobs,0)),""))</f>
        <v/>
      </c>
      <c r="G964" s="10">
        <f>IF($BI964="","",IF($B964="Onsite",INDEX(tbl_Onsite[Job Description],$BI964),IF($B964="Production",INDEX(tbl_Production[Job Description],$BI964),INDEX(tbl_Consulting[Job Description],$BI964)))&amp;"")</f>
        <v/>
      </c>
      <c r="H964" s="10">
        <f>IF($BI964="","",IF($B964="Onsite",INDEX(tbl_Onsite[Cost Centre],$BI964),IF($B964="Production",INDEX(tbl_Production[Cost Centre],$BI964),INDEX(tbl_Consulting[Cost Centre],$BI964)))&amp;"")</f>
        <v/>
      </c>
      <c r="I964" s="10">
        <f>IF($BI964="","",IF($B964="Onsite",INDEX(tbl_Onsite[Invoice Type],$BI964),IF($B964="Production",INDEX(tbl_Production[Invoice Type],$BI964),INDEX(tbl_Consulting[Invoice Type],$BI964)))&amp;"")</f>
        <v/>
      </c>
      <c r="J964" s="10">
        <f>IF($BI964="","",IF($B964="Onsite",INDEX(tbl_Onsite[Tax Code],$BI964),IF($B964="Production",INDEX(tbl_Production[Tax Code],$BI964),INDEX(tbl_Consulting[Tax Code],$BI964)))&amp;"")</f>
        <v/>
      </c>
      <c r="K964" s="10">
        <f>IF(H964="","",IFERROR(INDEX(lst_CCtoGL,MATCH(H964,lst_CCforGL,0)),""))</f>
        <v/>
      </c>
      <c r="L964" s="10">
        <f>IF($BI964="","",IF($B964="Onsite",INDEX(tbl_Onsite[PO / Reference],$BI964),IF($B964="Production",INDEX(tbl_Production[Current RMS No],$BI964),INDEX(tbl_Consulting[Qwilr Quote],$BI964)))&amp;"")</f>
        <v/>
      </c>
      <c r="M964" s="10">
        <f>IF($BI964="","",IF($B964="Onsite",INDEX(tbl_Onsite[Notes],$BI964),IF($B964="Production",INDEX(tbl_Production[Notes],$BI964),INDEX(tbl_Consulting[Notes],$BI964)))&amp;"")</f>
        <v/>
      </c>
      <c r="N964" s="11">
        <f>IF($BI964="","",IF(IF($B964="Onsite",INDEX(tbl_Onsite[Expected Revenue Ex GST],$BI964),IF($B964="Production",INDEX(tbl_Production[Expected Revenue Ex GST],$BI964),INDEX(tbl_Consulting[Expected Revenue Ex GST],$BI964)))="","",IF($B964="Onsite",INDEX(tbl_Onsite[Expected Revenue Ex GST],$BI964),IF($B964="Production",INDEX(tbl_Production[Expected Revenue Ex GST],$BI964),INDEX(tbl_Consulting[Expected Revenue Ex GST],$BI964)))))</f>
        <v/>
      </c>
      <c r="O964" s="11">
        <f>IF(AND($C964="",NOT(COUNTA($S964:$BB964)&gt;0)),"",SUM(U964,X964,AA964,AD964,AG964,AJ964,AM964,AP964,AS964,AV964,AY964,BB964))</f>
        <v/>
      </c>
      <c r="P964" s="11">
        <f>IF(O964="","",N(N964)-O964)</f>
        <v/>
      </c>
      <c r="Q964" s="10">
        <f>IF(O964="","",IF($C964="","Invoice on empty job row",IF(N964="",IF(ROUND(O964,2)=0,"No dept value","Invoiced - no dept value"),IF(ROUND(O964,2)=0,"Not invoiced - to invoice",IF(ROUND(P964,2)=0,"Agrees",IF(P964&gt;0,"Dept higher - to invoice","Xero higher - check dept"))))))</f>
        <v/>
      </c>
      <c r="R964" s="10">
        <f>IF(AND($C964="",NOT(COUNTA($S964:$BB964)&gt;0),$BI964&lt;&gt;""),"",MID(IF($BI964="","; Row ID not found on the department sheet - a row was deleted","")&amp;IF(AND($C964="",COUNTA($S964:$BB964)&gt;0),"; Invoice entered but the department row has no job number","")&amp;IF(E964="CHECK","; Job number not in the Xero job list","")&amp;IF(AND($C964&lt;&gt;"",COUNTIF($C$7:$C$1506,$C964)&gt;1),"; Job number on more than one row","")&amp;IF(AND($C964&lt;&gt;"",H964=""),"; Dept has not set a cost centre","")&amp;IF(AND($C964&lt;&gt;"",J964=""),"; Dept has not set a tax code","")&amp;IF(AND($C964&lt;&gt;"",N964=""),"; Dept has not entered an expected value","")&amp;IF((IF(OR(COUNTA(S964:U964)=0,AND(COUNTA(S964:U964)=3,ISNUMBER(U964))),0,1)+IF(OR(COUNTA(V964:X964)=0,AND(COUNTA(V964:X964)=3,ISNUMBER(X964))),0,1)+IF(OR(COUNTA(Y964:AA964)=0,AND(COUNTA(Y964:AA964)=3,ISNUMBER(AA964))),0,1)+IF(OR(COUNTA(AB964:AD964)=0,AND(COUNTA(AB964:AD964)=3,ISNUMBER(AD964))),0,1)+IF(OR(COUNTA(AE964:AG964)=0,AND(COUNTA(AE964:AG964)=3,ISNUMBER(AG964))),0,1)+IF(OR(COUNTA(AH964:AJ964)=0,AND(COUNTA(AH964:AJ964)=3,ISNUMBER(AJ964))),0,1)+IF(OR(COUNTA(AK964:AM964)=0,AND(COUNTA(AK964:AM964)=3,ISNUMBER(AM964))),0,1)+IF(OR(COUNTA(AN964:AP964)=0,AND(COUNTA(AN964:AP964)=3,ISNUMBER(AP964))),0,1)+IF(OR(COUNTA(AQ964:AS964)=0,AND(COUNTA(AQ964:AS964)=3,ISNUMBER(AS964))),0,1)+IF(OR(COUNTA(AT964:AV964)=0,AND(COUNTA(AT964:AV964)=3,ISNUMBER(AV964))),0,1)+IF(OR(COUNTA(AW964:AY964)=0,AND(COUNTA(AW964:AY964)=3,ISNUMBER(AY964))),0,1)+IF(OR(COUNTA(AZ964:BB964)=0,AND(COUNTA(AZ964:BB964)=3,ISNUMBER(BB964))),0,1))&gt;0,"; An invoice is incomplete (needs No, Date and a number in Ex GST)","")&amp;IF((IF(T964="",0,IFERROR(--(EOMONTH(T964,0)&lt;&gt;S$5),1))+IF(W964="",0,IFERROR(--(EOMONTH(W964,0)&lt;&gt;V$5),1))+IF(Z964="",0,IFERROR(--(EOMONTH(Z964,0)&lt;&gt;Y$5),1))+IF(AC964="",0,IFERROR(--(EOMONTH(AC964,0)&lt;&gt;AB$5),1))+IF(AF964="",0,IFERROR(--(EOMONTH(AF964,0)&lt;&gt;AE$5),1))+IF(AI964="",0,IFERROR(--(EOMONTH(AI964,0)&lt;&gt;AH$5),1))+IF(AL964="",0,IFERROR(--(EOMONTH(AL964,0)&lt;&gt;AK$5),1))+IF(AO964="",0,IFERROR(--(EOMONTH(AO964,0)&lt;&gt;AN$5),1))+IF(AR964="",0,IFERROR(--(EOMONTH(AR964,0)&lt;&gt;AQ$5),1))+IF(AU964="",0,IFERROR(--(EOMONTH(AU964,0)&lt;&gt;AT$5),1))+IF(AX964="",0,IFERROR(--(EOMONTH(AX964,0)&lt;&gt;AW$5),1))+IF(BA964="",0,IFERROR(--(EOMONTH(BA964,0)&lt;&gt;AZ$5),1)))&gt;0,"; An invoice date is not in the month it is typed under",""),3,500))</f>
        <v/>
      </c>
      <c r="S964" s="12" t="n"/>
      <c r="T964" s="13" t="n"/>
      <c r="U964" s="14" t="n"/>
      <c r="V964" s="12" t="n"/>
      <c r="W964" s="13" t="n"/>
      <c r="X964" s="14" t="n"/>
      <c r="Y964" s="12" t="n"/>
      <c r="Z964" s="13" t="n"/>
      <c r="AA964" s="14" t="n"/>
      <c r="AB964" s="12" t="n"/>
      <c r="AC964" s="13" t="n"/>
      <c r="AD964" s="14" t="n"/>
      <c r="AE964" s="12" t="n"/>
      <c r="AF964" s="13" t="n"/>
      <c r="AG964" s="14" t="n"/>
      <c r="AH964" s="12" t="n"/>
      <c r="AI964" s="13" t="n"/>
      <c r="AJ964" s="14" t="n"/>
      <c r="AK964" s="12" t="n"/>
      <c r="AL964" s="13" t="n"/>
      <c r="AM964" s="14" t="n"/>
      <c r="AN964" s="12" t="n"/>
      <c r="AO964" s="13" t="n"/>
      <c r="AP964" s="14" t="n"/>
      <c r="AQ964" s="12" t="n"/>
      <c r="AR964" s="13" t="n"/>
      <c r="AS964" s="14" t="n"/>
      <c r="AT964" s="12" t="n"/>
      <c r="AU964" s="13" t="n"/>
      <c r="AV964" s="14" t="n"/>
      <c r="AW964" s="12" t="n"/>
      <c r="AX964" s="13" t="n"/>
      <c r="AY964" s="14" t="n"/>
      <c r="AZ964" s="12" t="n"/>
      <c r="BA964" s="13" t="n"/>
      <c r="BB964" s="14" t="n"/>
      <c r="BC964" s="11">
        <f>IF(O964="","",IF(J964="GST 10%",ROUND(O964*set_GSTRate,2),0))</f>
        <v/>
      </c>
      <c r="BD964" s="11">
        <f>IF(O964="","",O964+BC964)</f>
        <v/>
      </c>
      <c r="BE964" s="15">
        <f>IF(O964="","",COUNTA(S964,V964,Y964,AB964,AE964,AH964,AK964,AN964,AQ964,AT964,AW964,AZ964))</f>
        <v/>
      </c>
      <c r="BF964" s="16">
        <f>IF(COUNT(T964,W964,Z964,AC964,AF964,AI964,AL964,AO964,AR964,AU964,AX964,BA964)=0,"",MAX(T964,W964,Z964,AC964,AF964,AI964,AL964,AO964,AR964,AU964,AX964,BA964))</f>
        <v/>
      </c>
      <c r="BG964" s="10">
        <f>MID(IF(S964="","",", "&amp;S964)&amp;IF(V964="","",", "&amp;V964)&amp;IF(Y964="","",", "&amp;Y964)&amp;IF(AB964="","",", "&amp;AB964)&amp;IF(AE964="","",", "&amp;AE964)&amp;IF(AH964="","",", "&amp;AH964)&amp;IF(AK964="","",", "&amp;AK964)&amp;IF(AN964="","",", "&amp;AN964)&amp;IF(AQ964="","",", "&amp;AQ964)&amp;IF(AT964="","",", "&amp;AT964)&amp;IF(AW964="","",", "&amp;AW964)&amp;IF(AZ964="","",", "&amp;AZ964),3,500)</f>
        <v/>
      </c>
      <c r="BH964" s="12" t="n"/>
      <c r="BI964" s="15">
        <f>IFERROR(MATCH($A964,IF($B964="Onsite",tbl_Onsite[Row ID],IF($B964="Production",tbl_Production[Row ID],tbl_Consulting[Row ID])),0),"")</f>
        <v/>
      </c>
    </row>
    <row r="965">
      <c r="A965" s="10" t="inlineStr">
        <is>
          <t>PRD-0459</t>
        </is>
      </c>
      <c r="B965" s="10" t="inlineStr">
        <is>
          <t>Production</t>
        </is>
      </c>
      <c r="C965" s="10">
        <f>IF($BI965="","",IF($B965="Onsite",INDEX(tbl_Onsite[Job Number],$BI965),IF($B965="Production",INDEX(tbl_Production[Job Number],$BI965),INDEX(tbl_Consulting[Job Number],$BI965)))&amp;"")</f>
        <v/>
      </c>
      <c r="D965" s="10">
        <f>IF($BI965="","",IF($B965="Onsite",INDEX(tbl_Onsite[Client],$BI965),IF($B965="Production",INDEX(tbl_Production[Client],$BI965),INDEX(tbl_Consulting[Client],$BI965)))&amp;"")</f>
        <v/>
      </c>
      <c r="E965" s="10">
        <f>IF($C965="","",IF(COUNTIF(lst_Jobs,$C965)&gt;0,"OK","CHECK"))</f>
        <v/>
      </c>
      <c r="F965" s="10">
        <f>IF($C965="","",IFERROR(INDEX(lst_JobName,MATCH($C965,lst_Jobs,0)),""))</f>
        <v/>
      </c>
      <c r="G965" s="10">
        <f>IF($BI965="","",IF($B965="Onsite",INDEX(tbl_Onsite[Job Description],$BI965),IF($B965="Production",INDEX(tbl_Production[Job Description],$BI965),INDEX(tbl_Consulting[Job Description],$BI965)))&amp;"")</f>
        <v/>
      </c>
      <c r="H965" s="10">
        <f>IF($BI965="","",IF($B965="Onsite",INDEX(tbl_Onsite[Cost Centre],$BI965),IF($B965="Production",INDEX(tbl_Production[Cost Centre],$BI965),INDEX(tbl_Consulting[Cost Centre],$BI965)))&amp;"")</f>
        <v/>
      </c>
      <c r="I965" s="10">
        <f>IF($BI965="","",IF($B965="Onsite",INDEX(tbl_Onsite[Invoice Type],$BI965),IF($B965="Production",INDEX(tbl_Production[Invoice Type],$BI965),INDEX(tbl_Consulting[Invoice Type],$BI965)))&amp;"")</f>
        <v/>
      </c>
      <c r="J965" s="10">
        <f>IF($BI965="","",IF($B965="Onsite",INDEX(tbl_Onsite[Tax Code],$BI965),IF($B965="Production",INDEX(tbl_Production[Tax Code],$BI965),INDEX(tbl_Consulting[Tax Code],$BI965)))&amp;"")</f>
        <v/>
      </c>
      <c r="K965" s="10">
        <f>IF(H965="","",IFERROR(INDEX(lst_CCtoGL,MATCH(H965,lst_CCforGL,0)),""))</f>
        <v/>
      </c>
      <c r="L965" s="10">
        <f>IF($BI965="","",IF($B965="Onsite",INDEX(tbl_Onsite[PO / Reference],$BI965),IF($B965="Production",INDEX(tbl_Production[Current RMS No],$BI965),INDEX(tbl_Consulting[Qwilr Quote],$BI965)))&amp;"")</f>
        <v/>
      </c>
      <c r="M965" s="10">
        <f>IF($BI965="","",IF($B965="Onsite",INDEX(tbl_Onsite[Notes],$BI965),IF($B965="Production",INDEX(tbl_Production[Notes],$BI965),INDEX(tbl_Consulting[Notes],$BI965)))&amp;"")</f>
        <v/>
      </c>
      <c r="N965" s="11">
        <f>IF($BI965="","",IF(IF($B965="Onsite",INDEX(tbl_Onsite[Expected Revenue Ex GST],$BI965),IF($B965="Production",INDEX(tbl_Production[Expected Revenue Ex GST],$BI965),INDEX(tbl_Consulting[Expected Revenue Ex GST],$BI965)))="","",IF($B965="Onsite",INDEX(tbl_Onsite[Expected Revenue Ex GST],$BI965),IF($B965="Production",INDEX(tbl_Production[Expected Revenue Ex GST],$BI965),INDEX(tbl_Consulting[Expected Revenue Ex GST],$BI965)))))</f>
        <v/>
      </c>
      <c r="O965" s="11">
        <f>IF(AND($C965="",NOT(COUNTA($S965:$BB965)&gt;0)),"",SUM(U965,X965,AA965,AD965,AG965,AJ965,AM965,AP965,AS965,AV965,AY965,BB965))</f>
        <v/>
      </c>
      <c r="P965" s="11">
        <f>IF(O965="","",N(N965)-O965)</f>
        <v/>
      </c>
      <c r="Q965" s="10">
        <f>IF(O965="","",IF($C965="","Invoice on empty job row",IF(N965="",IF(ROUND(O965,2)=0,"No dept value","Invoiced - no dept value"),IF(ROUND(O965,2)=0,"Not invoiced - to invoice",IF(ROUND(P965,2)=0,"Agrees",IF(P965&gt;0,"Dept higher - to invoice","Xero higher - check dept"))))))</f>
        <v/>
      </c>
      <c r="R965" s="10">
        <f>IF(AND($C965="",NOT(COUNTA($S965:$BB965)&gt;0),$BI965&lt;&gt;""),"",MID(IF($BI965="","; Row ID not found on the department sheet - a row was deleted","")&amp;IF(AND($C965="",COUNTA($S965:$BB965)&gt;0),"; Invoice entered but the department row has no job number","")&amp;IF(E965="CHECK","; Job number not in the Xero job list","")&amp;IF(AND($C965&lt;&gt;"",COUNTIF($C$7:$C$1506,$C965)&gt;1),"; Job number on more than one row","")&amp;IF(AND($C965&lt;&gt;"",H965=""),"; Dept has not set a cost centre","")&amp;IF(AND($C965&lt;&gt;"",J965=""),"; Dept has not set a tax code","")&amp;IF(AND($C965&lt;&gt;"",N965=""),"; Dept has not entered an expected value","")&amp;IF((IF(OR(COUNTA(S965:U965)=0,AND(COUNTA(S965:U965)=3,ISNUMBER(U965))),0,1)+IF(OR(COUNTA(V965:X965)=0,AND(COUNTA(V965:X965)=3,ISNUMBER(X965))),0,1)+IF(OR(COUNTA(Y965:AA965)=0,AND(COUNTA(Y965:AA965)=3,ISNUMBER(AA965))),0,1)+IF(OR(COUNTA(AB965:AD965)=0,AND(COUNTA(AB965:AD965)=3,ISNUMBER(AD965))),0,1)+IF(OR(COUNTA(AE965:AG965)=0,AND(COUNTA(AE965:AG965)=3,ISNUMBER(AG965))),0,1)+IF(OR(COUNTA(AH965:AJ965)=0,AND(COUNTA(AH965:AJ965)=3,ISNUMBER(AJ965))),0,1)+IF(OR(COUNTA(AK965:AM965)=0,AND(COUNTA(AK965:AM965)=3,ISNUMBER(AM965))),0,1)+IF(OR(COUNTA(AN965:AP965)=0,AND(COUNTA(AN965:AP965)=3,ISNUMBER(AP965))),0,1)+IF(OR(COUNTA(AQ965:AS965)=0,AND(COUNTA(AQ965:AS965)=3,ISNUMBER(AS965))),0,1)+IF(OR(COUNTA(AT965:AV965)=0,AND(COUNTA(AT965:AV965)=3,ISNUMBER(AV965))),0,1)+IF(OR(COUNTA(AW965:AY965)=0,AND(COUNTA(AW965:AY965)=3,ISNUMBER(AY965))),0,1)+IF(OR(COUNTA(AZ965:BB965)=0,AND(COUNTA(AZ965:BB965)=3,ISNUMBER(BB965))),0,1))&gt;0,"; An invoice is incomplete (needs No, Date and a number in Ex GST)","")&amp;IF((IF(T965="",0,IFERROR(--(EOMONTH(T965,0)&lt;&gt;S$5),1))+IF(W965="",0,IFERROR(--(EOMONTH(W965,0)&lt;&gt;V$5),1))+IF(Z965="",0,IFERROR(--(EOMONTH(Z965,0)&lt;&gt;Y$5),1))+IF(AC965="",0,IFERROR(--(EOMONTH(AC965,0)&lt;&gt;AB$5),1))+IF(AF965="",0,IFERROR(--(EOMONTH(AF965,0)&lt;&gt;AE$5),1))+IF(AI965="",0,IFERROR(--(EOMONTH(AI965,0)&lt;&gt;AH$5),1))+IF(AL965="",0,IFERROR(--(EOMONTH(AL965,0)&lt;&gt;AK$5),1))+IF(AO965="",0,IFERROR(--(EOMONTH(AO965,0)&lt;&gt;AN$5),1))+IF(AR965="",0,IFERROR(--(EOMONTH(AR965,0)&lt;&gt;AQ$5),1))+IF(AU965="",0,IFERROR(--(EOMONTH(AU965,0)&lt;&gt;AT$5),1))+IF(AX965="",0,IFERROR(--(EOMONTH(AX965,0)&lt;&gt;AW$5),1))+IF(BA965="",0,IFERROR(--(EOMONTH(BA965,0)&lt;&gt;AZ$5),1)))&gt;0,"; An invoice date is not in the month it is typed under",""),3,500))</f>
        <v/>
      </c>
      <c r="S965" s="12" t="n"/>
      <c r="T965" s="13" t="n"/>
      <c r="U965" s="14" t="n"/>
      <c r="V965" s="12" t="n"/>
      <c r="W965" s="13" t="n"/>
      <c r="X965" s="14" t="n"/>
      <c r="Y965" s="12" t="n"/>
      <c r="Z965" s="13" t="n"/>
      <c r="AA965" s="14" t="n"/>
      <c r="AB965" s="12" t="n"/>
      <c r="AC965" s="13" t="n"/>
      <c r="AD965" s="14" t="n"/>
      <c r="AE965" s="12" t="n"/>
      <c r="AF965" s="13" t="n"/>
      <c r="AG965" s="14" t="n"/>
      <c r="AH965" s="12" t="n"/>
      <c r="AI965" s="13" t="n"/>
      <c r="AJ965" s="14" t="n"/>
      <c r="AK965" s="12" t="n"/>
      <c r="AL965" s="13" t="n"/>
      <c r="AM965" s="14" t="n"/>
      <c r="AN965" s="12" t="n"/>
      <c r="AO965" s="13" t="n"/>
      <c r="AP965" s="14" t="n"/>
      <c r="AQ965" s="12" t="n"/>
      <c r="AR965" s="13" t="n"/>
      <c r="AS965" s="14" t="n"/>
      <c r="AT965" s="12" t="n"/>
      <c r="AU965" s="13" t="n"/>
      <c r="AV965" s="14" t="n"/>
      <c r="AW965" s="12" t="n"/>
      <c r="AX965" s="13" t="n"/>
      <c r="AY965" s="14" t="n"/>
      <c r="AZ965" s="12" t="n"/>
      <c r="BA965" s="13" t="n"/>
      <c r="BB965" s="14" t="n"/>
      <c r="BC965" s="11">
        <f>IF(O965="","",IF(J965="GST 10%",ROUND(O965*set_GSTRate,2),0))</f>
        <v/>
      </c>
      <c r="BD965" s="11">
        <f>IF(O965="","",O965+BC965)</f>
        <v/>
      </c>
      <c r="BE965" s="15">
        <f>IF(O965="","",COUNTA(S965,V965,Y965,AB965,AE965,AH965,AK965,AN965,AQ965,AT965,AW965,AZ965))</f>
        <v/>
      </c>
      <c r="BF965" s="16">
        <f>IF(COUNT(T965,W965,Z965,AC965,AF965,AI965,AL965,AO965,AR965,AU965,AX965,BA965)=0,"",MAX(T965,W965,Z965,AC965,AF965,AI965,AL965,AO965,AR965,AU965,AX965,BA965))</f>
        <v/>
      </c>
      <c r="BG965" s="10">
        <f>MID(IF(S965="","",", "&amp;S965)&amp;IF(V965="","",", "&amp;V965)&amp;IF(Y965="","",", "&amp;Y965)&amp;IF(AB965="","",", "&amp;AB965)&amp;IF(AE965="","",", "&amp;AE965)&amp;IF(AH965="","",", "&amp;AH965)&amp;IF(AK965="","",", "&amp;AK965)&amp;IF(AN965="","",", "&amp;AN965)&amp;IF(AQ965="","",", "&amp;AQ965)&amp;IF(AT965="","",", "&amp;AT965)&amp;IF(AW965="","",", "&amp;AW965)&amp;IF(AZ965="","",", "&amp;AZ965),3,500)</f>
        <v/>
      </c>
      <c r="BH965" s="12" t="n"/>
      <c r="BI965" s="15">
        <f>IFERROR(MATCH($A965,IF($B965="Onsite",tbl_Onsite[Row ID],IF($B965="Production",tbl_Production[Row ID],tbl_Consulting[Row ID])),0),"")</f>
        <v/>
      </c>
    </row>
    <row r="966">
      <c r="A966" s="10" t="inlineStr">
        <is>
          <t>PRD-0460</t>
        </is>
      </c>
      <c r="B966" s="10" t="inlineStr">
        <is>
          <t>Production</t>
        </is>
      </c>
      <c r="C966" s="10">
        <f>IF($BI966="","",IF($B966="Onsite",INDEX(tbl_Onsite[Job Number],$BI966),IF($B966="Production",INDEX(tbl_Production[Job Number],$BI966),INDEX(tbl_Consulting[Job Number],$BI966)))&amp;"")</f>
        <v/>
      </c>
      <c r="D966" s="10">
        <f>IF($BI966="","",IF($B966="Onsite",INDEX(tbl_Onsite[Client],$BI966),IF($B966="Production",INDEX(tbl_Production[Client],$BI966),INDEX(tbl_Consulting[Client],$BI966)))&amp;"")</f>
        <v/>
      </c>
      <c r="E966" s="10">
        <f>IF($C966="","",IF(COUNTIF(lst_Jobs,$C966)&gt;0,"OK","CHECK"))</f>
        <v/>
      </c>
      <c r="F966" s="10">
        <f>IF($C966="","",IFERROR(INDEX(lst_JobName,MATCH($C966,lst_Jobs,0)),""))</f>
        <v/>
      </c>
      <c r="G966" s="10">
        <f>IF($BI966="","",IF($B966="Onsite",INDEX(tbl_Onsite[Job Description],$BI966),IF($B966="Production",INDEX(tbl_Production[Job Description],$BI966),INDEX(tbl_Consulting[Job Description],$BI966)))&amp;"")</f>
        <v/>
      </c>
      <c r="H966" s="10">
        <f>IF($BI966="","",IF($B966="Onsite",INDEX(tbl_Onsite[Cost Centre],$BI966),IF($B966="Production",INDEX(tbl_Production[Cost Centre],$BI966),INDEX(tbl_Consulting[Cost Centre],$BI966)))&amp;"")</f>
        <v/>
      </c>
      <c r="I966" s="10">
        <f>IF($BI966="","",IF($B966="Onsite",INDEX(tbl_Onsite[Invoice Type],$BI966),IF($B966="Production",INDEX(tbl_Production[Invoice Type],$BI966),INDEX(tbl_Consulting[Invoice Type],$BI966)))&amp;"")</f>
        <v/>
      </c>
      <c r="J966" s="10">
        <f>IF($BI966="","",IF($B966="Onsite",INDEX(tbl_Onsite[Tax Code],$BI966),IF($B966="Production",INDEX(tbl_Production[Tax Code],$BI966),INDEX(tbl_Consulting[Tax Code],$BI966)))&amp;"")</f>
        <v/>
      </c>
      <c r="K966" s="10">
        <f>IF(H966="","",IFERROR(INDEX(lst_CCtoGL,MATCH(H966,lst_CCforGL,0)),""))</f>
        <v/>
      </c>
      <c r="L966" s="10">
        <f>IF($BI966="","",IF($B966="Onsite",INDEX(tbl_Onsite[PO / Reference],$BI966),IF($B966="Production",INDEX(tbl_Production[Current RMS No],$BI966),INDEX(tbl_Consulting[Qwilr Quote],$BI966)))&amp;"")</f>
        <v/>
      </c>
      <c r="M966" s="10">
        <f>IF($BI966="","",IF($B966="Onsite",INDEX(tbl_Onsite[Notes],$BI966),IF($B966="Production",INDEX(tbl_Production[Notes],$BI966),INDEX(tbl_Consulting[Notes],$BI966)))&amp;"")</f>
        <v/>
      </c>
      <c r="N966" s="11">
        <f>IF($BI966="","",IF(IF($B966="Onsite",INDEX(tbl_Onsite[Expected Revenue Ex GST],$BI966),IF($B966="Production",INDEX(tbl_Production[Expected Revenue Ex GST],$BI966),INDEX(tbl_Consulting[Expected Revenue Ex GST],$BI966)))="","",IF($B966="Onsite",INDEX(tbl_Onsite[Expected Revenue Ex GST],$BI966),IF($B966="Production",INDEX(tbl_Production[Expected Revenue Ex GST],$BI966),INDEX(tbl_Consulting[Expected Revenue Ex GST],$BI966)))))</f>
        <v/>
      </c>
      <c r="O966" s="11">
        <f>IF(AND($C966="",NOT(COUNTA($S966:$BB966)&gt;0)),"",SUM(U966,X966,AA966,AD966,AG966,AJ966,AM966,AP966,AS966,AV966,AY966,BB966))</f>
        <v/>
      </c>
      <c r="P966" s="11">
        <f>IF(O966="","",N(N966)-O966)</f>
        <v/>
      </c>
      <c r="Q966" s="10">
        <f>IF(O966="","",IF($C966="","Invoice on empty job row",IF(N966="",IF(ROUND(O966,2)=0,"No dept value","Invoiced - no dept value"),IF(ROUND(O966,2)=0,"Not invoiced - to invoice",IF(ROUND(P966,2)=0,"Agrees",IF(P966&gt;0,"Dept higher - to invoice","Xero higher - check dept"))))))</f>
        <v/>
      </c>
      <c r="R966" s="10">
        <f>IF(AND($C966="",NOT(COUNTA($S966:$BB966)&gt;0),$BI966&lt;&gt;""),"",MID(IF($BI966="","; Row ID not found on the department sheet - a row was deleted","")&amp;IF(AND($C966="",COUNTA($S966:$BB966)&gt;0),"; Invoice entered but the department row has no job number","")&amp;IF(E966="CHECK","; Job number not in the Xero job list","")&amp;IF(AND($C966&lt;&gt;"",COUNTIF($C$7:$C$1506,$C966)&gt;1),"; Job number on more than one row","")&amp;IF(AND($C966&lt;&gt;"",H966=""),"; Dept has not set a cost centre","")&amp;IF(AND($C966&lt;&gt;"",J966=""),"; Dept has not set a tax code","")&amp;IF(AND($C966&lt;&gt;"",N966=""),"; Dept has not entered an expected value","")&amp;IF((IF(OR(COUNTA(S966:U966)=0,AND(COUNTA(S966:U966)=3,ISNUMBER(U966))),0,1)+IF(OR(COUNTA(V966:X966)=0,AND(COUNTA(V966:X966)=3,ISNUMBER(X966))),0,1)+IF(OR(COUNTA(Y966:AA966)=0,AND(COUNTA(Y966:AA966)=3,ISNUMBER(AA966))),0,1)+IF(OR(COUNTA(AB966:AD966)=0,AND(COUNTA(AB966:AD966)=3,ISNUMBER(AD966))),0,1)+IF(OR(COUNTA(AE966:AG966)=0,AND(COUNTA(AE966:AG966)=3,ISNUMBER(AG966))),0,1)+IF(OR(COUNTA(AH966:AJ966)=0,AND(COUNTA(AH966:AJ966)=3,ISNUMBER(AJ966))),0,1)+IF(OR(COUNTA(AK966:AM966)=0,AND(COUNTA(AK966:AM966)=3,ISNUMBER(AM966))),0,1)+IF(OR(COUNTA(AN966:AP966)=0,AND(COUNTA(AN966:AP966)=3,ISNUMBER(AP966))),0,1)+IF(OR(COUNTA(AQ966:AS966)=0,AND(COUNTA(AQ966:AS966)=3,ISNUMBER(AS966))),0,1)+IF(OR(COUNTA(AT966:AV966)=0,AND(COUNTA(AT966:AV966)=3,ISNUMBER(AV966))),0,1)+IF(OR(COUNTA(AW966:AY966)=0,AND(COUNTA(AW966:AY966)=3,ISNUMBER(AY966))),0,1)+IF(OR(COUNTA(AZ966:BB966)=0,AND(COUNTA(AZ966:BB966)=3,ISNUMBER(BB966))),0,1))&gt;0,"; An invoice is incomplete (needs No, Date and a number in Ex GST)","")&amp;IF((IF(T966="",0,IFERROR(--(EOMONTH(T966,0)&lt;&gt;S$5),1))+IF(W966="",0,IFERROR(--(EOMONTH(W966,0)&lt;&gt;V$5),1))+IF(Z966="",0,IFERROR(--(EOMONTH(Z966,0)&lt;&gt;Y$5),1))+IF(AC966="",0,IFERROR(--(EOMONTH(AC966,0)&lt;&gt;AB$5),1))+IF(AF966="",0,IFERROR(--(EOMONTH(AF966,0)&lt;&gt;AE$5),1))+IF(AI966="",0,IFERROR(--(EOMONTH(AI966,0)&lt;&gt;AH$5),1))+IF(AL966="",0,IFERROR(--(EOMONTH(AL966,0)&lt;&gt;AK$5),1))+IF(AO966="",0,IFERROR(--(EOMONTH(AO966,0)&lt;&gt;AN$5),1))+IF(AR966="",0,IFERROR(--(EOMONTH(AR966,0)&lt;&gt;AQ$5),1))+IF(AU966="",0,IFERROR(--(EOMONTH(AU966,0)&lt;&gt;AT$5),1))+IF(AX966="",0,IFERROR(--(EOMONTH(AX966,0)&lt;&gt;AW$5),1))+IF(BA966="",0,IFERROR(--(EOMONTH(BA966,0)&lt;&gt;AZ$5),1)))&gt;0,"; An invoice date is not in the month it is typed under",""),3,500))</f>
        <v/>
      </c>
      <c r="S966" s="12" t="n"/>
      <c r="T966" s="13" t="n"/>
      <c r="U966" s="14" t="n"/>
      <c r="V966" s="12" t="n"/>
      <c r="W966" s="13" t="n"/>
      <c r="X966" s="14" t="n"/>
      <c r="Y966" s="12" t="n"/>
      <c r="Z966" s="13" t="n"/>
      <c r="AA966" s="14" t="n"/>
      <c r="AB966" s="12" t="n"/>
      <c r="AC966" s="13" t="n"/>
      <c r="AD966" s="14" t="n"/>
      <c r="AE966" s="12" t="n"/>
      <c r="AF966" s="13" t="n"/>
      <c r="AG966" s="14" t="n"/>
      <c r="AH966" s="12" t="n"/>
      <c r="AI966" s="13" t="n"/>
      <c r="AJ966" s="14" t="n"/>
      <c r="AK966" s="12" t="n"/>
      <c r="AL966" s="13" t="n"/>
      <c r="AM966" s="14" t="n"/>
      <c r="AN966" s="12" t="n"/>
      <c r="AO966" s="13" t="n"/>
      <c r="AP966" s="14" t="n"/>
      <c r="AQ966" s="12" t="n"/>
      <c r="AR966" s="13" t="n"/>
      <c r="AS966" s="14" t="n"/>
      <c r="AT966" s="12" t="n"/>
      <c r="AU966" s="13" t="n"/>
      <c r="AV966" s="14" t="n"/>
      <c r="AW966" s="12" t="n"/>
      <c r="AX966" s="13" t="n"/>
      <c r="AY966" s="14" t="n"/>
      <c r="AZ966" s="12" t="n"/>
      <c r="BA966" s="13" t="n"/>
      <c r="BB966" s="14" t="n"/>
      <c r="BC966" s="11">
        <f>IF(O966="","",IF(J966="GST 10%",ROUND(O966*set_GSTRate,2),0))</f>
        <v/>
      </c>
      <c r="BD966" s="11">
        <f>IF(O966="","",O966+BC966)</f>
        <v/>
      </c>
      <c r="BE966" s="15">
        <f>IF(O966="","",COUNTA(S966,V966,Y966,AB966,AE966,AH966,AK966,AN966,AQ966,AT966,AW966,AZ966))</f>
        <v/>
      </c>
      <c r="BF966" s="16">
        <f>IF(COUNT(T966,W966,Z966,AC966,AF966,AI966,AL966,AO966,AR966,AU966,AX966,BA966)=0,"",MAX(T966,W966,Z966,AC966,AF966,AI966,AL966,AO966,AR966,AU966,AX966,BA966))</f>
        <v/>
      </c>
      <c r="BG966" s="10">
        <f>MID(IF(S966="","",", "&amp;S966)&amp;IF(V966="","",", "&amp;V966)&amp;IF(Y966="","",", "&amp;Y966)&amp;IF(AB966="","",", "&amp;AB966)&amp;IF(AE966="","",", "&amp;AE966)&amp;IF(AH966="","",", "&amp;AH966)&amp;IF(AK966="","",", "&amp;AK966)&amp;IF(AN966="","",", "&amp;AN966)&amp;IF(AQ966="","",", "&amp;AQ966)&amp;IF(AT966="","",", "&amp;AT966)&amp;IF(AW966="","",", "&amp;AW966)&amp;IF(AZ966="","",", "&amp;AZ966),3,500)</f>
        <v/>
      </c>
      <c r="BH966" s="12" t="n"/>
      <c r="BI966" s="15">
        <f>IFERROR(MATCH($A966,IF($B966="Onsite",tbl_Onsite[Row ID],IF($B966="Production",tbl_Production[Row ID],tbl_Consulting[Row ID])),0),"")</f>
        <v/>
      </c>
    </row>
    <row r="967">
      <c r="A967" s="10" t="inlineStr">
        <is>
          <t>PRD-0461</t>
        </is>
      </c>
      <c r="B967" s="10" t="inlineStr">
        <is>
          <t>Production</t>
        </is>
      </c>
      <c r="C967" s="10">
        <f>IF($BI967="","",IF($B967="Onsite",INDEX(tbl_Onsite[Job Number],$BI967),IF($B967="Production",INDEX(tbl_Production[Job Number],$BI967),INDEX(tbl_Consulting[Job Number],$BI967)))&amp;"")</f>
        <v/>
      </c>
      <c r="D967" s="10">
        <f>IF($BI967="","",IF($B967="Onsite",INDEX(tbl_Onsite[Client],$BI967),IF($B967="Production",INDEX(tbl_Production[Client],$BI967),INDEX(tbl_Consulting[Client],$BI967)))&amp;"")</f>
        <v/>
      </c>
      <c r="E967" s="10">
        <f>IF($C967="","",IF(COUNTIF(lst_Jobs,$C967)&gt;0,"OK","CHECK"))</f>
        <v/>
      </c>
      <c r="F967" s="10">
        <f>IF($C967="","",IFERROR(INDEX(lst_JobName,MATCH($C967,lst_Jobs,0)),""))</f>
        <v/>
      </c>
      <c r="G967" s="10">
        <f>IF($BI967="","",IF($B967="Onsite",INDEX(tbl_Onsite[Job Description],$BI967),IF($B967="Production",INDEX(tbl_Production[Job Description],$BI967),INDEX(tbl_Consulting[Job Description],$BI967)))&amp;"")</f>
        <v/>
      </c>
      <c r="H967" s="10">
        <f>IF($BI967="","",IF($B967="Onsite",INDEX(tbl_Onsite[Cost Centre],$BI967),IF($B967="Production",INDEX(tbl_Production[Cost Centre],$BI967),INDEX(tbl_Consulting[Cost Centre],$BI967)))&amp;"")</f>
        <v/>
      </c>
      <c r="I967" s="10">
        <f>IF($BI967="","",IF($B967="Onsite",INDEX(tbl_Onsite[Invoice Type],$BI967),IF($B967="Production",INDEX(tbl_Production[Invoice Type],$BI967),INDEX(tbl_Consulting[Invoice Type],$BI967)))&amp;"")</f>
        <v/>
      </c>
      <c r="J967" s="10">
        <f>IF($BI967="","",IF($B967="Onsite",INDEX(tbl_Onsite[Tax Code],$BI967),IF($B967="Production",INDEX(tbl_Production[Tax Code],$BI967),INDEX(tbl_Consulting[Tax Code],$BI967)))&amp;"")</f>
        <v/>
      </c>
      <c r="K967" s="10">
        <f>IF(H967="","",IFERROR(INDEX(lst_CCtoGL,MATCH(H967,lst_CCforGL,0)),""))</f>
        <v/>
      </c>
      <c r="L967" s="10">
        <f>IF($BI967="","",IF($B967="Onsite",INDEX(tbl_Onsite[PO / Reference],$BI967),IF($B967="Production",INDEX(tbl_Production[Current RMS No],$BI967),INDEX(tbl_Consulting[Qwilr Quote],$BI967)))&amp;"")</f>
        <v/>
      </c>
      <c r="M967" s="10">
        <f>IF($BI967="","",IF($B967="Onsite",INDEX(tbl_Onsite[Notes],$BI967),IF($B967="Production",INDEX(tbl_Production[Notes],$BI967),INDEX(tbl_Consulting[Notes],$BI967)))&amp;"")</f>
        <v/>
      </c>
      <c r="N967" s="11">
        <f>IF($BI967="","",IF(IF($B967="Onsite",INDEX(tbl_Onsite[Expected Revenue Ex GST],$BI967),IF($B967="Production",INDEX(tbl_Production[Expected Revenue Ex GST],$BI967),INDEX(tbl_Consulting[Expected Revenue Ex GST],$BI967)))="","",IF($B967="Onsite",INDEX(tbl_Onsite[Expected Revenue Ex GST],$BI967),IF($B967="Production",INDEX(tbl_Production[Expected Revenue Ex GST],$BI967),INDEX(tbl_Consulting[Expected Revenue Ex GST],$BI967)))))</f>
        <v/>
      </c>
      <c r="O967" s="11">
        <f>IF(AND($C967="",NOT(COUNTA($S967:$BB967)&gt;0)),"",SUM(U967,X967,AA967,AD967,AG967,AJ967,AM967,AP967,AS967,AV967,AY967,BB967))</f>
        <v/>
      </c>
      <c r="P967" s="11">
        <f>IF(O967="","",N(N967)-O967)</f>
        <v/>
      </c>
      <c r="Q967" s="10">
        <f>IF(O967="","",IF($C967="","Invoice on empty job row",IF(N967="",IF(ROUND(O967,2)=0,"No dept value","Invoiced - no dept value"),IF(ROUND(O967,2)=0,"Not invoiced - to invoice",IF(ROUND(P967,2)=0,"Agrees",IF(P967&gt;0,"Dept higher - to invoice","Xero higher - check dept"))))))</f>
        <v/>
      </c>
      <c r="R967" s="10">
        <f>IF(AND($C967="",NOT(COUNTA($S967:$BB967)&gt;0),$BI967&lt;&gt;""),"",MID(IF($BI967="","; Row ID not found on the department sheet - a row was deleted","")&amp;IF(AND($C967="",COUNTA($S967:$BB967)&gt;0),"; Invoice entered but the department row has no job number","")&amp;IF(E967="CHECK","; Job number not in the Xero job list","")&amp;IF(AND($C967&lt;&gt;"",COUNTIF($C$7:$C$1506,$C967)&gt;1),"; Job number on more than one row","")&amp;IF(AND($C967&lt;&gt;"",H967=""),"; Dept has not set a cost centre","")&amp;IF(AND($C967&lt;&gt;"",J967=""),"; Dept has not set a tax code","")&amp;IF(AND($C967&lt;&gt;"",N967=""),"; Dept has not entered an expected value","")&amp;IF((IF(OR(COUNTA(S967:U967)=0,AND(COUNTA(S967:U967)=3,ISNUMBER(U967))),0,1)+IF(OR(COUNTA(V967:X967)=0,AND(COUNTA(V967:X967)=3,ISNUMBER(X967))),0,1)+IF(OR(COUNTA(Y967:AA967)=0,AND(COUNTA(Y967:AA967)=3,ISNUMBER(AA967))),0,1)+IF(OR(COUNTA(AB967:AD967)=0,AND(COUNTA(AB967:AD967)=3,ISNUMBER(AD967))),0,1)+IF(OR(COUNTA(AE967:AG967)=0,AND(COUNTA(AE967:AG967)=3,ISNUMBER(AG967))),0,1)+IF(OR(COUNTA(AH967:AJ967)=0,AND(COUNTA(AH967:AJ967)=3,ISNUMBER(AJ967))),0,1)+IF(OR(COUNTA(AK967:AM967)=0,AND(COUNTA(AK967:AM967)=3,ISNUMBER(AM967))),0,1)+IF(OR(COUNTA(AN967:AP967)=0,AND(COUNTA(AN967:AP967)=3,ISNUMBER(AP967))),0,1)+IF(OR(COUNTA(AQ967:AS967)=0,AND(COUNTA(AQ967:AS967)=3,ISNUMBER(AS967))),0,1)+IF(OR(COUNTA(AT967:AV967)=0,AND(COUNTA(AT967:AV967)=3,ISNUMBER(AV967))),0,1)+IF(OR(COUNTA(AW967:AY967)=0,AND(COUNTA(AW967:AY967)=3,ISNUMBER(AY967))),0,1)+IF(OR(COUNTA(AZ967:BB967)=0,AND(COUNTA(AZ967:BB967)=3,ISNUMBER(BB967))),0,1))&gt;0,"; An invoice is incomplete (needs No, Date and a number in Ex GST)","")&amp;IF((IF(T967="",0,IFERROR(--(EOMONTH(T967,0)&lt;&gt;S$5),1))+IF(W967="",0,IFERROR(--(EOMONTH(W967,0)&lt;&gt;V$5),1))+IF(Z967="",0,IFERROR(--(EOMONTH(Z967,0)&lt;&gt;Y$5),1))+IF(AC967="",0,IFERROR(--(EOMONTH(AC967,0)&lt;&gt;AB$5),1))+IF(AF967="",0,IFERROR(--(EOMONTH(AF967,0)&lt;&gt;AE$5),1))+IF(AI967="",0,IFERROR(--(EOMONTH(AI967,0)&lt;&gt;AH$5),1))+IF(AL967="",0,IFERROR(--(EOMONTH(AL967,0)&lt;&gt;AK$5),1))+IF(AO967="",0,IFERROR(--(EOMONTH(AO967,0)&lt;&gt;AN$5),1))+IF(AR967="",0,IFERROR(--(EOMONTH(AR967,0)&lt;&gt;AQ$5),1))+IF(AU967="",0,IFERROR(--(EOMONTH(AU967,0)&lt;&gt;AT$5),1))+IF(AX967="",0,IFERROR(--(EOMONTH(AX967,0)&lt;&gt;AW$5),1))+IF(BA967="",0,IFERROR(--(EOMONTH(BA967,0)&lt;&gt;AZ$5),1)))&gt;0,"; An invoice date is not in the month it is typed under",""),3,500))</f>
        <v/>
      </c>
      <c r="S967" s="12" t="n"/>
      <c r="T967" s="13" t="n"/>
      <c r="U967" s="14" t="n"/>
      <c r="V967" s="12" t="n"/>
      <c r="W967" s="13" t="n"/>
      <c r="X967" s="14" t="n"/>
      <c r="Y967" s="12" t="n"/>
      <c r="Z967" s="13" t="n"/>
      <c r="AA967" s="14" t="n"/>
      <c r="AB967" s="12" t="n"/>
      <c r="AC967" s="13" t="n"/>
      <c r="AD967" s="14" t="n"/>
      <c r="AE967" s="12" t="n"/>
      <c r="AF967" s="13" t="n"/>
      <c r="AG967" s="14" t="n"/>
      <c r="AH967" s="12" t="n"/>
      <c r="AI967" s="13" t="n"/>
      <c r="AJ967" s="14" t="n"/>
      <c r="AK967" s="12" t="n"/>
      <c r="AL967" s="13" t="n"/>
      <c r="AM967" s="14" t="n"/>
      <c r="AN967" s="12" t="n"/>
      <c r="AO967" s="13" t="n"/>
      <c r="AP967" s="14" t="n"/>
      <c r="AQ967" s="12" t="n"/>
      <c r="AR967" s="13" t="n"/>
      <c r="AS967" s="14" t="n"/>
      <c r="AT967" s="12" t="n"/>
      <c r="AU967" s="13" t="n"/>
      <c r="AV967" s="14" t="n"/>
      <c r="AW967" s="12" t="n"/>
      <c r="AX967" s="13" t="n"/>
      <c r="AY967" s="14" t="n"/>
      <c r="AZ967" s="12" t="n"/>
      <c r="BA967" s="13" t="n"/>
      <c r="BB967" s="14" t="n"/>
      <c r="BC967" s="11">
        <f>IF(O967="","",IF(J967="GST 10%",ROUND(O967*set_GSTRate,2),0))</f>
        <v/>
      </c>
      <c r="BD967" s="11">
        <f>IF(O967="","",O967+BC967)</f>
        <v/>
      </c>
      <c r="BE967" s="15">
        <f>IF(O967="","",COUNTA(S967,V967,Y967,AB967,AE967,AH967,AK967,AN967,AQ967,AT967,AW967,AZ967))</f>
        <v/>
      </c>
      <c r="BF967" s="16">
        <f>IF(COUNT(T967,W967,Z967,AC967,AF967,AI967,AL967,AO967,AR967,AU967,AX967,BA967)=0,"",MAX(T967,W967,Z967,AC967,AF967,AI967,AL967,AO967,AR967,AU967,AX967,BA967))</f>
        <v/>
      </c>
      <c r="BG967" s="10">
        <f>MID(IF(S967="","",", "&amp;S967)&amp;IF(V967="","",", "&amp;V967)&amp;IF(Y967="","",", "&amp;Y967)&amp;IF(AB967="","",", "&amp;AB967)&amp;IF(AE967="","",", "&amp;AE967)&amp;IF(AH967="","",", "&amp;AH967)&amp;IF(AK967="","",", "&amp;AK967)&amp;IF(AN967="","",", "&amp;AN967)&amp;IF(AQ967="","",", "&amp;AQ967)&amp;IF(AT967="","",", "&amp;AT967)&amp;IF(AW967="","",", "&amp;AW967)&amp;IF(AZ967="","",", "&amp;AZ967),3,500)</f>
        <v/>
      </c>
      <c r="BH967" s="12" t="n"/>
      <c r="BI967" s="15">
        <f>IFERROR(MATCH($A967,IF($B967="Onsite",tbl_Onsite[Row ID],IF($B967="Production",tbl_Production[Row ID],tbl_Consulting[Row ID])),0),"")</f>
        <v/>
      </c>
    </row>
    <row r="968">
      <c r="A968" s="10" t="inlineStr">
        <is>
          <t>PRD-0462</t>
        </is>
      </c>
      <c r="B968" s="10" t="inlineStr">
        <is>
          <t>Production</t>
        </is>
      </c>
      <c r="C968" s="10">
        <f>IF($BI968="","",IF($B968="Onsite",INDEX(tbl_Onsite[Job Number],$BI968),IF($B968="Production",INDEX(tbl_Production[Job Number],$BI968),INDEX(tbl_Consulting[Job Number],$BI968)))&amp;"")</f>
        <v/>
      </c>
      <c r="D968" s="10">
        <f>IF($BI968="","",IF($B968="Onsite",INDEX(tbl_Onsite[Client],$BI968),IF($B968="Production",INDEX(tbl_Production[Client],$BI968),INDEX(tbl_Consulting[Client],$BI968)))&amp;"")</f>
        <v/>
      </c>
      <c r="E968" s="10">
        <f>IF($C968="","",IF(COUNTIF(lst_Jobs,$C968)&gt;0,"OK","CHECK"))</f>
        <v/>
      </c>
      <c r="F968" s="10">
        <f>IF($C968="","",IFERROR(INDEX(lst_JobName,MATCH($C968,lst_Jobs,0)),""))</f>
        <v/>
      </c>
      <c r="G968" s="10">
        <f>IF($BI968="","",IF($B968="Onsite",INDEX(tbl_Onsite[Job Description],$BI968),IF($B968="Production",INDEX(tbl_Production[Job Description],$BI968),INDEX(tbl_Consulting[Job Description],$BI968)))&amp;"")</f>
        <v/>
      </c>
      <c r="H968" s="10">
        <f>IF($BI968="","",IF($B968="Onsite",INDEX(tbl_Onsite[Cost Centre],$BI968),IF($B968="Production",INDEX(tbl_Production[Cost Centre],$BI968),INDEX(tbl_Consulting[Cost Centre],$BI968)))&amp;"")</f>
        <v/>
      </c>
      <c r="I968" s="10">
        <f>IF($BI968="","",IF($B968="Onsite",INDEX(tbl_Onsite[Invoice Type],$BI968),IF($B968="Production",INDEX(tbl_Production[Invoice Type],$BI968),INDEX(tbl_Consulting[Invoice Type],$BI968)))&amp;"")</f>
        <v/>
      </c>
      <c r="J968" s="10">
        <f>IF($BI968="","",IF($B968="Onsite",INDEX(tbl_Onsite[Tax Code],$BI968),IF($B968="Production",INDEX(tbl_Production[Tax Code],$BI968),INDEX(tbl_Consulting[Tax Code],$BI968)))&amp;"")</f>
        <v/>
      </c>
      <c r="K968" s="10">
        <f>IF(H968="","",IFERROR(INDEX(lst_CCtoGL,MATCH(H968,lst_CCforGL,0)),""))</f>
        <v/>
      </c>
      <c r="L968" s="10">
        <f>IF($BI968="","",IF($B968="Onsite",INDEX(tbl_Onsite[PO / Reference],$BI968),IF($B968="Production",INDEX(tbl_Production[Current RMS No],$BI968),INDEX(tbl_Consulting[Qwilr Quote],$BI968)))&amp;"")</f>
        <v/>
      </c>
      <c r="M968" s="10">
        <f>IF($BI968="","",IF($B968="Onsite",INDEX(tbl_Onsite[Notes],$BI968),IF($B968="Production",INDEX(tbl_Production[Notes],$BI968),INDEX(tbl_Consulting[Notes],$BI968)))&amp;"")</f>
        <v/>
      </c>
      <c r="N968" s="11">
        <f>IF($BI968="","",IF(IF($B968="Onsite",INDEX(tbl_Onsite[Expected Revenue Ex GST],$BI968),IF($B968="Production",INDEX(tbl_Production[Expected Revenue Ex GST],$BI968),INDEX(tbl_Consulting[Expected Revenue Ex GST],$BI968)))="","",IF($B968="Onsite",INDEX(tbl_Onsite[Expected Revenue Ex GST],$BI968),IF($B968="Production",INDEX(tbl_Production[Expected Revenue Ex GST],$BI968),INDEX(tbl_Consulting[Expected Revenue Ex GST],$BI968)))))</f>
        <v/>
      </c>
      <c r="O968" s="11">
        <f>IF(AND($C968="",NOT(COUNTA($S968:$BB968)&gt;0)),"",SUM(U968,X968,AA968,AD968,AG968,AJ968,AM968,AP968,AS968,AV968,AY968,BB968))</f>
        <v/>
      </c>
      <c r="P968" s="11">
        <f>IF(O968="","",N(N968)-O968)</f>
        <v/>
      </c>
      <c r="Q968" s="10">
        <f>IF(O968="","",IF($C968="","Invoice on empty job row",IF(N968="",IF(ROUND(O968,2)=0,"No dept value","Invoiced - no dept value"),IF(ROUND(O968,2)=0,"Not invoiced - to invoice",IF(ROUND(P968,2)=0,"Agrees",IF(P968&gt;0,"Dept higher - to invoice","Xero higher - check dept"))))))</f>
        <v/>
      </c>
      <c r="R968" s="10">
        <f>IF(AND($C968="",NOT(COUNTA($S968:$BB968)&gt;0),$BI968&lt;&gt;""),"",MID(IF($BI968="","; Row ID not found on the department sheet - a row was deleted","")&amp;IF(AND($C968="",COUNTA($S968:$BB968)&gt;0),"; Invoice entered but the department row has no job number","")&amp;IF(E968="CHECK","; Job number not in the Xero job list","")&amp;IF(AND($C968&lt;&gt;"",COUNTIF($C$7:$C$1506,$C968)&gt;1),"; Job number on more than one row","")&amp;IF(AND($C968&lt;&gt;"",H968=""),"; Dept has not set a cost centre","")&amp;IF(AND($C968&lt;&gt;"",J968=""),"; Dept has not set a tax code","")&amp;IF(AND($C968&lt;&gt;"",N968=""),"; Dept has not entered an expected value","")&amp;IF((IF(OR(COUNTA(S968:U968)=0,AND(COUNTA(S968:U968)=3,ISNUMBER(U968))),0,1)+IF(OR(COUNTA(V968:X968)=0,AND(COUNTA(V968:X968)=3,ISNUMBER(X968))),0,1)+IF(OR(COUNTA(Y968:AA968)=0,AND(COUNTA(Y968:AA968)=3,ISNUMBER(AA968))),0,1)+IF(OR(COUNTA(AB968:AD968)=0,AND(COUNTA(AB968:AD968)=3,ISNUMBER(AD968))),0,1)+IF(OR(COUNTA(AE968:AG968)=0,AND(COUNTA(AE968:AG968)=3,ISNUMBER(AG968))),0,1)+IF(OR(COUNTA(AH968:AJ968)=0,AND(COUNTA(AH968:AJ968)=3,ISNUMBER(AJ968))),0,1)+IF(OR(COUNTA(AK968:AM968)=0,AND(COUNTA(AK968:AM968)=3,ISNUMBER(AM968))),0,1)+IF(OR(COUNTA(AN968:AP968)=0,AND(COUNTA(AN968:AP968)=3,ISNUMBER(AP968))),0,1)+IF(OR(COUNTA(AQ968:AS968)=0,AND(COUNTA(AQ968:AS968)=3,ISNUMBER(AS968))),0,1)+IF(OR(COUNTA(AT968:AV968)=0,AND(COUNTA(AT968:AV968)=3,ISNUMBER(AV968))),0,1)+IF(OR(COUNTA(AW968:AY968)=0,AND(COUNTA(AW968:AY968)=3,ISNUMBER(AY968))),0,1)+IF(OR(COUNTA(AZ968:BB968)=0,AND(COUNTA(AZ968:BB968)=3,ISNUMBER(BB968))),0,1))&gt;0,"; An invoice is incomplete (needs No, Date and a number in Ex GST)","")&amp;IF((IF(T968="",0,IFERROR(--(EOMONTH(T968,0)&lt;&gt;S$5),1))+IF(W968="",0,IFERROR(--(EOMONTH(W968,0)&lt;&gt;V$5),1))+IF(Z968="",0,IFERROR(--(EOMONTH(Z968,0)&lt;&gt;Y$5),1))+IF(AC968="",0,IFERROR(--(EOMONTH(AC968,0)&lt;&gt;AB$5),1))+IF(AF968="",0,IFERROR(--(EOMONTH(AF968,0)&lt;&gt;AE$5),1))+IF(AI968="",0,IFERROR(--(EOMONTH(AI968,0)&lt;&gt;AH$5),1))+IF(AL968="",0,IFERROR(--(EOMONTH(AL968,0)&lt;&gt;AK$5),1))+IF(AO968="",0,IFERROR(--(EOMONTH(AO968,0)&lt;&gt;AN$5),1))+IF(AR968="",0,IFERROR(--(EOMONTH(AR968,0)&lt;&gt;AQ$5),1))+IF(AU968="",0,IFERROR(--(EOMONTH(AU968,0)&lt;&gt;AT$5),1))+IF(AX968="",0,IFERROR(--(EOMONTH(AX968,0)&lt;&gt;AW$5),1))+IF(BA968="",0,IFERROR(--(EOMONTH(BA968,0)&lt;&gt;AZ$5),1)))&gt;0,"; An invoice date is not in the month it is typed under",""),3,500))</f>
        <v/>
      </c>
      <c r="S968" s="12" t="n"/>
      <c r="T968" s="13" t="n"/>
      <c r="U968" s="14" t="n"/>
      <c r="V968" s="12" t="n"/>
      <c r="W968" s="13" t="n"/>
      <c r="X968" s="14" t="n"/>
      <c r="Y968" s="12" t="n"/>
      <c r="Z968" s="13" t="n"/>
      <c r="AA968" s="14" t="n"/>
      <c r="AB968" s="12" t="n"/>
      <c r="AC968" s="13" t="n"/>
      <c r="AD968" s="14" t="n"/>
      <c r="AE968" s="12" t="n"/>
      <c r="AF968" s="13" t="n"/>
      <c r="AG968" s="14" t="n"/>
      <c r="AH968" s="12" t="n"/>
      <c r="AI968" s="13" t="n"/>
      <c r="AJ968" s="14" t="n"/>
      <c r="AK968" s="12" t="n"/>
      <c r="AL968" s="13" t="n"/>
      <c r="AM968" s="14" t="n"/>
      <c r="AN968" s="12" t="n"/>
      <c r="AO968" s="13" t="n"/>
      <c r="AP968" s="14" t="n"/>
      <c r="AQ968" s="12" t="n"/>
      <c r="AR968" s="13" t="n"/>
      <c r="AS968" s="14" t="n"/>
      <c r="AT968" s="12" t="n"/>
      <c r="AU968" s="13" t="n"/>
      <c r="AV968" s="14" t="n"/>
      <c r="AW968" s="12" t="n"/>
      <c r="AX968" s="13" t="n"/>
      <c r="AY968" s="14" t="n"/>
      <c r="AZ968" s="12" t="n"/>
      <c r="BA968" s="13" t="n"/>
      <c r="BB968" s="14" t="n"/>
      <c r="BC968" s="11">
        <f>IF(O968="","",IF(J968="GST 10%",ROUND(O968*set_GSTRate,2),0))</f>
        <v/>
      </c>
      <c r="BD968" s="11">
        <f>IF(O968="","",O968+BC968)</f>
        <v/>
      </c>
      <c r="BE968" s="15">
        <f>IF(O968="","",COUNTA(S968,V968,Y968,AB968,AE968,AH968,AK968,AN968,AQ968,AT968,AW968,AZ968))</f>
        <v/>
      </c>
      <c r="BF968" s="16">
        <f>IF(COUNT(T968,W968,Z968,AC968,AF968,AI968,AL968,AO968,AR968,AU968,AX968,BA968)=0,"",MAX(T968,W968,Z968,AC968,AF968,AI968,AL968,AO968,AR968,AU968,AX968,BA968))</f>
        <v/>
      </c>
      <c r="BG968" s="10">
        <f>MID(IF(S968="","",", "&amp;S968)&amp;IF(V968="","",", "&amp;V968)&amp;IF(Y968="","",", "&amp;Y968)&amp;IF(AB968="","",", "&amp;AB968)&amp;IF(AE968="","",", "&amp;AE968)&amp;IF(AH968="","",", "&amp;AH968)&amp;IF(AK968="","",", "&amp;AK968)&amp;IF(AN968="","",", "&amp;AN968)&amp;IF(AQ968="","",", "&amp;AQ968)&amp;IF(AT968="","",", "&amp;AT968)&amp;IF(AW968="","",", "&amp;AW968)&amp;IF(AZ968="","",", "&amp;AZ968),3,500)</f>
        <v/>
      </c>
      <c r="BH968" s="12" t="n"/>
      <c r="BI968" s="15">
        <f>IFERROR(MATCH($A968,IF($B968="Onsite",tbl_Onsite[Row ID],IF($B968="Production",tbl_Production[Row ID],tbl_Consulting[Row ID])),0),"")</f>
        <v/>
      </c>
    </row>
    <row r="969">
      <c r="A969" s="10" t="inlineStr">
        <is>
          <t>PRD-0463</t>
        </is>
      </c>
      <c r="B969" s="10" t="inlineStr">
        <is>
          <t>Production</t>
        </is>
      </c>
      <c r="C969" s="10">
        <f>IF($BI969="","",IF($B969="Onsite",INDEX(tbl_Onsite[Job Number],$BI969),IF($B969="Production",INDEX(tbl_Production[Job Number],$BI969),INDEX(tbl_Consulting[Job Number],$BI969)))&amp;"")</f>
        <v/>
      </c>
      <c r="D969" s="10">
        <f>IF($BI969="","",IF($B969="Onsite",INDEX(tbl_Onsite[Client],$BI969),IF($B969="Production",INDEX(tbl_Production[Client],$BI969),INDEX(tbl_Consulting[Client],$BI969)))&amp;"")</f>
        <v/>
      </c>
      <c r="E969" s="10">
        <f>IF($C969="","",IF(COUNTIF(lst_Jobs,$C969)&gt;0,"OK","CHECK"))</f>
        <v/>
      </c>
      <c r="F969" s="10">
        <f>IF($C969="","",IFERROR(INDEX(lst_JobName,MATCH($C969,lst_Jobs,0)),""))</f>
        <v/>
      </c>
      <c r="G969" s="10">
        <f>IF($BI969="","",IF($B969="Onsite",INDEX(tbl_Onsite[Job Description],$BI969),IF($B969="Production",INDEX(tbl_Production[Job Description],$BI969),INDEX(tbl_Consulting[Job Description],$BI969)))&amp;"")</f>
        <v/>
      </c>
      <c r="H969" s="10">
        <f>IF($BI969="","",IF($B969="Onsite",INDEX(tbl_Onsite[Cost Centre],$BI969),IF($B969="Production",INDEX(tbl_Production[Cost Centre],$BI969),INDEX(tbl_Consulting[Cost Centre],$BI969)))&amp;"")</f>
        <v/>
      </c>
      <c r="I969" s="10">
        <f>IF($BI969="","",IF($B969="Onsite",INDEX(tbl_Onsite[Invoice Type],$BI969),IF($B969="Production",INDEX(tbl_Production[Invoice Type],$BI969),INDEX(tbl_Consulting[Invoice Type],$BI969)))&amp;"")</f>
        <v/>
      </c>
      <c r="J969" s="10">
        <f>IF($BI969="","",IF($B969="Onsite",INDEX(tbl_Onsite[Tax Code],$BI969),IF($B969="Production",INDEX(tbl_Production[Tax Code],$BI969),INDEX(tbl_Consulting[Tax Code],$BI969)))&amp;"")</f>
        <v/>
      </c>
      <c r="K969" s="10">
        <f>IF(H969="","",IFERROR(INDEX(lst_CCtoGL,MATCH(H969,lst_CCforGL,0)),""))</f>
        <v/>
      </c>
      <c r="L969" s="10">
        <f>IF($BI969="","",IF($B969="Onsite",INDEX(tbl_Onsite[PO / Reference],$BI969),IF($B969="Production",INDEX(tbl_Production[Current RMS No],$BI969),INDEX(tbl_Consulting[Qwilr Quote],$BI969)))&amp;"")</f>
        <v/>
      </c>
      <c r="M969" s="10">
        <f>IF($BI969="","",IF($B969="Onsite",INDEX(tbl_Onsite[Notes],$BI969),IF($B969="Production",INDEX(tbl_Production[Notes],$BI969),INDEX(tbl_Consulting[Notes],$BI969)))&amp;"")</f>
        <v/>
      </c>
      <c r="N969" s="11">
        <f>IF($BI969="","",IF(IF($B969="Onsite",INDEX(tbl_Onsite[Expected Revenue Ex GST],$BI969),IF($B969="Production",INDEX(tbl_Production[Expected Revenue Ex GST],$BI969),INDEX(tbl_Consulting[Expected Revenue Ex GST],$BI969)))="","",IF($B969="Onsite",INDEX(tbl_Onsite[Expected Revenue Ex GST],$BI969),IF($B969="Production",INDEX(tbl_Production[Expected Revenue Ex GST],$BI969),INDEX(tbl_Consulting[Expected Revenue Ex GST],$BI969)))))</f>
        <v/>
      </c>
      <c r="O969" s="11">
        <f>IF(AND($C969="",NOT(COUNTA($S969:$BB969)&gt;0)),"",SUM(U969,X969,AA969,AD969,AG969,AJ969,AM969,AP969,AS969,AV969,AY969,BB969))</f>
        <v/>
      </c>
      <c r="P969" s="11">
        <f>IF(O969="","",N(N969)-O969)</f>
        <v/>
      </c>
      <c r="Q969" s="10">
        <f>IF(O969="","",IF($C969="","Invoice on empty job row",IF(N969="",IF(ROUND(O969,2)=0,"No dept value","Invoiced - no dept value"),IF(ROUND(O969,2)=0,"Not invoiced - to invoice",IF(ROUND(P969,2)=0,"Agrees",IF(P969&gt;0,"Dept higher - to invoice","Xero higher - check dept"))))))</f>
        <v/>
      </c>
      <c r="R969" s="10">
        <f>IF(AND($C969="",NOT(COUNTA($S969:$BB969)&gt;0),$BI969&lt;&gt;""),"",MID(IF($BI969="","; Row ID not found on the department sheet - a row was deleted","")&amp;IF(AND($C969="",COUNTA($S969:$BB969)&gt;0),"; Invoice entered but the department row has no job number","")&amp;IF(E969="CHECK","; Job number not in the Xero job list","")&amp;IF(AND($C969&lt;&gt;"",COUNTIF($C$7:$C$1506,$C969)&gt;1),"; Job number on more than one row","")&amp;IF(AND($C969&lt;&gt;"",H969=""),"; Dept has not set a cost centre","")&amp;IF(AND($C969&lt;&gt;"",J969=""),"; Dept has not set a tax code","")&amp;IF(AND($C969&lt;&gt;"",N969=""),"; Dept has not entered an expected value","")&amp;IF((IF(OR(COUNTA(S969:U969)=0,AND(COUNTA(S969:U969)=3,ISNUMBER(U969))),0,1)+IF(OR(COUNTA(V969:X969)=0,AND(COUNTA(V969:X969)=3,ISNUMBER(X969))),0,1)+IF(OR(COUNTA(Y969:AA969)=0,AND(COUNTA(Y969:AA969)=3,ISNUMBER(AA969))),0,1)+IF(OR(COUNTA(AB969:AD969)=0,AND(COUNTA(AB969:AD969)=3,ISNUMBER(AD969))),0,1)+IF(OR(COUNTA(AE969:AG969)=0,AND(COUNTA(AE969:AG969)=3,ISNUMBER(AG969))),0,1)+IF(OR(COUNTA(AH969:AJ969)=0,AND(COUNTA(AH969:AJ969)=3,ISNUMBER(AJ969))),0,1)+IF(OR(COUNTA(AK969:AM969)=0,AND(COUNTA(AK969:AM969)=3,ISNUMBER(AM969))),0,1)+IF(OR(COUNTA(AN969:AP969)=0,AND(COUNTA(AN969:AP969)=3,ISNUMBER(AP969))),0,1)+IF(OR(COUNTA(AQ969:AS969)=0,AND(COUNTA(AQ969:AS969)=3,ISNUMBER(AS969))),0,1)+IF(OR(COUNTA(AT969:AV969)=0,AND(COUNTA(AT969:AV969)=3,ISNUMBER(AV969))),0,1)+IF(OR(COUNTA(AW969:AY969)=0,AND(COUNTA(AW969:AY969)=3,ISNUMBER(AY969))),0,1)+IF(OR(COUNTA(AZ969:BB969)=0,AND(COUNTA(AZ969:BB969)=3,ISNUMBER(BB969))),0,1))&gt;0,"; An invoice is incomplete (needs No, Date and a number in Ex GST)","")&amp;IF((IF(T969="",0,IFERROR(--(EOMONTH(T969,0)&lt;&gt;S$5),1))+IF(W969="",0,IFERROR(--(EOMONTH(W969,0)&lt;&gt;V$5),1))+IF(Z969="",0,IFERROR(--(EOMONTH(Z969,0)&lt;&gt;Y$5),1))+IF(AC969="",0,IFERROR(--(EOMONTH(AC969,0)&lt;&gt;AB$5),1))+IF(AF969="",0,IFERROR(--(EOMONTH(AF969,0)&lt;&gt;AE$5),1))+IF(AI969="",0,IFERROR(--(EOMONTH(AI969,0)&lt;&gt;AH$5),1))+IF(AL969="",0,IFERROR(--(EOMONTH(AL969,0)&lt;&gt;AK$5),1))+IF(AO969="",0,IFERROR(--(EOMONTH(AO969,0)&lt;&gt;AN$5),1))+IF(AR969="",0,IFERROR(--(EOMONTH(AR969,0)&lt;&gt;AQ$5),1))+IF(AU969="",0,IFERROR(--(EOMONTH(AU969,0)&lt;&gt;AT$5),1))+IF(AX969="",0,IFERROR(--(EOMONTH(AX969,0)&lt;&gt;AW$5),1))+IF(BA969="",0,IFERROR(--(EOMONTH(BA969,0)&lt;&gt;AZ$5),1)))&gt;0,"; An invoice date is not in the month it is typed under",""),3,500))</f>
        <v/>
      </c>
      <c r="S969" s="12" t="n"/>
      <c r="T969" s="13" t="n"/>
      <c r="U969" s="14" t="n"/>
      <c r="V969" s="12" t="n"/>
      <c r="W969" s="13" t="n"/>
      <c r="X969" s="14" t="n"/>
      <c r="Y969" s="12" t="n"/>
      <c r="Z969" s="13" t="n"/>
      <c r="AA969" s="14" t="n"/>
      <c r="AB969" s="12" t="n"/>
      <c r="AC969" s="13" t="n"/>
      <c r="AD969" s="14" t="n"/>
      <c r="AE969" s="12" t="n"/>
      <c r="AF969" s="13" t="n"/>
      <c r="AG969" s="14" t="n"/>
      <c r="AH969" s="12" t="n"/>
      <c r="AI969" s="13" t="n"/>
      <c r="AJ969" s="14" t="n"/>
      <c r="AK969" s="12" t="n"/>
      <c r="AL969" s="13" t="n"/>
      <c r="AM969" s="14" t="n"/>
      <c r="AN969" s="12" t="n"/>
      <c r="AO969" s="13" t="n"/>
      <c r="AP969" s="14" t="n"/>
      <c r="AQ969" s="12" t="n"/>
      <c r="AR969" s="13" t="n"/>
      <c r="AS969" s="14" t="n"/>
      <c r="AT969" s="12" t="n"/>
      <c r="AU969" s="13" t="n"/>
      <c r="AV969" s="14" t="n"/>
      <c r="AW969" s="12" t="n"/>
      <c r="AX969" s="13" t="n"/>
      <c r="AY969" s="14" t="n"/>
      <c r="AZ969" s="12" t="n"/>
      <c r="BA969" s="13" t="n"/>
      <c r="BB969" s="14" t="n"/>
      <c r="BC969" s="11">
        <f>IF(O969="","",IF(J969="GST 10%",ROUND(O969*set_GSTRate,2),0))</f>
        <v/>
      </c>
      <c r="BD969" s="11">
        <f>IF(O969="","",O969+BC969)</f>
        <v/>
      </c>
      <c r="BE969" s="15">
        <f>IF(O969="","",COUNTA(S969,V969,Y969,AB969,AE969,AH969,AK969,AN969,AQ969,AT969,AW969,AZ969))</f>
        <v/>
      </c>
      <c r="BF969" s="16">
        <f>IF(COUNT(T969,W969,Z969,AC969,AF969,AI969,AL969,AO969,AR969,AU969,AX969,BA969)=0,"",MAX(T969,W969,Z969,AC969,AF969,AI969,AL969,AO969,AR969,AU969,AX969,BA969))</f>
        <v/>
      </c>
      <c r="BG969" s="10">
        <f>MID(IF(S969="","",", "&amp;S969)&amp;IF(V969="","",", "&amp;V969)&amp;IF(Y969="","",", "&amp;Y969)&amp;IF(AB969="","",", "&amp;AB969)&amp;IF(AE969="","",", "&amp;AE969)&amp;IF(AH969="","",", "&amp;AH969)&amp;IF(AK969="","",", "&amp;AK969)&amp;IF(AN969="","",", "&amp;AN969)&amp;IF(AQ969="","",", "&amp;AQ969)&amp;IF(AT969="","",", "&amp;AT969)&amp;IF(AW969="","",", "&amp;AW969)&amp;IF(AZ969="","",", "&amp;AZ969),3,500)</f>
        <v/>
      </c>
      <c r="BH969" s="12" t="n"/>
      <c r="BI969" s="15">
        <f>IFERROR(MATCH($A969,IF($B969="Onsite",tbl_Onsite[Row ID],IF($B969="Production",tbl_Production[Row ID],tbl_Consulting[Row ID])),0),"")</f>
        <v/>
      </c>
    </row>
    <row r="970">
      <c r="A970" s="10" t="inlineStr">
        <is>
          <t>PRD-0464</t>
        </is>
      </c>
      <c r="B970" s="10" t="inlineStr">
        <is>
          <t>Production</t>
        </is>
      </c>
      <c r="C970" s="10">
        <f>IF($BI970="","",IF($B970="Onsite",INDEX(tbl_Onsite[Job Number],$BI970),IF($B970="Production",INDEX(tbl_Production[Job Number],$BI970),INDEX(tbl_Consulting[Job Number],$BI970)))&amp;"")</f>
        <v/>
      </c>
      <c r="D970" s="10">
        <f>IF($BI970="","",IF($B970="Onsite",INDEX(tbl_Onsite[Client],$BI970),IF($B970="Production",INDEX(tbl_Production[Client],$BI970),INDEX(tbl_Consulting[Client],$BI970)))&amp;"")</f>
        <v/>
      </c>
      <c r="E970" s="10">
        <f>IF($C970="","",IF(COUNTIF(lst_Jobs,$C970)&gt;0,"OK","CHECK"))</f>
        <v/>
      </c>
      <c r="F970" s="10">
        <f>IF($C970="","",IFERROR(INDEX(lst_JobName,MATCH($C970,lst_Jobs,0)),""))</f>
        <v/>
      </c>
      <c r="G970" s="10">
        <f>IF($BI970="","",IF($B970="Onsite",INDEX(tbl_Onsite[Job Description],$BI970),IF($B970="Production",INDEX(tbl_Production[Job Description],$BI970),INDEX(tbl_Consulting[Job Description],$BI970)))&amp;"")</f>
        <v/>
      </c>
      <c r="H970" s="10">
        <f>IF($BI970="","",IF($B970="Onsite",INDEX(tbl_Onsite[Cost Centre],$BI970),IF($B970="Production",INDEX(tbl_Production[Cost Centre],$BI970),INDEX(tbl_Consulting[Cost Centre],$BI970)))&amp;"")</f>
        <v/>
      </c>
      <c r="I970" s="10">
        <f>IF($BI970="","",IF($B970="Onsite",INDEX(tbl_Onsite[Invoice Type],$BI970),IF($B970="Production",INDEX(tbl_Production[Invoice Type],$BI970),INDEX(tbl_Consulting[Invoice Type],$BI970)))&amp;"")</f>
        <v/>
      </c>
      <c r="J970" s="10">
        <f>IF($BI970="","",IF($B970="Onsite",INDEX(tbl_Onsite[Tax Code],$BI970),IF($B970="Production",INDEX(tbl_Production[Tax Code],$BI970),INDEX(tbl_Consulting[Tax Code],$BI970)))&amp;"")</f>
        <v/>
      </c>
      <c r="K970" s="10">
        <f>IF(H970="","",IFERROR(INDEX(lst_CCtoGL,MATCH(H970,lst_CCforGL,0)),""))</f>
        <v/>
      </c>
      <c r="L970" s="10">
        <f>IF($BI970="","",IF($B970="Onsite",INDEX(tbl_Onsite[PO / Reference],$BI970),IF($B970="Production",INDEX(tbl_Production[Current RMS No],$BI970),INDEX(tbl_Consulting[Qwilr Quote],$BI970)))&amp;"")</f>
        <v/>
      </c>
      <c r="M970" s="10">
        <f>IF($BI970="","",IF($B970="Onsite",INDEX(tbl_Onsite[Notes],$BI970),IF($B970="Production",INDEX(tbl_Production[Notes],$BI970),INDEX(tbl_Consulting[Notes],$BI970)))&amp;"")</f>
        <v/>
      </c>
      <c r="N970" s="11">
        <f>IF($BI970="","",IF(IF($B970="Onsite",INDEX(tbl_Onsite[Expected Revenue Ex GST],$BI970),IF($B970="Production",INDEX(tbl_Production[Expected Revenue Ex GST],$BI970),INDEX(tbl_Consulting[Expected Revenue Ex GST],$BI970)))="","",IF($B970="Onsite",INDEX(tbl_Onsite[Expected Revenue Ex GST],$BI970),IF($B970="Production",INDEX(tbl_Production[Expected Revenue Ex GST],$BI970),INDEX(tbl_Consulting[Expected Revenue Ex GST],$BI970)))))</f>
        <v/>
      </c>
      <c r="O970" s="11">
        <f>IF(AND($C970="",NOT(COUNTA($S970:$BB970)&gt;0)),"",SUM(U970,X970,AA970,AD970,AG970,AJ970,AM970,AP970,AS970,AV970,AY970,BB970))</f>
        <v/>
      </c>
      <c r="P970" s="11">
        <f>IF(O970="","",N(N970)-O970)</f>
        <v/>
      </c>
      <c r="Q970" s="10">
        <f>IF(O970="","",IF($C970="","Invoice on empty job row",IF(N970="",IF(ROUND(O970,2)=0,"No dept value","Invoiced - no dept value"),IF(ROUND(O970,2)=0,"Not invoiced - to invoice",IF(ROUND(P970,2)=0,"Agrees",IF(P970&gt;0,"Dept higher - to invoice","Xero higher - check dept"))))))</f>
        <v/>
      </c>
      <c r="R970" s="10">
        <f>IF(AND($C970="",NOT(COUNTA($S970:$BB970)&gt;0),$BI970&lt;&gt;""),"",MID(IF($BI970="","; Row ID not found on the department sheet - a row was deleted","")&amp;IF(AND($C970="",COUNTA($S970:$BB970)&gt;0),"; Invoice entered but the department row has no job number","")&amp;IF(E970="CHECK","; Job number not in the Xero job list","")&amp;IF(AND($C970&lt;&gt;"",COUNTIF($C$7:$C$1506,$C970)&gt;1),"; Job number on more than one row","")&amp;IF(AND($C970&lt;&gt;"",H970=""),"; Dept has not set a cost centre","")&amp;IF(AND($C970&lt;&gt;"",J970=""),"; Dept has not set a tax code","")&amp;IF(AND($C970&lt;&gt;"",N970=""),"; Dept has not entered an expected value","")&amp;IF((IF(OR(COUNTA(S970:U970)=0,AND(COUNTA(S970:U970)=3,ISNUMBER(U970))),0,1)+IF(OR(COUNTA(V970:X970)=0,AND(COUNTA(V970:X970)=3,ISNUMBER(X970))),0,1)+IF(OR(COUNTA(Y970:AA970)=0,AND(COUNTA(Y970:AA970)=3,ISNUMBER(AA970))),0,1)+IF(OR(COUNTA(AB970:AD970)=0,AND(COUNTA(AB970:AD970)=3,ISNUMBER(AD970))),0,1)+IF(OR(COUNTA(AE970:AG970)=0,AND(COUNTA(AE970:AG970)=3,ISNUMBER(AG970))),0,1)+IF(OR(COUNTA(AH970:AJ970)=0,AND(COUNTA(AH970:AJ970)=3,ISNUMBER(AJ970))),0,1)+IF(OR(COUNTA(AK970:AM970)=0,AND(COUNTA(AK970:AM970)=3,ISNUMBER(AM970))),0,1)+IF(OR(COUNTA(AN970:AP970)=0,AND(COUNTA(AN970:AP970)=3,ISNUMBER(AP970))),0,1)+IF(OR(COUNTA(AQ970:AS970)=0,AND(COUNTA(AQ970:AS970)=3,ISNUMBER(AS970))),0,1)+IF(OR(COUNTA(AT970:AV970)=0,AND(COUNTA(AT970:AV970)=3,ISNUMBER(AV970))),0,1)+IF(OR(COUNTA(AW970:AY970)=0,AND(COUNTA(AW970:AY970)=3,ISNUMBER(AY970))),0,1)+IF(OR(COUNTA(AZ970:BB970)=0,AND(COUNTA(AZ970:BB970)=3,ISNUMBER(BB970))),0,1))&gt;0,"; An invoice is incomplete (needs No, Date and a number in Ex GST)","")&amp;IF((IF(T970="",0,IFERROR(--(EOMONTH(T970,0)&lt;&gt;S$5),1))+IF(W970="",0,IFERROR(--(EOMONTH(W970,0)&lt;&gt;V$5),1))+IF(Z970="",0,IFERROR(--(EOMONTH(Z970,0)&lt;&gt;Y$5),1))+IF(AC970="",0,IFERROR(--(EOMONTH(AC970,0)&lt;&gt;AB$5),1))+IF(AF970="",0,IFERROR(--(EOMONTH(AF970,0)&lt;&gt;AE$5),1))+IF(AI970="",0,IFERROR(--(EOMONTH(AI970,0)&lt;&gt;AH$5),1))+IF(AL970="",0,IFERROR(--(EOMONTH(AL970,0)&lt;&gt;AK$5),1))+IF(AO970="",0,IFERROR(--(EOMONTH(AO970,0)&lt;&gt;AN$5),1))+IF(AR970="",0,IFERROR(--(EOMONTH(AR970,0)&lt;&gt;AQ$5),1))+IF(AU970="",0,IFERROR(--(EOMONTH(AU970,0)&lt;&gt;AT$5),1))+IF(AX970="",0,IFERROR(--(EOMONTH(AX970,0)&lt;&gt;AW$5),1))+IF(BA970="",0,IFERROR(--(EOMONTH(BA970,0)&lt;&gt;AZ$5),1)))&gt;0,"; An invoice date is not in the month it is typed under",""),3,500))</f>
        <v/>
      </c>
      <c r="S970" s="12" t="n"/>
      <c r="T970" s="13" t="n"/>
      <c r="U970" s="14" t="n"/>
      <c r="V970" s="12" t="n"/>
      <c r="W970" s="13" t="n"/>
      <c r="X970" s="14" t="n"/>
      <c r="Y970" s="12" t="n"/>
      <c r="Z970" s="13" t="n"/>
      <c r="AA970" s="14" t="n"/>
      <c r="AB970" s="12" t="n"/>
      <c r="AC970" s="13" t="n"/>
      <c r="AD970" s="14" t="n"/>
      <c r="AE970" s="12" t="n"/>
      <c r="AF970" s="13" t="n"/>
      <c r="AG970" s="14" t="n"/>
      <c r="AH970" s="12" t="n"/>
      <c r="AI970" s="13" t="n"/>
      <c r="AJ970" s="14" t="n"/>
      <c r="AK970" s="12" t="n"/>
      <c r="AL970" s="13" t="n"/>
      <c r="AM970" s="14" t="n"/>
      <c r="AN970" s="12" t="n"/>
      <c r="AO970" s="13" t="n"/>
      <c r="AP970" s="14" t="n"/>
      <c r="AQ970" s="12" t="n"/>
      <c r="AR970" s="13" t="n"/>
      <c r="AS970" s="14" t="n"/>
      <c r="AT970" s="12" t="n"/>
      <c r="AU970" s="13" t="n"/>
      <c r="AV970" s="14" t="n"/>
      <c r="AW970" s="12" t="n"/>
      <c r="AX970" s="13" t="n"/>
      <c r="AY970" s="14" t="n"/>
      <c r="AZ970" s="12" t="n"/>
      <c r="BA970" s="13" t="n"/>
      <c r="BB970" s="14" t="n"/>
      <c r="BC970" s="11">
        <f>IF(O970="","",IF(J970="GST 10%",ROUND(O970*set_GSTRate,2),0))</f>
        <v/>
      </c>
      <c r="BD970" s="11">
        <f>IF(O970="","",O970+BC970)</f>
        <v/>
      </c>
      <c r="BE970" s="15">
        <f>IF(O970="","",COUNTA(S970,V970,Y970,AB970,AE970,AH970,AK970,AN970,AQ970,AT970,AW970,AZ970))</f>
        <v/>
      </c>
      <c r="BF970" s="16">
        <f>IF(COUNT(T970,W970,Z970,AC970,AF970,AI970,AL970,AO970,AR970,AU970,AX970,BA970)=0,"",MAX(T970,W970,Z970,AC970,AF970,AI970,AL970,AO970,AR970,AU970,AX970,BA970))</f>
        <v/>
      </c>
      <c r="BG970" s="10">
        <f>MID(IF(S970="","",", "&amp;S970)&amp;IF(V970="","",", "&amp;V970)&amp;IF(Y970="","",", "&amp;Y970)&amp;IF(AB970="","",", "&amp;AB970)&amp;IF(AE970="","",", "&amp;AE970)&amp;IF(AH970="","",", "&amp;AH970)&amp;IF(AK970="","",", "&amp;AK970)&amp;IF(AN970="","",", "&amp;AN970)&amp;IF(AQ970="","",", "&amp;AQ970)&amp;IF(AT970="","",", "&amp;AT970)&amp;IF(AW970="","",", "&amp;AW970)&amp;IF(AZ970="","",", "&amp;AZ970),3,500)</f>
        <v/>
      </c>
      <c r="BH970" s="12" t="n"/>
      <c r="BI970" s="15">
        <f>IFERROR(MATCH($A970,IF($B970="Onsite",tbl_Onsite[Row ID],IF($B970="Production",tbl_Production[Row ID],tbl_Consulting[Row ID])),0),"")</f>
        <v/>
      </c>
    </row>
    <row r="971">
      <c r="A971" s="10" t="inlineStr">
        <is>
          <t>PRD-0465</t>
        </is>
      </c>
      <c r="B971" s="10" t="inlineStr">
        <is>
          <t>Production</t>
        </is>
      </c>
      <c r="C971" s="10">
        <f>IF($BI971="","",IF($B971="Onsite",INDEX(tbl_Onsite[Job Number],$BI971),IF($B971="Production",INDEX(tbl_Production[Job Number],$BI971),INDEX(tbl_Consulting[Job Number],$BI971)))&amp;"")</f>
        <v/>
      </c>
      <c r="D971" s="10">
        <f>IF($BI971="","",IF($B971="Onsite",INDEX(tbl_Onsite[Client],$BI971),IF($B971="Production",INDEX(tbl_Production[Client],$BI971),INDEX(tbl_Consulting[Client],$BI971)))&amp;"")</f>
        <v/>
      </c>
      <c r="E971" s="10">
        <f>IF($C971="","",IF(COUNTIF(lst_Jobs,$C971)&gt;0,"OK","CHECK"))</f>
        <v/>
      </c>
      <c r="F971" s="10">
        <f>IF($C971="","",IFERROR(INDEX(lst_JobName,MATCH($C971,lst_Jobs,0)),""))</f>
        <v/>
      </c>
      <c r="G971" s="10">
        <f>IF($BI971="","",IF($B971="Onsite",INDEX(tbl_Onsite[Job Description],$BI971),IF($B971="Production",INDEX(tbl_Production[Job Description],$BI971),INDEX(tbl_Consulting[Job Description],$BI971)))&amp;"")</f>
        <v/>
      </c>
      <c r="H971" s="10">
        <f>IF($BI971="","",IF($B971="Onsite",INDEX(tbl_Onsite[Cost Centre],$BI971),IF($B971="Production",INDEX(tbl_Production[Cost Centre],$BI971),INDEX(tbl_Consulting[Cost Centre],$BI971)))&amp;"")</f>
        <v/>
      </c>
      <c r="I971" s="10">
        <f>IF($BI971="","",IF($B971="Onsite",INDEX(tbl_Onsite[Invoice Type],$BI971),IF($B971="Production",INDEX(tbl_Production[Invoice Type],$BI971),INDEX(tbl_Consulting[Invoice Type],$BI971)))&amp;"")</f>
        <v/>
      </c>
      <c r="J971" s="10">
        <f>IF($BI971="","",IF($B971="Onsite",INDEX(tbl_Onsite[Tax Code],$BI971),IF($B971="Production",INDEX(tbl_Production[Tax Code],$BI971),INDEX(tbl_Consulting[Tax Code],$BI971)))&amp;"")</f>
        <v/>
      </c>
      <c r="K971" s="10">
        <f>IF(H971="","",IFERROR(INDEX(lst_CCtoGL,MATCH(H971,lst_CCforGL,0)),""))</f>
        <v/>
      </c>
      <c r="L971" s="10">
        <f>IF($BI971="","",IF($B971="Onsite",INDEX(tbl_Onsite[PO / Reference],$BI971),IF($B971="Production",INDEX(tbl_Production[Current RMS No],$BI971),INDEX(tbl_Consulting[Qwilr Quote],$BI971)))&amp;"")</f>
        <v/>
      </c>
      <c r="M971" s="10">
        <f>IF($BI971="","",IF($B971="Onsite",INDEX(tbl_Onsite[Notes],$BI971),IF($B971="Production",INDEX(tbl_Production[Notes],$BI971),INDEX(tbl_Consulting[Notes],$BI971)))&amp;"")</f>
        <v/>
      </c>
      <c r="N971" s="11">
        <f>IF($BI971="","",IF(IF($B971="Onsite",INDEX(tbl_Onsite[Expected Revenue Ex GST],$BI971),IF($B971="Production",INDEX(tbl_Production[Expected Revenue Ex GST],$BI971),INDEX(tbl_Consulting[Expected Revenue Ex GST],$BI971)))="","",IF($B971="Onsite",INDEX(tbl_Onsite[Expected Revenue Ex GST],$BI971),IF($B971="Production",INDEX(tbl_Production[Expected Revenue Ex GST],$BI971),INDEX(tbl_Consulting[Expected Revenue Ex GST],$BI971)))))</f>
        <v/>
      </c>
      <c r="O971" s="11">
        <f>IF(AND($C971="",NOT(COUNTA($S971:$BB971)&gt;0)),"",SUM(U971,X971,AA971,AD971,AG971,AJ971,AM971,AP971,AS971,AV971,AY971,BB971))</f>
        <v/>
      </c>
      <c r="P971" s="11">
        <f>IF(O971="","",N(N971)-O971)</f>
        <v/>
      </c>
      <c r="Q971" s="10">
        <f>IF(O971="","",IF($C971="","Invoice on empty job row",IF(N971="",IF(ROUND(O971,2)=0,"No dept value","Invoiced - no dept value"),IF(ROUND(O971,2)=0,"Not invoiced - to invoice",IF(ROUND(P971,2)=0,"Agrees",IF(P971&gt;0,"Dept higher - to invoice","Xero higher - check dept"))))))</f>
        <v/>
      </c>
      <c r="R971" s="10">
        <f>IF(AND($C971="",NOT(COUNTA($S971:$BB971)&gt;0),$BI971&lt;&gt;""),"",MID(IF($BI971="","; Row ID not found on the department sheet - a row was deleted","")&amp;IF(AND($C971="",COUNTA($S971:$BB971)&gt;0),"; Invoice entered but the department row has no job number","")&amp;IF(E971="CHECK","; Job number not in the Xero job list","")&amp;IF(AND($C971&lt;&gt;"",COUNTIF($C$7:$C$1506,$C971)&gt;1),"; Job number on more than one row","")&amp;IF(AND($C971&lt;&gt;"",H971=""),"; Dept has not set a cost centre","")&amp;IF(AND($C971&lt;&gt;"",J971=""),"; Dept has not set a tax code","")&amp;IF(AND($C971&lt;&gt;"",N971=""),"; Dept has not entered an expected value","")&amp;IF((IF(OR(COUNTA(S971:U971)=0,AND(COUNTA(S971:U971)=3,ISNUMBER(U971))),0,1)+IF(OR(COUNTA(V971:X971)=0,AND(COUNTA(V971:X971)=3,ISNUMBER(X971))),0,1)+IF(OR(COUNTA(Y971:AA971)=0,AND(COUNTA(Y971:AA971)=3,ISNUMBER(AA971))),0,1)+IF(OR(COUNTA(AB971:AD971)=0,AND(COUNTA(AB971:AD971)=3,ISNUMBER(AD971))),0,1)+IF(OR(COUNTA(AE971:AG971)=0,AND(COUNTA(AE971:AG971)=3,ISNUMBER(AG971))),0,1)+IF(OR(COUNTA(AH971:AJ971)=0,AND(COUNTA(AH971:AJ971)=3,ISNUMBER(AJ971))),0,1)+IF(OR(COUNTA(AK971:AM971)=0,AND(COUNTA(AK971:AM971)=3,ISNUMBER(AM971))),0,1)+IF(OR(COUNTA(AN971:AP971)=0,AND(COUNTA(AN971:AP971)=3,ISNUMBER(AP971))),0,1)+IF(OR(COUNTA(AQ971:AS971)=0,AND(COUNTA(AQ971:AS971)=3,ISNUMBER(AS971))),0,1)+IF(OR(COUNTA(AT971:AV971)=0,AND(COUNTA(AT971:AV971)=3,ISNUMBER(AV971))),0,1)+IF(OR(COUNTA(AW971:AY971)=0,AND(COUNTA(AW971:AY971)=3,ISNUMBER(AY971))),0,1)+IF(OR(COUNTA(AZ971:BB971)=0,AND(COUNTA(AZ971:BB971)=3,ISNUMBER(BB971))),0,1))&gt;0,"; An invoice is incomplete (needs No, Date and a number in Ex GST)","")&amp;IF((IF(T971="",0,IFERROR(--(EOMONTH(T971,0)&lt;&gt;S$5),1))+IF(W971="",0,IFERROR(--(EOMONTH(W971,0)&lt;&gt;V$5),1))+IF(Z971="",0,IFERROR(--(EOMONTH(Z971,0)&lt;&gt;Y$5),1))+IF(AC971="",0,IFERROR(--(EOMONTH(AC971,0)&lt;&gt;AB$5),1))+IF(AF971="",0,IFERROR(--(EOMONTH(AF971,0)&lt;&gt;AE$5),1))+IF(AI971="",0,IFERROR(--(EOMONTH(AI971,0)&lt;&gt;AH$5),1))+IF(AL971="",0,IFERROR(--(EOMONTH(AL971,0)&lt;&gt;AK$5),1))+IF(AO971="",0,IFERROR(--(EOMONTH(AO971,0)&lt;&gt;AN$5),1))+IF(AR971="",0,IFERROR(--(EOMONTH(AR971,0)&lt;&gt;AQ$5),1))+IF(AU971="",0,IFERROR(--(EOMONTH(AU971,0)&lt;&gt;AT$5),1))+IF(AX971="",0,IFERROR(--(EOMONTH(AX971,0)&lt;&gt;AW$5),1))+IF(BA971="",0,IFERROR(--(EOMONTH(BA971,0)&lt;&gt;AZ$5),1)))&gt;0,"; An invoice date is not in the month it is typed under",""),3,500))</f>
        <v/>
      </c>
      <c r="S971" s="12" t="n"/>
      <c r="T971" s="13" t="n"/>
      <c r="U971" s="14" t="n"/>
      <c r="V971" s="12" t="n"/>
      <c r="W971" s="13" t="n"/>
      <c r="X971" s="14" t="n"/>
      <c r="Y971" s="12" t="n"/>
      <c r="Z971" s="13" t="n"/>
      <c r="AA971" s="14" t="n"/>
      <c r="AB971" s="12" t="n"/>
      <c r="AC971" s="13" t="n"/>
      <c r="AD971" s="14" t="n"/>
      <c r="AE971" s="12" t="n"/>
      <c r="AF971" s="13" t="n"/>
      <c r="AG971" s="14" t="n"/>
      <c r="AH971" s="12" t="n"/>
      <c r="AI971" s="13" t="n"/>
      <c r="AJ971" s="14" t="n"/>
      <c r="AK971" s="12" t="n"/>
      <c r="AL971" s="13" t="n"/>
      <c r="AM971" s="14" t="n"/>
      <c r="AN971" s="12" t="n"/>
      <c r="AO971" s="13" t="n"/>
      <c r="AP971" s="14" t="n"/>
      <c r="AQ971" s="12" t="n"/>
      <c r="AR971" s="13" t="n"/>
      <c r="AS971" s="14" t="n"/>
      <c r="AT971" s="12" t="n"/>
      <c r="AU971" s="13" t="n"/>
      <c r="AV971" s="14" t="n"/>
      <c r="AW971" s="12" t="n"/>
      <c r="AX971" s="13" t="n"/>
      <c r="AY971" s="14" t="n"/>
      <c r="AZ971" s="12" t="n"/>
      <c r="BA971" s="13" t="n"/>
      <c r="BB971" s="14" t="n"/>
      <c r="BC971" s="11">
        <f>IF(O971="","",IF(J971="GST 10%",ROUND(O971*set_GSTRate,2),0))</f>
        <v/>
      </c>
      <c r="BD971" s="11">
        <f>IF(O971="","",O971+BC971)</f>
        <v/>
      </c>
      <c r="BE971" s="15">
        <f>IF(O971="","",COUNTA(S971,V971,Y971,AB971,AE971,AH971,AK971,AN971,AQ971,AT971,AW971,AZ971))</f>
        <v/>
      </c>
      <c r="BF971" s="16">
        <f>IF(COUNT(T971,W971,Z971,AC971,AF971,AI971,AL971,AO971,AR971,AU971,AX971,BA971)=0,"",MAX(T971,W971,Z971,AC971,AF971,AI971,AL971,AO971,AR971,AU971,AX971,BA971))</f>
        <v/>
      </c>
      <c r="BG971" s="10">
        <f>MID(IF(S971="","",", "&amp;S971)&amp;IF(V971="","",", "&amp;V971)&amp;IF(Y971="","",", "&amp;Y971)&amp;IF(AB971="","",", "&amp;AB971)&amp;IF(AE971="","",", "&amp;AE971)&amp;IF(AH971="","",", "&amp;AH971)&amp;IF(AK971="","",", "&amp;AK971)&amp;IF(AN971="","",", "&amp;AN971)&amp;IF(AQ971="","",", "&amp;AQ971)&amp;IF(AT971="","",", "&amp;AT971)&amp;IF(AW971="","",", "&amp;AW971)&amp;IF(AZ971="","",", "&amp;AZ971),3,500)</f>
        <v/>
      </c>
      <c r="BH971" s="12" t="n"/>
      <c r="BI971" s="15">
        <f>IFERROR(MATCH($A971,IF($B971="Onsite",tbl_Onsite[Row ID],IF($B971="Production",tbl_Production[Row ID],tbl_Consulting[Row ID])),0),"")</f>
        <v/>
      </c>
    </row>
    <row r="972">
      <c r="A972" s="10" t="inlineStr">
        <is>
          <t>PRD-0466</t>
        </is>
      </c>
      <c r="B972" s="10" t="inlineStr">
        <is>
          <t>Production</t>
        </is>
      </c>
      <c r="C972" s="10">
        <f>IF($BI972="","",IF($B972="Onsite",INDEX(tbl_Onsite[Job Number],$BI972),IF($B972="Production",INDEX(tbl_Production[Job Number],$BI972),INDEX(tbl_Consulting[Job Number],$BI972)))&amp;"")</f>
        <v/>
      </c>
      <c r="D972" s="10">
        <f>IF($BI972="","",IF($B972="Onsite",INDEX(tbl_Onsite[Client],$BI972),IF($B972="Production",INDEX(tbl_Production[Client],$BI972),INDEX(tbl_Consulting[Client],$BI972)))&amp;"")</f>
        <v/>
      </c>
      <c r="E972" s="10">
        <f>IF($C972="","",IF(COUNTIF(lst_Jobs,$C972)&gt;0,"OK","CHECK"))</f>
        <v/>
      </c>
      <c r="F972" s="10">
        <f>IF($C972="","",IFERROR(INDEX(lst_JobName,MATCH($C972,lst_Jobs,0)),""))</f>
        <v/>
      </c>
      <c r="G972" s="10">
        <f>IF($BI972="","",IF($B972="Onsite",INDEX(tbl_Onsite[Job Description],$BI972),IF($B972="Production",INDEX(tbl_Production[Job Description],$BI972),INDEX(tbl_Consulting[Job Description],$BI972)))&amp;"")</f>
        <v/>
      </c>
      <c r="H972" s="10">
        <f>IF($BI972="","",IF($B972="Onsite",INDEX(tbl_Onsite[Cost Centre],$BI972),IF($B972="Production",INDEX(tbl_Production[Cost Centre],$BI972),INDEX(tbl_Consulting[Cost Centre],$BI972)))&amp;"")</f>
        <v/>
      </c>
      <c r="I972" s="10">
        <f>IF($BI972="","",IF($B972="Onsite",INDEX(tbl_Onsite[Invoice Type],$BI972),IF($B972="Production",INDEX(tbl_Production[Invoice Type],$BI972),INDEX(tbl_Consulting[Invoice Type],$BI972)))&amp;"")</f>
        <v/>
      </c>
      <c r="J972" s="10">
        <f>IF($BI972="","",IF($B972="Onsite",INDEX(tbl_Onsite[Tax Code],$BI972),IF($B972="Production",INDEX(tbl_Production[Tax Code],$BI972),INDEX(tbl_Consulting[Tax Code],$BI972)))&amp;"")</f>
        <v/>
      </c>
      <c r="K972" s="10">
        <f>IF(H972="","",IFERROR(INDEX(lst_CCtoGL,MATCH(H972,lst_CCforGL,0)),""))</f>
        <v/>
      </c>
      <c r="L972" s="10">
        <f>IF($BI972="","",IF($B972="Onsite",INDEX(tbl_Onsite[PO / Reference],$BI972),IF($B972="Production",INDEX(tbl_Production[Current RMS No],$BI972),INDEX(tbl_Consulting[Qwilr Quote],$BI972)))&amp;"")</f>
        <v/>
      </c>
      <c r="M972" s="10">
        <f>IF($BI972="","",IF($B972="Onsite",INDEX(tbl_Onsite[Notes],$BI972),IF($B972="Production",INDEX(tbl_Production[Notes],$BI972),INDEX(tbl_Consulting[Notes],$BI972)))&amp;"")</f>
        <v/>
      </c>
      <c r="N972" s="11">
        <f>IF($BI972="","",IF(IF($B972="Onsite",INDEX(tbl_Onsite[Expected Revenue Ex GST],$BI972),IF($B972="Production",INDEX(tbl_Production[Expected Revenue Ex GST],$BI972),INDEX(tbl_Consulting[Expected Revenue Ex GST],$BI972)))="","",IF($B972="Onsite",INDEX(tbl_Onsite[Expected Revenue Ex GST],$BI972),IF($B972="Production",INDEX(tbl_Production[Expected Revenue Ex GST],$BI972),INDEX(tbl_Consulting[Expected Revenue Ex GST],$BI972)))))</f>
        <v/>
      </c>
      <c r="O972" s="11">
        <f>IF(AND($C972="",NOT(COUNTA($S972:$BB972)&gt;0)),"",SUM(U972,X972,AA972,AD972,AG972,AJ972,AM972,AP972,AS972,AV972,AY972,BB972))</f>
        <v/>
      </c>
      <c r="P972" s="11">
        <f>IF(O972="","",N(N972)-O972)</f>
        <v/>
      </c>
      <c r="Q972" s="10">
        <f>IF(O972="","",IF($C972="","Invoice on empty job row",IF(N972="",IF(ROUND(O972,2)=0,"No dept value","Invoiced - no dept value"),IF(ROUND(O972,2)=0,"Not invoiced - to invoice",IF(ROUND(P972,2)=0,"Agrees",IF(P972&gt;0,"Dept higher - to invoice","Xero higher - check dept"))))))</f>
        <v/>
      </c>
      <c r="R972" s="10">
        <f>IF(AND($C972="",NOT(COUNTA($S972:$BB972)&gt;0),$BI972&lt;&gt;""),"",MID(IF($BI972="","; Row ID not found on the department sheet - a row was deleted","")&amp;IF(AND($C972="",COUNTA($S972:$BB972)&gt;0),"; Invoice entered but the department row has no job number","")&amp;IF(E972="CHECK","; Job number not in the Xero job list","")&amp;IF(AND($C972&lt;&gt;"",COUNTIF($C$7:$C$1506,$C972)&gt;1),"; Job number on more than one row","")&amp;IF(AND($C972&lt;&gt;"",H972=""),"; Dept has not set a cost centre","")&amp;IF(AND($C972&lt;&gt;"",J972=""),"; Dept has not set a tax code","")&amp;IF(AND($C972&lt;&gt;"",N972=""),"; Dept has not entered an expected value","")&amp;IF((IF(OR(COUNTA(S972:U972)=0,AND(COUNTA(S972:U972)=3,ISNUMBER(U972))),0,1)+IF(OR(COUNTA(V972:X972)=0,AND(COUNTA(V972:X972)=3,ISNUMBER(X972))),0,1)+IF(OR(COUNTA(Y972:AA972)=0,AND(COUNTA(Y972:AA972)=3,ISNUMBER(AA972))),0,1)+IF(OR(COUNTA(AB972:AD972)=0,AND(COUNTA(AB972:AD972)=3,ISNUMBER(AD972))),0,1)+IF(OR(COUNTA(AE972:AG972)=0,AND(COUNTA(AE972:AG972)=3,ISNUMBER(AG972))),0,1)+IF(OR(COUNTA(AH972:AJ972)=0,AND(COUNTA(AH972:AJ972)=3,ISNUMBER(AJ972))),0,1)+IF(OR(COUNTA(AK972:AM972)=0,AND(COUNTA(AK972:AM972)=3,ISNUMBER(AM972))),0,1)+IF(OR(COUNTA(AN972:AP972)=0,AND(COUNTA(AN972:AP972)=3,ISNUMBER(AP972))),0,1)+IF(OR(COUNTA(AQ972:AS972)=0,AND(COUNTA(AQ972:AS972)=3,ISNUMBER(AS972))),0,1)+IF(OR(COUNTA(AT972:AV972)=0,AND(COUNTA(AT972:AV972)=3,ISNUMBER(AV972))),0,1)+IF(OR(COUNTA(AW972:AY972)=0,AND(COUNTA(AW972:AY972)=3,ISNUMBER(AY972))),0,1)+IF(OR(COUNTA(AZ972:BB972)=0,AND(COUNTA(AZ972:BB972)=3,ISNUMBER(BB972))),0,1))&gt;0,"; An invoice is incomplete (needs No, Date and a number in Ex GST)","")&amp;IF((IF(T972="",0,IFERROR(--(EOMONTH(T972,0)&lt;&gt;S$5),1))+IF(W972="",0,IFERROR(--(EOMONTH(W972,0)&lt;&gt;V$5),1))+IF(Z972="",0,IFERROR(--(EOMONTH(Z972,0)&lt;&gt;Y$5),1))+IF(AC972="",0,IFERROR(--(EOMONTH(AC972,0)&lt;&gt;AB$5),1))+IF(AF972="",0,IFERROR(--(EOMONTH(AF972,0)&lt;&gt;AE$5),1))+IF(AI972="",0,IFERROR(--(EOMONTH(AI972,0)&lt;&gt;AH$5),1))+IF(AL972="",0,IFERROR(--(EOMONTH(AL972,0)&lt;&gt;AK$5),1))+IF(AO972="",0,IFERROR(--(EOMONTH(AO972,0)&lt;&gt;AN$5),1))+IF(AR972="",0,IFERROR(--(EOMONTH(AR972,0)&lt;&gt;AQ$5),1))+IF(AU972="",0,IFERROR(--(EOMONTH(AU972,0)&lt;&gt;AT$5),1))+IF(AX972="",0,IFERROR(--(EOMONTH(AX972,0)&lt;&gt;AW$5),1))+IF(BA972="",0,IFERROR(--(EOMONTH(BA972,0)&lt;&gt;AZ$5),1)))&gt;0,"; An invoice date is not in the month it is typed under",""),3,500))</f>
        <v/>
      </c>
      <c r="S972" s="12" t="n"/>
      <c r="T972" s="13" t="n"/>
      <c r="U972" s="14" t="n"/>
      <c r="V972" s="12" t="n"/>
      <c r="W972" s="13" t="n"/>
      <c r="X972" s="14" t="n"/>
      <c r="Y972" s="12" t="n"/>
      <c r="Z972" s="13" t="n"/>
      <c r="AA972" s="14" t="n"/>
      <c r="AB972" s="12" t="n"/>
      <c r="AC972" s="13" t="n"/>
      <c r="AD972" s="14" t="n"/>
      <c r="AE972" s="12" t="n"/>
      <c r="AF972" s="13" t="n"/>
      <c r="AG972" s="14" t="n"/>
      <c r="AH972" s="12" t="n"/>
      <c r="AI972" s="13" t="n"/>
      <c r="AJ972" s="14" t="n"/>
      <c r="AK972" s="12" t="n"/>
      <c r="AL972" s="13" t="n"/>
      <c r="AM972" s="14" t="n"/>
      <c r="AN972" s="12" t="n"/>
      <c r="AO972" s="13" t="n"/>
      <c r="AP972" s="14" t="n"/>
      <c r="AQ972" s="12" t="n"/>
      <c r="AR972" s="13" t="n"/>
      <c r="AS972" s="14" t="n"/>
      <c r="AT972" s="12" t="n"/>
      <c r="AU972" s="13" t="n"/>
      <c r="AV972" s="14" t="n"/>
      <c r="AW972" s="12" t="n"/>
      <c r="AX972" s="13" t="n"/>
      <c r="AY972" s="14" t="n"/>
      <c r="AZ972" s="12" t="n"/>
      <c r="BA972" s="13" t="n"/>
      <c r="BB972" s="14" t="n"/>
      <c r="BC972" s="11">
        <f>IF(O972="","",IF(J972="GST 10%",ROUND(O972*set_GSTRate,2),0))</f>
        <v/>
      </c>
      <c r="BD972" s="11">
        <f>IF(O972="","",O972+BC972)</f>
        <v/>
      </c>
      <c r="BE972" s="15">
        <f>IF(O972="","",COUNTA(S972,V972,Y972,AB972,AE972,AH972,AK972,AN972,AQ972,AT972,AW972,AZ972))</f>
        <v/>
      </c>
      <c r="BF972" s="16">
        <f>IF(COUNT(T972,W972,Z972,AC972,AF972,AI972,AL972,AO972,AR972,AU972,AX972,BA972)=0,"",MAX(T972,W972,Z972,AC972,AF972,AI972,AL972,AO972,AR972,AU972,AX972,BA972))</f>
        <v/>
      </c>
      <c r="BG972" s="10">
        <f>MID(IF(S972="","",", "&amp;S972)&amp;IF(V972="","",", "&amp;V972)&amp;IF(Y972="","",", "&amp;Y972)&amp;IF(AB972="","",", "&amp;AB972)&amp;IF(AE972="","",", "&amp;AE972)&amp;IF(AH972="","",", "&amp;AH972)&amp;IF(AK972="","",", "&amp;AK972)&amp;IF(AN972="","",", "&amp;AN972)&amp;IF(AQ972="","",", "&amp;AQ972)&amp;IF(AT972="","",", "&amp;AT972)&amp;IF(AW972="","",", "&amp;AW972)&amp;IF(AZ972="","",", "&amp;AZ972),3,500)</f>
        <v/>
      </c>
      <c r="BH972" s="12" t="n"/>
      <c r="BI972" s="15">
        <f>IFERROR(MATCH($A972,IF($B972="Onsite",tbl_Onsite[Row ID],IF($B972="Production",tbl_Production[Row ID],tbl_Consulting[Row ID])),0),"")</f>
        <v/>
      </c>
    </row>
    <row r="973">
      <c r="A973" s="10" t="inlineStr">
        <is>
          <t>PRD-0467</t>
        </is>
      </c>
      <c r="B973" s="10" t="inlineStr">
        <is>
          <t>Production</t>
        </is>
      </c>
      <c r="C973" s="10">
        <f>IF($BI973="","",IF($B973="Onsite",INDEX(tbl_Onsite[Job Number],$BI973),IF($B973="Production",INDEX(tbl_Production[Job Number],$BI973),INDEX(tbl_Consulting[Job Number],$BI973)))&amp;"")</f>
        <v/>
      </c>
      <c r="D973" s="10">
        <f>IF($BI973="","",IF($B973="Onsite",INDEX(tbl_Onsite[Client],$BI973),IF($B973="Production",INDEX(tbl_Production[Client],$BI973),INDEX(tbl_Consulting[Client],$BI973)))&amp;"")</f>
        <v/>
      </c>
      <c r="E973" s="10">
        <f>IF($C973="","",IF(COUNTIF(lst_Jobs,$C973)&gt;0,"OK","CHECK"))</f>
        <v/>
      </c>
      <c r="F973" s="10">
        <f>IF($C973="","",IFERROR(INDEX(lst_JobName,MATCH($C973,lst_Jobs,0)),""))</f>
        <v/>
      </c>
      <c r="G973" s="10">
        <f>IF($BI973="","",IF($B973="Onsite",INDEX(tbl_Onsite[Job Description],$BI973),IF($B973="Production",INDEX(tbl_Production[Job Description],$BI973),INDEX(tbl_Consulting[Job Description],$BI973)))&amp;"")</f>
        <v/>
      </c>
      <c r="H973" s="10">
        <f>IF($BI973="","",IF($B973="Onsite",INDEX(tbl_Onsite[Cost Centre],$BI973),IF($B973="Production",INDEX(tbl_Production[Cost Centre],$BI973),INDEX(tbl_Consulting[Cost Centre],$BI973)))&amp;"")</f>
        <v/>
      </c>
      <c r="I973" s="10">
        <f>IF($BI973="","",IF($B973="Onsite",INDEX(tbl_Onsite[Invoice Type],$BI973),IF($B973="Production",INDEX(tbl_Production[Invoice Type],$BI973),INDEX(tbl_Consulting[Invoice Type],$BI973)))&amp;"")</f>
        <v/>
      </c>
      <c r="J973" s="10">
        <f>IF($BI973="","",IF($B973="Onsite",INDEX(tbl_Onsite[Tax Code],$BI973),IF($B973="Production",INDEX(tbl_Production[Tax Code],$BI973),INDEX(tbl_Consulting[Tax Code],$BI973)))&amp;"")</f>
        <v/>
      </c>
      <c r="K973" s="10">
        <f>IF(H973="","",IFERROR(INDEX(lst_CCtoGL,MATCH(H973,lst_CCforGL,0)),""))</f>
        <v/>
      </c>
      <c r="L973" s="10">
        <f>IF($BI973="","",IF($B973="Onsite",INDEX(tbl_Onsite[PO / Reference],$BI973),IF($B973="Production",INDEX(tbl_Production[Current RMS No],$BI973),INDEX(tbl_Consulting[Qwilr Quote],$BI973)))&amp;"")</f>
        <v/>
      </c>
      <c r="M973" s="10">
        <f>IF($BI973="","",IF($B973="Onsite",INDEX(tbl_Onsite[Notes],$BI973),IF($B973="Production",INDEX(tbl_Production[Notes],$BI973),INDEX(tbl_Consulting[Notes],$BI973)))&amp;"")</f>
        <v/>
      </c>
      <c r="N973" s="11">
        <f>IF($BI973="","",IF(IF($B973="Onsite",INDEX(tbl_Onsite[Expected Revenue Ex GST],$BI973),IF($B973="Production",INDEX(tbl_Production[Expected Revenue Ex GST],$BI973),INDEX(tbl_Consulting[Expected Revenue Ex GST],$BI973)))="","",IF($B973="Onsite",INDEX(tbl_Onsite[Expected Revenue Ex GST],$BI973),IF($B973="Production",INDEX(tbl_Production[Expected Revenue Ex GST],$BI973),INDEX(tbl_Consulting[Expected Revenue Ex GST],$BI973)))))</f>
        <v/>
      </c>
      <c r="O973" s="11">
        <f>IF(AND($C973="",NOT(COUNTA($S973:$BB973)&gt;0)),"",SUM(U973,X973,AA973,AD973,AG973,AJ973,AM973,AP973,AS973,AV973,AY973,BB973))</f>
        <v/>
      </c>
      <c r="P973" s="11">
        <f>IF(O973="","",N(N973)-O973)</f>
        <v/>
      </c>
      <c r="Q973" s="10">
        <f>IF(O973="","",IF($C973="","Invoice on empty job row",IF(N973="",IF(ROUND(O973,2)=0,"No dept value","Invoiced - no dept value"),IF(ROUND(O973,2)=0,"Not invoiced - to invoice",IF(ROUND(P973,2)=0,"Agrees",IF(P973&gt;0,"Dept higher - to invoice","Xero higher - check dept"))))))</f>
        <v/>
      </c>
      <c r="R973" s="10">
        <f>IF(AND($C973="",NOT(COUNTA($S973:$BB973)&gt;0),$BI973&lt;&gt;""),"",MID(IF($BI973="","; Row ID not found on the department sheet - a row was deleted","")&amp;IF(AND($C973="",COUNTA($S973:$BB973)&gt;0),"; Invoice entered but the department row has no job number","")&amp;IF(E973="CHECK","; Job number not in the Xero job list","")&amp;IF(AND($C973&lt;&gt;"",COUNTIF($C$7:$C$1506,$C973)&gt;1),"; Job number on more than one row","")&amp;IF(AND($C973&lt;&gt;"",H973=""),"; Dept has not set a cost centre","")&amp;IF(AND($C973&lt;&gt;"",J973=""),"; Dept has not set a tax code","")&amp;IF(AND($C973&lt;&gt;"",N973=""),"; Dept has not entered an expected value","")&amp;IF((IF(OR(COUNTA(S973:U973)=0,AND(COUNTA(S973:U973)=3,ISNUMBER(U973))),0,1)+IF(OR(COUNTA(V973:X973)=0,AND(COUNTA(V973:X973)=3,ISNUMBER(X973))),0,1)+IF(OR(COUNTA(Y973:AA973)=0,AND(COUNTA(Y973:AA973)=3,ISNUMBER(AA973))),0,1)+IF(OR(COUNTA(AB973:AD973)=0,AND(COUNTA(AB973:AD973)=3,ISNUMBER(AD973))),0,1)+IF(OR(COUNTA(AE973:AG973)=0,AND(COUNTA(AE973:AG973)=3,ISNUMBER(AG973))),0,1)+IF(OR(COUNTA(AH973:AJ973)=0,AND(COUNTA(AH973:AJ973)=3,ISNUMBER(AJ973))),0,1)+IF(OR(COUNTA(AK973:AM973)=0,AND(COUNTA(AK973:AM973)=3,ISNUMBER(AM973))),0,1)+IF(OR(COUNTA(AN973:AP973)=0,AND(COUNTA(AN973:AP973)=3,ISNUMBER(AP973))),0,1)+IF(OR(COUNTA(AQ973:AS973)=0,AND(COUNTA(AQ973:AS973)=3,ISNUMBER(AS973))),0,1)+IF(OR(COUNTA(AT973:AV973)=0,AND(COUNTA(AT973:AV973)=3,ISNUMBER(AV973))),0,1)+IF(OR(COUNTA(AW973:AY973)=0,AND(COUNTA(AW973:AY973)=3,ISNUMBER(AY973))),0,1)+IF(OR(COUNTA(AZ973:BB973)=0,AND(COUNTA(AZ973:BB973)=3,ISNUMBER(BB973))),0,1))&gt;0,"; An invoice is incomplete (needs No, Date and a number in Ex GST)","")&amp;IF((IF(T973="",0,IFERROR(--(EOMONTH(T973,0)&lt;&gt;S$5),1))+IF(W973="",0,IFERROR(--(EOMONTH(W973,0)&lt;&gt;V$5),1))+IF(Z973="",0,IFERROR(--(EOMONTH(Z973,0)&lt;&gt;Y$5),1))+IF(AC973="",0,IFERROR(--(EOMONTH(AC973,0)&lt;&gt;AB$5),1))+IF(AF973="",0,IFERROR(--(EOMONTH(AF973,0)&lt;&gt;AE$5),1))+IF(AI973="",0,IFERROR(--(EOMONTH(AI973,0)&lt;&gt;AH$5),1))+IF(AL973="",0,IFERROR(--(EOMONTH(AL973,0)&lt;&gt;AK$5),1))+IF(AO973="",0,IFERROR(--(EOMONTH(AO973,0)&lt;&gt;AN$5),1))+IF(AR973="",0,IFERROR(--(EOMONTH(AR973,0)&lt;&gt;AQ$5),1))+IF(AU973="",0,IFERROR(--(EOMONTH(AU973,0)&lt;&gt;AT$5),1))+IF(AX973="",0,IFERROR(--(EOMONTH(AX973,0)&lt;&gt;AW$5),1))+IF(BA973="",0,IFERROR(--(EOMONTH(BA973,0)&lt;&gt;AZ$5),1)))&gt;0,"; An invoice date is not in the month it is typed under",""),3,500))</f>
        <v/>
      </c>
      <c r="S973" s="12" t="n"/>
      <c r="T973" s="13" t="n"/>
      <c r="U973" s="14" t="n"/>
      <c r="V973" s="12" t="n"/>
      <c r="W973" s="13" t="n"/>
      <c r="X973" s="14" t="n"/>
      <c r="Y973" s="12" t="n"/>
      <c r="Z973" s="13" t="n"/>
      <c r="AA973" s="14" t="n"/>
      <c r="AB973" s="12" t="n"/>
      <c r="AC973" s="13" t="n"/>
      <c r="AD973" s="14" t="n"/>
      <c r="AE973" s="12" t="n"/>
      <c r="AF973" s="13" t="n"/>
      <c r="AG973" s="14" t="n"/>
      <c r="AH973" s="12" t="n"/>
      <c r="AI973" s="13" t="n"/>
      <c r="AJ973" s="14" t="n"/>
      <c r="AK973" s="12" t="n"/>
      <c r="AL973" s="13" t="n"/>
      <c r="AM973" s="14" t="n"/>
      <c r="AN973" s="12" t="n"/>
      <c r="AO973" s="13" t="n"/>
      <c r="AP973" s="14" t="n"/>
      <c r="AQ973" s="12" t="n"/>
      <c r="AR973" s="13" t="n"/>
      <c r="AS973" s="14" t="n"/>
      <c r="AT973" s="12" t="n"/>
      <c r="AU973" s="13" t="n"/>
      <c r="AV973" s="14" t="n"/>
      <c r="AW973" s="12" t="n"/>
      <c r="AX973" s="13" t="n"/>
      <c r="AY973" s="14" t="n"/>
      <c r="AZ973" s="12" t="n"/>
      <c r="BA973" s="13" t="n"/>
      <c r="BB973" s="14" t="n"/>
      <c r="BC973" s="11">
        <f>IF(O973="","",IF(J973="GST 10%",ROUND(O973*set_GSTRate,2),0))</f>
        <v/>
      </c>
      <c r="BD973" s="11">
        <f>IF(O973="","",O973+BC973)</f>
        <v/>
      </c>
      <c r="BE973" s="15">
        <f>IF(O973="","",COUNTA(S973,V973,Y973,AB973,AE973,AH973,AK973,AN973,AQ973,AT973,AW973,AZ973))</f>
        <v/>
      </c>
      <c r="BF973" s="16">
        <f>IF(COUNT(T973,W973,Z973,AC973,AF973,AI973,AL973,AO973,AR973,AU973,AX973,BA973)=0,"",MAX(T973,W973,Z973,AC973,AF973,AI973,AL973,AO973,AR973,AU973,AX973,BA973))</f>
        <v/>
      </c>
      <c r="BG973" s="10">
        <f>MID(IF(S973="","",", "&amp;S973)&amp;IF(V973="","",", "&amp;V973)&amp;IF(Y973="","",", "&amp;Y973)&amp;IF(AB973="","",", "&amp;AB973)&amp;IF(AE973="","",", "&amp;AE973)&amp;IF(AH973="","",", "&amp;AH973)&amp;IF(AK973="","",", "&amp;AK973)&amp;IF(AN973="","",", "&amp;AN973)&amp;IF(AQ973="","",", "&amp;AQ973)&amp;IF(AT973="","",", "&amp;AT973)&amp;IF(AW973="","",", "&amp;AW973)&amp;IF(AZ973="","",", "&amp;AZ973),3,500)</f>
        <v/>
      </c>
      <c r="BH973" s="12" t="n"/>
      <c r="BI973" s="15">
        <f>IFERROR(MATCH($A973,IF($B973="Onsite",tbl_Onsite[Row ID],IF($B973="Production",tbl_Production[Row ID],tbl_Consulting[Row ID])),0),"")</f>
        <v/>
      </c>
    </row>
    <row r="974">
      <c r="A974" s="10" t="inlineStr">
        <is>
          <t>PRD-0468</t>
        </is>
      </c>
      <c r="B974" s="10" t="inlineStr">
        <is>
          <t>Production</t>
        </is>
      </c>
      <c r="C974" s="10">
        <f>IF($BI974="","",IF($B974="Onsite",INDEX(tbl_Onsite[Job Number],$BI974),IF($B974="Production",INDEX(tbl_Production[Job Number],$BI974),INDEX(tbl_Consulting[Job Number],$BI974)))&amp;"")</f>
        <v/>
      </c>
      <c r="D974" s="10">
        <f>IF($BI974="","",IF($B974="Onsite",INDEX(tbl_Onsite[Client],$BI974),IF($B974="Production",INDEX(tbl_Production[Client],$BI974),INDEX(tbl_Consulting[Client],$BI974)))&amp;"")</f>
        <v/>
      </c>
      <c r="E974" s="10">
        <f>IF($C974="","",IF(COUNTIF(lst_Jobs,$C974)&gt;0,"OK","CHECK"))</f>
        <v/>
      </c>
      <c r="F974" s="10">
        <f>IF($C974="","",IFERROR(INDEX(lst_JobName,MATCH($C974,lst_Jobs,0)),""))</f>
        <v/>
      </c>
      <c r="G974" s="10">
        <f>IF($BI974="","",IF($B974="Onsite",INDEX(tbl_Onsite[Job Description],$BI974),IF($B974="Production",INDEX(tbl_Production[Job Description],$BI974),INDEX(tbl_Consulting[Job Description],$BI974)))&amp;"")</f>
        <v/>
      </c>
      <c r="H974" s="10">
        <f>IF($BI974="","",IF($B974="Onsite",INDEX(tbl_Onsite[Cost Centre],$BI974),IF($B974="Production",INDEX(tbl_Production[Cost Centre],$BI974),INDEX(tbl_Consulting[Cost Centre],$BI974)))&amp;"")</f>
        <v/>
      </c>
      <c r="I974" s="10">
        <f>IF($BI974="","",IF($B974="Onsite",INDEX(tbl_Onsite[Invoice Type],$BI974),IF($B974="Production",INDEX(tbl_Production[Invoice Type],$BI974),INDEX(tbl_Consulting[Invoice Type],$BI974)))&amp;"")</f>
        <v/>
      </c>
      <c r="J974" s="10">
        <f>IF($BI974="","",IF($B974="Onsite",INDEX(tbl_Onsite[Tax Code],$BI974),IF($B974="Production",INDEX(tbl_Production[Tax Code],$BI974),INDEX(tbl_Consulting[Tax Code],$BI974)))&amp;"")</f>
        <v/>
      </c>
      <c r="K974" s="10">
        <f>IF(H974="","",IFERROR(INDEX(lst_CCtoGL,MATCH(H974,lst_CCforGL,0)),""))</f>
        <v/>
      </c>
      <c r="L974" s="10">
        <f>IF($BI974="","",IF($B974="Onsite",INDEX(tbl_Onsite[PO / Reference],$BI974),IF($B974="Production",INDEX(tbl_Production[Current RMS No],$BI974),INDEX(tbl_Consulting[Qwilr Quote],$BI974)))&amp;"")</f>
        <v/>
      </c>
      <c r="M974" s="10">
        <f>IF($BI974="","",IF($B974="Onsite",INDEX(tbl_Onsite[Notes],$BI974),IF($B974="Production",INDEX(tbl_Production[Notes],$BI974),INDEX(tbl_Consulting[Notes],$BI974)))&amp;"")</f>
        <v/>
      </c>
      <c r="N974" s="11">
        <f>IF($BI974="","",IF(IF($B974="Onsite",INDEX(tbl_Onsite[Expected Revenue Ex GST],$BI974),IF($B974="Production",INDEX(tbl_Production[Expected Revenue Ex GST],$BI974),INDEX(tbl_Consulting[Expected Revenue Ex GST],$BI974)))="","",IF($B974="Onsite",INDEX(tbl_Onsite[Expected Revenue Ex GST],$BI974),IF($B974="Production",INDEX(tbl_Production[Expected Revenue Ex GST],$BI974),INDEX(tbl_Consulting[Expected Revenue Ex GST],$BI974)))))</f>
        <v/>
      </c>
      <c r="O974" s="11">
        <f>IF(AND($C974="",NOT(COUNTA($S974:$BB974)&gt;0)),"",SUM(U974,X974,AA974,AD974,AG974,AJ974,AM974,AP974,AS974,AV974,AY974,BB974))</f>
        <v/>
      </c>
      <c r="P974" s="11">
        <f>IF(O974="","",N(N974)-O974)</f>
        <v/>
      </c>
      <c r="Q974" s="10">
        <f>IF(O974="","",IF($C974="","Invoice on empty job row",IF(N974="",IF(ROUND(O974,2)=0,"No dept value","Invoiced - no dept value"),IF(ROUND(O974,2)=0,"Not invoiced - to invoice",IF(ROUND(P974,2)=0,"Agrees",IF(P974&gt;0,"Dept higher - to invoice","Xero higher - check dept"))))))</f>
        <v/>
      </c>
      <c r="R974" s="10">
        <f>IF(AND($C974="",NOT(COUNTA($S974:$BB974)&gt;0),$BI974&lt;&gt;""),"",MID(IF($BI974="","; Row ID not found on the department sheet - a row was deleted","")&amp;IF(AND($C974="",COUNTA($S974:$BB974)&gt;0),"; Invoice entered but the department row has no job number","")&amp;IF(E974="CHECK","; Job number not in the Xero job list","")&amp;IF(AND($C974&lt;&gt;"",COUNTIF($C$7:$C$1506,$C974)&gt;1),"; Job number on more than one row","")&amp;IF(AND($C974&lt;&gt;"",H974=""),"; Dept has not set a cost centre","")&amp;IF(AND($C974&lt;&gt;"",J974=""),"; Dept has not set a tax code","")&amp;IF(AND($C974&lt;&gt;"",N974=""),"; Dept has not entered an expected value","")&amp;IF((IF(OR(COUNTA(S974:U974)=0,AND(COUNTA(S974:U974)=3,ISNUMBER(U974))),0,1)+IF(OR(COUNTA(V974:X974)=0,AND(COUNTA(V974:X974)=3,ISNUMBER(X974))),0,1)+IF(OR(COUNTA(Y974:AA974)=0,AND(COUNTA(Y974:AA974)=3,ISNUMBER(AA974))),0,1)+IF(OR(COUNTA(AB974:AD974)=0,AND(COUNTA(AB974:AD974)=3,ISNUMBER(AD974))),0,1)+IF(OR(COUNTA(AE974:AG974)=0,AND(COUNTA(AE974:AG974)=3,ISNUMBER(AG974))),0,1)+IF(OR(COUNTA(AH974:AJ974)=0,AND(COUNTA(AH974:AJ974)=3,ISNUMBER(AJ974))),0,1)+IF(OR(COUNTA(AK974:AM974)=0,AND(COUNTA(AK974:AM974)=3,ISNUMBER(AM974))),0,1)+IF(OR(COUNTA(AN974:AP974)=0,AND(COUNTA(AN974:AP974)=3,ISNUMBER(AP974))),0,1)+IF(OR(COUNTA(AQ974:AS974)=0,AND(COUNTA(AQ974:AS974)=3,ISNUMBER(AS974))),0,1)+IF(OR(COUNTA(AT974:AV974)=0,AND(COUNTA(AT974:AV974)=3,ISNUMBER(AV974))),0,1)+IF(OR(COUNTA(AW974:AY974)=0,AND(COUNTA(AW974:AY974)=3,ISNUMBER(AY974))),0,1)+IF(OR(COUNTA(AZ974:BB974)=0,AND(COUNTA(AZ974:BB974)=3,ISNUMBER(BB974))),0,1))&gt;0,"; An invoice is incomplete (needs No, Date and a number in Ex GST)","")&amp;IF((IF(T974="",0,IFERROR(--(EOMONTH(T974,0)&lt;&gt;S$5),1))+IF(W974="",0,IFERROR(--(EOMONTH(W974,0)&lt;&gt;V$5),1))+IF(Z974="",0,IFERROR(--(EOMONTH(Z974,0)&lt;&gt;Y$5),1))+IF(AC974="",0,IFERROR(--(EOMONTH(AC974,0)&lt;&gt;AB$5),1))+IF(AF974="",0,IFERROR(--(EOMONTH(AF974,0)&lt;&gt;AE$5),1))+IF(AI974="",0,IFERROR(--(EOMONTH(AI974,0)&lt;&gt;AH$5),1))+IF(AL974="",0,IFERROR(--(EOMONTH(AL974,0)&lt;&gt;AK$5),1))+IF(AO974="",0,IFERROR(--(EOMONTH(AO974,0)&lt;&gt;AN$5),1))+IF(AR974="",0,IFERROR(--(EOMONTH(AR974,0)&lt;&gt;AQ$5),1))+IF(AU974="",0,IFERROR(--(EOMONTH(AU974,0)&lt;&gt;AT$5),1))+IF(AX974="",0,IFERROR(--(EOMONTH(AX974,0)&lt;&gt;AW$5),1))+IF(BA974="",0,IFERROR(--(EOMONTH(BA974,0)&lt;&gt;AZ$5),1)))&gt;0,"; An invoice date is not in the month it is typed under",""),3,500))</f>
        <v/>
      </c>
      <c r="S974" s="12" t="n"/>
      <c r="T974" s="13" t="n"/>
      <c r="U974" s="14" t="n"/>
      <c r="V974" s="12" t="n"/>
      <c r="W974" s="13" t="n"/>
      <c r="X974" s="14" t="n"/>
      <c r="Y974" s="12" t="n"/>
      <c r="Z974" s="13" t="n"/>
      <c r="AA974" s="14" t="n"/>
      <c r="AB974" s="12" t="n"/>
      <c r="AC974" s="13" t="n"/>
      <c r="AD974" s="14" t="n"/>
      <c r="AE974" s="12" t="n"/>
      <c r="AF974" s="13" t="n"/>
      <c r="AG974" s="14" t="n"/>
      <c r="AH974" s="12" t="n"/>
      <c r="AI974" s="13" t="n"/>
      <c r="AJ974" s="14" t="n"/>
      <c r="AK974" s="12" t="n"/>
      <c r="AL974" s="13" t="n"/>
      <c r="AM974" s="14" t="n"/>
      <c r="AN974" s="12" t="n"/>
      <c r="AO974" s="13" t="n"/>
      <c r="AP974" s="14" t="n"/>
      <c r="AQ974" s="12" t="n"/>
      <c r="AR974" s="13" t="n"/>
      <c r="AS974" s="14" t="n"/>
      <c r="AT974" s="12" t="n"/>
      <c r="AU974" s="13" t="n"/>
      <c r="AV974" s="14" t="n"/>
      <c r="AW974" s="12" t="n"/>
      <c r="AX974" s="13" t="n"/>
      <c r="AY974" s="14" t="n"/>
      <c r="AZ974" s="12" t="n"/>
      <c r="BA974" s="13" t="n"/>
      <c r="BB974" s="14" t="n"/>
      <c r="BC974" s="11">
        <f>IF(O974="","",IF(J974="GST 10%",ROUND(O974*set_GSTRate,2),0))</f>
        <v/>
      </c>
      <c r="BD974" s="11">
        <f>IF(O974="","",O974+BC974)</f>
        <v/>
      </c>
      <c r="BE974" s="15">
        <f>IF(O974="","",COUNTA(S974,V974,Y974,AB974,AE974,AH974,AK974,AN974,AQ974,AT974,AW974,AZ974))</f>
        <v/>
      </c>
      <c r="BF974" s="16">
        <f>IF(COUNT(T974,W974,Z974,AC974,AF974,AI974,AL974,AO974,AR974,AU974,AX974,BA974)=0,"",MAX(T974,W974,Z974,AC974,AF974,AI974,AL974,AO974,AR974,AU974,AX974,BA974))</f>
        <v/>
      </c>
      <c r="BG974" s="10">
        <f>MID(IF(S974="","",", "&amp;S974)&amp;IF(V974="","",", "&amp;V974)&amp;IF(Y974="","",", "&amp;Y974)&amp;IF(AB974="","",", "&amp;AB974)&amp;IF(AE974="","",", "&amp;AE974)&amp;IF(AH974="","",", "&amp;AH974)&amp;IF(AK974="","",", "&amp;AK974)&amp;IF(AN974="","",", "&amp;AN974)&amp;IF(AQ974="","",", "&amp;AQ974)&amp;IF(AT974="","",", "&amp;AT974)&amp;IF(AW974="","",", "&amp;AW974)&amp;IF(AZ974="","",", "&amp;AZ974),3,500)</f>
        <v/>
      </c>
      <c r="BH974" s="12" t="n"/>
      <c r="BI974" s="15">
        <f>IFERROR(MATCH($A974,IF($B974="Onsite",tbl_Onsite[Row ID],IF($B974="Production",tbl_Production[Row ID],tbl_Consulting[Row ID])),0),"")</f>
        <v/>
      </c>
    </row>
    <row r="975">
      <c r="A975" s="10" t="inlineStr">
        <is>
          <t>PRD-0469</t>
        </is>
      </c>
      <c r="B975" s="10" t="inlineStr">
        <is>
          <t>Production</t>
        </is>
      </c>
      <c r="C975" s="10">
        <f>IF($BI975="","",IF($B975="Onsite",INDEX(tbl_Onsite[Job Number],$BI975),IF($B975="Production",INDEX(tbl_Production[Job Number],$BI975),INDEX(tbl_Consulting[Job Number],$BI975)))&amp;"")</f>
        <v/>
      </c>
      <c r="D975" s="10">
        <f>IF($BI975="","",IF($B975="Onsite",INDEX(tbl_Onsite[Client],$BI975),IF($B975="Production",INDEX(tbl_Production[Client],$BI975),INDEX(tbl_Consulting[Client],$BI975)))&amp;"")</f>
        <v/>
      </c>
      <c r="E975" s="10">
        <f>IF($C975="","",IF(COUNTIF(lst_Jobs,$C975)&gt;0,"OK","CHECK"))</f>
        <v/>
      </c>
      <c r="F975" s="10">
        <f>IF($C975="","",IFERROR(INDEX(lst_JobName,MATCH($C975,lst_Jobs,0)),""))</f>
        <v/>
      </c>
      <c r="G975" s="10">
        <f>IF($BI975="","",IF($B975="Onsite",INDEX(tbl_Onsite[Job Description],$BI975),IF($B975="Production",INDEX(tbl_Production[Job Description],$BI975),INDEX(tbl_Consulting[Job Description],$BI975)))&amp;"")</f>
        <v/>
      </c>
      <c r="H975" s="10">
        <f>IF($BI975="","",IF($B975="Onsite",INDEX(tbl_Onsite[Cost Centre],$BI975),IF($B975="Production",INDEX(tbl_Production[Cost Centre],$BI975),INDEX(tbl_Consulting[Cost Centre],$BI975)))&amp;"")</f>
        <v/>
      </c>
      <c r="I975" s="10">
        <f>IF($BI975="","",IF($B975="Onsite",INDEX(tbl_Onsite[Invoice Type],$BI975),IF($B975="Production",INDEX(tbl_Production[Invoice Type],$BI975),INDEX(tbl_Consulting[Invoice Type],$BI975)))&amp;"")</f>
        <v/>
      </c>
      <c r="J975" s="10">
        <f>IF($BI975="","",IF($B975="Onsite",INDEX(tbl_Onsite[Tax Code],$BI975),IF($B975="Production",INDEX(tbl_Production[Tax Code],$BI975),INDEX(tbl_Consulting[Tax Code],$BI975)))&amp;"")</f>
        <v/>
      </c>
      <c r="K975" s="10">
        <f>IF(H975="","",IFERROR(INDEX(lst_CCtoGL,MATCH(H975,lst_CCforGL,0)),""))</f>
        <v/>
      </c>
      <c r="L975" s="10">
        <f>IF($BI975="","",IF($B975="Onsite",INDEX(tbl_Onsite[PO / Reference],$BI975),IF($B975="Production",INDEX(tbl_Production[Current RMS No],$BI975),INDEX(tbl_Consulting[Qwilr Quote],$BI975)))&amp;"")</f>
        <v/>
      </c>
      <c r="M975" s="10">
        <f>IF($BI975="","",IF($B975="Onsite",INDEX(tbl_Onsite[Notes],$BI975),IF($B975="Production",INDEX(tbl_Production[Notes],$BI975),INDEX(tbl_Consulting[Notes],$BI975)))&amp;"")</f>
        <v/>
      </c>
      <c r="N975" s="11">
        <f>IF($BI975="","",IF(IF($B975="Onsite",INDEX(tbl_Onsite[Expected Revenue Ex GST],$BI975),IF($B975="Production",INDEX(tbl_Production[Expected Revenue Ex GST],$BI975),INDEX(tbl_Consulting[Expected Revenue Ex GST],$BI975)))="","",IF($B975="Onsite",INDEX(tbl_Onsite[Expected Revenue Ex GST],$BI975),IF($B975="Production",INDEX(tbl_Production[Expected Revenue Ex GST],$BI975),INDEX(tbl_Consulting[Expected Revenue Ex GST],$BI975)))))</f>
        <v/>
      </c>
      <c r="O975" s="11">
        <f>IF(AND($C975="",NOT(COUNTA($S975:$BB975)&gt;0)),"",SUM(U975,X975,AA975,AD975,AG975,AJ975,AM975,AP975,AS975,AV975,AY975,BB975))</f>
        <v/>
      </c>
      <c r="P975" s="11">
        <f>IF(O975="","",N(N975)-O975)</f>
        <v/>
      </c>
      <c r="Q975" s="10">
        <f>IF(O975="","",IF($C975="","Invoice on empty job row",IF(N975="",IF(ROUND(O975,2)=0,"No dept value","Invoiced - no dept value"),IF(ROUND(O975,2)=0,"Not invoiced - to invoice",IF(ROUND(P975,2)=0,"Agrees",IF(P975&gt;0,"Dept higher - to invoice","Xero higher - check dept"))))))</f>
        <v/>
      </c>
      <c r="R975" s="10">
        <f>IF(AND($C975="",NOT(COUNTA($S975:$BB975)&gt;0),$BI975&lt;&gt;""),"",MID(IF($BI975="","; Row ID not found on the department sheet - a row was deleted","")&amp;IF(AND($C975="",COUNTA($S975:$BB975)&gt;0),"; Invoice entered but the department row has no job number","")&amp;IF(E975="CHECK","; Job number not in the Xero job list","")&amp;IF(AND($C975&lt;&gt;"",COUNTIF($C$7:$C$1506,$C975)&gt;1),"; Job number on more than one row","")&amp;IF(AND($C975&lt;&gt;"",H975=""),"; Dept has not set a cost centre","")&amp;IF(AND($C975&lt;&gt;"",J975=""),"; Dept has not set a tax code","")&amp;IF(AND($C975&lt;&gt;"",N975=""),"; Dept has not entered an expected value","")&amp;IF((IF(OR(COUNTA(S975:U975)=0,AND(COUNTA(S975:U975)=3,ISNUMBER(U975))),0,1)+IF(OR(COUNTA(V975:X975)=0,AND(COUNTA(V975:X975)=3,ISNUMBER(X975))),0,1)+IF(OR(COUNTA(Y975:AA975)=0,AND(COUNTA(Y975:AA975)=3,ISNUMBER(AA975))),0,1)+IF(OR(COUNTA(AB975:AD975)=0,AND(COUNTA(AB975:AD975)=3,ISNUMBER(AD975))),0,1)+IF(OR(COUNTA(AE975:AG975)=0,AND(COUNTA(AE975:AG975)=3,ISNUMBER(AG975))),0,1)+IF(OR(COUNTA(AH975:AJ975)=0,AND(COUNTA(AH975:AJ975)=3,ISNUMBER(AJ975))),0,1)+IF(OR(COUNTA(AK975:AM975)=0,AND(COUNTA(AK975:AM975)=3,ISNUMBER(AM975))),0,1)+IF(OR(COUNTA(AN975:AP975)=0,AND(COUNTA(AN975:AP975)=3,ISNUMBER(AP975))),0,1)+IF(OR(COUNTA(AQ975:AS975)=0,AND(COUNTA(AQ975:AS975)=3,ISNUMBER(AS975))),0,1)+IF(OR(COUNTA(AT975:AV975)=0,AND(COUNTA(AT975:AV975)=3,ISNUMBER(AV975))),0,1)+IF(OR(COUNTA(AW975:AY975)=0,AND(COUNTA(AW975:AY975)=3,ISNUMBER(AY975))),0,1)+IF(OR(COUNTA(AZ975:BB975)=0,AND(COUNTA(AZ975:BB975)=3,ISNUMBER(BB975))),0,1))&gt;0,"; An invoice is incomplete (needs No, Date and a number in Ex GST)","")&amp;IF((IF(T975="",0,IFERROR(--(EOMONTH(T975,0)&lt;&gt;S$5),1))+IF(W975="",0,IFERROR(--(EOMONTH(W975,0)&lt;&gt;V$5),1))+IF(Z975="",0,IFERROR(--(EOMONTH(Z975,0)&lt;&gt;Y$5),1))+IF(AC975="",0,IFERROR(--(EOMONTH(AC975,0)&lt;&gt;AB$5),1))+IF(AF975="",0,IFERROR(--(EOMONTH(AF975,0)&lt;&gt;AE$5),1))+IF(AI975="",0,IFERROR(--(EOMONTH(AI975,0)&lt;&gt;AH$5),1))+IF(AL975="",0,IFERROR(--(EOMONTH(AL975,0)&lt;&gt;AK$5),1))+IF(AO975="",0,IFERROR(--(EOMONTH(AO975,0)&lt;&gt;AN$5),1))+IF(AR975="",0,IFERROR(--(EOMONTH(AR975,0)&lt;&gt;AQ$5),1))+IF(AU975="",0,IFERROR(--(EOMONTH(AU975,0)&lt;&gt;AT$5),1))+IF(AX975="",0,IFERROR(--(EOMONTH(AX975,0)&lt;&gt;AW$5),1))+IF(BA975="",0,IFERROR(--(EOMONTH(BA975,0)&lt;&gt;AZ$5),1)))&gt;0,"; An invoice date is not in the month it is typed under",""),3,500))</f>
        <v/>
      </c>
      <c r="S975" s="12" t="n"/>
      <c r="T975" s="13" t="n"/>
      <c r="U975" s="14" t="n"/>
      <c r="V975" s="12" t="n"/>
      <c r="W975" s="13" t="n"/>
      <c r="X975" s="14" t="n"/>
      <c r="Y975" s="12" t="n"/>
      <c r="Z975" s="13" t="n"/>
      <c r="AA975" s="14" t="n"/>
      <c r="AB975" s="12" t="n"/>
      <c r="AC975" s="13" t="n"/>
      <c r="AD975" s="14" t="n"/>
      <c r="AE975" s="12" t="n"/>
      <c r="AF975" s="13" t="n"/>
      <c r="AG975" s="14" t="n"/>
      <c r="AH975" s="12" t="n"/>
      <c r="AI975" s="13" t="n"/>
      <c r="AJ975" s="14" t="n"/>
      <c r="AK975" s="12" t="n"/>
      <c r="AL975" s="13" t="n"/>
      <c r="AM975" s="14" t="n"/>
      <c r="AN975" s="12" t="n"/>
      <c r="AO975" s="13" t="n"/>
      <c r="AP975" s="14" t="n"/>
      <c r="AQ975" s="12" t="n"/>
      <c r="AR975" s="13" t="n"/>
      <c r="AS975" s="14" t="n"/>
      <c r="AT975" s="12" t="n"/>
      <c r="AU975" s="13" t="n"/>
      <c r="AV975" s="14" t="n"/>
      <c r="AW975" s="12" t="n"/>
      <c r="AX975" s="13" t="n"/>
      <c r="AY975" s="14" t="n"/>
      <c r="AZ975" s="12" t="n"/>
      <c r="BA975" s="13" t="n"/>
      <c r="BB975" s="14" t="n"/>
      <c r="BC975" s="11">
        <f>IF(O975="","",IF(J975="GST 10%",ROUND(O975*set_GSTRate,2),0))</f>
        <v/>
      </c>
      <c r="BD975" s="11">
        <f>IF(O975="","",O975+BC975)</f>
        <v/>
      </c>
      <c r="BE975" s="15">
        <f>IF(O975="","",COUNTA(S975,V975,Y975,AB975,AE975,AH975,AK975,AN975,AQ975,AT975,AW975,AZ975))</f>
        <v/>
      </c>
      <c r="BF975" s="16">
        <f>IF(COUNT(T975,W975,Z975,AC975,AF975,AI975,AL975,AO975,AR975,AU975,AX975,BA975)=0,"",MAX(T975,W975,Z975,AC975,AF975,AI975,AL975,AO975,AR975,AU975,AX975,BA975))</f>
        <v/>
      </c>
      <c r="BG975" s="10">
        <f>MID(IF(S975="","",", "&amp;S975)&amp;IF(V975="","",", "&amp;V975)&amp;IF(Y975="","",", "&amp;Y975)&amp;IF(AB975="","",", "&amp;AB975)&amp;IF(AE975="","",", "&amp;AE975)&amp;IF(AH975="","",", "&amp;AH975)&amp;IF(AK975="","",", "&amp;AK975)&amp;IF(AN975="","",", "&amp;AN975)&amp;IF(AQ975="","",", "&amp;AQ975)&amp;IF(AT975="","",", "&amp;AT975)&amp;IF(AW975="","",", "&amp;AW975)&amp;IF(AZ975="","",", "&amp;AZ975),3,500)</f>
        <v/>
      </c>
      <c r="BH975" s="12" t="n"/>
      <c r="BI975" s="15">
        <f>IFERROR(MATCH($A975,IF($B975="Onsite",tbl_Onsite[Row ID],IF($B975="Production",tbl_Production[Row ID],tbl_Consulting[Row ID])),0),"")</f>
        <v/>
      </c>
    </row>
    <row r="976">
      <c r="A976" s="10" t="inlineStr">
        <is>
          <t>PRD-0470</t>
        </is>
      </c>
      <c r="B976" s="10" t="inlineStr">
        <is>
          <t>Production</t>
        </is>
      </c>
      <c r="C976" s="10">
        <f>IF($BI976="","",IF($B976="Onsite",INDEX(tbl_Onsite[Job Number],$BI976),IF($B976="Production",INDEX(tbl_Production[Job Number],$BI976),INDEX(tbl_Consulting[Job Number],$BI976)))&amp;"")</f>
        <v/>
      </c>
      <c r="D976" s="10">
        <f>IF($BI976="","",IF($B976="Onsite",INDEX(tbl_Onsite[Client],$BI976),IF($B976="Production",INDEX(tbl_Production[Client],$BI976),INDEX(tbl_Consulting[Client],$BI976)))&amp;"")</f>
        <v/>
      </c>
      <c r="E976" s="10">
        <f>IF($C976="","",IF(COUNTIF(lst_Jobs,$C976)&gt;0,"OK","CHECK"))</f>
        <v/>
      </c>
      <c r="F976" s="10">
        <f>IF($C976="","",IFERROR(INDEX(lst_JobName,MATCH($C976,lst_Jobs,0)),""))</f>
        <v/>
      </c>
      <c r="G976" s="10">
        <f>IF($BI976="","",IF($B976="Onsite",INDEX(tbl_Onsite[Job Description],$BI976),IF($B976="Production",INDEX(tbl_Production[Job Description],$BI976),INDEX(tbl_Consulting[Job Description],$BI976)))&amp;"")</f>
        <v/>
      </c>
      <c r="H976" s="10">
        <f>IF($BI976="","",IF($B976="Onsite",INDEX(tbl_Onsite[Cost Centre],$BI976),IF($B976="Production",INDEX(tbl_Production[Cost Centre],$BI976),INDEX(tbl_Consulting[Cost Centre],$BI976)))&amp;"")</f>
        <v/>
      </c>
      <c r="I976" s="10">
        <f>IF($BI976="","",IF($B976="Onsite",INDEX(tbl_Onsite[Invoice Type],$BI976),IF($B976="Production",INDEX(tbl_Production[Invoice Type],$BI976),INDEX(tbl_Consulting[Invoice Type],$BI976)))&amp;"")</f>
        <v/>
      </c>
      <c r="J976" s="10">
        <f>IF($BI976="","",IF($B976="Onsite",INDEX(tbl_Onsite[Tax Code],$BI976),IF($B976="Production",INDEX(tbl_Production[Tax Code],$BI976),INDEX(tbl_Consulting[Tax Code],$BI976)))&amp;"")</f>
        <v/>
      </c>
      <c r="K976" s="10">
        <f>IF(H976="","",IFERROR(INDEX(lst_CCtoGL,MATCH(H976,lst_CCforGL,0)),""))</f>
        <v/>
      </c>
      <c r="L976" s="10">
        <f>IF($BI976="","",IF($B976="Onsite",INDEX(tbl_Onsite[PO / Reference],$BI976),IF($B976="Production",INDEX(tbl_Production[Current RMS No],$BI976),INDEX(tbl_Consulting[Qwilr Quote],$BI976)))&amp;"")</f>
        <v/>
      </c>
      <c r="M976" s="10">
        <f>IF($BI976="","",IF($B976="Onsite",INDEX(tbl_Onsite[Notes],$BI976),IF($B976="Production",INDEX(tbl_Production[Notes],$BI976),INDEX(tbl_Consulting[Notes],$BI976)))&amp;"")</f>
        <v/>
      </c>
      <c r="N976" s="11">
        <f>IF($BI976="","",IF(IF($B976="Onsite",INDEX(tbl_Onsite[Expected Revenue Ex GST],$BI976),IF($B976="Production",INDEX(tbl_Production[Expected Revenue Ex GST],$BI976),INDEX(tbl_Consulting[Expected Revenue Ex GST],$BI976)))="","",IF($B976="Onsite",INDEX(tbl_Onsite[Expected Revenue Ex GST],$BI976),IF($B976="Production",INDEX(tbl_Production[Expected Revenue Ex GST],$BI976),INDEX(tbl_Consulting[Expected Revenue Ex GST],$BI976)))))</f>
        <v/>
      </c>
      <c r="O976" s="11">
        <f>IF(AND($C976="",NOT(COUNTA($S976:$BB976)&gt;0)),"",SUM(U976,X976,AA976,AD976,AG976,AJ976,AM976,AP976,AS976,AV976,AY976,BB976))</f>
        <v/>
      </c>
      <c r="P976" s="11">
        <f>IF(O976="","",N(N976)-O976)</f>
        <v/>
      </c>
      <c r="Q976" s="10">
        <f>IF(O976="","",IF($C976="","Invoice on empty job row",IF(N976="",IF(ROUND(O976,2)=0,"No dept value","Invoiced - no dept value"),IF(ROUND(O976,2)=0,"Not invoiced - to invoice",IF(ROUND(P976,2)=0,"Agrees",IF(P976&gt;0,"Dept higher - to invoice","Xero higher - check dept"))))))</f>
        <v/>
      </c>
      <c r="R976" s="10">
        <f>IF(AND($C976="",NOT(COUNTA($S976:$BB976)&gt;0),$BI976&lt;&gt;""),"",MID(IF($BI976="","; Row ID not found on the department sheet - a row was deleted","")&amp;IF(AND($C976="",COUNTA($S976:$BB976)&gt;0),"; Invoice entered but the department row has no job number","")&amp;IF(E976="CHECK","; Job number not in the Xero job list","")&amp;IF(AND($C976&lt;&gt;"",COUNTIF($C$7:$C$1506,$C976)&gt;1),"; Job number on more than one row","")&amp;IF(AND($C976&lt;&gt;"",H976=""),"; Dept has not set a cost centre","")&amp;IF(AND($C976&lt;&gt;"",J976=""),"; Dept has not set a tax code","")&amp;IF(AND($C976&lt;&gt;"",N976=""),"; Dept has not entered an expected value","")&amp;IF((IF(OR(COUNTA(S976:U976)=0,AND(COUNTA(S976:U976)=3,ISNUMBER(U976))),0,1)+IF(OR(COUNTA(V976:X976)=0,AND(COUNTA(V976:X976)=3,ISNUMBER(X976))),0,1)+IF(OR(COUNTA(Y976:AA976)=0,AND(COUNTA(Y976:AA976)=3,ISNUMBER(AA976))),0,1)+IF(OR(COUNTA(AB976:AD976)=0,AND(COUNTA(AB976:AD976)=3,ISNUMBER(AD976))),0,1)+IF(OR(COUNTA(AE976:AG976)=0,AND(COUNTA(AE976:AG976)=3,ISNUMBER(AG976))),0,1)+IF(OR(COUNTA(AH976:AJ976)=0,AND(COUNTA(AH976:AJ976)=3,ISNUMBER(AJ976))),0,1)+IF(OR(COUNTA(AK976:AM976)=0,AND(COUNTA(AK976:AM976)=3,ISNUMBER(AM976))),0,1)+IF(OR(COUNTA(AN976:AP976)=0,AND(COUNTA(AN976:AP976)=3,ISNUMBER(AP976))),0,1)+IF(OR(COUNTA(AQ976:AS976)=0,AND(COUNTA(AQ976:AS976)=3,ISNUMBER(AS976))),0,1)+IF(OR(COUNTA(AT976:AV976)=0,AND(COUNTA(AT976:AV976)=3,ISNUMBER(AV976))),0,1)+IF(OR(COUNTA(AW976:AY976)=0,AND(COUNTA(AW976:AY976)=3,ISNUMBER(AY976))),0,1)+IF(OR(COUNTA(AZ976:BB976)=0,AND(COUNTA(AZ976:BB976)=3,ISNUMBER(BB976))),0,1))&gt;0,"; An invoice is incomplete (needs No, Date and a number in Ex GST)","")&amp;IF((IF(T976="",0,IFERROR(--(EOMONTH(T976,0)&lt;&gt;S$5),1))+IF(W976="",0,IFERROR(--(EOMONTH(W976,0)&lt;&gt;V$5),1))+IF(Z976="",0,IFERROR(--(EOMONTH(Z976,0)&lt;&gt;Y$5),1))+IF(AC976="",0,IFERROR(--(EOMONTH(AC976,0)&lt;&gt;AB$5),1))+IF(AF976="",0,IFERROR(--(EOMONTH(AF976,0)&lt;&gt;AE$5),1))+IF(AI976="",0,IFERROR(--(EOMONTH(AI976,0)&lt;&gt;AH$5),1))+IF(AL976="",0,IFERROR(--(EOMONTH(AL976,0)&lt;&gt;AK$5),1))+IF(AO976="",0,IFERROR(--(EOMONTH(AO976,0)&lt;&gt;AN$5),1))+IF(AR976="",0,IFERROR(--(EOMONTH(AR976,0)&lt;&gt;AQ$5),1))+IF(AU976="",0,IFERROR(--(EOMONTH(AU976,0)&lt;&gt;AT$5),1))+IF(AX976="",0,IFERROR(--(EOMONTH(AX976,0)&lt;&gt;AW$5),1))+IF(BA976="",0,IFERROR(--(EOMONTH(BA976,0)&lt;&gt;AZ$5),1)))&gt;0,"; An invoice date is not in the month it is typed under",""),3,500))</f>
        <v/>
      </c>
      <c r="S976" s="12" t="n"/>
      <c r="T976" s="13" t="n"/>
      <c r="U976" s="14" t="n"/>
      <c r="V976" s="12" t="n"/>
      <c r="W976" s="13" t="n"/>
      <c r="X976" s="14" t="n"/>
      <c r="Y976" s="12" t="n"/>
      <c r="Z976" s="13" t="n"/>
      <c r="AA976" s="14" t="n"/>
      <c r="AB976" s="12" t="n"/>
      <c r="AC976" s="13" t="n"/>
      <c r="AD976" s="14" t="n"/>
      <c r="AE976" s="12" t="n"/>
      <c r="AF976" s="13" t="n"/>
      <c r="AG976" s="14" t="n"/>
      <c r="AH976" s="12" t="n"/>
      <c r="AI976" s="13" t="n"/>
      <c r="AJ976" s="14" t="n"/>
      <c r="AK976" s="12" t="n"/>
      <c r="AL976" s="13" t="n"/>
      <c r="AM976" s="14" t="n"/>
      <c r="AN976" s="12" t="n"/>
      <c r="AO976" s="13" t="n"/>
      <c r="AP976" s="14" t="n"/>
      <c r="AQ976" s="12" t="n"/>
      <c r="AR976" s="13" t="n"/>
      <c r="AS976" s="14" t="n"/>
      <c r="AT976" s="12" t="n"/>
      <c r="AU976" s="13" t="n"/>
      <c r="AV976" s="14" t="n"/>
      <c r="AW976" s="12" t="n"/>
      <c r="AX976" s="13" t="n"/>
      <c r="AY976" s="14" t="n"/>
      <c r="AZ976" s="12" t="n"/>
      <c r="BA976" s="13" t="n"/>
      <c r="BB976" s="14" t="n"/>
      <c r="BC976" s="11">
        <f>IF(O976="","",IF(J976="GST 10%",ROUND(O976*set_GSTRate,2),0))</f>
        <v/>
      </c>
      <c r="BD976" s="11">
        <f>IF(O976="","",O976+BC976)</f>
        <v/>
      </c>
      <c r="BE976" s="15">
        <f>IF(O976="","",COUNTA(S976,V976,Y976,AB976,AE976,AH976,AK976,AN976,AQ976,AT976,AW976,AZ976))</f>
        <v/>
      </c>
      <c r="BF976" s="16">
        <f>IF(COUNT(T976,W976,Z976,AC976,AF976,AI976,AL976,AO976,AR976,AU976,AX976,BA976)=0,"",MAX(T976,W976,Z976,AC976,AF976,AI976,AL976,AO976,AR976,AU976,AX976,BA976))</f>
        <v/>
      </c>
      <c r="BG976" s="10">
        <f>MID(IF(S976="","",", "&amp;S976)&amp;IF(V976="","",", "&amp;V976)&amp;IF(Y976="","",", "&amp;Y976)&amp;IF(AB976="","",", "&amp;AB976)&amp;IF(AE976="","",", "&amp;AE976)&amp;IF(AH976="","",", "&amp;AH976)&amp;IF(AK976="","",", "&amp;AK976)&amp;IF(AN976="","",", "&amp;AN976)&amp;IF(AQ976="","",", "&amp;AQ976)&amp;IF(AT976="","",", "&amp;AT976)&amp;IF(AW976="","",", "&amp;AW976)&amp;IF(AZ976="","",", "&amp;AZ976),3,500)</f>
        <v/>
      </c>
      <c r="BH976" s="12" t="n"/>
      <c r="BI976" s="15">
        <f>IFERROR(MATCH($A976,IF($B976="Onsite",tbl_Onsite[Row ID],IF($B976="Production",tbl_Production[Row ID],tbl_Consulting[Row ID])),0),"")</f>
        <v/>
      </c>
    </row>
    <row r="977">
      <c r="A977" s="10" t="inlineStr">
        <is>
          <t>PRD-0471</t>
        </is>
      </c>
      <c r="B977" s="10" t="inlineStr">
        <is>
          <t>Production</t>
        </is>
      </c>
      <c r="C977" s="10">
        <f>IF($BI977="","",IF($B977="Onsite",INDEX(tbl_Onsite[Job Number],$BI977),IF($B977="Production",INDEX(tbl_Production[Job Number],$BI977),INDEX(tbl_Consulting[Job Number],$BI977)))&amp;"")</f>
        <v/>
      </c>
      <c r="D977" s="10">
        <f>IF($BI977="","",IF($B977="Onsite",INDEX(tbl_Onsite[Client],$BI977),IF($B977="Production",INDEX(tbl_Production[Client],$BI977),INDEX(tbl_Consulting[Client],$BI977)))&amp;"")</f>
        <v/>
      </c>
      <c r="E977" s="10">
        <f>IF($C977="","",IF(COUNTIF(lst_Jobs,$C977)&gt;0,"OK","CHECK"))</f>
        <v/>
      </c>
      <c r="F977" s="10">
        <f>IF($C977="","",IFERROR(INDEX(lst_JobName,MATCH($C977,lst_Jobs,0)),""))</f>
        <v/>
      </c>
      <c r="G977" s="10">
        <f>IF($BI977="","",IF($B977="Onsite",INDEX(tbl_Onsite[Job Description],$BI977),IF($B977="Production",INDEX(tbl_Production[Job Description],$BI977),INDEX(tbl_Consulting[Job Description],$BI977)))&amp;"")</f>
        <v/>
      </c>
      <c r="H977" s="10">
        <f>IF($BI977="","",IF($B977="Onsite",INDEX(tbl_Onsite[Cost Centre],$BI977),IF($B977="Production",INDEX(tbl_Production[Cost Centre],$BI977),INDEX(tbl_Consulting[Cost Centre],$BI977)))&amp;"")</f>
        <v/>
      </c>
      <c r="I977" s="10">
        <f>IF($BI977="","",IF($B977="Onsite",INDEX(tbl_Onsite[Invoice Type],$BI977),IF($B977="Production",INDEX(tbl_Production[Invoice Type],$BI977),INDEX(tbl_Consulting[Invoice Type],$BI977)))&amp;"")</f>
        <v/>
      </c>
      <c r="J977" s="10">
        <f>IF($BI977="","",IF($B977="Onsite",INDEX(tbl_Onsite[Tax Code],$BI977),IF($B977="Production",INDEX(tbl_Production[Tax Code],$BI977),INDEX(tbl_Consulting[Tax Code],$BI977)))&amp;"")</f>
        <v/>
      </c>
      <c r="K977" s="10">
        <f>IF(H977="","",IFERROR(INDEX(lst_CCtoGL,MATCH(H977,lst_CCforGL,0)),""))</f>
        <v/>
      </c>
      <c r="L977" s="10">
        <f>IF($BI977="","",IF($B977="Onsite",INDEX(tbl_Onsite[PO / Reference],$BI977),IF($B977="Production",INDEX(tbl_Production[Current RMS No],$BI977),INDEX(tbl_Consulting[Qwilr Quote],$BI977)))&amp;"")</f>
        <v/>
      </c>
      <c r="M977" s="10">
        <f>IF($BI977="","",IF($B977="Onsite",INDEX(tbl_Onsite[Notes],$BI977),IF($B977="Production",INDEX(tbl_Production[Notes],$BI977),INDEX(tbl_Consulting[Notes],$BI977)))&amp;"")</f>
        <v/>
      </c>
      <c r="N977" s="11">
        <f>IF($BI977="","",IF(IF($B977="Onsite",INDEX(tbl_Onsite[Expected Revenue Ex GST],$BI977),IF($B977="Production",INDEX(tbl_Production[Expected Revenue Ex GST],$BI977),INDEX(tbl_Consulting[Expected Revenue Ex GST],$BI977)))="","",IF($B977="Onsite",INDEX(tbl_Onsite[Expected Revenue Ex GST],$BI977),IF($B977="Production",INDEX(tbl_Production[Expected Revenue Ex GST],$BI977),INDEX(tbl_Consulting[Expected Revenue Ex GST],$BI977)))))</f>
        <v/>
      </c>
      <c r="O977" s="11">
        <f>IF(AND($C977="",NOT(COUNTA($S977:$BB977)&gt;0)),"",SUM(U977,X977,AA977,AD977,AG977,AJ977,AM977,AP977,AS977,AV977,AY977,BB977))</f>
        <v/>
      </c>
      <c r="P977" s="11">
        <f>IF(O977="","",N(N977)-O977)</f>
        <v/>
      </c>
      <c r="Q977" s="10">
        <f>IF(O977="","",IF($C977="","Invoice on empty job row",IF(N977="",IF(ROUND(O977,2)=0,"No dept value","Invoiced - no dept value"),IF(ROUND(O977,2)=0,"Not invoiced - to invoice",IF(ROUND(P977,2)=0,"Agrees",IF(P977&gt;0,"Dept higher - to invoice","Xero higher - check dept"))))))</f>
        <v/>
      </c>
      <c r="R977" s="10">
        <f>IF(AND($C977="",NOT(COUNTA($S977:$BB977)&gt;0),$BI977&lt;&gt;""),"",MID(IF($BI977="","; Row ID not found on the department sheet - a row was deleted","")&amp;IF(AND($C977="",COUNTA($S977:$BB977)&gt;0),"; Invoice entered but the department row has no job number","")&amp;IF(E977="CHECK","; Job number not in the Xero job list","")&amp;IF(AND($C977&lt;&gt;"",COUNTIF($C$7:$C$1506,$C977)&gt;1),"; Job number on more than one row","")&amp;IF(AND($C977&lt;&gt;"",H977=""),"; Dept has not set a cost centre","")&amp;IF(AND($C977&lt;&gt;"",J977=""),"; Dept has not set a tax code","")&amp;IF(AND($C977&lt;&gt;"",N977=""),"; Dept has not entered an expected value","")&amp;IF((IF(OR(COUNTA(S977:U977)=0,AND(COUNTA(S977:U977)=3,ISNUMBER(U977))),0,1)+IF(OR(COUNTA(V977:X977)=0,AND(COUNTA(V977:X977)=3,ISNUMBER(X977))),0,1)+IF(OR(COUNTA(Y977:AA977)=0,AND(COUNTA(Y977:AA977)=3,ISNUMBER(AA977))),0,1)+IF(OR(COUNTA(AB977:AD977)=0,AND(COUNTA(AB977:AD977)=3,ISNUMBER(AD977))),0,1)+IF(OR(COUNTA(AE977:AG977)=0,AND(COUNTA(AE977:AG977)=3,ISNUMBER(AG977))),0,1)+IF(OR(COUNTA(AH977:AJ977)=0,AND(COUNTA(AH977:AJ977)=3,ISNUMBER(AJ977))),0,1)+IF(OR(COUNTA(AK977:AM977)=0,AND(COUNTA(AK977:AM977)=3,ISNUMBER(AM977))),0,1)+IF(OR(COUNTA(AN977:AP977)=0,AND(COUNTA(AN977:AP977)=3,ISNUMBER(AP977))),0,1)+IF(OR(COUNTA(AQ977:AS977)=0,AND(COUNTA(AQ977:AS977)=3,ISNUMBER(AS977))),0,1)+IF(OR(COUNTA(AT977:AV977)=0,AND(COUNTA(AT977:AV977)=3,ISNUMBER(AV977))),0,1)+IF(OR(COUNTA(AW977:AY977)=0,AND(COUNTA(AW977:AY977)=3,ISNUMBER(AY977))),0,1)+IF(OR(COUNTA(AZ977:BB977)=0,AND(COUNTA(AZ977:BB977)=3,ISNUMBER(BB977))),0,1))&gt;0,"; An invoice is incomplete (needs No, Date and a number in Ex GST)","")&amp;IF((IF(T977="",0,IFERROR(--(EOMONTH(T977,0)&lt;&gt;S$5),1))+IF(W977="",0,IFERROR(--(EOMONTH(W977,0)&lt;&gt;V$5),1))+IF(Z977="",0,IFERROR(--(EOMONTH(Z977,0)&lt;&gt;Y$5),1))+IF(AC977="",0,IFERROR(--(EOMONTH(AC977,0)&lt;&gt;AB$5),1))+IF(AF977="",0,IFERROR(--(EOMONTH(AF977,0)&lt;&gt;AE$5),1))+IF(AI977="",0,IFERROR(--(EOMONTH(AI977,0)&lt;&gt;AH$5),1))+IF(AL977="",0,IFERROR(--(EOMONTH(AL977,0)&lt;&gt;AK$5),1))+IF(AO977="",0,IFERROR(--(EOMONTH(AO977,0)&lt;&gt;AN$5),1))+IF(AR977="",0,IFERROR(--(EOMONTH(AR977,0)&lt;&gt;AQ$5),1))+IF(AU977="",0,IFERROR(--(EOMONTH(AU977,0)&lt;&gt;AT$5),1))+IF(AX977="",0,IFERROR(--(EOMONTH(AX977,0)&lt;&gt;AW$5),1))+IF(BA977="",0,IFERROR(--(EOMONTH(BA977,0)&lt;&gt;AZ$5),1)))&gt;0,"; An invoice date is not in the month it is typed under",""),3,500))</f>
        <v/>
      </c>
      <c r="S977" s="12" t="n"/>
      <c r="T977" s="13" t="n"/>
      <c r="U977" s="14" t="n"/>
      <c r="V977" s="12" t="n"/>
      <c r="W977" s="13" t="n"/>
      <c r="X977" s="14" t="n"/>
      <c r="Y977" s="12" t="n"/>
      <c r="Z977" s="13" t="n"/>
      <c r="AA977" s="14" t="n"/>
      <c r="AB977" s="12" t="n"/>
      <c r="AC977" s="13" t="n"/>
      <c r="AD977" s="14" t="n"/>
      <c r="AE977" s="12" t="n"/>
      <c r="AF977" s="13" t="n"/>
      <c r="AG977" s="14" t="n"/>
      <c r="AH977" s="12" t="n"/>
      <c r="AI977" s="13" t="n"/>
      <c r="AJ977" s="14" t="n"/>
      <c r="AK977" s="12" t="n"/>
      <c r="AL977" s="13" t="n"/>
      <c r="AM977" s="14" t="n"/>
      <c r="AN977" s="12" t="n"/>
      <c r="AO977" s="13" t="n"/>
      <c r="AP977" s="14" t="n"/>
      <c r="AQ977" s="12" t="n"/>
      <c r="AR977" s="13" t="n"/>
      <c r="AS977" s="14" t="n"/>
      <c r="AT977" s="12" t="n"/>
      <c r="AU977" s="13" t="n"/>
      <c r="AV977" s="14" t="n"/>
      <c r="AW977" s="12" t="n"/>
      <c r="AX977" s="13" t="n"/>
      <c r="AY977" s="14" t="n"/>
      <c r="AZ977" s="12" t="n"/>
      <c r="BA977" s="13" t="n"/>
      <c r="BB977" s="14" t="n"/>
      <c r="BC977" s="11">
        <f>IF(O977="","",IF(J977="GST 10%",ROUND(O977*set_GSTRate,2),0))</f>
        <v/>
      </c>
      <c r="BD977" s="11">
        <f>IF(O977="","",O977+BC977)</f>
        <v/>
      </c>
      <c r="BE977" s="15">
        <f>IF(O977="","",COUNTA(S977,V977,Y977,AB977,AE977,AH977,AK977,AN977,AQ977,AT977,AW977,AZ977))</f>
        <v/>
      </c>
      <c r="BF977" s="16">
        <f>IF(COUNT(T977,W977,Z977,AC977,AF977,AI977,AL977,AO977,AR977,AU977,AX977,BA977)=0,"",MAX(T977,W977,Z977,AC977,AF977,AI977,AL977,AO977,AR977,AU977,AX977,BA977))</f>
        <v/>
      </c>
      <c r="BG977" s="10">
        <f>MID(IF(S977="","",", "&amp;S977)&amp;IF(V977="","",", "&amp;V977)&amp;IF(Y977="","",", "&amp;Y977)&amp;IF(AB977="","",", "&amp;AB977)&amp;IF(AE977="","",", "&amp;AE977)&amp;IF(AH977="","",", "&amp;AH977)&amp;IF(AK977="","",", "&amp;AK977)&amp;IF(AN977="","",", "&amp;AN977)&amp;IF(AQ977="","",", "&amp;AQ977)&amp;IF(AT977="","",", "&amp;AT977)&amp;IF(AW977="","",", "&amp;AW977)&amp;IF(AZ977="","",", "&amp;AZ977),3,500)</f>
        <v/>
      </c>
      <c r="BH977" s="12" t="n"/>
      <c r="BI977" s="15">
        <f>IFERROR(MATCH($A977,IF($B977="Onsite",tbl_Onsite[Row ID],IF($B977="Production",tbl_Production[Row ID],tbl_Consulting[Row ID])),0),"")</f>
        <v/>
      </c>
    </row>
    <row r="978">
      <c r="A978" s="10" t="inlineStr">
        <is>
          <t>PRD-0472</t>
        </is>
      </c>
      <c r="B978" s="10" t="inlineStr">
        <is>
          <t>Production</t>
        </is>
      </c>
      <c r="C978" s="10">
        <f>IF($BI978="","",IF($B978="Onsite",INDEX(tbl_Onsite[Job Number],$BI978),IF($B978="Production",INDEX(tbl_Production[Job Number],$BI978),INDEX(tbl_Consulting[Job Number],$BI978)))&amp;"")</f>
        <v/>
      </c>
      <c r="D978" s="10">
        <f>IF($BI978="","",IF($B978="Onsite",INDEX(tbl_Onsite[Client],$BI978),IF($B978="Production",INDEX(tbl_Production[Client],$BI978),INDEX(tbl_Consulting[Client],$BI978)))&amp;"")</f>
        <v/>
      </c>
      <c r="E978" s="10">
        <f>IF($C978="","",IF(COUNTIF(lst_Jobs,$C978)&gt;0,"OK","CHECK"))</f>
        <v/>
      </c>
      <c r="F978" s="10">
        <f>IF($C978="","",IFERROR(INDEX(lst_JobName,MATCH($C978,lst_Jobs,0)),""))</f>
        <v/>
      </c>
      <c r="G978" s="10">
        <f>IF($BI978="","",IF($B978="Onsite",INDEX(tbl_Onsite[Job Description],$BI978),IF($B978="Production",INDEX(tbl_Production[Job Description],$BI978),INDEX(tbl_Consulting[Job Description],$BI978)))&amp;"")</f>
        <v/>
      </c>
      <c r="H978" s="10">
        <f>IF($BI978="","",IF($B978="Onsite",INDEX(tbl_Onsite[Cost Centre],$BI978),IF($B978="Production",INDEX(tbl_Production[Cost Centre],$BI978),INDEX(tbl_Consulting[Cost Centre],$BI978)))&amp;"")</f>
        <v/>
      </c>
      <c r="I978" s="10">
        <f>IF($BI978="","",IF($B978="Onsite",INDEX(tbl_Onsite[Invoice Type],$BI978),IF($B978="Production",INDEX(tbl_Production[Invoice Type],$BI978),INDEX(tbl_Consulting[Invoice Type],$BI978)))&amp;"")</f>
        <v/>
      </c>
      <c r="J978" s="10">
        <f>IF($BI978="","",IF($B978="Onsite",INDEX(tbl_Onsite[Tax Code],$BI978),IF($B978="Production",INDEX(tbl_Production[Tax Code],$BI978),INDEX(tbl_Consulting[Tax Code],$BI978)))&amp;"")</f>
        <v/>
      </c>
      <c r="K978" s="10">
        <f>IF(H978="","",IFERROR(INDEX(lst_CCtoGL,MATCH(H978,lst_CCforGL,0)),""))</f>
        <v/>
      </c>
      <c r="L978" s="10">
        <f>IF($BI978="","",IF($B978="Onsite",INDEX(tbl_Onsite[PO / Reference],$BI978),IF($B978="Production",INDEX(tbl_Production[Current RMS No],$BI978),INDEX(tbl_Consulting[Qwilr Quote],$BI978)))&amp;"")</f>
        <v/>
      </c>
      <c r="M978" s="10">
        <f>IF($BI978="","",IF($B978="Onsite",INDEX(tbl_Onsite[Notes],$BI978),IF($B978="Production",INDEX(tbl_Production[Notes],$BI978),INDEX(tbl_Consulting[Notes],$BI978)))&amp;"")</f>
        <v/>
      </c>
      <c r="N978" s="11">
        <f>IF($BI978="","",IF(IF($B978="Onsite",INDEX(tbl_Onsite[Expected Revenue Ex GST],$BI978),IF($B978="Production",INDEX(tbl_Production[Expected Revenue Ex GST],$BI978),INDEX(tbl_Consulting[Expected Revenue Ex GST],$BI978)))="","",IF($B978="Onsite",INDEX(tbl_Onsite[Expected Revenue Ex GST],$BI978),IF($B978="Production",INDEX(tbl_Production[Expected Revenue Ex GST],$BI978),INDEX(tbl_Consulting[Expected Revenue Ex GST],$BI978)))))</f>
        <v/>
      </c>
      <c r="O978" s="11">
        <f>IF(AND($C978="",NOT(COUNTA($S978:$BB978)&gt;0)),"",SUM(U978,X978,AA978,AD978,AG978,AJ978,AM978,AP978,AS978,AV978,AY978,BB978))</f>
        <v/>
      </c>
      <c r="P978" s="11">
        <f>IF(O978="","",N(N978)-O978)</f>
        <v/>
      </c>
      <c r="Q978" s="10">
        <f>IF(O978="","",IF($C978="","Invoice on empty job row",IF(N978="",IF(ROUND(O978,2)=0,"No dept value","Invoiced - no dept value"),IF(ROUND(O978,2)=0,"Not invoiced - to invoice",IF(ROUND(P978,2)=0,"Agrees",IF(P978&gt;0,"Dept higher - to invoice","Xero higher - check dept"))))))</f>
        <v/>
      </c>
      <c r="R978" s="10">
        <f>IF(AND($C978="",NOT(COUNTA($S978:$BB978)&gt;0),$BI978&lt;&gt;""),"",MID(IF($BI978="","; Row ID not found on the department sheet - a row was deleted","")&amp;IF(AND($C978="",COUNTA($S978:$BB978)&gt;0),"; Invoice entered but the department row has no job number","")&amp;IF(E978="CHECK","; Job number not in the Xero job list","")&amp;IF(AND($C978&lt;&gt;"",COUNTIF($C$7:$C$1506,$C978)&gt;1),"; Job number on more than one row","")&amp;IF(AND($C978&lt;&gt;"",H978=""),"; Dept has not set a cost centre","")&amp;IF(AND($C978&lt;&gt;"",J978=""),"; Dept has not set a tax code","")&amp;IF(AND($C978&lt;&gt;"",N978=""),"; Dept has not entered an expected value","")&amp;IF((IF(OR(COUNTA(S978:U978)=0,AND(COUNTA(S978:U978)=3,ISNUMBER(U978))),0,1)+IF(OR(COUNTA(V978:X978)=0,AND(COUNTA(V978:X978)=3,ISNUMBER(X978))),0,1)+IF(OR(COUNTA(Y978:AA978)=0,AND(COUNTA(Y978:AA978)=3,ISNUMBER(AA978))),0,1)+IF(OR(COUNTA(AB978:AD978)=0,AND(COUNTA(AB978:AD978)=3,ISNUMBER(AD978))),0,1)+IF(OR(COUNTA(AE978:AG978)=0,AND(COUNTA(AE978:AG978)=3,ISNUMBER(AG978))),0,1)+IF(OR(COUNTA(AH978:AJ978)=0,AND(COUNTA(AH978:AJ978)=3,ISNUMBER(AJ978))),0,1)+IF(OR(COUNTA(AK978:AM978)=0,AND(COUNTA(AK978:AM978)=3,ISNUMBER(AM978))),0,1)+IF(OR(COUNTA(AN978:AP978)=0,AND(COUNTA(AN978:AP978)=3,ISNUMBER(AP978))),0,1)+IF(OR(COUNTA(AQ978:AS978)=0,AND(COUNTA(AQ978:AS978)=3,ISNUMBER(AS978))),0,1)+IF(OR(COUNTA(AT978:AV978)=0,AND(COUNTA(AT978:AV978)=3,ISNUMBER(AV978))),0,1)+IF(OR(COUNTA(AW978:AY978)=0,AND(COUNTA(AW978:AY978)=3,ISNUMBER(AY978))),0,1)+IF(OR(COUNTA(AZ978:BB978)=0,AND(COUNTA(AZ978:BB978)=3,ISNUMBER(BB978))),0,1))&gt;0,"; An invoice is incomplete (needs No, Date and a number in Ex GST)","")&amp;IF((IF(T978="",0,IFERROR(--(EOMONTH(T978,0)&lt;&gt;S$5),1))+IF(W978="",0,IFERROR(--(EOMONTH(W978,0)&lt;&gt;V$5),1))+IF(Z978="",0,IFERROR(--(EOMONTH(Z978,0)&lt;&gt;Y$5),1))+IF(AC978="",0,IFERROR(--(EOMONTH(AC978,0)&lt;&gt;AB$5),1))+IF(AF978="",0,IFERROR(--(EOMONTH(AF978,0)&lt;&gt;AE$5),1))+IF(AI978="",0,IFERROR(--(EOMONTH(AI978,0)&lt;&gt;AH$5),1))+IF(AL978="",0,IFERROR(--(EOMONTH(AL978,0)&lt;&gt;AK$5),1))+IF(AO978="",0,IFERROR(--(EOMONTH(AO978,0)&lt;&gt;AN$5),1))+IF(AR978="",0,IFERROR(--(EOMONTH(AR978,0)&lt;&gt;AQ$5),1))+IF(AU978="",0,IFERROR(--(EOMONTH(AU978,0)&lt;&gt;AT$5),1))+IF(AX978="",0,IFERROR(--(EOMONTH(AX978,0)&lt;&gt;AW$5),1))+IF(BA978="",0,IFERROR(--(EOMONTH(BA978,0)&lt;&gt;AZ$5),1)))&gt;0,"; An invoice date is not in the month it is typed under",""),3,500))</f>
        <v/>
      </c>
      <c r="S978" s="12" t="n"/>
      <c r="T978" s="13" t="n"/>
      <c r="U978" s="14" t="n"/>
      <c r="V978" s="12" t="n"/>
      <c r="W978" s="13" t="n"/>
      <c r="X978" s="14" t="n"/>
      <c r="Y978" s="12" t="n"/>
      <c r="Z978" s="13" t="n"/>
      <c r="AA978" s="14" t="n"/>
      <c r="AB978" s="12" t="n"/>
      <c r="AC978" s="13" t="n"/>
      <c r="AD978" s="14" t="n"/>
      <c r="AE978" s="12" t="n"/>
      <c r="AF978" s="13" t="n"/>
      <c r="AG978" s="14" t="n"/>
      <c r="AH978" s="12" t="n"/>
      <c r="AI978" s="13" t="n"/>
      <c r="AJ978" s="14" t="n"/>
      <c r="AK978" s="12" t="n"/>
      <c r="AL978" s="13" t="n"/>
      <c r="AM978" s="14" t="n"/>
      <c r="AN978" s="12" t="n"/>
      <c r="AO978" s="13" t="n"/>
      <c r="AP978" s="14" t="n"/>
      <c r="AQ978" s="12" t="n"/>
      <c r="AR978" s="13" t="n"/>
      <c r="AS978" s="14" t="n"/>
      <c r="AT978" s="12" t="n"/>
      <c r="AU978" s="13" t="n"/>
      <c r="AV978" s="14" t="n"/>
      <c r="AW978" s="12" t="n"/>
      <c r="AX978" s="13" t="n"/>
      <c r="AY978" s="14" t="n"/>
      <c r="AZ978" s="12" t="n"/>
      <c r="BA978" s="13" t="n"/>
      <c r="BB978" s="14" t="n"/>
      <c r="BC978" s="11">
        <f>IF(O978="","",IF(J978="GST 10%",ROUND(O978*set_GSTRate,2),0))</f>
        <v/>
      </c>
      <c r="BD978" s="11">
        <f>IF(O978="","",O978+BC978)</f>
        <v/>
      </c>
      <c r="BE978" s="15">
        <f>IF(O978="","",COUNTA(S978,V978,Y978,AB978,AE978,AH978,AK978,AN978,AQ978,AT978,AW978,AZ978))</f>
        <v/>
      </c>
      <c r="BF978" s="16">
        <f>IF(COUNT(T978,W978,Z978,AC978,AF978,AI978,AL978,AO978,AR978,AU978,AX978,BA978)=0,"",MAX(T978,W978,Z978,AC978,AF978,AI978,AL978,AO978,AR978,AU978,AX978,BA978))</f>
        <v/>
      </c>
      <c r="BG978" s="10">
        <f>MID(IF(S978="","",", "&amp;S978)&amp;IF(V978="","",", "&amp;V978)&amp;IF(Y978="","",", "&amp;Y978)&amp;IF(AB978="","",", "&amp;AB978)&amp;IF(AE978="","",", "&amp;AE978)&amp;IF(AH978="","",", "&amp;AH978)&amp;IF(AK978="","",", "&amp;AK978)&amp;IF(AN978="","",", "&amp;AN978)&amp;IF(AQ978="","",", "&amp;AQ978)&amp;IF(AT978="","",", "&amp;AT978)&amp;IF(AW978="","",", "&amp;AW978)&amp;IF(AZ978="","",", "&amp;AZ978),3,500)</f>
        <v/>
      </c>
      <c r="BH978" s="12" t="n"/>
      <c r="BI978" s="15">
        <f>IFERROR(MATCH($A978,IF($B978="Onsite",tbl_Onsite[Row ID],IF($B978="Production",tbl_Production[Row ID],tbl_Consulting[Row ID])),0),"")</f>
        <v/>
      </c>
    </row>
    <row r="979">
      <c r="A979" s="10" t="inlineStr">
        <is>
          <t>PRD-0473</t>
        </is>
      </c>
      <c r="B979" s="10" t="inlineStr">
        <is>
          <t>Production</t>
        </is>
      </c>
      <c r="C979" s="10">
        <f>IF($BI979="","",IF($B979="Onsite",INDEX(tbl_Onsite[Job Number],$BI979),IF($B979="Production",INDEX(tbl_Production[Job Number],$BI979),INDEX(tbl_Consulting[Job Number],$BI979)))&amp;"")</f>
        <v/>
      </c>
      <c r="D979" s="10">
        <f>IF($BI979="","",IF($B979="Onsite",INDEX(tbl_Onsite[Client],$BI979),IF($B979="Production",INDEX(tbl_Production[Client],$BI979),INDEX(tbl_Consulting[Client],$BI979)))&amp;"")</f>
        <v/>
      </c>
      <c r="E979" s="10">
        <f>IF($C979="","",IF(COUNTIF(lst_Jobs,$C979)&gt;0,"OK","CHECK"))</f>
        <v/>
      </c>
      <c r="F979" s="10">
        <f>IF($C979="","",IFERROR(INDEX(lst_JobName,MATCH($C979,lst_Jobs,0)),""))</f>
        <v/>
      </c>
      <c r="G979" s="10">
        <f>IF($BI979="","",IF($B979="Onsite",INDEX(tbl_Onsite[Job Description],$BI979),IF($B979="Production",INDEX(tbl_Production[Job Description],$BI979),INDEX(tbl_Consulting[Job Description],$BI979)))&amp;"")</f>
        <v/>
      </c>
      <c r="H979" s="10">
        <f>IF($BI979="","",IF($B979="Onsite",INDEX(tbl_Onsite[Cost Centre],$BI979),IF($B979="Production",INDEX(tbl_Production[Cost Centre],$BI979),INDEX(tbl_Consulting[Cost Centre],$BI979)))&amp;"")</f>
        <v/>
      </c>
      <c r="I979" s="10">
        <f>IF($BI979="","",IF($B979="Onsite",INDEX(tbl_Onsite[Invoice Type],$BI979),IF($B979="Production",INDEX(tbl_Production[Invoice Type],$BI979),INDEX(tbl_Consulting[Invoice Type],$BI979)))&amp;"")</f>
        <v/>
      </c>
      <c r="J979" s="10">
        <f>IF($BI979="","",IF($B979="Onsite",INDEX(tbl_Onsite[Tax Code],$BI979),IF($B979="Production",INDEX(tbl_Production[Tax Code],$BI979),INDEX(tbl_Consulting[Tax Code],$BI979)))&amp;"")</f>
        <v/>
      </c>
      <c r="K979" s="10">
        <f>IF(H979="","",IFERROR(INDEX(lst_CCtoGL,MATCH(H979,lst_CCforGL,0)),""))</f>
        <v/>
      </c>
      <c r="L979" s="10">
        <f>IF($BI979="","",IF($B979="Onsite",INDEX(tbl_Onsite[PO / Reference],$BI979),IF($B979="Production",INDEX(tbl_Production[Current RMS No],$BI979),INDEX(tbl_Consulting[Qwilr Quote],$BI979)))&amp;"")</f>
        <v/>
      </c>
      <c r="M979" s="10">
        <f>IF($BI979="","",IF($B979="Onsite",INDEX(tbl_Onsite[Notes],$BI979),IF($B979="Production",INDEX(tbl_Production[Notes],$BI979),INDEX(tbl_Consulting[Notes],$BI979)))&amp;"")</f>
        <v/>
      </c>
      <c r="N979" s="11">
        <f>IF($BI979="","",IF(IF($B979="Onsite",INDEX(tbl_Onsite[Expected Revenue Ex GST],$BI979),IF($B979="Production",INDEX(tbl_Production[Expected Revenue Ex GST],$BI979),INDEX(tbl_Consulting[Expected Revenue Ex GST],$BI979)))="","",IF($B979="Onsite",INDEX(tbl_Onsite[Expected Revenue Ex GST],$BI979),IF($B979="Production",INDEX(tbl_Production[Expected Revenue Ex GST],$BI979),INDEX(tbl_Consulting[Expected Revenue Ex GST],$BI979)))))</f>
        <v/>
      </c>
      <c r="O979" s="11">
        <f>IF(AND($C979="",NOT(COUNTA($S979:$BB979)&gt;0)),"",SUM(U979,X979,AA979,AD979,AG979,AJ979,AM979,AP979,AS979,AV979,AY979,BB979))</f>
        <v/>
      </c>
      <c r="P979" s="11">
        <f>IF(O979="","",N(N979)-O979)</f>
        <v/>
      </c>
      <c r="Q979" s="10">
        <f>IF(O979="","",IF($C979="","Invoice on empty job row",IF(N979="",IF(ROUND(O979,2)=0,"No dept value","Invoiced - no dept value"),IF(ROUND(O979,2)=0,"Not invoiced - to invoice",IF(ROUND(P979,2)=0,"Agrees",IF(P979&gt;0,"Dept higher - to invoice","Xero higher - check dept"))))))</f>
        <v/>
      </c>
      <c r="R979" s="10">
        <f>IF(AND($C979="",NOT(COUNTA($S979:$BB979)&gt;0),$BI979&lt;&gt;""),"",MID(IF($BI979="","; Row ID not found on the department sheet - a row was deleted","")&amp;IF(AND($C979="",COUNTA($S979:$BB979)&gt;0),"; Invoice entered but the department row has no job number","")&amp;IF(E979="CHECK","; Job number not in the Xero job list","")&amp;IF(AND($C979&lt;&gt;"",COUNTIF($C$7:$C$1506,$C979)&gt;1),"; Job number on more than one row","")&amp;IF(AND($C979&lt;&gt;"",H979=""),"; Dept has not set a cost centre","")&amp;IF(AND($C979&lt;&gt;"",J979=""),"; Dept has not set a tax code","")&amp;IF(AND($C979&lt;&gt;"",N979=""),"; Dept has not entered an expected value","")&amp;IF((IF(OR(COUNTA(S979:U979)=0,AND(COUNTA(S979:U979)=3,ISNUMBER(U979))),0,1)+IF(OR(COUNTA(V979:X979)=0,AND(COUNTA(V979:X979)=3,ISNUMBER(X979))),0,1)+IF(OR(COUNTA(Y979:AA979)=0,AND(COUNTA(Y979:AA979)=3,ISNUMBER(AA979))),0,1)+IF(OR(COUNTA(AB979:AD979)=0,AND(COUNTA(AB979:AD979)=3,ISNUMBER(AD979))),0,1)+IF(OR(COUNTA(AE979:AG979)=0,AND(COUNTA(AE979:AG979)=3,ISNUMBER(AG979))),0,1)+IF(OR(COUNTA(AH979:AJ979)=0,AND(COUNTA(AH979:AJ979)=3,ISNUMBER(AJ979))),0,1)+IF(OR(COUNTA(AK979:AM979)=0,AND(COUNTA(AK979:AM979)=3,ISNUMBER(AM979))),0,1)+IF(OR(COUNTA(AN979:AP979)=0,AND(COUNTA(AN979:AP979)=3,ISNUMBER(AP979))),0,1)+IF(OR(COUNTA(AQ979:AS979)=0,AND(COUNTA(AQ979:AS979)=3,ISNUMBER(AS979))),0,1)+IF(OR(COUNTA(AT979:AV979)=0,AND(COUNTA(AT979:AV979)=3,ISNUMBER(AV979))),0,1)+IF(OR(COUNTA(AW979:AY979)=0,AND(COUNTA(AW979:AY979)=3,ISNUMBER(AY979))),0,1)+IF(OR(COUNTA(AZ979:BB979)=0,AND(COUNTA(AZ979:BB979)=3,ISNUMBER(BB979))),0,1))&gt;0,"; An invoice is incomplete (needs No, Date and a number in Ex GST)","")&amp;IF((IF(T979="",0,IFERROR(--(EOMONTH(T979,0)&lt;&gt;S$5),1))+IF(W979="",0,IFERROR(--(EOMONTH(W979,0)&lt;&gt;V$5),1))+IF(Z979="",0,IFERROR(--(EOMONTH(Z979,0)&lt;&gt;Y$5),1))+IF(AC979="",0,IFERROR(--(EOMONTH(AC979,0)&lt;&gt;AB$5),1))+IF(AF979="",0,IFERROR(--(EOMONTH(AF979,0)&lt;&gt;AE$5),1))+IF(AI979="",0,IFERROR(--(EOMONTH(AI979,0)&lt;&gt;AH$5),1))+IF(AL979="",0,IFERROR(--(EOMONTH(AL979,0)&lt;&gt;AK$5),1))+IF(AO979="",0,IFERROR(--(EOMONTH(AO979,0)&lt;&gt;AN$5),1))+IF(AR979="",0,IFERROR(--(EOMONTH(AR979,0)&lt;&gt;AQ$5),1))+IF(AU979="",0,IFERROR(--(EOMONTH(AU979,0)&lt;&gt;AT$5),1))+IF(AX979="",0,IFERROR(--(EOMONTH(AX979,0)&lt;&gt;AW$5),1))+IF(BA979="",0,IFERROR(--(EOMONTH(BA979,0)&lt;&gt;AZ$5),1)))&gt;0,"; An invoice date is not in the month it is typed under",""),3,500))</f>
        <v/>
      </c>
      <c r="S979" s="12" t="n"/>
      <c r="T979" s="13" t="n"/>
      <c r="U979" s="14" t="n"/>
      <c r="V979" s="12" t="n"/>
      <c r="W979" s="13" t="n"/>
      <c r="X979" s="14" t="n"/>
      <c r="Y979" s="12" t="n"/>
      <c r="Z979" s="13" t="n"/>
      <c r="AA979" s="14" t="n"/>
      <c r="AB979" s="12" t="n"/>
      <c r="AC979" s="13" t="n"/>
      <c r="AD979" s="14" t="n"/>
      <c r="AE979" s="12" t="n"/>
      <c r="AF979" s="13" t="n"/>
      <c r="AG979" s="14" t="n"/>
      <c r="AH979" s="12" t="n"/>
      <c r="AI979" s="13" t="n"/>
      <c r="AJ979" s="14" t="n"/>
      <c r="AK979" s="12" t="n"/>
      <c r="AL979" s="13" t="n"/>
      <c r="AM979" s="14" t="n"/>
      <c r="AN979" s="12" t="n"/>
      <c r="AO979" s="13" t="n"/>
      <c r="AP979" s="14" t="n"/>
      <c r="AQ979" s="12" t="n"/>
      <c r="AR979" s="13" t="n"/>
      <c r="AS979" s="14" t="n"/>
      <c r="AT979" s="12" t="n"/>
      <c r="AU979" s="13" t="n"/>
      <c r="AV979" s="14" t="n"/>
      <c r="AW979" s="12" t="n"/>
      <c r="AX979" s="13" t="n"/>
      <c r="AY979" s="14" t="n"/>
      <c r="AZ979" s="12" t="n"/>
      <c r="BA979" s="13" t="n"/>
      <c r="BB979" s="14" t="n"/>
      <c r="BC979" s="11">
        <f>IF(O979="","",IF(J979="GST 10%",ROUND(O979*set_GSTRate,2),0))</f>
        <v/>
      </c>
      <c r="BD979" s="11">
        <f>IF(O979="","",O979+BC979)</f>
        <v/>
      </c>
      <c r="BE979" s="15">
        <f>IF(O979="","",COUNTA(S979,V979,Y979,AB979,AE979,AH979,AK979,AN979,AQ979,AT979,AW979,AZ979))</f>
        <v/>
      </c>
      <c r="BF979" s="16">
        <f>IF(COUNT(T979,W979,Z979,AC979,AF979,AI979,AL979,AO979,AR979,AU979,AX979,BA979)=0,"",MAX(T979,W979,Z979,AC979,AF979,AI979,AL979,AO979,AR979,AU979,AX979,BA979))</f>
        <v/>
      </c>
      <c r="BG979" s="10">
        <f>MID(IF(S979="","",", "&amp;S979)&amp;IF(V979="","",", "&amp;V979)&amp;IF(Y979="","",", "&amp;Y979)&amp;IF(AB979="","",", "&amp;AB979)&amp;IF(AE979="","",", "&amp;AE979)&amp;IF(AH979="","",", "&amp;AH979)&amp;IF(AK979="","",", "&amp;AK979)&amp;IF(AN979="","",", "&amp;AN979)&amp;IF(AQ979="","",", "&amp;AQ979)&amp;IF(AT979="","",", "&amp;AT979)&amp;IF(AW979="","",", "&amp;AW979)&amp;IF(AZ979="","",", "&amp;AZ979),3,500)</f>
        <v/>
      </c>
      <c r="BH979" s="12" t="n"/>
      <c r="BI979" s="15">
        <f>IFERROR(MATCH($A979,IF($B979="Onsite",tbl_Onsite[Row ID],IF($B979="Production",tbl_Production[Row ID],tbl_Consulting[Row ID])),0),"")</f>
        <v/>
      </c>
    </row>
    <row r="980">
      <c r="A980" s="10" t="inlineStr">
        <is>
          <t>PRD-0474</t>
        </is>
      </c>
      <c r="B980" s="10" t="inlineStr">
        <is>
          <t>Production</t>
        </is>
      </c>
      <c r="C980" s="10">
        <f>IF($BI980="","",IF($B980="Onsite",INDEX(tbl_Onsite[Job Number],$BI980),IF($B980="Production",INDEX(tbl_Production[Job Number],$BI980),INDEX(tbl_Consulting[Job Number],$BI980)))&amp;"")</f>
        <v/>
      </c>
      <c r="D980" s="10">
        <f>IF($BI980="","",IF($B980="Onsite",INDEX(tbl_Onsite[Client],$BI980),IF($B980="Production",INDEX(tbl_Production[Client],$BI980),INDEX(tbl_Consulting[Client],$BI980)))&amp;"")</f>
        <v/>
      </c>
      <c r="E980" s="10">
        <f>IF($C980="","",IF(COUNTIF(lst_Jobs,$C980)&gt;0,"OK","CHECK"))</f>
        <v/>
      </c>
      <c r="F980" s="10">
        <f>IF($C980="","",IFERROR(INDEX(lst_JobName,MATCH($C980,lst_Jobs,0)),""))</f>
        <v/>
      </c>
      <c r="G980" s="10">
        <f>IF($BI980="","",IF($B980="Onsite",INDEX(tbl_Onsite[Job Description],$BI980),IF($B980="Production",INDEX(tbl_Production[Job Description],$BI980),INDEX(tbl_Consulting[Job Description],$BI980)))&amp;"")</f>
        <v/>
      </c>
      <c r="H980" s="10">
        <f>IF($BI980="","",IF($B980="Onsite",INDEX(tbl_Onsite[Cost Centre],$BI980),IF($B980="Production",INDEX(tbl_Production[Cost Centre],$BI980),INDEX(tbl_Consulting[Cost Centre],$BI980)))&amp;"")</f>
        <v/>
      </c>
      <c r="I980" s="10">
        <f>IF($BI980="","",IF($B980="Onsite",INDEX(tbl_Onsite[Invoice Type],$BI980),IF($B980="Production",INDEX(tbl_Production[Invoice Type],$BI980),INDEX(tbl_Consulting[Invoice Type],$BI980)))&amp;"")</f>
        <v/>
      </c>
      <c r="J980" s="10">
        <f>IF($BI980="","",IF($B980="Onsite",INDEX(tbl_Onsite[Tax Code],$BI980),IF($B980="Production",INDEX(tbl_Production[Tax Code],$BI980),INDEX(tbl_Consulting[Tax Code],$BI980)))&amp;"")</f>
        <v/>
      </c>
      <c r="K980" s="10">
        <f>IF(H980="","",IFERROR(INDEX(lst_CCtoGL,MATCH(H980,lst_CCforGL,0)),""))</f>
        <v/>
      </c>
      <c r="L980" s="10">
        <f>IF($BI980="","",IF($B980="Onsite",INDEX(tbl_Onsite[PO / Reference],$BI980),IF($B980="Production",INDEX(tbl_Production[Current RMS No],$BI980),INDEX(tbl_Consulting[Qwilr Quote],$BI980)))&amp;"")</f>
        <v/>
      </c>
      <c r="M980" s="10">
        <f>IF($BI980="","",IF($B980="Onsite",INDEX(tbl_Onsite[Notes],$BI980),IF($B980="Production",INDEX(tbl_Production[Notes],$BI980),INDEX(tbl_Consulting[Notes],$BI980)))&amp;"")</f>
        <v/>
      </c>
      <c r="N980" s="11">
        <f>IF($BI980="","",IF(IF($B980="Onsite",INDEX(tbl_Onsite[Expected Revenue Ex GST],$BI980),IF($B980="Production",INDEX(tbl_Production[Expected Revenue Ex GST],$BI980),INDEX(tbl_Consulting[Expected Revenue Ex GST],$BI980)))="","",IF($B980="Onsite",INDEX(tbl_Onsite[Expected Revenue Ex GST],$BI980),IF($B980="Production",INDEX(tbl_Production[Expected Revenue Ex GST],$BI980),INDEX(tbl_Consulting[Expected Revenue Ex GST],$BI980)))))</f>
        <v/>
      </c>
      <c r="O980" s="11">
        <f>IF(AND($C980="",NOT(COUNTA($S980:$BB980)&gt;0)),"",SUM(U980,X980,AA980,AD980,AG980,AJ980,AM980,AP980,AS980,AV980,AY980,BB980))</f>
        <v/>
      </c>
      <c r="P980" s="11">
        <f>IF(O980="","",N(N980)-O980)</f>
        <v/>
      </c>
      <c r="Q980" s="10">
        <f>IF(O980="","",IF($C980="","Invoice on empty job row",IF(N980="",IF(ROUND(O980,2)=0,"No dept value","Invoiced - no dept value"),IF(ROUND(O980,2)=0,"Not invoiced - to invoice",IF(ROUND(P980,2)=0,"Agrees",IF(P980&gt;0,"Dept higher - to invoice","Xero higher - check dept"))))))</f>
        <v/>
      </c>
      <c r="R980" s="10">
        <f>IF(AND($C980="",NOT(COUNTA($S980:$BB980)&gt;0),$BI980&lt;&gt;""),"",MID(IF($BI980="","; Row ID not found on the department sheet - a row was deleted","")&amp;IF(AND($C980="",COUNTA($S980:$BB980)&gt;0),"; Invoice entered but the department row has no job number","")&amp;IF(E980="CHECK","; Job number not in the Xero job list","")&amp;IF(AND($C980&lt;&gt;"",COUNTIF($C$7:$C$1506,$C980)&gt;1),"; Job number on more than one row","")&amp;IF(AND($C980&lt;&gt;"",H980=""),"; Dept has not set a cost centre","")&amp;IF(AND($C980&lt;&gt;"",J980=""),"; Dept has not set a tax code","")&amp;IF(AND($C980&lt;&gt;"",N980=""),"; Dept has not entered an expected value","")&amp;IF((IF(OR(COUNTA(S980:U980)=0,AND(COUNTA(S980:U980)=3,ISNUMBER(U980))),0,1)+IF(OR(COUNTA(V980:X980)=0,AND(COUNTA(V980:X980)=3,ISNUMBER(X980))),0,1)+IF(OR(COUNTA(Y980:AA980)=0,AND(COUNTA(Y980:AA980)=3,ISNUMBER(AA980))),0,1)+IF(OR(COUNTA(AB980:AD980)=0,AND(COUNTA(AB980:AD980)=3,ISNUMBER(AD980))),0,1)+IF(OR(COUNTA(AE980:AG980)=0,AND(COUNTA(AE980:AG980)=3,ISNUMBER(AG980))),0,1)+IF(OR(COUNTA(AH980:AJ980)=0,AND(COUNTA(AH980:AJ980)=3,ISNUMBER(AJ980))),0,1)+IF(OR(COUNTA(AK980:AM980)=0,AND(COUNTA(AK980:AM980)=3,ISNUMBER(AM980))),0,1)+IF(OR(COUNTA(AN980:AP980)=0,AND(COUNTA(AN980:AP980)=3,ISNUMBER(AP980))),0,1)+IF(OR(COUNTA(AQ980:AS980)=0,AND(COUNTA(AQ980:AS980)=3,ISNUMBER(AS980))),0,1)+IF(OR(COUNTA(AT980:AV980)=0,AND(COUNTA(AT980:AV980)=3,ISNUMBER(AV980))),0,1)+IF(OR(COUNTA(AW980:AY980)=0,AND(COUNTA(AW980:AY980)=3,ISNUMBER(AY980))),0,1)+IF(OR(COUNTA(AZ980:BB980)=0,AND(COUNTA(AZ980:BB980)=3,ISNUMBER(BB980))),0,1))&gt;0,"; An invoice is incomplete (needs No, Date and a number in Ex GST)","")&amp;IF((IF(T980="",0,IFERROR(--(EOMONTH(T980,0)&lt;&gt;S$5),1))+IF(W980="",0,IFERROR(--(EOMONTH(W980,0)&lt;&gt;V$5),1))+IF(Z980="",0,IFERROR(--(EOMONTH(Z980,0)&lt;&gt;Y$5),1))+IF(AC980="",0,IFERROR(--(EOMONTH(AC980,0)&lt;&gt;AB$5),1))+IF(AF980="",0,IFERROR(--(EOMONTH(AF980,0)&lt;&gt;AE$5),1))+IF(AI980="",0,IFERROR(--(EOMONTH(AI980,0)&lt;&gt;AH$5),1))+IF(AL980="",0,IFERROR(--(EOMONTH(AL980,0)&lt;&gt;AK$5),1))+IF(AO980="",0,IFERROR(--(EOMONTH(AO980,0)&lt;&gt;AN$5),1))+IF(AR980="",0,IFERROR(--(EOMONTH(AR980,0)&lt;&gt;AQ$5),1))+IF(AU980="",0,IFERROR(--(EOMONTH(AU980,0)&lt;&gt;AT$5),1))+IF(AX980="",0,IFERROR(--(EOMONTH(AX980,0)&lt;&gt;AW$5),1))+IF(BA980="",0,IFERROR(--(EOMONTH(BA980,0)&lt;&gt;AZ$5),1)))&gt;0,"; An invoice date is not in the month it is typed under",""),3,500))</f>
        <v/>
      </c>
      <c r="S980" s="12" t="n"/>
      <c r="T980" s="13" t="n"/>
      <c r="U980" s="14" t="n"/>
      <c r="V980" s="12" t="n"/>
      <c r="W980" s="13" t="n"/>
      <c r="X980" s="14" t="n"/>
      <c r="Y980" s="12" t="n"/>
      <c r="Z980" s="13" t="n"/>
      <c r="AA980" s="14" t="n"/>
      <c r="AB980" s="12" t="n"/>
      <c r="AC980" s="13" t="n"/>
      <c r="AD980" s="14" t="n"/>
      <c r="AE980" s="12" t="n"/>
      <c r="AF980" s="13" t="n"/>
      <c r="AG980" s="14" t="n"/>
      <c r="AH980" s="12" t="n"/>
      <c r="AI980" s="13" t="n"/>
      <c r="AJ980" s="14" t="n"/>
      <c r="AK980" s="12" t="n"/>
      <c r="AL980" s="13" t="n"/>
      <c r="AM980" s="14" t="n"/>
      <c r="AN980" s="12" t="n"/>
      <c r="AO980" s="13" t="n"/>
      <c r="AP980" s="14" t="n"/>
      <c r="AQ980" s="12" t="n"/>
      <c r="AR980" s="13" t="n"/>
      <c r="AS980" s="14" t="n"/>
      <c r="AT980" s="12" t="n"/>
      <c r="AU980" s="13" t="n"/>
      <c r="AV980" s="14" t="n"/>
      <c r="AW980" s="12" t="n"/>
      <c r="AX980" s="13" t="n"/>
      <c r="AY980" s="14" t="n"/>
      <c r="AZ980" s="12" t="n"/>
      <c r="BA980" s="13" t="n"/>
      <c r="BB980" s="14" t="n"/>
      <c r="BC980" s="11">
        <f>IF(O980="","",IF(J980="GST 10%",ROUND(O980*set_GSTRate,2),0))</f>
        <v/>
      </c>
      <c r="BD980" s="11">
        <f>IF(O980="","",O980+BC980)</f>
        <v/>
      </c>
      <c r="BE980" s="15">
        <f>IF(O980="","",COUNTA(S980,V980,Y980,AB980,AE980,AH980,AK980,AN980,AQ980,AT980,AW980,AZ980))</f>
        <v/>
      </c>
      <c r="BF980" s="16">
        <f>IF(COUNT(T980,W980,Z980,AC980,AF980,AI980,AL980,AO980,AR980,AU980,AX980,BA980)=0,"",MAX(T980,W980,Z980,AC980,AF980,AI980,AL980,AO980,AR980,AU980,AX980,BA980))</f>
        <v/>
      </c>
      <c r="BG980" s="10">
        <f>MID(IF(S980="","",", "&amp;S980)&amp;IF(V980="","",", "&amp;V980)&amp;IF(Y980="","",", "&amp;Y980)&amp;IF(AB980="","",", "&amp;AB980)&amp;IF(AE980="","",", "&amp;AE980)&amp;IF(AH980="","",", "&amp;AH980)&amp;IF(AK980="","",", "&amp;AK980)&amp;IF(AN980="","",", "&amp;AN980)&amp;IF(AQ980="","",", "&amp;AQ980)&amp;IF(AT980="","",", "&amp;AT980)&amp;IF(AW980="","",", "&amp;AW980)&amp;IF(AZ980="","",", "&amp;AZ980),3,500)</f>
        <v/>
      </c>
      <c r="BH980" s="12" t="n"/>
      <c r="BI980" s="15">
        <f>IFERROR(MATCH($A980,IF($B980="Onsite",tbl_Onsite[Row ID],IF($B980="Production",tbl_Production[Row ID],tbl_Consulting[Row ID])),0),"")</f>
        <v/>
      </c>
    </row>
    <row r="981">
      <c r="A981" s="10" t="inlineStr">
        <is>
          <t>PRD-0475</t>
        </is>
      </c>
      <c r="B981" s="10" t="inlineStr">
        <is>
          <t>Production</t>
        </is>
      </c>
      <c r="C981" s="10">
        <f>IF($BI981="","",IF($B981="Onsite",INDEX(tbl_Onsite[Job Number],$BI981),IF($B981="Production",INDEX(tbl_Production[Job Number],$BI981),INDEX(tbl_Consulting[Job Number],$BI981)))&amp;"")</f>
        <v/>
      </c>
      <c r="D981" s="10">
        <f>IF($BI981="","",IF($B981="Onsite",INDEX(tbl_Onsite[Client],$BI981),IF($B981="Production",INDEX(tbl_Production[Client],$BI981),INDEX(tbl_Consulting[Client],$BI981)))&amp;"")</f>
        <v/>
      </c>
      <c r="E981" s="10">
        <f>IF($C981="","",IF(COUNTIF(lst_Jobs,$C981)&gt;0,"OK","CHECK"))</f>
        <v/>
      </c>
      <c r="F981" s="10">
        <f>IF($C981="","",IFERROR(INDEX(lst_JobName,MATCH($C981,lst_Jobs,0)),""))</f>
        <v/>
      </c>
      <c r="G981" s="10">
        <f>IF($BI981="","",IF($B981="Onsite",INDEX(tbl_Onsite[Job Description],$BI981),IF($B981="Production",INDEX(tbl_Production[Job Description],$BI981),INDEX(tbl_Consulting[Job Description],$BI981)))&amp;"")</f>
        <v/>
      </c>
      <c r="H981" s="10">
        <f>IF($BI981="","",IF($B981="Onsite",INDEX(tbl_Onsite[Cost Centre],$BI981),IF($B981="Production",INDEX(tbl_Production[Cost Centre],$BI981),INDEX(tbl_Consulting[Cost Centre],$BI981)))&amp;"")</f>
        <v/>
      </c>
      <c r="I981" s="10">
        <f>IF($BI981="","",IF($B981="Onsite",INDEX(tbl_Onsite[Invoice Type],$BI981),IF($B981="Production",INDEX(tbl_Production[Invoice Type],$BI981),INDEX(tbl_Consulting[Invoice Type],$BI981)))&amp;"")</f>
        <v/>
      </c>
      <c r="J981" s="10">
        <f>IF($BI981="","",IF($B981="Onsite",INDEX(tbl_Onsite[Tax Code],$BI981),IF($B981="Production",INDEX(tbl_Production[Tax Code],$BI981),INDEX(tbl_Consulting[Tax Code],$BI981)))&amp;"")</f>
        <v/>
      </c>
      <c r="K981" s="10">
        <f>IF(H981="","",IFERROR(INDEX(lst_CCtoGL,MATCH(H981,lst_CCforGL,0)),""))</f>
        <v/>
      </c>
      <c r="L981" s="10">
        <f>IF($BI981="","",IF($B981="Onsite",INDEX(tbl_Onsite[PO / Reference],$BI981),IF($B981="Production",INDEX(tbl_Production[Current RMS No],$BI981),INDEX(tbl_Consulting[Qwilr Quote],$BI981)))&amp;"")</f>
        <v/>
      </c>
      <c r="M981" s="10">
        <f>IF($BI981="","",IF($B981="Onsite",INDEX(tbl_Onsite[Notes],$BI981),IF($B981="Production",INDEX(tbl_Production[Notes],$BI981),INDEX(tbl_Consulting[Notes],$BI981)))&amp;"")</f>
        <v/>
      </c>
      <c r="N981" s="11">
        <f>IF($BI981="","",IF(IF($B981="Onsite",INDEX(tbl_Onsite[Expected Revenue Ex GST],$BI981),IF($B981="Production",INDEX(tbl_Production[Expected Revenue Ex GST],$BI981),INDEX(tbl_Consulting[Expected Revenue Ex GST],$BI981)))="","",IF($B981="Onsite",INDEX(tbl_Onsite[Expected Revenue Ex GST],$BI981),IF($B981="Production",INDEX(tbl_Production[Expected Revenue Ex GST],$BI981),INDEX(tbl_Consulting[Expected Revenue Ex GST],$BI981)))))</f>
        <v/>
      </c>
      <c r="O981" s="11">
        <f>IF(AND($C981="",NOT(COUNTA($S981:$BB981)&gt;0)),"",SUM(U981,X981,AA981,AD981,AG981,AJ981,AM981,AP981,AS981,AV981,AY981,BB981))</f>
        <v/>
      </c>
      <c r="P981" s="11">
        <f>IF(O981="","",N(N981)-O981)</f>
        <v/>
      </c>
      <c r="Q981" s="10">
        <f>IF(O981="","",IF($C981="","Invoice on empty job row",IF(N981="",IF(ROUND(O981,2)=0,"No dept value","Invoiced - no dept value"),IF(ROUND(O981,2)=0,"Not invoiced - to invoice",IF(ROUND(P981,2)=0,"Agrees",IF(P981&gt;0,"Dept higher - to invoice","Xero higher - check dept"))))))</f>
        <v/>
      </c>
      <c r="R981" s="10">
        <f>IF(AND($C981="",NOT(COUNTA($S981:$BB981)&gt;0),$BI981&lt;&gt;""),"",MID(IF($BI981="","; Row ID not found on the department sheet - a row was deleted","")&amp;IF(AND($C981="",COUNTA($S981:$BB981)&gt;0),"; Invoice entered but the department row has no job number","")&amp;IF(E981="CHECK","; Job number not in the Xero job list","")&amp;IF(AND($C981&lt;&gt;"",COUNTIF($C$7:$C$1506,$C981)&gt;1),"; Job number on more than one row","")&amp;IF(AND($C981&lt;&gt;"",H981=""),"; Dept has not set a cost centre","")&amp;IF(AND($C981&lt;&gt;"",J981=""),"; Dept has not set a tax code","")&amp;IF(AND($C981&lt;&gt;"",N981=""),"; Dept has not entered an expected value","")&amp;IF((IF(OR(COUNTA(S981:U981)=0,AND(COUNTA(S981:U981)=3,ISNUMBER(U981))),0,1)+IF(OR(COUNTA(V981:X981)=0,AND(COUNTA(V981:X981)=3,ISNUMBER(X981))),0,1)+IF(OR(COUNTA(Y981:AA981)=0,AND(COUNTA(Y981:AA981)=3,ISNUMBER(AA981))),0,1)+IF(OR(COUNTA(AB981:AD981)=0,AND(COUNTA(AB981:AD981)=3,ISNUMBER(AD981))),0,1)+IF(OR(COUNTA(AE981:AG981)=0,AND(COUNTA(AE981:AG981)=3,ISNUMBER(AG981))),0,1)+IF(OR(COUNTA(AH981:AJ981)=0,AND(COUNTA(AH981:AJ981)=3,ISNUMBER(AJ981))),0,1)+IF(OR(COUNTA(AK981:AM981)=0,AND(COUNTA(AK981:AM981)=3,ISNUMBER(AM981))),0,1)+IF(OR(COUNTA(AN981:AP981)=0,AND(COUNTA(AN981:AP981)=3,ISNUMBER(AP981))),0,1)+IF(OR(COUNTA(AQ981:AS981)=0,AND(COUNTA(AQ981:AS981)=3,ISNUMBER(AS981))),0,1)+IF(OR(COUNTA(AT981:AV981)=0,AND(COUNTA(AT981:AV981)=3,ISNUMBER(AV981))),0,1)+IF(OR(COUNTA(AW981:AY981)=0,AND(COUNTA(AW981:AY981)=3,ISNUMBER(AY981))),0,1)+IF(OR(COUNTA(AZ981:BB981)=0,AND(COUNTA(AZ981:BB981)=3,ISNUMBER(BB981))),0,1))&gt;0,"; An invoice is incomplete (needs No, Date and a number in Ex GST)","")&amp;IF((IF(T981="",0,IFERROR(--(EOMONTH(T981,0)&lt;&gt;S$5),1))+IF(W981="",0,IFERROR(--(EOMONTH(W981,0)&lt;&gt;V$5),1))+IF(Z981="",0,IFERROR(--(EOMONTH(Z981,0)&lt;&gt;Y$5),1))+IF(AC981="",0,IFERROR(--(EOMONTH(AC981,0)&lt;&gt;AB$5),1))+IF(AF981="",0,IFERROR(--(EOMONTH(AF981,0)&lt;&gt;AE$5),1))+IF(AI981="",0,IFERROR(--(EOMONTH(AI981,0)&lt;&gt;AH$5),1))+IF(AL981="",0,IFERROR(--(EOMONTH(AL981,0)&lt;&gt;AK$5),1))+IF(AO981="",0,IFERROR(--(EOMONTH(AO981,0)&lt;&gt;AN$5),1))+IF(AR981="",0,IFERROR(--(EOMONTH(AR981,0)&lt;&gt;AQ$5),1))+IF(AU981="",0,IFERROR(--(EOMONTH(AU981,0)&lt;&gt;AT$5),1))+IF(AX981="",0,IFERROR(--(EOMONTH(AX981,0)&lt;&gt;AW$5),1))+IF(BA981="",0,IFERROR(--(EOMONTH(BA981,0)&lt;&gt;AZ$5),1)))&gt;0,"; An invoice date is not in the month it is typed under",""),3,500))</f>
        <v/>
      </c>
      <c r="S981" s="12" t="n"/>
      <c r="T981" s="13" t="n"/>
      <c r="U981" s="14" t="n"/>
      <c r="V981" s="12" t="n"/>
      <c r="W981" s="13" t="n"/>
      <c r="X981" s="14" t="n"/>
      <c r="Y981" s="12" t="n"/>
      <c r="Z981" s="13" t="n"/>
      <c r="AA981" s="14" t="n"/>
      <c r="AB981" s="12" t="n"/>
      <c r="AC981" s="13" t="n"/>
      <c r="AD981" s="14" t="n"/>
      <c r="AE981" s="12" t="n"/>
      <c r="AF981" s="13" t="n"/>
      <c r="AG981" s="14" t="n"/>
      <c r="AH981" s="12" t="n"/>
      <c r="AI981" s="13" t="n"/>
      <c r="AJ981" s="14" t="n"/>
      <c r="AK981" s="12" t="n"/>
      <c r="AL981" s="13" t="n"/>
      <c r="AM981" s="14" t="n"/>
      <c r="AN981" s="12" t="n"/>
      <c r="AO981" s="13" t="n"/>
      <c r="AP981" s="14" t="n"/>
      <c r="AQ981" s="12" t="n"/>
      <c r="AR981" s="13" t="n"/>
      <c r="AS981" s="14" t="n"/>
      <c r="AT981" s="12" t="n"/>
      <c r="AU981" s="13" t="n"/>
      <c r="AV981" s="14" t="n"/>
      <c r="AW981" s="12" t="n"/>
      <c r="AX981" s="13" t="n"/>
      <c r="AY981" s="14" t="n"/>
      <c r="AZ981" s="12" t="n"/>
      <c r="BA981" s="13" t="n"/>
      <c r="BB981" s="14" t="n"/>
      <c r="BC981" s="11">
        <f>IF(O981="","",IF(J981="GST 10%",ROUND(O981*set_GSTRate,2),0))</f>
        <v/>
      </c>
      <c r="BD981" s="11">
        <f>IF(O981="","",O981+BC981)</f>
        <v/>
      </c>
      <c r="BE981" s="15">
        <f>IF(O981="","",COUNTA(S981,V981,Y981,AB981,AE981,AH981,AK981,AN981,AQ981,AT981,AW981,AZ981))</f>
        <v/>
      </c>
      <c r="BF981" s="16">
        <f>IF(COUNT(T981,W981,Z981,AC981,AF981,AI981,AL981,AO981,AR981,AU981,AX981,BA981)=0,"",MAX(T981,W981,Z981,AC981,AF981,AI981,AL981,AO981,AR981,AU981,AX981,BA981))</f>
        <v/>
      </c>
      <c r="BG981" s="10">
        <f>MID(IF(S981="","",", "&amp;S981)&amp;IF(V981="","",", "&amp;V981)&amp;IF(Y981="","",", "&amp;Y981)&amp;IF(AB981="","",", "&amp;AB981)&amp;IF(AE981="","",", "&amp;AE981)&amp;IF(AH981="","",", "&amp;AH981)&amp;IF(AK981="","",", "&amp;AK981)&amp;IF(AN981="","",", "&amp;AN981)&amp;IF(AQ981="","",", "&amp;AQ981)&amp;IF(AT981="","",", "&amp;AT981)&amp;IF(AW981="","",", "&amp;AW981)&amp;IF(AZ981="","",", "&amp;AZ981),3,500)</f>
        <v/>
      </c>
      <c r="BH981" s="12" t="n"/>
      <c r="BI981" s="15">
        <f>IFERROR(MATCH($A981,IF($B981="Onsite",tbl_Onsite[Row ID],IF($B981="Production",tbl_Production[Row ID],tbl_Consulting[Row ID])),0),"")</f>
        <v/>
      </c>
    </row>
    <row r="982">
      <c r="A982" s="10" t="inlineStr">
        <is>
          <t>PRD-0476</t>
        </is>
      </c>
      <c r="B982" s="10" t="inlineStr">
        <is>
          <t>Production</t>
        </is>
      </c>
      <c r="C982" s="10">
        <f>IF($BI982="","",IF($B982="Onsite",INDEX(tbl_Onsite[Job Number],$BI982),IF($B982="Production",INDEX(tbl_Production[Job Number],$BI982),INDEX(tbl_Consulting[Job Number],$BI982)))&amp;"")</f>
        <v/>
      </c>
      <c r="D982" s="10">
        <f>IF($BI982="","",IF($B982="Onsite",INDEX(tbl_Onsite[Client],$BI982),IF($B982="Production",INDEX(tbl_Production[Client],$BI982),INDEX(tbl_Consulting[Client],$BI982)))&amp;"")</f>
        <v/>
      </c>
      <c r="E982" s="10">
        <f>IF($C982="","",IF(COUNTIF(lst_Jobs,$C982)&gt;0,"OK","CHECK"))</f>
        <v/>
      </c>
      <c r="F982" s="10">
        <f>IF($C982="","",IFERROR(INDEX(lst_JobName,MATCH($C982,lst_Jobs,0)),""))</f>
        <v/>
      </c>
      <c r="G982" s="10">
        <f>IF($BI982="","",IF($B982="Onsite",INDEX(tbl_Onsite[Job Description],$BI982),IF($B982="Production",INDEX(tbl_Production[Job Description],$BI982),INDEX(tbl_Consulting[Job Description],$BI982)))&amp;"")</f>
        <v/>
      </c>
      <c r="H982" s="10">
        <f>IF($BI982="","",IF($B982="Onsite",INDEX(tbl_Onsite[Cost Centre],$BI982),IF($B982="Production",INDEX(tbl_Production[Cost Centre],$BI982),INDEX(tbl_Consulting[Cost Centre],$BI982)))&amp;"")</f>
        <v/>
      </c>
      <c r="I982" s="10">
        <f>IF($BI982="","",IF($B982="Onsite",INDEX(tbl_Onsite[Invoice Type],$BI982),IF($B982="Production",INDEX(tbl_Production[Invoice Type],$BI982),INDEX(tbl_Consulting[Invoice Type],$BI982)))&amp;"")</f>
        <v/>
      </c>
      <c r="J982" s="10">
        <f>IF($BI982="","",IF($B982="Onsite",INDEX(tbl_Onsite[Tax Code],$BI982),IF($B982="Production",INDEX(tbl_Production[Tax Code],$BI982),INDEX(tbl_Consulting[Tax Code],$BI982)))&amp;"")</f>
        <v/>
      </c>
      <c r="K982" s="10">
        <f>IF(H982="","",IFERROR(INDEX(lst_CCtoGL,MATCH(H982,lst_CCforGL,0)),""))</f>
        <v/>
      </c>
      <c r="L982" s="10">
        <f>IF($BI982="","",IF($B982="Onsite",INDEX(tbl_Onsite[PO / Reference],$BI982),IF($B982="Production",INDEX(tbl_Production[Current RMS No],$BI982),INDEX(tbl_Consulting[Qwilr Quote],$BI982)))&amp;"")</f>
        <v/>
      </c>
      <c r="M982" s="10">
        <f>IF($BI982="","",IF($B982="Onsite",INDEX(tbl_Onsite[Notes],$BI982),IF($B982="Production",INDEX(tbl_Production[Notes],$BI982),INDEX(tbl_Consulting[Notes],$BI982)))&amp;"")</f>
        <v/>
      </c>
      <c r="N982" s="11">
        <f>IF($BI982="","",IF(IF($B982="Onsite",INDEX(tbl_Onsite[Expected Revenue Ex GST],$BI982),IF($B982="Production",INDEX(tbl_Production[Expected Revenue Ex GST],$BI982),INDEX(tbl_Consulting[Expected Revenue Ex GST],$BI982)))="","",IF($B982="Onsite",INDEX(tbl_Onsite[Expected Revenue Ex GST],$BI982),IF($B982="Production",INDEX(tbl_Production[Expected Revenue Ex GST],$BI982),INDEX(tbl_Consulting[Expected Revenue Ex GST],$BI982)))))</f>
        <v/>
      </c>
      <c r="O982" s="11">
        <f>IF(AND($C982="",NOT(COUNTA($S982:$BB982)&gt;0)),"",SUM(U982,X982,AA982,AD982,AG982,AJ982,AM982,AP982,AS982,AV982,AY982,BB982))</f>
        <v/>
      </c>
      <c r="P982" s="11">
        <f>IF(O982="","",N(N982)-O982)</f>
        <v/>
      </c>
      <c r="Q982" s="10">
        <f>IF(O982="","",IF($C982="","Invoice on empty job row",IF(N982="",IF(ROUND(O982,2)=0,"No dept value","Invoiced - no dept value"),IF(ROUND(O982,2)=0,"Not invoiced - to invoice",IF(ROUND(P982,2)=0,"Agrees",IF(P982&gt;0,"Dept higher - to invoice","Xero higher - check dept"))))))</f>
        <v/>
      </c>
      <c r="R982" s="10">
        <f>IF(AND($C982="",NOT(COUNTA($S982:$BB982)&gt;0),$BI982&lt;&gt;""),"",MID(IF($BI982="","; Row ID not found on the department sheet - a row was deleted","")&amp;IF(AND($C982="",COUNTA($S982:$BB982)&gt;0),"; Invoice entered but the department row has no job number","")&amp;IF(E982="CHECK","; Job number not in the Xero job list","")&amp;IF(AND($C982&lt;&gt;"",COUNTIF($C$7:$C$1506,$C982)&gt;1),"; Job number on more than one row","")&amp;IF(AND($C982&lt;&gt;"",H982=""),"; Dept has not set a cost centre","")&amp;IF(AND($C982&lt;&gt;"",J982=""),"; Dept has not set a tax code","")&amp;IF(AND($C982&lt;&gt;"",N982=""),"; Dept has not entered an expected value","")&amp;IF((IF(OR(COUNTA(S982:U982)=0,AND(COUNTA(S982:U982)=3,ISNUMBER(U982))),0,1)+IF(OR(COUNTA(V982:X982)=0,AND(COUNTA(V982:X982)=3,ISNUMBER(X982))),0,1)+IF(OR(COUNTA(Y982:AA982)=0,AND(COUNTA(Y982:AA982)=3,ISNUMBER(AA982))),0,1)+IF(OR(COUNTA(AB982:AD982)=0,AND(COUNTA(AB982:AD982)=3,ISNUMBER(AD982))),0,1)+IF(OR(COUNTA(AE982:AG982)=0,AND(COUNTA(AE982:AG982)=3,ISNUMBER(AG982))),0,1)+IF(OR(COUNTA(AH982:AJ982)=0,AND(COUNTA(AH982:AJ982)=3,ISNUMBER(AJ982))),0,1)+IF(OR(COUNTA(AK982:AM982)=0,AND(COUNTA(AK982:AM982)=3,ISNUMBER(AM982))),0,1)+IF(OR(COUNTA(AN982:AP982)=0,AND(COUNTA(AN982:AP982)=3,ISNUMBER(AP982))),0,1)+IF(OR(COUNTA(AQ982:AS982)=0,AND(COUNTA(AQ982:AS982)=3,ISNUMBER(AS982))),0,1)+IF(OR(COUNTA(AT982:AV982)=0,AND(COUNTA(AT982:AV982)=3,ISNUMBER(AV982))),0,1)+IF(OR(COUNTA(AW982:AY982)=0,AND(COUNTA(AW982:AY982)=3,ISNUMBER(AY982))),0,1)+IF(OR(COUNTA(AZ982:BB982)=0,AND(COUNTA(AZ982:BB982)=3,ISNUMBER(BB982))),0,1))&gt;0,"; An invoice is incomplete (needs No, Date and a number in Ex GST)","")&amp;IF((IF(T982="",0,IFERROR(--(EOMONTH(T982,0)&lt;&gt;S$5),1))+IF(W982="",0,IFERROR(--(EOMONTH(W982,0)&lt;&gt;V$5),1))+IF(Z982="",0,IFERROR(--(EOMONTH(Z982,0)&lt;&gt;Y$5),1))+IF(AC982="",0,IFERROR(--(EOMONTH(AC982,0)&lt;&gt;AB$5),1))+IF(AF982="",0,IFERROR(--(EOMONTH(AF982,0)&lt;&gt;AE$5),1))+IF(AI982="",0,IFERROR(--(EOMONTH(AI982,0)&lt;&gt;AH$5),1))+IF(AL982="",0,IFERROR(--(EOMONTH(AL982,0)&lt;&gt;AK$5),1))+IF(AO982="",0,IFERROR(--(EOMONTH(AO982,0)&lt;&gt;AN$5),1))+IF(AR982="",0,IFERROR(--(EOMONTH(AR982,0)&lt;&gt;AQ$5),1))+IF(AU982="",0,IFERROR(--(EOMONTH(AU982,0)&lt;&gt;AT$5),1))+IF(AX982="",0,IFERROR(--(EOMONTH(AX982,0)&lt;&gt;AW$5),1))+IF(BA982="",0,IFERROR(--(EOMONTH(BA982,0)&lt;&gt;AZ$5),1)))&gt;0,"; An invoice date is not in the month it is typed under",""),3,500))</f>
        <v/>
      </c>
      <c r="S982" s="12" t="n"/>
      <c r="T982" s="13" t="n"/>
      <c r="U982" s="14" t="n"/>
      <c r="V982" s="12" t="n"/>
      <c r="W982" s="13" t="n"/>
      <c r="X982" s="14" t="n"/>
      <c r="Y982" s="12" t="n"/>
      <c r="Z982" s="13" t="n"/>
      <c r="AA982" s="14" t="n"/>
      <c r="AB982" s="12" t="n"/>
      <c r="AC982" s="13" t="n"/>
      <c r="AD982" s="14" t="n"/>
      <c r="AE982" s="12" t="n"/>
      <c r="AF982" s="13" t="n"/>
      <c r="AG982" s="14" t="n"/>
      <c r="AH982" s="12" t="n"/>
      <c r="AI982" s="13" t="n"/>
      <c r="AJ982" s="14" t="n"/>
      <c r="AK982" s="12" t="n"/>
      <c r="AL982" s="13" t="n"/>
      <c r="AM982" s="14" t="n"/>
      <c r="AN982" s="12" t="n"/>
      <c r="AO982" s="13" t="n"/>
      <c r="AP982" s="14" t="n"/>
      <c r="AQ982" s="12" t="n"/>
      <c r="AR982" s="13" t="n"/>
      <c r="AS982" s="14" t="n"/>
      <c r="AT982" s="12" t="n"/>
      <c r="AU982" s="13" t="n"/>
      <c r="AV982" s="14" t="n"/>
      <c r="AW982" s="12" t="n"/>
      <c r="AX982" s="13" t="n"/>
      <c r="AY982" s="14" t="n"/>
      <c r="AZ982" s="12" t="n"/>
      <c r="BA982" s="13" t="n"/>
      <c r="BB982" s="14" t="n"/>
      <c r="BC982" s="11">
        <f>IF(O982="","",IF(J982="GST 10%",ROUND(O982*set_GSTRate,2),0))</f>
        <v/>
      </c>
      <c r="BD982" s="11">
        <f>IF(O982="","",O982+BC982)</f>
        <v/>
      </c>
      <c r="BE982" s="15">
        <f>IF(O982="","",COUNTA(S982,V982,Y982,AB982,AE982,AH982,AK982,AN982,AQ982,AT982,AW982,AZ982))</f>
        <v/>
      </c>
      <c r="BF982" s="16">
        <f>IF(COUNT(T982,W982,Z982,AC982,AF982,AI982,AL982,AO982,AR982,AU982,AX982,BA982)=0,"",MAX(T982,W982,Z982,AC982,AF982,AI982,AL982,AO982,AR982,AU982,AX982,BA982))</f>
        <v/>
      </c>
      <c r="BG982" s="10">
        <f>MID(IF(S982="","",", "&amp;S982)&amp;IF(V982="","",", "&amp;V982)&amp;IF(Y982="","",", "&amp;Y982)&amp;IF(AB982="","",", "&amp;AB982)&amp;IF(AE982="","",", "&amp;AE982)&amp;IF(AH982="","",", "&amp;AH982)&amp;IF(AK982="","",", "&amp;AK982)&amp;IF(AN982="","",", "&amp;AN982)&amp;IF(AQ982="","",", "&amp;AQ982)&amp;IF(AT982="","",", "&amp;AT982)&amp;IF(AW982="","",", "&amp;AW982)&amp;IF(AZ982="","",", "&amp;AZ982),3,500)</f>
        <v/>
      </c>
      <c r="BH982" s="12" t="n"/>
      <c r="BI982" s="15">
        <f>IFERROR(MATCH($A982,IF($B982="Onsite",tbl_Onsite[Row ID],IF($B982="Production",tbl_Production[Row ID],tbl_Consulting[Row ID])),0),"")</f>
        <v/>
      </c>
    </row>
    <row r="983">
      <c r="A983" s="10" t="inlineStr">
        <is>
          <t>PRD-0477</t>
        </is>
      </c>
      <c r="B983" s="10" t="inlineStr">
        <is>
          <t>Production</t>
        </is>
      </c>
      <c r="C983" s="10">
        <f>IF($BI983="","",IF($B983="Onsite",INDEX(tbl_Onsite[Job Number],$BI983),IF($B983="Production",INDEX(tbl_Production[Job Number],$BI983),INDEX(tbl_Consulting[Job Number],$BI983)))&amp;"")</f>
        <v/>
      </c>
      <c r="D983" s="10">
        <f>IF($BI983="","",IF($B983="Onsite",INDEX(tbl_Onsite[Client],$BI983),IF($B983="Production",INDEX(tbl_Production[Client],$BI983),INDEX(tbl_Consulting[Client],$BI983)))&amp;"")</f>
        <v/>
      </c>
      <c r="E983" s="10">
        <f>IF($C983="","",IF(COUNTIF(lst_Jobs,$C983)&gt;0,"OK","CHECK"))</f>
        <v/>
      </c>
      <c r="F983" s="10">
        <f>IF($C983="","",IFERROR(INDEX(lst_JobName,MATCH($C983,lst_Jobs,0)),""))</f>
        <v/>
      </c>
      <c r="G983" s="10">
        <f>IF($BI983="","",IF($B983="Onsite",INDEX(tbl_Onsite[Job Description],$BI983),IF($B983="Production",INDEX(tbl_Production[Job Description],$BI983),INDEX(tbl_Consulting[Job Description],$BI983)))&amp;"")</f>
        <v/>
      </c>
      <c r="H983" s="10">
        <f>IF($BI983="","",IF($B983="Onsite",INDEX(tbl_Onsite[Cost Centre],$BI983),IF($B983="Production",INDEX(tbl_Production[Cost Centre],$BI983),INDEX(tbl_Consulting[Cost Centre],$BI983)))&amp;"")</f>
        <v/>
      </c>
      <c r="I983" s="10">
        <f>IF($BI983="","",IF($B983="Onsite",INDEX(tbl_Onsite[Invoice Type],$BI983),IF($B983="Production",INDEX(tbl_Production[Invoice Type],$BI983),INDEX(tbl_Consulting[Invoice Type],$BI983)))&amp;"")</f>
        <v/>
      </c>
      <c r="J983" s="10">
        <f>IF($BI983="","",IF($B983="Onsite",INDEX(tbl_Onsite[Tax Code],$BI983),IF($B983="Production",INDEX(tbl_Production[Tax Code],$BI983),INDEX(tbl_Consulting[Tax Code],$BI983)))&amp;"")</f>
        <v/>
      </c>
      <c r="K983" s="10">
        <f>IF(H983="","",IFERROR(INDEX(lst_CCtoGL,MATCH(H983,lst_CCforGL,0)),""))</f>
        <v/>
      </c>
      <c r="L983" s="10">
        <f>IF($BI983="","",IF($B983="Onsite",INDEX(tbl_Onsite[PO / Reference],$BI983),IF($B983="Production",INDEX(tbl_Production[Current RMS No],$BI983),INDEX(tbl_Consulting[Qwilr Quote],$BI983)))&amp;"")</f>
        <v/>
      </c>
      <c r="M983" s="10">
        <f>IF($BI983="","",IF($B983="Onsite",INDEX(tbl_Onsite[Notes],$BI983),IF($B983="Production",INDEX(tbl_Production[Notes],$BI983),INDEX(tbl_Consulting[Notes],$BI983)))&amp;"")</f>
        <v/>
      </c>
      <c r="N983" s="11">
        <f>IF($BI983="","",IF(IF($B983="Onsite",INDEX(tbl_Onsite[Expected Revenue Ex GST],$BI983),IF($B983="Production",INDEX(tbl_Production[Expected Revenue Ex GST],$BI983),INDEX(tbl_Consulting[Expected Revenue Ex GST],$BI983)))="","",IF($B983="Onsite",INDEX(tbl_Onsite[Expected Revenue Ex GST],$BI983),IF($B983="Production",INDEX(tbl_Production[Expected Revenue Ex GST],$BI983),INDEX(tbl_Consulting[Expected Revenue Ex GST],$BI983)))))</f>
        <v/>
      </c>
      <c r="O983" s="11">
        <f>IF(AND($C983="",NOT(COUNTA($S983:$BB983)&gt;0)),"",SUM(U983,X983,AA983,AD983,AG983,AJ983,AM983,AP983,AS983,AV983,AY983,BB983))</f>
        <v/>
      </c>
      <c r="P983" s="11">
        <f>IF(O983="","",N(N983)-O983)</f>
        <v/>
      </c>
      <c r="Q983" s="10">
        <f>IF(O983="","",IF($C983="","Invoice on empty job row",IF(N983="",IF(ROUND(O983,2)=0,"No dept value","Invoiced - no dept value"),IF(ROUND(O983,2)=0,"Not invoiced - to invoice",IF(ROUND(P983,2)=0,"Agrees",IF(P983&gt;0,"Dept higher - to invoice","Xero higher - check dept"))))))</f>
        <v/>
      </c>
      <c r="R983" s="10">
        <f>IF(AND($C983="",NOT(COUNTA($S983:$BB983)&gt;0),$BI983&lt;&gt;""),"",MID(IF($BI983="","; Row ID not found on the department sheet - a row was deleted","")&amp;IF(AND($C983="",COUNTA($S983:$BB983)&gt;0),"; Invoice entered but the department row has no job number","")&amp;IF(E983="CHECK","; Job number not in the Xero job list","")&amp;IF(AND($C983&lt;&gt;"",COUNTIF($C$7:$C$1506,$C983)&gt;1),"; Job number on more than one row","")&amp;IF(AND($C983&lt;&gt;"",H983=""),"; Dept has not set a cost centre","")&amp;IF(AND($C983&lt;&gt;"",J983=""),"; Dept has not set a tax code","")&amp;IF(AND($C983&lt;&gt;"",N983=""),"; Dept has not entered an expected value","")&amp;IF((IF(OR(COUNTA(S983:U983)=0,AND(COUNTA(S983:U983)=3,ISNUMBER(U983))),0,1)+IF(OR(COUNTA(V983:X983)=0,AND(COUNTA(V983:X983)=3,ISNUMBER(X983))),0,1)+IF(OR(COUNTA(Y983:AA983)=0,AND(COUNTA(Y983:AA983)=3,ISNUMBER(AA983))),0,1)+IF(OR(COUNTA(AB983:AD983)=0,AND(COUNTA(AB983:AD983)=3,ISNUMBER(AD983))),0,1)+IF(OR(COUNTA(AE983:AG983)=0,AND(COUNTA(AE983:AG983)=3,ISNUMBER(AG983))),0,1)+IF(OR(COUNTA(AH983:AJ983)=0,AND(COUNTA(AH983:AJ983)=3,ISNUMBER(AJ983))),0,1)+IF(OR(COUNTA(AK983:AM983)=0,AND(COUNTA(AK983:AM983)=3,ISNUMBER(AM983))),0,1)+IF(OR(COUNTA(AN983:AP983)=0,AND(COUNTA(AN983:AP983)=3,ISNUMBER(AP983))),0,1)+IF(OR(COUNTA(AQ983:AS983)=0,AND(COUNTA(AQ983:AS983)=3,ISNUMBER(AS983))),0,1)+IF(OR(COUNTA(AT983:AV983)=0,AND(COUNTA(AT983:AV983)=3,ISNUMBER(AV983))),0,1)+IF(OR(COUNTA(AW983:AY983)=0,AND(COUNTA(AW983:AY983)=3,ISNUMBER(AY983))),0,1)+IF(OR(COUNTA(AZ983:BB983)=0,AND(COUNTA(AZ983:BB983)=3,ISNUMBER(BB983))),0,1))&gt;0,"; An invoice is incomplete (needs No, Date and a number in Ex GST)","")&amp;IF((IF(T983="",0,IFERROR(--(EOMONTH(T983,0)&lt;&gt;S$5),1))+IF(W983="",0,IFERROR(--(EOMONTH(W983,0)&lt;&gt;V$5),1))+IF(Z983="",0,IFERROR(--(EOMONTH(Z983,0)&lt;&gt;Y$5),1))+IF(AC983="",0,IFERROR(--(EOMONTH(AC983,0)&lt;&gt;AB$5),1))+IF(AF983="",0,IFERROR(--(EOMONTH(AF983,0)&lt;&gt;AE$5),1))+IF(AI983="",0,IFERROR(--(EOMONTH(AI983,0)&lt;&gt;AH$5),1))+IF(AL983="",0,IFERROR(--(EOMONTH(AL983,0)&lt;&gt;AK$5),1))+IF(AO983="",0,IFERROR(--(EOMONTH(AO983,0)&lt;&gt;AN$5),1))+IF(AR983="",0,IFERROR(--(EOMONTH(AR983,0)&lt;&gt;AQ$5),1))+IF(AU983="",0,IFERROR(--(EOMONTH(AU983,0)&lt;&gt;AT$5),1))+IF(AX983="",0,IFERROR(--(EOMONTH(AX983,0)&lt;&gt;AW$5),1))+IF(BA983="",0,IFERROR(--(EOMONTH(BA983,0)&lt;&gt;AZ$5),1)))&gt;0,"; An invoice date is not in the month it is typed under",""),3,500))</f>
        <v/>
      </c>
      <c r="S983" s="12" t="n"/>
      <c r="T983" s="13" t="n"/>
      <c r="U983" s="14" t="n"/>
      <c r="V983" s="12" t="n"/>
      <c r="W983" s="13" t="n"/>
      <c r="X983" s="14" t="n"/>
      <c r="Y983" s="12" t="n"/>
      <c r="Z983" s="13" t="n"/>
      <c r="AA983" s="14" t="n"/>
      <c r="AB983" s="12" t="n"/>
      <c r="AC983" s="13" t="n"/>
      <c r="AD983" s="14" t="n"/>
      <c r="AE983" s="12" t="n"/>
      <c r="AF983" s="13" t="n"/>
      <c r="AG983" s="14" t="n"/>
      <c r="AH983" s="12" t="n"/>
      <c r="AI983" s="13" t="n"/>
      <c r="AJ983" s="14" t="n"/>
      <c r="AK983" s="12" t="n"/>
      <c r="AL983" s="13" t="n"/>
      <c r="AM983" s="14" t="n"/>
      <c r="AN983" s="12" t="n"/>
      <c r="AO983" s="13" t="n"/>
      <c r="AP983" s="14" t="n"/>
      <c r="AQ983" s="12" t="n"/>
      <c r="AR983" s="13" t="n"/>
      <c r="AS983" s="14" t="n"/>
      <c r="AT983" s="12" t="n"/>
      <c r="AU983" s="13" t="n"/>
      <c r="AV983" s="14" t="n"/>
      <c r="AW983" s="12" t="n"/>
      <c r="AX983" s="13" t="n"/>
      <c r="AY983" s="14" t="n"/>
      <c r="AZ983" s="12" t="n"/>
      <c r="BA983" s="13" t="n"/>
      <c r="BB983" s="14" t="n"/>
      <c r="BC983" s="11">
        <f>IF(O983="","",IF(J983="GST 10%",ROUND(O983*set_GSTRate,2),0))</f>
        <v/>
      </c>
      <c r="BD983" s="11">
        <f>IF(O983="","",O983+BC983)</f>
        <v/>
      </c>
      <c r="BE983" s="15">
        <f>IF(O983="","",COUNTA(S983,V983,Y983,AB983,AE983,AH983,AK983,AN983,AQ983,AT983,AW983,AZ983))</f>
        <v/>
      </c>
      <c r="BF983" s="16">
        <f>IF(COUNT(T983,W983,Z983,AC983,AF983,AI983,AL983,AO983,AR983,AU983,AX983,BA983)=0,"",MAX(T983,W983,Z983,AC983,AF983,AI983,AL983,AO983,AR983,AU983,AX983,BA983))</f>
        <v/>
      </c>
      <c r="BG983" s="10">
        <f>MID(IF(S983="","",", "&amp;S983)&amp;IF(V983="","",", "&amp;V983)&amp;IF(Y983="","",", "&amp;Y983)&amp;IF(AB983="","",", "&amp;AB983)&amp;IF(AE983="","",", "&amp;AE983)&amp;IF(AH983="","",", "&amp;AH983)&amp;IF(AK983="","",", "&amp;AK983)&amp;IF(AN983="","",", "&amp;AN983)&amp;IF(AQ983="","",", "&amp;AQ983)&amp;IF(AT983="","",", "&amp;AT983)&amp;IF(AW983="","",", "&amp;AW983)&amp;IF(AZ983="","",", "&amp;AZ983),3,500)</f>
        <v/>
      </c>
      <c r="BH983" s="12" t="n"/>
      <c r="BI983" s="15">
        <f>IFERROR(MATCH($A983,IF($B983="Onsite",tbl_Onsite[Row ID],IF($B983="Production",tbl_Production[Row ID],tbl_Consulting[Row ID])),0),"")</f>
        <v/>
      </c>
    </row>
    <row r="984">
      <c r="A984" s="10" t="inlineStr">
        <is>
          <t>PRD-0478</t>
        </is>
      </c>
      <c r="B984" s="10" t="inlineStr">
        <is>
          <t>Production</t>
        </is>
      </c>
      <c r="C984" s="10">
        <f>IF($BI984="","",IF($B984="Onsite",INDEX(tbl_Onsite[Job Number],$BI984),IF($B984="Production",INDEX(tbl_Production[Job Number],$BI984),INDEX(tbl_Consulting[Job Number],$BI984)))&amp;"")</f>
        <v/>
      </c>
      <c r="D984" s="10">
        <f>IF($BI984="","",IF($B984="Onsite",INDEX(tbl_Onsite[Client],$BI984),IF($B984="Production",INDEX(tbl_Production[Client],$BI984),INDEX(tbl_Consulting[Client],$BI984)))&amp;"")</f>
        <v/>
      </c>
      <c r="E984" s="10">
        <f>IF($C984="","",IF(COUNTIF(lst_Jobs,$C984)&gt;0,"OK","CHECK"))</f>
        <v/>
      </c>
      <c r="F984" s="10">
        <f>IF($C984="","",IFERROR(INDEX(lst_JobName,MATCH($C984,lst_Jobs,0)),""))</f>
        <v/>
      </c>
      <c r="G984" s="10">
        <f>IF($BI984="","",IF($B984="Onsite",INDEX(tbl_Onsite[Job Description],$BI984),IF($B984="Production",INDEX(tbl_Production[Job Description],$BI984),INDEX(tbl_Consulting[Job Description],$BI984)))&amp;"")</f>
        <v/>
      </c>
      <c r="H984" s="10">
        <f>IF($BI984="","",IF($B984="Onsite",INDEX(tbl_Onsite[Cost Centre],$BI984),IF($B984="Production",INDEX(tbl_Production[Cost Centre],$BI984),INDEX(tbl_Consulting[Cost Centre],$BI984)))&amp;"")</f>
        <v/>
      </c>
      <c r="I984" s="10">
        <f>IF($BI984="","",IF($B984="Onsite",INDEX(tbl_Onsite[Invoice Type],$BI984),IF($B984="Production",INDEX(tbl_Production[Invoice Type],$BI984),INDEX(tbl_Consulting[Invoice Type],$BI984)))&amp;"")</f>
        <v/>
      </c>
      <c r="J984" s="10">
        <f>IF($BI984="","",IF($B984="Onsite",INDEX(tbl_Onsite[Tax Code],$BI984),IF($B984="Production",INDEX(tbl_Production[Tax Code],$BI984),INDEX(tbl_Consulting[Tax Code],$BI984)))&amp;"")</f>
        <v/>
      </c>
      <c r="K984" s="10">
        <f>IF(H984="","",IFERROR(INDEX(lst_CCtoGL,MATCH(H984,lst_CCforGL,0)),""))</f>
        <v/>
      </c>
      <c r="L984" s="10">
        <f>IF($BI984="","",IF($B984="Onsite",INDEX(tbl_Onsite[PO / Reference],$BI984),IF($B984="Production",INDEX(tbl_Production[Current RMS No],$BI984),INDEX(tbl_Consulting[Qwilr Quote],$BI984)))&amp;"")</f>
        <v/>
      </c>
      <c r="M984" s="10">
        <f>IF($BI984="","",IF($B984="Onsite",INDEX(tbl_Onsite[Notes],$BI984),IF($B984="Production",INDEX(tbl_Production[Notes],$BI984),INDEX(tbl_Consulting[Notes],$BI984)))&amp;"")</f>
        <v/>
      </c>
      <c r="N984" s="11">
        <f>IF($BI984="","",IF(IF($B984="Onsite",INDEX(tbl_Onsite[Expected Revenue Ex GST],$BI984),IF($B984="Production",INDEX(tbl_Production[Expected Revenue Ex GST],$BI984),INDEX(tbl_Consulting[Expected Revenue Ex GST],$BI984)))="","",IF($B984="Onsite",INDEX(tbl_Onsite[Expected Revenue Ex GST],$BI984),IF($B984="Production",INDEX(tbl_Production[Expected Revenue Ex GST],$BI984),INDEX(tbl_Consulting[Expected Revenue Ex GST],$BI984)))))</f>
        <v/>
      </c>
      <c r="O984" s="11">
        <f>IF(AND($C984="",NOT(COUNTA($S984:$BB984)&gt;0)),"",SUM(U984,X984,AA984,AD984,AG984,AJ984,AM984,AP984,AS984,AV984,AY984,BB984))</f>
        <v/>
      </c>
      <c r="P984" s="11">
        <f>IF(O984="","",N(N984)-O984)</f>
        <v/>
      </c>
      <c r="Q984" s="10">
        <f>IF(O984="","",IF($C984="","Invoice on empty job row",IF(N984="",IF(ROUND(O984,2)=0,"No dept value","Invoiced - no dept value"),IF(ROUND(O984,2)=0,"Not invoiced - to invoice",IF(ROUND(P984,2)=0,"Agrees",IF(P984&gt;0,"Dept higher - to invoice","Xero higher - check dept"))))))</f>
        <v/>
      </c>
      <c r="R984" s="10">
        <f>IF(AND($C984="",NOT(COUNTA($S984:$BB984)&gt;0),$BI984&lt;&gt;""),"",MID(IF($BI984="","; Row ID not found on the department sheet - a row was deleted","")&amp;IF(AND($C984="",COUNTA($S984:$BB984)&gt;0),"; Invoice entered but the department row has no job number","")&amp;IF(E984="CHECK","; Job number not in the Xero job list","")&amp;IF(AND($C984&lt;&gt;"",COUNTIF($C$7:$C$1506,$C984)&gt;1),"; Job number on more than one row","")&amp;IF(AND($C984&lt;&gt;"",H984=""),"; Dept has not set a cost centre","")&amp;IF(AND($C984&lt;&gt;"",J984=""),"; Dept has not set a tax code","")&amp;IF(AND($C984&lt;&gt;"",N984=""),"; Dept has not entered an expected value","")&amp;IF((IF(OR(COUNTA(S984:U984)=0,AND(COUNTA(S984:U984)=3,ISNUMBER(U984))),0,1)+IF(OR(COUNTA(V984:X984)=0,AND(COUNTA(V984:X984)=3,ISNUMBER(X984))),0,1)+IF(OR(COUNTA(Y984:AA984)=0,AND(COUNTA(Y984:AA984)=3,ISNUMBER(AA984))),0,1)+IF(OR(COUNTA(AB984:AD984)=0,AND(COUNTA(AB984:AD984)=3,ISNUMBER(AD984))),0,1)+IF(OR(COUNTA(AE984:AG984)=0,AND(COUNTA(AE984:AG984)=3,ISNUMBER(AG984))),0,1)+IF(OR(COUNTA(AH984:AJ984)=0,AND(COUNTA(AH984:AJ984)=3,ISNUMBER(AJ984))),0,1)+IF(OR(COUNTA(AK984:AM984)=0,AND(COUNTA(AK984:AM984)=3,ISNUMBER(AM984))),0,1)+IF(OR(COUNTA(AN984:AP984)=0,AND(COUNTA(AN984:AP984)=3,ISNUMBER(AP984))),0,1)+IF(OR(COUNTA(AQ984:AS984)=0,AND(COUNTA(AQ984:AS984)=3,ISNUMBER(AS984))),0,1)+IF(OR(COUNTA(AT984:AV984)=0,AND(COUNTA(AT984:AV984)=3,ISNUMBER(AV984))),0,1)+IF(OR(COUNTA(AW984:AY984)=0,AND(COUNTA(AW984:AY984)=3,ISNUMBER(AY984))),0,1)+IF(OR(COUNTA(AZ984:BB984)=0,AND(COUNTA(AZ984:BB984)=3,ISNUMBER(BB984))),0,1))&gt;0,"; An invoice is incomplete (needs No, Date and a number in Ex GST)","")&amp;IF((IF(T984="",0,IFERROR(--(EOMONTH(T984,0)&lt;&gt;S$5),1))+IF(W984="",0,IFERROR(--(EOMONTH(W984,0)&lt;&gt;V$5),1))+IF(Z984="",0,IFERROR(--(EOMONTH(Z984,0)&lt;&gt;Y$5),1))+IF(AC984="",0,IFERROR(--(EOMONTH(AC984,0)&lt;&gt;AB$5),1))+IF(AF984="",0,IFERROR(--(EOMONTH(AF984,0)&lt;&gt;AE$5),1))+IF(AI984="",0,IFERROR(--(EOMONTH(AI984,0)&lt;&gt;AH$5),1))+IF(AL984="",0,IFERROR(--(EOMONTH(AL984,0)&lt;&gt;AK$5),1))+IF(AO984="",0,IFERROR(--(EOMONTH(AO984,0)&lt;&gt;AN$5),1))+IF(AR984="",0,IFERROR(--(EOMONTH(AR984,0)&lt;&gt;AQ$5),1))+IF(AU984="",0,IFERROR(--(EOMONTH(AU984,0)&lt;&gt;AT$5),1))+IF(AX984="",0,IFERROR(--(EOMONTH(AX984,0)&lt;&gt;AW$5),1))+IF(BA984="",0,IFERROR(--(EOMONTH(BA984,0)&lt;&gt;AZ$5),1)))&gt;0,"; An invoice date is not in the month it is typed under",""),3,500))</f>
        <v/>
      </c>
      <c r="S984" s="12" t="n"/>
      <c r="T984" s="13" t="n"/>
      <c r="U984" s="14" t="n"/>
      <c r="V984" s="12" t="n"/>
      <c r="W984" s="13" t="n"/>
      <c r="X984" s="14" t="n"/>
      <c r="Y984" s="12" t="n"/>
      <c r="Z984" s="13" t="n"/>
      <c r="AA984" s="14" t="n"/>
      <c r="AB984" s="12" t="n"/>
      <c r="AC984" s="13" t="n"/>
      <c r="AD984" s="14" t="n"/>
      <c r="AE984" s="12" t="n"/>
      <c r="AF984" s="13" t="n"/>
      <c r="AG984" s="14" t="n"/>
      <c r="AH984" s="12" t="n"/>
      <c r="AI984" s="13" t="n"/>
      <c r="AJ984" s="14" t="n"/>
      <c r="AK984" s="12" t="n"/>
      <c r="AL984" s="13" t="n"/>
      <c r="AM984" s="14" t="n"/>
      <c r="AN984" s="12" t="n"/>
      <c r="AO984" s="13" t="n"/>
      <c r="AP984" s="14" t="n"/>
      <c r="AQ984" s="12" t="n"/>
      <c r="AR984" s="13" t="n"/>
      <c r="AS984" s="14" t="n"/>
      <c r="AT984" s="12" t="n"/>
      <c r="AU984" s="13" t="n"/>
      <c r="AV984" s="14" t="n"/>
      <c r="AW984" s="12" t="n"/>
      <c r="AX984" s="13" t="n"/>
      <c r="AY984" s="14" t="n"/>
      <c r="AZ984" s="12" t="n"/>
      <c r="BA984" s="13" t="n"/>
      <c r="BB984" s="14" t="n"/>
      <c r="BC984" s="11">
        <f>IF(O984="","",IF(J984="GST 10%",ROUND(O984*set_GSTRate,2),0))</f>
        <v/>
      </c>
      <c r="BD984" s="11">
        <f>IF(O984="","",O984+BC984)</f>
        <v/>
      </c>
      <c r="BE984" s="15">
        <f>IF(O984="","",COUNTA(S984,V984,Y984,AB984,AE984,AH984,AK984,AN984,AQ984,AT984,AW984,AZ984))</f>
        <v/>
      </c>
      <c r="BF984" s="16">
        <f>IF(COUNT(T984,W984,Z984,AC984,AF984,AI984,AL984,AO984,AR984,AU984,AX984,BA984)=0,"",MAX(T984,W984,Z984,AC984,AF984,AI984,AL984,AO984,AR984,AU984,AX984,BA984))</f>
        <v/>
      </c>
      <c r="BG984" s="10">
        <f>MID(IF(S984="","",", "&amp;S984)&amp;IF(V984="","",", "&amp;V984)&amp;IF(Y984="","",", "&amp;Y984)&amp;IF(AB984="","",", "&amp;AB984)&amp;IF(AE984="","",", "&amp;AE984)&amp;IF(AH984="","",", "&amp;AH984)&amp;IF(AK984="","",", "&amp;AK984)&amp;IF(AN984="","",", "&amp;AN984)&amp;IF(AQ984="","",", "&amp;AQ984)&amp;IF(AT984="","",", "&amp;AT984)&amp;IF(AW984="","",", "&amp;AW984)&amp;IF(AZ984="","",", "&amp;AZ984),3,500)</f>
        <v/>
      </c>
      <c r="BH984" s="12" t="n"/>
      <c r="BI984" s="15">
        <f>IFERROR(MATCH($A984,IF($B984="Onsite",tbl_Onsite[Row ID],IF($B984="Production",tbl_Production[Row ID],tbl_Consulting[Row ID])),0),"")</f>
        <v/>
      </c>
    </row>
    <row r="985">
      <c r="A985" s="10" t="inlineStr">
        <is>
          <t>PRD-0479</t>
        </is>
      </c>
      <c r="B985" s="10" t="inlineStr">
        <is>
          <t>Production</t>
        </is>
      </c>
      <c r="C985" s="10">
        <f>IF($BI985="","",IF($B985="Onsite",INDEX(tbl_Onsite[Job Number],$BI985),IF($B985="Production",INDEX(tbl_Production[Job Number],$BI985),INDEX(tbl_Consulting[Job Number],$BI985)))&amp;"")</f>
        <v/>
      </c>
      <c r="D985" s="10">
        <f>IF($BI985="","",IF($B985="Onsite",INDEX(tbl_Onsite[Client],$BI985),IF($B985="Production",INDEX(tbl_Production[Client],$BI985),INDEX(tbl_Consulting[Client],$BI985)))&amp;"")</f>
        <v/>
      </c>
      <c r="E985" s="10">
        <f>IF($C985="","",IF(COUNTIF(lst_Jobs,$C985)&gt;0,"OK","CHECK"))</f>
        <v/>
      </c>
      <c r="F985" s="10">
        <f>IF($C985="","",IFERROR(INDEX(lst_JobName,MATCH($C985,lst_Jobs,0)),""))</f>
        <v/>
      </c>
      <c r="G985" s="10">
        <f>IF($BI985="","",IF($B985="Onsite",INDEX(tbl_Onsite[Job Description],$BI985),IF($B985="Production",INDEX(tbl_Production[Job Description],$BI985),INDEX(tbl_Consulting[Job Description],$BI985)))&amp;"")</f>
        <v/>
      </c>
      <c r="H985" s="10">
        <f>IF($BI985="","",IF($B985="Onsite",INDEX(tbl_Onsite[Cost Centre],$BI985),IF($B985="Production",INDEX(tbl_Production[Cost Centre],$BI985),INDEX(tbl_Consulting[Cost Centre],$BI985)))&amp;"")</f>
        <v/>
      </c>
      <c r="I985" s="10">
        <f>IF($BI985="","",IF($B985="Onsite",INDEX(tbl_Onsite[Invoice Type],$BI985),IF($B985="Production",INDEX(tbl_Production[Invoice Type],$BI985),INDEX(tbl_Consulting[Invoice Type],$BI985)))&amp;"")</f>
        <v/>
      </c>
      <c r="J985" s="10">
        <f>IF($BI985="","",IF($B985="Onsite",INDEX(tbl_Onsite[Tax Code],$BI985),IF($B985="Production",INDEX(tbl_Production[Tax Code],$BI985),INDEX(tbl_Consulting[Tax Code],$BI985)))&amp;"")</f>
        <v/>
      </c>
      <c r="K985" s="10">
        <f>IF(H985="","",IFERROR(INDEX(lst_CCtoGL,MATCH(H985,lst_CCforGL,0)),""))</f>
        <v/>
      </c>
      <c r="L985" s="10">
        <f>IF($BI985="","",IF($B985="Onsite",INDEX(tbl_Onsite[PO / Reference],$BI985),IF($B985="Production",INDEX(tbl_Production[Current RMS No],$BI985),INDEX(tbl_Consulting[Qwilr Quote],$BI985)))&amp;"")</f>
        <v/>
      </c>
      <c r="M985" s="10">
        <f>IF($BI985="","",IF($B985="Onsite",INDEX(tbl_Onsite[Notes],$BI985),IF($B985="Production",INDEX(tbl_Production[Notes],$BI985),INDEX(tbl_Consulting[Notes],$BI985)))&amp;"")</f>
        <v/>
      </c>
      <c r="N985" s="11">
        <f>IF($BI985="","",IF(IF($B985="Onsite",INDEX(tbl_Onsite[Expected Revenue Ex GST],$BI985),IF($B985="Production",INDEX(tbl_Production[Expected Revenue Ex GST],$BI985),INDEX(tbl_Consulting[Expected Revenue Ex GST],$BI985)))="","",IF($B985="Onsite",INDEX(tbl_Onsite[Expected Revenue Ex GST],$BI985),IF($B985="Production",INDEX(tbl_Production[Expected Revenue Ex GST],$BI985),INDEX(tbl_Consulting[Expected Revenue Ex GST],$BI985)))))</f>
        <v/>
      </c>
      <c r="O985" s="11">
        <f>IF(AND($C985="",NOT(COUNTA($S985:$BB985)&gt;0)),"",SUM(U985,X985,AA985,AD985,AG985,AJ985,AM985,AP985,AS985,AV985,AY985,BB985))</f>
        <v/>
      </c>
      <c r="P985" s="11">
        <f>IF(O985="","",N(N985)-O985)</f>
        <v/>
      </c>
      <c r="Q985" s="10">
        <f>IF(O985="","",IF($C985="","Invoice on empty job row",IF(N985="",IF(ROUND(O985,2)=0,"No dept value","Invoiced - no dept value"),IF(ROUND(O985,2)=0,"Not invoiced - to invoice",IF(ROUND(P985,2)=0,"Agrees",IF(P985&gt;0,"Dept higher - to invoice","Xero higher - check dept"))))))</f>
        <v/>
      </c>
      <c r="R985" s="10">
        <f>IF(AND($C985="",NOT(COUNTA($S985:$BB985)&gt;0),$BI985&lt;&gt;""),"",MID(IF($BI985="","; Row ID not found on the department sheet - a row was deleted","")&amp;IF(AND($C985="",COUNTA($S985:$BB985)&gt;0),"; Invoice entered but the department row has no job number","")&amp;IF(E985="CHECK","; Job number not in the Xero job list","")&amp;IF(AND($C985&lt;&gt;"",COUNTIF($C$7:$C$1506,$C985)&gt;1),"; Job number on more than one row","")&amp;IF(AND($C985&lt;&gt;"",H985=""),"; Dept has not set a cost centre","")&amp;IF(AND($C985&lt;&gt;"",J985=""),"; Dept has not set a tax code","")&amp;IF(AND($C985&lt;&gt;"",N985=""),"; Dept has not entered an expected value","")&amp;IF((IF(OR(COUNTA(S985:U985)=0,AND(COUNTA(S985:U985)=3,ISNUMBER(U985))),0,1)+IF(OR(COUNTA(V985:X985)=0,AND(COUNTA(V985:X985)=3,ISNUMBER(X985))),0,1)+IF(OR(COUNTA(Y985:AA985)=0,AND(COUNTA(Y985:AA985)=3,ISNUMBER(AA985))),0,1)+IF(OR(COUNTA(AB985:AD985)=0,AND(COUNTA(AB985:AD985)=3,ISNUMBER(AD985))),0,1)+IF(OR(COUNTA(AE985:AG985)=0,AND(COUNTA(AE985:AG985)=3,ISNUMBER(AG985))),0,1)+IF(OR(COUNTA(AH985:AJ985)=0,AND(COUNTA(AH985:AJ985)=3,ISNUMBER(AJ985))),0,1)+IF(OR(COUNTA(AK985:AM985)=0,AND(COUNTA(AK985:AM985)=3,ISNUMBER(AM985))),0,1)+IF(OR(COUNTA(AN985:AP985)=0,AND(COUNTA(AN985:AP985)=3,ISNUMBER(AP985))),0,1)+IF(OR(COUNTA(AQ985:AS985)=0,AND(COUNTA(AQ985:AS985)=3,ISNUMBER(AS985))),0,1)+IF(OR(COUNTA(AT985:AV985)=0,AND(COUNTA(AT985:AV985)=3,ISNUMBER(AV985))),0,1)+IF(OR(COUNTA(AW985:AY985)=0,AND(COUNTA(AW985:AY985)=3,ISNUMBER(AY985))),0,1)+IF(OR(COUNTA(AZ985:BB985)=0,AND(COUNTA(AZ985:BB985)=3,ISNUMBER(BB985))),0,1))&gt;0,"; An invoice is incomplete (needs No, Date and a number in Ex GST)","")&amp;IF((IF(T985="",0,IFERROR(--(EOMONTH(T985,0)&lt;&gt;S$5),1))+IF(W985="",0,IFERROR(--(EOMONTH(W985,0)&lt;&gt;V$5),1))+IF(Z985="",0,IFERROR(--(EOMONTH(Z985,0)&lt;&gt;Y$5),1))+IF(AC985="",0,IFERROR(--(EOMONTH(AC985,0)&lt;&gt;AB$5),1))+IF(AF985="",0,IFERROR(--(EOMONTH(AF985,0)&lt;&gt;AE$5),1))+IF(AI985="",0,IFERROR(--(EOMONTH(AI985,0)&lt;&gt;AH$5),1))+IF(AL985="",0,IFERROR(--(EOMONTH(AL985,0)&lt;&gt;AK$5),1))+IF(AO985="",0,IFERROR(--(EOMONTH(AO985,0)&lt;&gt;AN$5),1))+IF(AR985="",0,IFERROR(--(EOMONTH(AR985,0)&lt;&gt;AQ$5),1))+IF(AU985="",0,IFERROR(--(EOMONTH(AU985,0)&lt;&gt;AT$5),1))+IF(AX985="",0,IFERROR(--(EOMONTH(AX985,0)&lt;&gt;AW$5),1))+IF(BA985="",0,IFERROR(--(EOMONTH(BA985,0)&lt;&gt;AZ$5),1)))&gt;0,"; An invoice date is not in the month it is typed under",""),3,500))</f>
        <v/>
      </c>
      <c r="S985" s="12" t="n"/>
      <c r="T985" s="13" t="n"/>
      <c r="U985" s="14" t="n"/>
      <c r="V985" s="12" t="n"/>
      <c r="W985" s="13" t="n"/>
      <c r="X985" s="14" t="n"/>
      <c r="Y985" s="12" t="n"/>
      <c r="Z985" s="13" t="n"/>
      <c r="AA985" s="14" t="n"/>
      <c r="AB985" s="12" t="n"/>
      <c r="AC985" s="13" t="n"/>
      <c r="AD985" s="14" t="n"/>
      <c r="AE985" s="12" t="n"/>
      <c r="AF985" s="13" t="n"/>
      <c r="AG985" s="14" t="n"/>
      <c r="AH985" s="12" t="n"/>
      <c r="AI985" s="13" t="n"/>
      <c r="AJ985" s="14" t="n"/>
      <c r="AK985" s="12" t="n"/>
      <c r="AL985" s="13" t="n"/>
      <c r="AM985" s="14" t="n"/>
      <c r="AN985" s="12" t="n"/>
      <c r="AO985" s="13" t="n"/>
      <c r="AP985" s="14" t="n"/>
      <c r="AQ985" s="12" t="n"/>
      <c r="AR985" s="13" t="n"/>
      <c r="AS985" s="14" t="n"/>
      <c r="AT985" s="12" t="n"/>
      <c r="AU985" s="13" t="n"/>
      <c r="AV985" s="14" t="n"/>
      <c r="AW985" s="12" t="n"/>
      <c r="AX985" s="13" t="n"/>
      <c r="AY985" s="14" t="n"/>
      <c r="AZ985" s="12" t="n"/>
      <c r="BA985" s="13" t="n"/>
      <c r="BB985" s="14" t="n"/>
      <c r="BC985" s="11">
        <f>IF(O985="","",IF(J985="GST 10%",ROUND(O985*set_GSTRate,2),0))</f>
        <v/>
      </c>
      <c r="BD985" s="11">
        <f>IF(O985="","",O985+BC985)</f>
        <v/>
      </c>
      <c r="BE985" s="15">
        <f>IF(O985="","",COUNTA(S985,V985,Y985,AB985,AE985,AH985,AK985,AN985,AQ985,AT985,AW985,AZ985))</f>
        <v/>
      </c>
      <c r="BF985" s="16">
        <f>IF(COUNT(T985,W985,Z985,AC985,AF985,AI985,AL985,AO985,AR985,AU985,AX985,BA985)=0,"",MAX(T985,W985,Z985,AC985,AF985,AI985,AL985,AO985,AR985,AU985,AX985,BA985))</f>
        <v/>
      </c>
      <c r="BG985" s="10">
        <f>MID(IF(S985="","",", "&amp;S985)&amp;IF(V985="","",", "&amp;V985)&amp;IF(Y985="","",", "&amp;Y985)&amp;IF(AB985="","",", "&amp;AB985)&amp;IF(AE985="","",", "&amp;AE985)&amp;IF(AH985="","",", "&amp;AH985)&amp;IF(AK985="","",", "&amp;AK985)&amp;IF(AN985="","",", "&amp;AN985)&amp;IF(AQ985="","",", "&amp;AQ985)&amp;IF(AT985="","",", "&amp;AT985)&amp;IF(AW985="","",", "&amp;AW985)&amp;IF(AZ985="","",", "&amp;AZ985),3,500)</f>
        <v/>
      </c>
      <c r="BH985" s="12" t="n"/>
      <c r="BI985" s="15">
        <f>IFERROR(MATCH($A985,IF($B985="Onsite",tbl_Onsite[Row ID],IF($B985="Production",tbl_Production[Row ID],tbl_Consulting[Row ID])),0),"")</f>
        <v/>
      </c>
    </row>
    <row r="986">
      <c r="A986" s="10" t="inlineStr">
        <is>
          <t>PRD-0480</t>
        </is>
      </c>
      <c r="B986" s="10" t="inlineStr">
        <is>
          <t>Production</t>
        </is>
      </c>
      <c r="C986" s="10">
        <f>IF($BI986="","",IF($B986="Onsite",INDEX(tbl_Onsite[Job Number],$BI986),IF($B986="Production",INDEX(tbl_Production[Job Number],$BI986),INDEX(tbl_Consulting[Job Number],$BI986)))&amp;"")</f>
        <v/>
      </c>
      <c r="D986" s="10">
        <f>IF($BI986="","",IF($B986="Onsite",INDEX(tbl_Onsite[Client],$BI986),IF($B986="Production",INDEX(tbl_Production[Client],$BI986),INDEX(tbl_Consulting[Client],$BI986)))&amp;"")</f>
        <v/>
      </c>
      <c r="E986" s="10">
        <f>IF($C986="","",IF(COUNTIF(lst_Jobs,$C986)&gt;0,"OK","CHECK"))</f>
        <v/>
      </c>
      <c r="F986" s="10">
        <f>IF($C986="","",IFERROR(INDEX(lst_JobName,MATCH($C986,lst_Jobs,0)),""))</f>
        <v/>
      </c>
      <c r="G986" s="10">
        <f>IF($BI986="","",IF($B986="Onsite",INDEX(tbl_Onsite[Job Description],$BI986),IF($B986="Production",INDEX(tbl_Production[Job Description],$BI986),INDEX(tbl_Consulting[Job Description],$BI986)))&amp;"")</f>
        <v/>
      </c>
      <c r="H986" s="10">
        <f>IF($BI986="","",IF($B986="Onsite",INDEX(tbl_Onsite[Cost Centre],$BI986),IF($B986="Production",INDEX(tbl_Production[Cost Centre],$BI986),INDEX(tbl_Consulting[Cost Centre],$BI986)))&amp;"")</f>
        <v/>
      </c>
      <c r="I986" s="10">
        <f>IF($BI986="","",IF($B986="Onsite",INDEX(tbl_Onsite[Invoice Type],$BI986),IF($B986="Production",INDEX(tbl_Production[Invoice Type],$BI986),INDEX(tbl_Consulting[Invoice Type],$BI986)))&amp;"")</f>
        <v/>
      </c>
      <c r="J986" s="10">
        <f>IF($BI986="","",IF($B986="Onsite",INDEX(tbl_Onsite[Tax Code],$BI986),IF($B986="Production",INDEX(tbl_Production[Tax Code],$BI986),INDEX(tbl_Consulting[Tax Code],$BI986)))&amp;"")</f>
        <v/>
      </c>
      <c r="K986" s="10">
        <f>IF(H986="","",IFERROR(INDEX(lst_CCtoGL,MATCH(H986,lst_CCforGL,0)),""))</f>
        <v/>
      </c>
      <c r="L986" s="10">
        <f>IF($BI986="","",IF($B986="Onsite",INDEX(tbl_Onsite[PO / Reference],$BI986),IF($B986="Production",INDEX(tbl_Production[Current RMS No],$BI986),INDEX(tbl_Consulting[Qwilr Quote],$BI986)))&amp;"")</f>
        <v/>
      </c>
      <c r="M986" s="10">
        <f>IF($BI986="","",IF($B986="Onsite",INDEX(tbl_Onsite[Notes],$BI986),IF($B986="Production",INDEX(tbl_Production[Notes],$BI986),INDEX(tbl_Consulting[Notes],$BI986)))&amp;"")</f>
        <v/>
      </c>
      <c r="N986" s="11">
        <f>IF($BI986="","",IF(IF($B986="Onsite",INDEX(tbl_Onsite[Expected Revenue Ex GST],$BI986),IF($B986="Production",INDEX(tbl_Production[Expected Revenue Ex GST],$BI986),INDEX(tbl_Consulting[Expected Revenue Ex GST],$BI986)))="","",IF($B986="Onsite",INDEX(tbl_Onsite[Expected Revenue Ex GST],$BI986),IF($B986="Production",INDEX(tbl_Production[Expected Revenue Ex GST],$BI986),INDEX(tbl_Consulting[Expected Revenue Ex GST],$BI986)))))</f>
        <v/>
      </c>
      <c r="O986" s="11">
        <f>IF(AND($C986="",NOT(COUNTA($S986:$BB986)&gt;0)),"",SUM(U986,X986,AA986,AD986,AG986,AJ986,AM986,AP986,AS986,AV986,AY986,BB986))</f>
        <v/>
      </c>
      <c r="P986" s="11">
        <f>IF(O986="","",N(N986)-O986)</f>
        <v/>
      </c>
      <c r="Q986" s="10">
        <f>IF(O986="","",IF($C986="","Invoice on empty job row",IF(N986="",IF(ROUND(O986,2)=0,"No dept value","Invoiced - no dept value"),IF(ROUND(O986,2)=0,"Not invoiced - to invoice",IF(ROUND(P986,2)=0,"Agrees",IF(P986&gt;0,"Dept higher - to invoice","Xero higher - check dept"))))))</f>
        <v/>
      </c>
      <c r="R986" s="10">
        <f>IF(AND($C986="",NOT(COUNTA($S986:$BB986)&gt;0),$BI986&lt;&gt;""),"",MID(IF($BI986="","; Row ID not found on the department sheet - a row was deleted","")&amp;IF(AND($C986="",COUNTA($S986:$BB986)&gt;0),"; Invoice entered but the department row has no job number","")&amp;IF(E986="CHECK","; Job number not in the Xero job list","")&amp;IF(AND($C986&lt;&gt;"",COUNTIF($C$7:$C$1506,$C986)&gt;1),"; Job number on more than one row","")&amp;IF(AND($C986&lt;&gt;"",H986=""),"; Dept has not set a cost centre","")&amp;IF(AND($C986&lt;&gt;"",J986=""),"; Dept has not set a tax code","")&amp;IF(AND($C986&lt;&gt;"",N986=""),"; Dept has not entered an expected value","")&amp;IF((IF(OR(COUNTA(S986:U986)=0,AND(COUNTA(S986:U986)=3,ISNUMBER(U986))),0,1)+IF(OR(COUNTA(V986:X986)=0,AND(COUNTA(V986:X986)=3,ISNUMBER(X986))),0,1)+IF(OR(COUNTA(Y986:AA986)=0,AND(COUNTA(Y986:AA986)=3,ISNUMBER(AA986))),0,1)+IF(OR(COUNTA(AB986:AD986)=0,AND(COUNTA(AB986:AD986)=3,ISNUMBER(AD986))),0,1)+IF(OR(COUNTA(AE986:AG986)=0,AND(COUNTA(AE986:AG986)=3,ISNUMBER(AG986))),0,1)+IF(OR(COUNTA(AH986:AJ986)=0,AND(COUNTA(AH986:AJ986)=3,ISNUMBER(AJ986))),0,1)+IF(OR(COUNTA(AK986:AM986)=0,AND(COUNTA(AK986:AM986)=3,ISNUMBER(AM986))),0,1)+IF(OR(COUNTA(AN986:AP986)=0,AND(COUNTA(AN986:AP986)=3,ISNUMBER(AP986))),0,1)+IF(OR(COUNTA(AQ986:AS986)=0,AND(COUNTA(AQ986:AS986)=3,ISNUMBER(AS986))),0,1)+IF(OR(COUNTA(AT986:AV986)=0,AND(COUNTA(AT986:AV986)=3,ISNUMBER(AV986))),0,1)+IF(OR(COUNTA(AW986:AY986)=0,AND(COUNTA(AW986:AY986)=3,ISNUMBER(AY986))),0,1)+IF(OR(COUNTA(AZ986:BB986)=0,AND(COUNTA(AZ986:BB986)=3,ISNUMBER(BB986))),0,1))&gt;0,"; An invoice is incomplete (needs No, Date and a number in Ex GST)","")&amp;IF((IF(T986="",0,IFERROR(--(EOMONTH(T986,0)&lt;&gt;S$5),1))+IF(W986="",0,IFERROR(--(EOMONTH(W986,0)&lt;&gt;V$5),1))+IF(Z986="",0,IFERROR(--(EOMONTH(Z986,0)&lt;&gt;Y$5),1))+IF(AC986="",0,IFERROR(--(EOMONTH(AC986,0)&lt;&gt;AB$5),1))+IF(AF986="",0,IFERROR(--(EOMONTH(AF986,0)&lt;&gt;AE$5),1))+IF(AI986="",0,IFERROR(--(EOMONTH(AI986,0)&lt;&gt;AH$5),1))+IF(AL986="",0,IFERROR(--(EOMONTH(AL986,0)&lt;&gt;AK$5),1))+IF(AO986="",0,IFERROR(--(EOMONTH(AO986,0)&lt;&gt;AN$5),1))+IF(AR986="",0,IFERROR(--(EOMONTH(AR986,0)&lt;&gt;AQ$5),1))+IF(AU986="",0,IFERROR(--(EOMONTH(AU986,0)&lt;&gt;AT$5),1))+IF(AX986="",0,IFERROR(--(EOMONTH(AX986,0)&lt;&gt;AW$5),1))+IF(BA986="",0,IFERROR(--(EOMONTH(BA986,0)&lt;&gt;AZ$5),1)))&gt;0,"; An invoice date is not in the month it is typed under",""),3,500))</f>
        <v/>
      </c>
      <c r="S986" s="12" t="n"/>
      <c r="T986" s="13" t="n"/>
      <c r="U986" s="14" t="n"/>
      <c r="V986" s="12" t="n"/>
      <c r="W986" s="13" t="n"/>
      <c r="X986" s="14" t="n"/>
      <c r="Y986" s="12" t="n"/>
      <c r="Z986" s="13" t="n"/>
      <c r="AA986" s="14" t="n"/>
      <c r="AB986" s="12" t="n"/>
      <c r="AC986" s="13" t="n"/>
      <c r="AD986" s="14" t="n"/>
      <c r="AE986" s="12" t="n"/>
      <c r="AF986" s="13" t="n"/>
      <c r="AG986" s="14" t="n"/>
      <c r="AH986" s="12" t="n"/>
      <c r="AI986" s="13" t="n"/>
      <c r="AJ986" s="14" t="n"/>
      <c r="AK986" s="12" t="n"/>
      <c r="AL986" s="13" t="n"/>
      <c r="AM986" s="14" t="n"/>
      <c r="AN986" s="12" t="n"/>
      <c r="AO986" s="13" t="n"/>
      <c r="AP986" s="14" t="n"/>
      <c r="AQ986" s="12" t="n"/>
      <c r="AR986" s="13" t="n"/>
      <c r="AS986" s="14" t="n"/>
      <c r="AT986" s="12" t="n"/>
      <c r="AU986" s="13" t="n"/>
      <c r="AV986" s="14" t="n"/>
      <c r="AW986" s="12" t="n"/>
      <c r="AX986" s="13" t="n"/>
      <c r="AY986" s="14" t="n"/>
      <c r="AZ986" s="12" t="n"/>
      <c r="BA986" s="13" t="n"/>
      <c r="BB986" s="14" t="n"/>
      <c r="BC986" s="11">
        <f>IF(O986="","",IF(J986="GST 10%",ROUND(O986*set_GSTRate,2),0))</f>
        <v/>
      </c>
      <c r="BD986" s="11">
        <f>IF(O986="","",O986+BC986)</f>
        <v/>
      </c>
      <c r="BE986" s="15">
        <f>IF(O986="","",COUNTA(S986,V986,Y986,AB986,AE986,AH986,AK986,AN986,AQ986,AT986,AW986,AZ986))</f>
        <v/>
      </c>
      <c r="BF986" s="16">
        <f>IF(COUNT(T986,W986,Z986,AC986,AF986,AI986,AL986,AO986,AR986,AU986,AX986,BA986)=0,"",MAX(T986,W986,Z986,AC986,AF986,AI986,AL986,AO986,AR986,AU986,AX986,BA986))</f>
        <v/>
      </c>
      <c r="BG986" s="10">
        <f>MID(IF(S986="","",", "&amp;S986)&amp;IF(V986="","",", "&amp;V986)&amp;IF(Y986="","",", "&amp;Y986)&amp;IF(AB986="","",", "&amp;AB986)&amp;IF(AE986="","",", "&amp;AE986)&amp;IF(AH986="","",", "&amp;AH986)&amp;IF(AK986="","",", "&amp;AK986)&amp;IF(AN986="","",", "&amp;AN986)&amp;IF(AQ986="","",", "&amp;AQ986)&amp;IF(AT986="","",", "&amp;AT986)&amp;IF(AW986="","",", "&amp;AW986)&amp;IF(AZ986="","",", "&amp;AZ986),3,500)</f>
        <v/>
      </c>
      <c r="BH986" s="12" t="n"/>
      <c r="BI986" s="15">
        <f>IFERROR(MATCH($A986,IF($B986="Onsite",tbl_Onsite[Row ID],IF($B986="Production",tbl_Production[Row ID],tbl_Consulting[Row ID])),0),"")</f>
        <v/>
      </c>
    </row>
    <row r="987">
      <c r="A987" s="10" t="inlineStr">
        <is>
          <t>PRD-0481</t>
        </is>
      </c>
      <c r="B987" s="10" t="inlineStr">
        <is>
          <t>Production</t>
        </is>
      </c>
      <c r="C987" s="10">
        <f>IF($BI987="","",IF($B987="Onsite",INDEX(tbl_Onsite[Job Number],$BI987),IF($B987="Production",INDEX(tbl_Production[Job Number],$BI987),INDEX(tbl_Consulting[Job Number],$BI987)))&amp;"")</f>
        <v/>
      </c>
      <c r="D987" s="10">
        <f>IF($BI987="","",IF($B987="Onsite",INDEX(tbl_Onsite[Client],$BI987),IF($B987="Production",INDEX(tbl_Production[Client],$BI987),INDEX(tbl_Consulting[Client],$BI987)))&amp;"")</f>
        <v/>
      </c>
      <c r="E987" s="10">
        <f>IF($C987="","",IF(COUNTIF(lst_Jobs,$C987)&gt;0,"OK","CHECK"))</f>
        <v/>
      </c>
      <c r="F987" s="10">
        <f>IF($C987="","",IFERROR(INDEX(lst_JobName,MATCH($C987,lst_Jobs,0)),""))</f>
        <v/>
      </c>
      <c r="G987" s="10">
        <f>IF($BI987="","",IF($B987="Onsite",INDEX(tbl_Onsite[Job Description],$BI987),IF($B987="Production",INDEX(tbl_Production[Job Description],$BI987),INDEX(tbl_Consulting[Job Description],$BI987)))&amp;"")</f>
        <v/>
      </c>
      <c r="H987" s="10">
        <f>IF($BI987="","",IF($B987="Onsite",INDEX(tbl_Onsite[Cost Centre],$BI987),IF($B987="Production",INDEX(tbl_Production[Cost Centre],$BI987),INDEX(tbl_Consulting[Cost Centre],$BI987)))&amp;"")</f>
        <v/>
      </c>
      <c r="I987" s="10">
        <f>IF($BI987="","",IF($B987="Onsite",INDEX(tbl_Onsite[Invoice Type],$BI987),IF($B987="Production",INDEX(tbl_Production[Invoice Type],$BI987),INDEX(tbl_Consulting[Invoice Type],$BI987)))&amp;"")</f>
        <v/>
      </c>
      <c r="J987" s="10">
        <f>IF($BI987="","",IF($B987="Onsite",INDEX(tbl_Onsite[Tax Code],$BI987),IF($B987="Production",INDEX(tbl_Production[Tax Code],$BI987),INDEX(tbl_Consulting[Tax Code],$BI987)))&amp;"")</f>
        <v/>
      </c>
      <c r="K987" s="10">
        <f>IF(H987="","",IFERROR(INDEX(lst_CCtoGL,MATCH(H987,lst_CCforGL,0)),""))</f>
        <v/>
      </c>
      <c r="L987" s="10">
        <f>IF($BI987="","",IF($B987="Onsite",INDEX(tbl_Onsite[PO / Reference],$BI987),IF($B987="Production",INDEX(tbl_Production[Current RMS No],$BI987),INDEX(tbl_Consulting[Qwilr Quote],$BI987)))&amp;"")</f>
        <v/>
      </c>
      <c r="M987" s="10">
        <f>IF($BI987="","",IF($B987="Onsite",INDEX(tbl_Onsite[Notes],$BI987),IF($B987="Production",INDEX(tbl_Production[Notes],$BI987),INDEX(tbl_Consulting[Notes],$BI987)))&amp;"")</f>
        <v/>
      </c>
      <c r="N987" s="11">
        <f>IF($BI987="","",IF(IF($B987="Onsite",INDEX(tbl_Onsite[Expected Revenue Ex GST],$BI987),IF($B987="Production",INDEX(tbl_Production[Expected Revenue Ex GST],$BI987),INDEX(tbl_Consulting[Expected Revenue Ex GST],$BI987)))="","",IF($B987="Onsite",INDEX(tbl_Onsite[Expected Revenue Ex GST],$BI987),IF($B987="Production",INDEX(tbl_Production[Expected Revenue Ex GST],$BI987),INDEX(tbl_Consulting[Expected Revenue Ex GST],$BI987)))))</f>
        <v/>
      </c>
      <c r="O987" s="11">
        <f>IF(AND($C987="",NOT(COUNTA($S987:$BB987)&gt;0)),"",SUM(U987,X987,AA987,AD987,AG987,AJ987,AM987,AP987,AS987,AV987,AY987,BB987))</f>
        <v/>
      </c>
      <c r="P987" s="11">
        <f>IF(O987="","",N(N987)-O987)</f>
        <v/>
      </c>
      <c r="Q987" s="10">
        <f>IF(O987="","",IF($C987="","Invoice on empty job row",IF(N987="",IF(ROUND(O987,2)=0,"No dept value","Invoiced - no dept value"),IF(ROUND(O987,2)=0,"Not invoiced - to invoice",IF(ROUND(P987,2)=0,"Agrees",IF(P987&gt;0,"Dept higher - to invoice","Xero higher - check dept"))))))</f>
        <v/>
      </c>
      <c r="R987" s="10">
        <f>IF(AND($C987="",NOT(COUNTA($S987:$BB987)&gt;0),$BI987&lt;&gt;""),"",MID(IF($BI987="","; Row ID not found on the department sheet - a row was deleted","")&amp;IF(AND($C987="",COUNTA($S987:$BB987)&gt;0),"; Invoice entered but the department row has no job number","")&amp;IF(E987="CHECK","; Job number not in the Xero job list","")&amp;IF(AND($C987&lt;&gt;"",COUNTIF($C$7:$C$1506,$C987)&gt;1),"; Job number on more than one row","")&amp;IF(AND($C987&lt;&gt;"",H987=""),"; Dept has not set a cost centre","")&amp;IF(AND($C987&lt;&gt;"",J987=""),"; Dept has not set a tax code","")&amp;IF(AND($C987&lt;&gt;"",N987=""),"; Dept has not entered an expected value","")&amp;IF((IF(OR(COUNTA(S987:U987)=0,AND(COUNTA(S987:U987)=3,ISNUMBER(U987))),0,1)+IF(OR(COUNTA(V987:X987)=0,AND(COUNTA(V987:X987)=3,ISNUMBER(X987))),0,1)+IF(OR(COUNTA(Y987:AA987)=0,AND(COUNTA(Y987:AA987)=3,ISNUMBER(AA987))),0,1)+IF(OR(COUNTA(AB987:AD987)=0,AND(COUNTA(AB987:AD987)=3,ISNUMBER(AD987))),0,1)+IF(OR(COUNTA(AE987:AG987)=0,AND(COUNTA(AE987:AG987)=3,ISNUMBER(AG987))),0,1)+IF(OR(COUNTA(AH987:AJ987)=0,AND(COUNTA(AH987:AJ987)=3,ISNUMBER(AJ987))),0,1)+IF(OR(COUNTA(AK987:AM987)=0,AND(COUNTA(AK987:AM987)=3,ISNUMBER(AM987))),0,1)+IF(OR(COUNTA(AN987:AP987)=0,AND(COUNTA(AN987:AP987)=3,ISNUMBER(AP987))),0,1)+IF(OR(COUNTA(AQ987:AS987)=0,AND(COUNTA(AQ987:AS987)=3,ISNUMBER(AS987))),0,1)+IF(OR(COUNTA(AT987:AV987)=0,AND(COUNTA(AT987:AV987)=3,ISNUMBER(AV987))),0,1)+IF(OR(COUNTA(AW987:AY987)=0,AND(COUNTA(AW987:AY987)=3,ISNUMBER(AY987))),0,1)+IF(OR(COUNTA(AZ987:BB987)=0,AND(COUNTA(AZ987:BB987)=3,ISNUMBER(BB987))),0,1))&gt;0,"; An invoice is incomplete (needs No, Date and a number in Ex GST)","")&amp;IF((IF(T987="",0,IFERROR(--(EOMONTH(T987,0)&lt;&gt;S$5),1))+IF(W987="",0,IFERROR(--(EOMONTH(W987,0)&lt;&gt;V$5),1))+IF(Z987="",0,IFERROR(--(EOMONTH(Z987,0)&lt;&gt;Y$5),1))+IF(AC987="",0,IFERROR(--(EOMONTH(AC987,0)&lt;&gt;AB$5),1))+IF(AF987="",0,IFERROR(--(EOMONTH(AF987,0)&lt;&gt;AE$5),1))+IF(AI987="",0,IFERROR(--(EOMONTH(AI987,0)&lt;&gt;AH$5),1))+IF(AL987="",0,IFERROR(--(EOMONTH(AL987,0)&lt;&gt;AK$5),1))+IF(AO987="",0,IFERROR(--(EOMONTH(AO987,0)&lt;&gt;AN$5),1))+IF(AR987="",0,IFERROR(--(EOMONTH(AR987,0)&lt;&gt;AQ$5),1))+IF(AU987="",0,IFERROR(--(EOMONTH(AU987,0)&lt;&gt;AT$5),1))+IF(AX987="",0,IFERROR(--(EOMONTH(AX987,0)&lt;&gt;AW$5),1))+IF(BA987="",0,IFERROR(--(EOMONTH(BA987,0)&lt;&gt;AZ$5),1)))&gt;0,"; An invoice date is not in the month it is typed under",""),3,500))</f>
        <v/>
      </c>
      <c r="S987" s="12" t="n"/>
      <c r="T987" s="13" t="n"/>
      <c r="U987" s="14" t="n"/>
      <c r="V987" s="12" t="n"/>
      <c r="W987" s="13" t="n"/>
      <c r="X987" s="14" t="n"/>
      <c r="Y987" s="12" t="n"/>
      <c r="Z987" s="13" t="n"/>
      <c r="AA987" s="14" t="n"/>
      <c r="AB987" s="12" t="n"/>
      <c r="AC987" s="13" t="n"/>
      <c r="AD987" s="14" t="n"/>
      <c r="AE987" s="12" t="n"/>
      <c r="AF987" s="13" t="n"/>
      <c r="AG987" s="14" t="n"/>
      <c r="AH987" s="12" t="n"/>
      <c r="AI987" s="13" t="n"/>
      <c r="AJ987" s="14" t="n"/>
      <c r="AK987" s="12" t="n"/>
      <c r="AL987" s="13" t="n"/>
      <c r="AM987" s="14" t="n"/>
      <c r="AN987" s="12" t="n"/>
      <c r="AO987" s="13" t="n"/>
      <c r="AP987" s="14" t="n"/>
      <c r="AQ987" s="12" t="n"/>
      <c r="AR987" s="13" t="n"/>
      <c r="AS987" s="14" t="n"/>
      <c r="AT987" s="12" t="n"/>
      <c r="AU987" s="13" t="n"/>
      <c r="AV987" s="14" t="n"/>
      <c r="AW987" s="12" t="n"/>
      <c r="AX987" s="13" t="n"/>
      <c r="AY987" s="14" t="n"/>
      <c r="AZ987" s="12" t="n"/>
      <c r="BA987" s="13" t="n"/>
      <c r="BB987" s="14" t="n"/>
      <c r="BC987" s="11">
        <f>IF(O987="","",IF(J987="GST 10%",ROUND(O987*set_GSTRate,2),0))</f>
        <v/>
      </c>
      <c r="BD987" s="11">
        <f>IF(O987="","",O987+BC987)</f>
        <v/>
      </c>
      <c r="BE987" s="15">
        <f>IF(O987="","",COUNTA(S987,V987,Y987,AB987,AE987,AH987,AK987,AN987,AQ987,AT987,AW987,AZ987))</f>
        <v/>
      </c>
      <c r="BF987" s="16">
        <f>IF(COUNT(T987,W987,Z987,AC987,AF987,AI987,AL987,AO987,AR987,AU987,AX987,BA987)=0,"",MAX(T987,W987,Z987,AC987,AF987,AI987,AL987,AO987,AR987,AU987,AX987,BA987))</f>
        <v/>
      </c>
      <c r="BG987" s="10">
        <f>MID(IF(S987="","",", "&amp;S987)&amp;IF(V987="","",", "&amp;V987)&amp;IF(Y987="","",", "&amp;Y987)&amp;IF(AB987="","",", "&amp;AB987)&amp;IF(AE987="","",", "&amp;AE987)&amp;IF(AH987="","",", "&amp;AH987)&amp;IF(AK987="","",", "&amp;AK987)&amp;IF(AN987="","",", "&amp;AN987)&amp;IF(AQ987="","",", "&amp;AQ987)&amp;IF(AT987="","",", "&amp;AT987)&amp;IF(AW987="","",", "&amp;AW987)&amp;IF(AZ987="","",", "&amp;AZ987),3,500)</f>
        <v/>
      </c>
      <c r="BH987" s="12" t="n"/>
      <c r="BI987" s="15">
        <f>IFERROR(MATCH($A987,IF($B987="Onsite",tbl_Onsite[Row ID],IF($B987="Production",tbl_Production[Row ID],tbl_Consulting[Row ID])),0),"")</f>
        <v/>
      </c>
    </row>
    <row r="988">
      <c r="A988" s="10" t="inlineStr">
        <is>
          <t>PRD-0482</t>
        </is>
      </c>
      <c r="B988" s="10" t="inlineStr">
        <is>
          <t>Production</t>
        </is>
      </c>
      <c r="C988" s="10">
        <f>IF($BI988="","",IF($B988="Onsite",INDEX(tbl_Onsite[Job Number],$BI988),IF($B988="Production",INDEX(tbl_Production[Job Number],$BI988),INDEX(tbl_Consulting[Job Number],$BI988)))&amp;"")</f>
        <v/>
      </c>
      <c r="D988" s="10">
        <f>IF($BI988="","",IF($B988="Onsite",INDEX(tbl_Onsite[Client],$BI988),IF($B988="Production",INDEX(tbl_Production[Client],$BI988),INDEX(tbl_Consulting[Client],$BI988)))&amp;"")</f>
        <v/>
      </c>
      <c r="E988" s="10">
        <f>IF($C988="","",IF(COUNTIF(lst_Jobs,$C988)&gt;0,"OK","CHECK"))</f>
        <v/>
      </c>
      <c r="F988" s="10">
        <f>IF($C988="","",IFERROR(INDEX(lst_JobName,MATCH($C988,lst_Jobs,0)),""))</f>
        <v/>
      </c>
      <c r="G988" s="10">
        <f>IF($BI988="","",IF($B988="Onsite",INDEX(tbl_Onsite[Job Description],$BI988),IF($B988="Production",INDEX(tbl_Production[Job Description],$BI988),INDEX(tbl_Consulting[Job Description],$BI988)))&amp;"")</f>
        <v/>
      </c>
      <c r="H988" s="10">
        <f>IF($BI988="","",IF($B988="Onsite",INDEX(tbl_Onsite[Cost Centre],$BI988),IF($B988="Production",INDEX(tbl_Production[Cost Centre],$BI988),INDEX(tbl_Consulting[Cost Centre],$BI988)))&amp;"")</f>
        <v/>
      </c>
      <c r="I988" s="10">
        <f>IF($BI988="","",IF($B988="Onsite",INDEX(tbl_Onsite[Invoice Type],$BI988),IF($B988="Production",INDEX(tbl_Production[Invoice Type],$BI988),INDEX(tbl_Consulting[Invoice Type],$BI988)))&amp;"")</f>
        <v/>
      </c>
      <c r="J988" s="10">
        <f>IF($BI988="","",IF($B988="Onsite",INDEX(tbl_Onsite[Tax Code],$BI988),IF($B988="Production",INDEX(tbl_Production[Tax Code],$BI988),INDEX(tbl_Consulting[Tax Code],$BI988)))&amp;"")</f>
        <v/>
      </c>
      <c r="K988" s="10">
        <f>IF(H988="","",IFERROR(INDEX(lst_CCtoGL,MATCH(H988,lst_CCforGL,0)),""))</f>
        <v/>
      </c>
      <c r="L988" s="10">
        <f>IF($BI988="","",IF($B988="Onsite",INDEX(tbl_Onsite[PO / Reference],$BI988),IF($B988="Production",INDEX(tbl_Production[Current RMS No],$BI988),INDEX(tbl_Consulting[Qwilr Quote],$BI988)))&amp;"")</f>
        <v/>
      </c>
      <c r="M988" s="10">
        <f>IF($BI988="","",IF($B988="Onsite",INDEX(tbl_Onsite[Notes],$BI988),IF($B988="Production",INDEX(tbl_Production[Notes],$BI988),INDEX(tbl_Consulting[Notes],$BI988)))&amp;"")</f>
        <v/>
      </c>
      <c r="N988" s="11">
        <f>IF($BI988="","",IF(IF($B988="Onsite",INDEX(tbl_Onsite[Expected Revenue Ex GST],$BI988),IF($B988="Production",INDEX(tbl_Production[Expected Revenue Ex GST],$BI988),INDEX(tbl_Consulting[Expected Revenue Ex GST],$BI988)))="","",IF($B988="Onsite",INDEX(tbl_Onsite[Expected Revenue Ex GST],$BI988),IF($B988="Production",INDEX(tbl_Production[Expected Revenue Ex GST],$BI988),INDEX(tbl_Consulting[Expected Revenue Ex GST],$BI988)))))</f>
        <v/>
      </c>
      <c r="O988" s="11">
        <f>IF(AND($C988="",NOT(COUNTA($S988:$BB988)&gt;0)),"",SUM(U988,X988,AA988,AD988,AG988,AJ988,AM988,AP988,AS988,AV988,AY988,BB988))</f>
        <v/>
      </c>
      <c r="P988" s="11">
        <f>IF(O988="","",N(N988)-O988)</f>
        <v/>
      </c>
      <c r="Q988" s="10">
        <f>IF(O988="","",IF($C988="","Invoice on empty job row",IF(N988="",IF(ROUND(O988,2)=0,"No dept value","Invoiced - no dept value"),IF(ROUND(O988,2)=0,"Not invoiced - to invoice",IF(ROUND(P988,2)=0,"Agrees",IF(P988&gt;0,"Dept higher - to invoice","Xero higher - check dept"))))))</f>
        <v/>
      </c>
      <c r="R988" s="10">
        <f>IF(AND($C988="",NOT(COUNTA($S988:$BB988)&gt;0),$BI988&lt;&gt;""),"",MID(IF($BI988="","; Row ID not found on the department sheet - a row was deleted","")&amp;IF(AND($C988="",COUNTA($S988:$BB988)&gt;0),"; Invoice entered but the department row has no job number","")&amp;IF(E988="CHECK","; Job number not in the Xero job list","")&amp;IF(AND($C988&lt;&gt;"",COUNTIF($C$7:$C$1506,$C988)&gt;1),"; Job number on more than one row","")&amp;IF(AND($C988&lt;&gt;"",H988=""),"; Dept has not set a cost centre","")&amp;IF(AND($C988&lt;&gt;"",J988=""),"; Dept has not set a tax code","")&amp;IF(AND($C988&lt;&gt;"",N988=""),"; Dept has not entered an expected value","")&amp;IF((IF(OR(COUNTA(S988:U988)=0,AND(COUNTA(S988:U988)=3,ISNUMBER(U988))),0,1)+IF(OR(COUNTA(V988:X988)=0,AND(COUNTA(V988:X988)=3,ISNUMBER(X988))),0,1)+IF(OR(COUNTA(Y988:AA988)=0,AND(COUNTA(Y988:AA988)=3,ISNUMBER(AA988))),0,1)+IF(OR(COUNTA(AB988:AD988)=0,AND(COUNTA(AB988:AD988)=3,ISNUMBER(AD988))),0,1)+IF(OR(COUNTA(AE988:AG988)=0,AND(COUNTA(AE988:AG988)=3,ISNUMBER(AG988))),0,1)+IF(OR(COUNTA(AH988:AJ988)=0,AND(COUNTA(AH988:AJ988)=3,ISNUMBER(AJ988))),0,1)+IF(OR(COUNTA(AK988:AM988)=0,AND(COUNTA(AK988:AM988)=3,ISNUMBER(AM988))),0,1)+IF(OR(COUNTA(AN988:AP988)=0,AND(COUNTA(AN988:AP988)=3,ISNUMBER(AP988))),0,1)+IF(OR(COUNTA(AQ988:AS988)=0,AND(COUNTA(AQ988:AS988)=3,ISNUMBER(AS988))),0,1)+IF(OR(COUNTA(AT988:AV988)=0,AND(COUNTA(AT988:AV988)=3,ISNUMBER(AV988))),0,1)+IF(OR(COUNTA(AW988:AY988)=0,AND(COUNTA(AW988:AY988)=3,ISNUMBER(AY988))),0,1)+IF(OR(COUNTA(AZ988:BB988)=0,AND(COUNTA(AZ988:BB988)=3,ISNUMBER(BB988))),0,1))&gt;0,"; An invoice is incomplete (needs No, Date and a number in Ex GST)","")&amp;IF((IF(T988="",0,IFERROR(--(EOMONTH(T988,0)&lt;&gt;S$5),1))+IF(W988="",0,IFERROR(--(EOMONTH(W988,0)&lt;&gt;V$5),1))+IF(Z988="",0,IFERROR(--(EOMONTH(Z988,0)&lt;&gt;Y$5),1))+IF(AC988="",0,IFERROR(--(EOMONTH(AC988,0)&lt;&gt;AB$5),1))+IF(AF988="",0,IFERROR(--(EOMONTH(AF988,0)&lt;&gt;AE$5),1))+IF(AI988="",0,IFERROR(--(EOMONTH(AI988,0)&lt;&gt;AH$5),1))+IF(AL988="",0,IFERROR(--(EOMONTH(AL988,0)&lt;&gt;AK$5),1))+IF(AO988="",0,IFERROR(--(EOMONTH(AO988,0)&lt;&gt;AN$5),1))+IF(AR988="",0,IFERROR(--(EOMONTH(AR988,0)&lt;&gt;AQ$5),1))+IF(AU988="",0,IFERROR(--(EOMONTH(AU988,0)&lt;&gt;AT$5),1))+IF(AX988="",0,IFERROR(--(EOMONTH(AX988,0)&lt;&gt;AW$5),1))+IF(BA988="",0,IFERROR(--(EOMONTH(BA988,0)&lt;&gt;AZ$5),1)))&gt;0,"; An invoice date is not in the month it is typed under",""),3,500))</f>
        <v/>
      </c>
      <c r="S988" s="12" t="n"/>
      <c r="T988" s="13" t="n"/>
      <c r="U988" s="14" t="n"/>
      <c r="V988" s="12" t="n"/>
      <c r="W988" s="13" t="n"/>
      <c r="X988" s="14" t="n"/>
      <c r="Y988" s="12" t="n"/>
      <c r="Z988" s="13" t="n"/>
      <c r="AA988" s="14" t="n"/>
      <c r="AB988" s="12" t="n"/>
      <c r="AC988" s="13" t="n"/>
      <c r="AD988" s="14" t="n"/>
      <c r="AE988" s="12" t="n"/>
      <c r="AF988" s="13" t="n"/>
      <c r="AG988" s="14" t="n"/>
      <c r="AH988" s="12" t="n"/>
      <c r="AI988" s="13" t="n"/>
      <c r="AJ988" s="14" t="n"/>
      <c r="AK988" s="12" t="n"/>
      <c r="AL988" s="13" t="n"/>
      <c r="AM988" s="14" t="n"/>
      <c r="AN988" s="12" t="n"/>
      <c r="AO988" s="13" t="n"/>
      <c r="AP988" s="14" t="n"/>
      <c r="AQ988" s="12" t="n"/>
      <c r="AR988" s="13" t="n"/>
      <c r="AS988" s="14" t="n"/>
      <c r="AT988" s="12" t="n"/>
      <c r="AU988" s="13" t="n"/>
      <c r="AV988" s="14" t="n"/>
      <c r="AW988" s="12" t="n"/>
      <c r="AX988" s="13" t="n"/>
      <c r="AY988" s="14" t="n"/>
      <c r="AZ988" s="12" t="n"/>
      <c r="BA988" s="13" t="n"/>
      <c r="BB988" s="14" t="n"/>
      <c r="BC988" s="11">
        <f>IF(O988="","",IF(J988="GST 10%",ROUND(O988*set_GSTRate,2),0))</f>
        <v/>
      </c>
      <c r="BD988" s="11">
        <f>IF(O988="","",O988+BC988)</f>
        <v/>
      </c>
      <c r="BE988" s="15">
        <f>IF(O988="","",COUNTA(S988,V988,Y988,AB988,AE988,AH988,AK988,AN988,AQ988,AT988,AW988,AZ988))</f>
        <v/>
      </c>
      <c r="BF988" s="16">
        <f>IF(COUNT(T988,W988,Z988,AC988,AF988,AI988,AL988,AO988,AR988,AU988,AX988,BA988)=0,"",MAX(T988,W988,Z988,AC988,AF988,AI988,AL988,AO988,AR988,AU988,AX988,BA988))</f>
        <v/>
      </c>
      <c r="BG988" s="10">
        <f>MID(IF(S988="","",", "&amp;S988)&amp;IF(V988="","",", "&amp;V988)&amp;IF(Y988="","",", "&amp;Y988)&amp;IF(AB988="","",", "&amp;AB988)&amp;IF(AE988="","",", "&amp;AE988)&amp;IF(AH988="","",", "&amp;AH988)&amp;IF(AK988="","",", "&amp;AK988)&amp;IF(AN988="","",", "&amp;AN988)&amp;IF(AQ988="","",", "&amp;AQ988)&amp;IF(AT988="","",", "&amp;AT988)&amp;IF(AW988="","",", "&amp;AW988)&amp;IF(AZ988="","",", "&amp;AZ988),3,500)</f>
        <v/>
      </c>
      <c r="BH988" s="12" t="n"/>
      <c r="BI988" s="15">
        <f>IFERROR(MATCH($A988,IF($B988="Onsite",tbl_Onsite[Row ID],IF($B988="Production",tbl_Production[Row ID],tbl_Consulting[Row ID])),0),"")</f>
        <v/>
      </c>
    </row>
    <row r="989">
      <c r="A989" s="10" t="inlineStr">
        <is>
          <t>PRD-0483</t>
        </is>
      </c>
      <c r="B989" s="10" t="inlineStr">
        <is>
          <t>Production</t>
        </is>
      </c>
      <c r="C989" s="10">
        <f>IF($BI989="","",IF($B989="Onsite",INDEX(tbl_Onsite[Job Number],$BI989),IF($B989="Production",INDEX(tbl_Production[Job Number],$BI989),INDEX(tbl_Consulting[Job Number],$BI989)))&amp;"")</f>
        <v/>
      </c>
      <c r="D989" s="10">
        <f>IF($BI989="","",IF($B989="Onsite",INDEX(tbl_Onsite[Client],$BI989),IF($B989="Production",INDEX(tbl_Production[Client],$BI989),INDEX(tbl_Consulting[Client],$BI989)))&amp;"")</f>
        <v/>
      </c>
      <c r="E989" s="10">
        <f>IF($C989="","",IF(COUNTIF(lst_Jobs,$C989)&gt;0,"OK","CHECK"))</f>
        <v/>
      </c>
      <c r="F989" s="10">
        <f>IF($C989="","",IFERROR(INDEX(lst_JobName,MATCH($C989,lst_Jobs,0)),""))</f>
        <v/>
      </c>
      <c r="G989" s="10">
        <f>IF($BI989="","",IF($B989="Onsite",INDEX(tbl_Onsite[Job Description],$BI989),IF($B989="Production",INDEX(tbl_Production[Job Description],$BI989),INDEX(tbl_Consulting[Job Description],$BI989)))&amp;"")</f>
        <v/>
      </c>
      <c r="H989" s="10">
        <f>IF($BI989="","",IF($B989="Onsite",INDEX(tbl_Onsite[Cost Centre],$BI989),IF($B989="Production",INDEX(tbl_Production[Cost Centre],$BI989),INDEX(tbl_Consulting[Cost Centre],$BI989)))&amp;"")</f>
        <v/>
      </c>
      <c r="I989" s="10">
        <f>IF($BI989="","",IF($B989="Onsite",INDEX(tbl_Onsite[Invoice Type],$BI989),IF($B989="Production",INDEX(tbl_Production[Invoice Type],$BI989),INDEX(tbl_Consulting[Invoice Type],$BI989)))&amp;"")</f>
        <v/>
      </c>
      <c r="J989" s="10">
        <f>IF($BI989="","",IF($B989="Onsite",INDEX(tbl_Onsite[Tax Code],$BI989),IF($B989="Production",INDEX(tbl_Production[Tax Code],$BI989),INDEX(tbl_Consulting[Tax Code],$BI989)))&amp;"")</f>
        <v/>
      </c>
      <c r="K989" s="10">
        <f>IF(H989="","",IFERROR(INDEX(lst_CCtoGL,MATCH(H989,lst_CCforGL,0)),""))</f>
        <v/>
      </c>
      <c r="L989" s="10">
        <f>IF($BI989="","",IF($B989="Onsite",INDEX(tbl_Onsite[PO / Reference],$BI989),IF($B989="Production",INDEX(tbl_Production[Current RMS No],$BI989),INDEX(tbl_Consulting[Qwilr Quote],$BI989)))&amp;"")</f>
        <v/>
      </c>
      <c r="M989" s="10">
        <f>IF($BI989="","",IF($B989="Onsite",INDEX(tbl_Onsite[Notes],$BI989),IF($B989="Production",INDEX(tbl_Production[Notes],$BI989),INDEX(tbl_Consulting[Notes],$BI989)))&amp;"")</f>
        <v/>
      </c>
      <c r="N989" s="11">
        <f>IF($BI989="","",IF(IF($B989="Onsite",INDEX(tbl_Onsite[Expected Revenue Ex GST],$BI989),IF($B989="Production",INDEX(tbl_Production[Expected Revenue Ex GST],$BI989),INDEX(tbl_Consulting[Expected Revenue Ex GST],$BI989)))="","",IF($B989="Onsite",INDEX(tbl_Onsite[Expected Revenue Ex GST],$BI989),IF($B989="Production",INDEX(tbl_Production[Expected Revenue Ex GST],$BI989),INDEX(tbl_Consulting[Expected Revenue Ex GST],$BI989)))))</f>
        <v/>
      </c>
      <c r="O989" s="11">
        <f>IF(AND($C989="",NOT(COUNTA($S989:$BB989)&gt;0)),"",SUM(U989,X989,AA989,AD989,AG989,AJ989,AM989,AP989,AS989,AV989,AY989,BB989))</f>
        <v/>
      </c>
      <c r="P989" s="11">
        <f>IF(O989="","",N(N989)-O989)</f>
        <v/>
      </c>
      <c r="Q989" s="10">
        <f>IF(O989="","",IF($C989="","Invoice on empty job row",IF(N989="",IF(ROUND(O989,2)=0,"No dept value","Invoiced - no dept value"),IF(ROUND(O989,2)=0,"Not invoiced - to invoice",IF(ROUND(P989,2)=0,"Agrees",IF(P989&gt;0,"Dept higher - to invoice","Xero higher - check dept"))))))</f>
        <v/>
      </c>
      <c r="R989" s="10">
        <f>IF(AND($C989="",NOT(COUNTA($S989:$BB989)&gt;0),$BI989&lt;&gt;""),"",MID(IF($BI989="","; Row ID not found on the department sheet - a row was deleted","")&amp;IF(AND($C989="",COUNTA($S989:$BB989)&gt;0),"; Invoice entered but the department row has no job number","")&amp;IF(E989="CHECK","; Job number not in the Xero job list","")&amp;IF(AND($C989&lt;&gt;"",COUNTIF($C$7:$C$1506,$C989)&gt;1),"; Job number on more than one row","")&amp;IF(AND($C989&lt;&gt;"",H989=""),"; Dept has not set a cost centre","")&amp;IF(AND($C989&lt;&gt;"",J989=""),"; Dept has not set a tax code","")&amp;IF(AND($C989&lt;&gt;"",N989=""),"; Dept has not entered an expected value","")&amp;IF((IF(OR(COUNTA(S989:U989)=0,AND(COUNTA(S989:U989)=3,ISNUMBER(U989))),0,1)+IF(OR(COUNTA(V989:X989)=0,AND(COUNTA(V989:X989)=3,ISNUMBER(X989))),0,1)+IF(OR(COUNTA(Y989:AA989)=0,AND(COUNTA(Y989:AA989)=3,ISNUMBER(AA989))),0,1)+IF(OR(COUNTA(AB989:AD989)=0,AND(COUNTA(AB989:AD989)=3,ISNUMBER(AD989))),0,1)+IF(OR(COUNTA(AE989:AG989)=0,AND(COUNTA(AE989:AG989)=3,ISNUMBER(AG989))),0,1)+IF(OR(COUNTA(AH989:AJ989)=0,AND(COUNTA(AH989:AJ989)=3,ISNUMBER(AJ989))),0,1)+IF(OR(COUNTA(AK989:AM989)=0,AND(COUNTA(AK989:AM989)=3,ISNUMBER(AM989))),0,1)+IF(OR(COUNTA(AN989:AP989)=0,AND(COUNTA(AN989:AP989)=3,ISNUMBER(AP989))),0,1)+IF(OR(COUNTA(AQ989:AS989)=0,AND(COUNTA(AQ989:AS989)=3,ISNUMBER(AS989))),0,1)+IF(OR(COUNTA(AT989:AV989)=0,AND(COUNTA(AT989:AV989)=3,ISNUMBER(AV989))),0,1)+IF(OR(COUNTA(AW989:AY989)=0,AND(COUNTA(AW989:AY989)=3,ISNUMBER(AY989))),0,1)+IF(OR(COUNTA(AZ989:BB989)=0,AND(COUNTA(AZ989:BB989)=3,ISNUMBER(BB989))),0,1))&gt;0,"; An invoice is incomplete (needs No, Date and a number in Ex GST)","")&amp;IF((IF(T989="",0,IFERROR(--(EOMONTH(T989,0)&lt;&gt;S$5),1))+IF(W989="",0,IFERROR(--(EOMONTH(W989,0)&lt;&gt;V$5),1))+IF(Z989="",0,IFERROR(--(EOMONTH(Z989,0)&lt;&gt;Y$5),1))+IF(AC989="",0,IFERROR(--(EOMONTH(AC989,0)&lt;&gt;AB$5),1))+IF(AF989="",0,IFERROR(--(EOMONTH(AF989,0)&lt;&gt;AE$5),1))+IF(AI989="",0,IFERROR(--(EOMONTH(AI989,0)&lt;&gt;AH$5),1))+IF(AL989="",0,IFERROR(--(EOMONTH(AL989,0)&lt;&gt;AK$5),1))+IF(AO989="",0,IFERROR(--(EOMONTH(AO989,0)&lt;&gt;AN$5),1))+IF(AR989="",0,IFERROR(--(EOMONTH(AR989,0)&lt;&gt;AQ$5),1))+IF(AU989="",0,IFERROR(--(EOMONTH(AU989,0)&lt;&gt;AT$5),1))+IF(AX989="",0,IFERROR(--(EOMONTH(AX989,0)&lt;&gt;AW$5),1))+IF(BA989="",0,IFERROR(--(EOMONTH(BA989,0)&lt;&gt;AZ$5),1)))&gt;0,"; An invoice date is not in the month it is typed under",""),3,500))</f>
        <v/>
      </c>
      <c r="S989" s="12" t="n"/>
      <c r="T989" s="13" t="n"/>
      <c r="U989" s="14" t="n"/>
      <c r="V989" s="12" t="n"/>
      <c r="W989" s="13" t="n"/>
      <c r="X989" s="14" t="n"/>
      <c r="Y989" s="12" t="n"/>
      <c r="Z989" s="13" t="n"/>
      <c r="AA989" s="14" t="n"/>
      <c r="AB989" s="12" t="n"/>
      <c r="AC989" s="13" t="n"/>
      <c r="AD989" s="14" t="n"/>
      <c r="AE989" s="12" t="n"/>
      <c r="AF989" s="13" t="n"/>
      <c r="AG989" s="14" t="n"/>
      <c r="AH989" s="12" t="n"/>
      <c r="AI989" s="13" t="n"/>
      <c r="AJ989" s="14" t="n"/>
      <c r="AK989" s="12" t="n"/>
      <c r="AL989" s="13" t="n"/>
      <c r="AM989" s="14" t="n"/>
      <c r="AN989" s="12" t="n"/>
      <c r="AO989" s="13" t="n"/>
      <c r="AP989" s="14" t="n"/>
      <c r="AQ989" s="12" t="n"/>
      <c r="AR989" s="13" t="n"/>
      <c r="AS989" s="14" t="n"/>
      <c r="AT989" s="12" t="n"/>
      <c r="AU989" s="13" t="n"/>
      <c r="AV989" s="14" t="n"/>
      <c r="AW989" s="12" t="n"/>
      <c r="AX989" s="13" t="n"/>
      <c r="AY989" s="14" t="n"/>
      <c r="AZ989" s="12" t="n"/>
      <c r="BA989" s="13" t="n"/>
      <c r="BB989" s="14" t="n"/>
      <c r="BC989" s="11">
        <f>IF(O989="","",IF(J989="GST 10%",ROUND(O989*set_GSTRate,2),0))</f>
        <v/>
      </c>
      <c r="BD989" s="11">
        <f>IF(O989="","",O989+BC989)</f>
        <v/>
      </c>
      <c r="BE989" s="15">
        <f>IF(O989="","",COUNTA(S989,V989,Y989,AB989,AE989,AH989,AK989,AN989,AQ989,AT989,AW989,AZ989))</f>
        <v/>
      </c>
      <c r="BF989" s="16">
        <f>IF(COUNT(T989,W989,Z989,AC989,AF989,AI989,AL989,AO989,AR989,AU989,AX989,BA989)=0,"",MAX(T989,W989,Z989,AC989,AF989,AI989,AL989,AO989,AR989,AU989,AX989,BA989))</f>
        <v/>
      </c>
      <c r="BG989" s="10">
        <f>MID(IF(S989="","",", "&amp;S989)&amp;IF(V989="","",", "&amp;V989)&amp;IF(Y989="","",", "&amp;Y989)&amp;IF(AB989="","",", "&amp;AB989)&amp;IF(AE989="","",", "&amp;AE989)&amp;IF(AH989="","",", "&amp;AH989)&amp;IF(AK989="","",", "&amp;AK989)&amp;IF(AN989="","",", "&amp;AN989)&amp;IF(AQ989="","",", "&amp;AQ989)&amp;IF(AT989="","",", "&amp;AT989)&amp;IF(AW989="","",", "&amp;AW989)&amp;IF(AZ989="","",", "&amp;AZ989),3,500)</f>
        <v/>
      </c>
      <c r="BH989" s="12" t="n"/>
      <c r="BI989" s="15">
        <f>IFERROR(MATCH($A989,IF($B989="Onsite",tbl_Onsite[Row ID],IF($B989="Production",tbl_Production[Row ID],tbl_Consulting[Row ID])),0),"")</f>
        <v/>
      </c>
    </row>
    <row r="990">
      <c r="A990" s="10" t="inlineStr">
        <is>
          <t>PRD-0484</t>
        </is>
      </c>
      <c r="B990" s="10" t="inlineStr">
        <is>
          <t>Production</t>
        </is>
      </c>
      <c r="C990" s="10">
        <f>IF($BI990="","",IF($B990="Onsite",INDEX(tbl_Onsite[Job Number],$BI990),IF($B990="Production",INDEX(tbl_Production[Job Number],$BI990),INDEX(tbl_Consulting[Job Number],$BI990)))&amp;"")</f>
        <v/>
      </c>
      <c r="D990" s="10">
        <f>IF($BI990="","",IF($B990="Onsite",INDEX(tbl_Onsite[Client],$BI990),IF($B990="Production",INDEX(tbl_Production[Client],$BI990),INDEX(tbl_Consulting[Client],$BI990)))&amp;"")</f>
        <v/>
      </c>
      <c r="E990" s="10">
        <f>IF($C990="","",IF(COUNTIF(lst_Jobs,$C990)&gt;0,"OK","CHECK"))</f>
        <v/>
      </c>
      <c r="F990" s="10">
        <f>IF($C990="","",IFERROR(INDEX(lst_JobName,MATCH($C990,lst_Jobs,0)),""))</f>
        <v/>
      </c>
      <c r="G990" s="10">
        <f>IF($BI990="","",IF($B990="Onsite",INDEX(tbl_Onsite[Job Description],$BI990),IF($B990="Production",INDEX(tbl_Production[Job Description],$BI990),INDEX(tbl_Consulting[Job Description],$BI990)))&amp;"")</f>
        <v/>
      </c>
      <c r="H990" s="10">
        <f>IF($BI990="","",IF($B990="Onsite",INDEX(tbl_Onsite[Cost Centre],$BI990),IF($B990="Production",INDEX(tbl_Production[Cost Centre],$BI990),INDEX(tbl_Consulting[Cost Centre],$BI990)))&amp;"")</f>
        <v/>
      </c>
      <c r="I990" s="10">
        <f>IF($BI990="","",IF($B990="Onsite",INDEX(tbl_Onsite[Invoice Type],$BI990),IF($B990="Production",INDEX(tbl_Production[Invoice Type],$BI990),INDEX(tbl_Consulting[Invoice Type],$BI990)))&amp;"")</f>
        <v/>
      </c>
      <c r="J990" s="10">
        <f>IF($BI990="","",IF($B990="Onsite",INDEX(tbl_Onsite[Tax Code],$BI990),IF($B990="Production",INDEX(tbl_Production[Tax Code],$BI990),INDEX(tbl_Consulting[Tax Code],$BI990)))&amp;"")</f>
        <v/>
      </c>
      <c r="K990" s="10">
        <f>IF(H990="","",IFERROR(INDEX(lst_CCtoGL,MATCH(H990,lst_CCforGL,0)),""))</f>
        <v/>
      </c>
      <c r="L990" s="10">
        <f>IF($BI990="","",IF($B990="Onsite",INDEX(tbl_Onsite[PO / Reference],$BI990),IF($B990="Production",INDEX(tbl_Production[Current RMS No],$BI990),INDEX(tbl_Consulting[Qwilr Quote],$BI990)))&amp;"")</f>
        <v/>
      </c>
      <c r="M990" s="10">
        <f>IF($BI990="","",IF($B990="Onsite",INDEX(tbl_Onsite[Notes],$BI990),IF($B990="Production",INDEX(tbl_Production[Notes],$BI990),INDEX(tbl_Consulting[Notes],$BI990)))&amp;"")</f>
        <v/>
      </c>
      <c r="N990" s="11">
        <f>IF($BI990="","",IF(IF($B990="Onsite",INDEX(tbl_Onsite[Expected Revenue Ex GST],$BI990),IF($B990="Production",INDEX(tbl_Production[Expected Revenue Ex GST],$BI990),INDEX(tbl_Consulting[Expected Revenue Ex GST],$BI990)))="","",IF($B990="Onsite",INDEX(tbl_Onsite[Expected Revenue Ex GST],$BI990),IF($B990="Production",INDEX(tbl_Production[Expected Revenue Ex GST],$BI990),INDEX(tbl_Consulting[Expected Revenue Ex GST],$BI990)))))</f>
        <v/>
      </c>
      <c r="O990" s="11">
        <f>IF(AND($C990="",NOT(COUNTA($S990:$BB990)&gt;0)),"",SUM(U990,X990,AA990,AD990,AG990,AJ990,AM990,AP990,AS990,AV990,AY990,BB990))</f>
        <v/>
      </c>
      <c r="P990" s="11">
        <f>IF(O990="","",N(N990)-O990)</f>
        <v/>
      </c>
      <c r="Q990" s="10">
        <f>IF(O990="","",IF($C990="","Invoice on empty job row",IF(N990="",IF(ROUND(O990,2)=0,"No dept value","Invoiced - no dept value"),IF(ROUND(O990,2)=0,"Not invoiced - to invoice",IF(ROUND(P990,2)=0,"Agrees",IF(P990&gt;0,"Dept higher - to invoice","Xero higher - check dept"))))))</f>
        <v/>
      </c>
      <c r="R990" s="10">
        <f>IF(AND($C990="",NOT(COUNTA($S990:$BB990)&gt;0),$BI990&lt;&gt;""),"",MID(IF($BI990="","; Row ID not found on the department sheet - a row was deleted","")&amp;IF(AND($C990="",COUNTA($S990:$BB990)&gt;0),"; Invoice entered but the department row has no job number","")&amp;IF(E990="CHECK","; Job number not in the Xero job list","")&amp;IF(AND($C990&lt;&gt;"",COUNTIF($C$7:$C$1506,$C990)&gt;1),"; Job number on more than one row","")&amp;IF(AND($C990&lt;&gt;"",H990=""),"; Dept has not set a cost centre","")&amp;IF(AND($C990&lt;&gt;"",J990=""),"; Dept has not set a tax code","")&amp;IF(AND($C990&lt;&gt;"",N990=""),"; Dept has not entered an expected value","")&amp;IF((IF(OR(COUNTA(S990:U990)=0,AND(COUNTA(S990:U990)=3,ISNUMBER(U990))),0,1)+IF(OR(COUNTA(V990:X990)=0,AND(COUNTA(V990:X990)=3,ISNUMBER(X990))),0,1)+IF(OR(COUNTA(Y990:AA990)=0,AND(COUNTA(Y990:AA990)=3,ISNUMBER(AA990))),0,1)+IF(OR(COUNTA(AB990:AD990)=0,AND(COUNTA(AB990:AD990)=3,ISNUMBER(AD990))),0,1)+IF(OR(COUNTA(AE990:AG990)=0,AND(COUNTA(AE990:AG990)=3,ISNUMBER(AG990))),0,1)+IF(OR(COUNTA(AH990:AJ990)=0,AND(COUNTA(AH990:AJ990)=3,ISNUMBER(AJ990))),0,1)+IF(OR(COUNTA(AK990:AM990)=0,AND(COUNTA(AK990:AM990)=3,ISNUMBER(AM990))),0,1)+IF(OR(COUNTA(AN990:AP990)=0,AND(COUNTA(AN990:AP990)=3,ISNUMBER(AP990))),0,1)+IF(OR(COUNTA(AQ990:AS990)=0,AND(COUNTA(AQ990:AS990)=3,ISNUMBER(AS990))),0,1)+IF(OR(COUNTA(AT990:AV990)=0,AND(COUNTA(AT990:AV990)=3,ISNUMBER(AV990))),0,1)+IF(OR(COUNTA(AW990:AY990)=0,AND(COUNTA(AW990:AY990)=3,ISNUMBER(AY990))),0,1)+IF(OR(COUNTA(AZ990:BB990)=0,AND(COUNTA(AZ990:BB990)=3,ISNUMBER(BB990))),0,1))&gt;0,"; An invoice is incomplete (needs No, Date and a number in Ex GST)","")&amp;IF((IF(T990="",0,IFERROR(--(EOMONTH(T990,0)&lt;&gt;S$5),1))+IF(W990="",0,IFERROR(--(EOMONTH(W990,0)&lt;&gt;V$5),1))+IF(Z990="",0,IFERROR(--(EOMONTH(Z990,0)&lt;&gt;Y$5),1))+IF(AC990="",0,IFERROR(--(EOMONTH(AC990,0)&lt;&gt;AB$5),1))+IF(AF990="",0,IFERROR(--(EOMONTH(AF990,0)&lt;&gt;AE$5),1))+IF(AI990="",0,IFERROR(--(EOMONTH(AI990,0)&lt;&gt;AH$5),1))+IF(AL990="",0,IFERROR(--(EOMONTH(AL990,0)&lt;&gt;AK$5),1))+IF(AO990="",0,IFERROR(--(EOMONTH(AO990,0)&lt;&gt;AN$5),1))+IF(AR990="",0,IFERROR(--(EOMONTH(AR990,0)&lt;&gt;AQ$5),1))+IF(AU990="",0,IFERROR(--(EOMONTH(AU990,0)&lt;&gt;AT$5),1))+IF(AX990="",0,IFERROR(--(EOMONTH(AX990,0)&lt;&gt;AW$5),1))+IF(BA990="",0,IFERROR(--(EOMONTH(BA990,0)&lt;&gt;AZ$5),1)))&gt;0,"; An invoice date is not in the month it is typed under",""),3,500))</f>
        <v/>
      </c>
      <c r="S990" s="12" t="n"/>
      <c r="T990" s="13" t="n"/>
      <c r="U990" s="14" t="n"/>
      <c r="V990" s="12" t="n"/>
      <c r="W990" s="13" t="n"/>
      <c r="X990" s="14" t="n"/>
      <c r="Y990" s="12" t="n"/>
      <c r="Z990" s="13" t="n"/>
      <c r="AA990" s="14" t="n"/>
      <c r="AB990" s="12" t="n"/>
      <c r="AC990" s="13" t="n"/>
      <c r="AD990" s="14" t="n"/>
      <c r="AE990" s="12" t="n"/>
      <c r="AF990" s="13" t="n"/>
      <c r="AG990" s="14" t="n"/>
      <c r="AH990" s="12" t="n"/>
      <c r="AI990" s="13" t="n"/>
      <c r="AJ990" s="14" t="n"/>
      <c r="AK990" s="12" t="n"/>
      <c r="AL990" s="13" t="n"/>
      <c r="AM990" s="14" t="n"/>
      <c r="AN990" s="12" t="n"/>
      <c r="AO990" s="13" t="n"/>
      <c r="AP990" s="14" t="n"/>
      <c r="AQ990" s="12" t="n"/>
      <c r="AR990" s="13" t="n"/>
      <c r="AS990" s="14" t="n"/>
      <c r="AT990" s="12" t="n"/>
      <c r="AU990" s="13" t="n"/>
      <c r="AV990" s="14" t="n"/>
      <c r="AW990" s="12" t="n"/>
      <c r="AX990" s="13" t="n"/>
      <c r="AY990" s="14" t="n"/>
      <c r="AZ990" s="12" t="n"/>
      <c r="BA990" s="13" t="n"/>
      <c r="BB990" s="14" t="n"/>
      <c r="BC990" s="11">
        <f>IF(O990="","",IF(J990="GST 10%",ROUND(O990*set_GSTRate,2),0))</f>
        <v/>
      </c>
      <c r="BD990" s="11">
        <f>IF(O990="","",O990+BC990)</f>
        <v/>
      </c>
      <c r="BE990" s="15">
        <f>IF(O990="","",COUNTA(S990,V990,Y990,AB990,AE990,AH990,AK990,AN990,AQ990,AT990,AW990,AZ990))</f>
        <v/>
      </c>
      <c r="BF990" s="16">
        <f>IF(COUNT(T990,W990,Z990,AC990,AF990,AI990,AL990,AO990,AR990,AU990,AX990,BA990)=0,"",MAX(T990,W990,Z990,AC990,AF990,AI990,AL990,AO990,AR990,AU990,AX990,BA990))</f>
        <v/>
      </c>
      <c r="BG990" s="10">
        <f>MID(IF(S990="","",", "&amp;S990)&amp;IF(V990="","",", "&amp;V990)&amp;IF(Y990="","",", "&amp;Y990)&amp;IF(AB990="","",", "&amp;AB990)&amp;IF(AE990="","",", "&amp;AE990)&amp;IF(AH990="","",", "&amp;AH990)&amp;IF(AK990="","",", "&amp;AK990)&amp;IF(AN990="","",", "&amp;AN990)&amp;IF(AQ990="","",", "&amp;AQ990)&amp;IF(AT990="","",", "&amp;AT990)&amp;IF(AW990="","",", "&amp;AW990)&amp;IF(AZ990="","",", "&amp;AZ990),3,500)</f>
        <v/>
      </c>
      <c r="BH990" s="12" t="n"/>
      <c r="BI990" s="15">
        <f>IFERROR(MATCH($A990,IF($B990="Onsite",tbl_Onsite[Row ID],IF($B990="Production",tbl_Production[Row ID],tbl_Consulting[Row ID])),0),"")</f>
        <v/>
      </c>
    </row>
    <row r="991">
      <c r="A991" s="10" t="inlineStr">
        <is>
          <t>PRD-0485</t>
        </is>
      </c>
      <c r="B991" s="10" t="inlineStr">
        <is>
          <t>Production</t>
        </is>
      </c>
      <c r="C991" s="10">
        <f>IF($BI991="","",IF($B991="Onsite",INDEX(tbl_Onsite[Job Number],$BI991),IF($B991="Production",INDEX(tbl_Production[Job Number],$BI991),INDEX(tbl_Consulting[Job Number],$BI991)))&amp;"")</f>
        <v/>
      </c>
      <c r="D991" s="10">
        <f>IF($BI991="","",IF($B991="Onsite",INDEX(tbl_Onsite[Client],$BI991),IF($B991="Production",INDEX(tbl_Production[Client],$BI991),INDEX(tbl_Consulting[Client],$BI991)))&amp;"")</f>
        <v/>
      </c>
      <c r="E991" s="10">
        <f>IF($C991="","",IF(COUNTIF(lst_Jobs,$C991)&gt;0,"OK","CHECK"))</f>
        <v/>
      </c>
      <c r="F991" s="10">
        <f>IF($C991="","",IFERROR(INDEX(lst_JobName,MATCH($C991,lst_Jobs,0)),""))</f>
        <v/>
      </c>
      <c r="G991" s="10">
        <f>IF($BI991="","",IF($B991="Onsite",INDEX(tbl_Onsite[Job Description],$BI991),IF($B991="Production",INDEX(tbl_Production[Job Description],$BI991),INDEX(tbl_Consulting[Job Description],$BI991)))&amp;"")</f>
        <v/>
      </c>
      <c r="H991" s="10">
        <f>IF($BI991="","",IF($B991="Onsite",INDEX(tbl_Onsite[Cost Centre],$BI991),IF($B991="Production",INDEX(tbl_Production[Cost Centre],$BI991),INDEX(tbl_Consulting[Cost Centre],$BI991)))&amp;"")</f>
        <v/>
      </c>
      <c r="I991" s="10">
        <f>IF($BI991="","",IF($B991="Onsite",INDEX(tbl_Onsite[Invoice Type],$BI991),IF($B991="Production",INDEX(tbl_Production[Invoice Type],$BI991),INDEX(tbl_Consulting[Invoice Type],$BI991)))&amp;"")</f>
        <v/>
      </c>
      <c r="J991" s="10">
        <f>IF($BI991="","",IF($B991="Onsite",INDEX(tbl_Onsite[Tax Code],$BI991),IF($B991="Production",INDEX(tbl_Production[Tax Code],$BI991),INDEX(tbl_Consulting[Tax Code],$BI991)))&amp;"")</f>
        <v/>
      </c>
      <c r="K991" s="10">
        <f>IF(H991="","",IFERROR(INDEX(lst_CCtoGL,MATCH(H991,lst_CCforGL,0)),""))</f>
        <v/>
      </c>
      <c r="L991" s="10">
        <f>IF($BI991="","",IF($B991="Onsite",INDEX(tbl_Onsite[PO / Reference],$BI991),IF($B991="Production",INDEX(tbl_Production[Current RMS No],$BI991),INDEX(tbl_Consulting[Qwilr Quote],$BI991)))&amp;"")</f>
        <v/>
      </c>
      <c r="M991" s="10">
        <f>IF($BI991="","",IF($B991="Onsite",INDEX(tbl_Onsite[Notes],$BI991),IF($B991="Production",INDEX(tbl_Production[Notes],$BI991),INDEX(tbl_Consulting[Notes],$BI991)))&amp;"")</f>
        <v/>
      </c>
      <c r="N991" s="11">
        <f>IF($BI991="","",IF(IF($B991="Onsite",INDEX(tbl_Onsite[Expected Revenue Ex GST],$BI991),IF($B991="Production",INDEX(tbl_Production[Expected Revenue Ex GST],$BI991),INDEX(tbl_Consulting[Expected Revenue Ex GST],$BI991)))="","",IF($B991="Onsite",INDEX(tbl_Onsite[Expected Revenue Ex GST],$BI991),IF($B991="Production",INDEX(tbl_Production[Expected Revenue Ex GST],$BI991),INDEX(tbl_Consulting[Expected Revenue Ex GST],$BI991)))))</f>
        <v/>
      </c>
      <c r="O991" s="11">
        <f>IF(AND($C991="",NOT(COUNTA($S991:$BB991)&gt;0)),"",SUM(U991,X991,AA991,AD991,AG991,AJ991,AM991,AP991,AS991,AV991,AY991,BB991))</f>
        <v/>
      </c>
      <c r="P991" s="11">
        <f>IF(O991="","",N(N991)-O991)</f>
        <v/>
      </c>
      <c r="Q991" s="10">
        <f>IF(O991="","",IF($C991="","Invoice on empty job row",IF(N991="",IF(ROUND(O991,2)=0,"No dept value","Invoiced - no dept value"),IF(ROUND(O991,2)=0,"Not invoiced - to invoice",IF(ROUND(P991,2)=0,"Agrees",IF(P991&gt;0,"Dept higher - to invoice","Xero higher - check dept"))))))</f>
        <v/>
      </c>
      <c r="R991" s="10">
        <f>IF(AND($C991="",NOT(COUNTA($S991:$BB991)&gt;0),$BI991&lt;&gt;""),"",MID(IF($BI991="","; Row ID not found on the department sheet - a row was deleted","")&amp;IF(AND($C991="",COUNTA($S991:$BB991)&gt;0),"; Invoice entered but the department row has no job number","")&amp;IF(E991="CHECK","; Job number not in the Xero job list","")&amp;IF(AND($C991&lt;&gt;"",COUNTIF($C$7:$C$1506,$C991)&gt;1),"; Job number on more than one row","")&amp;IF(AND($C991&lt;&gt;"",H991=""),"; Dept has not set a cost centre","")&amp;IF(AND($C991&lt;&gt;"",J991=""),"; Dept has not set a tax code","")&amp;IF(AND($C991&lt;&gt;"",N991=""),"; Dept has not entered an expected value","")&amp;IF((IF(OR(COUNTA(S991:U991)=0,AND(COUNTA(S991:U991)=3,ISNUMBER(U991))),0,1)+IF(OR(COUNTA(V991:X991)=0,AND(COUNTA(V991:X991)=3,ISNUMBER(X991))),0,1)+IF(OR(COUNTA(Y991:AA991)=0,AND(COUNTA(Y991:AA991)=3,ISNUMBER(AA991))),0,1)+IF(OR(COUNTA(AB991:AD991)=0,AND(COUNTA(AB991:AD991)=3,ISNUMBER(AD991))),0,1)+IF(OR(COUNTA(AE991:AG991)=0,AND(COUNTA(AE991:AG991)=3,ISNUMBER(AG991))),0,1)+IF(OR(COUNTA(AH991:AJ991)=0,AND(COUNTA(AH991:AJ991)=3,ISNUMBER(AJ991))),0,1)+IF(OR(COUNTA(AK991:AM991)=0,AND(COUNTA(AK991:AM991)=3,ISNUMBER(AM991))),0,1)+IF(OR(COUNTA(AN991:AP991)=0,AND(COUNTA(AN991:AP991)=3,ISNUMBER(AP991))),0,1)+IF(OR(COUNTA(AQ991:AS991)=0,AND(COUNTA(AQ991:AS991)=3,ISNUMBER(AS991))),0,1)+IF(OR(COUNTA(AT991:AV991)=0,AND(COUNTA(AT991:AV991)=3,ISNUMBER(AV991))),0,1)+IF(OR(COUNTA(AW991:AY991)=0,AND(COUNTA(AW991:AY991)=3,ISNUMBER(AY991))),0,1)+IF(OR(COUNTA(AZ991:BB991)=0,AND(COUNTA(AZ991:BB991)=3,ISNUMBER(BB991))),0,1))&gt;0,"; An invoice is incomplete (needs No, Date and a number in Ex GST)","")&amp;IF((IF(T991="",0,IFERROR(--(EOMONTH(T991,0)&lt;&gt;S$5),1))+IF(W991="",0,IFERROR(--(EOMONTH(W991,0)&lt;&gt;V$5),1))+IF(Z991="",0,IFERROR(--(EOMONTH(Z991,0)&lt;&gt;Y$5),1))+IF(AC991="",0,IFERROR(--(EOMONTH(AC991,0)&lt;&gt;AB$5),1))+IF(AF991="",0,IFERROR(--(EOMONTH(AF991,0)&lt;&gt;AE$5),1))+IF(AI991="",0,IFERROR(--(EOMONTH(AI991,0)&lt;&gt;AH$5),1))+IF(AL991="",0,IFERROR(--(EOMONTH(AL991,0)&lt;&gt;AK$5),1))+IF(AO991="",0,IFERROR(--(EOMONTH(AO991,0)&lt;&gt;AN$5),1))+IF(AR991="",0,IFERROR(--(EOMONTH(AR991,0)&lt;&gt;AQ$5),1))+IF(AU991="",0,IFERROR(--(EOMONTH(AU991,0)&lt;&gt;AT$5),1))+IF(AX991="",0,IFERROR(--(EOMONTH(AX991,0)&lt;&gt;AW$5),1))+IF(BA991="",0,IFERROR(--(EOMONTH(BA991,0)&lt;&gt;AZ$5),1)))&gt;0,"; An invoice date is not in the month it is typed under",""),3,500))</f>
        <v/>
      </c>
      <c r="S991" s="12" t="n"/>
      <c r="T991" s="13" t="n"/>
      <c r="U991" s="14" t="n"/>
      <c r="V991" s="12" t="n"/>
      <c r="W991" s="13" t="n"/>
      <c r="X991" s="14" t="n"/>
      <c r="Y991" s="12" t="n"/>
      <c r="Z991" s="13" t="n"/>
      <c r="AA991" s="14" t="n"/>
      <c r="AB991" s="12" t="n"/>
      <c r="AC991" s="13" t="n"/>
      <c r="AD991" s="14" t="n"/>
      <c r="AE991" s="12" t="n"/>
      <c r="AF991" s="13" t="n"/>
      <c r="AG991" s="14" t="n"/>
      <c r="AH991" s="12" t="n"/>
      <c r="AI991" s="13" t="n"/>
      <c r="AJ991" s="14" t="n"/>
      <c r="AK991" s="12" t="n"/>
      <c r="AL991" s="13" t="n"/>
      <c r="AM991" s="14" t="n"/>
      <c r="AN991" s="12" t="n"/>
      <c r="AO991" s="13" t="n"/>
      <c r="AP991" s="14" t="n"/>
      <c r="AQ991" s="12" t="n"/>
      <c r="AR991" s="13" t="n"/>
      <c r="AS991" s="14" t="n"/>
      <c r="AT991" s="12" t="n"/>
      <c r="AU991" s="13" t="n"/>
      <c r="AV991" s="14" t="n"/>
      <c r="AW991" s="12" t="n"/>
      <c r="AX991" s="13" t="n"/>
      <c r="AY991" s="14" t="n"/>
      <c r="AZ991" s="12" t="n"/>
      <c r="BA991" s="13" t="n"/>
      <c r="BB991" s="14" t="n"/>
      <c r="BC991" s="11">
        <f>IF(O991="","",IF(J991="GST 10%",ROUND(O991*set_GSTRate,2),0))</f>
        <v/>
      </c>
      <c r="BD991" s="11">
        <f>IF(O991="","",O991+BC991)</f>
        <v/>
      </c>
      <c r="BE991" s="15">
        <f>IF(O991="","",COUNTA(S991,V991,Y991,AB991,AE991,AH991,AK991,AN991,AQ991,AT991,AW991,AZ991))</f>
        <v/>
      </c>
      <c r="BF991" s="16">
        <f>IF(COUNT(T991,W991,Z991,AC991,AF991,AI991,AL991,AO991,AR991,AU991,AX991,BA991)=0,"",MAX(T991,W991,Z991,AC991,AF991,AI991,AL991,AO991,AR991,AU991,AX991,BA991))</f>
        <v/>
      </c>
      <c r="BG991" s="10">
        <f>MID(IF(S991="","",", "&amp;S991)&amp;IF(V991="","",", "&amp;V991)&amp;IF(Y991="","",", "&amp;Y991)&amp;IF(AB991="","",", "&amp;AB991)&amp;IF(AE991="","",", "&amp;AE991)&amp;IF(AH991="","",", "&amp;AH991)&amp;IF(AK991="","",", "&amp;AK991)&amp;IF(AN991="","",", "&amp;AN991)&amp;IF(AQ991="","",", "&amp;AQ991)&amp;IF(AT991="","",", "&amp;AT991)&amp;IF(AW991="","",", "&amp;AW991)&amp;IF(AZ991="","",", "&amp;AZ991),3,500)</f>
        <v/>
      </c>
      <c r="BH991" s="12" t="n"/>
      <c r="BI991" s="15">
        <f>IFERROR(MATCH($A991,IF($B991="Onsite",tbl_Onsite[Row ID],IF($B991="Production",tbl_Production[Row ID],tbl_Consulting[Row ID])),0),"")</f>
        <v/>
      </c>
    </row>
    <row r="992">
      <c r="A992" s="10" t="inlineStr">
        <is>
          <t>PRD-0486</t>
        </is>
      </c>
      <c r="B992" s="10" t="inlineStr">
        <is>
          <t>Production</t>
        </is>
      </c>
      <c r="C992" s="10">
        <f>IF($BI992="","",IF($B992="Onsite",INDEX(tbl_Onsite[Job Number],$BI992),IF($B992="Production",INDEX(tbl_Production[Job Number],$BI992),INDEX(tbl_Consulting[Job Number],$BI992)))&amp;"")</f>
        <v/>
      </c>
      <c r="D992" s="10">
        <f>IF($BI992="","",IF($B992="Onsite",INDEX(tbl_Onsite[Client],$BI992),IF($B992="Production",INDEX(tbl_Production[Client],$BI992),INDEX(tbl_Consulting[Client],$BI992)))&amp;"")</f>
        <v/>
      </c>
      <c r="E992" s="10">
        <f>IF($C992="","",IF(COUNTIF(lst_Jobs,$C992)&gt;0,"OK","CHECK"))</f>
        <v/>
      </c>
      <c r="F992" s="10">
        <f>IF($C992="","",IFERROR(INDEX(lst_JobName,MATCH($C992,lst_Jobs,0)),""))</f>
        <v/>
      </c>
      <c r="G992" s="10">
        <f>IF($BI992="","",IF($B992="Onsite",INDEX(tbl_Onsite[Job Description],$BI992),IF($B992="Production",INDEX(tbl_Production[Job Description],$BI992),INDEX(tbl_Consulting[Job Description],$BI992)))&amp;"")</f>
        <v/>
      </c>
      <c r="H992" s="10">
        <f>IF($BI992="","",IF($B992="Onsite",INDEX(tbl_Onsite[Cost Centre],$BI992),IF($B992="Production",INDEX(tbl_Production[Cost Centre],$BI992),INDEX(tbl_Consulting[Cost Centre],$BI992)))&amp;"")</f>
        <v/>
      </c>
      <c r="I992" s="10">
        <f>IF($BI992="","",IF($B992="Onsite",INDEX(tbl_Onsite[Invoice Type],$BI992),IF($B992="Production",INDEX(tbl_Production[Invoice Type],$BI992),INDEX(tbl_Consulting[Invoice Type],$BI992)))&amp;"")</f>
        <v/>
      </c>
      <c r="J992" s="10">
        <f>IF($BI992="","",IF($B992="Onsite",INDEX(tbl_Onsite[Tax Code],$BI992),IF($B992="Production",INDEX(tbl_Production[Tax Code],$BI992),INDEX(tbl_Consulting[Tax Code],$BI992)))&amp;"")</f>
        <v/>
      </c>
      <c r="K992" s="10">
        <f>IF(H992="","",IFERROR(INDEX(lst_CCtoGL,MATCH(H992,lst_CCforGL,0)),""))</f>
        <v/>
      </c>
      <c r="L992" s="10">
        <f>IF($BI992="","",IF($B992="Onsite",INDEX(tbl_Onsite[PO / Reference],$BI992),IF($B992="Production",INDEX(tbl_Production[Current RMS No],$BI992),INDEX(tbl_Consulting[Qwilr Quote],$BI992)))&amp;"")</f>
        <v/>
      </c>
      <c r="M992" s="10">
        <f>IF($BI992="","",IF($B992="Onsite",INDEX(tbl_Onsite[Notes],$BI992),IF($B992="Production",INDEX(tbl_Production[Notes],$BI992),INDEX(tbl_Consulting[Notes],$BI992)))&amp;"")</f>
        <v/>
      </c>
      <c r="N992" s="11">
        <f>IF($BI992="","",IF(IF($B992="Onsite",INDEX(tbl_Onsite[Expected Revenue Ex GST],$BI992),IF($B992="Production",INDEX(tbl_Production[Expected Revenue Ex GST],$BI992),INDEX(tbl_Consulting[Expected Revenue Ex GST],$BI992)))="","",IF($B992="Onsite",INDEX(tbl_Onsite[Expected Revenue Ex GST],$BI992),IF($B992="Production",INDEX(tbl_Production[Expected Revenue Ex GST],$BI992),INDEX(tbl_Consulting[Expected Revenue Ex GST],$BI992)))))</f>
        <v/>
      </c>
      <c r="O992" s="11">
        <f>IF(AND($C992="",NOT(COUNTA($S992:$BB992)&gt;0)),"",SUM(U992,X992,AA992,AD992,AG992,AJ992,AM992,AP992,AS992,AV992,AY992,BB992))</f>
        <v/>
      </c>
      <c r="P992" s="11">
        <f>IF(O992="","",N(N992)-O992)</f>
        <v/>
      </c>
      <c r="Q992" s="10">
        <f>IF(O992="","",IF($C992="","Invoice on empty job row",IF(N992="",IF(ROUND(O992,2)=0,"No dept value","Invoiced - no dept value"),IF(ROUND(O992,2)=0,"Not invoiced - to invoice",IF(ROUND(P992,2)=0,"Agrees",IF(P992&gt;0,"Dept higher - to invoice","Xero higher - check dept"))))))</f>
        <v/>
      </c>
      <c r="R992" s="10">
        <f>IF(AND($C992="",NOT(COUNTA($S992:$BB992)&gt;0),$BI992&lt;&gt;""),"",MID(IF($BI992="","; Row ID not found on the department sheet - a row was deleted","")&amp;IF(AND($C992="",COUNTA($S992:$BB992)&gt;0),"; Invoice entered but the department row has no job number","")&amp;IF(E992="CHECK","; Job number not in the Xero job list","")&amp;IF(AND($C992&lt;&gt;"",COUNTIF($C$7:$C$1506,$C992)&gt;1),"; Job number on more than one row","")&amp;IF(AND($C992&lt;&gt;"",H992=""),"; Dept has not set a cost centre","")&amp;IF(AND($C992&lt;&gt;"",J992=""),"; Dept has not set a tax code","")&amp;IF(AND($C992&lt;&gt;"",N992=""),"; Dept has not entered an expected value","")&amp;IF((IF(OR(COUNTA(S992:U992)=0,AND(COUNTA(S992:U992)=3,ISNUMBER(U992))),0,1)+IF(OR(COUNTA(V992:X992)=0,AND(COUNTA(V992:X992)=3,ISNUMBER(X992))),0,1)+IF(OR(COUNTA(Y992:AA992)=0,AND(COUNTA(Y992:AA992)=3,ISNUMBER(AA992))),0,1)+IF(OR(COUNTA(AB992:AD992)=0,AND(COUNTA(AB992:AD992)=3,ISNUMBER(AD992))),0,1)+IF(OR(COUNTA(AE992:AG992)=0,AND(COUNTA(AE992:AG992)=3,ISNUMBER(AG992))),0,1)+IF(OR(COUNTA(AH992:AJ992)=0,AND(COUNTA(AH992:AJ992)=3,ISNUMBER(AJ992))),0,1)+IF(OR(COUNTA(AK992:AM992)=0,AND(COUNTA(AK992:AM992)=3,ISNUMBER(AM992))),0,1)+IF(OR(COUNTA(AN992:AP992)=0,AND(COUNTA(AN992:AP992)=3,ISNUMBER(AP992))),0,1)+IF(OR(COUNTA(AQ992:AS992)=0,AND(COUNTA(AQ992:AS992)=3,ISNUMBER(AS992))),0,1)+IF(OR(COUNTA(AT992:AV992)=0,AND(COUNTA(AT992:AV992)=3,ISNUMBER(AV992))),0,1)+IF(OR(COUNTA(AW992:AY992)=0,AND(COUNTA(AW992:AY992)=3,ISNUMBER(AY992))),0,1)+IF(OR(COUNTA(AZ992:BB992)=0,AND(COUNTA(AZ992:BB992)=3,ISNUMBER(BB992))),0,1))&gt;0,"; An invoice is incomplete (needs No, Date and a number in Ex GST)","")&amp;IF((IF(T992="",0,IFERROR(--(EOMONTH(T992,0)&lt;&gt;S$5),1))+IF(W992="",0,IFERROR(--(EOMONTH(W992,0)&lt;&gt;V$5),1))+IF(Z992="",0,IFERROR(--(EOMONTH(Z992,0)&lt;&gt;Y$5),1))+IF(AC992="",0,IFERROR(--(EOMONTH(AC992,0)&lt;&gt;AB$5),1))+IF(AF992="",0,IFERROR(--(EOMONTH(AF992,0)&lt;&gt;AE$5),1))+IF(AI992="",0,IFERROR(--(EOMONTH(AI992,0)&lt;&gt;AH$5),1))+IF(AL992="",0,IFERROR(--(EOMONTH(AL992,0)&lt;&gt;AK$5),1))+IF(AO992="",0,IFERROR(--(EOMONTH(AO992,0)&lt;&gt;AN$5),1))+IF(AR992="",0,IFERROR(--(EOMONTH(AR992,0)&lt;&gt;AQ$5),1))+IF(AU992="",0,IFERROR(--(EOMONTH(AU992,0)&lt;&gt;AT$5),1))+IF(AX992="",0,IFERROR(--(EOMONTH(AX992,0)&lt;&gt;AW$5),1))+IF(BA992="",0,IFERROR(--(EOMONTH(BA992,0)&lt;&gt;AZ$5),1)))&gt;0,"; An invoice date is not in the month it is typed under",""),3,500))</f>
        <v/>
      </c>
      <c r="S992" s="12" t="n"/>
      <c r="T992" s="13" t="n"/>
      <c r="U992" s="14" t="n"/>
      <c r="V992" s="12" t="n"/>
      <c r="W992" s="13" t="n"/>
      <c r="X992" s="14" t="n"/>
      <c r="Y992" s="12" t="n"/>
      <c r="Z992" s="13" t="n"/>
      <c r="AA992" s="14" t="n"/>
      <c r="AB992" s="12" t="n"/>
      <c r="AC992" s="13" t="n"/>
      <c r="AD992" s="14" t="n"/>
      <c r="AE992" s="12" t="n"/>
      <c r="AF992" s="13" t="n"/>
      <c r="AG992" s="14" t="n"/>
      <c r="AH992" s="12" t="n"/>
      <c r="AI992" s="13" t="n"/>
      <c r="AJ992" s="14" t="n"/>
      <c r="AK992" s="12" t="n"/>
      <c r="AL992" s="13" t="n"/>
      <c r="AM992" s="14" t="n"/>
      <c r="AN992" s="12" t="n"/>
      <c r="AO992" s="13" t="n"/>
      <c r="AP992" s="14" t="n"/>
      <c r="AQ992" s="12" t="n"/>
      <c r="AR992" s="13" t="n"/>
      <c r="AS992" s="14" t="n"/>
      <c r="AT992" s="12" t="n"/>
      <c r="AU992" s="13" t="n"/>
      <c r="AV992" s="14" t="n"/>
      <c r="AW992" s="12" t="n"/>
      <c r="AX992" s="13" t="n"/>
      <c r="AY992" s="14" t="n"/>
      <c r="AZ992" s="12" t="n"/>
      <c r="BA992" s="13" t="n"/>
      <c r="BB992" s="14" t="n"/>
      <c r="BC992" s="11">
        <f>IF(O992="","",IF(J992="GST 10%",ROUND(O992*set_GSTRate,2),0))</f>
        <v/>
      </c>
      <c r="BD992" s="11">
        <f>IF(O992="","",O992+BC992)</f>
        <v/>
      </c>
      <c r="BE992" s="15">
        <f>IF(O992="","",COUNTA(S992,V992,Y992,AB992,AE992,AH992,AK992,AN992,AQ992,AT992,AW992,AZ992))</f>
        <v/>
      </c>
      <c r="BF992" s="16">
        <f>IF(COUNT(T992,W992,Z992,AC992,AF992,AI992,AL992,AO992,AR992,AU992,AX992,BA992)=0,"",MAX(T992,W992,Z992,AC992,AF992,AI992,AL992,AO992,AR992,AU992,AX992,BA992))</f>
        <v/>
      </c>
      <c r="BG992" s="10">
        <f>MID(IF(S992="","",", "&amp;S992)&amp;IF(V992="","",", "&amp;V992)&amp;IF(Y992="","",", "&amp;Y992)&amp;IF(AB992="","",", "&amp;AB992)&amp;IF(AE992="","",", "&amp;AE992)&amp;IF(AH992="","",", "&amp;AH992)&amp;IF(AK992="","",", "&amp;AK992)&amp;IF(AN992="","",", "&amp;AN992)&amp;IF(AQ992="","",", "&amp;AQ992)&amp;IF(AT992="","",", "&amp;AT992)&amp;IF(AW992="","",", "&amp;AW992)&amp;IF(AZ992="","",", "&amp;AZ992),3,500)</f>
        <v/>
      </c>
      <c r="BH992" s="12" t="n"/>
      <c r="BI992" s="15">
        <f>IFERROR(MATCH($A992,IF($B992="Onsite",tbl_Onsite[Row ID],IF($B992="Production",tbl_Production[Row ID],tbl_Consulting[Row ID])),0),"")</f>
        <v/>
      </c>
    </row>
    <row r="993">
      <c r="A993" s="10" t="inlineStr">
        <is>
          <t>PRD-0487</t>
        </is>
      </c>
      <c r="B993" s="10" t="inlineStr">
        <is>
          <t>Production</t>
        </is>
      </c>
      <c r="C993" s="10">
        <f>IF($BI993="","",IF($B993="Onsite",INDEX(tbl_Onsite[Job Number],$BI993),IF($B993="Production",INDEX(tbl_Production[Job Number],$BI993),INDEX(tbl_Consulting[Job Number],$BI993)))&amp;"")</f>
        <v/>
      </c>
      <c r="D993" s="10">
        <f>IF($BI993="","",IF($B993="Onsite",INDEX(tbl_Onsite[Client],$BI993),IF($B993="Production",INDEX(tbl_Production[Client],$BI993),INDEX(tbl_Consulting[Client],$BI993)))&amp;"")</f>
        <v/>
      </c>
      <c r="E993" s="10">
        <f>IF($C993="","",IF(COUNTIF(lst_Jobs,$C993)&gt;0,"OK","CHECK"))</f>
        <v/>
      </c>
      <c r="F993" s="10">
        <f>IF($C993="","",IFERROR(INDEX(lst_JobName,MATCH($C993,lst_Jobs,0)),""))</f>
        <v/>
      </c>
      <c r="G993" s="10">
        <f>IF($BI993="","",IF($B993="Onsite",INDEX(tbl_Onsite[Job Description],$BI993),IF($B993="Production",INDEX(tbl_Production[Job Description],$BI993),INDEX(tbl_Consulting[Job Description],$BI993)))&amp;"")</f>
        <v/>
      </c>
      <c r="H993" s="10">
        <f>IF($BI993="","",IF($B993="Onsite",INDEX(tbl_Onsite[Cost Centre],$BI993),IF($B993="Production",INDEX(tbl_Production[Cost Centre],$BI993),INDEX(tbl_Consulting[Cost Centre],$BI993)))&amp;"")</f>
        <v/>
      </c>
      <c r="I993" s="10">
        <f>IF($BI993="","",IF($B993="Onsite",INDEX(tbl_Onsite[Invoice Type],$BI993),IF($B993="Production",INDEX(tbl_Production[Invoice Type],$BI993),INDEX(tbl_Consulting[Invoice Type],$BI993)))&amp;"")</f>
        <v/>
      </c>
      <c r="J993" s="10">
        <f>IF($BI993="","",IF($B993="Onsite",INDEX(tbl_Onsite[Tax Code],$BI993),IF($B993="Production",INDEX(tbl_Production[Tax Code],$BI993),INDEX(tbl_Consulting[Tax Code],$BI993)))&amp;"")</f>
        <v/>
      </c>
      <c r="K993" s="10">
        <f>IF(H993="","",IFERROR(INDEX(lst_CCtoGL,MATCH(H993,lst_CCforGL,0)),""))</f>
        <v/>
      </c>
      <c r="L993" s="10">
        <f>IF($BI993="","",IF($B993="Onsite",INDEX(tbl_Onsite[PO / Reference],$BI993),IF($B993="Production",INDEX(tbl_Production[Current RMS No],$BI993),INDEX(tbl_Consulting[Qwilr Quote],$BI993)))&amp;"")</f>
        <v/>
      </c>
      <c r="M993" s="10">
        <f>IF($BI993="","",IF($B993="Onsite",INDEX(tbl_Onsite[Notes],$BI993),IF($B993="Production",INDEX(tbl_Production[Notes],$BI993),INDEX(tbl_Consulting[Notes],$BI993)))&amp;"")</f>
        <v/>
      </c>
      <c r="N993" s="11">
        <f>IF($BI993="","",IF(IF($B993="Onsite",INDEX(tbl_Onsite[Expected Revenue Ex GST],$BI993),IF($B993="Production",INDEX(tbl_Production[Expected Revenue Ex GST],$BI993),INDEX(tbl_Consulting[Expected Revenue Ex GST],$BI993)))="","",IF($B993="Onsite",INDEX(tbl_Onsite[Expected Revenue Ex GST],$BI993),IF($B993="Production",INDEX(tbl_Production[Expected Revenue Ex GST],$BI993),INDEX(tbl_Consulting[Expected Revenue Ex GST],$BI993)))))</f>
        <v/>
      </c>
      <c r="O993" s="11">
        <f>IF(AND($C993="",NOT(COUNTA($S993:$BB993)&gt;0)),"",SUM(U993,X993,AA993,AD993,AG993,AJ993,AM993,AP993,AS993,AV993,AY993,BB993))</f>
        <v/>
      </c>
      <c r="P993" s="11">
        <f>IF(O993="","",N(N993)-O993)</f>
        <v/>
      </c>
      <c r="Q993" s="10">
        <f>IF(O993="","",IF($C993="","Invoice on empty job row",IF(N993="",IF(ROUND(O993,2)=0,"No dept value","Invoiced - no dept value"),IF(ROUND(O993,2)=0,"Not invoiced - to invoice",IF(ROUND(P993,2)=0,"Agrees",IF(P993&gt;0,"Dept higher - to invoice","Xero higher - check dept"))))))</f>
        <v/>
      </c>
      <c r="R993" s="10">
        <f>IF(AND($C993="",NOT(COUNTA($S993:$BB993)&gt;0),$BI993&lt;&gt;""),"",MID(IF($BI993="","; Row ID not found on the department sheet - a row was deleted","")&amp;IF(AND($C993="",COUNTA($S993:$BB993)&gt;0),"; Invoice entered but the department row has no job number","")&amp;IF(E993="CHECK","; Job number not in the Xero job list","")&amp;IF(AND($C993&lt;&gt;"",COUNTIF($C$7:$C$1506,$C993)&gt;1),"; Job number on more than one row","")&amp;IF(AND($C993&lt;&gt;"",H993=""),"; Dept has not set a cost centre","")&amp;IF(AND($C993&lt;&gt;"",J993=""),"; Dept has not set a tax code","")&amp;IF(AND($C993&lt;&gt;"",N993=""),"; Dept has not entered an expected value","")&amp;IF((IF(OR(COUNTA(S993:U993)=0,AND(COUNTA(S993:U993)=3,ISNUMBER(U993))),0,1)+IF(OR(COUNTA(V993:X993)=0,AND(COUNTA(V993:X993)=3,ISNUMBER(X993))),0,1)+IF(OR(COUNTA(Y993:AA993)=0,AND(COUNTA(Y993:AA993)=3,ISNUMBER(AA993))),0,1)+IF(OR(COUNTA(AB993:AD993)=0,AND(COUNTA(AB993:AD993)=3,ISNUMBER(AD993))),0,1)+IF(OR(COUNTA(AE993:AG993)=0,AND(COUNTA(AE993:AG993)=3,ISNUMBER(AG993))),0,1)+IF(OR(COUNTA(AH993:AJ993)=0,AND(COUNTA(AH993:AJ993)=3,ISNUMBER(AJ993))),0,1)+IF(OR(COUNTA(AK993:AM993)=0,AND(COUNTA(AK993:AM993)=3,ISNUMBER(AM993))),0,1)+IF(OR(COUNTA(AN993:AP993)=0,AND(COUNTA(AN993:AP993)=3,ISNUMBER(AP993))),0,1)+IF(OR(COUNTA(AQ993:AS993)=0,AND(COUNTA(AQ993:AS993)=3,ISNUMBER(AS993))),0,1)+IF(OR(COUNTA(AT993:AV993)=0,AND(COUNTA(AT993:AV993)=3,ISNUMBER(AV993))),0,1)+IF(OR(COUNTA(AW993:AY993)=0,AND(COUNTA(AW993:AY993)=3,ISNUMBER(AY993))),0,1)+IF(OR(COUNTA(AZ993:BB993)=0,AND(COUNTA(AZ993:BB993)=3,ISNUMBER(BB993))),0,1))&gt;0,"; An invoice is incomplete (needs No, Date and a number in Ex GST)","")&amp;IF((IF(T993="",0,IFERROR(--(EOMONTH(T993,0)&lt;&gt;S$5),1))+IF(W993="",0,IFERROR(--(EOMONTH(W993,0)&lt;&gt;V$5),1))+IF(Z993="",0,IFERROR(--(EOMONTH(Z993,0)&lt;&gt;Y$5),1))+IF(AC993="",0,IFERROR(--(EOMONTH(AC993,0)&lt;&gt;AB$5),1))+IF(AF993="",0,IFERROR(--(EOMONTH(AF993,0)&lt;&gt;AE$5),1))+IF(AI993="",0,IFERROR(--(EOMONTH(AI993,0)&lt;&gt;AH$5),1))+IF(AL993="",0,IFERROR(--(EOMONTH(AL993,0)&lt;&gt;AK$5),1))+IF(AO993="",0,IFERROR(--(EOMONTH(AO993,0)&lt;&gt;AN$5),1))+IF(AR993="",0,IFERROR(--(EOMONTH(AR993,0)&lt;&gt;AQ$5),1))+IF(AU993="",0,IFERROR(--(EOMONTH(AU993,0)&lt;&gt;AT$5),1))+IF(AX993="",0,IFERROR(--(EOMONTH(AX993,0)&lt;&gt;AW$5),1))+IF(BA993="",0,IFERROR(--(EOMONTH(BA993,0)&lt;&gt;AZ$5),1)))&gt;0,"; An invoice date is not in the month it is typed under",""),3,500))</f>
        <v/>
      </c>
      <c r="S993" s="12" t="n"/>
      <c r="T993" s="13" t="n"/>
      <c r="U993" s="14" t="n"/>
      <c r="V993" s="12" t="n"/>
      <c r="W993" s="13" t="n"/>
      <c r="X993" s="14" t="n"/>
      <c r="Y993" s="12" t="n"/>
      <c r="Z993" s="13" t="n"/>
      <c r="AA993" s="14" t="n"/>
      <c r="AB993" s="12" t="n"/>
      <c r="AC993" s="13" t="n"/>
      <c r="AD993" s="14" t="n"/>
      <c r="AE993" s="12" t="n"/>
      <c r="AF993" s="13" t="n"/>
      <c r="AG993" s="14" t="n"/>
      <c r="AH993" s="12" t="n"/>
      <c r="AI993" s="13" t="n"/>
      <c r="AJ993" s="14" t="n"/>
      <c r="AK993" s="12" t="n"/>
      <c r="AL993" s="13" t="n"/>
      <c r="AM993" s="14" t="n"/>
      <c r="AN993" s="12" t="n"/>
      <c r="AO993" s="13" t="n"/>
      <c r="AP993" s="14" t="n"/>
      <c r="AQ993" s="12" t="n"/>
      <c r="AR993" s="13" t="n"/>
      <c r="AS993" s="14" t="n"/>
      <c r="AT993" s="12" t="n"/>
      <c r="AU993" s="13" t="n"/>
      <c r="AV993" s="14" t="n"/>
      <c r="AW993" s="12" t="n"/>
      <c r="AX993" s="13" t="n"/>
      <c r="AY993" s="14" t="n"/>
      <c r="AZ993" s="12" t="n"/>
      <c r="BA993" s="13" t="n"/>
      <c r="BB993" s="14" t="n"/>
      <c r="BC993" s="11">
        <f>IF(O993="","",IF(J993="GST 10%",ROUND(O993*set_GSTRate,2),0))</f>
        <v/>
      </c>
      <c r="BD993" s="11">
        <f>IF(O993="","",O993+BC993)</f>
        <v/>
      </c>
      <c r="BE993" s="15">
        <f>IF(O993="","",COUNTA(S993,V993,Y993,AB993,AE993,AH993,AK993,AN993,AQ993,AT993,AW993,AZ993))</f>
        <v/>
      </c>
      <c r="BF993" s="16">
        <f>IF(COUNT(T993,W993,Z993,AC993,AF993,AI993,AL993,AO993,AR993,AU993,AX993,BA993)=0,"",MAX(T993,W993,Z993,AC993,AF993,AI993,AL993,AO993,AR993,AU993,AX993,BA993))</f>
        <v/>
      </c>
      <c r="BG993" s="10">
        <f>MID(IF(S993="","",", "&amp;S993)&amp;IF(V993="","",", "&amp;V993)&amp;IF(Y993="","",", "&amp;Y993)&amp;IF(AB993="","",", "&amp;AB993)&amp;IF(AE993="","",", "&amp;AE993)&amp;IF(AH993="","",", "&amp;AH993)&amp;IF(AK993="","",", "&amp;AK993)&amp;IF(AN993="","",", "&amp;AN993)&amp;IF(AQ993="","",", "&amp;AQ993)&amp;IF(AT993="","",", "&amp;AT993)&amp;IF(AW993="","",", "&amp;AW993)&amp;IF(AZ993="","",", "&amp;AZ993),3,500)</f>
        <v/>
      </c>
      <c r="BH993" s="12" t="n"/>
      <c r="BI993" s="15">
        <f>IFERROR(MATCH($A993,IF($B993="Onsite",tbl_Onsite[Row ID],IF($B993="Production",tbl_Production[Row ID],tbl_Consulting[Row ID])),0),"")</f>
        <v/>
      </c>
    </row>
    <row r="994">
      <c r="A994" s="10" t="inlineStr">
        <is>
          <t>PRD-0488</t>
        </is>
      </c>
      <c r="B994" s="10" t="inlineStr">
        <is>
          <t>Production</t>
        </is>
      </c>
      <c r="C994" s="10">
        <f>IF($BI994="","",IF($B994="Onsite",INDEX(tbl_Onsite[Job Number],$BI994),IF($B994="Production",INDEX(tbl_Production[Job Number],$BI994),INDEX(tbl_Consulting[Job Number],$BI994)))&amp;"")</f>
        <v/>
      </c>
      <c r="D994" s="10">
        <f>IF($BI994="","",IF($B994="Onsite",INDEX(tbl_Onsite[Client],$BI994),IF($B994="Production",INDEX(tbl_Production[Client],$BI994),INDEX(tbl_Consulting[Client],$BI994)))&amp;"")</f>
        <v/>
      </c>
      <c r="E994" s="10">
        <f>IF($C994="","",IF(COUNTIF(lst_Jobs,$C994)&gt;0,"OK","CHECK"))</f>
        <v/>
      </c>
      <c r="F994" s="10">
        <f>IF($C994="","",IFERROR(INDEX(lst_JobName,MATCH($C994,lst_Jobs,0)),""))</f>
        <v/>
      </c>
      <c r="G994" s="10">
        <f>IF($BI994="","",IF($B994="Onsite",INDEX(tbl_Onsite[Job Description],$BI994),IF($B994="Production",INDEX(tbl_Production[Job Description],$BI994),INDEX(tbl_Consulting[Job Description],$BI994)))&amp;"")</f>
        <v/>
      </c>
      <c r="H994" s="10">
        <f>IF($BI994="","",IF($B994="Onsite",INDEX(tbl_Onsite[Cost Centre],$BI994),IF($B994="Production",INDEX(tbl_Production[Cost Centre],$BI994),INDEX(tbl_Consulting[Cost Centre],$BI994)))&amp;"")</f>
        <v/>
      </c>
      <c r="I994" s="10">
        <f>IF($BI994="","",IF($B994="Onsite",INDEX(tbl_Onsite[Invoice Type],$BI994),IF($B994="Production",INDEX(tbl_Production[Invoice Type],$BI994),INDEX(tbl_Consulting[Invoice Type],$BI994)))&amp;"")</f>
        <v/>
      </c>
      <c r="J994" s="10">
        <f>IF($BI994="","",IF($B994="Onsite",INDEX(tbl_Onsite[Tax Code],$BI994),IF($B994="Production",INDEX(tbl_Production[Tax Code],$BI994),INDEX(tbl_Consulting[Tax Code],$BI994)))&amp;"")</f>
        <v/>
      </c>
      <c r="K994" s="10">
        <f>IF(H994="","",IFERROR(INDEX(lst_CCtoGL,MATCH(H994,lst_CCforGL,0)),""))</f>
        <v/>
      </c>
      <c r="L994" s="10">
        <f>IF($BI994="","",IF($B994="Onsite",INDEX(tbl_Onsite[PO / Reference],$BI994),IF($B994="Production",INDEX(tbl_Production[Current RMS No],$BI994),INDEX(tbl_Consulting[Qwilr Quote],$BI994)))&amp;"")</f>
        <v/>
      </c>
      <c r="M994" s="10">
        <f>IF($BI994="","",IF($B994="Onsite",INDEX(tbl_Onsite[Notes],$BI994),IF($B994="Production",INDEX(tbl_Production[Notes],$BI994),INDEX(tbl_Consulting[Notes],$BI994)))&amp;"")</f>
        <v/>
      </c>
      <c r="N994" s="11">
        <f>IF($BI994="","",IF(IF($B994="Onsite",INDEX(tbl_Onsite[Expected Revenue Ex GST],$BI994),IF($B994="Production",INDEX(tbl_Production[Expected Revenue Ex GST],$BI994),INDEX(tbl_Consulting[Expected Revenue Ex GST],$BI994)))="","",IF($B994="Onsite",INDEX(tbl_Onsite[Expected Revenue Ex GST],$BI994),IF($B994="Production",INDEX(tbl_Production[Expected Revenue Ex GST],$BI994),INDEX(tbl_Consulting[Expected Revenue Ex GST],$BI994)))))</f>
        <v/>
      </c>
      <c r="O994" s="11">
        <f>IF(AND($C994="",NOT(COUNTA($S994:$BB994)&gt;0)),"",SUM(U994,X994,AA994,AD994,AG994,AJ994,AM994,AP994,AS994,AV994,AY994,BB994))</f>
        <v/>
      </c>
      <c r="P994" s="11">
        <f>IF(O994="","",N(N994)-O994)</f>
        <v/>
      </c>
      <c r="Q994" s="10">
        <f>IF(O994="","",IF($C994="","Invoice on empty job row",IF(N994="",IF(ROUND(O994,2)=0,"No dept value","Invoiced - no dept value"),IF(ROUND(O994,2)=0,"Not invoiced - to invoice",IF(ROUND(P994,2)=0,"Agrees",IF(P994&gt;0,"Dept higher - to invoice","Xero higher - check dept"))))))</f>
        <v/>
      </c>
      <c r="R994" s="10">
        <f>IF(AND($C994="",NOT(COUNTA($S994:$BB994)&gt;0),$BI994&lt;&gt;""),"",MID(IF($BI994="","; Row ID not found on the department sheet - a row was deleted","")&amp;IF(AND($C994="",COUNTA($S994:$BB994)&gt;0),"; Invoice entered but the department row has no job number","")&amp;IF(E994="CHECK","; Job number not in the Xero job list","")&amp;IF(AND($C994&lt;&gt;"",COUNTIF($C$7:$C$1506,$C994)&gt;1),"; Job number on more than one row","")&amp;IF(AND($C994&lt;&gt;"",H994=""),"; Dept has not set a cost centre","")&amp;IF(AND($C994&lt;&gt;"",J994=""),"; Dept has not set a tax code","")&amp;IF(AND($C994&lt;&gt;"",N994=""),"; Dept has not entered an expected value","")&amp;IF((IF(OR(COUNTA(S994:U994)=0,AND(COUNTA(S994:U994)=3,ISNUMBER(U994))),0,1)+IF(OR(COUNTA(V994:X994)=0,AND(COUNTA(V994:X994)=3,ISNUMBER(X994))),0,1)+IF(OR(COUNTA(Y994:AA994)=0,AND(COUNTA(Y994:AA994)=3,ISNUMBER(AA994))),0,1)+IF(OR(COUNTA(AB994:AD994)=0,AND(COUNTA(AB994:AD994)=3,ISNUMBER(AD994))),0,1)+IF(OR(COUNTA(AE994:AG994)=0,AND(COUNTA(AE994:AG994)=3,ISNUMBER(AG994))),0,1)+IF(OR(COUNTA(AH994:AJ994)=0,AND(COUNTA(AH994:AJ994)=3,ISNUMBER(AJ994))),0,1)+IF(OR(COUNTA(AK994:AM994)=0,AND(COUNTA(AK994:AM994)=3,ISNUMBER(AM994))),0,1)+IF(OR(COUNTA(AN994:AP994)=0,AND(COUNTA(AN994:AP994)=3,ISNUMBER(AP994))),0,1)+IF(OR(COUNTA(AQ994:AS994)=0,AND(COUNTA(AQ994:AS994)=3,ISNUMBER(AS994))),0,1)+IF(OR(COUNTA(AT994:AV994)=0,AND(COUNTA(AT994:AV994)=3,ISNUMBER(AV994))),0,1)+IF(OR(COUNTA(AW994:AY994)=0,AND(COUNTA(AW994:AY994)=3,ISNUMBER(AY994))),0,1)+IF(OR(COUNTA(AZ994:BB994)=0,AND(COUNTA(AZ994:BB994)=3,ISNUMBER(BB994))),0,1))&gt;0,"; An invoice is incomplete (needs No, Date and a number in Ex GST)","")&amp;IF((IF(T994="",0,IFERROR(--(EOMONTH(T994,0)&lt;&gt;S$5),1))+IF(W994="",0,IFERROR(--(EOMONTH(W994,0)&lt;&gt;V$5),1))+IF(Z994="",0,IFERROR(--(EOMONTH(Z994,0)&lt;&gt;Y$5),1))+IF(AC994="",0,IFERROR(--(EOMONTH(AC994,0)&lt;&gt;AB$5),1))+IF(AF994="",0,IFERROR(--(EOMONTH(AF994,0)&lt;&gt;AE$5),1))+IF(AI994="",0,IFERROR(--(EOMONTH(AI994,0)&lt;&gt;AH$5),1))+IF(AL994="",0,IFERROR(--(EOMONTH(AL994,0)&lt;&gt;AK$5),1))+IF(AO994="",0,IFERROR(--(EOMONTH(AO994,0)&lt;&gt;AN$5),1))+IF(AR994="",0,IFERROR(--(EOMONTH(AR994,0)&lt;&gt;AQ$5),1))+IF(AU994="",0,IFERROR(--(EOMONTH(AU994,0)&lt;&gt;AT$5),1))+IF(AX994="",0,IFERROR(--(EOMONTH(AX994,0)&lt;&gt;AW$5),1))+IF(BA994="",0,IFERROR(--(EOMONTH(BA994,0)&lt;&gt;AZ$5),1)))&gt;0,"; An invoice date is not in the month it is typed under",""),3,500))</f>
        <v/>
      </c>
      <c r="S994" s="12" t="n"/>
      <c r="T994" s="13" t="n"/>
      <c r="U994" s="14" t="n"/>
      <c r="V994" s="12" t="n"/>
      <c r="W994" s="13" t="n"/>
      <c r="X994" s="14" t="n"/>
      <c r="Y994" s="12" t="n"/>
      <c r="Z994" s="13" t="n"/>
      <c r="AA994" s="14" t="n"/>
      <c r="AB994" s="12" t="n"/>
      <c r="AC994" s="13" t="n"/>
      <c r="AD994" s="14" t="n"/>
      <c r="AE994" s="12" t="n"/>
      <c r="AF994" s="13" t="n"/>
      <c r="AG994" s="14" t="n"/>
      <c r="AH994" s="12" t="n"/>
      <c r="AI994" s="13" t="n"/>
      <c r="AJ994" s="14" t="n"/>
      <c r="AK994" s="12" t="n"/>
      <c r="AL994" s="13" t="n"/>
      <c r="AM994" s="14" t="n"/>
      <c r="AN994" s="12" t="n"/>
      <c r="AO994" s="13" t="n"/>
      <c r="AP994" s="14" t="n"/>
      <c r="AQ994" s="12" t="n"/>
      <c r="AR994" s="13" t="n"/>
      <c r="AS994" s="14" t="n"/>
      <c r="AT994" s="12" t="n"/>
      <c r="AU994" s="13" t="n"/>
      <c r="AV994" s="14" t="n"/>
      <c r="AW994" s="12" t="n"/>
      <c r="AX994" s="13" t="n"/>
      <c r="AY994" s="14" t="n"/>
      <c r="AZ994" s="12" t="n"/>
      <c r="BA994" s="13" t="n"/>
      <c r="BB994" s="14" t="n"/>
      <c r="BC994" s="11">
        <f>IF(O994="","",IF(J994="GST 10%",ROUND(O994*set_GSTRate,2),0))</f>
        <v/>
      </c>
      <c r="BD994" s="11">
        <f>IF(O994="","",O994+BC994)</f>
        <v/>
      </c>
      <c r="BE994" s="15">
        <f>IF(O994="","",COUNTA(S994,V994,Y994,AB994,AE994,AH994,AK994,AN994,AQ994,AT994,AW994,AZ994))</f>
        <v/>
      </c>
      <c r="BF994" s="16">
        <f>IF(COUNT(T994,W994,Z994,AC994,AF994,AI994,AL994,AO994,AR994,AU994,AX994,BA994)=0,"",MAX(T994,W994,Z994,AC994,AF994,AI994,AL994,AO994,AR994,AU994,AX994,BA994))</f>
        <v/>
      </c>
      <c r="BG994" s="10">
        <f>MID(IF(S994="","",", "&amp;S994)&amp;IF(V994="","",", "&amp;V994)&amp;IF(Y994="","",", "&amp;Y994)&amp;IF(AB994="","",", "&amp;AB994)&amp;IF(AE994="","",", "&amp;AE994)&amp;IF(AH994="","",", "&amp;AH994)&amp;IF(AK994="","",", "&amp;AK994)&amp;IF(AN994="","",", "&amp;AN994)&amp;IF(AQ994="","",", "&amp;AQ994)&amp;IF(AT994="","",", "&amp;AT994)&amp;IF(AW994="","",", "&amp;AW994)&amp;IF(AZ994="","",", "&amp;AZ994),3,500)</f>
        <v/>
      </c>
      <c r="BH994" s="12" t="n"/>
      <c r="BI994" s="15">
        <f>IFERROR(MATCH($A994,IF($B994="Onsite",tbl_Onsite[Row ID],IF($B994="Production",tbl_Production[Row ID],tbl_Consulting[Row ID])),0),"")</f>
        <v/>
      </c>
    </row>
    <row r="995">
      <c r="A995" s="10" t="inlineStr">
        <is>
          <t>PRD-0489</t>
        </is>
      </c>
      <c r="B995" s="10" t="inlineStr">
        <is>
          <t>Production</t>
        </is>
      </c>
      <c r="C995" s="10">
        <f>IF($BI995="","",IF($B995="Onsite",INDEX(tbl_Onsite[Job Number],$BI995),IF($B995="Production",INDEX(tbl_Production[Job Number],$BI995),INDEX(tbl_Consulting[Job Number],$BI995)))&amp;"")</f>
        <v/>
      </c>
      <c r="D995" s="10">
        <f>IF($BI995="","",IF($B995="Onsite",INDEX(tbl_Onsite[Client],$BI995),IF($B995="Production",INDEX(tbl_Production[Client],$BI995),INDEX(tbl_Consulting[Client],$BI995)))&amp;"")</f>
        <v/>
      </c>
      <c r="E995" s="10">
        <f>IF($C995="","",IF(COUNTIF(lst_Jobs,$C995)&gt;0,"OK","CHECK"))</f>
        <v/>
      </c>
      <c r="F995" s="10">
        <f>IF($C995="","",IFERROR(INDEX(lst_JobName,MATCH($C995,lst_Jobs,0)),""))</f>
        <v/>
      </c>
      <c r="G995" s="10">
        <f>IF($BI995="","",IF($B995="Onsite",INDEX(tbl_Onsite[Job Description],$BI995),IF($B995="Production",INDEX(tbl_Production[Job Description],$BI995),INDEX(tbl_Consulting[Job Description],$BI995)))&amp;"")</f>
        <v/>
      </c>
      <c r="H995" s="10">
        <f>IF($BI995="","",IF($B995="Onsite",INDEX(tbl_Onsite[Cost Centre],$BI995),IF($B995="Production",INDEX(tbl_Production[Cost Centre],$BI995),INDEX(tbl_Consulting[Cost Centre],$BI995)))&amp;"")</f>
        <v/>
      </c>
      <c r="I995" s="10">
        <f>IF($BI995="","",IF($B995="Onsite",INDEX(tbl_Onsite[Invoice Type],$BI995),IF($B995="Production",INDEX(tbl_Production[Invoice Type],$BI995),INDEX(tbl_Consulting[Invoice Type],$BI995)))&amp;"")</f>
        <v/>
      </c>
      <c r="J995" s="10">
        <f>IF($BI995="","",IF($B995="Onsite",INDEX(tbl_Onsite[Tax Code],$BI995),IF($B995="Production",INDEX(tbl_Production[Tax Code],$BI995),INDEX(tbl_Consulting[Tax Code],$BI995)))&amp;"")</f>
        <v/>
      </c>
      <c r="K995" s="10">
        <f>IF(H995="","",IFERROR(INDEX(lst_CCtoGL,MATCH(H995,lst_CCforGL,0)),""))</f>
        <v/>
      </c>
      <c r="L995" s="10">
        <f>IF($BI995="","",IF($B995="Onsite",INDEX(tbl_Onsite[PO / Reference],$BI995),IF($B995="Production",INDEX(tbl_Production[Current RMS No],$BI995),INDEX(tbl_Consulting[Qwilr Quote],$BI995)))&amp;"")</f>
        <v/>
      </c>
      <c r="M995" s="10">
        <f>IF($BI995="","",IF($B995="Onsite",INDEX(tbl_Onsite[Notes],$BI995),IF($B995="Production",INDEX(tbl_Production[Notes],$BI995),INDEX(tbl_Consulting[Notes],$BI995)))&amp;"")</f>
        <v/>
      </c>
      <c r="N995" s="11">
        <f>IF($BI995="","",IF(IF($B995="Onsite",INDEX(tbl_Onsite[Expected Revenue Ex GST],$BI995),IF($B995="Production",INDEX(tbl_Production[Expected Revenue Ex GST],$BI995),INDEX(tbl_Consulting[Expected Revenue Ex GST],$BI995)))="","",IF($B995="Onsite",INDEX(tbl_Onsite[Expected Revenue Ex GST],$BI995),IF($B995="Production",INDEX(tbl_Production[Expected Revenue Ex GST],$BI995),INDEX(tbl_Consulting[Expected Revenue Ex GST],$BI995)))))</f>
        <v/>
      </c>
      <c r="O995" s="11">
        <f>IF(AND($C995="",NOT(COUNTA($S995:$BB995)&gt;0)),"",SUM(U995,X995,AA995,AD995,AG995,AJ995,AM995,AP995,AS995,AV995,AY995,BB995))</f>
        <v/>
      </c>
      <c r="P995" s="11">
        <f>IF(O995="","",N(N995)-O995)</f>
        <v/>
      </c>
      <c r="Q995" s="10">
        <f>IF(O995="","",IF($C995="","Invoice on empty job row",IF(N995="",IF(ROUND(O995,2)=0,"No dept value","Invoiced - no dept value"),IF(ROUND(O995,2)=0,"Not invoiced - to invoice",IF(ROUND(P995,2)=0,"Agrees",IF(P995&gt;0,"Dept higher - to invoice","Xero higher - check dept"))))))</f>
        <v/>
      </c>
      <c r="R995" s="10">
        <f>IF(AND($C995="",NOT(COUNTA($S995:$BB995)&gt;0),$BI995&lt;&gt;""),"",MID(IF($BI995="","; Row ID not found on the department sheet - a row was deleted","")&amp;IF(AND($C995="",COUNTA($S995:$BB995)&gt;0),"; Invoice entered but the department row has no job number","")&amp;IF(E995="CHECK","; Job number not in the Xero job list","")&amp;IF(AND($C995&lt;&gt;"",COUNTIF($C$7:$C$1506,$C995)&gt;1),"; Job number on more than one row","")&amp;IF(AND($C995&lt;&gt;"",H995=""),"; Dept has not set a cost centre","")&amp;IF(AND($C995&lt;&gt;"",J995=""),"; Dept has not set a tax code","")&amp;IF(AND($C995&lt;&gt;"",N995=""),"; Dept has not entered an expected value","")&amp;IF((IF(OR(COUNTA(S995:U995)=0,AND(COUNTA(S995:U995)=3,ISNUMBER(U995))),0,1)+IF(OR(COUNTA(V995:X995)=0,AND(COUNTA(V995:X995)=3,ISNUMBER(X995))),0,1)+IF(OR(COUNTA(Y995:AA995)=0,AND(COUNTA(Y995:AA995)=3,ISNUMBER(AA995))),0,1)+IF(OR(COUNTA(AB995:AD995)=0,AND(COUNTA(AB995:AD995)=3,ISNUMBER(AD995))),0,1)+IF(OR(COUNTA(AE995:AG995)=0,AND(COUNTA(AE995:AG995)=3,ISNUMBER(AG995))),0,1)+IF(OR(COUNTA(AH995:AJ995)=0,AND(COUNTA(AH995:AJ995)=3,ISNUMBER(AJ995))),0,1)+IF(OR(COUNTA(AK995:AM995)=0,AND(COUNTA(AK995:AM995)=3,ISNUMBER(AM995))),0,1)+IF(OR(COUNTA(AN995:AP995)=0,AND(COUNTA(AN995:AP995)=3,ISNUMBER(AP995))),0,1)+IF(OR(COUNTA(AQ995:AS995)=0,AND(COUNTA(AQ995:AS995)=3,ISNUMBER(AS995))),0,1)+IF(OR(COUNTA(AT995:AV995)=0,AND(COUNTA(AT995:AV995)=3,ISNUMBER(AV995))),0,1)+IF(OR(COUNTA(AW995:AY995)=0,AND(COUNTA(AW995:AY995)=3,ISNUMBER(AY995))),0,1)+IF(OR(COUNTA(AZ995:BB995)=0,AND(COUNTA(AZ995:BB995)=3,ISNUMBER(BB995))),0,1))&gt;0,"; An invoice is incomplete (needs No, Date and a number in Ex GST)","")&amp;IF((IF(T995="",0,IFERROR(--(EOMONTH(T995,0)&lt;&gt;S$5),1))+IF(W995="",0,IFERROR(--(EOMONTH(W995,0)&lt;&gt;V$5),1))+IF(Z995="",0,IFERROR(--(EOMONTH(Z995,0)&lt;&gt;Y$5),1))+IF(AC995="",0,IFERROR(--(EOMONTH(AC995,0)&lt;&gt;AB$5),1))+IF(AF995="",0,IFERROR(--(EOMONTH(AF995,0)&lt;&gt;AE$5),1))+IF(AI995="",0,IFERROR(--(EOMONTH(AI995,0)&lt;&gt;AH$5),1))+IF(AL995="",0,IFERROR(--(EOMONTH(AL995,0)&lt;&gt;AK$5),1))+IF(AO995="",0,IFERROR(--(EOMONTH(AO995,0)&lt;&gt;AN$5),1))+IF(AR995="",0,IFERROR(--(EOMONTH(AR995,0)&lt;&gt;AQ$5),1))+IF(AU995="",0,IFERROR(--(EOMONTH(AU995,0)&lt;&gt;AT$5),1))+IF(AX995="",0,IFERROR(--(EOMONTH(AX995,0)&lt;&gt;AW$5),1))+IF(BA995="",0,IFERROR(--(EOMONTH(BA995,0)&lt;&gt;AZ$5),1)))&gt;0,"; An invoice date is not in the month it is typed under",""),3,500))</f>
        <v/>
      </c>
      <c r="S995" s="12" t="n"/>
      <c r="T995" s="13" t="n"/>
      <c r="U995" s="14" t="n"/>
      <c r="V995" s="12" t="n"/>
      <c r="W995" s="13" t="n"/>
      <c r="X995" s="14" t="n"/>
      <c r="Y995" s="12" t="n"/>
      <c r="Z995" s="13" t="n"/>
      <c r="AA995" s="14" t="n"/>
      <c r="AB995" s="12" t="n"/>
      <c r="AC995" s="13" t="n"/>
      <c r="AD995" s="14" t="n"/>
      <c r="AE995" s="12" t="n"/>
      <c r="AF995" s="13" t="n"/>
      <c r="AG995" s="14" t="n"/>
      <c r="AH995" s="12" t="n"/>
      <c r="AI995" s="13" t="n"/>
      <c r="AJ995" s="14" t="n"/>
      <c r="AK995" s="12" t="n"/>
      <c r="AL995" s="13" t="n"/>
      <c r="AM995" s="14" t="n"/>
      <c r="AN995" s="12" t="n"/>
      <c r="AO995" s="13" t="n"/>
      <c r="AP995" s="14" t="n"/>
      <c r="AQ995" s="12" t="n"/>
      <c r="AR995" s="13" t="n"/>
      <c r="AS995" s="14" t="n"/>
      <c r="AT995" s="12" t="n"/>
      <c r="AU995" s="13" t="n"/>
      <c r="AV995" s="14" t="n"/>
      <c r="AW995" s="12" t="n"/>
      <c r="AX995" s="13" t="n"/>
      <c r="AY995" s="14" t="n"/>
      <c r="AZ995" s="12" t="n"/>
      <c r="BA995" s="13" t="n"/>
      <c r="BB995" s="14" t="n"/>
      <c r="BC995" s="11">
        <f>IF(O995="","",IF(J995="GST 10%",ROUND(O995*set_GSTRate,2),0))</f>
        <v/>
      </c>
      <c r="BD995" s="11">
        <f>IF(O995="","",O995+BC995)</f>
        <v/>
      </c>
      <c r="BE995" s="15">
        <f>IF(O995="","",COUNTA(S995,V995,Y995,AB995,AE995,AH995,AK995,AN995,AQ995,AT995,AW995,AZ995))</f>
        <v/>
      </c>
      <c r="BF995" s="16">
        <f>IF(COUNT(T995,W995,Z995,AC995,AF995,AI995,AL995,AO995,AR995,AU995,AX995,BA995)=0,"",MAX(T995,W995,Z995,AC995,AF995,AI995,AL995,AO995,AR995,AU995,AX995,BA995))</f>
        <v/>
      </c>
      <c r="BG995" s="10">
        <f>MID(IF(S995="","",", "&amp;S995)&amp;IF(V995="","",", "&amp;V995)&amp;IF(Y995="","",", "&amp;Y995)&amp;IF(AB995="","",", "&amp;AB995)&amp;IF(AE995="","",", "&amp;AE995)&amp;IF(AH995="","",", "&amp;AH995)&amp;IF(AK995="","",", "&amp;AK995)&amp;IF(AN995="","",", "&amp;AN995)&amp;IF(AQ995="","",", "&amp;AQ995)&amp;IF(AT995="","",", "&amp;AT995)&amp;IF(AW995="","",", "&amp;AW995)&amp;IF(AZ995="","",", "&amp;AZ995),3,500)</f>
        <v/>
      </c>
      <c r="BH995" s="12" t="n"/>
      <c r="BI995" s="15">
        <f>IFERROR(MATCH($A995,IF($B995="Onsite",tbl_Onsite[Row ID],IF($B995="Production",tbl_Production[Row ID],tbl_Consulting[Row ID])),0),"")</f>
        <v/>
      </c>
    </row>
    <row r="996">
      <c r="A996" s="10" t="inlineStr">
        <is>
          <t>PRD-0490</t>
        </is>
      </c>
      <c r="B996" s="10" t="inlineStr">
        <is>
          <t>Production</t>
        </is>
      </c>
      <c r="C996" s="10">
        <f>IF($BI996="","",IF($B996="Onsite",INDEX(tbl_Onsite[Job Number],$BI996),IF($B996="Production",INDEX(tbl_Production[Job Number],$BI996),INDEX(tbl_Consulting[Job Number],$BI996)))&amp;"")</f>
        <v/>
      </c>
      <c r="D996" s="10">
        <f>IF($BI996="","",IF($B996="Onsite",INDEX(tbl_Onsite[Client],$BI996),IF($B996="Production",INDEX(tbl_Production[Client],$BI996),INDEX(tbl_Consulting[Client],$BI996)))&amp;"")</f>
        <v/>
      </c>
      <c r="E996" s="10">
        <f>IF($C996="","",IF(COUNTIF(lst_Jobs,$C996)&gt;0,"OK","CHECK"))</f>
        <v/>
      </c>
      <c r="F996" s="10">
        <f>IF($C996="","",IFERROR(INDEX(lst_JobName,MATCH($C996,lst_Jobs,0)),""))</f>
        <v/>
      </c>
      <c r="G996" s="10">
        <f>IF($BI996="","",IF($B996="Onsite",INDEX(tbl_Onsite[Job Description],$BI996),IF($B996="Production",INDEX(tbl_Production[Job Description],$BI996),INDEX(tbl_Consulting[Job Description],$BI996)))&amp;"")</f>
        <v/>
      </c>
      <c r="H996" s="10">
        <f>IF($BI996="","",IF($B996="Onsite",INDEX(tbl_Onsite[Cost Centre],$BI996),IF($B996="Production",INDEX(tbl_Production[Cost Centre],$BI996),INDEX(tbl_Consulting[Cost Centre],$BI996)))&amp;"")</f>
        <v/>
      </c>
      <c r="I996" s="10">
        <f>IF($BI996="","",IF($B996="Onsite",INDEX(tbl_Onsite[Invoice Type],$BI996),IF($B996="Production",INDEX(tbl_Production[Invoice Type],$BI996),INDEX(tbl_Consulting[Invoice Type],$BI996)))&amp;"")</f>
        <v/>
      </c>
      <c r="J996" s="10">
        <f>IF($BI996="","",IF($B996="Onsite",INDEX(tbl_Onsite[Tax Code],$BI996),IF($B996="Production",INDEX(tbl_Production[Tax Code],$BI996),INDEX(tbl_Consulting[Tax Code],$BI996)))&amp;"")</f>
        <v/>
      </c>
      <c r="K996" s="10">
        <f>IF(H996="","",IFERROR(INDEX(lst_CCtoGL,MATCH(H996,lst_CCforGL,0)),""))</f>
        <v/>
      </c>
      <c r="L996" s="10">
        <f>IF($BI996="","",IF($B996="Onsite",INDEX(tbl_Onsite[PO / Reference],$BI996),IF($B996="Production",INDEX(tbl_Production[Current RMS No],$BI996),INDEX(tbl_Consulting[Qwilr Quote],$BI996)))&amp;"")</f>
        <v/>
      </c>
      <c r="M996" s="10">
        <f>IF($BI996="","",IF($B996="Onsite",INDEX(tbl_Onsite[Notes],$BI996),IF($B996="Production",INDEX(tbl_Production[Notes],$BI996),INDEX(tbl_Consulting[Notes],$BI996)))&amp;"")</f>
        <v/>
      </c>
      <c r="N996" s="11">
        <f>IF($BI996="","",IF(IF($B996="Onsite",INDEX(tbl_Onsite[Expected Revenue Ex GST],$BI996),IF($B996="Production",INDEX(tbl_Production[Expected Revenue Ex GST],$BI996),INDEX(tbl_Consulting[Expected Revenue Ex GST],$BI996)))="","",IF($B996="Onsite",INDEX(tbl_Onsite[Expected Revenue Ex GST],$BI996),IF($B996="Production",INDEX(tbl_Production[Expected Revenue Ex GST],$BI996),INDEX(tbl_Consulting[Expected Revenue Ex GST],$BI996)))))</f>
        <v/>
      </c>
      <c r="O996" s="11">
        <f>IF(AND($C996="",NOT(COUNTA($S996:$BB996)&gt;0)),"",SUM(U996,X996,AA996,AD996,AG996,AJ996,AM996,AP996,AS996,AV996,AY996,BB996))</f>
        <v/>
      </c>
      <c r="P996" s="11">
        <f>IF(O996="","",N(N996)-O996)</f>
        <v/>
      </c>
      <c r="Q996" s="10">
        <f>IF(O996="","",IF($C996="","Invoice on empty job row",IF(N996="",IF(ROUND(O996,2)=0,"No dept value","Invoiced - no dept value"),IF(ROUND(O996,2)=0,"Not invoiced - to invoice",IF(ROUND(P996,2)=0,"Agrees",IF(P996&gt;0,"Dept higher - to invoice","Xero higher - check dept"))))))</f>
        <v/>
      </c>
      <c r="R996" s="10">
        <f>IF(AND($C996="",NOT(COUNTA($S996:$BB996)&gt;0),$BI996&lt;&gt;""),"",MID(IF($BI996="","; Row ID not found on the department sheet - a row was deleted","")&amp;IF(AND($C996="",COUNTA($S996:$BB996)&gt;0),"; Invoice entered but the department row has no job number","")&amp;IF(E996="CHECK","; Job number not in the Xero job list","")&amp;IF(AND($C996&lt;&gt;"",COUNTIF($C$7:$C$1506,$C996)&gt;1),"; Job number on more than one row","")&amp;IF(AND($C996&lt;&gt;"",H996=""),"; Dept has not set a cost centre","")&amp;IF(AND($C996&lt;&gt;"",J996=""),"; Dept has not set a tax code","")&amp;IF(AND($C996&lt;&gt;"",N996=""),"; Dept has not entered an expected value","")&amp;IF((IF(OR(COUNTA(S996:U996)=0,AND(COUNTA(S996:U996)=3,ISNUMBER(U996))),0,1)+IF(OR(COUNTA(V996:X996)=0,AND(COUNTA(V996:X996)=3,ISNUMBER(X996))),0,1)+IF(OR(COUNTA(Y996:AA996)=0,AND(COUNTA(Y996:AA996)=3,ISNUMBER(AA996))),0,1)+IF(OR(COUNTA(AB996:AD996)=0,AND(COUNTA(AB996:AD996)=3,ISNUMBER(AD996))),0,1)+IF(OR(COUNTA(AE996:AG996)=0,AND(COUNTA(AE996:AG996)=3,ISNUMBER(AG996))),0,1)+IF(OR(COUNTA(AH996:AJ996)=0,AND(COUNTA(AH996:AJ996)=3,ISNUMBER(AJ996))),0,1)+IF(OR(COUNTA(AK996:AM996)=0,AND(COUNTA(AK996:AM996)=3,ISNUMBER(AM996))),0,1)+IF(OR(COUNTA(AN996:AP996)=0,AND(COUNTA(AN996:AP996)=3,ISNUMBER(AP996))),0,1)+IF(OR(COUNTA(AQ996:AS996)=0,AND(COUNTA(AQ996:AS996)=3,ISNUMBER(AS996))),0,1)+IF(OR(COUNTA(AT996:AV996)=0,AND(COUNTA(AT996:AV996)=3,ISNUMBER(AV996))),0,1)+IF(OR(COUNTA(AW996:AY996)=0,AND(COUNTA(AW996:AY996)=3,ISNUMBER(AY996))),0,1)+IF(OR(COUNTA(AZ996:BB996)=0,AND(COUNTA(AZ996:BB996)=3,ISNUMBER(BB996))),0,1))&gt;0,"; An invoice is incomplete (needs No, Date and a number in Ex GST)","")&amp;IF((IF(T996="",0,IFERROR(--(EOMONTH(T996,0)&lt;&gt;S$5),1))+IF(W996="",0,IFERROR(--(EOMONTH(W996,0)&lt;&gt;V$5),1))+IF(Z996="",0,IFERROR(--(EOMONTH(Z996,0)&lt;&gt;Y$5),1))+IF(AC996="",0,IFERROR(--(EOMONTH(AC996,0)&lt;&gt;AB$5),1))+IF(AF996="",0,IFERROR(--(EOMONTH(AF996,0)&lt;&gt;AE$5),1))+IF(AI996="",0,IFERROR(--(EOMONTH(AI996,0)&lt;&gt;AH$5),1))+IF(AL996="",0,IFERROR(--(EOMONTH(AL996,0)&lt;&gt;AK$5),1))+IF(AO996="",0,IFERROR(--(EOMONTH(AO996,0)&lt;&gt;AN$5),1))+IF(AR996="",0,IFERROR(--(EOMONTH(AR996,0)&lt;&gt;AQ$5),1))+IF(AU996="",0,IFERROR(--(EOMONTH(AU996,0)&lt;&gt;AT$5),1))+IF(AX996="",0,IFERROR(--(EOMONTH(AX996,0)&lt;&gt;AW$5),1))+IF(BA996="",0,IFERROR(--(EOMONTH(BA996,0)&lt;&gt;AZ$5),1)))&gt;0,"; An invoice date is not in the month it is typed under",""),3,500))</f>
        <v/>
      </c>
      <c r="S996" s="12" t="n"/>
      <c r="T996" s="13" t="n"/>
      <c r="U996" s="14" t="n"/>
      <c r="V996" s="12" t="n"/>
      <c r="W996" s="13" t="n"/>
      <c r="X996" s="14" t="n"/>
      <c r="Y996" s="12" t="n"/>
      <c r="Z996" s="13" t="n"/>
      <c r="AA996" s="14" t="n"/>
      <c r="AB996" s="12" t="n"/>
      <c r="AC996" s="13" t="n"/>
      <c r="AD996" s="14" t="n"/>
      <c r="AE996" s="12" t="n"/>
      <c r="AF996" s="13" t="n"/>
      <c r="AG996" s="14" t="n"/>
      <c r="AH996" s="12" t="n"/>
      <c r="AI996" s="13" t="n"/>
      <c r="AJ996" s="14" t="n"/>
      <c r="AK996" s="12" t="n"/>
      <c r="AL996" s="13" t="n"/>
      <c r="AM996" s="14" t="n"/>
      <c r="AN996" s="12" t="n"/>
      <c r="AO996" s="13" t="n"/>
      <c r="AP996" s="14" t="n"/>
      <c r="AQ996" s="12" t="n"/>
      <c r="AR996" s="13" t="n"/>
      <c r="AS996" s="14" t="n"/>
      <c r="AT996" s="12" t="n"/>
      <c r="AU996" s="13" t="n"/>
      <c r="AV996" s="14" t="n"/>
      <c r="AW996" s="12" t="n"/>
      <c r="AX996" s="13" t="n"/>
      <c r="AY996" s="14" t="n"/>
      <c r="AZ996" s="12" t="n"/>
      <c r="BA996" s="13" t="n"/>
      <c r="BB996" s="14" t="n"/>
      <c r="BC996" s="11">
        <f>IF(O996="","",IF(J996="GST 10%",ROUND(O996*set_GSTRate,2),0))</f>
        <v/>
      </c>
      <c r="BD996" s="11">
        <f>IF(O996="","",O996+BC996)</f>
        <v/>
      </c>
      <c r="BE996" s="15">
        <f>IF(O996="","",COUNTA(S996,V996,Y996,AB996,AE996,AH996,AK996,AN996,AQ996,AT996,AW996,AZ996))</f>
        <v/>
      </c>
      <c r="BF996" s="16">
        <f>IF(COUNT(T996,W996,Z996,AC996,AF996,AI996,AL996,AO996,AR996,AU996,AX996,BA996)=0,"",MAX(T996,W996,Z996,AC996,AF996,AI996,AL996,AO996,AR996,AU996,AX996,BA996))</f>
        <v/>
      </c>
      <c r="BG996" s="10">
        <f>MID(IF(S996="","",", "&amp;S996)&amp;IF(V996="","",", "&amp;V996)&amp;IF(Y996="","",", "&amp;Y996)&amp;IF(AB996="","",", "&amp;AB996)&amp;IF(AE996="","",", "&amp;AE996)&amp;IF(AH996="","",", "&amp;AH996)&amp;IF(AK996="","",", "&amp;AK996)&amp;IF(AN996="","",", "&amp;AN996)&amp;IF(AQ996="","",", "&amp;AQ996)&amp;IF(AT996="","",", "&amp;AT996)&amp;IF(AW996="","",", "&amp;AW996)&amp;IF(AZ996="","",", "&amp;AZ996),3,500)</f>
        <v/>
      </c>
      <c r="BH996" s="12" t="n"/>
      <c r="BI996" s="15">
        <f>IFERROR(MATCH($A996,IF($B996="Onsite",tbl_Onsite[Row ID],IF($B996="Production",tbl_Production[Row ID],tbl_Consulting[Row ID])),0),"")</f>
        <v/>
      </c>
    </row>
    <row r="997">
      <c r="A997" s="10" t="inlineStr">
        <is>
          <t>PRD-0491</t>
        </is>
      </c>
      <c r="B997" s="10" t="inlineStr">
        <is>
          <t>Production</t>
        </is>
      </c>
      <c r="C997" s="10">
        <f>IF($BI997="","",IF($B997="Onsite",INDEX(tbl_Onsite[Job Number],$BI997),IF($B997="Production",INDEX(tbl_Production[Job Number],$BI997),INDEX(tbl_Consulting[Job Number],$BI997)))&amp;"")</f>
        <v/>
      </c>
      <c r="D997" s="10">
        <f>IF($BI997="","",IF($B997="Onsite",INDEX(tbl_Onsite[Client],$BI997),IF($B997="Production",INDEX(tbl_Production[Client],$BI997),INDEX(tbl_Consulting[Client],$BI997)))&amp;"")</f>
        <v/>
      </c>
      <c r="E997" s="10">
        <f>IF($C997="","",IF(COUNTIF(lst_Jobs,$C997)&gt;0,"OK","CHECK"))</f>
        <v/>
      </c>
      <c r="F997" s="10">
        <f>IF($C997="","",IFERROR(INDEX(lst_JobName,MATCH($C997,lst_Jobs,0)),""))</f>
        <v/>
      </c>
      <c r="G997" s="10">
        <f>IF($BI997="","",IF($B997="Onsite",INDEX(tbl_Onsite[Job Description],$BI997),IF($B997="Production",INDEX(tbl_Production[Job Description],$BI997),INDEX(tbl_Consulting[Job Description],$BI997)))&amp;"")</f>
        <v/>
      </c>
      <c r="H997" s="10">
        <f>IF($BI997="","",IF($B997="Onsite",INDEX(tbl_Onsite[Cost Centre],$BI997),IF($B997="Production",INDEX(tbl_Production[Cost Centre],$BI997),INDEX(tbl_Consulting[Cost Centre],$BI997)))&amp;"")</f>
        <v/>
      </c>
      <c r="I997" s="10">
        <f>IF($BI997="","",IF($B997="Onsite",INDEX(tbl_Onsite[Invoice Type],$BI997),IF($B997="Production",INDEX(tbl_Production[Invoice Type],$BI997),INDEX(tbl_Consulting[Invoice Type],$BI997)))&amp;"")</f>
        <v/>
      </c>
      <c r="J997" s="10">
        <f>IF($BI997="","",IF($B997="Onsite",INDEX(tbl_Onsite[Tax Code],$BI997),IF($B997="Production",INDEX(tbl_Production[Tax Code],$BI997),INDEX(tbl_Consulting[Tax Code],$BI997)))&amp;"")</f>
        <v/>
      </c>
      <c r="K997" s="10">
        <f>IF(H997="","",IFERROR(INDEX(lst_CCtoGL,MATCH(H997,lst_CCforGL,0)),""))</f>
        <v/>
      </c>
      <c r="L997" s="10">
        <f>IF($BI997="","",IF($B997="Onsite",INDEX(tbl_Onsite[PO / Reference],$BI997),IF($B997="Production",INDEX(tbl_Production[Current RMS No],$BI997),INDEX(tbl_Consulting[Qwilr Quote],$BI997)))&amp;"")</f>
        <v/>
      </c>
      <c r="M997" s="10">
        <f>IF($BI997="","",IF($B997="Onsite",INDEX(tbl_Onsite[Notes],$BI997),IF($B997="Production",INDEX(tbl_Production[Notes],$BI997),INDEX(tbl_Consulting[Notes],$BI997)))&amp;"")</f>
        <v/>
      </c>
      <c r="N997" s="11">
        <f>IF($BI997="","",IF(IF($B997="Onsite",INDEX(tbl_Onsite[Expected Revenue Ex GST],$BI997),IF($B997="Production",INDEX(tbl_Production[Expected Revenue Ex GST],$BI997),INDEX(tbl_Consulting[Expected Revenue Ex GST],$BI997)))="","",IF($B997="Onsite",INDEX(tbl_Onsite[Expected Revenue Ex GST],$BI997),IF($B997="Production",INDEX(tbl_Production[Expected Revenue Ex GST],$BI997),INDEX(tbl_Consulting[Expected Revenue Ex GST],$BI997)))))</f>
        <v/>
      </c>
      <c r="O997" s="11">
        <f>IF(AND($C997="",NOT(COUNTA($S997:$BB997)&gt;0)),"",SUM(U997,X997,AA997,AD997,AG997,AJ997,AM997,AP997,AS997,AV997,AY997,BB997))</f>
        <v/>
      </c>
      <c r="P997" s="11">
        <f>IF(O997="","",N(N997)-O997)</f>
        <v/>
      </c>
      <c r="Q997" s="10">
        <f>IF(O997="","",IF($C997="","Invoice on empty job row",IF(N997="",IF(ROUND(O997,2)=0,"No dept value","Invoiced - no dept value"),IF(ROUND(O997,2)=0,"Not invoiced - to invoice",IF(ROUND(P997,2)=0,"Agrees",IF(P997&gt;0,"Dept higher - to invoice","Xero higher - check dept"))))))</f>
        <v/>
      </c>
      <c r="R997" s="10">
        <f>IF(AND($C997="",NOT(COUNTA($S997:$BB997)&gt;0),$BI997&lt;&gt;""),"",MID(IF($BI997="","; Row ID not found on the department sheet - a row was deleted","")&amp;IF(AND($C997="",COUNTA($S997:$BB997)&gt;0),"; Invoice entered but the department row has no job number","")&amp;IF(E997="CHECK","; Job number not in the Xero job list","")&amp;IF(AND($C997&lt;&gt;"",COUNTIF($C$7:$C$1506,$C997)&gt;1),"; Job number on more than one row","")&amp;IF(AND($C997&lt;&gt;"",H997=""),"; Dept has not set a cost centre","")&amp;IF(AND($C997&lt;&gt;"",J997=""),"; Dept has not set a tax code","")&amp;IF(AND($C997&lt;&gt;"",N997=""),"; Dept has not entered an expected value","")&amp;IF((IF(OR(COUNTA(S997:U997)=0,AND(COUNTA(S997:U997)=3,ISNUMBER(U997))),0,1)+IF(OR(COUNTA(V997:X997)=0,AND(COUNTA(V997:X997)=3,ISNUMBER(X997))),0,1)+IF(OR(COUNTA(Y997:AA997)=0,AND(COUNTA(Y997:AA997)=3,ISNUMBER(AA997))),0,1)+IF(OR(COUNTA(AB997:AD997)=0,AND(COUNTA(AB997:AD997)=3,ISNUMBER(AD997))),0,1)+IF(OR(COUNTA(AE997:AG997)=0,AND(COUNTA(AE997:AG997)=3,ISNUMBER(AG997))),0,1)+IF(OR(COUNTA(AH997:AJ997)=0,AND(COUNTA(AH997:AJ997)=3,ISNUMBER(AJ997))),0,1)+IF(OR(COUNTA(AK997:AM997)=0,AND(COUNTA(AK997:AM997)=3,ISNUMBER(AM997))),0,1)+IF(OR(COUNTA(AN997:AP997)=0,AND(COUNTA(AN997:AP997)=3,ISNUMBER(AP997))),0,1)+IF(OR(COUNTA(AQ997:AS997)=0,AND(COUNTA(AQ997:AS997)=3,ISNUMBER(AS997))),0,1)+IF(OR(COUNTA(AT997:AV997)=0,AND(COUNTA(AT997:AV997)=3,ISNUMBER(AV997))),0,1)+IF(OR(COUNTA(AW997:AY997)=0,AND(COUNTA(AW997:AY997)=3,ISNUMBER(AY997))),0,1)+IF(OR(COUNTA(AZ997:BB997)=0,AND(COUNTA(AZ997:BB997)=3,ISNUMBER(BB997))),0,1))&gt;0,"; An invoice is incomplete (needs No, Date and a number in Ex GST)","")&amp;IF((IF(T997="",0,IFERROR(--(EOMONTH(T997,0)&lt;&gt;S$5),1))+IF(W997="",0,IFERROR(--(EOMONTH(W997,0)&lt;&gt;V$5),1))+IF(Z997="",0,IFERROR(--(EOMONTH(Z997,0)&lt;&gt;Y$5),1))+IF(AC997="",0,IFERROR(--(EOMONTH(AC997,0)&lt;&gt;AB$5),1))+IF(AF997="",0,IFERROR(--(EOMONTH(AF997,0)&lt;&gt;AE$5),1))+IF(AI997="",0,IFERROR(--(EOMONTH(AI997,0)&lt;&gt;AH$5),1))+IF(AL997="",0,IFERROR(--(EOMONTH(AL997,0)&lt;&gt;AK$5),1))+IF(AO997="",0,IFERROR(--(EOMONTH(AO997,0)&lt;&gt;AN$5),1))+IF(AR997="",0,IFERROR(--(EOMONTH(AR997,0)&lt;&gt;AQ$5),1))+IF(AU997="",0,IFERROR(--(EOMONTH(AU997,0)&lt;&gt;AT$5),1))+IF(AX997="",0,IFERROR(--(EOMONTH(AX997,0)&lt;&gt;AW$5),1))+IF(BA997="",0,IFERROR(--(EOMONTH(BA997,0)&lt;&gt;AZ$5),1)))&gt;0,"; An invoice date is not in the month it is typed under",""),3,500))</f>
        <v/>
      </c>
      <c r="S997" s="12" t="n"/>
      <c r="T997" s="13" t="n"/>
      <c r="U997" s="14" t="n"/>
      <c r="V997" s="12" t="n"/>
      <c r="W997" s="13" t="n"/>
      <c r="X997" s="14" t="n"/>
      <c r="Y997" s="12" t="n"/>
      <c r="Z997" s="13" t="n"/>
      <c r="AA997" s="14" t="n"/>
      <c r="AB997" s="12" t="n"/>
      <c r="AC997" s="13" t="n"/>
      <c r="AD997" s="14" t="n"/>
      <c r="AE997" s="12" t="n"/>
      <c r="AF997" s="13" t="n"/>
      <c r="AG997" s="14" t="n"/>
      <c r="AH997" s="12" t="n"/>
      <c r="AI997" s="13" t="n"/>
      <c r="AJ997" s="14" t="n"/>
      <c r="AK997" s="12" t="n"/>
      <c r="AL997" s="13" t="n"/>
      <c r="AM997" s="14" t="n"/>
      <c r="AN997" s="12" t="n"/>
      <c r="AO997" s="13" t="n"/>
      <c r="AP997" s="14" t="n"/>
      <c r="AQ997" s="12" t="n"/>
      <c r="AR997" s="13" t="n"/>
      <c r="AS997" s="14" t="n"/>
      <c r="AT997" s="12" t="n"/>
      <c r="AU997" s="13" t="n"/>
      <c r="AV997" s="14" t="n"/>
      <c r="AW997" s="12" t="n"/>
      <c r="AX997" s="13" t="n"/>
      <c r="AY997" s="14" t="n"/>
      <c r="AZ997" s="12" t="n"/>
      <c r="BA997" s="13" t="n"/>
      <c r="BB997" s="14" t="n"/>
      <c r="BC997" s="11">
        <f>IF(O997="","",IF(J997="GST 10%",ROUND(O997*set_GSTRate,2),0))</f>
        <v/>
      </c>
      <c r="BD997" s="11">
        <f>IF(O997="","",O997+BC997)</f>
        <v/>
      </c>
      <c r="BE997" s="15">
        <f>IF(O997="","",COUNTA(S997,V997,Y997,AB997,AE997,AH997,AK997,AN997,AQ997,AT997,AW997,AZ997))</f>
        <v/>
      </c>
      <c r="BF997" s="16">
        <f>IF(COUNT(T997,W997,Z997,AC997,AF997,AI997,AL997,AO997,AR997,AU997,AX997,BA997)=0,"",MAX(T997,W997,Z997,AC997,AF997,AI997,AL997,AO997,AR997,AU997,AX997,BA997))</f>
        <v/>
      </c>
      <c r="BG997" s="10">
        <f>MID(IF(S997="","",", "&amp;S997)&amp;IF(V997="","",", "&amp;V997)&amp;IF(Y997="","",", "&amp;Y997)&amp;IF(AB997="","",", "&amp;AB997)&amp;IF(AE997="","",", "&amp;AE997)&amp;IF(AH997="","",", "&amp;AH997)&amp;IF(AK997="","",", "&amp;AK997)&amp;IF(AN997="","",", "&amp;AN997)&amp;IF(AQ997="","",", "&amp;AQ997)&amp;IF(AT997="","",", "&amp;AT997)&amp;IF(AW997="","",", "&amp;AW997)&amp;IF(AZ997="","",", "&amp;AZ997),3,500)</f>
        <v/>
      </c>
      <c r="BH997" s="12" t="n"/>
      <c r="BI997" s="15">
        <f>IFERROR(MATCH($A997,IF($B997="Onsite",tbl_Onsite[Row ID],IF($B997="Production",tbl_Production[Row ID],tbl_Consulting[Row ID])),0),"")</f>
        <v/>
      </c>
    </row>
    <row r="998">
      <c r="A998" s="10" t="inlineStr">
        <is>
          <t>PRD-0492</t>
        </is>
      </c>
      <c r="B998" s="10" t="inlineStr">
        <is>
          <t>Production</t>
        </is>
      </c>
      <c r="C998" s="10">
        <f>IF($BI998="","",IF($B998="Onsite",INDEX(tbl_Onsite[Job Number],$BI998),IF($B998="Production",INDEX(tbl_Production[Job Number],$BI998),INDEX(tbl_Consulting[Job Number],$BI998)))&amp;"")</f>
        <v/>
      </c>
      <c r="D998" s="10">
        <f>IF($BI998="","",IF($B998="Onsite",INDEX(tbl_Onsite[Client],$BI998),IF($B998="Production",INDEX(tbl_Production[Client],$BI998),INDEX(tbl_Consulting[Client],$BI998)))&amp;"")</f>
        <v/>
      </c>
      <c r="E998" s="10">
        <f>IF($C998="","",IF(COUNTIF(lst_Jobs,$C998)&gt;0,"OK","CHECK"))</f>
        <v/>
      </c>
      <c r="F998" s="10">
        <f>IF($C998="","",IFERROR(INDEX(lst_JobName,MATCH($C998,lst_Jobs,0)),""))</f>
        <v/>
      </c>
      <c r="G998" s="10">
        <f>IF($BI998="","",IF($B998="Onsite",INDEX(tbl_Onsite[Job Description],$BI998),IF($B998="Production",INDEX(tbl_Production[Job Description],$BI998),INDEX(tbl_Consulting[Job Description],$BI998)))&amp;"")</f>
        <v/>
      </c>
      <c r="H998" s="10">
        <f>IF($BI998="","",IF($B998="Onsite",INDEX(tbl_Onsite[Cost Centre],$BI998),IF($B998="Production",INDEX(tbl_Production[Cost Centre],$BI998),INDEX(tbl_Consulting[Cost Centre],$BI998)))&amp;"")</f>
        <v/>
      </c>
      <c r="I998" s="10">
        <f>IF($BI998="","",IF($B998="Onsite",INDEX(tbl_Onsite[Invoice Type],$BI998),IF($B998="Production",INDEX(tbl_Production[Invoice Type],$BI998),INDEX(tbl_Consulting[Invoice Type],$BI998)))&amp;"")</f>
        <v/>
      </c>
      <c r="J998" s="10">
        <f>IF($BI998="","",IF($B998="Onsite",INDEX(tbl_Onsite[Tax Code],$BI998),IF($B998="Production",INDEX(tbl_Production[Tax Code],$BI998),INDEX(tbl_Consulting[Tax Code],$BI998)))&amp;"")</f>
        <v/>
      </c>
      <c r="K998" s="10">
        <f>IF(H998="","",IFERROR(INDEX(lst_CCtoGL,MATCH(H998,lst_CCforGL,0)),""))</f>
        <v/>
      </c>
      <c r="L998" s="10">
        <f>IF($BI998="","",IF($B998="Onsite",INDEX(tbl_Onsite[PO / Reference],$BI998),IF($B998="Production",INDEX(tbl_Production[Current RMS No],$BI998),INDEX(tbl_Consulting[Qwilr Quote],$BI998)))&amp;"")</f>
        <v/>
      </c>
      <c r="M998" s="10">
        <f>IF($BI998="","",IF($B998="Onsite",INDEX(tbl_Onsite[Notes],$BI998),IF($B998="Production",INDEX(tbl_Production[Notes],$BI998),INDEX(tbl_Consulting[Notes],$BI998)))&amp;"")</f>
        <v/>
      </c>
      <c r="N998" s="11">
        <f>IF($BI998="","",IF(IF($B998="Onsite",INDEX(tbl_Onsite[Expected Revenue Ex GST],$BI998),IF($B998="Production",INDEX(tbl_Production[Expected Revenue Ex GST],$BI998),INDEX(tbl_Consulting[Expected Revenue Ex GST],$BI998)))="","",IF($B998="Onsite",INDEX(tbl_Onsite[Expected Revenue Ex GST],$BI998),IF($B998="Production",INDEX(tbl_Production[Expected Revenue Ex GST],$BI998),INDEX(tbl_Consulting[Expected Revenue Ex GST],$BI998)))))</f>
        <v/>
      </c>
      <c r="O998" s="11">
        <f>IF(AND($C998="",NOT(COUNTA($S998:$BB998)&gt;0)),"",SUM(U998,X998,AA998,AD998,AG998,AJ998,AM998,AP998,AS998,AV998,AY998,BB998))</f>
        <v/>
      </c>
      <c r="P998" s="11">
        <f>IF(O998="","",N(N998)-O998)</f>
        <v/>
      </c>
      <c r="Q998" s="10">
        <f>IF(O998="","",IF($C998="","Invoice on empty job row",IF(N998="",IF(ROUND(O998,2)=0,"No dept value","Invoiced - no dept value"),IF(ROUND(O998,2)=0,"Not invoiced - to invoice",IF(ROUND(P998,2)=0,"Agrees",IF(P998&gt;0,"Dept higher - to invoice","Xero higher - check dept"))))))</f>
        <v/>
      </c>
      <c r="R998" s="10">
        <f>IF(AND($C998="",NOT(COUNTA($S998:$BB998)&gt;0),$BI998&lt;&gt;""),"",MID(IF($BI998="","; Row ID not found on the department sheet - a row was deleted","")&amp;IF(AND($C998="",COUNTA($S998:$BB998)&gt;0),"; Invoice entered but the department row has no job number","")&amp;IF(E998="CHECK","; Job number not in the Xero job list","")&amp;IF(AND($C998&lt;&gt;"",COUNTIF($C$7:$C$1506,$C998)&gt;1),"; Job number on more than one row","")&amp;IF(AND($C998&lt;&gt;"",H998=""),"; Dept has not set a cost centre","")&amp;IF(AND($C998&lt;&gt;"",J998=""),"; Dept has not set a tax code","")&amp;IF(AND($C998&lt;&gt;"",N998=""),"; Dept has not entered an expected value","")&amp;IF((IF(OR(COUNTA(S998:U998)=0,AND(COUNTA(S998:U998)=3,ISNUMBER(U998))),0,1)+IF(OR(COUNTA(V998:X998)=0,AND(COUNTA(V998:X998)=3,ISNUMBER(X998))),0,1)+IF(OR(COUNTA(Y998:AA998)=0,AND(COUNTA(Y998:AA998)=3,ISNUMBER(AA998))),0,1)+IF(OR(COUNTA(AB998:AD998)=0,AND(COUNTA(AB998:AD998)=3,ISNUMBER(AD998))),0,1)+IF(OR(COUNTA(AE998:AG998)=0,AND(COUNTA(AE998:AG998)=3,ISNUMBER(AG998))),0,1)+IF(OR(COUNTA(AH998:AJ998)=0,AND(COUNTA(AH998:AJ998)=3,ISNUMBER(AJ998))),0,1)+IF(OR(COUNTA(AK998:AM998)=0,AND(COUNTA(AK998:AM998)=3,ISNUMBER(AM998))),0,1)+IF(OR(COUNTA(AN998:AP998)=0,AND(COUNTA(AN998:AP998)=3,ISNUMBER(AP998))),0,1)+IF(OR(COUNTA(AQ998:AS998)=0,AND(COUNTA(AQ998:AS998)=3,ISNUMBER(AS998))),0,1)+IF(OR(COUNTA(AT998:AV998)=0,AND(COUNTA(AT998:AV998)=3,ISNUMBER(AV998))),0,1)+IF(OR(COUNTA(AW998:AY998)=0,AND(COUNTA(AW998:AY998)=3,ISNUMBER(AY998))),0,1)+IF(OR(COUNTA(AZ998:BB998)=0,AND(COUNTA(AZ998:BB998)=3,ISNUMBER(BB998))),0,1))&gt;0,"; An invoice is incomplete (needs No, Date and a number in Ex GST)","")&amp;IF((IF(T998="",0,IFERROR(--(EOMONTH(T998,0)&lt;&gt;S$5),1))+IF(W998="",0,IFERROR(--(EOMONTH(W998,0)&lt;&gt;V$5),1))+IF(Z998="",0,IFERROR(--(EOMONTH(Z998,0)&lt;&gt;Y$5),1))+IF(AC998="",0,IFERROR(--(EOMONTH(AC998,0)&lt;&gt;AB$5),1))+IF(AF998="",0,IFERROR(--(EOMONTH(AF998,0)&lt;&gt;AE$5),1))+IF(AI998="",0,IFERROR(--(EOMONTH(AI998,0)&lt;&gt;AH$5),1))+IF(AL998="",0,IFERROR(--(EOMONTH(AL998,0)&lt;&gt;AK$5),1))+IF(AO998="",0,IFERROR(--(EOMONTH(AO998,0)&lt;&gt;AN$5),1))+IF(AR998="",0,IFERROR(--(EOMONTH(AR998,0)&lt;&gt;AQ$5),1))+IF(AU998="",0,IFERROR(--(EOMONTH(AU998,0)&lt;&gt;AT$5),1))+IF(AX998="",0,IFERROR(--(EOMONTH(AX998,0)&lt;&gt;AW$5),1))+IF(BA998="",0,IFERROR(--(EOMONTH(BA998,0)&lt;&gt;AZ$5),1)))&gt;0,"; An invoice date is not in the month it is typed under",""),3,500))</f>
        <v/>
      </c>
      <c r="S998" s="12" t="n"/>
      <c r="T998" s="13" t="n"/>
      <c r="U998" s="14" t="n"/>
      <c r="V998" s="12" t="n"/>
      <c r="W998" s="13" t="n"/>
      <c r="X998" s="14" t="n"/>
      <c r="Y998" s="12" t="n"/>
      <c r="Z998" s="13" t="n"/>
      <c r="AA998" s="14" t="n"/>
      <c r="AB998" s="12" t="n"/>
      <c r="AC998" s="13" t="n"/>
      <c r="AD998" s="14" t="n"/>
      <c r="AE998" s="12" t="n"/>
      <c r="AF998" s="13" t="n"/>
      <c r="AG998" s="14" t="n"/>
      <c r="AH998" s="12" t="n"/>
      <c r="AI998" s="13" t="n"/>
      <c r="AJ998" s="14" t="n"/>
      <c r="AK998" s="12" t="n"/>
      <c r="AL998" s="13" t="n"/>
      <c r="AM998" s="14" t="n"/>
      <c r="AN998" s="12" t="n"/>
      <c r="AO998" s="13" t="n"/>
      <c r="AP998" s="14" t="n"/>
      <c r="AQ998" s="12" t="n"/>
      <c r="AR998" s="13" t="n"/>
      <c r="AS998" s="14" t="n"/>
      <c r="AT998" s="12" t="n"/>
      <c r="AU998" s="13" t="n"/>
      <c r="AV998" s="14" t="n"/>
      <c r="AW998" s="12" t="n"/>
      <c r="AX998" s="13" t="n"/>
      <c r="AY998" s="14" t="n"/>
      <c r="AZ998" s="12" t="n"/>
      <c r="BA998" s="13" t="n"/>
      <c r="BB998" s="14" t="n"/>
      <c r="BC998" s="11">
        <f>IF(O998="","",IF(J998="GST 10%",ROUND(O998*set_GSTRate,2),0))</f>
        <v/>
      </c>
      <c r="BD998" s="11">
        <f>IF(O998="","",O998+BC998)</f>
        <v/>
      </c>
      <c r="BE998" s="15">
        <f>IF(O998="","",COUNTA(S998,V998,Y998,AB998,AE998,AH998,AK998,AN998,AQ998,AT998,AW998,AZ998))</f>
        <v/>
      </c>
      <c r="BF998" s="16">
        <f>IF(COUNT(T998,W998,Z998,AC998,AF998,AI998,AL998,AO998,AR998,AU998,AX998,BA998)=0,"",MAX(T998,W998,Z998,AC998,AF998,AI998,AL998,AO998,AR998,AU998,AX998,BA998))</f>
        <v/>
      </c>
      <c r="BG998" s="10">
        <f>MID(IF(S998="","",", "&amp;S998)&amp;IF(V998="","",", "&amp;V998)&amp;IF(Y998="","",", "&amp;Y998)&amp;IF(AB998="","",", "&amp;AB998)&amp;IF(AE998="","",", "&amp;AE998)&amp;IF(AH998="","",", "&amp;AH998)&amp;IF(AK998="","",", "&amp;AK998)&amp;IF(AN998="","",", "&amp;AN998)&amp;IF(AQ998="","",", "&amp;AQ998)&amp;IF(AT998="","",", "&amp;AT998)&amp;IF(AW998="","",", "&amp;AW998)&amp;IF(AZ998="","",", "&amp;AZ998),3,500)</f>
        <v/>
      </c>
      <c r="BH998" s="12" t="n"/>
      <c r="BI998" s="15">
        <f>IFERROR(MATCH($A998,IF($B998="Onsite",tbl_Onsite[Row ID],IF($B998="Production",tbl_Production[Row ID],tbl_Consulting[Row ID])),0),"")</f>
        <v/>
      </c>
    </row>
    <row r="999">
      <c r="A999" s="10" t="inlineStr">
        <is>
          <t>PRD-0493</t>
        </is>
      </c>
      <c r="B999" s="10" t="inlineStr">
        <is>
          <t>Production</t>
        </is>
      </c>
      <c r="C999" s="10">
        <f>IF($BI999="","",IF($B999="Onsite",INDEX(tbl_Onsite[Job Number],$BI999),IF($B999="Production",INDEX(tbl_Production[Job Number],$BI999),INDEX(tbl_Consulting[Job Number],$BI999)))&amp;"")</f>
        <v/>
      </c>
      <c r="D999" s="10">
        <f>IF($BI999="","",IF($B999="Onsite",INDEX(tbl_Onsite[Client],$BI999),IF($B999="Production",INDEX(tbl_Production[Client],$BI999),INDEX(tbl_Consulting[Client],$BI999)))&amp;"")</f>
        <v/>
      </c>
      <c r="E999" s="10">
        <f>IF($C999="","",IF(COUNTIF(lst_Jobs,$C999)&gt;0,"OK","CHECK"))</f>
        <v/>
      </c>
      <c r="F999" s="10">
        <f>IF($C999="","",IFERROR(INDEX(lst_JobName,MATCH($C999,lst_Jobs,0)),""))</f>
        <v/>
      </c>
      <c r="G999" s="10">
        <f>IF($BI999="","",IF($B999="Onsite",INDEX(tbl_Onsite[Job Description],$BI999),IF($B999="Production",INDEX(tbl_Production[Job Description],$BI999),INDEX(tbl_Consulting[Job Description],$BI999)))&amp;"")</f>
        <v/>
      </c>
      <c r="H999" s="10">
        <f>IF($BI999="","",IF($B999="Onsite",INDEX(tbl_Onsite[Cost Centre],$BI999),IF($B999="Production",INDEX(tbl_Production[Cost Centre],$BI999),INDEX(tbl_Consulting[Cost Centre],$BI999)))&amp;"")</f>
        <v/>
      </c>
      <c r="I999" s="10">
        <f>IF($BI999="","",IF($B999="Onsite",INDEX(tbl_Onsite[Invoice Type],$BI999),IF($B999="Production",INDEX(tbl_Production[Invoice Type],$BI999),INDEX(tbl_Consulting[Invoice Type],$BI999)))&amp;"")</f>
        <v/>
      </c>
      <c r="J999" s="10">
        <f>IF($BI999="","",IF($B999="Onsite",INDEX(tbl_Onsite[Tax Code],$BI999),IF($B999="Production",INDEX(tbl_Production[Tax Code],$BI999),INDEX(tbl_Consulting[Tax Code],$BI999)))&amp;"")</f>
        <v/>
      </c>
      <c r="K999" s="10">
        <f>IF(H999="","",IFERROR(INDEX(lst_CCtoGL,MATCH(H999,lst_CCforGL,0)),""))</f>
        <v/>
      </c>
      <c r="L999" s="10">
        <f>IF($BI999="","",IF($B999="Onsite",INDEX(tbl_Onsite[PO / Reference],$BI999),IF($B999="Production",INDEX(tbl_Production[Current RMS No],$BI999),INDEX(tbl_Consulting[Qwilr Quote],$BI999)))&amp;"")</f>
        <v/>
      </c>
      <c r="M999" s="10">
        <f>IF($BI999="","",IF($B999="Onsite",INDEX(tbl_Onsite[Notes],$BI999),IF($B999="Production",INDEX(tbl_Production[Notes],$BI999),INDEX(tbl_Consulting[Notes],$BI999)))&amp;"")</f>
        <v/>
      </c>
      <c r="N999" s="11">
        <f>IF($BI999="","",IF(IF($B999="Onsite",INDEX(tbl_Onsite[Expected Revenue Ex GST],$BI999),IF($B999="Production",INDEX(tbl_Production[Expected Revenue Ex GST],$BI999),INDEX(tbl_Consulting[Expected Revenue Ex GST],$BI999)))="","",IF($B999="Onsite",INDEX(tbl_Onsite[Expected Revenue Ex GST],$BI999),IF($B999="Production",INDEX(tbl_Production[Expected Revenue Ex GST],$BI999),INDEX(tbl_Consulting[Expected Revenue Ex GST],$BI999)))))</f>
        <v/>
      </c>
      <c r="O999" s="11">
        <f>IF(AND($C999="",NOT(COUNTA($S999:$BB999)&gt;0)),"",SUM(U999,X999,AA999,AD999,AG999,AJ999,AM999,AP999,AS999,AV999,AY999,BB999))</f>
        <v/>
      </c>
      <c r="P999" s="11">
        <f>IF(O999="","",N(N999)-O999)</f>
        <v/>
      </c>
      <c r="Q999" s="10">
        <f>IF(O999="","",IF($C999="","Invoice on empty job row",IF(N999="",IF(ROUND(O999,2)=0,"No dept value","Invoiced - no dept value"),IF(ROUND(O999,2)=0,"Not invoiced - to invoice",IF(ROUND(P999,2)=0,"Agrees",IF(P999&gt;0,"Dept higher - to invoice","Xero higher - check dept"))))))</f>
        <v/>
      </c>
      <c r="R999" s="10">
        <f>IF(AND($C999="",NOT(COUNTA($S999:$BB999)&gt;0),$BI999&lt;&gt;""),"",MID(IF($BI999="","; Row ID not found on the department sheet - a row was deleted","")&amp;IF(AND($C999="",COUNTA($S999:$BB999)&gt;0),"; Invoice entered but the department row has no job number","")&amp;IF(E999="CHECK","; Job number not in the Xero job list","")&amp;IF(AND($C999&lt;&gt;"",COUNTIF($C$7:$C$1506,$C999)&gt;1),"; Job number on more than one row","")&amp;IF(AND($C999&lt;&gt;"",H999=""),"; Dept has not set a cost centre","")&amp;IF(AND($C999&lt;&gt;"",J999=""),"; Dept has not set a tax code","")&amp;IF(AND($C999&lt;&gt;"",N999=""),"; Dept has not entered an expected value","")&amp;IF((IF(OR(COUNTA(S999:U999)=0,AND(COUNTA(S999:U999)=3,ISNUMBER(U999))),0,1)+IF(OR(COUNTA(V999:X999)=0,AND(COUNTA(V999:X999)=3,ISNUMBER(X999))),0,1)+IF(OR(COUNTA(Y999:AA999)=0,AND(COUNTA(Y999:AA999)=3,ISNUMBER(AA999))),0,1)+IF(OR(COUNTA(AB999:AD999)=0,AND(COUNTA(AB999:AD999)=3,ISNUMBER(AD999))),0,1)+IF(OR(COUNTA(AE999:AG999)=0,AND(COUNTA(AE999:AG999)=3,ISNUMBER(AG999))),0,1)+IF(OR(COUNTA(AH999:AJ999)=0,AND(COUNTA(AH999:AJ999)=3,ISNUMBER(AJ999))),0,1)+IF(OR(COUNTA(AK999:AM999)=0,AND(COUNTA(AK999:AM999)=3,ISNUMBER(AM999))),0,1)+IF(OR(COUNTA(AN999:AP999)=0,AND(COUNTA(AN999:AP999)=3,ISNUMBER(AP999))),0,1)+IF(OR(COUNTA(AQ999:AS999)=0,AND(COUNTA(AQ999:AS999)=3,ISNUMBER(AS999))),0,1)+IF(OR(COUNTA(AT999:AV999)=0,AND(COUNTA(AT999:AV999)=3,ISNUMBER(AV999))),0,1)+IF(OR(COUNTA(AW999:AY999)=0,AND(COUNTA(AW999:AY999)=3,ISNUMBER(AY999))),0,1)+IF(OR(COUNTA(AZ999:BB999)=0,AND(COUNTA(AZ999:BB999)=3,ISNUMBER(BB999))),0,1))&gt;0,"; An invoice is incomplete (needs No, Date and a number in Ex GST)","")&amp;IF((IF(T999="",0,IFERROR(--(EOMONTH(T999,0)&lt;&gt;S$5),1))+IF(W999="",0,IFERROR(--(EOMONTH(W999,0)&lt;&gt;V$5),1))+IF(Z999="",0,IFERROR(--(EOMONTH(Z999,0)&lt;&gt;Y$5),1))+IF(AC999="",0,IFERROR(--(EOMONTH(AC999,0)&lt;&gt;AB$5),1))+IF(AF999="",0,IFERROR(--(EOMONTH(AF999,0)&lt;&gt;AE$5),1))+IF(AI999="",0,IFERROR(--(EOMONTH(AI999,0)&lt;&gt;AH$5),1))+IF(AL999="",0,IFERROR(--(EOMONTH(AL999,0)&lt;&gt;AK$5),1))+IF(AO999="",0,IFERROR(--(EOMONTH(AO999,0)&lt;&gt;AN$5),1))+IF(AR999="",0,IFERROR(--(EOMONTH(AR999,0)&lt;&gt;AQ$5),1))+IF(AU999="",0,IFERROR(--(EOMONTH(AU999,0)&lt;&gt;AT$5),1))+IF(AX999="",0,IFERROR(--(EOMONTH(AX999,0)&lt;&gt;AW$5),1))+IF(BA999="",0,IFERROR(--(EOMONTH(BA999,0)&lt;&gt;AZ$5),1)))&gt;0,"; An invoice date is not in the month it is typed under",""),3,500))</f>
        <v/>
      </c>
      <c r="S999" s="12" t="n"/>
      <c r="T999" s="13" t="n"/>
      <c r="U999" s="14" t="n"/>
      <c r="V999" s="12" t="n"/>
      <c r="W999" s="13" t="n"/>
      <c r="X999" s="14" t="n"/>
      <c r="Y999" s="12" t="n"/>
      <c r="Z999" s="13" t="n"/>
      <c r="AA999" s="14" t="n"/>
      <c r="AB999" s="12" t="n"/>
      <c r="AC999" s="13" t="n"/>
      <c r="AD999" s="14" t="n"/>
      <c r="AE999" s="12" t="n"/>
      <c r="AF999" s="13" t="n"/>
      <c r="AG999" s="14" t="n"/>
      <c r="AH999" s="12" t="n"/>
      <c r="AI999" s="13" t="n"/>
      <c r="AJ999" s="14" t="n"/>
      <c r="AK999" s="12" t="n"/>
      <c r="AL999" s="13" t="n"/>
      <c r="AM999" s="14" t="n"/>
      <c r="AN999" s="12" t="n"/>
      <c r="AO999" s="13" t="n"/>
      <c r="AP999" s="14" t="n"/>
      <c r="AQ999" s="12" t="n"/>
      <c r="AR999" s="13" t="n"/>
      <c r="AS999" s="14" t="n"/>
      <c r="AT999" s="12" t="n"/>
      <c r="AU999" s="13" t="n"/>
      <c r="AV999" s="14" t="n"/>
      <c r="AW999" s="12" t="n"/>
      <c r="AX999" s="13" t="n"/>
      <c r="AY999" s="14" t="n"/>
      <c r="AZ999" s="12" t="n"/>
      <c r="BA999" s="13" t="n"/>
      <c r="BB999" s="14" t="n"/>
      <c r="BC999" s="11">
        <f>IF(O999="","",IF(J999="GST 10%",ROUND(O999*set_GSTRate,2),0))</f>
        <v/>
      </c>
      <c r="BD999" s="11">
        <f>IF(O999="","",O999+BC999)</f>
        <v/>
      </c>
      <c r="BE999" s="15">
        <f>IF(O999="","",COUNTA(S999,V999,Y999,AB999,AE999,AH999,AK999,AN999,AQ999,AT999,AW999,AZ999))</f>
        <v/>
      </c>
      <c r="BF999" s="16">
        <f>IF(COUNT(T999,W999,Z999,AC999,AF999,AI999,AL999,AO999,AR999,AU999,AX999,BA999)=0,"",MAX(T999,W999,Z999,AC999,AF999,AI999,AL999,AO999,AR999,AU999,AX999,BA999))</f>
        <v/>
      </c>
      <c r="BG999" s="10">
        <f>MID(IF(S999="","",", "&amp;S999)&amp;IF(V999="","",", "&amp;V999)&amp;IF(Y999="","",", "&amp;Y999)&amp;IF(AB999="","",", "&amp;AB999)&amp;IF(AE999="","",", "&amp;AE999)&amp;IF(AH999="","",", "&amp;AH999)&amp;IF(AK999="","",", "&amp;AK999)&amp;IF(AN999="","",", "&amp;AN999)&amp;IF(AQ999="","",", "&amp;AQ999)&amp;IF(AT999="","",", "&amp;AT999)&amp;IF(AW999="","",", "&amp;AW999)&amp;IF(AZ999="","",", "&amp;AZ999),3,500)</f>
        <v/>
      </c>
      <c r="BH999" s="12" t="n"/>
      <c r="BI999" s="15">
        <f>IFERROR(MATCH($A999,IF($B999="Onsite",tbl_Onsite[Row ID],IF($B999="Production",tbl_Production[Row ID],tbl_Consulting[Row ID])),0),"")</f>
        <v/>
      </c>
    </row>
    <row r="1000">
      <c r="A1000" s="10" t="inlineStr">
        <is>
          <t>PRD-0494</t>
        </is>
      </c>
      <c r="B1000" s="10" t="inlineStr">
        <is>
          <t>Production</t>
        </is>
      </c>
      <c r="C1000" s="10">
        <f>IF($BI1000="","",IF($B1000="Onsite",INDEX(tbl_Onsite[Job Number],$BI1000),IF($B1000="Production",INDEX(tbl_Production[Job Number],$BI1000),INDEX(tbl_Consulting[Job Number],$BI1000)))&amp;"")</f>
        <v/>
      </c>
      <c r="D1000" s="10">
        <f>IF($BI1000="","",IF($B1000="Onsite",INDEX(tbl_Onsite[Client],$BI1000),IF($B1000="Production",INDEX(tbl_Production[Client],$BI1000),INDEX(tbl_Consulting[Client],$BI1000)))&amp;"")</f>
        <v/>
      </c>
      <c r="E1000" s="10">
        <f>IF($C1000="","",IF(COUNTIF(lst_Jobs,$C1000)&gt;0,"OK","CHECK"))</f>
        <v/>
      </c>
      <c r="F1000" s="10">
        <f>IF($C1000="","",IFERROR(INDEX(lst_JobName,MATCH($C1000,lst_Jobs,0)),""))</f>
        <v/>
      </c>
      <c r="G1000" s="10">
        <f>IF($BI1000="","",IF($B1000="Onsite",INDEX(tbl_Onsite[Job Description],$BI1000),IF($B1000="Production",INDEX(tbl_Production[Job Description],$BI1000),INDEX(tbl_Consulting[Job Description],$BI1000)))&amp;"")</f>
        <v/>
      </c>
      <c r="H1000" s="10">
        <f>IF($BI1000="","",IF($B1000="Onsite",INDEX(tbl_Onsite[Cost Centre],$BI1000),IF($B1000="Production",INDEX(tbl_Production[Cost Centre],$BI1000),INDEX(tbl_Consulting[Cost Centre],$BI1000)))&amp;"")</f>
        <v/>
      </c>
      <c r="I1000" s="10">
        <f>IF($BI1000="","",IF($B1000="Onsite",INDEX(tbl_Onsite[Invoice Type],$BI1000),IF($B1000="Production",INDEX(tbl_Production[Invoice Type],$BI1000),INDEX(tbl_Consulting[Invoice Type],$BI1000)))&amp;"")</f>
        <v/>
      </c>
      <c r="J1000" s="10">
        <f>IF($BI1000="","",IF($B1000="Onsite",INDEX(tbl_Onsite[Tax Code],$BI1000),IF($B1000="Production",INDEX(tbl_Production[Tax Code],$BI1000),INDEX(tbl_Consulting[Tax Code],$BI1000)))&amp;"")</f>
        <v/>
      </c>
      <c r="K1000" s="10">
        <f>IF(H1000="","",IFERROR(INDEX(lst_CCtoGL,MATCH(H1000,lst_CCforGL,0)),""))</f>
        <v/>
      </c>
      <c r="L1000" s="10">
        <f>IF($BI1000="","",IF($B1000="Onsite",INDEX(tbl_Onsite[PO / Reference],$BI1000),IF($B1000="Production",INDEX(tbl_Production[Current RMS No],$BI1000),INDEX(tbl_Consulting[Qwilr Quote],$BI1000)))&amp;"")</f>
        <v/>
      </c>
      <c r="M1000" s="10">
        <f>IF($BI1000="","",IF($B1000="Onsite",INDEX(tbl_Onsite[Notes],$BI1000),IF($B1000="Production",INDEX(tbl_Production[Notes],$BI1000),INDEX(tbl_Consulting[Notes],$BI1000)))&amp;"")</f>
        <v/>
      </c>
      <c r="N1000" s="11">
        <f>IF($BI1000="","",IF(IF($B1000="Onsite",INDEX(tbl_Onsite[Expected Revenue Ex GST],$BI1000),IF($B1000="Production",INDEX(tbl_Production[Expected Revenue Ex GST],$BI1000),INDEX(tbl_Consulting[Expected Revenue Ex GST],$BI1000)))="","",IF($B1000="Onsite",INDEX(tbl_Onsite[Expected Revenue Ex GST],$BI1000),IF($B1000="Production",INDEX(tbl_Production[Expected Revenue Ex GST],$BI1000),INDEX(tbl_Consulting[Expected Revenue Ex GST],$BI1000)))))</f>
        <v/>
      </c>
      <c r="O1000" s="11">
        <f>IF(AND($C1000="",NOT(COUNTA($S1000:$BB1000)&gt;0)),"",SUM(U1000,X1000,AA1000,AD1000,AG1000,AJ1000,AM1000,AP1000,AS1000,AV1000,AY1000,BB1000))</f>
        <v/>
      </c>
      <c r="P1000" s="11">
        <f>IF(O1000="","",N(N1000)-O1000)</f>
        <v/>
      </c>
      <c r="Q1000" s="10">
        <f>IF(O1000="","",IF($C1000="","Invoice on empty job row",IF(N1000="",IF(ROUND(O1000,2)=0,"No dept value","Invoiced - no dept value"),IF(ROUND(O1000,2)=0,"Not invoiced - to invoice",IF(ROUND(P1000,2)=0,"Agrees",IF(P1000&gt;0,"Dept higher - to invoice","Xero higher - check dept"))))))</f>
        <v/>
      </c>
      <c r="R1000" s="10">
        <f>IF(AND($C1000="",NOT(COUNTA($S1000:$BB1000)&gt;0),$BI1000&lt;&gt;""),"",MID(IF($BI1000="","; Row ID not found on the department sheet - a row was deleted","")&amp;IF(AND($C1000="",COUNTA($S1000:$BB1000)&gt;0),"; Invoice entered but the department row has no job number","")&amp;IF(E1000="CHECK","; Job number not in the Xero job list","")&amp;IF(AND($C1000&lt;&gt;"",COUNTIF($C$7:$C$1506,$C1000)&gt;1),"; Job number on more than one row","")&amp;IF(AND($C1000&lt;&gt;"",H1000=""),"; Dept has not set a cost centre","")&amp;IF(AND($C1000&lt;&gt;"",J1000=""),"; Dept has not set a tax code","")&amp;IF(AND($C1000&lt;&gt;"",N1000=""),"; Dept has not entered an expected value","")&amp;IF((IF(OR(COUNTA(S1000:U1000)=0,AND(COUNTA(S1000:U1000)=3,ISNUMBER(U1000))),0,1)+IF(OR(COUNTA(V1000:X1000)=0,AND(COUNTA(V1000:X1000)=3,ISNUMBER(X1000))),0,1)+IF(OR(COUNTA(Y1000:AA1000)=0,AND(COUNTA(Y1000:AA1000)=3,ISNUMBER(AA1000))),0,1)+IF(OR(COUNTA(AB1000:AD1000)=0,AND(COUNTA(AB1000:AD1000)=3,ISNUMBER(AD1000))),0,1)+IF(OR(COUNTA(AE1000:AG1000)=0,AND(COUNTA(AE1000:AG1000)=3,ISNUMBER(AG1000))),0,1)+IF(OR(COUNTA(AH1000:AJ1000)=0,AND(COUNTA(AH1000:AJ1000)=3,ISNUMBER(AJ1000))),0,1)+IF(OR(COUNTA(AK1000:AM1000)=0,AND(COUNTA(AK1000:AM1000)=3,ISNUMBER(AM1000))),0,1)+IF(OR(COUNTA(AN1000:AP1000)=0,AND(COUNTA(AN1000:AP1000)=3,ISNUMBER(AP1000))),0,1)+IF(OR(COUNTA(AQ1000:AS1000)=0,AND(COUNTA(AQ1000:AS1000)=3,ISNUMBER(AS1000))),0,1)+IF(OR(COUNTA(AT1000:AV1000)=0,AND(COUNTA(AT1000:AV1000)=3,ISNUMBER(AV1000))),0,1)+IF(OR(COUNTA(AW1000:AY1000)=0,AND(COUNTA(AW1000:AY1000)=3,ISNUMBER(AY1000))),0,1)+IF(OR(COUNTA(AZ1000:BB1000)=0,AND(COUNTA(AZ1000:BB1000)=3,ISNUMBER(BB1000))),0,1))&gt;0,"; An invoice is incomplete (needs No, Date and a number in Ex GST)","")&amp;IF((IF(T1000="",0,IFERROR(--(EOMONTH(T1000,0)&lt;&gt;S$5),1))+IF(W1000="",0,IFERROR(--(EOMONTH(W1000,0)&lt;&gt;V$5),1))+IF(Z1000="",0,IFERROR(--(EOMONTH(Z1000,0)&lt;&gt;Y$5),1))+IF(AC1000="",0,IFERROR(--(EOMONTH(AC1000,0)&lt;&gt;AB$5),1))+IF(AF1000="",0,IFERROR(--(EOMONTH(AF1000,0)&lt;&gt;AE$5),1))+IF(AI1000="",0,IFERROR(--(EOMONTH(AI1000,0)&lt;&gt;AH$5),1))+IF(AL1000="",0,IFERROR(--(EOMONTH(AL1000,0)&lt;&gt;AK$5),1))+IF(AO1000="",0,IFERROR(--(EOMONTH(AO1000,0)&lt;&gt;AN$5),1))+IF(AR1000="",0,IFERROR(--(EOMONTH(AR1000,0)&lt;&gt;AQ$5),1))+IF(AU1000="",0,IFERROR(--(EOMONTH(AU1000,0)&lt;&gt;AT$5),1))+IF(AX1000="",0,IFERROR(--(EOMONTH(AX1000,0)&lt;&gt;AW$5),1))+IF(BA1000="",0,IFERROR(--(EOMONTH(BA1000,0)&lt;&gt;AZ$5),1)))&gt;0,"; An invoice date is not in the month it is typed under",""),3,500))</f>
        <v/>
      </c>
      <c r="S1000" s="12" t="n"/>
      <c r="T1000" s="13" t="n"/>
      <c r="U1000" s="14" t="n"/>
      <c r="V1000" s="12" t="n"/>
      <c r="W1000" s="13" t="n"/>
      <c r="X1000" s="14" t="n"/>
      <c r="Y1000" s="12" t="n"/>
      <c r="Z1000" s="13" t="n"/>
      <c r="AA1000" s="14" t="n"/>
      <c r="AB1000" s="12" t="n"/>
      <c r="AC1000" s="13" t="n"/>
      <c r="AD1000" s="14" t="n"/>
      <c r="AE1000" s="12" t="n"/>
      <c r="AF1000" s="13" t="n"/>
      <c r="AG1000" s="14" t="n"/>
      <c r="AH1000" s="12" t="n"/>
      <c r="AI1000" s="13" t="n"/>
      <c r="AJ1000" s="14" t="n"/>
      <c r="AK1000" s="12" t="n"/>
      <c r="AL1000" s="13" t="n"/>
      <c r="AM1000" s="14" t="n"/>
      <c r="AN1000" s="12" t="n"/>
      <c r="AO1000" s="13" t="n"/>
      <c r="AP1000" s="14" t="n"/>
      <c r="AQ1000" s="12" t="n"/>
      <c r="AR1000" s="13" t="n"/>
      <c r="AS1000" s="14" t="n"/>
      <c r="AT1000" s="12" t="n"/>
      <c r="AU1000" s="13" t="n"/>
      <c r="AV1000" s="14" t="n"/>
      <c r="AW1000" s="12" t="n"/>
      <c r="AX1000" s="13" t="n"/>
      <c r="AY1000" s="14" t="n"/>
      <c r="AZ1000" s="12" t="n"/>
      <c r="BA1000" s="13" t="n"/>
      <c r="BB1000" s="14" t="n"/>
      <c r="BC1000" s="11">
        <f>IF(O1000="","",IF(J1000="GST 10%",ROUND(O1000*set_GSTRate,2),0))</f>
        <v/>
      </c>
      <c r="BD1000" s="11">
        <f>IF(O1000="","",O1000+BC1000)</f>
        <v/>
      </c>
      <c r="BE1000" s="15">
        <f>IF(O1000="","",COUNTA(S1000,V1000,Y1000,AB1000,AE1000,AH1000,AK1000,AN1000,AQ1000,AT1000,AW1000,AZ1000))</f>
        <v/>
      </c>
      <c r="BF1000" s="16">
        <f>IF(COUNT(T1000,W1000,Z1000,AC1000,AF1000,AI1000,AL1000,AO1000,AR1000,AU1000,AX1000,BA1000)=0,"",MAX(T1000,W1000,Z1000,AC1000,AF1000,AI1000,AL1000,AO1000,AR1000,AU1000,AX1000,BA1000))</f>
        <v/>
      </c>
      <c r="BG1000" s="10">
        <f>MID(IF(S1000="","",", "&amp;S1000)&amp;IF(V1000="","",", "&amp;V1000)&amp;IF(Y1000="","",", "&amp;Y1000)&amp;IF(AB1000="","",", "&amp;AB1000)&amp;IF(AE1000="","",", "&amp;AE1000)&amp;IF(AH1000="","",", "&amp;AH1000)&amp;IF(AK1000="","",", "&amp;AK1000)&amp;IF(AN1000="","",", "&amp;AN1000)&amp;IF(AQ1000="","",", "&amp;AQ1000)&amp;IF(AT1000="","",", "&amp;AT1000)&amp;IF(AW1000="","",", "&amp;AW1000)&amp;IF(AZ1000="","",", "&amp;AZ1000),3,500)</f>
        <v/>
      </c>
      <c r="BH1000" s="12" t="n"/>
      <c r="BI1000" s="15">
        <f>IFERROR(MATCH($A1000,IF($B1000="Onsite",tbl_Onsite[Row ID],IF($B1000="Production",tbl_Production[Row ID],tbl_Consulting[Row ID])),0),"")</f>
        <v/>
      </c>
    </row>
    <row r="1001">
      <c r="A1001" s="10" t="inlineStr">
        <is>
          <t>PRD-0495</t>
        </is>
      </c>
      <c r="B1001" s="10" t="inlineStr">
        <is>
          <t>Production</t>
        </is>
      </c>
      <c r="C1001" s="10">
        <f>IF($BI1001="","",IF($B1001="Onsite",INDEX(tbl_Onsite[Job Number],$BI1001),IF($B1001="Production",INDEX(tbl_Production[Job Number],$BI1001),INDEX(tbl_Consulting[Job Number],$BI1001)))&amp;"")</f>
        <v/>
      </c>
      <c r="D1001" s="10">
        <f>IF($BI1001="","",IF($B1001="Onsite",INDEX(tbl_Onsite[Client],$BI1001),IF($B1001="Production",INDEX(tbl_Production[Client],$BI1001),INDEX(tbl_Consulting[Client],$BI1001)))&amp;"")</f>
        <v/>
      </c>
      <c r="E1001" s="10">
        <f>IF($C1001="","",IF(COUNTIF(lst_Jobs,$C1001)&gt;0,"OK","CHECK"))</f>
        <v/>
      </c>
      <c r="F1001" s="10">
        <f>IF($C1001="","",IFERROR(INDEX(lst_JobName,MATCH($C1001,lst_Jobs,0)),""))</f>
        <v/>
      </c>
      <c r="G1001" s="10">
        <f>IF($BI1001="","",IF($B1001="Onsite",INDEX(tbl_Onsite[Job Description],$BI1001),IF($B1001="Production",INDEX(tbl_Production[Job Description],$BI1001),INDEX(tbl_Consulting[Job Description],$BI1001)))&amp;"")</f>
        <v/>
      </c>
      <c r="H1001" s="10">
        <f>IF($BI1001="","",IF($B1001="Onsite",INDEX(tbl_Onsite[Cost Centre],$BI1001),IF($B1001="Production",INDEX(tbl_Production[Cost Centre],$BI1001),INDEX(tbl_Consulting[Cost Centre],$BI1001)))&amp;"")</f>
        <v/>
      </c>
      <c r="I1001" s="10">
        <f>IF($BI1001="","",IF($B1001="Onsite",INDEX(tbl_Onsite[Invoice Type],$BI1001),IF($B1001="Production",INDEX(tbl_Production[Invoice Type],$BI1001),INDEX(tbl_Consulting[Invoice Type],$BI1001)))&amp;"")</f>
        <v/>
      </c>
      <c r="J1001" s="10">
        <f>IF($BI1001="","",IF($B1001="Onsite",INDEX(tbl_Onsite[Tax Code],$BI1001),IF($B1001="Production",INDEX(tbl_Production[Tax Code],$BI1001),INDEX(tbl_Consulting[Tax Code],$BI1001)))&amp;"")</f>
        <v/>
      </c>
      <c r="K1001" s="10">
        <f>IF(H1001="","",IFERROR(INDEX(lst_CCtoGL,MATCH(H1001,lst_CCforGL,0)),""))</f>
        <v/>
      </c>
      <c r="L1001" s="10">
        <f>IF($BI1001="","",IF($B1001="Onsite",INDEX(tbl_Onsite[PO / Reference],$BI1001),IF($B1001="Production",INDEX(tbl_Production[Current RMS No],$BI1001),INDEX(tbl_Consulting[Qwilr Quote],$BI1001)))&amp;"")</f>
        <v/>
      </c>
      <c r="M1001" s="10">
        <f>IF($BI1001="","",IF($B1001="Onsite",INDEX(tbl_Onsite[Notes],$BI1001),IF($B1001="Production",INDEX(tbl_Production[Notes],$BI1001),INDEX(tbl_Consulting[Notes],$BI1001)))&amp;"")</f>
        <v/>
      </c>
      <c r="N1001" s="11">
        <f>IF($BI1001="","",IF(IF($B1001="Onsite",INDEX(tbl_Onsite[Expected Revenue Ex GST],$BI1001),IF($B1001="Production",INDEX(tbl_Production[Expected Revenue Ex GST],$BI1001),INDEX(tbl_Consulting[Expected Revenue Ex GST],$BI1001)))="","",IF($B1001="Onsite",INDEX(tbl_Onsite[Expected Revenue Ex GST],$BI1001),IF($B1001="Production",INDEX(tbl_Production[Expected Revenue Ex GST],$BI1001),INDEX(tbl_Consulting[Expected Revenue Ex GST],$BI1001)))))</f>
        <v/>
      </c>
      <c r="O1001" s="11">
        <f>IF(AND($C1001="",NOT(COUNTA($S1001:$BB1001)&gt;0)),"",SUM(U1001,X1001,AA1001,AD1001,AG1001,AJ1001,AM1001,AP1001,AS1001,AV1001,AY1001,BB1001))</f>
        <v/>
      </c>
      <c r="P1001" s="11">
        <f>IF(O1001="","",N(N1001)-O1001)</f>
        <v/>
      </c>
      <c r="Q1001" s="10">
        <f>IF(O1001="","",IF($C1001="","Invoice on empty job row",IF(N1001="",IF(ROUND(O1001,2)=0,"No dept value","Invoiced - no dept value"),IF(ROUND(O1001,2)=0,"Not invoiced - to invoice",IF(ROUND(P1001,2)=0,"Agrees",IF(P1001&gt;0,"Dept higher - to invoice","Xero higher - check dept"))))))</f>
        <v/>
      </c>
      <c r="R1001" s="10">
        <f>IF(AND($C1001="",NOT(COUNTA($S1001:$BB1001)&gt;0),$BI1001&lt;&gt;""),"",MID(IF($BI1001="","; Row ID not found on the department sheet - a row was deleted","")&amp;IF(AND($C1001="",COUNTA($S1001:$BB1001)&gt;0),"; Invoice entered but the department row has no job number","")&amp;IF(E1001="CHECK","; Job number not in the Xero job list","")&amp;IF(AND($C1001&lt;&gt;"",COUNTIF($C$7:$C$1506,$C1001)&gt;1),"; Job number on more than one row","")&amp;IF(AND($C1001&lt;&gt;"",H1001=""),"; Dept has not set a cost centre","")&amp;IF(AND($C1001&lt;&gt;"",J1001=""),"; Dept has not set a tax code","")&amp;IF(AND($C1001&lt;&gt;"",N1001=""),"; Dept has not entered an expected value","")&amp;IF((IF(OR(COUNTA(S1001:U1001)=0,AND(COUNTA(S1001:U1001)=3,ISNUMBER(U1001))),0,1)+IF(OR(COUNTA(V1001:X1001)=0,AND(COUNTA(V1001:X1001)=3,ISNUMBER(X1001))),0,1)+IF(OR(COUNTA(Y1001:AA1001)=0,AND(COUNTA(Y1001:AA1001)=3,ISNUMBER(AA1001))),0,1)+IF(OR(COUNTA(AB1001:AD1001)=0,AND(COUNTA(AB1001:AD1001)=3,ISNUMBER(AD1001))),0,1)+IF(OR(COUNTA(AE1001:AG1001)=0,AND(COUNTA(AE1001:AG1001)=3,ISNUMBER(AG1001))),0,1)+IF(OR(COUNTA(AH1001:AJ1001)=0,AND(COUNTA(AH1001:AJ1001)=3,ISNUMBER(AJ1001))),0,1)+IF(OR(COUNTA(AK1001:AM1001)=0,AND(COUNTA(AK1001:AM1001)=3,ISNUMBER(AM1001))),0,1)+IF(OR(COUNTA(AN1001:AP1001)=0,AND(COUNTA(AN1001:AP1001)=3,ISNUMBER(AP1001))),0,1)+IF(OR(COUNTA(AQ1001:AS1001)=0,AND(COUNTA(AQ1001:AS1001)=3,ISNUMBER(AS1001))),0,1)+IF(OR(COUNTA(AT1001:AV1001)=0,AND(COUNTA(AT1001:AV1001)=3,ISNUMBER(AV1001))),0,1)+IF(OR(COUNTA(AW1001:AY1001)=0,AND(COUNTA(AW1001:AY1001)=3,ISNUMBER(AY1001))),0,1)+IF(OR(COUNTA(AZ1001:BB1001)=0,AND(COUNTA(AZ1001:BB1001)=3,ISNUMBER(BB1001))),0,1))&gt;0,"; An invoice is incomplete (needs No, Date and a number in Ex GST)","")&amp;IF((IF(T1001="",0,IFERROR(--(EOMONTH(T1001,0)&lt;&gt;S$5),1))+IF(W1001="",0,IFERROR(--(EOMONTH(W1001,0)&lt;&gt;V$5),1))+IF(Z1001="",0,IFERROR(--(EOMONTH(Z1001,0)&lt;&gt;Y$5),1))+IF(AC1001="",0,IFERROR(--(EOMONTH(AC1001,0)&lt;&gt;AB$5),1))+IF(AF1001="",0,IFERROR(--(EOMONTH(AF1001,0)&lt;&gt;AE$5),1))+IF(AI1001="",0,IFERROR(--(EOMONTH(AI1001,0)&lt;&gt;AH$5),1))+IF(AL1001="",0,IFERROR(--(EOMONTH(AL1001,0)&lt;&gt;AK$5),1))+IF(AO1001="",0,IFERROR(--(EOMONTH(AO1001,0)&lt;&gt;AN$5),1))+IF(AR1001="",0,IFERROR(--(EOMONTH(AR1001,0)&lt;&gt;AQ$5),1))+IF(AU1001="",0,IFERROR(--(EOMONTH(AU1001,0)&lt;&gt;AT$5),1))+IF(AX1001="",0,IFERROR(--(EOMONTH(AX1001,0)&lt;&gt;AW$5),1))+IF(BA1001="",0,IFERROR(--(EOMONTH(BA1001,0)&lt;&gt;AZ$5),1)))&gt;0,"; An invoice date is not in the month it is typed under",""),3,500))</f>
        <v/>
      </c>
      <c r="S1001" s="12" t="n"/>
      <c r="T1001" s="13" t="n"/>
      <c r="U1001" s="14" t="n"/>
      <c r="V1001" s="12" t="n"/>
      <c r="W1001" s="13" t="n"/>
      <c r="X1001" s="14" t="n"/>
      <c r="Y1001" s="12" t="n"/>
      <c r="Z1001" s="13" t="n"/>
      <c r="AA1001" s="14" t="n"/>
      <c r="AB1001" s="12" t="n"/>
      <c r="AC1001" s="13" t="n"/>
      <c r="AD1001" s="14" t="n"/>
      <c r="AE1001" s="12" t="n"/>
      <c r="AF1001" s="13" t="n"/>
      <c r="AG1001" s="14" t="n"/>
      <c r="AH1001" s="12" t="n"/>
      <c r="AI1001" s="13" t="n"/>
      <c r="AJ1001" s="14" t="n"/>
      <c r="AK1001" s="12" t="n"/>
      <c r="AL1001" s="13" t="n"/>
      <c r="AM1001" s="14" t="n"/>
      <c r="AN1001" s="12" t="n"/>
      <c r="AO1001" s="13" t="n"/>
      <c r="AP1001" s="14" t="n"/>
      <c r="AQ1001" s="12" t="n"/>
      <c r="AR1001" s="13" t="n"/>
      <c r="AS1001" s="14" t="n"/>
      <c r="AT1001" s="12" t="n"/>
      <c r="AU1001" s="13" t="n"/>
      <c r="AV1001" s="14" t="n"/>
      <c r="AW1001" s="12" t="n"/>
      <c r="AX1001" s="13" t="n"/>
      <c r="AY1001" s="14" t="n"/>
      <c r="AZ1001" s="12" t="n"/>
      <c r="BA1001" s="13" t="n"/>
      <c r="BB1001" s="14" t="n"/>
      <c r="BC1001" s="11">
        <f>IF(O1001="","",IF(J1001="GST 10%",ROUND(O1001*set_GSTRate,2),0))</f>
        <v/>
      </c>
      <c r="BD1001" s="11">
        <f>IF(O1001="","",O1001+BC1001)</f>
        <v/>
      </c>
      <c r="BE1001" s="15">
        <f>IF(O1001="","",COUNTA(S1001,V1001,Y1001,AB1001,AE1001,AH1001,AK1001,AN1001,AQ1001,AT1001,AW1001,AZ1001))</f>
        <v/>
      </c>
      <c r="BF1001" s="16">
        <f>IF(COUNT(T1001,W1001,Z1001,AC1001,AF1001,AI1001,AL1001,AO1001,AR1001,AU1001,AX1001,BA1001)=0,"",MAX(T1001,W1001,Z1001,AC1001,AF1001,AI1001,AL1001,AO1001,AR1001,AU1001,AX1001,BA1001))</f>
        <v/>
      </c>
      <c r="BG1001" s="10">
        <f>MID(IF(S1001="","",", "&amp;S1001)&amp;IF(V1001="","",", "&amp;V1001)&amp;IF(Y1001="","",", "&amp;Y1001)&amp;IF(AB1001="","",", "&amp;AB1001)&amp;IF(AE1001="","",", "&amp;AE1001)&amp;IF(AH1001="","",", "&amp;AH1001)&amp;IF(AK1001="","",", "&amp;AK1001)&amp;IF(AN1001="","",", "&amp;AN1001)&amp;IF(AQ1001="","",", "&amp;AQ1001)&amp;IF(AT1001="","",", "&amp;AT1001)&amp;IF(AW1001="","",", "&amp;AW1001)&amp;IF(AZ1001="","",", "&amp;AZ1001),3,500)</f>
        <v/>
      </c>
      <c r="BH1001" s="12" t="n"/>
      <c r="BI1001" s="15">
        <f>IFERROR(MATCH($A1001,IF($B1001="Onsite",tbl_Onsite[Row ID],IF($B1001="Production",tbl_Production[Row ID],tbl_Consulting[Row ID])),0),"")</f>
        <v/>
      </c>
    </row>
    <row r="1002">
      <c r="A1002" s="10" t="inlineStr">
        <is>
          <t>PRD-0496</t>
        </is>
      </c>
      <c r="B1002" s="10" t="inlineStr">
        <is>
          <t>Production</t>
        </is>
      </c>
      <c r="C1002" s="10">
        <f>IF($BI1002="","",IF($B1002="Onsite",INDEX(tbl_Onsite[Job Number],$BI1002),IF($B1002="Production",INDEX(tbl_Production[Job Number],$BI1002),INDEX(tbl_Consulting[Job Number],$BI1002)))&amp;"")</f>
        <v/>
      </c>
      <c r="D1002" s="10">
        <f>IF($BI1002="","",IF($B1002="Onsite",INDEX(tbl_Onsite[Client],$BI1002),IF($B1002="Production",INDEX(tbl_Production[Client],$BI1002),INDEX(tbl_Consulting[Client],$BI1002)))&amp;"")</f>
        <v/>
      </c>
      <c r="E1002" s="10">
        <f>IF($C1002="","",IF(COUNTIF(lst_Jobs,$C1002)&gt;0,"OK","CHECK"))</f>
        <v/>
      </c>
      <c r="F1002" s="10">
        <f>IF($C1002="","",IFERROR(INDEX(lst_JobName,MATCH($C1002,lst_Jobs,0)),""))</f>
        <v/>
      </c>
      <c r="G1002" s="10">
        <f>IF($BI1002="","",IF($B1002="Onsite",INDEX(tbl_Onsite[Job Description],$BI1002),IF($B1002="Production",INDEX(tbl_Production[Job Description],$BI1002),INDEX(tbl_Consulting[Job Description],$BI1002)))&amp;"")</f>
        <v/>
      </c>
      <c r="H1002" s="10">
        <f>IF($BI1002="","",IF($B1002="Onsite",INDEX(tbl_Onsite[Cost Centre],$BI1002),IF($B1002="Production",INDEX(tbl_Production[Cost Centre],$BI1002),INDEX(tbl_Consulting[Cost Centre],$BI1002)))&amp;"")</f>
        <v/>
      </c>
      <c r="I1002" s="10">
        <f>IF($BI1002="","",IF($B1002="Onsite",INDEX(tbl_Onsite[Invoice Type],$BI1002),IF($B1002="Production",INDEX(tbl_Production[Invoice Type],$BI1002),INDEX(tbl_Consulting[Invoice Type],$BI1002)))&amp;"")</f>
        <v/>
      </c>
      <c r="J1002" s="10">
        <f>IF($BI1002="","",IF($B1002="Onsite",INDEX(tbl_Onsite[Tax Code],$BI1002),IF($B1002="Production",INDEX(tbl_Production[Tax Code],$BI1002),INDEX(tbl_Consulting[Tax Code],$BI1002)))&amp;"")</f>
        <v/>
      </c>
      <c r="K1002" s="10">
        <f>IF(H1002="","",IFERROR(INDEX(lst_CCtoGL,MATCH(H1002,lst_CCforGL,0)),""))</f>
        <v/>
      </c>
      <c r="L1002" s="10">
        <f>IF($BI1002="","",IF($B1002="Onsite",INDEX(tbl_Onsite[PO / Reference],$BI1002),IF($B1002="Production",INDEX(tbl_Production[Current RMS No],$BI1002),INDEX(tbl_Consulting[Qwilr Quote],$BI1002)))&amp;"")</f>
        <v/>
      </c>
      <c r="M1002" s="10">
        <f>IF($BI1002="","",IF($B1002="Onsite",INDEX(tbl_Onsite[Notes],$BI1002),IF($B1002="Production",INDEX(tbl_Production[Notes],$BI1002),INDEX(tbl_Consulting[Notes],$BI1002)))&amp;"")</f>
        <v/>
      </c>
      <c r="N1002" s="11">
        <f>IF($BI1002="","",IF(IF($B1002="Onsite",INDEX(tbl_Onsite[Expected Revenue Ex GST],$BI1002),IF($B1002="Production",INDEX(tbl_Production[Expected Revenue Ex GST],$BI1002),INDEX(tbl_Consulting[Expected Revenue Ex GST],$BI1002)))="","",IF($B1002="Onsite",INDEX(tbl_Onsite[Expected Revenue Ex GST],$BI1002),IF($B1002="Production",INDEX(tbl_Production[Expected Revenue Ex GST],$BI1002),INDEX(tbl_Consulting[Expected Revenue Ex GST],$BI1002)))))</f>
        <v/>
      </c>
      <c r="O1002" s="11">
        <f>IF(AND($C1002="",NOT(COUNTA($S1002:$BB1002)&gt;0)),"",SUM(U1002,X1002,AA1002,AD1002,AG1002,AJ1002,AM1002,AP1002,AS1002,AV1002,AY1002,BB1002))</f>
        <v/>
      </c>
      <c r="P1002" s="11">
        <f>IF(O1002="","",N(N1002)-O1002)</f>
        <v/>
      </c>
      <c r="Q1002" s="10">
        <f>IF(O1002="","",IF($C1002="","Invoice on empty job row",IF(N1002="",IF(ROUND(O1002,2)=0,"No dept value","Invoiced - no dept value"),IF(ROUND(O1002,2)=0,"Not invoiced - to invoice",IF(ROUND(P1002,2)=0,"Agrees",IF(P1002&gt;0,"Dept higher - to invoice","Xero higher - check dept"))))))</f>
        <v/>
      </c>
      <c r="R1002" s="10">
        <f>IF(AND($C1002="",NOT(COUNTA($S1002:$BB1002)&gt;0),$BI1002&lt;&gt;""),"",MID(IF($BI1002="","; Row ID not found on the department sheet - a row was deleted","")&amp;IF(AND($C1002="",COUNTA($S1002:$BB1002)&gt;0),"; Invoice entered but the department row has no job number","")&amp;IF(E1002="CHECK","; Job number not in the Xero job list","")&amp;IF(AND($C1002&lt;&gt;"",COUNTIF($C$7:$C$1506,$C1002)&gt;1),"; Job number on more than one row","")&amp;IF(AND($C1002&lt;&gt;"",H1002=""),"; Dept has not set a cost centre","")&amp;IF(AND($C1002&lt;&gt;"",J1002=""),"; Dept has not set a tax code","")&amp;IF(AND($C1002&lt;&gt;"",N1002=""),"; Dept has not entered an expected value","")&amp;IF((IF(OR(COUNTA(S1002:U1002)=0,AND(COUNTA(S1002:U1002)=3,ISNUMBER(U1002))),0,1)+IF(OR(COUNTA(V1002:X1002)=0,AND(COUNTA(V1002:X1002)=3,ISNUMBER(X1002))),0,1)+IF(OR(COUNTA(Y1002:AA1002)=0,AND(COUNTA(Y1002:AA1002)=3,ISNUMBER(AA1002))),0,1)+IF(OR(COUNTA(AB1002:AD1002)=0,AND(COUNTA(AB1002:AD1002)=3,ISNUMBER(AD1002))),0,1)+IF(OR(COUNTA(AE1002:AG1002)=0,AND(COUNTA(AE1002:AG1002)=3,ISNUMBER(AG1002))),0,1)+IF(OR(COUNTA(AH1002:AJ1002)=0,AND(COUNTA(AH1002:AJ1002)=3,ISNUMBER(AJ1002))),0,1)+IF(OR(COUNTA(AK1002:AM1002)=0,AND(COUNTA(AK1002:AM1002)=3,ISNUMBER(AM1002))),0,1)+IF(OR(COUNTA(AN1002:AP1002)=0,AND(COUNTA(AN1002:AP1002)=3,ISNUMBER(AP1002))),0,1)+IF(OR(COUNTA(AQ1002:AS1002)=0,AND(COUNTA(AQ1002:AS1002)=3,ISNUMBER(AS1002))),0,1)+IF(OR(COUNTA(AT1002:AV1002)=0,AND(COUNTA(AT1002:AV1002)=3,ISNUMBER(AV1002))),0,1)+IF(OR(COUNTA(AW1002:AY1002)=0,AND(COUNTA(AW1002:AY1002)=3,ISNUMBER(AY1002))),0,1)+IF(OR(COUNTA(AZ1002:BB1002)=0,AND(COUNTA(AZ1002:BB1002)=3,ISNUMBER(BB1002))),0,1))&gt;0,"; An invoice is incomplete (needs No, Date and a number in Ex GST)","")&amp;IF((IF(T1002="",0,IFERROR(--(EOMONTH(T1002,0)&lt;&gt;S$5),1))+IF(W1002="",0,IFERROR(--(EOMONTH(W1002,0)&lt;&gt;V$5),1))+IF(Z1002="",0,IFERROR(--(EOMONTH(Z1002,0)&lt;&gt;Y$5),1))+IF(AC1002="",0,IFERROR(--(EOMONTH(AC1002,0)&lt;&gt;AB$5),1))+IF(AF1002="",0,IFERROR(--(EOMONTH(AF1002,0)&lt;&gt;AE$5),1))+IF(AI1002="",0,IFERROR(--(EOMONTH(AI1002,0)&lt;&gt;AH$5),1))+IF(AL1002="",0,IFERROR(--(EOMONTH(AL1002,0)&lt;&gt;AK$5),1))+IF(AO1002="",0,IFERROR(--(EOMONTH(AO1002,0)&lt;&gt;AN$5),1))+IF(AR1002="",0,IFERROR(--(EOMONTH(AR1002,0)&lt;&gt;AQ$5),1))+IF(AU1002="",0,IFERROR(--(EOMONTH(AU1002,0)&lt;&gt;AT$5),1))+IF(AX1002="",0,IFERROR(--(EOMONTH(AX1002,0)&lt;&gt;AW$5),1))+IF(BA1002="",0,IFERROR(--(EOMONTH(BA1002,0)&lt;&gt;AZ$5),1)))&gt;0,"; An invoice date is not in the month it is typed under",""),3,500))</f>
        <v/>
      </c>
      <c r="S1002" s="12" t="n"/>
      <c r="T1002" s="13" t="n"/>
      <c r="U1002" s="14" t="n"/>
      <c r="V1002" s="12" t="n"/>
      <c r="W1002" s="13" t="n"/>
      <c r="X1002" s="14" t="n"/>
      <c r="Y1002" s="12" t="n"/>
      <c r="Z1002" s="13" t="n"/>
      <c r="AA1002" s="14" t="n"/>
      <c r="AB1002" s="12" t="n"/>
      <c r="AC1002" s="13" t="n"/>
      <c r="AD1002" s="14" t="n"/>
      <c r="AE1002" s="12" t="n"/>
      <c r="AF1002" s="13" t="n"/>
      <c r="AG1002" s="14" t="n"/>
      <c r="AH1002" s="12" t="n"/>
      <c r="AI1002" s="13" t="n"/>
      <c r="AJ1002" s="14" t="n"/>
      <c r="AK1002" s="12" t="n"/>
      <c r="AL1002" s="13" t="n"/>
      <c r="AM1002" s="14" t="n"/>
      <c r="AN1002" s="12" t="n"/>
      <c r="AO1002" s="13" t="n"/>
      <c r="AP1002" s="14" t="n"/>
      <c r="AQ1002" s="12" t="n"/>
      <c r="AR1002" s="13" t="n"/>
      <c r="AS1002" s="14" t="n"/>
      <c r="AT1002" s="12" t="n"/>
      <c r="AU1002" s="13" t="n"/>
      <c r="AV1002" s="14" t="n"/>
      <c r="AW1002" s="12" t="n"/>
      <c r="AX1002" s="13" t="n"/>
      <c r="AY1002" s="14" t="n"/>
      <c r="AZ1002" s="12" t="n"/>
      <c r="BA1002" s="13" t="n"/>
      <c r="BB1002" s="14" t="n"/>
      <c r="BC1002" s="11">
        <f>IF(O1002="","",IF(J1002="GST 10%",ROUND(O1002*set_GSTRate,2),0))</f>
        <v/>
      </c>
      <c r="BD1002" s="11">
        <f>IF(O1002="","",O1002+BC1002)</f>
        <v/>
      </c>
      <c r="BE1002" s="15">
        <f>IF(O1002="","",COUNTA(S1002,V1002,Y1002,AB1002,AE1002,AH1002,AK1002,AN1002,AQ1002,AT1002,AW1002,AZ1002))</f>
        <v/>
      </c>
      <c r="BF1002" s="16">
        <f>IF(COUNT(T1002,W1002,Z1002,AC1002,AF1002,AI1002,AL1002,AO1002,AR1002,AU1002,AX1002,BA1002)=0,"",MAX(T1002,W1002,Z1002,AC1002,AF1002,AI1002,AL1002,AO1002,AR1002,AU1002,AX1002,BA1002))</f>
        <v/>
      </c>
      <c r="BG1002" s="10">
        <f>MID(IF(S1002="","",", "&amp;S1002)&amp;IF(V1002="","",", "&amp;V1002)&amp;IF(Y1002="","",", "&amp;Y1002)&amp;IF(AB1002="","",", "&amp;AB1002)&amp;IF(AE1002="","",", "&amp;AE1002)&amp;IF(AH1002="","",", "&amp;AH1002)&amp;IF(AK1002="","",", "&amp;AK1002)&amp;IF(AN1002="","",", "&amp;AN1002)&amp;IF(AQ1002="","",", "&amp;AQ1002)&amp;IF(AT1002="","",", "&amp;AT1002)&amp;IF(AW1002="","",", "&amp;AW1002)&amp;IF(AZ1002="","",", "&amp;AZ1002),3,500)</f>
        <v/>
      </c>
      <c r="BH1002" s="12" t="n"/>
      <c r="BI1002" s="15">
        <f>IFERROR(MATCH($A1002,IF($B1002="Onsite",tbl_Onsite[Row ID],IF($B1002="Production",tbl_Production[Row ID],tbl_Consulting[Row ID])),0),"")</f>
        <v/>
      </c>
    </row>
    <row r="1003">
      <c r="A1003" s="10" t="inlineStr">
        <is>
          <t>PRD-0497</t>
        </is>
      </c>
      <c r="B1003" s="10" t="inlineStr">
        <is>
          <t>Production</t>
        </is>
      </c>
      <c r="C1003" s="10">
        <f>IF($BI1003="","",IF($B1003="Onsite",INDEX(tbl_Onsite[Job Number],$BI1003),IF($B1003="Production",INDEX(tbl_Production[Job Number],$BI1003),INDEX(tbl_Consulting[Job Number],$BI1003)))&amp;"")</f>
        <v/>
      </c>
      <c r="D1003" s="10">
        <f>IF($BI1003="","",IF($B1003="Onsite",INDEX(tbl_Onsite[Client],$BI1003),IF($B1003="Production",INDEX(tbl_Production[Client],$BI1003),INDEX(tbl_Consulting[Client],$BI1003)))&amp;"")</f>
        <v/>
      </c>
      <c r="E1003" s="10">
        <f>IF($C1003="","",IF(COUNTIF(lst_Jobs,$C1003)&gt;0,"OK","CHECK"))</f>
        <v/>
      </c>
      <c r="F1003" s="10">
        <f>IF($C1003="","",IFERROR(INDEX(lst_JobName,MATCH($C1003,lst_Jobs,0)),""))</f>
        <v/>
      </c>
      <c r="G1003" s="10">
        <f>IF($BI1003="","",IF($B1003="Onsite",INDEX(tbl_Onsite[Job Description],$BI1003),IF($B1003="Production",INDEX(tbl_Production[Job Description],$BI1003),INDEX(tbl_Consulting[Job Description],$BI1003)))&amp;"")</f>
        <v/>
      </c>
      <c r="H1003" s="10">
        <f>IF($BI1003="","",IF($B1003="Onsite",INDEX(tbl_Onsite[Cost Centre],$BI1003),IF($B1003="Production",INDEX(tbl_Production[Cost Centre],$BI1003),INDEX(tbl_Consulting[Cost Centre],$BI1003)))&amp;"")</f>
        <v/>
      </c>
      <c r="I1003" s="10">
        <f>IF($BI1003="","",IF($B1003="Onsite",INDEX(tbl_Onsite[Invoice Type],$BI1003),IF($B1003="Production",INDEX(tbl_Production[Invoice Type],$BI1003),INDEX(tbl_Consulting[Invoice Type],$BI1003)))&amp;"")</f>
        <v/>
      </c>
      <c r="J1003" s="10">
        <f>IF($BI1003="","",IF($B1003="Onsite",INDEX(tbl_Onsite[Tax Code],$BI1003),IF($B1003="Production",INDEX(tbl_Production[Tax Code],$BI1003),INDEX(tbl_Consulting[Tax Code],$BI1003)))&amp;"")</f>
        <v/>
      </c>
      <c r="K1003" s="10">
        <f>IF(H1003="","",IFERROR(INDEX(lst_CCtoGL,MATCH(H1003,lst_CCforGL,0)),""))</f>
        <v/>
      </c>
      <c r="L1003" s="10">
        <f>IF($BI1003="","",IF($B1003="Onsite",INDEX(tbl_Onsite[PO / Reference],$BI1003),IF($B1003="Production",INDEX(tbl_Production[Current RMS No],$BI1003),INDEX(tbl_Consulting[Qwilr Quote],$BI1003)))&amp;"")</f>
        <v/>
      </c>
      <c r="M1003" s="10">
        <f>IF($BI1003="","",IF($B1003="Onsite",INDEX(tbl_Onsite[Notes],$BI1003),IF($B1003="Production",INDEX(tbl_Production[Notes],$BI1003),INDEX(tbl_Consulting[Notes],$BI1003)))&amp;"")</f>
        <v/>
      </c>
      <c r="N1003" s="11">
        <f>IF($BI1003="","",IF(IF($B1003="Onsite",INDEX(tbl_Onsite[Expected Revenue Ex GST],$BI1003),IF($B1003="Production",INDEX(tbl_Production[Expected Revenue Ex GST],$BI1003),INDEX(tbl_Consulting[Expected Revenue Ex GST],$BI1003)))="","",IF($B1003="Onsite",INDEX(tbl_Onsite[Expected Revenue Ex GST],$BI1003),IF($B1003="Production",INDEX(tbl_Production[Expected Revenue Ex GST],$BI1003),INDEX(tbl_Consulting[Expected Revenue Ex GST],$BI1003)))))</f>
        <v/>
      </c>
      <c r="O1003" s="11">
        <f>IF(AND($C1003="",NOT(COUNTA($S1003:$BB1003)&gt;0)),"",SUM(U1003,X1003,AA1003,AD1003,AG1003,AJ1003,AM1003,AP1003,AS1003,AV1003,AY1003,BB1003))</f>
        <v/>
      </c>
      <c r="P1003" s="11">
        <f>IF(O1003="","",N(N1003)-O1003)</f>
        <v/>
      </c>
      <c r="Q1003" s="10">
        <f>IF(O1003="","",IF($C1003="","Invoice on empty job row",IF(N1003="",IF(ROUND(O1003,2)=0,"No dept value","Invoiced - no dept value"),IF(ROUND(O1003,2)=0,"Not invoiced - to invoice",IF(ROUND(P1003,2)=0,"Agrees",IF(P1003&gt;0,"Dept higher - to invoice","Xero higher - check dept"))))))</f>
        <v/>
      </c>
      <c r="R1003" s="10">
        <f>IF(AND($C1003="",NOT(COUNTA($S1003:$BB1003)&gt;0),$BI1003&lt;&gt;""),"",MID(IF($BI1003="","; Row ID not found on the department sheet - a row was deleted","")&amp;IF(AND($C1003="",COUNTA($S1003:$BB1003)&gt;0),"; Invoice entered but the department row has no job number","")&amp;IF(E1003="CHECK","; Job number not in the Xero job list","")&amp;IF(AND($C1003&lt;&gt;"",COUNTIF($C$7:$C$1506,$C1003)&gt;1),"; Job number on more than one row","")&amp;IF(AND($C1003&lt;&gt;"",H1003=""),"; Dept has not set a cost centre","")&amp;IF(AND($C1003&lt;&gt;"",J1003=""),"; Dept has not set a tax code","")&amp;IF(AND($C1003&lt;&gt;"",N1003=""),"; Dept has not entered an expected value","")&amp;IF((IF(OR(COUNTA(S1003:U1003)=0,AND(COUNTA(S1003:U1003)=3,ISNUMBER(U1003))),0,1)+IF(OR(COUNTA(V1003:X1003)=0,AND(COUNTA(V1003:X1003)=3,ISNUMBER(X1003))),0,1)+IF(OR(COUNTA(Y1003:AA1003)=0,AND(COUNTA(Y1003:AA1003)=3,ISNUMBER(AA1003))),0,1)+IF(OR(COUNTA(AB1003:AD1003)=0,AND(COUNTA(AB1003:AD1003)=3,ISNUMBER(AD1003))),0,1)+IF(OR(COUNTA(AE1003:AG1003)=0,AND(COUNTA(AE1003:AG1003)=3,ISNUMBER(AG1003))),0,1)+IF(OR(COUNTA(AH1003:AJ1003)=0,AND(COUNTA(AH1003:AJ1003)=3,ISNUMBER(AJ1003))),0,1)+IF(OR(COUNTA(AK1003:AM1003)=0,AND(COUNTA(AK1003:AM1003)=3,ISNUMBER(AM1003))),0,1)+IF(OR(COUNTA(AN1003:AP1003)=0,AND(COUNTA(AN1003:AP1003)=3,ISNUMBER(AP1003))),0,1)+IF(OR(COUNTA(AQ1003:AS1003)=0,AND(COUNTA(AQ1003:AS1003)=3,ISNUMBER(AS1003))),0,1)+IF(OR(COUNTA(AT1003:AV1003)=0,AND(COUNTA(AT1003:AV1003)=3,ISNUMBER(AV1003))),0,1)+IF(OR(COUNTA(AW1003:AY1003)=0,AND(COUNTA(AW1003:AY1003)=3,ISNUMBER(AY1003))),0,1)+IF(OR(COUNTA(AZ1003:BB1003)=0,AND(COUNTA(AZ1003:BB1003)=3,ISNUMBER(BB1003))),0,1))&gt;0,"; An invoice is incomplete (needs No, Date and a number in Ex GST)","")&amp;IF((IF(T1003="",0,IFERROR(--(EOMONTH(T1003,0)&lt;&gt;S$5),1))+IF(W1003="",0,IFERROR(--(EOMONTH(W1003,0)&lt;&gt;V$5),1))+IF(Z1003="",0,IFERROR(--(EOMONTH(Z1003,0)&lt;&gt;Y$5),1))+IF(AC1003="",0,IFERROR(--(EOMONTH(AC1003,0)&lt;&gt;AB$5),1))+IF(AF1003="",0,IFERROR(--(EOMONTH(AF1003,0)&lt;&gt;AE$5),1))+IF(AI1003="",0,IFERROR(--(EOMONTH(AI1003,0)&lt;&gt;AH$5),1))+IF(AL1003="",0,IFERROR(--(EOMONTH(AL1003,0)&lt;&gt;AK$5),1))+IF(AO1003="",0,IFERROR(--(EOMONTH(AO1003,0)&lt;&gt;AN$5),1))+IF(AR1003="",0,IFERROR(--(EOMONTH(AR1003,0)&lt;&gt;AQ$5),1))+IF(AU1003="",0,IFERROR(--(EOMONTH(AU1003,0)&lt;&gt;AT$5),1))+IF(AX1003="",0,IFERROR(--(EOMONTH(AX1003,0)&lt;&gt;AW$5),1))+IF(BA1003="",0,IFERROR(--(EOMONTH(BA1003,0)&lt;&gt;AZ$5),1)))&gt;0,"; An invoice date is not in the month it is typed under",""),3,500))</f>
        <v/>
      </c>
      <c r="S1003" s="12" t="n"/>
      <c r="T1003" s="13" t="n"/>
      <c r="U1003" s="14" t="n"/>
      <c r="V1003" s="12" t="n"/>
      <c r="W1003" s="13" t="n"/>
      <c r="X1003" s="14" t="n"/>
      <c r="Y1003" s="12" t="n"/>
      <c r="Z1003" s="13" t="n"/>
      <c r="AA1003" s="14" t="n"/>
      <c r="AB1003" s="12" t="n"/>
      <c r="AC1003" s="13" t="n"/>
      <c r="AD1003" s="14" t="n"/>
      <c r="AE1003" s="12" t="n"/>
      <c r="AF1003" s="13" t="n"/>
      <c r="AG1003" s="14" t="n"/>
      <c r="AH1003" s="12" t="n"/>
      <c r="AI1003" s="13" t="n"/>
      <c r="AJ1003" s="14" t="n"/>
      <c r="AK1003" s="12" t="n"/>
      <c r="AL1003" s="13" t="n"/>
      <c r="AM1003" s="14" t="n"/>
      <c r="AN1003" s="12" t="n"/>
      <c r="AO1003" s="13" t="n"/>
      <c r="AP1003" s="14" t="n"/>
      <c r="AQ1003" s="12" t="n"/>
      <c r="AR1003" s="13" t="n"/>
      <c r="AS1003" s="14" t="n"/>
      <c r="AT1003" s="12" t="n"/>
      <c r="AU1003" s="13" t="n"/>
      <c r="AV1003" s="14" t="n"/>
      <c r="AW1003" s="12" t="n"/>
      <c r="AX1003" s="13" t="n"/>
      <c r="AY1003" s="14" t="n"/>
      <c r="AZ1003" s="12" t="n"/>
      <c r="BA1003" s="13" t="n"/>
      <c r="BB1003" s="14" t="n"/>
      <c r="BC1003" s="11">
        <f>IF(O1003="","",IF(J1003="GST 10%",ROUND(O1003*set_GSTRate,2),0))</f>
        <v/>
      </c>
      <c r="BD1003" s="11">
        <f>IF(O1003="","",O1003+BC1003)</f>
        <v/>
      </c>
      <c r="BE1003" s="15">
        <f>IF(O1003="","",COUNTA(S1003,V1003,Y1003,AB1003,AE1003,AH1003,AK1003,AN1003,AQ1003,AT1003,AW1003,AZ1003))</f>
        <v/>
      </c>
      <c r="BF1003" s="16">
        <f>IF(COUNT(T1003,W1003,Z1003,AC1003,AF1003,AI1003,AL1003,AO1003,AR1003,AU1003,AX1003,BA1003)=0,"",MAX(T1003,W1003,Z1003,AC1003,AF1003,AI1003,AL1003,AO1003,AR1003,AU1003,AX1003,BA1003))</f>
        <v/>
      </c>
      <c r="BG1003" s="10">
        <f>MID(IF(S1003="","",", "&amp;S1003)&amp;IF(V1003="","",", "&amp;V1003)&amp;IF(Y1003="","",", "&amp;Y1003)&amp;IF(AB1003="","",", "&amp;AB1003)&amp;IF(AE1003="","",", "&amp;AE1003)&amp;IF(AH1003="","",", "&amp;AH1003)&amp;IF(AK1003="","",", "&amp;AK1003)&amp;IF(AN1003="","",", "&amp;AN1003)&amp;IF(AQ1003="","",", "&amp;AQ1003)&amp;IF(AT1003="","",", "&amp;AT1003)&amp;IF(AW1003="","",", "&amp;AW1003)&amp;IF(AZ1003="","",", "&amp;AZ1003),3,500)</f>
        <v/>
      </c>
      <c r="BH1003" s="12" t="n"/>
      <c r="BI1003" s="15">
        <f>IFERROR(MATCH($A1003,IF($B1003="Onsite",tbl_Onsite[Row ID],IF($B1003="Production",tbl_Production[Row ID],tbl_Consulting[Row ID])),0),"")</f>
        <v/>
      </c>
    </row>
    <row r="1004">
      <c r="A1004" s="10" t="inlineStr">
        <is>
          <t>PRD-0498</t>
        </is>
      </c>
      <c r="B1004" s="10" t="inlineStr">
        <is>
          <t>Production</t>
        </is>
      </c>
      <c r="C1004" s="10">
        <f>IF($BI1004="","",IF($B1004="Onsite",INDEX(tbl_Onsite[Job Number],$BI1004),IF($B1004="Production",INDEX(tbl_Production[Job Number],$BI1004),INDEX(tbl_Consulting[Job Number],$BI1004)))&amp;"")</f>
        <v/>
      </c>
      <c r="D1004" s="10">
        <f>IF($BI1004="","",IF($B1004="Onsite",INDEX(tbl_Onsite[Client],$BI1004),IF($B1004="Production",INDEX(tbl_Production[Client],$BI1004),INDEX(tbl_Consulting[Client],$BI1004)))&amp;"")</f>
        <v/>
      </c>
      <c r="E1004" s="10">
        <f>IF($C1004="","",IF(COUNTIF(lst_Jobs,$C1004)&gt;0,"OK","CHECK"))</f>
        <v/>
      </c>
      <c r="F1004" s="10">
        <f>IF($C1004="","",IFERROR(INDEX(lst_JobName,MATCH($C1004,lst_Jobs,0)),""))</f>
        <v/>
      </c>
      <c r="G1004" s="10">
        <f>IF($BI1004="","",IF($B1004="Onsite",INDEX(tbl_Onsite[Job Description],$BI1004),IF($B1004="Production",INDEX(tbl_Production[Job Description],$BI1004),INDEX(tbl_Consulting[Job Description],$BI1004)))&amp;"")</f>
        <v/>
      </c>
      <c r="H1004" s="10">
        <f>IF($BI1004="","",IF($B1004="Onsite",INDEX(tbl_Onsite[Cost Centre],$BI1004),IF($B1004="Production",INDEX(tbl_Production[Cost Centre],$BI1004),INDEX(tbl_Consulting[Cost Centre],$BI1004)))&amp;"")</f>
        <v/>
      </c>
      <c r="I1004" s="10">
        <f>IF($BI1004="","",IF($B1004="Onsite",INDEX(tbl_Onsite[Invoice Type],$BI1004),IF($B1004="Production",INDEX(tbl_Production[Invoice Type],$BI1004),INDEX(tbl_Consulting[Invoice Type],$BI1004)))&amp;"")</f>
        <v/>
      </c>
      <c r="J1004" s="10">
        <f>IF($BI1004="","",IF($B1004="Onsite",INDEX(tbl_Onsite[Tax Code],$BI1004),IF($B1004="Production",INDEX(tbl_Production[Tax Code],$BI1004),INDEX(tbl_Consulting[Tax Code],$BI1004)))&amp;"")</f>
        <v/>
      </c>
      <c r="K1004" s="10">
        <f>IF(H1004="","",IFERROR(INDEX(lst_CCtoGL,MATCH(H1004,lst_CCforGL,0)),""))</f>
        <v/>
      </c>
      <c r="L1004" s="10">
        <f>IF($BI1004="","",IF($B1004="Onsite",INDEX(tbl_Onsite[PO / Reference],$BI1004),IF($B1004="Production",INDEX(tbl_Production[Current RMS No],$BI1004),INDEX(tbl_Consulting[Qwilr Quote],$BI1004)))&amp;"")</f>
        <v/>
      </c>
      <c r="M1004" s="10">
        <f>IF($BI1004="","",IF($B1004="Onsite",INDEX(tbl_Onsite[Notes],$BI1004),IF($B1004="Production",INDEX(tbl_Production[Notes],$BI1004),INDEX(tbl_Consulting[Notes],$BI1004)))&amp;"")</f>
        <v/>
      </c>
      <c r="N1004" s="11">
        <f>IF($BI1004="","",IF(IF($B1004="Onsite",INDEX(tbl_Onsite[Expected Revenue Ex GST],$BI1004),IF($B1004="Production",INDEX(tbl_Production[Expected Revenue Ex GST],$BI1004),INDEX(tbl_Consulting[Expected Revenue Ex GST],$BI1004)))="","",IF($B1004="Onsite",INDEX(tbl_Onsite[Expected Revenue Ex GST],$BI1004),IF($B1004="Production",INDEX(tbl_Production[Expected Revenue Ex GST],$BI1004),INDEX(tbl_Consulting[Expected Revenue Ex GST],$BI1004)))))</f>
        <v/>
      </c>
      <c r="O1004" s="11">
        <f>IF(AND($C1004="",NOT(COUNTA($S1004:$BB1004)&gt;0)),"",SUM(U1004,X1004,AA1004,AD1004,AG1004,AJ1004,AM1004,AP1004,AS1004,AV1004,AY1004,BB1004))</f>
        <v/>
      </c>
      <c r="P1004" s="11">
        <f>IF(O1004="","",N(N1004)-O1004)</f>
        <v/>
      </c>
      <c r="Q1004" s="10">
        <f>IF(O1004="","",IF($C1004="","Invoice on empty job row",IF(N1004="",IF(ROUND(O1004,2)=0,"No dept value","Invoiced - no dept value"),IF(ROUND(O1004,2)=0,"Not invoiced - to invoice",IF(ROUND(P1004,2)=0,"Agrees",IF(P1004&gt;0,"Dept higher - to invoice","Xero higher - check dept"))))))</f>
        <v/>
      </c>
      <c r="R1004" s="10">
        <f>IF(AND($C1004="",NOT(COUNTA($S1004:$BB1004)&gt;0),$BI1004&lt;&gt;""),"",MID(IF($BI1004="","; Row ID not found on the department sheet - a row was deleted","")&amp;IF(AND($C1004="",COUNTA($S1004:$BB1004)&gt;0),"; Invoice entered but the department row has no job number","")&amp;IF(E1004="CHECK","; Job number not in the Xero job list","")&amp;IF(AND($C1004&lt;&gt;"",COUNTIF($C$7:$C$1506,$C1004)&gt;1),"; Job number on more than one row","")&amp;IF(AND($C1004&lt;&gt;"",H1004=""),"; Dept has not set a cost centre","")&amp;IF(AND($C1004&lt;&gt;"",J1004=""),"; Dept has not set a tax code","")&amp;IF(AND($C1004&lt;&gt;"",N1004=""),"; Dept has not entered an expected value","")&amp;IF((IF(OR(COUNTA(S1004:U1004)=0,AND(COUNTA(S1004:U1004)=3,ISNUMBER(U1004))),0,1)+IF(OR(COUNTA(V1004:X1004)=0,AND(COUNTA(V1004:X1004)=3,ISNUMBER(X1004))),0,1)+IF(OR(COUNTA(Y1004:AA1004)=0,AND(COUNTA(Y1004:AA1004)=3,ISNUMBER(AA1004))),0,1)+IF(OR(COUNTA(AB1004:AD1004)=0,AND(COUNTA(AB1004:AD1004)=3,ISNUMBER(AD1004))),0,1)+IF(OR(COUNTA(AE1004:AG1004)=0,AND(COUNTA(AE1004:AG1004)=3,ISNUMBER(AG1004))),0,1)+IF(OR(COUNTA(AH1004:AJ1004)=0,AND(COUNTA(AH1004:AJ1004)=3,ISNUMBER(AJ1004))),0,1)+IF(OR(COUNTA(AK1004:AM1004)=0,AND(COUNTA(AK1004:AM1004)=3,ISNUMBER(AM1004))),0,1)+IF(OR(COUNTA(AN1004:AP1004)=0,AND(COUNTA(AN1004:AP1004)=3,ISNUMBER(AP1004))),0,1)+IF(OR(COUNTA(AQ1004:AS1004)=0,AND(COUNTA(AQ1004:AS1004)=3,ISNUMBER(AS1004))),0,1)+IF(OR(COUNTA(AT1004:AV1004)=0,AND(COUNTA(AT1004:AV1004)=3,ISNUMBER(AV1004))),0,1)+IF(OR(COUNTA(AW1004:AY1004)=0,AND(COUNTA(AW1004:AY1004)=3,ISNUMBER(AY1004))),0,1)+IF(OR(COUNTA(AZ1004:BB1004)=0,AND(COUNTA(AZ1004:BB1004)=3,ISNUMBER(BB1004))),0,1))&gt;0,"; An invoice is incomplete (needs No, Date and a number in Ex GST)","")&amp;IF((IF(T1004="",0,IFERROR(--(EOMONTH(T1004,0)&lt;&gt;S$5),1))+IF(W1004="",0,IFERROR(--(EOMONTH(W1004,0)&lt;&gt;V$5),1))+IF(Z1004="",0,IFERROR(--(EOMONTH(Z1004,0)&lt;&gt;Y$5),1))+IF(AC1004="",0,IFERROR(--(EOMONTH(AC1004,0)&lt;&gt;AB$5),1))+IF(AF1004="",0,IFERROR(--(EOMONTH(AF1004,0)&lt;&gt;AE$5),1))+IF(AI1004="",0,IFERROR(--(EOMONTH(AI1004,0)&lt;&gt;AH$5),1))+IF(AL1004="",0,IFERROR(--(EOMONTH(AL1004,0)&lt;&gt;AK$5),1))+IF(AO1004="",0,IFERROR(--(EOMONTH(AO1004,0)&lt;&gt;AN$5),1))+IF(AR1004="",0,IFERROR(--(EOMONTH(AR1004,0)&lt;&gt;AQ$5),1))+IF(AU1004="",0,IFERROR(--(EOMONTH(AU1004,0)&lt;&gt;AT$5),1))+IF(AX1004="",0,IFERROR(--(EOMONTH(AX1004,0)&lt;&gt;AW$5),1))+IF(BA1004="",0,IFERROR(--(EOMONTH(BA1004,0)&lt;&gt;AZ$5),1)))&gt;0,"; An invoice date is not in the month it is typed under",""),3,500))</f>
        <v/>
      </c>
      <c r="S1004" s="12" t="n"/>
      <c r="T1004" s="13" t="n"/>
      <c r="U1004" s="14" t="n"/>
      <c r="V1004" s="12" t="n"/>
      <c r="W1004" s="13" t="n"/>
      <c r="X1004" s="14" t="n"/>
      <c r="Y1004" s="12" t="n"/>
      <c r="Z1004" s="13" t="n"/>
      <c r="AA1004" s="14" t="n"/>
      <c r="AB1004" s="12" t="n"/>
      <c r="AC1004" s="13" t="n"/>
      <c r="AD1004" s="14" t="n"/>
      <c r="AE1004" s="12" t="n"/>
      <c r="AF1004" s="13" t="n"/>
      <c r="AG1004" s="14" t="n"/>
      <c r="AH1004" s="12" t="n"/>
      <c r="AI1004" s="13" t="n"/>
      <c r="AJ1004" s="14" t="n"/>
      <c r="AK1004" s="12" t="n"/>
      <c r="AL1004" s="13" t="n"/>
      <c r="AM1004" s="14" t="n"/>
      <c r="AN1004" s="12" t="n"/>
      <c r="AO1004" s="13" t="n"/>
      <c r="AP1004" s="14" t="n"/>
      <c r="AQ1004" s="12" t="n"/>
      <c r="AR1004" s="13" t="n"/>
      <c r="AS1004" s="14" t="n"/>
      <c r="AT1004" s="12" t="n"/>
      <c r="AU1004" s="13" t="n"/>
      <c r="AV1004" s="14" t="n"/>
      <c r="AW1004" s="12" t="n"/>
      <c r="AX1004" s="13" t="n"/>
      <c r="AY1004" s="14" t="n"/>
      <c r="AZ1004" s="12" t="n"/>
      <c r="BA1004" s="13" t="n"/>
      <c r="BB1004" s="14" t="n"/>
      <c r="BC1004" s="11">
        <f>IF(O1004="","",IF(J1004="GST 10%",ROUND(O1004*set_GSTRate,2),0))</f>
        <v/>
      </c>
      <c r="BD1004" s="11">
        <f>IF(O1004="","",O1004+BC1004)</f>
        <v/>
      </c>
      <c r="BE1004" s="15">
        <f>IF(O1004="","",COUNTA(S1004,V1004,Y1004,AB1004,AE1004,AH1004,AK1004,AN1004,AQ1004,AT1004,AW1004,AZ1004))</f>
        <v/>
      </c>
      <c r="BF1004" s="16">
        <f>IF(COUNT(T1004,W1004,Z1004,AC1004,AF1004,AI1004,AL1004,AO1004,AR1004,AU1004,AX1004,BA1004)=0,"",MAX(T1004,W1004,Z1004,AC1004,AF1004,AI1004,AL1004,AO1004,AR1004,AU1004,AX1004,BA1004))</f>
        <v/>
      </c>
      <c r="BG1004" s="10">
        <f>MID(IF(S1004="","",", "&amp;S1004)&amp;IF(V1004="","",", "&amp;V1004)&amp;IF(Y1004="","",", "&amp;Y1004)&amp;IF(AB1004="","",", "&amp;AB1004)&amp;IF(AE1004="","",", "&amp;AE1004)&amp;IF(AH1004="","",", "&amp;AH1004)&amp;IF(AK1004="","",", "&amp;AK1004)&amp;IF(AN1004="","",", "&amp;AN1004)&amp;IF(AQ1004="","",", "&amp;AQ1004)&amp;IF(AT1004="","",", "&amp;AT1004)&amp;IF(AW1004="","",", "&amp;AW1004)&amp;IF(AZ1004="","",", "&amp;AZ1004),3,500)</f>
        <v/>
      </c>
      <c r="BH1004" s="12" t="n"/>
      <c r="BI1004" s="15">
        <f>IFERROR(MATCH($A1004,IF($B1004="Onsite",tbl_Onsite[Row ID],IF($B1004="Production",tbl_Production[Row ID],tbl_Consulting[Row ID])),0),"")</f>
        <v/>
      </c>
    </row>
    <row r="1005">
      <c r="A1005" s="10" t="inlineStr">
        <is>
          <t>PRD-0499</t>
        </is>
      </c>
      <c r="B1005" s="10" t="inlineStr">
        <is>
          <t>Production</t>
        </is>
      </c>
      <c r="C1005" s="10">
        <f>IF($BI1005="","",IF($B1005="Onsite",INDEX(tbl_Onsite[Job Number],$BI1005),IF($B1005="Production",INDEX(tbl_Production[Job Number],$BI1005),INDEX(tbl_Consulting[Job Number],$BI1005)))&amp;"")</f>
        <v/>
      </c>
      <c r="D1005" s="10">
        <f>IF($BI1005="","",IF($B1005="Onsite",INDEX(tbl_Onsite[Client],$BI1005),IF($B1005="Production",INDEX(tbl_Production[Client],$BI1005),INDEX(tbl_Consulting[Client],$BI1005)))&amp;"")</f>
        <v/>
      </c>
      <c r="E1005" s="10">
        <f>IF($C1005="","",IF(COUNTIF(lst_Jobs,$C1005)&gt;0,"OK","CHECK"))</f>
        <v/>
      </c>
      <c r="F1005" s="10">
        <f>IF($C1005="","",IFERROR(INDEX(lst_JobName,MATCH($C1005,lst_Jobs,0)),""))</f>
        <v/>
      </c>
      <c r="G1005" s="10">
        <f>IF($BI1005="","",IF($B1005="Onsite",INDEX(tbl_Onsite[Job Description],$BI1005),IF($B1005="Production",INDEX(tbl_Production[Job Description],$BI1005),INDEX(tbl_Consulting[Job Description],$BI1005)))&amp;"")</f>
        <v/>
      </c>
      <c r="H1005" s="10">
        <f>IF($BI1005="","",IF($B1005="Onsite",INDEX(tbl_Onsite[Cost Centre],$BI1005),IF($B1005="Production",INDEX(tbl_Production[Cost Centre],$BI1005),INDEX(tbl_Consulting[Cost Centre],$BI1005)))&amp;"")</f>
        <v/>
      </c>
      <c r="I1005" s="10">
        <f>IF($BI1005="","",IF($B1005="Onsite",INDEX(tbl_Onsite[Invoice Type],$BI1005),IF($B1005="Production",INDEX(tbl_Production[Invoice Type],$BI1005),INDEX(tbl_Consulting[Invoice Type],$BI1005)))&amp;"")</f>
        <v/>
      </c>
      <c r="J1005" s="10">
        <f>IF($BI1005="","",IF($B1005="Onsite",INDEX(tbl_Onsite[Tax Code],$BI1005),IF($B1005="Production",INDEX(tbl_Production[Tax Code],$BI1005),INDEX(tbl_Consulting[Tax Code],$BI1005)))&amp;"")</f>
        <v/>
      </c>
      <c r="K1005" s="10">
        <f>IF(H1005="","",IFERROR(INDEX(lst_CCtoGL,MATCH(H1005,lst_CCforGL,0)),""))</f>
        <v/>
      </c>
      <c r="L1005" s="10">
        <f>IF($BI1005="","",IF($B1005="Onsite",INDEX(tbl_Onsite[PO / Reference],$BI1005),IF($B1005="Production",INDEX(tbl_Production[Current RMS No],$BI1005),INDEX(tbl_Consulting[Qwilr Quote],$BI1005)))&amp;"")</f>
        <v/>
      </c>
      <c r="M1005" s="10">
        <f>IF($BI1005="","",IF($B1005="Onsite",INDEX(tbl_Onsite[Notes],$BI1005),IF($B1005="Production",INDEX(tbl_Production[Notes],$BI1005),INDEX(tbl_Consulting[Notes],$BI1005)))&amp;"")</f>
        <v/>
      </c>
      <c r="N1005" s="11">
        <f>IF($BI1005="","",IF(IF($B1005="Onsite",INDEX(tbl_Onsite[Expected Revenue Ex GST],$BI1005),IF($B1005="Production",INDEX(tbl_Production[Expected Revenue Ex GST],$BI1005),INDEX(tbl_Consulting[Expected Revenue Ex GST],$BI1005)))="","",IF($B1005="Onsite",INDEX(tbl_Onsite[Expected Revenue Ex GST],$BI1005),IF($B1005="Production",INDEX(tbl_Production[Expected Revenue Ex GST],$BI1005),INDEX(tbl_Consulting[Expected Revenue Ex GST],$BI1005)))))</f>
        <v/>
      </c>
      <c r="O1005" s="11">
        <f>IF(AND($C1005="",NOT(COUNTA($S1005:$BB1005)&gt;0)),"",SUM(U1005,X1005,AA1005,AD1005,AG1005,AJ1005,AM1005,AP1005,AS1005,AV1005,AY1005,BB1005))</f>
        <v/>
      </c>
      <c r="P1005" s="11">
        <f>IF(O1005="","",N(N1005)-O1005)</f>
        <v/>
      </c>
      <c r="Q1005" s="10">
        <f>IF(O1005="","",IF($C1005="","Invoice on empty job row",IF(N1005="",IF(ROUND(O1005,2)=0,"No dept value","Invoiced - no dept value"),IF(ROUND(O1005,2)=0,"Not invoiced - to invoice",IF(ROUND(P1005,2)=0,"Agrees",IF(P1005&gt;0,"Dept higher - to invoice","Xero higher - check dept"))))))</f>
        <v/>
      </c>
      <c r="R1005" s="10">
        <f>IF(AND($C1005="",NOT(COUNTA($S1005:$BB1005)&gt;0),$BI1005&lt;&gt;""),"",MID(IF($BI1005="","; Row ID not found on the department sheet - a row was deleted","")&amp;IF(AND($C1005="",COUNTA($S1005:$BB1005)&gt;0),"; Invoice entered but the department row has no job number","")&amp;IF(E1005="CHECK","; Job number not in the Xero job list","")&amp;IF(AND($C1005&lt;&gt;"",COUNTIF($C$7:$C$1506,$C1005)&gt;1),"; Job number on more than one row","")&amp;IF(AND($C1005&lt;&gt;"",H1005=""),"; Dept has not set a cost centre","")&amp;IF(AND($C1005&lt;&gt;"",J1005=""),"; Dept has not set a tax code","")&amp;IF(AND($C1005&lt;&gt;"",N1005=""),"; Dept has not entered an expected value","")&amp;IF((IF(OR(COUNTA(S1005:U1005)=0,AND(COUNTA(S1005:U1005)=3,ISNUMBER(U1005))),0,1)+IF(OR(COUNTA(V1005:X1005)=0,AND(COUNTA(V1005:X1005)=3,ISNUMBER(X1005))),0,1)+IF(OR(COUNTA(Y1005:AA1005)=0,AND(COUNTA(Y1005:AA1005)=3,ISNUMBER(AA1005))),0,1)+IF(OR(COUNTA(AB1005:AD1005)=0,AND(COUNTA(AB1005:AD1005)=3,ISNUMBER(AD1005))),0,1)+IF(OR(COUNTA(AE1005:AG1005)=0,AND(COUNTA(AE1005:AG1005)=3,ISNUMBER(AG1005))),0,1)+IF(OR(COUNTA(AH1005:AJ1005)=0,AND(COUNTA(AH1005:AJ1005)=3,ISNUMBER(AJ1005))),0,1)+IF(OR(COUNTA(AK1005:AM1005)=0,AND(COUNTA(AK1005:AM1005)=3,ISNUMBER(AM1005))),0,1)+IF(OR(COUNTA(AN1005:AP1005)=0,AND(COUNTA(AN1005:AP1005)=3,ISNUMBER(AP1005))),0,1)+IF(OR(COUNTA(AQ1005:AS1005)=0,AND(COUNTA(AQ1005:AS1005)=3,ISNUMBER(AS1005))),0,1)+IF(OR(COUNTA(AT1005:AV1005)=0,AND(COUNTA(AT1005:AV1005)=3,ISNUMBER(AV1005))),0,1)+IF(OR(COUNTA(AW1005:AY1005)=0,AND(COUNTA(AW1005:AY1005)=3,ISNUMBER(AY1005))),0,1)+IF(OR(COUNTA(AZ1005:BB1005)=0,AND(COUNTA(AZ1005:BB1005)=3,ISNUMBER(BB1005))),0,1))&gt;0,"; An invoice is incomplete (needs No, Date and a number in Ex GST)","")&amp;IF((IF(T1005="",0,IFERROR(--(EOMONTH(T1005,0)&lt;&gt;S$5),1))+IF(W1005="",0,IFERROR(--(EOMONTH(W1005,0)&lt;&gt;V$5),1))+IF(Z1005="",0,IFERROR(--(EOMONTH(Z1005,0)&lt;&gt;Y$5),1))+IF(AC1005="",0,IFERROR(--(EOMONTH(AC1005,0)&lt;&gt;AB$5),1))+IF(AF1005="",0,IFERROR(--(EOMONTH(AF1005,0)&lt;&gt;AE$5),1))+IF(AI1005="",0,IFERROR(--(EOMONTH(AI1005,0)&lt;&gt;AH$5),1))+IF(AL1005="",0,IFERROR(--(EOMONTH(AL1005,0)&lt;&gt;AK$5),1))+IF(AO1005="",0,IFERROR(--(EOMONTH(AO1005,0)&lt;&gt;AN$5),1))+IF(AR1005="",0,IFERROR(--(EOMONTH(AR1005,0)&lt;&gt;AQ$5),1))+IF(AU1005="",0,IFERROR(--(EOMONTH(AU1005,0)&lt;&gt;AT$5),1))+IF(AX1005="",0,IFERROR(--(EOMONTH(AX1005,0)&lt;&gt;AW$5),1))+IF(BA1005="",0,IFERROR(--(EOMONTH(BA1005,0)&lt;&gt;AZ$5),1)))&gt;0,"; An invoice date is not in the month it is typed under",""),3,500))</f>
        <v/>
      </c>
      <c r="S1005" s="12" t="n"/>
      <c r="T1005" s="13" t="n"/>
      <c r="U1005" s="14" t="n"/>
      <c r="V1005" s="12" t="n"/>
      <c r="W1005" s="13" t="n"/>
      <c r="X1005" s="14" t="n"/>
      <c r="Y1005" s="12" t="n"/>
      <c r="Z1005" s="13" t="n"/>
      <c r="AA1005" s="14" t="n"/>
      <c r="AB1005" s="12" t="n"/>
      <c r="AC1005" s="13" t="n"/>
      <c r="AD1005" s="14" t="n"/>
      <c r="AE1005" s="12" t="n"/>
      <c r="AF1005" s="13" t="n"/>
      <c r="AG1005" s="14" t="n"/>
      <c r="AH1005" s="12" t="n"/>
      <c r="AI1005" s="13" t="n"/>
      <c r="AJ1005" s="14" t="n"/>
      <c r="AK1005" s="12" t="n"/>
      <c r="AL1005" s="13" t="n"/>
      <c r="AM1005" s="14" t="n"/>
      <c r="AN1005" s="12" t="n"/>
      <c r="AO1005" s="13" t="n"/>
      <c r="AP1005" s="14" t="n"/>
      <c r="AQ1005" s="12" t="n"/>
      <c r="AR1005" s="13" t="n"/>
      <c r="AS1005" s="14" t="n"/>
      <c r="AT1005" s="12" t="n"/>
      <c r="AU1005" s="13" t="n"/>
      <c r="AV1005" s="14" t="n"/>
      <c r="AW1005" s="12" t="n"/>
      <c r="AX1005" s="13" t="n"/>
      <c r="AY1005" s="14" t="n"/>
      <c r="AZ1005" s="12" t="n"/>
      <c r="BA1005" s="13" t="n"/>
      <c r="BB1005" s="14" t="n"/>
      <c r="BC1005" s="11">
        <f>IF(O1005="","",IF(J1005="GST 10%",ROUND(O1005*set_GSTRate,2),0))</f>
        <v/>
      </c>
      <c r="BD1005" s="11">
        <f>IF(O1005="","",O1005+BC1005)</f>
        <v/>
      </c>
      <c r="BE1005" s="15">
        <f>IF(O1005="","",COUNTA(S1005,V1005,Y1005,AB1005,AE1005,AH1005,AK1005,AN1005,AQ1005,AT1005,AW1005,AZ1005))</f>
        <v/>
      </c>
      <c r="BF1005" s="16">
        <f>IF(COUNT(T1005,W1005,Z1005,AC1005,AF1005,AI1005,AL1005,AO1005,AR1005,AU1005,AX1005,BA1005)=0,"",MAX(T1005,W1005,Z1005,AC1005,AF1005,AI1005,AL1005,AO1005,AR1005,AU1005,AX1005,BA1005))</f>
        <v/>
      </c>
      <c r="BG1005" s="10">
        <f>MID(IF(S1005="","",", "&amp;S1005)&amp;IF(V1005="","",", "&amp;V1005)&amp;IF(Y1005="","",", "&amp;Y1005)&amp;IF(AB1005="","",", "&amp;AB1005)&amp;IF(AE1005="","",", "&amp;AE1005)&amp;IF(AH1005="","",", "&amp;AH1005)&amp;IF(AK1005="","",", "&amp;AK1005)&amp;IF(AN1005="","",", "&amp;AN1005)&amp;IF(AQ1005="","",", "&amp;AQ1005)&amp;IF(AT1005="","",", "&amp;AT1005)&amp;IF(AW1005="","",", "&amp;AW1005)&amp;IF(AZ1005="","",", "&amp;AZ1005),3,500)</f>
        <v/>
      </c>
      <c r="BH1005" s="12" t="n"/>
      <c r="BI1005" s="15">
        <f>IFERROR(MATCH($A1005,IF($B1005="Onsite",tbl_Onsite[Row ID],IF($B1005="Production",tbl_Production[Row ID],tbl_Consulting[Row ID])),0),"")</f>
        <v/>
      </c>
    </row>
    <row r="1006">
      <c r="A1006" s="10" t="inlineStr">
        <is>
          <t>PRD-0500</t>
        </is>
      </c>
      <c r="B1006" s="10" t="inlineStr">
        <is>
          <t>Production</t>
        </is>
      </c>
      <c r="C1006" s="10">
        <f>IF($BI1006="","",IF($B1006="Onsite",INDEX(tbl_Onsite[Job Number],$BI1006),IF($B1006="Production",INDEX(tbl_Production[Job Number],$BI1006),INDEX(tbl_Consulting[Job Number],$BI1006)))&amp;"")</f>
        <v/>
      </c>
      <c r="D1006" s="10">
        <f>IF($BI1006="","",IF($B1006="Onsite",INDEX(tbl_Onsite[Client],$BI1006),IF($B1006="Production",INDEX(tbl_Production[Client],$BI1006),INDEX(tbl_Consulting[Client],$BI1006)))&amp;"")</f>
        <v/>
      </c>
      <c r="E1006" s="10">
        <f>IF($C1006="","",IF(COUNTIF(lst_Jobs,$C1006)&gt;0,"OK","CHECK"))</f>
        <v/>
      </c>
      <c r="F1006" s="10">
        <f>IF($C1006="","",IFERROR(INDEX(lst_JobName,MATCH($C1006,lst_Jobs,0)),""))</f>
        <v/>
      </c>
      <c r="G1006" s="10">
        <f>IF($BI1006="","",IF($B1006="Onsite",INDEX(tbl_Onsite[Job Description],$BI1006),IF($B1006="Production",INDEX(tbl_Production[Job Description],$BI1006),INDEX(tbl_Consulting[Job Description],$BI1006)))&amp;"")</f>
        <v/>
      </c>
      <c r="H1006" s="10">
        <f>IF($BI1006="","",IF($B1006="Onsite",INDEX(tbl_Onsite[Cost Centre],$BI1006),IF($B1006="Production",INDEX(tbl_Production[Cost Centre],$BI1006),INDEX(tbl_Consulting[Cost Centre],$BI1006)))&amp;"")</f>
        <v/>
      </c>
      <c r="I1006" s="10">
        <f>IF($BI1006="","",IF($B1006="Onsite",INDEX(tbl_Onsite[Invoice Type],$BI1006),IF($B1006="Production",INDEX(tbl_Production[Invoice Type],$BI1006),INDEX(tbl_Consulting[Invoice Type],$BI1006)))&amp;"")</f>
        <v/>
      </c>
      <c r="J1006" s="10">
        <f>IF($BI1006="","",IF($B1006="Onsite",INDEX(tbl_Onsite[Tax Code],$BI1006),IF($B1006="Production",INDEX(tbl_Production[Tax Code],$BI1006),INDEX(tbl_Consulting[Tax Code],$BI1006)))&amp;"")</f>
        <v/>
      </c>
      <c r="K1006" s="10">
        <f>IF(H1006="","",IFERROR(INDEX(lst_CCtoGL,MATCH(H1006,lst_CCforGL,0)),""))</f>
        <v/>
      </c>
      <c r="L1006" s="10">
        <f>IF($BI1006="","",IF($B1006="Onsite",INDEX(tbl_Onsite[PO / Reference],$BI1006),IF($B1006="Production",INDEX(tbl_Production[Current RMS No],$BI1006),INDEX(tbl_Consulting[Qwilr Quote],$BI1006)))&amp;"")</f>
        <v/>
      </c>
      <c r="M1006" s="10">
        <f>IF($BI1006="","",IF($B1006="Onsite",INDEX(tbl_Onsite[Notes],$BI1006),IF($B1006="Production",INDEX(tbl_Production[Notes],$BI1006),INDEX(tbl_Consulting[Notes],$BI1006)))&amp;"")</f>
        <v/>
      </c>
      <c r="N1006" s="11">
        <f>IF($BI1006="","",IF(IF($B1006="Onsite",INDEX(tbl_Onsite[Expected Revenue Ex GST],$BI1006),IF($B1006="Production",INDEX(tbl_Production[Expected Revenue Ex GST],$BI1006),INDEX(tbl_Consulting[Expected Revenue Ex GST],$BI1006)))="","",IF($B1006="Onsite",INDEX(tbl_Onsite[Expected Revenue Ex GST],$BI1006),IF($B1006="Production",INDEX(tbl_Production[Expected Revenue Ex GST],$BI1006),INDEX(tbl_Consulting[Expected Revenue Ex GST],$BI1006)))))</f>
        <v/>
      </c>
      <c r="O1006" s="11">
        <f>IF(AND($C1006="",NOT(COUNTA($S1006:$BB1006)&gt;0)),"",SUM(U1006,X1006,AA1006,AD1006,AG1006,AJ1006,AM1006,AP1006,AS1006,AV1006,AY1006,BB1006))</f>
        <v/>
      </c>
      <c r="P1006" s="11">
        <f>IF(O1006="","",N(N1006)-O1006)</f>
        <v/>
      </c>
      <c r="Q1006" s="10">
        <f>IF(O1006="","",IF($C1006="","Invoice on empty job row",IF(N1006="",IF(ROUND(O1006,2)=0,"No dept value","Invoiced - no dept value"),IF(ROUND(O1006,2)=0,"Not invoiced - to invoice",IF(ROUND(P1006,2)=0,"Agrees",IF(P1006&gt;0,"Dept higher - to invoice","Xero higher - check dept"))))))</f>
        <v/>
      </c>
      <c r="R1006" s="10">
        <f>IF(AND($C1006="",NOT(COUNTA($S1006:$BB1006)&gt;0),$BI1006&lt;&gt;""),"",MID(IF($BI1006="","; Row ID not found on the department sheet - a row was deleted","")&amp;IF(AND($C1006="",COUNTA($S1006:$BB1006)&gt;0),"; Invoice entered but the department row has no job number","")&amp;IF(E1006="CHECK","; Job number not in the Xero job list","")&amp;IF(AND($C1006&lt;&gt;"",COUNTIF($C$7:$C$1506,$C1006)&gt;1),"; Job number on more than one row","")&amp;IF(AND($C1006&lt;&gt;"",H1006=""),"; Dept has not set a cost centre","")&amp;IF(AND($C1006&lt;&gt;"",J1006=""),"; Dept has not set a tax code","")&amp;IF(AND($C1006&lt;&gt;"",N1006=""),"; Dept has not entered an expected value","")&amp;IF((IF(OR(COUNTA(S1006:U1006)=0,AND(COUNTA(S1006:U1006)=3,ISNUMBER(U1006))),0,1)+IF(OR(COUNTA(V1006:X1006)=0,AND(COUNTA(V1006:X1006)=3,ISNUMBER(X1006))),0,1)+IF(OR(COUNTA(Y1006:AA1006)=0,AND(COUNTA(Y1006:AA1006)=3,ISNUMBER(AA1006))),0,1)+IF(OR(COUNTA(AB1006:AD1006)=0,AND(COUNTA(AB1006:AD1006)=3,ISNUMBER(AD1006))),0,1)+IF(OR(COUNTA(AE1006:AG1006)=0,AND(COUNTA(AE1006:AG1006)=3,ISNUMBER(AG1006))),0,1)+IF(OR(COUNTA(AH1006:AJ1006)=0,AND(COUNTA(AH1006:AJ1006)=3,ISNUMBER(AJ1006))),0,1)+IF(OR(COUNTA(AK1006:AM1006)=0,AND(COUNTA(AK1006:AM1006)=3,ISNUMBER(AM1006))),0,1)+IF(OR(COUNTA(AN1006:AP1006)=0,AND(COUNTA(AN1006:AP1006)=3,ISNUMBER(AP1006))),0,1)+IF(OR(COUNTA(AQ1006:AS1006)=0,AND(COUNTA(AQ1006:AS1006)=3,ISNUMBER(AS1006))),0,1)+IF(OR(COUNTA(AT1006:AV1006)=0,AND(COUNTA(AT1006:AV1006)=3,ISNUMBER(AV1006))),0,1)+IF(OR(COUNTA(AW1006:AY1006)=0,AND(COUNTA(AW1006:AY1006)=3,ISNUMBER(AY1006))),0,1)+IF(OR(COUNTA(AZ1006:BB1006)=0,AND(COUNTA(AZ1006:BB1006)=3,ISNUMBER(BB1006))),0,1))&gt;0,"; An invoice is incomplete (needs No, Date and a number in Ex GST)","")&amp;IF((IF(T1006="",0,IFERROR(--(EOMONTH(T1006,0)&lt;&gt;S$5),1))+IF(W1006="",0,IFERROR(--(EOMONTH(W1006,0)&lt;&gt;V$5),1))+IF(Z1006="",0,IFERROR(--(EOMONTH(Z1006,0)&lt;&gt;Y$5),1))+IF(AC1006="",0,IFERROR(--(EOMONTH(AC1006,0)&lt;&gt;AB$5),1))+IF(AF1006="",0,IFERROR(--(EOMONTH(AF1006,0)&lt;&gt;AE$5),1))+IF(AI1006="",0,IFERROR(--(EOMONTH(AI1006,0)&lt;&gt;AH$5),1))+IF(AL1006="",0,IFERROR(--(EOMONTH(AL1006,0)&lt;&gt;AK$5),1))+IF(AO1006="",0,IFERROR(--(EOMONTH(AO1006,0)&lt;&gt;AN$5),1))+IF(AR1006="",0,IFERROR(--(EOMONTH(AR1006,0)&lt;&gt;AQ$5),1))+IF(AU1006="",0,IFERROR(--(EOMONTH(AU1006,0)&lt;&gt;AT$5),1))+IF(AX1006="",0,IFERROR(--(EOMONTH(AX1006,0)&lt;&gt;AW$5),1))+IF(BA1006="",0,IFERROR(--(EOMONTH(BA1006,0)&lt;&gt;AZ$5),1)))&gt;0,"; An invoice date is not in the month it is typed under",""),3,500))</f>
        <v/>
      </c>
      <c r="S1006" s="12" t="n"/>
      <c r="T1006" s="13" t="n"/>
      <c r="U1006" s="14" t="n"/>
      <c r="V1006" s="12" t="n"/>
      <c r="W1006" s="13" t="n"/>
      <c r="X1006" s="14" t="n"/>
      <c r="Y1006" s="12" t="n"/>
      <c r="Z1006" s="13" t="n"/>
      <c r="AA1006" s="14" t="n"/>
      <c r="AB1006" s="12" t="n"/>
      <c r="AC1006" s="13" t="n"/>
      <c r="AD1006" s="14" t="n"/>
      <c r="AE1006" s="12" t="n"/>
      <c r="AF1006" s="13" t="n"/>
      <c r="AG1006" s="14" t="n"/>
      <c r="AH1006" s="12" t="n"/>
      <c r="AI1006" s="13" t="n"/>
      <c r="AJ1006" s="14" t="n"/>
      <c r="AK1006" s="12" t="n"/>
      <c r="AL1006" s="13" t="n"/>
      <c r="AM1006" s="14" t="n"/>
      <c r="AN1006" s="12" t="n"/>
      <c r="AO1006" s="13" t="n"/>
      <c r="AP1006" s="14" t="n"/>
      <c r="AQ1006" s="12" t="n"/>
      <c r="AR1006" s="13" t="n"/>
      <c r="AS1006" s="14" t="n"/>
      <c r="AT1006" s="12" t="n"/>
      <c r="AU1006" s="13" t="n"/>
      <c r="AV1006" s="14" t="n"/>
      <c r="AW1006" s="12" t="n"/>
      <c r="AX1006" s="13" t="n"/>
      <c r="AY1006" s="14" t="n"/>
      <c r="AZ1006" s="12" t="n"/>
      <c r="BA1006" s="13" t="n"/>
      <c r="BB1006" s="14" t="n"/>
      <c r="BC1006" s="11">
        <f>IF(O1006="","",IF(J1006="GST 10%",ROUND(O1006*set_GSTRate,2),0))</f>
        <v/>
      </c>
      <c r="BD1006" s="11">
        <f>IF(O1006="","",O1006+BC1006)</f>
        <v/>
      </c>
      <c r="BE1006" s="15">
        <f>IF(O1006="","",COUNTA(S1006,V1006,Y1006,AB1006,AE1006,AH1006,AK1006,AN1006,AQ1006,AT1006,AW1006,AZ1006))</f>
        <v/>
      </c>
      <c r="BF1006" s="16">
        <f>IF(COUNT(T1006,W1006,Z1006,AC1006,AF1006,AI1006,AL1006,AO1006,AR1006,AU1006,AX1006,BA1006)=0,"",MAX(T1006,W1006,Z1006,AC1006,AF1006,AI1006,AL1006,AO1006,AR1006,AU1006,AX1006,BA1006))</f>
        <v/>
      </c>
      <c r="BG1006" s="10">
        <f>MID(IF(S1006="","",", "&amp;S1006)&amp;IF(V1006="","",", "&amp;V1006)&amp;IF(Y1006="","",", "&amp;Y1006)&amp;IF(AB1006="","",", "&amp;AB1006)&amp;IF(AE1006="","",", "&amp;AE1006)&amp;IF(AH1006="","",", "&amp;AH1006)&amp;IF(AK1006="","",", "&amp;AK1006)&amp;IF(AN1006="","",", "&amp;AN1006)&amp;IF(AQ1006="","",", "&amp;AQ1006)&amp;IF(AT1006="","",", "&amp;AT1006)&amp;IF(AW1006="","",", "&amp;AW1006)&amp;IF(AZ1006="","",", "&amp;AZ1006),3,500)</f>
        <v/>
      </c>
      <c r="BH1006" s="12" t="n"/>
      <c r="BI1006" s="15">
        <f>IFERROR(MATCH($A1006,IF($B1006="Onsite",tbl_Onsite[Row ID],IF($B1006="Production",tbl_Production[Row ID],tbl_Consulting[Row ID])),0),"")</f>
        <v/>
      </c>
    </row>
    <row r="1007">
      <c r="A1007" s="10" t="inlineStr">
        <is>
          <t>CON-0001</t>
        </is>
      </c>
      <c r="B1007" s="10" t="inlineStr">
        <is>
          <t>Consulting</t>
        </is>
      </c>
      <c r="C1007" s="10">
        <f>IF($BI1007="","",IF($B1007="Onsite",INDEX(tbl_Onsite[Job Number],$BI1007),IF($B1007="Production",INDEX(tbl_Production[Job Number],$BI1007),INDEX(tbl_Consulting[Job Number],$BI1007)))&amp;"")</f>
        <v/>
      </c>
      <c r="D1007" s="10">
        <f>IF($BI1007="","",IF($B1007="Onsite",INDEX(tbl_Onsite[Client],$BI1007),IF($B1007="Production",INDEX(tbl_Production[Client],$BI1007),INDEX(tbl_Consulting[Client],$BI1007)))&amp;"")</f>
        <v/>
      </c>
      <c r="E1007" s="10">
        <f>IF($C1007="","",IF(COUNTIF(lst_Jobs,$C1007)&gt;0,"OK","CHECK"))</f>
        <v/>
      </c>
      <c r="F1007" s="10">
        <f>IF($C1007="","",IFERROR(INDEX(lst_JobName,MATCH($C1007,lst_Jobs,0)),""))</f>
        <v/>
      </c>
      <c r="G1007" s="10">
        <f>IF($BI1007="","",IF($B1007="Onsite",INDEX(tbl_Onsite[Job Description],$BI1007),IF($B1007="Production",INDEX(tbl_Production[Job Description],$BI1007),INDEX(tbl_Consulting[Job Description],$BI1007)))&amp;"")</f>
        <v/>
      </c>
      <c r="H1007" s="10">
        <f>IF($BI1007="","",IF($B1007="Onsite",INDEX(tbl_Onsite[Cost Centre],$BI1007),IF($B1007="Production",INDEX(tbl_Production[Cost Centre],$BI1007),INDEX(tbl_Consulting[Cost Centre],$BI1007)))&amp;"")</f>
        <v/>
      </c>
      <c r="I1007" s="10">
        <f>IF($BI1007="","",IF($B1007="Onsite",INDEX(tbl_Onsite[Invoice Type],$BI1007),IF($B1007="Production",INDEX(tbl_Production[Invoice Type],$BI1007),INDEX(tbl_Consulting[Invoice Type],$BI1007)))&amp;"")</f>
        <v/>
      </c>
      <c r="J1007" s="10">
        <f>IF($BI1007="","",IF($B1007="Onsite",INDEX(tbl_Onsite[Tax Code],$BI1007),IF($B1007="Production",INDEX(tbl_Production[Tax Code],$BI1007),INDEX(tbl_Consulting[Tax Code],$BI1007)))&amp;"")</f>
        <v/>
      </c>
      <c r="K1007" s="10">
        <f>IF(H1007="","",IFERROR(INDEX(lst_CCtoGL,MATCH(H1007,lst_CCforGL,0)),""))</f>
        <v/>
      </c>
      <c r="L1007" s="10">
        <f>IF($BI1007="","",IF($B1007="Onsite",INDEX(tbl_Onsite[PO / Reference],$BI1007),IF($B1007="Production",INDEX(tbl_Production[Current RMS No],$BI1007),INDEX(tbl_Consulting[Qwilr Quote],$BI1007)))&amp;"")</f>
        <v/>
      </c>
      <c r="M1007" s="10">
        <f>IF($BI1007="","",IF($B1007="Onsite",INDEX(tbl_Onsite[Notes],$BI1007),IF($B1007="Production",INDEX(tbl_Production[Notes],$BI1007),INDEX(tbl_Consulting[Notes],$BI1007)))&amp;"")</f>
        <v/>
      </c>
      <c r="N1007" s="11">
        <f>IF($BI1007="","",IF(IF($B1007="Onsite",INDEX(tbl_Onsite[Expected Revenue Ex GST],$BI1007),IF($B1007="Production",INDEX(tbl_Production[Expected Revenue Ex GST],$BI1007),INDEX(tbl_Consulting[Expected Revenue Ex GST],$BI1007)))="","",IF($B1007="Onsite",INDEX(tbl_Onsite[Expected Revenue Ex GST],$BI1007),IF($B1007="Production",INDEX(tbl_Production[Expected Revenue Ex GST],$BI1007),INDEX(tbl_Consulting[Expected Revenue Ex GST],$BI1007)))))</f>
        <v/>
      </c>
      <c r="O1007" s="11">
        <f>IF(AND($C1007="",NOT(COUNTA($S1007:$BB1007)&gt;0)),"",SUM(U1007,X1007,AA1007,AD1007,AG1007,AJ1007,AM1007,AP1007,AS1007,AV1007,AY1007,BB1007))</f>
        <v/>
      </c>
      <c r="P1007" s="11">
        <f>IF(O1007="","",N(N1007)-O1007)</f>
        <v/>
      </c>
      <c r="Q1007" s="10">
        <f>IF(O1007="","",IF($C1007="","Invoice on empty job row",IF(N1007="",IF(ROUND(O1007,2)=0,"No dept value","Invoiced - no dept value"),IF(ROUND(O1007,2)=0,"Not invoiced - to invoice",IF(ROUND(P1007,2)=0,"Agrees",IF(P1007&gt;0,"Dept higher - to invoice","Xero higher - check dept"))))))</f>
        <v/>
      </c>
      <c r="R1007" s="10">
        <f>IF(AND($C1007="",NOT(COUNTA($S1007:$BB1007)&gt;0),$BI1007&lt;&gt;""),"",MID(IF($BI1007="","; Row ID not found on the department sheet - a row was deleted","")&amp;IF(AND($C1007="",COUNTA($S1007:$BB1007)&gt;0),"; Invoice entered but the department row has no job number","")&amp;IF(E1007="CHECK","; Job number not in the Xero job list","")&amp;IF(AND($C1007&lt;&gt;"",COUNTIF($C$7:$C$1506,$C1007)&gt;1),"; Job number on more than one row","")&amp;IF(AND($C1007&lt;&gt;"",H1007=""),"; Dept has not set a cost centre","")&amp;IF(AND($C1007&lt;&gt;"",J1007=""),"; Dept has not set a tax code","")&amp;IF(AND($C1007&lt;&gt;"",N1007=""),"; Dept has not entered an expected value","")&amp;IF((IF(OR(COUNTA(S1007:U1007)=0,AND(COUNTA(S1007:U1007)=3,ISNUMBER(U1007))),0,1)+IF(OR(COUNTA(V1007:X1007)=0,AND(COUNTA(V1007:X1007)=3,ISNUMBER(X1007))),0,1)+IF(OR(COUNTA(Y1007:AA1007)=0,AND(COUNTA(Y1007:AA1007)=3,ISNUMBER(AA1007))),0,1)+IF(OR(COUNTA(AB1007:AD1007)=0,AND(COUNTA(AB1007:AD1007)=3,ISNUMBER(AD1007))),0,1)+IF(OR(COUNTA(AE1007:AG1007)=0,AND(COUNTA(AE1007:AG1007)=3,ISNUMBER(AG1007))),0,1)+IF(OR(COUNTA(AH1007:AJ1007)=0,AND(COUNTA(AH1007:AJ1007)=3,ISNUMBER(AJ1007))),0,1)+IF(OR(COUNTA(AK1007:AM1007)=0,AND(COUNTA(AK1007:AM1007)=3,ISNUMBER(AM1007))),0,1)+IF(OR(COUNTA(AN1007:AP1007)=0,AND(COUNTA(AN1007:AP1007)=3,ISNUMBER(AP1007))),0,1)+IF(OR(COUNTA(AQ1007:AS1007)=0,AND(COUNTA(AQ1007:AS1007)=3,ISNUMBER(AS1007))),0,1)+IF(OR(COUNTA(AT1007:AV1007)=0,AND(COUNTA(AT1007:AV1007)=3,ISNUMBER(AV1007))),0,1)+IF(OR(COUNTA(AW1007:AY1007)=0,AND(COUNTA(AW1007:AY1007)=3,ISNUMBER(AY1007))),0,1)+IF(OR(COUNTA(AZ1007:BB1007)=0,AND(COUNTA(AZ1007:BB1007)=3,ISNUMBER(BB1007))),0,1))&gt;0,"; An invoice is incomplete (needs No, Date and a number in Ex GST)","")&amp;IF((IF(T1007="",0,IFERROR(--(EOMONTH(T1007,0)&lt;&gt;S$5),1))+IF(W1007="",0,IFERROR(--(EOMONTH(W1007,0)&lt;&gt;V$5),1))+IF(Z1007="",0,IFERROR(--(EOMONTH(Z1007,0)&lt;&gt;Y$5),1))+IF(AC1007="",0,IFERROR(--(EOMONTH(AC1007,0)&lt;&gt;AB$5),1))+IF(AF1007="",0,IFERROR(--(EOMONTH(AF1007,0)&lt;&gt;AE$5),1))+IF(AI1007="",0,IFERROR(--(EOMONTH(AI1007,0)&lt;&gt;AH$5),1))+IF(AL1007="",0,IFERROR(--(EOMONTH(AL1007,0)&lt;&gt;AK$5),1))+IF(AO1007="",0,IFERROR(--(EOMONTH(AO1007,0)&lt;&gt;AN$5),1))+IF(AR1007="",0,IFERROR(--(EOMONTH(AR1007,0)&lt;&gt;AQ$5),1))+IF(AU1007="",0,IFERROR(--(EOMONTH(AU1007,0)&lt;&gt;AT$5),1))+IF(AX1007="",0,IFERROR(--(EOMONTH(AX1007,0)&lt;&gt;AW$5),1))+IF(BA1007="",0,IFERROR(--(EOMONTH(BA1007,0)&lt;&gt;AZ$5),1)))&gt;0,"; An invoice date is not in the month it is typed under",""),3,500))</f>
        <v/>
      </c>
      <c r="S1007" s="12" t="n"/>
      <c r="T1007" s="13" t="n"/>
      <c r="U1007" s="14" t="n"/>
      <c r="V1007" s="12" t="n"/>
      <c r="W1007" s="13" t="n"/>
      <c r="X1007" s="14" t="n"/>
      <c r="Y1007" s="12" t="n"/>
      <c r="Z1007" s="13" t="n"/>
      <c r="AA1007" s="14" t="n"/>
      <c r="AB1007" s="12" t="n"/>
      <c r="AC1007" s="13" t="n"/>
      <c r="AD1007" s="14" t="n"/>
      <c r="AE1007" s="12" t="n"/>
      <c r="AF1007" s="13" t="n"/>
      <c r="AG1007" s="14" t="n"/>
      <c r="AH1007" s="12" t="n"/>
      <c r="AI1007" s="13" t="n"/>
      <c r="AJ1007" s="14" t="n"/>
      <c r="AK1007" s="12" t="n"/>
      <c r="AL1007" s="13" t="n"/>
      <c r="AM1007" s="14" t="n"/>
      <c r="AN1007" s="12" t="n"/>
      <c r="AO1007" s="13" t="n"/>
      <c r="AP1007" s="14" t="n"/>
      <c r="AQ1007" s="12" t="n"/>
      <c r="AR1007" s="13" t="n"/>
      <c r="AS1007" s="14" t="n"/>
      <c r="AT1007" s="12" t="n"/>
      <c r="AU1007" s="13" t="n"/>
      <c r="AV1007" s="14" t="n"/>
      <c r="AW1007" s="12" t="n"/>
      <c r="AX1007" s="13" t="n"/>
      <c r="AY1007" s="14" t="n"/>
      <c r="AZ1007" s="12" t="n"/>
      <c r="BA1007" s="13" t="n"/>
      <c r="BB1007" s="14" t="n"/>
      <c r="BC1007" s="11">
        <f>IF(O1007="","",IF(J1007="GST 10%",ROUND(O1007*set_GSTRate,2),0))</f>
        <v/>
      </c>
      <c r="BD1007" s="11">
        <f>IF(O1007="","",O1007+BC1007)</f>
        <v/>
      </c>
      <c r="BE1007" s="15">
        <f>IF(O1007="","",COUNTA(S1007,V1007,Y1007,AB1007,AE1007,AH1007,AK1007,AN1007,AQ1007,AT1007,AW1007,AZ1007))</f>
        <v/>
      </c>
      <c r="BF1007" s="16">
        <f>IF(COUNT(T1007,W1007,Z1007,AC1007,AF1007,AI1007,AL1007,AO1007,AR1007,AU1007,AX1007,BA1007)=0,"",MAX(T1007,W1007,Z1007,AC1007,AF1007,AI1007,AL1007,AO1007,AR1007,AU1007,AX1007,BA1007))</f>
        <v/>
      </c>
      <c r="BG1007" s="10">
        <f>MID(IF(S1007="","",", "&amp;S1007)&amp;IF(V1007="","",", "&amp;V1007)&amp;IF(Y1007="","",", "&amp;Y1007)&amp;IF(AB1007="","",", "&amp;AB1007)&amp;IF(AE1007="","",", "&amp;AE1007)&amp;IF(AH1007="","",", "&amp;AH1007)&amp;IF(AK1007="","",", "&amp;AK1007)&amp;IF(AN1007="","",", "&amp;AN1007)&amp;IF(AQ1007="","",", "&amp;AQ1007)&amp;IF(AT1007="","",", "&amp;AT1007)&amp;IF(AW1007="","",", "&amp;AW1007)&amp;IF(AZ1007="","",", "&amp;AZ1007),3,500)</f>
        <v/>
      </c>
      <c r="BH1007" s="12" t="n"/>
      <c r="BI1007" s="15">
        <f>IFERROR(MATCH($A1007,IF($B1007="Onsite",tbl_Onsite[Row ID],IF($B1007="Production",tbl_Production[Row ID],tbl_Consulting[Row ID])),0),"")</f>
        <v/>
      </c>
    </row>
    <row r="1008">
      <c r="A1008" s="10" t="inlineStr">
        <is>
          <t>CON-0002</t>
        </is>
      </c>
      <c r="B1008" s="10" t="inlineStr">
        <is>
          <t>Consulting</t>
        </is>
      </c>
      <c r="C1008" s="10">
        <f>IF($BI1008="","",IF($B1008="Onsite",INDEX(tbl_Onsite[Job Number],$BI1008),IF($B1008="Production",INDEX(tbl_Production[Job Number],$BI1008),INDEX(tbl_Consulting[Job Number],$BI1008)))&amp;"")</f>
        <v/>
      </c>
      <c r="D1008" s="10">
        <f>IF($BI1008="","",IF($B1008="Onsite",INDEX(tbl_Onsite[Client],$BI1008),IF($B1008="Production",INDEX(tbl_Production[Client],$BI1008),INDEX(tbl_Consulting[Client],$BI1008)))&amp;"")</f>
        <v/>
      </c>
      <c r="E1008" s="10">
        <f>IF($C1008="","",IF(COUNTIF(lst_Jobs,$C1008)&gt;0,"OK","CHECK"))</f>
        <v/>
      </c>
      <c r="F1008" s="10">
        <f>IF($C1008="","",IFERROR(INDEX(lst_JobName,MATCH($C1008,lst_Jobs,0)),""))</f>
        <v/>
      </c>
      <c r="G1008" s="10">
        <f>IF($BI1008="","",IF($B1008="Onsite",INDEX(tbl_Onsite[Job Description],$BI1008),IF($B1008="Production",INDEX(tbl_Production[Job Description],$BI1008),INDEX(tbl_Consulting[Job Description],$BI1008)))&amp;"")</f>
        <v/>
      </c>
      <c r="H1008" s="10">
        <f>IF($BI1008="","",IF($B1008="Onsite",INDEX(tbl_Onsite[Cost Centre],$BI1008),IF($B1008="Production",INDEX(tbl_Production[Cost Centre],$BI1008),INDEX(tbl_Consulting[Cost Centre],$BI1008)))&amp;"")</f>
        <v/>
      </c>
      <c r="I1008" s="10">
        <f>IF($BI1008="","",IF($B1008="Onsite",INDEX(tbl_Onsite[Invoice Type],$BI1008),IF($B1008="Production",INDEX(tbl_Production[Invoice Type],$BI1008),INDEX(tbl_Consulting[Invoice Type],$BI1008)))&amp;"")</f>
        <v/>
      </c>
      <c r="J1008" s="10">
        <f>IF($BI1008="","",IF($B1008="Onsite",INDEX(tbl_Onsite[Tax Code],$BI1008),IF($B1008="Production",INDEX(tbl_Production[Tax Code],$BI1008),INDEX(tbl_Consulting[Tax Code],$BI1008)))&amp;"")</f>
        <v/>
      </c>
      <c r="K1008" s="10">
        <f>IF(H1008="","",IFERROR(INDEX(lst_CCtoGL,MATCH(H1008,lst_CCforGL,0)),""))</f>
        <v/>
      </c>
      <c r="L1008" s="10">
        <f>IF($BI1008="","",IF($B1008="Onsite",INDEX(tbl_Onsite[PO / Reference],$BI1008),IF($B1008="Production",INDEX(tbl_Production[Current RMS No],$BI1008),INDEX(tbl_Consulting[Qwilr Quote],$BI1008)))&amp;"")</f>
        <v/>
      </c>
      <c r="M1008" s="10">
        <f>IF($BI1008="","",IF($B1008="Onsite",INDEX(tbl_Onsite[Notes],$BI1008),IF($B1008="Production",INDEX(tbl_Production[Notes],$BI1008),INDEX(tbl_Consulting[Notes],$BI1008)))&amp;"")</f>
        <v/>
      </c>
      <c r="N1008" s="11">
        <f>IF($BI1008="","",IF(IF($B1008="Onsite",INDEX(tbl_Onsite[Expected Revenue Ex GST],$BI1008),IF($B1008="Production",INDEX(tbl_Production[Expected Revenue Ex GST],$BI1008),INDEX(tbl_Consulting[Expected Revenue Ex GST],$BI1008)))="","",IF($B1008="Onsite",INDEX(tbl_Onsite[Expected Revenue Ex GST],$BI1008),IF($B1008="Production",INDEX(tbl_Production[Expected Revenue Ex GST],$BI1008),INDEX(tbl_Consulting[Expected Revenue Ex GST],$BI1008)))))</f>
        <v/>
      </c>
      <c r="O1008" s="11">
        <f>IF(AND($C1008="",NOT(COUNTA($S1008:$BB1008)&gt;0)),"",SUM(U1008,X1008,AA1008,AD1008,AG1008,AJ1008,AM1008,AP1008,AS1008,AV1008,AY1008,BB1008))</f>
        <v/>
      </c>
      <c r="P1008" s="11">
        <f>IF(O1008="","",N(N1008)-O1008)</f>
        <v/>
      </c>
      <c r="Q1008" s="10">
        <f>IF(O1008="","",IF($C1008="","Invoice on empty job row",IF(N1008="",IF(ROUND(O1008,2)=0,"No dept value","Invoiced - no dept value"),IF(ROUND(O1008,2)=0,"Not invoiced - to invoice",IF(ROUND(P1008,2)=0,"Agrees",IF(P1008&gt;0,"Dept higher - to invoice","Xero higher - check dept"))))))</f>
        <v/>
      </c>
      <c r="R1008" s="10">
        <f>IF(AND($C1008="",NOT(COUNTA($S1008:$BB1008)&gt;0),$BI1008&lt;&gt;""),"",MID(IF($BI1008="","; Row ID not found on the department sheet - a row was deleted","")&amp;IF(AND($C1008="",COUNTA($S1008:$BB1008)&gt;0),"; Invoice entered but the department row has no job number","")&amp;IF(E1008="CHECK","; Job number not in the Xero job list","")&amp;IF(AND($C1008&lt;&gt;"",COUNTIF($C$7:$C$1506,$C1008)&gt;1),"; Job number on more than one row","")&amp;IF(AND($C1008&lt;&gt;"",H1008=""),"; Dept has not set a cost centre","")&amp;IF(AND($C1008&lt;&gt;"",J1008=""),"; Dept has not set a tax code","")&amp;IF(AND($C1008&lt;&gt;"",N1008=""),"; Dept has not entered an expected value","")&amp;IF((IF(OR(COUNTA(S1008:U1008)=0,AND(COUNTA(S1008:U1008)=3,ISNUMBER(U1008))),0,1)+IF(OR(COUNTA(V1008:X1008)=0,AND(COUNTA(V1008:X1008)=3,ISNUMBER(X1008))),0,1)+IF(OR(COUNTA(Y1008:AA1008)=0,AND(COUNTA(Y1008:AA1008)=3,ISNUMBER(AA1008))),0,1)+IF(OR(COUNTA(AB1008:AD1008)=0,AND(COUNTA(AB1008:AD1008)=3,ISNUMBER(AD1008))),0,1)+IF(OR(COUNTA(AE1008:AG1008)=0,AND(COUNTA(AE1008:AG1008)=3,ISNUMBER(AG1008))),0,1)+IF(OR(COUNTA(AH1008:AJ1008)=0,AND(COUNTA(AH1008:AJ1008)=3,ISNUMBER(AJ1008))),0,1)+IF(OR(COUNTA(AK1008:AM1008)=0,AND(COUNTA(AK1008:AM1008)=3,ISNUMBER(AM1008))),0,1)+IF(OR(COUNTA(AN1008:AP1008)=0,AND(COUNTA(AN1008:AP1008)=3,ISNUMBER(AP1008))),0,1)+IF(OR(COUNTA(AQ1008:AS1008)=0,AND(COUNTA(AQ1008:AS1008)=3,ISNUMBER(AS1008))),0,1)+IF(OR(COUNTA(AT1008:AV1008)=0,AND(COUNTA(AT1008:AV1008)=3,ISNUMBER(AV1008))),0,1)+IF(OR(COUNTA(AW1008:AY1008)=0,AND(COUNTA(AW1008:AY1008)=3,ISNUMBER(AY1008))),0,1)+IF(OR(COUNTA(AZ1008:BB1008)=0,AND(COUNTA(AZ1008:BB1008)=3,ISNUMBER(BB1008))),0,1))&gt;0,"; An invoice is incomplete (needs No, Date and a number in Ex GST)","")&amp;IF((IF(T1008="",0,IFERROR(--(EOMONTH(T1008,0)&lt;&gt;S$5),1))+IF(W1008="",0,IFERROR(--(EOMONTH(W1008,0)&lt;&gt;V$5),1))+IF(Z1008="",0,IFERROR(--(EOMONTH(Z1008,0)&lt;&gt;Y$5),1))+IF(AC1008="",0,IFERROR(--(EOMONTH(AC1008,0)&lt;&gt;AB$5),1))+IF(AF1008="",0,IFERROR(--(EOMONTH(AF1008,0)&lt;&gt;AE$5),1))+IF(AI1008="",0,IFERROR(--(EOMONTH(AI1008,0)&lt;&gt;AH$5),1))+IF(AL1008="",0,IFERROR(--(EOMONTH(AL1008,0)&lt;&gt;AK$5),1))+IF(AO1008="",0,IFERROR(--(EOMONTH(AO1008,0)&lt;&gt;AN$5),1))+IF(AR1008="",0,IFERROR(--(EOMONTH(AR1008,0)&lt;&gt;AQ$5),1))+IF(AU1008="",0,IFERROR(--(EOMONTH(AU1008,0)&lt;&gt;AT$5),1))+IF(AX1008="",0,IFERROR(--(EOMONTH(AX1008,0)&lt;&gt;AW$5),1))+IF(BA1008="",0,IFERROR(--(EOMONTH(BA1008,0)&lt;&gt;AZ$5),1)))&gt;0,"; An invoice date is not in the month it is typed under",""),3,500))</f>
        <v/>
      </c>
      <c r="S1008" s="12" t="n"/>
      <c r="T1008" s="13" t="n"/>
      <c r="U1008" s="14" t="n"/>
      <c r="V1008" s="12" t="n"/>
      <c r="W1008" s="13" t="n"/>
      <c r="X1008" s="14" t="n"/>
      <c r="Y1008" s="12" t="n"/>
      <c r="Z1008" s="13" t="n"/>
      <c r="AA1008" s="14" t="n"/>
      <c r="AB1008" s="12" t="n"/>
      <c r="AC1008" s="13" t="n"/>
      <c r="AD1008" s="14" t="n"/>
      <c r="AE1008" s="12" t="n"/>
      <c r="AF1008" s="13" t="n"/>
      <c r="AG1008" s="14" t="n"/>
      <c r="AH1008" s="12" t="n"/>
      <c r="AI1008" s="13" t="n"/>
      <c r="AJ1008" s="14" t="n"/>
      <c r="AK1008" s="12" t="n"/>
      <c r="AL1008" s="13" t="n"/>
      <c r="AM1008" s="14" t="n"/>
      <c r="AN1008" s="12" t="n"/>
      <c r="AO1008" s="13" t="n"/>
      <c r="AP1008" s="14" t="n"/>
      <c r="AQ1008" s="12" t="n"/>
      <c r="AR1008" s="13" t="n"/>
      <c r="AS1008" s="14" t="n"/>
      <c r="AT1008" s="12" t="n"/>
      <c r="AU1008" s="13" t="n"/>
      <c r="AV1008" s="14" t="n"/>
      <c r="AW1008" s="12" t="n"/>
      <c r="AX1008" s="13" t="n"/>
      <c r="AY1008" s="14" t="n"/>
      <c r="AZ1008" s="12" t="n"/>
      <c r="BA1008" s="13" t="n"/>
      <c r="BB1008" s="14" t="n"/>
      <c r="BC1008" s="11">
        <f>IF(O1008="","",IF(J1008="GST 10%",ROUND(O1008*set_GSTRate,2),0))</f>
        <v/>
      </c>
      <c r="BD1008" s="11">
        <f>IF(O1008="","",O1008+BC1008)</f>
        <v/>
      </c>
      <c r="BE1008" s="15">
        <f>IF(O1008="","",COUNTA(S1008,V1008,Y1008,AB1008,AE1008,AH1008,AK1008,AN1008,AQ1008,AT1008,AW1008,AZ1008))</f>
        <v/>
      </c>
      <c r="BF1008" s="16">
        <f>IF(COUNT(T1008,W1008,Z1008,AC1008,AF1008,AI1008,AL1008,AO1008,AR1008,AU1008,AX1008,BA1008)=0,"",MAX(T1008,W1008,Z1008,AC1008,AF1008,AI1008,AL1008,AO1008,AR1008,AU1008,AX1008,BA1008))</f>
        <v/>
      </c>
      <c r="BG1008" s="10">
        <f>MID(IF(S1008="","",", "&amp;S1008)&amp;IF(V1008="","",", "&amp;V1008)&amp;IF(Y1008="","",", "&amp;Y1008)&amp;IF(AB1008="","",", "&amp;AB1008)&amp;IF(AE1008="","",", "&amp;AE1008)&amp;IF(AH1008="","",", "&amp;AH1008)&amp;IF(AK1008="","",", "&amp;AK1008)&amp;IF(AN1008="","",", "&amp;AN1008)&amp;IF(AQ1008="","",", "&amp;AQ1008)&amp;IF(AT1008="","",", "&amp;AT1008)&amp;IF(AW1008="","",", "&amp;AW1008)&amp;IF(AZ1008="","",", "&amp;AZ1008),3,500)</f>
        <v/>
      </c>
      <c r="BH1008" s="12" t="n"/>
      <c r="BI1008" s="15">
        <f>IFERROR(MATCH($A1008,IF($B1008="Onsite",tbl_Onsite[Row ID],IF($B1008="Production",tbl_Production[Row ID],tbl_Consulting[Row ID])),0),"")</f>
        <v/>
      </c>
    </row>
    <row r="1009">
      <c r="A1009" s="10" t="inlineStr">
        <is>
          <t>CON-0003</t>
        </is>
      </c>
      <c r="B1009" s="10" t="inlineStr">
        <is>
          <t>Consulting</t>
        </is>
      </c>
      <c r="C1009" s="10">
        <f>IF($BI1009="","",IF($B1009="Onsite",INDEX(tbl_Onsite[Job Number],$BI1009),IF($B1009="Production",INDEX(tbl_Production[Job Number],$BI1009),INDEX(tbl_Consulting[Job Number],$BI1009)))&amp;"")</f>
        <v/>
      </c>
      <c r="D1009" s="10">
        <f>IF($BI1009="","",IF($B1009="Onsite",INDEX(tbl_Onsite[Client],$BI1009),IF($B1009="Production",INDEX(tbl_Production[Client],$BI1009),INDEX(tbl_Consulting[Client],$BI1009)))&amp;"")</f>
        <v/>
      </c>
      <c r="E1009" s="10">
        <f>IF($C1009="","",IF(COUNTIF(lst_Jobs,$C1009)&gt;0,"OK","CHECK"))</f>
        <v/>
      </c>
      <c r="F1009" s="10">
        <f>IF($C1009="","",IFERROR(INDEX(lst_JobName,MATCH($C1009,lst_Jobs,0)),""))</f>
        <v/>
      </c>
      <c r="G1009" s="10">
        <f>IF($BI1009="","",IF($B1009="Onsite",INDEX(tbl_Onsite[Job Description],$BI1009),IF($B1009="Production",INDEX(tbl_Production[Job Description],$BI1009),INDEX(tbl_Consulting[Job Description],$BI1009)))&amp;"")</f>
        <v/>
      </c>
      <c r="H1009" s="10">
        <f>IF($BI1009="","",IF($B1009="Onsite",INDEX(tbl_Onsite[Cost Centre],$BI1009),IF($B1009="Production",INDEX(tbl_Production[Cost Centre],$BI1009),INDEX(tbl_Consulting[Cost Centre],$BI1009)))&amp;"")</f>
        <v/>
      </c>
      <c r="I1009" s="10">
        <f>IF($BI1009="","",IF($B1009="Onsite",INDEX(tbl_Onsite[Invoice Type],$BI1009),IF($B1009="Production",INDEX(tbl_Production[Invoice Type],$BI1009),INDEX(tbl_Consulting[Invoice Type],$BI1009)))&amp;"")</f>
        <v/>
      </c>
      <c r="J1009" s="10">
        <f>IF($BI1009="","",IF($B1009="Onsite",INDEX(tbl_Onsite[Tax Code],$BI1009),IF($B1009="Production",INDEX(tbl_Production[Tax Code],$BI1009),INDEX(tbl_Consulting[Tax Code],$BI1009)))&amp;"")</f>
        <v/>
      </c>
      <c r="K1009" s="10">
        <f>IF(H1009="","",IFERROR(INDEX(lst_CCtoGL,MATCH(H1009,lst_CCforGL,0)),""))</f>
        <v/>
      </c>
      <c r="L1009" s="10">
        <f>IF($BI1009="","",IF($B1009="Onsite",INDEX(tbl_Onsite[PO / Reference],$BI1009),IF($B1009="Production",INDEX(tbl_Production[Current RMS No],$BI1009),INDEX(tbl_Consulting[Qwilr Quote],$BI1009)))&amp;"")</f>
        <v/>
      </c>
      <c r="M1009" s="10">
        <f>IF($BI1009="","",IF($B1009="Onsite",INDEX(tbl_Onsite[Notes],$BI1009),IF($B1009="Production",INDEX(tbl_Production[Notes],$BI1009),INDEX(tbl_Consulting[Notes],$BI1009)))&amp;"")</f>
        <v/>
      </c>
      <c r="N1009" s="11">
        <f>IF($BI1009="","",IF(IF($B1009="Onsite",INDEX(tbl_Onsite[Expected Revenue Ex GST],$BI1009),IF($B1009="Production",INDEX(tbl_Production[Expected Revenue Ex GST],$BI1009),INDEX(tbl_Consulting[Expected Revenue Ex GST],$BI1009)))="","",IF($B1009="Onsite",INDEX(tbl_Onsite[Expected Revenue Ex GST],$BI1009),IF($B1009="Production",INDEX(tbl_Production[Expected Revenue Ex GST],$BI1009),INDEX(tbl_Consulting[Expected Revenue Ex GST],$BI1009)))))</f>
        <v/>
      </c>
      <c r="O1009" s="11">
        <f>IF(AND($C1009="",NOT(COUNTA($S1009:$BB1009)&gt;0)),"",SUM(U1009,X1009,AA1009,AD1009,AG1009,AJ1009,AM1009,AP1009,AS1009,AV1009,AY1009,BB1009))</f>
        <v/>
      </c>
      <c r="P1009" s="11">
        <f>IF(O1009="","",N(N1009)-O1009)</f>
        <v/>
      </c>
      <c r="Q1009" s="10">
        <f>IF(O1009="","",IF($C1009="","Invoice on empty job row",IF(N1009="",IF(ROUND(O1009,2)=0,"No dept value","Invoiced - no dept value"),IF(ROUND(O1009,2)=0,"Not invoiced - to invoice",IF(ROUND(P1009,2)=0,"Agrees",IF(P1009&gt;0,"Dept higher - to invoice","Xero higher - check dept"))))))</f>
        <v/>
      </c>
      <c r="R1009" s="10">
        <f>IF(AND($C1009="",NOT(COUNTA($S1009:$BB1009)&gt;0),$BI1009&lt;&gt;""),"",MID(IF($BI1009="","; Row ID not found on the department sheet - a row was deleted","")&amp;IF(AND($C1009="",COUNTA($S1009:$BB1009)&gt;0),"; Invoice entered but the department row has no job number","")&amp;IF(E1009="CHECK","; Job number not in the Xero job list","")&amp;IF(AND($C1009&lt;&gt;"",COUNTIF($C$7:$C$1506,$C1009)&gt;1),"; Job number on more than one row","")&amp;IF(AND($C1009&lt;&gt;"",H1009=""),"; Dept has not set a cost centre","")&amp;IF(AND($C1009&lt;&gt;"",J1009=""),"; Dept has not set a tax code","")&amp;IF(AND($C1009&lt;&gt;"",N1009=""),"; Dept has not entered an expected value","")&amp;IF((IF(OR(COUNTA(S1009:U1009)=0,AND(COUNTA(S1009:U1009)=3,ISNUMBER(U1009))),0,1)+IF(OR(COUNTA(V1009:X1009)=0,AND(COUNTA(V1009:X1009)=3,ISNUMBER(X1009))),0,1)+IF(OR(COUNTA(Y1009:AA1009)=0,AND(COUNTA(Y1009:AA1009)=3,ISNUMBER(AA1009))),0,1)+IF(OR(COUNTA(AB1009:AD1009)=0,AND(COUNTA(AB1009:AD1009)=3,ISNUMBER(AD1009))),0,1)+IF(OR(COUNTA(AE1009:AG1009)=0,AND(COUNTA(AE1009:AG1009)=3,ISNUMBER(AG1009))),0,1)+IF(OR(COUNTA(AH1009:AJ1009)=0,AND(COUNTA(AH1009:AJ1009)=3,ISNUMBER(AJ1009))),0,1)+IF(OR(COUNTA(AK1009:AM1009)=0,AND(COUNTA(AK1009:AM1009)=3,ISNUMBER(AM1009))),0,1)+IF(OR(COUNTA(AN1009:AP1009)=0,AND(COUNTA(AN1009:AP1009)=3,ISNUMBER(AP1009))),0,1)+IF(OR(COUNTA(AQ1009:AS1009)=0,AND(COUNTA(AQ1009:AS1009)=3,ISNUMBER(AS1009))),0,1)+IF(OR(COUNTA(AT1009:AV1009)=0,AND(COUNTA(AT1009:AV1009)=3,ISNUMBER(AV1009))),0,1)+IF(OR(COUNTA(AW1009:AY1009)=0,AND(COUNTA(AW1009:AY1009)=3,ISNUMBER(AY1009))),0,1)+IF(OR(COUNTA(AZ1009:BB1009)=0,AND(COUNTA(AZ1009:BB1009)=3,ISNUMBER(BB1009))),0,1))&gt;0,"; An invoice is incomplete (needs No, Date and a number in Ex GST)","")&amp;IF((IF(T1009="",0,IFERROR(--(EOMONTH(T1009,0)&lt;&gt;S$5),1))+IF(W1009="",0,IFERROR(--(EOMONTH(W1009,0)&lt;&gt;V$5),1))+IF(Z1009="",0,IFERROR(--(EOMONTH(Z1009,0)&lt;&gt;Y$5),1))+IF(AC1009="",0,IFERROR(--(EOMONTH(AC1009,0)&lt;&gt;AB$5),1))+IF(AF1009="",0,IFERROR(--(EOMONTH(AF1009,0)&lt;&gt;AE$5),1))+IF(AI1009="",0,IFERROR(--(EOMONTH(AI1009,0)&lt;&gt;AH$5),1))+IF(AL1009="",0,IFERROR(--(EOMONTH(AL1009,0)&lt;&gt;AK$5),1))+IF(AO1009="",0,IFERROR(--(EOMONTH(AO1009,0)&lt;&gt;AN$5),1))+IF(AR1009="",0,IFERROR(--(EOMONTH(AR1009,0)&lt;&gt;AQ$5),1))+IF(AU1009="",0,IFERROR(--(EOMONTH(AU1009,0)&lt;&gt;AT$5),1))+IF(AX1009="",0,IFERROR(--(EOMONTH(AX1009,0)&lt;&gt;AW$5),1))+IF(BA1009="",0,IFERROR(--(EOMONTH(BA1009,0)&lt;&gt;AZ$5),1)))&gt;0,"; An invoice date is not in the month it is typed under",""),3,500))</f>
        <v/>
      </c>
      <c r="S1009" s="12" t="n"/>
      <c r="T1009" s="13" t="n"/>
      <c r="U1009" s="14" t="n"/>
      <c r="V1009" s="12" t="n"/>
      <c r="W1009" s="13" t="n"/>
      <c r="X1009" s="14" t="n"/>
      <c r="Y1009" s="12" t="n"/>
      <c r="Z1009" s="13" t="n"/>
      <c r="AA1009" s="14" t="n"/>
      <c r="AB1009" s="12" t="n"/>
      <c r="AC1009" s="13" t="n"/>
      <c r="AD1009" s="14" t="n"/>
      <c r="AE1009" s="12" t="n"/>
      <c r="AF1009" s="13" t="n"/>
      <c r="AG1009" s="14" t="n"/>
      <c r="AH1009" s="12" t="n"/>
      <c r="AI1009" s="13" t="n"/>
      <c r="AJ1009" s="14" t="n"/>
      <c r="AK1009" s="12" t="n"/>
      <c r="AL1009" s="13" t="n"/>
      <c r="AM1009" s="14" t="n"/>
      <c r="AN1009" s="12" t="n"/>
      <c r="AO1009" s="13" t="n"/>
      <c r="AP1009" s="14" t="n"/>
      <c r="AQ1009" s="12" t="n"/>
      <c r="AR1009" s="13" t="n"/>
      <c r="AS1009" s="14" t="n"/>
      <c r="AT1009" s="12" t="n"/>
      <c r="AU1009" s="13" t="n"/>
      <c r="AV1009" s="14" t="n"/>
      <c r="AW1009" s="12" t="n"/>
      <c r="AX1009" s="13" t="n"/>
      <c r="AY1009" s="14" t="n"/>
      <c r="AZ1009" s="12" t="n"/>
      <c r="BA1009" s="13" t="n"/>
      <c r="BB1009" s="14" t="n"/>
      <c r="BC1009" s="11">
        <f>IF(O1009="","",IF(J1009="GST 10%",ROUND(O1009*set_GSTRate,2),0))</f>
        <v/>
      </c>
      <c r="BD1009" s="11">
        <f>IF(O1009="","",O1009+BC1009)</f>
        <v/>
      </c>
      <c r="BE1009" s="15">
        <f>IF(O1009="","",COUNTA(S1009,V1009,Y1009,AB1009,AE1009,AH1009,AK1009,AN1009,AQ1009,AT1009,AW1009,AZ1009))</f>
        <v/>
      </c>
      <c r="BF1009" s="16">
        <f>IF(COUNT(T1009,W1009,Z1009,AC1009,AF1009,AI1009,AL1009,AO1009,AR1009,AU1009,AX1009,BA1009)=0,"",MAX(T1009,W1009,Z1009,AC1009,AF1009,AI1009,AL1009,AO1009,AR1009,AU1009,AX1009,BA1009))</f>
        <v/>
      </c>
      <c r="BG1009" s="10">
        <f>MID(IF(S1009="","",", "&amp;S1009)&amp;IF(V1009="","",", "&amp;V1009)&amp;IF(Y1009="","",", "&amp;Y1009)&amp;IF(AB1009="","",", "&amp;AB1009)&amp;IF(AE1009="","",", "&amp;AE1009)&amp;IF(AH1009="","",", "&amp;AH1009)&amp;IF(AK1009="","",", "&amp;AK1009)&amp;IF(AN1009="","",", "&amp;AN1009)&amp;IF(AQ1009="","",", "&amp;AQ1009)&amp;IF(AT1009="","",", "&amp;AT1009)&amp;IF(AW1009="","",", "&amp;AW1009)&amp;IF(AZ1009="","",", "&amp;AZ1009),3,500)</f>
        <v/>
      </c>
      <c r="BH1009" s="12" t="n"/>
      <c r="BI1009" s="15">
        <f>IFERROR(MATCH($A1009,IF($B1009="Onsite",tbl_Onsite[Row ID],IF($B1009="Production",tbl_Production[Row ID],tbl_Consulting[Row ID])),0),"")</f>
        <v/>
      </c>
    </row>
    <row r="1010">
      <c r="A1010" s="10" t="inlineStr">
        <is>
          <t>CON-0004</t>
        </is>
      </c>
      <c r="B1010" s="10" t="inlineStr">
        <is>
          <t>Consulting</t>
        </is>
      </c>
      <c r="C1010" s="10">
        <f>IF($BI1010="","",IF($B1010="Onsite",INDEX(tbl_Onsite[Job Number],$BI1010),IF($B1010="Production",INDEX(tbl_Production[Job Number],$BI1010),INDEX(tbl_Consulting[Job Number],$BI1010)))&amp;"")</f>
        <v/>
      </c>
      <c r="D1010" s="10">
        <f>IF($BI1010="","",IF($B1010="Onsite",INDEX(tbl_Onsite[Client],$BI1010),IF($B1010="Production",INDEX(tbl_Production[Client],$BI1010),INDEX(tbl_Consulting[Client],$BI1010)))&amp;"")</f>
        <v/>
      </c>
      <c r="E1010" s="10">
        <f>IF($C1010="","",IF(COUNTIF(lst_Jobs,$C1010)&gt;0,"OK","CHECK"))</f>
        <v/>
      </c>
      <c r="F1010" s="10">
        <f>IF($C1010="","",IFERROR(INDEX(lst_JobName,MATCH($C1010,lst_Jobs,0)),""))</f>
        <v/>
      </c>
      <c r="G1010" s="10">
        <f>IF($BI1010="","",IF($B1010="Onsite",INDEX(tbl_Onsite[Job Description],$BI1010),IF($B1010="Production",INDEX(tbl_Production[Job Description],$BI1010),INDEX(tbl_Consulting[Job Description],$BI1010)))&amp;"")</f>
        <v/>
      </c>
      <c r="H1010" s="10">
        <f>IF($BI1010="","",IF($B1010="Onsite",INDEX(tbl_Onsite[Cost Centre],$BI1010),IF($B1010="Production",INDEX(tbl_Production[Cost Centre],$BI1010),INDEX(tbl_Consulting[Cost Centre],$BI1010)))&amp;"")</f>
        <v/>
      </c>
      <c r="I1010" s="10">
        <f>IF($BI1010="","",IF($B1010="Onsite",INDEX(tbl_Onsite[Invoice Type],$BI1010),IF($B1010="Production",INDEX(tbl_Production[Invoice Type],$BI1010),INDEX(tbl_Consulting[Invoice Type],$BI1010)))&amp;"")</f>
        <v/>
      </c>
      <c r="J1010" s="10">
        <f>IF($BI1010="","",IF($B1010="Onsite",INDEX(tbl_Onsite[Tax Code],$BI1010),IF($B1010="Production",INDEX(tbl_Production[Tax Code],$BI1010),INDEX(tbl_Consulting[Tax Code],$BI1010)))&amp;"")</f>
        <v/>
      </c>
      <c r="K1010" s="10">
        <f>IF(H1010="","",IFERROR(INDEX(lst_CCtoGL,MATCH(H1010,lst_CCforGL,0)),""))</f>
        <v/>
      </c>
      <c r="L1010" s="10">
        <f>IF($BI1010="","",IF($B1010="Onsite",INDEX(tbl_Onsite[PO / Reference],$BI1010),IF($B1010="Production",INDEX(tbl_Production[Current RMS No],$BI1010),INDEX(tbl_Consulting[Qwilr Quote],$BI1010)))&amp;"")</f>
        <v/>
      </c>
      <c r="M1010" s="10">
        <f>IF($BI1010="","",IF($B1010="Onsite",INDEX(tbl_Onsite[Notes],$BI1010),IF($B1010="Production",INDEX(tbl_Production[Notes],$BI1010),INDEX(tbl_Consulting[Notes],$BI1010)))&amp;"")</f>
        <v/>
      </c>
      <c r="N1010" s="11">
        <f>IF($BI1010="","",IF(IF($B1010="Onsite",INDEX(tbl_Onsite[Expected Revenue Ex GST],$BI1010),IF($B1010="Production",INDEX(tbl_Production[Expected Revenue Ex GST],$BI1010),INDEX(tbl_Consulting[Expected Revenue Ex GST],$BI1010)))="","",IF($B1010="Onsite",INDEX(tbl_Onsite[Expected Revenue Ex GST],$BI1010),IF($B1010="Production",INDEX(tbl_Production[Expected Revenue Ex GST],$BI1010),INDEX(tbl_Consulting[Expected Revenue Ex GST],$BI1010)))))</f>
        <v/>
      </c>
      <c r="O1010" s="11">
        <f>IF(AND($C1010="",NOT(COUNTA($S1010:$BB1010)&gt;0)),"",SUM(U1010,X1010,AA1010,AD1010,AG1010,AJ1010,AM1010,AP1010,AS1010,AV1010,AY1010,BB1010))</f>
        <v/>
      </c>
      <c r="P1010" s="11">
        <f>IF(O1010="","",N(N1010)-O1010)</f>
        <v/>
      </c>
      <c r="Q1010" s="10">
        <f>IF(O1010="","",IF($C1010="","Invoice on empty job row",IF(N1010="",IF(ROUND(O1010,2)=0,"No dept value","Invoiced - no dept value"),IF(ROUND(O1010,2)=0,"Not invoiced - to invoice",IF(ROUND(P1010,2)=0,"Agrees",IF(P1010&gt;0,"Dept higher - to invoice","Xero higher - check dept"))))))</f>
        <v/>
      </c>
      <c r="R1010" s="10">
        <f>IF(AND($C1010="",NOT(COUNTA($S1010:$BB1010)&gt;0),$BI1010&lt;&gt;""),"",MID(IF($BI1010="","; Row ID not found on the department sheet - a row was deleted","")&amp;IF(AND($C1010="",COUNTA($S1010:$BB1010)&gt;0),"; Invoice entered but the department row has no job number","")&amp;IF(E1010="CHECK","; Job number not in the Xero job list","")&amp;IF(AND($C1010&lt;&gt;"",COUNTIF($C$7:$C$1506,$C1010)&gt;1),"; Job number on more than one row","")&amp;IF(AND($C1010&lt;&gt;"",H1010=""),"; Dept has not set a cost centre","")&amp;IF(AND($C1010&lt;&gt;"",J1010=""),"; Dept has not set a tax code","")&amp;IF(AND($C1010&lt;&gt;"",N1010=""),"; Dept has not entered an expected value","")&amp;IF((IF(OR(COUNTA(S1010:U1010)=0,AND(COUNTA(S1010:U1010)=3,ISNUMBER(U1010))),0,1)+IF(OR(COUNTA(V1010:X1010)=0,AND(COUNTA(V1010:X1010)=3,ISNUMBER(X1010))),0,1)+IF(OR(COUNTA(Y1010:AA1010)=0,AND(COUNTA(Y1010:AA1010)=3,ISNUMBER(AA1010))),0,1)+IF(OR(COUNTA(AB1010:AD1010)=0,AND(COUNTA(AB1010:AD1010)=3,ISNUMBER(AD1010))),0,1)+IF(OR(COUNTA(AE1010:AG1010)=0,AND(COUNTA(AE1010:AG1010)=3,ISNUMBER(AG1010))),0,1)+IF(OR(COUNTA(AH1010:AJ1010)=0,AND(COUNTA(AH1010:AJ1010)=3,ISNUMBER(AJ1010))),0,1)+IF(OR(COUNTA(AK1010:AM1010)=0,AND(COUNTA(AK1010:AM1010)=3,ISNUMBER(AM1010))),0,1)+IF(OR(COUNTA(AN1010:AP1010)=0,AND(COUNTA(AN1010:AP1010)=3,ISNUMBER(AP1010))),0,1)+IF(OR(COUNTA(AQ1010:AS1010)=0,AND(COUNTA(AQ1010:AS1010)=3,ISNUMBER(AS1010))),0,1)+IF(OR(COUNTA(AT1010:AV1010)=0,AND(COUNTA(AT1010:AV1010)=3,ISNUMBER(AV1010))),0,1)+IF(OR(COUNTA(AW1010:AY1010)=0,AND(COUNTA(AW1010:AY1010)=3,ISNUMBER(AY1010))),0,1)+IF(OR(COUNTA(AZ1010:BB1010)=0,AND(COUNTA(AZ1010:BB1010)=3,ISNUMBER(BB1010))),0,1))&gt;0,"; An invoice is incomplete (needs No, Date and a number in Ex GST)","")&amp;IF((IF(T1010="",0,IFERROR(--(EOMONTH(T1010,0)&lt;&gt;S$5),1))+IF(W1010="",0,IFERROR(--(EOMONTH(W1010,0)&lt;&gt;V$5),1))+IF(Z1010="",0,IFERROR(--(EOMONTH(Z1010,0)&lt;&gt;Y$5),1))+IF(AC1010="",0,IFERROR(--(EOMONTH(AC1010,0)&lt;&gt;AB$5),1))+IF(AF1010="",0,IFERROR(--(EOMONTH(AF1010,0)&lt;&gt;AE$5),1))+IF(AI1010="",0,IFERROR(--(EOMONTH(AI1010,0)&lt;&gt;AH$5),1))+IF(AL1010="",0,IFERROR(--(EOMONTH(AL1010,0)&lt;&gt;AK$5),1))+IF(AO1010="",0,IFERROR(--(EOMONTH(AO1010,0)&lt;&gt;AN$5),1))+IF(AR1010="",0,IFERROR(--(EOMONTH(AR1010,0)&lt;&gt;AQ$5),1))+IF(AU1010="",0,IFERROR(--(EOMONTH(AU1010,0)&lt;&gt;AT$5),1))+IF(AX1010="",0,IFERROR(--(EOMONTH(AX1010,0)&lt;&gt;AW$5),1))+IF(BA1010="",0,IFERROR(--(EOMONTH(BA1010,0)&lt;&gt;AZ$5),1)))&gt;0,"; An invoice date is not in the month it is typed under",""),3,500))</f>
        <v/>
      </c>
      <c r="S1010" s="12" t="n"/>
      <c r="T1010" s="13" t="n"/>
      <c r="U1010" s="14" t="n"/>
      <c r="V1010" s="12" t="n"/>
      <c r="W1010" s="13" t="n"/>
      <c r="X1010" s="14" t="n"/>
      <c r="Y1010" s="12" t="n"/>
      <c r="Z1010" s="13" t="n"/>
      <c r="AA1010" s="14" t="n"/>
      <c r="AB1010" s="12" t="n"/>
      <c r="AC1010" s="13" t="n"/>
      <c r="AD1010" s="14" t="n"/>
      <c r="AE1010" s="12" t="n"/>
      <c r="AF1010" s="13" t="n"/>
      <c r="AG1010" s="14" t="n"/>
      <c r="AH1010" s="12" t="n"/>
      <c r="AI1010" s="13" t="n"/>
      <c r="AJ1010" s="14" t="n"/>
      <c r="AK1010" s="12" t="n"/>
      <c r="AL1010" s="13" t="n"/>
      <c r="AM1010" s="14" t="n"/>
      <c r="AN1010" s="12" t="n"/>
      <c r="AO1010" s="13" t="n"/>
      <c r="AP1010" s="14" t="n"/>
      <c r="AQ1010" s="12" t="n"/>
      <c r="AR1010" s="13" t="n"/>
      <c r="AS1010" s="14" t="n"/>
      <c r="AT1010" s="12" t="n"/>
      <c r="AU1010" s="13" t="n"/>
      <c r="AV1010" s="14" t="n"/>
      <c r="AW1010" s="12" t="n"/>
      <c r="AX1010" s="13" t="n"/>
      <c r="AY1010" s="14" t="n"/>
      <c r="AZ1010" s="12" t="n"/>
      <c r="BA1010" s="13" t="n"/>
      <c r="BB1010" s="14" t="n"/>
      <c r="BC1010" s="11">
        <f>IF(O1010="","",IF(J1010="GST 10%",ROUND(O1010*set_GSTRate,2),0))</f>
        <v/>
      </c>
      <c r="BD1010" s="11">
        <f>IF(O1010="","",O1010+BC1010)</f>
        <v/>
      </c>
      <c r="BE1010" s="15">
        <f>IF(O1010="","",COUNTA(S1010,V1010,Y1010,AB1010,AE1010,AH1010,AK1010,AN1010,AQ1010,AT1010,AW1010,AZ1010))</f>
        <v/>
      </c>
      <c r="BF1010" s="16">
        <f>IF(COUNT(T1010,W1010,Z1010,AC1010,AF1010,AI1010,AL1010,AO1010,AR1010,AU1010,AX1010,BA1010)=0,"",MAX(T1010,W1010,Z1010,AC1010,AF1010,AI1010,AL1010,AO1010,AR1010,AU1010,AX1010,BA1010))</f>
        <v/>
      </c>
      <c r="BG1010" s="10">
        <f>MID(IF(S1010="","",", "&amp;S1010)&amp;IF(V1010="","",", "&amp;V1010)&amp;IF(Y1010="","",", "&amp;Y1010)&amp;IF(AB1010="","",", "&amp;AB1010)&amp;IF(AE1010="","",", "&amp;AE1010)&amp;IF(AH1010="","",", "&amp;AH1010)&amp;IF(AK1010="","",", "&amp;AK1010)&amp;IF(AN1010="","",", "&amp;AN1010)&amp;IF(AQ1010="","",", "&amp;AQ1010)&amp;IF(AT1010="","",", "&amp;AT1010)&amp;IF(AW1010="","",", "&amp;AW1010)&amp;IF(AZ1010="","",", "&amp;AZ1010),3,500)</f>
        <v/>
      </c>
      <c r="BH1010" s="12" t="n"/>
      <c r="BI1010" s="15">
        <f>IFERROR(MATCH($A1010,IF($B1010="Onsite",tbl_Onsite[Row ID],IF($B1010="Production",tbl_Production[Row ID],tbl_Consulting[Row ID])),0),"")</f>
        <v/>
      </c>
    </row>
    <row r="1011">
      <c r="A1011" s="10" t="inlineStr">
        <is>
          <t>CON-0005</t>
        </is>
      </c>
      <c r="B1011" s="10" t="inlineStr">
        <is>
          <t>Consulting</t>
        </is>
      </c>
      <c r="C1011" s="10">
        <f>IF($BI1011="","",IF($B1011="Onsite",INDEX(tbl_Onsite[Job Number],$BI1011),IF($B1011="Production",INDEX(tbl_Production[Job Number],$BI1011),INDEX(tbl_Consulting[Job Number],$BI1011)))&amp;"")</f>
        <v/>
      </c>
      <c r="D1011" s="10">
        <f>IF($BI1011="","",IF($B1011="Onsite",INDEX(tbl_Onsite[Client],$BI1011),IF($B1011="Production",INDEX(tbl_Production[Client],$BI1011),INDEX(tbl_Consulting[Client],$BI1011)))&amp;"")</f>
        <v/>
      </c>
      <c r="E1011" s="10">
        <f>IF($C1011="","",IF(COUNTIF(lst_Jobs,$C1011)&gt;0,"OK","CHECK"))</f>
        <v/>
      </c>
      <c r="F1011" s="10">
        <f>IF($C1011="","",IFERROR(INDEX(lst_JobName,MATCH($C1011,lst_Jobs,0)),""))</f>
        <v/>
      </c>
      <c r="G1011" s="10">
        <f>IF($BI1011="","",IF($B1011="Onsite",INDEX(tbl_Onsite[Job Description],$BI1011),IF($B1011="Production",INDEX(tbl_Production[Job Description],$BI1011),INDEX(tbl_Consulting[Job Description],$BI1011)))&amp;"")</f>
        <v/>
      </c>
      <c r="H1011" s="10">
        <f>IF($BI1011="","",IF($B1011="Onsite",INDEX(tbl_Onsite[Cost Centre],$BI1011),IF($B1011="Production",INDEX(tbl_Production[Cost Centre],$BI1011),INDEX(tbl_Consulting[Cost Centre],$BI1011)))&amp;"")</f>
        <v/>
      </c>
      <c r="I1011" s="10">
        <f>IF($BI1011="","",IF($B1011="Onsite",INDEX(tbl_Onsite[Invoice Type],$BI1011),IF($B1011="Production",INDEX(tbl_Production[Invoice Type],$BI1011),INDEX(tbl_Consulting[Invoice Type],$BI1011)))&amp;"")</f>
        <v/>
      </c>
      <c r="J1011" s="10">
        <f>IF($BI1011="","",IF($B1011="Onsite",INDEX(tbl_Onsite[Tax Code],$BI1011),IF($B1011="Production",INDEX(tbl_Production[Tax Code],$BI1011),INDEX(tbl_Consulting[Tax Code],$BI1011)))&amp;"")</f>
        <v/>
      </c>
      <c r="K1011" s="10">
        <f>IF(H1011="","",IFERROR(INDEX(lst_CCtoGL,MATCH(H1011,lst_CCforGL,0)),""))</f>
        <v/>
      </c>
      <c r="L1011" s="10">
        <f>IF($BI1011="","",IF($B1011="Onsite",INDEX(tbl_Onsite[PO / Reference],$BI1011),IF($B1011="Production",INDEX(tbl_Production[Current RMS No],$BI1011),INDEX(tbl_Consulting[Qwilr Quote],$BI1011)))&amp;"")</f>
        <v/>
      </c>
      <c r="M1011" s="10">
        <f>IF($BI1011="","",IF($B1011="Onsite",INDEX(tbl_Onsite[Notes],$BI1011),IF($B1011="Production",INDEX(tbl_Production[Notes],$BI1011),INDEX(tbl_Consulting[Notes],$BI1011)))&amp;"")</f>
        <v/>
      </c>
      <c r="N1011" s="11">
        <f>IF($BI1011="","",IF(IF($B1011="Onsite",INDEX(tbl_Onsite[Expected Revenue Ex GST],$BI1011),IF($B1011="Production",INDEX(tbl_Production[Expected Revenue Ex GST],$BI1011),INDEX(tbl_Consulting[Expected Revenue Ex GST],$BI1011)))="","",IF($B1011="Onsite",INDEX(tbl_Onsite[Expected Revenue Ex GST],$BI1011),IF($B1011="Production",INDEX(tbl_Production[Expected Revenue Ex GST],$BI1011),INDEX(tbl_Consulting[Expected Revenue Ex GST],$BI1011)))))</f>
        <v/>
      </c>
      <c r="O1011" s="11">
        <f>IF(AND($C1011="",NOT(COUNTA($S1011:$BB1011)&gt;0)),"",SUM(U1011,X1011,AA1011,AD1011,AG1011,AJ1011,AM1011,AP1011,AS1011,AV1011,AY1011,BB1011))</f>
        <v/>
      </c>
      <c r="P1011" s="11">
        <f>IF(O1011="","",N(N1011)-O1011)</f>
        <v/>
      </c>
      <c r="Q1011" s="10">
        <f>IF(O1011="","",IF($C1011="","Invoice on empty job row",IF(N1011="",IF(ROUND(O1011,2)=0,"No dept value","Invoiced - no dept value"),IF(ROUND(O1011,2)=0,"Not invoiced - to invoice",IF(ROUND(P1011,2)=0,"Agrees",IF(P1011&gt;0,"Dept higher - to invoice","Xero higher - check dept"))))))</f>
        <v/>
      </c>
      <c r="R1011" s="10">
        <f>IF(AND($C1011="",NOT(COUNTA($S1011:$BB1011)&gt;0),$BI1011&lt;&gt;""),"",MID(IF($BI1011="","; Row ID not found on the department sheet - a row was deleted","")&amp;IF(AND($C1011="",COUNTA($S1011:$BB1011)&gt;0),"; Invoice entered but the department row has no job number","")&amp;IF(E1011="CHECK","; Job number not in the Xero job list","")&amp;IF(AND($C1011&lt;&gt;"",COUNTIF($C$7:$C$1506,$C1011)&gt;1),"; Job number on more than one row","")&amp;IF(AND($C1011&lt;&gt;"",H1011=""),"; Dept has not set a cost centre","")&amp;IF(AND($C1011&lt;&gt;"",J1011=""),"; Dept has not set a tax code","")&amp;IF(AND($C1011&lt;&gt;"",N1011=""),"; Dept has not entered an expected value","")&amp;IF((IF(OR(COUNTA(S1011:U1011)=0,AND(COUNTA(S1011:U1011)=3,ISNUMBER(U1011))),0,1)+IF(OR(COUNTA(V1011:X1011)=0,AND(COUNTA(V1011:X1011)=3,ISNUMBER(X1011))),0,1)+IF(OR(COUNTA(Y1011:AA1011)=0,AND(COUNTA(Y1011:AA1011)=3,ISNUMBER(AA1011))),0,1)+IF(OR(COUNTA(AB1011:AD1011)=0,AND(COUNTA(AB1011:AD1011)=3,ISNUMBER(AD1011))),0,1)+IF(OR(COUNTA(AE1011:AG1011)=0,AND(COUNTA(AE1011:AG1011)=3,ISNUMBER(AG1011))),0,1)+IF(OR(COUNTA(AH1011:AJ1011)=0,AND(COUNTA(AH1011:AJ1011)=3,ISNUMBER(AJ1011))),0,1)+IF(OR(COUNTA(AK1011:AM1011)=0,AND(COUNTA(AK1011:AM1011)=3,ISNUMBER(AM1011))),0,1)+IF(OR(COUNTA(AN1011:AP1011)=0,AND(COUNTA(AN1011:AP1011)=3,ISNUMBER(AP1011))),0,1)+IF(OR(COUNTA(AQ1011:AS1011)=0,AND(COUNTA(AQ1011:AS1011)=3,ISNUMBER(AS1011))),0,1)+IF(OR(COUNTA(AT1011:AV1011)=0,AND(COUNTA(AT1011:AV1011)=3,ISNUMBER(AV1011))),0,1)+IF(OR(COUNTA(AW1011:AY1011)=0,AND(COUNTA(AW1011:AY1011)=3,ISNUMBER(AY1011))),0,1)+IF(OR(COUNTA(AZ1011:BB1011)=0,AND(COUNTA(AZ1011:BB1011)=3,ISNUMBER(BB1011))),0,1))&gt;0,"; An invoice is incomplete (needs No, Date and a number in Ex GST)","")&amp;IF((IF(T1011="",0,IFERROR(--(EOMONTH(T1011,0)&lt;&gt;S$5),1))+IF(W1011="",0,IFERROR(--(EOMONTH(W1011,0)&lt;&gt;V$5),1))+IF(Z1011="",0,IFERROR(--(EOMONTH(Z1011,0)&lt;&gt;Y$5),1))+IF(AC1011="",0,IFERROR(--(EOMONTH(AC1011,0)&lt;&gt;AB$5),1))+IF(AF1011="",0,IFERROR(--(EOMONTH(AF1011,0)&lt;&gt;AE$5),1))+IF(AI1011="",0,IFERROR(--(EOMONTH(AI1011,0)&lt;&gt;AH$5),1))+IF(AL1011="",0,IFERROR(--(EOMONTH(AL1011,0)&lt;&gt;AK$5),1))+IF(AO1011="",0,IFERROR(--(EOMONTH(AO1011,0)&lt;&gt;AN$5),1))+IF(AR1011="",0,IFERROR(--(EOMONTH(AR1011,0)&lt;&gt;AQ$5),1))+IF(AU1011="",0,IFERROR(--(EOMONTH(AU1011,0)&lt;&gt;AT$5),1))+IF(AX1011="",0,IFERROR(--(EOMONTH(AX1011,0)&lt;&gt;AW$5),1))+IF(BA1011="",0,IFERROR(--(EOMONTH(BA1011,0)&lt;&gt;AZ$5),1)))&gt;0,"; An invoice date is not in the month it is typed under",""),3,500))</f>
        <v/>
      </c>
      <c r="S1011" s="12" t="n"/>
      <c r="T1011" s="13" t="n"/>
      <c r="U1011" s="14" t="n"/>
      <c r="V1011" s="12" t="n"/>
      <c r="W1011" s="13" t="n"/>
      <c r="X1011" s="14" t="n"/>
      <c r="Y1011" s="12" t="n"/>
      <c r="Z1011" s="13" t="n"/>
      <c r="AA1011" s="14" t="n"/>
      <c r="AB1011" s="12" t="n"/>
      <c r="AC1011" s="13" t="n"/>
      <c r="AD1011" s="14" t="n"/>
      <c r="AE1011" s="12" t="n"/>
      <c r="AF1011" s="13" t="n"/>
      <c r="AG1011" s="14" t="n"/>
      <c r="AH1011" s="12" t="n"/>
      <c r="AI1011" s="13" t="n"/>
      <c r="AJ1011" s="14" t="n"/>
      <c r="AK1011" s="12" t="n"/>
      <c r="AL1011" s="13" t="n"/>
      <c r="AM1011" s="14" t="n"/>
      <c r="AN1011" s="12" t="n"/>
      <c r="AO1011" s="13" t="n"/>
      <c r="AP1011" s="14" t="n"/>
      <c r="AQ1011" s="12" t="n"/>
      <c r="AR1011" s="13" t="n"/>
      <c r="AS1011" s="14" t="n"/>
      <c r="AT1011" s="12" t="n"/>
      <c r="AU1011" s="13" t="n"/>
      <c r="AV1011" s="14" t="n"/>
      <c r="AW1011" s="12" t="n"/>
      <c r="AX1011" s="13" t="n"/>
      <c r="AY1011" s="14" t="n"/>
      <c r="AZ1011" s="12" t="n"/>
      <c r="BA1011" s="13" t="n"/>
      <c r="BB1011" s="14" t="n"/>
      <c r="BC1011" s="11">
        <f>IF(O1011="","",IF(J1011="GST 10%",ROUND(O1011*set_GSTRate,2),0))</f>
        <v/>
      </c>
      <c r="BD1011" s="11">
        <f>IF(O1011="","",O1011+BC1011)</f>
        <v/>
      </c>
      <c r="BE1011" s="15">
        <f>IF(O1011="","",COUNTA(S1011,V1011,Y1011,AB1011,AE1011,AH1011,AK1011,AN1011,AQ1011,AT1011,AW1011,AZ1011))</f>
        <v/>
      </c>
      <c r="BF1011" s="16">
        <f>IF(COUNT(T1011,W1011,Z1011,AC1011,AF1011,AI1011,AL1011,AO1011,AR1011,AU1011,AX1011,BA1011)=0,"",MAX(T1011,W1011,Z1011,AC1011,AF1011,AI1011,AL1011,AO1011,AR1011,AU1011,AX1011,BA1011))</f>
        <v/>
      </c>
      <c r="BG1011" s="10">
        <f>MID(IF(S1011="","",", "&amp;S1011)&amp;IF(V1011="","",", "&amp;V1011)&amp;IF(Y1011="","",", "&amp;Y1011)&amp;IF(AB1011="","",", "&amp;AB1011)&amp;IF(AE1011="","",", "&amp;AE1011)&amp;IF(AH1011="","",", "&amp;AH1011)&amp;IF(AK1011="","",", "&amp;AK1011)&amp;IF(AN1011="","",", "&amp;AN1011)&amp;IF(AQ1011="","",", "&amp;AQ1011)&amp;IF(AT1011="","",", "&amp;AT1011)&amp;IF(AW1011="","",", "&amp;AW1011)&amp;IF(AZ1011="","",", "&amp;AZ1011),3,500)</f>
        <v/>
      </c>
      <c r="BH1011" s="12" t="n"/>
      <c r="BI1011" s="15">
        <f>IFERROR(MATCH($A1011,IF($B1011="Onsite",tbl_Onsite[Row ID],IF($B1011="Production",tbl_Production[Row ID],tbl_Consulting[Row ID])),0),"")</f>
        <v/>
      </c>
    </row>
    <row r="1012">
      <c r="A1012" s="10" t="inlineStr">
        <is>
          <t>CON-0006</t>
        </is>
      </c>
      <c r="B1012" s="10" t="inlineStr">
        <is>
          <t>Consulting</t>
        </is>
      </c>
      <c r="C1012" s="10">
        <f>IF($BI1012="","",IF($B1012="Onsite",INDEX(tbl_Onsite[Job Number],$BI1012),IF($B1012="Production",INDEX(tbl_Production[Job Number],$BI1012),INDEX(tbl_Consulting[Job Number],$BI1012)))&amp;"")</f>
        <v/>
      </c>
      <c r="D1012" s="10">
        <f>IF($BI1012="","",IF($B1012="Onsite",INDEX(tbl_Onsite[Client],$BI1012),IF($B1012="Production",INDEX(tbl_Production[Client],$BI1012),INDEX(tbl_Consulting[Client],$BI1012)))&amp;"")</f>
        <v/>
      </c>
      <c r="E1012" s="10">
        <f>IF($C1012="","",IF(COUNTIF(lst_Jobs,$C1012)&gt;0,"OK","CHECK"))</f>
        <v/>
      </c>
      <c r="F1012" s="10">
        <f>IF($C1012="","",IFERROR(INDEX(lst_JobName,MATCH($C1012,lst_Jobs,0)),""))</f>
        <v/>
      </c>
      <c r="G1012" s="10">
        <f>IF($BI1012="","",IF($B1012="Onsite",INDEX(tbl_Onsite[Job Description],$BI1012),IF($B1012="Production",INDEX(tbl_Production[Job Description],$BI1012),INDEX(tbl_Consulting[Job Description],$BI1012)))&amp;"")</f>
        <v/>
      </c>
      <c r="H1012" s="10">
        <f>IF($BI1012="","",IF($B1012="Onsite",INDEX(tbl_Onsite[Cost Centre],$BI1012),IF($B1012="Production",INDEX(tbl_Production[Cost Centre],$BI1012),INDEX(tbl_Consulting[Cost Centre],$BI1012)))&amp;"")</f>
        <v/>
      </c>
      <c r="I1012" s="10">
        <f>IF($BI1012="","",IF($B1012="Onsite",INDEX(tbl_Onsite[Invoice Type],$BI1012),IF($B1012="Production",INDEX(tbl_Production[Invoice Type],$BI1012),INDEX(tbl_Consulting[Invoice Type],$BI1012)))&amp;"")</f>
        <v/>
      </c>
      <c r="J1012" s="10">
        <f>IF($BI1012="","",IF($B1012="Onsite",INDEX(tbl_Onsite[Tax Code],$BI1012),IF($B1012="Production",INDEX(tbl_Production[Tax Code],$BI1012),INDEX(tbl_Consulting[Tax Code],$BI1012)))&amp;"")</f>
        <v/>
      </c>
      <c r="K1012" s="10">
        <f>IF(H1012="","",IFERROR(INDEX(lst_CCtoGL,MATCH(H1012,lst_CCforGL,0)),""))</f>
        <v/>
      </c>
      <c r="L1012" s="10">
        <f>IF($BI1012="","",IF($B1012="Onsite",INDEX(tbl_Onsite[PO / Reference],$BI1012),IF($B1012="Production",INDEX(tbl_Production[Current RMS No],$BI1012),INDEX(tbl_Consulting[Qwilr Quote],$BI1012)))&amp;"")</f>
        <v/>
      </c>
      <c r="M1012" s="10">
        <f>IF($BI1012="","",IF($B1012="Onsite",INDEX(tbl_Onsite[Notes],$BI1012),IF($B1012="Production",INDEX(tbl_Production[Notes],$BI1012),INDEX(tbl_Consulting[Notes],$BI1012)))&amp;"")</f>
        <v/>
      </c>
      <c r="N1012" s="11">
        <f>IF($BI1012="","",IF(IF($B1012="Onsite",INDEX(tbl_Onsite[Expected Revenue Ex GST],$BI1012),IF($B1012="Production",INDEX(tbl_Production[Expected Revenue Ex GST],$BI1012),INDEX(tbl_Consulting[Expected Revenue Ex GST],$BI1012)))="","",IF($B1012="Onsite",INDEX(tbl_Onsite[Expected Revenue Ex GST],$BI1012),IF($B1012="Production",INDEX(tbl_Production[Expected Revenue Ex GST],$BI1012),INDEX(tbl_Consulting[Expected Revenue Ex GST],$BI1012)))))</f>
        <v/>
      </c>
      <c r="O1012" s="11">
        <f>IF(AND($C1012="",NOT(COUNTA($S1012:$BB1012)&gt;0)),"",SUM(U1012,X1012,AA1012,AD1012,AG1012,AJ1012,AM1012,AP1012,AS1012,AV1012,AY1012,BB1012))</f>
        <v/>
      </c>
      <c r="P1012" s="11">
        <f>IF(O1012="","",N(N1012)-O1012)</f>
        <v/>
      </c>
      <c r="Q1012" s="10">
        <f>IF(O1012="","",IF($C1012="","Invoice on empty job row",IF(N1012="",IF(ROUND(O1012,2)=0,"No dept value","Invoiced - no dept value"),IF(ROUND(O1012,2)=0,"Not invoiced - to invoice",IF(ROUND(P1012,2)=0,"Agrees",IF(P1012&gt;0,"Dept higher - to invoice","Xero higher - check dept"))))))</f>
        <v/>
      </c>
      <c r="R1012" s="10">
        <f>IF(AND($C1012="",NOT(COUNTA($S1012:$BB1012)&gt;0),$BI1012&lt;&gt;""),"",MID(IF($BI1012="","; Row ID not found on the department sheet - a row was deleted","")&amp;IF(AND($C1012="",COUNTA($S1012:$BB1012)&gt;0),"; Invoice entered but the department row has no job number","")&amp;IF(E1012="CHECK","; Job number not in the Xero job list","")&amp;IF(AND($C1012&lt;&gt;"",COUNTIF($C$7:$C$1506,$C1012)&gt;1),"; Job number on more than one row","")&amp;IF(AND($C1012&lt;&gt;"",H1012=""),"; Dept has not set a cost centre","")&amp;IF(AND($C1012&lt;&gt;"",J1012=""),"; Dept has not set a tax code","")&amp;IF(AND($C1012&lt;&gt;"",N1012=""),"; Dept has not entered an expected value","")&amp;IF((IF(OR(COUNTA(S1012:U1012)=0,AND(COUNTA(S1012:U1012)=3,ISNUMBER(U1012))),0,1)+IF(OR(COUNTA(V1012:X1012)=0,AND(COUNTA(V1012:X1012)=3,ISNUMBER(X1012))),0,1)+IF(OR(COUNTA(Y1012:AA1012)=0,AND(COUNTA(Y1012:AA1012)=3,ISNUMBER(AA1012))),0,1)+IF(OR(COUNTA(AB1012:AD1012)=0,AND(COUNTA(AB1012:AD1012)=3,ISNUMBER(AD1012))),0,1)+IF(OR(COUNTA(AE1012:AG1012)=0,AND(COUNTA(AE1012:AG1012)=3,ISNUMBER(AG1012))),0,1)+IF(OR(COUNTA(AH1012:AJ1012)=0,AND(COUNTA(AH1012:AJ1012)=3,ISNUMBER(AJ1012))),0,1)+IF(OR(COUNTA(AK1012:AM1012)=0,AND(COUNTA(AK1012:AM1012)=3,ISNUMBER(AM1012))),0,1)+IF(OR(COUNTA(AN1012:AP1012)=0,AND(COUNTA(AN1012:AP1012)=3,ISNUMBER(AP1012))),0,1)+IF(OR(COUNTA(AQ1012:AS1012)=0,AND(COUNTA(AQ1012:AS1012)=3,ISNUMBER(AS1012))),0,1)+IF(OR(COUNTA(AT1012:AV1012)=0,AND(COUNTA(AT1012:AV1012)=3,ISNUMBER(AV1012))),0,1)+IF(OR(COUNTA(AW1012:AY1012)=0,AND(COUNTA(AW1012:AY1012)=3,ISNUMBER(AY1012))),0,1)+IF(OR(COUNTA(AZ1012:BB1012)=0,AND(COUNTA(AZ1012:BB1012)=3,ISNUMBER(BB1012))),0,1))&gt;0,"; An invoice is incomplete (needs No, Date and a number in Ex GST)","")&amp;IF((IF(T1012="",0,IFERROR(--(EOMONTH(T1012,0)&lt;&gt;S$5),1))+IF(W1012="",0,IFERROR(--(EOMONTH(W1012,0)&lt;&gt;V$5),1))+IF(Z1012="",0,IFERROR(--(EOMONTH(Z1012,0)&lt;&gt;Y$5),1))+IF(AC1012="",0,IFERROR(--(EOMONTH(AC1012,0)&lt;&gt;AB$5),1))+IF(AF1012="",0,IFERROR(--(EOMONTH(AF1012,0)&lt;&gt;AE$5),1))+IF(AI1012="",0,IFERROR(--(EOMONTH(AI1012,0)&lt;&gt;AH$5),1))+IF(AL1012="",0,IFERROR(--(EOMONTH(AL1012,0)&lt;&gt;AK$5),1))+IF(AO1012="",0,IFERROR(--(EOMONTH(AO1012,0)&lt;&gt;AN$5),1))+IF(AR1012="",0,IFERROR(--(EOMONTH(AR1012,0)&lt;&gt;AQ$5),1))+IF(AU1012="",0,IFERROR(--(EOMONTH(AU1012,0)&lt;&gt;AT$5),1))+IF(AX1012="",0,IFERROR(--(EOMONTH(AX1012,0)&lt;&gt;AW$5),1))+IF(BA1012="",0,IFERROR(--(EOMONTH(BA1012,0)&lt;&gt;AZ$5),1)))&gt;0,"; An invoice date is not in the month it is typed under",""),3,500))</f>
        <v/>
      </c>
      <c r="S1012" s="12" t="n"/>
      <c r="T1012" s="13" t="n"/>
      <c r="U1012" s="14" t="n"/>
      <c r="V1012" s="12" t="n"/>
      <c r="W1012" s="13" t="n"/>
      <c r="X1012" s="14" t="n"/>
      <c r="Y1012" s="12" t="n"/>
      <c r="Z1012" s="13" t="n"/>
      <c r="AA1012" s="14" t="n"/>
      <c r="AB1012" s="12" t="n"/>
      <c r="AC1012" s="13" t="n"/>
      <c r="AD1012" s="14" t="n"/>
      <c r="AE1012" s="12" t="n"/>
      <c r="AF1012" s="13" t="n"/>
      <c r="AG1012" s="14" t="n"/>
      <c r="AH1012" s="12" t="n"/>
      <c r="AI1012" s="13" t="n"/>
      <c r="AJ1012" s="14" t="n"/>
      <c r="AK1012" s="12" t="n"/>
      <c r="AL1012" s="13" t="n"/>
      <c r="AM1012" s="14" t="n"/>
      <c r="AN1012" s="12" t="n"/>
      <c r="AO1012" s="13" t="n"/>
      <c r="AP1012" s="14" t="n"/>
      <c r="AQ1012" s="12" t="n"/>
      <c r="AR1012" s="13" t="n"/>
      <c r="AS1012" s="14" t="n"/>
      <c r="AT1012" s="12" t="n"/>
      <c r="AU1012" s="13" t="n"/>
      <c r="AV1012" s="14" t="n"/>
      <c r="AW1012" s="12" t="n"/>
      <c r="AX1012" s="13" t="n"/>
      <c r="AY1012" s="14" t="n"/>
      <c r="AZ1012" s="12" t="n"/>
      <c r="BA1012" s="13" t="n"/>
      <c r="BB1012" s="14" t="n"/>
      <c r="BC1012" s="11">
        <f>IF(O1012="","",IF(J1012="GST 10%",ROUND(O1012*set_GSTRate,2),0))</f>
        <v/>
      </c>
      <c r="BD1012" s="11">
        <f>IF(O1012="","",O1012+BC1012)</f>
        <v/>
      </c>
      <c r="BE1012" s="15">
        <f>IF(O1012="","",COUNTA(S1012,V1012,Y1012,AB1012,AE1012,AH1012,AK1012,AN1012,AQ1012,AT1012,AW1012,AZ1012))</f>
        <v/>
      </c>
      <c r="BF1012" s="16">
        <f>IF(COUNT(T1012,W1012,Z1012,AC1012,AF1012,AI1012,AL1012,AO1012,AR1012,AU1012,AX1012,BA1012)=0,"",MAX(T1012,W1012,Z1012,AC1012,AF1012,AI1012,AL1012,AO1012,AR1012,AU1012,AX1012,BA1012))</f>
        <v/>
      </c>
      <c r="BG1012" s="10">
        <f>MID(IF(S1012="","",", "&amp;S1012)&amp;IF(V1012="","",", "&amp;V1012)&amp;IF(Y1012="","",", "&amp;Y1012)&amp;IF(AB1012="","",", "&amp;AB1012)&amp;IF(AE1012="","",", "&amp;AE1012)&amp;IF(AH1012="","",", "&amp;AH1012)&amp;IF(AK1012="","",", "&amp;AK1012)&amp;IF(AN1012="","",", "&amp;AN1012)&amp;IF(AQ1012="","",", "&amp;AQ1012)&amp;IF(AT1012="","",", "&amp;AT1012)&amp;IF(AW1012="","",", "&amp;AW1012)&amp;IF(AZ1012="","",", "&amp;AZ1012),3,500)</f>
        <v/>
      </c>
      <c r="BH1012" s="12" t="n"/>
      <c r="BI1012" s="15">
        <f>IFERROR(MATCH($A1012,IF($B1012="Onsite",tbl_Onsite[Row ID],IF($B1012="Production",tbl_Production[Row ID],tbl_Consulting[Row ID])),0),"")</f>
        <v/>
      </c>
    </row>
    <row r="1013">
      <c r="A1013" s="10" t="inlineStr">
        <is>
          <t>CON-0007</t>
        </is>
      </c>
      <c r="B1013" s="10" t="inlineStr">
        <is>
          <t>Consulting</t>
        </is>
      </c>
      <c r="C1013" s="10">
        <f>IF($BI1013="","",IF($B1013="Onsite",INDEX(tbl_Onsite[Job Number],$BI1013),IF($B1013="Production",INDEX(tbl_Production[Job Number],$BI1013),INDEX(tbl_Consulting[Job Number],$BI1013)))&amp;"")</f>
        <v/>
      </c>
      <c r="D1013" s="10">
        <f>IF($BI1013="","",IF($B1013="Onsite",INDEX(tbl_Onsite[Client],$BI1013),IF($B1013="Production",INDEX(tbl_Production[Client],$BI1013),INDEX(tbl_Consulting[Client],$BI1013)))&amp;"")</f>
        <v/>
      </c>
      <c r="E1013" s="10">
        <f>IF($C1013="","",IF(COUNTIF(lst_Jobs,$C1013)&gt;0,"OK","CHECK"))</f>
        <v/>
      </c>
      <c r="F1013" s="10">
        <f>IF($C1013="","",IFERROR(INDEX(lst_JobName,MATCH($C1013,lst_Jobs,0)),""))</f>
        <v/>
      </c>
      <c r="G1013" s="10">
        <f>IF($BI1013="","",IF($B1013="Onsite",INDEX(tbl_Onsite[Job Description],$BI1013),IF($B1013="Production",INDEX(tbl_Production[Job Description],$BI1013),INDEX(tbl_Consulting[Job Description],$BI1013)))&amp;"")</f>
        <v/>
      </c>
      <c r="H1013" s="10">
        <f>IF($BI1013="","",IF($B1013="Onsite",INDEX(tbl_Onsite[Cost Centre],$BI1013),IF($B1013="Production",INDEX(tbl_Production[Cost Centre],$BI1013),INDEX(tbl_Consulting[Cost Centre],$BI1013)))&amp;"")</f>
        <v/>
      </c>
      <c r="I1013" s="10">
        <f>IF($BI1013="","",IF($B1013="Onsite",INDEX(tbl_Onsite[Invoice Type],$BI1013),IF($B1013="Production",INDEX(tbl_Production[Invoice Type],$BI1013),INDEX(tbl_Consulting[Invoice Type],$BI1013)))&amp;"")</f>
        <v/>
      </c>
      <c r="J1013" s="10">
        <f>IF($BI1013="","",IF($B1013="Onsite",INDEX(tbl_Onsite[Tax Code],$BI1013),IF($B1013="Production",INDEX(tbl_Production[Tax Code],$BI1013),INDEX(tbl_Consulting[Tax Code],$BI1013)))&amp;"")</f>
        <v/>
      </c>
      <c r="K1013" s="10">
        <f>IF(H1013="","",IFERROR(INDEX(lst_CCtoGL,MATCH(H1013,lst_CCforGL,0)),""))</f>
        <v/>
      </c>
      <c r="L1013" s="10">
        <f>IF($BI1013="","",IF($B1013="Onsite",INDEX(tbl_Onsite[PO / Reference],$BI1013),IF($B1013="Production",INDEX(tbl_Production[Current RMS No],$BI1013),INDEX(tbl_Consulting[Qwilr Quote],$BI1013)))&amp;"")</f>
        <v/>
      </c>
      <c r="M1013" s="10">
        <f>IF($BI1013="","",IF($B1013="Onsite",INDEX(tbl_Onsite[Notes],$BI1013),IF($B1013="Production",INDEX(tbl_Production[Notes],$BI1013),INDEX(tbl_Consulting[Notes],$BI1013)))&amp;"")</f>
        <v/>
      </c>
      <c r="N1013" s="11">
        <f>IF($BI1013="","",IF(IF($B1013="Onsite",INDEX(tbl_Onsite[Expected Revenue Ex GST],$BI1013),IF($B1013="Production",INDEX(tbl_Production[Expected Revenue Ex GST],$BI1013),INDEX(tbl_Consulting[Expected Revenue Ex GST],$BI1013)))="","",IF($B1013="Onsite",INDEX(tbl_Onsite[Expected Revenue Ex GST],$BI1013),IF($B1013="Production",INDEX(tbl_Production[Expected Revenue Ex GST],$BI1013),INDEX(tbl_Consulting[Expected Revenue Ex GST],$BI1013)))))</f>
        <v/>
      </c>
      <c r="O1013" s="11">
        <f>IF(AND($C1013="",NOT(COUNTA($S1013:$BB1013)&gt;0)),"",SUM(U1013,X1013,AA1013,AD1013,AG1013,AJ1013,AM1013,AP1013,AS1013,AV1013,AY1013,BB1013))</f>
        <v/>
      </c>
      <c r="P1013" s="11">
        <f>IF(O1013="","",N(N1013)-O1013)</f>
        <v/>
      </c>
      <c r="Q1013" s="10">
        <f>IF(O1013="","",IF($C1013="","Invoice on empty job row",IF(N1013="",IF(ROUND(O1013,2)=0,"No dept value","Invoiced - no dept value"),IF(ROUND(O1013,2)=0,"Not invoiced - to invoice",IF(ROUND(P1013,2)=0,"Agrees",IF(P1013&gt;0,"Dept higher - to invoice","Xero higher - check dept"))))))</f>
        <v/>
      </c>
      <c r="R1013" s="10">
        <f>IF(AND($C1013="",NOT(COUNTA($S1013:$BB1013)&gt;0),$BI1013&lt;&gt;""),"",MID(IF($BI1013="","; Row ID not found on the department sheet - a row was deleted","")&amp;IF(AND($C1013="",COUNTA($S1013:$BB1013)&gt;0),"; Invoice entered but the department row has no job number","")&amp;IF(E1013="CHECK","; Job number not in the Xero job list","")&amp;IF(AND($C1013&lt;&gt;"",COUNTIF($C$7:$C$1506,$C1013)&gt;1),"; Job number on more than one row","")&amp;IF(AND($C1013&lt;&gt;"",H1013=""),"; Dept has not set a cost centre","")&amp;IF(AND($C1013&lt;&gt;"",J1013=""),"; Dept has not set a tax code","")&amp;IF(AND($C1013&lt;&gt;"",N1013=""),"; Dept has not entered an expected value","")&amp;IF((IF(OR(COUNTA(S1013:U1013)=0,AND(COUNTA(S1013:U1013)=3,ISNUMBER(U1013))),0,1)+IF(OR(COUNTA(V1013:X1013)=0,AND(COUNTA(V1013:X1013)=3,ISNUMBER(X1013))),0,1)+IF(OR(COUNTA(Y1013:AA1013)=0,AND(COUNTA(Y1013:AA1013)=3,ISNUMBER(AA1013))),0,1)+IF(OR(COUNTA(AB1013:AD1013)=0,AND(COUNTA(AB1013:AD1013)=3,ISNUMBER(AD1013))),0,1)+IF(OR(COUNTA(AE1013:AG1013)=0,AND(COUNTA(AE1013:AG1013)=3,ISNUMBER(AG1013))),0,1)+IF(OR(COUNTA(AH1013:AJ1013)=0,AND(COUNTA(AH1013:AJ1013)=3,ISNUMBER(AJ1013))),0,1)+IF(OR(COUNTA(AK1013:AM1013)=0,AND(COUNTA(AK1013:AM1013)=3,ISNUMBER(AM1013))),0,1)+IF(OR(COUNTA(AN1013:AP1013)=0,AND(COUNTA(AN1013:AP1013)=3,ISNUMBER(AP1013))),0,1)+IF(OR(COUNTA(AQ1013:AS1013)=0,AND(COUNTA(AQ1013:AS1013)=3,ISNUMBER(AS1013))),0,1)+IF(OR(COUNTA(AT1013:AV1013)=0,AND(COUNTA(AT1013:AV1013)=3,ISNUMBER(AV1013))),0,1)+IF(OR(COUNTA(AW1013:AY1013)=0,AND(COUNTA(AW1013:AY1013)=3,ISNUMBER(AY1013))),0,1)+IF(OR(COUNTA(AZ1013:BB1013)=0,AND(COUNTA(AZ1013:BB1013)=3,ISNUMBER(BB1013))),0,1))&gt;0,"; An invoice is incomplete (needs No, Date and a number in Ex GST)","")&amp;IF((IF(T1013="",0,IFERROR(--(EOMONTH(T1013,0)&lt;&gt;S$5),1))+IF(W1013="",0,IFERROR(--(EOMONTH(W1013,0)&lt;&gt;V$5),1))+IF(Z1013="",0,IFERROR(--(EOMONTH(Z1013,0)&lt;&gt;Y$5),1))+IF(AC1013="",0,IFERROR(--(EOMONTH(AC1013,0)&lt;&gt;AB$5),1))+IF(AF1013="",0,IFERROR(--(EOMONTH(AF1013,0)&lt;&gt;AE$5),1))+IF(AI1013="",0,IFERROR(--(EOMONTH(AI1013,0)&lt;&gt;AH$5),1))+IF(AL1013="",0,IFERROR(--(EOMONTH(AL1013,0)&lt;&gt;AK$5),1))+IF(AO1013="",0,IFERROR(--(EOMONTH(AO1013,0)&lt;&gt;AN$5),1))+IF(AR1013="",0,IFERROR(--(EOMONTH(AR1013,0)&lt;&gt;AQ$5),1))+IF(AU1013="",0,IFERROR(--(EOMONTH(AU1013,0)&lt;&gt;AT$5),1))+IF(AX1013="",0,IFERROR(--(EOMONTH(AX1013,0)&lt;&gt;AW$5),1))+IF(BA1013="",0,IFERROR(--(EOMONTH(BA1013,0)&lt;&gt;AZ$5),1)))&gt;0,"; An invoice date is not in the month it is typed under",""),3,500))</f>
        <v/>
      </c>
      <c r="S1013" s="12" t="n"/>
      <c r="T1013" s="13" t="n"/>
      <c r="U1013" s="14" t="n"/>
      <c r="V1013" s="12" t="n"/>
      <c r="W1013" s="13" t="n"/>
      <c r="X1013" s="14" t="n"/>
      <c r="Y1013" s="12" t="n"/>
      <c r="Z1013" s="13" t="n"/>
      <c r="AA1013" s="14" t="n"/>
      <c r="AB1013" s="12" t="n"/>
      <c r="AC1013" s="13" t="n"/>
      <c r="AD1013" s="14" t="n"/>
      <c r="AE1013" s="12" t="n"/>
      <c r="AF1013" s="13" t="n"/>
      <c r="AG1013" s="14" t="n"/>
      <c r="AH1013" s="12" t="n"/>
      <c r="AI1013" s="13" t="n"/>
      <c r="AJ1013" s="14" t="n"/>
      <c r="AK1013" s="12" t="n"/>
      <c r="AL1013" s="13" t="n"/>
      <c r="AM1013" s="14" t="n"/>
      <c r="AN1013" s="12" t="n"/>
      <c r="AO1013" s="13" t="n"/>
      <c r="AP1013" s="14" t="n"/>
      <c r="AQ1013" s="12" t="n"/>
      <c r="AR1013" s="13" t="n"/>
      <c r="AS1013" s="14" t="n"/>
      <c r="AT1013" s="12" t="n"/>
      <c r="AU1013" s="13" t="n"/>
      <c r="AV1013" s="14" t="n"/>
      <c r="AW1013" s="12" t="n"/>
      <c r="AX1013" s="13" t="n"/>
      <c r="AY1013" s="14" t="n"/>
      <c r="AZ1013" s="12" t="n"/>
      <c r="BA1013" s="13" t="n"/>
      <c r="BB1013" s="14" t="n"/>
      <c r="BC1013" s="11">
        <f>IF(O1013="","",IF(J1013="GST 10%",ROUND(O1013*set_GSTRate,2),0))</f>
        <v/>
      </c>
      <c r="BD1013" s="11">
        <f>IF(O1013="","",O1013+BC1013)</f>
        <v/>
      </c>
      <c r="BE1013" s="15">
        <f>IF(O1013="","",COUNTA(S1013,V1013,Y1013,AB1013,AE1013,AH1013,AK1013,AN1013,AQ1013,AT1013,AW1013,AZ1013))</f>
        <v/>
      </c>
      <c r="BF1013" s="16">
        <f>IF(COUNT(T1013,W1013,Z1013,AC1013,AF1013,AI1013,AL1013,AO1013,AR1013,AU1013,AX1013,BA1013)=0,"",MAX(T1013,W1013,Z1013,AC1013,AF1013,AI1013,AL1013,AO1013,AR1013,AU1013,AX1013,BA1013))</f>
        <v/>
      </c>
      <c r="BG1013" s="10">
        <f>MID(IF(S1013="","",", "&amp;S1013)&amp;IF(V1013="","",", "&amp;V1013)&amp;IF(Y1013="","",", "&amp;Y1013)&amp;IF(AB1013="","",", "&amp;AB1013)&amp;IF(AE1013="","",", "&amp;AE1013)&amp;IF(AH1013="","",", "&amp;AH1013)&amp;IF(AK1013="","",", "&amp;AK1013)&amp;IF(AN1013="","",", "&amp;AN1013)&amp;IF(AQ1013="","",", "&amp;AQ1013)&amp;IF(AT1013="","",", "&amp;AT1013)&amp;IF(AW1013="","",", "&amp;AW1013)&amp;IF(AZ1013="","",", "&amp;AZ1013),3,500)</f>
        <v/>
      </c>
      <c r="BH1013" s="12" t="n"/>
      <c r="BI1013" s="15">
        <f>IFERROR(MATCH($A1013,IF($B1013="Onsite",tbl_Onsite[Row ID],IF($B1013="Production",tbl_Production[Row ID],tbl_Consulting[Row ID])),0),"")</f>
        <v/>
      </c>
    </row>
    <row r="1014">
      <c r="A1014" s="10" t="inlineStr">
        <is>
          <t>CON-0008</t>
        </is>
      </c>
      <c r="B1014" s="10" t="inlineStr">
        <is>
          <t>Consulting</t>
        </is>
      </c>
      <c r="C1014" s="10">
        <f>IF($BI1014="","",IF($B1014="Onsite",INDEX(tbl_Onsite[Job Number],$BI1014),IF($B1014="Production",INDEX(tbl_Production[Job Number],$BI1014),INDEX(tbl_Consulting[Job Number],$BI1014)))&amp;"")</f>
        <v/>
      </c>
      <c r="D1014" s="10">
        <f>IF($BI1014="","",IF($B1014="Onsite",INDEX(tbl_Onsite[Client],$BI1014),IF($B1014="Production",INDEX(tbl_Production[Client],$BI1014),INDEX(tbl_Consulting[Client],$BI1014)))&amp;"")</f>
        <v/>
      </c>
      <c r="E1014" s="10">
        <f>IF($C1014="","",IF(COUNTIF(lst_Jobs,$C1014)&gt;0,"OK","CHECK"))</f>
        <v/>
      </c>
      <c r="F1014" s="10">
        <f>IF($C1014="","",IFERROR(INDEX(lst_JobName,MATCH($C1014,lst_Jobs,0)),""))</f>
        <v/>
      </c>
      <c r="G1014" s="10">
        <f>IF($BI1014="","",IF($B1014="Onsite",INDEX(tbl_Onsite[Job Description],$BI1014),IF($B1014="Production",INDEX(tbl_Production[Job Description],$BI1014),INDEX(tbl_Consulting[Job Description],$BI1014)))&amp;"")</f>
        <v/>
      </c>
      <c r="H1014" s="10">
        <f>IF($BI1014="","",IF($B1014="Onsite",INDEX(tbl_Onsite[Cost Centre],$BI1014),IF($B1014="Production",INDEX(tbl_Production[Cost Centre],$BI1014),INDEX(tbl_Consulting[Cost Centre],$BI1014)))&amp;"")</f>
        <v/>
      </c>
      <c r="I1014" s="10">
        <f>IF($BI1014="","",IF($B1014="Onsite",INDEX(tbl_Onsite[Invoice Type],$BI1014),IF($B1014="Production",INDEX(tbl_Production[Invoice Type],$BI1014),INDEX(tbl_Consulting[Invoice Type],$BI1014)))&amp;"")</f>
        <v/>
      </c>
      <c r="J1014" s="10">
        <f>IF($BI1014="","",IF($B1014="Onsite",INDEX(tbl_Onsite[Tax Code],$BI1014),IF($B1014="Production",INDEX(tbl_Production[Tax Code],$BI1014),INDEX(tbl_Consulting[Tax Code],$BI1014)))&amp;"")</f>
        <v/>
      </c>
      <c r="K1014" s="10">
        <f>IF(H1014="","",IFERROR(INDEX(lst_CCtoGL,MATCH(H1014,lst_CCforGL,0)),""))</f>
        <v/>
      </c>
      <c r="L1014" s="10">
        <f>IF($BI1014="","",IF($B1014="Onsite",INDEX(tbl_Onsite[PO / Reference],$BI1014),IF($B1014="Production",INDEX(tbl_Production[Current RMS No],$BI1014),INDEX(tbl_Consulting[Qwilr Quote],$BI1014)))&amp;"")</f>
        <v/>
      </c>
      <c r="M1014" s="10">
        <f>IF($BI1014="","",IF($B1014="Onsite",INDEX(tbl_Onsite[Notes],$BI1014),IF($B1014="Production",INDEX(tbl_Production[Notes],$BI1014),INDEX(tbl_Consulting[Notes],$BI1014)))&amp;"")</f>
        <v/>
      </c>
      <c r="N1014" s="11">
        <f>IF($BI1014="","",IF(IF($B1014="Onsite",INDEX(tbl_Onsite[Expected Revenue Ex GST],$BI1014),IF($B1014="Production",INDEX(tbl_Production[Expected Revenue Ex GST],$BI1014),INDEX(tbl_Consulting[Expected Revenue Ex GST],$BI1014)))="","",IF($B1014="Onsite",INDEX(tbl_Onsite[Expected Revenue Ex GST],$BI1014),IF($B1014="Production",INDEX(tbl_Production[Expected Revenue Ex GST],$BI1014),INDEX(tbl_Consulting[Expected Revenue Ex GST],$BI1014)))))</f>
        <v/>
      </c>
      <c r="O1014" s="11">
        <f>IF(AND($C1014="",NOT(COUNTA($S1014:$BB1014)&gt;0)),"",SUM(U1014,X1014,AA1014,AD1014,AG1014,AJ1014,AM1014,AP1014,AS1014,AV1014,AY1014,BB1014))</f>
        <v/>
      </c>
      <c r="P1014" s="11">
        <f>IF(O1014="","",N(N1014)-O1014)</f>
        <v/>
      </c>
      <c r="Q1014" s="10">
        <f>IF(O1014="","",IF($C1014="","Invoice on empty job row",IF(N1014="",IF(ROUND(O1014,2)=0,"No dept value","Invoiced - no dept value"),IF(ROUND(O1014,2)=0,"Not invoiced - to invoice",IF(ROUND(P1014,2)=0,"Agrees",IF(P1014&gt;0,"Dept higher - to invoice","Xero higher - check dept"))))))</f>
        <v/>
      </c>
      <c r="R1014" s="10">
        <f>IF(AND($C1014="",NOT(COUNTA($S1014:$BB1014)&gt;0),$BI1014&lt;&gt;""),"",MID(IF($BI1014="","; Row ID not found on the department sheet - a row was deleted","")&amp;IF(AND($C1014="",COUNTA($S1014:$BB1014)&gt;0),"; Invoice entered but the department row has no job number","")&amp;IF(E1014="CHECK","; Job number not in the Xero job list","")&amp;IF(AND($C1014&lt;&gt;"",COUNTIF($C$7:$C$1506,$C1014)&gt;1),"; Job number on more than one row","")&amp;IF(AND($C1014&lt;&gt;"",H1014=""),"; Dept has not set a cost centre","")&amp;IF(AND($C1014&lt;&gt;"",J1014=""),"; Dept has not set a tax code","")&amp;IF(AND($C1014&lt;&gt;"",N1014=""),"; Dept has not entered an expected value","")&amp;IF((IF(OR(COUNTA(S1014:U1014)=0,AND(COUNTA(S1014:U1014)=3,ISNUMBER(U1014))),0,1)+IF(OR(COUNTA(V1014:X1014)=0,AND(COUNTA(V1014:X1014)=3,ISNUMBER(X1014))),0,1)+IF(OR(COUNTA(Y1014:AA1014)=0,AND(COUNTA(Y1014:AA1014)=3,ISNUMBER(AA1014))),0,1)+IF(OR(COUNTA(AB1014:AD1014)=0,AND(COUNTA(AB1014:AD1014)=3,ISNUMBER(AD1014))),0,1)+IF(OR(COUNTA(AE1014:AG1014)=0,AND(COUNTA(AE1014:AG1014)=3,ISNUMBER(AG1014))),0,1)+IF(OR(COUNTA(AH1014:AJ1014)=0,AND(COUNTA(AH1014:AJ1014)=3,ISNUMBER(AJ1014))),0,1)+IF(OR(COUNTA(AK1014:AM1014)=0,AND(COUNTA(AK1014:AM1014)=3,ISNUMBER(AM1014))),0,1)+IF(OR(COUNTA(AN1014:AP1014)=0,AND(COUNTA(AN1014:AP1014)=3,ISNUMBER(AP1014))),0,1)+IF(OR(COUNTA(AQ1014:AS1014)=0,AND(COUNTA(AQ1014:AS1014)=3,ISNUMBER(AS1014))),0,1)+IF(OR(COUNTA(AT1014:AV1014)=0,AND(COUNTA(AT1014:AV1014)=3,ISNUMBER(AV1014))),0,1)+IF(OR(COUNTA(AW1014:AY1014)=0,AND(COUNTA(AW1014:AY1014)=3,ISNUMBER(AY1014))),0,1)+IF(OR(COUNTA(AZ1014:BB1014)=0,AND(COUNTA(AZ1014:BB1014)=3,ISNUMBER(BB1014))),0,1))&gt;0,"; An invoice is incomplete (needs No, Date and a number in Ex GST)","")&amp;IF((IF(T1014="",0,IFERROR(--(EOMONTH(T1014,0)&lt;&gt;S$5),1))+IF(W1014="",0,IFERROR(--(EOMONTH(W1014,0)&lt;&gt;V$5),1))+IF(Z1014="",0,IFERROR(--(EOMONTH(Z1014,0)&lt;&gt;Y$5),1))+IF(AC1014="",0,IFERROR(--(EOMONTH(AC1014,0)&lt;&gt;AB$5),1))+IF(AF1014="",0,IFERROR(--(EOMONTH(AF1014,0)&lt;&gt;AE$5),1))+IF(AI1014="",0,IFERROR(--(EOMONTH(AI1014,0)&lt;&gt;AH$5),1))+IF(AL1014="",0,IFERROR(--(EOMONTH(AL1014,0)&lt;&gt;AK$5),1))+IF(AO1014="",0,IFERROR(--(EOMONTH(AO1014,0)&lt;&gt;AN$5),1))+IF(AR1014="",0,IFERROR(--(EOMONTH(AR1014,0)&lt;&gt;AQ$5),1))+IF(AU1014="",0,IFERROR(--(EOMONTH(AU1014,0)&lt;&gt;AT$5),1))+IF(AX1014="",0,IFERROR(--(EOMONTH(AX1014,0)&lt;&gt;AW$5),1))+IF(BA1014="",0,IFERROR(--(EOMONTH(BA1014,0)&lt;&gt;AZ$5),1)))&gt;0,"; An invoice date is not in the month it is typed under",""),3,500))</f>
        <v/>
      </c>
      <c r="S1014" s="12" t="n"/>
      <c r="T1014" s="13" t="n"/>
      <c r="U1014" s="14" t="n"/>
      <c r="V1014" s="12" t="n"/>
      <c r="W1014" s="13" t="n"/>
      <c r="X1014" s="14" t="n"/>
      <c r="Y1014" s="12" t="n"/>
      <c r="Z1014" s="13" t="n"/>
      <c r="AA1014" s="14" t="n"/>
      <c r="AB1014" s="12" t="n"/>
      <c r="AC1014" s="13" t="n"/>
      <c r="AD1014" s="14" t="n"/>
      <c r="AE1014" s="12" t="n"/>
      <c r="AF1014" s="13" t="n"/>
      <c r="AG1014" s="14" t="n"/>
      <c r="AH1014" s="12" t="n"/>
      <c r="AI1014" s="13" t="n"/>
      <c r="AJ1014" s="14" t="n"/>
      <c r="AK1014" s="12" t="n"/>
      <c r="AL1014" s="13" t="n"/>
      <c r="AM1014" s="14" t="n"/>
      <c r="AN1014" s="12" t="n"/>
      <c r="AO1014" s="13" t="n"/>
      <c r="AP1014" s="14" t="n"/>
      <c r="AQ1014" s="12" t="n"/>
      <c r="AR1014" s="13" t="n"/>
      <c r="AS1014" s="14" t="n"/>
      <c r="AT1014" s="12" t="n"/>
      <c r="AU1014" s="13" t="n"/>
      <c r="AV1014" s="14" t="n"/>
      <c r="AW1014" s="12" t="n"/>
      <c r="AX1014" s="13" t="n"/>
      <c r="AY1014" s="14" t="n"/>
      <c r="AZ1014" s="12" t="n"/>
      <c r="BA1014" s="13" t="n"/>
      <c r="BB1014" s="14" t="n"/>
      <c r="BC1014" s="11">
        <f>IF(O1014="","",IF(J1014="GST 10%",ROUND(O1014*set_GSTRate,2),0))</f>
        <v/>
      </c>
      <c r="BD1014" s="11">
        <f>IF(O1014="","",O1014+BC1014)</f>
        <v/>
      </c>
      <c r="BE1014" s="15">
        <f>IF(O1014="","",COUNTA(S1014,V1014,Y1014,AB1014,AE1014,AH1014,AK1014,AN1014,AQ1014,AT1014,AW1014,AZ1014))</f>
        <v/>
      </c>
      <c r="BF1014" s="16">
        <f>IF(COUNT(T1014,W1014,Z1014,AC1014,AF1014,AI1014,AL1014,AO1014,AR1014,AU1014,AX1014,BA1014)=0,"",MAX(T1014,W1014,Z1014,AC1014,AF1014,AI1014,AL1014,AO1014,AR1014,AU1014,AX1014,BA1014))</f>
        <v/>
      </c>
      <c r="BG1014" s="10">
        <f>MID(IF(S1014="","",", "&amp;S1014)&amp;IF(V1014="","",", "&amp;V1014)&amp;IF(Y1014="","",", "&amp;Y1014)&amp;IF(AB1014="","",", "&amp;AB1014)&amp;IF(AE1014="","",", "&amp;AE1014)&amp;IF(AH1014="","",", "&amp;AH1014)&amp;IF(AK1014="","",", "&amp;AK1014)&amp;IF(AN1014="","",", "&amp;AN1014)&amp;IF(AQ1014="","",", "&amp;AQ1014)&amp;IF(AT1014="","",", "&amp;AT1014)&amp;IF(AW1014="","",", "&amp;AW1014)&amp;IF(AZ1014="","",", "&amp;AZ1014),3,500)</f>
        <v/>
      </c>
      <c r="BH1014" s="12" t="n"/>
      <c r="BI1014" s="15">
        <f>IFERROR(MATCH($A1014,IF($B1014="Onsite",tbl_Onsite[Row ID],IF($B1014="Production",tbl_Production[Row ID],tbl_Consulting[Row ID])),0),"")</f>
        <v/>
      </c>
    </row>
    <row r="1015">
      <c r="A1015" s="10" t="inlineStr">
        <is>
          <t>CON-0009</t>
        </is>
      </c>
      <c r="B1015" s="10" t="inlineStr">
        <is>
          <t>Consulting</t>
        </is>
      </c>
      <c r="C1015" s="10">
        <f>IF($BI1015="","",IF($B1015="Onsite",INDEX(tbl_Onsite[Job Number],$BI1015),IF($B1015="Production",INDEX(tbl_Production[Job Number],$BI1015),INDEX(tbl_Consulting[Job Number],$BI1015)))&amp;"")</f>
        <v/>
      </c>
      <c r="D1015" s="10">
        <f>IF($BI1015="","",IF($B1015="Onsite",INDEX(tbl_Onsite[Client],$BI1015),IF($B1015="Production",INDEX(tbl_Production[Client],$BI1015),INDEX(tbl_Consulting[Client],$BI1015)))&amp;"")</f>
        <v/>
      </c>
      <c r="E1015" s="10">
        <f>IF($C1015="","",IF(COUNTIF(lst_Jobs,$C1015)&gt;0,"OK","CHECK"))</f>
        <v/>
      </c>
      <c r="F1015" s="10">
        <f>IF($C1015="","",IFERROR(INDEX(lst_JobName,MATCH($C1015,lst_Jobs,0)),""))</f>
        <v/>
      </c>
      <c r="G1015" s="10">
        <f>IF($BI1015="","",IF($B1015="Onsite",INDEX(tbl_Onsite[Job Description],$BI1015),IF($B1015="Production",INDEX(tbl_Production[Job Description],$BI1015),INDEX(tbl_Consulting[Job Description],$BI1015)))&amp;"")</f>
        <v/>
      </c>
      <c r="H1015" s="10">
        <f>IF($BI1015="","",IF($B1015="Onsite",INDEX(tbl_Onsite[Cost Centre],$BI1015),IF($B1015="Production",INDEX(tbl_Production[Cost Centre],$BI1015),INDEX(tbl_Consulting[Cost Centre],$BI1015)))&amp;"")</f>
        <v/>
      </c>
      <c r="I1015" s="10">
        <f>IF($BI1015="","",IF($B1015="Onsite",INDEX(tbl_Onsite[Invoice Type],$BI1015),IF($B1015="Production",INDEX(tbl_Production[Invoice Type],$BI1015),INDEX(tbl_Consulting[Invoice Type],$BI1015)))&amp;"")</f>
        <v/>
      </c>
      <c r="J1015" s="10">
        <f>IF($BI1015="","",IF($B1015="Onsite",INDEX(tbl_Onsite[Tax Code],$BI1015),IF($B1015="Production",INDEX(tbl_Production[Tax Code],$BI1015),INDEX(tbl_Consulting[Tax Code],$BI1015)))&amp;"")</f>
        <v/>
      </c>
      <c r="K1015" s="10">
        <f>IF(H1015="","",IFERROR(INDEX(lst_CCtoGL,MATCH(H1015,lst_CCforGL,0)),""))</f>
        <v/>
      </c>
      <c r="L1015" s="10">
        <f>IF($BI1015="","",IF($B1015="Onsite",INDEX(tbl_Onsite[PO / Reference],$BI1015),IF($B1015="Production",INDEX(tbl_Production[Current RMS No],$BI1015),INDEX(tbl_Consulting[Qwilr Quote],$BI1015)))&amp;"")</f>
        <v/>
      </c>
      <c r="M1015" s="10">
        <f>IF($BI1015="","",IF($B1015="Onsite",INDEX(tbl_Onsite[Notes],$BI1015),IF($B1015="Production",INDEX(tbl_Production[Notes],$BI1015),INDEX(tbl_Consulting[Notes],$BI1015)))&amp;"")</f>
        <v/>
      </c>
      <c r="N1015" s="11">
        <f>IF($BI1015="","",IF(IF($B1015="Onsite",INDEX(tbl_Onsite[Expected Revenue Ex GST],$BI1015),IF($B1015="Production",INDEX(tbl_Production[Expected Revenue Ex GST],$BI1015),INDEX(tbl_Consulting[Expected Revenue Ex GST],$BI1015)))="","",IF($B1015="Onsite",INDEX(tbl_Onsite[Expected Revenue Ex GST],$BI1015),IF($B1015="Production",INDEX(tbl_Production[Expected Revenue Ex GST],$BI1015),INDEX(tbl_Consulting[Expected Revenue Ex GST],$BI1015)))))</f>
        <v/>
      </c>
      <c r="O1015" s="11">
        <f>IF(AND($C1015="",NOT(COUNTA($S1015:$BB1015)&gt;0)),"",SUM(U1015,X1015,AA1015,AD1015,AG1015,AJ1015,AM1015,AP1015,AS1015,AV1015,AY1015,BB1015))</f>
        <v/>
      </c>
      <c r="P1015" s="11">
        <f>IF(O1015="","",N(N1015)-O1015)</f>
        <v/>
      </c>
      <c r="Q1015" s="10">
        <f>IF(O1015="","",IF($C1015="","Invoice on empty job row",IF(N1015="",IF(ROUND(O1015,2)=0,"No dept value","Invoiced - no dept value"),IF(ROUND(O1015,2)=0,"Not invoiced - to invoice",IF(ROUND(P1015,2)=0,"Agrees",IF(P1015&gt;0,"Dept higher - to invoice","Xero higher - check dept"))))))</f>
        <v/>
      </c>
      <c r="R1015" s="10">
        <f>IF(AND($C1015="",NOT(COUNTA($S1015:$BB1015)&gt;0),$BI1015&lt;&gt;""),"",MID(IF($BI1015="","; Row ID not found on the department sheet - a row was deleted","")&amp;IF(AND($C1015="",COUNTA($S1015:$BB1015)&gt;0),"; Invoice entered but the department row has no job number","")&amp;IF(E1015="CHECK","; Job number not in the Xero job list","")&amp;IF(AND($C1015&lt;&gt;"",COUNTIF($C$7:$C$1506,$C1015)&gt;1),"; Job number on more than one row","")&amp;IF(AND($C1015&lt;&gt;"",H1015=""),"; Dept has not set a cost centre","")&amp;IF(AND($C1015&lt;&gt;"",J1015=""),"; Dept has not set a tax code","")&amp;IF(AND($C1015&lt;&gt;"",N1015=""),"; Dept has not entered an expected value","")&amp;IF((IF(OR(COUNTA(S1015:U1015)=0,AND(COUNTA(S1015:U1015)=3,ISNUMBER(U1015))),0,1)+IF(OR(COUNTA(V1015:X1015)=0,AND(COUNTA(V1015:X1015)=3,ISNUMBER(X1015))),0,1)+IF(OR(COUNTA(Y1015:AA1015)=0,AND(COUNTA(Y1015:AA1015)=3,ISNUMBER(AA1015))),0,1)+IF(OR(COUNTA(AB1015:AD1015)=0,AND(COUNTA(AB1015:AD1015)=3,ISNUMBER(AD1015))),0,1)+IF(OR(COUNTA(AE1015:AG1015)=0,AND(COUNTA(AE1015:AG1015)=3,ISNUMBER(AG1015))),0,1)+IF(OR(COUNTA(AH1015:AJ1015)=0,AND(COUNTA(AH1015:AJ1015)=3,ISNUMBER(AJ1015))),0,1)+IF(OR(COUNTA(AK1015:AM1015)=0,AND(COUNTA(AK1015:AM1015)=3,ISNUMBER(AM1015))),0,1)+IF(OR(COUNTA(AN1015:AP1015)=0,AND(COUNTA(AN1015:AP1015)=3,ISNUMBER(AP1015))),0,1)+IF(OR(COUNTA(AQ1015:AS1015)=0,AND(COUNTA(AQ1015:AS1015)=3,ISNUMBER(AS1015))),0,1)+IF(OR(COUNTA(AT1015:AV1015)=0,AND(COUNTA(AT1015:AV1015)=3,ISNUMBER(AV1015))),0,1)+IF(OR(COUNTA(AW1015:AY1015)=0,AND(COUNTA(AW1015:AY1015)=3,ISNUMBER(AY1015))),0,1)+IF(OR(COUNTA(AZ1015:BB1015)=0,AND(COUNTA(AZ1015:BB1015)=3,ISNUMBER(BB1015))),0,1))&gt;0,"; An invoice is incomplete (needs No, Date and a number in Ex GST)","")&amp;IF((IF(T1015="",0,IFERROR(--(EOMONTH(T1015,0)&lt;&gt;S$5),1))+IF(W1015="",0,IFERROR(--(EOMONTH(W1015,0)&lt;&gt;V$5),1))+IF(Z1015="",0,IFERROR(--(EOMONTH(Z1015,0)&lt;&gt;Y$5),1))+IF(AC1015="",0,IFERROR(--(EOMONTH(AC1015,0)&lt;&gt;AB$5),1))+IF(AF1015="",0,IFERROR(--(EOMONTH(AF1015,0)&lt;&gt;AE$5),1))+IF(AI1015="",0,IFERROR(--(EOMONTH(AI1015,0)&lt;&gt;AH$5),1))+IF(AL1015="",0,IFERROR(--(EOMONTH(AL1015,0)&lt;&gt;AK$5),1))+IF(AO1015="",0,IFERROR(--(EOMONTH(AO1015,0)&lt;&gt;AN$5),1))+IF(AR1015="",0,IFERROR(--(EOMONTH(AR1015,0)&lt;&gt;AQ$5),1))+IF(AU1015="",0,IFERROR(--(EOMONTH(AU1015,0)&lt;&gt;AT$5),1))+IF(AX1015="",0,IFERROR(--(EOMONTH(AX1015,0)&lt;&gt;AW$5),1))+IF(BA1015="",0,IFERROR(--(EOMONTH(BA1015,0)&lt;&gt;AZ$5),1)))&gt;0,"; An invoice date is not in the month it is typed under",""),3,500))</f>
        <v/>
      </c>
      <c r="S1015" s="12" t="n"/>
      <c r="T1015" s="13" t="n"/>
      <c r="U1015" s="14" t="n"/>
      <c r="V1015" s="12" t="n"/>
      <c r="W1015" s="13" t="n"/>
      <c r="X1015" s="14" t="n"/>
      <c r="Y1015" s="12" t="n"/>
      <c r="Z1015" s="13" t="n"/>
      <c r="AA1015" s="14" t="n"/>
      <c r="AB1015" s="12" t="n"/>
      <c r="AC1015" s="13" t="n"/>
      <c r="AD1015" s="14" t="n"/>
      <c r="AE1015" s="12" t="n"/>
      <c r="AF1015" s="13" t="n"/>
      <c r="AG1015" s="14" t="n"/>
      <c r="AH1015" s="12" t="n"/>
      <c r="AI1015" s="13" t="n"/>
      <c r="AJ1015" s="14" t="n"/>
      <c r="AK1015" s="12" t="n"/>
      <c r="AL1015" s="13" t="n"/>
      <c r="AM1015" s="14" t="n"/>
      <c r="AN1015" s="12" t="n"/>
      <c r="AO1015" s="13" t="n"/>
      <c r="AP1015" s="14" t="n"/>
      <c r="AQ1015" s="12" t="n"/>
      <c r="AR1015" s="13" t="n"/>
      <c r="AS1015" s="14" t="n"/>
      <c r="AT1015" s="12" t="n"/>
      <c r="AU1015" s="13" t="n"/>
      <c r="AV1015" s="14" t="n"/>
      <c r="AW1015" s="12" t="n"/>
      <c r="AX1015" s="13" t="n"/>
      <c r="AY1015" s="14" t="n"/>
      <c r="AZ1015" s="12" t="n"/>
      <c r="BA1015" s="13" t="n"/>
      <c r="BB1015" s="14" t="n"/>
      <c r="BC1015" s="11">
        <f>IF(O1015="","",IF(J1015="GST 10%",ROUND(O1015*set_GSTRate,2),0))</f>
        <v/>
      </c>
      <c r="BD1015" s="11">
        <f>IF(O1015="","",O1015+BC1015)</f>
        <v/>
      </c>
      <c r="BE1015" s="15">
        <f>IF(O1015="","",COUNTA(S1015,V1015,Y1015,AB1015,AE1015,AH1015,AK1015,AN1015,AQ1015,AT1015,AW1015,AZ1015))</f>
        <v/>
      </c>
      <c r="BF1015" s="16">
        <f>IF(COUNT(T1015,W1015,Z1015,AC1015,AF1015,AI1015,AL1015,AO1015,AR1015,AU1015,AX1015,BA1015)=0,"",MAX(T1015,W1015,Z1015,AC1015,AF1015,AI1015,AL1015,AO1015,AR1015,AU1015,AX1015,BA1015))</f>
        <v/>
      </c>
      <c r="BG1015" s="10">
        <f>MID(IF(S1015="","",", "&amp;S1015)&amp;IF(V1015="","",", "&amp;V1015)&amp;IF(Y1015="","",", "&amp;Y1015)&amp;IF(AB1015="","",", "&amp;AB1015)&amp;IF(AE1015="","",", "&amp;AE1015)&amp;IF(AH1015="","",", "&amp;AH1015)&amp;IF(AK1015="","",", "&amp;AK1015)&amp;IF(AN1015="","",", "&amp;AN1015)&amp;IF(AQ1015="","",", "&amp;AQ1015)&amp;IF(AT1015="","",", "&amp;AT1015)&amp;IF(AW1015="","",", "&amp;AW1015)&amp;IF(AZ1015="","",", "&amp;AZ1015),3,500)</f>
        <v/>
      </c>
      <c r="BH1015" s="12" t="n"/>
      <c r="BI1015" s="15">
        <f>IFERROR(MATCH($A1015,IF($B1015="Onsite",tbl_Onsite[Row ID],IF($B1015="Production",tbl_Production[Row ID],tbl_Consulting[Row ID])),0),"")</f>
        <v/>
      </c>
    </row>
    <row r="1016">
      <c r="A1016" s="10" t="inlineStr">
        <is>
          <t>CON-0010</t>
        </is>
      </c>
      <c r="B1016" s="10" t="inlineStr">
        <is>
          <t>Consulting</t>
        </is>
      </c>
      <c r="C1016" s="10">
        <f>IF($BI1016="","",IF($B1016="Onsite",INDEX(tbl_Onsite[Job Number],$BI1016),IF($B1016="Production",INDEX(tbl_Production[Job Number],$BI1016),INDEX(tbl_Consulting[Job Number],$BI1016)))&amp;"")</f>
        <v/>
      </c>
      <c r="D1016" s="10">
        <f>IF($BI1016="","",IF($B1016="Onsite",INDEX(tbl_Onsite[Client],$BI1016),IF($B1016="Production",INDEX(tbl_Production[Client],$BI1016),INDEX(tbl_Consulting[Client],$BI1016)))&amp;"")</f>
        <v/>
      </c>
      <c r="E1016" s="10">
        <f>IF($C1016="","",IF(COUNTIF(lst_Jobs,$C1016)&gt;0,"OK","CHECK"))</f>
        <v/>
      </c>
      <c r="F1016" s="10">
        <f>IF($C1016="","",IFERROR(INDEX(lst_JobName,MATCH($C1016,lst_Jobs,0)),""))</f>
        <v/>
      </c>
      <c r="G1016" s="10">
        <f>IF($BI1016="","",IF($B1016="Onsite",INDEX(tbl_Onsite[Job Description],$BI1016),IF($B1016="Production",INDEX(tbl_Production[Job Description],$BI1016),INDEX(tbl_Consulting[Job Description],$BI1016)))&amp;"")</f>
        <v/>
      </c>
      <c r="H1016" s="10">
        <f>IF($BI1016="","",IF($B1016="Onsite",INDEX(tbl_Onsite[Cost Centre],$BI1016),IF($B1016="Production",INDEX(tbl_Production[Cost Centre],$BI1016),INDEX(tbl_Consulting[Cost Centre],$BI1016)))&amp;"")</f>
        <v/>
      </c>
      <c r="I1016" s="10">
        <f>IF($BI1016="","",IF($B1016="Onsite",INDEX(tbl_Onsite[Invoice Type],$BI1016),IF($B1016="Production",INDEX(tbl_Production[Invoice Type],$BI1016),INDEX(tbl_Consulting[Invoice Type],$BI1016)))&amp;"")</f>
        <v/>
      </c>
      <c r="J1016" s="10">
        <f>IF($BI1016="","",IF($B1016="Onsite",INDEX(tbl_Onsite[Tax Code],$BI1016),IF($B1016="Production",INDEX(tbl_Production[Tax Code],$BI1016),INDEX(tbl_Consulting[Tax Code],$BI1016)))&amp;"")</f>
        <v/>
      </c>
      <c r="K1016" s="10">
        <f>IF(H1016="","",IFERROR(INDEX(lst_CCtoGL,MATCH(H1016,lst_CCforGL,0)),""))</f>
        <v/>
      </c>
      <c r="L1016" s="10">
        <f>IF($BI1016="","",IF($B1016="Onsite",INDEX(tbl_Onsite[PO / Reference],$BI1016),IF($B1016="Production",INDEX(tbl_Production[Current RMS No],$BI1016),INDEX(tbl_Consulting[Qwilr Quote],$BI1016)))&amp;"")</f>
        <v/>
      </c>
      <c r="M1016" s="10">
        <f>IF($BI1016="","",IF($B1016="Onsite",INDEX(tbl_Onsite[Notes],$BI1016),IF($B1016="Production",INDEX(tbl_Production[Notes],$BI1016),INDEX(tbl_Consulting[Notes],$BI1016)))&amp;"")</f>
        <v/>
      </c>
      <c r="N1016" s="11">
        <f>IF($BI1016="","",IF(IF($B1016="Onsite",INDEX(tbl_Onsite[Expected Revenue Ex GST],$BI1016),IF($B1016="Production",INDEX(tbl_Production[Expected Revenue Ex GST],$BI1016),INDEX(tbl_Consulting[Expected Revenue Ex GST],$BI1016)))="","",IF($B1016="Onsite",INDEX(tbl_Onsite[Expected Revenue Ex GST],$BI1016),IF($B1016="Production",INDEX(tbl_Production[Expected Revenue Ex GST],$BI1016),INDEX(tbl_Consulting[Expected Revenue Ex GST],$BI1016)))))</f>
        <v/>
      </c>
      <c r="O1016" s="11">
        <f>IF(AND($C1016="",NOT(COUNTA($S1016:$BB1016)&gt;0)),"",SUM(U1016,X1016,AA1016,AD1016,AG1016,AJ1016,AM1016,AP1016,AS1016,AV1016,AY1016,BB1016))</f>
        <v/>
      </c>
      <c r="P1016" s="11">
        <f>IF(O1016="","",N(N1016)-O1016)</f>
        <v/>
      </c>
      <c r="Q1016" s="10">
        <f>IF(O1016="","",IF($C1016="","Invoice on empty job row",IF(N1016="",IF(ROUND(O1016,2)=0,"No dept value","Invoiced - no dept value"),IF(ROUND(O1016,2)=0,"Not invoiced - to invoice",IF(ROUND(P1016,2)=0,"Agrees",IF(P1016&gt;0,"Dept higher - to invoice","Xero higher - check dept"))))))</f>
        <v/>
      </c>
      <c r="R1016" s="10">
        <f>IF(AND($C1016="",NOT(COUNTA($S1016:$BB1016)&gt;0),$BI1016&lt;&gt;""),"",MID(IF($BI1016="","; Row ID not found on the department sheet - a row was deleted","")&amp;IF(AND($C1016="",COUNTA($S1016:$BB1016)&gt;0),"; Invoice entered but the department row has no job number","")&amp;IF(E1016="CHECK","; Job number not in the Xero job list","")&amp;IF(AND($C1016&lt;&gt;"",COUNTIF($C$7:$C$1506,$C1016)&gt;1),"; Job number on more than one row","")&amp;IF(AND($C1016&lt;&gt;"",H1016=""),"; Dept has not set a cost centre","")&amp;IF(AND($C1016&lt;&gt;"",J1016=""),"; Dept has not set a tax code","")&amp;IF(AND($C1016&lt;&gt;"",N1016=""),"; Dept has not entered an expected value","")&amp;IF((IF(OR(COUNTA(S1016:U1016)=0,AND(COUNTA(S1016:U1016)=3,ISNUMBER(U1016))),0,1)+IF(OR(COUNTA(V1016:X1016)=0,AND(COUNTA(V1016:X1016)=3,ISNUMBER(X1016))),0,1)+IF(OR(COUNTA(Y1016:AA1016)=0,AND(COUNTA(Y1016:AA1016)=3,ISNUMBER(AA1016))),0,1)+IF(OR(COUNTA(AB1016:AD1016)=0,AND(COUNTA(AB1016:AD1016)=3,ISNUMBER(AD1016))),0,1)+IF(OR(COUNTA(AE1016:AG1016)=0,AND(COUNTA(AE1016:AG1016)=3,ISNUMBER(AG1016))),0,1)+IF(OR(COUNTA(AH1016:AJ1016)=0,AND(COUNTA(AH1016:AJ1016)=3,ISNUMBER(AJ1016))),0,1)+IF(OR(COUNTA(AK1016:AM1016)=0,AND(COUNTA(AK1016:AM1016)=3,ISNUMBER(AM1016))),0,1)+IF(OR(COUNTA(AN1016:AP1016)=0,AND(COUNTA(AN1016:AP1016)=3,ISNUMBER(AP1016))),0,1)+IF(OR(COUNTA(AQ1016:AS1016)=0,AND(COUNTA(AQ1016:AS1016)=3,ISNUMBER(AS1016))),0,1)+IF(OR(COUNTA(AT1016:AV1016)=0,AND(COUNTA(AT1016:AV1016)=3,ISNUMBER(AV1016))),0,1)+IF(OR(COUNTA(AW1016:AY1016)=0,AND(COUNTA(AW1016:AY1016)=3,ISNUMBER(AY1016))),0,1)+IF(OR(COUNTA(AZ1016:BB1016)=0,AND(COUNTA(AZ1016:BB1016)=3,ISNUMBER(BB1016))),0,1))&gt;0,"; An invoice is incomplete (needs No, Date and a number in Ex GST)","")&amp;IF((IF(T1016="",0,IFERROR(--(EOMONTH(T1016,0)&lt;&gt;S$5),1))+IF(W1016="",0,IFERROR(--(EOMONTH(W1016,0)&lt;&gt;V$5),1))+IF(Z1016="",0,IFERROR(--(EOMONTH(Z1016,0)&lt;&gt;Y$5),1))+IF(AC1016="",0,IFERROR(--(EOMONTH(AC1016,0)&lt;&gt;AB$5),1))+IF(AF1016="",0,IFERROR(--(EOMONTH(AF1016,0)&lt;&gt;AE$5),1))+IF(AI1016="",0,IFERROR(--(EOMONTH(AI1016,0)&lt;&gt;AH$5),1))+IF(AL1016="",0,IFERROR(--(EOMONTH(AL1016,0)&lt;&gt;AK$5),1))+IF(AO1016="",0,IFERROR(--(EOMONTH(AO1016,0)&lt;&gt;AN$5),1))+IF(AR1016="",0,IFERROR(--(EOMONTH(AR1016,0)&lt;&gt;AQ$5),1))+IF(AU1016="",0,IFERROR(--(EOMONTH(AU1016,0)&lt;&gt;AT$5),1))+IF(AX1016="",0,IFERROR(--(EOMONTH(AX1016,0)&lt;&gt;AW$5),1))+IF(BA1016="",0,IFERROR(--(EOMONTH(BA1016,0)&lt;&gt;AZ$5),1)))&gt;0,"; An invoice date is not in the month it is typed under",""),3,500))</f>
        <v/>
      </c>
      <c r="S1016" s="12" t="n"/>
      <c r="T1016" s="13" t="n"/>
      <c r="U1016" s="14" t="n"/>
      <c r="V1016" s="12" t="n"/>
      <c r="W1016" s="13" t="n"/>
      <c r="X1016" s="14" t="n"/>
      <c r="Y1016" s="12" t="n"/>
      <c r="Z1016" s="13" t="n"/>
      <c r="AA1016" s="14" t="n"/>
      <c r="AB1016" s="12" t="n"/>
      <c r="AC1016" s="13" t="n"/>
      <c r="AD1016" s="14" t="n"/>
      <c r="AE1016" s="12" t="n"/>
      <c r="AF1016" s="13" t="n"/>
      <c r="AG1016" s="14" t="n"/>
      <c r="AH1016" s="12" t="n"/>
      <c r="AI1016" s="13" t="n"/>
      <c r="AJ1016" s="14" t="n"/>
      <c r="AK1016" s="12" t="n"/>
      <c r="AL1016" s="13" t="n"/>
      <c r="AM1016" s="14" t="n"/>
      <c r="AN1016" s="12" t="n"/>
      <c r="AO1016" s="13" t="n"/>
      <c r="AP1016" s="14" t="n"/>
      <c r="AQ1016" s="12" t="n"/>
      <c r="AR1016" s="13" t="n"/>
      <c r="AS1016" s="14" t="n"/>
      <c r="AT1016" s="12" t="n"/>
      <c r="AU1016" s="13" t="n"/>
      <c r="AV1016" s="14" t="n"/>
      <c r="AW1016" s="12" t="n"/>
      <c r="AX1016" s="13" t="n"/>
      <c r="AY1016" s="14" t="n"/>
      <c r="AZ1016" s="12" t="n"/>
      <c r="BA1016" s="13" t="n"/>
      <c r="BB1016" s="14" t="n"/>
      <c r="BC1016" s="11">
        <f>IF(O1016="","",IF(J1016="GST 10%",ROUND(O1016*set_GSTRate,2),0))</f>
        <v/>
      </c>
      <c r="BD1016" s="11">
        <f>IF(O1016="","",O1016+BC1016)</f>
        <v/>
      </c>
      <c r="BE1016" s="15">
        <f>IF(O1016="","",COUNTA(S1016,V1016,Y1016,AB1016,AE1016,AH1016,AK1016,AN1016,AQ1016,AT1016,AW1016,AZ1016))</f>
        <v/>
      </c>
      <c r="BF1016" s="16">
        <f>IF(COUNT(T1016,W1016,Z1016,AC1016,AF1016,AI1016,AL1016,AO1016,AR1016,AU1016,AX1016,BA1016)=0,"",MAX(T1016,W1016,Z1016,AC1016,AF1016,AI1016,AL1016,AO1016,AR1016,AU1016,AX1016,BA1016))</f>
        <v/>
      </c>
      <c r="BG1016" s="10">
        <f>MID(IF(S1016="","",", "&amp;S1016)&amp;IF(V1016="","",", "&amp;V1016)&amp;IF(Y1016="","",", "&amp;Y1016)&amp;IF(AB1016="","",", "&amp;AB1016)&amp;IF(AE1016="","",", "&amp;AE1016)&amp;IF(AH1016="","",", "&amp;AH1016)&amp;IF(AK1016="","",", "&amp;AK1016)&amp;IF(AN1016="","",", "&amp;AN1016)&amp;IF(AQ1016="","",", "&amp;AQ1016)&amp;IF(AT1016="","",", "&amp;AT1016)&amp;IF(AW1016="","",", "&amp;AW1016)&amp;IF(AZ1016="","",", "&amp;AZ1016),3,500)</f>
        <v/>
      </c>
      <c r="BH1016" s="12" t="n"/>
      <c r="BI1016" s="15">
        <f>IFERROR(MATCH($A1016,IF($B1016="Onsite",tbl_Onsite[Row ID],IF($B1016="Production",tbl_Production[Row ID],tbl_Consulting[Row ID])),0),"")</f>
        <v/>
      </c>
    </row>
    <row r="1017">
      <c r="A1017" s="10" t="inlineStr">
        <is>
          <t>CON-0011</t>
        </is>
      </c>
      <c r="B1017" s="10" t="inlineStr">
        <is>
          <t>Consulting</t>
        </is>
      </c>
      <c r="C1017" s="10">
        <f>IF($BI1017="","",IF($B1017="Onsite",INDEX(tbl_Onsite[Job Number],$BI1017),IF($B1017="Production",INDEX(tbl_Production[Job Number],$BI1017),INDEX(tbl_Consulting[Job Number],$BI1017)))&amp;"")</f>
        <v/>
      </c>
      <c r="D1017" s="10">
        <f>IF($BI1017="","",IF($B1017="Onsite",INDEX(tbl_Onsite[Client],$BI1017),IF($B1017="Production",INDEX(tbl_Production[Client],$BI1017),INDEX(tbl_Consulting[Client],$BI1017)))&amp;"")</f>
        <v/>
      </c>
      <c r="E1017" s="10">
        <f>IF($C1017="","",IF(COUNTIF(lst_Jobs,$C1017)&gt;0,"OK","CHECK"))</f>
        <v/>
      </c>
      <c r="F1017" s="10">
        <f>IF($C1017="","",IFERROR(INDEX(lst_JobName,MATCH($C1017,lst_Jobs,0)),""))</f>
        <v/>
      </c>
      <c r="G1017" s="10">
        <f>IF($BI1017="","",IF($B1017="Onsite",INDEX(tbl_Onsite[Job Description],$BI1017),IF($B1017="Production",INDEX(tbl_Production[Job Description],$BI1017),INDEX(tbl_Consulting[Job Description],$BI1017)))&amp;"")</f>
        <v/>
      </c>
      <c r="H1017" s="10">
        <f>IF($BI1017="","",IF($B1017="Onsite",INDEX(tbl_Onsite[Cost Centre],$BI1017),IF($B1017="Production",INDEX(tbl_Production[Cost Centre],$BI1017),INDEX(tbl_Consulting[Cost Centre],$BI1017)))&amp;"")</f>
        <v/>
      </c>
      <c r="I1017" s="10">
        <f>IF($BI1017="","",IF($B1017="Onsite",INDEX(tbl_Onsite[Invoice Type],$BI1017),IF($B1017="Production",INDEX(tbl_Production[Invoice Type],$BI1017),INDEX(tbl_Consulting[Invoice Type],$BI1017)))&amp;"")</f>
        <v/>
      </c>
      <c r="J1017" s="10">
        <f>IF($BI1017="","",IF($B1017="Onsite",INDEX(tbl_Onsite[Tax Code],$BI1017),IF($B1017="Production",INDEX(tbl_Production[Tax Code],$BI1017),INDEX(tbl_Consulting[Tax Code],$BI1017)))&amp;"")</f>
        <v/>
      </c>
      <c r="K1017" s="10">
        <f>IF(H1017="","",IFERROR(INDEX(lst_CCtoGL,MATCH(H1017,lst_CCforGL,0)),""))</f>
        <v/>
      </c>
      <c r="L1017" s="10">
        <f>IF($BI1017="","",IF($B1017="Onsite",INDEX(tbl_Onsite[PO / Reference],$BI1017),IF($B1017="Production",INDEX(tbl_Production[Current RMS No],$BI1017),INDEX(tbl_Consulting[Qwilr Quote],$BI1017)))&amp;"")</f>
        <v/>
      </c>
      <c r="M1017" s="10">
        <f>IF($BI1017="","",IF($B1017="Onsite",INDEX(tbl_Onsite[Notes],$BI1017),IF($B1017="Production",INDEX(tbl_Production[Notes],$BI1017),INDEX(tbl_Consulting[Notes],$BI1017)))&amp;"")</f>
        <v/>
      </c>
      <c r="N1017" s="11">
        <f>IF($BI1017="","",IF(IF($B1017="Onsite",INDEX(tbl_Onsite[Expected Revenue Ex GST],$BI1017),IF($B1017="Production",INDEX(tbl_Production[Expected Revenue Ex GST],$BI1017),INDEX(tbl_Consulting[Expected Revenue Ex GST],$BI1017)))="","",IF($B1017="Onsite",INDEX(tbl_Onsite[Expected Revenue Ex GST],$BI1017),IF($B1017="Production",INDEX(tbl_Production[Expected Revenue Ex GST],$BI1017),INDEX(tbl_Consulting[Expected Revenue Ex GST],$BI1017)))))</f>
        <v/>
      </c>
      <c r="O1017" s="11">
        <f>IF(AND($C1017="",NOT(COUNTA($S1017:$BB1017)&gt;0)),"",SUM(U1017,X1017,AA1017,AD1017,AG1017,AJ1017,AM1017,AP1017,AS1017,AV1017,AY1017,BB1017))</f>
        <v/>
      </c>
      <c r="P1017" s="11">
        <f>IF(O1017="","",N(N1017)-O1017)</f>
        <v/>
      </c>
      <c r="Q1017" s="10">
        <f>IF(O1017="","",IF($C1017="","Invoice on empty job row",IF(N1017="",IF(ROUND(O1017,2)=0,"No dept value","Invoiced - no dept value"),IF(ROUND(O1017,2)=0,"Not invoiced - to invoice",IF(ROUND(P1017,2)=0,"Agrees",IF(P1017&gt;0,"Dept higher - to invoice","Xero higher - check dept"))))))</f>
        <v/>
      </c>
      <c r="R1017" s="10">
        <f>IF(AND($C1017="",NOT(COUNTA($S1017:$BB1017)&gt;0),$BI1017&lt;&gt;""),"",MID(IF($BI1017="","; Row ID not found on the department sheet - a row was deleted","")&amp;IF(AND($C1017="",COUNTA($S1017:$BB1017)&gt;0),"; Invoice entered but the department row has no job number","")&amp;IF(E1017="CHECK","; Job number not in the Xero job list","")&amp;IF(AND($C1017&lt;&gt;"",COUNTIF($C$7:$C$1506,$C1017)&gt;1),"; Job number on more than one row","")&amp;IF(AND($C1017&lt;&gt;"",H1017=""),"; Dept has not set a cost centre","")&amp;IF(AND($C1017&lt;&gt;"",J1017=""),"; Dept has not set a tax code","")&amp;IF(AND($C1017&lt;&gt;"",N1017=""),"; Dept has not entered an expected value","")&amp;IF((IF(OR(COUNTA(S1017:U1017)=0,AND(COUNTA(S1017:U1017)=3,ISNUMBER(U1017))),0,1)+IF(OR(COUNTA(V1017:X1017)=0,AND(COUNTA(V1017:X1017)=3,ISNUMBER(X1017))),0,1)+IF(OR(COUNTA(Y1017:AA1017)=0,AND(COUNTA(Y1017:AA1017)=3,ISNUMBER(AA1017))),0,1)+IF(OR(COUNTA(AB1017:AD1017)=0,AND(COUNTA(AB1017:AD1017)=3,ISNUMBER(AD1017))),0,1)+IF(OR(COUNTA(AE1017:AG1017)=0,AND(COUNTA(AE1017:AG1017)=3,ISNUMBER(AG1017))),0,1)+IF(OR(COUNTA(AH1017:AJ1017)=0,AND(COUNTA(AH1017:AJ1017)=3,ISNUMBER(AJ1017))),0,1)+IF(OR(COUNTA(AK1017:AM1017)=0,AND(COUNTA(AK1017:AM1017)=3,ISNUMBER(AM1017))),0,1)+IF(OR(COUNTA(AN1017:AP1017)=0,AND(COUNTA(AN1017:AP1017)=3,ISNUMBER(AP1017))),0,1)+IF(OR(COUNTA(AQ1017:AS1017)=0,AND(COUNTA(AQ1017:AS1017)=3,ISNUMBER(AS1017))),0,1)+IF(OR(COUNTA(AT1017:AV1017)=0,AND(COUNTA(AT1017:AV1017)=3,ISNUMBER(AV1017))),0,1)+IF(OR(COUNTA(AW1017:AY1017)=0,AND(COUNTA(AW1017:AY1017)=3,ISNUMBER(AY1017))),0,1)+IF(OR(COUNTA(AZ1017:BB1017)=0,AND(COUNTA(AZ1017:BB1017)=3,ISNUMBER(BB1017))),0,1))&gt;0,"; An invoice is incomplete (needs No, Date and a number in Ex GST)","")&amp;IF((IF(T1017="",0,IFERROR(--(EOMONTH(T1017,0)&lt;&gt;S$5),1))+IF(W1017="",0,IFERROR(--(EOMONTH(W1017,0)&lt;&gt;V$5),1))+IF(Z1017="",0,IFERROR(--(EOMONTH(Z1017,0)&lt;&gt;Y$5),1))+IF(AC1017="",0,IFERROR(--(EOMONTH(AC1017,0)&lt;&gt;AB$5),1))+IF(AF1017="",0,IFERROR(--(EOMONTH(AF1017,0)&lt;&gt;AE$5),1))+IF(AI1017="",0,IFERROR(--(EOMONTH(AI1017,0)&lt;&gt;AH$5),1))+IF(AL1017="",0,IFERROR(--(EOMONTH(AL1017,0)&lt;&gt;AK$5),1))+IF(AO1017="",0,IFERROR(--(EOMONTH(AO1017,0)&lt;&gt;AN$5),1))+IF(AR1017="",0,IFERROR(--(EOMONTH(AR1017,0)&lt;&gt;AQ$5),1))+IF(AU1017="",0,IFERROR(--(EOMONTH(AU1017,0)&lt;&gt;AT$5),1))+IF(AX1017="",0,IFERROR(--(EOMONTH(AX1017,0)&lt;&gt;AW$5),1))+IF(BA1017="",0,IFERROR(--(EOMONTH(BA1017,0)&lt;&gt;AZ$5),1)))&gt;0,"; An invoice date is not in the month it is typed under",""),3,500))</f>
        <v/>
      </c>
      <c r="S1017" s="12" t="n"/>
      <c r="T1017" s="13" t="n"/>
      <c r="U1017" s="14" t="n"/>
      <c r="V1017" s="12" t="n"/>
      <c r="W1017" s="13" t="n"/>
      <c r="X1017" s="14" t="n"/>
      <c r="Y1017" s="12" t="n"/>
      <c r="Z1017" s="13" t="n"/>
      <c r="AA1017" s="14" t="n"/>
      <c r="AB1017" s="12" t="n"/>
      <c r="AC1017" s="13" t="n"/>
      <c r="AD1017" s="14" t="n"/>
      <c r="AE1017" s="12" t="n"/>
      <c r="AF1017" s="13" t="n"/>
      <c r="AG1017" s="14" t="n"/>
      <c r="AH1017" s="12" t="n"/>
      <c r="AI1017" s="13" t="n"/>
      <c r="AJ1017" s="14" t="n"/>
      <c r="AK1017" s="12" t="n"/>
      <c r="AL1017" s="13" t="n"/>
      <c r="AM1017" s="14" t="n"/>
      <c r="AN1017" s="12" t="n"/>
      <c r="AO1017" s="13" t="n"/>
      <c r="AP1017" s="14" t="n"/>
      <c r="AQ1017" s="12" t="n"/>
      <c r="AR1017" s="13" t="n"/>
      <c r="AS1017" s="14" t="n"/>
      <c r="AT1017" s="12" t="n"/>
      <c r="AU1017" s="13" t="n"/>
      <c r="AV1017" s="14" t="n"/>
      <c r="AW1017" s="12" t="n"/>
      <c r="AX1017" s="13" t="n"/>
      <c r="AY1017" s="14" t="n"/>
      <c r="AZ1017" s="12" t="n"/>
      <c r="BA1017" s="13" t="n"/>
      <c r="BB1017" s="14" t="n"/>
      <c r="BC1017" s="11">
        <f>IF(O1017="","",IF(J1017="GST 10%",ROUND(O1017*set_GSTRate,2),0))</f>
        <v/>
      </c>
      <c r="BD1017" s="11">
        <f>IF(O1017="","",O1017+BC1017)</f>
        <v/>
      </c>
      <c r="BE1017" s="15">
        <f>IF(O1017="","",COUNTA(S1017,V1017,Y1017,AB1017,AE1017,AH1017,AK1017,AN1017,AQ1017,AT1017,AW1017,AZ1017))</f>
        <v/>
      </c>
      <c r="BF1017" s="16">
        <f>IF(COUNT(T1017,W1017,Z1017,AC1017,AF1017,AI1017,AL1017,AO1017,AR1017,AU1017,AX1017,BA1017)=0,"",MAX(T1017,W1017,Z1017,AC1017,AF1017,AI1017,AL1017,AO1017,AR1017,AU1017,AX1017,BA1017))</f>
        <v/>
      </c>
      <c r="BG1017" s="10">
        <f>MID(IF(S1017="","",", "&amp;S1017)&amp;IF(V1017="","",", "&amp;V1017)&amp;IF(Y1017="","",", "&amp;Y1017)&amp;IF(AB1017="","",", "&amp;AB1017)&amp;IF(AE1017="","",", "&amp;AE1017)&amp;IF(AH1017="","",", "&amp;AH1017)&amp;IF(AK1017="","",", "&amp;AK1017)&amp;IF(AN1017="","",", "&amp;AN1017)&amp;IF(AQ1017="","",", "&amp;AQ1017)&amp;IF(AT1017="","",", "&amp;AT1017)&amp;IF(AW1017="","",", "&amp;AW1017)&amp;IF(AZ1017="","",", "&amp;AZ1017),3,500)</f>
        <v/>
      </c>
      <c r="BH1017" s="12" t="n"/>
      <c r="BI1017" s="15">
        <f>IFERROR(MATCH($A1017,IF($B1017="Onsite",tbl_Onsite[Row ID],IF($B1017="Production",tbl_Production[Row ID],tbl_Consulting[Row ID])),0),"")</f>
        <v/>
      </c>
    </row>
    <row r="1018">
      <c r="A1018" s="10" t="inlineStr">
        <is>
          <t>CON-0012</t>
        </is>
      </c>
      <c r="B1018" s="10" t="inlineStr">
        <is>
          <t>Consulting</t>
        </is>
      </c>
      <c r="C1018" s="10">
        <f>IF($BI1018="","",IF($B1018="Onsite",INDEX(tbl_Onsite[Job Number],$BI1018),IF($B1018="Production",INDEX(tbl_Production[Job Number],$BI1018),INDEX(tbl_Consulting[Job Number],$BI1018)))&amp;"")</f>
        <v/>
      </c>
      <c r="D1018" s="10">
        <f>IF($BI1018="","",IF($B1018="Onsite",INDEX(tbl_Onsite[Client],$BI1018),IF($B1018="Production",INDEX(tbl_Production[Client],$BI1018),INDEX(tbl_Consulting[Client],$BI1018)))&amp;"")</f>
        <v/>
      </c>
      <c r="E1018" s="10">
        <f>IF($C1018="","",IF(COUNTIF(lst_Jobs,$C1018)&gt;0,"OK","CHECK"))</f>
        <v/>
      </c>
      <c r="F1018" s="10">
        <f>IF($C1018="","",IFERROR(INDEX(lst_JobName,MATCH($C1018,lst_Jobs,0)),""))</f>
        <v/>
      </c>
      <c r="G1018" s="10">
        <f>IF($BI1018="","",IF($B1018="Onsite",INDEX(tbl_Onsite[Job Description],$BI1018),IF($B1018="Production",INDEX(tbl_Production[Job Description],$BI1018),INDEX(tbl_Consulting[Job Description],$BI1018)))&amp;"")</f>
        <v/>
      </c>
      <c r="H1018" s="10">
        <f>IF($BI1018="","",IF($B1018="Onsite",INDEX(tbl_Onsite[Cost Centre],$BI1018),IF($B1018="Production",INDEX(tbl_Production[Cost Centre],$BI1018),INDEX(tbl_Consulting[Cost Centre],$BI1018)))&amp;"")</f>
        <v/>
      </c>
      <c r="I1018" s="10">
        <f>IF($BI1018="","",IF($B1018="Onsite",INDEX(tbl_Onsite[Invoice Type],$BI1018),IF($B1018="Production",INDEX(tbl_Production[Invoice Type],$BI1018),INDEX(tbl_Consulting[Invoice Type],$BI1018)))&amp;"")</f>
        <v/>
      </c>
      <c r="J1018" s="10">
        <f>IF($BI1018="","",IF($B1018="Onsite",INDEX(tbl_Onsite[Tax Code],$BI1018),IF($B1018="Production",INDEX(tbl_Production[Tax Code],$BI1018),INDEX(tbl_Consulting[Tax Code],$BI1018)))&amp;"")</f>
        <v/>
      </c>
      <c r="K1018" s="10">
        <f>IF(H1018="","",IFERROR(INDEX(lst_CCtoGL,MATCH(H1018,lst_CCforGL,0)),""))</f>
        <v/>
      </c>
      <c r="L1018" s="10">
        <f>IF($BI1018="","",IF($B1018="Onsite",INDEX(tbl_Onsite[PO / Reference],$BI1018),IF($B1018="Production",INDEX(tbl_Production[Current RMS No],$BI1018),INDEX(tbl_Consulting[Qwilr Quote],$BI1018)))&amp;"")</f>
        <v/>
      </c>
      <c r="M1018" s="10">
        <f>IF($BI1018="","",IF($B1018="Onsite",INDEX(tbl_Onsite[Notes],$BI1018),IF($B1018="Production",INDEX(tbl_Production[Notes],$BI1018),INDEX(tbl_Consulting[Notes],$BI1018)))&amp;"")</f>
        <v/>
      </c>
      <c r="N1018" s="11">
        <f>IF($BI1018="","",IF(IF($B1018="Onsite",INDEX(tbl_Onsite[Expected Revenue Ex GST],$BI1018),IF($B1018="Production",INDEX(tbl_Production[Expected Revenue Ex GST],$BI1018),INDEX(tbl_Consulting[Expected Revenue Ex GST],$BI1018)))="","",IF($B1018="Onsite",INDEX(tbl_Onsite[Expected Revenue Ex GST],$BI1018),IF($B1018="Production",INDEX(tbl_Production[Expected Revenue Ex GST],$BI1018),INDEX(tbl_Consulting[Expected Revenue Ex GST],$BI1018)))))</f>
        <v/>
      </c>
      <c r="O1018" s="11">
        <f>IF(AND($C1018="",NOT(COUNTA($S1018:$BB1018)&gt;0)),"",SUM(U1018,X1018,AA1018,AD1018,AG1018,AJ1018,AM1018,AP1018,AS1018,AV1018,AY1018,BB1018))</f>
        <v/>
      </c>
      <c r="P1018" s="11">
        <f>IF(O1018="","",N(N1018)-O1018)</f>
        <v/>
      </c>
      <c r="Q1018" s="10">
        <f>IF(O1018="","",IF($C1018="","Invoice on empty job row",IF(N1018="",IF(ROUND(O1018,2)=0,"No dept value","Invoiced - no dept value"),IF(ROUND(O1018,2)=0,"Not invoiced - to invoice",IF(ROUND(P1018,2)=0,"Agrees",IF(P1018&gt;0,"Dept higher - to invoice","Xero higher - check dept"))))))</f>
        <v/>
      </c>
      <c r="R1018" s="10">
        <f>IF(AND($C1018="",NOT(COUNTA($S1018:$BB1018)&gt;0),$BI1018&lt;&gt;""),"",MID(IF($BI1018="","; Row ID not found on the department sheet - a row was deleted","")&amp;IF(AND($C1018="",COUNTA($S1018:$BB1018)&gt;0),"; Invoice entered but the department row has no job number","")&amp;IF(E1018="CHECK","; Job number not in the Xero job list","")&amp;IF(AND($C1018&lt;&gt;"",COUNTIF($C$7:$C$1506,$C1018)&gt;1),"; Job number on more than one row","")&amp;IF(AND($C1018&lt;&gt;"",H1018=""),"; Dept has not set a cost centre","")&amp;IF(AND($C1018&lt;&gt;"",J1018=""),"; Dept has not set a tax code","")&amp;IF(AND($C1018&lt;&gt;"",N1018=""),"; Dept has not entered an expected value","")&amp;IF((IF(OR(COUNTA(S1018:U1018)=0,AND(COUNTA(S1018:U1018)=3,ISNUMBER(U1018))),0,1)+IF(OR(COUNTA(V1018:X1018)=0,AND(COUNTA(V1018:X1018)=3,ISNUMBER(X1018))),0,1)+IF(OR(COUNTA(Y1018:AA1018)=0,AND(COUNTA(Y1018:AA1018)=3,ISNUMBER(AA1018))),0,1)+IF(OR(COUNTA(AB1018:AD1018)=0,AND(COUNTA(AB1018:AD1018)=3,ISNUMBER(AD1018))),0,1)+IF(OR(COUNTA(AE1018:AG1018)=0,AND(COUNTA(AE1018:AG1018)=3,ISNUMBER(AG1018))),0,1)+IF(OR(COUNTA(AH1018:AJ1018)=0,AND(COUNTA(AH1018:AJ1018)=3,ISNUMBER(AJ1018))),0,1)+IF(OR(COUNTA(AK1018:AM1018)=0,AND(COUNTA(AK1018:AM1018)=3,ISNUMBER(AM1018))),0,1)+IF(OR(COUNTA(AN1018:AP1018)=0,AND(COUNTA(AN1018:AP1018)=3,ISNUMBER(AP1018))),0,1)+IF(OR(COUNTA(AQ1018:AS1018)=0,AND(COUNTA(AQ1018:AS1018)=3,ISNUMBER(AS1018))),0,1)+IF(OR(COUNTA(AT1018:AV1018)=0,AND(COUNTA(AT1018:AV1018)=3,ISNUMBER(AV1018))),0,1)+IF(OR(COUNTA(AW1018:AY1018)=0,AND(COUNTA(AW1018:AY1018)=3,ISNUMBER(AY1018))),0,1)+IF(OR(COUNTA(AZ1018:BB1018)=0,AND(COUNTA(AZ1018:BB1018)=3,ISNUMBER(BB1018))),0,1))&gt;0,"; An invoice is incomplete (needs No, Date and a number in Ex GST)","")&amp;IF((IF(T1018="",0,IFERROR(--(EOMONTH(T1018,0)&lt;&gt;S$5),1))+IF(W1018="",0,IFERROR(--(EOMONTH(W1018,0)&lt;&gt;V$5),1))+IF(Z1018="",0,IFERROR(--(EOMONTH(Z1018,0)&lt;&gt;Y$5),1))+IF(AC1018="",0,IFERROR(--(EOMONTH(AC1018,0)&lt;&gt;AB$5),1))+IF(AF1018="",0,IFERROR(--(EOMONTH(AF1018,0)&lt;&gt;AE$5),1))+IF(AI1018="",0,IFERROR(--(EOMONTH(AI1018,0)&lt;&gt;AH$5),1))+IF(AL1018="",0,IFERROR(--(EOMONTH(AL1018,0)&lt;&gt;AK$5),1))+IF(AO1018="",0,IFERROR(--(EOMONTH(AO1018,0)&lt;&gt;AN$5),1))+IF(AR1018="",0,IFERROR(--(EOMONTH(AR1018,0)&lt;&gt;AQ$5),1))+IF(AU1018="",0,IFERROR(--(EOMONTH(AU1018,0)&lt;&gt;AT$5),1))+IF(AX1018="",0,IFERROR(--(EOMONTH(AX1018,0)&lt;&gt;AW$5),1))+IF(BA1018="",0,IFERROR(--(EOMONTH(BA1018,0)&lt;&gt;AZ$5),1)))&gt;0,"; An invoice date is not in the month it is typed under",""),3,500))</f>
        <v/>
      </c>
      <c r="S1018" s="12" t="n"/>
      <c r="T1018" s="13" t="n"/>
      <c r="U1018" s="14" t="n"/>
      <c r="V1018" s="12" t="n"/>
      <c r="W1018" s="13" t="n"/>
      <c r="X1018" s="14" t="n"/>
      <c r="Y1018" s="12" t="n"/>
      <c r="Z1018" s="13" t="n"/>
      <c r="AA1018" s="14" t="n"/>
      <c r="AB1018" s="12" t="n"/>
      <c r="AC1018" s="13" t="n"/>
      <c r="AD1018" s="14" t="n"/>
      <c r="AE1018" s="12" t="n"/>
      <c r="AF1018" s="13" t="n"/>
      <c r="AG1018" s="14" t="n"/>
      <c r="AH1018" s="12" t="n"/>
      <c r="AI1018" s="13" t="n"/>
      <c r="AJ1018" s="14" t="n"/>
      <c r="AK1018" s="12" t="n"/>
      <c r="AL1018" s="13" t="n"/>
      <c r="AM1018" s="14" t="n"/>
      <c r="AN1018" s="12" t="n"/>
      <c r="AO1018" s="13" t="n"/>
      <c r="AP1018" s="14" t="n"/>
      <c r="AQ1018" s="12" t="n"/>
      <c r="AR1018" s="13" t="n"/>
      <c r="AS1018" s="14" t="n"/>
      <c r="AT1018" s="12" t="n"/>
      <c r="AU1018" s="13" t="n"/>
      <c r="AV1018" s="14" t="n"/>
      <c r="AW1018" s="12" t="n"/>
      <c r="AX1018" s="13" t="n"/>
      <c r="AY1018" s="14" t="n"/>
      <c r="AZ1018" s="12" t="n"/>
      <c r="BA1018" s="13" t="n"/>
      <c r="BB1018" s="14" t="n"/>
      <c r="BC1018" s="11">
        <f>IF(O1018="","",IF(J1018="GST 10%",ROUND(O1018*set_GSTRate,2),0))</f>
        <v/>
      </c>
      <c r="BD1018" s="11">
        <f>IF(O1018="","",O1018+BC1018)</f>
        <v/>
      </c>
      <c r="BE1018" s="15">
        <f>IF(O1018="","",COUNTA(S1018,V1018,Y1018,AB1018,AE1018,AH1018,AK1018,AN1018,AQ1018,AT1018,AW1018,AZ1018))</f>
        <v/>
      </c>
      <c r="BF1018" s="16">
        <f>IF(COUNT(T1018,W1018,Z1018,AC1018,AF1018,AI1018,AL1018,AO1018,AR1018,AU1018,AX1018,BA1018)=0,"",MAX(T1018,W1018,Z1018,AC1018,AF1018,AI1018,AL1018,AO1018,AR1018,AU1018,AX1018,BA1018))</f>
        <v/>
      </c>
      <c r="BG1018" s="10">
        <f>MID(IF(S1018="","",", "&amp;S1018)&amp;IF(V1018="","",", "&amp;V1018)&amp;IF(Y1018="","",", "&amp;Y1018)&amp;IF(AB1018="","",", "&amp;AB1018)&amp;IF(AE1018="","",", "&amp;AE1018)&amp;IF(AH1018="","",", "&amp;AH1018)&amp;IF(AK1018="","",", "&amp;AK1018)&amp;IF(AN1018="","",", "&amp;AN1018)&amp;IF(AQ1018="","",", "&amp;AQ1018)&amp;IF(AT1018="","",", "&amp;AT1018)&amp;IF(AW1018="","",", "&amp;AW1018)&amp;IF(AZ1018="","",", "&amp;AZ1018),3,500)</f>
        <v/>
      </c>
      <c r="BH1018" s="12" t="n"/>
      <c r="BI1018" s="15">
        <f>IFERROR(MATCH($A1018,IF($B1018="Onsite",tbl_Onsite[Row ID],IF($B1018="Production",tbl_Production[Row ID],tbl_Consulting[Row ID])),0),"")</f>
        <v/>
      </c>
    </row>
    <row r="1019">
      <c r="A1019" s="10" t="inlineStr">
        <is>
          <t>CON-0013</t>
        </is>
      </c>
      <c r="B1019" s="10" t="inlineStr">
        <is>
          <t>Consulting</t>
        </is>
      </c>
      <c r="C1019" s="10">
        <f>IF($BI1019="","",IF($B1019="Onsite",INDEX(tbl_Onsite[Job Number],$BI1019),IF($B1019="Production",INDEX(tbl_Production[Job Number],$BI1019),INDEX(tbl_Consulting[Job Number],$BI1019)))&amp;"")</f>
        <v/>
      </c>
      <c r="D1019" s="10">
        <f>IF($BI1019="","",IF($B1019="Onsite",INDEX(tbl_Onsite[Client],$BI1019),IF($B1019="Production",INDEX(tbl_Production[Client],$BI1019),INDEX(tbl_Consulting[Client],$BI1019)))&amp;"")</f>
        <v/>
      </c>
      <c r="E1019" s="10">
        <f>IF($C1019="","",IF(COUNTIF(lst_Jobs,$C1019)&gt;0,"OK","CHECK"))</f>
        <v/>
      </c>
      <c r="F1019" s="10">
        <f>IF($C1019="","",IFERROR(INDEX(lst_JobName,MATCH($C1019,lst_Jobs,0)),""))</f>
        <v/>
      </c>
      <c r="G1019" s="10">
        <f>IF($BI1019="","",IF($B1019="Onsite",INDEX(tbl_Onsite[Job Description],$BI1019),IF($B1019="Production",INDEX(tbl_Production[Job Description],$BI1019),INDEX(tbl_Consulting[Job Description],$BI1019)))&amp;"")</f>
        <v/>
      </c>
      <c r="H1019" s="10">
        <f>IF($BI1019="","",IF($B1019="Onsite",INDEX(tbl_Onsite[Cost Centre],$BI1019),IF($B1019="Production",INDEX(tbl_Production[Cost Centre],$BI1019),INDEX(tbl_Consulting[Cost Centre],$BI1019)))&amp;"")</f>
        <v/>
      </c>
      <c r="I1019" s="10">
        <f>IF($BI1019="","",IF($B1019="Onsite",INDEX(tbl_Onsite[Invoice Type],$BI1019),IF($B1019="Production",INDEX(tbl_Production[Invoice Type],$BI1019),INDEX(tbl_Consulting[Invoice Type],$BI1019)))&amp;"")</f>
        <v/>
      </c>
      <c r="J1019" s="10">
        <f>IF($BI1019="","",IF($B1019="Onsite",INDEX(tbl_Onsite[Tax Code],$BI1019),IF($B1019="Production",INDEX(tbl_Production[Tax Code],$BI1019),INDEX(tbl_Consulting[Tax Code],$BI1019)))&amp;"")</f>
        <v/>
      </c>
      <c r="K1019" s="10">
        <f>IF(H1019="","",IFERROR(INDEX(lst_CCtoGL,MATCH(H1019,lst_CCforGL,0)),""))</f>
        <v/>
      </c>
      <c r="L1019" s="10">
        <f>IF($BI1019="","",IF($B1019="Onsite",INDEX(tbl_Onsite[PO / Reference],$BI1019),IF($B1019="Production",INDEX(tbl_Production[Current RMS No],$BI1019),INDEX(tbl_Consulting[Qwilr Quote],$BI1019)))&amp;"")</f>
        <v/>
      </c>
      <c r="M1019" s="10">
        <f>IF($BI1019="","",IF($B1019="Onsite",INDEX(tbl_Onsite[Notes],$BI1019),IF($B1019="Production",INDEX(tbl_Production[Notes],$BI1019),INDEX(tbl_Consulting[Notes],$BI1019)))&amp;"")</f>
        <v/>
      </c>
      <c r="N1019" s="11">
        <f>IF($BI1019="","",IF(IF($B1019="Onsite",INDEX(tbl_Onsite[Expected Revenue Ex GST],$BI1019),IF($B1019="Production",INDEX(tbl_Production[Expected Revenue Ex GST],$BI1019),INDEX(tbl_Consulting[Expected Revenue Ex GST],$BI1019)))="","",IF($B1019="Onsite",INDEX(tbl_Onsite[Expected Revenue Ex GST],$BI1019),IF($B1019="Production",INDEX(tbl_Production[Expected Revenue Ex GST],$BI1019),INDEX(tbl_Consulting[Expected Revenue Ex GST],$BI1019)))))</f>
        <v/>
      </c>
      <c r="O1019" s="11">
        <f>IF(AND($C1019="",NOT(COUNTA($S1019:$BB1019)&gt;0)),"",SUM(U1019,X1019,AA1019,AD1019,AG1019,AJ1019,AM1019,AP1019,AS1019,AV1019,AY1019,BB1019))</f>
        <v/>
      </c>
      <c r="P1019" s="11">
        <f>IF(O1019="","",N(N1019)-O1019)</f>
        <v/>
      </c>
      <c r="Q1019" s="10">
        <f>IF(O1019="","",IF($C1019="","Invoice on empty job row",IF(N1019="",IF(ROUND(O1019,2)=0,"No dept value","Invoiced - no dept value"),IF(ROUND(O1019,2)=0,"Not invoiced - to invoice",IF(ROUND(P1019,2)=0,"Agrees",IF(P1019&gt;0,"Dept higher - to invoice","Xero higher - check dept"))))))</f>
        <v/>
      </c>
      <c r="R1019" s="10">
        <f>IF(AND($C1019="",NOT(COUNTA($S1019:$BB1019)&gt;0),$BI1019&lt;&gt;""),"",MID(IF($BI1019="","; Row ID not found on the department sheet - a row was deleted","")&amp;IF(AND($C1019="",COUNTA($S1019:$BB1019)&gt;0),"; Invoice entered but the department row has no job number","")&amp;IF(E1019="CHECK","; Job number not in the Xero job list","")&amp;IF(AND($C1019&lt;&gt;"",COUNTIF($C$7:$C$1506,$C1019)&gt;1),"; Job number on more than one row","")&amp;IF(AND($C1019&lt;&gt;"",H1019=""),"; Dept has not set a cost centre","")&amp;IF(AND($C1019&lt;&gt;"",J1019=""),"; Dept has not set a tax code","")&amp;IF(AND($C1019&lt;&gt;"",N1019=""),"; Dept has not entered an expected value","")&amp;IF((IF(OR(COUNTA(S1019:U1019)=0,AND(COUNTA(S1019:U1019)=3,ISNUMBER(U1019))),0,1)+IF(OR(COUNTA(V1019:X1019)=0,AND(COUNTA(V1019:X1019)=3,ISNUMBER(X1019))),0,1)+IF(OR(COUNTA(Y1019:AA1019)=0,AND(COUNTA(Y1019:AA1019)=3,ISNUMBER(AA1019))),0,1)+IF(OR(COUNTA(AB1019:AD1019)=0,AND(COUNTA(AB1019:AD1019)=3,ISNUMBER(AD1019))),0,1)+IF(OR(COUNTA(AE1019:AG1019)=0,AND(COUNTA(AE1019:AG1019)=3,ISNUMBER(AG1019))),0,1)+IF(OR(COUNTA(AH1019:AJ1019)=0,AND(COUNTA(AH1019:AJ1019)=3,ISNUMBER(AJ1019))),0,1)+IF(OR(COUNTA(AK1019:AM1019)=0,AND(COUNTA(AK1019:AM1019)=3,ISNUMBER(AM1019))),0,1)+IF(OR(COUNTA(AN1019:AP1019)=0,AND(COUNTA(AN1019:AP1019)=3,ISNUMBER(AP1019))),0,1)+IF(OR(COUNTA(AQ1019:AS1019)=0,AND(COUNTA(AQ1019:AS1019)=3,ISNUMBER(AS1019))),0,1)+IF(OR(COUNTA(AT1019:AV1019)=0,AND(COUNTA(AT1019:AV1019)=3,ISNUMBER(AV1019))),0,1)+IF(OR(COUNTA(AW1019:AY1019)=0,AND(COUNTA(AW1019:AY1019)=3,ISNUMBER(AY1019))),0,1)+IF(OR(COUNTA(AZ1019:BB1019)=0,AND(COUNTA(AZ1019:BB1019)=3,ISNUMBER(BB1019))),0,1))&gt;0,"; An invoice is incomplete (needs No, Date and a number in Ex GST)","")&amp;IF((IF(T1019="",0,IFERROR(--(EOMONTH(T1019,0)&lt;&gt;S$5),1))+IF(W1019="",0,IFERROR(--(EOMONTH(W1019,0)&lt;&gt;V$5),1))+IF(Z1019="",0,IFERROR(--(EOMONTH(Z1019,0)&lt;&gt;Y$5),1))+IF(AC1019="",0,IFERROR(--(EOMONTH(AC1019,0)&lt;&gt;AB$5),1))+IF(AF1019="",0,IFERROR(--(EOMONTH(AF1019,0)&lt;&gt;AE$5),1))+IF(AI1019="",0,IFERROR(--(EOMONTH(AI1019,0)&lt;&gt;AH$5),1))+IF(AL1019="",0,IFERROR(--(EOMONTH(AL1019,0)&lt;&gt;AK$5),1))+IF(AO1019="",0,IFERROR(--(EOMONTH(AO1019,0)&lt;&gt;AN$5),1))+IF(AR1019="",0,IFERROR(--(EOMONTH(AR1019,0)&lt;&gt;AQ$5),1))+IF(AU1019="",0,IFERROR(--(EOMONTH(AU1019,0)&lt;&gt;AT$5),1))+IF(AX1019="",0,IFERROR(--(EOMONTH(AX1019,0)&lt;&gt;AW$5),1))+IF(BA1019="",0,IFERROR(--(EOMONTH(BA1019,0)&lt;&gt;AZ$5),1)))&gt;0,"; An invoice date is not in the month it is typed under",""),3,500))</f>
        <v/>
      </c>
      <c r="S1019" s="12" t="n"/>
      <c r="T1019" s="13" t="n"/>
      <c r="U1019" s="14" t="n"/>
      <c r="V1019" s="12" t="n"/>
      <c r="W1019" s="13" t="n"/>
      <c r="X1019" s="14" t="n"/>
      <c r="Y1019" s="12" t="n"/>
      <c r="Z1019" s="13" t="n"/>
      <c r="AA1019" s="14" t="n"/>
      <c r="AB1019" s="12" t="n"/>
      <c r="AC1019" s="13" t="n"/>
      <c r="AD1019" s="14" t="n"/>
      <c r="AE1019" s="12" t="n"/>
      <c r="AF1019" s="13" t="n"/>
      <c r="AG1019" s="14" t="n"/>
      <c r="AH1019" s="12" t="n"/>
      <c r="AI1019" s="13" t="n"/>
      <c r="AJ1019" s="14" t="n"/>
      <c r="AK1019" s="12" t="n"/>
      <c r="AL1019" s="13" t="n"/>
      <c r="AM1019" s="14" t="n"/>
      <c r="AN1019" s="12" t="n"/>
      <c r="AO1019" s="13" t="n"/>
      <c r="AP1019" s="14" t="n"/>
      <c r="AQ1019" s="12" t="n"/>
      <c r="AR1019" s="13" t="n"/>
      <c r="AS1019" s="14" t="n"/>
      <c r="AT1019" s="12" t="n"/>
      <c r="AU1019" s="13" t="n"/>
      <c r="AV1019" s="14" t="n"/>
      <c r="AW1019" s="12" t="n"/>
      <c r="AX1019" s="13" t="n"/>
      <c r="AY1019" s="14" t="n"/>
      <c r="AZ1019" s="12" t="n"/>
      <c r="BA1019" s="13" t="n"/>
      <c r="BB1019" s="14" t="n"/>
      <c r="BC1019" s="11">
        <f>IF(O1019="","",IF(J1019="GST 10%",ROUND(O1019*set_GSTRate,2),0))</f>
        <v/>
      </c>
      <c r="BD1019" s="11">
        <f>IF(O1019="","",O1019+BC1019)</f>
        <v/>
      </c>
      <c r="BE1019" s="15">
        <f>IF(O1019="","",COUNTA(S1019,V1019,Y1019,AB1019,AE1019,AH1019,AK1019,AN1019,AQ1019,AT1019,AW1019,AZ1019))</f>
        <v/>
      </c>
      <c r="BF1019" s="16">
        <f>IF(COUNT(T1019,W1019,Z1019,AC1019,AF1019,AI1019,AL1019,AO1019,AR1019,AU1019,AX1019,BA1019)=0,"",MAX(T1019,W1019,Z1019,AC1019,AF1019,AI1019,AL1019,AO1019,AR1019,AU1019,AX1019,BA1019))</f>
        <v/>
      </c>
      <c r="BG1019" s="10">
        <f>MID(IF(S1019="","",", "&amp;S1019)&amp;IF(V1019="","",", "&amp;V1019)&amp;IF(Y1019="","",", "&amp;Y1019)&amp;IF(AB1019="","",", "&amp;AB1019)&amp;IF(AE1019="","",", "&amp;AE1019)&amp;IF(AH1019="","",", "&amp;AH1019)&amp;IF(AK1019="","",", "&amp;AK1019)&amp;IF(AN1019="","",", "&amp;AN1019)&amp;IF(AQ1019="","",", "&amp;AQ1019)&amp;IF(AT1019="","",", "&amp;AT1019)&amp;IF(AW1019="","",", "&amp;AW1019)&amp;IF(AZ1019="","",", "&amp;AZ1019),3,500)</f>
        <v/>
      </c>
      <c r="BH1019" s="12" t="n"/>
      <c r="BI1019" s="15">
        <f>IFERROR(MATCH($A1019,IF($B1019="Onsite",tbl_Onsite[Row ID],IF($B1019="Production",tbl_Production[Row ID],tbl_Consulting[Row ID])),0),"")</f>
        <v/>
      </c>
    </row>
    <row r="1020">
      <c r="A1020" s="10" t="inlineStr">
        <is>
          <t>CON-0014</t>
        </is>
      </c>
      <c r="B1020" s="10" t="inlineStr">
        <is>
          <t>Consulting</t>
        </is>
      </c>
      <c r="C1020" s="10">
        <f>IF($BI1020="","",IF($B1020="Onsite",INDEX(tbl_Onsite[Job Number],$BI1020),IF($B1020="Production",INDEX(tbl_Production[Job Number],$BI1020),INDEX(tbl_Consulting[Job Number],$BI1020)))&amp;"")</f>
        <v/>
      </c>
      <c r="D1020" s="10">
        <f>IF($BI1020="","",IF($B1020="Onsite",INDEX(tbl_Onsite[Client],$BI1020),IF($B1020="Production",INDEX(tbl_Production[Client],$BI1020),INDEX(tbl_Consulting[Client],$BI1020)))&amp;"")</f>
        <v/>
      </c>
      <c r="E1020" s="10">
        <f>IF($C1020="","",IF(COUNTIF(lst_Jobs,$C1020)&gt;0,"OK","CHECK"))</f>
        <v/>
      </c>
      <c r="F1020" s="10">
        <f>IF($C1020="","",IFERROR(INDEX(lst_JobName,MATCH($C1020,lst_Jobs,0)),""))</f>
        <v/>
      </c>
      <c r="G1020" s="10">
        <f>IF($BI1020="","",IF($B1020="Onsite",INDEX(tbl_Onsite[Job Description],$BI1020),IF($B1020="Production",INDEX(tbl_Production[Job Description],$BI1020),INDEX(tbl_Consulting[Job Description],$BI1020)))&amp;"")</f>
        <v/>
      </c>
      <c r="H1020" s="10">
        <f>IF($BI1020="","",IF($B1020="Onsite",INDEX(tbl_Onsite[Cost Centre],$BI1020),IF($B1020="Production",INDEX(tbl_Production[Cost Centre],$BI1020),INDEX(tbl_Consulting[Cost Centre],$BI1020)))&amp;"")</f>
        <v/>
      </c>
      <c r="I1020" s="10">
        <f>IF($BI1020="","",IF($B1020="Onsite",INDEX(tbl_Onsite[Invoice Type],$BI1020),IF($B1020="Production",INDEX(tbl_Production[Invoice Type],$BI1020),INDEX(tbl_Consulting[Invoice Type],$BI1020)))&amp;"")</f>
        <v/>
      </c>
      <c r="J1020" s="10">
        <f>IF($BI1020="","",IF($B1020="Onsite",INDEX(tbl_Onsite[Tax Code],$BI1020),IF($B1020="Production",INDEX(tbl_Production[Tax Code],$BI1020),INDEX(tbl_Consulting[Tax Code],$BI1020)))&amp;"")</f>
        <v/>
      </c>
      <c r="K1020" s="10">
        <f>IF(H1020="","",IFERROR(INDEX(lst_CCtoGL,MATCH(H1020,lst_CCforGL,0)),""))</f>
        <v/>
      </c>
      <c r="L1020" s="10">
        <f>IF($BI1020="","",IF($B1020="Onsite",INDEX(tbl_Onsite[PO / Reference],$BI1020),IF($B1020="Production",INDEX(tbl_Production[Current RMS No],$BI1020),INDEX(tbl_Consulting[Qwilr Quote],$BI1020)))&amp;"")</f>
        <v/>
      </c>
      <c r="M1020" s="10">
        <f>IF($BI1020="","",IF($B1020="Onsite",INDEX(tbl_Onsite[Notes],$BI1020),IF($B1020="Production",INDEX(tbl_Production[Notes],$BI1020),INDEX(tbl_Consulting[Notes],$BI1020)))&amp;"")</f>
        <v/>
      </c>
      <c r="N1020" s="11">
        <f>IF($BI1020="","",IF(IF($B1020="Onsite",INDEX(tbl_Onsite[Expected Revenue Ex GST],$BI1020),IF($B1020="Production",INDEX(tbl_Production[Expected Revenue Ex GST],$BI1020),INDEX(tbl_Consulting[Expected Revenue Ex GST],$BI1020)))="","",IF($B1020="Onsite",INDEX(tbl_Onsite[Expected Revenue Ex GST],$BI1020),IF($B1020="Production",INDEX(tbl_Production[Expected Revenue Ex GST],$BI1020),INDEX(tbl_Consulting[Expected Revenue Ex GST],$BI1020)))))</f>
        <v/>
      </c>
      <c r="O1020" s="11">
        <f>IF(AND($C1020="",NOT(COUNTA($S1020:$BB1020)&gt;0)),"",SUM(U1020,X1020,AA1020,AD1020,AG1020,AJ1020,AM1020,AP1020,AS1020,AV1020,AY1020,BB1020))</f>
        <v/>
      </c>
      <c r="P1020" s="11">
        <f>IF(O1020="","",N(N1020)-O1020)</f>
        <v/>
      </c>
      <c r="Q1020" s="10">
        <f>IF(O1020="","",IF($C1020="","Invoice on empty job row",IF(N1020="",IF(ROUND(O1020,2)=0,"No dept value","Invoiced - no dept value"),IF(ROUND(O1020,2)=0,"Not invoiced - to invoice",IF(ROUND(P1020,2)=0,"Agrees",IF(P1020&gt;0,"Dept higher - to invoice","Xero higher - check dept"))))))</f>
        <v/>
      </c>
      <c r="R1020" s="10">
        <f>IF(AND($C1020="",NOT(COUNTA($S1020:$BB1020)&gt;0),$BI1020&lt;&gt;""),"",MID(IF($BI1020="","; Row ID not found on the department sheet - a row was deleted","")&amp;IF(AND($C1020="",COUNTA($S1020:$BB1020)&gt;0),"; Invoice entered but the department row has no job number","")&amp;IF(E1020="CHECK","; Job number not in the Xero job list","")&amp;IF(AND($C1020&lt;&gt;"",COUNTIF($C$7:$C$1506,$C1020)&gt;1),"; Job number on more than one row","")&amp;IF(AND($C1020&lt;&gt;"",H1020=""),"; Dept has not set a cost centre","")&amp;IF(AND($C1020&lt;&gt;"",J1020=""),"; Dept has not set a tax code","")&amp;IF(AND($C1020&lt;&gt;"",N1020=""),"; Dept has not entered an expected value","")&amp;IF((IF(OR(COUNTA(S1020:U1020)=0,AND(COUNTA(S1020:U1020)=3,ISNUMBER(U1020))),0,1)+IF(OR(COUNTA(V1020:X1020)=0,AND(COUNTA(V1020:X1020)=3,ISNUMBER(X1020))),0,1)+IF(OR(COUNTA(Y1020:AA1020)=0,AND(COUNTA(Y1020:AA1020)=3,ISNUMBER(AA1020))),0,1)+IF(OR(COUNTA(AB1020:AD1020)=0,AND(COUNTA(AB1020:AD1020)=3,ISNUMBER(AD1020))),0,1)+IF(OR(COUNTA(AE1020:AG1020)=0,AND(COUNTA(AE1020:AG1020)=3,ISNUMBER(AG1020))),0,1)+IF(OR(COUNTA(AH1020:AJ1020)=0,AND(COUNTA(AH1020:AJ1020)=3,ISNUMBER(AJ1020))),0,1)+IF(OR(COUNTA(AK1020:AM1020)=0,AND(COUNTA(AK1020:AM1020)=3,ISNUMBER(AM1020))),0,1)+IF(OR(COUNTA(AN1020:AP1020)=0,AND(COUNTA(AN1020:AP1020)=3,ISNUMBER(AP1020))),0,1)+IF(OR(COUNTA(AQ1020:AS1020)=0,AND(COUNTA(AQ1020:AS1020)=3,ISNUMBER(AS1020))),0,1)+IF(OR(COUNTA(AT1020:AV1020)=0,AND(COUNTA(AT1020:AV1020)=3,ISNUMBER(AV1020))),0,1)+IF(OR(COUNTA(AW1020:AY1020)=0,AND(COUNTA(AW1020:AY1020)=3,ISNUMBER(AY1020))),0,1)+IF(OR(COUNTA(AZ1020:BB1020)=0,AND(COUNTA(AZ1020:BB1020)=3,ISNUMBER(BB1020))),0,1))&gt;0,"; An invoice is incomplete (needs No, Date and a number in Ex GST)","")&amp;IF((IF(T1020="",0,IFERROR(--(EOMONTH(T1020,0)&lt;&gt;S$5),1))+IF(W1020="",0,IFERROR(--(EOMONTH(W1020,0)&lt;&gt;V$5),1))+IF(Z1020="",0,IFERROR(--(EOMONTH(Z1020,0)&lt;&gt;Y$5),1))+IF(AC1020="",0,IFERROR(--(EOMONTH(AC1020,0)&lt;&gt;AB$5),1))+IF(AF1020="",0,IFERROR(--(EOMONTH(AF1020,0)&lt;&gt;AE$5),1))+IF(AI1020="",0,IFERROR(--(EOMONTH(AI1020,0)&lt;&gt;AH$5),1))+IF(AL1020="",0,IFERROR(--(EOMONTH(AL1020,0)&lt;&gt;AK$5),1))+IF(AO1020="",0,IFERROR(--(EOMONTH(AO1020,0)&lt;&gt;AN$5),1))+IF(AR1020="",0,IFERROR(--(EOMONTH(AR1020,0)&lt;&gt;AQ$5),1))+IF(AU1020="",0,IFERROR(--(EOMONTH(AU1020,0)&lt;&gt;AT$5),1))+IF(AX1020="",0,IFERROR(--(EOMONTH(AX1020,0)&lt;&gt;AW$5),1))+IF(BA1020="",0,IFERROR(--(EOMONTH(BA1020,0)&lt;&gt;AZ$5),1)))&gt;0,"; An invoice date is not in the month it is typed under",""),3,500))</f>
        <v/>
      </c>
      <c r="S1020" s="12" t="n"/>
      <c r="T1020" s="13" t="n"/>
      <c r="U1020" s="14" t="n"/>
      <c r="V1020" s="12" t="n"/>
      <c r="W1020" s="13" t="n"/>
      <c r="X1020" s="14" t="n"/>
      <c r="Y1020" s="12" t="n"/>
      <c r="Z1020" s="13" t="n"/>
      <c r="AA1020" s="14" t="n"/>
      <c r="AB1020" s="12" t="n"/>
      <c r="AC1020" s="13" t="n"/>
      <c r="AD1020" s="14" t="n"/>
      <c r="AE1020" s="12" t="n"/>
      <c r="AF1020" s="13" t="n"/>
      <c r="AG1020" s="14" t="n"/>
      <c r="AH1020" s="12" t="n"/>
      <c r="AI1020" s="13" t="n"/>
      <c r="AJ1020" s="14" t="n"/>
      <c r="AK1020" s="12" t="n"/>
      <c r="AL1020" s="13" t="n"/>
      <c r="AM1020" s="14" t="n"/>
      <c r="AN1020" s="12" t="n"/>
      <c r="AO1020" s="13" t="n"/>
      <c r="AP1020" s="14" t="n"/>
      <c r="AQ1020" s="12" t="n"/>
      <c r="AR1020" s="13" t="n"/>
      <c r="AS1020" s="14" t="n"/>
      <c r="AT1020" s="12" t="n"/>
      <c r="AU1020" s="13" t="n"/>
      <c r="AV1020" s="14" t="n"/>
      <c r="AW1020" s="12" t="n"/>
      <c r="AX1020" s="13" t="n"/>
      <c r="AY1020" s="14" t="n"/>
      <c r="AZ1020" s="12" t="n"/>
      <c r="BA1020" s="13" t="n"/>
      <c r="BB1020" s="14" t="n"/>
      <c r="BC1020" s="11">
        <f>IF(O1020="","",IF(J1020="GST 10%",ROUND(O1020*set_GSTRate,2),0))</f>
        <v/>
      </c>
      <c r="BD1020" s="11">
        <f>IF(O1020="","",O1020+BC1020)</f>
        <v/>
      </c>
      <c r="BE1020" s="15">
        <f>IF(O1020="","",COUNTA(S1020,V1020,Y1020,AB1020,AE1020,AH1020,AK1020,AN1020,AQ1020,AT1020,AW1020,AZ1020))</f>
        <v/>
      </c>
      <c r="BF1020" s="16">
        <f>IF(COUNT(T1020,W1020,Z1020,AC1020,AF1020,AI1020,AL1020,AO1020,AR1020,AU1020,AX1020,BA1020)=0,"",MAX(T1020,W1020,Z1020,AC1020,AF1020,AI1020,AL1020,AO1020,AR1020,AU1020,AX1020,BA1020))</f>
        <v/>
      </c>
      <c r="BG1020" s="10">
        <f>MID(IF(S1020="","",", "&amp;S1020)&amp;IF(V1020="","",", "&amp;V1020)&amp;IF(Y1020="","",", "&amp;Y1020)&amp;IF(AB1020="","",", "&amp;AB1020)&amp;IF(AE1020="","",", "&amp;AE1020)&amp;IF(AH1020="","",", "&amp;AH1020)&amp;IF(AK1020="","",", "&amp;AK1020)&amp;IF(AN1020="","",", "&amp;AN1020)&amp;IF(AQ1020="","",", "&amp;AQ1020)&amp;IF(AT1020="","",", "&amp;AT1020)&amp;IF(AW1020="","",", "&amp;AW1020)&amp;IF(AZ1020="","",", "&amp;AZ1020),3,500)</f>
        <v/>
      </c>
      <c r="BH1020" s="12" t="n"/>
      <c r="BI1020" s="15">
        <f>IFERROR(MATCH($A1020,IF($B1020="Onsite",tbl_Onsite[Row ID],IF($B1020="Production",tbl_Production[Row ID],tbl_Consulting[Row ID])),0),"")</f>
        <v/>
      </c>
    </row>
    <row r="1021">
      <c r="A1021" s="10" t="inlineStr">
        <is>
          <t>CON-0015</t>
        </is>
      </c>
      <c r="B1021" s="10" t="inlineStr">
        <is>
          <t>Consulting</t>
        </is>
      </c>
      <c r="C1021" s="10">
        <f>IF($BI1021="","",IF($B1021="Onsite",INDEX(tbl_Onsite[Job Number],$BI1021),IF($B1021="Production",INDEX(tbl_Production[Job Number],$BI1021),INDEX(tbl_Consulting[Job Number],$BI1021)))&amp;"")</f>
        <v/>
      </c>
      <c r="D1021" s="10">
        <f>IF($BI1021="","",IF($B1021="Onsite",INDEX(tbl_Onsite[Client],$BI1021),IF($B1021="Production",INDEX(tbl_Production[Client],$BI1021),INDEX(tbl_Consulting[Client],$BI1021)))&amp;"")</f>
        <v/>
      </c>
      <c r="E1021" s="10">
        <f>IF($C1021="","",IF(COUNTIF(lst_Jobs,$C1021)&gt;0,"OK","CHECK"))</f>
        <v/>
      </c>
      <c r="F1021" s="10">
        <f>IF($C1021="","",IFERROR(INDEX(lst_JobName,MATCH($C1021,lst_Jobs,0)),""))</f>
        <v/>
      </c>
      <c r="G1021" s="10">
        <f>IF($BI1021="","",IF($B1021="Onsite",INDEX(tbl_Onsite[Job Description],$BI1021),IF($B1021="Production",INDEX(tbl_Production[Job Description],$BI1021),INDEX(tbl_Consulting[Job Description],$BI1021)))&amp;"")</f>
        <v/>
      </c>
      <c r="H1021" s="10">
        <f>IF($BI1021="","",IF($B1021="Onsite",INDEX(tbl_Onsite[Cost Centre],$BI1021),IF($B1021="Production",INDEX(tbl_Production[Cost Centre],$BI1021),INDEX(tbl_Consulting[Cost Centre],$BI1021)))&amp;"")</f>
        <v/>
      </c>
      <c r="I1021" s="10">
        <f>IF($BI1021="","",IF($B1021="Onsite",INDEX(tbl_Onsite[Invoice Type],$BI1021),IF($B1021="Production",INDEX(tbl_Production[Invoice Type],$BI1021),INDEX(tbl_Consulting[Invoice Type],$BI1021)))&amp;"")</f>
        <v/>
      </c>
      <c r="J1021" s="10">
        <f>IF($BI1021="","",IF($B1021="Onsite",INDEX(tbl_Onsite[Tax Code],$BI1021),IF($B1021="Production",INDEX(tbl_Production[Tax Code],$BI1021),INDEX(tbl_Consulting[Tax Code],$BI1021)))&amp;"")</f>
        <v/>
      </c>
      <c r="K1021" s="10">
        <f>IF(H1021="","",IFERROR(INDEX(lst_CCtoGL,MATCH(H1021,lst_CCforGL,0)),""))</f>
        <v/>
      </c>
      <c r="L1021" s="10">
        <f>IF($BI1021="","",IF($B1021="Onsite",INDEX(tbl_Onsite[PO / Reference],$BI1021),IF($B1021="Production",INDEX(tbl_Production[Current RMS No],$BI1021),INDEX(tbl_Consulting[Qwilr Quote],$BI1021)))&amp;"")</f>
        <v/>
      </c>
      <c r="M1021" s="10">
        <f>IF($BI1021="","",IF($B1021="Onsite",INDEX(tbl_Onsite[Notes],$BI1021),IF($B1021="Production",INDEX(tbl_Production[Notes],$BI1021),INDEX(tbl_Consulting[Notes],$BI1021)))&amp;"")</f>
        <v/>
      </c>
      <c r="N1021" s="11">
        <f>IF($BI1021="","",IF(IF($B1021="Onsite",INDEX(tbl_Onsite[Expected Revenue Ex GST],$BI1021),IF($B1021="Production",INDEX(tbl_Production[Expected Revenue Ex GST],$BI1021),INDEX(tbl_Consulting[Expected Revenue Ex GST],$BI1021)))="","",IF($B1021="Onsite",INDEX(tbl_Onsite[Expected Revenue Ex GST],$BI1021),IF($B1021="Production",INDEX(tbl_Production[Expected Revenue Ex GST],$BI1021),INDEX(tbl_Consulting[Expected Revenue Ex GST],$BI1021)))))</f>
        <v/>
      </c>
      <c r="O1021" s="11">
        <f>IF(AND($C1021="",NOT(COUNTA($S1021:$BB1021)&gt;0)),"",SUM(U1021,X1021,AA1021,AD1021,AG1021,AJ1021,AM1021,AP1021,AS1021,AV1021,AY1021,BB1021))</f>
        <v/>
      </c>
      <c r="P1021" s="11">
        <f>IF(O1021="","",N(N1021)-O1021)</f>
        <v/>
      </c>
      <c r="Q1021" s="10">
        <f>IF(O1021="","",IF($C1021="","Invoice on empty job row",IF(N1021="",IF(ROUND(O1021,2)=0,"No dept value","Invoiced - no dept value"),IF(ROUND(O1021,2)=0,"Not invoiced - to invoice",IF(ROUND(P1021,2)=0,"Agrees",IF(P1021&gt;0,"Dept higher - to invoice","Xero higher - check dept"))))))</f>
        <v/>
      </c>
      <c r="R1021" s="10">
        <f>IF(AND($C1021="",NOT(COUNTA($S1021:$BB1021)&gt;0),$BI1021&lt;&gt;""),"",MID(IF($BI1021="","; Row ID not found on the department sheet - a row was deleted","")&amp;IF(AND($C1021="",COUNTA($S1021:$BB1021)&gt;0),"; Invoice entered but the department row has no job number","")&amp;IF(E1021="CHECK","; Job number not in the Xero job list","")&amp;IF(AND($C1021&lt;&gt;"",COUNTIF($C$7:$C$1506,$C1021)&gt;1),"; Job number on more than one row","")&amp;IF(AND($C1021&lt;&gt;"",H1021=""),"; Dept has not set a cost centre","")&amp;IF(AND($C1021&lt;&gt;"",J1021=""),"; Dept has not set a tax code","")&amp;IF(AND($C1021&lt;&gt;"",N1021=""),"; Dept has not entered an expected value","")&amp;IF((IF(OR(COUNTA(S1021:U1021)=0,AND(COUNTA(S1021:U1021)=3,ISNUMBER(U1021))),0,1)+IF(OR(COUNTA(V1021:X1021)=0,AND(COUNTA(V1021:X1021)=3,ISNUMBER(X1021))),0,1)+IF(OR(COUNTA(Y1021:AA1021)=0,AND(COUNTA(Y1021:AA1021)=3,ISNUMBER(AA1021))),0,1)+IF(OR(COUNTA(AB1021:AD1021)=0,AND(COUNTA(AB1021:AD1021)=3,ISNUMBER(AD1021))),0,1)+IF(OR(COUNTA(AE1021:AG1021)=0,AND(COUNTA(AE1021:AG1021)=3,ISNUMBER(AG1021))),0,1)+IF(OR(COUNTA(AH1021:AJ1021)=0,AND(COUNTA(AH1021:AJ1021)=3,ISNUMBER(AJ1021))),0,1)+IF(OR(COUNTA(AK1021:AM1021)=0,AND(COUNTA(AK1021:AM1021)=3,ISNUMBER(AM1021))),0,1)+IF(OR(COUNTA(AN1021:AP1021)=0,AND(COUNTA(AN1021:AP1021)=3,ISNUMBER(AP1021))),0,1)+IF(OR(COUNTA(AQ1021:AS1021)=0,AND(COUNTA(AQ1021:AS1021)=3,ISNUMBER(AS1021))),0,1)+IF(OR(COUNTA(AT1021:AV1021)=0,AND(COUNTA(AT1021:AV1021)=3,ISNUMBER(AV1021))),0,1)+IF(OR(COUNTA(AW1021:AY1021)=0,AND(COUNTA(AW1021:AY1021)=3,ISNUMBER(AY1021))),0,1)+IF(OR(COUNTA(AZ1021:BB1021)=0,AND(COUNTA(AZ1021:BB1021)=3,ISNUMBER(BB1021))),0,1))&gt;0,"; An invoice is incomplete (needs No, Date and a number in Ex GST)","")&amp;IF((IF(T1021="",0,IFERROR(--(EOMONTH(T1021,0)&lt;&gt;S$5),1))+IF(W1021="",0,IFERROR(--(EOMONTH(W1021,0)&lt;&gt;V$5),1))+IF(Z1021="",0,IFERROR(--(EOMONTH(Z1021,0)&lt;&gt;Y$5),1))+IF(AC1021="",0,IFERROR(--(EOMONTH(AC1021,0)&lt;&gt;AB$5),1))+IF(AF1021="",0,IFERROR(--(EOMONTH(AF1021,0)&lt;&gt;AE$5),1))+IF(AI1021="",0,IFERROR(--(EOMONTH(AI1021,0)&lt;&gt;AH$5),1))+IF(AL1021="",0,IFERROR(--(EOMONTH(AL1021,0)&lt;&gt;AK$5),1))+IF(AO1021="",0,IFERROR(--(EOMONTH(AO1021,0)&lt;&gt;AN$5),1))+IF(AR1021="",0,IFERROR(--(EOMONTH(AR1021,0)&lt;&gt;AQ$5),1))+IF(AU1021="",0,IFERROR(--(EOMONTH(AU1021,0)&lt;&gt;AT$5),1))+IF(AX1021="",0,IFERROR(--(EOMONTH(AX1021,0)&lt;&gt;AW$5),1))+IF(BA1021="",0,IFERROR(--(EOMONTH(BA1021,0)&lt;&gt;AZ$5),1)))&gt;0,"; An invoice date is not in the month it is typed under",""),3,500))</f>
        <v/>
      </c>
      <c r="S1021" s="12" t="n"/>
      <c r="T1021" s="13" t="n"/>
      <c r="U1021" s="14" t="n"/>
      <c r="V1021" s="12" t="n"/>
      <c r="W1021" s="13" t="n"/>
      <c r="X1021" s="14" t="n"/>
      <c r="Y1021" s="12" t="n"/>
      <c r="Z1021" s="13" t="n"/>
      <c r="AA1021" s="14" t="n"/>
      <c r="AB1021" s="12" t="n"/>
      <c r="AC1021" s="13" t="n"/>
      <c r="AD1021" s="14" t="n"/>
      <c r="AE1021" s="12" t="n"/>
      <c r="AF1021" s="13" t="n"/>
      <c r="AG1021" s="14" t="n"/>
      <c r="AH1021" s="12" t="n"/>
      <c r="AI1021" s="13" t="n"/>
      <c r="AJ1021" s="14" t="n"/>
      <c r="AK1021" s="12" t="n"/>
      <c r="AL1021" s="13" t="n"/>
      <c r="AM1021" s="14" t="n"/>
      <c r="AN1021" s="12" t="n"/>
      <c r="AO1021" s="13" t="n"/>
      <c r="AP1021" s="14" t="n"/>
      <c r="AQ1021" s="12" t="n"/>
      <c r="AR1021" s="13" t="n"/>
      <c r="AS1021" s="14" t="n"/>
      <c r="AT1021" s="12" t="n"/>
      <c r="AU1021" s="13" t="n"/>
      <c r="AV1021" s="14" t="n"/>
      <c r="AW1021" s="12" t="n"/>
      <c r="AX1021" s="13" t="n"/>
      <c r="AY1021" s="14" t="n"/>
      <c r="AZ1021" s="12" t="n"/>
      <c r="BA1021" s="13" t="n"/>
      <c r="BB1021" s="14" t="n"/>
      <c r="BC1021" s="11">
        <f>IF(O1021="","",IF(J1021="GST 10%",ROUND(O1021*set_GSTRate,2),0))</f>
        <v/>
      </c>
      <c r="BD1021" s="11">
        <f>IF(O1021="","",O1021+BC1021)</f>
        <v/>
      </c>
      <c r="BE1021" s="15">
        <f>IF(O1021="","",COUNTA(S1021,V1021,Y1021,AB1021,AE1021,AH1021,AK1021,AN1021,AQ1021,AT1021,AW1021,AZ1021))</f>
        <v/>
      </c>
      <c r="BF1021" s="16">
        <f>IF(COUNT(T1021,W1021,Z1021,AC1021,AF1021,AI1021,AL1021,AO1021,AR1021,AU1021,AX1021,BA1021)=0,"",MAX(T1021,W1021,Z1021,AC1021,AF1021,AI1021,AL1021,AO1021,AR1021,AU1021,AX1021,BA1021))</f>
        <v/>
      </c>
      <c r="BG1021" s="10">
        <f>MID(IF(S1021="","",", "&amp;S1021)&amp;IF(V1021="","",", "&amp;V1021)&amp;IF(Y1021="","",", "&amp;Y1021)&amp;IF(AB1021="","",", "&amp;AB1021)&amp;IF(AE1021="","",", "&amp;AE1021)&amp;IF(AH1021="","",", "&amp;AH1021)&amp;IF(AK1021="","",", "&amp;AK1021)&amp;IF(AN1021="","",", "&amp;AN1021)&amp;IF(AQ1021="","",", "&amp;AQ1021)&amp;IF(AT1021="","",", "&amp;AT1021)&amp;IF(AW1021="","",", "&amp;AW1021)&amp;IF(AZ1021="","",", "&amp;AZ1021),3,500)</f>
        <v/>
      </c>
      <c r="BH1021" s="12" t="n"/>
      <c r="BI1021" s="15">
        <f>IFERROR(MATCH($A1021,IF($B1021="Onsite",tbl_Onsite[Row ID],IF($B1021="Production",tbl_Production[Row ID],tbl_Consulting[Row ID])),0),"")</f>
        <v/>
      </c>
    </row>
    <row r="1022">
      <c r="A1022" s="10" t="inlineStr">
        <is>
          <t>CON-0016</t>
        </is>
      </c>
      <c r="B1022" s="10" t="inlineStr">
        <is>
          <t>Consulting</t>
        </is>
      </c>
      <c r="C1022" s="10">
        <f>IF($BI1022="","",IF($B1022="Onsite",INDEX(tbl_Onsite[Job Number],$BI1022),IF($B1022="Production",INDEX(tbl_Production[Job Number],$BI1022),INDEX(tbl_Consulting[Job Number],$BI1022)))&amp;"")</f>
        <v/>
      </c>
      <c r="D1022" s="10">
        <f>IF($BI1022="","",IF($B1022="Onsite",INDEX(tbl_Onsite[Client],$BI1022),IF($B1022="Production",INDEX(tbl_Production[Client],$BI1022),INDEX(tbl_Consulting[Client],$BI1022)))&amp;"")</f>
        <v/>
      </c>
      <c r="E1022" s="10">
        <f>IF($C1022="","",IF(COUNTIF(lst_Jobs,$C1022)&gt;0,"OK","CHECK"))</f>
        <v/>
      </c>
      <c r="F1022" s="10">
        <f>IF($C1022="","",IFERROR(INDEX(lst_JobName,MATCH($C1022,lst_Jobs,0)),""))</f>
        <v/>
      </c>
      <c r="G1022" s="10">
        <f>IF($BI1022="","",IF($B1022="Onsite",INDEX(tbl_Onsite[Job Description],$BI1022),IF($B1022="Production",INDEX(tbl_Production[Job Description],$BI1022),INDEX(tbl_Consulting[Job Description],$BI1022)))&amp;"")</f>
        <v/>
      </c>
      <c r="H1022" s="10">
        <f>IF($BI1022="","",IF($B1022="Onsite",INDEX(tbl_Onsite[Cost Centre],$BI1022),IF($B1022="Production",INDEX(tbl_Production[Cost Centre],$BI1022),INDEX(tbl_Consulting[Cost Centre],$BI1022)))&amp;"")</f>
        <v/>
      </c>
      <c r="I1022" s="10">
        <f>IF($BI1022="","",IF($B1022="Onsite",INDEX(tbl_Onsite[Invoice Type],$BI1022),IF($B1022="Production",INDEX(tbl_Production[Invoice Type],$BI1022),INDEX(tbl_Consulting[Invoice Type],$BI1022)))&amp;"")</f>
        <v/>
      </c>
      <c r="J1022" s="10">
        <f>IF($BI1022="","",IF($B1022="Onsite",INDEX(tbl_Onsite[Tax Code],$BI1022),IF($B1022="Production",INDEX(tbl_Production[Tax Code],$BI1022),INDEX(tbl_Consulting[Tax Code],$BI1022)))&amp;"")</f>
        <v/>
      </c>
      <c r="K1022" s="10">
        <f>IF(H1022="","",IFERROR(INDEX(lst_CCtoGL,MATCH(H1022,lst_CCforGL,0)),""))</f>
        <v/>
      </c>
      <c r="L1022" s="10">
        <f>IF($BI1022="","",IF($B1022="Onsite",INDEX(tbl_Onsite[PO / Reference],$BI1022),IF($B1022="Production",INDEX(tbl_Production[Current RMS No],$BI1022),INDEX(tbl_Consulting[Qwilr Quote],$BI1022)))&amp;"")</f>
        <v/>
      </c>
      <c r="M1022" s="10">
        <f>IF($BI1022="","",IF($B1022="Onsite",INDEX(tbl_Onsite[Notes],$BI1022),IF($B1022="Production",INDEX(tbl_Production[Notes],$BI1022),INDEX(tbl_Consulting[Notes],$BI1022)))&amp;"")</f>
        <v/>
      </c>
      <c r="N1022" s="11">
        <f>IF($BI1022="","",IF(IF($B1022="Onsite",INDEX(tbl_Onsite[Expected Revenue Ex GST],$BI1022),IF($B1022="Production",INDEX(tbl_Production[Expected Revenue Ex GST],$BI1022),INDEX(tbl_Consulting[Expected Revenue Ex GST],$BI1022)))="","",IF($B1022="Onsite",INDEX(tbl_Onsite[Expected Revenue Ex GST],$BI1022),IF($B1022="Production",INDEX(tbl_Production[Expected Revenue Ex GST],$BI1022),INDEX(tbl_Consulting[Expected Revenue Ex GST],$BI1022)))))</f>
        <v/>
      </c>
      <c r="O1022" s="11">
        <f>IF(AND($C1022="",NOT(COUNTA($S1022:$BB1022)&gt;0)),"",SUM(U1022,X1022,AA1022,AD1022,AG1022,AJ1022,AM1022,AP1022,AS1022,AV1022,AY1022,BB1022))</f>
        <v/>
      </c>
      <c r="P1022" s="11">
        <f>IF(O1022="","",N(N1022)-O1022)</f>
        <v/>
      </c>
      <c r="Q1022" s="10">
        <f>IF(O1022="","",IF($C1022="","Invoice on empty job row",IF(N1022="",IF(ROUND(O1022,2)=0,"No dept value","Invoiced - no dept value"),IF(ROUND(O1022,2)=0,"Not invoiced - to invoice",IF(ROUND(P1022,2)=0,"Agrees",IF(P1022&gt;0,"Dept higher - to invoice","Xero higher - check dept"))))))</f>
        <v/>
      </c>
      <c r="R1022" s="10">
        <f>IF(AND($C1022="",NOT(COUNTA($S1022:$BB1022)&gt;0),$BI1022&lt;&gt;""),"",MID(IF($BI1022="","; Row ID not found on the department sheet - a row was deleted","")&amp;IF(AND($C1022="",COUNTA($S1022:$BB1022)&gt;0),"; Invoice entered but the department row has no job number","")&amp;IF(E1022="CHECK","; Job number not in the Xero job list","")&amp;IF(AND($C1022&lt;&gt;"",COUNTIF($C$7:$C$1506,$C1022)&gt;1),"; Job number on more than one row","")&amp;IF(AND($C1022&lt;&gt;"",H1022=""),"; Dept has not set a cost centre","")&amp;IF(AND($C1022&lt;&gt;"",J1022=""),"; Dept has not set a tax code","")&amp;IF(AND($C1022&lt;&gt;"",N1022=""),"; Dept has not entered an expected value","")&amp;IF((IF(OR(COUNTA(S1022:U1022)=0,AND(COUNTA(S1022:U1022)=3,ISNUMBER(U1022))),0,1)+IF(OR(COUNTA(V1022:X1022)=0,AND(COUNTA(V1022:X1022)=3,ISNUMBER(X1022))),0,1)+IF(OR(COUNTA(Y1022:AA1022)=0,AND(COUNTA(Y1022:AA1022)=3,ISNUMBER(AA1022))),0,1)+IF(OR(COUNTA(AB1022:AD1022)=0,AND(COUNTA(AB1022:AD1022)=3,ISNUMBER(AD1022))),0,1)+IF(OR(COUNTA(AE1022:AG1022)=0,AND(COUNTA(AE1022:AG1022)=3,ISNUMBER(AG1022))),0,1)+IF(OR(COUNTA(AH1022:AJ1022)=0,AND(COUNTA(AH1022:AJ1022)=3,ISNUMBER(AJ1022))),0,1)+IF(OR(COUNTA(AK1022:AM1022)=0,AND(COUNTA(AK1022:AM1022)=3,ISNUMBER(AM1022))),0,1)+IF(OR(COUNTA(AN1022:AP1022)=0,AND(COUNTA(AN1022:AP1022)=3,ISNUMBER(AP1022))),0,1)+IF(OR(COUNTA(AQ1022:AS1022)=0,AND(COUNTA(AQ1022:AS1022)=3,ISNUMBER(AS1022))),0,1)+IF(OR(COUNTA(AT1022:AV1022)=0,AND(COUNTA(AT1022:AV1022)=3,ISNUMBER(AV1022))),0,1)+IF(OR(COUNTA(AW1022:AY1022)=0,AND(COUNTA(AW1022:AY1022)=3,ISNUMBER(AY1022))),0,1)+IF(OR(COUNTA(AZ1022:BB1022)=0,AND(COUNTA(AZ1022:BB1022)=3,ISNUMBER(BB1022))),0,1))&gt;0,"; An invoice is incomplete (needs No, Date and a number in Ex GST)","")&amp;IF((IF(T1022="",0,IFERROR(--(EOMONTH(T1022,0)&lt;&gt;S$5),1))+IF(W1022="",0,IFERROR(--(EOMONTH(W1022,0)&lt;&gt;V$5),1))+IF(Z1022="",0,IFERROR(--(EOMONTH(Z1022,0)&lt;&gt;Y$5),1))+IF(AC1022="",0,IFERROR(--(EOMONTH(AC1022,0)&lt;&gt;AB$5),1))+IF(AF1022="",0,IFERROR(--(EOMONTH(AF1022,0)&lt;&gt;AE$5),1))+IF(AI1022="",0,IFERROR(--(EOMONTH(AI1022,0)&lt;&gt;AH$5),1))+IF(AL1022="",0,IFERROR(--(EOMONTH(AL1022,0)&lt;&gt;AK$5),1))+IF(AO1022="",0,IFERROR(--(EOMONTH(AO1022,0)&lt;&gt;AN$5),1))+IF(AR1022="",0,IFERROR(--(EOMONTH(AR1022,0)&lt;&gt;AQ$5),1))+IF(AU1022="",0,IFERROR(--(EOMONTH(AU1022,0)&lt;&gt;AT$5),1))+IF(AX1022="",0,IFERROR(--(EOMONTH(AX1022,0)&lt;&gt;AW$5),1))+IF(BA1022="",0,IFERROR(--(EOMONTH(BA1022,0)&lt;&gt;AZ$5),1)))&gt;0,"; An invoice date is not in the month it is typed under",""),3,500))</f>
        <v/>
      </c>
      <c r="S1022" s="12" t="n"/>
      <c r="T1022" s="13" t="n"/>
      <c r="U1022" s="14" t="n"/>
      <c r="V1022" s="12" t="n"/>
      <c r="W1022" s="13" t="n"/>
      <c r="X1022" s="14" t="n"/>
      <c r="Y1022" s="12" t="n"/>
      <c r="Z1022" s="13" t="n"/>
      <c r="AA1022" s="14" t="n"/>
      <c r="AB1022" s="12" t="n"/>
      <c r="AC1022" s="13" t="n"/>
      <c r="AD1022" s="14" t="n"/>
      <c r="AE1022" s="12" t="n"/>
      <c r="AF1022" s="13" t="n"/>
      <c r="AG1022" s="14" t="n"/>
      <c r="AH1022" s="12" t="n"/>
      <c r="AI1022" s="13" t="n"/>
      <c r="AJ1022" s="14" t="n"/>
      <c r="AK1022" s="12" t="n"/>
      <c r="AL1022" s="13" t="n"/>
      <c r="AM1022" s="14" t="n"/>
      <c r="AN1022" s="12" t="n"/>
      <c r="AO1022" s="13" t="n"/>
      <c r="AP1022" s="14" t="n"/>
      <c r="AQ1022" s="12" t="n"/>
      <c r="AR1022" s="13" t="n"/>
      <c r="AS1022" s="14" t="n"/>
      <c r="AT1022" s="12" t="n"/>
      <c r="AU1022" s="13" t="n"/>
      <c r="AV1022" s="14" t="n"/>
      <c r="AW1022" s="12" t="n"/>
      <c r="AX1022" s="13" t="n"/>
      <c r="AY1022" s="14" t="n"/>
      <c r="AZ1022" s="12" t="n"/>
      <c r="BA1022" s="13" t="n"/>
      <c r="BB1022" s="14" t="n"/>
      <c r="BC1022" s="11">
        <f>IF(O1022="","",IF(J1022="GST 10%",ROUND(O1022*set_GSTRate,2),0))</f>
        <v/>
      </c>
      <c r="BD1022" s="11">
        <f>IF(O1022="","",O1022+BC1022)</f>
        <v/>
      </c>
      <c r="BE1022" s="15">
        <f>IF(O1022="","",COUNTA(S1022,V1022,Y1022,AB1022,AE1022,AH1022,AK1022,AN1022,AQ1022,AT1022,AW1022,AZ1022))</f>
        <v/>
      </c>
      <c r="BF1022" s="16">
        <f>IF(COUNT(T1022,W1022,Z1022,AC1022,AF1022,AI1022,AL1022,AO1022,AR1022,AU1022,AX1022,BA1022)=0,"",MAX(T1022,W1022,Z1022,AC1022,AF1022,AI1022,AL1022,AO1022,AR1022,AU1022,AX1022,BA1022))</f>
        <v/>
      </c>
      <c r="BG1022" s="10">
        <f>MID(IF(S1022="","",", "&amp;S1022)&amp;IF(V1022="","",", "&amp;V1022)&amp;IF(Y1022="","",", "&amp;Y1022)&amp;IF(AB1022="","",", "&amp;AB1022)&amp;IF(AE1022="","",", "&amp;AE1022)&amp;IF(AH1022="","",", "&amp;AH1022)&amp;IF(AK1022="","",", "&amp;AK1022)&amp;IF(AN1022="","",", "&amp;AN1022)&amp;IF(AQ1022="","",", "&amp;AQ1022)&amp;IF(AT1022="","",", "&amp;AT1022)&amp;IF(AW1022="","",", "&amp;AW1022)&amp;IF(AZ1022="","",", "&amp;AZ1022),3,500)</f>
        <v/>
      </c>
      <c r="BH1022" s="12" t="n"/>
      <c r="BI1022" s="15">
        <f>IFERROR(MATCH($A1022,IF($B1022="Onsite",tbl_Onsite[Row ID],IF($B1022="Production",tbl_Production[Row ID],tbl_Consulting[Row ID])),0),"")</f>
        <v/>
      </c>
    </row>
    <row r="1023">
      <c r="A1023" s="10" t="inlineStr">
        <is>
          <t>CON-0017</t>
        </is>
      </c>
      <c r="B1023" s="10" t="inlineStr">
        <is>
          <t>Consulting</t>
        </is>
      </c>
      <c r="C1023" s="10">
        <f>IF($BI1023="","",IF($B1023="Onsite",INDEX(tbl_Onsite[Job Number],$BI1023),IF($B1023="Production",INDEX(tbl_Production[Job Number],$BI1023),INDEX(tbl_Consulting[Job Number],$BI1023)))&amp;"")</f>
        <v/>
      </c>
      <c r="D1023" s="10">
        <f>IF($BI1023="","",IF($B1023="Onsite",INDEX(tbl_Onsite[Client],$BI1023),IF($B1023="Production",INDEX(tbl_Production[Client],$BI1023),INDEX(tbl_Consulting[Client],$BI1023)))&amp;"")</f>
        <v/>
      </c>
      <c r="E1023" s="10">
        <f>IF($C1023="","",IF(COUNTIF(lst_Jobs,$C1023)&gt;0,"OK","CHECK"))</f>
        <v/>
      </c>
      <c r="F1023" s="10">
        <f>IF($C1023="","",IFERROR(INDEX(lst_JobName,MATCH($C1023,lst_Jobs,0)),""))</f>
        <v/>
      </c>
      <c r="G1023" s="10">
        <f>IF($BI1023="","",IF($B1023="Onsite",INDEX(tbl_Onsite[Job Description],$BI1023),IF($B1023="Production",INDEX(tbl_Production[Job Description],$BI1023),INDEX(tbl_Consulting[Job Description],$BI1023)))&amp;"")</f>
        <v/>
      </c>
      <c r="H1023" s="10">
        <f>IF($BI1023="","",IF($B1023="Onsite",INDEX(tbl_Onsite[Cost Centre],$BI1023),IF($B1023="Production",INDEX(tbl_Production[Cost Centre],$BI1023),INDEX(tbl_Consulting[Cost Centre],$BI1023)))&amp;"")</f>
        <v/>
      </c>
      <c r="I1023" s="10">
        <f>IF($BI1023="","",IF($B1023="Onsite",INDEX(tbl_Onsite[Invoice Type],$BI1023),IF($B1023="Production",INDEX(tbl_Production[Invoice Type],$BI1023),INDEX(tbl_Consulting[Invoice Type],$BI1023)))&amp;"")</f>
        <v/>
      </c>
      <c r="J1023" s="10">
        <f>IF($BI1023="","",IF($B1023="Onsite",INDEX(tbl_Onsite[Tax Code],$BI1023),IF($B1023="Production",INDEX(tbl_Production[Tax Code],$BI1023),INDEX(tbl_Consulting[Tax Code],$BI1023)))&amp;"")</f>
        <v/>
      </c>
      <c r="K1023" s="10">
        <f>IF(H1023="","",IFERROR(INDEX(lst_CCtoGL,MATCH(H1023,lst_CCforGL,0)),""))</f>
        <v/>
      </c>
      <c r="L1023" s="10">
        <f>IF($BI1023="","",IF($B1023="Onsite",INDEX(tbl_Onsite[PO / Reference],$BI1023),IF($B1023="Production",INDEX(tbl_Production[Current RMS No],$BI1023),INDEX(tbl_Consulting[Qwilr Quote],$BI1023)))&amp;"")</f>
        <v/>
      </c>
      <c r="M1023" s="10">
        <f>IF($BI1023="","",IF($B1023="Onsite",INDEX(tbl_Onsite[Notes],$BI1023),IF($B1023="Production",INDEX(tbl_Production[Notes],$BI1023),INDEX(tbl_Consulting[Notes],$BI1023)))&amp;"")</f>
        <v/>
      </c>
      <c r="N1023" s="11">
        <f>IF($BI1023="","",IF(IF($B1023="Onsite",INDEX(tbl_Onsite[Expected Revenue Ex GST],$BI1023),IF($B1023="Production",INDEX(tbl_Production[Expected Revenue Ex GST],$BI1023),INDEX(tbl_Consulting[Expected Revenue Ex GST],$BI1023)))="","",IF($B1023="Onsite",INDEX(tbl_Onsite[Expected Revenue Ex GST],$BI1023),IF($B1023="Production",INDEX(tbl_Production[Expected Revenue Ex GST],$BI1023),INDEX(tbl_Consulting[Expected Revenue Ex GST],$BI1023)))))</f>
        <v/>
      </c>
      <c r="O1023" s="11">
        <f>IF(AND($C1023="",NOT(COUNTA($S1023:$BB1023)&gt;0)),"",SUM(U1023,X1023,AA1023,AD1023,AG1023,AJ1023,AM1023,AP1023,AS1023,AV1023,AY1023,BB1023))</f>
        <v/>
      </c>
      <c r="P1023" s="11">
        <f>IF(O1023="","",N(N1023)-O1023)</f>
        <v/>
      </c>
      <c r="Q1023" s="10">
        <f>IF(O1023="","",IF($C1023="","Invoice on empty job row",IF(N1023="",IF(ROUND(O1023,2)=0,"No dept value","Invoiced - no dept value"),IF(ROUND(O1023,2)=0,"Not invoiced - to invoice",IF(ROUND(P1023,2)=0,"Agrees",IF(P1023&gt;0,"Dept higher - to invoice","Xero higher - check dept"))))))</f>
        <v/>
      </c>
      <c r="R1023" s="10">
        <f>IF(AND($C1023="",NOT(COUNTA($S1023:$BB1023)&gt;0),$BI1023&lt;&gt;""),"",MID(IF($BI1023="","; Row ID not found on the department sheet - a row was deleted","")&amp;IF(AND($C1023="",COUNTA($S1023:$BB1023)&gt;0),"; Invoice entered but the department row has no job number","")&amp;IF(E1023="CHECK","; Job number not in the Xero job list","")&amp;IF(AND($C1023&lt;&gt;"",COUNTIF($C$7:$C$1506,$C1023)&gt;1),"; Job number on more than one row","")&amp;IF(AND($C1023&lt;&gt;"",H1023=""),"; Dept has not set a cost centre","")&amp;IF(AND($C1023&lt;&gt;"",J1023=""),"; Dept has not set a tax code","")&amp;IF(AND($C1023&lt;&gt;"",N1023=""),"; Dept has not entered an expected value","")&amp;IF((IF(OR(COUNTA(S1023:U1023)=0,AND(COUNTA(S1023:U1023)=3,ISNUMBER(U1023))),0,1)+IF(OR(COUNTA(V1023:X1023)=0,AND(COUNTA(V1023:X1023)=3,ISNUMBER(X1023))),0,1)+IF(OR(COUNTA(Y1023:AA1023)=0,AND(COUNTA(Y1023:AA1023)=3,ISNUMBER(AA1023))),0,1)+IF(OR(COUNTA(AB1023:AD1023)=0,AND(COUNTA(AB1023:AD1023)=3,ISNUMBER(AD1023))),0,1)+IF(OR(COUNTA(AE1023:AG1023)=0,AND(COUNTA(AE1023:AG1023)=3,ISNUMBER(AG1023))),0,1)+IF(OR(COUNTA(AH1023:AJ1023)=0,AND(COUNTA(AH1023:AJ1023)=3,ISNUMBER(AJ1023))),0,1)+IF(OR(COUNTA(AK1023:AM1023)=0,AND(COUNTA(AK1023:AM1023)=3,ISNUMBER(AM1023))),0,1)+IF(OR(COUNTA(AN1023:AP1023)=0,AND(COUNTA(AN1023:AP1023)=3,ISNUMBER(AP1023))),0,1)+IF(OR(COUNTA(AQ1023:AS1023)=0,AND(COUNTA(AQ1023:AS1023)=3,ISNUMBER(AS1023))),0,1)+IF(OR(COUNTA(AT1023:AV1023)=0,AND(COUNTA(AT1023:AV1023)=3,ISNUMBER(AV1023))),0,1)+IF(OR(COUNTA(AW1023:AY1023)=0,AND(COUNTA(AW1023:AY1023)=3,ISNUMBER(AY1023))),0,1)+IF(OR(COUNTA(AZ1023:BB1023)=0,AND(COUNTA(AZ1023:BB1023)=3,ISNUMBER(BB1023))),0,1))&gt;0,"; An invoice is incomplete (needs No, Date and a number in Ex GST)","")&amp;IF((IF(T1023="",0,IFERROR(--(EOMONTH(T1023,0)&lt;&gt;S$5),1))+IF(W1023="",0,IFERROR(--(EOMONTH(W1023,0)&lt;&gt;V$5),1))+IF(Z1023="",0,IFERROR(--(EOMONTH(Z1023,0)&lt;&gt;Y$5),1))+IF(AC1023="",0,IFERROR(--(EOMONTH(AC1023,0)&lt;&gt;AB$5),1))+IF(AF1023="",0,IFERROR(--(EOMONTH(AF1023,0)&lt;&gt;AE$5),1))+IF(AI1023="",0,IFERROR(--(EOMONTH(AI1023,0)&lt;&gt;AH$5),1))+IF(AL1023="",0,IFERROR(--(EOMONTH(AL1023,0)&lt;&gt;AK$5),1))+IF(AO1023="",0,IFERROR(--(EOMONTH(AO1023,0)&lt;&gt;AN$5),1))+IF(AR1023="",0,IFERROR(--(EOMONTH(AR1023,0)&lt;&gt;AQ$5),1))+IF(AU1023="",0,IFERROR(--(EOMONTH(AU1023,0)&lt;&gt;AT$5),1))+IF(AX1023="",0,IFERROR(--(EOMONTH(AX1023,0)&lt;&gt;AW$5),1))+IF(BA1023="",0,IFERROR(--(EOMONTH(BA1023,0)&lt;&gt;AZ$5),1)))&gt;0,"; An invoice date is not in the month it is typed under",""),3,500))</f>
        <v/>
      </c>
      <c r="S1023" s="12" t="n"/>
      <c r="T1023" s="13" t="n"/>
      <c r="U1023" s="14" t="n"/>
      <c r="V1023" s="12" t="n"/>
      <c r="W1023" s="13" t="n"/>
      <c r="X1023" s="14" t="n"/>
      <c r="Y1023" s="12" t="n"/>
      <c r="Z1023" s="13" t="n"/>
      <c r="AA1023" s="14" t="n"/>
      <c r="AB1023" s="12" t="n"/>
      <c r="AC1023" s="13" t="n"/>
      <c r="AD1023" s="14" t="n"/>
      <c r="AE1023" s="12" t="n"/>
      <c r="AF1023" s="13" t="n"/>
      <c r="AG1023" s="14" t="n"/>
      <c r="AH1023" s="12" t="n"/>
      <c r="AI1023" s="13" t="n"/>
      <c r="AJ1023" s="14" t="n"/>
      <c r="AK1023" s="12" t="n"/>
      <c r="AL1023" s="13" t="n"/>
      <c r="AM1023" s="14" t="n"/>
      <c r="AN1023" s="12" t="n"/>
      <c r="AO1023" s="13" t="n"/>
      <c r="AP1023" s="14" t="n"/>
      <c r="AQ1023" s="12" t="n"/>
      <c r="AR1023" s="13" t="n"/>
      <c r="AS1023" s="14" t="n"/>
      <c r="AT1023" s="12" t="n"/>
      <c r="AU1023" s="13" t="n"/>
      <c r="AV1023" s="14" t="n"/>
      <c r="AW1023" s="12" t="n"/>
      <c r="AX1023" s="13" t="n"/>
      <c r="AY1023" s="14" t="n"/>
      <c r="AZ1023" s="12" t="n"/>
      <c r="BA1023" s="13" t="n"/>
      <c r="BB1023" s="14" t="n"/>
      <c r="BC1023" s="11">
        <f>IF(O1023="","",IF(J1023="GST 10%",ROUND(O1023*set_GSTRate,2),0))</f>
        <v/>
      </c>
      <c r="BD1023" s="11">
        <f>IF(O1023="","",O1023+BC1023)</f>
        <v/>
      </c>
      <c r="BE1023" s="15">
        <f>IF(O1023="","",COUNTA(S1023,V1023,Y1023,AB1023,AE1023,AH1023,AK1023,AN1023,AQ1023,AT1023,AW1023,AZ1023))</f>
        <v/>
      </c>
      <c r="BF1023" s="16">
        <f>IF(COUNT(T1023,W1023,Z1023,AC1023,AF1023,AI1023,AL1023,AO1023,AR1023,AU1023,AX1023,BA1023)=0,"",MAX(T1023,W1023,Z1023,AC1023,AF1023,AI1023,AL1023,AO1023,AR1023,AU1023,AX1023,BA1023))</f>
        <v/>
      </c>
      <c r="BG1023" s="10">
        <f>MID(IF(S1023="","",", "&amp;S1023)&amp;IF(V1023="","",", "&amp;V1023)&amp;IF(Y1023="","",", "&amp;Y1023)&amp;IF(AB1023="","",", "&amp;AB1023)&amp;IF(AE1023="","",", "&amp;AE1023)&amp;IF(AH1023="","",", "&amp;AH1023)&amp;IF(AK1023="","",", "&amp;AK1023)&amp;IF(AN1023="","",", "&amp;AN1023)&amp;IF(AQ1023="","",", "&amp;AQ1023)&amp;IF(AT1023="","",", "&amp;AT1023)&amp;IF(AW1023="","",", "&amp;AW1023)&amp;IF(AZ1023="","",", "&amp;AZ1023),3,500)</f>
        <v/>
      </c>
      <c r="BH1023" s="12" t="n"/>
      <c r="BI1023" s="15">
        <f>IFERROR(MATCH($A1023,IF($B1023="Onsite",tbl_Onsite[Row ID],IF($B1023="Production",tbl_Production[Row ID],tbl_Consulting[Row ID])),0),"")</f>
        <v/>
      </c>
    </row>
    <row r="1024">
      <c r="A1024" s="10" t="inlineStr">
        <is>
          <t>CON-0018</t>
        </is>
      </c>
      <c r="B1024" s="10" t="inlineStr">
        <is>
          <t>Consulting</t>
        </is>
      </c>
      <c r="C1024" s="10">
        <f>IF($BI1024="","",IF($B1024="Onsite",INDEX(tbl_Onsite[Job Number],$BI1024),IF($B1024="Production",INDEX(tbl_Production[Job Number],$BI1024),INDEX(tbl_Consulting[Job Number],$BI1024)))&amp;"")</f>
        <v/>
      </c>
      <c r="D1024" s="10">
        <f>IF($BI1024="","",IF($B1024="Onsite",INDEX(tbl_Onsite[Client],$BI1024),IF($B1024="Production",INDEX(tbl_Production[Client],$BI1024),INDEX(tbl_Consulting[Client],$BI1024)))&amp;"")</f>
        <v/>
      </c>
      <c r="E1024" s="10">
        <f>IF($C1024="","",IF(COUNTIF(lst_Jobs,$C1024)&gt;0,"OK","CHECK"))</f>
        <v/>
      </c>
      <c r="F1024" s="10">
        <f>IF($C1024="","",IFERROR(INDEX(lst_JobName,MATCH($C1024,lst_Jobs,0)),""))</f>
        <v/>
      </c>
      <c r="G1024" s="10">
        <f>IF($BI1024="","",IF($B1024="Onsite",INDEX(tbl_Onsite[Job Description],$BI1024),IF($B1024="Production",INDEX(tbl_Production[Job Description],$BI1024),INDEX(tbl_Consulting[Job Description],$BI1024)))&amp;"")</f>
        <v/>
      </c>
      <c r="H1024" s="10">
        <f>IF($BI1024="","",IF($B1024="Onsite",INDEX(tbl_Onsite[Cost Centre],$BI1024),IF($B1024="Production",INDEX(tbl_Production[Cost Centre],$BI1024),INDEX(tbl_Consulting[Cost Centre],$BI1024)))&amp;"")</f>
        <v/>
      </c>
      <c r="I1024" s="10">
        <f>IF($BI1024="","",IF($B1024="Onsite",INDEX(tbl_Onsite[Invoice Type],$BI1024),IF($B1024="Production",INDEX(tbl_Production[Invoice Type],$BI1024),INDEX(tbl_Consulting[Invoice Type],$BI1024)))&amp;"")</f>
        <v/>
      </c>
      <c r="J1024" s="10">
        <f>IF($BI1024="","",IF($B1024="Onsite",INDEX(tbl_Onsite[Tax Code],$BI1024),IF($B1024="Production",INDEX(tbl_Production[Tax Code],$BI1024),INDEX(tbl_Consulting[Tax Code],$BI1024)))&amp;"")</f>
        <v/>
      </c>
      <c r="K1024" s="10">
        <f>IF(H1024="","",IFERROR(INDEX(lst_CCtoGL,MATCH(H1024,lst_CCforGL,0)),""))</f>
        <v/>
      </c>
      <c r="L1024" s="10">
        <f>IF($BI1024="","",IF($B1024="Onsite",INDEX(tbl_Onsite[PO / Reference],$BI1024),IF($B1024="Production",INDEX(tbl_Production[Current RMS No],$BI1024),INDEX(tbl_Consulting[Qwilr Quote],$BI1024)))&amp;"")</f>
        <v/>
      </c>
      <c r="M1024" s="10">
        <f>IF($BI1024="","",IF($B1024="Onsite",INDEX(tbl_Onsite[Notes],$BI1024),IF($B1024="Production",INDEX(tbl_Production[Notes],$BI1024),INDEX(tbl_Consulting[Notes],$BI1024)))&amp;"")</f>
        <v/>
      </c>
      <c r="N1024" s="11">
        <f>IF($BI1024="","",IF(IF($B1024="Onsite",INDEX(tbl_Onsite[Expected Revenue Ex GST],$BI1024),IF($B1024="Production",INDEX(tbl_Production[Expected Revenue Ex GST],$BI1024),INDEX(tbl_Consulting[Expected Revenue Ex GST],$BI1024)))="","",IF($B1024="Onsite",INDEX(tbl_Onsite[Expected Revenue Ex GST],$BI1024),IF($B1024="Production",INDEX(tbl_Production[Expected Revenue Ex GST],$BI1024),INDEX(tbl_Consulting[Expected Revenue Ex GST],$BI1024)))))</f>
        <v/>
      </c>
      <c r="O1024" s="11">
        <f>IF(AND($C1024="",NOT(COUNTA($S1024:$BB1024)&gt;0)),"",SUM(U1024,X1024,AA1024,AD1024,AG1024,AJ1024,AM1024,AP1024,AS1024,AV1024,AY1024,BB1024))</f>
        <v/>
      </c>
      <c r="P1024" s="11">
        <f>IF(O1024="","",N(N1024)-O1024)</f>
        <v/>
      </c>
      <c r="Q1024" s="10">
        <f>IF(O1024="","",IF($C1024="","Invoice on empty job row",IF(N1024="",IF(ROUND(O1024,2)=0,"No dept value","Invoiced - no dept value"),IF(ROUND(O1024,2)=0,"Not invoiced - to invoice",IF(ROUND(P1024,2)=0,"Agrees",IF(P1024&gt;0,"Dept higher - to invoice","Xero higher - check dept"))))))</f>
        <v/>
      </c>
      <c r="R1024" s="10">
        <f>IF(AND($C1024="",NOT(COUNTA($S1024:$BB1024)&gt;0),$BI1024&lt;&gt;""),"",MID(IF($BI1024="","; Row ID not found on the department sheet - a row was deleted","")&amp;IF(AND($C1024="",COUNTA($S1024:$BB1024)&gt;0),"; Invoice entered but the department row has no job number","")&amp;IF(E1024="CHECK","; Job number not in the Xero job list","")&amp;IF(AND($C1024&lt;&gt;"",COUNTIF($C$7:$C$1506,$C1024)&gt;1),"; Job number on more than one row","")&amp;IF(AND($C1024&lt;&gt;"",H1024=""),"; Dept has not set a cost centre","")&amp;IF(AND($C1024&lt;&gt;"",J1024=""),"; Dept has not set a tax code","")&amp;IF(AND($C1024&lt;&gt;"",N1024=""),"; Dept has not entered an expected value","")&amp;IF((IF(OR(COUNTA(S1024:U1024)=0,AND(COUNTA(S1024:U1024)=3,ISNUMBER(U1024))),0,1)+IF(OR(COUNTA(V1024:X1024)=0,AND(COUNTA(V1024:X1024)=3,ISNUMBER(X1024))),0,1)+IF(OR(COUNTA(Y1024:AA1024)=0,AND(COUNTA(Y1024:AA1024)=3,ISNUMBER(AA1024))),0,1)+IF(OR(COUNTA(AB1024:AD1024)=0,AND(COUNTA(AB1024:AD1024)=3,ISNUMBER(AD1024))),0,1)+IF(OR(COUNTA(AE1024:AG1024)=0,AND(COUNTA(AE1024:AG1024)=3,ISNUMBER(AG1024))),0,1)+IF(OR(COUNTA(AH1024:AJ1024)=0,AND(COUNTA(AH1024:AJ1024)=3,ISNUMBER(AJ1024))),0,1)+IF(OR(COUNTA(AK1024:AM1024)=0,AND(COUNTA(AK1024:AM1024)=3,ISNUMBER(AM1024))),0,1)+IF(OR(COUNTA(AN1024:AP1024)=0,AND(COUNTA(AN1024:AP1024)=3,ISNUMBER(AP1024))),0,1)+IF(OR(COUNTA(AQ1024:AS1024)=0,AND(COUNTA(AQ1024:AS1024)=3,ISNUMBER(AS1024))),0,1)+IF(OR(COUNTA(AT1024:AV1024)=0,AND(COUNTA(AT1024:AV1024)=3,ISNUMBER(AV1024))),0,1)+IF(OR(COUNTA(AW1024:AY1024)=0,AND(COUNTA(AW1024:AY1024)=3,ISNUMBER(AY1024))),0,1)+IF(OR(COUNTA(AZ1024:BB1024)=0,AND(COUNTA(AZ1024:BB1024)=3,ISNUMBER(BB1024))),0,1))&gt;0,"; An invoice is incomplete (needs No, Date and a number in Ex GST)","")&amp;IF((IF(T1024="",0,IFERROR(--(EOMONTH(T1024,0)&lt;&gt;S$5),1))+IF(W1024="",0,IFERROR(--(EOMONTH(W1024,0)&lt;&gt;V$5),1))+IF(Z1024="",0,IFERROR(--(EOMONTH(Z1024,0)&lt;&gt;Y$5),1))+IF(AC1024="",0,IFERROR(--(EOMONTH(AC1024,0)&lt;&gt;AB$5),1))+IF(AF1024="",0,IFERROR(--(EOMONTH(AF1024,0)&lt;&gt;AE$5),1))+IF(AI1024="",0,IFERROR(--(EOMONTH(AI1024,0)&lt;&gt;AH$5),1))+IF(AL1024="",0,IFERROR(--(EOMONTH(AL1024,0)&lt;&gt;AK$5),1))+IF(AO1024="",0,IFERROR(--(EOMONTH(AO1024,0)&lt;&gt;AN$5),1))+IF(AR1024="",0,IFERROR(--(EOMONTH(AR1024,0)&lt;&gt;AQ$5),1))+IF(AU1024="",0,IFERROR(--(EOMONTH(AU1024,0)&lt;&gt;AT$5),1))+IF(AX1024="",0,IFERROR(--(EOMONTH(AX1024,0)&lt;&gt;AW$5),1))+IF(BA1024="",0,IFERROR(--(EOMONTH(BA1024,0)&lt;&gt;AZ$5),1)))&gt;0,"; An invoice date is not in the month it is typed under",""),3,500))</f>
        <v/>
      </c>
      <c r="S1024" s="12" t="n"/>
      <c r="T1024" s="13" t="n"/>
      <c r="U1024" s="14" t="n"/>
      <c r="V1024" s="12" t="n"/>
      <c r="W1024" s="13" t="n"/>
      <c r="X1024" s="14" t="n"/>
      <c r="Y1024" s="12" t="n"/>
      <c r="Z1024" s="13" t="n"/>
      <c r="AA1024" s="14" t="n"/>
      <c r="AB1024" s="12" t="n"/>
      <c r="AC1024" s="13" t="n"/>
      <c r="AD1024" s="14" t="n"/>
      <c r="AE1024" s="12" t="n"/>
      <c r="AF1024" s="13" t="n"/>
      <c r="AG1024" s="14" t="n"/>
      <c r="AH1024" s="12" t="n"/>
      <c r="AI1024" s="13" t="n"/>
      <c r="AJ1024" s="14" t="n"/>
      <c r="AK1024" s="12" t="n"/>
      <c r="AL1024" s="13" t="n"/>
      <c r="AM1024" s="14" t="n"/>
      <c r="AN1024" s="12" t="n"/>
      <c r="AO1024" s="13" t="n"/>
      <c r="AP1024" s="14" t="n"/>
      <c r="AQ1024" s="12" t="n"/>
      <c r="AR1024" s="13" t="n"/>
      <c r="AS1024" s="14" t="n"/>
      <c r="AT1024" s="12" t="n"/>
      <c r="AU1024" s="13" t="n"/>
      <c r="AV1024" s="14" t="n"/>
      <c r="AW1024" s="12" t="n"/>
      <c r="AX1024" s="13" t="n"/>
      <c r="AY1024" s="14" t="n"/>
      <c r="AZ1024" s="12" t="n"/>
      <c r="BA1024" s="13" t="n"/>
      <c r="BB1024" s="14" t="n"/>
      <c r="BC1024" s="11">
        <f>IF(O1024="","",IF(J1024="GST 10%",ROUND(O1024*set_GSTRate,2),0))</f>
        <v/>
      </c>
      <c r="BD1024" s="11">
        <f>IF(O1024="","",O1024+BC1024)</f>
        <v/>
      </c>
      <c r="BE1024" s="15">
        <f>IF(O1024="","",COUNTA(S1024,V1024,Y1024,AB1024,AE1024,AH1024,AK1024,AN1024,AQ1024,AT1024,AW1024,AZ1024))</f>
        <v/>
      </c>
      <c r="BF1024" s="16">
        <f>IF(COUNT(T1024,W1024,Z1024,AC1024,AF1024,AI1024,AL1024,AO1024,AR1024,AU1024,AX1024,BA1024)=0,"",MAX(T1024,W1024,Z1024,AC1024,AF1024,AI1024,AL1024,AO1024,AR1024,AU1024,AX1024,BA1024))</f>
        <v/>
      </c>
      <c r="BG1024" s="10">
        <f>MID(IF(S1024="","",", "&amp;S1024)&amp;IF(V1024="","",", "&amp;V1024)&amp;IF(Y1024="","",", "&amp;Y1024)&amp;IF(AB1024="","",", "&amp;AB1024)&amp;IF(AE1024="","",", "&amp;AE1024)&amp;IF(AH1024="","",", "&amp;AH1024)&amp;IF(AK1024="","",", "&amp;AK1024)&amp;IF(AN1024="","",", "&amp;AN1024)&amp;IF(AQ1024="","",", "&amp;AQ1024)&amp;IF(AT1024="","",", "&amp;AT1024)&amp;IF(AW1024="","",", "&amp;AW1024)&amp;IF(AZ1024="","",", "&amp;AZ1024),3,500)</f>
        <v/>
      </c>
      <c r="BH1024" s="12" t="n"/>
      <c r="BI1024" s="15">
        <f>IFERROR(MATCH($A1024,IF($B1024="Onsite",tbl_Onsite[Row ID],IF($B1024="Production",tbl_Production[Row ID],tbl_Consulting[Row ID])),0),"")</f>
        <v/>
      </c>
    </row>
    <row r="1025">
      <c r="A1025" s="10" t="inlineStr">
        <is>
          <t>CON-0019</t>
        </is>
      </c>
      <c r="B1025" s="10" t="inlineStr">
        <is>
          <t>Consulting</t>
        </is>
      </c>
      <c r="C1025" s="10">
        <f>IF($BI1025="","",IF($B1025="Onsite",INDEX(tbl_Onsite[Job Number],$BI1025),IF($B1025="Production",INDEX(tbl_Production[Job Number],$BI1025),INDEX(tbl_Consulting[Job Number],$BI1025)))&amp;"")</f>
        <v/>
      </c>
      <c r="D1025" s="10">
        <f>IF($BI1025="","",IF($B1025="Onsite",INDEX(tbl_Onsite[Client],$BI1025),IF($B1025="Production",INDEX(tbl_Production[Client],$BI1025),INDEX(tbl_Consulting[Client],$BI1025)))&amp;"")</f>
        <v/>
      </c>
      <c r="E1025" s="10">
        <f>IF($C1025="","",IF(COUNTIF(lst_Jobs,$C1025)&gt;0,"OK","CHECK"))</f>
        <v/>
      </c>
      <c r="F1025" s="10">
        <f>IF($C1025="","",IFERROR(INDEX(lst_JobName,MATCH($C1025,lst_Jobs,0)),""))</f>
        <v/>
      </c>
      <c r="G1025" s="10">
        <f>IF($BI1025="","",IF($B1025="Onsite",INDEX(tbl_Onsite[Job Description],$BI1025),IF($B1025="Production",INDEX(tbl_Production[Job Description],$BI1025),INDEX(tbl_Consulting[Job Description],$BI1025)))&amp;"")</f>
        <v/>
      </c>
      <c r="H1025" s="10">
        <f>IF($BI1025="","",IF($B1025="Onsite",INDEX(tbl_Onsite[Cost Centre],$BI1025),IF($B1025="Production",INDEX(tbl_Production[Cost Centre],$BI1025),INDEX(tbl_Consulting[Cost Centre],$BI1025)))&amp;"")</f>
        <v/>
      </c>
      <c r="I1025" s="10">
        <f>IF($BI1025="","",IF($B1025="Onsite",INDEX(tbl_Onsite[Invoice Type],$BI1025),IF($B1025="Production",INDEX(tbl_Production[Invoice Type],$BI1025),INDEX(tbl_Consulting[Invoice Type],$BI1025)))&amp;"")</f>
        <v/>
      </c>
      <c r="J1025" s="10">
        <f>IF($BI1025="","",IF($B1025="Onsite",INDEX(tbl_Onsite[Tax Code],$BI1025),IF($B1025="Production",INDEX(tbl_Production[Tax Code],$BI1025),INDEX(tbl_Consulting[Tax Code],$BI1025)))&amp;"")</f>
        <v/>
      </c>
      <c r="K1025" s="10">
        <f>IF(H1025="","",IFERROR(INDEX(lst_CCtoGL,MATCH(H1025,lst_CCforGL,0)),""))</f>
        <v/>
      </c>
      <c r="L1025" s="10">
        <f>IF($BI1025="","",IF($B1025="Onsite",INDEX(tbl_Onsite[PO / Reference],$BI1025),IF($B1025="Production",INDEX(tbl_Production[Current RMS No],$BI1025),INDEX(tbl_Consulting[Qwilr Quote],$BI1025)))&amp;"")</f>
        <v/>
      </c>
      <c r="M1025" s="10">
        <f>IF($BI1025="","",IF($B1025="Onsite",INDEX(tbl_Onsite[Notes],$BI1025),IF($B1025="Production",INDEX(tbl_Production[Notes],$BI1025),INDEX(tbl_Consulting[Notes],$BI1025)))&amp;"")</f>
        <v/>
      </c>
      <c r="N1025" s="11">
        <f>IF($BI1025="","",IF(IF($B1025="Onsite",INDEX(tbl_Onsite[Expected Revenue Ex GST],$BI1025),IF($B1025="Production",INDEX(tbl_Production[Expected Revenue Ex GST],$BI1025),INDEX(tbl_Consulting[Expected Revenue Ex GST],$BI1025)))="","",IF($B1025="Onsite",INDEX(tbl_Onsite[Expected Revenue Ex GST],$BI1025),IF($B1025="Production",INDEX(tbl_Production[Expected Revenue Ex GST],$BI1025),INDEX(tbl_Consulting[Expected Revenue Ex GST],$BI1025)))))</f>
        <v/>
      </c>
      <c r="O1025" s="11">
        <f>IF(AND($C1025="",NOT(COUNTA($S1025:$BB1025)&gt;0)),"",SUM(U1025,X1025,AA1025,AD1025,AG1025,AJ1025,AM1025,AP1025,AS1025,AV1025,AY1025,BB1025))</f>
        <v/>
      </c>
      <c r="P1025" s="11">
        <f>IF(O1025="","",N(N1025)-O1025)</f>
        <v/>
      </c>
      <c r="Q1025" s="10">
        <f>IF(O1025="","",IF($C1025="","Invoice on empty job row",IF(N1025="",IF(ROUND(O1025,2)=0,"No dept value","Invoiced - no dept value"),IF(ROUND(O1025,2)=0,"Not invoiced - to invoice",IF(ROUND(P1025,2)=0,"Agrees",IF(P1025&gt;0,"Dept higher - to invoice","Xero higher - check dept"))))))</f>
        <v/>
      </c>
      <c r="R1025" s="10">
        <f>IF(AND($C1025="",NOT(COUNTA($S1025:$BB1025)&gt;0),$BI1025&lt;&gt;""),"",MID(IF($BI1025="","; Row ID not found on the department sheet - a row was deleted","")&amp;IF(AND($C1025="",COUNTA($S1025:$BB1025)&gt;0),"; Invoice entered but the department row has no job number","")&amp;IF(E1025="CHECK","; Job number not in the Xero job list","")&amp;IF(AND($C1025&lt;&gt;"",COUNTIF($C$7:$C$1506,$C1025)&gt;1),"; Job number on more than one row","")&amp;IF(AND($C1025&lt;&gt;"",H1025=""),"; Dept has not set a cost centre","")&amp;IF(AND($C1025&lt;&gt;"",J1025=""),"; Dept has not set a tax code","")&amp;IF(AND($C1025&lt;&gt;"",N1025=""),"; Dept has not entered an expected value","")&amp;IF((IF(OR(COUNTA(S1025:U1025)=0,AND(COUNTA(S1025:U1025)=3,ISNUMBER(U1025))),0,1)+IF(OR(COUNTA(V1025:X1025)=0,AND(COUNTA(V1025:X1025)=3,ISNUMBER(X1025))),0,1)+IF(OR(COUNTA(Y1025:AA1025)=0,AND(COUNTA(Y1025:AA1025)=3,ISNUMBER(AA1025))),0,1)+IF(OR(COUNTA(AB1025:AD1025)=0,AND(COUNTA(AB1025:AD1025)=3,ISNUMBER(AD1025))),0,1)+IF(OR(COUNTA(AE1025:AG1025)=0,AND(COUNTA(AE1025:AG1025)=3,ISNUMBER(AG1025))),0,1)+IF(OR(COUNTA(AH1025:AJ1025)=0,AND(COUNTA(AH1025:AJ1025)=3,ISNUMBER(AJ1025))),0,1)+IF(OR(COUNTA(AK1025:AM1025)=0,AND(COUNTA(AK1025:AM1025)=3,ISNUMBER(AM1025))),0,1)+IF(OR(COUNTA(AN1025:AP1025)=0,AND(COUNTA(AN1025:AP1025)=3,ISNUMBER(AP1025))),0,1)+IF(OR(COUNTA(AQ1025:AS1025)=0,AND(COUNTA(AQ1025:AS1025)=3,ISNUMBER(AS1025))),0,1)+IF(OR(COUNTA(AT1025:AV1025)=0,AND(COUNTA(AT1025:AV1025)=3,ISNUMBER(AV1025))),0,1)+IF(OR(COUNTA(AW1025:AY1025)=0,AND(COUNTA(AW1025:AY1025)=3,ISNUMBER(AY1025))),0,1)+IF(OR(COUNTA(AZ1025:BB1025)=0,AND(COUNTA(AZ1025:BB1025)=3,ISNUMBER(BB1025))),0,1))&gt;0,"; An invoice is incomplete (needs No, Date and a number in Ex GST)","")&amp;IF((IF(T1025="",0,IFERROR(--(EOMONTH(T1025,0)&lt;&gt;S$5),1))+IF(W1025="",0,IFERROR(--(EOMONTH(W1025,0)&lt;&gt;V$5),1))+IF(Z1025="",0,IFERROR(--(EOMONTH(Z1025,0)&lt;&gt;Y$5),1))+IF(AC1025="",0,IFERROR(--(EOMONTH(AC1025,0)&lt;&gt;AB$5),1))+IF(AF1025="",0,IFERROR(--(EOMONTH(AF1025,0)&lt;&gt;AE$5),1))+IF(AI1025="",0,IFERROR(--(EOMONTH(AI1025,0)&lt;&gt;AH$5),1))+IF(AL1025="",0,IFERROR(--(EOMONTH(AL1025,0)&lt;&gt;AK$5),1))+IF(AO1025="",0,IFERROR(--(EOMONTH(AO1025,0)&lt;&gt;AN$5),1))+IF(AR1025="",0,IFERROR(--(EOMONTH(AR1025,0)&lt;&gt;AQ$5),1))+IF(AU1025="",0,IFERROR(--(EOMONTH(AU1025,0)&lt;&gt;AT$5),1))+IF(AX1025="",0,IFERROR(--(EOMONTH(AX1025,0)&lt;&gt;AW$5),1))+IF(BA1025="",0,IFERROR(--(EOMONTH(BA1025,0)&lt;&gt;AZ$5),1)))&gt;0,"; An invoice date is not in the month it is typed under",""),3,500))</f>
        <v/>
      </c>
      <c r="S1025" s="12" t="n"/>
      <c r="T1025" s="13" t="n"/>
      <c r="U1025" s="14" t="n"/>
      <c r="V1025" s="12" t="n"/>
      <c r="W1025" s="13" t="n"/>
      <c r="X1025" s="14" t="n"/>
      <c r="Y1025" s="12" t="n"/>
      <c r="Z1025" s="13" t="n"/>
      <c r="AA1025" s="14" t="n"/>
      <c r="AB1025" s="12" t="n"/>
      <c r="AC1025" s="13" t="n"/>
      <c r="AD1025" s="14" t="n"/>
      <c r="AE1025" s="12" t="n"/>
      <c r="AF1025" s="13" t="n"/>
      <c r="AG1025" s="14" t="n"/>
      <c r="AH1025" s="12" t="n"/>
      <c r="AI1025" s="13" t="n"/>
      <c r="AJ1025" s="14" t="n"/>
      <c r="AK1025" s="12" t="n"/>
      <c r="AL1025" s="13" t="n"/>
      <c r="AM1025" s="14" t="n"/>
      <c r="AN1025" s="12" t="n"/>
      <c r="AO1025" s="13" t="n"/>
      <c r="AP1025" s="14" t="n"/>
      <c r="AQ1025" s="12" t="n"/>
      <c r="AR1025" s="13" t="n"/>
      <c r="AS1025" s="14" t="n"/>
      <c r="AT1025" s="12" t="n"/>
      <c r="AU1025" s="13" t="n"/>
      <c r="AV1025" s="14" t="n"/>
      <c r="AW1025" s="12" t="n"/>
      <c r="AX1025" s="13" t="n"/>
      <c r="AY1025" s="14" t="n"/>
      <c r="AZ1025" s="12" t="n"/>
      <c r="BA1025" s="13" t="n"/>
      <c r="BB1025" s="14" t="n"/>
      <c r="BC1025" s="11">
        <f>IF(O1025="","",IF(J1025="GST 10%",ROUND(O1025*set_GSTRate,2),0))</f>
        <v/>
      </c>
      <c r="BD1025" s="11">
        <f>IF(O1025="","",O1025+BC1025)</f>
        <v/>
      </c>
      <c r="BE1025" s="15">
        <f>IF(O1025="","",COUNTA(S1025,V1025,Y1025,AB1025,AE1025,AH1025,AK1025,AN1025,AQ1025,AT1025,AW1025,AZ1025))</f>
        <v/>
      </c>
      <c r="BF1025" s="16">
        <f>IF(COUNT(T1025,W1025,Z1025,AC1025,AF1025,AI1025,AL1025,AO1025,AR1025,AU1025,AX1025,BA1025)=0,"",MAX(T1025,W1025,Z1025,AC1025,AF1025,AI1025,AL1025,AO1025,AR1025,AU1025,AX1025,BA1025))</f>
        <v/>
      </c>
      <c r="BG1025" s="10">
        <f>MID(IF(S1025="","",", "&amp;S1025)&amp;IF(V1025="","",", "&amp;V1025)&amp;IF(Y1025="","",", "&amp;Y1025)&amp;IF(AB1025="","",", "&amp;AB1025)&amp;IF(AE1025="","",", "&amp;AE1025)&amp;IF(AH1025="","",", "&amp;AH1025)&amp;IF(AK1025="","",", "&amp;AK1025)&amp;IF(AN1025="","",", "&amp;AN1025)&amp;IF(AQ1025="","",", "&amp;AQ1025)&amp;IF(AT1025="","",", "&amp;AT1025)&amp;IF(AW1025="","",", "&amp;AW1025)&amp;IF(AZ1025="","",", "&amp;AZ1025),3,500)</f>
        <v/>
      </c>
      <c r="BH1025" s="12" t="n"/>
      <c r="BI1025" s="15">
        <f>IFERROR(MATCH($A1025,IF($B1025="Onsite",tbl_Onsite[Row ID],IF($B1025="Production",tbl_Production[Row ID],tbl_Consulting[Row ID])),0),"")</f>
        <v/>
      </c>
    </row>
    <row r="1026">
      <c r="A1026" s="10" t="inlineStr">
        <is>
          <t>CON-0020</t>
        </is>
      </c>
      <c r="B1026" s="10" t="inlineStr">
        <is>
          <t>Consulting</t>
        </is>
      </c>
      <c r="C1026" s="10">
        <f>IF($BI1026="","",IF($B1026="Onsite",INDEX(tbl_Onsite[Job Number],$BI1026),IF($B1026="Production",INDEX(tbl_Production[Job Number],$BI1026),INDEX(tbl_Consulting[Job Number],$BI1026)))&amp;"")</f>
        <v/>
      </c>
      <c r="D1026" s="10">
        <f>IF($BI1026="","",IF($B1026="Onsite",INDEX(tbl_Onsite[Client],$BI1026),IF($B1026="Production",INDEX(tbl_Production[Client],$BI1026),INDEX(tbl_Consulting[Client],$BI1026)))&amp;"")</f>
        <v/>
      </c>
      <c r="E1026" s="10">
        <f>IF($C1026="","",IF(COUNTIF(lst_Jobs,$C1026)&gt;0,"OK","CHECK"))</f>
        <v/>
      </c>
      <c r="F1026" s="10">
        <f>IF($C1026="","",IFERROR(INDEX(lst_JobName,MATCH($C1026,lst_Jobs,0)),""))</f>
        <v/>
      </c>
      <c r="G1026" s="10">
        <f>IF($BI1026="","",IF($B1026="Onsite",INDEX(tbl_Onsite[Job Description],$BI1026),IF($B1026="Production",INDEX(tbl_Production[Job Description],$BI1026),INDEX(tbl_Consulting[Job Description],$BI1026)))&amp;"")</f>
        <v/>
      </c>
      <c r="H1026" s="10">
        <f>IF($BI1026="","",IF($B1026="Onsite",INDEX(tbl_Onsite[Cost Centre],$BI1026),IF($B1026="Production",INDEX(tbl_Production[Cost Centre],$BI1026),INDEX(tbl_Consulting[Cost Centre],$BI1026)))&amp;"")</f>
        <v/>
      </c>
      <c r="I1026" s="10">
        <f>IF($BI1026="","",IF($B1026="Onsite",INDEX(tbl_Onsite[Invoice Type],$BI1026),IF($B1026="Production",INDEX(tbl_Production[Invoice Type],$BI1026),INDEX(tbl_Consulting[Invoice Type],$BI1026)))&amp;"")</f>
        <v/>
      </c>
      <c r="J1026" s="10">
        <f>IF($BI1026="","",IF($B1026="Onsite",INDEX(tbl_Onsite[Tax Code],$BI1026),IF($B1026="Production",INDEX(tbl_Production[Tax Code],$BI1026),INDEX(tbl_Consulting[Tax Code],$BI1026)))&amp;"")</f>
        <v/>
      </c>
      <c r="K1026" s="10">
        <f>IF(H1026="","",IFERROR(INDEX(lst_CCtoGL,MATCH(H1026,lst_CCforGL,0)),""))</f>
        <v/>
      </c>
      <c r="L1026" s="10">
        <f>IF($BI1026="","",IF($B1026="Onsite",INDEX(tbl_Onsite[PO / Reference],$BI1026),IF($B1026="Production",INDEX(tbl_Production[Current RMS No],$BI1026),INDEX(tbl_Consulting[Qwilr Quote],$BI1026)))&amp;"")</f>
        <v/>
      </c>
      <c r="M1026" s="10">
        <f>IF($BI1026="","",IF($B1026="Onsite",INDEX(tbl_Onsite[Notes],$BI1026),IF($B1026="Production",INDEX(tbl_Production[Notes],$BI1026),INDEX(tbl_Consulting[Notes],$BI1026)))&amp;"")</f>
        <v/>
      </c>
      <c r="N1026" s="11">
        <f>IF($BI1026="","",IF(IF($B1026="Onsite",INDEX(tbl_Onsite[Expected Revenue Ex GST],$BI1026),IF($B1026="Production",INDEX(tbl_Production[Expected Revenue Ex GST],$BI1026),INDEX(tbl_Consulting[Expected Revenue Ex GST],$BI1026)))="","",IF($B1026="Onsite",INDEX(tbl_Onsite[Expected Revenue Ex GST],$BI1026),IF($B1026="Production",INDEX(tbl_Production[Expected Revenue Ex GST],$BI1026),INDEX(tbl_Consulting[Expected Revenue Ex GST],$BI1026)))))</f>
        <v/>
      </c>
      <c r="O1026" s="11">
        <f>IF(AND($C1026="",NOT(COUNTA($S1026:$BB1026)&gt;0)),"",SUM(U1026,X1026,AA1026,AD1026,AG1026,AJ1026,AM1026,AP1026,AS1026,AV1026,AY1026,BB1026))</f>
        <v/>
      </c>
      <c r="P1026" s="11">
        <f>IF(O1026="","",N(N1026)-O1026)</f>
        <v/>
      </c>
      <c r="Q1026" s="10">
        <f>IF(O1026="","",IF($C1026="","Invoice on empty job row",IF(N1026="",IF(ROUND(O1026,2)=0,"No dept value","Invoiced - no dept value"),IF(ROUND(O1026,2)=0,"Not invoiced - to invoice",IF(ROUND(P1026,2)=0,"Agrees",IF(P1026&gt;0,"Dept higher - to invoice","Xero higher - check dept"))))))</f>
        <v/>
      </c>
      <c r="R1026" s="10">
        <f>IF(AND($C1026="",NOT(COUNTA($S1026:$BB1026)&gt;0),$BI1026&lt;&gt;""),"",MID(IF($BI1026="","; Row ID not found on the department sheet - a row was deleted","")&amp;IF(AND($C1026="",COUNTA($S1026:$BB1026)&gt;0),"; Invoice entered but the department row has no job number","")&amp;IF(E1026="CHECK","; Job number not in the Xero job list","")&amp;IF(AND($C1026&lt;&gt;"",COUNTIF($C$7:$C$1506,$C1026)&gt;1),"; Job number on more than one row","")&amp;IF(AND($C1026&lt;&gt;"",H1026=""),"; Dept has not set a cost centre","")&amp;IF(AND($C1026&lt;&gt;"",J1026=""),"; Dept has not set a tax code","")&amp;IF(AND($C1026&lt;&gt;"",N1026=""),"; Dept has not entered an expected value","")&amp;IF((IF(OR(COUNTA(S1026:U1026)=0,AND(COUNTA(S1026:U1026)=3,ISNUMBER(U1026))),0,1)+IF(OR(COUNTA(V1026:X1026)=0,AND(COUNTA(V1026:X1026)=3,ISNUMBER(X1026))),0,1)+IF(OR(COUNTA(Y1026:AA1026)=0,AND(COUNTA(Y1026:AA1026)=3,ISNUMBER(AA1026))),0,1)+IF(OR(COUNTA(AB1026:AD1026)=0,AND(COUNTA(AB1026:AD1026)=3,ISNUMBER(AD1026))),0,1)+IF(OR(COUNTA(AE1026:AG1026)=0,AND(COUNTA(AE1026:AG1026)=3,ISNUMBER(AG1026))),0,1)+IF(OR(COUNTA(AH1026:AJ1026)=0,AND(COUNTA(AH1026:AJ1026)=3,ISNUMBER(AJ1026))),0,1)+IF(OR(COUNTA(AK1026:AM1026)=0,AND(COUNTA(AK1026:AM1026)=3,ISNUMBER(AM1026))),0,1)+IF(OR(COUNTA(AN1026:AP1026)=0,AND(COUNTA(AN1026:AP1026)=3,ISNUMBER(AP1026))),0,1)+IF(OR(COUNTA(AQ1026:AS1026)=0,AND(COUNTA(AQ1026:AS1026)=3,ISNUMBER(AS1026))),0,1)+IF(OR(COUNTA(AT1026:AV1026)=0,AND(COUNTA(AT1026:AV1026)=3,ISNUMBER(AV1026))),0,1)+IF(OR(COUNTA(AW1026:AY1026)=0,AND(COUNTA(AW1026:AY1026)=3,ISNUMBER(AY1026))),0,1)+IF(OR(COUNTA(AZ1026:BB1026)=0,AND(COUNTA(AZ1026:BB1026)=3,ISNUMBER(BB1026))),0,1))&gt;0,"; An invoice is incomplete (needs No, Date and a number in Ex GST)","")&amp;IF((IF(T1026="",0,IFERROR(--(EOMONTH(T1026,0)&lt;&gt;S$5),1))+IF(W1026="",0,IFERROR(--(EOMONTH(W1026,0)&lt;&gt;V$5),1))+IF(Z1026="",0,IFERROR(--(EOMONTH(Z1026,0)&lt;&gt;Y$5),1))+IF(AC1026="",0,IFERROR(--(EOMONTH(AC1026,0)&lt;&gt;AB$5),1))+IF(AF1026="",0,IFERROR(--(EOMONTH(AF1026,0)&lt;&gt;AE$5),1))+IF(AI1026="",0,IFERROR(--(EOMONTH(AI1026,0)&lt;&gt;AH$5),1))+IF(AL1026="",0,IFERROR(--(EOMONTH(AL1026,0)&lt;&gt;AK$5),1))+IF(AO1026="",0,IFERROR(--(EOMONTH(AO1026,0)&lt;&gt;AN$5),1))+IF(AR1026="",0,IFERROR(--(EOMONTH(AR1026,0)&lt;&gt;AQ$5),1))+IF(AU1026="",0,IFERROR(--(EOMONTH(AU1026,0)&lt;&gt;AT$5),1))+IF(AX1026="",0,IFERROR(--(EOMONTH(AX1026,0)&lt;&gt;AW$5),1))+IF(BA1026="",0,IFERROR(--(EOMONTH(BA1026,0)&lt;&gt;AZ$5),1)))&gt;0,"; An invoice date is not in the month it is typed under",""),3,500))</f>
        <v/>
      </c>
      <c r="S1026" s="12" t="n"/>
      <c r="T1026" s="13" t="n"/>
      <c r="U1026" s="14" t="n"/>
      <c r="V1026" s="12" t="n"/>
      <c r="W1026" s="13" t="n"/>
      <c r="X1026" s="14" t="n"/>
      <c r="Y1026" s="12" t="n"/>
      <c r="Z1026" s="13" t="n"/>
      <c r="AA1026" s="14" t="n"/>
      <c r="AB1026" s="12" t="n"/>
      <c r="AC1026" s="13" t="n"/>
      <c r="AD1026" s="14" t="n"/>
      <c r="AE1026" s="12" t="n"/>
      <c r="AF1026" s="13" t="n"/>
      <c r="AG1026" s="14" t="n"/>
      <c r="AH1026" s="12" t="n"/>
      <c r="AI1026" s="13" t="n"/>
      <c r="AJ1026" s="14" t="n"/>
      <c r="AK1026" s="12" t="n"/>
      <c r="AL1026" s="13" t="n"/>
      <c r="AM1026" s="14" t="n"/>
      <c r="AN1026" s="12" t="n"/>
      <c r="AO1026" s="13" t="n"/>
      <c r="AP1026" s="14" t="n"/>
      <c r="AQ1026" s="12" t="n"/>
      <c r="AR1026" s="13" t="n"/>
      <c r="AS1026" s="14" t="n"/>
      <c r="AT1026" s="12" t="n"/>
      <c r="AU1026" s="13" t="n"/>
      <c r="AV1026" s="14" t="n"/>
      <c r="AW1026" s="12" t="n"/>
      <c r="AX1026" s="13" t="n"/>
      <c r="AY1026" s="14" t="n"/>
      <c r="AZ1026" s="12" t="n"/>
      <c r="BA1026" s="13" t="n"/>
      <c r="BB1026" s="14" t="n"/>
      <c r="BC1026" s="11">
        <f>IF(O1026="","",IF(J1026="GST 10%",ROUND(O1026*set_GSTRate,2),0))</f>
        <v/>
      </c>
      <c r="BD1026" s="11">
        <f>IF(O1026="","",O1026+BC1026)</f>
        <v/>
      </c>
      <c r="BE1026" s="15">
        <f>IF(O1026="","",COUNTA(S1026,V1026,Y1026,AB1026,AE1026,AH1026,AK1026,AN1026,AQ1026,AT1026,AW1026,AZ1026))</f>
        <v/>
      </c>
      <c r="BF1026" s="16">
        <f>IF(COUNT(T1026,W1026,Z1026,AC1026,AF1026,AI1026,AL1026,AO1026,AR1026,AU1026,AX1026,BA1026)=0,"",MAX(T1026,W1026,Z1026,AC1026,AF1026,AI1026,AL1026,AO1026,AR1026,AU1026,AX1026,BA1026))</f>
        <v/>
      </c>
      <c r="BG1026" s="10">
        <f>MID(IF(S1026="","",", "&amp;S1026)&amp;IF(V1026="","",", "&amp;V1026)&amp;IF(Y1026="","",", "&amp;Y1026)&amp;IF(AB1026="","",", "&amp;AB1026)&amp;IF(AE1026="","",", "&amp;AE1026)&amp;IF(AH1026="","",", "&amp;AH1026)&amp;IF(AK1026="","",", "&amp;AK1026)&amp;IF(AN1026="","",", "&amp;AN1026)&amp;IF(AQ1026="","",", "&amp;AQ1026)&amp;IF(AT1026="","",", "&amp;AT1026)&amp;IF(AW1026="","",", "&amp;AW1026)&amp;IF(AZ1026="","",", "&amp;AZ1026),3,500)</f>
        <v/>
      </c>
      <c r="BH1026" s="12" t="n"/>
      <c r="BI1026" s="15">
        <f>IFERROR(MATCH($A1026,IF($B1026="Onsite",tbl_Onsite[Row ID],IF($B1026="Production",tbl_Production[Row ID],tbl_Consulting[Row ID])),0),"")</f>
        <v/>
      </c>
    </row>
    <row r="1027">
      <c r="A1027" s="10" t="inlineStr">
        <is>
          <t>CON-0021</t>
        </is>
      </c>
      <c r="B1027" s="10" t="inlineStr">
        <is>
          <t>Consulting</t>
        </is>
      </c>
      <c r="C1027" s="10">
        <f>IF($BI1027="","",IF($B1027="Onsite",INDEX(tbl_Onsite[Job Number],$BI1027),IF($B1027="Production",INDEX(tbl_Production[Job Number],$BI1027),INDEX(tbl_Consulting[Job Number],$BI1027)))&amp;"")</f>
        <v/>
      </c>
      <c r="D1027" s="10">
        <f>IF($BI1027="","",IF($B1027="Onsite",INDEX(tbl_Onsite[Client],$BI1027),IF($B1027="Production",INDEX(tbl_Production[Client],$BI1027),INDEX(tbl_Consulting[Client],$BI1027)))&amp;"")</f>
        <v/>
      </c>
      <c r="E1027" s="10">
        <f>IF($C1027="","",IF(COUNTIF(lst_Jobs,$C1027)&gt;0,"OK","CHECK"))</f>
        <v/>
      </c>
      <c r="F1027" s="10">
        <f>IF($C1027="","",IFERROR(INDEX(lst_JobName,MATCH($C1027,lst_Jobs,0)),""))</f>
        <v/>
      </c>
      <c r="G1027" s="10">
        <f>IF($BI1027="","",IF($B1027="Onsite",INDEX(tbl_Onsite[Job Description],$BI1027),IF($B1027="Production",INDEX(tbl_Production[Job Description],$BI1027),INDEX(tbl_Consulting[Job Description],$BI1027)))&amp;"")</f>
        <v/>
      </c>
      <c r="H1027" s="10">
        <f>IF($BI1027="","",IF($B1027="Onsite",INDEX(tbl_Onsite[Cost Centre],$BI1027),IF($B1027="Production",INDEX(tbl_Production[Cost Centre],$BI1027),INDEX(tbl_Consulting[Cost Centre],$BI1027)))&amp;"")</f>
        <v/>
      </c>
      <c r="I1027" s="10">
        <f>IF($BI1027="","",IF($B1027="Onsite",INDEX(tbl_Onsite[Invoice Type],$BI1027),IF($B1027="Production",INDEX(tbl_Production[Invoice Type],$BI1027),INDEX(tbl_Consulting[Invoice Type],$BI1027)))&amp;"")</f>
        <v/>
      </c>
      <c r="J1027" s="10">
        <f>IF($BI1027="","",IF($B1027="Onsite",INDEX(tbl_Onsite[Tax Code],$BI1027),IF($B1027="Production",INDEX(tbl_Production[Tax Code],$BI1027),INDEX(tbl_Consulting[Tax Code],$BI1027)))&amp;"")</f>
        <v/>
      </c>
      <c r="K1027" s="10">
        <f>IF(H1027="","",IFERROR(INDEX(lst_CCtoGL,MATCH(H1027,lst_CCforGL,0)),""))</f>
        <v/>
      </c>
      <c r="L1027" s="10">
        <f>IF($BI1027="","",IF($B1027="Onsite",INDEX(tbl_Onsite[PO / Reference],$BI1027),IF($B1027="Production",INDEX(tbl_Production[Current RMS No],$BI1027),INDEX(tbl_Consulting[Qwilr Quote],$BI1027)))&amp;"")</f>
        <v/>
      </c>
      <c r="M1027" s="10">
        <f>IF($BI1027="","",IF($B1027="Onsite",INDEX(tbl_Onsite[Notes],$BI1027),IF($B1027="Production",INDEX(tbl_Production[Notes],$BI1027),INDEX(tbl_Consulting[Notes],$BI1027)))&amp;"")</f>
        <v/>
      </c>
      <c r="N1027" s="11">
        <f>IF($BI1027="","",IF(IF($B1027="Onsite",INDEX(tbl_Onsite[Expected Revenue Ex GST],$BI1027),IF($B1027="Production",INDEX(tbl_Production[Expected Revenue Ex GST],$BI1027),INDEX(tbl_Consulting[Expected Revenue Ex GST],$BI1027)))="","",IF($B1027="Onsite",INDEX(tbl_Onsite[Expected Revenue Ex GST],$BI1027),IF($B1027="Production",INDEX(tbl_Production[Expected Revenue Ex GST],$BI1027),INDEX(tbl_Consulting[Expected Revenue Ex GST],$BI1027)))))</f>
        <v/>
      </c>
      <c r="O1027" s="11">
        <f>IF(AND($C1027="",NOT(COUNTA($S1027:$BB1027)&gt;0)),"",SUM(U1027,X1027,AA1027,AD1027,AG1027,AJ1027,AM1027,AP1027,AS1027,AV1027,AY1027,BB1027))</f>
        <v/>
      </c>
      <c r="P1027" s="11">
        <f>IF(O1027="","",N(N1027)-O1027)</f>
        <v/>
      </c>
      <c r="Q1027" s="10">
        <f>IF(O1027="","",IF($C1027="","Invoice on empty job row",IF(N1027="",IF(ROUND(O1027,2)=0,"No dept value","Invoiced - no dept value"),IF(ROUND(O1027,2)=0,"Not invoiced - to invoice",IF(ROUND(P1027,2)=0,"Agrees",IF(P1027&gt;0,"Dept higher - to invoice","Xero higher - check dept"))))))</f>
        <v/>
      </c>
      <c r="R1027" s="10">
        <f>IF(AND($C1027="",NOT(COUNTA($S1027:$BB1027)&gt;0),$BI1027&lt;&gt;""),"",MID(IF($BI1027="","; Row ID not found on the department sheet - a row was deleted","")&amp;IF(AND($C1027="",COUNTA($S1027:$BB1027)&gt;0),"; Invoice entered but the department row has no job number","")&amp;IF(E1027="CHECK","; Job number not in the Xero job list","")&amp;IF(AND($C1027&lt;&gt;"",COUNTIF($C$7:$C$1506,$C1027)&gt;1),"; Job number on more than one row","")&amp;IF(AND($C1027&lt;&gt;"",H1027=""),"; Dept has not set a cost centre","")&amp;IF(AND($C1027&lt;&gt;"",J1027=""),"; Dept has not set a tax code","")&amp;IF(AND($C1027&lt;&gt;"",N1027=""),"; Dept has not entered an expected value","")&amp;IF((IF(OR(COUNTA(S1027:U1027)=0,AND(COUNTA(S1027:U1027)=3,ISNUMBER(U1027))),0,1)+IF(OR(COUNTA(V1027:X1027)=0,AND(COUNTA(V1027:X1027)=3,ISNUMBER(X1027))),0,1)+IF(OR(COUNTA(Y1027:AA1027)=0,AND(COUNTA(Y1027:AA1027)=3,ISNUMBER(AA1027))),0,1)+IF(OR(COUNTA(AB1027:AD1027)=0,AND(COUNTA(AB1027:AD1027)=3,ISNUMBER(AD1027))),0,1)+IF(OR(COUNTA(AE1027:AG1027)=0,AND(COUNTA(AE1027:AG1027)=3,ISNUMBER(AG1027))),0,1)+IF(OR(COUNTA(AH1027:AJ1027)=0,AND(COUNTA(AH1027:AJ1027)=3,ISNUMBER(AJ1027))),0,1)+IF(OR(COUNTA(AK1027:AM1027)=0,AND(COUNTA(AK1027:AM1027)=3,ISNUMBER(AM1027))),0,1)+IF(OR(COUNTA(AN1027:AP1027)=0,AND(COUNTA(AN1027:AP1027)=3,ISNUMBER(AP1027))),0,1)+IF(OR(COUNTA(AQ1027:AS1027)=0,AND(COUNTA(AQ1027:AS1027)=3,ISNUMBER(AS1027))),0,1)+IF(OR(COUNTA(AT1027:AV1027)=0,AND(COUNTA(AT1027:AV1027)=3,ISNUMBER(AV1027))),0,1)+IF(OR(COUNTA(AW1027:AY1027)=0,AND(COUNTA(AW1027:AY1027)=3,ISNUMBER(AY1027))),0,1)+IF(OR(COUNTA(AZ1027:BB1027)=0,AND(COUNTA(AZ1027:BB1027)=3,ISNUMBER(BB1027))),0,1))&gt;0,"; An invoice is incomplete (needs No, Date and a number in Ex GST)","")&amp;IF((IF(T1027="",0,IFERROR(--(EOMONTH(T1027,0)&lt;&gt;S$5),1))+IF(W1027="",0,IFERROR(--(EOMONTH(W1027,0)&lt;&gt;V$5),1))+IF(Z1027="",0,IFERROR(--(EOMONTH(Z1027,0)&lt;&gt;Y$5),1))+IF(AC1027="",0,IFERROR(--(EOMONTH(AC1027,0)&lt;&gt;AB$5),1))+IF(AF1027="",0,IFERROR(--(EOMONTH(AF1027,0)&lt;&gt;AE$5),1))+IF(AI1027="",0,IFERROR(--(EOMONTH(AI1027,0)&lt;&gt;AH$5),1))+IF(AL1027="",0,IFERROR(--(EOMONTH(AL1027,0)&lt;&gt;AK$5),1))+IF(AO1027="",0,IFERROR(--(EOMONTH(AO1027,0)&lt;&gt;AN$5),1))+IF(AR1027="",0,IFERROR(--(EOMONTH(AR1027,0)&lt;&gt;AQ$5),1))+IF(AU1027="",0,IFERROR(--(EOMONTH(AU1027,0)&lt;&gt;AT$5),1))+IF(AX1027="",0,IFERROR(--(EOMONTH(AX1027,0)&lt;&gt;AW$5),1))+IF(BA1027="",0,IFERROR(--(EOMONTH(BA1027,0)&lt;&gt;AZ$5),1)))&gt;0,"; An invoice date is not in the month it is typed under",""),3,500))</f>
        <v/>
      </c>
      <c r="S1027" s="12" t="n"/>
      <c r="T1027" s="13" t="n"/>
      <c r="U1027" s="14" t="n"/>
      <c r="V1027" s="12" t="n"/>
      <c r="W1027" s="13" t="n"/>
      <c r="X1027" s="14" t="n"/>
      <c r="Y1027" s="12" t="n"/>
      <c r="Z1027" s="13" t="n"/>
      <c r="AA1027" s="14" t="n"/>
      <c r="AB1027" s="12" t="n"/>
      <c r="AC1027" s="13" t="n"/>
      <c r="AD1027" s="14" t="n"/>
      <c r="AE1027" s="12" t="n"/>
      <c r="AF1027" s="13" t="n"/>
      <c r="AG1027" s="14" t="n"/>
      <c r="AH1027" s="12" t="n"/>
      <c r="AI1027" s="13" t="n"/>
      <c r="AJ1027" s="14" t="n"/>
      <c r="AK1027" s="12" t="n"/>
      <c r="AL1027" s="13" t="n"/>
      <c r="AM1027" s="14" t="n"/>
      <c r="AN1027" s="12" t="n"/>
      <c r="AO1027" s="13" t="n"/>
      <c r="AP1027" s="14" t="n"/>
      <c r="AQ1027" s="12" t="n"/>
      <c r="AR1027" s="13" t="n"/>
      <c r="AS1027" s="14" t="n"/>
      <c r="AT1027" s="12" t="n"/>
      <c r="AU1027" s="13" t="n"/>
      <c r="AV1027" s="14" t="n"/>
      <c r="AW1027" s="12" t="n"/>
      <c r="AX1027" s="13" t="n"/>
      <c r="AY1027" s="14" t="n"/>
      <c r="AZ1027" s="12" t="n"/>
      <c r="BA1027" s="13" t="n"/>
      <c r="BB1027" s="14" t="n"/>
      <c r="BC1027" s="11">
        <f>IF(O1027="","",IF(J1027="GST 10%",ROUND(O1027*set_GSTRate,2),0))</f>
        <v/>
      </c>
      <c r="BD1027" s="11">
        <f>IF(O1027="","",O1027+BC1027)</f>
        <v/>
      </c>
      <c r="BE1027" s="15">
        <f>IF(O1027="","",COUNTA(S1027,V1027,Y1027,AB1027,AE1027,AH1027,AK1027,AN1027,AQ1027,AT1027,AW1027,AZ1027))</f>
        <v/>
      </c>
      <c r="BF1027" s="16">
        <f>IF(COUNT(T1027,W1027,Z1027,AC1027,AF1027,AI1027,AL1027,AO1027,AR1027,AU1027,AX1027,BA1027)=0,"",MAX(T1027,W1027,Z1027,AC1027,AF1027,AI1027,AL1027,AO1027,AR1027,AU1027,AX1027,BA1027))</f>
        <v/>
      </c>
      <c r="BG1027" s="10">
        <f>MID(IF(S1027="","",", "&amp;S1027)&amp;IF(V1027="","",", "&amp;V1027)&amp;IF(Y1027="","",", "&amp;Y1027)&amp;IF(AB1027="","",", "&amp;AB1027)&amp;IF(AE1027="","",", "&amp;AE1027)&amp;IF(AH1027="","",", "&amp;AH1027)&amp;IF(AK1027="","",", "&amp;AK1027)&amp;IF(AN1027="","",", "&amp;AN1027)&amp;IF(AQ1027="","",", "&amp;AQ1027)&amp;IF(AT1027="","",", "&amp;AT1027)&amp;IF(AW1027="","",", "&amp;AW1027)&amp;IF(AZ1027="","",", "&amp;AZ1027),3,500)</f>
        <v/>
      </c>
      <c r="BH1027" s="12" t="n"/>
      <c r="BI1027" s="15">
        <f>IFERROR(MATCH($A1027,IF($B1027="Onsite",tbl_Onsite[Row ID],IF($B1027="Production",tbl_Production[Row ID],tbl_Consulting[Row ID])),0),"")</f>
        <v/>
      </c>
    </row>
    <row r="1028">
      <c r="A1028" s="10" t="inlineStr">
        <is>
          <t>CON-0022</t>
        </is>
      </c>
      <c r="B1028" s="10" t="inlineStr">
        <is>
          <t>Consulting</t>
        </is>
      </c>
      <c r="C1028" s="10">
        <f>IF($BI1028="","",IF($B1028="Onsite",INDEX(tbl_Onsite[Job Number],$BI1028),IF($B1028="Production",INDEX(tbl_Production[Job Number],$BI1028),INDEX(tbl_Consulting[Job Number],$BI1028)))&amp;"")</f>
        <v/>
      </c>
      <c r="D1028" s="10">
        <f>IF($BI1028="","",IF($B1028="Onsite",INDEX(tbl_Onsite[Client],$BI1028),IF($B1028="Production",INDEX(tbl_Production[Client],$BI1028),INDEX(tbl_Consulting[Client],$BI1028)))&amp;"")</f>
        <v/>
      </c>
      <c r="E1028" s="10">
        <f>IF($C1028="","",IF(COUNTIF(lst_Jobs,$C1028)&gt;0,"OK","CHECK"))</f>
        <v/>
      </c>
      <c r="F1028" s="10">
        <f>IF($C1028="","",IFERROR(INDEX(lst_JobName,MATCH($C1028,lst_Jobs,0)),""))</f>
        <v/>
      </c>
      <c r="G1028" s="10">
        <f>IF($BI1028="","",IF($B1028="Onsite",INDEX(tbl_Onsite[Job Description],$BI1028),IF($B1028="Production",INDEX(tbl_Production[Job Description],$BI1028),INDEX(tbl_Consulting[Job Description],$BI1028)))&amp;"")</f>
        <v/>
      </c>
      <c r="H1028" s="10">
        <f>IF($BI1028="","",IF($B1028="Onsite",INDEX(tbl_Onsite[Cost Centre],$BI1028),IF($B1028="Production",INDEX(tbl_Production[Cost Centre],$BI1028),INDEX(tbl_Consulting[Cost Centre],$BI1028)))&amp;"")</f>
        <v/>
      </c>
      <c r="I1028" s="10">
        <f>IF($BI1028="","",IF($B1028="Onsite",INDEX(tbl_Onsite[Invoice Type],$BI1028),IF($B1028="Production",INDEX(tbl_Production[Invoice Type],$BI1028),INDEX(tbl_Consulting[Invoice Type],$BI1028)))&amp;"")</f>
        <v/>
      </c>
      <c r="J1028" s="10">
        <f>IF($BI1028="","",IF($B1028="Onsite",INDEX(tbl_Onsite[Tax Code],$BI1028),IF($B1028="Production",INDEX(tbl_Production[Tax Code],$BI1028),INDEX(tbl_Consulting[Tax Code],$BI1028)))&amp;"")</f>
        <v/>
      </c>
      <c r="K1028" s="10">
        <f>IF(H1028="","",IFERROR(INDEX(lst_CCtoGL,MATCH(H1028,lst_CCforGL,0)),""))</f>
        <v/>
      </c>
      <c r="L1028" s="10">
        <f>IF($BI1028="","",IF($B1028="Onsite",INDEX(tbl_Onsite[PO / Reference],$BI1028),IF($B1028="Production",INDEX(tbl_Production[Current RMS No],$BI1028),INDEX(tbl_Consulting[Qwilr Quote],$BI1028)))&amp;"")</f>
        <v/>
      </c>
      <c r="M1028" s="10">
        <f>IF($BI1028="","",IF($B1028="Onsite",INDEX(tbl_Onsite[Notes],$BI1028),IF($B1028="Production",INDEX(tbl_Production[Notes],$BI1028),INDEX(tbl_Consulting[Notes],$BI1028)))&amp;"")</f>
        <v/>
      </c>
      <c r="N1028" s="11">
        <f>IF($BI1028="","",IF(IF($B1028="Onsite",INDEX(tbl_Onsite[Expected Revenue Ex GST],$BI1028),IF($B1028="Production",INDEX(tbl_Production[Expected Revenue Ex GST],$BI1028),INDEX(tbl_Consulting[Expected Revenue Ex GST],$BI1028)))="","",IF($B1028="Onsite",INDEX(tbl_Onsite[Expected Revenue Ex GST],$BI1028),IF($B1028="Production",INDEX(tbl_Production[Expected Revenue Ex GST],$BI1028),INDEX(tbl_Consulting[Expected Revenue Ex GST],$BI1028)))))</f>
        <v/>
      </c>
      <c r="O1028" s="11">
        <f>IF(AND($C1028="",NOT(COUNTA($S1028:$BB1028)&gt;0)),"",SUM(U1028,X1028,AA1028,AD1028,AG1028,AJ1028,AM1028,AP1028,AS1028,AV1028,AY1028,BB1028))</f>
        <v/>
      </c>
      <c r="P1028" s="11">
        <f>IF(O1028="","",N(N1028)-O1028)</f>
        <v/>
      </c>
      <c r="Q1028" s="10">
        <f>IF(O1028="","",IF($C1028="","Invoice on empty job row",IF(N1028="",IF(ROUND(O1028,2)=0,"No dept value","Invoiced - no dept value"),IF(ROUND(O1028,2)=0,"Not invoiced - to invoice",IF(ROUND(P1028,2)=0,"Agrees",IF(P1028&gt;0,"Dept higher - to invoice","Xero higher - check dept"))))))</f>
        <v/>
      </c>
      <c r="R1028" s="10">
        <f>IF(AND($C1028="",NOT(COUNTA($S1028:$BB1028)&gt;0),$BI1028&lt;&gt;""),"",MID(IF($BI1028="","; Row ID not found on the department sheet - a row was deleted","")&amp;IF(AND($C1028="",COUNTA($S1028:$BB1028)&gt;0),"; Invoice entered but the department row has no job number","")&amp;IF(E1028="CHECK","; Job number not in the Xero job list","")&amp;IF(AND($C1028&lt;&gt;"",COUNTIF($C$7:$C$1506,$C1028)&gt;1),"; Job number on more than one row","")&amp;IF(AND($C1028&lt;&gt;"",H1028=""),"; Dept has not set a cost centre","")&amp;IF(AND($C1028&lt;&gt;"",J1028=""),"; Dept has not set a tax code","")&amp;IF(AND($C1028&lt;&gt;"",N1028=""),"; Dept has not entered an expected value","")&amp;IF((IF(OR(COUNTA(S1028:U1028)=0,AND(COUNTA(S1028:U1028)=3,ISNUMBER(U1028))),0,1)+IF(OR(COUNTA(V1028:X1028)=0,AND(COUNTA(V1028:X1028)=3,ISNUMBER(X1028))),0,1)+IF(OR(COUNTA(Y1028:AA1028)=0,AND(COUNTA(Y1028:AA1028)=3,ISNUMBER(AA1028))),0,1)+IF(OR(COUNTA(AB1028:AD1028)=0,AND(COUNTA(AB1028:AD1028)=3,ISNUMBER(AD1028))),0,1)+IF(OR(COUNTA(AE1028:AG1028)=0,AND(COUNTA(AE1028:AG1028)=3,ISNUMBER(AG1028))),0,1)+IF(OR(COUNTA(AH1028:AJ1028)=0,AND(COUNTA(AH1028:AJ1028)=3,ISNUMBER(AJ1028))),0,1)+IF(OR(COUNTA(AK1028:AM1028)=0,AND(COUNTA(AK1028:AM1028)=3,ISNUMBER(AM1028))),0,1)+IF(OR(COUNTA(AN1028:AP1028)=0,AND(COUNTA(AN1028:AP1028)=3,ISNUMBER(AP1028))),0,1)+IF(OR(COUNTA(AQ1028:AS1028)=0,AND(COUNTA(AQ1028:AS1028)=3,ISNUMBER(AS1028))),0,1)+IF(OR(COUNTA(AT1028:AV1028)=0,AND(COUNTA(AT1028:AV1028)=3,ISNUMBER(AV1028))),0,1)+IF(OR(COUNTA(AW1028:AY1028)=0,AND(COUNTA(AW1028:AY1028)=3,ISNUMBER(AY1028))),0,1)+IF(OR(COUNTA(AZ1028:BB1028)=0,AND(COUNTA(AZ1028:BB1028)=3,ISNUMBER(BB1028))),0,1))&gt;0,"; An invoice is incomplete (needs No, Date and a number in Ex GST)","")&amp;IF((IF(T1028="",0,IFERROR(--(EOMONTH(T1028,0)&lt;&gt;S$5),1))+IF(W1028="",0,IFERROR(--(EOMONTH(W1028,0)&lt;&gt;V$5),1))+IF(Z1028="",0,IFERROR(--(EOMONTH(Z1028,0)&lt;&gt;Y$5),1))+IF(AC1028="",0,IFERROR(--(EOMONTH(AC1028,0)&lt;&gt;AB$5),1))+IF(AF1028="",0,IFERROR(--(EOMONTH(AF1028,0)&lt;&gt;AE$5),1))+IF(AI1028="",0,IFERROR(--(EOMONTH(AI1028,0)&lt;&gt;AH$5),1))+IF(AL1028="",0,IFERROR(--(EOMONTH(AL1028,0)&lt;&gt;AK$5),1))+IF(AO1028="",0,IFERROR(--(EOMONTH(AO1028,0)&lt;&gt;AN$5),1))+IF(AR1028="",0,IFERROR(--(EOMONTH(AR1028,0)&lt;&gt;AQ$5),1))+IF(AU1028="",0,IFERROR(--(EOMONTH(AU1028,0)&lt;&gt;AT$5),1))+IF(AX1028="",0,IFERROR(--(EOMONTH(AX1028,0)&lt;&gt;AW$5),1))+IF(BA1028="",0,IFERROR(--(EOMONTH(BA1028,0)&lt;&gt;AZ$5),1)))&gt;0,"; An invoice date is not in the month it is typed under",""),3,500))</f>
        <v/>
      </c>
      <c r="S1028" s="12" t="n"/>
      <c r="T1028" s="13" t="n"/>
      <c r="U1028" s="14" t="n"/>
      <c r="V1028" s="12" t="n"/>
      <c r="W1028" s="13" t="n"/>
      <c r="X1028" s="14" t="n"/>
      <c r="Y1028" s="12" t="n"/>
      <c r="Z1028" s="13" t="n"/>
      <c r="AA1028" s="14" t="n"/>
      <c r="AB1028" s="12" t="n"/>
      <c r="AC1028" s="13" t="n"/>
      <c r="AD1028" s="14" t="n"/>
      <c r="AE1028" s="12" t="n"/>
      <c r="AF1028" s="13" t="n"/>
      <c r="AG1028" s="14" t="n"/>
      <c r="AH1028" s="12" t="n"/>
      <c r="AI1028" s="13" t="n"/>
      <c r="AJ1028" s="14" t="n"/>
      <c r="AK1028" s="12" t="n"/>
      <c r="AL1028" s="13" t="n"/>
      <c r="AM1028" s="14" t="n"/>
      <c r="AN1028" s="12" t="n"/>
      <c r="AO1028" s="13" t="n"/>
      <c r="AP1028" s="14" t="n"/>
      <c r="AQ1028" s="12" t="n"/>
      <c r="AR1028" s="13" t="n"/>
      <c r="AS1028" s="14" t="n"/>
      <c r="AT1028" s="12" t="n"/>
      <c r="AU1028" s="13" t="n"/>
      <c r="AV1028" s="14" t="n"/>
      <c r="AW1028" s="12" t="n"/>
      <c r="AX1028" s="13" t="n"/>
      <c r="AY1028" s="14" t="n"/>
      <c r="AZ1028" s="12" t="n"/>
      <c r="BA1028" s="13" t="n"/>
      <c r="BB1028" s="14" t="n"/>
      <c r="BC1028" s="11">
        <f>IF(O1028="","",IF(J1028="GST 10%",ROUND(O1028*set_GSTRate,2),0))</f>
        <v/>
      </c>
      <c r="BD1028" s="11">
        <f>IF(O1028="","",O1028+BC1028)</f>
        <v/>
      </c>
      <c r="BE1028" s="15">
        <f>IF(O1028="","",COUNTA(S1028,V1028,Y1028,AB1028,AE1028,AH1028,AK1028,AN1028,AQ1028,AT1028,AW1028,AZ1028))</f>
        <v/>
      </c>
      <c r="BF1028" s="16">
        <f>IF(COUNT(T1028,W1028,Z1028,AC1028,AF1028,AI1028,AL1028,AO1028,AR1028,AU1028,AX1028,BA1028)=0,"",MAX(T1028,W1028,Z1028,AC1028,AF1028,AI1028,AL1028,AO1028,AR1028,AU1028,AX1028,BA1028))</f>
        <v/>
      </c>
      <c r="BG1028" s="10">
        <f>MID(IF(S1028="","",", "&amp;S1028)&amp;IF(V1028="","",", "&amp;V1028)&amp;IF(Y1028="","",", "&amp;Y1028)&amp;IF(AB1028="","",", "&amp;AB1028)&amp;IF(AE1028="","",", "&amp;AE1028)&amp;IF(AH1028="","",", "&amp;AH1028)&amp;IF(AK1028="","",", "&amp;AK1028)&amp;IF(AN1028="","",", "&amp;AN1028)&amp;IF(AQ1028="","",", "&amp;AQ1028)&amp;IF(AT1028="","",", "&amp;AT1028)&amp;IF(AW1028="","",", "&amp;AW1028)&amp;IF(AZ1028="","",", "&amp;AZ1028),3,500)</f>
        <v/>
      </c>
      <c r="BH1028" s="12" t="n"/>
      <c r="BI1028" s="15">
        <f>IFERROR(MATCH($A1028,IF($B1028="Onsite",tbl_Onsite[Row ID],IF($B1028="Production",tbl_Production[Row ID],tbl_Consulting[Row ID])),0),"")</f>
        <v/>
      </c>
    </row>
    <row r="1029">
      <c r="A1029" s="10" t="inlineStr">
        <is>
          <t>CON-0023</t>
        </is>
      </c>
      <c r="B1029" s="10" t="inlineStr">
        <is>
          <t>Consulting</t>
        </is>
      </c>
      <c r="C1029" s="10">
        <f>IF($BI1029="","",IF($B1029="Onsite",INDEX(tbl_Onsite[Job Number],$BI1029),IF($B1029="Production",INDEX(tbl_Production[Job Number],$BI1029),INDEX(tbl_Consulting[Job Number],$BI1029)))&amp;"")</f>
        <v/>
      </c>
      <c r="D1029" s="10">
        <f>IF($BI1029="","",IF($B1029="Onsite",INDEX(tbl_Onsite[Client],$BI1029),IF($B1029="Production",INDEX(tbl_Production[Client],$BI1029),INDEX(tbl_Consulting[Client],$BI1029)))&amp;"")</f>
        <v/>
      </c>
      <c r="E1029" s="10">
        <f>IF($C1029="","",IF(COUNTIF(lst_Jobs,$C1029)&gt;0,"OK","CHECK"))</f>
        <v/>
      </c>
      <c r="F1029" s="10">
        <f>IF($C1029="","",IFERROR(INDEX(lst_JobName,MATCH($C1029,lst_Jobs,0)),""))</f>
        <v/>
      </c>
      <c r="G1029" s="10">
        <f>IF($BI1029="","",IF($B1029="Onsite",INDEX(tbl_Onsite[Job Description],$BI1029),IF($B1029="Production",INDEX(tbl_Production[Job Description],$BI1029),INDEX(tbl_Consulting[Job Description],$BI1029)))&amp;"")</f>
        <v/>
      </c>
      <c r="H1029" s="10">
        <f>IF($BI1029="","",IF($B1029="Onsite",INDEX(tbl_Onsite[Cost Centre],$BI1029),IF($B1029="Production",INDEX(tbl_Production[Cost Centre],$BI1029),INDEX(tbl_Consulting[Cost Centre],$BI1029)))&amp;"")</f>
        <v/>
      </c>
      <c r="I1029" s="10">
        <f>IF($BI1029="","",IF($B1029="Onsite",INDEX(tbl_Onsite[Invoice Type],$BI1029),IF($B1029="Production",INDEX(tbl_Production[Invoice Type],$BI1029),INDEX(tbl_Consulting[Invoice Type],$BI1029)))&amp;"")</f>
        <v/>
      </c>
      <c r="J1029" s="10">
        <f>IF($BI1029="","",IF($B1029="Onsite",INDEX(tbl_Onsite[Tax Code],$BI1029),IF($B1029="Production",INDEX(tbl_Production[Tax Code],$BI1029),INDEX(tbl_Consulting[Tax Code],$BI1029)))&amp;"")</f>
        <v/>
      </c>
      <c r="K1029" s="10">
        <f>IF(H1029="","",IFERROR(INDEX(lst_CCtoGL,MATCH(H1029,lst_CCforGL,0)),""))</f>
        <v/>
      </c>
      <c r="L1029" s="10">
        <f>IF($BI1029="","",IF($B1029="Onsite",INDEX(tbl_Onsite[PO / Reference],$BI1029),IF($B1029="Production",INDEX(tbl_Production[Current RMS No],$BI1029),INDEX(tbl_Consulting[Qwilr Quote],$BI1029)))&amp;"")</f>
        <v/>
      </c>
      <c r="M1029" s="10">
        <f>IF($BI1029="","",IF($B1029="Onsite",INDEX(tbl_Onsite[Notes],$BI1029),IF($B1029="Production",INDEX(tbl_Production[Notes],$BI1029),INDEX(tbl_Consulting[Notes],$BI1029)))&amp;"")</f>
        <v/>
      </c>
      <c r="N1029" s="11">
        <f>IF($BI1029="","",IF(IF($B1029="Onsite",INDEX(tbl_Onsite[Expected Revenue Ex GST],$BI1029),IF($B1029="Production",INDEX(tbl_Production[Expected Revenue Ex GST],$BI1029),INDEX(tbl_Consulting[Expected Revenue Ex GST],$BI1029)))="","",IF($B1029="Onsite",INDEX(tbl_Onsite[Expected Revenue Ex GST],$BI1029),IF($B1029="Production",INDEX(tbl_Production[Expected Revenue Ex GST],$BI1029),INDEX(tbl_Consulting[Expected Revenue Ex GST],$BI1029)))))</f>
        <v/>
      </c>
      <c r="O1029" s="11">
        <f>IF(AND($C1029="",NOT(COUNTA($S1029:$BB1029)&gt;0)),"",SUM(U1029,X1029,AA1029,AD1029,AG1029,AJ1029,AM1029,AP1029,AS1029,AV1029,AY1029,BB1029))</f>
        <v/>
      </c>
      <c r="P1029" s="11">
        <f>IF(O1029="","",N(N1029)-O1029)</f>
        <v/>
      </c>
      <c r="Q1029" s="10">
        <f>IF(O1029="","",IF($C1029="","Invoice on empty job row",IF(N1029="",IF(ROUND(O1029,2)=0,"No dept value","Invoiced - no dept value"),IF(ROUND(O1029,2)=0,"Not invoiced - to invoice",IF(ROUND(P1029,2)=0,"Agrees",IF(P1029&gt;0,"Dept higher - to invoice","Xero higher - check dept"))))))</f>
        <v/>
      </c>
      <c r="R1029" s="10">
        <f>IF(AND($C1029="",NOT(COUNTA($S1029:$BB1029)&gt;0),$BI1029&lt;&gt;""),"",MID(IF($BI1029="","; Row ID not found on the department sheet - a row was deleted","")&amp;IF(AND($C1029="",COUNTA($S1029:$BB1029)&gt;0),"; Invoice entered but the department row has no job number","")&amp;IF(E1029="CHECK","; Job number not in the Xero job list","")&amp;IF(AND($C1029&lt;&gt;"",COUNTIF($C$7:$C$1506,$C1029)&gt;1),"; Job number on more than one row","")&amp;IF(AND($C1029&lt;&gt;"",H1029=""),"; Dept has not set a cost centre","")&amp;IF(AND($C1029&lt;&gt;"",J1029=""),"; Dept has not set a tax code","")&amp;IF(AND($C1029&lt;&gt;"",N1029=""),"; Dept has not entered an expected value","")&amp;IF((IF(OR(COUNTA(S1029:U1029)=0,AND(COUNTA(S1029:U1029)=3,ISNUMBER(U1029))),0,1)+IF(OR(COUNTA(V1029:X1029)=0,AND(COUNTA(V1029:X1029)=3,ISNUMBER(X1029))),0,1)+IF(OR(COUNTA(Y1029:AA1029)=0,AND(COUNTA(Y1029:AA1029)=3,ISNUMBER(AA1029))),0,1)+IF(OR(COUNTA(AB1029:AD1029)=0,AND(COUNTA(AB1029:AD1029)=3,ISNUMBER(AD1029))),0,1)+IF(OR(COUNTA(AE1029:AG1029)=0,AND(COUNTA(AE1029:AG1029)=3,ISNUMBER(AG1029))),0,1)+IF(OR(COUNTA(AH1029:AJ1029)=0,AND(COUNTA(AH1029:AJ1029)=3,ISNUMBER(AJ1029))),0,1)+IF(OR(COUNTA(AK1029:AM1029)=0,AND(COUNTA(AK1029:AM1029)=3,ISNUMBER(AM1029))),0,1)+IF(OR(COUNTA(AN1029:AP1029)=0,AND(COUNTA(AN1029:AP1029)=3,ISNUMBER(AP1029))),0,1)+IF(OR(COUNTA(AQ1029:AS1029)=0,AND(COUNTA(AQ1029:AS1029)=3,ISNUMBER(AS1029))),0,1)+IF(OR(COUNTA(AT1029:AV1029)=0,AND(COUNTA(AT1029:AV1029)=3,ISNUMBER(AV1029))),0,1)+IF(OR(COUNTA(AW1029:AY1029)=0,AND(COUNTA(AW1029:AY1029)=3,ISNUMBER(AY1029))),0,1)+IF(OR(COUNTA(AZ1029:BB1029)=0,AND(COUNTA(AZ1029:BB1029)=3,ISNUMBER(BB1029))),0,1))&gt;0,"; An invoice is incomplete (needs No, Date and a number in Ex GST)","")&amp;IF((IF(T1029="",0,IFERROR(--(EOMONTH(T1029,0)&lt;&gt;S$5),1))+IF(W1029="",0,IFERROR(--(EOMONTH(W1029,0)&lt;&gt;V$5),1))+IF(Z1029="",0,IFERROR(--(EOMONTH(Z1029,0)&lt;&gt;Y$5),1))+IF(AC1029="",0,IFERROR(--(EOMONTH(AC1029,0)&lt;&gt;AB$5),1))+IF(AF1029="",0,IFERROR(--(EOMONTH(AF1029,0)&lt;&gt;AE$5),1))+IF(AI1029="",0,IFERROR(--(EOMONTH(AI1029,0)&lt;&gt;AH$5),1))+IF(AL1029="",0,IFERROR(--(EOMONTH(AL1029,0)&lt;&gt;AK$5),1))+IF(AO1029="",0,IFERROR(--(EOMONTH(AO1029,0)&lt;&gt;AN$5),1))+IF(AR1029="",0,IFERROR(--(EOMONTH(AR1029,0)&lt;&gt;AQ$5),1))+IF(AU1029="",0,IFERROR(--(EOMONTH(AU1029,0)&lt;&gt;AT$5),1))+IF(AX1029="",0,IFERROR(--(EOMONTH(AX1029,0)&lt;&gt;AW$5),1))+IF(BA1029="",0,IFERROR(--(EOMONTH(BA1029,0)&lt;&gt;AZ$5),1)))&gt;0,"; An invoice date is not in the month it is typed under",""),3,500))</f>
        <v/>
      </c>
      <c r="S1029" s="12" t="n"/>
      <c r="T1029" s="13" t="n"/>
      <c r="U1029" s="14" t="n"/>
      <c r="V1029" s="12" t="n"/>
      <c r="W1029" s="13" t="n"/>
      <c r="X1029" s="14" t="n"/>
      <c r="Y1029" s="12" t="n"/>
      <c r="Z1029" s="13" t="n"/>
      <c r="AA1029" s="14" t="n"/>
      <c r="AB1029" s="12" t="n"/>
      <c r="AC1029" s="13" t="n"/>
      <c r="AD1029" s="14" t="n"/>
      <c r="AE1029" s="12" t="n"/>
      <c r="AF1029" s="13" t="n"/>
      <c r="AG1029" s="14" t="n"/>
      <c r="AH1029" s="12" t="n"/>
      <c r="AI1029" s="13" t="n"/>
      <c r="AJ1029" s="14" t="n"/>
      <c r="AK1029" s="12" t="n"/>
      <c r="AL1029" s="13" t="n"/>
      <c r="AM1029" s="14" t="n"/>
      <c r="AN1029" s="12" t="n"/>
      <c r="AO1029" s="13" t="n"/>
      <c r="AP1029" s="14" t="n"/>
      <c r="AQ1029" s="12" t="n"/>
      <c r="AR1029" s="13" t="n"/>
      <c r="AS1029" s="14" t="n"/>
      <c r="AT1029" s="12" t="n"/>
      <c r="AU1029" s="13" t="n"/>
      <c r="AV1029" s="14" t="n"/>
      <c r="AW1029" s="12" t="n"/>
      <c r="AX1029" s="13" t="n"/>
      <c r="AY1029" s="14" t="n"/>
      <c r="AZ1029" s="12" t="n"/>
      <c r="BA1029" s="13" t="n"/>
      <c r="BB1029" s="14" t="n"/>
      <c r="BC1029" s="11">
        <f>IF(O1029="","",IF(J1029="GST 10%",ROUND(O1029*set_GSTRate,2),0))</f>
        <v/>
      </c>
      <c r="BD1029" s="11">
        <f>IF(O1029="","",O1029+BC1029)</f>
        <v/>
      </c>
      <c r="BE1029" s="15">
        <f>IF(O1029="","",COUNTA(S1029,V1029,Y1029,AB1029,AE1029,AH1029,AK1029,AN1029,AQ1029,AT1029,AW1029,AZ1029))</f>
        <v/>
      </c>
      <c r="BF1029" s="16">
        <f>IF(COUNT(T1029,W1029,Z1029,AC1029,AF1029,AI1029,AL1029,AO1029,AR1029,AU1029,AX1029,BA1029)=0,"",MAX(T1029,W1029,Z1029,AC1029,AF1029,AI1029,AL1029,AO1029,AR1029,AU1029,AX1029,BA1029))</f>
        <v/>
      </c>
      <c r="BG1029" s="10">
        <f>MID(IF(S1029="","",", "&amp;S1029)&amp;IF(V1029="","",", "&amp;V1029)&amp;IF(Y1029="","",", "&amp;Y1029)&amp;IF(AB1029="","",", "&amp;AB1029)&amp;IF(AE1029="","",", "&amp;AE1029)&amp;IF(AH1029="","",", "&amp;AH1029)&amp;IF(AK1029="","",", "&amp;AK1029)&amp;IF(AN1029="","",", "&amp;AN1029)&amp;IF(AQ1029="","",", "&amp;AQ1029)&amp;IF(AT1029="","",", "&amp;AT1029)&amp;IF(AW1029="","",", "&amp;AW1029)&amp;IF(AZ1029="","",", "&amp;AZ1029),3,500)</f>
        <v/>
      </c>
      <c r="BH1029" s="12" t="n"/>
      <c r="BI1029" s="15">
        <f>IFERROR(MATCH($A1029,IF($B1029="Onsite",tbl_Onsite[Row ID],IF($B1029="Production",tbl_Production[Row ID],tbl_Consulting[Row ID])),0),"")</f>
        <v/>
      </c>
    </row>
    <row r="1030">
      <c r="A1030" s="10" t="inlineStr">
        <is>
          <t>CON-0024</t>
        </is>
      </c>
      <c r="B1030" s="10" t="inlineStr">
        <is>
          <t>Consulting</t>
        </is>
      </c>
      <c r="C1030" s="10">
        <f>IF($BI1030="","",IF($B1030="Onsite",INDEX(tbl_Onsite[Job Number],$BI1030),IF($B1030="Production",INDEX(tbl_Production[Job Number],$BI1030),INDEX(tbl_Consulting[Job Number],$BI1030)))&amp;"")</f>
        <v/>
      </c>
      <c r="D1030" s="10">
        <f>IF($BI1030="","",IF($B1030="Onsite",INDEX(tbl_Onsite[Client],$BI1030),IF($B1030="Production",INDEX(tbl_Production[Client],$BI1030),INDEX(tbl_Consulting[Client],$BI1030)))&amp;"")</f>
        <v/>
      </c>
      <c r="E1030" s="10">
        <f>IF($C1030="","",IF(COUNTIF(lst_Jobs,$C1030)&gt;0,"OK","CHECK"))</f>
        <v/>
      </c>
      <c r="F1030" s="10">
        <f>IF($C1030="","",IFERROR(INDEX(lst_JobName,MATCH($C1030,lst_Jobs,0)),""))</f>
        <v/>
      </c>
      <c r="G1030" s="10">
        <f>IF($BI1030="","",IF($B1030="Onsite",INDEX(tbl_Onsite[Job Description],$BI1030),IF($B1030="Production",INDEX(tbl_Production[Job Description],$BI1030),INDEX(tbl_Consulting[Job Description],$BI1030)))&amp;"")</f>
        <v/>
      </c>
      <c r="H1030" s="10">
        <f>IF($BI1030="","",IF($B1030="Onsite",INDEX(tbl_Onsite[Cost Centre],$BI1030),IF($B1030="Production",INDEX(tbl_Production[Cost Centre],$BI1030),INDEX(tbl_Consulting[Cost Centre],$BI1030)))&amp;"")</f>
        <v/>
      </c>
      <c r="I1030" s="10">
        <f>IF($BI1030="","",IF($B1030="Onsite",INDEX(tbl_Onsite[Invoice Type],$BI1030),IF($B1030="Production",INDEX(tbl_Production[Invoice Type],$BI1030),INDEX(tbl_Consulting[Invoice Type],$BI1030)))&amp;"")</f>
        <v/>
      </c>
      <c r="J1030" s="10">
        <f>IF($BI1030="","",IF($B1030="Onsite",INDEX(tbl_Onsite[Tax Code],$BI1030),IF($B1030="Production",INDEX(tbl_Production[Tax Code],$BI1030),INDEX(tbl_Consulting[Tax Code],$BI1030)))&amp;"")</f>
        <v/>
      </c>
      <c r="K1030" s="10">
        <f>IF(H1030="","",IFERROR(INDEX(lst_CCtoGL,MATCH(H1030,lst_CCforGL,0)),""))</f>
        <v/>
      </c>
      <c r="L1030" s="10">
        <f>IF($BI1030="","",IF($B1030="Onsite",INDEX(tbl_Onsite[PO / Reference],$BI1030),IF($B1030="Production",INDEX(tbl_Production[Current RMS No],$BI1030),INDEX(tbl_Consulting[Qwilr Quote],$BI1030)))&amp;"")</f>
        <v/>
      </c>
      <c r="M1030" s="10">
        <f>IF($BI1030="","",IF($B1030="Onsite",INDEX(tbl_Onsite[Notes],$BI1030),IF($B1030="Production",INDEX(tbl_Production[Notes],$BI1030),INDEX(tbl_Consulting[Notes],$BI1030)))&amp;"")</f>
        <v/>
      </c>
      <c r="N1030" s="11">
        <f>IF($BI1030="","",IF(IF($B1030="Onsite",INDEX(tbl_Onsite[Expected Revenue Ex GST],$BI1030),IF($B1030="Production",INDEX(tbl_Production[Expected Revenue Ex GST],$BI1030),INDEX(tbl_Consulting[Expected Revenue Ex GST],$BI1030)))="","",IF($B1030="Onsite",INDEX(tbl_Onsite[Expected Revenue Ex GST],$BI1030),IF($B1030="Production",INDEX(tbl_Production[Expected Revenue Ex GST],$BI1030),INDEX(tbl_Consulting[Expected Revenue Ex GST],$BI1030)))))</f>
        <v/>
      </c>
      <c r="O1030" s="11">
        <f>IF(AND($C1030="",NOT(COUNTA($S1030:$BB1030)&gt;0)),"",SUM(U1030,X1030,AA1030,AD1030,AG1030,AJ1030,AM1030,AP1030,AS1030,AV1030,AY1030,BB1030))</f>
        <v/>
      </c>
      <c r="P1030" s="11">
        <f>IF(O1030="","",N(N1030)-O1030)</f>
        <v/>
      </c>
      <c r="Q1030" s="10">
        <f>IF(O1030="","",IF($C1030="","Invoice on empty job row",IF(N1030="",IF(ROUND(O1030,2)=0,"No dept value","Invoiced - no dept value"),IF(ROUND(O1030,2)=0,"Not invoiced - to invoice",IF(ROUND(P1030,2)=0,"Agrees",IF(P1030&gt;0,"Dept higher - to invoice","Xero higher - check dept"))))))</f>
        <v/>
      </c>
      <c r="R1030" s="10">
        <f>IF(AND($C1030="",NOT(COUNTA($S1030:$BB1030)&gt;0),$BI1030&lt;&gt;""),"",MID(IF($BI1030="","; Row ID not found on the department sheet - a row was deleted","")&amp;IF(AND($C1030="",COUNTA($S1030:$BB1030)&gt;0),"; Invoice entered but the department row has no job number","")&amp;IF(E1030="CHECK","; Job number not in the Xero job list","")&amp;IF(AND($C1030&lt;&gt;"",COUNTIF($C$7:$C$1506,$C1030)&gt;1),"; Job number on more than one row","")&amp;IF(AND($C1030&lt;&gt;"",H1030=""),"; Dept has not set a cost centre","")&amp;IF(AND($C1030&lt;&gt;"",J1030=""),"; Dept has not set a tax code","")&amp;IF(AND($C1030&lt;&gt;"",N1030=""),"; Dept has not entered an expected value","")&amp;IF((IF(OR(COUNTA(S1030:U1030)=0,AND(COUNTA(S1030:U1030)=3,ISNUMBER(U1030))),0,1)+IF(OR(COUNTA(V1030:X1030)=0,AND(COUNTA(V1030:X1030)=3,ISNUMBER(X1030))),0,1)+IF(OR(COUNTA(Y1030:AA1030)=0,AND(COUNTA(Y1030:AA1030)=3,ISNUMBER(AA1030))),0,1)+IF(OR(COUNTA(AB1030:AD1030)=0,AND(COUNTA(AB1030:AD1030)=3,ISNUMBER(AD1030))),0,1)+IF(OR(COUNTA(AE1030:AG1030)=0,AND(COUNTA(AE1030:AG1030)=3,ISNUMBER(AG1030))),0,1)+IF(OR(COUNTA(AH1030:AJ1030)=0,AND(COUNTA(AH1030:AJ1030)=3,ISNUMBER(AJ1030))),0,1)+IF(OR(COUNTA(AK1030:AM1030)=0,AND(COUNTA(AK1030:AM1030)=3,ISNUMBER(AM1030))),0,1)+IF(OR(COUNTA(AN1030:AP1030)=0,AND(COUNTA(AN1030:AP1030)=3,ISNUMBER(AP1030))),0,1)+IF(OR(COUNTA(AQ1030:AS1030)=0,AND(COUNTA(AQ1030:AS1030)=3,ISNUMBER(AS1030))),0,1)+IF(OR(COUNTA(AT1030:AV1030)=0,AND(COUNTA(AT1030:AV1030)=3,ISNUMBER(AV1030))),0,1)+IF(OR(COUNTA(AW1030:AY1030)=0,AND(COUNTA(AW1030:AY1030)=3,ISNUMBER(AY1030))),0,1)+IF(OR(COUNTA(AZ1030:BB1030)=0,AND(COUNTA(AZ1030:BB1030)=3,ISNUMBER(BB1030))),0,1))&gt;0,"; An invoice is incomplete (needs No, Date and a number in Ex GST)","")&amp;IF((IF(T1030="",0,IFERROR(--(EOMONTH(T1030,0)&lt;&gt;S$5),1))+IF(W1030="",0,IFERROR(--(EOMONTH(W1030,0)&lt;&gt;V$5),1))+IF(Z1030="",0,IFERROR(--(EOMONTH(Z1030,0)&lt;&gt;Y$5),1))+IF(AC1030="",0,IFERROR(--(EOMONTH(AC1030,0)&lt;&gt;AB$5),1))+IF(AF1030="",0,IFERROR(--(EOMONTH(AF1030,0)&lt;&gt;AE$5),1))+IF(AI1030="",0,IFERROR(--(EOMONTH(AI1030,0)&lt;&gt;AH$5),1))+IF(AL1030="",0,IFERROR(--(EOMONTH(AL1030,0)&lt;&gt;AK$5),1))+IF(AO1030="",0,IFERROR(--(EOMONTH(AO1030,0)&lt;&gt;AN$5),1))+IF(AR1030="",0,IFERROR(--(EOMONTH(AR1030,0)&lt;&gt;AQ$5),1))+IF(AU1030="",0,IFERROR(--(EOMONTH(AU1030,0)&lt;&gt;AT$5),1))+IF(AX1030="",0,IFERROR(--(EOMONTH(AX1030,0)&lt;&gt;AW$5),1))+IF(BA1030="",0,IFERROR(--(EOMONTH(BA1030,0)&lt;&gt;AZ$5),1)))&gt;0,"; An invoice date is not in the month it is typed under",""),3,500))</f>
        <v/>
      </c>
      <c r="S1030" s="12" t="n"/>
      <c r="T1030" s="13" t="n"/>
      <c r="U1030" s="14" t="n"/>
      <c r="V1030" s="12" t="n"/>
      <c r="W1030" s="13" t="n"/>
      <c r="X1030" s="14" t="n"/>
      <c r="Y1030" s="12" t="n"/>
      <c r="Z1030" s="13" t="n"/>
      <c r="AA1030" s="14" t="n"/>
      <c r="AB1030" s="12" t="n"/>
      <c r="AC1030" s="13" t="n"/>
      <c r="AD1030" s="14" t="n"/>
      <c r="AE1030" s="12" t="n"/>
      <c r="AF1030" s="13" t="n"/>
      <c r="AG1030" s="14" t="n"/>
      <c r="AH1030" s="12" t="n"/>
      <c r="AI1030" s="13" t="n"/>
      <c r="AJ1030" s="14" t="n"/>
      <c r="AK1030" s="12" t="n"/>
      <c r="AL1030" s="13" t="n"/>
      <c r="AM1030" s="14" t="n"/>
      <c r="AN1030" s="12" t="n"/>
      <c r="AO1030" s="13" t="n"/>
      <c r="AP1030" s="14" t="n"/>
      <c r="AQ1030" s="12" t="n"/>
      <c r="AR1030" s="13" t="n"/>
      <c r="AS1030" s="14" t="n"/>
      <c r="AT1030" s="12" t="n"/>
      <c r="AU1030" s="13" t="n"/>
      <c r="AV1030" s="14" t="n"/>
      <c r="AW1030" s="12" t="n"/>
      <c r="AX1030" s="13" t="n"/>
      <c r="AY1030" s="14" t="n"/>
      <c r="AZ1030" s="12" t="n"/>
      <c r="BA1030" s="13" t="n"/>
      <c r="BB1030" s="14" t="n"/>
      <c r="BC1030" s="11">
        <f>IF(O1030="","",IF(J1030="GST 10%",ROUND(O1030*set_GSTRate,2),0))</f>
        <v/>
      </c>
      <c r="BD1030" s="11">
        <f>IF(O1030="","",O1030+BC1030)</f>
        <v/>
      </c>
      <c r="BE1030" s="15">
        <f>IF(O1030="","",COUNTA(S1030,V1030,Y1030,AB1030,AE1030,AH1030,AK1030,AN1030,AQ1030,AT1030,AW1030,AZ1030))</f>
        <v/>
      </c>
      <c r="BF1030" s="16">
        <f>IF(COUNT(T1030,W1030,Z1030,AC1030,AF1030,AI1030,AL1030,AO1030,AR1030,AU1030,AX1030,BA1030)=0,"",MAX(T1030,W1030,Z1030,AC1030,AF1030,AI1030,AL1030,AO1030,AR1030,AU1030,AX1030,BA1030))</f>
        <v/>
      </c>
      <c r="BG1030" s="10">
        <f>MID(IF(S1030="","",", "&amp;S1030)&amp;IF(V1030="","",", "&amp;V1030)&amp;IF(Y1030="","",", "&amp;Y1030)&amp;IF(AB1030="","",", "&amp;AB1030)&amp;IF(AE1030="","",", "&amp;AE1030)&amp;IF(AH1030="","",", "&amp;AH1030)&amp;IF(AK1030="","",", "&amp;AK1030)&amp;IF(AN1030="","",", "&amp;AN1030)&amp;IF(AQ1030="","",", "&amp;AQ1030)&amp;IF(AT1030="","",", "&amp;AT1030)&amp;IF(AW1030="","",", "&amp;AW1030)&amp;IF(AZ1030="","",", "&amp;AZ1030),3,500)</f>
        <v/>
      </c>
      <c r="BH1030" s="12" t="n"/>
      <c r="BI1030" s="15">
        <f>IFERROR(MATCH($A1030,IF($B1030="Onsite",tbl_Onsite[Row ID],IF($B1030="Production",tbl_Production[Row ID],tbl_Consulting[Row ID])),0),"")</f>
        <v/>
      </c>
    </row>
    <row r="1031">
      <c r="A1031" s="10" t="inlineStr">
        <is>
          <t>CON-0025</t>
        </is>
      </c>
      <c r="B1031" s="10" t="inlineStr">
        <is>
          <t>Consulting</t>
        </is>
      </c>
      <c r="C1031" s="10">
        <f>IF($BI1031="","",IF($B1031="Onsite",INDEX(tbl_Onsite[Job Number],$BI1031),IF($B1031="Production",INDEX(tbl_Production[Job Number],$BI1031),INDEX(tbl_Consulting[Job Number],$BI1031)))&amp;"")</f>
        <v/>
      </c>
      <c r="D1031" s="10">
        <f>IF($BI1031="","",IF($B1031="Onsite",INDEX(tbl_Onsite[Client],$BI1031),IF($B1031="Production",INDEX(tbl_Production[Client],$BI1031),INDEX(tbl_Consulting[Client],$BI1031)))&amp;"")</f>
        <v/>
      </c>
      <c r="E1031" s="10">
        <f>IF($C1031="","",IF(COUNTIF(lst_Jobs,$C1031)&gt;0,"OK","CHECK"))</f>
        <v/>
      </c>
      <c r="F1031" s="10">
        <f>IF($C1031="","",IFERROR(INDEX(lst_JobName,MATCH($C1031,lst_Jobs,0)),""))</f>
        <v/>
      </c>
      <c r="G1031" s="10">
        <f>IF($BI1031="","",IF($B1031="Onsite",INDEX(tbl_Onsite[Job Description],$BI1031),IF($B1031="Production",INDEX(tbl_Production[Job Description],$BI1031),INDEX(tbl_Consulting[Job Description],$BI1031)))&amp;"")</f>
        <v/>
      </c>
      <c r="H1031" s="10">
        <f>IF($BI1031="","",IF($B1031="Onsite",INDEX(tbl_Onsite[Cost Centre],$BI1031),IF($B1031="Production",INDEX(tbl_Production[Cost Centre],$BI1031),INDEX(tbl_Consulting[Cost Centre],$BI1031)))&amp;"")</f>
        <v/>
      </c>
      <c r="I1031" s="10">
        <f>IF($BI1031="","",IF($B1031="Onsite",INDEX(tbl_Onsite[Invoice Type],$BI1031),IF($B1031="Production",INDEX(tbl_Production[Invoice Type],$BI1031),INDEX(tbl_Consulting[Invoice Type],$BI1031)))&amp;"")</f>
        <v/>
      </c>
      <c r="J1031" s="10">
        <f>IF($BI1031="","",IF($B1031="Onsite",INDEX(tbl_Onsite[Tax Code],$BI1031),IF($B1031="Production",INDEX(tbl_Production[Tax Code],$BI1031),INDEX(tbl_Consulting[Tax Code],$BI1031)))&amp;"")</f>
        <v/>
      </c>
      <c r="K1031" s="10">
        <f>IF(H1031="","",IFERROR(INDEX(lst_CCtoGL,MATCH(H1031,lst_CCforGL,0)),""))</f>
        <v/>
      </c>
      <c r="L1031" s="10">
        <f>IF($BI1031="","",IF($B1031="Onsite",INDEX(tbl_Onsite[PO / Reference],$BI1031),IF($B1031="Production",INDEX(tbl_Production[Current RMS No],$BI1031),INDEX(tbl_Consulting[Qwilr Quote],$BI1031)))&amp;"")</f>
        <v/>
      </c>
      <c r="M1031" s="10">
        <f>IF($BI1031="","",IF($B1031="Onsite",INDEX(tbl_Onsite[Notes],$BI1031),IF($B1031="Production",INDEX(tbl_Production[Notes],$BI1031),INDEX(tbl_Consulting[Notes],$BI1031)))&amp;"")</f>
        <v/>
      </c>
      <c r="N1031" s="11">
        <f>IF($BI1031="","",IF(IF($B1031="Onsite",INDEX(tbl_Onsite[Expected Revenue Ex GST],$BI1031),IF($B1031="Production",INDEX(tbl_Production[Expected Revenue Ex GST],$BI1031),INDEX(tbl_Consulting[Expected Revenue Ex GST],$BI1031)))="","",IF($B1031="Onsite",INDEX(tbl_Onsite[Expected Revenue Ex GST],$BI1031),IF($B1031="Production",INDEX(tbl_Production[Expected Revenue Ex GST],$BI1031),INDEX(tbl_Consulting[Expected Revenue Ex GST],$BI1031)))))</f>
        <v/>
      </c>
      <c r="O1031" s="11">
        <f>IF(AND($C1031="",NOT(COUNTA($S1031:$BB1031)&gt;0)),"",SUM(U1031,X1031,AA1031,AD1031,AG1031,AJ1031,AM1031,AP1031,AS1031,AV1031,AY1031,BB1031))</f>
        <v/>
      </c>
      <c r="P1031" s="11">
        <f>IF(O1031="","",N(N1031)-O1031)</f>
        <v/>
      </c>
      <c r="Q1031" s="10">
        <f>IF(O1031="","",IF($C1031="","Invoice on empty job row",IF(N1031="",IF(ROUND(O1031,2)=0,"No dept value","Invoiced - no dept value"),IF(ROUND(O1031,2)=0,"Not invoiced - to invoice",IF(ROUND(P1031,2)=0,"Agrees",IF(P1031&gt;0,"Dept higher - to invoice","Xero higher - check dept"))))))</f>
        <v/>
      </c>
      <c r="R1031" s="10">
        <f>IF(AND($C1031="",NOT(COUNTA($S1031:$BB1031)&gt;0),$BI1031&lt;&gt;""),"",MID(IF($BI1031="","; Row ID not found on the department sheet - a row was deleted","")&amp;IF(AND($C1031="",COUNTA($S1031:$BB1031)&gt;0),"; Invoice entered but the department row has no job number","")&amp;IF(E1031="CHECK","; Job number not in the Xero job list","")&amp;IF(AND($C1031&lt;&gt;"",COUNTIF($C$7:$C$1506,$C1031)&gt;1),"; Job number on more than one row","")&amp;IF(AND($C1031&lt;&gt;"",H1031=""),"; Dept has not set a cost centre","")&amp;IF(AND($C1031&lt;&gt;"",J1031=""),"; Dept has not set a tax code","")&amp;IF(AND($C1031&lt;&gt;"",N1031=""),"; Dept has not entered an expected value","")&amp;IF((IF(OR(COUNTA(S1031:U1031)=0,AND(COUNTA(S1031:U1031)=3,ISNUMBER(U1031))),0,1)+IF(OR(COUNTA(V1031:X1031)=0,AND(COUNTA(V1031:X1031)=3,ISNUMBER(X1031))),0,1)+IF(OR(COUNTA(Y1031:AA1031)=0,AND(COUNTA(Y1031:AA1031)=3,ISNUMBER(AA1031))),0,1)+IF(OR(COUNTA(AB1031:AD1031)=0,AND(COUNTA(AB1031:AD1031)=3,ISNUMBER(AD1031))),0,1)+IF(OR(COUNTA(AE1031:AG1031)=0,AND(COUNTA(AE1031:AG1031)=3,ISNUMBER(AG1031))),0,1)+IF(OR(COUNTA(AH1031:AJ1031)=0,AND(COUNTA(AH1031:AJ1031)=3,ISNUMBER(AJ1031))),0,1)+IF(OR(COUNTA(AK1031:AM1031)=0,AND(COUNTA(AK1031:AM1031)=3,ISNUMBER(AM1031))),0,1)+IF(OR(COUNTA(AN1031:AP1031)=0,AND(COUNTA(AN1031:AP1031)=3,ISNUMBER(AP1031))),0,1)+IF(OR(COUNTA(AQ1031:AS1031)=0,AND(COUNTA(AQ1031:AS1031)=3,ISNUMBER(AS1031))),0,1)+IF(OR(COUNTA(AT1031:AV1031)=0,AND(COUNTA(AT1031:AV1031)=3,ISNUMBER(AV1031))),0,1)+IF(OR(COUNTA(AW1031:AY1031)=0,AND(COUNTA(AW1031:AY1031)=3,ISNUMBER(AY1031))),0,1)+IF(OR(COUNTA(AZ1031:BB1031)=0,AND(COUNTA(AZ1031:BB1031)=3,ISNUMBER(BB1031))),0,1))&gt;0,"; An invoice is incomplete (needs No, Date and a number in Ex GST)","")&amp;IF((IF(T1031="",0,IFERROR(--(EOMONTH(T1031,0)&lt;&gt;S$5),1))+IF(W1031="",0,IFERROR(--(EOMONTH(W1031,0)&lt;&gt;V$5),1))+IF(Z1031="",0,IFERROR(--(EOMONTH(Z1031,0)&lt;&gt;Y$5),1))+IF(AC1031="",0,IFERROR(--(EOMONTH(AC1031,0)&lt;&gt;AB$5),1))+IF(AF1031="",0,IFERROR(--(EOMONTH(AF1031,0)&lt;&gt;AE$5),1))+IF(AI1031="",0,IFERROR(--(EOMONTH(AI1031,0)&lt;&gt;AH$5),1))+IF(AL1031="",0,IFERROR(--(EOMONTH(AL1031,0)&lt;&gt;AK$5),1))+IF(AO1031="",0,IFERROR(--(EOMONTH(AO1031,0)&lt;&gt;AN$5),1))+IF(AR1031="",0,IFERROR(--(EOMONTH(AR1031,0)&lt;&gt;AQ$5),1))+IF(AU1031="",0,IFERROR(--(EOMONTH(AU1031,0)&lt;&gt;AT$5),1))+IF(AX1031="",0,IFERROR(--(EOMONTH(AX1031,0)&lt;&gt;AW$5),1))+IF(BA1031="",0,IFERROR(--(EOMONTH(BA1031,0)&lt;&gt;AZ$5),1)))&gt;0,"; An invoice date is not in the month it is typed under",""),3,500))</f>
        <v/>
      </c>
      <c r="S1031" s="12" t="n"/>
      <c r="T1031" s="13" t="n"/>
      <c r="U1031" s="14" t="n"/>
      <c r="V1031" s="12" t="n"/>
      <c r="W1031" s="13" t="n"/>
      <c r="X1031" s="14" t="n"/>
      <c r="Y1031" s="12" t="n"/>
      <c r="Z1031" s="13" t="n"/>
      <c r="AA1031" s="14" t="n"/>
      <c r="AB1031" s="12" t="n"/>
      <c r="AC1031" s="13" t="n"/>
      <c r="AD1031" s="14" t="n"/>
      <c r="AE1031" s="12" t="n"/>
      <c r="AF1031" s="13" t="n"/>
      <c r="AG1031" s="14" t="n"/>
      <c r="AH1031" s="12" t="n"/>
      <c r="AI1031" s="13" t="n"/>
      <c r="AJ1031" s="14" t="n"/>
      <c r="AK1031" s="12" t="n"/>
      <c r="AL1031" s="13" t="n"/>
      <c r="AM1031" s="14" t="n"/>
      <c r="AN1031" s="12" t="n"/>
      <c r="AO1031" s="13" t="n"/>
      <c r="AP1031" s="14" t="n"/>
      <c r="AQ1031" s="12" t="n"/>
      <c r="AR1031" s="13" t="n"/>
      <c r="AS1031" s="14" t="n"/>
      <c r="AT1031" s="12" t="n"/>
      <c r="AU1031" s="13" t="n"/>
      <c r="AV1031" s="14" t="n"/>
      <c r="AW1031" s="12" t="n"/>
      <c r="AX1031" s="13" t="n"/>
      <c r="AY1031" s="14" t="n"/>
      <c r="AZ1031" s="12" t="n"/>
      <c r="BA1031" s="13" t="n"/>
      <c r="BB1031" s="14" t="n"/>
      <c r="BC1031" s="11">
        <f>IF(O1031="","",IF(J1031="GST 10%",ROUND(O1031*set_GSTRate,2),0))</f>
        <v/>
      </c>
      <c r="BD1031" s="11">
        <f>IF(O1031="","",O1031+BC1031)</f>
        <v/>
      </c>
      <c r="BE1031" s="15">
        <f>IF(O1031="","",COUNTA(S1031,V1031,Y1031,AB1031,AE1031,AH1031,AK1031,AN1031,AQ1031,AT1031,AW1031,AZ1031))</f>
        <v/>
      </c>
      <c r="BF1031" s="16">
        <f>IF(COUNT(T1031,W1031,Z1031,AC1031,AF1031,AI1031,AL1031,AO1031,AR1031,AU1031,AX1031,BA1031)=0,"",MAX(T1031,W1031,Z1031,AC1031,AF1031,AI1031,AL1031,AO1031,AR1031,AU1031,AX1031,BA1031))</f>
        <v/>
      </c>
      <c r="BG1031" s="10">
        <f>MID(IF(S1031="","",", "&amp;S1031)&amp;IF(V1031="","",", "&amp;V1031)&amp;IF(Y1031="","",", "&amp;Y1031)&amp;IF(AB1031="","",", "&amp;AB1031)&amp;IF(AE1031="","",", "&amp;AE1031)&amp;IF(AH1031="","",", "&amp;AH1031)&amp;IF(AK1031="","",", "&amp;AK1031)&amp;IF(AN1031="","",", "&amp;AN1031)&amp;IF(AQ1031="","",", "&amp;AQ1031)&amp;IF(AT1031="","",", "&amp;AT1031)&amp;IF(AW1031="","",", "&amp;AW1031)&amp;IF(AZ1031="","",", "&amp;AZ1031),3,500)</f>
        <v/>
      </c>
      <c r="BH1031" s="12" t="n"/>
      <c r="BI1031" s="15">
        <f>IFERROR(MATCH($A1031,IF($B1031="Onsite",tbl_Onsite[Row ID],IF($B1031="Production",tbl_Production[Row ID],tbl_Consulting[Row ID])),0),"")</f>
        <v/>
      </c>
    </row>
    <row r="1032">
      <c r="A1032" s="10" t="inlineStr">
        <is>
          <t>CON-0026</t>
        </is>
      </c>
      <c r="B1032" s="10" t="inlineStr">
        <is>
          <t>Consulting</t>
        </is>
      </c>
      <c r="C1032" s="10">
        <f>IF($BI1032="","",IF($B1032="Onsite",INDEX(tbl_Onsite[Job Number],$BI1032),IF($B1032="Production",INDEX(tbl_Production[Job Number],$BI1032),INDEX(tbl_Consulting[Job Number],$BI1032)))&amp;"")</f>
        <v/>
      </c>
      <c r="D1032" s="10">
        <f>IF($BI1032="","",IF($B1032="Onsite",INDEX(tbl_Onsite[Client],$BI1032),IF($B1032="Production",INDEX(tbl_Production[Client],$BI1032),INDEX(tbl_Consulting[Client],$BI1032)))&amp;"")</f>
        <v/>
      </c>
      <c r="E1032" s="10">
        <f>IF($C1032="","",IF(COUNTIF(lst_Jobs,$C1032)&gt;0,"OK","CHECK"))</f>
        <v/>
      </c>
      <c r="F1032" s="10">
        <f>IF($C1032="","",IFERROR(INDEX(lst_JobName,MATCH($C1032,lst_Jobs,0)),""))</f>
        <v/>
      </c>
      <c r="G1032" s="10">
        <f>IF($BI1032="","",IF($B1032="Onsite",INDEX(tbl_Onsite[Job Description],$BI1032),IF($B1032="Production",INDEX(tbl_Production[Job Description],$BI1032),INDEX(tbl_Consulting[Job Description],$BI1032)))&amp;"")</f>
        <v/>
      </c>
      <c r="H1032" s="10">
        <f>IF($BI1032="","",IF($B1032="Onsite",INDEX(tbl_Onsite[Cost Centre],$BI1032),IF($B1032="Production",INDEX(tbl_Production[Cost Centre],$BI1032),INDEX(tbl_Consulting[Cost Centre],$BI1032)))&amp;"")</f>
        <v/>
      </c>
      <c r="I1032" s="10">
        <f>IF($BI1032="","",IF($B1032="Onsite",INDEX(tbl_Onsite[Invoice Type],$BI1032),IF($B1032="Production",INDEX(tbl_Production[Invoice Type],$BI1032),INDEX(tbl_Consulting[Invoice Type],$BI1032)))&amp;"")</f>
        <v/>
      </c>
      <c r="J1032" s="10">
        <f>IF($BI1032="","",IF($B1032="Onsite",INDEX(tbl_Onsite[Tax Code],$BI1032),IF($B1032="Production",INDEX(tbl_Production[Tax Code],$BI1032),INDEX(tbl_Consulting[Tax Code],$BI1032)))&amp;"")</f>
        <v/>
      </c>
      <c r="K1032" s="10">
        <f>IF(H1032="","",IFERROR(INDEX(lst_CCtoGL,MATCH(H1032,lst_CCforGL,0)),""))</f>
        <v/>
      </c>
      <c r="L1032" s="10">
        <f>IF($BI1032="","",IF($B1032="Onsite",INDEX(tbl_Onsite[PO / Reference],$BI1032),IF($B1032="Production",INDEX(tbl_Production[Current RMS No],$BI1032),INDEX(tbl_Consulting[Qwilr Quote],$BI1032)))&amp;"")</f>
        <v/>
      </c>
      <c r="M1032" s="10">
        <f>IF($BI1032="","",IF($B1032="Onsite",INDEX(tbl_Onsite[Notes],$BI1032),IF($B1032="Production",INDEX(tbl_Production[Notes],$BI1032),INDEX(tbl_Consulting[Notes],$BI1032)))&amp;"")</f>
        <v/>
      </c>
      <c r="N1032" s="11">
        <f>IF($BI1032="","",IF(IF($B1032="Onsite",INDEX(tbl_Onsite[Expected Revenue Ex GST],$BI1032),IF($B1032="Production",INDEX(tbl_Production[Expected Revenue Ex GST],$BI1032),INDEX(tbl_Consulting[Expected Revenue Ex GST],$BI1032)))="","",IF($B1032="Onsite",INDEX(tbl_Onsite[Expected Revenue Ex GST],$BI1032),IF($B1032="Production",INDEX(tbl_Production[Expected Revenue Ex GST],$BI1032),INDEX(tbl_Consulting[Expected Revenue Ex GST],$BI1032)))))</f>
        <v/>
      </c>
      <c r="O1032" s="11">
        <f>IF(AND($C1032="",NOT(COUNTA($S1032:$BB1032)&gt;0)),"",SUM(U1032,X1032,AA1032,AD1032,AG1032,AJ1032,AM1032,AP1032,AS1032,AV1032,AY1032,BB1032))</f>
        <v/>
      </c>
      <c r="P1032" s="11">
        <f>IF(O1032="","",N(N1032)-O1032)</f>
        <v/>
      </c>
      <c r="Q1032" s="10">
        <f>IF(O1032="","",IF($C1032="","Invoice on empty job row",IF(N1032="",IF(ROUND(O1032,2)=0,"No dept value","Invoiced - no dept value"),IF(ROUND(O1032,2)=0,"Not invoiced - to invoice",IF(ROUND(P1032,2)=0,"Agrees",IF(P1032&gt;0,"Dept higher - to invoice","Xero higher - check dept"))))))</f>
        <v/>
      </c>
      <c r="R1032" s="10">
        <f>IF(AND($C1032="",NOT(COUNTA($S1032:$BB1032)&gt;0),$BI1032&lt;&gt;""),"",MID(IF($BI1032="","; Row ID not found on the department sheet - a row was deleted","")&amp;IF(AND($C1032="",COUNTA($S1032:$BB1032)&gt;0),"; Invoice entered but the department row has no job number","")&amp;IF(E1032="CHECK","; Job number not in the Xero job list","")&amp;IF(AND($C1032&lt;&gt;"",COUNTIF($C$7:$C$1506,$C1032)&gt;1),"; Job number on more than one row","")&amp;IF(AND($C1032&lt;&gt;"",H1032=""),"; Dept has not set a cost centre","")&amp;IF(AND($C1032&lt;&gt;"",J1032=""),"; Dept has not set a tax code","")&amp;IF(AND($C1032&lt;&gt;"",N1032=""),"; Dept has not entered an expected value","")&amp;IF((IF(OR(COUNTA(S1032:U1032)=0,AND(COUNTA(S1032:U1032)=3,ISNUMBER(U1032))),0,1)+IF(OR(COUNTA(V1032:X1032)=0,AND(COUNTA(V1032:X1032)=3,ISNUMBER(X1032))),0,1)+IF(OR(COUNTA(Y1032:AA1032)=0,AND(COUNTA(Y1032:AA1032)=3,ISNUMBER(AA1032))),0,1)+IF(OR(COUNTA(AB1032:AD1032)=0,AND(COUNTA(AB1032:AD1032)=3,ISNUMBER(AD1032))),0,1)+IF(OR(COUNTA(AE1032:AG1032)=0,AND(COUNTA(AE1032:AG1032)=3,ISNUMBER(AG1032))),0,1)+IF(OR(COUNTA(AH1032:AJ1032)=0,AND(COUNTA(AH1032:AJ1032)=3,ISNUMBER(AJ1032))),0,1)+IF(OR(COUNTA(AK1032:AM1032)=0,AND(COUNTA(AK1032:AM1032)=3,ISNUMBER(AM1032))),0,1)+IF(OR(COUNTA(AN1032:AP1032)=0,AND(COUNTA(AN1032:AP1032)=3,ISNUMBER(AP1032))),0,1)+IF(OR(COUNTA(AQ1032:AS1032)=0,AND(COUNTA(AQ1032:AS1032)=3,ISNUMBER(AS1032))),0,1)+IF(OR(COUNTA(AT1032:AV1032)=0,AND(COUNTA(AT1032:AV1032)=3,ISNUMBER(AV1032))),0,1)+IF(OR(COUNTA(AW1032:AY1032)=0,AND(COUNTA(AW1032:AY1032)=3,ISNUMBER(AY1032))),0,1)+IF(OR(COUNTA(AZ1032:BB1032)=0,AND(COUNTA(AZ1032:BB1032)=3,ISNUMBER(BB1032))),0,1))&gt;0,"; An invoice is incomplete (needs No, Date and a number in Ex GST)","")&amp;IF((IF(T1032="",0,IFERROR(--(EOMONTH(T1032,0)&lt;&gt;S$5),1))+IF(W1032="",0,IFERROR(--(EOMONTH(W1032,0)&lt;&gt;V$5),1))+IF(Z1032="",0,IFERROR(--(EOMONTH(Z1032,0)&lt;&gt;Y$5),1))+IF(AC1032="",0,IFERROR(--(EOMONTH(AC1032,0)&lt;&gt;AB$5),1))+IF(AF1032="",0,IFERROR(--(EOMONTH(AF1032,0)&lt;&gt;AE$5),1))+IF(AI1032="",0,IFERROR(--(EOMONTH(AI1032,0)&lt;&gt;AH$5),1))+IF(AL1032="",0,IFERROR(--(EOMONTH(AL1032,0)&lt;&gt;AK$5),1))+IF(AO1032="",0,IFERROR(--(EOMONTH(AO1032,0)&lt;&gt;AN$5),1))+IF(AR1032="",0,IFERROR(--(EOMONTH(AR1032,0)&lt;&gt;AQ$5),1))+IF(AU1032="",0,IFERROR(--(EOMONTH(AU1032,0)&lt;&gt;AT$5),1))+IF(AX1032="",0,IFERROR(--(EOMONTH(AX1032,0)&lt;&gt;AW$5),1))+IF(BA1032="",0,IFERROR(--(EOMONTH(BA1032,0)&lt;&gt;AZ$5),1)))&gt;0,"; An invoice date is not in the month it is typed under",""),3,500))</f>
        <v/>
      </c>
      <c r="S1032" s="12" t="n"/>
      <c r="T1032" s="13" t="n"/>
      <c r="U1032" s="14" t="n"/>
      <c r="V1032" s="12" t="n"/>
      <c r="W1032" s="13" t="n"/>
      <c r="X1032" s="14" t="n"/>
      <c r="Y1032" s="12" t="n"/>
      <c r="Z1032" s="13" t="n"/>
      <c r="AA1032" s="14" t="n"/>
      <c r="AB1032" s="12" t="n"/>
      <c r="AC1032" s="13" t="n"/>
      <c r="AD1032" s="14" t="n"/>
      <c r="AE1032" s="12" t="n"/>
      <c r="AF1032" s="13" t="n"/>
      <c r="AG1032" s="14" t="n"/>
      <c r="AH1032" s="12" t="n"/>
      <c r="AI1032" s="13" t="n"/>
      <c r="AJ1032" s="14" t="n"/>
      <c r="AK1032" s="12" t="n"/>
      <c r="AL1032" s="13" t="n"/>
      <c r="AM1032" s="14" t="n"/>
      <c r="AN1032" s="12" t="n"/>
      <c r="AO1032" s="13" t="n"/>
      <c r="AP1032" s="14" t="n"/>
      <c r="AQ1032" s="12" t="n"/>
      <c r="AR1032" s="13" t="n"/>
      <c r="AS1032" s="14" t="n"/>
      <c r="AT1032" s="12" t="n"/>
      <c r="AU1032" s="13" t="n"/>
      <c r="AV1032" s="14" t="n"/>
      <c r="AW1032" s="12" t="n"/>
      <c r="AX1032" s="13" t="n"/>
      <c r="AY1032" s="14" t="n"/>
      <c r="AZ1032" s="12" t="n"/>
      <c r="BA1032" s="13" t="n"/>
      <c r="BB1032" s="14" t="n"/>
      <c r="BC1032" s="11">
        <f>IF(O1032="","",IF(J1032="GST 10%",ROUND(O1032*set_GSTRate,2),0))</f>
        <v/>
      </c>
      <c r="BD1032" s="11">
        <f>IF(O1032="","",O1032+BC1032)</f>
        <v/>
      </c>
      <c r="BE1032" s="15">
        <f>IF(O1032="","",COUNTA(S1032,V1032,Y1032,AB1032,AE1032,AH1032,AK1032,AN1032,AQ1032,AT1032,AW1032,AZ1032))</f>
        <v/>
      </c>
      <c r="BF1032" s="16">
        <f>IF(COUNT(T1032,W1032,Z1032,AC1032,AF1032,AI1032,AL1032,AO1032,AR1032,AU1032,AX1032,BA1032)=0,"",MAX(T1032,W1032,Z1032,AC1032,AF1032,AI1032,AL1032,AO1032,AR1032,AU1032,AX1032,BA1032))</f>
        <v/>
      </c>
      <c r="BG1032" s="10">
        <f>MID(IF(S1032="","",", "&amp;S1032)&amp;IF(V1032="","",", "&amp;V1032)&amp;IF(Y1032="","",", "&amp;Y1032)&amp;IF(AB1032="","",", "&amp;AB1032)&amp;IF(AE1032="","",", "&amp;AE1032)&amp;IF(AH1032="","",", "&amp;AH1032)&amp;IF(AK1032="","",", "&amp;AK1032)&amp;IF(AN1032="","",", "&amp;AN1032)&amp;IF(AQ1032="","",", "&amp;AQ1032)&amp;IF(AT1032="","",", "&amp;AT1032)&amp;IF(AW1032="","",", "&amp;AW1032)&amp;IF(AZ1032="","",", "&amp;AZ1032),3,500)</f>
        <v/>
      </c>
      <c r="BH1032" s="12" t="n"/>
      <c r="BI1032" s="15">
        <f>IFERROR(MATCH($A1032,IF($B1032="Onsite",tbl_Onsite[Row ID],IF($B1032="Production",tbl_Production[Row ID],tbl_Consulting[Row ID])),0),"")</f>
        <v/>
      </c>
    </row>
    <row r="1033">
      <c r="A1033" s="10" t="inlineStr">
        <is>
          <t>CON-0027</t>
        </is>
      </c>
      <c r="B1033" s="10" t="inlineStr">
        <is>
          <t>Consulting</t>
        </is>
      </c>
      <c r="C1033" s="10">
        <f>IF($BI1033="","",IF($B1033="Onsite",INDEX(tbl_Onsite[Job Number],$BI1033),IF($B1033="Production",INDEX(tbl_Production[Job Number],$BI1033),INDEX(tbl_Consulting[Job Number],$BI1033)))&amp;"")</f>
        <v/>
      </c>
      <c r="D1033" s="10">
        <f>IF($BI1033="","",IF($B1033="Onsite",INDEX(tbl_Onsite[Client],$BI1033),IF($B1033="Production",INDEX(tbl_Production[Client],$BI1033),INDEX(tbl_Consulting[Client],$BI1033)))&amp;"")</f>
        <v/>
      </c>
      <c r="E1033" s="10">
        <f>IF($C1033="","",IF(COUNTIF(lst_Jobs,$C1033)&gt;0,"OK","CHECK"))</f>
        <v/>
      </c>
      <c r="F1033" s="10">
        <f>IF($C1033="","",IFERROR(INDEX(lst_JobName,MATCH($C1033,lst_Jobs,0)),""))</f>
        <v/>
      </c>
      <c r="G1033" s="10">
        <f>IF($BI1033="","",IF($B1033="Onsite",INDEX(tbl_Onsite[Job Description],$BI1033),IF($B1033="Production",INDEX(tbl_Production[Job Description],$BI1033),INDEX(tbl_Consulting[Job Description],$BI1033)))&amp;"")</f>
        <v/>
      </c>
      <c r="H1033" s="10">
        <f>IF($BI1033="","",IF($B1033="Onsite",INDEX(tbl_Onsite[Cost Centre],$BI1033),IF($B1033="Production",INDEX(tbl_Production[Cost Centre],$BI1033),INDEX(tbl_Consulting[Cost Centre],$BI1033)))&amp;"")</f>
        <v/>
      </c>
      <c r="I1033" s="10">
        <f>IF($BI1033="","",IF($B1033="Onsite",INDEX(tbl_Onsite[Invoice Type],$BI1033),IF($B1033="Production",INDEX(tbl_Production[Invoice Type],$BI1033),INDEX(tbl_Consulting[Invoice Type],$BI1033)))&amp;"")</f>
        <v/>
      </c>
      <c r="J1033" s="10">
        <f>IF($BI1033="","",IF($B1033="Onsite",INDEX(tbl_Onsite[Tax Code],$BI1033),IF($B1033="Production",INDEX(tbl_Production[Tax Code],$BI1033),INDEX(tbl_Consulting[Tax Code],$BI1033)))&amp;"")</f>
        <v/>
      </c>
      <c r="K1033" s="10">
        <f>IF(H1033="","",IFERROR(INDEX(lst_CCtoGL,MATCH(H1033,lst_CCforGL,0)),""))</f>
        <v/>
      </c>
      <c r="L1033" s="10">
        <f>IF($BI1033="","",IF($B1033="Onsite",INDEX(tbl_Onsite[PO / Reference],$BI1033),IF($B1033="Production",INDEX(tbl_Production[Current RMS No],$BI1033),INDEX(tbl_Consulting[Qwilr Quote],$BI1033)))&amp;"")</f>
        <v/>
      </c>
      <c r="M1033" s="10">
        <f>IF($BI1033="","",IF($B1033="Onsite",INDEX(tbl_Onsite[Notes],$BI1033),IF($B1033="Production",INDEX(tbl_Production[Notes],$BI1033),INDEX(tbl_Consulting[Notes],$BI1033)))&amp;"")</f>
        <v/>
      </c>
      <c r="N1033" s="11">
        <f>IF($BI1033="","",IF(IF($B1033="Onsite",INDEX(tbl_Onsite[Expected Revenue Ex GST],$BI1033),IF($B1033="Production",INDEX(tbl_Production[Expected Revenue Ex GST],$BI1033),INDEX(tbl_Consulting[Expected Revenue Ex GST],$BI1033)))="","",IF($B1033="Onsite",INDEX(tbl_Onsite[Expected Revenue Ex GST],$BI1033),IF($B1033="Production",INDEX(tbl_Production[Expected Revenue Ex GST],$BI1033),INDEX(tbl_Consulting[Expected Revenue Ex GST],$BI1033)))))</f>
        <v/>
      </c>
      <c r="O1033" s="11">
        <f>IF(AND($C1033="",NOT(COUNTA($S1033:$BB1033)&gt;0)),"",SUM(U1033,X1033,AA1033,AD1033,AG1033,AJ1033,AM1033,AP1033,AS1033,AV1033,AY1033,BB1033))</f>
        <v/>
      </c>
      <c r="P1033" s="11">
        <f>IF(O1033="","",N(N1033)-O1033)</f>
        <v/>
      </c>
      <c r="Q1033" s="10">
        <f>IF(O1033="","",IF($C1033="","Invoice on empty job row",IF(N1033="",IF(ROUND(O1033,2)=0,"No dept value","Invoiced - no dept value"),IF(ROUND(O1033,2)=0,"Not invoiced - to invoice",IF(ROUND(P1033,2)=0,"Agrees",IF(P1033&gt;0,"Dept higher - to invoice","Xero higher - check dept"))))))</f>
        <v/>
      </c>
      <c r="R1033" s="10">
        <f>IF(AND($C1033="",NOT(COUNTA($S1033:$BB1033)&gt;0),$BI1033&lt;&gt;""),"",MID(IF($BI1033="","; Row ID not found on the department sheet - a row was deleted","")&amp;IF(AND($C1033="",COUNTA($S1033:$BB1033)&gt;0),"; Invoice entered but the department row has no job number","")&amp;IF(E1033="CHECK","; Job number not in the Xero job list","")&amp;IF(AND($C1033&lt;&gt;"",COUNTIF($C$7:$C$1506,$C1033)&gt;1),"; Job number on more than one row","")&amp;IF(AND($C1033&lt;&gt;"",H1033=""),"; Dept has not set a cost centre","")&amp;IF(AND($C1033&lt;&gt;"",J1033=""),"; Dept has not set a tax code","")&amp;IF(AND($C1033&lt;&gt;"",N1033=""),"; Dept has not entered an expected value","")&amp;IF((IF(OR(COUNTA(S1033:U1033)=0,AND(COUNTA(S1033:U1033)=3,ISNUMBER(U1033))),0,1)+IF(OR(COUNTA(V1033:X1033)=0,AND(COUNTA(V1033:X1033)=3,ISNUMBER(X1033))),0,1)+IF(OR(COUNTA(Y1033:AA1033)=0,AND(COUNTA(Y1033:AA1033)=3,ISNUMBER(AA1033))),0,1)+IF(OR(COUNTA(AB1033:AD1033)=0,AND(COUNTA(AB1033:AD1033)=3,ISNUMBER(AD1033))),0,1)+IF(OR(COUNTA(AE1033:AG1033)=0,AND(COUNTA(AE1033:AG1033)=3,ISNUMBER(AG1033))),0,1)+IF(OR(COUNTA(AH1033:AJ1033)=0,AND(COUNTA(AH1033:AJ1033)=3,ISNUMBER(AJ1033))),0,1)+IF(OR(COUNTA(AK1033:AM1033)=0,AND(COUNTA(AK1033:AM1033)=3,ISNUMBER(AM1033))),0,1)+IF(OR(COUNTA(AN1033:AP1033)=0,AND(COUNTA(AN1033:AP1033)=3,ISNUMBER(AP1033))),0,1)+IF(OR(COUNTA(AQ1033:AS1033)=0,AND(COUNTA(AQ1033:AS1033)=3,ISNUMBER(AS1033))),0,1)+IF(OR(COUNTA(AT1033:AV1033)=0,AND(COUNTA(AT1033:AV1033)=3,ISNUMBER(AV1033))),0,1)+IF(OR(COUNTA(AW1033:AY1033)=0,AND(COUNTA(AW1033:AY1033)=3,ISNUMBER(AY1033))),0,1)+IF(OR(COUNTA(AZ1033:BB1033)=0,AND(COUNTA(AZ1033:BB1033)=3,ISNUMBER(BB1033))),0,1))&gt;0,"; An invoice is incomplete (needs No, Date and a number in Ex GST)","")&amp;IF((IF(T1033="",0,IFERROR(--(EOMONTH(T1033,0)&lt;&gt;S$5),1))+IF(W1033="",0,IFERROR(--(EOMONTH(W1033,0)&lt;&gt;V$5),1))+IF(Z1033="",0,IFERROR(--(EOMONTH(Z1033,0)&lt;&gt;Y$5),1))+IF(AC1033="",0,IFERROR(--(EOMONTH(AC1033,0)&lt;&gt;AB$5),1))+IF(AF1033="",0,IFERROR(--(EOMONTH(AF1033,0)&lt;&gt;AE$5),1))+IF(AI1033="",0,IFERROR(--(EOMONTH(AI1033,0)&lt;&gt;AH$5),1))+IF(AL1033="",0,IFERROR(--(EOMONTH(AL1033,0)&lt;&gt;AK$5),1))+IF(AO1033="",0,IFERROR(--(EOMONTH(AO1033,0)&lt;&gt;AN$5),1))+IF(AR1033="",0,IFERROR(--(EOMONTH(AR1033,0)&lt;&gt;AQ$5),1))+IF(AU1033="",0,IFERROR(--(EOMONTH(AU1033,0)&lt;&gt;AT$5),1))+IF(AX1033="",0,IFERROR(--(EOMONTH(AX1033,0)&lt;&gt;AW$5),1))+IF(BA1033="",0,IFERROR(--(EOMONTH(BA1033,0)&lt;&gt;AZ$5),1)))&gt;0,"; An invoice date is not in the month it is typed under",""),3,500))</f>
        <v/>
      </c>
      <c r="S1033" s="12" t="n"/>
      <c r="T1033" s="13" t="n"/>
      <c r="U1033" s="14" t="n"/>
      <c r="V1033" s="12" t="n"/>
      <c r="W1033" s="13" t="n"/>
      <c r="X1033" s="14" t="n"/>
      <c r="Y1033" s="12" t="n"/>
      <c r="Z1033" s="13" t="n"/>
      <c r="AA1033" s="14" t="n"/>
      <c r="AB1033" s="12" t="n"/>
      <c r="AC1033" s="13" t="n"/>
      <c r="AD1033" s="14" t="n"/>
      <c r="AE1033" s="12" t="n"/>
      <c r="AF1033" s="13" t="n"/>
      <c r="AG1033" s="14" t="n"/>
      <c r="AH1033" s="12" t="n"/>
      <c r="AI1033" s="13" t="n"/>
      <c r="AJ1033" s="14" t="n"/>
      <c r="AK1033" s="12" t="n"/>
      <c r="AL1033" s="13" t="n"/>
      <c r="AM1033" s="14" t="n"/>
      <c r="AN1033" s="12" t="n"/>
      <c r="AO1033" s="13" t="n"/>
      <c r="AP1033" s="14" t="n"/>
      <c r="AQ1033" s="12" t="n"/>
      <c r="AR1033" s="13" t="n"/>
      <c r="AS1033" s="14" t="n"/>
      <c r="AT1033" s="12" t="n"/>
      <c r="AU1033" s="13" t="n"/>
      <c r="AV1033" s="14" t="n"/>
      <c r="AW1033" s="12" t="n"/>
      <c r="AX1033" s="13" t="n"/>
      <c r="AY1033" s="14" t="n"/>
      <c r="AZ1033" s="12" t="n"/>
      <c r="BA1033" s="13" t="n"/>
      <c r="BB1033" s="14" t="n"/>
      <c r="BC1033" s="11">
        <f>IF(O1033="","",IF(J1033="GST 10%",ROUND(O1033*set_GSTRate,2),0))</f>
        <v/>
      </c>
      <c r="BD1033" s="11">
        <f>IF(O1033="","",O1033+BC1033)</f>
        <v/>
      </c>
      <c r="BE1033" s="15">
        <f>IF(O1033="","",COUNTA(S1033,V1033,Y1033,AB1033,AE1033,AH1033,AK1033,AN1033,AQ1033,AT1033,AW1033,AZ1033))</f>
        <v/>
      </c>
      <c r="BF1033" s="16">
        <f>IF(COUNT(T1033,W1033,Z1033,AC1033,AF1033,AI1033,AL1033,AO1033,AR1033,AU1033,AX1033,BA1033)=0,"",MAX(T1033,W1033,Z1033,AC1033,AF1033,AI1033,AL1033,AO1033,AR1033,AU1033,AX1033,BA1033))</f>
        <v/>
      </c>
      <c r="BG1033" s="10">
        <f>MID(IF(S1033="","",", "&amp;S1033)&amp;IF(V1033="","",", "&amp;V1033)&amp;IF(Y1033="","",", "&amp;Y1033)&amp;IF(AB1033="","",", "&amp;AB1033)&amp;IF(AE1033="","",", "&amp;AE1033)&amp;IF(AH1033="","",", "&amp;AH1033)&amp;IF(AK1033="","",", "&amp;AK1033)&amp;IF(AN1033="","",", "&amp;AN1033)&amp;IF(AQ1033="","",", "&amp;AQ1033)&amp;IF(AT1033="","",", "&amp;AT1033)&amp;IF(AW1033="","",", "&amp;AW1033)&amp;IF(AZ1033="","",", "&amp;AZ1033),3,500)</f>
        <v/>
      </c>
      <c r="BH1033" s="12" t="n"/>
      <c r="BI1033" s="15">
        <f>IFERROR(MATCH($A1033,IF($B1033="Onsite",tbl_Onsite[Row ID],IF($B1033="Production",tbl_Production[Row ID],tbl_Consulting[Row ID])),0),"")</f>
        <v/>
      </c>
    </row>
    <row r="1034">
      <c r="A1034" s="10" t="inlineStr">
        <is>
          <t>CON-0028</t>
        </is>
      </c>
      <c r="B1034" s="10" t="inlineStr">
        <is>
          <t>Consulting</t>
        </is>
      </c>
      <c r="C1034" s="10">
        <f>IF($BI1034="","",IF($B1034="Onsite",INDEX(tbl_Onsite[Job Number],$BI1034),IF($B1034="Production",INDEX(tbl_Production[Job Number],$BI1034),INDEX(tbl_Consulting[Job Number],$BI1034)))&amp;"")</f>
        <v/>
      </c>
      <c r="D1034" s="10">
        <f>IF($BI1034="","",IF($B1034="Onsite",INDEX(tbl_Onsite[Client],$BI1034),IF($B1034="Production",INDEX(tbl_Production[Client],$BI1034),INDEX(tbl_Consulting[Client],$BI1034)))&amp;"")</f>
        <v/>
      </c>
      <c r="E1034" s="10">
        <f>IF($C1034="","",IF(COUNTIF(lst_Jobs,$C1034)&gt;0,"OK","CHECK"))</f>
        <v/>
      </c>
      <c r="F1034" s="10">
        <f>IF($C1034="","",IFERROR(INDEX(lst_JobName,MATCH($C1034,lst_Jobs,0)),""))</f>
        <v/>
      </c>
      <c r="G1034" s="10">
        <f>IF($BI1034="","",IF($B1034="Onsite",INDEX(tbl_Onsite[Job Description],$BI1034),IF($B1034="Production",INDEX(tbl_Production[Job Description],$BI1034),INDEX(tbl_Consulting[Job Description],$BI1034)))&amp;"")</f>
        <v/>
      </c>
      <c r="H1034" s="10">
        <f>IF($BI1034="","",IF($B1034="Onsite",INDEX(tbl_Onsite[Cost Centre],$BI1034),IF($B1034="Production",INDEX(tbl_Production[Cost Centre],$BI1034),INDEX(tbl_Consulting[Cost Centre],$BI1034)))&amp;"")</f>
        <v/>
      </c>
      <c r="I1034" s="10">
        <f>IF($BI1034="","",IF($B1034="Onsite",INDEX(tbl_Onsite[Invoice Type],$BI1034),IF($B1034="Production",INDEX(tbl_Production[Invoice Type],$BI1034),INDEX(tbl_Consulting[Invoice Type],$BI1034)))&amp;"")</f>
        <v/>
      </c>
      <c r="J1034" s="10">
        <f>IF($BI1034="","",IF($B1034="Onsite",INDEX(tbl_Onsite[Tax Code],$BI1034),IF($B1034="Production",INDEX(tbl_Production[Tax Code],$BI1034),INDEX(tbl_Consulting[Tax Code],$BI1034)))&amp;"")</f>
        <v/>
      </c>
      <c r="K1034" s="10">
        <f>IF(H1034="","",IFERROR(INDEX(lst_CCtoGL,MATCH(H1034,lst_CCforGL,0)),""))</f>
        <v/>
      </c>
      <c r="L1034" s="10">
        <f>IF($BI1034="","",IF($B1034="Onsite",INDEX(tbl_Onsite[PO / Reference],$BI1034),IF($B1034="Production",INDEX(tbl_Production[Current RMS No],$BI1034),INDEX(tbl_Consulting[Qwilr Quote],$BI1034)))&amp;"")</f>
        <v/>
      </c>
      <c r="M1034" s="10">
        <f>IF($BI1034="","",IF($B1034="Onsite",INDEX(tbl_Onsite[Notes],$BI1034),IF($B1034="Production",INDEX(tbl_Production[Notes],$BI1034),INDEX(tbl_Consulting[Notes],$BI1034)))&amp;"")</f>
        <v/>
      </c>
      <c r="N1034" s="11">
        <f>IF($BI1034="","",IF(IF($B1034="Onsite",INDEX(tbl_Onsite[Expected Revenue Ex GST],$BI1034),IF($B1034="Production",INDEX(tbl_Production[Expected Revenue Ex GST],$BI1034),INDEX(tbl_Consulting[Expected Revenue Ex GST],$BI1034)))="","",IF($B1034="Onsite",INDEX(tbl_Onsite[Expected Revenue Ex GST],$BI1034),IF($B1034="Production",INDEX(tbl_Production[Expected Revenue Ex GST],$BI1034),INDEX(tbl_Consulting[Expected Revenue Ex GST],$BI1034)))))</f>
        <v/>
      </c>
      <c r="O1034" s="11">
        <f>IF(AND($C1034="",NOT(COUNTA($S1034:$BB1034)&gt;0)),"",SUM(U1034,X1034,AA1034,AD1034,AG1034,AJ1034,AM1034,AP1034,AS1034,AV1034,AY1034,BB1034))</f>
        <v/>
      </c>
      <c r="P1034" s="11">
        <f>IF(O1034="","",N(N1034)-O1034)</f>
        <v/>
      </c>
      <c r="Q1034" s="10">
        <f>IF(O1034="","",IF($C1034="","Invoice on empty job row",IF(N1034="",IF(ROUND(O1034,2)=0,"No dept value","Invoiced - no dept value"),IF(ROUND(O1034,2)=0,"Not invoiced - to invoice",IF(ROUND(P1034,2)=0,"Agrees",IF(P1034&gt;0,"Dept higher - to invoice","Xero higher - check dept"))))))</f>
        <v/>
      </c>
      <c r="R1034" s="10">
        <f>IF(AND($C1034="",NOT(COUNTA($S1034:$BB1034)&gt;0),$BI1034&lt;&gt;""),"",MID(IF($BI1034="","; Row ID not found on the department sheet - a row was deleted","")&amp;IF(AND($C1034="",COUNTA($S1034:$BB1034)&gt;0),"; Invoice entered but the department row has no job number","")&amp;IF(E1034="CHECK","; Job number not in the Xero job list","")&amp;IF(AND($C1034&lt;&gt;"",COUNTIF($C$7:$C$1506,$C1034)&gt;1),"; Job number on more than one row","")&amp;IF(AND($C1034&lt;&gt;"",H1034=""),"; Dept has not set a cost centre","")&amp;IF(AND($C1034&lt;&gt;"",J1034=""),"; Dept has not set a tax code","")&amp;IF(AND($C1034&lt;&gt;"",N1034=""),"; Dept has not entered an expected value","")&amp;IF((IF(OR(COUNTA(S1034:U1034)=0,AND(COUNTA(S1034:U1034)=3,ISNUMBER(U1034))),0,1)+IF(OR(COUNTA(V1034:X1034)=0,AND(COUNTA(V1034:X1034)=3,ISNUMBER(X1034))),0,1)+IF(OR(COUNTA(Y1034:AA1034)=0,AND(COUNTA(Y1034:AA1034)=3,ISNUMBER(AA1034))),0,1)+IF(OR(COUNTA(AB1034:AD1034)=0,AND(COUNTA(AB1034:AD1034)=3,ISNUMBER(AD1034))),0,1)+IF(OR(COUNTA(AE1034:AG1034)=0,AND(COUNTA(AE1034:AG1034)=3,ISNUMBER(AG1034))),0,1)+IF(OR(COUNTA(AH1034:AJ1034)=0,AND(COUNTA(AH1034:AJ1034)=3,ISNUMBER(AJ1034))),0,1)+IF(OR(COUNTA(AK1034:AM1034)=0,AND(COUNTA(AK1034:AM1034)=3,ISNUMBER(AM1034))),0,1)+IF(OR(COUNTA(AN1034:AP1034)=0,AND(COUNTA(AN1034:AP1034)=3,ISNUMBER(AP1034))),0,1)+IF(OR(COUNTA(AQ1034:AS1034)=0,AND(COUNTA(AQ1034:AS1034)=3,ISNUMBER(AS1034))),0,1)+IF(OR(COUNTA(AT1034:AV1034)=0,AND(COUNTA(AT1034:AV1034)=3,ISNUMBER(AV1034))),0,1)+IF(OR(COUNTA(AW1034:AY1034)=0,AND(COUNTA(AW1034:AY1034)=3,ISNUMBER(AY1034))),0,1)+IF(OR(COUNTA(AZ1034:BB1034)=0,AND(COUNTA(AZ1034:BB1034)=3,ISNUMBER(BB1034))),0,1))&gt;0,"; An invoice is incomplete (needs No, Date and a number in Ex GST)","")&amp;IF((IF(T1034="",0,IFERROR(--(EOMONTH(T1034,0)&lt;&gt;S$5),1))+IF(W1034="",0,IFERROR(--(EOMONTH(W1034,0)&lt;&gt;V$5),1))+IF(Z1034="",0,IFERROR(--(EOMONTH(Z1034,0)&lt;&gt;Y$5),1))+IF(AC1034="",0,IFERROR(--(EOMONTH(AC1034,0)&lt;&gt;AB$5),1))+IF(AF1034="",0,IFERROR(--(EOMONTH(AF1034,0)&lt;&gt;AE$5),1))+IF(AI1034="",0,IFERROR(--(EOMONTH(AI1034,0)&lt;&gt;AH$5),1))+IF(AL1034="",0,IFERROR(--(EOMONTH(AL1034,0)&lt;&gt;AK$5),1))+IF(AO1034="",0,IFERROR(--(EOMONTH(AO1034,0)&lt;&gt;AN$5),1))+IF(AR1034="",0,IFERROR(--(EOMONTH(AR1034,0)&lt;&gt;AQ$5),1))+IF(AU1034="",0,IFERROR(--(EOMONTH(AU1034,0)&lt;&gt;AT$5),1))+IF(AX1034="",0,IFERROR(--(EOMONTH(AX1034,0)&lt;&gt;AW$5),1))+IF(BA1034="",0,IFERROR(--(EOMONTH(BA1034,0)&lt;&gt;AZ$5),1)))&gt;0,"; An invoice date is not in the month it is typed under",""),3,500))</f>
        <v/>
      </c>
      <c r="S1034" s="12" t="n"/>
      <c r="T1034" s="13" t="n"/>
      <c r="U1034" s="14" t="n"/>
      <c r="V1034" s="12" t="n"/>
      <c r="W1034" s="13" t="n"/>
      <c r="X1034" s="14" t="n"/>
      <c r="Y1034" s="12" t="n"/>
      <c r="Z1034" s="13" t="n"/>
      <c r="AA1034" s="14" t="n"/>
      <c r="AB1034" s="12" t="n"/>
      <c r="AC1034" s="13" t="n"/>
      <c r="AD1034" s="14" t="n"/>
      <c r="AE1034" s="12" t="n"/>
      <c r="AF1034" s="13" t="n"/>
      <c r="AG1034" s="14" t="n"/>
      <c r="AH1034" s="12" t="n"/>
      <c r="AI1034" s="13" t="n"/>
      <c r="AJ1034" s="14" t="n"/>
      <c r="AK1034" s="12" t="n"/>
      <c r="AL1034" s="13" t="n"/>
      <c r="AM1034" s="14" t="n"/>
      <c r="AN1034" s="12" t="n"/>
      <c r="AO1034" s="13" t="n"/>
      <c r="AP1034" s="14" t="n"/>
      <c r="AQ1034" s="12" t="n"/>
      <c r="AR1034" s="13" t="n"/>
      <c r="AS1034" s="14" t="n"/>
      <c r="AT1034" s="12" t="n"/>
      <c r="AU1034" s="13" t="n"/>
      <c r="AV1034" s="14" t="n"/>
      <c r="AW1034" s="12" t="n"/>
      <c r="AX1034" s="13" t="n"/>
      <c r="AY1034" s="14" t="n"/>
      <c r="AZ1034" s="12" t="n"/>
      <c r="BA1034" s="13" t="n"/>
      <c r="BB1034" s="14" t="n"/>
      <c r="BC1034" s="11">
        <f>IF(O1034="","",IF(J1034="GST 10%",ROUND(O1034*set_GSTRate,2),0))</f>
        <v/>
      </c>
      <c r="BD1034" s="11">
        <f>IF(O1034="","",O1034+BC1034)</f>
        <v/>
      </c>
      <c r="BE1034" s="15">
        <f>IF(O1034="","",COUNTA(S1034,V1034,Y1034,AB1034,AE1034,AH1034,AK1034,AN1034,AQ1034,AT1034,AW1034,AZ1034))</f>
        <v/>
      </c>
      <c r="BF1034" s="16">
        <f>IF(COUNT(T1034,W1034,Z1034,AC1034,AF1034,AI1034,AL1034,AO1034,AR1034,AU1034,AX1034,BA1034)=0,"",MAX(T1034,W1034,Z1034,AC1034,AF1034,AI1034,AL1034,AO1034,AR1034,AU1034,AX1034,BA1034))</f>
        <v/>
      </c>
      <c r="BG1034" s="10">
        <f>MID(IF(S1034="","",", "&amp;S1034)&amp;IF(V1034="","",", "&amp;V1034)&amp;IF(Y1034="","",", "&amp;Y1034)&amp;IF(AB1034="","",", "&amp;AB1034)&amp;IF(AE1034="","",", "&amp;AE1034)&amp;IF(AH1034="","",", "&amp;AH1034)&amp;IF(AK1034="","",", "&amp;AK1034)&amp;IF(AN1034="","",", "&amp;AN1034)&amp;IF(AQ1034="","",", "&amp;AQ1034)&amp;IF(AT1034="","",", "&amp;AT1034)&amp;IF(AW1034="","",", "&amp;AW1034)&amp;IF(AZ1034="","",", "&amp;AZ1034),3,500)</f>
        <v/>
      </c>
      <c r="BH1034" s="12" t="n"/>
      <c r="BI1034" s="15">
        <f>IFERROR(MATCH($A1034,IF($B1034="Onsite",tbl_Onsite[Row ID],IF($B1034="Production",tbl_Production[Row ID],tbl_Consulting[Row ID])),0),"")</f>
        <v/>
      </c>
    </row>
    <row r="1035">
      <c r="A1035" s="10" t="inlineStr">
        <is>
          <t>CON-0029</t>
        </is>
      </c>
      <c r="B1035" s="10" t="inlineStr">
        <is>
          <t>Consulting</t>
        </is>
      </c>
      <c r="C1035" s="10">
        <f>IF($BI1035="","",IF($B1035="Onsite",INDEX(tbl_Onsite[Job Number],$BI1035),IF($B1035="Production",INDEX(tbl_Production[Job Number],$BI1035),INDEX(tbl_Consulting[Job Number],$BI1035)))&amp;"")</f>
        <v/>
      </c>
      <c r="D1035" s="10">
        <f>IF($BI1035="","",IF($B1035="Onsite",INDEX(tbl_Onsite[Client],$BI1035),IF($B1035="Production",INDEX(tbl_Production[Client],$BI1035),INDEX(tbl_Consulting[Client],$BI1035)))&amp;"")</f>
        <v/>
      </c>
      <c r="E1035" s="10">
        <f>IF($C1035="","",IF(COUNTIF(lst_Jobs,$C1035)&gt;0,"OK","CHECK"))</f>
        <v/>
      </c>
      <c r="F1035" s="10">
        <f>IF($C1035="","",IFERROR(INDEX(lst_JobName,MATCH($C1035,lst_Jobs,0)),""))</f>
        <v/>
      </c>
      <c r="G1035" s="10">
        <f>IF($BI1035="","",IF($B1035="Onsite",INDEX(tbl_Onsite[Job Description],$BI1035),IF($B1035="Production",INDEX(tbl_Production[Job Description],$BI1035),INDEX(tbl_Consulting[Job Description],$BI1035)))&amp;"")</f>
        <v/>
      </c>
      <c r="H1035" s="10">
        <f>IF($BI1035="","",IF($B1035="Onsite",INDEX(tbl_Onsite[Cost Centre],$BI1035),IF($B1035="Production",INDEX(tbl_Production[Cost Centre],$BI1035),INDEX(tbl_Consulting[Cost Centre],$BI1035)))&amp;"")</f>
        <v/>
      </c>
      <c r="I1035" s="10">
        <f>IF($BI1035="","",IF($B1035="Onsite",INDEX(tbl_Onsite[Invoice Type],$BI1035),IF($B1035="Production",INDEX(tbl_Production[Invoice Type],$BI1035),INDEX(tbl_Consulting[Invoice Type],$BI1035)))&amp;"")</f>
        <v/>
      </c>
      <c r="J1035" s="10">
        <f>IF($BI1035="","",IF($B1035="Onsite",INDEX(tbl_Onsite[Tax Code],$BI1035),IF($B1035="Production",INDEX(tbl_Production[Tax Code],$BI1035),INDEX(tbl_Consulting[Tax Code],$BI1035)))&amp;"")</f>
        <v/>
      </c>
      <c r="K1035" s="10">
        <f>IF(H1035="","",IFERROR(INDEX(lst_CCtoGL,MATCH(H1035,lst_CCforGL,0)),""))</f>
        <v/>
      </c>
      <c r="L1035" s="10">
        <f>IF($BI1035="","",IF($B1035="Onsite",INDEX(tbl_Onsite[PO / Reference],$BI1035),IF($B1035="Production",INDEX(tbl_Production[Current RMS No],$BI1035),INDEX(tbl_Consulting[Qwilr Quote],$BI1035)))&amp;"")</f>
        <v/>
      </c>
      <c r="M1035" s="10">
        <f>IF($BI1035="","",IF($B1035="Onsite",INDEX(tbl_Onsite[Notes],$BI1035),IF($B1035="Production",INDEX(tbl_Production[Notes],$BI1035),INDEX(tbl_Consulting[Notes],$BI1035)))&amp;"")</f>
        <v/>
      </c>
      <c r="N1035" s="11">
        <f>IF($BI1035="","",IF(IF($B1035="Onsite",INDEX(tbl_Onsite[Expected Revenue Ex GST],$BI1035),IF($B1035="Production",INDEX(tbl_Production[Expected Revenue Ex GST],$BI1035),INDEX(tbl_Consulting[Expected Revenue Ex GST],$BI1035)))="","",IF($B1035="Onsite",INDEX(tbl_Onsite[Expected Revenue Ex GST],$BI1035),IF($B1035="Production",INDEX(tbl_Production[Expected Revenue Ex GST],$BI1035),INDEX(tbl_Consulting[Expected Revenue Ex GST],$BI1035)))))</f>
        <v/>
      </c>
      <c r="O1035" s="11">
        <f>IF(AND($C1035="",NOT(COUNTA($S1035:$BB1035)&gt;0)),"",SUM(U1035,X1035,AA1035,AD1035,AG1035,AJ1035,AM1035,AP1035,AS1035,AV1035,AY1035,BB1035))</f>
        <v/>
      </c>
      <c r="P1035" s="11">
        <f>IF(O1035="","",N(N1035)-O1035)</f>
        <v/>
      </c>
      <c r="Q1035" s="10">
        <f>IF(O1035="","",IF($C1035="","Invoice on empty job row",IF(N1035="",IF(ROUND(O1035,2)=0,"No dept value","Invoiced - no dept value"),IF(ROUND(O1035,2)=0,"Not invoiced - to invoice",IF(ROUND(P1035,2)=0,"Agrees",IF(P1035&gt;0,"Dept higher - to invoice","Xero higher - check dept"))))))</f>
        <v/>
      </c>
      <c r="R1035" s="10">
        <f>IF(AND($C1035="",NOT(COUNTA($S1035:$BB1035)&gt;0),$BI1035&lt;&gt;""),"",MID(IF($BI1035="","; Row ID not found on the department sheet - a row was deleted","")&amp;IF(AND($C1035="",COUNTA($S1035:$BB1035)&gt;0),"; Invoice entered but the department row has no job number","")&amp;IF(E1035="CHECK","; Job number not in the Xero job list","")&amp;IF(AND($C1035&lt;&gt;"",COUNTIF($C$7:$C$1506,$C1035)&gt;1),"; Job number on more than one row","")&amp;IF(AND($C1035&lt;&gt;"",H1035=""),"; Dept has not set a cost centre","")&amp;IF(AND($C1035&lt;&gt;"",J1035=""),"; Dept has not set a tax code","")&amp;IF(AND($C1035&lt;&gt;"",N1035=""),"; Dept has not entered an expected value","")&amp;IF((IF(OR(COUNTA(S1035:U1035)=0,AND(COUNTA(S1035:U1035)=3,ISNUMBER(U1035))),0,1)+IF(OR(COUNTA(V1035:X1035)=0,AND(COUNTA(V1035:X1035)=3,ISNUMBER(X1035))),0,1)+IF(OR(COUNTA(Y1035:AA1035)=0,AND(COUNTA(Y1035:AA1035)=3,ISNUMBER(AA1035))),0,1)+IF(OR(COUNTA(AB1035:AD1035)=0,AND(COUNTA(AB1035:AD1035)=3,ISNUMBER(AD1035))),0,1)+IF(OR(COUNTA(AE1035:AG1035)=0,AND(COUNTA(AE1035:AG1035)=3,ISNUMBER(AG1035))),0,1)+IF(OR(COUNTA(AH1035:AJ1035)=0,AND(COUNTA(AH1035:AJ1035)=3,ISNUMBER(AJ1035))),0,1)+IF(OR(COUNTA(AK1035:AM1035)=0,AND(COUNTA(AK1035:AM1035)=3,ISNUMBER(AM1035))),0,1)+IF(OR(COUNTA(AN1035:AP1035)=0,AND(COUNTA(AN1035:AP1035)=3,ISNUMBER(AP1035))),0,1)+IF(OR(COUNTA(AQ1035:AS1035)=0,AND(COUNTA(AQ1035:AS1035)=3,ISNUMBER(AS1035))),0,1)+IF(OR(COUNTA(AT1035:AV1035)=0,AND(COUNTA(AT1035:AV1035)=3,ISNUMBER(AV1035))),0,1)+IF(OR(COUNTA(AW1035:AY1035)=0,AND(COUNTA(AW1035:AY1035)=3,ISNUMBER(AY1035))),0,1)+IF(OR(COUNTA(AZ1035:BB1035)=0,AND(COUNTA(AZ1035:BB1035)=3,ISNUMBER(BB1035))),0,1))&gt;0,"; An invoice is incomplete (needs No, Date and a number in Ex GST)","")&amp;IF((IF(T1035="",0,IFERROR(--(EOMONTH(T1035,0)&lt;&gt;S$5),1))+IF(W1035="",0,IFERROR(--(EOMONTH(W1035,0)&lt;&gt;V$5),1))+IF(Z1035="",0,IFERROR(--(EOMONTH(Z1035,0)&lt;&gt;Y$5),1))+IF(AC1035="",0,IFERROR(--(EOMONTH(AC1035,0)&lt;&gt;AB$5),1))+IF(AF1035="",0,IFERROR(--(EOMONTH(AF1035,0)&lt;&gt;AE$5),1))+IF(AI1035="",0,IFERROR(--(EOMONTH(AI1035,0)&lt;&gt;AH$5),1))+IF(AL1035="",0,IFERROR(--(EOMONTH(AL1035,0)&lt;&gt;AK$5),1))+IF(AO1035="",0,IFERROR(--(EOMONTH(AO1035,0)&lt;&gt;AN$5),1))+IF(AR1035="",0,IFERROR(--(EOMONTH(AR1035,0)&lt;&gt;AQ$5),1))+IF(AU1035="",0,IFERROR(--(EOMONTH(AU1035,0)&lt;&gt;AT$5),1))+IF(AX1035="",0,IFERROR(--(EOMONTH(AX1035,0)&lt;&gt;AW$5),1))+IF(BA1035="",0,IFERROR(--(EOMONTH(BA1035,0)&lt;&gt;AZ$5),1)))&gt;0,"; An invoice date is not in the month it is typed under",""),3,500))</f>
        <v/>
      </c>
      <c r="S1035" s="12" t="n"/>
      <c r="T1035" s="13" t="n"/>
      <c r="U1035" s="14" t="n"/>
      <c r="V1035" s="12" t="n"/>
      <c r="W1035" s="13" t="n"/>
      <c r="X1035" s="14" t="n"/>
      <c r="Y1035" s="12" t="n"/>
      <c r="Z1035" s="13" t="n"/>
      <c r="AA1035" s="14" t="n"/>
      <c r="AB1035" s="12" t="n"/>
      <c r="AC1035" s="13" t="n"/>
      <c r="AD1035" s="14" t="n"/>
      <c r="AE1035" s="12" t="n"/>
      <c r="AF1035" s="13" t="n"/>
      <c r="AG1035" s="14" t="n"/>
      <c r="AH1035" s="12" t="n"/>
      <c r="AI1035" s="13" t="n"/>
      <c r="AJ1035" s="14" t="n"/>
      <c r="AK1035" s="12" t="n"/>
      <c r="AL1035" s="13" t="n"/>
      <c r="AM1035" s="14" t="n"/>
      <c r="AN1035" s="12" t="n"/>
      <c r="AO1035" s="13" t="n"/>
      <c r="AP1035" s="14" t="n"/>
      <c r="AQ1035" s="12" t="n"/>
      <c r="AR1035" s="13" t="n"/>
      <c r="AS1035" s="14" t="n"/>
      <c r="AT1035" s="12" t="n"/>
      <c r="AU1035" s="13" t="n"/>
      <c r="AV1035" s="14" t="n"/>
      <c r="AW1035" s="12" t="n"/>
      <c r="AX1035" s="13" t="n"/>
      <c r="AY1035" s="14" t="n"/>
      <c r="AZ1035" s="12" t="n"/>
      <c r="BA1035" s="13" t="n"/>
      <c r="BB1035" s="14" t="n"/>
      <c r="BC1035" s="11">
        <f>IF(O1035="","",IF(J1035="GST 10%",ROUND(O1035*set_GSTRate,2),0))</f>
        <v/>
      </c>
      <c r="BD1035" s="11">
        <f>IF(O1035="","",O1035+BC1035)</f>
        <v/>
      </c>
      <c r="BE1035" s="15">
        <f>IF(O1035="","",COUNTA(S1035,V1035,Y1035,AB1035,AE1035,AH1035,AK1035,AN1035,AQ1035,AT1035,AW1035,AZ1035))</f>
        <v/>
      </c>
      <c r="BF1035" s="16">
        <f>IF(COUNT(T1035,W1035,Z1035,AC1035,AF1035,AI1035,AL1035,AO1035,AR1035,AU1035,AX1035,BA1035)=0,"",MAX(T1035,W1035,Z1035,AC1035,AF1035,AI1035,AL1035,AO1035,AR1035,AU1035,AX1035,BA1035))</f>
        <v/>
      </c>
      <c r="BG1035" s="10">
        <f>MID(IF(S1035="","",", "&amp;S1035)&amp;IF(V1035="","",", "&amp;V1035)&amp;IF(Y1035="","",", "&amp;Y1035)&amp;IF(AB1035="","",", "&amp;AB1035)&amp;IF(AE1035="","",", "&amp;AE1035)&amp;IF(AH1035="","",", "&amp;AH1035)&amp;IF(AK1035="","",", "&amp;AK1035)&amp;IF(AN1035="","",", "&amp;AN1035)&amp;IF(AQ1035="","",", "&amp;AQ1035)&amp;IF(AT1035="","",", "&amp;AT1035)&amp;IF(AW1035="","",", "&amp;AW1035)&amp;IF(AZ1035="","",", "&amp;AZ1035),3,500)</f>
        <v/>
      </c>
      <c r="BH1035" s="12" t="n"/>
      <c r="BI1035" s="15">
        <f>IFERROR(MATCH($A1035,IF($B1035="Onsite",tbl_Onsite[Row ID],IF($B1035="Production",tbl_Production[Row ID],tbl_Consulting[Row ID])),0),"")</f>
        <v/>
      </c>
    </row>
    <row r="1036">
      <c r="A1036" s="10" t="inlineStr">
        <is>
          <t>CON-0030</t>
        </is>
      </c>
      <c r="B1036" s="10" t="inlineStr">
        <is>
          <t>Consulting</t>
        </is>
      </c>
      <c r="C1036" s="10">
        <f>IF($BI1036="","",IF($B1036="Onsite",INDEX(tbl_Onsite[Job Number],$BI1036),IF($B1036="Production",INDEX(tbl_Production[Job Number],$BI1036),INDEX(tbl_Consulting[Job Number],$BI1036)))&amp;"")</f>
        <v/>
      </c>
      <c r="D1036" s="10">
        <f>IF($BI1036="","",IF($B1036="Onsite",INDEX(tbl_Onsite[Client],$BI1036),IF($B1036="Production",INDEX(tbl_Production[Client],$BI1036),INDEX(tbl_Consulting[Client],$BI1036)))&amp;"")</f>
        <v/>
      </c>
      <c r="E1036" s="10">
        <f>IF($C1036="","",IF(COUNTIF(lst_Jobs,$C1036)&gt;0,"OK","CHECK"))</f>
        <v/>
      </c>
      <c r="F1036" s="10">
        <f>IF($C1036="","",IFERROR(INDEX(lst_JobName,MATCH($C1036,lst_Jobs,0)),""))</f>
        <v/>
      </c>
      <c r="G1036" s="10">
        <f>IF($BI1036="","",IF($B1036="Onsite",INDEX(tbl_Onsite[Job Description],$BI1036),IF($B1036="Production",INDEX(tbl_Production[Job Description],$BI1036),INDEX(tbl_Consulting[Job Description],$BI1036)))&amp;"")</f>
        <v/>
      </c>
      <c r="H1036" s="10">
        <f>IF($BI1036="","",IF($B1036="Onsite",INDEX(tbl_Onsite[Cost Centre],$BI1036),IF($B1036="Production",INDEX(tbl_Production[Cost Centre],$BI1036),INDEX(tbl_Consulting[Cost Centre],$BI1036)))&amp;"")</f>
        <v/>
      </c>
      <c r="I1036" s="10">
        <f>IF($BI1036="","",IF($B1036="Onsite",INDEX(tbl_Onsite[Invoice Type],$BI1036),IF($B1036="Production",INDEX(tbl_Production[Invoice Type],$BI1036),INDEX(tbl_Consulting[Invoice Type],$BI1036)))&amp;"")</f>
        <v/>
      </c>
      <c r="J1036" s="10">
        <f>IF($BI1036="","",IF($B1036="Onsite",INDEX(tbl_Onsite[Tax Code],$BI1036),IF($B1036="Production",INDEX(tbl_Production[Tax Code],$BI1036),INDEX(tbl_Consulting[Tax Code],$BI1036)))&amp;"")</f>
        <v/>
      </c>
      <c r="K1036" s="10">
        <f>IF(H1036="","",IFERROR(INDEX(lst_CCtoGL,MATCH(H1036,lst_CCforGL,0)),""))</f>
        <v/>
      </c>
      <c r="L1036" s="10">
        <f>IF($BI1036="","",IF($B1036="Onsite",INDEX(tbl_Onsite[PO / Reference],$BI1036),IF($B1036="Production",INDEX(tbl_Production[Current RMS No],$BI1036),INDEX(tbl_Consulting[Qwilr Quote],$BI1036)))&amp;"")</f>
        <v/>
      </c>
      <c r="M1036" s="10">
        <f>IF($BI1036="","",IF($B1036="Onsite",INDEX(tbl_Onsite[Notes],$BI1036),IF($B1036="Production",INDEX(tbl_Production[Notes],$BI1036),INDEX(tbl_Consulting[Notes],$BI1036)))&amp;"")</f>
        <v/>
      </c>
      <c r="N1036" s="11">
        <f>IF($BI1036="","",IF(IF($B1036="Onsite",INDEX(tbl_Onsite[Expected Revenue Ex GST],$BI1036),IF($B1036="Production",INDEX(tbl_Production[Expected Revenue Ex GST],$BI1036),INDEX(tbl_Consulting[Expected Revenue Ex GST],$BI1036)))="","",IF($B1036="Onsite",INDEX(tbl_Onsite[Expected Revenue Ex GST],$BI1036),IF($B1036="Production",INDEX(tbl_Production[Expected Revenue Ex GST],$BI1036),INDEX(tbl_Consulting[Expected Revenue Ex GST],$BI1036)))))</f>
        <v/>
      </c>
      <c r="O1036" s="11">
        <f>IF(AND($C1036="",NOT(COUNTA($S1036:$BB1036)&gt;0)),"",SUM(U1036,X1036,AA1036,AD1036,AG1036,AJ1036,AM1036,AP1036,AS1036,AV1036,AY1036,BB1036))</f>
        <v/>
      </c>
      <c r="P1036" s="11">
        <f>IF(O1036="","",N(N1036)-O1036)</f>
        <v/>
      </c>
      <c r="Q1036" s="10">
        <f>IF(O1036="","",IF($C1036="","Invoice on empty job row",IF(N1036="",IF(ROUND(O1036,2)=0,"No dept value","Invoiced - no dept value"),IF(ROUND(O1036,2)=0,"Not invoiced - to invoice",IF(ROUND(P1036,2)=0,"Agrees",IF(P1036&gt;0,"Dept higher - to invoice","Xero higher - check dept"))))))</f>
        <v/>
      </c>
      <c r="R1036" s="10">
        <f>IF(AND($C1036="",NOT(COUNTA($S1036:$BB1036)&gt;0),$BI1036&lt;&gt;""),"",MID(IF($BI1036="","; Row ID not found on the department sheet - a row was deleted","")&amp;IF(AND($C1036="",COUNTA($S1036:$BB1036)&gt;0),"; Invoice entered but the department row has no job number","")&amp;IF(E1036="CHECK","; Job number not in the Xero job list","")&amp;IF(AND($C1036&lt;&gt;"",COUNTIF($C$7:$C$1506,$C1036)&gt;1),"; Job number on more than one row","")&amp;IF(AND($C1036&lt;&gt;"",H1036=""),"; Dept has not set a cost centre","")&amp;IF(AND($C1036&lt;&gt;"",J1036=""),"; Dept has not set a tax code","")&amp;IF(AND($C1036&lt;&gt;"",N1036=""),"; Dept has not entered an expected value","")&amp;IF((IF(OR(COUNTA(S1036:U1036)=0,AND(COUNTA(S1036:U1036)=3,ISNUMBER(U1036))),0,1)+IF(OR(COUNTA(V1036:X1036)=0,AND(COUNTA(V1036:X1036)=3,ISNUMBER(X1036))),0,1)+IF(OR(COUNTA(Y1036:AA1036)=0,AND(COUNTA(Y1036:AA1036)=3,ISNUMBER(AA1036))),0,1)+IF(OR(COUNTA(AB1036:AD1036)=0,AND(COUNTA(AB1036:AD1036)=3,ISNUMBER(AD1036))),0,1)+IF(OR(COUNTA(AE1036:AG1036)=0,AND(COUNTA(AE1036:AG1036)=3,ISNUMBER(AG1036))),0,1)+IF(OR(COUNTA(AH1036:AJ1036)=0,AND(COUNTA(AH1036:AJ1036)=3,ISNUMBER(AJ1036))),0,1)+IF(OR(COUNTA(AK1036:AM1036)=0,AND(COUNTA(AK1036:AM1036)=3,ISNUMBER(AM1036))),0,1)+IF(OR(COUNTA(AN1036:AP1036)=0,AND(COUNTA(AN1036:AP1036)=3,ISNUMBER(AP1036))),0,1)+IF(OR(COUNTA(AQ1036:AS1036)=0,AND(COUNTA(AQ1036:AS1036)=3,ISNUMBER(AS1036))),0,1)+IF(OR(COUNTA(AT1036:AV1036)=0,AND(COUNTA(AT1036:AV1036)=3,ISNUMBER(AV1036))),0,1)+IF(OR(COUNTA(AW1036:AY1036)=0,AND(COUNTA(AW1036:AY1036)=3,ISNUMBER(AY1036))),0,1)+IF(OR(COUNTA(AZ1036:BB1036)=0,AND(COUNTA(AZ1036:BB1036)=3,ISNUMBER(BB1036))),0,1))&gt;0,"; An invoice is incomplete (needs No, Date and a number in Ex GST)","")&amp;IF((IF(T1036="",0,IFERROR(--(EOMONTH(T1036,0)&lt;&gt;S$5),1))+IF(W1036="",0,IFERROR(--(EOMONTH(W1036,0)&lt;&gt;V$5),1))+IF(Z1036="",0,IFERROR(--(EOMONTH(Z1036,0)&lt;&gt;Y$5),1))+IF(AC1036="",0,IFERROR(--(EOMONTH(AC1036,0)&lt;&gt;AB$5),1))+IF(AF1036="",0,IFERROR(--(EOMONTH(AF1036,0)&lt;&gt;AE$5),1))+IF(AI1036="",0,IFERROR(--(EOMONTH(AI1036,0)&lt;&gt;AH$5),1))+IF(AL1036="",0,IFERROR(--(EOMONTH(AL1036,0)&lt;&gt;AK$5),1))+IF(AO1036="",0,IFERROR(--(EOMONTH(AO1036,0)&lt;&gt;AN$5),1))+IF(AR1036="",0,IFERROR(--(EOMONTH(AR1036,0)&lt;&gt;AQ$5),1))+IF(AU1036="",0,IFERROR(--(EOMONTH(AU1036,0)&lt;&gt;AT$5),1))+IF(AX1036="",0,IFERROR(--(EOMONTH(AX1036,0)&lt;&gt;AW$5),1))+IF(BA1036="",0,IFERROR(--(EOMONTH(BA1036,0)&lt;&gt;AZ$5),1)))&gt;0,"; An invoice date is not in the month it is typed under",""),3,500))</f>
        <v/>
      </c>
      <c r="S1036" s="12" t="n"/>
      <c r="T1036" s="13" t="n"/>
      <c r="U1036" s="14" t="n"/>
      <c r="V1036" s="12" t="n"/>
      <c r="W1036" s="13" t="n"/>
      <c r="X1036" s="14" t="n"/>
      <c r="Y1036" s="12" t="n"/>
      <c r="Z1036" s="13" t="n"/>
      <c r="AA1036" s="14" t="n"/>
      <c r="AB1036" s="12" t="n"/>
      <c r="AC1036" s="13" t="n"/>
      <c r="AD1036" s="14" t="n"/>
      <c r="AE1036" s="12" t="n"/>
      <c r="AF1036" s="13" t="n"/>
      <c r="AG1036" s="14" t="n"/>
      <c r="AH1036" s="12" t="n"/>
      <c r="AI1036" s="13" t="n"/>
      <c r="AJ1036" s="14" t="n"/>
      <c r="AK1036" s="12" t="n"/>
      <c r="AL1036" s="13" t="n"/>
      <c r="AM1036" s="14" t="n"/>
      <c r="AN1036" s="12" t="n"/>
      <c r="AO1036" s="13" t="n"/>
      <c r="AP1036" s="14" t="n"/>
      <c r="AQ1036" s="12" t="n"/>
      <c r="AR1036" s="13" t="n"/>
      <c r="AS1036" s="14" t="n"/>
      <c r="AT1036" s="12" t="n"/>
      <c r="AU1036" s="13" t="n"/>
      <c r="AV1036" s="14" t="n"/>
      <c r="AW1036" s="12" t="n"/>
      <c r="AX1036" s="13" t="n"/>
      <c r="AY1036" s="14" t="n"/>
      <c r="AZ1036" s="12" t="n"/>
      <c r="BA1036" s="13" t="n"/>
      <c r="BB1036" s="14" t="n"/>
      <c r="BC1036" s="11">
        <f>IF(O1036="","",IF(J1036="GST 10%",ROUND(O1036*set_GSTRate,2),0))</f>
        <v/>
      </c>
      <c r="BD1036" s="11">
        <f>IF(O1036="","",O1036+BC1036)</f>
        <v/>
      </c>
      <c r="BE1036" s="15">
        <f>IF(O1036="","",COUNTA(S1036,V1036,Y1036,AB1036,AE1036,AH1036,AK1036,AN1036,AQ1036,AT1036,AW1036,AZ1036))</f>
        <v/>
      </c>
      <c r="BF1036" s="16">
        <f>IF(COUNT(T1036,W1036,Z1036,AC1036,AF1036,AI1036,AL1036,AO1036,AR1036,AU1036,AX1036,BA1036)=0,"",MAX(T1036,W1036,Z1036,AC1036,AF1036,AI1036,AL1036,AO1036,AR1036,AU1036,AX1036,BA1036))</f>
        <v/>
      </c>
      <c r="BG1036" s="10">
        <f>MID(IF(S1036="","",", "&amp;S1036)&amp;IF(V1036="","",", "&amp;V1036)&amp;IF(Y1036="","",", "&amp;Y1036)&amp;IF(AB1036="","",", "&amp;AB1036)&amp;IF(AE1036="","",", "&amp;AE1036)&amp;IF(AH1036="","",", "&amp;AH1036)&amp;IF(AK1036="","",", "&amp;AK1036)&amp;IF(AN1036="","",", "&amp;AN1036)&amp;IF(AQ1036="","",", "&amp;AQ1036)&amp;IF(AT1036="","",", "&amp;AT1036)&amp;IF(AW1036="","",", "&amp;AW1036)&amp;IF(AZ1036="","",", "&amp;AZ1036),3,500)</f>
        <v/>
      </c>
      <c r="BH1036" s="12" t="n"/>
      <c r="BI1036" s="15">
        <f>IFERROR(MATCH($A1036,IF($B1036="Onsite",tbl_Onsite[Row ID],IF($B1036="Production",tbl_Production[Row ID],tbl_Consulting[Row ID])),0),"")</f>
        <v/>
      </c>
    </row>
    <row r="1037">
      <c r="A1037" s="10" t="inlineStr">
        <is>
          <t>CON-0031</t>
        </is>
      </c>
      <c r="B1037" s="10" t="inlineStr">
        <is>
          <t>Consulting</t>
        </is>
      </c>
      <c r="C1037" s="10">
        <f>IF($BI1037="","",IF($B1037="Onsite",INDEX(tbl_Onsite[Job Number],$BI1037),IF($B1037="Production",INDEX(tbl_Production[Job Number],$BI1037),INDEX(tbl_Consulting[Job Number],$BI1037)))&amp;"")</f>
        <v/>
      </c>
      <c r="D1037" s="10">
        <f>IF($BI1037="","",IF($B1037="Onsite",INDEX(tbl_Onsite[Client],$BI1037),IF($B1037="Production",INDEX(tbl_Production[Client],$BI1037),INDEX(tbl_Consulting[Client],$BI1037)))&amp;"")</f>
        <v/>
      </c>
      <c r="E1037" s="10">
        <f>IF($C1037="","",IF(COUNTIF(lst_Jobs,$C1037)&gt;0,"OK","CHECK"))</f>
        <v/>
      </c>
      <c r="F1037" s="10">
        <f>IF($C1037="","",IFERROR(INDEX(lst_JobName,MATCH($C1037,lst_Jobs,0)),""))</f>
        <v/>
      </c>
      <c r="G1037" s="10">
        <f>IF($BI1037="","",IF($B1037="Onsite",INDEX(tbl_Onsite[Job Description],$BI1037),IF($B1037="Production",INDEX(tbl_Production[Job Description],$BI1037),INDEX(tbl_Consulting[Job Description],$BI1037)))&amp;"")</f>
        <v/>
      </c>
      <c r="H1037" s="10">
        <f>IF($BI1037="","",IF($B1037="Onsite",INDEX(tbl_Onsite[Cost Centre],$BI1037),IF($B1037="Production",INDEX(tbl_Production[Cost Centre],$BI1037),INDEX(tbl_Consulting[Cost Centre],$BI1037)))&amp;"")</f>
        <v/>
      </c>
      <c r="I1037" s="10">
        <f>IF($BI1037="","",IF($B1037="Onsite",INDEX(tbl_Onsite[Invoice Type],$BI1037),IF($B1037="Production",INDEX(tbl_Production[Invoice Type],$BI1037),INDEX(tbl_Consulting[Invoice Type],$BI1037)))&amp;"")</f>
        <v/>
      </c>
      <c r="J1037" s="10">
        <f>IF($BI1037="","",IF($B1037="Onsite",INDEX(tbl_Onsite[Tax Code],$BI1037),IF($B1037="Production",INDEX(tbl_Production[Tax Code],$BI1037),INDEX(tbl_Consulting[Tax Code],$BI1037)))&amp;"")</f>
        <v/>
      </c>
      <c r="K1037" s="10">
        <f>IF(H1037="","",IFERROR(INDEX(lst_CCtoGL,MATCH(H1037,lst_CCforGL,0)),""))</f>
        <v/>
      </c>
      <c r="L1037" s="10">
        <f>IF($BI1037="","",IF($B1037="Onsite",INDEX(tbl_Onsite[PO / Reference],$BI1037),IF($B1037="Production",INDEX(tbl_Production[Current RMS No],$BI1037),INDEX(tbl_Consulting[Qwilr Quote],$BI1037)))&amp;"")</f>
        <v/>
      </c>
      <c r="M1037" s="10">
        <f>IF($BI1037="","",IF($B1037="Onsite",INDEX(tbl_Onsite[Notes],$BI1037),IF($B1037="Production",INDEX(tbl_Production[Notes],$BI1037),INDEX(tbl_Consulting[Notes],$BI1037)))&amp;"")</f>
        <v/>
      </c>
      <c r="N1037" s="11">
        <f>IF($BI1037="","",IF(IF($B1037="Onsite",INDEX(tbl_Onsite[Expected Revenue Ex GST],$BI1037),IF($B1037="Production",INDEX(tbl_Production[Expected Revenue Ex GST],$BI1037),INDEX(tbl_Consulting[Expected Revenue Ex GST],$BI1037)))="","",IF($B1037="Onsite",INDEX(tbl_Onsite[Expected Revenue Ex GST],$BI1037),IF($B1037="Production",INDEX(tbl_Production[Expected Revenue Ex GST],$BI1037),INDEX(tbl_Consulting[Expected Revenue Ex GST],$BI1037)))))</f>
        <v/>
      </c>
      <c r="O1037" s="11">
        <f>IF(AND($C1037="",NOT(COUNTA($S1037:$BB1037)&gt;0)),"",SUM(U1037,X1037,AA1037,AD1037,AG1037,AJ1037,AM1037,AP1037,AS1037,AV1037,AY1037,BB1037))</f>
        <v/>
      </c>
      <c r="P1037" s="11">
        <f>IF(O1037="","",N(N1037)-O1037)</f>
        <v/>
      </c>
      <c r="Q1037" s="10">
        <f>IF(O1037="","",IF($C1037="","Invoice on empty job row",IF(N1037="",IF(ROUND(O1037,2)=0,"No dept value","Invoiced - no dept value"),IF(ROUND(O1037,2)=0,"Not invoiced - to invoice",IF(ROUND(P1037,2)=0,"Agrees",IF(P1037&gt;0,"Dept higher - to invoice","Xero higher - check dept"))))))</f>
        <v/>
      </c>
      <c r="R1037" s="10">
        <f>IF(AND($C1037="",NOT(COUNTA($S1037:$BB1037)&gt;0),$BI1037&lt;&gt;""),"",MID(IF($BI1037="","; Row ID not found on the department sheet - a row was deleted","")&amp;IF(AND($C1037="",COUNTA($S1037:$BB1037)&gt;0),"; Invoice entered but the department row has no job number","")&amp;IF(E1037="CHECK","; Job number not in the Xero job list","")&amp;IF(AND($C1037&lt;&gt;"",COUNTIF($C$7:$C$1506,$C1037)&gt;1),"; Job number on more than one row","")&amp;IF(AND($C1037&lt;&gt;"",H1037=""),"; Dept has not set a cost centre","")&amp;IF(AND($C1037&lt;&gt;"",J1037=""),"; Dept has not set a tax code","")&amp;IF(AND($C1037&lt;&gt;"",N1037=""),"; Dept has not entered an expected value","")&amp;IF((IF(OR(COUNTA(S1037:U1037)=0,AND(COUNTA(S1037:U1037)=3,ISNUMBER(U1037))),0,1)+IF(OR(COUNTA(V1037:X1037)=0,AND(COUNTA(V1037:X1037)=3,ISNUMBER(X1037))),0,1)+IF(OR(COUNTA(Y1037:AA1037)=0,AND(COUNTA(Y1037:AA1037)=3,ISNUMBER(AA1037))),0,1)+IF(OR(COUNTA(AB1037:AD1037)=0,AND(COUNTA(AB1037:AD1037)=3,ISNUMBER(AD1037))),0,1)+IF(OR(COUNTA(AE1037:AG1037)=0,AND(COUNTA(AE1037:AG1037)=3,ISNUMBER(AG1037))),0,1)+IF(OR(COUNTA(AH1037:AJ1037)=0,AND(COUNTA(AH1037:AJ1037)=3,ISNUMBER(AJ1037))),0,1)+IF(OR(COUNTA(AK1037:AM1037)=0,AND(COUNTA(AK1037:AM1037)=3,ISNUMBER(AM1037))),0,1)+IF(OR(COUNTA(AN1037:AP1037)=0,AND(COUNTA(AN1037:AP1037)=3,ISNUMBER(AP1037))),0,1)+IF(OR(COUNTA(AQ1037:AS1037)=0,AND(COUNTA(AQ1037:AS1037)=3,ISNUMBER(AS1037))),0,1)+IF(OR(COUNTA(AT1037:AV1037)=0,AND(COUNTA(AT1037:AV1037)=3,ISNUMBER(AV1037))),0,1)+IF(OR(COUNTA(AW1037:AY1037)=0,AND(COUNTA(AW1037:AY1037)=3,ISNUMBER(AY1037))),0,1)+IF(OR(COUNTA(AZ1037:BB1037)=0,AND(COUNTA(AZ1037:BB1037)=3,ISNUMBER(BB1037))),0,1))&gt;0,"; An invoice is incomplete (needs No, Date and a number in Ex GST)","")&amp;IF((IF(T1037="",0,IFERROR(--(EOMONTH(T1037,0)&lt;&gt;S$5),1))+IF(W1037="",0,IFERROR(--(EOMONTH(W1037,0)&lt;&gt;V$5),1))+IF(Z1037="",0,IFERROR(--(EOMONTH(Z1037,0)&lt;&gt;Y$5),1))+IF(AC1037="",0,IFERROR(--(EOMONTH(AC1037,0)&lt;&gt;AB$5),1))+IF(AF1037="",0,IFERROR(--(EOMONTH(AF1037,0)&lt;&gt;AE$5),1))+IF(AI1037="",0,IFERROR(--(EOMONTH(AI1037,0)&lt;&gt;AH$5),1))+IF(AL1037="",0,IFERROR(--(EOMONTH(AL1037,0)&lt;&gt;AK$5),1))+IF(AO1037="",0,IFERROR(--(EOMONTH(AO1037,0)&lt;&gt;AN$5),1))+IF(AR1037="",0,IFERROR(--(EOMONTH(AR1037,0)&lt;&gt;AQ$5),1))+IF(AU1037="",0,IFERROR(--(EOMONTH(AU1037,0)&lt;&gt;AT$5),1))+IF(AX1037="",0,IFERROR(--(EOMONTH(AX1037,0)&lt;&gt;AW$5),1))+IF(BA1037="",0,IFERROR(--(EOMONTH(BA1037,0)&lt;&gt;AZ$5),1)))&gt;0,"; An invoice date is not in the month it is typed under",""),3,500))</f>
        <v/>
      </c>
      <c r="S1037" s="12" t="n"/>
      <c r="T1037" s="13" t="n"/>
      <c r="U1037" s="14" t="n"/>
      <c r="V1037" s="12" t="n"/>
      <c r="W1037" s="13" t="n"/>
      <c r="X1037" s="14" t="n"/>
      <c r="Y1037" s="12" t="n"/>
      <c r="Z1037" s="13" t="n"/>
      <c r="AA1037" s="14" t="n"/>
      <c r="AB1037" s="12" t="n"/>
      <c r="AC1037" s="13" t="n"/>
      <c r="AD1037" s="14" t="n"/>
      <c r="AE1037" s="12" t="n"/>
      <c r="AF1037" s="13" t="n"/>
      <c r="AG1037" s="14" t="n"/>
      <c r="AH1037" s="12" t="n"/>
      <c r="AI1037" s="13" t="n"/>
      <c r="AJ1037" s="14" t="n"/>
      <c r="AK1037" s="12" t="n"/>
      <c r="AL1037" s="13" t="n"/>
      <c r="AM1037" s="14" t="n"/>
      <c r="AN1037" s="12" t="n"/>
      <c r="AO1037" s="13" t="n"/>
      <c r="AP1037" s="14" t="n"/>
      <c r="AQ1037" s="12" t="n"/>
      <c r="AR1037" s="13" t="n"/>
      <c r="AS1037" s="14" t="n"/>
      <c r="AT1037" s="12" t="n"/>
      <c r="AU1037" s="13" t="n"/>
      <c r="AV1037" s="14" t="n"/>
      <c r="AW1037" s="12" t="n"/>
      <c r="AX1037" s="13" t="n"/>
      <c r="AY1037" s="14" t="n"/>
      <c r="AZ1037" s="12" t="n"/>
      <c r="BA1037" s="13" t="n"/>
      <c r="BB1037" s="14" t="n"/>
      <c r="BC1037" s="11">
        <f>IF(O1037="","",IF(J1037="GST 10%",ROUND(O1037*set_GSTRate,2),0))</f>
        <v/>
      </c>
      <c r="BD1037" s="11">
        <f>IF(O1037="","",O1037+BC1037)</f>
        <v/>
      </c>
      <c r="BE1037" s="15">
        <f>IF(O1037="","",COUNTA(S1037,V1037,Y1037,AB1037,AE1037,AH1037,AK1037,AN1037,AQ1037,AT1037,AW1037,AZ1037))</f>
        <v/>
      </c>
      <c r="BF1037" s="16">
        <f>IF(COUNT(T1037,W1037,Z1037,AC1037,AF1037,AI1037,AL1037,AO1037,AR1037,AU1037,AX1037,BA1037)=0,"",MAX(T1037,W1037,Z1037,AC1037,AF1037,AI1037,AL1037,AO1037,AR1037,AU1037,AX1037,BA1037))</f>
        <v/>
      </c>
      <c r="BG1037" s="10">
        <f>MID(IF(S1037="","",", "&amp;S1037)&amp;IF(V1037="","",", "&amp;V1037)&amp;IF(Y1037="","",", "&amp;Y1037)&amp;IF(AB1037="","",", "&amp;AB1037)&amp;IF(AE1037="","",", "&amp;AE1037)&amp;IF(AH1037="","",", "&amp;AH1037)&amp;IF(AK1037="","",", "&amp;AK1037)&amp;IF(AN1037="","",", "&amp;AN1037)&amp;IF(AQ1037="","",", "&amp;AQ1037)&amp;IF(AT1037="","",", "&amp;AT1037)&amp;IF(AW1037="","",", "&amp;AW1037)&amp;IF(AZ1037="","",", "&amp;AZ1037),3,500)</f>
        <v/>
      </c>
      <c r="BH1037" s="12" t="n"/>
      <c r="BI1037" s="15">
        <f>IFERROR(MATCH($A1037,IF($B1037="Onsite",tbl_Onsite[Row ID],IF($B1037="Production",tbl_Production[Row ID],tbl_Consulting[Row ID])),0),"")</f>
        <v/>
      </c>
    </row>
    <row r="1038">
      <c r="A1038" s="10" t="inlineStr">
        <is>
          <t>CON-0032</t>
        </is>
      </c>
      <c r="B1038" s="10" t="inlineStr">
        <is>
          <t>Consulting</t>
        </is>
      </c>
      <c r="C1038" s="10">
        <f>IF($BI1038="","",IF($B1038="Onsite",INDEX(tbl_Onsite[Job Number],$BI1038),IF($B1038="Production",INDEX(tbl_Production[Job Number],$BI1038),INDEX(tbl_Consulting[Job Number],$BI1038)))&amp;"")</f>
        <v/>
      </c>
      <c r="D1038" s="10">
        <f>IF($BI1038="","",IF($B1038="Onsite",INDEX(tbl_Onsite[Client],$BI1038),IF($B1038="Production",INDEX(tbl_Production[Client],$BI1038),INDEX(tbl_Consulting[Client],$BI1038)))&amp;"")</f>
        <v/>
      </c>
      <c r="E1038" s="10">
        <f>IF($C1038="","",IF(COUNTIF(lst_Jobs,$C1038)&gt;0,"OK","CHECK"))</f>
        <v/>
      </c>
      <c r="F1038" s="10">
        <f>IF($C1038="","",IFERROR(INDEX(lst_JobName,MATCH($C1038,lst_Jobs,0)),""))</f>
        <v/>
      </c>
      <c r="G1038" s="10">
        <f>IF($BI1038="","",IF($B1038="Onsite",INDEX(tbl_Onsite[Job Description],$BI1038),IF($B1038="Production",INDEX(tbl_Production[Job Description],$BI1038),INDEX(tbl_Consulting[Job Description],$BI1038)))&amp;"")</f>
        <v/>
      </c>
      <c r="H1038" s="10">
        <f>IF($BI1038="","",IF($B1038="Onsite",INDEX(tbl_Onsite[Cost Centre],$BI1038),IF($B1038="Production",INDEX(tbl_Production[Cost Centre],$BI1038),INDEX(tbl_Consulting[Cost Centre],$BI1038)))&amp;"")</f>
        <v/>
      </c>
      <c r="I1038" s="10">
        <f>IF($BI1038="","",IF($B1038="Onsite",INDEX(tbl_Onsite[Invoice Type],$BI1038),IF($B1038="Production",INDEX(tbl_Production[Invoice Type],$BI1038),INDEX(tbl_Consulting[Invoice Type],$BI1038)))&amp;"")</f>
        <v/>
      </c>
      <c r="J1038" s="10">
        <f>IF($BI1038="","",IF($B1038="Onsite",INDEX(tbl_Onsite[Tax Code],$BI1038),IF($B1038="Production",INDEX(tbl_Production[Tax Code],$BI1038),INDEX(tbl_Consulting[Tax Code],$BI1038)))&amp;"")</f>
        <v/>
      </c>
      <c r="K1038" s="10">
        <f>IF(H1038="","",IFERROR(INDEX(lst_CCtoGL,MATCH(H1038,lst_CCforGL,0)),""))</f>
        <v/>
      </c>
      <c r="L1038" s="10">
        <f>IF($BI1038="","",IF($B1038="Onsite",INDEX(tbl_Onsite[PO / Reference],$BI1038),IF($B1038="Production",INDEX(tbl_Production[Current RMS No],$BI1038),INDEX(tbl_Consulting[Qwilr Quote],$BI1038)))&amp;"")</f>
        <v/>
      </c>
      <c r="M1038" s="10">
        <f>IF($BI1038="","",IF($B1038="Onsite",INDEX(tbl_Onsite[Notes],$BI1038),IF($B1038="Production",INDEX(tbl_Production[Notes],$BI1038),INDEX(tbl_Consulting[Notes],$BI1038)))&amp;"")</f>
        <v/>
      </c>
      <c r="N1038" s="11">
        <f>IF($BI1038="","",IF(IF($B1038="Onsite",INDEX(tbl_Onsite[Expected Revenue Ex GST],$BI1038),IF($B1038="Production",INDEX(tbl_Production[Expected Revenue Ex GST],$BI1038),INDEX(tbl_Consulting[Expected Revenue Ex GST],$BI1038)))="","",IF($B1038="Onsite",INDEX(tbl_Onsite[Expected Revenue Ex GST],$BI1038),IF($B1038="Production",INDEX(tbl_Production[Expected Revenue Ex GST],$BI1038),INDEX(tbl_Consulting[Expected Revenue Ex GST],$BI1038)))))</f>
        <v/>
      </c>
      <c r="O1038" s="11">
        <f>IF(AND($C1038="",NOT(COUNTA($S1038:$BB1038)&gt;0)),"",SUM(U1038,X1038,AA1038,AD1038,AG1038,AJ1038,AM1038,AP1038,AS1038,AV1038,AY1038,BB1038))</f>
        <v/>
      </c>
      <c r="P1038" s="11">
        <f>IF(O1038="","",N(N1038)-O1038)</f>
        <v/>
      </c>
      <c r="Q1038" s="10">
        <f>IF(O1038="","",IF($C1038="","Invoice on empty job row",IF(N1038="",IF(ROUND(O1038,2)=0,"No dept value","Invoiced - no dept value"),IF(ROUND(O1038,2)=0,"Not invoiced - to invoice",IF(ROUND(P1038,2)=0,"Agrees",IF(P1038&gt;0,"Dept higher - to invoice","Xero higher - check dept"))))))</f>
        <v/>
      </c>
      <c r="R1038" s="10">
        <f>IF(AND($C1038="",NOT(COUNTA($S1038:$BB1038)&gt;0),$BI1038&lt;&gt;""),"",MID(IF($BI1038="","; Row ID not found on the department sheet - a row was deleted","")&amp;IF(AND($C1038="",COUNTA($S1038:$BB1038)&gt;0),"; Invoice entered but the department row has no job number","")&amp;IF(E1038="CHECK","; Job number not in the Xero job list","")&amp;IF(AND($C1038&lt;&gt;"",COUNTIF($C$7:$C$1506,$C1038)&gt;1),"; Job number on more than one row","")&amp;IF(AND($C1038&lt;&gt;"",H1038=""),"; Dept has not set a cost centre","")&amp;IF(AND($C1038&lt;&gt;"",J1038=""),"; Dept has not set a tax code","")&amp;IF(AND($C1038&lt;&gt;"",N1038=""),"; Dept has not entered an expected value","")&amp;IF((IF(OR(COUNTA(S1038:U1038)=0,AND(COUNTA(S1038:U1038)=3,ISNUMBER(U1038))),0,1)+IF(OR(COUNTA(V1038:X1038)=0,AND(COUNTA(V1038:X1038)=3,ISNUMBER(X1038))),0,1)+IF(OR(COUNTA(Y1038:AA1038)=0,AND(COUNTA(Y1038:AA1038)=3,ISNUMBER(AA1038))),0,1)+IF(OR(COUNTA(AB1038:AD1038)=0,AND(COUNTA(AB1038:AD1038)=3,ISNUMBER(AD1038))),0,1)+IF(OR(COUNTA(AE1038:AG1038)=0,AND(COUNTA(AE1038:AG1038)=3,ISNUMBER(AG1038))),0,1)+IF(OR(COUNTA(AH1038:AJ1038)=0,AND(COUNTA(AH1038:AJ1038)=3,ISNUMBER(AJ1038))),0,1)+IF(OR(COUNTA(AK1038:AM1038)=0,AND(COUNTA(AK1038:AM1038)=3,ISNUMBER(AM1038))),0,1)+IF(OR(COUNTA(AN1038:AP1038)=0,AND(COUNTA(AN1038:AP1038)=3,ISNUMBER(AP1038))),0,1)+IF(OR(COUNTA(AQ1038:AS1038)=0,AND(COUNTA(AQ1038:AS1038)=3,ISNUMBER(AS1038))),0,1)+IF(OR(COUNTA(AT1038:AV1038)=0,AND(COUNTA(AT1038:AV1038)=3,ISNUMBER(AV1038))),0,1)+IF(OR(COUNTA(AW1038:AY1038)=0,AND(COUNTA(AW1038:AY1038)=3,ISNUMBER(AY1038))),0,1)+IF(OR(COUNTA(AZ1038:BB1038)=0,AND(COUNTA(AZ1038:BB1038)=3,ISNUMBER(BB1038))),0,1))&gt;0,"; An invoice is incomplete (needs No, Date and a number in Ex GST)","")&amp;IF((IF(T1038="",0,IFERROR(--(EOMONTH(T1038,0)&lt;&gt;S$5),1))+IF(W1038="",0,IFERROR(--(EOMONTH(W1038,0)&lt;&gt;V$5),1))+IF(Z1038="",0,IFERROR(--(EOMONTH(Z1038,0)&lt;&gt;Y$5),1))+IF(AC1038="",0,IFERROR(--(EOMONTH(AC1038,0)&lt;&gt;AB$5),1))+IF(AF1038="",0,IFERROR(--(EOMONTH(AF1038,0)&lt;&gt;AE$5),1))+IF(AI1038="",0,IFERROR(--(EOMONTH(AI1038,0)&lt;&gt;AH$5),1))+IF(AL1038="",0,IFERROR(--(EOMONTH(AL1038,0)&lt;&gt;AK$5),1))+IF(AO1038="",0,IFERROR(--(EOMONTH(AO1038,0)&lt;&gt;AN$5),1))+IF(AR1038="",0,IFERROR(--(EOMONTH(AR1038,0)&lt;&gt;AQ$5),1))+IF(AU1038="",0,IFERROR(--(EOMONTH(AU1038,0)&lt;&gt;AT$5),1))+IF(AX1038="",0,IFERROR(--(EOMONTH(AX1038,0)&lt;&gt;AW$5),1))+IF(BA1038="",0,IFERROR(--(EOMONTH(BA1038,0)&lt;&gt;AZ$5),1)))&gt;0,"; An invoice date is not in the month it is typed under",""),3,500))</f>
        <v/>
      </c>
      <c r="S1038" s="12" t="n"/>
      <c r="T1038" s="13" t="n"/>
      <c r="U1038" s="14" t="n"/>
      <c r="V1038" s="12" t="n"/>
      <c r="W1038" s="13" t="n"/>
      <c r="X1038" s="14" t="n"/>
      <c r="Y1038" s="12" t="n"/>
      <c r="Z1038" s="13" t="n"/>
      <c r="AA1038" s="14" t="n"/>
      <c r="AB1038" s="12" t="n"/>
      <c r="AC1038" s="13" t="n"/>
      <c r="AD1038" s="14" t="n"/>
      <c r="AE1038" s="12" t="n"/>
      <c r="AF1038" s="13" t="n"/>
      <c r="AG1038" s="14" t="n"/>
      <c r="AH1038" s="12" t="n"/>
      <c r="AI1038" s="13" t="n"/>
      <c r="AJ1038" s="14" t="n"/>
      <c r="AK1038" s="12" t="n"/>
      <c r="AL1038" s="13" t="n"/>
      <c r="AM1038" s="14" t="n"/>
      <c r="AN1038" s="12" t="n"/>
      <c r="AO1038" s="13" t="n"/>
      <c r="AP1038" s="14" t="n"/>
      <c r="AQ1038" s="12" t="n"/>
      <c r="AR1038" s="13" t="n"/>
      <c r="AS1038" s="14" t="n"/>
      <c r="AT1038" s="12" t="n"/>
      <c r="AU1038" s="13" t="n"/>
      <c r="AV1038" s="14" t="n"/>
      <c r="AW1038" s="12" t="n"/>
      <c r="AX1038" s="13" t="n"/>
      <c r="AY1038" s="14" t="n"/>
      <c r="AZ1038" s="12" t="n"/>
      <c r="BA1038" s="13" t="n"/>
      <c r="BB1038" s="14" t="n"/>
      <c r="BC1038" s="11">
        <f>IF(O1038="","",IF(J1038="GST 10%",ROUND(O1038*set_GSTRate,2),0))</f>
        <v/>
      </c>
      <c r="BD1038" s="11">
        <f>IF(O1038="","",O1038+BC1038)</f>
        <v/>
      </c>
      <c r="BE1038" s="15">
        <f>IF(O1038="","",COUNTA(S1038,V1038,Y1038,AB1038,AE1038,AH1038,AK1038,AN1038,AQ1038,AT1038,AW1038,AZ1038))</f>
        <v/>
      </c>
      <c r="BF1038" s="16">
        <f>IF(COUNT(T1038,W1038,Z1038,AC1038,AF1038,AI1038,AL1038,AO1038,AR1038,AU1038,AX1038,BA1038)=0,"",MAX(T1038,W1038,Z1038,AC1038,AF1038,AI1038,AL1038,AO1038,AR1038,AU1038,AX1038,BA1038))</f>
        <v/>
      </c>
      <c r="BG1038" s="10">
        <f>MID(IF(S1038="","",", "&amp;S1038)&amp;IF(V1038="","",", "&amp;V1038)&amp;IF(Y1038="","",", "&amp;Y1038)&amp;IF(AB1038="","",", "&amp;AB1038)&amp;IF(AE1038="","",", "&amp;AE1038)&amp;IF(AH1038="","",", "&amp;AH1038)&amp;IF(AK1038="","",", "&amp;AK1038)&amp;IF(AN1038="","",", "&amp;AN1038)&amp;IF(AQ1038="","",", "&amp;AQ1038)&amp;IF(AT1038="","",", "&amp;AT1038)&amp;IF(AW1038="","",", "&amp;AW1038)&amp;IF(AZ1038="","",", "&amp;AZ1038),3,500)</f>
        <v/>
      </c>
      <c r="BH1038" s="12" t="n"/>
      <c r="BI1038" s="15">
        <f>IFERROR(MATCH($A1038,IF($B1038="Onsite",tbl_Onsite[Row ID],IF($B1038="Production",tbl_Production[Row ID],tbl_Consulting[Row ID])),0),"")</f>
        <v/>
      </c>
    </row>
    <row r="1039">
      <c r="A1039" s="10" t="inlineStr">
        <is>
          <t>CON-0033</t>
        </is>
      </c>
      <c r="B1039" s="10" t="inlineStr">
        <is>
          <t>Consulting</t>
        </is>
      </c>
      <c r="C1039" s="10">
        <f>IF($BI1039="","",IF($B1039="Onsite",INDEX(tbl_Onsite[Job Number],$BI1039),IF($B1039="Production",INDEX(tbl_Production[Job Number],$BI1039),INDEX(tbl_Consulting[Job Number],$BI1039)))&amp;"")</f>
        <v/>
      </c>
      <c r="D1039" s="10">
        <f>IF($BI1039="","",IF($B1039="Onsite",INDEX(tbl_Onsite[Client],$BI1039),IF($B1039="Production",INDEX(tbl_Production[Client],$BI1039),INDEX(tbl_Consulting[Client],$BI1039)))&amp;"")</f>
        <v/>
      </c>
      <c r="E1039" s="10">
        <f>IF($C1039="","",IF(COUNTIF(lst_Jobs,$C1039)&gt;0,"OK","CHECK"))</f>
        <v/>
      </c>
      <c r="F1039" s="10">
        <f>IF($C1039="","",IFERROR(INDEX(lst_JobName,MATCH($C1039,lst_Jobs,0)),""))</f>
        <v/>
      </c>
      <c r="G1039" s="10">
        <f>IF($BI1039="","",IF($B1039="Onsite",INDEX(tbl_Onsite[Job Description],$BI1039),IF($B1039="Production",INDEX(tbl_Production[Job Description],$BI1039),INDEX(tbl_Consulting[Job Description],$BI1039)))&amp;"")</f>
        <v/>
      </c>
      <c r="H1039" s="10">
        <f>IF($BI1039="","",IF($B1039="Onsite",INDEX(tbl_Onsite[Cost Centre],$BI1039),IF($B1039="Production",INDEX(tbl_Production[Cost Centre],$BI1039),INDEX(tbl_Consulting[Cost Centre],$BI1039)))&amp;"")</f>
        <v/>
      </c>
      <c r="I1039" s="10">
        <f>IF($BI1039="","",IF($B1039="Onsite",INDEX(tbl_Onsite[Invoice Type],$BI1039),IF($B1039="Production",INDEX(tbl_Production[Invoice Type],$BI1039),INDEX(tbl_Consulting[Invoice Type],$BI1039)))&amp;"")</f>
        <v/>
      </c>
      <c r="J1039" s="10">
        <f>IF($BI1039="","",IF($B1039="Onsite",INDEX(tbl_Onsite[Tax Code],$BI1039),IF($B1039="Production",INDEX(tbl_Production[Tax Code],$BI1039),INDEX(tbl_Consulting[Tax Code],$BI1039)))&amp;"")</f>
        <v/>
      </c>
      <c r="K1039" s="10">
        <f>IF(H1039="","",IFERROR(INDEX(lst_CCtoGL,MATCH(H1039,lst_CCforGL,0)),""))</f>
        <v/>
      </c>
      <c r="L1039" s="10">
        <f>IF($BI1039="","",IF($B1039="Onsite",INDEX(tbl_Onsite[PO / Reference],$BI1039),IF($B1039="Production",INDEX(tbl_Production[Current RMS No],$BI1039),INDEX(tbl_Consulting[Qwilr Quote],$BI1039)))&amp;"")</f>
        <v/>
      </c>
      <c r="M1039" s="10">
        <f>IF($BI1039="","",IF($B1039="Onsite",INDEX(tbl_Onsite[Notes],$BI1039),IF($B1039="Production",INDEX(tbl_Production[Notes],$BI1039),INDEX(tbl_Consulting[Notes],$BI1039)))&amp;"")</f>
        <v/>
      </c>
      <c r="N1039" s="11">
        <f>IF($BI1039="","",IF(IF($B1039="Onsite",INDEX(tbl_Onsite[Expected Revenue Ex GST],$BI1039),IF($B1039="Production",INDEX(tbl_Production[Expected Revenue Ex GST],$BI1039),INDEX(tbl_Consulting[Expected Revenue Ex GST],$BI1039)))="","",IF($B1039="Onsite",INDEX(tbl_Onsite[Expected Revenue Ex GST],$BI1039),IF($B1039="Production",INDEX(tbl_Production[Expected Revenue Ex GST],$BI1039),INDEX(tbl_Consulting[Expected Revenue Ex GST],$BI1039)))))</f>
        <v/>
      </c>
      <c r="O1039" s="11">
        <f>IF(AND($C1039="",NOT(COUNTA($S1039:$BB1039)&gt;0)),"",SUM(U1039,X1039,AA1039,AD1039,AG1039,AJ1039,AM1039,AP1039,AS1039,AV1039,AY1039,BB1039))</f>
        <v/>
      </c>
      <c r="P1039" s="11">
        <f>IF(O1039="","",N(N1039)-O1039)</f>
        <v/>
      </c>
      <c r="Q1039" s="10">
        <f>IF(O1039="","",IF($C1039="","Invoice on empty job row",IF(N1039="",IF(ROUND(O1039,2)=0,"No dept value","Invoiced - no dept value"),IF(ROUND(O1039,2)=0,"Not invoiced - to invoice",IF(ROUND(P1039,2)=0,"Agrees",IF(P1039&gt;0,"Dept higher - to invoice","Xero higher - check dept"))))))</f>
        <v/>
      </c>
      <c r="R1039" s="10">
        <f>IF(AND($C1039="",NOT(COUNTA($S1039:$BB1039)&gt;0),$BI1039&lt;&gt;""),"",MID(IF($BI1039="","; Row ID not found on the department sheet - a row was deleted","")&amp;IF(AND($C1039="",COUNTA($S1039:$BB1039)&gt;0),"; Invoice entered but the department row has no job number","")&amp;IF(E1039="CHECK","; Job number not in the Xero job list","")&amp;IF(AND($C1039&lt;&gt;"",COUNTIF($C$7:$C$1506,$C1039)&gt;1),"; Job number on more than one row","")&amp;IF(AND($C1039&lt;&gt;"",H1039=""),"; Dept has not set a cost centre","")&amp;IF(AND($C1039&lt;&gt;"",J1039=""),"; Dept has not set a tax code","")&amp;IF(AND($C1039&lt;&gt;"",N1039=""),"; Dept has not entered an expected value","")&amp;IF((IF(OR(COUNTA(S1039:U1039)=0,AND(COUNTA(S1039:U1039)=3,ISNUMBER(U1039))),0,1)+IF(OR(COUNTA(V1039:X1039)=0,AND(COUNTA(V1039:X1039)=3,ISNUMBER(X1039))),0,1)+IF(OR(COUNTA(Y1039:AA1039)=0,AND(COUNTA(Y1039:AA1039)=3,ISNUMBER(AA1039))),0,1)+IF(OR(COUNTA(AB1039:AD1039)=0,AND(COUNTA(AB1039:AD1039)=3,ISNUMBER(AD1039))),0,1)+IF(OR(COUNTA(AE1039:AG1039)=0,AND(COUNTA(AE1039:AG1039)=3,ISNUMBER(AG1039))),0,1)+IF(OR(COUNTA(AH1039:AJ1039)=0,AND(COUNTA(AH1039:AJ1039)=3,ISNUMBER(AJ1039))),0,1)+IF(OR(COUNTA(AK1039:AM1039)=0,AND(COUNTA(AK1039:AM1039)=3,ISNUMBER(AM1039))),0,1)+IF(OR(COUNTA(AN1039:AP1039)=0,AND(COUNTA(AN1039:AP1039)=3,ISNUMBER(AP1039))),0,1)+IF(OR(COUNTA(AQ1039:AS1039)=0,AND(COUNTA(AQ1039:AS1039)=3,ISNUMBER(AS1039))),0,1)+IF(OR(COUNTA(AT1039:AV1039)=0,AND(COUNTA(AT1039:AV1039)=3,ISNUMBER(AV1039))),0,1)+IF(OR(COUNTA(AW1039:AY1039)=0,AND(COUNTA(AW1039:AY1039)=3,ISNUMBER(AY1039))),0,1)+IF(OR(COUNTA(AZ1039:BB1039)=0,AND(COUNTA(AZ1039:BB1039)=3,ISNUMBER(BB1039))),0,1))&gt;0,"; An invoice is incomplete (needs No, Date and a number in Ex GST)","")&amp;IF((IF(T1039="",0,IFERROR(--(EOMONTH(T1039,0)&lt;&gt;S$5),1))+IF(W1039="",0,IFERROR(--(EOMONTH(W1039,0)&lt;&gt;V$5),1))+IF(Z1039="",0,IFERROR(--(EOMONTH(Z1039,0)&lt;&gt;Y$5),1))+IF(AC1039="",0,IFERROR(--(EOMONTH(AC1039,0)&lt;&gt;AB$5),1))+IF(AF1039="",0,IFERROR(--(EOMONTH(AF1039,0)&lt;&gt;AE$5),1))+IF(AI1039="",0,IFERROR(--(EOMONTH(AI1039,0)&lt;&gt;AH$5),1))+IF(AL1039="",0,IFERROR(--(EOMONTH(AL1039,0)&lt;&gt;AK$5),1))+IF(AO1039="",0,IFERROR(--(EOMONTH(AO1039,0)&lt;&gt;AN$5),1))+IF(AR1039="",0,IFERROR(--(EOMONTH(AR1039,0)&lt;&gt;AQ$5),1))+IF(AU1039="",0,IFERROR(--(EOMONTH(AU1039,0)&lt;&gt;AT$5),1))+IF(AX1039="",0,IFERROR(--(EOMONTH(AX1039,0)&lt;&gt;AW$5),1))+IF(BA1039="",0,IFERROR(--(EOMONTH(BA1039,0)&lt;&gt;AZ$5),1)))&gt;0,"; An invoice date is not in the month it is typed under",""),3,500))</f>
        <v/>
      </c>
      <c r="S1039" s="12" t="n"/>
      <c r="T1039" s="13" t="n"/>
      <c r="U1039" s="14" t="n"/>
      <c r="V1039" s="12" t="n"/>
      <c r="W1039" s="13" t="n"/>
      <c r="X1039" s="14" t="n"/>
      <c r="Y1039" s="12" t="n"/>
      <c r="Z1039" s="13" t="n"/>
      <c r="AA1039" s="14" t="n"/>
      <c r="AB1039" s="12" t="n"/>
      <c r="AC1039" s="13" t="n"/>
      <c r="AD1039" s="14" t="n"/>
      <c r="AE1039" s="12" t="n"/>
      <c r="AF1039" s="13" t="n"/>
      <c r="AG1039" s="14" t="n"/>
      <c r="AH1039" s="12" t="n"/>
      <c r="AI1039" s="13" t="n"/>
      <c r="AJ1039" s="14" t="n"/>
      <c r="AK1039" s="12" t="n"/>
      <c r="AL1039" s="13" t="n"/>
      <c r="AM1039" s="14" t="n"/>
      <c r="AN1039" s="12" t="n"/>
      <c r="AO1039" s="13" t="n"/>
      <c r="AP1039" s="14" t="n"/>
      <c r="AQ1039" s="12" t="n"/>
      <c r="AR1039" s="13" t="n"/>
      <c r="AS1039" s="14" t="n"/>
      <c r="AT1039" s="12" t="n"/>
      <c r="AU1039" s="13" t="n"/>
      <c r="AV1039" s="14" t="n"/>
      <c r="AW1039" s="12" t="n"/>
      <c r="AX1039" s="13" t="n"/>
      <c r="AY1039" s="14" t="n"/>
      <c r="AZ1039" s="12" t="n"/>
      <c r="BA1039" s="13" t="n"/>
      <c r="BB1039" s="14" t="n"/>
      <c r="BC1039" s="11">
        <f>IF(O1039="","",IF(J1039="GST 10%",ROUND(O1039*set_GSTRate,2),0))</f>
        <v/>
      </c>
      <c r="BD1039" s="11">
        <f>IF(O1039="","",O1039+BC1039)</f>
        <v/>
      </c>
      <c r="BE1039" s="15">
        <f>IF(O1039="","",COUNTA(S1039,V1039,Y1039,AB1039,AE1039,AH1039,AK1039,AN1039,AQ1039,AT1039,AW1039,AZ1039))</f>
        <v/>
      </c>
      <c r="BF1039" s="16">
        <f>IF(COUNT(T1039,W1039,Z1039,AC1039,AF1039,AI1039,AL1039,AO1039,AR1039,AU1039,AX1039,BA1039)=0,"",MAX(T1039,W1039,Z1039,AC1039,AF1039,AI1039,AL1039,AO1039,AR1039,AU1039,AX1039,BA1039))</f>
        <v/>
      </c>
      <c r="BG1039" s="10">
        <f>MID(IF(S1039="","",", "&amp;S1039)&amp;IF(V1039="","",", "&amp;V1039)&amp;IF(Y1039="","",", "&amp;Y1039)&amp;IF(AB1039="","",", "&amp;AB1039)&amp;IF(AE1039="","",", "&amp;AE1039)&amp;IF(AH1039="","",", "&amp;AH1039)&amp;IF(AK1039="","",", "&amp;AK1039)&amp;IF(AN1039="","",", "&amp;AN1039)&amp;IF(AQ1039="","",", "&amp;AQ1039)&amp;IF(AT1039="","",", "&amp;AT1039)&amp;IF(AW1039="","",", "&amp;AW1039)&amp;IF(AZ1039="","",", "&amp;AZ1039),3,500)</f>
        <v/>
      </c>
      <c r="BH1039" s="12" t="n"/>
      <c r="BI1039" s="15">
        <f>IFERROR(MATCH($A1039,IF($B1039="Onsite",tbl_Onsite[Row ID],IF($B1039="Production",tbl_Production[Row ID],tbl_Consulting[Row ID])),0),"")</f>
        <v/>
      </c>
    </row>
    <row r="1040">
      <c r="A1040" s="10" t="inlineStr">
        <is>
          <t>CON-0034</t>
        </is>
      </c>
      <c r="B1040" s="10" t="inlineStr">
        <is>
          <t>Consulting</t>
        </is>
      </c>
      <c r="C1040" s="10">
        <f>IF($BI1040="","",IF($B1040="Onsite",INDEX(tbl_Onsite[Job Number],$BI1040),IF($B1040="Production",INDEX(tbl_Production[Job Number],$BI1040),INDEX(tbl_Consulting[Job Number],$BI1040)))&amp;"")</f>
        <v/>
      </c>
      <c r="D1040" s="10">
        <f>IF($BI1040="","",IF($B1040="Onsite",INDEX(tbl_Onsite[Client],$BI1040),IF($B1040="Production",INDEX(tbl_Production[Client],$BI1040),INDEX(tbl_Consulting[Client],$BI1040)))&amp;"")</f>
        <v/>
      </c>
      <c r="E1040" s="10">
        <f>IF($C1040="","",IF(COUNTIF(lst_Jobs,$C1040)&gt;0,"OK","CHECK"))</f>
        <v/>
      </c>
      <c r="F1040" s="10">
        <f>IF($C1040="","",IFERROR(INDEX(lst_JobName,MATCH($C1040,lst_Jobs,0)),""))</f>
        <v/>
      </c>
      <c r="G1040" s="10">
        <f>IF($BI1040="","",IF($B1040="Onsite",INDEX(tbl_Onsite[Job Description],$BI1040),IF($B1040="Production",INDEX(tbl_Production[Job Description],$BI1040),INDEX(tbl_Consulting[Job Description],$BI1040)))&amp;"")</f>
        <v/>
      </c>
      <c r="H1040" s="10">
        <f>IF($BI1040="","",IF($B1040="Onsite",INDEX(tbl_Onsite[Cost Centre],$BI1040),IF($B1040="Production",INDEX(tbl_Production[Cost Centre],$BI1040),INDEX(tbl_Consulting[Cost Centre],$BI1040)))&amp;"")</f>
        <v/>
      </c>
      <c r="I1040" s="10">
        <f>IF($BI1040="","",IF($B1040="Onsite",INDEX(tbl_Onsite[Invoice Type],$BI1040),IF($B1040="Production",INDEX(tbl_Production[Invoice Type],$BI1040),INDEX(tbl_Consulting[Invoice Type],$BI1040)))&amp;"")</f>
        <v/>
      </c>
      <c r="J1040" s="10">
        <f>IF($BI1040="","",IF($B1040="Onsite",INDEX(tbl_Onsite[Tax Code],$BI1040),IF($B1040="Production",INDEX(tbl_Production[Tax Code],$BI1040),INDEX(tbl_Consulting[Tax Code],$BI1040)))&amp;"")</f>
        <v/>
      </c>
      <c r="K1040" s="10">
        <f>IF(H1040="","",IFERROR(INDEX(lst_CCtoGL,MATCH(H1040,lst_CCforGL,0)),""))</f>
        <v/>
      </c>
      <c r="L1040" s="10">
        <f>IF($BI1040="","",IF($B1040="Onsite",INDEX(tbl_Onsite[PO / Reference],$BI1040),IF($B1040="Production",INDEX(tbl_Production[Current RMS No],$BI1040),INDEX(tbl_Consulting[Qwilr Quote],$BI1040)))&amp;"")</f>
        <v/>
      </c>
      <c r="M1040" s="10">
        <f>IF($BI1040="","",IF($B1040="Onsite",INDEX(tbl_Onsite[Notes],$BI1040),IF($B1040="Production",INDEX(tbl_Production[Notes],$BI1040),INDEX(tbl_Consulting[Notes],$BI1040)))&amp;"")</f>
        <v/>
      </c>
      <c r="N1040" s="11">
        <f>IF($BI1040="","",IF(IF($B1040="Onsite",INDEX(tbl_Onsite[Expected Revenue Ex GST],$BI1040),IF($B1040="Production",INDEX(tbl_Production[Expected Revenue Ex GST],$BI1040),INDEX(tbl_Consulting[Expected Revenue Ex GST],$BI1040)))="","",IF($B1040="Onsite",INDEX(tbl_Onsite[Expected Revenue Ex GST],$BI1040),IF($B1040="Production",INDEX(tbl_Production[Expected Revenue Ex GST],$BI1040),INDEX(tbl_Consulting[Expected Revenue Ex GST],$BI1040)))))</f>
        <v/>
      </c>
      <c r="O1040" s="11">
        <f>IF(AND($C1040="",NOT(COUNTA($S1040:$BB1040)&gt;0)),"",SUM(U1040,X1040,AA1040,AD1040,AG1040,AJ1040,AM1040,AP1040,AS1040,AV1040,AY1040,BB1040))</f>
        <v/>
      </c>
      <c r="P1040" s="11">
        <f>IF(O1040="","",N(N1040)-O1040)</f>
        <v/>
      </c>
      <c r="Q1040" s="10">
        <f>IF(O1040="","",IF($C1040="","Invoice on empty job row",IF(N1040="",IF(ROUND(O1040,2)=0,"No dept value","Invoiced - no dept value"),IF(ROUND(O1040,2)=0,"Not invoiced - to invoice",IF(ROUND(P1040,2)=0,"Agrees",IF(P1040&gt;0,"Dept higher - to invoice","Xero higher - check dept"))))))</f>
        <v/>
      </c>
      <c r="R1040" s="10">
        <f>IF(AND($C1040="",NOT(COUNTA($S1040:$BB1040)&gt;0),$BI1040&lt;&gt;""),"",MID(IF($BI1040="","; Row ID not found on the department sheet - a row was deleted","")&amp;IF(AND($C1040="",COUNTA($S1040:$BB1040)&gt;0),"; Invoice entered but the department row has no job number","")&amp;IF(E1040="CHECK","; Job number not in the Xero job list","")&amp;IF(AND($C1040&lt;&gt;"",COUNTIF($C$7:$C$1506,$C1040)&gt;1),"; Job number on more than one row","")&amp;IF(AND($C1040&lt;&gt;"",H1040=""),"; Dept has not set a cost centre","")&amp;IF(AND($C1040&lt;&gt;"",J1040=""),"; Dept has not set a tax code","")&amp;IF(AND($C1040&lt;&gt;"",N1040=""),"; Dept has not entered an expected value","")&amp;IF((IF(OR(COUNTA(S1040:U1040)=0,AND(COUNTA(S1040:U1040)=3,ISNUMBER(U1040))),0,1)+IF(OR(COUNTA(V1040:X1040)=0,AND(COUNTA(V1040:X1040)=3,ISNUMBER(X1040))),0,1)+IF(OR(COUNTA(Y1040:AA1040)=0,AND(COUNTA(Y1040:AA1040)=3,ISNUMBER(AA1040))),0,1)+IF(OR(COUNTA(AB1040:AD1040)=0,AND(COUNTA(AB1040:AD1040)=3,ISNUMBER(AD1040))),0,1)+IF(OR(COUNTA(AE1040:AG1040)=0,AND(COUNTA(AE1040:AG1040)=3,ISNUMBER(AG1040))),0,1)+IF(OR(COUNTA(AH1040:AJ1040)=0,AND(COUNTA(AH1040:AJ1040)=3,ISNUMBER(AJ1040))),0,1)+IF(OR(COUNTA(AK1040:AM1040)=0,AND(COUNTA(AK1040:AM1040)=3,ISNUMBER(AM1040))),0,1)+IF(OR(COUNTA(AN1040:AP1040)=0,AND(COUNTA(AN1040:AP1040)=3,ISNUMBER(AP1040))),0,1)+IF(OR(COUNTA(AQ1040:AS1040)=0,AND(COUNTA(AQ1040:AS1040)=3,ISNUMBER(AS1040))),0,1)+IF(OR(COUNTA(AT1040:AV1040)=0,AND(COUNTA(AT1040:AV1040)=3,ISNUMBER(AV1040))),0,1)+IF(OR(COUNTA(AW1040:AY1040)=0,AND(COUNTA(AW1040:AY1040)=3,ISNUMBER(AY1040))),0,1)+IF(OR(COUNTA(AZ1040:BB1040)=0,AND(COUNTA(AZ1040:BB1040)=3,ISNUMBER(BB1040))),0,1))&gt;0,"; An invoice is incomplete (needs No, Date and a number in Ex GST)","")&amp;IF((IF(T1040="",0,IFERROR(--(EOMONTH(T1040,0)&lt;&gt;S$5),1))+IF(W1040="",0,IFERROR(--(EOMONTH(W1040,0)&lt;&gt;V$5),1))+IF(Z1040="",0,IFERROR(--(EOMONTH(Z1040,0)&lt;&gt;Y$5),1))+IF(AC1040="",0,IFERROR(--(EOMONTH(AC1040,0)&lt;&gt;AB$5),1))+IF(AF1040="",0,IFERROR(--(EOMONTH(AF1040,0)&lt;&gt;AE$5),1))+IF(AI1040="",0,IFERROR(--(EOMONTH(AI1040,0)&lt;&gt;AH$5),1))+IF(AL1040="",0,IFERROR(--(EOMONTH(AL1040,0)&lt;&gt;AK$5),1))+IF(AO1040="",0,IFERROR(--(EOMONTH(AO1040,0)&lt;&gt;AN$5),1))+IF(AR1040="",0,IFERROR(--(EOMONTH(AR1040,0)&lt;&gt;AQ$5),1))+IF(AU1040="",0,IFERROR(--(EOMONTH(AU1040,0)&lt;&gt;AT$5),1))+IF(AX1040="",0,IFERROR(--(EOMONTH(AX1040,0)&lt;&gt;AW$5),1))+IF(BA1040="",0,IFERROR(--(EOMONTH(BA1040,0)&lt;&gt;AZ$5),1)))&gt;0,"; An invoice date is not in the month it is typed under",""),3,500))</f>
        <v/>
      </c>
      <c r="S1040" s="12" t="n"/>
      <c r="T1040" s="13" t="n"/>
      <c r="U1040" s="14" t="n"/>
      <c r="V1040" s="12" t="n"/>
      <c r="W1040" s="13" t="n"/>
      <c r="X1040" s="14" t="n"/>
      <c r="Y1040" s="12" t="n"/>
      <c r="Z1040" s="13" t="n"/>
      <c r="AA1040" s="14" t="n"/>
      <c r="AB1040" s="12" t="n"/>
      <c r="AC1040" s="13" t="n"/>
      <c r="AD1040" s="14" t="n"/>
      <c r="AE1040" s="12" t="n"/>
      <c r="AF1040" s="13" t="n"/>
      <c r="AG1040" s="14" t="n"/>
      <c r="AH1040" s="12" t="n"/>
      <c r="AI1040" s="13" t="n"/>
      <c r="AJ1040" s="14" t="n"/>
      <c r="AK1040" s="12" t="n"/>
      <c r="AL1040" s="13" t="n"/>
      <c r="AM1040" s="14" t="n"/>
      <c r="AN1040" s="12" t="n"/>
      <c r="AO1040" s="13" t="n"/>
      <c r="AP1040" s="14" t="n"/>
      <c r="AQ1040" s="12" t="n"/>
      <c r="AR1040" s="13" t="n"/>
      <c r="AS1040" s="14" t="n"/>
      <c r="AT1040" s="12" t="n"/>
      <c r="AU1040" s="13" t="n"/>
      <c r="AV1040" s="14" t="n"/>
      <c r="AW1040" s="12" t="n"/>
      <c r="AX1040" s="13" t="n"/>
      <c r="AY1040" s="14" t="n"/>
      <c r="AZ1040" s="12" t="n"/>
      <c r="BA1040" s="13" t="n"/>
      <c r="BB1040" s="14" t="n"/>
      <c r="BC1040" s="11">
        <f>IF(O1040="","",IF(J1040="GST 10%",ROUND(O1040*set_GSTRate,2),0))</f>
        <v/>
      </c>
      <c r="BD1040" s="11">
        <f>IF(O1040="","",O1040+BC1040)</f>
        <v/>
      </c>
      <c r="BE1040" s="15">
        <f>IF(O1040="","",COUNTA(S1040,V1040,Y1040,AB1040,AE1040,AH1040,AK1040,AN1040,AQ1040,AT1040,AW1040,AZ1040))</f>
        <v/>
      </c>
      <c r="BF1040" s="16">
        <f>IF(COUNT(T1040,W1040,Z1040,AC1040,AF1040,AI1040,AL1040,AO1040,AR1040,AU1040,AX1040,BA1040)=0,"",MAX(T1040,W1040,Z1040,AC1040,AF1040,AI1040,AL1040,AO1040,AR1040,AU1040,AX1040,BA1040))</f>
        <v/>
      </c>
      <c r="BG1040" s="10">
        <f>MID(IF(S1040="","",", "&amp;S1040)&amp;IF(V1040="","",", "&amp;V1040)&amp;IF(Y1040="","",", "&amp;Y1040)&amp;IF(AB1040="","",", "&amp;AB1040)&amp;IF(AE1040="","",", "&amp;AE1040)&amp;IF(AH1040="","",", "&amp;AH1040)&amp;IF(AK1040="","",", "&amp;AK1040)&amp;IF(AN1040="","",", "&amp;AN1040)&amp;IF(AQ1040="","",", "&amp;AQ1040)&amp;IF(AT1040="","",", "&amp;AT1040)&amp;IF(AW1040="","",", "&amp;AW1040)&amp;IF(AZ1040="","",", "&amp;AZ1040),3,500)</f>
        <v/>
      </c>
      <c r="BH1040" s="12" t="n"/>
      <c r="BI1040" s="15">
        <f>IFERROR(MATCH($A1040,IF($B1040="Onsite",tbl_Onsite[Row ID],IF($B1040="Production",tbl_Production[Row ID],tbl_Consulting[Row ID])),0),"")</f>
        <v/>
      </c>
    </row>
    <row r="1041">
      <c r="A1041" s="10" t="inlineStr">
        <is>
          <t>CON-0035</t>
        </is>
      </c>
      <c r="B1041" s="10" t="inlineStr">
        <is>
          <t>Consulting</t>
        </is>
      </c>
      <c r="C1041" s="10">
        <f>IF($BI1041="","",IF($B1041="Onsite",INDEX(tbl_Onsite[Job Number],$BI1041),IF($B1041="Production",INDEX(tbl_Production[Job Number],$BI1041),INDEX(tbl_Consulting[Job Number],$BI1041)))&amp;"")</f>
        <v/>
      </c>
      <c r="D1041" s="10">
        <f>IF($BI1041="","",IF($B1041="Onsite",INDEX(tbl_Onsite[Client],$BI1041),IF($B1041="Production",INDEX(tbl_Production[Client],$BI1041),INDEX(tbl_Consulting[Client],$BI1041)))&amp;"")</f>
        <v/>
      </c>
      <c r="E1041" s="10">
        <f>IF($C1041="","",IF(COUNTIF(lst_Jobs,$C1041)&gt;0,"OK","CHECK"))</f>
        <v/>
      </c>
      <c r="F1041" s="10">
        <f>IF($C1041="","",IFERROR(INDEX(lst_JobName,MATCH($C1041,lst_Jobs,0)),""))</f>
        <v/>
      </c>
      <c r="G1041" s="10">
        <f>IF($BI1041="","",IF($B1041="Onsite",INDEX(tbl_Onsite[Job Description],$BI1041),IF($B1041="Production",INDEX(tbl_Production[Job Description],$BI1041),INDEX(tbl_Consulting[Job Description],$BI1041)))&amp;"")</f>
        <v/>
      </c>
      <c r="H1041" s="10">
        <f>IF($BI1041="","",IF($B1041="Onsite",INDEX(tbl_Onsite[Cost Centre],$BI1041),IF($B1041="Production",INDEX(tbl_Production[Cost Centre],$BI1041),INDEX(tbl_Consulting[Cost Centre],$BI1041)))&amp;"")</f>
        <v/>
      </c>
      <c r="I1041" s="10">
        <f>IF($BI1041="","",IF($B1041="Onsite",INDEX(tbl_Onsite[Invoice Type],$BI1041),IF($B1041="Production",INDEX(tbl_Production[Invoice Type],$BI1041),INDEX(tbl_Consulting[Invoice Type],$BI1041)))&amp;"")</f>
        <v/>
      </c>
      <c r="J1041" s="10">
        <f>IF($BI1041="","",IF($B1041="Onsite",INDEX(tbl_Onsite[Tax Code],$BI1041),IF($B1041="Production",INDEX(tbl_Production[Tax Code],$BI1041),INDEX(tbl_Consulting[Tax Code],$BI1041)))&amp;"")</f>
        <v/>
      </c>
      <c r="K1041" s="10">
        <f>IF(H1041="","",IFERROR(INDEX(lst_CCtoGL,MATCH(H1041,lst_CCforGL,0)),""))</f>
        <v/>
      </c>
      <c r="L1041" s="10">
        <f>IF($BI1041="","",IF($B1041="Onsite",INDEX(tbl_Onsite[PO / Reference],$BI1041),IF($B1041="Production",INDEX(tbl_Production[Current RMS No],$BI1041),INDEX(tbl_Consulting[Qwilr Quote],$BI1041)))&amp;"")</f>
        <v/>
      </c>
      <c r="M1041" s="10">
        <f>IF($BI1041="","",IF($B1041="Onsite",INDEX(tbl_Onsite[Notes],$BI1041),IF($B1041="Production",INDEX(tbl_Production[Notes],$BI1041),INDEX(tbl_Consulting[Notes],$BI1041)))&amp;"")</f>
        <v/>
      </c>
      <c r="N1041" s="11">
        <f>IF($BI1041="","",IF(IF($B1041="Onsite",INDEX(tbl_Onsite[Expected Revenue Ex GST],$BI1041),IF($B1041="Production",INDEX(tbl_Production[Expected Revenue Ex GST],$BI1041),INDEX(tbl_Consulting[Expected Revenue Ex GST],$BI1041)))="","",IF($B1041="Onsite",INDEX(tbl_Onsite[Expected Revenue Ex GST],$BI1041),IF($B1041="Production",INDEX(tbl_Production[Expected Revenue Ex GST],$BI1041),INDEX(tbl_Consulting[Expected Revenue Ex GST],$BI1041)))))</f>
        <v/>
      </c>
      <c r="O1041" s="11">
        <f>IF(AND($C1041="",NOT(COUNTA($S1041:$BB1041)&gt;0)),"",SUM(U1041,X1041,AA1041,AD1041,AG1041,AJ1041,AM1041,AP1041,AS1041,AV1041,AY1041,BB1041))</f>
        <v/>
      </c>
      <c r="P1041" s="11">
        <f>IF(O1041="","",N(N1041)-O1041)</f>
        <v/>
      </c>
      <c r="Q1041" s="10">
        <f>IF(O1041="","",IF($C1041="","Invoice on empty job row",IF(N1041="",IF(ROUND(O1041,2)=0,"No dept value","Invoiced - no dept value"),IF(ROUND(O1041,2)=0,"Not invoiced - to invoice",IF(ROUND(P1041,2)=0,"Agrees",IF(P1041&gt;0,"Dept higher - to invoice","Xero higher - check dept"))))))</f>
        <v/>
      </c>
      <c r="R1041" s="10">
        <f>IF(AND($C1041="",NOT(COUNTA($S1041:$BB1041)&gt;0),$BI1041&lt;&gt;""),"",MID(IF($BI1041="","; Row ID not found on the department sheet - a row was deleted","")&amp;IF(AND($C1041="",COUNTA($S1041:$BB1041)&gt;0),"; Invoice entered but the department row has no job number","")&amp;IF(E1041="CHECK","; Job number not in the Xero job list","")&amp;IF(AND($C1041&lt;&gt;"",COUNTIF($C$7:$C$1506,$C1041)&gt;1),"; Job number on more than one row","")&amp;IF(AND($C1041&lt;&gt;"",H1041=""),"; Dept has not set a cost centre","")&amp;IF(AND($C1041&lt;&gt;"",J1041=""),"; Dept has not set a tax code","")&amp;IF(AND($C1041&lt;&gt;"",N1041=""),"; Dept has not entered an expected value","")&amp;IF((IF(OR(COUNTA(S1041:U1041)=0,AND(COUNTA(S1041:U1041)=3,ISNUMBER(U1041))),0,1)+IF(OR(COUNTA(V1041:X1041)=0,AND(COUNTA(V1041:X1041)=3,ISNUMBER(X1041))),0,1)+IF(OR(COUNTA(Y1041:AA1041)=0,AND(COUNTA(Y1041:AA1041)=3,ISNUMBER(AA1041))),0,1)+IF(OR(COUNTA(AB1041:AD1041)=0,AND(COUNTA(AB1041:AD1041)=3,ISNUMBER(AD1041))),0,1)+IF(OR(COUNTA(AE1041:AG1041)=0,AND(COUNTA(AE1041:AG1041)=3,ISNUMBER(AG1041))),0,1)+IF(OR(COUNTA(AH1041:AJ1041)=0,AND(COUNTA(AH1041:AJ1041)=3,ISNUMBER(AJ1041))),0,1)+IF(OR(COUNTA(AK1041:AM1041)=0,AND(COUNTA(AK1041:AM1041)=3,ISNUMBER(AM1041))),0,1)+IF(OR(COUNTA(AN1041:AP1041)=0,AND(COUNTA(AN1041:AP1041)=3,ISNUMBER(AP1041))),0,1)+IF(OR(COUNTA(AQ1041:AS1041)=0,AND(COUNTA(AQ1041:AS1041)=3,ISNUMBER(AS1041))),0,1)+IF(OR(COUNTA(AT1041:AV1041)=0,AND(COUNTA(AT1041:AV1041)=3,ISNUMBER(AV1041))),0,1)+IF(OR(COUNTA(AW1041:AY1041)=0,AND(COUNTA(AW1041:AY1041)=3,ISNUMBER(AY1041))),0,1)+IF(OR(COUNTA(AZ1041:BB1041)=0,AND(COUNTA(AZ1041:BB1041)=3,ISNUMBER(BB1041))),0,1))&gt;0,"; An invoice is incomplete (needs No, Date and a number in Ex GST)","")&amp;IF((IF(T1041="",0,IFERROR(--(EOMONTH(T1041,0)&lt;&gt;S$5),1))+IF(W1041="",0,IFERROR(--(EOMONTH(W1041,0)&lt;&gt;V$5),1))+IF(Z1041="",0,IFERROR(--(EOMONTH(Z1041,0)&lt;&gt;Y$5),1))+IF(AC1041="",0,IFERROR(--(EOMONTH(AC1041,0)&lt;&gt;AB$5),1))+IF(AF1041="",0,IFERROR(--(EOMONTH(AF1041,0)&lt;&gt;AE$5),1))+IF(AI1041="",0,IFERROR(--(EOMONTH(AI1041,0)&lt;&gt;AH$5),1))+IF(AL1041="",0,IFERROR(--(EOMONTH(AL1041,0)&lt;&gt;AK$5),1))+IF(AO1041="",0,IFERROR(--(EOMONTH(AO1041,0)&lt;&gt;AN$5),1))+IF(AR1041="",0,IFERROR(--(EOMONTH(AR1041,0)&lt;&gt;AQ$5),1))+IF(AU1041="",0,IFERROR(--(EOMONTH(AU1041,0)&lt;&gt;AT$5),1))+IF(AX1041="",0,IFERROR(--(EOMONTH(AX1041,0)&lt;&gt;AW$5),1))+IF(BA1041="",0,IFERROR(--(EOMONTH(BA1041,0)&lt;&gt;AZ$5),1)))&gt;0,"; An invoice date is not in the month it is typed under",""),3,500))</f>
        <v/>
      </c>
      <c r="S1041" s="12" t="n"/>
      <c r="T1041" s="13" t="n"/>
      <c r="U1041" s="14" t="n"/>
      <c r="V1041" s="12" t="n"/>
      <c r="W1041" s="13" t="n"/>
      <c r="X1041" s="14" t="n"/>
      <c r="Y1041" s="12" t="n"/>
      <c r="Z1041" s="13" t="n"/>
      <c r="AA1041" s="14" t="n"/>
      <c r="AB1041" s="12" t="n"/>
      <c r="AC1041" s="13" t="n"/>
      <c r="AD1041" s="14" t="n"/>
      <c r="AE1041" s="12" t="n"/>
      <c r="AF1041" s="13" t="n"/>
      <c r="AG1041" s="14" t="n"/>
      <c r="AH1041" s="12" t="n"/>
      <c r="AI1041" s="13" t="n"/>
      <c r="AJ1041" s="14" t="n"/>
      <c r="AK1041" s="12" t="n"/>
      <c r="AL1041" s="13" t="n"/>
      <c r="AM1041" s="14" t="n"/>
      <c r="AN1041" s="12" t="n"/>
      <c r="AO1041" s="13" t="n"/>
      <c r="AP1041" s="14" t="n"/>
      <c r="AQ1041" s="12" t="n"/>
      <c r="AR1041" s="13" t="n"/>
      <c r="AS1041" s="14" t="n"/>
      <c r="AT1041" s="12" t="n"/>
      <c r="AU1041" s="13" t="n"/>
      <c r="AV1041" s="14" t="n"/>
      <c r="AW1041" s="12" t="n"/>
      <c r="AX1041" s="13" t="n"/>
      <c r="AY1041" s="14" t="n"/>
      <c r="AZ1041" s="12" t="n"/>
      <c r="BA1041" s="13" t="n"/>
      <c r="BB1041" s="14" t="n"/>
      <c r="BC1041" s="11">
        <f>IF(O1041="","",IF(J1041="GST 10%",ROUND(O1041*set_GSTRate,2),0))</f>
        <v/>
      </c>
      <c r="BD1041" s="11">
        <f>IF(O1041="","",O1041+BC1041)</f>
        <v/>
      </c>
      <c r="BE1041" s="15">
        <f>IF(O1041="","",COUNTA(S1041,V1041,Y1041,AB1041,AE1041,AH1041,AK1041,AN1041,AQ1041,AT1041,AW1041,AZ1041))</f>
        <v/>
      </c>
      <c r="BF1041" s="16">
        <f>IF(COUNT(T1041,W1041,Z1041,AC1041,AF1041,AI1041,AL1041,AO1041,AR1041,AU1041,AX1041,BA1041)=0,"",MAX(T1041,W1041,Z1041,AC1041,AF1041,AI1041,AL1041,AO1041,AR1041,AU1041,AX1041,BA1041))</f>
        <v/>
      </c>
      <c r="BG1041" s="10">
        <f>MID(IF(S1041="","",", "&amp;S1041)&amp;IF(V1041="","",", "&amp;V1041)&amp;IF(Y1041="","",", "&amp;Y1041)&amp;IF(AB1041="","",", "&amp;AB1041)&amp;IF(AE1041="","",", "&amp;AE1041)&amp;IF(AH1041="","",", "&amp;AH1041)&amp;IF(AK1041="","",", "&amp;AK1041)&amp;IF(AN1041="","",", "&amp;AN1041)&amp;IF(AQ1041="","",", "&amp;AQ1041)&amp;IF(AT1041="","",", "&amp;AT1041)&amp;IF(AW1041="","",", "&amp;AW1041)&amp;IF(AZ1041="","",", "&amp;AZ1041),3,500)</f>
        <v/>
      </c>
      <c r="BH1041" s="12" t="n"/>
      <c r="BI1041" s="15">
        <f>IFERROR(MATCH($A1041,IF($B1041="Onsite",tbl_Onsite[Row ID],IF($B1041="Production",tbl_Production[Row ID],tbl_Consulting[Row ID])),0),"")</f>
        <v/>
      </c>
    </row>
    <row r="1042">
      <c r="A1042" s="10" t="inlineStr">
        <is>
          <t>CON-0036</t>
        </is>
      </c>
      <c r="B1042" s="10" t="inlineStr">
        <is>
          <t>Consulting</t>
        </is>
      </c>
      <c r="C1042" s="10">
        <f>IF($BI1042="","",IF($B1042="Onsite",INDEX(tbl_Onsite[Job Number],$BI1042),IF($B1042="Production",INDEX(tbl_Production[Job Number],$BI1042),INDEX(tbl_Consulting[Job Number],$BI1042)))&amp;"")</f>
        <v/>
      </c>
      <c r="D1042" s="10">
        <f>IF($BI1042="","",IF($B1042="Onsite",INDEX(tbl_Onsite[Client],$BI1042),IF($B1042="Production",INDEX(tbl_Production[Client],$BI1042),INDEX(tbl_Consulting[Client],$BI1042)))&amp;"")</f>
        <v/>
      </c>
      <c r="E1042" s="10">
        <f>IF($C1042="","",IF(COUNTIF(lst_Jobs,$C1042)&gt;0,"OK","CHECK"))</f>
        <v/>
      </c>
      <c r="F1042" s="10">
        <f>IF($C1042="","",IFERROR(INDEX(lst_JobName,MATCH($C1042,lst_Jobs,0)),""))</f>
        <v/>
      </c>
      <c r="G1042" s="10">
        <f>IF($BI1042="","",IF($B1042="Onsite",INDEX(tbl_Onsite[Job Description],$BI1042),IF($B1042="Production",INDEX(tbl_Production[Job Description],$BI1042),INDEX(tbl_Consulting[Job Description],$BI1042)))&amp;"")</f>
        <v/>
      </c>
      <c r="H1042" s="10">
        <f>IF($BI1042="","",IF($B1042="Onsite",INDEX(tbl_Onsite[Cost Centre],$BI1042),IF($B1042="Production",INDEX(tbl_Production[Cost Centre],$BI1042),INDEX(tbl_Consulting[Cost Centre],$BI1042)))&amp;"")</f>
        <v/>
      </c>
      <c r="I1042" s="10">
        <f>IF($BI1042="","",IF($B1042="Onsite",INDEX(tbl_Onsite[Invoice Type],$BI1042),IF($B1042="Production",INDEX(tbl_Production[Invoice Type],$BI1042),INDEX(tbl_Consulting[Invoice Type],$BI1042)))&amp;"")</f>
        <v/>
      </c>
      <c r="J1042" s="10">
        <f>IF($BI1042="","",IF($B1042="Onsite",INDEX(tbl_Onsite[Tax Code],$BI1042),IF($B1042="Production",INDEX(tbl_Production[Tax Code],$BI1042),INDEX(tbl_Consulting[Tax Code],$BI1042)))&amp;"")</f>
        <v/>
      </c>
      <c r="K1042" s="10">
        <f>IF(H1042="","",IFERROR(INDEX(lst_CCtoGL,MATCH(H1042,lst_CCforGL,0)),""))</f>
        <v/>
      </c>
      <c r="L1042" s="10">
        <f>IF($BI1042="","",IF($B1042="Onsite",INDEX(tbl_Onsite[PO / Reference],$BI1042),IF($B1042="Production",INDEX(tbl_Production[Current RMS No],$BI1042),INDEX(tbl_Consulting[Qwilr Quote],$BI1042)))&amp;"")</f>
        <v/>
      </c>
      <c r="M1042" s="10">
        <f>IF($BI1042="","",IF($B1042="Onsite",INDEX(tbl_Onsite[Notes],$BI1042),IF($B1042="Production",INDEX(tbl_Production[Notes],$BI1042),INDEX(tbl_Consulting[Notes],$BI1042)))&amp;"")</f>
        <v/>
      </c>
      <c r="N1042" s="11">
        <f>IF($BI1042="","",IF(IF($B1042="Onsite",INDEX(tbl_Onsite[Expected Revenue Ex GST],$BI1042),IF($B1042="Production",INDEX(tbl_Production[Expected Revenue Ex GST],$BI1042),INDEX(tbl_Consulting[Expected Revenue Ex GST],$BI1042)))="","",IF($B1042="Onsite",INDEX(tbl_Onsite[Expected Revenue Ex GST],$BI1042),IF($B1042="Production",INDEX(tbl_Production[Expected Revenue Ex GST],$BI1042),INDEX(tbl_Consulting[Expected Revenue Ex GST],$BI1042)))))</f>
        <v/>
      </c>
      <c r="O1042" s="11">
        <f>IF(AND($C1042="",NOT(COUNTA($S1042:$BB1042)&gt;0)),"",SUM(U1042,X1042,AA1042,AD1042,AG1042,AJ1042,AM1042,AP1042,AS1042,AV1042,AY1042,BB1042))</f>
        <v/>
      </c>
      <c r="P1042" s="11">
        <f>IF(O1042="","",N(N1042)-O1042)</f>
        <v/>
      </c>
      <c r="Q1042" s="10">
        <f>IF(O1042="","",IF($C1042="","Invoice on empty job row",IF(N1042="",IF(ROUND(O1042,2)=0,"No dept value","Invoiced - no dept value"),IF(ROUND(O1042,2)=0,"Not invoiced - to invoice",IF(ROUND(P1042,2)=0,"Agrees",IF(P1042&gt;0,"Dept higher - to invoice","Xero higher - check dept"))))))</f>
        <v/>
      </c>
      <c r="R1042" s="10">
        <f>IF(AND($C1042="",NOT(COUNTA($S1042:$BB1042)&gt;0),$BI1042&lt;&gt;""),"",MID(IF($BI1042="","; Row ID not found on the department sheet - a row was deleted","")&amp;IF(AND($C1042="",COUNTA($S1042:$BB1042)&gt;0),"; Invoice entered but the department row has no job number","")&amp;IF(E1042="CHECK","; Job number not in the Xero job list","")&amp;IF(AND($C1042&lt;&gt;"",COUNTIF($C$7:$C$1506,$C1042)&gt;1),"; Job number on more than one row","")&amp;IF(AND($C1042&lt;&gt;"",H1042=""),"; Dept has not set a cost centre","")&amp;IF(AND($C1042&lt;&gt;"",J1042=""),"; Dept has not set a tax code","")&amp;IF(AND($C1042&lt;&gt;"",N1042=""),"; Dept has not entered an expected value","")&amp;IF((IF(OR(COUNTA(S1042:U1042)=0,AND(COUNTA(S1042:U1042)=3,ISNUMBER(U1042))),0,1)+IF(OR(COUNTA(V1042:X1042)=0,AND(COUNTA(V1042:X1042)=3,ISNUMBER(X1042))),0,1)+IF(OR(COUNTA(Y1042:AA1042)=0,AND(COUNTA(Y1042:AA1042)=3,ISNUMBER(AA1042))),0,1)+IF(OR(COUNTA(AB1042:AD1042)=0,AND(COUNTA(AB1042:AD1042)=3,ISNUMBER(AD1042))),0,1)+IF(OR(COUNTA(AE1042:AG1042)=0,AND(COUNTA(AE1042:AG1042)=3,ISNUMBER(AG1042))),0,1)+IF(OR(COUNTA(AH1042:AJ1042)=0,AND(COUNTA(AH1042:AJ1042)=3,ISNUMBER(AJ1042))),0,1)+IF(OR(COUNTA(AK1042:AM1042)=0,AND(COUNTA(AK1042:AM1042)=3,ISNUMBER(AM1042))),0,1)+IF(OR(COUNTA(AN1042:AP1042)=0,AND(COUNTA(AN1042:AP1042)=3,ISNUMBER(AP1042))),0,1)+IF(OR(COUNTA(AQ1042:AS1042)=0,AND(COUNTA(AQ1042:AS1042)=3,ISNUMBER(AS1042))),0,1)+IF(OR(COUNTA(AT1042:AV1042)=0,AND(COUNTA(AT1042:AV1042)=3,ISNUMBER(AV1042))),0,1)+IF(OR(COUNTA(AW1042:AY1042)=0,AND(COUNTA(AW1042:AY1042)=3,ISNUMBER(AY1042))),0,1)+IF(OR(COUNTA(AZ1042:BB1042)=0,AND(COUNTA(AZ1042:BB1042)=3,ISNUMBER(BB1042))),0,1))&gt;0,"; An invoice is incomplete (needs No, Date and a number in Ex GST)","")&amp;IF((IF(T1042="",0,IFERROR(--(EOMONTH(T1042,0)&lt;&gt;S$5),1))+IF(W1042="",0,IFERROR(--(EOMONTH(W1042,0)&lt;&gt;V$5),1))+IF(Z1042="",0,IFERROR(--(EOMONTH(Z1042,0)&lt;&gt;Y$5),1))+IF(AC1042="",0,IFERROR(--(EOMONTH(AC1042,0)&lt;&gt;AB$5),1))+IF(AF1042="",0,IFERROR(--(EOMONTH(AF1042,0)&lt;&gt;AE$5),1))+IF(AI1042="",0,IFERROR(--(EOMONTH(AI1042,0)&lt;&gt;AH$5),1))+IF(AL1042="",0,IFERROR(--(EOMONTH(AL1042,0)&lt;&gt;AK$5),1))+IF(AO1042="",0,IFERROR(--(EOMONTH(AO1042,0)&lt;&gt;AN$5),1))+IF(AR1042="",0,IFERROR(--(EOMONTH(AR1042,0)&lt;&gt;AQ$5),1))+IF(AU1042="",0,IFERROR(--(EOMONTH(AU1042,0)&lt;&gt;AT$5),1))+IF(AX1042="",0,IFERROR(--(EOMONTH(AX1042,0)&lt;&gt;AW$5),1))+IF(BA1042="",0,IFERROR(--(EOMONTH(BA1042,0)&lt;&gt;AZ$5),1)))&gt;0,"; An invoice date is not in the month it is typed under",""),3,500))</f>
        <v/>
      </c>
      <c r="S1042" s="12" t="n"/>
      <c r="T1042" s="13" t="n"/>
      <c r="U1042" s="14" t="n"/>
      <c r="V1042" s="12" t="n"/>
      <c r="W1042" s="13" t="n"/>
      <c r="X1042" s="14" t="n"/>
      <c r="Y1042" s="12" t="n"/>
      <c r="Z1042" s="13" t="n"/>
      <c r="AA1042" s="14" t="n"/>
      <c r="AB1042" s="12" t="n"/>
      <c r="AC1042" s="13" t="n"/>
      <c r="AD1042" s="14" t="n"/>
      <c r="AE1042" s="12" t="n"/>
      <c r="AF1042" s="13" t="n"/>
      <c r="AG1042" s="14" t="n"/>
      <c r="AH1042" s="12" t="n"/>
      <c r="AI1042" s="13" t="n"/>
      <c r="AJ1042" s="14" t="n"/>
      <c r="AK1042" s="12" t="n"/>
      <c r="AL1042" s="13" t="n"/>
      <c r="AM1042" s="14" t="n"/>
      <c r="AN1042" s="12" t="n"/>
      <c r="AO1042" s="13" t="n"/>
      <c r="AP1042" s="14" t="n"/>
      <c r="AQ1042" s="12" t="n"/>
      <c r="AR1042" s="13" t="n"/>
      <c r="AS1042" s="14" t="n"/>
      <c r="AT1042" s="12" t="n"/>
      <c r="AU1042" s="13" t="n"/>
      <c r="AV1042" s="14" t="n"/>
      <c r="AW1042" s="12" t="n"/>
      <c r="AX1042" s="13" t="n"/>
      <c r="AY1042" s="14" t="n"/>
      <c r="AZ1042" s="12" t="n"/>
      <c r="BA1042" s="13" t="n"/>
      <c r="BB1042" s="14" t="n"/>
      <c r="BC1042" s="11">
        <f>IF(O1042="","",IF(J1042="GST 10%",ROUND(O1042*set_GSTRate,2),0))</f>
        <v/>
      </c>
      <c r="BD1042" s="11">
        <f>IF(O1042="","",O1042+BC1042)</f>
        <v/>
      </c>
      <c r="BE1042" s="15">
        <f>IF(O1042="","",COUNTA(S1042,V1042,Y1042,AB1042,AE1042,AH1042,AK1042,AN1042,AQ1042,AT1042,AW1042,AZ1042))</f>
        <v/>
      </c>
      <c r="BF1042" s="16">
        <f>IF(COUNT(T1042,W1042,Z1042,AC1042,AF1042,AI1042,AL1042,AO1042,AR1042,AU1042,AX1042,BA1042)=0,"",MAX(T1042,W1042,Z1042,AC1042,AF1042,AI1042,AL1042,AO1042,AR1042,AU1042,AX1042,BA1042))</f>
        <v/>
      </c>
      <c r="BG1042" s="10">
        <f>MID(IF(S1042="","",", "&amp;S1042)&amp;IF(V1042="","",", "&amp;V1042)&amp;IF(Y1042="","",", "&amp;Y1042)&amp;IF(AB1042="","",", "&amp;AB1042)&amp;IF(AE1042="","",", "&amp;AE1042)&amp;IF(AH1042="","",", "&amp;AH1042)&amp;IF(AK1042="","",", "&amp;AK1042)&amp;IF(AN1042="","",", "&amp;AN1042)&amp;IF(AQ1042="","",", "&amp;AQ1042)&amp;IF(AT1042="","",", "&amp;AT1042)&amp;IF(AW1042="","",", "&amp;AW1042)&amp;IF(AZ1042="","",", "&amp;AZ1042),3,500)</f>
        <v/>
      </c>
      <c r="BH1042" s="12" t="n"/>
      <c r="BI1042" s="15">
        <f>IFERROR(MATCH($A1042,IF($B1042="Onsite",tbl_Onsite[Row ID],IF($B1042="Production",tbl_Production[Row ID],tbl_Consulting[Row ID])),0),"")</f>
        <v/>
      </c>
    </row>
    <row r="1043">
      <c r="A1043" s="10" t="inlineStr">
        <is>
          <t>CON-0037</t>
        </is>
      </c>
      <c r="B1043" s="10" t="inlineStr">
        <is>
          <t>Consulting</t>
        </is>
      </c>
      <c r="C1043" s="10">
        <f>IF($BI1043="","",IF($B1043="Onsite",INDEX(tbl_Onsite[Job Number],$BI1043),IF($B1043="Production",INDEX(tbl_Production[Job Number],$BI1043),INDEX(tbl_Consulting[Job Number],$BI1043)))&amp;"")</f>
        <v/>
      </c>
      <c r="D1043" s="10">
        <f>IF($BI1043="","",IF($B1043="Onsite",INDEX(tbl_Onsite[Client],$BI1043),IF($B1043="Production",INDEX(tbl_Production[Client],$BI1043),INDEX(tbl_Consulting[Client],$BI1043)))&amp;"")</f>
        <v/>
      </c>
      <c r="E1043" s="10">
        <f>IF($C1043="","",IF(COUNTIF(lst_Jobs,$C1043)&gt;0,"OK","CHECK"))</f>
        <v/>
      </c>
      <c r="F1043" s="10">
        <f>IF($C1043="","",IFERROR(INDEX(lst_JobName,MATCH($C1043,lst_Jobs,0)),""))</f>
        <v/>
      </c>
      <c r="G1043" s="10">
        <f>IF($BI1043="","",IF($B1043="Onsite",INDEX(tbl_Onsite[Job Description],$BI1043),IF($B1043="Production",INDEX(tbl_Production[Job Description],$BI1043),INDEX(tbl_Consulting[Job Description],$BI1043)))&amp;"")</f>
        <v/>
      </c>
      <c r="H1043" s="10">
        <f>IF($BI1043="","",IF($B1043="Onsite",INDEX(tbl_Onsite[Cost Centre],$BI1043),IF($B1043="Production",INDEX(tbl_Production[Cost Centre],$BI1043),INDEX(tbl_Consulting[Cost Centre],$BI1043)))&amp;"")</f>
        <v/>
      </c>
      <c r="I1043" s="10">
        <f>IF($BI1043="","",IF($B1043="Onsite",INDEX(tbl_Onsite[Invoice Type],$BI1043),IF($B1043="Production",INDEX(tbl_Production[Invoice Type],$BI1043),INDEX(tbl_Consulting[Invoice Type],$BI1043)))&amp;"")</f>
        <v/>
      </c>
      <c r="J1043" s="10">
        <f>IF($BI1043="","",IF($B1043="Onsite",INDEX(tbl_Onsite[Tax Code],$BI1043),IF($B1043="Production",INDEX(tbl_Production[Tax Code],$BI1043),INDEX(tbl_Consulting[Tax Code],$BI1043)))&amp;"")</f>
        <v/>
      </c>
      <c r="K1043" s="10">
        <f>IF(H1043="","",IFERROR(INDEX(lst_CCtoGL,MATCH(H1043,lst_CCforGL,0)),""))</f>
        <v/>
      </c>
      <c r="L1043" s="10">
        <f>IF($BI1043="","",IF($B1043="Onsite",INDEX(tbl_Onsite[PO / Reference],$BI1043),IF($B1043="Production",INDEX(tbl_Production[Current RMS No],$BI1043),INDEX(tbl_Consulting[Qwilr Quote],$BI1043)))&amp;"")</f>
        <v/>
      </c>
      <c r="M1043" s="10">
        <f>IF($BI1043="","",IF($B1043="Onsite",INDEX(tbl_Onsite[Notes],$BI1043),IF($B1043="Production",INDEX(tbl_Production[Notes],$BI1043),INDEX(tbl_Consulting[Notes],$BI1043)))&amp;"")</f>
        <v/>
      </c>
      <c r="N1043" s="11">
        <f>IF($BI1043="","",IF(IF($B1043="Onsite",INDEX(tbl_Onsite[Expected Revenue Ex GST],$BI1043),IF($B1043="Production",INDEX(tbl_Production[Expected Revenue Ex GST],$BI1043),INDEX(tbl_Consulting[Expected Revenue Ex GST],$BI1043)))="","",IF($B1043="Onsite",INDEX(tbl_Onsite[Expected Revenue Ex GST],$BI1043),IF($B1043="Production",INDEX(tbl_Production[Expected Revenue Ex GST],$BI1043),INDEX(tbl_Consulting[Expected Revenue Ex GST],$BI1043)))))</f>
        <v/>
      </c>
      <c r="O1043" s="11">
        <f>IF(AND($C1043="",NOT(COUNTA($S1043:$BB1043)&gt;0)),"",SUM(U1043,X1043,AA1043,AD1043,AG1043,AJ1043,AM1043,AP1043,AS1043,AV1043,AY1043,BB1043))</f>
        <v/>
      </c>
      <c r="P1043" s="11">
        <f>IF(O1043="","",N(N1043)-O1043)</f>
        <v/>
      </c>
      <c r="Q1043" s="10">
        <f>IF(O1043="","",IF($C1043="","Invoice on empty job row",IF(N1043="",IF(ROUND(O1043,2)=0,"No dept value","Invoiced - no dept value"),IF(ROUND(O1043,2)=0,"Not invoiced - to invoice",IF(ROUND(P1043,2)=0,"Agrees",IF(P1043&gt;0,"Dept higher - to invoice","Xero higher - check dept"))))))</f>
        <v/>
      </c>
      <c r="R1043" s="10">
        <f>IF(AND($C1043="",NOT(COUNTA($S1043:$BB1043)&gt;0),$BI1043&lt;&gt;""),"",MID(IF($BI1043="","; Row ID not found on the department sheet - a row was deleted","")&amp;IF(AND($C1043="",COUNTA($S1043:$BB1043)&gt;0),"; Invoice entered but the department row has no job number","")&amp;IF(E1043="CHECK","; Job number not in the Xero job list","")&amp;IF(AND($C1043&lt;&gt;"",COUNTIF($C$7:$C$1506,$C1043)&gt;1),"; Job number on more than one row","")&amp;IF(AND($C1043&lt;&gt;"",H1043=""),"; Dept has not set a cost centre","")&amp;IF(AND($C1043&lt;&gt;"",J1043=""),"; Dept has not set a tax code","")&amp;IF(AND($C1043&lt;&gt;"",N1043=""),"; Dept has not entered an expected value","")&amp;IF((IF(OR(COUNTA(S1043:U1043)=0,AND(COUNTA(S1043:U1043)=3,ISNUMBER(U1043))),0,1)+IF(OR(COUNTA(V1043:X1043)=0,AND(COUNTA(V1043:X1043)=3,ISNUMBER(X1043))),0,1)+IF(OR(COUNTA(Y1043:AA1043)=0,AND(COUNTA(Y1043:AA1043)=3,ISNUMBER(AA1043))),0,1)+IF(OR(COUNTA(AB1043:AD1043)=0,AND(COUNTA(AB1043:AD1043)=3,ISNUMBER(AD1043))),0,1)+IF(OR(COUNTA(AE1043:AG1043)=0,AND(COUNTA(AE1043:AG1043)=3,ISNUMBER(AG1043))),0,1)+IF(OR(COUNTA(AH1043:AJ1043)=0,AND(COUNTA(AH1043:AJ1043)=3,ISNUMBER(AJ1043))),0,1)+IF(OR(COUNTA(AK1043:AM1043)=0,AND(COUNTA(AK1043:AM1043)=3,ISNUMBER(AM1043))),0,1)+IF(OR(COUNTA(AN1043:AP1043)=0,AND(COUNTA(AN1043:AP1043)=3,ISNUMBER(AP1043))),0,1)+IF(OR(COUNTA(AQ1043:AS1043)=0,AND(COUNTA(AQ1043:AS1043)=3,ISNUMBER(AS1043))),0,1)+IF(OR(COUNTA(AT1043:AV1043)=0,AND(COUNTA(AT1043:AV1043)=3,ISNUMBER(AV1043))),0,1)+IF(OR(COUNTA(AW1043:AY1043)=0,AND(COUNTA(AW1043:AY1043)=3,ISNUMBER(AY1043))),0,1)+IF(OR(COUNTA(AZ1043:BB1043)=0,AND(COUNTA(AZ1043:BB1043)=3,ISNUMBER(BB1043))),0,1))&gt;0,"; An invoice is incomplete (needs No, Date and a number in Ex GST)","")&amp;IF((IF(T1043="",0,IFERROR(--(EOMONTH(T1043,0)&lt;&gt;S$5),1))+IF(W1043="",0,IFERROR(--(EOMONTH(W1043,0)&lt;&gt;V$5),1))+IF(Z1043="",0,IFERROR(--(EOMONTH(Z1043,0)&lt;&gt;Y$5),1))+IF(AC1043="",0,IFERROR(--(EOMONTH(AC1043,0)&lt;&gt;AB$5),1))+IF(AF1043="",0,IFERROR(--(EOMONTH(AF1043,0)&lt;&gt;AE$5),1))+IF(AI1043="",0,IFERROR(--(EOMONTH(AI1043,0)&lt;&gt;AH$5),1))+IF(AL1043="",0,IFERROR(--(EOMONTH(AL1043,0)&lt;&gt;AK$5),1))+IF(AO1043="",0,IFERROR(--(EOMONTH(AO1043,0)&lt;&gt;AN$5),1))+IF(AR1043="",0,IFERROR(--(EOMONTH(AR1043,0)&lt;&gt;AQ$5),1))+IF(AU1043="",0,IFERROR(--(EOMONTH(AU1043,0)&lt;&gt;AT$5),1))+IF(AX1043="",0,IFERROR(--(EOMONTH(AX1043,0)&lt;&gt;AW$5),1))+IF(BA1043="",0,IFERROR(--(EOMONTH(BA1043,0)&lt;&gt;AZ$5),1)))&gt;0,"; An invoice date is not in the month it is typed under",""),3,500))</f>
        <v/>
      </c>
      <c r="S1043" s="12" t="n"/>
      <c r="T1043" s="13" t="n"/>
      <c r="U1043" s="14" t="n"/>
      <c r="V1043" s="12" t="n"/>
      <c r="W1043" s="13" t="n"/>
      <c r="X1043" s="14" t="n"/>
      <c r="Y1043" s="12" t="n"/>
      <c r="Z1043" s="13" t="n"/>
      <c r="AA1043" s="14" t="n"/>
      <c r="AB1043" s="12" t="n"/>
      <c r="AC1043" s="13" t="n"/>
      <c r="AD1043" s="14" t="n"/>
      <c r="AE1043" s="12" t="n"/>
      <c r="AF1043" s="13" t="n"/>
      <c r="AG1043" s="14" t="n"/>
      <c r="AH1043" s="12" t="n"/>
      <c r="AI1043" s="13" t="n"/>
      <c r="AJ1043" s="14" t="n"/>
      <c r="AK1043" s="12" t="n"/>
      <c r="AL1043" s="13" t="n"/>
      <c r="AM1043" s="14" t="n"/>
      <c r="AN1043" s="12" t="n"/>
      <c r="AO1043" s="13" t="n"/>
      <c r="AP1043" s="14" t="n"/>
      <c r="AQ1043" s="12" t="n"/>
      <c r="AR1043" s="13" t="n"/>
      <c r="AS1043" s="14" t="n"/>
      <c r="AT1043" s="12" t="n"/>
      <c r="AU1043" s="13" t="n"/>
      <c r="AV1043" s="14" t="n"/>
      <c r="AW1043" s="12" t="n"/>
      <c r="AX1043" s="13" t="n"/>
      <c r="AY1043" s="14" t="n"/>
      <c r="AZ1043" s="12" t="n"/>
      <c r="BA1043" s="13" t="n"/>
      <c r="BB1043" s="14" t="n"/>
      <c r="BC1043" s="11">
        <f>IF(O1043="","",IF(J1043="GST 10%",ROUND(O1043*set_GSTRate,2),0))</f>
        <v/>
      </c>
      <c r="BD1043" s="11">
        <f>IF(O1043="","",O1043+BC1043)</f>
        <v/>
      </c>
      <c r="BE1043" s="15">
        <f>IF(O1043="","",COUNTA(S1043,V1043,Y1043,AB1043,AE1043,AH1043,AK1043,AN1043,AQ1043,AT1043,AW1043,AZ1043))</f>
        <v/>
      </c>
      <c r="BF1043" s="16">
        <f>IF(COUNT(T1043,W1043,Z1043,AC1043,AF1043,AI1043,AL1043,AO1043,AR1043,AU1043,AX1043,BA1043)=0,"",MAX(T1043,W1043,Z1043,AC1043,AF1043,AI1043,AL1043,AO1043,AR1043,AU1043,AX1043,BA1043))</f>
        <v/>
      </c>
      <c r="BG1043" s="10">
        <f>MID(IF(S1043="","",", "&amp;S1043)&amp;IF(V1043="","",", "&amp;V1043)&amp;IF(Y1043="","",", "&amp;Y1043)&amp;IF(AB1043="","",", "&amp;AB1043)&amp;IF(AE1043="","",", "&amp;AE1043)&amp;IF(AH1043="","",", "&amp;AH1043)&amp;IF(AK1043="","",", "&amp;AK1043)&amp;IF(AN1043="","",", "&amp;AN1043)&amp;IF(AQ1043="","",", "&amp;AQ1043)&amp;IF(AT1043="","",", "&amp;AT1043)&amp;IF(AW1043="","",", "&amp;AW1043)&amp;IF(AZ1043="","",", "&amp;AZ1043),3,500)</f>
        <v/>
      </c>
      <c r="BH1043" s="12" t="n"/>
      <c r="BI1043" s="15">
        <f>IFERROR(MATCH($A1043,IF($B1043="Onsite",tbl_Onsite[Row ID],IF($B1043="Production",tbl_Production[Row ID],tbl_Consulting[Row ID])),0),"")</f>
        <v/>
      </c>
    </row>
    <row r="1044">
      <c r="A1044" s="10" t="inlineStr">
        <is>
          <t>CON-0038</t>
        </is>
      </c>
      <c r="B1044" s="10" t="inlineStr">
        <is>
          <t>Consulting</t>
        </is>
      </c>
      <c r="C1044" s="10">
        <f>IF($BI1044="","",IF($B1044="Onsite",INDEX(tbl_Onsite[Job Number],$BI1044),IF($B1044="Production",INDEX(tbl_Production[Job Number],$BI1044),INDEX(tbl_Consulting[Job Number],$BI1044)))&amp;"")</f>
        <v/>
      </c>
      <c r="D1044" s="10">
        <f>IF($BI1044="","",IF($B1044="Onsite",INDEX(tbl_Onsite[Client],$BI1044),IF($B1044="Production",INDEX(tbl_Production[Client],$BI1044),INDEX(tbl_Consulting[Client],$BI1044)))&amp;"")</f>
        <v/>
      </c>
      <c r="E1044" s="10">
        <f>IF($C1044="","",IF(COUNTIF(lst_Jobs,$C1044)&gt;0,"OK","CHECK"))</f>
        <v/>
      </c>
      <c r="F1044" s="10">
        <f>IF($C1044="","",IFERROR(INDEX(lst_JobName,MATCH($C1044,lst_Jobs,0)),""))</f>
        <v/>
      </c>
      <c r="G1044" s="10">
        <f>IF($BI1044="","",IF($B1044="Onsite",INDEX(tbl_Onsite[Job Description],$BI1044),IF($B1044="Production",INDEX(tbl_Production[Job Description],$BI1044),INDEX(tbl_Consulting[Job Description],$BI1044)))&amp;"")</f>
        <v/>
      </c>
      <c r="H1044" s="10">
        <f>IF($BI1044="","",IF($B1044="Onsite",INDEX(tbl_Onsite[Cost Centre],$BI1044),IF($B1044="Production",INDEX(tbl_Production[Cost Centre],$BI1044),INDEX(tbl_Consulting[Cost Centre],$BI1044)))&amp;"")</f>
        <v/>
      </c>
      <c r="I1044" s="10">
        <f>IF($BI1044="","",IF($B1044="Onsite",INDEX(tbl_Onsite[Invoice Type],$BI1044),IF($B1044="Production",INDEX(tbl_Production[Invoice Type],$BI1044),INDEX(tbl_Consulting[Invoice Type],$BI1044)))&amp;"")</f>
        <v/>
      </c>
      <c r="J1044" s="10">
        <f>IF($BI1044="","",IF($B1044="Onsite",INDEX(tbl_Onsite[Tax Code],$BI1044),IF($B1044="Production",INDEX(tbl_Production[Tax Code],$BI1044),INDEX(tbl_Consulting[Tax Code],$BI1044)))&amp;"")</f>
        <v/>
      </c>
      <c r="K1044" s="10">
        <f>IF(H1044="","",IFERROR(INDEX(lst_CCtoGL,MATCH(H1044,lst_CCforGL,0)),""))</f>
        <v/>
      </c>
      <c r="L1044" s="10">
        <f>IF($BI1044="","",IF($B1044="Onsite",INDEX(tbl_Onsite[PO / Reference],$BI1044),IF($B1044="Production",INDEX(tbl_Production[Current RMS No],$BI1044),INDEX(tbl_Consulting[Qwilr Quote],$BI1044)))&amp;"")</f>
        <v/>
      </c>
      <c r="M1044" s="10">
        <f>IF($BI1044="","",IF($B1044="Onsite",INDEX(tbl_Onsite[Notes],$BI1044),IF($B1044="Production",INDEX(tbl_Production[Notes],$BI1044),INDEX(tbl_Consulting[Notes],$BI1044)))&amp;"")</f>
        <v/>
      </c>
      <c r="N1044" s="11">
        <f>IF($BI1044="","",IF(IF($B1044="Onsite",INDEX(tbl_Onsite[Expected Revenue Ex GST],$BI1044),IF($B1044="Production",INDEX(tbl_Production[Expected Revenue Ex GST],$BI1044),INDEX(tbl_Consulting[Expected Revenue Ex GST],$BI1044)))="","",IF($B1044="Onsite",INDEX(tbl_Onsite[Expected Revenue Ex GST],$BI1044),IF($B1044="Production",INDEX(tbl_Production[Expected Revenue Ex GST],$BI1044),INDEX(tbl_Consulting[Expected Revenue Ex GST],$BI1044)))))</f>
        <v/>
      </c>
      <c r="O1044" s="11">
        <f>IF(AND($C1044="",NOT(COUNTA($S1044:$BB1044)&gt;0)),"",SUM(U1044,X1044,AA1044,AD1044,AG1044,AJ1044,AM1044,AP1044,AS1044,AV1044,AY1044,BB1044))</f>
        <v/>
      </c>
      <c r="P1044" s="11">
        <f>IF(O1044="","",N(N1044)-O1044)</f>
        <v/>
      </c>
      <c r="Q1044" s="10">
        <f>IF(O1044="","",IF($C1044="","Invoice on empty job row",IF(N1044="",IF(ROUND(O1044,2)=0,"No dept value","Invoiced - no dept value"),IF(ROUND(O1044,2)=0,"Not invoiced - to invoice",IF(ROUND(P1044,2)=0,"Agrees",IF(P1044&gt;0,"Dept higher - to invoice","Xero higher - check dept"))))))</f>
        <v/>
      </c>
      <c r="R1044" s="10">
        <f>IF(AND($C1044="",NOT(COUNTA($S1044:$BB1044)&gt;0),$BI1044&lt;&gt;""),"",MID(IF($BI1044="","; Row ID not found on the department sheet - a row was deleted","")&amp;IF(AND($C1044="",COUNTA($S1044:$BB1044)&gt;0),"; Invoice entered but the department row has no job number","")&amp;IF(E1044="CHECK","; Job number not in the Xero job list","")&amp;IF(AND($C1044&lt;&gt;"",COUNTIF($C$7:$C$1506,$C1044)&gt;1),"; Job number on more than one row","")&amp;IF(AND($C1044&lt;&gt;"",H1044=""),"; Dept has not set a cost centre","")&amp;IF(AND($C1044&lt;&gt;"",J1044=""),"; Dept has not set a tax code","")&amp;IF(AND($C1044&lt;&gt;"",N1044=""),"; Dept has not entered an expected value","")&amp;IF((IF(OR(COUNTA(S1044:U1044)=0,AND(COUNTA(S1044:U1044)=3,ISNUMBER(U1044))),0,1)+IF(OR(COUNTA(V1044:X1044)=0,AND(COUNTA(V1044:X1044)=3,ISNUMBER(X1044))),0,1)+IF(OR(COUNTA(Y1044:AA1044)=0,AND(COUNTA(Y1044:AA1044)=3,ISNUMBER(AA1044))),0,1)+IF(OR(COUNTA(AB1044:AD1044)=0,AND(COUNTA(AB1044:AD1044)=3,ISNUMBER(AD1044))),0,1)+IF(OR(COUNTA(AE1044:AG1044)=0,AND(COUNTA(AE1044:AG1044)=3,ISNUMBER(AG1044))),0,1)+IF(OR(COUNTA(AH1044:AJ1044)=0,AND(COUNTA(AH1044:AJ1044)=3,ISNUMBER(AJ1044))),0,1)+IF(OR(COUNTA(AK1044:AM1044)=0,AND(COUNTA(AK1044:AM1044)=3,ISNUMBER(AM1044))),0,1)+IF(OR(COUNTA(AN1044:AP1044)=0,AND(COUNTA(AN1044:AP1044)=3,ISNUMBER(AP1044))),0,1)+IF(OR(COUNTA(AQ1044:AS1044)=0,AND(COUNTA(AQ1044:AS1044)=3,ISNUMBER(AS1044))),0,1)+IF(OR(COUNTA(AT1044:AV1044)=0,AND(COUNTA(AT1044:AV1044)=3,ISNUMBER(AV1044))),0,1)+IF(OR(COUNTA(AW1044:AY1044)=0,AND(COUNTA(AW1044:AY1044)=3,ISNUMBER(AY1044))),0,1)+IF(OR(COUNTA(AZ1044:BB1044)=0,AND(COUNTA(AZ1044:BB1044)=3,ISNUMBER(BB1044))),0,1))&gt;0,"; An invoice is incomplete (needs No, Date and a number in Ex GST)","")&amp;IF((IF(T1044="",0,IFERROR(--(EOMONTH(T1044,0)&lt;&gt;S$5),1))+IF(W1044="",0,IFERROR(--(EOMONTH(W1044,0)&lt;&gt;V$5),1))+IF(Z1044="",0,IFERROR(--(EOMONTH(Z1044,0)&lt;&gt;Y$5),1))+IF(AC1044="",0,IFERROR(--(EOMONTH(AC1044,0)&lt;&gt;AB$5),1))+IF(AF1044="",0,IFERROR(--(EOMONTH(AF1044,0)&lt;&gt;AE$5),1))+IF(AI1044="",0,IFERROR(--(EOMONTH(AI1044,0)&lt;&gt;AH$5),1))+IF(AL1044="",0,IFERROR(--(EOMONTH(AL1044,0)&lt;&gt;AK$5),1))+IF(AO1044="",0,IFERROR(--(EOMONTH(AO1044,0)&lt;&gt;AN$5),1))+IF(AR1044="",0,IFERROR(--(EOMONTH(AR1044,0)&lt;&gt;AQ$5),1))+IF(AU1044="",0,IFERROR(--(EOMONTH(AU1044,0)&lt;&gt;AT$5),1))+IF(AX1044="",0,IFERROR(--(EOMONTH(AX1044,0)&lt;&gt;AW$5),1))+IF(BA1044="",0,IFERROR(--(EOMONTH(BA1044,0)&lt;&gt;AZ$5),1)))&gt;0,"; An invoice date is not in the month it is typed under",""),3,500))</f>
        <v/>
      </c>
      <c r="S1044" s="12" t="n"/>
      <c r="T1044" s="13" t="n"/>
      <c r="U1044" s="14" t="n"/>
      <c r="V1044" s="12" t="n"/>
      <c r="W1044" s="13" t="n"/>
      <c r="X1044" s="14" t="n"/>
      <c r="Y1044" s="12" t="n"/>
      <c r="Z1044" s="13" t="n"/>
      <c r="AA1044" s="14" t="n"/>
      <c r="AB1044" s="12" t="n"/>
      <c r="AC1044" s="13" t="n"/>
      <c r="AD1044" s="14" t="n"/>
      <c r="AE1044" s="12" t="n"/>
      <c r="AF1044" s="13" t="n"/>
      <c r="AG1044" s="14" t="n"/>
      <c r="AH1044" s="12" t="n"/>
      <c r="AI1044" s="13" t="n"/>
      <c r="AJ1044" s="14" t="n"/>
      <c r="AK1044" s="12" t="n"/>
      <c r="AL1044" s="13" t="n"/>
      <c r="AM1044" s="14" t="n"/>
      <c r="AN1044" s="12" t="n"/>
      <c r="AO1044" s="13" t="n"/>
      <c r="AP1044" s="14" t="n"/>
      <c r="AQ1044" s="12" t="n"/>
      <c r="AR1044" s="13" t="n"/>
      <c r="AS1044" s="14" t="n"/>
      <c r="AT1044" s="12" t="n"/>
      <c r="AU1044" s="13" t="n"/>
      <c r="AV1044" s="14" t="n"/>
      <c r="AW1044" s="12" t="n"/>
      <c r="AX1044" s="13" t="n"/>
      <c r="AY1044" s="14" t="n"/>
      <c r="AZ1044" s="12" t="n"/>
      <c r="BA1044" s="13" t="n"/>
      <c r="BB1044" s="14" t="n"/>
      <c r="BC1044" s="11">
        <f>IF(O1044="","",IF(J1044="GST 10%",ROUND(O1044*set_GSTRate,2),0))</f>
        <v/>
      </c>
      <c r="BD1044" s="11">
        <f>IF(O1044="","",O1044+BC1044)</f>
        <v/>
      </c>
      <c r="BE1044" s="15">
        <f>IF(O1044="","",COUNTA(S1044,V1044,Y1044,AB1044,AE1044,AH1044,AK1044,AN1044,AQ1044,AT1044,AW1044,AZ1044))</f>
        <v/>
      </c>
      <c r="BF1044" s="16">
        <f>IF(COUNT(T1044,W1044,Z1044,AC1044,AF1044,AI1044,AL1044,AO1044,AR1044,AU1044,AX1044,BA1044)=0,"",MAX(T1044,W1044,Z1044,AC1044,AF1044,AI1044,AL1044,AO1044,AR1044,AU1044,AX1044,BA1044))</f>
        <v/>
      </c>
      <c r="BG1044" s="10">
        <f>MID(IF(S1044="","",", "&amp;S1044)&amp;IF(V1044="","",", "&amp;V1044)&amp;IF(Y1044="","",", "&amp;Y1044)&amp;IF(AB1044="","",", "&amp;AB1044)&amp;IF(AE1044="","",", "&amp;AE1044)&amp;IF(AH1044="","",", "&amp;AH1044)&amp;IF(AK1044="","",", "&amp;AK1044)&amp;IF(AN1044="","",", "&amp;AN1044)&amp;IF(AQ1044="","",", "&amp;AQ1044)&amp;IF(AT1044="","",", "&amp;AT1044)&amp;IF(AW1044="","",", "&amp;AW1044)&amp;IF(AZ1044="","",", "&amp;AZ1044),3,500)</f>
        <v/>
      </c>
      <c r="BH1044" s="12" t="n"/>
      <c r="BI1044" s="15">
        <f>IFERROR(MATCH($A1044,IF($B1044="Onsite",tbl_Onsite[Row ID],IF($B1044="Production",tbl_Production[Row ID],tbl_Consulting[Row ID])),0),"")</f>
        <v/>
      </c>
    </row>
    <row r="1045">
      <c r="A1045" s="10" t="inlineStr">
        <is>
          <t>CON-0039</t>
        </is>
      </c>
      <c r="B1045" s="10" t="inlineStr">
        <is>
          <t>Consulting</t>
        </is>
      </c>
      <c r="C1045" s="10">
        <f>IF($BI1045="","",IF($B1045="Onsite",INDEX(tbl_Onsite[Job Number],$BI1045),IF($B1045="Production",INDEX(tbl_Production[Job Number],$BI1045),INDEX(tbl_Consulting[Job Number],$BI1045)))&amp;"")</f>
        <v/>
      </c>
      <c r="D1045" s="10">
        <f>IF($BI1045="","",IF($B1045="Onsite",INDEX(tbl_Onsite[Client],$BI1045),IF($B1045="Production",INDEX(tbl_Production[Client],$BI1045),INDEX(tbl_Consulting[Client],$BI1045)))&amp;"")</f>
        <v/>
      </c>
      <c r="E1045" s="10">
        <f>IF($C1045="","",IF(COUNTIF(lst_Jobs,$C1045)&gt;0,"OK","CHECK"))</f>
        <v/>
      </c>
      <c r="F1045" s="10">
        <f>IF($C1045="","",IFERROR(INDEX(lst_JobName,MATCH($C1045,lst_Jobs,0)),""))</f>
        <v/>
      </c>
      <c r="G1045" s="10">
        <f>IF($BI1045="","",IF($B1045="Onsite",INDEX(tbl_Onsite[Job Description],$BI1045),IF($B1045="Production",INDEX(tbl_Production[Job Description],$BI1045),INDEX(tbl_Consulting[Job Description],$BI1045)))&amp;"")</f>
        <v/>
      </c>
      <c r="H1045" s="10">
        <f>IF($BI1045="","",IF($B1045="Onsite",INDEX(tbl_Onsite[Cost Centre],$BI1045),IF($B1045="Production",INDEX(tbl_Production[Cost Centre],$BI1045),INDEX(tbl_Consulting[Cost Centre],$BI1045)))&amp;"")</f>
        <v/>
      </c>
      <c r="I1045" s="10">
        <f>IF($BI1045="","",IF($B1045="Onsite",INDEX(tbl_Onsite[Invoice Type],$BI1045),IF($B1045="Production",INDEX(tbl_Production[Invoice Type],$BI1045),INDEX(tbl_Consulting[Invoice Type],$BI1045)))&amp;"")</f>
        <v/>
      </c>
      <c r="J1045" s="10">
        <f>IF($BI1045="","",IF($B1045="Onsite",INDEX(tbl_Onsite[Tax Code],$BI1045),IF($B1045="Production",INDEX(tbl_Production[Tax Code],$BI1045),INDEX(tbl_Consulting[Tax Code],$BI1045)))&amp;"")</f>
        <v/>
      </c>
      <c r="K1045" s="10">
        <f>IF(H1045="","",IFERROR(INDEX(lst_CCtoGL,MATCH(H1045,lst_CCforGL,0)),""))</f>
        <v/>
      </c>
      <c r="L1045" s="10">
        <f>IF($BI1045="","",IF($B1045="Onsite",INDEX(tbl_Onsite[PO / Reference],$BI1045),IF($B1045="Production",INDEX(tbl_Production[Current RMS No],$BI1045),INDEX(tbl_Consulting[Qwilr Quote],$BI1045)))&amp;"")</f>
        <v/>
      </c>
      <c r="M1045" s="10">
        <f>IF($BI1045="","",IF($B1045="Onsite",INDEX(tbl_Onsite[Notes],$BI1045),IF($B1045="Production",INDEX(tbl_Production[Notes],$BI1045),INDEX(tbl_Consulting[Notes],$BI1045)))&amp;"")</f>
        <v/>
      </c>
      <c r="N1045" s="11">
        <f>IF($BI1045="","",IF(IF($B1045="Onsite",INDEX(tbl_Onsite[Expected Revenue Ex GST],$BI1045),IF($B1045="Production",INDEX(tbl_Production[Expected Revenue Ex GST],$BI1045),INDEX(tbl_Consulting[Expected Revenue Ex GST],$BI1045)))="","",IF($B1045="Onsite",INDEX(tbl_Onsite[Expected Revenue Ex GST],$BI1045),IF($B1045="Production",INDEX(tbl_Production[Expected Revenue Ex GST],$BI1045),INDEX(tbl_Consulting[Expected Revenue Ex GST],$BI1045)))))</f>
        <v/>
      </c>
      <c r="O1045" s="11">
        <f>IF(AND($C1045="",NOT(COUNTA($S1045:$BB1045)&gt;0)),"",SUM(U1045,X1045,AA1045,AD1045,AG1045,AJ1045,AM1045,AP1045,AS1045,AV1045,AY1045,BB1045))</f>
        <v/>
      </c>
      <c r="P1045" s="11">
        <f>IF(O1045="","",N(N1045)-O1045)</f>
        <v/>
      </c>
      <c r="Q1045" s="10">
        <f>IF(O1045="","",IF($C1045="","Invoice on empty job row",IF(N1045="",IF(ROUND(O1045,2)=0,"No dept value","Invoiced - no dept value"),IF(ROUND(O1045,2)=0,"Not invoiced - to invoice",IF(ROUND(P1045,2)=0,"Agrees",IF(P1045&gt;0,"Dept higher - to invoice","Xero higher - check dept"))))))</f>
        <v/>
      </c>
      <c r="R1045" s="10">
        <f>IF(AND($C1045="",NOT(COUNTA($S1045:$BB1045)&gt;0),$BI1045&lt;&gt;""),"",MID(IF($BI1045="","; Row ID not found on the department sheet - a row was deleted","")&amp;IF(AND($C1045="",COUNTA($S1045:$BB1045)&gt;0),"; Invoice entered but the department row has no job number","")&amp;IF(E1045="CHECK","; Job number not in the Xero job list","")&amp;IF(AND($C1045&lt;&gt;"",COUNTIF($C$7:$C$1506,$C1045)&gt;1),"; Job number on more than one row","")&amp;IF(AND($C1045&lt;&gt;"",H1045=""),"; Dept has not set a cost centre","")&amp;IF(AND($C1045&lt;&gt;"",J1045=""),"; Dept has not set a tax code","")&amp;IF(AND($C1045&lt;&gt;"",N1045=""),"; Dept has not entered an expected value","")&amp;IF((IF(OR(COUNTA(S1045:U1045)=0,AND(COUNTA(S1045:U1045)=3,ISNUMBER(U1045))),0,1)+IF(OR(COUNTA(V1045:X1045)=0,AND(COUNTA(V1045:X1045)=3,ISNUMBER(X1045))),0,1)+IF(OR(COUNTA(Y1045:AA1045)=0,AND(COUNTA(Y1045:AA1045)=3,ISNUMBER(AA1045))),0,1)+IF(OR(COUNTA(AB1045:AD1045)=0,AND(COUNTA(AB1045:AD1045)=3,ISNUMBER(AD1045))),0,1)+IF(OR(COUNTA(AE1045:AG1045)=0,AND(COUNTA(AE1045:AG1045)=3,ISNUMBER(AG1045))),0,1)+IF(OR(COUNTA(AH1045:AJ1045)=0,AND(COUNTA(AH1045:AJ1045)=3,ISNUMBER(AJ1045))),0,1)+IF(OR(COUNTA(AK1045:AM1045)=0,AND(COUNTA(AK1045:AM1045)=3,ISNUMBER(AM1045))),0,1)+IF(OR(COUNTA(AN1045:AP1045)=0,AND(COUNTA(AN1045:AP1045)=3,ISNUMBER(AP1045))),0,1)+IF(OR(COUNTA(AQ1045:AS1045)=0,AND(COUNTA(AQ1045:AS1045)=3,ISNUMBER(AS1045))),0,1)+IF(OR(COUNTA(AT1045:AV1045)=0,AND(COUNTA(AT1045:AV1045)=3,ISNUMBER(AV1045))),0,1)+IF(OR(COUNTA(AW1045:AY1045)=0,AND(COUNTA(AW1045:AY1045)=3,ISNUMBER(AY1045))),0,1)+IF(OR(COUNTA(AZ1045:BB1045)=0,AND(COUNTA(AZ1045:BB1045)=3,ISNUMBER(BB1045))),0,1))&gt;0,"; An invoice is incomplete (needs No, Date and a number in Ex GST)","")&amp;IF((IF(T1045="",0,IFERROR(--(EOMONTH(T1045,0)&lt;&gt;S$5),1))+IF(W1045="",0,IFERROR(--(EOMONTH(W1045,0)&lt;&gt;V$5),1))+IF(Z1045="",0,IFERROR(--(EOMONTH(Z1045,0)&lt;&gt;Y$5),1))+IF(AC1045="",0,IFERROR(--(EOMONTH(AC1045,0)&lt;&gt;AB$5),1))+IF(AF1045="",0,IFERROR(--(EOMONTH(AF1045,0)&lt;&gt;AE$5),1))+IF(AI1045="",0,IFERROR(--(EOMONTH(AI1045,0)&lt;&gt;AH$5),1))+IF(AL1045="",0,IFERROR(--(EOMONTH(AL1045,0)&lt;&gt;AK$5),1))+IF(AO1045="",0,IFERROR(--(EOMONTH(AO1045,0)&lt;&gt;AN$5),1))+IF(AR1045="",0,IFERROR(--(EOMONTH(AR1045,0)&lt;&gt;AQ$5),1))+IF(AU1045="",0,IFERROR(--(EOMONTH(AU1045,0)&lt;&gt;AT$5),1))+IF(AX1045="",0,IFERROR(--(EOMONTH(AX1045,0)&lt;&gt;AW$5),1))+IF(BA1045="",0,IFERROR(--(EOMONTH(BA1045,0)&lt;&gt;AZ$5),1)))&gt;0,"; An invoice date is not in the month it is typed under",""),3,500))</f>
        <v/>
      </c>
      <c r="S1045" s="12" t="n"/>
      <c r="T1045" s="13" t="n"/>
      <c r="U1045" s="14" t="n"/>
      <c r="V1045" s="12" t="n"/>
      <c r="W1045" s="13" t="n"/>
      <c r="X1045" s="14" t="n"/>
      <c r="Y1045" s="12" t="n"/>
      <c r="Z1045" s="13" t="n"/>
      <c r="AA1045" s="14" t="n"/>
      <c r="AB1045" s="12" t="n"/>
      <c r="AC1045" s="13" t="n"/>
      <c r="AD1045" s="14" t="n"/>
      <c r="AE1045" s="12" t="n"/>
      <c r="AF1045" s="13" t="n"/>
      <c r="AG1045" s="14" t="n"/>
      <c r="AH1045" s="12" t="n"/>
      <c r="AI1045" s="13" t="n"/>
      <c r="AJ1045" s="14" t="n"/>
      <c r="AK1045" s="12" t="n"/>
      <c r="AL1045" s="13" t="n"/>
      <c r="AM1045" s="14" t="n"/>
      <c r="AN1045" s="12" t="n"/>
      <c r="AO1045" s="13" t="n"/>
      <c r="AP1045" s="14" t="n"/>
      <c r="AQ1045" s="12" t="n"/>
      <c r="AR1045" s="13" t="n"/>
      <c r="AS1045" s="14" t="n"/>
      <c r="AT1045" s="12" t="n"/>
      <c r="AU1045" s="13" t="n"/>
      <c r="AV1045" s="14" t="n"/>
      <c r="AW1045" s="12" t="n"/>
      <c r="AX1045" s="13" t="n"/>
      <c r="AY1045" s="14" t="n"/>
      <c r="AZ1045" s="12" t="n"/>
      <c r="BA1045" s="13" t="n"/>
      <c r="BB1045" s="14" t="n"/>
      <c r="BC1045" s="11">
        <f>IF(O1045="","",IF(J1045="GST 10%",ROUND(O1045*set_GSTRate,2),0))</f>
        <v/>
      </c>
      <c r="BD1045" s="11">
        <f>IF(O1045="","",O1045+BC1045)</f>
        <v/>
      </c>
      <c r="BE1045" s="15">
        <f>IF(O1045="","",COUNTA(S1045,V1045,Y1045,AB1045,AE1045,AH1045,AK1045,AN1045,AQ1045,AT1045,AW1045,AZ1045))</f>
        <v/>
      </c>
      <c r="BF1045" s="16">
        <f>IF(COUNT(T1045,W1045,Z1045,AC1045,AF1045,AI1045,AL1045,AO1045,AR1045,AU1045,AX1045,BA1045)=0,"",MAX(T1045,W1045,Z1045,AC1045,AF1045,AI1045,AL1045,AO1045,AR1045,AU1045,AX1045,BA1045))</f>
        <v/>
      </c>
      <c r="BG1045" s="10">
        <f>MID(IF(S1045="","",", "&amp;S1045)&amp;IF(V1045="","",", "&amp;V1045)&amp;IF(Y1045="","",", "&amp;Y1045)&amp;IF(AB1045="","",", "&amp;AB1045)&amp;IF(AE1045="","",", "&amp;AE1045)&amp;IF(AH1045="","",", "&amp;AH1045)&amp;IF(AK1045="","",", "&amp;AK1045)&amp;IF(AN1045="","",", "&amp;AN1045)&amp;IF(AQ1045="","",", "&amp;AQ1045)&amp;IF(AT1045="","",", "&amp;AT1045)&amp;IF(AW1045="","",", "&amp;AW1045)&amp;IF(AZ1045="","",", "&amp;AZ1045),3,500)</f>
        <v/>
      </c>
      <c r="BH1045" s="12" t="n"/>
      <c r="BI1045" s="15">
        <f>IFERROR(MATCH($A1045,IF($B1045="Onsite",tbl_Onsite[Row ID],IF($B1045="Production",tbl_Production[Row ID],tbl_Consulting[Row ID])),0),"")</f>
        <v/>
      </c>
    </row>
    <row r="1046">
      <c r="A1046" s="10" t="inlineStr">
        <is>
          <t>CON-0040</t>
        </is>
      </c>
      <c r="B1046" s="10" t="inlineStr">
        <is>
          <t>Consulting</t>
        </is>
      </c>
      <c r="C1046" s="10">
        <f>IF($BI1046="","",IF($B1046="Onsite",INDEX(tbl_Onsite[Job Number],$BI1046),IF($B1046="Production",INDEX(tbl_Production[Job Number],$BI1046),INDEX(tbl_Consulting[Job Number],$BI1046)))&amp;"")</f>
        <v/>
      </c>
      <c r="D1046" s="10">
        <f>IF($BI1046="","",IF($B1046="Onsite",INDEX(tbl_Onsite[Client],$BI1046),IF($B1046="Production",INDEX(tbl_Production[Client],$BI1046),INDEX(tbl_Consulting[Client],$BI1046)))&amp;"")</f>
        <v/>
      </c>
      <c r="E1046" s="10">
        <f>IF($C1046="","",IF(COUNTIF(lst_Jobs,$C1046)&gt;0,"OK","CHECK"))</f>
        <v/>
      </c>
      <c r="F1046" s="10">
        <f>IF($C1046="","",IFERROR(INDEX(lst_JobName,MATCH($C1046,lst_Jobs,0)),""))</f>
        <v/>
      </c>
      <c r="G1046" s="10">
        <f>IF($BI1046="","",IF($B1046="Onsite",INDEX(tbl_Onsite[Job Description],$BI1046),IF($B1046="Production",INDEX(tbl_Production[Job Description],$BI1046),INDEX(tbl_Consulting[Job Description],$BI1046)))&amp;"")</f>
        <v/>
      </c>
      <c r="H1046" s="10">
        <f>IF($BI1046="","",IF($B1046="Onsite",INDEX(tbl_Onsite[Cost Centre],$BI1046),IF($B1046="Production",INDEX(tbl_Production[Cost Centre],$BI1046),INDEX(tbl_Consulting[Cost Centre],$BI1046)))&amp;"")</f>
        <v/>
      </c>
      <c r="I1046" s="10">
        <f>IF($BI1046="","",IF($B1046="Onsite",INDEX(tbl_Onsite[Invoice Type],$BI1046),IF($B1046="Production",INDEX(tbl_Production[Invoice Type],$BI1046),INDEX(tbl_Consulting[Invoice Type],$BI1046)))&amp;"")</f>
        <v/>
      </c>
      <c r="J1046" s="10">
        <f>IF($BI1046="","",IF($B1046="Onsite",INDEX(tbl_Onsite[Tax Code],$BI1046),IF($B1046="Production",INDEX(tbl_Production[Tax Code],$BI1046),INDEX(tbl_Consulting[Tax Code],$BI1046)))&amp;"")</f>
        <v/>
      </c>
      <c r="K1046" s="10">
        <f>IF(H1046="","",IFERROR(INDEX(lst_CCtoGL,MATCH(H1046,lst_CCforGL,0)),""))</f>
        <v/>
      </c>
      <c r="L1046" s="10">
        <f>IF($BI1046="","",IF($B1046="Onsite",INDEX(tbl_Onsite[PO / Reference],$BI1046),IF($B1046="Production",INDEX(tbl_Production[Current RMS No],$BI1046),INDEX(tbl_Consulting[Qwilr Quote],$BI1046)))&amp;"")</f>
        <v/>
      </c>
      <c r="M1046" s="10">
        <f>IF($BI1046="","",IF($B1046="Onsite",INDEX(tbl_Onsite[Notes],$BI1046),IF($B1046="Production",INDEX(tbl_Production[Notes],$BI1046),INDEX(tbl_Consulting[Notes],$BI1046)))&amp;"")</f>
        <v/>
      </c>
      <c r="N1046" s="11">
        <f>IF($BI1046="","",IF(IF($B1046="Onsite",INDEX(tbl_Onsite[Expected Revenue Ex GST],$BI1046),IF($B1046="Production",INDEX(tbl_Production[Expected Revenue Ex GST],$BI1046),INDEX(tbl_Consulting[Expected Revenue Ex GST],$BI1046)))="","",IF($B1046="Onsite",INDEX(tbl_Onsite[Expected Revenue Ex GST],$BI1046),IF($B1046="Production",INDEX(tbl_Production[Expected Revenue Ex GST],$BI1046),INDEX(tbl_Consulting[Expected Revenue Ex GST],$BI1046)))))</f>
        <v/>
      </c>
      <c r="O1046" s="11">
        <f>IF(AND($C1046="",NOT(COUNTA($S1046:$BB1046)&gt;0)),"",SUM(U1046,X1046,AA1046,AD1046,AG1046,AJ1046,AM1046,AP1046,AS1046,AV1046,AY1046,BB1046))</f>
        <v/>
      </c>
      <c r="P1046" s="11">
        <f>IF(O1046="","",N(N1046)-O1046)</f>
        <v/>
      </c>
      <c r="Q1046" s="10">
        <f>IF(O1046="","",IF($C1046="","Invoice on empty job row",IF(N1046="",IF(ROUND(O1046,2)=0,"No dept value","Invoiced - no dept value"),IF(ROUND(O1046,2)=0,"Not invoiced - to invoice",IF(ROUND(P1046,2)=0,"Agrees",IF(P1046&gt;0,"Dept higher - to invoice","Xero higher - check dept"))))))</f>
        <v/>
      </c>
      <c r="R1046" s="10">
        <f>IF(AND($C1046="",NOT(COUNTA($S1046:$BB1046)&gt;0),$BI1046&lt;&gt;""),"",MID(IF($BI1046="","; Row ID not found on the department sheet - a row was deleted","")&amp;IF(AND($C1046="",COUNTA($S1046:$BB1046)&gt;0),"; Invoice entered but the department row has no job number","")&amp;IF(E1046="CHECK","; Job number not in the Xero job list","")&amp;IF(AND($C1046&lt;&gt;"",COUNTIF($C$7:$C$1506,$C1046)&gt;1),"; Job number on more than one row","")&amp;IF(AND($C1046&lt;&gt;"",H1046=""),"; Dept has not set a cost centre","")&amp;IF(AND($C1046&lt;&gt;"",J1046=""),"; Dept has not set a tax code","")&amp;IF(AND($C1046&lt;&gt;"",N1046=""),"; Dept has not entered an expected value","")&amp;IF((IF(OR(COUNTA(S1046:U1046)=0,AND(COUNTA(S1046:U1046)=3,ISNUMBER(U1046))),0,1)+IF(OR(COUNTA(V1046:X1046)=0,AND(COUNTA(V1046:X1046)=3,ISNUMBER(X1046))),0,1)+IF(OR(COUNTA(Y1046:AA1046)=0,AND(COUNTA(Y1046:AA1046)=3,ISNUMBER(AA1046))),0,1)+IF(OR(COUNTA(AB1046:AD1046)=0,AND(COUNTA(AB1046:AD1046)=3,ISNUMBER(AD1046))),0,1)+IF(OR(COUNTA(AE1046:AG1046)=0,AND(COUNTA(AE1046:AG1046)=3,ISNUMBER(AG1046))),0,1)+IF(OR(COUNTA(AH1046:AJ1046)=0,AND(COUNTA(AH1046:AJ1046)=3,ISNUMBER(AJ1046))),0,1)+IF(OR(COUNTA(AK1046:AM1046)=0,AND(COUNTA(AK1046:AM1046)=3,ISNUMBER(AM1046))),0,1)+IF(OR(COUNTA(AN1046:AP1046)=0,AND(COUNTA(AN1046:AP1046)=3,ISNUMBER(AP1046))),0,1)+IF(OR(COUNTA(AQ1046:AS1046)=0,AND(COUNTA(AQ1046:AS1046)=3,ISNUMBER(AS1046))),0,1)+IF(OR(COUNTA(AT1046:AV1046)=0,AND(COUNTA(AT1046:AV1046)=3,ISNUMBER(AV1046))),0,1)+IF(OR(COUNTA(AW1046:AY1046)=0,AND(COUNTA(AW1046:AY1046)=3,ISNUMBER(AY1046))),0,1)+IF(OR(COUNTA(AZ1046:BB1046)=0,AND(COUNTA(AZ1046:BB1046)=3,ISNUMBER(BB1046))),0,1))&gt;0,"; An invoice is incomplete (needs No, Date and a number in Ex GST)","")&amp;IF((IF(T1046="",0,IFERROR(--(EOMONTH(T1046,0)&lt;&gt;S$5),1))+IF(W1046="",0,IFERROR(--(EOMONTH(W1046,0)&lt;&gt;V$5),1))+IF(Z1046="",0,IFERROR(--(EOMONTH(Z1046,0)&lt;&gt;Y$5),1))+IF(AC1046="",0,IFERROR(--(EOMONTH(AC1046,0)&lt;&gt;AB$5),1))+IF(AF1046="",0,IFERROR(--(EOMONTH(AF1046,0)&lt;&gt;AE$5),1))+IF(AI1046="",0,IFERROR(--(EOMONTH(AI1046,0)&lt;&gt;AH$5),1))+IF(AL1046="",0,IFERROR(--(EOMONTH(AL1046,0)&lt;&gt;AK$5),1))+IF(AO1046="",0,IFERROR(--(EOMONTH(AO1046,0)&lt;&gt;AN$5),1))+IF(AR1046="",0,IFERROR(--(EOMONTH(AR1046,0)&lt;&gt;AQ$5),1))+IF(AU1046="",0,IFERROR(--(EOMONTH(AU1046,0)&lt;&gt;AT$5),1))+IF(AX1046="",0,IFERROR(--(EOMONTH(AX1046,0)&lt;&gt;AW$5),1))+IF(BA1046="",0,IFERROR(--(EOMONTH(BA1046,0)&lt;&gt;AZ$5),1)))&gt;0,"; An invoice date is not in the month it is typed under",""),3,500))</f>
        <v/>
      </c>
      <c r="S1046" s="12" t="n"/>
      <c r="T1046" s="13" t="n"/>
      <c r="U1046" s="14" t="n"/>
      <c r="V1046" s="12" t="n"/>
      <c r="W1046" s="13" t="n"/>
      <c r="X1046" s="14" t="n"/>
      <c r="Y1046" s="12" t="n"/>
      <c r="Z1046" s="13" t="n"/>
      <c r="AA1046" s="14" t="n"/>
      <c r="AB1046" s="12" t="n"/>
      <c r="AC1046" s="13" t="n"/>
      <c r="AD1046" s="14" t="n"/>
      <c r="AE1046" s="12" t="n"/>
      <c r="AF1046" s="13" t="n"/>
      <c r="AG1046" s="14" t="n"/>
      <c r="AH1046" s="12" t="n"/>
      <c r="AI1046" s="13" t="n"/>
      <c r="AJ1046" s="14" t="n"/>
      <c r="AK1046" s="12" t="n"/>
      <c r="AL1046" s="13" t="n"/>
      <c r="AM1046" s="14" t="n"/>
      <c r="AN1046" s="12" t="n"/>
      <c r="AO1046" s="13" t="n"/>
      <c r="AP1046" s="14" t="n"/>
      <c r="AQ1046" s="12" t="n"/>
      <c r="AR1046" s="13" t="n"/>
      <c r="AS1046" s="14" t="n"/>
      <c r="AT1046" s="12" t="n"/>
      <c r="AU1046" s="13" t="n"/>
      <c r="AV1046" s="14" t="n"/>
      <c r="AW1046" s="12" t="n"/>
      <c r="AX1046" s="13" t="n"/>
      <c r="AY1046" s="14" t="n"/>
      <c r="AZ1046" s="12" t="n"/>
      <c r="BA1046" s="13" t="n"/>
      <c r="BB1046" s="14" t="n"/>
      <c r="BC1046" s="11">
        <f>IF(O1046="","",IF(J1046="GST 10%",ROUND(O1046*set_GSTRate,2),0))</f>
        <v/>
      </c>
      <c r="BD1046" s="11">
        <f>IF(O1046="","",O1046+BC1046)</f>
        <v/>
      </c>
      <c r="BE1046" s="15">
        <f>IF(O1046="","",COUNTA(S1046,V1046,Y1046,AB1046,AE1046,AH1046,AK1046,AN1046,AQ1046,AT1046,AW1046,AZ1046))</f>
        <v/>
      </c>
      <c r="BF1046" s="16">
        <f>IF(COUNT(T1046,W1046,Z1046,AC1046,AF1046,AI1046,AL1046,AO1046,AR1046,AU1046,AX1046,BA1046)=0,"",MAX(T1046,W1046,Z1046,AC1046,AF1046,AI1046,AL1046,AO1046,AR1046,AU1046,AX1046,BA1046))</f>
        <v/>
      </c>
      <c r="BG1046" s="10">
        <f>MID(IF(S1046="","",", "&amp;S1046)&amp;IF(V1046="","",", "&amp;V1046)&amp;IF(Y1046="","",", "&amp;Y1046)&amp;IF(AB1046="","",", "&amp;AB1046)&amp;IF(AE1046="","",", "&amp;AE1046)&amp;IF(AH1046="","",", "&amp;AH1046)&amp;IF(AK1046="","",", "&amp;AK1046)&amp;IF(AN1046="","",", "&amp;AN1046)&amp;IF(AQ1046="","",", "&amp;AQ1046)&amp;IF(AT1046="","",", "&amp;AT1046)&amp;IF(AW1046="","",", "&amp;AW1046)&amp;IF(AZ1046="","",", "&amp;AZ1046),3,500)</f>
        <v/>
      </c>
      <c r="BH1046" s="12" t="n"/>
      <c r="BI1046" s="15">
        <f>IFERROR(MATCH($A1046,IF($B1046="Onsite",tbl_Onsite[Row ID],IF($B1046="Production",tbl_Production[Row ID],tbl_Consulting[Row ID])),0),"")</f>
        <v/>
      </c>
    </row>
    <row r="1047">
      <c r="A1047" s="10" t="inlineStr">
        <is>
          <t>CON-0041</t>
        </is>
      </c>
      <c r="B1047" s="10" t="inlineStr">
        <is>
          <t>Consulting</t>
        </is>
      </c>
      <c r="C1047" s="10">
        <f>IF($BI1047="","",IF($B1047="Onsite",INDEX(tbl_Onsite[Job Number],$BI1047),IF($B1047="Production",INDEX(tbl_Production[Job Number],$BI1047),INDEX(tbl_Consulting[Job Number],$BI1047)))&amp;"")</f>
        <v/>
      </c>
      <c r="D1047" s="10">
        <f>IF($BI1047="","",IF($B1047="Onsite",INDEX(tbl_Onsite[Client],$BI1047),IF($B1047="Production",INDEX(tbl_Production[Client],$BI1047),INDEX(tbl_Consulting[Client],$BI1047)))&amp;"")</f>
        <v/>
      </c>
      <c r="E1047" s="10">
        <f>IF($C1047="","",IF(COUNTIF(lst_Jobs,$C1047)&gt;0,"OK","CHECK"))</f>
        <v/>
      </c>
      <c r="F1047" s="10">
        <f>IF($C1047="","",IFERROR(INDEX(lst_JobName,MATCH($C1047,lst_Jobs,0)),""))</f>
        <v/>
      </c>
      <c r="G1047" s="10">
        <f>IF($BI1047="","",IF($B1047="Onsite",INDEX(tbl_Onsite[Job Description],$BI1047),IF($B1047="Production",INDEX(tbl_Production[Job Description],$BI1047),INDEX(tbl_Consulting[Job Description],$BI1047)))&amp;"")</f>
        <v/>
      </c>
      <c r="H1047" s="10">
        <f>IF($BI1047="","",IF($B1047="Onsite",INDEX(tbl_Onsite[Cost Centre],$BI1047),IF($B1047="Production",INDEX(tbl_Production[Cost Centre],$BI1047),INDEX(tbl_Consulting[Cost Centre],$BI1047)))&amp;"")</f>
        <v/>
      </c>
      <c r="I1047" s="10">
        <f>IF($BI1047="","",IF($B1047="Onsite",INDEX(tbl_Onsite[Invoice Type],$BI1047),IF($B1047="Production",INDEX(tbl_Production[Invoice Type],$BI1047),INDEX(tbl_Consulting[Invoice Type],$BI1047)))&amp;"")</f>
        <v/>
      </c>
      <c r="J1047" s="10">
        <f>IF($BI1047="","",IF($B1047="Onsite",INDEX(tbl_Onsite[Tax Code],$BI1047),IF($B1047="Production",INDEX(tbl_Production[Tax Code],$BI1047),INDEX(tbl_Consulting[Tax Code],$BI1047)))&amp;"")</f>
        <v/>
      </c>
      <c r="K1047" s="10">
        <f>IF(H1047="","",IFERROR(INDEX(lst_CCtoGL,MATCH(H1047,lst_CCforGL,0)),""))</f>
        <v/>
      </c>
      <c r="L1047" s="10">
        <f>IF($BI1047="","",IF($B1047="Onsite",INDEX(tbl_Onsite[PO / Reference],$BI1047),IF($B1047="Production",INDEX(tbl_Production[Current RMS No],$BI1047),INDEX(tbl_Consulting[Qwilr Quote],$BI1047)))&amp;"")</f>
        <v/>
      </c>
      <c r="M1047" s="10">
        <f>IF($BI1047="","",IF($B1047="Onsite",INDEX(tbl_Onsite[Notes],$BI1047),IF($B1047="Production",INDEX(tbl_Production[Notes],$BI1047),INDEX(tbl_Consulting[Notes],$BI1047)))&amp;"")</f>
        <v/>
      </c>
      <c r="N1047" s="11">
        <f>IF($BI1047="","",IF(IF($B1047="Onsite",INDEX(tbl_Onsite[Expected Revenue Ex GST],$BI1047),IF($B1047="Production",INDEX(tbl_Production[Expected Revenue Ex GST],$BI1047),INDEX(tbl_Consulting[Expected Revenue Ex GST],$BI1047)))="","",IF($B1047="Onsite",INDEX(tbl_Onsite[Expected Revenue Ex GST],$BI1047),IF($B1047="Production",INDEX(tbl_Production[Expected Revenue Ex GST],$BI1047),INDEX(tbl_Consulting[Expected Revenue Ex GST],$BI1047)))))</f>
        <v/>
      </c>
      <c r="O1047" s="11">
        <f>IF(AND($C1047="",NOT(COUNTA($S1047:$BB1047)&gt;0)),"",SUM(U1047,X1047,AA1047,AD1047,AG1047,AJ1047,AM1047,AP1047,AS1047,AV1047,AY1047,BB1047))</f>
        <v/>
      </c>
      <c r="P1047" s="11">
        <f>IF(O1047="","",N(N1047)-O1047)</f>
        <v/>
      </c>
      <c r="Q1047" s="10">
        <f>IF(O1047="","",IF($C1047="","Invoice on empty job row",IF(N1047="",IF(ROUND(O1047,2)=0,"No dept value","Invoiced - no dept value"),IF(ROUND(O1047,2)=0,"Not invoiced - to invoice",IF(ROUND(P1047,2)=0,"Agrees",IF(P1047&gt;0,"Dept higher - to invoice","Xero higher - check dept"))))))</f>
        <v/>
      </c>
      <c r="R1047" s="10">
        <f>IF(AND($C1047="",NOT(COUNTA($S1047:$BB1047)&gt;0),$BI1047&lt;&gt;""),"",MID(IF($BI1047="","; Row ID not found on the department sheet - a row was deleted","")&amp;IF(AND($C1047="",COUNTA($S1047:$BB1047)&gt;0),"; Invoice entered but the department row has no job number","")&amp;IF(E1047="CHECK","; Job number not in the Xero job list","")&amp;IF(AND($C1047&lt;&gt;"",COUNTIF($C$7:$C$1506,$C1047)&gt;1),"; Job number on more than one row","")&amp;IF(AND($C1047&lt;&gt;"",H1047=""),"; Dept has not set a cost centre","")&amp;IF(AND($C1047&lt;&gt;"",J1047=""),"; Dept has not set a tax code","")&amp;IF(AND($C1047&lt;&gt;"",N1047=""),"; Dept has not entered an expected value","")&amp;IF((IF(OR(COUNTA(S1047:U1047)=0,AND(COUNTA(S1047:U1047)=3,ISNUMBER(U1047))),0,1)+IF(OR(COUNTA(V1047:X1047)=0,AND(COUNTA(V1047:X1047)=3,ISNUMBER(X1047))),0,1)+IF(OR(COUNTA(Y1047:AA1047)=0,AND(COUNTA(Y1047:AA1047)=3,ISNUMBER(AA1047))),0,1)+IF(OR(COUNTA(AB1047:AD1047)=0,AND(COUNTA(AB1047:AD1047)=3,ISNUMBER(AD1047))),0,1)+IF(OR(COUNTA(AE1047:AG1047)=0,AND(COUNTA(AE1047:AG1047)=3,ISNUMBER(AG1047))),0,1)+IF(OR(COUNTA(AH1047:AJ1047)=0,AND(COUNTA(AH1047:AJ1047)=3,ISNUMBER(AJ1047))),0,1)+IF(OR(COUNTA(AK1047:AM1047)=0,AND(COUNTA(AK1047:AM1047)=3,ISNUMBER(AM1047))),0,1)+IF(OR(COUNTA(AN1047:AP1047)=0,AND(COUNTA(AN1047:AP1047)=3,ISNUMBER(AP1047))),0,1)+IF(OR(COUNTA(AQ1047:AS1047)=0,AND(COUNTA(AQ1047:AS1047)=3,ISNUMBER(AS1047))),0,1)+IF(OR(COUNTA(AT1047:AV1047)=0,AND(COUNTA(AT1047:AV1047)=3,ISNUMBER(AV1047))),0,1)+IF(OR(COUNTA(AW1047:AY1047)=0,AND(COUNTA(AW1047:AY1047)=3,ISNUMBER(AY1047))),0,1)+IF(OR(COUNTA(AZ1047:BB1047)=0,AND(COUNTA(AZ1047:BB1047)=3,ISNUMBER(BB1047))),0,1))&gt;0,"; An invoice is incomplete (needs No, Date and a number in Ex GST)","")&amp;IF((IF(T1047="",0,IFERROR(--(EOMONTH(T1047,0)&lt;&gt;S$5),1))+IF(W1047="",0,IFERROR(--(EOMONTH(W1047,0)&lt;&gt;V$5),1))+IF(Z1047="",0,IFERROR(--(EOMONTH(Z1047,0)&lt;&gt;Y$5),1))+IF(AC1047="",0,IFERROR(--(EOMONTH(AC1047,0)&lt;&gt;AB$5),1))+IF(AF1047="",0,IFERROR(--(EOMONTH(AF1047,0)&lt;&gt;AE$5),1))+IF(AI1047="",0,IFERROR(--(EOMONTH(AI1047,0)&lt;&gt;AH$5),1))+IF(AL1047="",0,IFERROR(--(EOMONTH(AL1047,0)&lt;&gt;AK$5),1))+IF(AO1047="",0,IFERROR(--(EOMONTH(AO1047,0)&lt;&gt;AN$5),1))+IF(AR1047="",0,IFERROR(--(EOMONTH(AR1047,0)&lt;&gt;AQ$5),1))+IF(AU1047="",0,IFERROR(--(EOMONTH(AU1047,0)&lt;&gt;AT$5),1))+IF(AX1047="",0,IFERROR(--(EOMONTH(AX1047,0)&lt;&gt;AW$5),1))+IF(BA1047="",0,IFERROR(--(EOMONTH(BA1047,0)&lt;&gt;AZ$5),1)))&gt;0,"; An invoice date is not in the month it is typed under",""),3,500))</f>
        <v/>
      </c>
      <c r="S1047" s="12" t="n"/>
      <c r="T1047" s="13" t="n"/>
      <c r="U1047" s="14" t="n"/>
      <c r="V1047" s="12" t="n"/>
      <c r="W1047" s="13" t="n"/>
      <c r="X1047" s="14" t="n"/>
      <c r="Y1047" s="12" t="n"/>
      <c r="Z1047" s="13" t="n"/>
      <c r="AA1047" s="14" t="n"/>
      <c r="AB1047" s="12" t="n"/>
      <c r="AC1047" s="13" t="n"/>
      <c r="AD1047" s="14" t="n"/>
      <c r="AE1047" s="12" t="n"/>
      <c r="AF1047" s="13" t="n"/>
      <c r="AG1047" s="14" t="n"/>
      <c r="AH1047" s="12" t="n"/>
      <c r="AI1047" s="13" t="n"/>
      <c r="AJ1047" s="14" t="n"/>
      <c r="AK1047" s="12" t="n"/>
      <c r="AL1047" s="13" t="n"/>
      <c r="AM1047" s="14" t="n"/>
      <c r="AN1047" s="12" t="n"/>
      <c r="AO1047" s="13" t="n"/>
      <c r="AP1047" s="14" t="n"/>
      <c r="AQ1047" s="12" t="n"/>
      <c r="AR1047" s="13" t="n"/>
      <c r="AS1047" s="14" t="n"/>
      <c r="AT1047" s="12" t="n"/>
      <c r="AU1047" s="13" t="n"/>
      <c r="AV1047" s="14" t="n"/>
      <c r="AW1047" s="12" t="n"/>
      <c r="AX1047" s="13" t="n"/>
      <c r="AY1047" s="14" t="n"/>
      <c r="AZ1047" s="12" t="n"/>
      <c r="BA1047" s="13" t="n"/>
      <c r="BB1047" s="14" t="n"/>
      <c r="BC1047" s="11">
        <f>IF(O1047="","",IF(J1047="GST 10%",ROUND(O1047*set_GSTRate,2),0))</f>
        <v/>
      </c>
      <c r="BD1047" s="11">
        <f>IF(O1047="","",O1047+BC1047)</f>
        <v/>
      </c>
      <c r="BE1047" s="15">
        <f>IF(O1047="","",COUNTA(S1047,V1047,Y1047,AB1047,AE1047,AH1047,AK1047,AN1047,AQ1047,AT1047,AW1047,AZ1047))</f>
        <v/>
      </c>
      <c r="BF1047" s="16">
        <f>IF(COUNT(T1047,W1047,Z1047,AC1047,AF1047,AI1047,AL1047,AO1047,AR1047,AU1047,AX1047,BA1047)=0,"",MAX(T1047,W1047,Z1047,AC1047,AF1047,AI1047,AL1047,AO1047,AR1047,AU1047,AX1047,BA1047))</f>
        <v/>
      </c>
      <c r="BG1047" s="10">
        <f>MID(IF(S1047="","",", "&amp;S1047)&amp;IF(V1047="","",", "&amp;V1047)&amp;IF(Y1047="","",", "&amp;Y1047)&amp;IF(AB1047="","",", "&amp;AB1047)&amp;IF(AE1047="","",", "&amp;AE1047)&amp;IF(AH1047="","",", "&amp;AH1047)&amp;IF(AK1047="","",", "&amp;AK1047)&amp;IF(AN1047="","",", "&amp;AN1047)&amp;IF(AQ1047="","",", "&amp;AQ1047)&amp;IF(AT1047="","",", "&amp;AT1047)&amp;IF(AW1047="","",", "&amp;AW1047)&amp;IF(AZ1047="","",", "&amp;AZ1047),3,500)</f>
        <v/>
      </c>
      <c r="BH1047" s="12" t="n"/>
      <c r="BI1047" s="15">
        <f>IFERROR(MATCH($A1047,IF($B1047="Onsite",tbl_Onsite[Row ID],IF($B1047="Production",tbl_Production[Row ID],tbl_Consulting[Row ID])),0),"")</f>
        <v/>
      </c>
    </row>
    <row r="1048">
      <c r="A1048" s="10" t="inlineStr">
        <is>
          <t>CON-0042</t>
        </is>
      </c>
      <c r="B1048" s="10" t="inlineStr">
        <is>
          <t>Consulting</t>
        </is>
      </c>
      <c r="C1048" s="10">
        <f>IF($BI1048="","",IF($B1048="Onsite",INDEX(tbl_Onsite[Job Number],$BI1048),IF($B1048="Production",INDEX(tbl_Production[Job Number],$BI1048),INDEX(tbl_Consulting[Job Number],$BI1048)))&amp;"")</f>
        <v/>
      </c>
      <c r="D1048" s="10">
        <f>IF($BI1048="","",IF($B1048="Onsite",INDEX(tbl_Onsite[Client],$BI1048),IF($B1048="Production",INDEX(tbl_Production[Client],$BI1048),INDEX(tbl_Consulting[Client],$BI1048)))&amp;"")</f>
        <v/>
      </c>
      <c r="E1048" s="10">
        <f>IF($C1048="","",IF(COUNTIF(lst_Jobs,$C1048)&gt;0,"OK","CHECK"))</f>
        <v/>
      </c>
      <c r="F1048" s="10">
        <f>IF($C1048="","",IFERROR(INDEX(lst_JobName,MATCH($C1048,lst_Jobs,0)),""))</f>
        <v/>
      </c>
      <c r="G1048" s="10">
        <f>IF($BI1048="","",IF($B1048="Onsite",INDEX(tbl_Onsite[Job Description],$BI1048),IF($B1048="Production",INDEX(tbl_Production[Job Description],$BI1048),INDEX(tbl_Consulting[Job Description],$BI1048)))&amp;"")</f>
        <v/>
      </c>
      <c r="H1048" s="10">
        <f>IF($BI1048="","",IF($B1048="Onsite",INDEX(tbl_Onsite[Cost Centre],$BI1048),IF($B1048="Production",INDEX(tbl_Production[Cost Centre],$BI1048),INDEX(tbl_Consulting[Cost Centre],$BI1048)))&amp;"")</f>
        <v/>
      </c>
      <c r="I1048" s="10">
        <f>IF($BI1048="","",IF($B1048="Onsite",INDEX(tbl_Onsite[Invoice Type],$BI1048),IF($B1048="Production",INDEX(tbl_Production[Invoice Type],$BI1048),INDEX(tbl_Consulting[Invoice Type],$BI1048)))&amp;"")</f>
        <v/>
      </c>
      <c r="J1048" s="10">
        <f>IF($BI1048="","",IF($B1048="Onsite",INDEX(tbl_Onsite[Tax Code],$BI1048),IF($B1048="Production",INDEX(tbl_Production[Tax Code],$BI1048),INDEX(tbl_Consulting[Tax Code],$BI1048)))&amp;"")</f>
        <v/>
      </c>
      <c r="K1048" s="10">
        <f>IF(H1048="","",IFERROR(INDEX(lst_CCtoGL,MATCH(H1048,lst_CCforGL,0)),""))</f>
        <v/>
      </c>
      <c r="L1048" s="10">
        <f>IF($BI1048="","",IF($B1048="Onsite",INDEX(tbl_Onsite[PO / Reference],$BI1048),IF($B1048="Production",INDEX(tbl_Production[Current RMS No],$BI1048),INDEX(tbl_Consulting[Qwilr Quote],$BI1048)))&amp;"")</f>
        <v/>
      </c>
      <c r="M1048" s="10">
        <f>IF($BI1048="","",IF($B1048="Onsite",INDEX(tbl_Onsite[Notes],$BI1048),IF($B1048="Production",INDEX(tbl_Production[Notes],$BI1048),INDEX(tbl_Consulting[Notes],$BI1048)))&amp;"")</f>
        <v/>
      </c>
      <c r="N1048" s="11">
        <f>IF($BI1048="","",IF(IF($B1048="Onsite",INDEX(tbl_Onsite[Expected Revenue Ex GST],$BI1048),IF($B1048="Production",INDEX(tbl_Production[Expected Revenue Ex GST],$BI1048),INDEX(tbl_Consulting[Expected Revenue Ex GST],$BI1048)))="","",IF($B1048="Onsite",INDEX(tbl_Onsite[Expected Revenue Ex GST],$BI1048),IF($B1048="Production",INDEX(tbl_Production[Expected Revenue Ex GST],$BI1048),INDEX(tbl_Consulting[Expected Revenue Ex GST],$BI1048)))))</f>
        <v/>
      </c>
      <c r="O1048" s="11">
        <f>IF(AND($C1048="",NOT(COUNTA($S1048:$BB1048)&gt;0)),"",SUM(U1048,X1048,AA1048,AD1048,AG1048,AJ1048,AM1048,AP1048,AS1048,AV1048,AY1048,BB1048))</f>
        <v/>
      </c>
      <c r="P1048" s="11">
        <f>IF(O1048="","",N(N1048)-O1048)</f>
        <v/>
      </c>
      <c r="Q1048" s="10">
        <f>IF(O1048="","",IF($C1048="","Invoice on empty job row",IF(N1048="",IF(ROUND(O1048,2)=0,"No dept value","Invoiced - no dept value"),IF(ROUND(O1048,2)=0,"Not invoiced - to invoice",IF(ROUND(P1048,2)=0,"Agrees",IF(P1048&gt;0,"Dept higher - to invoice","Xero higher - check dept"))))))</f>
        <v/>
      </c>
      <c r="R1048" s="10">
        <f>IF(AND($C1048="",NOT(COUNTA($S1048:$BB1048)&gt;0),$BI1048&lt;&gt;""),"",MID(IF($BI1048="","; Row ID not found on the department sheet - a row was deleted","")&amp;IF(AND($C1048="",COUNTA($S1048:$BB1048)&gt;0),"; Invoice entered but the department row has no job number","")&amp;IF(E1048="CHECK","; Job number not in the Xero job list","")&amp;IF(AND($C1048&lt;&gt;"",COUNTIF($C$7:$C$1506,$C1048)&gt;1),"; Job number on more than one row","")&amp;IF(AND($C1048&lt;&gt;"",H1048=""),"; Dept has not set a cost centre","")&amp;IF(AND($C1048&lt;&gt;"",J1048=""),"; Dept has not set a tax code","")&amp;IF(AND($C1048&lt;&gt;"",N1048=""),"; Dept has not entered an expected value","")&amp;IF((IF(OR(COUNTA(S1048:U1048)=0,AND(COUNTA(S1048:U1048)=3,ISNUMBER(U1048))),0,1)+IF(OR(COUNTA(V1048:X1048)=0,AND(COUNTA(V1048:X1048)=3,ISNUMBER(X1048))),0,1)+IF(OR(COUNTA(Y1048:AA1048)=0,AND(COUNTA(Y1048:AA1048)=3,ISNUMBER(AA1048))),0,1)+IF(OR(COUNTA(AB1048:AD1048)=0,AND(COUNTA(AB1048:AD1048)=3,ISNUMBER(AD1048))),0,1)+IF(OR(COUNTA(AE1048:AG1048)=0,AND(COUNTA(AE1048:AG1048)=3,ISNUMBER(AG1048))),0,1)+IF(OR(COUNTA(AH1048:AJ1048)=0,AND(COUNTA(AH1048:AJ1048)=3,ISNUMBER(AJ1048))),0,1)+IF(OR(COUNTA(AK1048:AM1048)=0,AND(COUNTA(AK1048:AM1048)=3,ISNUMBER(AM1048))),0,1)+IF(OR(COUNTA(AN1048:AP1048)=0,AND(COUNTA(AN1048:AP1048)=3,ISNUMBER(AP1048))),0,1)+IF(OR(COUNTA(AQ1048:AS1048)=0,AND(COUNTA(AQ1048:AS1048)=3,ISNUMBER(AS1048))),0,1)+IF(OR(COUNTA(AT1048:AV1048)=0,AND(COUNTA(AT1048:AV1048)=3,ISNUMBER(AV1048))),0,1)+IF(OR(COUNTA(AW1048:AY1048)=0,AND(COUNTA(AW1048:AY1048)=3,ISNUMBER(AY1048))),0,1)+IF(OR(COUNTA(AZ1048:BB1048)=0,AND(COUNTA(AZ1048:BB1048)=3,ISNUMBER(BB1048))),0,1))&gt;0,"; An invoice is incomplete (needs No, Date and a number in Ex GST)","")&amp;IF((IF(T1048="",0,IFERROR(--(EOMONTH(T1048,0)&lt;&gt;S$5),1))+IF(W1048="",0,IFERROR(--(EOMONTH(W1048,0)&lt;&gt;V$5),1))+IF(Z1048="",0,IFERROR(--(EOMONTH(Z1048,0)&lt;&gt;Y$5),1))+IF(AC1048="",0,IFERROR(--(EOMONTH(AC1048,0)&lt;&gt;AB$5),1))+IF(AF1048="",0,IFERROR(--(EOMONTH(AF1048,0)&lt;&gt;AE$5),1))+IF(AI1048="",0,IFERROR(--(EOMONTH(AI1048,0)&lt;&gt;AH$5),1))+IF(AL1048="",0,IFERROR(--(EOMONTH(AL1048,0)&lt;&gt;AK$5),1))+IF(AO1048="",0,IFERROR(--(EOMONTH(AO1048,0)&lt;&gt;AN$5),1))+IF(AR1048="",0,IFERROR(--(EOMONTH(AR1048,0)&lt;&gt;AQ$5),1))+IF(AU1048="",0,IFERROR(--(EOMONTH(AU1048,0)&lt;&gt;AT$5),1))+IF(AX1048="",0,IFERROR(--(EOMONTH(AX1048,0)&lt;&gt;AW$5),1))+IF(BA1048="",0,IFERROR(--(EOMONTH(BA1048,0)&lt;&gt;AZ$5),1)))&gt;0,"; An invoice date is not in the month it is typed under",""),3,500))</f>
        <v/>
      </c>
      <c r="S1048" s="12" t="n"/>
      <c r="T1048" s="13" t="n"/>
      <c r="U1048" s="14" t="n"/>
      <c r="V1048" s="12" t="n"/>
      <c r="W1048" s="13" t="n"/>
      <c r="X1048" s="14" t="n"/>
      <c r="Y1048" s="12" t="n"/>
      <c r="Z1048" s="13" t="n"/>
      <c r="AA1048" s="14" t="n"/>
      <c r="AB1048" s="12" t="n"/>
      <c r="AC1048" s="13" t="n"/>
      <c r="AD1048" s="14" t="n"/>
      <c r="AE1048" s="12" t="n"/>
      <c r="AF1048" s="13" t="n"/>
      <c r="AG1048" s="14" t="n"/>
      <c r="AH1048" s="12" t="n"/>
      <c r="AI1048" s="13" t="n"/>
      <c r="AJ1048" s="14" t="n"/>
      <c r="AK1048" s="12" t="n"/>
      <c r="AL1048" s="13" t="n"/>
      <c r="AM1048" s="14" t="n"/>
      <c r="AN1048" s="12" t="n"/>
      <c r="AO1048" s="13" t="n"/>
      <c r="AP1048" s="14" t="n"/>
      <c r="AQ1048" s="12" t="n"/>
      <c r="AR1048" s="13" t="n"/>
      <c r="AS1048" s="14" t="n"/>
      <c r="AT1048" s="12" t="n"/>
      <c r="AU1048" s="13" t="n"/>
      <c r="AV1048" s="14" t="n"/>
      <c r="AW1048" s="12" t="n"/>
      <c r="AX1048" s="13" t="n"/>
      <c r="AY1048" s="14" t="n"/>
      <c r="AZ1048" s="12" t="n"/>
      <c r="BA1048" s="13" t="n"/>
      <c r="BB1048" s="14" t="n"/>
      <c r="BC1048" s="11">
        <f>IF(O1048="","",IF(J1048="GST 10%",ROUND(O1048*set_GSTRate,2),0))</f>
        <v/>
      </c>
      <c r="BD1048" s="11">
        <f>IF(O1048="","",O1048+BC1048)</f>
        <v/>
      </c>
      <c r="BE1048" s="15">
        <f>IF(O1048="","",COUNTA(S1048,V1048,Y1048,AB1048,AE1048,AH1048,AK1048,AN1048,AQ1048,AT1048,AW1048,AZ1048))</f>
        <v/>
      </c>
      <c r="BF1048" s="16">
        <f>IF(COUNT(T1048,W1048,Z1048,AC1048,AF1048,AI1048,AL1048,AO1048,AR1048,AU1048,AX1048,BA1048)=0,"",MAX(T1048,W1048,Z1048,AC1048,AF1048,AI1048,AL1048,AO1048,AR1048,AU1048,AX1048,BA1048))</f>
        <v/>
      </c>
      <c r="BG1048" s="10">
        <f>MID(IF(S1048="","",", "&amp;S1048)&amp;IF(V1048="","",", "&amp;V1048)&amp;IF(Y1048="","",", "&amp;Y1048)&amp;IF(AB1048="","",", "&amp;AB1048)&amp;IF(AE1048="","",", "&amp;AE1048)&amp;IF(AH1048="","",", "&amp;AH1048)&amp;IF(AK1048="","",", "&amp;AK1048)&amp;IF(AN1048="","",", "&amp;AN1048)&amp;IF(AQ1048="","",", "&amp;AQ1048)&amp;IF(AT1048="","",", "&amp;AT1048)&amp;IF(AW1048="","",", "&amp;AW1048)&amp;IF(AZ1048="","",", "&amp;AZ1048),3,500)</f>
        <v/>
      </c>
      <c r="BH1048" s="12" t="n"/>
      <c r="BI1048" s="15">
        <f>IFERROR(MATCH($A1048,IF($B1048="Onsite",tbl_Onsite[Row ID],IF($B1048="Production",tbl_Production[Row ID],tbl_Consulting[Row ID])),0),"")</f>
        <v/>
      </c>
    </row>
    <row r="1049">
      <c r="A1049" s="10" t="inlineStr">
        <is>
          <t>CON-0043</t>
        </is>
      </c>
      <c r="B1049" s="10" t="inlineStr">
        <is>
          <t>Consulting</t>
        </is>
      </c>
      <c r="C1049" s="10">
        <f>IF($BI1049="","",IF($B1049="Onsite",INDEX(tbl_Onsite[Job Number],$BI1049),IF($B1049="Production",INDEX(tbl_Production[Job Number],$BI1049),INDEX(tbl_Consulting[Job Number],$BI1049)))&amp;"")</f>
        <v/>
      </c>
      <c r="D1049" s="10">
        <f>IF($BI1049="","",IF($B1049="Onsite",INDEX(tbl_Onsite[Client],$BI1049),IF($B1049="Production",INDEX(tbl_Production[Client],$BI1049),INDEX(tbl_Consulting[Client],$BI1049)))&amp;"")</f>
        <v/>
      </c>
      <c r="E1049" s="10">
        <f>IF($C1049="","",IF(COUNTIF(lst_Jobs,$C1049)&gt;0,"OK","CHECK"))</f>
        <v/>
      </c>
      <c r="F1049" s="10">
        <f>IF($C1049="","",IFERROR(INDEX(lst_JobName,MATCH($C1049,lst_Jobs,0)),""))</f>
        <v/>
      </c>
      <c r="G1049" s="10">
        <f>IF($BI1049="","",IF($B1049="Onsite",INDEX(tbl_Onsite[Job Description],$BI1049),IF($B1049="Production",INDEX(tbl_Production[Job Description],$BI1049),INDEX(tbl_Consulting[Job Description],$BI1049)))&amp;"")</f>
        <v/>
      </c>
      <c r="H1049" s="10">
        <f>IF($BI1049="","",IF($B1049="Onsite",INDEX(tbl_Onsite[Cost Centre],$BI1049),IF($B1049="Production",INDEX(tbl_Production[Cost Centre],$BI1049),INDEX(tbl_Consulting[Cost Centre],$BI1049)))&amp;"")</f>
        <v/>
      </c>
      <c r="I1049" s="10">
        <f>IF($BI1049="","",IF($B1049="Onsite",INDEX(tbl_Onsite[Invoice Type],$BI1049),IF($B1049="Production",INDEX(tbl_Production[Invoice Type],$BI1049),INDEX(tbl_Consulting[Invoice Type],$BI1049)))&amp;"")</f>
        <v/>
      </c>
      <c r="J1049" s="10">
        <f>IF($BI1049="","",IF($B1049="Onsite",INDEX(tbl_Onsite[Tax Code],$BI1049),IF($B1049="Production",INDEX(tbl_Production[Tax Code],$BI1049),INDEX(tbl_Consulting[Tax Code],$BI1049)))&amp;"")</f>
        <v/>
      </c>
      <c r="K1049" s="10">
        <f>IF(H1049="","",IFERROR(INDEX(lst_CCtoGL,MATCH(H1049,lst_CCforGL,0)),""))</f>
        <v/>
      </c>
      <c r="L1049" s="10">
        <f>IF($BI1049="","",IF($B1049="Onsite",INDEX(tbl_Onsite[PO / Reference],$BI1049),IF($B1049="Production",INDEX(tbl_Production[Current RMS No],$BI1049),INDEX(tbl_Consulting[Qwilr Quote],$BI1049)))&amp;"")</f>
        <v/>
      </c>
      <c r="M1049" s="10">
        <f>IF($BI1049="","",IF($B1049="Onsite",INDEX(tbl_Onsite[Notes],$BI1049),IF($B1049="Production",INDEX(tbl_Production[Notes],$BI1049),INDEX(tbl_Consulting[Notes],$BI1049)))&amp;"")</f>
        <v/>
      </c>
      <c r="N1049" s="11">
        <f>IF($BI1049="","",IF(IF($B1049="Onsite",INDEX(tbl_Onsite[Expected Revenue Ex GST],$BI1049),IF($B1049="Production",INDEX(tbl_Production[Expected Revenue Ex GST],$BI1049),INDEX(tbl_Consulting[Expected Revenue Ex GST],$BI1049)))="","",IF($B1049="Onsite",INDEX(tbl_Onsite[Expected Revenue Ex GST],$BI1049),IF($B1049="Production",INDEX(tbl_Production[Expected Revenue Ex GST],$BI1049),INDEX(tbl_Consulting[Expected Revenue Ex GST],$BI1049)))))</f>
        <v/>
      </c>
      <c r="O1049" s="11">
        <f>IF(AND($C1049="",NOT(COUNTA($S1049:$BB1049)&gt;0)),"",SUM(U1049,X1049,AA1049,AD1049,AG1049,AJ1049,AM1049,AP1049,AS1049,AV1049,AY1049,BB1049))</f>
        <v/>
      </c>
      <c r="P1049" s="11">
        <f>IF(O1049="","",N(N1049)-O1049)</f>
        <v/>
      </c>
      <c r="Q1049" s="10">
        <f>IF(O1049="","",IF($C1049="","Invoice on empty job row",IF(N1049="",IF(ROUND(O1049,2)=0,"No dept value","Invoiced - no dept value"),IF(ROUND(O1049,2)=0,"Not invoiced - to invoice",IF(ROUND(P1049,2)=0,"Agrees",IF(P1049&gt;0,"Dept higher - to invoice","Xero higher - check dept"))))))</f>
        <v/>
      </c>
      <c r="R1049" s="10">
        <f>IF(AND($C1049="",NOT(COUNTA($S1049:$BB1049)&gt;0),$BI1049&lt;&gt;""),"",MID(IF($BI1049="","; Row ID not found on the department sheet - a row was deleted","")&amp;IF(AND($C1049="",COUNTA($S1049:$BB1049)&gt;0),"; Invoice entered but the department row has no job number","")&amp;IF(E1049="CHECK","; Job number not in the Xero job list","")&amp;IF(AND($C1049&lt;&gt;"",COUNTIF($C$7:$C$1506,$C1049)&gt;1),"; Job number on more than one row","")&amp;IF(AND($C1049&lt;&gt;"",H1049=""),"; Dept has not set a cost centre","")&amp;IF(AND($C1049&lt;&gt;"",J1049=""),"; Dept has not set a tax code","")&amp;IF(AND($C1049&lt;&gt;"",N1049=""),"; Dept has not entered an expected value","")&amp;IF((IF(OR(COUNTA(S1049:U1049)=0,AND(COUNTA(S1049:U1049)=3,ISNUMBER(U1049))),0,1)+IF(OR(COUNTA(V1049:X1049)=0,AND(COUNTA(V1049:X1049)=3,ISNUMBER(X1049))),0,1)+IF(OR(COUNTA(Y1049:AA1049)=0,AND(COUNTA(Y1049:AA1049)=3,ISNUMBER(AA1049))),0,1)+IF(OR(COUNTA(AB1049:AD1049)=0,AND(COUNTA(AB1049:AD1049)=3,ISNUMBER(AD1049))),0,1)+IF(OR(COUNTA(AE1049:AG1049)=0,AND(COUNTA(AE1049:AG1049)=3,ISNUMBER(AG1049))),0,1)+IF(OR(COUNTA(AH1049:AJ1049)=0,AND(COUNTA(AH1049:AJ1049)=3,ISNUMBER(AJ1049))),0,1)+IF(OR(COUNTA(AK1049:AM1049)=0,AND(COUNTA(AK1049:AM1049)=3,ISNUMBER(AM1049))),0,1)+IF(OR(COUNTA(AN1049:AP1049)=0,AND(COUNTA(AN1049:AP1049)=3,ISNUMBER(AP1049))),0,1)+IF(OR(COUNTA(AQ1049:AS1049)=0,AND(COUNTA(AQ1049:AS1049)=3,ISNUMBER(AS1049))),0,1)+IF(OR(COUNTA(AT1049:AV1049)=0,AND(COUNTA(AT1049:AV1049)=3,ISNUMBER(AV1049))),0,1)+IF(OR(COUNTA(AW1049:AY1049)=0,AND(COUNTA(AW1049:AY1049)=3,ISNUMBER(AY1049))),0,1)+IF(OR(COUNTA(AZ1049:BB1049)=0,AND(COUNTA(AZ1049:BB1049)=3,ISNUMBER(BB1049))),0,1))&gt;0,"; An invoice is incomplete (needs No, Date and a number in Ex GST)","")&amp;IF((IF(T1049="",0,IFERROR(--(EOMONTH(T1049,0)&lt;&gt;S$5),1))+IF(W1049="",0,IFERROR(--(EOMONTH(W1049,0)&lt;&gt;V$5),1))+IF(Z1049="",0,IFERROR(--(EOMONTH(Z1049,0)&lt;&gt;Y$5),1))+IF(AC1049="",0,IFERROR(--(EOMONTH(AC1049,0)&lt;&gt;AB$5),1))+IF(AF1049="",0,IFERROR(--(EOMONTH(AF1049,0)&lt;&gt;AE$5),1))+IF(AI1049="",0,IFERROR(--(EOMONTH(AI1049,0)&lt;&gt;AH$5),1))+IF(AL1049="",0,IFERROR(--(EOMONTH(AL1049,0)&lt;&gt;AK$5),1))+IF(AO1049="",0,IFERROR(--(EOMONTH(AO1049,0)&lt;&gt;AN$5),1))+IF(AR1049="",0,IFERROR(--(EOMONTH(AR1049,0)&lt;&gt;AQ$5),1))+IF(AU1049="",0,IFERROR(--(EOMONTH(AU1049,0)&lt;&gt;AT$5),1))+IF(AX1049="",0,IFERROR(--(EOMONTH(AX1049,0)&lt;&gt;AW$5),1))+IF(BA1049="",0,IFERROR(--(EOMONTH(BA1049,0)&lt;&gt;AZ$5),1)))&gt;0,"; An invoice date is not in the month it is typed under",""),3,500))</f>
        <v/>
      </c>
      <c r="S1049" s="12" t="n"/>
      <c r="T1049" s="13" t="n"/>
      <c r="U1049" s="14" t="n"/>
      <c r="V1049" s="12" t="n"/>
      <c r="W1049" s="13" t="n"/>
      <c r="X1049" s="14" t="n"/>
      <c r="Y1049" s="12" t="n"/>
      <c r="Z1049" s="13" t="n"/>
      <c r="AA1049" s="14" t="n"/>
      <c r="AB1049" s="12" t="n"/>
      <c r="AC1049" s="13" t="n"/>
      <c r="AD1049" s="14" t="n"/>
      <c r="AE1049" s="12" t="n"/>
      <c r="AF1049" s="13" t="n"/>
      <c r="AG1049" s="14" t="n"/>
      <c r="AH1049" s="12" t="n"/>
      <c r="AI1049" s="13" t="n"/>
      <c r="AJ1049" s="14" t="n"/>
      <c r="AK1049" s="12" t="n"/>
      <c r="AL1049" s="13" t="n"/>
      <c r="AM1049" s="14" t="n"/>
      <c r="AN1049" s="12" t="n"/>
      <c r="AO1049" s="13" t="n"/>
      <c r="AP1049" s="14" t="n"/>
      <c r="AQ1049" s="12" t="n"/>
      <c r="AR1049" s="13" t="n"/>
      <c r="AS1049" s="14" t="n"/>
      <c r="AT1049" s="12" t="n"/>
      <c r="AU1049" s="13" t="n"/>
      <c r="AV1049" s="14" t="n"/>
      <c r="AW1049" s="12" t="n"/>
      <c r="AX1049" s="13" t="n"/>
      <c r="AY1049" s="14" t="n"/>
      <c r="AZ1049" s="12" t="n"/>
      <c r="BA1049" s="13" t="n"/>
      <c r="BB1049" s="14" t="n"/>
      <c r="BC1049" s="11">
        <f>IF(O1049="","",IF(J1049="GST 10%",ROUND(O1049*set_GSTRate,2),0))</f>
        <v/>
      </c>
      <c r="BD1049" s="11">
        <f>IF(O1049="","",O1049+BC1049)</f>
        <v/>
      </c>
      <c r="BE1049" s="15">
        <f>IF(O1049="","",COUNTA(S1049,V1049,Y1049,AB1049,AE1049,AH1049,AK1049,AN1049,AQ1049,AT1049,AW1049,AZ1049))</f>
        <v/>
      </c>
      <c r="BF1049" s="16">
        <f>IF(COUNT(T1049,W1049,Z1049,AC1049,AF1049,AI1049,AL1049,AO1049,AR1049,AU1049,AX1049,BA1049)=0,"",MAX(T1049,W1049,Z1049,AC1049,AF1049,AI1049,AL1049,AO1049,AR1049,AU1049,AX1049,BA1049))</f>
        <v/>
      </c>
      <c r="BG1049" s="10">
        <f>MID(IF(S1049="","",", "&amp;S1049)&amp;IF(V1049="","",", "&amp;V1049)&amp;IF(Y1049="","",", "&amp;Y1049)&amp;IF(AB1049="","",", "&amp;AB1049)&amp;IF(AE1049="","",", "&amp;AE1049)&amp;IF(AH1049="","",", "&amp;AH1049)&amp;IF(AK1049="","",", "&amp;AK1049)&amp;IF(AN1049="","",", "&amp;AN1049)&amp;IF(AQ1049="","",", "&amp;AQ1049)&amp;IF(AT1049="","",", "&amp;AT1049)&amp;IF(AW1049="","",", "&amp;AW1049)&amp;IF(AZ1049="","",", "&amp;AZ1049),3,500)</f>
        <v/>
      </c>
      <c r="BH1049" s="12" t="n"/>
      <c r="BI1049" s="15">
        <f>IFERROR(MATCH($A1049,IF($B1049="Onsite",tbl_Onsite[Row ID],IF($B1049="Production",tbl_Production[Row ID],tbl_Consulting[Row ID])),0),"")</f>
        <v/>
      </c>
    </row>
    <row r="1050">
      <c r="A1050" s="10" t="inlineStr">
        <is>
          <t>CON-0044</t>
        </is>
      </c>
      <c r="B1050" s="10" t="inlineStr">
        <is>
          <t>Consulting</t>
        </is>
      </c>
      <c r="C1050" s="10">
        <f>IF($BI1050="","",IF($B1050="Onsite",INDEX(tbl_Onsite[Job Number],$BI1050),IF($B1050="Production",INDEX(tbl_Production[Job Number],$BI1050),INDEX(tbl_Consulting[Job Number],$BI1050)))&amp;"")</f>
        <v/>
      </c>
      <c r="D1050" s="10">
        <f>IF($BI1050="","",IF($B1050="Onsite",INDEX(tbl_Onsite[Client],$BI1050),IF($B1050="Production",INDEX(tbl_Production[Client],$BI1050),INDEX(tbl_Consulting[Client],$BI1050)))&amp;"")</f>
        <v/>
      </c>
      <c r="E1050" s="10">
        <f>IF($C1050="","",IF(COUNTIF(lst_Jobs,$C1050)&gt;0,"OK","CHECK"))</f>
        <v/>
      </c>
      <c r="F1050" s="10">
        <f>IF($C1050="","",IFERROR(INDEX(lst_JobName,MATCH($C1050,lst_Jobs,0)),""))</f>
        <v/>
      </c>
      <c r="G1050" s="10">
        <f>IF($BI1050="","",IF($B1050="Onsite",INDEX(tbl_Onsite[Job Description],$BI1050),IF($B1050="Production",INDEX(tbl_Production[Job Description],$BI1050),INDEX(tbl_Consulting[Job Description],$BI1050)))&amp;"")</f>
        <v/>
      </c>
      <c r="H1050" s="10">
        <f>IF($BI1050="","",IF($B1050="Onsite",INDEX(tbl_Onsite[Cost Centre],$BI1050),IF($B1050="Production",INDEX(tbl_Production[Cost Centre],$BI1050),INDEX(tbl_Consulting[Cost Centre],$BI1050)))&amp;"")</f>
        <v/>
      </c>
      <c r="I1050" s="10">
        <f>IF($BI1050="","",IF($B1050="Onsite",INDEX(tbl_Onsite[Invoice Type],$BI1050),IF($B1050="Production",INDEX(tbl_Production[Invoice Type],$BI1050),INDEX(tbl_Consulting[Invoice Type],$BI1050)))&amp;"")</f>
        <v/>
      </c>
      <c r="J1050" s="10">
        <f>IF($BI1050="","",IF($B1050="Onsite",INDEX(tbl_Onsite[Tax Code],$BI1050),IF($B1050="Production",INDEX(tbl_Production[Tax Code],$BI1050),INDEX(tbl_Consulting[Tax Code],$BI1050)))&amp;"")</f>
        <v/>
      </c>
      <c r="K1050" s="10">
        <f>IF(H1050="","",IFERROR(INDEX(lst_CCtoGL,MATCH(H1050,lst_CCforGL,0)),""))</f>
        <v/>
      </c>
      <c r="L1050" s="10">
        <f>IF($BI1050="","",IF($B1050="Onsite",INDEX(tbl_Onsite[PO / Reference],$BI1050),IF($B1050="Production",INDEX(tbl_Production[Current RMS No],$BI1050),INDEX(tbl_Consulting[Qwilr Quote],$BI1050)))&amp;"")</f>
        <v/>
      </c>
      <c r="M1050" s="10">
        <f>IF($BI1050="","",IF($B1050="Onsite",INDEX(tbl_Onsite[Notes],$BI1050),IF($B1050="Production",INDEX(tbl_Production[Notes],$BI1050),INDEX(tbl_Consulting[Notes],$BI1050)))&amp;"")</f>
        <v/>
      </c>
      <c r="N1050" s="11">
        <f>IF($BI1050="","",IF(IF($B1050="Onsite",INDEX(tbl_Onsite[Expected Revenue Ex GST],$BI1050),IF($B1050="Production",INDEX(tbl_Production[Expected Revenue Ex GST],$BI1050),INDEX(tbl_Consulting[Expected Revenue Ex GST],$BI1050)))="","",IF($B1050="Onsite",INDEX(tbl_Onsite[Expected Revenue Ex GST],$BI1050),IF($B1050="Production",INDEX(tbl_Production[Expected Revenue Ex GST],$BI1050),INDEX(tbl_Consulting[Expected Revenue Ex GST],$BI1050)))))</f>
        <v/>
      </c>
      <c r="O1050" s="11">
        <f>IF(AND($C1050="",NOT(COUNTA($S1050:$BB1050)&gt;0)),"",SUM(U1050,X1050,AA1050,AD1050,AG1050,AJ1050,AM1050,AP1050,AS1050,AV1050,AY1050,BB1050))</f>
        <v/>
      </c>
      <c r="P1050" s="11">
        <f>IF(O1050="","",N(N1050)-O1050)</f>
        <v/>
      </c>
      <c r="Q1050" s="10">
        <f>IF(O1050="","",IF($C1050="","Invoice on empty job row",IF(N1050="",IF(ROUND(O1050,2)=0,"No dept value","Invoiced - no dept value"),IF(ROUND(O1050,2)=0,"Not invoiced - to invoice",IF(ROUND(P1050,2)=0,"Agrees",IF(P1050&gt;0,"Dept higher - to invoice","Xero higher - check dept"))))))</f>
        <v/>
      </c>
      <c r="R1050" s="10">
        <f>IF(AND($C1050="",NOT(COUNTA($S1050:$BB1050)&gt;0),$BI1050&lt;&gt;""),"",MID(IF($BI1050="","; Row ID not found on the department sheet - a row was deleted","")&amp;IF(AND($C1050="",COUNTA($S1050:$BB1050)&gt;0),"; Invoice entered but the department row has no job number","")&amp;IF(E1050="CHECK","; Job number not in the Xero job list","")&amp;IF(AND($C1050&lt;&gt;"",COUNTIF($C$7:$C$1506,$C1050)&gt;1),"; Job number on more than one row","")&amp;IF(AND($C1050&lt;&gt;"",H1050=""),"; Dept has not set a cost centre","")&amp;IF(AND($C1050&lt;&gt;"",J1050=""),"; Dept has not set a tax code","")&amp;IF(AND($C1050&lt;&gt;"",N1050=""),"; Dept has not entered an expected value","")&amp;IF((IF(OR(COUNTA(S1050:U1050)=0,AND(COUNTA(S1050:U1050)=3,ISNUMBER(U1050))),0,1)+IF(OR(COUNTA(V1050:X1050)=0,AND(COUNTA(V1050:X1050)=3,ISNUMBER(X1050))),0,1)+IF(OR(COUNTA(Y1050:AA1050)=0,AND(COUNTA(Y1050:AA1050)=3,ISNUMBER(AA1050))),0,1)+IF(OR(COUNTA(AB1050:AD1050)=0,AND(COUNTA(AB1050:AD1050)=3,ISNUMBER(AD1050))),0,1)+IF(OR(COUNTA(AE1050:AG1050)=0,AND(COUNTA(AE1050:AG1050)=3,ISNUMBER(AG1050))),0,1)+IF(OR(COUNTA(AH1050:AJ1050)=0,AND(COUNTA(AH1050:AJ1050)=3,ISNUMBER(AJ1050))),0,1)+IF(OR(COUNTA(AK1050:AM1050)=0,AND(COUNTA(AK1050:AM1050)=3,ISNUMBER(AM1050))),0,1)+IF(OR(COUNTA(AN1050:AP1050)=0,AND(COUNTA(AN1050:AP1050)=3,ISNUMBER(AP1050))),0,1)+IF(OR(COUNTA(AQ1050:AS1050)=0,AND(COUNTA(AQ1050:AS1050)=3,ISNUMBER(AS1050))),0,1)+IF(OR(COUNTA(AT1050:AV1050)=0,AND(COUNTA(AT1050:AV1050)=3,ISNUMBER(AV1050))),0,1)+IF(OR(COUNTA(AW1050:AY1050)=0,AND(COUNTA(AW1050:AY1050)=3,ISNUMBER(AY1050))),0,1)+IF(OR(COUNTA(AZ1050:BB1050)=0,AND(COUNTA(AZ1050:BB1050)=3,ISNUMBER(BB1050))),0,1))&gt;0,"; An invoice is incomplete (needs No, Date and a number in Ex GST)","")&amp;IF((IF(T1050="",0,IFERROR(--(EOMONTH(T1050,0)&lt;&gt;S$5),1))+IF(W1050="",0,IFERROR(--(EOMONTH(W1050,0)&lt;&gt;V$5),1))+IF(Z1050="",0,IFERROR(--(EOMONTH(Z1050,0)&lt;&gt;Y$5),1))+IF(AC1050="",0,IFERROR(--(EOMONTH(AC1050,0)&lt;&gt;AB$5),1))+IF(AF1050="",0,IFERROR(--(EOMONTH(AF1050,0)&lt;&gt;AE$5),1))+IF(AI1050="",0,IFERROR(--(EOMONTH(AI1050,0)&lt;&gt;AH$5),1))+IF(AL1050="",0,IFERROR(--(EOMONTH(AL1050,0)&lt;&gt;AK$5),1))+IF(AO1050="",0,IFERROR(--(EOMONTH(AO1050,0)&lt;&gt;AN$5),1))+IF(AR1050="",0,IFERROR(--(EOMONTH(AR1050,0)&lt;&gt;AQ$5),1))+IF(AU1050="",0,IFERROR(--(EOMONTH(AU1050,0)&lt;&gt;AT$5),1))+IF(AX1050="",0,IFERROR(--(EOMONTH(AX1050,0)&lt;&gt;AW$5),1))+IF(BA1050="",0,IFERROR(--(EOMONTH(BA1050,0)&lt;&gt;AZ$5),1)))&gt;0,"; An invoice date is not in the month it is typed under",""),3,500))</f>
        <v/>
      </c>
      <c r="S1050" s="12" t="n"/>
      <c r="T1050" s="13" t="n"/>
      <c r="U1050" s="14" t="n"/>
      <c r="V1050" s="12" t="n"/>
      <c r="W1050" s="13" t="n"/>
      <c r="X1050" s="14" t="n"/>
      <c r="Y1050" s="12" t="n"/>
      <c r="Z1050" s="13" t="n"/>
      <c r="AA1050" s="14" t="n"/>
      <c r="AB1050" s="12" t="n"/>
      <c r="AC1050" s="13" t="n"/>
      <c r="AD1050" s="14" t="n"/>
      <c r="AE1050" s="12" t="n"/>
      <c r="AF1050" s="13" t="n"/>
      <c r="AG1050" s="14" t="n"/>
      <c r="AH1050" s="12" t="n"/>
      <c r="AI1050" s="13" t="n"/>
      <c r="AJ1050" s="14" t="n"/>
      <c r="AK1050" s="12" t="n"/>
      <c r="AL1050" s="13" t="n"/>
      <c r="AM1050" s="14" t="n"/>
      <c r="AN1050" s="12" t="n"/>
      <c r="AO1050" s="13" t="n"/>
      <c r="AP1050" s="14" t="n"/>
      <c r="AQ1050" s="12" t="n"/>
      <c r="AR1050" s="13" t="n"/>
      <c r="AS1050" s="14" t="n"/>
      <c r="AT1050" s="12" t="n"/>
      <c r="AU1050" s="13" t="n"/>
      <c r="AV1050" s="14" t="n"/>
      <c r="AW1050" s="12" t="n"/>
      <c r="AX1050" s="13" t="n"/>
      <c r="AY1050" s="14" t="n"/>
      <c r="AZ1050" s="12" t="n"/>
      <c r="BA1050" s="13" t="n"/>
      <c r="BB1050" s="14" t="n"/>
      <c r="BC1050" s="11">
        <f>IF(O1050="","",IF(J1050="GST 10%",ROUND(O1050*set_GSTRate,2),0))</f>
        <v/>
      </c>
      <c r="BD1050" s="11">
        <f>IF(O1050="","",O1050+BC1050)</f>
        <v/>
      </c>
      <c r="BE1050" s="15">
        <f>IF(O1050="","",COUNTA(S1050,V1050,Y1050,AB1050,AE1050,AH1050,AK1050,AN1050,AQ1050,AT1050,AW1050,AZ1050))</f>
        <v/>
      </c>
      <c r="BF1050" s="16">
        <f>IF(COUNT(T1050,W1050,Z1050,AC1050,AF1050,AI1050,AL1050,AO1050,AR1050,AU1050,AX1050,BA1050)=0,"",MAX(T1050,W1050,Z1050,AC1050,AF1050,AI1050,AL1050,AO1050,AR1050,AU1050,AX1050,BA1050))</f>
        <v/>
      </c>
      <c r="BG1050" s="10">
        <f>MID(IF(S1050="","",", "&amp;S1050)&amp;IF(V1050="","",", "&amp;V1050)&amp;IF(Y1050="","",", "&amp;Y1050)&amp;IF(AB1050="","",", "&amp;AB1050)&amp;IF(AE1050="","",", "&amp;AE1050)&amp;IF(AH1050="","",", "&amp;AH1050)&amp;IF(AK1050="","",", "&amp;AK1050)&amp;IF(AN1050="","",", "&amp;AN1050)&amp;IF(AQ1050="","",", "&amp;AQ1050)&amp;IF(AT1050="","",", "&amp;AT1050)&amp;IF(AW1050="","",", "&amp;AW1050)&amp;IF(AZ1050="","",", "&amp;AZ1050),3,500)</f>
        <v/>
      </c>
      <c r="BH1050" s="12" t="n"/>
      <c r="BI1050" s="15">
        <f>IFERROR(MATCH($A1050,IF($B1050="Onsite",tbl_Onsite[Row ID],IF($B1050="Production",tbl_Production[Row ID],tbl_Consulting[Row ID])),0),"")</f>
        <v/>
      </c>
    </row>
    <row r="1051">
      <c r="A1051" s="10" t="inlineStr">
        <is>
          <t>CON-0045</t>
        </is>
      </c>
      <c r="B1051" s="10" t="inlineStr">
        <is>
          <t>Consulting</t>
        </is>
      </c>
      <c r="C1051" s="10">
        <f>IF($BI1051="","",IF($B1051="Onsite",INDEX(tbl_Onsite[Job Number],$BI1051),IF($B1051="Production",INDEX(tbl_Production[Job Number],$BI1051),INDEX(tbl_Consulting[Job Number],$BI1051)))&amp;"")</f>
        <v/>
      </c>
      <c r="D1051" s="10">
        <f>IF($BI1051="","",IF($B1051="Onsite",INDEX(tbl_Onsite[Client],$BI1051),IF($B1051="Production",INDEX(tbl_Production[Client],$BI1051),INDEX(tbl_Consulting[Client],$BI1051)))&amp;"")</f>
        <v/>
      </c>
      <c r="E1051" s="10">
        <f>IF($C1051="","",IF(COUNTIF(lst_Jobs,$C1051)&gt;0,"OK","CHECK"))</f>
        <v/>
      </c>
      <c r="F1051" s="10">
        <f>IF($C1051="","",IFERROR(INDEX(lst_JobName,MATCH($C1051,lst_Jobs,0)),""))</f>
        <v/>
      </c>
      <c r="G1051" s="10">
        <f>IF($BI1051="","",IF($B1051="Onsite",INDEX(tbl_Onsite[Job Description],$BI1051),IF($B1051="Production",INDEX(tbl_Production[Job Description],$BI1051),INDEX(tbl_Consulting[Job Description],$BI1051)))&amp;"")</f>
        <v/>
      </c>
      <c r="H1051" s="10">
        <f>IF($BI1051="","",IF($B1051="Onsite",INDEX(tbl_Onsite[Cost Centre],$BI1051),IF($B1051="Production",INDEX(tbl_Production[Cost Centre],$BI1051),INDEX(tbl_Consulting[Cost Centre],$BI1051)))&amp;"")</f>
        <v/>
      </c>
      <c r="I1051" s="10">
        <f>IF($BI1051="","",IF($B1051="Onsite",INDEX(tbl_Onsite[Invoice Type],$BI1051),IF($B1051="Production",INDEX(tbl_Production[Invoice Type],$BI1051),INDEX(tbl_Consulting[Invoice Type],$BI1051)))&amp;"")</f>
        <v/>
      </c>
      <c r="J1051" s="10">
        <f>IF($BI1051="","",IF($B1051="Onsite",INDEX(tbl_Onsite[Tax Code],$BI1051),IF($B1051="Production",INDEX(tbl_Production[Tax Code],$BI1051),INDEX(tbl_Consulting[Tax Code],$BI1051)))&amp;"")</f>
        <v/>
      </c>
      <c r="K1051" s="10">
        <f>IF(H1051="","",IFERROR(INDEX(lst_CCtoGL,MATCH(H1051,lst_CCforGL,0)),""))</f>
        <v/>
      </c>
      <c r="L1051" s="10">
        <f>IF($BI1051="","",IF($B1051="Onsite",INDEX(tbl_Onsite[PO / Reference],$BI1051),IF($B1051="Production",INDEX(tbl_Production[Current RMS No],$BI1051),INDEX(tbl_Consulting[Qwilr Quote],$BI1051)))&amp;"")</f>
        <v/>
      </c>
      <c r="M1051" s="10">
        <f>IF($BI1051="","",IF($B1051="Onsite",INDEX(tbl_Onsite[Notes],$BI1051),IF($B1051="Production",INDEX(tbl_Production[Notes],$BI1051),INDEX(tbl_Consulting[Notes],$BI1051)))&amp;"")</f>
        <v/>
      </c>
      <c r="N1051" s="11">
        <f>IF($BI1051="","",IF(IF($B1051="Onsite",INDEX(tbl_Onsite[Expected Revenue Ex GST],$BI1051),IF($B1051="Production",INDEX(tbl_Production[Expected Revenue Ex GST],$BI1051),INDEX(tbl_Consulting[Expected Revenue Ex GST],$BI1051)))="","",IF($B1051="Onsite",INDEX(tbl_Onsite[Expected Revenue Ex GST],$BI1051),IF($B1051="Production",INDEX(tbl_Production[Expected Revenue Ex GST],$BI1051),INDEX(tbl_Consulting[Expected Revenue Ex GST],$BI1051)))))</f>
        <v/>
      </c>
      <c r="O1051" s="11">
        <f>IF(AND($C1051="",NOT(COUNTA($S1051:$BB1051)&gt;0)),"",SUM(U1051,X1051,AA1051,AD1051,AG1051,AJ1051,AM1051,AP1051,AS1051,AV1051,AY1051,BB1051))</f>
        <v/>
      </c>
      <c r="P1051" s="11">
        <f>IF(O1051="","",N(N1051)-O1051)</f>
        <v/>
      </c>
      <c r="Q1051" s="10">
        <f>IF(O1051="","",IF($C1051="","Invoice on empty job row",IF(N1051="",IF(ROUND(O1051,2)=0,"No dept value","Invoiced - no dept value"),IF(ROUND(O1051,2)=0,"Not invoiced - to invoice",IF(ROUND(P1051,2)=0,"Agrees",IF(P1051&gt;0,"Dept higher - to invoice","Xero higher - check dept"))))))</f>
        <v/>
      </c>
      <c r="R1051" s="10">
        <f>IF(AND($C1051="",NOT(COUNTA($S1051:$BB1051)&gt;0),$BI1051&lt;&gt;""),"",MID(IF($BI1051="","; Row ID not found on the department sheet - a row was deleted","")&amp;IF(AND($C1051="",COUNTA($S1051:$BB1051)&gt;0),"; Invoice entered but the department row has no job number","")&amp;IF(E1051="CHECK","; Job number not in the Xero job list","")&amp;IF(AND($C1051&lt;&gt;"",COUNTIF($C$7:$C$1506,$C1051)&gt;1),"; Job number on more than one row","")&amp;IF(AND($C1051&lt;&gt;"",H1051=""),"; Dept has not set a cost centre","")&amp;IF(AND($C1051&lt;&gt;"",J1051=""),"; Dept has not set a tax code","")&amp;IF(AND($C1051&lt;&gt;"",N1051=""),"; Dept has not entered an expected value","")&amp;IF((IF(OR(COUNTA(S1051:U1051)=0,AND(COUNTA(S1051:U1051)=3,ISNUMBER(U1051))),0,1)+IF(OR(COUNTA(V1051:X1051)=0,AND(COUNTA(V1051:X1051)=3,ISNUMBER(X1051))),0,1)+IF(OR(COUNTA(Y1051:AA1051)=0,AND(COUNTA(Y1051:AA1051)=3,ISNUMBER(AA1051))),0,1)+IF(OR(COUNTA(AB1051:AD1051)=0,AND(COUNTA(AB1051:AD1051)=3,ISNUMBER(AD1051))),0,1)+IF(OR(COUNTA(AE1051:AG1051)=0,AND(COUNTA(AE1051:AG1051)=3,ISNUMBER(AG1051))),0,1)+IF(OR(COUNTA(AH1051:AJ1051)=0,AND(COUNTA(AH1051:AJ1051)=3,ISNUMBER(AJ1051))),0,1)+IF(OR(COUNTA(AK1051:AM1051)=0,AND(COUNTA(AK1051:AM1051)=3,ISNUMBER(AM1051))),0,1)+IF(OR(COUNTA(AN1051:AP1051)=0,AND(COUNTA(AN1051:AP1051)=3,ISNUMBER(AP1051))),0,1)+IF(OR(COUNTA(AQ1051:AS1051)=0,AND(COUNTA(AQ1051:AS1051)=3,ISNUMBER(AS1051))),0,1)+IF(OR(COUNTA(AT1051:AV1051)=0,AND(COUNTA(AT1051:AV1051)=3,ISNUMBER(AV1051))),0,1)+IF(OR(COUNTA(AW1051:AY1051)=0,AND(COUNTA(AW1051:AY1051)=3,ISNUMBER(AY1051))),0,1)+IF(OR(COUNTA(AZ1051:BB1051)=0,AND(COUNTA(AZ1051:BB1051)=3,ISNUMBER(BB1051))),0,1))&gt;0,"; An invoice is incomplete (needs No, Date and a number in Ex GST)","")&amp;IF((IF(T1051="",0,IFERROR(--(EOMONTH(T1051,0)&lt;&gt;S$5),1))+IF(W1051="",0,IFERROR(--(EOMONTH(W1051,0)&lt;&gt;V$5),1))+IF(Z1051="",0,IFERROR(--(EOMONTH(Z1051,0)&lt;&gt;Y$5),1))+IF(AC1051="",0,IFERROR(--(EOMONTH(AC1051,0)&lt;&gt;AB$5),1))+IF(AF1051="",0,IFERROR(--(EOMONTH(AF1051,0)&lt;&gt;AE$5),1))+IF(AI1051="",0,IFERROR(--(EOMONTH(AI1051,0)&lt;&gt;AH$5),1))+IF(AL1051="",0,IFERROR(--(EOMONTH(AL1051,0)&lt;&gt;AK$5),1))+IF(AO1051="",0,IFERROR(--(EOMONTH(AO1051,0)&lt;&gt;AN$5),1))+IF(AR1051="",0,IFERROR(--(EOMONTH(AR1051,0)&lt;&gt;AQ$5),1))+IF(AU1051="",0,IFERROR(--(EOMONTH(AU1051,0)&lt;&gt;AT$5),1))+IF(AX1051="",0,IFERROR(--(EOMONTH(AX1051,0)&lt;&gt;AW$5),1))+IF(BA1051="",0,IFERROR(--(EOMONTH(BA1051,0)&lt;&gt;AZ$5),1)))&gt;0,"; An invoice date is not in the month it is typed under",""),3,500))</f>
        <v/>
      </c>
      <c r="S1051" s="12" t="n"/>
      <c r="T1051" s="13" t="n"/>
      <c r="U1051" s="14" t="n"/>
      <c r="V1051" s="12" t="n"/>
      <c r="W1051" s="13" t="n"/>
      <c r="X1051" s="14" t="n"/>
      <c r="Y1051" s="12" t="n"/>
      <c r="Z1051" s="13" t="n"/>
      <c r="AA1051" s="14" t="n"/>
      <c r="AB1051" s="12" t="n"/>
      <c r="AC1051" s="13" t="n"/>
      <c r="AD1051" s="14" t="n"/>
      <c r="AE1051" s="12" t="n"/>
      <c r="AF1051" s="13" t="n"/>
      <c r="AG1051" s="14" t="n"/>
      <c r="AH1051" s="12" t="n"/>
      <c r="AI1051" s="13" t="n"/>
      <c r="AJ1051" s="14" t="n"/>
      <c r="AK1051" s="12" t="n"/>
      <c r="AL1051" s="13" t="n"/>
      <c r="AM1051" s="14" t="n"/>
      <c r="AN1051" s="12" t="n"/>
      <c r="AO1051" s="13" t="n"/>
      <c r="AP1051" s="14" t="n"/>
      <c r="AQ1051" s="12" t="n"/>
      <c r="AR1051" s="13" t="n"/>
      <c r="AS1051" s="14" t="n"/>
      <c r="AT1051" s="12" t="n"/>
      <c r="AU1051" s="13" t="n"/>
      <c r="AV1051" s="14" t="n"/>
      <c r="AW1051" s="12" t="n"/>
      <c r="AX1051" s="13" t="n"/>
      <c r="AY1051" s="14" t="n"/>
      <c r="AZ1051" s="12" t="n"/>
      <c r="BA1051" s="13" t="n"/>
      <c r="BB1051" s="14" t="n"/>
      <c r="BC1051" s="11">
        <f>IF(O1051="","",IF(J1051="GST 10%",ROUND(O1051*set_GSTRate,2),0))</f>
        <v/>
      </c>
      <c r="BD1051" s="11">
        <f>IF(O1051="","",O1051+BC1051)</f>
        <v/>
      </c>
      <c r="BE1051" s="15">
        <f>IF(O1051="","",COUNTA(S1051,V1051,Y1051,AB1051,AE1051,AH1051,AK1051,AN1051,AQ1051,AT1051,AW1051,AZ1051))</f>
        <v/>
      </c>
      <c r="BF1051" s="16">
        <f>IF(COUNT(T1051,W1051,Z1051,AC1051,AF1051,AI1051,AL1051,AO1051,AR1051,AU1051,AX1051,BA1051)=0,"",MAX(T1051,W1051,Z1051,AC1051,AF1051,AI1051,AL1051,AO1051,AR1051,AU1051,AX1051,BA1051))</f>
        <v/>
      </c>
      <c r="BG1051" s="10">
        <f>MID(IF(S1051="","",", "&amp;S1051)&amp;IF(V1051="","",", "&amp;V1051)&amp;IF(Y1051="","",", "&amp;Y1051)&amp;IF(AB1051="","",", "&amp;AB1051)&amp;IF(AE1051="","",", "&amp;AE1051)&amp;IF(AH1051="","",", "&amp;AH1051)&amp;IF(AK1051="","",", "&amp;AK1051)&amp;IF(AN1051="","",", "&amp;AN1051)&amp;IF(AQ1051="","",", "&amp;AQ1051)&amp;IF(AT1051="","",", "&amp;AT1051)&amp;IF(AW1051="","",", "&amp;AW1051)&amp;IF(AZ1051="","",", "&amp;AZ1051),3,500)</f>
        <v/>
      </c>
      <c r="BH1051" s="12" t="n"/>
      <c r="BI1051" s="15">
        <f>IFERROR(MATCH($A1051,IF($B1051="Onsite",tbl_Onsite[Row ID],IF($B1051="Production",tbl_Production[Row ID],tbl_Consulting[Row ID])),0),"")</f>
        <v/>
      </c>
    </row>
    <row r="1052">
      <c r="A1052" s="10" t="inlineStr">
        <is>
          <t>CON-0046</t>
        </is>
      </c>
      <c r="B1052" s="10" t="inlineStr">
        <is>
          <t>Consulting</t>
        </is>
      </c>
      <c r="C1052" s="10">
        <f>IF($BI1052="","",IF($B1052="Onsite",INDEX(tbl_Onsite[Job Number],$BI1052),IF($B1052="Production",INDEX(tbl_Production[Job Number],$BI1052),INDEX(tbl_Consulting[Job Number],$BI1052)))&amp;"")</f>
        <v/>
      </c>
      <c r="D1052" s="10">
        <f>IF($BI1052="","",IF($B1052="Onsite",INDEX(tbl_Onsite[Client],$BI1052),IF($B1052="Production",INDEX(tbl_Production[Client],$BI1052),INDEX(tbl_Consulting[Client],$BI1052)))&amp;"")</f>
        <v/>
      </c>
      <c r="E1052" s="10">
        <f>IF($C1052="","",IF(COUNTIF(lst_Jobs,$C1052)&gt;0,"OK","CHECK"))</f>
        <v/>
      </c>
      <c r="F1052" s="10">
        <f>IF($C1052="","",IFERROR(INDEX(lst_JobName,MATCH($C1052,lst_Jobs,0)),""))</f>
        <v/>
      </c>
      <c r="G1052" s="10">
        <f>IF($BI1052="","",IF($B1052="Onsite",INDEX(tbl_Onsite[Job Description],$BI1052),IF($B1052="Production",INDEX(tbl_Production[Job Description],$BI1052),INDEX(tbl_Consulting[Job Description],$BI1052)))&amp;"")</f>
        <v/>
      </c>
      <c r="H1052" s="10">
        <f>IF($BI1052="","",IF($B1052="Onsite",INDEX(tbl_Onsite[Cost Centre],$BI1052),IF($B1052="Production",INDEX(tbl_Production[Cost Centre],$BI1052),INDEX(tbl_Consulting[Cost Centre],$BI1052)))&amp;"")</f>
        <v/>
      </c>
      <c r="I1052" s="10">
        <f>IF($BI1052="","",IF($B1052="Onsite",INDEX(tbl_Onsite[Invoice Type],$BI1052),IF($B1052="Production",INDEX(tbl_Production[Invoice Type],$BI1052),INDEX(tbl_Consulting[Invoice Type],$BI1052)))&amp;"")</f>
        <v/>
      </c>
      <c r="J1052" s="10">
        <f>IF($BI1052="","",IF($B1052="Onsite",INDEX(tbl_Onsite[Tax Code],$BI1052),IF($B1052="Production",INDEX(tbl_Production[Tax Code],$BI1052),INDEX(tbl_Consulting[Tax Code],$BI1052)))&amp;"")</f>
        <v/>
      </c>
      <c r="K1052" s="10">
        <f>IF(H1052="","",IFERROR(INDEX(lst_CCtoGL,MATCH(H1052,lst_CCforGL,0)),""))</f>
        <v/>
      </c>
      <c r="L1052" s="10">
        <f>IF($BI1052="","",IF($B1052="Onsite",INDEX(tbl_Onsite[PO / Reference],$BI1052),IF($B1052="Production",INDEX(tbl_Production[Current RMS No],$BI1052),INDEX(tbl_Consulting[Qwilr Quote],$BI1052)))&amp;"")</f>
        <v/>
      </c>
      <c r="M1052" s="10">
        <f>IF($BI1052="","",IF($B1052="Onsite",INDEX(tbl_Onsite[Notes],$BI1052),IF($B1052="Production",INDEX(tbl_Production[Notes],$BI1052),INDEX(tbl_Consulting[Notes],$BI1052)))&amp;"")</f>
        <v/>
      </c>
      <c r="N1052" s="11">
        <f>IF($BI1052="","",IF(IF($B1052="Onsite",INDEX(tbl_Onsite[Expected Revenue Ex GST],$BI1052),IF($B1052="Production",INDEX(tbl_Production[Expected Revenue Ex GST],$BI1052),INDEX(tbl_Consulting[Expected Revenue Ex GST],$BI1052)))="","",IF($B1052="Onsite",INDEX(tbl_Onsite[Expected Revenue Ex GST],$BI1052),IF($B1052="Production",INDEX(tbl_Production[Expected Revenue Ex GST],$BI1052),INDEX(tbl_Consulting[Expected Revenue Ex GST],$BI1052)))))</f>
        <v/>
      </c>
      <c r="O1052" s="11">
        <f>IF(AND($C1052="",NOT(COUNTA($S1052:$BB1052)&gt;0)),"",SUM(U1052,X1052,AA1052,AD1052,AG1052,AJ1052,AM1052,AP1052,AS1052,AV1052,AY1052,BB1052))</f>
        <v/>
      </c>
      <c r="P1052" s="11">
        <f>IF(O1052="","",N(N1052)-O1052)</f>
        <v/>
      </c>
      <c r="Q1052" s="10">
        <f>IF(O1052="","",IF($C1052="","Invoice on empty job row",IF(N1052="",IF(ROUND(O1052,2)=0,"No dept value","Invoiced - no dept value"),IF(ROUND(O1052,2)=0,"Not invoiced - to invoice",IF(ROUND(P1052,2)=0,"Agrees",IF(P1052&gt;0,"Dept higher - to invoice","Xero higher - check dept"))))))</f>
        <v/>
      </c>
      <c r="R1052" s="10">
        <f>IF(AND($C1052="",NOT(COUNTA($S1052:$BB1052)&gt;0),$BI1052&lt;&gt;""),"",MID(IF($BI1052="","; Row ID not found on the department sheet - a row was deleted","")&amp;IF(AND($C1052="",COUNTA($S1052:$BB1052)&gt;0),"; Invoice entered but the department row has no job number","")&amp;IF(E1052="CHECK","; Job number not in the Xero job list","")&amp;IF(AND($C1052&lt;&gt;"",COUNTIF($C$7:$C$1506,$C1052)&gt;1),"; Job number on more than one row","")&amp;IF(AND($C1052&lt;&gt;"",H1052=""),"; Dept has not set a cost centre","")&amp;IF(AND($C1052&lt;&gt;"",J1052=""),"; Dept has not set a tax code","")&amp;IF(AND($C1052&lt;&gt;"",N1052=""),"; Dept has not entered an expected value","")&amp;IF((IF(OR(COUNTA(S1052:U1052)=0,AND(COUNTA(S1052:U1052)=3,ISNUMBER(U1052))),0,1)+IF(OR(COUNTA(V1052:X1052)=0,AND(COUNTA(V1052:X1052)=3,ISNUMBER(X1052))),0,1)+IF(OR(COUNTA(Y1052:AA1052)=0,AND(COUNTA(Y1052:AA1052)=3,ISNUMBER(AA1052))),0,1)+IF(OR(COUNTA(AB1052:AD1052)=0,AND(COUNTA(AB1052:AD1052)=3,ISNUMBER(AD1052))),0,1)+IF(OR(COUNTA(AE1052:AG1052)=0,AND(COUNTA(AE1052:AG1052)=3,ISNUMBER(AG1052))),0,1)+IF(OR(COUNTA(AH1052:AJ1052)=0,AND(COUNTA(AH1052:AJ1052)=3,ISNUMBER(AJ1052))),0,1)+IF(OR(COUNTA(AK1052:AM1052)=0,AND(COUNTA(AK1052:AM1052)=3,ISNUMBER(AM1052))),0,1)+IF(OR(COUNTA(AN1052:AP1052)=0,AND(COUNTA(AN1052:AP1052)=3,ISNUMBER(AP1052))),0,1)+IF(OR(COUNTA(AQ1052:AS1052)=0,AND(COUNTA(AQ1052:AS1052)=3,ISNUMBER(AS1052))),0,1)+IF(OR(COUNTA(AT1052:AV1052)=0,AND(COUNTA(AT1052:AV1052)=3,ISNUMBER(AV1052))),0,1)+IF(OR(COUNTA(AW1052:AY1052)=0,AND(COUNTA(AW1052:AY1052)=3,ISNUMBER(AY1052))),0,1)+IF(OR(COUNTA(AZ1052:BB1052)=0,AND(COUNTA(AZ1052:BB1052)=3,ISNUMBER(BB1052))),0,1))&gt;0,"; An invoice is incomplete (needs No, Date and a number in Ex GST)","")&amp;IF((IF(T1052="",0,IFERROR(--(EOMONTH(T1052,0)&lt;&gt;S$5),1))+IF(W1052="",0,IFERROR(--(EOMONTH(W1052,0)&lt;&gt;V$5),1))+IF(Z1052="",0,IFERROR(--(EOMONTH(Z1052,0)&lt;&gt;Y$5),1))+IF(AC1052="",0,IFERROR(--(EOMONTH(AC1052,0)&lt;&gt;AB$5),1))+IF(AF1052="",0,IFERROR(--(EOMONTH(AF1052,0)&lt;&gt;AE$5),1))+IF(AI1052="",0,IFERROR(--(EOMONTH(AI1052,0)&lt;&gt;AH$5),1))+IF(AL1052="",0,IFERROR(--(EOMONTH(AL1052,0)&lt;&gt;AK$5),1))+IF(AO1052="",0,IFERROR(--(EOMONTH(AO1052,0)&lt;&gt;AN$5),1))+IF(AR1052="",0,IFERROR(--(EOMONTH(AR1052,0)&lt;&gt;AQ$5),1))+IF(AU1052="",0,IFERROR(--(EOMONTH(AU1052,0)&lt;&gt;AT$5),1))+IF(AX1052="",0,IFERROR(--(EOMONTH(AX1052,0)&lt;&gt;AW$5),1))+IF(BA1052="",0,IFERROR(--(EOMONTH(BA1052,0)&lt;&gt;AZ$5),1)))&gt;0,"; An invoice date is not in the month it is typed under",""),3,500))</f>
        <v/>
      </c>
      <c r="S1052" s="12" t="n"/>
      <c r="T1052" s="13" t="n"/>
      <c r="U1052" s="14" t="n"/>
      <c r="V1052" s="12" t="n"/>
      <c r="W1052" s="13" t="n"/>
      <c r="X1052" s="14" t="n"/>
      <c r="Y1052" s="12" t="n"/>
      <c r="Z1052" s="13" t="n"/>
      <c r="AA1052" s="14" t="n"/>
      <c r="AB1052" s="12" t="n"/>
      <c r="AC1052" s="13" t="n"/>
      <c r="AD1052" s="14" t="n"/>
      <c r="AE1052" s="12" t="n"/>
      <c r="AF1052" s="13" t="n"/>
      <c r="AG1052" s="14" t="n"/>
      <c r="AH1052" s="12" t="n"/>
      <c r="AI1052" s="13" t="n"/>
      <c r="AJ1052" s="14" t="n"/>
      <c r="AK1052" s="12" t="n"/>
      <c r="AL1052" s="13" t="n"/>
      <c r="AM1052" s="14" t="n"/>
      <c r="AN1052" s="12" t="n"/>
      <c r="AO1052" s="13" t="n"/>
      <c r="AP1052" s="14" t="n"/>
      <c r="AQ1052" s="12" t="n"/>
      <c r="AR1052" s="13" t="n"/>
      <c r="AS1052" s="14" t="n"/>
      <c r="AT1052" s="12" t="n"/>
      <c r="AU1052" s="13" t="n"/>
      <c r="AV1052" s="14" t="n"/>
      <c r="AW1052" s="12" t="n"/>
      <c r="AX1052" s="13" t="n"/>
      <c r="AY1052" s="14" t="n"/>
      <c r="AZ1052" s="12" t="n"/>
      <c r="BA1052" s="13" t="n"/>
      <c r="BB1052" s="14" t="n"/>
      <c r="BC1052" s="11">
        <f>IF(O1052="","",IF(J1052="GST 10%",ROUND(O1052*set_GSTRate,2),0))</f>
        <v/>
      </c>
      <c r="BD1052" s="11">
        <f>IF(O1052="","",O1052+BC1052)</f>
        <v/>
      </c>
      <c r="BE1052" s="15">
        <f>IF(O1052="","",COUNTA(S1052,V1052,Y1052,AB1052,AE1052,AH1052,AK1052,AN1052,AQ1052,AT1052,AW1052,AZ1052))</f>
        <v/>
      </c>
      <c r="BF1052" s="16">
        <f>IF(COUNT(T1052,W1052,Z1052,AC1052,AF1052,AI1052,AL1052,AO1052,AR1052,AU1052,AX1052,BA1052)=0,"",MAX(T1052,W1052,Z1052,AC1052,AF1052,AI1052,AL1052,AO1052,AR1052,AU1052,AX1052,BA1052))</f>
        <v/>
      </c>
      <c r="BG1052" s="10">
        <f>MID(IF(S1052="","",", "&amp;S1052)&amp;IF(V1052="","",", "&amp;V1052)&amp;IF(Y1052="","",", "&amp;Y1052)&amp;IF(AB1052="","",", "&amp;AB1052)&amp;IF(AE1052="","",", "&amp;AE1052)&amp;IF(AH1052="","",", "&amp;AH1052)&amp;IF(AK1052="","",", "&amp;AK1052)&amp;IF(AN1052="","",", "&amp;AN1052)&amp;IF(AQ1052="","",", "&amp;AQ1052)&amp;IF(AT1052="","",", "&amp;AT1052)&amp;IF(AW1052="","",", "&amp;AW1052)&amp;IF(AZ1052="","",", "&amp;AZ1052),3,500)</f>
        <v/>
      </c>
      <c r="BH1052" s="12" t="n"/>
      <c r="BI1052" s="15">
        <f>IFERROR(MATCH($A1052,IF($B1052="Onsite",tbl_Onsite[Row ID],IF($B1052="Production",tbl_Production[Row ID],tbl_Consulting[Row ID])),0),"")</f>
        <v/>
      </c>
    </row>
    <row r="1053">
      <c r="A1053" s="10" t="inlineStr">
        <is>
          <t>CON-0047</t>
        </is>
      </c>
      <c r="B1053" s="10" t="inlineStr">
        <is>
          <t>Consulting</t>
        </is>
      </c>
      <c r="C1053" s="10">
        <f>IF($BI1053="","",IF($B1053="Onsite",INDEX(tbl_Onsite[Job Number],$BI1053),IF($B1053="Production",INDEX(tbl_Production[Job Number],$BI1053),INDEX(tbl_Consulting[Job Number],$BI1053)))&amp;"")</f>
        <v/>
      </c>
      <c r="D1053" s="10">
        <f>IF($BI1053="","",IF($B1053="Onsite",INDEX(tbl_Onsite[Client],$BI1053),IF($B1053="Production",INDEX(tbl_Production[Client],$BI1053),INDEX(tbl_Consulting[Client],$BI1053)))&amp;"")</f>
        <v/>
      </c>
      <c r="E1053" s="10">
        <f>IF($C1053="","",IF(COUNTIF(lst_Jobs,$C1053)&gt;0,"OK","CHECK"))</f>
        <v/>
      </c>
      <c r="F1053" s="10">
        <f>IF($C1053="","",IFERROR(INDEX(lst_JobName,MATCH($C1053,lst_Jobs,0)),""))</f>
        <v/>
      </c>
      <c r="G1053" s="10">
        <f>IF($BI1053="","",IF($B1053="Onsite",INDEX(tbl_Onsite[Job Description],$BI1053),IF($B1053="Production",INDEX(tbl_Production[Job Description],$BI1053),INDEX(tbl_Consulting[Job Description],$BI1053)))&amp;"")</f>
        <v/>
      </c>
      <c r="H1053" s="10">
        <f>IF($BI1053="","",IF($B1053="Onsite",INDEX(tbl_Onsite[Cost Centre],$BI1053),IF($B1053="Production",INDEX(tbl_Production[Cost Centre],$BI1053),INDEX(tbl_Consulting[Cost Centre],$BI1053)))&amp;"")</f>
        <v/>
      </c>
      <c r="I1053" s="10">
        <f>IF($BI1053="","",IF($B1053="Onsite",INDEX(tbl_Onsite[Invoice Type],$BI1053),IF($B1053="Production",INDEX(tbl_Production[Invoice Type],$BI1053),INDEX(tbl_Consulting[Invoice Type],$BI1053)))&amp;"")</f>
        <v/>
      </c>
      <c r="J1053" s="10">
        <f>IF($BI1053="","",IF($B1053="Onsite",INDEX(tbl_Onsite[Tax Code],$BI1053),IF($B1053="Production",INDEX(tbl_Production[Tax Code],$BI1053),INDEX(tbl_Consulting[Tax Code],$BI1053)))&amp;"")</f>
        <v/>
      </c>
      <c r="K1053" s="10">
        <f>IF(H1053="","",IFERROR(INDEX(lst_CCtoGL,MATCH(H1053,lst_CCforGL,0)),""))</f>
        <v/>
      </c>
      <c r="L1053" s="10">
        <f>IF($BI1053="","",IF($B1053="Onsite",INDEX(tbl_Onsite[PO / Reference],$BI1053),IF($B1053="Production",INDEX(tbl_Production[Current RMS No],$BI1053),INDEX(tbl_Consulting[Qwilr Quote],$BI1053)))&amp;"")</f>
        <v/>
      </c>
      <c r="M1053" s="10">
        <f>IF($BI1053="","",IF($B1053="Onsite",INDEX(tbl_Onsite[Notes],$BI1053),IF($B1053="Production",INDEX(tbl_Production[Notes],$BI1053),INDEX(tbl_Consulting[Notes],$BI1053)))&amp;"")</f>
        <v/>
      </c>
      <c r="N1053" s="11">
        <f>IF($BI1053="","",IF(IF($B1053="Onsite",INDEX(tbl_Onsite[Expected Revenue Ex GST],$BI1053),IF($B1053="Production",INDEX(tbl_Production[Expected Revenue Ex GST],$BI1053),INDEX(tbl_Consulting[Expected Revenue Ex GST],$BI1053)))="","",IF($B1053="Onsite",INDEX(tbl_Onsite[Expected Revenue Ex GST],$BI1053),IF($B1053="Production",INDEX(tbl_Production[Expected Revenue Ex GST],$BI1053),INDEX(tbl_Consulting[Expected Revenue Ex GST],$BI1053)))))</f>
        <v/>
      </c>
      <c r="O1053" s="11">
        <f>IF(AND($C1053="",NOT(COUNTA($S1053:$BB1053)&gt;0)),"",SUM(U1053,X1053,AA1053,AD1053,AG1053,AJ1053,AM1053,AP1053,AS1053,AV1053,AY1053,BB1053))</f>
        <v/>
      </c>
      <c r="P1053" s="11">
        <f>IF(O1053="","",N(N1053)-O1053)</f>
        <v/>
      </c>
      <c r="Q1053" s="10">
        <f>IF(O1053="","",IF($C1053="","Invoice on empty job row",IF(N1053="",IF(ROUND(O1053,2)=0,"No dept value","Invoiced - no dept value"),IF(ROUND(O1053,2)=0,"Not invoiced - to invoice",IF(ROUND(P1053,2)=0,"Agrees",IF(P1053&gt;0,"Dept higher - to invoice","Xero higher - check dept"))))))</f>
        <v/>
      </c>
      <c r="R1053" s="10">
        <f>IF(AND($C1053="",NOT(COUNTA($S1053:$BB1053)&gt;0),$BI1053&lt;&gt;""),"",MID(IF($BI1053="","; Row ID not found on the department sheet - a row was deleted","")&amp;IF(AND($C1053="",COUNTA($S1053:$BB1053)&gt;0),"; Invoice entered but the department row has no job number","")&amp;IF(E1053="CHECK","; Job number not in the Xero job list","")&amp;IF(AND($C1053&lt;&gt;"",COUNTIF($C$7:$C$1506,$C1053)&gt;1),"; Job number on more than one row","")&amp;IF(AND($C1053&lt;&gt;"",H1053=""),"; Dept has not set a cost centre","")&amp;IF(AND($C1053&lt;&gt;"",J1053=""),"; Dept has not set a tax code","")&amp;IF(AND($C1053&lt;&gt;"",N1053=""),"; Dept has not entered an expected value","")&amp;IF((IF(OR(COUNTA(S1053:U1053)=0,AND(COUNTA(S1053:U1053)=3,ISNUMBER(U1053))),0,1)+IF(OR(COUNTA(V1053:X1053)=0,AND(COUNTA(V1053:X1053)=3,ISNUMBER(X1053))),0,1)+IF(OR(COUNTA(Y1053:AA1053)=0,AND(COUNTA(Y1053:AA1053)=3,ISNUMBER(AA1053))),0,1)+IF(OR(COUNTA(AB1053:AD1053)=0,AND(COUNTA(AB1053:AD1053)=3,ISNUMBER(AD1053))),0,1)+IF(OR(COUNTA(AE1053:AG1053)=0,AND(COUNTA(AE1053:AG1053)=3,ISNUMBER(AG1053))),0,1)+IF(OR(COUNTA(AH1053:AJ1053)=0,AND(COUNTA(AH1053:AJ1053)=3,ISNUMBER(AJ1053))),0,1)+IF(OR(COUNTA(AK1053:AM1053)=0,AND(COUNTA(AK1053:AM1053)=3,ISNUMBER(AM1053))),0,1)+IF(OR(COUNTA(AN1053:AP1053)=0,AND(COUNTA(AN1053:AP1053)=3,ISNUMBER(AP1053))),0,1)+IF(OR(COUNTA(AQ1053:AS1053)=0,AND(COUNTA(AQ1053:AS1053)=3,ISNUMBER(AS1053))),0,1)+IF(OR(COUNTA(AT1053:AV1053)=0,AND(COUNTA(AT1053:AV1053)=3,ISNUMBER(AV1053))),0,1)+IF(OR(COUNTA(AW1053:AY1053)=0,AND(COUNTA(AW1053:AY1053)=3,ISNUMBER(AY1053))),0,1)+IF(OR(COUNTA(AZ1053:BB1053)=0,AND(COUNTA(AZ1053:BB1053)=3,ISNUMBER(BB1053))),0,1))&gt;0,"; An invoice is incomplete (needs No, Date and a number in Ex GST)","")&amp;IF((IF(T1053="",0,IFERROR(--(EOMONTH(T1053,0)&lt;&gt;S$5),1))+IF(W1053="",0,IFERROR(--(EOMONTH(W1053,0)&lt;&gt;V$5),1))+IF(Z1053="",0,IFERROR(--(EOMONTH(Z1053,0)&lt;&gt;Y$5),1))+IF(AC1053="",0,IFERROR(--(EOMONTH(AC1053,0)&lt;&gt;AB$5),1))+IF(AF1053="",0,IFERROR(--(EOMONTH(AF1053,0)&lt;&gt;AE$5),1))+IF(AI1053="",0,IFERROR(--(EOMONTH(AI1053,0)&lt;&gt;AH$5),1))+IF(AL1053="",0,IFERROR(--(EOMONTH(AL1053,0)&lt;&gt;AK$5),1))+IF(AO1053="",0,IFERROR(--(EOMONTH(AO1053,0)&lt;&gt;AN$5),1))+IF(AR1053="",0,IFERROR(--(EOMONTH(AR1053,0)&lt;&gt;AQ$5),1))+IF(AU1053="",0,IFERROR(--(EOMONTH(AU1053,0)&lt;&gt;AT$5),1))+IF(AX1053="",0,IFERROR(--(EOMONTH(AX1053,0)&lt;&gt;AW$5),1))+IF(BA1053="",0,IFERROR(--(EOMONTH(BA1053,0)&lt;&gt;AZ$5),1)))&gt;0,"; An invoice date is not in the month it is typed under",""),3,500))</f>
        <v/>
      </c>
      <c r="S1053" s="12" t="n"/>
      <c r="T1053" s="13" t="n"/>
      <c r="U1053" s="14" t="n"/>
      <c r="V1053" s="12" t="n"/>
      <c r="W1053" s="13" t="n"/>
      <c r="X1053" s="14" t="n"/>
      <c r="Y1053" s="12" t="n"/>
      <c r="Z1053" s="13" t="n"/>
      <c r="AA1053" s="14" t="n"/>
      <c r="AB1053" s="12" t="n"/>
      <c r="AC1053" s="13" t="n"/>
      <c r="AD1053" s="14" t="n"/>
      <c r="AE1053" s="12" t="n"/>
      <c r="AF1053" s="13" t="n"/>
      <c r="AG1053" s="14" t="n"/>
      <c r="AH1053" s="12" t="n"/>
      <c r="AI1053" s="13" t="n"/>
      <c r="AJ1053" s="14" t="n"/>
      <c r="AK1053" s="12" t="n"/>
      <c r="AL1053" s="13" t="n"/>
      <c r="AM1053" s="14" t="n"/>
      <c r="AN1053" s="12" t="n"/>
      <c r="AO1053" s="13" t="n"/>
      <c r="AP1053" s="14" t="n"/>
      <c r="AQ1053" s="12" t="n"/>
      <c r="AR1053" s="13" t="n"/>
      <c r="AS1053" s="14" t="n"/>
      <c r="AT1053" s="12" t="n"/>
      <c r="AU1053" s="13" t="n"/>
      <c r="AV1053" s="14" t="n"/>
      <c r="AW1053" s="12" t="n"/>
      <c r="AX1053" s="13" t="n"/>
      <c r="AY1053" s="14" t="n"/>
      <c r="AZ1053" s="12" t="n"/>
      <c r="BA1053" s="13" t="n"/>
      <c r="BB1053" s="14" t="n"/>
      <c r="BC1053" s="11">
        <f>IF(O1053="","",IF(J1053="GST 10%",ROUND(O1053*set_GSTRate,2),0))</f>
        <v/>
      </c>
      <c r="BD1053" s="11">
        <f>IF(O1053="","",O1053+BC1053)</f>
        <v/>
      </c>
      <c r="BE1053" s="15">
        <f>IF(O1053="","",COUNTA(S1053,V1053,Y1053,AB1053,AE1053,AH1053,AK1053,AN1053,AQ1053,AT1053,AW1053,AZ1053))</f>
        <v/>
      </c>
      <c r="BF1053" s="16">
        <f>IF(COUNT(T1053,W1053,Z1053,AC1053,AF1053,AI1053,AL1053,AO1053,AR1053,AU1053,AX1053,BA1053)=0,"",MAX(T1053,W1053,Z1053,AC1053,AF1053,AI1053,AL1053,AO1053,AR1053,AU1053,AX1053,BA1053))</f>
        <v/>
      </c>
      <c r="BG1053" s="10">
        <f>MID(IF(S1053="","",", "&amp;S1053)&amp;IF(V1053="","",", "&amp;V1053)&amp;IF(Y1053="","",", "&amp;Y1053)&amp;IF(AB1053="","",", "&amp;AB1053)&amp;IF(AE1053="","",", "&amp;AE1053)&amp;IF(AH1053="","",", "&amp;AH1053)&amp;IF(AK1053="","",", "&amp;AK1053)&amp;IF(AN1053="","",", "&amp;AN1053)&amp;IF(AQ1053="","",", "&amp;AQ1053)&amp;IF(AT1053="","",", "&amp;AT1053)&amp;IF(AW1053="","",", "&amp;AW1053)&amp;IF(AZ1053="","",", "&amp;AZ1053),3,500)</f>
        <v/>
      </c>
      <c r="BH1053" s="12" t="n"/>
      <c r="BI1053" s="15">
        <f>IFERROR(MATCH($A1053,IF($B1053="Onsite",tbl_Onsite[Row ID],IF($B1053="Production",tbl_Production[Row ID],tbl_Consulting[Row ID])),0),"")</f>
        <v/>
      </c>
    </row>
    <row r="1054">
      <c r="A1054" s="10" t="inlineStr">
        <is>
          <t>CON-0048</t>
        </is>
      </c>
      <c r="B1054" s="10" t="inlineStr">
        <is>
          <t>Consulting</t>
        </is>
      </c>
      <c r="C1054" s="10">
        <f>IF($BI1054="","",IF($B1054="Onsite",INDEX(tbl_Onsite[Job Number],$BI1054),IF($B1054="Production",INDEX(tbl_Production[Job Number],$BI1054),INDEX(tbl_Consulting[Job Number],$BI1054)))&amp;"")</f>
        <v/>
      </c>
      <c r="D1054" s="10">
        <f>IF($BI1054="","",IF($B1054="Onsite",INDEX(tbl_Onsite[Client],$BI1054),IF($B1054="Production",INDEX(tbl_Production[Client],$BI1054),INDEX(tbl_Consulting[Client],$BI1054)))&amp;"")</f>
        <v/>
      </c>
      <c r="E1054" s="10">
        <f>IF($C1054="","",IF(COUNTIF(lst_Jobs,$C1054)&gt;0,"OK","CHECK"))</f>
        <v/>
      </c>
      <c r="F1054" s="10">
        <f>IF($C1054="","",IFERROR(INDEX(lst_JobName,MATCH($C1054,lst_Jobs,0)),""))</f>
        <v/>
      </c>
      <c r="G1054" s="10">
        <f>IF($BI1054="","",IF($B1054="Onsite",INDEX(tbl_Onsite[Job Description],$BI1054),IF($B1054="Production",INDEX(tbl_Production[Job Description],$BI1054),INDEX(tbl_Consulting[Job Description],$BI1054)))&amp;"")</f>
        <v/>
      </c>
      <c r="H1054" s="10">
        <f>IF($BI1054="","",IF($B1054="Onsite",INDEX(tbl_Onsite[Cost Centre],$BI1054),IF($B1054="Production",INDEX(tbl_Production[Cost Centre],$BI1054),INDEX(tbl_Consulting[Cost Centre],$BI1054)))&amp;"")</f>
        <v/>
      </c>
      <c r="I1054" s="10">
        <f>IF($BI1054="","",IF($B1054="Onsite",INDEX(tbl_Onsite[Invoice Type],$BI1054),IF($B1054="Production",INDEX(tbl_Production[Invoice Type],$BI1054),INDEX(tbl_Consulting[Invoice Type],$BI1054)))&amp;"")</f>
        <v/>
      </c>
      <c r="J1054" s="10">
        <f>IF($BI1054="","",IF($B1054="Onsite",INDEX(tbl_Onsite[Tax Code],$BI1054),IF($B1054="Production",INDEX(tbl_Production[Tax Code],$BI1054),INDEX(tbl_Consulting[Tax Code],$BI1054)))&amp;"")</f>
        <v/>
      </c>
      <c r="K1054" s="10">
        <f>IF(H1054="","",IFERROR(INDEX(lst_CCtoGL,MATCH(H1054,lst_CCforGL,0)),""))</f>
        <v/>
      </c>
      <c r="L1054" s="10">
        <f>IF($BI1054="","",IF($B1054="Onsite",INDEX(tbl_Onsite[PO / Reference],$BI1054),IF($B1054="Production",INDEX(tbl_Production[Current RMS No],$BI1054),INDEX(tbl_Consulting[Qwilr Quote],$BI1054)))&amp;"")</f>
        <v/>
      </c>
      <c r="M1054" s="10">
        <f>IF($BI1054="","",IF($B1054="Onsite",INDEX(tbl_Onsite[Notes],$BI1054),IF($B1054="Production",INDEX(tbl_Production[Notes],$BI1054),INDEX(tbl_Consulting[Notes],$BI1054)))&amp;"")</f>
        <v/>
      </c>
      <c r="N1054" s="11">
        <f>IF($BI1054="","",IF(IF($B1054="Onsite",INDEX(tbl_Onsite[Expected Revenue Ex GST],$BI1054),IF($B1054="Production",INDEX(tbl_Production[Expected Revenue Ex GST],$BI1054),INDEX(tbl_Consulting[Expected Revenue Ex GST],$BI1054)))="","",IF($B1054="Onsite",INDEX(tbl_Onsite[Expected Revenue Ex GST],$BI1054),IF($B1054="Production",INDEX(tbl_Production[Expected Revenue Ex GST],$BI1054),INDEX(tbl_Consulting[Expected Revenue Ex GST],$BI1054)))))</f>
        <v/>
      </c>
      <c r="O1054" s="11">
        <f>IF(AND($C1054="",NOT(COUNTA($S1054:$BB1054)&gt;0)),"",SUM(U1054,X1054,AA1054,AD1054,AG1054,AJ1054,AM1054,AP1054,AS1054,AV1054,AY1054,BB1054))</f>
        <v/>
      </c>
      <c r="P1054" s="11">
        <f>IF(O1054="","",N(N1054)-O1054)</f>
        <v/>
      </c>
      <c r="Q1054" s="10">
        <f>IF(O1054="","",IF($C1054="","Invoice on empty job row",IF(N1054="",IF(ROUND(O1054,2)=0,"No dept value","Invoiced - no dept value"),IF(ROUND(O1054,2)=0,"Not invoiced - to invoice",IF(ROUND(P1054,2)=0,"Agrees",IF(P1054&gt;0,"Dept higher - to invoice","Xero higher - check dept"))))))</f>
        <v/>
      </c>
      <c r="R1054" s="10">
        <f>IF(AND($C1054="",NOT(COUNTA($S1054:$BB1054)&gt;0),$BI1054&lt;&gt;""),"",MID(IF($BI1054="","; Row ID not found on the department sheet - a row was deleted","")&amp;IF(AND($C1054="",COUNTA($S1054:$BB1054)&gt;0),"; Invoice entered but the department row has no job number","")&amp;IF(E1054="CHECK","; Job number not in the Xero job list","")&amp;IF(AND($C1054&lt;&gt;"",COUNTIF($C$7:$C$1506,$C1054)&gt;1),"; Job number on more than one row","")&amp;IF(AND($C1054&lt;&gt;"",H1054=""),"; Dept has not set a cost centre","")&amp;IF(AND($C1054&lt;&gt;"",J1054=""),"; Dept has not set a tax code","")&amp;IF(AND($C1054&lt;&gt;"",N1054=""),"; Dept has not entered an expected value","")&amp;IF((IF(OR(COUNTA(S1054:U1054)=0,AND(COUNTA(S1054:U1054)=3,ISNUMBER(U1054))),0,1)+IF(OR(COUNTA(V1054:X1054)=0,AND(COUNTA(V1054:X1054)=3,ISNUMBER(X1054))),0,1)+IF(OR(COUNTA(Y1054:AA1054)=0,AND(COUNTA(Y1054:AA1054)=3,ISNUMBER(AA1054))),0,1)+IF(OR(COUNTA(AB1054:AD1054)=0,AND(COUNTA(AB1054:AD1054)=3,ISNUMBER(AD1054))),0,1)+IF(OR(COUNTA(AE1054:AG1054)=0,AND(COUNTA(AE1054:AG1054)=3,ISNUMBER(AG1054))),0,1)+IF(OR(COUNTA(AH1054:AJ1054)=0,AND(COUNTA(AH1054:AJ1054)=3,ISNUMBER(AJ1054))),0,1)+IF(OR(COUNTA(AK1054:AM1054)=0,AND(COUNTA(AK1054:AM1054)=3,ISNUMBER(AM1054))),0,1)+IF(OR(COUNTA(AN1054:AP1054)=0,AND(COUNTA(AN1054:AP1054)=3,ISNUMBER(AP1054))),0,1)+IF(OR(COUNTA(AQ1054:AS1054)=0,AND(COUNTA(AQ1054:AS1054)=3,ISNUMBER(AS1054))),0,1)+IF(OR(COUNTA(AT1054:AV1054)=0,AND(COUNTA(AT1054:AV1054)=3,ISNUMBER(AV1054))),0,1)+IF(OR(COUNTA(AW1054:AY1054)=0,AND(COUNTA(AW1054:AY1054)=3,ISNUMBER(AY1054))),0,1)+IF(OR(COUNTA(AZ1054:BB1054)=0,AND(COUNTA(AZ1054:BB1054)=3,ISNUMBER(BB1054))),0,1))&gt;0,"; An invoice is incomplete (needs No, Date and a number in Ex GST)","")&amp;IF((IF(T1054="",0,IFERROR(--(EOMONTH(T1054,0)&lt;&gt;S$5),1))+IF(W1054="",0,IFERROR(--(EOMONTH(W1054,0)&lt;&gt;V$5),1))+IF(Z1054="",0,IFERROR(--(EOMONTH(Z1054,0)&lt;&gt;Y$5),1))+IF(AC1054="",0,IFERROR(--(EOMONTH(AC1054,0)&lt;&gt;AB$5),1))+IF(AF1054="",0,IFERROR(--(EOMONTH(AF1054,0)&lt;&gt;AE$5),1))+IF(AI1054="",0,IFERROR(--(EOMONTH(AI1054,0)&lt;&gt;AH$5),1))+IF(AL1054="",0,IFERROR(--(EOMONTH(AL1054,0)&lt;&gt;AK$5),1))+IF(AO1054="",0,IFERROR(--(EOMONTH(AO1054,0)&lt;&gt;AN$5),1))+IF(AR1054="",0,IFERROR(--(EOMONTH(AR1054,0)&lt;&gt;AQ$5),1))+IF(AU1054="",0,IFERROR(--(EOMONTH(AU1054,0)&lt;&gt;AT$5),1))+IF(AX1054="",0,IFERROR(--(EOMONTH(AX1054,0)&lt;&gt;AW$5),1))+IF(BA1054="",0,IFERROR(--(EOMONTH(BA1054,0)&lt;&gt;AZ$5),1)))&gt;0,"; An invoice date is not in the month it is typed under",""),3,500))</f>
        <v/>
      </c>
      <c r="S1054" s="12" t="n"/>
      <c r="T1054" s="13" t="n"/>
      <c r="U1054" s="14" t="n"/>
      <c r="V1054" s="12" t="n"/>
      <c r="W1054" s="13" t="n"/>
      <c r="X1054" s="14" t="n"/>
      <c r="Y1054" s="12" t="n"/>
      <c r="Z1054" s="13" t="n"/>
      <c r="AA1054" s="14" t="n"/>
      <c r="AB1054" s="12" t="n"/>
      <c r="AC1054" s="13" t="n"/>
      <c r="AD1054" s="14" t="n"/>
      <c r="AE1054" s="12" t="n"/>
      <c r="AF1054" s="13" t="n"/>
      <c r="AG1054" s="14" t="n"/>
      <c r="AH1054" s="12" t="n"/>
      <c r="AI1054" s="13" t="n"/>
      <c r="AJ1054" s="14" t="n"/>
      <c r="AK1054" s="12" t="n"/>
      <c r="AL1054" s="13" t="n"/>
      <c r="AM1054" s="14" t="n"/>
      <c r="AN1054" s="12" t="n"/>
      <c r="AO1054" s="13" t="n"/>
      <c r="AP1054" s="14" t="n"/>
      <c r="AQ1054" s="12" t="n"/>
      <c r="AR1054" s="13" t="n"/>
      <c r="AS1054" s="14" t="n"/>
      <c r="AT1054" s="12" t="n"/>
      <c r="AU1054" s="13" t="n"/>
      <c r="AV1054" s="14" t="n"/>
      <c r="AW1054" s="12" t="n"/>
      <c r="AX1054" s="13" t="n"/>
      <c r="AY1054" s="14" t="n"/>
      <c r="AZ1054" s="12" t="n"/>
      <c r="BA1054" s="13" t="n"/>
      <c r="BB1054" s="14" t="n"/>
      <c r="BC1054" s="11">
        <f>IF(O1054="","",IF(J1054="GST 10%",ROUND(O1054*set_GSTRate,2),0))</f>
        <v/>
      </c>
      <c r="BD1054" s="11">
        <f>IF(O1054="","",O1054+BC1054)</f>
        <v/>
      </c>
      <c r="BE1054" s="15">
        <f>IF(O1054="","",COUNTA(S1054,V1054,Y1054,AB1054,AE1054,AH1054,AK1054,AN1054,AQ1054,AT1054,AW1054,AZ1054))</f>
        <v/>
      </c>
      <c r="BF1054" s="16">
        <f>IF(COUNT(T1054,W1054,Z1054,AC1054,AF1054,AI1054,AL1054,AO1054,AR1054,AU1054,AX1054,BA1054)=0,"",MAX(T1054,W1054,Z1054,AC1054,AF1054,AI1054,AL1054,AO1054,AR1054,AU1054,AX1054,BA1054))</f>
        <v/>
      </c>
      <c r="BG1054" s="10">
        <f>MID(IF(S1054="","",", "&amp;S1054)&amp;IF(V1054="","",", "&amp;V1054)&amp;IF(Y1054="","",", "&amp;Y1054)&amp;IF(AB1054="","",", "&amp;AB1054)&amp;IF(AE1054="","",", "&amp;AE1054)&amp;IF(AH1054="","",", "&amp;AH1054)&amp;IF(AK1054="","",", "&amp;AK1054)&amp;IF(AN1054="","",", "&amp;AN1054)&amp;IF(AQ1054="","",", "&amp;AQ1054)&amp;IF(AT1054="","",", "&amp;AT1054)&amp;IF(AW1054="","",", "&amp;AW1054)&amp;IF(AZ1054="","",", "&amp;AZ1054),3,500)</f>
        <v/>
      </c>
      <c r="BH1054" s="12" t="n"/>
      <c r="BI1054" s="15">
        <f>IFERROR(MATCH($A1054,IF($B1054="Onsite",tbl_Onsite[Row ID],IF($B1054="Production",tbl_Production[Row ID],tbl_Consulting[Row ID])),0),"")</f>
        <v/>
      </c>
    </row>
    <row r="1055">
      <c r="A1055" s="10" t="inlineStr">
        <is>
          <t>CON-0049</t>
        </is>
      </c>
      <c r="B1055" s="10" t="inlineStr">
        <is>
          <t>Consulting</t>
        </is>
      </c>
      <c r="C1055" s="10">
        <f>IF($BI1055="","",IF($B1055="Onsite",INDEX(tbl_Onsite[Job Number],$BI1055),IF($B1055="Production",INDEX(tbl_Production[Job Number],$BI1055),INDEX(tbl_Consulting[Job Number],$BI1055)))&amp;"")</f>
        <v/>
      </c>
      <c r="D1055" s="10">
        <f>IF($BI1055="","",IF($B1055="Onsite",INDEX(tbl_Onsite[Client],$BI1055),IF($B1055="Production",INDEX(tbl_Production[Client],$BI1055),INDEX(tbl_Consulting[Client],$BI1055)))&amp;"")</f>
        <v/>
      </c>
      <c r="E1055" s="10">
        <f>IF($C1055="","",IF(COUNTIF(lst_Jobs,$C1055)&gt;0,"OK","CHECK"))</f>
        <v/>
      </c>
      <c r="F1055" s="10">
        <f>IF($C1055="","",IFERROR(INDEX(lst_JobName,MATCH($C1055,lst_Jobs,0)),""))</f>
        <v/>
      </c>
      <c r="G1055" s="10">
        <f>IF($BI1055="","",IF($B1055="Onsite",INDEX(tbl_Onsite[Job Description],$BI1055),IF($B1055="Production",INDEX(tbl_Production[Job Description],$BI1055),INDEX(tbl_Consulting[Job Description],$BI1055)))&amp;"")</f>
        <v/>
      </c>
      <c r="H1055" s="10">
        <f>IF($BI1055="","",IF($B1055="Onsite",INDEX(tbl_Onsite[Cost Centre],$BI1055),IF($B1055="Production",INDEX(tbl_Production[Cost Centre],$BI1055),INDEX(tbl_Consulting[Cost Centre],$BI1055)))&amp;"")</f>
        <v/>
      </c>
      <c r="I1055" s="10">
        <f>IF($BI1055="","",IF($B1055="Onsite",INDEX(tbl_Onsite[Invoice Type],$BI1055),IF($B1055="Production",INDEX(tbl_Production[Invoice Type],$BI1055),INDEX(tbl_Consulting[Invoice Type],$BI1055)))&amp;"")</f>
        <v/>
      </c>
      <c r="J1055" s="10">
        <f>IF($BI1055="","",IF($B1055="Onsite",INDEX(tbl_Onsite[Tax Code],$BI1055),IF($B1055="Production",INDEX(tbl_Production[Tax Code],$BI1055),INDEX(tbl_Consulting[Tax Code],$BI1055)))&amp;"")</f>
        <v/>
      </c>
      <c r="K1055" s="10">
        <f>IF(H1055="","",IFERROR(INDEX(lst_CCtoGL,MATCH(H1055,lst_CCforGL,0)),""))</f>
        <v/>
      </c>
      <c r="L1055" s="10">
        <f>IF($BI1055="","",IF($B1055="Onsite",INDEX(tbl_Onsite[PO / Reference],$BI1055),IF($B1055="Production",INDEX(tbl_Production[Current RMS No],$BI1055),INDEX(tbl_Consulting[Qwilr Quote],$BI1055)))&amp;"")</f>
        <v/>
      </c>
      <c r="M1055" s="10">
        <f>IF($BI1055="","",IF($B1055="Onsite",INDEX(tbl_Onsite[Notes],$BI1055),IF($B1055="Production",INDEX(tbl_Production[Notes],$BI1055),INDEX(tbl_Consulting[Notes],$BI1055)))&amp;"")</f>
        <v/>
      </c>
      <c r="N1055" s="11">
        <f>IF($BI1055="","",IF(IF($B1055="Onsite",INDEX(tbl_Onsite[Expected Revenue Ex GST],$BI1055),IF($B1055="Production",INDEX(tbl_Production[Expected Revenue Ex GST],$BI1055),INDEX(tbl_Consulting[Expected Revenue Ex GST],$BI1055)))="","",IF($B1055="Onsite",INDEX(tbl_Onsite[Expected Revenue Ex GST],$BI1055),IF($B1055="Production",INDEX(tbl_Production[Expected Revenue Ex GST],$BI1055),INDEX(tbl_Consulting[Expected Revenue Ex GST],$BI1055)))))</f>
        <v/>
      </c>
      <c r="O1055" s="11">
        <f>IF(AND($C1055="",NOT(COUNTA($S1055:$BB1055)&gt;0)),"",SUM(U1055,X1055,AA1055,AD1055,AG1055,AJ1055,AM1055,AP1055,AS1055,AV1055,AY1055,BB1055))</f>
        <v/>
      </c>
      <c r="P1055" s="11">
        <f>IF(O1055="","",N(N1055)-O1055)</f>
        <v/>
      </c>
      <c r="Q1055" s="10">
        <f>IF(O1055="","",IF($C1055="","Invoice on empty job row",IF(N1055="",IF(ROUND(O1055,2)=0,"No dept value","Invoiced - no dept value"),IF(ROUND(O1055,2)=0,"Not invoiced - to invoice",IF(ROUND(P1055,2)=0,"Agrees",IF(P1055&gt;0,"Dept higher - to invoice","Xero higher - check dept"))))))</f>
        <v/>
      </c>
      <c r="R1055" s="10">
        <f>IF(AND($C1055="",NOT(COUNTA($S1055:$BB1055)&gt;0),$BI1055&lt;&gt;""),"",MID(IF($BI1055="","; Row ID not found on the department sheet - a row was deleted","")&amp;IF(AND($C1055="",COUNTA($S1055:$BB1055)&gt;0),"; Invoice entered but the department row has no job number","")&amp;IF(E1055="CHECK","; Job number not in the Xero job list","")&amp;IF(AND($C1055&lt;&gt;"",COUNTIF($C$7:$C$1506,$C1055)&gt;1),"; Job number on more than one row","")&amp;IF(AND($C1055&lt;&gt;"",H1055=""),"; Dept has not set a cost centre","")&amp;IF(AND($C1055&lt;&gt;"",J1055=""),"; Dept has not set a tax code","")&amp;IF(AND($C1055&lt;&gt;"",N1055=""),"; Dept has not entered an expected value","")&amp;IF((IF(OR(COUNTA(S1055:U1055)=0,AND(COUNTA(S1055:U1055)=3,ISNUMBER(U1055))),0,1)+IF(OR(COUNTA(V1055:X1055)=0,AND(COUNTA(V1055:X1055)=3,ISNUMBER(X1055))),0,1)+IF(OR(COUNTA(Y1055:AA1055)=0,AND(COUNTA(Y1055:AA1055)=3,ISNUMBER(AA1055))),0,1)+IF(OR(COUNTA(AB1055:AD1055)=0,AND(COUNTA(AB1055:AD1055)=3,ISNUMBER(AD1055))),0,1)+IF(OR(COUNTA(AE1055:AG1055)=0,AND(COUNTA(AE1055:AG1055)=3,ISNUMBER(AG1055))),0,1)+IF(OR(COUNTA(AH1055:AJ1055)=0,AND(COUNTA(AH1055:AJ1055)=3,ISNUMBER(AJ1055))),0,1)+IF(OR(COUNTA(AK1055:AM1055)=0,AND(COUNTA(AK1055:AM1055)=3,ISNUMBER(AM1055))),0,1)+IF(OR(COUNTA(AN1055:AP1055)=0,AND(COUNTA(AN1055:AP1055)=3,ISNUMBER(AP1055))),0,1)+IF(OR(COUNTA(AQ1055:AS1055)=0,AND(COUNTA(AQ1055:AS1055)=3,ISNUMBER(AS1055))),0,1)+IF(OR(COUNTA(AT1055:AV1055)=0,AND(COUNTA(AT1055:AV1055)=3,ISNUMBER(AV1055))),0,1)+IF(OR(COUNTA(AW1055:AY1055)=0,AND(COUNTA(AW1055:AY1055)=3,ISNUMBER(AY1055))),0,1)+IF(OR(COUNTA(AZ1055:BB1055)=0,AND(COUNTA(AZ1055:BB1055)=3,ISNUMBER(BB1055))),0,1))&gt;0,"; An invoice is incomplete (needs No, Date and a number in Ex GST)","")&amp;IF((IF(T1055="",0,IFERROR(--(EOMONTH(T1055,0)&lt;&gt;S$5),1))+IF(W1055="",0,IFERROR(--(EOMONTH(W1055,0)&lt;&gt;V$5),1))+IF(Z1055="",0,IFERROR(--(EOMONTH(Z1055,0)&lt;&gt;Y$5),1))+IF(AC1055="",0,IFERROR(--(EOMONTH(AC1055,0)&lt;&gt;AB$5),1))+IF(AF1055="",0,IFERROR(--(EOMONTH(AF1055,0)&lt;&gt;AE$5),1))+IF(AI1055="",0,IFERROR(--(EOMONTH(AI1055,0)&lt;&gt;AH$5),1))+IF(AL1055="",0,IFERROR(--(EOMONTH(AL1055,0)&lt;&gt;AK$5),1))+IF(AO1055="",0,IFERROR(--(EOMONTH(AO1055,0)&lt;&gt;AN$5),1))+IF(AR1055="",0,IFERROR(--(EOMONTH(AR1055,0)&lt;&gt;AQ$5),1))+IF(AU1055="",0,IFERROR(--(EOMONTH(AU1055,0)&lt;&gt;AT$5),1))+IF(AX1055="",0,IFERROR(--(EOMONTH(AX1055,0)&lt;&gt;AW$5),1))+IF(BA1055="",0,IFERROR(--(EOMONTH(BA1055,0)&lt;&gt;AZ$5),1)))&gt;0,"; An invoice date is not in the month it is typed under",""),3,500))</f>
        <v/>
      </c>
      <c r="S1055" s="12" t="n"/>
      <c r="T1055" s="13" t="n"/>
      <c r="U1055" s="14" t="n"/>
      <c r="V1055" s="12" t="n"/>
      <c r="W1055" s="13" t="n"/>
      <c r="X1055" s="14" t="n"/>
      <c r="Y1055" s="12" t="n"/>
      <c r="Z1055" s="13" t="n"/>
      <c r="AA1055" s="14" t="n"/>
      <c r="AB1055" s="12" t="n"/>
      <c r="AC1055" s="13" t="n"/>
      <c r="AD1055" s="14" t="n"/>
      <c r="AE1055" s="12" t="n"/>
      <c r="AF1055" s="13" t="n"/>
      <c r="AG1055" s="14" t="n"/>
      <c r="AH1055" s="12" t="n"/>
      <c r="AI1055" s="13" t="n"/>
      <c r="AJ1055" s="14" t="n"/>
      <c r="AK1055" s="12" t="n"/>
      <c r="AL1055" s="13" t="n"/>
      <c r="AM1055" s="14" t="n"/>
      <c r="AN1055" s="12" t="n"/>
      <c r="AO1055" s="13" t="n"/>
      <c r="AP1055" s="14" t="n"/>
      <c r="AQ1055" s="12" t="n"/>
      <c r="AR1055" s="13" t="n"/>
      <c r="AS1055" s="14" t="n"/>
      <c r="AT1055" s="12" t="n"/>
      <c r="AU1055" s="13" t="n"/>
      <c r="AV1055" s="14" t="n"/>
      <c r="AW1055" s="12" t="n"/>
      <c r="AX1055" s="13" t="n"/>
      <c r="AY1055" s="14" t="n"/>
      <c r="AZ1055" s="12" t="n"/>
      <c r="BA1055" s="13" t="n"/>
      <c r="BB1055" s="14" t="n"/>
      <c r="BC1055" s="11">
        <f>IF(O1055="","",IF(J1055="GST 10%",ROUND(O1055*set_GSTRate,2),0))</f>
        <v/>
      </c>
      <c r="BD1055" s="11">
        <f>IF(O1055="","",O1055+BC1055)</f>
        <v/>
      </c>
      <c r="BE1055" s="15">
        <f>IF(O1055="","",COUNTA(S1055,V1055,Y1055,AB1055,AE1055,AH1055,AK1055,AN1055,AQ1055,AT1055,AW1055,AZ1055))</f>
        <v/>
      </c>
      <c r="BF1055" s="16">
        <f>IF(COUNT(T1055,W1055,Z1055,AC1055,AF1055,AI1055,AL1055,AO1055,AR1055,AU1055,AX1055,BA1055)=0,"",MAX(T1055,W1055,Z1055,AC1055,AF1055,AI1055,AL1055,AO1055,AR1055,AU1055,AX1055,BA1055))</f>
        <v/>
      </c>
      <c r="BG1055" s="10">
        <f>MID(IF(S1055="","",", "&amp;S1055)&amp;IF(V1055="","",", "&amp;V1055)&amp;IF(Y1055="","",", "&amp;Y1055)&amp;IF(AB1055="","",", "&amp;AB1055)&amp;IF(AE1055="","",", "&amp;AE1055)&amp;IF(AH1055="","",", "&amp;AH1055)&amp;IF(AK1055="","",", "&amp;AK1055)&amp;IF(AN1055="","",", "&amp;AN1055)&amp;IF(AQ1055="","",", "&amp;AQ1055)&amp;IF(AT1055="","",", "&amp;AT1055)&amp;IF(AW1055="","",", "&amp;AW1055)&amp;IF(AZ1055="","",", "&amp;AZ1055),3,500)</f>
        <v/>
      </c>
      <c r="BH1055" s="12" t="n"/>
      <c r="BI1055" s="15">
        <f>IFERROR(MATCH($A1055,IF($B1055="Onsite",tbl_Onsite[Row ID],IF($B1055="Production",tbl_Production[Row ID],tbl_Consulting[Row ID])),0),"")</f>
        <v/>
      </c>
    </row>
    <row r="1056">
      <c r="A1056" s="10" t="inlineStr">
        <is>
          <t>CON-0050</t>
        </is>
      </c>
      <c r="B1056" s="10" t="inlineStr">
        <is>
          <t>Consulting</t>
        </is>
      </c>
      <c r="C1056" s="10">
        <f>IF($BI1056="","",IF($B1056="Onsite",INDEX(tbl_Onsite[Job Number],$BI1056),IF($B1056="Production",INDEX(tbl_Production[Job Number],$BI1056),INDEX(tbl_Consulting[Job Number],$BI1056)))&amp;"")</f>
        <v/>
      </c>
      <c r="D1056" s="10">
        <f>IF($BI1056="","",IF($B1056="Onsite",INDEX(tbl_Onsite[Client],$BI1056),IF($B1056="Production",INDEX(tbl_Production[Client],$BI1056),INDEX(tbl_Consulting[Client],$BI1056)))&amp;"")</f>
        <v/>
      </c>
      <c r="E1056" s="10">
        <f>IF($C1056="","",IF(COUNTIF(lst_Jobs,$C1056)&gt;0,"OK","CHECK"))</f>
        <v/>
      </c>
      <c r="F1056" s="10">
        <f>IF($C1056="","",IFERROR(INDEX(lst_JobName,MATCH($C1056,lst_Jobs,0)),""))</f>
        <v/>
      </c>
      <c r="G1056" s="10">
        <f>IF($BI1056="","",IF($B1056="Onsite",INDEX(tbl_Onsite[Job Description],$BI1056),IF($B1056="Production",INDEX(tbl_Production[Job Description],$BI1056),INDEX(tbl_Consulting[Job Description],$BI1056)))&amp;"")</f>
        <v/>
      </c>
      <c r="H1056" s="10">
        <f>IF($BI1056="","",IF($B1056="Onsite",INDEX(tbl_Onsite[Cost Centre],$BI1056),IF($B1056="Production",INDEX(tbl_Production[Cost Centre],$BI1056),INDEX(tbl_Consulting[Cost Centre],$BI1056)))&amp;"")</f>
        <v/>
      </c>
      <c r="I1056" s="10">
        <f>IF($BI1056="","",IF($B1056="Onsite",INDEX(tbl_Onsite[Invoice Type],$BI1056),IF($B1056="Production",INDEX(tbl_Production[Invoice Type],$BI1056),INDEX(tbl_Consulting[Invoice Type],$BI1056)))&amp;"")</f>
        <v/>
      </c>
      <c r="J1056" s="10">
        <f>IF($BI1056="","",IF($B1056="Onsite",INDEX(tbl_Onsite[Tax Code],$BI1056),IF($B1056="Production",INDEX(tbl_Production[Tax Code],$BI1056),INDEX(tbl_Consulting[Tax Code],$BI1056)))&amp;"")</f>
        <v/>
      </c>
      <c r="K1056" s="10">
        <f>IF(H1056="","",IFERROR(INDEX(lst_CCtoGL,MATCH(H1056,lst_CCforGL,0)),""))</f>
        <v/>
      </c>
      <c r="L1056" s="10">
        <f>IF($BI1056="","",IF($B1056="Onsite",INDEX(tbl_Onsite[PO / Reference],$BI1056),IF($B1056="Production",INDEX(tbl_Production[Current RMS No],$BI1056),INDEX(tbl_Consulting[Qwilr Quote],$BI1056)))&amp;"")</f>
        <v/>
      </c>
      <c r="M1056" s="10">
        <f>IF($BI1056="","",IF($B1056="Onsite",INDEX(tbl_Onsite[Notes],$BI1056),IF($B1056="Production",INDEX(tbl_Production[Notes],$BI1056),INDEX(tbl_Consulting[Notes],$BI1056)))&amp;"")</f>
        <v/>
      </c>
      <c r="N1056" s="11">
        <f>IF($BI1056="","",IF(IF($B1056="Onsite",INDEX(tbl_Onsite[Expected Revenue Ex GST],$BI1056),IF($B1056="Production",INDEX(tbl_Production[Expected Revenue Ex GST],$BI1056),INDEX(tbl_Consulting[Expected Revenue Ex GST],$BI1056)))="","",IF($B1056="Onsite",INDEX(tbl_Onsite[Expected Revenue Ex GST],$BI1056),IF($B1056="Production",INDEX(tbl_Production[Expected Revenue Ex GST],$BI1056),INDEX(tbl_Consulting[Expected Revenue Ex GST],$BI1056)))))</f>
        <v/>
      </c>
      <c r="O1056" s="11">
        <f>IF(AND($C1056="",NOT(COUNTA($S1056:$BB1056)&gt;0)),"",SUM(U1056,X1056,AA1056,AD1056,AG1056,AJ1056,AM1056,AP1056,AS1056,AV1056,AY1056,BB1056))</f>
        <v/>
      </c>
      <c r="P1056" s="11">
        <f>IF(O1056="","",N(N1056)-O1056)</f>
        <v/>
      </c>
      <c r="Q1056" s="10">
        <f>IF(O1056="","",IF($C1056="","Invoice on empty job row",IF(N1056="",IF(ROUND(O1056,2)=0,"No dept value","Invoiced - no dept value"),IF(ROUND(O1056,2)=0,"Not invoiced - to invoice",IF(ROUND(P1056,2)=0,"Agrees",IF(P1056&gt;0,"Dept higher - to invoice","Xero higher - check dept"))))))</f>
        <v/>
      </c>
      <c r="R1056" s="10">
        <f>IF(AND($C1056="",NOT(COUNTA($S1056:$BB1056)&gt;0),$BI1056&lt;&gt;""),"",MID(IF($BI1056="","; Row ID not found on the department sheet - a row was deleted","")&amp;IF(AND($C1056="",COUNTA($S1056:$BB1056)&gt;0),"; Invoice entered but the department row has no job number","")&amp;IF(E1056="CHECK","; Job number not in the Xero job list","")&amp;IF(AND($C1056&lt;&gt;"",COUNTIF($C$7:$C$1506,$C1056)&gt;1),"; Job number on more than one row","")&amp;IF(AND($C1056&lt;&gt;"",H1056=""),"; Dept has not set a cost centre","")&amp;IF(AND($C1056&lt;&gt;"",J1056=""),"; Dept has not set a tax code","")&amp;IF(AND($C1056&lt;&gt;"",N1056=""),"; Dept has not entered an expected value","")&amp;IF((IF(OR(COUNTA(S1056:U1056)=0,AND(COUNTA(S1056:U1056)=3,ISNUMBER(U1056))),0,1)+IF(OR(COUNTA(V1056:X1056)=0,AND(COUNTA(V1056:X1056)=3,ISNUMBER(X1056))),0,1)+IF(OR(COUNTA(Y1056:AA1056)=0,AND(COUNTA(Y1056:AA1056)=3,ISNUMBER(AA1056))),0,1)+IF(OR(COUNTA(AB1056:AD1056)=0,AND(COUNTA(AB1056:AD1056)=3,ISNUMBER(AD1056))),0,1)+IF(OR(COUNTA(AE1056:AG1056)=0,AND(COUNTA(AE1056:AG1056)=3,ISNUMBER(AG1056))),0,1)+IF(OR(COUNTA(AH1056:AJ1056)=0,AND(COUNTA(AH1056:AJ1056)=3,ISNUMBER(AJ1056))),0,1)+IF(OR(COUNTA(AK1056:AM1056)=0,AND(COUNTA(AK1056:AM1056)=3,ISNUMBER(AM1056))),0,1)+IF(OR(COUNTA(AN1056:AP1056)=0,AND(COUNTA(AN1056:AP1056)=3,ISNUMBER(AP1056))),0,1)+IF(OR(COUNTA(AQ1056:AS1056)=0,AND(COUNTA(AQ1056:AS1056)=3,ISNUMBER(AS1056))),0,1)+IF(OR(COUNTA(AT1056:AV1056)=0,AND(COUNTA(AT1056:AV1056)=3,ISNUMBER(AV1056))),0,1)+IF(OR(COUNTA(AW1056:AY1056)=0,AND(COUNTA(AW1056:AY1056)=3,ISNUMBER(AY1056))),0,1)+IF(OR(COUNTA(AZ1056:BB1056)=0,AND(COUNTA(AZ1056:BB1056)=3,ISNUMBER(BB1056))),0,1))&gt;0,"; An invoice is incomplete (needs No, Date and a number in Ex GST)","")&amp;IF((IF(T1056="",0,IFERROR(--(EOMONTH(T1056,0)&lt;&gt;S$5),1))+IF(W1056="",0,IFERROR(--(EOMONTH(W1056,0)&lt;&gt;V$5),1))+IF(Z1056="",0,IFERROR(--(EOMONTH(Z1056,0)&lt;&gt;Y$5),1))+IF(AC1056="",0,IFERROR(--(EOMONTH(AC1056,0)&lt;&gt;AB$5),1))+IF(AF1056="",0,IFERROR(--(EOMONTH(AF1056,0)&lt;&gt;AE$5),1))+IF(AI1056="",0,IFERROR(--(EOMONTH(AI1056,0)&lt;&gt;AH$5),1))+IF(AL1056="",0,IFERROR(--(EOMONTH(AL1056,0)&lt;&gt;AK$5),1))+IF(AO1056="",0,IFERROR(--(EOMONTH(AO1056,0)&lt;&gt;AN$5),1))+IF(AR1056="",0,IFERROR(--(EOMONTH(AR1056,0)&lt;&gt;AQ$5),1))+IF(AU1056="",0,IFERROR(--(EOMONTH(AU1056,0)&lt;&gt;AT$5),1))+IF(AX1056="",0,IFERROR(--(EOMONTH(AX1056,0)&lt;&gt;AW$5),1))+IF(BA1056="",0,IFERROR(--(EOMONTH(BA1056,0)&lt;&gt;AZ$5),1)))&gt;0,"; An invoice date is not in the month it is typed under",""),3,500))</f>
        <v/>
      </c>
      <c r="S1056" s="12" t="n"/>
      <c r="T1056" s="13" t="n"/>
      <c r="U1056" s="14" t="n"/>
      <c r="V1056" s="12" t="n"/>
      <c r="W1056" s="13" t="n"/>
      <c r="X1056" s="14" t="n"/>
      <c r="Y1056" s="12" t="n"/>
      <c r="Z1056" s="13" t="n"/>
      <c r="AA1056" s="14" t="n"/>
      <c r="AB1056" s="12" t="n"/>
      <c r="AC1056" s="13" t="n"/>
      <c r="AD1056" s="14" t="n"/>
      <c r="AE1056" s="12" t="n"/>
      <c r="AF1056" s="13" t="n"/>
      <c r="AG1056" s="14" t="n"/>
      <c r="AH1056" s="12" t="n"/>
      <c r="AI1056" s="13" t="n"/>
      <c r="AJ1056" s="14" t="n"/>
      <c r="AK1056" s="12" t="n"/>
      <c r="AL1056" s="13" t="n"/>
      <c r="AM1056" s="14" t="n"/>
      <c r="AN1056" s="12" t="n"/>
      <c r="AO1056" s="13" t="n"/>
      <c r="AP1056" s="14" t="n"/>
      <c r="AQ1056" s="12" t="n"/>
      <c r="AR1056" s="13" t="n"/>
      <c r="AS1056" s="14" t="n"/>
      <c r="AT1056" s="12" t="n"/>
      <c r="AU1056" s="13" t="n"/>
      <c r="AV1056" s="14" t="n"/>
      <c r="AW1056" s="12" t="n"/>
      <c r="AX1056" s="13" t="n"/>
      <c r="AY1056" s="14" t="n"/>
      <c r="AZ1056" s="12" t="n"/>
      <c r="BA1056" s="13" t="n"/>
      <c r="BB1056" s="14" t="n"/>
      <c r="BC1056" s="11">
        <f>IF(O1056="","",IF(J1056="GST 10%",ROUND(O1056*set_GSTRate,2),0))</f>
        <v/>
      </c>
      <c r="BD1056" s="11">
        <f>IF(O1056="","",O1056+BC1056)</f>
        <v/>
      </c>
      <c r="BE1056" s="15">
        <f>IF(O1056="","",COUNTA(S1056,V1056,Y1056,AB1056,AE1056,AH1056,AK1056,AN1056,AQ1056,AT1056,AW1056,AZ1056))</f>
        <v/>
      </c>
      <c r="BF1056" s="16">
        <f>IF(COUNT(T1056,W1056,Z1056,AC1056,AF1056,AI1056,AL1056,AO1056,AR1056,AU1056,AX1056,BA1056)=0,"",MAX(T1056,W1056,Z1056,AC1056,AF1056,AI1056,AL1056,AO1056,AR1056,AU1056,AX1056,BA1056))</f>
        <v/>
      </c>
      <c r="BG1056" s="10">
        <f>MID(IF(S1056="","",", "&amp;S1056)&amp;IF(V1056="","",", "&amp;V1056)&amp;IF(Y1056="","",", "&amp;Y1056)&amp;IF(AB1056="","",", "&amp;AB1056)&amp;IF(AE1056="","",", "&amp;AE1056)&amp;IF(AH1056="","",", "&amp;AH1056)&amp;IF(AK1056="","",", "&amp;AK1056)&amp;IF(AN1056="","",", "&amp;AN1056)&amp;IF(AQ1056="","",", "&amp;AQ1056)&amp;IF(AT1056="","",", "&amp;AT1056)&amp;IF(AW1056="","",", "&amp;AW1056)&amp;IF(AZ1056="","",", "&amp;AZ1056),3,500)</f>
        <v/>
      </c>
      <c r="BH1056" s="12" t="n"/>
      <c r="BI1056" s="15">
        <f>IFERROR(MATCH($A1056,IF($B1056="Onsite",tbl_Onsite[Row ID],IF($B1056="Production",tbl_Production[Row ID],tbl_Consulting[Row ID])),0),"")</f>
        <v/>
      </c>
    </row>
    <row r="1057">
      <c r="A1057" s="10" t="inlineStr">
        <is>
          <t>CON-0051</t>
        </is>
      </c>
      <c r="B1057" s="10" t="inlineStr">
        <is>
          <t>Consulting</t>
        </is>
      </c>
      <c r="C1057" s="10">
        <f>IF($BI1057="","",IF($B1057="Onsite",INDEX(tbl_Onsite[Job Number],$BI1057),IF($B1057="Production",INDEX(tbl_Production[Job Number],$BI1057),INDEX(tbl_Consulting[Job Number],$BI1057)))&amp;"")</f>
        <v/>
      </c>
      <c r="D1057" s="10">
        <f>IF($BI1057="","",IF($B1057="Onsite",INDEX(tbl_Onsite[Client],$BI1057),IF($B1057="Production",INDEX(tbl_Production[Client],$BI1057),INDEX(tbl_Consulting[Client],$BI1057)))&amp;"")</f>
        <v/>
      </c>
      <c r="E1057" s="10">
        <f>IF($C1057="","",IF(COUNTIF(lst_Jobs,$C1057)&gt;0,"OK","CHECK"))</f>
        <v/>
      </c>
      <c r="F1057" s="10">
        <f>IF($C1057="","",IFERROR(INDEX(lst_JobName,MATCH($C1057,lst_Jobs,0)),""))</f>
        <v/>
      </c>
      <c r="G1057" s="10">
        <f>IF($BI1057="","",IF($B1057="Onsite",INDEX(tbl_Onsite[Job Description],$BI1057),IF($B1057="Production",INDEX(tbl_Production[Job Description],$BI1057),INDEX(tbl_Consulting[Job Description],$BI1057)))&amp;"")</f>
        <v/>
      </c>
      <c r="H1057" s="10">
        <f>IF($BI1057="","",IF($B1057="Onsite",INDEX(tbl_Onsite[Cost Centre],$BI1057),IF($B1057="Production",INDEX(tbl_Production[Cost Centre],$BI1057),INDEX(tbl_Consulting[Cost Centre],$BI1057)))&amp;"")</f>
        <v/>
      </c>
      <c r="I1057" s="10">
        <f>IF($BI1057="","",IF($B1057="Onsite",INDEX(tbl_Onsite[Invoice Type],$BI1057),IF($B1057="Production",INDEX(tbl_Production[Invoice Type],$BI1057),INDEX(tbl_Consulting[Invoice Type],$BI1057)))&amp;"")</f>
        <v/>
      </c>
      <c r="J1057" s="10">
        <f>IF($BI1057="","",IF($B1057="Onsite",INDEX(tbl_Onsite[Tax Code],$BI1057),IF($B1057="Production",INDEX(tbl_Production[Tax Code],$BI1057),INDEX(tbl_Consulting[Tax Code],$BI1057)))&amp;"")</f>
        <v/>
      </c>
      <c r="K1057" s="10">
        <f>IF(H1057="","",IFERROR(INDEX(lst_CCtoGL,MATCH(H1057,lst_CCforGL,0)),""))</f>
        <v/>
      </c>
      <c r="L1057" s="10">
        <f>IF($BI1057="","",IF($B1057="Onsite",INDEX(tbl_Onsite[PO / Reference],$BI1057),IF($B1057="Production",INDEX(tbl_Production[Current RMS No],$BI1057),INDEX(tbl_Consulting[Qwilr Quote],$BI1057)))&amp;"")</f>
        <v/>
      </c>
      <c r="M1057" s="10">
        <f>IF($BI1057="","",IF($B1057="Onsite",INDEX(tbl_Onsite[Notes],$BI1057),IF($B1057="Production",INDEX(tbl_Production[Notes],$BI1057),INDEX(tbl_Consulting[Notes],$BI1057)))&amp;"")</f>
        <v/>
      </c>
      <c r="N1057" s="11">
        <f>IF($BI1057="","",IF(IF($B1057="Onsite",INDEX(tbl_Onsite[Expected Revenue Ex GST],$BI1057),IF($B1057="Production",INDEX(tbl_Production[Expected Revenue Ex GST],$BI1057),INDEX(tbl_Consulting[Expected Revenue Ex GST],$BI1057)))="","",IF($B1057="Onsite",INDEX(tbl_Onsite[Expected Revenue Ex GST],$BI1057),IF($B1057="Production",INDEX(tbl_Production[Expected Revenue Ex GST],$BI1057),INDEX(tbl_Consulting[Expected Revenue Ex GST],$BI1057)))))</f>
        <v/>
      </c>
      <c r="O1057" s="11">
        <f>IF(AND($C1057="",NOT(COUNTA($S1057:$BB1057)&gt;0)),"",SUM(U1057,X1057,AA1057,AD1057,AG1057,AJ1057,AM1057,AP1057,AS1057,AV1057,AY1057,BB1057))</f>
        <v/>
      </c>
      <c r="P1057" s="11">
        <f>IF(O1057="","",N(N1057)-O1057)</f>
        <v/>
      </c>
      <c r="Q1057" s="10">
        <f>IF(O1057="","",IF($C1057="","Invoice on empty job row",IF(N1057="",IF(ROUND(O1057,2)=0,"No dept value","Invoiced - no dept value"),IF(ROUND(O1057,2)=0,"Not invoiced - to invoice",IF(ROUND(P1057,2)=0,"Agrees",IF(P1057&gt;0,"Dept higher - to invoice","Xero higher - check dept"))))))</f>
        <v/>
      </c>
      <c r="R1057" s="10">
        <f>IF(AND($C1057="",NOT(COUNTA($S1057:$BB1057)&gt;0),$BI1057&lt;&gt;""),"",MID(IF($BI1057="","; Row ID not found on the department sheet - a row was deleted","")&amp;IF(AND($C1057="",COUNTA($S1057:$BB1057)&gt;0),"; Invoice entered but the department row has no job number","")&amp;IF(E1057="CHECK","; Job number not in the Xero job list","")&amp;IF(AND($C1057&lt;&gt;"",COUNTIF($C$7:$C$1506,$C1057)&gt;1),"; Job number on more than one row","")&amp;IF(AND($C1057&lt;&gt;"",H1057=""),"; Dept has not set a cost centre","")&amp;IF(AND($C1057&lt;&gt;"",J1057=""),"; Dept has not set a tax code","")&amp;IF(AND($C1057&lt;&gt;"",N1057=""),"; Dept has not entered an expected value","")&amp;IF((IF(OR(COUNTA(S1057:U1057)=0,AND(COUNTA(S1057:U1057)=3,ISNUMBER(U1057))),0,1)+IF(OR(COUNTA(V1057:X1057)=0,AND(COUNTA(V1057:X1057)=3,ISNUMBER(X1057))),0,1)+IF(OR(COUNTA(Y1057:AA1057)=0,AND(COUNTA(Y1057:AA1057)=3,ISNUMBER(AA1057))),0,1)+IF(OR(COUNTA(AB1057:AD1057)=0,AND(COUNTA(AB1057:AD1057)=3,ISNUMBER(AD1057))),0,1)+IF(OR(COUNTA(AE1057:AG1057)=0,AND(COUNTA(AE1057:AG1057)=3,ISNUMBER(AG1057))),0,1)+IF(OR(COUNTA(AH1057:AJ1057)=0,AND(COUNTA(AH1057:AJ1057)=3,ISNUMBER(AJ1057))),0,1)+IF(OR(COUNTA(AK1057:AM1057)=0,AND(COUNTA(AK1057:AM1057)=3,ISNUMBER(AM1057))),0,1)+IF(OR(COUNTA(AN1057:AP1057)=0,AND(COUNTA(AN1057:AP1057)=3,ISNUMBER(AP1057))),0,1)+IF(OR(COUNTA(AQ1057:AS1057)=0,AND(COUNTA(AQ1057:AS1057)=3,ISNUMBER(AS1057))),0,1)+IF(OR(COUNTA(AT1057:AV1057)=0,AND(COUNTA(AT1057:AV1057)=3,ISNUMBER(AV1057))),0,1)+IF(OR(COUNTA(AW1057:AY1057)=0,AND(COUNTA(AW1057:AY1057)=3,ISNUMBER(AY1057))),0,1)+IF(OR(COUNTA(AZ1057:BB1057)=0,AND(COUNTA(AZ1057:BB1057)=3,ISNUMBER(BB1057))),0,1))&gt;0,"; An invoice is incomplete (needs No, Date and a number in Ex GST)","")&amp;IF((IF(T1057="",0,IFERROR(--(EOMONTH(T1057,0)&lt;&gt;S$5),1))+IF(W1057="",0,IFERROR(--(EOMONTH(W1057,0)&lt;&gt;V$5),1))+IF(Z1057="",0,IFERROR(--(EOMONTH(Z1057,0)&lt;&gt;Y$5),1))+IF(AC1057="",0,IFERROR(--(EOMONTH(AC1057,0)&lt;&gt;AB$5),1))+IF(AF1057="",0,IFERROR(--(EOMONTH(AF1057,0)&lt;&gt;AE$5),1))+IF(AI1057="",0,IFERROR(--(EOMONTH(AI1057,0)&lt;&gt;AH$5),1))+IF(AL1057="",0,IFERROR(--(EOMONTH(AL1057,0)&lt;&gt;AK$5),1))+IF(AO1057="",0,IFERROR(--(EOMONTH(AO1057,0)&lt;&gt;AN$5),1))+IF(AR1057="",0,IFERROR(--(EOMONTH(AR1057,0)&lt;&gt;AQ$5),1))+IF(AU1057="",0,IFERROR(--(EOMONTH(AU1057,0)&lt;&gt;AT$5),1))+IF(AX1057="",0,IFERROR(--(EOMONTH(AX1057,0)&lt;&gt;AW$5),1))+IF(BA1057="",0,IFERROR(--(EOMONTH(BA1057,0)&lt;&gt;AZ$5),1)))&gt;0,"; An invoice date is not in the month it is typed under",""),3,500))</f>
        <v/>
      </c>
      <c r="S1057" s="12" t="n"/>
      <c r="T1057" s="13" t="n"/>
      <c r="U1057" s="14" t="n"/>
      <c r="V1057" s="12" t="n"/>
      <c r="W1057" s="13" t="n"/>
      <c r="X1057" s="14" t="n"/>
      <c r="Y1057" s="12" t="n"/>
      <c r="Z1057" s="13" t="n"/>
      <c r="AA1057" s="14" t="n"/>
      <c r="AB1057" s="12" t="n"/>
      <c r="AC1057" s="13" t="n"/>
      <c r="AD1057" s="14" t="n"/>
      <c r="AE1057" s="12" t="n"/>
      <c r="AF1057" s="13" t="n"/>
      <c r="AG1057" s="14" t="n"/>
      <c r="AH1057" s="12" t="n"/>
      <c r="AI1057" s="13" t="n"/>
      <c r="AJ1057" s="14" t="n"/>
      <c r="AK1057" s="12" t="n"/>
      <c r="AL1057" s="13" t="n"/>
      <c r="AM1057" s="14" t="n"/>
      <c r="AN1057" s="12" t="n"/>
      <c r="AO1057" s="13" t="n"/>
      <c r="AP1057" s="14" t="n"/>
      <c r="AQ1057" s="12" t="n"/>
      <c r="AR1057" s="13" t="n"/>
      <c r="AS1057" s="14" t="n"/>
      <c r="AT1057" s="12" t="n"/>
      <c r="AU1057" s="13" t="n"/>
      <c r="AV1057" s="14" t="n"/>
      <c r="AW1057" s="12" t="n"/>
      <c r="AX1057" s="13" t="n"/>
      <c r="AY1057" s="14" t="n"/>
      <c r="AZ1057" s="12" t="n"/>
      <c r="BA1057" s="13" t="n"/>
      <c r="BB1057" s="14" t="n"/>
      <c r="BC1057" s="11">
        <f>IF(O1057="","",IF(J1057="GST 10%",ROUND(O1057*set_GSTRate,2),0))</f>
        <v/>
      </c>
      <c r="BD1057" s="11">
        <f>IF(O1057="","",O1057+BC1057)</f>
        <v/>
      </c>
      <c r="BE1057" s="15">
        <f>IF(O1057="","",COUNTA(S1057,V1057,Y1057,AB1057,AE1057,AH1057,AK1057,AN1057,AQ1057,AT1057,AW1057,AZ1057))</f>
        <v/>
      </c>
      <c r="BF1057" s="16">
        <f>IF(COUNT(T1057,W1057,Z1057,AC1057,AF1057,AI1057,AL1057,AO1057,AR1057,AU1057,AX1057,BA1057)=0,"",MAX(T1057,W1057,Z1057,AC1057,AF1057,AI1057,AL1057,AO1057,AR1057,AU1057,AX1057,BA1057))</f>
        <v/>
      </c>
      <c r="BG1057" s="10">
        <f>MID(IF(S1057="","",", "&amp;S1057)&amp;IF(V1057="","",", "&amp;V1057)&amp;IF(Y1057="","",", "&amp;Y1057)&amp;IF(AB1057="","",", "&amp;AB1057)&amp;IF(AE1057="","",", "&amp;AE1057)&amp;IF(AH1057="","",", "&amp;AH1057)&amp;IF(AK1057="","",", "&amp;AK1057)&amp;IF(AN1057="","",", "&amp;AN1057)&amp;IF(AQ1057="","",", "&amp;AQ1057)&amp;IF(AT1057="","",", "&amp;AT1057)&amp;IF(AW1057="","",", "&amp;AW1057)&amp;IF(AZ1057="","",", "&amp;AZ1057),3,500)</f>
        <v/>
      </c>
      <c r="BH1057" s="12" t="n"/>
      <c r="BI1057" s="15">
        <f>IFERROR(MATCH($A1057,IF($B1057="Onsite",tbl_Onsite[Row ID],IF($B1057="Production",tbl_Production[Row ID],tbl_Consulting[Row ID])),0),"")</f>
        <v/>
      </c>
    </row>
    <row r="1058">
      <c r="A1058" s="10" t="inlineStr">
        <is>
          <t>CON-0052</t>
        </is>
      </c>
      <c r="B1058" s="10" t="inlineStr">
        <is>
          <t>Consulting</t>
        </is>
      </c>
      <c r="C1058" s="10">
        <f>IF($BI1058="","",IF($B1058="Onsite",INDEX(tbl_Onsite[Job Number],$BI1058),IF($B1058="Production",INDEX(tbl_Production[Job Number],$BI1058),INDEX(tbl_Consulting[Job Number],$BI1058)))&amp;"")</f>
        <v/>
      </c>
      <c r="D1058" s="10">
        <f>IF($BI1058="","",IF($B1058="Onsite",INDEX(tbl_Onsite[Client],$BI1058),IF($B1058="Production",INDEX(tbl_Production[Client],$BI1058),INDEX(tbl_Consulting[Client],$BI1058)))&amp;"")</f>
        <v/>
      </c>
      <c r="E1058" s="10">
        <f>IF($C1058="","",IF(COUNTIF(lst_Jobs,$C1058)&gt;0,"OK","CHECK"))</f>
        <v/>
      </c>
      <c r="F1058" s="10">
        <f>IF($C1058="","",IFERROR(INDEX(lst_JobName,MATCH($C1058,lst_Jobs,0)),""))</f>
        <v/>
      </c>
      <c r="G1058" s="10">
        <f>IF($BI1058="","",IF($B1058="Onsite",INDEX(tbl_Onsite[Job Description],$BI1058),IF($B1058="Production",INDEX(tbl_Production[Job Description],$BI1058),INDEX(tbl_Consulting[Job Description],$BI1058)))&amp;"")</f>
        <v/>
      </c>
      <c r="H1058" s="10">
        <f>IF($BI1058="","",IF($B1058="Onsite",INDEX(tbl_Onsite[Cost Centre],$BI1058),IF($B1058="Production",INDEX(tbl_Production[Cost Centre],$BI1058),INDEX(tbl_Consulting[Cost Centre],$BI1058)))&amp;"")</f>
        <v/>
      </c>
      <c r="I1058" s="10">
        <f>IF($BI1058="","",IF($B1058="Onsite",INDEX(tbl_Onsite[Invoice Type],$BI1058),IF($B1058="Production",INDEX(tbl_Production[Invoice Type],$BI1058),INDEX(tbl_Consulting[Invoice Type],$BI1058)))&amp;"")</f>
        <v/>
      </c>
      <c r="J1058" s="10">
        <f>IF($BI1058="","",IF($B1058="Onsite",INDEX(tbl_Onsite[Tax Code],$BI1058),IF($B1058="Production",INDEX(tbl_Production[Tax Code],$BI1058),INDEX(tbl_Consulting[Tax Code],$BI1058)))&amp;"")</f>
        <v/>
      </c>
      <c r="K1058" s="10">
        <f>IF(H1058="","",IFERROR(INDEX(lst_CCtoGL,MATCH(H1058,lst_CCforGL,0)),""))</f>
        <v/>
      </c>
      <c r="L1058" s="10">
        <f>IF($BI1058="","",IF($B1058="Onsite",INDEX(tbl_Onsite[PO / Reference],$BI1058),IF($B1058="Production",INDEX(tbl_Production[Current RMS No],$BI1058),INDEX(tbl_Consulting[Qwilr Quote],$BI1058)))&amp;"")</f>
        <v/>
      </c>
      <c r="M1058" s="10">
        <f>IF($BI1058="","",IF($B1058="Onsite",INDEX(tbl_Onsite[Notes],$BI1058),IF($B1058="Production",INDEX(tbl_Production[Notes],$BI1058),INDEX(tbl_Consulting[Notes],$BI1058)))&amp;"")</f>
        <v/>
      </c>
      <c r="N1058" s="11">
        <f>IF($BI1058="","",IF(IF($B1058="Onsite",INDEX(tbl_Onsite[Expected Revenue Ex GST],$BI1058),IF($B1058="Production",INDEX(tbl_Production[Expected Revenue Ex GST],$BI1058),INDEX(tbl_Consulting[Expected Revenue Ex GST],$BI1058)))="","",IF($B1058="Onsite",INDEX(tbl_Onsite[Expected Revenue Ex GST],$BI1058),IF($B1058="Production",INDEX(tbl_Production[Expected Revenue Ex GST],$BI1058),INDEX(tbl_Consulting[Expected Revenue Ex GST],$BI1058)))))</f>
        <v/>
      </c>
      <c r="O1058" s="11">
        <f>IF(AND($C1058="",NOT(COUNTA($S1058:$BB1058)&gt;0)),"",SUM(U1058,X1058,AA1058,AD1058,AG1058,AJ1058,AM1058,AP1058,AS1058,AV1058,AY1058,BB1058))</f>
        <v/>
      </c>
      <c r="P1058" s="11">
        <f>IF(O1058="","",N(N1058)-O1058)</f>
        <v/>
      </c>
      <c r="Q1058" s="10">
        <f>IF(O1058="","",IF($C1058="","Invoice on empty job row",IF(N1058="",IF(ROUND(O1058,2)=0,"No dept value","Invoiced - no dept value"),IF(ROUND(O1058,2)=0,"Not invoiced - to invoice",IF(ROUND(P1058,2)=0,"Agrees",IF(P1058&gt;0,"Dept higher - to invoice","Xero higher - check dept"))))))</f>
        <v/>
      </c>
      <c r="R1058" s="10">
        <f>IF(AND($C1058="",NOT(COUNTA($S1058:$BB1058)&gt;0),$BI1058&lt;&gt;""),"",MID(IF($BI1058="","; Row ID not found on the department sheet - a row was deleted","")&amp;IF(AND($C1058="",COUNTA($S1058:$BB1058)&gt;0),"; Invoice entered but the department row has no job number","")&amp;IF(E1058="CHECK","; Job number not in the Xero job list","")&amp;IF(AND($C1058&lt;&gt;"",COUNTIF($C$7:$C$1506,$C1058)&gt;1),"; Job number on more than one row","")&amp;IF(AND($C1058&lt;&gt;"",H1058=""),"; Dept has not set a cost centre","")&amp;IF(AND($C1058&lt;&gt;"",J1058=""),"; Dept has not set a tax code","")&amp;IF(AND($C1058&lt;&gt;"",N1058=""),"; Dept has not entered an expected value","")&amp;IF((IF(OR(COUNTA(S1058:U1058)=0,AND(COUNTA(S1058:U1058)=3,ISNUMBER(U1058))),0,1)+IF(OR(COUNTA(V1058:X1058)=0,AND(COUNTA(V1058:X1058)=3,ISNUMBER(X1058))),0,1)+IF(OR(COUNTA(Y1058:AA1058)=0,AND(COUNTA(Y1058:AA1058)=3,ISNUMBER(AA1058))),0,1)+IF(OR(COUNTA(AB1058:AD1058)=0,AND(COUNTA(AB1058:AD1058)=3,ISNUMBER(AD1058))),0,1)+IF(OR(COUNTA(AE1058:AG1058)=0,AND(COUNTA(AE1058:AG1058)=3,ISNUMBER(AG1058))),0,1)+IF(OR(COUNTA(AH1058:AJ1058)=0,AND(COUNTA(AH1058:AJ1058)=3,ISNUMBER(AJ1058))),0,1)+IF(OR(COUNTA(AK1058:AM1058)=0,AND(COUNTA(AK1058:AM1058)=3,ISNUMBER(AM1058))),0,1)+IF(OR(COUNTA(AN1058:AP1058)=0,AND(COUNTA(AN1058:AP1058)=3,ISNUMBER(AP1058))),0,1)+IF(OR(COUNTA(AQ1058:AS1058)=0,AND(COUNTA(AQ1058:AS1058)=3,ISNUMBER(AS1058))),0,1)+IF(OR(COUNTA(AT1058:AV1058)=0,AND(COUNTA(AT1058:AV1058)=3,ISNUMBER(AV1058))),0,1)+IF(OR(COUNTA(AW1058:AY1058)=0,AND(COUNTA(AW1058:AY1058)=3,ISNUMBER(AY1058))),0,1)+IF(OR(COUNTA(AZ1058:BB1058)=0,AND(COUNTA(AZ1058:BB1058)=3,ISNUMBER(BB1058))),0,1))&gt;0,"; An invoice is incomplete (needs No, Date and a number in Ex GST)","")&amp;IF((IF(T1058="",0,IFERROR(--(EOMONTH(T1058,0)&lt;&gt;S$5),1))+IF(W1058="",0,IFERROR(--(EOMONTH(W1058,0)&lt;&gt;V$5),1))+IF(Z1058="",0,IFERROR(--(EOMONTH(Z1058,0)&lt;&gt;Y$5),1))+IF(AC1058="",0,IFERROR(--(EOMONTH(AC1058,0)&lt;&gt;AB$5),1))+IF(AF1058="",0,IFERROR(--(EOMONTH(AF1058,0)&lt;&gt;AE$5),1))+IF(AI1058="",0,IFERROR(--(EOMONTH(AI1058,0)&lt;&gt;AH$5),1))+IF(AL1058="",0,IFERROR(--(EOMONTH(AL1058,0)&lt;&gt;AK$5),1))+IF(AO1058="",0,IFERROR(--(EOMONTH(AO1058,0)&lt;&gt;AN$5),1))+IF(AR1058="",0,IFERROR(--(EOMONTH(AR1058,0)&lt;&gt;AQ$5),1))+IF(AU1058="",0,IFERROR(--(EOMONTH(AU1058,0)&lt;&gt;AT$5),1))+IF(AX1058="",0,IFERROR(--(EOMONTH(AX1058,0)&lt;&gt;AW$5),1))+IF(BA1058="",0,IFERROR(--(EOMONTH(BA1058,0)&lt;&gt;AZ$5),1)))&gt;0,"; An invoice date is not in the month it is typed under",""),3,500))</f>
        <v/>
      </c>
      <c r="S1058" s="12" t="n"/>
      <c r="T1058" s="13" t="n"/>
      <c r="U1058" s="14" t="n"/>
      <c r="V1058" s="12" t="n"/>
      <c r="W1058" s="13" t="n"/>
      <c r="X1058" s="14" t="n"/>
      <c r="Y1058" s="12" t="n"/>
      <c r="Z1058" s="13" t="n"/>
      <c r="AA1058" s="14" t="n"/>
      <c r="AB1058" s="12" t="n"/>
      <c r="AC1058" s="13" t="n"/>
      <c r="AD1058" s="14" t="n"/>
      <c r="AE1058" s="12" t="n"/>
      <c r="AF1058" s="13" t="n"/>
      <c r="AG1058" s="14" t="n"/>
      <c r="AH1058" s="12" t="n"/>
      <c r="AI1058" s="13" t="n"/>
      <c r="AJ1058" s="14" t="n"/>
      <c r="AK1058" s="12" t="n"/>
      <c r="AL1058" s="13" t="n"/>
      <c r="AM1058" s="14" t="n"/>
      <c r="AN1058" s="12" t="n"/>
      <c r="AO1058" s="13" t="n"/>
      <c r="AP1058" s="14" t="n"/>
      <c r="AQ1058" s="12" t="n"/>
      <c r="AR1058" s="13" t="n"/>
      <c r="AS1058" s="14" t="n"/>
      <c r="AT1058" s="12" t="n"/>
      <c r="AU1058" s="13" t="n"/>
      <c r="AV1058" s="14" t="n"/>
      <c r="AW1058" s="12" t="n"/>
      <c r="AX1058" s="13" t="n"/>
      <c r="AY1058" s="14" t="n"/>
      <c r="AZ1058" s="12" t="n"/>
      <c r="BA1058" s="13" t="n"/>
      <c r="BB1058" s="14" t="n"/>
      <c r="BC1058" s="11">
        <f>IF(O1058="","",IF(J1058="GST 10%",ROUND(O1058*set_GSTRate,2),0))</f>
        <v/>
      </c>
      <c r="BD1058" s="11">
        <f>IF(O1058="","",O1058+BC1058)</f>
        <v/>
      </c>
      <c r="BE1058" s="15">
        <f>IF(O1058="","",COUNTA(S1058,V1058,Y1058,AB1058,AE1058,AH1058,AK1058,AN1058,AQ1058,AT1058,AW1058,AZ1058))</f>
        <v/>
      </c>
      <c r="BF1058" s="16">
        <f>IF(COUNT(T1058,W1058,Z1058,AC1058,AF1058,AI1058,AL1058,AO1058,AR1058,AU1058,AX1058,BA1058)=0,"",MAX(T1058,W1058,Z1058,AC1058,AF1058,AI1058,AL1058,AO1058,AR1058,AU1058,AX1058,BA1058))</f>
        <v/>
      </c>
      <c r="BG1058" s="10">
        <f>MID(IF(S1058="","",", "&amp;S1058)&amp;IF(V1058="","",", "&amp;V1058)&amp;IF(Y1058="","",", "&amp;Y1058)&amp;IF(AB1058="","",", "&amp;AB1058)&amp;IF(AE1058="","",", "&amp;AE1058)&amp;IF(AH1058="","",", "&amp;AH1058)&amp;IF(AK1058="","",", "&amp;AK1058)&amp;IF(AN1058="","",", "&amp;AN1058)&amp;IF(AQ1058="","",", "&amp;AQ1058)&amp;IF(AT1058="","",", "&amp;AT1058)&amp;IF(AW1058="","",", "&amp;AW1058)&amp;IF(AZ1058="","",", "&amp;AZ1058),3,500)</f>
        <v/>
      </c>
      <c r="BH1058" s="12" t="n"/>
      <c r="BI1058" s="15">
        <f>IFERROR(MATCH($A1058,IF($B1058="Onsite",tbl_Onsite[Row ID],IF($B1058="Production",tbl_Production[Row ID],tbl_Consulting[Row ID])),0),"")</f>
        <v/>
      </c>
    </row>
    <row r="1059">
      <c r="A1059" s="10" t="inlineStr">
        <is>
          <t>CON-0053</t>
        </is>
      </c>
      <c r="B1059" s="10" t="inlineStr">
        <is>
          <t>Consulting</t>
        </is>
      </c>
      <c r="C1059" s="10">
        <f>IF($BI1059="","",IF($B1059="Onsite",INDEX(tbl_Onsite[Job Number],$BI1059),IF($B1059="Production",INDEX(tbl_Production[Job Number],$BI1059),INDEX(tbl_Consulting[Job Number],$BI1059)))&amp;"")</f>
        <v/>
      </c>
      <c r="D1059" s="10">
        <f>IF($BI1059="","",IF($B1059="Onsite",INDEX(tbl_Onsite[Client],$BI1059),IF($B1059="Production",INDEX(tbl_Production[Client],$BI1059),INDEX(tbl_Consulting[Client],$BI1059)))&amp;"")</f>
        <v/>
      </c>
      <c r="E1059" s="10">
        <f>IF($C1059="","",IF(COUNTIF(lst_Jobs,$C1059)&gt;0,"OK","CHECK"))</f>
        <v/>
      </c>
      <c r="F1059" s="10">
        <f>IF($C1059="","",IFERROR(INDEX(lst_JobName,MATCH($C1059,lst_Jobs,0)),""))</f>
        <v/>
      </c>
      <c r="G1059" s="10">
        <f>IF($BI1059="","",IF($B1059="Onsite",INDEX(tbl_Onsite[Job Description],$BI1059),IF($B1059="Production",INDEX(tbl_Production[Job Description],$BI1059),INDEX(tbl_Consulting[Job Description],$BI1059)))&amp;"")</f>
        <v/>
      </c>
      <c r="H1059" s="10">
        <f>IF($BI1059="","",IF($B1059="Onsite",INDEX(tbl_Onsite[Cost Centre],$BI1059),IF($B1059="Production",INDEX(tbl_Production[Cost Centre],$BI1059),INDEX(tbl_Consulting[Cost Centre],$BI1059)))&amp;"")</f>
        <v/>
      </c>
      <c r="I1059" s="10">
        <f>IF($BI1059="","",IF($B1059="Onsite",INDEX(tbl_Onsite[Invoice Type],$BI1059),IF($B1059="Production",INDEX(tbl_Production[Invoice Type],$BI1059),INDEX(tbl_Consulting[Invoice Type],$BI1059)))&amp;"")</f>
        <v/>
      </c>
      <c r="J1059" s="10">
        <f>IF($BI1059="","",IF($B1059="Onsite",INDEX(tbl_Onsite[Tax Code],$BI1059),IF($B1059="Production",INDEX(tbl_Production[Tax Code],$BI1059),INDEX(tbl_Consulting[Tax Code],$BI1059)))&amp;"")</f>
        <v/>
      </c>
      <c r="K1059" s="10">
        <f>IF(H1059="","",IFERROR(INDEX(lst_CCtoGL,MATCH(H1059,lst_CCforGL,0)),""))</f>
        <v/>
      </c>
      <c r="L1059" s="10">
        <f>IF($BI1059="","",IF($B1059="Onsite",INDEX(tbl_Onsite[PO / Reference],$BI1059),IF($B1059="Production",INDEX(tbl_Production[Current RMS No],$BI1059),INDEX(tbl_Consulting[Qwilr Quote],$BI1059)))&amp;"")</f>
        <v/>
      </c>
      <c r="M1059" s="10">
        <f>IF($BI1059="","",IF($B1059="Onsite",INDEX(tbl_Onsite[Notes],$BI1059),IF($B1059="Production",INDEX(tbl_Production[Notes],$BI1059),INDEX(tbl_Consulting[Notes],$BI1059)))&amp;"")</f>
        <v/>
      </c>
      <c r="N1059" s="11">
        <f>IF($BI1059="","",IF(IF($B1059="Onsite",INDEX(tbl_Onsite[Expected Revenue Ex GST],$BI1059),IF($B1059="Production",INDEX(tbl_Production[Expected Revenue Ex GST],$BI1059),INDEX(tbl_Consulting[Expected Revenue Ex GST],$BI1059)))="","",IF($B1059="Onsite",INDEX(tbl_Onsite[Expected Revenue Ex GST],$BI1059),IF($B1059="Production",INDEX(tbl_Production[Expected Revenue Ex GST],$BI1059),INDEX(tbl_Consulting[Expected Revenue Ex GST],$BI1059)))))</f>
        <v/>
      </c>
      <c r="O1059" s="11">
        <f>IF(AND($C1059="",NOT(COUNTA($S1059:$BB1059)&gt;0)),"",SUM(U1059,X1059,AA1059,AD1059,AG1059,AJ1059,AM1059,AP1059,AS1059,AV1059,AY1059,BB1059))</f>
        <v/>
      </c>
      <c r="P1059" s="11">
        <f>IF(O1059="","",N(N1059)-O1059)</f>
        <v/>
      </c>
      <c r="Q1059" s="10">
        <f>IF(O1059="","",IF($C1059="","Invoice on empty job row",IF(N1059="",IF(ROUND(O1059,2)=0,"No dept value","Invoiced - no dept value"),IF(ROUND(O1059,2)=0,"Not invoiced - to invoice",IF(ROUND(P1059,2)=0,"Agrees",IF(P1059&gt;0,"Dept higher - to invoice","Xero higher - check dept"))))))</f>
        <v/>
      </c>
      <c r="R1059" s="10">
        <f>IF(AND($C1059="",NOT(COUNTA($S1059:$BB1059)&gt;0),$BI1059&lt;&gt;""),"",MID(IF($BI1059="","; Row ID not found on the department sheet - a row was deleted","")&amp;IF(AND($C1059="",COUNTA($S1059:$BB1059)&gt;0),"; Invoice entered but the department row has no job number","")&amp;IF(E1059="CHECK","; Job number not in the Xero job list","")&amp;IF(AND($C1059&lt;&gt;"",COUNTIF($C$7:$C$1506,$C1059)&gt;1),"; Job number on more than one row","")&amp;IF(AND($C1059&lt;&gt;"",H1059=""),"; Dept has not set a cost centre","")&amp;IF(AND($C1059&lt;&gt;"",J1059=""),"; Dept has not set a tax code","")&amp;IF(AND($C1059&lt;&gt;"",N1059=""),"; Dept has not entered an expected value","")&amp;IF((IF(OR(COUNTA(S1059:U1059)=0,AND(COUNTA(S1059:U1059)=3,ISNUMBER(U1059))),0,1)+IF(OR(COUNTA(V1059:X1059)=0,AND(COUNTA(V1059:X1059)=3,ISNUMBER(X1059))),0,1)+IF(OR(COUNTA(Y1059:AA1059)=0,AND(COUNTA(Y1059:AA1059)=3,ISNUMBER(AA1059))),0,1)+IF(OR(COUNTA(AB1059:AD1059)=0,AND(COUNTA(AB1059:AD1059)=3,ISNUMBER(AD1059))),0,1)+IF(OR(COUNTA(AE1059:AG1059)=0,AND(COUNTA(AE1059:AG1059)=3,ISNUMBER(AG1059))),0,1)+IF(OR(COUNTA(AH1059:AJ1059)=0,AND(COUNTA(AH1059:AJ1059)=3,ISNUMBER(AJ1059))),0,1)+IF(OR(COUNTA(AK1059:AM1059)=0,AND(COUNTA(AK1059:AM1059)=3,ISNUMBER(AM1059))),0,1)+IF(OR(COUNTA(AN1059:AP1059)=0,AND(COUNTA(AN1059:AP1059)=3,ISNUMBER(AP1059))),0,1)+IF(OR(COUNTA(AQ1059:AS1059)=0,AND(COUNTA(AQ1059:AS1059)=3,ISNUMBER(AS1059))),0,1)+IF(OR(COUNTA(AT1059:AV1059)=0,AND(COUNTA(AT1059:AV1059)=3,ISNUMBER(AV1059))),0,1)+IF(OR(COUNTA(AW1059:AY1059)=0,AND(COUNTA(AW1059:AY1059)=3,ISNUMBER(AY1059))),0,1)+IF(OR(COUNTA(AZ1059:BB1059)=0,AND(COUNTA(AZ1059:BB1059)=3,ISNUMBER(BB1059))),0,1))&gt;0,"; An invoice is incomplete (needs No, Date and a number in Ex GST)","")&amp;IF((IF(T1059="",0,IFERROR(--(EOMONTH(T1059,0)&lt;&gt;S$5),1))+IF(W1059="",0,IFERROR(--(EOMONTH(W1059,0)&lt;&gt;V$5),1))+IF(Z1059="",0,IFERROR(--(EOMONTH(Z1059,0)&lt;&gt;Y$5),1))+IF(AC1059="",0,IFERROR(--(EOMONTH(AC1059,0)&lt;&gt;AB$5),1))+IF(AF1059="",0,IFERROR(--(EOMONTH(AF1059,0)&lt;&gt;AE$5),1))+IF(AI1059="",0,IFERROR(--(EOMONTH(AI1059,0)&lt;&gt;AH$5),1))+IF(AL1059="",0,IFERROR(--(EOMONTH(AL1059,0)&lt;&gt;AK$5),1))+IF(AO1059="",0,IFERROR(--(EOMONTH(AO1059,0)&lt;&gt;AN$5),1))+IF(AR1059="",0,IFERROR(--(EOMONTH(AR1059,0)&lt;&gt;AQ$5),1))+IF(AU1059="",0,IFERROR(--(EOMONTH(AU1059,0)&lt;&gt;AT$5),1))+IF(AX1059="",0,IFERROR(--(EOMONTH(AX1059,0)&lt;&gt;AW$5),1))+IF(BA1059="",0,IFERROR(--(EOMONTH(BA1059,0)&lt;&gt;AZ$5),1)))&gt;0,"; An invoice date is not in the month it is typed under",""),3,500))</f>
        <v/>
      </c>
      <c r="S1059" s="12" t="n"/>
      <c r="T1059" s="13" t="n"/>
      <c r="U1059" s="14" t="n"/>
      <c r="V1059" s="12" t="n"/>
      <c r="W1059" s="13" t="n"/>
      <c r="X1059" s="14" t="n"/>
      <c r="Y1059" s="12" t="n"/>
      <c r="Z1059" s="13" t="n"/>
      <c r="AA1059" s="14" t="n"/>
      <c r="AB1059" s="12" t="n"/>
      <c r="AC1059" s="13" t="n"/>
      <c r="AD1059" s="14" t="n"/>
      <c r="AE1059" s="12" t="n"/>
      <c r="AF1059" s="13" t="n"/>
      <c r="AG1059" s="14" t="n"/>
      <c r="AH1059" s="12" t="n"/>
      <c r="AI1059" s="13" t="n"/>
      <c r="AJ1059" s="14" t="n"/>
      <c r="AK1059" s="12" t="n"/>
      <c r="AL1059" s="13" t="n"/>
      <c r="AM1059" s="14" t="n"/>
      <c r="AN1059" s="12" t="n"/>
      <c r="AO1059" s="13" t="n"/>
      <c r="AP1059" s="14" t="n"/>
      <c r="AQ1059" s="12" t="n"/>
      <c r="AR1059" s="13" t="n"/>
      <c r="AS1059" s="14" t="n"/>
      <c r="AT1059" s="12" t="n"/>
      <c r="AU1059" s="13" t="n"/>
      <c r="AV1059" s="14" t="n"/>
      <c r="AW1059" s="12" t="n"/>
      <c r="AX1059" s="13" t="n"/>
      <c r="AY1059" s="14" t="n"/>
      <c r="AZ1059" s="12" t="n"/>
      <c r="BA1059" s="13" t="n"/>
      <c r="BB1059" s="14" t="n"/>
      <c r="BC1059" s="11">
        <f>IF(O1059="","",IF(J1059="GST 10%",ROUND(O1059*set_GSTRate,2),0))</f>
        <v/>
      </c>
      <c r="BD1059" s="11">
        <f>IF(O1059="","",O1059+BC1059)</f>
        <v/>
      </c>
      <c r="BE1059" s="15">
        <f>IF(O1059="","",COUNTA(S1059,V1059,Y1059,AB1059,AE1059,AH1059,AK1059,AN1059,AQ1059,AT1059,AW1059,AZ1059))</f>
        <v/>
      </c>
      <c r="BF1059" s="16">
        <f>IF(COUNT(T1059,W1059,Z1059,AC1059,AF1059,AI1059,AL1059,AO1059,AR1059,AU1059,AX1059,BA1059)=0,"",MAX(T1059,W1059,Z1059,AC1059,AF1059,AI1059,AL1059,AO1059,AR1059,AU1059,AX1059,BA1059))</f>
        <v/>
      </c>
      <c r="BG1059" s="10">
        <f>MID(IF(S1059="","",", "&amp;S1059)&amp;IF(V1059="","",", "&amp;V1059)&amp;IF(Y1059="","",", "&amp;Y1059)&amp;IF(AB1059="","",", "&amp;AB1059)&amp;IF(AE1059="","",", "&amp;AE1059)&amp;IF(AH1059="","",", "&amp;AH1059)&amp;IF(AK1059="","",", "&amp;AK1059)&amp;IF(AN1059="","",", "&amp;AN1059)&amp;IF(AQ1059="","",", "&amp;AQ1059)&amp;IF(AT1059="","",", "&amp;AT1059)&amp;IF(AW1059="","",", "&amp;AW1059)&amp;IF(AZ1059="","",", "&amp;AZ1059),3,500)</f>
        <v/>
      </c>
      <c r="BH1059" s="12" t="n"/>
      <c r="BI1059" s="15">
        <f>IFERROR(MATCH($A1059,IF($B1059="Onsite",tbl_Onsite[Row ID],IF($B1059="Production",tbl_Production[Row ID],tbl_Consulting[Row ID])),0),"")</f>
        <v/>
      </c>
    </row>
    <row r="1060">
      <c r="A1060" s="10" t="inlineStr">
        <is>
          <t>CON-0054</t>
        </is>
      </c>
      <c r="B1060" s="10" t="inlineStr">
        <is>
          <t>Consulting</t>
        </is>
      </c>
      <c r="C1060" s="10">
        <f>IF($BI1060="","",IF($B1060="Onsite",INDEX(tbl_Onsite[Job Number],$BI1060),IF($B1060="Production",INDEX(tbl_Production[Job Number],$BI1060),INDEX(tbl_Consulting[Job Number],$BI1060)))&amp;"")</f>
        <v/>
      </c>
      <c r="D1060" s="10">
        <f>IF($BI1060="","",IF($B1060="Onsite",INDEX(tbl_Onsite[Client],$BI1060),IF($B1060="Production",INDEX(tbl_Production[Client],$BI1060),INDEX(tbl_Consulting[Client],$BI1060)))&amp;"")</f>
        <v/>
      </c>
      <c r="E1060" s="10">
        <f>IF($C1060="","",IF(COUNTIF(lst_Jobs,$C1060)&gt;0,"OK","CHECK"))</f>
        <v/>
      </c>
      <c r="F1060" s="10">
        <f>IF($C1060="","",IFERROR(INDEX(lst_JobName,MATCH($C1060,lst_Jobs,0)),""))</f>
        <v/>
      </c>
      <c r="G1060" s="10">
        <f>IF($BI1060="","",IF($B1060="Onsite",INDEX(tbl_Onsite[Job Description],$BI1060),IF($B1060="Production",INDEX(tbl_Production[Job Description],$BI1060),INDEX(tbl_Consulting[Job Description],$BI1060)))&amp;"")</f>
        <v/>
      </c>
      <c r="H1060" s="10">
        <f>IF($BI1060="","",IF($B1060="Onsite",INDEX(tbl_Onsite[Cost Centre],$BI1060),IF($B1060="Production",INDEX(tbl_Production[Cost Centre],$BI1060),INDEX(tbl_Consulting[Cost Centre],$BI1060)))&amp;"")</f>
        <v/>
      </c>
      <c r="I1060" s="10">
        <f>IF($BI1060="","",IF($B1060="Onsite",INDEX(tbl_Onsite[Invoice Type],$BI1060),IF($B1060="Production",INDEX(tbl_Production[Invoice Type],$BI1060),INDEX(tbl_Consulting[Invoice Type],$BI1060)))&amp;"")</f>
        <v/>
      </c>
      <c r="J1060" s="10">
        <f>IF($BI1060="","",IF($B1060="Onsite",INDEX(tbl_Onsite[Tax Code],$BI1060),IF($B1060="Production",INDEX(tbl_Production[Tax Code],$BI1060),INDEX(tbl_Consulting[Tax Code],$BI1060)))&amp;"")</f>
        <v/>
      </c>
      <c r="K1060" s="10">
        <f>IF(H1060="","",IFERROR(INDEX(lst_CCtoGL,MATCH(H1060,lst_CCforGL,0)),""))</f>
        <v/>
      </c>
      <c r="L1060" s="10">
        <f>IF($BI1060="","",IF($B1060="Onsite",INDEX(tbl_Onsite[PO / Reference],$BI1060),IF($B1060="Production",INDEX(tbl_Production[Current RMS No],$BI1060),INDEX(tbl_Consulting[Qwilr Quote],$BI1060)))&amp;"")</f>
        <v/>
      </c>
      <c r="M1060" s="10">
        <f>IF($BI1060="","",IF($B1060="Onsite",INDEX(tbl_Onsite[Notes],$BI1060),IF($B1060="Production",INDEX(tbl_Production[Notes],$BI1060),INDEX(tbl_Consulting[Notes],$BI1060)))&amp;"")</f>
        <v/>
      </c>
      <c r="N1060" s="11">
        <f>IF($BI1060="","",IF(IF($B1060="Onsite",INDEX(tbl_Onsite[Expected Revenue Ex GST],$BI1060),IF($B1060="Production",INDEX(tbl_Production[Expected Revenue Ex GST],$BI1060),INDEX(tbl_Consulting[Expected Revenue Ex GST],$BI1060)))="","",IF($B1060="Onsite",INDEX(tbl_Onsite[Expected Revenue Ex GST],$BI1060),IF($B1060="Production",INDEX(tbl_Production[Expected Revenue Ex GST],$BI1060),INDEX(tbl_Consulting[Expected Revenue Ex GST],$BI1060)))))</f>
        <v/>
      </c>
      <c r="O1060" s="11">
        <f>IF(AND($C1060="",NOT(COUNTA($S1060:$BB1060)&gt;0)),"",SUM(U1060,X1060,AA1060,AD1060,AG1060,AJ1060,AM1060,AP1060,AS1060,AV1060,AY1060,BB1060))</f>
        <v/>
      </c>
      <c r="P1060" s="11">
        <f>IF(O1060="","",N(N1060)-O1060)</f>
        <v/>
      </c>
      <c r="Q1060" s="10">
        <f>IF(O1060="","",IF($C1060="","Invoice on empty job row",IF(N1060="",IF(ROUND(O1060,2)=0,"No dept value","Invoiced - no dept value"),IF(ROUND(O1060,2)=0,"Not invoiced - to invoice",IF(ROUND(P1060,2)=0,"Agrees",IF(P1060&gt;0,"Dept higher - to invoice","Xero higher - check dept"))))))</f>
        <v/>
      </c>
      <c r="R1060" s="10">
        <f>IF(AND($C1060="",NOT(COUNTA($S1060:$BB1060)&gt;0),$BI1060&lt;&gt;""),"",MID(IF($BI1060="","; Row ID not found on the department sheet - a row was deleted","")&amp;IF(AND($C1060="",COUNTA($S1060:$BB1060)&gt;0),"; Invoice entered but the department row has no job number","")&amp;IF(E1060="CHECK","; Job number not in the Xero job list","")&amp;IF(AND($C1060&lt;&gt;"",COUNTIF($C$7:$C$1506,$C1060)&gt;1),"; Job number on more than one row","")&amp;IF(AND($C1060&lt;&gt;"",H1060=""),"; Dept has not set a cost centre","")&amp;IF(AND($C1060&lt;&gt;"",J1060=""),"; Dept has not set a tax code","")&amp;IF(AND($C1060&lt;&gt;"",N1060=""),"; Dept has not entered an expected value","")&amp;IF((IF(OR(COUNTA(S1060:U1060)=0,AND(COUNTA(S1060:U1060)=3,ISNUMBER(U1060))),0,1)+IF(OR(COUNTA(V1060:X1060)=0,AND(COUNTA(V1060:X1060)=3,ISNUMBER(X1060))),0,1)+IF(OR(COUNTA(Y1060:AA1060)=0,AND(COUNTA(Y1060:AA1060)=3,ISNUMBER(AA1060))),0,1)+IF(OR(COUNTA(AB1060:AD1060)=0,AND(COUNTA(AB1060:AD1060)=3,ISNUMBER(AD1060))),0,1)+IF(OR(COUNTA(AE1060:AG1060)=0,AND(COUNTA(AE1060:AG1060)=3,ISNUMBER(AG1060))),0,1)+IF(OR(COUNTA(AH1060:AJ1060)=0,AND(COUNTA(AH1060:AJ1060)=3,ISNUMBER(AJ1060))),0,1)+IF(OR(COUNTA(AK1060:AM1060)=0,AND(COUNTA(AK1060:AM1060)=3,ISNUMBER(AM1060))),0,1)+IF(OR(COUNTA(AN1060:AP1060)=0,AND(COUNTA(AN1060:AP1060)=3,ISNUMBER(AP1060))),0,1)+IF(OR(COUNTA(AQ1060:AS1060)=0,AND(COUNTA(AQ1060:AS1060)=3,ISNUMBER(AS1060))),0,1)+IF(OR(COUNTA(AT1060:AV1060)=0,AND(COUNTA(AT1060:AV1060)=3,ISNUMBER(AV1060))),0,1)+IF(OR(COUNTA(AW1060:AY1060)=0,AND(COUNTA(AW1060:AY1060)=3,ISNUMBER(AY1060))),0,1)+IF(OR(COUNTA(AZ1060:BB1060)=0,AND(COUNTA(AZ1060:BB1060)=3,ISNUMBER(BB1060))),0,1))&gt;0,"; An invoice is incomplete (needs No, Date and a number in Ex GST)","")&amp;IF((IF(T1060="",0,IFERROR(--(EOMONTH(T1060,0)&lt;&gt;S$5),1))+IF(W1060="",0,IFERROR(--(EOMONTH(W1060,0)&lt;&gt;V$5),1))+IF(Z1060="",0,IFERROR(--(EOMONTH(Z1060,0)&lt;&gt;Y$5),1))+IF(AC1060="",0,IFERROR(--(EOMONTH(AC1060,0)&lt;&gt;AB$5),1))+IF(AF1060="",0,IFERROR(--(EOMONTH(AF1060,0)&lt;&gt;AE$5),1))+IF(AI1060="",0,IFERROR(--(EOMONTH(AI1060,0)&lt;&gt;AH$5),1))+IF(AL1060="",0,IFERROR(--(EOMONTH(AL1060,0)&lt;&gt;AK$5),1))+IF(AO1060="",0,IFERROR(--(EOMONTH(AO1060,0)&lt;&gt;AN$5),1))+IF(AR1060="",0,IFERROR(--(EOMONTH(AR1060,0)&lt;&gt;AQ$5),1))+IF(AU1060="",0,IFERROR(--(EOMONTH(AU1060,0)&lt;&gt;AT$5),1))+IF(AX1060="",0,IFERROR(--(EOMONTH(AX1060,0)&lt;&gt;AW$5),1))+IF(BA1060="",0,IFERROR(--(EOMONTH(BA1060,0)&lt;&gt;AZ$5),1)))&gt;0,"; An invoice date is not in the month it is typed under",""),3,500))</f>
        <v/>
      </c>
      <c r="S1060" s="12" t="n"/>
      <c r="T1060" s="13" t="n"/>
      <c r="U1060" s="14" t="n"/>
      <c r="V1060" s="12" t="n"/>
      <c r="W1060" s="13" t="n"/>
      <c r="X1060" s="14" t="n"/>
      <c r="Y1060" s="12" t="n"/>
      <c r="Z1060" s="13" t="n"/>
      <c r="AA1060" s="14" t="n"/>
      <c r="AB1060" s="12" t="n"/>
      <c r="AC1060" s="13" t="n"/>
      <c r="AD1060" s="14" t="n"/>
      <c r="AE1060" s="12" t="n"/>
      <c r="AF1060" s="13" t="n"/>
      <c r="AG1060" s="14" t="n"/>
      <c r="AH1060" s="12" t="n"/>
      <c r="AI1060" s="13" t="n"/>
      <c r="AJ1060" s="14" t="n"/>
      <c r="AK1060" s="12" t="n"/>
      <c r="AL1060" s="13" t="n"/>
      <c r="AM1060" s="14" t="n"/>
      <c r="AN1060" s="12" t="n"/>
      <c r="AO1060" s="13" t="n"/>
      <c r="AP1060" s="14" t="n"/>
      <c r="AQ1060" s="12" t="n"/>
      <c r="AR1060" s="13" t="n"/>
      <c r="AS1060" s="14" t="n"/>
      <c r="AT1060" s="12" t="n"/>
      <c r="AU1060" s="13" t="n"/>
      <c r="AV1060" s="14" t="n"/>
      <c r="AW1060" s="12" t="n"/>
      <c r="AX1060" s="13" t="n"/>
      <c r="AY1060" s="14" t="n"/>
      <c r="AZ1060" s="12" t="n"/>
      <c r="BA1060" s="13" t="n"/>
      <c r="BB1060" s="14" t="n"/>
      <c r="BC1060" s="11">
        <f>IF(O1060="","",IF(J1060="GST 10%",ROUND(O1060*set_GSTRate,2),0))</f>
        <v/>
      </c>
      <c r="BD1060" s="11">
        <f>IF(O1060="","",O1060+BC1060)</f>
        <v/>
      </c>
      <c r="BE1060" s="15">
        <f>IF(O1060="","",COUNTA(S1060,V1060,Y1060,AB1060,AE1060,AH1060,AK1060,AN1060,AQ1060,AT1060,AW1060,AZ1060))</f>
        <v/>
      </c>
      <c r="BF1060" s="16">
        <f>IF(COUNT(T1060,W1060,Z1060,AC1060,AF1060,AI1060,AL1060,AO1060,AR1060,AU1060,AX1060,BA1060)=0,"",MAX(T1060,W1060,Z1060,AC1060,AF1060,AI1060,AL1060,AO1060,AR1060,AU1060,AX1060,BA1060))</f>
        <v/>
      </c>
      <c r="BG1060" s="10">
        <f>MID(IF(S1060="","",", "&amp;S1060)&amp;IF(V1060="","",", "&amp;V1060)&amp;IF(Y1060="","",", "&amp;Y1060)&amp;IF(AB1060="","",", "&amp;AB1060)&amp;IF(AE1060="","",", "&amp;AE1060)&amp;IF(AH1060="","",", "&amp;AH1060)&amp;IF(AK1060="","",", "&amp;AK1060)&amp;IF(AN1060="","",", "&amp;AN1060)&amp;IF(AQ1060="","",", "&amp;AQ1060)&amp;IF(AT1060="","",", "&amp;AT1060)&amp;IF(AW1060="","",", "&amp;AW1060)&amp;IF(AZ1060="","",", "&amp;AZ1060),3,500)</f>
        <v/>
      </c>
      <c r="BH1060" s="12" t="n"/>
      <c r="BI1060" s="15">
        <f>IFERROR(MATCH($A1060,IF($B1060="Onsite",tbl_Onsite[Row ID],IF($B1060="Production",tbl_Production[Row ID],tbl_Consulting[Row ID])),0),"")</f>
        <v/>
      </c>
    </row>
    <row r="1061">
      <c r="A1061" s="10" t="inlineStr">
        <is>
          <t>CON-0055</t>
        </is>
      </c>
      <c r="B1061" s="10" t="inlineStr">
        <is>
          <t>Consulting</t>
        </is>
      </c>
      <c r="C1061" s="10">
        <f>IF($BI1061="","",IF($B1061="Onsite",INDEX(tbl_Onsite[Job Number],$BI1061),IF($B1061="Production",INDEX(tbl_Production[Job Number],$BI1061),INDEX(tbl_Consulting[Job Number],$BI1061)))&amp;"")</f>
        <v/>
      </c>
      <c r="D1061" s="10">
        <f>IF($BI1061="","",IF($B1061="Onsite",INDEX(tbl_Onsite[Client],$BI1061),IF($B1061="Production",INDEX(tbl_Production[Client],$BI1061),INDEX(tbl_Consulting[Client],$BI1061)))&amp;"")</f>
        <v/>
      </c>
      <c r="E1061" s="10">
        <f>IF($C1061="","",IF(COUNTIF(lst_Jobs,$C1061)&gt;0,"OK","CHECK"))</f>
        <v/>
      </c>
      <c r="F1061" s="10">
        <f>IF($C1061="","",IFERROR(INDEX(lst_JobName,MATCH($C1061,lst_Jobs,0)),""))</f>
        <v/>
      </c>
      <c r="G1061" s="10">
        <f>IF($BI1061="","",IF($B1061="Onsite",INDEX(tbl_Onsite[Job Description],$BI1061),IF($B1061="Production",INDEX(tbl_Production[Job Description],$BI1061),INDEX(tbl_Consulting[Job Description],$BI1061)))&amp;"")</f>
        <v/>
      </c>
      <c r="H1061" s="10">
        <f>IF($BI1061="","",IF($B1061="Onsite",INDEX(tbl_Onsite[Cost Centre],$BI1061),IF($B1061="Production",INDEX(tbl_Production[Cost Centre],$BI1061),INDEX(tbl_Consulting[Cost Centre],$BI1061)))&amp;"")</f>
        <v/>
      </c>
      <c r="I1061" s="10">
        <f>IF($BI1061="","",IF($B1061="Onsite",INDEX(tbl_Onsite[Invoice Type],$BI1061),IF($B1061="Production",INDEX(tbl_Production[Invoice Type],$BI1061),INDEX(tbl_Consulting[Invoice Type],$BI1061)))&amp;"")</f>
        <v/>
      </c>
      <c r="J1061" s="10">
        <f>IF($BI1061="","",IF($B1061="Onsite",INDEX(tbl_Onsite[Tax Code],$BI1061),IF($B1061="Production",INDEX(tbl_Production[Tax Code],$BI1061),INDEX(tbl_Consulting[Tax Code],$BI1061)))&amp;"")</f>
        <v/>
      </c>
      <c r="K1061" s="10">
        <f>IF(H1061="","",IFERROR(INDEX(lst_CCtoGL,MATCH(H1061,lst_CCforGL,0)),""))</f>
        <v/>
      </c>
      <c r="L1061" s="10">
        <f>IF($BI1061="","",IF($B1061="Onsite",INDEX(tbl_Onsite[PO / Reference],$BI1061),IF($B1061="Production",INDEX(tbl_Production[Current RMS No],$BI1061),INDEX(tbl_Consulting[Qwilr Quote],$BI1061)))&amp;"")</f>
        <v/>
      </c>
      <c r="M1061" s="10">
        <f>IF($BI1061="","",IF($B1061="Onsite",INDEX(tbl_Onsite[Notes],$BI1061),IF($B1061="Production",INDEX(tbl_Production[Notes],$BI1061),INDEX(tbl_Consulting[Notes],$BI1061)))&amp;"")</f>
        <v/>
      </c>
      <c r="N1061" s="11">
        <f>IF($BI1061="","",IF(IF($B1061="Onsite",INDEX(tbl_Onsite[Expected Revenue Ex GST],$BI1061),IF($B1061="Production",INDEX(tbl_Production[Expected Revenue Ex GST],$BI1061),INDEX(tbl_Consulting[Expected Revenue Ex GST],$BI1061)))="","",IF($B1061="Onsite",INDEX(tbl_Onsite[Expected Revenue Ex GST],$BI1061),IF($B1061="Production",INDEX(tbl_Production[Expected Revenue Ex GST],$BI1061),INDEX(tbl_Consulting[Expected Revenue Ex GST],$BI1061)))))</f>
        <v/>
      </c>
      <c r="O1061" s="11">
        <f>IF(AND($C1061="",NOT(COUNTA($S1061:$BB1061)&gt;0)),"",SUM(U1061,X1061,AA1061,AD1061,AG1061,AJ1061,AM1061,AP1061,AS1061,AV1061,AY1061,BB1061))</f>
        <v/>
      </c>
      <c r="P1061" s="11">
        <f>IF(O1061="","",N(N1061)-O1061)</f>
        <v/>
      </c>
      <c r="Q1061" s="10">
        <f>IF(O1061="","",IF($C1061="","Invoice on empty job row",IF(N1061="",IF(ROUND(O1061,2)=0,"No dept value","Invoiced - no dept value"),IF(ROUND(O1061,2)=0,"Not invoiced - to invoice",IF(ROUND(P1061,2)=0,"Agrees",IF(P1061&gt;0,"Dept higher - to invoice","Xero higher - check dept"))))))</f>
        <v/>
      </c>
      <c r="R1061" s="10">
        <f>IF(AND($C1061="",NOT(COUNTA($S1061:$BB1061)&gt;0),$BI1061&lt;&gt;""),"",MID(IF($BI1061="","; Row ID not found on the department sheet - a row was deleted","")&amp;IF(AND($C1061="",COUNTA($S1061:$BB1061)&gt;0),"; Invoice entered but the department row has no job number","")&amp;IF(E1061="CHECK","; Job number not in the Xero job list","")&amp;IF(AND($C1061&lt;&gt;"",COUNTIF($C$7:$C$1506,$C1061)&gt;1),"; Job number on more than one row","")&amp;IF(AND($C1061&lt;&gt;"",H1061=""),"; Dept has not set a cost centre","")&amp;IF(AND($C1061&lt;&gt;"",J1061=""),"; Dept has not set a tax code","")&amp;IF(AND($C1061&lt;&gt;"",N1061=""),"; Dept has not entered an expected value","")&amp;IF((IF(OR(COUNTA(S1061:U1061)=0,AND(COUNTA(S1061:U1061)=3,ISNUMBER(U1061))),0,1)+IF(OR(COUNTA(V1061:X1061)=0,AND(COUNTA(V1061:X1061)=3,ISNUMBER(X1061))),0,1)+IF(OR(COUNTA(Y1061:AA1061)=0,AND(COUNTA(Y1061:AA1061)=3,ISNUMBER(AA1061))),0,1)+IF(OR(COUNTA(AB1061:AD1061)=0,AND(COUNTA(AB1061:AD1061)=3,ISNUMBER(AD1061))),0,1)+IF(OR(COUNTA(AE1061:AG1061)=0,AND(COUNTA(AE1061:AG1061)=3,ISNUMBER(AG1061))),0,1)+IF(OR(COUNTA(AH1061:AJ1061)=0,AND(COUNTA(AH1061:AJ1061)=3,ISNUMBER(AJ1061))),0,1)+IF(OR(COUNTA(AK1061:AM1061)=0,AND(COUNTA(AK1061:AM1061)=3,ISNUMBER(AM1061))),0,1)+IF(OR(COUNTA(AN1061:AP1061)=0,AND(COUNTA(AN1061:AP1061)=3,ISNUMBER(AP1061))),0,1)+IF(OR(COUNTA(AQ1061:AS1061)=0,AND(COUNTA(AQ1061:AS1061)=3,ISNUMBER(AS1061))),0,1)+IF(OR(COUNTA(AT1061:AV1061)=0,AND(COUNTA(AT1061:AV1061)=3,ISNUMBER(AV1061))),0,1)+IF(OR(COUNTA(AW1061:AY1061)=0,AND(COUNTA(AW1061:AY1061)=3,ISNUMBER(AY1061))),0,1)+IF(OR(COUNTA(AZ1061:BB1061)=0,AND(COUNTA(AZ1061:BB1061)=3,ISNUMBER(BB1061))),0,1))&gt;0,"; An invoice is incomplete (needs No, Date and a number in Ex GST)","")&amp;IF((IF(T1061="",0,IFERROR(--(EOMONTH(T1061,0)&lt;&gt;S$5),1))+IF(W1061="",0,IFERROR(--(EOMONTH(W1061,0)&lt;&gt;V$5),1))+IF(Z1061="",0,IFERROR(--(EOMONTH(Z1061,0)&lt;&gt;Y$5),1))+IF(AC1061="",0,IFERROR(--(EOMONTH(AC1061,0)&lt;&gt;AB$5),1))+IF(AF1061="",0,IFERROR(--(EOMONTH(AF1061,0)&lt;&gt;AE$5),1))+IF(AI1061="",0,IFERROR(--(EOMONTH(AI1061,0)&lt;&gt;AH$5),1))+IF(AL1061="",0,IFERROR(--(EOMONTH(AL1061,0)&lt;&gt;AK$5),1))+IF(AO1061="",0,IFERROR(--(EOMONTH(AO1061,0)&lt;&gt;AN$5),1))+IF(AR1061="",0,IFERROR(--(EOMONTH(AR1061,0)&lt;&gt;AQ$5),1))+IF(AU1061="",0,IFERROR(--(EOMONTH(AU1061,0)&lt;&gt;AT$5),1))+IF(AX1061="",0,IFERROR(--(EOMONTH(AX1061,0)&lt;&gt;AW$5),1))+IF(BA1061="",0,IFERROR(--(EOMONTH(BA1061,0)&lt;&gt;AZ$5),1)))&gt;0,"; An invoice date is not in the month it is typed under",""),3,500))</f>
        <v/>
      </c>
      <c r="S1061" s="12" t="n"/>
      <c r="T1061" s="13" t="n"/>
      <c r="U1061" s="14" t="n"/>
      <c r="V1061" s="12" t="n"/>
      <c r="W1061" s="13" t="n"/>
      <c r="X1061" s="14" t="n"/>
      <c r="Y1061" s="12" t="n"/>
      <c r="Z1061" s="13" t="n"/>
      <c r="AA1061" s="14" t="n"/>
      <c r="AB1061" s="12" t="n"/>
      <c r="AC1061" s="13" t="n"/>
      <c r="AD1061" s="14" t="n"/>
      <c r="AE1061" s="12" t="n"/>
      <c r="AF1061" s="13" t="n"/>
      <c r="AG1061" s="14" t="n"/>
      <c r="AH1061" s="12" t="n"/>
      <c r="AI1061" s="13" t="n"/>
      <c r="AJ1061" s="14" t="n"/>
      <c r="AK1061" s="12" t="n"/>
      <c r="AL1061" s="13" t="n"/>
      <c r="AM1061" s="14" t="n"/>
      <c r="AN1061" s="12" t="n"/>
      <c r="AO1061" s="13" t="n"/>
      <c r="AP1061" s="14" t="n"/>
      <c r="AQ1061" s="12" t="n"/>
      <c r="AR1061" s="13" t="n"/>
      <c r="AS1061" s="14" t="n"/>
      <c r="AT1061" s="12" t="n"/>
      <c r="AU1061" s="13" t="n"/>
      <c r="AV1061" s="14" t="n"/>
      <c r="AW1061" s="12" t="n"/>
      <c r="AX1061" s="13" t="n"/>
      <c r="AY1061" s="14" t="n"/>
      <c r="AZ1061" s="12" t="n"/>
      <c r="BA1061" s="13" t="n"/>
      <c r="BB1061" s="14" t="n"/>
      <c r="BC1061" s="11">
        <f>IF(O1061="","",IF(J1061="GST 10%",ROUND(O1061*set_GSTRate,2),0))</f>
        <v/>
      </c>
      <c r="BD1061" s="11">
        <f>IF(O1061="","",O1061+BC1061)</f>
        <v/>
      </c>
      <c r="BE1061" s="15">
        <f>IF(O1061="","",COUNTA(S1061,V1061,Y1061,AB1061,AE1061,AH1061,AK1061,AN1061,AQ1061,AT1061,AW1061,AZ1061))</f>
        <v/>
      </c>
      <c r="BF1061" s="16">
        <f>IF(COUNT(T1061,W1061,Z1061,AC1061,AF1061,AI1061,AL1061,AO1061,AR1061,AU1061,AX1061,BA1061)=0,"",MAX(T1061,W1061,Z1061,AC1061,AF1061,AI1061,AL1061,AO1061,AR1061,AU1061,AX1061,BA1061))</f>
        <v/>
      </c>
      <c r="BG1061" s="10">
        <f>MID(IF(S1061="","",", "&amp;S1061)&amp;IF(V1061="","",", "&amp;V1061)&amp;IF(Y1061="","",", "&amp;Y1061)&amp;IF(AB1061="","",", "&amp;AB1061)&amp;IF(AE1061="","",", "&amp;AE1061)&amp;IF(AH1061="","",", "&amp;AH1061)&amp;IF(AK1061="","",", "&amp;AK1061)&amp;IF(AN1061="","",", "&amp;AN1061)&amp;IF(AQ1061="","",", "&amp;AQ1061)&amp;IF(AT1061="","",", "&amp;AT1061)&amp;IF(AW1061="","",", "&amp;AW1061)&amp;IF(AZ1061="","",", "&amp;AZ1061),3,500)</f>
        <v/>
      </c>
      <c r="BH1061" s="12" t="n"/>
      <c r="BI1061" s="15">
        <f>IFERROR(MATCH($A1061,IF($B1061="Onsite",tbl_Onsite[Row ID],IF($B1061="Production",tbl_Production[Row ID],tbl_Consulting[Row ID])),0),"")</f>
        <v/>
      </c>
    </row>
    <row r="1062">
      <c r="A1062" s="10" t="inlineStr">
        <is>
          <t>CON-0056</t>
        </is>
      </c>
      <c r="B1062" s="10" t="inlineStr">
        <is>
          <t>Consulting</t>
        </is>
      </c>
      <c r="C1062" s="10">
        <f>IF($BI1062="","",IF($B1062="Onsite",INDEX(tbl_Onsite[Job Number],$BI1062),IF($B1062="Production",INDEX(tbl_Production[Job Number],$BI1062),INDEX(tbl_Consulting[Job Number],$BI1062)))&amp;"")</f>
        <v/>
      </c>
      <c r="D1062" s="10">
        <f>IF($BI1062="","",IF($B1062="Onsite",INDEX(tbl_Onsite[Client],$BI1062),IF($B1062="Production",INDEX(tbl_Production[Client],$BI1062),INDEX(tbl_Consulting[Client],$BI1062)))&amp;"")</f>
        <v/>
      </c>
      <c r="E1062" s="10">
        <f>IF($C1062="","",IF(COUNTIF(lst_Jobs,$C1062)&gt;0,"OK","CHECK"))</f>
        <v/>
      </c>
      <c r="F1062" s="10">
        <f>IF($C1062="","",IFERROR(INDEX(lst_JobName,MATCH($C1062,lst_Jobs,0)),""))</f>
        <v/>
      </c>
      <c r="G1062" s="10">
        <f>IF($BI1062="","",IF($B1062="Onsite",INDEX(tbl_Onsite[Job Description],$BI1062),IF($B1062="Production",INDEX(tbl_Production[Job Description],$BI1062),INDEX(tbl_Consulting[Job Description],$BI1062)))&amp;"")</f>
        <v/>
      </c>
      <c r="H1062" s="10">
        <f>IF($BI1062="","",IF($B1062="Onsite",INDEX(tbl_Onsite[Cost Centre],$BI1062),IF($B1062="Production",INDEX(tbl_Production[Cost Centre],$BI1062),INDEX(tbl_Consulting[Cost Centre],$BI1062)))&amp;"")</f>
        <v/>
      </c>
      <c r="I1062" s="10">
        <f>IF($BI1062="","",IF($B1062="Onsite",INDEX(tbl_Onsite[Invoice Type],$BI1062),IF($B1062="Production",INDEX(tbl_Production[Invoice Type],$BI1062),INDEX(tbl_Consulting[Invoice Type],$BI1062)))&amp;"")</f>
        <v/>
      </c>
      <c r="J1062" s="10">
        <f>IF($BI1062="","",IF($B1062="Onsite",INDEX(tbl_Onsite[Tax Code],$BI1062),IF($B1062="Production",INDEX(tbl_Production[Tax Code],$BI1062),INDEX(tbl_Consulting[Tax Code],$BI1062)))&amp;"")</f>
        <v/>
      </c>
      <c r="K1062" s="10">
        <f>IF(H1062="","",IFERROR(INDEX(lst_CCtoGL,MATCH(H1062,lst_CCforGL,0)),""))</f>
        <v/>
      </c>
      <c r="L1062" s="10">
        <f>IF($BI1062="","",IF($B1062="Onsite",INDEX(tbl_Onsite[PO / Reference],$BI1062),IF($B1062="Production",INDEX(tbl_Production[Current RMS No],$BI1062),INDEX(tbl_Consulting[Qwilr Quote],$BI1062)))&amp;"")</f>
        <v/>
      </c>
      <c r="M1062" s="10">
        <f>IF($BI1062="","",IF($B1062="Onsite",INDEX(tbl_Onsite[Notes],$BI1062),IF($B1062="Production",INDEX(tbl_Production[Notes],$BI1062),INDEX(tbl_Consulting[Notes],$BI1062)))&amp;"")</f>
        <v/>
      </c>
      <c r="N1062" s="11">
        <f>IF($BI1062="","",IF(IF($B1062="Onsite",INDEX(tbl_Onsite[Expected Revenue Ex GST],$BI1062),IF($B1062="Production",INDEX(tbl_Production[Expected Revenue Ex GST],$BI1062),INDEX(tbl_Consulting[Expected Revenue Ex GST],$BI1062)))="","",IF($B1062="Onsite",INDEX(tbl_Onsite[Expected Revenue Ex GST],$BI1062),IF($B1062="Production",INDEX(tbl_Production[Expected Revenue Ex GST],$BI1062),INDEX(tbl_Consulting[Expected Revenue Ex GST],$BI1062)))))</f>
        <v/>
      </c>
      <c r="O1062" s="11">
        <f>IF(AND($C1062="",NOT(COUNTA($S1062:$BB1062)&gt;0)),"",SUM(U1062,X1062,AA1062,AD1062,AG1062,AJ1062,AM1062,AP1062,AS1062,AV1062,AY1062,BB1062))</f>
        <v/>
      </c>
      <c r="P1062" s="11">
        <f>IF(O1062="","",N(N1062)-O1062)</f>
        <v/>
      </c>
      <c r="Q1062" s="10">
        <f>IF(O1062="","",IF($C1062="","Invoice on empty job row",IF(N1062="",IF(ROUND(O1062,2)=0,"No dept value","Invoiced - no dept value"),IF(ROUND(O1062,2)=0,"Not invoiced - to invoice",IF(ROUND(P1062,2)=0,"Agrees",IF(P1062&gt;0,"Dept higher - to invoice","Xero higher - check dept"))))))</f>
        <v/>
      </c>
      <c r="R1062" s="10">
        <f>IF(AND($C1062="",NOT(COUNTA($S1062:$BB1062)&gt;0),$BI1062&lt;&gt;""),"",MID(IF($BI1062="","; Row ID not found on the department sheet - a row was deleted","")&amp;IF(AND($C1062="",COUNTA($S1062:$BB1062)&gt;0),"; Invoice entered but the department row has no job number","")&amp;IF(E1062="CHECK","; Job number not in the Xero job list","")&amp;IF(AND($C1062&lt;&gt;"",COUNTIF($C$7:$C$1506,$C1062)&gt;1),"; Job number on more than one row","")&amp;IF(AND($C1062&lt;&gt;"",H1062=""),"; Dept has not set a cost centre","")&amp;IF(AND($C1062&lt;&gt;"",J1062=""),"; Dept has not set a tax code","")&amp;IF(AND($C1062&lt;&gt;"",N1062=""),"; Dept has not entered an expected value","")&amp;IF((IF(OR(COUNTA(S1062:U1062)=0,AND(COUNTA(S1062:U1062)=3,ISNUMBER(U1062))),0,1)+IF(OR(COUNTA(V1062:X1062)=0,AND(COUNTA(V1062:X1062)=3,ISNUMBER(X1062))),0,1)+IF(OR(COUNTA(Y1062:AA1062)=0,AND(COUNTA(Y1062:AA1062)=3,ISNUMBER(AA1062))),0,1)+IF(OR(COUNTA(AB1062:AD1062)=0,AND(COUNTA(AB1062:AD1062)=3,ISNUMBER(AD1062))),0,1)+IF(OR(COUNTA(AE1062:AG1062)=0,AND(COUNTA(AE1062:AG1062)=3,ISNUMBER(AG1062))),0,1)+IF(OR(COUNTA(AH1062:AJ1062)=0,AND(COUNTA(AH1062:AJ1062)=3,ISNUMBER(AJ1062))),0,1)+IF(OR(COUNTA(AK1062:AM1062)=0,AND(COUNTA(AK1062:AM1062)=3,ISNUMBER(AM1062))),0,1)+IF(OR(COUNTA(AN1062:AP1062)=0,AND(COUNTA(AN1062:AP1062)=3,ISNUMBER(AP1062))),0,1)+IF(OR(COUNTA(AQ1062:AS1062)=0,AND(COUNTA(AQ1062:AS1062)=3,ISNUMBER(AS1062))),0,1)+IF(OR(COUNTA(AT1062:AV1062)=0,AND(COUNTA(AT1062:AV1062)=3,ISNUMBER(AV1062))),0,1)+IF(OR(COUNTA(AW1062:AY1062)=0,AND(COUNTA(AW1062:AY1062)=3,ISNUMBER(AY1062))),0,1)+IF(OR(COUNTA(AZ1062:BB1062)=0,AND(COUNTA(AZ1062:BB1062)=3,ISNUMBER(BB1062))),0,1))&gt;0,"; An invoice is incomplete (needs No, Date and a number in Ex GST)","")&amp;IF((IF(T1062="",0,IFERROR(--(EOMONTH(T1062,0)&lt;&gt;S$5),1))+IF(W1062="",0,IFERROR(--(EOMONTH(W1062,0)&lt;&gt;V$5),1))+IF(Z1062="",0,IFERROR(--(EOMONTH(Z1062,0)&lt;&gt;Y$5),1))+IF(AC1062="",0,IFERROR(--(EOMONTH(AC1062,0)&lt;&gt;AB$5),1))+IF(AF1062="",0,IFERROR(--(EOMONTH(AF1062,0)&lt;&gt;AE$5),1))+IF(AI1062="",0,IFERROR(--(EOMONTH(AI1062,0)&lt;&gt;AH$5),1))+IF(AL1062="",0,IFERROR(--(EOMONTH(AL1062,0)&lt;&gt;AK$5),1))+IF(AO1062="",0,IFERROR(--(EOMONTH(AO1062,0)&lt;&gt;AN$5),1))+IF(AR1062="",0,IFERROR(--(EOMONTH(AR1062,0)&lt;&gt;AQ$5),1))+IF(AU1062="",0,IFERROR(--(EOMONTH(AU1062,0)&lt;&gt;AT$5),1))+IF(AX1062="",0,IFERROR(--(EOMONTH(AX1062,0)&lt;&gt;AW$5),1))+IF(BA1062="",0,IFERROR(--(EOMONTH(BA1062,0)&lt;&gt;AZ$5),1)))&gt;0,"; An invoice date is not in the month it is typed under",""),3,500))</f>
        <v/>
      </c>
      <c r="S1062" s="12" t="n"/>
      <c r="T1062" s="13" t="n"/>
      <c r="U1062" s="14" t="n"/>
      <c r="V1062" s="12" t="n"/>
      <c r="W1062" s="13" t="n"/>
      <c r="X1062" s="14" t="n"/>
      <c r="Y1062" s="12" t="n"/>
      <c r="Z1062" s="13" t="n"/>
      <c r="AA1062" s="14" t="n"/>
      <c r="AB1062" s="12" t="n"/>
      <c r="AC1062" s="13" t="n"/>
      <c r="AD1062" s="14" t="n"/>
      <c r="AE1062" s="12" t="n"/>
      <c r="AF1062" s="13" t="n"/>
      <c r="AG1062" s="14" t="n"/>
      <c r="AH1062" s="12" t="n"/>
      <c r="AI1062" s="13" t="n"/>
      <c r="AJ1062" s="14" t="n"/>
      <c r="AK1062" s="12" t="n"/>
      <c r="AL1062" s="13" t="n"/>
      <c r="AM1062" s="14" t="n"/>
      <c r="AN1062" s="12" t="n"/>
      <c r="AO1062" s="13" t="n"/>
      <c r="AP1062" s="14" t="n"/>
      <c r="AQ1062" s="12" t="n"/>
      <c r="AR1062" s="13" t="n"/>
      <c r="AS1062" s="14" t="n"/>
      <c r="AT1062" s="12" t="n"/>
      <c r="AU1062" s="13" t="n"/>
      <c r="AV1062" s="14" t="n"/>
      <c r="AW1062" s="12" t="n"/>
      <c r="AX1062" s="13" t="n"/>
      <c r="AY1062" s="14" t="n"/>
      <c r="AZ1062" s="12" t="n"/>
      <c r="BA1062" s="13" t="n"/>
      <c r="BB1062" s="14" t="n"/>
      <c r="BC1062" s="11">
        <f>IF(O1062="","",IF(J1062="GST 10%",ROUND(O1062*set_GSTRate,2),0))</f>
        <v/>
      </c>
      <c r="BD1062" s="11">
        <f>IF(O1062="","",O1062+BC1062)</f>
        <v/>
      </c>
      <c r="BE1062" s="15">
        <f>IF(O1062="","",COUNTA(S1062,V1062,Y1062,AB1062,AE1062,AH1062,AK1062,AN1062,AQ1062,AT1062,AW1062,AZ1062))</f>
        <v/>
      </c>
      <c r="BF1062" s="16">
        <f>IF(COUNT(T1062,W1062,Z1062,AC1062,AF1062,AI1062,AL1062,AO1062,AR1062,AU1062,AX1062,BA1062)=0,"",MAX(T1062,W1062,Z1062,AC1062,AF1062,AI1062,AL1062,AO1062,AR1062,AU1062,AX1062,BA1062))</f>
        <v/>
      </c>
      <c r="BG1062" s="10">
        <f>MID(IF(S1062="","",", "&amp;S1062)&amp;IF(V1062="","",", "&amp;V1062)&amp;IF(Y1062="","",", "&amp;Y1062)&amp;IF(AB1062="","",", "&amp;AB1062)&amp;IF(AE1062="","",", "&amp;AE1062)&amp;IF(AH1062="","",", "&amp;AH1062)&amp;IF(AK1062="","",", "&amp;AK1062)&amp;IF(AN1062="","",", "&amp;AN1062)&amp;IF(AQ1062="","",", "&amp;AQ1062)&amp;IF(AT1062="","",", "&amp;AT1062)&amp;IF(AW1062="","",", "&amp;AW1062)&amp;IF(AZ1062="","",", "&amp;AZ1062),3,500)</f>
        <v/>
      </c>
      <c r="BH1062" s="12" t="n"/>
      <c r="BI1062" s="15">
        <f>IFERROR(MATCH($A1062,IF($B1062="Onsite",tbl_Onsite[Row ID],IF($B1062="Production",tbl_Production[Row ID],tbl_Consulting[Row ID])),0),"")</f>
        <v/>
      </c>
    </row>
    <row r="1063">
      <c r="A1063" s="10" t="inlineStr">
        <is>
          <t>CON-0057</t>
        </is>
      </c>
      <c r="B1063" s="10" t="inlineStr">
        <is>
          <t>Consulting</t>
        </is>
      </c>
      <c r="C1063" s="10">
        <f>IF($BI1063="","",IF($B1063="Onsite",INDEX(tbl_Onsite[Job Number],$BI1063),IF($B1063="Production",INDEX(tbl_Production[Job Number],$BI1063),INDEX(tbl_Consulting[Job Number],$BI1063)))&amp;"")</f>
        <v/>
      </c>
      <c r="D1063" s="10">
        <f>IF($BI1063="","",IF($B1063="Onsite",INDEX(tbl_Onsite[Client],$BI1063),IF($B1063="Production",INDEX(tbl_Production[Client],$BI1063),INDEX(tbl_Consulting[Client],$BI1063)))&amp;"")</f>
        <v/>
      </c>
      <c r="E1063" s="10">
        <f>IF($C1063="","",IF(COUNTIF(lst_Jobs,$C1063)&gt;0,"OK","CHECK"))</f>
        <v/>
      </c>
      <c r="F1063" s="10">
        <f>IF($C1063="","",IFERROR(INDEX(lst_JobName,MATCH($C1063,lst_Jobs,0)),""))</f>
        <v/>
      </c>
      <c r="G1063" s="10">
        <f>IF($BI1063="","",IF($B1063="Onsite",INDEX(tbl_Onsite[Job Description],$BI1063),IF($B1063="Production",INDEX(tbl_Production[Job Description],$BI1063),INDEX(tbl_Consulting[Job Description],$BI1063)))&amp;"")</f>
        <v/>
      </c>
      <c r="H1063" s="10">
        <f>IF($BI1063="","",IF($B1063="Onsite",INDEX(tbl_Onsite[Cost Centre],$BI1063),IF($B1063="Production",INDEX(tbl_Production[Cost Centre],$BI1063),INDEX(tbl_Consulting[Cost Centre],$BI1063)))&amp;"")</f>
        <v/>
      </c>
      <c r="I1063" s="10">
        <f>IF($BI1063="","",IF($B1063="Onsite",INDEX(tbl_Onsite[Invoice Type],$BI1063),IF($B1063="Production",INDEX(tbl_Production[Invoice Type],$BI1063),INDEX(tbl_Consulting[Invoice Type],$BI1063)))&amp;"")</f>
        <v/>
      </c>
      <c r="J1063" s="10">
        <f>IF($BI1063="","",IF($B1063="Onsite",INDEX(tbl_Onsite[Tax Code],$BI1063),IF($B1063="Production",INDEX(tbl_Production[Tax Code],$BI1063),INDEX(tbl_Consulting[Tax Code],$BI1063)))&amp;"")</f>
        <v/>
      </c>
      <c r="K1063" s="10">
        <f>IF(H1063="","",IFERROR(INDEX(lst_CCtoGL,MATCH(H1063,lst_CCforGL,0)),""))</f>
        <v/>
      </c>
      <c r="L1063" s="10">
        <f>IF($BI1063="","",IF($B1063="Onsite",INDEX(tbl_Onsite[PO / Reference],$BI1063),IF($B1063="Production",INDEX(tbl_Production[Current RMS No],$BI1063),INDEX(tbl_Consulting[Qwilr Quote],$BI1063)))&amp;"")</f>
        <v/>
      </c>
      <c r="M1063" s="10">
        <f>IF($BI1063="","",IF($B1063="Onsite",INDEX(tbl_Onsite[Notes],$BI1063),IF($B1063="Production",INDEX(tbl_Production[Notes],$BI1063),INDEX(tbl_Consulting[Notes],$BI1063)))&amp;"")</f>
        <v/>
      </c>
      <c r="N1063" s="11">
        <f>IF($BI1063="","",IF(IF($B1063="Onsite",INDEX(tbl_Onsite[Expected Revenue Ex GST],$BI1063),IF($B1063="Production",INDEX(tbl_Production[Expected Revenue Ex GST],$BI1063),INDEX(tbl_Consulting[Expected Revenue Ex GST],$BI1063)))="","",IF($B1063="Onsite",INDEX(tbl_Onsite[Expected Revenue Ex GST],$BI1063),IF($B1063="Production",INDEX(tbl_Production[Expected Revenue Ex GST],$BI1063),INDEX(tbl_Consulting[Expected Revenue Ex GST],$BI1063)))))</f>
        <v/>
      </c>
      <c r="O1063" s="11">
        <f>IF(AND($C1063="",NOT(COUNTA($S1063:$BB1063)&gt;0)),"",SUM(U1063,X1063,AA1063,AD1063,AG1063,AJ1063,AM1063,AP1063,AS1063,AV1063,AY1063,BB1063))</f>
        <v/>
      </c>
      <c r="P1063" s="11">
        <f>IF(O1063="","",N(N1063)-O1063)</f>
        <v/>
      </c>
      <c r="Q1063" s="10">
        <f>IF(O1063="","",IF($C1063="","Invoice on empty job row",IF(N1063="",IF(ROUND(O1063,2)=0,"No dept value","Invoiced - no dept value"),IF(ROUND(O1063,2)=0,"Not invoiced - to invoice",IF(ROUND(P1063,2)=0,"Agrees",IF(P1063&gt;0,"Dept higher - to invoice","Xero higher - check dept"))))))</f>
        <v/>
      </c>
      <c r="R1063" s="10">
        <f>IF(AND($C1063="",NOT(COUNTA($S1063:$BB1063)&gt;0),$BI1063&lt;&gt;""),"",MID(IF($BI1063="","; Row ID not found on the department sheet - a row was deleted","")&amp;IF(AND($C1063="",COUNTA($S1063:$BB1063)&gt;0),"; Invoice entered but the department row has no job number","")&amp;IF(E1063="CHECK","; Job number not in the Xero job list","")&amp;IF(AND($C1063&lt;&gt;"",COUNTIF($C$7:$C$1506,$C1063)&gt;1),"; Job number on more than one row","")&amp;IF(AND($C1063&lt;&gt;"",H1063=""),"; Dept has not set a cost centre","")&amp;IF(AND($C1063&lt;&gt;"",J1063=""),"; Dept has not set a tax code","")&amp;IF(AND($C1063&lt;&gt;"",N1063=""),"; Dept has not entered an expected value","")&amp;IF((IF(OR(COUNTA(S1063:U1063)=0,AND(COUNTA(S1063:U1063)=3,ISNUMBER(U1063))),0,1)+IF(OR(COUNTA(V1063:X1063)=0,AND(COUNTA(V1063:X1063)=3,ISNUMBER(X1063))),0,1)+IF(OR(COUNTA(Y1063:AA1063)=0,AND(COUNTA(Y1063:AA1063)=3,ISNUMBER(AA1063))),0,1)+IF(OR(COUNTA(AB1063:AD1063)=0,AND(COUNTA(AB1063:AD1063)=3,ISNUMBER(AD1063))),0,1)+IF(OR(COUNTA(AE1063:AG1063)=0,AND(COUNTA(AE1063:AG1063)=3,ISNUMBER(AG1063))),0,1)+IF(OR(COUNTA(AH1063:AJ1063)=0,AND(COUNTA(AH1063:AJ1063)=3,ISNUMBER(AJ1063))),0,1)+IF(OR(COUNTA(AK1063:AM1063)=0,AND(COUNTA(AK1063:AM1063)=3,ISNUMBER(AM1063))),0,1)+IF(OR(COUNTA(AN1063:AP1063)=0,AND(COUNTA(AN1063:AP1063)=3,ISNUMBER(AP1063))),0,1)+IF(OR(COUNTA(AQ1063:AS1063)=0,AND(COUNTA(AQ1063:AS1063)=3,ISNUMBER(AS1063))),0,1)+IF(OR(COUNTA(AT1063:AV1063)=0,AND(COUNTA(AT1063:AV1063)=3,ISNUMBER(AV1063))),0,1)+IF(OR(COUNTA(AW1063:AY1063)=0,AND(COUNTA(AW1063:AY1063)=3,ISNUMBER(AY1063))),0,1)+IF(OR(COUNTA(AZ1063:BB1063)=0,AND(COUNTA(AZ1063:BB1063)=3,ISNUMBER(BB1063))),0,1))&gt;0,"; An invoice is incomplete (needs No, Date and a number in Ex GST)","")&amp;IF((IF(T1063="",0,IFERROR(--(EOMONTH(T1063,0)&lt;&gt;S$5),1))+IF(W1063="",0,IFERROR(--(EOMONTH(W1063,0)&lt;&gt;V$5),1))+IF(Z1063="",0,IFERROR(--(EOMONTH(Z1063,0)&lt;&gt;Y$5),1))+IF(AC1063="",0,IFERROR(--(EOMONTH(AC1063,0)&lt;&gt;AB$5),1))+IF(AF1063="",0,IFERROR(--(EOMONTH(AF1063,0)&lt;&gt;AE$5),1))+IF(AI1063="",0,IFERROR(--(EOMONTH(AI1063,0)&lt;&gt;AH$5),1))+IF(AL1063="",0,IFERROR(--(EOMONTH(AL1063,0)&lt;&gt;AK$5),1))+IF(AO1063="",0,IFERROR(--(EOMONTH(AO1063,0)&lt;&gt;AN$5),1))+IF(AR1063="",0,IFERROR(--(EOMONTH(AR1063,0)&lt;&gt;AQ$5),1))+IF(AU1063="",0,IFERROR(--(EOMONTH(AU1063,0)&lt;&gt;AT$5),1))+IF(AX1063="",0,IFERROR(--(EOMONTH(AX1063,0)&lt;&gt;AW$5),1))+IF(BA1063="",0,IFERROR(--(EOMONTH(BA1063,0)&lt;&gt;AZ$5),1)))&gt;0,"; An invoice date is not in the month it is typed under",""),3,500))</f>
        <v/>
      </c>
      <c r="S1063" s="12" t="n"/>
      <c r="T1063" s="13" t="n"/>
      <c r="U1063" s="14" t="n"/>
      <c r="V1063" s="12" t="n"/>
      <c r="W1063" s="13" t="n"/>
      <c r="X1063" s="14" t="n"/>
      <c r="Y1063" s="12" t="n"/>
      <c r="Z1063" s="13" t="n"/>
      <c r="AA1063" s="14" t="n"/>
      <c r="AB1063" s="12" t="n"/>
      <c r="AC1063" s="13" t="n"/>
      <c r="AD1063" s="14" t="n"/>
      <c r="AE1063" s="12" t="n"/>
      <c r="AF1063" s="13" t="n"/>
      <c r="AG1063" s="14" t="n"/>
      <c r="AH1063" s="12" t="n"/>
      <c r="AI1063" s="13" t="n"/>
      <c r="AJ1063" s="14" t="n"/>
      <c r="AK1063" s="12" t="n"/>
      <c r="AL1063" s="13" t="n"/>
      <c r="AM1063" s="14" t="n"/>
      <c r="AN1063" s="12" t="n"/>
      <c r="AO1063" s="13" t="n"/>
      <c r="AP1063" s="14" t="n"/>
      <c r="AQ1063" s="12" t="n"/>
      <c r="AR1063" s="13" t="n"/>
      <c r="AS1063" s="14" t="n"/>
      <c r="AT1063" s="12" t="n"/>
      <c r="AU1063" s="13" t="n"/>
      <c r="AV1063" s="14" t="n"/>
      <c r="AW1063" s="12" t="n"/>
      <c r="AX1063" s="13" t="n"/>
      <c r="AY1063" s="14" t="n"/>
      <c r="AZ1063" s="12" t="n"/>
      <c r="BA1063" s="13" t="n"/>
      <c r="BB1063" s="14" t="n"/>
      <c r="BC1063" s="11">
        <f>IF(O1063="","",IF(J1063="GST 10%",ROUND(O1063*set_GSTRate,2),0))</f>
        <v/>
      </c>
      <c r="BD1063" s="11">
        <f>IF(O1063="","",O1063+BC1063)</f>
        <v/>
      </c>
      <c r="BE1063" s="15">
        <f>IF(O1063="","",COUNTA(S1063,V1063,Y1063,AB1063,AE1063,AH1063,AK1063,AN1063,AQ1063,AT1063,AW1063,AZ1063))</f>
        <v/>
      </c>
      <c r="BF1063" s="16">
        <f>IF(COUNT(T1063,W1063,Z1063,AC1063,AF1063,AI1063,AL1063,AO1063,AR1063,AU1063,AX1063,BA1063)=0,"",MAX(T1063,W1063,Z1063,AC1063,AF1063,AI1063,AL1063,AO1063,AR1063,AU1063,AX1063,BA1063))</f>
        <v/>
      </c>
      <c r="BG1063" s="10">
        <f>MID(IF(S1063="","",", "&amp;S1063)&amp;IF(V1063="","",", "&amp;V1063)&amp;IF(Y1063="","",", "&amp;Y1063)&amp;IF(AB1063="","",", "&amp;AB1063)&amp;IF(AE1063="","",", "&amp;AE1063)&amp;IF(AH1063="","",", "&amp;AH1063)&amp;IF(AK1063="","",", "&amp;AK1063)&amp;IF(AN1063="","",", "&amp;AN1063)&amp;IF(AQ1063="","",", "&amp;AQ1063)&amp;IF(AT1063="","",", "&amp;AT1063)&amp;IF(AW1063="","",", "&amp;AW1063)&amp;IF(AZ1063="","",", "&amp;AZ1063),3,500)</f>
        <v/>
      </c>
      <c r="BH1063" s="12" t="n"/>
      <c r="BI1063" s="15">
        <f>IFERROR(MATCH($A1063,IF($B1063="Onsite",tbl_Onsite[Row ID],IF($B1063="Production",tbl_Production[Row ID],tbl_Consulting[Row ID])),0),"")</f>
        <v/>
      </c>
    </row>
    <row r="1064">
      <c r="A1064" s="10" t="inlineStr">
        <is>
          <t>CON-0058</t>
        </is>
      </c>
      <c r="B1064" s="10" t="inlineStr">
        <is>
          <t>Consulting</t>
        </is>
      </c>
      <c r="C1064" s="10">
        <f>IF($BI1064="","",IF($B1064="Onsite",INDEX(tbl_Onsite[Job Number],$BI1064),IF($B1064="Production",INDEX(tbl_Production[Job Number],$BI1064),INDEX(tbl_Consulting[Job Number],$BI1064)))&amp;"")</f>
        <v/>
      </c>
      <c r="D1064" s="10">
        <f>IF($BI1064="","",IF($B1064="Onsite",INDEX(tbl_Onsite[Client],$BI1064),IF($B1064="Production",INDEX(tbl_Production[Client],$BI1064),INDEX(tbl_Consulting[Client],$BI1064)))&amp;"")</f>
        <v/>
      </c>
      <c r="E1064" s="10">
        <f>IF($C1064="","",IF(COUNTIF(lst_Jobs,$C1064)&gt;0,"OK","CHECK"))</f>
        <v/>
      </c>
      <c r="F1064" s="10">
        <f>IF($C1064="","",IFERROR(INDEX(lst_JobName,MATCH($C1064,lst_Jobs,0)),""))</f>
        <v/>
      </c>
      <c r="G1064" s="10">
        <f>IF($BI1064="","",IF($B1064="Onsite",INDEX(tbl_Onsite[Job Description],$BI1064),IF($B1064="Production",INDEX(tbl_Production[Job Description],$BI1064),INDEX(tbl_Consulting[Job Description],$BI1064)))&amp;"")</f>
        <v/>
      </c>
      <c r="H1064" s="10">
        <f>IF($BI1064="","",IF($B1064="Onsite",INDEX(tbl_Onsite[Cost Centre],$BI1064),IF($B1064="Production",INDEX(tbl_Production[Cost Centre],$BI1064),INDEX(tbl_Consulting[Cost Centre],$BI1064)))&amp;"")</f>
        <v/>
      </c>
      <c r="I1064" s="10">
        <f>IF($BI1064="","",IF($B1064="Onsite",INDEX(tbl_Onsite[Invoice Type],$BI1064),IF($B1064="Production",INDEX(tbl_Production[Invoice Type],$BI1064),INDEX(tbl_Consulting[Invoice Type],$BI1064)))&amp;"")</f>
        <v/>
      </c>
      <c r="J1064" s="10">
        <f>IF($BI1064="","",IF($B1064="Onsite",INDEX(tbl_Onsite[Tax Code],$BI1064),IF($B1064="Production",INDEX(tbl_Production[Tax Code],$BI1064),INDEX(tbl_Consulting[Tax Code],$BI1064)))&amp;"")</f>
        <v/>
      </c>
      <c r="K1064" s="10">
        <f>IF(H1064="","",IFERROR(INDEX(lst_CCtoGL,MATCH(H1064,lst_CCforGL,0)),""))</f>
        <v/>
      </c>
      <c r="L1064" s="10">
        <f>IF($BI1064="","",IF($B1064="Onsite",INDEX(tbl_Onsite[PO / Reference],$BI1064),IF($B1064="Production",INDEX(tbl_Production[Current RMS No],$BI1064),INDEX(tbl_Consulting[Qwilr Quote],$BI1064)))&amp;"")</f>
        <v/>
      </c>
      <c r="M1064" s="10">
        <f>IF($BI1064="","",IF($B1064="Onsite",INDEX(tbl_Onsite[Notes],$BI1064),IF($B1064="Production",INDEX(tbl_Production[Notes],$BI1064),INDEX(tbl_Consulting[Notes],$BI1064)))&amp;"")</f>
        <v/>
      </c>
      <c r="N1064" s="11">
        <f>IF($BI1064="","",IF(IF($B1064="Onsite",INDEX(tbl_Onsite[Expected Revenue Ex GST],$BI1064),IF($B1064="Production",INDEX(tbl_Production[Expected Revenue Ex GST],$BI1064),INDEX(tbl_Consulting[Expected Revenue Ex GST],$BI1064)))="","",IF($B1064="Onsite",INDEX(tbl_Onsite[Expected Revenue Ex GST],$BI1064),IF($B1064="Production",INDEX(tbl_Production[Expected Revenue Ex GST],$BI1064),INDEX(tbl_Consulting[Expected Revenue Ex GST],$BI1064)))))</f>
        <v/>
      </c>
      <c r="O1064" s="11">
        <f>IF(AND($C1064="",NOT(COUNTA($S1064:$BB1064)&gt;0)),"",SUM(U1064,X1064,AA1064,AD1064,AG1064,AJ1064,AM1064,AP1064,AS1064,AV1064,AY1064,BB1064))</f>
        <v/>
      </c>
      <c r="P1064" s="11">
        <f>IF(O1064="","",N(N1064)-O1064)</f>
        <v/>
      </c>
      <c r="Q1064" s="10">
        <f>IF(O1064="","",IF($C1064="","Invoice on empty job row",IF(N1064="",IF(ROUND(O1064,2)=0,"No dept value","Invoiced - no dept value"),IF(ROUND(O1064,2)=0,"Not invoiced - to invoice",IF(ROUND(P1064,2)=0,"Agrees",IF(P1064&gt;0,"Dept higher - to invoice","Xero higher - check dept"))))))</f>
        <v/>
      </c>
      <c r="R1064" s="10">
        <f>IF(AND($C1064="",NOT(COUNTA($S1064:$BB1064)&gt;0),$BI1064&lt;&gt;""),"",MID(IF($BI1064="","; Row ID not found on the department sheet - a row was deleted","")&amp;IF(AND($C1064="",COUNTA($S1064:$BB1064)&gt;0),"; Invoice entered but the department row has no job number","")&amp;IF(E1064="CHECK","; Job number not in the Xero job list","")&amp;IF(AND($C1064&lt;&gt;"",COUNTIF($C$7:$C$1506,$C1064)&gt;1),"; Job number on more than one row","")&amp;IF(AND($C1064&lt;&gt;"",H1064=""),"; Dept has not set a cost centre","")&amp;IF(AND($C1064&lt;&gt;"",J1064=""),"; Dept has not set a tax code","")&amp;IF(AND($C1064&lt;&gt;"",N1064=""),"; Dept has not entered an expected value","")&amp;IF((IF(OR(COUNTA(S1064:U1064)=0,AND(COUNTA(S1064:U1064)=3,ISNUMBER(U1064))),0,1)+IF(OR(COUNTA(V1064:X1064)=0,AND(COUNTA(V1064:X1064)=3,ISNUMBER(X1064))),0,1)+IF(OR(COUNTA(Y1064:AA1064)=0,AND(COUNTA(Y1064:AA1064)=3,ISNUMBER(AA1064))),0,1)+IF(OR(COUNTA(AB1064:AD1064)=0,AND(COUNTA(AB1064:AD1064)=3,ISNUMBER(AD1064))),0,1)+IF(OR(COUNTA(AE1064:AG1064)=0,AND(COUNTA(AE1064:AG1064)=3,ISNUMBER(AG1064))),0,1)+IF(OR(COUNTA(AH1064:AJ1064)=0,AND(COUNTA(AH1064:AJ1064)=3,ISNUMBER(AJ1064))),0,1)+IF(OR(COUNTA(AK1064:AM1064)=0,AND(COUNTA(AK1064:AM1064)=3,ISNUMBER(AM1064))),0,1)+IF(OR(COUNTA(AN1064:AP1064)=0,AND(COUNTA(AN1064:AP1064)=3,ISNUMBER(AP1064))),0,1)+IF(OR(COUNTA(AQ1064:AS1064)=0,AND(COUNTA(AQ1064:AS1064)=3,ISNUMBER(AS1064))),0,1)+IF(OR(COUNTA(AT1064:AV1064)=0,AND(COUNTA(AT1064:AV1064)=3,ISNUMBER(AV1064))),0,1)+IF(OR(COUNTA(AW1064:AY1064)=0,AND(COUNTA(AW1064:AY1064)=3,ISNUMBER(AY1064))),0,1)+IF(OR(COUNTA(AZ1064:BB1064)=0,AND(COUNTA(AZ1064:BB1064)=3,ISNUMBER(BB1064))),0,1))&gt;0,"; An invoice is incomplete (needs No, Date and a number in Ex GST)","")&amp;IF((IF(T1064="",0,IFERROR(--(EOMONTH(T1064,0)&lt;&gt;S$5),1))+IF(W1064="",0,IFERROR(--(EOMONTH(W1064,0)&lt;&gt;V$5),1))+IF(Z1064="",0,IFERROR(--(EOMONTH(Z1064,0)&lt;&gt;Y$5),1))+IF(AC1064="",0,IFERROR(--(EOMONTH(AC1064,0)&lt;&gt;AB$5),1))+IF(AF1064="",0,IFERROR(--(EOMONTH(AF1064,0)&lt;&gt;AE$5),1))+IF(AI1064="",0,IFERROR(--(EOMONTH(AI1064,0)&lt;&gt;AH$5),1))+IF(AL1064="",0,IFERROR(--(EOMONTH(AL1064,0)&lt;&gt;AK$5),1))+IF(AO1064="",0,IFERROR(--(EOMONTH(AO1064,0)&lt;&gt;AN$5),1))+IF(AR1064="",0,IFERROR(--(EOMONTH(AR1064,0)&lt;&gt;AQ$5),1))+IF(AU1064="",0,IFERROR(--(EOMONTH(AU1064,0)&lt;&gt;AT$5),1))+IF(AX1064="",0,IFERROR(--(EOMONTH(AX1064,0)&lt;&gt;AW$5),1))+IF(BA1064="",0,IFERROR(--(EOMONTH(BA1064,0)&lt;&gt;AZ$5),1)))&gt;0,"; An invoice date is not in the month it is typed under",""),3,500))</f>
        <v/>
      </c>
      <c r="S1064" s="12" t="n"/>
      <c r="T1064" s="13" t="n"/>
      <c r="U1064" s="14" t="n"/>
      <c r="V1064" s="12" t="n"/>
      <c r="W1064" s="13" t="n"/>
      <c r="X1064" s="14" t="n"/>
      <c r="Y1064" s="12" t="n"/>
      <c r="Z1064" s="13" t="n"/>
      <c r="AA1064" s="14" t="n"/>
      <c r="AB1064" s="12" t="n"/>
      <c r="AC1064" s="13" t="n"/>
      <c r="AD1064" s="14" t="n"/>
      <c r="AE1064" s="12" t="n"/>
      <c r="AF1064" s="13" t="n"/>
      <c r="AG1064" s="14" t="n"/>
      <c r="AH1064" s="12" t="n"/>
      <c r="AI1064" s="13" t="n"/>
      <c r="AJ1064" s="14" t="n"/>
      <c r="AK1064" s="12" t="n"/>
      <c r="AL1064" s="13" t="n"/>
      <c r="AM1064" s="14" t="n"/>
      <c r="AN1064" s="12" t="n"/>
      <c r="AO1064" s="13" t="n"/>
      <c r="AP1064" s="14" t="n"/>
      <c r="AQ1064" s="12" t="n"/>
      <c r="AR1064" s="13" t="n"/>
      <c r="AS1064" s="14" t="n"/>
      <c r="AT1064" s="12" t="n"/>
      <c r="AU1064" s="13" t="n"/>
      <c r="AV1064" s="14" t="n"/>
      <c r="AW1064" s="12" t="n"/>
      <c r="AX1064" s="13" t="n"/>
      <c r="AY1064" s="14" t="n"/>
      <c r="AZ1064" s="12" t="n"/>
      <c r="BA1064" s="13" t="n"/>
      <c r="BB1064" s="14" t="n"/>
      <c r="BC1064" s="11">
        <f>IF(O1064="","",IF(J1064="GST 10%",ROUND(O1064*set_GSTRate,2),0))</f>
        <v/>
      </c>
      <c r="BD1064" s="11">
        <f>IF(O1064="","",O1064+BC1064)</f>
        <v/>
      </c>
      <c r="BE1064" s="15">
        <f>IF(O1064="","",COUNTA(S1064,V1064,Y1064,AB1064,AE1064,AH1064,AK1064,AN1064,AQ1064,AT1064,AW1064,AZ1064))</f>
        <v/>
      </c>
      <c r="BF1064" s="16">
        <f>IF(COUNT(T1064,W1064,Z1064,AC1064,AF1064,AI1064,AL1064,AO1064,AR1064,AU1064,AX1064,BA1064)=0,"",MAX(T1064,W1064,Z1064,AC1064,AF1064,AI1064,AL1064,AO1064,AR1064,AU1064,AX1064,BA1064))</f>
        <v/>
      </c>
      <c r="BG1064" s="10">
        <f>MID(IF(S1064="","",", "&amp;S1064)&amp;IF(V1064="","",", "&amp;V1064)&amp;IF(Y1064="","",", "&amp;Y1064)&amp;IF(AB1064="","",", "&amp;AB1064)&amp;IF(AE1064="","",", "&amp;AE1064)&amp;IF(AH1064="","",", "&amp;AH1064)&amp;IF(AK1064="","",", "&amp;AK1064)&amp;IF(AN1064="","",", "&amp;AN1064)&amp;IF(AQ1064="","",", "&amp;AQ1064)&amp;IF(AT1064="","",", "&amp;AT1064)&amp;IF(AW1064="","",", "&amp;AW1064)&amp;IF(AZ1064="","",", "&amp;AZ1064),3,500)</f>
        <v/>
      </c>
      <c r="BH1064" s="12" t="n"/>
      <c r="BI1064" s="15">
        <f>IFERROR(MATCH($A1064,IF($B1064="Onsite",tbl_Onsite[Row ID],IF($B1064="Production",tbl_Production[Row ID],tbl_Consulting[Row ID])),0),"")</f>
        <v/>
      </c>
    </row>
    <row r="1065">
      <c r="A1065" s="10" t="inlineStr">
        <is>
          <t>CON-0059</t>
        </is>
      </c>
      <c r="B1065" s="10" t="inlineStr">
        <is>
          <t>Consulting</t>
        </is>
      </c>
      <c r="C1065" s="10">
        <f>IF($BI1065="","",IF($B1065="Onsite",INDEX(tbl_Onsite[Job Number],$BI1065),IF($B1065="Production",INDEX(tbl_Production[Job Number],$BI1065),INDEX(tbl_Consulting[Job Number],$BI1065)))&amp;"")</f>
        <v/>
      </c>
      <c r="D1065" s="10">
        <f>IF($BI1065="","",IF($B1065="Onsite",INDEX(tbl_Onsite[Client],$BI1065),IF($B1065="Production",INDEX(tbl_Production[Client],$BI1065),INDEX(tbl_Consulting[Client],$BI1065)))&amp;"")</f>
        <v/>
      </c>
      <c r="E1065" s="10">
        <f>IF($C1065="","",IF(COUNTIF(lst_Jobs,$C1065)&gt;0,"OK","CHECK"))</f>
        <v/>
      </c>
      <c r="F1065" s="10">
        <f>IF($C1065="","",IFERROR(INDEX(lst_JobName,MATCH($C1065,lst_Jobs,0)),""))</f>
        <v/>
      </c>
      <c r="G1065" s="10">
        <f>IF($BI1065="","",IF($B1065="Onsite",INDEX(tbl_Onsite[Job Description],$BI1065),IF($B1065="Production",INDEX(tbl_Production[Job Description],$BI1065),INDEX(tbl_Consulting[Job Description],$BI1065)))&amp;"")</f>
        <v/>
      </c>
      <c r="H1065" s="10">
        <f>IF($BI1065="","",IF($B1065="Onsite",INDEX(tbl_Onsite[Cost Centre],$BI1065),IF($B1065="Production",INDEX(tbl_Production[Cost Centre],$BI1065),INDEX(tbl_Consulting[Cost Centre],$BI1065)))&amp;"")</f>
        <v/>
      </c>
      <c r="I1065" s="10">
        <f>IF($BI1065="","",IF($B1065="Onsite",INDEX(tbl_Onsite[Invoice Type],$BI1065),IF($B1065="Production",INDEX(tbl_Production[Invoice Type],$BI1065),INDEX(tbl_Consulting[Invoice Type],$BI1065)))&amp;"")</f>
        <v/>
      </c>
      <c r="J1065" s="10">
        <f>IF($BI1065="","",IF($B1065="Onsite",INDEX(tbl_Onsite[Tax Code],$BI1065),IF($B1065="Production",INDEX(tbl_Production[Tax Code],$BI1065),INDEX(tbl_Consulting[Tax Code],$BI1065)))&amp;"")</f>
        <v/>
      </c>
      <c r="K1065" s="10">
        <f>IF(H1065="","",IFERROR(INDEX(lst_CCtoGL,MATCH(H1065,lst_CCforGL,0)),""))</f>
        <v/>
      </c>
      <c r="L1065" s="10">
        <f>IF($BI1065="","",IF($B1065="Onsite",INDEX(tbl_Onsite[PO / Reference],$BI1065),IF($B1065="Production",INDEX(tbl_Production[Current RMS No],$BI1065),INDEX(tbl_Consulting[Qwilr Quote],$BI1065)))&amp;"")</f>
        <v/>
      </c>
      <c r="M1065" s="10">
        <f>IF($BI1065="","",IF($B1065="Onsite",INDEX(tbl_Onsite[Notes],$BI1065),IF($B1065="Production",INDEX(tbl_Production[Notes],$BI1065),INDEX(tbl_Consulting[Notes],$BI1065)))&amp;"")</f>
        <v/>
      </c>
      <c r="N1065" s="11">
        <f>IF($BI1065="","",IF(IF($B1065="Onsite",INDEX(tbl_Onsite[Expected Revenue Ex GST],$BI1065),IF($B1065="Production",INDEX(tbl_Production[Expected Revenue Ex GST],$BI1065),INDEX(tbl_Consulting[Expected Revenue Ex GST],$BI1065)))="","",IF($B1065="Onsite",INDEX(tbl_Onsite[Expected Revenue Ex GST],$BI1065),IF($B1065="Production",INDEX(tbl_Production[Expected Revenue Ex GST],$BI1065),INDEX(tbl_Consulting[Expected Revenue Ex GST],$BI1065)))))</f>
        <v/>
      </c>
      <c r="O1065" s="11">
        <f>IF(AND($C1065="",NOT(COUNTA($S1065:$BB1065)&gt;0)),"",SUM(U1065,X1065,AA1065,AD1065,AG1065,AJ1065,AM1065,AP1065,AS1065,AV1065,AY1065,BB1065))</f>
        <v/>
      </c>
      <c r="P1065" s="11">
        <f>IF(O1065="","",N(N1065)-O1065)</f>
        <v/>
      </c>
      <c r="Q1065" s="10">
        <f>IF(O1065="","",IF($C1065="","Invoice on empty job row",IF(N1065="",IF(ROUND(O1065,2)=0,"No dept value","Invoiced - no dept value"),IF(ROUND(O1065,2)=0,"Not invoiced - to invoice",IF(ROUND(P1065,2)=0,"Agrees",IF(P1065&gt;0,"Dept higher - to invoice","Xero higher - check dept"))))))</f>
        <v/>
      </c>
      <c r="R1065" s="10">
        <f>IF(AND($C1065="",NOT(COUNTA($S1065:$BB1065)&gt;0),$BI1065&lt;&gt;""),"",MID(IF($BI1065="","; Row ID not found on the department sheet - a row was deleted","")&amp;IF(AND($C1065="",COUNTA($S1065:$BB1065)&gt;0),"; Invoice entered but the department row has no job number","")&amp;IF(E1065="CHECK","; Job number not in the Xero job list","")&amp;IF(AND($C1065&lt;&gt;"",COUNTIF($C$7:$C$1506,$C1065)&gt;1),"; Job number on more than one row","")&amp;IF(AND($C1065&lt;&gt;"",H1065=""),"; Dept has not set a cost centre","")&amp;IF(AND($C1065&lt;&gt;"",J1065=""),"; Dept has not set a tax code","")&amp;IF(AND($C1065&lt;&gt;"",N1065=""),"; Dept has not entered an expected value","")&amp;IF((IF(OR(COUNTA(S1065:U1065)=0,AND(COUNTA(S1065:U1065)=3,ISNUMBER(U1065))),0,1)+IF(OR(COUNTA(V1065:X1065)=0,AND(COUNTA(V1065:X1065)=3,ISNUMBER(X1065))),0,1)+IF(OR(COUNTA(Y1065:AA1065)=0,AND(COUNTA(Y1065:AA1065)=3,ISNUMBER(AA1065))),0,1)+IF(OR(COUNTA(AB1065:AD1065)=0,AND(COUNTA(AB1065:AD1065)=3,ISNUMBER(AD1065))),0,1)+IF(OR(COUNTA(AE1065:AG1065)=0,AND(COUNTA(AE1065:AG1065)=3,ISNUMBER(AG1065))),0,1)+IF(OR(COUNTA(AH1065:AJ1065)=0,AND(COUNTA(AH1065:AJ1065)=3,ISNUMBER(AJ1065))),0,1)+IF(OR(COUNTA(AK1065:AM1065)=0,AND(COUNTA(AK1065:AM1065)=3,ISNUMBER(AM1065))),0,1)+IF(OR(COUNTA(AN1065:AP1065)=0,AND(COUNTA(AN1065:AP1065)=3,ISNUMBER(AP1065))),0,1)+IF(OR(COUNTA(AQ1065:AS1065)=0,AND(COUNTA(AQ1065:AS1065)=3,ISNUMBER(AS1065))),0,1)+IF(OR(COUNTA(AT1065:AV1065)=0,AND(COUNTA(AT1065:AV1065)=3,ISNUMBER(AV1065))),0,1)+IF(OR(COUNTA(AW1065:AY1065)=0,AND(COUNTA(AW1065:AY1065)=3,ISNUMBER(AY1065))),0,1)+IF(OR(COUNTA(AZ1065:BB1065)=0,AND(COUNTA(AZ1065:BB1065)=3,ISNUMBER(BB1065))),0,1))&gt;0,"; An invoice is incomplete (needs No, Date and a number in Ex GST)","")&amp;IF((IF(T1065="",0,IFERROR(--(EOMONTH(T1065,0)&lt;&gt;S$5),1))+IF(W1065="",0,IFERROR(--(EOMONTH(W1065,0)&lt;&gt;V$5),1))+IF(Z1065="",0,IFERROR(--(EOMONTH(Z1065,0)&lt;&gt;Y$5),1))+IF(AC1065="",0,IFERROR(--(EOMONTH(AC1065,0)&lt;&gt;AB$5),1))+IF(AF1065="",0,IFERROR(--(EOMONTH(AF1065,0)&lt;&gt;AE$5),1))+IF(AI1065="",0,IFERROR(--(EOMONTH(AI1065,0)&lt;&gt;AH$5),1))+IF(AL1065="",0,IFERROR(--(EOMONTH(AL1065,0)&lt;&gt;AK$5),1))+IF(AO1065="",0,IFERROR(--(EOMONTH(AO1065,0)&lt;&gt;AN$5),1))+IF(AR1065="",0,IFERROR(--(EOMONTH(AR1065,0)&lt;&gt;AQ$5),1))+IF(AU1065="",0,IFERROR(--(EOMONTH(AU1065,0)&lt;&gt;AT$5),1))+IF(AX1065="",0,IFERROR(--(EOMONTH(AX1065,0)&lt;&gt;AW$5),1))+IF(BA1065="",0,IFERROR(--(EOMONTH(BA1065,0)&lt;&gt;AZ$5),1)))&gt;0,"; An invoice date is not in the month it is typed under",""),3,500))</f>
        <v/>
      </c>
      <c r="S1065" s="12" t="n"/>
      <c r="T1065" s="13" t="n"/>
      <c r="U1065" s="14" t="n"/>
      <c r="V1065" s="12" t="n"/>
      <c r="W1065" s="13" t="n"/>
      <c r="X1065" s="14" t="n"/>
      <c r="Y1065" s="12" t="n"/>
      <c r="Z1065" s="13" t="n"/>
      <c r="AA1065" s="14" t="n"/>
      <c r="AB1065" s="12" t="n"/>
      <c r="AC1065" s="13" t="n"/>
      <c r="AD1065" s="14" t="n"/>
      <c r="AE1065" s="12" t="n"/>
      <c r="AF1065" s="13" t="n"/>
      <c r="AG1065" s="14" t="n"/>
      <c r="AH1065" s="12" t="n"/>
      <c r="AI1065" s="13" t="n"/>
      <c r="AJ1065" s="14" t="n"/>
      <c r="AK1065" s="12" t="n"/>
      <c r="AL1065" s="13" t="n"/>
      <c r="AM1065" s="14" t="n"/>
      <c r="AN1065" s="12" t="n"/>
      <c r="AO1065" s="13" t="n"/>
      <c r="AP1065" s="14" t="n"/>
      <c r="AQ1065" s="12" t="n"/>
      <c r="AR1065" s="13" t="n"/>
      <c r="AS1065" s="14" t="n"/>
      <c r="AT1065" s="12" t="n"/>
      <c r="AU1065" s="13" t="n"/>
      <c r="AV1065" s="14" t="n"/>
      <c r="AW1065" s="12" t="n"/>
      <c r="AX1065" s="13" t="n"/>
      <c r="AY1065" s="14" t="n"/>
      <c r="AZ1065" s="12" t="n"/>
      <c r="BA1065" s="13" t="n"/>
      <c r="BB1065" s="14" t="n"/>
      <c r="BC1065" s="11">
        <f>IF(O1065="","",IF(J1065="GST 10%",ROUND(O1065*set_GSTRate,2),0))</f>
        <v/>
      </c>
      <c r="BD1065" s="11">
        <f>IF(O1065="","",O1065+BC1065)</f>
        <v/>
      </c>
      <c r="BE1065" s="15">
        <f>IF(O1065="","",COUNTA(S1065,V1065,Y1065,AB1065,AE1065,AH1065,AK1065,AN1065,AQ1065,AT1065,AW1065,AZ1065))</f>
        <v/>
      </c>
      <c r="BF1065" s="16">
        <f>IF(COUNT(T1065,W1065,Z1065,AC1065,AF1065,AI1065,AL1065,AO1065,AR1065,AU1065,AX1065,BA1065)=0,"",MAX(T1065,W1065,Z1065,AC1065,AF1065,AI1065,AL1065,AO1065,AR1065,AU1065,AX1065,BA1065))</f>
        <v/>
      </c>
      <c r="BG1065" s="10">
        <f>MID(IF(S1065="","",", "&amp;S1065)&amp;IF(V1065="","",", "&amp;V1065)&amp;IF(Y1065="","",", "&amp;Y1065)&amp;IF(AB1065="","",", "&amp;AB1065)&amp;IF(AE1065="","",", "&amp;AE1065)&amp;IF(AH1065="","",", "&amp;AH1065)&amp;IF(AK1065="","",", "&amp;AK1065)&amp;IF(AN1065="","",", "&amp;AN1065)&amp;IF(AQ1065="","",", "&amp;AQ1065)&amp;IF(AT1065="","",", "&amp;AT1065)&amp;IF(AW1065="","",", "&amp;AW1065)&amp;IF(AZ1065="","",", "&amp;AZ1065),3,500)</f>
        <v/>
      </c>
      <c r="BH1065" s="12" t="n"/>
      <c r="BI1065" s="15">
        <f>IFERROR(MATCH($A1065,IF($B1065="Onsite",tbl_Onsite[Row ID],IF($B1065="Production",tbl_Production[Row ID],tbl_Consulting[Row ID])),0),"")</f>
        <v/>
      </c>
    </row>
    <row r="1066">
      <c r="A1066" s="10" t="inlineStr">
        <is>
          <t>CON-0060</t>
        </is>
      </c>
      <c r="B1066" s="10" t="inlineStr">
        <is>
          <t>Consulting</t>
        </is>
      </c>
      <c r="C1066" s="10">
        <f>IF($BI1066="","",IF($B1066="Onsite",INDEX(tbl_Onsite[Job Number],$BI1066),IF($B1066="Production",INDEX(tbl_Production[Job Number],$BI1066),INDEX(tbl_Consulting[Job Number],$BI1066)))&amp;"")</f>
        <v/>
      </c>
      <c r="D1066" s="10">
        <f>IF($BI1066="","",IF($B1066="Onsite",INDEX(tbl_Onsite[Client],$BI1066),IF($B1066="Production",INDEX(tbl_Production[Client],$BI1066),INDEX(tbl_Consulting[Client],$BI1066)))&amp;"")</f>
        <v/>
      </c>
      <c r="E1066" s="10">
        <f>IF($C1066="","",IF(COUNTIF(lst_Jobs,$C1066)&gt;0,"OK","CHECK"))</f>
        <v/>
      </c>
      <c r="F1066" s="10">
        <f>IF($C1066="","",IFERROR(INDEX(lst_JobName,MATCH($C1066,lst_Jobs,0)),""))</f>
        <v/>
      </c>
      <c r="G1066" s="10">
        <f>IF($BI1066="","",IF($B1066="Onsite",INDEX(tbl_Onsite[Job Description],$BI1066),IF($B1066="Production",INDEX(tbl_Production[Job Description],$BI1066),INDEX(tbl_Consulting[Job Description],$BI1066)))&amp;"")</f>
        <v/>
      </c>
      <c r="H1066" s="10">
        <f>IF($BI1066="","",IF($B1066="Onsite",INDEX(tbl_Onsite[Cost Centre],$BI1066),IF($B1066="Production",INDEX(tbl_Production[Cost Centre],$BI1066),INDEX(tbl_Consulting[Cost Centre],$BI1066)))&amp;"")</f>
        <v/>
      </c>
      <c r="I1066" s="10">
        <f>IF($BI1066="","",IF($B1066="Onsite",INDEX(tbl_Onsite[Invoice Type],$BI1066),IF($B1066="Production",INDEX(tbl_Production[Invoice Type],$BI1066),INDEX(tbl_Consulting[Invoice Type],$BI1066)))&amp;"")</f>
        <v/>
      </c>
      <c r="J1066" s="10">
        <f>IF($BI1066="","",IF($B1066="Onsite",INDEX(tbl_Onsite[Tax Code],$BI1066),IF($B1066="Production",INDEX(tbl_Production[Tax Code],$BI1066),INDEX(tbl_Consulting[Tax Code],$BI1066)))&amp;"")</f>
        <v/>
      </c>
      <c r="K1066" s="10">
        <f>IF(H1066="","",IFERROR(INDEX(lst_CCtoGL,MATCH(H1066,lst_CCforGL,0)),""))</f>
        <v/>
      </c>
      <c r="L1066" s="10">
        <f>IF($BI1066="","",IF($B1066="Onsite",INDEX(tbl_Onsite[PO / Reference],$BI1066),IF($B1066="Production",INDEX(tbl_Production[Current RMS No],$BI1066),INDEX(tbl_Consulting[Qwilr Quote],$BI1066)))&amp;"")</f>
        <v/>
      </c>
      <c r="M1066" s="10">
        <f>IF($BI1066="","",IF($B1066="Onsite",INDEX(tbl_Onsite[Notes],$BI1066),IF($B1066="Production",INDEX(tbl_Production[Notes],$BI1066),INDEX(tbl_Consulting[Notes],$BI1066)))&amp;"")</f>
        <v/>
      </c>
      <c r="N1066" s="11">
        <f>IF($BI1066="","",IF(IF($B1066="Onsite",INDEX(tbl_Onsite[Expected Revenue Ex GST],$BI1066),IF($B1066="Production",INDEX(tbl_Production[Expected Revenue Ex GST],$BI1066),INDEX(tbl_Consulting[Expected Revenue Ex GST],$BI1066)))="","",IF($B1066="Onsite",INDEX(tbl_Onsite[Expected Revenue Ex GST],$BI1066),IF($B1066="Production",INDEX(tbl_Production[Expected Revenue Ex GST],$BI1066),INDEX(tbl_Consulting[Expected Revenue Ex GST],$BI1066)))))</f>
        <v/>
      </c>
      <c r="O1066" s="11">
        <f>IF(AND($C1066="",NOT(COUNTA($S1066:$BB1066)&gt;0)),"",SUM(U1066,X1066,AA1066,AD1066,AG1066,AJ1066,AM1066,AP1066,AS1066,AV1066,AY1066,BB1066))</f>
        <v/>
      </c>
      <c r="P1066" s="11">
        <f>IF(O1066="","",N(N1066)-O1066)</f>
        <v/>
      </c>
      <c r="Q1066" s="10">
        <f>IF(O1066="","",IF($C1066="","Invoice on empty job row",IF(N1066="",IF(ROUND(O1066,2)=0,"No dept value","Invoiced - no dept value"),IF(ROUND(O1066,2)=0,"Not invoiced - to invoice",IF(ROUND(P1066,2)=0,"Agrees",IF(P1066&gt;0,"Dept higher - to invoice","Xero higher - check dept"))))))</f>
        <v/>
      </c>
      <c r="R1066" s="10">
        <f>IF(AND($C1066="",NOT(COUNTA($S1066:$BB1066)&gt;0),$BI1066&lt;&gt;""),"",MID(IF($BI1066="","; Row ID not found on the department sheet - a row was deleted","")&amp;IF(AND($C1066="",COUNTA($S1066:$BB1066)&gt;0),"; Invoice entered but the department row has no job number","")&amp;IF(E1066="CHECK","; Job number not in the Xero job list","")&amp;IF(AND($C1066&lt;&gt;"",COUNTIF($C$7:$C$1506,$C1066)&gt;1),"; Job number on more than one row","")&amp;IF(AND($C1066&lt;&gt;"",H1066=""),"; Dept has not set a cost centre","")&amp;IF(AND($C1066&lt;&gt;"",J1066=""),"; Dept has not set a tax code","")&amp;IF(AND($C1066&lt;&gt;"",N1066=""),"; Dept has not entered an expected value","")&amp;IF((IF(OR(COUNTA(S1066:U1066)=0,AND(COUNTA(S1066:U1066)=3,ISNUMBER(U1066))),0,1)+IF(OR(COUNTA(V1066:X1066)=0,AND(COUNTA(V1066:X1066)=3,ISNUMBER(X1066))),0,1)+IF(OR(COUNTA(Y1066:AA1066)=0,AND(COUNTA(Y1066:AA1066)=3,ISNUMBER(AA1066))),0,1)+IF(OR(COUNTA(AB1066:AD1066)=0,AND(COUNTA(AB1066:AD1066)=3,ISNUMBER(AD1066))),0,1)+IF(OR(COUNTA(AE1066:AG1066)=0,AND(COUNTA(AE1066:AG1066)=3,ISNUMBER(AG1066))),0,1)+IF(OR(COUNTA(AH1066:AJ1066)=0,AND(COUNTA(AH1066:AJ1066)=3,ISNUMBER(AJ1066))),0,1)+IF(OR(COUNTA(AK1066:AM1066)=0,AND(COUNTA(AK1066:AM1066)=3,ISNUMBER(AM1066))),0,1)+IF(OR(COUNTA(AN1066:AP1066)=0,AND(COUNTA(AN1066:AP1066)=3,ISNUMBER(AP1066))),0,1)+IF(OR(COUNTA(AQ1066:AS1066)=0,AND(COUNTA(AQ1066:AS1066)=3,ISNUMBER(AS1066))),0,1)+IF(OR(COUNTA(AT1066:AV1066)=0,AND(COUNTA(AT1066:AV1066)=3,ISNUMBER(AV1066))),0,1)+IF(OR(COUNTA(AW1066:AY1066)=0,AND(COUNTA(AW1066:AY1066)=3,ISNUMBER(AY1066))),0,1)+IF(OR(COUNTA(AZ1066:BB1066)=0,AND(COUNTA(AZ1066:BB1066)=3,ISNUMBER(BB1066))),0,1))&gt;0,"; An invoice is incomplete (needs No, Date and a number in Ex GST)","")&amp;IF((IF(T1066="",0,IFERROR(--(EOMONTH(T1066,0)&lt;&gt;S$5),1))+IF(W1066="",0,IFERROR(--(EOMONTH(W1066,0)&lt;&gt;V$5),1))+IF(Z1066="",0,IFERROR(--(EOMONTH(Z1066,0)&lt;&gt;Y$5),1))+IF(AC1066="",0,IFERROR(--(EOMONTH(AC1066,0)&lt;&gt;AB$5),1))+IF(AF1066="",0,IFERROR(--(EOMONTH(AF1066,0)&lt;&gt;AE$5),1))+IF(AI1066="",0,IFERROR(--(EOMONTH(AI1066,0)&lt;&gt;AH$5),1))+IF(AL1066="",0,IFERROR(--(EOMONTH(AL1066,0)&lt;&gt;AK$5),1))+IF(AO1066="",0,IFERROR(--(EOMONTH(AO1066,0)&lt;&gt;AN$5),1))+IF(AR1066="",0,IFERROR(--(EOMONTH(AR1066,0)&lt;&gt;AQ$5),1))+IF(AU1066="",0,IFERROR(--(EOMONTH(AU1066,0)&lt;&gt;AT$5),1))+IF(AX1066="",0,IFERROR(--(EOMONTH(AX1066,0)&lt;&gt;AW$5),1))+IF(BA1066="",0,IFERROR(--(EOMONTH(BA1066,0)&lt;&gt;AZ$5),1)))&gt;0,"; An invoice date is not in the month it is typed under",""),3,500))</f>
        <v/>
      </c>
      <c r="S1066" s="12" t="n"/>
      <c r="T1066" s="13" t="n"/>
      <c r="U1066" s="14" t="n"/>
      <c r="V1066" s="12" t="n"/>
      <c r="W1066" s="13" t="n"/>
      <c r="X1066" s="14" t="n"/>
      <c r="Y1066" s="12" t="n"/>
      <c r="Z1066" s="13" t="n"/>
      <c r="AA1066" s="14" t="n"/>
      <c r="AB1066" s="12" t="n"/>
      <c r="AC1066" s="13" t="n"/>
      <c r="AD1066" s="14" t="n"/>
      <c r="AE1066" s="12" t="n"/>
      <c r="AF1066" s="13" t="n"/>
      <c r="AG1066" s="14" t="n"/>
      <c r="AH1066" s="12" t="n"/>
      <c r="AI1066" s="13" t="n"/>
      <c r="AJ1066" s="14" t="n"/>
      <c r="AK1066" s="12" t="n"/>
      <c r="AL1066" s="13" t="n"/>
      <c r="AM1066" s="14" t="n"/>
      <c r="AN1066" s="12" t="n"/>
      <c r="AO1066" s="13" t="n"/>
      <c r="AP1066" s="14" t="n"/>
      <c r="AQ1066" s="12" t="n"/>
      <c r="AR1066" s="13" t="n"/>
      <c r="AS1066" s="14" t="n"/>
      <c r="AT1066" s="12" t="n"/>
      <c r="AU1066" s="13" t="n"/>
      <c r="AV1066" s="14" t="n"/>
      <c r="AW1066" s="12" t="n"/>
      <c r="AX1066" s="13" t="n"/>
      <c r="AY1066" s="14" t="n"/>
      <c r="AZ1066" s="12" t="n"/>
      <c r="BA1066" s="13" t="n"/>
      <c r="BB1066" s="14" t="n"/>
      <c r="BC1066" s="11">
        <f>IF(O1066="","",IF(J1066="GST 10%",ROUND(O1066*set_GSTRate,2),0))</f>
        <v/>
      </c>
      <c r="BD1066" s="11">
        <f>IF(O1066="","",O1066+BC1066)</f>
        <v/>
      </c>
      <c r="BE1066" s="15">
        <f>IF(O1066="","",COUNTA(S1066,V1066,Y1066,AB1066,AE1066,AH1066,AK1066,AN1066,AQ1066,AT1066,AW1066,AZ1066))</f>
        <v/>
      </c>
      <c r="BF1066" s="16">
        <f>IF(COUNT(T1066,W1066,Z1066,AC1066,AF1066,AI1066,AL1066,AO1066,AR1066,AU1066,AX1066,BA1066)=0,"",MAX(T1066,W1066,Z1066,AC1066,AF1066,AI1066,AL1066,AO1066,AR1066,AU1066,AX1066,BA1066))</f>
        <v/>
      </c>
      <c r="BG1066" s="10">
        <f>MID(IF(S1066="","",", "&amp;S1066)&amp;IF(V1066="","",", "&amp;V1066)&amp;IF(Y1066="","",", "&amp;Y1066)&amp;IF(AB1066="","",", "&amp;AB1066)&amp;IF(AE1066="","",", "&amp;AE1066)&amp;IF(AH1066="","",", "&amp;AH1066)&amp;IF(AK1066="","",", "&amp;AK1066)&amp;IF(AN1066="","",", "&amp;AN1066)&amp;IF(AQ1066="","",", "&amp;AQ1066)&amp;IF(AT1066="","",", "&amp;AT1066)&amp;IF(AW1066="","",", "&amp;AW1066)&amp;IF(AZ1066="","",", "&amp;AZ1066),3,500)</f>
        <v/>
      </c>
      <c r="BH1066" s="12" t="n"/>
      <c r="BI1066" s="15">
        <f>IFERROR(MATCH($A1066,IF($B1066="Onsite",tbl_Onsite[Row ID],IF($B1066="Production",tbl_Production[Row ID],tbl_Consulting[Row ID])),0),"")</f>
        <v/>
      </c>
    </row>
    <row r="1067">
      <c r="A1067" s="10" t="inlineStr">
        <is>
          <t>CON-0061</t>
        </is>
      </c>
      <c r="B1067" s="10" t="inlineStr">
        <is>
          <t>Consulting</t>
        </is>
      </c>
      <c r="C1067" s="10">
        <f>IF($BI1067="","",IF($B1067="Onsite",INDEX(tbl_Onsite[Job Number],$BI1067),IF($B1067="Production",INDEX(tbl_Production[Job Number],$BI1067),INDEX(tbl_Consulting[Job Number],$BI1067)))&amp;"")</f>
        <v/>
      </c>
      <c r="D1067" s="10">
        <f>IF($BI1067="","",IF($B1067="Onsite",INDEX(tbl_Onsite[Client],$BI1067),IF($B1067="Production",INDEX(tbl_Production[Client],$BI1067),INDEX(tbl_Consulting[Client],$BI1067)))&amp;"")</f>
        <v/>
      </c>
      <c r="E1067" s="10">
        <f>IF($C1067="","",IF(COUNTIF(lst_Jobs,$C1067)&gt;0,"OK","CHECK"))</f>
        <v/>
      </c>
      <c r="F1067" s="10">
        <f>IF($C1067="","",IFERROR(INDEX(lst_JobName,MATCH($C1067,lst_Jobs,0)),""))</f>
        <v/>
      </c>
      <c r="G1067" s="10">
        <f>IF($BI1067="","",IF($B1067="Onsite",INDEX(tbl_Onsite[Job Description],$BI1067),IF($B1067="Production",INDEX(tbl_Production[Job Description],$BI1067),INDEX(tbl_Consulting[Job Description],$BI1067)))&amp;"")</f>
        <v/>
      </c>
      <c r="H1067" s="10">
        <f>IF($BI1067="","",IF($B1067="Onsite",INDEX(tbl_Onsite[Cost Centre],$BI1067),IF($B1067="Production",INDEX(tbl_Production[Cost Centre],$BI1067),INDEX(tbl_Consulting[Cost Centre],$BI1067)))&amp;"")</f>
        <v/>
      </c>
      <c r="I1067" s="10">
        <f>IF($BI1067="","",IF($B1067="Onsite",INDEX(tbl_Onsite[Invoice Type],$BI1067),IF($B1067="Production",INDEX(tbl_Production[Invoice Type],$BI1067),INDEX(tbl_Consulting[Invoice Type],$BI1067)))&amp;"")</f>
        <v/>
      </c>
      <c r="J1067" s="10">
        <f>IF($BI1067="","",IF($B1067="Onsite",INDEX(tbl_Onsite[Tax Code],$BI1067),IF($B1067="Production",INDEX(tbl_Production[Tax Code],$BI1067),INDEX(tbl_Consulting[Tax Code],$BI1067)))&amp;"")</f>
        <v/>
      </c>
      <c r="K1067" s="10">
        <f>IF(H1067="","",IFERROR(INDEX(lst_CCtoGL,MATCH(H1067,lst_CCforGL,0)),""))</f>
        <v/>
      </c>
      <c r="L1067" s="10">
        <f>IF($BI1067="","",IF($B1067="Onsite",INDEX(tbl_Onsite[PO / Reference],$BI1067),IF($B1067="Production",INDEX(tbl_Production[Current RMS No],$BI1067),INDEX(tbl_Consulting[Qwilr Quote],$BI1067)))&amp;"")</f>
        <v/>
      </c>
      <c r="M1067" s="10">
        <f>IF($BI1067="","",IF($B1067="Onsite",INDEX(tbl_Onsite[Notes],$BI1067),IF($B1067="Production",INDEX(tbl_Production[Notes],$BI1067),INDEX(tbl_Consulting[Notes],$BI1067)))&amp;"")</f>
        <v/>
      </c>
      <c r="N1067" s="11">
        <f>IF($BI1067="","",IF(IF($B1067="Onsite",INDEX(tbl_Onsite[Expected Revenue Ex GST],$BI1067),IF($B1067="Production",INDEX(tbl_Production[Expected Revenue Ex GST],$BI1067),INDEX(tbl_Consulting[Expected Revenue Ex GST],$BI1067)))="","",IF($B1067="Onsite",INDEX(tbl_Onsite[Expected Revenue Ex GST],$BI1067),IF($B1067="Production",INDEX(tbl_Production[Expected Revenue Ex GST],$BI1067),INDEX(tbl_Consulting[Expected Revenue Ex GST],$BI1067)))))</f>
        <v/>
      </c>
      <c r="O1067" s="11">
        <f>IF(AND($C1067="",NOT(COUNTA($S1067:$BB1067)&gt;0)),"",SUM(U1067,X1067,AA1067,AD1067,AG1067,AJ1067,AM1067,AP1067,AS1067,AV1067,AY1067,BB1067))</f>
        <v/>
      </c>
      <c r="P1067" s="11">
        <f>IF(O1067="","",N(N1067)-O1067)</f>
        <v/>
      </c>
      <c r="Q1067" s="10">
        <f>IF(O1067="","",IF($C1067="","Invoice on empty job row",IF(N1067="",IF(ROUND(O1067,2)=0,"No dept value","Invoiced - no dept value"),IF(ROUND(O1067,2)=0,"Not invoiced - to invoice",IF(ROUND(P1067,2)=0,"Agrees",IF(P1067&gt;0,"Dept higher - to invoice","Xero higher - check dept"))))))</f>
        <v/>
      </c>
      <c r="R1067" s="10">
        <f>IF(AND($C1067="",NOT(COUNTA($S1067:$BB1067)&gt;0),$BI1067&lt;&gt;""),"",MID(IF($BI1067="","; Row ID not found on the department sheet - a row was deleted","")&amp;IF(AND($C1067="",COUNTA($S1067:$BB1067)&gt;0),"; Invoice entered but the department row has no job number","")&amp;IF(E1067="CHECK","; Job number not in the Xero job list","")&amp;IF(AND($C1067&lt;&gt;"",COUNTIF($C$7:$C$1506,$C1067)&gt;1),"; Job number on more than one row","")&amp;IF(AND($C1067&lt;&gt;"",H1067=""),"; Dept has not set a cost centre","")&amp;IF(AND($C1067&lt;&gt;"",J1067=""),"; Dept has not set a tax code","")&amp;IF(AND($C1067&lt;&gt;"",N1067=""),"; Dept has not entered an expected value","")&amp;IF((IF(OR(COUNTA(S1067:U1067)=0,AND(COUNTA(S1067:U1067)=3,ISNUMBER(U1067))),0,1)+IF(OR(COUNTA(V1067:X1067)=0,AND(COUNTA(V1067:X1067)=3,ISNUMBER(X1067))),0,1)+IF(OR(COUNTA(Y1067:AA1067)=0,AND(COUNTA(Y1067:AA1067)=3,ISNUMBER(AA1067))),0,1)+IF(OR(COUNTA(AB1067:AD1067)=0,AND(COUNTA(AB1067:AD1067)=3,ISNUMBER(AD1067))),0,1)+IF(OR(COUNTA(AE1067:AG1067)=0,AND(COUNTA(AE1067:AG1067)=3,ISNUMBER(AG1067))),0,1)+IF(OR(COUNTA(AH1067:AJ1067)=0,AND(COUNTA(AH1067:AJ1067)=3,ISNUMBER(AJ1067))),0,1)+IF(OR(COUNTA(AK1067:AM1067)=0,AND(COUNTA(AK1067:AM1067)=3,ISNUMBER(AM1067))),0,1)+IF(OR(COUNTA(AN1067:AP1067)=0,AND(COUNTA(AN1067:AP1067)=3,ISNUMBER(AP1067))),0,1)+IF(OR(COUNTA(AQ1067:AS1067)=0,AND(COUNTA(AQ1067:AS1067)=3,ISNUMBER(AS1067))),0,1)+IF(OR(COUNTA(AT1067:AV1067)=0,AND(COUNTA(AT1067:AV1067)=3,ISNUMBER(AV1067))),0,1)+IF(OR(COUNTA(AW1067:AY1067)=0,AND(COUNTA(AW1067:AY1067)=3,ISNUMBER(AY1067))),0,1)+IF(OR(COUNTA(AZ1067:BB1067)=0,AND(COUNTA(AZ1067:BB1067)=3,ISNUMBER(BB1067))),0,1))&gt;0,"; An invoice is incomplete (needs No, Date and a number in Ex GST)","")&amp;IF((IF(T1067="",0,IFERROR(--(EOMONTH(T1067,0)&lt;&gt;S$5),1))+IF(W1067="",0,IFERROR(--(EOMONTH(W1067,0)&lt;&gt;V$5),1))+IF(Z1067="",0,IFERROR(--(EOMONTH(Z1067,0)&lt;&gt;Y$5),1))+IF(AC1067="",0,IFERROR(--(EOMONTH(AC1067,0)&lt;&gt;AB$5),1))+IF(AF1067="",0,IFERROR(--(EOMONTH(AF1067,0)&lt;&gt;AE$5),1))+IF(AI1067="",0,IFERROR(--(EOMONTH(AI1067,0)&lt;&gt;AH$5),1))+IF(AL1067="",0,IFERROR(--(EOMONTH(AL1067,0)&lt;&gt;AK$5),1))+IF(AO1067="",0,IFERROR(--(EOMONTH(AO1067,0)&lt;&gt;AN$5),1))+IF(AR1067="",0,IFERROR(--(EOMONTH(AR1067,0)&lt;&gt;AQ$5),1))+IF(AU1067="",0,IFERROR(--(EOMONTH(AU1067,0)&lt;&gt;AT$5),1))+IF(AX1067="",0,IFERROR(--(EOMONTH(AX1067,0)&lt;&gt;AW$5),1))+IF(BA1067="",0,IFERROR(--(EOMONTH(BA1067,0)&lt;&gt;AZ$5),1)))&gt;0,"; An invoice date is not in the month it is typed under",""),3,500))</f>
        <v/>
      </c>
      <c r="S1067" s="12" t="n"/>
      <c r="T1067" s="13" t="n"/>
      <c r="U1067" s="14" t="n"/>
      <c r="V1067" s="12" t="n"/>
      <c r="W1067" s="13" t="n"/>
      <c r="X1067" s="14" t="n"/>
      <c r="Y1067" s="12" t="n"/>
      <c r="Z1067" s="13" t="n"/>
      <c r="AA1067" s="14" t="n"/>
      <c r="AB1067" s="12" t="n"/>
      <c r="AC1067" s="13" t="n"/>
      <c r="AD1067" s="14" t="n"/>
      <c r="AE1067" s="12" t="n"/>
      <c r="AF1067" s="13" t="n"/>
      <c r="AG1067" s="14" t="n"/>
      <c r="AH1067" s="12" t="n"/>
      <c r="AI1067" s="13" t="n"/>
      <c r="AJ1067" s="14" t="n"/>
      <c r="AK1067" s="12" t="n"/>
      <c r="AL1067" s="13" t="n"/>
      <c r="AM1067" s="14" t="n"/>
      <c r="AN1067" s="12" t="n"/>
      <c r="AO1067" s="13" t="n"/>
      <c r="AP1067" s="14" t="n"/>
      <c r="AQ1067" s="12" t="n"/>
      <c r="AR1067" s="13" t="n"/>
      <c r="AS1067" s="14" t="n"/>
      <c r="AT1067" s="12" t="n"/>
      <c r="AU1067" s="13" t="n"/>
      <c r="AV1067" s="14" t="n"/>
      <c r="AW1067" s="12" t="n"/>
      <c r="AX1067" s="13" t="n"/>
      <c r="AY1067" s="14" t="n"/>
      <c r="AZ1067" s="12" t="n"/>
      <c r="BA1067" s="13" t="n"/>
      <c r="BB1067" s="14" t="n"/>
      <c r="BC1067" s="11">
        <f>IF(O1067="","",IF(J1067="GST 10%",ROUND(O1067*set_GSTRate,2),0))</f>
        <v/>
      </c>
      <c r="BD1067" s="11">
        <f>IF(O1067="","",O1067+BC1067)</f>
        <v/>
      </c>
      <c r="BE1067" s="15">
        <f>IF(O1067="","",COUNTA(S1067,V1067,Y1067,AB1067,AE1067,AH1067,AK1067,AN1067,AQ1067,AT1067,AW1067,AZ1067))</f>
        <v/>
      </c>
      <c r="BF1067" s="16">
        <f>IF(COUNT(T1067,W1067,Z1067,AC1067,AF1067,AI1067,AL1067,AO1067,AR1067,AU1067,AX1067,BA1067)=0,"",MAX(T1067,W1067,Z1067,AC1067,AF1067,AI1067,AL1067,AO1067,AR1067,AU1067,AX1067,BA1067))</f>
        <v/>
      </c>
      <c r="BG1067" s="10">
        <f>MID(IF(S1067="","",", "&amp;S1067)&amp;IF(V1067="","",", "&amp;V1067)&amp;IF(Y1067="","",", "&amp;Y1067)&amp;IF(AB1067="","",", "&amp;AB1067)&amp;IF(AE1067="","",", "&amp;AE1067)&amp;IF(AH1067="","",", "&amp;AH1067)&amp;IF(AK1067="","",", "&amp;AK1067)&amp;IF(AN1067="","",", "&amp;AN1067)&amp;IF(AQ1067="","",", "&amp;AQ1067)&amp;IF(AT1067="","",", "&amp;AT1067)&amp;IF(AW1067="","",", "&amp;AW1067)&amp;IF(AZ1067="","",", "&amp;AZ1067),3,500)</f>
        <v/>
      </c>
      <c r="BH1067" s="12" t="n"/>
      <c r="BI1067" s="15">
        <f>IFERROR(MATCH($A1067,IF($B1067="Onsite",tbl_Onsite[Row ID],IF($B1067="Production",tbl_Production[Row ID],tbl_Consulting[Row ID])),0),"")</f>
        <v/>
      </c>
    </row>
    <row r="1068">
      <c r="A1068" s="10" t="inlineStr">
        <is>
          <t>CON-0062</t>
        </is>
      </c>
      <c r="B1068" s="10" t="inlineStr">
        <is>
          <t>Consulting</t>
        </is>
      </c>
      <c r="C1068" s="10">
        <f>IF($BI1068="","",IF($B1068="Onsite",INDEX(tbl_Onsite[Job Number],$BI1068),IF($B1068="Production",INDEX(tbl_Production[Job Number],$BI1068),INDEX(tbl_Consulting[Job Number],$BI1068)))&amp;"")</f>
        <v/>
      </c>
      <c r="D1068" s="10">
        <f>IF($BI1068="","",IF($B1068="Onsite",INDEX(tbl_Onsite[Client],$BI1068),IF($B1068="Production",INDEX(tbl_Production[Client],$BI1068),INDEX(tbl_Consulting[Client],$BI1068)))&amp;"")</f>
        <v/>
      </c>
      <c r="E1068" s="10">
        <f>IF($C1068="","",IF(COUNTIF(lst_Jobs,$C1068)&gt;0,"OK","CHECK"))</f>
        <v/>
      </c>
      <c r="F1068" s="10">
        <f>IF($C1068="","",IFERROR(INDEX(lst_JobName,MATCH($C1068,lst_Jobs,0)),""))</f>
        <v/>
      </c>
      <c r="G1068" s="10">
        <f>IF($BI1068="","",IF($B1068="Onsite",INDEX(tbl_Onsite[Job Description],$BI1068),IF($B1068="Production",INDEX(tbl_Production[Job Description],$BI1068),INDEX(tbl_Consulting[Job Description],$BI1068)))&amp;"")</f>
        <v/>
      </c>
      <c r="H1068" s="10">
        <f>IF($BI1068="","",IF($B1068="Onsite",INDEX(tbl_Onsite[Cost Centre],$BI1068),IF($B1068="Production",INDEX(tbl_Production[Cost Centre],$BI1068),INDEX(tbl_Consulting[Cost Centre],$BI1068)))&amp;"")</f>
        <v/>
      </c>
      <c r="I1068" s="10">
        <f>IF($BI1068="","",IF($B1068="Onsite",INDEX(tbl_Onsite[Invoice Type],$BI1068),IF($B1068="Production",INDEX(tbl_Production[Invoice Type],$BI1068),INDEX(tbl_Consulting[Invoice Type],$BI1068)))&amp;"")</f>
        <v/>
      </c>
      <c r="J1068" s="10">
        <f>IF($BI1068="","",IF($B1068="Onsite",INDEX(tbl_Onsite[Tax Code],$BI1068),IF($B1068="Production",INDEX(tbl_Production[Tax Code],$BI1068),INDEX(tbl_Consulting[Tax Code],$BI1068)))&amp;"")</f>
        <v/>
      </c>
      <c r="K1068" s="10">
        <f>IF(H1068="","",IFERROR(INDEX(lst_CCtoGL,MATCH(H1068,lst_CCforGL,0)),""))</f>
        <v/>
      </c>
      <c r="L1068" s="10">
        <f>IF($BI1068="","",IF($B1068="Onsite",INDEX(tbl_Onsite[PO / Reference],$BI1068),IF($B1068="Production",INDEX(tbl_Production[Current RMS No],$BI1068),INDEX(tbl_Consulting[Qwilr Quote],$BI1068)))&amp;"")</f>
        <v/>
      </c>
      <c r="M1068" s="10">
        <f>IF($BI1068="","",IF($B1068="Onsite",INDEX(tbl_Onsite[Notes],$BI1068),IF($B1068="Production",INDEX(tbl_Production[Notes],$BI1068),INDEX(tbl_Consulting[Notes],$BI1068)))&amp;"")</f>
        <v/>
      </c>
      <c r="N1068" s="11">
        <f>IF($BI1068="","",IF(IF($B1068="Onsite",INDEX(tbl_Onsite[Expected Revenue Ex GST],$BI1068),IF($B1068="Production",INDEX(tbl_Production[Expected Revenue Ex GST],$BI1068),INDEX(tbl_Consulting[Expected Revenue Ex GST],$BI1068)))="","",IF($B1068="Onsite",INDEX(tbl_Onsite[Expected Revenue Ex GST],$BI1068),IF($B1068="Production",INDEX(tbl_Production[Expected Revenue Ex GST],$BI1068),INDEX(tbl_Consulting[Expected Revenue Ex GST],$BI1068)))))</f>
        <v/>
      </c>
      <c r="O1068" s="11">
        <f>IF(AND($C1068="",NOT(COUNTA($S1068:$BB1068)&gt;0)),"",SUM(U1068,X1068,AA1068,AD1068,AG1068,AJ1068,AM1068,AP1068,AS1068,AV1068,AY1068,BB1068))</f>
        <v/>
      </c>
      <c r="P1068" s="11">
        <f>IF(O1068="","",N(N1068)-O1068)</f>
        <v/>
      </c>
      <c r="Q1068" s="10">
        <f>IF(O1068="","",IF($C1068="","Invoice on empty job row",IF(N1068="",IF(ROUND(O1068,2)=0,"No dept value","Invoiced - no dept value"),IF(ROUND(O1068,2)=0,"Not invoiced - to invoice",IF(ROUND(P1068,2)=0,"Agrees",IF(P1068&gt;0,"Dept higher - to invoice","Xero higher - check dept"))))))</f>
        <v/>
      </c>
      <c r="R1068" s="10">
        <f>IF(AND($C1068="",NOT(COUNTA($S1068:$BB1068)&gt;0),$BI1068&lt;&gt;""),"",MID(IF($BI1068="","; Row ID not found on the department sheet - a row was deleted","")&amp;IF(AND($C1068="",COUNTA($S1068:$BB1068)&gt;0),"; Invoice entered but the department row has no job number","")&amp;IF(E1068="CHECK","; Job number not in the Xero job list","")&amp;IF(AND($C1068&lt;&gt;"",COUNTIF($C$7:$C$1506,$C1068)&gt;1),"; Job number on more than one row","")&amp;IF(AND($C1068&lt;&gt;"",H1068=""),"; Dept has not set a cost centre","")&amp;IF(AND($C1068&lt;&gt;"",J1068=""),"; Dept has not set a tax code","")&amp;IF(AND($C1068&lt;&gt;"",N1068=""),"; Dept has not entered an expected value","")&amp;IF((IF(OR(COUNTA(S1068:U1068)=0,AND(COUNTA(S1068:U1068)=3,ISNUMBER(U1068))),0,1)+IF(OR(COUNTA(V1068:X1068)=0,AND(COUNTA(V1068:X1068)=3,ISNUMBER(X1068))),0,1)+IF(OR(COUNTA(Y1068:AA1068)=0,AND(COUNTA(Y1068:AA1068)=3,ISNUMBER(AA1068))),0,1)+IF(OR(COUNTA(AB1068:AD1068)=0,AND(COUNTA(AB1068:AD1068)=3,ISNUMBER(AD1068))),0,1)+IF(OR(COUNTA(AE1068:AG1068)=0,AND(COUNTA(AE1068:AG1068)=3,ISNUMBER(AG1068))),0,1)+IF(OR(COUNTA(AH1068:AJ1068)=0,AND(COUNTA(AH1068:AJ1068)=3,ISNUMBER(AJ1068))),0,1)+IF(OR(COUNTA(AK1068:AM1068)=0,AND(COUNTA(AK1068:AM1068)=3,ISNUMBER(AM1068))),0,1)+IF(OR(COUNTA(AN1068:AP1068)=0,AND(COUNTA(AN1068:AP1068)=3,ISNUMBER(AP1068))),0,1)+IF(OR(COUNTA(AQ1068:AS1068)=0,AND(COUNTA(AQ1068:AS1068)=3,ISNUMBER(AS1068))),0,1)+IF(OR(COUNTA(AT1068:AV1068)=0,AND(COUNTA(AT1068:AV1068)=3,ISNUMBER(AV1068))),0,1)+IF(OR(COUNTA(AW1068:AY1068)=0,AND(COUNTA(AW1068:AY1068)=3,ISNUMBER(AY1068))),0,1)+IF(OR(COUNTA(AZ1068:BB1068)=0,AND(COUNTA(AZ1068:BB1068)=3,ISNUMBER(BB1068))),0,1))&gt;0,"; An invoice is incomplete (needs No, Date and a number in Ex GST)","")&amp;IF((IF(T1068="",0,IFERROR(--(EOMONTH(T1068,0)&lt;&gt;S$5),1))+IF(W1068="",0,IFERROR(--(EOMONTH(W1068,0)&lt;&gt;V$5),1))+IF(Z1068="",0,IFERROR(--(EOMONTH(Z1068,0)&lt;&gt;Y$5),1))+IF(AC1068="",0,IFERROR(--(EOMONTH(AC1068,0)&lt;&gt;AB$5),1))+IF(AF1068="",0,IFERROR(--(EOMONTH(AF1068,0)&lt;&gt;AE$5),1))+IF(AI1068="",0,IFERROR(--(EOMONTH(AI1068,0)&lt;&gt;AH$5),1))+IF(AL1068="",0,IFERROR(--(EOMONTH(AL1068,0)&lt;&gt;AK$5),1))+IF(AO1068="",0,IFERROR(--(EOMONTH(AO1068,0)&lt;&gt;AN$5),1))+IF(AR1068="",0,IFERROR(--(EOMONTH(AR1068,0)&lt;&gt;AQ$5),1))+IF(AU1068="",0,IFERROR(--(EOMONTH(AU1068,0)&lt;&gt;AT$5),1))+IF(AX1068="",0,IFERROR(--(EOMONTH(AX1068,0)&lt;&gt;AW$5),1))+IF(BA1068="",0,IFERROR(--(EOMONTH(BA1068,0)&lt;&gt;AZ$5),1)))&gt;0,"; An invoice date is not in the month it is typed under",""),3,500))</f>
        <v/>
      </c>
      <c r="S1068" s="12" t="n"/>
      <c r="T1068" s="13" t="n"/>
      <c r="U1068" s="14" t="n"/>
      <c r="V1068" s="12" t="n"/>
      <c r="W1068" s="13" t="n"/>
      <c r="X1068" s="14" t="n"/>
      <c r="Y1068" s="12" t="n"/>
      <c r="Z1068" s="13" t="n"/>
      <c r="AA1068" s="14" t="n"/>
      <c r="AB1068" s="12" t="n"/>
      <c r="AC1068" s="13" t="n"/>
      <c r="AD1068" s="14" t="n"/>
      <c r="AE1068" s="12" t="n"/>
      <c r="AF1068" s="13" t="n"/>
      <c r="AG1068" s="14" t="n"/>
      <c r="AH1068" s="12" t="n"/>
      <c r="AI1068" s="13" t="n"/>
      <c r="AJ1068" s="14" t="n"/>
      <c r="AK1068" s="12" t="n"/>
      <c r="AL1068" s="13" t="n"/>
      <c r="AM1068" s="14" t="n"/>
      <c r="AN1068" s="12" t="n"/>
      <c r="AO1068" s="13" t="n"/>
      <c r="AP1068" s="14" t="n"/>
      <c r="AQ1068" s="12" t="n"/>
      <c r="AR1068" s="13" t="n"/>
      <c r="AS1068" s="14" t="n"/>
      <c r="AT1068" s="12" t="n"/>
      <c r="AU1068" s="13" t="n"/>
      <c r="AV1068" s="14" t="n"/>
      <c r="AW1068" s="12" t="n"/>
      <c r="AX1068" s="13" t="n"/>
      <c r="AY1068" s="14" t="n"/>
      <c r="AZ1068" s="12" t="n"/>
      <c r="BA1068" s="13" t="n"/>
      <c r="BB1068" s="14" t="n"/>
      <c r="BC1068" s="11">
        <f>IF(O1068="","",IF(J1068="GST 10%",ROUND(O1068*set_GSTRate,2),0))</f>
        <v/>
      </c>
      <c r="BD1068" s="11">
        <f>IF(O1068="","",O1068+BC1068)</f>
        <v/>
      </c>
      <c r="BE1068" s="15">
        <f>IF(O1068="","",COUNTA(S1068,V1068,Y1068,AB1068,AE1068,AH1068,AK1068,AN1068,AQ1068,AT1068,AW1068,AZ1068))</f>
        <v/>
      </c>
      <c r="BF1068" s="16">
        <f>IF(COUNT(T1068,W1068,Z1068,AC1068,AF1068,AI1068,AL1068,AO1068,AR1068,AU1068,AX1068,BA1068)=0,"",MAX(T1068,W1068,Z1068,AC1068,AF1068,AI1068,AL1068,AO1068,AR1068,AU1068,AX1068,BA1068))</f>
        <v/>
      </c>
      <c r="BG1068" s="10">
        <f>MID(IF(S1068="","",", "&amp;S1068)&amp;IF(V1068="","",", "&amp;V1068)&amp;IF(Y1068="","",", "&amp;Y1068)&amp;IF(AB1068="","",", "&amp;AB1068)&amp;IF(AE1068="","",", "&amp;AE1068)&amp;IF(AH1068="","",", "&amp;AH1068)&amp;IF(AK1068="","",", "&amp;AK1068)&amp;IF(AN1068="","",", "&amp;AN1068)&amp;IF(AQ1068="","",", "&amp;AQ1068)&amp;IF(AT1068="","",", "&amp;AT1068)&amp;IF(AW1068="","",", "&amp;AW1068)&amp;IF(AZ1068="","",", "&amp;AZ1068),3,500)</f>
        <v/>
      </c>
      <c r="BH1068" s="12" t="n"/>
      <c r="BI1068" s="15">
        <f>IFERROR(MATCH($A1068,IF($B1068="Onsite",tbl_Onsite[Row ID],IF($B1068="Production",tbl_Production[Row ID],tbl_Consulting[Row ID])),0),"")</f>
        <v/>
      </c>
    </row>
    <row r="1069">
      <c r="A1069" s="10" t="inlineStr">
        <is>
          <t>CON-0063</t>
        </is>
      </c>
      <c r="B1069" s="10" t="inlineStr">
        <is>
          <t>Consulting</t>
        </is>
      </c>
      <c r="C1069" s="10">
        <f>IF($BI1069="","",IF($B1069="Onsite",INDEX(tbl_Onsite[Job Number],$BI1069),IF($B1069="Production",INDEX(tbl_Production[Job Number],$BI1069),INDEX(tbl_Consulting[Job Number],$BI1069)))&amp;"")</f>
        <v/>
      </c>
      <c r="D1069" s="10">
        <f>IF($BI1069="","",IF($B1069="Onsite",INDEX(tbl_Onsite[Client],$BI1069),IF($B1069="Production",INDEX(tbl_Production[Client],$BI1069),INDEX(tbl_Consulting[Client],$BI1069)))&amp;"")</f>
        <v/>
      </c>
      <c r="E1069" s="10">
        <f>IF($C1069="","",IF(COUNTIF(lst_Jobs,$C1069)&gt;0,"OK","CHECK"))</f>
        <v/>
      </c>
      <c r="F1069" s="10">
        <f>IF($C1069="","",IFERROR(INDEX(lst_JobName,MATCH($C1069,lst_Jobs,0)),""))</f>
        <v/>
      </c>
      <c r="G1069" s="10">
        <f>IF($BI1069="","",IF($B1069="Onsite",INDEX(tbl_Onsite[Job Description],$BI1069),IF($B1069="Production",INDEX(tbl_Production[Job Description],$BI1069),INDEX(tbl_Consulting[Job Description],$BI1069)))&amp;"")</f>
        <v/>
      </c>
      <c r="H1069" s="10">
        <f>IF($BI1069="","",IF($B1069="Onsite",INDEX(tbl_Onsite[Cost Centre],$BI1069),IF($B1069="Production",INDEX(tbl_Production[Cost Centre],$BI1069),INDEX(tbl_Consulting[Cost Centre],$BI1069)))&amp;"")</f>
        <v/>
      </c>
      <c r="I1069" s="10">
        <f>IF($BI1069="","",IF($B1069="Onsite",INDEX(tbl_Onsite[Invoice Type],$BI1069),IF($B1069="Production",INDEX(tbl_Production[Invoice Type],$BI1069),INDEX(tbl_Consulting[Invoice Type],$BI1069)))&amp;"")</f>
        <v/>
      </c>
      <c r="J1069" s="10">
        <f>IF($BI1069="","",IF($B1069="Onsite",INDEX(tbl_Onsite[Tax Code],$BI1069),IF($B1069="Production",INDEX(tbl_Production[Tax Code],$BI1069),INDEX(tbl_Consulting[Tax Code],$BI1069)))&amp;"")</f>
        <v/>
      </c>
      <c r="K1069" s="10">
        <f>IF(H1069="","",IFERROR(INDEX(lst_CCtoGL,MATCH(H1069,lst_CCforGL,0)),""))</f>
        <v/>
      </c>
      <c r="L1069" s="10">
        <f>IF($BI1069="","",IF($B1069="Onsite",INDEX(tbl_Onsite[PO / Reference],$BI1069),IF($B1069="Production",INDEX(tbl_Production[Current RMS No],$BI1069),INDEX(tbl_Consulting[Qwilr Quote],$BI1069)))&amp;"")</f>
        <v/>
      </c>
      <c r="M1069" s="10">
        <f>IF($BI1069="","",IF($B1069="Onsite",INDEX(tbl_Onsite[Notes],$BI1069),IF($B1069="Production",INDEX(tbl_Production[Notes],$BI1069),INDEX(tbl_Consulting[Notes],$BI1069)))&amp;"")</f>
        <v/>
      </c>
      <c r="N1069" s="11">
        <f>IF($BI1069="","",IF(IF($B1069="Onsite",INDEX(tbl_Onsite[Expected Revenue Ex GST],$BI1069),IF($B1069="Production",INDEX(tbl_Production[Expected Revenue Ex GST],$BI1069),INDEX(tbl_Consulting[Expected Revenue Ex GST],$BI1069)))="","",IF($B1069="Onsite",INDEX(tbl_Onsite[Expected Revenue Ex GST],$BI1069),IF($B1069="Production",INDEX(tbl_Production[Expected Revenue Ex GST],$BI1069),INDEX(tbl_Consulting[Expected Revenue Ex GST],$BI1069)))))</f>
        <v/>
      </c>
      <c r="O1069" s="11">
        <f>IF(AND($C1069="",NOT(COUNTA($S1069:$BB1069)&gt;0)),"",SUM(U1069,X1069,AA1069,AD1069,AG1069,AJ1069,AM1069,AP1069,AS1069,AV1069,AY1069,BB1069))</f>
        <v/>
      </c>
      <c r="P1069" s="11">
        <f>IF(O1069="","",N(N1069)-O1069)</f>
        <v/>
      </c>
      <c r="Q1069" s="10">
        <f>IF(O1069="","",IF($C1069="","Invoice on empty job row",IF(N1069="",IF(ROUND(O1069,2)=0,"No dept value","Invoiced - no dept value"),IF(ROUND(O1069,2)=0,"Not invoiced - to invoice",IF(ROUND(P1069,2)=0,"Agrees",IF(P1069&gt;0,"Dept higher - to invoice","Xero higher - check dept"))))))</f>
        <v/>
      </c>
      <c r="R1069" s="10">
        <f>IF(AND($C1069="",NOT(COUNTA($S1069:$BB1069)&gt;0),$BI1069&lt;&gt;""),"",MID(IF($BI1069="","; Row ID not found on the department sheet - a row was deleted","")&amp;IF(AND($C1069="",COUNTA($S1069:$BB1069)&gt;0),"; Invoice entered but the department row has no job number","")&amp;IF(E1069="CHECK","; Job number not in the Xero job list","")&amp;IF(AND($C1069&lt;&gt;"",COUNTIF($C$7:$C$1506,$C1069)&gt;1),"; Job number on more than one row","")&amp;IF(AND($C1069&lt;&gt;"",H1069=""),"; Dept has not set a cost centre","")&amp;IF(AND($C1069&lt;&gt;"",J1069=""),"; Dept has not set a tax code","")&amp;IF(AND($C1069&lt;&gt;"",N1069=""),"; Dept has not entered an expected value","")&amp;IF((IF(OR(COUNTA(S1069:U1069)=0,AND(COUNTA(S1069:U1069)=3,ISNUMBER(U1069))),0,1)+IF(OR(COUNTA(V1069:X1069)=0,AND(COUNTA(V1069:X1069)=3,ISNUMBER(X1069))),0,1)+IF(OR(COUNTA(Y1069:AA1069)=0,AND(COUNTA(Y1069:AA1069)=3,ISNUMBER(AA1069))),0,1)+IF(OR(COUNTA(AB1069:AD1069)=0,AND(COUNTA(AB1069:AD1069)=3,ISNUMBER(AD1069))),0,1)+IF(OR(COUNTA(AE1069:AG1069)=0,AND(COUNTA(AE1069:AG1069)=3,ISNUMBER(AG1069))),0,1)+IF(OR(COUNTA(AH1069:AJ1069)=0,AND(COUNTA(AH1069:AJ1069)=3,ISNUMBER(AJ1069))),0,1)+IF(OR(COUNTA(AK1069:AM1069)=0,AND(COUNTA(AK1069:AM1069)=3,ISNUMBER(AM1069))),0,1)+IF(OR(COUNTA(AN1069:AP1069)=0,AND(COUNTA(AN1069:AP1069)=3,ISNUMBER(AP1069))),0,1)+IF(OR(COUNTA(AQ1069:AS1069)=0,AND(COUNTA(AQ1069:AS1069)=3,ISNUMBER(AS1069))),0,1)+IF(OR(COUNTA(AT1069:AV1069)=0,AND(COUNTA(AT1069:AV1069)=3,ISNUMBER(AV1069))),0,1)+IF(OR(COUNTA(AW1069:AY1069)=0,AND(COUNTA(AW1069:AY1069)=3,ISNUMBER(AY1069))),0,1)+IF(OR(COUNTA(AZ1069:BB1069)=0,AND(COUNTA(AZ1069:BB1069)=3,ISNUMBER(BB1069))),0,1))&gt;0,"; An invoice is incomplete (needs No, Date and a number in Ex GST)","")&amp;IF((IF(T1069="",0,IFERROR(--(EOMONTH(T1069,0)&lt;&gt;S$5),1))+IF(W1069="",0,IFERROR(--(EOMONTH(W1069,0)&lt;&gt;V$5),1))+IF(Z1069="",0,IFERROR(--(EOMONTH(Z1069,0)&lt;&gt;Y$5),1))+IF(AC1069="",0,IFERROR(--(EOMONTH(AC1069,0)&lt;&gt;AB$5),1))+IF(AF1069="",0,IFERROR(--(EOMONTH(AF1069,0)&lt;&gt;AE$5),1))+IF(AI1069="",0,IFERROR(--(EOMONTH(AI1069,0)&lt;&gt;AH$5),1))+IF(AL1069="",0,IFERROR(--(EOMONTH(AL1069,0)&lt;&gt;AK$5),1))+IF(AO1069="",0,IFERROR(--(EOMONTH(AO1069,0)&lt;&gt;AN$5),1))+IF(AR1069="",0,IFERROR(--(EOMONTH(AR1069,0)&lt;&gt;AQ$5),1))+IF(AU1069="",0,IFERROR(--(EOMONTH(AU1069,0)&lt;&gt;AT$5),1))+IF(AX1069="",0,IFERROR(--(EOMONTH(AX1069,0)&lt;&gt;AW$5),1))+IF(BA1069="",0,IFERROR(--(EOMONTH(BA1069,0)&lt;&gt;AZ$5),1)))&gt;0,"; An invoice date is not in the month it is typed under",""),3,500))</f>
        <v/>
      </c>
      <c r="S1069" s="12" t="n"/>
      <c r="T1069" s="13" t="n"/>
      <c r="U1069" s="14" t="n"/>
      <c r="V1069" s="12" t="n"/>
      <c r="W1069" s="13" t="n"/>
      <c r="X1069" s="14" t="n"/>
      <c r="Y1069" s="12" t="n"/>
      <c r="Z1069" s="13" t="n"/>
      <c r="AA1069" s="14" t="n"/>
      <c r="AB1069" s="12" t="n"/>
      <c r="AC1069" s="13" t="n"/>
      <c r="AD1069" s="14" t="n"/>
      <c r="AE1069" s="12" t="n"/>
      <c r="AF1069" s="13" t="n"/>
      <c r="AG1069" s="14" t="n"/>
      <c r="AH1069" s="12" t="n"/>
      <c r="AI1069" s="13" t="n"/>
      <c r="AJ1069" s="14" t="n"/>
      <c r="AK1069" s="12" t="n"/>
      <c r="AL1069" s="13" t="n"/>
      <c r="AM1069" s="14" t="n"/>
      <c r="AN1069" s="12" t="n"/>
      <c r="AO1069" s="13" t="n"/>
      <c r="AP1069" s="14" t="n"/>
      <c r="AQ1069" s="12" t="n"/>
      <c r="AR1069" s="13" t="n"/>
      <c r="AS1069" s="14" t="n"/>
      <c r="AT1069" s="12" t="n"/>
      <c r="AU1069" s="13" t="n"/>
      <c r="AV1069" s="14" t="n"/>
      <c r="AW1069" s="12" t="n"/>
      <c r="AX1069" s="13" t="n"/>
      <c r="AY1069" s="14" t="n"/>
      <c r="AZ1069" s="12" t="n"/>
      <c r="BA1069" s="13" t="n"/>
      <c r="BB1069" s="14" t="n"/>
      <c r="BC1069" s="11">
        <f>IF(O1069="","",IF(J1069="GST 10%",ROUND(O1069*set_GSTRate,2),0))</f>
        <v/>
      </c>
      <c r="BD1069" s="11">
        <f>IF(O1069="","",O1069+BC1069)</f>
        <v/>
      </c>
      <c r="BE1069" s="15">
        <f>IF(O1069="","",COUNTA(S1069,V1069,Y1069,AB1069,AE1069,AH1069,AK1069,AN1069,AQ1069,AT1069,AW1069,AZ1069))</f>
        <v/>
      </c>
      <c r="BF1069" s="16">
        <f>IF(COUNT(T1069,W1069,Z1069,AC1069,AF1069,AI1069,AL1069,AO1069,AR1069,AU1069,AX1069,BA1069)=0,"",MAX(T1069,W1069,Z1069,AC1069,AF1069,AI1069,AL1069,AO1069,AR1069,AU1069,AX1069,BA1069))</f>
        <v/>
      </c>
      <c r="BG1069" s="10">
        <f>MID(IF(S1069="","",", "&amp;S1069)&amp;IF(V1069="","",", "&amp;V1069)&amp;IF(Y1069="","",", "&amp;Y1069)&amp;IF(AB1069="","",", "&amp;AB1069)&amp;IF(AE1069="","",", "&amp;AE1069)&amp;IF(AH1069="","",", "&amp;AH1069)&amp;IF(AK1069="","",", "&amp;AK1069)&amp;IF(AN1069="","",", "&amp;AN1069)&amp;IF(AQ1069="","",", "&amp;AQ1069)&amp;IF(AT1069="","",", "&amp;AT1069)&amp;IF(AW1069="","",", "&amp;AW1069)&amp;IF(AZ1069="","",", "&amp;AZ1069),3,500)</f>
        <v/>
      </c>
      <c r="BH1069" s="12" t="n"/>
      <c r="BI1069" s="15">
        <f>IFERROR(MATCH($A1069,IF($B1069="Onsite",tbl_Onsite[Row ID],IF($B1069="Production",tbl_Production[Row ID],tbl_Consulting[Row ID])),0),"")</f>
        <v/>
      </c>
    </row>
    <row r="1070">
      <c r="A1070" s="10" t="inlineStr">
        <is>
          <t>CON-0064</t>
        </is>
      </c>
      <c r="B1070" s="10" t="inlineStr">
        <is>
          <t>Consulting</t>
        </is>
      </c>
      <c r="C1070" s="10">
        <f>IF($BI1070="","",IF($B1070="Onsite",INDEX(tbl_Onsite[Job Number],$BI1070),IF($B1070="Production",INDEX(tbl_Production[Job Number],$BI1070),INDEX(tbl_Consulting[Job Number],$BI1070)))&amp;"")</f>
        <v/>
      </c>
      <c r="D1070" s="10">
        <f>IF($BI1070="","",IF($B1070="Onsite",INDEX(tbl_Onsite[Client],$BI1070),IF($B1070="Production",INDEX(tbl_Production[Client],$BI1070),INDEX(tbl_Consulting[Client],$BI1070)))&amp;"")</f>
        <v/>
      </c>
      <c r="E1070" s="10">
        <f>IF($C1070="","",IF(COUNTIF(lst_Jobs,$C1070)&gt;0,"OK","CHECK"))</f>
        <v/>
      </c>
      <c r="F1070" s="10">
        <f>IF($C1070="","",IFERROR(INDEX(lst_JobName,MATCH($C1070,lst_Jobs,0)),""))</f>
        <v/>
      </c>
      <c r="G1070" s="10">
        <f>IF($BI1070="","",IF($B1070="Onsite",INDEX(tbl_Onsite[Job Description],$BI1070),IF($B1070="Production",INDEX(tbl_Production[Job Description],$BI1070),INDEX(tbl_Consulting[Job Description],$BI1070)))&amp;"")</f>
        <v/>
      </c>
      <c r="H1070" s="10">
        <f>IF($BI1070="","",IF($B1070="Onsite",INDEX(tbl_Onsite[Cost Centre],$BI1070),IF($B1070="Production",INDEX(tbl_Production[Cost Centre],$BI1070),INDEX(tbl_Consulting[Cost Centre],$BI1070)))&amp;"")</f>
        <v/>
      </c>
      <c r="I1070" s="10">
        <f>IF($BI1070="","",IF($B1070="Onsite",INDEX(tbl_Onsite[Invoice Type],$BI1070),IF($B1070="Production",INDEX(tbl_Production[Invoice Type],$BI1070),INDEX(tbl_Consulting[Invoice Type],$BI1070)))&amp;"")</f>
        <v/>
      </c>
      <c r="J1070" s="10">
        <f>IF($BI1070="","",IF($B1070="Onsite",INDEX(tbl_Onsite[Tax Code],$BI1070),IF($B1070="Production",INDEX(tbl_Production[Tax Code],$BI1070),INDEX(tbl_Consulting[Tax Code],$BI1070)))&amp;"")</f>
        <v/>
      </c>
      <c r="K1070" s="10">
        <f>IF(H1070="","",IFERROR(INDEX(lst_CCtoGL,MATCH(H1070,lst_CCforGL,0)),""))</f>
        <v/>
      </c>
      <c r="L1070" s="10">
        <f>IF($BI1070="","",IF($B1070="Onsite",INDEX(tbl_Onsite[PO / Reference],$BI1070),IF($B1070="Production",INDEX(tbl_Production[Current RMS No],$BI1070),INDEX(tbl_Consulting[Qwilr Quote],$BI1070)))&amp;"")</f>
        <v/>
      </c>
      <c r="M1070" s="10">
        <f>IF($BI1070="","",IF($B1070="Onsite",INDEX(tbl_Onsite[Notes],$BI1070),IF($B1070="Production",INDEX(tbl_Production[Notes],$BI1070),INDEX(tbl_Consulting[Notes],$BI1070)))&amp;"")</f>
        <v/>
      </c>
      <c r="N1070" s="11">
        <f>IF($BI1070="","",IF(IF($B1070="Onsite",INDEX(tbl_Onsite[Expected Revenue Ex GST],$BI1070),IF($B1070="Production",INDEX(tbl_Production[Expected Revenue Ex GST],$BI1070),INDEX(tbl_Consulting[Expected Revenue Ex GST],$BI1070)))="","",IF($B1070="Onsite",INDEX(tbl_Onsite[Expected Revenue Ex GST],$BI1070),IF($B1070="Production",INDEX(tbl_Production[Expected Revenue Ex GST],$BI1070),INDEX(tbl_Consulting[Expected Revenue Ex GST],$BI1070)))))</f>
        <v/>
      </c>
      <c r="O1070" s="11">
        <f>IF(AND($C1070="",NOT(COUNTA($S1070:$BB1070)&gt;0)),"",SUM(U1070,X1070,AA1070,AD1070,AG1070,AJ1070,AM1070,AP1070,AS1070,AV1070,AY1070,BB1070))</f>
        <v/>
      </c>
      <c r="P1070" s="11">
        <f>IF(O1070="","",N(N1070)-O1070)</f>
        <v/>
      </c>
      <c r="Q1070" s="10">
        <f>IF(O1070="","",IF($C1070="","Invoice on empty job row",IF(N1070="",IF(ROUND(O1070,2)=0,"No dept value","Invoiced - no dept value"),IF(ROUND(O1070,2)=0,"Not invoiced - to invoice",IF(ROUND(P1070,2)=0,"Agrees",IF(P1070&gt;0,"Dept higher - to invoice","Xero higher - check dept"))))))</f>
        <v/>
      </c>
      <c r="R1070" s="10">
        <f>IF(AND($C1070="",NOT(COUNTA($S1070:$BB1070)&gt;0),$BI1070&lt;&gt;""),"",MID(IF($BI1070="","; Row ID not found on the department sheet - a row was deleted","")&amp;IF(AND($C1070="",COUNTA($S1070:$BB1070)&gt;0),"; Invoice entered but the department row has no job number","")&amp;IF(E1070="CHECK","; Job number not in the Xero job list","")&amp;IF(AND($C1070&lt;&gt;"",COUNTIF($C$7:$C$1506,$C1070)&gt;1),"; Job number on more than one row","")&amp;IF(AND($C1070&lt;&gt;"",H1070=""),"; Dept has not set a cost centre","")&amp;IF(AND($C1070&lt;&gt;"",J1070=""),"; Dept has not set a tax code","")&amp;IF(AND($C1070&lt;&gt;"",N1070=""),"; Dept has not entered an expected value","")&amp;IF((IF(OR(COUNTA(S1070:U1070)=0,AND(COUNTA(S1070:U1070)=3,ISNUMBER(U1070))),0,1)+IF(OR(COUNTA(V1070:X1070)=0,AND(COUNTA(V1070:X1070)=3,ISNUMBER(X1070))),0,1)+IF(OR(COUNTA(Y1070:AA1070)=0,AND(COUNTA(Y1070:AA1070)=3,ISNUMBER(AA1070))),0,1)+IF(OR(COUNTA(AB1070:AD1070)=0,AND(COUNTA(AB1070:AD1070)=3,ISNUMBER(AD1070))),0,1)+IF(OR(COUNTA(AE1070:AG1070)=0,AND(COUNTA(AE1070:AG1070)=3,ISNUMBER(AG1070))),0,1)+IF(OR(COUNTA(AH1070:AJ1070)=0,AND(COUNTA(AH1070:AJ1070)=3,ISNUMBER(AJ1070))),0,1)+IF(OR(COUNTA(AK1070:AM1070)=0,AND(COUNTA(AK1070:AM1070)=3,ISNUMBER(AM1070))),0,1)+IF(OR(COUNTA(AN1070:AP1070)=0,AND(COUNTA(AN1070:AP1070)=3,ISNUMBER(AP1070))),0,1)+IF(OR(COUNTA(AQ1070:AS1070)=0,AND(COUNTA(AQ1070:AS1070)=3,ISNUMBER(AS1070))),0,1)+IF(OR(COUNTA(AT1070:AV1070)=0,AND(COUNTA(AT1070:AV1070)=3,ISNUMBER(AV1070))),0,1)+IF(OR(COUNTA(AW1070:AY1070)=0,AND(COUNTA(AW1070:AY1070)=3,ISNUMBER(AY1070))),0,1)+IF(OR(COUNTA(AZ1070:BB1070)=0,AND(COUNTA(AZ1070:BB1070)=3,ISNUMBER(BB1070))),0,1))&gt;0,"; An invoice is incomplete (needs No, Date and a number in Ex GST)","")&amp;IF((IF(T1070="",0,IFERROR(--(EOMONTH(T1070,0)&lt;&gt;S$5),1))+IF(W1070="",0,IFERROR(--(EOMONTH(W1070,0)&lt;&gt;V$5),1))+IF(Z1070="",0,IFERROR(--(EOMONTH(Z1070,0)&lt;&gt;Y$5),1))+IF(AC1070="",0,IFERROR(--(EOMONTH(AC1070,0)&lt;&gt;AB$5),1))+IF(AF1070="",0,IFERROR(--(EOMONTH(AF1070,0)&lt;&gt;AE$5),1))+IF(AI1070="",0,IFERROR(--(EOMONTH(AI1070,0)&lt;&gt;AH$5),1))+IF(AL1070="",0,IFERROR(--(EOMONTH(AL1070,0)&lt;&gt;AK$5),1))+IF(AO1070="",0,IFERROR(--(EOMONTH(AO1070,0)&lt;&gt;AN$5),1))+IF(AR1070="",0,IFERROR(--(EOMONTH(AR1070,0)&lt;&gt;AQ$5),1))+IF(AU1070="",0,IFERROR(--(EOMONTH(AU1070,0)&lt;&gt;AT$5),1))+IF(AX1070="",0,IFERROR(--(EOMONTH(AX1070,0)&lt;&gt;AW$5),1))+IF(BA1070="",0,IFERROR(--(EOMONTH(BA1070,0)&lt;&gt;AZ$5),1)))&gt;0,"; An invoice date is not in the month it is typed under",""),3,500))</f>
        <v/>
      </c>
      <c r="S1070" s="12" t="n"/>
      <c r="T1070" s="13" t="n"/>
      <c r="U1070" s="14" t="n"/>
      <c r="V1070" s="12" t="n"/>
      <c r="W1070" s="13" t="n"/>
      <c r="X1070" s="14" t="n"/>
      <c r="Y1070" s="12" t="n"/>
      <c r="Z1070" s="13" t="n"/>
      <c r="AA1070" s="14" t="n"/>
      <c r="AB1070" s="12" t="n"/>
      <c r="AC1070" s="13" t="n"/>
      <c r="AD1070" s="14" t="n"/>
      <c r="AE1070" s="12" t="n"/>
      <c r="AF1070" s="13" t="n"/>
      <c r="AG1070" s="14" t="n"/>
      <c r="AH1070" s="12" t="n"/>
      <c r="AI1070" s="13" t="n"/>
      <c r="AJ1070" s="14" t="n"/>
      <c r="AK1070" s="12" t="n"/>
      <c r="AL1070" s="13" t="n"/>
      <c r="AM1070" s="14" t="n"/>
      <c r="AN1070" s="12" t="n"/>
      <c r="AO1070" s="13" t="n"/>
      <c r="AP1070" s="14" t="n"/>
      <c r="AQ1070" s="12" t="n"/>
      <c r="AR1070" s="13" t="n"/>
      <c r="AS1070" s="14" t="n"/>
      <c r="AT1070" s="12" t="n"/>
      <c r="AU1070" s="13" t="n"/>
      <c r="AV1070" s="14" t="n"/>
      <c r="AW1070" s="12" t="n"/>
      <c r="AX1070" s="13" t="n"/>
      <c r="AY1070" s="14" t="n"/>
      <c r="AZ1070" s="12" t="n"/>
      <c r="BA1070" s="13" t="n"/>
      <c r="BB1070" s="14" t="n"/>
      <c r="BC1070" s="11">
        <f>IF(O1070="","",IF(J1070="GST 10%",ROUND(O1070*set_GSTRate,2),0))</f>
        <v/>
      </c>
      <c r="BD1070" s="11">
        <f>IF(O1070="","",O1070+BC1070)</f>
        <v/>
      </c>
      <c r="BE1070" s="15">
        <f>IF(O1070="","",COUNTA(S1070,V1070,Y1070,AB1070,AE1070,AH1070,AK1070,AN1070,AQ1070,AT1070,AW1070,AZ1070))</f>
        <v/>
      </c>
      <c r="BF1070" s="16">
        <f>IF(COUNT(T1070,W1070,Z1070,AC1070,AF1070,AI1070,AL1070,AO1070,AR1070,AU1070,AX1070,BA1070)=0,"",MAX(T1070,W1070,Z1070,AC1070,AF1070,AI1070,AL1070,AO1070,AR1070,AU1070,AX1070,BA1070))</f>
        <v/>
      </c>
      <c r="BG1070" s="10">
        <f>MID(IF(S1070="","",", "&amp;S1070)&amp;IF(V1070="","",", "&amp;V1070)&amp;IF(Y1070="","",", "&amp;Y1070)&amp;IF(AB1070="","",", "&amp;AB1070)&amp;IF(AE1070="","",", "&amp;AE1070)&amp;IF(AH1070="","",", "&amp;AH1070)&amp;IF(AK1070="","",", "&amp;AK1070)&amp;IF(AN1070="","",", "&amp;AN1070)&amp;IF(AQ1070="","",", "&amp;AQ1070)&amp;IF(AT1070="","",", "&amp;AT1070)&amp;IF(AW1070="","",", "&amp;AW1070)&amp;IF(AZ1070="","",", "&amp;AZ1070),3,500)</f>
        <v/>
      </c>
      <c r="BH1070" s="12" t="n"/>
      <c r="BI1070" s="15">
        <f>IFERROR(MATCH($A1070,IF($B1070="Onsite",tbl_Onsite[Row ID],IF($B1070="Production",tbl_Production[Row ID],tbl_Consulting[Row ID])),0),"")</f>
        <v/>
      </c>
    </row>
    <row r="1071">
      <c r="A1071" s="10" t="inlineStr">
        <is>
          <t>CON-0065</t>
        </is>
      </c>
      <c r="B1071" s="10" t="inlineStr">
        <is>
          <t>Consulting</t>
        </is>
      </c>
      <c r="C1071" s="10">
        <f>IF($BI1071="","",IF($B1071="Onsite",INDEX(tbl_Onsite[Job Number],$BI1071),IF($B1071="Production",INDEX(tbl_Production[Job Number],$BI1071),INDEX(tbl_Consulting[Job Number],$BI1071)))&amp;"")</f>
        <v/>
      </c>
      <c r="D1071" s="10">
        <f>IF($BI1071="","",IF($B1071="Onsite",INDEX(tbl_Onsite[Client],$BI1071),IF($B1071="Production",INDEX(tbl_Production[Client],$BI1071),INDEX(tbl_Consulting[Client],$BI1071)))&amp;"")</f>
        <v/>
      </c>
      <c r="E1071" s="10">
        <f>IF($C1071="","",IF(COUNTIF(lst_Jobs,$C1071)&gt;0,"OK","CHECK"))</f>
        <v/>
      </c>
      <c r="F1071" s="10">
        <f>IF($C1071="","",IFERROR(INDEX(lst_JobName,MATCH($C1071,lst_Jobs,0)),""))</f>
        <v/>
      </c>
      <c r="G1071" s="10">
        <f>IF($BI1071="","",IF($B1071="Onsite",INDEX(tbl_Onsite[Job Description],$BI1071),IF($B1071="Production",INDEX(tbl_Production[Job Description],$BI1071),INDEX(tbl_Consulting[Job Description],$BI1071)))&amp;"")</f>
        <v/>
      </c>
      <c r="H1071" s="10">
        <f>IF($BI1071="","",IF($B1071="Onsite",INDEX(tbl_Onsite[Cost Centre],$BI1071),IF($B1071="Production",INDEX(tbl_Production[Cost Centre],$BI1071),INDEX(tbl_Consulting[Cost Centre],$BI1071)))&amp;"")</f>
        <v/>
      </c>
      <c r="I1071" s="10">
        <f>IF($BI1071="","",IF($B1071="Onsite",INDEX(tbl_Onsite[Invoice Type],$BI1071),IF($B1071="Production",INDEX(tbl_Production[Invoice Type],$BI1071),INDEX(tbl_Consulting[Invoice Type],$BI1071)))&amp;"")</f>
        <v/>
      </c>
      <c r="J1071" s="10">
        <f>IF($BI1071="","",IF($B1071="Onsite",INDEX(tbl_Onsite[Tax Code],$BI1071),IF($B1071="Production",INDEX(tbl_Production[Tax Code],$BI1071),INDEX(tbl_Consulting[Tax Code],$BI1071)))&amp;"")</f>
        <v/>
      </c>
      <c r="K1071" s="10">
        <f>IF(H1071="","",IFERROR(INDEX(lst_CCtoGL,MATCH(H1071,lst_CCforGL,0)),""))</f>
        <v/>
      </c>
      <c r="L1071" s="10">
        <f>IF($BI1071="","",IF($B1071="Onsite",INDEX(tbl_Onsite[PO / Reference],$BI1071),IF($B1071="Production",INDEX(tbl_Production[Current RMS No],$BI1071),INDEX(tbl_Consulting[Qwilr Quote],$BI1071)))&amp;"")</f>
        <v/>
      </c>
      <c r="M1071" s="10">
        <f>IF($BI1071="","",IF($B1071="Onsite",INDEX(tbl_Onsite[Notes],$BI1071),IF($B1071="Production",INDEX(tbl_Production[Notes],$BI1071),INDEX(tbl_Consulting[Notes],$BI1071)))&amp;"")</f>
        <v/>
      </c>
      <c r="N1071" s="11">
        <f>IF($BI1071="","",IF(IF($B1071="Onsite",INDEX(tbl_Onsite[Expected Revenue Ex GST],$BI1071),IF($B1071="Production",INDEX(tbl_Production[Expected Revenue Ex GST],$BI1071),INDEX(tbl_Consulting[Expected Revenue Ex GST],$BI1071)))="","",IF($B1071="Onsite",INDEX(tbl_Onsite[Expected Revenue Ex GST],$BI1071),IF($B1071="Production",INDEX(tbl_Production[Expected Revenue Ex GST],$BI1071),INDEX(tbl_Consulting[Expected Revenue Ex GST],$BI1071)))))</f>
        <v/>
      </c>
      <c r="O1071" s="11">
        <f>IF(AND($C1071="",NOT(COUNTA($S1071:$BB1071)&gt;0)),"",SUM(U1071,X1071,AA1071,AD1071,AG1071,AJ1071,AM1071,AP1071,AS1071,AV1071,AY1071,BB1071))</f>
        <v/>
      </c>
      <c r="P1071" s="11">
        <f>IF(O1071="","",N(N1071)-O1071)</f>
        <v/>
      </c>
      <c r="Q1071" s="10">
        <f>IF(O1071="","",IF($C1071="","Invoice on empty job row",IF(N1071="",IF(ROUND(O1071,2)=0,"No dept value","Invoiced - no dept value"),IF(ROUND(O1071,2)=0,"Not invoiced - to invoice",IF(ROUND(P1071,2)=0,"Agrees",IF(P1071&gt;0,"Dept higher - to invoice","Xero higher - check dept"))))))</f>
        <v/>
      </c>
      <c r="R1071" s="10">
        <f>IF(AND($C1071="",NOT(COUNTA($S1071:$BB1071)&gt;0),$BI1071&lt;&gt;""),"",MID(IF($BI1071="","; Row ID not found on the department sheet - a row was deleted","")&amp;IF(AND($C1071="",COUNTA($S1071:$BB1071)&gt;0),"; Invoice entered but the department row has no job number","")&amp;IF(E1071="CHECK","; Job number not in the Xero job list","")&amp;IF(AND($C1071&lt;&gt;"",COUNTIF($C$7:$C$1506,$C1071)&gt;1),"; Job number on more than one row","")&amp;IF(AND($C1071&lt;&gt;"",H1071=""),"; Dept has not set a cost centre","")&amp;IF(AND($C1071&lt;&gt;"",J1071=""),"; Dept has not set a tax code","")&amp;IF(AND($C1071&lt;&gt;"",N1071=""),"; Dept has not entered an expected value","")&amp;IF((IF(OR(COUNTA(S1071:U1071)=0,AND(COUNTA(S1071:U1071)=3,ISNUMBER(U1071))),0,1)+IF(OR(COUNTA(V1071:X1071)=0,AND(COUNTA(V1071:X1071)=3,ISNUMBER(X1071))),0,1)+IF(OR(COUNTA(Y1071:AA1071)=0,AND(COUNTA(Y1071:AA1071)=3,ISNUMBER(AA1071))),0,1)+IF(OR(COUNTA(AB1071:AD1071)=0,AND(COUNTA(AB1071:AD1071)=3,ISNUMBER(AD1071))),0,1)+IF(OR(COUNTA(AE1071:AG1071)=0,AND(COUNTA(AE1071:AG1071)=3,ISNUMBER(AG1071))),0,1)+IF(OR(COUNTA(AH1071:AJ1071)=0,AND(COUNTA(AH1071:AJ1071)=3,ISNUMBER(AJ1071))),0,1)+IF(OR(COUNTA(AK1071:AM1071)=0,AND(COUNTA(AK1071:AM1071)=3,ISNUMBER(AM1071))),0,1)+IF(OR(COUNTA(AN1071:AP1071)=0,AND(COUNTA(AN1071:AP1071)=3,ISNUMBER(AP1071))),0,1)+IF(OR(COUNTA(AQ1071:AS1071)=0,AND(COUNTA(AQ1071:AS1071)=3,ISNUMBER(AS1071))),0,1)+IF(OR(COUNTA(AT1071:AV1071)=0,AND(COUNTA(AT1071:AV1071)=3,ISNUMBER(AV1071))),0,1)+IF(OR(COUNTA(AW1071:AY1071)=0,AND(COUNTA(AW1071:AY1071)=3,ISNUMBER(AY1071))),0,1)+IF(OR(COUNTA(AZ1071:BB1071)=0,AND(COUNTA(AZ1071:BB1071)=3,ISNUMBER(BB1071))),0,1))&gt;0,"; An invoice is incomplete (needs No, Date and a number in Ex GST)","")&amp;IF((IF(T1071="",0,IFERROR(--(EOMONTH(T1071,0)&lt;&gt;S$5),1))+IF(W1071="",0,IFERROR(--(EOMONTH(W1071,0)&lt;&gt;V$5),1))+IF(Z1071="",0,IFERROR(--(EOMONTH(Z1071,0)&lt;&gt;Y$5),1))+IF(AC1071="",0,IFERROR(--(EOMONTH(AC1071,0)&lt;&gt;AB$5),1))+IF(AF1071="",0,IFERROR(--(EOMONTH(AF1071,0)&lt;&gt;AE$5),1))+IF(AI1071="",0,IFERROR(--(EOMONTH(AI1071,0)&lt;&gt;AH$5),1))+IF(AL1071="",0,IFERROR(--(EOMONTH(AL1071,0)&lt;&gt;AK$5),1))+IF(AO1071="",0,IFERROR(--(EOMONTH(AO1071,0)&lt;&gt;AN$5),1))+IF(AR1071="",0,IFERROR(--(EOMONTH(AR1071,0)&lt;&gt;AQ$5),1))+IF(AU1071="",0,IFERROR(--(EOMONTH(AU1071,0)&lt;&gt;AT$5),1))+IF(AX1071="",0,IFERROR(--(EOMONTH(AX1071,0)&lt;&gt;AW$5),1))+IF(BA1071="",0,IFERROR(--(EOMONTH(BA1071,0)&lt;&gt;AZ$5),1)))&gt;0,"; An invoice date is not in the month it is typed under",""),3,500))</f>
        <v/>
      </c>
      <c r="S1071" s="12" t="n"/>
      <c r="T1071" s="13" t="n"/>
      <c r="U1071" s="14" t="n"/>
      <c r="V1071" s="12" t="n"/>
      <c r="W1071" s="13" t="n"/>
      <c r="X1071" s="14" t="n"/>
      <c r="Y1071" s="12" t="n"/>
      <c r="Z1071" s="13" t="n"/>
      <c r="AA1071" s="14" t="n"/>
      <c r="AB1071" s="12" t="n"/>
      <c r="AC1071" s="13" t="n"/>
      <c r="AD1071" s="14" t="n"/>
      <c r="AE1071" s="12" t="n"/>
      <c r="AF1071" s="13" t="n"/>
      <c r="AG1071" s="14" t="n"/>
      <c r="AH1071" s="12" t="n"/>
      <c r="AI1071" s="13" t="n"/>
      <c r="AJ1071" s="14" t="n"/>
      <c r="AK1071" s="12" t="n"/>
      <c r="AL1071" s="13" t="n"/>
      <c r="AM1071" s="14" t="n"/>
      <c r="AN1071" s="12" t="n"/>
      <c r="AO1071" s="13" t="n"/>
      <c r="AP1071" s="14" t="n"/>
      <c r="AQ1071" s="12" t="n"/>
      <c r="AR1071" s="13" t="n"/>
      <c r="AS1071" s="14" t="n"/>
      <c r="AT1071" s="12" t="n"/>
      <c r="AU1071" s="13" t="n"/>
      <c r="AV1071" s="14" t="n"/>
      <c r="AW1071" s="12" t="n"/>
      <c r="AX1071" s="13" t="n"/>
      <c r="AY1071" s="14" t="n"/>
      <c r="AZ1071" s="12" t="n"/>
      <c r="BA1071" s="13" t="n"/>
      <c r="BB1071" s="14" t="n"/>
      <c r="BC1071" s="11">
        <f>IF(O1071="","",IF(J1071="GST 10%",ROUND(O1071*set_GSTRate,2),0))</f>
        <v/>
      </c>
      <c r="BD1071" s="11">
        <f>IF(O1071="","",O1071+BC1071)</f>
        <v/>
      </c>
      <c r="BE1071" s="15">
        <f>IF(O1071="","",COUNTA(S1071,V1071,Y1071,AB1071,AE1071,AH1071,AK1071,AN1071,AQ1071,AT1071,AW1071,AZ1071))</f>
        <v/>
      </c>
      <c r="BF1071" s="16">
        <f>IF(COUNT(T1071,W1071,Z1071,AC1071,AF1071,AI1071,AL1071,AO1071,AR1071,AU1071,AX1071,BA1071)=0,"",MAX(T1071,W1071,Z1071,AC1071,AF1071,AI1071,AL1071,AO1071,AR1071,AU1071,AX1071,BA1071))</f>
        <v/>
      </c>
      <c r="BG1071" s="10">
        <f>MID(IF(S1071="","",", "&amp;S1071)&amp;IF(V1071="","",", "&amp;V1071)&amp;IF(Y1071="","",", "&amp;Y1071)&amp;IF(AB1071="","",", "&amp;AB1071)&amp;IF(AE1071="","",", "&amp;AE1071)&amp;IF(AH1071="","",", "&amp;AH1071)&amp;IF(AK1071="","",", "&amp;AK1071)&amp;IF(AN1071="","",", "&amp;AN1071)&amp;IF(AQ1071="","",", "&amp;AQ1071)&amp;IF(AT1071="","",", "&amp;AT1071)&amp;IF(AW1071="","",", "&amp;AW1071)&amp;IF(AZ1071="","",", "&amp;AZ1071),3,500)</f>
        <v/>
      </c>
      <c r="BH1071" s="12" t="n"/>
      <c r="BI1071" s="15">
        <f>IFERROR(MATCH($A1071,IF($B1071="Onsite",tbl_Onsite[Row ID],IF($B1071="Production",tbl_Production[Row ID],tbl_Consulting[Row ID])),0),"")</f>
        <v/>
      </c>
    </row>
    <row r="1072">
      <c r="A1072" s="10" t="inlineStr">
        <is>
          <t>CON-0066</t>
        </is>
      </c>
      <c r="B1072" s="10" t="inlineStr">
        <is>
          <t>Consulting</t>
        </is>
      </c>
      <c r="C1072" s="10">
        <f>IF($BI1072="","",IF($B1072="Onsite",INDEX(tbl_Onsite[Job Number],$BI1072),IF($B1072="Production",INDEX(tbl_Production[Job Number],$BI1072),INDEX(tbl_Consulting[Job Number],$BI1072)))&amp;"")</f>
        <v/>
      </c>
      <c r="D1072" s="10">
        <f>IF($BI1072="","",IF($B1072="Onsite",INDEX(tbl_Onsite[Client],$BI1072),IF($B1072="Production",INDEX(tbl_Production[Client],$BI1072),INDEX(tbl_Consulting[Client],$BI1072)))&amp;"")</f>
        <v/>
      </c>
      <c r="E1072" s="10">
        <f>IF($C1072="","",IF(COUNTIF(lst_Jobs,$C1072)&gt;0,"OK","CHECK"))</f>
        <v/>
      </c>
      <c r="F1072" s="10">
        <f>IF($C1072="","",IFERROR(INDEX(lst_JobName,MATCH($C1072,lst_Jobs,0)),""))</f>
        <v/>
      </c>
      <c r="G1072" s="10">
        <f>IF($BI1072="","",IF($B1072="Onsite",INDEX(tbl_Onsite[Job Description],$BI1072),IF($B1072="Production",INDEX(tbl_Production[Job Description],$BI1072),INDEX(tbl_Consulting[Job Description],$BI1072)))&amp;"")</f>
        <v/>
      </c>
      <c r="H1072" s="10">
        <f>IF($BI1072="","",IF($B1072="Onsite",INDEX(tbl_Onsite[Cost Centre],$BI1072),IF($B1072="Production",INDEX(tbl_Production[Cost Centre],$BI1072),INDEX(tbl_Consulting[Cost Centre],$BI1072)))&amp;"")</f>
        <v/>
      </c>
      <c r="I1072" s="10">
        <f>IF($BI1072="","",IF($B1072="Onsite",INDEX(tbl_Onsite[Invoice Type],$BI1072),IF($B1072="Production",INDEX(tbl_Production[Invoice Type],$BI1072),INDEX(tbl_Consulting[Invoice Type],$BI1072)))&amp;"")</f>
        <v/>
      </c>
      <c r="J1072" s="10">
        <f>IF($BI1072="","",IF($B1072="Onsite",INDEX(tbl_Onsite[Tax Code],$BI1072),IF($B1072="Production",INDEX(tbl_Production[Tax Code],$BI1072),INDEX(tbl_Consulting[Tax Code],$BI1072)))&amp;"")</f>
        <v/>
      </c>
      <c r="K1072" s="10">
        <f>IF(H1072="","",IFERROR(INDEX(lst_CCtoGL,MATCH(H1072,lst_CCforGL,0)),""))</f>
        <v/>
      </c>
      <c r="L1072" s="10">
        <f>IF($BI1072="","",IF($B1072="Onsite",INDEX(tbl_Onsite[PO / Reference],$BI1072),IF($B1072="Production",INDEX(tbl_Production[Current RMS No],$BI1072),INDEX(tbl_Consulting[Qwilr Quote],$BI1072)))&amp;"")</f>
        <v/>
      </c>
      <c r="M1072" s="10">
        <f>IF($BI1072="","",IF($B1072="Onsite",INDEX(tbl_Onsite[Notes],$BI1072),IF($B1072="Production",INDEX(tbl_Production[Notes],$BI1072),INDEX(tbl_Consulting[Notes],$BI1072)))&amp;"")</f>
        <v/>
      </c>
      <c r="N1072" s="11">
        <f>IF($BI1072="","",IF(IF($B1072="Onsite",INDEX(tbl_Onsite[Expected Revenue Ex GST],$BI1072),IF($B1072="Production",INDEX(tbl_Production[Expected Revenue Ex GST],$BI1072),INDEX(tbl_Consulting[Expected Revenue Ex GST],$BI1072)))="","",IF($B1072="Onsite",INDEX(tbl_Onsite[Expected Revenue Ex GST],$BI1072),IF($B1072="Production",INDEX(tbl_Production[Expected Revenue Ex GST],$BI1072),INDEX(tbl_Consulting[Expected Revenue Ex GST],$BI1072)))))</f>
        <v/>
      </c>
      <c r="O1072" s="11">
        <f>IF(AND($C1072="",NOT(COUNTA($S1072:$BB1072)&gt;0)),"",SUM(U1072,X1072,AA1072,AD1072,AG1072,AJ1072,AM1072,AP1072,AS1072,AV1072,AY1072,BB1072))</f>
        <v/>
      </c>
      <c r="P1072" s="11">
        <f>IF(O1072="","",N(N1072)-O1072)</f>
        <v/>
      </c>
      <c r="Q1072" s="10">
        <f>IF(O1072="","",IF($C1072="","Invoice on empty job row",IF(N1072="",IF(ROUND(O1072,2)=0,"No dept value","Invoiced - no dept value"),IF(ROUND(O1072,2)=0,"Not invoiced - to invoice",IF(ROUND(P1072,2)=0,"Agrees",IF(P1072&gt;0,"Dept higher - to invoice","Xero higher - check dept"))))))</f>
        <v/>
      </c>
      <c r="R1072" s="10">
        <f>IF(AND($C1072="",NOT(COUNTA($S1072:$BB1072)&gt;0),$BI1072&lt;&gt;""),"",MID(IF($BI1072="","; Row ID not found on the department sheet - a row was deleted","")&amp;IF(AND($C1072="",COUNTA($S1072:$BB1072)&gt;0),"; Invoice entered but the department row has no job number","")&amp;IF(E1072="CHECK","; Job number not in the Xero job list","")&amp;IF(AND($C1072&lt;&gt;"",COUNTIF($C$7:$C$1506,$C1072)&gt;1),"; Job number on more than one row","")&amp;IF(AND($C1072&lt;&gt;"",H1072=""),"; Dept has not set a cost centre","")&amp;IF(AND($C1072&lt;&gt;"",J1072=""),"; Dept has not set a tax code","")&amp;IF(AND($C1072&lt;&gt;"",N1072=""),"; Dept has not entered an expected value","")&amp;IF((IF(OR(COUNTA(S1072:U1072)=0,AND(COUNTA(S1072:U1072)=3,ISNUMBER(U1072))),0,1)+IF(OR(COUNTA(V1072:X1072)=0,AND(COUNTA(V1072:X1072)=3,ISNUMBER(X1072))),0,1)+IF(OR(COUNTA(Y1072:AA1072)=0,AND(COUNTA(Y1072:AA1072)=3,ISNUMBER(AA1072))),0,1)+IF(OR(COUNTA(AB1072:AD1072)=0,AND(COUNTA(AB1072:AD1072)=3,ISNUMBER(AD1072))),0,1)+IF(OR(COUNTA(AE1072:AG1072)=0,AND(COUNTA(AE1072:AG1072)=3,ISNUMBER(AG1072))),0,1)+IF(OR(COUNTA(AH1072:AJ1072)=0,AND(COUNTA(AH1072:AJ1072)=3,ISNUMBER(AJ1072))),0,1)+IF(OR(COUNTA(AK1072:AM1072)=0,AND(COUNTA(AK1072:AM1072)=3,ISNUMBER(AM1072))),0,1)+IF(OR(COUNTA(AN1072:AP1072)=0,AND(COUNTA(AN1072:AP1072)=3,ISNUMBER(AP1072))),0,1)+IF(OR(COUNTA(AQ1072:AS1072)=0,AND(COUNTA(AQ1072:AS1072)=3,ISNUMBER(AS1072))),0,1)+IF(OR(COUNTA(AT1072:AV1072)=0,AND(COUNTA(AT1072:AV1072)=3,ISNUMBER(AV1072))),0,1)+IF(OR(COUNTA(AW1072:AY1072)=0,AND(COUNTA(AW1072:AY1072)=3,ISNUMBER(AY1072))),0,1)+IF(OR(COUNTA(AZ1072:BB1072)=0,AND(COUNTA(AZ1072:BB1072)=3,ISNUMBER(BB1072))),0,1))&gt;0,"; An invoice is incomplete (needs No, Date and a number in Ex GST)","")&amp;IF((IF(T1072="",0,IFERROR(--(EOMONTH(T1072,0)&lt;&gt;S$5),1))+IF(W1072="",0,IFERROR(--(EOMONTH(W1072,0)&lt;&gt;V$5),1))+IF(Z1072="",0,IFERROR(--(EOMONTH(Z1072,0)&lt;&gt;Y$5),1))+IF(AC1072="",0,IFERROR(--(EOMONTH(AC1072,0)&lt;&gt;AB$5),1))+IF(AF1072="",0,IFERROR(--(EOMONTH(AF1072,0)&lt;&gt;AE$5),1))+IF(AI1072="",0,IFERROR(--(EOMONTH(AI1072,0)&lt;&gt;AH$5),1))+IF(AL1072="",0,IFERROR(--(EOMONTH(AL1072,0)&lt;&gt;AK$5),1))+IF(AO1072="",0,IFERROR(--(EOMONTH(AO1072,0)&lt;&gt;AN$5),1))+IF(AR1072="",0,IFERROR(--(EOMONTH(AR1072,0)&lt;&gt;AQ$5),1))+IF(AU1072="",0,IFERROR(--(EOMONTH(AU1072,0)&lt;&gt;AT$5),1))+IF(AX1072="",0,IFERROR(--(EOMONTH(AX1072,0)&lt;&gt;AW$5),1))+IF(BA1072="",0,IFERROR(--(EOMONTH(BA1072,0)&lt;&gt;AZ$5),1)))&gt;0,"; An invoice date is not in the month it is typed under",""),3,500))</f>
        <v/>
      </c>
      <c r="S1072" s="12" t="n"/>
      <c r="T1072" s="13" t="n"/>
      <c r="U1072" s="14" t="n"/>
      <c r="V1072" s="12" t="n"/>
      <c r="W1072" s="13" t="n"/>
      <c r="X1072" s="14" t="n"/>
      <c r="Y1072" s="12" t="n"/>
      <c r="Z1072" s="13" t="n"/>
      <c r="AA1072" s="14" t="n"/>
      <c r="AB1072" s="12" t="n"/>
      <c r="AC1072" s="13" t="n"/>
      <c r="AD1072" s="14" t="n"/>
      <c r="AE1072" s="12" t="n"/>
      <c r="AF1072" s="13" t="n"/>
      <c r="AG1072" s="14" t="n"/>
      <c r="AH1072" s="12" t="n"/>
      <c r="AI1072" s="13" t="n"/>
      <c r="AJ1072" s="14" t="n"/>
      <c r="AK1072" s="12" t="n"/>
      <c r="AL1072" s="13" t="n"/>
      <c r="AM1072" s="14" t="n"/>
      <c r="AN1072" s="12" t="n"/>
      <c r="AO1072" s="13" t="n"/>
      <c r="AP1072" s="14" t="n"/>
      <c r="AQ1072" s="12" t="n"/>
      <c r="AR1072" s="13" t="n"/>
      <c r="AS1072" s="14" t="n"/>
      <c r="AT1072" s="12" t="n"/>
      <c r="AU1072" s="13" t="n"/>
      <c r="AV1072" s="14" t="n"/>
      <c r="AW1072" s="12" t="n"/>
      <c r="AX1072" s="13" t="n"/>
      <c r="AY1072" s="14" t="n"/>
      <c r="AZ1072" s="12" t="n"/>
      <c r="BA1072" s="13" t="n"/>
      <c r="BB1072" s="14" t="n"/>
      <c r="BC1072" s="11">
        <f>IF(O1072="","",IF(J1072="GST 10%",ROUND(O1072*set_GSTRate,2),0))</f>
        <v/>
      </c>
      <c r="BD1072" s="11">
        <f>IF(O1072="","",O1072+BC1072)</f>
        <v/>
      </c>
      <c r="BE1072" s="15">
        <f>IF(O1072="","",COUNTA(S1072,V1072,Y1072,AB1072,AE1072,AH1072,AK1072,AN1072,AQ1072,AT1072,AW1072,AZ1072))</f>
        <v/>
      </c>
      <c r="BF1072" s="16">
        <f>IF(COUNT(T1072,W1072,Z1072,AC1072,AF1072,AI1072,AL1072,AO1072,AR1072,AU1072,AX1072,BA1072)=0,"",MAX(T1072,W1072,Z1072,AC1072,AF1072,AI1072,AL1072,AO1072,AR1072,AU1072,AX1072,BA1072))</f>
        <v/>
      </c>
      <c r="BG1072" s="10">
        <f>MID(IF(S1072="","",", "&amp;S1072)&amp;IF(V1072="","",", "&amp;V1072)&amp;IF(Y1072="","",", "&amp;Y1072)&amp;IF(AB1072="","",", "&amp;AB1072)&amp;IF(AE1072="","",", "&amp;AE1072)&amp;IF(AH1072="","",", "&amp;AH1072)&amp;IF(AK1072="","",", "&amp;AK1072)&amp;IF(AN1072="","",", "&amp;AN1072)&amp;IF(AQ1072="","",", "&amp;AQ1072)&amp;IF(AT1072="","",", "&amp;AT1072)&amp;IF(AW1072="","",", "&amp;AW1072)&amp;IF(AZ1072="","",", "&amp;AZ1072),3,500)</f>
        <v/>
      </c>
      <c r="BH1072" s="12" t="n"/>
      <c r="BI1072" s="15">
        <f>IFERROR(MATCH($A1072,IF($B1072="Onsite",tbl_Onsite[Row ID],IF($B1072="Production",tbl_Production[Row ID],tbl_Consulting[Row ID])),0),"")</f>
        <v/>
      </c>
    </row>
    <row r="1073">
      <c r="A1073" s="10" t="inlineStr">
        <is>
          <t>CON-0067</t>
        </is>
      </c>
      <c r="B1073" s="10" t="inlineStr">
        <is>
          <t>Consulting</t>
        </is>
      </c>
      <c r="C1073" s="10">
        <f>IF($BI1073="","",IF($B1073="Onsite",INDEX(tbl_Onsite[Job Number],$BI1073),IF($B1073="Production",INDEX(tbl_Production[Job Number],$BI1073),INDEX(tbl_Consulting[Job Number],$BI1073)))&amp;"")</f>
        <v/>
      </c>
      <c r="D1073" s="10">
        <f>IF($BI1073="","",IF($B1073="Onsite",INDEX(tbl_Onsite[Client],$BI1073),IF($B1073="Production",INDEX(tbl_Production[Client],$BI1073),INDEX(tbl_Consulting[Client],$BI1073)))&amp;"")</f>
        <v/>
      </c>
      <c r="E1073" s="10">
        <f>IF($C1073="","",IF(COUNTIF(lst_Jobs,$C1073)&gt;0,"OK","CHECK"))</f>
        <v/>
      </c>
      <c r="F1073" s="10">
        <f>IF($C1073="","",IFERROR(INDEX(lst_JobName,MATCH($C1073,lst_Jobs,0)),""))</f>
        <v/>
      </c>
      <c r="G1073" s="10">
        <f>IF($BI1073="","",IF($B1073="Onsite",INDEX(tbl_Onsite[Job Description],$BI1073),IF($B1073="Production",INDEX(tbl_Production[Job Description],$BI1073),INDEX(tbl_Consulting[Job Description],$BI1073)))&amp;"")</f>
        <v/>
      </c>
      <c r="H1073" s="10">
        <f>IF($BI1073="","",IF($B1073="Onsite",INDEX(tbl_Onsite[Cost Centre],$BI1073),IF($B1073="Production",INDEX(tbl_Production[Cost Centre],$BI1073),INDEX(tbl_Consulting[Cost Centre],$BI1073)))&amp;"")</f>
        <v/>
      </c>
      <c r="I1073" s="10">
        <f>IF($BI1073="","",IF($B1073="Onsite",INDEX(tbl_Onsite[Invoice Type],$BI1073),IF($B1073="Production",INDEX(tbl_Production[Invoice Type],$BI1073),INDEX(tbl_Consulting[Invoice Type],$BI1073)))&amp;"")</f>
        <v/>
      </c>
      <c r="J1073" s="10">
        <f>IF($BI1073="","",IF($B1073="Onsite",INDEX(tbl_Onsite[Tax Code],$BI1073),IF($B1073="Production",INDEX(tbl_Production[Tax Code],$BI1073),INDEX(tbl_Consulting[Tax Code],$BI1073)))&amp;"")</f>
        <v/>
      </c>
      <c r="K1073" s="10">
        <f>IF(H1073="","",IFERROR(INDEX(lst_CCtoGL,MATCH(H1073,lst_CCforGL,0)),""))</f>
        <v/>
      </c>
      <c r="L1073" s="10">
        <f>IF($BI1073="","",IF($B1073="Onsite",INDEX(tbl_Onsite[PO / Reference],$BI1073),IF($B1073="Production",INDEX(tbl_Production[Current RMS No],$BI1073),INDEX(tbl_Consulting[Qwilr Quote],$BI1073)))&amp;"")</f>
        <v/>
      </c>
      <c r="M1073" s="10">
        <f>IF($BI1073="","",IF($B1073="Onsite",INDEX(tbl_Onsite[Notes],$BI1073),IF($B1073="Production",INDEX(tbl_Production[Notes],$BI1073),INDEX(tbl_Consulting[Notes],$BI1073)))&amp;"")</f>
        <v/>
      </c>
      <c r="N1073" s="11">
        <f>IF($BI1073="","",IF(IF($B1073="Onsite",INDEX(tbl_Onsite[Expected Revenue Ex GST],$BI1073),IF($B1073="Production",INDEX(tbl_Production[Expected Revenue Ex GST],$BI1073),INDEX(tbl_Consulting[Expected Revenue Ex GST],$BI1073)))="","",IF($B1073="Onsite",INDEX(tbl_Onsite[Expected Revenue Ex GST],$BI1073),IF($B1073="Production",INDEX(tbl_Production[Expected Revenue Ex GST],$BI1073),INDEX(tbl_Consulting[Expected Revenue Ex GST],$BI1073)))))</f>
        <v/>
      </c>
      <c r="O1073" s="11">
        <f>IF(AND($C1073="",NOT(COUNTA($S1073:$BB1073)&gt;0)),"",SUM(U1073,X1073,AA1073,AD1073,AG1073,AJ1073,AM1073,AP1073,AS1073,AV1073,AY1073,BB1073))</f>
        <v/>
      </c>
      <c r="P1073" s="11">
        <f>IF(O1073="","",N(N1073)-O1073)</f>
        <v/>
      </c>
      <c r="Q1073" s="10">
        <f>IF(O1073="","",IF($C1073="","Invoice on empty job row",IF(N1073="",IF(ROUND(O1073,2)=0,"No dept value","Invoiced - no dept value"),IF(ROUND(O1073,2)=0,"Not invoiced - to invoice",IF(ROUND(P1073,2)=0,"Agrees",IF(P1073&gt;0,"Dept higher - to invoice","Xero higher - check dept"))))))</f>
        <v/>
      </c>
      <c r="R1073" s="10">
        <f>IF(AND($C1073="",NOT(COUNTA($S1073:$BB1073)&gt;0),$BI1073&lt;&gt;""),"",MID(IF($BI1073="","; Row ID not found on the department sheet - a row was deleted","")&amp;IF(AND($C1073="",COUNTA($S1073:$BB1073)&gt;0),"; Invoice entered but the department row has no job number","")&amp;IF(E1073="CHECK","; Job number not in the Xero job list","")&amp;IF(AND($C1073&lt;&gt;"",COUNTIF($C$7:$C$1506,$C1073)&gt;1),"; Job number on more than one row","")&amp;IF(AND($C1073&lt;&gt;"",H1073=""),"; Dept has not set a cost centre","")&amp;IF(AND($C1073&lt;&gt;"",J1073=""),"; Dept has not set a tax code","")&amp;IF(AND($C1073&lt;&gt;"",N1073=""),"; Dept has not entered an expected value","")&amp;IF((IF(OR(COUNTA(S1073:U1073)=0,AND(COUNTA(S1073:U1073)=3,ISNUMBER(U1073))),0,1)+IF(OR(COUNTA(V1073:X1073)=0,AND(COUNTA(V1073:X1073)=3,ISNUMBER(X1073))),0,1)+IF(OR(COUNTA(Y1073:AA1073)=0,AND(COUNTA(Y1073:AA1073)=3,ISNUMBER(AA1073))),0,1)+IF(OR(COUNTA(AB1073:AD1073)=0,AND(COUNTA(AB1073:AD1073)=3,ISNUMBER(AD1073))),0,1)+IF(OR(COUNTA(AE1073:AG1073)=0,AND(COUNTA(AE1073:AG1073)=3,ISNUMBER(AG1073))),0,1)+IF(OR(COUNTA(AH1073:AJ1073)=0,AND(COUNTA(AH1073:AJ1073)=3,ISNUMBER(AJ1073))),0,1)+IF(OR(COUNTA(AK1073:AM1073)=0,AND(COUNTA(AK1073:AM1073)=3,ISNUMBER(AM1073))),0,1)+IF(OR(COUNTA(AN1073:AP1073)=0,AND(COUNTA(AN1073:AP1073)=3,ISNUMBER(AP1073))),0,1)+IF(OR(COUNTA(AQ1073:AS1073)=0,AND(COUNTA(AQ1073:AS1073)=3,ISNUMBER(AS1073))),0,1)+IF(OR(COUNTA(AT1073:AV1073)=0,AND(COUNTA(AT1073:AV1073)=3,ISNUMBER(AV1073))),0,1)+IF(OR(COUNTA(AW1073:AY1073)=0,AND(COUNTA(AW1073:AY1073)=3,ISNUMBER(AY1073))),0,1)+IF(OR(COUNTA(AZ1073:BB1073)=0,AND(COUNTA(AZ1073:BB1073)=3,ISNUMBER(BB1073))),0,1))&gt;0,"; An invoice is incomplete (needs No, Date and a number in Ex GST)","")&amp;IF((IF(T1073="",0,IFERROR(--(EOMONTH(T1073,0)&lt;&gt;S$5),1))+IF(W1073="",0,IFERROR(--(EOMONTH(W1073,0)&lt;&gt;V$5),1))+IF(Z1073="",0,IFERROR(--(EOMONTH(Z1073,0)&lt;&gt;Y$5),1))+IF(AC1073="",0,IFERROR(--(EOMONTH(AC1073,0)&lt;&gt;AB$5),1))+IF(AF1073="",0,IFERROR(--(EOMONTH(AF1073,0)&lt;&gt;AE$5),1))+IF(AI1073="",0,IFERROR(--(EOMONTH(AI1073,0)&lt;&gt;AH$5),1))+IF(AL1073="",0,IFERROR(--(EOMONTH(AL1073,0)&lt;&gt;AK$5),1))+IF(AO1073="",0,IFERROR(--(EOMONTH(AO1073,0)&lt;&gt;AN$5),1))+IF(AR1073="",0,IFERROR(--(EOMONTH(AR1073,0)&lt;&gt;AQ$5),1))+IF(AU1073="",0,IFERROR(--(EOMONTH(AU1073,0)&lt;&gt;AT$5),1))+IF(AX1073="",0,IFERROR(--(EOMONTH(AX1073,0)&lt;&gt;AW$5),1))+IF(BA1073="",0,IFERROR(--(EOMONTH(BA1073,0)&lt;&gt;AZ$5),1)))&gt;0,"; An invoice date is not in the month it is typed under",""),3,500))</f>
        <v/>
      </c>
      <c r="S1073" s="12" t="n"/>
      <c r="T1073" s="13" t="n"/>
      <c r="U1073" s="14" t="n"/>
      <c r="V1073" s="12" t="n"/>
      <c r="W1073" s="13" t="n"/>
      <c r="X1073" s="14" t="n"/>
      <c r="Y1073" s="12" t="n"/>
      <c r="Z1073" s="13" t="n"/>
      <c r="AA1073" s="14" t="n"/>
      <c r="AB1073" s="12" t="n"/>
      <c r="AC1073" s="13" t="n"/>
      <c r="AD1073" s="14" t="n"/>
      <c r="AE1073" s="12" t="n"/>
      <c r="AF1073" s="13" t="n"/>
      <c r="AG1073" s="14" t="n"/>
      <c r="AH1073" s="12" t="n"/>
      <c r="AI1073" s="13" t="n"/>
      <c r="AJ1073" s="14" t="n"/>
      <c r="AK1073" s="12" t="n"/>
      <c r="AL1073" s="13" t="n"/>
      <c r="AM1073" s="14" t="n"/>
      <c r="AN1073" s="12" t="n"/>
      <c r="AO1073" s="13" t="n"/>
      <c r="AP1073" s="14" t="n"/>
      <c r="AQ1073" s="12" t="n"/>
      <c r="AR1073" s="13" t="n"/>
      <c r="AS1073" s="14" t="n"/>
      <c r="AT1073" s="12" t="n"/>
      <c r="AU1073" s="13" t="n"/>
      <c r="AV1073" s="14" t="n"/>
      <c r="AW1073" s="12" t="n"/>
      <c r="AX1073" s="13" t="n"/>
      <c r="AY1073" s="14" t="n"/>
      <c r="AZ1073" s="12" t="n"/>
      <c r="BA1073" s="13" t="n"/>
      <c r="BB1073" s="14" t="n"/>
      <c r="BC1073" s="11">
        <f>IF(O1073="","",IF(J1073="GST 10%",ROUND(O1073*set_GSTRate,2),0))</f>
        <v/>
      </c>
      <c r="BD1073" s="11">
        <f>IF(O1073="","",O1073+BC1073)</f>
        <v/>
      </c>
      <c r="BE1073" s="15">
        <f>IF(O1073="","",COUNTA(S1073,V1073,Y1073,AB1073,AE1073,AH1073,AK1073,AN1073,AQ1073,AT1073,AW1073,AZ1073))</f>
        <v/>
      </c>
      <c r="BF1073" s="16">
        <f>IF(COUNT(T1073,W1073,Z1073,AC1073,AF1073,AI1073,AL1073,AO1073,AR1073,AU1073,AX1073,BA1073)=0,"",MAX(T1073,W1073,Z1073,AC1073,AF1073,AI1073,AL1073,AO1073,AR1073,AU1073,AX1073,BA1073))</f>
        <v/>
      </c>
      <c r="BG1073" s="10">
        <f>MID(IF(S1073="","",", "&amp;S1073)&amp;IF(V1073="","",", "&amp;V1073)&amp;IF(Y1073="","",", "&amp;Y1073)&amp;IF(AB1073="","",", "&amp;AB1073)&amp;IF(AE1073="","",", "&amp;AE1073)&amp;IF(AH1073="","",", "&amp;AH1073)&amp;IF(AK1073="","",", "&amp;AK1073)&amp;IF(AN1073="","",", "&amp;AN1073)&amp;IF(AQ1073="","",", "&amp;AQ1073)&amp;IF(AT1073="","",", "&amp;AT1073)&amp;IF(AW1073="","",", "&amp;AW1073)&amp;IF(AZ1073="","",", "&amp;AZ1073),3,500)</f>
        <v/>
      </c>
      <c r="BH1073" s="12" t="n"/>
      <c r="BI1073" s="15">
        <f>IFERROR(MATCH($A1073,IF($B1073="Onsite",tbl_Onsite[Row ID],IF($B1073="Production",tbl_Production[Row ID],tbl_Consulting[Row ID])),0),"")</f>
        <v/>
      </c>
    </row>
    <row r="1074">
      <c r="A1074" s="10" t="inlineStr">
        <is>
          <t>CON-0068</t>
        </is>
      </c>
      <c r="B1074" s="10" t="inlineStr">
        <is>
          <t>Consulting</t>
        </is>
      </c>
      <c r="C1074" s="10">
        <f>IF($BI1074="","",IF($B1074="Onsite",INDEX(tbl_Onsite[Job Number],$BI1074),IF($B1074="Production",INDEX(tbl_Production[Job Number],$BI1074),INDEX(tbl_Consulting[Job Number],$BI1074)))&amp;"")</f>
        <v/>
      </c>
      <c r="D1074" s="10">
        <f>IF($BI1074="","",IF($B1074="Onsite",INDEX(tbl_Onsite[Client],$BI1074),IF($B1074="Production",INDEX(tbl_Production[Client],$BI1074),INDEX(tbl_Consulting[Client],$BI1074)))&amp;"")</f>
        <v/>
      </c>
      <c r="E1074" s="10">
        <f>IF($C1074="","",IF(COUNTIF(lst_Jobs,$C1074)&gt;0,"OK","CHECK"))</f>
        <v/>
      </c>
      <c r="F1074" s="10">
        <f>IF($C1074="","",IFERROR(INDEX(lst_JobName,MATCH($C1074,lst_Jobs,0)),""))</f>
        <v/>
      </c>
      <c r="G1074" s="10">
        <f>IF($BI1074="","",IF($B1074="Onsite",INDEX(tbl_Onsite[Job Description],$BI1074),IF($B1074="Production",INDEX(tbl_Production[Job Description],$BI1074),INDEX(tbl_Consulting[Job Description],$BI1074)))&amp;"")</f>
        <v/>
      </c>
      <c r="H1074" s="10">
        <f>IF($BI1074="","",IF($B1074="Onsite",INDEX(tbl_Onsite[Cost Centre],$BI1074),IF($B1074="Production",INDEX(tbl_Production[Cost Centre],$BI1074),INDEX(tbl_Consulting[Cost Centre],$BI1074)))&amp;"")</f>
        <v/>
      </c>
      <c r="I1074" s="10">
        <f>IF($BI1074="","",IF($B1074="Onsite",INDEX(tbl_Onsite[Invoice Type],$BI1074),IF($B1074="Production",INDEX(tbl_Production[Invoice Type],$BI1074),INDEX(tbl_Consulting[Invoice Type],$BI1074)))&amp;"")</f>
        <v/>
      </c>
      <c r="J1074" s="10">
        <f>IF($BI1074="","",IF($B1074="Onsite",INDEX(tbl_Onsite[Tax Code],$BI1074),IF($B1074="Production",INDEX(tbl_Production[Tax Code],$BI1074),INDEX(tbl_Consulting[Tax Code],$BI1074)))&amp;"")</f>
        <v/>
      </c>
      <c r="K1074" s="10">
        <f>IF(H1074="","",IFERROR(INDEX(lst_CCtoGL,MATCH(H1074,lst_CCforGL,0)),""))</f>
        <v/>
      </c>
      <c r="L1074" s="10">
        <f>IF($BI1074="","",IF($B1074="Onsite",INDEX(tbl_Onsite[PO / Reference],$BI1074),IF($B1074="Production",INDEX(tbl_Production[Current RMS No],$BI1074),INDEX(tbl_Consulting[Qwilr Quote],$BI1074)))&amp;"")</f>
        <v/>
      </c>
      <c r="M1074" s="10">
        <f>IF($BI1074="","",IF($B1074="Onsite",INDEX(tbl_Onsite[Notes],$BI1074),IF($B1074="Production",INDEX(tbl_Production[Notes],$BI1074),INDEX(tbl_Consulting[Notes],$BI1074)))&amp;"")</f>
        <v/>
      </c>
      <c r="N1074" s="11">
        <f>IF($BI1074="","",IF(IF($B1074="Onsite",INDEX(tbl_Onsite[Expected Revenue Ex GST],$BI1074),IF($B1074="Production",INDEX(tbl_Production[Expected Revenue Ex GST],$BI1074),INDEX(tbl_Consulting[Expected Revenue Ex GST],$BI1074)))="","",IF($B1074="Onsite",INDEX(tbl_Onsite[Expected Revenue Ex GST],$BI1074),IF($B1074="Production",INDEX(tbl_Production[Expected Revenue Ex GST],$BI1074),INDEX(tbl_Consulting[Expected Revenue Ex GST],$BI1074)))))</f>
        <v/>
      </c>
      <c r="O1074" s="11">
        <f>IF(AND($C1074="",NOT(COUNTA($S1074:$BB1074)&gt;0)),"",SUM(U1074,X1074,AA1074,AD1074,AG1074,AJ1074,AM1074,AP1074,AS1074,AV1074,AY1074,BB1074))</f>
        <v/>
      </c>
      <c r="P1074" s="11">
        <f>IF(O1074="","",N(N1074)-O1074)</f>
        <v/>
      </c>
      <c r="Q1074" s="10">
        <f>IF(O1074="","",IF($C1074="","Invoice on empty job row",IF(N1074="",IF(ROUND(O1074,2)=0,"No dept value","Invoiced - no dept value"),IF(ROUND(O1074,2)=0,"Not invoiced - to invoice",IF(ROUND(P1074,2)=0,"Agrees",IF(P1074&gt;0,"Dept higher - to invoice","Xero higher - check dept"))))))</f>
        <v/>
      </c>
      <c r="R1074" s="10">
        <f>IF(AND($C1074="",NOT(COUNTA($S1074:$BB1074)&gt;0),$BI1074&lt;&gt;""),"",MID(IF($BI1074="","; Row ID not found on the department sheet - a row was deleted","")&amp;IF(AND($C1074="",COUNTA($S1074:$BB1074)&gt;0),"; Invoice entered but the department row has no job number","")&amp;IF(E1074="CHECK","; Job number not in the Xero job list","")&amp;IF(AND($C1074&lt;&gt;"",COUNTIF($C$7:$C$1506,$C1074)&gt;1),"; Job number on more than one row","")&amp;IF(AND($C1074&lt;&gt;"",H1074=""),"; Dept has not set a cost centre","")&amp;IF(AND($C1074&lt;&gt;"",J1074=""),"; Dept has not set a tax code","")&amp;IF(AND($C1074&lt;&gt;"",N1074=""),"; Dept has not entered an expected value","")&amp;IF((IF(OR(COUNTA(S1074:U1074)=0,AND(COUNTA(S1074:U1074)=3,ISNUMBER(U1074))),0,1)+IF(OR(COUNTA(V1074:X1074)=0,AND(COUNTA(V1074:X1074)=3,ISNUMBER(X1074))),0,1)+IF(OR(COUNTA(Y1074:AA1074)=0,AND(COUNTA(Y1074:AA1074)=3,ISNUMBER(AA1074))),0,1)+IF(OR(COUNTA(AB1074:AD1074)=0,AND(COUNTA(AB1074:AD1074)=3,ISNUMBER(AD1074))),0,1)+IF(OR(COUNTA(AE1074:AG1074)=0,AND(COUNTA(AE1074:AG1074)=3,ISNUMBER(AG1074))),0,1)+IF(OR(COUNTA(AH1074:AJ1074)=0,AND(COUNTA(AH1074:AJ1074)=3,ISNUMBER(AJ1074))),0,1)+IF(OR(COUNTA(AK1074:AM1074)=0,AND(COUNTA(AK1074:AM1074)=3,ISNUMBER(AM1074))),0,1)+IF(OR(COUNTA(AN1074:AP1074)=0,AND(COUNTA(AN1074:AP1074)=3,ISNUMBER(AP1074))),0,1)+IF(OR(COUNTA(AQ1074:AS1074)=0,AND(COUNTA(AQ1074:AS1074)=3,ISNUMBER(AS1074))),0,1)+IF(OR(COUNTA(AT1074:AV1074)=0,AND(COUNTA(AT1074:AV1074)=3,ISNUMBER(AV1074))),0,1)+IF(OR(COUNTA(AW1074:AY1074)=0,AND(COUNTA(AW1074:AY1074)=3,ISNUMBER(AY1074))),0,1)+IF(OR(COUNTA(AZ1074:BB1074)=0,AND(COUNTA(AZ1074:BB1074)=3,ISNUMBER(BB1074))),0,1))&gt;0,"; An invoice is incomplete (needs No, Date and a number in Ex GST)","")&amp;IF((IF(T1074="",0,IFERROR(--(EOMONTH(T1074,0)&lt;&gt;S$5),1))+IF(W1074="",0,IFERROR(--(EOMONTH(W1074,0)&lt;&gt;V$5),1))+IF(Z1074="",0,IFERROR(--(EOMONTH(Z1074,0)&lt;&gt;Y$5),1))+IF(AC1074="",0,IFERROR(--(EOMONTH(AC1074,0)&lt;&gt;AB$5),1))+IF(AF1074="",0,IFERROR(--(EOMONTH(AF1074,0)&lt;&gt;AE$5),1))+IF(AI1074="",0,IFERROR(--(EOMONTH(AI1074,0)&lt;&gt;AH$5),1))+IF(AL1074="",0,IFERROR(--(EOMONTH(AL1074,0)&lt;&gt;AK$5),1))+IF(AO1074="",0,IFERROR(--(EOMONTH(AO1074,0)&lt;&gt;AN$5),1))+IF(AR1074="",0,IFERROR(--(EOMONTH(AR1074,0)&lt;&gt;AQ$5),1))+IF(AU1074="",0,IFERROR(--(EOMONTH(AU1074,0)&lt;&gt;AT$5),1))+IF(AX1074="",0,IFERROR(--(EOMONTH(AX1074,0)&lt;&gt;AW$5),1))+IF(BA1074="",0,IFERROR(--(EOMONTH(BA1074,0)&lt;&gt;AZ$5),1)))&gt;0,"; An invoice date is not in the month it is typed under",""),3,500))</f>
        <v/>
      </c>
      <c r="S1074" s="12" t="n"/>
      <c r="T1074" s="13" t="n"/>
      <c r="U1074" s="14" t="n"/>
      <c r="V1074" s="12" t="n"/>
      <c r="W1074" s="13" t="n"/>
      <c r="X1074" s="14" t="n"/>
      <c r="Y1074" s="12" t="n"/>
      <c r="Z1074" s="13" t="n"/>
      <c r="AA1074" s="14" t="n"/>
      <c r="AB1074" s="12" t="n"/>
      <c r="AC1074" s="13" t="n"/>
      <c r="AD1074" s="14" t="n"/>
      <c r="AE1074" s="12" t="n"/>
      <c r="AF1074" s="13" t="n"/>
      <c r="AG1074" s="14" t="n"/>
      <c r="AH1074" s="12" t="n"/>
      <c r="AI1074" s="13" t="n"/>
      <c r="AJ1074" s="14" t="n"/>
      <c r="AK1074" s="12" t="n"/>
      <c r="AL1074" s="13" t="n"/>
      <c r="AM1074" s="14" t="n"/>
      <c r="AN1074" s="12" t="n"/>
      <c r="AO1074" s="13" t="n"/>
      <c r="AP1074" s="14" t="n"/>
      <c r="AQ1074" s="12" t="n"/>
      <c r="AR1074" s="13" t="n"/>
      <c r="AS1074" s="14" t="n"/>
      <c r="AT1074" s="12" t="n"/>
      <c r="AU1074" s="13" t="n"/>
      <c r="AV1074" s="14" t="n"/>
      <c r="AW1074" s="12" t="n"/>
      <c r="AX1074" s="13" t="n"/>
      <c r="AY1074" s="14" t="n"/>
      <c r="AZ1074" s="12" t="n"/>
      <c r="BA1074" s="13" t="n"/>
      <c r="BB1074" s="14" t="n"/>
      <c r="BC1074" s="11">
        <f>IF(O1074="","",IF(J1074="GST 10%",ROUND(O1074*set_GSTRate,2),0))</f>
        <v/>
      </c>
      <c r="BD1074" s="11">
        <f>IF(O1074="","",O1074+BC1074)</f>
        <v/>
      </c>
      <c r="BE1074" s="15">
        <f>IF(O1074="","",COUNTA(S1074,V1074,Y1074,AB1074,AE1074,AH1074,AK1074,AN1074,AQ1074,AT1074,AW1074,AZ1074))</f>
        <v/>
      </c>
      <c r="BF1074" s="16">
        <f>IF(COUNT(T1074,W1074,Z1074,AC1074,AF1074,AI1074,AL1074,AO1074,AR1074,AU1074,AX1074,BA1074)=0,"",MAX(T1074,W1074,Z1074,AC1074,AF1074,AI1074,AL1074,AO1074,AR1074,AU1074,AX1074,BA1074))</f>
        <v/>
      </c>
      <c r="BG1074" s="10">
        <f>MID(IF(S1074="","",", "&amp;S1074)&amp;IF(V1074="","",", "&amp;V1074)&amp;IF(Y1074="","",", "&amp;Y1074)&amp;IF(AB1074="","",", "&amp;AB1074)&amp;IF(AE1074="","",", "&amp;AE1074)&amp;IF(AH1074="","",", "&amp;AH1074)&amp;IF(AK1074="","",", "&amp;AK1074)&amp;IF(AN1074="","",", "&amp;AN1074)&amp;IF(AQ1074="","",", "&amp;AQ1074)&amp;IF(AT1074="","",", "&amp;AT1074)&amp;IF(AW1074="","",", "&amp;AW1074)&amp;IF(AZ1074="","",", "&amp;AZ1074),3,500)</f>
        <v/>
      </c>
      <c r="BH1074" s="12" t="n"/>
      <c r="BI1074" s="15">
        <f>IFERROR(MATCH($A1074,IF($B1074="Onsite",tbl_Onsite[Row ID],IF($B1074="Production",tbl_Production[Row ID],tbl_Consulting[Row ID])),0),"")</f>
        <v/>
      </c>
    </row>
    <row r="1075">
      <c r="A1075" s="10" t="inlineStr">
        <is>
          <t>CON-0069</t>
        </is>
      </c>
      <c r="B1075" s="10" t="inlineStr">
        <is>
          <t>Consulting</t>
        </is>
      </c>
      <c r="C1075" s="10">
        <f>IF($BI1075="","",IF($B1075="Onsite",INDEX(tbl_Onsite[Job Number],$BI1075),IF($B1075="Production",INDEX(tbl_Production[Job Number],$BI1075),INDEX(tbl_Consulting[Job Number],$BI1075)))&amp;"")</f>
        <v/>
      </c>
      <c r="D1075" s="10">
        <f>IF($BI1075="","",IF($B1075="Onsite",INDEX(tbl_Onsite[Client],$BI1075),IF($B1075="Production",INDEX(tbl_Production[Client],$BI1075),INDEX(tbl_Consulting[Client],$BI1075)))&amp;"")</f>
        <v/>
      </c>
      <c r="E1075" s="10">
        <f>IF($C1075="","",IF(COUNTIF(lst_Jobs,$C1075)&gt;0,"OK","CHECK"))</f>
        <v/>
      </c>
      <c r="F1075" s="10">
        <f>IF($C1075="","",IFERROR(INDEX(lst_JobName,MATCH($C1075,lst_Jobs,0)),""))</f>
        <v/>
      </c>
      <c r="G1075" s="10">
        <f>IF($BI1075="","",IF($B1075="Onsite",INDEX(tbl_Onsite[Job Description],$BI1075),IF($B1075="Production",INDEX(tbl_Production[Job Description],$BI1075),INDEX(tbl_Consulting[Job Description],$BI1075)))&amp;"")</f>
        <v/>
      </c>
      <c r="H1075" s="10">
        <f>IF($BI1075="","",IF($B1075="Onsite",INDEX(tbl_Onsite[Cost Centre],$BI1075),IF($B1075="Production",INDEX(tbl_Production[Cost Centre],$BI1075),INDEX(tbl_Consulting[Cost Centre],$BI1075)))&amp;"")</f>
        <v/>
      </c>
      <c r="I1075" s="10">
        <f>IF($BI1075="","",IF($B1075="Onsite",INDEX(tbl_Onsite[Invoice Type],$BI1075),IF($B1075="Production",INDEX(tbl_Production[Invoice Type],$BI1075),INDEX(tbl_Consulting[Invoice Type],$BI1075)))&amp;"")</f>
        <v/>
      </c>
      <c r="J1075" s="10">
        <f>IF($BI1075="","",IF($B1075="Onsite",INDEX(tbl_Onsite[Tax Code],$BI1075),IF($B1075="Production",INDEX(tbl_Production[Tax Code],$BI1075),INDEX(tbl_Consulting[Tax Code],$BI1075)))&amp;"")</f>
        <v/>
      </c>
      <c r="K1075" s="10">
        <f>IF(H1075="","",IFERROR(INDEX(lst_CCtoGL,MATCH(H1075,lst_CCforGL,0)),""))</f>
        <v/>
      </c>
      <c r="L1075" s="10">
        <f>IF($BI1075="","",IF($B1075="Onsite",INDEX(tbl_Onsite[PO / Reference],$BI1075),IF($B1075="Production",INDEX(tbl_Production[Current RMS No],$BI1075),INDEX(tbl_Consulting[Qwilr Quote],$BI1075)))&amp;"")</f>
        <v/>
      </c>
      <c r="M1075" s="10">
        <f>IF($BI1075="","",IF($B1075="Onsite",INDEX(tbl_Onsite[Notes],$BI1075),IF($B1075="Production",INDEX(tbl_Production[Notes],$BI1075),INDEX(tbl_Consulting[Notes],$BI1075)))&amp;"")</f>
        <v/>
      </c>
      <c r="N1075" s="11">
        <f>IF($BI1075="","",IF(IF($B1075="Onsite",INDEX(tbl_Onsite[Expected Revenue Ex GST],$BI1075),IF($B1075="Production",INDEX(tbl_Production[Expected Revenue Ex GST],$BI1075),INDEX(tbl_Consulting[Expected Revenue Ex GST],$BI1075)))="","",IF($B1075="Onsite",INDEX(tbl_Onsite[Expected Revenue Ex GST],$BI1075),IF($B1075="Production",INDEX(tbl_Production[Expected Revenue Ex GST],$BI1075),INDEX(tbl_Consulting[Expected Revenue Ex GST],$BI1075)))))</f>
        <v/>
      </c>
      <c r="O1075" s="11">
        <f>IF(AND($C1075="",NOT(COUNTA($S1075:$BB1075)&gt;0)),"",SUM(U1075,X1075,AA1075,AD1075,AG1075,AJ1075,AM1075,AP1075,AS1075,AV1075,AY1075,BB1075))</f>
        <v/>
      </c>
      <c r="P1075" s="11">
        <f>IF(O1075="","",N(N1075)-O1075)</f>
        <v/>
      </c>
      <c r="Q1075" s="10">
        <f>IF(O1075="","",IF($C1075="","Invoice on empty job row",IF(N1075="",IF(ROUND(O1075,2)=0,"No dept value","Invoiced - no dept value"),IF(ROUND(O1075,2)=0,"Not invoiced - to invoice",IF(ROUND(P1075,2)=0,"Agrees",IF(P1075&gt;0,"Dept higher - to invoice","Xero higher - check dept"))))))</f>
        <v/>
      </c>
      <c r="R1075" s="10">
        <f>IF(AND($C1075="",NOT(COUNTA($S1075:$BB1075)&gt;0),$BI1075&lt;&gt;""),"",MID(IF($BI1075="","; Row ID not found on the department sheet - a row was deleted","")&amp;IF(AND($C1075="",COUNTA($S1075:$BB1075)&gt;0),"; Invoice entered but the department row has no job number","")&amp;IF(E1075="CHECK","; Job number not in the Xero job list","")&amp;IF(AND($C1075&lt;&gt;"",COUNTIF($C$7:$C$1506,$C1075)&gt;1),"; Job number on more than one row","")&amp;IF(AND($C1075&lt;&gt;"",H1075=""),"; Dept has not set a cost centre","")&amp;IF(AND($C1075&lt;&gt;"",J1075=""),"; Dept has not set a tax code","")&amp;IF(AND($C1075&lt;&gt;"",N1075=""),"; Dept has not entered an expected value","")&amp;IF((IF(OR(COUNTA(S1075:U1075)=0,AND(COUNTA(S1075:U1075)=3,ISNUMBER(U1075))),0,1)+IF(OR(COUNTA(V1075:X1075)=0,AND(COUNTA(V1075:X1075)=3,ISNUMBER(X1075))),0,1)+IF(OR(COUNTA(Y1075:AA1075)=0,AND(COUNTA(Y1075:AA1075)=3,ISNUMBER(AA1075))),0,1)+IF(OR(COUNTA(AB1075:AD1075)=0,AND(COUNTA(AB1075:AD1075)=3,ISNUMBER(AD1075))),0,1)+IF(OR(COUNTA(AE1075:AG1075)=0,AND(COUNTA(AE1075:AG1075)=3,ISNUMBER(AG1075))),0,1)+IF(OR(COUNTA(AH1075:AJ1075)=0,AND(COUNTA(AH1075:AJ1075)=3,ISNUMBER(AJ1075))),0,1)+IF(OR(COUNTA(AK1075:AM1075)=0,AND(COUNTA(AK1075:AM1075)=3,ISNUMBER(AM1075))),0,1)+IF(OR(COUNTA(AN1075:AP1075)=0,AND(COUNTA(AN1075:AP1075)=3,ISNUMBER(AP1075))),0,1)+IF(OR(COUNTA(AQ1075:AS1075)=0,AND(COUNTA(AQ1075:AS1075)=3,ISNUMBER(AS1075))),0,1)+IF(OR(COUNTA(AT1075:AV1075)=0,AND(COUNTA(AT1075:AV1075)=3,ISNUMBER(AV1075))),0,1)+IF(OR(COUNTA(AW1075:AY1075)=0,AND(COUNTA(AW1075:AY1075)=3,ISNUMBER(AY1075))),0,1)+IF(OR(COUNTA(AZ1075:BB1075)=0,AND(COUNTA(AZ1075:BB1075)=3,ISNUMBER(BB1075))),0,1))&gt;0,"; An invoice is incomplete (needs No, Date and a number in Ex GST)","")&amp;IF((IF(T1075="",0,IFERROR(--(EOMONTH(T1075,0)&lt;&gt;S$5),1))+IF(W1075="",0,IFERROR(--(EOMONTH(W1075,0)&lt;&gt;V$5),1))+IF(Z1075="",0,IFERROR(--(EOMONTH(Z1075,0)&lt;&gt;Y$5),1))+IF(AC1075="",0,IFERROR(--(EOMONTH(AC1075,0)&lt;&gt;AB$5),1))+IF(AF1075="",0,IFERROR(--(EOMONTH(AF1075,0)&lt;&gt;AE$5),1))+IF(AI1075="",0,IFERROR(--(EOMONTH(AI1075,0)&lt;&gt;AH$5),1))+IF(AL1075="",0,IFERROR(--(EOMONTH(AL1075,0)&lt;&gt;AK$5),1))+IF(AO1075="",0,IFERROR(--(EOMONTH(AO1075,0)&lt;&gt;AN$5),1))+IF(AR1075="",0,IFERROR(--(EOMONTH(AR1075,0)&lt;&gt;AQ$5),1))+IF(AU1075="",0,IFERROR(--(EOMONTH(AU1075,0)&lt;&gt;AT$5),1))+IF(AX1075="",0,IFERROR(--(EOMONTH(AX1075,0)&lt;&gt;AW$5),1))+IF(BA1075="",0,IFERROR(--(EOMONTH(BA1075,0)&lt;&gt;AZ$5),1)))&gt;0,"; An invoice date is not in the month it is typed under",""),3,500))</f>
        <v/>
      </c>
      <c r="S1075" s="12" t="n"/>
      <c r="T1075" s="13" t="n"/>
      <c r="U1075" s="14" t="n"/>
      <c r="V1075" s="12" t="n"/>
      <c r="W1075" s="13" t="n"/>
      <c r="X1075" s="14" t="n"/>
      <c r="Y1075" s="12" t="n"/>
      <c r="Z1075" s="13" t="n"/>
      <c r="AA1075" s="14" t="n"/>
      <c r="AB1075" s="12" t="n"/>
      <c r="AC1075" s="13" t="n"/>
      <c r="AD1075" s="14" t="n"/>
      <c r="AE1075" s="12" t="n"/>
      <c r="AF1075" s="13" t="n"/>
      <c r="AG1075" s="14" t="n"/>
      <c r="AH1075" s="12" t="n"/>
      <c r="AI1075" s="13" t="n"/>
      <c r="AJ1075" s="14" t="n"/>
      <c r="AK1075" s="12" t="n"/>
      <c r="AL1075" s="13" t="n"/>
      <c r="AM1075" s="14" t="n"/>
      <c r="AN1075" s="12" t="n"/>
      <c r="AO1075" s="13" t="n"/>
      <c r="AP1075" s="14" t="n"/>
      <c r="AQ1075" s="12" t="n"/>
      <c r="AR1075" s="13" t="n"/>
      <c r="AS1075" s="14" t="n"/>
      <c r="AT1075" s="12" t="n"/>
      <c r="AU1075" s="13" t="n"/>
      <c r="AV1075" s="14" t="n"/>
      <c r="AW1075" s="12" t="n"/>
      <c r="AX1075" s="13" t="n"/>
      <c r="AY1075" s="14" t="n"/>
      <c r="AZ1075" s="12" t="n"/>
      <c r="BA1075" s="13" t="n"/>
      <c r="BB1075" s="14" t="n"/>
      <c r="BC1075" s="11">
        <f>IF(O1075="","",IF(J1075="GST 10%",ROUND(O1075*set_GSTRate,2),0))</f>
        <v/>
      </c>
      <c r="BD1075" s="11">
        <f>IF(O1075="","",O1075+BC1075)</f>
        <v/>
      </c>
      <c r="BE1075" s="15">
        <f>IF(O1075="","",COUNTA(S1075,V1075,Y1075,AB1075,AE1075,AH1075,AK1075,AN1075,AQ1075,AT1075,AW1075,AZ1075))</f>
        <v/>
      </c>
      <c r="BF1075" s="16">
        <f>IF(COUNT(T1075,W1075,Z1075,AC1075,AF1075,AI1075,AL1075,AO1075,AR1075,AU1075,AX1075,BA1075)=0,"",MAX(T1075,W1075,Z1075,AC1075,AF1075,AI1075,AL1075,AO1075,AR1075,AU1075,AX1075,BA1075))</f>
        <v/>
      </c>
      <c r="BG1075" s="10">
        <f>MID(IF(S1075="","",", "&amp;S1075)&amp;IF(V1075="","",", "&amp;V1075)&amp;IF(Y1075="","",", "&amp;Y1075)&amp;IF(AB1075="","",", "&amp;AB1075)&amp;IF(AE1075="","",", "&amp;AE1075)&amp;IF(AH1075="","",", "&amp;AH1075)&amp;IF(AK1075="","",", "&amp;AK1075)&amp;IF(AN1075="","",", "&amp;AN1075)&amp;IF(AQ1075="","",", "&amp;AQ1075)&amp;IF(AT1075="","",", "&amp;AT1075)&amp;IF(AW1075="","",", "&amp;AW1075)&amp;IF(AZ1075="","",", "&amp;AZ1075),3,500)</f>
        <v/>
      </c>
      <c r="BH1075" s="12" t="n"/>
      <c r="BI1075" s="15">
        <f>IFERROR(MATCH($A1075,IF($B1075="Onsite",tbl_Onsite[Row ID],IF($B1075="Production",tbl_Production[Row ID],tbl_Consulting[Row ID])),0),"")</f>
        <v/>
      </c>
    </row>
    <row r="1076">
      <c r="A1076" s="10" t="inlineStr">
        <is>
          <t>CON-0070</t>
        </is>
      </c>
      <c r="B1076" s="10" t="inlineStr">
        <is>
          <t>Consulting</t>
        </is>
      </c>
      <c r="C1076" s="10">
        <f>IF($BI1076="","",IF($B1076="Onsite",INDEX(tbl_Onsite[Job Number],$BI1076),IF($B1076="Production",INDEX(tbl_Production[Job Number],$BI1076),INDEX(tbl_Consulting[Job Number],$BI1076)))&amp;"")</f>
        <v/>
      </c>
      <c r="D1076" s="10">
        <f>IF($BI1076="","",IF($B1076="Onsite",INDEX(tbl_Onsite[Client],$BI1076),IF($B1076="Production",INDEX(tbl_Production[Client],$BI1076),INDEX(tbl_Consulting[Client],$BI1076)))&amp;"")</f>
        <v/>
      </c>
      <c r="E1076" s="10">
        <f>IF($C1076="","",IF(COUNTIF(lst_Jobs,$C1076)&gt;0,"OK","CHECK"))</f>
        <v/>
      </c>
      <c r="F1076" s="10">
        <f>IF($C1076="","",IFERROR(INDEX(lst_JobName,MATCH($C1076,lst_Jobs,0)),""))</f>
        <v/>
      </c>
      <c r="G1076" s="10">
        <f>IF($BI1076="","",IF($B1076="Onsite",INDEX(tbl_Onsite[Job Description],$BI1076),IF($B1076="Production",INDEX(tbl_Production[Job Description],$BI1076),INDEX(tbl_Consulting[Job Description],$BI1076)))&amp;"")</f>
        <v/>
      </c>
      <c r="H1076" s="10">
        <f>IF($BI1076="","",IF($B1076="Onsite",INDEX(tbl_Onsite[Cost Centre],$BI1076),IF($B1076="Production",INDEX(tbl_Production[Cost Centre],$BI1076),INDEX(tbl_Consulting[Cost Centre],$BI1076)))&amp;"")</f>
        <v/>
      </c>
      <c r="I1076" s="10">
        <f>IF($BI1076="","",IF($B1076="Onsite",INDEX(tbl_Onsite[Invoice Type],$BI1076),IF($B1076="Production",INDEX(tbl_Production[Invoice Type],$BI1076),INDEX(tbl_Consulting[Invoice Type],$BI1076)))&amp;"")</f>
        <v/>
      </c>
      <c r="J1076" s="10">
        <f>IF($BI1076="","",IF($B1076="Onsite",INDEX(tbl_Onsite[Tax Code],$BI1076),IF($B1076="Production",INDEX(tbl_Production[Tax Code],$BI1076),INDEX(tbl_Consulting[Tax Code],$BI1076)))&amp;"")</f>
        <v/>
      </c>
      <c r="K1076" s="10">
        <f>IF(H1076="","",IFERROR(INDEX(lst_CCtoGL,MATCH(H1076,lst_CCforGL,0)),""))</f>
        <v/>
      </c>
      <c r="L1076" s="10">
        <f>IF($BI1076="","",IF($B1076="Onsite",INDEX(tbl_Onsite[PO / Reference],$BI1076),IF($B1076="Production",INDEX(tbl_Production[Current RMS No],$BI1076),INDEX(tbl_Consulting[Qwilr Quote],$BI1076)))&amp;"")</f>
        <v/>
      </c>
      <c r="M1076" s="10">
        <f>IF($BI1076="","",IF($B1076="Onsite",INDEX(tbl_Onsite[Notes],$BI1076),IF($B1076="Production",INDEX(tbl_Production[Notes],$BI1076),INDEX(tbl_Consulting[Notes],$BI1076)))&amp;"")</f>
        <v/>
      </c>
      <c r="N1076" s="11">
        <f>IF($BI1076="","",IF(IF($B1076="Onsite",INDEX(tbl_Onsite[Expected Revenue Ex GST],$BI1076),IF($B1076="Production",INDEX(tbl_Production[Expected Revenue Ex GST],$BI1076),INDEX(tbl_Consulting[Expected Revenue Ex GST],$BI1076)))="","",IF($B1076="Onsite",INDEX(tbl_Onsite[Expected Revenue Ex GST],$BI1076),IF($B1076="Production",INDEX(tbl_Production[Expected Revenue Ex GST],$BI1076),INDEX(tbl_Consulting[Expected Revenue Ex GST],$BI1076)))))</f>
        <v/>
      </c>
      <c r="O1076" s="11">
        <f>IF(AND($C1076="",NOT(COUNTA($S1076:$BB1076)&gt;0)),"",SUM(U1076,X1076,AA1076,AD1076,AG1076,AJ1076,AM1076,AP1076,AS1076,AV1076,AY1076,BB1076))</f>
        <v/>
      </c>
      <c r="P1076" s="11">
        <f>IF(O1076="","",N(N1076)-O1076)</f>
        <v/>
      </c>
      <c r="Q1076" s="10">
        <f>IF(O1076="","",IF($C1076="","Invoice on empty job row",IF(N1076="",IF(ROUND(O1076,2)=0,"No dept value","Invoiced - no dept value"),IF(ROUND(O1076,2)=0,"Not invoiced - to invoice",IF(ROUND(P1076,2)=0,"Agrees",IF(P1076&gt;0,"Dept higher - to invoice","Xero higher - check dept"))))))</f>
        <v/>
      </c>
      <c r="R1076" s="10">
        <f>IF(AND($C1076="",NOT(COUNTA($S1076:$BB1076)&gt;0),$BI1076&lt;&gt;""),"",MID(IF($BI1076="","; Row ID not found on the department sheet - a row was deleted","")&amp;IF(AND($C1076="",COUNTA($S1076:$BB1076)&gt;0),"; Invoice entered but the department row has no job number","")&amp;IF(E1076="CHECK","; Job number not in the Xero job list","")&amp;IF(AND($C1076&lt;&gt;"",COUNTIF($C$7:$C$1506,$C1076)&gt;1),"; Job number on more than one row","")&amp;IF(AND($C1076&lt;&gt;"",H1076=""),"; Dept has not set a cost centre","")&amp;IF(AND($C1076&lt;&gt;"",J1076=""),"; Dept has not set a tax code","")&amp;IF(AND($C1076&lt;&gt;"",N1076=""),"; Dept has not entered an expected value","")&amp;IF((IF(OR(COUNTA(S1076:U1076)=0,AND(COUNTA(S1076:U1076)=3,ISNUMBER(U1076))),0,1)+IF(OR(COUNTA(V1076:X1076)=0,AND(COUNTA(V1076:X1076)=3,ISNUMBER(X1076))),0,1)+IF(OR(COUNTA(Y1076:AA1076)=0,AND(COUNTA(Y1076:AA1076)=3,ISNUMBER(AA1076))),0,1)+IF(OR(COUNTA(AB1076:AD1076)=0,AND(COUNTA(AB1076:AD1076)=3,ISNUMBER(AD1076))),0,1)+IF(OR(COUNTA(AE1076:AG1076)=0,AND(COUNTA(AE1076:AG1076)=3,ISNUMBER(AG1076))),0,1)+IF(OR(COUNTA(AH1076:AJ1076)=0,AND(COUNTA(AH1076:AJ1076)=3,ISNUMBER(AJ1076))),0,1)+IF(OR(COUNTA(AK1076:AM1076)=0,AND(COUNTA(AK1076:AM1076)=3,ISNUMBER(AM1076))),0,1)+IF(OR(COUNTA(AN1076:AP1076)=0,AND(COUNTA(AN1076:AP1076)=3,ISNUMBER(AP1076))),0,1)+IF(OR(COUNTA(AQ1076:AS1076)=0,AND(COUNTA(AQ1076:AS1076)=3,ISNUMBER(AS1076))),0,1)+IF(OR(COUNTA(AT1076:AV1076)=0,AND(COUNTA(AT1076:AV1076)=3,ISNUMBER(AV1076))),0,1)+IF(OR(COUNTA(AW1076:AY1076)=0,AND(COUNTA(AW1076:AY1076)=3,ISNUMBER(AY1076))),0,1)+IF(OR(COUNTA(AZ1076:BB1076)=0,AND(COUNTA(AZ1076:BB1076)=3,ISNUMBER(BB1076))),0,1))&gt;0,"; An invoice is incomplete (needs No, Date and a number in Ex GST)","")&amp;IF((IF(T1076="",0,IFERROR(--(EOMONTH(T1076,0)&lt;&gt;S$5),1))+IF(W1076="",0,IFERROR(--(EOMONTH(W1076,0)&lt;&gt;V$5),1))+IF(Z1076="",0,IFERROR(--(EOMONTH(Z1076,0)&lt;&gt;Y$5),1))+IF(AC1076="",0,IFERROR(--(EOMONTH(AC1076,0)&lt;&gt;AB$5),1))+IF(AF1076="",0,IFERROR(--(EOMONTH(AF1076,0)&lt;&gt;AE$5),1))+IF(AI1076="",0,IFERROR(--(EOMONTH(AI1076,0)&lt;&gt;AH$5),1))+IF(AL1076="",0,IFERROR(--(EOMONTH(AL1076,0)&lt;&gt;AK$5),1))+IF(AO1076="",0,IFERROR(--(EOMONTH(AO1076,0)&lt;&gt;AN$5),1))+IF(AR1076="",0,IFERROR(--(EOMONTH(AR1076,0)&lt;&gt;AQ$5),1))+IF(AU1076="",0,IFERROR(--(EOMONTH(AU1076,0)&lt;&gt;AT$5),1))+IF(AX1076="",0,IFERROR(--(EOMONTH(AX1076,0)&lt;&gt;AW$5),1))+IF(BA1076="",0,IFERROR(--(EOMONTH(BA1076,0)&lt;&gt;AZ$5),1)))&gt;0,"; An invoice date is not in the month it is typed under",""),3,500))</f>
        <v/>
      </c>
      <c r="S1076" s="12" t="n"/>
      <c r="T1076" s="13" t="n"/>
      <c r="U1076" s="14" t="n"/>
      <c r="V1076" s="12" t="n"/>
      <c r="W1076" s="13" t="n"/>
      <c r="X1076" s="14" t="n"/>
      <c r="Y1076" s="12" t="n"/>
      <c r="Z1076" s="13" t="n"/>
      <c r="AA1076" s="14" t="n"/>
      <c r="AB1076" s="12" t="n"/>
      <c r="AC1076" s="13" t="n"/>
      <c r="AD1076" s="14" t="n"/>
      <c r="AE1076" s="12" t="n"/>
      <c r="AF1076" s="13" t="n"/>
      <c r="AG1076" s="14" t="n"/>
      <c r="AH1076" s="12" t="n"/>
      <c r="AI1076" s="13" t="n"/>
      <c r="AJ1076" s="14" t="n"/>
      <c r="AK1076" s="12" t="n"/>
      <c r="AL1076" s="13" t="n"/>
      <c r="AM1076" s="14" t="n"/>
      <c r="AN1076" s="12" t="n"/>
      <c r="AO1076" s="13" t="n"/>
      <c r="AP1076" s="14" t="n"/>
      <c r="AQ1076" s="12" t="n"/>
      <c r="AR1076" s="13" t="n"/>
      <c r="AS1076" s="14" t="n"/>
      <c r="AT1076" s="12" t="n"/>
      <c r="AU1076" s="13" t="n"/>
      <c r="AV1076" s="14" t="n"/>
      <c r="AW1076" s="12" t="n"/>
      <c r="AX1076" s="13" t="n"/>
      <c r="AY1076" s="14" t="n"/>
      <c r="AZ1076" s="12" t="n"/>
      <c r="BA1076" s="13" t="n"/>
      <c r="BB1076" s="14" t="n"/>
      <c r="BC1076" s="11">
        <f>IF(O1076="","",IF(J1076="GST 10%",ROUND(O1076*set_GSTRate,2),0))</f>
        <v/>
      </c>
      <c r="BD1076" s="11">
        <f>IF(O1076="","",O1076+BC1076)</f>
        <v/>
      </c>
      <c r="BE1076" s="15">
        <f>IF(O1076="","",COUNTA(S1076,V1076,Y1076,AB1076,AE1076,AH1076,AK1076,AN1076,AQ1076,AT1076,AW1076,AZ1076))</f>
        <v/>
      </c>
      <c r="BF1076" s="16">
        <f>IF(COUNT(T1076,W1076,Z1076,AC1076,AF1076,AI1076,AL1076,AO1076,AR1076,AU1076,AX1076,BA1076)=0,"",MAX(T1076,W1076,Z1076,AC1076,AF1076,AI1076,AL1076,AO1076,AR1076,AU1076,AX1076,BA1076))</f>
        <v/>
      </c>
      <c r="BG1076" s="10">
        <f>MID(IF(S1076="","",", "&amp;S1076)&amp;IF(V1076="","",", "&amp;V1076)&amp;IF(Y1076="","",", "&amp;Y1076)&amp;IF(AB1076="","",", "&amp;AB1076)&amp;IF(AE1076="","",", "&amp;AE1076)&amp;IF(AH1076="","",", "&amp;AH1076)&amp;IF(AK1076="","",", "&amp;AK1076)&amp;IF(AN1076="","",", "&amp;AN1076)&amp;IF(AQ1076="","",", "&amp;AQ1076)&amp;IF(AT1076="","",", "&amp;AT1076)&amp;IF(AW1076="","",", "&amp;AW1076)&amp;IF(AZ1076="","",", "&amp;AZ1076),3,500)</f>
        <v/>
      </c>
      <c r="BH1076" s="12" t="n"/>
      <c r="BI1076" s="15">
        <f>IFERROR(MATCH($A1076,IF($B1076="Onsite",tbl_Onsite[Row ID],IF($B1076="Production",tbl_Production[Row ID],tbl_Consulting[Row ID])),0),"")</f>
        <v/>
      </c>
    </row>
    <row r="1077">
      <c r="A1077" s="10" t="inlineStr">
        <is>
          <t>CON-0071</t>
        </is>
      </c>
      <c r="B1077" s="10" t="inlineStr">
        <is>
          <t>Consulting</t>
        </is>
      </c>
      <c r="C1077" s="10">
        <f>IF($BI1077="","",IF($B1077="Onsite",INDEX(tbl_Onsite[Job Number],$BI1077),IF($B1077="Production",INDEX(tbl_Production[Job Number],$BI1077),INDEX(tbl_Consulting[Job Number],$BI1077)))&amp;"")</f>
        <v/>
      </c>
      <c r="D1077" s="10">
        <f>IF($BI1077="","",IF($B1077="Onsite",INDEX(tbl_Onsite[Client],$BI1077),IF($B1077="Production",INDEX(tbl_Production[Client],$BI1077),INDEX(tbl_Consulting[Client],$BI1077)))&amp;"")</f>
        <v/>
      </c>
      <c r="E1077" s="10">
        <f>IF($C1077="","",IF(COUNTIF(lst_Jobs,$C1077)&gt;0,"OK","CHECK"))</f>
        <v/>
      </c>
      <c r="F1077" s="10">
        <f>IF($C1077="","",IFERROR(INDEX(lst_JobName,MATCH($C1077,lst_Jobs,0)),""))</f>
        <v/>
      </c>
      <c r="G1077" s="10">
        <f>IF($BI1077="","",IF($B1077="Onsite",INDEX(tbl_Onsite[Job Description],$BI1077),IF($B1077="Production",INDEX(tbl_Production[Job Description],$BI1077),INDEX(tbl_Consulting[Job Description],$BI1077)))&amp;"")</f>
        <v/>
      </c>
      <c r="H1077" s="10">
        <f>IF($BI1077="","",IF($B1077="Onsite",INDEX(tbl_Onsite[Cost Centre],$BI1077),IF($B1077="Production",INDEX(tbl_Production[Cost Centre],$BI1077),INDEX(tbl_Consulting[Cost Centre],$BI1077)))&amp;"")</f>
        <v/>
      </c>
      <c r="I1077" s="10">
        <f>IF($BI1077="","",IF($B1077="Onsite",INDEX(tbl_Onsite[Invoice Type],$BI1077),IF($B1077="Production",INDEX(tbl_Production[Invoice Type],$BI1077),INDEX(tbl_Consulting[Invoice Type],$BI1077)))&amp;"")</f>
        <v/>
      </c>
      <c r="J1077" s="10">
        <f>IF($BI1077="","",IF($B1077="Onsite",INDEX(tbl_Onsite[Tax Code],$BI1077),IF($B1077="Production",INDEX(tbl_Production[Tax Code],$BI1077),INDEX(tbl_Consulting[Tax Code],$BI1077)))&amp;"")</f>
        <v/>
      </c>
      <c r="K1077" s="10">
        <f>IF(H1077="","",IFERROR(INDEX(lst_CCtoGL,MATCH(H1077,lst_CCforGL,0)),""))</f>
        <v/>
      </c>
      <c r="L1077" s="10">
        <f>IF($BI1077="","",IF($B1077="Onsite",INDEX(tbl_Onsite[PO / Reference],$BI1077),IF($B1077="Production",INDEX(tbl_Production[Current RMS No],$BI1077),INDEX(tbl_Consulting[Qwilr Quote],$BI1077)))&amp;"")</f>
        <v/>
      </c>
      <c r="M1077" s="10">
        <f>IF($BI1077="","",IF($B1077="Onsite",INDEX(tbl_Onsite[Notes],$BI1077),IF($B1077="Production",INDEX(tbl_Production[Notes],$BI1077),INDEX(tbl_Consulting[Notes],$BI1077)))&amp;"")</f>
        <v/>
      </c>
      <c r="N1077" s="11">
        <f>IF($BI1077="","",IF(IF($B1077="Onsite",INDEX(tbl_Onsite[Expected Revenue Ex GST],$BI1077),IF($B1077="Production",INDEX(tbl_Production[Expected Revenue Ex GST],$BI1077),INDEX(tbl_Consulting[Expected Revenue Ex GST],$BI1077)))="","",IF($B1077="Onsite",INDEX(tbl_Onsite[Expected Revenue Ex GST],$BI1077),IF($B1077="Production",INDEX(tbl_Production[Expected Revenue Ex GST],$BI1077),INDEX(tbl_Consulting[Expected Revenue Ex GST],$BI1077)))))</f>
        <v/>
      </c>
      <c r="O1077" s="11">
        <f>IF(AND($C1077="",NOT(COUNTA($S1077:$BB1077)&gt;0)),"",SUM(U1077,X1077,AA1077,AD1077,AG1077,AJ1077,AM1077,AP1077,AS1077,AV1077,AY1077,BB1077))</f>
        <v/>
      </c>
      <c r="P1077" s="11">
        <f>IF(O1077="","",N(N1077)-O1077)</f>
        <v/>
      </c>
      <c r="Q1077" s="10">
        <f>IF(O1077="","",IF($C1077="","Invoice on empty job row",IF(N1077="",IF(ROUND(O1077,2)=0,"No dept value","Invoiced - no dept value"),IF(ROUND(O1077,2)=0,"Not invoiced - to invoice",IF(ROUND(P1077,2)=0,"Agrees",IF(P1077&gt;0,"Dept higher - to invoice","Xero higher - check dept"))))))</f>
        <v/>
      </c>
      <c r="R1077" s="10">
        <f>IF(AND($C1077="",NOT(COUNTA($S1077:$BB1077)&gt;0),$BI1077&lt;&gt;""),"",MID(IF($BI1077="","; Row ID not found on the department sheet - a row was deleted","")&amp;IF(AND($C1077="",COUNTA($S1077:$BB1077)&gt;0),"; Invoice entered but the department row has no job number","")&amp;IF(E1077="CHECK","; Job number not in the Xero job list","")&amp;IF(AND($C1077&lt;&gt;"",COUNTIF($C$7:$C$1506,$C1077)&gt;1),"; Job number on more than one row","")&amp;IF(AND($C1077&lt;&gt;"",H1077=""),"; Dept has not set a cost centre","")&amp;IF(AND($C1077&lt;&gt;"",J1077=""),"; Dept has not set a tax code","")&amp;IF(AND($C1077&lt;&gt;"",N1077=""),"; Dept has not entered an expected value","")&amp;IF((IF(OR(COUNTA(S1077:U1077)=0,AND(COUNTA(S1077:U1077)=3,ISNUMBER(U1077))),0,1)+IF(OR(COUNTA(V1077:X1077)=0,AND(COUNTA(V1077:X1077)=3,ISNUMBER(X1077))),0,1)+IF(OR(COUNTA(Y1077:AA1077)=0,AND(COUNTA(Y1077:AA1077)=3,ISNUMBER(AA1077))),0,1)+IF(OR(COUNTA(AB1077:AD1077)=0,AND(COUNTA(AB1077:AD1077)=3,ISNUMBER(AD1077))),0,1)+IF(OR(COUNTA(AE1077:AG1077)=0,AND(COUNTA(AE1077:AG1077)=3,ISNUMBER(AG1077))),0,1)+IF(OR(COUNTA(AH1077:AJ1077)=0,AND(COUNTA(AH1077:AJ1077)=3,ISNUMBER(AJ1077))),0,1)+IF(OR(COUNTA(AK1077:AM1077)=0,AND(COUNTA(AK1077:AM1077)=3,ISNUMBER(AM1077))),0,1)+IF(OR(COUNTA(AN1077:AP1077)=0,AND(COUNTA(AN1077:AP1077)=3,ISNUMBER(AP1077))),0,1)+IF(OR(COUNTA(AQ1077:AS1077)=0,AND(COUNTA(AQ1077:AS1077)=3,ISNUMBER(AS1077))),0,1)+IF(OR(COUNTA(AT1077:AV1077)=0,AND(COUNTA(AT1077:AV1077)=3,ISNUMBER(AV1077))),0,1)+IF(OR(COUNTA(AW1077:AY1077)=0,AND(COUNTA(AW1077:AY1077)=3,ISNUMBER(AY1077))),0,1)+IF(OR(COUNTA(AZ1077:BB1077)=0,AND(COUNTA(AZ1077:BB1077)=3,ISNUMBER(BB1077))),0,1))&gt;0,"; An invoice is incomplete (needs No, Date and a number in Ex GST)","")&amp;IF((IF(T1077="",0,IFERROR(--(EOMONTH(T1077,0)&lt;&gt;S$5),1))+IF(W1077="",0,IFERROR(--(EOMONTH(W1077,0)&lt;&gt;V$5),1))+IF(Z1077="",0,IFERROR(--(EOMONTH(Z1077,0)&lt;&gt;Y$5),1))+IF(AC1077="",0,IFERROR(--(EOMONTH(AC1077,0)&lt;&gt;AB$5),1))+IF(AF1077="",0,IFERROR(--(EOMONTH(AF1077,0)&lt;&gt;AE$5),1))+IF(AI1077="",0,IFERROR(--(EOMONTH(AI1077,0)&lt;&gt;AH$5),1))+IF(AL1077="",0,IFERROR(--(EOMONTH(AL1077,0)&lt;&gt;AK$5),1))+IF(AO1077="",0,IFERROR(--(EOMONTH(AO1077,0)&lt;&gt;AN$5),1))+IF(AR1077="",0,IFERROR(--(EOMONTH(AR1077,0)&lt;&gt;AQ$5),1))+IF(AU1077="",0,IFERROR(--(EOMONTH(AU1077,0)&lt;&gt;AT$5),1))+IF(AX1077="",0,IFERROR(--(EOMONTH(AX1077,0)&lt;&gt;AW$5),1))+IF(BA1077="",0,IFERROR(--(EOMONTH(BA1077,0)&lt;&gt;AZ$5),1)))&gt;0,"; An invoice date is not in the month it is typed under",""),3,500))</f>
        <v/>
      </c>
      <c r="S1077" s="12" t="n"/>
      <c r="T1077" s="13" t="n"/>
      <c r="U1077" s="14" t="n"/>
      <c r="V1077" s="12" t="n"/>
      <c r="W1077" s="13" t="n"/>
      <c r="X1077" s="14" t="n"/>
      <c r="Y1077" s="12" t="n"/>
      <c r="Z1077" s="13" t="n"/>
      <c r="AA1077" s="14" t="n"/>
      <c r="AB1077" s="12" t="n"/>
      <c r="AC1077" s="13" t="n"/>
      <c r="AD1077" s="14" t="n"/>
      <c r="AE1077" s="12" t="n"/>
      <c r="AF1077" s="13" t="n"/>
      <c r="AG1077" s="14" t="n"/>
      <c r="AH1077" s="12" t="n"/>
      <c r="AI1077" s="13" t="n"/>
      <c r="AJ1077" s="14" t="n"/>
      <c r="AK1077" s="12" t="n"/>
      <c r="AL1077" s="13" t="n"/>
      <c r="AM1077" s="14" t="n"/>
      <c r="AN1077" s="12" t="n"/>
      <c r="AO1077" s="13" t="n"/>
      <c r="AP1077" s="14" t="n"/>
      <c r="AQ1077" s="12" t="n"/>
      <c r="AR1077" s="13" t="n"/>
      <c r="AS1077" s="14" t="n"/>
      <c r="AT1077" s="12" t="n"/>
      <c r="AU1077" s="13" t="n"/>
      <c r="AV1077" s="14" t="n"/>
      <c r="AW1077" s="12" t="n"/>
      <c r="AX1077" s="13" t="n"/>
      <c r="AY1077" s="14" t="n"/>
      <c r="AZ1077" s="12" t="n"/>
      <c r="BA1077" s="13" t="n"/>
      <c r="BB1077" s="14" t="n"/>
      <c r="BC1077" s="11">
        <f>IF(O1077="","",IF(J1077="GST 10%",ROUND(O1077*set_GSTRate,2),0))</f>
        <v/>
      </c>
      <c r="BD1077" s="11">
        <f>IF(O1077="","",O1077+BC1077)</f>
        <v/>
      </c>
      <c r="BE1077" s="15">
        <f>IF(O1077="","",COUNTA(S1077,V1077,Y1077,AB1077,AE1077,AH1077,AK1077,AN1077,AQ1077,AT1077,AW1077,AZ1077))</f>
        <v/>
      </c>
      <c r="BF1077" s="16">
        <f>IF(COUNT(T1077,W1077,Z1077,AC1077,AF1077,AI1077,AL1077,AO1077,AR1077,AU1077,AX1077,BA1077)=0,"",MAX(T1077,W1077,Z1077,AC1077,AF1077,AI1077,AL1077,AO1077,AR1077,AU1077,AX1077,BA1077))</f>
        <v/>
      </c>
      <c r="BG1077" s="10">
        <f>MID(IF(S1077="","",", "&amp;S1077)&amp;IF(V1077="","",", "&amp;V1077)&amp;IF(Y1077="","",", "&amp;Y1077)&amp;IF(AB1077="","",", "&amp;AB1077)&amp;IF(AE1077="","",", "&amp;AE1077)&amp;IF(AH1077="","",", "&amp;AH1077)&amp;IF(AK1077="","",", "&amp;AK1077)&amp;IF(AN1077="","",", "&amp;AN1077)&amp;IF(AQ1077="","",", "&amp;AQ1077)&amp;IF(AT1077="","",", "&amp;AT1077)&amp;IF(AW1077="","",", "&amp;AW1077)&amp;IF(AZ1077="","",", "&amp;AZ1077),3,500)</f>
        <v/>
      </c>
      <c r="BH1077" s="12" t="n"/>
      <c r="BI1077" s="15">
        <f>IFERROR(MATCH($A1077,IF($B1077="Onsite",tbl_Onsite[Row ID],IF($B1077="Production",tbl_Production[Row ID],tbl_Consulting[Row ID])),0),"")</f>
        <v/>
      </c>
    </row>
    <row r="1078">
      <c r="A1078" s="10" t="inlineStr">
        <is>
          <t>CON-0072</t>
        </is>
      </c>
      <c r="B1078" s="10" t="inlineStr">
        <is>
          <t>Consulting</t>
        </is>
      </c>
      <c r="C1078" s="10">
        <f>IF($BI1078="","",IF($B1078="Onsite",INDEX(tbl_Onsite[Job Number],$BI1078),IF($B1078="Production",INDEX(tbl_Production[Job Number],$BI1078),INDEX(tbl_Consulting[Job Number],$BI1078)))&amp;"")</f>
        <v/>
      </c>
      <c r="D1078" s="10">
        <f>IF($BI1078="","",IF($B1078="Onsite",INDEX(tbl_Onsite[Client],$BI1078),IF($B1078="Production",INDEX(tbl_Production[Client],$BI1078),INDEX(tbl_Consulting[Client],$BI1078)))&amp;"")</f>
        <v/>
      </c>
      <c r="E1078" s="10">
        <f>IF($C1078="","",IF(COUNTIF(lst_Jobs,$C1078)&gt;0,"OK","CHECK"))</f>
        <v/>
      </c>
      <c r="F1078" s="10">
        <f>IF($C1078="","",IFERROR(INDEX(lst_JobName,MATCH($C1078,lst_Jobs,0)),""))</f>
        <v/>
      </c>
      <c r="G1078" s="10">
        <f>IF($BI1078="","",IF($B1078="Onsite",INDEX(tbl_Onsite[Job Description],$BI1078),IF($B1078="Production",INDEX(tbl_Production[Job Description],$BI1078),INDEX(tbl_Consulting[Job Description],$BI1078)))&amp;"")</f>
        <v/>
      </c>
      <c r="H1078" s="10">
        <f>IF($BI1078="","",IF($B1078="Onsite",INDEX(tbl_Onsite[Cost Centre],$BI1078),IF($B1078="Production",INDEX(tbl_Production[Cost Centre],$BI1078),INDEX(tbl_Consulting[Cost Centre],$BI1078)))&amp;"")</f>
        <v/>
      </c>
      <c r="I1078" s="10">
        <f>IF($BI1078="","",IF($B1078="Onsite",INDEX(tbl_Onsite[Invoice Type],$BI1078),IF($B1078="Production",INDEX(tbl_Production[Invoice Type],$BI1078),INDEX(tbl_Consulting[Invoice Type],$BI1078)))&amp;"")</f>
        <v/>
      </c>
      <c r="J1078" s="10">
        <f>IF($BI1078="","",IF($B1078="Onsite",INDEX(tbl_Onsite[Tax Code],$BI1078),IF($B1078="Production",INDEX(tbl_Production[Tax Code],$BI1078),INDEX(tbl_Consulting[Tax Code],$BI1078)))&amp;"")</f>
        <v/>
      </c>
      <c r="K1078" s="10">
        <f>IF(H1078="","",IFERROR(INDEX(lst_CCtoGL,MATCH(H1078,lst_CCforGL,0)),""))</f>
        <v/>
      </c>
      <c r="L1078" s="10">
        <f>IF($BI1078="","",IF($B1078="Onsite",INDEX(tbl_Onsite[PO / Reference],$BI1078),IF($B1078="Production",INDEX(tbl_Production[Current RMS No],$BI1078),INDEX(tbl_Consulting[Qwilr Quote],$BI1078)))&amp;"")</f>
        <v/>
      </c>
      <c r="M1078" s="10">
        <f>IF($BI1078="","",IF($B1078="Onsite",INDEX(tbl_Onsite[Notes],$BI1078),IF($B1078="Production",INDEX(tbl_Production[Notes],$BI1078),INDEX(tbl_Consulting[Notes],$BI1078)))&amp;"")</f>
        <v/>
      </c>
      <c r="N1078" s="11">
        <f>IF($BI1078="","",IF(IF($B1078="Onsite",INDEX(tbl_Onsite[Expected Revenue Ex GST],$BI1078),IF($B1078="Production",INDEX(tbl_Production[Expected Revenue Ex GST],$BI1078),INDEX(tbl_Consulting[Expected Revenue Ex GST],$BI1078)))="","",IF($B1078="Onsite",INDEX(tbl_Onsite[Expected Revenue Ex GST],$BI1078),IF($B1078="Production",INDEX(tbl_Production[Expected Revenue Ex GST],$BI1078),INDEX(tbl_Consulting[Expected Revenue Ex GST],$BI1078)))))</f>
        <v/>
      </c>
      <c r="O1078" s="11">
        <f>IF(AND($C1078="",NOT(COUNTA($S1078:$BB1078)&gt;0)),"",SUM(U1078,X1078,AA1078,AD1078,AG1078,AJ1078,AM1078,AP1078,AS1078,AV1078,AY1078,BB1078))</f>
        <v/>
      </c>
      <c r="P1078" s="11">
        <f>IF(O1078="","",N(N1078)-O1078)</f>
        <v/>
      </c>
      <c r="Q1078" s="10">
        <f>IF(O1078="","",IF($C1078="","Invoice on empty job row",IF(N1078="",IF(ROUND(O1078,2)=0,"No dept value","Invoiced - no dept value"),IF(ROUND(O1078,2)=0,"Not invoiced - to invoice",IF(ROUND(P1078,2)=0,"Agrees",IF(P1078&gt;0,"Dept higher - to invoice","Xero higher - check dept"))))))</f>
        <v/>
      </c>
      <c r="R1078" s="10">
        <f>IF(AND($C1078="",NOT(COUNTA($S1078:$BB1078)&gt;0),$BI1078&lt;&gt;""),"",MID(IF($BI1078="","; Row ID not found on the department sheet - a row was deleted","")&amp;IF(AND($C1078="",COUNTA($S1078:$BB1078)&gt;0),"; Invoice entered but the department row has no job number","")&amp;IF(E1078="CHECK","; Job number not in the Xero job list","")&amp;IF(AND($C1078&lt;&gt;"",COUNTIF($C$7:$C$1506,$C1078)&gt;1),"; Job number on more than one row","")&amp;IF(AND($C1078&lt;&gt;"",H1078=""),"; Dept has not set a cost centre","")&amp;IF(AND($C1078&lt;&gt;"",J1078=""),"; Dept has not set a tax code","")&amp;IF(AND($C1078&lt;&gt;"",N1078=""),"; Dept has not entered an expected value","")&amp;IF((IF(OR(COUNTA(S1078:U1078)=0,AND(COUNTA(S1078:U1078)=3,ISNUMBER(U1078))),0,1)+IF(OR(COUNTA(V1078:X1078)=0,AND(COUNTA(V1078:X1078)=3,ISNUMBER(X1078))),0,1)+IF(OR(COUNTA(Y1078:AA1078)=0,AND(COUNTA(Y1078:AA1078)=3,ISNUMBER(AA1078))),0,1)+IF(OR(COUNTA(AB1078:AD1078)=0,AND(COUNTA(AB1078:AD1078)=3,ISNUMBER(AD1078))),0,1)+IF(OR(COUNTA(AE1078:AG1078)=0,AND(COUNTA(AE1078:AG1078)=3,ISNUMBER(AG1078))),0,1)+IF(OR(COUNTA(AH1078:AJ1078)=0,AND(COUNTA(AH1078:AJ1078)=3,ISNUMBER(AJ1078))),0,1)+IF(OR(COUNTA(AK1078:AM1078)=0,AND(COUNTA(AK1078:AM1078)=3,ISNUMBER(AM1078))),0,1)+IF(OR(COUNTA(AN1078:AP1078)=0,AND(COUNTA(AN1078:AP1078)=3,ISNUMBER(AP1078))),0,1)+IF(OR(COUNTA(AQ1078:AS1078)=0,AND(COUNTA(AQ1078:AS1078)=3,ISNUMBER(AS1078))),0,1)+IF(OR(COUNTA(AT1078:AV1078)=0,AND(COUNTA(AT1078:AV1078)=3,ISNUMBER(AV1078))),0,1)+IF(OR(COUNTA(AW1078:AY1078)=0,AND(COUNTA(AW1078:AY1078)=3,ISNUMBER(AY1078))),0,1)+IF(OR(COUNTA(AZ1078:BB1078)=0,AND(COUNTA(AZ1078:BB1078)=3,ISNUMBER(BB1078))),0,1))&gt;0,"; An invoice is incomplete (needs No, Date and a number in Ex GST)","")&amp;IF((IF(T1078="",0,IFERROR(--(EOMONTH(T1078,0)&lt;&gt;S$5),1))+IF(W1078="",0,IFERROR(--(EOMONTH(W1078,0)&lt;&gt;V$5),1))+IF(Z1078="",0,IFERROR(--(EOMONTH(Z1078,0)&lt;&gt;Y$5),1))+IF(AC1078="",0,IFERROR(--(EOMONTH(AC1078,0)&lt;&gt;AB$5),1))+IF(AF1078="",0,IFERROR(--(EOMONTH(AF1078,0)&lt;&gt;AE$5),1))+IF(AI1078="",0,IFERROR(--(EOMONTH(AI1078,0)&lt;&gt;AH$5),1))+IF(AL1078="",0,IFERROR(--(EOMONTH(AL1078,0)&lt;&gt;AK$5),1))+IF(AO1078="",0,IFERROR(--(EOMONTH(AO1078,0)&lt;&gt;AN$5),1))+IF(AR1078="",0,IFERROR(--(EOMONTH(AR1078,0)&lt;&gt;AQ$5),1))+IF(AU1078="",0,IFERROR(--(EOMONTH(AU1078,0)&lt;&gt;AT$5),1))+IF(AX1078="",0,IFERROR(--(EOMONTH(AX1078,0)&lt;&gt;AW$5),1))+IF(BA1078="",0,IFERROR(--(EOMONTH(BA1078,0)&lt;&gt;AZ$5),1)))&gt;0,"; An invoice date is not in the month it is typed under",""),3,500))</f>
        <v/>
      </c>
      <c r="S1078" s="12" t="n"/>
      <c r="T1078" s="13" t="n"/>
      <c r="U1078" s="14" t="n"/>
      <c r="V1078" s="12" t="n"/>
      <c r="W1078" s="13" t="n"/>
      <c r="X1078" s="14" t="n"/>
      <c r="Y1078" s="12" t="n"/>
      <c r="Z1078" s="13" t="n"/>
      <c r="AA1078" s="14" t="n"/>
      <c r="AB1078" s="12" t="n"/>
      <c r="AC1078" s="13" t="n"/>
      <c r="AD1078" s="14" t="n"/>
      <c r="AE1078" s="12" t="n"/>
      <c r="AF1078" s="13" t="n"/>
      <c r="AG1078" s="14" t="n"/>
      <c r="AH1078" s="12" t="n"/>
      <c r="AI1078" s="13" t="n"/>
      <c r="AJ1078" s="14" t="n"/>
      <c r="AK1078" s="12" t="n"/>
      <c r="AL1078" s="13" t="n"/>
      <c r="AM1078" s="14" t="n"/>
      <c r="AN1078" s="12" t="n"/>
      <c r="AO1078" s="13" t="n"/>
      <c r="AP1078" s="14" t="n"/>
      <c r="AQ1078" s="12" t="n"/>
      <c r="AR1078" s="13" t="n"/>
      <c r="AS1078" s="14" t="n"/>
      <c r="AT1078" s="12" t="n"/>
      <c r="AU1078" s="13" t="n"/>
      <c r="AV1078" s="14" t="n"/>
      <c r="AW1078" s="12" t="n"/>
      <c r="AX1078" s="13" t="n"/>
      <c r="AY1078" s="14" t="n"/>
      <c r="AZ1078" s="12" t="n"/>
      <c r="BA1078" s="13" t="n"/>
      <c r="BB1078" s="14" t="n"/>
      <c r="BC1078" s="11">
        <f>IF(O1078="","",IF(J1078="GST 10%",ROUND(O1078*set_GSTRate,2),0))</f>
        <v/>
      </c>
      <c r="BD1078" s="11">
        <f>IF(O1078="","",O1078+BC1078)</f>
        <v/>
      </c>
      <c r="BE1078" s="15">
        <f>IF(O1078="","",COUNTA(S1078,V1078,Y1078,AB1078,AE1078,AH1078,AK1078,AN1078,AQ1078,AT1078,AW1078,AZ1078))</f>
        <v/>
      </c>
      <c r="BF1078" s="16">
        <f>IF(COUNT(T1078,W1078,Z1078,AC1078,AF1078,AI1078,AL1078,AO1078,AR1078,AU1078,AX1078,BA1078)=0,"",MAX(T1078,W1078,Z1078,AC1078,AF1078,AI1078,AL1078,AO1078,AR1078,AU1078,AX1078,BA1078))</f>
        <v/>
      </c>
      <c r="BG1078" s="10">
        <f>MID(IF(S1078="","",", "&amp;S1078)&amp;IF(V1078="","",", "&amp;V1078)&amp;IF(Y1078="","",", "&amp;Y1078)&amp;IF(AB1078="","",", "&amp;AB1078)&amp;IF(AE1078="","",", "&amp;AE1078)&amp;IF(AH1078="","",", "&amp;AH1078)&amp;IF(AK1078="","",", "&amp;AK1078)&amp;IF(AN1078="","",", "&amp;AN1078)&amp;IF(AQ1078="","",", "&amp;AQ1078)&amp;IF(AT1078="","",", "&amp;AT1078)&amp;IF(AW1078="","",", "&amp;AW1078)&amp;IF(AZ1078="","",", "&amp;AZ1078),3,500)</f>
        <v/>
      </c>
      <c r="BH1078" s="12" t="n"/>
      <c r="BI1078" s="15">
        <f>IFERROR(MATCH($A1078,IF($B1078="Onsite",tbl_Onsite[Row ID],IF($B1078="Production",tbl_Production[Row ID],tbl_Consulting[Row ID])),0),"")</f>
        <v/>
      </c>
    </row>
    <row r="1079">
      <c r="A1079" s="10" t="inlineStr">
        <is>
          <t>CON-0073</t>
        </is>
      </c>
      <c r="B1079" s="10" t="inlineStr">
        <is>
          <t>Consulting</t>
        </is>
      </c>
      <c r="C1079" s="10">
        <f>IF($BI1079="","",IF($B1079="Onsite",INDEX(tbl_Onsite[Job Number],$BI1079),IF($B1079="Production",INDEX(tbl_Production[Job Number],$BI1079),INDEX(tbl_Consulting[Job Number],$BI1079)))&amp;"")</f>
        <v/>
      </c>
      <c r="D1079" s="10">
        <f>IF($BI1079="","",IF($B1079="Onsite",INDEX(tbl_Onsite[Client],$BI1079),IF($B1079="Production",INDEX(tbl_Production[Client],$BI1079),INDEX(tbl_Consulting[Client],$BI1079)))&amp;"")</f>
        <v/>
      </c>
      <c r="E1079" s="10">
        <f>IF($C1079="","",IF(COUNTIF(lst_Jobs,$C1079)&gt;0,"OK","CHECK"))</f>
        <v/>
      </c>
      <c r="F1079" s="10">
        <f>IF($C1079="","",IFERROR(INDEX(lst_JobName,MATCH($C1079,lst_Jobs,0)),""))</f>
        <v/>
      </c>
      <c r="G1079" s="10">
        <f>IF($BI1079="","",IF($B1079="Onsite",INDEX(tbl_Onsite[Job Description],$BI1079),IF($B1079="Production",INDEX(tbl_Production[Job Description],$BI1079),INDEX(tbl_Consulting[Job Description],$BI1079)))&amp;"")</f>
        <v/>
      </c>
      <c r="H1079" s="10">
        <f>IF($BI1079="","",IF($B1079="Onsite",INDEX(tbl_Onsite[Cost Centre],$BI1079),IF($B1079="Production",INDEX(tbl_Production[Cost Centre],$BI1079),INDEX(tbl_Consulting[Cost Centre],$BI1079)))&amp;"")</f>
        <v/>
      </c>
      <c r="I1079" s="10">
        <f>IF($BI1079="","",IF($B1079="Onsite",INDEX(tbl_Onsite[Invoice Type],$BI1079),IF($B1079="Production",INDEX(tbl_Production[Invoice Type],$BI1079),INDEX(tbl_Consulting[Invoice Type],$BI1079)))&amp;"")</f>
        <v/>
      </c>
      <c r="J1079" s="10">
        <f>IF($BI1079="","",IF($B1079="Onsite",INDEX(tbl_Onsite[Tax Code],$BI1079),IF($B1079="Production",INDEX(tbl_Production[Tax Code],$BI1079),INDEX(tbl_Consulting[Tax Code],$BI1079)))&amp;"")</f>
        <v/>
      </c>
      <c r="K1079" s="10">
        <f>IF(H1079="","",IFERROR(INDEX(lst_CCtoGL,MATCH(H1079,lst_CCforGL,0)),""))</f>
        <v/>
      </c>
      <c r="L1079" s="10">
        <f>IF($BI1079="","",IF($B1079="Onsite",INDEX(tbl_Onsite[PO / Reference],$BI1079),IF($B1079="Production",INDEX(tbl_Production[Current RMS No],$BI1079),INDEX(tbl_Consulting[Qwilr Quote],$BI1079)))&amp;"")</f>
        <v/>
      </c>
      <c r="M1079" s="10">
        <f>IF($BI1079="","",IF($B1079="Onsite",INDEX(tbl_Onsite[Notes],$BI1079),IF($B1079="Production",INDEX(tbl_Production[Notes],$BI1079),INDEX(tbl_Consulting[Notes],$BI1079)))&amp;"")</f>
        <v/>
      </c>
      <c r="N1079" s="11">
        <f>IF($BI1079="","",IF(IF($B1079="Onsite",INDEX(tbl_Onsite[Expected Revenue Ex GST],$BI1079),IF($B1079="Production",INDEX(tbl_Production[Expected Revenue Ex GST],$BI1079),INDEX(tbl_Consulting[Expected Revenue Ex GST],$BI1079)))="","",IF($B1079="Onsite",INDEX(tbl_Onsite[Expected Revenue Ex GST],$BI1079),IF($B1079="Production",INDEX(tbl_Production[Expected Revenue Ex GST],$BI1079),INDEX(tbl_Consulting[Expected Revenue Ex GST],$BI1079)))))</f>
        <v/>
      </c>
      <c r="O1079" s="11">
        <f>IF(AND($C1079="",NOT(COUNTA($S1079:$BB1079)&gt;0)),"",SUM(U1079,X1079,AA1079,AD1079,AG1079,AJ1079,AM1079,AP1079,AS1079,AV1079,AY1079,BB1079))</f>
        <v/>
      </c>
      <c r="P1079" s="11">
        <f>IF(O1079="","",N(N1079)-O1079)</f>
        <v/>
      </c>
      <c r="Q1079" s="10">
        <f>IF(O1079="","",IF($C1079="","Invoice on empty job row",IF(N1079="",IF(ROUND(O1079,2)=0,"No dept value","Invoiced - no dept value"),IF(ROUND(O1079,2)=0,"Not invoiced - to invoice",IF(ROUND(P1079,2)=0,"Agrees",IF(P1079&gt;0,"Dept higher - to invoice","Xero higher - check dept"))))))</f>
        <v/>
      </c>
      <c r="R1079" s="10">
        <f>IF(AND($C1079="",NOT(COUNTA($S1079:$BB1079)&gt;0),$BI1079&lt;&gt;""),"",MID(IF($BI1079="","; Row ID not found on the department sheet - a row was deleted","")&amp;IF(AND($C1079="",COUNTA($S1079:$BB1079)&gt;0),"; Invoice entered but the department row has no job number","")&amp;IF(E1079="CHECK","; Job number not in the Xero job list","")&amp;IF(AND($C1079&lt;&gt;"",COUNTIF($C$7:$C$1506,$C1079)&gt;1),"; Job number on more than one row","")&amp;IF(AND($C1079&lt;&gt;"",H1079=""),"; Dept has not set a cost centre","")&amp;IF(AND($C1079&lt;&gt;"",J1079=""),"; Dept has not set a tax code","")&amp;IF(AND($C1079&lt;&gt;"",N1079=""),"; Dept has not entered an expected value","")&amp;IF((IF(OR(COUNTA(S1079:U1079)=0,AND(COUNTA(S1079:U1079)=3,ISNUMBER(U1079))),0,1)+IF(OR(COUNTA(V1079:X1079)=0,AND(COUNTA(V1079:X1079)=3,ISNUMBER(X1079))),0,1)+IF(OR(COUNTA(Y1079:AA1079)=0,AND(COUNTA(Y1079:AA1079)=3,ISNUMBER(AA1079))),0,1)+IF(OR(COUNTA(AB1079:AD1079)=0,AND(COUNTA(AB1079:AD1079)=3,ISNUMBER(AD1079))),0,1)+IF(OR(COUNTA(AE1079:AG1079)=0,AND(COUNTA(AE1079:AG1079)=3,ISNUMBER(AG1079))),0,1)+IF(OR(COUNTA(AH1079:AJ1079)=0,AND(COUNTA(AH1079:AJ1079)=3,ISNUMBER(AJ1079))),0,1)+IF(OR(COUNTA(AK1079:AM1079)=0,AND(COUNTA(AK1079:AM1079)=3,ISNUMBER(AM1079))),0,1)+IF(OR(COUNTA(AN1079:AP1079)=0,AND(COUNTA(AN1079:AP1079)=3,ISNUMBER(AP1079))),0,1)+IF(OR(COUNTA(AQ1079:AS1079)=0,AND(COUNTA(AQ1079:AS1079)=3,ISNUMBER(AS1079))),0,1)+IF(OR(COUNTA(AT1079:AV1079)=0,AND(COUNTA(AT1079:AV1079)=3,ISNUMBER(AV1079))),0,1)+IF(OR(COUNTA(AW1079:AY1079)=0,AND(COUNTA(AW1079:AY1079)=3,ISNUMBER(AY1079))),0,1)+IF(OR(COUNTA(AZ1079:BB1079)=0,AND(COUNTA(AZ1079:BB1079)=3,ISNUMBER(BB1079))),0,1))&gt;0,"; An invoice is incomplete (needs No, Date and a number in Ex GST)","")&amp;IF((IF(T1079="",0,IFERROR(--(EOMONTH(T1079,0)&lt;&gt;S$5),1))+IF(W1079="",0,IFERROR(--(EOMONTH(W1079,0)&lt;&gt;V$5),1))+IF(Z1079="",0,IFERROR(--(EOMONTH(Z1079,0)&lt;&gt;Y$5),1))+IF(AC1079="",0,IFERROR(--(EOMONTH(AC1079,0)&lt;&gt;AB$5),1))+IF(AF1079="",0,IFERROR(--(EOMONTH(AF1079,0)&lt;&gt;AE$5),1))+IF(AI1079="",0,IFERROR(--(EOMONTH(AI1079,0)&lt;&gt;AH$5),1))+IF(AL1079="",0,IFERROR(--(EOMONTH(AL1079,0)&lt;&gt;AK$5),1))+IF(AO1079="",0,IFERROR(--(EOMONTH(AO1079,0)&lt;&gt;AN$5),1))+IF(AR1079="",0,IFERROR(--(EOMONTH(AR1079,0)&lt;&gt;AQ$5),1))+IF(AU1079="",0,IFERROR(--(EOMONTH(AU1079,0)&lt;&gt;AT$5),1))+IF(AX1079="",0,IFERROR(--(EOMONTH(AX1079,0)&lt;&gt;AW$5),1))+IF(BA1079="",0,IFERROR(--(EOMONTH(BA1079,0)&lt;&gt;AZ$5),1)))&gt;0,"; An invoice date is not in the month it is typed under",""),3,500))</f>
        <v/>
      </c>
      <c r="S1079" s="12" t="n"/>
      <c r="T1079" s="13" t="n"/>
      <c r="U1079" s="14" t="n"/>
      <c r="V1079" s="12" t="n"/>
      <c r="W1079" s="13" t="n"/>
      <c r="X1079" s="14" t="n"/>
      <c r="Y1079" s="12" t="n"/>
      <c r="Z1079" s="13" t="n"/>
      <c r="AA1079" s="14" t="n"/>
      <c r="AB1079" s="12" t="n"/>
      <c r="AC1079" s="13" t="n"/>
      <c r="AD1079" s="14" t="n"/>
      <c r="AE1079" s="12" t="n"/>
      <c r="AF1079" s="13" t="n"/>
      <c r="AG1079" s="14" t="n"/>
      <c r="AH1079" s="12" t="n"/>
      <c r="AI1079" s="13" t="n"/>
      <c r="AJ1079" s="14" t="n"/>
      <c r="AK1079" s="12" t="n"/>
      <c r="AL1079" s="13" t="n"/>
      <c r="AM1079" s="14" t="n"/>
      <c r="AN1079" s="12" t="n"/>
      <c r="AO1079" s="13" t="n"/>
      <c r="AP1079" s="14" t="n"/>
      <c r="AQ1079" s="12" t="n"/>
      <c r="AR1079" s="13" t="n"/>
      <c r="AS1079" s="14" t="n"/>
      <c r="AT1079" s="12" t="n"/>
      <c r="AU1079" s="13" t="n"/>
      <c r="AV1079" s="14" t="n"/>
      <c r="AW1079" s="12" t="n"/>
      <c r="AX1079" s="13" t="n"/>
      <c r="AY1079" s="14" t="n"/>
      <c r="AZ1079" s="12" t="n"/>
      <c r="BA1079" s="13" t="n"/>
      <c r="BB1079" s="14" t="n"/>
      <c r="BC1079" s="11">
        <f>IF(O1079="","",IF(J1079="GST 10%",ROUND(O1079*set_GSTRate,2),0))</f>
        <v/>
      </c>
      <c r="BD1079" s="11">
        <f>IF(O1079="","",O1079+BC1079)</f>
        <v/>
      </c>
      <c r="BE1079" s="15">
        <f>IF(O1079="","",COUNTA(S1079,V1079,Y1079,AB1079,AE1079,AH1079,AK1079,AN1079,AQ1079,AT1079,AW1079,AZ1079))</f>
        <v/>
      </c>
      <c r="BF1079" s="16">
        <f>IF(COUNT(T1079,W1079,Z1079,AC1079,AF1079,AI1079,AL1079,AO1079,AR1079,AU1079,AX1079,BA1079)=0,"",MAX(T1079,W1079,Z1079,AC1079,AF1079,AI1079,AL1079,AO1079,AR1079,AU1079,AX1079,BA1079))</f>
        <v/>
      </c>
      <c r="BG1079" s="10">
        <f>MID(IF(S1079="","",", "&amp;S1079)&amp;IF(V1079="","",", "&amp;V1079)&amp;IF(Y1079="","",", "&amp;Y1079)&amp;IF(AB1079="","",", "&amp;AB1079)&amp;IF(AE1079="","",", "&amp;AE1079)&amp;IF(AH1079="","",", "&amp;AH1079)&amp;IF(AK1079="","",", "&amp;AK1079)&amp;IF(AN1079="","",", "&amp;AN1079)&amp;IF(AQ1079="","",", "&amp;AQ1079)&amp;IF(AT1079="","",", "&amp;AT1079)&amp;IF(AW1079="","",", "&amp;AW1079)&amp;IF(AZ1079="","",", "&amp;AZ1079),3,500)</f>
        <v/>
      </c>
      <c r="BH1079" s="12" t="n"/>
      <c r="BI1079" s="15">
        <f>IFERROR(MATCH($A1079,IF($B1079="Onsite",tbl_Onsite[Row ID],IF($B1079="Production",tbl_Production[Row ID],tbl_Consulting[Row ID])),0),"")</f>
        <v/>
      </c>
    </row>
    <row r="1080">
      <c r="A1080" s="10" t="inlineStr">
        <is>
          <t>CON-0074</t>
        </is>
      </c>
      <c r="B1080" s="10" t="inlineStr">
        <is>
          <t>Consulting</t>
        </is>
      </c>
      <c r="C1080" s="10">
        <f>IF($BI1080="","",IF($B1080="Onsite",INDEX(tbl_Onsite[Job Number],$BI1080),IF($B1080="Production",INDEX(tbl_Production[Job Number],$BI1080),INDEX(tbl_Consulting[Job Number],$BI1080)))&amp;"")</f>
        <v/>
      </c>
      <c r="D1080" s="10">
        <f>IF($BI1080="","",IF($B1080="Onsite",INDEX(tbl_Onsite[Client],$BI1080),IF($B1080="Production",INDEX(tbl_Production[Client],$BI1080),INDEX(tbl_Consulting[Client],$BI1080)))&amp;"")</f>
        <v/>
      </c>
      <c r="E1080" s="10">
        <f>IF($C1080="","",IF(COUNTIF(lst_Jobs,$C1080)&gt;0,"OK","CHECK"))</f>
        <v/>
      </c>
      <c r="F1080" s="10">
        <f>IF($C1080="","",IFERROR(INDEX(lst_JobName,MATCH($C1080,lst_Jobs,0)),""))</f>
        <v/>
      </c>
      <c r="G1080" s="10">
        <f>IF($BI1080="","",IF($B1080="Onsite",INDEX(tbl_Onsite[Job Description],$BI1080),IF($B1080="Production",INDEX(tbl_Production[Job Description],$BI1080),INDEX(tbl_Consulting[Job Description],$BI1080)))&amp;"")</f>
        <v/>
      </c>
      <c r="H1080" s="10">
        <f>IF($BI1080="","",IF($B1080="Onsite",INDEX(tbl_Onsite[Cost Centre],$BI1080),IF($B1080="Production",INDEX(tbl_Production[Cost Centre],$BI1080),INDEX(tbl_Consulting[Cost Centre],$BI1080)))&amp;"")</f>
        <v/>
      </c>
      <c r="I1080" s="10">
        <f>IF($BI1080="","",IF($B1080="Onsite",INDEX(tbl_Onsite[Invoice Type],$BI1080),IF($B1080="Production",INDEX(tbl_Production[Invoice Type],$BI1080),INDEX(tbl_Consulting[Invoice Type],$BI1080)))&amp;"")</f>
        <v/>
      </c>
      <c r="J1080" s="10">
        <f>IF($BI1080="","",IF($B1080="Onsite",INDEX(tbl_Onsite[Tax Code],$BI1080),IF($B1080="Production",INDEX(tbl_Production[Tax Code],$BI1080),INDEX(tbl_Consulting[Tax Code],$BI1080)))&amp;"")</f>
        <v/>
      </c>
      <c r="K1080" s="10">
        <f>IF(H1080="","",IFERROR(INDEX(lst_CCtoGL,MATCH(H1080,lst_CCforGL,0)),""))</f>
        <v/>
      </c>
      <c r="L1080" s="10">
        <f>IF($BI1080="","",IF($B1080="Onsite",INDEX(tbl_Onsite[PO / Reference],$BI1080),IF($B1080="Production",INDEX(tbl_Production[Current RMS No],$BI1080),INDEX(tbl_Consulting[Qwilr Quote],$BI1080)))&amp;"")</f>
        <v/>
      </c>
      <c r="M1080" s="10">
        <f>IF($BI1080="","",IF($B1080="Onsite",INDEX(tbl_Onsite[Notes],$BI1080),IF($B1080="Production",INDEX(tbl_Production[Notes],$BI1080),INDEX(tbl_Consulting[Notes],$BI1080)))&amp;"")</f>
        <v/>
      </c>
      <c r="N1080" s="11">
        <f>IF($BI1080="","",IF(IF($B1080="Onsite",INDEX(tbl_Onsite[Expected Revenue Ex GST],$BI1080),IF($B1080="Production",INDEX(tbl_Production[Expected Revenue Ex GST],$BI1080),INDEX(tbl_Consulting[Expected Revenue Ex GST],$BI1080)))="","",IF($B1080="Onsite",INDEX(tbl_Onsite[Expected Revenue Ex GST],$BI1080),IF($B1080="Production",INDEX(tbl_Production[Expected Revenue Ex GST],$BI1080),INDEX(tbl_Consulting[Expected Revenue Ex GST],$BI1080)))))</f>
        <v/>
      </c>
      <c r="O1080" s="11">
        <f>IF(AND($C1080="",NOT(COUNTA($S1080:$BB1080)&gt;0)),"",SUM(U1080,X1080,AA1080,AD1080,AG1080,AJ1080,AM1080,AP1080,AS1080,AV1080,AY1080,BB1080))</f>
        <v/>
      </c>
      <c r="P1080" s="11">
        <f>IF(O1080="","",N(N1080)-O1080)</f>
        <v/>
      </c>
      <c r="Q1080" s="10">
        <f>IF(O1080="","",IF($C1080="","Invoice on empty job row",IF(N1080="",IF(ROUND(O1080,2)=0,"No dept value","Invoiced - no dept value"),IF(ROUND(O1080,2)=0,"Not invoiced - to invoice",IF(ROUND(P1080,2)=0,"Agrees",IF(P1080&gt;0,"Dept higher - to invoice","Xero higher - check dept"))))))</f>
        <v/>
      </c>
      <c r="R1080" s="10">
        <f>IF(AND($C1080="",NOT(COUNTA($S1080:$BB1080)&gt;0),$BI1080&lt;&gt;""),"",MID(IF($BI1080="","; Row ID not found on the department sheet - a row was deleted","")&amp;IF(AND($C1080="",COUNTA($S1080:$BB1080)&gt;0),"; Invoice entered but the department row has no job number","")&amp;IF(E1080="CHECK","; Job number not in the Xero job list","")&amp;IF(AND($C1080&lt;&gt;"",COUNTIF($C$7:$C$1506,$C1080)&gt;1),"; Job number on more than one row","")&amp;IF(AND($C1080&lt;&gt;"",H1080=""),"; Dept has not set a cost centre","")&amp;IF(AND($C1080&lt;&gt;"",J1080=""),"; Dept has not set a tax code","")&amp;IF(AND($C1080&lt;&gt;"",N1080=""),"; Dept has not entered an expected value","")&amp;IF((IF(OR(COUNTA(S1080:U1080)=0,AND(COUNTA(S1080:U1080)=3,ISNUMBER(U1080))),0,1)+IF(OR(COUNTA(V1080:X1080)=0,AND(COUNTA(V1080:X1080)=3,ISNUMBER(X1080))),0,1)+IF(OR(COUNTA(Y1080:AA1080)=0,AND(COUNTA(Y1080:AA1080)=3,ISNUMBER(AA1080))),0,1)+IF(OR(COUNTA(AB1080:AD1080)=0,AND(COUNTA(AB1080:AD1080)=3,ISNUMBER(AD1080))),0,1)+IF(OR(COUNTA(AE1080:AG1080)=0,AND(COUNTA(AE1080:AG1080)=3,ISNUMBER(AG1080))),0,1)+IF(OR(COUNTA(AH1080:AJ1080)=0,AND(COUNTA(AH1080:AJ1080)=3,ISNUMBER(AJ1080))),0,1)+IF(OR(COUNTA(AK1080:AM1080)=0,AND(COUNTA(AK1080:AM1080)=3,ISNUMBER(AM1080))),0,1)+IF(OR(COUNTA(AN1080:AP1080)=0,AND(COUNTA(AN1080:AP1080)=3,ISNUMBER(AP1080))),0,1)+IF(OR(COUNTA(AQ1080:AS1080)=0,AND(COUNTA(AQ1080:AS1080)=3,ISNUMBER(AS1080))),0,1)+IF(OR(COUNTA(AT1080:AV1080)=0,AND(COUNTA(AT1080:AV1080)=3,ISNUMBER(AV1080))),0,1)+IF(OR(COUNTA(AW1080:AY1080)=0,AND(COUNTA(AW1080:AY1080)=3,ISNUMBER(AY1080))),0,1)+IF(OR(COUNTA(AZ1080:BB1080)=0,AND(COUNTA(AZ1080:BB1080)=3,ISNUMBER(BB1080))),0,1))&gt;0,"; An invoice is incomplete (needs No, Date and a number in Ex GST)","")&amp;IF((IF(T1080="",0,IFERROR(--(EOMONTH(T1080,0)&lt;&gt;S$5),1))+IF(W1080="",0,IFERROR(--(EOMONTH(W1080,0)&lt;&gt;V$5),1))+IF(Z1080="",0,IFERROR(--(EOMONTH(Z1080,0)&lt;&gt;Y$5),1))+IF(AC1080="",0,IFERROR(--(EOMONTH(AC1080,0)&lt;&gt;AB$5),1))+IF(AF1080="",0,IFERROR(--(EOMONTH(AF1080,0)&lt;&gt;AE$5),1))+IF(AI1080="",0,IFERROR(--(EOMONTH(AI1080,0)&lt;&gt;AH$5),1))+IF(AL1080="",0,IFERROR(--(EOMONTH(AL1080,0)&lt;&gt;AK$5),1))+IF(AO1080="",0,IFERROR(--(EOMONTH(AO1080,0)&lt;&gt;AN$5),1))+IF(AR1080="",0,IFERROR(--(EOMONTH(AR1080,0)&lt;&gt;AQ$5),1))+IF(AU1080="",0,IFERROR(--(EOMONTH(AU1080,0)&lt;&gt;AT$5),1))+IF(AX1080="",0,IFERROR(--(EOMONTH(AX1080,0)&lt;&gt;AW$5),1))+IF(BA1080="",0,IFERROR(--(EOMONTH(BA1080,0)&lt;&gt;AZ$5),1)))&gt;0,"; An invoice date is not in the month it is typed under",""),3,500))</f>
        <v/>
      </c>
      <c r="S1080" s="12" t="n"/>
      <c r="T1080" s="13" t="n"/>
      <c r="U1080" s="14" t="n"/>
      <c r="V1080" s="12" t="n"/>
      <c r="W1080" s="13" t="n"/>
      <c r="X1080" s="14" t="n"/>
      <c r="Y1080" s="12" t="n"/>
      <c r="Z1080" s="13" t="n"/>
      <c r="AA1080" s="14" t="n"/>
      <c r="AB1080" s="12" t="n"/>
      <c r="AC1080" s="13" t="n"/>
      <c r="AD1080" s="14" t="n"/>
      <c r="AE1080" s="12" t="n"/>
      <c r="AF1080" s="13" t="n"/>
      <c r="AG1080" s="14" t="n"/>
      <c r="AH1080" s="12" t="n"/>
      <c r="AI1080" s="13" t="n"/>
      <c r="AJ1080" s="14" t="n"/>
      <c r="AK1080" s="12" t="n"/>
      <c r="AL1080" s="13" t="n"/>
      <c r="AM1080" s="14" t="n"/>
      <c r="AN1080" s="12" t="n"/>
      <c r="AO1080" s="13" t="n"/>
      <c r="AP1080" s="14" t="n"/>
      <c r="AQ1080" s="12" t="n"/>
      <c r="AR1080" s="13" t="n"/>
      <c r="AS1080" s="14" t="n"/>
      <c r="AT1080" s="12" t="n"/>
      <c r="AU1080" s="13" t="n"/>
      <c r="AV1080" s="14" t="n"/>
      <c r="AW1080" s="12" t="n"/>
      <c r="AX1080" s="13" t="n"/>
      <c r="AY1080" s="14" t="n"/>
      <c r="AZ1080" s="12" t="n"/>
      <c r="BA1080" s="13" t="n"/>
      <c r="BB1080" s="14" t="n"/>
      <c r="BC1080" s="11">
        <f>IF(O1080="","",IF(J1080="GST 10%",ROUND(O1080*set_GSTRate,2),0))</f>
        <v/>
      </c>
      <c r="BD1080" s="11">
        <f>IF(O1080="","",O1080+BC1080)</f>
        <v/>
      </c>
      <c r="BE1080" s="15">
        <f>IF(O1080="","",COUNTA(S1080,V1080,Y1080,AB1080,AE1080,AH1080,AK1080,AN1080,AQ1080,AT1080,AW1080,AZ1080))</f>
        <v/>
      </c>
      <c r="BF1080" s="16">
        <f>IF(COUNT(T1080,W1080,Z1080,AC1080,AF1080,AI1080,AL1080,AO1080,AR1080,AU1080,AX1080,BA1080)=0,"",MAX(T1080,W1080,Z1080,AC1080,AF1080,AI1080,AL1080,AO1080,AR1080,AU1080,AX1080,BA1080))</f>
        <v/>
      </c>
      <c r="BG1080" s="10">
        <f>MID(IF(S1080="","",", "&amp;S1080)&amp;IF(V1080="","",", "&amp;V1080)&amp;IF(Y1080="","",", "&amp;Y1080)&amp;IF(AB1080="","",", "&amp;AB1080)&amp;IF(AE1080="","",", "&amp;AE1080)&amp;IF(AH1080="","",", "&amp;AH1080)&amp;IF(AK1080="","",", "&amp;AK1080)&amp;IF(AN1080="","",", "&amp;AN1080)&amp;IF(AQ1080="","",", "&amp;AQ1080)&amp;IF(AT1080="","",", "&amp;AT1080)&amp;IF(AW1080="","",", "&amp;AW1080)&amp;IF(AZ1080="","",", "&amp;AZ1080),3,500)</f>
        <v/>
      </c>
      <c r="BH1080" s="12" t="n"/>
      <c r="BI1080" s="15">
        <f>IFERROR(MATCH($A1080,IF($B1080="Onsite",tbl_Onsite[Row ID],IF($B1080="Production",tbl_Production[Row ID],tbl_Consulting[Row ID])),0),"")</f>
        <v/>
      </c>
    </row>
    <row r="1081">
      <c r="A1081" s="10" t="inlineStr">
        <is>
          <t>CON-0075</t>
        </is>
      </c>
      <c r="B1081" s="10" t="inlineStr">
        <is>
          <t>Consulting</t>
        </is>
      </c>
      <c r="C1081" s="10">
        <f>IF($BI1081="","",IF($B1081="Onsite",INDEX(tbl_Onsite[Job Number],$BI1081),IF($B1081="Production",INDEX(tbl_Production[Job Number],$BI1081),INDEX(tbl_Consulting[Job Number],$BI1081)))&amp;"")</f>
        <v/>
      </c>
      <c r="D1081" s="10">
        <f>IF($BI1081="","",IF($B1081="Onsite",INDEX(tbl_Onsite[Client],$BI1081),IF($B1081="Production",INDEX(tbl_Production[Client],$BI1081),INDEX(tbl_Consulting[Client],$BI1081)))&amp;"")</f>
        <v/>
      </c>
      <c r="E1081" s="10">
        <f>IF($C1081="","",IF(COUNTIF(lst_Jobs,$C1081)&gt;0,"OK","CHECK"))</f>
        <v/>
      </c>
      <c r="F1081" s="10">
        <f>IF($C1081="","",IFERROR(INDEX(lst_JobName,MATCH($C1081,lst_Jobs,0)),""))</f>
        <v/>
      </c>
      <c r="G1081" s="10">
        <f>IF($BI1081="","",IF($B1081="Onsite",INDEX(tbl_Onsite[Job Description],$BI1081),IF($B1081="Production",INDEX(tbl_Production[Job Description],$BI1081),INDEX(tbl_Consulting[Job Description],$BI1081)))&amp;"")</f>
        <v/>
      </c>
      <c r="H1081" s="10">
        <f>IF($BI1081="","",IF($B1081="Onsite",INDEX(tbl_Onsite[Cost Centre],$BI1081),IF($B1081="Production",INDEX(tbl_Production[Cost Centre],$BI1081),INDEX(tbl_Consulting[Cost Centre],$BI1081)))&amp;"")</f>
        <v/>
      </c>
      <c r="I1081" s="10">
        <f>IF($BI1081="","",IF($B1081="Onsite",INDEX(tbl_Onsite[Invoice Type],$BI1081),IF($B1081="Production",INDEX(tbl_Production[Invoice Type],$BI1081),INDEX(tbl_Consulting[Invoice Type],$BI1081)))&amp;"")</f>
        <v/>
      </c>
      <c r="J1081" s="10">
        <f>IF($BI1081="","",IF($B1081="Onsite",INDEX(tbl_Onsite[Tax Code],$BI1081),IF($B1081="Production",INDEX(tbl_Production[Tax Code],$BI1081),INDEX(tbl_Consulting[Tax Code],$BI1081)))&amp;"")</f>
        <v/>
      </c>
      <c r="K1081" s="10">
        <f>IF(H1081="","",IFERROR(INDEX(lst_CCtoGL,MATCH(H1081,lst_CCforGL,0)),""))</f>
        <v/>
      </c>
      <c r="L1081" s="10">
        <f>IF($BI1081="","",IF($B1081="Onsite",INDEX(tbl_Onsite[PO / Reference],$BI1081),IF($B1081="Production",INDEX(tbl_Production[Current RMS No],$BI1081),INDEX(tbl_Consulting[Qwilr Quote],$BI1081)))&amp;"")</f>
        <v/>
      </c>
      <c r="M1081" s="10">
        <f>IF($BI1081="","",IF($B1081="Onsite",INDEX(tbl_Onsite[Notes],$BI1081),IF($B1081="Production",INDEX(tbl_Production[Notes],$BI1081),INDEX(tbl_Consulting[Notes],$BI1081)))&amp;"")</f>
        <v/>
      </c>
      <c r="N1081" s="11">
        <f>IF($BI1081="","",IF(IF($B1081="Onsite",INDEX(tbl_Onsite[Expected Revenue Ex GST],$BI1081),IF($B1081="Production",INDEX(tbl_Production[Expected Revenue Ex GST],$BI1081),INDEX(tbl_Consulting[Expected Revenue Ex GST],$BI1081)))="","",IF($B1081="Onsite",INDEX(tbl_Onsite[Expected Revenue Ex GST],$BI1081),IF($B1081="Production",INDEX(tbl_Production[Expected Revenue Ex GST],$BI1081),INDEX(tbl_Consulting[Expected Revenue Ex GST],$BI1081)))))</f>
        <v/>
      </c>
      <c r="O1081" s="11">
        <f>IF(AND($C1081="",NOT(COUNTA($S1081:$BB1081)&gt;0)),"",SUM(U1081,X1081,AA1081,AD1081,AG1081,AJ1081,AM1081,AP1081,AS1081,AV1081,AY1081,BB1081))</f>
        <v/>
      </c>
      <c r="P1081" s="11">
        <f>IF(O1081="","",N(N1081)-O1081)</f>
        <v/>
      </c>
      <c r="Q1081" s="10">
        <f>IF(O1081="","",IF($C1081="","Invoice on empty job row",IF(N1081="",IF(ROUND(O1081,2)=0,"No dept value","Invoiced - no dept value"),IF(ROUND(O1081,2)=0,"Not invoiced - to invoice",IF(ROUND(P1081,2)=0,"Agrees",IF(P1081&gt;0,"Dept higher - to invoice","Xero higher - check dept"))))))</f>
        <v/>
      </c>
      <c r="R1081" s="10">
        <f>IF(AND($C1081="",NOT(COUNTA($S1081:$BB1081)&gt;0),$BI1081&lt;&gt;""),"",MID(IF($BI1081="","; Row ID not found on the department sheet - a row was deleted","")&amp;IF(AND($C1081="",COUNTA($S1081:$BB1081)&gt;0),"; Invoice entered but the department row has no job number","")&amp;IF(E1081="CHECK","; Job number not in the Xero job list","")&amp;IF(AND($C1081&lt;&gt;"",COUNTIF($C$7:$C$1506,$C1081)&gt;1),"; Job number on more than one row","")&amp;IF(AND($C1081&lt;&gt;"",H1081=""),"; Dept has not set a cost centre","")&amp;IF(AND($C1081&lt;&gt;"",J1081=""),"; Dept has not set a tax code","")&amp;IF(AND($C1081&lt;&gt;"",N1081=""),"; Dept has not entered an expected value","")&amp;IF((IF(OR(COUNTA(S1081:U1081)=0,AND(COUNTA(S1081:U1081)=3,ISNUMBER(U1081))),0,1)+IF(OR(COUNTA(V1081:X1081)=0,AND(COUNTA(V1081:X1081)=3,ISNUMBER(X1081))),0,1)+IF(OR(COUNTA(Y1081:AA1081)=0,AND(COUNTA(Y1081:AA1081)=3,ISNUMBER(AA1081))),0,1)+IF(OR(COUNTA(AB1081:AD1081)=0,AND(COUNTA(AB1081:AD1081)=3,ISNUMBER(AD1081))),0,1)+IF(OR(COUNTA(AE1081:AG1081)=0,AND(COUNTA(AE1081:AG1081)=3,ISNUMBER(AG1081))),0,1)+IF(OR(COUNTA(AH1081:AJ1081)=0,AND(COUNTA(AH1081:AJ1081)=3,ISNUMBER(AJ1081))),0,1)+IF(OR(COUNTA(AK1081:AM1081)=0,AND(COUNTA(AK1081:AM1081)=3,ISNUMBER(AM1081))),0,1)+IF(OR(COUNTA(AN1081:AP1081)=0,AND(COUNTA(AN1081:AP1081)=3,ISNUMBER(AP1081))),0,1)+IF(OR(COUNTA(AQ1081:AS1081)=0,AND(COUNTA(AQ1081:AS1081)=3,ISNUMBER(AS1081))),0,1)+IF(OR(COUNTA(AT1081:AV1081)=0,AND(COUNTA(AT1081:AV1081)=3,ISNUMBER(AV1081))),0,1)+IF(OR(COUNTA(AW1081:AY1081)=0,AND(COUNTA(AW1081:AY1081)=3,ISNUMBER(AY1081))),0,1)+IF(OR(COUNTA(AZ1081:BB1081)=0,AND(COUNTA(AZ1081:BB1081)=3,ISNUMBER(BB1081))),0,1))&gt;0,"; An invoice is incomplete (needs No, Date and a number in Ex GST)","")&amp;IF((IF(T1081="",0,IFERROR(--(EOMONTH(T1081,0)&lt;&gt;S$5),1))+IF(W1081="",0,IFERROR(--(EOMONTH(W1081,0)&lt;&gt;V$5),1))+IF(Z1081="",0,IFERROR(--(EOMONTH(Z1081,0)&lt;&gt;Y$5),1))+IF(AC1081="",0,IFERROR(--(EOMONTH(AC1081,0)&lt;&gt;AB$5),1))+IF(AF1081="",0,IFERROR(--(EOMONTH(AF1081,0)&lt;&gt;AE$5),1))+IF(AI1081="",0,IFERROR(--(EOMONTH(AI1081,0)&lt;&gt;AH$5),1))+IF(AL1081="",0,IFERROR(--(EOMONTH(AL1081,0)&lt;&gt;AK$5),1))+IF(AO1081="",0,IFERROR(--(EOMONTH(AO1081,0)&lt;&gt;AN$5),1))+IF(AR1081="",0,IFERROR(--(EOMONTH(AR1081,0)&lt;&gt;AQ$5),1))+IF(AU1081="",0,IFERROR(--(EOMONTH(AU1081,0)&lt;&gt;AT$5),1))+IF(AX1081="",0,IFERROR(--(EOMONTH(AX1081,0)&lt;&gt;AW$5),1))+IF(BA1081="",0,IFERROR(--(EOMONTH(BA1081,0)&lt;&gt;AZ$5),1)))&gt;0,"; An invoice date is not in the month it is typed under",""),3,500))</f>
        <v/>
      </c>
      <c r="S1081" s="12" t="n"/>
      <c r="T1081" s="13" t="n"/>
      <c r="U1081" s="14" t="n"/>
      <c r="V1081" s="12" t="n"/>
      <c r="W1081" s="13" t="n"/>
      <c r="X1081" s="14" t="n"/>
      <c r="Y1081" s="12" t="n"/>
      <c r="Z1081" s="13" t="n"/>
      <c r="AA1081" s="14" t="n"/>
      <c r="AB1081" s="12" t="n"/>
      <c r="AC1081" s="13" t="n"/>
      <c r="AD1081" s="14" t="n"/>
      <c r="AE1081" s="12" t="n"/>
      <c r="AF1081" s="13" t="n"/>
      <c r="AG1081" s="14" t="n"/>
      <c r="AH1081" s="12" t="n"/>
      <c r="AI1081" s="13" t="n"/>
      <c r="AJ1081" s="14" t="n"/>
      <c r="AK1081" s="12" t="n"/>
      <c r="AL1081" s="13" t="n"/>
      <c r="AM1081" s="14" t="n"/>
      <c r="AN1081" s="12" t="n"/>
      <c r="AO1081" s="13" t="n"/>
      <c r="AP1081" s="14" t="n"/>
      <c r="AQ1081" s="12" t="n"/>
      <c r="AR1081" s="13" t="n"/>
      <c r="AS1081" s="14" t="n"/>
      <c r="AT1081" s="12" t="n"/>
      <c r="AU1081" s="13" t="n"/>
      <c r="AV1081" s="14" t="n"/>
      <c r="AW1081" s="12" t="n"/>
      <c r="AX1081" s="13" t="n"/>
      <c r="AY1081" s="14" t="n"/>
      <c r="AZ1081" s="12" t="n"/>
      <c r="BA1081" s="13" t="n"/>
      <c r="BB1081" s="14" t="n"/>
      <c r="BC1081" s="11">
        <f>IF(O1081="","",IF(J1081="GST 10%",ROUND(O1081*set_GSTRate,2),0))</f>
        <v/>
      </c>
      <c r="BD1081" s="11">
        <f>IF(O1081="","",O1081+BC1081)</f>
        <v/>
      </c>
      <c r="BE1081" s="15">
        <f>IF(O1081="","",COUNTA(S1081,V1081,Y1081,AB1081,AE1081,AH1081,AK1081,AN1081,AQ1081,AT1081,AW1081,AZ1081))</f>
        <v/>
      </c>
      <c r="BF1081" s="16">
        <f>IF(COUNT(T1081,W1081,Z1081,AC1081,AF1081,AI1081,AL1081,AO1081,AR1081,AU1081,AX1081,BA1081)=0,"",MAX(T1081,W1081,Z1081,AC1081,AF1081,AI1081,AL1081,AO1081,AR1081,AU1081,AX1081,BA1081))</f>
        <v/>
      </c>
      <c r="BG1081" s="10">
        <f>MID(IF(S1081="","",", "&amp;S1081)&amp;IF(V1081="","",", "&amp;V1081)&amp;IF(Y1081="","",", "&amp;Y1081)&amp;IF(AB1081="","",", "&amp;AB1081)&amp;IF(AE1081="","",", "&amp;AE1081)&amp;IF(AH1081="","",", "&amp;AH1081)&amp;IF(AK1081="","",", "&amp;AK1081)&amp;IF(AN1081="","",", "&amp;AN1081)&amp;IF(AQ1081="","",", "&amp;AQ1081)&amp;IF(AT1081="","",", "&amp;AT1081)&amp;IF(AW1081="","",", "&amp;AW1081)&amp;IF(AZ1081="","",", "&amp;AZ1081),3,500)</f>
        <v/>
      </c>
      <c r="BH1081" s="12" t="n"/>
      <c r="BI1081" s="15">
        <f>IFERROR(MATCH($A1081,IF($B1081="Onsite",tbl_Onsite[Row ID],IF($B1081="Production",tbl_Production[Row ID],tbl_Consulting[Row ID])),0),"")</f>
        <v/>
      </c>
    </row>
    <row r="1082">
      <c r="A1082" s="10" t="inlineStr">
        <is>
          <t>CON-0076</t>
        </is>
      </c>
      <c r="B1082" s="10" t="inlineStr">
        <is>
          <t>Consulting</t>
        </is>
      </c>
      <c r="C1082" s="10">
        <f>IF($BI1082="","",IF($B1082="Onsite",INDEX(tbl_Onsite[Job Number],$BI1082),IF($B1082="Production",INDEX(tbl_Production[Job Number],$BI1082),INDEX(tbl_Consulting[Job Number],$BI1082)))&amp;"")</f>
        <v/>
      </c>
      <c r="D1082" s="10">
        <f>IF($BI1082="","",IF($B1082="Onsite",INDEX(tbl_Onsite[Client],$BI1082),IF($B1082="Production",INDEX(tbl_Production[Client],$BI1082),INDEX(tbl_Consulting[Client],$BI1082)))&amp;"")</f>
        <v/>
      </c>
      <c r="E1082" s="10">
        <f>IF($C1082="","",IF(COUNTIF(lst_Jobs,$C1082)&gt;0,"OK","CHECK"))</f>
        <v/>
      </c>
      <c r="F1082" s="10">
        <f>IF($C1082="","",IFERROR(INDEX(lst_JobName,MATCH($C1082,lst_Jobs,0)),""))</f>
        <v/>
      </c>
      <c r="G1082" s="10">
        <f>IF($BI1082="","",IF($B1082="Onsite",INDEX(tbl_Onsite[Job Description],$BI1082),IF($B1082="Production",INDEX(tbl_Production[Job Description],$BI1082),INDEX(tbl_Consulting[Job Description],$BI1082)))&amp;"")</f>
        <v/>
      </c>
      <c r="H1082" s="10">
        <f>IF($BI1082="","",IF($B1082="Onsite",INDEX(tbl_Onsite[Cost Centre],$BI1082),IF($B1082="Production",INDEX(tbl_Production[Cost Centre],$BI1082),INDEX(tbl_Consulting[Cost Centre],$BI1082)))&amp;"")</f>
        <v/>
      </c>
      <c r="I1082" s="10">
        <f>IF($BI1082="","",IF($B1082="Onsite",INDEX(tbl_Onsite[Invoice Type],$BI1082),IF($B1082="Production",INDEX(tbl_Production[Invoice Type],$BI1082),INDEX(tbl_Consulting[Invoice Type],$BI1082)))&amp;"")</f>
        <v/>
      </c>
      <c r="J1082" s="10">
        <f>IF($BI1082="","",IF($B1082="Onsite",INDEX(tbl_Onsite[Tax Code],$BI1082),IF($B1082="Production",INDEX(tbl_Production[Tax Code],$BI1082),INDEX(tbl_Consulting[Tax Code],$BI1082)))&amp;"")</f>
        <v/>
      </c>
      <c r="K1082" s="10">
        <f>IF(H1082="","",IFERROR(INDEX(lst_CCtoGL,MATCH(H1082,lst_CCforGL,0)),""))</f>
        <v/>
      </c>
      <c r="L1082" s="10">
        <f>IF($BI1082="","",IF($B1082="Onsite",INDEX(tbl_Onsite[PO / Reference],$BI1082),IF($B1082="Production",INDEX(tbl_Production[Current RMS No],$BI1082),INDEX(tbl_Consulting[Qwilr Quote],$BI1082)))&amp;"")</f>
        <v/>
      </c>
      <c r="M1082" s="10">
        <f>IF($BI1082="","",IF($B1082="Onsite",INDEX(tbl_Onsite[Notes],$BI1082),IF($B1082="Production",INDEX(tbl_Production[Notes],$BI1082),INDEX(tbl_Consulting[Notes],$BI1082)))&amp;"")</f>
        <v/>
      </c>
      <c r="N1082" s="11">
        <f>IF($BI1082="","",IF(IF($B1082="Onsite",INDEX(tbl_Onsite[Expected Revenue Ex GST],$BI1082),IF($B1082="Production",INDEX(tbl_Production[Expected Revenue Ex GST],$BI1082),INDEX(tbl_Consulting[Expected Revenue Ex GST],$BI1082)))="","",IF($B1082="Onsite",INDEX(tbl_Onsite[Expected Revenue Ex GST],$BI1082),IF($B1082="Production",INDEX(tbl_Production[Expected Revenue Ex GST],$BI1082),INDEX(tbl_Consulting[Expected Revenue Ex GST],$BI1082)))))</f>
        <v/>
      </c>
      <c r="O1082" s="11">
        <f>IF(AND($C1082="",NOT(COUNTA($S1082:$BB1082)&gt;0)),"",SUM(U1082,X1082,AA1082,AD1082,AG1082,AJ1082,AM1082,AP1082,AS1082,AV1082,AY1082,BB1082))</f>
        <v/>
      </c>
      <c r="P1082" s="11">
        <f>IF(O1082="","",N(N1082)-O1082)</f>
        <v/>
      </c>
      <c r="Q1082" s="10">
        <f>IF(O1082="","",IF($C1082="","Invoice on empty job row",IF(N1082="",IF(ROUND(O1082,2)=0,"No dept value","Invoiced - no dept value"),IF(ROUND(O1082,2)=0,"Not invoiced - to invoice",IF(ROUND(P1082,2)=0,"Agrees",IF(P1082&gt;0,"Dept higher - to invoice","Xero higher - check dept"))))))</f>
        <v/>
      </c>
      <c r="R1082" s="10">
        <f>IF(AND($C1082="",NOT(COUNTA($S1082:$BB1082)&gt;0),$BI1082&lt;&gt;""),"",MID(IF($BI1082="","; Row ID not found on the department sheet - a row was deleted","")&amp;IF(AND($C1082="",COUNTA($S1082:$BB1082)&gt;0),"; Invoice entered but the department row has no job number","")&amp;IF(E1082="CHECK","; Job number not in the Xero job list","")&amp;IF(AND($C1082&lt;&gt;"",COUNTIF($C$7:$C$1506,$C1082)&gt;1),"; Job number on more than one row","")&amp;IF(AND($C1082&lt;&gt;"",H1082=""),"; Dept has not set a cost centre","")&amp;IF(AND($C1082&lt;&gt;"",J1082=""),"; Dept has not set a tax code","")&amp;IF(AND($C1082&lt;&gt;"",N1082=""),"; Dept has not entered an expected value","")&amp;IF((IF(OR(COUNTA(S1082:U1082)=0,AND(COUNTA(S1082:U1082)=3,ISNUMBER(U1082))),0,1)+IF(OR(COUNTA(V1082:X1082)=0,AND(COUNTA(V1082:X1082)=3,ISNUMBER(X1082))),0,1)+IF(OR(COUNTA(Y1082:AA1082)=0,AND(COUNTA(Y1082:AA1082)=3,ISNUMBER(AA1082))),0,1)+IF(OR(COUNTA(AB1082:AD1082)=0,AND(COUNTA(AB1082:AD1082)=3,ISNUMBER(AD1082))),0,1)+IF(OR(COUNTA(AE1082:AG1082)=0,AND(COUNTA(AE1082:AG1082)=3,ISNUMBER(AG1082))),0,1)+IF(OR(COUNTA(AH1082:AJ1082)=0,AND(COUNTA(AH1082:AJ1082)=3,ISNUMBER(AJ1082))),0,1)+IF(OR(COUNTA(AK1082:AM1082)=0,AND(COUNTA(AK1082:AM1082)=3,ISNUMBER(AM1082))),0,1)+IF(OR(COUNTA(AN1082:AP1082)=0,AND(COUNTA(AN1082:AP1082)=3,ISNUMBER(AP1082))),0,1)+IF(OR(COUNTA(AQ1082:AS1082)=0,AND(COUNTA(AQ1082:AS1082)=3,ISNUMBER(AS1082))),0,1)+IF(OR(COUNTA(AT1082:AV1082)=0,AND(COUNTA(AT1082:AV1082)=3,ISNUMBER(AV1082))),0,1)+IF(OR(COUNTA(AW1082:AY1082)=0,AND(COUNTA(AW1082:AY1082)=3,ISNUMBER(AY1082))),0,1)+IF(OR(COUNTA(AZ1082:BB1082)=0,AND(COUNTA(AZ1082:BB1082)=3,ISNUMBER(BB1082))),0,1))&gt;0,"; An invoice is incomplete (needs No, Date and a number in Ex GST)","")&amp;IF((IF(T1082="",0,IFERROR(--(EOMONTH(T1082,0)&lt;&gt;S$5),1))+IF(W1082="",0,IFERROR(--(EOMONTH(W1082,0)&lt;&gt;V$5),1))+IF(Z1082="",0,IFERROR(--(EOMONTH(Z1082,0)&lt;&gt;Y$5),1))+IF(AC1082="",0,IFERROR(--(EOMONTH(AC1082,0)&lt;&gt;AB$5),1))+IF(AF1082="",0,IFERROR(--(EOMONTH(AF1082,0)&lt;&gt;AE$5),1))+IF(AI1082="",0,IFERROR(--(EOMONTH(AI1082,0)&lt;&gt;AH$5),1))+IF(AL1082="",0,IFERROR(--(EOMONTH(AL1082,0)&lt;&gt;AK$5),1))+IF(AO1082="",0,IFERROR(--(EOMONTH(AO1082,0)&lt;&gt;AN$5),1))+IF(AR1082="",0,IFERROR(--(EOMONTH(AR1082,0)&lt;&gt;AQ$5),1))+IF(AU1082="",0,IFERROR(--(EOMONTH(AU1082,0)&lt;&gt;AT$5),1))+IF(AX1082="",0,IFERROR(--(EOMONTH(AX1082,0)&lt;&gt;AW$5),1))+IF(BA1082="",0,IFERROR(--(EOMONTH(BA1082,0)&lt;&gt;AZ$5),1)))&gt;0,"; An invoice date is not in the month it is typed under",""),3,500))</f>
        <v/>
      </c>
      <c r="S1082" s="12" t="n"/>
      <c r="T1082" s="13" t="n"/>
      <c r="U1082" s="14" t="n"/>
      <c r="V1082" s="12" t="n"/>
      <c r="W1082" s="13" t="n"/>
      <c r="X1082" s="14" t="n"/>
      <c r="Y1082" s="12" t="n"/>
      <c r="Z1082" s="13" t="n"/>
      <c r="AA1082" s="14" t="n"/>
      <c r="AB1082" s="12" t="n"/>
      <c r="AC1082" s="13" t="n"/>
      <c r="AD1082" s="14" t="n"/>
      <c r="AE1082" s="12" t="n"/>
      <c r="AF1082" s="13" t="n"/>
      <c r="AG1082" s="14" t="n"/>
      <c r="AH1082" s="12" t="n"/>
      <c r="AI1082" s="13" t="n"/>
      <c r="AJ1082" s="14" t="n"/>
      <c r="AK1082" s="12" t="n"/>
      <c r="AL1082" s="13" t="n"/>
      <c r="AM1082" s="14" t="n"/>
      <c r="AN1082" s="12" t="n"/>
      <c r="AO1082" s="13" t="n"/>
      <c r="AP1082" s="14" t="n"/>
      <c r="AQ1082" s="12" t="n"/>
      <c r="AR1082" s="13" t="n"/>
      <c r="AS1082" s="14" t="n"/>
      <c r="AT1082" s="12" t="n"/>
      <c r="AU1082" s="13" t="n"/>
      <c r="AV1082" s="14" t="n"/>
      <c r="AW1082" s="12" t="n"/>
      <c r="AX1082" s="13" t="n"/>
      <c r="AY1082" s="14" t="n"/>
      <c r="AZ1082" s="12" t="n"/>
      <c r="BA1082" s="13" t="n"/>
      <c r="BB1082" s="14" t="n"/>
      <c r="BC1082" s="11">
        <f>IF(O1082="","",IF(J1082="GST 10%",ROUND(O1082*set_GSTRate,2),0))</f>
        <v/>
      </c>
      <c r="BD1082" s="11">
        <f>IF(O1082="","",O1082+BC1082)</f>
        <v/>
      </c>
      <c r="BE1082" s="15">
        <f>IF(O1082="","",COUNTA(S1082,V1082,Y1082,AB1082,AE1082,AH1082,AK1082,AN1082,AQ1082,AT1082,AW1082,AZ1082))</f>
        <v/>
      </c>
      <c r="BF1082" s="16">
        <f>IF(COUNT(T1082,W1082,Z1082,AC1082,AF1082,AI1082,AL1082,AO1082,AR1082,AU1082,AX1082,BA1082)=0,"",MAX(T1082,W1082,Z1082,AC1082,AF1082,AI1082,AL1082,AO1082,AR1082,AU1082,AX1082,BA1082))</f>
        <v/>
      </c>
      <c r="BG1082" s="10">
        <f>MID(IF(S1082="","",", "&amp;S1082)&amp;IF(V1082="","",", "&amp;V1082)&amp;IF(Y1082="","",", "&amp;Y1082)&amp;IF(AB1082="","",", "&amp;AB1082)&amp;IF(AE1082="","",", "&amp;AE1082)&amp;IF(AH1082="","",", "&amp;AH1082)&amp;IF(AK1082="","",", "&amp;AK1082)&amp;IF(AN1082="","",", "&amp;AN1082)&amp;IF(AQ1082="","",", "&amp;AQ1082)&amp;IF(AT1082="","",", "&amp;AT1082)&amp;IF(AW1082="","",", "&amp;AW1082)&amp;IF(AZ1082="","",", "&amp;AZ1082),3,500)</f>
        <v/>
      </c>
      <c r="BH1082" s="12" t="n"/>
      <c r="BI1082" s="15">
        <f>IFERROR(MATCH($A1082,IF($B1082="Onsite",tbl_Onsite[Row ID],IF($B1082="Production",tbl_Production[Row ID],tbl_Consulting[Row ID])),0),"")</f>
        <v/>
      </c>
    </row>
    <row r="1083">
      <c r="A1083" s="10" t="inlineStr">
        <is>
          <t>CON-0077</t>
        </is>
      </c>
      <c r="B1083" s="10" t="inlineStr">
        <is>
          <t>Consulting</t>
        </is>
      </c>
      <c r="C1083" s="10">
        <f>IF($BI1083="","",IF($B1083="Onsite",INDEX(tbl_Onsite[Job Number],$BI1083),IF($B1083="Production",INDEX(tbl_Production[Job Number],$BI1083),INDEX(tbl_Consulting[Job Number],$BI1083)))&amp;"")</f>
        <v/>
      </c>
      <c r="D1083" s="10">
        <f>IF($BI1083="","",IF($B1083="Onsite",INDEX(tbl_Onsite[Client],$BI1083),IF($B1083="Production",INDEX(tbl_Production[Client],$BI1083),INDEX(tbl_Consulting[Client],$BI1083)))&amp;"")</f>
        <v/>
      </c>
      <c r="E1083" s="10">
        <f>IF($C1083="","",IF(COUNTIF(lst_Jobs,$C1083)&gt;0,"OK","CHECK"))</f>
        <v/>
      </c>
      <c r="F1083" s="10">
        <f>IF($C1083="","",IFERROR(INDEX(lst_JobName,MATCH($C1083,lst_Jobs,0)),""))</f>
        <v/>
      </c>
      <c r="G1083" s="10">
        <f>IF($BI1083="","",IF($B1083="Onsite",INDEX(tbl_Onsite[Job Description],$BI1083),IF($B1083="Production",INDEX(tbl_Production[Job Description],$BI1083),INDEX(tbl_Consulting[Job Description],$BI1083)))&amp;"")</f>
        <v/>
      </c>
      <c r="H1083" s="10">
        <f>IF($BI1083="","",IF($B1083="Onsite",INDEX(tbl_Onsite[Cost Centre],$BI1083),IF($B1083="Production",INDEX(tbl_Production[Cost Centre],$BI1083),INDEX(tbl_Consulting[Cost Centre],$BI1083)))&amp;"")</f>
        <v/>
      </c>
      <c r="I1083" s="10">
        <f>IF($BI1083="","",IF($B1083="Onsite",INDEX(tbl_Onsite[Invoice Type],$BI1083),IF($B1083="Production",INDEX(tbl_Production[Invoice Type],$BI1083),INDEX(tbl_Consulting[Invoice Type],$BI1083)))&amp;"")</f>
        <v/>
      </c>
      <c r="J1083" s="10">
        <f>IF($BI1083="","",IF($B1083="Onsite",INDEX(tbl_Onsite[Tax Code],$BI1083),IF($B1083="Production",INDEX(tbl_Production[Tax Code],$BI1083),INDEX(tbl_Consulting[Tax Code],$BI1083)))&amp;"")</f>
        <v/>
      </c>
      <c r="K1083" s="10">
        <f>IF(H1083="","",IFERROR(INDEX(lst_CCtoGL,MATCH(H1083,lst_CCforGL,0)),""))</f>
        <v/>
      </c>
      <c r="L1083" s="10">
        <f>IF($BI1083="","",IF($B1083="Onsite",INDEX(tbl_Onsite[PO / Reference],$BI1083),IF($B1083="Production",INDEX(tbl_Production[Current RMS No],$BI1083),INDEX(tbl_Consulting[Qwilr Quote],$BI1083)))&amp;"")</f>
        <v/>
      </c>
      <c r="M1083" s="10">
        <f>IF($BI1083="","",IF($B1083="Onsite",INDEX(tbl_Onsite[Notes],$BI1083),IF($B1083="Production",INDEX(tbl_Production[Notes],$BI1083),INDEX(tbl_Consulting[Notes],$BI1083)))&amp;"")</f>
        <v/>
      </c>
      <c r="N1083" s="11">
        <f>IF($BI1083="","",IF(IF($B1083="Onsite",INDEX(tbl_Onsite[Expected Revenue Ex GST],$BI1083),IF($B1083="Production",INDEX(tbl_Production[Expected Revenue Ex GST],$BI1083),INDEX(tbl_Consulting[Expected Revenue Ex GST],$BI1083)))="","",IF($B1083="Onsite",INDEX(tbl_Onsite[Expected Revenue Ex GST],$BI1083),IF($B1083="Production",INDEX(tbl_Production[Expected Revenue Ex GST],$BI1083),INDEX(tbl_Consulting[Expected Revenue Ex GST],$BI1083)))))</f>
        <v/>
      </c>
      <c r="O1083" s="11">
        <f>IF(AND($C1083="",NOT(COUNTA($S1083:$BB1083)&gt;0)),"",SUM(U1083,X1083,AA1083,AD1083,AG1083,AJ1083,AM1083,AP1083,AS1083,AV1083,AY1083,BB1083))</f>
        <v/>
      </c>
      <c r="P1083" s="11">
        <f>IF(O1083="","",N(N1083)-O1083)</f>
        <v/>
      </c>
      <c r="Q1083" s="10">
        <f>IF(O1083="","",IF($C1083="","Invoice on empty job row",IF(N1083="",IF(ROUND(O1083,2)=0,"No dept value","Invoiced - no dept value"),IF(ROUND(O1083,2)=0,"Not invoiced - to invoice",IF(ROUND(P1083,2)=0,"Agrees",IF(P1083&gt;0,"Dept higher - to invoice","Xero higher - check dept"))))))</f>
        <v/>
      </c>
      <c r="R1083" s="10">
        <f>IF(AND($C1083="",NOT(COUNTA($S1083:$BB1083)&gt;0),$BI1083&lt;&gt;""),"",MID(IF($BI1083="","; Row ID not found on the department sheet - a row was deleted","")&amp;IF(AND($C1083="",COUNTA($S1083:$BB1083)&gt;0),"; Invoice entered but the department row has no job number","")&amp;IF(E1083="CHECK","; Job number not in the Xero job list","")&amp;IF(AND($C1083&lt;&gt;"",COUNTIF($C$7:$C$1506,$C1083)&gt;1),"; Job number on more than one row","")&amp;IF(AND($C1083&lt;&gt;"",H1083=""),"; Dept has not set a cost centre","")&amp;IF(AND($C1083&lt;&gt;"",J1083=""),"; Dept has not set a tax code","")&amp;IF(AND($C1083&lt;&gt;"",N1083=""),"; Dept has not entered an expected value","")&amp;IF((IF(OR(COUNTA(S1083:U1083)=0,AND(COUNTA(S1083:U1083)=3,ISNUMBER(U1083))),0,1)+IF(OR(COUNTA(V1083:X1083)=0,AND(COUNTA(V1083:X1083)=3,ISNUMBER(X1083))),0,1)+IF(OR(COUNTA(Y1083:AA1083)=0,AND(COUNTA(Y1083:AA1083)=3,ISNUMBER(AA1083))),0,1)+IF(OR(COUNTA(AB1083:AD1083)=0,AND(COUNTA(AB1083:AD1083)=3,ISNUMBER(AD1083))),0,1)+IF(OR(COUNTA(AE1083:AG1083)=0,AND(COUNTA(AE1083:AG1083)=3,ISNUMBER(AG1083))),0,1)+IF(OR(COUNTA(AH1083:AJ1083)=0,AND(COUNTA(AH1083:AJ1083)=3,ISNUMBER(AJ1083))),0,1)+IF(OR(COUNTA(AK1083:AM1083)=0,AND(COUNTA(AK1083:AM1083)=3,ISNUMBER(AM1083))),0,1)+IF(OR(COUNTA(AN1083:AP1083)=0,AND(COUNTA(AN1083:AP1083)=3,ISNUMBER(AP1083))),0,1)+IF(OR(COUNTA(AQ1083:AS1083)=0,AND(COUNTA(AQ1083:AS1083)=3,ISNUMBER(AS1083))),0,1)+IF(OR(COUNTA(AT1083:AV1083)=0,AND(COUNTA(AT1083:AV1083)=3,ISNUMBER(AV1083))),0,1)+IF(OR(COUNTA(AW1083:AY1083)=0,AND(COUNTA(AW1083:AY1083)=3,ISNUMBER(AY1083))),0,1)+IF(OR(COUNTA(AZ1083:BB1083)=0,AND(COUNTA(AZ1083:BB1083)=3,ISNUMBER(BB1083))),0,1))&gt;0,"; An invoice is incomplete (needs No, Date and a number in Ex GST)","")&amp;IF((IF(T1083="",0,IFERROR(--(EOMONTH(T1083,0)&lt;&gt;S$5),1))+IF(W1083="",0,IFERROR(--(EOMONTH(W1083,0)&lt;&gt;V$5),1))+IF(Z1083="",0,IFERROR(--(EOMONTH(Z1083,0)&lt;&gt;Y$5),1))+IF(AC1083="",0,IFERROR(--(EOMONTH(AC1083,0)&lt;&gt;AB$5),1))+IF(AF1083="",0,IFERROR(--(EOMONTH(AF1083,0)&lt;&gt;AE$5),1))+IF(AI1083="",0,IFERROR(--(EOMONTH(AI1083,0)&lt;&gt;AH$5),1))+IF(AL1083="",0,IFERROR(--(EOMONTH(AL1083,0)&lt;&gt;AK$5),1))+IF(AO1083="",0,IFERROR(--(EOMONTH(AO1083,0)&lt;&gt;AN$5),1))+IF(AR1083="",0,IFERROR(--(EOMONTH(AR1083,0)&lt;&gt;AQ$5),1))+IF(AU1083="",0,IFERROR(--(EOMONTH(AU1083,0)&lt;&gt;AT$5),1))+IF(AX1083="",0,IFERROR(--(EOMONTH(AX1083,0)&lt;&gt;AW$5),1))+IF(BA1083="",0,IFERROR(--(EOMONTH(BA1083,0)&lt;&gt;AZ$5),1)))&gt;0,"; An invoice date is not in the month it is typed under",""),3,500))</f>
        <v/>
      </c>
      <c r="S1083" s="12" t="n"/>
      <c r="T1083" s="13" t="n"/>
      <c r="U1083" s="14" t="n"/>
      <c r="V1083" s="12" t="n"/>
      <c r="W1083" s="13" t="n"/>
      <c r="X1083" s="14" t="n"/>
      <c r="Y1083" s="12" t="n"/>
      <c r="Z1083" s="13" t="n"/>
      <c r="AA1083" s="14" t="n"/>
      <c r="AB1083" s="12" t="n"/>
      <c r="AC1083" s="13" t="n"/>
      <c r="AD1083" s="14" t="n"/>
      <c r="AE1083" s="12" t="n"/>
      <c r="AF1083" s="13" t="n"/>
      <c r="AG1083" s="14" t="n"/>
      <c r="AH1083" s="12" t="n"/>
      <c r="AI1083" s="13" t="n"/>
      <c r="AJ1083" s="14" t="n"/>
      <c r="AK1083" s="12" t="n"/>
      <c r="AL1083" s="13" t="n"/>
      <c r="AM1083" s="14" t="n"/>
      <c r="AN1083" s="12" t="n"/>
      <c r="AO1083" s="13" t="n"/>
      <c r="AP1083" s="14" t="n"/>
      <c r="AQ1083" s="12" t="n"/>
      <c r="AR1083" s="13" t="n"/>
      <c r="AS1083" s="14" t="n"/>
      <c r="AT1083" s="12" t="n"/>
      <c r="AU1083" s="13" t="n"/>
      <c r="AV1083" s="14" t="n"/>
      <c r="AW1083" s="12" t="n"/>
      <c r="AX1083" s="13" t="n"/>
      <c r="AY1083" s="14" t="n"/>
      <c r="AZ1083" s="12" t="n"/>
      <c r="BA1083" s="13" t="n"/>
      <c r="BB1083" s="14" t="n"/>
      <c r="BC1083" s="11">
        <f>IF(O1083="","",IF(J1083="GST 10%",ROUND(O1083*set_GSTRate,2),0))</f>
        <v/>
      </c>
      <c r="BD1083" s="11">
        <f>IF(O1083="","",O1083+BC1083)</f>
        <v/>
      </c>
      <c r="BE1083" s="15">
        <f>IF(O1083="","",COUNTA(S1083,V1083,Y1083,AB1083,AE1083,AH1083,AK1083,AN1083,AQ1083,AT1083,AW1083,AZ1083))</f>
        <v/>
      </c>
      <c r="BF1083" s="16">
        <f>IF(COUNT(T1083,W1083,Z1083,AC1083,AF1083,AI1083,AL1083,AO1083,AR1083,AU1083,AX1083,BA1083)=0,"",MAX(T1083,W1083,Z1083,AC1083,AF1083,AI1083,AL1083,AO1083,AR1083,AU1083,AX1083,BA1083))</f>
        <v/>
      </c>
      <c r="BG1083" s="10">
        <f>MID(IF(S1083="","",", "&amp;S1083)&amp;IF(V1083="","",", "&amp;V1083)&amp;IF(Y1083="","",", "&amp;Y1083)&amp;IF(AB1083="","",", "&amp;AB1083)&amp;IF(AE1083="","",", "&amp;AE1083)&amp;IF(AH1083="","",", "&amp;AH1083)&amp;IF(AK1083="","",", "&amp;AK1083)&amp;IF(AN1083="","",", "&amp;AN1083)&amp;IF(AQ1083="","",", "&amp;AQ1083)&amp;IF(AT1083="","",", "&amp;AT1083)&amp;IF(AW1083="","",", "&amp;AW1083)&amp;IF(AZ1083="","",", "&amp;AZ1083),3,500)</f>
        <v/>
      </c>
      <c r="BH1083" s="12" t="n"/>
      <c r="BI1083" s="15">
        <f>IFERROR(MATCH($A1083,IF($B1083="Onsite",tbl_Onsite[Row ID],IF($B1083="Production",tbl_Production[Row ID],tbl_Consulting[Row ID])),0),"")</f>
        <v/>
      </c>
    </row>
    <row r="1084">
      <c r="A1084" s="10" t="inlineStr">
        <is>
          <t>CON-0078</t>
        </is>
      </c>
      <c r="B1084" s="10" t="inlineStr">
        <is>
          <t>Consulting</t>
        </is>
      </c>
      <c r="C1084" s="10">
        <f>IF($BI1084="","",IF($B1084="Onsite",INDEX(tbl_Onsite[Job Number],$BI1084),IF($B1084="Production",INDEX(tbl_Production[Job Number],$BI1084),INDEX(tbl_Consulting[Job Number],$BI1084)))&amp;"")</f>
        <v/>
      </c>
      <c r="D1084" s="10">
        <f>IF($BI1084="","",IF($B1084="Onsite",INDEX(tbl_Onsite[Client],$BI1084),IF($B1084="Production",INDEX(tbl_Production[Client],$BI1084),INDEX(tbl_Consulting[Client],$BI1084)))&amp;"")</f>
        <v/>
      </c>
      <c r="E1084" s="10">
        <f>IF($C1084="","",IF(COUNTIF(lst_Jobs,$C1084)&gt;0,"OK","CHECK"))</f>
        <v/>
      </c>
      <c r="F1084" s="10">
        <f>IF($C1084="","",IFERROR(INDEX(lst_JobName,MATCH($C1084,lst_Jobs,0)),""))</f>
        <v/>
      </c>
      <c r="G1084" s="10">
        <f>IF($BI1084="","",IF($B1084="Onsite",INDEX(tbl_Onsite[Job Description],$BI1084),IF($B1084="Production",INDEX(tbl_Production[Job Description],$BI1084),INDEX(tbl_Consulting[Job Description],$BI1084)))&amp;"")</f>
        <v/>
      </c>
      <c r="H1084" s="10">
        <f>IF($BI1084="","",IF($B1084="Onsite",INDEX(tbl_Onsite[Cost Centre],$BI1084),IF($B1084="Production",INDEX(tbl_Production[Cost Centre],$BI1084),INDEX(tbl_Consulting[Cost Centre],$BI1084)))&amp;"")</f>
        <v/>
      </c>
      <c r="I1084" s="10">
        <f>IF($BI1084="","",IF($B1084="Onsite",INDEX(tbl_Onsite[Invoice Type],$BI1084),IF($B1084="Production",INDEX(tbl_Production[Invoice Type],$BI1084),INDEX(tbl_Consulting[Invoice Type],$BI1084)))&amp;"")</f>
        <v/>
      </c>
      <c r="J1084" s="10">
        <f>IF($BI1084="","",IF($B1084="Onsite",INDEX(tbl_Onsite[Tax Code],$BI1084),IF($B1084="Production",INDEX(tbl_Production[Tax Code],$BI1084),INDEX(tbl_Consulting[Tax Code],$BI1084)))&amp;"")</f>
        <v/>
      </c>
      <c r="K1084" s="10">
        <f>IF(H1084="","",IFERROR(INDEX(lst_CCtoGL,MATCH(H1084,lst_CCforGL,0)),""))</f>
        <v/>
      </c>
      <c r="L1084" s="10">
        <f>IF($BI1084="","",IF($B1084="Onsite",INDEX(tbl_Onsite[PO / Reference],$BI1084),IF($B1084="Production",INDEX(tbl_Production[Current RMS No],$BI1084),INDEX(tbl_Consulting[Qwilr Quote],$BI1084)))&amp;"")</f>
        <v/>
      </c>
      <c r="M1084" s="10">
        <f>IF($BI1084="","",IF($B1084="Onsite",INDEX(tbl_Onsite[Notes],$BI1084),IF($B1084="Production",INDEX(tbl_Production[Notes],$BI1084),INDEX(tbl_Consulting[Notes],$BI1084)))&amp;"")</f>
        <v/>
      </c>
      <c r="N1084" s="11">
        <f>IF($BI1084="","",IF(IF($B1084="Onsite",INDEX(tbl_Onsite[Expected Revenue Ex GST],$BI1084),IF($B1084="Production",INDEX(tbl_Production[Expected Revenue Ex GST],$BI1084),INDEX(tbl_Consulting[Expected Revenue Ex GST],$BI1084)))="","",IF($B1084="Onsite",INDEX(tbl_Onsite[Expected Revenue Ex GST],$BI1084),IF($B1084="Production",INDEX(tbl_Production[Expected Revenue Ex GST],$BI1084),INDEX(tbl_Consulting[Expected Revenue Ex GST],$BI1084)))))</f>
        <v/>
      </c>
      <c r="O1084" s="11">
        <f>IF(AND($C1084="",NOT(COUNTA($S1084:$BB1084)&gt;0)),"",SUM(U1084,X1084,AA1084,AD1084,AG1084,AJ1084,AM1084,AP1084,AS1084,AV1084,AY1084,BB1084))</f>
        <v/>
      </c>
      <c r="P1084" s="11">
        <f>IF(O1084="","",N(N1084)-O1084)</f>
        <v/>
      </c>
      <c r="Q1084" s="10">
        <f>IF(O1084="","",IF($C1084="","Invoice on empty job row",IF(N1084="",IF(ROUND(O1084,2)=0,"No dept value","Invoiced - no dept value"),IF(ROUND(O1084,2)=0,"Not invoiced - to invoice",IF(ROUND(P1084,2)=0,"Agrees",IF(P1084&gt;0,"Dept higher - to invoice","Xero higher - check dept"))))))</f>
        <v/>
      </c>
      <c r="R1084" s="10">
        <f>IF(AND($C1084="",NOT(COUNTA($S1084:$BB1084)&gt;0),$BI1084&lt;&gt;""),"",MID(IF($BI1084="","; Row ID not found on the department sheet - a row was deleted","")&amp;IF(AND($C1084="",COUNTA($S1084:$BB1084)&gt;0),"; Invoice entered but the department row has no job number","")&amp;IF(E1084="CHECK","; Job number not in the Xero job list","")&amp;IF(AND($C1084&lt;&gt;"",COUNTIF($C$7:$C$1506,$C1084)&gt;1),"; Job number on more than one row","")&amp;IF(AND($C1084&lt;&gt;"",H1084=""),"; Dept has not set a cost centre","")&amp;IF(AND($C1084&lt;&gt;"",J1084=""),"; Dept has not set a tax code","")&amp;IF(AND($C1084&lt;&gt;"",N1084=""),"; Dept has not entered an expected value","")&amp;IF((IF(OR(COUNTA(S1084:U1084)=0,AND(COUNTA(S1084:U1084)=3,ISNUMBER(U1084))),0,1)+IF(OR(COUNTA(V1084:X1084)=0,AND(COUNTA(V1084:X1084)=3,ISNUMBER(X1084))),0,1)+IF(OR(COUNTA(Y1084:AA1084)=0,AND(COUNTA(Y1084:AA1084)=3,ISNUMBER(AA1084))),0,1)+IF(OR(COUNTA(AB1084:AD1084)=0,AND(COUNTA(AB1084:AD1084)=3,ISNUMBER(AD1084))),0,1)+IF(OR(COUNTA(AE1084:AG1084)=0,AND(COUNTA(AE1084:AG1084)=3,ISNUMBER(AG1084))),0,1)+IF(OR(COUNTA(AH1084:AJ1084)=0,AND(COUNTA(AH1084:AJ1084)=3,ISNUMBER(AJ1084))),0,1)+IF(OR(COUNTA(AK1084:AM1084)=0,AND(COUNTA(AK1084:AM1084)=3,ISNUMBER(AM1084))),0,1)+IF(OR(COUNTA(AN1084:AP1084)=0,AND(COUNTA(AN1084:AP1084)=3,ISNUMBER(AP1084))),0,1)+IF(OR(COUNTA(AQ1084:AS1084)=0,AND(COUNTA(AQ1084:AS1084)=3,ISNUMBER(AS1084))),0,1)+IF(OR(COUNTA(AT1084:AV1084)=0,AND(COUNTA(AT1084:AV1084)=3,ISNUMBER(AV1084))),0,1)+IF(OR(COUNTA(AW1084:AY1084)=0,AND(COUNTA(AW1084:AY1084)=3,ISNUMBER(AY1084))),0,1)+IF(OR(COUNTA(AZ1084:BB1084)=0,AND(COUNTA(AZ1084:BB1084)=3,ISNUMBER(BB1084))),0,1))&gt;0,"; An invoice is incomplete (needs No, Date and a number in Ex GST)","")&amp;IF((IF(T1084="",0,IFERROR(--(EOMONTH(T1084,0)&lt;&gt;S$5),1))+IF(W1084="",0,IFERROR(--(EOMONTH(W1084,0)&lt;&gt;V$5),1))+IF(Z1084="",0,IFERROR(--(EOMONTH(Z1084,0)&lt;&gt;Y$5),1))+IF(AC1084="",0,IFERROR(--(EOMONTH(AC1084,0)&lt;&gt;AB$5),1))+IF(AF1084="",0,IFERROR(--(EOMONTH(AF1084,0)&lt;&gt;AE$5),1))+IF(AI1084="",0,IFERROR(--(EOMONTH(AI1084,0)&lt;&gt;AH$5),1))+IF(AL1084="",0,IFERROR(--(EOMONTH(AL1084,0)&lt;&gt;AK$5),1))+IF(AO1084="",0,IFERROR(--(EOMONTH(AO1084,0)&lt;&gt;AN$5),1))+IF(AR1084="",0,IFERROR(--(EOMONTH(AR1084,0)&lt;&gt;AQ$5),1))+IF(AU1084="",0,IFERROR(--(EOMONTH(AU1084,0)&lt;&gt;AT$5),1))+IF(AX1084="",0,IFERROR(--(EOMONTH(AX1084,0)&lt;&gt;AW$5),1))+IF(BA1084="",0,IFERROR(--(EOMONTH(BA1084,0)&lt;&gt;AZ$5),1)))&gt;0,"; An invoice date is not in the month it is typed under",""),3,500))</f>
        <v/>
      </c>
      <c r="S1084" s="12" t="n"/>
      <c r="T1084" s="13" t="n"/>
      <c r="U1084" s="14" t="n"/>
      <c r="V1084" s="12" t="n"/>
      <c r="W1084" s="13" t="n"/>
      <c r="X1084" s="14" t="n"/>
      <c r="Y1084" s="12" t="n"/>
      <c r="Z1084" s="13" t="n"/>
      <c r="AA1084" s="14" t="n"/>
      <c r="AB1084" s="12" t="n"/>
      <c r="AC1084" s="13" t="n"/>
      <c r="AD1084" s="14" t="n"/>
      <c r="AE1084" s="12" t="n"/>
      <c r="AF1084" s="13" t="n"/>
      <c r="AG1084" s="14" t="n"/>
      <c r="AH1084" s="12" t="n"/>
      <c r="AI1084" s="13" t="n"/>
      <c r="AJ1084" s="14" t="n"/>
      <c r="AK1084" s="12" t="n"/>
      <c r="AL1084" s="13" t="n"/>
      <c r="AM1084" s="14" t="n"/>
      <c r="AN1084" s="12" t="n"/>
      <c r="AO1084" s="13" t="n"/>
      <c r="AP1084" s="14" t="n"/>
      <c r="AQ1084" s="12" t="n"/>
      <c r="AR1084" s="13" t="n"/>
      <c r="AS1084" s="14" t="n"/>
      <c r="AT1084" s="12" t="n"/>
      <c r="AU1084" s="13" t="n"/>
      <c r="AV1084" s="14" t="n"/>
      <c r="AW1084" s="12" t="n"/>
      <c r="AX1084" s="13" t="n"/>
      <c r="AY1084" s="14" t="n"/>
      <c r="AZ1084" s="12" t="n"/>
      <c r="BA1084" s="13" t="n"/>
      <c r="BB1084" s="14" t="n"/>
      <c r="BC1084" s="11">
        <f>IF(O1084="","",IF(J1084="GST 10%",ROUND(O1084*set_GSTRate,2),0))</f>
        <v/>
      </c>
      <c r="BD1084" s="11">
        <f>IF(O1084="","",O1084+BC1084)</f>
        <v/>
      </c>
      <c r="BE1084" s="15">
        <f>IF(O1084="","",COUNTA(S1084,V1084,Y1084,AB1084,AE1084,AH1084,AK1084,AN1084,AQ1084,AT1084,AW1084,AZ1084))</f>
        <v/>
      </c>
      <c r="BF1084" s="16">
        <f>IF(COUNT(T1084,W1084,Z1084,AC1084,AF1084,AI1084,AL1084,AO1084,AR1084,AU1084,AX1084,BA1084)=0,"",MAX(T1084,W1084,Z1084,AC1084,AF1084,AI1084,AL1084,AO1084,AR1084,AU1084,AX1084,BA1084))</f>
        <v/>
      </c>
      <c r="BG1084" s="10">
        <f>MID(IF(S1084="","",", "&amp;S1084)&amp;IF(V1084="","",", "&amp;V1084)&amp;IF(Y1084="","",", "&amp;Y1084)&amp;IF(AB1084="","",", "&amp;AB1084)&amp;IF(AE1084="","",", "&amp;AE1084)&amp;IF(AH1084="","",", "&amp;AH1084)&amp;IF(AK1084="","",", "&amp;AK1084)&amp;IF(AN1084="","",", "&amp;AN1084)&amp;IF(AQ1084="","",", "&amp;AQ1084)&amp;IF(AT1084="","",", "&amp;AT1084)&amp;IF(AW1084="","",", "&amp;AW1084)&amp;IF(AZ1084="","",", "&amp;AZ1084),3,500)</f>
        <v/>
      </c>
      <c r="BH1084" s="12" t="n"/>
      <c r="BI1084" s="15">
        <f>IFERROR(MATCH($A1084,IF($B1084="Onsite",tbl_Onsite[Row ID],IF($B1084="Production",tbl_Production[Row ID],tbl_Consulting[Row ID])),0),"")</f>
        <v/>
      </c>
    </row>
    <row r="1085">
      <c r="A1085" s="10" t="inlineStr">
        <is>
          <t>CON-0079</t>
        </is>
      </c>
      <c r="B1085" s="10" t="inlineStr">
        <is>
          <t>Consulting</t>
        </is>
      </c>
      <c r="C1085" s="10">
        <f>IF($BI1085="","",IF($B1085="Onsite",INDEX(tbl_Onsite[Job Number],$BI1085),IF($B1085="Production",INDEX(tbl_Production[Job Number],$BI1085),INDEX(tbl_Consulting[Job Number],$BI1085)))&amp;"")</f>
        <v/>
      </c>
      <c r="D1085" s="10">
        <f>IF($BI1085="","",IF($B1085="Onsite",INDEX(tbl_Onsite[Client],$BI1085),IF($B1085="Production",INDEX(tbl_Production[Client],$BI1085),INDEX(tbl_Consulting[Client],$BI1085)))&amp;"")</f>
        <v/>
      </c>
      <c r="E1085" s="10">
        <f>IF($C1085="","",IF(COUNTIF(lst_Jobs,$C1085)&gt;0,"OK","CHECK"))</f>
        <v/>
      </c>
      <c r="F1085" s="10">
        <f>IF($C1085="","",IFERROR(INDEX(lst_JobName,MATCH($C1085,lst_Jobs,0)),""))</f>
        <v/>
      </c>
      <c r="G1085" s="10">
        <f>IF($BI1085="","",IF($B1085="Onsite",INDEX(tbl_Onsite[Job Description],$BI1085),IF($B1085="Production",INDEX(tbl_Production[Job Description],$BI1085),INDEX(tbl_Consulting[Job Description],$BI1085)))&amp;"")</f>
        <v/>
      </c>
      <c r="H1085" s="10">
        <f>IF($BI1085="","",IF($B1085="Onsite",INDEX(tbl_Onsite[Cost Centre],$BI1085),IF($B1085="Production",INDEX(tbl_Production[Cost Centre],$BI1085),INDEX(tbl_Consulting[Cost Centre],$BI1085)))&amp;"")</f>
        <v/>
      </c>
      <c r="I1085" s="10">
        <f>IF($BI1085="","",IF($B1085="Onsite",INDEX(tbl_Onsite[Invoice Type],$BI1085),IF($B1085="Production",INDEX(tbl_Production[Invoice Type],$BI1085),INDEX(tbl_Consulting[Invoice Type],$BI1085)))&amp;"")</f>
        <v/>
      </c>
      <c r="J1085" s="10">
        <f>IF($BI1085="","",IF($B1085="Onsite",INDEX(tbl_Onsite[Tax Code],$BI1085),IF($B1085="Production",INDEX(tbl_Production[Tax Code],$BI1085),INDEX(tbl_Consulting[Tax Code],$BI1085)))&amp;"")</f>
        <v/>
      </c>
      <c r="K1085" s="10">
        <f>IF(H1085="","",IFERROR(INDEX(lst_CCtoGL,MATCH(H1085,lst_CCforGL,0)),""))</f>
        <v/>
      </c>
      <c r="L1085" s="10">
        <f>IF($BI1085="","",IF($B1085="Onsite",INDEX(tbl_Onsite[PO / Reference],$BI1085),IF($B1085="Production",INDEX(tbl_Production[Current RMS No],$BI1085),INDEX(tbl_Consulting[Qwilr Quote],$BI1085)))&amp;"")</f>
        <v/>
      </c>
      <c r="M1085" s="10">
        <f>IF($BI1085="","",IF($B1085="Onsite",INDEX(tbl_Onsite[Notes],$BI1085),IF($B1085="Production",INDEX(tbl_Production[Notes],$BI1085),INDEX(tbl_Consulting[Notes],$BI1085)))&amp;"")</f>
        <v/>
      </c>
      <c r="N1085" s="11">
        <f>IF($BI1085="","",IF(IF($B1085="Onsite",INDEX(tbl_Onsite[Expected Revenue Ex GST],$BI1085),IF($B1085="Production",INDEX(tbl_Production[Expected Revenue Ex GST],$BI1085),INDEX(tbl_Consulting[Expected Revenue Ex GST],$BI1085)))="","",IF($B1085="Onsite",INDEX(tbl_Onsite[Expected Revenue Ex GST],$BI1085),IF($B1085="Production",INDEX(tbl_Production[Expected Revenue Ex GST],$BI1085),INDEX(tbl_Consulting[Expected Revenue Ex GST],$BI1085)))))</f>
        <v/>
      </c>
      <c r="O1085" s="11">
        <f>IF(AND($C1085="",NOT(COUNTA($S1085:$BB1085)&gt;0)),"",SUM(U1085,X1085,AA1085,AD1085,AG1085,AJ1085,AM1085,AP1085,AS1085,AV1085,AY1085,BB1085))</f>
        <v/>
      </c>
      <c r="P1085" s="11">
        <f>IF(O1085="","",N(N1085)-O1085)</f>
        <v/>
      </c>
      <c r="Q1085" s="10">
        <f>IF(O1085="","",IF($C1085="","Invoice on empty job row",IF(N1085="",IF(ROUND(O1085,2)=0,"No dept value","Invoiced - no dept value"),IF(ROUND(O1085,2)=0,"Not invoiced - to invoice",IF(ROUND(P1085,2)=0,"Agrees",IF(P1085&gt;0,"Dept higher - to invoice","Xero higher - check dept"))))))</f>
        <v/>
      </c>
      <c r="R1085" s="10">
        <f>IF(AND($C1085="",NOT(COUNTA($S1085:$BB1085)&gt;0),$BI1085&lt;&gt;""),"",MID(IF($BI1085="","; Row ID not found on the department sheet - a row was deleted","")&amp;IF(AND($C1085="",COUNTA($S1085:$BB1085)&gt;0),"; Invoice entered but the department row has no job number","")&amp;IF(E1085="CHECK","; Job number not in the Xero job list","")&amp;IF(AND($C1085&lt;&gt;"",COUNTIF($C$7:$C$1506,$C1085)&gt;1),"; Job number on more than one row","")&amp;IF(AND($C1085&lt;&gt;"",H1085=""),"; Dept has not set a cost centre","")&amp;IF(AND($C1085&lt;&gt;"",J1085=""),"; Dept has not set a tax code","")&amp;IF(AND($C1085&lt;&gt;"",N1085=""),"; Dept has not entered an expected value","")&amp;IF((IF(OR(COUNTA(S1085:U1085)=0,AND(COUNTA(S1085:U1085)=3,ISNUMBER(U1085))),0,1)+IF(OR(COUNTA(V1085:X1085)=0,AND(COUNTA(V1085:X1085)=3,ISNUMBER(X1085))),0,1)+IF(OR(COUNTA(Y1085:AA1085)=0,AND(COUNTA(Y1085:AA1085)=3,ISNUMBER(AA1085))),0,1)+IF(OR(COUNTA(AB1085:AD1085)=0,AND(COUNTA(AB1085:AD1085)=3,ISNUMBER(AD1085))),0,1)+IF(OR(COUNTA(AE1085:AG1085)=0,AND(COUNTA(AE1085:AG1085)=3,ISNUMBER(AG1085))),0,1)+IF(OR(COUNTA(AH1085:AJ1085)=0,AND(COUNTA(AH1085:AJ1085)=3,ISNUMBER(AJ1085))),0,1)+IF(OR(COUNTA(AK1085:AM1085)=0,AND(COUNTA(AK1085:AM1085)=3,ISNUMBER(AM1085))),0,1)+IF(OR(COUNTA(AN1085:AP1085)=0,AND(COUNTA(AN1085:AP1085)=3,ISNUMBER(AP1085))),0,1)+IF(OR(COUNTA(AQ1085:AS1085)=0,AND(COUNTA(AQ1085:AS1085)=3,ISNUMBER(AS1085))),0,1)+IF(OR(COUNTA(AT1085:AV1085)=0,AND(COUNTA(AT1085:AV1085)=3,ISNUMBER(AV1085))),0,1)+IF(OR(COUNTA(AW1085:AY1085)=0,AND(COUNTA(AW1085:AY1085)=3,ISNUMBER(AY1085))),0,1)+IF(OR(COUNTA(AZ1085:BB1085)=0,AND(COUNTA(AZ1085:BB1085)=3,ISNUMBER(BB1085))),0,1))&gt;0,"; An invoice is incomplete (needs No, Date and a number in Ex GST)","")&amp;IF((IF(T1085="",0,IFERROR(--(EOMONTH(T1085,0)&lt;&gt;S$5),1))+IF(W1085="",0,IFERROR(--(EOMONTH(W1085,0)&lt;&gt;V$5),1))+IF(Z1085="",0,IFERROR(--(EOMONTH(Z1085,0)&lt;&gt;Y$5),1))+IF(AC1085="",0,IFERROR(--(EOMONTH(AC1085,0)&lt;&gt;AB$5),1))+IF(AF1085="",0,IFERROR(--(EOMONTH(AF1085,0)&lt;&gt;AE$5),1))+IF(AI1085="",0,IFERROR(--(EOMONTH(AI1085,0)&lt;&gt;AH$5),1))+IF(AL1085="",0,IFERROR(--(EOMONTH(AL1085,0)&lt;&gt;AK$5),1))+IF(AO1085="",0,IFERROR(--(EOMONTH(AO1085,0)&lt;&gt;AN$5),1))+IF(AR1085="",0,IFERROR(--(EOMONTH(AR1085,0)&lt;&gt;AQ$5),1))+IF(AU1085="",0,IFERROR(--(EOMONTH(AU1085,0)&lt;&gt;AT$5),1))+IF(AX1085="",0,IFERROR(--(EOMONTH(AX1085,0)&lt;&gt;AW$5),1))+IF(BA1085="",0,IFERROR(--(EOMONTH(BA1085,0)&lt;&gt;AZ$5),1)))&gt;0,"; An invoice date is not in the month it is typed under",""),3,500))</f>
        <v/>
      </c>
      <c r="S1085" s="12" t="n"/>
      <c r="T1085" s="13" t="n"/>
      <c r="U1085" s="14" t="n"/>
      <c r="V1085" s="12" t="n"/>
      <c r="W1085" s="13" t="n"/>
      <c r="X1085" s="14" t="n"/>
      <c r="Y1085" s="12" t="n"/>
      <c r="Z1085" s="13" t="n"/>
      <c r="AA1085" s="14" t="n"/>
      <c r="AB1085" s="12" t="n"/>
      <c r="AC1085" s="13" t="n"/>
      <c r="AD1085" s="14" t="n"/>
      <c r="AE1085" s="12" t="n"/>
      <c r="AF1085" s="13" t="n"/>
      <c r="AG1085" s="14" t="n"/>
      <c r="AH1085" s="12" t="n"/>
      <c r="AI1085" s="13" t="n"/>
      <c r="AJ1085" s="14" t="n"/>
      <c r="AK1085" s="12" t="n"/>
      <c r="AL1085" s="13" t="n"/>
      <c r="AM1085" s="14" t="n"/>
      <c r="AN1085" s="12" t="n"/>
      <c r="AO1085" s="13" t="n"/>
      <c r="AP1085" s="14" t="n"/>
      <c r="AQ1085" s="12" t="n"/>
      <c r="AR1085" s="13" t="n"/>
      <c r="AS1085" s="14" t="n"/>
      <c r="AT1085" s="12" t="n"/>
      <c r="AU1085" s="13" t="n"/>
      <c r="AV1085" s="14" t="n"/>
      <c r="AW1085" s="12" t="n"/>
      <c r="AX1085" s="13" t="n"/>
      <c r="AY1085" s="14" t="n"/>
      <c r="AZ1085" s="12" t="n"/>
      <c r="BA1085" s="13" t="n"/>
      <c r="BB1085" s="14" t="n"/>
      <c r="BC1085" s="11">
        <f>IF(O1085="","",IF(J1085="GST 10%",ROUND(O1085*set_GSTRate,2),0))</f>
        <v/>
      </c>
      <c r="BD1085" s="11">
        <f>IF(O1085="","",O1085+BC1085)</f>
        <v/>
      </c>
      <c r="BE1085" s="15">
        <f>IF(O1085="","",COUNTA(S1085,V1085,Y1085,AB1085,AE1085,AH1085,AK1085,AN1085,AQ1085,AT1085,AW1085,AZ1085))</f>
        <v/>
      </c>
      <c r="BF1085" s="16">
        <f>IF(COUNT(T1085,W1085,Z1085,AC1085,AF1085,AI1085,AL1085,AO1085,AR1085,AU1085,AX1085,BA1085)=0,"",MAX(T1085,W1085,Z1085,AC1085,AF1085,AI1085,AL1085,AO1085,AR1085,AU1085,AX1085,BA1085))</f>
        <v/>
      </c>
      <c r="BG1085" s="10">
        <f>MID(IF(S1085="","",", "&amp;S1085)&amp;IF(V1085="","",", "&amp;V1085)&amp;IF(Y1085="","",", "&amp;Y1085)&amp;IF(AB1085="","",", "&amp;AB1085)&amp;IF(AE1085="","",", "&amp;AE1085)&amp;IF(AH1085="","",", "&amp;AH1085)&amp;IF(AK1085="","",", "&amp;AK1085)&amp;IF(AN1085="","",", "&amp;AN1085)&amp;IF(AQ1085="","",", "&amp;AQ1085)&amp;IF(AT1085="","",", "&amp;AT1085)&amp;IF(AW1085="","",", "&amp;AW1085)&amp;IF(AZ1085="","",", "&amp;AZ1085),3,500)</f>
        <v/>
      </c>
      <c r="BH1085" s="12" t="n"/>
      <c r="BI1085" s="15">
        <f>IFERROR(MATCH($A1085,IF($B1085="Onsite",tbl_Onsite[Row ID],IF($B1085="Production",tbl_Production[Row ID],tbl_Consulting[Row ID])),0),"")</f>
        <v/>
      </c>
    </row>
    <row r="1086">
      <c r="A1086" s="10" t="inlineStr">
        <is>
          <t>CON-0080</t>
        </is>
      </c>
      <c r="B1086" s="10" t="inlineStr">
        <is>
          <t>Consulting</t>
        </is>
      </c>
      <c r="C1086" s="10">
        <f>IF($BI1086="","",IF($B1086="Onsite",INDEX(tbl_Onsite[Job Number],$BI1086),IF($B1086="Production",INDEX(tbl_Production[Job Number],$BI1086),INDEX(tbl_Consulting[Job Number],$BI1086)))&amp;"")</f>
        <v/>
      </c>
      <c r="D1086" s="10">
        <f>IF($BI1086="","",IF($B1086="Onsite",INDEX(tbl_Onsite[Client],$BI1086),IF($B1086="Production",INDEX(tbl_Production[Client],$BI1086),INDEX(tbl_Consulting[Client],$BI1086)))&amp;"")</f>
        <v/>
      </c>
      <c r="E1086" s="10">
        <f>IF($C1086="","",IF(COUNTIF(lst_Jobs,$C1086)&gt;0,"OK","CHECK"))</f>
        <v/>
      </c>
      <c r="F1086" s="10">
        <f>IF($C1086="","",IFERROR(INDEX(lst_JobName,MATCH($C1086,lst_Jobs,0)),""))</f>
        <v/>
      </c>
      <c r="G1086" s="10">
        <f>IF($BI1086="","",IF($B1086="Onsite",INDEX(tbl_Onsite[Job Description],$BI1086),IF($B1086="Production",INDEX(tbl_Production[Job Description],$BI1086),INDEX(tbl_Consulting[Job Description],$BI1086)))&amp;"")</f>
        <v/>
      </c>
      <c r="H1086" s="10">
        <f>IF($BI1086="","",IF($B1086="Onsite",INDEX(tbl_Onsite[Cost Centre],$BI1086),IF($B1086="Production",INDEX(tbl_Production[Cost Centre],$BI1086),INDEX(tbl_Consulting[Cost Centre],$BI1086)))&amp;"")</f>
        <v/>
      </c>
      <c r="I1086" s="10">
        <f>IF($BI1086="","",IF($B1086="Onsite",INDEX(tbl_Onsite[Invoice Type],$BI1086),IF($B1086="Production",INDEX(tbl_Production[Invoice Type],$BI1086),INDEX(tbl_Consulting[Invoice Type],$BI1086)))&amp;"")</f>
        <v/>
      </c>
      <c r="J1086" s="10">
        <f>IF($BI1086="","",IF($B1086="Onsite",INDEX(tbl_Onsite[Tax Code],$BI1086),IF($B1086="Production",INDEX(tbl_Production[Tax Code],$BI1086),INDEX(tbl_Consulting[Tax Code],$BI1086)))&amp;"")</f>
        <v/>
      </c>
      <c r="K1086" s="10">
        <f>IF(H1086="","",IFERROR(INDEX(lst_CCtoGL,MATCH(H1086,lst_CCforGL,0)),""))</f>
        <v/>
      </c>
      <c r="L1086" s="10">
        <f>IF($BI1086="","",IF($B1086="Onsite",INDEX(tbl_Onsite[PO / Reference],$BI1086),IF($B1086="Production",INDEX(tbl_Production[Current RMS No],$BI1086),INDEX(tbl_Consulting[Qwilr Quote],$BI1086)))&amp;"")</f>
        <v/>
      </c>
      <c r="M1086" s="10">
        <f>IF($BI1086="","",IF($B1086="Onsite",INDEX(tbl_Onsite[Notes],$BI1086),IF($B1086="Production",INDEX(tbl_Production[Notes],$BI1086),INDEX(tbl_Consulting[Notes],$BI1086)))&amp;"")</f>
        <v/>
      </c>
      <c r="N1086" s="11">
        <f>IF($BI1086="","",IF(IF($B1086="Onsite",INDEX(tbl_Onsite[Expected Revenue Ex GST],$BI1086),IF($B1086="Production",INDEX(tbl_Production[Expected Revenue Ex GST],$BI1086),INDEX(tbl_Consulting[Expected Revenue Ex GST],$BI1086)))="","",IF($B1086="Onsite",INDEX(tbl_Onsite[Expected Revenue Ex GST],$BI1086),IF($B1086="Production",INDEX(tbl_Production[Expected Revenue Ex GST],$BI1086),INDEX(tbl_Consulting[Expected Revenue Ex GST],$BI1086)))))</f>
        <v/>
      </c>
      <c r="O1086" s="11">
        <f>IF(AND($C1086="",NOT(COUNTA($S1086:$BB1086)&gt;0)),"",SUM(U1086,X1086,AA1086,AD1086,AG1086,AJ1086,AM1086,AP1086,AS1086,AV1086,AY1086,BB1086))</f>
        <v/>
      </c>
      <c r="P1086" s="11">
        <f>IF(O1086="","",N(N1086)-O1086)</f>
        <v/>
      </c>
      <c r="Q1086" s="10">
        <f>IF(O1086="","",IF($C1086="","Invoice on empty job row",IF(N1086="",IF(ROUND(O1086,2)=0,"No dept value","Invoiced - no dept value"),IF(ROUND(O1086,2)=0,"Not invoiced - to invoice",IF(ROUND(P1086,2)=0,"Agrees",IF(P1086&gt;0,"Dept higher - to invoice","Xero higher - check dept"))))))</f>
        <v/>
      </c>
      <c r="R1086" s="10">
        <f>IF(AND($C1086="",NOT(COUNTA($S1086:$BB1086)&gt;0),$BI1086&lt;&gt;""),"",MID(IF($BI1086="","; Row ID not found on the department sheet - a row was deleted","")&amp;IF(AND($C1086="",COUNTA($S1086:$BB1086)&gt;0),"; Invoice entered but the department row has no job number","")&amp;IF(E1086="CHECK","; Job number not in the Xero job list","")&amp;IF(AND($C1086&lt;&gt;"",COUNTIF($C$7:$C$1506,$C1086)&gt;1),"; Job number on more than one row","")&amp;IF(AND($C1086&lt;&gt;"",H1086=""),"; Dept has not set a cost centre","")&amp;IF(AND($C1086&lt;&gt;"",J1086=""),"; Dept has not set a tax code","")&amp;IF(AND($C1086&lt;&gt;"",N1086=""),"; Dept has not entered an expected value","")&amp;IF((IF(OR(COUNTA(S1086:U1086)=0,AND(COUNTA(S1086:U1086)=3,ISNUMBER(U1086))),0,1)+IF(OR(COUNTA(V1086:X1086)=0,AND(COUNTA(V1086:X1086)=3,ISNUMBER(X1086))),0,1)+IF(OR(COUNTA(Y1086:AA1086)=0,AND(COUNTA(Y1086:AA1086)=3,ISNUMBER(AA1086))),0,1)+IF(OR(COUNTA(AB1086:AD1086)=0,AND(COUNTA(AB1086:AD1086)=3,ISNUMBER(AD1086))),0,1)+IF(OR(COUNTA(AE1086:AG1086)=0,AND(COUNTA(AE1086:AG1086)=3,ISNUMBER(AG1086))),0,1)+IF(OR(COUNTA(AH1086:AJ1086)=0,AND(COUNTA(AH1086:AJ1086)=3,ISNUMBER(AJ1086))),0,1)+IF(OR(COUNTA(AK1086:AM1086)=0,AND(COUNTA(AK1086:AM1086)=3,ISNUMBER(AM1086))),0,1)+IF(OR(COUNTA(AN1086:AP1086)=0,AND(COUNTA(AN1086:AP1086)=3,ISNUMBER(AP1086))),0,1)+IF(OR(COUNTA(AQ1086:AS1086)=0,AND(COUNTA(AQ1086:AS1086)=3,ISNUMBER(AS1086))),0,1)+IF(OR(COUNTA(AT1086:AV1086)=0,AND(COUNTA(AT1086:AV1086)=3,ISNUMBER(AV1086))),0,1)+IF(OR(COUNTA(AW1086:AY1086)=0,AND(COUNTA(AW1086:AY1086)=3,ISNUMBER(AY1086))),0,1)+IF(OR(COUNTA(AZ1086:BB1086)=0,AND(COUNTA(AZ1086:BB1086)=3,ISNUMBER(BB1086))),0,1))&gt;0,"; An invoice is incomplete (needs No, Date and a number in Ex GST)","")&amp;IF((IF(T1086="",0,IFERROR(--(EOMONTH(T1086,0)&lt;&gt;S$5),1))+IF(W1086="",0,IFERROR(--(EOMONTH(W1086,0)&lt;&gt;V$5),1))+IF(Z1086="",0,IFERROR(--(EOMONTH(Z1086,0)&lt;&gt;Y$5),1))+IF(AC1086="",0,IFERROR(--(EOMONTH(AC1086,0)&lt;&gt;AB$5),1))+IF(AF1086="",0,IFERROR(--(EOMONTH(AF1086,0)&lt;&gt;AE$5),1))+IF(AI1086="",0,IFERROR(--(EOMONTH(AI1086,0)&lt;&gt;AH$5),1))+IF(AL1086="",0,IFERROR(--(EOMONTH(AL1086,0)&lt;&gt;AK$5),1))+IF(AO1086="",0,IFERROR(--(EOMONTH(AO1086,0)&lt;&gt;AN$5),1))+IF(AR1086="",0,IFERROR(--(EOMONTH(AR1086,0)&lt;&gt;AQ$5),1))+IF(AU1086="",0,IFERROR(--(EOMONTH(AU1086,0)&lt;&gt;AT$5),1))+IF(AX1086="",0,IFERROR(--(EOMONTH(AX1086,0)&lt;&gt;AW$5),1))+IF(BA1086="",0,IFERROR(--(EOMONTH(BA1086,0)&lt;&gt;AZ$5),1)))&gt;0,"; An invoice date is not in the month it is typed under",""),3,500))</f>
        <v/>
      </c>
      <c r="S1086" s="12" t="n"/>
      <c r="T1086" s="13" t="n"/>
      <c r="U1086" s="14" t="n"/>
      <c r="V1086" s="12" t="n"/>
      <c r="W1086" s="13" t="n"/>
      <c r="X1086" s="14" t="n"/>
      <c r="Y1086" s="12" t="n"/>
      <c r="Z1086" s="13" t="n"/>
      <c r="AA1086" s="14" t="n"/>
      <c r="AB1086" s="12" t="n"/>
      <c r="AC1086" s="13" t="n"/>
      <c r="AD1086" s="14" t="n"/>
      <c r="AE1086" s="12" t="n"/>
      <c r="AF1086" s="13" t="n"/>
      <c r="AG1086" s="14" t="n"/>
      <c r="AH1086" s="12" t="n"/>
      <c r="AI1086" s="13" t="n"/>
      <c r="AJ1086" s="14" t="n"/>
      <c r="AK1086" s="12" t="n"/>
      <c r="AL1086" s="13" t="n"/>
      <c r="AM1086" s="14" t="n"/>
      <c r="AN1086" s="12" t="n"/>
      <c r="AO1086" s="13" t="n"/>
      <c r="AP1086" s="14" t="n"/>
      <c r="AQ1086" s="12" t="n"/>
      <c r="AR1086" s="13" t="n"/>
      <c r="AS1086" s="14" t="n"/>
      <c r="AT1086" s="12" t="n"/>
      <c r="AU1086" s="13" t="n"/>
      <c r="AV1086" s="14" t="n"/>
      <c r="AW1086" s="12" t="n"/>
      <c r="AX1086" s="13" t="n"/>
      <c r="AY1086" s="14" t="n"/>
      <c r="AZ1086" s="12" t="n"/>
      <c r="BA1086" s="13" t="n"/>
      <c r="BB1086" s="14" t="n"/>
      <c r="BC1086" s="11">
        <f>IF(O1086="","",IF(J1086="GST 10%",ROUND(O1086*set_GSTRate,2),0))</f>
        <v/>
      </c>
      <c r="BD1086" s="11">
        <f>IF(O1086="","",O1086+BC1086)</f>
        <v/>
      </c>
      <c r="BE1086" s="15">
        <f>IF(O1086="","",COUNTA(S1086,V1086,Y1086,AB1086,AE1086,AH1086,AK1086,AN1086,AQ1086,AT1086,AW1086,AZ1086))</f>
        <v/>
      </c>
      <c r="BF1086" s="16">
        <f>IF(COUNT(T1086,W1086,Z1086,AC1086,AF1086,AI1086,AL1086,AO1086,AR1086,AU1086,AX1086,BA1086)=0,"",MAX(T1086,W1086,Z1086,AC1086,AF1086,AI1086,AL1086,AO1086,AR1086,AU1086,AX1086,BA1086))</f>
        <v/>
      </c>
      <c r="BG1086" s="10">
        <f>MID(IF(S1086="","",", "&amp;S1086)&amp;IF(V1086="","",", "&amp;V1086)&amp;IF(Y1086="","",", "&amp;Y1086)&amp;IF(AB1086="","",", "&amp;AB1086)&amp;IF(AE1086="","",", "&amp;AE1086)&amp;IF(AH1086="","",", "&amp;AH1086)&amp;IF(AK1086="","",", "&amp;AK1086)&amp;IF(AN1086="","",", "&amp;AN1086)&amp;IF(AQ1086="","",", "&amp;AQ1086)&amp;IF(AT1086="","",", "&amp;AT1086)&amp;IF(AW1086="","",", "&amp;AW1086)&amp;IF(AZ1086="","",", "&amp;AZ1086),3,500)</f>
        <v/>
      </c>
      <c r="BH1086" s="12" t="n"/>
      <c r="BI1086" s="15">
        <f>IFERROR(MATCH($A1086,IF($B1086="Onsite",tbl_Onsite[Row ID],IF($B1086="Production",tbl_Production[Row ID],tbl_Consulting[Row ID])),0),"")</f>
        <v/>
      </c>
    </row>
    <row r="1087">
      <c r="A1087" s="10" t="inlineStr">
        <is>
          <t>CON-0081</t>
        </is>
      </c>
      <c r="B1087" s="10" t="inlineStr">
        <is>
          <t>Consulting</t>
        </is>
      </c>
      <c r="C1087" s="10">
        <f>IF($BI1087="","",IF($B1087="Onsite",INDEX(tbl_Onsite[Job Number],$BI1087),IF($B1087="Production",INDEX(tbl_Production[Job Number],$BI1087),INDEX(tbl_Consulting[Job Number],$BI1087)))&amp;"")</f>
        <v/>
      </c>
      <c r="D1087" s="10">
        <f>IF($BI1087="","",IF($B1087="Onsite",INDEX(tbl_Onsite[Client],$BI1087),IF($B1087="Production",INDEX(tbl_Production[Client],$BI1087),INDEX(tbl_Consulting[Client],$BI1087)))&amp;"")</f>
        <v/>
      </c>
      <c r="E1087" s="10">
        <f>IF($C1087="","",IF(COUNTIF(lst_Jobs,$C1087)&gt;0,"OK","CHECK"))</f>
        <v/>
      </c>
      <c r="F1087" s="10">
        <f>IF($C1087="","",IFERROR(INDEX(lst_JobName,MATCH($C1087,lst_Jobs,0)),""))</f>
        <v/>
      </c>
      <c r="G1087" s="10">
        <f>IF($BI1087="","",IF($B1087="Onsite",INDEX(tbl_Onsite[Job Description],$BI1087),IF($B1087="Production",INDEX(tbl_Production[Job Description],$BI1087),INDEX(tbl_Consulting[Job Description],$BI1087)))&amp;"")</f>
        <v/>
      </c>
      <c r="H1087" s="10">
        <f>IF($BI1087="","",IF($B1087="Onsite",INDEX(tbl_Onsite[Cost Centre],$BI1087),IF($B1087="Production",INDEX(tbl_Production[Cost Centre],$BI1087),INDEX(tbl_Consulting[Cost Centre],$BI1087)))&amp;"")</f>
        <v/>
      </c>
      <c r="I1087" s="10">
        <f>IF($BI1087="","",IF($B1087="Onsite",INDEX(tbl_Onsite[Invoice Type],$BI1087),IF($B1087="Production",INDEX(tbl_Production[Invoice Type],$BI1087),INDEX(tbl_Consulting[Invoice Type],$BI1087)))&amp;"")</f>
        <v/>
      </c>
      <c r="J1087" s="10">
        <f>IF($BI1087="","",IF($B1087="Onsite",INDEX(tbl_Onsite[Tax Code],$BI1087),IF($B1087="Production",INDEX(tbl_Production[Tax Code],$BI1087),INDEX(tbl_Consulting[Tax Code],$BI1087)))&amp;"")</f>
        <v/>
      </c>
      <c r="K1087" s="10">
        <f>IF(H1087="","",IFERROR(INDEX(lst_CCtoGL,MATCH(H1087,lst_CCforGL,0)),""))</f>
        <v/>
      </c>
      <c r="L1087" s="10">
        <f>IF($BI1087="","",IF($B1087="Onsite",INDEX(tbl_Onsite[PO / Reference],$BI1087),IF($B1087="Production",INDEX(tbl_Production[Current RMS No],$BI1087),INDEX(tbl_Consulting[Qwilr Quote],$BI1087)))&amp;"")</f>
        <v/>
      </c>
      <c r="M1087" s="10">
        <f>IF($BI1087="","",IF($B1087="Onsite",INDEX(tbl_Onsite[Notes],$BI1087),IF($B1087="Production",INDEX(tbl_Production[Notes],$BI1087),INDEX(tbl_Consulting[Notes],$BI1087)))&amp;"")</f>
        <v/>
      </c>
      <c r="N1087" s="11">
        <f>IF($BI1087="","",IF(IF($B1087="Onsite",INDEX(tbl_Onsite[Expected Revenue Ex GST],$BI1087),IF($B1087="Production",INDEX(tbl_Production[Expected Revenue Ex GST],$BI1087),INDEX(tbl_Consulting[Expected Revenue Ex GST],$BI1087)))="","",IF($B1087="Onsite",INDEX(tbl_Onsite[Expected Revenue Ex GST],$BI1087),IF($B1087="Production",INDEX(tbl_Production[Expected Revenue Ex GST],$BI1087),INDEX(tbl_Consulting[Expected Revenue Ex GST],$BI1087)))))</f>
        <v/>
      </c>
      <c r="O1087" s="11">
        <f>IF(AND($C1087="",NOT(COUNTA($S1087:$BB1087)&gt;0)),"",SUM(U1087,X1087,AA1087,AD1087,AG1087,AJ1087,AM1087,AP1087,AS1087,AV1087,AY1087,BB1087))</f>
        <v/>
      </c>
      <c r="P1087" s="11">
        <f>IF(O1087="","",N(N1087)-O1087)</f>
        <v/>
      </c>
      <c r="Q1087" s="10">
        <f>IF(O1087="","",IF($C1087="","Invoice on empty job row",IF(N1087="",IF(ROUND(O1087,2)=0,"No dept value","Invoiced - no dept value"),IF(ROUND(O1087,2)=0,"Not invoiced - to invoice",IF(ROUND(P1087,2)=0,"Agrees",IF(P1087&gt;0,"Dept higher - to invoice","Xero higher - check dept"))))))</f>
        <v/>
      </c>
      <c r="R1087" s="10">
        <f>IF(AND($C1087="",NOT(COUNTA($S1087:$BB1087)&gt;0),$BI1087&lt;&gt;""),"",MID(IF($BI1087="","; Row ID not found on the department sheet - a row was deleted","")&amp;IF(AND($C1087="",COUNTA($S1087:$BB1087)&gt;0),"; Invoice entered but the department row has no job number","")&amp;IF(E1087="CHECK","; Job number not in the Xero job list","")&amp;IF(AND($C1087&lt;&gt;"",COUNTIF($C$7:$C$1506,$C1087)&gt;1),"; Job number on more than one row","")&amp;IF(AND($C1087&lt;&gt;"",H1087=""),"; Dept has not set a cost centre","")&amp;IF(AND($C1087&lt;&gt;"",J1087=""),"; Dept has not set a tax code","")&amp;IF(AND($C1087&lt;&gt;"",N1087=""),"; Dept has not entered an expected value","")&amp;IF((IF(OR(COUNTA(S1087:U1087)=0,AND(COUNTA(S1087:U1087)=3,ISNUMBER(U1087))),0,1)+IF(OR(COUNTA(V1087:X1087)=0,AND(COUNTA(V1087:X1087)=3,ISNUMBER(X1087))),0,1)+IF(OR(COUNTA(Y1087:AA1087)=0,AND(COUNTA(Y1087:AA1087)=3,ISNUMBER(AA1087))),0,1)+IF(OR(COUNTA(AB1087:AD1087)=0,AND(COUNTA(AB1087:AD1087)=3,ISNUMBER(AD1087))),0,1)+IF(OR(COUNTA(AE1087:AG1087)=0,AND(COUNTA(AE1087:AG1087)=3,ISNUMBER(AG1087))),0,1)+IF(OR(COUNTA(AH1087:AJ1087)=0,AND(COUNTA(AH1087:AJ1087)=3,ISNUMBER(AJ1087))),0,1)+IF(OR(COUNTA(AK1087:AM1087)=0,AND(COUNTA(AK1087:AM1087)=3,ISNUMBER(AM1087))),0,1)+IF(OR(COUNTA(AN1087:AP1087)=0,AND(COUNTA(AN1087:AP1087)=3,ISNUMBER(AP1087))),0,1)+IF(OR(COUNTA(AQ1087:AS1087)=0,AND(COUNTA(AQ1087:AS1087)=3,ISNUMBER(AS1087))),0,1)+IF(OR(COUNTA(AT1087:AV1087)=0,AND(COUNTA(AT1087:AV1087)=3,ISNUMBER(AV1087))),0,1)+IF(OR(COUNTA(AW1087:AY1087)=0,AND(COUNTA(AW1087:AY1087)=3,ISNUMBER(AY1087))),0,1)+IF(OR(COUNTA(AZ1087:BB1087)=0,AND(COUNTA(AZ1087:BB1087)=3,ISNUMBER(BB1087))),0,1))&gt;0,"; An invoice is incomplete (needs No, Date and a number in Ex GST)","")&amp;IF((IF(T1087="",0,IFERROR(--(EOMONTH(T1087,0)&lt;&gt;S$5),1))+IF(W1087="",0,IFERROR(--(EOMONTH(W1087,0)&lt;&gt;V$5),1))+IF(Z1087="",0,IFERROR(--(EOMONTH(Z1087,0)&lt;&gt;Y$5),1))+IF(AC1087="",0,IFERROR(--(EOMONTH(AC1087,0)&lt;&gt;AB$5),1))+IF(AF1087="",0,IFERROR(--(EOMONTH(AF1087,0)&lt;&gt;AE$5),1))+IF(AI1087="",0,IFERROR(--(EOMONTH(AI1087,0)&lt;&gt;AH$5),1))+IF(AL1087="",0,IFERROR(--(EOMONTH(AL1087,0)&lt;&gt;AK$5),1))+IF(AO1087="",0,IFERROR(--(EOMONTH(AO1087,0)&lt;&gt;AN$5),1))+IF(AR1087="",0,IFERROR(--(EOMONTH(AR1087,0)&lt;&gt;AQ$5),1))+IF(AU1087="",0,IFERROR(--(EOMONTH(AU1087,0)&lt;&gt;AT$5),1))+IF(AX1087="",0,IFERROR(--(EOMONTH(AX1087,0)&lt;&gt;AW$5),1))+IF(BA1087="",0,IFERROR(--(EOMONTH(BA1087,0)&lt;&gt;AZ$5),1)))&gt;0,"; An invoice date is not in the month it is typed under",""),3,500))</f>
        <v/>
      </c>
      <c r="S1087" s="12" t="n"/>
      <c r="T1087" s="13" t="n"/>
      <c r="U1087" s="14" t="n"/>
      <c r="V1087" s="12" t="n"/>
      <c r="W1087" s="13" t="n"/>
      <c r="X1087" s="14" t="n"/>
      <c r="Y1087" s="12" t="n"/>
      <c r="Z1087" s="13" t="n"/>
      <c r="AA1087" s="14" t="n"/>
      <c r="AB1087" s="12" t="n"/>
      <c r="AC1087" s="13" t="n"/>
      <c r="AD1087" s="14" t="n"/>
      <c r="AE1087" s="12" t="n"/>
      <c r="AF1087" s="13" t="n"/>
      <c r="AG1087" s="14" t="n"/>
      <c r="AH1087" s="12" t="n"/>
      <c r="AI1087" s="13" t="n"/>
      <c r="AJ1087" s="14" t="n"/>
      <c r="AK1087" s="12" t="n"/>
      <c r="AL1087" s="13" t="n"/>
      <c r="AM1087" s="14" t="n"/>
      <c r="AN1087" s="12" t="n"/>
      <c r="AO1087" s="13" t="n"/>
      <c r="AP1087" s="14" t="n"/>
      <c r="AQ1087" s="12" t="n"/>
      <c r="AR1087" s="13" t="n"/>
      <c r="AS1087" s="14" t="n"/>
      <c r="AT1087" s="12" t="n"/>
      <c r="AU1087" s="13" t="n"/>
      <c r="AV1087" s="14" t="n"/>
      <c r="AW1087" s="12" t="n"/>
      <c r="AX1087" s="13" t="n"/>
      <c r="AY1087" s="14" t="n"/>
      <c r="AZ1087" s="12" t="n"/>
      <c r="BA1087" s="13" t="n"/>
      <c r="BB1087" s="14" t="n"/>
      <c r="BC1087" s="11">
        <f>IF(O1087="","",IF(J1087="GST 10%",ROUND(O1087*set_GSTRate,2),0))</f>
        <v/>
      </c>
      <c r="BD1087" s="11">
        <f>IF(O1087="","",O1087+BC1087)</f>
        <v/>
      </c>
      <c r="BE1087" s="15">
        <f>IF(O1087="","",COUNTA(S1087,V1087,Y1087,AB1087,AE1087,AH1087,AK1087,AN1087,AQ1087,AT1087,AW1087,AZ1087))</f>
        <v/>
      </c>
      <c r="BF1087" s="16">
        <f>IF(COUNT(T1087,W1087,Z1087,AC1087,AF1087,AI1087,AL1087,AO1087,AR1087,AU1087,AX1087,BA1087)=0,"",MAX(T1087,W1087,Z1087,AC1087,AF1087,AI1087,AL1087,AO1087,AR1087,AU1087,AX1087,BA1087))</f>
        <v/>
      </c>
      <c r="BG1087" s="10">
        <f>MID(IF(S1087="","",", "&amp;S1087)&amp;IF(V1087="","",", "&amp;V1087)&amp;IF(Y1087="","",", "&amp;Y1087)&amp;IF(AB1087="","",", "&amp;AB1087)&amp;IF(AE1087="","",", "&amp;AE1087)&amp;IF(AH1087="","",", "&amp;AH1087)&amp;IF(AK1087="","",", "&amp;AK1087)&amp;IF(AN1087="","",", "&amp;AN1087)&amp;IF(AQ1087="","",", "&amp;AQ1087)&amp;IF(AT1087="","",", "&amp;AT1087)&amp;IF(AW1087="","",", "&amp;AW1087)&amp;IF(AZ1087="","",", "&amp;AZ1087),3,500)</f>
        <v/>
      </c>
      <c r="BH1087" s="12" t="n"/>
      <c r="BI1087" s="15">
        <f>IFERROR(MATCH($A1087,IF($B1087="Onsite",tbl_Onsite[Row ID],IF($B1087="Production",tbl_Production[Row ID],tbl_Consulting[Row ID])),0),"")</f>
        <v/>
      </c>
    </row>
    <row r="1088">
      <c r="A1088" s="10" t="inlineStr">
        <is>
          <t>CON-0082</t>
        </is>
      </c>
      <c r="B1088" s="10" t="inlineStr">
        <is>
          <t>Consulting</t>
        </is>
      </c>
      <c r="C1088" s="10">
        <f>IF($BI1088="","",IF($B1088="Onsite",INDEX(tbl_Onsite[Job Number],$BI1088),IF($B1088="Production",INDEX(tbl_Production[Job Number],$BI1088),INDEX(tbl_Consulting[Job Number],$BI1088)))&amp;"")</f>
        <v/>
      </c>
      <c r="D1088" s="10">
        <f>IF($BI1088="","",IF($B1088="Onsite",INDEX(tbl_Onsite[Client],$BI1088),IF($B1088="Production",INDEX(tbl_Production[Client],$BI1088),INDEX(tbl_Consulting[Client],$BI1088)))&amp;"")</f>
        <v/>
      </c>
      <c r="E1088" s="10">
        <f>IF($C1088="","",IF(COUNTIF(lst_Jobs,$C1088)&gt;0,"OK","CHECK"))</f>
        <v/>
      </c>
      <c r="F1088" s="10">
        <f>IF($C1088="","",IFERROR(INDEX(lst_JobName,MATCH($C1088,lst_Jobs,0)),""))</f>
        <v/>
      </c>
      <c r="G1088" s="10">
        <f>IF($BI1088="","",IF($B1088="Onsite",INDEX(tbl_Onsite[Job Description],$BI1088),IF($B1088="Production",INDEX(tbl_Production[Job Description],$BI1088),INDEX(tbl_Consulting[Job Description],$BI1088)))&amp;"")</f>
        <v/>
      </c>
      <c r="H1088" s="10">
        <f>IF($BI1088="","",IF($B1088="Onsite",INDEX(tbl_Onsite[Cost Centre],$BI1088),IF($B1088="Production",INDEX(tbl_Production[Cost Centre],$BI1088),INDEX(tbl_Consulting[Cost Centre],$BI1088)))&amp;"")</f>
        <v/>
      </c>
      <c r="I1088" s="10">
        <f>IF($BI1088="","",IF($B1088="Onsite",INDEX(tbl_Onsite[Invoice Type],$BI1088),IF($B1088="Production",INDEX(tbl_Production[Invoice Type],$BI1088),INDEX(tbl_Consulting[Invoice Type],$BI1088)))&amp;"")</f>
        <v/>
      </c>
      <c r="J1088" s="10">
        <f>IF($BI1088="","",IF($B1088="Onsite",INDEX(tbl_Onsite[Tax Code],$BI1088),IF($B1088="Production",INDEX(tbl_Production[Tax Code],$BI1088),INDEX(tbl_Consulting[Tax Code],$BI1088)))&amp;"")</f>
        <v/>
      </c>
      <c r="K1088" s="10">
        <f>IF(H1088="","",IFERROR(INDEX(lst_CCtoGL,MATCH(H1088,lst_CCforGL,0)),""))</f>
        <v/>
      </c>
      <c r="L1088" s="10">
        <f>IF($BI1088="","",IF($B1088="Onsite",INDEX(tbl_Onsite[PO / Reference],$BI1088),IF($B1088="Production",INDEX(tbl_Production[Current RMS No],$BI1088),INDEX(tbl_Consulting[Qwilr Quote],$BI1088)))&amp;"")</f>
        <v/>
      </c>
      <c r="M1088" s="10">
        <f>IF($BI1088="","",IF($B1088="Onsite",INDEX(tbl_Onsite[Notes],$BI1088),IF($B1088="Production",INDEX(tbl_Production[Notes],$BI1088),INDEX(tbl_Consulting[Notes],$BI1088)))&amp;"")</f>
        <v/>
      </c>
      <c r="N1088" s="11">
        <f>IF($BI1088="","",IF(IF($B1088="Onsite",INDEX(tbl_Onsite[Expected Revenue Ex GST],$BI1088),IF($B1088="Production",INDEX(tbl_Production[Expected Revenue Ex GST],$BI1088),INDEX(tbl_Consulting[Expected Revenue Ex GST],$BI1088)))="","",IF($B1088="Onsite",INDEX(tbl_Onsite[Expected Revenue Ex GST],$BI1088),IF($B1088="Production",INDEX(tbl_Production[Expected Revenue Ex GST],$BI1088),INDEX(tbl_Consulting[Expected Revenue Ex GST],$BI1088)))))</f>
        <v/>
      </c>
      <c r="O1088" s="11">
        <f>IF(AND($C1088="",NOT(COUNTA($S1088:$BB1088)&gt;0)),"",SUM(U1088,X1088,AA1088,AD1088,AG1088,AJ1088,AM1088,AP1088,AS1088,AV1088,AY1088,BB1088))</f>
        <v/>
      </c>
      <c r="P1088" s="11">
        <f>IF(O1088="","",N(N1088)-O1088)</f>
        <v/>
      </c>
      <c r="Q1088" s="10">
        <f>IF(O1088="","",IF($C1088="","Invoice on empty job row",IF(N1088="",IF(ROUND(O1088,2)=0,"No dept value","Invoiced - no dept value"),IF(ROUND(O1088,2)=0,"Not invoiced - to invoice",IF(ROUND(P1088,2)=0,"Agrees",IF(P1088&gt;0,"Dept higher - to invoice","Xero higher - check dept"))))))</f>
        <v/>
      </c>
      <c r="R1088" s="10">
        <f>IF(AND($C1088="",NOT(COUNTA($S1088:$BB1088)&gt;0),$BI1088&lt;&gt;""),"",MID(IF($BI1088="","; Row ID not found on the department sheet - a row was deleted","")&amp;IF(AND($C1088="",COUNTA($S1088:$BB1088)&gt;0),"; Invoice entered but the department row has no job number","")&amp;IF(E1088="CHECK","; Job number not in the Xero job list","")&amp;IF(AND($C1088&lt;&gt;"",COUNTIF($C$7:$C$1506,$C1088)&gt;1),"; Job number on more than one row","")&amp;IF(AND($C1088&lt;&gt;"",H1088=""),"; Dept has not set a cost centre","")&amp;IF(AND($C1088&lt;&gt;"",J1088=""),"; Dept has not set a tax code","")&amp;IF(AND($C1088&lt;&gt;"",N1088=""),"; Dept has not entered an expected value","")&amp;IF((IF(OR(COUNTA(S1088:U1088)=0,AND(COUNTA(S1088:U1088)=3,ISNUMBER(U1088))),0,1)+IF(OR(COUNTA(V1088:X1088)=0,AND(COUNTA(V1088:X1088)=3,ISNUMBER(X1088))),0,1)+IF(OR(COUNTA(Y1088:AA1088)=0,AND(COUNTA(Y1088:AA1088)=3,ISNUMBER(AA1088))),0,1)+IF(OR(COUNTA(AB1088:AD1088)=0,AND(COUNTA(AB1088:AD1088)=3,ISNUMBER(AD1088))),0,1)+IF(OR(COUNTA(AE1088:AG1088)=0,AND(COUNTA(AE1088:AG1088)=3,ISNUMBER(AG1088))),0,1)+IF(OR(COUNTA(AH1088:AJ1088)=0,AND(COUNTA(AH1088:AJ1088)=3,ISNUMBER(AJ1088))),0,1)+IF(OR(COUNTA(AK1088:AM1088)=0,AND(COUNTA(AK1088:AM1088)=3,ISNUMBER(AM1088))),0,1)+IF(OR(COUNTA(AN1088:AP1088)=0,AND(COUNTA(AN1088:AP1088)=3,ISNUMBER(AP1088))),0,1)+IF(OR(COUNTA(AQ1088:AS1088)=0,AND(COUNTA(AQ1088:AS1088)=3,ISNUMBER(AS1088))),0,1)+IF(OR(COUNTA(AT1088:AV1088)=0,AND(COUNTA(AT1088:AV1088)=3,ISNUMBER(AV1088))),0,1)+IF(OR(COUNTA(AW1088:AY1088)=0,AND(COUNTA(AW1088:AY1088)=3,ISNUMBER(AY1088))),0,1)+IF(OR(COUNTA(AZ1088:BB1088)=0,AND(COUNTA(AZ1088:BB1088)=3,ISNUMBER(BB1088))),0,1))&gt;0,"; An invoice is incomplete (needs No, Date and a number in Ex GST)","")&amp;IF((IF(T1088="",0,IFERROR(--(EOMONTH(T1088,0)&lt;&gt;S$5),1))+IF(W1088="",0,IFERROR(--(EOMONTH(W1088,0)&lt;&gt;V$5),1))+IF(Z1088="",0,IFERROR(--(EOMONTH(Z1088,0)&lt;&gt;Y$5),1))+IF(AC1088="",0,IFERROR(--(EOMONTH(AC1088,0)&lt;&gt;AB$5),1))+IF(AF1088="",0,IFERROR(--(EOMONTH(AF1088,0)&lt;&gt;AE$5),1))+IF(AI1088="",0,IFERROR(--(EOMONTH(AI1088,0)&lt;&gt;AH$5),1))+IF(AL1088="",0,IFERROR(--(EOMONTH(AL1088,0)&lt;&gt;AK$5),1))+IF(AO1088="",0,IFERROR(--(EOMONTH(AO1088,0)&lt;&gt;AN$5),1))+IF(AR1088="",0,IFERROR(--(EOMONTH(AR1088,0)&lt;&gt;AQ$5),1))+IF(AU1088="",0,IFERROR(--(EOMONTH(AU1088,0)&lt;&gt;AT$5),1))+IF(AX1088="",0,IFERROR(--(EOMONTH(AX1088,0)&lt;&gt;AW$5),1))+IF(BA1088="",0,IFERROR(--(EOMONTH(BA1088,0)&lt;&gt;AZ$5),1)))&gt;0,"; An invoice date is not in the month it is typed under",""),3,500))</f>
        <v/>
      </c>
      <c r="S1088" s="12" t="n"/>
      <c r="T1088" s="13" t="n"/>
      <c r="U1088" s="14" t="n"/>
      <c r="V1088" s="12" t="n"/>
      <c r="W1088" s="13" t="n"/>
      <c r="X1088" s="14" t="n"/>
      <c r="Y1088" s="12" t="n"/>
      <c r="Z1088" s="13" t="n"/>
      <c r="AA1088" s="14" t="n"/>
      <c r="AB1088" s="12" t="n"/>
      <c r="AC1088" s="13" t="n"/>
      <c r="AD1088" s="14" t="n"/>
      <c r="AE1088" s="12" t="n"/>
      <c r="AF1088" s="13" t="n"/>
      <c r="AG1088" s="14" t="n"/>
      <c r="AH1088" s="12" t="n"/>
      <c r="AI1088" s="13" t="n"/>
      <c r="AJ1088" s="14" t="n"/>
      <c r="AK1088" s="12" t="n"/>
      <c r="AL1088" s="13" t="n"/>
      <c r="AM1088" s="14" t="n"/>
      <c r="AN1088" s="12" t="n"/>
      <c r="AO1088" s="13" t="n"/>
      <c r="AP1088" s="14" t="n"/>
      <c r="AQ1088" s="12" t="n"/>
      <c r="AR1088" s="13" t="n"/>
      <c r="AS1088" s="14" t="n"/>
      <c r="AT1088" s="12" t="n"/>
      <c r="AU1088" s="13" t="n"/>
      <c r="AV1088" s="14" t="n"/>
      <c r="AW1088" s="12" t="n"/>
      <c r="AX1088" s="13" t="n"/>
      <c r="AY1088" s="14" t="n"/>
      <c r="AZ1088" s="12" t="n"/>
      <c r="BA1088" s="13" t="n"/>
      <c r="BB1088" s="14" t="n"/>
      <c r="BC1088" s="11">
        <f>IF(O1088="","",IF(J1088="GST 10%",ROUND(O1088*set_GSTRate,2),0))</f>
        <v/>
      </c>
      <c r="BD1088" s="11">
        <f>IF(O1088="","",O1088+BC1088)</f>
        <v/>
      </c>
      <c r="BE1088" s="15">
        <f>IF(O1088="","",COUNTA(S1088,V1088,Y1088,AB1088,AE1088,AH1088,AK1088,AN1088,AQ1088,AT1088,AW1088,AZ1088))</f>
        <v/>
      </c>
      <c r="BF1088" s="16">
        <f>IF(COUNT(T1088,W1088,Z1088,AC1088,AF1088,AI1088,AL1088,AO1088,AR1088,AU1088,AX1088,BA1088)=0,"",MAX(T1088,W1088,Z1088,AC1088,AF1088,AI1088,AL1088,AO1088,AR1088,AU1088,AX1088,BA1088))</f>
        <v/>
      </c>
      <c r="BG1088" s="10">
        <f>MID(IF(S1088="","",", "&amp;S1088)&amp;IF(V1088="","",", "&amp;V1088)&amp;IF(Y1088="","",", "&amp;Y1088)&amp;IF(AB1088="","",", "&amp;AB1088)&amp;IF(AE1088="","",", "&amp;AE1088)&amp;IF(AH1088="","",", "&amp;AH1088)&amp;IF(AK1088="","",", "&amp;AK1088)&amp;IF(AN1088="","",", "&amp;AN1088)&amp;IF(AQ1088="","",", "&amp;AQ1088)&amp;IF(AT1088="","",", "&amp;AT1088)&amp;IF(AW1088="","",", "&amp;AW1088)&amp;IF(AZ1088="","",", "&amp;AZ1088),3,500)</f>
        <v/>
      </c>
      <c r="BH1088" s="12" t="n"/>
      <c r="BI1088" s="15">
        <f>IFERROR(MATCH($A1088,IF($B1088="Onsite",tbl_Onsite[Row ID],IF($B1088="Production",tbl_Production[Row ID],tbl_Consulting[Row ID])),0),"")</f>
        <v/>
      </c>
    </row>
    <row r="1089">
      <c r="A1089" s="10" t="inlineStr">
        <is>
          <t>CON-0083</t>
        </is>
      </c>
      <c r="B1089" s="10" t="inlineStr">
        <is>
          <t>Consulting</t>
        </is>
      </c>
      <c r="C1089" s="10">
        <f>IF($BI1089="","",IF($B1089="Onsite",INDEX(tbl_Onsite[Job Number],$BI1089),IF($B1089="Production",INDEX(tbl_Production[Job Number],$BI1089),INDEX(tbl_Consulting[Job Number],$BI1089)))&amp;"")</f>
        <v/>
      </c>
      <c r="D1089" s="10">
        <f>IF($BI1089="","",IF($B1089="Onsite",INDEX(tbl_Onsite[Client],$BI1089),IF($B1089="Production",INDEX(tbl_Production[Client],$BI1089),INDEX(tbl_Consulting[Client],$BI1089)))&amp;"")</f>
        <v/>
      </c>
      <c r="E1089" s="10">
        <f>IF($C1089="","",IF(COUNTIF(lst_Jobs,$C1089)&gt;0,"OK","CHECK"))</f>
        <v/>
      </c>
      <c r="F1089" s="10">
        <f>IF($C1089="","",IFERROR(INDEX(lst_JobName,MATCH($C1089,lst_Jobs,0)),""))</f>
        <v/>
      </c>
      <c r="G1089" s="10">
        <f>IF($BI1089="","",IF($B1089="Onsite",INDEX(tbl_Onsite[Job Description],$BI1089),IF($B1089="Production",INDEX(tbl_Production[Job Description],$BI1089),INDEX(tbl_Consulting[Job Description],$BI1089)))&amp;"")</f>
        <v/>
      </c>
      <c r="H1089" s="10">
        <f>IF($BI1089="","",IF($B1089="Onsite",INDEX(tbl_Onsite[Cost Centre],$BI1089),IF($B1089="Production",INDEX(tbl_Production[Cost Centre],$BI1089),INDEX(tbl_Consulting[Cost Centre],$BI1089)))&amp;"")</f>
        <v/>
      </c>
      <c r="I1089" s="10">
        <f>IF($BI1089="","",IF($B1089="Onsite",INDEX(tbl_Onsite[Invoice Type],$BI1089),IF($B1089="Production",INDEX(tbl_Production[Invoice Type],$BI1089),INDEX(tbl_Consulting[Invoice Type],$BI1089)))&amp;"")</f>
        <v/>
      </c>
      <c r="J1089" s="10">
        <f>IF($BI1089="","",IF($B1089="Onsite",INDEX(tbl_Onsite[Tax Code],$BI1089),IF($B1089="Production",INDEX(tbl_Production[Tax Code],$BI1089),INDEX(tbl_Consulting[Tax Code],$BI1089)))&amp;"")</f>
        <v/>
      </c>
      <c r="K1089" s="10">
        <f>IF(H1089="","",IFERROR(INDEX(lst_CCtoGL,MATCH(H1089,lst_CCforGL,0)),""))</f>
        <v/>
      </c>
      <c r="L1089" s="10">
        <f>IF($BI1089="","",IF($B1089="Onsite",INDEX(tbl_Onsite[PO / Reference],$BI1089),IF($B1089="Production",INDEX(tbl_Production[Current RMS No],$BI1089),INDEX(tbl_Consulting[Qwilr Quote],$BI1089)))&amp;"")</f>
        <v/>
      </c>
      <c r="M1089" s="10">
        <f>IF($BI1089="","",IF($B1089="Onsite",INDEX(tbl_Onsite[Notes],$BI1089),IF($B1089="Production",INDEX(tbl_Production[Notes],$BI1089),INDEX(tbl_Consulting[Notes],$BI1089)))&amp;"")</f>
        <v/>
      </c>
      <c r="N1089" s="11">
        <f>IF($BI1089="","",IF(IF($B1089="Onsite",INDEX(tbl_Onsite[Expected Revenue Ex GST],$BI1089),IF($B1089="Production",INDEX(tbl_Production[Expected Revenue Ex GST],$BI1089),INDEX(tbl_Consulting[Expected Revenue Ex GST],$BI1089)))="","",IF($B1089="Onsite",INDEX(tbl_Onsite[Expected Revenue Ex GST],$BI1089),IF($B1089="Production",INDEX(tbl_Production[Expected Revenue Ex GST],$BI1089),INDEX(tbl_Consulting[Expected Revenue Ex GST],$BI1089)))))</f>
        <v/>
      </c>
      <c r="O1089" s="11">
        <f>IF(AND($C1089="",NOT(COUNTA($S1089:$BB1089)&gt;0)),"",SUM(U1089,X1089,AA1089,AD1089,AG1089,AJ1089,AM1089,AP1089,AS1089,AV1089,AY1089,BB1089))</f>
        <v/>
      </c>
      <c r="P1089" s="11">
        <f>IF(O1089="","",N(N1089)-O1089)</f>
        <v/>
      </c>
      <c r="Q1089" s="10">
        <f>IF(O1089="","",IF($C1089="","Invoice on empty job row",IF(N1089="",IF(ROUND(O1089,2)=0,"No dept value","Invoiced - no dept value"),IF(ROUND(O1089,2)=0,"Not invoiced - to invoice",IF(ROUND(P1089,2)=0,"Agrees",IF(P1089&gt;0,"Dept higher - to invoice","Xero higher - check dept"))))))</f>
        <v/>
      </c>
      <c r="R1089" s="10">
        <f>IF(AND($C1089="",NOT(COUNTA($S1089:$BB1089)&gt;0),$BI1089&lt;&gt;""),"",MID(IF($BI1089="","; Row ID not found on the department sheet - a row was deleted","")&amp;IF(AND($C1089="",COUNTA($S1089:$BB1089)&gt;0),"; Invoice entered but the department row has no job number","")&amp;IF(E1089="CHECK","; Job number not in the Xero job list","")&amp;IF(AND($C1089&lt;&gt;"",COUNTIF($C$7:$C$1506,$C1089)&gt;1),"; Job number on more than one row","")&amp;IF(AND($C1089&lt;&gt;"",H1089=""),"; Dept has not set a cost centre","")&amp;IF(AND($C1089&lt;&gt;"",J1089=""),"; Dept has not set a tax code","")&amp;IF(AND($C1089&lt;&gt;"",N1089=""),"; Dept has not entered an expected value","")&amp;IF((IF(OR(COUNTA(S1089:U1089)=0,AND(COUNTA(S1089:U1089)=3,ISNUMBER(U1089))),0,1)+IF(OR(COUNTA(V1089:X1089)=0,AND(COUNTA(V1089:X1089)=3,ISNUMBER(X1089))),0,1)+IF(OR(COUNTA(Y1089:AA1089)=0,AND(COUNTA(Y1089:AA1089)=3,ISNUMBER(AA1089))),0,1)+IF(OR(COUNTA(AB1089:AD1089)=0,AND(COUNTA(AB1089:AD1089)=3,ISNUMBER(AD1089))),0,1)+IF(OR(COUNTA(AE1089:AG1089)=0,AND(COUNTA(AE1089:AG1089)=3,ISNUMBER(AG1089))),0,1)+IF(OR(COUNTA(AH1089:AJ1089)=0,AND(COUNTA(AH1089:AJ1089)=3,ISNUMBER(AJ1089))),0,1)+IF(OR(COUNTA(AK1089:AM1089)=0,AND(COUNTA(AK1089:AM1089)=3,ISNUMBER(AM1089))),0,1)+IF(OR(COUNTA(AN1089:AP1089)=0,AND(COUNTA(AN1089:AP1089)=3,ISNUMBER(AP1089))),0,1)+IF(OR(COUNTA(AQ1089:AS1089)=0,AND(COUNTA(AQ1089:AS1089)=3,ISNUMBER(AS1089))),0,1)+IF(OR(COUNTA(AT1089:AV1089)=0,AND(COUNTA(AT1089:AV1089)=3,ISNUMBER(AV1089))),0,1)+IF(OR(COUNTA(AW1089:AY1089)=0,AND(COUNTA(AW1089:AY1089)=3,ISNUMBER(AY1089))),0,1)+IF(OR(COUNTA(AZ1089:BB1089)=0,AND(COUNTA(AZ1089:BB1089)=3,ISNUMBER(BB1089))),0,1))&gt;0,"; An invoice is incomplete (needs No, Date and a number in Ex GST)","")&amp;IF((IF(T1089="",0,IFERROR(--(EOMONTH(T1089,0)&lt;&gt;S$5),1))+IF(W1089="",0,IFERROR(--(EOMONTH(W1089,0)&lt;&gt;V$5),1))+IF(Z1089="",0,IFERROR(--(EOMONTH(Z1089,0)&lt;&gt;Y$5),1))+IF(AC1089="",0,IFERROR(--(EOMONTH(AC1089,0)&lt;&gt;AB$5),1))+IF(AF1089="",0,IFERROR(--(EOMONTH(AF1089,0)&lt;&gt;AE$5),1))+IF(AI1089="",0,IFERROR(--(EOMONTH(AI1089,0)&lt;&gt;AH$5),1))+IF(AL1089="",0,IFERROR(--(EOMONTH(AL1089,0)&lt;&gt;AK$5),1))+IF(AO1089="",0,IFERROR(--(EOMONTH(AO1089,0)&lt;&gt;AN$5),1))+IF(AR1089="",0,IFERROR(--(EOMONTH(AR1089,0)&lt;&gt;AQ$5),1))+IF(AU1089="",0,IFERROR(--(EOMONTH(AU1089,0)&lt;&gt;AT$5),1))+IF(AX1089="",0,IFERROR(--(EOMONTH(AX1089,0)&lt;&gt;AW$5),1))+IF(BA1089="",0,IFERROR(--(EOMONTH(BA1089,0)&lt;&gt;AZ$5),1)))&gt;0,"; An invoice date is not in the month it is typed under",""),3,500))</f>
        <v/>
      </c>
      <c r="S1089" s="12" t="n"/>
      <c r="T1089" s="13" t="n"/>
      <c r="U1089" s="14" t="n"/>
      <c r="V1089" s="12" t="n"/>
      <c r="W1089" s="13" t="n"/>
      <c r="X1089" s="14" t="n"/>
      <c r="Y1089" s="12" t="n"/>
      <c r="Z1089" s="13" t="n"/>
      <c r="AA1089" s="14" t="n"/>
      <c r="AB1089" s="12" t="n"/>
      <c r="AC1089" s="13" t="n"/>
      <c r="AD1089" s="14" t="n"/>
      <c r="AE1089" s="12" t="n"/>
      <c r="AF1089" s="13" t="n"/>
      <c r="AG1089" s="14" t="n"/>
      <c r="AH1089" s="12" t="n"/>
      <c r="AI1089" s="13" t="n"/>
      <c r="AJ1089" s="14" t="n"/>
      <c r="AK1089" s="12" t="n"/>
      <c r="AL1089" s="13" t="n"/>
      <c r="AM1089" s="14" t="n"/>
      <c r="AN1089" s="12" t="n"/>
      <c r="AO1089" s="13" t="n"/>
      <c r="AP1089" s="14" t="n"/>
      <c r="AQ1089" s="12" t="n"/>
      <c r="AR1089" s="13" t="n"/>
      <c r="AS1089" s="14" t="n"/>
      <c r="AT1089" s="12" t="n"/>
      <c r="AU1089" s="13" t="n"/>
      <c r="AV1089" s="14" t="n"/>
      <c r="AW1089" s="12" t="n"/>
      <c r="AX1089" s="13" t="n"/>
      <c r="AY1089" s="14" t="n"/>
      <c r="AZ1089" s="12" t="n"/>
      <c r="BA1089" s="13" t="n"/>
      <c r="BB1089" s="14" t="n"/>
      <c r="BC1089" s="11">
        <f>IF(O1089="","",IF(J1089="GST 10%",ROUND(O1089*set_GSTRate,2),0))</f>
        <v/>
      </c>
      <c r="BD1089" s="11">
        <f>IF(O1089="","",O1089+BC1089)</f>
        <v/>
      </c>
      <c r="BE1089" s="15">
        <f>IF(O1089="","",COUNTA(S1089,V1089,Y1089,AB1089,AE1089,AH1089,AK1089,AN1089,AQ1089,AT1089,AW1089,AZ1089))</f>
        <v/>
      </c>
      <c r="BF1089" s="16">
        <f>IF(COUNT(T1089,W1089,Z1089,AC1089,AF1089,AI1089,AL1089,AO1089,AR1089,AU1089,AX1089,BA1089)=0,"",MAX(T1089,W1089,Z1089,AC1089,AF1089,AI1089,AL1089,AO1089,AR1089,AU1089,AX1089,BA1089))</f>
        <v/>
      </c>
      <c r="BG1089" s="10">
        <f>MID(IF(S1089="","",", "&amp;S1089)&amp;IF(V1089="","",", "&amp;V1089)&amp;IF(Y1089="","",", "&amp;Y1089)&amp;IF(AB1089="","",", "&amp;AB1089)&amp;IF(AE1089="","",", "&amp;AE1089)&amp;IF(AH1089="","",", "&amp;AH1089)&amp;IF(AK1089="","",", "&amp;AK1089)&amp;IF(AN1089="","",", "&amp;AN1089)&amp;IF(AQ1089="","",", "&amp;AQ1089)&amp;IF(AT1089="","",", "&amp;AT1089)&amp;IF(AW1089="","",", "&amp;AW1089)&amp;IF(AZ1089="","",", "&amp;AZ1089),3,500)</f>
        <v/>
      </c>
      <c r="BH1089" s="12" t="n"/>
      <c r="BI1089" s="15">
        <f>IFERROR(MATCH($A1089,IF($B1089="Onsite",tbl_Onsite[Row ID],IF($B1089="Production",tbl_Production[Row ID],tbl_Consulting[Row ID])),0),"")</f>
        <v/>
      </c>
    </row>
    <row r="1090">
      <c r="A1090" s="10" t="inlineStr">
        <is>
          <t>CON-0084</t>
        </is>
      </c>
      <c r="B1090" s="10" t="inlineStr">
        <is>
          <t>Consulting</t>
        </is>
      </c>
      <c r="C1090" s="10">
        <f>IF($BI1090="","",IF($B1090="Onsite",INDEX(tbl_Onsite[Job Number],$BI1090),IF($B1090="Production",INDEX(tbl_Production[Job Number],$BI1090),INDEX(tbl_Consulting[Job Number],$BI1090)))&amp;"")</f>
        <v/>
      </c>
      <c r="D1090" s="10">
        <f>IF($BI1090="","",IF($B1090="Onsite",INDEX(tbl_Onsite[Client],$BI1090),IF($B1090="Production",INDEX(tbl_Production[Client],$BI1090),INDEX(tbl_Consulting[Client],$BI1090)))&amp;"")</f>
        <v/>
      </c>
      <c r="E1090" s="10">
        <f>IF($C1090="","",IF(COUNTIF(lst_Jobs,$C1090)&gt;0,"OK","CHECK"))</f>
        <v/>
      </c>
      <c r="F1090" s="10">
        <f>IF($C1090="","",IFERROR(INDEX(lst_JobName,MATCH($C1090,lst_Jobs,0)),""))</f>
        <v/>
      </c>
      <c r="G1090" s="10">
        <f>IF($BI1090="","",IF($B1090="Onsite",INDEX(tbl_Onsite[Job Description],$BI1090),IF($B1090="Production",INDEX(tbl_Production[Job Description],$BI1090),INDEX(tbl_Consulting[Job Description],$BI1090)))&amp;"")</f>
        <v/>
      </c>
      <c r="H1090" s="10">
        <f>IF($BI1090="","",IF($B1090="Onsite",INDEX(tbl_Onsite[Cost Centre],$BI1090),IF($B1090="Production",INDEX(tbl_Production[Cost Centre],$BI1090),INDEX(tbl_Consulting[Cost Centre],$BI1090)))&amp;"")</f>
        <v/>
      </c>
      <c r="I1090" s="10">
        <f>IF($BI1090="","",IF($B1090="Onsite",INDEX(tbl_Onsite[Invoice Type],$BI1090),IF($B1090="Production",INDEX(tbl_Production[Invoice Type],$BI1090),INDEX(tbl_Consulting[Invoice Type],$BI1090)))&amp;"")</f>
        <v/>
      </c>
      <c r="J1090" s="10">
        <f>IF($BI1090="","",IF($B1090="Onsite",INDEX(tbl_Onsite[Tax Code],$BI1090),IF($B1090="Production",INDEX(tbl_Production[Tax Code],$BI1090),INDEX(tbl_Consulting[Tax Code],$BI1090)))&amp;"")</f>
        <v/>
      </c>
      <c r="K1090" s="10">
        <f>IF(H1090="","",IFERROR(INDEX(lst_CCtoGL,MATCH(H1090,lst_CCforGL,0)),""))</f>
        <v/>
      </c>
      <c r="L1090" s="10">
        <f>IF($BI1090="","",IF($B1090="Onsite",INDEX(tbl_Onsite[PO / Reference],$BI1090),IF($B1090="Production",INDEX(tbl_Production[Current RMS No],$BI1090),INDEX(tbl_Consulting[Qwilr Quote],$BI1090)))&amp;"")</f>
        <v/>
      </c>
      <c r="M1090" s="10">
        <f>IF($BI1090="","",IF($B1090="Onsite",INDEX(tbl_Onsite[Notes],$BI1090),IF($B1090="Production",INDEX(tbl_Production[Notes],$BI1090),INDEX(tbl_Consulting[Notes],$BI1090)))&amp;"")</f>
        <v/>
      </c>
      <c r="N1090" s="11">
        <f>IF($BI1090="","",IF(IF($B1090="Onsite",INDEX(tbl_Onsite[Expected Revenue Ex GST],$BI1090),IF($B1090="Production",INDEX(tbl_Production[Expected Revenue Ex GST],$BI1090),INDEX(tbl_Consulting[Expected Revenue Ex GST],$BI1090)))="","",IF($B1090="Onsite",INDEX(tbl_Onsite[Expected Revenue Ex GST],$BI1090),IF($B1090="Production",INDEX(tbl_Production[Expected Revenue Ex GST],$BI1090),INDEX(tbl_Consulting[Expected Revenue Ex GST],$BI1090)))))</f>
        <v/>
      </c>
      <c r="O1090" s="11">
        <f>IF(AND($C1090="",NOT(COUNTA($S1090:$BB1090)&gt;0)),"",SUM(U1090,X1090,AA1090,AD1090,AG1090,AJ1090,AM1090,AP1090,AS1090,AV1090,AY1090,BB1090))</f>
        <v/>
      </c>
      <c r="P1090" s="11">
        <f>IF(O1090="","",N(N1090)-O1090)</f>
        <v/>
      </c>
      <c r="Q1090" s="10">
        <f>IF(O1090="","",IF($C1090="","Invoice on empty job row",IF(N1090="",IF(ROUND(O1090,2)=0,"No dept value","Invoiced - no dept value"),IF(ROUND(O1090,2)=0,"Not invoiced - to invoice",IF(ROUND(P1090,2)=0,"Agrees",IF(P1090&gt;0,"Dept higher - to invoice","Xero higher - check dept"))))))</f>
        <v/>
      </c>
      <c r="R1090" s="10">
        <f>IF(AND($C1090="",NOT(COUNTA($S1090:$BB1090)&gt;0),$BI1090&lt;&gt;""),"",MID(IF($BI1090="","; Row ID not found on the department sheet - a row was deleted","")&amp;IF(AND($C1090="",COUNTA($S1090:$BB1090)&gt;0),"; Invoice entered but the department row has no job number","")&amp;IF(E1090="CHECK","; Job number not in the Xero job list","")&amp;IF(AND($C1090&lt;&gt;"",COUNTIF($C$7:$C$1506,$C1090)&gt;1),"; Job number on more than one row","")&amp;IF(AND($C1090&lt;&gt;"",H1090=""),"; Dept has not set a cost centre","")&amp;IF(AND($C1090&lt;&gt;"",J1090=""),"; Dept has not set a tax code","")&amp;IF(AND($C1090&lt;&gt;"",N1090=""),"; Dept has not entered an expected value","")&amp;IF((IF(OR(COUNTA(S1090:U1090)=0,AND(COUNTA(S1090:U1090)=3,ISNUMBER(U1090))),0,1)+IF(OR(COUNTA(V1090:X1090)=0,AND(COUNTA(V1090:X1090)=3,ISNUMBER(X1090))),0,1)+IF(OR(COUNTA(Y1090:AA1090)=0,AND(COUNTA(Y1090:AA1090)=3,ISNUMBER(AA1090))),0,1)+IF(OR(COUNTA(AB1090:AD1090)=0,AND(COUNTA(AB1090:AD1090)=3,ISNUMBER(AD1090))),0,1)+IF(OR(COUNTA(AE1090:AG1090)=0,AND(COUNTA(AE1090:AG1090)=3,ISNUMBER(AG1090))),0,1)+IF(OR(COUNTA(AH1090:AJ1090)=0,AND(COUNTA(AH1090:AJ1090)=3,ISNUMBER(AJ1090))),0,1)+IF(OR(COUNTA(AK1090:AM1090)=0,AND(COUNTA(AK1090:AM1090)=3,ISNUMBER(AM1090))),0,1)+IF(OR(COUNTA(AN1090:AP1090)=0,AND(COUNTA(AN1090:AP1090)=3,ISNUMBER(AP1090))),0,1)+IF(OR(COUNTA(AQ1090:AS1090)=0,AND(COUNTA(AQ1090:AS1090)=3,ISNUMBER(AS1090))),0,1)+IF(OR(COUNTA(AT1090:AV1090)=0,AND(COUNTA(AT1090:AV1090)=3,ISNUMBER(AV1090))),0,1)+IF(OR(COUNTA(AW1090:AY1090)=0,AND(COUNTA(AW1090:AY1090)=3,ISNUMBER(AY1090))),0,1)+IF(OR(COUNTA(AZ1090:BB1090)=0,AND(COUNTA(AZ1090:BB1090)=3,ISNUMBER(BB1090))),0,1))&gt;0,"; An invoice is incomplete (needs No, Date and a number in Ex GST)","")&amp;IF((IF(T1090="",0,IFERROR(--(EOMONTH(T1090,0)&lt;&gt;S$5),1))+IF(W1090="",0,IFERROR(--(EOMONTH(W1090,0)&lt;&gt;V$5),1))+IF(Z1090="",0,IFERROR(--(EOMONTH(Z1090,0)&lt;&gt;Y$5),1))+IF(AC1090="",0,IFERROR(--(EOMONTH(AC1090,0)&lt;&gt;AB$5),1))+IF(AF1090="",0,IFERROR(--(EOMONTH(AF1090,0)&lt;&gt;AE$5),1))+IF(AI1090="",0,IFERROR(--(EOMONTH(AI1090,0)&lt;&gt;AH$5),1))+IF(AL1090="",0,IFERROR(--(EOMONTH(AL1090,0)&lt;&gt;AK$5),1))+IF(AO1090="",0,IFERROR(--(EOMONTH(AO1090,0)&lt;&gt;AN$5),1))+IF(AR1090="",0,IFERROR(--(EOMONTH(AR1090,0)&lt;&gt;AQ$5),1))+IF(AU1090="",0,IFERROR(--(EOMONTH(AU1090,0)&lt;&gt;AT$5),1))+IF(AX1090="",0,IFERROR(--(EOMONTH(AX1090,0)&lt;&gt;AW$5),1))+IF(BA1090="",0,IFERROR(--(EOMONTH(BA1090,0)&lt;&gt;AZ$5),1)))&gt;0,"; An invoice date is not in the month it is typed under",""),3,500))</f>
        <v/>
      </c>
      <c r="S1090" s="12" t="n"/>
      <c r="T1090" s="13" t="n"/>
      <c r="U1090" s="14" t="n"/>
      <c r="V1090" s="12" t="n"/>
      <c r="W1090" s="13" t="n"/>
      <c r="X1090" s="14" t="n"/>
      <c r="Y1090" s="12" t="n"/>
      <c r="Z1090" s="13" t="n"/>
      <c r="AA1090" s="14" t="n"/>
      <c r="AB1090" s="12" t="n"/>
      <c r="AC1090" s="13" t="n"/>
      <c r="AD1090" s="14" t="n"/>
      <c r="AE1090" s="12" t="n"/>
      <c r="AF1090" s="13" t="n"/>
      <c r="AG1090" s="14" t="n"/>
      <c r="AH1090" s="12" t="n"/>
      <c r="AI1090" s="13" t="n"/>
      <c r="AJ1090" s="14" t="n"/>
      <c r="AK1090" s="12" t="n"/>
      <c r="AL1090" s="13" t="n"/>
      <c r="AM1090" s="14" t="n"/>
      <c r="AN1090" s="12" t="n"/>
      <c r="AO1090" s="13" t="n"/>
      <c r="AP1090" s="14" t="n"/>
      <c r="AQ1090" s="12" t="n"/>
      <c r="AR1090" s="13" t="n"/>
      <c r="AS1090" s="14" t="n"/>
      <c r="AT1090" s="12" t="n"/>
      <c r="AU1090" s="13" t="n"/>
      <c r="AV1090" s="14" t="n"/>
      <c r="AW1090" s="12" t="n"/>
      <c r="AX1090" s="13" t="n"/>
      <c r="AY1090" s="14" t="n"/>
      <c r="AZ1090" s="12" t="n"/>
      <c r="BA1090" s="13" t="n"/>
      <c r="BB1090" s="14" t="n"/>
      <c r="BC1090" s="11">
        <f>IF(O1090="","",IF(J1090="GST 10%",ROUND(O1090*set_GSTRate,2),0))</f>
        <v/>
      </c>
      <c r="BD1090" s="11">
        <f>IF(O1090="","",O1090+BC1090)</f>
        <v/>
      </c>
      <c r="BE1090" s="15">
        <f>IF(O1090="","",COUNTA(S1090,V1090,Y1090,AB1090,AE1090,AH1090,AK1090,AN1090,AQ1090,AT1090,AW1090,AZ1090))</f>
        <v/>
      </c>
      <c r="BF1090" s="16">
        <f>IF(COUNT(T1090,W1090,Z1090,AC1090,AF1090,AI1090,AL1090,AO1090,AR1090,AU1090,AX1090,BA1090)=0,"",MAX(T1090,W1090,Z1090,AC1090,AF1090,AI1090,AL1090,AO1090,AR1090,AU1090,AX1090,BA1090))</f>
        <v/>
      </c>
      <c r="BG1090" s="10">
        <f>MID(IF(S1090="","",", "&amp;S1090)&amp;IF(V1090="","",", "&amp;V1090)&amp;IF(Y1090="","",", "&amp;Y1090)&amp;IF(AB1090="","",", "&amp;AB1090)&amp;IF(AE1090="","",", "&amp;AE1090)&amp;IF(AH1090="","",", "&amp;AH1090)&amp;IF(AK1090="","",", "&amp;AK1090)&amp;IF(AN1090="","",", "&amp;AN1090)&amp;IF(AQ1090="","",", "&amp;AQ1090)&amp;IF(AT1090="","",", "&amp;AT1090)&amp;IF(AW1090="","",", "&amp;AW1090)&amp;IF(AZ1090="","",", "&amp;AZ1090),3,500)</f>
        <v/>
      </c>
      <c r="BH1090" s="12" t="n"/>
      <c r="BI1090" s="15">
        <f>IFERROR(MATCH($A1090,IF($B1090="Onsite",tbl_Onsite[Row ID],IF($B1090="Production",tbl_Production[Row ID],tbl_Consulting[Row ID])),0),"")</f>
        <v/>
      </c>
    </row>
    <row r="1091">
      <c r="A1091" s="10" t="inlineStr">
        <is>
          <t>CON-0085</t>
        </is>
      </c>
      <c r="B1091" s="10" t="inlineStr">
        <is>
          <t>Consulting</t>
        </is>
      </c>
      <c r="C1091" s="10">
        <f>IF($BI1091="","",IF($B1091="Onsite",INDEX(tbl_Onsite[Job Number],$BI1091),IF($B1091="Production",INDEX(tbl_Production[Job Number],$BI1091),INDEX(tbl_Consulting[Job Number],$BI1091)))&amp;"")</f>
        <v/>
      </c>
      <c r="D1091" s="10">
        <f>IF($BI1091="","",IF($B1091="Onsite",INDEX(tbl_Onsite[Client],$BI1091),IF($B1091="Production",INDEX(tbl_Production[Client],$BI1091),INDEX(tbl_Consulting[Client],$BI1091)))&amp;"")</f>
        <v/>
      </c>
      <c r="E1091" s="10">
        <f>IF($C1091="","",IF(COUNTIF(lst_Jobs,$C1091)&gt;0,"OK","CHECK"))</f>
        <v/>
      </c>
      <c r="F1091" s="10">
        <f>IF($C1091="","",IFERROR(INDEX(lst_JobName,MATCH($C1091,lst_Jobs,0)),""))</f>
        <v/>
      </c>
      <c r="G1091" s="10">
        <f>IF($BI1091="","",IF($B1091="Onsite",INDEX(tbl_Onsite[Job Description],$BI1091),IF($B1091="Production",INDEX(tbl_Production[Job Description],$BI1091),INDEX(tbl_Consulting[Job Description],$BI1091)))&amp;"")</f>
        <v/>
      </c>
      <c r="H1091" s="10">
        <f>IF($BI1091="","",IF($B1091="Onsite",INDEX(tbl_Onsite[Cost Centre],$BI1091),IF($B1091="Production",INDEX(tbl_Production[Cost Centre],$BI1091),INDEX(tbl_Consulting[Cost Centre],$BI1091)))&amp;"")</f>
        <v/>
      </c>
      <c r="I1091" s="10">
        <f>IF($BI1091="","",IF($B1091="Onsite",INDEX(tbl_Onsite[Invoice Type],$BI1091),IF($B1091="Production",INDEX(tbl_Production[Invoice Type],$BI1091),INDEX(tbl_Consulting[Invoice Type],$BI1091)))&amp;"")</f>
        <v/>
      </c>
      <c r="J1091" s="10">
        <f>IF($BI1091="","",IF($B1091="Onsite",INDEX(tbl_Onsite[Tax Code],$BI1091),IF($B1091="Production",INDEX(tbl_Production[Tax Code],$BI1091),INDEX(tbl_Consulting[Tax Code],$BI1091)))&amp;"")</f>
        <v/>
      </c>
      <c r="K1091" s="10">
        <f>IF(H1091="","",IFERROR(INDEX(lst_CCtoGL,MATCH(H1091,lst_CCforGL,0)),""))</f>
        <v/>
      </c>
      <c r="L1091" s="10">
        <f>IF($BI1091="","",IF($B1091="Onsite",INDEX(tbl_Onsite[PO / Reference],$BI1091),IF($B1091="Production",INDEX(tbl_Production[Current RMS No],$BI1091),INDEX(tbl_Consulting[Qwilr Quote],$BI1091)))&amp;"")</f>
        <v/>
      </c>
      <c r="M1091" s="10">
        <f>IF($BI1091="","",IF($B1091="Onsite",INDEX(tbl_Onsite[Notes],$BI1091),IF($B1091="Production",INDEX(tbl_Production[Notes],$BI1091),INDEX(tbl_Consulting[Notes],$BI1091)))&amp;"")</f>
        <v/>
      </c>
      <c r="N1091" s="11">
        <f>IF($BI1091="","",IF(IF($B1091="Onsite",INDEX(tbl_Onsite[Expected Revenue Ex GST],$BI1091),IF($B1091="Production",INDEX(tbl_Production[Expected Revenue Ex GST],$BI1091),INDEX(tbl_Consulting[Expected Revenue Ex GST],$BI1091)))="","",IF($B1091="Onsite",INDEX(tbl_Onsite[Expected Revenue Ex GST],$BI1091),IF($B1091="Production",INDEX(tbl_Production[Expected Revenue Ex GST],$BI1091),INDEX(tbl_Consulting[Expected Revenue Ex GST],$BI1091)))))</f>
        <v/>
      </c>
      <c r="O1091" s="11">
        <f>IF(AND($C1091="",NOT(COUNTA($S1091:$BB1091)&gt;0)),"",SUM(U1091,X1091,AA1091,AD1091,AG1091,AJ1091,AM1091,AP1091,AS1091,AV1091,AY1091,BB1091))</f>
        <v/>
      </c>
      <c r="P1091" s="11">
        <f>IF(O1091="","",N(N1091)-O1091)</f>
        <v/>
      </c>
      <c r="Q1091" s="10">
        <f>IF(O1091="","",IF($C1091="","Invoice on empty job row",IF(N1091="",IF(ROUND(O1091,2)=0,"No dept value","Invoiced - no dept value"),IF(ROUND(O1091,2)=0,"Not invoiced - to invoice",IF(ROUND(P1091,2)=0,"Agrees",IF(P1091&gt;0,"Dept higher - to invoice","Xero higher - check dept"))))))</f>
        <v/>
      </c>
      <c r="R1091" s="10">
        <f>IF(AND($C1091="",NOT(COUNTA($S1091:$BB1091)&gt;0),$BI1091&lt;&gt;""),"",MID(IF($BI1091="","; Row ID not found on the department sheet - a row was deleted","")&amp;IF(AND($C1091="",COUNTA($S1091:$BB1091)&gt;0),"; Invoice entered but the department row has no job number","")&amp;IF(E1091="CHECK","; Job number not in the Xero job list","")&amp;IF(AND($C1091&lt;&gt;"",COUNTIF($C$7:$C$1506,$C1091)&gt;1),"; Job number on more than one row","")&amp;IF(AND($C1091&lt;&gt;"",H1091=""),"; Dept has not set a cost centre","")&amp;IF(AND($C1091&lt;&gt;"",J1091=""),"; Dept has not set a tax code","")&amp;IF(AND($C1091&lt;&gt;"",N1091=""),"; Dept has not entered an expected value","")&amp;IF((IF(OR(COUNTA(S1091:U1091)=0,AND(COUNTA(S1091:U1091)=3,ISNUMBER(U1091))),0,1)+IF(OR(COUNTA(V1091:X1091)=0,AND(COUNTA(V1091:X1091)=3,ISNUMBER(X1091))),0,1)+IF(OR(COUNTA(Y1091:AA1091)=0,AND(COUNTA(Y1091:AA1091)=3,ISNUMBER(AA1091))),0,1)+IF(OR(COUNTA(AB1091:AD1091)=0,AND(COUNTA(AB1091:AD1091)=3,ISNUMBER(AD1091))),0,1)+IF(OR(COUNTA(AE1091:AG1091)=0,AND(COUNTA(AE1091:AG1091)=3,ISNUMBER(AG1091))),0,1)+IF(OR(COUNTA(AH1091:AJ1091)=0,AND(COUNTA(AH1091:AJ1091)=3,ISNUMBER(AJ1091))),0,1)+IF(OR(COUNTA(AK1091:AM1091)=0,AND(COUNTA(AK1091:AM1091)=3,ISNUMBER(AM1091))),0,1)+IF(OR(COUNTA(AN1091:AP1091)=0,AND(COUNTA(AN1091:AP1091)=3,ISNUMBER(AP1091))),0,1)+IF(OR(COUNTA(AQ1091:AS1091)=0,AND(COUNTA(AQ1091:AS1091)=3,ISNUMBER(AS1091))),0,1)+IF(OR(COUNTA(AT1091:AV1091)=0,AND(COUNTA(AT1091:AV1091)=3,ISNUMBER(AV1091))),0,1)+IF(OR(COUNTA(AW1091:AY1091)=0,AND(COUNTA(AW1091:AY1091)=3,ISNUMBER(AY1091))),0,1)+IF(OR(COUNTA(AZ1091:BB1091)=0,AND(COUNTA(AZ1091:BB1091)=3,ISNUMBER(BB1091))),0,1))&gt;0,"; An invoice is incomplete (needs No, Date and a number in Ex GST)","")&amp;IF((IF(T1091="",0,IFERROR(--(EOMONTH(T1091,0)&lt;&gt;S$5),1))+IF(W1091="",0,IFERROR(--(EOMONTH(W1091,0)&lt;&gt;V$5),1))+IF(Z1091="",0,IFERROR(--(EOMONTH(Z1091,0)&lt;&gt;Y$5),1))+IF(AC1091="",0,IFERROR(--(EOMONTH(AC1091,0)&lt;&gt;AB$5),1))+IF(AF1091="",0,IFERROR(--(EOMONTH(AF1091,0)&lt;&gt;AE$5),1))+IF(AI1091="",0,IFERROR(--(EOMONTH(AI1091,0)&lt;&gt;AH$5),1))+IF(AL1091="",0,IFERROR(--(EOMONTH(AL1091,0)&lt;&gt;AK$5),1))+IF(AO1091="",0,IFERROR(--(EOMONTH(AO1091,0)&lt;&gt;AN$5),1))+IF(AR1091="",0,IFERROR(--(EOMONTH(AR1091,0)&lt;&gt;AQ$5),1))+IF(AU1091="",0,IFERROR(--(EOMONTH(AU1091,0)&lt;&gt;AT$5),1))+IF(AX1091="",0,IFERROR(--(EOMONTH(AX1091,0)&lt;&gt;AW$5),1))+IF(BA1091="",0,IFERROR(--(EOMONTH(BA1091,0)&lt;&gt;AZ$5),1)))&gt;0,"; An invoice date is not in the month it is typed under",""),3,500))</f>
        <v/>
      </c>
      <c r="S1091" s="12" t="n"/>
      <c r="T1091" s="13" t="n"/>
      <c r="U1091" s="14" t="n"/>
      <c r="V1091" s="12" t="n"/>
      <c r="W1091" s="13" t="n"/>
      <c r="X1091" s="14" t="n"/>
      <c r="Y1091" s="12" t="n"/>
      <c r="Z1091" s="13" t="n"/>
      <c r="AA1091" s="14" t="n"/>
      <c r="AB1091" s="12" t="n"/>
      <c r="AC1091" s="13" t="n"/>
      <c r="AD1091" s="14" t="n"/>
      <c r="AE1091" s="12" t="n"/>
      <c r="AF1091" s="13" t="n"/>
      <c r="AG1091" s="14" t="n"/>
      <c r="AH1091" s="12" t="n"/>
      <c r="AI1091" s="13" t="n"/>
      <c r="AJ1091" s="14" t="n"/>
      <c r="AK1091" s="12" t="n"/>
      <c r="AL1091" s="13" t="n"/>
      <c r="AM1091" s="14" t="n"/>
      <c r="AN1091" s="12" t="n"/>
      <c r="AO1091" s="13" t="n"/>
      <c r="AP1091" s="14" t="n"/>
      <c r="AQ1091" s="12" t="n"/>
      <c r="AR1091" s="13" t="n"/>
      <c r="AS1091" s="14" t="n"/>
      <c r="AT1091" s="12" t="n"/>
      <c r="AU1091" s="13" t="n"/>
      <c r="AV1091" s="14" t="n"/>
      <c r="AW1091" s="12" t="n"/>
      <c r="AX1091" s="13" t="n"/>
      <c r="AY1091" s="14" t="n"/>
      <c r="AZ1091" s="12" t="n"/>
      <c r="BA1091" s="13" t="n"/>
      <c r="BB1091" s="14" t="n"/>
      <c r="BC1091" s="11">
        <f>IF(O1091="","",IF(J1091="GST 10%",ROUND(O1091*set_GSTRate,2),0))</f>
        <v/>
      </c>
      <c r="BD1091" s="11">
        <f>IF(O1091="","",O1091+BC1091)</f>
        <v/>
      </c>
      <c r="BE1091" s="15">
        <f>IF(O1091="","",COUNTA(S1091,V1091,Y1091,AB1091,AE1091,AH1091,AK1091,AN1091,AQ1091,AT1091,AW1091,AZ1091))</f>
        <v/>
      </c>
      <c r="BF1091" s="16">
        <f>IF(COUNT(T1091,W1091,Z1091,AC1091,AF1091,AI1091,AL1091,AO1091,AR1091,AU1091,AX1091,BA1091)=0,"",MAX(T1091,W1091,Z1091,AC1091,AF1091,AI1091,AL1091,AO1091,AR1091,AU1091,AX1091,BA1091))</f>
        <v/>
      </c>
      <c r="BG1091" s="10">
        <f>MID(IF(S1091="","",", "&amp;S1091)&amp;IF(V1091="","",", "&amp;V1091)&amp;IF(Y1091="","",", "&amp;Y1091)&amp;IF(AB1091="","",", "&amp;AB1091)&amp;IF(AE1091="","",", "&amp;AE1091)&amp;IF(AH1091="","",", "&amp;AH1091)&amp;IF(AK1091="","",", "&amp;AK1091)&amp;IF(AN1091="","",", "&amp;AN1091)&amp;IF(AQ1091="","",", "&amp;AQ1091)&amp;IF(AT1091="","",", "&amp;AT1091)&amp;IF(AW1091="","",", "&amp;AW1091)&amp;IF(AZ1091="","",", "&amp;AZ1091),3,500)</f>
        <v/>
      </c>
      <c r="BH1091" s="12" t="n"/>
      <c r="BI1091" s="15">
        <f>IFERROR(MATCH($A1091,IF($B1091="Onsite",tbl_Onsite[Row ID],IF($B1091="Production",tbl_Production[Row ID],tbl_Consulting[Row ID])),0),"")</f>
        <v/>
      </c>
    </row>
    <row r="1092">
      <c r="A1092" s="10" t="inlineStr">
        <is>
          <t>CON-0086</t>
        </is>
      </c>
      <c r="B1092" s="10" t="inlineStr">
        <is>
          <t>Consulting</t>
        </is>
      </c>
      <c r="C1092" s="10">
        <f>IF($BI1092="","",IF($B1092="Onsite",INDEX(tbl_Onsite[Job Number],$BI1092),IF($B1092="Production",INDEX(tbl_Production[Job Number],$BI1092),INDEX(tbl_Consulting[Job Number],$BI1092)))&amp;"")</f>
        <v/>
      </c>
      <c r="D1092" s="10">
        <f>IF($BI1092="","",IF($B1092="Onsite",INDEX(tbl_Onsite[Client],$BI1092),IF($B1092="Production",INDEX(tbl_Production[Client],$BI1092),INDEX(tbl_Consulting[Client],$BI1092)))&amp;"")</f>
        <v/>
      </c>
      <c r="E1092" s="10">
        <f>IF($C1092="","",IF(COUNTIF(lst_Jobs,$C1092)&gt;0,"OK","CHECK"))</f>
        <v/>
      </c>
      <c r="F1092" s="10">
        <f>IF($C1092="","",IFERROR(INDEX(lst_JobName,MATCH($C1092,lst_Jobs,0)),""))</f>
        <v/>
      </c>
      <c r="G1092" s="10">
        <f>IF($BI1092="","",IF($B1092="Onsite",INDEX(tbl_Onsite[Job Description],$BI1092),IF($B1092="Production",INDEX(tbl_Production[Job Description],$BI1092),INDEX(tbl_Consulting[Job Description],$BI1092)))&amp;"")</f>
        <v/>
      </c>
      <c r="H1092" s="10">
        <f>IF($BI1092="","",IF($B1092="Onsite",INDEX(tbl_Onsite[Cost Centre],$BI1092),IF($B1092="Production",INDEX(tbl_Production[Cost Centre],$BI1092),INDEX(tbl_Consulting[Cost Centre],$BI1092)))&amp;"")</f>
        <v/>
      </c>
      <c r="I1092" s="10">
        <f>IF($BI1092="","",IF($B1092="Onsite",INDEX(tbl_Onsite[Invoice Type],$BI1092),IF($B1092="Production",INDEX(tbl_Production[Invoice Type],$BI1092),INDEX(tbl_Consulting[Invoice Type],$BI1092)))&amp;"")</f>
        <v/>
      </c>
      <c r="J1092" s="10">
        <f>IF($BI1092="","",IF($B1092="Onsite",INDEX(tbl_Onsite[Tax Code],$BI1092),IF($B1092="Production",INDEX(tbl_Production[Tax Code],$BI1092),INDEX(tbl_Consulting[Tax Code],$BI1092)))&amp;"")</f>
        <v/>
      </c>
      <c r="K1092" s="10">
        <f>IF(H1092="","",IFERROR(INDEX(lst_CCtoGL,MATCH(H1092,lst_CCforGL,0)),""))</f>
        <v/>
      </c>
      <c r="L1092" s="10">
        <f>IF($BI1092="","",IF($B1092="Onsite",INDEX(tbl_Onsite[PO / Reference],$BI1092),IF($B1092="Production",INDEX(tbl_Production[Current RMS No],$BI1092),INDEX(tbl_Consulting[Qwilr Quote],$BI1092)))&amp;"")</f>
        <v/>
      </c>
      <c r="M1092" s="10">
        <f>IF($BI1092="","",IF($B1092="Onsite",INDEX(tbl_Onsite[Notes],$BI1092),IF($B1092="Production",INDEX(tbl_Production[Notes],$BI1092),INDEX(tbl_Consulting[Notes],$BI1092)))&amp;"")</f>
        <v/>
      </c>
      <c r="N1092" s="11">
        <f>IF($BI1092="","",IF(IF($B1092="Onsite",INDEX(tbl_Onsite[Expected Revenue Ex GST],$BI1092),IF($B1092="Production",INDEX(tbl_Production[Expected Revenue Ex GST],$BI1092),INDEX(tbl_Consulting[Expected Revenue Ex GST],$BI1092)))="","",IF($B1092="Onsite",INDEX(tbl_Onsite[Expected Revenue Ex GST],$BI1092),IF($B1092="Production",INDEX(tbl_Production[Expected Revenue Ex GST],$BI1092),INDEX(tbl_Consulting[Expected Revenue Ex GST],$BI1092)))))</f>
        <v/>
      </c>
      <c r="O1092" s="11">
        <f>IF(AND($C1092="",NOT(COUNTA($S1092:$BB1092)&gt;0)),"",SUM(U1092,X1092,AA1092,AD1092,AG1092,AJ1092,AM1092,AP1092,AS1092,AV1092,AY1092,BB1092))</f>
        <v/>
      </c>
      <c r="P1092" s="11">
        <f>IF(O1092="","",N(N1092)-O1092)</f>
        <v/>
      </c>
      <c r="Q1092" s="10">
        <f>IF(O1092="","",IF($C1092="","Invoice on empty job row",IF(N1092="",IF(ROUND(O1092,2)=0,"No dept value","Invoiced - no dept value"),IF(ROUND(O1092,2)=0,"Not invoiced - to invoice",IF(ROUND(P1092,2)=0,"Agrees",IF(P1092&gt;0,"Dept higher - to invoice","Xero higher - check dept"))))))</f>
        <v/>
      </c>
      <c r="R1092" s="10">
        <f>IF(AND($C1092="",NOT(COUNTA($S1092:$BB1092)&gt;0),$BI1092&lt;&gt;""),"",MID(IF($BI1092="","; Row ID not found on the department sheet - a row was deleted","")&amp;IF(AND($C1092="",COUNTA($S1092:$BB1092)&gt;0),"; Invoice entered but the department row has no job number","")&amp;IF(E1092="CHECK","; Job number not in the Xero job list","")&amp;IF(AND($C1092&lt;&gt;"",COUNTIF($C$7:$C$1506,$C1092)&gt;1),"; Job number on more than one row","")&amp;IF(AND($C1092&lt;&gt;"",H1092=""),"; Dept has not set a cost centre","")&amp;IF(AND($C1092&lt;&gt;"",J1092=""),"; Dept has not set a tax code","")&amp;IF(AND($C1092&lt;&gt;"",N1092=""),"; Dept has not entered an expected value","")&amp;IF((IF(OR(COUNTA(S1092:U1092)=0,AND(COUNTA(S1092:U1092)=3,ISNUMBER(U1092))),0,1)+IF(OR(COUNTA(V1092:X1092)=0,AND(COUNTA(V1092:X1092)=3,ISNUMBER(X1092))),0,1)+IF(OR(COUNTA(Y1092:AA1092)=0,AND(COUNTA(Y1092:AA1092)=3,ISNUMBER(AA1092))),0,1)+IF(OR(COUNTA(AB1092:AD1092)=0,AND(COUNTA(AB1092:AD1092)=3,ISNUMBER(AD1092))),0,1)+IF(OR(COUNTA(AE1092:AG1092)=0,AND(COUNTA(AE1092:AG1092)=3,ISNUMBER(AG1092))),0,1)+IF(OR(COUNTA(AH1092:AJ1092)=0,AND(COUNTA(AH1092:AJ1092)=3,ISNUMBER(AJ1092))),0,1)+IF(OR(COUNTA(AK1092:AM1092)=0,AND(COUNTA(AK1092:AM1092)=3,ISNUMBER(AM1092))),0,1)+IF(OR(COUNTA(AN1092:AP1092)=0,AND(COUNTA(AN1092:AP1092)=3,ISNUMBER(AP1092))),0,1)+IF(OR(COUNTA(AQ1092:AS1092)=0,AND(COUNTA(AQ1092:AS1092)=3,ISNUMBER(AS1092))),0,1)+IF(OR(COUNTA(AT1092:AV1092)=0,AND(COUNTA(AT1092:AV1092)=3,ISNUMBER(AV1092))),0,1)+IF(OR(COUNTA(AW1092:AY1092)=0,AND(COUNTA(AW1092:AY1092)=3,ISNUMBER(AY1092))),0,1)+IF(OR(COUNTA(AZ1092:BB1092)=0,AND(COUNTA(AZ1092:BB1092)=3,ISNUMBER(BB1092))),0,1))&gt;0,"; An invoice is incomplete (needs No, Date and a number in Ex GST)","")&amp;IF((IF(T1092="",0,IFERROR(--(EOMONTH(T1092,0)&lt;&gt;S$5),1))+IF(W1092="",0,IFERROR(--(EOMONTH(W1092,0)&lt;&gt;V$5),1))+IF(Z1092="",0,IFERROR(--(EOMONTH(Z1092,0)&lt;&gt;Y$5),1))+IF(AC1092="",0,IFERROR(--(EOMONTH(AC1092,0)&lt;&gt;AB$5),1))+IF(AF1092="",0,IFERROR(--(EOMONTH(AF1092,0)&lt;&gt;AE$5),1))+IF(AI1092="",0,IFERROR(--(EOMONTH(AI1092,0)&lt;&gt;AH$5),1))+IF(AL1092="",0,IFERROR(--(EOMONTH(AL1092,0)&lt;&gt;AK$5),1))+IF(AO1092="",0,IFERROR(--(EOMONTH(AO1092,0)&lt;&gt;AN$5),1))+IF(AR1092="",0,IFERROR(--(EOMONTH(AR1092,0)&lt;&gt;AQ$5),1))+IF(AU1092="",0,IFERROR(--(EOMONTH(AU1092,0)&lt;&gt;AT$5),1))+IF(AX1092="",0,IFERROR(--(EOMONTH(AX1092,0)&lt;&gt;AW$5),1))+IF(BA1092="",0,IFERROR(--(EOMONTH(BA1092,0)&lt;&gt;AZ$5),1)))&gt;0,"; An invoice date is not in the month it is typed under",""),3,500))</f>
        <v/>
      </c>
      <c r="S1092" s="12" t="n"/>
      <c r="T1092" s="13" t="n"/>
      <c r="U1092" s="14" t="n"/>
      <c r="V1092" s="12" t="n"/>
      <c r="W1092" s="13" t="n"/>
      <c r="X1092" s="14" t="n"/>
      <c r="Y1092" s="12" t="n"/>
      <c r="Z1092" s="13" t="n"/>
      <c r="AA1092" s="14" t="n"/>
      <c r="AB1092" s="12" t="n"/>
      <c r="AC1092" s="13" t="n"/>
      <c r="AD1092" s="14" t="n"/>
      <c r="AE1092" s="12" t="n"/>
      <c r="AF1092" s="13" t="n"/>
      <c r="AG1092" s="14" t="n"/>
      <c r="AH1092" s="12" t="n"/>
      <c r="AI1092" s="13" t="n"/>
      <c r="AJ1092" s="14" t="n"/>
      <c r="AK1092" s="12" t="n"/>
      <c r="AL1092" s="13" t="n"/>
      <c r="AM1092" s="14" t="n"/>
      <c r="AN1092" s="12" t="n"/>
      <c r="AO1092" s="13" t="n"/>
      <c r="AP1092" s="14" t="n"/>
      <c r="AQ1092" s="12" t="n"/>
      <c r="AR1092" s="13" t="n"/>
      <c r="AS1092" s="14" t="n"/>
      <c r="AT1092" s="12" t="n"/>
      <c r="AU1092" s="13" t="n"/>
      <c r="AV1092" s="14" t="n"/>
      <c r="AW1092" s="12" t="n"/>
      <c r="AX1092" s="13" t="n"/>
      <c r="AY1092" s="14" t="n"/>
      <c r="AZ1092" s="12" t="n"/>
      <c r="BA1092" s="13" t="n"/>
      <c r="BB1092" s="14" t="n"/>
      <c r="BC1092" s="11">
        <f>IF(O1092="","",IF(J1092="GST 10%",ROUND(O1092*set_GSTRate,2),0))</f>
        <v/>
      </c>
      <c r="BD1092" s="11">
        <f>IF(O1092="","",O1092+BC1092)</f>
        <v/>
      </c>
      <c r="BE1092" s="15">
        <f>IF(O1092="","",COUNTA(S1092,V1092,Y1092,AB1092,AE1092,AH1092,AK1092,AN1092,AQ1092,AT1092,AW1092,AZ1092))</f>
        <v/>
      </c>
      <c r="BF1092" s="16">
        <f>IF(COUNT(T1092,W1092,Z1092,AC1092,AF1092,AI1092,AL1092,AO1092,AR1092,AU1092,AX1092,BA1092)=0,"",MAX(T1092,W1092,Z1092,AC1092,AF1092,AI1092,AL1092,AO1092,AR1092,AU1092,AX1092,BA1092))</f>
        <v/>
      </c>
      <c r="BG1092" s="10">
        <f>MID(IF(S1092="","",", "&amp;S1092)&amp;IF(V1092="","",", "&amp;V1092)&amp;IF(Y1092="","",", "&amp;Y1092)&amp;IF(AB1092="","",", "&amp;AB1092)&amp;IF(AE1092="","",", "&amp;AE1092)&amp;IF(AH1092="","",", "&amp;AH1092)&amp;IF(AK1092="","",", "&amp;AK1092)&amp;IF(AN1092="","",", "&amp;AN1092)&amp;IF(AQ1092="","",", "&amp;AQ1092)&amp;IF(AT1092="","",", "&amp;AT1092)&amp;IF(AW1092="","",", "&amp;AW1092)&amp;IF(AZ1092="","",", "&amp;AZ1092),3,500)</f>
        <v/>
      </c>
      <c r="BH1092" s="12" t="n"/>
      <c r="BI1092" s="15">
        <f>IFERROR(MATCH($A1092,IF($B1092="Onsite",tbl_Onsite[Row ID],IF($B1092="Production",tbl_Production[Row ID],tbl_Consulting[Row ID])),0),"")</f>
        <v/>
      </c>
    </row>
    <row r="1093">
      <c r="A1093" s="10" t="inlineStr">
        <is>
          <t>CON-0087</t>
        </is>
      </c>
      <c r="B1093" s="10" t="inlineStr">
        <is>
          <t>Consulting</t>
        </is>
      </c>
      <c r="C1093" s="10">
        <f>IF($BI1093="","",IF($B1093="Onsite",INDEX(tbl_Onsite[Job Number],$BI1093),IF($B1093="Production",INDEX(tbl_Production[Job Number],$BI1093),INDEX(tbl_Consulting[Job Number],$BI1093)))&amp;"")</f>
        <v/>
      </c>
      <c r="D1093" s="10">
        <f>IF($BI1093="","",IF($B1093="Onsite",INDEX(tbl_Onsite[Client],$BI1093),IF($B1093="Production",INDEX(tbl_Production[Client],$BI1093),INDEX(tbl_Consulting[Client],$BI1093)))&amp;"")</f>
        <v/>
      </c>
      <c r="E1093" s="10">
        <f>IF($C1093="","",IF(COUNTIF(lst_Jobs,$C1093)&gt;0,"OK","CHECK"))</f>
        <v/>
      </c>
      <c r="F1093" s="10">
        <f>IF($C1093="","",IFERROR(INDEX(lst_JobName,MATCH($C1093,lst_Jobs,0)),""))</f>
        <v/>
      </c>
      <c r="G1093" s="10">
        <f>IF($BI1093="","",IF($B1093="Onsite",INDEX(tbl_Onsite[Job Description],$BI1093),IF($B1093="Production",INDEX(tbl_Production[Job Description],$BI1093),INDEX(tbl_Consulting[Job Description],$BI1093)))&amp;"")</f>
        <v/>
      </c>
      <c r="H1093" s="10">
        <f>IF($BI1093="","",IF($B1093="Onsite",INDEX(tbl_Onsite[Cost Centre],$BI1093),IF($B1093="Production",INDEX(tbl_Production[Cost Centre],$BI1093),INDEX(tbl_Consulting[Cost Centre],$BI1093)))&amp;"")</f>
        <v/>
      </c>
      <c r="I1093" s="10">
        <f>IF($BI1093="","",IF($B1093="Onsite",INDEX(tbl_Onsite[Invoice Type],$BI1093),IF($B1093="Production",INDEX(tbl_Production[Invoice Type],$BI1093),INDEX(tbl_Consulting[Invoice Type],$BI1093)))&amp;"")</f>
        <v/>
      </c>
      <c r="J1093" s="10">
        <f>IF($BI1093="","",IF($B1093="Onsite",INDEX(tbl_Onsite[Tax Code],$BI1093),IF($B1093="Production",INDEX(tbl_Production[Tax Code],$BI1093),INDEX(tbl_Consulting[Tax Code],$BI1093)))&amp;"")</f>
        <v/>
      </c>
      <c r="K1093" s="10">
        <f>IF(H1093="","",IFERROR(INDEX(lst_CCtoGL,MATCH(H1093,lst_CCforGL,0)),""))</f>
        <v/>
      </c>
      <c r="L1093" s="10">
        <f>IF($BI1093="","",IF($B1093="Onsite",INDEX(tbl_Onsite[PO / Reference],$BI1093),IF($B1093="Production",INDEX(tbl_Production[Current RMS No],$BI1093),INDEX(tbl_Consulting[Qwilr Quote],$BI1093)))&amp;"")</f>
        <v/>
      </c>
      <c r="M1093" s="10">
        <f>IF($BI1093="","",IF($B1093="Onsite",INDEX(tbl_Onsite[Notes],$BI1093),IF($B1093="Production",INDEX(tbl_Production[Notes],$BI1093),INDEX(tbl_Consulting[Notes],$BI1093)))&amp;"")</f>
        <v/>
      </c>
      <c r="N1093" s="11">
        <f>IF($BI1093="","",IF(IF($B1093="Onsite",INDEX(tbl_Onsite[Expected Revenue Ex GST],$BI1093),IF($B1093="Production",INDEX(tbl_Production[Expected Revenue Ex GST],$BI1093),INDEX(tbl_Consulting[Expected Revenue Ex GST],$BI1093)))="","",IF($B1093="Onsite",INDEX(tbl_Onsite[Expected Revenue Ex GST],$BI1093),IF($B1093="Production",INDEX(tbl_Production[Expected Revenue Ex GST],$BI1093),INDEX(tbl_Consulting[Expected Revenue Ex GST],$BI1093)))))</f>
        <v/>
      </c>
      <c r="O1093" s="11">
        <f>IF(AND($C1093="",NOT(COUNTA($S1093:$BB1093)&gt;0)),"",SUM(U1093,X1093,AA1093,AD1093,AG1093,AJ1093,AM1093,AP1093,AS1093,AV1093,AY1093,BB1093))</f>
        <v/>
      </c>
      <c r="P1093" s="11">
        <f>IF(O1093="","",N(N1093)-O1093)</f>
        <v/>
      </c>
      <c r="Q1093" s="10">
        <f>IF(O1093="","",IF($C1093="","Invoice on empty job row",IF(N1093="",IF(ROUND(O1093,2)=0,"No dept value","Invoiced - no dept value"),IF(ROUND(O1093,2)=0,"Not invoiced - to invoice",IF(ROUND(P1093,2)=0,"Agrees",IF(P1093&gt;0,"Dept higher - to invoice","Xero higher - check dept"))))))</f>
        <v/>
      </c>
      <c r="R1093" s="10">
        <f>IF(AND($C1093="",NOT(COUNTA($S1093:$BB1093)&gt;0),$BI1093&lt;&gt;""),"",MID(IF($BI1093="","; Row ID not found on the department sheet - a row was deleted","")&amp;IF(AND($C1093="",COUNTA($S1093:$BB1093)&gt;0),"; Invoice entered but the department row has no job number","")&amp;IF(E1093="CHECK","; Job number not in the Xero job list","")&amp;IF(AND($C1093&lt;&gt;"",COUNTIF($C$7:$C$1506,$C1093)&gt;1),"; Job number on more than one row","")&amp;IF(AND($C1093&lt;&gt;"",H1093=""),"; Dept has not set a cost centre","")&amp;IF(AND($C1093&lt;&gt;"",J1093=""),"; Dept has not set a tax code","")&amp;IF(AND($C1093&lt;&gt;"",N1093=""),"; Dept has not entered an expected value","")&amp;IF((IF(OR(COUNTA(S1093:U1093)=0,AND(COUNTA(S1093:U1093)=3,ISNUMBER(U1093))),0,1)+IF(OR(COUNTA(V1093:X1093)=0,AND(COUNTA(V1093:X1093)=3,ISNUMBER(X1093))),0,1)+IF(OR(COUNTA(Y1093:AA1093)=0,AND(COUNTA(Y1093:AA1093)=3,ISNUMBER(AA1093))),0,1)+IF(OR(COUNTA(AB1093:AD1093)=0,AND(COUNTA(AB1093:AD1093)=3,ISNUMBER(AD1093))),0,1)+IF(OR(COUNTA(AE1093:AG1093)=0,AND(COUNTA(AE1093:AG1093)=3,ISNUMBER(AG1093))),0,1)+IF(OR(COUNTA(AH1093:AJ1093)=0,AND(COUNTA(AH1093:AJ1093)=3,ISNUMBER(AJ1093))),0,1)+IF(OR(COUNTA(AK1093:AM1093)=0,AND(COUNTA(AK1093:AM1093)=3,ISNUMBER(AM1093))),0,1)+IF(OR(COUNTA(AN1093:AP1093)=0,AND(COUNTA(AN1093:AP1093)=3,ISNUMBER(AP1093))),0,1)+IF(OR(COUNTA(AQ1093:AS1093)=0,AND(COUNTA(AQ1093:AS1093)=3,ISNUMBER(AS1093))),0,1)+IF(OR(COUNTA(AT1093:AV1093)=0,AND(COUNTA(AT1093:AV1093)=3,ISNUMBER(AV1093))),0,1)+IF(OR(COUNTA(AW1093:AY1093)=0,AND(COUNTA(AW1093:AY1093)=3,ISNUMBER(AY1093))),0,1)+IF(OR(COUNTA(AZ1093:BB1093)=0,AND(COUNTA(AZ1093:BB1093)=3,ISNUMBER(BB1093))),0,1))&gt;0,"; An invoice is incomplete (needs No, Date and a number in Ex GST)","")&amp;IF((IF(T1093="",0,IFERROR(--(EOMONTH(T1093,0)&lt;&gt;S$5),1))+IF(W1093="",0,IFERROR(--(EOMONTH(W1093,0)&lt;&gt;V$5),1))+IF(Z1093="",0,IFERROR(--(EOMONTH(Z1093,0)&lt;&gt;Y$5),1))+IF(AC1093="",0,IFERROR(--(EOMONTH(AC1093,0)&lt;&gt;AB$5),1))+IF(AF1093="",0,IFERROR(--(EOMONTH(AF1093,0)&lt;&gt;AE$5),1))+IF(AI1093="",0,IFERROR(--(EOMONTH(AI1093,0)&lt;&gt;AH$5),1))+IF(AL1093="",0,IFERROR(--(EOMONTH(AL1093,0)&lt;&gt;AK$5),1))+IF(AO1093="",0,IFERROR(--(EOMONTH(AO1093,0)&lt;&gt;AN$5),1))+IF(AR1093="",0,IFERROR(--(EOMONTH(AR1093,0)&lt;&gt;AQ$5),1))+IF(AU1093="",0,IFERROR(--(EOMONTH(AU1093,0)&lt;&gt;AT$5),1))+IF(AX1093="",0,IFERROR(--(EOMONTH(AX1093,0)&lt;&gt;AW$5),1))+IF(BA1093="",0,IFERROR(--(EOMONTH(BA1093,0)&lt;&gt;AZ$5),1)))&gt;0,"; An invoice date is not in the month it is typed under",""),3,500))</f>
        <v/>
      </c>
      <c r="S1093" s="12" t="n"/>
      <c r="T1093" s="13" t="n"/>
      <c r="U1093" s="14" t="n"/>
      <c r="V1093" s="12" t="n"/>
      <c r="W1093" s="13" t="n"/>
      <c r="X1093" s="14" t="n"/>
      <c r="Y1093" s="12" t="n"/>
      <c r="Z1093" s="13" t="n"/>
      <c r="AA1093" s="14" t="n"/>
      <c r="AB1093" s="12" t="n"/>
      <c r="AC1093" s="13" t="n"/>
      <c r="AD1093" s="14" t="n"/>
      <c r="AE1093" s="12" t="n"/>
      <c r="AF1093" s="13" t="n"/>
      <c r="AG1093" s="14" t="n"/>
      <c r="AH1093" s="12" t="n"/>
      <c r="AI1093" s="13" t="n"/>
      <c r="AJ1093" s="14" t="n"/>
      <c r="AK1093" s="12" t="n"/>
      <c r="AL1093" s="13" t="n"/>
      <c r="AM1093" s="14" t="n"/>
      <c r="AN1093" s="12" t="n"/>
      <c r="AO1093" s="13" t="n"/>
      <c r="AP1093" s="14" t="n"/>
      <c r="AQ1093" s="12" t="n"/>
      <c r="AR1093" s="13" t="n"/>
      <c r="AS1093" s="14" t="n"/>
      <c r="AT1093" s="12" t="n"/>
      <c r="AU1093" s="13" t="n"/>
      <c r="AV1093" s="14" t="n"/>
      <c r="AW1093" s="12" t="n"/>
      <c r="AX1093" s="13" t="n"/>
      <c r="AY1093" s="14" t="n"/>
      <c r="AZ1093" s="12" t="n"/>
      <c r="BA1093" s="13" t="n"/>
      <c r="BB1093" s="14" t="n"/>
      <c r="BC1093" s="11">
        <f>IF(O1093="","",IF(J1093="GST 10%",ROUND(O1093*set_GSTRate,2),0))</f>
        <v/>
      </c>
      <c r="BD1093" s="11">
        <f>IF(O1093="","",O1093+BC1093)</f>
        <v/>
      </c>
      <c r="BE1093" s="15">
        <f>IF(O1093="","",COUNTA(S1093,V1093,Y1093,AB1093,AE1093,AH1093,AK1093,AN1093,AQ1093,AT1093,AW1093,AZ1093))</f>
        <v/>
      </c>
      <c r="BF1093" s="16">
        <f>IF(COUNT(T1093,W1093,Z1093,AC1093,AF1093,AI1093,AL1093,AO1093,AR1093,AU1093,AX1093,BA1093)=0,"",MAX(T1093,W1093,Z1093,AC1093,AF1093,AI1093,AL1093,AO1093,AR1093,AU1093,AX1093,BA1093))</f>
        <v/>
      </c>
      <c r="BG1093" s="10">
        <f>MID(IF(S1093="","",", "&amp;S1093)&amp;IF(V1093="","",", "&amp;V1093)&amp;IF(Y1093="","",", "&amp;Y1093)&amp;IF(AB1093="","",", "&amp;AB1093)&amp;IF(AE1093="","",", "&amp;AE1093)&amp;IF(AH1093="","",", "&amp;AH1093)&amp;IF(AK1093="","",", "&amp;AK1093)&amp;IF(AN1093="","",", "&amp;AN1093)&amp;IF(AQ1093="","",", "&amp;AQ1093)&amp;IF(AT1093="","",", "&amp;AT1093)&amp;IF(AW1093="","",", "&amp;AW1093)&amp;IF(AZ1093="","",", "&amp;AZ1093),3,500)</f>
        <v/>
      </c>
      <c r="BH1093" s="12" t="n"/>
      <c r="BI1093" s="15">
        <f>IFERROR(MATCH($A1093,IF($B1093="Onsite",tbl_Onsite[Row ID],IF($B1093="Production",tbl_Production[Row ID],tbl_Consulting[Row ID])),0),"")</f>
        <v/>
      </c>
    </row>
    <row r="1094">
      <c r="A1094" s="10" t="inlineStr">
        <is>
          <t>CON-0088</t>
        </is>
      </c>
      <c r="B1094" s="10" t="inlineStr">
        <is>
          <t>Consulting</t>
        </is>
      </c>
      <c r="C1094" s="10">
        <f>IF($BI1094="","",IF($B1094="Onsite",INDEX(tbl_Onsite[Job Number],$BI1094),IF($B1094="Production",INDEX(tbl_Production[Job Number],$BI1094),INDEX(tbl_Consulting[Job Number],$BI1094)))&amp;"")</f>
        <v/>
      </c>
      <c r="D1094" s="10">
        <f>IF($BI1094="","",IF($B1094="Onsite",INDEX(tbl_Onsite[Client],$BI1094),IF($B1094="Production",INDEX(tbl_Production[Client],$BI1094),INDEX(tbl_Consulting[Client],$BI1094)))&amp;"")</f>
        <v/>
      </c>
      <c r="E1094" s="10">
        <f>IF($C1094="","",IF(COUNTIF(lst_Jobs,$C1094)&gt;0,"OK","CHECK"))</f>
        <v/>
      </c>
      <c r="F1094" s="10">
        <f>IF($C1094="","",IFERROR(INDEX(lst_JobName,MATCH($C1094,lst_Jobs,0)),""))</f>
        <v/>
      </c>
      <c r="G1094" s="10">
        <f>IF($BI1094="","",IF($B1094="Onsite",INDEX(tbl_Onsite[Job Description],$BI1094),IF($B1094="Production",INDEX(tbl_Production[Job Description],$BI1094),INDEX(tbl_Consulting[Job Description],$BI1094)))&amp;"")</f>
        <v/>
      </c>
      <c r="H1094" s="10">
        <f>IF($BI1094="","",IF($B1094="Onsite",INDEX(tbl_Onsite[Cost Centre],$BI1094),IF($B1094="Production",INDEX(tbl_Production[Cost Centre],$BI1094),INDEX(tbl_Consulting[Cost Centre],$BI1094)))&amp;"")</f>
        <v/>
      </c>
      <c r="I1094" s="10">
        <f>IF($BI1094="","",IF($B1094="Onsite",INDEX(tbl_Onsite[Invoice Type],$BI1094),IF($B1094="Production",INDEX(tbl_Production[Invoice Type],$BI1094),INDEX(tbl_Consulting[Invoice Type],$BI1094)))&amp;"")</f>
        <v/>
      </c>
      <c r="J1094" s="10">
        <f>IF($BI1094="","",IF($B1094="Onsite",INDEX(tbl_Onsite[Tax Code],$BI1094),IF($B1094="Production",INDEX(tbl_Production[Tax Code],$BI1094),INDEX(tbl_Consulting[Tax Code],$BI1094)))&amp;"")</f>
        <v/>
      </c>
      <c r="K1094" s="10">
        <f>IF(H1094="","",IFERROR(INDEX(lst_CCtoGL,MATCH(H1094,lst_CCforGL,0)),""))</f>
        <v/>
      </c>
      <c r="L1094" s="10">
        <f>IF($BI1094="","",IF($B1094="Onsite",INDEX(tbl_Onsite[PO / Reference],$BI1094),IF($B1094="Production",INDEX(tbl_Production[Current RMS No],$BI1094),INDEX(tbl_Consulting[Qwilr Quote],$BI1094)))&amp;"")</f>
        <v/>
      </c>
      <c r="M1094" s="10">
        <f>IF($BI1094="","",IF($B1094="Onsite",INDEX(tbl_Onsite[Notes],$BI1094),IF($B1094="Production",INDEX(tbl_Production[Notes],$BI1094),INDEX(tbl_Consulting[Notes],$BI1094)))&amp;"")</f>
        <v/>
      </c>
      <c r="N1094" s="11">
        <f>IF($BI1094="","",IF(IF($B1094="Onsite",INDEX(tbl_Onsite[Expected Revenue Ex GST],$BI1094),IF($B1094="Production",INDEX(tbl_Production[Expected Revenue Ex GST],$BI1094),INDEX(tbl_Consulting[Expected Revenue Ex GST],$BI1094)))="","",IF($B1094="Onsite",INDEX(tbl_Onsite[Expected Revenue Ex GST],$BI1094),IF($B1094="Production",INDEX(tbl_Production[Expected Revenue Ex GST],$BI1094),INDEX(tbl_Consulting[Expected Revenue Ex GST],$BI1094)))))</f>
        <v/>
      </c>
      <c r="O1094" s="11">
        <f>IF(AND($C1094="",NOT(COUNTA($S1094:$BB1094)&gt;0)),"",SUM(U1094,X1094,AA1094,AD1094,AG1094,AJ1094,AM1094,AP1094,AS1094,AV1094,AY1094,BB1094))</f>
        <v/>
      </c>
      <c r="P1094" s="11">
        <f>IF(O1094="","",N(N1094)-O1094)</f>
        <v/>
      </c>
      <c r="Q1094" s="10">
        <f>IF(O1094="","",IF($C1094="","Invoice on empty job row",IF(N1094="",IF(ROUND(O1094,2)=0,"No dept value","Invoiced - no dept value"),IF(ROUND(O1094,2)=0,"Not invoiced - to invoice",IF(ROUND(P1094,2)=0,"Agrees",IF(P1094&gt;0,"Dept higher - to invoice","Xero higher - check dept"))))))</f>
        <v/>
      </c>
      <c r="R1094" s="10">
        <f>IF(AND($C1094="",NOT(COUNTA($S1094:$BB1094)&gt;0),$BI1094&lt;&gt;""),"",MID(IF($BI1094="","; Row ID not found on the department sheet - a row was deleted","")&amp;IF(AND($C1094="",COUNTA($S1094:$BB1094)&gt;0),"; Invoice entered but the department row has no job number","")&amp;IF(E1094="CHECK","; Job number not in the Xero job list","")&amp;IF(AND($C1094&lt;&gt;"",COUNTIF($C$7:$C$1506,$C1094)&gt;1),"; Job number on more than one row","")&amp;IF(AND($C1094&lt;&gt;"",H1094=""),"; Dept has not set a cost centre","")&amp;IF(AND($C1094&lt;&gt;"",J1094=""),"; Dept has not set a tax code","")&amp;IF(AND($C1094&lt;&gt;"",N1094=""),"; Dept has not entered an expected value","")&amp;IF((IF(OR(COUNTA(S1094:U1094)=0,AND(COUNTA(S1094:U1094)=3,ISNUMBER(U1094))),0,1)+IF(OR(COUNTA(V1094:X1094)=0,AND(COUNTA(V1094:X1094)=3,ISNUMBER(X1094))),0,1)+IF(OR(COUNTA(Y1094:AA1094)=0,AND(COUNTA(Y1094:AA1094)=3,ISNUMBER(AA1094))),0,1)+IF(OR(COUNTA(AB1094:AD1094)=0,AND(COUNTA(AB1094:AD1094)=3,ISNUMBER(AD1094))),0,1)+IF(OR(COUNTA(AE1094:AG1094)=0,AND(COUNTA(AE1094:AG1094)=3,ISNUMBER(AG1094))),0,1)+IF(OR(COUNTA(AH1094:AJ1094)=0,AND(COUNTA(AH1094:AJ1094)=3,ISNUMBER(AJ1094))),0,1)+IF(OR(COUNTA(AK1094:AM1094)=0,AND(COUNTA(AK1094:AM1094)=3,ISNUMBER(AM1094))),0,1)+IF(OR(COUNTA(AN1094:AP1094)=0,AND(COUNTA(AN1094:AP1094)=3,ISNUMBER(AP1094))),0,1)+IF(OR(COUNTA(AQ1094:AS1094)=0,AND(COUNTA(AQ1094:AS1094)=3,ISNUMBER(AS1094))),0,1)+IF(OR(COUNTA(AT1094:AV1094)=0,AND(COUNTA(AT1094:AV1094)=3,ISNUMBER(AV1094))),0,1)+IF(OR(COUNTA(AW1094:AY1094)=0,AND(COUNTA(AW1094:AY1094)=3,ISNUMBER(AY1094))),0,1)+IF(OR(COUNTA(AZ1094:BB1094)=0,AND(COUNTA(AZ1094:BB1094)=3,ISNUMBER(BB1094))),0,1))&gt;0,"; An invoice is incomplete (needs No, Date and a number in Ex GST)","")&amp;IF((IF(T1094="",0,IFERROR(--(EOMONTH(T1094,0)&lt;&gt;S$5),1))+IF(W1094="",0,IFERROR(--(EOMONTH(W1094,0)&lt;&gt;V$5),1))+IF(Z1094="",0,IFERROR(--(EOMONTH(Z1094,0)&lt;&gt;Y$5),1))+IF(AC1094="",0,IFERROR(--(EOMONTH(AC1094,0)&lt;&gt;AB$5),1))+IF(AF1094="",0,IFERROR(--(EOMONTH(AF1094,0)&lt;&gt;AE$5),1))+IF(AI1094="",0,IFERROR(--(EOMONTH(AI1094,0)&lt;&gt;AH$5),1))+IF(AL1094="",0,IFERROR(--(EOMONTH(AL1094,0)&lt;&gt;AK$5),1))+IF(AO1094="",0,IFERROR(--(EOMONTH(AO1094,0)&lt;&gt;AN$5),1))+IF(AR1094="",0,IFERROR(--(EOMONTH(AR1094,0)&lt;&gt;AQ$5),1))+IF(AU1094="",0,IFERROR(--(EOMONTH(AU1094,0)&lt;&gt;AT$5),1))+IF(AX1094="",0,IFERROR(--(EOMONTH(AX1094,0)&lt;&gt;AW$5),1))+IF(BA1094="",0,IFERROR(--(EOMONTH(BA1094,0)&lt;&gt;AZ$5),1)))&gt;0,"; An invoice date is not in the month it is typed under",""),3,500))</f>
        <v/>
      </c>
      <c r="S1094" s="12" t="n"/>
      <c r="T1094" s="13" t="n"/>
      <c r="U1094" s="14" t="n"/>
      <c r="V1094" s="12" t="n"/>
      <c r="W1094" s="13" t="n"/>
      <c r="X1094" s="14" t="n"/>
      <c r="Y1094" s="12" t="n"/>
      <c r="Z1094" s="13" t="n"/>
      <c r="AA1094" s="14" t="n"/>
      <c r="AB1094" s="12" t="n"/>
      <c r="AC1094" s="13" t="n"/>
      <c r="AD1094" s="14" t="n"/>
      <c r="AE1094" s="12" t="n"/>
      <c r="AF1094" s="13" t="n"/>
      <c r="AG1094" s="14" t="n"/>
      <c r="AH1094" s="12" t="n"/>
      <c r="AI1094" s="13" t="n"/>
      <c r="AJ1094" s="14" t="n"/>
      <c r="AK1094" s="12" t="n"/>
      <c r="AL1094" s="13" t="n"/>
      <c r="AM1094" s="14" t="n"/>
      <c r="AN1094" s="12" t="n"/>
      <c r="AO1094" s="13" t="n"/>
      <c r="AP1094" s="14" t="n"/>
      <c r="AQ1094" s="12" t="n"/>
      <c r="AR1094" s="13" t="n"/>
      <c r="AS1094" s="14" t="n"/>
      <c r="AT1094" s="12" t="n"/>
      <c r="AU1094" s="13" t="n"/>
      <c r="AV1094" s="14" t="n"/>
      <c r="AW1094" s="12" t="n"/>
      <c r="AX1094" s="13" t="n"/>
      <c r="AY1094" s="14" t="n"/>
      <c r="AZ1094" s="12" t="n"/>
      <c r="BA1094" s="13" t="n"/>
      <c r="BB1094" s="14" t="n"/>
      <c r="BC1094" s="11">
        <f>IF(O1094="","",IF(J1094="GST 10%",ROUND(O1094*set_GSTRate,2),0))</f>
        <v/>
      </c>
      <c r="BD1094" s="11">
        <f>IF(O1094="","",O1094+BC1094)</f>
        <v/>
      </c>
      <c r="BE1094" s="15">
        <f>IF(O1094="","",COUNTA(S1094,V1094,Y1094,AB1094,AE1094,AH1094,AK1094,AN1094,AQ1094,AT1094,AW1094,AZ1094))</f>
        <v/>
      </c>
      <c r="BF1094" s="16">
        <f>IF(COUNT(T1094,W1094,Z1094,AC1094,AF1094,AI1094,AL1094,AO1094,AR1094,AU1094,AX1094,BA1094)=0,"",MAX(T1094,W1094,Z1094,AC1094,AF1094,AI1094,AL1094,AO1094,AR1094,AU1094,AX1094,BA1094))</f>
        <v/>
      </c>
      <c r="BG1094" s="10">
        <f>MID(IF(S1094="","",", "&amp;S1094)&amp;IF(V1094="","",", "&amp;V1094)&amp;IF(Y1094="","",", "&amp;Y1094)&amp;IF(AB1094="","",", "&amp;AB1094)&amp;IF(AE1094="","",", "&amp;AE1094)&amp;IF(AH1094="","",", "&amp;AH1094)&amp;IF(AK1094="","",", "&amp;AK1094)&amp;IF(AN1094="","",", "&amp;AN1094)&amp;IF(AQ1094="","",", "&amp;AQ1094)&amp;IF(AT1094="","",", "&amp;AT1094)&amp;IF(AW1094="","",", "&amp;AW1094)&amp;IF(AZ1094="","",", "&amp;AZ1094),3,500)</f>
        <v/>
      </c>
      <c r="BH1094" s="12" t="n"/>
      <c r="BI1094" s="15">
        <f>IFERROR(MATCH($A1094,IF($B1094="Onsite",tbl_Onsite[Row ID],IF($B1094="Production",tbl_Production[Row ID],tbl_Consulting[Row ID])),0),"")</f>
        <v/>
      </c>
    </row>
    <row r="1095">
      <c r="A1095" s="10" t="inlineStr">
        <is>
          <t>CON-0089</t>
        </is>
      </c>
      <c r="B1095" s="10" t="inlineStr">
        <is>
          <t>Consulting</t>
        </is>
      </c>
      <c r="C1095" s="10">
        <f>IF($BI1095="","",IF($B1095="Onsite",INDEX(tbl_Onsite[Job Number],$BI1095),IF($B1095="Production",INDEX(tbl_Production[Job Number],$BI1095),INDEX(tbl_Consulting[Job Number],$BI1095)))&amp;"")</f>
        <v/>
      </c>
      <c r="D1095" s="10">
        <f>IF($BI1095="","",IF($B1095="Onsite",INDEX(tbl_Onsite[Client],$BI1095),IF($B1095="Production",INDEX(tbl_Production[Client],$BI1095),INDEX(tbl_Consulting[Client],$BI1095)))&amp;"")</f>
        <v/>
      </c>
      <c r="E1095" s="10">
        <f>IF($C1095="","",IF(COUNTIF(lst_Jobs,$C1095)&gt;0,"OK","CHECK"))</f>
        <v/>
      </c>
      <c r="F1095" s="10">
        <f>IF($C1095="","",IFERROR(INDEX(lst_JobName,MATCH($C1095,lst_Jobs,0)),""))</f>
        <v/>
      </c>
      <c r="G1095" s="10">
        <f>IF($BI1095="","",IF($B1095="Onsite",INDEX(tbl_Onsite[Job Description],$BI1095),IF($B1095="Production",INDEX(tbl_Production[Job Description],$BI1095),INDEX(tbl_Consulting[Job Description],$BI1095)))&amp;"")</f>
        <v/>
      </c>
      <c r="H1095" s="10">
        <f>IF($BI1095="","",IF($B1095="Onsite",INDEX(tbl_Onsite[Cost Centre],$BI1095),IF($B1095="Production",INDEX(tbl_Production[Cost Centre],$BI1095),INDEX(tbl_Consulting[Cost Centre],$BI1095)))&amp;"")</f>
        <v/>
      </c>
      <c r="I1095" s="10">
        <f>IF($BI1095="","",IF($B1095="Onsite",INDEX(tbl_Onsite[Invoice Type],$BI1095),IF($B1095="Production",INDEX(tbl_Production[Invoice Type],$BI1095),INDEX(tbl_Consulting[Invoice Type],$BI1095)))&amp;"")</f>
        <v/>
      </c>
      <c r="J1095" s="10">
        <f>IF($BI1095="","",IF($B1095="Onsite",INDEX(tbl_Onsite[Tax Code],$BI1095),IF($B1095="Production",INDEX(tbl_Production[Tax Code],$BI1095),INDEX(tbl_Consulting[Tax Code],$BI1095)))&amp;"")</f>
        <v/>
      </c>
      <c r="K1095" s="10">
        <f>IF(H1095="","",IFERROR(INDEX(lst_CCtoGL,MATCH(H1095,lst_CCforGL,0)),""))</f>
        <v/>
      </c>
      <c r="L1095" s="10">
        <f>IF($BI1095="","",IF($B1095="Onsite",INDEX(tbl_Onsite[PO / Reference],$BI1095),IF($B1095="Production",INDEX(tbl_Production[Current RMS No],$BI1095),INDEX(tbl_Consulting[Qwilr Quote],$BI1095)))&amp;"")</f>
        <v/>
      </c>
      <c r="M1095" s="10">
        <f>IF($BI1095="","",IF($B1095="Onsite",INDEX(tbl_Onsite[Notes],$BI1095),IF($B1095="Production",INDEX(tbl_Production[Notes],$BI1095),INDEX(tbl_Consulting[Notes],$BI1095)))&amp;"")</f>
        <v/>
      </c>
      <c r="N1095" s="11">
        <f>IF($BI1095="","",IF(IF($B1095="Onsite",INDEX(tbl_Onsite[Expected Revenue Ex GST],$BI1095),IF($B1095="Production",INDEX(tbl_Production[Expected Revenue Ex GST],$BI1095),INDEX(tbl_Consulting[Expected Revenue Ex GST],$BI1095)))="","",IF($B1095="Onsite",INDEX(tbl_Onsite[Expected Revenue Ex GST],$BI1095),IF($B1095="Production",INDEX(tbl_Production[Expected Revenue Ex GST],$BI1095),INDEX(tbl_Consulting[Expected Revenue Ex GST],$BI1095)))))</f>
        <v/>
      </c>
      <c r="O1095" s="11">
        <f>IF(AND($C1095="",NOT(COUNTA($S1095:$BB1095)&gt;0)),"",SUM(U1095,X1095,AA1095,AD1095,AG1095,AJ1095,AM1095,AP1095,AS1095,AV1095,AY1095,BB1095))</f>
        <v/>
      </c>
      <c r="P1095" s="11">
        <f>IF(O1095="","",N(N1095)-O1095)</f>
        <v/>
      </c>
      <c r="Q1095" s="10">
        <f>IF(O1095="","",IF($C1095="","Invoice on empty job row",IF(N1095="",IF(ROUND(O1095,2)=0,"No dept value","Invoiced - no dept value"),IF(ROUND(O1095,2)=0,"Not invoiced - to invoice",IF(ROUND(P1095,2)=0,"Agrees",IF(P1095&gt;0,"Dept higher - to invoice","Xero higher - check dept"))))))</f>
        <v/>
      </c>
      <c r="R1095" s="10">
        <f>IF(AND($C1095="",NOT(COUNTA($S1095:$BB1095)&gt;0),$BI1095&lt;&gt;""),"",MID(IF($BI1095="","; Row ID not found on the department sheet - a row was deleted","")&amp;IF(AND($C1095="",COUNTA($S1095:$BB1095)&gt;0),"; Invoice entered but the department row has no job number","")&amp;IF(E1095="CHECK","; Job number not in the Xero job list","")&amp;IF(AND($C1095&lt;&gt;"",COUNTIF($C$7:$C$1506,$C1095)&gt;1),"; Job number on more than one row","")&amp;IF(AND($C1095&lt;&gt;"",H1095=""),"; Dept has not set a cost centre","")&amp;IF(AND($C1095&lt;&gt;"",J1095=""),"; Dept has not set a tax code","")&amp;IF(AND($C1095&lt;&gt;"",N1095=""),"; Dept has not entered an expected value","")&amp;IF((IF(OR(COUNTA(S1095:U1095)=0,AND(COUNTA(S1095:U1095)=3,ISNUMBER(U1095))),0,1)+IF(OR(COUNTA(V1095:X1095)=0,AND(COUNTA(V1095:X1095)=3,ISNUMBER(X1095))),0,1)+IF(OR(COUNTA(Y1095:AA1095)=0,AND(COUNTA(Y1095:AA1095)=3,ISNUMBER(AA1095))),0,1)+IF(OR(COUNTA(AB1095:AD1095)=0,AND(COUNTA(AB1095:AD1095)=3,ISNUMBER(AD1095))),0,1)+IF(OR(COUNTA(AE1095:AG1095)=0,AND(COUNTA(AE1095:AG1095)=3,ISNUMBER(AG1095))),0,1)+IF(OR(COUNTA(AH1095:AJ1095)=0,AND(COUNTA(AH1095:AJ1095)=3,ISNUMBER(AJ1095))),0,1)+IF(OR(COUNTA(AK1095:AM1095)=0,AND(COUNTA(AK1095:AM1095)=3,ISNUMBER(AM1095))),0,1)+IF(OR(COUNTA(AN1095:AP1095)=0,AND(COUNTA(AN1095:AP1095)=3,ISNUMBER(AP1095))),0,1)+IF(OR(COUNTA(AQ1095:AS1095)=0,AND(COUNTA(AQ1095:AS1095)=3,ISNUMBER(AS1095))),0,1)+IF(OR(COUNTA(AT1095:AV1095)=0,AND(COUNTA(AT1095:AV1095)=3,ISNUMBER(AV1095))),0,1)+IF(OR(COUNTA(AW1095:AY1095)=0,AND(COUNTA(AW1095:AY1095)=3,ISNUMBER(AY1095))),0,1)+IF(OR(COUNTA(AZ1095:BB1095)=0,AND(COUNTA(AZ1095:BB1095)=3,ISNUMBER(BB1095))),0,1))&gt;0,"; An invoice is incomplete (needs No, Date and a number in Ex GST)","")&amp;IF((IF(T1095="",0,IFERROR(--(EOMONTH(T1095,0)&lt;&gt;S$5),1))+IF(W1095="",0,IFERROR(--(EOMONTH(W1095,0)&lt;&gt;V$5),1))+IF(Z1095="",0,IFERROR(--(EOMONTH(Z1095,0)&lt;&gt;Y$5),1))+IF(AC1095="",0,IFERROR(--(EOMONTH(AC1095,0)&lt;&gt;AB$5),1))+IF(AF1095="",0,IFERROR(--(EOMONTH(AF1095,0)&lt;&gt;AE$5),1))+IF(AI1095="",0,IFERROR(--(EOMONTH(AI1095,0)&lt;&gt;AH$5),1))+IF(AL1095="",0,IFERROR(--(EOMONTH(AL1095,0)&lt;&gt;AK$5),1))+IF(AO1095="",0,IFERROR(--(EOMONTH(AO1095,0)&lt;&gt;AN$5),1))+IF(AR1095="",0,IFERROR(--(EOMONTH(AR1095,0)&lt;&gt;AQ$5),1))+IF(AU1095="",0,IFERROR(--(EOMONTH(AU1095,0)&lt;&gt;AT$5),1))+IF(AX1095="",0,IFERROR(--(EOMONTH(AX1095,0)&lt;&gt;AW$5),1))+IF(BA1095="",0,IFERROR(--(EOMONTH(BA1095,0)&lt;&gt;AZ$5),1)))&gt;0,"; An invoice date is not in the month it is typed under",""),3,500))</f>
        <v/>
      </c>
      <c r="S1095" s="12" t="n"/>
      <c r="T1095" s="13" t="n"/>
      <c r="U1095" s="14" t="n"/>
      <c r="V1095" s="12" t="n"/>
      <c r="W1095" s="13" t="n"/>
      <c r="X1095" s="14" t="n"/>
      <c r="Y1095" s="12" t="n"/>
      <c r="Z1095" s="13" t="n"/>
      <c r="AA1095" s="14" t="n"/>
      <c r="AB1095" s="12" t="n"/>
      <c r="AC1095" s="13" t="n"/>
      <c r="AD1095" s="14" t="n"/>
      <c r="AE1095" s="12" t="n"/>
      <c r="AF1095" s="13" t="n"/>
      <c r="AG1095" s="14" t="n"/>
      <c r="AH1095" s="12" t="n"/>
      <c r="AI1095" s="13" t="n"/>
      <c r="AJ1095" s="14" t="n"/>
      <c r="AK1095" s="12" t="n"/>
      <c r="AL1095" s="13" t="n"/>
      <c r="AM1095" s="14" t="n"/>
      <c r="AN1095" s="12" t="n"/>
      <c r="AO1095" s="13" t="n"/>
      <c r="AP1095" s="14" t="n"/>
      <c r="AQ1095" s="12" t="n"/>
      <c r="AR1095" s="13" t="n"/>
      <c r="AS1095" s="14" t="n"/>
      <c r="AT1095" s="12" t="n"/>
      <c r="AU1095" s="13" t="n"/>
      <c r="AV1095" s="14" t="n"/>
      <c r="AW1095" s="12" t="n"/>
      <c r="AX1095" s="13" t="n"/>
      <c r="AY1095" s="14" t="n"/>
      <c r="AZ1095" s="12" t="n"/>
      <c r="BA1095" s="13" t="n"/>
      <c r="BB1095" s="14" t="n"/>
      <c r="BC1095" s="11">
        <f>IF(O1095="","",IF(J1095="GST 10%",ROUND(O1095*set_GSTRate,2),0))</f>
        <v/>
      </c>
      <c r="BD1095" s="11">
        <f>IF(O1095="","",O1095+BC1095)</f>
        <v/>
      </c>
      <c r="BE1095" s="15">
        <f>IF(O1095="","",COUNTA(S1095,V1095,Y1095,AB1095,AE1095,AH1095,AK1095,AN1095,AQ1095,AT1095,AW1095,AZ1095))</f>
        <v/>
      </c>
      <c r="BF1095" s="16">
        <f>IF(COUNT(T1095,W1095,Z1095,AC1095,AF1095,AI1095,AL1095,AO1095,AR1095,AU1095,AX1095,BA1095)=0,"",MAX(T1095,W1095,Z1095,AC1095,AF1095,AI1095,AL1095,AO1095,AR1095,AU1095,AX1095,BA1095))</f>
        <v/>
      </c>
      <c r="BG1095" s="10">
        <f>MID(IF(S1095="","",", "&amp;S1095)&amp;IF(V1095="","",", "&amp;V1095)&amp;IF(Y1095="","",", "&amp;Y1095)&amp;IF(AB1095="","",", "&amp;AB1095)&amp;IF(AE1095="","",", "&amp;AE1095)&amp;IF(AH1095="","",", "&amp;AH1095)&amp;IF(AK1095="","",", "&amp;AK1095)&amp;IF(AN1095="","",", "&amp;AN1095)&amp;IF(AQ1095="","",", "&amp;AQ1095)&amp;IF(AT1095="","",", "&amp;AT1095)&amp;IF(AW1095="","",", "&amp;AW1095)&amp;IF(AZ1095="","",", "&amp;AZ1095),3,500)</f>
        <v/>
      </c>
      <c r="BH1095" s="12" t="n"/>
      <c r="BI1095" s="15">
        <f>IFERROR(MATCH($A1095,IF($B1095="Onsite",tbl_Onsite[Row ID],IF($B1095="Production",tbl_Production[Row ID],tbl_Consulting[Row ID])),0),"")</f>
        <v/>
      </c>
    </row>
    <row r="1096">
      <c r="A1096" s="10" t="inlineStr">
        <is>
          <t>CON-0090</t>
        </is>
      </c>
      <c r="B1096" s="10" t="inlineStr">
        <is>
          <t>Consulting</t>
        </is>
      </c>
      <c r="C1096" s="10">
        <f>IF($BI1096="","",IF($B1096="Onsite",INDEX(tbl_Onsite[Job Number],$BI1096),IF($B1096="Production",INDEX(tbl_Production[Job Number],$BI1096),INDEX(tbl_Consulting[Job Number],$BI1096)))&amp;"")</f>
        <v/>
      </c>
      <c r="D1096" s="10">
        <f>IF($BI1096="","",IF($B1096="Onsite",INDEX(tbl_Onsite[Client],$BI1096),IF($B1096="Production",INDEX(tbl_Production[Client],$BI1096),INDEX(tbl_Consulting[Client],$BI1096)))&amp;"")</f>
        <v/>
      </c>
      <c r="E1096" s="10">
        <f>IF($C1096="","",IF(COUNTIF(lst_Jobs,$C1096)&gt;0,"OK","CHECK"))</f>
        <v/>
      </c>
      <c r="F1096" s="10">
        <f>IF($C1096="","",IFERROR(INDEX(lst_JobName,MATCH($C1096,lst_Jobs,0)),""))</f>
        <v/>
      </c>
      <c r="G1096" s="10">
        <f>IF($BI1096="","",IF($B1096="Onsite",INDEX(tbl_Onsite[Job Description],$BI1096),IF($B1096="Production",INDEX(tbl_Production[Job Description],$BI1096),INDEX(tbl_Consulting[Job Description],$BI1096)))&amp;"")</f>
        <v/>
      </c>
      <c r="H1096" s="10">
        <f>IF($BI1096="","",IF($B1096="Onsite",INDEX(tbl_Onsite[Cost Centre],$BI1096),IF($B1096="Production",INDEX(tbl_Production[Cost Centre],$BI1096),INDEX(tbl_Consulting[Cost Centre],$BI1096)))&amp;"")</f>
        <v/>
      </c>
      <c r="I1096" s="10">
        <f>IF($BI1096="","",IF($B1096="Onsite",INDEX(tbl_Onsite[Invoice Type],$BI1096),IF($B1096="Production",INDEX(tbl_Production[Invoice Type],$BI1096),INDEX(tbl_Consulting[Invoice Type],$BI1096)))&amp;"")</f>
        <v/>
      </c>
      <c r="J1096" s="10">
        <f>IF($BI1096="","",IF($B1096="Onsite",INDEX(tbl_Onsite[Tax Code],$BI1096),IF($B1096="Production",INDEX(tbl_Production[Tax Code],$BI1096),INDEX(tbl_Consulting[Tax Code],$BI1096)))&amp;"")</f>
        <v/>
      </c>
      <c r="K1096" s="10">
        <f>IF(H1096="","",IFERROR(INDEX(lst_CCtoGL,MATCH(H1096,lst_CCforGL,0)),""))</f>
        <v/>
      </c>
      <c r="L1096" s="10">
        <f>IF($BI1096="","",IF($B1096="Onsite",INDEX(tbl_Onsite[PO / Reference],$BI1096),IF($B1096="Production",INDEX(tbl_Production[Current RMS No],$BI1096),INDEX(tbl_Consulting[Qwilr Quote],$BI1096)))&amp;"")</f>
        <v/>
      </c>
      <c r="M1096" s="10">
        <f>IF($BI1096="","",IF($B1096="Onsite",INDEX(tbl_Onsite[Notes],$BI1096),IF($B1096="Production",INDEX(tbl_Production[Notes],$BI1096),INDEX(tbl_Consulting[Notes],$BI1096)))&amp;"")</f>
        <v/>
      </c>
      <c r="N1096" s="11">
        <f>IF($BI1096="","",IF(IF($B1096="Onsite",INDEX(tbl_Onsite[Expected Revenue Ex GST],$BI1096),IF($B1096="Production",INDEX(tbl_Production[Expected Revenue Ex GST],$BI1096),INDEX(tbl_Consulting[Expected Revenue Ex GST],$BI1096)))="","",IF($B1096="Onsite",INDEX(tbl_Onsite[Expected Revenue Ex GST],$BI1096),IF($B1096="Production",INDEX(tbl_Production[Expected Revenue Ex GST],$BI1096),INDEX(tbl_Consulting[Expected Revenue Ex GST],$BI1096)))))</f>
        <v/>
      </c>
      <c r="O1096" s="11">
        <f>IF(AND($C1096="",NOT(COUNTA($S1096:$BB1096)&gt;0)),"",SUM(U1096,X1096,AA1096,AD1096,AG1096,AJ1096,AM1096,AP1096,AS1096,AV1096,AY1096,BB1096))</f>
        <v/>
      </c>
      <c r="P1096" s="11">
        <f>IF(O1096="","",N(N1096)-O1096)</f>
        <v/>
      </c>
      <c r="Q1096" s="10">
        <f>IF(O1096="","",IF($C1096="","Invoice on empty job row",IF(N1096="",IF(ROUND(O1096,2)=0,"No dept value","Invoiced - no dept value"),IF(ROUND(O1096,2)=0,"Not invoiced - to invoice",IF(ROUND(P1096,2)=0,"Agrees",IF(P1096&gt;0,"Dept higher - to invoice","Xero higher - check dept"))))))</f>
        <v/>
      </c>
      <c r="R1096" s="10">
        <f>IF(AND($C1096="",NOT(COUNTA($S1096:$BB1096)&gt;0),$BI1096&lt;&gt;""),"",MID(IF($BI1096="","; Row ID not found on the department sheet - a row was deleted","")&amp;IF(AND($C1096="",COUNTA($S1096:$BB1096)&gt;0),"; Invoice entered but the department row has no job number","")&amp;IF(E1096="CHECK","; Job number not in the Xero job list","")&amp;IF(AND($C1096&lt;&gt;"",COUNTIF($C$7:$C$1506,$C1096)&gt;1),"; Job number on more than one row","")&amp;IF(AND($C1096&lt;&gt;"",H1096=""),"; Dept has not set a cost centre","")&amp;IF(AND($C1096&lt;&gt;"",J1096=""),"; Dept has not set a tax code","")&amp;IF(AND($C1096&lt;&gt;"",N1096=""),"; Dept has not entered an expected value","")&amp;IF((IF(OR(COUNTA(S1096:U1096)=0,AND(COUNTA(S1096:U1096)=3,ISNUMBER(U1096))),0,1)+IF(OR(COUNTA(V1096:X1096)=0,AND(COUNTA(V1096:X1096)=3,ISNUMBER(X1096))),0,1)+IF(OR(COUNTA(Y1096:AA1096)=0,AND(COUNTA(Y1096:AA1096)=3,ISNUMBER(AA1096))),0,1)+IF(OR(COUNTA(AB1096:AD1096)=0,AND(COUNTA(AB1096:AD1096)=3,ISNUMBER(AD1096))),0,1)+IF(OR(COUNTA(AE1096:AG1096)=0,AND(COUNTA(AE1096:AG1096)=3,ISNUMBER(AG1096))),0,1)+IF(OR(COUNTA(AH1096:AJ1096)=0,AND(COUNTA(AH1096:AJ1096)=3,ISNUMBER(AJ1096))),0,1)+IF(OR(COUNTA(AK1096:AM1096)=0,AND(COUNTA(AK1096:AM1096)=3,ISNUMBER(AM1096))),0,1)+IF(OR(COUNTA(AN1096:AP1096)=0,AND(COUNTA(AN1096:AP1096)=3,ISNUMBER(AP1096))),0,1)+IF(OR(COUNTA(AQ1096:AS1096)=0,AND(COUNTA(AQ1096:AS1096)=3,ISNUMBER(AS1096))),0,1)+IF(OR(COUNTA(AT1096:AV1096)=0,AND(COUNTA(AT1096:AV1096)=3,ISNUMBER(AV1096))),0,1)+IF(OR(COUNTA(AW1096:AY1096)=0,AND(COUNTA(AW1096:AY1096)=3,ISNUMBER(AY1096))),0,1)+IF(OR(COUNTA(AZ1096:BB1096)=0,AND(COUNTA(AZ1096:BB1096)=3,ISNUMBER(BB1096))),0,1))&gt;0,"; An invoice is incomplete (needs No, Date and a number in Ex GST)","")&amp;IF((IF(T1096="",0,IFERROR(--(EOMONTH(T1096,0)&lt;&gt;S$5),1))+IF(W1096="",0,IFERROR(--(EOMONTH(W1096,0)&lt;&gt;V$5),1))+IF(Z1096="",0,IFERROR(--(EOMONTH(Z1096,0)&lt;&gt;Y$5),1))+IF(AC1096="",0,IFERROR(--(EOMONTH(AC1096,0)&lt;&gt;AB$5),1))+IF(AF1096="",0,IFERROR(--(EOMONTH(AF1096,0)&lt;&gt;AE$5),1))+IF(AI1096="",0,IFERROR(--(EOMONTH(AI1096,0)&lt;&gt;AH$5),1))+IF(AL1096="",0,IFERROR(--(EOMONTH(AL1096,0)&lt;&gt;AK$5),1))+IF(AO1096="",0,IFERROR(--(EOMONTH(AO1096,0)&lt;&gt;AN$5),1))+IF(AR1096="",0,IFERROR(--(EOMONTH(AR1096,0)&lt;&gt;AQ$5),1))+IF(AU1096="",0,IFERROR(--(EOMONTH(AU1096,0)&lt;&gt;AT$5),1))+IF(AX1096="",0,IFERROR(--(EOMONTH(AX1096,0)&lt;&gt;AW$5),1))+IF(BA1096="",0,IFERROR(--(EOMONTH(BA1096,0)&lt;&gt;AZ$5),1)))&gt;0,"; An invoice date is not in the month it is typed under",""),3,500))</f>
        <v/>
      </c>
      <c r="S1096" s="12" t="n"/>
      <c r="T1096" s="13" t="n"/>
      <c r="U1096" s="14" t="n"/>
      <c r="V1096" s="12" t="n"/>
      <c r="W1096" s="13" t="n"/>
      <c r="X1096" s="14" t="n"/>
      <c r="Y1096" s="12" t="n"/>
      <c r="Z1096" s="13" t="n"/>
      <c r="AA1096" s="14" t="n"/>
      <c r="AB1096" s="12" t="n"/>
      <c r="AC1096" s="13" t="n"/>
      <c r="AD1096" s="14" t="n"/>
      <c r="AE1096" s="12" t="n"/>
      <c r="AF1096" s="13" t="n"/>
      <c r="AG1096" s="14" t="n"/>
      <c r="AH1096" s="12" t="n"/>
      <c r="AI1096" s="13" t="n"/>
      <c r="AJ1096" s="14" t="n"/>
      <c r="AK1096" s="12" t="n"/>
      <c r="AL1096" s="13" t="n"/>
      <c r="AM1096" s="14" t="n"/>
      <c r="AN1096" s="12" t="n"/>
      <c r="AO1096" s="13" t="n"/>
      <c r="AP1096" s="14" t="n"/>
      <c r="AQ1096" s="12" t="n"/>
      <c r="AR1096" s="13" t="n"/>
      <c r="AS1096" s="14" t="n"/>
      <c r="AT1096" s="12" t="n"/>
      <c r="AU1096" s="13" t="n"/>
      <c r="AV1096" s="14" t="n"/>
      <c r="AW1096" s="12" t="n"/>
      <c r="AX1096" s="13" t="n"/>
      <c r="AY1096" s="14" t="n"/>
      <c r="AZ1096" s="12" t="n"/>
      <c r="BA1096" s="13" t="n"/>
      <c r="BB1096" s="14" t="n"/>
      <c r="BC1096" s="11">
        <f>IF(O1096="","",IF(J1096="GST 10%",ROUND(O1096*set_GSTRate,2),0))</f>
        <v/>
      </c>
      <c r="BD1096" s="11">
        <f>IF(O1096="","",O1096+BC1096)</f>
        <v/>
      </c>
      <c r="BE1096" s="15">
        <f>IF(O1096="","",COUNTA(S1096,V1096,Y1096,AB1096,AE1096,AH1096,AK1096,AN1096,AQ1096,AT1096,AW1096,AZ1096))</f>
        <v/>
      </c>
      <c r="BF1096" s="16">
        <f>IF(COUNT(T1096,W1096,Z1096,AC1096,AF1096,AI1096,AL1096,AO1096,AR1096,AU1096,AX1096,BA1096)=0,"",MAX(T1096,W1096,Z1096,AC1096,AF1096,AI1096,AL1096,AO1096,AR1096,AU1096,AX1096,BA1096))</f>
        <v/>
      </c>
      <c r="BG1096" s="10">
        <f>MID(IF(S1096="","",", "&amp;S1096)&amp;IF(V1096="","",", "&amp;V1096)&amp;IF(Y1096="","",", "&amp;Y1096)&amp;IF(AB1096="","",", "&amp;AB1096)&amp;IF(AE1096="","",", "&amp;AE1096)&amp;IF(AH1096="","",", "&amp;AH1096)&amp;IF(AK1096="","",", "&amp;AK1096)&amp;IF(AN1096="","",", "&amp;AN1096)&amp;IF(AQ1096="","",", "&amp;AQ1096)&amp;IF(AT1096="","",", "&amp;AT1096)&amp;IF(AW1096="","",", "&amp;AW1096)&amp;IF(AZ1096="","",", "&amp;AZ1096),3,500)</f>
        <v/>
      </c>
      <c r="BH1096" s="12" t="n"/>
      <c r="BI1096" s="15">
        <f>IFERROR(MATCH($A1096,IF($B1096="Onsite",tbl_Onsite[Row ID],IF($B1096="Production",tbl_Production[Row ID],tbl_Consulting[Row ID])),0),"")</f>
        <v/>
      </c>
    </row>
    <row r="1097">
      <c r="A1097" s="10" t="inlineStr">
        <is>
          <t>CON-0091</t>
        </is>
      </c>
      <c r="B1097" s="10" t="inlineStr">
        <is>
          <t>Consulting</t>
        </is>
      </c>
      <c r="C1097" s="10">
        <f>IF($BI1097="","",IF($B1097="Onsite",INDEX(tbl_Onsite[Job Number],$BI1097),IF($B1097="Production",INDEX(tbl_Production[Job Number],$BI1097),INDEX(tbl_Consulting[Job Number],$BI1097)))&amp;"")</f>
        <v/>
      </c>
      <c r="D1097" s="10">
        <f>IF($BI1097="","",IF($B1097="Onsite",INDEX(tbl_Onsite[Client],$BI1097),IF($B1097="Production",INDEX(tbl_Production[Client],$BI1097),INDEX(tbl_Consulting[Client],$BI1097)))&amp;"")</f>
        <v/>
      </c>
      <c r="E1097" s="10">
        <f>IF($C1097="","",IF(COUNTIF(lst_Jobs,$C1097)&gt;0,"OK","CHECK"))</f>
        <v/>
      </c>
      <c r="F1097" s="10">
        <f>IF($C1097="","",IFERROR(INDEX(lst_JobName,MATCH($C1097,lst_Jobs,0)),""))</f>
        <v/>
      </c>
      <c r="G1097" s="10">
        <f>IF($BI1097="","",IF($B1097="Onsite",INDEX(tbl_Onsite[Job Description],$BI1097),IF($B1097="Production",INDEX(tbl_Production[Job Description],$BI1097),INDEX(tbl_Consulting[Job Description],$BI1097)))&amp;"")</f>
        <v/>
      </c>
      <c r="H1097" s="10">
        <f>IF($BI1097="","",IF($B1097="Onsite",INDEX(tbl_Onsite[Cost Centre],$BI1097),IF($B1097="Production",INDEX(tbl_Production[Cost Centre],$BI1097),INDEX(tbl_Consulting[Cost Centre],$BI1097)))&amp;"")</f>
        <v/>
      </c>
      <c r="I1097" s="10">
        <f>IF($BI1097="","",IF($B1097="Onsite",INDEX(tbl_Onsite[Invoice Type],$BI1097),IF($B1097="Production",INDEX(tbl_Production[Invoice Type],$BI1097),INDEX(tbl_Consulting[Invoice Type],$BI1097)))&amp;"")</f>
        <v/>
      </c>
      <c r="J1097" s="10">
        <f>IF($BI1097="","",IF($B1097="Onsite",INDEX(tbl_Onsite[Tax Code],$BI1097),IF($B1097="Production",INDEX(tbl_Production[Tax Code],$BI1097),INDEX(tbl_Consulting[Tax Code],$BI1097)))&amp;"")</f>
        <v/>
      </c>
      <c r="K1097" s="10">
        <f>IF(H1097="","",IFERROR(INDEX(lst_CCtoGL,MATCH(H1097,lst_CCforGL,0)),""))</f>
        <v/>
      </c>
      <c r="L1097" s="10">
        <f>IF($BI1097="","",IF($B1097="Onsite",INDEX(tbl_Onsite[PO / Reference],$BI1097),IF($B1097="Production",INDEX(tbl_Production[Current RMS No],$BI1097),INDEX(tbl_Consulting[Qwilr Quote],$BI1097)))&amp;"")</f>
        <v/>
      </c>
      <c r="M1097" s="10">
        <f>IF($BI1097="","",IF($B1097="Onsite",INDEX(tbl_Onsite[Notes],$BI1097),IF($B1097="Production",INDEX(tbl_Production[Notes],$BI1097),INDEX(tbl_Consulting[Notes],$BI1097)))&amp;"")</f>
        <v/>
      </c>
      <c r="N1097" s="11">
        <f>IF($BI1097="","",IF(IF($B1097="Onsite",INDEX(tbl_Onsite[Expected Revenue Ex GST],$BI1097),IF($B1097="Production",INDEX(tbl_Production[Expected Revenue Ex GST],$BI1097),INDEX(tbl_Consulting[Expected Revenue Ex GST],$BI1097)))="","",IF($B1097="Onsite",INDEX(tbl_Onsite[Expected Revenue Ex GST],$BI1097),IF($B1097="Production",INDEX(tbl_Production[Expected Revenue Ex GST],$BI1097),INDEX(tbl_Consulting[Expected Revenue Ex GST],$BI1097)))))</f>
        <v/>
      </c>
      <c r="O1097" s="11">
        <f>IF(AND($C1097="",NOT(COUNTA($S1097:$BB1097)&gt;0)),"",SUM(U1097,X1097,AA1097,AD1097,AG1097,AJ1097,AM1097,AP1097,AS1097,AV1097,AY1097,BB1097))</f>
        <v/>
      </c>
      <c r="P1097" s="11">
        <f>IF(O1097="","",N(N1097)-O1097)</f>
        <v/>
      </c>
      <c r="Q1097" s="10">
        <f>IF(O1097="","",IF($C1097="","Invoice on empty job row",IF(N1097="",IF(ROUND(O1097,2)=0,"No dept value","Invoiced - no dept value"),IF(ROUND(O1097,2)=0,"Not invoiced - to invoice",IF(ROUND(P1097,2)=0,"Agrees",IF(P1097&gt;0,"Dept higher - to invoice","Xero higher - check dept"))))))</f>
        <v/>
      </c>
      <c r="R1097" s="10">
        <f>IF(AND($C1097="",NOT(COUNTA($S1097:$BB1097)&gt;0),$BI1097&lt;&gt;""),"",MID(IF($BI1097="","; Row ID not found on the department sheet - a row was deleted","")&amp;IF(AND($C1097="",COUNTA($S1097:$BB1097)&gt;0),"; Invoice entered but the department row has no job number","")&amp;IF(E1097="CHECK","; Job number not in the Xero job list","")&amp;IF(AND($C1097&lt;&gt;"",COUNTIF($C$7:$C$1506,$C1097)&gt;1),"; Job number on more than one row","")&amp;IF(AND($C1097&lt;&gt;"",H1097=""),"; Dept has not set a cost centre","")&amp;IF(AND($C1097&lt;&gt;"",J1097=""),"; Dept has not set a tax code","")&amp;IF(AND($C1097&lt;&gt;"",N1097=""),"; Dept has not entered an expected value","")&amp;IF((IF(OR(COUNTA(S1097:U1097)=0,AND(COUNTA(S1097:U1097)=3,ISNUMBER(U1097))),0,1)+IF(OR(COUNTA(V1097:X1097)=0,AND(COUNTA(V1097:X1097)=3,ISNUMBER(X1097))),0,1)+IF(OR(COUNTA(Y1097:AA1097)=0,AND(COUNTA(Y1097:AA1097)=3,ISNUMBER(AA1097))),0,1)+IF(OR(COUNTA(AB1097:AD1097)=0,AND(COUNTA(AB1097:AD1097)=3,ISNUMBER(AD1097))),0,1)+IF(OR(COUNTA(AE1097:AG1097)=0,AND(COUNTA(AE1097:AG1097)=3,ISNUMBER(AG1097))),0,1)+IF(OR(COUNTA(AH1097:AJ1097)=0,AND(COUNTA(AH1097:AJ1097)=3,ISNUMBER(AJ1097))),0,1)+IF(OR(COUNTA(AK1097:AM1097)=0,AND(COUNTA(AK1097:AM1097)=3,ISNUMBER(AM1097))),0,1)+IF(OR(COUNTA(AN1097:AP1097)=0,AND(COUNTA(AN1097:AP1097)=3,ISNUMBER(AP1097))),0,1)+IF(OR(COUNTA(AQ1097:AS1097)=0,AND(COUNTA(AQ1097:AS1097)=3,ISNUMBER(AS1097))),0,1)+IF(OR(COUNTA(AT1097:AV1097)=0,AND(COUNTA(AT1097:AV1097)=3,ISNUMBER(AV1097))),0,1)+IF(OR(COUNTA(AW1097:AY1097)=0,AND(COUNTA(AW1097:AY1097)=3,ISNUMBER(AY1097))),0,1)+IF(OR(COUNTA(AZ1097:BB1097)=0,AND(COUNTA(AZ1097:BB1097)=3,ISNUMBER(BB1097))),0,1))&gt;0,"; An invoice is incomplete (needs No, Date and a number in Ex GST)","")&amp;IF((IF(T1097="",0,IFERROR(--(EOMONTH(T1097,0)&lt;&gt;S$5),1))+IF(W1097="",0,IFERROR(--(EOMONTH(W1097,0)&lt;&gt;V$5),1))+IF(Z1097="",0,IFERROR(--(EOMONTH(Z1097,0)&lt;&gt;Y$5),1))+IF(AC1097="",0,IFERROR(--(EOMONTH(AC1097,0)&lt;&gt;AB$5),1))+IF(AF1097="",0,IFERROR(--(EOMONTH(AF1097,0)&lt;&gt;AE$5),1))+IF(AI1097="",0,IFERROR(--(EOMONTH(AI1097,0)&lt;&gt;AH$5),1))+IF(AL1097="",0,IFERROR(--(EOMONTH(AL1097,0)&lt;&gt;AK$5),1))+IF(AO1097="",0,IFERROR(--(EOMONTH(AO1097,0)&lt;&gt;AN$5),1))+IF(AR1097="",0,IFERROR(--(EOMONTH(AR1097,0)&lt;&gt;AQ$5),1))+IF(AU1097="",0,IFERROR(--(EOMONTH(AU1097,0)&lt;&gt;AT$5),1))+IF(AX1097="",0,IFERROR(--(EOMONTH(AX1097,0)&lt;&gt;AW$5),1))+IF(BA1097="",0,IFERROR(--(EOMONTH(BA1097,0)&lt;&gt;AZ$5),1)))&gt;0,"; An invoice date is not in the month it is typed under",""),3,500))</f>
        <v/>
      </c>
      <c r="S1097" s="12" t="n"/>
      <c r="T1097" s="13" t="n"/>
      <c r="U1097" s="14" t="n"/>
      <c r="V1097" s="12" t="n"/>
      <c r="W1097" s="13" t="n"/>
      <c r="X1097" s="14" t="n"/>
      <c r="Y1097" s="12" t="n"/>
      <c r="Z1097" s="13" t="n"/>
      <c r="AA1097" s="14" t="n"/>
      <c r="AB1097" s="12" t="n"/>
      <c r="AC1097" s="13" t="n"/>
      <c r="AD1097" s="14" t="n"/>
      <c r="AE1097" s="12" t="n"/>
      <c r="AF1097" s="13" t="n"/>
      <c r="AG1097" s="14" t="n"/>
      <c r="AH1097" s="12" t="n"/>
      <c r="AI1097" s="13" t="n"/>
      <c r="AJ1097" s="14" t="n"/>
      <c r="AK1097" s="12" t="n"/>
      <c r="AL1097" s="13" t="n"/>
      <c r="AM1097" s="14" t="n"/>
      <c r="AN1097" s="12" t="n"/>
      <c r="AO1097" s="13" t="n"/>
      <c r="AP1097" s="14" t="n"/>
      <c r="AQ1097" s="12" t="n"/>
      <c r="AR1097" s="13" t="n"/>
      <c r="AS1097" s="14" t="n"/>
      <c r="AT1097" s="12" t="n"/>
      <c r="AU1097" s="13" t="n"/>
      <c r="AV1097" s="14" t="n"/>
      <c r="AW1097" s="12" t="n"/>
      <c r="AX1097" s="13" t="n"/>
      <c r="AY1097" s="14" t="n"/>
      <c r="AZ1097" s="12" t="n"/>
      <c r="BA1097" s="13" t="n"/>
      <c r="BB1097" s="14" t="n"/>
      <c r="BC1097" s="11">
        <f>IF(O1097="","",IF(J1097="GST 10%",ROUND(O1097*set_GSTRate,2),0))</f>
        <v/>
      </c>
      <c r="BD1097" s="11">
        <f>IF(O1097="","",O1097+BC1097)</f>
        <v/>
      </c>
      <c r="BE1097" s="15">
        <f>IF(O1097="","",COUNTA(S1097,V1097,Y1097,AB1097,AE1097,AH1097,AK1097,AN1097,AQ1097,AT1097,AW1097,AZ1097))</f>
        <v/>
      </c>
      <c r="BF1097" s="16">
        <f>IF(COUNT(T1097,W1097,Z1097,AC1097,AF1097,AI1097,AL1097,AO1097,AR1097,AU1097,AX1097,BA1097)=0,"",MAX(T1097,W1097,Z1097,AC1097,AF1097,AI1097,AL1097,AO1097,AR1097,AU1097,AX1097,BA1097))</f>
        <v/>
      </c>
      <c r="BG1097" s="10">
        <f>MID(IF(S1097="","",", "&amp;S1097)&amp;IF(V1097="","",", "&amp;V1097)&amp;IF(Y1097="","",", "&amp;Y1097)&amp;IF(AB1097="","",", "&amp;AB1097)&amp;IF(AE1097="","",", "&amp;AE1097)&amp;IF(AH1097="","",", "&amp;AH1097)&amp;IF(AK1097="","",", "&amp;AK1097)&amp;IF(AN1097="","",", "&amp;AN1097)&amp;IF(AQ1097="","",", "&amp;AQ1097)&amp;IF(AT1097="","",", "&amp;AT1097)&amp;IF(AW1097="","",", "&amp;AW1097)&amp;IF(AZ1097="","",", "&amp;AZ1097),3,500)</f>
        <v/>
      </c>
      <c r="BH1097" s="12" t="n"/>
      <c r="BI1097" s="15">
        <f>IFERROR(MATCH($A1097,IF($B1097="Onsite",tbl_Onsite[Row ID],IF($B1097="Production",tbl_Production[Row ID],tbl_Consulting[Row ID])),0),"")</f>
        <v/>
      </c>
    </row>
    <row r="1098">
      <c r="A1098" s="10" t="inlineStr">
        <is>
          <t>CON-0092</t>
        </is>
      </c>
      <c r="B1098" s="10" t="inlineStr">
        <is>
          <t>Consulting</t>
        </is>
      </c>
      <c r="C1098" s="10">
        <f>IF($BI1098="","",IF($B1098="Onsite",INDEX(tbl_Onsite[Job Number],$BI1098),IF($B1098="Production",INDEX(tbl_Production[Job Number],$BI1098),INDEX(tbl_Consulting[Job Number],$BI1098)))&amp;"")</f>
        <v/>
      </c>
      <c r="D1098" s="10">
        <f>IF($BI1098="","",IF($B1098="Onsite",INDEX(tbl_Onsite[Client],$BI1098),IF($B1098="Production",INDEX(tbl_Production[Client],$BI1098),INDEX(tbl_Consulting[Client],$BI1098)))&amp;"")</f>
        <v/>
      </c>
      <c r="E1098" s="10">
        <f>IF($C1098="","",IF(COUNTIF(lst_Jobs,$C1098)&gt;0,"OK","CHECK"))</f>
        <v/>
      </c>
      <c r="F1098" s="10">
        <f>IF($C1098="","",IFERROR(INDEX(lst_JobName,MATCH($C1098,lst_Jobs,0)),""))</f>
        <v/>
      </c>
      <c r="G1098" s="10">
        <f>IF($BI1098="","",IF($B1098="Onsite",INDEX(tbl_Onsite[Job Description],$BI1098),IF($B1098="Production",INDEX(tbl_Production[Job Description],$BI1098),INDEX(tbl_Consulting[Job Description],$BI1098)))&amp;"")</f>
        <v/>
      </c>
      <c r="H1098" s="10">
        <f>IF($BI1098="","",IF($B1098="Onsite",INDEX(tbl_Onsite[Cost Centre],$BI1098),IF($B1098="Production",INDEX(tbl_Production[Cost Centre],$BI1098),INDEX(tbl_Consulting[Cost Centre],$BI1098)))&amp;"")</f>
        <v/>
      </c>
      <c r="I1098" s="10">
        <f>IF($BI1098="","",IF($B1098="Onsite",INDEX(tbl_Onsite[Invoice Type],$BI1098),IF($B1098="Production",INDEX(tbl_Production[Invoice Type],$BI1098),INDEX(tbl_Consulting[Invoice Type],$BI1098)))&amp;"")</f>
        <v/>
      </c>
      <c r="J1098" s="10">
        <f>IF($BI1098="","",IF($B1098="Onsite",INDEX(tbl_Onsite[Tax Code],$BI1098),IF($B1098="Production",INDEX(tbl_Production[Tax Code],$BI1098),INDEX(tbl_Consulting[Tax Code],$BI1098)))&amp;"")</f>
        <v/>
      </c>
      <c r="K1098" s="10">
        <f>IF(H1098="","",IFERROR(INDEX(lst_CCtoGL,MATCH(H1098,lst_CCforGL,0)),""))</f>
        <v/>
      </c>
      <c r="L1098" s="10">
        <f>IF($BI1098="","",IF($B1098="Onsite",INDEX(tbl_Onsite[PO / Reference],$BI1098),IF($B1098="Production",INDEX(tbl_Production[Current RMS No],$BI1098),INDEX(tbl_Consulting[Qwilr Quote],$BI1098)))&amp;"")</f>
        <v/>
      </c>
      <c r="M1098" s="10">
        <f>IF($BI1098="","",IF($B1098="Onsite",INDEX(tbl_Onsite[Notes],$BI1098),IF($B1098="Production",INDEX(tbl_Production[Notes],$BI1098),INDEX(tbl_Consulting[Notes],$BI1098)))&amp;"")</f>
        <v/>
      </c>
      <c r="N1098" s="11">
        <f>IF($BI1098="","",IF(IF($B1098="Onsite",INDEX(tbl_Onsite[Expected Revenue Ex GST],$BI1098),IF($B1098="Production",INDEX(tbl_Production[Expected Revenue Ex GST],$BI1098),INDEX(tbl_Consulting[Expected Revenue Ex GST],$BI1098)))="","",IF($B1098="Onsite",INDEX(tbl_Onsite[Expected Revenue Ex GST],$BI1098),IF($B1098="Production",INDEX(tbl_Production[Expected Revenue Ex GST],$BI1098),INDEX(tbl_Consulting[Expected Revenue Ex GST],$BI1098)))))</f>
        <v/>
      </c>
      <c r="O1098" s="11">
        <f>IF(AND($C1098="",NOT(COUNTA($S1098:$BB1098)&gt;0)),"",SUM(U1098,X1098,AA1098,AD1098,AG1098,AJ1098,AM1098,AP1098,AS1098,AV1098,AY1098,BB1098))</f>
        <v/>
      </c>
      <c r="P1098" s="11">
        <f>IF(O1098="","",N(N1098)-O1098)</f>
        <v/>
      </c>
      <c r="Q1098" s="10">
        <f>IF(O1098="","",IF($C1098="","Invoice on empty job row",IF(N1098="",IF(ROUND(O1098,2)=0,"No dept value","Invoiced - no dept value"),IF(ROUND(O1098,2)=0,"Not invoiced - to invoice",IF(ROUND(P1098,2)=0,"Agrees",IF(P1098&gt;0,"Dept higher - to invoice","Xero higher - check dept"))))))</f>
        <v/>
      </c>
      <c r="R1098" s="10">
        <f>IF(AND($C1098="",NOT(COUNTA($S1098:$BB1098)&gt;0),$BI1098&lt;&gt;""),"",MID(IF($BI1098="","; Row ID not found on the department sheet - a row was deleted","")&amp;IF(AND($C1098="",COUNTA($S1098:$BB1098)&gt;0),"; Invoice entered but the department row has no job number","")&amp;IF(E1098="CHECK","; Job number not in the Xero job list","")&amp;IF(AND($C1098&lt;&gt;"",COUNTIF($C$7:$C$1506,$C1098)&gt;1),"; Job number on more than one row","")&amp;IF(AND($C1098&lt;&gt;"",H1098=""),"; Dept has not set a cost centre","")&amp;IF(AND($C1098&lt;&gt;"",J1098=""),"; Dept has not set a tax code","")&amp;IF(AND($C1098&lt;&gt;"",N1098=""),"; Dept has not entered an expected value","")&amp;IF((IF(OR(COUNTA(S1098:U1098)=0,AND(COUNTA(S1098:U1098)=3,ISNUMBER(U1098))),0,1)+IF(OR(COUNTA(V1098:X1098)=0,AND(COUNTA(V1098:X1098)=3,ISNUMBER(X1098))),0,1)+IF(OR(COUNTA(Y1098:AA1098)=0,AND(COUNTA(Y1098:AA1098)=3,ISNUMBER(AA1098))),0,1)+IF(OR(COUNTA(AB1098:AD1098)=0,AND(COUNTA(AB1098:AD1098)=3,ISNUMBER(AD1098))),0,1)+IF(OR(COUNTA(AE1098:AG1098)=0,AND(COUNTA(AE1098:AG1098)=3,ISNUMBER(AG1098))),0,1)+IF(OR(COUNTA(AH1098:AJ1098)=0,AND(COUNTA(AH1098:AJ1098)=3,ISNUMBER(AJ1098))),0,1)+IF(OR(COUNTA(AK1098:AM1098)=0,AND(COUNTA(AK1098:AM1098)=3,ISNUMBER(AM1098))),0,1)+IF(OR(COUNTA(AN1098:AP1098)=0,AND(COUNTA(AN1098:AP1098)=3,ISNUMBER(AP1098))),0,1)+IF(OR(COUNTA(AQ1098:AS1098)=0,AND(COUNTA(AQ1098:AS1098)=3,ISNUMBER(AS1098))),0,1)+IF(OR(COUNTA(AT1098:AV1098)=0,AND(COUNTA(AT1098:AV1098)=3,ISNUMBER(AV1098))),0,1)+IF(OR(COUNTA(AW1098:AY1098)=0,AND(COUNTA(AW1098:AY1098)=3,ISNUMBER(AY1098))),0,1)+IF(OR(COUNTA(AZ1098:BB1098)=0,AND(COUNTA(AZ1098:BB1098)=3,ISNUMBER(BB1098))),0,1))&gt;0,"; An invoice is incomplete (needs No, Date and a number in Ex GST)","")&amp;IF((IF(T1098="",0,IFERROR(--(EOMONTH(T1098,0)&lt;&gt;S$5),1))+IF(W1098="",0,IFERROR(--(EOMONTH(W1098,0)&lt;&gt;V$5),1))+IF(Z1098="",0,IFERROR(--(EOMONTH(Z1098,0)&lt;&gt;Y$5),1))+IF(AC1098="",0,IFERROR(--(EOMONTH(AC1098,0)&lt;&gt;AB$5),1))+IF(AF1098="",0,IFERROR(--(EOMONTH(AF1098,0)&lt;&gt;AE$5),1))+IF(AI1098="",0,IFERROR(--(EOMONTH(AI1098,0)&lt;&gt;AH$5),1))+IF(AL1098="",0,IFERROR(--(EOMONTH(AL1098,0)&lt;&gt;AK$5),1))+IF(AO1098="",0,IFERROR(--(EOMONTH(AO1098,0)&lt;&gt;AN$5),1))+IF(AR1098="",0,IFERROR(--(EOMONTH(AR1098,0)&lt;&gt;AQ$5),1))+IF(AU1098="",0,IFERROR(--(EOMONTH(AU1098,0)&lt;&gt;AT$5),1))+IF(AX1098="",0,IFERROR(--(EOMONTH(AX1098,0)&lt;&gt;AW$5),1))+IF(BA1098="",0,IFERROR(--(EOMONTH(BA1098,0)&lt;&gt;AZ$5),1)))&gt;0,"; An invoice date is not in the month it is typed under",""),3,500))</f>
        <v/>
      </c>
      <c r="S1098" s="12" t="n"/>
      <c r="T1098" s="13" t="n"/>
      <c r="U1098" s="14" t="n"/>
      <c r="V1098" s="12" t="n"/>
      <c r="W1098" s="13" t="n"/>
      <c r="X1098" s="14" t="n"/>
      <c r="Y1098" s="12" t="n"/>
      <c r="Z1098" s="13" t="n"/>
      <c r="AA1098" s="14" t="n"/>
      <c r="AB1098" s="12" t="n"/>
      <c r="AC1098" s="13" t="n"/>
      <c r="AD1098" s="14" t="n"/>
      <c r="AE1098" s="12" t="n"/>
      <c r="AF1098" s="13" t="n"/>
      <c r="AG1098" s="14" t="n"/>
      <c r="AH1098" s="12" t="n"/>
      <c r="AI1098" s="13" t="n"/>
      <c r="AJ1098" s="14" t="n"/>
      <c r="AK1098" s="12" t="n"/>
      <c r="AL1098" s="13" t="n"/>
      <c r="AM1098" s="14" t="n"/>
      <c r="AN1098" s="12" t="n"/>
      <c r="AO1098" s="13" t="n"/>
      <c r="AP1098" s="14" t="n"/>
      <c r="AQ1098" s="12" t="n"/>
      <c r="AR1098" s="13" t="n"/>
      <c r="AS1098" s="14" t="n"/>
      <c r="AT1098" s="12" t="n"/>
      <c r="AU1098" s="13" t="n"/>
      <c r="AV1098" s="14" t="n"/>
      <c r="AW1098" s="12" t="n"/>
      <c r="AX1098" s="13" t="n"/>
      <c r="AY1098" s="14" t="n"/>
      <c r="AZ1098" s="12" t="n"/>
      <c r="BA1098" s="13" t="n"/>
      <c r="BB1098" s="14" t="n"/>
      <c r="BC1098" s="11">
        <f>IF(O1098="","",IF(J1098="GST 10%",ROUND(O1098*set_GSTRate,2),0))</f>
        <v/>
      </c>
      <c r="BD1098" s="11">
        <f>IF(O1098="","",O1098+BC1098)</f>
        <v/>
      </c>
      <c r="BE1098" s="15">
        <f>IF(O1098="","",COUNTA(S1098,V1098,Y1098,AB1098,AE1098,AH1098,AK1098,AN1098,AQ1098,AT1098,AW1098,AZ1098))</f>
        <v/>
      </c>
      <c r="BF1098" s="16">
        <f>IF(COUNT(T1098,W1098,Z1098,AC1098,AF1098,AI1098,AL1098,AO1098,AR1098,AU1098,AX1098,BA1098)=0,"",MAX(T1098,W1098,Z1098,AC1098,AF1098,AI1098,AL1098,AO1098,AR1098,AU1098,AX1098,BA1098))</f>
        <v/>
      </c>
      <c r="BG1098" s="10">
        <f>MID(IF(S1098="","",", "&amp;S1098)&amp;IF(V1098="","",", "&amp;V1098)&amp;IF(Y1098="","",", "&amp;Y1098)&amp;IF(AB1098="","",", "&amp;AB1098)&amp;IF(AE1098="","",", "&amp;AE1098)&amp;IF(AH1098="","",", "&amp;AH1098)&amp;IF(AK1098="","",", "&amp;AK1098)&amp;IF(AN1098="","",", "&amp;AN1098)&amp;IF(AQ1098="","",", "&amp;AQ1098)&amp;IF(AT1098="","",", "&amp;AT1098)&amp;IF(AW1098="","",", "&amp;AW1098)&amp;IF(AZ1098="","",", "&amp;AZ1098),3,500)</f>
        <v/>
      </c>
      <c r="BH1098" s="12" t="n"/>
      <c r="BI1098" s="15">
        <f>IFERROR(MATCH($A1098,IF($B1098="Onsite",tbl_Onsite[Row ID],IF($B1098="Production",tbl_Production[Row ID],tbl_Consulting[Row ID])),0),"")</f>
        <v/>
      </c>
    </row>
    <row r="1099">
      <c r="A1099" s="10" t="inlineStr">
        <is>
          <t>CON-0093</t>
        </is>
      </c>
      <c r="B1099" s="10" t="inlineStr">
        <is>
          <t>Consulting</t>
        </is>
      </c>
      <c r="C1099" s="10">
        <f>IF($BI1099="","",IF($B1099="Onsite",INDEX(tbl_Onsite[Job Number],$BI1099),IF($B1099="Production",INDEX(tbl_Production[Job Number],$BI1099),INDEX(tbl_Consulting[Job Number],$BI1099)))&amp;"")</f>
        <v/>
      </c>
      <c r="D1099" s="10">
        <f>IF($BI1099="","",IF($B1099="Onsite",INDEX(tbl_Onsite[Client],$BI1099),IF($B1099="Production",INDEX(tbl_Production[Client],$BI1099),INDEX(tbl_Consulting[Client],$BI1099)))&amp;"")</f>
        <v/>
      </c>
      <c r="E1099" s="10">
        <f>IF($C1099="","",IF(COUNTIF(lst_Jobs,$C1099)&gt;0,"OK","CHECK"))</f>
        <v/>
      </c>
      <c r="F1099" s="10">
        <f>IF($C1099="","",IFERROR(INDEX(lst_JobName,MATCH($C1099,lst_Jobs,0)),""))</f>
        <v/>
      </c>
      <c r="G1099" s="10">
        <f>IF($BI1099="","",IF($B1099="Onsite",INDEX(tbl_Onsite[Job Description],$BI1099),IF($B1099="Production",INDEX(tbl_Production[Job Description],$BI1099),INDEX(tbl_Consulting[Job Description],$BI1099)))&amp;"")</f>
        <v/>
      </c>
      <c r="H1099" s="10">
        <f>IF($BI1099="","",IF($B1099="Onsite",INDEX(tbl_Onsite[Cost Centre],$BI1099),IF($B1099="Production",INDEX(tbl_Production[Cost Centre],$BI1099),INDEX(tbl_Consulting[Cost Centre],$BI1099)))&amp;"")</f>
        <v/>
      </c>
      <c r="I1099" s="10">
        <f>IF($BI1099="","",IF($B1099="Onsite",INDEX(tbl_Onsite[Invoice Type],$BI1099),IF($B1099="Production",INDEX(tbl_Production[Invoice Type],$BI1099),INDEX(tbl_Consulting[Invoice Type],$BI1099)))&amp;"")</f>
        <v/>
      </c>
      <c r="J1099" s="10">
        <f>IF($BI1099="","",IF($B1099="Onsite",INDEX(tbl_Onsite[Tax Code],$BI1099),IF($B1099="Production",INDEX(tbl_Production[Tax Code],$BI1099),INDEX(tbl_Consulting[Tax Code],$BI1099)))&amp;"")</f>
        <v/>
      </c>
      <c r="K1099" s="10">
        <f>IF(H1099="","",IFERROR(INDEX(lst_CCtoGL,MATCH(H1099,lst_CCforGL,0)),""))</f>
        <v/>
      </c>
      <c r="L1099" s="10">
        <f>IF($BI1099="","",IF($B1099="Onsite",INDEX(tbl_Onsite[PO / Reference],$BI1099),IF($B1099="Production",INDEX(tbl_Production[Current RMS No],$BI1099),INDEX(tbl_Consulting[Qwilr Quote],$BI1099)))&amp;"")</f>
        <v/>
      </c>
      <c r="M1099" s="10">
        <f>IF($BI1099="","",IF($B1099="Onsite",INDEX(tbl_Onsite[Notes],$BI1099),IF($B1099="Production",INDEX(tbl_Production[Notes],$BI1099),INDEX(tbl_Consulting[Notes],$BI1099)))&amp;"")</f>
        <v/>
      </c>
      <c r="N1099" s="11">
        <f>IF($BI1099="","",IF(IF($B1099="Onsite",INDEX(tbl_Onsite[Expected Revenue Ex GST],$BI1099),IF($B1099="Production",INDEX(tbl_Production[Expected Revenue Ex GST],$BI1099),INDEX(tbl_Consulting[Expected Revenue Ex GST],$BI1099)))="","",IF($B1099="Onsite",INDEX(tbl_Onsite[Expected Revenue Ex GST],$BI1099),IF($B1099="Production",INDEX(tbl_Production[Expected Revenue Ex GST],$BI1099),INDEX(tbl_Consulting[Expected Revenue Ex GST],$BI1099)))))</f>
        <v/>
      </c>
      <c r="O1099" s="11">
        <f>IF(AND($C1099="",NOT(COUNTA($S1099:$BB1099)&gt;0)),"",SUM(U1099,X1099,AA1099,AD1099,AG1099,AJ1099,AM1099,AP1099,AS1099,AV1099,AY1099,BB1099))</f>
        <v/>
      </c>
      <c r="P1099" s="11">
        <f>IF(O1099="","",N(N1099)-O1099)</f>
        <v/>
      </c>
      <c r="Q1099" s="10">
        <f>IF(O1099="","",IF($C1099="","Invoice on empty job row",IF(N1099="",IF(ROUND(O1099,2)=0,"No dept value","Invoiced - no dept value"),IF(ROUND(O1099,2)=0,"Not invoiced - to invoice",IF(ROUND(P1099,2)=0,"Agrees",IF(P1099&gt;0,"Dept higher - to invoice","Xero higher - check dept"))))))</f>
        <v/>
      </c>
      <c r="R1099" s="10">
        <f>IF(AND($C1099="",NOT(COUNTA($S1099:$BB1099)&gt;0),$BI1099&lt;&gt;""),"",MID(IF($BI1099="","; Row ID not found on the department sheet - a row was deleted","")&amp;IF(AND($C1099="",COUNTA($S1099:$BB1099)&gt;0),"; Invoice entered but the department row has no job number","")&amp;IF(E1099="CHECK","; Job number not in the Xero job list","")&amp;IF(AND($C1099&lt;&gt;"",COUNTIF($C$7:$C$1506,$C1099)&gt;1),"; Job number on more than one row","")&amp;IF(AND($C1099&lt;&gt;"",H1099=""),"; Dept has not set a cost centre","")&amp;IF(AND($C1099&lt;&gt;"",J1099=""),"; Dept has not set a tax code","")&amp;IF(AND($C1099&lt;&gt;"",N1099=""),"; Dept has not entered an expected value","")&amp;IF((IF(OR(COUNTA(S1099:U1099)=0,AND(COUNTA(S1099:U1099)=3,ISNUMBER(U1099))),0,1)+IF(OR(COUNTA(V1099:X1099)=0,AND(COUNTA(V1099:X1099)=3,ISNUMBER(X1099))),0,1)+IF(OR(COUNTA(Y1099:AA1099)=0,AND(COUNTA(Y1099:AA1099)=3,ISNUMBER(AA1099))),0,1)+IF(OR(COUNTA(AB1099:AD1099)=0,AND(COUNTA(AB1099:AD1099)=3,ISNUMBER(AD1099))),0,1)+IF(OR(COUNTA(AE1099:AG1099)=0,AND(COUNTA(AE1099:AG1099)=3,ISNUMBER(AG1099))),0,1)+IF(OR(COUNTA(AH1099:AJ1099)=0,AND(COUNTA(AH1099:AJ1099)=3,ISNUMBER(AJ1099))),0,1)+IF(OR(COUNTA(AK1099:AM1099)=0,AND(COUNTA(AK1099:AM1099)=3,ISNUMBER(AM1099))),0,1)+IF(OR(COUNTA(AN1099:AP1099)=0,AND(COUNTA(AN1099:AP1099)=3,ISNUMBER(AP1099))),0,1)+IF(OR(COUNTA(AQ1099:AS1099)=0,AND(COUNTA(AQ1099:AS1099)=3,ISNUMBER(AS1099))),0,1)+IF(OR(COUNTA(AT1099:AV1099)=0,AND(COUNTA(AT1099:AV1099)=3,ISNUMBER(AV1099))),0,1)+IF(OR(COUNTA(AW1099:AY1099)=0,AND(COUNTA(AW1099:AY1099)=3,ISNUMBER(AY1099))),0,1)+IF(OR(COUNTA(AZ1099:BB1099)=0,AND(COUNTA(AZ1099:BB1099)=3,ISNUMBER(BB1099))),0,1))&gt;0,"; An invoice is incomplete (needs No, Date and a number in Ex GST)","")&amp;IF((IF(T1099="",0,IFERROR(--(EOMONTH(T1099,0)&lt;&gt;S$5),1))+IF(W1099="",0,IFERROR(--(EOMONTH(W1099,0)&lt;&gt;V$5),1))+IF(Z1099="",0,IFERROR(--(EOMONTH(Z1099,0)&lt;&gt;Y$5),1))+IF(AC1099="",0,IFERROR(--(EOMONTH(AC1099,0)&lt;&gt;AB$5),1))+IF(AF1099="",0,IFERROR(--(EOMONTH(AF1099,0)&lt;&gt;AE$5),1))+IF(AI1099="",0,IFERROR(--(EOMONTH(AI1099,0)&lt;&gt;AH$5),1))+IF(AL1099="",0,IFERROR(--(EOMONTH(AL1099,0)&lt;&gt;AK$5),1))+IF(AO1099="",0,IFERROR(--(EOMONTH(AO1099,0)&lt;&gt;AN$5),1))+IF(AR1099="",0,IFERROR(--(EOMONTH(AR1099,0)&lt;&gt;AQ$5),1))+IF(AU1099="",0,IFERROR(--(EOMONTH(AU1099,0)&lt;&gt;AT$5),1))+IF(AX1099="",0,IFERROR(--(EOMONTH(AX1099,0)&lt;&gt;AW$5),1))+IF(BA1099="",0,IFERROR(--(EOMONTH(BA1099,0)&lt;&gt;AZ$5),1)))&gt;0,"; An invoice date is not in the month it is typed under",""),3,500))</f>
        <v/>
      </c>
      <c r="S1099" s="12" t="n"/>
      <c r="T1099" s="13" t="n"/>
      <c r="U1099" s="14" t="n"/>
      <c r="V1099" s="12" t="n"/>
      <c r="W1099" s="13" t="n"/>
      <c r="X1099" s="14" t="n"/>
      <c r="Y1099" s="12" t="n"/>
      <c r="Z1099" s="13" t="n"/>
      <c r="AA1099" s="14" t="n"/>
      <c r="AB1099" s="12" t="n"/>
      <c r="AC1099" s="13" t="n"/>
      <c r="AD1099" s="14" t="n"/>
      <c r="AE1099" s="12" t="n"/>
      <c r="AF1099" s="13" t="n"/>
      <c r="AG1099" s="14" t="n"/>
      <c r="AH1099" s="12" t="n"/>
      <c r="AI1099" s="13" t="n"/>
      <c r="AJ1099" s="14" t="n"/>
      <c r="AK1099" s="12" t="n"/>
      <c r="AL1099" s="13" t="n"/>
      <c r="AM1099" s="14" t="n"/>
      <c r="AN1099" s="12" t="n"/>
      <c r="AO1099" s="13" t="n"/>
      <c r="AP1099" s="14" t="n"/>
      <c r="AQ1099" s="12" t="n"/>
      <c r="AR1099" s="13" t="n"/>
      <c r="AS1099" s="14" t="n"/>
      <c r="AT1099" s="12" t="n"/>
      <c r="AU1099" s="13" t="n"/>
      <c r="AV1099" s="14" t="n"/>
      <c r="AW1099" s="12" t="n"/>
      <c r="AX1099" s="13" t="n"/>
      <c r="AY1099" s="14" t="n"/>
      <c r="AZ1099" s="12" t="n"/>
      <c r="BA1099" s="13" t="n"/>
      <c r="BB1099" s="14" t="n"/>
      <c r="BC1099" s="11">
        <f>IF(O1099="","",IF(J1099="GST 10%",ROUND(O1099*set_GSTRate,2),0))</f>
        <v/>
      </c>
      <c r="BD1099" s="11">
        <f>IF(O1099="","",O1099+BC1099)</f>
        <v/>
      </c>
      <c r="BE1099" s="15">
        <f>IF(O1099="","",COUNTA(S1099,V1099,Y1099,AB1099,AE1099,AH1099,AK1099,AN1099,AQ1099,AT1099,AW1099,AZ1099))</f>
        <v/>
      </c>
      <c r="BF1099" s="16">
        <f>IF(COUNT(T1099,W1099,Z1099,AC1099,AF1099,AI1099,AL1099,AO1099,AR1099,AU1099,AX1099,BA1099)=0,"",MAX(T1099,W1099,Z1099,AC1099,AF1099,AI1099,AL1099,AO1099,AR1099,AU1099,AX1099,BA1099))</f>
        <v/>
      </c>
      <c r="BG1099" s="10">
        <f>MID(IF(S1099="","",", "&amp;S1099)&amp;IF(V1099="","",", "&amp;V1099)&amp;IF(Y1099="","",", "&amp;Y1099)&amp;IF(AB1099="","",", "&amp;AB1099)&amp;IF(AE1099="","",", "&amp;AE1099)&amp;IF(AH1099="","",", "&amp;AH1099)&amp;IF(AK1099="","",", "&amp;AK1099)&amp;IF(AN1099="","",", "&amp;AN1099)&amp;IF(AQ1099="","",", "&amp;AQ1099)&amp;IF(AT1099="","",", "&amp;AT1099)&amp;IF(AW1099="","",", "&amp;AW1099)&amp;IF(AZ1099="","",", "&amp;AZ1099),3,500)</f>
        <v/>
      </c>
      <c r="BH1099" s="12" t="n"/>
      <c r="BI1099" s="15">
        <f>IFERROR(MATCH($A1099,IF($B1099="Onsite",tbl_Onsite[Row ID],IF($B1099="Production",tbl_Production[Row ID],tbl_Consulting[Row ID])),0),"")</f>
        <v/>
      </c>
    </row>
    <row r="1100">
      <c r="A1100" s="10" t="inlineStr">
        <is>
          <t>CON-0094</t>
        </is>
      </c>
      <c r="B1100" s="10" t="inlineStr">
        <is>
          <t>Consulting</t>
        </is>
      </c>
      <c r="C1100" s="10">
        <f>IF($BI1100="","",IF($B1100="Onsite",INDEX(tbl_Onsite[Job Number],$BI1100),IF($B1100="Production",INDEX(tbl_Production[Job Number],$BI1100),INDEX(tbl_Consulting[Job Number],$BI1100)))&amp;"")</f>
        <v/>
      </c>
      <c r="D1100" s="10">
        <f>IF($BI1100="","",IF($B1100="Onsite",INDEX(tbl_Onsite[Client],$BI1100),IF($B1100="Production",INDEX(tbl_Production[Client],$BI1100),INDEX(tbl_Consulting[Client],$BI1100)))&amp;"")</f>
        <v/>
      </c>
      <c r="E1100" s="10">
        <f>IF($C1100="","",IF(COUNTIF(lst_Jobs,$C1100)&gt;0,"OK","CHECK"))</f>
        <v/>
      </c>
      <c r="F1100" s="10">
        <f>IF($C1100="","",IFERROR(INDEX(lst_JobName,MATCH($C1100,lst_Jobs,0)),""))</f>
        <v/>
      </c>
      <c r="G1100" s="10">
        <f>IF($BI1100="","",IF($B1100="Onsite",INDEX(tbl_Onsite[Job Description],$BI1100),IF($B1100="Production",INDEX(tbl_Production[Job Description],$BI1100),INDEX(tbl_Consulting[Job Description],$BI1100)))&amp;"")</f>
        <v/>
      </c>
      <c r="H1100" s="10">
        <f>IF($BI1100="","",IF($B1100="Onsite",INDEX(tbl_Onsite[Cost Centre],$BI1100),IF($B1100="Production",INDEX(tbl_Production[Cost Centre],$BI1100),INDEX(tbl_Consulting[Cost Centre],$BI1100)))&amp;"")</f>
        <v/>
      </c>
      <c r="I1100" s="10">
        <f>IF($BI1100="","",IF($B1100="Onsite",INDEX(tbl_Onsite[Invoice Type],$BI1100),IF($B1100="Production",INDEX(tbl_Production[Invoice Type],$BI1100),INDEX(tbl_Consulting[Invoice Type],$BI1100)))&amp;"")</f>
        <v/>
      </c>
      <c r="J1100" s="10">
        <f>IF($BI1100="","",IF($B1100="Onsite",INDEX(tbl_Onsite[Tax Code],$BI1100),IF($B1100="Production",INDEX(tbl_Production[Tax Code],$BI1100),INDEX(tbl_Consulting[Tax Code],$BI1100)))&amp;"")</f>
        <v/>
      </c>
      <c r="K1100" s="10">
        <f>IF(H1100="","",IFERROR(INDEX(lst_CCtoGL,MATCH(H1100,lst_CCforGL,0)),""))</f>
        <v/>
      </c>
      <c r="L1100" s="10">
        <f>IF($BI1100="","",IF($B1100="Onsite",INDEX(tbl_Onsite[PO / Reference],$BI1100),IF($B1100="Production",INDEX(tbl_Production[Current RMS No],$BI1100),INDEX(tbl_Consulting[Qwilr Quote],$BI1100)))&amp;"")</f>
        <v/>
      </c>
      <c r="M1100" s="10">
        <f>IF($BI1100="","",IF($B1100="Onsite",INDEX(tbl_Onsite[Notes],$BI1100),IF($B1100="Production",INDEX(tbl_Production[Notes],$BI1100),INDEX(tbl_Consulting[Notes],$BI1100)))&amp;"")</f>
        <v/>
      </c>
      <c r="N1100" s="11">
        <f>IF($BI1100="","",IF(IF($B1100="Onsite",INDEX(tbl_Onsite[Expected Revenue Ex GST],$BI1100),IF($B1100="Production",INDEX(tbl_Production[Expected Revenue Ex GST],$BI1100),INDEX(tbl_Consulting[Expected Revenue Ex GST],$BI1100)))="","",IF($B1100="Onsite",INDEX(tbl_Onsite[Expected Revenue Ex GST],$BI1100),IF($B1100="Production",INDEX(tbl_Production[Expected Revenue Ex GST],$BI1100),INDEX(tbl_Consulting[Expected Revenue Ex GST],$BI1100)))))</f>
        <v/>
      </c>
      <c r="O1100" s="11">
        <f>IF(AND($C1100="",NOT(COUNTA($S1100:$BB1100)&gt;0)),"",SUM(U1100,X1100,AA1100,AD1100,AG1100,AJ1100,AM1100,AP1100,AS1100,AV1100,AY1100,BB1100))</f>
        <v/>
      </c>
      <c r="P1100" s="11">
        <f>IF(O1100="","",N(N1100)-O1100)</f>
        <v/>
      </c>
      <c r="Q1100" s="10">
        <f>IF(O1100="","",IF($C1100="","Invoice on empty job row",IF(N1100="",IF(ROUND(O1100,2)=0,"No dept value","Invoiced - no dept value"),IF(ROUND(O1100,2)=0,"Not invoiced - to invoice",IF(ROUND(P1100,2)=0,"Agrees",IF(P1100&gt;0,"Dept higher - to invoice","Xero higher - check dept"))))))</f>
        <v/>
      </c>
      <c r="R1100" s="10">
        <f>IF(AND($C1100="",NOT(COUNTA($S1100:$BB1100)&gt;0),$BI1100&lt;&gt;""),"",MID(IF($BI1100="","; Row ID not found on the department sheet - a row was deleted","")&amp;IF(AND($C1100="",COUNTA($S1100:$BB1100)&gt;0),"; Invoice entered but the department row has no job number","")&amp;IF(E1100="CHECK","; Job number not in the Xero job list","")&amp;IF(AND($C1100&lt;&gt;"",COUNTIF($C$7:$C$1506,$C1100)&gt;1),"; Job number on more than one row","")&amp;IF(AND($C1100&lt;&gt;"",H1100=""),"; Dept has not set a cost centre","")&amp;IF(AND($C1100&lt;&gt;"",J1100=""),"; Dept has not set a tax code","")&amp;IF(AND($C1100&lt;&gt;"",N1100=""),"; Dept has not entered an expected value","")&amp;IF((IF(OR(COUNTA(S1100:U1100)=0,AND(COUNTA(S1100:U1100)=3,ISNUMBER(U1100))),0,1)+IF(OR(COUNTA(V1100:X1100)=0,AND(COUNTA(V1100:X1100)=3,ISNUMBER(X1100))),0,1)+IF(OR(COUNTA(Y1100:AA1100)=0,AND(COUNTA(Y1100:AA1100)=3,ISNUMBER(AA1100))),0,1)+IF(OR(COUNTA(AB1100:AD1100)=0,AND(COUNTA(AB1100:AD1100)=3,ISNUMBER(AD1100))),0,1)+IF(OR(COUNTA(AE1100:AG1100)=0,AND(COUNTA(AE1100:AG1100)=3,ISNUMBER(AG1100))),0,1)+IF(OR(COUNTA(AH1100:AJ1100)=0,AND(COUNTA(AH1100:AJ1100)=3,ISNUMBER(AJ1100))),0,1)+IF(OR(COUNTA(AK1100:AM1100)=0,AND(COUNTA(AK1100:AM1100)=3,ISNUMBER(AM1100))),0,1)+IF(OR(COUNTA(AN1100:AP1100)=0,AND(COUNTA(AN1100:AP1100)=3,ISNUMBER(AP1100))),0,1)+IF(OR(COUNTA(AQ1100:AS1100)=0,AND(COUNTA(AQ1100:AS1100)=3,ISNUMBER(AS1100))),0,1)+IF(OR(COUNTA(AT1100:AV1100)=0,AND(COUNTA(AT1100:AV1100)=3,ISNUMBER(AV1100))),0,1)+IF(OR(COUNTA(AW1100:AY1100)=0,AND(COUNTA(AW1100:AY1100)=3,ISNUMBER(AY1100))),0,1)+IF(OR(COUNTA(AZ1100:BB1100)=0,AND(COUNTA(AZ1100:BB1100)=3,ISNUMBER(BB1100))),0,1))&gt;0,"; An invoice is incomplete (needs No, Date and a number in Ex GST)","")&amp;IF((IF(T1100="",0,IFERROR(--(EOMONTH(T1100,0)&lt;&gt;S$5),1))+IF(W1100="",0,IFERROR(--(EOMONTH(W1100,0)&lt;&gt;V$5),1))+IF(Z1100="",0,IFERROR(--(EOMONTH(Z1100,0)&lt;&gt;Y$5),1))+IF(AC1100="",0,IFERROR(--(EOMONTH(AC1100,0)&lt;&gt;AB$5),1))+IF(AF1100="",0,IFERROR(--(EOMONTH(AF1100,0)&lt;&gt;AE$5),1))+IF(AI1100="",0,IFERROR(--(EOMONTH(AI1100,0)&lt;&gt;AH$5),1))+IF(AL1100="",0,IFERROR(--(EOMONTH(AL1100,0)&lt;&gt;AK$5),1))+IF(AO1100="",0,IFERROR(--(EOMONTH(AO1100,0)&lt;&gt;AN$5),1))+IF(AR1100="",0,IFERROR(--(EOMONTH(AR1100,0)&lt;&gt;AQ$5),1))+IF(AU1100="",0,IFERROR(--(EOMONTH(AU1100,0)&lt;&gt;AT$5),1))+IF(AX1100="",0,IFERROR(--(EOMONTH(AX1100,0)&lt;&gt;AW$5),1))+IF(BA1100="",0,IFERROR(--(EOMONTH(BA1100,0)&lt;&gt;AZ$5),1)))&gt;0,"; An invoice date is not in the month it is typed under",""),3,500))</f>
        <v/>
      </c>
      <c r="S1100" s="12" t="n"/>
      <c r="T1100" s="13" t="n"/>
      <c r="U1100" s="14" t="n"/>
      <c r="V1100" s="12" t="n"/>
      <c r="W1100" s="13" t="n"/>
      <c r="X1100" s="14" t="n"/>
      <c r="Y1100" s="12" t="n"/>
      <c r="Z1100" s="13" t="n"/>
      <c r="AA1100" s="14" t="n"/>
      <c r="AB1100" s="12" t="n"/>
      <c r="AC1100" s="13" t="n"/>
      <c r="AD1100" s="14" t="n"/>
      <c r="AE1100" s="12" t="n"/>
      <c r="AF1100" s="13" t="n"/>
      <c r="AG1100" s="14" t="n"/>
      <c r="AH1100" s="12" t="n"/>
      <c r="AI1100" s="13" t="n"/>
      <c r="AJ1100" s="14" t="n"/>
      <c r="AK1100" s="12" t="n"/>
      <c r="AL1100" s="13" t="n"/>
      <c r="AM1100" s="14" t="n"/>
      <c r="AN1100" s="12" t="n"/>
      <c r="AO1100" s="13" t="n"/>
      <c r="AP1100" s="14" t="n"/>
      <c r="AQ1100" s="12" t="n"/>
      <c r="AR1100" s="13" t="n"/>
      <c r="AS1100" s="14" t="n"/>
      <c r="AT1100" s="12" t="n"/>
      <c r="AU1100" s="13" t="n"/>
      <c r="AV1100" s="14" t="n"/>
      <c r="AW1100" s="12" t="n"/>
      <c r="AX1100" s="13" t="n"/>
      <c r="AY1100" s="14" t="n"/>
      <c r="AZ1100" s="12" t="n"/>
      <c r="BA1100" s="13" t="n"/>
      <c r="BB1100" s="14" t="n"/>
      <c r="BC1100" s="11">
        <f>IF(O1100="","",IF(J1100="GST 10%",ROUND(O1100*set_GSTRate,2),0))</f>
        <v/>
      </c>
      <c r="BD1100" s="11">
        <f>IF(O1100="","",O1100+BC1100)</f>
        <v/>
      </c>
      <c r="BE1100" s="15">
        <f>IF(O1100="","",COUNTA(S1100,V1100,Y1100,AB1100,AE1100,AH1100,AK1100,AN1100,AQ1100,AT1100,AW1100,AZ1100))</f>
        <v/>
      </c>
      <c r="BF1100" s="16">
        <f>IF(COUNT(T1100,W1100,Z1100,AC1100,AF1100,AI1100,AL1100,AO1100,AR1100,AU1100,AX1100,BA1100)=0,"",MAX(T1100,W1100,Z1100,AC1100,AF1100,AI1100,AL1100,AO1100,AR1100,AU1100,AX1100,BA1100))</f>
        <v/>
      </c>
      <c r="BG1100" s="10">
        <f>MID(IF(S1100="","",", "&amp;S1100)&amp;IF(V1100="","",", "&amp;V1100)&amp;IF(Y1100="","",", "&amp;Y1100)&amp;IF(AB1100="","",", "&amp;AB1100)&amp;IF(AE1100="","",", "&amp;AE1100)&amp;IF(AH1100="","",", "&amp;AH1100)&amp;IF(AK1100="","",", "&amp;AK1100)&amp;IF(AN1100="","",", "&amp;AN1100)&amp;IF(AQ1100="","",", "&amp;AQ1100)&amp;IF(AT1100="","",", "&amp;AT1100)&amp;IF(AW1100="","",", "&amp;AW1100)&amp;IF(AZ1100="","",", "&amp;AZ1100),3,500)</f>
        <v/>
      </c>
      <c r="BH1100" s="12" t="n"/>
      <c r="BI1100" s="15">
        <f>IFERROR(MATCH($A1100,IF($B1100="Onsite",tbl_Onsite[Row ID],IF($B1100="Production",tbl_Production[Row ID],tbl_Consulting[Row ID])),0),"")</f>
        <v/>
      </c>
    </row>
    <row r="1101">
      <c r="A1101" s="10" t="inlineStr">
        <is>
          <t>CON-0095</t>
        </is>
      </c>
      <c r="B1101" s="10" t="inlineStr">
        <is>
          <t>Consulting</t>
        </is>
      </c>
      <c r="C1101" s="10">
        <f>IF($BI1101="","",IF($B1101="Onsite",INDEX(tbl_Onsite[Job Number],$BI1101),IF($B1101="Production",INDEX(tbl_Production[Job Number],$BI1101),INDEX(tbl_Consulting[Job Number],$BI1101)))&amp;"")</f>
        <v/>
      </c>
      <c r="D1101" s="10">
        <f>IF($BI1101="","",IF($B1101="Onsite",INDEX(tbl_Onsite[Client],$BI1101),IF($B1101="Production",INDEX(tbl_Production[Client],$BI1101),INDEX(tbl_Consulting[Client],$BI1101)))&amp;"")</f>
        <v/>
      </c>
      <c r="E1101" s="10">
        <f>IF($C1101="","",IF(COUNTIF(lst_Jobs,$C1101)&gt;0,"OK","CHECK"))</f>
        <v/>
      </c>
      <c r="F1101" s="10">
        <f>IF($C1101="","",IFERROR(INDEX(lst_JobName,MATCH($C1101,lst_Jobs,0)),""))</f>
        <v/>
      </c>
      <c r="G1101" s="10">
        <f>IF($BI1101="","",IF($B1101="Onsite",INDEX(tbl_Onsite[Job Description],$BI1101),IF($B1101="Production",INDEX(tbl_Production[Job Description],$BI1101),INDEX(tbl_Consulting[Job Description],$BI1101)))&amp;"")</f>
        <v/>
      </c>
      <c r="H1101" s="10">
        <f>IF($BI1101="","",IF($B1101="Onsite",INDEX(tbl_Onsite[Cost Centre],$BI1101),IF($B1101="Production",INDEX(tbl_Production[Cost Centre],$BI1101),INDEX(tbl_Consulting[Cost Centre],$BI1101)))&amp;"")</f>
        <v/>
      </c>
      <c r="I1101" s="10">
        <f>IF($BI1101="","",IF($B1101="Onsite",INDEX(tbl_Onsite[Invoice Type],$BI1101),IF($B1101="Production",INDEX(tbl_Production[Invoice Type],$BI1101),INDEX(tbl_Consulting[Invoice Type],$BI1101)))&amp;"")</f>
        <v/>
      </c>
      <c r="J1101" s="10">
        <f>IF($BI1101="","",IF($B1101="Onsite",INDEX(tbl_Onsite[Tax Code],$BI1101),IF($B1101="Production",INDEX(tbl_Production[Tax Code],$BI1101),INDEX(tbl_Consulting[Tax Code],$BI1101)))&amp;"")</f>
        <v/>
      </c>
      <c r="K1101" s="10">
        <f>IF(H1101="","",IFERROR(INDEX(lst_CCtoGL,MATCH(H1101,lst_CCforGL,0)),""))</f>
        <v/>
      </c>
      <c r="L1101" s="10">
        <f>IF($BI1101="","",IF($B1101="Onsite",INDEX(tbl_Onsite[PO / Reference],$BI1101),IF($B1101="Production",INDEX(tbl_Production[Current RMS No],$BI1101),INDEX(tbl_Consulting[Qwilr Quote],$BI1101)))&amp;"")</f>
        <v/>
      </c>
      <c r="M1101" s="10">
        <f>IF($BI1101="","",IF($B1101="Onsite",INDEX(tbl_Onsite[Notes],$BI1101),IF($B1101="Production",INDEX(tbl_Production[Notes],$BI1101),INDEX(tbl_Consulting[Notes],$BI1101)))&amp;"")</f>
        <v/>
      </c>
      <c r="N1101" s="11">
        <f>IF($BI1101="","",IF(IF($B1101="Onsite",INDEX(tbl_Onsite[Expected Revenue Ex GST],$BI1101),IF($B1101="Production",INDEX(tbl_Production[Expected Revenue Ex GST],$BI1101),INDEX(tbl_Consulting[Expected Revenue Ex GST],$BI1101)))="","",IF($B1101="Onsite",INDEX(tbl_Onsite[Expected Revenue Ex GST],$BI1101),IF($B1101="Production",INDEX(tbl_Production[Expected Revenue Ex GST],$BI1101),INDEX(tbl_Consulting[Expected Revenue Ex GST],$BI1101)))))</f>
        <v/>
      </c>
      <c r="O1101" s="11">
        <f>IF(AND($C1101="",NOT(COUNTA($S1101:$BB1101)&gt;0)),"",SUM(U1101,X1101,AA1101,AD1101,AG1101,AJ1101,AM1101,AP1101,AS1101,AV1101,AY1101,BB1101))</f>
        <v/>
      </c>
      <c r="P1101" s="11">
        <f>IF(O1101="","",N(N1101)-O1101)</f>
        <v/>
      </c>
      <c r="Q1101" s="10">
        <f>IF(O1101="","",IF($C1101="","Invoice on empty job row",IF(N1101="",IF(ROUND(O1101,2)=0,"No dept value","Invoiced - no dept value"),IF(ROUND(O1101,2)=0,"Not invoiced - to invoice",IF(ROUND(P1101,2)=0,"Agrees",IF(P1101&gt;0,"Dept higher - to invoice","Xero higher - check dept"))))))</f>
        <v/>
      </c>
      <c r="R1101" s="10">
        <f>IF(AND($C1101="",NOT(COUNTA($S1101:$BB1101)&gt;0),$BI1101&lt;&gt;""),"",MID(IF($BI1101="","; Row ID not found on the department sheet - a row was deleted","")&amp;IF(AND($C1101="",COUNTA($S1101:$BB1101)&gt;0),"; Invoice entered but the department row has no job number","")&amp;IF(E1101="CHECK","; Job number not in the Xero job list","")&amp;IF(AND($C1101&lt;&gt;"",COUNTIF($C$7:$C$1506,$C1101)&gt;1),"; Job number on more than one row","")&amp;IF(AND($C1101&lt;&gt;"",H1101=""),"; Dept has not set a cost centre","")&amp;IF(AND($C1101&lt;&gt;"",J1101=""),"; Dept has not set a tax code","")&amp;IF(AND($C1101&lt;&gt;"",N1101=""),"; Dept has not entered an expected value","")&amp;IF((IF(OR(COUNTA(S1101:U1101)=0,AND(COUNTA(S1101:U1101)=3,ISNUMBER(U1101))),0,1)+IF(OR(COUNTA(V1101:X1101)=0,AND(COUNTA(V1101:X1101)=3,ISNUMBER(X1101))),0,1)+IF(OR(COUNTA(Y1101:AA1101)=0,AND(COUNTA(Y1101:AA1101)=3,ISNUMBER(AA1101))),0,1)+IF(OR(COUNTA(AB1101:AD1101)=0,AND(COUNTA(AB1101:AD1101)=3,ISNUMBER(AD1101))),0,1)+IF(OR(COUNTA(AE1101:AG1101)=0,AND(COUNTA(AE1101:AG1101)=3,ISNUMBER(AG1101))),0,1)+IF(OR(COUNTA(AH1101:AJ1101)=0,AND(COUNTA(AH1101:AJ1101)=3,ISNUMBER(AJ1101))),0,1)+IF(OR(COUNTA(AK1101:AM1101)=0,AND(COUNTA(AK1101:AM1101)=3,ISNUMBER(AM1101))),0,1)+IF(OR(COUNTA(AN1101:AP1101)=0,AND(COUNTA(AN1101:AP1101)=3,ISNUMBER(AP1101))),0,1)+IF(OR(COUNTA(AQ1101:AS1101)=0,AND(COUNTA(AQ1101:AS1101)=3,ISNUMBER(AS1101))),0,1)+IF(OR(COUNTA(AT1101:AV1101)=0,AND(COUNTA(AT1101:AV1101)=3,ISNUMBER(AV1101))),0,1)+IF(OR(COUNTA(AW1101:AY1101)=0,AND(COUNTA(AW1101:AY1101)=3,ISNUMBER(AY1101))),0,1)+IF(OR(COUNTA(AZ1101:BB1101)=0,AND(COUNTA(AZ1101:BB1101)=3,ISNUMBER(BB1101))),0,1))&gt;0,"; An invoice is incomplete (needs No, Date and a number in Ex GST)","")&amp;IF((IF(T1101="",0,IFERROR(--(EOMONTH(T1101,0)&lt;&gt;S$5),1))+IF(W1101="",0,IFERROR(--(EOMONTH(W1101,0)&lt;&gt;V$5),1))+IF(Z1101="",0,IFERROR(--(EOMONTH(Z1101,0)&lt;&gt;Y$5),1))+IF(AC1101="",0,IFERROR(--(EOMONTH(AC1101,0)&lt;&gt;AB$5),1))+IF(AF1101="",0,IFERROR(--(EOMONTH(AF1101,0)&lt;&gt;AE$5),1))+IF(AI1101="",0,IFERROR(--(EOMONTH(AI1101,0)&lt;&gt;AH$5),1))+IF(AL1101="",0,IFERROR(--(EOMONTH(AL1101,0)&lt;&gt;AK$5),1))+IF(AO1101="",0,IFERROR(--(EOMONTH(AO1101,0)&lt;&gt;AN$5),1))+IF(AR1101="",0,IFERROR(--(EOMONTH(AR1101,0)&lt;&gt;AQ$5),1))+IF(AU1101="",0,IFERROR(--(EOMONTH(AU1101,0)&lt;&gt;AT$5),1))+IF(AX1101="",0,IFERROR(--(EOMONTH(AX1101,0)&lt;&gt;AW$5),1))+IF(BA1101="",0,IFERROR(--(EOMONTH(BA1101,0)&lt;&gt;AZ$5),1)))&gt;0,"; An invoice date is not in the month it is typed under",""),3,500))</f>
        <v/>
      </c>
      <c r="S1101" s="12" t="n"/>
      <c r="T1101" s="13" t="n"/>
      <c r="U1101" s="14" t="n"/>
      <c r="V1101" s="12" t="n"/>
      <c r="W1101" s="13" t="n"/>
      <c r="X1101" s="14" t="n"/>
      <c r="Y1101" s="12" t="n"/>
      <c r="Z1101" s="13" t="n"/>
      <c r="AA1101" s="14" t="n"/>
      <c r="AB1101" s="12" t="n"/>
      <c r="AC1101" s="13" t="n"/>
      <c r="AD1101" s="14" t="n"/>
      <c r="AE1101" s="12" t="n"/>
      <c r="AF1101" s="13" t="n"/>
      <c r="AG1101" s="14" t="n"/>
      <c r="AH1101" s="12" t="n"/>
      <c r="AI1101" s="13" t="n"/>
      <c r="AJ1101" s="14" t="n"/>
      <c r="AK1101" s="12" t="n"/>
      <c r="AL1101" s="13" t="n"/>
      <c r="AM1101" s="14" t="n"/>
      <c r="AN1101" s="12" t="n"/>
      <c r="AO1101" s="13" t="n"/>
      <c r="AP1101" s="14" t="n"/>
      <c r="AQ1101" s="12" t="n"/>
      <c r="AR1101" s="13" t="n"/>
      <c r="AS1101" s="14" t="n"/>
      <c r="AT1101" s="12" t="n"/>
      <c r="AU1101" s="13" t="n"/>
      <c r="AV1101" s="14" t="n"/>
      <c r="AW1101" s="12" t="n"/>
      <c r="AX1101" s="13" t="n"/>
      <c r="AY1101" s="14" t="n"/>
      <c r="AZ1101" s="12" t="n"/>
      <c r="BA1101" s="13" t="n"/>
      <c r="BB1101" s="14" t="n"/>
      <c r="BC1101" s="11">
        <f>IF(O1101="","",IF(J1101="GST 10%",ROUND(O1101*set_GSTRate,2),0))</f>
        <v/>
      </c>
      <c r="BD1101" s="11">
        <f>IF(O1101="","",O1101+BC1101)</f>
        <v/>
      </c>
      <c r="BE1101" s="15">
        <f>IF(O1101="","",COUNTA(S1101,V1101,Y1101,AB1101,AE1101,AH1101,AK1101,AN1101,AQ1101,AT1101,AW1101,AZ1101))</f>
        <v/>
      </c>
      <c r="BF1101" s="16">
        <f>IF(COUNT(T1101,W1101,Z1101,AC1101,AF1101,AI1101,AL1101,AO1101,AR1101,AU1101,AX1101,BA1101)=0,"",MAX(T1101,W1101,Z1101,AC1101,AF1101,AI1101,AL1101,AO1101,AR1101,AU1101,AX1101,BA1101))</f>
        <v/>
      </c>
      <c r="BG1101" s="10">
        <f>MID(IF(S1101="","",", "&amp;S1101)&amp;IF(V1101="","",", "&amp;V1101)&amp;IF(Y1101="","",", "&amp;Y1101)&amp;IF(AB1101="","",", "&amp;AB1101)&amp;IF(AE1101="","",", "&amp;AE1101)&amp;IF(AH1101="","",", "&amp;AH1101)&amp;IF(AK1101="","",", "&amp;AK1101)&amp;IF(AN1101="","",", "&amp;AN1101)&amp;IF(AQ1101="","",", "&amp;AQ1101)&amp;IF(AT1101="","",", "&amp;AT1101)&amp;IF(AW1101="","",", "&amp;AW1101)&amp;IF(AZ1101="","",", "&amp;AZ1101),3,500)</f>
        <v/>
      </c>
      <c r="BH1101" s="12" t="n"/>
      <c r="BI1101" s="15">
        <f>IFERROR(MATCH($A1101,IF($B1101="Onsite",tbl_Onsite[Row ID],IF($B1101="Production",tbl_Production[Row ID],tbl_Consulting[Row ID])),0),"")</f>
        <v/>
      </c>
    </row>
    <row r="1102">
      <c r="A1102" s="10" t="inlineStr">
        <is>
          <t>CON-0096</t>
        </is>
      </c>
      <c r="B1102" s="10" t="inlineStr">
        <is>
          <t>Consulting</t>
        </is>
      </c>
      <c r="C1102" s="10">
        <f>IF($BI1102="","",IF($B1102="Onsite",INDEX(tbl_Onsite[Job Number],$BI1102),IF($B1102="Production",INDEX(tbl_Production[Job Number],$BI1102),INDEX(tbl_Consulting[Job Number],$BI1102)))&amp;"")</f>
        <v/>
      </c>
      <c r="D1102" s="10">
        <f>IF($BI1102="","",IF($B1102="Onsite",INDEX(tbl_Onsite[Client],$BI1102),IF($B1102="Production",INDEX(tbl_Production[Client],$BI1102),INDEX(tbl_Consulting[Client],$BI1102)))&amp;"")</f>
        <v/>
      </c>
      <c r="E1102" s="10">
        <f>IF($C1102="","",IF(COUNTIF(lst_Jobs,$C1102)&gt;0,"OK","CHECK"))</f>
        <v/>
      </c>
      <c r="F1102" s="10">
        <f>IF($C1102="","",IFERROR(INDEX(lst_JobName,MATCH($C1102,lst_Jobs,0)),""))</f>
        <v/>
      </c>
      <c r="G1102" s="10">
        <f>IF($BI1102="","",IF($B1102="Onsite",INDEX(tbl_Onsite[Job Description],$BI1102),IF($B1102="Production",INDEX(tbl_Production[Job Description],$BI1102),INDEX(tbl_Consulting[Job Description],$BI1102)))&amp;"")</f>
        <v/>
      </c>
      <c r="H1102" s="10">
        <f>IF($BI1102="","",IF($B1102="Onsite",INDEX(tbl_Onsite[Cost Centre],$BI1102),IF($B1102="Production",INDEX(tbl_Production[Cost Centre],$BI1102),INDEX(tbl_Consulting[Cost Centre],$BI1102)))&amp;"")</f>
        <v/>
      </c>
      <c r="I1102" s="10">
        <f>IF($BI1102="","",IF($B1102="Onsite",INDEX(tbl_Onsite[Invoice Type],$BI1102),IF($B1102="Production",INDEX(tbl_Production[Invoice Type],$BI1102),INDEX(tbl_Consulting[Invoice Type],$BI1102)))&amp;"")</f>
        <v/>
      </c>
      <c r="J1102" s="10">
        <f>IF($BI1102="","",IF($B1102="Onsite",INDEX(tbl_Onsite[Tax Code],$BI1102),IF($B1102="Production",INDEX(tbl_Production[Tax Code],$BI1102),INDEX(tbl_Consulting[Tax Code],$BI1102)))&amp;"")</f>
        <v/>
      </c>
      <c r="K1102" s="10">
        <f>IF(H1102="","",IFERROR(INDEX(lst_CCtoGL,MATCH(H1102,lst_CCforGL,0)),""))</f>
        <v/>
      </c>
      <c r="L1102" s="10">
        <f>IF($BI1102="","",IF($B1102="Onsite",INDEX(tbl_Onsite[PO / Reference],$BI1102),IF($B1102="Production",INDEX(tbl_Production[Current RMS No],$BI1102),INDEX(tbl_Consulting[Qwilr Quote],$BI1102)))&amp;"")</f>
        <v/>
      </c>
      <c r="M1102" s="10">
        <f>IF($BI1102="","",IF($B1102="Onsite",INDEX(tbl_Onsite[Notes],$BI1102),IF($B1102="Production",INDEX(tbl_Production[Notes],$BI1102),INDEX(tbl_Consulting[Notes],$BI1102)))&amp;"")</f>
        <v/>
      </c>
      <c r="N1102" s="11">
        <f>IF($BI1102="","",IF(IF($B1102="Onsite",INDEX(tbl_Onsite[Expected Revenue Ex GST],$BI1102),IF($B1102="Production",INDEX(tbl_Production[Expected Revenue Ex GST],$BI1102),INDEX(tbl_Consulting[Expected Revenue Ex GST],$BI1102)))="","",IF($B1102="Onsite",INDEX(tbl_Onsite[Expected Revenue Ex GST],$BI1102),IF($B1102="Production",INDEX(tbl_Production[Expected Revenue Ex GST],$BI1102),INDEX(tbl_Consulting[Expected Revenue Ex GST],$BI1102)))))</f>
        <v/>
      </c>
      <c r="O1102" s="11">
        <f>IF(AND($C1102="",NOT(COUNTA($S1102:$BB1102)&gt;0)),"",SUM(U1102,X1102,AA1102,AD1102,AG1102,AJ1102,AM1102,AP1102,AS1102,AV1102,AY1102,BB1102))</f>
        <v/>
      </c>
      <c r="P1102" s="11">
        <f>IF(O1102="","",N(N1102)-O1102)</f>
        <v/>
      </c>
      <c r="Q1102" s="10">
        <f>IF(O1102="","",IF($C1102="","Invoice on empty job row",IF(N1102="",IF(ROUND(O1102,2)=0,"No dept value","Invoiced - no dept value"),IF(ROUND(O1102,2)=0,"Not invoiced - to invoice",IF(ROUND(P1102,2)=0,"Agrees",IF(P1102&gt;0,"Dept higher - to invoice","Xero higher - check dept"))))))</f>
        <v/>
      </c>
      <c r="R1102" s="10">
        <f>IF(AND($C1102="",NOT(COUNTA($S1102:$BB1102)&gt;0),$BI1102&lt;&gt;""),"",MID(IF($BI1102="","; Row ID not found on the department sheet - a row was deleted","")&amp;IF(AND($C1102="",COUNTA($S1102:$BB1102)&gt;0),"; Invoice entered but the department row has no job number","")&amp;IF(E1102="CHECK","; Job number not in the Xero job list","")&amp;IF(AND($C1102&lt;&gt;"",COUNTIF($C$7:$C$1506,$C1102)&gt;1),"; Job number on more than one row","")&amp;IF(AND($C1102&lt;&gt;"",H1102=""),"; Dept has not set a cost centre","")&amp;IF(AND($C1102&lt;&gt;"",J1102=""),"; Dept has not set a tax code","")&amp;IF(AND($C1102&lt;&gt;"",N1102=""),"; Dept has not entered an expected value","")&amp;IF((IF(OR(COUNTA(S1102:U1102)=0,AND(COUNTA(S1102:U1102)=3,ISNUMBER(U1102))),0,1)+IF(OR(COUNTA(V1102:X1102)=0,AND(COUNTA(V1102:X1102)=3,ISNUMBER(X1102))),0,1)+IF(OR(COUNTA(Y1102:AA1102)=0,AND(COUNTA(Y1102:AA1102)=3,ISNUMBER(AA1102))),0,1)+IF(OR(COUNTA(AB1102:AD1102)=0,AND(COUNTA(AB1102:AD1102)=3,ISNUMBER(AD1102))),0,1)+IF(OR(COUNTA(AE1102:AG1102)=0,AND(COUNTA(AE1102:AG1102)=3,ISNUMBER(AG1102))),0,1)+IF(OR(COUNTA(AH1102:AJ1102)=0,AND(COUNTA(AH1102:AJ1102)=3,ISNUMBER(AJ1102))),0,1)+IF(OR(COUNTA(AK1102:AM1102)=0,AND(COUNTA(AK1102:AM1102)=3,ISNUMBER(AM1102))),0,1)+IF(OR(COUNTA(AN1102:AP1102)=0,AND(COUNTA(AN1102:AP1102)=3,ISNUMBER(AP1102))),0,1)+IF(OR(COUNTA(AQ1102:AS1102)=0,AND(COUNTA(AQ1102:AS1102)=3,ISNUMBER(AS1102))),0,1)+IF(OR(COUNTA(AT1102:AV1102)=0,AND(COUNTA(AT1102:AV1102)=3,ISNUMBER(AV1102))),0,1)+IF(OR(COUNTA(AW1102:AY1102)=0,AND(COUNTA(AW1102:AY1102)=3,ISNUMBER(AY1102))),0,1)+IF(OR(COUNTA(AZ1102:BB1102)=0,AND(COUNTA(AZ1102:BB1102)=3,ISNUMBER(BB1102))),0,1))&gt;0,"; An invoice is incomplete (needs No, Date and a number in Ex GST)","")&amp;IF((IF(T1102="",0,IFERROR(--(EOMONTH(T1102,0)&lt;&gt;S$5),1))+IF(W1102="",0,IFERROR(--(EOMONTH(W1102,0)&lt;&gt;V$5),1))+IF(Z1102="",0,IFERROR(--(EOMONTH(Z1102,0)&lt;&gt;Y$5),1))+IF(AC1102="",0,IFERROR(--(EOMONTH(AC1102,0)&lt;&gt;AB$5),1))+IF(AF1102="",0,IFERROR(--(EOMONTH(AF1102,0)&lt;&gt;AE$5),1))+IF(AI1102="",0,IFERROR(--(EOMONTH(AI1102,0)&lt;&gt;AH$5),1))+IF(AL1102="",0,IFERROR(--(EOMONTH(AL1102,0)&lt;&gt;AK$5),1))+IF(AO1102="",0,IFERROR(--(EOMONTH(AO1102,0)&lt;&gt;AN$5),1))+IF(AR1102="",0,IFERROR(--(EOMONTH(AR1102,0)&lt;&gt;AQ$5),1))+IF(AU1102="",0,IFERROR(--(EOMONTH(AU1102,0)&lt;&gt;AT$5),1))+IF(AX1102="",0,IFERROR(--(EOMONTH(AX1102,0)&lt;&gt;AW$5),1))+IF(BA1102="",0,IFERROR(--(EOMONTH(BA1102,0)&lt;&gt;AZ$5),1)))&gt;0,"; An invoice date is not in the month it is typed under",""),3,500))</f>
        <v/>
      </c>
      <c r="S1102" s="12" t="n"/>
      <c r="T1102" s="13" t="n"/>
      <c r="U1102" s="14" t="n"/>
      <c r="V1102" s="12" t="n"/>
      <c r="W1102" s="13" t="n"/>
      <c r="X1102" s="14" t="n"/>
      <c r="Y1102" s="12" t="n"/>
      <c r="Z1102" s="13" t="n"/>
      <c r="AA1102" s="14" t="n"/>
      <c r="AB1102" s="12" t="n"/>
      <c r="AC1102" s="13" t="n"/>
      <c r="AD1102" s="14" t="n"/>
      <c r="AE1102" s="12" t="n"/>
      <c r="AF1102" s="13" t="n"/>
      <c r="AG1102" s="14" t="n"/>
      <c r="AH1102" s="12" t="n"/>
      <c r="AI1102" s="13" t="n"/>
      <c r="AJ1102" s="14" t="n"/>
      <c r="AK1102" s="12" t="n"/>
      <c r="AL1102" s="13" t="n"/>
      <c r="AM1102" s="14" t="n"/>
      <c r="AN1102" s="12" t="n"/>
      <c r="AO1102" s="13" t="n"/>
      <c r="AP1102" s="14" t="n"/>
      <c r="AQ1102" s="12" t="n"/>
      <c r="AR1102" s="13" t="n"/>
      <c r="AS1102" s="14" t="n"/>
      <c r="AT1102" s="12" t="n"/>
      <c r="AU1102" s="13" t="n"/>
      <c r="AV1102" s="14" t="n"/>
      <c r="AW1102" s="12" t="n"/>
      <c r="AX1102" s="13" t="n"/>
      <c r="AY1102" s="14" t="n"/>
      <c r="AZ1102" s="12" t="n"/>
      <c r="BA1102" s="13" t="n"/>
      <c r="BB1102" s="14" t="n"/>
      <c r="BC1102" s="11">
        <f>IF(O1102="","",IF(J1102="GST 10%",ROUND(O1102*set_GSTRate,2),0))</f>
        <v/>
      </c>
      <c r="BD1102" s="11">
        <f>IF(O1102="","",O1102+BC1102)</f>
        <v/>
      </c>
      <c r="BE1102" s="15">
        <f>IF(O1102="","",COUNTA(S1102,V1102,Y1102,AB1102,AE1102,AH1102,AK1102,AN1102,AQ1102,AT1102,AW1102,AZ1102))</f>
        <v/>
      </c>
      <c r="BF1102" s="16">
        <f>IF(COUNT(T1102,W1102,Z1102,AC1102,AF1102,AI1102,AL1102,AO1102,AR1102,AU1102,AX1102,BA1102)=0,"",MAX(T1102,W1102,Z1102,AC1102,AF1102,AI1102,AL1102,AO1102,AR1102,AU1102,AX1102,BA1102))</f>
        <v/>
      </c>
      <c r="BG1102" s="10">
        <f>MID(IF(S1102="","",", "&amp;S1102)&amp;IF(V1102="","",", "&amp;V1102)&amp;IF(Y1102="","",", "&amp;Y1102)&amp;IF(AB1102="","",", "&amp;AB1102)&amp;IF(AE1102="","",", "&amp;AE1102)&amp;IF(AH1102="","",", "&amp;AH1102)&amp;IF(AK1102="","",", "&amp;AK1102)&amp;IF(AN1102="","",", "&amp;AN1102)&amp;IF(AQ1102="","",", "&amp;AQ1102)&amp;IF(AT1102="","",", "&amp;AT1102)&amp;IF(AW1102="","",", "&amp;AW1102)&amp;IF(AZ1102="","",", "&amp;AZ1102),3,500)</f>
        <v/>
      </c>
      <c r="BH1102" s="12" t="n"/>
      <c r="BI1102" s="15">
        <f>IFERROR(MATCH($A1102,IF($B1102="Onsite",tbl_Onsite[Row ID],IF($B1102="Production",tbl_Production[Row ID],tbl_Consulting[Row ID])),0),"")</f>
        <v/>
      </c>
    </row>
    <row r="1103">
      <c r="A1103" s="10" t="inlineStr">
        <is>
          <t>CON-0097</t>
        </is>
      </c>
      <c r="B1103" s="10" t="inlineStr">
        <is>
          <t>Consulting</t>
        </is>
      </c>
      <c r="C1103" s="10">
        <f>IF($BI1103="","",IF($B1103="Onsite",INDEX(tbl_Onsite[Job Number],$BI1103),IF($B1103="Production",INDEX(tbl_Production[Job Number],$BI1103),INDEX(tbl_Consulting[Job Number],$BI1103)))&amp;"")</f>
        <v/>
      </c>
      <c r="D1103" s="10">
        <f>IF($BI1103="","",IF($B1103="Onsite",INDEX(tbl_Onsite[Client],$BI1103),IF($B1103="Production",INDEX(tbl_Production[Client],$BI1103),INDEX(tbl_Consulting[Client],$BI1103)))&amp;"")</f>
        <v/>
      </c>
      <c r="E1103" s="10">
        <f>IF($C1103="","",IF(COUNTIF(lst_Jobs,$C1103)&gt;0,"OK","CHECK"))</f>
        <v/>
      </c>
      <c r="F1103" s="10">
        <f>IF($C1103="","",IFERROR(INDEX(lst_JobName,MATCH($C1103,lst_Jobs,0)),""))</f>
        <v/>
      </c>
      <c r="G1103" s="10">
        <f>IF($BI1103="","",IF($B1103="Onsite",INDEX(tbl_Onsite[Job Description],$BI1103),IF($B1103="Production",INDEX(tbl_Production[Job Description],$BI1103),INDEX(tbl_Consulting[Job Description],$BI1103)))&amp;"")</f>
        <v/>
      </c>
      <c r="H1103" s="10">
        <f>IF($BI1103="","",IF($B1103="Onsite",INDEX(tbl_Onsite[Cost Centre],$BI1103),IF($B1103="Production",INDEX(tbl_Production[Cost Centre],$BI1103),INDEX(tbl_Consulting[Cost Centre],$BI1103)))&amp;"")</f>
        <v/>
      </c>
      <c r="I1103" s="10">
        <f>IF($BI1103="","",IF($B1103="Onsite",INDEX(tbl_Onsite[Invoice Type],$BI1103),IF($B1103="Production",INDEX(tbl_Production[Invoice Type],$BI1103),INDEX(tbl_Consulting[Invoice Type],$BI1103)))&amp;"")</f>
        <v/>
      </c>
      <c r="J1103" s="10">
        <f>IF($BI1103="","",IF($B1103="Onsite",INDEX(tbl_Onsite[Tax Code],$BI1103),IF($B1103="Production",INDEX(tbl_Production[Tax Code],$BI1103),INDEX(tbl_Consulting[Tax Code],$BI1103)))&amp;"")</f>
        <v/>
      </c>
      <c r="K1103" s="10">
        <f>IF(H1103="","",IFERROR(INDEX(lst_CCtoGL,MATCH(H1103,lst_CCforGL,0)),""))</f>
        <v/>
      </c>
      <c r="L1103" s="10">
        <f>IF($BI1103="","",IF($B1103="Onsite",INDEX(tbl_Onsite[PO / Reference],$BI1103),IF($B1103="Production",INDEX(tbl_Production[Current RMS No],$BI1103),INDEX(tbl_Consulting[Qwilr Quote],$BI1103)))&amp;"")</f>
        <v/>
      </c>
      <c r="M1103" s="10">
        <f>IF($BI1103="","",IF($B1103="Onsite",INDEX(tbl_Onsite[Notes],$BI1103),IF($B1103="Production",INDEX(tbl_Production[Notes],$BI1103),INDEX(tbl_Consulting[Notes],$BI1103)))&amp;"")</f>
        <v/>
      </c>
      <c r="N1103" s="11">
        <f>IF($BI1103="","",IF(IF($B1103="Onsite",INDEX(tbl_Onsite[Expected Revenue Ex GST],$BI1103),IF($B1103="Production",INDEX(tbl_Production[Expected Revenue Ex GST],$BI1103),INDEX(tbl_Consulting[Expected Revenue Ex GST],$BI1103)))="","",IF($B1103="Onsite",INDEX(tbl_Onsite[Expected Revenue Ex GST],$BI1103),IF($B1103="Production",INDEX(tbl_Production[Expected Revenue Ex GST],$BI1103),INDEX(tbl_Consulting[Expected Revenue Ex GST],$BI1103)))))</f>
        <v/>
      </c>
      <c r="O1103" s="11">
        <f>IF(AND($C1103="",NOT(COUNTA($S1103:$BB1103)&gt;0)),"",SUM(U1103,X1103,AA1103,AD1103,AG1103,AJ1103,AM1103,AP1103,AS1103,AV1103,AY1103,BB1103))</f>
        <v/>
      </c>
      <c r="P1103" s="11">
        <f>IF(O1103="","",N(N1103)-O1103)</f>
        <v/>
      </c>
      <c r="Q1103" s="10">
        <f>IF(O1103="","",IF($C1103="","Invoice on empty job row",IF(N1103="",IF(ROUND(O1103,2)=0,"No dept value","Invoiced - no dept value"),IF(ROUND(O1103,2)=0,"Not invoiced - to invoice",IF(ROUND(P1103,2)=0,"Agrees",IF(P1103&gt;0,"Dept higher - to invoice","Xero higher - check dept"))))))</f>
        <v/>
      </c>
      <c r="R1103" s="10">
        <f>IF(AND($C1103="",NOT(COUNTA($S1103:$BB1103)&gt;0),$BI1103&lt;&gt;""),"",MID(IF($BI1103="","; Row ID not found on the department sheet - a row was deleted","")&amp;IF(AND($C1103="",COUNTA($S1103:$BB1103)&gt;0),"; Invoice entered but the department row has no job number","")&amp;IF(E1103="CHECK","; Job number not in the Xero job list","")&amp;IF(AND($C1103&lt;&gt;"",COUNTIF($C$7:$C$1506,$C1103)&gt;1),"; Job number on more than one row","")&amp;IF(AND($C1103&lt;&gt;"",H1103=""),"; Dept has not set a cost centre","")&amp;IF(AND($C1103&lt;&gt;"",J1103=""),"; Dept has not set a tax code","")&amp;IF(AND($C1103&lt;&gt;"",N1103=""),"; Dept has not entered an expected value","")&amp;IF((IF(OR(COUNTA(S1103:U1103)=0,AND(COUNTA(S1103:U1103)=3,ISNUMBER(U1103))),0,1)+IF(OR(COUNTA(V1103:X1103)=0,AND(COUNTA(V1103:X1103)=3,ISNUMBER(X1103))),0,1)+IF(OR(COUNTA(Y1103:AA1103)=0,AND(COUNTA(Y1103:AA1103)=3,ISNUMBER(AA1103))),0,1)+IF(OR(COUNTA(AB1103:AD1103)=0,AND(COUNTA(AB1103:AD1103)=3,ISNUMBER(AD1103))),0,1)+IF(OR(COUNTA(AE1103:AG1103)=0,AND(COUNTA(AE1103:AG1103)=3,ISNUMBER(AG1103))),0,1)+IF(OR(COUNTA(AH1103:AJ1103)=0,AND(COUNTA(AH1103:AJ1103)=3,ISNUMBER(AJ1103))),0,1)+IF(OR(COUNTA(AK1103:AM1103)=0,AND(COUNTA(AK1103:AM1103)=3,ISNUMBER(AM1103))),0,1)+IF(OR(COUNTA(AN1103:AP1103)=0,AND(COUNTA(AN1103:AP1103)=3,ISNUMBER(AP1103))),0,1)+IF(OR(COUNTA(AQ1103:AS1103)=0,AND(COUNTA(AQ1103:AS1103)=3,ISNUMBER(AS1103))),0,1)+IF(OR(COUNTA(AT1103:AV1103)=0,AND(COUNTA(AT1103:AV1103)=3,ISNUMBER(AV1103))),0,1)+IF(OR(COUNTA(AW1103:AY1103)=0,AND(COUNTA(AW1103:AY1103)=3,ISNUMBER(AY1103))),0,1)+IF(OR(COUNTA(AZ1103:BB1103)=0,AND(COUNTA(AZ1103:BB1103)=3,ISNUMBER(BB1103))),0,1))&gt;0,"; An invoice is incomplete (needs No, Date and a number in Ex GST)","")&amp;IF((IF(T1103="",0,IFERROR(--(EOMONTH(T1103,0)&lt;&gt;S$5),1))+IF(W1103="",0,IFERROR(--(EOMONTH(W1103,0)&lt;&gt;V$5),1))+IF(Z1103="",0,IFERROR(--(EOMONTH(Z1103,0)&lt;&gt;Y$5),1))+IF(AC1103="",0,IFERROR(--(EOMONTH(AC1103,0)&lt;&gt;AB$5),1))+IF(AF1103="",0,IFERROR(--(EOMONTH(AF1103,0)&lt;&gt;AE$5),1))+IF(AI1103="",0,IFERROR(--(EOMONTH(AI1103,0)&lt;&gt;AH$5),1))+IF(AL1103="",0,IFERROR(--(EOMONTH(AL1103,0)&lt;&gt;AK$5),1))+IF(AO1103="",0,IFERROR(--(EOMONTH(AO1103,0)&lt;&gt;AN$5),1))+IF(AR1103="",0,IFERROR(--(EOMONTH(AR1103,0)&lt;&gt;AQ$5),1))+IF(AU1103="",0,IFERROR(--(EOMONTH(AU1103,0)&lt;&gt;AT$5),1))+IF(AX1103="",0,IFERROR(--(EOMONTH(AX1103,0)&lt;&gt;AW$5),1))+IF(BA1103="",0,IFERROR(--(EOMONTH(BA1103,0)&lt;&gt;AZ$5),1)))&gt;0,"; An invoice date is not in the month it is typed under",""),3,500))</f>
        <v/>
      </c>
      <c r="S1103" s="12" t="n"/>
      <c r="T1103" s="13" t="n"/>
      <c r="U1103" s="14" t="n"/>
      <c r="V1103" s="12" t="n"/>
      <c r="W1103" s="13" t="n"/>
      <c r="X1103" s="14" t="n"/>
      <c r="Y1103" s="12" t="n"/>
      <c r="Z1103" s="13" t="n"/>
      <c r="AA1103" s="14" t="n"/>
      <c r="AB1103" s="12" t="n"/>
      <c r="AC1103" s="13" t="n"/>
      <c r="AD1103" s="14" t="n"/>
      <c r="AE1103" s="12" t="n"/>
      <c r="AF1103" s="13" t="n"/>
      <c r="AG1103" s="14" t="n"/>
      <c r="AH1103" s="12" t="n"/>
      <c r="AI1103" s="13" t="n"/>
      <c r="AJ1103" s="14" t="n"/>
      <c r="AK1103" s="12" t="n"/>
      <c r="AL1103" s="13" t="n"/>
      <c r="AM1103" s="14" t="n"/>
      <c r="AN1103" s="12" t="n"/>
      <c r="AO1103" s="13" t="n"/>
      <c r="AP1103" s="14" t="n"/>
      <c r="AQ1103" s="12" t="n"/>
      <c r="AR1103" s="13" t="n"/>
      <c r="AS1103" s="14" t="n"/>
      <c r="AT1103" s="12" t="n"/>
      <c r="AU1103" s="13" t="n"/>
      <c r="AV1103" s="14" t="n"/>
      <c r="AW1103" s="12" t="n"/>
      <c r="AX1103" s="13" t="n"/>
      <c r="AY1103" s="14" t="n"/>
      <c r="AZ1103" s="12" t="n"/>
      <c r="BA1103" s="13" t="n"/>
      <c r="BB1103" s="14" t="n"/>
      <c r="BC1103" s="11">
        <f>IF(O1103="","",IF(J1103="GST 10%",ROUND(O1103*set_GSTRate,2),0))</f>
        <v/>
      </c>
      <c r="BD1103" s="11">
        <f>IF(O1103="","",O1103+BC1103)</f>
        <v/>
      </c>
      <c r="BE1103" s="15">
        <f>IF(O1103="","",COUNTA(S1103,V1103,Y1103,AB1103,AE1103,AH1103,AK1103,AN1103,AQ1103,AT1103,AW1103,AZ1103))</f>
        <v/>
      </c>
      <c r="BF1103" s="16">
        <f>IF(COUNT(T1103,W1103,Z1103,AC1103,AF1103,AI1103,AL1103,AO1103,AR1103,AU1103,AX1103,BA1103)=0,"",MAX(T1103,W1103,Z1103,AC1103,AF1103,AI1103,AL1103,AO1103,AR1103,AU1103,AX1103,BA1103))</f>
        <v/>
      </c>
      <c r="BG1103" s="10">
        <f>MID(IF(S1103="","",", "&amp;S1103)&amp;IF(V1103="","",", "&amp;V1103)&amp;IF(Y1103="","",", "&amp;Y1103)&amp;IF(AB1103="","",", "&amp;AB1103)&amp;IF(AE1103="","",", "&amp;AE1103)&amp;IF(AH1103="","",", "&amp;AH1103)&amp;IF(AK1103="","",", "&amp;AK1103)&amp;IF(AN1103="","",", "&amp;AN1103)&amp;IF(AQ1103="","",", "&amp;AQ1103)&amp;IF(AT1103="","",", "&amp;AT1103)&amp;IF(AW1103="","",", "&amp;AW1103)&amp;IF(AZ1103="","",", "&amp;AZ1103),3,500)</f>
        <v/>
      </c>
      <c r="BH1103" s="12" t="n"/>
      <c r="BI1103" s="15">
        <f>IFERROR(MATCH($A1103,IF($B1103="Onsite",tbl_Onsite[Row ID],IF($B1103="Production",tbl_Production[Row ID],tbl_Consulting[Row ID])),0),"")</f>
        <v/>
      </c>
    </row>
    <row r="1104">
      <c r="A1104" s="10" t="inlineStr">
        <is>
          <t>CON-0098</t>
        </is>
      </c>
      <c r="B1104" s="10" t="inlineStr">
        <is>
          <t>Consulting</t>
        </is>
      </c>
      <c r="C1104" s="10">
        <f>IF($BI1104="","",IF($B1104="Onsite",INDEX(tbl_Onsite[Job Number],$BI1104),IF($B1104="Production",INDEX(tbl_Production[Job Number],$BI1104),INDEX(tbl_Consulting[Job Number],$BI1104)))&amp;"")</f>
        <v/>
      </c>
      <c r="D1104" s="10">
        <f>IF($BI1104="","",IF($B1104="Onsite",INDEX(tbl_Onsite[Client],$BI1104),IF($B1104="Production",INDEX(tbl_Production[Client],$BI1104),INDEX(tbl_Consulting[Client],$BI1104)))&amp;"")</f>
        <v/>
      </c>
      <c r="E1104" s="10">
        <f>IF($C1104="","",IF(COUNTIF(lst_Jobs,$C1104)&gt;0,"OK","CHECK"))</f>
        <v/>
      </c>
      <c r="F1104" s="10">
        <f>IF($C1104="","",IFERROR(INDEX(lst_JobName,MATCH($C1104,lst_Jobs,0)),""))</f>
        <v/>
      </c>
      <c r="G1104" s="10">
        <f>IF($BI1104="","",IF($B1104="Onsite",INDEX(tbl_Onsite[Job Description],$BI1104),IF($B1104="Production",INDEX(tbl_Production[Job Description],$BI1104),INDEX(tbl_Consulting[Job Description],$BI1104)))&amp;"")</f>
        <v/>
      </c>
      <c r="H1104" s="10">
        <f>IF($BI1104="","",IF($B1104="Onsite",INDEX(tbl_Onsite[Cost Centre],$BI1104),IF($B1104="Production",INDEX(tbl_Production[Cost Centre],$BI1104),INDEX(tbl_Consulting[Cost Centre],$BI1104)))&amp;"")</f>
        <v/>
      </c>
      <c r="I1104" s="10">
        <f>IF($BI1104="","",IF($B1104="Onsite",INDEX(tbl_Onsite[Invoice Type],$BI1104),IF($B1104="Production",INDEX(tbl_Production[Invoice Type],$BI1104),INDEX(tbl_Consulting[Invoice Type],$BI1104)))&amp;"")</f>
        <v/>
      </c>
      <c r="J1104" s="10">
        <f>IF($BI1104="","",IF($B1104="Onsite",INDEX(tbl_Onsite[Tax Code],$BI1104),IF($B1104="Production",INDEX(tbl_Production[Tax Code],$BI1104),INDEX(tbl_Consulting[Tax Code],$BI1104)))&amp;"")</f>
        <v/>
      </c>
      <c r="K1104" s="10">
        <f>IF(H1104="","",IFERROR(INDEX(lst_CCtoGL,MATCH(H1104,lst_CCforGL,0)),""))</f>
        <v/>
      </c>
      <c r="L1104" s="10">
        <f>IF($BI1104="","",IF($B1104="Onsite",INDEX(tbl_Onsite[PO / Reference],$BI1104),IF($B1104="Production",INDEX(tbl_Production[Current RMS No],$BI1104),INDEX(tbl_Consulting[Qwilr Quote],$BI1104)))&amp;"")</f>
        <v/>
      </c>
      <c r="M1104" s="10">
        <f>IF($BI1104="","",IF($B1104="Onsite",INDEX(tbl_Onsite[Notes],$BI1104),IF($B1104="Production",INDEX(tbl_Production[Notes],$BI1104),INDEX(tbl_Consulting[Notes],$BI1104)))&amp;"")</f>
        <v/>
      </c>
      <c r="N1104" s="11">
        <f>IF($BI1104="","",IF(IF($B1104="Onsite",INDEX(tbl_Onsite[Expected Revenue Ex GST],$BI1104),IF($B1104="Production",INDEX(tbl_Production[Expected Revenue Ex GST],$BI1104),INDEX(tbl_Consulting[Expected Revenue Ex GST],$BI1104)))="","",IF($B1104="Onsite",INDEX(tbl_Onsite[Expected Revenue Ex GST],$BI1104),IF($B1104="Production",INDEX(tbl_Production[Expected Revenue Ex GST],$BI1104),INDEX(tbl_Consulting[Expected Revenue Ex GST],$BI1104)))))</f>
        <v/>
      </c>
      <c r="O1104" s="11">
        <f>IF(AND($C1104="",NOT(COUNTA($S1104:$BB1104)&gt;0)),"",SUM(U1104,X1104,AA1104,AD1104,AG1104,AJ1104,AM1104,AP1104,AS1104,AV1104,AY1104,BB1104))</f>
        <v/>
      </c>
      <c r="P1104" s="11">
        <f>IF(O1104="","",N(N1104)-O1104)</f>
        <v/>
      </c>
      <c r="Q1104" s="10">
        <f>IF(O1104="","",IF($C1104="","Invoice on empty job row",IF(N1104="",IF(ROUND(O1104,2)=0,"No dept value","Invoiced - no dept value"),IF(ROUND(O1104,2)=0,"Not invoiced - to invoice",IF(ROUND(P1104,2)=0,"Agrees",IF(P1104&gt;0,"Dept higher - to invoice","Xero higher - check dept"))))))</f>
        <v/>
      </c>
      <c r="R1104" s="10">
        <f>IF(AND($C1104="",NOT(COUNTA($S1104:$BB1104)&gt;0),$BI1104&lt;&gt;""),"",MID(IF($BI1104="","; Row ID not found on the department sheet - a row was deleted","")&amp;IF(AND($C1104="",COUNTA($S1104:$BB1104)&gt;0),"; Invoice entered but the department row has no job number","")&amp;IF(E1104="CHECK","; Job number not in the Xero job list","")&amp;IF(AND($C1104&lt;&gt;"",COUNTIF($C$7:$C$1506,$C1104)&gt;1),"; Job number on more than one row","")&amp;IF(AND($C1104&lt;&gt;"",H1104=""),"; Dept has not set a cost centre","")&amp;IF(AND($C1104&lt;&gt;"",J1104=""),"; Dept has not set a tax code","")&amp;IF(AND($C1104&lt;&gt;"",N1104=""),"; Dept has not entered an expected value","")&amp;IF((IF(OR(COUNTA(S1104:U1104)=0,AND(COUNTA(S1104:U1104)=3,ISNUMBER(U1104))),0,1)+IF(OR(COUNTA(V1104:X1104)=0,AND(COUNTA(V1104:X1104)=3,ISNUMBER(X1104))),0,1)+IF(OR(COUNTA(Y1104:AA1104)=0,AND(COUNTA(Y1104:AA1104)=3,ISNUMBER(AA1104))),0,1)+IF(OR(COUNTA(AB1104:AD1104)=0,AND(COUNTA(AB1104:AD1104)=3,ISNUMBER(AD1104))),0,1)+IF(OR(COUNTA(AE1104:AG1104)=0,AND(COUNTA(AE1104:AG1104)=3,ISNUMBER(AG1104))),0,1)+IF(OR(COUNTA(AH1104:AJ1104)=0,AND(COUNTA(AH1104:AJ1104)=3,ISNUMBER(AJ1104))),0,1)+IF(OR(COUNTA(AK1104:AM1104)=0,AND(COUNTA(AK1104:AM1104)=3,ISNUMBER(AM1104))),0,1)+IF(OR(COUNTA(AN1104:AP1104)=0,AND(COUNTA(AN1104:AP1104)=3,ISNUMBER(AP1104))),0,1)+IF(OR(COUNTA(AQ1104:AS1104)=0,AND(COUNTA(AQ1104:AS1104)=3,ISNUMBER(AS1104))),0,1)+IF(OR(COUNTA(AT1104:AV1104)=0,AND(COUNTA(AT1104:AV1104)=3,ISNUMBER(AV1104))),0,1)+IF(OR(COUNTA(AW1104:AY1104)=0,AND(COUNTA(AW1104:AY1104)=3,ISNUMBER(AY1104))),0,1)+IF(OR(COUNTA(AZ1104:BB1104)=0,AND(COUNTA(AZ1104:BB1104)=3,ISNUMBER(BB1104))),0,1))&gt;0,"; An invoice is incomplete (needs No, Date and a number in Ex GST)","")&amp;IF((IF(T1104="",0,IFERROR(--(EOMONTH(T1104,0)&lt;&gt;S$5),1))+IF(W1104="",0,IFERROR(--(EOMONTH(W1104,0)&lt;&gt;V$5),1))+IF(Z1104="",0,IFERROR(--(EOMONTH(Z1104,0)&lt;&gt;Y$5),1))+IF(AC1104="",0,IFERROR(--(EOMONTH(AC1104,0)&lt;&gt;AB$5),1))+IF(AF1104="",0,IFERROR(--(EOMONTH(AF1104,0)&lt;&gt;AE$5),1))+IF(AI1104="",0,IFERROR(--(EOMONTH(AI1104,0)&lt;&gt;AH$5),1))+IF(AL1104="",0,IFERROR(--(EOMONTH(AL1104,0)&lt;&gt;AK$5),1))+IF(AO1104="",0,IFERROR(--(EOMONTH(AO1104,0)&lt;&gt;AN$5),1))+IF(AR1104="",0,IFERROR(--(EOMONTH(AR1104,0)&lt;&gt;AQ$5),1))+IF(AU1104="",0,IFERROR(--(EOMONTH(AU1104,0)&lt;&gt;AT$5),1))+IF(AX1104="",0,IFERROR(--(EOMONTH(AX1104,0)&lt;&gt;AW$5),1))+IF(BA1104="",0,IFERROR(--(EOMONTH(BA1104,0)&lt;&gt;AZ$5),1)))&gt;0,"; An invoice date is not in the month it is typed under",""),3,500))</f>
        <v/>
      </c>
      <c r="S1104" s="12" t="n"/>
      <c r="T1104" s="13" t="n"/>
      <c r="U1104" s="14" t="n"/>
      <c r="V1104" s="12" t="n"/>
      <c r="W1104" s="13" t="n"/>
      <c r="X1104" s="14" t="n"/>
      <c r="Y1104" s="12" t="n"/>
      <c r="Z1104" s="13" t="n"/>
      <c r="AA1104" s="14" t="n"/>
      <c r="AB1104" s="12" t="n"/>
      <c r="AC1104" s="13" t="n"/>
      <c r="AD1104" s="14" t="n"/>
      <c r="AE1104" s="12" t="n"/>
      <c r="AF1104" s="13" t="n"/>
      <c r="AG1104" s="14" t="n"/>
      <c r="AH1104" s="12" t="n"/>
      <c r="AI1104" s="13" t="n"/>
      <c r="AJ1104" s="14" t="n"/>
      <c r="AK1104" s="12" t="n"/>
      <c r="AL1104" s="13" t="n"/>
      <c r="AM1104" s="14" t="n"/>
      <c r="AN1104" s="12" t="n"/>
      <c r="AO1104" s="13" t="n"/>
      <c r="AP1104" s="14" t="n"/>
      <c r="AQ1104" s="12" t="n"/>
      <c r="AR1104" s="13" t="n"/>
      <c r="AS1104" s="14" t="n"/>
      <c r="AT1104" s="12" t="n"/>
      <c r="AU1104" s="13" t="n"/>
      <c r="AV1104" s="14" t="n"/>
      <c r="AW1104" s="12" t="n"/>
      <c r="AX1104" s="13" t="n"/>
      <c r="AY1104" s="14" t="n"/>
      <c r="AZ1104" s="12" t="n"/>
      <c r="BA1104" s="13" t="n"/>
      <c r="BB1104" s="14" t="n"/>
      <c r="BC1104" s="11">
        <f>IF(O1104="","",IF(J1104="GST 10%",ROUND(O1104*set_GSTRate,2),0))</f>
        <v/>
      </c>
      <c r="BD1104" s="11">
        <f>IF(O1104="","",O1104+BC1104)</f>
        <v/>
      </c>
      <c r="BE1104" s="15">
        <f>IF(O1104="","",COUNTA(S1104,V1104,Y1104,AB1104,AE1104,AH1104,AK1104,AN1104,AQ1104,AT1104,AW1104,AZ1104))</f>
        <v/>
      </c>
      <c r="BF1104" s="16">
        <f>IF(COUNT(T1104,W1104,Z1104,AC1104,AF1104,AI1104,AL1104,AO1104,AR1104,AU1104,AX1104,BA1104)=0,"",MAX(T1104,W1104,Z1104,AC1104,AF1104,AI1104,AL1104,AO1104,AR1104,AU1104,AX1104,BA1104))</f>
        <v/>
      </c>
      <c r="BG1104" s="10">
        <f>MID(IF(S1104="","",", "&amp;S1104)&amp;IF(V1104="","",", "&amp;V1104)&amp;IF(Y1104="","",", "&amp;Y1104)&amp;IF(AB1104="","",", "&amp;AB1104)&amp;IF(AE1104="","",", "&amp;AE1104)&amp;IF(AH1104="","",", "&amp;AH1104)&amp;IF(AK1104="","",", "&amp;AK1104)&amp;IF(AN1104="","",", "&amp;AN1104)&amp;IF(AQ1104="","",", "&amp;AQ1104)&amp;IF(AT1104="","",", "&amp;AT1104)&amp;IF(AW1104="","",", "&amp;AW1104)&amp;IF(AZ1104="","",", "&amp;AZ1104),3,500)</f>
        <v/>
      </c>
      <c r="BH1104" s="12" t="n"/>
      <c r="BI1104" s="15">
        <f>IFERROR(MATCH($A1104,IF($B1104="Onsite",tbl_Onsite[Row ID],IF($B1104="Production",tbl_Production[Row ID],tbl_Consulting[Row ID])),0),"")</f>
        <v/>
      </c>
    </row>
    <row r="1105">
      <c r="A1105" s="10" t="inlineStr">
        <is>
          <t>CON-0099</t>
        </is>
      </c>
      <c r="B1105" s="10" t="inlineStr">
        <is>
          <t>Consulting</t>
        </is>
      </c>
      <c r="C1105" s="10">
        <f>IF($BI1105="","",IF($B1105="Onsite",INDEX(tbl_Onsite[Job Number],$BI1105),IF($B1105="Production",INDEX(tbl_Production[Job Number],$BI1105),INDEX(tbl_Consulting[Job Number],$BI1105)))&amp;"")</f>
        <v/>
      </c>
      <c r="D1105" s="10">
        <f>IF($BI1105="","",IF($B1105="Onsite",INDEX(tbl_Onsite[Client],$BI1105),IF($B1105="Production",INDEX(tbl_Production[Client],$BI1105),INDEX(tbl_Consulting[Client],$BI1105)))&amp;"")</f>
        <v/>
      </c>
      <c r="E1105" s="10">
        <f>IF($C1105="","",IF(COUNTIF(lst_Jobs,$C1105)&gt;0,"OK","CHECK"))</f>
        <v/>
      </c>
      <c r="F1105" s="10">
        <f>IF($C1105="","",IFERROR(INDEX(lst_JobName,MATCH($C1105,lst_Jobs,0)),""))</f>
        <v/>
      </c>
      <c r="G1105" s="10">
        <f>IF($BI1105="","",IF($B1105="Onsite",INDEX(tbl_Onsite[Job Description],$BI1105),IF($B1105="Production",INDEX(tbl_Production[Job Description],$BI1105),INDEX(tbl_Consulting[Job Description],$BI1105)))&amp;"")</f>
        <v/>
      </c>
      <c r="H1105" s="10">
        <f>IF($BI1105="","",IF($B1105="Onsite",INDEX(tbl_Onsite[Cost Centre],$BI1105),IF($B1105="Production",INDEX(tbl_Production[Cost Centre],$BI1105),INDEX(tbl_Consulting[Cost Centre],$BI1105)))&amp;"")</f>
        <v/>
      </c>
      <c r="I1105" s="10">
        <f>IF($BI1105="","",IF($B1105="Onsite",INDEX(tbl_Onsite[Invoice Type],$BI1105),IF($B1105="Production",INDEX(tbl_Production[Invoice Type],$BI1105),INDEX(tbl_Consulting[Invoice Type],$BI1105)))&amp;"")</f>
        <v/>
      </c>
      <c r="J1105" s="10">
        <f>IF($BI1105="","",IF($B1105="Onsite",INDEX(tbl_Onsite[Tax Code],$BI1105),IF($B1105="Production",INDEX(tbl_Production[Tax Code],$BI1105),INDEX(tbl_Consulting[Tax Code],$BI1105)))&amp;"")</f>
        <v/>
      </c>
      <c r="K1105" s="10">
        <f>IF(H1105="","",IFERROR(INDEX(lst_CCtoGL,MATCH(H1105,lst_CCforGL,0)),""))</f>
        <v/>
      </c>
      <c r="L1105" s="10">
        <f>IF($BI1105="","",IF($B1105="Onsite",INDEX(tbl_Onsite[PO / Reference],$BI1105),IF($B1105="Production",INDEX(tbl_Production[Current RMS No],$BI1105),INDEX(tbl_Consulting[Qwilr Quote],$BI1105)))&amp;"")</f>
        <v/>
      </c>
      <c r="M1105" s="10">
        <f>IF($BI1105="","",IF($B1105="Onsite",INDEX(tbl_Onsite[Notes],$BI1105),IF($B1105="Production",INDEX(tbl_Production[Notes],$BI1105),INDEX(tbl_Consulting[Notes],$BI1105)))&amp;"")</f>
        <v/>
      </c>
      <c r="N1105" s="11">
        <f>IF($BI1105="","",IF(IF($B1105="Onsite",INDEX(tbl_Onsite[Expected Revenue Ex GST],$BI1105),IF($B1105="Production",INDEX(tbl_Production[Expected Revenue Ex GST],$BI1105),INDEX(tbl_Consulting[Expected Revenue Ex GST],$BI1105)))="","",IF($B1105="Onsite",INDEX(tbl_Onsite[Expected Revenue Ex GST],$BI1105),IF($B1105="Production",INDEX(tbl_Production[Expected Revenue Ex GST],$BI1105),INDEX(tbl_Consulting[Expected Revenue Ex GST],$BI1105)))))</f>
        <v/>
      </c>
      <c r="O1105" s="11">
        <f>IF(AND($C1105="",NOT(COUNTA($S1105:$BB1105)&gt;0)),"",SUM(U1105,X1105,AA1105,AD1105,AG1105,AJ1105,AM1105,AP1105,AS1105,AV1105,AY1105,BB1105))</f>
        <v/>
      </c>
      <c r="P1105" s="11">
        <f>IF(O1105="","",N(N1105)-O1105)</f>
        <v/>
      </c>
      <c r="Q1105" s="10">
        <f>IF(O1105="","",IF($C1105="","Invoice on empty job row",IF(N1105="",IF(ROUND(O1105,2)=0,"No dept value","Invoiced - no dept value"),IF(ROUND(O1105,2)=0,"Not invoiced - to invoice",IF(ROUND(P1105,2)=0,"Agrees",IF(P1105&gt;0,"Dept higher - to invoice","Xero higher - check dept"))))))</f>
        <v/>
      </c>
      <c r="R1105" s="10">
        <f>IF(AND($C1105="",NOT(COUNTA($S1105:$BB1105)&gt;0),$BI1105&lt;&gt;""),"",MID(IF($BI1105="","; Row ID not found on the department sheet - a row was deleted","")&amp;IF(AND($C1105="",COUNTA($S1105:$BB1105)&gt;0),"; Invoice entered but the department row has no job number","")&amp;IF(E1105="CHECK","; Job number not in the Xero job list","")&amp;IF(AND($C1105&lt;&gt;"",COUNTIF($C$7:$C$1506,$C1105)&gt;1),"; Job number on more than one row","")&amp;IF(AND($C1105&lt;&gt;"",H1105=""),"; Dept has not set a cost centre","")&amp;IF(AND($C1105&lt;&gt;"",J1105=""),"; Dept has not set a tax code","")&amp;IF(AND($C1105&lt;&gt;"",N1105=""),"; Dept has not entered an expected value","")&amp;IF((IF(OR(COUNTA(S1105:U1105)=0,AND(COUNTA(S1105:U1105)=3,ISNUMBER(U1105))),0,1)+IF(OR(COUNTA(V1105:X1105)=0,AND(COUNTA(V1105:X1105)=3,ISNUMBER(X1105))),0,1)+IF(OR(COUNTA(Y1105:AA1105)=0,AND(COUNTA(Y1105:AA1105)=3,ISNUMBER(AA1105))),0,1)+IF(OR(COUNTA(AB1105:AD1105)=0,AND(COUNTA(AB1105:AD1105)=3,ISNUMBER(AD1105))),0,1)+IF(OR(COUNTA(AE1105:AG1105)=0,AND(COUNTA(AE1105:AG1105)=3,ISNUMBER(AG1105))),0,1)+IF(OR(COUNTA(AH1105:AJ1105)=0,AND(COUNTA(AH1105:AJ1105)=3,ISNUMBER(AJ1105))),0,1)+IF(OR(COUNTA(AK1105:AM1105)=0,AND(COUNTA(AK1105:AM1105)=3,ISNUMBER(AM1105))),0,1)+IF(OR(COUNTA(AN1105:AP1105)=0,AND(COUNTA(AN1105:AP1105)=3,ISNUMBER(AP1105))),0,1)+IF(OR(COUNTA(AQ1105:AS1105)=0,AND(COUNTA(AQ1105:AS1105)=3,ISNUMBER(AS1105))),0,1)+IF(OR(COUNTA(AT1105:AV1105)=0,AND(COUNTA(AT1105:AV1105)=3,ISNUMBER(AV1105))),0,1)+IF(OR(COUNTA(AW1105:AY1105)=0,AND(COUNTA(AW1105:AY1105)=3,ISNUMBER(AY1105))),0,1)+IF(OR(COUNTA(AZ1105:BB1105)=0,AND(COUNTA(AZ1105:BB1105)=3,ISNUMBER(BB1105))),0,1))&gt;0,"; An invoice is incomplete (needs No, Date and a number in Ex GST)","")&amp;IF((IF(T1105="",0,IFERROR(--(EOMONTH(T1105,0)&lt;&gt;S$5),1))+IF(W1105="",0,IFERROR(--(EOMONTH(W1105,0)&lt;&gt;V$5),1))+IF(Z1105="",0,IFERROR(--(EOMONTH(Z1105,0)&lt;&gt;Y$5),1))+IF(AC1105="",0,IFERROR(--(EOMONTH(AC1105,0)&lt;&gt;AB$5),1))+IF(AF1105="",0,IFERROR(--(EOMONTH(AF1105,0)&lt;&gt;AE$5),1))+IF(AI1105="",0,IFERROR(--(EOMONTH(AI1105,0)&lt;&gt;AH$5),1))+IF(AL1105="",0,IFERROR(--(EOMONTH(AL1105,0)&lt;&gt;AK$5),1))+IF(AO1105="",0,IFERROR(--(EOMONTH(AO1105,0)&lt;&gt;AN$5),1))+IF(AR1105="",0,IFERROR(--(EOMONTH(AR1105,0)&lt;&gt;AQ$5),1))+IF(AU1105="",0,IFERROR(--(EOMONTH(AU1105,0)&lt;&gt;AT$5),1))+IF(AX1105="",0,IFERROR(--(EOMONTH(AX1105,0)&lt;&gt;AW$5),1))+IF(BA1105="",0,IFERROR(--(EOMONTH(BA1105,0)&lt;&gt;AZ$5),1)))&gt;0,"; An invoice date is not in the month it is typed under",""),3,500))</f>
        <v/>
      </c>
      <c r="S1105" s="12" t="n"/>
      <c r="T1105" s="13" t="n"/>
      <c r="U1105" s="14" t="n"/>
      <c r="V1105" s="12" t="n"/>
      <c r="W1105" s="13" t="n"/>
      <c r="X1105" s="14" t="n"/>
      <c r="Y1105" s="12" t="n"/>
      <c r="Z1105" s="13" t="n"/>
      <c r="AA1105" s="14" t="n"/>
      <c r="AB1105" s="12" t="n"/>
      <c r="AC1105" s="13" t="n"/>
      <c r="AD1105" s="14" t="n"/>
      <c r="AE1105" s="12" t="n"/>
      <c r="AF1105" s="13" t="n"/>
      <c r="AG1105" s="14" t="n"/>
      <c r="AH1105" s="12" t="n"/>
      <c r="AI1105" s="13" t="n"/>
      <c r="AJ1105" s="14" t="n"/>
      <c r="AK1105" s="12" t="n"/>
      <c r="AL1105" s="13" t="n"/>
      <c r="AM1105" s="14" t="n"/>
      <c r="AN1105" s="12" t="n"/>
      <c r="AO1105" s="13" t="n"/>
      <c r="AP1105" s="14" t="n"/>
      <c r="AQ1105" s="12" t="n"/>
      <c r="AR1105" s="13" t="n"/>
      <c r="AS1105" s="14" t="n"/>
      <c r="AT1105" s="12" t="n"/>
      <c r="AU1105" s="13" t="n"/>
      <c r="AV1105" s="14" t="n"/>
      <c r="AW1105" s="12" t="n"/>
      <c r="AX1105" s="13" t="n"/>
      <c r="AY1105" s="14" t="n"/>
      <c r="AZ1105" s="12" t="n"/>
      <c r="BA1105" s="13" t="n"/>
      <c r="BB1105" s="14" t="n"/>
      <c r="BC1105" s="11">
        <f>IF(O1105="","",IF(J1105="GST 10%",ROUND(O1105*set_GSTRate,2),0))</f>
        <v/>
      </c>
      <c r="BD1105" s="11">
        <f>IF(O1105="","",O1105+BC1105)</f>
        <v/>
      </c>
      <c r="BE1105" s="15">
        <f>IF(O1105="","",COUNTA(S1105,V1105,Y1105,AB1105,AE1105,AH1105,AK1105,AN1105,AQ1105,AT1105,AW1105,AZ1105))</f>
        <v/>
      </c>
      <c r="BF1105" s="16">
        <f>IF(COUNT(T1105,W1105,Z1105,AC1105,AF1105,AI1105,AL1105,AO1105,AR1105,AU1105,AX1105,BA1105)=0,"",MAX(T1105,W1105,Z1105,AC1105,AF1105,AI1105,AL1105,AO1105,AR1105,AU1105,AX1105,BA1105))</f>
        <v/>
      </c>
      <c r="BG1105" s="10">
        <f>MID(IF(S1105="","",", "&amp;S1105)&amp;IF(V1105="","",", "&amp;V1105)&amp;IF(Y1105="","",", "&amp;Y1105)&amp;IF(AB1105="","",", "&amp;AB1105)&amp;IF(AE1105="","",", "&amp;AE1105)&amp;IF(AH1105="","",", "&amp;AH1105)&amp;IF(AK1105="","",", "&amp;AK1105)&amp;IF(AN1105="","",", "&amp;AN1105)&amp;IF(AQ1105="","",", "&amp;AQ1105)&amp;IF(AT1105="","",", "&amp;AT1105)&amp;IF(AW1105="","",", "&amp;AW1105)&amp;IF(AZ1105="","",", "&amp;AZ1105),3,500)</f>
        <v/>
      </c>
      <c r="BH1105" s="12" t="n"/>
      <c r="BI1105" s="15">
        <f>IFERROR(MATCH($A1105,IF($B1105="Onsite",tbl_Onsite[Row ID],IF($B1105="Production",tbl_Production[Row ID],tbl_Consulting[Row ID])),0),"")</f>
        <v/>
      </c>
    </row>
    <row r="1106">
      <c r="A1106" s="10" t="inlineStr">
        <is>
          <t>CON-0100</t>
        </is>
      </c>
      <c r="B1106" s="10" t="inlineStr">
        <is>
          <t>Consulting</t>
        </is>
      </c>
      <c r="C1106" s="10">
        <f>IF($BI1106="","",IF($B1106="Onsite",INDEX(tbl_Onsite[Job Number],$BI1106),IF($B1106="Production",INDEX(tbl_Production[Job Number],$BI1106),INDEX(tbl_Consulting[Job Number],$BI1106)))&amp;"")</f>
        <v/>
      </c>
      <c r="D1106" s="10">
        <f>IF($BI1106="","",IF($B1106="Onsite",INDEX(tbl_Onsite[Client],$BI1106),IF($B1106="Production",INDEX(tbl_Production[Client],$BI1106),INDEX(tbl_Consulting[Client],$BI1106)))&amp;"")</f>
        <v/>
      </c>
      <c r="E1106" s="10">
        <f>IF($C1106="","",IF(COUNTIF(lst_Jobs,$C1106)&gt;0,"OK","CHECK"))</f>
        <v/>
      </c>
      <c r="F1106" s="10">
        <f>IF($C1106="","",IFERROR(INDEX(lst_JobName,MATCH($C1106,lst_Jobs,0)),""))</f>
        <v/>
      </c>
      <c r="G1106" s="10">
        <f>IF($BI1106="","",IF($B1106="Onsite",INDEX(tbl_Onsite[Job Description],$BI1106),IF($B1106="Production",INDEX(tbl_Production[Job Description],$BI1106),INDEX(tbl_Consulting[Job Description],$BI1106)))&amp;"")</f>
        <v/>
      </c>
      <c r="H1106" s="10">
        <f>IF($BI1106="","",IF($B1106="Onsite",INDEX(tbl_Onsite[Cost Centre],$BI1106),IF($B1106="Production",INDEX(tbl_Production[Cost Centre],$BI1106),INDEX(tbl_Consulting[Cost Centre],$BI1106)))&amp;"")</f>
        <v/>
      </c>
      <c r="I1106" s="10">
        <f>IF($BI1106="","",IF($B1106="Onsite",INDEX(tbl_Onsite[Invoice Type],$BI1106),IF($B1106="Production",INDEX(tbl_Production[Invoice Type],$BI1106),INDEX(tbl_Consulting[Invoice Type],$BI1106)))&amp;"")</f>
        <v/>
      </c>
      <c r="J1106" s="10">
        <f>IF($BI1106="","",IF($B1106="Onsite",INDEX(tbl_Onsite[Tax Code],$BI1106),IF($B1106="Production",INDEX(tbl_Production[Tax Code],$BI1106),INDEX(tbl_Consulting[Tax Code],$BI1106)))&amp;"")</f>
        <v/>
      </c>
      <c r="K1106" s="10">
        <f>IF(H1106="","",IFERROR(INDEX(lst_CCtoGL,MATCH(H1106,lst_CCforGL,0)),""))</f>
        <v/>
      </c>
      <c r="L1106" s="10">
        <f>IF($BI1106="","",IF($B1106="Onsite",INDEX(tbl_Onsite[PO / Reference],$BI1106),IF($B1106="Production",INDEX(tbl_Production[Current RMS No],$BI1106),INDEX(tbl_Consulting[Qwilr Quote],$BI1106)))&amp;"")</f>
        <v/>
      </c>
      <c r="M1106" s="10">
        <f>IF($BI1106="","",IF($B1106="Onsite",INDEX(tbl_Onsite[Notes],$BI1106),IF($B1106="Production",INDEX(tbl_Production[Notes],$BI1106),INDEX(tbl_Consulting[Notes],$BI1106)))&amp;"")</f>
        <v/>
      </c>
      <c r="N1106" s="11">
        <f>IF($BI1106="","",IF(IF($B1106="Onsite",INDEX(tbl_Onsite[Expected Revenue Ex GST],$BI1106),IF($B1106="Production",INDEX(tbl_Production[Expected Revenue Ex GST],$BI1106),INDEX(tbl_Consulting[Expected Revenue Ex GST],$BI1106)))="","",IF($B1106="Onsite",INDEX(tbl_Onsite[Expected Revenue Ex GST],$BI1106),IF($B1106="Production",INDEX(tbl_Production[Expected Revenue Ex GST],$BI1106),INDEX(tbl_Consulting[Expected Revenue Ex GST],$BI1106)))))</f>
        <v/>
      </c>
      <c r="O1106" s="11">
        <f>IF(AND($C1106="",NOT(COUNTA($S1106:$BB1106)&gt;0)),"",SUM(U1106,X1106,AA1106,AD1106,AG1106,AJ1106,AM1106,AP1106,AS1106,AV1106,AY1106,BB1106))</f>
        <v/>
      </c>
      <c r="P1106" s="11">
        <f>IF(O1106="","",N(N1106)-O1106)</f>
        <v/>
      </c>
      <c r="Q1106" s="10">
        <f>IF(O1106="","",IF($C1106="","Invoice on empty job row",IF(N1106="",IF(ROUND(O1106,2)=0,"No dept value","Invoiced - no dept value"),IF(ROUND(O1106,2)=0,"Not invoiced - to invoice",IF(ROUND(P1106,2)=0,"Agrees",IF(P1106&gt;0,"Dept higher - to invoice","Xero higher - check dept"))))))</f>
        <v/>
      </c>
      <c r="R1106" s="10">
        <f>IF(AND($C1106="",NOT(COUNTA($S1106:$BB1106)&gt;0),$BI1106&lt;&gt;""),"",MID(IF($BI1106="","; Row ID not found on the department sheet - a row was deleted","")&amp;IF(AND($C1106="",COUNTA($S1106:$BB1106)&gt;0),"; Invoice entered but the department row has no job number","")&amp;IF(E1106="CHECK","; Job number not in the Xero job list","")&amp;IF(AND($C1106&lt;&gt;"",COUNTIF($C$7:$C$1506,$C1106)&gt;1),"; Job number on more than one row","")&amp;IF(AND($C1106&lt;&gt;"",H1106=""),"; Dept has not set a cost centre","")&amp;IF(AND($C1106&lt;&gt;"",J1106=""),"; Dept has not set a tax code","")&amp;IF(AND($C1106&lt;&gt;"",N1106=""),"; Dept has not entered an expected value","")&amp;IF((IF(OR(COUNTA(S1106:U1106)=0,AND(COUNTA(S1106:U1106)=3,ISNUMBER(U1106))),0,1)+IF(OR(COUNTA(V1106:X1106)=0,AND(COUNTA(V1106:X1106)=3,ISNUMBER(X1106))),0,1)+IF(OR(COUNTA(Y1106:AA1106)=0,AND(COUNTA(Y1106:AA1106)=3,ISNUMBER(AA1106))),0,1)+IF(OR(COUNTA(AB1106:AD1106)=0,AND(COUNTA(AB1106:AD1106)=3,ISNUMBER(AD1106))),0,1)+IF(OR(COUNTA(AE1106:AG1106)=0,AND(COUNTA(AE1106:AG1106)=3,ISNUMBER(AG1106))),0,1)+IF(OR(COUNTA(AH1106:AJ1106)=0,AND(COUNTA(AH1106:AJ1106)=3,ISNUMBER(AJ1106))),0,1)+IF(OR(COUNTA(AK1106:AM1106)=0,AND(COUNTA(AK1106:AM1106)=3,ISNUMBER(AM1106))),0,1)+IF(OR(COUNTA(AN1106:AP1106)=0,AND(COUNTA(AN1106:AP1106)=3,ISNUMBER(AP1106))),0,1)+IF(OR(COUNTA(AQ1106:AS1106)=0,AND(COUNTA(AQ1106:AS1106)=3,ISNUMBER(AS1106))),0,1)+IF(OR(COUNTA(AT1106:AV1106)=0,AND(COUNTA(AT1106:AV1106)=3,ISNUMBER(AV1106))),0,1)+IF(OR(COUNTA(AW1106:AY1106)=0,AND(COUNTA(AW1106:AY1106)=3,ISNUMBER(AY1106))),0,1)+IF(OR(COUNTA(AZ1106:BB1106)=0,AND(COUNTA(AZ1106:BB1106)=3,ISNUMBER(BB1106))),0,1))&gt;0,"; An invoice is incomplete (needs No, Date and a number in Ex GST)","")&amp;IF((IF(T1106="",0,IFERROR(--(EOMONTH(T1106,0)&lt;&gt;S$5),1))+IF(W1106="",0,IFERROR(--(EOMONTH(W1106,0)&lt;&gt;V$5),1))+IF(Z1106="",0,IFERROR(--(EOMONTH(Z1106,0)&lt;&gt;Y$5),1))+IF(AC1106="",0,IFERROR(--(EOMONTH(AC1106,0)&lt;&gt;AB$5),1))+IF(AF1106="",0,IFERROR(--(EOMONTH(AF1106,0)&lt;&gt;AE$5),1))+IF(AI1106="",0,IFERROR(--(EOMONTH(AI1106,0)&lt;&gt;AH$5),1))+IF(AL1106="",0,IFERROR(--(EOMONTH(AL1106,0)&lt;&gt;AK$5),1))+IF(AO1106="",0,IFERROR(--(EOMONTH(AO1106,0)&lt;&gt;AN$5),1))+IF(AR1106="",0,IFERROR(--(EOMONTH(AR1106,0)&lt;&gt;AQ$5),1))+IF(AU1106="",0,IFERROR(--(EOMONTH(AU1106,0)&lt;&gt;AT$5),1))+IF(AX1106="",0,IFERROR(--(EOMONTH(AX1106,0)&lt;&gt;AW$5),1))+IF(BA1106="",0,IFERROR(--(EOMONTH(BA1106,0)&lt;&gt;AZ$5),1)))&gt;0,"; An invoice date is not in the month it is typed under",""),3,500))</f>
        <v/>
      </c>
      <c r="S1106" s="12" t="n"/>
      <c r="T1106" s="13" t="n"/>
      <c r="U1106" s="14" t="n"/>
      <c r="V1106" s="12" t="n"/>
      <c r="W1106" s="13" t="n"/>
      <c r="X1106" s="14" t="n"/>
      <c r="Y1106" s="12" t="n"/>
      <c r="Z1106" s="13" t="n"/>
      <c r="AA1106" s="14" t="n"/>
      <c r="AB1106" s="12" t="n"/>
      <c r="AC1106" s="13" t="n"/>
      <c r="AD1106" s="14" t="n"/>
      <c r="AE1106" s="12" t="n"/>
      <c r="AF1106" s="13" t="n"/>
      <c r="AG1106" s="14" t="n"/>
      <c r="AH1106" s="12" t="n"/>
      <c r="AI1106" s="13" t="n"/>
      <c r="AJ1106" s="14" t="n"/>
      <c r="AK1106" s="12" t="n"/>
      <c r="AL1106" s="13" t="n"/>
      <c r="AM1106" s="14" t="n"/>
      <c r="AN1106" s="12" t="n"/>
      <c r="AO1106" s="13" t="n"/>
      <c r="AP1106" s="14" t="n"/>
      <c r="AQ1106" s="12" t="n"/>
      <c r="AR1106" s="13" t="n"/>
      <c r="AS1106" s="14" t="n"/>
      <c r="AT1106" s="12" t="n"/>
      <c r="AU1106" s="13" t="n"/>
      <c r="AV1106" s="14" t="n"/>
      <c r="AW1106" s="12" t="n"/>
      <c r="AX1106" s="13" t="n"/>
      <c r="AY1106" s="14" t="n"/>
      <c r="AZ1106" s="12" t="n"/>
      <c r="BA1106" s="13" t="n"/>
      <c r="BB1106" s="14" t="n"/>
      <c r="BC1106" s="11">
        <f>IF(O1106="","",IF(J1106="GST 10%",ROUND(O1106*set_GSTRate,2),0))</f>
        <v/>
      </c>
      <c r="BD1106" s="11">
        <f>IF(O1106="","",O1106+BC1106)</f>
        <v/>
      </c>
      <c r="BE1106" s="15">
        <f>IF(O1106="","",COUNTA(S1106,V1106,Y1106,AB1106,AE1106,AH1106,AK1106,AN1106,AQ1106,AT1106,AW1106,AZ1106))</f>
        <v/>
      </c>
      <c r="BF1106" s="16">
        <f>IF(COUNT(T1106,W1106,Z1106,AC1106,AF1106,AI1106,AL1106,AO1106,AR1106,AU1106,AX1106,BA1106)=0,"",MAX(T1106,W1106,Z1106,AC1106,AF1106,AI1106,AL1106,AO1106,AR1106,AU1106,AX1106,BA1106))</f>
        <v/>
      </c>
      <c r="BG1106" s="10">
        <f>MID(IF(S1106="","",", "&amp;S1106)&amp;IF(V1106="","",", "&amp;V1106)&amp;IF(Y1106="","",", "&amp;Y1106)&amp;IF(AB1106="","",", "&amp;AB1106)&amp;IF(AE1106="","",", "&amp;AE1106)&amp;IF(AH1106="","",", "&amp;AH1106)&amp;IF(AK1106="","",", "&amp;AK1106)&amp;IF(AN1106="","",", "&amp;AN1106)&amp;IF(AQ1106="","",", "&amp;AQ1106)&amp;IF(AT1106="","",", "&amp;AT1106)&amp;IF(AW1106="","",", "&amp;AW1106)&amp;IF(AZ1106="","",", "&amp;AZ1106),3,500)</f>
        <v/>
      </c>
      <c r="BH1106" s="12" t="n"/>
      <c r="BI1106" s="15">
        <f>IFERROR(MATCH($A1106,IF($B1106="Onsite",tbl_Onsite[Row ID],IF($B1106="Production",tbl_Production[Row ID],tbl_Consulting[Row ID])),0),"")</f>
        <v/>
      </c>
    </row>
    <row r="1107">
      <c r="A1107" s="10" t="inlineStr">
        <is>
          <t>CON-0101</t>
        </is>
      </c>
      <c r="B1107" s="10" t="inlineStr">
        <is>
          <t>Consulting</t>
        </is>
      </c>
      <c r="C1107" s="10">
        <f>IF($BI1107="","",IF($B1107="Onsite",INDEX(tbl_Onsite[Job Number],$BI1107),IF($B1107="Production",INDEX(tbl_Production[Job Number],$BI1107),INDEX(tbl_Consulting[Job Number],$BI1107)))&amp;"")</f>
        <v/>
      </c>
      <c r="D1107" s="10">
        <f>IF($BI1107="","",IF($B1107="Onsite",INDEX(tbl_Onsite[Client],$BI1107),IF($B1107="Production",INDEX(tbl_Production[Client],$BI1107),INDEX(tbl_Consulting[Client],$BI1107)))&amp;"")</f>
        <v/>
      </c>
      <c r="E1107" s="10">
        <f>IF($C1107="","",IF(COUNTIF(lst_Jobs,$C1107)&gt;0,"OK","CHECK"))</f>
        <v/>
      </c>
      <c r="F1107" s="10">
        <f>IF($C1107="","",IFERROR(INDEX(lst_JobName,MATCH($C1107,lst_Jobs,0)),""))</f>
        <v/>
      </c>
      <c r="G1107" s="10">
        <f>IF($BI1107="","",IF($B1107="Onsite",INDEX(tbl_Onsite[Job Description],$BI1107),IF($B1107="Production",INDEX(tbl_Production[Job Description],$BI1107),INDEX(tbl_Consulting[Job Description],$BI1107)))&amp;"")</f>
        <v/>
      </c>
      <c r="H1107" s="10">
        <f>IF($BI1107="","",IF($B1107="Onsite",INDEX(tbl_Onsite[Cost Centre],$BI1107),IF($B1107="Production",INDEX(tbl_Production[Cost Centre],$BI1107),INDEX(tbl_Consulting[Cost Centre],$BI1107)))&amp;"")</f>
        <v/>
      </c>
      <c r="I1107" s="10">
        <f>IF($BI1107="","",IF($B1107="Onsite",INDEX(tbl_Onsite[Invoice Type],$BI1107),IF($B1107="Production",INDEX(tbl_Production[Invoice Type],$BI1107),INDEX(tbl_Consulting[Invoice Type],$BI1107)))&amp;"")</f>
        <v/>
      </c>
      <c r="J1107" s="10">
        <f>IF($BI1107="","",IF($B1107="Onsite",INDEX(tbl_Onsite[Tax Code],$BI1107),IF($B1107="Production",INDEX(tbl_Production[Tax Code],$BI1107),INDEX(tbl_Consulting[Tax Code],$BI1107)))&amp;"")</f>
        <v/>
      </c>
      <c r="K1107" s="10">
        <f>IF(H1107="","",IFERROR(INDEX(lst_CCtoGL,MATCH(H1107,lst_CCforGL,0)),""))</f>
        <v/>
      </c>
      <c r="L1107" s="10">
        <f>IF($BI1107="","",IF($B1107="Onsite",INDEX(tbl_Onsite[PO / Reference],$BI1107),IF($B1107="Production",INDEX(tbl_Production[Current RMS No],$BI1107),INDEX(tbl_Consulting[Qwilr Quote],$BI1107)))&amp;"")</f>
        <v/>
      </c>
      <c r="M1107" s="10">
        <f>IF($BI1107="","",IF($B1107="Onsite",INDEX(tbl_Onsite[Notes],$BI1107),IF($B1107="Production",INDEX(tbl_Production[Notes],$BI1107),INDEX(tbl_Consulting[Notes],$BI1107)))&amp;"")</f>
        <v/>
      </c>
      <c r="N1107" s="11">
        <f>IF($BI1107="","",IF(IF($B1107="Onsite",INDEX(tbl_Onsite[Expected Revenue Ex GST],$BI1107),IF($B1107="Production",INDEX(tbl_Production[Expected Revenue Ex GST],$BI1107),INDEX(tbl_Consulting[Expected Revenue Ex GST],$BI1107)))="","",IF($B1107="Onsite",INDEX(tbl_Onsite[Expected Revenue Ex GST],$BI1107),IF($B1107="Production",INDEX(tbl_Production[Expected Revenue Ex GST],$BI1107),INDEX(tbl_Consulting[Expected Revenue Ex GST],$BI1107)))))</f>
        <v/>
      </c>
      <c r="O1107" s="11">
        <f>IF(AND($C1107="",NOT(COUNTA($S1107:$BB1107)&gt;0)),"",SUM(U1107,X1107,AA1107,AD1107,AG1107,AJ1107,AM1107,AP1107,AS1107,AV1107,AY1107,BB1107))</f>
        <v/>
      </c>
      <c r="P1107" s="11">
        <f>IF(O1107="","",N(N1107)-O1107)</f>
        <v/>
      </c>
      <c r="Q1107" s="10">
        <f>IF(O1107="","",IF($C1107="","Invoice on empty job row",IF(N1107="",IF(ROUND(O1107,2)=0,"No dept value","Invoiced - no dept value"),IF(ROUND(O1107,2)=0,"Not invoiced - to invoice",IF(ROUND(P1107,2)=0,"Agrees",IF(P1107&gt;0,"Dept higher - to invoice","Xero higher - check dept"))))))</f>
        <v/>
      </c>
      <c r="R1107" s="10">
        <f>IF(AND($C1107="",NOT(COUNTA($S1107:$BB1107)&gt;0),$BI1107&lt;&gt;""),"",MID(IF($BI1107="","; Row ID not found on the department sheet - a row was deleted","")&amp;IF(AND($C1107="",COUNTA($S1107:$BB1107)&gt;0),"; Invoice entered but the department row has no job number","")&amp;IF(E1107="CHECK","; Job number not in the Xero job list","")&amp;IF(AND($C1107&lt;&gt;"",COUNTIF($C$7:$C$1506,$C1107)&gt;1),"; Job number on more than one row","")&amp;IF(AND($C1107&lt;&gt;"",H1107=""),"; Dept has not set a cost centre","")&amp;IF(AND($C1107&lt;&gt;"",J1107=""),"; Dept has not set a tax code","")&amp;IF(AND($C1107&lt;&gt;"",N1107=""),"; Dept has not entered an expected value","")&amp;IF((IF(OR(COUNTA(S1107:U1107)=0,AND(COUNTA(S1107:U1107)=3,ISNUMBER(U1107))),0,1)+IF(OR(COUNTA(V1107:X1107)=0,AND(COUNTA(V1107:X1107)=3,ISNUMBER(X1107))),0,1)+IF(OR(COUNTA(Y1107:AA1107)=0,AND(COUNTA(Y1107:AA1107)=3,ISNUMBER(AA1107))),0,1)+IF(OR(COUNTA(AB1107:AD1107)=0,AND(COUNTA(AB1107:AD1107)=3,ISNUMBER(AD1107))),0,1)+IF(OR(COUNTA(AE1107:AG1107)=0,AND(COUNTA(AE1107:AG1107)=3,ISNUMBER(AG1107))),0,1)+IF(OR(COUNTA(AH1107:AJ1107)=0,AND(COUNTA(AH1107:AJ1107)=3,ISNUMBER(AJ1107))),0,1)+IF(OR(COUNTA(AK1107:AM1107)=0,AND(COUNTA(AK1107:AM1107)=3,ISNUMBER(AM1107))),0,1)+IF(OR(COUNTA(AN1107:AP1107)=0,AND(COUNTA(AN1107:AP1107)=3,ISNUMBER(AP1107))),0,1)+IF(OR(COUNTA(AQ1107:AS1107)=0,AND(COUNTA(AQ1107:AS1107)=3,ISNUMBER(AS1107))),0,1)+IF(OR(COUNTA(AT1107:AV1107)=0,AND(COUNTA(AT1107:AV1107)=3,ISNUMBER(AV1107))),0,1)+IF(OR(COUNTA(AW1107:AY1107)=0,AND(COUNTA(AW1107:AY1107)=3,ISNUMBER(AY1107))),0,1)+IF(OR(COUNTA(AZ1107:BB1107)=0,AND(COUNTA(AZ1107:BB1107)=3,ISNUMBER(BB1107))),0,1))&gt;0,"; An invoice is incomplete (needs No, Date and a number in Ex GST)","")&amp;IF((IF(T1107="",0,IFERROR(--(EOMONTH(T1107,0)&lt;&gt;S$5),1))+IF(W1107="",0,IFERROR(--(EOMONTH(W1107,0)&lt;&gt;V$5),1))+IF(Z1107="",0,IFERROR(--(EOMONTH(Z1107,0)&lt;&gt;Y$5),1))+IF(AC1107="",0,IFERROR(--(EOMONTH(AC1107,0)&lt;&gt;AB$5),1))+IF(AF1107="",0,IFERROR(--(EOMONTH(AF1107,0)&lt;&gt;AE$5),1))+IF(AI1107="",0,IFERROR(--(EOMONTH(AI1107,0)&lt;&gt;AH$5),1))+IF(AL1107="",0,IFERROR(--(EOMONTH(AL1107,0)&lt;&gt;AK$5),1))+IF(AO1107="",0,IFERROR(--(EOMONTH(AO1107,0)&lt;&gt;AN$5),1))+IF(AR1107="",0,IFERROR(--(EOMONTH(AR1107,0)&lt;&gt;AQ$5),1))+IF(AU1107="",0,IFERROR(--(EOMONTH(AU1107,0)&lt;&gt;AT$5),1))+IF(AX1107="",0,IFERROR(--(EOMONTH(AX1107,0)&lt;&gt;AW$5),1))+IF(BA1107="",0,IFERROR(--(EOMONTH(BA1107,0)&lt;&gt;AZ$5),1)))&gt;0,"; An invoice date is not in the month it is typed under",""),3,500))</f>
        <v/>
      </c>
      <c r="S1107" s="12" t="n"/>
      <c r="T1107" s="13" t="n"/>
      <c r="U1107" s="14" t="n"/>
      <c r="V1107" s="12" t="n"/>
      <c r="W1107" s="13" t="n"/>
      <c r="X1107" s="14" t="n"/>
      <c r="Y1107" s="12" t="n"/>
      <c r="Z1107" s="13" t="n"/>
      <c r="AA1107" s="14" t="n"/>
      <c r="AB1107" s="12" t="n"/>
      <c r="AC1107" s="13" t="n"/>
      <c r="AD1107" s="14" t="n"/>
      <c r="AE1107" s="12" t="n"/>
      <c r="AF1107" s="13" t="n"/>
      <c r="AG1107" s="14" t="n"/>
      <c r="AH1107" s="12" t="n"/>
      <c r="AI1107" s="13" t="n"/>
      <c r="AJ1107" s="14" t="n"/>
      <c r="AK1107" s="12" t="n"/>
      <c r="AL1107" s="13" t="n"/>
      <c r="AM1107" s="14" t="n"/>
      <c r="AN1107" s="12" t="n"/>
      <c r="AO1107" s="13" t="n"/>
      <c r="AP1107" s="14" t="n"/>
      <c r="AQ1107" s="12" t="n"/>
      <c r="AR1107" s="13" t="n"/>
      <c r="AS1107" s="14" t="n"/>
      <c r="AT1107" s="12" t="n"/>
      <c r="AU1107" s="13" t="n"/>
      <c r="AV1107" s="14" t="n"/>
      <c r="AW1107" s="12" t="n"/>
      <c r="AX1107" s="13" t="n"/>
      <c r="AY1107" s="14" t="n"/>
      <c r="AZ1107" s="12" t="n"/>
      <c r="BA1107" s="13" t="n"/>
      <c r="BB1107" s="14" t="n"/>
      <c r="BC1107" s="11">
        <f>IF(O1107="","",IF(J1107="GST 10%",ROUND(O1107*set_GSTRate,2),0))</f>
        <v/>
      </c>
      <c r="BD1107" s="11">
        <f>IF(O1107="","",O1107+BC1107)</f>
        <v/>
      </c>
      <c r="BE1107" s="15">
        <f>IF(O1107="","",COUNTA(S1107,V1107,Y1107,AB1107,AE1107,AH1107,AK1107,AN1107,AQ1107,AT1107,AW1107,AZ1107))</f>
        <v/>
      </c>
      <c r="BF1107" s="16">
        <f>IF(COUNT(T1107,W1107,Z1107,AC1107,AF1107,AI1107,AL1107,AO1107,AR1107,AU1107,AX1107,BA1107)=0,"",MAX(T1107,W1107,Z1107,AC1107,AF1107,AI1107,AL1107,AO1107,AR1107,AU1107,AX1107,BA1107))</f>
        <v/>
      </c>
      <c r="BG1107" s="10">
        <f>MID(IF(S1107="","",", "&amp;S1107)&amp;IF(V1107="","",", "&amp;V1107)&amp;IF(Y1107="","",", "&amp;Y1107)&amp;IF(AB1107="","",", "&amp;AB1107)&amp;IF(AE1107="","",", "&amp;AE1107)&amp;IF(AH1107="","",", "&amp;AH1107)&amp;IF(AK1107="","",", "&amp;AK1107)&amp;IF(AN1107="","",", "&amp;AN1107)&amp;IF(AQ1107="","",", "&amp;AQ1107)&amp;IF(AT1107="","",", "&amp;AT1107)&amp;IF(AW1107="","",", "&amp;AW1107)&amp;IF(AZ1107="","",", "&amp;AZ1107),3,500)</f>
        <v/>
      </c>
      <c r="BH1107" s="12" t="n"/>
      <c r="BI1107" s="15">
        <f>IFERROR(MATCH($A1107,IF($B1107="Onsite",tbl_Onsite[Row ID],IF($B1107="Production",tbl_Production[Row ID],tbl_Consulting[Row ID])),0),"")</f>
        <v/>
      </c>
    </row>
    <row r="1108">
      <c r="A1108" s="10" t="inlineStr">
        <is>
          <t>CON-0102</t>
        </is>
      </c>
      <c r="B1108" s="10" t="inlineStr">
        <is>
          <t>Consulting</t>
        </is>
      </c>
      <c r="C1108" s="10">
        <f>IF($BI1108="","",IF($B1108="Onsite",INDEX(tbl_Onsite[Job Number],$BI1108),IF($B1108="Production",INDEX(tbl_Production[Job Number],$BI1108),INDEX(tbl_Consulting[Job Number],$BI1108)))&amp;"")</f>
        <v/>
      </c>
      <c r="D1108" s="10">
        <f>IF($BI1108="","",IF($B1108="Onsite",INDEX(tbl_Onsite[Client],$BI1108),IF($B1108="Production",INDEX(tbl_Production[Client],$BI1108),INDEX(tbl_Consulting[Client],$BI1108)))&amp;"")</f>
        <v/>
      </c>
      <c r="E1108" s="10">
        <f>IF($C1108="","",IF(COUNTIF(lst_Jobs,$C1108)&gt;0,"OK","CHECK"))</f>
        <v/>
      </c>
      <c r="F1108" s="10">
        <f>IF($C1108="","",IFERROR(INDEX(lst_JobName,MATCH($C1108,lst_Jobs,0)),""))</f>
        <v/>
      </c>
      <c r="G1108" s="10">
        <f>IF($BI1108="","",IF($B1108="Onsite",INDEX(tbl_Onsite[Job Description],$BI1108),IF($B1108="Production",INDEX(tbl_Production[Job Description],$BI1108),INDEX(tbl_Consulting[Job Description],$BI1108)))&amp;"")</f>
        <v/>
      </c>
      <c r="H1108" s="10">
        <f>IF($BI1108="","",IF($B1108="Onsite",INDEX(tbl_Onsite[Cost Centre],$BI1108),IF($B1108="Production",INDEX(tbl_Production[Cost Centre],$BI1108),INDEX(tbl_Consulting[Cost Centre],$BI1108)))&amp;"")</f>
        <v/>
      </c>
      <c r="I1108" s="10">
        <f>IF($BI1108="","",IF($B1108="Onsite",INDEX(tbl_Onsite[Invoice Type],$BI1108),IF($B1108="Production",INDEX(tbl_Production[Invoice Type],$BI1108),INDEX(tbl_Consulting[Invoice Type],$BI1108)))&amp;"")</f>
        <v/>
      </c>
      <c r="J1108" s="10">
        <f>IF($BI1108="","",IF($B1108="Onsite",INDEX(tbl_Onsite[Tax Code],$BI1108),IF($B1108="Production",INDEX(tbl_Production[Tax Code],$BI1108),INDEX(tbl_Consulting[Tax Code],$BI1108)))&amp;"")</f>
        <v/>
      </c>
      <c r="K1108" s="10">
        <f>IF(H1108="","",IFERROR(INDEX(lst_CCtoGL,MATCH(H1108,lst_CCforGL,0)),""))</f>
        <v/>
      </c>
      <c r="L1108" s="10">
        <f>IF($BI1108="","",IF($B1108="Onsite",INDEX(tbl_Onsite[PO / Reference],$BI1108),IF($B1108="Production",INDEX(tbl_Production[Current RMS No],$BI1108),INDEX(tbl_Consulting[Qwilr Quote],$BI1108)))&amp;"")</f>
        <v/>
      </c>
      <c r="M1108" s="10">
        <f>IF($BI1108="","",IF($B1108="Onsite",INDEX(tbl_Onsite[Notes],$BI1108),IF($B1108="Production",INDEX(tbl_Production[Notes],$BI1108),INDEX(tbl_Consulting[Notes],$BI1108)))&amp;"")</f>
        <v/>
      </c>
      <c r="N1108" s="11">
        <f>IF($BI1108="","",IF(IF($B1108="Onsite",INDEX(tbl_Onsite[Expected Revenue Ex GST],$BI1108),IF($B1108="Production",INDEX(tbl_Production[Expected Revenue Ex GST],$BI1108),INDEX(tbl_Consulting[Expected Revenue Ex GST],$BI1108)))="","",IF($B1108="Onsite",INDEX(tbl_Onsite[Expected Revenue Ex GST],$BI1108),IF($B1108="Production",INDEX(tbl_Production[Expected Revenue Ex GST],$BI1108),INDEX(tbl_Consulting[Expected Revenue Ex GST],$BI1108)))))</f>
        <v/>
      </c>
      <c r="O1108" s="11">
        <f>IF(AND($C1108="",NOT(COUNTA($S1108:$BB1108)&gt;0)),"",SUM(U1108,X1108,AA1108,AD1108,AG1108,AJ1108,AM1108,AP1108,AS1108,AV1108,AY1108,BB1108))</f>
        <v/>
      </c>
      <c r="P1108" s="11">
        <f>IF(O1108="","",N(N1108)-O1108)</f>
        <v/>
      </c>
      <c r="Q1108" s="10">
        <f>IF(O1108="","",IF($C1108="","Invoice on empty job row",IF(N1108="",IF(ROUND(O1108,2)=0,"No dept value","Invoiced - no dept value"),IF(ROUND(O1108,2)=0,"Not invoiced - to invoice",IF(ROUND(P1108,2)=0,"Agrees",IF(P1108&gt;0,"Dept higher - to invoice","Xero higher - check dept"))))))</f>
        <v/>
      </c>
      <c r="R1108" s="10">
        <f>IF(AND($C1108="",NOT(COUNTA($S1108:$BB1108)&gt;0),$BI1108&lt;&gt;""),"",MID(IF($BI1108="","; Row ID not found on the department sheet - a row was deleted","")&amp;IF(AND($C1108="",COUNTA($S1108:$BB1108)&gt;0),"; Invoice entered but the department row has no job number","")&amp;IF(E1108="CHECK","; Job number not in the Xero job list","")&amp;IF(AND($C1108&lt;&gt;"",COUNTIF($C$7:$C$1506,$C1108)&gt;1),"; Job number on more than one row","")&amp;IF(AND($C1108&lt;&gt;"",H1108=""),"; Dept has not set a cost centre","")&amp;IF(AND($C1108&lt;&gt;"",J1108=""),"; Dept has not set a tax code","")&amp;IF(AND($C1108&lt;&gt;"",N1108=""),"; Dept has not entered an expected value","")&amp;IF((IF(OR(COUNTA(S1108:U1108)=0,AND(COUNTA(S1108:U1108)=3,ISNUMBER(U1108))),0,1)+IF(OR(COUNTA(V1108:X1108)=0,AND(COUNTA(V1108:X1108)=3,ISNUMBER(X1108))),0,1)+IF(OR(COUNTA(Y1108:AA1108)=0,AND(COUNTA(Y1108:AA1108)=3,ISNUMBER(AA1108))),0,1)+IF(OR(COUNTA(AB1108:AD1108)=0,AND(COUNTA(AB1108:AD1108)=3,ISNUMBER(AD1108))),0,1)+IF(OR(COUNTA(AE1108:AG1108)=0,AND(COUNTA(AE1108:AG1108)=3,ISNUMBER(AG1108))),0,1)+IF(OR(COUNTA(AH1108:AJ1108)=0,AND(COUNTA(AH1108:AJ1108)=3,ISNUMBER(AJ1108))),0,1)+IF(OR(COUNTA(AK1108:AM1108)=0,AND(COUNTA(AK1108:AM1108)=3,ISNUMBER(AM1108))),0,1)+IF(OR(COUNTA(AN1108:AP1108)=0,AND(COUNTA(AN1108:AP1108)=3,ISNUMBER(AP1108))),0,1)+IF(OR(COUNTA(AQ1108:AS1108)=0,AND(COUNTA(AQ1108:AS1108)=3,ISNUMBER(AS1108))),0,1)+IF(OR(COUNTA(AT1108:AV1108)=0,AND(COUNTA(AT1108:AV1108)=3,ISNUMBER(AV1108))),0,1)+IF(OR(COUNTA(AW1108:AY1108)=0,AND(COUNTA(AW1108:AY1108)=3,ISNUMBER(AY1108))),0,1)+IF(OR(COUNTA(AZ1108:BB1108)=0,AND(COUNTA(AZ1108:BB1108)=3,ISNUMBER(BB1108))),0,1))&gt;0,"; An invoice is incomplete (needs No, Date and a number in Ex GST)","")&amp;IF((IF(T1108="",0,IFERROR(--(EOMONTH(T1108,0)&lt;&gt;S$5),1))+IF(W1108="",0,IFERROR(--(EOMONTH(W1108,0)&lt;&gt;V$5),1))+IF(Z1108="",0,IFERROR(--(EOMONTH(Z1108,0)&lt;&gt;Y$5),1))+IF(AC1108="",0,IFERROR(--(EOMONTH(AC1108,0)&lt;&gt;AB$5),1))+IF(AF1108="",0,IFERROR(--(EOMONTH(AF1108,0)&lt;&gt;AE$5),1))+IF(AI1108="",0,IFERROR(--(EOMONTH(AI1108,0)&lt;&gt;AH$5),1))+IF(AL1108="",0,IFERROR(--(EOMONTH(AL1108,0)&lt;&gt;AK$5),1))+IF(AO1108="",0,IFERROR(--(EOMONTH(AO1108,0)&lt;&gt;AN$5),1))+IF(AR1108="",0,IFERROR(--(EOMONTH(AR1108,0)&lt;&gt;AQ$5),1))+IF(AU1108="",0,IFERROR(--(EOMONTH(AU1108,0)&lt;&gt;AT$5),1))+IF(AX1108="",0,IFERROR(--(EOMONTH(AX1108,0)&lt;&gt;AW$5),1))+IF(BA1108="",0,IFERROR(--(EOMONTH(BA1108,0)&lt;&gt;AZ$5),1)))&gt;0,"; An invoice date is not in the month it is typed under",""),3,500))</f>
        <v/>
      </c>
      <c r="S1108" s="12" t="n"/>
      <c r="T1108" s="13" t="n"/>
      <c r="U1108" s="14" t="n"/>
      <c r="V1108" s="12" t="n"/>
      <c r="W1108" s="13" t="n"/>
      <c r="X1108" s="14" t="n"/>
      <c r="Y1108" s="12" t="n"/>
      <c r="Z1108" s="13" t="n"/>
      <c r="AA1108" s="14" t="n"/>
      <c r="AB1108" s="12" t="n"/>
      <c r="AC1108" s="13" t="n"/>
      <c r="AD1108" s="14" t="n"/>
      <c r="AE1108" s="12" t="n"/>
      <c r="AF1108" s="13" t="n"/>
      <c r="AG1108" s="14" t="n"/>
      <c r="AH1108" s="12" t="n"/>
      <c r="AI1108" s="13" t="n"/>
      <c r="AJ1108" s="14" t="n"/>
      <c r="AK1108" s="12" t="n"/>
      <c r="AL1108" s="13" t="n"/>
      <c r="AM1108" s="14" t="n"/>
      <c r="AN1108" s="12" t="n"/>
      <c r="AO1108" s="13" t="n"/>
      <c r="AP1108" s="14" t="n"/>
      <c r="AQ1108" s="12" t="n"/>
      <c r="AR1108" s="13" t="n"/>
      <c r="AS1108" s="14" t="n"/>
      <c r="AT1108" s="12" t="n"/>
      <c r="AU1108" s="13" t="n"/>
      <c r="AV1108" s="14" t="n"/>
      <c r="AW1108" s="12" t="n"/>
      <c r="AX1108" s="13" t="n"/>
      <c r="AY1108" s="14" t="n"/>
      <c r="AZ1108" s="12" t="n"/>
      <c r="BA1108" s="13" t="n"/>
      <c r="BB1108" s="14" t="n"/>
      <c r="BC1108" s="11">
        <f>IF(O1108="","",IF(J1108="GST 10%",ROUND(O1108*set_GSTRate,2),0))</f>
        <v/>
      </c>
      <c r="BD1108" s="11">
        <f>IF(O1108="","",O1108+BC1108)</f>
        <v/>
      </c>
      <c r="BE1108" s="15">
        <f>IF(O1108="","",COUNTA(S1108,V1108,Y1108,AB1108,AE1108,AH1108,AK1108,AN1108,AQ1108,AT1108,AW1108,AZ1108))</f>
        <v/>
      </c>
      <c r="BF1108" s="16">
        <f>IF(COUNT(T1108,W1108,Z1108,AC1108,AF1108,AI1108,AL1108,AO1108,AR1108,AU1108,AX1108,BA1108)=0,"",MAX(T1108,W1108,Z1108,AC1108,AF1108,AI1108,AL1108,AO1108,AR1108,AU1108,AX1108,BA1108))</f>
        <v/>
      </c>
      <c r="BG1108" s="10">
        <f>MID(IF(S1108="","",", "&amp;S1108)&amp;IF(V1108="","",", "&amp;V1108)&amp;IF(Y1108="","",", "&amp;Y1108)&amp;IF(AB1108="","",", "&amp;AB1108)&amp;IF(AE1108="","",", "&amp;AE1108)&amp;IF(AH1108="","",", "&amp;AH1108)&amp;IF(AK1108="","",", "&amp;AK1108)&amp;IF(AN1108="","",", "&amp;AN1108)&amp;IF(AQ1108="","",", "&amp;AQ1108)&amp;IF(AT1108="","",", "&amp;AT1108)&amp;IF(AW1108="","",", "&amp;AW1108)&amp;IF(AZ1108="","",", "&amp;AZ1108),3,500)</f>
        <v/>
      </c>
      <c r="BH1108" s="12" t="n"/>
      <c r="BI1108" s="15">
        <f>IFERROR(MATCH($A1108,IF($B1108="Onsite",tbl_Onsite[Row ID],IF($B1108="Production",tbl_Production[Row ID],tbl_Consulting[Row ID])),0),"")</f>
        <v/>
      </c>
    </row>
    <row r="1109">
      <c r="A1109" s="10" t="inlineStr">
        <is>
          <t>CON-0103</t>
        </is>
      </c>
      <c r="B1109" s="10" t="inlineStr">
        <is>
          <t>Consulting</t>
        </is>
      </c>
      <c r="C1109" s="10">
        <f>IF($BI1109="","",IF($B1109="Onsite",INDEX(tbl_Onsite[Job Number],$BI1109),IF($B1109="Production",INDEX(tbl_Production[Job Number],$BI1109),INDEX(tbl_Consulting[Job Number],$BI1109)))&amp;"")</f>
        <v/>
      </c>
      <c r="D1109" s="10">
        <f>IF($BI1109="","",IF($B1109="Onsite",INDEX(tbl_Onsite[Client],$BI1109),IF($B1109="Production",INDEX(tbl_Production[Client],$BI1109),INDEX(tbl_Consulting[Client],$BI1109)))&amp;"")</f>
        <v/>
      </c>
      <c r="E1109" s="10">
        <f>IF($C1109="","",IF(COUNTIF(lst_Jobs,$C1109)&gt;0,"OK","CHECK"))</f>
        <v/>
      </c>
      <c r="F1109" s="10">
        <f>IF($C1109="","",IFERROR(INDEX(lst_JobName,MATCH($C1109,lst_Jobs,0)),""))</f>
        <v/>
      </c>
      <c r="G1109" s="10">
        <f>IF($BI1109="","",IF($B1109="Onsite",INDEX(tbl_Onsite[Job Description],$BI1109),IF($B1109="Production",INDEX(tbl_Production[Job Description],$BI1109),INDEX(tbl_Consulting[Job Description],$BI1109)))&amp;"")</f>
        <v/>
      </c>
      <c r="H1109" s="10">
        <f>IF($BI1109="","",IF($B1109="Onsite",INDEX(tbl_Onsite[Cost Centre],$BI1109),IF($B1109="Production",INDEX(tbl_Production[Cost Centre],$BI1109),INDEX(tbl_Consulting[Cost Centre],$BI1109)))&amp;"")</f>
        <v/>
      </c>
      <c r="I1109" s="10">
        <f>IF($BI1109="","",IF($B1109="Onsite",INDEX(tbl_Onsite[Invoice Type],$BI1109),IF($B1109="Production",INDEX(tbl_Production[Invoice Type],$BI1109),INDEX(tbl_Consulting[Invoice Type],$BI1109)))&amp;"")</f>
        <v/>
      </c>
      <c r="J1109" s="10">
        <f>IF($BI1109="","",IF($B1109="Onsite",INDEX(tbl_Onsite[Tax Code],$BI1109),IF($B1109="Production",INDEX(tbl_Production[Tax Code],$BI1109),INDEX(tbl_Consulting[Tax Code],$BI1109)))&amp;"")</f>
        <v/>
      </c>
      <c r="K1109" s="10">
        <f>IF(H1109="","",IFERROR(INDEX(lst_CCtoGL,MATCH(H1109,lst_CCforGL,0)),""))</f>
        <v/>
      </c>
      <c r="L1109" s="10">
        <f>IF($BI1109="","",IF($B1109="Onsite",INDEX(tbl_Onsite[PO / Reference],$BI1109),IF($B1109="Production",INDEX(tbl_Production[Current RMS No],$BI1109),INDEX(tbl_Consulting[Qwilr Quote],$BI1109)))&amp;"")</f>
        <v/>
      </c>
      <c r="M1109" s="10">
        <f>IF($BI1109="","",IF($B1109="Onsite",INDEX(tbl_Onsite[Notes],$BI1109),IF($B1109="Production",INDEX(tbl_Production[Notes],$BI1109),INDEX(tbl_Consulting[Notes],$BI1109)))&amp;"")</f>
        <v/>
      </c>
      <c r="N1109" s="11">
        <f>IF($BI1109="","",IF(IF($B1109="Onsite",INDEX(tbl_Onsite[Expected Revenue Ex GST],$BI1109),IF($B1109="Production",INDEX(tbl_Production[Expected Revenue Ex GST],$BI1109),INDEX(tbl_Consulting[Expected Revenue Ex GST],$BI1109)))="","",IF($B1109="Onsite",INDEX(tbl_Onsite[Expected Revenue Ex GST],$BI1109),IF($B1109="Production",INDEX(tbl_Production[Expected Revenue Ex GST],$BI1109),INDEX(tbl_Consulting[Expected Revenue Ex GST],$BI1109)))))</f>
        <v/>
      </c>
      <c r="O1109" s="11">
        <f>IF(AND($C1109="",NOT(COUNTA($S1109:$BB1109)&gt;0)),"",SUM(U1109,X1109,AA1109,AD1109,AG1109,AJ1109,AM1109,AP1109,AS1109,AV1109,AY1109,BB1109))</f>
        <v/>
      </c>
      <c r="P1109" s="11">
        <f>IF(O1109="","",N(N1109)-O1109)</f>
        <v/>
      </c>
      <c r="Q1109" s="10">
        <f>IF(O1109="","",IF($C1109="","Invoice on empty job row",IF(N1109="",IF(ROUND(O1109,2)=0,"No dept value","Invoiced - no dept value"),IF(ROUND(O1109,2)=0,"Not invoiced - to invoice",IF(ROUND(P1109,2)=0,"Agrees",IF(P1109&gt;0,"Dept higher - to invoice","Xero higher - check dept"))))))</f>
        <v/>
      </c>
      <c r="R1109" s="10">
        <f>IF(AND($C1109="",NOT(COUNTA($S1109:$BB1109)&gt;0),$BI1109&lt;&gt;""),"",MID(IF($BI1109="","; Row ID not found on the department sheet - a row was deleted","")&amp;IF(AND($C1109="",COUNTA($S1109:$BB1109)&gt;0),"; Invoice entered but the department row has no job number","")&amp;IF(E1109="CHECK","; Job number not in the Xero job list","")&amp;IF(AND($C1109&lt;&gt;"",COUNTIF($C$7:$C$1506,$C1109)&gt;1),"; Job number on more than one row","")&amp;IF(AND($C1109&lt;&gt;"",H1109=""),"; Dept has not set a cost centre","")&amp;IF(AND($C1109&lt;&gt;"",J1109=""),"; Dept has not set a tax code","")&amp;IF(AND($C1109&lt;&gt;"",N1109=""),"; Dept has not entered an expected value","")&amp;IF((IF(OR(COUNTA(S1109:U1109)=0,AND(COUNTA(S1109:U1109)=3,ISNUMBER(U1109))),0,1)+IF(OR(COUNTA(V1109:X1109)=0,AND(COUNTA(V1109:X1109)=3,ISNUMBER(X1109))),0,1)+IF(OR(COUNTA(Y1109:AA1109)=0,AND(COUNTA(Y1109:AA1109)=3,ISNUMBER(AA1109))),0,1)+IF(OR(COUNTA(AB1109:AD1109)=0,AND(COUNTA(AB1109:AD1109)=3,ISNUMBER(AD1109))),0,1)+IF(OR(COUNTA(AE1109:AG1109)=0,AND(COUNTA(AE1109:AG1109)=3,ISNUMBER(AG1109))),0,1)+IF(OR(COUNTA(AH1109:AJ1109)=0,AND(COUNTA(AH1109:AJ1109)=3,ISNUMBER(AJ1109))),0,1)+IF(OR(COUNTA(AK1109:AM1109)=0,AND(COUNTA(AK1109:AM1109)=3,ISNUMBER(AM1109))),0,1)+IF(OR(COUNTA(AN1109:AP1109)=0,AND(COUNTA(AN1109:AP1109)=3,ISNUMBER(AP1109))),0,1)+IF(OR(COUNTA(AQ1109:AS1109)=0,AND(COUNTA(AQ1109:AS1109)=3,ISNUMBER(AS1109))),0,1)+IF(OR(COUNTA(AT1109:AV1109)=0,AND(COUNTA(AT1109:AV1109)=3,ISNUMBER(AV1109))),0,1)+IF(OR(COUNTA(AW1109:AY1109)=0,AND(COUNTA(AW1109:AY1109)=3,ISNUMBER(AY1109))),0,1)+IF(OR(COUNTA(AZ1109:BB1109)=0,AND(COUNTA(AZ1109:BB1109)=3,ISNUMBER(BB1109))),0,1))&gt;0,"; An invoice is incomplete (needs No, Date and a number in Ex GST)","")&amp;IF((IF(T1109="",0,IFERROR(--(EOMONTH(T1109,0)&lt;&gt;S$5),1))+IF(W1109="",0,IFERROR(--(EOMONTH(W1109,0)&lt;&gt;V$5),1))+IF(Z1109="",0,IFERROR(--(EOMONTH(Z1109,0)&lt;&gt;Y$5),1))+IF(AC1109="",0,IFERROR(--(EOMONTH(AC1109,0)&lt;&gt;AB$5),1))+IF(AF1109="",0,IFERROR(--(EOMONTH(AF1109,0)&lt;&gt;AE$5),1))+IF(AI1109="",0,IFERROR(--(EOMONTH(AI1109,0)&lt;&gt;AH$5),1))+IF(AL1109="",0,IFERROR(--(EOMONTH(AL1109,0)&lt;&gt;AK$5),1))+IF(AO1109="",0,IFERROR(--(EOMONTH(AO1109,0)&lt;&gt;AN$5),1))+IF(AR1109="",0,IFERROR(--(EOMONTH(AR1109,0)&lt;&gt;AQ$5),1))+IF(AU1109="",0,IFERROR(--(EOMONTH(AU1109,0)&lt;&gt;AT$5),1))+IF(AX1109="",0,IFERROR(--(EOMONTH(AX1109,0)&lt;&gt;AW$5),1))+IF(BA1109="",0,IFERROR(--(EOMONTH(BA1109,0)&lt;&gt;AZ$5),1)))&gt;0,"; An invoice date is not in the month it is typed under",""),3,500))</f>
        <v/>
      </c>
      <c r="S1109" s="12" t="n"/>
      <c r="T1109" s="13" t="n"/>
      <c r="U1109" s="14" t="n"/>
      <c r="V1109" s="12" t="n"/>
      <c r="W1109" s="13" t="n"/>
      <c r="X1109" s="14" t="n"/>
      <c r="Y1109" s="12" t="n"/>
      <c r="Z1109" s="13" t="n"/>
      <c r="AA1109" s="14" t="n"/>
      <c r="AB1109" s="12" t="n"/>
      <c r="AC1109" s="13" t="n"/>
      <c r="AD1109" s="14" t="n"/>
      <c r="AE1109" s="12" t="n"/>
      <c r="AF1109" s="13" t="n"/>
      <c r="AG1109" s="14" t="n"/>
      <c r="AH1109" s="12" t="n"/>
      <c r="AI1109" s="13" t="n"/>
      <c r="AJ1109" s="14" t="n"/>
      <c r="AK1109" s="12" t="n"/>
      <c r="AL1109" s="13" t="n"/>
      <c r="AM1109" s="14" t="n"/>
      <c r="AN1109" s="12" t="n"/>
      <c r="AO1109" s="13" t="n"/>
      <c r="AP1109" s="14" t="n"/>
      <c r="AQ1109" s="12" t="n"/>
      <c r="AR1109" s="13" t="n"/>
      <c r="AS1109" s="14" t="n"/>
      <c r="AT1109" s="12" t="n"/>
      <c r="AU1109" s="13" t="n"/>
      <c r="AV1109" s="14" t="n"/>
      <c r="AW1109" s="12" t="n"/>
      <c r="AX1109" s="13" t="n"/>
      <c r="AY1109" s="14" t="n"/>
      <c r="AZ1109" s="12" t="n"/>
      <c r="BA1109" s="13" t="n"/>
      <c r="BB1109" s="14" t="n"/>
      <c r="BC1109" s="11">
        <f>IF(O1109="","",IF(J1109="GST 10%",ROUND(O1109*set_GSTRate,2),0))</f>
        <v/>
      </c>
      <c r="BD1109" s="11">
        <f>IF(O1109="","",O1109+BC1109)</f>
        <v/>
      </c>
      <c r="BE1109" s="15">
        <f>IF(O1109="","",COUNTA(S1109,V1109,Y1109,AB1109,AE1109,AH1109,AK1109,AN1109,AQ1109,AT1109,AW1109,AZ1109))</f>
        <v/>
      </c>
      <c r="BF1109" s="16">
        <f>IF(COUNT(T1109,W1109,Z1109,AC1109,AF1109,AI1109,AL1109,AO1109,AR1109,AU1109,AX1109,BA1109)=0,"",MAX(T1109,W1109,Z1109,AC1109,AF1109,AI1109,AL1109,AO1109,AR1109,AU1109,AX1109,BA1109))</f>
        <v/>
      </c>
      <c r="BG1109" s="10">
        <f>MID(IF(S1109="","",", "&amp;S1109)&amp;IF(V1109="","",", "&amp;V1109)&amp;IF(Y1109="","",", "&amp;Y1109)&amp;IF(AB1109="","",", "&amp;AB1109)&amp;IF(AE1109="","",", "&amp;AE1109)&amp;IF(AH1109="","",", "&amp;AH1109)&amp;IF(AK1109="","",", "&amp;AK1109)&amp;IF(AN1109="","",", "&amp;AN1109)&amp;IF(AQ1109="","",", "&amp;AQ1109)&amp;IF(AT1109="","",", "&amp;AT1109)&amp;IF(AW1109="","",", "&amp;AW1109)&amp;IF(AZ1109="","",", "&amp;AZ1109),3,500)</f>
        <v/>
      </c>
      <c r="BH1109" s="12" t="n"/>
      <c r="BI1109" s="15">
        <f>IFERROR(MATCH($A1109,IF($B1109="Onsite",tbl_Onsite[Row ID],IF($B1109="Production",tbl_Production[Row ID],tbl_Consulting[Row ID])),0),"")</f>
        <v/>
      </c>
    </row>
    <row r="1110">
      <c r="A1110" s="10" t="inlineStr">
        <is>
          <t>CON-0104</t>
        </is>
      </c>
      <c r="B1110" s="10" t="inlineStr">
        <is>
          <t>Consulting</t>
        </is>
      </c>
      <c r="C1110" s="10">
        <f>IF($BI1110="","",IF($B1110="Onsite",INDEX(tbl_Onsite[Job Number],$BI1110),IF($B1110="Production",INDEX(tbl_Production[Job Number],$BI1110),INDEX(tbl_Consulting[Job Number],$BI1110)))&amp;"")</f>
        <v/>
      </c>
      <c r="D1110" s="10">
        <f>IF($BI1110="","",IF($B1110="Onsite",INDEX(tbl_Onsite[Client],$BI1110),IF($B1110="Production",INDEX(tbl_Production[Client],$BI1110),INDEX(tbl_Consulting[Client],$BI1110)))&amp;"")</f>
        <v/>
      </c>
      <c r="E1110" s="10">
        <f>IF($C1110="","",IF(COUNTIF(lst_Jobs,$C1110)&gt;0,"OK","CHECK"))</f>
        <v/>
      </c>
      <c r="F1110" s="10">
        <f>IF($C1110="","",IFERROR(INDEX(lst_JobName,MATCH($C1110,lst_Jobs,0)),""))</f>
        <v/>
      </c>
      <c r="G1110" s="10">
        <f>IF($BI1110="","",IF($B1110="Onsite",INDEX(tbl_Onsite[Job Description],$BI1110),IF($B1110="Production",INDEX(tbl_Production[Job Description],$BI1110),INDEX(tbl_Consulting[Job Description],$BI1110)))&amp;"")</f>
        <v/>
      </c>
      <c r="H1110" s="10">
        <f>IF($BI1110="","",IF($B1110="Onsite",INDEX(tbl_Onsite[Cost Centre],$BI1110),IF($B1110="Production",INDEX(tbl_Production[Cost Centre],$BI1110),INDEX(tbl_Consulting[Cost Centre],$BI1110)))&amp;"")</f>
        <v/>
      </c>
      <c r="I1110" s="10">
        <f>IF($BI1110="","",IF($B1110="Onsite",INDEX(tbl_Onsite[Invoice Type],$BI1110),IF($B1110="Production",INDEX(tbl_Production[Invoice Type],$BI1110),INDEX(tbl_Consulting[Invoice Type],$BI1110)))&amp;"")</f>
        <v/>
      </c>
      <c r="J1110" s="10">
        <f>IF($BI1110="","",IF($B1110="Onsite",INDEX(tbl_Onsite[Tax Code],$BI1110),IF($B1110="Production",INDEX(tbl_Production[Tax Code],$BI1110),INDEX(tbl_Consulting[Tax Code],$BI1110)))&amp;"")</f>
        <v/>
      </c>
      <c r="K1110" s="10">
        <f>IF(H1110="","",IFERROR(INDEX(lst_CCtoGL,MATCH(H1110,lst_CCforGL,0)),""))</f>
        <v/>
      </c>
      <c r="L1110" s="10">
        <f>IF($BI1110="","",IF($B1110="Onsite",INDEX(tbl_Onsite[PO / Reference],$BI1110),IF($B1110="Production",INDEX(tbl_Production[Current RMS No],$BI1110),INDEX(tbl_Consulting[Qwilr Quote],$BI1110)))&amp;"")</f>
        <v/>
      </c>
      <c r="M1110" s="10">
        <f>IF($BI1110="","",IF($B1110="Onsite",INDEX(tbl_Onsite[Notes],$BI1110),IF($B1110="Production",INDEX(tbl_Production[Notes],$BI1110),INDEX(tbl_Consulting[Notes],$BI1110)))&amp;"")</f>
        <v/>
      </c>
      <c r="N1110" s="11">
        <f>IF($BI1110="","",IF(IF($B1110="Onsite",INDEX(tbl_Onsite[Expected Revenue Ex GST],$BI1110),IF($B1110="Production",INDEX(tbl_Production[Expected Revenue Ex GST],$BI1110),INDEX(tbl_Consulting[Expected Revenue Ex GST],$BI1110)))="","",IF($B1110="Onsite",INDEX(tbl_Onsite[Expected Revenue Ex GST],$BI1110),IF($B1110="Production",INDEX(tbl_Production[Expected Revenue Ex GST],$BI1110),INDEX(tbl_Consulting[Expected Revenue Ex GST],$BI1110)))))</f>
        <v/>
      </c>
      <c r="O1110" s="11">
        <f>IF(AND($C1110="",NOT(COUNTA($S1110:$BB1110)&gt;0)),"",SUM(U1110,X1110,AA1110,AD1110,AG1110,AJ1110,AM1110,AP1110,AS1110,AV1110,AY1110,BB1110))</f>
        <v/>
      </c>
      <c r="P1110" s="11">
        <f>IF(O1110="","",N(N1110)-O1110)</f>
        <v/>
      </c>
      <c r="Q1110" s="10">
        <f>IF(O1110="","",IF($C1110="","Invoice on empty job row",IF(N1110="",IF(ROUND(O1110,2)=0,"No dept value","Invoiced - no dept value"),IF(ROUND(O1110,2)=0,"Not invoiced - to invoice",IF(ROUND(P1110,2)=0,"Agrees",IF(P1110&gt;0,"Dept higher - to invoice","Xero higher - check dept"))))))</f>
        <v/>
      </c>
      <c r="R1110" s="10">
        <f>IF(AND($C1110="",NOT(COUNTA($S1110:$BB1110)&gt;0),$BI1110&lt;&gt;""),"",MID(IF($BI1110="","; Row ID not found on the department sheet - a row was deleted","")&amp;IF(AND($C1110="",COUNTA($S1110:$BB1110)&gt;0),"; Invoice entered but the department row has no job number","")&amp;IF(E1110="CHECK","; Job number not in the Xero job list","")&amp;IF(AND($C1110&lt;&gt;"",COUNTIF($C$7:$C$1506,$C1110)&gt;1),"; Job number on more than one row","")&amp;IF(AND($C1110&lt;&gt;"",H1110=""),"; Dept has not set a cost centre","")&amp;IF(AND($C1110&lt;&gt;"",J1110=""),"; Dept has not set a tax code","")&amp;IF(AND($C1110&lt;&gt;"",N1110=""),"; Dept has not entered an expected value","")&amp;IF((IF(OR(COUNTA(S1110:U1110)=0,AND(COUNTA(S1110:U1110)=3,ISNUMBER(U1110))),0,1)+IF(OR(COUNTA(V1110:X1110)=0,AND(COUNTA(V1110:X1110)=3,ISNUMBER(X1110))),0,1)+IF(OR(COUNTA(Y1110:AA1110)=0,AND(COUNTA(Y1110:AA1110)=3,ISNUMBER(AA1110))),0,1)+IF(OR(COUNTA(AB1110:AD1110)=0,AND(COUNTA(AB1110:AD1110)=3,ISNUMBER(AD1110))),0,1)+IF(OR(COUNTA(AE1110:AG1110)=0,AND(COUNTA(AE1110:AG1110)=3,ISNUMBER(AG1110))),0,1)+IF(OR(COUNTA(AH1110:AJ1110)=0,AND(COUNTA(AH1110:AJ1110)=3,ISNUMBER(AJ1110))),0,1)+IF(OR(COUNTA(AK1110:AM1110)=0,AND(COUNTA(AK1110:AM1110)=3,ISNUMBER(AM1110))),0,1)+IF(OR(COUNTA(AN1110:AP1110)=0,AND(COUNTA(AN1110:AP1110)=3,ISNUMBER(AP1110))),0,1)+IF(OR(COUNTA(AQ1110:AS1110)=0,AND(COUNTA(AQ1110:AS1110)=3,ISNUMBER(AS1110))),0,1)+IF(OR(COUNTA(AT1110:AV1110)=0,AND(COUNTA(AT1110:AV1110)=3,ISNUMBER(AV1110))),0,1)+IF(OR(COUNTA(AW1110:AY1110)=0,AND(COUNTA(AW1110:AY1110)=3,ISNUMBER(AY1110))),0,1)+IF(OR(COUNTA(AZ1110:BB1110)=0,AND(COUNTA(AZ1110:BB1110)=3,ISNUMBER(BB1110))),0,1))&gt;0,"; An invoice is incomplete (needs No, Date and a number in Ex GST)","")&amp;IF((IF(T1110="",0,IFERROR(--(EOMONTH(T1110,0)&lt;&gt;S$5),1))+IF(W1110="",0,IFERROR(--(EOMONTH(W1110,0)&lt;&gt;V$5),1))+IF(Z1110="",0,IFERROR(--(EOMONTH(Z1110,0)&lt;&gt;Y$5),1))+IF(AC1110="",0,IFERROR(--(EOMONTH(AC1110,0)&lt;&gt;AB$5),1))+IF(AF1110="",0,IFERROR(--(EOMONTH(AF1110,0)&lt;&gt;AE$5),1))+IF(AI1110="",0,IFERROR(--(EOMONTH(AI1110,0)&lt;&gt;AH$5),1))+IF(AL1110="",0,IFERROR(--(EOMONTH(AL1110,0)&lt;&gt;AK$5),1))+IF(AO1110="",0,IFERROR(--(EOMONTH(AO1110,0)&lt;&gt;AN$5),1))+IF(AR1110="",0,IFERROR(--(EOMONTH(AR1110,0)&lt;&gt;AQ$5),1))+IF(AU1110="",0,IFERROR(--(EOMONTH(AU1110,0)&lt;&gt;AT$5),1))+IF(AX1110="",0,IFERROR(--(EOMONTH(AX1110,0)&lt;&gt;AW$5),1))+IF(BA1110="",0,IFERROR(--(EOMONTH(BA1110,0)&lt;&gt;AZ$5),1)))&gt;0,"; An invoice date is not in the month it is typed under",""),3,500))</f>
        <v/>
      </c>
      <c r="S1110" s="12" t="n"/>
      <c r="T1110" s="13" t="n"/>
      <c r="U1110" s="14" t="n"/>
      <c r="V1110" s="12" t="n"/>
      <c r="W1110" s="13" t="n"/>
      <c r="X1110" s="14" t="n"/>
      <c r="Y1110" s="12" t="n"/>
      <c r="Z1110" s="13" t="n"/>
      <c r="AA1110" s="14" t="n"/>
      <c r="AB1110" s="12" t="n"/>
      <c r="AC1110" s="13" t="n"/>
      <c r="AD1110" s="14" t="n"/>
      <c r="AE1110" s="12" t="n"/>
      <c r="AF1110" s="13" t="n"/>
      <c r="AG1110" s="14" t="n"/>
      <c r="AH1110" s="12" t="n"/>
      <c r="AI1110" s="13" t="n"/>
      <c r="AJ1110" s="14" t="n"/>
      <c r="AK1110" s="12" t="n"/>
      <c r="AL1110" s="13" t="n"/>
      <c r="AM1110" s="14" t="n"/>
      <c r="AN1110" s="12" t="n"/>
      <c r="AO1110" s="13" t="n"/>
      <c r="AP1110" s="14" t="n"/>
      <c r="AQ1110" s="12" t="n"/>
      <c r="AR1110" s="13" t="n"/>
      <c r="AS1110" s="14" t="n"/>
      <c r="AT1110" s="12" t="n"/>
      <c r="AU1110" s="13" t="n"/>
      <c r="AV1110" s="14" t="n"/>
      <c r="AW1110" s="12" t="n"/>
      <c r="AX1110" s="13" t="n"/>
      <c r="AY1110" s="14" t="n"/>
      <c r="AZ1110" s="12" t="n"/>
      <c r="BA1110" s="13" t="n"/>
      <c r="BB1110" s="14" t="n"/>
      <c r="BC1110" s="11">
        <f>IF(O1110="","",IF(J1110="GST 10%",ROUND(O1110*set_GSTRate,2),0))</f>
        <v/>
      </c>
      <c r="BD1110" s="11">
        <f>IF(O1110="","",O1110+BC1110)</f>
        <v/>
      </c>
      <c r="BE1110" s="15">
        <f>IF(O1110="","",COUNTA(S1110,V1110,Y1110,AB1110,AE1110,AH1110,AK1110,AN1110,AQ1110,AT1110,AW1110,AZ1110))</f>
        <v/>
      </c>
      <c r="BF1110" s="16">
        <f>IF(COUNT(T1110,W1110,Z1110,AC1110,AF1110,AI1110,AL1110,AO1110,AR1110,AU1110,AX1110,BA1110)=0,"",MAX(T1110,W1110,Z1110,AC1110,AF1110,AI1110,AL1110,AO1110,AR1110,AU1110,AX1110,BA1110))</f>
        <v/>
      </c>
      <c r="BG1110" s="10">
        <f>MID(IF(S1110="","",", "&amp;S1110)&amp;IF(V1110="","",", "&amp;V1110)&amp;IF(Y1110="","",", "&amp;Y1110)&amp;IF(AB1110="","",", "&amp;AB1110)&amp;IF(AE1110="","",", "&amp;AE1110)&amp;IF(AH1110="","",", "&amp;AH1110)&amp;IF(AK1110="","",", "&amp;AK1110)&amp;IF(AN1110="","",", "&amp;AN1110)&amp;IF(AQ1110="","",", "&amp;AQ1110)&amp;IF(AT1110="","",", "&amp;AT1110)&amp;IF(AW1110="","",", "&amp;AW1110)&amp;IF(AZ1110="","",", "&amp;AZ1110),3,500)</f>
        <v/>
      </c>
      <c r="BH1110" s="12" t="n"/>
      <c r="BI1110" s="15">
        <f>IFERROR(MATCH($A1110,IF($B1110="Onsite",tbl_Onsite[Row ID],IF($B1110="Production",tbl_Production[Row ID],tbl_Consulting[Row ID])),0),"")</f>
        <v/>
      </c>
    </row>
    <row r="1111">
      <c r="A1111" s="10" t="inlineStr">
        <is>
          <t>CON-0105</t>
        </is>
      </c>
      <c r="B1111" s="10" t="inlineStr">
        <is>
          <t>Consulting</t>
        </is>
      </c>
      <c r="C1111" s="10">
        <f>IF($BI1111="","",IF($B1111="Onsite",INDEX(tbl_Onsite[Job Number],$BI1111),IF($B1111="Production",INDEX(tbl_Production[Job Number],$BI1111),INDEX(tbl_Consulting[Job Number],$BI1111)))&amp;"")</f>
        <v/>
      </c>
      <c r="D1111" s="10">
        <f>IF($BI1111="","",IF($B1111="Onsite",INDEX(tbl_Onsite[Client],$BI1111),IF($B1111="Production",INDEX(tbl_Production[Client],$BI1111),INDEX(tbl_Consulting[Client],$BI1111)))&amp;"")</f>
        <v/>
      </c>
      <c r="E1111" s="10">
        <f>IF($C1111="","",IF(COUNTIF(lst_Jobs,$C1111)&gt;0,"OK","CHECK"))</f>
        <v/>
      </c>
      <c r="F1111" s="10">
        <f>IF($C1111="","",IFERROR(INDEX(lst_JobName,MATCH($C1111,lst_Jobs,0)),""))</f>
        <v/>
      </c>
      <c r="G1111" s="10">
        <f>IF($BI1111="","",IF($B1111="Onsite",INDEX(tbl_Onsite[Job Description],$BI1111),IF($B1111="Production",INDEX(tbl_Production[Job Description],$BI1111),INDEX(tbl_Consulting[Job Description],$BI1111)))&amp;"")</f>
        <v/>
      </c>
      <c r="H1111" s="10">
        <f>IF($BI1111="","",IF($B1111="Onsite",INDEX(tbl_Onsite[Cost Centre],$BI1111),IF($B1111="Production",INDEX(tbl_Production[Cost Centre],$BI1111),INDEX(tbl_Consulting[Cost Centre],$BI1111)))&amp;"")</f>
        <v/>
      </c>
      <c r="I1111" s="10">
        <f>IF($BI1111="","",IF($B1111="Onsite",INDEX(tbl_Onsite[Invoice Type],$BI1111),IF($B1111="Production",INDEX(tbl_Production[Invoice Type],$BI1111),INDEX(tbl_Consulting[Invoice Type],$BI1111)))&amp;"")</f>
        <v/>
      </c>
      <c r="J1111" s="10">
        <f>IF($BI1111="","",IF($B1111="Onsite",INDEX(tbl_Onsite[Tax Code],$BI1111),IF($B1111="Production",INDEX(tbl_Production[Tax Code],$BI1111),INDEX(tbl_Consulting[Tax Code],$BI1111)))&amp;"")</f>
        <v/>
      </c>
      <c r="K1111" s="10">
        <f>IF(H1111="","",IFERROR(INDEX(lst_CCtoGL,MATCH(H1111,lst_CCforGL,0)),""))</f>
        <v/>
      </c>
      <c r="L1111" s="10">
        <f>IF($BI1111="","",IF($B1111="Onsite",INDEX(tbl_Onsite[PO / Reference],$BI1111),IF($B1111="Production",INDEX(tbl_Production[Current RMS No],$BI1111),INDEX(tbl_Consulting[Qwilr Quote],$BI1111)))&amp;"")</f>
        <v/>
      </c>
      <c r="M1111" s="10">
        <f>IF($BI1111="","",IF($B1111="Onsite",INDEX(tbl_Onsite[Notes],$BI1111),IF($B1111="Production",INDEX(tbl_Production[Notes],$BI1111),INDEX(tbl_Consulting[Notes],$BI1111)))&amp;"")</f>
        <v/>
      </c>
      <c r="N1111" s="11">
        <f>IF($BI1111="","",IF(IF($B1111="Onsite",INDEX(tbl_Onsite[Expected Revenue Ex GST],$BI1111),IF($B1111="Production",INDEX(tbl_Production[Expected Revenue Ex GST],$BI1111),INDEX(tbl_Consulting[Expected Revenue Ex GST],$BI1111)))="","",IF($B1111="Onsite",INDEX(tbl_Onsite[Expected Revenue Ex GST],$BI1111),IF($B1111="Production",INDEX(tbl_Production[Expected Revenue Ex GST],$BI1111),INDEX(tbl_Consulting[Expected Revenue Ex GST],$BI1111)))))</f>
        <v/>
      </c>
      <c r="O1111" s="11">
        <f>IF(AND($C1111="",NOT(COUNTA($S1111:$BB1111)&gt;0)),"",SUM(U1111,X1111,AA1111,AD1111,AG1111,AJ1111,AM1111,AP1111,AS1111,AV1111,AY1111,BB1111))</f>
        <v/>
      </c>
      <c r="P1111" s="11">
        <f>IF(O1111="","",N(N1111)-O1111)</f>
        <v/>
      </c>
      <c r="Q1111" s="10">
        <f>IF(O1111="","",IF($C1111="","Invoice on empty job row",IF(N1111="",IF(ROUND(O1111,2)=0,"No dept value","Invoiced - no dept value"),IF(ROUND(O1111,2)=0,"Not invoiced - to invoice",IF(ROUND(P1111,2)=0,"Agrees",IF(P1111&gt;0,"Dept higher - to invoice","Xero higher - check dept"))))))</f>
        <v/>
      </c>
      <c r="R1111" s="10">
        <f>IF(AND($C1111="",NOT(COUNTA($S1111:$BB1111)&gt;0),$BI1111&lt;&gt;""),"",MID(IF($BI1111="","; Row ID not found on the department sheet - a row was deleted","")&amp;IF(AND($C1111="",COUNTA($S1111:$BB1111)&gt;0),"; Invoice entered but the department row has no job number","")&amp;IF(E1111="CHECK","; Job number not in the Xero job list","")&amp;IF(AND($C1111&lt;&gt;"",COUNTIF($C$7:$C$1506,$C1111)&gt;1),"; Job number on more than one row","")&amp;IF(AND($C1111&lt;&gt;"",H1111=""),"; Dept has not set a cost centre","")&amp;IF(AND($C1111&lt;&gt;"",J1111=""),"; Dept has not set a tax code","")&amp;IF(AND($C1111&lt;&gt;"",N1111=""),"; Dept has not entered an expected value","")&amp;IF((IF(OR(COUNTA(S1111:U1111)=0,AND(COUNTA(S1111:U1111)=3,ISNUMBER(U1111))),0,1)+IF(OR(COUNTA(V1111:X1111)=0,AND(COUNTA(V1111:X1111)=3,ISNUMBER(X1111))),0,1)+IF(OR(COUNTA(Y1111:AA1111)=0,AND(COUNTA(Y1111:AA1111)=3,ISNUMBER(AA1111))),0,1)+IF(OR(COUNTA(AB1111:AD1111)=0,AND(COUNTA(AB1111:AD1111)=3,ISNUMBER(AD1111))),0,1)+IF(OR(COUNTA(AE1111:AG1111)=0,AND(COUNTA(AE1111:AG1111)=3,ISNUMBER(AG1111))),0,1)+IF(OR(COUNTA(AH1111:AJ1111)=0,AND(COUNTA(AH1111:AJ1111)=3,ISNUMBER(AJ1111))),0,1)+IF(OR(COUNTA(AK1111:AM1111)=0,AND(COUNTA(AK1111:AM1111)=3,ISNUMBER(AM1111))),0,1)+IF(OR(COUNTA(AN1111:AP1111)=0,AND(COUNTA(AN1111:AP1111)=3,ISNUMBER(AP1111))),0,1)+IF(OR(COUNTA(AQ1111:AS1111)=0,AND(COUNTA(AQ1111:AS1111)=3,ISNUMBER(AS1111))),0,1)+IF(OR(COUNTA(AT1111:AV1111)=0,AND(COUNTA(AT1111:AV1111)=3,ISNUMBER(AV1111))),0,1)+IF(OR(COUNTA(AW1111:AY1111)=0,AND(COUNTA(AW1111:AY1111)=3,ISNUMBER(AY1111))),0,1)+IF(OR(COUNTA(AZ1111:BB1111)=0,AND(COUNTA(AZ1111:BB1111)=3,ISNUMBER(BB1111))),0,1))&gt;0,"; An invoice is incomplete (needs No, Date and a number in Ex GST)","")&amp;IF((IF(T1111="",0,IFERROR(--(EOMONTH(T1111,0)&lt;&gt;S$5),1))+IF(W1111="",0,IFERROR(--(EOMONTH(W1111,0)&lt;&gt;V$5),1))+IF(Z1111="",0,IFERROR(--(EOMONTH(Z1111,0)&lt;&gt;Y$5),1))+IF(AC1111="",0,IFERROR(--(EOMONTH(AC1111,0)&lt;&gt;AB$5),1))+IF(AF1111="",0,IFERROR(--(EOMONTH(AF1111,0)&lt;&gt;AE$5),1))+IF(AI1111="",0,IFERROR(--(EOMONTH(AI1111,0)&lt;&gt;AH$5),1))+IF(AL1111="",0,IFERROR(--(EOMONTH(AL1111,0)&lt;&gt;AK$5),1))+IF(AO1111="",0,IFERROR(--(EOMONTH(AO1111,0)&lt;&gt;AN$5),1))+IF(AR1111="",0,IFERROR(--(EOMONTH(AR1111,0)&lt;&gt;AQ$5),1))+IF(AU1111="",0,IFERROR(--(EOMONTH(AU1111,0)&lt;&gt;AT$5),1))+IF(AX1111="",0,IFERROR(--(EOMONTH(AX1111,0)&lt;&gt;AW$5),1))+IF(BA1111="",0,IFERROR(--(EOMONTH(BA1111,0)&lt;&gt;AZ$5),1)))&gt;0,"; An invoice date is not in the month it is typed under",""),3,500))</f>
        <v/>
      </c>
      <c r="S1111" s="12" t="n"/>
      <c r="T1111" s="13" t="n"/>
      <c r="U1111" s="14" t="n"/>
      <c r="V1111" s="12" t="n"/>
      <c r="W1111" s="13" t="n"/>
      <c r="X1111" s="14" t="n"/>
      <c r="Y1111" s="12" t="n"/>
      <c r="Z1111" s="13" t="n"/>
      <c r="AA1111" s="14" t="n"/>
      <c r="AB1111" s="12" t="n"/>
      <c r="AC1111" s="13" t="n"/>
      <c r="AD1111" s="14" t="n"/>
      <c r="AE1111" s="12" t="n"/>
      <c r="AF1111" s="13" t="n"/>
      <c r="AG1111" s="14" t="n"/>
      <c r="AH1111" s="12" t="n"/>
      <c r="AI1111" s="13" t="n"/>
      <c r="AJ1111" s="14" t="n"/>
      <c r="AK1111" s="12" t="n"/>
      <c r="AL1111" s="13" t="n"/>
      <c r="AM1111" s="14" t="n"/>
      <c r="AN1111" s="12" t="n"/>
      <c r="AO1111" s="13" t="n"/>
      <c r="AP1111" s="14" t="n"/>
      <c r="AQ1111" s="12" t="n"/>
      <c r="AR1111" s="13" t="n"/>
      <c r="AS1111" s="14" t="n"/>
      <c r="AT1111" s="12" t="n"/>
      <c r="AU1111" s="13" t="n"/>
      <c r="AV1111" s="14" t="n"/>
      <c r="AW1111" s="12" t="n"/>
      <c r="AX1111" s="13" t="n"/>
      <c r="AY1111" s="14" t="n"/>
      <c r="AZ1111" s="12" t="n"/>
      <c r="BA1111" s="13" t="n"/>
      <c r="BB1111" s="14" t="n"/>
      <c r="BC1111" s="11">
        <f>IF(O1111="","",IF(J1111="GST 10%",ROUND(O1111*set_GSTRate,2),0))</f>
        <v/>
      </c>
      <c r="BD1111" s="11">
        <f>IF(O1111="","",O1111+BC1111)</f>
        <v/>
      </c>
      <c r="BE1111" s="15">
        <f>IF(O1111="","",COUNTA(S1111,V1111,Y1111,AB1111,AE1111,AH1111,AK1111,AN1111,AQ1111,AT1111,AW1111,AZ1111))</f>
        <v/>
      </c>
      <c r="BF1111" s="16">
        <f>IF(COUNT(T1111,W1111,Z1111,AC1111,AF1111,AI1111,AL1111,AO1111,AR1111,AU1111,AX1111,BA1111)=0,"",MAX(T1111,W1111,Z1111,AC1111,AF1111,AI1111,AL1111,AO1111,AR1111,AU1111,AX1111,BA1111))</f>
        <v/>
      </c>
      <c r="BG1111" s="10">
        <f>MID(IF(S1111="","",", "&amp;S1111)&amp;IF(V1111="","",", "&amp;V1111)&amp;IF(Y1111="","",", "&amp;Y1111)&amp;IF(AB1111="","",", "&amp;AB1111)&amp;IF(AE1111="","",", "&amp;AE1111)&amp;IF(AH1111="","",", "&amp;AH1111)&amp;IF(AK1111="","",", "&amp;AK1111)&amp;IF(AN1111="","",", "&amp;AN1111)&amp;IF(AQ1111="","",", "&amp;AQ1111)&amp;IF(AT1111="","",", "&amp;AT1111)&amp;IF(AW1111="","",", "&amp;AW1111)&amp;IF(AZ1111="","",", "&amp;AZ1111),3,500)</f>
        <v/>
      </c>
      <c r="BH1111" s="12" t="n"/>
      <c r="BI1111" s="15">
        <f>IFERROR(MATCH($A1111,IF($B1111="Onsite",tbl_Onsite[Row ID],IF($B1111="Production",tbl_Production[Row ID],tbl_Consulting[Row ID])),0),"")</f>
        <v/>
      </c>
    </row>
    <row r="1112">
      <c r="A1112" s="10" t="inlineStr">
        <is>
          <t>CON-0106</t>
        </is>
      </c>
      <c r="B1112" s="10" t="inlineStr">
        <is>
          <t>Consulting</t>
        </is>
      </c>
      <c r="C1112" s="10">
        <f>IF($BI1112="","",IF($B1112="Onsite",INDEX(tbl_Onsite[Job Number],$BI1112),IF($B1112="Production",INDEX(tbl_Production[Job Number],$BI1112),INDEX(tbl_Consulting[Job Number],$BI1112)))&amp;"")</f>
        <v/>
      </c>
      <c r="D1112" s="10">
        <f>IF($BI1112="","",IF($B1112="Onsite",INDEX(tbl_Onsite[Client],$BI1112),IF($B1112="Production",INDEX(tbl_Production[Client],$BI1112),INDEX(tbl_Consulting[Client],$BI1112)))&amp;"")</f>
        <v/>
      </c>
      <c r="E1112" s="10">
        <f>IF($C1112="","",IF(COUNTIF(lst_Jobs,$C1112)&gt;0,"OK","CHECK"))</f>
        <v/>
      </c>
      <c r="F1112" s="10">
        <f>IF($C1112="","",IFERROR(INDEX(lst_JobName,MATCH($C1112,lst_Jobs,0)),""))</f>
        <v/>
      </c>
      <c r="G1112" s="10">
        <f>IF($BI1112="","",IF($B1112="Onsite",INDEX(tbl_Onsite[Job Description],$BI1112),IF($B1112="Production",INDEX(tbl_Production[Job Description],$BI1112),INDEX(tbl_Consulting[Job Description],$BI1112)))&amp;"")</f>
        <v/>
      </c>
      <c r="H1112" s="10">
        <f>IF($BI1112="","",IF($B1112="Onsite",INDEX(tbl_Onsite[Cost Centre],$BI1112),IF($B1112="Production",INDEX(tbl_Production[Cost Centre],$BI1112),INDEX(tbl_Consulting[Cost Centre],$BI1112)))&amp;"")</f>
        <v/>
      </c>
      <c r="I1112" s="10">
        <f>IF($BI1112="","",IF($B1112="Onsite",INDEX(tbl_Onsite[Invoice Type],$BI1112),IF($B1112="Production",INDEX(tbl_Production[Invoice Type],$BI1112),INDEX(tbl_Consulting[Invoice Type],$BI1112)))&amp;"")</f>
        <v/>
      </c>
      <c r="J1112" s="10">
        <f>IF($BI1112="","",IF($B1112="Onsite",INDEX(tbl_Onsite[Tax Code],$BI1112),IF($B1112="Production",INDEX(tbl_Production[Tax Code],$BI1112),INDEX(tbl_Consulting[Tax Code],$BI1112)))&amp;"")</f>
        <v/>
      </c>
      <c r="K1112" s="10">
        <f>IF(H1112="","",IFERROR(INDEX(lst_CCtoGL,MATCH(H1112,lst_CCforGL,0)),""))</f>
        <v/>
      </c>
      <c r="L1112" s="10">
        <f>IF($BI1112="","",IF($B1112="Onsite",INDEX(tbl_Onsite[PO / Reference],$BI1112),IF($B1112="Production",INDEX(tbl_Production[Current RMS No],$BI1112),INDEX(tbl_Consulting[Qwilr Quote],$BI1112)))&amp;"")</f>
        <v/>
      </c>
      <c r="M1112" s="10">
        <f>IF($BI1112="","",IF($B1112="Onsite",INDEX(tbl_Onsite[Notes],$BI1112),IF($B1112="Production",INDEX(tbl_Production[Notes],$BI1112),INDEX(tbl_Consulting[Notes],$BI1112)))&amp;"")</f>
        <v/>
      </c>
      <c r="N1112" s="11">
        <f>IF($BI1112="","",IF(IF($B1112="Onsite",INDEX(tbl_Onsite[Expected Revenue Ex GST],$BI1112),IF($B1112="Production",INDEX(tbl_Production[Expected Revenue Ex GST],$BI1112),INDEX(tbl_Consulting[Expected Revenue Ex GST],$BI1112)))="","",IF($B1112="Onsite",INDEX(tbl_Onsite[Expected Revenue Ex GST],$BI1112),IF($B1112="Production",INDEX(tbl_Production[Expected Revenue Ex GST],$BI1112),INDEX(tbl_Consulting[Expected Revenue Ex GST],$BI1112)))))</f>
        <v/>
      </c>
      <c r="O1112" s="11">
        <f>IF(AND($C1112="",NOT(COUNTA($S1112:$BB1112)&gt;0)),"",SUM(U1112,X1112,AA1112,AD1112,AG1112,AJ1112,AM1112,AP1112,AS1112,AV1112,AY1112,BB1112))</f>
        <v/>
      </c>
      <c r="P1112" s="11">
        <f>IF(O1112="","",N(N1112)-O1112)</f>
        <v/>
      </c>
      <c r="Q1112" s="10">
        <f>IF(O1112="","",IF($C1112="","Invoice on empty job row",IF(N1112="",IF(ROUND(O1112,2)=0,"No dept value","Invoiced - no dept value"),IF(ROUND(O1112,2)=0,"Not invoiced - to invoice",IF(ROUND(P1112,2)=0,"Agrees",IF(P1112&gt;0,"Dept higher - to invoice","Xero higher - check dept"))))))</f>
        <v/>
      </c>
      <c r="R1112" s="10">
        <f>IF(AND($C1112="",NOT(COUNTA($S1112:$BB1112)&gt;0),$BI1112&lt;&gt;""),"",MID(IF($BI1112="","; Row ID not found on the department sheet - a row was deleted","")&amp;IF(AND($C1112="",COUNTA($S1112:$BB1112)&gt;0),"; Invoice entered but the department row has no job number","")&amp;IF(E1112="CHECK","; Job number not in the Xero job list","")&amp;IF(AND($C1112&lt;&gt;"",COUNTIF($C$7:$C$1506,$C1112)&gt;1),"; Job number on more than one row","")&amp;IF(AND($C1112&lt;&gt;"",H1112=""),"; Dept has not set a cost centre","")&amp;IF(AND($C1112&lt;&gt;"",J1112=""),"; Dept has not set a tax code","")&amp;IF(AND($C1112&lt;&gt;"",N1112=""),"; Dept has not entered an expected value","")&amp;IF((IF(OR(COUNTA(S1112:U1112)=0,AND(COUNTA(S1112:U1112)=3,ISNUMBER(U1112))),0,1)+IF(OR(COUNTA(V1112:X1112)=0,AND(COUNTA(V1112:X1112)=3,ISNUMBER(X1112))),0,1)+IF(OR(COUNTA(Y1112:AA1112)=0,AND(COUNTA(Y1112:AA1112)=3,ISNUMBER(AA1112))),0,1)+IF(OR(COUNTA(AB1112:AD1112)=0,AND(COUNTA(AB1112:AD1112)=3,ISNUMBER(AD1112))),0,1)+IF(OR(COUNTA(AE1112:AG1112)=0,AND(COUNTA(AE1112:AG1112)=3,ISNUMBER(AG1112))),0,1)+IF(OR(COUNTA(AH1112:AJ1112)=0,AND(COUNTA(AH1112:AJ1112)=3,ISNUMBER(AJ1112))),0,1)+IF(OR(COUNTA(AK1112:AM1112)=0,AND(COUNTA(AK1112:AM1112)=3,ISNUMBER(AM1112))),0,1)+IF(OR(COUNTA(AN1112:AP1112)=0,AND(COUNTA(AN1112:AP1112)=3,ISNUMBER(AP1112))),0,1)+IF(OR(COUNTA(AQ1112:AS1112)=0,AND(COUNTA(AQ1112:AS1112)=3,ISNUMBER(AS1112))),0,1)+IF(OR(COUNTA(AT1112:AV1112)=0,AND(COUNTA(AT1112:AV1112)=3,ISNUMBER(AV1112))),0,1)+IF(OR(COUNTA(AW1112:AY1112)=0,AND(COUNTA(AW1112:AY1112)=3,ISNUMBER(AY1112))),0,1)+IF(OR(COUNTA(AZ1112:BB1112)=0,AND(COUNTA(AZ1112:BB1112)=3,ISNUMBER(BB1112))),0,1))&gt;0,"; An invoice is incomplete (needs No, Date and a number in Ex GST)","")&amp;IF((IF(T1112="",0,IFERROR(--(EOMONTH(T1112,0)&lt;&gt;S$5),1))+IF(W1112="",0,IFERROR(--(EOMONTH(W1112,0)&lt;&gt;V$5),1))+IF(Z1112="",0,IFERROR(--(EOMONTH(Z1112,0)&lt;&gt;Y$5),1))+IF(AC1112="",0,IFERROR(--(EOMONTH(AC1112,0)&lt;&gt;AB$5),1))+IF(AF1112="",0,IFERROR(--(EOMONTH(AF1112,0)&lt;&gt;AE$5),1))+IF(AI1112="",0,IFERROR(--(EOMONTH(AI1112,0)&lt;&gt;AH$5),1))+IF(AL1112="",0,IFERROR(--(EOMONTH(AL1112,0)&lt;&gt;AK$5),1))+IF(AO1112="",0,IFERROR(--(EOMONTH(AO1112,0)&lt;&gt;AN$5),1))+IF(AR1112="",0,IFERROR(--(EOMONTH(AR1112,0)&lt;&gt;AQ$5),1))+IF(AU1112="",0,IFERROR(--(EOMONTH(AU1112,0)&lt;&gt;AT$5),1))+IF(AX1112="",0,IFERROR(--(EOMONTH(AX1112,0)&lt;&gt;AW$5),1))+IF(BA1112="",0,IFERROR(--(EOMONTH(BA1112,0)&lt;&gt;AZ$5),1)))&gt;0,"; An invoice date is not in the month it is typed under",""),3,500))</f>
        <v/>
      </c>
      <c r="S1112" s="12" t="n"/>
      <c r="T1112" s="13" t="n"/>
      <c r="U1112" s="14" t="n"/>
      <c r="V1112" s="12" t="n"/>
      <c r="W1112" s="13" t="n"/>
      <c r="X1112" s="14" t="n"/>
      <c r="Y1112" s="12" t="n"/>
      <c r="Z1112" s="13" t="n"/>
      <c r="AA1112" s="14" t="n"/>
      <c r="AB1112" s="12" t="n"/>
      <c r="AC1112" s="13" t="n"/>
      <c r="AD1112" s="14" t="n"/>
      <c r="AE1112" s="12" t="n"/>
      <c r="AF1112" s="13" t="n"/>
      <c r="AG1112" s="14" t="n"/>
      <c r="AH1112" s="12" t="n"/>
      <c r="AI1112" s="13" t="n"/>
      <c r="AJ1112" s="14" t="n"/>
      <c r="AK1112" s="12" t="n"/>
      <c r="AL1112" s="13" t="n"/>
      <c r="AM1112" s="14" t="n"/>
      <c r="AN1112" s="12" t="n"/>
      <c r="AO1112" s="13" t="n"/>
      <c r="AP1112" s="14" t="n"/>
      <c r="AQ1112" s="12" t="n"/>
      <c r="AR1112" s="13" t="n"/>
      <c r="AS1112" s="14" t="n"/>
      <c r="AT1112" s="12" t="n"/>
      <c r="AU1112" s="13" t="n"/>
      <c r="AV1112" s="14" t="n"/>
      <c r="AW1112" s="12" t="n"/>
      <c r="AX1112" s="13" t="n"/>
      <c r="AY1112" s="14" t="n"/>
      <c r="AZ1112" s="12" t="n"/>
      <c r="BA1112" s="13" t="n"/>
      <c r="BB1112" s="14" t="n"/>
      <c r="BC1112" s="11">
        <f>IF(O1112="","",IF(J1112="GST 10%",ROUND(O1112*set_GSTRate,2),0))</f>
        <v/>
      </c>
      <c r="BD1112" s="11">
        <f>IF(O1112="","",O1112+BC1112)</f>
        <v/>
      </c>
      <c r="BE1112" s="15">
        <f>IF(O1112="","",COUNTA(S1112,V1112,Y1112,AB1112,AE1112,AH1112,AK1112,AN1112,AQ1112,AT1112,AW1112,AZ1112))</f>
        <v/>
      </c>
      <c r="BF1112" s="16">
        <f>IF(COUNT(T1112,W1112,Z1112,AC1112,AF1112,AI1112,AL1112,AO1112,AR1112,AU1112,AX1112,BA1112)=0,"",MAX(T1112,W1112,Z1112,AC1112,AF1112,AI1112,AL1112,AO1112,AR1112,AU1112,AX1112,BA1112))</f>
        <v/>
      </c>
      <c r="BG1112" s="10">
        <f>MID(IF(S1112="","",", "&amp;S1112)&amp;IF(V1112="","",", "&amp;V1112)&amp;IF(Y1112="","",", "&amp;Y1112)&amp;IF(AB1112="","",", "&amp;AB1112)&amp;IF(AE1112="","",", "&amp;AE1112)&amp;IF(AH1112="","",", "&amp;AH1112)&amp;IF(AK1112="","",", "&amp;AK1112)&amp;IF(AN1112="","",", "&amp;AN1112)&amp;IF(AQ1112="","",", "&amp;AQ1112)&amp;IF(AT1112="","",", "&amp;AT1112)&amp;IF(AW1112="","",", "&amp;AW1112)&amp;IF(AZ1112="","",", "&amp;AZ1112),3,500)</f>
        <v/>
      </c>
      <c r="BH1112" s="12" t="n"/>
      <c r="BI1112" s="15">
        <f>IFERROR(MATCH($A1112,IF($B1112="Onsite",tbl_Onsite[Row ID],IF($B1112="Production",tbl_Production[Row ID],tbl_Consulting[Row ID])),0),"")</f>
        <v/>
      </c>
    </row>
    <row r="1113">
      <c r="A1113" s="10" t="inlineStr">
        <is>
          <t>CON-0107</t>
        </is>
      </c>
      <c r="B1113" s="10" t="inlineStr">
        <is>
          <t>Consulting</t>
        </is>
      </c>
      <c r="C1113" s="10">
        <f>IF($BI1113="","",IF($B1113="Onsite",INDEX(tbl_Onsite[Job Number],$BI1113),IF($B1113="Production",INDEX(tbl_Production[Job Number],$BI1113),INDEX(tbl_Consulting[Job Number],$BI1113)))&amp;"")</f>
        <v/>
      </c>
      <c r="D1113" s="10">
        <f>IF($BI1113="","",IF($B1113="Onsite",INDEX(tbl_Onsite[Client],$BI1113),IF($B1113="Production",INDEX(tbl_Production[Client],$BI1113),INDEX(tbl_Consulting[Client],$BI1113)))&amp;"")</f>
        <v/>
      </c>
      <c r="E1113" s="10">
        <f>IF($C1113="","",IF(COUNTIF(lst_Jobs,$C1113)&gt;0,"OK","CHECK"))</f>
        <v/>
      </c>
      <c r="F1113" s="10">
        <f>IF($C1113="","",IFERROR(INDEX(lst_JobName,MATCH($C1113,lst_Jobs,0)),""))</f>
        <v/>
      </c>
      <c r="G1113" s="10">
        <f>IF($BI1113="","",IF($B1113="Onsite",INDEX(tbl_Onsite[Job Description],$BI1113),IF($B1113="Production",INDEX(tbl_Production[Job Description],$BI1113),INDEX(tbl_Consulting[Job Description],$BI1113)))&amp;"")</f>
        <v/>
      </c>
      <c r="H1113" s="10">
        <f>IF($BI1113="","",IF($B1113="Onsite",INDEX(tbl_Onsite[Cost Centre],$BI1113),IF($B1113="Production",INDEX(tbl_Production[Cost Centre],$BI1113),INDEX(tbl_Consulting[Cost Centre],$BI1113)))&amp;"")</f>
        <v/>
      </c>
      <c r="I1113" s="10">
        <f>IF($BI1113="","",IF($B1113="Onsite",INDEX(tbl_Onsite[Invoice Type],$BI1113),IF($B1113="Production",INDEX(tbl_Production[Invoice Type],$BI1113),INDEX(tbl_Consulting[Invoice Type],$BI1113)))&amp;"")</f>
        <v/>
      </c>
      <c r="J1113" s="10">
        <f>IF($BI1113="","",IF($B1113="Onsite",INDEX(tbl_Onsite[Tax Code],$BI1113),IF($B1113="Production",INDEX(tbl_Production[Tax Code],$BI1113),INDEX(tbl_Consulting[Tax Code],$BI1113)))&amp;"")</f>
        <v/>
      </c>
      <c r="K1113" s="10">
        <f>IF(H1113="","",IFERROR(INDEX(lst_CCtoGL,MATCH(H1113,lst_CCforGL,0)),""))</f>
        <v/>
      </c>
      <c r="L1113" s="10">
        <f>IF($BI1113="","",IF($B1113="Onsite",INDEX(tbl_Onsite[PO / Reference],$BI1113),IF($B1113="Production",INDEX(tbl_Production[Current RMS No],$BI1113),INDEX(tbl_Consulting[Qwilr Quote],$BI1113)))&amp;"")</f>
        <v/>
      </c>
      <c r="M1113" s="10">
        <f>IF($BI1113="","",IF($B1113="Onsite",INDEX(tbl_Onsite[Notes],$BI1113),IF($B1113="Production",INDEX(tbl_Production[Notes],$BI1113),INDEX(tbl_Consulting[Notes],$BI1113)))&amp;"")</f>
        <v/>
      </c>
      <c r="N1113" s="11">
        <f>IF($BI1113="","",IF(IF($B1113="Onsite",INDEX(tbl_Onsite[Expected Revenue Ex GST],$BI1113),IF($B1113="Production",INDEX(tbl_Production[Expected Revenue Ex GST],$BI1113),INDEX(tbl_Consulting[Expected Revenue Ex GST],$BI1113)))="","",IF($B1113="Onsite",INDEX(tbl_Onsite[Expected Revenue Ex GST],$BI1113),IF($B1113="Production",INDEX(tbl_Production[Expected Revenue Ex GST],$BI1113),INDEX(tbl_Consulting[Expected Revenue Ex GST],$BI1113)))))</f>
        <v/>
      </c>
      <c r="O1113" s="11">
        <f>IF(AND($C1113="",NOT(COUNTA($S1113:$BB1113)&gt;0)),"",SUM(U1113,X1113,AA1113,AD1113,AG1113,AJ1113,AM1113,AP1113,AS1113,AV1113,AY1113,BB1113))</f>
        <v/>
      </c>
      <c r="P1113" s="11">
        <f>IF(O1113="","",N(N1113)-O1113)</f>
        <v/>
      </c>
      <c r="Q1113" s="10">
        <f>IF(O1113="","",IF($C1113="","Invoice on empty job row",IF(N1113="",IF(ROUND(O1113,2)=0,"No dept value","Invoiced - no dept value"),IF(ROUND(O1113,2)=0,"Not invoiced - to invoice",IF(ROUND(P1113,2)=0,"Agrees",IF(P1113&gt;0,"Dept higher - to invoice","Xero higher - check dept"))))))</f>
        <v/>
      </c>
      <c r="R1113" s="10">
        <f>IF(AND($C1113="",NOT(COUNTA($S1113:$BB1113)&gt;0),$BI1113&lt;&gt;""),"",MID(IF($BI1113="","; Row ID not found on the department sheet - a row was deleted","")&amp;IF(AND($C1113="",COUNTA($S1113:$BB1113)&gt;0),"; Invoice entered but the department row has no job number","")&amp;IF(E1113="CHECK","; Job number not in the Xero job list","")&amp;IF(AND($C1113&lt;&gt;"",COUNTIF($C$7:$C$1506,$C1113)&gt;1),"; Job number on more than one row","")&amp;IF(AND($C1113&lt;&gt;"",H1113=""),"; Dept has not set a cost centre","")&amp;IF(AND($C1113&lt;&gt;"",J1113=""),"; Dept has not set a tax code","")&amp;IF(AND($C1113&lt;&gt;"",N1113=""),"; Dept has not entered an expected value","")&amp;IF((IF(OR(COUNTA(S1113:U1113)=0,AND(COUNTA(S1113:U1113)=3,ISNUMBER(U1113))),0,1)+IF(OR(COUNTA(V1113:X1113)=0,AND(COUNTA(V1113:X1113)=3,ISNUMBER(X1113))),0,1)+IF(OR(COUNTA(Y1113:AA1113)=0,AND(COUNTA(Y1113:AA1113)=3,ISNUMBER(AA1113))),0,1)+IF(OR(COUNTA(AB1113:AD1113)=0,AND(COUNTA(AB1113:AD1113)=3,ISNUMBER(AD1113))),0,1)+IF(OR(COUNTA(AE1113:AG1113)=0,AND(COUNTA(AE1113:AG1113)=3,ISNUMBER(AG1113))),0,1)+IF(OR(COUNTA(AH1113:AJ1113)=0,AND(COUNTA(AH1113:AJ1113)=3,ISNUMBER(AJ1113))),0,1)+IF(OR(COUNTA(AK1113:AM1113)=0,AND(COUNTA(AK1113:AM1113)=3,ISNUMBER(AM1113))),0,1)+IF(OR(COUNTA(AN1113:AP1113)=0,AND(COUNTA(AN1113:AP1113)=3,ISNUMBER(AP1113))),0,1)+IF(OR(COUNTA(AQ1113:AS1113)=0,AND(COUNTA(AQ1113:AS1113)=3,ISNUMBER(AS1113))),0,1)+IF(OR(COUNTA(AT1113:AV1113)=0,AND(COUNTA(AT1113:AV1113)=3,ISNUMBER(AV1113))),0,1)+IF(OR(COUNTA(AW1113:AY1113)=0,AND(COUNTA(AW1113:AY1113)=3,ISNUMBER(AY1113))),0,1)+IF(OR(COUNTA(AZ1113:BB1113)=0,AND(COUNTA(AZ1113:BB1113)=3,ISNUMBER(BB1113))),0,1))&gt;0,"; An invoice is incomplete (needs No, Date and a number in Ex GST)","")&amp;IF((IF(T1113="",0,IFERROR(--(EOMONTH(T1113,0)&lt;&gt;S$5),1))+IF(W1113="",0,IFERROR(--(EOMONTH(W1113,0)&lt;&gt;V$5),1))+IF(Z1113="",0,IFERROR(--(EOMONTH(Z1113,0)&lt;&gt;Y$5),1))+IF(AC1113="",0,IFERROR(--(EOMONTH(AC1113,0)&lt;&gt;AB$5),1))+IF(AF1113="",0,IFERROR(--(EOMONTH(AF1113,0)&lt;&gt;AE$5),1))+IF(AI1113="",0,IFERROR(--(EOMONTH(AI1113,0)&lt;&gt;AH$5),1))+IF(AL1113="",0,IFERROR(--(EOMONTH(AL1113,0)&lt;&gt;AK$5),1))+IF(AO1113="",0,IFERROR(--(EOMONTH(AO1113,0)&lt;&gt;AN$5),1))+IF(AR1113="",0,IFERROR(--(EOMONTH(AR1113,0)&lt;&gt;AQ$5),1))+IF(AU1113="",0,IFERROR(--(EOMONTH(AU1113,0)&lt;&gt;AT$5),1))+IF(AX1113="",0,IFERROR(--(EOMONTH(AX1113,0)&lt;&gt;AW$5),1))+IF(BA1113="",0,IFERROR(--(EOMONTH(BA1113,0)&lt;&gt;AZ$5),1)))&gt;0,"; An invoice date is not in the month it is typed under",""),3,500))</f>
        <v/>
      </c>
      <c r="S1113" s="12" t="n"/>
      <c r="T1113" s="13" t="n"/>
      <c r="U1113" s="14" t="n"/>
      <c r="V1113" s="12" t="n"/>
      <c r="W1113" s="13" t="n"/>
      <c r="X1113" s="14" t="n"/>
      <c r="Y1113" s="12" t="n"/>
      <c r="Z1113" s="13" t="n"/>
      <c r="AA1113" s="14" t="n"/>
      <c r="AB1113" s="12" t="n"/>
      <c r="AC1113" s="13" t="n"/>
      <c r="AD1113" s="14" t="n"/>
      <c r="AE1113" s="12" t="n"/>
      <c r="AF1113" s="13" t="n"/>
      <c r="AG1113" s="14" t="n"/>
      <c r="AH1113" s="12" t="n"/>
      <c r="AI1113" s="13" t="n"/>
      <c r="AJ1113" s="14" t="n"/>
      <c r="AK1113" s="12" t="n"/>
      <c r="AL1113" s="13" t="n"/>
      <c r="AM1113" s="14" t="n"/>
      <c r="AN1113" s="12" t="n"/>
      <c r="AO1113" s="13" t="n"/>
      <c r="AP1113" s="14" t="n"/>
      <c r="AQ1113" s="12" t="n"/>
      <c r="AR1113" s="13" t="n"/>
      <c r="AS1113" s="14" t="n"/>
      <c r="AT1113" s="12" t="n"/>
      <c r="AU1113" s="13" t="n"/>
      <c r="AV1113" s="14" t="n"/>
      <c r="AW1113" s="12" t="n"/>
      <c r="AX1113" s="13" t="n"/>
      <c r="AY1113" s="14" t="n"/>
      <c r="AZ1113" s="12" t="n"/>
      <c r="BA1113" s="13" t="n"/>
      <c r="BB1113" s="14" t="n"/>
      <c r="BC1113" s="11">
        <f>IF(O1113="","",IF(J1113="GST 10%",ROUND(O1113*set_GSTRate,2),0))</f>
        <v/>
      </c>
      <c r="BD1113" s="11">
        <f>IF(O1113="","",O1113+BC1113)</f>
        <v/>
      </c>
      <c r="BE1113" s="15">
        <f>IF(O1113="","",COUNTA(S1113,V1113,Y1113,AB1113,AE1113,AH1113,AK1113,AN1113,AQ1113,AT1113,AW1113,AZ1113))</f>
        <v/>
      </c>
      <c r="BF1113" s="16">
        <f>IF(COUNT(T1113,W1113,Z1113,AC1113,AF1113,AI1113,AL1113,AO1113,AR1113,AU1113,AX1113,BA1113)=0,"",MAX(T1113,W1113,Z1113,AC1113,AF1113,AI1113,AL1113,AO1113,AR1113,AU1113,AX1113,BA1113))</f>
        <v/>
      </c>
      <c r="BG1113" s="10">
        <f>MID(IF(S1113="","",", "&amp;S1113)&amp;IF(V1113="","",", "&amp;V1113)&amp;IF(Y1113="","",", "&amp;Y1113)&amp;IF(AB1113="","",", "&amp;AB1113)&amp;IF(AE1113="","",", "&amp;AE1113)&amp;IF(AH1113="","",", "&amp;AH1113)&amp;IF(AK1113="","",", "&amp;AK1113)&amp;IF(AN1113="","",", "&amp;AN1113)&amp;IF(AQ1113="","",", "&amp;AQ1113)&amp;IF(AT1113="","",", "&amp;AT1113)&amp;IF(AW1113="","",", "&amp;AW1113)&amp;IF(AZ1113="","",", "&amp;AZ1113),3,500)</f>
        <v/>
      </c>
      <c r="BH1113" s="12" t="n"/>
      <c r="BI1113" s="15">
        <f>IFERROR(MATCH($A1113,IF($B1113="Onsite",tbl_Onsite[Row ID],IF($B1113="Production",tbl_Production[Row ID],tbl_Consulting[Row ID])),0),"")</f>
        <v/>
      </c>
    </row>
    <row r="1114">
      <c r="A1114" s="10" t="inlineStr">
        <is>
          <t>CON-0108</t>
        </is>
      </c>
      <c r="B1114" s="10" t="inlineStr">
        <is>
          <t>Consulting</t>
        </is>
      </c>
      <c r="C1114" s="10">
        <f>IF($BI1114="","",IF($B1114="Onsite",INDEX(tbl_Onsite[Job Number],$BI1114),IF($B1114="Production",INDEX(tbl_Production[Job Number],$BI1114),INDEX(tbl_Consulting[Job Number],$BI1114)))&amp;"")</f>
        <v/>
      </c>
      <c r="D1114" s="10">
        <f>IF($BI1114="","",IF($B1114="Onsite",INDEX(tbl_Onsite[Client],$BI1114),IF($B1114="Production",INDEX(tbl_Production[Client],$BI1114),INDEX(tbl_Consulting[Client],$BI1114)))&amp;"")</f>
        <v/>
      </c>
      <c r="E1114" s="10">
        <f>IF($C1114="","",IF(COUNTIF(lst_Jobs,$C1114)&gt;0,"OK","CHECK"))</f>
        <v/>
      </c>
      <c r="F1114" s="10">
        <f>IF($C1114="","",IFERROR(INDEX(lst_JobName,MATCH($C1114,lst_Jobs,0)),""))</f>
        <v/>
      </c>
      <c r="G1114" s="10">
        <f>IF($BI1114="","",IF($B1114="Onsite",INDEX(tbl_Onsite[Job Description],$BI1114),IF($B1114="Production",INDEX(tbl_Production[Job Description],$BI1114),INDEX(tbl_Consulting[Job Description],$BI1114)))&amp;"")</f>
        <v/>
      </c>
      <c r="H1114" s="10">
        <f>IF($BI1114="","",IF($B1114="Onsite",INDEX(tbl_Onsite[Cost Centre],$BI1114),IF($B1114="Production",INDEX(tbl_Production[Cost Centre],$BI1114),INDEX(tbl_Consulting[Cost Centre],$BI1114)))&amp;"")</f>
        <v/>
      </c>
      <c r="I1114" s="10">
        <f>IF($BI1114="","",IF($B1114="Onsite",INDEX(tbl_Onsite[Invoice Type],$BI1114),IF($B1114="Production",INDEX(tbl_Production[Invoice Type],$BI1114),INDEX(tbl_Consulting[Invoice Type],$BI1114)))&amp;"")</f>
        <v/>
      </c>
      <c r="J1114" s="10">
        <f>IF($BI1114="","",IF($B1114="Onsite",INDEX(tbl_Onsite[Tax Code],$BI1114),IF($B1114="Production",INDEX(tbl_Production[Tax Code],$BI1114),INDEX(tbl_Consulting[Tax Code],$BI1114)))&amp;"")</f>
        <v/>
      </c>
      <c r="K1114" s="10">
        <f>IF(H1114="","",IFERROR(INDEX(lst_CCtoGL,MATCH(H1114,lst_CCforGL,0)),""))</f>
        <v/>
      </c>
      <c r="L1114" s="10">
        <f>IF($BI1114="","",IF($B1114="Onsite",INDEX(tbl_Onsite[PO / Reference],$BI1114),IF($B1114="Production",INDEX(tbl_Production[Current RMS No],$BI1114),INDEX(tbl_Consulting[Qwilr Quote],$BI1114)))&amp;"")</f>
        <v/>
      </c>
      <c r="M1114" s="10">
        <f>IF($BI1114="","",IF($B1114="Onsite",INDEX(tbl_Onsite[Notes],$BI1114),IF($B1114="Production",INDEX(tbl_Production[Notes],$BI1114),INDEX(tbl_Consulting[Notes],$BI1114)))&amp;"")</f>
        <v/>
      </c>
      <c r="N1114" s="11">
        <f>IF($BI1114="","",IF(IF($B1114="Onsite",INDEX(tbl_Onsite[Expected Revenue Ex GST],$BI1114),IF($B1114="Production",INDEX(tbl_Production[Expected Revenue Ex GST],$BI1114),INDEX(tbl_Consulting[Expected Revenue Ex GST],$BI1114)))="","",IF($B1114="Onsite",INDEX(tbl_Onsite[Expected Revenue Ex GST],$BI1114),IF($B1114="Production",INDEX(tbl_Production[Expected Revenue Ex GST],$BI1114),INDEX(tbl_Consulting[Expected Revenue Ex GST],$BI1114)))))</f>
        <v/>
      </c>
      <c r="O1114" s="11">
        <f>IF(AND($C1114="",NOT(COUNTA($S1114:$BB1114)&gt;0)),"",SUM(U1114,X1114,AA1114,AD1114,AG1114,AJ1114,AM1114,AP1114,AS1114,AV1114,AY1114,BB1114))</f>
        <v/>
      </c>
      <c r="P1114" s="11">
        <f>IF(O1114="","",N(N1114)-O1114)</f>
        <v/>
      </c>
      <c r="Q1114" s="10">
        <f>IF(O1114="","",IF($C1114="","Invoice on empty job row",IF(N1114="",IF(ROUND(O1114,2)=0,"No dept value","Invoiced - no dept value"),IF(ROUND(O1114,2)=0,"Not invoiced - to invoice",IF(ROUND(P1114,2)=0,"Agrees",IF(P1114&gt;0,"Dept higher - to invoice","Xero higher - check dept"))))))</f>
        <v/>
      </c>
      <c r="R1114" s="10">
        <f>IF(AND($C1114="",NOT(COUNTA($S1114:$BB1114)&gt;0),$BI1114&lt;&gt;""),"",MID(IF($BI1114="","; Row ID not found on the department sheet - a row was deleted","")&amp;IF(AND($C1114="",COUNTA($S1114:$BB1114)&gt;0),"; Invoice entered but the department row has no job number","")&amp;IF(E1114="CHECK","; Job number not in the Xero job list","")&amp;IF(AND($C1114&lt;&gt;"",COUNTIF($C$7:$C$1506,$C1114)&gt;1),"; Job number on more than one row","")&amp;IF(AND($C1114&lt;&gt;"",H1114=""),"; Dept has not set a cost centre","")&amp;IF(AND($C1114&lt;&gt;"",J1114=""),"; Dept has not set a tax code","")&amp;IF(AND($C1114&lt;&gt;"",N1114=""),"; Dept has not entered an expected value","")&amp;IF((IF(OR(COUNTA(S1114:U1114)=0,AND(COUNTA(S1114:U1114)=3,ISNUMBER(U1114))),0,1)+IF(OR(COUNTA(V1114:X1114)=0,AND(COUNTA(V1114:X1114)=3,ISNUMBER(X1114))),0,1)+IF(OR(COUNTA(Y1114:AA1114)=0,AND(COUNTA(Y1114:AA1114)=3,ISNUMBER(AA1114))),0,1)+IF(OR(COUNTA(AB1114:AD1114)=0,AND(COUNTA(AB1114:AD1114)=3,ISNUMBER(AD1114))),0,1)+IF(OR(COUNTA(AE1114:AG1114)=0,AND(COUNTA(AE1114:AG1114)=3,ISNUMBER(AG1114))),0,1)+IF(OR(COUNTA(AH1114:AJ1114)=0,AND(COUNTA(AH1114:AJ1114)=3,ISNUMBER(AJ1114))),0,1)+IF(OR(COUNTA(AK1114:AM1114)=0,AND(COUNTA(AK1114:AM1114)=3,ISNUMBER(AM1114))),0,1)+IF(OR(COUNTA(AN1114:AP1114)=0,AND(COUNTA(AN1114:AP1114)=3,ISNUMBER(AP1114))),0,1)+IF(OR(COUNTA(AQ1114:AS1114)=0,AND(COUNTA(AQ1114:AS1114)=3,ISNUMBER(AS1114))),0,1)+IF(OR(COUNTA(AT1114:AV1114)=0,AND(COUNTA(AT1114:AV1114)=3,ISNUMBER(AV1114))),0,1)+IF(OR(COUNTA(AW1114:AY1114)=0,AND(COUNTA(AW1114:AY1114)=3,ISNUMBER(AY1114))),0,1)+IF(OR(COUNTA(AZ1114:BB1114)=0,AND(COUNTA(AZ1114:BB1114)=3,ISNUMBER(BB1114))),0,1))&gt;0,"; An invoice is incomplete (needs No, Date and a number in Ex GST)","")&amp;IF((IF(T1114="",0,IFERROR(--(EOMONTH(T1114,0)&lt;&gt;S$5),1))+IF(W1114="",0,IFERROR(--(EOMONTH(W1114,0)&lt;&gt;V$5),1))+IF(Z1114="",0,IFERROR(--(EOMONTH(Z1114,0)&lt;&gt;Y$5),1))+IF(AC1114="",0,IFERROR(--(EOMONTH(AC1114,0)&lt;&gt;AB$5),1))+IF(AF1114="",0,IFERROR(--(EOMONTH(AF1114,0)&lt;&gt;AE$5),1))+IF(AI1114="",0,IFERROR(--(EOMONTH(AI1114,0)&lt;&gt;AH$5),1))+IF(AL1114="",0,IFERROR(--(EOMONTH(AL1114,0)&lt;&gt;AK$5),1))+IF(AO1114="",0,IFERROR(--(EOMONTH(AO1114,0)&lt;&gt;AN$5),1))+IF(AR1114="",0,IFERROR(--(EOMONTH(AR1114,0)&lt;&gt;AQ$5),1))+IF(AU1114="",0,IFERROR(--(EOMONTH(AU1114,0)&lt;&gt;AT$5),1))+IF(AX1114="",0,IFERROR(--(EOMONTH(AX1114,0)&lt;&gt;AW$5),1))+IF(BA1114="",0,IFERROR(--(EOMONTH(BA1114,0)&lt;&gt;AZ$5),1)))&gt;0,"; An invoice date is not in the month it is typed under",""),3,500))</f>
        <v/>
      </c>
      <c r="S1114" s="12" t="n"/>
      <c r="T1114" s="13" t="n"/>
      <c r="U1114" s="14" t="n"/>
      <c r="V1114" s="12" t="n"/>
      <c r="W1114" s="13" t="n"/>
      <c r="X1114" s="14" t="n"/>
      <c r="Y1114" s="12" t="n"/>
      <c r="Z1114" s="13" t="n"/>
      <c r="AA1114" s="14" t="n"/>
      <c r="AB1114" s="12" t="n"/>
      <c r="AC1114" s="13" t="n"/>
      <c r="AD1114" s="14" t="n"/>
      <c r="AE1114" s="12" t="n"/>
      <c r="AF1114" s="13" t="n"/>
      <c r="AG1114" s="14" t="n"/>
      <c r="AH1114" s="12" t="n"/>
      <c r="AI1114" s="13" t="n"/>
      <c r="AJ1114" s="14" t="n"/>
      <c r="AK1114" s="12" t="n"/>
      <c r="AL1114" s="13" t="n"/>
      <c r="AM1114" s="14" t="n"/>
      <c r="AN1114" s="12" t="n"/>
      <c r="AO1114" s="13" t="n"/>
      <c r="AP1114" s="14" t="n"/>
      <c r="AQ1114" s="12" t="n"/>
      <c r="AR1114" s="13" t="n"/>
      <c r="AS1114" s="14" t="n"/>
      <c r="AT1114" s="12" t="n"/>
      <c r="AU1114" s="13" t="n"/>
      <c r="AV1114" s="14" t="n"/>
      <c r="AW1114" s="12" t="n"/>
      <c r="AX1114" s="13" t="n"/>
      <c r="AY1114" s="14" t="n"/>
      <c r="AZ1114" s="12" t="n"/>
      <c r="BA1114" s="13" t="n"/>
      <c r="BB1114" s="14" t="n"/>
      <c r="BC1114" s="11">
        <f>IF(O1114="","",IF(J1114="GST 10%",ROUND(O1114*set_GSTRate,2),0))</f>
        <v/>
      </c>
      <c r="BD1114" s="11">
        <f>IF(O1114="","",O1114+BC1114)</f>
        <v/>
      </c>
      <c r="BE1114" s="15">
        <f>IF(O1114="","",COUNTA(S1114,V1114,Y1114,AB1114,AE1114,AH1114,AK1114,AN1114,AQ1114,AT1114,AW1114,AZ1114))</f>
        <v/>
      </c>
      <c r="BF1114" s="16">
        <f>IF(COUNT(T1114,W1114,Z1114,AC1114,AF1114,AI1114,AL1114,AO1114,AR1114,AU1114,AX1114,BA1114)=0,"",MAX(T1114,W1114,Z1114,AC1114,AF1114,AI1114,AL1114,AO1114,AR1114,AU1114,AX1114,BA1114))</f>
        <v/>
      </c>
      <c r="BG1114" s="10">
        <f>MID(IF(S1114="","",", "&amp;S1114)&amp;IF(V1114="","",", "&amp;V1114)&amp;IF(Y1114="","",", "&amp;Y1114)&amp;IF(AB1114="","",", "&amp;AB1114)&amp;IF(AE1114="","",", "&amp;AE1114)&amp;IF(AH1114="","",", "&amp;AH1114)&amp;IF(AK1114="","",", "&amp;AK1114)&amp;IF(AN1114="","",", "&amp;AN1114)&amp;IF(AQ1114="","",", "&amp;AQ1114)&amp;IF(AT1114="","",", "&amp;AT1114)&amp;IF(AW1114="","",", "&amp;AW1114)&amp;IF(AZ1114="","",", "&amp;AZ1114),3,500)</f>
        <v/>
      </c>
      <c r="BH1114" s="12" t="n"/>
      <c r="BI1114" s="15">
        <f>IFERROR(MATCH($A1114,IF($B1114="Onsite",tbl_Onsite[Row ID],IF($B1114="Production",tbl_Production[Row ID],tbl_Consulting[Row ID])),0),"")</f>
        <v/>
      </c>
    </row>
    <row r="1115">
      <c r="A1115" s="10" t="inlineStr">
        <is>
          <t>CON-0109</t>
        </is>
      </c>
      <c r="B1115" s="10" t="inlineStr">
        <is>
          <t>Consulting</t>
        </is>
      </c>
      <c r="C1115" s="10">
        <f>IF($BI1115="","",IF($B1115="Onsite",INDEX(tbl_Onsite[Job Number],$BI1115),IF($B1115="Production",INDEX(tbl_Production[Job Number],$BI1115),INDEX(tbl_Consulting[Job Number],$BI1115)))&amp;"")</f>
        <v/>
      </c>
      <c r="D1115" s="10">
        <f>IF($BI1115="","",IF($B1115="Onsite",INDEX(tbl_Onsite[Client],$BI1115),IF($B1115="Production",INDEX(tbl_Production[Client],$BI1115),INDEX(tbl_Consulting[Client],$BI1115)))&amp;"")</f>
        <v/>
      </c>
      <c r="E1115" s="10">
        <f>IF($C1115="","",IF(COUNTIF(lst_Jobs,$C1115)&gt;0,"OK","CHECK"))</f>
        <v/>
      </c>
      <c r="F1115" s="10">
        <f>IF($C1115="","",IFERROR(INDEX(lst_JobName,MATCH($C1115,lst_Jobs,0)),""))</f>
        <v/>
      </c>
      <c r="G1115" s="10">
        <f>IF($BI1115="","",IF($B1115="Onsite",INDEX(tbl_Onsite[Job Description],$BI1115),IF($B1115="Production",INDEX(tbl_Production[Job Description],$BI1115),INDEX(tbl_Consulting[Job Description],$BI1115)))&amp;"")</f>
        <v/>
      </c>
      <c r="H1115" s="10">
        <f>IF($BI1115="","",IF($B1115="Onsite",INDEX(tbl_Onsite[Cost Centre],$BI1115),IF($B1115="Production",INDEX(tbl_Production[Cost Centre],$BI1115),INDEX(tbl_Consulting[Cost Centre],$BI1115)))&amp;"")</f>
        <v/>
      </c>
      <c r="I1115" s="10">
        <f>IF($BI1115="","",IF($B1115="Onsite",INDEX(tbl_Onsite[Invoice Type],$BI1115),IF($B1115="Production",INDEX(tbl_Production[Invoice Type],$BI1115),INDEX(tbl_Consulting[Invoice Type],$BI1115)))&amp;"")</f>
        <v/>
      </c>
      <c r="J1115" s="10">
        <f>IF($BI1115="","",IF($B1115="Onsite",INDEX(tbl_Onsite[Tax Code],$BI1115),IF($B1115="Production",INDEX(tbl_Production[Tax Code],$BI1115),INDEX(tbl_Consulting[Tax Code],$BI1115)))&amp;"")</f>
        <v/>
      </c>
      <c r="K1115" s="10">
        <f>IF(H1115="","",IFERROR(INDEX(lst_CCtoGL,MATCH(H1115,lst_CCforGL,0)),""))</f>
        <v/>
      </c>
      <c r="L1115" s="10">
        <f>IF($BI1115="","",IF($B1115="Onsite",INDEX(tbl_Onsite[PO / Reference],$BI1115),IF($B1115="Production",INDEX(tbl_Production[Current RMS No],$BI1115),INDEX(tbl_Consulting[Qwilr Quote],$BI1115)))&amp;"")</f>
        <v/>
      </c>
      <c r="M1115" s="10">
        <f>IF($BI1115="","",IF($B1115="Onsite",INDEX(tbl_Onsite[Notes],$BI1115),IF($B1115="Production",INDEX(tbl_Production[Notes],$BI1115),INDEX(tbl_Consulting[Notes],$BI1115)))&amp;"")</f>
        <v/>
      </c>
      <c r="N1115" s="11">
        <f>IF($BI1115="","",IF(IF($B1115="Onsite",INDEX(tbl_Onsite[Expected Revenue Ex GST],$BI1115),IF($B1115="Production",INDEX(tbl_Production[Expected Revenue Ex GST],$BI1115),INDEX(tbl_Consulting[Expected Revenue Ex GST],$BI1115)))="","",IF($B1115="Onsite",INDEX(tbl_Onsite[Expected Revenue Ex GST],$BI1115),IF($B1115="Production",INDEX(tbl_Production[Expected Revenue Ex GST],$BI1115),INDEX(tbl_Consulting[Expected Revenue Ex GST],$BI1115)))))</f>
        <v/>
      </c>
      <c r="O1115" s="11">
        <f>IF(AND($C1115="",NOT(COUNTA($S1115:$BB1115)&gt;0)),"",SUM(U1115,X1115,AA1115,AD1115,AG1115,AJ1115,AM1115,AP1115,AS1115,AV1115,AY1115,BB1115))</f>
        <v/>
      </c>
      <c r="P1115" s="11">
        <f>IF(O1115="","",N(N1115)-O1115)</f>
        <v/>
      </c>
      <c r="Q1115" s="10">
        <f>IF(O1115="","",IF($C1115="","Invoice on empty job row",IF(N1115="",IF(ROUND(O1115,2)=0,"No dept value","Invoiced - no dept value"),IF(ROUND(O1115,2)=0,"Not invoiced - to invoice",IF(ROUND(P1115,2)=0,"Agrees",IF(P1115&gt;0,"Dept higher - to invoice","Xero higher - check dept"))))))</f>
        <v/>
      </c>
      <c r="R1115" s="10">
        <f>IF(AND($C1115="",NOT(COUNTA($S1115:$BB1115)&gt;0),$BI1115&lt;&gt;""),"",MID(IF($BI1115="","; Row ID not found on the department sheet - a row was deleted","")&amp;IF(AND($C1115="",COUNTA($S1115:$BB1115)&gt;0),"; Invoice entered but the department row has no job number","")&amp;IF(E1115="CHECK","; Job number not in the Xero job list","")&amp;IF(AND($C1115&lt;&gt;"",COUNTIF($C$7:$C$1506,$C1115)&gt;1),"; Job number on more than one row","")&amp;IF(AND($C1115&lt;&gt;"",H1115=""),"; Dept has not set a cost centre","")&amp;IF(AND($C1115&lt;&gt;"",J1115=""),"; Dept has not set a tax code","")&amp;IF(AND($C1115&lt;&gt;"",N1115=""),"; Dept has not entered an expected value","")&amp;IF((IF(OR(COUNTA(S1115:U1115)=0,AND(COUNTA(S1115:U1115)=3,ISNUMBER(U1115))),0,1)+IF(OR(COUNTA(V1115:X1115)=0,AND(COUNTA(V1115:X1115)=3,ISNUMBER(X1115))),0,1)+IF(OR(COUNTA(Y1115:AA1115)=0,AND(COUNTA(Y1115:AA1115)=3,ISNUMBER(AA1115))),0,1)+IF(OR(COUNTA(AB1115:AD1115)=0,AND(COUNTA(AB1115:AD1115)=3,ISNUMBER(AD1115))),0,1)+IF(OR(COUNTA(AE1115:AG1115)=0,AND(COUNTA(AE1115:AG1115)=3,ISNUMBER(AG1115))),0,1)+IF(OR(COUNTA(AH1115:AJ1115)=0,AND(COUNTA(AH1115:AJ1115)=3,ISNUMBER(AJ1115))),0,1)+IF(OR(COUNTA(AK1115:AM1115)=0,AND(COUNTA(AK1115:AM1115)=3,ISNUMBER(AM1115))),0,1)+IF(OR(COUNTA(AN1115:AP1115)=0,AND(COUNTA(AN1115:AP1115)=3,ISNUMBER(AP1115))),0,1)+IF(OR(COUNTA(AQ1115:AS1115)=0,AND(COUNTA(AQ1115:AS1115)=3,ISNUMBER(AS1115))),0,1)+IF(OR(COUNTA(AT1115:AV1115)=0,AND(COUNTA(AT1115:AV1115)=3,ISNUMBER(AV1115))),0,1)+IF(OR(COUNTA(AW1115:AY1115)=0,AND(COUNTA(AW1115:AY1115)=3,ISNUMBER(AY1115))),0,1)+IF(OR(COUNTA(AZ1115:BB1115)=0,AND(COUNTA(AZ1115:BB1115)=3,ISNUMBER(BB1115))),0,1))&gt;0,"; An invoice is incomplete (needs No, Date and a number in Ex GST)","")&amp;IF((IF(T1115="",0,IFERROR(--(EOMONTH(T1115,0)&lt;&gt;S$5),1))+IF(W1115="",0,IFERROR(--(EOMONTH(W1115,0)&lt;&gt;V$5),1))+IF(Z1115="",0,IFERROR(--(EOMONTH(Z1115,0)&lt;&gt;Y$5),1))+IF(AC1115="",0,IFERROR(--(EOMONTH(AC1115,0)&lt;&gt;AB$5),1))+IF(AF1115="",0,IFERROR(--(EOMONTH(AF1115,0)&lt;&gt;AE$5),1))+IF(AI1115="",0,IFERROR(--(EOMONTH(AI1115,0)&lt;&gt;AH$5),1))+IF(AL1115="",0,IFERROR(--(EOMONTH(AL1115,0)&lt;&gt;AK$5),1))+IF(AO1115="",0,IFERROR(--(EOMONTH(AO1115,0)&lt;&gt;AN$5),1))+IF(AR1115="",0,IFERROR(--(EOMONTH(AR1115,0)&lt;&gt;AQ$5),1))+IF(AU1115="",0,IFERROR(--(EOMONTH(AU1115,0)&lt;&gt;AT$5),1))+IF(AX1115="",0,IFERROR(--(EOMONTH(AX1115,0)&lt;&gt;AW$5),1))+IF(BA1115="",0,IFERROR(--(EOMONTH(BA1115,0)&lt;&gt;AZ$5),1)))&gt;0,"; An invoice date is not in the month it is typed under",""),3,500))</f>
        <v/>
      </c>
      <c r="S1115" s="12" t="n"/>
      <c r="T1115" s="13" t="n"/>
      <c r="U1115" s="14" t="n"/>
      <c r="V1115" s="12" t="n"/>
      <c r="W1115" s="13" t="n"/>
      <c r="X1115" s="14" t="n"/>
      <c r="Y1115" s="12" t="n"/>
      <c r="Z1115" s="13" t="n"/>
      <c r="AA1115" s="14" t="n"/>
      <c r="AB1115" s="12" t="n"/>
      <c r="AC1115" s="13" t="n"/>
      <c r="AD1115" s="14" t="n"/>
      <c r="AE1115" s="12" t="n"/>
      <c r="AF1115" s="13" t="n"/>
      <c r="AG1115" s="14" t="n"/>
      <c r="AH1115" s="12" t="n"/>
      <c r="AI1115" s="13" t="n"/>
      <c r="AJ1115" s="14" t="n"/>
      <c r="AK1115" s="12" t="n"/>
      <c r="AL1115" s="13" t="n"/>
      <c r="AM1115" s="14" t="n"/>
      <c r="AN1115" s="12" t="n"/>
      <c r="AO1115" s="13" t="n"/>
      <c r="AP1115" s="14" t="n"/>
      <c r="AQ1115" s="12" t="n"/>
      <c r="AR1115" s="13" t="n"/>
      <c r="AS1115" s="14" t="n"/>
      <c r="AT1115" s="12" t="n"/>
      <c r="AU1115" s="13" t="n"/>
      <c r="AV1115" s="14" t="n"/>
      <c r="AW1115" s="12" t="n"/>
      <c r="AX1115" s="13" t="n"/>
      <c r="AY1115" s="14" t="n"/>
      <c r="AZ1115" s="12" t="n"/>
      <c r="BA1115" s="13" t="n"/>
      <c r="BB1115" s="14" t="n"/>
      <c r="BC1115" s="11">
        <f>IF(O1115="","",IF(J1115="GST 10%",ROUND(O1115*set_GSTRate,2),0))</f>
        <v/>
      </c>
      <c r="BD1115" s="11">
        <f>IF(O1115="","",O1115+BC1115)</f>
        <v/>
      </c>
      <c r="BE1115" s="15">
        <f>IF(O1115="","",COUNTA(S1115,V1115,Y1115,AB1115,AE1115,AH1115,AK1115,AN1115,AQ1115,AT1115,AW1115,AZ1115))</f>
        <v/>
      </c>
      <c r="BF1115" s="16">
        <f>IF(COUNT(T1115,W1115,Z1115,AC1115,AF1115,AI1115,AL1115,AO1115,AR1115,AU1115,AX1115,BA1115)=0,"",MAX(T1115,W1115,Z1115,AC1115,AF1115,AI1115,AL1115,AO1115,AR1115,AU1115,AX1115,BA1115))</f>
        <v/>
      </c>
      <c r="BG1115" s="10">
        <f>MID(IF(S1115="","",", "&amp;S1115)&amp;IF(V1115="","",", "&amp;V1115)&amp;IF(Y1115="","",", "&amp;Y1115)&amp;IF(AB1115="","",", "&amp;AB1115)&amp;IF(AE1115="","",", "&amp;AE1115)&amp;IF(AH1115="","",", "&amp;AH1115)&amp;IF(AK1115="","",", "&amp;AK1115)&amp;IF(AN1115="","",", "&amp;AN1115)&amp;IF(AQ1115="","",", "&amp;AQ1115)&amp;IF(AT1115="","",", "&amp;AT1115)&amp;IF(AW1115="","",", "&amp;AW1115)&amp;IF(AZ1115="","",", "&amp;AZ1115),3,500)</f>
        <v/>
      </c>
      <c r="BH1115" s="12" t="n"/>
      <c r="BI1115" s="15">
        <f>IFERROR(MATCH($A1115,IF($B1115="Onsite",tbl_Onsite[Row ID],IF($B1115="Production",tbl_Production[Row ID],tbl_Consulting[Row ID])),0),"")</f>
        <v/>
      </c>
    </row>
    <row r="1116">
      <c r="A1116" s="10" t="inlineStr">
        <is>
          <t>CON-0110</t>
        </is>
      </c>
      <c r="B1116" s="10" t="inlineStr">
        <is>
          <t>Consulting</t>
        </is>
      </c>
      <c r="C1116" s="10">
        <f>IF($BI1116="","",IF($B1116="Onsite",INDEX(tbl_Onsite[Job Number],$BI1116),IF($B1116="Production",INDEX(tbl_Production[Job Number],$BI1116),INDEX(tbl_Consulting[Job Number],$BI1116)))&amp;"")</f>
        <v/>
      </c>
      <c r="D1116" s="10">
        <f>IF($BI1116="","",IF($B1116="Onsite",INDEX(tbl_Onsite[Client],$BI1116),IF($B1116="Production",INDEX(tbl_Production[Client],$BI1116),INDEX(tbl_Consulting[Client],$BI1116)))&amp;"")</f>
        <v/>
      </c>
      <c r="E1116" s="10">
        <f>IF($C1116="","",IF(COUNTIF(lst_Jobs,$C1116)&gt;0,"OK","CHECK"))</f>
        <v/>
      </c>
      <c r="F1116" s="10">
        <f>IF($C1116="","",IFERROR(INDEX(lst_JobName,MATCH($C1116,lst_Jobs,0)),""))</f>
        <v/>
      </c>
      <c r="G1116" s="10">
        <f>IF($BI1116="","",IF($B1116="Onsite",INDEX(tbl_Onsite[Job Description],$BI1116),IF($B1116="Production",INDEX(tbl_Production[Job Description],$BI1116),INDEX(tbl_Consulting[Job Description],$BI1116)))&amp;"")</f>
        <v/>
      </c>
      <c r="H1116" s="10">
        <f>IF($BI1116="","",IF($B1116="Onsite",INDEX(tbl_Onsite[Cost Centre],$BI1116),IF($B1116="Production",INDEX(tbl_Production[Cost Centre],$BI1116),INDEX(tbl_Consulting[Cost Centre],$BI1116)))&amp;"")</f>
        <v/>
      </c>
      <c r="I1116" s="10">
        <f>IF($BI1116="","",IF($B1116="Onsite",INDEX(tbl_Onsite[Invoice Type],$BI1116),IF($B1116="Production",INDEX(tbl_Production[Invoice Type],$BI1116),INDEX(tbl_Consulting[Invoice Type],$BI1116)))&amp;"")</f>
        <v/>
      </c>
      <c r="J1116" s="10">
        <f>IF($BI1116="","",IF($B1116="Onsite",INDEX(tbl_Onsite[Tax Code],$BI1116),IF($B1116="Production",INDEX(tbl_Production[Tax Code],$BI1116),INDEX(tbl_Consulting[Tax Code],$BI1116)))&amp;"")</f>
        <v/>
      </c>
      <c r="K1116" s="10">
        <f>IF(H1116="","",IFERROR(INDEX(lst_CCtoGL,MATCH(H1116,lst_CCforGL,0)),""))</f>
        <v/>
      </c>
      <c r="L1116" s="10">
        <f>IF($BI1116="","",IF($B1116="Onsite",INDEX(tbl_Onsite[PO / Reference],$BI1116),IF($B1116="Production",INDEX(tbl_Production[Current RMS No],$BI1116),INDEX(tbl_Consulting[Qwilr Quote],$BI1116)))&amp;"")</f>
        <v/>
      </c>
      <c r="M1116" s="10">
        <f>IF($BI1116="","",IF($B1116="Onsite",INDEX(tbl_Onsite[Notes],$BI1116),IF($B1116="Production",INDEX(tbl_Production[Notes],$BI1116),INDEX(tbl_Consulting[Notes],$BI1116)))&amp;"")</f>
        <v/>
      </c>
      <c r="N1116" s="11">
        <f>IF($BI1116="","",IF(IF($B1116="Onsite",INDEX(tbl_Onsite[Expected Revenue Ex GST],$BI1116),IF($B1116="Production",INDEX(tbl_Production[Expected Revenue Ex GST],$BI1116),INDEX(tbl_Consulting[Expected Revenue Ex GST],$BI1116)))="","",IF($B1116="Onsite",INDEX(tbl_Onsite[Expected Revenue Ex GST],$BI1116),IF($B1116="Production",INDEX(tbl_Production[Expected Revenue Ex GST],$BI1116),INDEX(tbl_Consulting[Expected Revenue Ex GST],$BI1116)))))</f>
        <v/>
      </c>
      <c r="O1116" s="11">
        <f>IF(AND($C1116="",NOT(COUNTA($S1116:$BB1116)&gt;0)),"",SUM(U1116,X1116,AA1116,AD1116,AG1116,AJ1116,AM1116,AP1116,AS1116,AV1116,AY1116,BB1116))</f>
        <v/>
      </c>
      <c r="P1116" s="11">
        <f>IF(O1116="","",N(N1116)-O1116)</f>
        <v/>
      </c>
      <c r="Q1116" s="10">
        <f>IF(O1116="","",IF($C1116="","Invoice on empty job row",IF(N1116="",IF(ROUND(O1116,2)=0,"No dept value","Invoiced - no dept value"),IF(ROUND(O1116,2)=0,"Not invoiced - to invoice",IF(ROUND(P1116,2)=0,"Agrees",IF(P1116&gt;0,"Dept higher - to invoice","Xero higher - check dept"))))))</f>
        <v/>
      </c>
      <c r="R1116" s="10">
        <f>IF(AND($C1116="",NOT(COUNTA($S1116:$BB1116)&gt;0),$BI1116&lt;&gt;""),"",MID(IF($BI1116="","; Row ID not found on the department sheet - a row was deleted","")&amp;IF(AND($C1116="",COUNTA($S1116:$BB1116)&gt;0),"; Invoice entered but the department row has no job number","")&amp;IF(E1116="CHECK","; Job number not in the Xero job list","")&amp;IF(AND($C1116&lt;&gt;"",COUNTIF($C$7:$C$1506,$C1116)&gt;1),"; Job number on more than one row","")&amp;IF(AND($C1116&lt;&gt;"",H1116=""),"; Dept has not set a cost centre","")&amp;IF(AND($C1116&lt;&gt;"",J1116=""),"; Dept has not set a tax code","")&amp;IF(AND($C1116&lt;&gt;"",N1116=""),"; Dept has not entered an expected value","")&amp;IF((IF(OR(COUNTA(S1116:U1116)=0,AND(COUNTA(S1116:U1116)=3,ISNUMBER(U1116))),0,1)+IF(OR(COUNTA(V1116:X1116)=0,AND(COUNTA(V1116:X1116)=3,ISNUMBER(X1116))),0,1)+IF(OR(COUNTA(Y1116:AA1116)=0,AND(COUNTA(Y1116:AA1116)=3,ISNUMBER(AA1116))),0,1)+IF(OR(COUNTA(AB1116:AD1116)=0,AND(COUNTA(AB1116:AD1116)=3,ISNUMBER(AD1116))),0,1)+IF(OR(COUNTA(AE1116:AG1116)=0,AND(COUNTA(AE1116:AG1116)=3,ISNUMBER(AG1116))),0,1)+IF(OR(COUNTA(AH1116:AJ1116)=0,AND(COUNTA(AH1116:AJ1116)=3,ISNUMBER(AJ1116))),0,1)+IF(OR(COUNTA(AK1116:AM1116)=0,AND(COUNTA(AK1116:AM1116)=3,ISNUMBER(AM1116))),0,1)+IF(OR(COUNTA(AN1116:AP1116)=0,AND(COUNTA(AN1116:AP1116)=3,ISNUMBER(AP1116))),0,1)+IF(OR(COUNTA(AQ1116:AS1116)=0,AND(COUNTA(AQ1116:AS1116)=3,ISNUMBER(AS1116))),0,1)+IF(OR(COUNTA(AT1116:AV1116)=0,AND(COUNTA(AT1116:AV1116)=3,ISNUMBER(AV1116))),0,1)+IF(OR(COUNTA(AW1116:AY1116)=0,AND(COUNTA(AW1116:AY1116)=3,ISNUMBER(AY1116))),0,1)+IF(OR(COUNTA(AZ1116:BB1116)=0,AND(COUNTA(AZ1116:BB1116)=3,ISNUMBER(BB1116))),0,1))&gt;0,"; An invoice is incomplete (needs No, Date and a number in Ex GST)","")&amp;IF((IF(T1116="",0,IFERROR(--(EOMONTH(T1116,0)&lt;&gt;S$5),1))+IF(W1116="",0,IFERROR(--(EOMONTH(W1116,0)&lt;&gt;V$5),1))+IF(Z1116="",0,IFERROR(--(EOMONTH(Z1116,0)&lt;&gt;Y$5),1))+IF(AC1116="",0,IFERROR(--(EOMONTH(AC1116,0)&lt;&gt;AB$5),1))+IF(AF1116="",0,IFERROR(--(EOMONTH(AF1116,0)&lt;&gt;AE$5),1))+IF(AI1116="",0,IFERROR(--(EOMONTH(AI1116,0)&lt;&gt;AH$5),1))+IF(AL1116="",0,IFERROR(--(EOMONTH(AL1116,0)&lt;&gt;AK$5),1))+IF(AO1116="",0,IFERROR(--(EOMONTH(AO1116,0)&lt;&gt;AN$5),1))+IF(AR1116="",0,IFERROR(--(EOMONTH(AR1116,0)&lt;&gt;AQ$5),1))+IF(AU1116="",0,IFERROR(--(EOMONTH(AU1116,0)&lt;&gt;AT$5),1))+IF(AX1116="",0,IFERROR(--(EOMONTH(AX1116,0)&lt;&gt;AW$5),1))+IF(BA1116="",0,IFERROR(--(EOMONTH(BA1116,0)&lt;&gt;AZ$5),1)))&gt;0,"; An invoice date is not in the month it is typed under",""),3,500))</f>
        <v/>
      </c>
      <c r="S1116" s="12" t="n"/>
      <c r="T1116" s="13" t="n"/>
      <c r="U1116" s="14" t="n"/>
      <c r="V1116" s="12" t="n"/>
      <c r="W1116" s="13" t="n"/>
      <c r="X1116" s="14" t="n"/>
      <c r="Y1116" s="12" t="n"/>
      <c r="Z1116" s="13" t="n"/>
      <c r="AA1116" s="14" t="n"/>
      <c r="AB1116" s="12" t="n"/>
      <c r="AC1116" s="13" t="n"/>
      <c r="AD1116" s="14" t="n"/>
      <c r="AE1116" s="12" t="n"/>
      <c r="AF1116" s="13" t="n"/>
      <c r="AG1116" s="14" t="n"/>
      <c r="AH1116" s="12" t="n"/>
      <c r="AI1116" s="13" t="n"/>
      <c r="AJ1116" s="14" t="n"/>
      <c r="AK1116" s="12" t="n"/>
      <c r="AL1116" s="13" t="n"/>
      <c r="AM1116" s="14" t="n"/>
      <c r="AN1116" s="12" t="n"/>
      <c r="AO1116" s="13" t="n"/>
      <c r="AP1116" s="14" t="n"/>
      <c r="AQ1116" s="12" t="n"/>
      <c r="AR1116" s="13" t="n"/>
      <c r="AS1116" s="14" t="n"/>
      <c r="AT1116" s="12" t="n"/>
      <c r="AU1116" s="13" t="n"/>
      <c r="AV1116" s="14" t="n"/>
      <c r="AW1116" s="12" t="n"/>
      <c r="AX1116" s="13" t="n"/>
      <c r="AY1116" s="14" t="n"/>
      <c r="AZ1116" s="12" t="n"/>
      <c r="BA1116" s="13" t="n"/>
      <c r="BB1116" s="14" t="n"/>
      <c r="BC1116" s="11">
        <f>IF(O1116="","",IF(J1116="GST 10%",ROUND(O1116*set_GSTRate,2),0))</f>
        <v/>
      </c>
      <c r="BD1116" s="11">
        <f>IF(O1116="","",O1116+BC1116)</f>
        <v/>
      </c>
      <c r="BE1116" s="15">
        <f>IF(O1116="","",COUNTA(S1116,V1116,Y1116,AB1116,AE1116,AH1116,AK1116,AN1116,AQ1116,AT1116,AW1116,AZ1116))</f>
        <v/>
      </c>
      <c r="BF1116" s="16">
        <f>IF(COUNT(T1116,W1116,Z1116,AC1116,AF1116,AI1116,AL1116,AO1116,AR1116,AU1116,AX1116,BA1116)=0,"",MAX(T1116,W1116,Z1116,AC1116,AF1116,AI1116,AL1116,AO1116,AR1116,AU1116,AX1116,BA1116))</f>
        <v/>
      </c>
      <c r="BG1116" s="10">
        <f>MID(IF(S1116="","",", "&amp;S1116)&amp;IF(V1116="","",", "&amp;V1116)&amp;IF(Y1116="","",", "&amp;Y1116)&amp;IF(AB1116="","",", "&amp;AB1116)&amp;IF(AE1116="","",", "&amp;AE1116)&amp;IF(AH1116="","",", "&amp;AH1116)&amp;IF(AK1116="","",", "&amp;AK1116)&amp;IF(AN1116="","",", "&amp;AN1116)&amp;IF(AQ1116="","",", "&amp;AQ1116)&amp;IF(AT1116="","",", "&amp;AT1116)&amp;IF(AW1116="","",", "&amp;AW1116)&amp;IF(AZ1116="","",", "&amp;AZ1116),3,500)</f>
        <v/>
      </c>
      <c r="BH1116" s="12" t="n"/>
      <c r="BI1116" s="15">
        <f>IFERROR(MATCH($A1116,IF($B1116="Onsite",tbl_Onsite[Row ID],IF($B1116="Production",tbl_Production[Row ID],tbl_Consulting[Row ID])),0),"")</f>
        <v/>
      </c>
    </row>
    <row r="1117">
      <c r="A1117" s="10" t="inlineStr">
        <is>
          <t>CON-0111</t>
        </is>
      </c>
      <c r="B1117" s="10" t="inlineStr">
        <is>
          <t>Consulting</t>
        </is>
      </c>
      <c r="C1117" s="10">
        <f>IF($BI1117="","",IF($B1117="Onsite",INDEX(tbl_Onsite[Job Number],$BI1117),IF($B1117="Production",INDEX(tbl_Production[Job Number],$BI1117),INDEX(tbl_Consulting[Job Number],$BI1117)))&amp;"")</f>
        <v/>
      </c>
      <c r="D1117" s="10">
        <f>IF($BI1117="","",IF($B1117="Onsite",INDEX(tbl_Onsite[Client],$BI1117),IF($B1117="Production",INDEX(tbl_Production[Client],$BI1117),INDEX(tbl_Consulting[Client],$BI1117)))&amp;"")</f>
        <v/>
      </c>
      <c r="E1117" s="10">
        <f>IF($C1117="","",IF(COUNTIF(lst_Jobs,$C1117)&gt;0,"OK","CHECK"))</f>
        <v/>
      </c>
      <c r="F1117" s="10">
        <f>IF($C1117="","",IFERROR(INDEX(lst_JobName,MATCH($C1117,lst_Jobs,0)),""))</f>
        <v/>
      </c>
      <c r="G1117" s="10">
        <f>IF($BI1117="","",IF($B1117="Onsite",INDEX(tbl_Onsite[Job Description],$BI1117),IF($B1117="Production",INDEX(tbl_Production[Job Description],$BI1117),INDEX(tbl_Consulting[Job Description],$BI1117)))&amp;"")</f>
        <v/>
      </c>
      <c r="H1117" s="10">
        <f>IF($BI1117="","",IF($B1117="Onsite",INDEX(tbl_Onsite[Cost Centre],$BI1117),IF($B1117="Production",INDEX(tbl_Production[Cost Centre],$BI1117),INDEX(tbl_Consulting[Cost Centre],$BI1117)))&amp;"")</f>
        <v/>
      </c>
      <c r="I1117" s="10">
        <f>IF($BI1117="","",IF($B1117="Onsite",INDEX(tbl_Onsite[Invoice Type],$BI1117),IF($B1117="Production",INDEX(tbl_Production[Invoice Type],$BI1117),INDEX(tbl_Consulting[Invoice Type],$BI1117)))&amp;"")</f>
        <v/>
      </c>
      <c r="J1117" s="10">
        <f>IF($BI1117="","",IF($B1117="Onsite",INDEX(tbl_Onsite[Tax Code],$BI1117),IF($B1117="Production",INDEX(tbl_Production[Tax Code],$BI1117),INDEX(tbl_Consulting[Tax Code],$BI1117)))&amp;"")</f>
        <v/>
      </c>
      <c r="K1117" s="10">
        <f>IF(H1117="","",IFERROR(INDEX(lst_CCtoGL,MATCH(H1117,lst_CCforGL,0)),""))</f>
        <v/>
      </c>
      <c r="L1117" s="10">
        <f>IF($BI1117="","",IF($B1117="Onsite",INDEX(tbl_Onsite[PO / Reference],$BI1117),IF($B1117="Production",INDEX(tbl_Production[Current RMS No],$BI1117),INDEX(tbl_Consulting[Qwilr Quote],$BI1117)))&amp;"")</f>
        <v/>
      </c>
      <c r="M1117" s="10">
        <f>IF($BI1117="","",IF($B1117="Onsite",INDEX(tbl_Onsite[Notes],$BI1117),IF($B1117="Production",INDEX(tbl_Production[Notes],$BI1117),INDEX(tbl_Consulting[Notes],$BI1117)))&amp;"")</f>
        <v/>
      </c>
      <c r="N1117" s="11">
        <f>IF($BI1117="","",IF(IF($B1117="Onsite",INDEX(tbl_Onsite[Expected Revenue Ex GST],$BI1117),IF($B1117="Production",INDEX(tbl_Production[Expected Revenue Ex GST],$BI1117),INDEX(tbl_Consulting[Expected Revenue Ex GST],$BI1117)))="","",IF($B1117="Onsite",INDEX(tbl_Onsite[Expected Revenue Ex GST],$BI1117),IF($B1117="Production",INDEX(tbl_Production[Expected Revenue Ex GST],$BI1117),INDEX(tbl_Consulting[Expected Revenue Ex GST],$BI1117)))))</f>
        <v/>
      </c>
      <c r="O1117" s="11">
        <f>IF(AND($C1117="",NOT(COUNTA($S1117:$BB1117)&gt;0)),"",SUM(U1117,X1117,AA1117,AD1117,AG1117,AJ1117,AM1117,AP1117,AS1117,AV1117,AY1117,BB1117))</f>
        <v/>
      </c>
      <c r="P1117" s="11">
        <f>IF(O1117="","",N(N1117)-O1117)</f>
        <v/>
      </c>
      <c r="Q1117" s="10">
        <f>IF(O1117="","",IF($C1117="","Invoice on empty job row",IF(N1117="",IF(ROUND(O1117,2)=0,"No dept value","Invoiced - no dept value"),IF(ROUND(O1117,2)=0,"Not invoiced - to invoice",IF(ROUND(P1117,2)=0,"Agrees",IF(P1117&gt;0,"Dept higher - to invoice","Xero higher - check dept"))))))</f>
        <v/>
      </c>
      <c r="R1117" s="10">
        <f>IF(AND($C1117="",NOT(COUNTA($S1117:$BB1117)&gt;0),$BI1117&lt;&gt;""),"",MID(IF($BI1117="","; Row ID not found on the department sheet - a row was deleted","")&amp;IF(AND($C1117="",COUNTA($S1117:$BB1117)&gt;0),"; Invoice entered but the department row has no job number","")&amp;IF(E1117="CHECK","; Job number not in the Xero job list","")&amp;IF(AND($C1117&lt;&gt;"",COUNTIF($C$7:$C$1506,$C1117)&gt;1),"; Job number on more than one row","")&amp;IF(AND($C1117&lt;&gt;"",H1117=""),"; Dept has not set a cost centre","")&amp;IF(AND($C1117&lt;&gt;"",J1117=""),"; Dept has not set a tax code","")&amp;IF(AND($C1117&lt;&gt;"",N1117=""),"; Dept has not entered an expected value","")&amp;IF((IF(OR(COUNTA(S1117:U1117)=0,AND(COUNTA(S1117:U1117)=3,ISNUMBER(U1117))),0,1)+IF(OR(COUNTA(V1117:X1117)=0,AND(COUNTA(V1117:X1117)=3,ISNUMBER(X1117))),0,1)+IF(OR(COUNTA(Y1117:AA1117)=0,AND(COUNTA(Y1117:AA1117)=3,ISNUMBER(AA1117))),0,1)+IF(OR(COUNTA(AB1117:AD1117)=0,AND(COUNTA(AB1117:AD1117)=3,ISNUMBER(AD1117))),0,1)+IF(OR(COUNTA(AE1117:AG1117)=0,AND(COUNTA(AE1117:AG1117)=3,ISNUMBER(AG1117))),0,1)+IF(OR(COUNTA(AH1117:AJ1117)=0,AND(COUNTA(AH1117:AJ1117)=3,ISNUMBER(AJ1117))),0,1)+IF(OR(COUNTA(AK1117:AM1117)=0,AND(COUNTA(AK1117:AM1117)=3,ISNUMBER(AM1117))),0,1)+IF(OR(COUNTA(AN1117:AP1117)=0,AND(COUNTA(AN1117:AP1117)=3,ISNUMBER(AP1117))),0,1)+IF(OR(COUNTA(AQ1117:AS1117)=0,AND(COUNTA(AQ1117:AS1117)=3,ISNUMBER(AS1117))),0,1)+IF(OR(COUNTA(AT1117:AV1117)=0,AND(COUNTA(AT1117:AV1117)=3,ISNUMBER(AV1117))),0,1)+IF(OR(COUNTA(AW1117:AY1117)=0,AND(COUNTA(AW1117:AY1117)=3,ISNUMBER(AY1117))),0,1)+IF(OR(COUNTA(AZ1117:BB1117)=0,AND(COUNTA(AZ1117:BB1117)=3,ISNUMBER(BB1117))),0,1))&gt;0,"; An invoice is incomplete (needs No, Date and a number in Ex GST)","")&amp;IF((IF(T1117="",0,IFERROR(--(EOMONTH(T1117,0)&lt;&gt;S$5),1))+IF(W1117="",0,IFERROR(--(EOMONTH(W1117,0)&lt;&gt;V$5),1))+IF(Z1117="",0,IFERROR(--(EOMONTH(Z1117,0)&lt;&gt;Y$5),1))+IF(AC1117="",0,IFERROR(--(EOMONTH(AC1117,0)&lt;&gt;AB$5),1))+IF(AF1117="",0,IFERROR(--(EOMONTH(AF1117,0)&lt;&gt;AE$5),1))+IF(AI1117="",0,IFERROR(--(EOMONTH(AI1117,0)&lt;&gt;AH$5),1))+IF(AL1117="",0,IFERROR(--(EOMONTH(AL1117,0)&lt;&gt;AK$5),1))+IF(AO1117="",0,IFERROR(--(EOMONTH(AO1117,0)&lt;&gt;AN$5),1))+IF(AR1117="",0,IFERROR(--(EOMONTH(AR1117,0)&lt;&gt;AQ$5),1))+IF(AU1117="",0,IFERROR(--(EOMONTH(AU1117,0)&lt;&gt;AT$5),1))+IF(AX1117="",0,IFERROR(--(EOMONTH(AX1117,0)&lt;&gt;AW$5),1))+IF(BA1117="",0,IFERROR(--(EOMONTH(BA1117,0)&lt;&gt;AZ$5),1)))&gt;0,"; An invoice date is not in the month it is typed under",""),3,500))</f>
        <v/>
      </c>
      <c r="S1117" s="12" t="n"/>
      <c r="T1117" s="13" t="n"/>
      <c r="U1117" s="14" t="n"/>
      <c r="V1117" s="12" t="n"/>
      <c r="W1117" s="13" t="n"/>
      <c r="X1117" s="14" t="n"/>
      <c r="Y1117" s="12" t="n"/>
      <c r="Z1117" s="13" t="n"/>
      <c r="AA1117" s="14" t="n"/>
      <c r="AB1117" s="12" t="n"/>
      <c r="AC1117" s="13" t="n"/>
      <c r="AD1117" s="14" t="n"/>
      <c r="AE1117" s="12" t="n"/>
      <c r="AF1117" s="13" t="n"/>
      <c r="AG1117" s="14" t="n"/>
      <c r="AH1117" s="12" t="n"/>
      <c r="AI1117" s="13" t="n"/>
      <c r="AJ1117" s="14" t="n"/>
      <c r="AK1117" s="12" t="n"/>
      <c r="AL1117" s="13" t="n"/>
      <c r="AM1117" s="14" t="n"/>
      <c r="AN1117" s="12" t="n"/>
      <c r="AO1117" s="13" t="n"/>
      <c r="AP1117" s="14" t="n"/>
      <c r="AQ1117" s="12" t="n"/>
      <c r="AR1117" s="13" t="n"/>
      <c r="AS1117" s="14" t="n"/>
      <c r="AT1117" s="12" t="n"/>
      <c r="AU1117" s="13" t="n"/>
      <c r="AV1117" s="14" t="n"/>
      <c r="AW1117" s="12" t="n"/>
      <c r="AX1117" s="13" t="n"/>
      <c r="AY1117" s="14" t="n"/>
      <c r="AZ1117" s="12" t="n"/>
      <c r="BA1117" s="13" t="n"/>
      <c r="BB1117" s="14" t="n"/>
      <c r="BC1117" s="11">
        <f>IF(O1117="","",IF(J1117="GST 10%",ROUND(O1117*set_GSTRate,2),0))</f>
        <v/>
      </c>
      <c r="BD1117" s="11">
        <f>IF(O1117="","",O1117+BC1117)</f>
        <v/>
      </c>
      <c r="BE1117" s="15">
        <f>IF(O1117="","",COUNTA(S1117,V1117,Y1117,AB1117,AE1117,AH1117,AK1117,AN1117,AQ1117,AT1117,AW1117,AZ1117))</f>
        <v/>
      </c>
      <c r="BF1117" s="16">
        <f>IF(COUNT(T1117,W1117,Z1117,AC1117,AF1117,AI1117,AL1117,AO1117,AR1117,AU1117,AX1117,BA1117)=0,"",MAX(T1117,W1117,Z1117,AC1117,AF1117,AI1117,AL1117,AO1117,AR1117,AU1117,AX1117,BA1117))</f>
        <v/>
      </c>
      <c r="BG1117" s="10">
        <f>MID(IF(S1117="","",", "&amp;S1117)&amp;IF(V1117="","",", "&amp;V1117)&amp;IF(Y1117="","",", "&amp;Y1117)&amp;IF(AB1117="","",", "&amp;AB1117)&amp;IF(AE1117="","",", "&amp;AE1117)&amp;IF(AH1117="","",", "&amp;AH1117)&amp;IF(AK1117="","",", "&amp;AK1117)&amp;IF(AN1117="","",", "&amp;AN1117)&amp;IF(AQ1117="","",", "&amp;AQ1117)&amp;IF(AT1117="","",", "&amp;AT1117)&amp;IF(AW1117="","",", "&amp;AW1117)&amp;IF(AZ1117="","",", "&amp;AZ1117),3,500)</f>
        <v/>
      </c>
      <c r="BH1117" s="12" t="n"/>
      <c r="BI1117" s="15">
        <f>IFERROR(MATCH($A1117,IF($B1117="Onsite",tbl_Onsite[Row ID],IF($B1117="Production",tbl_Production[Row ID],tbl_Consulting[Row ID])),0),"")</f>
        <v/>
      </c>
    </row>
    <row r="1118">
      <c r="A1118" s="10" t="inlineStr">
        <is>
          <t>CON-0112</t>
        </is>
      </c>
      <c r="B1118" s="10" t="inlineStr">
        <is>
          <t>Consulting</t>
        </is>
      </c>
      <c r="C1118" s="10">
        <f>IF($BI1118="","",IF($B1118="Onsite",INDEX(tbl_Onsite[Job Number],$BI1118),IF($B1118="Production",INDEX(tbl_Production[Job Number],$BI1118),INDEX(tbl_Consulting[Job Number],$BI1118)))&amp;"")</f>
        <v/>
      </c>
      <c r="D1118" s="10">
        <f>IF($BI1118="","",IF($B1118="Onsite",INDEX(tbl_Onsite[Client],$BI1118),IF($B1118="Production",INDEX(tbl_Production[Client],$BI1118),INDEX(tbl_Consulting[Client],$BI1118)))&amp;"")</f>
        <v/>
      </c>
      <c r="E1118" s="10">
        <f>IF($C1118="","",IF(COUNTIF(lst_Jobs,$C1118)&gt;0,"OK","CHECK"))</f>
        <v/>
      </c>
      <c r="F1118" s="10">
        <f>IF($C1118="","",IFERROR(INDEX(lst_JobName,MATCH($C1118,lst_Jobs,0)),""))</f>
        <v/>
      </c>
      <c r="G1118" s="10">
        <f>IF($BI1118="","",IF($B1118="Onsite",INDEX(tbl_Onsite[Job Description],$BI1118),IF($B1118="Production",INDEX(tbl_Production[Job Description],$BI1118),INDEX(tbl_Consulting[Job Description],$BI1118)))&amp;"")</f>
        <v/>
      </c>
      <c r="H1118" s="10">
        <f>IF($BI1118="","",IF($B1118="Onsite",INDEX(tbl_Onsite[Cost Centre],$BI1118),IF($B1118="Production",INDEX(tbl_Production[Cost Centre],$BI1118),INDEX(tbl_Consulting[Cost Centre],$BI1118)))&amp;"")</f>
        <v/>
      </c>
      <c r="I1118" s="10">
        <f>IF($BI1118="","",IF($B1118="Onsite",INDEX(tbl_Onsite[Invoice Type],$BI1118),IF($B1118="Production",INDEX(tbl_Production[Invoice Type],$BI1118),INDEX(tbl_Consulting[Invoice Type],$BI1118)))&amp;"")</f>
        <v/>
      </c>
      <c r="J1118" s="10">
        <f>IF($BI1118="","",IF($B1118="Onsite",INDEX(tbl_Onsite[Tax Code],$BI1118),IF($B1118="Production",INDEX(tbl_Production[Tax Code],$BI1118),INDEX(tbl_Consulting[Tax Code],$BI1118)))&amp;"")</f>
        <v/>
      </c>
      <c r="K1118" s="10">
        <f>IF(H1118="","",IFERROR(INDEX(lst_CCtoGL,MATCH(H1118,lst_CCforGL,0)),""))</f>
        <v/>
      </c>
      <c r="L1118" s="10">
        <f>IF($BI1118="","",IF($B1118="Onsite",INDEX(tbl_Onsite[PO / Reference],$BI1118),IF($B1118="Production",INDEX(tbl_Production[Current RMS No],$BI1118),INDEX(tbl_Consulting[Qwilr Quote],$BI1118)))&amp;"")</f>
        <v/>
      </c>
      <c r="M1118" s="10">
        <f>IF($BI1118="","",IF($B1118="Onsite",INDEX(tbl_Onsite[Notes],$BI1118),IF($B1118="Production",INDEX(tbl_Production[Notes],$BI1118),INDEX(tbl_Consulting[Notes],$BI1118)))&amp;"")</f>
        <v/>
      </c>
      <c r="N1118" s="11">
        <f>IF($BI1118="","",IF(IF($B1118="Onsite",INDEX(tbl_Onsite[Expected Revenue Ex GST],$BI1118),IF($B1118="Production",INDEX(tbl_Production[Expected Revenue Ex GST],$BI1118),INDEX(tbl_Consulting[Expected Revenue Ex GST],$BI1118)))="","",IF($B1118="Onsite",INDEX(tbl_Onsite[Expected Revenue Ex GST],$BI1118),IF($B1118="Production",INDEX(tbl_Production[Expected Revenue Ex GST],$BI1118),INDEX(tbl_Consulting[Expected Revenue Ex GST],$BI1118)))))</f>
        <v/>
      </c>
      <c r="O1118" s="11">
        <f>IF(AND($C1118="",NOT(COUNTA($S1118:$BB1118)&gt;0)),"",SUM(U1118,X1118,AA1118,AD1118,AG1118,AJ1118,AM1118,AP1118,AS1118,AV1118,AY1118,BB1118))</f>
        <v/>
      </c>
      <c r="P1118" s="11">
        <f>IF(O1118="","",N(N1118)-O1118)</f>
        <v/>
      </c>
      <c r="Q1118" s="10">
        <f>IF(O1118="","",IF($C1118="","Invoice on empty job row",IF(N1118="",IF(ROUND(O1118,2)=0,"No dept value","Invoiced - no dept value"),IF(ROUND(O1118,2)=0,"Not invoiced - to invoice",IF(ROUND(P1118,2)=0,"Agrees",IF(P1118&gt;0,"Dept higher - to invoice","Xero higher - check dept"))))))</f>
        <v/>
      </c>
      <c r="R1118" s="10">
        <f>IF(AND($C1118="",NOT(COUNTA($S1118:$BB1118)&gt;0),$BI1118&lt;&gt;""),"",MID(IF($BI1118="","; Row ID not found on the department sheet - a row was deleted","")&amp;IF(AND($C1118="",COUNTA($S1118:$BB1118)&gt;0),"; Invoice entered but the department row has no job number","")&amp;IF(E1118="CHECK","; Job number not in the Xero job list","")&amp;IF(AND($C1118&lt;&gt;"",COUNTIF($C$7:$C$1506,$C1118)&gt;1),"; Job number on more than one row","")&amp;IF(AND($C1118&lt;&gt;"",H1118=""),"; Dept has not set a cost centre","")&amp;IF(AND($C1118&lt;&gt;"",J1118=""),"; Dept has not set a tax code","")&amp;IF(AND($C1118&lt;&gt;"",N1118=""),"; Dept has not entered an expected value","")&amp;IF((IF(OR(COUNTA(S1118:U1118)=0,AND(COUNTA(S1118:U1118)=3,ISNUMBER(U1118))),0,1)+IF(OR(COUNTA(V1118:X1118)=0,AND(COUNTA(V1118:X1118)=3,ISNUMBER(X1118))),0,1)+IF(OR(COUNTA(Y1118:AA1118)=0,AND(COUNTA(Y1118:AA1118)=3,ISNUMBER(AA1118))),0,1)+IF(OR(COUNTA(AB1118:AD1118)=0,AND(COUNTA(AB1118:AD1118)=3,ISNUMBER(AD1118))),0,1)+IF(OR(COUNTA(AE1118:AG1118)=0,AND(COUNTA(AE1118:AG1118)=3,ISNUMBER(AG1118))),0,1)+IF(OR(COUNTA(AH1118:AJ1118)=0,AND(COUNTA(AH1118:AJ1118)=3,ISNUMBER(AJ1118))),0,1)+IF(OR(COUNTA(AK1118:AM1118)=0,AND(COUNTA(AK1118:AM1118)=3,ISNUMBER(AM1118))),0,1)+IF(OR(COUNTA(AN1118:AP1118)=0,AND(COUNTA(AN1118:AP1118)=3,ISNUMBER(AP1118))),0,1)+IF(OR(COUNTA(AQ1118:AS1118)=0,AND(COUNTA(AQ1118:AS1118)=3,ISNUMBER(AS1118))),0,1)+IF(OR(COUNTA(AT1118:AV1118)=0,AND(COUNTA(AT1118:AV1118)=3,ISNUMBER(AV1118))),0,1)+IF(OR(COUNTA(AW1118:AY1118)=0,AND(COUNTA(AW1118:AY1118)=3,ISNUMBER(AY1118))),0,1)+IF(OR(COUNTA(AZ1118:BB1118)=0,AND(COUNTA(AZ1118:BB1118)=3,ISNUMBER(BB1118))),0,1))&gt;0,"; An invoice is incomplete (needs No, Date and a number in Ex GST)","")&amp;IF((IF(T1118="",0,IFERROR(--(EOMONTH(T1118,0)&lt;&gt;S$5),1))+IF(W1118="",0,IFERROR(--(EOMONTH(W1118,0)&lt;&gt;V$5),1))+IF(Z1118="",0,IFERROR(--(EOMONTH(Z1118,0)&lt;&gt;Y$5),1))+IF(AC1118="",0,IFERROR(--(EOMONTH(AC1118,0)&lt;&gt;AB$5),1))+IF(AF1118="",0,IFERROR(--(EOMONTH(AF1118,0)&lt;&gt;AE$5),1))+IF(AI1118="",0,IFERROR(--(EOMONTH(AI1118,0)&lt;&gt;AH$5),1))+IF(AL1118="",0,IFERROR(--(EOMONTH(AL1118,0)&lt;&gt;AK$5),1))+IF(AO1118="",0,IFERROR(--(EOMONTH(AO1118,0)&lt;&gt;AN$5),1))+IF(AR1118="",0,IFERROR(--(EOMONTH(AR1118,0)&lt;&gt;AQ$5),1))+IF(AU1118="",0,IFERROR(--(EOMONTH(AU1118,0)&lt;&gt;AT$5),1))+IF(AX1118="",0,IFERROR(--(EOMONTH(AX1118,0)&lt;&gt;AW$5),1))+IF(BA1118="",0,IFERROR(--(EOMONTH(BA1118,0)&lt;&gt;AZ$5),1)))&gt;0,"; An invoice date is not in the month it is typed under",""),3,500))</f>
        <v/>
      </c>
      <c r="S1118" s="12" t="n"/>
      <c r="T1118" s="13" t="n"/>
      <c r="U1118" s="14" t="n"/>
      <c r="V1118" s="12" t="n"/>
      <c r="W1118" s="13" t="n"/>
      <c r="X1118" s="14" t="n"/>
      <c r="Y1118" s="12" t="n"/>
      <c r="Z1118" s="13" t="n"/>
      <c r="AA1118" s="14" t="n"/>
      <c r="AB1118" s="12" t="n"/>
      <c r="AC1118" s="13" t="n"/>
      <c r="AD1118" s="14" t="n"/>
      <c r="AE1118" s="12" t="n"/>
      <c r="AF1118" s="13" t="n"/>
      <c r="AG1118" s="14" t="n"/>
      <c r="AH1118" s="12" t="n"/>
      <c r="AI1118" s="13" t="n"/>
      <c r="AJ1118" s="14" t="n"/>
      <c r="AK1118" s="12" t="n"/>
      <c r="AL1118" s="13" t="n"/>
      <c r="AM1118" s="14" t="n"/>
      <c r="AN1118" s="12" t="n"/>
      <c r="AO1118" s="13" t="n"/>
      <c r="AP1118" s="14" t="n"/>
      <c r="AQ1118" s="12" t="n"/>
      <c r="AR1118" s="13" t="n"/>
      <c r="AS1118" s="14" t="n"/>
      <c r="AT1118" s="12" t="n"/>
      <c r="AU1118" s="13" t="n"/>
      <c r="AV1118" s="14" t="n"/>
      <c r="AW1118" s="12" t="n"/>
      <c r="AX1118" s="13" t="n"/>
      <c r="AY1118" s="14" t="n"/>
      <c r="AZ1118" s="12" t="n"/>
      <c r="BA1118" s="13" t="n"/>
      <c r="BB1118" s="14" t="n"/>
      <c r="BC1118" s="11">
        <f>IF(O1118="","",IF(J1118="GST 10%",ROUND(O1118*set_GSTRate,2),0))</f>
        <v/>
      </c>
      <c r="BD1118" s="11">
        <f>IF(O1118="","",O1118+BC1118)</f>
        <v/>
      </c>
      <c r="BE1118" s="15">
        <f>IF(O1118="","",COUNTA(S1118,V1118,Y1118,AB1118,AE1118,AH1118,AK1118,AN1118,AQ1118,AT1118,AW1118,AZ1118))</f>
        <v/>
      </c>
      <c r="BF1118" s="16">
        <f>IF(COUNT(T1118,W1118,Z1118,AC1118,AF1118,AI1118,AL1118,AO1118,AR1118,AU1118,AX1118,BA1118)=0,"",MAX(T1118,W1118,Z1118,AC1118,AF1118,AI1118,AL1118,AO1118,AR1118,AU1118,AX1118,BA1118))</f>
        <v/>
      </c>
      <c r="BG1118" s="10">
        <f>MID(IF(S1118="","",", "&amp;S1118)&amp;IF(V1118="","",", "&amp;V1118)&amp;IF(Y1118="","",", "&amp;Y1118)&amp;IF(AB1118="","",", "&amp;AB1118)&amp;IF(AE1118="","",", "&amp;AE1118)&amp;IF(AH1118="","",", "&amp;AH1118)&amp;IF(AK1118="","",", "&amp;AK1118)&amp;IF(AN1118="","",", "&amp;AN1118)&amp;IF(AQ1118="","",", "&amp;AQ1118)&amp;IF(AT1118="","",", "&amp;AT1118)&amp;IF(AW1118="","",", "&amp;AW1118)&amp;IF(AZ1118="","",", "&amp;AZ1118),3,500)</f>
        <v/>
      </c>
      <c r="BH1118" s="12" t="n"/>
      <c r="BI1118" s="15">
        <f>IFERROR(MATCH($A1118,IF($B1118="Onsite",tbl_Onsite[Row ID],IF($B1118="Production",tbl_Production[Row ID],tbl_Consulting[Row ID])),0),"")</f>
        <v/>
      </c>
    </row>
    <row r="1119">
      <c r="A1119" s="10" t="inlineStr">
        <is>
          <t>CON-0113</t>
        </is>
      </c>
      <c r="B1119" s="10" t="inlineStr">
        <is>
          <t>Consulting</t>
        </is>
      </c>
      <c r="C1119" s="10">
        <f>IF($BI1119="","",IF($B1119="Onsite",INDEX(tbl_Onsite[Job Number],$BI1119),IF($B1119="Production",INDEX(tbl_Production[Job Number],$BI1119),INDEX(tbl_Consulting[Job Number],$BI1119)))&amp;"")</f>
        <v/>
      </c>
      <c r="D1119" s="10">
        <f>IF($BI1119="","",IF($B1119="Onsite",INDEX(tbl_Onsite[Client],$BI1119),IF($B1119="Production",INDEX(tbl_Production[Client],$BI1119),INDEX(tbl_Consulting[Client],$BI1119)))&amp;"")</f>
        <v/>
      </c>
      <c r="E1119" s="10">
        <f>IF($C1119="","",IF(COUNTIF(lst_Jobs,$C1119)&gt;0,"OK","CHECK"))</f>
        <v/>
      </c>
      <c r="F1119" s="10">
        <f>IF($C1119="","",IFERROR(INDEX(lst_JobName,MATCH($C1119,lst_Jobs,0)),""))</f>
        <v/>
      </c>
      <c r="G1119" s="10">
        <f>IF($BI1119="","",IF($B1119="Onsite",INDEX(tbl_Onsite[Job Description],$BI1119),IF($B1119="Production",INDEX(tbl_Production[Job Description],$BI1119),INDEX(tbl_Consulting[Job Description],$BI1119)))&amp;"")</f>
        <v/>
      </c>
      <c r="H1119" s="10">
        <f>IF($BI1119="","",IF($B1119="Onsite",INDEX(tbl_Onsite[Cost Centre],$BI1119),IF($B1119="Production",INDEX(tbl_Production[Cost Centre],$BI1119),INDEX(tbl_Consulting[Cost Centre],$BI1119)))&amp;"")</f>
        <v/>
      </c>
      <c r="I1119" s="10">
        <f>IF($BI1119="","",IF($B1119="Onsite",INDEX(tbl_Onsite[Invoice Type],$BI1119),IF($B1119="Production",INDEX(tbl_Production[Invoice Type],$BI1119),INDEX(tbl_Consulting[Invoice Type],$BI1119)))&amp;"")</f>
        <v/>
      </c>
      <c r="J1119" s="10">
        <f>IF($BI1119="","",IF($B1119="Onsite",INDEX(tbl_Onsite[Tax Code],$BI1119),IF($B1119="Production",INDEX(tbl_Production[Tax Code],$BI1119),INDEX(tbl_Consulting[Tax Code],$BI1119)))&amp;"")</f>
        <v/>
      </c>
      <c r="K1119" s="10">
        <f>IF(H1119="","",IFERROR(INDEX(lst_CCtoGL,MATCH(H1119,lst_CCforGL,0)),""))</f>
        <v/>
      </c>
      <c r="L1119" s="10">
        <f>IF($BI1119="","",IF($B1119="Onsite",INDEX(tbl_Onsite[PO / Reference],$BI1119),IF($B1119="Production",INDEX(tbl_Production[Current RMS No],$BI1119),INDEX(tbl_Consulting[Qwilr Quote],$BI1119)))&amp;"")</f>
        <v/>
      </c>
      <c r="M1119" s="10">
        <f>IF($BI1119="","",IF($B1119="Onsite",INDEX(tbl_Onsite[Notes],$BI1119),IF($B1119="Production",INDEX(tbl_Production[Notes],$BI1119),INDEX(tbl_Consulting[Notes],$BI1119)))&amp;"")</f>
        <v/>
      </c>
      <c r="N1119" s="11">
        <f>IF($BI1119="","",IF(IF($B1119="Onsite",INDEX(tbl_Onsite[Expected Revenue Ex GST],$BI1119),IF($B1119="Production",INDEX(tbl_Production[Expected Revenue Ex GST],$BI1119),INDEX(tbl_Consulting[Expected Revenue Ex GST],$BI1119)))="","",IF($B1119="Onsite",INDEX(tbl_Onsite[Expected Revenue Ex GST],$BI1119),IF($B1119="Production",INDEX(tbl_Production[Expected Revenue Ex GST],$BI1119),INDEX(tbl_Consulting[Expected Revenue Ex GST],$BI1119)))))</f>
        <v/>
      </c>
      <c r="O1119" s="11">
        <f>IF(AND($C1119="",NOT(COUNTA($S1119:$BB1119)&gt;0)),"",SUM(U1119,X1119,AA1119,AD1119,AG1119,AJ1119,AM1119,AP1119,AS1119,AV1119,AY1119,BB1119))</f>
        <v/>
      </c>
      <c r="P1119" s="11">
        <f>IF(O1119="","",N(N1119)-O1119)</f>
        <v/>
      </c>
      <c r="Q1119" s="10">
        <f>IF(O1119="","",IF($C1119="","Invoice on empty job row",IF(N1119="",IF(ROUND(O1119,2)=0,"No dept value","Invoiced - no dept value"),IF(ROUND(O1119,2)=0,"Not invoiced - to invoice",IF(ROUND(P1119,2)=0,"Agrees",IF(P1119&gt;0,"Dept higher - to invoice","Xero higher - check dept"))))))</f>
        <v/>
      </c>
      <c r="R1119" s="10">
        <f>IF(AND($C1119="",NOT(COUNTA($S1119:$BB1119)&gt;0),$BI1119&lt;&gt;""),"",MID(IF($BI1119="","; Row ID not found on the department sheet - a row was deleted","")&amp;IF(AND($C1119="",COUNTA($S1119:$BB1119)&gt;0),"; Invoice entered but the department row has no job number","")&amp;IF(E1119="CHECK","; Job number not in the Xero job list","")&amp;IF(AND($C1119&lt;&gt;"",COUNTIF($C$7:$C$1506,$C1119)&gt;1),"; Job number on more than one row","")&amp;IF(AND($C1119&lt;&gt;"",H1119=""),"; Dept has not set a cost centre","")&amp;IF(AND($C1119&lt;&gt;"",J1119=""),"; Dept has not set a tax code","")&amp;IF(AND($C1119&lt;&gt;"",N1119=""),"; Dept has not entered an expected value","")&amp;IF((IF(OR(COUNTA(S1119:U1119)=0,AND(COUNTA(S1119:U1119)=3,ISNUMBER(U1119))),0,1)+IF(OR(COUNTA(V1119:X1119)=0,AND(COUNTA(V1119:X1119)=3,ISNUMBER(X1119))),0,1)+IF(OR(COUNTA(Y1119:AA1119)=0,AND(COUNTA(Y1119:AA1119)=3,ISNUMBER(AA1119))),0,1)+IF(OR(COUNTA(AB1119:AD1119)=0,AND(COUNTA(AB1119:AD1119)=3,ISNUMBER(AD1119))),0,1)+IF(OR(COUNTA(AE1119:AG1119)=0,AND(COUNTA(AE1119:AG1119)=3,ISNUMBER(AG1119))),0,1)+IF(OR(COUNTA(AH1119:AJ1119)=0,AND(COUNTA(AH1119:AJ1119)=3,ISNUMBER(AJ1119))),0,1)+IF(OR(COUNTA(AK1119:AM1119)=0,AND(COUNTA(AK1119:AM1119)=3,ISNUMBER(AM1119))),0,1)+IF(OR(COUNTA(AN1119:AP1119)=0,AND(COUNTA(AN1119:AP1119)=3,ISNUMBER(AP1119))),0,1)+IF(OR(COUNTA(AQ1119:AS1119)=0,AND(COUNTA(AQ1119:AS1119)=3,ISNUMBER(AS1119))),0,1)+IF(OR(COUNTA(AT1119:AV1119)=0,AND(COUNTA(AT1119:AV1119)=3,ISNUMBER(AV1119))),0,1)+IF(OR(COUNTA(AW1119:AY1119)=0,AND(COUNTA(AW1119:AY1119)=3,ISNUMBER(AY1119))),0,1)+IF(OR(COUNTA(AZ1119:BB1119)=0,AND(COUNTA(AZ1119:BB1119)=3,ISNUMBER(BB1119))),0,1))&gt;0,"; An invoice is incomplete (needs No, Date and a number in Ex GST)","")&amp;IF((IF(T1119="",0,IFERROR(--(EOMONTH(T1119,0)&lt;&gt;S$5),1))+IF(W1119="",0,IFERROR(--(EOMONTH(W1119,0)&lt;&gt;V$5),1))+IF(Z1119="",0,IFERROR(--(EOMONTH(Z1119,0)&lt;&gt;Y$5),1))+IF(AC1119="",0,IFERROR(--(EOMONTH(AC1119,0)&lt;&gt;AB$5),1))+IF(AF1119="",0,IFERROR(--(EOMONTH(AF1119,0)&lt;&gt;AE$5),1))+IF(AI1119="",0,IFERROR(--(EOMONTH(AI1119,0)&lt;&gt;AH$5),1))+IF(AL1119="",0,IFERROR(--(EOMONTH(AL1119,0)&lt;&gt;AK$5),1))+IF(AO1119="",0,IFERROR(--(EOMONTH(AO1119,0)&lt;&gt;AN$5),1))+IF(AR1119="",0,IFERROR(--(EOMONTH(AR1119,0)&lt;&gt;AQ$5),1))+IF(AU1119="",0,IFERROR(--(EOMONTH(AU1119,0)&lt;&gt;AT$5),1))+IF(AX1119="",0,IFERROR(--(EOMONTH(AX1119,0)&lt;&gt;AW$5),1))+IF(BA1119="",0,IFERROR(--(EOMONTH(BA1119,0)&lt;&gt;AZ$5),1)))&gt;0,"; An invoice date is not in the month it is typed under",""),3,500))</f>
        <v/>
      </c>
      <c r="S1119" s="12" t="n"/>
      <c r="T1119" s="13" t="n"/>
      <c r="U1119" s="14" t="n"/>
      <c r="V1119" s="12" t="n"/>
      <c r="W1119" s="13" t="n"/>
      <c r="X1119" s="14" t="n"/>
      <c r="Y1119" s="12" t="n"/>
      <c r="Z1119" s="13" t="n"/>
      <c r="AA1119" s="14" t="n"/>
      <c r="AB1119" s="12" t="n"/>
      <c r="AC1119" s="13" t="n"/>
      <c r="AD1119" s="14" t="n"/>
      <c r="AE1119" s="12" t="n"/>
      <c r="AF1119" s="13" t="n"/>
      <c r="AG1119" s="14" t="n"/>
      <c r="AH1119" s="12" t="n"/>
      <c r="AI1119" s="13" t="n"/>
      <c r="AJ1119" s="14" t="n"/>
      <c r="AK1119" s="12" t="n"/>
      <c r="AL1119" s="13" t="n"/>
      <c r="AM1119" s="14" t="n"/>
      <c r="AN1119" s="12" t="n"/>
      <c r="AO1119" s="13" t="n"/>
      <c r="AP1119" s="14" t="n"/>
      <c r="AQ1119" s="12" t="n"/>
      <c r="AR1119" s="13" t="n"/>
      <c r="AS1119" s="14" t="n"/>
      <c r="AT1119" s="12" t="n"/>
      <c r="AU1119" s="13" t="n"/>
      <c r="AV1119" s="14" t="n"/>
      <c r="AW1119" s="12" t="n"/>
      <c r="AX1119" s="13" t="n"/>
      <c r="AY1119" s="14" t="n"/>
      <c r="AZ1119" s="12" t="n"/>
      <c r="BA1119" s="13" t="n"/>
      <c r="BB1119" s="14" t="n"/>
      <c r="BC1119" s="11">
        <f>IF(O1119="","",IF(J1119="GST 10%",ROUND(O1119*set_GSTRate,2),0))</f>
        <v/>
      </c>
      <c r="BD1119" s="11">
        <f>IF(O1119="","",O1119+BC1119)</f>
        <v/>
      </c>
      <c r="BE1119" s="15">
        <f>IF(O1119="","",COUNTA(S1119,V1119,Y1119,AB1119,AE1119,AH1119,AK1119,AN1119,AQ1119,AT1119,AW1119,AZ1119))</f>
        <v/>
      </c>
      <c r="BF1119" s="16">
        <f>IF(COUNT(T1119,W1119,Z1119,AC1119,AF1119,AI1119,AL1119,AO1119,AR1119,AU1119,AX1119,BA1119)=0,"",MAX(T1119,W1119,Z1119,AC1119,AF1119,AI1119,AL1119,AO1119,AR1119,AU1119,AX1119,BA1119))</f>
        <v/>
      </c>
      <c r="BG1119" s="10">
        <f>MID(IF(S1119="","",", "&amp;S1119)&amp;IF(V1119="","",", "&amp;V1119)&amp;IF(Y1119="","",", "&amp;Y1119)&amp;IF(AB1119="","",", "&amp;AB1119)&amp;IF(AE1119="","",", "&amp;AE1119)&amp;IF(AH1119="","",", "&amp;AH1119)&amp;IF(AK1119="","",", "&amp;AK1119)&amp;IF(AN1119="","",", "&amp;AN1119)&amp;IF(AQ1119="","",", "&amp;AQ1119)&amp;IF(AT1119="","",", "&amp;AT1119)&amp;IF(AW1119="","",", "&amp;AW1119)&amp;IF(AZ1119="","",", "&amp;AZ1119),3,500)</f>
        <v/>
      </c>
      <c r="BH1119" s="12" t="n"/>
      <c r="BI1119" s="15">
        <f>IFERROR(MATCH($A1119,IF($B1119="Onsite",tbl_Onsite[Row ID],IF($B1119="Production",tbl_Production[Row ID],tbl_Consulting[Row ID])),0),"")</f>
        <v/>
      </c>
    </row>
    <row r="1120">
      <c r="A1120" s="10" t="inlineStr">
        <is>
          <t>CON-0114</t>
        </is>
      </c>
      <c r="B1120" s="10" t="inlineStr">
        <is>
          <t>Consulting</t>
        </is>
      </c>
      <c r="C1120" s="10">
        <f>IF($BI1120="","",IF($B1120="Onsite",INDEX(tbl_Onsite[Job Number],$BI1120),IF($B1120="Production",INDEX(tbl_Production[Job Number],$BI1120),INDEX(tbl_Consulting[Job Number],$BI1120)))&amp;"")</f>
        <v/>
      </c>
      <c r="D1120" s="10">
        <f>IF($BI1120="","",IF($B1120="Onsite",INDEX(tbl_Onsite[Client],$BI1120),IF($B1120="Production",INDEX(tbl_Production[Client],$BI1120),INDEX(tbl_Consulting[Client],$BI1120)))&amp;"")</f>
        <v/>
      </c>
      <c r="E1120" s="10">
        <f>IF($C1120="","",IF(COUNTIF(lst_Jobs,$C1120)&gt;0,"OK","CHECK"))</f>
        <v/>
      </c>
      <c r="F1120" s="10">
        <f>IF($C1120="","",IFERROR(INDEX(lst_JobName,MATCH($C1120,lst_Jobs,0)),""))</f>
        <v/>
      </c>
      <c r="G1120" s="10">
        <f>IF($BI1120="","",IF($B1120="Onsite",INDEX(tbl_Onsite[Job Description],$BI1120),IF($B1120="Production",INDEX(tbl_Production[Job Description],$BI1120),INDEX(tbl_Consulting[Job Description],$BI1120)))&amp;"")</f>
        <v/>
      </c>
      <c r="H1120" s="10">
        <f>IF($BI1120="","",IF($B1120="Onsite",INDEX(tbl_Onsite[Cost Centre],$BI1120),IF($B1120="Production",INDEX(tbl_Production[Cost Centre],$BI1120),INDEX(tbl_Consulting[Cost Centre],$BI1120)))&amp;"")</f>
        <v/>
      </c>
      <c r="I1120" s="10">
        <f>IF($BI1120="","",IF($B1120="Onsite",INDEX(tbl_Onsite[Invoice Type],$BI1120),IF($B1120="Production",INDEX(tbl_Production[Invoice Type],$BI1120),INDEX(tbl_Consulting[Invoice Type],$BI1120)))&amp;"")</f>
        <v/>
      </c>
      <c r="J1120" s="10">
        <f>IF($BI1120="","",IF($B1120="Onsite",INDEX(tbl_Onsite[Tax Code],$BI1120),IF($B1120="Production",INDEX(tbl_Production[Tax Code],$BI1120),INDEX(tbl_Consulting[Tax Code],$BI1120)))&amp;"")</f>
        <v/>
      </c>
      <c r="K1120" s="10">
        <f>IF(H1120="","",IFERROR(INDEX(lst_CCtoGL,MATCH(H1120,lst_CCforGL,0)),""))</f>
        <v/>
      </c>
      <c r="L1120" s="10">
        <f>IF($BI1120="","",IF($B1120="Onsite",INDEX(tbl_Onsite[PO / Reference],$BI1120),IF($B1120="Production",INDEX(tbl_Production[Current RMS No],$BI1120),INDEX(tbl_Consulting[Qwilr Quote],$BI1120)))&amp;"")</f>
        <v/>
      </c>
      <c r="M1120" s="10">
        <f>IF($BI1120="","",IF($B1120="Onsite",INDEX(tbl_Onsite[Notes],$BI1120),IF($B1120="Production",INDEX(tbl_Production[Notes],$BI1120),INDEX(tbl_Consulting[Notes],$BI1120)))&amp;"")</f>
        <v/>
      </c>
      <c r="N1120" s="11">
        <f>IF($BI1120="","",IF(IF($B1120="Onsite",INDEX(tbl_Onsite[Expected Revenue Ex GST],$BI1120),IF($B1120="Production",INDEX(tbl_Production[Expected Revenue Ex GST],$BI1120),INDEX(tbl_Consulting[Expected Revenue Ex GST],$BI1120)))="","",IF($B1120="Onsite",INDEX(tbl_Onsite[Expected Revenue Ex GST],$BI1120),IF($B1120="Production",INDEX(tbl_Production[Expected Revenue Ex GST],$BI1120),INDEX(tbl_Consulting[Expected Revenue Ex GST],$BI1120)))))</f>
        <v/>
      </c>
      <c r="O1120" s="11">
        <f>IF(AND($C1120="",NOT(COUNTA($S1120:$BB1120)&gt;0)),"",SUM(U1120,X1120,AA1120,AD1120,AG1120,AJ1120,AM1120,AP1120,AS1120,AV1120,AY1120,BB1120))</f>
        <v/>
      </c>
      <c r="P1120" s="11">
        <f>IF(O1120="","",N(N1120)-O1120)</f>
        <v/>
      </c>
      <c r="Q1120" s="10">
        <f>IF(O1120="","",IF($C1120="","Invoice on empty job row",IF(N1120="",IF(ROUND(O1120,2)=0,"No dept value","Invoiced - no dept value"),IF(ROUND(O1120,2)=0,"Not invoiced - to invoice",IF(ROUND(P1120,2)=0,"Agrees",IF(P1120&gt;0,"Dept higher - to invoice","Xero higher - check dept"))))))</f>
        <v/>
      </c>
      <c r="R1120" s="10">
        <f>IF(AND($C1120="",NOT(COUNTA($S1120:$BB1120)&gt;0),$BI1120&lt;&gt;""),"",MID(IF($BI1120="","; Row ID not found on the department sheet - a row was deleted","")&amp;IF(AND($C1120="",COUNTA($S1120:$BB1120)&gt;0),"; Invoice entered but the department row has no job number","")&amp;IF(E1120="CHECK","; Job number not in the Xero job list","")&amp;IF(AND($C1120&lt;&gt;"",COUNTIF($C$7:$C$1506,$C1120)&gt;1),"; Job number on more than one row","")&amp;IF(AND($C1120&lt;&gt;"",H1120=""),"; Dept has not set a cost centre","")&amp;IF(AND($C1120&lt;&gt;"",J1120=""),"; Dept has not set a tax code","")&amp;IF(AND($C1120&lt;&gt;"",N1120=""),"; Dept has not entered an expected value","")&amp;IF((IF(OR(COUNTA(S1120:U1120)=0,AND(COUNTA(S1120:U1120)=3,ISNUMBER(U1120))),0,1)+IF(OR(COUNTA(V1120:X1120)=0,AND(COUNTA(V1120:X1120)=3,ISNUMBER(X1120))),0,1)+IF(OR(COUNTA(Y1120:AA1120)=0,AND(COUNTA(Y1120:AA1120)=3,ISNUMBER(AA1120))),0,1)+IF(OR(COUNTA(AB1120:AD1120)=0,AND(COUNTA(AB1120:AD1120)=3,ISNUMBER(AD1120))),0,1)+IF(OR(COUNTA(AE1120:AG1120)=0,AND(COUNTA(AE1120:AG1120)=3,ISNUMBER(AG1120))),0,1)+IF(OR(COUNTA(AH1120:AJ1120)=0,AND(COUNTA(AH1120:AJ1120)=3,ISNUMBER(AJ1120))),0,1)+IF(OR(COUNTA(AK1120:AM1120)=0,AND(COUNTA(AK1120:AM1120)=3,ISNUMBER(AM1120))),0,1)+IF(OR(COUNTA(AN1120:AP1120)=0,AND(COUNTA(AN1120:AP1120)=3,ISNUMBER(AP1120))),0,1)+IF(OR(COUNTA(AQ1120:AS1120)=0,AND(COUNTA(AQ1120:AS1120)=3,ISNUMBER(AS1120))),0,1)+IF(OR(COUNTA(AT1120:AV1120)=0,AND(COUNTA(AT1120:AV1120)=3,ISNUMBER(AV1120))),0,1)+IF(OR(COUNTA(AW1120:AY1120)=0,AND(COUNTA(AW1120:AY1120)=3,ISNUMBER(AY1120))),0,1)+IF(OR(COUNTA(AZ1120:BB1120)=0,AND(COUNTA(AZ1120:BB1120)=3,ISNUMBER(BB1120))),0,1))&gt;0,"; An invoice is incomplete (needs No, Date and a number in Ex GST)","")&amp;IF((IF(T1120="",0,IFERROR(--(EOMONTH(T1120,0)&lt;&gt;S$5),1))+IF(W1120="",0,IFERROR(--(EOMONTH(W1120,0)&lt;&gt;V$5),1))+IF(Z1120="",0,IFERROR(--(EOMONTH(Z1120,0)&lt;&gt;Y$5),1))+IF(AC1120="",0,IFERROR(--(EOMONTH(AC1120,0)&lt;&gt;AB$5),1))+IF(AF1120="",0,IFERROR(--(EOMONTH(AF1120,0)&lt;&gt;AE$5),1))+IF(AI1120="",0,IFERROR(--(EOMONTH(AI1120,0)&lt;&gt;AH$5),1))+IF(AL1120="",0,IFERROR(--(EOMONTH(AL1120,0)&lt;&gt;AK$5),1))+IF(AO1120="",0,IFERROR(--(EOMONTH(AO1120,0)&lt;&gt;AN$5),1))+IF(AR1120="",0,IFERROR(--(EOMONTH(AR1120,0)&lt;&gt;AQ$5),1))+IF(AU1120="",0,IFERROR(--(EOMONTH(AU1120,0)&lt;&gt;AT$5),1))+IF(AX1120="",0,IFERROR(--(EOMONTH(AX1120,0)&lt;&gt;AW$5),1))+IF(BA1120="",0,IFERROR(--(EOMONTH(BA1120,0)&lt;&gt;AZ$5),1)))&gt;0,"; An invoice date is not in the month it is typed under",""),3,500))</f>
        <v/>
      </c>
      <c r="S1120" s="12" t="n"/>
      <c r="T1120" s="13" t="n"/>
      <c r="U1120" s="14" t="n"/>
      <c r="V1120" s="12" t="n"/>
      <c r="W1120" s="13" t="n"/>
      <c r="X1120" s="14" t="n"/>
      <c r="Y1120" s="12" t="n"/>
      <c r="Z1120" s="13" t="n"/>
      <c r="AA1120" s="14" t="n"/>
      <c r="AB1120" s="12" t="n"/>
      <c r="AC1120" s="13" t="n"/>
      <c r="AD1120" s="14" t="n"/>
      <c r="AE1120" s="12" t="n"/>
      <c r="AF1120" s="13" t="n"/>
      <c r="AG1120" s="14" t="n"/>
      <c r="AH1120" s="12" t="n"/>
      <c r="AI1120" s="13" t="n"/>
      <c r="AJ1120" s="14" t="n"/>
      <c r="AK1120" s="12" t="n"/>
      <c r="AL1120" s="13" t="n"/>
      <c r="AM1120" s="14" t="n"/>
      <c r="AN1120" s="12" t="n"/>
      <c r="AO1120" s="13" t="n"/>
      <c r="AP1120" s="14" t="n"/>
      <c r="AQ1120" s="12" t="n"/>
      <c r="AR1120" s="13" t="n"/>
      <c r="AS1120" s="14" t="n"/>
      <c r="AT1120" s="12" t="n"/>
      <c r="AU1120" s="13" t="n"/>
      <c r="AV1120" s="14" t="n"/>
      <c r="AW1120" s="12" t="n"/>
      <c r="AX1120" s="13" t="n"/>
      <c r="AY1120" s="14" t="n"/>
      <c r="AZ1120" s="12" t="n"/>
      <c r="BA1120" s="13" t="n"/>
      <c r="BB1120" s="14" t="n"/>
      <c r="BC1120" s="11">
        <f>IF(O1120="","",IF(J1120="GST 10%",ROUND(O1120*set_GSTRate,2),0))</f>
        <v/>
      </c>
      <c r="BD1120" s="11">
        <f>IF(O1120="","",O1120+BC1120)</f>
        <v/>
      </c>
      <c r="BE1120" s="15">
        <f>IF(O1120="","",COUNTA(S1120,V1120,Y1120,AB1120,AE1120,AH1120,AK1120,AN1120,AQ1120,AT1120,AW1120,AZ1120))</f>
        <v/>
      </c>
      <c r="BF1120" s="16">
        <f>IF(COUNT(T1120,W1120,Z1120,AC1120,AF1120,AI1120,AL1120,AO1120,AR1120,AU1120,AX1120,BA1120)=0,"",MAX(T1120,W1120,Z1120,AC1120,AF1120,AI1120,AL1120,AO1120,AR1120,AU1120,AX1120,BA1120))</f>
        <v/>
      </c>
      <c r="BG1120" s="10">
        <f>MID(IF(S1120="","",", "&amp;S1120)&amp;IF(V1120="","",", "&amp;V1120)&amp;IF(Y1120="","",", "&amp;Y1120)&amp;IF(AB1120="","",", "&amp;AB1120)&amp;IF(AE1120="","",", "&amp;AE1120)&amp;IF(AH1120="","",", "&amp;AH1120)&amp;IF(AK1120="","",", "&amp;AK1120)&amp;IF(AN1120="","",", "&amp;AN1120)&amp;IF(AQ1120="","",", "&amp;AQ1120)&amp;IF(AT1120="","",", "&amp;AT1120)&amp;IF(AW1120="","",", "&amp;AW1120)&amp;IF(AZ1120="","",", "&amp;AZ1120),3,500)</f>
        <v/>
      </c>
      <c r="BH1120" s="12" t="n"/>
      <c r="BI1120" s="15">
        <f>IFERROR(MATCH($A1120,IF($B1120="Onsite",tbl_Onsite[Row ID],IF($B1120="Production",tbl_Production[Row ID],tbl_Consulting[Row ID])),0),"")</f>
        <v/>
      </c>
    </row>
    <row r="1121">
      <c r="A1121" s="10" t="inlineStr">
        <is>
          <t>CON-0115</t>
        </is>
      </c>
      <c r="B1121" s="10" t="inlineStr">
        <is>
          <t>Consulting</t>
        </is>
      </c>
      <c r="C1121" s="10">
        <f>IF($BI1121="","",IF($B1121="Onsite",INDEX(tbl_Onsite[Job Number],$BI1121),IF($B1121="Production",INDEX(tbl_Production[Job Number],$BI1121),INDEX(tbl_Consulting[Job Number],$BI1121)))&amp;"")</f>
        <v/>
      </c>
      <c r="D1121" s="10">
        <f>IF($BI1121="","",IF($B1121="Onsite",INDEX(tbl_Onsite[Client],$BI1121),IF($B1121="Production",INDEX(tbl_Production[Client],$BI1121),INDEX(tbl_Consulting[Client],$BI1121)))&amp;"")</f>
        <v/>
      </c>
      <c r="E1121" s="10">
        <f>IF($C1121="","",IF(COUNTIF(lst_Jobs,$C1121)&gt;0,"OK","CHECK"))</f>
        <v/>
      </c>
      <c r="F1121" s="10">
        <f>IF($C1121="","",IFERROR(INDEX(lst_JobName,MATCH($C1121,lst_Jobs,0)),""))</f>
        <v/>
      </c>
      <c r="G1121" s="10">
        <f>IF($BI1121="","",IF($B1121="Onsite",INDEX(tbl_Onsite[Job Description],$BI1121),IF($B1121="Production",INDEX(tbl_Production[Job Description],$BI1121),INDEX(tbl_Consulting[Job Description],$BI1121)))&amp;"")</f>
        <v/>
      </c>
      <c r="H1121" s="10">
        <f>IF($BI1121="","",IF($B1121="Onsite",INDEX(tbl_Onsite[Cost Centre],$BI1121),IF($B1121="Production",INDEX(tbl_Production[Cost Centre],$BI1121),INDEX(tbl_Consulting[Cost Centre],$BI1121)))&amp;"")</f>
        <v/>
      </c>
      <c r="I1121" s="10">
        <f>IF($BI1121="","",IF($B1121="Onsite",INDEX(tbl_Onsite[Invoice Type],$BI1121),IF($B1121="Production",INDEX(tbl_Production[Invoice Type],$BI1121),INDEX(tbl_Consulting[Invoice Type],$BI1121)))&amp;"")</f>
        <v/>
      </c>
      <c r="J1121" s="10">
        <f>IF($BI1121="","",IF($B1121="Onsite",INDEX(tbl_Onsite[Tax Code],$BI1121),IF($B1121="Production",INDEX(tbl_Production[Tax Code],$BI1121),INDEX(tbl_Consulting[Tax Code],$BI1121)))&amp;"")</f>
        <v/>
      </c>
      <c r="K1121" s="10">
        <f>IF(H1121="","",IFERROR(INDEX(lst_CCtoGL,MATCH(H1121,lst_CCforGL,0)),""))</f>
        <v/>
      </c>
      <c r="L1121" s="10">
        <f>IF($BI1121="","",IF($B1121="Onsite",INDEX(tbl_Onsite[PO / Reference],$BI1121),IF($B1121="Production",INDEX(tbl_Production[Current RMS No],$BI1121),INDEX(tbl_Consulting[Qwilr Quote],$BI1121)))&amp;"")</f>
        <v/>
      </c>
      <c r="M1121" s="10">
        <f>IF($BI1121="","",IF($B1121="Onsite",INDEX(tbl_Onsite[Notes],$BI1121),IF($B1121="Production",INDEX(tbl_Production[Notes],$BI1121),INDEX(tbl_Consulting[Notes],$BI1121)))&amp;"")</f>
        <v/>
      </c>
      <c r="N1121" s="11">
        <f>IF($BI1121="","",IF(IF($B1121="Onsite",INDEX(tbl_Onsite[Expected Revenue Ex GST],$BI1121),IF($B1121="Production",INDEX(tbl_Production[Expected Revenue Ex GST],$BI1121),INDEX(tbl_Consulting[Expected Revenue Ex GST],$BI1121)))="","",IF($B1121="Onsite",INDEX(tbl_Onsite[Expected Revenue Ex GST],$BI1121),IF($B1121="Production",INDEX(tbl_Production[Expected Revenue Ex GST],$BI1121),INDEX(tbl_Consulting[Expected Revenue Ex GST],$BI1121)))))</f>
        <v/>
      </c>
      <c r="O1121" s="11">
        <f>IF(AND($C1121="",NOT(COUNTA($S1121:$BB1121)&gt;0)),"",SUM(U1121,X1121,AA1121,AD1121,AG1121,AJ1121,AM1121,AP1121,AS1121,AV1121,AY1121,BB1121))</f>
        <v/>
      </c>
      <c r="P1121" s="11">
        <f>IF(O1121="","",N(N1121)-O1121)</f>
        <v/>
      </c>
      <c r="Q1121" s="10">
        <f>IF(O1121="","",IF($C1121="","Invoice on empty job row",IF(N1121="",IF(ROUND(O1121,2)=0,"No dept value","Invoiced - no dept value"),IF(ROUND(O1121,2)=0,"Not invoiced - to invoice",IF(ROUND(P1121,2)=0,"Agrees",IF(P1121&gt;0,"Dept higher - to invoice","Xero higher - check dept"))))))</f>
        <v/>
      </c>
      <c r="R1121" s="10">
        <f>IF(AND($C1121="",NOT(COUNTA($S1121:$BB1121)&gt;0),$BI1121&lt;&gt;""),"",MID(IF($BI1121="","; Row ID not found on the department sheet - a row was deleted","")&amp;IF(AND($C1121="",COUNTA($S1121:$BB1121)&gt;0),"; Invoice entered but the department row has no job number","")&amp;IF(E1121="CHECK","; Job number not in the Xero job list","")&amp;IF(AND($C1121&lt;&gt;"",COUNTIF($C$7:$C$1506,$C1121)&gt;1),"; Job number on more than one row","")&amp;IF(AND($C1121&lt;&gt;"",H1121=""),"; Dept has not set a cost centre","")&amp;IF(AND($C1121&lt;&gt;"",J1121=""),"; Dept has not set a tax code","")&amp;IF(AND($C1121&lt;&gt;"",N1121=""),"; Dept has not entered an expected value","")&amp;IF((IF(OR(COUNTA(S1121:U1121)=0,AND(COUNTA(S1121:U1121)=3,ISNUMBER(U1121))),0,1)+IF(OR(COUNTA(V1121:X1121)=0,AND(COUNTA(V1121:X1121)=3,ISNUMBER(X1121))),0,1)+IF(OR(COUNTA(Y1121:AA1121)=0,AND(COUNTA(Y1121:AA1121)=3,ISNUMBER(AA1121))),0,1)+IF(OR(COUNTA(AB1121:AD1121)=0,AND(COUNTA(AB1121:AD1121)=3,ISNUMBER(AD1121))),0,1)+IF(OR(COUNTA(AE1121:AG1121)=0,AND(COUNTA(AE1121:AG1121)=3,ISNUMBER(AG1121))),0,1)+IF(OR(COUNTA(AH1121:AJ1121)=0,AND(COUNTA(AH1121:AJ1121)=3,ISNUMBER(AJ1121))),0,1)+IF(OR(COUNTA(AK1121:AM1121)=0,AND(COUNTA(AK1121:AM1121)=3,ISNUMBER(AM1121))),0,1)+IF(OR(COUNTA(AN1121:AP1121)=0,AND(COUNTA(AN1121:AP1121)=3,ISNUMBER(AP1121))),0,1)+IF(OR(COUNTA(AQ1121:AS1121)=0,AND(COUNTA(AQ1121:AS1121)=3,ISNUMBER(AS1121))),0,1)+IF(OR(COUNTA(AT1121:AV1121)=0,AND(COUNTA(AT1121:AV1121)=3,ISNUMBER(AV1121))),0,1)+IF(OR(COUNTA(AW1121:AY1121)=0,AND(COUNTA(AW1121:AY1121)=3,ISNUMBER(AY1121))),0,1)+IF(OR(COUNTA(AZ1121:BB1121)=0,AND(COUNTA(AZ1121:BB1121)=3,ISNUMBER(BB1121))),0,1))&gt;0,"; An invoice is incomplete (needs No, Date and a number in Ex GST)","")&amp;IF((IF(T1121="",0,IFERROR(--(EOMONTH(T1121,0)&lt;&gt;S$5),1))+IF(W1121="",0,IFERROR(--(EOMONTH(W1121,0)&lt;&gt;V$5),1))+IF(Z1121="",0,IFERROR(--(EOMONTH(Z1121,0)&lt;&gt;Y$5),1))+IF(AC1121="",0,IFERROR(--(EOMONTH(AC1121,0)&lt;&gt;AB$5),1))+IF(AF1121="",0,IFERROR(--(EOMONTH(AF1121,0)&lt;&gt;AE$5),1))+IF(AI1121="",0,IFERROR(--(EOMONTH(AI1121,0)&lt;&gt;AH$5),1))+IF(AL1121="",0,IFERROR(--(EOMONTH(AL1121,0)&lt;&gt;AK$5),1))+IF(AO1121="",0,IFERROR(--(EOMONTH(AO1121,0)&lt;&gt;AN$5),1))+IF(AR1121="",0,IFERROR(--(EOMONTH(AR1121,0)&lt;&gt;AQ$5),1))+IF(AU1121="",0,IFERROR(--(EOMONTH(AU1121,0)&lt;&gt;AT$5),1))+IF(AX1121="",0,IFERROR(--(EOMONTH(AX1121,0)&lt;&gt;AW$5),1))+IF(BA1121="",0,IFERROR(--(EOMONTH(BA1121,0)&lt;&gt;AZ$5),1)))&gt;0,"; An invoice date is not in the month it is typed under",""),3,500))</f>
        <v/>
      </c>
      <c r="S1121" s="12" t="n"/>
      <c r="T1121" s="13" t="n"/>
      <c r="U1121" s="14" t="n"/>
      <c r="V1121" s="12" t="n"/>
      <c r="W1121" s="13" t="n"/>
      <c r="X1121" s="14" t="n"/>
      <c r="Y1121" s="12" t="n"/>
      <c r="Z1121" s="13" t="n"/>
      <c r="AA1121" s="14" t="n"/>
      <c r="AB1121" s="12" t="n"/>
      <c r="AC1121" s="13" t="n"/>
      <c r="AD1121" s="14" t="n"/>
      <c r="AE1121" s="12" t="n"/>
      <c r="AF1121" s="13" t="n"/>
      <c r="AG1121" s="14" t="n"/>
      <c r="AH1121" s="12" t="n"/>
      <c r="AI1121" s="13" t="n"/>
      <c r="AJ1121" s="14" t="n"/>
      <c r="AK1121" s="12" t="n"/>
      <c r="AL1121" s="13" t="n"/>
      <c r="AM1121" s="14" t="n"/>
      <c r="AN1121" s="12" t="n"/>
      <c r="AO1121" s="13" t="n"/>
      <c r="AP1121" s="14" t="n"/>
      <c r="AQ1121" s="12" t="n"/>
      <c r="AR1121" s="13" t="n"/>
      <c r="AS1121" s="14" t="n"/>
      <c r="AT1121" s="12" t="n"/>
      <c r="AU1121" s="13" t="n"/>
      <c r="AV1121" s="14" t="n"/>
      <c r="AW1121" s="12" t="n"/>
      <c r="AX1121" s="13" t="n"/>
      <c r="AY1121" s="14" t="n"/>
      <c r="AZ1121" s="12" t="n"/>
      <c r="BA1121" s="13" t="n"/>
      <c r="BB1121" s="14" t="n"/>
      <c r="BC1121" s="11">
        <f>IF(O1121="","",IF(J1121="GST 10%",ROUND(O1121*set_GSTRate,2),0))</f>
        <v/>
      </c>
      <c r="BD1121" s="11">
        <f>IF(O1121="","",O1121+BC1121)</f>
        <v/>
      </c>
      <c r="BE1121" s="15">
        <f>IF(O1121="","",COUNTA(S1121,V1121,Y1121,AB1121,AE1121,AH1121,AK1121,AN1121,AQ1121,AT1121,AW1121,AZ1121))</f>
        <v/>
      </c>
      <c r="BF1121" s="16">
        <f>IF(COUNT(T1121,W1121,Z1121,AC1121,AF1121,AI1121,AL1121,AO1121,AR1121,AU1121,AX1121,BA1121)=0,"",MAX(T1121,W1121,Z1121,AC1121,AF1121,AI1121,AL1121,AO1121,AR1121,AU1121,AX1121,BA1121))</f>
        <v/>
      </c>
      <c r="BG1121" s="10">
        <f>MID(IF(S1121="","",", "&amp;S1121)&amp;IF(V1121="","",", "&amp;V1121)&amp;IF(Y1121="","",", "&amp;Y1121)&amp;IF(AB1121="","",", "&amp;AB1121)&amp;IF(AE1121="","",", "&amp;AE1121)&amp;IF(AH1121="","",", "&amp;AH1121)&amp;IF(AK1121="","",", "&amp;AK1121)&amp;IF(AN1121="","",", "&amp;AN1121)&amp;IF(AQ1121="","",", "&amp;AQ1121)&amp;IF(AT1121="","",", "&amp;AT1121)&amp;IF(AW1121="","",", "&amp;AW1121)&amp;IF(AZ1121="","",", "&amp;AZ1121),3,500)</f>
        <v/>
      </c>
      <c r="BH1121" s="12" t="n"/>
      <c r="BI1121" s="15">
        <f>IFERROR(MATCH($A1121,IF($B1121="Onsite",tbl_Onsite[Row ID],IF($B1121="Production",tbl_Production[Row ID],tbl_Consulting[Row ID])),0),"")</f>
        <v/>
      </c>
    </row>
    <row r="1122">
      <c r="A1122" s="10" t="inlineStr">
        <is>
          <t>CON-0116</t>
        </is>
      </c>
      <c r="B1122" s="10" t="inlineStr">
        <is>
          <t>Consulting</t>
        </is>
      </c>
      <c r="C1122" s="10">
        <f>IF($BI1122="","",IF($B1122="Onsite",INDEX(tbl_Onsite[Job Number],$BI1122),IF($B1122="Production",INDEX(tbl_Production[Job Number],$BI1122),INDEX(tbl_Consulting[Job Number],$BI1122)))&amp;"")</f>
        <v/>
      </c>
      <c r="D1122" s="10">
        <f>IF($BI1122="","",IF($B1122="Onsite",INDEX(tbl_Onsite[Client],$BI1122),IF($B1122="Production",INDEX(tbl_Production[Client],$BI1122),INDEX(tbl_Consulting[Client],$BI1122)))&amp;"")</f>
        <v/>
      </c>
      <c r="E1122" s="10">
        <f>IF($C1122="","",IF(COUNTIF(lst_Jobs,$C1122)&gt;0,"OK","CHECK"))</f>
        <v/>
      </c>
      <c r="F1122" s="10">
        <f>IF($C1122="","",IFERROR(INDEX(lst_JobName,MATCH($C1122,lst_Jobs,0)),""))</f>
        <v/>
      </c>
      <c r="G1122" s="10">
        <f>IF($BI1122="","",IF($B1122="Onsite",INDEX(tbl_Onsite[Job Description],$BI1122),IF($B1122="Production",INDEX(tbl_Production[Job Description],$BI1122),INDEX(tbl_Consulting[Job Description],$BI1122)))&amp;"")</f>
        <v/>
      </c>
      <c r="H1122" s="10">
        <f>IF($BI1122="","",IF($B1122="Onsite",INDEX(tbl_Onsite[Cost Centre],$BI1122),IF($B1122="Production",INDEX(tbl_Production[Cost Centre],$BI1122),INDEX(tbl_Consulting[Cost Centre],$BI1122)))&amp;"")</f>
        <v/>
      </c>
      <c r="I1122" s="10">
        <f>IF($BI1122="","",IF($B1122="Onsite",INDEX(tbl_Onsite[Invoice Type],$BI1122),IF($B1122="Production",INDEX(tbl_Production[Invoice Type],$BI1122),INDEX(tbl_Consulting[Invoice Type],$BI1122)))&amp;"")</f>
        <v/>
      </c>
      <c r="J1122" s="10">
        <f>IF($BI1122="","",IF($B1122="Onsite",INDEX(tbl_Onsite[Tax Code],$BI1122),IF($B1122="Production",INDEX(tbl_Production[Tax Code],$BI1122),INDEX(tbl_Consulting[Tax Code],$BI1122)))&amp;"")</f>
        <v/>
      </c>
      <c r="K1122" s="10">
        <f>IF(H1122="","",IFERROR(INDEX(lst_CCtoGL,MATCH(H1122,lst_CCforGL,0)),""))</f>
        <v/>
      </c>
      <c r="L1122" s="10">
        <f>IF($BI1122="","",IF($B1122="Onsite",INDEX(tbl_Onsite[PO / Reference],$BI1122),IF($B1122="Production",INDEX(tbl_Production[Current RMS No],$BI1122),INDEX(tbl_Consulting[Qwilr Quote],$BI1122)))&amp;"")</f>
        <v/>
      </c>
      <c r="M1122" s="10">
        <f>IF($BI1122="","",IF($B1122="Onsite",INDEX(tbl_Onsite[Notes],$BI1122),IF($B1122="Production",INDEX(tbl_Production[Notes],$BI1122),INDEX(tbl_Consulting[Notes],$BI1122)))&amp;"")</f>
        <v/>
      </c>
      <c r="N1122" s="11">
        <f>IF($BI1122="","",IF(IF($B1122="Onsite",INDEX(tbl_Onsite[Expected Revenue Ex GST],$BI1122),IF($B1122="Production",INDEX(tbl_Production[Expected Revenue Ex GST],$BI1122),INDEX(tbl_Consulting[Expected Revenue Ex GST],$BI1122)))="","",IF($B1122="Onsite",INDEX(tbl_Onsite[Expected Revenue Ex GST],$BI1122),IF($B1122="Production",INDEX(tbl_Production[Expected Revenue Ex GST],$BI1122),INDEX(tbl_Consulting[Expected Revenue Ex GST],$BI1122)))))</f>
        <v/>
      </c>
      <c r="O1122" s="11">
        <f>IF(AND($C1122="",NOT(COUNTA($S1122:$BB1122)&gt;0)),"",SUM(U1122,X1122,AA1122,AD1122,AG1122,AJ1122,AM1122,AP1122,AS1122,AV1122,AY1122,BB1122))</f>
        <v/>
      </c>
      <c r="P1122" s="11">
        <f>IF(O1122="","",N(N1122)-O1122)</f>
        <v/>
      </c>
      <c r="Q1122" s="10">
        <f>IF(O1122="","",IF($C1122="","Invoice on empty job row",IF(N1122="",IF(ROUND(O1122,2)=0,"No dept value","Invoiced - no dept value"),IF(ROUND(O1122,2)=0,"Not invoiced - to invoice",IF(ROUND(P1122,2)=0,"Agrees",IF(P1122&gt;0,"Dept higher - to invoice","Xero higher - check dept"))))))</f>
        <v/>
      </c>
      <c r="R1122" s="10">
        <f>IF(AND($C1122="",NOT(COUNTA($S1122:$BB1122)&gt;0),$BI1122&lt;&gt;""),"",MID(IF($BI1122="","; Row ID not found on the department sheet - a row was deleted","")&amp;IF(AND($C1122="",COUNTA($S1122:$BB1122)&gt;0),"; Invoice entered but the department row has no job number","")&amp;IF(E1122="CHECK","; Job number not in the Xero job list","")&amp;IF(AND($C1122&lt;&gt;"",COUNTIF($C$7:$C$1506,$C1122)&gt;1),"; Job number on more than one row","")&amp;IF(AND($C1122&lt;&gt;"",H1122=""),"; Dept has not set a cost centre","")&amp;IF(AND($C1122&lt;&gt;"",J1122=""),"; Dept has not set a tax code","")&amp;IF(AND($C1122&lt;&gt;"",N1122=""),"; Dept has not entered an expected value","")&amp;IF((IF(OR(COUNTA(S1122:U1122)=0,AND(COUNTA(S1122:U1122)=3,ISNUMBER(U1122))),0,1)+IF(OR(COUNTA(V1122:X1122)=0,AND(COUNTA(V1122:X1122)=3,ISNUMBER(X1122))),0,1)+IF(OR(COUNTA(Y1122:AA1122)=0,AND(COUNTA(Y1122:AA1122)=3,ISNUMBER(AA1122))),0,1)+IF(OR(COUNTA(AB1122:AD1122)=0,AND(COUNTA(AB1122:AD1122)=3,ISNUMBER(AD1122))),0,1)+IF(OR(COUNTA(AE1122:AG1122)=0,AND(COUNTA(AE1122:AG1122)=3,ISNUMBER(AG1122))),0,1)+IF(OR(COUNTA(AH1122:AJ1122)=0,AND(COUNTA(AH1122:AJ1122)=3,ISNUMBER(AJ1122))),0,1)+IF(OR(COUNTA(AK1122:AM1122)=0,AND(COUNTA(AK1122:AM1122)=3,ISNUMBER(AM1122))),0,1)+IF(OR(COUNTA(AN1122:AP1122)=0,AND(COUNTA(AN1122:AP1122)=3,ISNUMBER(AP1122))),0,1)+IF(OR(COUNTA(AQ1122:AS1122)=0,AND(COUNTA(AQ1122:AS1122)=3,ISNUMBER(AS1122))),0,1)+IF(OR(COUNTA(AT1122:AV1122)=0,AND(COUNTA(AT1122:AV1122)=3,ISNUMBER(AV1122))),0,1)+IF(OR(COUNTA(AW1122:AY1122)=0,AND(COUNTA(AW1122:AY1122)=3,ISNUMBER(AY1122))),0,1)+IF(OR(COUNTA(AZ1122:BB1122)=0,AND(COUNTA(AZ1122:BB1122)=3,ISNUMBER(BB1122))),0,1))&gt;0,"; An invoice is incomplete (needs No, Date and a number in Ex GST)","")&amp;IF((IF(T1122="",0,IFERROR(--(EOMONTH(T1122,0)&lt;&gt;S$5),1))+IF(W1122="",0,IFERROR(--(EOMONTH(W1122,0)&lt;&gt;V$5),1))+IF(Z1122="",0,IFERROR(--(EOMONTH(Z1122,0)&lt;&gt;Y$5),1))+IF(AC1122="",0,IFERROR(--(EOMONTH(AC1122,0)&lt;&gt;AB$5),1))+IF(AF1122="",0,IFERROR(--(EOMONTH(AF1122,0)&lt;&gt;AE$5),1))+IF(AI1122="",0,IFERROR(--(EOMONTH(AI1122,0)&lt;&gt;AH$5),1))+IF(AL1122="",0,IFERROR(--(EOMONTH(AL1122,0)&lt;&gt;AK$5),1))+IF(AO1122="",0,IFERROR(--(EOMONTH(AO1122,0)&lt;&gt;AN$5),1))+IF(AR1122="",0,IFERROR(--(EOMONTH(AR1122,0)&lt;&gt;AQ$5),1))+IF(AU1122="",0,IFERROR(--(EOMONTH(AU1122,0)&lt;&gt;AT$5),1))+IF(AX1122="",0,IFERROR(--(EOMONTH(AX1122,0)&lt;&gt;AW$5),1))+IF(BA1122="",0,IFERROR(--(EOMONTH(BA1122,0)&lt;&gt;AZ$5),1)))&gt;0,"; An invoice date is not in the month it is typed under",""),3,500))</f>
        <v/>
      </c>
      <c r="S1122" s="12" t="n"/>
      <c r="T1122" s="13" t="n"/>
      <c r="U1122" s="14" t="n"/>
      <c r="V1122" s="12" t="n"/>
      <c r="W1122" s="13" t="n"/>
      <c r="X1122" s="14" t="n"/>
      <c r="Y1122" s="12" t="n"/>
      <c r="Z1122" s="13" t="n"/>
      <c r="AA1122" s="14" t="n"/>
      <c r="AB1122" s="12" t="n"/>
      <c r="AC1122" s="13" t="n"/>
      <c r="AD1122" s="14" t="n"/>
      <c r="AE1122" s="12" t="n"/>
      <c r="AF1122" s="13" t="n"/>
      <c r="AG1122" s="14" t="n"/>
      <c r="AH1122" s="12" t="n"/>
      <c r="AI1122" s="13" t="n"/>
      <c r="AJ1122" s="14" t="n"/>
      <c r="AK1122" s="12" t="n"/>
      <c r="AL1122" s="13" t="n"/>
      <c r="AM1122" s="14" t="n"/>
      <c r="AN1122" s="12" t="n"/>
      <c r="AO1122" s="13" t="n"/>
      <c r="AP1122" s="14" t="n"/>
      <c r="AQ1122" s="12" t="n"/>
      <c r="AR1122" s="13" t="n"/>
      <c r="AS1122" s="14" t="n"/>
      <c r="AT1122" s="12" t="n"/>
      <c r="AU1122" s="13" t="n"/>
      <c r="AV1122" s="14" t="n"/>
      <c r="AW1122" s="12" t="n"/>
      <c r="AX1122" s="13" t="n"/>
      <c r="AY1122" s="14" t="n"/>
      <c r="AZ1122" s="12" t="n"/>
      <c r="BA1122" s="13" t="n"/>
      <c r="BB1122" s="14" t="n"/>
      <c r="BC1122" s="11">
        <f>IF(O1122="","",IF(J1122="GST 10%",ROUND(O1122*set_GSTRate,2),0))</f>
        <v/>
      </c>
      <c r="BD1122" s="11">
        <f>IF(O1122="","",O1122+BC1122)</f>
        <v/>
      </c>
      <c r="BE1122" s="15">
        <f>IF(O1122="","",COUNTA(S1122,V1122,Y1122,AB1122,AE1122,AH1122,AK1122,AN1122,AQ1122,AT1122,AW1122,AZ1122))</f>
        <v/>
      </c>
      <c r="BF1122" s="16">
        <f>IF(COUNT(T1122,W1122,Z1122,AC1122,AF1122,AI1122,AL1122,AO1122,AR1122,AU1122,AX1122,BA1122)=0,"",MAX(T1122,W1122,Z1122,AC1122,AF1122,AI1122,AL1122,AO1122,AR1122,AU1122,AX1122,BA1122))</f>
        <v/>
      </c>
      <c r="BG1122" s="10">
        <f>MID(IF(S1122="","",", "&amp;S1122)&amp;IF(V1122="","",", "&amp;V1122)&amp;IF(Y1122="","",", "&amp;Y1122)&amp;IF(AB1122="","",", "&amp;AB1122)&amp;IF(AE1122="","",", "&amp;AE1122)&amp;IF(AH1122="","",", "&amp;AH1122)&amp;IF(AK1122="","",", "&amp;AK1122)&amp;IF(AN1122="","",", "&amp;AN1122)&amp;IF(AQ1122="","",", "&amp;AQ1122)&amp;IF(AT1122="","",", "&amp;AT1122)&amp;IF(AW1122="","",", "&amp;AW1122)&amp;IF(AZ1122="","",", "&amp;AZ1122),3,500)</f>
        <v/>
      </c>
      <c r="BH1122" s="12" t="n"/>
      <c r="BI1122" s="15">
        <f>IFERROR(MATCH($A1122,IF($B1122="Onsite",tbl_Onsite[Row ID],IF($B1122="Production",tbl_Production[Row ID],tbl_Consulting[Row ID])),0),"")</f>
        <v/>
      </c>
    </row>
    <row r="1123">
      <c r="A1123" s="10" t="inlineStr">
        <is>
          <t>CON-0117</t>
        </is>
      </c>
      <c r="B1123" s="10" t="inlineStr">
        <is>
          <t>Consulting</t>
        </is>
      </c>
      <c r="C1123" s="10">
        <f>IF($BI1123="","",IF($B1123="Onsite",INDEX(tbl_Onsite[Job Number],$BI1123),IF($B1123="Production",INDEX(tbl_Production[Job Number],$BI1123),INDEX(tbl_Consulting[Job Number],$BI1123)))&amp;"")</f>
        <v/>
      </c>
      <c r="D1123" s="10">
        <f>IF($BI1123="","",IF($B1123="Onsite",INDEX(tbl_Onsite[Client],$BI1123),IF($B1123="Production",INDEX(tbl_Production[Client],$BI1123),INDEX(tbl_Consulting[Client],$BI1123)))&amp;"")</f>
        <v/>
      </c>
      <c r="E1123" s="10">
        <f>IF($C1123="","",IF(COUNTIF(lst_Jobs,$C1123)&gt;0,"OK","CHECK"))</f>
        <v/>
      </c>
      <c r="F1123" s="10">
        <f>IF($C1123="","",IFERROR(INDEX(lst_JobName,MATCH($C1123,lst_Jobs,0)),""))</f>
        <v/>
      </c>
      <c r="G1123" s="10">
        <f>IF($BI1123="","",IF($B1123="Onsite",INDEX(tbl_Onsite[Job Description],$BI1123),IF($B1123="Production",INDEX(tbl_Production[Job Description],$BI1123),INDEX(tbl_Consulting[Job Description],$BI1123)))&amp;"")</f>
        <v/>
      </c>
      <c r="H1123" s="10">
        <f>IF($BI1123="","",IF($B1123="Onsite",INDEX(tbl_Onsite[Cost Centre],$BI1123),IF($B1123="Production",INDEX(tbl_Production[Cost Centre],$BI1123),INDEX(tbl_Consulting[Cost Centre],$BI1123)))&amp;"")</f>
        <v/>
      </c>
      <c r="I1123" s="10">
        <f>IF($BI1123="","",IF($B1123="Onsite",INDEX(tbl_Onsite[Invoice Type],$BI1123),IF($B1123="Production",INDEX(tbl_Production[Invoice Type],$BI1123),INDEX(tbl_Consulting[Invoice Type],$BI1123)))&amp;"")</f>
        <v/>
      </c>
      <c r="J1123" s="10">
        <f>IF($BI1123="","",IF($B1123="Onsite",INDEX(tbl_Onsite[Tax Code],$BI1123),IF($B1123="Production",INDEX(tbl_Production[Tax Code],$BI1123),INDEX(tbl_Consulting[Tax Code],$BI1123)))&amp;"")</f>
        <v/>
      </c>
      <c r="K1123" s="10">
        <f>IF(H1123="","",IFERROR(INDEX(lst_CCtoGL,MATCH(H1123,lst_CCforGL,0)),""))</f>
        <v/>
      </c>
      <c r="L1123" s="10">
        <f>IF($BI1123="","",IF($B1123="Onsite",INDEX(tbl_Onsite[PO / Reference],$BI1123),IF($B1123="Production",INDEX(tbl_Production[Current RMS No],$BI1123),INDEX(tbl_Consulting[Qwilr Quote],$BI1123)))&amp;"")</f>
        <v/>
      </c>
      <c r="M1123" s="10">
        <f>IF($BI1123="","",IF($B1123="Onsite",INDEX(tbl_Onsite[Notes],$BI1123),IF($B1123="Production",INDEX(tbl_Production[Notes],$BI1123),INDEX(tbl_Consulting[Notes],$BI1123)))&amp;"")</f>
        <v/>
      </c>
      <c r="N1123" s="11">
        <f>IF($BI1123="","",IF(IF($B1123="Onsite",INDEX(tbl_Onsite[Expected Revenue Ex GST],$BI1123),IF($B1123="Production",INDEX(tbl_Production[Expected Revenue Ex GST],$BI1123),INDEX(tbl_Consulting[Expected Revenue Ex GST],$BI1123)))="","",IF($B1123="Onsite",INDEX(tbl_Onsite[Expected Revenue Ex GST],$BI1123),IF($B1123="Production",INDEX(tbl_Production[Expected Revenue Ex GST],$BI1123),INDEX(tbl_Consulting[Expected Revenue Ex GST],$BI1123)))))</f>
        <v/>
      </c>
      <c r="O1123" s="11">
        <f>IF(AND($C1123="",NOT(COUNTA($S1123:$BB1123)&gt;0)),"",SUM(U1123,X1123,AA1123,AD1123,AG1123,AJ1123,AM1123,AP1123,AS1123,AV1123,AY1123,BB1123))</f>
        <v/>
      </c>
      <c r="P1123" s="11">
        <f>IF(O1123="","",N(N1123)-O1123)</f>
        <v/>
      </c>
      <c r="Q1123" s="10">
        <f>IF(O1123="","",IF($C1123="","Invoice on empty job row",IF(N1123="",IF(ROUND(O1123,2)=0,"No dept value","Invoiced - no dept value"),IF(ROUND(O1123,2)=0,"Not invoiced - to invoice",IF(ROUND(P1123,2)=0,"Agrees",IF(P1123&gt;0,"Dept higher - to invoice","Xero higher - check dept"))))))</f>
        <v/>
      </c>
      <c r="R1123" s="10">
        <f>IF(AND($C1123="",NOT(COUNTA($S1123:$BB1123)&gt;0),$BI1123&lt;&gt;""),"",MID(IF($BI1123="","; Row ID not found on the department sheet - a row was deleted","")&amp;IF(AND($C1123="",COUNTA($S1123:$BB1123)&gt;0),"; Invoice entered but the department row has no job number","")&amp;IF(E1123="CHECK","; Job number not in the Xero job list","")&amp;IF(AND($C1123&lt;&gt;"",COUNTIF($C$7:$C$1506,$C1123)&gt;1),"; Job number on more than one row","")&amp;IF(AND($C1123&lt;&gt;"",H1123=""),"; Dept has not set a cost centre","")&amp;IF(AND($C1123&lt;&gt;"",J1123=""),"; Dept has not set a tax code","")&amp;IF(AND($C1123&lt;&gt;"",N1123=""),"; Dept has not entered an expected value","")&amp;IF((IF(OR(COUNTA(S1123:U1123)=0,AND(COUNTA(S1123:U1123)=3,ISNUMBER(U1123))),0,1)+IF(OR(COUNTA(V1123:X1123)=0,AND(COUNTA(V1123:X1123)=3,ISNUMBER(X1123))),0,1)+IF(OR(COUNTA(Y1123:AA1123)=0,AND(COUNTA(Y1123:AA1123)=3,ISNUMBER(AA1123))),0,1)+IF(OR(COUNTA(AB1123:AD1123)=0,AND(COUNTA(AB1123:AD1123)=3,ISNUMBER(AD1123))),0,1)+IF(OR(COUNTA(AE1123:AG1123)=0,AND(COUNTA(AE1123:AG1123)=3,ISNUMBER(AG1123))),0,1)+IF(OR(COUNTA(AH1123:AJ1123)=0,AND(COUNTA(AH1123:AJ1123)=3,ISNUMBER(AJ1123))),0,1)+IF(OR(COUNTA(AK1123:AM1123)=0,AND(COUNTA(AK1123:AM1123)=3,ISNUMBER(AM1123))),0,1)+IF(OR(COUNTA(AN1123:AP1123)=0,AND(COUNTA(AN1123:AP1123)=3,ISNUMBER(AP1123))),0,1)+IF(OR(COUNTA(AQ1123:AS1123)=0,AND(COUNTA(AQ1123:AS1123)=3,ISNUMBER(AS1123))),0,1)+IF(OR(COUNTA(AT1123:AV1123)=0,AND(COUNTA(AT1123:AV1123)=3,ISNUMBER(AV1123))),0,1)+IF(OR(COUNTA(AW1123:AY1123)=0,AND(COUNTA(AW1123:AY1123)=3,ISNUMBER(AY1123))),0,1)+IF(OR(COUNTA(AZ1123:BB1123)=0,AND(COUNTA(AZ1123:BB1123)=3,ISNUMBER(BB1123))),0,1))&gt;0,"; An invoice is incomplete (needs No, Date and a number in Ex GST)","")&amp;IF((IF(T1123="",0,IFERROR(--(EOMONTH(T1123,0)&lt;&gt;S$5),1))+IF(W1123="",0,IFERROR(--(EOMONTH(W1123,0)&lt;&gt;V$5),1))+IF(Z1123="",0,IFERROR(--(EOMONTH(Z1123,0)&lt;&gt;Y$5),1))+IF(AC1123="",0,IFERROR(--(EOMONTH(AC1123,0)&lt;&gt;AB$5),1))+IF(AF1123="",0,IFERROR(--(EOMONTH(AF1123,0)&lt;&gt;AE$5),1))+IF(AI1123="",0,IFERROR(--(EOMONTH(AI1123,0)&lt;&gt;AH$5),1))+IF(AL1123="",0,IFERROR(--(EOMONTH(AL1123,0)&lt;&gt;AK$5),1))+IF(AO1123="",0,IFERROR(--(EOMONTH(AO1123,0)&lt;&gt;AN$5),1))+IF(AR1123="",0,IFERROR(--(EOMONTH(AR1123,0)&lt;&gt;AQ$5),1))+IF(AU1123="",0,IFERROR(--(EOMONTH(AU1123,0)&lt;&gt;AT$5),1))+IF(AX1123="",0,IFERROR(--(EOMONTH(AX1123,0)&lt;&gt;AW$5),1))+IF(BA1123="",0,IFERROR(--(EOMONTH(BA1123,0)&lt;&gt;AZ$5),1)))&gt;0,"; An invoice date is not in the month it is typed under",""),3,500))</f>
        <v/>
      </c>
      <c r="S1123" s="12" t="n"/>
      <c r="T1123" s="13" t="n"/>
      <c r="U1123" s="14" t="n"/>
      <c r="V1123" s="12" t="n"/>
      <c r="W1123" s="13" t="n"/>
      <c r="X1123" s="14" t="n"/>
      <c r="Y1123" s="12" t="n"/>
      <c r="Z1123" s="13" t="n"/>
      <c r="AA1123" s="14" t="n"/>
      <c r="AB1123" s="12" t="n"/>
      <c r="AC1123" s="13" t="n"/>
      <c r="AD1123" s="14" t="n"/>
      <c r="AE1123" s="12" t="n"/>
      <c r="AF1123" s="13" t="n"/>
      <c r="AG1123" s="14" t="n"/>
      <c r="AH1123" s="12" t="n"/>
      <c r="AI1123" s="13" t="n"/>
      <c r="AJ1123" s="14" t="n"/>
      <c r="AK1123" s="12" t="n"/>
      <c r="AL1123" s="13" t="n"/>
      <c r="AM1123" s="14" t="n"/>
      <c r="AN1123" s="12" t="n"/>
      <c r="AO1123" s="13" t="n"/>
      <c r="AP1123" s="14" t="n"/>
      <c r="AQ1123" s="12" t="n"/>
      <c r="AR1123" s="13" t="n"/>
      <c r="AS1123" s="14" t="n"/>
      <c r="AT1123" s="12" t="n"/>
      <c r="AU1123" s="13" t="n"/>
      <c r="AV1123" s="14" t="n"/>
      <c r="AW1123" s="12" t="n"/>
      <c r="AX1123" s="13" t="n"/>
      <c r="AY1123" s="14" t="n"/>
      <c r="AZ1123" s="12" t="n"/>
      <c r="BA1123" s="13" t="n"/>
      <c r="BB1123" s="14" t="n"/>
      <c r="BC1123" s="11">
        <f>IF(O1123="","",IF(J1123="GST 10%",ROUND(O1123*set_GSTRate,2),0))</f>
        <v/>
      </c>
      <c r="BD1123" s="11">
        <f>IF(O1123="","",O1123+BC1123)</f>
        <v/>
      </c>
      <c r="BE1123" s="15">
        <f>IF(O1123="","",COUNTA(S1123,V1123,Y1123,AB1123,AE1123,AH1123,AK1123,AN1123,AQ1123,AT1123,AW1123,AZ1123))</f>
        <v/>
      </c>
      <c r="BF1123" s="16">
        <f>IF(COUNT(T1123,W1123,Z1123,AC1123,AF1123,AI1123,AL1123,AO1123,AR1123,AU1123,AX1123,BA1123)=0,"",MAX(T1123,W1123,Z1123,AC1123,AF1123,AI1123,AL1123,AO1123,AR1123,AU1123,AX1123,BA1123))</f>
        <v/>
      </c>
      <c r="BG1123" s="10">
        <f>MID(IF(S1123="","",", "&amp;S1123)&amp;IF(V1123="","",", "&amp;V1123)&amp;IF(Y1123="","",", "&amp;Y1123)&amp;IF(AB1123="","",", "&amp;AB1123)&amp;IF(AE1123="","",", "&amp;AE1123)&amp;IF(AH1123="","",", "&amp;AH1123)&amp;IF(AK1123="","",", "&amp;AK1123)&amp;IF(AN1123="","",", "&amp;AN1123)&amp;IF(AQ1123="","",", "&amp;AQ1123)&amp;IF(AT1123="","",", "&amp;AT1123)&amp;IF(AW1123="","",", "&amp;AW1123)&amp;IF(AZ1123="","",", "&amp;AZ1123),3,500)</f>
        <v/>
      </c>
      <c r="BH1123" s="12" t="n"/>
      <c r="BI1123" s="15">
        <f>IFERROR(MATCH($A1123,IF($B1123="Onsite",tbl_Onsite[Row ID],IF($B1123="Production",tbl_Production[Row ID],tbl_Consulting[Row ID])),0),"")</f>
        <v/>
      </c>
    </row>
    <row r="1124">
      <c r="A1124" s="10" t="inlineStr">
        <is>
          <t>CON-0118</t>
        </is>
      </c>
      <c r="B1124" s="10" t="inlineStr">
        <is>
          <t>Consulting</t>
        </is>
      </c>
      <c r="C1124" s="10">
        <f>IF($BI1124="","",IF($B1124="Onsite",INDEX(tbl_Onsite[Job Number],$BI1124),IF($B1124="Production",INDEX(tbl_Production[Job Number],$BI1124),INDEX(tbl_Consulting[Job Number],$BI1124)))&amp;"")</f>
        <v/>
      </c>
      <c r="D1124" s="10">
        <f>IF($BI1124="","",IF($B1124="Onsite",INDEX(tbl_Onsite[Client],$BI1124),IF($B1124="Production",INDEX(tbl_Production[Client],$BI1124),INDEX(tbl_Consulting[Client],$BI1124)))&amp;"")</f>
        <v/>
      </c>
      <c r="E1124" s="10">
        <f>IF($C1124="","",IF(COUNTIF(lst_Jobs,$C1124)&gt;0,"OK","CHECK"))</f>
        <v/>
      </c>
      <c r="F1124" s="10">
        <f>IF($C1124="","",IFERROR(INDEX(lst_JobName,MATCH($C1124,lst_Jobs,0)),""))</f>
        <v/>
      </c>
      <c r="G1124" s="10">
        <f>IF($BI1124="","",IF($B1124="Onsite",INDEX(tbl_Onsite[Job Description],$BI1124),IF($B1124="Production",INDEX(tbl_Production[Job Description],$BI1124),INDEX(tbl_Consulting[Job Description],$BI1124)))&amp;"")</f>
        <v/>
      </c>
      <c r="H1124" s="10">
        <f>IF($BI1124="","",IF($B1124="Onsite",INDEX(tbl_Onsite[Cost Centre],$BI1124),IF($B1124="Production",INDEX(tbl_Production[Cost Centre],$BI1124),INDEX(tbl_Consulting[Cost Centre],$BI1124)))&amp;"")</f>
        <v/>
      </c>
      <c r="I1124" s="10">
        <f>IF($BI1124="","",IF($B1124="Onsite",INDEX(tbl_Onsite[Invoice Type],$BI1124),IF($B1124="Production",INDEX(tbl_Production[Invoice Type],$BI1124),INDEX(tbl_Consulting[Invoice Type],$BI1124)))&amp;"")</f>
        <v/>
      </c>
      <c r="J1124" s="10">
        <f>IF($BI1124="","",IF($B1124="Onsite",INDEX(tbl_Onsite[Tax Code],$BI1124),IF($B1124="Production",INDEX(tbl_Production[Tax Code],$BI1124),INDEX(tbl_Consulting[Tax Code],$BI1124)))&amp;"")</f>
        <v/>
      </c>
      <c r="K1124" s="10">
        <f>IF(H1124="","",IFERROR(INDEX(lst_CCtoGL,MATCH(H1124,lst_CCforGL,0)),""))</f>
        <v/>
      </c>
      <c r="L1124" s="10">
        <f>IF($BI1124="","",IF($B1124="Onsite",INDEX(tbl_Onsite[PO / Reference],$BI1124),IF($B1124="Production",INDEX(tbl_Production[Current RMS No],$BI1124),INDEX(tbl_Consulting[Qwilr Quote],$BI1124)))&amp;"")</f>
        <v/>
      </c>
      <c r="M1124" s="10">
        <f>IF($BI1124="","",IF($B1124="Onsite",INDEX(tbl_Onsite[Notes],$BI1124),IF($B1124="Production",INDEX(tbl_Production[Notes],$BI1124),INDEX(tbl_Consulting[Notes],$BI1124)))&amp;"")</f>
        <v/>
      </c>
      <c r="N1124" s="11">
        <f>IF($BI1124="","",IF(IF($B1124="Onsite",INDEX(tbl_Onsite[Expected Revenue Ex GST],$BI1124),IF($B1124="Production",INDEX(tbl_Production[Expected Revenue Ex GST],$BI1124),INDEX(tbl_Consulting[Expected Revenue Ex GST],$BI1124)))="","",IF($B1124="Onsite",INDEX(tbl_Onsite[Expected Revenue Ex GST],$BI1124),IF($B1124="Production",INDEX(tbl_Production[Expected Revenue Ex GST],$BI1124),INDEX(tbl_Consulting[Expected Revenue Ex GST],$BI1124)))))</f>
        <v/>
      </c>
      <c r="O1124" s="11">
        <f>IF(AND($C1124="",NOT(COUNTA($S1124:$BB1124)&gt;0)),"",SUM(U1124,X1124,AA1124,AD1124,AG1124,AJ1124,AM1124,AP1124,AS1124,AV1124,AY1124,BB1124))</f>
        <v/>
      </c>
      <c r="P1124" s="11">
        <f>IF(O1124="","",N(N1124)-O1124)</f>
        <v/>
      </c>
      <c r="Q1124" s="10">
        <f>IF(O1124="","",IF($C1124="","Invoice on empty job row",IF(N1124="",IF(ROUND(O1124,2)=0,"No dept value","Invoiced - no dept value"),IF(ROUND(O1124,2)=0,"Not invoiced - to invoice",IF(ROUND(P1124,2)=0,"Agrees",IF(P1124&gt;0,"Dept higher - to invoice","Xero higher - check dept"))))))</f>
        <v/>
      </c>
      <c r="R1124" s="10">
        <f>IF(AND($C1124="",NOT(COUNTA($S1124:$BB1124)&gt;0),$BI1124&lt;&gt;""),"",MID(IF($BI1124="","; Row ID not found on the department sheet - a row was deleted","")&amp;IF(AND($C1124="",COUNTA($S1124:$BB1124)&gt;0),"; Invoice entered but the department row has no job number","")&amp;IF(E1124="CHECK","; Job number not in the Xero job list","")&amp;IF(AND($C1124&lt;&gt;"",COUNTIF($C$7:$C$1506,$C1124)&gt;1),"; Job number on more than one row","")&amp;IF(AND($C1124&lt;&gt;"",H1124=""),"; Dept has not set a cost centre","")&amp;IF(AND($C1124&lt;&gt;"",J1124=""),"; Dept has not set a tax code","")&amp;IF(AND($C1124&lt;&gt;"",N1124=""),"; Dept has not entered an expected value","")&amp;IF((IF(OR(COUNTA(S1124:U1124)=0,AND(COUNTA(S1124:U1124)=3,ISNUMBER(U1124))),0,1)+IF(OR(COUNTA(V1124:X1124)=0,AND(COUNTA(V1124:X1124)=3,ISNUMBER(X1124))),0,1)+IF(OR(COUNTA(Y1124:AA1124)=0,AND(COUNTA(Y1124:AA1124)=3,ISNUMBER(AA1124))),0,1)+IF(OR(COUNTA(AB1124:AD1124)=0,AND(COUNTA(AB1124:AD1124)=3,ISNUMBER(AD1124))),0,1)+IF(OR(COUNTA(AE1124:AG1124)=0,AND(COUNTA(AE1124:AG1124)=3,ISNUMBER(AG1124))),0,1)+IF(OR(COUNTA(AH1124:AJ1124)=0,AND(COUNTA(AH1124:AJ1124)=3,ISNUMBER(AJ1124))),0,1)+IF(OR(COUNTA(AK1124:AM1124)=0,AND(COUNTA(AK1124:AM1124)=3,ISNUMBER(AM1124))),0,1)+IF(OR(COUNTA(AN1124:AP1124)=0,AND(COUNTA(AN1124:AP1124)=3,ISNUMBER(AP1124))),0,1)+IF(OR(COUNTA(AQ1124:AS1124)=0,AND(COUNTA(AQ1124:AS1124)=3,ISNUMBER(AS1124))),0,1)+IF(OR(COUNTA(AT1124:AV1124)=0,AND(COUNTA(AT1124:AV1124)=3,ISNUMBER(AV1124))),0,1)+IF(OR(COUNTA(AW1124:AY1124)=0,AND(COUNTA(AW1124:AY1124)=3,ISNUMBER(AY1124))),0,1)+IF(OR(COUNTA(AZ1124:BB1124)=0,AND(COUNTA(AZ1124:BB1124)=3,ISNUMBER(BB1124))),0,1))&gt;0,"; An invoice is incomplete (needs No, Date and a number in Ex GST)","")&amp;IF((IF(T1124="",0,IFERROR(--(EOMONTH(T1124,0)&lt;&gt;S$5),1))+IF(W1124="",0,IFERROR(--(EOMONTH(W1124,0)&lt;&gt;V$5),1))+IF(Z1124="",0,IFERROR(--(EOMONTH(Z1124,0)&lt;&gt;Y$5),1))+IF(AC1124="",0,IFERROR(--(EOMONTH(AC1124,0)&lt;&gt;AB$5),1))+IF(AF1124="",0,IFERROR(--(EOMONTH(AF1124,0)&lt;&gt;AE$5),1))+IF(AI1124="",0,IFERROR(--(EOMONTH(AI1124,0)&lt;&gt;AH$5),1))+IF(AL1124="",0,IFERROR(--(EOMONTH(AL1124,0)&lt;&gt;AK$5),1))+IF(AO1124="",0,IFERROR(--(EOMONTH(AO1124,0)&lt;&gt;AN$5),1))+IF(AR1124="",0,IFERROR(--(EOMONTH(AR1124,0)&lt;&gt;AQ$5),1))+IF(AU1124="",0,IFERROR(--(EOMONTH(AU1124,0)&lt;&gt;AT$5),1))+IF(AX1124="",0,IFERROR(--(EOMONTH(AX1124,0)&lt;&gt;AW$5),1))+IF(BA1124="",0,IFERROR(--(EOMONTH(BA1124,0)&lt;&gt;AZ$5),1)))&gt;0,"; An invoice date is not in the month it is typed under",""),3,500))</f>
        <v/>
      </c>
      <c r="S1124" s="12" t="n"/>
      <c r="T1124" s="13" t="n"/>
      <c r="U1124" s="14" t="n"/>
      <c r="V1124" s="12" t="n"/>
      <c r="W1124" s="13" t="n"/>
      <c r="X1124" s="14" t="n"/>
      <c r="Y1124" s="12" t="n"/>
      <c r="Z1124" s="13" t="n"/>
      <c r="AA1124" s="14" t="n"/>
      <c r="AB1124" s="12" t="n"/>
      <c r="AC1124" s="13" t="n"/>
      <c r="AD1124" s="14" t="n"/>
      <c r="AE1124" s="12" t="n"/>
      <c r="AF1124" s="13" t="n"/>
      <c r="AG1124" s="14" t="n"/>
      <c r="AH1124" s="12" t="n"/>
      <c r="AI1124" s="13" t="n"/>
      <c r="AJ1124" s="14" t="n"/>
      <c r="AK1124" s="12" t="n"/>
      <c r="AL1124" s="13" t="n"/>
      <c r="AM1124" s="14" t="n"/>
      <c r="AN1124" s="12" t="n"/>
      <c r="AO1124" s="13" t="n"/>
      <c r="AP1124" s="14" t="n"/>
      <c r="AQ1124" s="12" t="n"/>
      <c r="AR1124" s="13" t="n"/>
      <c r="AS1124" s="14" t="n"/>
      <c r="AT1124" s="12" t="n"/>
      <c r="AU1124" s="13" t="n"/>
      <c r="AV1124" s="14" t="n"/>
      <c r="AW1124" s="12" t="n"/>
      <c r="AX1124" s="13" t="n"/>
      <c r="AY1124" s="14" t="n"/>
      <c r="AZ1124" s="12" t="n"/>
      <c r="BA1124" s="13" t="n"/>
      <c r="BB1124" s="14" t="n"/>
      <c r="BC1124" s="11">
        <f>IF(O1124="","",IF(J1124="GST 10%",ROUND(O1124*set_GSTRate,2),0))</f>
        <v/>
      </c>
      <c r="BD1124" s="11">
        <f>IF(O1124="","",O1124+BC1124)</f>
        <v/>
      </c>
      <c r="BE1124" s="15">
        <f>IF(O1124="","",COUNTA(S1124,V1124,Y1124,AB1124,AE1124,AH1124,AK1124,AN1124,AQ1124,AT1124,AW1124,AZ1124))</f>
        <v/>
      </c>
      <c r="BF1124" s="16">
        <f>IF(COUNT(T1124,W1124,Z1124,AC1124,AF1124,AI1124,AL1124,AO1124,AR1124,AU1124,AX1124,BA1124)=0,"",MAX(T1124,W1124,Z1124,AC1124,AF1124,AI1124,AL1124,AO1124,AR1124,AU1124,AX1124,BA1124))</f>
        <v/>
      </c>
      <c r="BG1124" s="10">
        <f>MID(IF(S1124="","",", "&amp;S1124)&amp;IF(V1124="","",", "&amp;V1124)&amp;IF(Y1124="","",", "&amp;Y1124)&amp;IF(AB1124="","",", "&amp;AB1124)&amp;IF(AE1124="","",", "&amp;AE1124)&amp;IF(AH1124="","",", "&amp;AH1124)&amp;IF(AK1124="","",", "&amp;AK1124)&amp;IF(AN1124="","",", "&amp;AN1124)&amp;IF(AQ1124="","",", "&amp;AQ1124)&amp;IF(AT1124="","",", "&amp;AT1124)&amp;IF(AW1124="","",", "&amp;AW1124)&amp;IF(AZ1124="","",", "&amp;AZ1124),3,500)</f>
        <v/>
      </c>
      <c r="BH1124" s="12" t="n"/>
      <c r="BI1124" s="15">
        <f>IFERROR(MATCH($A1124,IF($B1124="Onsite",tbl_Onsite[Row ID],IF($B1124="Production",tbl_Production[Row ID],tbl_Consulting[Row ID])),0),"")</f>
        <v/>
      </c>
    </row>
    <row r="1125">
      <c r="A1125" s="10" t="inlineStr">
        <is>
          <t>CON-0119</t>
        </is>
      </c>
      <c r="B1125" s="10" t="inlineStr">
        <is>
          <t>Consulting</t>
        </is>
      </c>
      <c r="C1125" s="10">
        <f>IF($BI1125="","",IF($B1125="Onsite",INDEX(tbl_Onsite[Job Number],$BI1125),IF($B1125="Production",INDEX(tbl_Production[Job Number],$BI1125),INDEX(tbl_Consulting[Job Number],$BI1125)))&amp;"")</f>
        <v/>
      </c>
      <c r="D1125" s="10">
        <f>IF($BI1125="","",IF($B1125="Onsite",INDEX(tbl_Onsite[Client],$BI1125),IF($B1125="Production",INDEX(tbl_Production[Client],$BI1125),INDEX(tbl_Consulting[Client],$BI1125)))&amp;"")</f>
        <v/>
      </c>
      <c r="E1125" s="10">
        <f>IF($C1125="","",IF(COUNTIF(lst_Jobs,$C1125)&gt;0,"OK","CHECK"))</f>
        <v/>
      </c>
      <c r="F1125" s="10">
        <f>IF($C1125="","",IFERROR(INDEX(lst_JobName,MATCH($C1125,lst_Jobs,0)),""))</f>
        <v/>
      </c>
      <c r="G1125" s="10">
        <f>IF($BI1125="","",IF($B1125="Onsite",INDEX(tbl_Onsite[Job Description],$BI1125),IF($B1125="Production",INDEX(tbl_Production[Job Description],$BI1125),INDEX(tbl_Consulting[Job Description],$BI1125)))&amp;"")</f>
        <v/>
      </c>
      <c r="H1125" s="10">
        <f>IF($BI1125="","",IF($B1125="Onsite",INDEX(tbl_Onsite[Cost Centre],$BI1125),IF($B1125="Production",INDEX(tbl_Production[Cost Centre],$BI1125),INDEX(tbl_Consulting[Cost Centre],$BI1125)))&amp;"")</f>
        <v/>
      </c>
      <c r="I1125" s="10">
        <f>IF($BI1125="","",IF($B1125="Onsite",INDEX(tbl_Onsite[Invoice Type],$BI1125),IF($B1125="Production",INDEX(tbl_Production[Invoice Type],$BI1125),INDEX(tbl_Consulting[Invoice Type],$BI1125)))&amp;"")</f>
        <v/>
      </c>
      <c r="J1125" s="10">
        <f>IF($BI1125="","",IF($B1125="Onsite",INDEX(tbl_Onsite[Tax Code],$BI1125),IF($B1125="Production",INDEX(tbl_Production[Tax Code],$BI1125),INDEX(tbl_Consulting[Tax Code],$BI1125)))&amp;"")</f>
        <v/>
      </c>
      <c r="K1125" s="10">
        <f>IF(H1125="","",IFERROR(INDEX(lst_CCtoGL,MATCH(H1125,lst_CCforGL,0)),""))</f>
        <v/>
      </c>
      <c r="L1125" s="10">
        <f>IF($BI1125="","",IF($B1125="Onsite",INDEX(tbl_Onsite[PO / Reference],$BI1125),IF($B1125="Production",INDEX(tbl_Production[Current RMS No],$BI1125),INDEX(tbl_Consulting[Qwilr Quote],$BI1125)))&amp;"")</f>
        <v/>
      </c>
      <c r="M1125" s="10">
        <f>IF($BI1125="","",IF($B1125="Onsite",INDEX(tbl_Onsite[Notes],$BI1125),IF($B1125="Production",INDEX(tbl_Production[Notes],$BI1125),INDEX(tbl_Consulting[Notes],$BI1125)))&amp;"")</f>
        <v/>
      </c>
      <c r="N1125" s="11">
        <f>IF($BI1125="","",IF(IF($B1125="Onsite",INDEX(tbl_Onsite[Expected Revenue Ex GST],$BI1125),IF($B1125="Production",INDEX(tbl_Production[Expected Revenue Ex GST],$BI1125),INDEX(tbl_Consulting[Expected Revenue Ex GST],$BI1125)))="","",IF($B1125="Onsite",INDEX(tbl_Onsite[Expected Revenue Ex GST],$BI1125),IF($B1125="Production",INDEX(tbl_Production[Expected Revenue Ex GST],$BI1125),INDEX(tbl_Consulting[Expected Revenue Ex GST],$BI1125)))))</f>
        <v/>
      </c>
      <c r="O1125" s="11">
        <f>IF(AND($C1125="",NOT(COUNTA($S1125:$BB1125)&gt;0)),"",SUM(U1125,X1125,AA1125,AD1125,AG1125,AJ1125,AM1125,AP1125,AS1125,AV1125,AY1125,BB1125))</f>
        <v/>
      </c>
      <c r="P1125" s="11">
        <f>IF(O1125="","",N(N1125)-O1125)</f>
        <v/>
      </c>
      <c r="Q1125" s="10">
        <f>IF(O1125="","",IF($C1125="","Invoice on empty job row",IF(N1125="",IF(ROUND(O1125,2)=0,"No dept value","Invoiced - no dept value"),IF(ROUND(O1125,2)=0,"Not invoiced - to invoice",IF(ROUND(P1125,2)=0,"Agrees",IF(P1125&gt;0,"Dept higher - to invoice","Xero higher - check dept"))))))</f>
        <v/>
      </c>
      <c r="R1125" s="10">
        <f>IF(AND($C1125="",NOT(COUNTA($S1125:$BB1125)&gt;0),$BI1125&lt;&gt;""),"",MID(IF($BI1125="","; Row ID not found on the department sheet - a row was deleted","")&amp;IF(AND($C1125="",COUNTA($S1125:$BB1125)&gt;0),"; Invoice entered but the department row has no job number","")&amp;IF(E1125="CHECK","; Job number not in the Xero job list","")&amp;IF(AND($C1125&lt;&gt;"",COUNTIF($C$7:$C$1506,$C1125)&gt;1),"; Job number on more than one row","")&amp;IF(AND($C1125&lt;&gt;"",H1125=""),"; Dept has not set a cost centre","")&amp;IF(AND($C1125&lt;&gt;"",J1125=""),"; Dept has not set a tax code","")&amp;IF(AND($C1125&lt;&gt;"",N1125=""),"; Dept has not entered an expected value","")&amp;IF((IF(OR(COUNTA(S1125:U1125)=0,AND(COUNTA(S1125:U1125)=3,ISNUMBER(U1125))),0,1)+IF(OR(COUNTA(V1125:X1125)=0,AND(COUNTA(V1125:X1125)=3,ISNUMBER(X1125))),0,1)+IF(OR(COUNTA(Y1125:AA1125)=0,AND(COUNTA(Y1125:AA1125)=3,ISNUMBER(AA1125))),0,1)+IF(OR(COUNTA(AB1125:AD1125)=0,AND(COUNTA(AB1125:AD1125)=3,ISNUMBER(AD1125))),0,1)+IF(OR(COUNTA(AE1125:AG1125)=0,AND(COUNTA(AE1125:AG1125)=3,ISNUMBER(AG1125))),0,1)+IF(OR(COUNTA(AH1125:AJ1125)=0,AND(COUNTA(AH1125:AJ1125)=3,ISNUMBER(AJ1125))),0,1)+IF(OR(COUNTA(AK1125:AM1125)=0,AND(COUNTA(AK1125:AM1125)=3,ISNUMBER(AM1125))),0,1)+IF(OR(COUNTA(AN1125:AP1125)=0,AND(COUNTA(AN1125:AP1125)=3,ISNUMBER(AP1125))),0,1)+IF(OR(COUNTA(AQ1125:AS1125)=0,AND(COUNTA(AQ1125:AS1125)=3,ISNUMBER(AS1125))),0,1)+IF(OR(COUNTA(AT1125:AV1125)=0,AND(COUNTA(AT1125:AV1125)=3,ISNUMBER(AV1125))),0,1)+IF(OR(COUNTA(AW1125:AY1125)=0,AND(COUNTA(AW1125:AY1125)=3,ISNUMBER(AY1125))),0,1)+IF(OR(COUNTA(AZ1125:BB1125)=0,AND(COUNTA(AZ1125:BB1125)=3,ISNUMBER(BB1125))),0,1))&gt;0,"; An invoice is incomplete (needs No, Date and a number in Ex GST)","")&amp;IF((IF(T1125="",0,IFERROR(--(EOMONTH(T1125,0)&lt;&gt;S$5),1))+IF(W1125="",0,IFERROR(--(EOMONTH(W1125,0)&lt;&gt;V$5),1))+IF(Z1125="",0,IFERROR(--(EOMONTH(Z1125,0)&lt;&gt;Y$5),1))+IF(AC1125="",0,IFERROR(--(EOMONTH(AC1125,0)&lt;&gt;AB$5),1))+IF(AF1125="",0,IFERROR(--(EOMONTH(AF1125,0)&lt;&gt;AE$5),1))+IF(AI1125="",0,IFERROR(--(EOMONTH(AI1125,0)&lt;&gt;AH$5),1))+IF(AL1125="",0,IFERROR(--(EOMONTH(AL1125,0)&lt;&gt;AK$5),1))+IF(AO1125="",0,IFERROR(--(EOMONTH(AO1125,0)&lt;&gt;AN$5),1))+IF(AR1125="",0,IFERROR(--(EOMONTH(AR1125,0)&lt;&gt;AQ$5),1))+IF(AU1125="",0,IFERROR(--(EOMONTH(AU1125,0)&lt;&gt;AT$5),1))+IF(AX1125="",0,IFERROR(--(EOMONTH(AX1125,0)&lt;&gt;AW$5),1))+IF(BA1125="",0,IFERROR(--(EOMONTH(BA1125,0)&lt;&gt;AZ$5),1)))&gt;0,"; An invoice date is not in the month it is typed under",""),3,500))</f>
        <v/>
      </c>
      <c r="S1125" s="12" t="n"/>
      <c r="T1125" s="13" t="n"/>
      <c r="U1125" s="14" t="n"/>
      <c r="V1125" s="12" t="n"/>
      <c r="W1125" s="13" t="n"/>
      <c r="X1125" s="14" t="n"/>
      <c r="Y1125" s="12" t="n"/>
      <c r="Z1125" s="13" t="n"/>
      <c r="AA1125" s="14" t="n"/>
      <c r="AB1125" s="12" t="n"/>
      <c r="AC1125" s="13" t="n"/>
      <c r="AD1125" s="14" t="n"/>
      <c r="AE1125" s="12" t="n"/>
      <c r="AF1125" s="13" t="n"/>
      <c r="AG1125" s="14" t="n"/>
      <c r="AH1125" s="12" t="n"/>
      <c r="AI1125" s="13" t="n"/>
      <c r="AJ1125" s="14" t="n"/>
      <c r="AK1125" s="12" t="n"/>
      <c r="AL1125" s="13" t="n"/>
      <c r="AM1125" s="14" t="n"/>
      <c r="AN1125" s="12" t="n"/>
      <c r="AO1125" s="13" t="n"/>
      <c r="AP1125" s="14" t="n"/>
      <c r="AQ1125" s="12" t="n"/>
      <c r="AR1125" s="13" t="n"/>
      <c r="AS1125" s="14" t="n"/>
      <c r="AT1125" s="12" t="n"/>
      <c r="AU1125" s="13" t="n"/>
      <c r="AV1125" s="14" t="n"/>
      <c r="AW1125" s="12" t="n"/>
      <c r="AX1125" s="13" t="n"/>
      <c r="AY1125" s="14" t="n"/>
      <c r="AZ1125" s="12" t="n"/>
      <c r="BA1125" s="13" t="n"/>
      <c r="BB1125" s="14" t="n"/>
      <c r="BC1125" s="11">
        <f>IF(O1125="","",IF(J1125="GST 10%",ROUND(O1125*set_GSTRate,2),0))</f>
        <v/>
      </c>
      <c r="BD1125" s="11">
        <f>IF(O1125="","",O1125+BC1125)</f>
        <v/>
      </c>
      <c r="BE1125" s="15">
        <f>IF(O1125="","",COUNTA(S1125,V1125,Y1125,AB1125,AE1125,AH1125,AK1125,AN1125,AQ1125,AT1125,AW1125,AZ1125))</f>
        <v/>
      </c>
      <c r="BF1125" s="16">
        <f>IF(COUNT(T1125,W1125,Z1125,AC1125,AF1125,AI1125,AL1125,AO1125,AR1125,AU1125,AX1125,BA1125)=0,"",MAX(T1125,W1125,Z1125,AC1125,AF1125,AI1125,AL1125,AO1125,AR1125,AU1125,AX1125,BA1125))</f>
        <v/>
      </c>
      <c r="BG1125" s="10">
        <f>MID(IF(S1125="","",", "&amp;S1125)&amp;IF(V1125="","",", "&amp;V1125)&amp;IF(Y1125="","",", "&amp;Y1125)&amp;IF(AB1125="","",", "&amp;AB1125)&amp;IF(AE1125="","",", "&amp;AE1125)&amp;IF(AH1125="","",", "&amp;AH1125)&amp;IF(AK1125="","",", "&amp;AK1125)&amp;IF(AN1125="","",", "&amp;AN1125)&amp;IF(AQ1125="","",", "&amp;AQ1125)&amp;IF(AT1125="","",", "&amp;AT1125)&amp;IF(AW1125="","",", "&amp;AW1125)&amp;IF(AZ1125="","",", "&amp;AZ1125),3,500)</f>
        <v/>
      </c>
      <c r="BH1125" s="12" t="n"/>
      <c r="BI1125" s="15">
        <f>IFERROR(MATCH($A1125,IF($B1125="Onsite",tbl_Onsite[Row ID],IF($B1125="Production",tbl_Production[Row ID],tbl_Consulting[Row ID])),0),"")</f>
        <v/>
      </c>
    </row>
    <row r="1126">
      <c r="A1126" s="10" t="inlineStr">
        <is>
          <t>CON-0120</t>
        </is>
      </c>
      <c r="B1126" s="10" t="inlineStr">
        <is>
          <t>Consulting</t>
        </is>
      </c>
      <c r="C1126" s="10">
        <f>IF($BI1126="","",IF($B1126="Onsite",INDEX(tbl_Onsite[Job Number],$BI1126),IF($B1126="Production",INDEX(tbl_Production[Job Number],$BI1126),INDEX(tbl_Consulting[Job Number],$BI1126)))&amp;"")</f>
        <v/>
      </c>
      <c r="D1126" s="10">
        <f>IF($BI1126="","",IF($B1126="Onsite",INDEX(tbl_Onsite[Client],$BI1126),IF($B1126="Production",INDEX(tbl_Production[Client],$BI1126),INDEX(tbl_Consulting[Client],$BI1126)))&amp;"")</f>
        <v/>
      </c>
      <c r="E1126" s="10">
        <f>IF($C1126="","",IF(COUNTIF(lst_Jobs,$C1126)&gt;0,"OK","CHECK"))</f>
        <v/>
      </c>
      <c r="F1126" s="10">
        <f>IF($C1126="","",IFERROR(INDEX(lst_JobName,MATCH($C1126,lst_Jobs,0)),""))</f>
        <v/>
      </c>
      <c r="G1126" s="10">
        <f>IF($BI1126="","",IF($B1126="Onsite",INDEX(tbl_Onsite[Job Description],$BI1126),IF($B1126="Production",INDEX(tbl_Production[Job Description],$BI1126),INDEX(tbl_Consulting[Job Description],$BI1126)))&amp;"")</f>
        <v/>
      </c>
      <c r="H1126" s="10">
        <f>IF($BI1126="","",IF($B1126="Onsite",INDEX(tbl_Onsite[Cost Centre],$BI1126),IF($B1126="Production",INDEX(tbl_Production[Cost Centre],$BI1126),INDEX(tbl_Consulting[Cost Centre],$BI1126)))&amp;"")</f>
        <v/>
      </c>
      <c r="I1126" s="10">
        <f>IF($BI1126="","",IF($B1126="Onsite",INDEX(tbl_Onsite[Invoice Type],$BI1126),IF($B1126="Production",INDEX(tbl_Production[Invoice Type],$BI1126),INDEX(tbl_Consulting[Invoice Type],$BI1126)))&amp;"")</f>
        <v/>
      </c>
      <c r="J1126" s="10">
        <f>IF($BI1126="","",IF($B1126="Onsite",INDEX(tbl_Onsite[Tax Code],$BI1126),IF($B1126="Production",INDEX(tbl_Production[Tax Code],$BI1126),INDEX(tbl_Consulting[Tax Code],$BI1126)))&amp;"")</f>
        <v/>
      </c>
      <c r="K1126" s="10">
        <f>IF(H1126="","",IFERROR(INDEX(lst_CCtoGL,MATCH(H1126,lst_CCforGL,0)),""))</f>
        <v/>
      </c>
      <c r="L1126" s="10">
        <f>IF($BI1126="","",IF($B1126="Onsite",INDEX(tbl_Onsite[PO / Reference],$BI1126),IF($B1126="Production",INDEX(tbl_Production[Current RMS No],$BI1126),INDEX(tbl_Consulting[Qwilr Quote],$BI1126)))&amp;"")</f>
        <v/>
      </c>
      <c r="M1126" s="10">
        <f>IF($BI1126="","",IF($B1126="Onsite",INDEX(tbl_Onsite[Notes],$BI1126),IF($B1126="Production",INDEX(tbl_Production[Notes],$BI1126),INDEX(tbl_Consulting[Notes],$BI1126)))&amp;"")</f>
        <v/>
      </c>
      <c r="N1126" s="11">
        <f>IF($BI1126="","",IF(IF($B1126="Onsite",INDEX(tbl_Onsite[Expected Revenue Ex GST],$BI1126),IF($B1126="Production",INDEX(tbl_Production[Expected Revenue Ex GST],$BI1126),INDEX(tbl_Consulting[Expected Revenue Ex GST],$BI1126)))="","",IF($B1126="Onsite",INDEX(tbl_Onsite[Expected Revenue Ex GST],$BI1126),IF($B1126="Production",INDEX(tbl_Production[Expected Revenue Ex GST],$BI1126),INDEX(tbl_Consulting[Expected Revenue Ex GST],$BI1126)))))</f>
        <v/>
      </c>
      <c r="O1126" s="11">
        <f>IF(AND($C1126="",NOT(COUNTA($S1126:$BB1126)&gt;0)),"",SUM(U1126,X1126,AA1126,AD1126,AG1126,AJ1126,AM1126,AP1126,AS1126,AV1126,AY1126,BB1126))</f>
        <v/>
      </c>
      <c r="P1126" s="11">
        <f>IF(O1126="","",N(N1126)-O1126)</f>
        <v/>
      </c>
      <c r="Q1126" s="10">
        <f>IF(O1126="","",IF($C1126="","Invoice on empty job row",IF(N1126="",IF(ROUND(O1126,2)=0,"No dept value","Invoiced - no dept value"),IF(ROUND(O1126,2)=0,"Not invoiced - to invoice",IF(ROUND(P1126,2)=0,"Agrees",IF(P1126&gt;0,"Dept higher - to invoice","Xero higher - check dept"))))))</f>
        <v/>
      </c>
      <c r="R1126" s="10">
        <f>IF(AND($C1126="",NOT(COUNTA($S1126:$BB1126)&gt;0),$BI1126&lt;&gt;""),"",MID(IF($BI1126="","; Row ID not found on the department sheet - a row was deleted","")&amp;IF(AND($C1126="",COUNTA($S1126:$BB1126)&gt;0),"; Invoice entered but the department row has no job number","")&amp;IF(E1126="CHECK","; Job number not in the Xero job list","")&amp;IF(AND($C1126&lt;&gt;"",COUNTIF($C$7:$C$1506,$C1126)&gt;1),"; Job number on more than one row","")&amp;IF(AND($C1126&lt;&gt;"",H1126=""),"; Dept has not set a cost centre","")&amp;IF(AND($C1126&lt;&gt;"",J1126=""),"; Dept has not set a tax code","")&amp;IF(AND($C1126&lt;&gt;"",N1126=""),"; Dept has not entered an expected value","")&amp;IF((IF(OR(COUNTA(S1126:U1126)=0,AND(COUNTA(S1126:U1126)=3,ISNUMBER(U1126))),0,1)+IF(OR(COUNTA(V1126:X1126)=0,AND(COUNTA(V1126:X1126)=3,ISNUMBER(X1126))),0,1)+IF(OR(COUNTA(Y1126:AA1126)=0,AND(COUNTA(Y1126:AA1126)=3,ISNUMBER(AA1126))),0,1)+IF(OR(COUNTA(AB1126:AD1126)=0,AND(COUNTA(AB1126:AD1126)=3,ISNUMBER(AD1126))),0,1)+IF(OR(COUNTA(AE1126:AG1126)=0,AND(COUNTA(AE1126:AG1126)=3,ISNUMBER(AG1126))),0,1)+IF(OR(COUNTA(AH1126:AJ1126)=0,AND(COUNTA(AH1126:AJ1126)=3,ISNUMBER(AJ1126))),0,1)+IF(OR(COUNTA(AK1126:AM1126)=0,AND(COUNTA(AK1126:AM1126)=3,ISNUMBER(AM1126))),0,1)+IF(OR(COUNTA(AN1126:AP1126)=0,AND(COUNTA(AN1126:AP1126)=3,ISNUMBER(AP1126))),0,1)+IF(OR(COUNTA(AQ1126:AS1126)=0,AND(COUNTA(AQ1126:AS1126)=3,ISNUMBER(AS1126))),0,1)+IF(OR(COUNTA(AT1126:AV1126)=0,AND(COUNTA(AT1126:AV1126)=3,ISNUMBER(AV1126))),0,1)+IF(OR(COUNTA(AW1126:AY1126)=0,AND(COUNTA(AW1126:AY1126)=3,ISNUMBER(AY1126))),0,1)+IF(OR(COUNTA(AZ1126:BB1126)=0,AND(COUNTA(AZ1126:BB1126)=3,ISNUMBER(BB1126))),0,1))&gt;0,"; An invoice is incomplete (needs No, Date and a number in Ex GST)","")&amp;IF((IF(T1126="",0,IFERROR(--(EOMONTH(T1126,0)&lt;&gt;S$5),1))+IF(W1126="",0,IFERROR(--(EOMONTH(W1126,0)&lt;&gt;V$5),1))+IF(Z1126="",0,IFERROR(--(EOMONTH(Z1126,0)&lt;&gt;Y$5),1))+IF(AC1126="",0,IFERROR(--(EOMONTH(AC1126,0)&lt;&gt;AB$5),1))+IF(AF1126="",0,IFERROR(--(EOMONTH(AF1126,0)&lt;&gt;AE$5),1))+IF(AI1126="",0,IFERROR(--(EOMONTH(AI1126,0)&lt;&gt;AH$5),1))+IF(AL1126="",0,IFERROR(--(EOMONTH(AL1126,0)&lt;&gt;AK$5),1))+IF(AO1126="",0,IFERROR(--(EOMONTH(AO1126,0)&lt;&gt;AN$5),1))+IF(AR1126="",0,IFERROR(--(EOMONTH(AR1126,0)&lt;&gt;AQ$5),1))+IF(AU1126="",0,IFERROR(--(EOMONTH(AU1126,0)&lt;&gt;AT$5),1))+IF(AX1126="",0,IFERROR(--(EOMONTH(AX1126,0)&lt;&gt;AW$5),1))+IF(BA1126="",0,IFERROR(--(EOMONTH(BA1126,0)&lt;&gt;AZ$5),1)))&gt;0,"; An invoice date is not in the month it is typed under",""),3,500))</f>
        <v/>
      </c>
      <c r="S1126" s="12" t="n"/>
      <c r="T1126" s="13" t="n"/>
      <c r="U1126" s="14" t="n"/>
      <c r="V1126" s="12" t="n"/>
      <c r="W1126" s="13" t="n"/>
      <c r="X1126" s="14" t="n"/>
      <c r="Y1126" s="12" t="n"/>
      <c r="Z1126" s="13" t="n"/>
      <c r="AA1126" s="14" t="n"/>
      <c r="AB1126" s="12" t="n"/>
      <c r="AC1126" s="13" t="n"/>
      <c r="AD1126" s="14" t="n"/>
      <c r="AE1126" s="12" t="n"/>
      <c r="AF1126" s="13" t="n"/>
      <c r="AG1126" s="14" t="n"/>
      <c r="AH1126" s="12" t="n"/>
      <c r="AI1126" s="13" t="n"/>
      <c r="AJ1126" s="14" t="n"/>
      <c r="AK1126" s="12" t="n"/>
      <c r="AL1126" s="13" t="n"/>
      <c r="AM1126" s="14" t="n"/>
      <c r="AN1126" s="12" t="n"/>
      <c r="AO1126" s="13" t="n"/>
      <c r="AP1126" s="14" t="n"/>
      <c r="AQ1126" s="12" t="n"/>
      <c r="AR1126" s="13" t="n"/>
      <c r="AS1126" s="14" t="n"/>
      <c r="AT1126" s="12" t="n"/>
      <c r="AU1126" s="13" t="n"/>
      <c r="AV1126" s="14" t="n"/>
      <c r="AW1126" s="12" t="n"/>
      <c r="AX1126" s="13" t="n"/>
      <c r="AY1126" s="14" t="n"/>
      <c r="AZ1126" s="12" t="n"/>
      <c r="BA1126" s="13" t="n"/>
      <c r="BB1126" s="14" t="n"/>
      <c r="BC1126" s="11">
        <f>IF(O1126="","",IF(J1126="GST 10%",ROUND(O1126*set_GSTRate,2),0))</f>
        <v/>
      </c>
      <c r="BD1126" s="11">
        <f>IF(O1126="","",O1126+BC1126)</f>
        <v/>
      </c>
      <c r="BE1126" s="15">
        <f>IF(O1126="","",COUNTA(S1126,V1126,Y1126,AB1126,AE1126,AH1126,AK1126,AN1126,AQ1126,AT1126,AW1126,AZ1126))</f>
        <v/>
      </c>
      <c r="BF1126" s="16">
        <f>IF(COUNT(T1126,W1126,Z1126,AC1126,AF1126,AI1126,AL1126,AO1126,AR1126,AU1126,AX1126,BA1126)=0,"",MAX(T1126,W1126,Z1126,AC1126,AF1126,AI1126,AL1126,AO1126,AR1126,AU1126,AX1126,BA1126))</f>
        <v/>
      </c>
      <c r="BG1126" s="10">
        <f>MID(IF(S1126="","",", "&amp;S1126)&amp;IF(V1126="","",", "&amp;V1126)&amp;IF(Y1126="","",", "&amp;Y1126)&amp;IF(AB1126="","",", "&amp;AB1126)&amp;IF(AE1126="","",", "&amp;AE1126)&amp;IF(AH1126="","",", "&amp;AH1126)&amp;IF(AK1126="","",", "&amp;AK1126)&amp;IF(AN1126="","",", "&amp;AN1126)&amp;IF(AQ1126="","",", "&amp;AQ1126)&amp;IF(AT1126="","",", "&amp;AT1126)&amp;IF(AW1126="","",", "&amp;AW1126)&amp;IF(AZ1126="","",", "&amp;AZ1126),3,500)</f>
        <v/>
      </c>
      <c r="BH1126" s="12" t="n"/>
      <c r="BI1126" s="15">
        <f>IFERROR(MATCH($A1126,IF($B1126="Onsite",tbl_Onsite[Row ID],IF($B1126="Production",tbl_Production[Row ID],tbl_Consulting[Row ID])),0),"")</f>
        <v/>
      </c>
    </row>
    <row r="1127">
      <c r="A1127" s="10" t="inlineStr">
        <is>
          <t>CON-0121</t>
        </is>
      </c>
      <c r="B1127" s="10" t="inlineStr">
        <is>
          <t>Consulting</t>
        </is>
      </c>
      <c r="C1127" s="10">
        <f>IF($BI1127="","",IF($B1127="Onsite",INDEX(tbl_Onsite[Job Number],$BI1127),IF($B1127="Production",INDEX(tbl_Production[Job Number],$BI1127),INDEX(tbl_Consulting[Job Number],$BI1127)))&amp;"")</f>
        <v/>
      </c>
      <c r="D1127" s="10">
        <f>IF($BI1127="","",IF($B1127="Onsite",INDEX(tbl_Onsite[Client],$BI1127),IF($B1127="Production",INDEX(tbl_Production[Client],$BI1127),INDEX(tbl_Consulting[Client],$BI1127)))&amp;"")</f>
        <v/>
      </c>
      <c r="E1127" s="10">
        <f>IF($C1127="","",IF(COUNTIF(lst_Jobs,$C1127)&gt;0,"OK","CHECK"))</f>
        <v/>
      </c>
      <c r="F1127" s="10">
        <f>IF($C1127="","",IFERROR(INDEX(lst_JobName,MATCH($C1127,lst_Jobs,0)),""))</f>
        <v/>
      </c>
      <c r="G1127" s="10">
        <f>IF($BI1127="","",IF($B1127="Onsite",INDEX(tbl_Onsite[Job Description],$BI1127),IF($B1127="Production",INDEX(tbl_Production[Job Description],$BI1127),INDEX(tbl_Consulting[Job Description],$BI1127)))&amp;"")</f>
        <v/>
      </c>
      <c r="H1127" s="10">
        <f>IF($BI1127="","",IF($B1127="Onsite",INDEX(tbl_Onsite[Cost Centre],$BI1127),IF($B1127="Production",INDEX(tbl_Production[Cost Centre],$BI1127),INDEX(tbl_Consulting[Cost Centre],$BI1127)))&amp;"")</f>
        <v/>
      </c>
      <c r="I1127" s="10">
        <f>IF($BI1127="","",IF($B1127="Onsite",INDEX(tbl_Onsite[Invoice Type],$BI1127),IF($B1127="Production",INDEX(tbl_Production[Invoice Type],$BI1127),INDEX(tbl_Consulting[Invoice Type],$BI1127)))&amp;"")</f>
        <v/>
      </c>
      <c r="J1127" s="10">
        <f>IF($BI1127="","",IF($B1127="Onsite",INDEX(tbl_Onsite[Tax Code],$BI1127),IF($B1127="Production",INDEX(tbl_Production[Tax Code],$BI1127),INDEX(tbl_Consulting[Tax Code],$BI1127)))&amp;"")</f>
        <v/>
      </c>
      <c r="K1127" s="10">
        <f>IF(H1127="","",IFERROR(INDEX(lst_CCtoGL,MATCH(H1127,lst_CCforGL,0)),""))</f>
        <v/>
      </c>
      <c r="L1127" s="10">
        <f>IF($BI1127="","",IF($B1127="Onsite",INDEX(tbl_Onsite[PO / Reference],$BI1127),IF($B1127="Production",INDEX(tbl_Production[Current RMS No],$BI1127),INDEX(tbl_Consulting[Qwilr Quote],$BI1127)))&amp;"")</f>
        <v/>
      </c>
      <c r="M1127" s="10">
        <f>IF($BI1127="","",IF($B1127="Onsite",INDEX(tbl_Onsite[Notes],$BI1127),IF($B1127="Production",INDEX(tbl_Production[Notes],$BI1127),INDEX(tbl_Consulting[Notes],$BI1127)))&amp;"")</f>
        <v/>
      </c>
      <c r="N1127" s="11">
        <f>IF($BI1127="","",IF(IF($B1127="Onsite",INDEX(tbl_Onsite[Expected Revenue Ex GST],$BI1127),IF($B1127="Production",INDEX(tbl_Production[Expected Revenue Ex GST],$BI1127),INDEX(tbl_Consulting[Expected Revenue Ex GST],$BI1127)))="","",IF($B1127="Onsite",INDEX(tbl_Onsite[Expected Revenue Ex GST],$BI1127),IF($B1127="Production",INDEX(tbl_Production[Expected Revenue Ex GST],$BI1127),INDEX(tbl_Consulting[Expected Revenue Ex GST],$BI1127)))))</f>
        <v/>
      </c>
      <c r="O1127" s="11">
        <f>IF(AND($C1127="",NOT(COUNTA($S1127:$BB1127)&gt;0)),"",SUM(U1127,X1127,AA1127,AD1127,AG1127,AJ1127,AM1127,AP1127,AS1127,AV1127,AY1127,BB1127))</f>
        <v/>
      </c>
      <c r="P1127" s="11">
        <f>IF(O1127="","",N(N1127)-O1127)</f>
        <v/>
      </c>
      <c r="Q1127" s="10">
        <f>IF(O1127="","",IF($C1127="","Invoice on empty job row",IF(N1127="",IF(ROUND(O1127,2)=0,"No dept value","Invoiced - no dept value"),IF(ROUND(O1127,2)=0,"Not invoiced - to invoice",IF(ROUND(P1127,2)=0,"Agrees",IF(P1127&gt;0,"Dept higher - to invoice","Xero higher - check dept"))))))</f>
        <v/>
      </c>
      <c r="R1127" s="10">
        <f>IF(AND($C1127="",NOT(COUNTA($S1127:$BB1127)&gt;0),$BI1127&lt;&gt;""),"",MID(IF($BI1127="","; Row ID not found on the department sheet - a row was deleted","")&amp;IF(AND($C1127="",COUNTA($S1127:$BB1127)&gt;0),"; Invoice entered but the department row has no job number","")&amp;IF(E1127="CHECK","; Job number not in the Xero job list","")&amp;IF(AND($C1127&lt;&gt;"",COUNTIF($C$7:$C$1506,$C1127)&gt;1),"; Job number on more than one row","")&amp;IF(AND($C1127&lt;&gt;"",H1127=""),"; Dept has not set a cost centre","")&amp;IF(AND($C1127&lt;&gt;"",J1127=""),"; Dept has not set a tax code","")&amp;IF(AND($C1127&lt;&gt;"",N1127=""),"; Dept has not entered an expected value","")&amp;IF((IF(OR(COUNTA(S1127:U1127)=0,AND(COUNTA(S1127:U1127)=3,ISNUMBER(U1127))),0,1)+IF(OR(COUNTA(V1127:X1127)=0,AND(COUNTA(V1127:X1127)=3,ISNUMBER(X1127))),0,1)+IF(OR(COUNTA(Y1127:AA1127)=0,AND(COUNTA(Y1127:AA1127)=3,ISNUMBER(AA1127))),0,1)+IF(OR(COUNTA(AB1127:AD1127)=0,AND(COUNTA(AB1127:AD1127)=3,ISNUMBER(AD1127))),0,1)+IF(OR(COUNTA(AE1127:AG1127)=0,AND(COUNTA(AE1127:AG1127)=3,ISNUMBER(AG1127))),0,1)+IF(OR(COUNTA(AH1127:AJ1127)=0,AND(COUNTA(AH1127:AJ1127)=3,ISNUMBER(AJ1127))),0,1)+IF(OR(COUNTA(AK1127:AM1127)=0,AND(COUNTA(AK1127:AM1127)=3,ISNUMBER(AM1127))),0,1)+IF(OR(COUNTA(AN1127:AP1127)=0,AND(COUNTA(AN1127:AP1127)=3,ISNUMBER(AP1127))),0,1)+IF(OR(COUNTA(AQ1127:AS1127)=0,AND(COUNTA(AQ1127:AS1127)=3,ISNUMBER(AS1127))),0,1)+IF(OR(COUNTA(AT1127:AV1127)=0,AND(COUNTA(AT1127:AV1127)=3,ISNUMBER(AV1127))),0,1)+IF(OR(COUNTA(AW1127:AY1127)=0,AND(COUNTA(AW1127:AY1127)=3,ISNUMBER(AY1127))),0,1)+IF(OR(COUNTA(AZ1127:BB1127)=0,AND(COUNTA(AZ1127:BB1127)=3,ISNUMBER(BB1127))),0,1))&gt;0,"; An invoice is incomplete (needs No, Date and a number in Ex GST)","")&amp;IF((IF(T1127="",0,IFERROR(--(EOMONTH(T1127,0)&lt;&gt;S$5),1))+IF(W1127="",0,IFERROR(--(EOMONTH(W1127,0)&lt;&gt;V$5),1))+IF(Z1127="",0,IFERROR(--(EOMONTH(Z1127,0)&lt;&gt;Y$5),1))+IF(AC1127="",0,IFERROR(--(EOMONTH(AC1127,0)&lt;&gt;AB$5),1))+IF(AF1127="",0,IFERROR(--(EOMONTH(AF1127,0)&lt;&gt;AE$5),1))+IF(AI1127="",0,IFERROR(--(EOMONTH(AI1127,0)&lt;&gt;AH$5),1))+IF(AL1127="",0,IFERROR(--(EOMONTH(AL1127,0)&lt;&gt;AK$5),1))+IF(AO1127="",0,IFERROR(--(EOMONTH(AO1127,0)&lt;&gt;AN$5),1))+IF(AR1127="",0,IFERROR(--(EOMONTH(AR1127,0)&lt;&gt;AQ$5),1))+IF(AU1127="",0,IFERROR(--(EOMONTH(AU1127,0)&lt;&gt;AT$5),1))+IF(AX1127="",0,IFERROR(--(EOMONTH(AX1127,0)&lt;&gt;AW$5),1))+IF(BA1127="",0,IFERROR(--(EOMONTH(BA1127,0)&lt;&gt;AZ$5),1)))&gt;0,"; An invoice date is not in the month it is typed under",""),3,500))</f>
        <v/>
      </c>
      <c r="S1127" s="12" t="n"/>
      <c r="T1127" s="13" t="n"/>
      <c r="U1127" s="14" t="n"/>
      <c r="V1127" s="12" t="n"/>
      <c r="W1127" s="13" t="n"/>
      <c r="X1127" s="14" t="n"/>
      <c r="Y1127" s="12" t="n"/>
      <c r="Z1127" s="13" t="n"/>
      <c r="AA1127" s="14" t="n"/>
      <c r="AB1127" s="12" t="n"/>
      <c r="AC1127" s="13" t="n"/>
      <c r="AD1127" s="14" t="n"/>
      <c r="AE1127" s="12" t="n"/>
      <c r="AF1127" s="13" t="n"/>
      <c r="AG1127" s="14" t="n"/>
      <c r="AH1127" s="12" t="n"/>
      <c r="AI1127" s="13" t="n"/>
      <c r="AJ1127" s="14" t="n"/>
      <c r="AK1127" s="12" t="n"/>
      <c r="AL1127" s="13" t="n"/>
      <c r="AM1127" s="14" t="n"/>
      <c r="AN1127" s="12" t="n"/>
      <c r="AO1127" s="13" t="n"/>
      <c r="AP1127" s="14" t="n"/>
      <c r="AQ1127" s="12" t="n"/>
      <c r="AR1127" s="13" t="n"/>
      <c r="AS1127" s="14" t="n"/>
      <c r="AT1127" s="12" t="n"/>
      <c r="AU1127" s="13" t="n"/>
      <c r="AV1127" s="14" t="n"/>
      <c r="AW1127" s="12" t="n"/>
      <c r="AX1127" s="13" t="n"/>
      <c r="AY1127" s="14" t="n"/>
      <c r="AZ1127" s="12" t="n"/>
      <c r="BA1127" s="13" t="n"/>
      <c r="BB1127" s="14" t="n"/>
      <c r="BC1127" s="11">
        <f>IF(O1127="","",IF(J1127="GST 10%",ROUND(O1127*set_GSTRate,2),0))</f>
        <v/>
      </c>
      <c r="BD1127" s="11">
        <f>IF(O1127="","",O1127+BC1127)</f>
        <v/>
      </c>
      <c r="BE1127" s="15">
        <f>IF(O1127="","",COUNTA(S1127,V1127,Y1127,AB1127,AE1127,AH1127,AK1127,AN1127,AQ1127,AT1127,AW1127,AZ1127))</f>
        <v/>
      </c>
      <c r="BF1127" s="16">
        <f>IF(COUNT(T1127,W1127,Z1127,AC1127,AF1127,AI1127,AL1127,AO1127,AR1127,AU1127,AX1127,BA1127)=0,"",MAX(T1127,W1127,Z1127,AC1127,AF1127,AI1127,AL1127,AO1127,AR1127,AU1127,AX1127,BA1127))</f>
        <v/>
      </c>
      <c r="BG1127" s="10">
        <f>MID(IF(S1127="","",", "&amp;S1127)&amp;IF(V1127="","",", "&amp;V1127)&amp;IF(Y1127="","",", "&amp;Y1127)&amp;IF(AB1127="","",", "&amp;AB1127)&amp;IF(AE1127="","",", "&amp;AE1127)&amp;IF(AH1127="","",", "&amp;AH1127)&amp;IF(AK1127="","",", "&amp;AK1127)&amp;IF(AN1127="","",", "&amp;AN1127)&amp;IF(AQ1127="","",", "&amp;AQ1127)&amp;IF(AT1127="","",", "&amp;AT1127)&amp;IF(AW1127="","",", "&amp;AW1127)&amp;IF(AZ1127="","",", "&amp;AZ1127),3,500)</f>
        <v/>
      </c>
      <c r="BH1127" s="12" t="n"/>
      <c r="BI1127" s="15">
        <f>IFERROR(MATCH($A1127,IF($B1127="Onsite",tbl_Onsite[Row ID],IF($B1127="Production",tbl_Production[Row ID],tbl_Consulting[Row ID])),0),"")</f>
        <v/>
      </c>
    </row>
    <row r="1128">
      <c r="A1128" s="10" t="inlineStr">
        <is>
          <t>CON-0122</t>
        </is>
      </c>
      <c r="B1128" s="10" t="inlineStr">
        <is>
          <t>Consulting</t>
        </is>
      </c>
      <c r="C1128" s="10">
        <f>IF($BI1128="","",IF($B1128="Onsite",INDEX(tbl_Onsite[Job Number],$BI1128),IF($B1128="Production",INDEX(tbl_Production[Job Number],$BI1128),INDEX(tbl_Consulting[Job Number],$BI1128)))&amp;"")</f>
        <v/>
      </c>
      <c r="D1128" s="10">
        <f>IF($BI1128="","",IF($B1128="Onsite",INDEX(tbl_Onsite[Client],$BI1128),IF($B1128="Production",INDEX(tbl_Production[Client],$BI1128),INDEX(tbl_Consulting[Client],$BI1128)))&amp;"")</f>
        <v/>
      </c>
      <c r="E1128" s="10">
        <f>IF($C1128="","",IF(COUNTIF(lst_Jobs,$C1128)&gt;0,"OK","CHECK"))</f>
        <v/>
      </c>
      <c r="F1128" s="10">
        <f>IF($C1128="","",IFERROR(INDEX(lst_JobName,MATCH($C1128,lst_Jobs,0)),""))</f>
        <v/>
      </c>
      <c r="G1128" s="10">
        <f>IF($BI1128="","",IF($B1128="Onsite",INDEX(tbl_Onsite[Job Description],$BI1128),IF($B1128="Production",INDEX(tbl_Production[Job Description],$BI1128),INDEX(tbl_Consulting[Job Description],$BI1128)))&amp;"")</f>
        <v/>
      </c>
      <c r="H1128" s="10">
        <f>IF($BI1128="","",IF($B1128="Onsite",INDEX(tbl_Onsite[Cost Centre],$BI1128),IF($B1128="Production",INDEX(tbl_Production[Cost Centre],$BI1128),INDEX(tbl_Consulting[Cost Centre],$BI1128)))&amp;"")</f>
        <v/>
      </c>
      <c r="I1128" s="10">
        <f>IF($BI1128="","",IF($B1128="Onsite",INDEX(tbl_Onsite[Invoice Type],$BI1128),IF($B1128="Production",INDEX(tbl_Production[Invoice Type],$BI1128),INDEX(tbl_Consulting[Invoice Type],$BI1128)))&amp;"")</f>
        <v/>
      </c>
      <c r="J1128" s="10">
        <f>IF($BI1128="","",IF($B1128="Onsite",INDEX(tbl_Onsite[Tax Code],$BI1128),IF($B1128="Production",INDEX(tbl_Production[Tax Code],$BI1128),INDEX(tbl_Consulting[Tax Code],$BI1128)))&amp;"")</f>
        <v/>
      </c>
      <c r="K1128" s="10">
        <f>IF(H1128="","",IFERROR(INDEX(lst_CCtoGL,MATCH(H1128,lst_CCforGL,0)),""))</f>
        <v/>
      </c>
      <c r="L1128" s="10">
        <f>IF($BI1128="","",IF($B1128="Onsite",INDEX(tbl_Onsite[PO / Reference],$BI1128),IF($B1128="Production",INDEX(tbl_Production[Current RMS No],$BI1128),INDEX(tbl_Consulting[Qwilr Quote],$BI1128)))&amp;"")</f>
        <v/>
      </c>
      <c r="M1128" s="10">
        <f>IF($BI1128="","",IF($B1128="Onsite",INDEX(tbl_Onsite[Notes],$BI1128),IF($B1128="Production",INDEX(tbl_Production[Notes],$BI1128),INDEX(tbl_Consulting[Notes],$BI1128)))&amp;"")</f>
        <v/>
      </c>
      <c r="N1128" s="11">
        <f>IF($BI1128="","",IF(IF($B1128="Onsite",INDEX(tbl_Onsite[Expected Revenue Ex GST],$BI1128),IF($B1128="Production",INDEX(tbl_Production[Expected Revenue Ex GST],$BI1128),INDEX(tbl_Consulting[Expected Revenue Ex GST],$BI1128)))="","",IF($B1128="Onsite",INDEX(tbl_Onsite[Expected Revenue Ex GST],$BI1128),IF($B1128="Production",INDEX(tbl_Production[Expected Revenue Ex GST],$BI1128),INDEX(tbl_Consulting[Expected Revenue Ex GST],$BI1128)))))</f>
        <v/>
      </c>
      <c r="O1128" s="11">
        <f>IF(AND($C1128="",NOT(COUNTA($S1128:$BB1128)&gt;0)),"",SUM(U1128,X1128,AA1128,AD1128,AG1128,AJ1128,AM1128,AP1128,AS1128,AV1128,AY1128,BB1128))</f>
        <v/>
      </c>
      <c r="P1128" s="11">
        <f>IF(O1128="","",N(N1128)-O1128)</f>
        <v/>
      </c>
      <c r="Q1128" s="10">
        <f>IF(O1128="","",IF($C1128="","Invoice on empty job row",IF(N1128="",IF(ROUND(O1128,2)=0,"No dept value","Invoiced - no dept value"),IF(ROUND(O1128,2)=0,"Not invoiced - to invoice",IF(ROUND(P1128,2)=0,"Agrees",IF(P1128&gt;0,"Dept higher - to invoice","Xero higher - check dept"))))))</f>
        <v/>
      </c>
      <c r="R1128" s="10">
        <f>IF(AND($C1128="",NOT(COUNTA($S1128:$BB1128)&gt;0),$BI1128&lt;&gt;""),"",MID(IF($BI1128="","; Row ID not found on the department sheet - a row was deleted","")&amp;IF(AND($C1128="",COUNTA($S1128:$BB1128)&gt;0),"; Invoice entered but the department row has no job number","")&amp;IF(E1128="CHECK","; Job number not in the Xero job list","")&amp;IF(AND($C1128&lt;&gt;"",COUNTIF($C$7:$C$1506,$C1128)&gt;1),"; Job number on more than one row","")&amp;IF(AND($C1128&lt;&gt;"",H1128=""),"; Dept has not set a cost centre","")&amp;IF(AND($C1128&lt;&gt;"",J1128=""),"; Dept has not set a tax code","")&amp;IF(AND($C1128&lt;&gt;"",N1128=""),"; Dept has not entered an expected value","")&amp;IF((IF(OR(COUNTA(S1128:U1128)=0,AND(COUNTA(S1128:U1128)=3,ISNUMBER(U1128))),0,1)+IF(OR(COUNTA(V1128:X1128)=0,AND(COUNTA(V1128:X1128)=3,ISNUMBER(X1128))),0,1)+IF(OR(COUNTA(Y1128:AA1128)=0,AND(COUNTA(Y1128:AA1128)=3,ISNUMBER(AA1128))),0,1)+IF(OR(COUNTA(AB1128:AD1128)=0,AND(COUNTA(AB1128:AD1128)=3,ISNUMBER(AD1128))),0,1)+IF(OR(COUNTA(AE1128:AG1128)=0,AND(COUNTA(AE1128:AG1128)=3,ISNUMBER(AG1128))),0,1)+IF(OR(COUNTA(AH1128:AJ1128)=0,AND(COUNTA(AH1128:AJ1128)=3,ISNUMBER(AJ1128))),0,1)+IF(OR(COUNTA(AK1128:AM1128)=0,AND(COUNTA(AK1128:AM1128)=3,ISNUMBER(AM1128))),0,1)+IF(OR(COUNTA(AN1128:AP1128)=0,AND(COUNTA(AN1128:AP1128)=3,ISNUMBER(AP1128))),0,1)+IF(OR(COUNTA(AQ1128:AS1128)=0,AND(COUNTA(AQ1128:AS1128)=3,ISNUMBER(AS1128))),0,1)+IF(OR(COUNTA(AT1128:AV1128)=0,AND(COUNTA(AT1128:AV1128)=3,ISNUMBER(AV1128))),0,1)+IF(OR(COUNTA(AW1128:AY1128)=0,AND(COUNTA(AW1128:AY1128)=3,ISNUMBER(AY1128))),0,1)+IF(OR(COUNTA(AZ1128:BB1128)=0,AND(COUNTA(AZ1128:BB1128)=3,ISNUMBER(BB1128))),0,1))&gt;0,"; An invoice is incomplete (needs No, Date and a number in Ex GST)","")&amp;IF((IF(T1128="",0,IFERROR(--(EOMONTH(T1128,0)&lt;&gt;S$5),1))+IF(W1128="",0,IFERROR(--(EOMONTH(W1128,0)&lt;&gt;V$5),1))+IF(Z1128="",0,IFERROR(--(EOMONTH(Z1128,0)&lt;&gt;Y$5),1))+IF(AC1128="",0,IFERROR(--(EOMONTH(AC1128,0)&lt;&gt;AB$5),1))+IF(AF1128="",0,IFERROR(--(EOMONTH(AF1128,0)&lt;&gt;AE$5),1))+IF(AI1128="",0,IFERROR(--(EOMONTH(AI1128,0)&lt;&gt;AH$5),1))+IF(AL1128="",0,IFERROR(--(EOMONTH(AL1128,0)&lt;&gt;AK$5),1))+IF(AO1128="",0,IFERROR(--(EOMONTH(AO1128,0)&lt;&gt;AN$5),1))+IF(AR1128="",0,IFERROR(--(EOMONTH(AR1128,0)&lt;&gt;AQ$5),1))+IF(AU1128="",0,IFERROR(--(EOMONTH(AU1128,0)&lt;&gt;AT$5),1))+IF(AX1128="",0,IFERROR(--(EOMONTH(AX1128,0)&lt;&gt;AW$5),1))+IF(BA1128="",0,IFERROR(--(EOMONTH(BA1128,0)&lt;&gt;AZ$5),1)))&gt;0,"; An invoice date is not in the month it is typed under",""),3,500))</f>
        <v/>
      </c>
      <c r="S1128" s="12" t="n"/>
      <c r="T1128" s="13" t="n"/>
      <c r="U1128" s="14" t="n"/>
      <c r="V1128" s="12" t="n"/>
      <c r="W1128" s="13" t="n"/>
      <c r="X1128" s="14" t="n"/>
      <c r="Y1128" s="12" t="n"/>
      <c r="Z1128" s="13" t="n"/>
      <c r="AA1128" s="14" t="n"/>
      <c r="AB1128" s="12" t="n"/>
      <c r="AC1128" s="13" t="n"/>
      <c r="AD1128" s="14" t="n"/>
      <c r="AE1128" s="12" t="n"/>
      <c r="AF1128" s="13" t="n"/>
      <c r="AG1128" s="14" t="n"/>
      <c r="AH1128" s="12" t="n"/>
      <c r="AI1128" s="13" t="n"/>
      <c r="AJ1128" s="14" t="n"/>
      <c r="AK1128" s="12" t="n"/>
      <c r="AL1128" s="13" t="n"/>
      <c r="AM1128" s="14" t="n"/>
      <c r="AN1128" s="12" t="n"/>
      <c r="AO1128" s="13" t="n"/>
      <c r="AP1128" s="14" t="n"/>
      <c r="AQ1128" s="12" t="n"/>
      <c r="AR1128" s="13" t="n"/>
      <c r="AS1128" s="14" t="n"/>
      <c r="AT1128" s="12" t="n"/>
      <c r="AU1128" s="13" t="n"/>
      <c r="AV1128" s="14" t="n"/>
      <c r="AW1128" s="12" t="n"/>
      <c r="AX1128" s="13" t="n"/>
      <c r="AY1128" s="14" t="n"/>
      <c r="AZ1128" s="12" t="n"/>
      <c r="BA1128" s="13" t="n"/>
      <c r="BB1128" s="14" t="n"/>
      <c r="BC1128" s="11">
        <f>IF(O1128="","",IF(J1128="GST 10%",ROUND(O1128*set_GSTRate,2),0))</f>
        <v/>
      </c>
      <c r="BD1128" s="11">
        <f>IF(O1128="","",O1128+BC1128)</f>
        <v/>
      </c>
      <c r="BE1128" s="15">
        <f>IF(O1128="","",COUNTA(S1128,V1128,Y1128,AB1128,AE1128,AH1128,AK1128,AN1128,AQ1128,AT1128,AW1128,AZ1128))</f>
        <v/>
      </c>
      <c r="BF1128" s="16">
        <f>IF(COUNT(T1128,W1128,Z1128,AC1128,AF1128,AI1128,AL1128,AO1128,AR1128,AU1128,AX1128,BA1128)=0,"",MAX(T1128,W1128,Z1128,AC1128,AF1128,AI1128,AL1128,AO1128,AR1128,AU1128,AX1128,BA1128))</f>
        <v/>
      </c>
      <c r="BG1128" s="10">
        <f>MID(IF(S1128="","",", "&amp;S1128)&amp;IF(V1128="","",", "&amp;V1128)&amp;IF(Y1128="","",", "&amp;Y1128)&amp;IF(AB1128="","",", "&amp;AB1128)&amp;IF(AE1128="","",", "&amp;AE1128)&amp;IF(AH1128="","",", "&amp;AH1128)&amp;IF(AK1128="","",", "&amp;AK1128)&amp;IF(AN1128="","",", "&amp;AN1128)&amp;IF(AQ1128="","",", "&amp;AQ1128)&amp;IF(AT1128="","",", "&amp;AT1128)&amp;IF(AW1128="","",", "&amp;AW1128)&amp;IF(AZ1128="","",", "&amp;AZ1128),3,500)</f>
        <v/>
      </c>
      <c r="BH1128" s="12" t="n"/>
      <c r="BI1128" s="15">
        <f>IFERROR(MATCH($A1128,IF($B1128="Onsite",tbl_Onsite[Row ID],IF($B1128="Production",tbl_Production[Row ID],tbl_Consulting[Row ID])),0),"")</f>
        <v/>
      </c>
    </row>
    <row r="1129">
      <c r="A1129" s="10" t="inlineStr">
        <is>
          <t>CON-0123</t>
        </is>
      </c>
      <c r="B1129" s="10" t="inlineStr">
        <is>
          <t>Consulting</t>
        </is>
      </c>
      <c r="C1129" s="10">
        <f>IF($BI1129="","",IF($B1129="Onsite",INDEX(tbl_Onsite[Job Number],$BI1129),IF($B1129="Production",INDEX(tbl_Production[Job Number],$BI1129),INDEX(tbl_Consulting[Job Number],$BI1129)))&amp;"")</f>
        <v/>
      </c>
      <c r="D1129" s="10">
        <f>IF($BI1129="","",IF($B1129="Onsite",INDEX(tbl_Onsite[Client],$BI1129),IF($B1129="Production",INDEX(tbl_Production[Client],$BI1129),INDEX(tbl_Consulting[Client],$BI1129)))&amp;"")</f>
        <v/>
      </c>
      <c r="E1129" s="10">
        <f>IF($C1129="","",IF(COUNTIF(lst_Jobs,$C1129)&gt;0,"OK","CHECK"))</f>
        <v/>
      </c>
      <c r="F1129" s="10">
        <f>IF($C1129="","",IFERROR(INDEX(lst_JobName,MATCH($C1129,lst_Jobs,0)),""))</f>
        <v/>
      </c>
      <c r="G1129" s="10">
        <f>IF($BI1129="","",IF($B1129="Onsite",INDEX(tbl_Onsite[Job Description],$BI1129),IF($B1129="Production",INDEX(tbl_Production[Job Description],$BI1129),INDEX(tbl_Consulting[Job Description],$BI1129)))&amp;"")</f>
        <v/>
      </c>
      <c r="H1129" s="10">
        <f>IF($BI1129="","",IF($B1129="Onsite",INDEX(tbl_Onsite[Cost Centre],$BI1129),IF($B1129="Production",INDEX(tbl_Production[Cost Centre],$BI1129),INDEX(tbl_Consulting[Cost Centre],$BI1129)))&amp;"")</f>
        <v/>
      </c>
      <c r="I1129" s="10">
        <f>IF($BI1129="","",IF($B1129="Onsite",INDEX(tbl_Onsite[Invoice Type],$BI1129),IF($B1129="Production",INDEX(tbl_Production[Invoice Type],$BI1129),INDEX(tbl_Consulting[Invoice Type],$BI1129)))&amp;"")</f>
        <v/>
      </c>
      <c r="J1129" s="10">
        <f>IF($BI1129="","",IF($B1129="Onsite",INDEX(tbl_Onsite[Tax Code],$BI1129),IF($B1129="Production",INDEX(tbl_Production[Tax Code],$BI1129),INDEX(tbl_Consulting[Tax Code],$BI1129)))&amp;"")</f>
        <v/>
      </c>
      <c r="K1129" s="10">
        <f>IF(H1129="","",IFERROR(INDEX(lst_CCtoGL,MATCH(H1129,lst_CCforGL,0)),""))</f>
        <v/>
      </c>
      <c r="L1129" s="10">
        <f>IF($BI1129="","",IF($B1129="Onsite",INDEX(tbl_Onsite[PO / Reference],$BI1129),IF($B1129="Production",INDEX(tbl_Production[Current RMS No],$BI1129),INDEX(tbl_Consulting[Qwilr Quote],$BI1129)))&amp;"")</f>
        <v/>
      </c>
      <c r="M1129" s="10">
        <f>IF($BI1129="","",IF($B1129="Onsite",INDEX(tbl_Onsite[Notes],$BI1129),IF($B1129="Production",INDEX(tbl_Production[Notes],$BI1129),INDEX(tbl_Consulting[Notes],$BI1129)))&amp;"")</f>
        <v/>
      </c>
      <c r="N1129" s="11">
        <f>IF($BI1129="","",IF(IF($B1129="Onsite",INDEX(tbl_Onsite[Expected Revenue Ex GST],$BI1129),IF($B1129="Production",INDEX(tbl_Production[Expected Revenue Ex GST],$BI1129),INDEX(tbl_Consulting[Expected Revenue Ex GST],$BI1129)))="","",IF($B1129="Onsite",INDEX(tbl_Onsite[Expected Revenue Ex GST],$BI1129),IF($B1129="Production",INDEX(tbl_Production[Expected Revenue Ex GST],$BI1129),INDEX(tbl_Consulting[Expected Revenue Ex GST],$BI1129)))))</f>
        <v/>
      </c>
      <c r="O1129" s="11">
        <f>IF(AND($C1129="",NOT(COUNTA($S1129:$BB1129)&gt;0)),"",SUM(U1129,X1129,AA1129,AD1129,AG1129,AJ1129,AM1129,AP1129,AS1129,AV1129,AY1129,BB1129))</f>
        <v/>
      </c>
      <c r="P1129" s="11">
        <f>IF(O1129="","",N(N1129)-O1129)</f>
        <v/>
      </c>
      <c r="Q1129" s="10">
        <f>IF(O1129="","",IF($C1129="","Invoice on empty job row",IF(N1129="",IF(ROUND(O1129,2)=0,"No dept value","Invoiced - no dept value"),IF(ROUND(O1129,2)=0,"Not invoiced - to invoice",IF(ROUND(P1129,2)=0,"Agrees",IF(P1129&gt;0,"Dept higher - to invoice","Xero higher - check dept"))))))</f>
        <v/>
      </c>
      <c r="R1129" s="10">
        <f>IF(AND($C1129="",NOT(COUNTA($S1129:$BB1129)&gt;0),$BI1129&lt;&gt;""),"",MID(IF($BI1129="","; Row ID not found on the department sheet - a row was deleted","")&amp;IF(AND($C1129="",COUNTA($S1129:$BB1129)&gt;0),"; Invoice entered but the department row has no job number","")&amp;IF(E1129="CHECK","; Job number not in the Xero job list","")&amp;IF(AND($C1129&lt;&gt;"",COUNTIF($C$7:$C$1506,$C1129)&gt;1),"; Job number on more than one row","")&amp;IF(AND($C1129&lt;&gt;"",H1129=""),"; Dept has not set a cost centre","")&amp;IF(AND($C1129&lt;&gt;"",J1129=""),"; Dept has not set a tax code","")&amp;IF(AND($C1129&lt;&gt;"",N1129=""),"; Dept has not entered an expected value","")&amp;IF((IF(OR(COUNTA(S1129:U1129)=0,AND(COUNTA(S1129:U1129)=3,ISNUMBER(U1129))),0,1)+IF(OR(COUNTA(V1129:X1129)=0,AND(COUNTA(V1129:X1129)=3,ISNUMBER(X1129))),0,1)+IF(OR(COUNTA(Y1129:AA1129)=0,AND(COUNTA(Y1129:AA1129)=3,ISNUMBER(AA1129))),0,1)+IF(OR(COUNTA(AB1129:AD1129)=0,AND(COUNTA(AB1129:AD1129)=3,ISNUMBER(AD1129))),0,1)+IF(OR(COUNTA(AE1129:AG1129)=0,AND(COUNTA(AE1129:AG1129)=3,ISNUMBER(AG1129))),0,1)+IF(OR(COUNTA(AH1129:AJ1129)=0,AND(COUNTA(AH1129:AJ1129)=3,ISNUMBER(AJ1129))),0,1)+IF(OR(COUNTA(AK1129:AM1129)=0,AND(COUNTA(AK1129:AM1129)=3,ISNUMBER(AM1129))),0,1)+IF(OR(COUNTA(AN1129:AP1129)=0,AND(COUNTA(AN1129:AP1129)=3,ISNUMBER(AP1129))),0,1)+IF(OR(COUNTA(AQ1129:AS1129)=0,AND(COUNTA(AQ1129:AS1129)=3,ISNUMBER(AS1129))),0,1)+IF(OR(COUNTA(AT1129:AV1129)=0,AND(COUNTA(AT1129:AV1129)=3,ISNUMBER(AV1129))),0,1)+IF(OR(COUNTA(AW1129:AY1129)=0,AND(COUNTA(AW1129:AY1129)=3,ISNUMBER(AY1129))),0,1)+IF(OR(COUNTA(AZ1129:BB1129)=0,AND(COUNTA(AZ1129:BB1129)=3,ISNUMBER(BB1129))),0,1))&gt;0,"; An invoice is incomplete (needs No, Date and a number in Ex GST)","")&amp;IF((IF(T1129="",0,IFERROR(--(EOMONTH(T1129,0)&lt;&gt;S$5),1))+IF(W1129="",0,IFERROR(--(EOMONTH(W1129,0)&lt;&gt;V$5),1))+IF(Z1129="",0,IFERROR(--(EOMONTH(Z1129,0)&lt;&gt;Y$5),1))+IF(AC1129="",0,IFERROR(--(EOMONTH(AC1129,0)&lt;&gt;AB$5),1))+IF(AF1129="",0,IFERROR(--(EOMONTH(AF1129,0)&lt;&gt;AE$5),1))+IF(AI1129="",0,IFERROR(--(EOMONTH(AI1129,0)&lt;&gt;AH$5),1))+IF(AL1129="",0,IFERROR(--(EOMONTH(AL1129,0)&lt;&gt;AK$5),1))+IF(AO1129="",0,IFERROR(--(EOMONTH(AO1129,0)&lt;&gt;AN$5),1))+IF(AR1129="",0,IFERROR(--(EOMONTH(AR1129,0)&lt;&gt;AQ$5),1))+IF(AU1129="",0,IFERROR(--(EOMONTH(AU1129,0)&lt;&gt;AT$5),1))+IF(AX1129="",0,IFERROR(--(EOMONTH(AX1129,0)&lt;&gt;AW$5),1))+IF(BA1129="",0,IFERROR(--(EOMONTH(BA1129,0)&lt;&gt;AZ$5),1)))&gt;0,"; An invoice date is not in the month it is typed under",""),3,500))</f>
        <v/>
      </c>
      <c r="S1129" s="12" t="n"/>
      <c r="T1129" s="13" t="n"/>
      <c r="U1129" s="14" t="n"/>
      <c r="V1129" s="12" t="n"/>
      <c r="W1129" s="13" t="n"/>
      <c r="X1129" s="14" t="n"/>
      <c r="Y1129" s="12" t="n"/>
      <c r="Z1129" s="13" t="n"/>
      <c r="AA1129" s="14" t="n"/>
      <c r="AB1129" s="12" t="n"/>
      <c r="AC1129" s="13" t="n"/>
      <c r="AD1129" s="14" t="n"/>
      <c r="AE1129" s="12" t="n"/>
      <c r="AF1129" s="13" t="n"/>
      <c r="AG1129" s="14" t="n"/>
      <c r="AH1129" s="12" t="n"/>
      <c r="AI1129" s="13" t="n"/>
      <c r="AJ1129" s="14" t="n"/>
      <c r="AK1129" s="12" t="n"/>
      <c r="AL1129" s="13" t="n"/>
      <c r="AM1129" s="14" t="n"/>
      <c r="AN1129" s="12" t="n"/>
      <c r="AO1129" s="13" t="n"/>
      <c r="AP1129" s="14" t="n"/>
      <c r="AQ1129" s="12" t="n"/>
      <c r="AR1129" s="13" t="n"/>
      <c r="AS1129" s="14" t="n"/>
      <c r="AT1129" s="12" t="n"/>
      <c r="AU1129" s="13" t="n"/>
      <c r="AV1129" s="14" t="n"/>
      <c r="AW1129" s="12" t="n"/>
      <c r="AX1129" s="13" t="n"/>
      <c r="AY1129" s="14" t="n"/>
      <c r="AZ1129" s="12" t="n"/>
      <c r="BA1129" s="13" t="n"/>
      <c r="BB1129" s="14" t="n"/>
      <c r="BC1129" s="11">
        <f>IF(O1129="","",IF(J1129="GST 10%",ROUND(O1129*set_GSTRate,2),0))</f>
        <v/>
      </c>
      <c r="BD1129" s="11">
        <f>IF(O1129="","",O1129+BC1129)</f>
        <v/>
      </c>
      <c r="BE1129" s="15">
        <f>IF(O1129="","",COUNTA(S1129,V1129,Y1129,AB1129,AE1129,AH1129,AK1129,AN1129,AQ1129,AT1129,AW1129,AZ1129))</f>
        <v/>
      </c>
      <c r="BF1129" s="16">
        <f>IF(COUNT(T1129,W1129,Z1129,AC1129,AF1129,AI1129,AL1129,AO1129,AR1129,AU1129,AX1129,BA1129)=0,"",MAX(T1129,W1129,Z1129,AC1129,AF1129,AI1129,AL1129,AO1129,AR1129,AU1129,AX1129,BA1129))</f>
        <v/>
      </c>
      <c r="BG1129" s="10">
        <f>MID(IF(S1129="","",", "&amp;S1129)&amp;IF(V1129="","",", "&amp;V1129)&amp;IF(Y1129="","",", "&amp;Y1129)&amp;IF(AB1129="","",", "&amp;AB1129)&amp;IF(AE1129="","",", "&amp;AE1129)&amp;IF(AH1129="","",", "&amp;AH1129)&amp;IF(AK1129="","",", "&amp;AK1129)&amp;IF(AN1129="","",", "&amp;AN1129)&amp;IF(AQ1129="","",", "&amp;AQ1129)&amp;IF(AT1129="","",", "&amp;AT1129)&amp;IF(AW1129="","",", "&amp;AW1129)&amp;IF(AZ1129="","",", "&amp;AZ1129),3,500)</f>
        <v/>
      </c>
      <c r="BH1129" s="12" t="n"/>
      <c r="BI1129" s="15">
        <f>IFERROR(MATCH($A1129,IF($B1129="Onsite",tbl_Onsite[Row ID],IF($B1129="Production",tbl_Production[Row ID],tbl_Consulting[Row ID])),0),"")</f>
        <v/>
      </c>
    </row>
    <row r="1130">
      <c r="A1130" s="10" t="inlineStr">
        <is>
          <t>CON-0124</t>
        </is>
      </c>
      <c r="B1130" s="10" t="inlineStr">
        <is>
          <t>Consulting</t>
        </is>
      </c>
      <c r="C1130" s="10">
        <f>IF($BI1130="","",IF($B1130="Onsite",INDEX(tbl_Onsite[Job Number],$BI1130),IF($B1130="Production",INDEX(tbl_Production[Job Number],$BI1130),INDEX(tbl_Consulting[Job Number],$BI1130)))&amp;"")</f>
        <v/>
      </c>
      <c r="D1130" s="10">
        <f>IF($BI1130="","",IF($B1130="Onsite",INDEX(tbl_Onsite[Client],$BI1130),IF($B1130="Production",INDEX(tbl_Production[Client],$BI1130),INDEX(tbl_Consulting[Client],$BI1130)))&amp;"")</f>
        <v/>
      </c>
      <c r="E1130" s="10">
        <f>IF($C1130="","",IF(COUNTIF(lst_Jobs,$C1130)&gt;0,"OK","CHECK"))</f>
        <v/>
      </c>
      <c r="F1130" s="10">
        <f>IF($C1130="","",IFERROR(INDEX(lst_JobName,MATCH($C1130,lst_Jobs,0)),""))</f>
        <v/>
      </c>
      <c r="G1130" s="10">
        <f>IF($BI1130="","",IF($B1130="Onsite",INDEX(tbl_Onsite[Job Description],$BI1130),IF($B1130="Production",INDEX(tbl_Production[Job Description],$BI1130),INDEX(tbl_Consulting[Job Description],$BI1130)))&amp;"")</f>
        <v/>
      </c>
      <c r="H1130" s="10">
        <f>IF($BI1130="","",IF($B1130="Onsite",INDEX(tbl_Onsite[Cost Centre],$BI1130),IF($B1130="Production",INDEX(tbl_Production[Cost Centre],$BI1130),INDEX(tbl_Consulting[Cost Centre],$BI1130)))&amp;"")</f>
        <v/>
      </c>
      <c r="I1130" s="10">
        <f>IF($BI1130="","",IF($B1130="Onsite",INDEX(tbl_Onsite[Invoice Type],$BI1130),IF($B1130="Production",INDEX(tbl_Production[Invoice Type],$BI1130),INDEX(tbl_Consulting[Invoice Type],$BI1130)))&amp;"")</f>
        <v/>
      </c>
      <c r="J1130" s="10">
        <f>IF($BI1130="","",IF($B1130="Onsite",INDEX(tbl_Onsite[Tax Code],$BI1130),IF($B1130="Production",INDEX(tbl_Production[Tax Code],$BI1130),INDEX(tbl_Consulting[Tax Code],$BI1130)))&amp;"")</f>
        <v/>
      </c>
      <c r="K1130" s="10">
        <f>IF(H1130="","",IFERROR(INDEX(lst_CCtoGL,MATCH(H1130,lst_CCforGL,0)),""))</f>
        <v/>
      </c>
      <c r="L1130" s="10">
        <f>IF($BI1130="","",IF($B1130="Onsite",INDEX(tbl_Onsite[PO / Reference],$BI1130),IF($B1130="Production",INDEX(tbl_Production[Current RMS No],$BI1130),INDEX(tbl_Consulting[Qwilr Quote],$BI1130)))&amp;"")</f>
        <v/>
      </c>
      <c r="M1130" s="10">
        <f>IF($BI1130="","",IF($B1130="Onsite",INDEX(tbl_Onsite[Notes],$BI1130),IF($B1130="Production",INDEX(tbl_Production[Notes],$BI1130),INDEX(tbl_Consulting[Notes],$BI1130)))&amp;"")</f>
        <v/>
      </c>
      <c r="N1130" s="11">
        <f>IF($BI1130="","",IF(IF($B1130="Onsite",INDEX(tbl_Onsite[Expected Revenue Ex GST],$BI1130),IF($B1130="Production",INDEX(tbl_Production[Expected Revenue Ex GST],$BI1130),INDEX(tbl_Consulting[Expected Revenue Ex GST],$BI1130)))="","",IF($B1130="Onsite",INDEX(tbl_Onsite[Expected Revenue Ex GST],$BI1130),IF($B1130="Production",INDEX(tbl_Production[Expected Revenue Ex GST],$BI1130),INDEX(tbl_Consulting[Expected Revenue Ex GST],$BI1130)))))</f>
        <v/>
      </c>
      <c r="O1130" s="11">
        <f>IF(AND($C1130="",NOT(COUNTA($S1130:$BB1130)&gt;0)),"",SUM(U1130,X1130,AA1130,AD1130,AG1130,AJ1130,AM1130,AP1130,AS1130,AV1130,AY1130,BB1130))</f>
        <v/>
      </c>
      <c r="P1130" s="11">
        <f>IF(O1130="","",N(N1130)-O1130)</f>
        <v/>
      </c>
      <c r="Q1130" s="10">
        <f>IF(O1130="","",IF($C1130="","Invoice on empty job row",IF(N1130="",IF(ROUND(O1130,2)=0,"No dept value","Invoiced - no dept value"),IF(ROUND(O1130,2)=0,"Not invoiced - to invoice",IF(ROUND(P1130,2)=0,"Agrees",IF(P1130&gt;0,"Dept higher - to invoice","Xero higher - check dept"))))))</f>
        <v/>
      </c>
      <c r="R1130" s="10">
        <f>IF(AND($C1130="",NOT(COUNTA($S1130:$BB1130)&gt;0),$BI1130&lt;&gt;""),"",MID(IF($BI1130="","; Row ID not found on the department sheet - a row was deleted","")&amp;IF(AND($C1130="",COUNTA($S1130:$BB1130)&gt;0),"; Invoice entered but the department row has no job number","")&amp;IF(E1130="CHECK","; Job number not in the Xero job list","")&amp;IF(AND($C1130&lt;&gt;"",COUNTIF($C$7:$C$1506,$C1130)&gt;1),"; Job number on more than one row","")&amp;IF(AND($C1130&lt;&gt;"",H1130=""),"; Dept has not set a cost centre","")&amp;IF(AND($C1130&lt;&gt;"",J1130=""),"; Dept has not set a tax code","")&amp;IF(AND($C1130&lt;&gt;"",N1130=""),"; Dept has not entered an expected value","")&amp;IF((IF(OR(COUNTA(S1130:U1130)=0,AND(COUNTA(S1130:U1130)=3,ISNUMBER(U1130))),0,1)+IF(OR(COUNTA(V1130:X1130)=0,AND(COUNTA(V1130:X1130)=3,ISNUMBER(X1130))),0,1)+IF(OR(COUNTA(Y1130:AA1130)=0,AND(COUNTA(Y1130:AA1130)=3,ISNUMBER(AA1130))),0,1)+IF(OR(COUNTA(AB1130:AD1130)=0,AND(COUNTA(AB1130:AD1130)=3,ISNUMBER(AD1130))),0,1)+IF(OR(COUNTA(AE1130:AG1130)=0,AND(COUNTA(AE1130:AG1130)=3,ISNUMBER(AG1130))),0,1)+IF(OR(COUNTA(AH1130:AJ1130)=0,AND(COUNTA(AH1130:AJ1130)=3,ISNUMBER(AJ1130))),0,1)+IF(OR(COUNTA(AK1130:AM1130)=0,AND(COUNTA(AK1130:AM1130)=3,ISNUMBER(AM1130))),0,1)+IF(OR(COUNTA(AN1130:AP1130)=0,AND(COUNTA(AN1130:AP1130)=3,ISNUMBER(AP1130))),0,1)+IF(OR(COUNTA(AQ1130:AS1130)=0,AND(COUNTA(AQ1130:AS1130)=3,ISNUMBER(AS1130))),0,1)+IF(OR(COUNTA(AT1130:AV1130)=0,AND(COUNTA(AT1130:AV1130)=3,ISNUMBER(AV1130))),0,1)+IF(OR(COUNTA(AW1130:AY1130)=0,AND(COUNTA(AW1130:AY1130)=3,ISNUMBER(AY1130))),0,1)+IF(OR(COUNTA(AZ1130:BB1130)=0,AND(COUNTA(AZ1130:BB1130)=3,ISNUMBER(BB1130))),0,1))&gt;0,"; An invoice is incomplete (needs No, Date and a number in Ex GST)","")&amp;IF((IF(T1130="",0,IFERROR(--(EOMONTH(T1130,0)&lt;&gt;S$5),1))+IF(W1130="",0,IFERROR(--(EOMONTH(W1130,0)&lt;&gt;V$5),1))+IF(Z1130="",0,IFERROR(--(EOMONTH(Z1130,0)&lt;&gt;Y$5),1))+IF(AC1130="",0,IFERROR(--(EOMONTH(AC1130,0)&lt;&gt;AB$5),1))+IF(AF1130="",0,IFERROR(--(EOMONTH(AF1130,0)&lt;&gt;AE$5),1))+IF(AI1130="",0,IFERROR(--(EOMONTH(AI1130,0)&lt;&gt;AH$5),1))+IF(AL1130="",0,IFERROR(--(EOMONTH(AL1130,0)&lt;&gt;AK$5),1))+IF(AO1130="",0,IFERROR(--(EOMONTH(AO1130,0)&lt;&gt;AN$5),1))+IF(AR1130="",0,IFERROR(--(EOMONTH(AR1130,0)&lt;&gt;AQ$5),1))+IF(AU1130="",0,IFERROR(--(EOMONTH(AU1130,0)&lt;&gt;AT$5),1))+IF(AX1130="",0,IFERROR(--(EOMONTH(AX1130,0)&lt;&gt;AW$5),1))+IF(BA1130="",0,IFERROR(--(EOMONTH(BA1130,0)&lt;&gt;AZ$5),1)))&gt;0,"; An invoice date is not in the month it is typed under",""),3,500))</f>
        <v/>
      </c>
      <c r="S1130" s="12" t="n"/>
      <c r="T1130" s="13" t="n"/>
      <c r="U1130" s="14" t="n"/>
      <c r="V1130" s="12" t="n"/>
      <c r="W1130" s="13" t="n"/>
      <c r="X1130" s="14" t="n"/>
      <c r="Y1130" s="12" t="n"/>
      <c r="Z1130" s="13" t="n"/>
      <c r="AA1130" s="14" t="n"/>
      <c r="AB1130" s="12" t="n"/>
      <c r="AC1130" s="13" t="n"/>
      <c r="AD1130" s="14" t="n"/>
      <c r="AE1130" s="12" t="n"/>
      <c r="AF1130" s="13" t="n"/>
      <c r="AG1130" s="14" t="n"/>
      <c r="AH1130" s="12" t="n"/>
      <c r="AI1130" s="13" t="n"/>
      <c r="AJ1130" s="14" t="n"/>
      <c r="AK1130" s="12" t="n"/>
      <c r="AL1130" s="13" t="n"/>
      <c r="AM1130" s="14" t="n"/>
      <c r="AN1130" s="12" t="n"/>
      <c r="AO1130" s="13" t="n"/>
      <c r="AP1130" s="14" t="n"/>
      <c r="AQ1130" s="12" t="n"/>
      <c r="AR1130" s="13" t="n"/>
      <c r="AS1130" s="14" t="n"/>
      <c r="AT1130" s="12" t="n"/>
      <c r="AU1130" s="13" t="n"/>
      <c r="AV1130" s="14" t="n"/>
      <c r="AW1130" s="12" t="n"/>
      <c r="AX1130" s="13" t="n"/>
      <c r="AY1130" s="14" t="n"/>
      <c r="AZ1130" s="12" t="n"/>
      <c r="BA1130" s="13" t="n"/>
      <c r="BB1130" s="14" t="n"/>
      <c r="BC1130" s="11">
        <f>IF(O1130="","",IF(J1130="GST 10%",ROUND(O1130*set_GSTRate,2),0))</f>
        <v/>
      </c>
      <c r="BD1130" s="11">
        <f>IF(O1130="","",O1130+BC1130)</f>
        <v/>
      </c>
      <c r="BE1130" s="15">
        <f>IF(O1130="","",COUNTA(S1130,V1130,Y1130,AB1130,AE1130,AH1130,AK1130,AN1130,AQ1130,AT1130,AW1130,AZ1130))</f>
        <v/>
      </c>
      <c r="BF1130" s="16">
        <f>IF(COUNT(T1130,W1130,Z1130,AC1130,AF1130,AI1130,AL1130,AO1130,AR1130,AU1130,AX1130,BA1130)=0,"",MAX(T1130,W1130,Z1130,AC1130,AF1130,AI1130,AL1130,AO1130,AR1130,AU1130,AX1130,BA1130))</f>
        <v/>
      </c>
      <c r="BG1130" s="10">
        <f>MID(IF(S1130="","",", "&amp;S1130)&amp;IF(V1130="","",", "&amp;V1130)&amp;IF(Y1130="","",", "&amp;Y1130)&amp;IF(AB1130="","",", "&amp;AB1130)&amp;IF(AE1130="","",", "&amp;AE1130)&amp;IF(AH1130="","",", "&amp;AH1130)&amp;IF(AK1130="","",", "&amp;AK1130)&amp;IF(AN1130="","",", "&amp;AN1130)&amp;IF(AQ1130="","",", "&amp;AQ1130)&amp;IF(AT1130="","",", "&amp;AT1130)&amp;IF(AW1130="","",", "&amp;AW1130)&amp;IF(AZ1130="","",", "&amp;AZ1130),3,500)</f>
        <v/>
      </c>
      <c r="BH1130" s="12" t="n"/>
      <c r="BI1130" s="15">
        <f>IFERROR(MATCH($A1130,IF($B1130="Onsite",tbl_Onsite[Row ID],IF($B1130="Production",tbl_Production[Row ID],tbl_Consulting[Row ID])),0),"")</f>
        <v/>
      </c>
    </row>
    <row r="1131">
      <c r="A1131" s="10" t="inlineStr">
        <is>
          <t>CON-0125</t>
        </is>
      </c>
      <c r="B1131" s="10" t="inlineStr">
        <is>
          <t>Consulting</t>
        </is>
      </c>
      <c r="C1131" s="10">
        <f>IF($BI1131="","",IF($B1131="Onsite",INDEX(tbl_Onsite[Job Number],$BI1131),IF($B1131="Production",INDEX(tbl_Production[Job Number],$BI1131),INDEX(tbl_Consulting[Job Number],$BI1131)))&amp;"")</f>
        <v/>
      </c>
      <c r="D1131" s="10">
        <f>IF($BI1131="","",IF($B1131="Onsite",INDEX(tbl_Onsite[Client],$BI1131),IF($B1131="Production",INDEX(tbl_Production[Client],$BI1131),INDEX(tbl_Consulting[Client],$BI1131)))&amp;"")</f>
        <v/>
      </c>
      <c r="E1131" s="10">
        <f>IF($C1131="","",IF(COUNTIF(lst_Jobs,$C1131)&gt;0,"OK","CHECK"))</f>
        <v/>
      </c>
      <c r="F1131" s="10">
        <f>IF($C1131="","",IFERROR(INDEX(lst_JobName,MATCH($C1131,lst_Jobs,0)),""))</f>
        <v/>
      </c>
      <c r="G1131" s="10">
        <f>IF($BI1131="","",IF($B1131="Onsite",INDEX(tbl_Onsite[Job Description],$BI1131),IF($B1131="Production",INDEX(tbl_Production[Job Description],$BI1131),INDEX(tbl_Consulting[Job Description],$BI1131)))&amp;"")</f>
        <v/>
      </c>
      <c r="H1131" s="10">
        <f>IF($BI1131="","",IF($B1131="Onsite",INDEX(tbl_Onsite[Cost Centre],$BI1131),IF($B1131="Production",INDEX(tbl_Production[Cost Centre],$BI1131),INDEX(tbl_Consulting[Cost Centre],$BI1131)))&amp;"")</f>
        <v/>
      </c>
      <c r="I1131" s="10">
        <f>IF($BI1131="","",IF($B1131="Onsite",INDEX(tbl_Onsite[Invoice Type],$BI1131),IF($B1131="Production",INDEX(tbl_Production[Invoice Type],$BI1131),INDEX(tbl_Consulting[Invoice Type],$BI1131)))&amp;"")</f>
        <v/>
      </c>
      <c r="J1131" s="10">
        <f>IF($BI1131="","",IF($B1131="Onsite",INDEX(tbl_Onsite[Tax Code],$BI1131),IF($B1131="Production",INDEX(tbl_Production[Tax Code],$BI1131),INDEX(tbl_Consulting[Tax Code],$BI1131)))&amp;"")</f>
        <v/>
      </c>
      <c r="K1131" s="10">
        <f>IF(H1131="","",IFERROR(INDEX(lst_CCtoGL,MATCH(H1131,lst_CCforGL,0)),""))</f>
        <v/>
      </c>
      <c r="L1131" s="10">
        <f>IF($BI1131="","",IF($B1131="Onsite",INDEX(tbl_Onsite[PO / Reference],$BI1131),IF($B1131="Production",INDEX(tbl_Production[Current RMS No],$BI1131),INDEX(tbl_Consulting[Qwilr Quote],$BI1131)))&amp;"")</f>
        <v/>
      </c>
      <c r="M1131" s="10">
        <f>IF($BI1131="","",IF($B1131="Onsite",INDEX(tbl_Onsite[Notes],$BI1131),IF($B1131="Production",INDEX(tbl_Production[Notes],$BI1131),INDEX(tbl_Consulting[Notes],$BI1131)))&amp;"")</f>
        <v/>
      </c>
      <c r="N1131" s="11">
        <f>IF($BI1131="","",IF(IF($B1131="Onsite",INDEX(tbl_Onsite[Expected Revenue Ex GST],$BI1131),IF($B1131="Production",INDEX(tbl_Production[Expected Revenue Ex GST],$BI1131),INDEX(tbl_Consulting[Expected Revenue Ex GST],$BI1131)))="","",IF($B1131="Onsite",INDEX(tbl_Onsite[Expected Revenue Ex GST],$BI1131),IF($B1131="Production",INDEX(tbl_Production[Expected Revenue Ex GST],$BI1131),INDEX(tbl_Consulting[Expected Revenue Ex GST],$BI1131)))))</f>
        <v/>
      </c>
      <c r="O1131" s="11">
        <f>IF(AND($C1131="",NOT(COUNTA($S1131:$BB1131)&gt;0)),"",SUM(U1131,X1131,AA1131,AD1131,AG1131,AJ1131,AM1131,AP1131,AS1131,AV1131,AY1131,BB1131))</f>
        <v/>
      </c>
      <c r="P1131" s="11">
        <f>IF(O1131="","",N(N1131)-O1131)</f>
        <v/>
      </c>
      <c r="Q1131" s="10">
        <f>IF(O1131="","",IF($C1131="","Invoice on empty job row",IF(N1131="",IF(ROUND(O1131,2)=0,"No dept value","Invoiced - no dept value"),IF(ROUND(O1131,2)=0,"Not invoiced - to invoice",IF(ROUND(P1131,2)=0,"Agrees",IF(P1131&gt;0,"Dept higher - to invoice","Xero higher - check dept"))))))</f>
        <v/>
      </c>
      <c r="R1131" s="10">
        <f>IF(AND($C1131="",NOT(COUNTA($S1131:$BB1131)&gt;0),$BI1131&lt;&gt;""),"",MID(IF($BI1131="","; Row ID not found on the department sheet - a row was deleted","")&amp;IF(AND($C1131="",COUNTA($S1131:$BB1131)&gt;0),"; Invoice entered but the department row has no job number","")&amp;IF(E1131="CHECK","; Job number not in the Xero job list","")&amp;IF(AND($C1131&lt;&gt;"",COUNTIF($C$7:$C$1506,$C1131)&gt;1),"; Job number on more than one row","")&amp;IF(AND($C1131&lt;&gt;"",H1131=""),"; Dept has not set a cost centre","")&amp;IF(AND($C1131&lt;&gt;"",J1131=""),"; Dept has not set a tax code","")&amp;IF(AND($C1131&lt;&gt;"",N1131=""),"; Dept has not entered an expected value","")&amp;IF((IF(OR(COUNTA(S1131:U1131)=0,AND(COUNTA(S1131:U1131)=3,ISNUMBER(U1131))),0,1)+IF(OR(COUNTA(V1131:X1131)=0,AND(COUNTA(V1131:X1131)=3,ISNUMBER(X1131))),0,1)+IF(OR(COUNTA(Y1131:AA1131)=0,AND(COUNTA(Y1131:AA1131)=3,ISNUMBER(AA1131))),0,1)+IF(OR(COUNTA(AB1131:AD1131)=0,AND(COUNTA(AB1131:AD1131)=3,ISNUMBER(AD1131))),0,1)+IF(OR(COUNTA(AE1131:AG1131)=0,AND(COUNTA(AE1131:AG1131)=3,ISNUMBER(AG1131))),0,1)+IF(OR(COUNTA(AH1131:AJ1131)=0,AND(COUNTA(AH1131:AJ1131)=3,ISNUMBER(AJ1131))),0,1)+IF(OR(COUNTA(AK1131:AM1131)=0,AND(COUNTA(AK1131:AM1131)=3,ISNUMBER(AM1131))),0,1)+IF(OR(COUNTA(AN1131:AP1131)=0,AND(COUNTA(AN1131:AP1131)=3,ISNUMBER(AP1131))),0,1)+IF(OR(COUNTA(AQ1131:AS1131)=0,AND(COUNTA(AQ1131:AS1131)=3,ISNUMBER(AS1131))),0,1)+IF(OR(COUNTA(AT1131:AV1131)=0,AND(COUNTA(AT1131:AV1131)=3,ISNUMBER(AV1131))),0,1)+IF(OR(COUNTA(AW1131:AY1131)=0,AND(COUNTA(AW1131:AY1131)=3,ISNUMBER(AY1131))),0,1)+IF(OR(COUNTA(AZ1131:BB1131)=0,AND(COUNTA(AZ1131:BB1131)=3,ISNUMBER(BB1131))),0,1))&gt;0,"; An invoice is incomplete (needs No, Date and a number in Ex GST)","")&amp;IF((IF(T1131="",0,IFERROR(--(EOMONTH(T1131,0)&lt;&gt;S$5),1))+IF(W1131="",0,IFERROR(--(EOMONTH(W1131,0)&lt;&gt;V$5),1))+IF(Z1131="",0,IFERROR(--(EOMONTH(Z1131,0)&lt;&gt;Y$5),1))+IF(AC1131="",0,IFERROR(--(EOMONTH(AC1131,0)&lt;&gt;AB$5),1))+IF(AF1131="",0,IFERROR(--(EOMONTH(AF1131,0)&lt;&gt;AE$5),1))+IF(AI1131="",0,IFERROR(--(EOMONTH(AI1131,0)&lt;&gt;AH$5),1))+IF(AL1131="",0,IFERROR(--(EOMONTH(AL1131,0)&lt;&gt;AK$5),1))+IF(AO1131="",0,IFERROR(--(EOMONTH(AO1131,0)&lt;&gt;AN$5),1))+IF(AR1131="",0,IFERROR(--(EOMONTH(AR1131,0)&lt;&gt;AQ$5),1))+IF(AU1131="",0,IFERROR(--(EOMONTH(AU1131,0)&lt;&gt;AT$5),1))+IF(AX1131="",0,IFERROR(--(EOMONTH(AX1131,0)&lt;&gt;AW$5),1))+IF(BA1131="",0,IFERROR(--(EOMONTH(BA1131,0)&lt;&gt;AZ$5),1)))&gt;0,"; An invoice date is not in the month it is typed under",""),3,500))</f>
        <v/>
      </c>
      <c r="S1131" s="12" t="n"/>
      <c r="T1131" s="13" t="n"/>
      <c r="U1131" s="14" t="n"/>
      <c r="V1131" s="12" t="n"/>
      <c r="W1131" s="13" t="n"/>
      <c r="X1131" s="14" t="n"/>
      <c r="Y1131" s="12" t="n"/>
      <c r="Z1131" s="13" t="n"/>
      <c r="AA1131" s="14" t="n"/>
      <c r="AB1131" s="12" t="n"/>
      <c r="AC1131" s="13" t="n"/>
      <c r="AD1131" s="14" t="n"/>
      <c r="AE1131" s="12" t="n"/>
      <c r="AF1131" s="13" t="n"/>
      <c r="AG1131" s="14" t="n"/>
      <c r="AH1131" s="12" t="n"/>
      <c r="AI1131" s="13" t="n"/>
      <c r="AJ1131" s="14" t="n"/>
      <c r="AK1131" s="12" t="n"/>
      <c r="AL1131" s="13" t="n"/>
      <c r="AM1131" s="14" t="n"/>
      <c r="AN1131" s="12" t="n"/>
      <c r="AO1131" s="13" t="n"/>
      <c r="AP1131" s="14" t="n"/>
      <c r="AQ1131" s="12" t="n"/>
      <c r="AR1131" s="13" t="n"/>
      <c r="AS1131" s="14" t="n"/>
      <c r="AT1131" s="12" t="n"/>
      <c r="AU1131" s="13" t="n"/>
      <c r="AV1131" s="14" t="n"/>
      <c r="AW1131" s="12" t="n"/>
      <c r="AX1131" s="13" t="n"/>
      <c r="AY1131" s="14" t="n"/>
      <c r="AZ1131" s="12" t="n"/>
      <c r="BA1131" s="13" t="n"/>
      <c r="BB1131" s="14" t="n"/>
      <c r="BC1131" s="11">
        <f>IF(O1131="","",IF(J1131="GST 10%",ROUND(O1131*set_GSTRate,2),0))</f>
        <v/>
      </c>
      <c r="BD1131" s="11">
        <f>IF(O1131="","",O1131+BC1131)</f>
        <v/>
      </c>
      <c r="BE1131" s="15">
        <f>IF(O1131="","",COUNTA(S1131,V1131,Y1131,AB1131,AE1131,AH1131,AK1131,AN1131,AQ1131,AT1131,AW1131,AZ1131))</f>
        <v/>
      </c>
      <c r="BF1131" s="16">
        <f>IF(COUNT(T1131,W1131,Z1131,AC1131,AF1131,AI1131,AL1131,AO1131,AR1131,AU1131,AX1131,BA1131)=0,"",MAX(T1131,W1131,Z1131,AC1131,AF1131,AI1131,AL1131,AO1131,AR1131,AU1131,AX1131,BA1131))</f>
        <v/>
      </c>
      <c r="BG1131" s="10">
        <f>MID(IF(S1131="","",", "&amp;S1131)&amp;IF(V1131="","",", "&amp;V1131)&amp;IF(Y1131="","",", "&amp;Y1131)&amp;IF(AB1131="","",", "&amp;AB1131)&amp;IF(AE1131="","",", "&amp;AE1131)&amp;IF(AH1131="","",", "&amp;AH1131)&amp;IF(AK1131="","",", "&amp;AK1131)&amp;IF(AN1131="","",", "&amp;AN1131)&amp;IF(AQ1131="","",", "&amp;AQ1131)&amp;IF(AT1131="","",", "&amp;AT1131)&amp;IF(AW1131="","",", "&amp;AW1131)&amp;IF(AZ1131="","",", "&amp;AZ1131),3,500)</f>
        <v/>
      </c>
      <c r="BH1131" s="12" t="n"/>
      <c r="BI1131" s="15">
        <f>IFERROR(MATCH($A1131,IF($B1131="Onsite",tbl_Onsite[Row ID],IF($B1131="Production",tbl_Production[Row ID],tbl_Consulting[Row ID])),0),"")</f>
        <v/>
      </c>
    </row>
    <row r="1132">
      <c r="A1132" s="10" t="inlineStr">
        <is>
          <t>CON-0126</t>
        </is>
      </c>
      <c r="B1132" s="10" t="inlineStr">
        <is>
          <t>Consulting</t>
        </is>
      </c>
      <c r="C1132" s="10">
        <f>IF($BI1132="","",IF($B1132="Onsite",INDEX(tbl_Onsite[Job Number],$BI1132),IF($B1132="Production",INDEX(tbl_Production[Job Number],$BI1132),INDEX(tbl_Consulting[Job Number],$BI1132)))&amp;"")</f>
        <v/>
      </c>
      <c r="D1132" s="10">
        <f>IF($BI1132="","",IF($B1132="Onsite",INDEX(tbl_Onsite[Client],$BI1132),IF($B1132="Production",INDEX(tbl_Production[Client],$BI1132),INDEX(tbl_Consulting[Client],$BI1132)))&amp;"")</f>
        <v/>
      </c>
      <c r="E1132" s="10">
        <f>IF($C1132="","",IF(COUNTIF(lst_Jobs,$C1132)&gt;0,"OK","CHECK"))</f>
        <v/>
      </c>
      <c r="F1132" s="10">
        <f>IF($C1132="","",IFERROR(INDEX(lst_JobName,MATCH($C1132,lst_Jobs,0)),""))</f>
        <v/>
      </c>
      <c r="G1132" s="10">
        <f>IF($BI1132="","",IF($B1132="Onsite",INDEX(tbl_Onsite[Job Description],$BI1132),IF($B1132="Production",INDEX(tbl_Production[Job Description],$BI1132),INDEX(tbl_Consulting[Job Description],$BI1132)))&amp;"")</f>
        <v/>
      </c>
      <c r="H1132" s="10">
        <f>IF($BI1132="","",IF($B1132="Onsite",INDEX(tbl_Onsite[Cost Centre],$BI1132),IF($B1132="Production",INDEX(tbl_Production[Cost Centre],$BI1132),INDEX(tbl_Consulting[Cost Centre],$BI1132)))&amp;"")</f>
        <v/>
      </c>
      <c r="I1132" s="10">
        <f>IF($BI1132="","",IF($B1132="Onsite",INDEX(tbl_Onsite[Invoice Type],$BI1132),IF($B1132="Production",INDEX(tbl_Production[Invoice Type],$BI1132),INDEX(tbl_Consulting[Invoice Type],$BI1132)))&amp;"")</f>
        <v/>
      </c>
      <c r="J1132" s="10">
        <f>IF($BI1132="","",IF($B1132="Onsite",INDEX(tbl_Onsite[Tax Code],$BI1132),IF($B1132="Production",INDEX(tbl_Production[Tax Code],$BI1132),INDEX(tbl_Consulting[Tax Code],$BI1132)))&amp;"")</f>
        <v/>
      </c>
      <c r="K1132" s="10">
        <f>IF(H1132="","",IFERROR(INDEX(lst_CCtoGL,MATCH(H1132,lst_CCforGL,0)),""))</f>
        <v/>
      </c>
      <c r="L1132" s="10">
        <f>IF($BI1132="","",IF($B1132="Onsite",INDEX(tbl_Onsite[PO / Reference],$BI1132),IF($B1132="Production",INDEX(tbl_Production[Current RMS No],$BI1132),INDEX(tbl_Consulting[Qwilr Quote],$BI1132)))&amp;"")</f>
        <v/>
      </c>
      <c r="M1132" s="10">
        <f>IF($BI1132="","",IF($B1132="Onsite",INDEX(tbl_Onsite[Notes],$BI1132),IF($B1132="Production",INDEX(tbl_Production[Notes],$BI1132),INDEX(tbl_Consulting[Notes],$BI1132)))&amp;"")</f>
        <v/>
      </c>
      <c r="N1132" s="11">
        <f>IF($BI1132="","",IF(IF($B1132="Onsite",INDEX(tbl_Onsite[Expected Revenue Ex GST],$BI1132),IF($B1132="Production",INDEX(tbl_Production[Expected Revenue Ex GST],$BI1132),INDEX(tbl_Consulting[Expected Revenue Ex GST],$BI1132)))="","",IF($B1132="Onsite",INDEX(tbl_Onsite[Expected Revenue Ex GST],$BI1132),IF($B1132="Production",INDEX(tbl_Production[Expected Revenue Ex GST],$BI1132),INDEX(tbl_Consulting[Expected Revenue Ex GST],$BI1132)))))</f>
        <v/>
      </c>
      <c r="O1132" s="11">
        <f>IF(AND($C1132="",NOT(COUNTA($S1132:$BB1132)&gt;0)),"",SUM(U1132,X1132,AA1132,AD1132,AG1132,AJ1132,AM1132,AP1132,AS1132,AV1132,AY1132,BB1132))</f>
        <v/>
      </c>
      <c r="P1132" s="11">
        <f>IF(O1132="","",N(N1132)-O1132)</f>
        <v/>
      </c>
      <c r="Q1132" s="10">
        <f>IF(O1132="","",IF($C1132="","Invoice on empty job row",IF(N1132="",IF(ROUND(O1132,2)=0,"No dept value","Invoiced - no dept value"),IF(ROUND(O1132,2)=0,"Not invoiced - to invoice",IF(ROUND(P1132,2)=0,"Agrees",IF(P1132&gt;0,"Dept higher - to invoice","Xero higher - check dept"))))))</f>
        <v/>
      </c>
      <c r="R1132" s="10">
        <f>IF(AND($C1132="",NOT(COUNTA($S1132:$BB1132)&gt;0),$BI1132&lt;&gt;""),"",MID(IF($BI1132="","; Row ID not found on the department sheet - a row was deleted","")&amp;IF(AND($C1132="",COUNTA($S1132:$BB1132)&gt;0),"; Invoice entered but the department row has no job number","")&amp;IF(E1132="CHECK","; Job number not in the Xero job list","")&amp;IF(AND($C1132&lt;&gt;"",COUNTIF($C$7:$C$1506,$C1132)&gt;1),"; Job number on more than one row","")&amp;IF(AND($C1132&lt;&gt;"",H1132=""),"; Dept has not set a cost centre","")&amp;IF(AND($C1132&lt;&gt;"",J1132=""),"; Dept has not set a tax code","")&amp;IF(AND($C1132&lt;&gt;"",N1132=""),"; Dept has not entered an expected value","")&amp;IF((IF(OR(COUNTA(S1132:U1132)=0,AND(COUNTA(S1132:U1132)=3,ISNUMBER(U1132))),0,1)+IF(OR(COUNTA(V1132:X1132)=0,AND(COUNTA(V1132:X1132)=3,ISNUMBER(X1132))),0,1)+IF(OR(COUNTA(Y1132:AA1132)=0,AND(COUNTA(Y1132:AA1132)=3,ISNUMBER(AA1132))),0,1)+IF(OR(COUNTA(AB1132:AD1132)=0,AND(COUNTA(AB1132:AD1132)=3,ISNUMBER(AD1132))),0,1)+IF(OR(COUNTA(AE1132:AG1132)=0,AND(COUNTA(AE1132:AG1132)=3,ISNUMBER(AG1132))),0,1)+IF(OR(COUNTA(AH1132:AJ1132)=0,AND(COUNTA(AH1132:AJ1132)=3,ISNUMBER(AJ1132))),0,1)+IF(OR(COUNTA(AK1132:AM1132)=0,AND(COUNTA(AK1132:AM1132)=3,ISNUMBER(AM1132))),0,1)+IF(OR(COUNTA(AN1132:AP1132)=0,AND(COUNTA(AN1132:AP1132)=3,ISNUMBER(AP1132))),0,1)+IF(OR(COUNTA(AQ1132:AS1132)=0,AND(COUNTA(AQ1132:AS1132)=3,ISNUMBER(AS1132))),0,1)+IF(OR(COUNTA(AT1132:AV1132)=0,AND(COUNTA(AT1132:AV1132)=3,ISNUMBER(AV1132))),0,1)+IF(OR(COUNTA(AW1132:AY1132)=0,AND(COUNTA(AW1132:AY1132)=3,ISNUMBER(AY1132))),0,1)+IF(OR(COUNTA(AZ1132:BB1132)=0,AND(COUNTA(AZ1132:BB1132)=3,ISNUMBER(BB1132))),0,1))&gt;0,"; An invoice is incomplete (needs No, Date and a number in Ex GST)","")&amp;IF((IF(T1132="",0,IFERROR(--(EOMONTH(T1132,0)&lt;&gt;S$5),1))+IF(W1132="",0,IFERROR(--(EOMONTH(W1132,0)&lt;&gt;V$5),1))+IF(Z1132="",0,IFERROR(--(EOMONTH(Z1132,0)&lt;&gt;Y$5),1))+IF(AC1132="",0,IFERROR(--(EOMONTH(AC1132,0)&lt;&gt;AB$5),1))+IF(AF1132="",0,IFERROR(--(EOMONTH(AF1132,0)&lt;&gt;AE$5),1))+IF(AI1132="",0,IFERROR(--(EOMONTH(AI1132,0)&lt;&gt;AH$5),1))+IF(AL1132="",0,IFERROR(--(EOMONTH(AL1132,0)&lt;&gt;AK$5),1))+IF(AO1132="",0,IFERROR(--(EOMONTH(AO1132,0)&lt;&gt;AN$5),1))+IF(AR1132="",0,IFERROR(--(EOMONTH(AR1132,0)&lt;&gt;AQ$5),1))+IF(AU1132="",0,IFERROR(--(EOMONTH(AU1132,0)&lt;&gt;AT$5),1))+IF(AX1132="",0,IFERROR(--(EOMONTH(AX1132,0)&lt;&gt;AW$5),1))+IF(BA1132="",0,IFERROR(--(EOMONTH(BA1132,0)&lt;&gt;AZ$5),1)))&gt;0,"; An invoice date is not in the month it is typed under",""),3,500))</f>
        <v/>
      </c>
      <c r="S1132" s="12" t="n"/>
      <c r="T1132" s="13" t="n"/>
      <c r="U1132" s="14" t="n"/>
      <c r="V1132" s="12" t="n"/>
      <c r="W1132" s="13" t="n"/>
      <c r="X1132" s="14" t="n"/>
      <c r="Y1132" s="12" t="n"/>
      <c r="Z1132" s="13" t="n"/>
      <c r="AA1132" s="14" t="n"/>
      <c r="AB1132" s="12" t="n"/>
      <c r="AC1132" s="13" t="n"/>
      <c r="AD1132" s="14" t="n"/>
      <c r="AE1132" s="12" t="n"/>
      <c r="AF1132" s="13" t="n"/>
      <c r="AG1132" s="14" t="n"/>
      <c r="AH1132" s="12" t="n"/>
      <c r="AI1132" s="13" t="n"/>
      <c r="AJ1132" s="14" t="n"/>
      <c r="AK1132" s="12" t="n"/>
      <c r="AL1132" s="13" t="n"/>
      <c r="AM1132" s="14" t="n"/>
      <c r="AN1132" s="12" t="n"/>
      <c r="AO1132" s="13" t="n"/>
      <c r="AP1132" s="14" t="n"/>
      <c r="AQ1132" s="12" t="n"/>
      <c r="AR1132" s="13" t="n"/>
      <c r="AS1132" s="14" t="n"/>
      <c r="AT1132" s="12" t="n"/>
      <c r="AU1132" s="13" t="n"/>
      <c r="AV1132" s="14" t="n"/>
      <c r="AW1132" s="12" t="n"/>
      <c r="AX1132" s="13" t="n"/>
      <c r="AY1132" s="14" t="n"/>
      <c r="AZ1132" s="12" t="n"/>
      <c r="BA1132" s="13" t="n"/>
      <c r="BB1132" s="14" t="n"/>
      <c r="BC1132" s="11">
        <f>IF(O1132="","",IF(J1132="GST 10%",ROUND(O1132*set_GSTRate,2),0))</f>
        <v/>
      </c>
      <c r="BD1132" s="11">
        <f>IF(O1132="","",O1132+BC1132)</f>
        <v/>
      </c>
      <c r="BE1132" s="15">
        <f>IF(O1132="","",COUNTA(S1132,V1132,Y1132,AB1132,AE1132,AH1132,AK1132,AN1132,AQ1132,AT1132,AW1132,AZ1132))</f>
        <v/>
      </c>
      <c r="BF1132" s="16">
        <f>IF(COUNT(T1132,W1132,Z1132,AC1132,AF1132,AI1132,AL1132,AO1132,AR1132,AU1132,AX1132,BA1132)=0,"",MAX(T1132,W1132,Z1132,AC1132,AF1132,AI1132,AL1132,AO1132,AR1132,AU1132,AX1132,BA1132))</f>
        <v/>
      </c>
      <c r="BG1132" s="10">
        <f>MID(IF(S1132="","",", "&amp;S1132)&amp;IF(V1132="","",", "&amp;V1132)&amp;IF(Y1132="","",", "&amp;Y1132)&amp;IF(AB1132="","",", "&amp;AB1132)&amp;IF(AE1132="","",", "&amp;AE1132)&amp;IF(AH1132="","",", "&amp;AH1132)&amp;IF(AK1132="","",", "&amp;AK1132)&amp;IF(AN1132="","",", "&amp;AN1132)&amp;IF(AQ1132="","",", "&amp;AQ1132)&amp;IF(AT1132="","",", "&amp;AT1132)&amp;IF(AW1132="","",", "&amp;AW1132)&amp;IF(AZ1132="","",", "&amp;AZ1132),3,500)</f>
        <v/>
      </c>
      <c r="BH1132" s="12" t="n"/>
      <c r="BI1132" s="15">
        <f>IFERROR(MATCH($A1132,IF($B1132="Onsite",tbl_Onsite[Row ID],IF($B1132="Production",tbl_Production[Row ID],tbl_Consulting[Row ID])),0),"")</f>
        <v/>
      </c>
    </row>
    <row r="1133">
      <c r="A1133" s="10" t="inlineStr">
        <is>
          <t>CON-0127</t>
        </is>
      </c>
      <c r="B1133" s="10" t="inlineStr">
        <is>
          <t>Consulting</t>
        </is>
      </c>
      <c r="C1133" s="10">
        <f>IF($BI1133="","",IF($B1133="Onsite",INDEX(tbl_Onsite[Job Number],$BI1133),IF($B1133="Production",INDEX(tbl_Production[Job Number],$BI1133),INDEX(tbl_Consulting[Job Number],$BI1133)))&amp;"")</f>
        <v/>
      </c>
      <c r="D1133" s="10">
        <f>IF($BI1133="","",IF($B1133="Onsite",INDEX(tbl_Onsite[Client],$BI1133),IF($B1133="Production",INDEX(tbl_Production[Client],$BI1133),INDEX(tbl_Consulting[Client],$BI1133)))&amp;"")</f>
        <v/>
      </c>
      <c r="E1133" s="10">
        <f>IF($C1133="","",IF(COUNTIF(lst_Jobs,$C1133)&gt;0,"OK","CHECK"))</f>
        <v/>
      </c>
      <c r="F1133" s="10">
        <f>IF($C1133="","",IFERROR(INDEX(lst_JobName,MATCH($C1133,lst_Jobs,0)),""))</f>
        <v/>
      </c>
      <c r="G1133" s="10">
        <f>IF($BI1133="","",IF($B1133="Onsite",INDEX(tbl_Onsite[Job Description],$BI1133),IF($B1133="Production",INDEX(tbl_Production[Job Description],$BI1133),INDEX(tbl_Consulting[Job Description],$BI1133)))&amp;"")</f>
        <v/>
      </c>
      <c r="H1133" s="10">
        <f>IF($BI1133="","",IF($B1133="Onsite",INDEX(tbl_Onsite[Cost Centre],$BI1133),IF($B1133="Production",INDEX(tbl_Production[Cost Centre],$BI1133),INDEX(tbl_Consulting[Cost Centre],$BI1133)))&amp;"")</f>
        <v/>
      </c>
      <c r="I1133" s="10">
        <f>IF($BI1133="","",IF($B1133="Onsite",INDEX(tbl_Onsite[Invoice Type],$BI1133),IF($B1133="Production",INDEX(tbl_Production[Invoice Type],$BI1133),INDEX(tbl_Consulting[Invoice Type],$BI1133)))&amp;"")</f>
        <v/>
      </c>
      <c r="J1133" s="10">
        <f>IF($BI1133="","",IF($B1133="Onsite",INDEX(tbl_Onsite[Tax Code],$BI1133),IF($B1133="Production",INDEX(tbl_Production[Tax Code],$BI1133),INDEX(tbl_Consulting[Tax Code],$BI1133)))&amp;"")</f>
        <v/>
      </c>
      <c r="K1133" s="10">
        <f>IF(H1133="","",IFERROR(INDEX(lst_CCtoGL,MATCH(H1133,lst_CCforGL,0)),""))</f>
        <v/>
      </c>
      <c r="L1133" s="10">
        <f>IF($BI1133="","",IF($B1133="Onsite",INDEX(tbl_Onsite[PO / Reference],$BI1133),IF($B1133="Production",INDEX(tbl_Production[Current RMS No],$BI1133),INDEX(tbl_Consulting[Qwilr Quote],$BI1133)))&amp;"")</f>
        <v/>
      </c>
      <c r="M1133" s="10">
        <f>IF($BI1133="","",IF($B1133="Onsite",INDEX(tbl_Onsite[Notes],$BI1133),IF($B1133="Production",INDEX(tbl_Production[Notes],$BI1133),INDEX(tbl_Consulting[Notes],$BI1133)))&amp;"")</f>
        <v/>
      </c>
      <c r="N1133" s="11">
        <f>IF($BI1133="","",IF(IF($B1133="Onsite",INDEX(tbl_Onsite[Expected Revenue Ex GST],$BI1133),IF($B1133="Production",INDEX(tbl_Production[Expected Revenue Ex GST],$BI1133),INDEX(tbl_Consulting[Expected Revenue Ex GST],$BI1133)))="","",IF($B1133="Onsite",INDEX(tbl_Onsite[Expected Revenue Ex GST],$BI1133),IF($B1133="Production",INDEX(tbl_Production[Expected Revenue Ex GST],$BI1133),INDEX(tbl_Consulting[Expected Revenue Ex GST],$BI1133)))))</f>
        <v/>
      </c>
      <c r="O1133" s="11">
        <f>IF(AND($C1133="",NOT(COUNTA($S1133:$BB1133)&gt;0)),"",SUM(U1133,X1133,AA1133,AD1133,AG1133,AJ1133,AM1133,AP1133,AS1133,AV1133,AY1133,BB1133))</f>
        <v/>
      </c>
      <c r="P1133" s="11">
        <f>IF(O1133="","",N(N1133)-O1133)</f>
        <v/>
      </c>
      <c r="Q1133" s="10">
        <f>IF(O1133="","",IF($C1133="","Invoice on empty job row",IF(N1133="",IF(ROUND(O1133,2)=0,"No dept value","Invoiced - no dept value"),IF(ROUND(O1133,2)=0,"Not invoiced - to invoice",IF(ROUND(P1133,2)=0,"Agrees",IF(P1133&gt;0,"Dept higher - to invoice","Xero higher - check dept"))))))</f>
        <v/>
      </c>
      <c r="R1133" s="10">
        <f>IF(AND($C1133="",NOT(COUNTA($S1133:$BB1133)&gt;0),$BI1133&lt;&gt;""),"",MID(IF($BI1133="","; Row ID not found on the department sheet - a row was deleted","")&amp;IF(AND($C1133="",COUNTA($S1133:$BB1133)&gt;0),"; Invoice entered but the department row has no job number","")&amp;IF(E1133="CHECK","; Job number not in the Xero job list","")&amp;IF(AND($C1133&lt;&gt;"",COUNTIF($C$7:$C$1506,$C1133)&gt;1),"; Job number on more than one row","")&amp;IF(AND($C1133&lt;&gt;"",H1133=""),"; Dept has not set a cost centre","")&amp;IF(AND($C1133&lt;&gt;"",J1133=""),"; Dept has not set a tax code","")&amp;IF(AND($C1133&lt;&gt;"",N1133=""),"; Dept has not entered an expected value","")&amp;IF((IF(OR(COUNTA(S1133:U1133)=0,AND(COUNTA(S1133:U1133)=3,ISNUMBER(U1133))),0,1)+IF(OR(COUNTA(V1133:X1133)=0,AND(COUNTA(V1133:X1133)=3,ISNUMBER(X1133))),0,1)+IF(OR(COUNTA(Y1133:AA1133)=0,AND(COUNTA(Y1133:AA1133)=3,ISNUMBER(AA1133))),0,1)+IF(OR(COUNTA(AB1133:AD1133)=0,AND(COUNTA(AB1133:AD1133)=3,ISNUMBER(AD1133))),0,1)+IF(OR(COUNTA(AE1133:AG1133)=0,AND(COUNTA(AE1133:AG1133)=3,ISNUMBER(AG1133))),0,1)+IF(OR(COUNTA(AH1133:AJ1133)=0,AND(COUNTA(AH1133:AJ1133)=3,ISNUMBER(AJ1133))),0,1)+IF(OR(COUNTA(AK1133:AM1133)=0,AND(COUNTA(AK1133:AM1133)=3,ISNUMBER(AM1133))),0,1)+IF(OR(COUNTA(AN1133:AP1133)=0,AND(COUNTA(AN1133:AP1133)=3,ISNUMBER(AP1133))),0,1)+IF(OR(COUNTA(AQ1133:AS1133)=0,AND(COUNTA(AQ1133:AS1133)=3,ISNUMBER(AS1133))),0,1)+IF(OR(COUNTA(AT1133:AV1133)=0,AND(COUNTA(AT1133:AV1133)=3,ISNUMBER(AV1133))),0,1)+IF(OR(COUNTA(AW1133:AY1133)=0,AND(COUNTA(AW1133:AY1133)=3,ISNUMBER(AY1133))),0,1)+IF(OR(COUNTA(AZ1133:BB1133)=0,AND(COUNTA(AZ1133:BB1133)=3,ISNUMBER(BB1133))),0,1))&gt;0,"; An invoice is incomplete (needs No, Date and a number in Ex GST)","")&amp;IF((IF(T1133="",0,IFERROR(--(EOMONTH(T1133,0)&lt;&gt;S$5),1))+IF(W1133="",0,IFERROR(--(EOMONTH(W1133,0)&lt;&gt;V$5),1))+IF(Z1133="",0,IFERROR(--(EOMONTH(Z1133,0)&lt;&gt;Y$5),1))+IF(AC1133="",0,IFERROR(--(EOMONTH(AC1133,0)&lt;&gt;AB$5),1))+IF(AF1133="",0,IFERROR(--(EOMONTH(AF1133,0)&lt;&gt;AE$5),1))+IF(AI1133="",0,IFERROR(--(EOMONTH(AI1133,0)&lt;&gt;AH$5),1))+IF(AL1133="",0,IFERROR(--(EOMONTH(AL1133,0)&lt;&gt;AK$5),1))+IF(AO1133="",0,IFERROR(--(EOMONTH(AO1133,0)&lt;&gt;AN$5),1))+IF(AR1133="",0,IFERROR(--(EOMONTH(AR1133,0)&lt;&gt;AQ$5),1))+IF(AU1133="",0,IFERROR(--(EOMONTH(AU1133,0)&lt;&gt;AT$5),1))+IF(AX1133="",0,IFERROR(--(EOMONTH(AX1133,0)&lt;&gt;AW$5),1))+IF(BA1133="",0,IFERROR(--(EOMONTH(BA1133,0)&lt;&gt;AZ$5),1)))&gt;0,"; An invoice date is not in the month it is typed under",""),3,500))</f>
        <v/>
      </c>
      <c r="S1133" s="12" t="n"/>
      <c r="T1133" s="13" t="n"/>
      <c r="U1133" s="14" t="n"/>
      <c r="V1133" s="12" t="n"/>
      <c r="W1133" s="13" t="n"/>
      <c r="X1133" s="14" t="n"/>
      <c r="Y1133" s="12" t="n"/>
      <c r="Z1133" s="13" t="n"/>
      <c r="AA1133" s="14" t="n"/>
      <c r="AB1133" s="12" t="n"/>
      <c r="AC1133" s="13" t="n"/>
      <c r="AD1133" s="14" t="n"/>
      <c r="AE1133" s="12" t="n"/>
      <c r="AF1133" s="13" t="n"/>
      <c r="AG1133" s="14" t="n"/>
      <c r="AH1133" s="12" t="n"/>
      <c r="AI1133" s="13" t="n"/>
      <c r="AJ1133" s="14" t="n"/>
      <c r="AK1133" s="12" t="n"/>
      <c r="AL1133" s="13" t="n"/>
      <c r="AM1133" s="14" t="n"/>
      <c r="AN1133" s="12" t="n"/>
      <c r="AO1133" s="13" t="n"/>
      <c r="AP1133" s="14" t="n"/>
      <c r="AQ1133" s="12" t="n"/>
      <c r="AR1133" s="13" t="n"/>
      <c r="AS1133" s="14" t="n"/>
      <c r="AT1133" s="12" t="n"/>
      <c r="AU1133" s="13" t="n"/>
      <c r="AV1133" s="14" t="n"/>
      <c r="AW1133" s="12" t="n"/>
      <c r="AX1133" s="13" t="n"/>
      <c r="AY1133" s="14" t="n"/>
      <c r="AZ1133" s="12" t="n"/>
      <c r="BA1133" s="13" t="n"/>
      <c r="BB1133" s="14" t="n"/>
      <c r="BC1133" s="11">
        <f>IF(O1133="","",IF(J1133="GST 10%",ROUND(O1133*set_GSTRate,2),0))</f>
        <v/>
      </c>
      <c r="BD1133" s="11">
        <f>IF(O1133="","",O1133+BC1133)</f>
        <v/>
      </c>
      <c r="BE1133" s="15">
        <f>IF(O1133="","",COUNTA(S1133,V1133,Y1133,AB1133,AE1133,AH1133,AK1133,AN1133,AQ1133,AT1133,AW1133,AZ1133))</f>
        <v/>
      </c>
      <c r="BF1133" s="16">
        <f>IF(COUNT(T1133,W1133,Z1133,AC1133,AF1133,AI1133,AL1133,AO1133,AR1133,AU1133,AX1133,BA1133)=0,"",MAX(T1133,W1133,Z1133,AC1133,AF1133,AI1133,AL1133,AO1133,AR1133,AU1133,AX1133,BA1133))</f>
        <v/>
      </c>
      <c r="BG1133" s="10">
        <f>MID(IF(S1133="","",", "&amp;S1133)&amp;IF(V1133="","",", "&amp;V1133)&amp;IF(Y1133="","",", "&amp;Y1133)&amp;IF(AB1133="","",", "&amp;AB1133)&amp;IF(AE1133="","",", "&amp;AE1133)&amp;IF(AH1133="","",", "&amp;AH1133)&amp;IF(AK1133="","",", "&amp;AK1133)&amp;IF(AN1133="","",", "&amp;AN1133)&amp;IF(AQ1133="","",", "&amp;AQ1133)&amp;IF(AT1133="","",", "&amp;AT1133)&amp;IF(AW1133="","",", "&amp;AW1133)&amp;IF(AZ1133="","",", "&amp;AZ1133),3,500)</f>
        <v/>
      </c>
      <c r="BH1133" s="12" t="n"/>
      <c r="BI1133" s="15">
        <f>IFERROR(MATCH($A1133,IF($B1133="Onsite",tbl_Onsite[Row ID],IF($B1133="Production",tbl_Production[Row ID],tbl_Consulting[Row ID])),0),"")</f>
        <v/>
      </c>
    </row>
    <row r="1134">
      <c r="A1134" s="10" t="inlineStr">
        <is>
          <t>CON-0128</t>
        </is>
      </c>
      <c r="B1134" s="10" t="inlineStr">
        <is>
          <t>Consulting</t>
        </is>
      </c>
      <c r="C1134" s="10">
        <f>IF($BI1134="","",IF($B1134="Onsite",INDEX(tbl_Onsite[Job Number],$BI1134),IF($B1134="Production",INDEX(tbl_Production[Job Number],$BI1134),INDEX(tbl_Consulting[Job Number],$BI1134)))&amp;"")</f>
        <v/>
      </c>
      <c r="D1134" s="10">
        <f>IF($BI1134="","",IF($B1134="Onsite",INDEX(tbl_Onsite[Client],$BI1134),IF($B1134="Production",INDEX(tbl_Production[Client],$BI1134),INDEX(tbl_Consulting[Client],$BI1134)))&amp;"")</f>
        <v/>
      </c>
      <c r="E1134" s="10">
        <f>IF($C1134="","",IF(COUNTIF(lst_Jobs,$C1134)&gt;0,"OK","CHECK"))</f>
        <v/>
      </c>
      <c r="F1134" s="10">
        <f>IF($C1134="","",IFERROR(INDEX(lst_JobName,MATCH($C1134,lst_Jobs,0)),""))</f>
        <v/>
      </c>
      <c r="G1134" s="10">
        <f>IF($BI1134="","",IF($B1134="Onsite",INDEX(tbl_Onsite[Job Description],$BI1134),IF($B1134="Production",INDEX(tbl_Production[Job Description],$BI1134),INDEX(tbl_Consulting[Job Description],$BI1134)))&amp;"")</f>
        <v/>
      </c>
      <c r="H1134" s="10">
        <f>IF($BI1134="","",IF($B1134="Onsite",INDEX(tbl_Onsite[Cost Centre],$BI1134),IF($B1134="Production",INDEX(tbl_Production[Cost Centre],$BI1134),INDEX(tbl_Consulting[Cost Centre],$BI1134)))&amp;"")</f>
        <v/>
      </c>
      <c r="I1134" s="10">
        <f>IF($BI1134="","",IF($B1134="Onsite",INDEX(tbl_Onsite[Invoice Type],$BI1134),IF($B1134="Production",INDEX(tbl_Production[Invoice Type],$BI1134),INDEX(tbl_Consulting[Invoice Type],$BI1134)))&amp;"")</f>
        <v/>
      </c>
      <c r="J1134" s="10">
        <f>IF($BI1134="","",IF($B1134="Onsite",INDEX(tbl_Onsite[Tax Code],$BI1134),IF($B1134="Production",INDEX(tbl_Production[Tax Code],$BI1134),INDEX(tbl_Consulting[Tax Code],$BI1134)))&amp;"")</f>
        <v/>
      </c>
      <c r="K1134" s="10">
        <f>IF(H1134="","",IFERROR(INDEX(lst_CCtoGL,MATCH(H1134,lst_CCforGL,0)),""))</f>
        <v/>
      </c>
      <c r="L1134" s="10">
        <f>IF($BI1134="","",IF($B1134="Onsite",INDEX(tbl_Onsite[PO / Reference],$BI1134),IF($B1134="Production",INDEX(tbl_Production[Current RMS No],$BI1134),INDEX(tbl_Consulting[Qwilr Quote],$BI1134)))&amp;"")</f>
        <v/>
      </c>
      <c r="M1134" s="10">
        <f>IF($BI1134="","",IF($B1134="Onsite",INDEX(tbl_Onsite[Notes],$BI1134),IF($B1134="Production",INDEX(tbl_Production[Notes],$BI1134),INDEX(tbl_Consulting[Notes],$BI1134)))&amp;"")</f>
        <v/>
      </c>
      <c r="N1134" s="11">
        <f>IF($BI1134="","",IF(IF($B1134="Onsite",INDEX(tbl_Onsite[Expected Revenue Ex GST],$BI1134),IF($B1134="Production",INDEX(tbl_Production[Expected Revenue Ex GST],$BI1134),INDEX(tbl_Consulting[Expected Revenue Ex GST],$BI1134)))="","",IF($B1134="Onsite",INDEX(tbl_Onsite[Expected Revenue Ex GST],$BI1134),IF($B1134="Production",INDEX(tbl_Production[Expected Revenue Ex GST],$BI1134),INDEX(tbl_Consulting[Expected Revenue Ex GST],$BI1134)))))</f>
        <v/>
      </c>
      <c r="O1134" s="11">
        <f>IF(AND($C1134="",NOT(COUNTA($S1134:$BB1134)&gt;0)),"",SUM(U1134,X1134,AA1134,AD1134,AG1134,AJ1134,AM1134,AP1134,AS1134,AV1134,AY1134,BB1134))</f>
        <v/>
      </c>
      <c r="P1134" s="11">
        <f>IF(O1134="","",N(N1134)-O1134)</f>
        <v/>
      </c>
      <c r="Q1134" s="10">
        <f>IF(O1134="","",IF($C1134="","Invoice on empty job row",IF(N1134="",IF(ROUND(O1134,2)=0,"No dept value","Invoiced - no dept value"),IF(ROUND(O1134,2)=0,"Not invoiced - to invoice",IF(ROUND(P1134,2)=0,"Agrees",IF(P1134&gt;0,"Dept higher - to invoice","Xero higher - check dept"))))))</f>
        <v/>
      </c>
      <c r="R1134" s="10">
        <f>IF(AND($C1134="",NOT(COUNTA($S1134:$BB1134)&gt;0),$BI1134&lt;&gt;""),"",MID(IF($BI1134="","; Row ID not found on the department sheet - a row was deleted","")&amp;IF(AND($C1134="",COUNTA($S1134:$BB1134)&gt;0),"; Invoice entered but the department row has no job number","")&amp;IF(E1134="CHECK","; Job number not in the Xero job list","")&amp;IF(AND($C1134&lt;&gt;"",COUNTIF($C$7:$C$1506,$C1134)&gt;1),"; Job number on more than one row","")&amp;IF(AND($C1134&lt;&gt;"",H1134=""),"; Dept has not set a cost centre","")&amp;IF(AND($C1134&lt;&gt;"",J1134=""),"; Dept has not set a tax code","")&amp;IF(AND($C1134&lt;&gt;"",N1134=""),"; Dept has not entered an expected value","")&amp;IF((IF(OR(COUNTA(S1134:U1134)=0,AND(COUNTA(S1134:U1134)=3,ISNUMBER(U1134))),0,1)+IF(OR(COUNTA(V1134:X1134)=0,AND(COUNTA(V1134:X1134)=3,ISNUMBER(X1134))),0,1)+IF(OR(COUNTA(Y1134:AA1134)=0,AND(COUNTA(Y1134:AA1134)=3,ISNUMBER(AA1134))),0,1)+IF(OR(COUNTA(AB1134:AD1134)=0,AND(COUNTA(AB1134:AD1134)=3,ISNUMBER(AD1134))),0,1)+IF(OR(COUNTA(AE1134:AG1134)=0,AND(COUNTA(AE1134:AG1134)=3,ISNUMBER(AG1134))),0,1)+IF(OR(COUNTA(AH1134:AJ1134)=0,AND(COUNTA(AH1134:AJ1134)=3,ISNUMBER(AJ1134))),0,1)+IF(OR(COUNTA(AK1134:AM1134)=0,AND(COUNTA(AK1134:AM1134)=3,ISNUMBER(AM1134))),0,1)+IF(OR(COUNTA(AN1134:AP1134)=0,AND(COUNTA(AN1134:AP1134)=3,ISNUMBER(AP1134))),0,1)+IF(OR(COUNTA(AQ1134:AS1134)=0,AND(COUNTA(AQ1134:AS1134)=3,ISNUMBER(AS1134))),0,1)+IF(OR(COUNTA(AT1134:AV1134)=0,AND(COUNTA(AT1134:AV1134)=3,ISNUMBER(AV1134))),0,1)+IF(OR(COUNTA(AW1134:AY1134)=0,AND(COUNTA(AW1134:AY1134)=3,ISNUMBER(AY1134))),0,1)+IF(OR(COUNTA(AZ1134:BB1134)=0,AND(COUNTA(AZ1134:BB1134)=3,ISNUMBER(BB1134))),0,1))&gt;0,"; An invoice is incomplete (needs No, Date and a number in Ex GST)","")&amp;IF((IF(T1134="",0,IFERROR(--(EOMONTH(T1134,0)&lt;&gt;S$5),1))+IF(W1134="",0,IFERROR(--(EOMONTH(W1134,0)&lt;&gt;V$5),1))+IF(Z1134="",0,IFERROR(--(EOMONTH(Z1134,0)&lt;&gt;Y$5),1))+IF(AC1134="",0,IFERROR(--(EOMONTH(AC1134,0)&lt;&gt;AB$5),1))+IF(AF1134="",0,IFERROR(--(EOMONTH(AF1134,0)&lt;&gt;AE$5),1))+IF(AI1134="",0,IFERROR(--(EOMONTH(AI1134,0)&lt;&gt;AH$5),1))+IF(AL1134="",0,IFERROR(--(EOMONTH(AL1134,0)&lt;&gt;AK$5),1))+IF(AO1134="",0,IFERROR(--(EOMONTH(AO1134,0)&lt;&gt;AN$5),1))+IF(AR1134="",0,IFERROR(--(EOMONTH(AR1134,0)&lt;&gt;AQ$5),1))+IF(AU1134="",0,IFERROR(--(EOMONTH(AU1134,0)&lt;&gt;AT$5),1))+IF(AX1134="",0,IFERROR(--(EOMONTH(AX1134,0)&lt;&gt;AW$5),1))+IF(BA1134="",0,IFERROR(--(EOMONTH(BA1134,0)&lt;&gt;AZ$5),1)))&gt;0,"; An invoice date is not in the month it is typed under",""),3,500))</f>
        <v/>
      </c>
      <c r="S1134" s="12" t="n"/>
      <c r="T1134" s="13" t="n"/>
      <c r="U1134" s="14" t="n"/>
      <c r="V1134" s="12" t="n"/>
      <c r="W1134" s="13" t="n"/>
      <c r="X1134" s="14" t="n"/>
      <c r="Y1134" s="12" t="n"/>
      <c r="Z1134" s="13" t="n"/>
      <c r="AA1134" s="14" t="n"/>
      <c r="AB1134" s="12" t="n"/>
      <c r="AC1134" s="13" t="n"/>
      <c r="AD1134" s="14" t="n"/>
      <c r="AE1134" s="12" t="n"/>
      <c r="AF1134" s="13" t="n"/>
      <c r="AG1134" s="14" t="n"/>
      <c r="AH1134" s="12" t="n"/>
      <c r="AI1134" s="13" t="n"/>
      <c r="AJ1134" s="14" t="n"/>
      <c r="AK1134" s="12" t="n"/>
      <c r="AL1134" s="13" t="n"/>
      <c r="AM1134" s="14" t="n"/>
      <c r="AN1134" s="12" t="n"/>
      <c r="AO1134" s="13" t="n"/>
      <c r="AP1134" s="14" t="n"/>
      <c r="AQ1134" s="12" t="n"/>
      <c r="AR1134" s="13" t="n"/>
      <c r="AS1134" s="14" t="n"/>
      <c r="AT1134" s="12" t="n"/>
      <c r="AU1134" s="13" t="n"/>
      <c r="AV1134" s="14" t="n"/>
      <c r="AW1134" s="12" t="n"/>
      <c r="AX1134" s="13" t="n"/>
      <c r="AY1134" s="14" t="n"/>
      <c r="AZ1134" s="12" t="n"/>
      <c r="BA1134" s="13" t="n"/>
      <c r="BB1134" s="14" t="n"/>
      <c r="BC1134" s="11">
        <f>IF(O1134="","",IF(J1134="GST 10%",ROUND(O1134*set_GSTRate,2),0))</f>
        <v/>
      </c>
      <c r="BD1134" s="11">
        <f>IF(O1134="","",O1134+BC1134)</f>
        <v/>
      </c>
      <c r="BE1134" s="15">
        <f>IF(O1134="","",COUNTA(S1134,V1134,Y1134,AB1134,AE1134,AH1134,AK1134,AN1134,AQ1134,AT1134,AW1134,AZ1134))</f>
        <v/>
      </c>
      <c r="BF1134" s="16">
        <f>IF(COUNT(T1134,W1134,Z1134,AC1134,AF1134,AI1134,AL1134,AO1134,AR1134,AU1134,AX1134,BA1134)=0,"",MAX(T1134,W1134,Z1134,AC1134,AF1134,AI1134,AL1134,AO1134,AR1134,AU1134,AX1134,BA1134))</f>
        <v/>
      </c>
      <c r="BG1134" s="10">
        <f>MID(IF(S1134="","",", "&amp;S1134)&amp;IF(V1134="","",", "&amp;V1134)&amp;IF(Y1134="","",", "&amp;Y1134)&amp;IF(AB1134="","",", "&amp;AB1134)&amp;IF(AE1134="","",", "&amp;AE1134)&amp;IF(AH1134="","",", "&amp;AH1134)&amp;IF(AK1134="","",", "&amp;AK1134)&amp;IF(AN1134="","",", "&amp;AN1134)&amp;IF(AQ1134="","",", "&amp;AQ1134)&amp;IF(AT1134="","",", "&amp;AT1134)&amp;IF(AW1134="","",", "&amp;AW1134)&amp;IF(AZ1134="","",", "&amp;AZ1134),3,500)</f>
        <v/>
      </c>
      <c r="BH1134" s="12" t="n"/>
      <c r="BI1134" s="15">
        <f>IFERROR(MATCH($A1134,IF($B1134="Onsite",tbl_Onsite[Row ID],IF($B1134="Production",tbl_Production[Row ID],tbl_Consulting[Row ID])),0),"")</f>
        <v/>
      </c>
    </row>
    <row r="1135">
      <c r="A1135" s="10" t="inlineStr">
        <is>
          <t>CON-0129</t>
        </is>
      </c>
      <c r="B1135" s="10" t="inlineStr">
        <is>
          <t>Consulting</t>
        </is>
      </c>
      <c r="C1135" s="10">
        <f>IF($BI1135="","",IF($B1135="Onsite",INDEX(tbl_Onsite[Job Number],$BI1135),IF($B1135="Production",INDEX(tbl_Production[Job Number],$BI1135),INDEX(tbl_Consulting[Job Number],$BI1135)))&amp;"")</f>
        <v/>
      </c>
      <c r="D1135" s="10">
        <f>IF($BI1135="","",IF($B1135="Onsite",INDEX(tbl_Onsite[Client],$BI1135),IF($B1135="Production",INDEX(tbl_Production[Client],$BI1135),INDEX(tbl_Consulting[Client],$BI1135)))&amp;"")</f>
        <v/>
      </c>
      <c r="E1135" s="10">
        <f>IF($C1135="","",IF(COUNTIF(lst_Jobs,$C1135)&gt;0,"OK","CHECK"))</f>
        <v/>
      </c>
      <c r="F1135" s="10">
        <f>IF($C1135="","",IFERROR(INDEX(lst_JobName,MATCH($C1135,lst_Jobs,0)),""))</f>
        <v/>
      </c>
      <c r="G1135" s="10">
        <f>IF($BI1135="","",IF($B1135="Onsite",INDEX(tbl_Onsite[Job Description],$BI1135),IF($B1135="Production",INDEX(tbl_Production[Job Description],$BI1135),INDEX(tbl_Consulting[Job Description],$BI1135)))&amp;"")</f>
        <v/>
      </c>
      <c r="H1135" s="10">
        <f>IF($BI1135="","",IF($B1135="Onsite",INDEX(tbl_Onsite[Cost Centre],$BI1135),IF($B1135="Production",INDEX(tbl_Production[Cost Centre],$BI1135),INDEX(tbl_Consulting[Cost Centre],$BI1135)))&amp;"")</f>
        <v/>
      </c>
      <c r="I1135" s="10">
        <f>IF($BI1135="","",IF($B1135="Onsite",INDEX(tbl_Onsite[Invoice Type],$BI1135),IF($B1135="Production",INDEX(tbl_Production[Invoice Type],$BI1135),INDEX(tbl_Consulting[Invoice Type],$BI1135)))&amp;"")</f>
        <v/>
      </c>
      <c r="J1135" s="10">
        <f>IF($BI1135="","",IF($B1135="Onsite",INDEX(tbl_Onsite[Tax Code],$BI1135),IF($B1135="Production",INDEX(tbl_Production[Tax Code],$BI1135),INDEX(tbl_Consulting[Tax Code],$BI1135)))&amp;"")</f>
        <v/>
      </c>
      <c r="K1135" s="10">
        <f>IF(H1135="","",IFERROR(INDEX(lst_CCtoGL,MATCH(H1135,lst_CCforGL,0)),""))</f>
        <v/>
      </c>
      <c r="L1135" s="10">
        <f>IF($BI1135="","",IF($B1135="Onsite",INDEX(tbl_Onsite[PO / Reference],$BI1135),IF($B1135="Production",INDEX(tbl_Production[Current RMS No],$BI1135),INDEX(tbl_Consulting[Qwilr Quote],$BI1135)))&amp;"")</f>
        <v/>
      </c>
      <c r="M1135" s="10">
        <f>IF($BI1135="","",IF($B1135="Onsite",INDEX(tbl_Onsite[Notes],$BI1135),IF($B1135="Production",INDEX(tbl_Production[Notes],$BI1135),INDEX(tbl_Consulting[Notes],$BI1135)))&amp;"")</f>
        <v/>
      </c>
      <c r="N1135" s="11">
        <f>IF($BI1135="","",IF(IF($B1135="Onsite",INDEX(tbl_Onsite[Expected Revenue Ex GST],$BI1135),IF($B1135="Production",INDEX(tbl_Production[Expected Revenue Ex GST],$BI1135),INDEX(tbl_Consulting[Expected Revenue Ex GST],$BI1135)))="","",IF($B1135="Onsite",INDEX(tbl_Onsite[Expected Revenue Ex GST],$BI1135),IF($B1135="Production",INDEX(tbl_Production[Expected Revenue Ex GST],$BI1135),INDEX(tbl_Consulting[Expected Revenue Ex GST],$BI1135)))))</f>
        <v/>
      </c>
      <c r="O1135" s="11">
        <f>IF(AND($C1135="",NOT(COUNTA($S1135:$BB1135)&gt;0)),"",SUM(U1135,X1135,AA1135,AD1135,AG1135,AJ1135,AM1135,AP1135,AS1135,AV1135,AY1135,BB1135))</f>
        <v/>
      </c>
      <c r="P1135" s="11">
        <f>IF(O1135="","",N(N1135)-O1135)</f>
        <v/>
      </c>
      <c r="Q1135" s="10">
        <f>IF(O1135="","",IF($C1135="","Invoice on empty job row",IF(N1135="",IF(ROUND(O1135,2)=0,"No dept value","Invoiced - no dept value"),IF(ROUND(O1135,2)=0,"Not invoiced - to invoice",IF(ROUND(P1135,2)=0,"Agrees",IF(P1135&gt;0,"Dept higher - to invoice","Xero higher - check dept"))))))</f>
        <v/>
      </c>
      <c r="R1135" s="10">
        <f>IF(AND($C1135="",NOT(COUNTA($S1135:$BB1135)&gt;0),$BI1135&lt;&gt;""),"",MID(IF($BI1135="","; Row ID not found on the department sheet - a row was deleted","")&amp;IF(AND($C1135="",COUNTA($S1135:$BB1135)&gt;0),"; Invoice entered but the department row has no job number","")&amp;IF(E1135="CHECK","; Job number not in the Xero job list","")&amp;IF(AND($C1135&lt;&gt;"",COUNTIF($C$7:$C$1506,$C1135)&gt;1),"; Job number on more than one row","")&amp;IF(AND($C1135&lt;&gt;"",H1135=""),"; Dept has not set a cost centre","")&amp;IF(AND($C1135&lt;&gt;"",J1135=""),"; Dept has not set a tax code","")&amp;IF(AND($C1135&lt;&gt;"",N1135=""),"; Dept has not entered an expected value","")&amp;IF((IF(OR(COUNTA(S1135:U1135)=0,AND(COUNTA(S1135:U1135)=3,ISNUMBER(U1135))),0,1)+IF(OR(COUNTA(V1135:X1135)=0,AND(COUNTA(V1135:X1135)=3,ISNUMBER(X1135))),0,1)+IF(OR(COUNTA(Y1135:AA1135)=0,AND(COUNTA(Y1135:AA1135)=3,ISNUMBER(AA1135))),0,1)+IF(OR(COUNTA(AB1135:AD1135)=0,AND(COUNTA(AB1135:AD1135)=3,ISNUMBER(AD1135))),0,1)+IF(OR(COUNTA(AE1135:AG1135)=0,AND(COUNTA(AE1135:AG1135)=3,ISNUMBER(AG1135))),0,1)+IF(OR(COUNTA(AH1135:AJ1135)=0,AND(COUNTA(AH1135:AJ1135)=3,ISNUMBER(AJ1135))),0,1)+IF(OR(COUNTA(AK1135:AM1135)=0,AND(COUNTA(AK1135:AM1135)=3,ISNUMBER(AM1135))),0,1)+IF(OR(COUNTA(AN1135:AP1135)=0,AND(COUNTA(AN1135:AP1135)=3,ISNUMBER(AP1135))),0,1)+IF(OR(COUNTA(AQ1135:AS1135)=0,AND(COUNTA(AQ1135:AS1135)=3,ISNUMBER(AS1135))),0,1)+IF(OR(COUNTA(AT1135:AV1135)=0,AND(COUNTA(AT1135:AV1135)=3,ISNUMBER(AV1135))),0,1)+IF(OR(COUNTA(AW1135:AY1135)=0,AND(COUNTA(AW1135:AY1135)=3,ISNUMBER(AY1135))),0,1)+IF(OR(COUNTA(AZ1135:BB1135)=0,AND(COUNTA(AZ1135:BB1135)=3,ISNUMBER(BB1135))),0,1))&gt;0,"; An invoice is incomplete (needs No, Date and a number in Ex GST)","")&amp;IF((IF(T1135="",0,IFERROR(--(EOMONTH(T1135,0)&lt;&gt;S$5),1))+IF(W1135="",0,IFERROR(--(EOMONTH(W1135,0)&lt;&gt;V$5),1))+IF(Z1135="",0,IFERROR(--(EOMONTH(Z1135,0)&lt;&gt;Y$5),1))+IF(AC1135="",0,IFERROR(--(EOMONTH(AC1135,0)&lt;&gt;AB$5),1))+IF(AF1135="",0,IFERROR(--(EOMONTH(AF1135,0)&lt;&gt;AE$5),1))+IF(AI1135="",0,IFERROR(--(EOMONTH(AI1135,0)&lt;&gt;AH$5),1))+IF(AL1135="",0,IFERROR(--(EOMONTH(AL1135,0)&lt;&gt;AK$5),1))+IF(AO1135="",0,IFERROR(--(EOMONTH(AO1135,0)&lt;&gt;AN$5),1))+IF(AR1135="",0,IFERROR(--(EOMONTH(AR1135,0)&lt;&gt;AQ$5),1))+IF(AU1135="",0,IFERROR(--(EOMONTH(AU1135,0)&lt;&gt;AT$5),1))+IF(AX1135="",0,IFERROR(--(EOMONTH(AX1135,0)&lt;&gt;AW$5),1))+IF(BA1135="",0,IFERROR(--(EOMONTH(BA1135,0)&lt;&gt;AZ$5),1)))&gt;0,"; An invoice date is not in the month it is typed under",""),3,500))</f>
        <v/>
      </c>
      <c r="S1135" s="12" t="n"/>
      <c r="T1135" s="13" t="n"/>
      <c r="U1135" s="14" t="n"/>
      <c r="V1135" s="12" t="n"/>
      <c r="W1135" s="13" t="n"/>
      <c r="X1135" s="14" t="n"/>
      <c r="Y1135" s="12" t="n"/>
      <c r="Z1135" s="13" t="n"/>
      <c r="AA1135" s="14" t="n"/>
      <c r="AB1135" s="12" t="n"/>
      <c r="AC1135" s="13" t="n"/>
      <c r="AD1135" s="14" t="n"/>
      <c r="AE1135" s="12" t="n"/>
      <c r="AF1135" s="13" t="n"/>
      <c r="AG1135" s="14" t="n"/>
      <c r="AH1135" s="12" t="n"/>
      <c r="AI1135" s="13" t="n"/>
      <c r="AJ1135" s="14" t="n"/>
      <c r="AK1135" s="12" t="n"/>
      <c r="AL1135" s="13" t="n"/>
      <c r="AM1135" s="14" t="n"/>
      <c r="AN1135" s="12" t="n"/>
      <c r="AO1135" s="13" t="n"/>
      <c r="AP1135" s="14" t="n"/>
      <c r="AQ1135" s="12" t="n"/>
      <c r="AR1135" s="13" t="n"/>
      <c r="AS1135" s="14" t="n"/>
      <c r="AT1135" s="12" t="n"/>
      <c r="AU1135" s="13" t="n"/>
      <c r="AV1135" s="14" t="n"/>
      <c r="AW1135" s="12" t="n"/>
      <c r="AX1135" s="13" t="n"/>
      <c r="AY1135" s="14" t="n"/>
      <c r="AZ1135" s="12" t="n"/>
      <c r="BA1135" s="13" t="n"/>
      <c r="BB1135" s="14" t="n"/>
      <c r="BC1135" s="11">
        <f>IF(O1135="","",IF(J1135="GST 10%",ROUND(O1135*set_GSTRate,2),0))</f>
        <v/>
      </c>
      <c r="BD1135" s="11">
        <f>IF(O1135="","",O1135+BC1135)</f>
        <v/>
      </c>
      <c r="BE1135" s="15">
        <f>IF(O1135="","",COUNTA(S1135,V1135,Y1135,AB1135,AE1135,AH1135,AK1135,AN1135,AQ1135,AT1135,AW1135,AZ1135))</f>
        <v/>
      </c>
      <c r="BF1135" s="16">
        <f>IF(COUNT(T1135,W1135,Z1135,AC1135,AF1135,AI1135,AL1135,AO1135,AR1135,AU1135,AX1135,BA1135)=0,"",MAX(T1135,W1135,Z1135,AC1135,AF1135,AI1135,AL1135,AO1135,AR1135,AU1135,AX1135,BA1135))</f>
        <v/>
      </c>
      <c r="BG1135" s="10">
        <f>MID(IF(S1135="","",", "&amp;S1135)&amp;IF(V1135="","",", "&amp;V1135)&amp;IF(Y1135="","",", "&amp;Y1135)&amp;IF(AB1135="","",", "&amp;AB1135)&amp;IF(AE1135="","",", "&amp;AE1135)&amp;IF(AH1135="","",", "&amp;AH1135)&amp;IF(AK1135="","",", "&amp;AK1135)&amp;IF(AN1135="","",", "&amp;AN1135)&amp;IF(AQ1135="","",", "&amp;AQ1135)&amp;IF(AT1135="","",", "&amp;AT1135)&amp;IF(AW1135="","",", "&amp;AW1135)&amp;IF(AZ1135="","",", "&amp;AZ1135),3,500)</f>
        <v/>
      </c>
      <c r="BH1135" s="12" t="n"/>
      <c r="BI1135" s="15">
        <f>IFERROR(MATCH($A1135,IF($B1135="Onsite",tbl_Onsite[Row ID],IF($B1135="Production",tbl_Production[Row ID],tbl_Consulting[Row ID])),0),"")</f>
        <v/>
      </c>
    </row>
    <row r="1136">
      <c r="A1136" s="10" t="inlineStr">
        <is>
          <t>CON-0130</t>
        </is>
      </c>
      <c r="B1136" s="10" t="inlineStr">
        <is>
          <t>Consulting</t>
        </is>
      </c>
      <c r="C1136" s="10">
        <f>IF($BI1136="","",IF($B1136="Onsite",INDEX(tbl_Onsite[Job Number],$BI1136),IF($B1136="Production",INDEX(tbl_Production[Job Number],$BI1136),INDEX(tbl_Consulting[Job Number],$BI1136)))&amp;"")</f>
        <v/>
      </c>
      <c r="D1136" s="10">
        <f>IF($BI1136="","",IF($B1136="Onsite",INDEX(tbl_Onsite[Client],$BI1136),IF($B1136="Production",INDEX(tbl_Production[Client],$BI1136),INDEX(tbl_Consulting[Client],$BI1136)))&amp;"")</f>
        <v/>
      </c>
      <c r="E1136" s="10">
        <f>IF($C1136="","",IF(COUNTIF(lst_Jobs,$C1136)&gt;0,"OK","CHECK"))</f>
        <v/>
      </c>
      <c r="F1136" s="10">
        <f>IF($C1136="","",IFERROR(INDEX(lst_JobName,MATCH($C1136,lst_Jobs,0)),""))</f>
        <v/>
      </c>
      <c r="G1136" s="10">
        <f>IF($BI1136="","",IF($B1136="Onsite",INDEX(tbl_Onsite[Job Description],$BI1136),IF($B1136="Production",INDEX(tbl_Production[Job Description],$BI1136),INDEX(tbl_Consulting[Job Description],$BI1136)))&amp;"")</f>
        <v/>
      </c>
      <c r="H1136" s="10">
        <f>IF($BI1136="","",IF($B1136="Onsite",INDEX(tbl_Onsite[Cost Centre],$BI1136),IF($B1136="Production",INDEX(tbl_Production[Cost Centre],$BI1136),INDEX(tbl_Consulting[Cost Centre],$BI1136)))&amp;"")</f>
        <v/>
      </c>
      <c r="I1136" s="10">
        <f>IF($BI1136="","",IF($B1136="Onsite",INDEX(tbl_Onsite[Invoice Type],$BI1136),IF($B1136="Production",INDEX(tbl_Production[Invoice Type],$BI1136),INDEX(tbl_Consulting[Invoice Type],$BI1136)))&amp;"")</f>
        <v/>
      </c>
      <c r="J1136" s="10">
        <f>IF($BI1136="","",IF($B1136="Onsite",INDEX(tbl_Onsite[Tax Code],$BI1136),IF($B1136="Production",INDEX(tbl_Production[Tax Code],$BI1136),INDEX(tbl_Consulting[Tax Code],$BI1136)))&amp;"")</f>
        <v/>
      </c>
      <c r="K1136" s="10">
        <f>IF(H1136="","",IFERROR(INDEX(lst_CCtoGL,MATCH(H1136,lst_CCforGL,0)),""))</f>
        <v/>
      </c>
      <c r="L1136" s="10">
        <f>IF($BI1136="","",IF($B1136="Onsite",INDEX(tbl_Onsite[PO / Reference],$BI1136),IF($B1136="Production",INDEX(tbl_Production[Current RMS No],$BI1136),INDEX(tbl_Consulting[Qwilr Quote],$BI1136)))&amp;"")</f>
        <v/>
      </c>
      <c r="M1136" s="10">
        <f>IF($BI1136="","",IF($B1136="Onsite",INDEX(tbl_Onsite[Notes],$BI1136),IF($B1136="Production",INDEX(tbl_Production[Notes],$BI1136),INDEX(tbl_Consulting[Notes],$BI1136)))&amp;"")</f>
        <v/>
      </c>
      <c r="N1136" s="11">
        <f>IF($BI1136="","",IF(IF($B1136="Onsite",INDEX(tbl_Onsite[Expected Revenue Ex GST],$BI1136),IF($B1136="Production",INDEX(tbl_Production[Expected Revenue Ex GST],$BI1136),INDEX(tbl_Consulting[Expected Revenue Ex GST],$BI1136)))="","",IF($B1136="Onsite",INDEX(tbl_Onsite[Expected Revenue Ex GST],$BI1136),IF($B1136="Production",INDEX(tbl_Production[Expected Revenue Ex GST],$BI1136),INDEX(tbl_Consulting[Expected Revenue Ex GST],$BI1136)))))</f>
        <v/>
      </c>
      <c r="O1136" s="11">
        <f>IF(AND($C1136="",NOT(COUNTA($S1136:$BB1136)&gt;0)),"",SUM(U1136,X1136,AA1136,AD1136,AG1136,AJ1136,AM1136,AP1136,AS1136,AV1136,AY1136,BB1136))</f>
        <v/>
      </c>
      <c r="P1136" s="11">
        <f>IF(O1136="","",N(N1136)-O1136)</f>
        <v/>
      </c>
      <c r="Q1136" s="10">
        <f>IF(O1136="","",IF($C1136="","Invoice on empty job row",IF(N1136="",IF(ROUND(O1136,2)=0,"No dept value","Invoiced - no dept value"),IF(ROUND(O1136,2)=0,"Not invoiced - to invoice",IF(ROUND(P1136,2)=0,"Agrees",IF(P1136&gt;0,"Dept higher - to invoice","Xero higher - check dept"))))))</f>
        <v/>
      </c>
      <c r="R1136" s="10">
        <f>IF(AND($C1136="",NOT(COUNTA($S1136:$BB1136)&gt;0),$BI1136&lt;&gt;""),"",MID(IF($BI1136="","; Row ID not found on the department sheet - a row was deleted","")&amp;IF(AND($C1136="",COUNTA($S1136:$BB1136)&gt;0),"; Invoice entered but the department row has no job number","")&amp;IF(E1136="CHECK","; Job number not in the Xero job list","")&amp;IF(AND($C1136&lt;&gt;"",COUNTIF($C$7:$C$1506,$C1136)&gt;1),"; Job number on more than one row","")&amp;IF(AND($C1136&lt;&gt;"",H1136=""),"; Dept has not set a cost centre","")&amp;IF(AND($C1136&lt;&gt;"",J1136=""),"; Dept has not set a tax code","")&amp;IF(AND($C1136&lt;&gt;"",N1136=""),"; Dept has not entered an expected value","")&amp;IF((IF(OR(COUNTA(S1136:U1136)=0,AND(COUNTA(S1136:U1136)=3,ISNUMBER(U1136))),0,1)+IF(OR(COUNTA(V1136:X1136)=0,AND(COUNTA(V1136:X1136)=3,ISNUMBER(X1136))),0,1)+IF(OR(COUNTA(Y1136:AA1136)=0,AND(COUNTA(Y1136:AA1136)=3,ISNUMBER(AA1136))),0,1)+IF(OR(COUNTA(AB1136:AD1136)=0,AND(COUNTA(AB1136:AD1136)=3,ISNUMBER(AD1136))),0,1)+IF(OR(COUNTA(AE1136:AG1136)=0,AND(COUNTA(AE1136:AG1136)=3,ISNUMBER(AG1136))),0,1)+IF(OR(COUNTA(AH1136:AJ1136)=0,AND(COUNTA(AH1136:AJ1136)=3,ISNUMBER(AJ1136))),0,1)+IF(OR(COUNTA(AK1136:AM1136)=0,AND(COUNTA(AK1136:AM1136)=3,ISNUMBER(AM1136))),0,1)+IF(OR(COUNTA(AN1136:AP1136)=0,AND(COUNTA(AN1136:AP1136)=3,ISNUMBER(AP1136))),0,1)+IF(OR(COUNTA(AQ1136:AS1136)=0,AND(COUNTA(AQ1136:AS1136)=3,ISNUMBER(AS1136))),0,1)+IF(OR(COUNTA(AT1136:AV1136)=0,AND(COUNTA(AT1136:AV1136)=3,ISNUMBER(AV1136))),0,1)+IF(OR(COUNTA(AW1136:AY1136)=0,AND(COUNTA(AW1136:AY1136)=3,ISNUMBER(AY1136))),0,1)+IF(OR(COUNTA(AZ1136:BB1136)=0,AND(COUNTA(AZ1136:BB1136)=3,ISNUMBER(BB1136))),0,1))&gt;0,"; An invoice is incomplete (needs No, Date and a number in Ex GST)","")&amp;IF((IF(T1136="",0,IFERROR(--(EOMONTH(T1136,0)&lt;&gt;S$5),1))+IF(W1136="",0,IFERROR(--(EOMONTH(W1136,0)&lt;&gt;V$5),1))+IF(Z1136="",0,IFERROR(--(EOMONTH(Z1136,0)&lt;&gt;Y$5),1))+IF(AC1136="",0,IFERROR(--(EOMONTH(AC1136,0)&lt;&gt;AB$5),1))+IF(AF1136="",0,IFERROR(--(EOMONTH(AF1136,0)&lt;&gt;AE$5),1))+IF(AI1136="",0,IFERROR(--(EOMONTH(AI1136,0)&lt;&gt;AH$5),1))+IF(AL1136="",0,IFERROR(--(EOMONTH(AL1136,0)&lt;&gt;AK$5),1))+IF(AO1136="",0,IFERROR(--(EOMONTH(AO1136,0)&lt;&gt;AN$5),1))+IF(AR1136="",0,IFERROR(--(EOMONTH(AR1136,0)&lt;&gt;AQ$5),1))+IF(AU1136="",0,IFERROR(--(EOMONTH(AU1136,0)&lt;&gt;AT$5),1))+IF(AX1136="",0,IFERROR(--(EOMONTH(AX1136,0)&lt;&gt;AW$5),1))+IF(BA1136="",0,IFERROR(--(EOMONTH(BA1136,0)&lt;&gt;AZ$5),1)))&gt;0,"; An invoice date is not in the month it is typed under",""),3,500))</f>
        <v/>
      </c>
      <c r="S1136" s="12" t="n"/>
      <c r="T1136" s="13" t="n"/>
      <c r="U1136" s="14" t="n"/>
      <c r="V1136" s="12" t="n"/>
      <c r="W1136" s="13" t="n"/>
      <c r="X1136" s="14" t="n"/>
      <c r="Y1136" s="12" t="n"/>
      <c r="Z1136" s="13" t="n"/>
      <c r="AA1136" s="14" t="n"/>
      <c r="AB1136" s="12" t="n"/>
      <c r="AC1136" s="13" t="n"/>
      <c r="AD1136" s="14" t="n"/>
      <c r="AE1136" s="12" t="n"/>
      <c r="AF1136" s="13" t="n"/>
      <c r="AG1136" s="14" t="n"/>
      <c r="AH1136" s="12" t="n"/>
      <c r="AI1136" s="13" t="n"/>
      <c r="AJ1136" s="14" t="n"/>
      <c r="AK1136" s="12" t="n"/>
      <c r="AL1136" s="13" t="n"/>
      <c r="AM1136" s="14" t="n"/>
      <c r="AN1136" s="12" t="n"/>
      <c r="AO1136" s="13" t="n"/>
      <c r="AP1136" s="14" t="n"/>
      <c r="AQ1136" s="12" t="n"/>
      <c r="AR1136" s="13" t="n"/>
      <c r="AS1136" s="14" t="n"/>
      <c r="AT1136" s="12" t="n"/>
      <c r="AU1136" s="13" t="n"/>
      <c r="AV1136" s="14" t="n"/>
      <c r="AW1136" s="12" t="n"/>
      <c r="AX1136" s="13" t="n"/>
      <c r="AY1136" s="14" t="n"/>
      <c r="AZ1136" s="12" t="n"/>
      <c r="BA1136" s="13" t="n"/>
      <c r="BB1136" s="14" t="n"/>
      <c r="BC1136" s="11">
        <f>IF(O1136="","",IF(J1136="GST 10%",ROUND(O1136*set_GSTRate,2),0))</f>
        <v/>
      </c>
      <c r="BD1136" s="11">
        <f>IF(O1136="","",O1136+BC1136)</f>
        <v/>
      </c>
      <c r="BE1136" s="15">
        <f>IF(O1136="","",COUNTA(S1136,V1136,Y1136,AB1136,AE1136,AH1136,AK1136,AN1136,AQ1136,AT1136,AW1136,AZ1136))</f>
        <v/>
      </c>
      <c r="BF1136" s="16">
        <f>IF(COUNT(T1136,W1136,Z1136,AC1136,AF1136,AI1136,AL1136,AO1136,AR1136,AU1136,AX1136,BA1136)=0,"",MAX(T1136,W1136,Z1136,AC1136,AF1136,AI1136,AL1136,AO1136,AR1136,AU1136,AX1136,BA1136))</f>
        <v/>
      </c>
      <c r="BG1136" s="10">
        <f>MID(IF(S1136="","",", "&amp;S1136)&amp;IF(V1136="","",", "&amp;V1136)&amp;IF(Y1136="","",", "&amp;Y1136)&amp;IF(AB1136="","",", "&amp;AB1136)&amp;IF(AE1136="","",", "&amp;AE1136)&amp;IF(AH1136="","",", "&amp;AH1136)&amp;IF(AK1136="","",", "&amp;AK1136)&amp;IF(AN1136="","",", "&amp;AN1136)&amp;IF(AQ1136="","",", "&amp;AQ1136)&amp;IF(AT1136="","",", "&amp;AT1136)&amp;IF(AW1136="","",", "&amp;AW1136)&amp;IF(AZ1136="","",", "&amp;AZ1136),3,500)</f>
        <v/>
      </c>
      <c r="BH1136" s="12" t="n"/>
      <c r="BI1136" s="15">
        <f>IFERROR(MATCH($A1136,IF($B1136="Onsite",tbl_Onsite[Row ID],IF($B1136="Production",tbl_Production[Row ID],tbl_Consulting[Row ID])),0),"")</f>
        <v/>
      </c>
    </row>
    <row r="1137">
      <c r="A1137" s="10" t="inlineStr">
        <is>
          <t>CON-0131</t>
        </is>
      </c>
      <c r="B1137" s="10" t="inlineStr">
        <is>
          <t>Consulting</t>
        </is>
      </c>
      <c r="C1137" s="10">
        <f>IF($BI1137="","",IF($B1137="Onsite",INDEX(tbl_Onsite[Job Number],$BI1137),IF($B1137="Production",INDEX(tbl_Production[Job Number],$BI1137),INDEX(tbl_Consulting[Job Number],$BI1137)))&amp;"")</f>
        <v/>
      </c>
      <c r="D1137" s="10">
        <f>IF($BI1137="","",IF($B1137="Onsite",INDEX(tbl_Onsite[Client],$BI1137),IF($B1137="Production",INDEX(tbl_Production[Client],$BI1137),INDEX(tbl_Consulting[Client],$BI1137)))&amp;"")</f>
        <v/>
      </c>
      <c r="E1137" s="10">
        <f>IF($C1137="","",IF(COUNTIF(lst_Jobs,$C1137)&gt;0,"OK","CHECK"))</f>
        <v/>
      </c>
      <c r="F1137" s="10">
        <f>IF($C1137="","",IFERROR(INDEX(lst_JobName,MATCH($C1137,lst_Jobs,0)),""))</f>
        <v/>
      </c>
      <c r="G1137" s="10">
        <f>IF($BI1137="","",IF($B1137="Onsite",INDEX(tbl_Onsite[Job Description],$BI1137),IF($B1137="Production",INDEX(tbl_Production[Job Description],$BI1137),INDEX(tbl_Consulting[Job Description],$BI1137)))&amp;"")</f>
        <v/>
      </c>
      <c r="H1137" s="10">
        <f>IF($BI1137="","",IF($B1137="Onsite",INDEX(tbl_Onsite[Cost Centre],$BI1137),IF($B1137="Production",INDEX(tbl_Production[Cost Centre],$BI1137),INDEX(tbl_Consulting[Cost Centre],$BI1137)))&amp;"")</f>
        <v/>
      </c>
      <c r="I1137" s="10">
        <f>IF($BI1137="","",IF($B1137="Onsite",INDEX(tbl_Onsite[Invoice Type],$BI1137),IF($B1137="Production",INDEX(tbl_Production[Invoice Type],$BI1137),INDEX(tbl_Consulting[Invoice Type],$BI1137)))&amp;"")</f>
        <v/>
      </c>
      <c r="J1137" s="10">
        <f>IF($BI1137="","",IF($B1137="Onsite",INDEX(tbl_Onsite[Tax Code],$BI1137),IF($B1137="Production",INDEX(tbl_Production[Tax Code],$BI1137),INDEX(tbl_Consulting[Tax Code],$BI1137)))&amp;"")</f>
        <v/>
      </c>
      <c r="K1137" s="10">
        <f>IF(H1137="","",IFERROR(INDEX(lst_CCtoGL,MATCH(H1137,lst_CCforGL,0)),""))</f>
        <v/>
      </c>
      <c r="L1137" s="10">
        <f>IF($BI1137="","",IF($B1137="Onsite",INDEX(tbl_Onsite[PO / Reference],$BI1137),IF($B1137="Production",INDEX(tbl_Production[Current RMS No],$BI1137),INDEX(tbl_Consulting[Qwilr Quote],$BI1137)))&amp;"")</f>
        <v/>
      </c>
      <c r="M1137" s="10">
        <f>IF($BI1137="","",IF($B1137="Onsite",INDEX(tbl_Onsite[Notes],$BI1137),IF($B1137="Production",INDEX(tbl_Production[Notes],$BI1137),INDEX(tbl_Consulting[Notes],$BI1137)))&amp;"")</f>
        <v/>
      </c>
      <c r="N1137" s="11">
        <f>IF($BI1137="","",IF(IF($B1137="Onsite",INDEX(tbl_Onsite[Expected Revenue Ex GST],$BI1137),IF($B1137="Production",INDEX(tbl_Production[Expected Revenue Ex GST],$BI1137),INDEX(tbl_Consulting[Expected Revenue Ex GST],$BI1137)))="","",IF($B1137="Onsite",INDEX(tbl_Onsite[Expected Revenue Ex GST],$BI1137),IF($B1137="Production",INDEX(tbl_Production[Expected Revenue Ex GST],$BI1137),INDEX(tbl_Consulting[Expected Revenue Ex GST],$BI1137)))))</f>
        <v/>
      </c>
      <c r="O1137" s="11">
        <f>IF(AND($C1137="",NOT(COUNTA($S1137:$BB1137)&gt;0)),"",SUM(U1137,X1137,AA1137,AD1137,AG1137,AJ1137,AM1137,AP1137,AS1137,AV1137,AY1137,BB1137))</f>
        <v/>
      </c>
      <c r="P1137" s="11">
        <f>IF(O1137="","",N(N1137)-O1137)</f>
        <v/>
      </c>
      <c r="Q1137" s="10">
        <f>IF(O1137="","",IF($C1137="","Invoice on empty job row",IF(N1137="",IF(ROUND(O1137,2)=0,"No dept value","Invoiced - no dept value"),IF(ROUND(O1137,2)=0,"Not invoiced - to invoice",IF(ROUND(P1137,2)=0,"Agrees",IF(P1137&gt;0,"Dept higher - to invoice","Xero higher - check dept"))))))</f>
        <v/>
      </c>
      <c r="R1137" s="10">
        <f>IF(AND($C1137="",NOT(COUNTA($S1137:$BB1137)&gt;0),$BI1137&lt;&gt;""),"",MID(IF($BI1137="","; Row ID not found on the department sheet - a row was deleted","")&amp;IF(AND($C1137="",COUNTA($S1137:$BB1137)&gt;0),"; Invoice entered but the department row has no job number","")&amp;IF(E1137="CHECK","; Job number not in the Xero job list","")&amp;IF(AND($C1137&lt;&gt;"",COUNTIF($C$7:$C$1506,$C1137)&gt;1),"; Job number on more than one row","")&amp;IF(AND($C1137&lt;&gt;"",H1137=""),"; Dept has not set a cost centre","")&amp;IF(AND($C1137&lt;&gt;"",J1137=""),"; Dept has not set a tax code","")&amp;IF(AND($C1137&lt;&gt;"",N1137=""),"; Dept has not entered an expected value","")&amp;IF((IF(OR(COUNTA(S1137:U1137)=0,AND(COUNTA(S1137:U1137)=3,ISNUMBER(U1137))),0,1)+IF(OR(COUNTA(V1137:X1137)=0,AND(COUNTA(V1137:X1137)=3,ISNUMBER(X1137))),0,1)+IF(OR(COUNTA(Y1137:AA1137)=0,AND(COUNTA(Y1137:AA1137)=3,ISNUMBER(AA1137))),0,1)+IF(OR(COUNTA(AB1137:AD1137)=0,AND(COUNTA(AB1137:AD1137)=3,ISNUMBER(AD1137))),0,1)+IF(OR(COUNTA(AE1137:AG1137)=0,AND(COUNTA(AE1137:AG1137)=3,ISNUMBER(AG1137))),0,1)+IF(OR(COUNTA(AH1137:AJ1137)=0,AND(COUNTA(AH1137:AJ1137)=3,ISNUMBER(AJ1137))),0,1)+IF(OR(COUNTA(AK1137:AM1137)=0,AND(COUNTA(AK1137:AM1137)=3,ISNUMBER(AM1137))),0,1)+IF(OR(COUNTA(AN1137:AP1137)=0,AND(COUNTA(AN1137:AP1137)=3,ISNUMBER(AP1137))),0,1)+IF(OR(COUNTA(AQ1137:AS1137)=0,AND(COUNTA(AQ1137:AS1137)=3,ISNUMBER(AS1137))),0,1)+IF(OR(COUNTA(AT1137:AV1137)=0,AND(COUNTA(AT1137:AV1137)=3,ISNUMBER(AV1137))),0,1)+IF(OR(COUNTA(AW1137:AY1137)=0,AND(COUNTA(AW1137:AY1137)=3,ISNUMBER(AY1137))),0,1)+IF(OR(COUNTA(AZ1137:BB1137)=0,AND(COUNTA(AZ1137:BB1137)=3,ISNUMBER(BB1137))),0,1))&gt;0,"; An invoice is incomplete (needs No, Date and a number in Ex GST)","")&amp;IF((IF(T1137="",0,IFERROR(--(EOMONTH(T1137,0)&lt;&gt;S$5),1))+IF(W1137="",0,IFERROR(--(EOMONTH(W1137,0)&lt;&gt;V$5),1))+IF(Z1137="",0,IFERROR(--(EOMONTH(Z1137,0)&lt;&gt;Y$5),1))+IF(AC1137="",0,IFERROR(--(EOMONTH(AC1137,0)&lt;&gt;AB$5),1))+IF(AF1137="",0,IFERROR(--(EOMONTH(AF1137,0)&lt;&gt;AE$5),1))+IF(AI1137="",0,IFERROR(--(EOMONTH(AI1137,0)&lt;&gt;AH$5),1))+IF(AL1137="",0,IFERROR(--(EOMONTH(AL1137,0)&lt;&gt;AK$5),1))+IF(AO1137="",0,IFERROR(--(EOMONTH(AO1137,0)&lt;&gt;AN$5),1))+IF(AR1137="",0,IFERROR(--(EOMONTH(AR1137,0)&lt;&gt;AQ$5),1))+IF(AU1137="",0,IFERROR(--(EOMONTH(AU1137,0)&lt;&gt;AT$5),1))+IF(AX1137="",0,IFERROR(--(EOMONTH(AX1137,0)&lt;&gt;AW$5),1))+IF(BA1137="",0,IFERROR(--(EOMONTH(BA1137,0)&lt;&gt;AZ$5),1)))&gt;0,"; An invoice date is not in the month it is typed under",""),3,500))</f>
        <v/>
      </c>
      <c r="S1137" s="12" t="n"/>
      <c r="T1137" s="13" t="n"/>
      <c r="U1137" s="14" t="n"/>
      <c r="V1137" s="12" t="n"/>
      <c r="W1137" s="13" t="n"/>
      <c r="X1137" s="14" t="n"/>
      <c r="Y1137" s="12" t="n"/>
      <c r="Z1137" s="13" t="n"/>
      <c r="AA1137" s="14" t="n"/>
      <c r="AB1137" s="12" t="n"/>
      <c r="AC1137" s="13" t="n"/>
      <c r="AD1137" s="14" t="n"/>
      <c r="AE1137" s="12" t="n"/>
      <c r="AF1137" s="13" t="n"/>
      <c r="AG1137" s="14" t="n"/>
      <c r="AH1137" s="12" t="n"/>
      <c r="AI1137" s="13" t="n"/>
      <c r="AJ1137" s="14" t="n"/>
      <c r="AK1137" s="12" t="n"/>
      <c r="AL1137" s="13" t="n"/>
      <c r="AM1137" s="14" t="n"/>
      <c r="AN1137" s="12" t="n"/>
      <c r="AO1137" s="13" t="n"/>
      <c r="AP1137" s="14" t="n"/>
      <c r="AQ1137" s="12" t="n"/>
      <c r="AR1137" s="13" t="n"/>
      <c r="AS1137" s="14" t="n"/>
      <c r="AT1137" s="12" t="n"/>
      <c r="AU1137" s="13" t="n"/>
      <c r="AV1137" s="14" t="n"/>
      <c r="AW1137" s="12" t="n"/>
      <c r="AX1137" s="13" t="n"/>
      <c r="AY1137" s="14" t="n"/>
      <c r="AZ1137" s="12" t="n"/>
      <c r="BA1137" s="13" t="n"/>
      <c r="BB1137" s="14" t="n"/>
      <c r="BC1137" s="11">
        <f>IF(O1137="","",IF(J1137="GST 10%",ROUND(O1137*set_GSTRate,2),0))</f>
        <v/>
      </c>
      <c r="BD1137" s="11">
        <f>IF(O1137="","",O1137+BC1137)</f>
        <v/>
      </c>
      <c r="BE1137" s="15">
        <f>IF(O1137="","",COUNTA(S1137,V1137,Y1137,AB1137,AE1137,AH1137,AK1137,AN1137,AQ1137,AT1137,AW1137,AZ1137))</f>
        <v/>
      </c>
      <c r="BF1137" s="16">
        <f>IF(COUNT(T1137,W1137,Z1137,AC1137,AF1137,AI1137,AL1137,AO1137,AR1137,AU1137,AX1137,BA1137)=0,"",MAX(T1137,W1137,Z1137,AC1137,AF1137,AI1137,AL1137,AO1137,AR1137,AU1137,AX1137,BA1137))</f>
        <v/>
      </c>
      <c r="BG1137" s="10">
        <f>MID(IF(S1137="","",", "&amp;S1137)&amp;IF(V1137="","",", "&amp;V1137)&amp;IF(Y1137="","",", "&amp;Y1137)&amp;IF(AB1137="","",", "&amp;AB1137)&amp;IF(AE1137="","",", "&amp;AE1137)&amp;IF(AH1137="","",", "&amp;AH1137)&amp;IF(AK1137="","",", "&amp;AK1137)&amp;IF(AN1137="","",", "&amp;AN1137)&amp;IF(AQ1137="","",", "&amp;AQ1137)&amp;IF(AT1137="","",", "&amp;AT1137)&amp;IF(AW1137="","",", "&amp;AW1137)&amp;IF(AZ1137="","",", "&amp;AZ1137),3,500)</f>
        <v/>
      </c>
      <c r="BH1137" s="12" t="n"/>
      <c r="BI1137" s="15">
        <f>IFERROR(MATCH($A1137,IF($B1137="Onsite",tbl_Onsite[Row ID],IF($B1137="Production",tbl_Production[Row ID],tbl_Consulting[Row ID])),0),"")</f>
        <v/>
      </c>
    </row>
    <row r="1138">
      <c r="A1138" s="10" t="inlineStr">
        <is>
          <t>CON-0132</t>
        </is>
      </c>
      <c r="B1138" s="10" t="inlineStr">
        <is>
          <t>Consulting</t>
        </is>
      </c>
      <c r="C1138" s="10">
        <f>IF($BI1138="","",IF($B1138="Onsite",INDEX(tbl_Onsite[Job Number],$BI1138),IF($B1138="Production",INDEX(tbl_Production[Job Number],$BI1138),INDEX(tbl_Consulting[Job Number],$BI1138)))&amp;"")</f>
        <v/>
      </c>
      <c r="D1138" s="10">
        <f>IF($BI1138="","",IF($B1138="Onsite",INDEX(tbl_Onsite[Client],$BI1138),IF($B1138="Production",INDEX(tbl_Production[Client],$BI1138),INDEX(tbl_Consulting[Client],$BI1138)))&amp;"")</f>
        <v/>
      </c>
      <c r="E1138" s="10">
        <f>IF($C1138="","",IF(COUNTIF(lst_Jobs,$C1138)&gt;0,"OK","CHECK"))</f>
        <v/>
      </c>
      <c r="F1138" s="10">
        <f>IF($C1138="","",IFERROR(INDEX(lst_JobName,MATCH($C1138,lst_Jobs,0)),""))</f>
        <v/>
      </c>
      <c r="G1138" s="10">
        <f>IF($BI1138="","",IF($B1138="Onsite",INDEX(tbl_Onsite[Job Description],$BI1138),IF($B1138="Production",INDEX(tbl_Production[Job Description],$BI1138),INDEX(tbl_Consulting[Job Description],$BI1138)))&amp;"")</f>
        <v/>
      </c>
      <c r="H1138" s="10">
        <f>IF($BI1138="","",IF($B1138="Onsite",INDEX(tbl_Onsite[Cost Centre],$BI1138),IF($B1138="Production",INDEX(tbl_Production[Cost Centre],$BI1138),INDEX(tbl_Consulting[Cost Centre],$BI1138)))&amp;"")</f>
        <v/>
      </c>
      <c r="I1138" s="10">
        <f>IF($BI1138="","",IF($B1138="Onsite",INDEX(tbl_Onsite[Invoice Type],$BI1138),IF($B1138="Production",INDEX(tbl_Production[Invoice Type],$BI1138),INDEX(tbl_Consulting[Invoice Type],$BI1138)))&amp;"")</f>
        <v/>
      </c>
      <c r="J1138" s="10">
        <f>IF($BI1138="","",IF($B1138="Onsite",INDEX(tbl_Onsite[Tax Code],$BI1138),IF($B1138="Production",INDEX(tbl_Production[Tax Code],$BI1138),INDEX(tbl_Consulting[Tax Code],$BI1138)))&amp;"")</f>
        <v/>
      </c>
      <c r="K1138" s="10">
        <f>IF(H1138="","",IFERROR(INDEX(lst_CCtoGL,MATCH(H1138,lst_CCforGL,0)),""))</f>
        <v/>
      </c>
      <c r="L1138" s="10">
        <f>IF($BI1138="","",IF($B1138="Onsite",INDEX(tbl_Onsite[PO / Reference],$BI1138),IF($B1138="Production",INDEX(tbl_Production[Current RMS No],$BI1138),INDEX(tbl_Consulting[Qwilr Quote],$BI1138)))&amp;"")</f>
        <v/>
      </c>
      <c r="M1138" s="10">
        <f>IF($BI1138="","",IF($B1138="Onsite",INDEX(tbl_Onsite[Notes],$BI1138),IF($B1138="Production",INDEX(tbl_Production[Notes],$BI1138),INDEX(tbl_Consulting[Notes],$BI1138)))&amp;"")</f>
        <v/>
      </c>
      <c r="N1138" s="11">
        <f>IF($BI1138="","",IF(IF($B1138="Onsite",INDEX(tbl_Onsite[Expected Revenue Ex GST],$BI1138),IF($B1138="Production",INDEX(tbl_Production[Expected Revenue Ex GST],$BI1138),INDEX(tbl_Consulting[Expected Revenue Ex GST],$BI1138)))="","",IF($B1138="Onsite",INDEX(tbl_Onsite[Expected Revenue Ex GST],$BI1138),IF($B1138="Production",INDEX(tbl_Production[Expected Revenue Ex GST],$BI1138),INDEX(tbl_Consulting[Expected Revenue Ex GST],$BI1138)))))</f>
        <v/>
      </c>
      <c r="O1138" s="11">
        <f>IF(AND($C1138="",NOT(COUNTA($S1138:$BB1138)&gt;0)),"",SUM(U1138,X1138,AA1138,AD1138,AG1138,AJ1138,AM1138,AP1138,AS1138,AV1138,AY1138,BB1138))</f>
        <v/>
      </c>
      <c r="P1138" s="11">
        <f>IF(O1138="","",N(N1138)-O1138)</f>
        <v/>
      </c>
      <c r="Q1138" s="10">
        <f>IF(O1138="","",IF($C1138="","Invoice on empty job row",IF(N1138="",IF(ROUND(O1138,2)=0,"No dept value","Invoiced - no dept value"),IF(ROUND(O1138,2)=0,"Not invoiced - to invoice",IF(ROUND(P1138,2)=0,"Agrees",IF(P1138&gt;0,"Dept higher - to invoice","Xero higher - check dept"))))))</f>
        <v/>
      </c>
      <c r="R1138" s="10">
        <f>IF(AND($C1138="",NOT(COUNTA($S1138:$BB1138)&gt;0),$BI1138&lt;&gt;""),"",MID(IF($BI1138="","; Row ID not found on the department sheet - a row was deleted","")&amp;IF(AND($C1138="",COUNTA($S1138:$BB1138)&gt;0),"; Invoice entered but the department row has no job number","")&amp;IF(E1138="CHECK","; Job number not in the Xero job list","")&amp;IF(AND($C1138&lt;&gt;"",COUNTIF($C$7:$C$1506,$C1138)&gt;1),"; Job number on more than one row","")&amp;IF(AND($C1138&lt;&gt;"",H1138=""),"; Dept has not set a cost centre","")&amp;IF(AND($C1138&lt;&gt;"",J1138=""),"; Dept has not set a tax code","")&amp;IF(AND($C1138&lt;&gt;"",N1138=""),"; Dept has not entered an expected value","")&amp;IF((IF(OR(COUNTA(S1138:U1138)=0,AND(COUNTA(S1138:U1138)=3,ISNUMBER(U1138))),0,1)+IF(OR(COUNTA(V1138:X1138)=0,AND(COUNTA(V1138:X1138)=3,ISNUMBER(X1138))),0,1)+IF(OR(COUNTA(Y1138:AA1138)=0,AND(COUNTA(Y1138:AA1138)=3,ISNUMBER(AA1138))),0,1)+IF(OR(COUNTA(AB1138:AD1138)=0,AND(COUNTA(AB1138:AD1138)=3,ISNUMBER(AD1138))),0,1)+IF(OR(COUNTA(AE1138:AG1138)=0,AND(COUNTA(AE1138:AG1138)=3,ISNUMBER(AG1138))),0,1)+IF(OR(COUNTA(AH1138:AJ1138)=0,AND(COUNTA(AH1138:AJ1138)=3,ISNUMBER(AJ1138))),0,1)+IF(OR(COUNTA(AK1138:AM1138)=0,AND(COUNTA(AK1138:AM1138)=3,ISNUMBER(AM1138))),0,1)+IF(OR(COUNTA(AN1138:AP1138)=0,AND(COUNTA(AN1138:AP1138)=3,ISNUMBER(AP1138))),0,1)+IF(OR(COUNTA(AQ1138:AS1138)=0,AND(COUNTA(AQ1138:AS1138)=3,ISNUMBER(AS1138))),0,1)+IF(OR(COUNTA(AT1138:AV1138)=0,AND(COUNTA(AT1138:AV1138)=3,ISNUMBER(AV1138))),0,1)+IF(OR(COUNTA(AW1138:AY1138)=0,AND(COUNTA(AW1138:AY1138)=3,ISNUMBER(AY1138))),0,1)+IF(OR(COUNTA(AZ1138:BB1138)=0,AND(COUNTA(AZ1138:BB1138)=3,ISNUMBER(BB1138))),0,1))&gt;0,"; An invoice is incomplete (needs No, Date and a number in Ex GST)","")&amp;IF((IF(T1138="",0,IFERROR(--(EOMONTH(T1138,0)&lt;&gt;S$5),1))+IF(W1138="",0,IFERROR(--(EOMONTH(W1138,0)&lt;&gt;V$5),1))+IF(Z1138="",0,IFERROR(--(EOMONTH(Z1138,0)&lt;&gt;Y$5),1))+IF(AC1138="",0,IFERROR(--(EOMONTH(AC1138,0)&lt;&gt;AB$5),1))+IF(AF1138="",0,IFERROR(--(EOMONTH(AF1138,0)&lt;&gt;AE$5),1))+IF(AI1138="",0,IFERROR(--(EOMONTH(AI1138,0)&lt;&gt;AH$5),1))+IF(AL1138="",0,IFERROR(--(EOMONTH(AL1138,0)&lt;&gt;AK$5),1))+IF(AO1138="",0,IFERROR(--(EOMONTH(AO1138,0)&lt;&gt;AN$5),1))+IF(AR1138="",0,IFERROR(--(EOMONTH(AR1138,0)&lt;&gt;AQ$5),1))+IF(AU1138="",0,IFERROR(--(EOMONTH(AU1138,0)&lt;&gt;AT$5),1))+IF(AX1138="",0,IFERROR(--(EOMONTH(AX1138,0)&lt;&gt;AW$5),1))+IF(BA1138="",0,IFERROR(--(EOMONTH(BA1138,0)&lt;&gt;AZ$5),1)))&gt;0,"; An invoice date is not in the month it is typed under",""),3,500))</f>
        <v/>
      </c>
      <c r="S1138" s="12" t="n"/>
      <c r="T1138" s="13" t="n"/>
      <c r="U1138" s="14" t="n"/>
      <c r="V1138" s="12" t="n"/>
      <c r="W1138" s="13" t="n"/>
      <c r="X1138" s="14" t="n"/>
      <c r="Y1138" s="12" t="n"/>
      <c r="Z1138" s="13" t="n"/>
      <c r="AA1138" s="14" t="n"/>
      <c r="AB1138" s="12" t="n"/>
      <c r="AC1138" s="13" t="n"/>
      <c r="AD1138" s="14" t="n"/>
      <c r="AE1138" s="12" t="n"/>
      <c r="AF1138" s="13" t="n"/>
      <c r="AG1138" s="14" t="n"/>
      <c r="AH1138" s="12" t="n"/>
      <c r="AI1138" s="13" t="n"/>
      <c r="AJ1138" s="14" t="n"/>
      <c r="AK1138" s="12" t="n"/>
      <c r="AL1138" s="13" t="n"/>
      <c r="AM1138" s="14" t="n"/>
      <c r="AN1138" s="12" t="n"/>
      <c r="AO1138" s="13" t="n"/>
      <c r="AP1138" s="14" t="n"/>
      <c r="AQ1138" s="12" t="n"/>
      <c r="AR1138" s="13" t="n"/>
      <c r="AS1138" s="14" t="n"/>
      <c r="AT1138" s="12" t="n"/>
      <c r="AU1138" s="13" t="n"/>
      <c r="AV1138" s="14" t="n"/>
      <c r="AW1138" s="12" t="n"/>
      <c r="AX1138" s="13" t="n"/>
      <c r="AY1138" s="14" t="n"/>
      <c r="AZ1138" s="12" t="n"/>
      <c r="BA1138" s="13" t="n"/>
      <c r="BB1138" s="14" t="n"/>
      <c r="BC1138" s="11">
        <f>IF(O1138="","",IF(J1138="GST 10%",ROUND(O1138*set_GSTRate,2),0))</f>
        <v/>
      </c>
      <c r="BD1138" s="11">
        <f>IF(O1138="","",O1138+BC1138)</f>
        <v/>
      </c>
      <c r="BE1138" s="15">
        <f>IF(O1138="","",COUNTA(S1138,V1138,Y1138,AB1138,AE1138,AH1138,AK1138,AN1138,AQ1138,AT1138,AW1138,AZ1138))</f>
        <v/>
      </c>
      <c r="BF1138" s="16">
        <f>IF(COUNT(T1138,W1138,Z1138,AC1138,AF1138,AI1138,AL1138,AO1138,AR1138,AU1138,AX1138,BA1138)=0,"",MAX(T1138,W1138,Z1138,AC1138,AF1138,AI1138,AL1138,AO1138,AR1138,AU1138,AX1138,BA1138))</f>
        <v/>
      </c>
      <c r="BG1138" s="10">
        <f>MID(IF(S1138="","",", "&amp;S1138)&amp;IF(V1138="","",", "&amp;V1138)&amp;IF(Y1138="","",", "&amp;Y1138)&amp;IF(AB1138="","",", "&amp;AB1138)&amp;IF(AE1138="","",", "&amp;AE1138)&amp;IF(AH1138="","",", "&amp;AH1138)&amp;IF(AK1138="","",", "&amp;AK1138)&amp;IF(AN1138="","",", "&amp;AN1138)&amp;IF(AQ1138="","",", "&amp;AQ1138)&amp;IF(AT1138="","",", "&amp;AT1138)&amp;IF(AW1138="","",", "&amp;AW1138)&amp;IF(AZ1138="","",", "&amp;AZ1138),3,500)</f>
        <v/>
      </c>
      <c r="BH1138" s="12" t="n"/>
      <c r="BI1138" s="15">
        <f>IFERROR(MATCH($A1138,IF($B1138="Onsite",tbl_Onsite[Row ID],IF($B1138="Production",tbl_Production[Row ID],tbl_Consulting[Row ID])),0),"")</f>
        <v/>
      </c>
    </row>
    <row r="1139">
      <c r="A1139" s="10" t="inlineStr">
        <is>
          <t>CON-0133</t>
        </is>
      </c>
      <c r="B1139" s="10" t="inlineStr">
        <is>
          <t>Consulting</t>
        </is>
      </c>
      <c r="C1139" s="10">
        <f>IF($BI1139="","",IF($B1139="Onsite",INDEX(tbl_Onsite[Job Number],$BI1139),IF($B1139="Production",INDEX(tbl_Production[Job Number],$BI1139),INDEX(tbl_Consulting[Job Number],$BI1139)))&amp;"")</f>
        <v/>
      </c>
      <c r="D1139" s="10">
        <f>IF($BI1139="","",IF($B1139="Onsite",INDEX(tbl_Onsite[Client],$BI1139),IF($B1139="Production",INDEX(tbl_Production[Client],$BI1139),INDEX(tbl_Consulting[Client],$BI1139)))&amp;"")</f>
        <v/>
      </c>
      <c r="E1139" s="10">
        <f>IF($C1139="","",IF(COUNTIF(lst_Jobs,$C1139)&gt;0,"OK","CHECK"))</f>
        <v/>
      </c>
      <c r="F1139" s="10">
        <f>IF($C1139="","",IFERROR(INDEX(lst_JobName,MATCH($C1139,lst_Jobs,0)),""))</f>
        <v/>
      </c>
      <c r="G1139" s="10">
        <f>IF($BI1139="","",IF($B1139="Onsite",INDEX(tbl_Onsite[Job Description],$BI1139),IF($B1139="Production",INDEX(tbl_Production[Job Description],$BI1139),INDEX(tbl_Consulting[Job Description],$BI1139)))&amp;"")</f>
        <v/>
      </c>
      <c r="H1139" s="10">
        <f>IF($BI1139="","",IF($B1139="Onsite",INDEX(tbl_Onsite[Cost Centre],$BI1139),IF($B1139="Production",INDEX(tbl_Production[Cost Centre],$BI1139),INDEX(tbl_Consulting[Cost Centre],$BI1139)))&amp;"")</f>
        <v/>
      </c>
      <c r="I1139" s="10">
        <f>IF($BI1139="","",IF($B1139="Onsite",INDEX(tbl_Onsite[Invoice Type],$BI1139),IF($B1139="Production",INDEX(tbl_Production[Invoice Type],$BI1139),INDEX(tbl_Consulting[Invoice Type],$BI1139)))&amp;"")</f>
        <v/>
      </c>
      <c r="J1139" s="10">
        <f>IF($BI1139="","",IF($B1139="Onsite",INDEX(tbl_Onsite[Tax Code],$BI1139),IF($B1139="Production",INDEX(tbl_Production[Tax Code],$BI1139),INDEX(tbl_Consulting[Tax Code],$BI1139)))&amp;"")</f>
        <v/>
      </c>
      <c r="K1139" s="10">
        <f>IF(H1139="","",IFERROR(INDEX(lst_CCtoGL,MATCH(H1139,lst_CCforGL,0)),""))</f>
        <v/>
      </c>
      <c r="L1139" s="10">
        <f>IF($BI1139="","",IF($B1139="Onsite",INDEX(tbl_Onsite[PO / Reference],$BI1139),IF($B1139="Production",INDEX(tbl_Production[Current RMS No],$BI1139),INDEX(tbl_Consulting[Qwilr Quote],$BI1139)))&amp;"")</f>
        <v/>
      </c>
      <c r="M1139" s="10">
        <f>IF($BI1139="","",IF($B1139="Onsite",INDEX(tbl_Onsite[Notes],$BI1139),IF($B1139="Production",INDEX(tbl_Production[Notes],$BI1139),INDEX(tbl_Consulting[Notes],$BI1139)))&amp;"")</f>
        <v/>
      </c>
      <c r="N1139" s="11">
        <f>IF($BI1139="","",IF(IF($B1139="Onsite",INDEX(tbl_Onsite[Expected Revenue Ex GST],$BI1139),IF($B1139="Production",INDEX(tbl_Production[Expected Revenue Ex GST],$BI1139),INDEX(tbl_Consulting[Expected Revenue Ex GST],$BI1139)))="","",IF($B1139="Onsite",INDEX(tbl_Onsite[Expected Revenue Ex GST],$BI1139),IF($B1139="Production",INDEX(tbl_Production[Expected Revenue Ex GST],$BI1139),INDEX(tbl_Consulting[Expected Revenue Ex GST],$BI1139)))))</f>
        <v/>
      </c>
      <c r="O1139" s="11">
        <f>IF(AND($C1139="",NOT(COUNTA($S1139:$BB1139)&gt;0)),"",SUM(U1139,X1139,AA1139,AD1139,AG1139,AJ1139,AM1139,AP1139,AS1139,AV1139,AY1139,BB1139))</f>
        <v/>
      </c>
      <c r="P1139" s="11">
        <f>IF(O1139="","",N(N1139)-O1139)</f>
        <v/>
      </c>
      <c r="Q1139" s="10">
        <f>IF(O1139="","",IF($C1139="","Invoice on empty job row",IF(N1139="",IF(ROUND(O1139,2)=0,"No dept value","Invoiced - no dept value"),IF(ROUND(O1139,2)=0,"Not invoiced - to invoice",IF(ROUND(P1139,2)=0,"Agrees",IF(P1139&gt;0,"Dept higher - to invoice","Xero higher - check dept"))))))</f>
        <v/>
      </c>
      <c r="R1139" s="10">
        <f>IF(AND($C1139="",NOT(COUNTA($S1139:$BB1139)&gt;0),$BI1139&lt;&gt;""),"",MID(IF($BI1139="","; Row ID not found on the department sheet - a row was deleted","")&amp;IF(AND($C1139="",COUNTA($S1139:$BB1139)&gt;0),"; Invoice entered but the department row has no job number","")&amp;IF(E1139="CHECK","; Job number not in the Xero job list","")&amp;IF(AND($C1139&lt;&gt;"",COUNTIF($C$7:$C$1506,$C1139)&gt;1),"; Job number on more than one row","")&amp;IF(AND($C1139&lt;&gt;"",H1139=""),"; Dept has not set a cost centre","")&amp;IF(AND($C1139&lt;&gt;"",J1139=""),"; Dept has not set a tax code","")&amp;IF(AND($C1139&lt;&gt;"",N1139=""),"; Dept has not entered an expected value","")&amp;IF((IF(OR(COUNTA(S1139:U1139)=0,AND(COUNTA(S1139:U1139)=3,ISNUMBER(U1139))),0,1)+IF(OR(COUNTA(V1139:X1139)=0,AND(COUNTA(V1139:X1139)=3,ISNUMBER(X1139))),0,1)+IF(OR(COUNTA(Y1139:AA1139)=0,AND(COUNTA(Y1139:AA1139)=3,ISNUMBER(AA1139))),0,1)+IF(OR(COUNTA(AB1139:AD1139)=0,AND(COUNTA(AB1139:AD1139)=3,ISNUMBER(AD1139))),0,1)+IF(OR(COUNTA(AE1139:AG1139)=0,AND(COUNTA(AE1139:AG1139)=3,ISNUMBER(AG1139))),0,1)+IF(OR(COUNTA(AH1139:AJ1139)=0,AND(COUNTA(AH1139:AJ1139)=3,ISNUMBER(AJ1139))),0,1)+IF(OR(COUNTA(AK1139:AM1139)=0,AND(COUNTA(AK1139:AM1139)=3,ISNUMBER(AM1139))),0,1)+IF(OR(COUNTA(AN1139:AP1139)=0,AND(COUNTA(AN1139:AP1139)=3,ISNUMBER(AP1139))),0,1)+IF(OR(COUNTA(AQ1139:AS1139)=0,AND(COUNTA(AQ1139:AS1139)=3,ISNUMBER(AS1139))),0,1)+IF(OR(COUNTA(AT1139:AV1139)=0,AND(COUNTA(AT1139:AV1139)=3,ISNUMBER(AV1139))),0,1)+IF(OR(COUNTA(AW1139:AY1139)=0,AND(COUNTA(AW1139:AY1139)=3,ISNUMBER(AY1139))),0,1)+IF(OR(COUNTA(AZ1139:BB1139)=0,AND(COUNTA(AZ1139:BB1139)=3,ISNUMBER(BB1139))),0,1))&gt;0,"; An invoice is incomplete (needs No, Date and a number in Ex GST)","")&amp;IF((IF(T1139="",0,IFERROR(--(EOMONTH(T1139,0)&lt;&gt;S$5),1))+IF(W1139="",0,IFERROR(--(EOMONTH(W1139,0)&lt;&gt;V$5),1))+IF(Z1139="",0,IFERROR(--(EOMONTH(Z1139,0)&lt;&gt;Y$5),1))+IF(AC1139="",0,IFERROR(--(EOMONTH(AC1139,0)&lt;&gt;AB$5),1))+IF(AF1139="",0,IFERROR(--(EOMONTH(AF1139,0)&lt;&gt;AE$5),1))+IF(AI1139="",0,IFERROR(--(EOMONTH(AI1139,0)&lt;&gt;AH$5),1))+IF(AL1139="",0,IFERROR(--(EOMONTH(AL1139,0)&lt;&gt;AK$5),1))+IF(AO1139="",0,IFERROR(--(EOMONTH(AO1139,0)&lt;&gt;AN$5),1))+IF(AR1139="",0,IFERROR(--(EOMONTH(AR1139,0)&lt;&gt;AQ$5),1))+IF(AU1139="",0,IFERROR(--(EOMONTH(AU1139,0)&lt;&gt;AT$5),1))+IF(AX1139="",0,IFERROR(--(EOMONTH(AX1139,0)&lt;&gt;AW$5),1))+IF(BA1139="",0,IFERROR(--(EOMONTH(BA1139,0)&lt;&gt;AZ$5),1)))&gt;0,"; An invoice date is not in the month it is typed under",""),3,500))</f>
        <v/>
      </c>
      <c r="S1139" s="12" t="n"/>
      <c r="T1139" s="13" t="n"/>
      <c r="U1139" s="14" t="n"/>
      <c r="V1139" s="12" t="n"/>
      <c r="W1139" s="13" t="n"/>
      <c r="X1139" s="14" t="n"/>
      <c r="Y1139" s="12" t="n"/>
      <c r="Z1139" s="13" t="n"/>
      <c r="AA1139" s="14" t="n"/>
      <c r="AB1139" s="12" t="n"/>
      <c r="AC1139" s="13" t="n"/>
      <c r="AD1139" s="14" t="n"/>
      <c r="AE1139" s="12" t="n"/>
      <c r="AF1139" s="13" t="n"/>
      <c r="AG1139" s="14" t="n"/>
      <c r="AH1139" s="12" t="n"/>
      <c r="AI1139" s="13" t="n"/>
      <c r="AJ1139" s="14" t="n"/>
      <c r="AK1139" s="12" t="n"/>
      <c r="AL1139" s="13" t="n"/>
      <c r="AM1139" s="14" t="n"/>
      <c r="AN1139" s="12" t="n"/>
      <c r="AO1139" s="13" t="n"/>
      <c r="AP1139" s="14" t="n"/>
      <c r="AQ1139" s="12" t="n"/>
      <c r="AR1139" s="13" t="n"/>
      <c r="AS1139" s="14" t="n"/>
      <c r="AT1139" s="12" t="n"/>
      <c r="AU1139" s="13" t="n"/>
      <c r="AV1139" s="14" t="n"/>
      <c r="AW1139" s="12" t="n"/>
      <c r="AX1139" s="13" t="n"/>
      <c r="AY1139" s="14" t="n"/>
      <c r="AZ1139" s="12" t="n"/>
      <c r="BA1139" s="13" t="n"/>
      <c r="BB1139" s="14" t="n"/>
      <c r="BC1139" s="11">
        <f>IF(O1139="","",IF(J1139="GST 10%",ROUND(O1139*set_GSTRate,2),0))</f>
        <v/>
      </c>
      <c r="BD1139" s="11">
        <f>IF(O1139="","",O1139+BC1139)</f>
        <v/>
      </c>
      <c r="BE1139" s="15">
        <f>IF(O1139="","",COUNTA(S1139,V1139,Y1139,AB1139,AE1139,AH1139,AK1139,AN1139,AQ1139,AT1139,AW1139,AZ1139))</f>
        <v/>
      </c>
      <c r="BF1139" s="16">
        <f>IF(COUNT(T1139,W1139,Z1139,AC1139,AF1139,AI1139,AL1139,AO1139,AR1139,AU1139,AX1139,BA1139)=0,"",MAX(T1139,W1139,Z1139,AC1139,AF1139,AI1139,AL1139,AO1139,AR1139,AU1139,AX1139,BA1139))</f>
        <v/>
      </c>
      <c r="BG1139" s="10">
        <f>MID(IF(S1139="","",", "&amp;S1139)&amp;IF(V1139="","",", "&amp;V1139)&amp;IF(Y1139="","",", "&amp;Y1139)&amp;IF(AB1139="","",", "&amp;AB1139)&amp;IF(AE1139="","",", "&amp;AE1139)&amp;IF(AH1139="","",", "&amp;AH1139)&amp;IF(AK1139="","",", "&amp;AK1139)&amp;IF(AN1139="","",", "&amp;AN1139)&amp;IF(AQ1139="","",", "&amp;AQ1139)&amp;IF(AT1139="","",", "&amp;AT1139)&amp;IF(AW1139="","",", "&amp;AW1139)&amp;IF(AZ1139="","",", "&amp;AZ1139),3,500)</f>
        <v/>
      </c>
      <c r="BH1139" s="12" t="n"/>
      <c r="BI1139" s="15">
        <f>IFERROR(MATCH($A1139,IF($B1139="Onsite",tbl_Onsite[Row ID],IF($B1139="Production",tbl_Production[Row ID],tbl_Consulting[Row ID])),0),"")</f>
        <v/>
      </c>
    </row>
    <row r="1140">
      <c r="A1140" s="10" t="inlineStr">
        <is>
          <t>CON-0134</t>
        </is>
      </c>
      <c r="B1140" s="10" t="inlineStr">
        <is>
          <t>Consulting</t>
        </is>
      </c>
      <c r="C1140" s="10">
        <f>IF($BI1140="","",IF($B1140="Onsite",INDEX(tbl_Onsite[Job Number],$BI1140),IF($B1140="Production",INDEX(tbl_Production[Job Number],$BI1140),INDEX(tbl_Consulting[Job Number],$BI1140)))&amp;"")</f>
        <v/>
      </c>
      <c r="D1140" s="10">
        <f>IF($BI1140="","",IF($B1140="Onsite",INDEX(tbl_Onsite[Client],$BI1140),IF($B1140="Production",INDEX(tbl_Production[Client],$BI1140),INDEX(tbl_Consulting[Client],$BI1140)))&amp;"")</f>
        <v/>
      </c>
      <c r="E1140" s="10">
        <f>IF($C1140="","",IF(COUNTIF(lst_Jobs,$C1140)&gt;0,"OK","CHECK"))</f>
        <v/>
      </c>
      <c r="F1140" s="10">
        <f>IF($C1140="","",IFERROR(INDEX(lst_JobName,MATCH($C1140,lst_Jobs,0)),""))</f>
        <v/>
      </c>
      <c r="G1140" s="10">
        <f>IF($BI1140="","",IF($B1140="Onsite",INDEX(tbl_Onsite[Job Description],$BI1140),IF($B1140="Production",INDEX(tbl_Production[Job Description],$BI1140),INDEX(tbl_Consulting[Job Description],$BI1140)))&amp;"")</f>
        <v/>
      </c>
      <c r="H1140" s="10">
        <f>IF($BI1140="","",IF($B1140="Onsite",INDEX(tbl_Onsite[Cost Centre],$BI1140),IF($B1140="Production",INDEX(tbl_Production[Cost Centre],$BI1140),INDEX(tbl_Consulting[Cost Centre],$BI1140)))&amp;"")</f>
        <v/>
      </c>
      <c r="I1140" s="10">
        <f>IF($BI1140="","",IF($B1140="Onsite",INDEX(tbl_Onsite[Invoice Type],$BI1140),IF($B1140="Production",INDEX(tbl_Production[Invoice Type],$BI1140),INDEX(tbl_Consulting[Invoice Type],$BI1140)))&amp;"")</f>
        <v/>
      </c>
      <c r="J1140" s="10">
        <f>IF($BI1140="","",IF($B1140="Onsite",INDEX(tbl_Onsite[Tax Code],$BI1140),IF($B1140="Production",INDEX(tbl_Production[Tax Code],$BI1140),INDEX(tbl_Consulting[Tax Code],$BI1140)))&amp;"")</f>
        <v/>
      </c>
      <c r="K1140" s="10">
        <f>IF(H1140="","",IFERROR(INDEX(lst_CCtoGL,MATCH(H1140,lst_CCforGL,0)),""))</f>
        <v/>
      </c>
      <c r="L1140" s="10">
        <f>IF($BI1140="","",IF($B1140="Onsite",INDEX(tbl_Onsite[PO / Reference],$BI1140),IF($B1140="Production",INDEX(tbl_Production[Current RMS No],$BI1140),INDEX(tbl_Consulting[Qwilr Quote],$BI1140)))&amp;"")</f>
        <v/>
      </c>
      <c r="M1140" s="10">
        <f>IF($BI1140="","",IF($B1140="Onsite",INDEX(tbl_Onsite[Notes],$BI1140),IF($B1140="Production",INDEX(tbl_Production[Notes],$BI1140),INDEX(tbl_Consulting[Notes],$BI1140)))&amp;"")</f>
        <v/>
      </c>
      <c r="N1140" s="11">
        <f>IF($BI1140="","",IF(IF($B1140="Onsite",INDEX(tbl_Onsite[Expected Revenue Ex GST],$BI1140),IF($B1140="Production",INDEX(tbl_Production[Expected Revenue Ex GST],$BI1140),INDEX(tbl_Consulting[Expected Revenue Ex GST],$BI1140)))="","",IF($B1140="Onsite",INDEX(tbl_Onsite[Expected Revenue Ex GST],$BI1140),IF($B1140="Production",INDEX(tbl_Production[Expected Revenue Ex GST],$BI1140),INDEX(tbl_Consulting[Expected Revenue Ex GST],$BI1140)))))</f>
        <v/>
      </c>
      <c r="O1140" s="11">
        <f>IF(AND($C1140="",NOT(COUNTA($S1140:$BB1140)&gt;0)),"",SUM(U1140,X1140,AA1140,AD1140,AG1140,AJ1140,AM1140,AP1140,AS1140,AV1140,AY1140,BB1140))</f>
        <v/>
      </c>
      <c r="P1140" s="11">
        <f>IF(O1140="","",N(N1140)-O1140)</f>
        <v/>
      </c>
      <c r="Q1140" s="10">
        <f>IF(O1140="","",IF($C1140="","Invoice on empty job row",IF(N1140="",IF(ROUND(O1140,2)=0,"No dept value","Invoiced - no dept value"),IF(ROUND(O1140,2)=0,"Not invoiced - to invoice",IF(ROUND(P1140,2)=0,"Agrees",IF(P1140&gt;0,"Dept higher - to invoice","Xero higher - check dept"))))))</f>
        <v/>
      </c>
      <c r="R1140" s="10">
        <f>IF(AND($C1140="",NOT(COUNTA($S1140:$BB1140)&gt;0),$BI1140&lt;&gt;""),"",MID(IF($BI1140="","; Row ID not found on the department sheet - a row was deleted","")&amp;IF(AND($C1140="",COUNTA($S1140:$BB1140)&gt;0),"; Invoice entered but the department row has no job number","")&amp;IF(E1140="CHECK","; Job number not in the Xero job list","")&amp;IF(AND($C1140&lt;&gt;"",COUNTIF($C$7:$C$1506,$C1140)&gt;1),"; Job number on more than one row","")&amp;IF(AND($C1140&lt;&gt;"",H1140=""),"; Dept has not set a cost centre","")&amp;IF(AND($C1140&lt;&gt;"",J1140=""),"; Dept has not set a tax code","")&amp;IF(AND($C1140&lt;&gt;"",N1140=""),"; Dept has not entered an expected value","")&amp;IF((IF(OR(COUNTA(S1140:U1140)=0,AND(COUNTA(S1140:U1140)=3,ISNUMBER(U1140))),0,1)+IF(OR(COUNTA(V1140:X1140)=0,AND(COUNTA(V1140:X1140)=3,ISNUMBER(X1140))),0,1)+IF(OR(COUNTA(Y1140:AA1140)=0,AND(COUNTA(Y1140:AA1140)=3,ISNUMBER(AA1140))),0,1)+IF(OR(COUNTA(AB1140:AD1140)=0,AND(COUNTA(AB1140:AD1140)=3,ISNUMBER(AD1140))),0,1)+IF(OR(COUNTA(AE1140:AG1140)=0,AND(COUNTA(AE1140:AG1140)=3,ISNUMBER(AG1140))),0,1)+IF(OR(COUNTA(AH1140:AJ1140)=0,AND(COUNTA(AH1140:AJ1140)=3,ISNUMBER(AJ1140))),0,1)+IF(OR(COUNTA(AK1140:AM1140)=0,AND(COUNTA(AK1140:AM1140)=3,ISNUMBER(AM1140))),0,1)+IF(OR(COUNTA(AN1140:AP1140)=0,AND(COUNTA(AN1140:AP1140)=3,ISNUMBER(AP1140))),0,1)+IF(OR(COUNTA(AQ1140:AS1140)=0,AND(COUNTA(AQ1140:AS1140)=3,ISNUMBER(AS1140))),0,1)+IF(OR(COUNTA(AT1140:AV1140)=0,AND(COUNTA(AT1140:AV1140)=3,ISNUMBER(AV1140))),0,1)+IF(OR(COUNTA(AW1140:AY1140)=0,AND(COUNTA(AW1140:AY1140)=3,ISNUMBER(AY1140))),0,1)+IF(OR(COUNTA(AZ1140:BB1140)=0,AND(COUNTA(AZ1140:BB1140)=3,ISNUMBER(BB1140))),0,1))&gt;0,"; An invoice is incomplete (needs No, Date and a number in Ex GST)","")&amp;IF((IF(T1140="",0,IFERROR(--(EOMONTH(T1140,0)&lt;&gt;S$5),1))+IF(W1140="",0,IFERROR(--(EOMONTH(W1140,0)&lt;&gt;V$5),1))+IF(Z1140="",0,IFERROR(--(EOMONTH(Z1140,0)&lt;&gt;Y$5),1))+IF(AC1140="",0,IFERROR(--(EOMONTH(AC1140,0)&lt;&gt;AB$5),1))+IF(AF1140="",0,IFERROR(--(EOMONTH(AF1140,0)&lt;&gt;AE$5),1))+IF(AI1140="",0,IFERROR(--(EOMONTH(AI1140,0)&lt;&gt;AH$5),1))+IF(AL1140="",0,IFERROR(--(EOMONTH(AL1140,0)&lt;&gt;AK$5),1))+IF(AO1140="",0,IFERROR(--(EOMONTH(AO1140,0)&lt;&gt;AN$5),1))+IF(AR1140="",0,IFERROR(--(EOMONTH(AR1140,0)&lt;&gt;AQ$5),1))+IF(AU1140="",0,IFERROR(--(EOMONTH(AU1140,0)&lt;&gt;AT$5),1))+IF(AX1140="",0,IFERROR(--(EOMONTH(AX1140,0)&lt;&gt;AW$5),1))+IF(BA1140="",0,IFERROR(--(EOMONTH(BA1140,0)&lt;&gt;AZ$5),1)))&gt;0,"; An invoice date is not in the month it is typed under",""),3,500))</f>
        <v/>
      </c>
      <c r="S1140" s="12" t="n"/>
      <c r="T1140" s="13" t="n"/>
      <c r="U1140" s="14" t="n"/>
      <c r="V1140" s="12" t="n"/>
      <c r="W1140" s="13" t="n"/>
      <c r="X1140" s="14" t="n"/>
      <c r="Y1140" s="12" t="n"/>
      <c r="Z1140" s="13" t="n"/>
      <c r="AA1140" s="14" t="n"/>
      <c r="AB1140" s="12" t="n"/>
      <c r="AC1140" s="13" t="n"/>
      <c r="AD1140" s="14" t="n"/>
      <c r="AE1140" s="12" t="n"/>
      <c r="AF1140" s="13" t="n"/>
      <c r="AG1140" s="14" t="n"/>
      <c r="AH1140" s="12" t="n"/>
      <c r="AI1140" s="13" t="n"/>
      <c r="AJ1140" s="14" t="n"/>
      <c r="AK1140" s="12" t="n"/>
      <c r="AL1140" s="13" t="n"/>
      <c r="AM1140" s="14" t="n"/>
      <c r="AN1140" s="12" t="n"/>
      <c r="AO1140" s="13" t="n"/>
      <c r="AP1140" s="14" t="n"/>
      <c r="AQ1140" s="12" t="n"/>
      <c r="AR1140" s="13" t="n"/>
      <c r="AS1140" s="14" t="n"/>
      <c r="AT1140" s="12" t="n"/>
      <c r="AU1140" s="13" t="n"/>
      <c r="AV1140" s="14" t="n"/>
      <c r="AW1140" s="12" t="n"/>
      <c r="AX1140" s="13" t="n"/>
      <c r="AY1140" s="14" t="n"/>
      <c r="AZ1140" s="12" t="n"/>
      <c r="BA1140" s="13" t="n"/>
      <c r="BB1140" s="14" t="n"/>
      <c r="BC1140" s="11">
        <f>IF(O1140="","",IF(J1140="GST 10%",ROUND(O1140*set_GSTRate,2),0))</f>
        <v/>
      </c>
      <c r="BD1140" s="11">
        <f>IF(O1140="","",O1140+BC1140)</f>
        <v/>
      </c>
      <c r="BE1140" s="15">
        <f>IF(O1140="","",COUNTA(S1140,V1140,Y1140,AB1140,AE1140,AH1140,AK1140,AN1140,AQ1140,AT1140,AW1140,AZ1140))</f>
        <v/>
      </c>
      <c r="BF1140" s="16">
        <f>IF(COUNT(T1140,W1140,Z1140,AC1140,AF1140,AI1140,AL1140,AO1140,AR1140,AU1140,AX1140,BA1140)=0,"",MAX(T1140,W1140,Z1140,AC1140,AF1140,AI1140,AL1140,AO1140,AR1140,AU1140,AX1140,BA1140))</f>
        <v/>
      </c>
      <c r="BG1140" s="10">
        <f>MID(IF(S1140="","",", "&amp;S1140)&amp;IF(V1140="","",", "&amp;V1140)&amp;IF(Y1140="","",", "&amp;Y1140)&amp;IF(AB1140="","",", "&amp;AB1140)&amp;IF(AE1140="","",", "&amp;AE1140)&amp;IF(AH1140="","",", "&amp;AH1140)&amp;IF(AK1140="","",", "&amp;AK1140)&amp;IF(AN1140="","",", "&amp;AN1140)&amp;IF(AQ1140="","",", "&amp;AQ1140)&amp;IF(AT1140="","",", "&amp;AT1140)&amp;IF(AW1140="","",", "&amp;AW1140)&amp;IF(AZ1140="","",", "&amp;AZ1140),3,500)</f>
        <v/>
      </c>
      <c r="BH1140" s="12" t="n"/>
      <c r="BI1140" s="15">
        <f>IFERROR(MATCH($A1140,IF($B1140="Onsite",tbl_Onsite[Row ID],IF($B1140="Production",tbl_Production[Row ID],tbl_Consulting[Row ID])),0),"")</f>
        <v/>
      </c>
    </row>
    <row r="1141">
      <c r="A1141" s="10" t="inlineStr">
        <is>
          <t>CON-0135</t>
        </is>
      </c>
      <c r="B1141" s="10" t="inlineStr">
        <is>
          <t>Consulting</t>
        </is>
      </c>
      <c r="C1141" s="10">
        <f>IF($BI1141="","",IF($B1141="Onsite",INDEX(tbl_Onsite[Job Number],$BI1141),IF($B1141="Production",INDEX(tbl_Production[Job Number],$BI1141),INDEX(tbl_Consulting[Job Number],$BI1141)))&amp;"")</f>
        <v/>
      </c>
      <c r="D1141" s="10">
        <f>IF($BI1141="","",IF($B1141="Onsite",INDEX(tbl_Onsite[Client],$BI1141),IF($B1141="Production",INDEX(tbl_Production[Client],$BI1141),INDEX(tbl_Consulting[Client],$BI1141)))&amp;"")</f>
        <v/>
      </c>
      <c r="E1141" s="10">
        <f>IF($C1141="","",IF(COUNTIF(lst_Jobs,$C1141)&gt;0,"OK","CHECK"))</f>
        <v/>
      </c>
      <c r="F1141" s="10">
        <f>IF($C1141="","",IFERROR(INDEX(lst_JobName,MATCH($C1141,lst_Jobs,0)),""))</f>
        <v/>
      </c>
      <c r="G1141" s="10">
        <f>IF($BI1141="","",IF($B1141="Onsite",INDEX(tbl_Onsite[Job Description],$BI1141),IF($B1141="Production",INDEX(tbl_Production[Job Description],$BI1141),INDEX(tbl_Consulting[Job Description],$BI1141)))&amp;"")</f>
        <v/>
      </c>
      <c r="H1141" s="10">
        <f>IF($BI1141="","",IF($B1141="Onsite",INDEX(tbl_Onsite[Cost Centre],$BI1141),IF($B1141="Production",INDEX(tbl_Production[Cost Centre],$BI1141),INDEX(tbl_Consulting[Cost Centre],$BI1141)))&amp;"")</f>
        <v/>
      </c>
      <c r="I1141" s="10">
        <f>IF($BI1141="","",IF($B1141="Onsite",INDEX(tbl_Onsite[Invoice Type],$BI1141),IF($B1141="Production",INDEX(tbl_Production[Invoice Type],$BI1141),INDEX(tbl_Consulting[Invoice Type],$BI1141)))&amp;"")</f>
        <v/>
      </c>
      <c r="J1141" s="10">
        <f>IF($BI1141="","",IF($B1141="Onsite",INDEX(tbl_Onsite[Tax Code],$BI1141),IF($B1141="Production",INDEX(tbl_Production[Tax Code],$BI1141),INDEX(tbl_Consulting[Tax Code],$BI1141)))&amp;"")</f>
        <v/>
      </c>
      <c r="K1141" s="10">
        <f>IF(H1141="","",IFERROR(INDEX(lst_CCtoGL,MATCH(H1141,lst_CCforGL,0)),""))</f>
        <v/>
      </c>
      <c r="L1141" s="10">
        <f>IF($BI1141="","",IF($B1141="Onsite",INDEX(tbl_Onsite[PO / Reference],$BI1141),IF($B1141="Production",INDEX(tbl_Production[Current RMS No],$BI1141),INDEX(tbl_Consulting[Qwilr Quote],$BI1141)))&amp;"")</f>
        <v/>
      </c>
      <c r="M1141" s="10">
        <f>IF($BI1141="","",IF($B1141="Onsite",INDEX(tbl_Onsite[Notes],$BI1141),IF($B1141="Production",INDEX(tbl_Production[Notes],$BI1141),INDEX(tbl_Consulting[Notes],$BI1141)))&amp;"")</f>
        <v/>
      </c>
      <c r="N1141" s="11">
        <f>IF($BI1141="","",IF(IF($B1141="Onsite",INDEX(tbl_Onsite[Expected Revenue Ex GST],$BI1141),IF($B1141="Production",INDEX(tbl_Production[Expected Revenue Ex GST],$BI1141),INDEX(tbl_Consulting[Expected Revenue Ex GST],$BI1141)))="","",IF($B1141="Onsite",INDEX(tbl_Onsite[Expected Revenue Ex GST],$BI1141),IF($B1141="Production",INDEX(tbl_Production[Expected Revenue Ex GST],$BI1141),INDEX(tbl_Consulting[Expected Revenue Ex GST],$BI1141)))))</f>
        <v/>
      </c>
      <c r="O1141" s="11">
        <f>IF(AND($C1141="",NOT(COUNTA($S1141:$BB1141)&gt;0)),"",SUM(U1141,X1141,AA1141,AD1141,AG1141,AJ1141,AM1141,AP1141,AS1141,AV1141,AY1141,BB1141))</f>
        <v/>
      </c>
      <c r="P1141" s="11">
        <f>IF(O1141="","",N(N1141)-O1141)</f>
        <v/>
      </c>
      <c r="Q1141" s="10">
        <f>IF(O1141="","",IF($C1141="","Invoice on empty job row",IF(N1141="",IF(ROUND(O1141,2)=0,"No dept value","Invoiced - no dept value"),IF(ROUND(O1141,2)=0,"Not invoiced - to invoice",IF(ROUND(P1141,2)=0,"Agrees",IF(P1141&gt;0,"Dept higher - to invoice","Xero higher - check dept"))))))</f>
        <v/>
      </c>
      <c r="R1141" s="10">
        <f>IF(AND($C1141="",NOT(COUNTA($S1141:$BB1141)&gt;0),$BI1141&lt;&gt;""),"",MID(IF($BI1141="","; Row ID not found on the department sheet - a row was deleted","")&amp;IF(AND($C1141="",COUNTA($S1141:$BB1141)&gt;0),"; Invoice entered but the department row has no job number","")&amp;IF(E1141="CHECK","; Job number not in the Xero job list","")&amp;IF(AND($C1141&lt;&gt;"",COUNTIF($C$7:$C$1506,$C1141)&gt;1),"; Job number on more than one row","")&amp;IF(AND($C1141&lt;&gt;"",H1141=""),"; Dept has not set a cost centre","")&amp;IF(AND($C1141&lt;&gt;"",J1141=""),"; Dept has not set a tax code","")&amp;IF(AND($C1141&lt;&gt;"",N1141=""),"; Dept has not entered an expected value","")&amp;IF((IF(OR(COUNTA(S1141:U1141)=0,AND(COUNTA(S1141:U1141)=3,ISNUMBER(U1141))),0,1)+IF(OR(COUNTA(V1141:X1141)=0,AND(COUNTA(V1141:X1141)=3,ISNUMBER(X1141))),0,1)+IF(OR(COUNTA(Y1141:AA1141)=0,AND(COUNTA(Y1141:AA1141)=3,ISNUMBER(AA1141))),0,1)+IF(OR(COUNTA(AB1141:AD1141)=0,AND(COUNTA(AB1141:AD1141)=3,ISNUMBER(AD1141))),0,1)+IF(OR(COUNTA(AE1141:AG1141)=0,AND(COUNTA(AE1141:AG1141)=3,ISNUMBER(AG1141))),0,1)+IF(OR(COUNTA(AH1141:AJ1141)=0,AND(COUNTA(AH1141:AJ1141)=3,ISNUMBER(AJ1141))),0,1)+IF(OR(COUNTA(AK1141:AM1141)=0,AND(COUNTA(AK1141:AM1141)=3,ISNUMBER(AM1141))),0,1)+IF(OR(COUNTA(AN1141:AP1141)=0,AND(COUNTA(AN1141:AP1141)=3,ISNUMBER(AP1141))),0,1)+IF(OR(COUNTA(AQ1141:AS1141)=0,AND(COUNTA(AQ1141:AS1141)=3,ISNUMBER(AS1141))),0,1)+IF(OR(COUNTA(AT1141:AV1141)=0,AND(COUNTA(AT1141:AV1141)=3,ISNUMBER(AV1141))),0,1)+IF(OR(COUNTA(AW1141:AY1141)=0,AND(COUNTA(AW1141:AY1141)=3,ISNUMBER(AY1141))),0,1)+IF(OR(COUNTA(AZ1141:BB1141)=0,AND(COUNTA(AZ1141:BB1141)=3,ISNUMBER(BB1141))),0,1))&gt;0,"; An invoice is incomplete (needs No, Date and a number in Ex GST)","")&amp;IF((IF(T1141="",0,IFERROR(--(EOMONTH(T1141,0)&lt;&gt;S$5),1))+IF(W1141="",0,IFERROR(--(EOMONTH(W1141,0)&lt;&gt;V$5),1))+IF(Z1141="",0,IFERROR(--(EOMONTH(Z1141,0)&lt;&gt;Y$5),1))+IF(AC1141="",0,IFERROR(--(EOMONTH(AC1141,0)&lt;&gt;AB$5),1))+IF(AF1141="",0,IFERROR(--(EOMONTH(AF1141,0)&lt;&gt;AE$5),1))+IF(AI1141="",0,IFERROR(--(EOMONTH(AI1141,0)&lt;&gt;AH$5),1))+IF(AL1141="",0,IFERROR(--(EOMONTH(AL1141,0)&lt;&gt;AK$5),1))+IF(AO1141="",0,IFERROR(--(EOMONTH(AO1141,0)&lt;&gt;AN$5),1))+IF(AR1141="",0,IFERROR(--(EOMONTH(AR1141,0)&lt;&gt;AQ$5),1))+IF(AU1141="",0,IFERROR(--(EOMONTH(AU1141,0)&lt;&gt;AT$5),1))+IF(AX1141="",0,IFERROR(--(EOMONTH(AX1141,0)&lt;&gt;AW$5),1))+IF(BA1141="",0,IFERROR(--(EOMONTH(BA1141,0)&lt;&gt;AZ$5),1)))&gt;0,"; An invoice date is not in the month it is typed under",""),3,500))</f>
        <v/>
      </c>
      <c r="S1141" s="12" t="n"/>
      <c r="T1141" s="13" t="n"/>
      <c r="U1141" s="14" t="n"/>
      <c r="V1141" s="12" t="n"/>
      <c r="W1141" s="13" t="n"/>
      <c r="X1141" s="14" t="n"/>
      <c r="Y1141" s="12" t="n"/>
      <c r="Z1141" s="13" t="n"/>
      <c r="AA1141" s="14" t="n"/>
      <c r="AB1141" s="12" t="n"/>
      <c r="AC1141" s="13" t="n"/>
      <c r="AD1141" s="14" t="n"/>
      <c r="AE1141" s="12" t="n"/>
      <c r="AF1141" s="13" t="n"/>
      <c r="AG1141" s="14" t="n"/>
      <c r="AH1141" s="12" t="n"/>
      <c r="AI1141" s="13" t="n"/>
      <c r="AJ1141" s="14" t="n"/>
      <c r="AK1141" s="12" t="n"/>
      <c r="AL1141" s="13" t="n"/>
      <c r="AM1141" s="14" t="n"/>
      <c r="AN1141" s="12" t="n"/>
      <c r="AO1141" s="13" t="n"/>
      <c r="AP1141" s="14" t="n"/>
      <c r="AQ1141" s="12" t="n"/>
      <c r="AR1141" s="13" t="n"/>
      <c r="AS1141" s="14" t="n"/>
      <c r="AT1141" s="12" t="n"/>
      <c r="AU1141" s="13" t="n"/>
      <c r="AV1141" s="14" t="n"/>
      <c r="AW1141" s="12" t="n"/>
      <c r="AX1141" s="13" t="n"/>
      <c r="AY1141" s="14" t="n"/>
      <c r="AZ1141" s="12" t="n"/>
      <c r="BA1141" s="13" t="n"/>
      <c r="BB1141" s="14" t="n"/>
      <c r="BC1141" s="11">
        <f>IF(O1141="","",IF(J1141="GST 10%",ROUND(O1141*set_GSTRate,2),0))</f>
        <v/>
      </c>
      <c r="BD1141" s="11">
        <f>IF(O1141="","",O1141+BC1141)</f>
        <v/>
      </c>
      <c r="BE1141" s="15">
        <f>IF(O1141="","",COUNTA(S1141,V1141,Y1141,AB1141,AE1141,AH1141,AK1141,AN1141,AQ1141,AT1141,AW1141,AZ1141))</f>
        <v/>
      </c>
      <c r="BF1141" s="16">
        <f>IF(COUNT(T1141,W1141,Z1141,AC1141,AF1141,AI1141,AL1141,AO1141,AR1141,AU1141,AX1141,BA1141)=0,"",MAX(T1141,W1141,Z1141,AC1141,AF1141,AI1141,AL1141,AO1141,AR1141,AU1141,AX1141,BA1141))</f>
        <v/>
      </c>
      <c r="BG1141" s="10">
        <f>MID(IF(S1141="","",", "&amp;S1141)&amp;IF(V1141="","",", "&amp;V1141)&amp;IF(Y1141="","",", "&amp;Y1141)&amp;IF(AB1141="","",", "&amp;AB1141)&amp;IF(AE1141="","",", "&amp;AE1141)&amp;IF(AH1141="","",", "&amp;AH1141)&amp;IF(AK1141="","",", "&amp;AK1141)&amp;IF(AN1141="","",", "&amp;AN1141)&amp;IF(AQ1141="","",", "&amp;AQ1141)&amp;IF(AT1141="","",", "&amp;AT1141)&amp;IF(AW1141="","",", "&amp;AW1141)&amp;IF(AZ1141="","",", "&amp;AZ1141),3,500)</f>
        <v/>
      </c>
      <c r="BH1141" s="12" t="n"/>
      <c r="BI1141" s="15">
        <f>IFERROR(MATCH($A1141,IF($B1141="Onsite",tbl_Onsite[Row ID],IF($B1141="Production",tbl_Production[Row ID],tbl_Consulting[Row ID])),0),"")</f>
        <v/>
      </c>
    </row>
    <row r="1142">
      <c r="A1142" s="10" t="inlineStr">
        <is>
          <t>CON-0136</t>
        </is>
      </c>
      <c r="B1142" s="10" t="inlineStr">
        <is>
          <t>Consulting</t>
        </is>
      </c>
      <c r="C1142" s="10">
        <f>IF($BI1142="","",IF($B1142="Onsite",INDEX(tbl_Onsite[Job Number],$BI1142),IF($B1142="Production",INDEX(tbl_Production[Job Number],$BI1142),INDEX(tbl_Consulting[Job Number],$BI1142)))&amp;"")</f>
        <v/>
      </c>
      <c r="D1142" s="10">
        <f>IF($BI1142="","",IF($B1142="Onsite",INDEX(tbl_Onsite[Client],$BI1142),IF($B1142="Production",INDEX(tbl_Production[Client],$BI1142),INDEX(tbl_Consulting[Client],$BI1142)))&amp;"")</f>
        <v/>
      </c>
      <c r="E1142" s="10">
        <f>IF($C1142="","",IF(COUNTIF(lst_Jobs,$C1142)&gt;0,"OK","CHECK"))</f>
        <v/>
      </c>
      <c r="F1142" s="10">
        <f>IF($C1142="","",IFERROR(INDEX(lst_JobName,MATCH($C1142,lst_Jobs,0)),""))</f>
        <v/>
      </c>
      <c r="G1142" s="10">
        <f>IF($BI1142="","",IF($B1142="Onsite",INDEX(tbl_Onsite[Job Description],$BI1142),IF($B1142="Production",INDEX(tbl_Production[Job Description],$BI1142),INDEX(tbl_Consulting[Job Description],$BI1142)))&amp;"")</f>
        <v/>
      </c>
      <c r="H1142" s="10">
        <f>IF($BI1142="","",IF($B1142="Onsite",INDEX(tbl_Onsite[Cost Centre],$BI1142),IF($B1142="Production",INDEX(tbl_Production[Cost Centre],$BI1142),INDEX(tbl_Consulting[Cost Centre],$BI1142)))&amp;"")</f>
        <v/>
      </c>
      <c r="I1142" s="10">
        <f>IF($BI1142="","",IF($B1142="Onsite",INDEX(tbl_Onsite[Invoice Type],$BI1142),IF($B1142="Production",INDEX(tbl_Production[Invoice Type],$BI1142),INDEX(tbl_Consulting[Invoice Type],$BI1142)))&amp;"")</f>
        <v/>
      </c>
      <c r="J1142" s="10">
        <f>IF($BI1142="","",IF($B1142="Onsite",INDEX(tbl_Onsite[Tax Code],$BI1142),IF($B1142="Production",INDEX(tbl_Production[Tax Code],$BI1142),INDEX(tbl_Consulting[Tax Code],$BI1142)))&amp;"")</f>
        <v/>
      </c>
      <c r="K1142" s="10">
        <f>IF(H1142="","",IFERROR(INDEX(lst_CCtoGL,MATCH(H1142,lst_CCforGL,0)),""))</f>
        <v/>
      </c>
      <c r="L1142" s="10">
        <f>IF($BI1142="","",IF($B1142="Onsite",INDEX(tbl_Onsite[PO / Reference],$BI1142),IF($B1142="Production",INDEX(tbl_Production[Current RMS No],$BI1142),INDEX(tbl_Consulting[Qwilr Quote],$BI1142)))&amp;"")</f>
        <v/>
      </c>
      <c r="M1142" s="10">
        <f>IF($BI1142="","",IF($B1142="Onsite",INDEX(tbl_Onsite[Notes],$BI1142),IF($B1142="Production",INDEX(tbl_Production[Notes],$BI1142),INDEX(tbl_Consulting[Notes],$BI1142)))&amp;"")</f>
        <v/>
      </c>
      <c r="N1142" s="11">
        <f>IF($BI1142="","",IF(IF($B1142="Onsite",INDEX(tbl_Onsite[Expected Revenue Ex GST],$BI1142),IF($B1142="Production",INDEX(tbl_Production[Expected Revenue Ex GST],$BI1142),INDEX(tbl_Consulting[Expected Revenue Ex GST],$BI1142)))="","",IF($B1142="Onsite",INDEX(tbl_Onsite[Expected Revenue Ex GST],$BI1142),IF($B1142="Production",INDEX(tbl_Production[Expected Revenue Ex GST],$BI1142),INDEX(tbl_Consulting[Expected Revenue Ex GST],$BI1142)))))</f>
        <v/>
      </c>
      <c r="O1142" s="11">
        <f>IF(AND($C1142="",NOT(COUNTA($S1142:$BB1142)&gt;0)),"",SUM(U1142,X1142,AA1142,AD1142,AG1142,AJ1142,AM1142,AP1142,AS1142,AV1142,AY1142,BB1142))</f>
        <v/>
      </c>
      <c r="P1142" s="11">
        <f>IF(O1142="","",N(N1142)-O1142)</f>
        <v/>
      </c>
      <c r="Q1142" s="10">
        <f>IF(O1142="","",IF($C1142="","Invoice on empty job row",IF(N1142="",IF(ROUND(O1142,2)=0,"No dept value","Invoiced - no dept value"),IF(ROUND(O1142,2)=0,"Not invoiced - to invoice",IF(ROUND(P1142,2)=0,"Agrees",IF(P1142&gt;0,"Dept higher - to invoice","Xero higher - check dept"))))))</f>
        <v/>
      </c>
      <c r="R1142" s="10">
        <f>IF(AND($C1142="",NOT(COUNTA($S1142:$BB1142)&gt;0),$BI1142&lt;&gt;""),"",MID(IF($BI1142="","; Row ID not found on the department sheet - a row was deleted","")&amp;IF(AND($C1142="",COUNTA($S1142:$BB1142)&gt;0),"; Invoice entered but the department row has no job number","")&amp;IF(E1142="CHECK","; Job number not in the Xero job list","")&amp;IF(AND($C1142&lt;&gt;"",COUNTIF($C$7:$C$1506,$C1142)&gt;1),"; Job number on more than one row","")&amp;IF(AND($C1142&lt;&gt;"",H1142=""),"; Dept has not set a cost centre","")&amp;IF(AND($C1142&lt;&gt;"",J1142=""),"; Dept has not set a tax code","")&amp;IF(AND($C1142&lt;&gt;"",N1142=""),"; Dept has not entered an expected value","")&amp;IF((IF(OR(COUNTA(S1142:U1142)=0,AND(COUNTA(S1142:U1142)=3,ISNUMBER(U1142))),0,1)+IF(OR(COUNTA(V1142:X1142)=0,AND(COUNTA(V1142:X1142)=3,ISNUMBER(X1142))),0,1)+IF(OR(COUNTA(Y1142:AA1142)=0,AND(COUNTA(Y1142:AA1142)=3,ISNUMBER(AA1142))),0,1)+IF(OR(COUNTA(AB1142:AD1142)=0,AND(COUNTA(AB1142:AD1142)=3,ISNUMBER(AD1142))),0,1)+IF(OR(COUNTA(AE1142:AG1142)=0,AND(COUNTA(AE1142:AG1142)=3,ISNUMBER(AG1142))),0,1)+IF(OR(COUNTA(AH1142:AJ1142)=0,AND(COUNTA(AH1142:AJ1142)=3,ISNUMBER(AJ1142))),0,1)+IF(OR(COUNTA(AK1142:AM1142)=0,AND(COUNTA(AK1142:AM1142)=3,ISNUMBER(AM1142))),0,1)+IF(OR(COUNTA(AN1142:AP1142)=0,AND(COUNTA(AN1142:AP1142)=3,ISNUMBER(AP1142))),0,1)+IF(OR(COUNTA(AQ1142:AS1142)=0,AND(COUNTA(AQ1142:AS1142)=3,ISNUMBER(AS1142))),0,1)+IF(OR(COUNTA(AT1142:AV1142)=0,AND(COUNTA(AT1142:AV1142)=3,ISNUMBER(AV1142))),0,1)+IF(OR(COUNTA(AW1142:AY1142)=0,AND(COUNTA(AW1142:AY1142)=3,ISNUMBER(AY1142))),0,1)+IF(OR(COUNTA(AZ1142:BB1142)=0,AND(COUNTA(AZ1142:BB1142)=3,ISNUMBER(BB1142))),0,1))&gt;0,"; An invoice is incomplete (needs No, Date and a number in Ex GST)","")&amp;IF((IF(T1142="",0,IFERROR(--(EOMONTH(T1142,0)&lt;&gt;S$5),1))+IF(W1142="",0,IFERROR(--(EOMONTH(W1142,0)&lt;&gt;V$5),1))+IF(Z1142="",0,IFERROR(--(EOMONTH(Z1142,0)&lt;&gt;Y$5),1))+IF(AC1142="",0,IFERROR(--(EOMONTH(AC1142,0)&lt;&gt;AB$5),1))+IF(AF1142="",0,IFERROR(--(EOMONTH(AF1142,0)&lt;&gt;AE$5),1))+IF(AI1142="",0,IFERROR(--(EOMONTH(AI1142,0)&lt;&gt;AH$5),1))+IF(AL1142="",0,IFERROR(--(EOMONTH(AL1142,0)&lt;&gt;AK$5),1))+IF(AO1142="",0,IFERROR(--(EOMONTH(AO1142,0)&lt;&gt;AN$5),1))+IF(AR1142="",0,IFERROR(--(EOMONTH(AR1142,0)&lt;&gt;AQ$5),1))+IF(AU1142="",0,IFERROR(--(EOMONTH(AU1142,0)&lt;&gt;AT$5),1))+IF(AX1142="",0,IFERROR(--(EOMONTH(AX1142,0)&lt;&gt;AW$5),1))+IF(BA1142="",0,IFERROR(--(EOMONTH(BA1142,0)&lt;&gt;AZ$5),1)))&gt;0,"; An invoice date is not in the month it is typed under",""),3,500))</f>
        <v/>
      </c>
      <c r="S1142" s="12" t="n"/>
      <c r="T1142" s="13" t="n"/>
      <c r="U1142" s="14" t="n"/>
      <c r="V1142" s="12" t="n"/>
      <c r="W1142" s="13" t="n"/>
      <c r="X1142" s="14" t="n"/>
      <c r="Y1142" s="12" t="n"/>
      <c r="Z1142" s="13" t="n"/>
      <c r="AA1142" s="14" t="n"/>
      <c r="AB1142" s="12" t="n"/>
      <c r="AC1142" s="13" t="n"/>
      <c r="AD1142" s="14" t="n"/>
      <c r="AE1142" s="12" t="n"/>
      <c r="AF1142" s="13" t="n"/>
      <c r="AG1142" s="14" t="n"/>
      <c r="AH1142" s="12" t="n"/>
      <c r="AI1142" s="13" t="n"/>
      <c r="AJ1142" s="14" t="n"/>
      <c r="AK1142" s="12" t="n"/>
      <c r="AL1142" s="13" t="n"/>
      <c r="AM1142" s="14" t="n"/>
      <c r="AN1142" s="12" t="n"/>
      <c r="AO1142" s="13" t="n"/>
      <c r="AP1142" s="14" t="n"/>
      <c r="AQ1142" s="12" t="n"/>
      <c r="AR1142" s="13" t="n"/>
      <c r="AS1142" s="14" t="n"/>
      <c r="AT1142" s="12" t="n"/>
      <c r="AU1142" s="13" t="n"/>
      <c r="AV1142" s="14" t="n"/>
      <c r="AW1142" s="12" t="n"/>
      <c r="AX1142" s="13" t="n"/>
      <c r="AY1142" s="14" t="n"/>
      <c r="AZ1142" s="12" t="n"/>
      <c r="BA1142" s="13" t="n"/>
      <c r="BB1142" s="14" t="n"/>
      <c r="BC1142" s="11">
        <f>IF(O1142="","",IF(J1142="GST 10%",ROUND(O1142*set_GSTRate,2),0))</f>
        <v/>
      </c>
      <c r="BD1142" s="11">
        <f>IF(O1142="","",O1142+BC1142)</f>
        <v/>
      </c>
      <c r="BE1142" s="15">
        <f>IF(O1142="","",COUNTA(S1142,V1142,Y1142,AB1142,AE1142,AH1142,AK1142,AN1142,AQ1142,AT1142,AW1142,AZ1142))</f>
        <v/>
      </c>
      <c r="BF1142" s="16">
        <f>IF(COUNT(T1142,W1142,Z1142,AC1142,AF1142,AI1142,AL1142,AO1142,AR1142,AU1142,AX1142,BA1142)=0,"",MAX(T1142,W1142,Z1142,AC1142,AF1142,AI1142,AL1142,AO1142,AR1142,AU1142,AX1142,BA1142))</f>
        <v/>
      </c>
      <c r="BG1142" s="10">
        <f>MID(IF(S1142="","",", "&amp;S1142)&amp;IF(V1142="","",", "&amp;V1142)&amp;IF(Y1142="","",", "&amp;Y1142)&amp;IF(AB1142="","",", "&amp;AB1142)&amp;IF(AE1142="","",", "&amp;AE1142)&amp;IF(AH1142="","",", "&amp;AH1142)&amp;IF(AK1142="","",", "&amp;AK1142)&amp;IF(AN1142="","",", "&amp;AN1142)&amp;IF(AQ1142="","",", "&amp;AQ1142)&amp;IF(AT1142="","",", "&amp;AT1142)&amp;IF(AW1142="","",", "&amp;AW1142)&amp;IF(AZ1142="","",", "&amp;AZ1142),3,500)</f>
        <v/>
      </c>
      <c r="BH1142" s="12" t="n"/>
      <c r="BI1142" s="15">
        <f>IFERROR(MATCH($A1142,IF($B1142="Onsite",tbl_Onsite[Row ID],IF($B1142="Production",tbl_Production[Row ID],tbl_Consulting[Row ID])),0),"")</f>
        <v/>
      </c>
    </row>
    <row r="1143">
      <c r="A1143" s="10" t="inlineStr">
        <is>
          <t>CON-0137</t>
        </is>
      </c>
      <c r="B1143" s="10" t="inlineStr">
        <is>
          <t>Consulting</t>
        </is>
      </c>
      <c r="C1143" s="10">
        <f>IF($BI1143="","",IF($B1143="Onsite",INDEX(tbl_Onsite[Job Number],$BI1143),IF($B1143="Production",INDEX(tbl_Production[Job Number],$BI1143),INDEX(tbl_Consulting[Job Number],$BI1143)))&amp;"")</f>
        <v/>
      </c>
      <c r="D1143" s="10">
        <f>IF($BI1143="","",IF($B1143="Onsite",INDEX(tbl_Onsite[Client],$BI1143),IF($B1143="Production",INDEX(tbl_Production[Client],$BI1143),INDEX(tbl_Consulting[Client],$BI1143)))&amp;"")</f>
        <v/>
      </c>
      <c r="E1143" s="10">
        <f>IF($C1143="","",IF(COUNTIF(lst_Jobs,$C1143)&gt;0,"OK","CHECK"))</f>
        <v/>
      </c>
      <c r="F1143" s="10">
        <f>IF($C1143="","",IFERROR(INDEX(lst_JobName,MATCH($C1143,lst_Jobs,0)),""))</f>
        <v/>
      </c>
      <c r="G1143" s="10">
        <f>IF($BI1143="","",IF($B1143="Onsite",INDEX(tbl_Onsite[Job Description],$BI1143),IF($B1143="Production",INDEX(tbl_Production[Job Description],$BI1143),INDEX(tbl_Consulting[Job Description],$BI1143)))&amp;"")</f>
        <v/>
      </c>
      <c r="H1143" s="10">
        <f>IF($BI1143="","",IF($B1143="Onsite",INDEX(tbl_Onsite[Cost Centre],$BI1143),IF($B1143="Production",INDEX(tbl_Production[Cost Centre],$BI1143),INDEX(tbl_Consulting[Cost Centre],$BI1143)))&amp;"")</f>
        <v/>
      </c>
      <c r="I1143" s="10">
        <f>IF($BI1143="","",IF($B1143="Onsite",INDEX(tbl_Onsite[Invoice Type],$BI1143),IF($B1143="Production",INDEX(tbl_Production[Invoice Type],$BI1143),INDEX(tbl_Consulting[Invoice Type],$BI1143)))&amp;"")</f>
        <v/>
      </c>
      <c r="J1143" s="10">
        <f>IF($BI1143="","",IF($B1143="Onsite",INDEX(tbl_Onsite[Tax Code],$BI1143),IF($B1143="Production",INDEX(tbl_Production[Tax Code],$BI1143),INDEX(tbl_Consulting[Tax Code],$BI1143)))&amp;"")</f>
        <v/>
      </c>
      <c r="K1143" s="10">
        <f>IF(H1143="","",IFERROR(INDEX(lst_CCtoGL,MATCH(H1143,lst_CCforGL,0)),""))</f>
        <v/>
      </c>
      <c r="L1143" s="10">
        <f>IF($BI1143="","",IF($B1143="Onsite",INDEX(tbl_Onsite[PO / Reference],$BI1143),IF($B1143="Production",INDEX(tbl_Production[Current RMS No],$BI1143),INDEX(tbl_Consulting[Qwilr Quote],$BI1143)))&amp;"")</f>
        <v/>
      </c>
      <c r="M1143" s="10">
        <f>IF($BI1143="","",IF($B1143="Onsite",INDEX(tbl_Onsite[Notes],$BI1143),IF($B1143="Production",INDEX(tbl_Production[Notes],$BI1143),INDEX(tbl_Consulting[Notes],$BI1143)))&amp;"")</f>
        <v/>
      </c>
      <c r="N1143" s="11">
        <f>IF($BI1143="","",IF(IF($B1143="Onsite",INDEX(tbl_Onsite[Expected Revenue Ex GST],$BI1143),IF($B1143="Production",INDEX(tbl_Production[Expected Revenue Ex GST],$BI1143),INDEX(tbl_Consulting[Expected Revenue Ex GST],$BI1143)))="","",IF($B1143="Onsite",INDEX(tbl_Onsite[Expected Revenue Ex GST],$BI1143),IF($B1143="Production",INDEX(tbl_Production[Expected Revenue Ex GST],$BI1143),INDEX(tbl_Consulting[Expected Revenue Ex GST],$BI1143)))))</f>
        <v/>
      </c>
      <c r="O1143" s="11">
        <f>IF(AND($C1143="",NOT(COUNTA($S1143:$BB1143)&gt;0)),"",SUM(U1143,X1143,AA1143,AD1143,AG1143,AJ1143,AM1143,AP1143,AS1143,AV1143,AY1143,BB1143))</f>
        <v/>
      </c>
      <c r="P1143" s="11">
        <f>IF(O1143="","",N(N1143)-O1143)</f>
        <v/>
      </c>
      <c r="Q1143" s="10">
        <f>IF(O1143="","",IF($C1143="","Invoice on empty job row",IF(N1143="",IF(ROUND(O1143,2)=0,"No dept value","Invoiced - no dept value"),IF(ROUND(O1143,2)=0,"Not invoiced - to invoice",IF(ROUND(P1143,2)=0,"Agrees",IF(P1143&gt;0,"Dept higher - to invoice","Xero higher - check dept"))))))</f>
        <v/>
      </c>
      <c r="R1143" s="10">
        <f>IF(AND($C1143="",NOT(COUNTA($S1143:$BB1143)&gt;0),$BI1143&lt;&gt;""),"",MID(IF($BI1143="","; Row ID not found on the department sheet - a row was deleted","")&amp;IF(AND($C1143="",COUNTA($S1143:$BB1143)&gt;0),"; Invoice entered but the department row has no job number","")&amp;IF(E1143="CHECK","; Job number not in the Xero job list","")&amp;IF(AND($C1143&lt;&gt;"",COUNTIF($C$7:$C$1506,$C1143)&gt;1),"; Job number on more than one row","")&amp;IF(AND($C1143&lt;&gt;"",H1143=""),"; Dept has not set a cost centre","")&amp;IF(AND($C1143&lt;&gt;"",J1143=""),"; Dept has not set a tax code","")&amp;IF(AND($C1143&lt;&gt;"",N1143=""),"; Dept has not entered an expected value","")&amp;IF((IF(OR(COUNTA(S1143:U1143)=0,AND(COUNTA(S1143:U1143)=3,ISNUMBER(U1143))),0,1)+IF(OR(COUNTA(V1143:X1143)=0,AND(COUNTA(V1143:X1143)=3,ISNUMBER(X1143))),0,1)+IF(OR(COUNTA(Y1143:AA1143)=0,AND(COUNTA(Y1143:AA1143)=3,ISNUMBER(AA1143))),0,1)+IF(OR(COUNTA(AB1143:AD1143)=0,AND(COUNTA(AB1143:AD1143)=3,ISNUMBER(AD1143))),0,1)+IF(OR(COUNTA(AE1143:AG1143)=0,AND(COUNTA(AE1143:AG1143)=3,ISNUMBER(AG1143))),0,1)+IF(OR(COUNTA(AH1143:AJ1143)=0,AND(COUNTA(AH1143:AJ1143)=3,ISNUMBER(AJ1143))),0,1)+IF(OR(COUNTA(AK1143:AM1143)=0,AND(COUNTA(AK1143:AM1143)=3,ISNUMBER(AM1143))),0,1)+IF(OR(COUNTA(AN1143:AP1143)=0,AND(COUNTA(AN1143:AP1143)=3,ISNUMBER(AP1143))),0,1)+IF(OR(COUNTA(AQ1143:AS1143)=0,AND(COUNTA(AQ1143:AS1143)=3,ISNUMBER(AS1143))),0,1)+IF(OR(COUNTA(AT1143:AV1143)=0,AND(COUNTA(AT1143:AV1143)=3,ISNUMBER(AV1143))),0,1)+IF(OR(COUNTA(AW1143:AY1143)=0,AND(COUNTA(AW1143:AY1143)=3,ISNUMBER(AY1143))),0,1)+IF(OR(COUNTA(AZ1143:BB1143)=0,AND(COUNTA(AZ1143:BB1143)=3,ISNUMBER(BB1143))),0,1))&gt;0,"; An invoice is incomplete (needs No, Date and a number in Ex GST)","")&amp;IF((IF(T1143="",0,IFERROR(--(EOMONTH(T1143,0)&lt;&gt;S$5),1))+IF(W1143="",0,IFERROR(--(EOMONTH(W1143,0)&lt;&gt;V$5),1))+IF(Z1143="",0,IFERROR(--(EOMONTH(Z1143,0)&lt;&gt;Y$5),1))+IF(AC1143="",0,IFERROR(--(EOMONTH(AC1143,0)&lt;&gt;AB$5),1))+IF(AF1143="",0,IFERROR(--(EOMONTH(AF1143,0)&lt;&gt;AE$5),1))+IF(AI1143="",0,IFERROR(--(EOMONTH(AI1143,0)&lt;&gt;AH$5),1))+IF(AL1143="",0,IFERROR(--(EOMONTH(AL1143,0)&lt;&gt;AK$5),1))+IF(AO1143="",0,IFERROR(--(EOMONTH(AO1143,0)&lt;&gt;AN$5),1))+IF(AR1143="",0,IFERROR(--(EOMONTH(AR1143,0)&lt;&gt;AQ$5),1))+IF(AU1143="",0,IFERROR(--(EOMONTH(AU1143,0)&lt;&gt;AT$5),1))+IF(AX1143="",0,IFERROR(--(EOMONTH(AX1143,0)&lt;&gt;AW$5),1))+IF(BA1143="",0,IFERROR(--(EOMONTH(BA1143,0)&lt;&gt;AZ$5),1)))&gt;0,"; An invoice date is not in the month it is typed under",""),3,500))</f>
        <v/>
      </c>
      <c r="S1143" s="12" t="n"/>
      <c r="T1143" s="13" t="n"/>
      <c r="U1143" s="14" t="n"/>
      <c r="V1143" s="12" t="n"/>
      <c r="W1143" s="13" t="n"/>
      <c r="X1143" s="14" t="n"/>
      <c r="Y1143" s="12" t="n"/>
      <c r="Z1143" s="13" t="n"/>
      <c r="AA1143" s="14" t="n"/>
      <c r="AB1143" s="12" t="n"/>
      <c r="AC1143" s="13" t="n"/>
      <c r="AD1143" s="14" t="n"/>
      <c r="AE1143" s="12" t="n"/>
      <c r="AF1143" s="13" t="n"/>
      <c r="AG1143" s="14" t="n"/>
      <c r="AH1143" s="12" t="n"/>
      <c r="AI1143" s="13" t="n"/>
      <c r="AJ1143" s="14" t="n"/>
      <c r="AK1143" s="12" t="n"/>
      <c r="AL1143" s="13" t="n"/>
      <c r="AM1143" s="14" t="n"/>
      <c r="AN1143" s="12" t="n"/>
      <c r="AO1143" s="13" t="n"/>
      <c r="AP1143" s="14" t="n"/>
      <c r="AQ1143" s="12" t="n"/>
      <c r="AR1143" s="13" t="n"/>
      <c r="AS1143" s="14" t="n"/>
      <c r="AT1143" s="12" t="n"/>
      <c r="AU1143" s="13" t="n"/>
      <c r="AV1143" s="14" t="n"/>
      <c r="AW1143" s="12" t="n"/>
      <c r="AX1143" s="13" t="n"/>
      <c r="AY1143" s="14" t="n"/>
      <c r="AZ1143" s="12" t="n"/>
      <c r="BA1143" s="13" t="n"/>
      <c r="BB1143" s="14" t="n"/>
      <c r="BC1143" s="11">
        <f>IF(O1143="","",IF(J1143="GST 10%",ROUND(O1143*set_GSTRate,2),0))</f>
        <v/>
      </c>
      <c r="BD1143" s="11">
        <f>IF(O1143="","",O1143+BC1143)</f>
        <v/>
      </c>
      <c r="BE1143" s="15">
        <f>IF(O1143="","",COUNTA(S1143,V1143,Y1143,AB1143,AE1143,AH1143,AK1143,AN1143,AQ1143,AT1143,AW1143,AZ1143))</f>
        <v/>
      </c>
      <c r="BF1143" s="16">
        <f>IF(COUNT(T1143,W1143,Z1143,AC1143,AF1143,AI1143,AL1143,AO1143,AR1143,AU1143,AX1143,BA1143)=0,"",MAX(T1143,W1143,Z1143,AC1143,AF1143,AI1143,AL1143,AO1143,AR1143,AU1143,AX1143,BA1143))</f>
        <v/>
      </c>
      <c r="BG1143" s="10">
        <f>MID(IF(S1143="","",", "&amp;S1143)&amp;IF(V1143="","",", "&amp;V1143)&amp;IF(Y1143="","",", "&amp;Y1143)&amp;IF(AB1143="","",", "&amp;AB1143)&amp;IF(AE1143="","",", "&amp;AE1143)&amp;IF(AH1143="","",", "&amp;AH1143)&amp;IF(AK1143="","",", "&amp;AK1143)&amp;IF(AN1143="","",", "&amp;AN1143)&amp;IF(AQ1143="","",", "&amp;AQ1143)&amp;IF(AT1143="","",", "&amp;AT1143)&amp;IF(AW1143="","",", "&amp;AW1143)&amp;IF(AZ1143="","",", "&amp;AZ1143),3,500)</f>
        <v/>
      </c>
      <c r="BH1143" s="12" t="n"/>
      <c r="BI1143" s="15">
        <f>IFERROR(MATCH($A1143,IF($B1143="Onsite",tbl_Onsite[Row ID],IF($B1143="Production",tbl_Production[Row ID],tbl_Consulting[Row ID])),0),"")</f>
        <v/>
      </c>
    </row>
    <row r="1144">
      <c r="A1144" s="10" t="inlineStr">
        <is>
          <t>CON-0138</t>
        </is>
      </c>
      <c r="B1144" s="10" t="inlineStr">
        <is>
          <t>Consulting</t>
        </is>
      </c>
      <c r="C1144" s="10">
        <f>IF($BI1144="","",IF($B1144="Onsite",INDEX(tbl_Onsite[Job Number],$BI1144),IF($B1144="Production",INDEX(tbl_Production[Job Number],$BI1144),INDEX(tbl_Consulting[Job Number],$BI1144)))&amp;"")</f>
        <v/>
      </c>
      <c r="D1144" s="10">
        <f>IF($BI1144="","",IF($B1144="Onsite",INDEX(tbl_Onsite[Client],$BI1144),IF($B1144="Production",INDEX(tbl_Production[Client],$BI1144),INDEX(tbl_Consulting[Client],$BI1144)))&amp;"")</f>
        <v/>
      </c>
      <c r="E1144" s="10">
        <f>IF($C1144="","",IF(COUNTIF(lst_Jobs,$C1144)&gt;0,"OK","CHECK"))</f>
        <v/>
      </c>
      <c r="F1144" s="10">
        <f>IF($C1144="","",IFERROR(INDEX(lst_JobName,MATCH($C1144,lst_Jobs,0)),""))</f>
        <v/>
      </c>
      <c r="G1144" s="10">
        <f>IF($BI1144="","",IF($B1144="Onsite",INDEX(tbl_Onsite[Job Description],$BI1144),IF($B1144="Production",INDEX(tbl_Production[Job Description],$BI1144),INDEX(tbl_Consulting[Job Description],$BI1144)))&amp;"")</f>
        <v/>
      </c>
      <c r="H1144" s="10">
        <f>IF($BI1144="","",IF($B1144="Onsite",INDEX(tbl_Onsite[Cost Centre],$BI1144),IF($B1144="Production",INDEX(tbl_Production[Cost Centre],$BI1144),INDEX(tbl_Consulting[Cost Centre],$BI1144)))&amp;"")</f>
        <v/>
      </c>
      <c r="I1144" s="10">
        <f>IF($BI1144="","",IF($B1144="Onsite",INDEX(tbl_Onsite[Invoice Type],$BI1144),IF($B1144="Production",INDEX(tbl_Production[Invoice Type],$BI1144),INDEX(tbl_Consulting[Invoice Type],$BI1144)))&amp;"")</f>
        <v/>
      </c>
      <c r="J1144" s="10">
        <f>IF($BI1144="","",IF($B1144="Onsite",INDEX(tbl_Onsite[Tax Code],$BI1144),IF($B1144="Production",INDEX(tbl_Production[Tax Code],$BI1144),INDEX(tbl_Consulting[Tax Code],$BI1144)))&amp;"")</f>
        <v/>
      </c>
      <c r="K1144" s="10">
        <f>IF(H1144="","",IFERROR(INDEX(lst_CCtoGL,MATCH(H1144,lst_CCforGL,0)),""))</f>
        <v/>
      </c>
      <c r="L1144" s="10">
        <f>IF($BI1144="","",IF($B1144="Onsite",INDEX(tbl_Onsite[PO / Reference],$BI1144),IF($B1144="Production",INDEX(tbl_Production[Current RMS No],$BI1144),INDEX(tbl_Consulting[Qwilr Quote],$BI1144)))&amp;"")</f>
        <v/>
      </c>
      <c r="M1144" s="10">
        <f>IF($BI1144="","",IF($B1144="Onsite",INDEX(tbl_Onsite[Notes],$BI1144),IF($B1144="Production",INDEX(tbl_Production[Notes],$BI1144),INDEX(tbl_Consulting[Notes],$BI1144)))&amp;"")</f>
        <v/>
      </c>
      <c r="N1144" s="11">
        <f>IF($BI1144="","",IF(IF($B1144="Onsite",INDEX(tbl_Onsite[Expected Revenue Ex GST],$BI1144),IF($B1144="Production",INDEX(tbl_Production[Expected Revenue Ex GST],$BI1144),INDEX(tbl_Consulting[Expected Revenue Ex GST],$BI1144)))="","",IF($B1144="Onsite",INDEX(tbl_Onsite[Expected Revenue Ex GST],$BI1144),IF($B1144="Production",INDEX(tbl_Production[Expected Revenue Ex GST],$BI1144),INDEX(tbl_Consulting[Expected Revenue Ex GST],$BI1144)))))</f>
        <v/>
      </c>
      <c r="O1144" s="11">
        <f>IF(AND($C1144="",NOT(COUNTA($S1144:$BB1144)&gt;0)),"",SUM(U1144,X1144,AA1144,AD1144,AG1144,AJ1144,AM1144,AP1144,AS1144,AV1144,AY1144,BB1144))</f>
        <v/>
      </c>
      <c r="P1144" s="11">
        <f>IF(O1144="","",N(N1144)-O1144)</f>
        <v/>
      </c>
      <c r="Q1144" s="10">
        <f>IF(O1144="","",IF($C1144="","Invoice on empty job row",IF(N1144="",IF(ROUND(O1144,2)=0,"No dept value","Invoiced - no dept value"),IF(ROUND(O1144,2)=0,"Not invoiced - to invoice",IF(ROUND(P1144,2)=0,"Agrees",IF(P1144&gt;0,"Dept higher - to invoice","Xero higher - check dept"))))))</f>
        <v/>
      </c>
      <c r="R1144" s="10">
        <f>IF(AND($C1144="",NOT(COUNTA($S1144:$BB1144)&gt;0),$BI1144&lt;&gt;""),"",MID(IF($BI1144="","; Row ID not found on the department sheet - a row was deleted","")&amp;IF(AND($C1144="",COUNTA($S1144:$BB1144)&gt;0),"; Invoice entered but the department row has no job number","")&amp;IF(E1144="CHECK","; Job number not in the Xero job list","")&amp;IF(AND($C1144&lt;&gt;"",COUNTIF($C$7:$C$1506,$C1144)&gt;1),"; Job number on more than one row","")&amp;IF(AND($C1144&lt;&gt;"",H1144=""),"; Dept has not set a cost centre","")&amp;IF(AND($C1144&lt;&gt;"",J1144=""),"; Dept has not set a tax code","")&amp;IF(AND($C1144&lt;&gt;"",N1144=""),"; Dept has not entered an expected value","")&amp;IF((IF(OR(COUNTA(S1144:U1144)=0,AND(COUNTA(S1144:U1144)=3,ISNUMBER(U1144))),0,1)+IF(OR(COUNTA(V1144:X1144)=0,AND(COUNTA(V1144:X1144)=3,ISNUMBER(X1144))),0,1)+IF(OR(COUNTA(Y1144:AA1144)=0,AND(COUNTA(Y1144:AA1144)=3,ISNUMBER(AA1144))),0,1)+IF(OR(COUNTA(AB1144:AD1144)=0,AND(COUNTA(AB1144:AD1144)=3,ISNUMBER(AD1144))),0,1)+IF(OR(COUNTA(AE1144:AG1144)=0,AND(COUNTA(AE1144:AG1144)=3,ISNUMBER(AG1144))),0,1)+IF(OR(COUNTA(AH1144:AJ1144)=0,AND(COUNTA(AH1144:AJ1144)=3,ISNUMBER(AJ1144))),0,1)+IF(OR(COUNTA(AK1144:AM1144)=0,AND(COUNTA(AK1144:AM1144)=3,ISNUMBER(AM1144))),0,1)+IF(OR(COUNTA(AN1144:AP1144)=0,AND(COUNTA(AN1144:AP1144)=3,ISNUMBER(AP1144))),0,1)+IF(OR(COUNTA(AQ1144:AS1144)=0,AND(COUNTA(AQ1144:AS1144)=3,ISNUMBER(AS1144))),0,1)+IF(OR(COUNTA(AT1144:AV1144)=0,AND(COUNTA(AT1144:AV1144)=3,ISNUMBER(AV1144))),0,1)+IF(OR(COUNTA(AW1144:AY1144)=0,AND(COUNTA(AW1144:AY1144)=3,ISNUMBER(AY1144))),0,1)+IF(OR(COUNTA(AZ1144:BB1144)=0,AND(COUNTA(AZ1144:BB1144)=3,ISNUMBER(BB1144))),0,1))&gt;0,"; An invoice is incomplete (needs No, Date and a number in Ex GST)","")&amp;IF((IF(T1144="",0,IFERROR(--(EOMONTH(T1144,0)&lt;&gt;S$5),1))+IF(W1144="",0,IFERROR(--(EOMONTH(W1144,0)&lt;&gt;V$5),1))+IF(Z1144="",0,IFERROR(--(EOMONTH(Z1144,0)&lt;&gt;Y$5),1))+IF(AC1144="",0,IFERROR(--(EOMONTH(AC1144,0)&lt;&gt;AB$5),1))+IF(AF1144="",0,IFERROR(--(EOMONTH(AF1144,0)&lt;&gt;AE$5),1))+IF(AI1144="",0,IFERROR(--(EOMONTH(AI1144,0)&lt;&gt;AH$5),1))+IF(AL1144="",0,IFERROR(--(EOMONTH(AL1144,0)&lt;&gt;AK$5),1))+IF(AO1144="",0,IFERROR(--(EOMONTH(AO1144,0)&lt;&gt;AN$5),1))+IF(AR1144="",0,IFERROR(--(EOMONTH(AR1144,0)&lt;&gt;AQ$5),1))+IF(AU1144="",0,IFERROR(--(EOMONTH(AU1144,0)&lt;&gt;AT$5),1))+IF(AX1144="",0,IFERROR(--(EOMONTH(AX1144,0)&lt;&gt;AW$5),1))+IF(BA1144="",0,IFERROR(--(EOMONTH(BA1144,0)&lt;&gt;AZ$5),1)))&gt;0,"; An invoice date is not in the month it is typed under",""),3,500))</f>
        <v/>
      </c>
      <c r="S1144" s="12" t="n"/>
      <c r="T1144" s="13" t="n"/>
      <c r="U1144" s="14" t="n"/>
      <c r="V1144" s="12" t="n"/>
      <c r="W1144" s="13" t="n"/>
      <c r="X1144" s="14" t="n"/>
      <c r="Y1144" s="12" t="n"/>
      <c r="Z1144" s="13" t="n"/>
      <c r="AA1144" s="14" t="n"/>
      <c r="AB1144" s="12" t="n"/>
      <c r="AC1144" s="13" t="n"/>
      <c r="AD1144" s="14" t="n"/>
      <c r="AE1144" s="12" t="n"/>
      <c r="AF1144" s="13" t="n"/>
      <c r="AG1144" s="14" t="n"/>
      <c r="AH1144" s="12" t="n"/>
      <c r="AI1144" s="13" t="n"/>
      <c r="AJ1144" s="14" t="n"/>
      <c r="AK1144" s="12" t="n"/>
      <c r="AL1144" s="13" t="n"/>
      <c r="AM1144" s="14" t="n"/>
      <c r="AN1144" s="12" t="n"/>
      <c r="AO1144" s="13" t="n"/>
      <c r="AP1144" s="14" t="n"/>
      <c r="AQ1144" s="12" t="n"/>
      <c r="AR1144" s="13" t="n"/>
      <c r="AS1144" s="14" t="n"/>
      <c r="AT1144" s="12" t="n"/>
      <c r="AU1144" s="13" t="n"/>
      <c r="AV1144" s="14" t="n"/>
      <c r="AW1144" s="12" t="n"/>
      <c r="AX1144" s="13" t="n"/>
      <c r="AY1144" s="14" t="n"/>
      <c r="AZ1144" s="12" t="n"/>
      <c r="BA1144" s="13" t="n"/>
      <c r="BB1144" s="14" t="n"/>
      <c r="BC1144" s="11">
        <f>IF(O1144="","",IF(J1144="GST 10%",ROUND(O1144*set_GSTRate,2),0))</f>
        <v/>
      </c>
      <c r="BD1144" s="11">
        <f>IF(O1144="","",O1144+BC1144)</f>
        <v/>
      </c>
      <c r="BE1144" s="15">
        <f>IF(O1144="","",COUNTA(S1144,V1144,Y1144,AB1144,AE1144,AH1144,AK1144,AN1144,AQ1144,AT1144,AW1144,AZ1144))</f>
        <v/>
      </c>
      <c r="BF1144" s="16">
        <f>IF(COUNT(T1144,W1144,Z1144,AC1144,AF1144,AI1144,AL1144,AO1144,AR1144,AU1144,AX1144,BA1144)=0,"",MAX(T1144,W1144,Z1144,AC1144,AF1144,AI1144,AL1144,AO1144,AR1144,AU1144,AX1144,BA1144))</f>
        <v/>
      </c>
      <c r="BG1144" s="10">
        <f>MID(IF(S1144="","",", "&amp;S1144)&amp;IF(V1144="","",", "&amp;V1144)&amp;IF(Y1144="","",", "&amp;Y1144)&amp;IF(AB1144="","",", "&amp;AB1144)&amp;IF(AE1144="","",", "&amp;AE1144)&amp;IF(AH1144="","",", "&amp;AH1144)&amp;IF(AK1144="","",", "&amp;AK1144)&amp;IF(AN1144="","",", "&amp;AN1144)&amp;IF(AQ1144="","",", "&amp;AQ1144)&amp;IF(AT1144="","",", "&amp;AT1144)&amp;IF(AW1144="","",", "&amp;AW1144)&amp;IF(AZ1144="","",", "&amp;AZ1144),3,500)</f>
        <v/>
      </c>
      <c r="BH1144" s="12" t="n"/>
      <c r="BI1144" s="15">
        <f>IFERROR(MATCH($A1144,IF($B1144="Onsite",tbl_Onsite[Row ID],IF($B1144="Production",tbl_Production[Row ID],tbl_Consulting[Row ID])),0),"")</f>
        <v/>
      </c>
    </row>
    <row r="1145">
      <c r="A1145" s="10" t="inlineStr">
        <is>
          <t>CON-0139</t>
        </is>
      </c>
      <c r="B1145" s="10" t="inlineStr">
        <is>
          <t>Consulting</t>
        </is>
      </c>
      <c r="C1145" s="10">
        <f>IF($BI1145="","",IF($B1145="Onsite",INDEX(tbl_Onsite[Job Number],$BI1145),IF($B1145="Production",INDEX(tbl_Production[Job Number],$BI1145),INDEX(tbl_Consulting[Job Number],$BI1145)))&amp;"")</f>
        <v/>
      </c>
      <c r="D1145" s="10">
        <f>IF($BI1145="","",IF($B1145="Onsite",INDEX(tbl_Onsite[Client],$BI1145),IF($B1145="Production",INDEX(tbl_Production[Client],$BI1145),INDEX(tbl_Consulting[Client],$BI1145)))&amp;"")</f>
        <v/>
      </c>
      <c r="E1145" s="10">
        <f>IF($C1145="","",IF(COUNTIF(lst_Jobs,$C1145)&gt;0,"OK","CHECK"))</f>
        <v/>
      </c>
      <c r="F1145" s="10">
        <f>IF($C1145="","",IFERROR(INDEX(lst_JobName,MATCH($C1145,lst_Jobs,0)),""))</f>
        <v/>
      </c>
      <c r="G1145" s="10">
        <f>IF($BI1145="","",IF($B1145="Onsite",INDEX(tbl_Onsite[Job Description],$BI1145),IF($B1145="Production",INDEX(tbl_Production[Job Description],$BI1145),INDEX(tbl_Consulting[Job Description],$BI1145)))&amp;"")</f>
        <v/>
      </c>
      <c r="H1145" s="10">
        <f>IF($BI1145="","",IF($B1145="Onsite",INDEX(tbl_Onsite[Cost Centre],$BI1145),IF($B1145="Production",INDEX(tbl_Production[Cost Centre],$BI1145),INDEX(tbl_Consulting[Cost Centre],$BI1145)))&amp;"")</f>
        <v/>
      </c>
      <c r="I1145" s="10">
        <f>IF($BI1145="","",IF($B1145="Onsite",INDEX(tbl_Onsite[Invoice Type],$BI1145),IF($B1145="Production",INDEX(tbl_Production[Invoice Type],$BI1145),INDEX(tbl_Consulting[Invoice Type],$BI1145)))&amp;"")</f>
        <v/>
      </c>
      <c r="J1145" s="10">
        <f>IF($BI1145="","",IF($B1145="Onsite",INDEX(tbl_Onsite[Tax Code],$BI1145),IF($B1145="Production",INDEX(tbl_Production[Tax Code],$BI1145),INDEX(tbl_Consulting[Tax Code],$BI1145)))&amp;"")</f>
        <v/>
      </c>
      <c r="K1145" s="10">
        <f>IF(H1145="","",IFERROR(INDEX(lst_CCtoGL,MATCH(H1145,lst_CCforGL,0)),""))</f>
        <v/>
      </c>
      <c r="L1145" s="10">
        <f>IF($BI1145="","",IF($B1145="Onsite",INDEX(tbl_Onsite[PO / Reference],$BI1145),IF($B1145="Production",INDEX(tbl_Production[Current RMS No],$BI1145),INDEX(tbl_Consulting[Qwilr Quote],$BI1145)))&amp;"")</f>
        <v/>
      </c>
      <c r="M1145" s="10">
        <f>IF($BI1145="","",IF($B1145="Onsite",INDEX(tbl_Onsite[Notes],$BI1145),IF($B1145="Production",INDEX(tbl_Production[Notes],$BI1145),INDEX(tbl_Consulting[Notes],$BI1145)))&amp;"")</f>
        <v/>
      </c>
      <c r="N1145" s="11">
        <f>IF($BI1145="","",IF(IF($B1145="Onsite",INDEX(tbl_Onsite[Expected Revenue Ex GST],$BI1145),IF($B1145="Production",INDEX(tbl_Production[Expected Revenue Ex GST],$BI1145),INDEX(tbl_Consulting[Expected Revenue Ex GST],$BI1145)))="","",IF($B1145="Onsite",INDEX(tbl_Onsite[Expected Revenue Ex GST],$BI1145),IF($B1145="Production",INDEX(tbl_Production[Expected Revenue Ex GST],$BI1145),INDEX(tbl_Consulting[Expected Revenue Ex GST],$BI1145)))))</f>
        <v/>
      </c>
      <c r="O1145" s="11">
        <f>IF(AND($C1145="",NOT(COUNTA($S1145:$BB1145)&gt;0)),"",SUM(U1145,X1145,AA1145,AD1145,AG1145,AJ1145,AM1145,AP1145,AS1145,AV1145,AY1145,BB1145))</f>
        <v/>
      </c>
      <c r="P1145" s="11">
        <f>IF(O1145="","",N(N1145)-O1145)</f>
        <v/>
      </c>
      <c r="Q1145" s="10">
        <f>IF(O1145="","",IF($C1145="","Invoice on empty job row",IF(N1145="",IF(ROUND(O1145,2)=0,"No dept value","Invoiced - no dept value"),IF(ROUND(O1145,2)=0,"Not invoiced - to invoice",IF(ROUND(P1145,2)=0,"Agrees",IF(P1145&gt;0,"Dept higher - to invoice","Xero higher - check dept"))))))</f>
        <v/>
      </c>
      <c r="R1145" s="10">
        <f>IF(AND($C1145="",NOT(COUNTA($S1145:$BB1145)&gt;0),$BI1145&lt;&gt;""),"",MID(IF($BI1145="","; Row ID not found on the department sheet - a row was deleted","")&amp;IF(AND($C1145="",COUNTA($S1145:$BB1145)&gt;0),"; Invoice entered but the department row has no job number","")&amp;IF(E1145="CHECK","; Job number not in the Xero job list","")&amp;IF(AND($C1145&lt;&gt;"",COUNTIF($C$7:$C$1506,$C1145)&gt;1),"; Job number on more than one row","")&amp;IF(AND($C1145&lt;&gt;"",H1145=""),"; Dept has not set a cost centre","")&amp;IF(AND($C1145&lt;&gt;"",J1145=""),"; Dept has not set a tax code","")&amp;IF(AND($C1145&lt;&gt;"",N1145=""),"; Dept has not entered an expected value","")&amp;IF((IF(OR(COUNTA(S1145:U1145)=0,AND(COUNTA(S1145:U1145)=3,ISNUMBER(U1145))),0,1)+IF(OR(COUNTA(V1145:X1145)=0,AND(COUNTA(V1145:X1145)=3,ISNUMBER(X1145))),0,1)+IF(OR(COUNTA(Y1145:AA1145)=0,AND(COUNTA(Y1145:AA1145)=3,ISNUMBER(AA1145))),0,1)+IF(OR(COUNTA(AB1145:AD1145)=0,AND(COUNTA(AB1145:AD1145)=3,ISNUMBER(AD1145))),0,1)+IF(OR(COUNTA(AE1145:AG1145)=0,AND(COUNTA(AE1145:AG1145)=3,ISNUMBER(AG1145))),0,1)+IF(OR(COUNTA(AH1145:AJ1145)=0,AND(COUNTA(AH1145:AJ1145)=3,ISNUMBER(AJ1145))),0,1)+IF(OR(COUNTA(AK1145:AM1145)=0,AND(COUNTA(AK1145:AM1145)=3,ISNUMBER(AM1145))),0,1)+IF(OR(COUNTA(AN1145:AP1145)=0,AND(COUNTA(AN1145:AP1145)=3,ISNUMBER(AP1145))),0,1)+IF(OR(COUNTA(AQ1145:AS1145)=0,AND(COUNTA(AQ1145:AS1145)=3,ISNUMBER(AS1145))),0,1)+IF(OR(COUNTA(AT1145:AV1145)=0,AND(COUNTA(AT1145:AV1145)=3,ISNUMBER(AV1145))),0,1)+IF(OR(COUNTA(AW1145:AY1145)=0,AND(COUNTA(AW1145:AY1145)=3,ISNUMBER(AY1145))),0,1)+IF(OR(COUNTA(AZ1145:BB1145)=0,AND(COUNTA(AZ1145:BB1145)=3,ISNUMBER(BB1145))),0,1))&gt;0,"; An invoice is incomplete (needs No, Date and a number in Ex GST)","")&amp;IF((IF(T1145="",0,IFERROR(--(EOMONTH(T1145,0)&lt;&gt;S$5),1))+IF(W1145="",0,IFERROR(--(EOMONTH(W1145,0)&lt;&gt;V$5),1))+IF(Z1145="",0,IFERROR(--(EOMONTH(Z1145,0)&lt;&gt;Y$5),1))+IF(AC1145="",0,IFERROR(--(EOMONTH(AC1145,0)&lt;&gt;AB$5),1))+IF(AF1145="",0,IFERROR(--(EOMONTH(AF1145,0)&lt;&gt;AE$5),1))+IF(AI1145="",0,IFERROR(--(EOMONTH(AI1145,0)&lt;&gt;AH$5),1))+IF(AL1145="",0,IFERROR(--(EOMONTH(AL1145,0)&lt;&gt;AK$5),1))+IF(AO1145="",0,IFERROR(--(EOMONTH(AO1145,0)&lt;&gt;AN$5),1))+IF(AR1145="",0,IFERROR(--(EOMONTH(AR1145,0)&lt;&gt;AQ$5),1))+IF(AU1145="",0,IFERROR(--(EOMONTH(AU1145,0)&lt;&gt;AT$5),1))+IF(AX1145="",0,IFERROR(--(EOMONTH(AX1145,0)&lt;&gt;AW$5),1))+IF(BA1145="",0,IFERROR(--(EOMONTH(BA1145,0)&lt;&gt;AZ$5),1)))&gt;0,"; An invoice date is not in the month it is typed under",""),3,500))</f>
        <v/>
      </c>
      <c r="S1145" s="12" t="n"/>
      <c r="T1145" s="13" t="n"/>
      <c r="U1145" s="14" t="n"/>
      <c r="V1145" s="12" t="n"/>
      <c r="W1145" s="13" t="n"/>
      <c r="X1145" s="14" t="n"/>
      <c r="Y1145" s="12" t="n"/>
      <c r="Z1145" s="13" t="n"/>
      <c r="AA1145" s="14" t="n"/>
      <c r="AB1145" s="12" t="n"/>
      <c r="AC1145" s="13" t="n"/>
      <c r="AD1145" s="14" t="n"/>
      <c r="AE1145" s="12" t="n"/>
      <c r="AF1145" s="13" t="n"/>
      <c r="AG1145" s="14" t="n"/>
      <c r="AH1145" s="12" t="n"/>
      <c r="AI1145" s="13" t="n"/>
      <c r="AJ1145" s="14" t="n"/>
      <c r="AK1145" s="12" t="n"/>
      <c r="AL1145" s="13" t="n"/>
      <c r="AM1145" s="14" t="n"/>
      <c r="AN1145" s="12" t="n"/>
      <c r="AO1145" s="13" t="n"/>
      <c r="AP1145" s="14" t="n"/>
      <c r="AQ1145" s="12" t="n"/>
      <c r="AR1145" s="13" t="n"/>
      <c r="AS1145" s="14" t="n"/>
      <c r="AT1145" s="12" t="n"/>
      <c r="AU1145" s="13" t="n"/>
      <c r="AV1145" s="14" t="n"/>
      <c r="AW1145" s="12" t="n"/>
      <c r="AX1145" s="13" t="n"/>
      <c r="AY1145" s="14" t="n"/>
      <c r="AZ1145" s="12" t="n"/>
      <c r="BA1145" s="13" t="n"/>
      <c r="BB1145" s="14" t="n"/>
      <c r="BC1145" s="11">
        <f>IF(O1145="","",IF(J1145="GST 10%",ROUND(O1145*set_GSTRate,2),0))</f>
        <v/>
      </c>
      <c r="BD1145" s="11">
        <f>IF(O1145="","",O1145+BC1145)</f>
        <v/>
      </c>
      <c r="BE1145" s="15">
        <f>IF(O1145="","",COUNTA(S1145,V1145,Y1145,AB1145,AE1145,AH1145,AK1145,AN1145,AQ1145,AT1145,AW1145,AZ1145))</f>
        <v/>
      </c>
      <c r="BF1145" s="16">
        <f>IF(COUNT(T1145,W1145,Z1145,AC1145,AF1145,AI1145,AL1145,AO1145,AR1145,AU1145,AX1145,BA1145)=0,"",MAX(T1145,W1145,Z1145,AC1145,AF1145,AI1145,AL1145,AO1145,AR1145,AU1145,AX1145,BA1145))</f>
        <v/>
      </c>
      <c r="BG1145" s="10">
        <f>MID(IF(S1145="","",", "&amp;S1145)&amp;IF(V1145="","",", "&amp;V1145)&amp;IF(Y1145="","",", "&amp;Y1145)&amp;IF(AB1145="","",", "&amp;AB1145)&amp;IF(AE1145="","",", "&amp;AE1145)&amp;IF(AH1145="","",", "&amp;AH1145)&amp;IF(AK1145="","",", "&amp;AK1145)&amp;IF(AN1145="","",", "&amp;AN1145)&amp;IF(AQ1145="","",", "&amp;AQ1145)&amp;IF(AT1145="","",", "&amp;AT1145)&amp;IF(AW1145="","",", "&amp;AW1145)&amp;IF(AZ1145="","",", "&amp;AZ1145),3,500)</f>
        <v/>
      </c>
      <c r="BH1145" s="12" t="n"/>
      <c r="BI1145" s="15">
        <f>IFERROR(MATCH($A1145,IF($B1145="Onsite",tbl_Onsite[Row ID],IF($B1145="Production",tbl_Production[Row ID],tbl_Consulting[Row ID])),0),"")</f>
        <v/>
      </c>
    </row>
    <row r="1146">
      <c r="A1146" s="10" t="inlineStr">
        <is>
          <t>CON-0140</t>
        </is>
      </c>
      <c r="B1146" s="10" t="inlineStr">
        <is>
          <t>Consulting</t>
        </is>
      </c>
      <c r="C1146" s="10">
        <f>IF($BI1146="","",IF($B1146="Onsite",INDEX(tbl_Onsite[Job Number],$BI1146),IF($B1146="Production",INDEX(tbl_Production[Job Number],$BI1146),INDEX(tbl_Consulting[Job Number],$BI1146)))&amp;"")</f>
        <v/>
      </c>
      <c r="D1146" s="10">
        <f>IF($BI1146="","",IF($B1146="Onsite",INDEX(tbl_Onsite[Client],$BI1146),IF($B1146="Production",INDEX(tbl_Production[Client],$BI1146),INDEX(tbl_Consulting[Client],$BI1146)))&amp;"")</f>
        <v/>
      </c>
      <c r="E1146" s="10">
        <f>IF($C1146="","",IF(COUNTIF(lst_Jobs,$C1146)&gt;0,"OK","CHECK"))</f>
        <v/>
      </c>
      <c r="F1146" s="10">
        <f>IF($C1146="","",IFERROR(INDEX(lst_JobName,MATCH($C1146,lst_Jobs,0)),""))</f>
        <v/>
      </c>
      <c r="G1146" s="10">
        <f>IF($BI1146="","",IF($B1146="Onsite",INDEX(tbl_Onsite[Job Description],$BI1146),IF($B1146="Production",INDEX(tbl_Production[Job Description],$BI1146),INDEX(tbl_Consulting[Job Description],$BI1146)))&amp;"")</f>
        <v/>
      </c>
      <c r="H1146" s="10">
        <f>IF($BI1146="","",IF($B1146="Onsite",INDEX(tbl_Onsite[Cost Centre],$BI1146),IF($B1146="Production",INDEX(tbl_Production[Cost Centre],$BI1146),INDEX(tbl_Consulting[Cost Centre],$BI1146)))&amp;"")</f>
        <v/>
      </c>
      <c r="I1146" s="10">
        <f>IF($BI1146="","",IF($B1146="Onsite",INDEX(tbl_Onsite[Invoice Type],$BI1146),IF($B1146="Production",INDEX(tbl_Production[Invoice Type],$BI1146),INDEX(tbl_Consulting[Invoice Type],$BI1146)))&amp;"")</f>
        <v/>
      </c>
      <c r="J1146" s="10">
        <f>IF($BI1146="","",IF($B1146="Onsite",INDEX(tbl_Onsite[Tax Code],$BI1146),IF($B1146="Production",INDEX(tbl_Production[Tax Code],$BI1146),INDEX(tbl_Consulting[Tax Code],$BI1146)))&amp;"")</f>
        <v/>
      </c>
      <c r="K1146" s="10">
        <f>IF(H1146="","",IFERROR(INDEX(lst_CCtoGL,MATCH(H1146,lst_CCforGL,0)),""))</f>
        <v/>
      </c>
      <c r="L1146" s="10">
        <f>IF($BI1146="","",IF($B1146="Onsite",INDEX(tbl_Onsite[PO / Reference],$BI1146),IF($B1146="Production",INDEX(tbl_Production[Current RMS No],$BI1146),INDEX(tbl_Consulting[Qwilr Quote],$BI1146)))&amp;"")</f>
        <v/>
      </c>
      <c r="M1146" s="10">
        <f>IF($BI1146="","",IF($B1146="Onsite",INDEX(tbl_Onsite[Notes],$BI1146),IF($B1146="Production",INDEX(tbl_Production[Notes],$BI1146),INDEX(tbl_Consulting[Notes],$BI1146)))&amp;"")</f>
        <v/>
      </c>
      <c r="N1146" s="11">
        <f>IF($BI1146="","",IF(IF($B1146="Onsite",INDEX(tbl_Onsite[Expected Revenue Ex GST],$BI1146),IF($B1146="Production",INDEX(tbl_Production[Expected Revenue Ex GST],$BI1146),INDEX(tbl_Consulting[Expected Revenue Ex GST],$BI1146)))="","",IF($B1146="Onsite",INDEX(tbl_Onsite[Expected Revenue Ex GST],$BI1146),IF($B1146="Production",INDEX(tbl_Production[Expected Revenue Ex GST],$BI1146),INDEX(tbl_Consulting[Expected Revenue Ex GST],$BI1146)))))</f>
        <v/>
      </c>
      <c r="O1146" s="11">
        <f>IF(AND($C1146="",NOT(COUNTA($S1146:$BB1146)&gt;0)),"",SUM(U1146,X1146,AA1146,AD1146,AG1146,AJ1146,AM1146,AP1146,AS1146,AV1146,AY1146,BB1146))</f>
        <v/>
      </c>
      <c r="P1146" s="11">
        <f>IF(O1146="","",N(N1146)-O1146)</f>
        <v/>
      </c>
      <c r="Q1146" s="10">
        <f>IF(O1146="","",IF($C1146="","Invoice on empty job row",IF(N1146="",IF(ROUND(O1146,2)=0,"No dept value","Invoiced - no dept value"),IF(ROUND(O1146,2)=0,"Not invoiced - to invoice",IF(ROUND(P1146,2)=0,"Agrees",IF(P1146&gt;0,"Dept higher - to invoice","Xero higher - check dept"))))))</f>
        <v/>
      </c>
      <c r="R1146" s="10">
        <f>IF(AND($C1146="",NOT(COUNTA($S1146:$BB1146)&gt;0),$BI1146&lt;&gt;""),"",MID(IF($BI1146="","; Row ID not found on the department sheet - a row was deleted","")&amp;IF(AND($C1146="",COUNTA($S1146:$BB1146)&gt;0),"; Invoice entered but the department row has no job number","")&amp;IF(E1146="CHECK","; Job number not in the Xero job list","")&amp;IF(AND($C1146&lt;&gt;"",COUNTIF($C$7:$C$1506,$C1146)&gt;1),"; Job number on more than one row","")&amp;IF(AND($C1146&lt;&gt;"",H1146=""),"; Dept has not set a cost centre","")&amp;IF(AND($C1146&lt;&gt;"",J1146=""),"; Dept has not set a tax code","")&amp;IF(AND($C1146&lt;&gt;"",N1146=""),"; Dept has not entered an expected value","")&amp;IF((IF(OR(COUNTA(S1146:U1146)=0,AND(COUNTA(S1146:U1146)=3,ISNUMBER(U1146))),0,1)+IF(OR(COUNTA(V1146:X1146)=0,AND(COUNTA(V1146:X1146)=3,ISNUMBER(X1146))),0,1)+IF(OR(COUNTA(Y1146:AA1146)=0,AND(COUNTA(Y1146:AA1146)=3,ISNUMBER(AA1146))),0,1)+IF(OR(COUNTA(AB1146:AD1146)=0,AND(COUNTA(AB1146:AD1146)=3,ISNUMBER(AD1146))),0,1)+IF(OR(COUNTA(AE1146:AG1146)=0,AND(COUNTA(AE1146:AG1146)=3,ISNUMBER(AG1146))),0,1)+IF(OR(COUNTA(AH1146:AJ1146)=0,AND(COUNTA(AH1146:AJ1146)=3,ISNUMBER(AJ1146))),0,1)+IF(OR(COUNTA(AK1146:AM1146)=0,AND(COUNTA(AK1146:AM1146)=3,ISNUMBER(AM1146))),0,1)+IF(OR(COUNTA(AN1146:AP1146)=0,AND(COUNTA(AN1146:AP1146)=3,ISNUMBER(AP1146))),0,1)+IF(OR(COUNTA(AQ1146:AS1146)=0,AND(COUNTA(AQ1146:AS1146)=3,ISNUMBER(AS1146))),0,1)+IF(OR(COUNTA(AT1146:AV1146)=0,AND(COUNTA(AT1146:AV1146)=3,ISNUMBER(AV1146))),0,1)+IF(OR(COUNTA(AW1146:AY1146)=0,AND(COUNTA(AW1146:AY1146)=3,ISNUMBER(AY1146))),0,1)+IF(OR(COUNTA(AZ1146:BB1146)=0,AND(COUNTA(AZ1146:BB1146)=3,ISNUMBER(BB1146))),0,1))&gt;0,"; An invoice is incomplete (needs No, Date and a number in Ex GST)","")&amp;IF((IF(T1146="",0,IFERROR(--(EOMONTH(T1146,0)&lt;&gt;S$5),1))+IF(W1146="",0,IFERROR(--(EOMONTH(W1146,0)&lt;&gt;V$5),1))+IF(Z1146="",0,IFERROR(--(EOMONTH(Z1146,0)&lt;&gt;Y$5),1))+IF(AC1146="",0,IFERROR(--(EOMONTH(AC1146,0)&lt;&gt;AB$5),1))+IF(AF1146="",0,IFERROR(--(EOMONTH(AF1146,0)&lt;&gt;AE$5),1))+IF(AI1146="",0,IFERROR(--(EOMONTH(AI1146,0)&lt;&gt;AH$5),1))+IF(AL1146="",0,IFERROR(--(EOMONTH(AL1146,0)&lt;&gt;AK$5),1))+IF(AO1146="",0,IFERROR(--(EOMONTH(AO1146,0)&lt;&gt;AN$5),1))+IF(AR1146="",0,IFERROR(--(EOMONTH(AR1146,0)&lt;&gt;AQ$5),1))+IF(AU1146="",0,IFERROR(--(EOMONTH(AU1146,0)&lt;&gt;AT$5),1))+IF(AX1146="",0,IFERROR(--(EOMONTH(AX1146,0)&lt;&gt;AW$5),1))+IF(BA1146="",0,IFERROR(--(EOMONTH(BA1146,0)&lt;&gt;AZ$5),1)))&gt;0,"; An invoice date is not in the month it is typed under",""),3,500))</f>
        <v/>
      </c>
      <c r="S1146" s="12" t="n"/>
      <c r="T1146" s="13" t="n"/>
      <c r="U1146" s="14" t="n"/>
      <c r="V1146" s="12" t="n"/>
      <c r="W1146" s="13" t="n"/>
      <c r="X1146" s="14" t="n"/>
      <c r="Y1146" s="12" t="n"/>
      <c r="Z1146" s="13" t="n"/>
      <c r="AA1146" s="14" t="n"/>
      <c r="AB1146" s="12" t="n"/>
      <c r="AC1146" s="13" t="n"/>
      <c r="AD1146" s="14" t="n"/>
      <c r="AE1146" s="12" t="n"/>
      <c r="AF1146" s="13" t="n"/>
      <c r="AG1146" s="14" t="n"/>
      <c r="AH1146" s="12" t="n"/>
      <c r="AI1146" s="13" t="n"/>
      <c r="AJ1146" s="14" t="n"/>
      <c r="AK1146" s="12" t="n"/>
      <c r="AL1146" s="13" t="n"/>
      <c r="AM1146" s="14" t="n"/>
      <c r="AN1146" s="12" t="n"/>
      <c r="AO1146" s="13" t="n"/>
      <c r="AP1146" s="14" t="n"/>
      <c r="AQ1146" s="12" t="n"/>
      <c r="AR1146" s="13" t="n"/>
      <c r="AS1146" s="14" t="n"/>
      <c r="AT1146" s="12" t="n"/>
      <c r="AU1146" s="13" t="n"/>
      <c r="AV1146" s="14" t="n"/>
      <c r="AW1146" s="12" t="n"/>
      <c r="AX1146" s="13" t="n"/>
      <c r="AY1146" s="14" t="n"/>
      <c r="AZ1146" s="12" t="n"/>
      <c r="BA1146" s="13" t="n"/>
      <c r="BB1146" s="14" t="n"/>
      <c r="BC1146" s="11">
        <f>IF(O1146="","",IF(J1146="GST 10%",ROUND(O1146*set_GSTRate,2),0))</f>
        <v/>
      </c>
      <c r="BD1146" s="11">
        <f>IF(O1146="","",O1146+BC1146)</f>
        <v/>
      </c>
      <c r="BE1146" s="15">
        <f>IF(O1146="","",COUNTA(S1146,V1146,Y1146,AB1146,AE1146,AH1146,AK1146,AN1146,AQ1146,AT1146,AW1146,AZ1146))</f>
        <v/>
      </c>
      <c r="BF1146" s="16">
        <f>IF(COUNT(T1146,W1146,Z1146,AC1146,AF1146,AI1146,AL1146,AO1146,AR1146,AU1146,AX1146,BA1146)=0,"",MAX(T1146,W1146,Z1146,AC1146,AF1146,AI1146,AL1146,AO1146,AR1146,AU1146,AX1146,BA1146))</f>
        <v/>
      </c>
      <c r="BG1146" s="10">
        <f>MID(IF(S1146="","",", "&amp;S1146)&amp;IF(V1146="","",", "&amp;V1146)&amp;IF(Y1146="","",", "&amp;Y1146)&amp;IF(AB1146="","",", "&amp;AB1146)&amp;IF(AE1146="","",", "&amp;AE1146)&amp;IF(AH1146="","",", "&amp;AH1146)&amp;IF(AK1146="","",", "&amp;AK1146)&amp;IF(AN1146="","",", "&amp;AN1146)&amp;IF(AQ1146="","",", "&amp;AQ1146)&amp;IF(AT1146="","",", "&amp;AT1146)&amp;IF(AW1146="","",", "&amp;AW1146)&amp;IF(AZ1146="","",", "&amp;AZ1146),3,500)</f>
        <v/>
      </c>
      <c r="BH1146" s="12" t="n"/>
      <c r="BI1146" s="15">
        <f>IFERROR(MATCH($A1146,IF($B1146="Onsite",tbl_Onsite[Row ID],IF($B1146="Production",tbl_Production[Row ID],tbl_Consulting[Row ID])),0),"")</f>
        <v/>
      </c>
    </row>
    <row r="1147">
      <c r="A1147" s="10" t="inlineStr">
        <is>
          <t>CON-0141</t>
        </is>
      </c>
      <c r="B1147" s="10" t="inlineStr">
        <is>
          <t>Consulting</t>
        </is>
      </c>
      <c r="C1147" s="10">
        <f>IF($BI1147="","",IF($B1147="Onsite",INDEX(tbl_Onsite[Job Number],$BI1147),IF($B1147="Production",INDEX(tbl_Production[Job Number],$BI1147),INDEX(tbl_Consulting[Job Number],$BI1147)))&amp;"")</f>
        <v/>
      </c>
      <c r="D1147" s="10">
        <f>IF($BI1147="","",IF($B1147="Onsite",INDEX(tbl_Onsite[Client],$BI1147),IF($B1147="Production",INDEX(tbl_Production[Client],$BI1147),INDEX(tbl_Consulting[Client],$BI1147)))&amp;"")</f>
        <v/>
      </c>
      <c r="E1147" s="10">
        <f>IF($C1147="","",IF(COUNTIF(lst_Jobs,$C1147)&gt;0,"OK","CHECK"))</f>
        <v/>
      </c>
      <c r="F1147" s="10">
        <f>IF($C1147="","",IFERROR(INDEX(lst_JobName,MATCH($C1147,lst_Jobs,0)),""))</f>
        <v/>
      </c>
      <c r="G1147" s="10">
        <f>IF($BI1147="","",IF($B1147="Onsite",INDEX(tbl_Onsite[Job Description],$BI1147),IF($B1147="Production",INDEX(tbl_Production[Job Description],$BI1147),INDEX(tbl_Consulting[Job Description],$BI1147)))&amp;"")</f>
        <v/>
      </c>
      <c r="H1147" s="10">
        <f>IF($BI1147="","",IF($B1147="Onsite",INDEX(tbl_Onsite[Cost Centre],$BI1147),IF($B1147="Production",INDEX(tbl_Production[Cost Centre],$BI1147),INDEX(tbl_Consulting[Cost Centre],$BI1147)))&amp;"")</f>
        <v/>
      </c>
      <c r="I1147" s="10">
        <f>IF($BI1147="","",IF($B1147="Onsite",INDEX(tbl_Onsite[Invoice Type],$BI1147),IF($B1147="Production",INDEX(tbl_Production[Invoice Type],$BI1147),INDEX(tbl_Consulting[Invoice Type],$BI1147)))&amp;"")</f>
        <v/>
      </c>
      <c r="J1147" s="10">
        <f>IF($BI1147="","",IF($B1147="Onsite",INDEX(tbl_Onsite[Tax Code],$BI1147),IF($B1147="Production",INDEX(tbl_Production[Tax Code],$BI1147),INDEX(tbl_Consulting[Tax Code],$BI1147)))&amp;"")</f>
        <v/>
      </c>
      <c r="K1147" s="10">
        <f>IF(H1147="","",IFERROR(INDEX(lst_CCtoGL,MATCH(H1147,lst_CCforGL,0)),""))</f>
        <v/>
      </c>
      <c r="L1147" s="10">
        <f>IF($BI1147="","",IF($B1147="Onsite",INDEX(tbl_Onsite[PO / Reference],$BI1147),IF($B1147="Production",INDEX(tbl_Production[Current RMS No],$BI1147),INDEX(tbl_Consulting[Qwilr Quote],$BI1147)))&amp;"")</f>
        <v/>
      </c>
      <c r="M1147" s="10">
        <f>IF($BI1147="","",IF($B1147="Onsite",INDEX(tbl_Onsite[Notes],$BI1147),IF($B1147="Production",INDEX(tbl_Production[Notes],$BI1147),INDEX(tbl_Consulting[Notes],$BI1147)))&amp;"")</f>
        <v/>
      </c>
      <c r="N1147" s="11">
        <f>IF($BI1147="","",IF(IF($B1147="Onsite",INDEX(tbl_Onsite[Expected Revenue Ex GST],$BI1147),IF($B1147="Production",INDEX(tbl_Production[Expected Revenue Ex GST],$BI1147),INDEX(tbl_Consulting[Expected Revenue Ex GST],$BI1147)))="","",IF($B1147="Onsite",INDEX(tbl_Onsite[Expected Revenue Ex GST],$BI1147),IF($B1147="Production",INDEX(tbl_Production[Expected Revenue Ex GST],$BI1147),INDEX(tbl_Consulting[Expected Revenue Ex GST],$BI1147)))))</f>
        <v/>
      </c>
      <c r="O1147" s="11">
        <f>IF(AND($C1147="",NOT(COUNTA($S1147:$BB1147)&gt;0)),"",SUM(U1147,X1147,AA1147,AD1147,AG1147,AJ1147,AM1147,AP1147,AS1147,AV1147,AY1147,BB1147))</f>
        <v/>
      </c>
      <c r="P1147" s="11">
        <f>IF(O1147="","",N(N1147)-O1147)</f>
        <v/>
      </c>
      <c r="Q1147" s="10">
        <f>IF(O1147="","",IF($C1147="","Invoice on empty job row",IF(N1147="",IF(ROUND(O1147,2)=0,"No dept value","Invoiced - no dept value"),IF(ROUND(O1147,2)=0,"Not invoiced - to invoice",IF(ROUND(P1147,2)=0,"Agrees",IF(P1147&gt;0,"Dept higher - to invoice","Xero higher - check dept"))))))</f>
        <v/>
      </c>
      <c r="R1147" s="10">
        <f>IF(AND($C1147="",NOT(COUNTA($S1147:$BB1147)&gt;0),$BI1147&lt;&gt;""),"",MID(IF($BI1147="","; Row ID not found on the department sheet - a row was deleted","")&amp;IF(AND($C1147="",COUNTA($S1147:$BB1147)&gt;0),"; Invoice entered but the department row has no job number","")&amp;IF(E1147="CHECK","; Job number not in the Xero job list","")&amp;IF(AND($C1147&lt;&gt;"",COUNTIF($C$7:$C$1506,$C1147)&gt;1),"; Job number on more than one row","")&amp;IF(AND($C1147&lt;&gt;"",H1147=""),"; Dept has not set a cost centre","")&amp;IF(AND($C1147&lt;&gt;"",J1147=""),"; Dept has not set a tax code","")&amp;IF(AND($C1147&lt;&gt;"",N1147=""),"; Dept has not entered an expected value","")&amp;IF((IF(OR(COUNTA(S1147:U1147)=0,AND(COUNTA(S1147:U1147)=3,ISNUMBER(U1147))),0,1)+IF(OR(COUNTA(V1147:X1147)=0,AND(COUNTA(V1147:X1147)=3,ISNUMBER(X1147))),0,1)+IF(OR(COUNTA(Y1147:AA1147)=0,AND(COUNTA(Y1147:AA1147)=3,ISNUMBER(AA1147))),0,1)+IF(OR(COUNTA(AB1147:AD1147)=0,AND(COUNTA(AB1147:AD1147)=3,ISNUMBER(AD1147))),0,1)+IF(OR(COUNTA(AE1147:AG1147)=0,AND(COUNTA(AE1147:AG1147)=3,ISNUMBER(AG1147))),0,1)+IF(OR(COUNTA(AH1147:AJ1147)=0,AND(COUNTA(AH1147:AJ1147)=3,ISNUMBER(AJ1147))),0,1)+IF(OR(COUNTA(AK1147:AM1147)=0,AND(COUNTA(AK1147:AM1147)=3,ISNUMBER(AM1147))),0,1)+IF(OR(COUNTA(AN1147:AP1147)=0,AND(COUNTA(AN1147:AP1147)=3,ISNUMBER(AP1147))),0,1)+IF(OR(COUNTA(AQ1147:AS1147)=0,AND(COUNTA(AQ1147:AS1147)=3,ISNUMBER(AS1147))),0,1)+IF(OR(COUNTA(AT1147:AV1147)=0,AND(COUNTA(AT1147:AV1147)=3,ISNUMBER(AV1147))),0,1)+IF(OR(COUNTA(AW1147:AY1147)=0,AND(COUNTA(AW1147:AY1147)=3,ISNUMBER(AY1147))),0,1)+IF(OR(COUNTA(AZ1147:BB1147)=0,AND(COUNTA(AZ1147:BB1147)=3,ISNUMBER(BB1147))),0,1))&gt;0,"; An invoice is incomplete (needs No, Date and a number in Ex GST)","")&amp;IF((IF(T1147="",0,IFERROR(--(EOMONTH(T1147,0)&lt;&gt;S$5),1))+IF(W1147="",0,IFERROR(--(EOMONTH(W1147,0)&lt;&gt;V$5),1))+IF(Z1147="",0,IFERROR(--(EOMONTH(Z1147,0)&lt;&gt;Y$5),1))+IF(AC1147="",0,IFERROR(--(EOMONTH(AC1147,0)&lt;&gt;AB$5),1))+IF(AF1147="",0,IFERROR(--(EOMONTH(AF1147,0)&lt;&gt;AE$5),1))+IF(AI1147="",0,IFERROR(--(EOMONTH(AI1147,0)&lt;&gt;AH$5),1))+IF(AL1147="",0,IFERROR(--(EOMONTH(AL1147,0)&lt;&gt;AK$5),1))+IF(AO1147="",0,IFERROR(--(EOMONTH(AO1147,0)&lt;&gt;AN$5),1))+IF(AR1147="",0,IFERROR(--(EOMONTH(AR1147,0)&lt;&gt;AQ$5),1))+IF(AU1147="",0,IFERROR(--(EOMONTH(AU1147,0)&lt;&gt;AT$5),1))+IF(AX1147="",0,IFERROR(--(EOMONTH(AX1147,0)&lt;&gt;AW$5),1))+IF(BA1147="",0,IFERROR(--(EOMONTH(BA1147,0)&lt;&gt;AZ$5),1)))&gt;0,"; An invoice date is not in the month it is typed under",""),3,500))</f>
        <v/>
      </c>
      <c r="S1147" s="12" t="n"/>
      <c r="T1147" s="13" t="n"/>
      <c r="U1147" s="14" t="n"/>
      <c r="V1147" s="12" t="n"/>
      <c r="W1147" s="13" t="n"/>
      <c r="X1147" s="14" t="n"/>
      <c r="Y1147" s="12" t="n"/>
      <c r="Z1147" s="13" t="n"/>
      <c r="AA1147" s="14" t="n"/>
      <c r="AB1147" s="12" t="n"/>
      <c r="AC1147" s="13" t="n"/>
      <c r="AD1147" s="14" t="n"/>
      <c r="AE1147" s="12" t="n"/>
      <c r="AF1147" s="13" t="n"/>
      <c r="AG1147" s="14" t="n"/>
      <c r="AH1147" s="12" t="n"/>
      <c r="AI1147" s="13" t="n"/>
      <c r="AJ1147" s="14" t="n"/>
      <c r="AK1147" s="12" t="n"/>
      <c r="AL1147" s="13" t="n"/>
      <c r="AM1147" s="14" t="n"/>
      <c r="AN1147" s="12" t="n"/>
      <c r="AO1147" s="13" t="n"/>
      <c r="AP1147" s="14" t="n"/>
      <c r="AQ1147" s="12" t="n"/>
      <c r="AR1147" s="13" t="n"/>
      <c r="AS1147" s="14" t="n"/>
      <c r="AT1147" s="12" t="n"/>
      <c r="AU1147" s="13" t="n"/>
      <c r="AV1147" s="14" t="n"/>
      <c r="AW1147" s="12" t="n"/>
      <c r="AX1147" s="13" t="n"/>
      <c r="AY1147" s="14" t="n"/>
      <c r="AZ1147" s="12" t="n"/>
      <c r="BA1147" s="13" t="n"/>
      <c r="BB1147" s="14" t="n"/>
      <c r="BC1147" s="11">
        <f>IF(O1147="","",IF(J1147="GST 10%",ROUND(O1147*set_GSTRate,2),0))</f>
        <v/>
      </c>
      <c r="BD1147" s="11">
        <f>IF(O1147="","",O1147+BC1147)</f>
        <v/>
      </c>
      <c r="BE1147" s="15">
        <f>IF(O1147="","",COUNTA(S1147,V1147,Y1147,AB1147,AE1147,AH1147,AK1147,AN1147,AQ1147,AT1147,AW1147,AZ1147))</f>
        <v/>
      </c>
      <c r="BF1147" s="16">
        <f>IF(COUNT(T1147,W1147,Z1147,AC1147,AF1147,AI1147,AL1147,AO1147,AR1147,AU1147,AX1147,BA1147)=0,"",MAX(T1147,W1147,Z1147,AC1147,AF1147,AI1147,AL1147,AO1147,AR1147,AU1147,AX1147,BA1147))</f>
        <v/>
      </c>
      <c r="BG1147" s="10">
        <f>MID(IF(S1147="","",", "&amp;S1147)&amp;IF(V1147="","",", "&amp;V1147)&amp;IF(Y1147="","",", "&amp;Y1147)&amp;IF(AB1147="","",", "&amp;AB1147)&amp;IF(AE1147="","",", "&amp;AE1147)&amp;IF(AH1147="","",", "&amp;AH1147)&amp;IF(AK1147="","",", "&amp;AK1147)&amp;IF(AN1147="","",", "&amp;AN1147)&amp;IF(AQ1147="","",", "&amp;AQ1147)&amp;IF(AT1147="","",", "&amp;AT1147)&amp;IF(AW1147="","",", "&amp;AW1147)&amp;IF(AZ1147="","",", "&amp;AZ1147),3,500)</f>
        <v/>
      </c>
      <c r="BH1147" s="12" t="n"/>
      <c r="BI1147" s="15">
        <f>IFERROR(MATCH($A1147,IF($B1147="Onsite",tbl_Onsite[Row ID],IF($B1147="Production",tbl_Production[Row ID],tbl_Consulting[Row ID])),0),"")</f>
        <v/>
      </c>
    </row>
    <row r="1148">
      <c r="A1148" s="10" t="inlineStr">
        <is>
          <t>CON-0142</t>
        </is>
      </c>
      <c r="B1148" s="10" t="inlineStr">
        <is>
          <t>Consulting</t>
        </is>
      </c>
      <c r="C1148" s="10">
        <f>IF($BI1148="","",IF($B1148="Onsite",INDEX(tbl_Onsite[Job Number],$BI1148),IF($B1148="Production",INDEX(tbl_Production[Job Number],$BI1148),INDEX(tbl_Consulting[Job Number],$BI1148)))&amp;"")</f>
        <v/>
      </c>
      <c r="D1148" s="10">
        <f>IF($BI1148="","",IF($B1148="Onsite",INDEX(tbl_Onsite[Client],$BI1148),IF($B1148="Production",INDEX(tbl_Production[Client],$BI1148),INDEX(tbl_Consulting[Client],$BI1148)))&amp;"")</f>
        <v/>
      </c>
      <c r="E1148" s="10">
        <f>IF($C1148="","",IF(COUNTIF(lst_Jobs,$C1148)&gt;0,"OK","CHECK"))</f>
        <v/>
      </c>
      <c r="F1148" s="10">
        <f>IF($C1148="","",IFERROR(INDEX(lst_JobName,MATCH($C1148,lst_Jobs,0)),""))</f>
        <v/>
      </c>
      <c r="G1148" s="10">
        <f>IF($BI1148="","",IF($B1148="Onsite",INDEX(tbl_Onsite[Job Description],$BI1148),IF($B1148="Production",INDEX(tbl_Production[Job Description],$BI1148),INDEX(tbl_Consulting[Job Description],$BI1148)))&amp;"")</f>
        <v/>
      </c>
      <c r="H1148" s="10">
        <f>IF($BI1148="","",IF($B1148="Onsite",INDEX(tbl_Onsite[Cost Centre],$BI1148),IF($B1148="Production",INDEX(tbl_Production[Cost Centre],$BI1148),INDEX(tbl_Consulting[Cost Centre],$BI1148)))&amp;"")</f>
        <v/>
      </c>
      <c r="I1148" s="10">
        <f>IF($BI1148="","",IF($B1148="Onsite",INDEX(tbl_Onsite[Invoice Type],$BI1148),IF($B1148="Production",INDEX(tbl_Production[Invoice Type],$BI1148),INDEX(tbl_Consulting[Invoice Type],$BI1148)))&amp;"")</f>
        <v/>
      </c>
      <c r="J1148" s="10">
        <f>IF($BI1148="","",IF($B1148="Onsite",INDEX(tbl_Onsite[Tax Code],$BI1148),IF($B1148="Production",INDEX(tbl_Production[Tax Code],$BI1148),INDEX(tbl_Consulting[Tax Code],$BI1148)))&amp;"")</f>
        <v/>
      </c>
      <c r="K1148" s="10">
        <f>IF(H1148="","",IFERROR(INDEX(lst_CCtoGL,MATCH(H1148,lst_CCforGL,0)),""))</f>
        <v/>
      </c>
      <c r="L1148" s="10">
        <f>IF($BI1148="","",IF($B1148="Onsite",INDEX(tbl_Onsite[PO / Reference],$BI1148),IF($B1148="Production",INDEX(tbl_Production[Current RMS No],$BI1148),INDEX(tbl_Consulting[Qwilr Quote],$BI1148)))&amp;"")</f>
        <v/>
      </c>
      <c r="M1148" s="10">
        <f>IF($BI1148="","",IF($B1148="Onsite",INDEX(tbl_Onsite[Notes],$BI1148),IF($B1148="Production",INDEX(tbl_Production[Notes],$BI1148),INDEX(tbl_Consulting[Notes],$BI1148)))&amp;"")</f>
        <v/>
      </c>
      <c r="N1148" s="11">
        <f>IF($BI1148="","",IF(IF($B1148="Onsite",INDEX(tbl_Onsite[Expected Revenue Ex GST],$BI1148),IF($B1148="Production",INDEX(tbl_Production[Expected Revenue Ex GST],$BI1148),INDEX(tbl_Consulting[Expected Revenue Ex GST],$BI1148)))="","",IF($B1148="Onsite",INDEX(tbl_Onsite[Expected Revenue Ex GST],$BI1148),IF($B1148="Production",INDEX(tbl_Production[Expected Revenue Ex GST],$BI1148),INDEX(tbl_Consulting[Expected Revenue Ex GST],$BI1148)))))</f>
        <v/>
      </c>
      <c r="O1148" s="11">
        <f>IF(AND($C1148="",NOT(COUNTA($S1148:$BB1148)&gt;0)),"",SUM(U1148,X1148,AA1148,AD1148,AG1148,AJ1148,AM1148,AP1148,AS1148,AV1148,AY1148,BB1148))</f>
        <v/>
      </c>
      <c r="P1148" s="11">
        <f>IF(O1148="","",N(N1148)-O1148)</f>
        <v/>
      </c>
      <c r="Q1148" s="10">
        <f>IF(O1148="","",IF($C1148="","Invoice on empty job row",IF(N1148="",IF(ROUND(O1148,2)=0,"No dept value","Invoiced - no dept value"),IF(ROUND(O1148,2)=0,"Not invoiced - to invoice",IF(ROUND(P1148,2)=0,"Agrees",IF(P1148&gt;0,"Dept higher - to invoice","Xero higher - check dept"))))))</f>
        <v/>
      </c>
      <c r="R1148" s="10">
        <f>IF(AND($C1148="",NOT(COUNTA($S1148:$BB1148)&gt;0),$BI1148&lt;&gt;""),"",MID(IF($BI1148="","; Row ID not found on the department sheet - a row was deleted","")&amp;IF(AND($C1148="",COUNTA($S1148:$BB1148)&gt;0),"; Invoice entered but the department row has no job number","")&amp;IF(E1148="CHECK","; Job number not in the Xero job list","")&amp;IF(AND($C1148&lt;&gt;"",COUNTIF($C$7:$C$1506,$C1148)&gt;1),"; Job number on more than one row","")&amp;IF(AND($C1148&lt;&gt;"",H1148=""),"; Dept has not set a cost centre","")&amp;IF(AND($C1148&lt;&gt;"",J1148=""),"; Dept has not set a tax code","")&amp;IF(AND($C1148&lt;&gt;"",N1148=""),"; Dept has not entered an expected value","")&amp;IF((IF(OR(COUNTA(S1148:U1148)=0,AND(COUNTA(S1148:U1148)=3,ISNUMBER(U1148))),0,1)+IF(OR(COUNTA(V1148:X1148)=0,AND(COUNTA(V1148:X1148)=3,ISNUMBER(X1148))),0,1)+IF(OR(COUNTA(Y1148:AA1148)=0,AND(COUNTA(Y1148:AA1148)=3,ISNUMBER(AA1148))),0,1)+IF(OR(COUNTA(AB1148:AD1148)=0,AND(COUNTA(AB1148:AD1148)=3,ISNUMBER(AD1148))),0,1)+IF(OR(COUNTA(AE1148:AG1148)=0,AND(COUNTA(AE1148:AG1148)=3,ISNUMBER(AG1148))),0,1)+IF(OR(COUNTA(AH1148:AJ1148)=0,AND(COUNTA(AH1148:AJ1148)=3,ISNUMBER(AJ1148))),0,1)+IF(OR(COUNTA(AK1148:AM1148)=0,AND(COUNTA(AK1148:AM1148)=3,ISNUMBER(AM1148))),0,1)+IF(OR(COUNTA(AN1148:AP1148)=0,AND(COUNTA(AN1148:AP1148)=3,ISNUMBER(AP1148))),0,1)+IF(OR(COUNTA(AQ1148:AS1148)=0,AND(COUNTA(AQ1148:AS1148)=3,ISNUMBER(AS1148))),0,1)+IF(OR(COUNTA(AT1148:AV1148)=0,AND(COUNTA(AT1148:AV1148)=3,ISNUMBER(AV1148))),0,1)+IF(OR(COUNTA(AW1148:AY1148)=0,AND(COUNTA(AW1148:AY1148)=3,ISNUMBER(AY1148))),0,1)+IF(OR(COUNTA(AZ1148:BB1148)=0,AND(COUNTA(AZ1148:BB1148)=3,ISNUMBER(BB1148))),0,1))&gt;0,"; An invoice is incomplete (needs No, Date and a number in Ex GST)","")&amp;IF((IF(T1148="",0,IFERROR(--(EOMONTH(T1148,0)&lt;&gt;S$5),1))+IF(W1148="",0,IFERROR(--(EOMONTH(W1148,0)&lt;&gt;V$5),1))+IF(Z1148="",0,IFERROR(--(EOMONTH(Z1148,0)&lt;&gt;Y$5),1))+IF(AC1148="",0,IFERROR(--(EOMONTH(AC1148,0)&lt;&gt;AB$5),1))+IF(AF1148="",0,IFERROR(--(EOMONTH(AF1148,0)&lt;&gt;AE$5),1))+IF(AI1148="",0,IFERROR(--(EOMONTH(AI1148,0)&lt;&gt;AH$5),1))+IF(AL1148="",0,IFERROR(--(EOMONTH(AL1148,0)&lt;&gt;AK$5),1))+IF(AO1148="",0,IFERROR(--(EOMONTH(AO1148,0)&lt;&gt;AN$5),1))+IF(AR1148="",0,IFERROR(--(EOMONTH(AR1148,0)&lt;&gt;AQ$5),1))+IF(AU1148="",0,IFERROR(--(EOMONTH(AU1148,0)&lt;&gt;AT$5),1))+IF(AX1148="",0,IFERROR(--(EOMONTH(AX1148,0)&lt;&gt;AW$5),1))+IF(BA1148="",0,IFERROR(--(EOMONTH(BA1148,0)&lt;&gt;AZ$5),1)))&gt;0,"; An invoice date is not in the month it is typed under",""),3,500))</f>
        <v/>
      </c>
      <c r="S1148" s="12" t="n"/>
      <c r="T1148" s="13" t="n"/>
      <c r="U1148" s="14" t="n"/>
      <c r="V1148" s="12" t="n"/>
      <c r="W1148" s="13" t="n"/>
      <c r="X1148" s="14" t="n"/>
      <c r="Y1148" s="12" t="n"/>
      <c r="Z1148" s="13" t="n"/>
      <c r="AA1148" s="14" t="n"/>
      <c r="AB1148" s="12" t="n"/>
      <c r="AC1148" s="13" t="n"/>
      <c r="AD1148" s="14" t="n"/>
      <c r="AE1148" s="12" t="n"/>
      <c r="AF1148" s="13" t="n"/>
      <c r="AG1148" s="14" t="n"/>
      <c r="AH1148" s="12" t="n"/>
      <c r="AI1148" s="13" t="n"/>
      <c r="AJ1148" s="14" t="n"/>
      <c r="AK1148" s="12" t="n"/>
      <c r="AL1148" s="13" t="n"/>
      <c r="AM1148" s="14" t="n"/>
      <c r="AN1148" s="12" t="n"/>
      <c r="AO1148" s="13" t="n"/>
      <c r="AP1148" s="14" t="n"/>
      <c r="AQ1148" s="12" t="n"/>
      <c r="AR1148" s="13" t="n"/>
      <c r="AS1148" s="14" t="n"/>
      <c r="AT1148" s="12" t="n"/>
      <c r="AU1148" s="13" t="n"/>
      <c r="AV1148" s="14" t="n"/>
      <c r="AW1148" s="12" t="n"/>
      <c r="AX1148" s="13" t="n"/>
      <c r="AY1148" s="14" t="n"/>
      <c r="AZ1148" s="12" t="n"/>
      <c r="BA1148" s="13" t="n"/>
      <c r="BB1148" s="14" t="n"/>
      <c r="BC1148" s="11">
        <f>IF(O1148="","",IF(J1148="GST 10%",ROUND(O1148*set_GSTRate,2),0))</f>
        <v/>
      </c>
      <c r="BD1148" s="11">
        <f>IF(O1148="","",O1148+BC1148)</f>
        <v/>
      </c>
      <c r="BE1148" s="15">
        <f>IF(O1148="","",COUNTA(S1148,V1148,Y1148,AB1148,AE1148,AH1148,AK1148,AN1148,AQ1148,AT1148,AW1148,AZ1148))</f>
        <v/>
      </c>
      <c r="BF1148" s="16">
        <f>IF(COUNT(T1148,W1148,Z1148,AC1148,AF1148,AI1148,AL1148,AO1148,AR1148,AU1148,AX1148,BA1148)=0,"",MAX(T1148,W1148,Z1148,AC1148,AF1148,AI1148,AL1148,AO1148,AR1148,AU1148,AX1148,BA1148))</f>
        <v/>
      </c>
      <c r="BG1148" s="10">
        <f>MID(IF(S1148="","",", "&amp;S1148)&amp;IF(V1148="","",", "&amp;V1148)&amp;IF(Y1148="","",", "&amp;Y1148)&amp;IF(AB1148="","",", "&amp;AB1148)&amp;IF(AE1148="","",", "&amp;AE1148)&amp;IF(AH1148="","",", "&amp;AH1148)&amp;IF(AK1148="","",", "&amp;AK1148)&amp;IF(AN1148="","",", "&amp;AN1148)&amp;IF(AQ1148="","",", "&amp;AQ1148)&amp;IF(AT1148="","",", "&amp;AT1148)&amp;IF(AW1148="","",", "&amp;AW1148)&amp;IF(AZ1148="","",", "&amp;AZ1148),3,500)</f>
        <v/>
      </c>
      <c r="BH1148" s="12" t="n"/>
      <c r="BI1148" s="15">
        <f>IFERROR(MATCH($A1148,IF($B1148="Onsite",tbl_Onsite[Row ID],IF($B1148="Production",tbl_Production[Row ID],tbl_Consulting[Row ID])),0),"")</f>
        <v/>
      </c>
    </row>
    <row r="1149">
      <c r="A1149" s="10" t="inlineStr">
        <is>
          <t>CON-0143</t>
        </is>
      </c>
      <c r="B1149" s="10" t="inlineStr">
        <is>
          <t>Consulting</t>
        </is>
      </c>
      <c r="C1149" s="10">
        <f>IF($BI1149="","",IF($B1149="Onsite",INDEX(tbl_Onsite[Job Number],$BI1149),IF($B1149="Production",INDEX(tbl_Production[Job Number],$BI1149),INDEX(tbl_Consulting[Job Number],$BI1149)))&amp;"")</f>
        <v/>
      </c>
      <c r="D1149" s="10">
        <f>IF($BI1149="","",IF($B1149="Onsite",INDEX(tbl_Onsite[Client],$BI1149),IF($B1149="Production",INDEX(tbl_Production[Client],$BI1149),INDEX(tbl_Consulting[Client],$BI1149)))&amp;"")</f>
        <v/>
      </c>
      <c r="E1149" s="10">
        <f>IF($C1149="","",IF(COUNTIF(lst_Jobs,$C1149)&gt;0,"OK","CHECK"))</f>
        <v/>
      </c>
      <c r="F1149" s="10">
        <f>IF($C1149="","",IFERROR(INDEX(lst_JobName,MATCH($C1149,lst_Jobs,0)),""))</f>
        <v/>
      </c>
      <c r="G1149" s="10">
        <f>IF($BI1149="","",IF($B1149="Onsite",INDEX(tbl_Onsite[Job Description],$BI1149),IF($B1149="Production",INDEX(tbl_Production[Job Description],$BI1149),INDEX(tbl_Consulting[Job Description],$BI1149)))&amp;"")</f>
        <v/>
      </c>
      <c r="H1149" s="10">
        <f>IF($BI1149="","",IF($B1149="Onsite",INDEX(tbl_Onsite[Cost Centre],$BI1149),IF($B1149="Production",INDEX(tbl_Production[Cost Centre],$BI1149),INDEX(tbl_Consulting[Cost Centre],$BI1149)))&amp;"")</f>
        <v/>
      </c>
      <c r="I1149" s="10">
        <f>IF($BI1149="","",IF($B1149="Onsite",INDEX(tbl_Onsite[Invoice Type],$BI1149),IF($B1149="Production",INDEX(tbl_Production[Invoice Type],$BI1149),INDEX(tbl_Consulting[Invoice Type],$BI1149)))&amp;"")</f>
        <v/>
      </c>
      <c r="J1149" s="10">
        <f>IF($BI1149="","",IF($B1149="Onsite",INDEX(tbl_Onsite[Tax Code],$BI1149),IF($B1149="Production",INDEX(tbl_Production[Tax Code],$BI1149),INDEX(tbl_Consulting[Tax Code],$BI1149)))&amp;"")</f>
        <v/>
      </c>
      <c r="K1149" s="10">
        <f>IF(H1149="","",IFERROR(INDEX(lst_CCtoGL,MATCH(H1149,lst_CCforGL,0)),""))</f>
        <v/>
      </c>
      <c r="L1149" s="10">
        <f>IF($BI1149="","",IF($B1149="Onsite",INDEX(tbl_Onsite[PO / Reference],$BI1149),IF($B1149="Production",INDEX(tbl_Production[Current RMS No],$BI1149),INDEX(tbl_Consulting[Qwilr Quote],$BI1149)))&amp;"")</f>
        <v/>
      </c>
      <c r="M1149" s="10">
        <f>IF($BI1149="","",IF($B1149="Onsite",INDEX(tbl_Onsite[Notes],$BI1149),IF($B1149="Production",INDEX(tbl_Production[Notes],$BI1149),INDEX(tbl_Consulting[Notes],$BI1149)))&amp;"")</f>
        <v/>
      </c>
      <c r="N1149" s="11">
        <f>IF($BI1149="","",IF(IF($B1149="Onsite",INDEX(tbl_Onsite[Expected Revenue Ex GST],$BI1149),IF($B1149="Production",INDEX(tbl_Production[Expected Revenue Ex GST],$BI1149),INDEX(tbl_Consulting[Expected Revenue Ex GST],$BI1149)))="","",IF($B1149="Onsite",INDEX(tbl_Onsite[Expected Revenue Ex GST],$BI1149),IF($B1149="Production",INDEX(tbl_Production[Expected Revenue Ex GST],$BI1149),INDEX(tbl_Consulting[Expected Revenue Ex GST],$BI1149)))))</f>
        <v/>
      </c>
      <c r="O1149" s="11">
        <f>IF(AND($C1149="",NOT(COUNTA($S1149:$BB1149)&gt;0)),"",SUM(U1149,X1149,AA1149,AD1149,AG1149,AJ1149,AM1149,AP1149,AS1149,AV1149,AY1149,BB1149))</f>
        <v/>
      </c>
      <c r="P1149" s="11">
        <f>IF(O1149="","",N(N1149)-O1149)</f>
        <v/>
      </c>
      <c r="Q1149" s="10">
        <f>IF(O1149="","",IF($C1149="","Invoice on empty job row",IF(N1149="",IF(ROUND(O1149,2)=0,"No dept value","Invoiced - no dept value"),IF(ROUND(O1149,2)=0,"Not invoiced - to invoice",IF(ROUND(P1149,2)=0,"Agrees",IF(P1149&gt;0,"Dept higher - to invoice","Xero higher - check dept"))))))</f>
        <v/>
      </c>
      <c r="R1149" s="10">
        <f>IF(AND($C1149="",NOT(COUNTA($S1149:$BB1149)&gt;0),$BI1149&lt;&gt;""),"",MID(IF($BI1149="","; Row ID not found on the department sheet - a row was deleted","")&amp;IF(AND($C1149="",COUNTA($S1149:$BB1149)&gt;0),"; Invoice entered but the department row has no job number","")&amp;IF(E1149="CHECK","; Job number not in the Xero job list","")&amp;IF(AND($C1149&lt;&gt;"",COUNTIF($C$7:$C$1506,$C1149)&gt;1),"; Job number on more than one row","")&amp;IF(AND($C1149&lt;&gt;"",H1149=""),"; Dept has not set a cost centre","")&amp;IF(AND($C1149&lt;&gt;"",J1149=""),"; Dept has not set a tax code","")&amp;IF(AND($C1149&lt;&gt;"",N1149=""),"; Dept has not entered an expected value","")&amp;IF((IF(OR(COUNTA(S1149:U1149)=0,AND(COUNTA(S1149:U1149)=3,ISNUMBER(U1149))),0,1)+IF(OR(COUNTA(V1149:X1149)=0,AND(COUNTA(V1149:X1149)=3,ISNUMBER(X1149))),0,1)+IF(OR(COUNTA(Y1149:AA1149)=0,AND(COUNTA(Y1149:AA1149)=3,ISNUMBER(AA1149))),0,1)+IF(OR(COUNTA(AB1149:AD1149)=0,AND(COUNTA(AB1149:AD1149)=3,ISNUMBER(AD1149))),0,1)+IF(OR(COUNTA(AE1149:AG1149)=0,AND(COUNTA(AE1149:AG1149)=3,ISNUMBER(AG1149))),0,1)+IF(OR(COUNTA(AH1149:AJ1149)=0,AND(COUNTA(AH1149:AJ1149)=3,ISNUMBER(AJ1149))),0,1)+IF(OR(COUNTA(AK1149:AM1149)=0,AND(COUNTA(AK1149:AM1149)=3,ISNUMBER(AM1149))),0,1)+IF(OR(COUNTA(AN1149:AP1149)=0,AND(COUNTA(AN1149:AP1149)=3,ISNUMBER(AP1149))),0,1)+IF(OR(COUNTA(AQ1149:AS1149)=0,AND(COUNTA(AQ1149:AS1149)=3,ISNUMBER(AS1149))),0,1)+IF(OR(COUNTA(AT1149:AV1149)=0,AND(COUNTA(AT1149:AV1149)=3,ISNUMBER(AV1149))),0,1)+IF(OR(COUNTA(AW1149:AY1149)=0,AND(COUNTA(AW1149:AY1149)=3,ISNUMBER(AY1149))),0,1)+IF(OR(COUNTA(AZ1149:BB1149)=0,AND(COUNTA(AZ1149:BB1149)=3,ISNUMBER(BB1149))),0,1))&gt;0,"; An invoice is incomplete (needs No, Date and a number in Ex GST)","")&amp;IF((IF(T1149="",0,IFERROR(--(EOMONTH(T1149,0)&lt;&gt;S$5),1))+IF(W1149="",0,IFERROR(--(EOMONTH(W1149,0)&lt;&gt;V$5),1))+IF(Z1149="",0,IFERROR(--(EOMONTH(Z1149,0)&lt;&gt;Y$5),1))+IF(AC1149="",0,IFERROR(--(EOMONTH(AC1149,0)&lt;&gt;AB$5),1))+IF(AF1149="",0,IFERROR(--(EOMONTH(AF1149,0)&lt;&gt;AE$5),1))+IF(AI1149="",0,IFERROR(--(EOMONTH(AI1149,0)&lt;&gt;AH$5),1))+IF(AL1149="",0,IFERROR(--(EOMONTH(AL1149,0)&lt;&gt;AK$5),1))+IF(AO1149="",0,IFERROR(--(EOMONTH(AO1149,0)&lt;&gt;AN$5),1))+IF(AR1149="",0,IFERROR(--(EOMONTH(AR1149,0)&lt;&gt;AQ$5),1))+IF(AU1149="",0,IFERROR(--(EOMONTH(AU1149,0)&lt;&gt;AT$5),1))+IF(AX1149="",0,IFERROR(--(EOMONTH(AX1149,0)&lt;&gt;AW$5),1))+IF(BA1149="",0,IFERROR(--(EOMONTH(BA1149,0)&lt;&gt;AZ$5),1)))&gt;0,"; An invoice date is not in the month it is typed under",""),3,500))</f>
        <v/>
      </c>
      <c r="S1149" s="12" t="n"/>
      <c r="T1149" s="13" t="n"/>
      <c r="U1149" s="14" t="n"/>
      <c r="V1149" s="12" t="n"/>
      <c r="W1149" s="13" t="n"/>
      <c r="X1149" s="14" t="n"/>
      <c r="Y1149" s="12" t="n"/>
      <c r="Z1149" s="13" t="n"/>
      <c r="AA1149" s="14" t="n"/>
      <c r="AB1149" s="12" t="n"/>
      <c r="AC1149" s="13" t="n"/>
      <c r="AD1149" s="14" t="n"/>
      <c r="AE1149" s="12" t="n"/>
      <c r="AF1149" s="13" t="n"/>
      <c r="AG1149" s="14" t="n"/>
      <c r="AH1149" s="12" t="n"/>
      <c r="AI1149" s="13" t="n"/>
      <c r="AJ1149" s="14" t="n"/>
      <c r="AK1149" s="12" t="n"/>
      <c r="AL1149" s="13" t="n"/>
      <c r="AM1149" s="14" t="n"/>
      <c r="AN1149" s="12" t="n"/>
      <c r="AO1149" s="13" t="n"/>
      <c r="AP1149" s="14" t="n"/>
      <c r="AQ1149" s="12" t="n"/>
      <c r="AR1149" s="13" t="n"/>
      <c r="AS1149" s="14" t="n"/>
      <c r="AT1149" s="12" t="n"/>
      <c r="AU1149" s="13" t="n"/>
      <c r="AV1149" s="14" t="n"/>
      <c r="AW1149" s="12" t="n"/>
      <c r="AX1149" s="13" t="n"/>
      <c r="AY1149" s="14" t="n"/>
      <c r="AZ1149" s="12" t="n"/>
      <c r="BA1149" s="13" t="n"/>
      <c r="BB1149" s="14" t="n"/>
      <c r="BC1149" s="11">
        <f>IF(O1149="","",IF(J1149="GST 10%",ROUND(O1149*set_GSTRate,2),0))</f>
        <v/>
      </c>
      <c r="BD1149" s="11">
        <f>IF(O1149="","",O1149+BC1149)</f>
        <v/>
      </c>
      <c r="BE1149" s="15">
        <f>IF(O1149="","",COUNTA(S1149,V1149,Y1149,AB1149,AE1149,AH1149,AK1149,AN1149,AQ1149,AT1149,AW1149,AZ1149))</f>
        <v/>
      </c>
      <c r="BF1149" s="16">
        <f>IF(COUNT(T1149,W1149,Z1149,AC1149,AF1149,AI1149,AL1149,AO1149,AR1149,AU1149,AX1149,BA1149)=0,"",MAX(T1149,W1149,Z1149,AC1149,AF1149,AI1149,AL1149,AO1149,AR1149,AU1149,AX1149,BA1149))</f>
        <v/>
      </c>
      <c r="BG1149" s="10">
        <f>MID(IF(S1149="","",", "&amp;S1149)&amp;IF(V1149="","",", "&amp;V1149)&amp;IF(Y1149="","",", "&amp;Y1149)&amp;IF(AB1149="","",", "&amp;AB1149)&amp;IF(AE1149="","",", "&amp;AE1149)&amp;IF(AH1149="","",", "&amp;AH1149)&amp;IF(AK1149="","",", "&amp;AK1149)&amp;IF(AN1149="","",", "&amp;AN1149)&amp;IF(AQ1149="","",", "&amp;AQ1149)&amp;IF(AT1149="","",", "&amp;AT1149)&amp;IF(AW1149="","",", "&amp;AW1149)&amp;IF(AZ1149="","",", "&amp;AZ1149),3,500)</f>
        <v/>
      </c>
      <c r="BH1149" s="12" t="n"/>
      <c r="BI1149" s="15">
        <f>IFERROR(MATCH($A1149,IF($B1149="Onsite",tbl_Onsite[Row ID],IF($B1149="Production",tbl_Production[Row ID],tbl_Consulting[Row ID])),0),"")</f>
        <v/>
      </c>
    </row>
    <row r="1150">
      <c r="A1150" s="10" t="inlineStr">
        <is>
          <t>CON-0144</t>
        </is>
      </c>
      <c r="B1150" s="10" t="inlineStr">
        <is>
          <t>Consulting</t>
        </is>
      </c>
      <c r="C1150" s="10">
        <f>IF($BI1150="","",IF($B1150="Onsite",INDEX(tbl_Onsite[Job Number],$BI1150),IF($B1150="Production",INDEX(tbl_Production[Job Number],$BI1150),INDEX(tbl_Consulting[Job Number],$BI1150)))&amp;"")</f>
        <v/>
      </c>
      <c r="D1150" s="10">
        <f>IF($BI1150="","",IF($B1150="Onsite",INDEX(tbl_Onsite[Client],$BI1150),IF($B1150="Production",INDEX(tbl_Production[Client],$BI1150),INDEX(tbl_Consulting[Client],$BI1150)))&amp;"")</f>
        <v/>
      </c>
      <c r="E1150" s="10">
        <f>IF($C1150="","",IF(COUNTIF(lst_Jobs,$C1150)&gt;0,"OK","CHECK"))</f>
        <v/>
      </c>
      <c r="F1150" s="10">
        <f>IF($C1150="","",IFERROR(INDEX(lst_JobName,MATCH($C1150,lst_Jobs,0)),""))</f>
        <v/>
      </c>
      <c r="G1150" s="10">
        <f>IF($BI1150="","",IF($B1150="Onsite",INDEX(tbl_Onsite[Job Description],$BI1150),IF($B1150="Production",INDEX(tbl_Production[Job Description],$BI1150),INDEX(tbl_Consulting[Job Description],$BI1150)))&amp;"")</f>
        <v/>
      </c>
      <c r="H1150" s="10">
        <f>IF($BI1150="","",IF($B1150="Onsite",INDEX(tbl_Onsite[Cost Centre],$BI1150),IF($B1150="Production",INDEX(tbl_Production[Cost Centre],$BI1150),INDEX(tbl_Consulting[Cost Centre],$BI1150)))&amp;"")</f>
        <v/>
      </c>
      <c r="I1150" s="10">
        <f>IF($BI1150="","",IF($B1150="Onsite",INDEX(tbl_Onsite[Invoice Type],$BI1150),IF($B1150="Production",INDEX(tbl_Production[Invoice Type],$BI1150),INDEX(tbl_Consulting[Invoice Type],$BI1150)))&amp;"")</f>
        <v/>
      </c>
      <c r="J1150" s="10">
        <f>IF($BI1150="","",IF($B1150="Onsite",INDEX(tbl_Onsite[Tax Code],$BI1150),IF($B1150="Production",INDEX(tbl_Production[Tax Code],$BI1150),INDEX(tbl_Consulting[Tax Code],$BI1150)))&amp;"")</f>
        <v/>
      </c>
      <c r="K1150" s="10">
        <f>IF(H1150="","",IFERROR(INDEX(lst_CCtoGL,MATCH(H1150,lst_CCforGL,0)),""))</f>
        <v/>
      </c>
      <c r="L1150" s="10">
        <f>IF($BI1150="","",IF($B1150="Onsite",INDEX(tbl_Onsite[PO / Reference],$BI1150),IF($B1150="Production",INDEX(tbl_Production[Current RMS No],$BI1150),INDEX(tbl_Consulting[Qwilr Quote],$BI1150)))&amp;"")</f>
        <v/>
      </c>
      <c r="M1150" s="10">
        <f>IF($BI1150="","",IF($B1150="Onsite",INDEX(tbl_Onsite[Notes],$BI1150),IF($B1150="Production",INDEX(tbl_Production[Notes],$BI1150),INDEX(tbl_Consulting[Notes],$BI1150)))&amp;"")</f>
        <v/>
      </c>
      <c r="N1150" s="11">
        <f>IF($BI1150="","",IF(IF($B1150="Onsite",INDEX(tbl_Onsite[Expected Revenue Ex GST],$BI1150),IF($B1150="Production",INDEX(tbl_Production[Expected Revenue Ex GST],$BI1150),INDEX(tbl_Consulting[Expected Revenue Ex GST],$BI1150)))="","",IF($B1150="Onsite",INDEX(tbl_Onsite[Expected Revenue Ex GST],$BI1150),IF($B1150="Production",INDEX(tbl_Production[Expected Revenue Ex GST],$BI1150),INDEX(tbl_Consulting[Expected Revenue Ex GST],$BI1150)))))</f>
        <v/>
      </c>
      <c r="O1150" s="11">
        <f>IF(AND($C1150="",NOT(COUNTA($S1150:$BB1150)&gt;0)),"",SUM(U1150,X1150,AA1150,AD1150,AG1150,AJ1150,AM1150,AP1150,AS1150,AV1150,AY1150,BB1150))</f>
        <v/>
      </c>
      <c r="P1150" s="11">
        <f>IF(O1150="","",N(N1150)-O1150)</f>
        <v/>
      </c>
      <c r="Q1150" s="10">
        <f>IF(O1150="","",IF($C1150="","Invoice on empty job row",IF(N1150="",IF(ROUND(O1150,2)=0,"No dept value","Invoiced - no dept value"),IF(ROUND(O1150,2)=0,"Not invoiced - to invoice",IF(ROUND(P1150,2)=0,"Agrees",IF(P1150&gt;0,"Dept higher - to invoice","Xero higher - check dept"))))))</f>
        <v/>
      </c>
      <c r="R1150" s="10">
        <f>IF(AND($C1150="",NOT(COUNTA($S1150:$BB1150)&gt;0),$BI1150&lt;&gt;""),"",MID(IF($BI1150="","; Row ID not found on the department sheet - a row was deleted","")&amp;IF(AND($C1150="",COUNTA($S1150:$BB1150)&gt;0),"; Invoice entered but the department row has no job number","")&amp;IF(E1150="CHECK","; Job number not in the Xero job list","")&amp;IF(AND($C1150&lt;&gt;"",COUNTIF($C$7:$C$1506,$C1150)&gt;1),"; Job number on more than one row","")&amp;IF(AND($C1150&lt;&gt;"",H1150=""),"; Dept has not set a cost centre","")&amp;IF(AND($C1150&lt;&gt;"",J1150=""),"; Dept has not set a tax code","")&amp;IF(AND($C1150&lt;&gt;"",N1150=""),"; Dept has not entered an expected value","")&amp;IF((IF(OR(COUNTA(S1150:U1150)=0,AND(COUNTA(S1150:U1150)=3,ISNUMBER(U1150))),0,1)+IF(OR(COUNTA(V1150:X1150)=0,AND(COUNTA(V1150:X1150)=3,ISNUMBER(X1150))),0,1)+IF(OR(COUNTA(Y1150:AA1150)=0,AND(COUNTA(Y1150:AA1150)=3,ISNUMBER(AA1150))),0,1)+IF(OR(COUNTA(AB1150:AD1150)=0,AND(COUNTA(AB1150:AD1150)=3,ISNUMBER(AD1150))),0,1)+IF(OR(COUNTA(AE1150:AG1150)=0,AND(COUNTA(AE1150:AG1150)=3,ISNUMBER(AG1150))),0,1)+IF(OR(COUNTA(AH1150:AJ1150)=0,AND(COUNTA(AH1150:AJ1150)=3,ISNUMBER(AJ1150))),0,1)+IF(OR(COUNTA(AK1150:AM1150)=0,AND(COUNTA(AK1150:AM1150)=3,ISNUMBER(AM1150))),0,1)+IF(OR(COUNTA(AN1150:AP1150)=0,AND(COUNTA(AN1150:AP1150)=3,ISNUMBER(AP1150))),0,1)+IF(OR(COUNTA(AQ1150:AS1150)=0,AND(COUNTA(AQ1150:AS1150)=3,ISNUMBER(AS1150))),0,1)+IF(OR(COUNTA(AT1150:AV1150)=0,AND(COUNTA(AT1150:AV1150)=3,ISNUMBER(AV1150))),0,1)+IF(OR(COUNTA(AW1150:AY1150)=0,AND(COUNTA(AW1150:AY1150)=3,ISNUMBER(AY1150))),0,1)+IF(OR(COUNTA(AZ1150:BB1150)=0,AND(COUNTA(AZ1150:BB1150)=3,ISNUMBER(BB1150))),0,1))&gt;0,"; An invoice is incomplete (needs No, Date and a number in Ex GST)","")&amp;IF((IF(T1150="",0,IFERROR(--(EOMONTH(T1150,0)&lt;&gt;S$5),1))+IF(W1150="",0,IFERROR(--(EOMONTH(W1150,0)&lt;&gt;V$5),1))+IF(Z1150="",0,IFERROR(--(EOMONTH(Z1150,0)&lt;&gt;Y$5),1))+IF(AC1150="",0,IFERROR(--(EOMONTH(AC1150,0)&lt;&gt;AB$5),1))+IF(AF1150="",0,IFERROR(--(EOMONTH(AF1150,0)&lt;&gt;AE$5),1))+IF(AI1150="",0,IFERROR(--(EOMONTH(AI1150,0)&lt;&gt;AH$5),1))+IF(AL1150="",0,IFERROR(--(EOMONTH(AL1150,0)&lt;&gt;AK$5),1))+IF(AO1150="",0,IFERROR(--(EOMONTH(AO1150,0)&lt;&gt;AN$5),1))+IF(AR1150="",0,IFERROR(--(EOMONTH(AR1150,0)&lt;&gt;AQ$5),1))+IF(AU1150="",0,IFERROR(--(EOMONTH(AU1150,0)&lt;&gt;AT$5),1))+IF(AX1150="",0,IFERROR(--(EOMONTH(AX1150,0)&lt;&gt;AW$5),1))+IF(BA1150="",0,IFERROR(--(EOMONTH(BA1150,0)&lt;&gt;AZ$5),1)))&gt;0,"; An invoice date is not in the month it is typed under",""),3,500))</f>
        <v/>
      </c>
      <c r="S1150" s="12" t="n"/>
      <c r="T1150" s="13" t="n"/>
      <c r="U1150" s="14" t="n"/>
      <c r="V1150" s="12" t="n"/>
      <c r="W1150" s="13" t="n"/>
      <c r="X1150" s="14" t="n"/>
      <c r="Y1150" s="12" t="n"/>
      <c r="Z1150" s="13" t="n"/>
      <c r="AA1150" s="14" t="n"/>
      <c r="AB1150" s="12" t="n"/>
      <c r="AC1150" s="13" t="n"/>
      <c r="AD1150" s="14" t="n"/>
      <c r="AE1150" s="12" t="n"/>
      <c r="AF1150" s="13" t="n"/>
      <c r="AG1150" s="14" t="n"/>
      <c r="AH1150" s="12" t="n"/>
      <c r="AI1150" s="13" t="n"/>
      <c r="AJ1150" s="14" t="n"/>
      <c r="AK1150" s="12" t="n"/>
      <c r="AL1150" s="13" t="n"/>
      <c r="AM1150" s="14" t="n"/>
      <c r="AN1150" s="12" t="n"/>
      <c r="AO1150" s="13" t="n"/>
      <c r="AP1150" s="14" t="n"/>
      <c r="AQ1150" s="12" t="n"/>
      <c r="AR1150" s="13" t="n"/>
      <c r="AS1150" s="14" t="n"/>
      <c r="AT1150" s="12" t="n"/>
      <c r="AU1150" s="13" t="n"/>
      <c r="AV1150" s="14" t="n"/>
      <c r="AW1150" s="12" t="n"/>
      <c r="AX1150" s="13" t="n"/>
      <c r="AY1150" s="14" t="n"/>
      <c r="AZ1150" s="12" t="n"/>
      <c r="BA1150" s="13" t="n"/>
      <c r="BB1150" s="14" t="n"/>
      <c r="BC1150" s="11">
        <f>IF(O1150="","",IF(J1150="GST 10%",ROUND(O1150*set_GSTRate,2),0))</f>
        <v/>
      </c>
      <c r="BD1150" s="11">
        <f>IF(O1150="","",O1150+BC1150)</f>
        <v/>
      </c>
      <c r="BE1150" s="15">
        <f>IF(O1150="","",COUNTA(S1150,V1150,Y1150,AB1150,AE1150,AH1150,AK1150,AN1150,AQ1150,AT1150,AW1150,AZ1150))</f>
        <v/>
      </c>
      <c r="BF1150" s="16">
        <f>IF(COUNT(T1150,W1150,Z1150,AC1150,AF1150,AI1150,AL1150,AO1150,AR1150,AU1150,AX1150,BA1150)=0,"",MAX(T1150,W1150,Z1150,AC1150,AF1150,AI1150,AL1150,AO1150,AR1150,AU1150,AX1150,BA1150))</f>
        <v/>
      </c>
      <c r="BG1150" s="10">
        <f>MID(IF(S1150="","",", "&amp;S1150)&amp;IF(V1150="","",", "&amp;V1150)&amp;IF(Y1150="","",", "&amp;Y1150)&amp;IF(AB1150="","",", "&amp;AB1150)&amp;IF(AE1150="","",", "&amp;AE1150)&amp;IF(AH1150="","",", "&amp;AH1150)&amp;IF(AK1150="","",", "&amp;AK1150)&amp;IF(AN1150="","",", "&amp;AN1150)&amp;IF(AQ1150="","",", "&amp;AQ1150)&amp;IF(AT1150="","",", "&amp;AT1150)&amp;IF(AW1150="","",", "&amp;AW1150)&amp;IF(AZ1150="","",", "&amp;AZ1150),3,500)</f>
        <v/>
      </c>
      <c r="BH1150" s="12" t="n"/>
      <c r="BI1150" s="15">
        <f>IFERROR(MATCH($A1150,IF($B1150="Onsite",tbl_Onsite[Row ID],IF($B1150="Production",tbl_Production[Row ID],tbl_Consulting[Row ID])),0),"")</f>
        <v/>
      </c>
    </row>
    <row r="1151">
      <c r="A1151" s="10" t="inlineStr">
        <is>
          <t>CON-0145</t>
        </is>
      </c>
      <c r="B1151" s="10" t="inlineStr">
        <is>
          <t>Consulting</t>
        </is>
      </c>
      <c r="C1151" s="10">
        <f>IF($BI1151="","",IF($B1151="Onsite",INDEX(tbl_Onsite[Job Number],$BI1151),IF($B1151="Production",INDEX(tbl_Production[Job Number],$BI1151),INDEX(tbl_Consulting[Job Number],$BI1151)))&amp;"")</f>
        <v/>
      </c>
      <c r="D1151" s="10">
        <f>IF($BI1151="","",IF($B1151="Onsite",INDEX(tbl_Onsite[Client],$BI1151),IF($B1151="Production",INDEX(tbl_Production[Client],$BI1151),INDEX(tbl_Consulting[Client],$BI1151)))&amp;"")</f>
        <v/>
      </c>
      <c r="E1151" s="10">
        <f>IF($C1151="","",IF(COUNTIF(lst_Jobs,$C1151)&gt;0,"OK","CHECK"))</f>
        <v/>
      </c>
      <c r="F1151" s="10">
        <f>IF($C1151="","",IFERROR(INDEX(lst_JobName,MATCH($C1151,lst_Jobs,0)),""))</f>
        <v/>
      </c>
      <c r="G1151" s="10">
        <f>IF($BI1151="","",IF($B1151="Onsite",INDEX(tbl_Onsite[Job Description],$BI1151),IF($B1151="Production",INDEX(tbl_Production[Job Description],$BI1151),INDEX(tbl_Consulting[Job Description],$BI1151)))&amp;"")</f>
        <v/>
      </c>
      <c r="H1151" s="10">
        <f>IF($BI1151="","",IF($B1151="Onsite",INDEX(tbl_Onsite[Cost Centre],$BI1151),IF($B1151="Production",INDEX(tbl_Production[Cost Centre],$BI1151),INDEX(tbl_Consulting[Cost Centre],$BI1151)))&amp;"")</f>
        <v/>
      </c>
      <c r="I1151" s="10">
        <f>IF($BI1151="","",IF($B1151="Onsite",INDEX(tbl_Onsite[Invoice Type],$BI1151),IF($B1151="Production",INDEX(tbl_Production[Invoice Type],$BI1151),INDEX(tbl_Consulting[Invoice Type],$BI1151)))&amp;"")</f>
        <v/>
      </c>
      <c r="J1151" s="10">
        <f>IF($BI1151="","",IF($B1151="Onsite",INDEX(tbl_Onsite[Tax Code],$BI1151),IF($B1151="Production",INDEX(tbl_Production[Tax Code],$BI1151),INDEX(tbl_Consulting[Tax Code],$BI1151)))&amp;"")</f>
        <v/>
      </c>
      <c r="K1151" s="10">
        <f>IF(H1151="","",IFERROR(INDEX(lst_CCtoGL,MATCH(H1151,lst_CCforGL,0)),""))</f>
        <v/>
      </c>
      <c r="L1151" s="10">
        <f>IF($BI1151="","",IF($B1151="Onsite",INDEX(tbl_Onsite[PO / Reference],$BI1151),IF($B1151="Production",INDEX(tbl_Production[Current RMS No],$BI1151),INDEX(tbl_Consulting[Qwilr Quote],$BI1151)))&amp;"")</f>
        <v/>
      </c>
      <c r="M1151" s="10">
        <f>IF($BI1151="","",IF($B1151="Onsite",INDEX(tbl_Onsite[Notes],$BI1151),IF($B1151="Production",INDEX(tbl_Production[Notes],$BI1151),INDEX(tbl_Consulting[Notes],$BI1151)))&amp;"")</f>
        <v/>
      </c>
      <c r="N1151" s="11">
        <f>IF($BI1151="","",IF(IF($B1151="Onsite",INDEX(tbl_Onsite[Expected Revenue Ex GST],$BI1151),IF($B1151="Production",INDEX(tbl_Production[Expected Revenue Ex GST],$BI1151),INDEX(tbl_Consulting[Expected Revenue Ex GST],$BI1151)))="","",IF($B1151="Onsite",INDEX(tbl_Onsite[Expected Revenue Ex GST],$BI1151),IF($B1151="Production",INDEX(tbl_Production[Expected Revenue Ex GST],$BI1151),INDEX(tbl_Consulting[Expected Revenue Ex GST],$BI1151)))))</f>
        <v/>
      </c>
      <c r="O1151" s="11">
        <f>IF(AND($C1151="",NOT(COUNTA($S1151:$BB1151)&gt;0)),"",SUM(U1151,X1151,AA1151,AD1151,AG1151,AJ1151,AM1151,AP1151,AS1151,AV1151,AY1151,BB1151))</f>
        <v/>
      </c>
      <c r="P1151" s="11">
        <f>IF(O1151="","",N(N1151)-O1151)</f>
        <v/>
      </c>
      <c r="Q1151" s="10">
        <f>IF(O1151="","",IF($C1151="","Invoice on empty job row",IF(N1151="",IF(ROUND(O1151,2)=0,"No dept value","Invoiced - no dept value"),IF(ROUND(O1151,2)=0,"Not invoiced - to invoice",IF(ROUND(P1151,2)=0,"Agrees",IF(P1151&gt;0,"Dept higher - to invoice","Xero higher - check dept"))))))</f>
        <v/>
      </c>
      <c r="R1151" s="10">
        <f>IF(AND($C1151="",NOT(COUNTA($S1151:$BB1151)&gt;0),$BI1151&lt;&gt;""),"",MID(IF($BI1151="","; Row ID not found on the department sheet - a row was deleted","")&amp;IF(AND($C1151="",COUNTA($S1151:$BB1151)&gt;0),"; Invoice entered but the department row has no job number","")&amp;IF(E1151="CHECK","; Job number not in the Xero job list","")&amp;IF(AND($C1151&lt;&gt;"",COUNTIF($C$7:$C$1506,$C1151)&gt;1),"; Job number on more than one row","")&amp;IF(AND($C1151&lt;&gt;"",H1151=""),"; Dept has not set a cost centre","")&amp;IF(AND($C1151&lt;&gt;"",J1151=""),"; Dept has not set a tax code","")&amp;IF(AND($C1151&lt;&gt;"",N1151=""),"; Dept has not entered an expected value","")&amp;IF((IF(OR(COUNTA(S1151:U1151)=0,AND(COUNTA(S1151:U1151)=3,ISNUMBER(U1151))),0,1)+IF(OR(COUNTA(V1151:X1151)=0,AND(COUNTA(V1151:X1151)=3,ISNUMBER(X1151))),0,1)+IF(OR(COUNTA(Y1151:AA1151)=0,AND(COUNTA(Y1151:AA1151)=3,ISNUMBER(AA1151))),0,1)+IF(OR(COUNTA(AB1151:AD1151)=0,AND(COUNTA(AB1151:AD1151)=3,ISNUMBER(AD1151))),0,1)+IF(OR(COUNTA(AE1151:AG1151)=0,AND(COUNTA(AE1151:AG1151)=3,ISNUMBER(AG1151))),0,1)+IF(OR(COUNTA(AH1151:AJ1151)=0,AND(COUNTA(AH1151:AJ1151)=3,ISNUMBER(AJ1151))),0,1)+IF(OR(COUNTA(AK1151:AM1151)=0,AND(COUNTA(AK1151:AM1151)=3,ISNUMBER(AM1151))),0,1)+IF(OR(COUNTA(AN1151:AP1151)=0,AND(COUNTA(AN1151:AP1151)=3,ISNUMBER(AP1151))),0,1)+IF(OR(COUNTA(AQ1151:AS1151)=0,AND(COUNTA(AQ1151:AS1151)=3,ISNUMBER(AS1151))),0,1)+IF(OR(COUNTA(AT1151:AV1151)=0,AND(COUNTA(AT1151:AV1151)=3,ISNUMBER(AV1151))),0,1)+IF(OR(COUNTA(AW1151:AY1151)=0,AND(COUNTA(AW1151:AY1151)=3,ISNUMBER(AY1151))),0,1)+IF(OR(COUNTA(AZ1151:BB1151)=0,AND(COUNTA(AZ1151:BB1151)=3,ISNUMBER(BB1151))),0,1))&gt;0,"; An invoice is incomplete (needs No, Date and a number in Ex GST)","")&amp;IF((IF(T1151="",0,IFERROR(--(EOMONTH(T1151,0)&lt;&gt;S$5),1))+IF(W1151="",0,IFERROR(--(EOMONTH(W1151,0)&lt;&gt;V$5),1))+IF(Z1151="",0,IFERROR(--(EOMONTH(Z1151,0)&lt;&gt;Y$5),1))+IF(AC1151="",0,IFERROR(--(EOMONTH(AC1151,0)&lt;&gt;AB$5),1))+IF(AF1151="",0,IFERROR(--(EOMONTH(AF1151,0)&lt;&gt;AE$5),1))+IF(AI1151="",0,IFERROR(--(EOMONTH(AI1151,0)&lt;&gt;AH$5),1))+IF(AL1151="",0,IFERROR(--(EOMONTH(AL1151,0)&lt;&gt;AK$5),1))+IF(AO1151="",0,IFERROR(--(EOMONTH(AO1151,0)&lt;&gt;AN$5),1))+IF(AR1151="",0,IFERROR(--(EOMONTH(AR1151,0)&lt;&gt;AQ$5),1))+IF(AU1151="",0,IFERROR(--(EOMONTH(AU1151,0)&lt;&gt;AT$5),1))+IF(AX1151="",0,IFERROR(--(EOMONTH(AX1151,0)&lt;&gt;AW$5),1))+IF(BA1151="",0,IFERROR(--(EOMONTH(BA1151,0)&lt;&gt;AZ$5),1)))&gt;0,"; An invoice date is not in the month it is typed under",""),3,500))</f>
        <v/>
      </c>
      <c r="S1151" s="12" t="n"/>
      <c r="T1151" s="13" t="n"/>
      <c r="U1151" s="14" t="n"/>
      <c r="V1151" s="12" t="n"/>
      <c r="W1151" s="13" t="n"/>
      <c r="X1151" s="14" t="n"/>
      <c r="Y1151" s="12" t="n"/>
      <c r="Z1151" s="13" t="n"/>
      <c r="AA1151" s="14" t="n"/>
      <c r="AB1151" s="12" t="n"/>
      <c r="AC1151" s="13" t="n"/>
      <c r="AD1151" s="14" t="n"/>
      <c r="AE1151" s="12" t="n"/>
      <c r="AF1151" s="13" t="n"/>
      <c r="AG1151" s="14" t="n"/>
      <c r="AH1151" s="12" t="n"/>
      <c r="AI1151" s="13" t="n"/>
      <c r="AJ1151" s="14" t="n"/>
      <c r="AK1151" s="12" t="n"/>
      <c r="AL1151" s="13" t="n"/>
      <c r="AM1151" s="14" t="n"/>
      <c r="AN1151" s="12" t="n"/>
      <c r="AO1151" s="13" t="n"/>
      <c r="AP1151" s="14" t="n"/>
      <c r="AQ1151" s="12" t="n"/>
      <c r="AR1151" s="13" t="n"/>
      <c r="AS1151" s="14" t="n"/>
      <c r="AT1151" s="12" t="n"/>
      <c r="AU1151" s="13" t="n"/>
      <c r="AV1151" s="14" t="n"/>
      <c r="AW1151" s="12" t="n"/>
      <c r="AX1151" s="13" t="n"/>
      <c r="AY1151" s="14" t="n"/>
      <c r="AZ1151" s="12" t="n"/>
      <c r="BA1151" s="13" t="n"/>
      <c r="BB1151" s="14" t="n"/>
      <c r="BC1151" s="11">
        <f>IF(O1151="","",IF(J1151="GST 10%",ROUND(O1151*set_GSTRate,2),0))</f>
        <v/>
      </c>
      <c r="BD1151" s="11">
        <f>IF(O1151="","",O1151+BC1151)</f>
        <v/>
      </c>
      <c r="BE1151" s="15">
        <f>IF(O1151="","",COUNTA(S1151,V1151,Y1151,AB1151,AE1151,AH1151,AK1151,AN1151,AQ1151,AT1151,AW1151,AZ1151))</f>
        <v/>
      </c>
      <c r="BF1151" s="16">
        <f>IF(COUNT(T1151,W1151,Z1151,AC1151,AF1151,AI1151,AL1151,AO1151,AR1151,AU1151,AX1151,BA1151)=0,"",MAX(T1151,W1151,Z1151,AC1151,AF1151,AI1151,AL1151,AO1151,AR1151,AU1151,AX1151,BA1151))</f>
        <v/>
      </c>
      <c r="BG1151" s="10">
        <f>MID(IF(S1151="","",", "&amp;S1151)&amp;IF(V1151="","",", "&amp;V1151)&amp;IF(Y1151="","",", "&amp;Y1151)&amp;IF(AB1151="","",", "&amp;AB1151)&amp;IF(AE1151="","",", "&amp;AE1151)&amp;IF(AH1151="","",", "&amp;AH1151)&amp;IF(AK1151="","",", "&amp;AK1151)&amp;IF(AN1151="","",", "&amp;AN1151)&amp;IF(AQ1151="","",", "&amp;AQ1151)&amp;IF(AT1151="","",", "&amp;AT1151)&amp;IF(AW1151="","",", "&amp;AW1151)&amp;IF(AZ1151="","",", "&amp;AZ1151),3,500)</f>
        <v/>
      </c>
      <c r="BH1151" s="12" t="n"/>
      <c r="BI1151" s="15">
        <f>IFERROR(MATCH($A1151,IF($B1151="Onsite",tbl_Onsite[Row ID],IF($B1151="Production",tbl_Production[Row ID],tbl_Consulting[Row ID])),0),"")</f>
        <v/>
      </c>
    </row>
    <row r="1152">
      <c r="A1152" s="10" t="inlineStr">
        <is>
          <t>CON-0146</t>
        </is>
      </c>
      <c r="B1152" s="10" t="inlineStr">
        <is>
          <t>Consulting</t>
        </is>
      </c>
      <c r="C1152" s="10">
        <f>IF($BI1152="","",IF($B1152="Onsite",INDEX(tbl_Onsite[Job Number],$BI1152),IF($B1152="Production",INDEX(tbl_Production[Job Number],$BI1152),INDEX(tbl_Consulting[Job Number],$BI1152)))&amp;"")</f>
        <v/>
      </c>
      <c r="D1152" s="10">
        <f>IF($BI1152="","",IF($B1152="Onsite",INDEX(tbl_Onsite[Client],$BI1152),IF($B1152="Production",INDEX(tbl_Production[Client],$BI1152),INDEX(tbl_Consulting[Client],$BI1152)))&amp;"")</f>
        <v/>
      </c>
      <c r="E1152" s="10">
        <f>IF($C1152="","",IF(COUNTIF(lst_Jobs,$C1152)&gt;0,"OK","CHECK"))</f>
        <v/>
      </c>
      <c r="F1152" s="10">
        <f>IF($C1152="","",IFERROR(INDEX(lst_JobName,MATCH($C1152,lst_Jobs,0)),""))</f>
        <v/>
      </c>
      <c r="G1152" s="10">
        <f>IF($BI1152="","",IF($B1152="Onsite",INDEX(tbl_Onsite[Job Description],$BI1152),IF($B1152="Production",INDEX(tbl_Production[Job Description],$BI1152),INDEX(tbl_Consulting[Job Description],$BI1152)))&amp;"")</f>
        <v/>
      </c>
      <c r="H1152" s="10">
        <f>IF($BI1152="","",IF($B1152="Onsite",INDEX(tbl_Onsite[Cost Centre],$BI1152),IF($B1152="Production",INDEX(tbl_Production[Cost Centre],$BI1152),INDEX(tbl_Consulting[Cost Centre],$BI1152)))&amp;"")</f>
        <v/>
      </c>
      <c r="I1152" s="10">
        <f>IF($BI1152="","",IF($B1152="Onsite",INDEX(tbl_Onsite[Invoice Type],$BI1152),IF($B1152="Production",INDEX(tbl_Production[Invoice Type],$BI1152),INDEX(tbl_Consulting[Invoice Type],$BI1152)))&amp;"")</f>
        <v/>
      </c>
      <c r="J1152" s="10">
        <f>IF($BI1152="","",IF($B1152="Onsite",INDEX(tbl_Onsite[Tax Code],$BI1152),IF($B1152="Production",INDEX(tbl_Production[Tax Code],$BI1152),INDEX(tbl_Consulting[Tax Code],$BI1152)))&amp;"")</f>
        <v/>
      </c>
      <c r="K1152" s="10">
        <f>IF(H1152="","",IFERROR(INDEX(lst_CCtoGL,MATCH(H1152,lst_CCforGL,0)),""))</f>
        <v/>
      </c>
      <c r="L1152" s="10">
        <f>IF($BI1152="","",IF($B1152="Onsite",INDEX(tbl_Onsite[PO / Reference],$BI1152),IF($B1152="Production",INDEX(tbl_Production[Current RMS No],$BI1152),INDEX(tbl_Consulting[Qwilr Quote],$BI1152)))&amp;"")</f>
        <v/>
      </c>
      <c r="M1152" s="10">
        <f>IF($BI1152="","",IF($B1152="Onsite",INDEX(tbl_Onsite[Notes],$BI1152),IF($B1152="Production",INDEX(tbl_Production[Notes],$BI1152),INDEX(tbl_Consulting[Notes],$BI1152)))&amp;"")</f>
        <v/>
      </c>
      <c r="N1152" s="11">
        <f>IF($BI1152="","",IF(IF($B1152="Onsite",INDEX(tbl_Onsite[Expected Revenue Ex GST],$BI1152),IF($B1152="Production",INDEX(tbl_Production[Expected Revenue Ex GST],$BI1152),INDEX(tbl_Consulting[Expected Revenue Ex GST],$BI1152)))="","",IF($B1152="Onsite",INDEX(tbl_Onsite[Expected Revenue Ex GST],$BI1152),IF($B1152="Production",INDEX(tbl_Production[Expected Revenue Ex GST],$BI1152),INDEX(tbl_Consulting[Expected Revenue Ex GST],$BI1152)))))</f>
        <v/>
      </c>
      <c r="O1152" s="11">
        <f>IF(AND($C1152="",NOT(COUNTA($S1152:$BB1152)&gt;0)),"",SUM(U1152,X1152,AA1152,AD1152,AG1152,AJ1152,AM1152,AP1152,AS1152,AV1152,AY1152,BB1152))</f>
        <v/>
      </c>
      <c r="P1152" s="11">
        <f>IF(O1152="","",N(N1152)-O1152)</f>
        <v/>
      </c>
      <c r="Q1152" s="10">
        <f>IF(O1152="","",IF($C1152="","Invoice on empty job row",IF(N1152="",IF(ROUND(O1152,2)=0,"No dept value","Invoiced - no dept value"),IF(ROUND(O1152,2)=0,"Not invoiced - to invoice",IF(ROUND(P1152,2)=0,"Agrees",IF(P1152&gt;0,"Dept higher - to invoice","Xero higher - check dept"))))))</f>
        <v/>
      </c>
      <c r="R1152" s="10">
        <f>IF(AND($C1152="",NOT(COUNTA($S1152:$BB1152)&gt;0),$BI1152&lt;&gt;""),"",MID(IF($BI1152="","; Row ID not found on the department sheet - a row was deleted","")&amp;IF(AND($C1152="",COUNTA($S1152:$BB1152)&gt;0),"; Invoice entered but the department row has no job number","")&amp;IF(E1152="CHECK","; Job number not in the Xero job list","")&amp;IF(AND($C1152&lt;&gt;"",COUNTIF($C$7:$C$1506,$C1152)&gt;1),"; Job number on more than one row","")&amp;IF(AND($C1152&lt;&gt;"",H1152=""),"; Dept has not set a cost centre","")&amp;IF(AND($C1152&lt;&gt;"",J1152=""),"; Dept has not set a tax code","")&amp;IF(AND($C1152&lt;&gt;"",N1152=""),"; Dept has not entered an expected value","")&amp;IF((IF(OR(COUNTA(S1152:U1152)=0,AND(COUNTA(S1152:U1152)=3,ISNUMBER(U1152))),0,1)+IF(OR(COUNTA(V1152:X1152)=0,AND(COUNTA(V1152:X1152)=3,ISNUMBER(X1152))),0,1)+IF(OR(COUNTA(Y1152:AA1152)=0,AND(COUNTA(Y1152:AA1152)=3,ISNUMBER(AA1152))),0,1)+IF(OR(COUNTA(AB1152:AD1152)=0,AND(COUNTA(AB1152:AD1152)=3,ISNUMBER(AD1152))),0,1)+IF(OR(COUNTA(AE1152:AG1152)=0,AND(COUNTA(AE1152:AG1152)=3,ISNUMBER(AG1152))),0,1)+IF(OR(COUNTA(AH1152:AJ1152)=0,AND(COUNTA(AH1152:AJ1152)=3,ISNUMBER(AJ1152))),0,1)+IF(OR(COUNTA(AK1152:AM1152)=0,AND(COUNTA(AK1152:AM1152)=3,ISNUMBER(AM1152))),0,1)+IF(OR(COUNTA(AN1152:AP1152)=0,AND(COUNTA(AN1152:AP1152)=3,ISNUMBER(AP1152))),0,1)+IF(OR(COUNTA(AQ1152:AS1152)=0,AND(COUNTA(AQ1152:AS1152)=3,ISNUMBER(AS1152))),0,1)+IF(OR(COUNTA(AT1152:AV1152)=0,AND(COUNTA(AT1152:AV1152)=3,ISNUMBER(AV1152))),0,1)+IF(OR(COUNTA(AW1152:AY1152)=0,AND(COUNTA(AW1152:AY1152)=3,ISNUMBER(AY1152))),0,1)+IF(OR(COUNTA(AZ1152:BB1152)=0,AND(COUNTA(AZ1152:BB1152)=3,ISNUMBER(BB1152))),0,1))&gt;0,"; An invoice is incomplete (needs No, Date and a number in Ex GST)","")&amp;IF((IF(T1152="",0,IFERROR(--(EOMONTH(T1152,0)&lt;&gt;S$5),1))+IF(W1152="",0,IFERROR(--(EOMONTH(W1152,0)&lt;&gt;V$5),1))+IF(Z1152="",0,IFERROR(--(EOMONTH(Z1152,0)&lt;&gt;Y$5),1))+IF(AC1152="",0,IFERROR(--(EOMONTH(AC1152,0)&lt;&gt;AB$5),1))+IF(AF1152="",0,IFERROR(--(EOMONTH(AF1152,0)&lt;&gt;AE$5),1))+IF(AI1152="",0,IFERROR(--(EOMONTH(AI1152,0)&lt;&gt;AH$5),1))+IF(AL1152="",0,IFERROR(--(EOMONTH(AL1152,0)&lt;&gt;AK$5),1))+IF(AO1152="",0,IFERROR(--(EOMONTH(AO1152,0)&lt;&gt;AN$5),1))+IF(AR1152="",0,IFERROR(--(EOMONTH(AR1152,0)&lt;&gt;AQ$5),1))+IF(AU1152="",0,IFERROR(--(EOMONTH(AU1152,0)&lt;&gt;AT$5),1))+IF(AX1152="",0,IFERROR(--(EOMONTH(AX1152,0)&lt;&gt;AW$5),1))+IF(BA1152="",0,IFERROR(--(EOMONTH(BA1152,0)&lt;&gt;AZ$5),1)))&gt;0,"; An invoice date is not in the month it is typed under",""),3,500))</f>
        <v/>
      </c>
      <c r="S1152" s="12" t="n"/>
      <c r="T1152" s="13" t="n"/>
      <c r="U1152" s="14" t="n"/>
      <c r="V1152" s="12" t="n"/>
      <c r="W1152" s="13" t="n"/>
      <c r="X1152" s="14" t="n"/>
      <c r="Y1152" s="12" t="n"/>
      <c r="Z1152" s="13" t="n"/>
      <c r="AA1152" s="14" t="n"/>
      <c r="AB1152" s="12" t="n"/>
      <c r="AC1152" s="13" t="n"/>
      <c r="AD1152" s="14" t="n"/>
      <c r="AE1152" s="12" t="n"/>
      <c r="AF1152" s="13" t="n"/>
      <c r="AG1152" s="14" t="n"/>
      <c r="AH1152" s="12" t="n"/>
      <c r="AI1152" s="13" t="n"/>
      <c r="AJ1152" s="14" t="n"/>
      <c r="AK1152" s="12" t="n"/>
      <c r="AL1152" s="13" t="n"/>
      <c r="AM1152" s="14" t="n"/>
      <c r="AN1152" s="12" t="n"/>
      <c r="AO1152" s="13" t="n"/>
      <c r="AP1152" s="14" t="n"/>
      <c r="AQ1152" s="12" t="n"/>
      <c r="AR1152" s="13" t="n"/>
      <c r="AS1152" s="14" t="n"/>
      <c r="AT1152" s="12" t="n"/>
      <c r="AU1152" s="13" t="n"/>
      <c r="AV1152" s="14" t="n"/>
      <c r="AW1152" s="12" t="n"/>
      <c r="AX1152" s="13" t="n"/>
      <c r="AY1152" s="14" t="n"/>
      <c r="AZ1152" s="12" t="n"/>
      <c r="BA1152" s="13" t="n"/>
      <c r="BB1152" s="14" t="n"/>
      <c r="BC1152" s="11">
        <f>IF(O1152="","",IF(J1152="GST 10%",ROUND(O1152*set_GSTRate,2),0))</f>
        <v/>
      </c>
      <c r="BD1152" s="11">
        <f>IF(O1152="","",O1152+BC1152)</f>
        <v/>
      </c>
      <c r="BE1152" s="15">
        <f>IF(O1152="","",COUNTA(S1152,V1152,Y1152,AB1152,AE1152,AH1152,AK1152,AN1152,AQ1152,AT1152,AW1152,AZ1152))</f>
        <v/>
      </c>
      <c r="BF1152" s="16">
        <f>IF(COUNT(T1152,W1152,Z1152,AC1152,AF1152,AI1152,AL1152,AO1152,AR1152,AU1152,AX1152,BA1152)=0,"",MAX(T1152,W1152,Z1152,AC1152,AF1152,AI1152,AL1152,AO1152,AR1152,AU1152,AX1152,BA1152))</f>
        <v/>
      </c>
      <c r="BG1152" s="10">
        <f>MID(IF(S1152="","",", "&amp;S1152)&amp;IF(V1152="","",", "&amp;V1152)&amp;IF(Y1152="","",", "&amp;Y1152)&amp;IF(AB1152="","",", "&amp;AB1152)&amp;IF(AE1152="","",", "&amp;AE1152)&amp;IF(AH1152="","",", "&amp;AH1152)&amp;IF(AK1152="","",", "&amp;AK1152)&amp;IF(AN1152="","",", "&amp;AN1152)&amp;IF(AQ1152="","",", "&amp;AQ1152)&amp;IF(AT1152="","",", "&amp;AT1152)&amp;IF(AW1152="","",", "&amp;AW1152)&amp;IF(AZ1152="","",", "&amp;AZ1152),3,500)</f>
        <v/>
      </c>
      <c r="BH1152" s="12" t="n"/>
      <c r="BI1152" s="15">
        <f>IFERROR(MATCH($A1152,IF($B1152="Onsite",tbl_Onsite[Row ID],IF($B1152="Production",tbl_Production[Row ID],tbl_Consulting[Row ID])),0),"")</f>
        <v/>
      </c>
    </row>
    <row r="1153">
      <c r="A1153" s="10" t="inlineStr">
        <is>
          <t>CON-0147</t>
        </is>
      </c>
      <c r="B1153" s="10" t="inlineStr">
        <is>
          <t>Consulting</t>
        </is>
      </c>
      <c r="C1153" s="10">
        <f>IF($BI1153="","",IF($B1153="Onsite",INDEX(tbl_Onsite[Job Number],$BI1153),IF($B1153="Production",INDEX(tbl_Production[Job Number],$BI1153),INDEX(tbl_Consulting[Job Number],$BI1153)))&amp;"")</f>
        <v/>
      </c>
      <c r="D1153" s="10">
        <f>IF($BI1153="","",IF($B1153="Onsite",INDEX(tbl_Onsite[Client],$BI1153),IF($B1153="Production",INDEX(tbl_Production[Client],$BI1153),INDEX(tbl_Consulting[Client],$BI1153)))&amp;"")</f>
        <v/>
      </c>
      <c r="E1153" s="10">
        <f>IF($C1153="","",IF(COUNTIF(lst_Jobs,$C1153)&gt;0,"OK","CHECK"))</f>
        <v/>
      </c>
      <c r="F1153" s="10">
        <f>IF($C1153="","",IFERROR(INDEX(lst_JobName,MATCH($C1153,lst_Jobs,0)),""))</f>
        <v/>
      </c>
      <c r="G1153" s="10">
        <f>IF($BI1153="","",IF($B1153="Onsite",INDEX(tbl_Onsite[Job Description],$BI1153),IF($B1153="Production",INDEX(tbl_Production[Job Description],$BI1153),INDEX(tbl_Consulting[Job Description],$BI1153)))&amp;"")</f>
        <v/>
      </c>
      <c r="H1153" s="10">
        <f>IF($BI1153="","",IF($B1153="Onsite",INDEX(tbl_Onsite[Cost Centre],$BI1153),IF($B1153="Production",INDEX(tbl_Production[Cost Centre],$BI1153),INDEX(tbl_Consulting[Cost Centre],$BI1153)))&amp;"")</f>
        <v/>
      </c>
      <c r="I1153" s="10">
        <f>IF($BI1153="","",IF($B1153="Onsite",INDEX(tbl_Onsite[Invoice Type],$BI1153),IF($B1153="Production",INDEX(tbl_Production[Invoice Type],$BI1153),INDEX(tbl_Consulting[Invoice Type],$BI1153)))&amp;"")</f>
        <v/>
      </c>
      <c r="J1153" s="10">
        <f>IF($BI1153="","",IF($B1153="Onsite",INDEX(tbl_Onsite[Tax Code],$BI1153),IF($B1153="Production",INDEX(tbl_Production[Tax Code],$BI1153),INDEX(tbl_Consulting[Tax Code],$BI1153)))&amp;"")</f>
        <v/>
      </c>
      <c r="K1153" s="10">
        <f>IF(H1153="","",IFERROR(INDEX(lst_CCtoGL,MATCH(H1153,lst_CCforGL,0)),""))</f>
        <v/>
      </c>
      <c r="L1153" s="10">
        <f>IF($BI1153="","",IF($B1153="Onsite",INDEX(tbl_Onsite[PO / Reference],$BI1153),IF($B1153="Production",INDEX(tbl_Production[Current RMS No],$BI1153),INDEX(tbl_Consulting[Qwilr Quote],$BI1153)))&amp;"")</f>
        <v/>
      </c>
      <c r="M1153" s="10">
        <f>IF($BI1153="","",IF($B1153="Onsite",INDEX(tbl_Onsite[Notes],$BI1153),IF($B1153="Production",INDEX(tbl_Production[Notes],$BI1153),INDEX(tbl_Consulting[Notes],$BI1153)))&amp;"")</f>
        <v/>
      </c>
      <c r="N1153" s="11">
        <f>IF($BI1153="","",IF(IF($B1153="Onsite",INDEX(tbl_Onsite[Expected Revenue Ex GST],$BI1153),IF($B1153="Production",INDEX(tbl_Production[Expected Revenue Ex GST],$BI1153),INDEX(tbl_Consulting[Expected Revenue Ex GST],$BI1153)))="","",IF($B1153="Onsite",INDEX(tbl_Onsite[Expected Revenue Ex GST],$BI1153),IF($B1153="Production",INDEX(tbl_Production[Expected Revenue Ex GST],$BI1153),INDEX(tbl_Consulting[Expected Revenue Ex GST],$BI1153)))))</f>
        <v/>
      </c>
      <c r="O1153" s="11">
        <f>IF(AND($C1153="",NOT(COUNTA($S1153:$BB1153)&gt;0)),"",SUM(U1153,X1153,AA1153,AD1153,AG1153,AJ1153,AM1153,AP1153,AS1153,AV1153,AY1153,BB1153))</f>
        <v/>
      </c>
      <c r="P1153" s="11">
        <f>IF(O1153="","",N(N1153)-O1153)</f>
        <v/>
      </c>
      <c r="Q1153" s="10">
        <f>IF(O1153="","",IF($C1153="","Invoice on empty job row",IF(N1153="",IF(ROUND(O1153,2)=0,"No dept value","Invoiced - no dept value"),IF(ROUND(O1153,2)=0,"Not invoiced - to invoice",IF(ROUND(P1153,2)=0,"Agrees",IF(P1153&gt;0,"Dept higher - to invoice","Xero higher - check dept"))))))</f>
        <v/>
      </c>
      <c r="R1153" s="10">
        <f>IF(AND($C1153="",NOT(COUNTA($S1153:$BB1153)&gt;0),$BI1153&lt;&gt;""),"",MID(IF($BI1153="","; Row ID not found on the department sheet - a row was deleted","")&amp;IF(AND($C1153="",COUNTA($S1153:$BB1153)&gt;0),"; Invoice entered but the department row has no job number","")&amp;IF(E1153="CHECK","; Job number not in the Xero job list","")&amp;IF(AND($C1153&lt;&gt;"",COUNTIF($C$7:$C$1506,$C1153)&gt;1),"; Job number on more than one row","")&amp;IF(AND($C1153&lt;&gt;"",H1153=""),"; Dept has not set a cost centre","")&amp;IF(AND($C1153&lt;&gt;"",J1153=""),"; Dept has not set a tax code","")&amp;IF(AND($C1153&lt;&gt;"",N1153=""),"; Dept has not entered an expected value","")&amp;IF((IF(OR(COUNTA(S1153:U1153)=0,AND(COUNTA(S1153:U1153)=3,ISNUMBER(U1153))),0,1)+IF(OR(COUNTA(V1153:X1153)=0,AND(COUNTA(V1153:X1153)=3,ISNUMBER(X1153))),0,1)+IF(OR(COUNTA(Y1153:AA1153)=0,AND(COUNTA(Y1153:AA1153)=3,ISNUMBER(AA1153))),0,1)+IF(OR(COUNTA(AB1153:AD1153)=0,AND(COUNTA(AB1153:AD1153)=3,ISNUMBER(AD1153))),0,1)+IF(OR(COUNTA(AE1153:AG1153)=0,AND(COUNTA(AE1153:AG1153)=3,ISNUMBER(AG1153))),0,1)+IF(OR(COUNTA(AH1153:AJ1153)=0,AND(COUNTA(AH1153:AJ1153)=3,ISNUMBER(AJ1153))),0,1)+IF(OR(COUNTA(AK1153:AM1153)=0,AND(COUNTA(AK1153:AM1153)=3,ISNUMBER(AM1153))),0,1)+IF(OR(COUNTA(AN1153:AP1153)=0,AND(COUNTA(AN1153:AP1153)=3,ISNUMBER(AP1153))),0,1)+IF(OR(COUNTA(AQ1153:AS1153)=0,AND(COUNTA(AQ1153:AS1153)=3,ISNUMBER(AS1153))),0,1)+IF(OR(COUNTA(AT1153:AV1153)=0,AND(COUNTA(AT1153:AV1153)=3,ISNUMBER(AV1153))),0,1)+IF(OR(COUNTA(AW1153:AY1153)=0,AND(COUNTA(AW1153:AY1153)=3,ISNUMBER(AY1153))),0,1)+IF(OR(COUNTA(AZ1153:BB1153)=0,AND(COUNTA(AZ1153:BB1153)=3,ISNUMBER(BB1153))),0,1))&gt;0,"; An invoice is incomplete (needs No, Date and a number in Ex GST)","")&amp;IF((IF(T1153="",0,IFERROR(--(EOMONTH(T1153,0)&lt;&gt;S$5),1))+IF(W1153="",0,IFERROR(--(EOMONTH(W1153,0)&lt;&gt;V$5),1))+IF(Z1153="",0,IFERROR(--(EOMONTH(Z1153,0)&lt;&gt;Y$5),1))+IF(AC1153="",0,IFERROR(--(EOMONTH(AC1153,0)&lt;&gt;AB$5),1))+IF(AF1153="",0,IFERROR(--(EOMONTH(AF1153,0)&lt;&gt;AE$5),1))+IF(AI1153="",0,IFERROR(--(EOMONTH(AI1153,0)&lt;&gt;AH$5),1))+IF(AL1153="",0,IFERROR(--(EOMONTH(AL1153,0)&lt;&gt;AK$5),1))+IF(AO1153="",0,IFERROR(--(EOMONTH(AO1153,0)&lt;&gt;AN$5),1))+IF(AR1153="",0,IFERROR(--(EOMONTH(AR1153,0)&lt;&gt;AQ$5),1))+IF(AU1153="",0,IFERROR(--(EOMONTH(AU1153,0)&lt;&gt;AT$5),1))+IF(AX1153="",0,IFERROR(--(EOMONTH(AX1153,0)&lt;&gt;AW$5),1))+IF(BA1153="",0,IFERROR(--(EOMONTH(BA1153,0)&lt;&gt;AZ$5),1)))&gt;0,"; An invoice date is not in the month it is typed under",""),3,500))</f>
        <v/>
      </c>
      <c r="S1153" s="12" t="n"/>
      <c r="T1153" s="13" t="n"/>
      <c r="U1153" s="14" t="n"/>
      <c r="V1153" s="12" t="n"/>
      <c r="W1153" s="13" t="n"/>
      <c r="X1153" s="14" t="n"/>
      <c r="Y1153" s="12" t="n"/>
      <c r="Z1153" s="13" t="n"/>
      <c r="AA1153" s="14" t="n"/>
      <c r="AB1153" s="12" t="n"/>
      <c r="AC1153" s="13" t="n"/>
      <c r="AD1153" s="14" t="n"/>
      <c r="AE1153" s="12" t="n"/>
      <c r="AF1153" s="13" t="n"/>
      <c r="AG1153" s="14" t="n"/>
      <c r="AH1153" s="12" t="n"/>
      <c r="AI1153" s="13" t="n"/>
      <c r="AJ1153" s="14" t="n"/>
      <c r="AK1153" s="12" t="n"/>
      <c r="AL1153" s="13" t="n"/>
      <c r="AM1153" s="14" t="n"/>
      <c r="AN1153" s="12" t="n"/>
      <c r="AO1153" s="13" t="n"/>
      <c r="AP1153" s="14" t="n"/>
      <c r="AQ1153" s="12" t="n"/>
      <c r="AR1153" s="13" t="n"/>
      <c r="AS1153" s="14" t="n"/>
      <c r="AT1153" s="12" t="n"/>
      <c r="AU1153" s="13" t="n"/>
      <c r="AV1153" s="14" t="n"/>
      <c r="AW1153" s="12" t="n"/>
      <c r="AX1153" s="13" t="n"/>
      <c r="AY1153" s="14" t="n"/>
      <c r="AZ1153" s="12" t="n"/>
      <c r="BA1153" s="13" t="n"/>
      <c r="BB1153" s="14" t="n"/>
      <c r="BC1153" s="11">
        <f>IF(O1153="","",IF(J1153="GST 10%",ROUND(O1153*set_GSTRate,2),0))</f>
        <v/>
      </c>
      <c r="BD1153" s="11">
        <f>IF(O1153="","",O1153+BC1153)</f>
        <v/>
      </c>
      <c r="BE1153" s="15">
        <f>IF(O1153="","",COUNTA(S1153,V1153,Y1153,AB1153,AE1153,AH1153,AK1153,AN1153,AQ1153,AT1153,AW1153,AZ1153))</f>
        <v/>
      </c>
      <c r="BF1153" s="16">
        <f>IF(COUNT(T1153,W1153,Z1153,AC1153,AF1153,AI1153,AL1153,AO1153,AR1153,AU1153,AX1153,BA1153)=0,"",MAX(T1153,W1153,Z1153,AC1153,AF1153,AI1153,AL1153,AO1153,AR1153,AU1153,AX1153,BA1153))</f>
        <v/>
      </c>
      <c r="BG1153" s="10">
        <f>MID(IF(S1153="","",", "&amp;S1153)&amp;IF(V1153="","",", "&amp;V1153)&amp;IF(Y1153="","",", "&amp;Y1153)&amp;IF(AB1153="","",", "&amp;AB1153)&amp;IF(AE1153="","",", "&amp;AE1153)&amp;IF(AH1153="","",", "&amp;AH1153)&amp;IF(AK1153="","",", "&amp;AK1153)&amp;IF(AN1153="","",", "&amp;AN1153)&amp;IF(AQ1153="","",", "&amp;AQ1153)&amp;IF(AT1153="","",", "&amp;AT1153)&amp;IF(AW1153="","",", "&amp;AW1153)&amp;IF(AZ1153="","",", "&amp;AZ1153),3,500)</f>
        <v/>
      </c>
      <c r="BH1153" s="12" t="n"/>
      <c r="BI1153" s="15">
        <f>IFERROR(MATCH($A1153,IF($B1153="Onsite",tbl_Onsite[Row ID],IF($B1153="Production",tbl_Production[Row ID],tbl_Consulting[Row ID])),0),"")</f>
        <v/>
      </c>
    </row>
    <row r="1154">
      <c r="A1154" s="10" t="inlineStr">
        <is>
          <t>CON-0148</t>
        </is>
      </c>
      <c r="B1154" s="10" t="inlineStr">
        <is>
          <t>Consulting</t>
        </is>
      </c>
      <c r="C1154" s="10">
        <f>IF($BI1154="","",IF($B1154="Onsite",INDEX(tbl_Onsite[Job Number],$BI1154),IF($B1154="Production",INDEX(tbl_Production[Job Number],$BI1154),INDEX(tbl_Consulting[Job Number],$BI1154)))&amp;"")</f>
        <v/>
      </c>
      <c r="D1154" s="10">
        <f>IF($BI1154="","",IF($B1154="Onsite",INDEX(tbl_Onsite[Client],$BI1154),IF($B1154="Production",INDEX(tbl_Production[Client],$BI1154),INDEX(tbl_Consulting[Client],$BI1154)))&amp;"")</f>
        <v/>
      </c>
      <c r="E1154" s="10">
        <f>IF($C1154="","",IF(COUNTIF(lst_Jobs,$C1154)&gt;0,"OK","CHECK"))</f>
        <v/>
      </c>
      <c r="F1154" s="10">
        <f>IF($C1154="","",IFERROR(INDEX(lst_JobName,MATCH($C1154,lst_Jobs,0)),""))</f>
        <v/>
      </c>
      <c r="G1154" s="10">
        <f>IF($BI1154="","",IF($B1154="Onsite",INDEX(tbl_Onsite[Job Description],$BI1154),IF($B1154="Production",INDEX(tbl_Production[Job Description],$BI1154),INDEX(tbl_Consulting[Job Description],$BI1154)))&amp;"")</f>
        <v/>
      </c>
      <c r="H1154" s="10">
        <f>IF($BI1154="","",IF($B1154="Onsite",INDEX(tbl_Onsite[Cost Centre],$BI1154),IF($B1154="Production",INDEX(tbl_Production[Cost Centre],$BI1154),INDEX(tbl_Consulting[Cost Centre],$BI1154)))&amp;"")</f>
        <v/>
      </c>
      <c r="I1154" s="10">
        <f>IF($BI1154="","",IF($B1154="Onsite",INDEX(tbl_Onsite[Invoice Type],$BI1154),IF($B1154="Production",INDEX(tbl_Production[Invoice Type],$BI1154),INDEX(tbl_Consulting[Invoice Type],$BI1154)))&amp;"")</f>
        <v/>
      </c>
      <c r="J1154" s="10">
        <f>IF($BI1154="","",IF($B1154="Onsite",INDEX(tbl_Onsite[Tax Code],$BI1154),IF($B1154="Production",INDEX(tbl_Production[Tax Code],$BI1154),INDEX(tbl_Consulting[Tax Code],$BI1154)))&amp;"")</f>
        <v/>
      </c>
      <c r="K1154" s="10">
        <f>IF(H1154="","",IFERROR(INDEX(lst_CCtoGL,MATCH(H1154,lst_CCforGL,0)),""))</f>
        <v/>
      </c>
      <c r="L1154" s="10">
        <f>IF($BI1154="","",IF($B1154="Onsite",INDEX(tbl_Onsite[PO / Reference],$BI1154),IF($B1154="Production",INDEX(tbl_Production[Current RMS No],$BI1154),INDEX(tbl_Consulting[Qwilr Quote],$BI1154)))&amp;"")</f>
        <v/>
      </c>
      <c r="M1154" s="10">
        <f>IF($BI1154="","",IF($B1154="Onsite",INDEX(tbl_Onsite[Notes],$BI1154),IF($B1154="Production",INDEX(tbl_Production[Notes],$BI1154),INDEX(tbl_Consulting[Notes],$BI1154)))&amp;"")</f>
        <v/>
      </c>
      <c r="N1154" s="11">
        <f>IF($BI1154="","",IF(IF($B1154="Onsite",INDEX(tbl_Onsite[Expected Revenue Ex GST],$BI1154),IF($B1154="Production",INDEX(tbl_Production[Expected Revenue Ex GST],$BI1154),INDEX(tbl_Consulting[Expected Revenue Ex GST],$BI1154)))="","",IF($B1154="Onsite",INDEX(tbl_Onsite[Expected Revenue Ex GST],$BI1154),IF($B1154="Production",INDEX(tbl_Production[Expected Revenue Ex GST],$BI1154),INDEX(tbl_Consulting[Expected Revenue Ex GST],$BI1154)))))</f>
        <v/>
      </c>
      <c r="O1154" s="11">
        <f>IF(AND($C1154="",NOT(COUNTA($S1154:$BB1154)&gt;0)),"",SUM(U1154,X1154,AA1154,AD1154,AG1154,AJ1154,AM1154,AP1154,AS1154,AV1154,AY1154,BB1154))</f>
        <v/>
      </c>
      <c r="P1154" s="11">
        <f>IF(O1154="","",N(N1154)-O1154)</f>
        <v/>
      </c>
      <c r="Q1154" s="10">
        <f>IF(O1154="","",IF($C1154="","Invoice on empty job row",IF(N1154="",IF(ROUND(O1154,2)=0,"No dept value","Invoiced - no dept value"),IF(ROUND(O1154,2)=0,"Not invoiced - to invoice",IF(ROUND(P1154,2)=0,"Agrees",IF(P1154&gt;0,"Dept higher - to invoice","Xero higher - check dept"))))))</f>
        <v/>
      </c>
      <c r="R1154" s="10">
        <f>IF(AND($C1154="",NOT(COUNTA($S1154:$BB1154)&gt;0),$BI1154&lt;&gt;""),"",MID(IF($BI1154="","; Row ID not found on the department sheet - a row was deleted","")&amp;IF(AND($C1154="",COUNTA($S1154:$BB1154)&gt;0),"; Invoice entered but the department row has no job number","")&amp;IF(E1154="CHECK","; Job number not in the Xero job list","")&amp;IF(AND($C1154&lt;&gt;"",COUNTIF($C$7:$C$1506,$C1154)&gt;1),"; Job number on more than one row","")&amp;IF(AND($C1154&lt;&gt;"",H1154=""),"; Dept has not set a cost centre","")&amp;IF(AND($C1154&lt;&gt;"",J1154=""),"; Dept has not set a tax code","")&amp;IF(AND($C1154&lt;&gt;"",N1154=""),"; Dept has not entered an expected value","")&amp;IF((IF(OR(COUNTA(S1154:U1154)=0,AND(COUNTA(S1154:U1154)=3,ISNUMBER(U1154))),0,1)+IF(OR(COUNTA(V1154:X1154)=0,AND(COUNTA(V1154:X1154)=3,ISNUMBER(X1154))),0,1)+IF(OR(COUNTA(Y1154:AA1154)=0,AND(COUNTA(Y1154:AA1154)=3,ISNUMBER(AA1154))),0,1)+IF(OR(COUNTA(AB1154:AD1154)=0,AND(COUNTA(AB1154:AD1154)=3,ISNUMBER(AD1154))),0,1)+IF(OR(COUNTA(AE1154:AG1154)=0,AND(COUNTA(AE1154:AG1154)=3,ISNUMBER(AG1154))),0,1)+IF(OR(COUNTA(AH1154:AJ1154)=0,AND(COUNTA(AH1154:AJ1154)=3,ISNUMBER(AJ1154))),0,1)+IF(OR(COUNTA(AK1154:AM1154)=0,AND(COUNTA(AK1154:AM1154)=3,ISNUMBER(AM1154))),0,1)+IF(OR(COUNTA(AN1154:AP1154)=0,AND(COUNTA(AN1154:AP1154)=3,ISNUMBER(AP1154))),0,1)+IF(OR(COUNTA(AQ1154:AS1154)=0,AND(COUNTA(AQ1154:AS1154)=3,ISNUMBER(AS1154))),0,1)+IF(OR(COUNTA(AT1154:AV1154)=0,AND(COUNTA(AT1154:AV1154)=3,ISNUMBER(AV1154))),0,1)+IF(OR(COUNTA(AW1154:AY1154)=0,AND(COUNTA(AW1154:AY1154)=3,ISNUMBER(AY1154))),0,1)+IF(OR(COUNTA(AZ1154:BB1154)=0,AND(COUNTA(AZ1154:BB1154)=3,ISNUMBER(BB1154))),0,1))&gt;0,"; An invoice is incomplete (needs No, Date and a number in Ex GST)","")&amp;IF((IF(T1154="",0,IFERROR(--(EOMONTH(T1154,0)&lt;&gt;S$5),1))+IF(W1154="",0,IFERROR(--(EOMONTH(W1154,0)&lt;&gt;V$5),1))+IF(Z1154="",0,IFERROR(--(EOMONTH(Z1154,0)&lt;&gt;Y$5),1))+IF(AC1154="",0,IFERROR(--(EOMONTH(AC1154,0)&lt;&gt;AB$5),1))+IF(AF1154="",0,IFERROR(--(EOMONTH(AF1154,0)&lt;&gt;AE$5),1))+IF(AI1154="",0,IFERROR(--(EOMONTH(AI1154,0)&lt;&gt;AH$5),1))+IF(AL1154="",0,IFERROR(--(EOMONTH(AL1154,0)&lt;&gt;AK$5),1))+IF(AO1154="",0,IFERROR(--(EOMONTH(AO1154,0)&lt;&gt;AN$5),1))+IF(AR1154="",0,IFERROR(--(EOMONTH(AR1154,0)&lt;&gt;AQ$5),1))+IF(AU1154="",0,IFERROR(--(EOMONTH(AU1154,0)&lt;&gt;AT$5),1))+IF(AX1154="",0,IFERROR(--(EOMONTH(AX1154,0)&lt;&gt;AW$5),1))+IF(BA1154="",0,IFERROR(--(EOMONTH(BA1154,0)&lt;&gt;AZ$5),1)))&gt;0,"; An invoice date is not in the month it is typed under",""),3,500))</f>
        <v/>
      </c>
      <c r="S1154" s="12" t="n"/>
      <c r="T1154" s="13" t="n"/>
      <c r="U1154" s="14" t="n"/>
      <c r="V1154" s="12" t="n"/>
      <c r="W1154" s="13" t="n"/>
      <c r="X1154" s="14" t="n"/>
      <c r="Y1154" s="12" t="n"/>
      <c r="Z1154" s="13" t="n"/>
      <c r="AA1154" s="14" t="n"/>
      <c r="AB1154" s="12" t="n"/>
      <c r="AC1154" s="13" t="n"/>
      <c r="AD1154" s="14" t="n"/>
      <c r="AE1154" s="12" t="n"/>
      <c r="AF1154" s="13" t="n"/>
      <c r="AG1154" s="14" t="n"/>
      <c r="AH1154" s="12" t="n"/>
      <c r="AI1154" s="13" t="n"/>
      <c r="AJ1154" s="14" t="n"/>
      <c r="AK1154" s="12" t="n"/>
      <c r="AL1154" s="13" t="n"/>
      <c r="AM1154" s="14" t="n"/>
      <c r="AN1154" s="12" t="n"/>
      <c r="AO1154" s="13" t="n"/>
      <c r="AP1154" s="14" t="n"/>
      <c r="AQ1154" s="12" t="n"/>
      <c r="AR1154" s="13" t="n"/>
      <c r="AS1154" s="14" t="n"/>
      <c r="AT1154" s="12" t="n"/>
      <c r="AU1154" s="13" t="n"/>
      <c r="AV1154" s="14" t="n"/>
      <c r="AW1154" s="12" t="n"/>
      <c r="AX1154" s="13" t="n"/>
      <c r="AY1154" s="14" t="n"/>
      <c r="AZ1154" s="12" t="n"/>
      <c r="BA1154" s="13" t="n"/>
      <c r="BB1154" s="14" t="n"/>
      <c r="BC1154" s="11">
        <f>IF(O1154="","",IF(J1154="GST 10%",ROUND(O1154*set_GSTRate,2),0))</f>
        <v/>
      </c>
      <c r="BD1154" s="11">
        <f>IF(O1154="","",O1154+BC1154)</f>
        <v/>
      </c>
      <c r="BE1154" s="15">
        <f>IF(O1154="","",COUNTA(S1154,V1154,Y1154,AB1154,AE1154,AH1154,AK1154,AN1154,AQ1154,AT1154,AW1154,AZ1154))</f>
        <v/>
      </c>
      <c r="BF1154" s="16">
        <f>IF(COUNT(T1154,W1154,Z1154,AC1154,AF1154,AI1154,AL1154,AO1154,AR1154,AU1154,AX1154,BA1154)=0,"",MAX(T1154,W1154,Z1154,AC1154,AF1154,AI1154,AL1154,AO1154,AR1154,AU1154,AX1154,BA1154))</f>
        <v/>
      </c>
      <c r="BG1154" s="10">
        <f>MID(IF(S1154="","",", "&amp;S1154)&amp;IF(V1154="","",", "&amp;V1154)&amp;IF(Y1154="","",", "&amp;Y1154)&amp;IF(AB1154="","",", "&amp;AB1154)&amp;IF(AE1154="","",", "&amp;AE1154)&amp;IF(AH1154="","",", "&amp;AH1154)&amp;IF(AK1154="","",", "&amp;AK1154)&amp;IF(AN1154="","",", "&amp;AN1154)&amp;IF(AQ1154="","",", "&amp;AQ1154)&amp;IF(AT1154="","",", "&amp;AT1154)&amp;IF(AW1154="","",", "&amp;AW1154)&amp;IF(AZ1154="","",", "&amp;AZ1154),3,500)</f>
        <v/>
      </c>
      <c r="BH1154" s="12" t="n"/>
      <c r="BI1154" s="15">
        <f>IFERROR(MATCH($A1154,IF($B1154="Onsite",tbl_Onsite[Row ID],IF($B1154="Production",tbl_Production[Row ID],tbl_Consulting[Row ID])),0),"")</f>
        <v/>
      </c>
    </row>
    <row r="1155">
      <c r="A1155" s="10" t="inlineStr">
        <is>
          <t>CON-0149</t>
        </is>
      </c>
      <c r="B1155" s="10" t="inlineStr">
        <is>
          <t>Consulting</t>
        </is>
      </c>
      <c r="C1155" s="10">
        <f>IF($BI1155="","",IF($B1155="Onsite",INDEX(tbl_Onsite[Job Number],$BI1155),IF($B1155="Production",INDEX(tbl_Production[Job Number],$BI1155),INDEX(tbl_Consulting[Job Number],$BI1155)))&amp;"")</f>
        <v/>
      </c>
      <c r="D1155" s="10">
        <f>IF($BI1155="","",IF($B1155="Onsite",INDEX(tbl_Onsite[Client],$BI1155),IF($B1155="Production",INDEX(tbl_Production[Client],$BI1155),INDEX(tbl_Consulting[Client],$BI1155)))&amp;"")</f>
        <v/>
      </c>
      <c r="E1155" s="10">
        <f>IF($C1155="","",IF(COUNTIF(lst_Jobs,$C1155)&gt;0,"OK","CHECK"))</f>
        <v/>
      </c>
      <c r="F1155" s="10">
        <f>IF($C1155="","",IFERROR(INDEX(lst_JobName,MATCH($C1155,lst_Jobs,0)),""))</f>
        <v/>
      </c>
      <c r="G1155" s="10">
        <f>IF($BI1155="","",IF($B1155="Onsite",INDEX(tbl_Onsite[Job Description],$BI1155),IF($B1155="Production",INDEX(tbl_Production[Job Description],$BI1155),INDEX(tbl_Consulting[Job Description],$BI1155)))&amp;"")</f>
        <v/>
      </c>
      <c r="H1155" s="10">
        <f>IF($BI1155="","",IF($B1155="Onsite",INDEX(tbl_Onsite[Cost Centre],$BI1155),IF($B1155="Production",INDEX(tbl_Production[Cost Centre],$BI1155),INDEX(tbl_Consulting[Cost Centre],$BI1155)))&amp;"")</f>
        <v/>
      </c>
      <c r="I1155" s="10">
        <f>IF($BI1155="","",IF($B1155="Onsite",INDEX(tbl_Onsite[Invoice Type],$BI1155),IF($B1155="Production",INDEX(tbl_Production[Invoice Type],$BI1155),INDEX(tbl_Consulting[Invoice Type],$BI1155)))&amp;"")</f>
        <v/>
      </c>
      <c r="J1155" s="10">
        <f>IF($BI1155="","",IF($B1155="Onsite",INDEX(tbl_Onsite[Tax Code],$BI1155),IF($B1155="Production",INDEX(tbl_Production[Tax Code],$BI1155),INDEX(tbl_Consulting[Tax Code],$BI1155)))&amp;"")</f>
        <v/>
      </c>
      <c r="K1155" s="10">
        <f>IF(H1155="","",IFERROR(INDEX(lst_CCtoGL,MATCH(H1155,lst_CCforGL,0)),""))</f>
        <v/>
      </c>
      <c r="L1155" s="10">
        <f>IF($BI1155="","",IF($B1155="Onsite",INDEX(tbl_Onsite[PO / Reference],$BI1155),IF($B1155="Production",INDEX(tbl_Production[Current RMS No],$BI1155),INDEX(tbl_Consulting[Qwilr Quote],$BI1155)))&amp;"")</f>
        <v/>
      </c>
      <c r="M1155" s="10">
        <f>IF($BI1155="","",IF($B1155="Onsite",INDEX(tbl_Onsite[Notes],$BI1155),IF($B1155="Production",INDEX(tbl_Production[Notes],$BI1155),INDEX(tbl_Consulting[Notes],$BI1155)))&amp;"")</f>
        <v/>
      </c>
      <c r="N1155" s="11">
        <f>IF($BI1155="","",IF(IF($B1155="Onsite",INDEX(tbl_Onsite[Expected Revenue Ex GST],$BI1155),IF($B1155="Production",INDEX(tbl_Production[Expected Revenue Ex GST],$BI1155),INDEX(tbl_Consulting[Expected Revenue Ex GST],$BI1155)))="","",IF($B1155="Onsite",INDEX(tbl_Onsite[Expected Revenue Ex GST],$BI1155),IF($B1155="Production",INDEX(tbl_Production[Expected Revenue Ex GST],$BI1155),INDEX(tbl_Consulting[Expected Revenue Ex GST],$BI1155)))))</f>
        <v/>
      </c>
      <c r="O1155" s="11">
        <f>IF(AND($C1155="",NOT(COUNTA($S1155:$BB1155)&gt;0)),"",SUM(U1155,X1155,AA1155,AD1155,AG1155,AJ1155,AM1155,AP1155,AS1155,AV1155,AY1155,BB1155))</f>
        <v/>
      </c>
      <c r="P1155" s="11">
        <f>IF(O1155="","",N(N1155)-O1155)</f>
        <v/>
      </c>
      <c r="Q1155" s="10">
        <f>IF(O1155="","",IF($C1155="","Invoice on empty job row",IF(N1155="",IF(ROUND(O1155,2)=0,"No dept value","Invoiced - no dept value"),IF(ROUND(O1155,2)=0,"Not invoiced - to invoice",IF(ROUND(P1155,2)=0,"Agrees",IF(P1155&gt;0,"Dept higher - to invoice","Xero higher - check dept"))))))</f>
        <v/>
      </c>
      <c r="R1155" s="10">
        <f>IF(AND($C1155="",NOT(COUNTA($S1155:$BB1155)&gt;0),$BI1155&lt;&gt;""),"",MID(IF($BI1155="","; Row ID not found on the department sheet - a row was deleted","")&amp;IF(AND($C1155="",COUNTA($S1155:$BB1155)&gt;0),"; Invoice entered but the department row has no job number","")&amp;IF(E1155="CHECK","; Job number not in the Xero job list","")&amp;IF(AND($C1155&lt;&gt;"",COUNTIF($C$7:$C$1506,$C1155)&gt;1),"; Job number on more than one row","")&amp;IF(AND($C1155&lt;&gt;"",H1155=""),"; Dept has not set a cost centre","")&amp;IF(AND($C1155&lt;&gt;"",J1155=""),"; Dept has not set a tax code","")&amp;IF(AND($C1155&lt;&gt;"",N1155=""),"; Dept has not entered an expected value","")&amp;IF((IF(OR(COUNTA(S1155:U1155)=0,AND(COUNTA(S1155:U1155)=3,ISNUMBER(U1155))),0,1)+IF(OR(COUNTA(V1155:X1155)=0,AND(COUNTA(V1155:X1155)=3,ISNUMBER(X1155))),0,1)+IF(OR(COUNTA(Y1155:AA1155)=0,AND(COUNTA(Y1155:AA1155)=3,ISNUMBER(AA1155))),0,1)+IF(OR(COUNTA(AB1155:AD1155)=0,AND(COUNTA(AB1155:AD1155)=3,ISNUMBER(AD1155))),0,1)+IF(OR(COUNTA(AE1155:AG1155)=0,AND(COUNTA(AE1155:AG1155)=3,ISNUMBER(AG1155))),0,1)+IF(OR(COUNTA(AH1155:AJ1155)=0,AND(COUNTA(AH1155:AJ1155)=3,ISNUMBER(AJ1155))),0,1)+IF(OR(COUNTA(AK1155:AM1155)=0,AND(COUNTA(AK1155:AM1155)=3,ISNUMBER(AM1155))),0,1)+IF(OR(COUNTA(AN1155:AP1155)=0,AND(COUNTA(AN1155:AP1155)=3,ISNUMBER(AP1155))),0,1)+IF(OR(COUNTA(AQ1155:AS1155)=0,AND(COUNTA(AQ1155:AS1155)=3,ISNUMBER(AS1155))),0,1)+IF(OR(COUNTA(AT1155:AV1155)=0,AND(COUNTA(AT1155:AV1155)=3,ISNUMBER(AV1155))),0,1)+IF(OR(COUNTA(AW1155:AY1155)=0,AND(COUNTA(AW1155:AY1155)=3,ISNUMBER(AY1155))),0,1)+IF(OR(COUNTA(AZ1155:BB1155)=0,AND(COUNTA(AZ1155:BB1155)=3,ISNUMBER(BB1155))),0,1))&gt;0,"; An invoice is incomplete (needs No, Date and a number in Ex GST)","")&amp;IF((IF(T1155="",0,IFERROR(--(EOMONTH(T1155,0)&lt;&gt;S$5),1))+IF(W1155="",0,IFERROR(--(EOMONTH(W1155,0)&lt;&gt;V$5),1))+IF(Z1155="",0,IFERROR(--(EOMONTH(Z1155,0)&lt;&gt;Y$5),1))+IF(AC1155="",0,IFERROR(--(EOMONTH(AC1155,0)&lt;&gt;AB$5),1))+IF(AF1155="",0,IFERROR(--(EOMONTH(AF1155,0)&lt;&gt;AE$5),1))+IF(AI1155="",0,IFERROR(--(EOMONTH(AI1155,0)&lt;&gt;AH$5),1))+IF(AL1155="",0,IFERROR(--(EOMONTH(AL1155,0)&lt;&gt;AK$5),1))+IF(AO1155="",0,IFERROR(--(EOMONTH(AO1155,0)&lt;&gt;AN$5),1))+IF(AR1155="",0,IFERROR(--(EOMONTH(AR1155,0)&lt;&gt;AQ$5),1))+IF(AU1155="",0,IFERROR(--(EOMONTH(AU1155,0)&lt;&gt;AT$5),1))+IF(AX1155="",0,IFERROR(--(EOMONTH(AX1155,0)&lt;&gt;AW$5),1))+IF(BA1155="",0,IFERROR(--(EOMONTH(BA1155,0)&lt;&gt;AZ$5),1)))&gt;0,"; An invoice date is not in the month it is typed under",""),3,500))</f>
        <v/>
      </c>
      <c r="S1155" s="12" t="n"/>
      <c r="T1155" s="13" t="n"/>
      <c r="U1155" s="14" t="n"/>
      <c r="V1155" s="12" t="n"/>
      <c r="W1155" s="13" t="n"/>
      <c r="X1155" s="14" t="n"/>
      <c r="Y1155" s="12" t="n"/>
      <c r="Z1155" s="13" t="n"/>
      <c r="AA1155" s="14" t="n"/>
      <c r="AB1155" s="12" t="n"/>
      <c r="AC1155" s="13" t="n"/>
      <c r="AD1155" s="14" t="n"/>
      <c r="AE1155" s="12" t="n"/>
      <c r="AF1155" s="13" t="n"/>
      <c r="AG1155" s="14" t="n"/>
      <c r="AH1155" s="12" t="n"/>
      <c r="AI1155" s="13" t="n"/>
      <c r="AJ1155" s="14" t="n"/>
      <c r="AK1155" s="12" t="n"/>
      <c r="AL1155" s="13" t="n"/>
      <c r="AM1155" s="14" t="n"/>
      <c r="AN1155" s="12" t="n"/>
      <c r="AO1155" s="13" t="n"/>
      <c r="AP1155" s="14" t="n"/>
      <c r="AQ1155" s="12" t="n"/>
      <c r="AR1155" s="13" t="n"/>
      <c r="AS1155" s="14" t="n"/>
      <c r="AT1155" s="12" t="n"/>
      <c r="AU1155" s="13" t="n"/>
      <c r="AV1155" s="14" t="n"/>
      <c r="AW1155" s="12" t="n"/>
      <c r="AX1155" s="13" t="n"/>
      <c r="AY1155" s="14" t="n"/>
      <c r="AZ1155" s="12" t="n"/>
      <c r="BA1155" s="13" t="n"/>
      <c r="BB1155" s="14" t="n"/>
      <c r="BC1155" s="11">
        <f>IF(O1155="","",IF(J1155="GST 10%",ROUND(O1155*set_GSTRate,2),0))</f>
        <v/>
      </c>
      <c r="BD1155" s="11">
        <f>IF(O1155="","",O1155+BC1155)</f>
        <v/>
      </c>
      <c r="BE1155" s="15">
        <f>IF(O1155="","",COUNTA(S1155,V1155,Y1155,AB1155,AE1155,AH1155,AK1155,AN1155,AQ1155,AT1155,AW1155,AZ1155))</f>
        <v/>
      </c>
      <c r="BF1155" s="16">
        <f>IF(COUNT(T1155,W1155,Z1155,AC1155,AF1155,AI1155,AL1155,AO1155,AR1155,AU1155,AX1155,BA1155)=0,"",MAX(T1155,W1155,Z1155,AC1155,AF1155,AI1155,AL1155,AO1155,AR1155,AU1155,AX1155,BA1155))</f>
        <v/>
      </c>
      <c r="BG1155" s="10">
        <f>MID(IF(S1155="","",", "&amp;S1155)&amp;IF(V1155="","",", "&amp;V1155)&amp;IF(Y1155="","",", "&amp;Y1155)&amp;IF(AB1155="","",", "&amp;AB1155)&amp;IF(AE1155="","",", "&amp;AE1155)&amp;IF(AH1155="","",", "&amp;AH1155)&amp;IF(AK1155="","",", "&amp;AK1155)&amp;IF(AN1155="","",", "&amp;AN1155)&amp;IF(AQ1155="","",", "&amp;AQ1155)&amp;IF(AT1155="","",", "&amp;AT1155)&amp;IF(AW1155="","",", "&amp;AW1155)&amp;IF(AZ1155="","",", "&amp;AZ1155),3,500)</f>
        <v/>
      </c>
      <c r="BH1155" s="12" t="n"/>
      <c r="BI1155" s="15">
        <f>IFERROR(MATCH($A1155,IF($B1155="Onsite",tbl_Onsite[Row ID],IF($B1155="Production",tbl_Production[Row ID],tbl_Consulting[Row ID])),0),"")</f>
        <v/>
      </c>
    </row>
    <row r="1156">
      <c r="A1156" s="10" t="inlineStr">
        <is>
          <t>CON-0150</t>
        </is>
      </c>
      <c r="B1156" s="10" t="inlineStr">
        <is>
          <t>Consulting</t>
        </is>
      </c>
      <c r="C1156" s="10">
        <f>IF($BI1156="","",IF($B1156="Onsite",INDEX(tbl_Onsite[Job Number],$BI1156),IF($B1156="Production",INDEX(tbl_Production[Job Number],$BI1156),INDEX(tbl_Consulting[Job Number],$BI1156)))&amp;"")</f>
        <v/>
      </c>
      <c r="D1156" s="10">
        <f>IF($BI1156="","",IF($B1156="Onsite",INDEX(tbl_Onsite[Client],$BI1156),IF($B1156="Production",INDEX(tbl_Production[Client],$BI1156),INDEX(tbl_Consulting[Client],$BI1156)))&amp;"")</f>
        <v/>
      </c>
      <c r="E1156" s="10">
        <f>IF($C1156="","",IF(COUNTIF(lst_Jobs,$C1156)&gt;0,"OK","CHECK"))</f>
        <v/>
      </c>
      <c r="F1156" s="10">
        <f>IF($C1156="","",IFERROR(INDEX(lst_JobName,MATCH($C1156,lst_Jobs,0)),""))</f>
        <v/>
      </c>
      <c r="G1156" s="10">
        <f>IF($BI1156="","",IF($B1156="Onsite",INDEX(tbl_Onsite[Job Description],$BI1156),IF($B1156="Production",INDEX(tbl_Production[Job Description],$BI1156),INDEX(tbl_Consulting[Job Description],$BI1156)))&amp;"")</f>
        <v/>
      </c>
      <c r="H1156" s="10">
        <f>IF($BI1156="","",IF($B1156="Onsite",INDEX(tbl_Onsite[Cost Centre],$BI1156),IF($B1156="Production",INDEX(tbl_Production[Cost Centre],$BI1156),INDEX(tbl_Consulting[Cost Centre],$BI1156)))&amp;"")</f>
        <v/>
      </c>
      <c r="I1156" s="10">
        <f>IF($BI1156="","",IF($B1156="Onsite",INDEX(tbl_Onsite[Invoice Type],$BI1156),IF($B1156="Production",INDEX(tbl_Production[Invoice Type],$BI1156),INDEX(tbl_Consulting[Invoice Type],$BI1156)))&amp;"")</f>
        <v/>
      </c>
      <c r="J1156" s="10">
        <f>IF($BI1156="","",IF($B1156="Onsite",INDEX(tbl_Onsite[Tax Code],$BI1156),IF($B1156="Production",INDEX(tbl_Production[Tax Code],$BI1156),INDEX(tbl_Consulting[Tax Code],$BI1156)))&amp;"")</f>
        <v/>
      </c>
      <c r="K1156" s="10">
        <f>IF(H1156="","",IFERROR(INDEX(lst_CCtoGL,MATCH(H1156,lst_CCforGL,0)),""))</f>
        <v/>
      </c>
      <c r="L1156" s="10">
        <f>IF($BI1156="","",IF($B1156="Onsite",INDEX(tbl_Onsite[PO / Reference],$BI1156),IF($B1156="Production",INDEX(tbl_Production[Current RMS No],$BI1156),INDEX(tbl_Consulting[Qwilr Quote],$BI1156)))&amp;"")</f>
        <v/>
      </c>
      <c r="M1156" s="10">
        <f>IF($BI1156="","",IF($B1156="Onsite",INDEX(tbl_Onsite[Notes],$BI1156),IF($B1156="Production",INDEX(tbl_Production[Notes],$BI1156),INDEX(tbl_Consulting[Notes],$BI1156)))&amp;"")</f>
        <v/>
      </c>
      <c r="N1156" s="11">
        <f>IF($BI1156="","",IF(IF($B1156="Onsite",INDEX(tbl_Onsite[Expected Revenue Ex GST],$BI1156),IF($B1156="Production",INDEX(tbl_Production[Expected Revenue Ex GST],$BI1156),INDEX(tbl_Consulting[Expected Revenue Ex GST],$BI1156)))="","",IF($B1156="Onsite",INDEX(tbl_Onsite[Expected Revenue Ex GST],$BI1156),IF($B1156="Production",INDEX(tbl_Production[Expected Revenue Ex GST],$BI1156),INDEX(tbl_Consulting[Expected Revenue Ex GST],$BI1156)))))</f>
        <v/>
      </c>
      <c r="O1156" s="11">
        <f>IF(AND($C1156="",NOT(COUNTA($S1156:$BB1156)&gt;0)),"",SUM(U1156,X1156,AA1156,AD1156,AG1156,AJ1156,AM1156,AP1156,AS1156,AV1156,AY1156,BB1156))</f>
        <v/>
      </c>
      <c r="P1156" s="11">
        <f>IF(O1156="","",N(N1156)-O1156)</f>
        <v/>
      </c>
      <c r="Q1156" s="10">
        <f>IF(O1156="","",IF($C1156="","Invoice on empty job row",IF(N1156="",IF(ROUND(O1156,2)=0,"No dept value","Invoiced - no dept value"),IF(ROUND(O1156,2)=0,"Not invoiced - to invoice",IF(ROUND(P1156,2)=0,"Agrees",IF(P1156&gt;0,"Dept higher - to invoice","Xero higher - check dept"))))))</f>
        <v/>
      </c>
      <c r="R1156" s="10">
        <f>IF(AND($C1156="",NOT(COUNTA($S1156:$BB1156)&gt;0),$BI1156&lt;&gt;""),"",MID(IF($BI1156="","; Row ID not found on the department sheet - a row was deleted","")&amp;IF(AND($C1156="",COUNTA($S1156:$BB1156)&gt;0),"; Invoice entered but the department row has no job number","")&amp;IF(E1156="CHECK","; Job number not in the Xero job list","")&amp;IF(AND($C1156&lt;&gt;"",COUNTIF($C$7:$C$1506,$C1156)&gt;1),"; Job number on more than one row","")&amp;IF(AND($C1156&lt;&gt;"",H1156=""),"; Dept has not set a cost centre","")&amp;IF(AND($C1156&lt;&gt;"",J1156=""),"; Dept has not set a tax code","")&amp;IF(AND($C1156&lt;&gt;"",N1156=""),"; Dept has not entered an expected value","")&amp;IF((IF(OR(COUNTA(S1156:U1156)=0,AND(COUNTA(S1156:U1156)=3,ISNUMBER(U1156))),0,1)+IF(OR(COUNTA(V1156:X1156)=0,AND(COUNTA(V1156:X1156)=3,ISNUMBER(X1156))),0,1)+IF(OR(COUNTA(Y1156:AA1156)=0,AND(COUNTA(Y1156:AA1156)=3,ISNUMBER(AA1156))),0,1)+IF(OR(COUNTA(AB1156:AD1156)=0,AND(COUNTA(AB1156:AD1156)=3,ISNUMBER(AD1156))),0,1)+IF(OR(COUNTA(AE1156:AG1156)=0,AND(COUNTA(AE1156:AG1156)=3,ISNUMBER(AG1156))),0,1)+IF(OR(COUNTA(AH1156:AJ1156)=0,AND(COUNTA(AH1156:AJ1156)=3,ISNUMBER(AJ1156))),0,1)+IF(OR(COUNTA(AK1156:AM1156)=0,AND(COUNTA(AK1156:AM1156)=3,ISNUMBER(AM1156))),0,1)+IF(OR(COUNTA(AN1156:AP1156)=0,AND(COUNTA(AN1156:AP1156)=3,ISNUMBER(AP1156))),0,1)+IF(OR(COUNTA(AQ1156:AS1156)=0,AND(COUNTA(AQ1156:AS1156)=3,ISNUMBER(AS1156))),0,1)+IF(OR(COUNTA(AT1156:AV1156)=0,AND(COUNTA(AT1156:AV1156)=3,ISNUMBER(AV1156))),0,1)+IF(OR(COUNTA(AW1156:AY1156)=0,AND(COUNTA(AW1156:AY1156)=3,ISNUMBER(AY1156))),0,1)+IF(OR(COUNTA(AZ1156:BB1156)=0,AND(COUNTA(AZ1156:BB1156)=3,ISNUMBER(BB1156))),0,1))&gt;0,"; An invoice is incomplete (needs No, Date and a number in Ex GST)","")&amp;IF((IF(T1156="",0,IFERROR(--(EOMONTH(T1156,0)&lt;&gt;S$5),1))+IF(W1156="",0,IFERROR(--(EOMONTH(W1156,0)&lt;&gt;V$5),1))+IF(Z1156="",0,IFERROR(--(EOMONTH(Z1156,0)&lt;&gt;Y$5),1))+IF(AC1156="",0,IFERROR(--(EOMONTH(AC1156,0)&lt;&gt;AB$5),1))+IF(AF1156="",0,IFERROR(--(EOMONTH(AF1156,0)&lt;&gt;AE$5),1))+IF(AI1156="",0,IFERROR(--(EOMONTH(AI1156,0)&lt;&gt;AH$5),1))+IF(AL1156="",0,IFERROR(--(EOMONTH(AL1156,0)&lt;&gt;AK$5),1))+IF(AO1156="",0,IFERROR(--(EOMONTH(AO1156,0)&lt;&gt;AN$5),1))+IF(AR1156="",0,IFERROR(--(EOMONTH(AR1156,0)&lt;&gt;AQ$5),1))+IF(AU1156="",0,IFERROR(--(EOMONTH(AU1156,0)&lt;&gt;AT$5),1))+IF(AX1156="",0,IFERROR(--(EOMONTH(AX1156,0)&lt;&gt;AW$5),1))+IF(BA1156="",0,IFERROR(--(EOMONTH(BA1156,0)&lt;&gt;AZ$5),1)))&gt;0,"; An invoice date is not in the month it is typed under",""),3,500))</f>
        <v/>
      </c>
      <c r="S1156" s="12" t="n"/>
      <c r="T1156" s="13" t="n"/>
      <c r="U1156" s="14" t="n"/>
      <c r="V1156" s="12" t="n"/>
      <c r="W1156" s="13" t="n"/>
      <c r="X1156" s="14" t="n"/>
      <c r="Y1156" s="12" t="n"/>
      <c r="Z1156" s="13" t="n"/>
      <c r="AA1156" s="14" t="n"/>
      <c r="AB1156" s="12" t="n"/>
      <c r="AC1156" s="13" t="n"/>
      <c r="AD1156" s="14" t="n"/>
      <c r="AE1156" s="12" t="n"/>
      <c r="AF1156" s="13" t="n"/>
      <c r="AG1156" s="14" t="n"/>
      <c r="AH1156" s="12" t="n"/>
      <c r="AI1156" s="13" t="n"/>
      <c r="AJ1156" s="14" t="n"/>
      <c r="AK1156" s="12" t="n"/>
      <c r="AL1156" s="13" t="n"/>
      <c r="AM1156" s="14" t="n"/>
      <c r="AN1156" s="12" t="n"/>
      <c r="AO1156" s="13" t="n"/>
      <c r="AP1156" s="14" t="n"/>
      <c r="AQ1156" s="12" t="n"/>
      <c r="AR1156" s="13" t="n"/>
      <c r="AS1156" s="14" t="n"/>
      <c r="AT1156" s="12" t="n"/>
      <c r="AU1156" s="13" t="n"/>
      <c r="AV1156" s="14" t="n"/>
      <c r="AW1156" s="12" t="n"/>
      <c r="AX1156" s="13" t="n"/>
      <c r="AY1156" s="14" t="n"/>
      <c r="AZ1156" s="12" t="n"/>
      <c r="BA1156" s="13" t="n"/>
      <c r="BB1156" s="14" t="n"/>
      <c r="BC1156" s="11">
        <f>IF(O1156="","",IF(J1156="GST 10%",ROUND(O1156*set_GSTRate,2),0))</f>
        <v/>
      </c>
      <c r="BD1156" s="11">
        <f>IF(O1156="","",O1156+BC1156)</f>
        <v/>
      </c>
      <c r="BE1156" s="15">
        <f>IF(O1156="","",COUNTA(S1156,V1156,Y1156,AB1156,AE1156,AH1156,AK1156,AN1156,AQ1156,AT1156,AW1156,AZ1156))</f>
        <v/>
      </c>
      <c r="BF1156" s="16">
        <f>IF(COUNT(T1156,W1156,Z1156,AC1156,AF1156,AI1156,AL1156,AO1156,AR1156,AU1156,AX1156,BA1156)=0,"",MAX(T1156,W1156,Z1156,AC1156,AF1156,AI1156,AL1156,AO1156,AR1156,AU1156,AX1156,BA1156))</f>
        <v/>
      </c>
      <c r="BG1156" s="10">
        <f>MID(IF(S1156="","",", "&amp;S1156)&amp;IF(V1156="","",", "&amp;V1156)&amp;IF(Y1156="","",", "&amp;Y1156)&amp;IF(AB1156="","",", "&amp;AB1156)&amp;IF(AE1156="","",", "&amp;AE1156)&amp;IF(AH1156="","",", "&amp;AH1156)&amp;IF(AK1156="","",", "&amp;AK1156)&amp;IF(AN1156="","",", "&amp;AN1156)&amp;IF(AQ1156="","",", "&amp;AQ1156)&amp;IF(AT1156="","",", "&amp;AT1156)&amp;IF(AW1156="","",", "&amp;AW1156)&amp;IF(AZ1156="","",", "&amp;AZ1156),3,500)</f>
        <v/>
      </c>
      <c r="BH1156" s="12" t="n"/>
      <c r="BI1156" s="15">
        <f>IFERROR(MATCH($A1156,IF($B1156="Onsite",tbl_Onsite[Row ID],IF($B1156="Production",tbl_Production[Row ID],tbl_Consulting[Row ID])),0),"")</f>
        <v/>
      </c>
    </row>
    <row r="1157">
      <c r="A1157" s="10" t="inlineStr">
        <is>
          <t>CON-0151</t>
        </is>
      </c>
      <c r="B1157" s="10" t="inlineStr">
        <is>
          <t>Consulting</t>
        </is>
      </c>
      <c r="C1157" s="10">
        <f>IF($BI1157="","",IF($B1157="Onsite",INDEX(tbl_Onsite[Job Number],$BI1157),IF($B1157="Production",INDEX(tbl_Production[Job Number],$BI1157),INDEX(tbl_Consulting[Job Number],$BI1157)))&amp;"")</f>
        <v/>
      </c>
      <c r="D1157" s="10">
        <f>IF($BI1157="","",IF($B1157="Onsite",INDEX(tbl_Onsite[Client],$BI1157),IF($B1157="Production",INDEX(tbl_Production[Client],$BI1157),INDEX(tbl_Consulting[Client],$BI1157)))&amp;"")</f>
        <v/>
      </c>
      <c r="E1157" s="10">
        <f>IF($C1157="","",IF(COUNTIF(lst_Jobs,$C1157)&gt;0,"OK","CHECK"))</f>
        <v/>
      </c>
      <c r="F1157" s="10">
        <f>IF($C1157="","",IFERROR(INDEX(lst_JobName,MATCH($C1157,lst_Jobs,0)),""))</f>
        <v/>
      </c>
      <c r="G1157" s="10">
        <f>IF($BI1157="","",IF($B1157="Onsite",INDEX(tbl_Onsite[Job Description],$BI1157),IF($B1157="Production",INDEX(tbl_Production[Job Description],$BI1157),INDEX(tbl_Consulting[Job Description],$BI1157)))&amp;"")</f>
        <v/>
      </c>
      <c r="H1157" s="10">
        <f>IF($BI1157="","",IF($B1157="Onsite",INDEX(tbl_Onsite[Cost Centre],$BI1157),IF($B1157="Production",INDEX(tbl_Production[Cost Centre],$BI1157),INDEX(tbl_Consulting[Cost Centre],$BI1157)))&amp;"")</f>
        <v/>
      </c>
      <c r="I1157" s="10">
        <f>IF($BI1157="","",IF($B1157="Onsite",INDEX(tbl_Onsite[Invoice Type],$BI1157),IF($B1157="Production",INDEX(tbl_Production[Invoice Type],$BI1157),INDEX(tbl_Consulting[Invoice Type],$BI1157)))&amp;"")</f>
        <v/>
      </c>
      <c r="J1157" s="10">
        <f>IF($BI1157="","",IF($B1157="Onsite",INDEX(tbl_Onsite[Tax Code],$BI1157),IF($B1157="Production",INDEX(tbl_Production[Tax Code],$BI1157),INDEX(tbl_Consulting[Tax Code],$BI1157)))&amp;"")</f>
        <v/>
      </c>
      <c r="K1157" s="10">
        <f>IF(H1157="","",IFERROR(INDEX(lst_CCtoGL,MATCH(H1157,lst_CCforGL,0)),""))</f>
        <v/>
      </c>
      <c r="L1157" s="10">
        <f>IF($BI1157="","",IF($B1157="Onsite",INDEX(tbl_Onsite[PO / Reference],$BI1157),IF($B1157="Production",INDEX(tbl_Production[Current RMS No],$BI1157),INDEX(tbl_Consulting[Qwilr Quote],$BI1157)))&amp;"")</f>
        <v/>
      </c>
      <c r="M1157" s="10">
        <f>IF($BI1157="","",IF($B1157="Onsite",INDEX(tbl_Onsite[Notes],$BI1157),IF($B1157="Production",INDEX(tbl_Production[Notes],$BI1157),INDEX(tbl_Consulting[Notes],$BI1157)))&amp;"")</f>
        <v/>
      </c>
      <c r="N1157" s="11">
        <f>IF($BI1157="","",IF(IF($B1157="Onsite",INDEX(tbl_Onsite[Expected Revenue Ex GST],$BI1157),IF($B1157="Production",INDEX(tbl_Production[Expected Revenue Ex GST],$BI1157),INDEX(tbl_Consulting[Expected Revenue Ex GST],$BI1157)))="","",IF($B1157="Onsite",INDEX(tbl_Onsite[Expected Revenue Ex GST],$BI1157),IF($B1157="Production",INDEX(tbl_Production[Expected Revenue Ex GST],$BI1157),INDEX(tbl_Consulting[Expected Revenue Ex GST],$BI1157)))))</f>
        <v/>
      </c>
      <c r="O1157" s="11">
        <f>IF(AND($C1157="",NOT(COUNTA($S1157:$BB1157)&gt;0)),"",SUM(U1157,X1157,AA1157,AD1157,AG1157,AJ1157,AM1157,AP1157,AS1157,AV1157,AY1157,BB1157))</f>
        <v/>
      </c>
      <c r="P1157" s="11">
        <f>IF(O1157="","",N(N1157)-O1157)</f>
        <v/>
      </c>
      <c r="Q1157" s="10">
        <f>IF(O1157="","",IF($C1157="","Invoice on empty job row",IF(N1157="",IF(ROUND(O1157,2)=0,"No dept value","Invoiced - no dept value"),IF(ROUND(O1157,2)=0,"Not invoiced - to invoice",IF(ROUND(P1157,2)=0,"Agrees",IF(P1157&gt;0,"Dept higher - to invoice","Xero higher - check dept"))))))</f>
        <v/>
      </c>
      <c r="R1157" s="10">
        <f>IF(AND($C1157="",NOT(COUNTA($S1157:$BB1157)&gt;0),$BI1157&lt;&gt;""),"",MID(IF($BI1157="","; Row ID not found on the department sheet - a row was deleted","")&amp;IF(AND($C1157="",COUNTA($S1157:$BB1157)&gt;0),"; Invoice entered but the department row has no job number","")&amp;IF(E1157="CHECK","; Job number not in the Xero job list","")&amp;IF(AND($C1157&lt;&gt;"",COUNTIF($C$7:$C$1506,$C1157)&gt;1),"; Job number on more than one row","")&amp;IF(AND($C1157&lt;&gt;"",H1157=""),"; Dept has not set a cost centre","")&amp;IF(AND($C1157&lt;&gt;"",J1157=""),"; Dept has not set a tax code","")&amp;IF(AND($C1157&lt;&gt;"",N1157=""),"; Dept has not entered an expected value","")&amp;IF((IF(OR(COUNTA(S1157:U1157)=0,AND(COUNTA(S1157:U1157)=3,ISNUMBER(U1157))),0,1)+IF(OR(COUNTA(V1157:X1157)=0,AND(COUNTA(V1157:X1157)=3,ISNUMBER(X1157))),0,1)+IF(OR(COUNTA(Y1157:AA1157)=0,AND(COUNTA(Y1157:AA1157)=3,ISNUMBER(AA1157))),0,1)+IF(OR(COUNTA(AB1157:AD1157)=0,AND(COUNTA(AB1157:AD1157)=3,ISNUMBER(AD1157))),0,1)+IF(OR(COUNTA(AE1157:AG1157)=0,AND(COUNTA(AE1157:AG1157)=3,ISNUMBER(AG1157))),0,1)+IF(OR(COUNTA(AH1157:AJ1157)=0,AND(COUNTA(AH1157:AJ1157)=3,ISNUMBER(AJ1157))),0,1)+IF(OR(COUNTA(AK1157:AM1157)=0,AND(COUNTA(AK1157:AM1157)=3,ISNUMBER(AM1157))),0,1)+IF(OR(COUNTA(AN1157:AP1157)=0,AND(COUNTA(AN1157:AP1157)=3,ISNUMBER(AP1157))),0,1)+IF(OR(COUNTA(AQ1157:AS1157)=0,AND(COUNTA(AQ1157:AS1157)=3,ISNUMBER(AS1157))),0,1)+IF(OR(COUNTA(AT1157:AV1157)=0,AND(COUNTA(AT1157:AV1157)=3,ISNUMBER(AV1157))),0,1)+IF(OR(COUNTA(AW1157:AY1157)=0,AND(COUNTA(AW1157:AY1157)=3,ISNUMBER(AY1157))),0,1)+IF(OR(COUNTA(AZ1157:BB1157)=0,AND(COUNTA(AZ1157:BB1157)=3,ISNUMBER(BB1157))),0,1))&gt;0,"; An invoice is incomplete (needs No, Date and a number in Ex GST)","")&amp;IF((IF(T1157="",0,IFERROR(--(EOMONTH(T1157,0)&lt;&gt;S$5),1))+IF(W1157="",0,IFERROR(--(EOMONTH(W1157,0)&lt;&gt;V$5),1))+IF(Z1157="",0,IFERROR(--(EOMONTH(Z1157,0)&lt;&gt;Y$5),1))+IF(AC1157="",0,IFERROR(--(EOMONTH(AC1157,0)&lt;&gt;AB$5),1))+IF(AF1157="",0,IFERROR(--(EOMONTH(AF1157,0)&lt;&gt;AE$5),1))+IF(AI1157="",0,IFERROR(--(EOMONTH(AI1157,0)&lt;&gt;AH$5),1))+IF(AL1157="",0,IFERROR(--(EOMONTH(AL1157,0)&lt;&gt;AK$5),1))+IF(AO1157="",0,IFERROR(--(EOMONTH(AO1157,0)&lt;&gt;AN$5),1))+IF(AR1157="",0,IFERROR(--(EOMONTH(AR1157,0)&lt;&gt;AQ$5),1))+IF(AU1157="",0,IFERROR(--(EOMONTH(AU1157,0)&lt;&gt;AT$5),1))+IF(AX1157="",0,IFERROR(--(EOMONTH(AX1157,0)&lt;&gt;AW$5),1))+IF(BA1157="",0,IFERROR(--(EOMONTH(BA1157,0)&lt;&gt;AZ$5),1)))&gt;0,"; An invoice date is not in the month it is typed under",""),3,500))</f>
        <v/>
      </c>
      <c r="S1157" s="12" t="n"/>
      <c r="T1157" s="13" t="n"/>
      <c r="U1157" s="14" t="n"/>
      <c r="V1157" s="12" t="n"/>
      <c r="W1157" s="13" t="n"/>
      <c r="X1157" s="14" t="n"/>
      <c r="Y1157" s="12" t="n"/>
      <c r="Z1157" s="13" t="n"/>
      <c r="AA1157" s="14" t="n"/>
      <c r="AB1157" s="12" t="n"/>
      <c r="AC1157" s="13" t="n"/>
      <c r="AD1157" s="14" t="n"/>
      <c r="AE1157" s="12" t="n"/>
      <c r="AF1157" s="13" t="n"/>
      <c r="AG1157" s="14" t="n"/>
      <c r="AH1157" s="12" t="n"/>
      <c r="AI1157" s="13" t="n"/>
      <c r="AJ1157" s="14" t="n"/>
      <c r="AK1157" s="12" t="n"/>
      <c r="AL1157" s="13" t="n"/>
      <c r="AM1157" s="14" t="n"/>
      <c r="AN1157" s="12" t="n"/>
      <c r="AO1157" s="13" t="n"/>
      <c r="AP1157" s="14" t="n"/>
      <c r="AQ1157" s="12" t="n"/>
      <c r="AR1157" s="13" t="n"/>
      <c r="AS1157" s="14" t="n"/>
      <c r="AT1157" s="12" t="n"/>
      <c r="AU1157" s="13" t="n"/>
      <c r="AV1157" s="14" t="n"/>
      <c r="AW1157" s="12" t="n"/>
      <c r="AX1157" s="13" t="n"/>
      <c r="AY1157" s="14" t="n"/>
      <c r="AZ1157" s="12" t="n"/>
      <c r="BA1157" s="13" t="n"/>
      <c r="BB1157" s="14" t="n"/>
      <c r="BC1157" s="11">
        <f>IF(O1157="","",IF(J1157="GST 10%",ROUND(O1157*set_GSTRate,2),0))</f>
        <v/>
      </c>
      <c r="BD1157" s="11">
        <f>IF(O1157="","",O1157+BC1157)</f>
        <v/>
      </c>
      <c r="BE1157" s="15">
        <f>IF(O1157="","",COUNTA(S1157,V1157,Y1157,AB1157,AE1157,AH1157,AK1157,AN1157,AQ1157,AT1157,AW1157,AZ1157))</f>
        <v/>
      </c>
      <c r="BF1157" s="16">
        <f>IF(COUNT(T1157,W1157,Z1157,AC1157,AF1157,AI1157,AL1157,AO1157,AR1157,AU1157,AX1157,BA1157)=0,"",MAX(T1157,W1157,Z1157,AC1157,AF1157,AI1157,AL1157,AO1157,AR1157,AU1157,AX1157,BA1157))</f>
        <v/>
      </c>
      <c r="BG1157" s="10">
        <f>MID(IF(S1157="","",", "&amp;S1157)&amp;IF(V1157="","",", "&amp;V1157)&amp;IF(Y1157="","",", "&amp;Y1157)&amp;IF(AB1157="","",", "&amp;AB1157)&amp;IF(AE1157="","",", "&amp;AE1157)&amp;IF(AH1157="","",", "&amp;AH1157)&amp;IF(AK1157="","",", "&amp;AK1157)&amp;IF(AN1157="","",", "&amp;AN1157)&amp;IF(AQ1157="","",", "&amp;AQ1157)&amp;IF(AT1157="","",", "&amp;AT1157)&amp;IF(AW1157="","",", "&amp;AW1157)&amp;IF(AZ1157="","",", "&amp;AZ1157),3,500)</f>
        <v/>
      </c>
      <c r="BH1157" s="12" t="n"/>
      <c r="BI1157" s="15">
        <f>IFERROR(MATCH($A1157,IF($B1157="Onsite",tbl_Onsite[Row ID],IF($B1157="Production",tbl_Production[Row ID],tbl_Consulting[Row ID])),0),"")</f>
        <v/>
      </c>
    </row>
    <row r="1158">
      <c r="A1158" s="10" t="inlineStr">
        <is>
          <t>CON-0152</t>
        </is>
      </c>
      <c r="B1158" s="10" t="inlineStr">
        <is>
          <t>Consulting</t>
        </is>
      </c>
      <c r="C1158" s="10">
        <f>IF($BI1158="","",IF($B1158="Onsite",INDEX(tbl_Onsite[Job Number],$BI1158),IF($B1158="Production",INDEX(tbl_Production[Job Number],$BI1158),INDEX(tbl_Consulting[Job Number],$BI1158)))&amp;"")</f>
        <v/>
      </c>
      <c r="D1158" s="10">
        <f>IF($BI1158="","",IF($B1158="Onsite",INDEX(tbl_Onsite[Client],$BI1158),IF($B1158="Production",INDEX(tbl_Production[Client],$BI1158),INDEX(tbl_Consulting[Client],$BI1158)))&amp;"")</f>
        <v/>
      </c>
      <c r="E1158" s="10">
        <f>IF($C1158="","",IF(COUNTIF(lst_Jobs,$C1158)&gt;0,"OK","CHECK"))</f>
        <v/>
      </c>
      <c r="F1158" s="10">
        <f>IF($C1158="","",IFERROR(INDEX(lst_JobName,MATCH($C1158,lst_Jobs,0)),""))</f>
        <v/>
      </c>
      <c r="G1158" s="10">
        <f>IF($BI1158="","",IF($B1158="Onsite",INDEX(tbl_Onsite[Job Description],$BI1158),IF($B1158="Production",INDEX(tbl_Production[Job Description],$BI1158),INDEX(tbl_Consulting[Job Description],$BI1158)))&amp;"")</f>
        <v/>
      </c>
      <c r="H1158" s="10">
        <f>IF($BI1158="","",IF($B1158="Onsite",INDEX(tbl_Onsite[Cost Centre],$BI1158),IF($B1158="Production",INDEX(tbl_Production[Cost Centre],$BI1158),INDEX(tbl_Consulting[Cost Centre],$BI1158)))&amp;"")</f>
        <v/>
      </c>
      <c r="I1158" s="10">
        <f>IF($BI1158="","",IF($B1158="Onsite",INDEX(tbl_Onsite[Invoice Type],$BI1158),IF($B1158="Production",INDEX(tbl_Production[Invoice Type],$BI1158),INDEX(tbl_Consulting[Invoice Type],$BI1158)))&amp;"")</f>
        <v/>
      </c>
      <c r="J1158" s="10">
        <f>IF($BI1158="","",IF($B1158="Onsite",INDEX(tbl_Onsite[Tax Code],$BI1158),IF($B1158="Production",INDEX(tbl_Production[Tax Code],$BI1158),INDEX(tbl_Consulting[Tax Code],$BI1158)))&amp;"")</f>
        <v/>
      </c>
      <c r="K1158" s="10">
        <f>IF(H1158="","",IFERROR(INDEX(lst_CCtoGL,MATCH(H1158,lst_CCforGL,0)),""))</f>
        <v/>
      </c>
      <c r="L1158" s="10">
        <f>IF($BI1158="","",IF($B1158="Onsite",INDEX(tbl_Onsite[PO / Reference],$BI1158),IF($B1158="Production",INDEX(tbl_Production[Current RMS No],$BI1158),INDEX(tbl_Consulting[Qwilr Quote],$BI1158)))&amp;"")</f>
        <v/>
      </c>
      <c r="M1158" s="10">
        <f>IF($BI1158="","",IF($B1158="Onsite",INDEX(tbl_Onsite[Notes],$BI1158),IF($B1158="Production",INDEX(tbl_Production[Notes],$BI1158),INDEX(tbl_Consulting[Notes],$BI1158)))&amp;"")</f>
        <v/>
      </c>
      <c r="N1158" s="11">
        <f>IF($BI1158="","",IF(IF($B1158="Onsite",INDEX(tbl_Onsite[Expected Revenue Ex GST],$BI1158),IF($B1158="Production",INDEX(tbl_Production[Expected Revenue Ex GST],$BI1158),INDEX(tbl_Consulting[Expected Revenue Ex GST],$BI1158)))="","",IF($B1158="Onsite",INDEX(tbl_Onsite[Expected Revenue Ex GST],$BI1158),IF($B1158="Production",INDEX(tbl_Production[Expected Revenue Ex GST],$BI1158),INDEX(tbl_Consulting[Expected Revenue Ex GST],$BI1158)))))</f>
        <v/>
      </c>
      <c r="O1158" s="11">
        <f>IF(AND($C1158="",NOT(COUNTA($S1158:$BB1158)&gt;0)),"",SUM(U1158,X1158,AA1158,AD1158,AG1158,AJ1158,AM1158,AP1158,AS1158,AV1158,AY1158,BB1158))</f>
        <v/>
      </c>
      <c r="P1158" s="11">
        <f>IF(O1158="","",N(N1158)-O1158)</f>
        <v/>
      </c>
      <c r="Q1158" s="10">
        <f>IF(O1158="","",IF($C1158="","Invoice on empty job row",IF(N1158="",IF(ROUND(O1158,2)=0,"No dept value","Invoiced - no dept value"),IF(ROUND(O1158,2)=0,"Not invoiced - to invoice",IF(ROUND(P1158,2)=0,"Agrees",IF(P1158&gt;0,"Dept higher - to invoice","Xero higher - check dept"))))))</f>
        <v/>
      </c>
      <c r="R1158" s="10">
        <f>IF(AND($C1158="",NOT(COUNTA($S1158:$BB1158)&gt;0),$BI1158&lt;&gt;""),"",MID(IF($BI1158="","; Row ID not found on the department sheet - a row was deleted","")&amp;IF(AND($C1158="",COUNTA($S1158:$BB1158)&gt;0),"; Invoice entered but the department row has no job number","")&amp;IF(E1158="CHECK","; Job number not in the Xero job list","")&amp;IF(AND($C1158&lt;&gt;"",COUNTIF($C$7:$C$1506,$C1158)&gt;1),"; Job number on more than one row","")&amp;IF(AND($C1158&lt;&gt;"",H1158=""),"; Dept has not set a cost centre","")&amp;IF(AND($C1158&lt;&gt;"",J1158=""),"; Dept has not set a tax code","")&amp;IF(AND($C1158&lt;&gt;"",N1158=""),"; Dept has not entered an expected value","")&amp;IF((IF(OR(COUNTA(S1158:U1158)=0,AND(COUNTA(S1158:U1158)=3,ISNUMBER(U1158))),0,1)+IF(OR(COUNTA(V1158:X1158)=0,AND(COUNTA(V1158:X1158)=3,ISNUMBER(X1158))),0,1)+IF(OR(COUNTA(Y1158:AA1158)=0,AND(COUNTA(Y1158:AA1158)=3,ISNUMBER(AA1158))),0,1)+IF(OR(COUNTA(AB1158:AD1158)=0,AND(COUNTA(AB1158:AD1158)=3,ISNUMBER(AD1158))),0,1)+IF(OR(COUNTA(AE1158:AG1158)=0,AND(COUNTA(AE1158:AG1158)=3,ISNUMBER(AG1158))),0,1)+IF(OR(COUNTA(AH1158:AJ1158)=0,AND(COUNTA(AH1158:AJ1158)=3,ISNUMBER(AJ1158))),0,1)+IF(OR(COUNTA(AK1158:AM1158)=0,AND(COUNTA(AK1158:AM1158)=3,ISNUMBER(AM1158))),0,1)+IF(OR(COUNTA(AN1158:AP1158)=0,AND(COUNTA(AN1158:AP1158)=3,ISNUMBER(AP1158))),0,1)+IF(OR(COUNTA(AQ1158:AS1158)=0,AND(COUNTA(AQ1158:AS1158)=3,ISNUMBER(AS1158))),0,1)+IF(OR(COUNTA(AT1158:AV1158)=0,AND(COUNTA(AT1158:AV1158)=3,ISNUMBER(AV1158))),0,1)+IF(OR(COUNTA(AW1158:AY1158)=0,AND(COUNTA(AW1158:AY1158)=3,ISNUMBER(AY1158))),0,1)+IF(OR(COUNTA(AZ1158:BB1158)=0,AND(COUNTA(AZ1158:BB1158)=3,ISNUMBER(BB1158))),0,1))&gt;0,"; An invoice is incomplete (needs No, Date and a number in Ex GST)","")&amp;IF((IF(T1158="",0,IFERROR(--(EOMONTH(T1158,0)&lt;&gt;S$5),1))+IF(W1158="",0,IFERROR(--(EOMONTH(W1158,0)&lt;&gt;V$5),1))+IF(Z1158="",0,IFERROR(--(EOMONTH(Z1158,0)&lt;&gt;Y$5),1))+IF(AC1158="",0,IFERROR(--(EOMONTH(AC1158,0)&lt;&gt;AB$5),1))+IF(AF1158="",0,IFERROR(--(EOMONTH(AF1158,0)&lt;&gt;AE$5),1))+IF(AI1158="",0,IFERROR(--(EOMONTH(AI1158,0)&lt;&gt;AH$5),1))+IF(AL1158="",0,IFERROR(--(EOMONTH(AL1158,0)&lt;&gt;AK$5),1))+IF(AO1158="",0,IFERROR(--(EOMONTH(AO1158,0)&lt;&gt;AN$5),1))+IF(AR1158="",0,IFERROR(--(EOMONTH(AR1158,0)&lt;&gt;AQ$5),1))+IF(AU1158="",0,IFERROR(--(EOMONTH(AU1158,0)&lt;&gt;AT$5),1))+IF(AX1158="",0,IFERROR(--(EOMONTH(AX1158,0)&lt;&gt;AW$5),1))+IF(BA1158="",0,IFERROR(--(EOMONTH(BA1158,0)&lt;&gt;AZ$5),1)))&gt;0,"; An invoice date is not in the month it is typed under",""),3,500))</f>
        <v/>
      </c>
      <c r="S1158" s="12" t="n"/>
      <c r="T1158" s="13" t="n"/>
      <c r="U1158" s="14" t="n"/>
      <c r="V1158" s="12" t="n"/>
      <c r="W1158" s="13" t="n"/>
      <c r="X1158" s="14" t="n"/>
      <c r="Y1158" s="12" t="n"/>
      <c r="Z1158" s="13" t="n"/>
      <c r="AA1158" s="14" t="n"/>
      <c r="AB1158" s="12" t="n"/>
      <c r="AC1158" s="13" t="n"/>
      <c r="AD1158" s="14" t="n"/>
      <c r="AE1158" s="12" t="n"/>
      <c r="AF1158" s="13" t="n"/>
      <c r="AG1158" s="14" t="n"/>
      <c r="AH1158" s="12" t="n"/>
      <c r="AI1158" s="13" t="n"/>
      <c r="AJ1158" s="14" t="n"/>
      <c r="AK1158" s="12" t="n"/>
      <c r="AL1158" s="13" t="n"/>
      <c r="AM1158" s="14" t="n"/>
      <c r="AN1158" s="12" t="n"/>
      <c r="AO1158" s="13" t="n"/>
      <c r="AP1158" s="14" t="n"/>
      <c r="AQ1158" s="12" t="n"/>
      <c r="AR1158" s="13" t="n"/>
      <c r="AS1158" s="14" t="n"/>
      <c r="AT1158" s="12" t="n"/>
      <c r="AU1158" s="13" t="n"/>
      <c r="AV1158" s="14" t="n"/>
      <c r="AW1158" s="12" t="n"/>
      <c r="AX1158" s="13" t="n"/>
      <c r="AY1158" s="14" t="n"/>
      <c r="AZ1158" s="12" t="n"/>
      <c r="BA1158" s="13" t="n"/>
      <c r="BB1158" s="14" t="n"/>
      <c r="BC1158" s="11">
        <f>IF(O1158="","",IF(J1158="GST 10%",ROUND(O1158*set_GSTRate,2),0))</f>
        <v/>
      </c>
      <c r="BD1158" s="11">
        <f>IF(O1158="","",O1158+BC1158)</f>
        <v/>
      </c>
      <c r="BE1158" s="15">
        <f>IF(O1158="","",COUNTA(S1158,V1158,Y1158,AB1158,AE1158,AH1158,AK1158,AN1158,AQ1158,AT1158,AW1158,AZ1158))</f>
        <v/>
      </c>
      <c r="BF1158" s="16">
        <f>IF(COUNT(T1158,W1158,Z1158,AC1158,AF1158,AI1158,AL1158,AO1158,AR1158,AU1158,AX1158,BA1158)=0,"",MAX(T1158,W1158,Z1158,AC1158,AF1158,AI1158,AL1158,AO1158,AR1158,AU1158,AX1158,BA1158))</f>
        <v/>
      </c>
      <c r="BG1158" s="10">
        <f>MID(IF(S1158="","",", "&amp;S1158)&amp;IF(V1158="","",", "&amp;V1158)&amp;IF(Y1158="","",", "&amp;Y1158)&amp;IF(AB1158="","",", "&amp;AB1158)&amp;IF(AE1158="","",", "&amp;AE1158)&amp;IF(AH1158="","",", "&amp;AH1158)&amp;IF(AK1158="","",", "&amp;AK1158)&amp;IF(AN1158="","",", "&amp;AN1158)&amp;IF(AQ1158="","",", "&amp;AQ1158)&amp;IF(AT1158="","",", "&amp;AT1158)&amp;IF(AW1158="","",", "&amp;AW1158)&amp;IF(AZ1158="","",", "&amp;AZ1158),3,500)</f>
        <v/>
      </c>
      <c r="BH1158" s="12" t="n"/>
      <c r="BI1158" s="15">
        <f>IFERROR(MATCH($A1158,IF($B1158="Onsite",tbl_Onsite[Row ID],IF($B1158="Production",tbl_Production[Row ID],tbl_Consulting[Row ID])),0),"")</f>
        <v/>
      </c>
    </row>
    <row r="1159">
      <c r="A1159" s="10" t="inlineStr">
        <is>
          <t>CON-0153</t>
        </is>
      </c>
      <c r="B1159" s="10" t="inlineStr">
        <is>
          <t>Consulting</t>
        </is>
      </c>
      <c r="C1159" s="10">
        <f>IF($BI1159="","",IF($B1159="Onsite",INDEX(tbl_Onsite[Job Number],$BI1159),IF($B1159="Production",INDEX(tbl_Production[Job Number],$BI1159),INDEX(tbl_Consulting[Job Number],$BI1159)))&amp;"")</f>
        <v/>
      </c>
      <c r="D1159" s="10">
        <f>IF($BI1159="","",IF($B1159="Onsite",INDEX(tbl_Onsite[Client],$BI1159),IF($B1159="Production",INDEX(tbl_Production[Client],$BI1159),INDEX(tbl_Consulting[Client],$BI1159)))&amp;"")</f>
        <v/>
      </c>
      <c r="E1159" s="10">
        <f>IF($C1159="","",IF(COUNTIF(lst_Jobs,$C1159)&gt;0,"OK","CHECK"))</f>
        <v/>
      </c>
      <c r="F1159" s="10">
        <f>IF($C1159="","",IFERROR(INDEX(lst_JobName,MATCH($C1159,lst_Jobs,0)),""))</f>
        <v/>
      </c>
      <c r="G1159" s="10">
        <f>IF($BI1159="","",IF($B1159="Onsite",INDEX(tbl_Onsite[Job Description],$BI1159),IF($B1159="Production",INDEX(tbl_Production[Job Description],$BI1159),INDEX(tbl_Consulting[Job Description],$BI1159)))&amp;"")</f>
        <v/>
      </c>
      <c r="H1159" s="10">
        <f>IF($BI1159="","",IF($B1159="Onsite",INDEX(tbl_Onsite[Cost Centre],$BI1159),IF($B1159="Production",INDEX(tbl_Production[Cost Centre],$BI1159),INDEX(tbl_Consulting[Cost Centre],$BI1159)))&amp;"")</f>
        <v/>
      </c>
      <c r="I1159" s="10">
        <f>IF($BI1159="","",IF($B1159="Onsite",INDEX(tbl_Onsite[Invoice Type],$BI1159),IF($B1159="Production",INDEX(tbl_Production[Invoice Type],$BI1159),INDEX(tbl_Consulting[Invoice Type],$BI1159)))&amp;"")</f>
        <v/>
      </c>
      <c r="J1159" s="10">
        <f>IF($BI1159="","",IF($B1159="Onsite",INDEX(tbl_Onsite[Tax Code],$BI1159),IF($B1159="Production",INDEX(tbl_Production[Tax Code],$BI1159),INDEX(tbl_Consulting[Tax Code],$BI1159)))&amp;"")</f>
        <v/>
      </c>
      <c r="K1159" s="10">
        <f>IF(H1159="","",IFERROR(INDEX(lst_CCtoGL,MATCH(H1159,lst_CCforGL,0)),""))</f>
        <v/>
      </c>
      <c r="L1159" s="10">
        <f>IF($BI1159="","",IF($B1159="Onsite",INDEX(tbl_Onsite[PO / Reference],$BI1159),IF($B1159="Production",INDEX(tbl_Production[Current RMS No],$BI1159),INDEX(tbl_Consulting[Qwilr Quote],$BI1159)))&amp;"")</f>
        <v/>
      </c>
      <c r="M1159" s="10">
        <f>IF($BI1159="","",IF($B1159="Onsite",INDEX(tbl_Onsite[Notes],$BI1159),IF($B1159="Production",INDEX(tbl_Production[Notes],$BI1159),INDEX(tbl_Consulting[Notes],$BI1159)))&amp;"")</f>
        <v/>
      </c>
      <c r="N1159" s="11">
        <f>IF($BI1159="","",IF(IF($B1159="Onsite",INDEX(tbl_Onsite[Expected Revenue Ex GST],$BI1159),IF($B1159="Production",INDEX(tbl_Production[Expected Revenue Ex GST],$BI1159),INDEX(tbl_Consulting[Expected Revenue Ex GST],$BI1159)))="","",IF($B1159="Onsite",INDEX(tbl_Onsite[Expected Revenue Ex GST],$BI1159),IF($B1159="Production",INDEX(tbl_Production[Expected Revenue Ex GST],$BI1159),INDEX(tbl_Consulting[Expected Revenue Ex GST],$BI1159)))))</f>
        <v/>
      </c>
      <c r="O1159" s="11">
        <f>IF(AND($C1159="",NOT(COUNTA($S1159:$BB1159)&gt;0)),"",SUM(U1159,X1159,AA1159,AD1159,AG1159,AJ1159,AM1159,AP1159,AS1159,AV1159,AY1159,BB1159))</f>
        <v/>
      </c>
      <c r="P1159" s="11">
        <f>IF(O1159="","",N(N1159)-O1159)</f>
        <v/>
      </c>
      <c r="Q1159" s="10">
        <f>IF(O1159="","",IF($C1159="","Invoice on empty job row",IF(N1159="",IF(ROUND(O1159,2)=0,"No dept value","Invoiced - no dept value"),IF(ROUND(O1159,2)=0,"Not invoiced - to invoice",IF(ROUND(P1159,2)=0,"Agrees",IF(P1159&gt;0,"Dept higher - to invoice","Xero higher - check dept"))))))</f>
        <v/>
      </c>
      <c r="R1159" s="10">
        <f>IF(AND($C1159="",NOT(COUNTA($S1159:$BB1159)&gt;0),$BI1159&lt;&gt;""),"",MID(IF($BI1159="","; Row ID not found on the department sheet - a row was deleted","")&amp;IF(AND($C1159="",COUNTA($S1159:$BB1159)&gt;0),"; Invoice entered but the department row has no job number","")&amp;IF(E1159="CHECK","; Job number not in the Xero job list","")&amp;IF(AND($C1159&lt;&gt;"",COUNTIF($C$7:$C$1506,$C1159)&gt;1),"; Job number on more than one row","")&amp;IF(AND($C1159&lt;&gt;"",H1159=""),"; Dept has not set a cost centre","")&amp;IF(AND($C1159&lt;&gt;"",J1159=""),"; Dept has not set a tax code","")&amp;IF(AND($C1159&lt;&gt;"",N1159=""),"; Dept has not entered an expected value","")&amp;IF((IF(OR(COUNTA(S1159:U1159)=0,AND(COUNTA(S1159:U1159)=3,ISNUMBER(U1159))),0,1)+IF(OR(COUNTA(V1159:X1159)=0,AND(COUNTA(V1159:X1159)=3,ISNUMBER(X1159))),0,1)+IF(OR(COUNTA(Y1159:AA1159)=0,AND(COUNTA(Y1159:AA1159)=3,ISNUMBER(AA1159))),0,1)+IF(OR(COUNTA(AB1159:AD1159)=0,AND(COUNTA(AB1159:AD1159)=3,ISNUMBER(AD1159))),0,1)+IF(OR(COUNTA(AE1159:AG1159)=0,AND(COUNTA(AE1159:AG1159)=3,ISNUMBER(AG1159))),0,1)+IF(OR(COUNTA(AH1159:AJ1159)=0,AND(COUNTA(AH1159:AJ1159)=3,ISNUMBER(AJ1159))),0,1)+IF(OR(COUNTA(AK1159:AM1159)=0,AND(COUNTA(AK1159:AM1159)=3,ISNUMBER(AM1159))),0,1)+IF(OR(COUNTA(AN1159:AP1159)=0,AND(COUNTA(AN1159:AP1159)=3,ISNUMBER(AP1159))),0,1)+IF(OR(COUNTA(AQ1159:AS1159)=0,AND(COUNTA(AQ1159:AS1159)=3,ISNUMBER(AS1159))),0,1)+IF(OR(COUNTA(AT1159:AV1159)=0,AND(COUNTA(AT1159:AV1159)=3,ISNUMBER(AV1159))),0,1)+IF(OR(COUNTA(AW1159:AY1159)=0,AND(COUNTA(AW1159:AY1159)=3,ISNUMBER(AY1159))),0,1)+IF(OR(COUNTA(AZ1159:BB1159)=0,AND(COUNTA(AZ1159:BB1159)=3,ISNUMBER(BB1159))),0,1))&gt;0,"; An invoice is incomplete (needs No, Date and a number in Ex GST)","")&amp;IF((IF(T1159="",0,IFERROR(--(EOMONTH(T1159,0)&lt;&gt;S$5),1))+IF(W1159="",0,IFERROR(--(EOMONTH(W1159,0)&lt;&gt;V$5),1))+IF(Z1159="",0,IFERROR(--(EOMONTH(Z1159,0)&lt;&gt;Y$5),1))+IF(AC1159="",0,IFERROR(--(EOMONTH(AC1159,0)&lt;&gt;AB$5),1))+IF(AF1159="",0,IFERROR(--(EOMONTH(AF1159,0)&lt;&gt;AE$5),1))+IF(AI1159="",0,IFERROR(--(EOMONTH(AI1159,0)&lt;&gt;AH$5),1))+IF(AL1159="",0,IFERROR(--(EOMONTH(AL1159,0)&lt;&gt;AK$5),1))+IF(AO1159="",0,IFERROR(--(EOMONTH(AO1159,0)&lt;&gt;AN$5),1))+IF(AR1159="",0,IFERROR(--(EOMONTH(AR1159,0)&lt;&gt;AQ$5),1))+IF(AU1159="",0,IFERROR(--(EOMONTH(AU1159,0)&lt;&gt;AT$5),1))+IF(AX1159="",0,IFERROR(--(EOMONTH(AX1159,0)&lt;&gt;AW$5),1))+IF(BA1159="",0,IFERROR(--(EOMONTH(BA1159,0)&lt;&gt;AZ$5),1)))&gt;0,"; An invoice date is not in the month it is typed under",""),3,500))</f>
        <v/>
      </c>
      <c r="S1159" s="12" t="n"/>
      <c r="T1159" s="13" t="n"/>
      <c r="U1159" s="14" t="n"/>
      <c r="V1159" s="12" t="n"/>
      <c r="W1159" s="13" t="n"/>
      <c r="X1159" s="14" t="n"/>
      <c r="Y1159" s="12" t="n"/>
      <c r="Z1159" s="13" t="n"/>
      <c r="AA1159" s="14" t="n"/>
      <c r="AB1159" s="12" t="n"/>
      <c r="AC1159" s="13" t="n"/>
      <c r="AD1159" s="14" t="n"/>
      <c r="AE1159" s="12" t="n"/>
      <c r="AF1159" s="13" t="n"/>
      <c r="AG1159" s="14" t="n"/>
      <c r="AH1159" s="12" t="n"/>
      <c r="AI1159" s="13" t="n"/>
      <c r="AJ1159" s="14" t="n"/>
      <c r="AK1159" s="12" t="n"/>
      <c r="AL1159" s="13" t="n"/>
      <c r="AM1159" s="14" t="n"/>
      <c r="AN1159" s="12" t="n"/>
      <c r="AO1159" s="13" t="n"/>
      <c r="AP1159" s="14" t="n"/>
      <c r="AQ1159" s="12" t="n"/>
      <c r="AR1159" s="13" t="n"/>
      <c r="AS1159" s="14" t="n"/>
      <c r="AT1159" s="12" t="n"/>
      <c r="AU1159" s="13" t="n"/>
      <c r="AV1159" s="14" t="n"/>
      <c r="AW1159" s="12" t="n"/>
      <c r="AX1159" s="13" t="n"/>
      <c r="AY1159" s="14" t="n"/>
      <c r="AZ1159" s="12" t="n"/>
      <c r="BA1159" s="13" t="n"/>
      <c r="BB1159" s="14" t="n"/>
      <c r="BC1159" s="11">
        <f>IF(O1159="","",IF(J1159="GST 10%",ROUND(O1159*set_GSTRate,2),0))</f>
        <v/>
      </c>
      <c r="BD1159" s="11">
        <f>IF(O1159="","",O1159+BC1159)</f>
        <v/>
      </c>
      <c r="BE1159" s="15">
        <f>IF(O1159="","",COUNTA(S1159,V1159,Y1159,AB1159,AE1159,AH1159,AK1159,AN1159,AQ1159,AT1159,AW1159,AZ1159))</f>
        <v/>
      </c>
      <c r="BF1159" s="16">
        <f>IF(COUNT(T1159,W1159,Z1159,AC1159,AF1159,AI1159,AL1159,AO1159,AR1159,AU1159,AX1159,BA1159)=0,"",MAX(T1159,W1159,Z1159,AC1159,AF1159,AI1159,AL1159,AO1159,AR1159,AU1159,AX1159,BA1159))</f>
        <v/>
      </c>
      <c r="BG1159" s="10">
        <f>MID(IF(S1159="","",", "&amp;S1159)&amp;IF(V1159="","",", "&amp;V1159)&amp;IF(Y1159="","",", "&amp;Y1159)&amp;IF(AB1159="","",", "&amp;AB1159)&amp;IF(AE1159="","",", "&amp;AE1159)&amp;IF(AH1159="","",", "&amp;AH1159)&amp;IF(AK1159="","",", "&amp;AK1159)&amp;IF(AN1159="","",", "&amp;AN1159)&amp;IF(AQ1159="","",", "&amp;AQ1159)&amp;IF(AT1159="","",", "&amp;AT1159)&amp;IF(AW1159="","",", "&amp;AW1159)&amp;IF(AZ1159="","",", "&amp;AZ1159),3,500)</f>
        <v/>
      </c>
      <c r="BH1159" s="12" t="n"/>
      <c r="BI1159" s="15">
        <f>IFERROR(MATCH($A1159,IF($B1159="Onsite",tbl_Onsite[Row ID],IF($B1159="Production",tbl_Production[Row ID],tbl_Consulting[Row ID])),0),"")</f>
        <v/>
      </c>
    </row>
    <row r="1160">
      <c r="A1160" s="10" t="inlineStr">
        <is>
          <t>CON-0154</t>
        </is>
      </c>
      <c r="B1160" s="10" t="inlineStr">
        <is>
          <t>Consulting</t>
        </is>
      </c>
      <c r="C1160" s="10">
        <f>IF($BI1160="","",IF($B1160="Onsite",INDEX(tbl_Onsite[Job Number],$BI1160),IF($B1160="Production",INDEX(tbl_Production[Job Number],$BI1160),INDEX(tbl_Consulting[Job Number],$BI1160)))&amp;"")</f>
        <v/>
      </c>
      <c r="D1160" s="10">
        <f>IF($BI1160="","",IF($B1160="Onsite",INDEX(tbl_Onsite[Client],$BI1160),IF($B1160="Production",INDEX(tbl_Production[Client],$BI1160),INDEX(tbl_Consulting[Client],$BI1160)))&amp;"")</f>
        <v/>
      </c>
      <c r="E1160" s="10">
        <f>IF($C1160="","",IF(COUNTIF(lst_Jobs,$C1160)&gt;0,"OK","CHECK"))</f>
        <v/>
      </c>
      <c r="F1160" s="10">
        <f>IF($C1160="","",IFERROR(INDEX(lst_JobName,MATCH($C1160,lst_Jobs,0)),""))</f>
        <v/>
      </c>
      <c r="G1160" s="10">
        <f>IF($BI1160="","",IF($B1160="Onsite",INDEX(tbl_Onsite[Job Description],$BI1160),IF($B1160="Production",INDEX(tbl_Production[Job Description],$BI1160),INDEX(tbl_Consulting[Job Description],$BI1160)))&amp;"")</f>
        <v/>
      </c>
      <c r="H1160" s="10">
        <f>IF($BI1160="","",IF($B1160="Onsite",INDEX(tbl_Onsite[Cost Centre],$BI1160),IF($B1160="Production",INDEX(tbl_Production[Cost Centre],$BI1160),INDEX(tbl_Consulting[Cost Centre],$BI1160)))&amp;"")</f>
        <v/>
      </c>
      <c r="I1160" s="10">
        <f>IF($BI1160="","",IF($B1160="Onsite",INDEX(tbl_Onsite[Invoice Type],$BI1160),IF($B1160="Production",INDEX(tbl_Production[Invoice Type],$BI1160),INDEX(tbl_Consulting[Invoice Type],$BI1160)))&amp;"")</f>
        <v/>
      </c>
      <c r="J1160" s="10">
        <f>IF($BI1160="","",IF($B1160="Onsite",INDEX(tbl_Onsite[Tax Code],$BI1160),IF($B1160="Production",INDEX(tbl_Production[Tax Code],$BI1160),INDEX(tbl_Consulting[Tax Code],$BI1160)))&amp;"")</f>
        <v/>
      </c>
      <c r="K1160" s="10">
        <f>IF(H1160="","",IFERROR(INDEX(lst_CCtoGL,MATCH(H1160,lst_CCforGL,0)),""))</f>
        <v/>
      </c>
      <c r="L1160" s="10">
        <f>IF($BI1160="","",IF($B1160="Onsite",INDEX(tbl_Onsite[PO / Reference],$BI1160),IF($B1160="Production",INDEX(tbl_Production[Current RMS No],$BI1160),INDEX(tbl_Consulting[Qwilr Quote],$BI1160)))&amp;"")</f>
        <v/>
      </c>
      <c r="M1160" s="10">
        <f>IF($BI1160="","",IF($B1160="Onsite",INDEX(tbl_Onsite[Notes],$BI1160),IF($B1160="Production",INDEX(tbl_Production[Notes],$BI1160),INDEX(tbl_Consulting[Notes],$BI1160)))&amp;"")</f>
        <v/>
      </c>
      <c r="N1160" s="11">
        <f>IF($BI1160="","",IF(IF($B1160="Onsite",INDEX(tbl_Onsite[Expected Revenue Ex GST],$BI1160),IF($B1160="Production",INDEX(tbl_Production[Expected Revenue Ex GST],$BI1160),INDEX(tbl_Consulting[Expected Revenue Ex GST],$BI1160)))="","",IF($B1160="Onsite",INDEX(tbl_Onsite[Expected Revenue Ex GST],$BI1160),IF($B1160="Production",INDEX(tbl_Production[Expected Revenue Ex GST],$BI1160),INDEX(tbl_Consulting[Expected Revenue Ex GST],$BI1160)))))</f>
        <v/>
      </c>
      <c r="O1160" s="11">
        <f>IF(AND($C1160="",NOT(COUNTA($S1160:$BB1160)&gt;0)),"",SUM(U1160,X1160,AA1160,AD1160,AG1160,AJ1160,AM1160,AP1160,AS1160,AV1160,AY1160,BB1160))</f>
        <v/>
      </c>
      <c r="P1160" s="11">
        <f>IF(O1160="","",N(N1160)-O1160)</f>
        <v/>
      </c>
      <c r="Q1160" s="10">
        <f>IF(O1160="","",IF($C1160="","Invoice on empty job row",IF(N1160="",IF(ROUND(O1160,2)=0,"No dept value","Invoiced - no dept value"),IF(ROUND(O1160,2)=0,"Not invoiced - to invoice",IF(ROUND(P1160,2)=0,"Agrees",IF(P1160&gt;0,"Dept higher - to invoice","Xero higher - check dept"))))))</f>
        <v/>
      </c>
      <c r="R1160" s="10">
        <f>IF(AND($C1160="",NOT(COUNTA($S1160:$BB1160)&gt;0),$BI1160&lt;&gt;""),"",MID(IF($BI1160="","; Row ID not found on the department sheet - a row was deleted","")&amp;IF(AND($C1160="",COUNTA($S1160:$BB1160)&gt;0),"; Invoice entered but the department row has no job number","")&amp;IF(E1160="CHECK","; Job number not in the Xero job list","")&amp;IF(AND($C1160&lt;&gt;"",COUNTIF($C$7:$C$1506,$C1160)&gt;1),"; Job number on more than one row","")&amp;IF(AND($C1160&lt;&gt;"",H1160=""),"; Dept has not set a cost centre","")&amp;IF(AND($C1160&lt;&gt;"",J1160=""),"; Dept has not set a tax code","")&amp;IF(AND($C1160&lt;&gt;"",N1160=""),"; Dept has not entered an expected value","")&amp;IF((IF(OR(COUNTA(S1160:U1160)=0,AND(COUNTA(S1160:U1160)=3,ISNUMBER(U1160))),0,1)+IF(OR(COUNTA(V1160:X1160)=0,AND(COUNTA(V1160:X1160)=3,ISNUMBER(X1160))),0,1)+IF(OR(COUNTA(Y1160:AA1160)=0,AND(COUNTA(Y1160:AA1160)=3,ISNUMBER(AA1160))),0,1)+IF(OR(COUNTA(AB1160:AD1160)=0,AND(COUNTA(AB1160:AD1160)=3,ISNUMBER(AD1160))),0,1)+IF(OR(COUNTA(AE1160:AG1160)=0,AND(COUNTA(AE1160:AG1160)=3,ISNUMBER(AG1160))),0,1)+IF(OR(COUNTA(AH1160:AJ1160)=0,AND(COUNTA(AH1160:AJ1160)=3,ISNUMBER(AJ1160))),0,1)+IF(OR(COUNTA(AK1160:AM1160)=0,AND(COUNTA(AK1160:AM1160)=3,ISNUMBER(AM1160))),0,1)+IF(OR(COUNTA(AN1160:AP1160)=0,AND(COUNTA(AN1160:AP1160)=3,ISNUMBER(AP1160))),0,1)+IF(OR(COUNTA(AQ1160:AS1160)=0,AND(COUNTA(AQ1160:AS1160)=3,ISNUMBER(AS1160))),0,1)+IF(OR(COUNTA(AT1160:AV1160)=0,AND(COUNTA(AT1160:AV1160)=3,ISNUMBER(AV1160))),0,1)+IF(OR(COUNTA(AW1160:AY1160)=0,AND(COUNTA(AW1160:AY1160)=3,ISNUMBER(AY1160))),0,1)+IF(OR(COUNTA(AZ1160:BB1160)=0,AND(COUNTA(AZ1160:BB1160)=3,ISNUMBER(BB1160))),0,1))&gt;0,"; An invoice is incomplete (needs No, Date and a number in Ex GST)","")&amp;IF((IF(T1160="",0,IFERROR(--(EOMONTH(T1160,0)&lt;&gt;S$5),1))+IF(W1160="",0,IFERROR(--(EOMONTH(W1160,0)&lt;&gt;V$5),1))+IF(Z1160="",0,IFERROR(--(EOMONTH(Z1160,0)&lt;&gt;Y$5),1))+IF(AC1160="",0,IFERROR(--(EOMONTH(AC1160,0)&lt;&gt;AB$5),1))+IF(AF1160="",0,IFERROR(--(EOMONTH(AF1160,0)&lt;&gt;AE$5),1))+IF(AI1160="",0,IFERROR(--(EOMONTH(AI1160,0)&lt;&gt;AH$5),1))+IF(AL1160="",0,IFERROR(--(EOMONTH(AL1160,0)&lt;&gt;AK$5),1))+IF(AO1160="",0,IFERROR(--(EOMONTH(AO1160,0)&lt;&gt;AN$5),1))+IF(AR1160="",0,IFERROR(--(EOMONTH(AR1160,0)&lt;&gt;AQ$5),1))+IF(AU1160="",0,IFERROR(--(EOMONTH(AU1160,0)&lt;&gt;AT$5),1))+IF(AX1160="",0,IFERROR(--(EOMONTH(AX1160,0)&lt;&gt;AW$5),1))+IF(BA1160="",0,IFERROR(--(EOMONTH(BA1160,0)&lt;&gt;AZ$5),1)))&gt;0,"; An invoice date is not in the month it is typed under",""),3,500))</f>
        <v/>
      </c>
      <c r="S1160" s="12" t="n"/>
      <c r="T1160" s="13" t="n"/>
      <c r="U1160" s="14" t="n"/>
      <c r="V1160" s="12" t="n"/>
      <c r="W1160" s="13" t="n"/>
      <c r="X1160" s="14" t="n"/>
      <c r="Y1160" s="12" t="n"/>
      <c r="Z1160" s="13" t="n"/>
      <c r="AA1160" s="14" t="n"/>
      <c r="AB1160" s="12" t="n"/>
      <c r="AC1160" s="13" t="n"/>
      <c r="AD1160" s="14" t="n"/>
      <c r="AE1160" s="12" t="n"/>
      <c r="AF1160" s="13" t="n"/>
      <c r="AG1160" s="14" t="n"/>
      <c r="AH1160" s="12" t="n"/>
      <c r="AI1160" s="13" t="n"/>
      <c r="AJ1160" s="14" t="n"/>
      <c r="AK1160" s="12" t="n"/>
      <c r="AL1160" s="13" t="n"/>
      <c r="AM1160" s="14" t="n"/>
      <c r="AN1160" s="12" t="n"/>
      <c r="AO1160" s="13" t="n"/>
      <c r="AP1160" s="14" t="n"/>
      <c r="AQ1160" s="12" t="n"/>
      <c r="AR1160" s="13" t="n"/>
      <c r="AS1160" s="14" t="n"/>
      <c r="AT1160" s="12" t="n"/>
      <c r="AU1160" s="13" t="n"/>
      <c r="AV1160" s="14" t="n"/>
      <c r="AW1160" s="12" t="n"/>
      <c r="AX1160" s="13" t="n"/>
      <c r="AY1160" s="14" t="n"/>
      <c r="AZ1160" s="12" t="n"/>
      <c r="BA1160" s="13" t="n"/>
      <c r="BB1160" s="14" t="n"/>
      <c r="BC1160" s="11">
        <f>IF(O1160="","",IF(J1160="GST 10%",ROUND(O1160*set_GSTRate,2),0))</f>
        <v/>
      </c>
      <c r="BD1160" s="11">
        <f>IF(O1160="","",O1160+BC1160)</f>
        <v/>
      </c>
      <c r="BE1160" s="15">
        <f>IF(O1160="","",COUNTA(S1160,V1160,Y1160,AB1160,AE1160,AH1160,AK1160,AN1160,AQ1160,AT1160,AW1160,AZ1160))</f>
        <v/>
      </c>
      <c r="BF1160" s="16">
        <f>IF(COUNT(T1160,W1160,Z1160,AC1160,AF1160,AI1160,AL1160,AO1160,AR1160,AU1160,AX1160,BA1160)=0,"",MAX(T1160,W1160,Z1160,AC1160,AF1160,AI1160,AL1160,AO1160,AR1160,AU1160,AX1160,BA1160))</f>
        <v/>
      </c>
      <c r="BG1160" s="10">
        <f>MID(IF(S1160="","",", "&amp;S1160)&amp;IF(V1160="","",", "&amp;V1160)&amp;IF(Y1160="","",", "&amp;Y1160)&amp;IF(AB1160="","",", "&amp;AB1160)&amp;IF(AE1160="","",", "&amp;AE1160)&amp;IF(AH1160="","",", "&amp;AH1160)&amp;IF(AK1160="","",", "&amp;AK1160)&amp;IF(AN1160="","",", "&amp;AN1160)&amp;IF(AQ1160="","",", "&amp;AQ1160)&amp;IF(AT1160="","",", "&amp;AT1160)&amp;IF(AW1160="","",", "&amp;AW1160)&amp;IF(AZ1160="","",", "&amp;AZ1160),3,500)</f>
        <v/>
      </c>
      <c r="BH1160" s="12" t="n"/>
      <c r="BI1160" s="15">
        <f>IFERROR(MATCH($A1160,IF($B1160="Onsite",tbl_Onsite[Row ID],IF($B1160="Production",tbl_Production[Row ID],tbl_Consulting[Row ID])),0),"")</f>
        <v/>
      </c>
    </row>
    <row r="1161">
      <c r="A1161" s="10" t="inlineStr">
        <is>
          <t>CON-0155</t>
        </is>
      </c>
      <c r="B1161" s="10" t="inlineStr">
        <is>
          <t>Consulting</t>
        </is>
      </c>
      <c r="C1161" s="10">
        <f>IF($BI1161="","",IF($B1161="Onsite",INDEX(tbl_Onsite[Job Number],$BI1161),IF($B1161="Production",INDEX(tbl_Production[Job Number],$BI1161),INDEX(tbl_Consulting[Job Number],$BI1161)))&amp;"")</f>
        <v/>
      </c>
      <c r="D1161" s="10">
        <f>IF($BI1161="","",IF($B1161="Onsite",INDEX(tbl_Onsite[Client],$BI1161),IF($B1161="Production",INDEX(tbl_Production[Client],$BI1161),INDEX(tbl_Consulting[Client],$BI1161)))&amp;"")</f>
        <v/>
      </c>
      <c r="E1161" s="10">
        <f>IF($C1161="","",IF(COUNTIF(lst_Jobs,$C1161)&gt;0,"OK","CHECK"))</f>
        <v/>
      </c>
      <c r="F1161" s="10">
        <f>IF($C1161="","",IFERROR(INDEX(lst_JobName,MATCH($C1161,lst_Jobs,0)),""))</f>
        <v/>
      </c>
      <c r="G1161" s="10">
        <f>IF($BI1161="","",IF($B1161="Onsite",INDEX(tbl_Onsite[Job Description],$BI1161),IF($B1161="Production",INDEX(tbl_Production[Job Description],$BI1161),INDEX(tbl_Consulting[Job Description],$BI1161)))&amp;"")</f>
        <v/>
      </c>
      <c r="H1161" s="10">
        <f>IF($BI1161="","",IF($B1161="Onsite",INDEX(tbl_Onsite[Cost Centre],$BI1161),IF($B1161="Production",INDEX(tbl_Production[Cost Centre],$BI1161),INDEX(tbl_Consulting[Cost Centre],$BI1161)))&amp;"")</f>
        <v/>
      </c>
      <c r="I1161" s="10">
        <f>IF($BI1161="","",IF($B1161="Onsite",INDEX(tbl_Onsite[Invoice Type],$BI1161),IF($B1161="Production",INDEX(tbl_Production[Invoice Type],$BI1161),INDEX(tbl_Consulting[Invoice Type],$BI1161)))&amp;"")</f>
        <v/>
      </c>
      <c r="J1161" s="10">
        <f>IF($BI1161="","",IF($B1161="Onsite",INDEX(tbl_Onsite[Tax Code],$BI1161),IF($B1161="Production",INDEX(tbl_Production[Tax Code],$BI1161),INDEX(tbl_Consulting[Tax Code],$BI1161)))&amp;"")</f>
        <v/>
      </c>
      <c r="K1161" s="10">
        <f>IF(H1161="","",IFERROR(INDEX(lst_CCtoGL,MATCH(H1161,lst_CCforGL,0)),""))</f>
        <v/>
      </c>
      <c r="L1161" s="10">
        <f>IF($BI1161="","",IF($B1161="Onsite",INDEX(tbl_Onsite[PO / Reference],$BI1161),IF($B1161="Production",INDEX(tbl_Production[Current RMS No],$BI1161),INDEX(tbl_Consulting[Qwilr Quote],$BI1161)))&amp;"")</f>
        <v/>
      </c>
      <c r="M1161" s="10">
        <f>IF($BI1161="","",IF($B1161="Onsite",INDEX(tbl_Onsite[Notes],$BI1161),IF($B1161="Production",INDEX(tbl_Production[Notes],$BI1161),INDEX(tbl_Consulting[Notes],$BI1161)))&amp;"")</f>
        <v/>
      </c>
      <c r="N1161" s="11">
        <f>IF($BI1161="","",IF(IF($B1161="Onsite",INDEX(tbl_Onsite[Expected Revenue Ex GST],$BI1161),IF($B1161="Production",INDEX(tbl_Production[Expected Revenue Ex GST],$BI1161),INDEX(tbl_Consulting[Expected Revenue Ex GST],$BI1161)))="","",IF($B1161="Onsite",INDEX(tbl_Onsite[Expected Revenue Ex GST],$BI1161),IF($B1161="Production",INDEX(tbl_Production[Expected Revenue Ex GST],$BI1161),INDEX(tbl_Consulting[Expected Revenue Ex GST],$BI1161)))))</f>
        <v/>
      </c>
      <c r="O1161" s="11">
        <f>IF(AND($C1161="",NOT(COUNTA($S1161:$BB1161)&gt;0)),"",SUM(U1161,X1161,AA1161,AD1161,AG1161,AJ1161,AM1161,AP1161,AS1161,AV1161,AY1161,BB1161))</f>
        <v/>
      </c>
      <c r="P1161" s="11">
        <f>IF(O1161="","",N(N1161)-O1161)</f>
        <v/>
      </c>
      <c r="Q1161" s="10">
        <f>IF(O1161="","",IF($C1161="","Invoice on empty job row",IF(N1161="",IF(ROUND(O1161,2)=0,"No dept value","Invoiced - no dept value"),IF(ROUND(O1161,2)=0,"Not invoiced - to invoice",IF(ROUND(P1161,2)=0,"Agrees",IF(P1161&gt;0,"Dept higher - to invoice","Xero higher - check dept"))))))</f>
        <v/>
      </c>
      <c r="R1161" s="10">
        <f>IF(AND($C1161="",NOT(COUNTA($S1161:$BB1161)&gt;0),$BI1161&lt;&gt;""),"",MID(IF($BI1161="","; Row ID not found on the department sheet - a row was deleted","")&amp;IF(AND($C1161="",COUNTA($S1161:$BB1161)&gt;0),"; Invoice entered but the department row has no job number","")&amp;IF(E1161="CHECK","; Job number not in the Xero job list","")&amp;IF(AND($C1161&lt;&gt;"",COUNTIF($C$7:$C$1506,$C1161)&gt;1),"; Job number on more than one row","")&amp;IF(AND($C1161&lt;&gt;"",H1161=""),"; Dept has not set a cost centre","")&amp;IF(AND($C1161&lt;&gt;"",J1161=""),"; Dept has not set a tax code","")&amp;IF(AND($C1161&lt;&gt;"",N1161=""),"; Dept has not entered an expected value","")&amp;IF((IF(OR(COUNTA(S1161:U1161)=0,AND(COUNTA(S1161:U1161)=3,ISNUMBER(U1161))),0,1)+IF(OR(COUNTA(V1161:X1161)=0,AND(COUNTA(V1161:X1161)=3,ISNUMBER(X1161))),0,1)+IF(OR(COUNTA(Y1161:AA1161)=0,AND(COUNTA(Y1161:AA1161)=3,ISNUMBER(AA1161))),0,1)+IF(OR(COUNTA(AB1161:AD1161)=0,AND(COUNTA(AB1161:AD1161)=3,ISNUMBER(AD1161))),0,1)+IF(OR(COUNTA(AE1161:AG1161)=0,AND(COUNTA(AE1161:AG1161)=3,ISNUMBER(AG1161))),0,1)+IF(OR(COUNTA(AH1161:AJ1161)=0,AND(COUNTA(AH1161:AJ1161)=3,ISNUMBER(AJ1161))),0,1)+IF(OR(COUNTA(AK1161:AM1161)=0,AND(COUNTA(AK1161:AM1161)=3,ISNUMBER(AM1161))),0,1)+IF(OR(COUNTA(AN1161:AP1161)=0,AND(COUNTA(AN1161:AP1161)=3,ISNUMBER(AP1161))),0,1)+IF(OR(COUNTA(AQ1161:AS1161)=0,AND(COUNTA(AQ1161:AS1161)=3,ISNUMBER(AS1161))),0,1)+IF(OR(COUNTA(AT1161:AV1161)=0,AND(COUNTA(AT1161:AV1161)=3,ISNUMBER(AV1161))),0,1)+IF(OR(COUNTA(AW1161:AY1161)=0,AND(COUNTA(AW1161:AY1161)=3,ISNUMBER(AY1161))),0,1)+IF(OR(COUNTA(AZ1161:BB1161)=0,AND(COUNTA(AZ1161:BB1161)=3,ISNUMBER(BB1161))),0,1))&gt;0,"; An invoice is incomplete (needs No, Date and a number in Ex GST)","")&amp;IF((IF(T1161="",0,IFERROR(--(EOMONTH(T1161,0)&lt;&gt;S$5),1))+IF(W1161="",0,IFERROR(--(EOMONTH(W1161,0)&lt;&gt;V$5),1))+IF(Z1161="",0,IFERROR(--(EOMONTH(Z1161,0)&lt;&gt;Y$5),1))+IF(AC1161="",0,IFERROR(--(EOMONTH(AC1161,0)&lt;&gt;AB$5),1))+IF(AF1161="",0,IFERROR(--(EOMONTH(AF1161,0)&lt;&gt;AE$5),1))+IF(AI1161="",0,IFERROR(--(EOMONTH(AI1161,0)&lt;&gt;AH$5),1))+IF(AL1161="",0,IFERROR(--(EOMONTH(AL1161,0)&lt;&gt;AK$5),1))+IF(AO1161="",0,IFERROR(--(EOMONTH(AO1161,0)&lt;&gt;AN$5),1))+IF(AR1161="",0,IFERROR(--(EOMONTH(AR1161,0)&lt;&gt;AQ$5),1))+IF(AU1161="",0,IFERROR(--(EOMONTH(AU1161,0)&lt;&gt;AT$5),1))+IF(AX1161="",0,IFERROR(--(EOMONTH(AX1161,0)&lt;&gt;AW$5),1))+IF(BA1161="",0,IFERROR(--(EOMONTH(BA1161,0)&lt;&gt;AZ$5),1)))&gt;0,"; An invoice date is not in the month it is typed under",""),3,500))</f>
        <v/>
      </c>
      <c r="S1161" s="12" t="n"/>
      <c r="T1161" s="13" t="n"/>
      <c r="U1161" s="14" t="n"/>
      <c r="V1161" s="12" t="n"/>
      <c r="W1161" s="13" t="n"/>
      <c r="X1161" s="14" t="n"/>
      <c r="Y1161" s="12" t="n"/>
      <c r="Z1161" s="13" t="n"/>
      <c r="AA1161" s="14" t="n"/>
      <c r="AB1161" s="12" t="n"/>
      <c r="AC1161" s="13" t="n"/>
      <c r="AD1161" s="14" t="n"/>
      <c r="AE1161" s="12" t="n"/>
      <c r="AF1161" s="13" t="n"/>
      <c r="AG1161" s="14" t="n"/>
      <c r="AH1161" s="12" t="n"/>
      <c r="AI1161" s="13" t="n"/>
      <c r="AJ1161" s="14" t="n"/>
      <c r="AK1161" s="12" t="n"/>
      <c r="AL1161" s="13" t="n"/>
      <c r="AM1161" s="14" t="n"/>
      <c r="AN1161" s="12" t="n"/>
      <c r="AO1161" s="13" t="n"/>
      <c r="AP1161" s="14" t="n"/>
      <c r="AQ1161" s="12" t="n"/>
      <c r="AR1161" s="13" t="n"/>
      <c r="AS1161" s="14" t="n"/>
      <c r="AT1161" s="12" t="n"/>
      <c r="AU1161" s="13" t="n"/>
      <c r="AV1161" s="14" t="n"/>
      <c r="AW1161" s="12" t="n"/>
      <c r="AX1161" s="13" t="n"/>
      <c r="AY1161" s="14" t="n"/>
      <c r="AZ1161" s="12" t="n"/>
      <c r="BA1161" s="13" t="n"/>
      <c r="BB1161" s="14" t="n"/>
      <c r="BC1161" s="11">
        <f>IF(O1161="","",IF(J1161="GST 10%",ROUND(O1161*set_GSTRate,2),0))</f>
        <v/>
      </c>
      <c r="BD1161" s="11">
        <f>IF(O1161="","",O1161+BC1161)</f>
        <v/>
      </c>
      <c r="BE1161" s="15">
        <f>IF(O1161="","",COUNTA(S1161,V1161,Y1161,AB1161,AE1161,AH1161,AK1161,AN1161,AQ1161,AT1161,AW1161,AZ1161))</f>
        <v/>
      </c>
      <c r="BF1161" s="16">
        <f>IF(COUNT(T1161,W1161,Z1161,AC1161,AF1161,AI1161,AL1161,AO1161,AR1161,AU1161,AX1161,BA1161)=0,"",MAX(T1161,W1161,Z1161,AC1161,AF1161,AI1161,AL1161,AO1161,AR1161,AU1161,AX1161,BA1161))</f>
        <v/>
      </c>
      <c r="BG1161" s="10">
        <f>MID(IF(S1161="","",", "&amp;S1161)&amp;IF(V1161="","",", "&amp;V1161)&amp;IF(Y1161="","",", "&amp;Y1161)&amp;IF(AB1161="","",", "&amp;AB1161)&amp;IF(AE1161="","",", "&amp;AE1161)&amp;IF(AH1161="","",", "&amp;AH1161)&amp;IF(AK1161="","",", "&amp;AK1161)&amp;IF(AN1161="","",", "&amp;AN1161)&amp;IF(AQ1161="","",", "&amp;AQ1161)&amp;IF(AT1161="","",", "&amp;AT1161)&amp;IF(AW1161="","",", "&amp;AW1161)&amp;IF(AZ1161="","",", "&amp;AZ1161),3,500)</f>
        <v/>
      </c>
      <c r="BH1161" s="12" t="n"/>
      <c r="BI1161" s="15">
        <f>IFERROR(MATCH($A1161,IF($B1161="Onsite",tbl_Onsite[Row ID],IF($B1161="Production",tbl_Production[Row ID],tbl_Consulting[Row ID])),0),"")</f>
        <v/>
      </c>
    </row>
    <row r="1162">
      <c r="A1162" s="10" t="inlineStr">
        <is>
          <t>CON-0156</t>
        </is>
      </c>
      <c r="B1162" s="10" t="inlineStr">
        <is>
          <t>Consulting</t>
        </is>
      </c>
      <c r="C1162" s="10">
        <f>IF($BI1162="","",IF($B1162="Onsite",INDEX(tbl_Onsite[Job Number],$BI1162),IF($B1162="Production",INDEX(tbl_Production[Job Number],$BI1162),INDEX(tbl_Consulting[Job Number],$BI1162)))&amp;"")</f>
        <v/>
      </c>
      <c r="D1162" s="10">
        <f>IF($BI1162="","",IF($B1162="Onsite",INDEX(tbl_Onsite[Client],$BI1162),IF($B1162="Production",INDEX(tbl_Production[Client],$BI1162),INDEX(tbl_Consulting[Client],$BI1162)))&amp;"")</f>
        <v/>
      </c>
      <c r="E1162" s="10">
        <f>IF($C1162="","",IF(COUNTIF(lst_Jobs,$C1162)&gt;0,"OK","CHECK"))</f>
        <v/>
      </c>
      <c r="F1162" s="10">
        <f>IF($C1162="","",IFERROR(INDEX(lst_JobName,MATCH($C1162,lst_Jobs,0)),""))</f>
        <v/>
      </c>
      <c r="G1162" s="10">
        <f>IF($BI1162="","",IF($B1162="Onsite",INDEX(tbl_Onsite[Job Description],$BI1162),IF($B1162="Production",INDEX(tbl_Production[Job Description],$BI1162),INDEX(tbl_Consulting[Job Description],$BI1162)))&amp;"")</f>
        <v/>
      </c>
      <c r="H1162" s="10">
        <f>IF($BI1162="","",IF($B1162="Onsite",INDEX(tbl_Onsite[Cost Centre],$BI1162),IF($B1162="Production",INDEX(tbl_Production[Cost Centre],$BI1162),INDEX(tbl_Consulting[Cost Centre],$BI1162)))&amp;"")</f>
        <v/>
      </c>
      <c r="I1162" s="10">
        <f>IF($BI1162="","",IF($B1162="Onsite",INDEX(tbl_Onsite[Invoice Type],$BI1162),IF($B1162="Production",INDEX(tbl_Production[Invoice Type],$BI1162),INDEX(tbl_Consulting[Invoice Type],$BI1162)))&amp;"")</f>
        <v/>
      </c>
      <c r="J1162" s="10">
        <f>IF($BI1162="","",IF($B1162="Onsite",INDEX(tbl_Onsite[Tax Code],$BI1162),IF($B1162="Production",INDEX(tbl_Production[Tax Code],$BI1162),INDEX(tbl_Consulting[Tax Code],$BI1162)))&amp;"")</f>
        <v/>
      </c>
      <c r="K1162" s="10">
        <f>IF(H1162="","",IFERROR(INDEX(lst_CCtoGL,MATCH(H1162,lst_CCforGL,0)),""))</f>
        <v/>
      </c>
      <c r="L1162" s="10">
        <f>IF($BI1162="","",IF($B1162="Onsite",INDEX(tbl_Onsite[PO / Reference],$BI1162),IF($B1162="Production",INDEX(tbl_Production[Current RMS No],$BI1162),INDEX(tbl_Consulting[Qwilr Quote],$BI1162)))&amp;"")</f>
        <v/>
      </c>
      <c r="M1162" s="10">
        <f>IF($BI1162="","",IF($B1162="Onsite",INDEX(tbl_Onsite[Notes],$BI1162),IF($B1162="Production",INDEX(tbl_Production[Notes],$BI1162),INDEX(tbl_Consulting[Notes],$BI1162)))&amp;"")</f>
        <v/>
      </c>
      <c r="N1162" s="11">
        <f>IF($BI1162="","",IF(IF($B1162="Onsite",INDEX(tbl_Onsite[Expected Revenue Ex GST],$BI1162),IF($B1162="Production",INDEX(tbl_Production[Expected Revenue Ex GST],$BI1162),INDEX(tbl_Consulting[Expected Revenue Ex GST],$BI1162)))="","",IF($B1162="Onsite",INDEX(tbl_Onsite[Expected Revenue Ex GST],$BI1162),IF($B1162="Production",INDEX(tbl_Production[Expected Revenue Ex GST],$BI1162),INDEX(tbl_Consulting[Expected Revenue Ex GST],$BI1162)))))</f>
        <v/>
      </c>
      <c r="O1162" s="11">
        <f>IF(AND($C1162="",NOT(COUNTA($S1162:$BB1162)&gt;0)),"",SUM(U1162,X1162,AA1162,AD1162,AG1162,AJ1162,AM1162,AP1162,AS1162,AV1162,AY1162,BB1162))</f>
        <v/>
      </c>
      <c r="P1162" s="11">
        <f>IF(O1162="","",N(N1162)-O1162)</f>
        <v/>
      </c>
      <c r="Q1162" s="10">
        <f>IF(O1162="","",IF($C1162="","Invoice on empty job row",IF(N1162="",IF(ROUND(O1162,2)=0,"No dept value","Invoiced - no dept value"),IF(ROUND(O1162,2)=0,"Not invoiced - to invoice",IF(ROUND(P1162,2)=0,"Agrees",IF(P1162&gt;0,"Dept higher - to invoice","Xero higher - check dept"))))))</f>
        <v/>
      </c>
      <c r="R1162" s="10">
        <f>IF(AND($C1162="",NOT(COUNTA($S1162:$BB1162)&gt;0),$BI1162&lt;&gt;""),"",MID(IF($BI1162="","; Row ID not found on the department sheet - a row was deleted","")&amp;IF(AND($C1162="",COUNTA($S1162:$BB1162)&gt;0),"; Invoice entered but the department row has no job number","")&amp;IF(E1162="CHECK","; Job number not in the Xero job list","")&amp;IF(AND($C1162&lt;&gt;"",COUNTIF($C$7:$C$1506,$C1162)&gt;1),"; Job number on more than one row","")&amp;IF(AND($C1162&lt;&gt;"",H1162=""),"; Dept has not set a cost centre","")&amp;IF(AND($C1162&lt;&gt;"",J1162=""),"; Dept has not set a tax code","")&amp;IF(AND($C1162&lt;&gt;"",N1162=""),"; Dept has not entered an expected value","")&amp;IF((IF(OR(COUNTA(S1162:U1162)=0,AND(COUNTA(S1162:U1162)=3,ISNUMBER(U1162))),0,1)+IF(OR(COUNTA(V1162:X1162)=0,AND(COUNTA(V1162:X1162)=3,ISNUMBER(X1162))),0,1)+IF(OR(COUNTA(Y1162:AA1162)=0,AND(COUNTA(Y1162:AA1162)=3,ISNUMBER(AA1162))),0,1)+IF(OR(COUNTA(AB1162:AD1162)=0,AND(COUNTA(AB1162:AD1162)=3,ISNUMBER(AD1162))),0,1)+IF(OR(COUNTA(AE1162:AG1162)=0,AND(COUNTA(AE1162:AG1162)=3,ISNUMBER(AG1162))),0,1)+IF(OR(COUNTA(AH1162:AJ1162)=0,AND(COUNTA(AH1162:AJ1162)=3,ISNUMBER(AJ1162))),0,1)+IF(OR(COUNTA(AK1162:AM1162)=0,AND(COUNTA(AK1162:AM1162)=3,ISNUMBER(AM1162))),0,1)+IF(OR(COUNTA(AN1162:AP1162)=0,AND(COUNTA(AN1162:AP1162)=3,ISNUMBER(AP1162))),0,1)+IF(OR(COUNTA(AQ1162:AS1162)=0,AND(COUNTA(AQ1162:AS1162)=3,ISNUMBER(AS1162))),0,1)+IF(OR(COUNTA(AT1162:AV1162)=0,AND(COUNTA(AT1162:AV1162)=3,ISNUMBER(AV1162))),0,1)+IF(OR(COUNTA(AW1162:AY1162)=0,AND(COUNTA(AW1162:AY1162)=3,ISNUMBER(AY1162))),0,1)+IF(OR(COUNTA(AZ1162:BB1162)=0,AND(COUNTA(AZ1162:BB1162)=3,ISNUMBER(BB1162))),0,1))&gt;0,"; An invoice is incomplete (needs No, Date and a number in Ex GST)","")&amp;IF((IF(T1162="",0,IFERROR(--(EOMONTH(T1162,0)&lt;&gt;S$5),1))+IF(W1162="",0,IFERROR(--(EOMONTH(W1162,0)&lt;&gt;V$5),1))+IF(Z1162="",0,IFERROR(--(EOMONTH(Z1162,0)&lt;&gt;Y$5),1))+IF(AC1162="",0,IFERROR(--(EOMONTH(AC1162,0)&lt;&gt;AB$5),1))+IF(AF1162="",0,IFERROR(--(EOMONTH(AF1162,0)&lt;&gt;AE$5),1))+IF(AI1162="",0,IFERROR(--(EOMONTH(AI1162,0)&lt;&gt;AH$5),1))+IF(AL1162="",0,IFERROR(--(EOMONTH(AL1162,0)&lt;&gt;AK$5),1))+IF(AO1162="",0,IFERROR(--(EOMONTH(AO1162,0)&lt;&gt;AN$5),1))+IF(AR1162="",0,IFERROR(--(EOMONTH(AR1162,0)&lt;&gt;AQ$5),1))+IF(AU1162="",0,IFERROR(--(EOMONTH(AU1162,0)&lt;&gt;AT$5),1))+IF(AX1162="",0,IFERROR(--(EOMONTH(AX1162,0)&lt;&gt;AW$5),1))+IF(BA1162="",0,IFERROR(--(EOMONTH(BA1162,0)&lt;&gt;AZ$5),1)))&gt;0,"; An invoice date is not in the month it is typed under",""),3,500))</f>
        <v/>
      </c>
      <c r="S1162" s="12" t="n"/>
      <c r="T1162" s="13" t="n"/>
      <c r="U1162" s="14" t="n"/>
      <c r="V1162" s="12" t="n"/>
      <c r="W1162" s="13" t="n"/>
      <c r="X1162" s="14" t="n"/>
      <c r="Y1162" s="12" t="n"/>
      <c r="Z1162" s="13" t="n"/>
      <c r="AA1162" s="14" t="n"/>
      <c r="AB1162" s="12" t="n"/>
      <c r="AC1162" s="13" t="n"/>
      <c r="AD1162" s="14" t="n"/>
      <c r="AE1162" s="12" t="n"/>
      <c r="AF1162" s="13" t="n"/>
      <c r="AG1162" s="14" t="n"/>
      <c r="AH1162" s="12" t="n"/>
      <c r="AI1162" s="13" t="n"/>
      <c r="AJ1162" s="14" t="n"/>
      <c r="AK1162" s="12" t="n"/>
      <c r="AL1162" s="13" t="n"/>
      <c r="AM1162" s="14" t="n"/>
      <c r="AN1162" s="12" t="n"/>
      <c r="AO1162" s="13" t="n"/>
      <c r="AP1162" s="14" t="n"/>
      <c r="AQ1162" s="12" t="n"/>
      <c r="AR1162" s="13" t="n"/>
      <c r="AS1162" s="14" t="n"/>
      <c r="AT1162" s="12" t="n"/>
      <c r="AU1162" s="13" t="n"/>
      <c r="AV1162" s="14" t="n"/>
      <c r="AW1162" s="12" t="n"/>
      <c r="AX1162" s="13" t="n"/>
      <c r="AY1162" s="14" t="n"/>
      <c r="AZ1162" s="12" t="n"/>
      <c r="BA1162" s="13" t="n"/>
      <c r="BB1162" s="14" t="n"/>
      <c r="BC1162" s="11">
        <f>IF(O1162="","",IF(J1162="GST 10%",ROUND(O1162*set_GSTRate,2),0))</f>
        <v/>
      </c>
      <c r="BD1162" s="11">
        <f>IF(O1162="","",O1162+BC1162)</f>
        <v/>
      </c>
      <c r="BE1162" s="15">
        <f>IF(O1162="","",COUNTA(S1162,V1162,Y1162,AB1162,AE1162,AH1162,AK1162,AN1162,AQ1162,AT1162,AW1162,AZ1162))</f>
        <v/>
      </c>
      <c r="BF1162" s="16">
        <f>IF(COUNT(T1162,W1162,Z1162,AC1162,AF1162,AI1162,AL1162,AO1162,AR1162,AU1162,AX1162,BA1162)=0,"",MAX(T1162,W1162,Z1162,AC1162,AF1162,AI1162,AL1162,AO1162,AR1162,AU1162,AX1162,BA1162))</f>
        <v/>
      </c>
      <c r="BG1162" s="10">
        <f>MID(IF(S1162="","",", "&amp;S1162)&amp;IF(V1162="","",", "&amp;V1162)&amp;IF(Y1162="","",", "&amp;Y1162)&amp;IF(AB1162="","",", "&amp;AB1162)&amp;IF(AE1162="","",", "&amp;AE1162)&amp;IF(AH1162="","",", "&amp;AH1162)&amp;IF(AK1162="","",", "&amp;AK1162)&amp;IF(AN1162="","",", "&amp;AN1162)&amp;IF(AQ1162="","",", "&amp;AQ1162)&amp;IF(AT1162="","",", "&amp;AT1162)&amp;IF(AW1162="","",", "&amp;AW1162)&amp;IF(AZ1162="","",", "&amp;AZ1162),3,500)</f>
        <v/>
      </c>
      <c r="BH1162" s="12" t="n"/>
      <c r="BI1162" s="15">
        <f>IFERROR(MATCH($A1162,IF($B1162="Onsite",tbl_Onsite[Row ID],IF($B1162="Production",tbl_Production[Row ID],tbl_Consulting[Row ID])),0),"")</f>
        <v/>
      </c>
    </row>
    <row r="1163">
      <c r="A1163" s="10" t="inlineStr">
        <is>
          <t>CON-0157</t>
        </is>
      </c>
      <c r="B1163" s="10" t="inlineStr">
        <is>
          <t>Consulting</t>
        </is>
      </c>
      <c r="C1163" s="10">
        <f>IF($BI1163="","",IF($B1163="Onsite",INDEX(tbl_Onsite[Job Number],$BI1163),IF($B1163="Production",INDEX(tbl_Production[Job Number],$BI1163),INDEX(tbl_Consulting[Job Number],$BI1163)))&amp;"")</f>
        <v/>
      </c>
      <c r="D1163" s="10">
        <f>IF($BI1163="","",IF($B1163="Onsite",INDEX(tbl_Onsite[Client],$BI1163),IF($B1163="Production",INDEX(tbl_Production[Client],$BI1163),INDEX(tbl_Consulting[Client],$BI1163)))&amp;"")</f>
        <v/>
      </c>
      <c r="E1163" s="10">
        <f>IF($C1163="","",IF(COUNTIF(lst_Jobs,$C1163)&gt;0,"OK","CHECK"))</f>
        <v/>
      </c>
      <c r="F1163" s="10">
        <f>IF($C1163="","",IFERROR(INDEX(lst_JobName,MATCH($C1163,lst_Jobs,0)),""))</f>
        <v/>
      </c>
      <c r="G1163" s="10">
        <f>IF($BI1163="","",IF($B1163="Onsite",INDEX(tbl_Onsite[Job Description],$BI1163),IF($B1163="Production",INDEX(tbl_Production[Job Description],$BI1163),INDEX(tbl_Consulting[Job Description],$BI1163)))&amp;"")</f>
        <v/>
      </c>
      <c r="H1163" s="10">
        <f>IF($BI1163="","",IF($B1163="Onsite",INDEX(tbl_Onsite[Cost Centre],$BI1163),IF($B1163="Production",INDEX(tbl_Production[Cost Centre],$BI1163),INDEX(tbl_Consulting[Cost Centre],$BI1163)))&amp;"")</f>
        <v/>
      </c>
      <c r="I1163" s="10">
        <f>IF($BI1163="","",IF($B1163="Onsite",INDEX(tbl_Onsite[Invoice Type],$BI1163),IF($B1163="Production",INDEX(tbl_Production[Invoice Type],$BI1163),INDEX(tbl_Consulting[Invoice Type],$BI1163)))&amp;"")</f>
        <v/>
      </c>
      <c r="J1163" s="10">
        <f>IF($BI1163="","",IF($B1163="Onsite",INDEX(tbl_Onsite[Tax Code],$BI1163),IF($B1163="Production",INDEX(tbl_Production[Tax Code],$BI1163),INDEX(tbl_Consulting[Tax Code],$BI1163)))&amp;"")</f>
        <v/>
      </c>
      <c r="K1163" s="10">
        <f>IF(H1163="","",IFERROR(INDEX(lst_CCtoGL,MATCH(H1163,lst_CCforGL,0)),""))</f>
        <v/>
      </c>
      <c r="L1163" s="10">
        <f>IF($BI1163="","",IF($B1163="Onsite",INDEX(tbl_Onsite[PO / Reference],$BI1163),IF($B1163="Production",INDEX(tbl_Production[Current RMS No],$BI1163),INDEX(tbl_Consulting[Qwilr Quote],$BI1163)))&amp;"")</f>
        <v/>
      </c>
      <c r="M1163" s="10">
        <f>IF($BI1163="","",IF($B1163="Onsite",INDEX(tbl_Onsite[Notes],$BI1163),IF($B1163="Production",INDEX(tbl_Production[Notes],$BI1163),INDEX(tbl_Consulting[Notes],$BI1163)))&amp;"")</f>
        <v/>
      </c>
      <c r="N1163" s="11">
        <f>IF($BI1163="","",IF(IF($B1163="Onsite",INDEX(tbl_Onsite[Expected Revenue Ex GST],$BI1163),IF($B1163="Production",INDEX(tbl_Production[Expected Revenue Ex GST],$BI1163),INDEX(tbl_Consulting[Expected Revenue Ex GST],$BI1163)))="","",IF($B1163="Onsite",INDEX(tbl_Onsite[Expected Revenue Ex GST],$BI1163),IF($B1163="Production",INDEX(tbl_Production[Expected Revenue Ex GST],$BI1163),INDEX(tbl_Consulting[Expected Revenue Ex GST],$BI1163)))))</f>
        <v/>
      </c>
      <c r="O1163" s="11">
        <f>IF(AND($C1163="",NOT(COUNTA($S1163:$BB1163)&gt;0)),"",SUM(U1163,X1163,AA1163,AD1163,AG1163,AJ1163,AM1163,AP1163,AS1163,AV1163,AY1163,BB1163))</f>
        <v/>
      </c>
      <c r="P1163" s="11">
        <f>IF(O1163="","",N(N1163)-O1163)</f>
        <v/>
      </c>
      <c r="Q1163" s="10">
        <f>IF(O1163="","",IF($C1163="","Invoice on empty job row",IF(N1163="",IF(ROUND(O1163,2)=0,"No dept value","Invoiced - no dept value"),IF(ROUND(O1163,2)=0,"Not invoiced - to invoice",IF(ROUND(P1163,2)=0,"Agrees",IF(P1163&gt;0,"Dept higher - to invoice","Xero higher - check dept"))))))</f>
        <v/>
      </c>
      <c r="R1163" s="10">
        <f>IF(AND($C1163="",NOT(COUNTA($S1163:$BB1163)&gt;0),$BI1163&lt;&gt;""),"",MID(IF($BI1163="","; Row ID not found on the department sheet - a row was deleted","")&amp;IF(AND($C1163="",COUNTA($S1163:$BB1163)&gt;0),"; Invoice entered but the department row has no job number","")&amp;IF(E1163="CHECK","; Job number not in the Xero job list","")&amp;IF(AND($C1163&lt;&gt;"",COUNTIF($C$7:$C$1506,$C1163)&gt;1),"; Job number on more than one row","")&amp;IF(AND($C1163&lt;&gt;"",H1163=""),"; Dept has not set a cost centre","")&amp;IF(AND($C1163&lt;&gt;"",J1163=""),"; Dept has not set a tax code","")&amp;IF(AND($C1163&lt;&gt;"",N1163=""),"; Dept has not entered an expected value","")&amp;IF((IF(OR(COUNTA(S1163:U1163)=0,AND(COUNTA(S1163:U1163)=3,ISNUMBER(U1163))),0,1)+IF(OR(COUNTA(V1163:X1163)=0,AND(COUNTA(V1163:X1163)=3,ISNUMBER(X1163))),0,1)+IF(OR(COUNTA(Y1163:AA1163)=0,AND(COUNTA(Y1163:AA1163)=3,ISNUMBER(AA1163))),0,1)+IF(OR(COUNTA(AB1163:AD1163)=0,AND(COUNTA(AB1163:AD1163)=3,ISNUMBER(AD1163))),0,1)+IF(OR(COUNTA(AE1163:AG1163)=0,AND(COUNTA(AE1163:AG1163)=3,ISNUMBER(AG1163))),0,1)+IF(OR(COUNTA(AH1163:AJ1163)=0,AND(COUNTA(AH1163:AJ1163)=3,ISNUMBER(AJ1163))),0,1)+IF(OR(COUNTA(AK1163:AM1163)=0,AND(COUNTA(AK1163:AM1163)=3,ISNUMBER(AM1163))),0,1)+IF(OR(COUNTA(AN1163:AP1163)=0,AND(COUNTA(AN1163:AP1163)=3,ISNUMBER(AP1163))),0,1)+IF(OR(COUNTA(AQ1163:AS1163)=0,AND(COUNTA(AQ1163:AS1163)=3,ISNUMBER(AS1163))),0,1)+IF(OR(COUNTA(AT1163:AV1163)=0,AND(COUNTA(AT1163:AV1163)=3,ISNUMBER(AV1163))),0,1)+IF(OR(COUNTA(AW1163:AY1163)=0,AND(COUNTA(AW1163:AY1163)=3,ISNUMBER(AY1163))),0,1)+IF(OR(COUNTA(AZ1163:BB1163)=0,AND(COUNTA(AZ1163:BB1163)=3,ISNUMBER(BB1163))),0,1))&gt;0,"; An invoice is incomplete (needs No, Date and a number in Ex GST)","")&amp;IF((IF(T1163="",0,IFERROR(--(EOMONTH(T1163,0)&lt;&gt;S$5),1))+IF(W1163="",0,IFERROR(--(EOMONTH(W1163,0)&lt;&gt;V$5),1))+IF(Z1163="",0,IFERROR(--(EOMONTH(Z1163,0)&lt;&gt;Y$5),1))+IF(AC1163="",0,IFERROR(--(EOMONTH(AC1163,0)&lt;&gt;AB$5),1))+IF(AF1163="",0,IFERROR(--(EOMONTH(AF1163,0)&lt;&gt;AE$5),1))+IF(AI1163="",0,IFERROR(--(EOMONTH(AI1163,0)&lt;&gt;AH$5),1))+IF(AL1163="",0,IFERROR(--(EOMONTH(AL1163,0)&lt;&gt;AK$5),1))+IF(AO1163="",0,IFERROR(--(EOMONTH(AO1163,0)&lt;&gt;AN$5),1))+IF(AR1163="",0,IFERROR(--(EOMONTH(AR1163,0)&lt;&gt;AQ$5),1))+IF(AU1163="",0,IFERROR(--(EOMONTH(AU1163,0)&lt;&gt;AT$5),1))+IF(AX1163="",0,IFERROR(--(EOMONTH(AX1163,0)&lt;&gt;AW$5),1))+IF(BA1163="",0,IFERROR(--(EOMONTH(BA1163,0)&lt;&gt;AZ$5),1)))&gt;0,"; An invoice date is not in the month it is typed under",""),3,500))</f>
        <v/>
      </c>
      <c r="S1163" s="12" t="n"/>
      <c r="T1163" s="13" t="n"/>
      <c r="U1163" s="14" t="n"/>
      <c r="V1163" s="12" t="n"/>
      <c r="W1163" s="13" t="n"/>
      <c r="X1163" s="14" t="n"/>
      <c r="Y1163" s="12" t="n"/>
      <c r="Z1163" s="13" t="n"/>
      <c r="AA1163" s="14" t="n"/>
      <c r="AB1163" s="12" t="n"/>
      <c r="AC1163" s="13" t="n"/>
      <c r="AD1163" s="14" t="n"/>
      <c r="AE1163" s="12" t="n"/>
      <c r="AF1163" s="13" t="n"/>
      <c r="AG1163" s="14" t="n"/>
      <c r="AH1163" s="12" t="n"/>
      <c r="AI1163" s="13" t="n"/>
      <c r="AJ1163" s="14" t="n"/>
      <c r="AK1163" s="12" t="n"/>
      <c r="AL1163" s="13" t="n"/>
      <c r="AM1163" s="14" t="n"/>
      <c r="AN1163" s="12" t="n"/>
      <c r="AO1163" s="13" t="n"/>
      <c r="AP1163" s="14" t="n"/>
      <c r="AQ1163" s="12" t="n"/>
      <c r="AR1163" s="13" t="n"/>
      <c r="AS1163" s="14" t="n"/>
      <c r="AT1163" s="12" t="n"/>
      <c r="AU1163" s="13" t="n"/>
      <c r="AV1163" s="14" t="n"/>
      <c r="AW1163" s="12" t="n"/>
      <c r="AX1163" s="13" t="n"/>
      <c r="AY1163" s="14" t="n"/>
      <c r="AZ1163" s="12" t="n"/>
      <c r="BA1163" s="13" t="n"/>
      <c r="BB1163" s="14" t="n"/>
      <c r="BC1163" s="11">
        <f>IF(O1163="","",IF(J1163="GST 10%",ROUND(O1163*set_GSTRate,2),0))</f>
        <v/>
      </c>
      <c r="BD1163" s="11">
        <f>IF(O1163="","",O1163+BC1163)</f>
        <v/>
      </c>
      <c r="BE1163" s="15">
        <f>IF(O1163="","",COUNTA(S1163,V1163,Y1163,AB1163,AE1163,AH1163,AK1163,AN1163,AQ1163,AT1163,AW1163,AZ1163))</f>
        <v/>
      </c>
      <c r="BF1163" s="16">
        <f>IF(COUNT(T1163,W1163,Z1163,AC1163,AF1163,AI1163,AL1163,AO1163,AR1163,AU1163,AX1163,BA1163)=0,"",MAX(T1163,W1163,Z1163,AC1163,AF1163,AI1163,AL1163,AO1163,AR1163,AU1163,AX1163,BA1163))</f>
        <v/>
      </c>
      <c r="BG1163" s="10">
        <f>MID(IF(S1163="","",", "&amp;S1163)&amp;IF(V1163="","",", "&amp;V1163)&amp;IF(Y1163="","",", "&amp;Y1163)&amp;IF(AB1163="","",", "&amp;AB1163)&amp;IF(AE1163="","",", "&amp;AE1163)&amp;IF(AH1163="","",", "&amp;AH1163)&amp;IF(AK1163="","",", "&amp;AK1163)&amp;IF(AN1163="","",", "&amp;AN1163)&amp;IF(AQ1163="","",", "&amp;AQ1163)&amp;IF(AT1163="","",", "&amp;AT1163)&amp;IF(AW1163="","",", "&amp;AW1163)&amp;IF(AZ1163="","",", "&amp;AZ1163),3,500)</f>
        <v/>
      </c>
      <c r="BH1163" s="12" t="n"/>
      <c r="BI1163" s="15">
        <f>IFERROR(MATCH($A1163,IF($B1163="Onsite",tbl_Onsite[Row ID],IF($B1163="Production",tbl_Production[Row ID],tbl_Consulting[Row ID])),0),"")</f>
        <v/>
      </c>
    </row>
    <row r="1164">
      <c r="A1164" s="10" t="inlineStr">
        <is>
          <t>CON-0158</t>
        </is>
      </c>
      <c r="B1164" s="10" t="inlineStr">
        <is>
          <t>Consulting</t>
        </is>
      </c>
      <c r="C1164" s="10">
        <f>IF($BI1164="","",IF($B1164="Onsite",INDEX(tbl_Onsite[Job Number],$BI1164),IF($B1164="Production",INDEX(tbl_Production[Job Number],$BI1164),INDEX(tbl_Consulting[Job Number],$BI1164)))&amp;"")</f>
        <v/>
      </c>
      <c r="D1164" s="10">
        <f>IF($BI1164="","",IF($B1164="Onsite",INDEX(tbl_Onsite[Client],$BI1164),IF($B1164="Production",INDEX(tbl_Production[Client],$BI1164),INDEX(tbl_Consulting[Client],$BI1164)))&amp;"")</f>
        <v/>
      </c>
      <c r="E1164" s="10">
        <f>IF($C1164="","",IF(COUNTIF(lst_Jobs,$C1164)&gt;0,"OK","CHECK"))</f>
        <v/>
      </c>
      <c r="F1164" s="10">
        <f>IF($C1164="","",IFERROR(INDEX(lst_JobName,MATCH($C1164,lst_Jobs,0)),""))</f>
        <v/>
      </c>
      <c r="G1164" s="10">
        <f>IF($BI1164="","",IF($B1164="Onsite",INDEX(tbl_Onsite[Job Description],$BI1164),IF($B1164="Production",INDEX(tbl_Production[Job Description],$BI1164),INDEX(tbl_Consulting[Job Description],$BI1164)))&amp;"")</f>
        <v/>
      </c>
      <c r="H1164" s="10">
        <f>IF($BI1164="","",IF($B1164="Onsite",INDEX(tbl_Onsite[Cost Centre],$BI1164),IF($B1164="Production",INDEX(tbl_Production[Cost Centre],$BI1164),INDEX(tbl_Consulting[Cost Centre],$BI1164)))&amp;"")</f>
        <v/>
      </c>
      <c r="I1164" s="10">
        <f>IF($BI1164="","",IF($B1164="Onsite",INDEX(tbl_Onsite[Invoice Type],$BI1164),IF($B1164="Production",INDEX(tbl_Production[Invoice Type],$BI1164),INDEX(tbl_Consulting[Invoice Type],$BI1164)))&amp;"")</f>
        <v/>
      </c>
      <c r="J1164" s="10">
        <f>IF($BI1164="","",IF($B1164="Onsite",INDEX(tbl_Onsite[Tax Code],$BI1164),IF($B1164="Production",INDEX(tbl_Production[Tax Code],$BI1164),INDEX(tbl_Consulting[Tax Code],$BI1164)))&amp;"")</f>
        <v/>
      </c>
      <c r="K1164" s="10">
        <f>IF(H1164="","",IFERROR(INDEX(lst_CCtoGL,MATCH(H1164,lst_CCforGL,0)),""))</f>
        <v/>
      </c>
      <c r="L1164" s="10">
        <f>IF($BI1164="","",IF($B1164="Onsite",INDEX(tbl_Onsite[PO / Reference],$BI1164),IF($B1164="Production",INDEX(tbl_Production[Current RMS No],$BI1164),INDEX(tbl_Consulting[Qwilr Quote],$BI1164)))&amp;"")</f>
        <v/>
      </c>
      <c r="M1164" s="10">
        <f>IF($BI1164="","",IF($B1164="Onsite",INDEX(tbl_Onsite[Notes],$BI1164),IF($B1164="Production",INDEX(tbl_Production[Notes],$BI1164),INDEX(tbl_Consulting[Notes],$BI1164)))&amp;"")</f>
        <v/>
      </c>
      <c r="N1164" s="11">
        <f>IF($BI1164="","",IF(IF($B1164="Onsite",INDEX(tbl_Onsite[Expected Revenue Ex GST],$BI1164),IF($B1164="Production",INDEX(tbl_Production[Expected Revenue Ex GST],$BI1164),INDEX(tbl_Consulting[Expected Revenue Ex GST],$BI1164)))="","",IF($B1164="Onsite",INDEX(tbl_Onsite[Expected Revenue Ex GST],$BI1164),IF($B1164="Production",INDEX(tbl_Production[Expected Revenue Ex GST],$BI1164),INDEX(tbl_Consulting[Expected Revenue Ex GST],$BI1164)))))</f>
        <v/>
      </c>
      <c r="O1164" s="11">
        <f>IF(AND($C1164="",NOT(COUNTA($S1164:$BB1164)&gt;0)),"",SUM(U1164,X1164,AA1164,AD1164,AG1164,AJ1164,AM1164,AP1164,AS1164,AV1164,AY1164,BB1164))</f>
        <v/>
      </c>
      <c r="P1164" s="11">
        <f>IF(O1164="","",N(N1164)-O1164)</f>
        <v/>
      </c>
      <c r="Q1164" s="10">
        <f>IF(O1164="","",IF($C1164="","Invoice on empty job row",IF(N1164="",IF(ROUND(O1164,2)=0,"No dept value","Invoiced - no dept value"),IF(ROUND(O1164,2)=0,"Not invoiced - to invoice",IF(ROUND(P1164,2)=0,"Agrees",IF(P1164&gt;0,"Dept higher - to invoice","Xero higher - check dept"))))))</f>
        <v/>
      </c>
      <c r="R1164" s="10">
        <f>IF(AND($C1164="",NOT(COUNTA($S1164:$BB1164)&gt;0),$BI1164&lt;&gt;""),"",MID(IF($BI1164="","; Row ID not found on the department sheet - a row was deleted","")&amp;IF(AND($C1164="",COUNTA($S1164:$BB1164)&gt;0),"; Invoice entered but the department row has no job number","")&amp;IF(E1164="CHECK","; Job number not in the Xero job list","")&amp;IF(AND($C1164&lt;&gt;"",COUNTIF($C$7:$C$1506,$C1164)&gt;1),"; Job number on more than one row","")&amp;IF(AND($C1164&lt;&gt;"",H1164=""),"; Dept has not set a cost centre","")&amp;IF(AND($C1164&lt;&gt;"",J1164=""),"; Dept has not set a tax code","")&amp;IF(AND($C1164&lt;&gt;"",N1164=""),"; Dept has not entered an expected value","")&amp;IF((IF(OR(COUNTA(S1164:U1164)=0,AND(COUNTA(S1164:U1164)=3,ISNUMBER(U1164))),0,1)+IF(OR(COUNTA(V1164:X1164)=0,AND(COUNTA(V1164:X1164)=3,ISNUMBER(X1164))),0,1)+IF(OR(COUNTA(Y1164:AA1164)=0,AND(COUNTA(Y1164:AA1164)=3,ISNUMBER(AA1164))),0,1)+IF(OR(COUNTA(AB1164:AD1164)=0,AND(COUNTA(AB1164:AD1164)=3,ISNUMBER(AD1164))),0,1)+IF(OR(COUNTA(AE1164:AG1164)=0,AND(COUNTA(AE1164:AG1164)=3,ISNUMBER(AG1164))),0,1)+IF(OR(COUNTA(AH1164:AJ1164)=0,AND(COUNTA(AH1164:AJ1164)=3,ISNUMBER(AJ1164))),0,1)+IF(OR(COUNTA(AK1164:AM1164)=0,AND(COUNTA(AK1164:AM1164)=3,ISNUMBER(AM1164))),0,1)+IF(OR(COUNTA(AN1164:AP1164)=0,AND(COUNTA(AN1164:AP1164)=3,ISNUMBER(AP1164))),0,1)+IF(OR(COUNTA(AQ1164:AS1164)=0,AND(COUNTA(AQ1164:AS1164)=3,ISNUMBER(AS1164))),0,1)+IF(OR(COUNTA(AT1164:AV1164)=0,AND(COUNTA(AT1164:AV1164)=3,ISNUMBER(AV1164))),0,1)+IF(OR(COUNTA(AW1164:AY1164)=0,AND(COUNTA(AW1164:AY1164)=3,ISNUMBER(AY1164))),0,1)+IF(OR(COUNTA(AZ1164:BB1164)=0,AND(COUNTA(AZ1164:BB1164)=3,ISNUMBER(BB1164))),0,1))&gt;0,"; An invoice is incomplete (needs No, Date and a number in Ex GST)","")&amp;IF((IF(T1164="",0,IFERROR(--(EOMONTH(T1164,0)&lt;&gt;S$5),1))+IF(W1164="",0,IFERROR(--(EOMONTH(W1164,0)&lt;&gt;V$5),1))+IF(Z1164="",0,IFERROR(--(EOMONTH(Z1164,0)&lt;&gt;Y$5),1))+IF(AC1164="",0,IFERROR(--(EOMONTH(AC1164,0)&lt;&gt;AB$5),1))+IF(AF1164="",0,IFERROR(--(EOMONTH(AF1164,0)&lt;&gt;AE$5),1))+IF(AI1164="",0,IFERROR(--(EOMONTH(AI1164,0)&lt;&gt;AH$5),1))+IF(AL1164="",0,IFERROR(--(EOMONTH(AL1164,0)&lt;&gt;AK$5),1))+IF(AO1164="",0,IFERROR(--(EOMONTH(AO1164,0)&lt;&gt;AN$5),1))+IF(AR1164="",0,IFERROR(--(EOMONTH(AR1164,0)&lt;&gt;AQ$5),1))+IF(AU1164="",0,IFERROR(--(EOMONTH(AU1164,0)&lt;&gt;AT$5),1))+IF(AX1164="",0,IFERROR(--(EOMONTH(AX1164,0)&lt;&gt;AW$5),1))+IF(BA1164="",0,IFERROR(--(EOMONTH(BA1164,0)&lt;&gt;AZ$5),1)))&gt;0,"; An invoice date is not in the month it is typed under",""),3,500))</f>
        <v/>
      </c>
      <c r="S1164" s="12" t="n"/>
      <c r="T1164" s="13" t="n"/>
      <c r="U1164" s="14" t="n"/>
      <c r="V1164" s="12" t="n"/>
      <c r="W1164" s="13" t="n"/>
      <c r="X1164" s="14" t="n"/>
      <c r="Y1164" s="12" t="n"/>
      <c r="Z1164" s="13" t="n"/>
      <c r="AA1164" s="14" t="n"/>
      <c r="AB1164" s="12" t="n"/>
      <c r="AC1164" s="13" t="n"/>
      <c r="AD1164" s="14" t="n"/>
      <c r="AE1164" s="12" t="n"/>
      <c r="AF1164" s="13" t="n"/>
      <c r="AG1164" s="14" t="n"/>
      <c r="AH1164" s="12" t="n"/>
      <c r="AI1164" s="13" t="n"/>
      <c r="AJ1164" s="14" t="n"/>
      <c r="AK1164" s="12" t="n"/>
      <c r="AL1164" s="13" t="n"/>
      <c r="AM1164" s="14" t="n"/>
      <c r="AN1164" s="12" t="n"/>
      <c r="AO1164" s="13" t="n"/>
      <c r="AP1164" s="14" t="n"/>
      <c r="AQ1164" s="12" t="n"/>
      <c r="AR1164" s="13" t="n"/>
      <c r="AS1164" s="14" t="n"/>
      <c r="AT1164" s="12" t="n"/>
      <c r="AU1164" s="13" t="n"/>
      <c r="AV1164" s="14" t="n"/>
      <c r="AW1164" s="12" t="n"/>
      <c r="AX1164" s="13" t="n"/>
      <c r="AY1164" s="14" t="n"/>
      <c r="AZ1164" s="12" t="n"/>
      <c r="BA1164" s="13" t="n"/>
      <c r="BB1164" s="14" t="n"/>
      <c r="BC1164" s="11">
        <f>IF(O1164="","",IF(J1164="GST 10%",ROUND(O1164*set_GSTRate,2),0))</f>
        <v/>
      </c>
      <c r="BD1164" s="11">
        <f>IF(O1164="","",O1164+BC1164)</f>
        <v/>
      </c>
      <c r="BE1164" s="15">
        <f>IF(O1164="","",COUNTA(S1164,V1164,Y1164,AB1164,AE1164,AH1164,AK1164,AN1164,AQ1164,AT1164,AW1164,AZ1164))</f>
        <v/>
      </c>
      <c r="BF1164" s="16">
        <f>IF(COUNT(T1164,W1164,Z1164,AC1164,AF1164,AI1164,AL1164,AO1164,AR1164,AU1164,AX1164,BA1164)=0,"",MAX(T1164,W1164,Z1164,AC1164,AF1164,AI1164,AL1164,AO1164,AR1164,AU1164,AX1164,BA1164))</f>
        <v/>
      </c>
      <c r="BG1164" s="10">
        <f>MID(IF(S1164="","",", "&amp;S1164)&amp;IF(V1164="","",", "&amp;V1164)&amp;IF(Y1164="","",", "&amp;Y1164)&amp;IF(AB1164="","",", "&amp;AB1164)&amp;IF(AE1164="","",", "&amp;AE1164)&amp;IF(AH1164="","",", "&amp;AH1164)&amp;IF(AK1164="","",", "&amp;AK1164)&amp;IF(AN1164="","",", "&amp;AN1164)&amp;IF(AQ1164="","",", "&amp;AQ1164)&amp;IF(AT1164="","",", "&amp;AT1164)&amp;IF(AW1164="","",", "&amp;AW1164)&amp;IF(AZ1164="","",", "&amp;AZ1164),3,500)</f>
        <v/>
      </c>
      <c r="BH1164" s="12" t="n"/>
      <c r="BI1164" s="15">
        <f>IFERROR(MATCH($A1164,IF($B1164="Onsite",tbl_Onsite[Row ID],IF($B1164="Production",tbl_Production[Row ID],tbl_Consulting[Row ID])),0),"")</f>
        <v/>
      </c>
    </row>
    <row r="1165">
      <c r="A1165" s="10" t="inlineStr">
        <is>
          <t>CON-0159</t>
        </is>
      </c>
      <c r="B1165" s="10" t="inlineStr">
        <is>
          <t>Consulting</t>
        </is>
      </c>
      <c r="C1165" s="10">
        <f>IF($BI1165="","",IF($B1165="Onsite",INDEX(tbl_Onsite[Job Number],$BI1165),IF($B1165="Production",INDEX(tbl_Production[Job Number],$BI1165),INDEX(tbl_Consulting[Job Number],$BI1165)))&amp;"")</f>
        <v/>
      </c>
      <c r="D1165" s="10">
        <f>IF($BI1165="","",IF($B1165="Onsite",INDEX(tbl_Onsite[Client],$BI1165),IF($B1165="Production",INDEX(tbl_Production[Client],$BI1165),INDEX(tbl_Consulting[Client],$BI1165)))&amp;"")</f>
        <v/>
      </c>
      <c r="E1165" s="10">
        <f>IF($C1165="","",IF(COUNTIF(lst_Jobs,$C1165)&gt;0,"OK","CHECK"))</f>
        <v/>
      </c>
      <c r="F1165" s="10">
        <f>IF($C1165="","",IFERROR(INDEX(lst_JobName,MATCH($C1165,lst_Jobs,0)),""))</f>
        <v/>
      </c>
      <c r="G1165" s="10">
        <f>IF($BI1165="","",IF($B1165="Onsite",INDEX(tbl_Onsite[Job Description],$BI1165),IF($B1165="Production",INDEX(tbl_Production[Job Description],$BI1165),INDEX(tbl_Consulting[Job Description],$BI1165)))&amp;"")</f>
        <v/>
      </c>
      <c r="H1165" s="10">
        <f>IF($BI1165="","",IF($B1165="Onsite",INDEX(tbl_Onsite[Cost Centre],$BI1165),IF($B1165="Production",INDEX(tbl_Production[Cost Centre],$BI1165),INDEX(tbl_Consulting[Cost Centre],$BI1165)))&amp;"")</f>
        <v/>
      </c>
      <c r="I1165" s="10">
        <f>IF($BI1165="","",IF($B1165="Onsite",INDEX(tbl_Onsite[Invoice Type],$BI1165),IF($B1165="Production",INDEX(tbl_Production[Invoice Type],$BI1165),INDEX(tbl_Consulting[Invoice Type],$BI1165)))&amp;"")</f>
        <v/>
      </c>
      <c r="J1165" s="10">
        <f>IF($BI1165="","",IF($B1165="Onsite",INDEX(tbl_Onsite[Tax Code],$BI1165),IF($B1165="Production",INDEX(tbl_Production[Tax Code],$BI1165),INDEX(tbl_Consulting[Tax Code],$BI1165)))&amp;"")</f>
        <v/>
      </c>
      <c r="K1165" s="10">
        <f>IF(H1165="","",IFERROR(INDEX(lst_CCtoGL,MATCH(H1165,lst_CCforGL,0)),""))</f>
        <v/>
      </c>
      <c r="L1165" s="10">
        <f>IF($BI1165="","",IF($B1165="Onsite",INDEX(tbl_Onsite[PO / Reference],$BI1165),IF($B1165="Production",INDEX(tbl_Production[Current RMS No],$BI1165),INDEX(tbl_Consulting[Qwilr Quote],$BI1165)))&amp;"")</f>
        <v/>
      </c>
      <c r="M1165" s="10">
        <f>IF($BI1165="","",IF($B1165="Onsite",INDEX(tbl_Onsite[Notes],$BI1165),IF($B1165="Production",INDEX(tbl_Production[Notes],$BI1165),INDEX(tbl_Consulting[Notes],$BI1165)))&amp;"")</f>
        <v/>
      </c>
      <c r="N1165" s="11">
        <f>IF($BI1165="","",IF(IF($B1165="Onsite",INDEX(tbl_Onsite[Expected Revenue Ex GST],$BI1165),IF($B1165="Production",INDEX(tbl_Production[Expected Revenue Ex GST],$BI1165),INDEX(tbl_Consulting[Expected Revenue Ex GST],$BI1165)))="","",IF($B1165="Onsite",INDEX(tbl_Onsite[Expected Revenue Ex GST],$BI1165),IF($B1165="Production",INDEX(tbl_Production[Expected Revenue Ex GST],$BI1165),INDEX(tbl_Consulting[Expected Revenue Ex GST],$BI1165)))))</f>
        <v/>
      </c>
      <c r="O1165" s="11">
        <f>IF(AND($C1165="",NOT(COUNTA($S1165:$BB1165)&gt;0)),"",SUM(U1165,X1165,AA1165,AD1165,AG1165,AJ1165,AM1165,AP1165,AS1165,AV1165,AY1165,BB1165))</f>
        <v/>
      </c>
      <c r="P1165" s="11">
        <f>IF(O1165="","",N(N1165)-O1165)</f>
        <v/>
      </c>
      <c r="Q1165" s="10">
        <f>IF(O1165="","",IF($C1165="","Invoice on empty job row",IF(N1165="",IF(ROUND(O1165,2)=0,"No dept value","Invoiced - no dept value"),IF(ROUND(O1165,2)=0,"Not invoiced - to invoice",IF(ROUND(P1165,2)=0,"Agrees",IF(P1165&gt;0,"Dept higher - to invoice","Xero higher - check dept"))))))</f>
        <v/>
      </c>
      <c r="R1165" s="10">
        <f>IF(AND($C1165="",NOT(COUNTA($S1165:$BB1165)&gt;0),$BI1165&lt;&gt;""),"",MID(IF($BI1165="","; Row ID not found on the department sheet - a row was deleted","")&amp;IF(AND($C1165="",COUNTA($S1165:$BB1165)&gt;0),"; Invoice entered but the department row has no job number","")&amp;IF(E1165="CHECK","; Job number not in the Xero job list","")&amp;IF(AND($C1165&lt;&gt;"",COUNTIF($C$7:$C$1506,$C1165)&gt;1),"; Job number on more than one row","")&amp;IF(AND($C1165&lt;&gt;"",H1165=""),"; Dept has not set a cost centre","")&amp;IF(AND($C1165&lt;&gt;"",J1165=""),"; Dept has not set a tax code","")&amp;IF(AND($C1165&lt;&gt;"",N1165=""),"; Dept has not entered an expected value","")&amp;IF((IF(OR(COUNTA(S1165:U1165)=0,AND(COUNTA(S1165:U1165)=3,ISNUMBER(U1165))),0,1)+IF(OR(COUNTA(V1165:X1165)=0,AND(COUNTA(V1165:X1165)=3,ISNUMBER(X1165))),0,1)+IF(OR(COUNTA(Y1165:AA1165)=0,AND(COUNTA(Y1165:AA1165)=3,ISNUMBER(AA1165))),0,1)+IF(OR(COUNTA(AB1165:AD1165)=0,AND(COUNTA(AB1165:AD1165)=3,ISNUMBER(AD1165))),0,1)+IF(OR(COUNTA(AE1165:AG1165)=0,AND(COUNTA(AE1165:AG1165)=3,ISNUMBER(AG1165))),0,1)+IF(OR(COUNTA(AH1165:AJ1165)=0,AND(COUNTA(AH1165:AJ1165)=3,ISNUMBER(AJ1165))),0,1)+IF(OR(COUNTA(AK1165:AM1165)=0,AND(COUNTA(AK1165:AM1165)=3,ISNUMBER(AM1165))),0,1)+IF(OR(COUNTA(AN1165:AP1165)=0,AND(COUNTA(AN1165:AP1165)=3,ISNUMBER(AP1165))),0,1)+IF(OR(COUNTA(AQ1165:AS1165)=0,AND(COUNTA(AQ1165:AS1165)=3,ISNUMBER(AS1165))),0,1)+IF(OR(COUNTA(AT1165:AV1165)=0,AND(COUNTA(AT1165:AV1165)=3,ISNUMBER(AV1165))),0,1)+IF(OR(COUNTA(AW1165:AY1165)=0,AND(COUNTA(AW1165:AY1165)=3,ISNUMBER(AY1165))),0,1)+IF(OR(COUNTA(AZ1165:BB1165)=0,AND(COUNTA(AZ1165:BB1165)=3,ISNUMBER(BB1165))),0,1))&gt;0,"; An invoice is incomplete (needs No, Date and a number in Ex GST)","")&amp;IF((IF(T1165="",0,IFERROR(--(EOMONTH(T1165,0)&lt;&gt;S$5),1))+IF(W1165="",0,IFERROR(--(EOMONTH(W1165,0)&lt;&gt;V$5),1))+IF(Z1165="",0,IFERROR(--(EOMONTH(Z1165,0)&lt;&gt;Y$5),1))+IF(AC1165="",0,IFERROR(--(EOMONTH(AC1165,0)&lt;&gt;AB$5),1))+IF(AF1165="",0,IFERROR(--(EOMONTH(AF1165,0)&lt;&gt;AE$5),1))+IF(AI1165="",0,IFERROR(--(EOMONTH(AI1165,0)&lt;&gt;AH$5),1))+IF(AL1165="",0,IFERROR(--(EOMONTH(AL1165,0)&lt;&gt;AK$5),1))+IF(AO1165="",0,IFERROR(--(EOMONTH(AO1165,0)&lt;&gt;AN$5),1))+IF(AR1165="",0,IFERROR(--(EOMONTH(AR1165,0)&lt;&gt;AQ$5),1))+IF(AU1165="",0,IFERROR(--(EOMONTH(AU1165,0)&lt;&gt;AT$5),1))+IF(AX1165="",0,IFERROR(--(EOMONTH(AX1165,0)&lt;&gt;AW$5),1))+IF(BA1165="",0,IFERROR(--(EOMONTH(BA1165,0)&lt;&gt;AZ$5),1)))&gt;0,"; An invoice date is not in the month it is typed under",""),3,500))</f>
        <v/>
      </c>
      <c r="S1165" s="12" t="n"/>
      <c r="T1165" s="13" t="n"/>
      <c r="U1165" s="14" t="n"/>
      <c r="V1165" s="12" t="n"/>
      <c r="W1165" s="13" t="n"/>
      <c r="X1165" s="14" t="n"/>
      <c r="Y1165" s="12" t="n"/>
      <c r="Z1165" s="13" t="n"/>
      <c r="AA1165" s="14" t="n"/>
      <c r="AB1165" s="12" t="n"/>
      <c r="AC1165" s="13" t="n"/>
      <c r="AD1165" s="14" t="n"/>
      <c r="AE1165" s="12" t="n"/>
      <c r="AF1165" s="13" t="n"/>
      <c r="AG1165" s="14" t="n"/>
      <c r="AH1165" s="12" t="n"/>
      <c r="AI1165" s="13" t="n"/>
      <c r="AJ1165" s="14" t="n"/>
      <c r="AK1165" s="12" t="n"/>
      <c r="AL1165" s="13" t="n"/>
      <c r="AM1165" s="14" t="n"/>
      <c r="AN1165" s="12" t="n"/>
      <c r="AO1165" s="13" t="n"/>
      <c r="AP1165" s="14" t="n"/>
      <c r="AQ1165" s="12" t="n"/>
      <c r="AR1165" s="13" t="n"/>
      <c r="AS1165" s="14" t="n"/>
      <c r="AT1165" s="12" t="n"/>
      <c r="AU1165" s="13" t="n"/>
      <c r="AV1165" s="14" t="n"/>
      <c r="AW1165" s="12" t="n"/>
      <c r="AX1165" s="13" t="n"/>
      <c r="AY1165" s="14" t="n"/>
      <c r="AZ1165" s="12" t="n"/>
      <c r="BA1165" s="13" t="n"/>
      <c r="BB1165" s="14" t="n"/>
      <c r="BC1165" s="11">
        <f>IF(O1165="","",IF(J1165="GST 10%",ROUND(O1165*set_GSTRate,2),0))</f>
        <v/>
      </c>
      <c r="BD1165" s="11">
        <f>IF(O1165="","",O1165+BC1165)</f>
        <v/>
      </c>
      <c r="BE1165" s="15">
        <f>IF(O1165="","",COUNTA(S1165,V1165,Y1165,AB1165,AE1165,AH1165,AK1165,AN1165,AQ1165,AT1165,AW1165,AZ1165))</f>
        <v/>
      </c>
      <c r="BF1165" s="16">
        <f>IF(COUNT(T1165,W1165,Z1165,AC1165,AF1165,AI1165,AL1165,AO1165,AR1165,AU1165,AX1165,BA1165)=0,"",MAX(T1165,W1165,Z1165,AC1165,AF1165,AI1165,AL1165,AO1165,AR1165,AU1165,AX1165,BA1165))</f>
        <v/>
      </c>
      <c r="BG1165" s="10">
        <f>MID(IF(S1165="","",", "&amp;S1165)&amp;IF(V1165="","",", "&amp;V1165)&amp;IF(Y1165="","",", "&amp;Y1165)&amp;IF(AB1165="","",", "&amp;AB1165)&amp;IF(AE1165="","",", "&amp;AE1165)&amp;IF(AH1165="","",", "&amp;AH1165)&amp;IF(AK1165="","",", "&amp;AK1165)&amp;IF(AN1165="","",", "&amp;AN1165)&amp;IF(AQ1165="","",", "&amp;AQ1165)&amp;IF(AT1165="","",", "&amp;AT1165)&amp;IF(AW1165="","",", "&amp;AW1165)&amp;IF(AZ1165="","",", "&amp;AZ1165),3,500)</f>
        <v/>
      </c>
      <c r="BH1165" s="12" t="n"/>
      <c r="BI1165" s="15">
        <f>IFERROR(MATCH($A1165,IF($B1165="Onsite",tbl_Onsite[Row ID],IF($B1165="Production",tbl_Production[Row ID],tbl_Consulting[Row ID])),0),"")</f>
        <v/>
      </c>
    </row>
    <row r="1166">
      <c r="A1166" s="10" t="inlineStr">
        <is>
          <t>CON-0160</t>
        </is>
      </c>
      <c r="B1166" s="10" t="inlineStr">
        <is>
          <t>Consulting</t>
        </is>
      </c>
      <c r="C1166" s="10">
        <f>IF($BI1166="","",IF($B1166="Onsite",INDEX(tbl_Onsite[Job Number],$BI1166),IF($B1166="Production",INDEX(tbl_Production[Job Number],$BI1166),INDEX(tbl_Consulting[Job Number],$BI1166)))&amp;"")</f>
        <v/>
      </c>
      <c r="D1166" s="10">
        <f>IF($BI1166="","",IF($B1166="Onsite",INDEX(tbl_Onsite[Client],$BI1166),IF($B1166="Production",INDEX(tbl_Production[Client],$BI1166),INDEX(tbl_Consulting[Client],$BI1166)))&amp;"")</f>
        <v/>
      </c>
      <c r="E1166" s="10">
        <f>IF($C1166="","",IF(COUNTIF(lst_Jobs,$C1166)&gt;0,"OK","CHECK"))</f>
        <v/>
      </c>
      <c r="F1166" s="10">
        <f>IF($C1166="","",IFERROR(INDEX(lst_JobName,MATCH($C1166,lst_Jobs,0)),""))</f>
        <v/>
      </c>
      <c r="G1166" s="10">
        <f>IF($BI1166="","",IF($B1166="Onsite",INDEX(tbl_Onsite[Job Description],$BI1166),IF($B1166="Production",INDEX(tbl_Production[Job Description],$BI1166),INDEX(tbl_Consulting[Job Description],$BI1166)))&amp;"")</f>
        <v/>
      </c>
      <c r="H1166" s="10">
        <f>IF($BI1166="","",IF($B1166="Onsite",INDEX(tbl_Onsite[Cost Centre],$BI1166),IF($B1166="Production",INDEX(tbl_Production[Cost Centre],$BI1166),INDEX(tbl_Consulting[Cost Centre],$BI1166)))&amp;"")</f>
        <v/>
      </c>
      <c r="I1166" s="10">
        <f>IF($BI1166="","",IF($B1166="Onsite",INDEX(tbl_Onsite[Invoice Type],$BI1166),IF($B1166="Production",INDEX(tbl_Production[Invoice Type],$BI1166),INDEX(tbl_Consulting[Invoice Type],$BI1166)))&amp;"")</f>
        <v/>
      </c>
      <c r="J1166" s="10">
        <f>IF($BI1166="","",IF($B1166="Onsite",INDEX(tbl_Onsite[Tax Code],$BI1166),IF($B1166="Production",INDEX(tbl_Production[Tax Code],$BI1166),INDEX(tbl_Consulting[Tax Code],$BI1166)))&amp;"")</f>
        <v/>
      </c>
      <c r="K1166" s="10">
        <f>IF(H1166="","",IFERROR(INDEX(lst_CCtoGL,MATCH(H1166,lst_CCforGL,0)),""))</f>
        <v/>
      </c>
      <c r="L1166" s="10">
        <f>IF($BI1166="","",IF($B1166="Onsite",INDEX(tbl_Onsite[PO / Reference],$BI1166),IF($B1166="Production",INDEX(tbl_Production[Current RMS No],$BI1166),INDEX(tbl_Consulting[Qwilr Quote],$BI1166)))&amp;"")</f>
        <v/>
      </c>
      <c r="M1166" s="10">
        <f>IF($BI1166="","",IF($B1166="Onsite",INDEX(tbl_Onsite[Notes],$BI1166),IF($B1166="Production",INDEX(tbl_Production[Notes],$BI1166),INDEX(tbl_Consulting[Notes],$BI1166)))&amp;"")</f>
        <v/>
      </c>
      <c r="N1166" s="11">
        <f>IF($BI1166="","",IF(IF($B1166="Onsite",INDEX(tbl_Onsite[Expected Revenue Ex GST],$BI1166),IF($B1166="Production",INDEX(tbl_Production[Expected Revenue Ex GST],$BI1166),INDEX(tbl_Consulting[Expected Revenue Ex GST],$BI1166)))="","",IF($B1166="Onsite",INDEX(tbl_Onsite[Expected Revenue Ex GST],$BI1166),IF($B1166="Production",INDEX(tbl_Production[Expected Revenue Ex GST],$BI1166),INDEX(tbl_Consulting[Expected Revenue Ex GST],$BI1166)))))</f>
        <v/>
      </c>
      <c r="O1166" s="11">
        <f>IF(AND($C1166="",NOT(COUNTA($S1166:$BB1166)&gt;0)),"",SUM(U1166,X1166,AA1166,AD1166,AG1166,AJ1166,AM1166,AP1166,AS1166,AV1166,AY1166,BB1166))</f>
        <v/>
      </c>
      <c r="P1166" s="11">
        <f>IF(O1166="","",N(N1166)-O1166)</f>
        <v/>
      </c>
      <c r="Q1166" s="10">
        <f>IF(O1166="","",IF($C1166="","Invoice on empty job row",IF(N1166="",IF(ROUND(O1166,2)=0,"No dept value","Invoiced - no dept value"),IF(ROUND(O1166,2)=0,"Not invoiced - to invoice",IF(ROUND(P1166,2)=0,"Agrees",IF(P1166&gt;0,"Dept higher - to invoice","Xero higher - check dept"))))))</f>
        <v/>
      </c>
      <c r="R1166" s="10">
        <f>IF(AND($C1166="",NOT(COUNTA($S1166:$BB1166)&gt;0),$BI1166&lt;&gt;""),"",MID(IF($BI1166="","; Row ID not found on the department sheet - a row was deleted","")&amp;IF(AND($C1166="",COUNTA($S1166:$BB1166)&gt;0),"; Invoice entered but the department row has no job number","")&amp;IF(E1166="CHECK","; Job number not in the Xero job list","")&amp;IF(AND($C1166&lt;&gt;"",COUNTIF($C$7:$C$1506,$C1166)&gt;1),"; Job number on more than one row","")&amp;IF(AND($C1166&lt;&gt;"",H1166=""),"; Dept has not set a cost centre","")&amp;IF(AND($C1166&lt;&gt;"",J1166=""),"; Dept has not set a tax code","")&amp;IF(AND($C1166&lt;&gt;"",N1166=""),"; Dept has not entered an expected value","")&amp;IF((IF(OR(COUNTA(S1166:U1166)=0,AND(COUNTA(S1166:U1166)=3,ISNUMBER(U1166))),0,1)+IF(OR(COUNTA(V1166:X1166)=0,AND(COUNTA(V1166:X1166)=3,ISNUMBER(X1166))),0,1)+IF(OR(COUNTA(Y1166:AA1166)=0,AND(COUNTA(Y1166:AA1166)=3,ISNUMBER(AA1166))),0,1)+IF(OR(COUNTA(AB1166:AD1166)=0,AND(COUNTA(AB1166:AD1166)=3,ISNUMBER(AD1166))),0,1)+IF(OR(COUNTA(AE1166:AG1166)=0,AND(COUNTA(AE1166:AG1166)=3,ISNUMBER(AG1166))),0,1)+IF(OR(COUNTA(AH1166:AJ1166)=0,AND(COUNTA(AH1166:AJ1166)=3,ISNUMBER(AJ1166))),0,1)+IF(OR(COUNTA(AK1166:AM1166)=0,AND(COUNTA(AK1166:AM1166)=3,ISNUMBER(AM1166))),0,1)+IF(OR(COUNTA(AN1166:AP1166)=0,AND(COUNTA(AN1166:AP1166)=3,ISNUMBER(AP1166))),0,1)+IF(OR(COUNTA(AQ1166:AS1166)=0,AND(COUNTA(AQ1166:AS1166)=3,ISNUMBER(AS1166))),0,1)+IF(OR(COUNTA(AT1166:AV1166)=0,AND(COUNTA(AT1166:AV1166)=3,ISNUMBER(AV1166))),0,1)+IF(OR(COUNTA(AW1166:AY1166)=0,AND(COUNTA(AW1166:AY1166)=3,ISNUMBER(AY1166))),0,1)+IF(OR(COUNTA(AZ1166:BB1166)=0,AND(COUNTA(AZ1166:BB1166)=3,ISNUMBER(BB1166))),0,1))&gt;0,"; An invoice is incomplete (needs No, Date and a number in Ex GST)","")&amp;IF((IF(T1166="",0,IFERROR(--(EOMONTH(T1166,0)&lt;&gt;S$5),1))+IF(W1166="",0,IFERROR(--(EOMONTH(W1166,0)&lt;&gt;V$5),1))+IF(Z1166="",0,IFERROR(--(EOMONTH(Z1166,0)&lt;&gt;Y$5),1))+IF(AC1166="",0,IFERROR(--(EOMONTH(AC1166,0)&lt;&gt;AB$5),1))+IF(AF1166="",0,IFERROR(--(EOMONTH(AF1166,0)&lt;&gt;AE$5),1))+IF(AI1166="",0,IFERROR(--(EOMONTH(AI1166,0)&lt;&gt;AH$5),1))+IF(AL1166="",0,IFERROR(--(EOMONTH(AL1166,0)&lt;&gt;AK$5),1))+IF(AO1166="",0,IFERROR(--(EOMONTH(AO1166,0)&lt;&gt;AN$5),1))+IF(AR1166="",0,IFERROR(--(EOMONTH(AR1166,0)&lt;&gt;AQ$5),1))+IF(AU1166="",0,IFERROR(--(EOMONTH(AU1166,0)&lt;&gt;AT$5),1))+IF(AX1166="",0,IFERROR(--(EOMONTH(AX1166,0)&lt;&gt;AW$5),1))+IF(BA1166="",0,IFERROR(--(EOMONTH(BA1166,0)&lt;&gt;AZ$5),1)))&gt;0,"; An invoice date is not in the month it is typed under",""),3,500))</f>
        <v/>
      </c>
      <c r="S1166" s="12" t="n"/>
      <c r="T1166" s="13" t="n"/>
      <c r="U1166" s="14" t="n"/>
      <c r="V1166" s="12" t="n"/>
      <c r="W1166" s="13" t="n"/>
      <c r="X1166" s="14" t="n"/>
      <c r="Y1166" s="12" t="n"/>
      <c r="Z1166" s="13" t="n"/>
      <c r="AA1166" s="14" t="n"/>
      <c r="AB1166" s="12" t="n"/>
      <c r="AC1166" s="13" t="n"/>
      <c r="AD1166" s="14" t="n"/>
      <c r="AE1166" s="12" t="n"/>
      <c r="AF1166" s="13" t="n"/>
      <c r="AG1166" s="14" t="n"/>
      <c r="AH1166" s="12" t="n"/>
      <c r="AI1166" s="13" t="n"/>
      <c r="AJ1166" s="14" t="n"/>
      <c r="AK1166" s="12" t="n"/>
      <c r="AL1166" s="13" t="n"/>
      <c r="AM1166" s="14" t="n"/>
      <c r="AN1166" s="12" t="n"/>
      <c r="AO1166" s="13" t="n"/>
      <c r="AP1166" s="14" t="n"/>
      <c r="AQ1166" s="12" t="n"/>
      <c r="AR1166" s="13" t="n"/>
      <c r="AS1166" s="14" t="n"/>
      <c r="AT1166" s="12" t="n"/>
      <c r="AU1166" s="13" t="n"/>
      <c r="AV1166" s="14" t="n"/>
      <c r="AW1166" s="12" t="n"/>
      <c r="AX1166" s="13" t="n"/>
      <c r="AY1166" s="14" t="n"/>
      <c r="AZ1166" s="12" t="n"/>
      <c r="BA1166" s="13" t="n"/>
      <c r="BB1166" s="14" t="n"/>
      <c r="BC1166" s="11">
        <f>IF(O1166="","",IF(J1166="GST 10%",ROUND(O1166*set_GSTRate,2),0))</f>
        <v/>
      </c>
      <c r="BD1166" s="11">
        <f>IF(O1166="","",O1166+BC1166)</f>
        <v/>
      </c>
      <c r="BE1166" s="15">
        <f>IF(O1166="","",COUNTA(S1166,V1166,Y1166,AB1166,AE1166,AH1166,AK1166,AN1166,AQ1166,AT1166,AW1166,AZ1166))</f>
        <v/>
      </c>
      <c r="BF1166" s="16">
        <f>IF(COUNT(T1166,W1166,Z1166,AC1166,AF1166,AI1166,AL1166,AO1166,AR1166,AU1166,AX1166,BA1166)=0,"",MAX(T1166,W1166,Z1166,AC1166,AF1166,AI1166,AL1166,AO1166,AR1166,AU1166,AX1166,BA1166))</f>
        <v/>
      </c>
      <c r="BG1166" s="10">
        <f>MID(IF(S1166="","",", "&amp;S1166)&amp;IF(V1166="","",", "&amp;V1166)&amp;IF(Y1166="","",", "&amp;Y1166)&amp;IF(AB1166="","",", "&amp;AB1166)&amp;IF(AE1166="","",", "&amp;AE1166)&amp;IF(AH1166="","",", "&amp;AH1166)&amp;IF(AK1166="","",", "&amp;AK1166)&amp;IF(AN1166="","",", "&amp;AN1166)&amp;IF(AQ1166="","",", "&amp;AQ1166)&amp;IF(AT1166="","",", "&amp;AT1166)&amp;IF(AW1166="","",", "&amp;AW1166)&amp;IF(AZ1166="","",", "&amp;AZ1166),3,500)</f>
        <v/>
      </c>
      <c r="BH1166" s="12" t="n"/>
      <c r="BI1166" s="15">
        <f>IFERROR(MATCH($A1166,IF($B1166="Onsite",tbl_Onsite[Row ID],IF($B1166="Production",tbl_Production[Row ID],tbl_Consulting[Row ID])),0),"")</f>
        <v/>
      </c>
    </row>
    <row r="1167">
      <c r="A1167" s="10" t="inlineStr">
        <is>
          <t>CON-0161</t>
        </is>
      </c>
      <c r="B1167" s="10" t="inlineStr">
        <is>
          <t>Consulting</t>
        </is>
      </c>
      <c r="C1167" s="10">
        <f>IF($BI1167="","",IF($B1167="Onsite",INDEX(tbl_Onsite[Job Number],$BI1167),IF($B1167="Production",INDEX(tbl_Production[Job Number],$BI1167),INDEX(tbl_Consulting[Job Number],$BI1167)))&amp;"")</f>
        <v/>
      </c>
      <c r="D1167" s="10">
        <f>IF($BI1167="","",IF($B1167="Onsite",INDEX(tbl_Onsite[Client],$BI1167),IF($B1167="Production",INDEX(tbl_Production[Client],$BI1167),INDEX(tbl_Consulting[Client],$BI1167)))&amp;"")</f>
        <v/>
      </c>
      <c r="E1167" s="10">
        <f>IF($C1167="","",IF(COUNTIF(lst_Jobs,$C1167)&gt;0,"OK","CHECK"))</f>
        <v/>
      </c>
      <c r="F1167" s="10">
        <f>IF($C1167="","",IFERROR(INDEX(lst_JobName,MATCH($C1167,lst_Jobs,0)),""))</f>
        <v/>
      </c>
      <c r="G1167" s="10">
        <f>IF($BI1167="","",IF($B1167="Onsite",INDEX(tbl_Onsite[Job Description],$BI1167),IF($B1167="Production",INDEX(tbl_Production[Job Description],$BI1167),INDEX(tbl_Consulting[Job Description],$BI1167)))&amp;"")</f>
        <v/>
      </c>
      <c r="H1167" s="10">
        <f>IF($BI1167="","",IF($B1167="Onsite",INDEX(tbl_Onsite[Cost Centre],$BI1167),IF($B1167="Production",INDEX(tbl_Production[Cost Centre],$BI1167),INDEX(tbl_Consulting[Cost Centre],$BI1167)))&amp;"")</f>
        <v/>
      </c>
      <c r="I1167" s="10">
        <f>IF($BI1167="","",IF($B1167="Onsite",INDEX(tbl_Onsite[Invoice Type],$BI1167),IF($B1167="Production",INDEX(tbl_Production[Invoice Type],$BI1167),INDEX(tbl_Consulting[Invoice Type],$BI1167)))&amp;"")</f>
        <v/>
      </c>
      <c r="J1167" s="10">
        <f>IF($BI1167="","",IF($B1167="Onsite",INDEX(tbl_Onsite[Tax Code],$BI1167),IF($B1167="Production",INDEX(tbl_Production[Tax Code],$BI1167),INDEX(tbl_Consulting[Tax Code],$BI1167)))&amp;"")</f>
        <v/>
      </c>
      <c r="K1167" s="10">
        <f>IF(H1167="","",IFERROR(INDEX(lst_CCtoGL,MATCH(H1167,lst_CCforGL,0)),""))</f>
        <v/>
      </c>
      <c r="L1167" s="10">
        <f>IF($BI1167="","",IF($B1167="Onsite",INDEX(tbl_Onsite[PO / Reference],$BI1167),IF($B1167="Production",INDEX(tbl_Production[Current RMS No],$BI1167),INDEX(tbl_Consulting[Qwilr Quote],$BI1167)))&amp;"")</f>
        <v/>
      </c>
      <c r="M1167" s="10">
        <f>IF($BI1167="","",IF($B1167="Onsite",INDEX(tbl_Onsite[Notes],$BI1167),IF($B1167="Production",INDEX(tbl_Production[Notes],$BI1167),INDEX(tbl_Consulting[Notes],$BI1167)))&amp;"")</f>
        <v/>
      </c>
      <c r="N1167" s="11">
        <f>IF($BI1167="","",IF(IF($B1167="Onsite",INDEX(tbl_Onsite[Expected Revenue Ex GST],$BI1167),IF($B1167="Production",INDEX(tbl_Production[Expected Revenue Ex GST],$BI1167),INDEX(tbl_Consulting[Expected Revenue Ex GST],$BI1167)))="","",IF($B1167="Onsite",INDEX(tbl_Onsite[Expected Revenue Ex GST],$BI1167),IF($B1167="Production",INDEX(tbl_Production[Expected Revenue Ex GST],$BI1167),INDEX(tbl_Consulting[Expected Revenue Ex GST],$BI1167)))))</f>
        <v/>
      </c>
      <c r="O1167" s="11">
        <f>IF(AND($C1167="",NOT(COUNTA($S1167:$BB1167)&gt;0)),"",SUM(U1167,X1167,AA1167,AD1167,AG1167,AJ1167,AM1167,AP1167,AS1167,AV1167,AY1167,BB1167))</f>
        <v/>
      </c>
      <c r="P1167" s="11">
        <f>IF(O1167="","",N(N1167)-O1167)</f>
        <v/>
      </c>
      <c r="Q1167" s="10">
        <f>IF(O1167="","",IF($C1167="","Invoice on empty job row",IF(N1167="",IF(ROUND(O1167,2)=0,"No dept value","Invoiced - no dept value"),IF(ROUND(O1167,2)=0,"Not invoiced - to invoice",IF(ROUND(P1167,2)=0,"Agrees",IF(P1167&gt;0,"Dept higher - to invoice","Xero higher - check dept"))))))</f>
        <v/>
      </c>
      <c r="R1167" s="10">
        <f>IF(AND($C1167="",NOT(COUNTA($S1167:$BB1167)&gt;0),$BI1167&lt;&gt;""),"",MID(IF($BI1167="","; Row ID not found on the department sheet - a row was deleted","")&amp;IF(AND($C1167="",COUNTA($S1167:$BB1167)&gt;0),"; Invoice entered but the department row has no job number","")&amp;IF(E1167="CHECK","; Job number not in the Xero job list","")&amp;IF(AND($C1167&lt;&gt;"",COUNTIF($C$7:$C$1506,$C1167)&gt;1),"; Job number on more than one row","")&amp;IF(AND($C1167&lt;&gt;"",H1167=""),"; Dept has not set a cost centre","")&amp;IF(AND($C1167&lt;&gt;"",J1167=""),"; Dept has not set a tax code","")&amp;IF(AND($C1167&lt;&gt;"",N1167=""),"; Dept has not entered an expected value","")&amp;IF((IF(OR(COUNTA(S1167:U1167)=0,AND(COUNTA(S1167:U1167)=3,ISNUMBER(U1167))),0,1)+IF(OR(COUNTA(V1167:X1167)=0,AND(COUNTA(V1167:X1167)=3,ISNUMBER(X1167))),0,1)+IF(OR(COUNTA(Y1167:AA1167)=0,AND(COUNTA(Y1167:AA1167)=3,ISNUMBER(AA1167))),0,1)+IF(OR(COUNTA(AB1167:AD1167)=0,AND(COUNTA(AB1167:AD1167)=3,ISNUMBER(AD1167))),0,1)+IF(OR(COUNTA(AE1167:AG1167)=0,AND(COUNTA(AE1167:AG1167)=3,ISNUMBER(AG1167))),0,1)+IF(OR(COUNTA(AH1167:AJ1167)=0,AND(COUNTA(AH1167:AJ1167)=3,ISNUMBER(AJ1167))),0,1)+IF(OR(COUNTA(AK1167:AM1167)=0,AND(COUNTA(AK1167:AM1167)=3,ISNUMBER(AM1167))),0,1)+IF(OR(COUNTA(AN1167:AP1167)=0,AND(COUNTA(AN1167:AP1167)=3,ISNUMBER(AP1167))),0,1)+IF(OR(COUNTA(AQ1167:AS1167)=0,AND(COUNTA(AQ1167:AS1167)=3,ISNUMBER(AS1167))),0,1)+IF(OR(COUNTA(AT1167:AV1167)=0,AND(COUNTA(AT1167:AV1167)=3,ISNUMBER(AV1167))),0,1)+IF(OR(COUNTA(AW1167:AY1167)=0,AND(COUNTA(AW1167:AY1167)=3,ISNUMBER(AY1167))),0,1)+IF(OR(COUNTA(AZ1167:BB1167)=0,AND(COUNTA(AZ1167:BB1167)=3,ISNUMBER(BB1167))),0,1))&gt;0,"; An invoice is incomplete (needs No, Date and a number in Ex GST)","")&amp;IF((IF(T1167="",0,IFERROR(--(EOMONTH(T1167,0)&lt;&gt;S$5),1))+IF(W1167="",0,IFERROR(--(EOMONTH(W1167,0)&lt;&gt;V$5),1))+IF(Z1167="",0,IFERROR(--(EOMONTH(Z1167,0)&lt;&gt;Y$5),1))+IF(AC1167="",0,IFERROR(--(EOMONTH(AC1167,0)&lt;&gt;AB$5),1))+IF(AF1167="",0,IFERROR(--(EOMONTH(AF1167,0)&lt;&gt;AE$5),1))+IF(AI1167="",0,IFERROR(--(EOMONTH(AI1167,0)&lt;&gt;AH$5),1))+IF(AL1167="",0,IFERROR(--(EOMONTH(AL1167,0)&lt;&gt;AK$5),1))+IF(AO1167="",0,IFERROR(--(EOMONTH(AO1167,0)&lt;&gt;AN$5),1))+IF(AR1167="",0,IFERROR(--(EOMONTH(AR1167,0)&lt;&gt;AQ$5),1))+IF(AU1167="",0,IFERROR(--(EOMONTH(AU1167,0)&lt;&gt;AT$5),1))+IF(AX1167="",0,IFERROR(--(EOMONTH(AX1167,0)&lt;&gt;AW$5),1))+IF(BA1167="",0,IFERROR(--(EOMONTH(BA1167,0)&lt;&gt;AZ$5),1)))&gt;0,"; An invoice date is not in the month it is typed under",""),3,500))</f>
        <v/>
      </c>
      <c r="S1167" s="12" t="n"/>
      <c r="T1167" s="13" t="n"/>
      <c r="U1167" s="14" t="n"/>
      <c r="V1167" s="12" t="n"/>
      <c r="W1167" s="13" t="n"/>
      <c r="X1167" s="14" t="n"/>
      <c r="Y1167" s="12" t="n"/>
      <c r="Z1167" s="13" t="n"/>
      <c r="AA1167" s="14" t="n"/>
      <c r="AB1167" s="12" t="n"/>
      <c r="AC1167" s="13" t="n"/>
      <c r="AD1167" s="14" t="n"/>
      <c r="AE1167" s="12" t="n"/>
      <c r="AF1167" s="13" t="n"/>
      <c r="AG1167" s="14" t="n"/>
      <c r="AH1167" s="12" t="n"/>
      <c r="AI1167" s="13" t="n"/>
      <c r="AJ1167" s="14" t="n"/>
      <c r="AK1167" s="12" t="n"/>
      <c r="AL1167" s="13" t="n"/>
      <c r="AM1167" s="14" t="n"/>
      <c r="AN1167" s="12" t="n"/>
      <c r="AO1167" s="13" t="n"/>
      <c r="AP1167" s="14" t="n"/>
      <c r="AQ1167" s="12" t="n"/>
      <c r="AR1167" s="13" t="n"/>
      <c r="AS1167" s="14" t="n"/>
      <c r="AT1167" s="12" t="n"/>
      <c r="AU1167" s="13" t="n"/>
      <c r="AV1167" s="14" t="n"/>
      <c r="AW1167" s="12" t="n"/>
      <c r="AX1167" s="13" t="n"/>
      <c r="AY1167" s="14" t="n"/>
      <c r="AZ1167" s="12" t="n"/>
      <c r="BA1167" s="13" t="n"/>
      <c r="BB1167" s="14" t="n"/>
      <c r="BC1167" s="11">
        <f>IF(O1167="","",IF(J1167="GST 10%",ROUND(O1167*set_GSTRate,2),0))</f>
        <v/>
      </c>
      <c r="BD1167" s="11">
        <f>IF(O1167="","",O1167+BC1167)</f>
        <v/>
      </c>
      <c r="BE1167" s="15">
        <f>IF(O1167="","",COUNTA(S1167,V1167,Y1167,AB1167,AE1167,AH1167,AK1167,AN1167,AQ1167,AT1167,AW1167,AZ1167))</f>
        <v/>
      </c>
      <c r="BF1167" s="16">
        <f>IF(COUNT(T1167,W1167,Z1167,AC1167,AF1167,AI1167,AL1167,AO1167,AR1167,AU1167,AX1167,BA1167)=0,"",MAX(T1167,W1167,Z1167,AC1167,AF1167,AI1167,AL1167,AO1167,AR1167,AU1167,AX1167,BA1167))</f>
        <v/>
      </c>
      <c r="BG1167" s="10">
        <f>MID(IF(S1167="","",", "&amp;S1167)&amp;IF(V1167="","",", "&amp;V1167)&amp;IF(Y1167="","",", "&amp;Y1167)&amp;IF(AB1167="","",", "&amp;AB1167)&amp;IF(AE1167="","",", "&amp;AE1167)&amp;IF(AH1167="","",", "&amp;AH1167)&amp;IF(AK1167="","",", "&amp;AK1167)&amp;IF(AN1167="","",", "&amp;AN1167)&amp;IF(AQ1167="","",", "&amp;AQ1167)&amp;IF(AT1167="","",", "&amp;AT1167)&amp;IF(AW1167="","",", "&amp;AW1167)&amp;IF(AZ1167="","",", "&amp;AZ1167),3,500)</f>
        <v/>
      </c>
      <c r="BH1167" s="12" t="n"/>
      <c r="BI1167" s="15">
        <f>IFERROR(MATCH($A1167,IF($B1167="Onsite",tbl_Onsite[Row ID],IF($B1167="Production",tbl_Production[Row ID],tbl_Consulting[Row ID])),0),"")</f>
        <v/>
      </c>
    </row>
    <row r="1168">
      <c r="A1168" s="10" t="inlineStr">
        <is>
          <t>CON-0162</t>
        </is>
      </c>
      <c r="B1168" s="10" t="inlineStr">
        <is>
          <t>Consulting</t>
        </is>
      </c>
      <c r="C1168" s="10">
        <f>IF($BI1168="","",IF($B1168="Onsite",INDEX(tbl_Onsite[Job Number],$BI1168),IF($B1168="Production",INDEX(tbl_Production[Job Number],$BI1168),INDEX(tbl_Consulting[Job Number],$BI1168)))&amp;"")</f>
        <v/>
      </c>
      <c r="D1168" s="10">
        <f>IF($BI1168="","",IF($B1168="Onsite",INDEX(tbl_Onsite[Client],$BI1168),IF($B1168="Production",INDEX(tbl_Production[Client],$BI1168),INDEX(tbl_Consulting[Client],$BI1168)))&amp;"")</f>
        <v/>
      </c>
      <c r="E1168" s="10">
        <f>IF($C1168="","",IF(COUNTIF(lst_Jobs,$C1168)&gt;0,"OK","CHECK"))</f>
        <v/>
      </c>
      <c r="F1168" s="10">
        <f>IF($C1168="","",IFERROR(INDEX(lst_JobName,MATCH($C1168,lst_Jobs,0)),""))</f>
        <v/>
      </c>
      <c r="G1168" s="10">
        <f>IF($BI1168="","",IF($B1168="Onsite",INDEX(tbl_Onsite[Job Description],$BI1168),IF($B1168="Production",INDEX(tbl_Production[Job Description],$BI1168),INDEX(tbl_Consulting[Job Description],$BI1168)))&amp;"")</f>
        <v/>
      </c>
      <c r="H1168" s="10">
        <f>IF($BI1168="","",IF($B1168="Onsite",INDEX(tbl_Onsite[Cost Centre],$BI1168),IF($B1168="Production",INDEX(tbl_Production[Cost Centre],$BI1168),INDEX(tbl_Consulting[Cost Centre],$BI1168)))&amp;"")</f>
        <v/>
      </c>
      <c r="I1168" s="10">
        <f>IF($BI1168="","",IF($B1168="Onsite",INDEX(tbl_Onsite[Invoice Type],$BI1168),IF($B1168="Production",INDEX(tbl_Production[Invoice Type],$BI1168),INDEX(tbl_Consulting[Invoice Type],$BI1168)))&amp;"")</f>
        <v/>
      </c>
      <c r="J1168" s="10">
        <f>IF($BI1168="","",IF($B1168="Onsite",INDEX(tbl_Onsite[Tax Code],$BI1168),IF($B1168="Production",INDEX(tbl_Production[Tax Code],$BI1168),INDEX(tbl_Consulting[Tax Code],$BI1168)))&amp;"")</f>
        <v/>
      </c>
      <c r="K1168" s="10">
        <f>IF(H1168="","",IFERROR(INDEX(lst_CCtoGL,MATCH(H1168,lst_CCforGL,0)),""))</f>
        <v/>
      </c>
      <c r="L1168" s="10">
        <f>IF($BI1168="","",IF($B1168="Onsite",INDEX(tbl_Onsite[PO / Reference],$BI1168),IF($B1168="Production",INDEX(tbl_Production[Current RMS No],$BI1168),INDEX(tbl_Consulting[Qwilr Quote],$BI1168)))&amp;"")</f>
        <v/>
      </c>
      <c r="M1168" s="10">
        <f>IF($BI1168="","",IF($B1168="Onsite",INDEX(tbl_Onsite[Notes],$BI1168),IF($B1168="Production",INDEX(tbl_Production[Notes],$BI1168),INDEX(tbl_Consulting[Notes],$BI1168)))&amp;"")</f>
        <v/>
      </c>
      <c r="N1168" s="11">
        <f>IF($BI1168="","",IF(IF($B1168="Onsite",INDEX(tbl_Onsite[Expected Revenue Ex GST],$BI1168),IF($B1168="Production",INDEX(tbl_Production[Expected Revenue Ex GST],$BI1168),INDEX(tbl_Consulting[Expected Revenue Ex GST],$BI1168)))="","",IF($B1168="Onsite",INDEX(tbl_Onsite[Expected Revenue Ex GST],$BI1168),IF($B1168="Production",INDEX(tbl_Production[Expected Revenue Ex GST],$BI1168),INDEX(tbl_Consulting[Expected Revenue Ex GST],$BI1168)))))</f>
        <v/>
      </c>
      <c r="O1168" s="11">
        <f>IF(AND($C1168="",NOT(COUNTA($S1168:$BB1168)&gt;0)),"",SUM(U1168,X1168,AA1168,AD1168,AG1168,AJ1168,AM1168,AP1168,AS1168,AV1168,AY1168,BB1168))</f>
        <v/>
      </c>
      <c r="P1168" s="11">
        <f>IF(O1168="","",N(N1168)-O1168)</f>
        <v/>
      </c>
      <c r="Q1168" s="10">
        <f>IF(O1168="","",IF($C1168="","Invoice on empty job row",IF(N1168="",IF(ROUND(O1168,2)=0,"No dept value","Invoiced - no dept value"),IF(ROUND(O1168,2)=0,"Not invoiced - to invoice",IF(ROUND(P1168,2)=0,"Agrees",IF(P1168&gt;0,"Dept higher - to invoice","Xero higher - check dept"))))))</f>
        <v/>
      </c>
      <c r="R1168" s="10">
        <f>IF(AND($C1168="",NOT(COUNTA($S1168:$BB1168)&gt;0),$BI1168&lt;&gt;""),"",MID(IF($BI1168="","; Row ID not found on the department sheet - a row was deleted","")&amp;IF(AND($C1168="",COUNTA($S1168:$BB1168)&gt;0),"; Invoice entered but the department row has no job number","")&amp;IF(E1168="CHECK","; Job number not in the Xero job list","")&amp;IF(AND($C1168&lt;&gt;"",COUNTIF($C$7:$C$1506,$C1168)&gt;1),"; Job number on more than one row","")&amp;IF(AND($C1168&lt;&gt;"",H1168=""),"; Dept has not set a cost centre","")&amp;IF(AND($C1168&lt;&gt;"",J1168=""),"; Dept has not set a tax code","")&amp;IF(AND($C1168&lt;&gt;"",N1168=""),"; Dept has not entered an expected value","")&amp;IF((IF(OR(COUNTA(S1168:U1168)=0,AND(COUNTA(S1168:U1168)=3,ISNUMBER(U1168))),0,1)+IF(OR(COUNTA(V1168:X1168)=0,AND(COUNTA(V1168:X1168)=3,ISNUMBER(X1168))),0,1)+IF(OR(COUNTA(Y1168:AA1168)=0,AND(COUNTA(Y1168:AA1168)=3,ISNUMBER(AA1168))),0,1)+IF(OR(COUNTA(AB1168:AD1168)=0,AND(COUNTA(AB1168:AD1168)=3,ISNUMBER(AD1168))),0,1)+IF(OR(COUNTA(AE1168:AG1168)=0,AND(COUNTA(AE1168:AG1168)=3,ISNUMBER(AG1168))),0,1)+IF(OR(COUNTA(AH1168:AJ1168)=0,AND(COUNTA(AH1168:AJ1168)=3,ISNUMBER(AJ1168))),0,1)+IF(OR(COUNTA(AK1168:AM1168)=0,AND(COUNTA(AK1168:AM1168)=3,ISNUMBER(AM1168))),0,1)+IF(OR(COUNTA(AN1168:AP1168)=0,AND(COUNTA(AN1168:AP1168)=3,ISNUMBER(AP1168))),0,1)+IF(OR(COUNTA(AQ1168:AS1168)=0,AND(COUNTA(AQ1168:AS1168)=3,ISNUMBER(AS1168))),0,1)+IF(OR(COUNTA(AT1168:AV1168)=0,AND(COUNTA(AT1168:AV1168)=3,ISNUMBER(AV1168))),0,1)+IF(OR(COUNTA(AW1168:AY1168)=0,AND(COUNTA(AW1168:AY1168)=3,ISNUMBER(AY1168))),0,1)+IF(OR(COUNTA(AZ1168:BB1168)=0,AND(COUNTA(AZ1168:BB1168)=3,ISNUMBER(BB1168))),0,1))&gt;0,"; An invoice is incomplete (needs No, Date and a number in Ex GST)","")&amp;IF((IF(T1168="",0,IFERROR(--(EOMONTH(T1168,0)&lt;&gt;S$5),1))+IF(W1168="",0,IFERROR(--(EOMONTH(W1168,0)&lt;&gt;V$5),1))+IF(Z1168="",0,IFERROR(--(EOMONTH(Z1168,0)&lt;&gt;Y$5),1))+IF(AC1168="",0,IFERROR(--(EOMONTH(AC1168,0)&lt;&gt;AB$5),1))+IF(AF1168="",0,IFERROR(--(EOMONTH(AF1168,0)&lt;&gt;AE$5),1))+IF(AI1168="",0,IFERROR(--(EOMONTH(AI1168,0)&lt;&gt;AH$5),1))+IF(AL1168="",0,IFERROR(--(EOMONTH(AL1168,0)&lt;&gt;AK$5),1))+IF(AO1168="",0,IFERROR(--(EOMONTH(AO1168,0)&lt;&gt;AN$5),1))+IF(AR1168="",0,IFERROR(--(EOMONTH(AR1168,0)&lt;&gt;AQ$5),1))+IF(AU1168="",0,IFERROR(--(EOMONTH(AU1168,0)&lt;&gt;AT$5),1))+IF(AX1168="",0,IFERROR(--(EOMONTH(AX1168,0)&lt;&gt;AW$5),1))+IF(BA1168="",0,IFERROR(--(EOMONTH(BA1168,0)&lt;&gt;AZ$5),1)))&gt;0,"; An invoice date is not in the month it is typed under",""),3,500))</f>
        <v/>
      </c>
      <c r="S1168" s="12" t="n"/>
      <c r="T1168" s="13" t="n"/>
      <c r="U1168" s="14" t="n"/>
      <c r="V1168" s="12" t="n"/>
      <c r="W1168" s="13" t="n"/>
      <c r="X1168" s="14" t="n"/>
      <c r="Y1168" s="12" t="n"/>
      <c r="Z1168" s="13" t="n"/>
      <c r="AA1168" s="14" t="n"/>
      <c r="AB1168" s="12" t="n"/>
      <c r="AC1168" s="13" t="n"/>
      <c r="AD1168" s="14" t="n"/>
      <c r="AE1168" s="12" t="n"/>
      <c r="AF1168" s="13" t="n"/>
      <c r="AG1168" s="14" t="n"/>
      <c r="AH1168" s="12" t="n"/>
      <c r="AI1168" s="13" t="n"/>
      <c r="AJ1168" s="14" t="n"/>
      <c r="AK1168" s="12" t="n"/>
      <c r="AL1168" s="13" t="n"/>
      <c r="AM1168" s="14" t="n"/>
      <c r="AN1168" s="12" t="n"/>
      <c r="AO1168" s="13" t="n"/>
      <c r="AP1168" s="14" t="n"/>
      <c r="AQ1168" s="12" t="n"/>
      <c r="AR1168" s="13" t="n"/>
      <c r="AS1168" s="14" t="n"/>
      <c r="AT1168" s="12" t="n"/>
      <c r="AU1168" s="13" t="n"/>
      <c r="AV1168" s="14" t="n"/>
      <c r="AW1168" s="12" t="n"/>
      <c r="AX1168" s="13" t="n"/>
      <c r="AY1168" s="14" t="n"/>
      <c r="AZ1168" s="12" t="n"/>
      <c r="BA1168" s="13" t="n"/>
      <c r="BB1168" s="14" t="n"/>
      <c r="BC1168" s="11">
        <f>IF(O1168="","",IF(J1168="GST 10%",ROUND(O1168*set_GSTRate,2),0))</f>
        <v/>
      </c>
      <c r="BD1168" s="11">
        <f>IF(O1168="","",O1168+BC1168)</f>
        <v/>
      </c>
      <c r="BE1168" s="15">
        <f>IF(O1168="","",COUNTA(S1168,V1168,Y1168,AB1168,AE1168,AH1168,AK1168,AN1168,AQ1168,AT1168,AW1168,AZ1168))</f>
        <v/>
      </c>
      <c r="BF1168" s="16">
        <f>IF(COUNT(T1168,W1168,Z1168,AC1168,AF1168,AI1168,AL1168,AO1168,AR1168,AU1168,AX1168,BA1168)=0,"",MAX(T1168,W1168,Z1168,AC1168,AF1168,AI1168,AL1168,AO1168,AR1168,AU1168,AX1168,BA1168))</f>
        <v/>
      </c>
      <c r="BG1168" s="10">
        <f>MID(IF(S1168="","",", "&amp;S1168)&amp;IF(V1168="","",", "&amp;V1168)&amp;IF(Y1168="","",", "&amp;Y1168)&amp;IF(AB1168="","",", "&amp;AB1168)&amp;IF(AE1168="","",", "&amp;AE1168)&amp;IF(AH1168="","",", "&amp;AH1168)&amp;IF(AK1168="","",", "&amp;AK1168)&amp;IF(AN1168="","",", "&amp;AN1168)&amp;IF(AQ1168="","",", "&amp;AQ1168)&amp;IF(AT1168="","",", "&amp;AT1168)&amp;IF(AW1168="","",", "&amp;AW1168)&amp;IF(AZ1168="","",", "&amp;AZ1168),3,500)</f>
        <v/>
      </c>
      <c r="BH1168" s="12" t="n"/>
      <c r="BI1168" s="15">
        <f>IFERROR(MATCH($A1168,IF($B1168="Onsite",tbl_Onsite[Row ID],IF($B1168="Production",tbl_Production[Row ID],tbl_Consulting[Row ID])),0),"")</f>
        <v/>
      </c>
    </row>
    <row r="1169">
      <c r="A1169" s="10" t="inlineStr">
        <is>
          <t>CON-0163</t>
        </is>
      </c>
      <c r="B1169" s="10" t="inlineStr">
        <is>
          <t>Consulting</t>
        </is>
      </c>
      <c r="C1169" s="10">
        <f>IF($BI1169="","",IF($B1169="Onsite",INDEX(tbl_Onsite[Job Number],$BI1169),IF($B1169="Production",INDEX(tbl_Production[Job Number],$BI1169),INDEX(tbl_Consulting[Job Number],$BI1169)))&amp;"")</f>
        <v/>
      </c>
      <c r="D1169" s="10">
        <f>IF($BI1169="","",IF($B1169="Onsite",INDEX(tbl_Onsite[Client],$BI1169),IF($B1169="Production",INDEX(tbl_Production[Client],$BI1169),INDEX(tbl_Consulting[Client],$BI1169)))&amp;"")</f>
        <v/>
      </c>
      <c r="E1169" s="10">
        <f>IF($C1169="","",IF(COUNTIF(lst_Jobs,$C1169)&gt;0,"OK","CHECK"))</f>
        <v/>
      </c>
      <c r="F1169" s="10">
        <f>IF($C1169="","",IFERROR(INDEX(lst_JobName,MATCH($C1169,lst_Jobs,0)),""))</f>
        <v/>
      </c>
      <c r="G1169" s="10">
        <f>IF($BI1169="","",IF($B1169="Onsite",INDEX(tbl_Onsite[Job Description],$BI1169),IF($B1169="Production",INDEX(tbl_Production[Job Description],$BI1169),INDEX(tbl_Consulting[Job Description],$BI1169)))&amp;"")</f>
        <v/>
      </c>
      <c r="H1169" s="10">
        <f>IF($BI1169="","",IF($B1169="Onsite",INDEX(tbl_Onsite[Cost Centre],$BI1169),IF($B1169="Production",INDEX(tbl_Production[Cost Centre],$BI1169),INDEX(tbl_Consulting[Cost Centre],$BI1169)))&amp;"")</f>
        <v/>
      </c>
      <c r="I1169" s="10">
        <f>IF($BI1169="","",IF($B1169="Onsite",INDEX(tbl_Onsite[Invoice Type],$BI1169),IF($B1169="Production",INDEX(tbl_Production[Invoice Type],$BI1169),INDEX(tbl_Consulting[Invoice Type],$BI1169)))&amp;"")</f>
        <v/>
      </c>
      <c r="J1169" s="10">
        <f>IF($BI1169="","",IF($B1169="Onsite",INDEX(tbl_Onsite[Tax Code],$BI1169),IF($B1169="Production",INDEX(tbl_Production[Tax Code],$BI1169),INDEX(tbl_Consulting[Tax Code],$BI1169)))&amp;"")</f>
        <v/>
      </c>
      <c r="K1169" s="10">
        <f>IF(H1169="","",IFERROR(INDEX(lst_CCtoGL,MATCH(H1169,lst_CCforGL,0)),""))</f>
        <v/>
      </c>
      <c r="L1169" s="10">
        <f>IF($BI1169="","",IF($B1169="Onsite",INDEX(tbl_Onsite[PO / Reference],$BI1169),IF($B1169="Production",INDEX(tbl_Production[Current RMS No],$BI1169),INDEX(tbl_Consulting[Qwilr Quote],$BI1169)))&amp;"")</f>
        <v/>
      </c>
      <c r="M1169" s="10">
        <f>IF($BI1169="","",IF($B1169="Onsite",INDEX(tbl_Onsite[Notes],$BI1169),IF($B1169="Production",INDEX(tbl_Production[Notes],$BI1169),INDEX(tbl_Consulting[Notes],$BI1169)))&amp;"")</f>
        <v/>
      </c>
      <c r="N1169" s="11">
        <f>IF($BI1169="","",IF(IF($B1169="Onsite",INDEX(tbl_Onsite[Expected Revenue Ex GST],$BI1169),IF($B1169="Production",INDEX(tbl_Production[Expected Revenue Ex GST],$BI1169),INDEX(tbl_Consulting[Expected Revenue Ex GST],$BI1169)))="","",IF($B1169="Onsite",INDEX(tbl_Onsite[Expected Revenue Ex GST],$BI1169),IF($B1169="Production",INDEX(tbl_Production[Expected Revenue Ex GST],$BI1169),INDEX(tbl_Consulting[Expected Revenue Ex GST],$BI1169)))))</f>
        <v/>
      </c>
      <c r="O1169" s="11">
        <f>IF(AND($C1169="",NOT(COUNTA($S1169:$BB1169)&gt;0)),"",SUM(U1169,X1169,AA1169,AD1169,AG1169,AJ1169,AM1169,AP1169,AS1169,AV1169,AY1169,BB1169))</f>
        <v/>
      </c>
      <c r="P1169" s="11">
        <f>IF(O1169="","",N(N1169)-O1169)</f>
        <v/>
      </c>
      <c r="Q1169" s="10">
        <f>IF(O1169="","",IF($C1169="","Invoice on empty job row",IF(N1169="",IF(ROUND(O1169,2)=0,"No dept value","Invoiced - no dept value"),IF(ROUND(O1169,2)=0,"Not invoiced - to invoice",IF(ROUND(P1169,2)=0,"Agrees",IF(P1169&gt;0,"Dept higher - to invoice","Xero higher - check dept"))))))</f>
        <v/>
      </c>
      <c r="R1169" s="10">
        <f>IF(AND($C1169="",NOT(COUNTA($S1169:$BB1169)&gt;0),$BI1169&lt;&gt;""),"",MID(IF($BI1169="","; Row ID not found on the department sheet - a row was deleted","")&amp;IF(AND($C1169="",COUNTA($S1169:$BB1169)&gt;0),"; Invoice entered but the department row has no job number","")&amp;IF(E1169="CHECK","; Job number not in the Xero job list","")&amp;IF(AND($C1169&lt;&gt;"",COUNTIF($C$7:$C$1506,$C1169)&gt;1),"; Job number on more than one row","")&amp;IF(AND($C1169&lt;&gt;"",H1169=""),"; Dept has not set a cost centre","")&amp;IF(AND($C1169&lt;&gt;"",J1169=""),"; Dept has not set a tax code","")&amp;IF(AND($C1169&lt;&gt;"",N1169=""),"; Dept has not entered an expected value","")&amp;IF((IF(OR(COUNTA(S1169:U1169)=0,AND(COUNTA(S1169:U1169)=3,ISNUMBER(U1169))),0,1)+IF(OR(COUNTA(V1169:X1169)=0,AND(COUNTA(V1169:X1169)=3,ISNUMBER(X1169))),0,1)+IF(OR(COUNTA(Y1169:AA1169)=0,AND(COUNTA(Y1169:AA1169)=3,ISNUMBER(AA1169))),0,1)+IF(OR(COUNTA(AB1169:AD1169)=0,AND(COUNTA(AB1169:AD1169)=3,ISNUMBER(AD1169))),0,1)+IF(OR(COUNTA(AE1169:AG1169)=0,AND(COUNTA(AE1169:AG1169)=3,ISNUMBER(AG1169))),0,1)+IF(OR(COUNTA(AH1169:AJ1169)=0,AND(COUNTA(AH1169:AJ1169)=3,ISNUMBER(AJ1169))),0,1)+IF(OR(COUNTA(AK1169:AM1169)=0,AND(COUNTA(AK1169:AM1169)=3,ISNUMBER(AM1169))),0,1)+IF(OR(COUNTA(AN1169:AP1169)=0,AND(COUNTA(AN1169:AP1169)=3,ISNUMBER(AP1169))),0,1)+IF(OR(COUNTA(AQ1169:AS1169)=0,AND(COUNTA(AQ1169:AS1169)=3,ISNUMBER(AS1169))),0,1)+IF(OR(COUNTA(AT1169:AV1169)=0,AND(COUNTA(AT1169:AV1169)=3,ISNUMBER(AV1169))),0,1)+IF(OR(COUNTA(AW1169:AY1169)=0,AND(COUNTA(AW1169:AY1169)=3,ISNUMBER(AY1169))),0,1)+IF(OR(COUNTA(AZ1169:BB1169)=0,AND(COUNTA(AZ1169:BB1169)=3,ISNUMBER(BB1169))),0,1))&gt;0,"; An invoice is incomplete (needs No, Date and a number in Ex GST)","")&amp;IF((IF(T1169="",0,IFERROR(--(EOMONTH(T1169,0)&lt;&gt;S$5),1))+IF(W1169="",0,IFERROR(--(EOMONTH(W1169,0)&lt;&gt;V$5),1))+IF(Z1169="",0,IFERROR(--(EOMONTH(Z1169,0)&lt;&gt;Y$5),1))+IF(AC1169="",0,IFERROR(--(EOMONTH(AC1169,0)&lt;&gt;AB$5),1))+IF(AF1169="",0,IFERROR(--(EOMONTH(AF1169,0)&lt;&gt;AE$5),1))+IF(AI1169="",0,IFERROR(--(EOMONTH(AI1169,0)&lt;&gt;AH$5),1))+IF(AL1169="",0,IFERROR(--(EOMONTH(AL1169,0)&lt;&gt;AK$5),1))+IF(AO1169="",0,IFERROR(--(EOMONTH(AO1169,0)&lt;&gt;AN$5),1))+IF(AR1169="",0,IFERROR(--(EOMONTH(AR1169,0)&lt;&gt;AQ$5),1))+IF(AU1169="",0,IFERROR(--(EOMONTH(AU1169,0)&lt;&gt;AT$5),1))+IF(AX1169="",0,IFERROR(--(EOMONTH(AX1169,0)&lt;&gt;AW$5),1))+IF(BA1169="",0,IFERROR(--(EOMONTH(BA1169,0)&lt;&gt;AZ$5),1)))&gt;0,"; An invoice date is not in the month it is typed under",""),3,500))</f>
        <v/>
      </c>
      <c r="S1169" s="12" t="n"/>
      <c r="T1169" s="13" t="n"/>
      <c r="U1169" s="14" t="n"/>
      <c r="V1169" s="12" t="n"/>
      <c r="W1169" s="13" t="n"/>
      <c r="X1169" s="14" t="n"/>
      <c r="Y1169" s="12" t="n"/>
      <c r="Z1169" s="13" t="n"/>
      <c r="AA1169" s="14" t="n"/>
      <c r="AB1169" s="12" t="n"/>
      <c r="AC1169" s="13" t="n"/>
      <c r="AD1169" s="14" t="n"/>
      <c r="AE1169" s="12" t="n"/>
      <c r="AF1169" s="13" t="n"/>
      <c r="AG1169" s="14" t="n"/>
      <c r="AH1169" s="12" t="n"/>
      <c r="AI1169" s="13" t="n"/>
      <c r="AJ1169" s="14" t="n"/>
      <c r="AK1169" s="12" t="n"/>
      <c r="AL1169" s="13" t="n"/>
      <c r="AM1169" s="14" t="n"/>
      <c r="AN1169" s="12" t="n"/>
      <c r="AO1169" s="13" t="n"/>
      <c r="AP1169" s="14" t="n"/>
      <c r="AQ1169" s="12" t="n"/>
      <c r="AR1169" s="13" t="n"/>
      <c r="AS1169" s="14" t="n"/>
      <c r="AT1169" s="12" t="n"/>
      <c r="AU1169" s="13" t="n"/>
      <c r="AV1169" s="14" t="n"/>
      <c r="AW1169" s="12" t="n"/>
      <c r="AX1169" s="13" t="n"/>
      <c r="AY1169" s="14" t="n"/>
      <c r="AZ1169" s="12" t="n"/>
      <c r="BA1169" s="13" t="n"/>
      <c r="BB1169" s="14" t="n"/>
      <c r="BC1169" s="11">
        <f>IF(O1169="","",IF(J1169="GST 10%",ROUND(O1169*set_GSTRate,2),0))</f>
        <v/>
      </c>
      <c r="BD1169" s="11">
        <f>IF(O1169="","",O1169+BC1169)</f>
        <v/>
      </c>
      <c r="BE1169" s="15">
        <f>IF(O1169="","",COUNTA(S1169,V1169,Y1169,AB1169,AE1169,AH1169,AK1169,AN1169,AQ1169,AT1169,AW1169,AZ1169))</f>
        <v/>
      </c>
      <c r="BF1169" s="16">
        <f>IF(COUNT(T1169,W1169,Z1169,AC1169,AF1169,AI1169,AL1169,AO1169,AR1169,AU1169,AX1169,BA1169)=0,"",MAX(T1169,W1169,Z1169,AC1169,AF1169,AI1169,AL1169,AO1169,AR1169,AU1169,AX1169,BA1169))</f>
        <v/>
      </c>
      <c r="BG1169" s="10">
        <f>MID(IF(S1169="","",", "&amp;S1169)&amp;IF(V1169="","",", "&amp;V1169)&amp;IF(Y1169="","",", "&amp;Y1169)&amp;IF(AB1169="","",", "&amp;AB1169)&amp;IF(AE1169="","",", "&amp;AE1169)&amp;IF(AH1169="","",", "&amp;AH1169)&amp;IF(AK1169="","",", "&amp;AK1169)&amp;IF(AN1169="","",", "&amp;AN1169)&amp;IF(AQ1169="","",", "&amp;AQ1169)&amp;IF(AT1169="","",", "&amp;AT1169)&amp;IF(AW1169="","",", "&amp;AW1169)&amp;IF(AZ1169="","",", "&amp;AZ1169),3,500)</f>
        <v/>
      </c>
      <c r="BH1169" s="12" t="n"/>
      <c r="BI1169" s="15">
        <f>IFERROR(MATCH($A1169,IF($B1169="Onsite",tbl_Onsite[Row ID],IF($B1169="Production",tbl_Production[Row ID],tbl_Consulting[Row ID])),0),"")</f>
        <v/>
      </c>
    </row>
    <row r="1170">
      <c r="A1170" s="10" t="inlineStr">
        <is>
          <t>CON-0164</t>
        </is>
      </c>
      <c r="B1170" s="10" t="inlineStr">
        <is>
          <t>Consulting</t>
        </is>
      </c>
      <c r="C1170" s="10">
        <f>IF($BI1170="","",IF($B1170="Onsite",INDEX(tbl_Onsite[Job Number],$BI1170),IF($B1170="Production",INDEX(tbl_Production[Job Number],$BI1170),INDEX(tbl_Consulting[Job Number],$BI1170)))&amp;"")</f>
        <v/>
      </c>
      <c r="D1170" s="10">
        <f>IF($BI1170="","",IF($B1170="Onsite",INDEX(tbl_Onsite[Client],$BI1170),IF($B1170="Production",INDEX(tbl_Production[Client],$BI1170),INDEX(tbl_Consulting[Client],$BI1170)))&amp;"")</f>
        <v/>
      </c>
      <c r="E1170" s="10">
        <f>IF($C1170="","",IF(COUNTIF(lst_Jobs,$C1170)&gt;0,"OK","CHECK"))</f>
        <v/>
      </c>
      <c r="F1170" s="10">
        <f>IF($C1170="","",IFERROR(INDEX(lst_JobName,MATCH($C1170,lst_Jobs,0)),""))</f>
        <v/>
      </c>
      <c r="G1170" s="10">
        <f>IF($BI1170="","",IF($B1170="Onsite",INDEX(tbl_Onsite[Job Description],$BI1170),IF($B1170="Production",INDEX(tbl_Production[Job Description],$BI1170),INDEX(tbl_Consulting[Job Description],$BI1170)))&amp;"")</f>
        <v/>
      </c>
      <c r="H1170" s="10">
        <f>IF($BI1170="","",IF($B1170="Onsite",INDEX(tbl_Onsite[Cost Centre],$BI1170),IF($B1170="Production",INDEX(tbl_Production[Cost Centre],$BI1170),INDEX(tbl_Consulting[Cost Centre],$BI1170)))&amp;"")</f>
        <v/>
      </c>
      <c r="I1170" s="10">
        <f>IF($BI1170="","",IF($B1170="Onsite",INDEX(tbl_Onsite[Invoice Type],$BI1170),IF($B1170="Production",INDEX(tbl_Production[Invoice Type],$BI1170),INDEX(tbl_Consulting[Invoice Type],$BI1170)))&amp;"")</f>
        <v/>
      </c>
      <c r="J1170" s="10">
        <f>IF($BI1170="","",IF($B1170="Onsite",INDEX(tbl_Onsite[Tax Code],$BI1170),IF($B1170="Production",INDEX(tbl_Production[Tax Code],$BI1170),INDEX(tbl_Consulting[Tax Code],$BI1170)))&amp;"")</f>
        <v/>
      </c>
      <c r="K1170" s="10">
        <f>IF(H1170="","",IFERROR(INDEX(lst_CCtoGL,MATCH(H1170,lst_CCforGL,0)),""))</f>
        <v/>
      </c>
      <c r="L1170" s="10">
        <f>IF($BI1170="","",IF($B1170="Onsite",INDEX(tbl_Onsite[PO / Reference],$BI1170),IF($B1170="Production",INDEX(tbl_Production[Current RMS No],$BI1170),INDEX(tbl_Consulting[Qwilr Quote],$BI1170)))&amp;"")</f>
        <v/>
      </c>
      <c r="M1170" s="10">
        <f>IF($BI1170="","",IF($B1170="Onsite",INDEX(tbl_Onsite[Notes],$BI1170),IF($B1170="Production",INDEX(tbl_Production[Notes],$BI1170),INDEX(tbl_Consulting[Notes],$BI1170)))&amp;"")</f>
        <v/>
      </c>
      <c r="N1170" s="11">
        <f>IF($BI1170="","",IF(IF($B1170="Onsite",INDEX(tbl_Onsite[Expected Revenue Ex GST],$BI1170),IF($B1170="Production",INDEX(tbl_Production[Expected Revenue Ex GST],$BI1170),INDEX(tbl_Consulting[Expected Revenue Ex GST],$BI1170)))="","",IF($B1170="Onsite",INDEX(tbl_Onsite[Expected Revenue Ex GST],$BI1170),IF($B1170="Production",INDEX(tbl_Production[Expected Revenue Ex GST],$BI1170),INDEX(tbl_Consulting[Expected Revenue Ex GST],$BI1170)))))</f>
        <v/>
      </c>
      <c r="O1170" s="11">
        <f>IF(AND($C1170="",NOT(COUNTA($S1170:$BB1170)&gt;0)),"",SUM(U1170,X1170,AA1170,AD1170,AG1170,AJ1170,AM1170,AP1170,AS1170,AV1170,AY1170,BB1170))</f>
        <v/>
      </c>
      <c r="P1170" s="11">
        <f>IF(O1170="","",N(N1170)-O1170)</f>
        <v/>
      </c>
      <c r="Q1170" s="10">
        <f>IF(O1170="","",IF($C1170="","Invoice on empty job row",IF(N1170="",IF(ROUND(O1170,2)=0,"No dept value","Invoiced - no dept value"),IF(ROUND(O1170,2)=0,"Not invoiced - to invoice",IF(ROUND(P1170,2)=0,"Agrees",IF(P1170&gt;0,"Dept higher - to invoice","Xero higher - check dept"))))))</f>
        <v/>
      </c>
      <c r="R1170" s="10">
        <f>IF(AND($C1170="",NOT(COUNTA($S1170:$BB1170)&gt;0),$BI1170&lt;&gt;""),"",MID(IF($BI1170="","; Row ID not found on the department sheet - a row was deleted","")&amp;IF(AND($C1170="",COUNTA($S1170:$BB1170)&gt;0),"; Invoice entered but the department row has no job number","")&amp;IF(E1170="CHECK","; Job number not in the Xero job list","")&amp;IF(AND($C1170&lt;&gt;"",COUNTIF($C$7:$C$1506,$C1170)&gt;1),"; Job number on more than one row","")&amp;IF(AND($C1170&lt;&gt;"",H1170=""),"; Dept has not set a cost centre","")&amp;IF(AND($C1170&lt;&gt;"",J1170=""),"; Dept has not set a tax code","")&amp;IF(AND($C1170&lt;&gt;"",N1170=""),"; Dept has not entered an expected value","")&amp;IF((IF(OR(COUNTA(S1170:U1170)=0,AND(COUNTA(S1170:U1170)=3,ISNUMBER(U1170))),0,1)+IF(OR(COUNTA(V1170:X1170)=0,AND(COUNTA(V1170:X1170)=3,ISNUMBER(X1170))),0,1)+IF(OR(COUNTA(Y1170:AA1170)=0,AND(COUNTA(Y1170:AA1170)=3,ISNUMBER(AA1170))),0,1)+IF(OR(COUNTA(AB1170:AD1170)=0,AND(COUNTA(AB1170:AD1170)=3,ISNUMBER(AD1170))),0,1)+IF(OR(COUNTA(AE1170:AG1170)=0,AND(COUNTA(AE1170:AG1170)=3,ISNUMBER(AG1170))),0,1)+IF(OR(COUNTA(AH1170:AJ1170)=0,AND(COUNTA(AH1170:AJ1170)=3,ISNUMBER(AJ1170))),0,1)+IF(OR(COUNTA(AK1170:AM1170)=0,AND(COUNTA(AK1170:AM1170)=3,ISNUMBER(AM1170))),0,1)+IF(OR(COUNTA(AN1170:AP1170)=0,AND(COUNTA(AN1170:AP1170)=3,ISNUMBER(AP1170))),0,1)+IF(OR(COUNTA(AQ1170:AS1170)=0,AND(COUNTA(AQ1170:AS1170)=3,ISNUMBER(AS1170))),0,1)+IF(OR(COUNTA(AT1170:AV1170)=0,AND(COUNTA(AT1170:AV1170)=3,ISNUMBER(AV1170))),0,1)+IF(OR(COUNTA(AW1170:AY1170)=0,AND(COUNTA(AW1170:AY1170)=3,ISNUMBER(AY1170))),0,1)+IF(OR(COUNTA(AZ1170:BB1170)=0,AND(COUNTA(AZ1170:BB1170)=3,ISNUMBER(BB1170))),0,1))&gt;0,"; An invoice is incomplete (needs No, Date and a number in Ex GST)","")&amp;IF((IF(T1170="",0,IFERROR(--(EOMONTH(T1170,0)&lt;&gt;S$5),1))+IF(W1170="",0,IFERROR(--(EOMONTH(W1170,0)&lt;&gt;V$5),1))+IF(Z1170="",0,IFERROR(--(EOMONTH(Z1170,0)&lt;&gt;Y$5),1))+IF(AC1170="",0,IFERROR(--(EOMONTH(AC1170,0)&lt;&gt;AB$5),1))+IF(AF1170="",0,IFERROR(--(EOMONTH(AF1170,0)&lt;&gt;AE$5),1))+IF(AI1170="",0,IFERROR(--(EOMONTH(AI1170,0)&lt;&gt;AH$5),1))+IF(AL1170="",0,IFERROR(--(EOMONTH(AL1170,0)&lt;&gt;AK$5),1))+IF(AO1170="",0,IFERROR(--(EOMONTH(AO1170,0)&lt;&gt;AN$5),1))+IF(AR1170="",0,IFERROR(--(EOMONTH(AR1170,0)&lt;&gt;AQ$5),1))+IF(AU1170="",0,IFERROR(--(EOMONTH(AU1170,0)&lt;&gt;AT$5),1))+IF(AX1170="",0,IFERROR(--(EOMONTH(AX1170,0)&lt;&gt;AW$5),1))+IF(BA1170="",0,IFERROR(--(EOMONTH(BA1170,0)&lt;&gt;AZ$5),1)))&gt;0,"; An invoice date is not in the month it is typed under",""),3,500))</f>
        <v/>
      </c>
      <c r="S1170" s="12" t="n"/>
      <c r="T1170" s="13" t="n"/>
      <c r="U1170" s="14" t="n"/>
      <c r="V1170" s="12" t="n"/>
      <c r="W1170" s="13" t="n"/>
      <c r="X1170" s="14" t="n"/>
      <c r="Y1170" s="12" t="n"/>
      <c r="Z1170" s="13" t="n"/>
      <c r="AA1170" s="14" t="n"/>
      <c r="AB1170" s="12" t="n"/>
      <c r="AC1170" s="13" t="n"/>
      <c r="AD1170" s="14" t="n"/>
      <c r="AE1170" s="12" t="n"/>
      <c r="AF1170" s="13" t="n"/>
      <c r="AG1170" s="14" t="n"/>
      <c r="AH1170" s="12" t="n"/>
      <c r="AI1170" s="13" t="n"/>
      <c r="AJ1170" s="14" t="n"/>
      <c r="AK1170" s="12" t="n"/>
      <c r="AL1170" s="13" t="n"/>
      <c r="AM1170" s="14" t="n"/>
      <c r="AN1170" s="12" t="n"/>
      <c r="AO1170" s="13" t="n"/>
      <c r="AP1170" s="14" t="n"/>
      <c r="AQ1170" s="12" t="n"/>
      <c r="AR1170" s="13" t="n"/>
      <c r="AS1170" s="14" t="n"/>
      <c r="AT1170" s="12" t="n"/>
      <c r="AU1170" s="13" t="n"/>
      <c r="AV1170" s="14" t="n"/>
      <c r="AW1170" s="12" t="n"/>
      <c r="AX1170" s="13" t="n"/>
      <c r="AY1170" s="14" t="n"/>
      <c r="AZ1170" s="12" t="n"/>
      <c r="BA1170" s="13" t="n"/>
      <c r="BB1170" s="14" t="n"/>
      <c r="BC1170" s="11">
        <f>IF(O1170="","",IF(J1170="GST 10%",ROUND(O1170*set_GSTRate,2),0))</f>
        <v/>
      </c>
      <c r="BD1170" s="11">
        <f>IF(O1170="","",O1170+BC1170)</f>
        <v/>
      </c>
      <c r="BE1170" s="15">
        <f>IF(O1170="","",COUNTA(S1170,V1170,Y1170,AB1170,AE1170,AH1170,AK1170,AN1170,AQ1170,AT1170,AW1170,AZ1170))</f>
        <v/>
      </c>
      <c r="BF1170" s="16">
        <f>IF(COUNT(T1170,W1170,Z1170,AC1170,AF1170,AI1170,AL1170,AO1170,AR1170,AU1170,AX1170,BA1170)=0,"",MAX(T1170,W1170,Z1170,AC1170,AF1170,AI1170,AL1170,AO1170,AR1170,AU1170,AX1170,BA1170))</f>
        <v/>
      </c>
      <c r="BG1170" s="10">
        <f>MID(IF(S1170="","",", "&amp;S1170)&amp;IF(V1170="","",", "&amp;V1170)&amp;IF(Y1170="","",", "&amp;Y1170)&amp;IF(AB1170="","",", "&amp;AB1170)&amp;IF(AE1170="","",", "&amp;AE1170)&amp;IF(AH1170="","",", "&amp;AH1170)&amp;IF(AK1170="","",", "&amp;AK1170)&amp;IF(AN1170="","",", "&amp;AN1170)&amp;IF(AQ1170="","",", "&amp;AQ1170)&amp;IF(AT1170="","",", "&amp;AT1170)&amp;IF(AW1170="","",", "&amp;AW1170)&amp;IF(AZ1170="","",", "&amp;AZ1170),3,500)</f>
        <v/>
      </c>
      <c r="BH1170" s="12" t="n"/>
      <c r="BI1170" s="15">
        <f>IFERROR(MATCH($A1170,IF($B1170="Onsite",tbl_Onsite[Row ID],IF($B1170="Production",tbl_Production[Row ID],tbl_Consulting[Row ID])),0),"")</f>
        <v/>
      </c>
    </row>
    <row r="1171">
      <c r="A1171" s="10" t="inlineStr">
        <is>
          <t>CON-0165</t>
        </is>
      </c>
      <c r="B1171" s="10" t="inlineStr">
        <is>
          <t>Consulting</t>
        </is>
      </c>
      <c r="C1171" s="10">
        <f>IF($BI1171="","",IF($B1171="Onsite",INDEX(tbl_Onsite[Job Number],$BI1171),IF($B1171="Production",INDEX(tbl_Production[Job Number],$BI1171),INDEX(tbl_Consulting[Job Number],$BI1171)))&amp;"")</f>
        <v/>
      </c>
      <c r="D1171" s="10">
        <f>IF($BI1171="","",IF($B1171="Onsite",INDEX(tbl_Onsite[Client],$BI1171),IF($B1171="Production",INDEX(tbl_Production[Client],$BI1171),INDEX(tbl_Consulting[Client],$BI1171)))&amp;"")</f>
        <v/>
      </c>
      <c r="E1171" s="10">
        <f>IF($C1171="","",IF(COUNTIF(lst_Jobs,$C1171)&gt;0,"OK","CHECK"))</f>
        <v/>
      </c>
      <c r="F1171" s="10">
        <f>IF($C1171="","",IFERROR(INDEX(lst_JobName,MATCH($C1171,lst_Jobs,0)),""))</f>
        <v/>
      </c>
      <c r="G1171" s="10">
        <f>IF($BI1171="","",IF($B1171="Onsite",INDEX(tbl_Onsite[Job Description],$BI1171),IF($B1171="Production",INDEX(tbl_Production[Job Description],$BI1171),INDEX(tbl_Consulting[Job Description],$BI1171)))&amp;"")</f>
        <v/>
      </c>
      <c r="H1171" s="10">
        <f>IF($BI1171="","",IF($B1171="Onsite",INDEX(tbl_Onsite[Cost Centre],$BI1171),IF($B1171="Production",INDEX(tbl_Production[Cost Centre],$BI1171),INDEX(tbl_Consulting[Cost Centre],$BI1171)))&amp;"")</f>
        <v/>
      </c>
      <c r="I1171" s="10">
        <f>IF($BI1171="","",IF($B1171="Onsite",INDEX(tbl_Onsite[Invoice Type],$BI1171),IF($B1171="Production",INDEX(tbl_Production[Invoice Type],$BI1171),INDEX(tbl_Consulting[Invoice Type],$BI1171)))&amp;"")</f>
        <v/>
      </c>
      <c r="J1171" s="10">
        <f>IF($BI1171="","",IF($B1171="Onsite",INDEX(tbl_Onsite[Tax Code],$BI1171),IF($B1171="Production",INDEX(tbl_Production[Tax Code],$BI1171),INDEX(tbl_Consulting[Tax Code],$BI1171)))&amp;"")</f>
        <v/>
      </c>
      <c r="K1171" s="10">
        <f>IF(H1171="","",IFERROR(INDEX(lst_CCtoGL,MATCH(H1171,lst_CCforGL,0)),""))</f>
        <v/>
      </c>
      <c r="L1171" s="10">
        <f>IF($BI1171="","",IF($B1171="Onsite",INDEX(tbl_Onsite[PO / Reference],$BI1171),IF($B1171="Production",INDEX(tbl_Production[Current RMS No],$BI1171),INDEX(tbl_Consulting[Qwilr Quote],$BI1171)))&amp;"")</f>
        <v/>
      </c>
      <c r="M1171" s="10">
        <f>IF($BI1171="","",IF($B1171="Onsite",INDEX(tbl_Onsite[Notes],$BI1171),IF($B1171="Production",INDEX(tbl_Production[Notes],$BI1171),INDEX(tbl_Consulting[Notes],$BI1171)))&amp;"")</f>
        <v/>
      </c>
      <c r="N1171" s="11">
        <f>IF($BI1171="","",IF(IF($B1171="Onsite",INDEX(tbl_Onsite[Expected Revenue Ex GST],$BI1171),IF($B1171="Production",INDEX(tbl_Production[Expected Revenue Ex GST],$BI1171),INDEX(tbl_Consulting[Expected Revenue Ex GST],$BI1171)))="","",IF($B1171="Onsite",INDEX(tbl_Onsite[Expected Revenue Ex GST],$BI1171),IF($B1171="Production",INDEX(tbl_Production[Expected Revenue Ex GST],$BI1171),INDEX(tbl_Consulting[Expected Revenue Ex GST],$BI1171)))))</f>
        <v/>
      </c>
      <c r="O1171" s="11">
        <f>IF(AND($C1171="",NOT(COUNTA($S1171:$BB1171)&gt;0)),"",SUM(U1171,X1171,AA1171,AD1171,AG1171,AJ1171,AM1171,AP1171,AS1171,AV1171,AY1171,BB1171))</f>
        <v/>
      </c>
      <c r="P1171" s="11">
        <f>IF(O1171="","",N(N1171)-O1171)</f>
        <v/>
      </c>
      <c r="Q1171" s="10">
        <f>IF(O1171="","",IF($C1171="","Invoice on empty job row",IF(N1171="",IF(ROUND(O1171,2)=0,"No dept value","Invoiced - no dept value"),IF(ROUND(O1171,2)=0,"Not invoiced - to invoice",IF(ROUND(P1171,2)=0,"Agrees",IF(P1171&gt;0,"Dept higher - to invoice","Xero higher - check dept"))))))</f>
        <v/>
      </c>
      <c r="R1171" s="10">
        <f>IF(AND($C1171="",NOT(COUNTA($S1171:$BB1171)&gt;0),$BI1171&lt;&gt;""),"",MID(IF($BI1171="","; Row ID not found on the department sheet - a row was deleted","")&amp;IF(AND($C1171="",COUNTA($S1171:$BB1171)&gt;0),"; Invoice entered but the department row has no job number","")&amp;IF(E1171="CHECK","; Job number not in the Xero job list","")&amp;IF(AND($C1171&lt;&gt;"",COUNTIF($C$7:$C$1506,$C1171)&gt;1),"; Job number on more than one row","")&amp;IF(AND($C1171&lt;&gt;"",H1171=""),"; Dept has not set a cost centre","")&amp;IF(AND($C1171&lt;&gt;"",J1171=""),"; Dept has not set a tax code","")&amp;IF(AND($C1171&lt;&gt;"",N1171=""),"; Dept has not entered an expected value","")&amp;IF((IF(OR(COUNTA(S1171:U1171)=0,AND(COUNTA(S1171:U1171)=3,ISNUMBER(U1171))),0,1)+IF(OR(COUNTA(V1171:X1171)=0,AND(COUNTA(V1171:X1171)=3,ISNUMBER(X1171))),0,1)+IF(OR(COUNTA(Y1171:AA1171)=0,AND(COUNTA(Y1171:AA1171)=3,ISNUMBER(AA1171))),0,1)+IF(OR(COUNTA(AB1171:AD1171)=0,AND(COUNTA(AB1171:AD1171)=3,ISNUMBER(AD1171))),0,1)+IF(OR(COUNTA(AE1171:AG1171)=0,AND(COUNTA(AE1171:AG1171)=3,ISNUMBER(AG1171))),0,1)+IF(OR(COUNTA(AH1171:AJ1171)=0,AND(COUNTA(AH1171:AJ1171)=3,ISNUMBER(AJ1171))),0,1)+IF(OR(COUNTA(AK1171:AM1171)=0,AND(COUNTA(AK1171:AM1171)=3,ISNUMBER(AM1171))),0,1)+IF(OR(COUNTA(AN1171:AP1171)=0,AND(COUNTA(AN1171:AP1171)=3,ISNUMBER(AP1171))),0,1)+IF(OR(COUNTA(AQ1171:AS1171)=0,AND(COUNTA(AQ1171:AS1171)=3,ISNUMBER(AS1171))),0,1)+IF(OR(COUNTA(AT1171:AV1171)=0,AND(COUNTA(AT1171:AV1171)=3,ISNUMBER(AV1171))),0,1)+IF(OR(COUNTA(AW1171:AY1171)=0,AND(COUNTA(AW1171:AY1171)=3,ISNUMBER(AY1171))),0,1)+IF(OR(COUNTA(AZ1171:BB1171)=0,AND(COUNTA(AZ1171:BB1171)=3,ISNUMBER(BB1171))),0,1))&gt;0,"; An invoice is incomplete (needs No, Date and a number in Ex GST)","")&amp;IF((IF(T1171="",0,IFERROR(--(EOMONTH(T1171,0)&lt;&gt;S$5),1))+IF(W1171="",0,IFERROR(--(EOMONTH(W1171,0)&lt;&gt;V$5),1))+IF(Z1171="",0,IFERROR(--(EOMONTH(Z1171,0)&lt;&gt;Y$5),1))+IF(AC1171="",0,IFERROR(--(EOMONTH(AC1171,0)&lt;&gt;AB$5),1))+IF(AF1171="",0,IFERROR(--(EOMONTH(AF1171,0)&lt;&gt;AE$5),1))+IF(AI1171="",0,IFERROR(--(EOMONTH(AI1171,0)&lt;&gt;AH$5),1))+IF(AL1171="",0,IFERROR(--(EOMONTH(AL1171,0)&lt;&gt;AK$5),1))+IF(AO1171="",0,IFERROR(--(EOMONTH(AO1171,0)&lt;&gt;AN$5),1))+IF(AR1171="",0,IFERROR(--(EOMONTH(AR1171,0)&lt;&gt;AQ$5),1))+IF(AU1171="",0,IFERROR(--(EOMONTH(AU1171,0)&lt;&gt;AT$5),1))+IF(AX1171="",0,IFERROR(--(EOMONTH(AX1171,0)&lt;&gt;AW$5),1))+IF(BA1171="",0,IFERROR(--(EOMONTH(BA1171,0)&lt;&gt;AZ$5),1)))&gt;0,"; An invoice date is not in the month it is typed under",""),3,500))</f>
        <v/>
      </c>
      <c r="S1171" s="12" t="n"/>
      <c r="T1171" s="13" t="n"/>
      <c r="U1171" s="14" t="n"/>
      <c r="V1171" s="12" t="n"/>
      <c r="W1171" s="13" t="n"/>
      <c r="X1171" s="14" t="n"/>
      <c r="Y1171" s="12" t="n"/>
      <c r="Z1171" s="13" t="n"/>
      <c r="AA1171" s="14" t="n"/>
      <c r="AB1171" s="12" t="n"/>
      <c r="AC1171" s="13" t="n"/>
      <c r="AD1171" s="14" t="n"/>
      <c r="AE1171" s="12" t="n"/>
      <c r="AF1171" s="13" t="n"/>
      <c r="AG1171" s="14" t="n"/>
      <c r="AH1171" s="12" t="n"/>
      <c r="AI1171" s="13" t="n"/>
      <c r="AJ1171" s="14" t="n"/>
      <c r="AK1171" s="12" t="n"/>
      <c r="AL1171" s="13" t="n"/>
      <c r="AM1171" s="14" t="n"/>
      <c r="AN1171" s="12" t="n"/>
      <c r="AO1171" s="13" t="n"/>
      <c r="AP1171" s="14" t="n"/>
      <c r="AQ1171" s="12" t="n"/>
      <c r="AR1171" s="13" t="n"/>
      <c r="AS1171" s="14" t="n"/>
      <c r="AT1171" s="12" t="n"/>
      <c r="AU1171" s="13" t="n"/>
      <c r="AV1171" s="14" t="n"/>
      <c r="AW1171" s="12" t="n"/>
      <c r="AX1171" s="13" t="n"/>
      <c r="AY1171" s="14" t="n"/>
      <c r="AZ1171" s="12" t="n"/>
      <c r="BA1171" s="13" t="n"/>
      <c r="BB1171" s="14" t="n"/>
      <c r="BC1171" s="11">
        <f>IF(O1171="","",IF(J1171="GST 10%",ROUND(O1171*set_GSTRate,2),0))</f>
        <v/>
      </c>
      <c r="BD1171" s="11">
        <f>IF(O1171="","",O1171+BC1171)</f>
        <v/>
      </c>
      <c r="BE1171" s="15">
        <f>IF(O1171="","",COUNTA(S1171,V1171,Y1171,AB1171,AE1171,AH1171,AK1171,AN1171,AQ1171,AT1171,AW1171,AZ1171))</f>
        <v/>
      </c>
      <c r="BF1171" s="16">
        <f>IF(COUNT(T1171,W1171,Z1171,AC1171,AF1171,AI1171,AL1171,AO1171,AR1171,AU1171,AX1171,BA1171)=0,"",MAX(T1171,W1171,Z1171,AC1171,AF1171,AI1171,AL1171,AO1171,AR1171,AU1171,AX1171,BA1171))</f>
        <v/>
      </c>
      <c r="BG1171" s="10">
        <f>MID(IF(S1171="","",", "&amp;S1171)&amp;IF(V1171="","",", "&amp;V1171)&amp;IF(Y1171="","",", "&amp;Y1171)&amp;IF(AB1171="","",", "&amp;AB1171)&amp;IF(AE1171="","",", "&amp;AE1171)&amp;IF(AH1171="","",", "&amp;AH1171)&amp;IF(AK1171="","",", "&amp;AK1171)&amp;IF(AN1171="","",", "&amp;AN1171)&amp;IF(AQ1171="","",", "&amp;AQ1171)&amp;IF(AT1171="","",", "&amp;AT1171)&amp;IF(AW1171="","",", "&amp;AW1171)&amp;IF(AZ1171="","",", "&amp;AZ1171),3,500)</f>
        <v/>
      </c>
      <c r="BH1171" s="12" t="n"/>
      <c r="BI1171" s="15">
        <f>IFERROR(MATCH($A1171,IF($B1171="Onsite",tbl_Onsite[Row ID],IF($B1171="Production",tbl_Production[Row ID],tbl_Consulting[Row ID])),0),"")</f>
        <v/>
      </c>
    </row>
    <row r="1172">
      <c r="A1172" s="10" t="inlineStr">
        <is>
          <t>CON-0166</t>
        </is>
      </c>
      <c r="B1172" s="10" t="inlineStr">
        <is>
          <t>Consulting</t>
        </is>
      </c>
      <c r="C1172" s="10">
        <f>IF($BI1172="","",IF($B1172="Onsite",INDEX(tbl_Onsite[Job Number],$BI1172),IF($B1172="Production",INDEX(tbl_Production[Job Number],$BI1172),INDEX(tbl_Consulting[Job Number],$BI1172)))&amp;"")</f>
        <v/>
      </c>
      <c r="D1172" s="10">
        <f>IF($BI1172="","",IF($B1172="Onsite",INDEX(tbl_Onsite[Client],$BI1172),IF($B1172="Production",INDEX(tbl_Production[Client],$BI1172),INDEX(tbl_Consulting[Client],$BI1172)))&amp;"")</f>
        <v/>
      </c>
      <c r="E1172" s="10">
        <f>IF($C1172="","",IF(COUNTIF(lst_Jobs,$C1172)&gt;0,"OK","CHECK"))</f>
        <v/>
      </c>
      <c r="F1172" s="10">
        <f>IF($C1172="","",IFERROR(INDEX(lst_JobName,MATCH($C1172,lst_Jobs,0)),""))</f>
        <v/>
      </c>
      <c r="G1172" s="10">
        <f>IF($BI1172="","",IF($B1172="Onsite",INDEX(tbl_Onsite[Job Description],$BI1172),IF($B1172="Production",INDEX(tbl_Production[Job Description],$BI1172),INDEX(tbl_Consulting[Job Description],$BI1172)))&amp;"")</f>
        <v/>
      </c>
      <c r="H1172" s="10">
        <f>IF($BI1172="","",IF($B1172="Onsite",INDEX(tbl_Onsite[Cost Centre],$BI1172),IF($B1172="Production",INDEX(tbl_Production[Cost Centre],$BI1172),INDEX(tbl_Consulting[Cost Centre],$BI1172)))&amp;"")</f>
        <v/>
      </c>
      <c r="I1172" s="10">
        <f>IF($BI1172="","",IF($B1172="Onsite",INDEX(tbl_Onsite[Invoice Type],$BI1172),IF($B1172="Production",INDEX(tbl_Production[Invoice Type],$BI1172),INDEX(tbl_Consulting[Invoice Type],$BI1172)))&amp;"")</f>
        <v/>
      </c>
      <c r="J1172" s="10">
        <f>IF($BI1172="","",IF($B1172="Onsite",INDEX(tbl_Onsite[Tax Code],$BI1172),IF($B1172="Production",INDEX(tbl_Production[Tax Code],$BI1172),INDEX(tbl_Consulting[Tax Code],$BI1172)))&amp;"")</f>
        <v/>
      </c>
      <c r="K1172" s="10">
        <f>IF(H1172="","",IFERROR(INDEX(lst_CCtoGL,MATCH(H1172,lst_CCforGL,0)),""))</f>
        <v/>
      </c>
      <c r="L1172" s="10">
        <f>IF($BI1172="","",IF($B1172="Onsite",INDEX(tbl_Onsite[PO / Reference],$BI1172),IF($B1172="Production",INDEX(tbl_Production[Current RMS No],$BI1172),INDEX(tbl_Consulting[Qwilr Quote],$BI1172)))&amp;"")</f>
        <v/>
      </c>
      <c r="M1172" s="10">
        <f>IF($BI1172="","",IF($B1172="Onsite",INDEX(tbl_Onsite[Notes],$BI1172),IF($B1172="Production",INDEX(tbl_Production[Notes],$BI1172),INDEX(tbl_Consulting[Notes],$BI1172)))&amp;"")</f>
        <v/>
      </c>
      <c r="N1172" s="11">
        <f>IF($BI1172="","",IF(IF($B1172="Onsite",INDEX(tbl_Onsite[Expected Revenue Ex GST],$BI1172),IF($B1172="Production",INDEX(tbl_Production[Expected Revenue Ex GST],$BI1172),INDEX(tbl_Consulting[Expected Revenue Ex GST],$BI1172)))="","",IF($B1172="Onsite",INDEX(tbl_Onsite[Expected Revenue Ex GST],$BI1172),IF($B1172="Production",INDEX(tbl_Production[Expected Revenue Ex GST],$BI1172),INDEX(tbl_Consulting[Expected Revenue Ex GST],$BI1172)))))</f>
        <v/>
      </c>
      <c r="O1172" s="11">
        <f>IF(AND($C1172="",NOT(COUNTA($S1172:$BB1172)&gt;0)),"",SUM(U1172,X1172,AA1172,AD1172,AG1172,AJ1172,AM1172,AP1172,AS1172,AV1172,AY1172,BB1172))</f>
        <v/>
      </c>
      <c r="P1172" s="11">
        <f>IF(O1172="","",N(N1172)-O1172)</f>
        <v/>
      </c>
      <c r="Q1172" s="10">
        <f>IF(O1172="","",IF($C1172="","Invoice on empty job row",IF(N1172="",IF(ROUND(O1172,2)=0,"No dept value","Invoiced - no dept value"),IF(ROUND(O1172,2)=0,"Not invoiced - to invoice",IF(ROUND(P1172,2)=0,"Agrees",IF(P1172&gt;0,"Dept higher - to invoice","Xero higher - check dept"))))))</f>
        <v/>
      </c>
      <c r="R1172" s="10">
        <f>IF(AND($C1172="",NOT(COUNTA($S1172:$BB1172)&gt;0),$BI1172&lt;&gt;""),"",MID(IF($BI1172="","; Row ID not found on the department sheet - a row was deleted","")&amp;IF(AND($C1172="",COUNTA($S1172:$BB1172)&gt;0),"; Invoice entered but the department row has no job number","")&amp;IF(E1172="CHECK","; Job number not in the Xero job list","")&amp;IF(AND($C1172&lt;&gt;"",COUNTIF($C$7:$C$1506,$C1172)&gt;1),"; Job number on more than one row","")&amp;IF(AND($C1172&lt;&gt;"",H1172=""),"; Dept has not set a cost centre","")&amp;IF(AND($C1172&lt;&gt;"",J1172=""),"; Dept has not set a tax code","")&amp;IF(AND($C1172&lt;&gt;"",N1172=""),"; Dept has not entered an expected value","")&amp;IF((IF(OR(COUNTA(S1172:U1172)=0,AND(COUNTA(S1172:U1172)=3,ISNUMBER(U1172))),0,1)+IF(OR(COUNTA(V1172:X1172)=0,AND(COUNTA(V1172:X1172)=3,ISNUMBER(X1172))),0,1)+IF(OR(COUNTA(Y1172:AA1172)=0,AND(COUNTA(Y1172:AA1172)=3,ISNUMBER(AA1172))),0,1)+IF(OR(COUNTA(AB1172:AD1172)=0,AND(COUNTA(AB1172:AD1172)=3,ISNUMBER(AD1172))),0,1)+IF(OR(COUNTA(AE1172:AG1172)=0,AND(COUNTA(AE1172:AG1172)=3,ISNUMBER(AG1172))),0,1)+IF(OR(COUNTA(AH1172:AJ1172)=0,AND(COUNTA(AH1172:AJ1172)=3,ISNUMBER(AJ1172))),0,1)+IF(OR(COUNTA(AK1172:AM1172)=0,AND(COUNTA(AK1172:AM1172)=3,ISNUMBER(AM1172))),0,1)+IF(OR(COUNTA(AN1172:AP1172)=0,AND(COUNTA(AN1172:AP1172)=3,ISNUMBER(AP1172))),0,1)+IF(OR(COUNTA(AQ1172:AS1172)=0,AND(COUNTA(AQ1172:AS1172)=3,ISNUMBER(AS1172))),0,1)+IF(OR(COUNTA(AT1172:AV1172)=0,AND(COUNTA(AT1172:AV1172)=3,ISNUMBER(AV1172))),0,1)+IF(OR(COUNTA(AW1172:AY1172)=0,AND(COUNTA(AW1172:AY1172)=3,ISNUMBER(AY1172))),0,1)+IF(OR(COUNTA(AZ1172:BB1172)=0,AND(COUNTA(AZ1172:BB1172)=3,ISNUMBER(BB1172))),0,1))&gt;0,"; An invoice is incomplete (needs No, Date and a number in Ex GST)","")&amp;IF((IF(T1172="",0,IFERROR(--(EOMONTH(T1172,0)&lt;&gt;S$5),1))+IF(W1172="",0,IFERROR(--(EOMONTH(W1172,0)&lt;&gt;V$5),1))+IF(Z1172="",0,IFERROR(--(EOMONTH(Z1172,0)&lt;&gt;Y$5),1))+IF(AC1172="",0,IFERROR(--(EOMONTH(AC1172,0)&lt;&gt;AB$5),1))+IF(AF1172="",0,IFERROR(--(EOMONTH(AF1172,0)&lt;&gt;AE$5),1))+IF(AI1172="",0,IFERROR(--(EOMONTH(AI1172,0)&lt;&gt;AH$5),1))+IF(AL1172="",0,IFERROR(--(EOMONTH(AL1172,0)&lt;&gt;AK$5),1))+IF(AO1172="",0,IFERROR(--(EOMONTH(AO1172,0)&lt;&gt;AN$5),1))+IF(AR1172="",0,IFERROR(--(EOMONTH(AR1172,0)&lt;&gt;AQ$5),1))+IF(AU1172="",0,IFERROR(--(EOMONTH(AU1172,0)&lt;&gt;AT$5),1))+IF(AX1172="",0,IFERROR(--(EOMONTH(AX1172,0)&lt;&gt;AW$5),1))+IF(BA1172="",0,IFERROR(--(EOMONTH(BA1172,0)&lt;&gt;AZ$5),1)))&gt;0,"; An invoice date is not in the month it is typed under",""),3,500))</f>
        <v/>
      </c>
      <c r="S1172" s="12" t="n"/>
      <c r="T1172" s="13" t="n"/>
      <c r="U1172" s="14" t="n"/>
      <c r="V1172" s="12" t="n"/>
      <c r="W1172" s="13" t="n"/>
      <c r="X1172" s="14" t="n"/>
      <c r="Y1172" s="12" t="n"/>
      <c r="Z1172" s="13" t="n"/>
      <c r="AA1172" s="14" t="n"/>
      <c r="AB1172" s="12" t="n"/>
      <c r="AC1172" s="13" t="n"/>
      <c r="AD1172" s="14" t="n"/>
      <c r="AE1172" s="12" t="n"/>
      <c r="AF1172" s="13" t="n"/>
      <c r="AG1172" s="14" t="n"/>
      <c r="AH1172" s="12" t="n"/>
      <c r="AI1172" s="13" t="n"/>
      <c r="AJ1172" s="14" t="n"/>
      <c r="AK1172" s="12" t="n"/>
      <c r="AL1172" s="13" t="n"/>
      <c r="AM1172" s="14" t="n"/>
      <c r="AN1172" s="12" t="n"/>
      <c r="AO1172" s="13" t="n"/>
      <c r="AP1172" s="14" t="n"/>
      <c r="AQ1172" s="12" t="n"/>
      <c r="AR1172" s="13" t="n"/>
      <c r="AS1172" s="14" t="n"/>
      <c r="AT1172" s="12" t="n"/>
      <c r="AU1172" s="13" t="n"/>
      <c r="AV1172" s="14" t="n"/>
      <c r="AW1172" s="12" t="n"/>
      <c r="AX1172" s="13" t="n"/>
      <c r="AY1172" s="14" t="n"/>
      <c r="AZ1172" s="12" t="n"/>
      <c r="BA1172" s="13" t="n"/>
      <c r="BB1172" s="14" t="n"/>
      <c r="BC1172" s="11">
        <f>IF(O1172="","",IF(J1172="GST 10%",ROUND(O1172*set_GSTRate,2),0))</f>
        <v/>
      </c>
      <c r="BD1172" s="11">
        <f>IF(O1172="","",O1172+BC1172)</f>
        <v/>
      </c>
      <c r="BE1172" s="15">
        <f>IF(O1172="","",COUNTA(S1172,V1172,Y1172,AB1172,AE1172,AH1172,AK1172,AN1172,AQ1172,AT1172,AW1172,AZ1172))</f>
        <v/>
      </c>
      <c r="BF1172" s="16">
        <f>IF(COUNT(T1172,W1172,Z1172,AC1172,AF1172,AI1172,AL1172,AO1172,AR1172,AU1172,AX1172,BA1172)=0,"",MAX(T1172,W1172,Z1172,AC1172,AF1172,AI1172,AL1172,AO1172,AR1172,AU1172,AX1172,BA1172))</f>
        <v/>
      </c>
      <c r="BG1172" s="10">
        <f>MID(IF(S1172="","",", "&amp;S1172)&amp;IF(V1172="","",", "&amp;V1172)&amp;IF(Y1172="","",", "&amp;Y1172)&amp;IF(AB1172="","",", "&amp;AB1172)&amp;IF(AE1172="","",", "&amp;AE1172)&amp;IF(AH1172="","",", "&amp;AH1172)&amp;IF(AK1172="","",", "&amp;AK1172)&amp;IF(AN1172="","",", "&amp;AN1172)&amp;IF(AQ1172="","",", "&amp;AQ1172)&amp;IF(AT1172="","",", "&amp;AT1172)&amp;IF(AW1172="","",", "&amp;AW1172)&amp;IF(AZ1172="","",", "&amp;AZ1172),3,500)</f>
        <v/>
      </c>
      <c r="BH1172" s="12" t="n"/>
      <c r="BI1172" s="15">
        <f>IFERROR(MATCH($A1172,IF($B1172="Onsite",tbl_Onsite[Row ID],IF($B1172="Production",tbl_Production[Row ID],tbl_Consulting[Row ID])),0),"")</f>
        <v/>
      </c>
    </row>
    <row r="1173">
      <c r="A1173" s="10" t="inlineStr">
        <is>
          <t>CON-0167</t>
        </is>
      </c>
      <c r="B1173" s="10" t="inlineStr">
        <is>
          <t>Consulting</t>
        </is>
      </c>
      <c r="C1173" s="10">
        <f>IF($BI1173="","",IF($B1173="Onsite",INDEX(tbl_Onsite[Job Number],$BI1173),IF($B1173="Production",INDEX(tbl_Production[Job Number],$BI1173),INDEX(tbl_Consulting[Job Number],$BI1173)))&amp;"")</f>
        <v/>
      </c>
      <c r="D1173" s="10">
        <f>IF($BI1173="","",IF($B1173="Onsite",INDEX(tbl_Onsite[Client],$BI1173),IF($B1173="Production",INDEX(tbl_Production[Client],$BI1173),INDEX(tbl_Consulting[Client],$BI1173)))&amp;"")</f>
        <v/>
      </c>
      <c r="E1173" s="10">
        <f>IF($C1173="","",IF(COUNTIF(lst_Jobs,$C1173)&gt;0,"OK","CHECK"))</f>
        <v/>
      </c>
      <c r="F1173" s="10">
        <f>IF($C1173="","",IFERROR(INDEX(lst_JobName,MATCH($C1173,lst_Jobs,0)),""))</f>
        <v/>
      </c>
      <c r="G1173" s="10">
        <f>IF($BI1173="","",IF($B1173="Onsite",INDEX(tbl_Onsite[Job Description],$BI1173),IF($B1173="Production",INDEX(tbl_Production[Job Description],$BI1173),INDEX(tbl_Consulting[Job Description],$BI1173)))&amp;"")</f>
        <v/>
      </c>
      <c r="H1173" s="10">
        <f>IF($BI1173="","",IF($B1173="Onsite",INDEX(tbl_Onsite[Cost Centre],$BI1173),IF($B1173="Production",INDEX(tbl_Production[Cost Centre],$BI1173),INDEX(tbl_Consulting[Cost Centre],$BI1173)))&amp;"")</f>
        <v/>
      </c>
      <c r="I1173" s="10">
        <f>IF($BI1173="","",IF($B1173="Onsite",INDEX(tbl_Onsite[Invoice Type],$BI1173),IF($B1173="Production",INDEX(tbl_Production[Invoice Type],$BI1173),INDEX(tbl_Consulting[Invoice Type],$BI1173)))&amp;"")</f>
        <v/>
      </c>
      <c r="J1173" s="10">
        <f>IF($BI1173="","",IF($B1173="Onsite",INDEX(tbl_Onsite[Tax Code],$BI1173),IF($B1173="Production",INDEX(tbl_Production[Tax Code],$BI1173),INDEX(tbl_Consulting[Tax Code],$BI1173)))&amp;"")</f>
        <v/>
      </c>
      <c r="K1173" s="10">
        <f>IF(H1173="","",IFERROR(INDEX(lst_CCtoGL,MATCH(H1173,lst_CCforGL,0)),""))</f>
        <v/>
      </c>
      <c r="L1173" s="10">
        <f>IF($BI1173="","",IF($B1173="Onsite",INDEX(tbl_Onsite[PO / Reference],$BI1173),IF($B1173="Production",INDEX(tbl_Production[Current RMS No],$BI1173),INDEX(tbl_Consulting[Qwilr Quote],$BI1173)))&amp;"")</f>
        <v/>
      </c>
      <c r="M1173" s="10">
        <f>IF($BI1173="","",IF($B1173="Onsite",INDEX(tbl_Onsite[Notes],$BI1173),IF($B1173="Production",INDEX(tbl_Production[Notes],$BI1173),INDEX(tbl_Consulting[Notes],$BI1173)))&amp;"")</f>
        <v/>
      </c>
      <c r="N1173" s="11">
        <f>IF($BI1173="","",IF(IF($B1173="Onsite",INDEX(tbl_Onsite[Expected Revenue Ex GST],$BI1173),IF($B1173="Production",INDEX(tbl_Production[Expected Revenue Ex GST],$BI1173),INDEX(tbl_Consulting[Expected Revenue Ex GST],$BI1173)))="","",IF($B1173="Onsite",INDEX(tbl_Onsite[Expected Revenue Ex GST],$BI1173),IF($B1173="Production",INDEX(tbl_Production[Expected Revenue Ex GST],$BI1173),INDEX(tbl_Consulting[Expected Revenue Ex GST],$BI1173)))))</f>
        <v/>
      </c>
      <c r="O1173" s="11">
        <f>IF(AND($C1173="",NOT(COUNTA($S1173:$BB1173)&gt;0)),"",SUM(U1173,X1173,AA1173,AD1173,AG1173,AJ1173,AM1173,AP1173,AS1173,AV1173,AY1173,BB1173))</f>
        <v/>
      </c>
      <c r="P1173" s="11">
        <f>IF(O1173="","",N(N1173)-O1173)</f>
        <v/>
      </c>
      <c r="Q1173" s="10">
        <f>IF(O1173="","",IF($C1173="","Invoice on empty job row",IF(N1173="",IF(ROUND(O1173,2)=0,"No dept value","Invoiced - no dept value"),IF(ROUND(O1173,2)=0,"Not invoiced - to invoice",IF(ROUND(P1173,2)=0,"Agrees",IF(P1173&gt;0,"Dept higher - to invoice","Xero higher - check dept"))))))</f>
        <v/>
      </c>
      <c r="R1173" s="10">
        <f>IF(AND($C1173="",NOT(COUNTA($S1173:$BB1173)&gt;0),$BI1173&lt;&gt;""),"",MID(IF($BI1173="","; Row ID not found on the department sheet - a row was deleted","")&amp;IF(AND($C1173="",COUNTA($S1173:$BB1173)&gt;0),"; Invoice entered but the department row has no job number","")&amp;IF(E1173="CHECK","; Job number not in the Xero job list","")&amp;IF(AND($C1173&lt;&gt;"",COUNTIF($C$7:$C$1506,$C1173)&gt;1),"; Job number on more than one row","")&amp;IF(AND($C1173&lt;&gt;"",H1173=""),"; Dept has not set a cost centre","")&amp;IF(AND($C1173&lt;&gt;"",J1173=""),"; Dept has not set a tax code","")&amp;IF(AND($C1173&lt;&gt;"",N1173=""),"; Dept has not entered an expected value","")&amp;IF((IF(OR(COUNTA(S1173:U1173)=0,AND(COUNTA(S1173:U1173)=3,ISNUMBER(U1173))),0,1)+IF(OR(COUNTA(V1173:X1173)=0,AND(COUNTA(V1173:X1173)=3,ISNUMBER(X1173))),0,1)+IF(OR(COUNTA(Y1173:AA1173)=0,AND(COUNTA(Y1173:AA1173)=3,ISNUMBER(AA1173))),0,1)+IF(OR(COUNTA(AB1173:AD1173)=0,AND(COUNTA(AB1173:AD1173)=3,ISNUMBER(AD1173))),0,1)+IF(OR(COUNTA(AE1173:AG1173)=0,AND(COUNTA(AE1173:AG1173)=3,ISNUMBER(AG1173))),0,1)+IF(OR(COUNTA(AH1173:AJ1173)=0,AND(COUNTA(AH1173:AJ1173)=3,ISNUMBER(AJ1173))),0,1)+IF(OR(COUNTA(AK1173:AM1173)=0,AND(COUNTA(AK1173:AM1173)=3,ISNUMBER(AM1173))),0,1)+IF(OR(COUNTA(AN1173:AP1173)=0,AND(COUNTA(AN1173:AP1173)=3,ISNUMBER(AP1173))),0,1)+IF(OR(COUNTA(AQ1173:AS1173)=0,AND(COUNTA(AQ1173:AS1173)=3,ISNUMBER(AS1173))),0,1)+IF(OR(COUNTA(AT1173:AV1173)=0,AND(COUNTA(AT1173:AV1173)=3,ISNUMBER(AV1173))),0,1)+IF(OR(COUNTA(AW1173:AY1173)=0,AND(COUNTA(AW1173:AY1173)=3,ISNUMBER(AY1173))),0,1)+IF(OR(COUNTA(AZ1173:BB1173)=0,AND(COUNTA(AZ1173:BB1173)=3,ISNUMBER(BB1173))),0,1))&gt;0,"; An invoice is incomplete (needs No, Date and a number in Ex GST)","")&amp;IF((IF(T1173="",0,IFERROR(--(EOMONTH(T1173,0)&lt;&gt;S$5),1))+IF(W1173="",0,IFERROR(--(EOMONTH(W1173,0)&lt;&gt;V$5),1))+IF(Z1173="",0,IFERROR(--(EOMONTH(Z1173,0)&lt;&gt;Y$5),1))+IF(AC1173="",0,IFERROR(--(EOMONTH(AC1173,0)&lt;&gt;AB$5),1))+IF(AF1173="",0,IFERROR(--(EOMONTH(AF1173,0)&lt;&gt;AE$5),1))+IF(AI1173="",0,IFERROR(--(EOMONTH(AI1173,0)&lt;&gt;AH$5),1))+IF(AL1173="",0,IFERROR(--(EOMONTH(AL1173,0)&lt;&gt;AK$5),1))+IF(AO1173="",0,IFERROR(--(EOMONTH(AO1173,0)&lt;&gt;AN$5),1))+IF(AR1173="",0,IFERROR(--(EOMONTH(AR1173,0)&lt;&gt;AQ$5),1))+IF(AU1173="",0,IFERROR(--(EOMONTH(AU1173,0)&lt;&gt;AT$5),1))+IF(AX1173="",0,IFERROR(--(EOMONTH(AX1173,0)&lt;&gt;AW$5),1))+IF(BA1173="",0,IFERROR(--(EOMONTH(BA1173,0)&lt;&gt;AZ$5),1)))&gt;0,"; An invoice date is not in the month it is typed under",""),3,500))</f>
        <v/>
      </c>
      <c r="S1173" s="12" t="n"/>
      <c r="T1173" s="13" t="n"/>
      <c r="U1173" s="14" t="n"/>
      <c r="V1173" s="12" t="n"/>
      <c r="W1173" s="13" t="n"/>
      <c r="X1173" s="14" t="n"/>
      <c r="Y1173" s="12" t="n"/>
      <c r="Z1173" s="13" t="n"/>
      <c r="AA1173" s="14" t="n"/>
      <c r="AB1173" s="12" t="n"/>
      <c r="AC1173" s="13" t="n"/>
      <c r="AD1173" s="14" t="n"/>
      <c r="AE1173" s="12" t="n"/>
      <c r="AF1173" s="13" t="n"/>
      <c r="AG1173" s="14" t="n"/>
      <c r="AH1173" s="12" t="n"/>
      <c r="AI1173" s="13" t="n"/>
      <c r="AJ1173" s="14" t="n"/>
      <c r="AK1173" s="12" t="n"/>
      <c r="AL1173" s="13" t="n"/>
      <c r="AM1173" s="14" t="n"/>
      <c r="AN1173" s="12" t="n"/>
      <c r="AO1173" s="13" t="n"/>
      <c r="AP1173" s="14" t="n"/>
      <c r="AQ1173" s="12" t="n"/>
      <c r="AR1173" s="13" t="n"/>
      <c r="AS1173" s="14" t="n"/>
      <c r="AT1173" s="12" t="n"/>
      <c r="AU1173" s="13" t="n"/>
      <c r="AV1173" s="14" t="n"/>
      <c r="AW1173" s="12" t="n"/>
      <c r="AX1173" s="13" t="n"/>
      <c r="AY1173" s="14" t="n"/>
      <c r="AZ1173" s="12" t="n"/>
      <c r="BA1173" s="13" t="n"/>
      <c r="BB1173" s="14" t="n"/>
      <c r="BC1173" s="11">
        <f>IF(O1173="","",IF(J1173="GST 10%",ROUND(O1173*set_GSTRate,2),0))</f>
        <v/>
      </c>
      <c r="BD1173" s="11">
        <f>IF(O1173="","",O1173+BC1173)</f>
        <v/>
      </c>
      <c r="BE1173" s="15">
        <f>IF(O1173="","",COUNTA(S1173,V1173,Y1173,AB1173,AE1173,AH1173,AK1173,AN1173,AQ1173,AT1173,AW1173,AZ1173))</f>
        <v/>
      </c>
      <c r="BF1173" s="16">
        <f>IF(COUNT(T1173,W1173,Z1173,AC1173,AF1173,AI1173,AL1173,AO1173,AR1173,AU1173,AX1173,BA1173)=0,"",MAX(T1173,W1173,Z1173,AC1173,AF1173,AI1173,AL1173,AO1173,AR1173,AU1173,AX1173,BA1173))</f>
        <v/>
      </c>
      <c r="BG1173" s="10">
        <f>MID(IF(S1173="","",", "&amp;S1173)&amp;IF(V1173="","",", "&amp;V1173)&amp;IF(Y1173="","",", "&amp;Y1173)&amp;IF(AB1173="","",", "&amp;AB1173)&amp;IF(AE1173="","",", "&amp;AE1173)&amp;IF(AH1173="","",", "&amp;AH1173)&amp;IF(AK1173="","",", "&amp;AK1173)&amp;IF(AN1173="","",", "&amp;AN1173)&amp;IF(AQ1173="","",", "&amp;AQ1173)&amp;IF(AT1173="","",", "&amp;AT1173)&amp;IF(AW1173="","",", "&amp;AW1173)&amp;IF(AZ1173="","",", "&amp;AZ1173),3,500)</f>
        <v/>
      </c>
      <c r="BH1173" s="12" t="n"/>
      <c r="BI1173" s="15">
        <f>IFERROR(MATCH($A1173,IF($B1173="Onsite",tbl_Onsite[Row ID],IF($B1173="Production",tbl_Production[Row ID],tbl_Consulting[Row ID])),0),"")</f>
        <v/>
      </c>
    </row>
    <row r="1174">
      <c r="A1174" s="10" t="inlineStr">
        <is>
          <t>CON-0168</t>
        </is>
      </c>
      <c r="B1174" s="10" t="inlineStr">
        <is>
          <t>Consulting</t>
        </is>
      </c>
      <c r="C1174" s="10">
        <f>IF($BI1174="","",IF($B1174="Onsite",INDEX(tbl_Onsite[Job Number],$BI1174),IF($B1174="Production",INDEX(tbl_Production[Job Number],$BI1174),INDEX(tbl_Consulting[Job Number],$BI1174)))&amp;"")</f>
        <v/>
      </c>
      <c r="D1174" s="10">
        <f>IF($BI1174="","",IF($B1174="Onsite",INDEX(tbl_Onsite[Client],$BI1174),IF($B1174="Production",INDEX(tbl_Production[Client],$BI1174),INDEX(tbl_Consulting[Client],$BI1174)))&amp;"")</f>
        <v/>
      </c>
      <c r="E1174" s="10">
        <f>IF($C1174="","",IF(COUNTIF(lst_Jobs,$C1174)&gt;0,"OK","CHECK"))</f>
        <v/>
      </c>
      <c r="F1174" s="10">
        <f>IF($C1174="","",IFERROR(INDEX(lst_JobName,MATCH($C1174,lst_Jobs,0)),""))</f>
        <v/>
      </c>
      <c r="G1174" s="10">
        <f>IF($BI1174="","",IF($B1174="Onsite",INDEX(tbl_Onsite[Job Description],$BI1174),IF($B1174="Production",INDEX(tbl_Production[Job Description],$BI1174),INDEX(tbl_Consulting[Job Description],$BI1174)))&amp;"")</f>
        <v/>
      </c>
      <c r="H1174" s="10">
        <f>IF($BI1174="","",IF($B1174="Onsite",INDEX(tbl_Onsite[Cost Centre],$BI1174),IF($B1174="Production",INDEX(tbl_Production[Cost Centre],$BI1174),INDEX(tbl_Consulting[Cost Centre],$BI1174)))&amp;"")</f>
        <v/>
      </c>
      <c r="I1174" s="10">
        <f>IF($BI1174="","",IF($B1174="Onsite",INDEX(tbl_Onsite[Invoice Type],$BI1174),IF($B1174="Production",INDEX(tbl_Production[Invoice Type],$BI1174),INDEX(tbl_Consulting[Invoice Type],$BI1174)))&amp;"")</f>
        <v/>
      </c>
      <c r="J1174" s="10">
        <f>IF($BI1174="","",IF($B1174="Onsite",INDEX(tbl_Onsite[Tax Code],$BI1174),IF($B1174="Production",INDEX(tbl_Production[Tax Code],$BI1174),INDEX(tbl_Consulting[Tax Code],$BI1174)))&amp;"")</f>
        <v/>
      </c>
      <c r="K1174" s="10">
        <f>IF(H1174="","",IFERROR(INDEX(lst_CCtoGL,MATCH(H1174,lst_CCforGL,0)),""))</f>
        <v/>
      </c>
      <c r="L1174" s="10">
        <f>IF($BI1174="","",IF($B1174="Onsite",INDEX(tbl_Onsite[PO / Reference],$BI1174),IF($B1174="Production",INDEX(tbl_Production[Current RMS No],$BI1174),INDEX(tbl_Consulting[Qwilr Quote],$BI1174)))&amp;"")</f>
        <v/>
      </c>
      <c r="M1174" s="10">
        <f>IF($BI1174="","",IF($B1174="Onsite",INDEX(tbl_Onsite[Notes],$BI1174),IF($B1174="Production",INDEX(tbl_Production[Notes],$BI1174),INDEX(tbl_Consulting[Notes],$BI1174)))&amp;"")</f>
        <v/>
      </c>
      <c r="N1174" s="11">
        <f>IF($BI1174="","",IF(IF($B1174="Onsite",INDEX(tbl_Onsite[Expected Revenue Ex GST],$BI1174),IF($B1174="Production",INDEX(tbl_Production[Expected Revenue Ex GST],$BI1174),INDEX(tbl_Consulting[Expected Revenue Ex GST],$BI1174)))="","",IF($B1174="Onsite",INDEX(tbl_Onsite[Expected Revenue Ex GST],$BI1174),IF($B1174="Production",INDEX(tbl_Production[Expected Revenue Ex GST],$BI1174),INDEX(tbl_Consulting[Expected Revenue Ex GST],$BI1174)))))</f>
        <v/>
      </c>
      <c r="O1174" s="11">
        <f>IF(AND($C1174="",NOT(COUNTA($S1174:$BB1174)&gt;0)),"",SUM(U1174,X1174,AA1174,AD1174,AG1174,AJ1174,AM1174,AP1174,AS1174,AV1174,AY1174,BB1174))</f>
        <v/>
      </c>
      <c r="P1174" s="11">
        <f>IF(O1174="","",N(N1174)-O1174)</f>
        <v/>
      </c>
      <c r="Q1174" s="10">
        <f>IF(O1174="","",IF($C1174="","Invoice on empty job row",IF(N1174="",IF(ROUND(O1174,2)=0,"No dept value","Invoiced - no dept value"),IF(ROUND(O1174,2)=0,"Not invoiced - to invoice",IF(ROUND(P1174,2)=0,"Agrees",IF(P1174&gt;0,"Dept higher - to invoice","Xero higher - check dept"))))))</f>
        <v/>
      </c>
      <c r="R1174" s="10">
        <f>IF(AND($C1174="",NOT(COUNTA($S1174:$BB1174)&gt;0),$BI1174&lt;&gt;""),"",MID(IF($BI1174="","; Row ID not found on the department sheet - a row was deleted","")&amp;IF(AND($C1174="",COUNTA($S1174:$BB1174)&gt;0),"; Invoice entered but the department row has no job number","")&amp;IF(E1174="CHECK","; Job number not in the Xero job list","")&amp;IF(AND($C1174&lt;&gt;"",COUNTIF($C$7:$C$1506,$C1174)&gt;1),"; Job number on more than one row","")&amp;IF(AND($C1174&lt;&gt;"",H1174=""),"; Dept has not set a cost centre","")&amp;IF(AND($C1174&lt;&gt;"",J1174=""),"; Dept has not set a tax code","")&amp;IF(AND($C1174&lt;&gt;"",N1174=""),"; Dept has not entered an expected value","")&amp;IF((IF(OR(COUNTA(S1174:U1174)=0,AND(COUNTA(S1174:U1174)=3,ISNUMBER(U1174))),0,1)+IF(OR(COUNTA(V1174:X1174)=0,AND(COUNTA(V1174:X1174)=3,ISNUMBER(X1174))),0,1)+IF(OR(COUNTA(Y1174:AA1174)=0,AND(COUNTA(Y1174:AA1174)=3,ISNUMBER(AA1174))),0,1)+IF(OR(COUNTA(AB1174:AD1174)=0,AND(COUNTA(AB1174:AD1174)=3,ISNUMBER(AD1174))),0,1)+IF(OR(COUNTA(AE1174:AG1174)=0,AND(COUNTA(AE1174:AG1174)=3,ISNUMBER(AG1174))),0,1)+IF(OR(COUNTA(AH1174:AJ1174)=0,AND(COUNTA(AH1174:AJ1174)=3,ISNUMBER(AJ1174))),0,1)+IF(OR(COUNTA(AK1174:AM1174)=0,AND(COUNTA(AK1174:AM1174)=3,ISNUMBER(AM1174))),0,1)+IF(OR(COUNTA(AN1174:AP1174)=0,AND(COUNTA(AN1174:AP1174)=3,ISNUMBER(AP1174))),0,1)+IF(OR(COUNTA(AQ1174:AS1174)=0,AND(COUNTA(AQ1174:AS1174)=3,ISNUMBER(AS1174))),0,1)+IF(OR(COUNTA(AT1174:AV1174)=0,AND(COUNTA(AT1174:AV1174)=3,ISNUMBER(AV1174))),0,1)+IF(OR(COUNTA(AW1174:AY1174)=0,AND(COUNTA(AW1174:AY1174)=3,ISNUMBER(AY1174))),0,1)+IF(OR(COUNTA(AZ1174:BB1174)=0,AND(COUNTA(AZ1174:BB1174)=3,ISNUMBER(BB1174))),0,1))&gt;0,"; An invoice is incomplete (needs No, Date and a number in Ex GST)","")&amp;IF((IF(T1174="",0,IFERROR(--(EOMONTH(T1174,0)&lt;&gt;S$5),1))+IF(W1174="",0,IFERROR(--(EOMONTH(W1174,0)&lt;&gt;V$5),1))+IF(Z1174="",0,IFERROR(--(EOMONTH(Z1174,0)&lt;&gt;Y$5),1))+IF(AC1174="",0,IFERROR(--(EOMONTH(AC1174,0)&lt;&gt;AB$5),1))+IF(AF1174="",0,IFERROR(--(EOMONTH(AF1174,0)&lt;&gt;AE$5),1))+IF(AI1174="",0,IFERROR(--(EOMONTH(AI1174,0)&lt;&gt;AH$5),1))+IF(AL1174="",0,IFERROR(--(EOMONTH(AL1174,0)&lt;&gt;AK$5),1))+IF(AO1174="",0,IFERROR(--(EOMONTH(AO1174,0)&lt;&gt;AN$5),1))+IF(AR1174="",0,IFERROR(--(EOMONTH(AR1174,0)&lt;&gt;AQ$5),1))+IF(AU1174="",0,IFERROR(--(EOMONTH(AU1174,0)&lt;&gt;AT$5),1))+IF(AX1174="",0,IFERROR(--(EOMONTH(AX1174,0)&lt;&gt;AW$5),1))+IF(BA1174="",0,IFERROR(--(EOMONTH(BA1174,0)&lt;&gt;AZ$5),1)))&gt;0,"; An invoice date is not in the month it is typed under",""),3,500))</f>
        <v/>
      </c>
      <c r="S1174" s="12" t="n"/>
      <c r="T1174" s="13" t="n"/>
      <c r="U1174" s="14" t="n"/>
      <c r="V1174" s="12" t="n"/>
      <c r="W1174" s="13" t="n"/>
      <c r="X1174" s="14" t="n"/>
      <c r="Y1174" s="12" t="n"/>
      <c r="Z1174" s="13" t="n"/>
      <c r="AA1174" s="14" t="n"/>
      <c r="AB1174" s="12" t="n"/>
      <c r="AC1174" s="13" t="n"/>
      <c r="AD1174" s="14" t="n"/>
      <c r="AE1174" s="12" t="n"/>
      <c r="AF1174" s="13" t="n"/>
      <c r="AG1174" s="14" t="n"/>
      <c r="AH1174" s="12" t="n"/>
      <c r="AI1174" s="13" t="n"/>
      <c r="AJ1174" s="14" t="n"/>
      <c r="AK1174" s="12" t="n"/>
      <c r="AL1174" s="13" t="n"/>
      <c r="AM1174" s="14" t="n"/>
      <c r="AN1174" s="12" t="n"/>
      <c r="AO1174" s="13" t="n"/>
      <c r="AP1174" s="14" t="n"/>
      <c r="AQ1174" s="12" t="n"/>
      <c r="AR1174" s="13" t="n"/>
      <c r="AS1174" s="14" t="n"/>
      <c r="AT1174" s="12" t="n"/>
      <c r="AU1174" s="13" t="n"/>
      <c r="AV1174" s="14" t="n"/>
      <c r="AW1174" s="12" t="n"/>
      <c r="AX1174" s="13" t="n"/>
      <c r="AY1174" s="14" t="n"/>
      <c r="AZ1174" s="12" t="n"/>
      <c r="BA1174" s="13" t="n"/>
      <c r="BB1174" s="14" t="n"/>
      <c r="BC1174" s="11">
        <f>IF(O1174="","",IF(J1174="GST 10%",ROUND(O1174*set_GSTRate,2),0))</f>
        <v/>
      </c>
      <c r="BD1174" s="11">
        <f>IF(O1174="","",O1174+BC1174)</f>
        <v/>
      </c>
      <c r="BE1174" s="15">
        <f>IF(O1174="","",COUNTA(S1174,V1174,Y1174,AB1174,AE1174,AH1174,AK1174,AN1174,AQ1174,AT1174,AW1174,AZ1174))</f>
        <v/>
      </c>
      <c r="BF1174" s="16">
        <f>IF(COUNT(T1174,W1174,Z1174,AC1174,AF1174,AI1174,AL1174,AO1174,AR1174,AU1174,AX1174,BA1174)=0,"",MAX(T1174,W1174,Z1174,AC1174,AF1174,AI1174,AL1174,AO1174,AR1174,AU1174,AX1174,BA1174))</f>
        <v/>
      </c>
      <c r="BG1174" s="10">
        <f>MID(IF(S1174="","",", "&amp;S1174)&amp;IF(V1174="","",", "&amp;V1174)&amp;IF(Y1174="","",", "&amp;Y1174)&amp;IF(AB1174="","",", "&amp;AB1174)&amp;IF(AE1174="","",", "&amp;AE1174)&amp;IF(AH1174="","",", "&amp;AH1174)&amp;IF(AK1174="","",", "&amp;AK1174)&amp;IF(AN1174="","",", "&amp;AN1174)&amp;IF(AQ1174="","",", "&amp;AQ1174)&amp;IF(AT1174="","",", "&amp;AT1174)&amp;IF(AW1174="","",", "&amp;AW1174)&amp;IF(AZ1174="","",", "&amp;AZ1174),3,500)</f>
        <v/>
      </c>
      <c r="BH1174" s="12" t="n"/>
      <c r="BI1174" s="15">
        <f>IFERROR(MATCH($A1174,IF($B1174="Onsite",tbl_Onsite[Row ID],IF($B1174="Production",tbl_Production[Row ID],tbl_Consulting[Row ID])),0),"")</f>
        <v/>
      </c>
    </row>
    <row r="1175">
      <c r="A1175" s="10" t="inlineStr">
        <is>
          <t>CON-0169</t>
        </is>
      </c>
      <c r="B1175" s="10" t="inlineStr">
        <is>
          <t>Consulting</t>
        </is>
      </c>
      <c r="C1175" s="10">
        <f>IF($BI1175="","",IF($B1175="Onsite",INDEX(tbl_Onsite[Job Number],$BI1175),IF($B1175="Production",INDEX(tbl_Production[Job Number],$BI1175),INDEX(tbl_Consulting[Job Number],$BI1175)))&amp;"")</f>
        <v/>
      </c>
      <c r="D1175" s="10">
        <f>IF($BI1175="","",IF($B1175="Onsite",INDEX(tbl_Onsite[Client],$BI1175),IF($B1175="Production",INDEX(tbl_Production[Client],$BI1175),INDEX(tbl_Consulting[Client],$BI1175)))&amp;"")</f>
        <v/>
      </c>
      <c r="E1175" s="10">
        <f>IF($C1175="","",IF(COUNTIF(lst_Jobs,$C1175)&gt;0,"OK","CHECK"))</f>
        <v/>
      </c>
      <c r="F1175" s="10">
        <f>IF($C1175="","",IFERROR(INDEX(lst_JobName,MATCH($C1175,lst_Jobs,0)),""))</f>
        <v/>
      </c>
      <c r="G1175" s="10">
        <f>IF($BI1175="","",IF($B1175="Onsite",INDEX(tbl_Onsite[Job Description],$BI1175),IF($B1175="Production",INDEX(tbl_Production[Job Description],$BI1175),INDEX(tbl_Consulting[Job Description],$BI1175)))&amp;"")</f>
        <v/>
      </c>
      <c r="H1175" s="10">
        <f>IF($BI1175="","",IF($B1175="Onsite",INDEX(tbl_Onsite[Cost Centre],$BI1175),IF($B1175="Production",INDEX(tbl_Production[Cost Centre],$BI1175),INDEX(tbl_Consulting[Cost Centre],$BI1175)))&amp;"")</f>
        <v/>
      </c>
      <c r="I1175" s="10">
        <f>IF($BI1175="","",IF($B1175="Onsite",INDEX(tbl_Onsite[Invoice Type],$BI1175),IF($B1175="Production",INDEX(tbl_Production[Invoice Type],$BI1175),INDEX(tbl_Consulting[Invoice Type],$BI1175)))&amp;"")</f>
        <v/>
      </c>
      <c r="J1175" s="10">
        <f>IF($BI1175="","",IF($B1175="Onsite",INDEX(tbl_Onsite[Tax Code],$BI1175),IF($B1175="Production",INDEX(tbl_Production[Tax Code],$BI1175),INDEX(tbl_Consulting[Tax Code],$BI1175)))&amp;"")</f>
        <v/>
      </c>
      <c r="K1175" s="10">
        <f>IF(H1175="","",IFERROR(INDEX(lst_CCtoGL,MATCH(H1175,lst_CCforGL,0)),""))</f>
        <v/>
      </c>
      <c r="L1175" s="10">
        <f>IF($BI1175="","",IF($B1175="Onsite",INDEX(tbl_Onsite[PO / Reference],$BI1175),IF($B1175="Production",INDEX(tbl_Production[Current RMS No],$BI1175),INDEX(tbl_Consulting[Qwilr Quote],$BI1175)))&amp;"")</f>
        <v/>
      </c>
      <c r="M1175" s="10">
        <f>IF($BI1175="","",IF($B1175="Onsite",INDEX(tbl_Onsite[Notes],$BI1175),IF($B1175="Production",INDEX(tbl_Production[Notes],$BI1175),INDEX(tbl_Consulting[Notes],$BI1175)))&amp;"")</f>
        <v/>
      </c>
      <c r="N1175" s="11">
        <f>IF($BI1175="","",IF(IF($B1175="Onsite",INDEX(tbl_Onsite[Expected Revenue Ex GST],$BI1175),IF($B1175="Production",INDEX(tbl_Production[Expected Revenue Ex GST],$BI1175),INDEX(tbl_Consulting[Expected Revenue Ex GST],$BI1175)))="","",IF($B1175="Onsite",INDEX(tbl_Onsite[Expected Revenue Ex GST],$BI1175),IF($B1175="Production",INDEX(tbl_Production[Expected Revenue Ex GST],$BI1175),INDEX(tbl_Consulting[Expected Revenue Ex GST],$BI1175)))))</f>
        <v/>
      </c>
      <c r="O1175" s="11">
        <f>IF(AND($C1175="",NOT(COUNTA($S1175:$BB1175)&gt;0)),"",SUM(U1175,X1175,AA1175,AD1175,AG1175,AJ1175,AM1175,AP1175,AS1175,AV1175,AY1175,BB1175))</f>
        <v/>
      </c>
      <c r="P1175" s="11">
        <f>IF(O1175="","",N(N1175)-O1175)</f>
        <v/>
      </c>
      <c r="Q1175" s="10">
        <f>IF(O1175="","",IF($C1175="","Invoice on empty job row",IF(N1175="",IF(ROUND(O1175,2)=0,"No dept value","Invoiced - no dept value"),IF(ROUND(O1175,2)=0,"Not invoiced - to invoice",IF(ROUND(P1175,2)=0,"Agrees",IF(P1175&gt;0,"Dept higher - to invoice","Xero higher - check dept"))))))</f>
        <v/>
      </c>
      <c r="R1175" s="10">
        <f>IF(AND($C1175="",NOT(COUNTA($S1175:$BB1175)&gt;0),$BI1175&lt;&gt;""),"",MID(IF($BI1175="","; Row ID not found on the department sheet - a row was deleted","")&amp;IF(AND($C1175="",COUNTA($S1175:$BB1175)&gt;0),"; Invoice entered but the department row has no job number","")&amp;IF(E1175="CHECK","; Job number not in the Xero job list","")&amp;IF(AND($C1175&lt;&gt;"",COUNTIF($C$7:$C$1506,$C1175)&gt;1),"; Job number on more than one row","")&amp;IF(AND($C1175&lt;&gt;"",H1175=""),"; Dept has not set a cost centre","")&amp;IF(AND($C1175&lt;&gt;"",J1175=""),"; Dept has not set a tax code","")&amp;IF(AND($C1175&lt;&gt;"",N1175=""),"; Dept has not entered an expected value","")&amp;IF((IF(OR(COUNTA(S1175:U1175)=0,AND(COUNTA(S1175:U1175)=3,ISNUMBER(U1175))),0,1)+IF(OR(COUNTA(V1175:X1175)=0,AND(COUNTA(V1175:X1175)=3,ISNUMBER(X1175))),0,1)+IF(OR(COUNTA(Y1175:AA1175)=0,AND(COUNTA(Y1175:AA1175)=3,ISNUMBER(AA1175))),0,1)+IF(OR(COUNTA(AB1175:AD1175)=0,AND(COUNTA(AB1175:AD1175)=3,ISNUMBER(AD1175))),0,1)+IF(OR(COUNTA(AE1175:AG1175)=0,AND(COUNTA(AE1175:AG1175)=3,ISNUMBER(AG1175))),0,1)+IF(OR(COUNTA(AH1175:AJ1175)=0,AND(COUNTA(AH1175:AJ1175)=3,ISNUMBER(AJ1175))),0,1)+IF(OR(COUNTA(AK1175:AM1175)=0,AND(COUNTA(AK1175:AM1175)=3,ISNUMBER(AM1175))),0,1)+IF(OR(COUNTA(AN1175:AP1175)=0,AND(COUNTA(AN1175:AP1175)=3,ISNUMBER(AP1175))),0,1)+IF(OR(COUNTA(AQ1175:AS1175)=0,AND(COUNTA(AQ1175:AS1175)=3,ISNUMBER(AS1175))),0,1)+IF(OR(COUNTA(AT1175:AV1175)=0,AND(COUNTA(AT1175:AV1175)=3,ISNUMBER(AV1175))),0,1)+IF(OR(COUNTA(AW1175:AY1175)=0,AND(COUNTA(AW1175:AY1175)=3,ISNUMBER(AY1175))),0,1)+IF(OR(COUNTA(AZ1175:BB1175)=0,AND(COUNTA(AZ1175:BB1175)=3,ISNUMBER(BB1175))),0,1))&gt;0,"; An invoice is incomplete (needs No, Date and a number in Ex GST)","")&amp;IF((IF(T1175="",0,IFERROR(--(EOMONTH(T1175,0)&lt;&gt;S$5),1))+IF(W1175="",0,IFERROR(--(EOMONTH(W1175,0)&lt;&gt;V$5),1))+IF(Z1175="",0,IFERROR(--(EOMONTH(Z1175,0)&lt;&gt;Y$5),1))+IF(AC1175="",0,IFERROR(--(EOMONTH(AC1175,0)&lt;&gt;AB$5),1))+IF(AF1175="",0,IFERROR(--(EOMONTH(AF1175,0)&lt;&gt;AE$5),1))+IF(AI1175="",0,IFERROR(--(EOMONTH(AI1175,0)&lt;&gt;AH$5),1))+IF(AL1175="",0,IFERROR(--(EOMONTH(AL1175,0)&lt;&gt;AK$5),1))+IF(AO1175="",0,IFERROR(--(EOMONTH(AO1175,0)&lt;&gt;AN$5),1))+IF(AR1175="",0,IFERROR(--(EOMONTH(AR1175,0)&lt;&gt;AQ$5),1))+IF(AU1175="",0,IFERROR(--(EOMONTH(AU1175,0)&lt;&gt;AT$5),1))+IF(AX1175="",0,IFERROR(--(EOMONTH(AX1175,0)&lt;&gt;AW$5),1))+IF(BA1175="",0,IFERROR(--(EOMONTH(BA1175,0)&lt;&gt;AZ$5),1)))&gt;0,"; An invoice date is not in the month it is typed under",""),3,500))</f>
        <v/>
      </c>
      <c r="S1175" s="12" t="n"/>
      <c r="T1175" s="13" t="n"/>
      <c r="U1175" s="14" t="n"/>
      <c r="V1175" s="12" t="n"/>
      <c r="W1175" s="13" t="n"/>
      <c r="X1175" s="14" t="n"/>
      <c r="Y1175" s="12" t="n"/>
      <c r="Z1175" s="13" t="n"/>
      <c r="AA1175" s="14" t="n"/>
      <c r="AB1175" s="12" t="n"/>
      <c r="AC1175" s="13" t="n"/>
      <c r="AD1175" s="14" t="n"/>
      <c r="AE1175" s="12" t="n"/>
      <c r="AF1175" s="13" t="n"/>
      <c r="AG1175" s="14" t="n"/>
      <c r="AH1175" s="12" t="n"/>
      <c r="AI1175" s="13" t="n"/>
      <c r="AJ1175" s="14" t="n"/>
      <c r="AK1175" s="12" t="n"/>
      <c r="AL1175" s="13" t="n"/>
      <c r="AM1175" s="14" t="n"/>
      <c r="AN1175" s="12" t="n"/>
      <c r="AO1175" s="13" t="n"/>
      <c r="AP1175" s="14" t="n"/>
      <c r="AQ1175" s="12" t="n"/>
      <c r="AR1175" s="13" t="n"/>
      <c r="AS1175" s="14" t="n"/>
      <c r="AT1175" s="12" t="n"/>
      <c r="AU1175" s="13" t="n"/>
      <c r="AV1175" s="14" t="n"/>
      <c r="AW1175" s="12" t="n"/>
      <c r="AX1175" s="13" t="n"/>
      <c r="AY1175" s="14" t="n"/>
      <c r="AZ1175" s="12" t="n"/>
      <c r="BA1175" s="13" t="n"/>
      <c r="BB1175" s="14" t="n"/>
      <c r="BC1175" s="11">
        <f>IF(O1175="","",IF(J1175="GST 10%",ROUND(O1175*set_GSTRate,2),0))</f>
        <v/>
      </c>
      <c r="BD1175" s="11">
        <f>IF(O1175="","",O1175+BC1175)</f>
        <v/>
      </c>
      <c r="BE1175" s="15">
        <f>IF(O1175="","",COUNTA(S1175,V1175,Y1175,AB1175,AE1175,AH1175,AK1175,AN1175,AQ1175,AT1175,AW1175,AZ1175))</f>
        <v/>
      </c>
      <c r="BF1175" s="16">
        <f>IF(COUNT(T1175,W1175,Z1175,AC1175,AF1175,AI1175,AL1175,AO1175,AR1175,AU1175,AX1175,BA1175)=0,"",MAX(T1175,W1175,Z1175,AC1175,AF1175,AI1175,AL1175,AO1175,AR1175,AU1175,AX1175,BA1175))</f>
        <v/>
      </c>
      <c r="BG1175" s="10">
        <f>MID(IF(S1175="","",", "&amp;S1175)&amp;IF(V1175="","",", "&amp;V1175)&amp;IF(Y1175="","",", "&amp;Y1175)&amp;IF(AB1175="","",", "&amp;AB1175)&amp;IF(AE1175="","",", "&amp;AE1175)&amp;IF(AH1175="","",", "&amp;AH1175)&amp;IF(AK1175="","",", "&amp;AK1175)&amp;IF(AN1175="","",", "&amp;AN1175)&amp;IF(AQ1175="","",", "&amp;AQ1175)&amp;IF(AT1175="","",", "&amp;AT1175)&amp;IF(AW1175="","",", "&amp;AW1175)&amp;IF(AZ1175="","",", "&amp;AZ1175),3,500)</f>
        <v/>
      </c>
      <c r="BH1175" s="12" t="n"/>
      <c r="BI1175" s="15">
        <f>IFERROR(MATCH($A1175,IF($B1175="Onsite",tbl_Onsite[Row ID],IF($B1175="Production",tbl_Production[Row ID],tbl_Consulting[Row ID])),0),"")</f>
        <v/>
      </c>
    </row>
    <row r="1176">
      <c r="A1176" s="10" t="inlineStr">
        <is>
          <t>CON-0170</t>
        </is>
      </c>
      <c r="B1176" s="10" t="inlineStr">
        <is>
          <t>Consulting</t>
        </is>
      </c>
      <c r="C1176" s="10">
        <f>IF($BI1176="","",IF($B1176="Onsite",INDEX(tbl_Onsite[Job Number],$BI1176),IF($B1176="Production",INDEX(tbl_Production[Job Number],$BI1176),INDEX(tbl_Consulting[Job Number],$BI1176)))&amp;"")</f>
        <v/>
      </c>
      <c r="D1176" s="10">
        <f>IF($BI1176="","",IF($B1176="Onsite",INDEX(tbl_Onsite[Client],$BI1176),IF($B1176="Production",INDEX(tbl_Production[Client],$BI1176),INDEX(tbl_Consulting[Client],$BI1176)))&amp;"")</f>
        <v/>
      </c>
      <c r="E1176" s="10">
        <f>IF($C1176="","",IF(COUNTIF(lst_Jobs,$C1176)&gt;0,"OK","CHECK"))</f>
        <v/>
      </c>
      <c r="F1176" s="10">
        <f>IF($C1176="","",IFERROR(INDEX(lst_JobName,MATCH($C1176,lst_Jobs,0)),""))</f>
        <v/>
      </c>
      <c r="G1176" s="10">
        <f>IF($BI1176="","",IF($B1176="Onsite",INDEX(tbl_Onsite[Job Description],$BI1176),IF($B1176="Production",INDEX(tbl_Production[Job Description],$BI1176),INDEX(tbl_Consulting[Job Description],$BI1176)))&amp;"")</f>
        <v/>
      </c>
      <c r="H1176" s="10">
        <f>IF($BI1176="","",IF($B1176="Onsite",INDEX(tbl_Onsite[Cost Centre],$BI1176),IF($B1176="Production",INDEX(tbl_Production[Cost Centre],$BI1176),INDEX(tbl_Consulting[Cost Centre],$BI1176)))&amp;"")</f>
        <v/>
      </c>
      <c r="I1176" s="10">
        <f>IF($BI1176="","",IF($B1176="Onsite",INDEX(tbl_Onsite[Invoice Type],$BI1176),IF($B1176="Production",INDEX(tbl_Production[Invoice Type],$BI1176),INDEX(tbl_Consulting[Invoice Type],$BI1176)))&amp;"")</f>
        <v/>
      </c>
      <c r="J1176" s="10">
        <f>IF($BI1176="","",IF($B1176="Onsite",INDEX(tbl_Onsite[Tax Code],$BI1176),IF($B1176="Production",INDEX(tbl_Production[Tax Code],$BI1176),INDEX(tbl_Consulting[Tax Code],$BI1176)))&amp;"")</f>
        <v/>
      </c>
      <c r="K1176" s="10">
        <f>IF(H1176="","",IFERROR(INDEX(lst_CCtoGL,MATCH(H1176,lst_CCforGL,0)),""))</f>
        <v/>
      </c>
      <c r="L1176" s="10">
        <f>IF($BI1176="","",IF($B1176="Onsite",INDEX(tbl_Onsite[PO / Reference],$BI1176),IF($B1176="Production",INDEX(tbl_Production[Current RMS No],$BI1176),INDEX(tbl_Consulting[Qwilr Quote],$BI1176)))&amp;"")</f>
        <v/>
      </c>
      <c r="M1176" s="10">
        <f>IF($BI1176="","",IF($B1176="Onsite",INDEX(tbl_Onsite[Notes],$BI1176),IF($B1176="Production",INDEX(tbl_Production[Notes],$BI1176),INDEX(tbl_Consulting[Notes],$BI1176)))&amp;"")</f>
        <v/>
      </c>
      <c r="N1176" s="11">
        <f>IF($BI1176="","",IF(IF($B1176="Onsite",INDEX(tbl_Onsite[Expected Revenue Ex GST],$BI1176),IF($B1176="Production",INDEX(tbl_Production[Expected Revenue Ex GST],$BI1176),INDEX(tbl_Consulting[Expected Revenue Ex GST],$BI1176)))="","",IF($B1176="Onsite",INDEX(tbl_Onsite[Expected Revenue Ex GST],$BI1176),IF($B1176="Production",INDEX(tbl_Production[Expected Revenue Ex GST],$BI1176),INDEX(tbl_Consulting[Expected Revenue Ex GST],$BI1176)))))</f>
        <v/>
      </c>
      <c r="O1176" s="11">
        <f>IF(AND($C1176="",NOT(COUNTA($S1176:$BB1176)&gt;0)),"",SUM(U1176,X1176,AA1176,AD1176,AG1176,AJ1176,AM1176,AP1176,AS1176,AV1176,AY1176,BB1176))</f>
        <v/>
      </c>
      <c r="P1176" s="11">
        <f>IF(O1176="","",N(N1176)-O1176)</f>
        <v/>
      </c>
      <c r="Q1176" s="10">
        <f>IF(O1176="","",IF($C1176="","Invoice on empty job row",IF(N1176="",IF(ROUND(O1176,2)=0,"No dept value","Invoiced - no dept value"),IF(ROUND(O1176,2)=0,"Not invoiced - to invoice",IF(ROUND(P1176,2)=0,"Agrees",IF(P1176&gt;0,"Dept higher - to invoice","Xero higher - check dept"))))))</f>
        <v/>
      </c>
      <c r="R1176" s="10">
        <f>IF(AND($C1176="",NOT(COUNTA($S1176:$BB1176)&gt;0),$BI1176&lt;&gt;""),"",MID(IF($BI1176="","; Row ID not found on the department sheet - a row was deleted","")&amp;IF(AND($C1176="",COUNTA($S1176:$BB1176)&gt;0),"; Invoice entered but the department row has no job number","")&amp;IF(E1176="CHECK","; Job number not in the Xero job list","")&amp;IF(AND($C1176&lt;&gt;"",COUNTIF($C$7:$C$1506,$C1176)&gt;1),"; Job number on more than one row","")&amp;IF(AND($C1176&lt;&gt;"",H1176=""),"; Dept has not set a cost centre","")&amp;IF(AND($C1176&lt;&gt;"",J1176=""),"; Dept has not set a tax code","")&amp;IF(AND($C1176&lt;&gt;"",N1176=""),"; Dept has not entered an expected value","")&amp;IF((IF(OR(COUNTA(S1176:U1176)=0,AND(COUNTA(S1176:U1176)=3,ISNUMBER(U1176))),0,1)+IF(OR(COUNTA(V1176:X1176)=0,AND(COUNTA(V1176:X1176)=3,ISNUMBER(X1176))),0,1)+IF(OR(COUNTA(Y1176:AA1176)=0,AND(COUNTA(Y1176:AA1176)=3,ISNUMBER(AA1176))),0,1)+IF(OR(COUNTA(AB1176:AD1176)=0,AND(COUNTA(AB1176:AD1176)=3,ISNUMBER(AD1176))),0,1)+IF(OR(COUNTA(AE1176:AG1176)=0,AND(COUNTA(AE1176:AG1176)=3,ISNUMBER(AG1176))),0,1)+IF(OR(COUNTA(AH1176:AJ1176)=0,AND(COUNTA(AH1176:AJ1176)=3,ISNUMBER(AJ1176))),0,1)+IF(OR(COUNTA(AK1176:AM1176)=0,AND(COUNTA(AK1176:AM1176)=3,ISNUMBER(AM1176))),0,1)+IF(OR(COUNTA(AN1176:AP1176)=0,AND(COUNTA(AN1176:AP1176)=3,ISNUMBER(AP1176))),0,1)+IF(OR(COUNTA(AQ1176:AS1176)=0,AND(COUNTA(AQ1176:AS1176)=3,ISNUMBER(AS1176))),0,1)+IF(OR(COUNTA(AT1176:AV1176)=0,AND(COUNTA(AT1176:AV1176)=3,ISNUMBER(AV1176))),0,1)+IF(OR(COUNTA(AW1176:AY1176)=0,AND(COUNTA(AW1176:AY1176)=3,ISNUMBER(AY1176))),0,1)+IF(OR(COUNTA(AZ1176:BB1176)=0,AND(COUNTA(AZ1176:BB1176)=3,ISNUMBER(BB1176))),0,1))&gt;0,"; An invoice is incomplete (needs No, Date and a number in Ex GST)","")&amp;IF((IF(T1176="",0,IFERROR(--(EOMONTH(T1176,0)&lt;&gt;S$5),1))+IF(W1176="",0,IFERROR(--(EOMONTH(W1176,0)&lt;&gt;V$5),1))+IF(Z1176="",0,IFERROR(--(EOMONTH(Z1176,0)&lt;&gt;Y$5),1))+IF(AC1176="",0,IFERROR(--(EOMONTH(AC1176,0)&lt;&gt;AB$5),1))+IF(AF1176="",0,IFERROR(--(EOMONTH(AF1176,0)&lt;&gt;AE$5),1))+IF(AI1176="",0,IFERROR(--(EOMONTH(AI1176,0)&lt;&gt;AH$5),1))+IF(AL1176="",0,IFERROR(--(EOMONTH(AL1176,0)&lt;&gt;AK$5),1))+IF(AO1176="",0,IFERROR(--(EOMONTH(AO1176,0)&lt;&gt;AN$5),1))+IF(AR1176="",0,IFERROR(--(EOMONTH(AR1176,0)&lt;&gt;AQ$5),1))+IF(AU1176="",0,IFERROR(--(EOMONTH(AU1176,0)&lt;&gt;AT$5),1))+IF(AX1176="",0,IFERROR(--(EOMONTH(AX1176,0)&lt;&gt;AW$5),1))+IF(BA1176="",0,IFERROR(--(EOMONTH(BA1176,0)&lt;&gt;AZ$5),1)))&gt;0,"; An invoice date is not in the month it is typed under",""),3,500))</f>
        <v/>
      </c>
      <c r="S1176" s="12" t="n"/>
      <c r="T1176" s="13" t="n"/>
      <c r="U1176" s="14" t="n"/>
      <c r="V1176" s="12" t="n"/>
      <c r="W1176" s="13" t="n"/>
      <c r="X1176" s="14" t="n"/>
      <c r="Y1176" s="12" t="n"/>
      <c r="Z1176" s="13" t="n"/>
      <c r="AA1176" s="14" t="n"/>
      <c r="AB1176" s="12" t="n"/>
      <c r="AC1176" s="13" t="n"/>
      <c r="AD1176" s="14" t="n"/>
      <c r="AE1176" s="12" t="n"/>
      <c r="AF1176" s="13" t="n"/>
      <c r="AG1176" s="14" t="n"/>
      <c r="AH1176" s="12" t="n"/>
      <c r="AI1176" s="13" t="n"/>
      <c r="AJ1176" s="14" t="n"/>
      <c r="AK1176" s="12" t="n"/>
      <c r="AL1176" s="13" t="n"/>
      <c r="AM1176" s="14" t="n"/>
      <c r="AN1176" s="12" t="n"/>
      <c r="AO1176" s="13" t="n"/>
      <c r="AP1176" s="14" t="n"/>
      <c r="AQ1176" s="12" t="n"/>
      <c r="AR1176" s="13" t="n"/>
      <c r="AS1176" s="14" t="n"/>
      <c r="AT1176" s="12" t="n"/>
      <c r="AU1176" s="13" t="n"/>
      <c r="AV1176" s="14" t="n"/>
      <c r="AW1176" s="12" t="n"/>
      <c r="AX1176" s="13" t="n"/>
      <c r="AY1176" s="14" t="n"/>
      <c r="AZ1176" s="12" t="n"/>
      <c r="BA1176" s="13" t="n"/>
      <c r="BB1176" s="14" t="n"/>
      <c r="BC1176" s="11">
        <f>IF(O1176="","",IF(J1176="GST 10%",ROUND(O1176*set_GSTRate,2),0))</f>
        <v/>
      </c>
      <c r="BD1176" s="11">
        <f>IF(O1176="","",O1176+BC1176)</f>
        <v/>
      </c>
      <c r="BE1176" s="15">
        <f>IF(O1176="","",COUNTA(S1176,V1176,Y1176,AB1176,AE1176,AH1176,AK1176,AN1176,AQ1176,AT1176,AW1176,AZ1176))</f>
        <v/>
      </c>
      <c r="BF1176" s="16">
        <f>IF(COUNT(T1176,W1176,Z1176,AC1176,AF1176,AI1176,AL1176,AO1176,AR1176,AU1176,AX1176,BA1176)=0,"",MAX(T1176,W1176,Z1176,AC1176,AF1176,AI1176,AL1176,AO1176,AR1176,AU1176,AX1176,BA1176))</f>
        <v/>
      </c>
      <c r="BG1176" s="10">
        <f>MID(IF(S1176="","",", "&amp;S1176)&amp;IF(V1176="","",", "&amp;V1176)&amp;IF(Y1176="","",", "&amp;Y1176)&amp;IF(AB1176="","",", "&amp;AB1176)&amp;IF(AE1176="","",", "&amp;AE1176)&amp;IF(AH1176="","",", "&amp;AH1176)&amp;IF(AK1176="","",", "&amp;AK1176)&amp;IF(AN1176="","",", "&amp;AN1176)&amp;IF(AQ1176="","",", "&amp;AQ1176)&amp;IF(AT1176="","",", "&amp;AT1176)&amp;IF(AW1176="","",", "&amp;AW1176)&amp;IF(AZ1176="","",", "&amp;AZ1176),3,500)</f>
        <v/>
      </c>
      <c r="BH1176" s="12" t="n"/>
      <c r="BI1176" s="15">
        <f>IFERROR(MATCH($A1176,IF($B1176="Onsite",tbl_Onsite[Row ID],IF($B1176="Production",tbl_Production[Row ID],tbl_Consulting[Row ID])),0),"")</f>
        <v/>
      </c>
    </row>
    <row r="1177">
      <c r="A1177" s="10" t="inlineStr">
        <is>
          <t>CON-0171</t>
        </is>
      </c>
      <c r="B1177" s="10" t="inlineStr">
        <is>
          <t>Consulting</t>
        </is>
      </c>
      <c r="C1177" s="10">
        <f>IF($BI1177="","",IF($B1177="Onsite",INDEX(tbl_Onsite[Job Number],$BI1177),IF($B1177="Production",INDEX(tbl_Production[Job Number],$BI1177),INDEX(tbl_Consulting[Job Number],$BI1177)))&amp;"")</f>
        <v/>
      </c>
      <c r="D1177" s="10">
        <f>IF($BI1177="","",IF($B1177="Onsite",INDEX(tbl_Onsite[Client],$BI1177),IF($B1177="Production",INDEX(tbl_Production[Client],$BI1177),INDEX(tbl_Consulting[Client],$BI1177)))&amp;"")</f>
        <v/>
      </c>
      <c r="E1177" s="10">
        <f>IF($C1177="","",IF(COUNTIF(lst_Jobs,$C1177)&gt;0,"OK","CHECK"))</f>
        <v/>
      </c>
      <c r="F1177" s="10">
        <f>IF($C1177="","",IFERROR(INDEX(lst_JobName,MATCH($C1177,lst_Jobs,0)),""))</f>
        <v/>
      </c>
      <c r="G1177" s="10">
        <f>IF($BI1177="","",IF($B1177="Onsite",INDEX(tbl_Onsite[Job Description],$BI1177),IF($B1177="Production",INDEX(tbl_Production[Job Description],$BI1177),INDEX(tbl_Consulting[Job Description],$BI1177)))&amp;"")</f>
        <v/>
      </c>
      <c r="H1177" s="10">
        <f>IF($BI1177="","",IF($B1177="Onsite",INDEX(tbl_Onsite[Cost Centre],$BI1177),IF($B1177="Production",INDEX(tbl_Production[Cost Centre],$BI1177),INDEX(tbl_Consulting[Cost Centre],$BI1177)))&amp;"")</f>
        <v/>
      </c>
      <c r="I1177" s="10">
        <f>IF($BI1177="","",IF($B1177="Onsite",INDEX(tbl_Onsite[Invoice Type],$BI1177),IF($B1177="Production",INDEX(tbl_Production[Invoice Type],$BI1177),INDEX(tbl_Consulting[Invoice Type],$BI1177)))&amp;"")</f>
        <v/>
      </c>
      <c r="J1177" s="10">
        <f>IF($BI1177="","",IF($B1177="Onsite",INDEX(tbl_Onsite[Tax Code],$BI1177),IF($B1177="Production",INDEX(tbl_Production[Tax Code],$BI1177),INDEX(tbl_Consulting[Tax Code],$BI1177)))&amp;"")</f>
        <v/>
      </c>
      <c r="K1177" s="10">
        <f>IF(H1177="","",IFERROR(INDEX(lst_CCtoGL,MATCH(H1177,lst_CCforGL,0)),""))</f>
        <v/>
      </c>
      <c r="L1177" s="10">
        <f>IF($BI1177="","",IF($B1177="Onsite",INDEX(tbl_Onsite[PO / Reference],$BI1177),IF($B1177="Production",INDEX(tbl_Production[Current RMS No],$BI1177),INDEX(tbl_Consulting[Qwilr Quote],$BI1177)))&amp;"")</f>
        <v/>
      </c>
      <c r="M1177" s="10">
        <f>IF($BI1177="","",IF($B1177="Onsite",INDEX(tbl_Onsite[Notes],$BI1177),IF($B1177="Production",INDEX(tbl_Production[Notes],$BI1177),INDEX(tbl_Consulting[Notes],$BI1177)))&amp;"")</f>
        <v/>
      </c>
      <c r="N1177" s="11">
        <f>IF($BI1177="","",IF(IF($B1177="Onsite",INDEX(tbl_Onsite[Expected Revenue Ex GST],$BI1177),IF($B1177="Production",INDEX(tbl_Production[Expected Revenue Ex GST],$BI1177),INDEX(tbl_Consulting[Expected Revenue Ex GST],$BI1177)))="","",IF($B1177="Onsite",INDEX(tbl_Onsite[Expected Revenue Ex GST],$BI1177),IF($B1177="Production",INDEX(tbl_Production[Expected Revenue Ex GST],$BI1177),INDEX(tbl_Consulting[Expected Revenue Ex GST],$BI1177)))))</f>
        <v/>
      </c>
      <c r="O1177" s="11">
        <f>IF(AND($C1177="",NOT(COUNTA($S1177:$BB1177)&gt;0)),"",SUM(U1177,X1177,AA1177,AD1177,AG1177,AJ1177,AM1177,AP1177,AS1177,AV1177,AY1177,BB1177))</f>
        <v/>
      </c>
      <c r="P1177" s="11">
        <f>IF(O1177="","",N(N1177)-O1177)</f>
        <v/>
      </c>
      <c r="Q1177" s="10">
        <f>IF(O1177="","",IF($C1177="","Invoice on empty job row",IF(N1177="",IF(ROUND(O1177,2)=0,"No dept value","Invoiced - no dept value"),IF(ROUND(O1177,2)=0,"Not invoiced - to invoice",IF(ROUND(P1177,2)=0,"Agrees",IF(P1177&gt;0,"Dept higher - to invoice","Xero higher - check dept"))))))</f>
        <v/>
      </c>
      <c r="R1177" s="10">
        <f>IF(AND($C1177="",NOT(COUNTA($S1177:$BB1177)&gt;0),$BI1177&lt;&gt;""),"",MID(IF($BI1177="","; Row ID not found on the department sheet - a row was deleted","")&amp;IF(AND($C1177="",COUNTA($S1177:$BB1177)&gt;0),"; Invoice entered but the department row has no job number","")&amp;IF(E1177="CHECK","; Job number not in the Xero job list","")&amp;IF(AND($C1177&lt;&gt;"",COUNTIF($C$7:$C$1506,$C1177)&gt;1),"; Job number on more than one row","")&amp;IF(AND($C1177&lt;&gt;"",H1177=""),"; Dept has not set a cost centre","")&amp;IF(AND($C1177&lt;&gt;"",J1177=""),"; Dept has not set a tax code","")&amp;IF(AND($C1177&lt;&gt;"",N1177=""),"; Dept has not entered an expected value","")&amp;IF((IF(OR(COUNTA(S1177:U1177)=0,AND(COUNTA(S1177:U1177)=3,ISNUMBER(U1177))),0,1)+IF(OR(COUNTA(V1177:X1177)=0,AND(COUNTA(V1177:X1177)=3,ISNUMBER(X1177))),0,1)+IF(OR(COUNTA(Y1177:AA1177)=0,AND(COUNTA(Y1177:AA1177)=3,ISNUMBER(AA1177))),0,1)+IF(OR(COUNTA(AB1177:AD1177)=0,AND(COUNTA(AB1177:AD1177)=3,ISNUMBER(AD1177))),0,1)+IF(OR(COUNTA(AE1177:AG1177)=0,AND(COUNTA(AE1177:AG1177)=3,ISNUMBER(AG1177))),0,1)+IF(OR(COUNTA(AH1177:AJ1177)=0,AND(COUNTA(AH1177:AJ1177)=3,ISNUMBER(AJ1177))),0,1)+IF(OR(COUNTA(AK1177:AM1177)=0,AND(COUNTA(AK1177:AM1177)=3,ISNUMBER(AM1177))),0,1)+IF(OR(COUNTA(AN1177:AP1177)=0,AND(COUNTA(AN1177:AP1177)=3,ISNUMBER(AP1177))),0,1)+IF(OR(COUNTA(AQ1177:AS1177)=0,AND(COUNTA(AQ1177:AS1177)=3,ISNUMBER(AS1177))),0,1)+IF(OR(COUNTA(AT1177:AV1177)=0,AND(COUNTA(AT1177:AV1177)=3,ISNUMBER(AV1177))),0,1)+IF(OR(COUNTA(AW1177:AY1177)=0,AND(COUNTA(AW1177:AY1177)=3,ISNUMBER(AY1177))),0,1)+IF(OR(COUNTA(AZ1177:BB1177)=0,AND(COUNTA(AZ1177:BB1177)=3,ISNUMBER(BB1177))),0,1))&gt;0,"; An invoice is incomplete (needs No, Date and a number in Ex GST)","")&amp;IF((IF(T1177="",0,IFERROR(--(EOMONTH(T1177,0)&lt;&gt;S$5),1))+IF(W1177="",0,IFERROR(--(EOMONTH(W1177,0)&lt;&gt;V$5),1))+IF(Z1177="",0,IFERROR(--(EOMONTH(Z1177,0)&lt;&gt;Y$5),1))+IF(AC1177="",0,IFERROR(--(EOMONTH(AC1177,0)&lt;&gt;AB$5),1))+IF(AF1177="",0,IFERROR(--(EOMONTH(AF1177,0)&lt;&gt;AE$5),1))+IF(AI1177="",0,IFERROR(--(EOMONTH(AI1177,0)&lt;&gt;AH$5),1))+IF(AL1177="",0,IFERROR(--(EOMONTH(AL1177,0)&lt;&gt;AK$5),1))+IF(AO1177="",0,IFERROR(--(EOMONTH(AO1177,0)&lt;&gt;AN$5),1))+IF(AR1177="",0,IFERROR(--(EOMONTH(AR1177,0)&lt;&gt;AQ$5),1))+IF(AU1177="",0,IFERROR(--(EOMONTH(AU1177,0)&lt;&gt;AT$5),1))+IF(AX1177="",0,IFERROR(--(EOMONTH(AX1177,0)&lt;&gt;AW$5),1))+IF(BA1177="",0,IFERROR(--(EOMONTH(BA1177,0)&lt;&gt;AZ$5),1)))&gt;0,"; An invoice date is not in the month it is typed under",""),3,500))</f>
        <v/>
      </c>
      <c r="S1177" s="12" t="n"/>
      <c r="T1177" s="13" t="n"/>
      <c r="U1177" s="14" t="n"/>
      <c r="V1177" s="12" t="n"/>
      <c r="W1177" s="13" t="n"/>
      <c r="X1177" s="14" t="n"/>
      <c r="Y1177" s="12" t="n"/>
      <c r="Z1177" s="13" t="n"/>
      <c r="AA1177" s="14" t="n"/>
      <c r="AB1177" s="12" t="n"/>
      <c r="AC1177" s="13" t="n"/>
      <c r="AD1177" s="14" t="n"/>
      <c r="AE1177" s="12" t="n"/>
      <c r="AF1177" s="13" t="n"/>
      <c r="AG1177" s="14" t="n"/>
      <c r="AH1177" s="12" t="n"/>
      <c r="AI1177" s="13" t="n"/>
      <c r="AJ1177" s="14" t="n"/>
      <c r="AK1177" s="12" t="n"/>
      <c r="AL1177" s="13" t="n"/>
      <c r="AM1177" s="14" t="n"/>
      <c r="AN1177" s="12" t="n"/>
      <c r="AO1177" s="13" t="n"/>
      <c r="AP1177" s="14" t="n"/>
      <c r="AQ1177" s="12" t="n"/>
      <c r="AR1177" s="13" t="n"/>
      <c r="AS1177" s="14" t="n"/>
      <c r="AT1177" s="12" t="n"/>
      <c r="AU1177" s="13" t="n"/>
      <c r="AV1177" s="14" t="n"/>
      <c r="AW1177" s="12" t="n"/>
      <c r="AX1177" s="13" t="n"/>
      <c r="AY1177" s="14" t="n"/>
      <c r="AZ1177" s="12" t="n"/>
      <c r="BA1177" s="13" t="n"/>
      <c r="BB1177" s="14" t="n"/>
      <c r="BC1177" s="11">
        <f>IF(O1177="","",IF(J1177="GST 10%",ROUND(O1177*set_GSTRate,2),0))</f>
        <v/>
      </c>
      <c r="BD1177" s="11">
        <f>IF(O1177="","",O1177+BC1177)</f>
        <v/>
      </c>
      <c r="BE1177" s="15">
        <f>IF(O1177="","",COUNTA(S1177,V1177,Y1177,AB1177,AE1177,AH1177,AK1177,AN1177,AQ1177,AT1177,AW1177,AZ1177))</f>
        <v/>
      </c>
      <c r="BF1177" s="16">
        <f>IF(COUNT(T1177,W1177,Z1177,AC1177,AF1177,AI1177,AL1177,AO1177,AR1177,AU1177,AX1177,BA1177)=0,"",MAX(T1177,W1177,Z1177,AC1177,AF1177,AI1177,AL1177,AO1177,AR1177,AU1177,AX1177,BA1177))</f>
        <v/>
      </c>
      <c r="BG1177" s="10">
        <f>MID(IF(S1177="","",", "&amp;S1177)&amp;IF(V1177="","",", "&amp;V1177)&amp;IF(Y1177="","",", "&amp;Y1177)&amp;IF(AB1177="","",", "&amp;AB1177)&amp;IF(AE1177="","",", "&amp;AE1177)&amp;IF(AH1177="","",", "&amp;AH1177)&amp;IF(AK1177="","",", "&amp;AK1177)&amp;IF(AN1177="","",", "&amp;AN1177)&amp;IF(AQ1177="","",", "&amp;AQ1177)&amp;IF(AT1177="","",", "&amp;AT1177)&amp;IF(AW1177="","",", "&amp;AW1177)&amp;IF(AZ1177="","",", "&amp;AZ1177),3,500)</f>
        <v/>
      </c>
      <c r="BH1177" s="12" t="n"/>
      <c r="BI1177" s="15">
        <f>IFERROR(MATCH($A1177,IF($B1177="Onsite",tbl_Onsite[Row ID],IF($B1177="Production",tbl_Production[Row ID],tbl_Consulting[Row ID])),0),"")</f>
        <v/>
      </c>
    </row>
    <row r="1178">
      <c r="A1178" s="10" t="inlineStr">
        <is>
          <t>CON-0172</t>
        </is>
      </c>
      <c r="B1178" s="10" t="inlineStr">
        <is>
          <t>Consulting</t>
        </is>
      </c>
      <c r="C1178" s="10">
        <f>IF($BI1178="","",IF($B1178="Onsite",INDEX(tbl_Onsite[Job Number],$BI1178),IF($B1178="Production",INDEX(tbl_Production[Job Number],$BI1178),INDEX(tbl_Consulting[Job Number],$BI1178)))&amp;"")</f>
        <v/>
      </c>
      <c r="D1178" s="10">
        <f>IF($BI1178="","",IF($B1178="Onsite",INDEX(tbl_Onsite[Client],$BI1178),IF($B1178="Production",INDEX(tbl_Production[Client],$BI1178),INDEX(tbl_Consulting[Client],$BI1178)))&amp;"")</f>
        <v/>
      </c>
      <c r="E1178" s="10">
        <f>IF($C1178="","",IF(COUNTIF(lst_Jobs,$C1178)&gt;0,"OK","CHECK"))</f>
        <v/>
      </c>
      <c r="F1178" s="10">
        <f>IF($C1178="","",IFERROR(INDEX(lst_JobName,MATCH($C1178,lst_Jobs,0)),""))</f>
        <v/>
      </c>
      <c r="G1178" s="10">
        <f>IF($BI1178="","",IF($B1178="Onsite",INDEX(tbl_Onsite[Job Description],$BI1178),IF($B1178="Production",INDEX(tbl_Production[Job Description],$BI1178),INDEX(tbl_Consulting[Job Description],$BI1178)))&amp;"")</f>
        <v/>
      </c>
      <c r="H1178" s="10">
        <f>IF($BI1178="","",IF($B1178="Onsite",INDEX(tbl_Onsite[Cost Centre],$BI1178),IF($B1178="Production",INDEX(tbl_Production[Cost Centre],$BI1178),INDEX(tbl_Consulting[Cost Centre],$BI1178)))&amp;"")</f>
        <v/>
      </c>
      <c r="I1178" s="10">
        <f>IF($BI1178="","",IF($B1178="Onsite",INDEX(tbl_Onsite[Invoice Type],$BI1178),IF($B1178="Production",INDEX(tbl_Production[Invoice Type],$BI1178),INDEX(tbl_Consulting[Invoice Type],$BI1178)))&amp;"")</f>
        <v/>
      </c>
      <c r="J1178" s="10">
        <f>IF($BI1178="","",IF($B1178="Onsite",INDEX(tbl_Onsite[Tax Code],$BI1178),IF($B1178="Production",INDEX(tbl_Production[Tax Code],$BI1178),INDEX(tbl_Consulting[Tax Code],$BI1178)))&amp;"")</f>
        <v/>
      </c>
      <c r="K1178" s="10">
        <f>IF(H1178="","",IFERROR(INDEX(lst_CCtoGL,MATCH(H1178,lst_CCforGL,0)),""))</f>
        <v/>
      </c>
      <c r="L1178" s="10">
        <f>IF($BI1178="","",IF($B1178="Onsite",INDEX(tbl_Onsite[PO / Reference],$BI1178),IF($B1178="Production",INDEX(tbl_Production[Current RMS No],$BI1178),INDEX(tbl_Consulting[Qwilr Quote],$BI1178)))&amp;"")</f>
        <v/>
      </c>
      <c r="M1178" s="10">
        <f>IF($BI1178="","",IF($B1178="Onsite",INDEX(tbl_Onsite[Notes],$BI1178),IF($B1178="Production",INDEX(tbl_Production[Notes],$BI1178),INDEX(tbl_Consulting[Notes],$BI1178)))&amp;"")</f>
        <v/>
      </c>
      <c r="N1178" s="11">
        <f>IF($BI1178="","",IF(IF($B1178="Onsite",INDEX(tbl_Onsite[Expected Revenue Ex GST],$BI1178),IF($B1178="Production",INDEX(tbl_Production[Expected Revenue Ex GST],$BI1178),INDEX(tbl_Consulting[Expected Revenue Ex GST],$BI1178)))="","",IF($B1178="Onsite",INDEX(tbl_Onsite[Expected Revenue Ex GST],$BI1178),IF($B1178="Production",INDEX(tbl_Production[Expected Revenue Ex GST],$BI1178),INDEX(tbl_Consulting[Expected Revenue Ex GST],$BI1178)))))</f>
        <v/>
      </c>
      <c r="O1178" s="11">
        <f>IF(AND($C1178="",NOT(COUNTA($S1178:$BB1178)&gt;0)),"",SUM(U1178,X1178,AA1178,AD1178,AG1178,AJ1178,AM1178,AP1178,AS1178,AV1178,AY1178,BB1178))</f>
        <v/>
      </c>
      <c r="P1178" s="11">
        <f>IF(O1178="","",N(N1178)-O1178)</f>
        <v/>
      </c>
      <c r="Q1178" s="10">
        <f>IF(O1178="","",IF($C1178="","Invoice on empty job row",IF(N1178="",IF(ROUND(O1178,2)=0,"No dept value","Invoiced - no dept value"),IF(ROUND(O1178,2)=0,"Not invoiced - to invoice",IF(ROUND(P1178,2)=0,"Agrees",IF(P1178&gt;0,"Dept higher - to invoice","Xero higher - check dept"))))))</f>
        <v/>
      </c>
      <c r="R1178" s="10">
        <f>IF(AND($C1178="",NOT(COUNTA($S1178:$BB1178)&gt;0),$BI1178&lt;&gt;""),"",MID(IF($BI1178="","; Row ID not found on the department sheet - a row was deleted","")&amp;IF(AND($C1178="",COUNTA($S1178:$BB1178)&gt;0),"; Invoice entered but the department row has no job number","")&amp;IF(E1178="CHECK","; Job number not in the Xero job list","")&amp;IF(AND($C1178&lt;&gt;"",COUNTIF($C$7:$C$1506,$C1178)&gt;1),"; Job number on more than one row","")&amp;IF(AND($C1178&lt;&gt;"",H1178=""),"; Dept has not set a cost centre","")&amp;IF(AND($C1178&lt;&gt;"",J1178=""),"; Dept has not set a tax code","")&amp;IF(AND($C1178&lt;&gt;"",N1178=""),"; Dept has not entered an expected value","")&amp;IF((IF(OR(COUNTA(S1178:U1178)=0,AND(COUNTA(S1178:U1178)=3,ISNUMBER(U1178))),0,1)+IF(OR(COUNTA(V1178:X1178)=0,AND(COUNTA(V1178:X1178)=3,ISNUMBER(X1178))),0,1)+IF(OR(COUNTA(Y1178:AA1178)=0,AND(COUNTA(Y1178:AA1178)=3,ISNUMBER(AA1178))),0,1)+IF(OR(COUNTA(AB1178:AD1178)=0,AND(COUNTA(AB1178:AD1178)=3,ISNUMBER(AD1178))),0,1)+IF(OR(COUNTA(AE1178:AG1178)=0,AND(COUNTA(AE1178:AG1178)=3,ISNUMBER(AG1178))),0,1)+IF(OR(COUNTA(AH1178:AJ1178)=0,AND(COUNTA(AH1178:AJ1178)=3,ISNUMBER(AJ1178))),0,1)+IF(OR(COUNTA(AK1178:AM1178)=0,AND(COUNTA(AK1178:AM1178)=3,ISNUMBER(AM1178))),0,1)+IF(OR(COUNTA(AN1178:AP1178)=0,AND(COUNTA(AN1178:AP1178)=3,ISNUMBER(AP1178))),0,1)+IF(OR(COUNTA(AQ1178:AS1178)=0,AND(COUNTA(AQ1178:AS1178)=3,ISNUMBER(AS1178))),0,1)+IF(OR(COUNTA(AT1178:AV1178)=0,AND(COUNTA(AT1178:AV1178)=3,ISNUMBER(AV1178))),0,1)+IF(OR(COUNTA(AW1178:AY1178)=0,AND(COUNTA(AW1178:AY1178)=3,ISNUMBER(AY1178))),0,1)+IF(OR(COUNTA(AZ1178:BB1178)=0,AND(COUNTA(AZ1178:BB1178)=3,ISNUMBER(BB1178))),0,1))&gt;0,"; An invoice is incomplete (needs No, Date and a number in Ex GST)","")&amp;IF((IF(T1178="",0,IFERROR(--(EOMONTH(T1178,0)&lt;&gt;S$5),1))+IF(W1178="",0,IFERROR(--(EOMONTH(W1178,0)&lt;&gt;V$5),1))+IF(Z1178="",0,IFERROR(--(EOMONTH(Z1178,0)&lt;&gt;Y$5),1))+IF(AC1178="",0,IFERROR(--(EOMONTH(AC1178,0)&lt;&gt;AB$5),1))+IF(AF1178="",0,IFERROR(--(EOMONTH(AF1178,0)&lt;&gt;AE$5),1))+IF(AI1178="",0,IFERROR(--(EOMONTH(AI1178,0)&lt;&gt;AH$5),1))+IF(AL1178="",0,IFERROR(--(EOMONTH(AL1178,0)&lt;&gt;AK$5),1))+IF(AO1178="",0,IFERROR(--(EOMONTH(AO1178,0)&lt;&gt;AN$5),1))+IF(AR1178="",0,IFERROR(--(EOMONTH(AR1178,0)&lt;&gt;AQ$5),1))+IF(AU1178="",0,IFERROR(--(EOMONTH(AU1178,0)&lt;&gt;AT$5),1))+IF(AX1178="",0,IFERROR(--(EOMONTH(AX1178,0)&lt;&gt;AW$5),1))+IF(BA1178="",0,IFERROR(--(EOMONTH(BA1178,0)&lt;&gt;AZ$5),1)))&gt;0,"; An invoice date is not in the month it is typed under",""),3,500))</f>
        <v/>
      </c>
      <c r="S1178" s="12" t="n"/>
      <c r="T1178" s="13" t="n"/>
      <c r="U1178" s="14" t="n"/>
      <c r="V1178" s="12" t="n"/>
      <c r="W1178" s="13" t="n"/>
      <c r="X1178" s="14" t="n"/>
      <c r="Y1178" s="12" t="n"/>
      <c r="Z1178" s="13" t="n"/>
      <c r="AA1178" s="14" t="n"/>
      <c r="AB1178" s="12" t="n"/>
      <c r="AC1178" s="13" t="n"/>
      <c r="AD1178" s="14" t="n"/>
      <c r="AE1178" s="12" t="n"/>
      <c r="AF1178" s="13" t="n"/>
      <c r="AG1178" s="14" t="n"/>
      <c r="AH1178" s="12" t="n"/>
      <c r="AI1178" s="13" t="n"/>
      <c r="AJ1178" s="14" t="n"/>
      <c r="AK1178" s="12" t="n"/>
      <c r="AL1178" s="13" t="n"/>
      <c r="AM1178" s="14" t="n"/>
      <c r="AN1178" s="12" t="n"/>
      <c r="AO1178" s="13" t="n"/>
      <c r="AP1178" s="14" t="n"/>
      <c r="AQ1178" s="12" t="n"/>
      <c r="AR1178" s="13" t="n"/>
      <c r="AS1178" s="14" t="n"/>
      <c r="AT1178" s="12" t="n"/>
      <c r="AU1178" s="13" t="n"/>
      <c r="AV1178" s="14" t="n"/>
      <c r="AW1178" s="12" t="n"/>
      <c r="AX1178" s="13" t="n"/>
      <c r="AY1178" s="14" t="n"/>
      <c r="AZ1178" s="12" t="n"/>
      <c r="BA1178" s="13" t="n"/>
      <c r="BB1178" s="14" t="n"/>
      <c r="BC1178" s="11">
        <f>IF(O1178="","",IF(J1178="GST 10%",ROUND(O1178*set_GSTRate,2),0))</f>
        <v/>
      </c>
      <c r="BD1178" s="11">
        <f>IF(O1178="","",O1178+BC1178)</f>
        <v/>
      </c>
      <c r="BE1178" s="15">
        <f>IF(O1178="","",COUNTA(S1178,V1178,Y1178,AB1178,AE1178,AH1178,AK1178,AN1178,AQ1178,AT1178,AW1178,AZ1178))</f>
        <v/>
      </c>
      <c r="BF1178" s="16">
        <f>IF(COUNT(T1178,W1178,Z1178,AC1178,AF1178,AI1178,AL1178,AO1178,AR1178,AU1178,AX1178,BA1178)=0,"",MAX(T1178,W1178,Z1178,AC1178,AF1178,AI1178,AL1178,AO1178,AR1178,AU1178,AX1178,BA1178))</f>
        <v/>
      </c>
      <c r="BG1178" s="10">
        <f>MID(IF(S1178="","",", "&amp;S1178)&amp;IF(V1178="","",", "&amp;V1178)&amp;IF(Y1178="","",", "&amp;Y1178)&amp;IF(AB1178="","",", "&amp;AB1178)&amp;IF(AE1178="","",", "&amp;AE1178)&amp;IF(AH1178="","",", "&amp;AH1178)&amp;IF(AK1178="","",", "&amp;AK1178)&amp;IF(AN1178="","",", "&amp;AN1178)&amp;IF(AQ1178="","",", "&amp;AQ1178)&amp;IF(AT1178="","",", "&amp;AT1178)&amp;IF(AW1178="","",", "&amp;AW1178)&amp;IF(AZ1178="","",", "&amp;AZ1178),3,500)</f>
        <v/>
      </c>
      <c r="BH1178" s="12" t="n"/>
      <c r="BI1178" s="15">
        <f>IFERROR(MATCH($A1178,IF($B1178="Onsite",tbl_Onsite[Row ID],IF($B1178="Production",tbl_Production[Row ID],tbl_Consulting[Row ID])),0),"")</f>
        <v/>
      </c>
    </row>
    <row r="1179">
      <c r="A1179" s="10" t="inlineStr">
        <is>
          <t>CON-0173</t>
        </is>
      </c>
      <c r="B1179" s="10" t="inlineStr">
        <is>
          <t>Consulting</t>
        </is>
      </c>
      <c r="C1179" s="10">
        <f>IF($BI1179="","",IF($B1179="Onsite",INDEX(tbl_Onsite[Job Number],$BI1179),IF($B1179="Production",INDEX(tbl_Production[Job Number],$BI1179),INDEX(tbl_Consulting[Job Number],$BI1179)))&amp;"")</f>
        <v/>
      </c>
      <c r="D1179" s="10">
        <f>IF($BI1179="","",IF($B1179="Onsite",INDEX(tbl_Onsite[Client],$BI1179),IF($B1179="Production",INDEX(tbl_Production[Client],$BI1179),INDEX(tbl_Consulting[Client],$BI1179)))&amp;"")</f>
        <v/>
      </c>
      <c r="E1179" s="10">
        <f>IF($C1179="","",IF(COUNTIF(lst_Jobs,$C1179)&gt;0,"OK","CHECK"))</f>
        <v/>
      </c>
      <c r="F1179" s="10">
        <f>IF($C1179="","",IFERROR(INDEX(lst_JobName,MATCH($C1179,lst_Jobs,0)),""))</f>
        <v/>
      </c>
      <c r="G1179" s="10">
        <f>IF($BI1179="","",IF($B1179="Onsite",INDEX(tbl_Onsite[Job Description],$BI1179),IF($B1179="Production",INDEX(tbl_Production[Job Description],$BI1179),INDEX(tbl_Consulting[Job Description],$BI1179)))&amp;"")</f>
        <v/>
      </c>
      <c r="H1179" s="10">
        <f>IF($BI1179="","",IF($B1179="Onsite",INDEX(tbl_Onsite[Cost Centre],$BI1179),IF($B1179="Production",INDEX(tbl_Production[Cost Centre],$BI1179),INDEX(tbl_Consulting[Cost Centre],$BI1179)))&amp;"")</f>
        <v/>
      </c>
      <c r="I1179" s="10">
        <f>IF($BI1179="","",IF($B1179="Onsite",INDEX(tbl_Onsite[Invoice Type],$BI1179),IF($B1179="Production",INDEX(tbl_Production[Invoice Type],$BI1179),INDEX(tbl_Consulting[Invoice Type],$BI1179)))&amp;"")</f>
        <v/>
      </c>
      <c r="J1179" s="10">
        <f>IF($BI1179="","",IF($B1179="Onsite",INDEX(tbl_Onsite[Tax Code],$BI1179),IF($B1179="Production",INDEX(tbl_Production[Tax Code],$BI1179),INDEX(tbl_Consulting[Tax Code],$BI1179)))&amp;"")</f>
        <v/>
      </c>
      <c r="K1179" s="10">
        <f>IF(H1179="","",IFERROR(INDEX(lst_CCtoGL,MATCH(H1179,lst_CCforGL,0)),""))</f>
        <v/>
      </c>
      <c r="L1179" s="10">
        <f>IF($BI1179="","",IF($B1179="Onsite",INDEX(tbl_Onsite[PO / Reference],$BI1179),IF($B1179="Production",INDEX(tbl_Production[Current RMS No],$BI1179),INDEX(tbl_Consulting[Qwilr Quote],$BI1179)))&amp;"")</f>
        <v/>
      </c>
      <c r="M1179" s="10">
        <f>IF($BI1179="","",IF($B1179="Onsite",INDEX(tbl_Onsite[Notes],$BI1179),IF($B1179="Production",INDEX(tbl_Production[Notes],$BI1179),INDEX(tbl_Consulting[Notes],$BI1179)))&amp;"")</f>
        <v/>
      </c>
      <c r="N1179" s="11">
        <f>IF($BI1179="","",IF(IF($B1179="Onsite",INDEX(tbl_Onsite[Expected Revenue Ex GST],$BI1179),IF($B1179="Production",INDEX(tbl_Production[Expected Revenue Ex GST],$BI1179),INDEX(tbl_Consulting[Expected Revenue Ex GST],$BI1179)))="","",IF($B1179="Onsite",INDEX(tbl_Onsite[Expected Revenue Ex GST],$BI1179),IF($B1179="Production",INDEX(tbl_Production[Expected Revenue Ex GST],$BI1179),INDEX(tbl_Consulting[Expected Revenue Ex GST],$BI1179)))))</f>
        <v/>
      </c>
      <c r="O1179" s="11">
        <f>IF(AND($C1179="",NOT(COUNTA($S1179:$BB1179)&gt;0)),"",SUM(U1179,X1179,AA1179,AD1179,AG1179,AJ1179,AM1179,AP1179,AS1179,AV1179,AY1179,BB1179))</f>
        <v/>
      </c>
      <c r="P1179" s="11">
        <f>IF(O1179="","",N(N1179)-O1179)</f>
        <v/>
      </c>
      <c r="Q1179" s="10">
        <f>IF(O1179="","",IF($C1179="","Invoice on empty job row",IF(N1179="",IF(ROUND(O1179,2)=0,"No dept value","Invoiced - no dept value"),IF(ROUND(O1179,2)=0,"Not invoiced - to invoice",IF(ROUND(P1179,2)=0,"Agrees",IF(P1179&gt;0,"Dept higher - to invoice","Xero higher - check dept"))))))</f>
        <v/>
      </c>
      <c r="R1179" s="10">
        <f>IF(AND($C1179="",NOT(COUNTA($S1179:$BB1179)&gt;0),$BI1179&lt;&gt;""),"",MID(IF($BI1179="","; Row ID not found on the department sheet - a row was deleted","")&amp;IF(AND($C1179="",COUNTA($S1179:$BB1179)&gt;0),"; Invoice entered but the department row has no job number","")&amp;IF(E1179="CHECK","; Job number not in the Xero job list","")&amp;IF(AND($C1179&lt;&gt;"",COUNTIF($C$7:$C$1506,$C1179)&gt;1),"; Job number on more than one row","")&amp;IF(AND($C1179&lt;&gt;"",H1179=""),"; Dept has not set a cost centre","")&amp;IF(AND($C1179&lt;&gt;"",J1179=""),"; Dept has not set a tax code","")&amp;IF(AND($C1179&lt;&gt;"",N1179=""),"; Dept has not entered an expected value","")&amp;IF((IF(OR(COUNTA(S1179:U1179)=0,AND(COUNTA(S1179:U1179)=3,ISNUMBER(U1179))),0,1)+IF(OR(COUNTA(V1179:X1179)=0,AND(COUNTA(V1179:X1179)=3,ISNUMBER(X1179))),0,1)+IF(OR(COUNTA(Y1179:AA1179)=0,AND(COUNTA(Y1179:AA1179)=3,ISNUMBER(AA1179))),0,1)+IF(OR(COUNTA(AB1179:AD1179)=0,AND(COUNTA(AB1179:AD1179)=3,ISNUMBER(AD1179))),0,1)+IF(OR(COUNTA(AE1179:AG1179)=0,AND(COUNTA(AE1179:AG1179)=3,ISNUMBER(AG1179))),0,1)+IF(OR(COUNTA(AH1179:AJ1179)=0,AND(COUNTA(AH1179:AJ1179)=3,ISNUMBER(AJ1179))),0,1)+IF(OR(COUNTA(AK1179:AM1179)=0,AND(COUNTA(AK1179:AM1179)=3,ISNUMBER(AM1179))),0,1)+IF(OR(COUNTA(AN1179:AP1179)=0,AND(COUNTA(AN1179:AP1179)=3,ISNUMBER(AP1179))),0,1)+IF(OR(COUNTA(AQ1179:AS1179)=0,AND(COUNTA(AQ1179:AS1179)=3,ISNUMBER(AS1179))),0,1)+IF(OR(COUNTA(AT1179:AV1179)=0,AND(COUNTA(AT1179:AV1179)=3,ISNUMBER(AV1179))),0,1)+IF(OR(COUNTA(AW1179:AY1179)=0,AND(COUNTA(AW1179:AY1179)=3,ISNUMBER(AY1179))),0,1)+IF(OR(COUNTA(AZ1179:BB1179)=0,AND(COUNTA(AZ1179:BB1179)=3,ISNUMBER(BB1179))),0,1))&gt;0,"; An invoice is incomplete (needs No, Date and a number in Ex GST)","")&amp;IF((IF(T1179="",0,IFERROR(--(EOMONTH(T1179,0)&lt;&gt;S$5),1))+IF(W1179="",0,IFERROR(--(EOMONTH(W1179,0)&lt;&gt;V$5),1))+IF(Z1179="",0,IFERROR(--(EOMONTH(Z1179,0)&lt;&gt;Y$5),1))+IF(AC1179="",0,IFERROR(--(EOMONTH(AC1179,0)&lt;&gt;AB$5),1))+IF(AF1179="",0,IFERROR(--(EOMONTH(AF1179,0)&lt;&gt;AE$5),1))+IF(AI1179="",0,IFERROR(--(EOMONTH(AI1179,0)&lt;&gt;AH$5),1))+IF(AL1179="",0,IFERROR(--(EOMONTH(AL1179,0)&lt;&gt;AK$5),1))+IF(AO1179="",0,IFERROR(--(EOMONTH(AO1179,0)&lt;&gt;AN$5),1))+IF(AR1179="",0,IFERROR(--(EOMONTH(AR1179,0)&lt;&gt;AQ$5),1))+IF(AU1179="",0,IFERROR(--(EOMONTH(AU1179,0)&lt;&gt;AT$5),1))+IF(AX1179="",0,IFERROR(--(EOMONTH(AX1179,0)&lt;&gt;AW$5),1))+IF(BA1179="",0,IFERROR(--(EOMONTH(BA1179,0)&lt;&gt;AZ$5),1)))&gt;0,"; An invoice date is not in the month it is typed under",""),3,500))</f>
        <v/>
      </c>
      <c r="S1179" s="12" t="n"/>
      <c r="T1179" s="13" t="n"/>
      <c r="U1179" s="14" t="n"/>
      <c r="V1179" s="12" t="n"/>
      <c r="W1179" s="13" t="n"/>
      <c r="X1179" s="14" t="n"/>
      <c r="Y1179" s="12" t="n"/>
      <c r="Z1179" s="13" t="n"/>
      <c r="AA1179" s="14" t="n"/>
      <c r="AB1179" s="12" t="n"/>
      <c r="AC1179" s="13" t="n"/>
      <c r="AD1179" s="14" t="n"/>
      <c r="AE1179" s="12" t="n"/>
      <c r="AF1179" s="13" t="n"/>
      <c r="AG1179" s="14" t="n"/>
      <c r="AH1179" s="12" t="n"/>
      <c r="AI1179" s="13" t="n"/>
      <c r="AJ1179" s="14" t="n"/>
      <c r="AK1179" s="12" t="n"/>
      <c r="AL1179" s="13" t="n"/>
      <c r="AM1179" s="14" t="n"/>
      <c r="AN1179" s="12" t="n"/>
      <c r="AO1179" s="13" t="n"/>
      <c r="AP1179" s="14" t="n"/>
      <c r="AQ1179" s="12" t="n"/>
      <c r="AR1179" s="13" t="n"/>
      <c r="AS1179" s="14" t="n"/>
      <c r="AT1179" s="12" t="n"/>
      <c r="AU1179" s="13" t="n"/>
      <c r="AV1179" s="14" t="n"/>
      <c r="AW1179" s="12" t="n"/>
      <c r="AX1179" s="13" t="n"/>
      <c r="AY1179" s="14" t="n"/>
      <c r="AZ1179" s="12" t="n"/>
      <c r="BA1179" s="13" t="n"/>
      <c r="BB1179" s="14" t="n"/>
      <c r="BC1179" s="11">
        <f>IF(O1179="","",IF(J1179="GST 10%",ROUND(O1179*set_GSTRate,2),0))</f>
        <v/>
      </c>
      <c r="BD1179" s="11">
        <f>IF(O1179="","",O1179+BC1179)</f>
        <v/>
      </c>
      <c r="BE1179" s="15">
        <f>IF(O1179="","",COUNTA(S1179,V1179,Y1179,AB1179,AE1179,AH1179,AK1179,AN1179,AQ1179,AT1179,AW1179,AZ1179))</f>
        <v/>
      </c>
      <c r="BF1179" s="16">
        <f>IF(COUNT(T1179,W1179,Z1179,AC1179,AF1179,AI1179,AL1179,AO1179,AR1179,AU1179,AX1179,BA1179)=0,"",MAX(T1179,W1179,Z1179,AC1179,AF1179,AI1179,AL1179,AO1179,AR1179,AU1179,AX1179,BA1179))</f>
        <v/>
      </c>
      <c r="BG1179" s="10">
        <f>MID(IF(S1179="","",", "&amp;S1179)&amp;IF(V1179="","",", "&amp;V1179)&amp;IF(Y1179="","",", "&amp;Y1179)&amp;IF(AB1179="","",", "&amp;AB1179)&amp;IF(AE1179="","",", "&amp;AE1179)&amp;IF(AH1179="","",", "&amp;AH1179)&amp;IF(AK1179="","",", "&amp;AK1179)&amp;IF(AN1179="","",", "&amp;AN1179)&amp;IF(AQ1179="","",", "&amp;AQ1179)&amp;IF(AT1179="","",", "&amp;AT1179)&amp;IF(AW1179="","",", "&amp;AW1179)&amp;IF(AZ1179="","",", "&amp;AZ1179),3,500)</f>
        <v/>
      </c>
      <c r="BH1179" s="12" t="n"/>
      <c r="BI1179" s="15">
        <f>IFERROR(MATCH($A1179,IF($B1179="Onsite",tbl_Onsite[Row ID],IF($B1179="Production",tbl_Production[Row ID],tbl_Consulting[Row ID])),0),"")</f>
        <v/>
      </c>
    </row>
    <row r="1180">
      <c r="A1180" s="10" t="inlineStr">
        <is>
          <t>CON-0174</t>
        </is>
      </c>
      <c r="B1180" s="10" t="inlineStr">
        <is>
          <t>Consulting</t>
        </is>
      </c>
      <c r="C1180" s="10">
        <f>IF($BI1180="","",IF($B1180="Onsite",INDEX(tbl_Onsite[Job Number],$BI1180),IF($B1180="Production",INDEX(tbl_Production[Job Number],$BI1180),INDEX(tbl_Consulting[Job Number],$BI1180)))&amp;"")</f>
        <v/>
      </c>
      <c r="D1180" s="10">
        <f>IF($BI1180="","",IF($B1180="Onsite",INDEX(tbl_Onsite[Client],$BI1180),IF($B1180="Production",INDEX(tbl_Production[Client],$BI1180),INDEX(tbl_Consulting[Client],$BI1180)))&amp;"")</f>
        <v/>
      </c>
      <c r="E1180" s="10">
        <f>IF($C1180="","",IF(COUNTIF(lst_Jobs,$C1180)&gt;0,"OK","CHECK"))</f>
        <v/>
      </c>
      <c r="F1180" s="10">
        <f>IF($C1180="","",IFERROR(INDEX(lst_JobName,MATCH($C1180,lst_Jobs,0)),""))</f>
        <v/>
      </c>
      <c r="G1180" s="10">
        <f>IF($BI1180="","",IF($B1180="Onsite",INDEX(tbl_Onsite[Job Description],$BI1180),IF($B1180="Production",INDEX(tbl_Production[Job Description],$BI1180),INDEX(tbl_Consulting[Job Description],$BI1180)))&amp;"")</f>
        <v/>
      </c>
      <c r="H1180" s="10">
        <f>IF($BI1180="","",IF($B1180="Onsite",INDEX(tbl_Onsite[Cost Centre],$BI1180),IF($B1180="Production",INDEX(tbl_Production[Cost Centre],$BI1180),INDEX(tbl_Consulting[Cost Centre],$BI1180)))&amp;"")</f>
        <v/>
      </c>
      <c r="I1180" s="10">
        <f>IF($BI1180="","",IF($B1180="Onsite",INDEX(tbl_Onsite[Invoice Type],$BI1180),IF($B1180="Production",INDEX(tbl_Production[Invoice Type],$BI1180),INDEX(tbl_Consulting[Invoice Type],$BI1180)))&amp;"")</f>
        <v/>
      </c>
      <c r="J1180" s="10">
        <f>IF($BI1180="","",IF($B1180="Onsite",INDEX(tbl_Onsite[Tax Code],$BI1180),IF($B1180="Production",INDEX(tbl_Production[Tax Code],$BI1180),INDEX(tbl_Consulting[Tax Code],$BI1180)))&amp;"")</f>
        <v/>
      </c>
      <c r="K1180" s="10">
        <f>IF(H1180="","",IFERROR(INDEX(lst_CCtoGL,MATCH(H1180,lst_CCforGL,0)),""))</f>
        <v/>
      </c>
      <c r="L1180" s="10">
        <f>IF($BI1180="","",IF($B1180="Onsite",INDEX(tbl_Onsite[PO / Reference],$BI1180),IF($B1180="Production",INDEX(tbl_Production[Current RMS No],$BI1180),INDEX(tbl_Consulting[Qwilr Quote],$BI1180)))&amp;"")</f>
        <v/>
      </c>
      <c r="M1180" s="10">
        <f>IF($BI1180="","",IF($B1180="Onsite",INDEX(tbl_Onsite[Notes],$BI1180),IF($B1180="Production",INDEX(tbl_Production[Notes],$BI1180),INDEX(tbl_Consulting[Notes],$BI1180)))&amp;"")</f>
        <v/>
      </c>
      <c r="N1180" s="11">
        <f>IF($BI1180="","",IF(IF($B1180="Onsite",INDEX(tbl_Onsite[Expected Revenue Ex GST],$BI1180),IF($B1180="Production",INDEX(tbl_Production[Expected Revenue Ex GST],$BI1180),INDEX(tbl_Consulting[Expected Revenue Ex GST],$BI1180)))="","",IF($B1180="Onsite",INDEX(tbl_Onsite[Expected Revenue Ex GST],$BI1180),IF($B1180="Production",INDEX(tbl_Production[Expected Revenue Ex GST],$BI1180),INDEX(tbl_Consulting[Expected Revenue Ex GST],$BI1180)))))</f>
        <v/>
      </c>
      <c r="O1180" s="11">
        <f>IF(AND($C1180="",NOT(COUNTA($S1180:$BB1180)&gt;0)),"",SUM(U1180,X1180,AA1180,AD1180,AG1180,AJ1180,AM1180,AP1180,AS1180,AV1180,AY1180,BB1180))</f>
        <v/>
      </c>
      <c r="P1180" s="11">
        <f>IF(O1180="","",N(N1180)-O1180)</f>
        <v/>
      </c>
      <c r="Q1180" s="10">
        <f>IF(O1180="","",IF($C1180="","Invoice on empty job row",IF(N1180="",IF(ROUND(O1180,2)=0,"No dept value","Invoiced - no dept value"),IF(ROUND(O1180,2)=0,"Not invoiced - to invoice",IF(ROUND(P1180,2)=0,"Agrees",IF(P1180&gt;0,"Dept higher - to invoice","Xero higher - check dept"))))))</f>
        <v/>
      </c>
      <c r="R1180" s="10">
        <f>IF(AND($C1180="",NOT(COUNTA($S1180:$BB1180)&gt;0),$BI1180&lt;&gt;""),"",MID(IF($BI1180="","; Row ID not found on the department sheet - a row was deleted","")&amp;IF(AND($C1180="",COUNTA($S1180:$BB1180)&gt;0),"; Invoice entered but the department row has no job number","")&amp;IF(E1180="CHECK","; Job number not in the Xero job list","")&amp;IF(AND($C1180&lt;&gt;"",COUNTIF($C$7:$C$1506,$C1180)&gt;1),"; Job number on more than one row","")&amp;IF(AND($C1180&lt;&gt;"",H1180=""),"; Dept has not set a cost centre","")&amp;IF(AND($C1180&lt;&gt;"",J1180=""),"; Dept has not set a tax code","")&amp;IF(AND($C1180&lt;&gt;"",N1180=""),"; Dept has not entered an expected value","")&amp;IF((IF(OR(COUNTA(S1180:U1180)=0,AND(COUNTA(S1180:U1180)=3,ISNUMBER(U1180))),0,1)+IF(OR(COUNTA(V1180:X1180)=0,AND(COUNTA(V1180:X1180)=3,ISNUMBER(X1180))),0,1)+IF(OR(COUNTA(Y1180:AA1180)=0,AND(COUNTA(Y1180:AA1180)=3,ISNUMBER(AA1180))),0,1)+IF(OR(COUNTA(AB1180:AD1180)=0,AND(COUNTA(AB1180:AD1180)=3,ISNUMBER(AD1180))),0,1)+IF(OR(COUNTA(AE1180:AG1180)=0,AND(COUNTA(AE1180:AG1180)=3,ISNUMBER(AG1180))),0,1)+IF(OR(COUNTA(AH1180:AJ1180)=0,AND(COUNTA(AH1180:AJ1180)=3,ISNUMBER(AJ1180))),0,1)+IF(OR(COUNTA(AK1180:AM1180)=0,AND(COUNTA(AK1180:AM1180)=3,ISNUMBER(AM1180))),0,1)+IF(OR(COUNTA(AN1180:AP1180)=0,AND(COUNTA(AN1180:AP1180)=3,ISNUMBER(AP1180))),0,1)+IF(OR(COUNTA(AQ1180:AS1180)=0,AND(COUNTA(AQ1180:AS1180)=3,ISNUMBER(AS1180))),0,1)+IF(OR(COUNTA(AT1180:AV1180)=0,AND(COUNTA(AT1180:AV1180)=3,ISNUMBER(AV1180))),0,1)+IF(OR(COUNTA(AW1180:AY1180)=0,AND(COUNTA(AW1180:AY1180)=3,ISNUMBER(AY1180))),0,1)+IF(OR(COUNTA(AZ1180:BB1180)=0,AND(COUNTA(AZ1180:BB1180)=3,ISNUMBER(BB1180))),0,1))&gt;0,"; An invoice is incomplete (needs No, Date and a number in Ex GST)","")&amp;IF((IF(T1180="",0,IFERROR(--(EOMONTH(T1180,0)&lt;&gt;S$5),1))+IF(W1180="",0,IFERROR(--(EOMONTH(W1180,0)&lt;&gt;V$5),1))+IF(Z1180="",0,IFERROR(--(EOMONTH(Z1180,0)&lt;&gt;Y$5),1))+IF(AC1180="",0,IFERROR(--(EOMONTH(AC1180,0)&lt;&gt;AB$5),1))+IF(AF1180="",0,IFERROR(--(EOMONTH(AF1180,0)&lt;&gt;AE$5),1))+IF(AI1180="",0,IFERROR(--(EOMONTH(AI1180,0)&lt;&gt;AH$5),1))+IF(AL1180="",0,IFERROR(--(EOMONTH(AL1180,0)&lt;&gt;AK$5),1))+IF(AO1180="",0,IFERROR(--(EOMONTH(AO1180,0)&lt;&gt;AN$5),1))+IF(AR1180="",0,IFERROR(--(EOMONTH(AR1180,0)&lt;&gt;AQ$5),1))+IF(AU1180="",0,IFERROR(--(EOMONTH(AU1180,0)&lt;&gt;AT$5),1))+IF(AX1180="",0,IFERROR(--(EOMONTH(AX1180,0)&lt;&gt;AW$5),1))+IF(BA1180="",0,IFERROR(--(EOMONTH(BA1180,0)&lt;&gt;AZ$5),1)))&gt;0,"; An invoice date is not in the month it is typed under",""),3,500))</f>
        <v/>
      </c>
      <c r="S1180" s="12" t="n"/>
      <c r="T1180" s="13" t="n"/>
      <c r="U1180" s="14" t="n"/>
      <c r="V1180" s="12" t="n"/>
      <c r="W1180" s="13" t="n"/>
      <c r="X1180" s="14" t="n"/>
      <c r="Y1180" s="12" t="n"/>
      <c r="Z1180" s="13" t="n"/>
      <c r="AA1180" s="14" t="n"/>
      <c r="AB1180" s="12" t="n"/>
      <c r="AC1180" s="13" t="n"/>
      <c r="AD1180" s="14" t="n"/>
      <c r="AE1180" s="12" t="n"/>
      <c r="AF1180" s="13" t="n"/>
      <c r="AG1180" s="14" t="n"/>
      <c r="AH1180" s="12" t="n"/>
      <c r="AI1180" s="13" t="n"/>
      <c r="AJ1180" s="14" t="n"/>
      <c r="AK1180" s="12" t="n"/>
      <c r="AL1180" s="13" t="n"/>
      <c r="AM1180" s="14" t="n"/>
      <c r="AN1180" s="12" t="n"/>
      <c r="AO1180" s="13" t="n"/>
      <c r="AP1180" s="14" t="n"/>
      <c r="AQ1180" s="12" t="n"/>
      <c r="AR1180" s="13" t="n"/>
      <c r="AS1180" s="14" t="n"/>
      <c r="AT1180" s="12" t="n"/>
      <c r="AU1180" s="13" t="n"/>
      <c r="AV1180" s="14" t="n"/>
      <c r="AW1180" s="12" t="n"/>
      <c r="AX1180" s="13" t="n"/>
      <c r="AY1180" s="14" t="n"/>
      <c r="AZ1180" s="12" t="n"/>
      <c r="BA1180" s="13" t="n"/>
      <c r="BB1180" s="14" t="n"/>
      <c r="BC1180" s="11">
        <f>IF(O1180="","",IF(J1180="GST 10%",ROUND(O1180*set_GSTRate,2),0))</f>
        <v/>
      </c>
      <c r="BD1180" s="11">
        <f>IF(O1180="","",O1180+BC1180)</f>
        <v/>
      </c>
      <c r="BE1180" s="15">
        <f>IF(O1180="","",COUNTA(S1180,V1180,Y1180,AB1180,AE1180,AH1180,AK1180,AN1180,AQ1180,AT1180,AW1180,AZ1180))</f>
        <v/>
      </c>
      <c r="BF1180" s="16">
        <f>IF(COUNT(T1180,W1180,Z1180,AC1180,AF1180,AI1180,AL1180,AO1180,AR1180,AU1180,AX1180,BA1180)=0,"",MAX(T1180,W1180,Z1180,AC1180,AF1180,AI1180,AL1180,AO1180,AR1180,AU1180,AX1180,BA1180))</f>
        <v/>
      </c>
      <c r="BG1180" s="10">
        <f>MID(IF(S1180="","",", "&amp;S1180)&amp;IF(V1180="","",", "&amp;V1180)&amp;IF(Y1180="","",", "&amp;Y1180)&amp;IF(AB1180="","",", "&amp;AB1180)&amp;IF(AE1180="","",", "&amp;AE1180)&amp;IF(AH1180="","",", "&amp;AH1180)&amp;IF(AK1180="","",", "&amp;AK1180)&amp;IF(AN1180="","",", "&amp;AN1180)&amp;IF(AQ1180="","",", "&amp;AQ1180)&amp;IF(AT1180="","",", "&amp;AT1180)&amp;IF(AW1180="","",", "&amp;AW1180)&amp;IF(AZ1180="","",", "&amp;AZ1180),3,500)</f>
        <v/>
      </c>
      <c r="BH1180" s="12" t="n"/>
      <c r="BI1180" s="15">
        <f>IFERROR(MATCH($A1180,IF($B1180="Onsite",tbl_Onsite[Row ID],IF($B1180="Production",tbl_Production[Row ID],tbl_Consulting[Row ID])),0),"")</f>
        <v/>
      </c>
    </row>
    <row r="1181">
      <c r="A1181" s="10" t="inlineStr">
        <is>
          <t>CON-0175</t>
        </is>
      </c>
      <c r="B1181" s="10" t="inlineStr">
        <is>
          <t>Consulting</t>
        </is>
      </c>
      <c r="C1181" s="10">
        <f>IF($BI1181="","",IF($B1181="Onsite",INDEX(tbl_Onsite[Job Number],$BI1181),IF($B1181="Production",INDEX(tbl_Production[Job Number],$BI1181),INDEX(tbl_Consulting[Job Number],$BI1181)))&amp;"")</f>
        <v/>
      </c>
      <c r="D1181" s="10">
        <f>IF($BI1181="","",IF($B1181="Onsite",INDEX(tbl_Onsite[Client],$BI1181),IF($B1181="Production",INDEX(tbl_Production[Client],$BI1181),INDEX(tbl_Consulting[Client],$BI1181)))&amp;"")</f>
        <v/>
      </c>
      <c r="E1181" s="10">
        <f>IF($C1181="","",IF(COUNTIF(lst_Jobs,$C1181)&gt;0,"OK","CHECK"))</f>
        <v/>
      </c>
      <c r="F1181" s="10">
        <f>IF($C1181="","",IFERROR(INDEX(lst_JobName,MATCH($C1181,lst_Jobs,0)),""))</f>
        <v/>
      </c>
      <c r="G1181" s="10">
        <f>IF($BI1181="","",IF($B1181="Onsite",INDEX(tbl_Onsite[Job Description],$BI1181),IF($B1181="Production",INDEX(tbl_Production[Job Description],$BI1181),INDEX(tbl_Consulting[Job Description],$BI1181)))&amp;"")</f>
        <v/>
      </c>
      <c r="H1181" s="10">
        <f>IF($BI1181="","",IF($B1181="Onsite",INDEX(tbl_Onsite[Cost Centre],$BI1181),IF($B1181="Production",INDEX(tbl_Production[Cost Centre],$BI1181),INDEX(tbl_Consulting[Cost Centre],$BI1181)))&amp;"")</f>
        <v/>
      </c>
      <c r="I1181" s="10">
        <f>IF($BI1181="","",IF($B1181="Onsite",INDEX(tbl_Onsite[Invoice Type],$BI1181),IF($B1181="Production",INDEX(tbl_Production[Invoice Type],$BI1181),INDEX(tbl_Consulting[Invoice Type],$BI1181)))&amp;"")</f>
        <v/>
      </c>
      <c r="J1181" s="10">
        <f>IF($BI1181="","",IF($B1181="Onsite",INDEX(tbl_Onsite[Tax Code],$BI1181),IF($B1181="Production",INDEX(tbl_Production[Tax Code],$BI1181),INDEX(tbl_Consulting[Tax Code],$BI1181)))&amp;"")</f>
        <v/>
      </c>
      <c r="K1181" s="10">
        <f>IF(H1181="","",IFERROR(INDEX(lst_CCtoGL,MATCH(H1181,lst_CCforGL,0)),""))</f>
        <v/>
      </c>
      <c r="L1181" s="10">
        <f>IF($BI1181="","",IF($B1181="Onsite",INDEX(tbl_Onsite[PO / Reference],$BI1181),IF($B1181="Production",INDEX(tbl_Production[Current RMS No],$BI1181),INDEX(tbl_Consulting[Qwilr Quote],$BI1181)))&amp;"")</f>
        <v/>
      </c>
      <c r="M1181" s="10">
        <f>IF($BI1181="","",IF($B1181="Onsite",INDEX(tbl_Onsite[Notes],$BI1181),IF($B1181="Production",INDEX(tbl_Production[Notes],$BI1181),INDEX(tbl_Consulting[Notes],$BI1181)))&amp;"")</f>
        <v/>
      </c>
      <c r="N1181" s="11">
        <f>IF($BI1181="","",IF(IF($B1181="Onsite",INDEX(tbl_Onsite[Expected Revenue Ex GST],$BI1181),IF($B1181="Production",INDEX(tbl_Production[Expected Revenue Ex GST],$BI1181),INDEX(tbl_Consulting[Expected Revenue Ex GST],$BI1181)))="","",IF($B1181="Onsite",INDEX(tbl_Onsite[Expected Revenue Ex GST],$BI1181),IF($B1181="Production",INDEX(tbl_Production[Expected Revenue Ex GST],$BI1181),INDEX(tbl_Consulting[Expected Revenue Ex GST],$BI1181)))))</f>
        <v/>
      </c>
      <c r="O1181" s="11">
        <f>IF(AND($C1181="",NOT(COUNTA($S1181:$BB1181)&gt;0)),"",SUM(U1181,X1181,AA1181,AD1181,AG1181,AJ1181,AM1181,AP1181,AS1181,AV1181,AY1181,BB1181))</f>
        <v/>
      </c>
      <c r="P1181" s="11">
        <f>IF(O1181="","",N(N1181)-O1181)</f>
        <v/>
      </c>
      <c r="Q1181" s="10">
        <f>IF(O1181="","",IF($C1181="","Invoice on empty job row",IF(N1181="",IF(ROUND(O1181,2)=0,"No dept value","Invoiced - no dept value"),IF(ROUND(O1181,2)=0,"Not invoiced - to invoice",IF(ROUND(P1181,2)=0,"Agrees",IF(P1181&gt;0,"Dept higher - to invoice","Xero higher - check dept"))))))</f>
        <v/>
      </c>
      <c r="R1181" s="10">
        <f>IF(AND($C1181="",NOT(COUNTA($S1181:$BB1181)&gt;0),$BI1181&lt;&gt;""),"",MID(IF($BI1181="","; Row ID not found on the department sheet - a row was deleted","")&amp;IF(AND($C1181="",COUNTA($S1181:$BB1181)&gt;0),"; Invoice entered but the department row has no job number","")&amp;IF(E1181="CHECK","; Job number not in the Xero job list","")&amp;IF(AND($C1181&lt;&gt;"",COUNTIF($C$7:$C$1506,$C1181)&gt;1),"; Job number on more than one row","")&amp;IF(AND($C1181&lt;&gt;"",H1181=""),"; Dept has not set a cost centre","")&amp;IF(AND($C1181&lt;&gt;"",J1181=""),"; Dept has not set a tax code","")&amp;IF(AND($C1181&lt;&gt;"",N1181=""),"; Dept has not entered an expected value","")&amp;IF((IF(OR(COUNTA(S1181:U1181)=0,AND(COUNTA(S1181:U1181)=3,ISNUMBER(U1181))),0,1)+IF(OR(COUNTA(V1181:X1181)=0,AND(COUNTA(V1181:X1181)=3,ISNUMBER(X1181))),0,1)+IF(OR(COUNTA(Y1181:AA1181)=0,AND(COUNTA(Y1181:AA1181)=3,ISNUMBER(AA1181))),0,1)+IF(OR(COUNTA(AB1181:AD1181)=0,AND(COUNTA(AB1181:AD1181)=3,ISNUMBER(AD1181))),0,1)+IF(OR(COUNTA(AE1181:AG1181)=0,AND(COUNTA(AE1181:AG1181)=3,ISNUMBER(AG1181))),0,1)+IF(OR(COUNTA(AH1181:AJ1181)=0,AND(COUNTA(AH1181:AJ1181)=3,ISNUMBER(AJ1181))),0,1)+IF(OR(COUNTA(AK1181:AM1181)=0,AND(COUNTA(AK1181:AM1181)=3,ISNUMBER(AM1181))),0,1)+IF(OR(COUNTA(AN1181:AP1181)=0,AND(COUNTA(AN1181:AP1181)=3,ISNUMBER(AP1181))),0,1)+IF(OR(COUNTA(AQ1181:AS1181)=0,AND(COUNTA(AQ1181:AS1181)=3,ISNUMBER(AS1181))),0,1)+IF(OR(COUNTA(AT1181:AV1181)=0,AND(COUNTA(AT1181:AV1181)=3,ISNUMBER(AV1181))),0,1)+IF(OR(COUNTA(AW1181:AY1181)=0,AND(COUNTA(AW1181:AY1181)=3,ISNUMBER(AY1181))),0,1)+IF(OR(COUNTA(AZ1181:BB1181)=0,AND(COUNTA(AZ1181:BB1181)=3,ISNUMBER(BB1181))),0,1))&gt;0,"; An invoice is incomplete (needs No, Date and a number in Ex GST)","")&amp;IF((IF(T1181="",0,IFERROR(--(EOMONTH(T1181,0)&lt;&gt;S$5),1))+IF(W1181="",0,IFERROR(--(EOMONTH(W1181,0)&lt;&gt;V$5),1))+IF(Z1181="",0,IFERROR(--(EOMONTH(Z1181,0)&lt;&gt;Y$5),1))+IF(AC1181="",0,IFERROR(--(EOMONTH(AC1181,0)&lt;&gt;AB$5),1))+IF(AF1181="",0,IFERROR(--(EOMONTH(AF1181,0)&lt;&gt;AE$5),1))+IF(AI1181="",0,IFERROR(--(EOMONTH(AI1181,0)&lt;&gt;AH$5),1))+IF(AL1181="",0,IFERROR(--(EOMONTH(AL1181,0)&lt;&gt;AK$5),1))+IF(AO1181="",0,IFERROR(--(EOMONTH(AO1181,0)&lt;&gt;AN$5),1))+IF(AR1181="",0,IFERROR(--(EOMONTH(AR1181,0)&lt;&gt;AQ$5),1))+IF(AU1181="",0,IFERROR(--(EOMONTH(AU1181,0)&lt;&gt;AT$5),1))+IF(AX1181="",0,IFERROR(--(EOMONTH(AX1181,0)&lt;&gt;AW$5),1))+IF(BA1181="",0,IFERROR(--(EOMONTH(BA1181,0)&lt;&gt;AZ$5),1)))&gt;0,"; An invoice date is not in the month it is typed under",""),3,500))</f>
        <v/>
      </c>
      <c r="S1181" s="12" t="n"/>
      <c r="T1181" s="13" t="n"/>
      <c r="U1181" s="14" t="n"/>
      <c r="V1181" s="12" t="n"/>
      <c r="W1181" s="13" t="n"/>
      <c r="X1181" s="14" t="n"/>
      <c r="Y1181" s="12" t="n"/>
      <c r="Z1181" s="13" t="n"/>
      <c r="AA1181" s="14" t="n"/>
      <c r="AB1181" s="12" t="n"/>
      <c r="AC1181" s="13" t="n"/>
      <c r="AD1181" s="14" t="n"/>
      <c r="AE1181" s="12" t="n"/>
      <c r="AF1181" s="13" t="n"/>
      <c r="AG1181" s="14" t="n"/>
      <c r="AH1181" s="12" t="n"/>
      <c r="AI1181" s="13" t="n"/>
      <c r="AJ1181" s="14" t="n"/>
      <c r="AK1181" s="12" t="n"/>
      <c r="AL1181" s="13" t="n"/>
      <c r="AM1181" s="14" t="n"/>
      <c r="AN1181" s="12" t="n"/>
      <c r="AO1181" s="13" t="n"/>
      <c r="AP1181" s="14" t="n"/>
      <c r="AQ1181" s="12" t="n"/>
      <c r="AR1181" s="13" t="n"/>
      <c r="AS1181" s="14" t="n"/>
      <c r="AT1181" s="12" t="n"/>
      <c r="AU1181" s="13" t="n"/>
      <c r="AV1181" s="14" t="n"/>
      <c r="AW1181" s="12" t="n"/>
      <c r="AX1181" s="13" t="n"/>
      <c r="AY1181" s="14" t="n"/>
      <c r="AZ1181" s="12" t="n"/>
      <c r="BA1181" s="13" t="n"/>
      <c r="BB1181" s="14" t="n"/>
      <c r="BC1181" s="11">
        <f>IF(O1181="","",IF(J1181="GST 10%",ROUND(O1181*set_GSTRate,2),0))</f>
        <v/>
      </c>
      <c r="BD1181" s="11">
        <f>IF(O1181="","",O1181+BC1181)</f>
        <v/>
      </c>
      <c r="BE1181" s="15">
        <f>IF(O1181="","",COUNTA(S1181,V1181,Y1181,AB1181,AE1181,AH1181,AK1181,AN1181,AQ1181,AT1181,AW1181,AZ1181))</f>
        <v/>
      </c>
      <c r="BF1181" s="16">
        <f>IF(COUNT(T1181,W1181,Z1181,AC1181,AF1181,AI1181,AL1181,AO1181,AR1181,AU1181,AX1181,BA1181)=0,"",MAX(T1181,W1181,Z1181,AC1181,AF1181,AI1181,AL1181,AO1181,AR1181,AU1181,AX1181,BA1181))</f>
        <v/>
      </c>
      <c r="BG1181" s="10">
        <f>MID(IF(S1181="","",", "&amp;S1181)&amp;IF(V1181="","",", "&amp;V1181)&amp;IF(Y1181="","",", "&amp;Y1181)&amp;IF(AB1181="","",", "&amp;AB1181)&amp;IF(AE1181="","",", "&amp;AE1181)&amp;IF(AH1181="","",", "&amp;AH1181)&amp;IF(AK1181="","",", "&amp;AK1181)&amp;IF(AN1181="","",", "&amp;AN1181)&amp;IF(AQ1181="","",", "&amp;AQ1181)&amp;IF(AT1181="","",", "&amp;AT1181)&amp;IF(AW1181="","",", "&amp;AW1181)&amp;IF(AZ1181="","",", "&amp;AZ1181),3,500)</f>
        <v/>
      </c>
      <c r="BH1181" s="12" t="n"/>
      <c r="BI1181" s="15">
        <f>IFERROR(MATCH($A1181,IF($B1181="Onsite",tbl_Onsite[Row ID],IF($B1181="Production",tbl_Production[Row ID],tbl_Consulting[Row ID])),0),"")</f>
        <v/>
      </c>
    </row>
    <row r="1182">
      <c r="A1182" s="10" t="inlineStr">
        <is>
          <t>CON-0176</t>
        </is>
      </c>
      <c r="B1182" s="10" t="inlineStr">
        <is>
          <t>Consulting</t>
        </is>
      </c>
      <c r="C1182" s="10">
        <f>IF($BI1182="","",IF($B1182="Onsite",INDEX(tbl_Onsite[Job Number],$BI1182),IF($B1182="Production",INDEX(tbl_Production[Job Number],$BI1182),INDEX(tbl_Consulting[Job Number],$BI1182)))&amp;"")</f>
        <v/>
      </c>
      <c r="D1182" s="10">
        <f>IF($BI1182="","",IF($B1182="Onsite",INDEX(tbl_Onsite[Client],$BI1182),IF($B1182="Production",INDEX(tbl_Production[Client],$BI1182),INDEX(tbl_Consulting[Client],$BI1182)))&amp;"")</f>
        <v/>
      </c>
      <c r="E1182" s="10">
        <f>IF($C1182="","",IF(COUNTIF(lst_Jobs,$C1182)&gt;0,"OK","CHECK"))</f>
        <v/>
      </c>
      <c r="F1182" s="10">
        <f>IF($C1182="","",IFERROR(INDEX(lst_JobName,MATCH($C1182,lst_Jobs,0)),""))</f>
        <v/>
      </c>
      <c r="G1182" s="10">
        <f>IF($BI1182="","",IF($B1182="Onsite",INDEX(tbl_Onsite[Job Description],$BI1182),IF($B1182="Production",INDEX(tbl_Production[Job Description],$BI1182),INDEX(tbl_Consulting[Job Description],$BI1182)))&amp;"")</f>
        <v/>
      </c>
      <c r="H1182" s="10">
        <f>IF($BI1182="","",IF($B1182="Onsite",INDEX(tbl_Onsite[Cost Centre],$BI1182),IF($B1182="Production",INDEX(tbl_Production[Cost Centre],$BI1182),INDEX(tbl_Consulting[Cost Centre],$BI1182)))&amp;"")</f>
        <v/>
      </c>
      <c r="I1182" s="10">
        <f>IF($BI1182="","",IF($B1182="Onsite",INDEX(tbl_Onsite[Invoice Type],$BI1182),IF($B1182="Production",INDEX(tbl_Production[Invoice Type],$BI1182),INDEX(tbl_Consulting[Invoice Type],$BI1182)))&amp;"")</f>
        <v/>
      </c>
      <c r="J1182" s="10">
        <f>IF($BI1182="","",IF($B1182="Onsite",INDEX(tbl_Onsite[Tax Code],$BI1182),IF($B1182="Production",INDEX(tbl_Production[Tax Code],$BI1182),INDEX(tbl_Consulting[Tax Code],$BI1182)))&amp;"")</f>
        <v/>
      </c>
      <c r="K1182" s="10">
        <f>IF(H1182="","",IFERROR(INDEX(lst_CCtoGL,MATCH(H1182,lst_CCforGL,0)),""))</f>
        <v/>
      </c>
      <c r="L1182" s="10">
        <f>IF($BI1182="","",IF($B1182="Onsite",INDEX(tbl_Onsite[PO / Reference],$BI1182),IF($B1182="Production",INDEX(tbl_Production[Current RMS No],$BI1182),INDEX(tbl_Consulting[Qwilr Quote],$BI1182)))&amp;"")</f>
        <v/>
      </c>
      <c r="M1182" s="10">
        <f>IF($BI1182="","",IF($B1182="Onsite",INDEX(tbl_Onsite[Notes],$BI1182),IF($B1182="Production",INDEX(tbl_Production[Notes],$BI1182),INDEX(tbl_Consulting[Notes],$BI1182)))&amp;"")</f>
        <v/>
      </c>
      <c r="N1182" s="11">
        <f>IF($BI1182="","",IF(IF($B1182="Onsite",INDEX(tbl_Onsite[Expected Revenue Ex GST],$BI1182),IF($B1182="Production",INDEX(tbl_Production[Expected Revenue Ex GST],$BI1182),INDEX(tbl_Consulting[Expected Revenue Ex GST],$BI1182)))="","",IF($B1182="Onsite",INDEX(tbl_Onsite[Expected Revenue Ex GST],$BI1182),IF($B1182="Production",INDEX(tbl_Production[Expected Revenue Ex GST],$BI1182),INDEX(tbl_Consulting[Expected Revenue Ex GST],$BI1182)))))</f>
        <v/>
      </c>
      <c r="O1182" s="11">
        <f>IF(AND($C1182="",NOT(COUNTA($S1182:$BB1182)&gt;0)),"",SUM(U1182,X1182,AA1182,AD1182,AG1182,AJ1182,AM1182,AP1182,AS1182,AV1182,AY1182,BB1182))</f>
        <v/>
      </c>
      <c r="P1182" s="11">
        <f>IF(O1182="","",N(N1182)-O1182)</f>
        <v/>
      </c>
      <c r="Q1182" s="10">
        <f>IF(O1182="","",IF($C1182="","Invoice on empty job row",IF(N1182="",IF(ROUND(O1182,2)=0,"No dept value","Invoiced - no dept value"),IF(ROUND(O1182,2)=0,"Not invoiced - to invoice",IF(ROUND(P1182,2)=0,"Agrees",IF(P1182&gt;0,"Dept higher - to invoice","Xero higher - check dept"))))))</f>
        <v/>
      </c>
      <c r="R1182" s="10">
        <f>IF(AND($C1182="",NOT(COUNTA($S1182:$BB1182)&gt;0),$BI1182&lt;&gt;""),"",MID(IF($BI1182="","; Row ID not found on the department sheet - a row was deleted","")&amp;IF(AND($C1182="",COUNTA($S1182:$BB1182)&gt;0),"; Invoice entered but the department row has no job number","")&amp;IF(E1182="CHECK","; Job number not in the Xero job list","")&amp;IF(AND($C1182&lt;&gt;"",COUNTIF($C$7:$C$1506,$C1182)&gt;1),"; Job number on more than one row","")&amp;IF(AND($C1182&lt;&gt;"",H1182=""),"; Dept has not set a cost centre","")&amp;IF(AND($C1182&lt;&gt;"",J1182=""),"; Dept has not set a tax code","")&amp;IF(AND($C1182&lt;&gt;"",N1182=""),"; Dept has not entered an expected value","")&amp;IF((IF(OR(COUNTA(S1182:U1182)=0,AND(COUNTA(S1182:U1182)=3,ISNUMBER(U1182))),0,1)+IF(OR(COUNTA(V1182:X1182)=0,AND(COUNTA(V1182:X1182)=3,ISNUMBER(X1182))),0,1)+IF(OR(COUNTA(Y1182:AA1182)=0,AND(COUNTA(Y1182:AA1182)=3,ISNUMBER(AA1182))),0,1)+IF(OR(COUNTA(AB1182:AD1182)=0,AND(COUNTA(AB1182:AD1182)=3,ISNUMBER(AD1182))),0,1)+IF(OR(COUNTA(AE1182:AG1182)=0,AND(COUNTA(AE1182:AG1182)=3,ISNUMBER(AG1182))),0,1)+IF(OR(COUNTA(AH1182:AJ1182)=0,AND(COUNTA(AH1182:AJ1182)=3,ISNUMBER(AJ1182))),0,1)+IF(OR(COUNTA(AK1182:AM1182)=0,AND(COUNTA(AK1182:AM1182)=3,ISNUMBER(AM1182))),0,1)+IF(OR(COUNTA(AN1182:AP1182)=0,AND(COUNTA(AN1182:AP1182)=3,ISNUMBER(AP1182))),0,1)+IF(OR(COUNTA(AQ1182:AS1182)=0,AND(COUNTA(AQ1182:AS1182)=3,ISNUMBER(AS1182))),0,1)+IF(OR(COUNTA(AT1182:AV1182)=0,AND(COUNTA(AT1182:AV1182)=3,ISNUMBER(AV1182))),0,1)+IF(OR(COUNTA(AW1182:AY1182)=0,AND(COUNTA(AW1182:AY1182)=3,ISNUMBER(AY1182))),0,1)+IF(OR(COUNTA(AZ1182:BB1182)=0,AND(COUNTA(AZ1182:BB1182)=3,ISNUMBER(BB1182))),0,1))&gt;0,"; An invoice is incomplete (needs No, Date and a number in Ex GST)","")&amp;IF((IF(T1182="",0,IFERROR(--(EOMONTH(T1182,0)&lt;&gt;S$5),1))+IF(W1182="",0,IFERROR(--(EOMONTH(W1182,0)&lt;&gt;V$5),1))+IF(Z1182="",0,IFERROR(--(EOMONTH(Z1182,0)&lt;&gt;Y$5),1))+IF(AC1182="",0,IFERROR(--(EOMONTH(AC1182,0)&lt;&gt;AB$5),1))+IF(AF1182="",0,IFERROR(--(EOMONTH(AF1182,0)&lt;&gt;AE$5),1))+IF(AI1182="",0,IFERROR(--(EOMONTH(AI1182,0)&lt;&gt;AH$5),1))+IF(AL1182="",0,IFERROR(--(EOMONTH(AL1182,0)&lt;&gt;AK$5),1))+IF(AO1182="",0,IFERROR(--(EOMONTH(AO1182,0)&lt;&gt;AN$5),1))+IF(AR1182="",0,IFERROR(--(EOMONTH(AR1182,0)&lt;&gt;AQ$5),1))+IF(AU1182="",0,IFERROR(--(EOMONTH(AU1182,0)&lt;&gt;AT$5),1))+IF(AX1182="",0,IFERROR(--(EOMONTH(AX1182,0)&lt;&gt;AW$5),1))+IF(BA1182="",0,IFERROR(--(EOMONTH(BA1182,0)&lt;&gt;AZ$5),1)))&gt;0,"; An invoice date is not in the month it is typed under",""),3,500))</f>
        <v/>
      </c>
      <c r="S1182" s="12" t="n"/>
      <c r="T1182" s="13" t="n"/>
      <c r="U1182" s="14" t="n"/>
      <c r="V1182" s="12" t="n"/>
      <c r="W1182" s="13" t="n"/>
      <c r="X1182" s="14" t="n"/>
      <c r="Y1182" s="12" t="n"/>
      <c r="Z1182" s="13" t="n"/>
      <c r="AA1182" s="14" t="n"/>
      <c r="AB1182" s="12" t="n"/>
      <c r="AC1182" s="13" t="n"/>
      <c r="AD1182" s="14" t="n"/>
      <c r="AE1182" s="12" t="n"/>
      <c r="AF1182" s="13" t="n"/>
      <c r="AG1182" s="14" t="n"/>
      <c r="AH1182" s="12" t="n"/>
      <c r="AI1182" s="13" t="n"/>
      <c r="AJ1182" s="14" t="n"/>
      <c r="AK1182" s="12" t="n"/>
      <c r="AL1182" s="13" t="n"/>
      <c r="AM1182" s="14" t="n"/>
      <c r="AN1182" s="12" t="n"/>
      <c r="AO1182" s="13" t="n"/>
      <c r="AP1182" s="14" t="n"/>
      <c r="AQ1182" s="12" t="n"/>
      <c r="AR1182" s="13" t="n"/>
      <c r="AS1182" s="14" t="n"/>
      <c r="AT1182" s="12" t="n"/>
      <c r="AU1182" s="13" t="n"/>
      <c r="AV1182" s="14" t="n"/>
      <c r="AW1182" s="12" t="n"/>
      <c r="AX1182" s="13" t="n"/>
      <c r="AY1182" s="14" t="n"/>
      <c r="AZ1182" s="12" t="n"/>
      <c r="BA1182" s="13" t="n"/>
      <c r="BB1182" s="14" t="n"/>
      <c r="BC1182" s="11">
        <f>IF(O1182="","",IF(J1182="GST 10%",ROUND(O1182*set_GSTRate,2),0))</f>
        <v/>
      </c>
      <c r="BD1182" s="11">
        <f>IF(O1182="","",O1182+BC1182)</f>
        <v/>
      </c>
      <c r="BE1182" s="15">
        <f>IF(O1182="","",COUNTA(S1182,V1182,Y1182,AB1182,AE1182,AH1182,AK1182,AN1182,AQ1182,AT1182,AW1182,AZ1182))</f>
        <v/>
      </c>
      <c r="BF1182" s="16">
        <f>IF(COUNT(T1182,W1182,Z1182,AC1182,AF1182,AI1182,AL1182,AO1182,AR1182,AU1182,AX1182,BA1182)=0,"",MAX(T1182,W1182,Z1182,AC1182,AF1182,AI1182,AL1182,AO1182,AR1182,AU1182,AX1182,BA1182))</f>
        <v/>
      </c>
      <c r="BG1182" s="10">
        <f>MID(IF(S1182="","",", "&amp;S1182)&amp;IF(V1182="","",", "&amp;V1182)&amp;IF(Y1182="","",", "&amp;Y1182)&amp;IF(AB1182="","",", "&amp;AB1182)&amp;IF(AE1182="","",", "&amp;AE1182)&amp;IF(AH1182="","",", "&amp;AH1182)&amp;IF(AK1182="","",", "&amp;AK1182)&amp;IF(AN1182="","",", "&amp;AN1182)&amp;IF(AQ1182="","",", "&amp;AQ1182)&amp;IF(AT1182="","",", "&amp;AT1182)&amp;IF(AW1182="","",", "&amp;AW1182)&amp;IF(AZ1182="","",", "&amp;AZ1182),3,500)</f>
        <v/>
      </c>
      <c r="BH1182" s="12" t="n"/>
      <c r="BI1182" s="15">
        <f>IFERROR(MATCH($A1182,IF($B1182="Onsite",tbl_Onsite[Row ID],IF($B1182="Production",tbl_Production[Row ID],tbl_Consulting[Row ID])),0),"")</f>
        <v/>
      </c>
    </row>
    <row r="1183">
      <c r="A1183" s="10" t="inlineStr">
        <is>
          <t>CON-0177</t>
        </is>
      </c>
      <c r="B1183" s="10" t="inlineStr">
        <is>
          <t>Consulting</t>
        </is>
      </c>
      <c r="C1183" s="10">
        <f>IF($BI1183="","",IF($B1183="Onsite",INDEX(tbl_Onsite[Job Number],$BI1183),IF($B1183="Production",INDEX(tbl_Production[Job Number],$BI1183),INDEX(tbl_Consulting[Job Number],$BI1183)))&amp;"")</f>
        <v/>
      </c>
      <c r="D1183" s="10">
        <f>IF($BI1183="","",IF($B1183="Onsite",INDEX(tbl_Onsite[Client],$BI1183),IF($B1183="Production",INDEX(tbl_Production[Client],$BI1183),INDEX(tbl_Consulting[Client],$BI1183)))&amp;"")</f>
        <v/>
      </c>
      <c r="E1183" s="10">
        <f>IF($C1183="","",IF(COUNTIF(lst_Jobs,$C1183)&gt;0,"OK","CHECK"))</f>
        <v/>
      </c>
      <c r="F1183" s="10">
        <f>IF($C1183="","",IFERROR(INDEX(lst_JobName,MATCH($C1183,lst_Jobs,0)),""))</f>
        <v/>
      </c>
      <c r="G1183" s="10">
        <f>IF($BI1183="","",IF($B1183="Onsite",INDEX(tbl_Onsite[Job Description],$BI1183),IF($B1183="Production",INDEX(tbl_Production[Job Description],$BI1183),INDEX(tbl_Consulting[Job Description],$BI1183)))&amp;"")</f>
        <v/>
      </c>
      <c r="H1183" s="10">
        <f>IF($BI1183="","",IF($B1183="Onsite",INDEX(tbl_Onsite[Cost Centre],$BI1183),IF($B1183="Production",INDEX(tbl_Production[Cost Centre],$BI1183),INDEX(tbl_Consulting[Cost Centre],$BI1183)))&amp;"")</f>
        <v/>
      </c>
      <c r="I1183" s="10">
        <f>IF($BI1183="","",IF($B1183="Onsite",INDEX(tbl_Onsite[Invoice Type],$BI1183),IF($B1183="Production",INDEX(tbl_Production[Invoice Type],$BI1183),INDEX(tbl_Consulting[Invoice Type],$BI1183)))&amp;"")</f>
        <v/>
      </c>
      <c r="J1183" s="10">
        <f>IF($BI1183="","",IF($B1183="Onsite",INDEX(tbl_Onsite[Tax Code],$BI1183),IF($B1183="Production",INDEX(tbl_Production[Tax Code],$BI1183),INDEX(tbl_Consulting[Tax Code],$BI1183)))&amp;"")</f>
        <v/>
      </c>
      <c r="K1183" s="10">
        <f>IF(H1183="","",IFERROR(INDEX(lst_CCtoGL,MATCH(H1183,lst_CCforGL,0)),""))</f>
        <v/>
      </c>
      <c r="L1183" s="10">
        <f>IF($BI1183="","",IF($B1183="Onsite",INDEX(tbl_Onsite[PO / Reference],$BI1183),IF($B1183="Production",INDEX(tbl_Production[Current RMS No],$BI1183),INDEX(tbl_Consulting[Qwilr Quote],$BI1183)))&amp;"")</f>
        <v/>
      </c>
      <c r="M1183" s="10">
        <f>IF($BI1183="","",IF($B1183="Onsite",INDEX(tbl_Onsite[Notes],$BI1183),IF($B1183="Production",INDEX(tbl_Production[Notes],$BI1183),INDEX(tbl_Consulting[Notes],$BI1183)))&amp;"")</f>
        <v/>
      </c>
      <c r="N1183" s="11">
        <f>IF($BI1183="","",IF(IF($B1183="Onsite",INDEX(tbl_Onsite[Expected Revenue Ex GST],$BI1183),IF($B1183="Production",INDEX(tbl_Production[Expected Revenue Ex GST],$BI1183),INDEX(tbl_Consulting[Expected Revenue Ex GST],$BI1183)))="","",IF($B1183="Onsite",INDEX(tbl_Onsite[Expected Revenue Ex GST],$BI1183),IF($B1183="Production",INDEX(tbl_Production[Expected Revenue Ex GST],$BI1183),INDEX(tbl_Consulting[Expected Revenue Ex GST],$BI1183)))))</f>
        <v/>
      </c>
      <c r="O1183" s="11">
        <f>IF(AND($C1183="",NOT(COUNTA($S1183:$BB1183)&gt;0)),"",SUM(U1183,X1183,AA1183,AD1183,AG1183,AJ1183,AM1183,AP1183,AS1183,AV1183,AY1183,BB1183))</f>
        <v/>
      </c>
      <c r="P1183" s="11">
        <f>IF(O1183="","",N(N1183)-O1183)</f>
        <v/>
      </c>
      <c r="Q1183" s="10">
        <f>IF(O1183="","",IF($C1183="","Invoice on empty job row",IF(N1183="",IF(ROUND(O1183,2)=0,"No dept value","Invoiced - no dept value"),IF(ROUND(O1183,2)=0,"Not invoiced - to invoice",IF(ROUND(P1183,2)=0,"Agrees",IF(P1183&gt;0,"Dept higher - to invoice","Xero higher - check dept"))))))</f>
        <v/>
      </c>
      <c r="R1183" s="10">
        <f>IF(AND($C1183="",NOT(COUNTA($S1183:$BB1183)&gt;0),$BI1183&lt;&gt;""),"",MID(IF($BI1183="","; Row ID not found on the department sheet - a row was deleted","")&amp;IF(AND($C1183="",COUNTA($S1183:$BB1183)&gt;0),"; Invoice entered but the department row has no job number","")&amp;IF(E1183="CHECK","; Job number not in the Xero job list","")&amp;IF(AND($C1183&lt;&gt;"",COUNTIF($C$7:$C$1506,$C1183)&gt;1),"; Job number on more than one row","")&amp;IF(AND($C1183&lt;&gt;"",H1183=""),"; Dept has not set a cost centre","")&amp;IF(AND($C1183&lt;&gt;"",J1183=""),"; Dept has not set a tax code","")&amp;IF(AND($C1183&lt;&gt;"",N1183=""),"; Dept has not entered an expected value","")&amp;IF((IF(OR(COUNTA(S1183:U1183)=0,AND(COUNTA(S1183:U1183)=3,ISNUMBER(U1183))),0,1)+IF(OR(COUNTA(V1183:X1183)=0,AND(COUNTA(V1183:X1183)=3,ISNUMBER(X1183))),0,1)+IF(OR(COUNTA(Y1183:AA1183)=0,AND(COUNTA(Y1183:AA1183)=3,ISNUMBER(AA1183))),0,1)+IF(OR(COUNTA(AB1183:AD1183)=0,AND(COUNTA(AB1183:AD1183)=3,ISNUMBER(AD1183))),0,1)+IF(OR(COUNTA(AE1183:AG1183)=0,AND(COUNTA(AE1183:AG1183)=3,ISNUMBER(AG1183))),0,1)+IF(OR(COUNTA(AH1183:AJ1183)=0,AND(COUNTA(AH1183:AJ1183)=3,ISNUMBER(AJ1183))),0,1)+IF(OR(COUNTA(AK1183:AM1183)=0,AND(COUNTA(AK1183:AM1183)=3,ISNUMBER(AM1183))),0,1)+IF(OR(COUNTA(AN1183:AP1183)=0,AND(COUNTA(AN1183:AP1183)=3,ISNUMBER(AP1183))),0,1)+IF(OR(COUNTA(AQ1183:AS1183)=0,AND(COUNTA(AQ1183:AS1183)=3,ISNUMBER(AS1183))),0,1)+IF(OR(COUNTA(AT1183:AV1183)=0,AND(COUNTA(AT1183:AV1183)=3,ISNUMBER(AV1183))),0,1)+IF(OR(COUNTA(AW1183:AY1183)=0,AND(COUNTA(AW1183:AY1183)=3,ISNUMBER(AY1183))),0,1)+IF(OR(COUNTA(AZ1183:BB1183)=0,AND(COUNTA(AZ1183:BB1183)=3,ISNUMBER(BB1183))),0,1))&gt;0,"; An invoice is incomplete (needs No, Date and a number in Ex GST)","")&amp;IF((IF(T1183="",0,IFERROR(--(EOMONTH(T1183,0)&lt;&gt;S$5),1))+IF(W1183="",0,IFERROR(--(EOMONTH(W1183,0)&lt;&gt;V$5),1))+IF(Z1183="",0,IFERROR(--(EOMONTH(Z1183,0)&lt;&gt;Y$5),1))+IF(AC1183="",0,IFERROR(--(EOMONTH(AC1183,0)&lt;&gt;AB$5),1))+IF(AF1183="",0,IFERROR(--(EOMONTH(AF1183,0)&lt;&gt;AE$5),1))+IF(AI1183="",0,IFERROR(--(EOMONTH(AI1183,0)&lt;&gt;AH$5),1))+IF(AL1183="",0,IFERROR(--(EOMONTH(AL1183,0)&lt;&gt;AK$5),1))+IF(AO1183="",0,IFERROR(--(EOMONTH(AO1183,0)&lt;&gt;AN$5),1))+IF(AR1183="",0,IFERROR(--(EOMONTH(AR1183,0)&lt;&gt;AQ$5),1))+IF(AU1183="",0,IFERROR(--(EOMONTH(AU1183,0)&lt;&gt;AT$5),1))+IF(AX1183="",0,IFERROR(--(EOMONTH(AX1183,0)&lt;&gt;AW$5),1))+IF(BA1183="",0,IFERROR(--(EOMONTH(BA1183,0)&lt;&gt;AZ$5),1)))&gt;0,"; An invoice date is not in the month it is typed under",""),3,500))</f>
        <v/>
      </c>
      <c r="S1183" s="12" t="n"/>
      <c r="T1183" s="13" t="n"/>
      <c r="U1183" s="14" t="n"/>
      <c r="V1183" s="12" t="n"/>
      <c r="W1183" s="13" t="n"/>
      <c r="X1183" s="14" t="n"/>
      <c r="Y1183" s="12" t="n"/>
      <c r="Z1183" s="13" t="n"/>
      <c r="AA1183" s="14" t="n"/>
      <c r="AB1183" s="12" t="n"/>
      <c r="AC1183" s="13" t="n"/>
      <c r="AD1183" s="14" t="n"/>
      <c r="AE1183" s="12" t="n"/>
      <c r="AF1183" s="13" t="n"/>
      <c r="AG1183" s="14" t="n"/>
      <c r="AH1183" s="12" t="n"/>
      <c r="AI1183" s="13" t="n"/>
      <c r="AJ1183" s="14" t="n"/>
      <c r="AK1183" s="12" t="n"/>
      <c r="AL1183" s="13" t="n"/>
      <c r="AM1183" s="14" t="n"/>
      <c r="AN1183" s="12" t="n"/>
      <c r="AO1183" s="13" t="n"/>
      <c r="AP1183" s="14" t="n"/>
      <c r="AQ1183" s="12" t="n"/>
      <c r="AR1183" s="13" t="n"/>
      <c r="AS1183" s="14" t="n"/>
      <c r="AT1183" s="12" t="n"/>
      <c r="AU1183" s="13" t="n"/>
      <c r="AV1183" s="14" t="n"/>
      <c r="AW1183" s="12" t="n"/>
      <c r="AX1183" s="13" t="n"/>
      <c r="AY1183" s="14" t="n"/>
      <c r="AZ1183" s="12" t="n"/>
      <c r="BA1183" s="13" t="n"/>
      <c r="BB1183" s="14" t="n"/>
      <c r="BC1183" s="11">
        <f>IF(O1183="","",IF(J1183="GST 10%",ROUND(O1183*set_GSTRate,2),0))</f>
        <v/>
      </c>
      <c r="BD1183" s="11">
        <f>IF(O1183="","",O1183+BC1183)</f>
        <v/>
      </c>
      <c r="BE1183" s="15">
        <f>IF(O1183="","",COUNTA(S1183,V1183,Y1183,AB1183,AE1183,AH1183,AK1183,AN1183,AQ1183,AT1183,AW1183,AZ1183))</f>
        <v/>
      </c>
      <c r="BF1183" s="16">
        <f>IF(COUNT(T1183,W1183,Z1183,AC1183,AF1183,AI1183,AL1183,AO1183,AR1183,AU1183,AX1183,BA1183)=0,"",MAX(T1183,W1183,Z1183,AC1183,AF1183,AI1183,AL1183,AO1183,AR1183,AU1183,AX1183,BA1183))</f>
        <v/>
      </c>
      <c r="BG1183" s="10">
        <f>MID(IF(S1183="","",", "&amp;S1183)&amp;IF(V1183="","",", "&amp;V1183)&amp;IF(Y1183="","",", "&amp;Y1183)&amp;IF(AB1183="","",", "&amp;AB1183)&amp;IF(AE1183="","",", "&amp;AE1183)&amp;IF(AH1183="","",", "&amp;AH1183)&amp;IF(AK1183="","",", "&amp;AK1183)&amp;IF(AN1183="","",", "&amp;AN1183)&amp;IF(AQ1183="","",", "&amp;AQ1183)&amp;IF(AT1183="","",", "&amp;AT1183)&amp;IF(AW1183="","",", "&amp;AW1183)&amp;IF(AZ1183="","",", "&amp;AZ1183),3,500)</f>
        <v/>
      </c>
      <c r="BH1183" s="12" t="n"/>
      <c r="BI1183" s="15">
        <f>IFERROR(MATCH($A1183,IF($B1183="Onsite",tbl_Onsite[Row ID],IF($B1183="Production",tbl_Production[Row ID],tbl_Consulting[Row ID])),0),"")</f>
        <v/>
      </c>
    </row>
    <row r="1184">
      <c r="A1184" s="10" t="inlineStr">
        <is>
          <t>CON-0178</t>
        </is>
      </c>
      <c r="B1184" s="10" t="inlineStr">
        <is>
          <t>Consulting</t>
        </is>
      </c>
      <c r="C1184" s="10">
        <f>IF($BI1184="","",IF($B1184="Onsite",INDEX(tbl_Onsite[Job Number],$BI1184),IF($B1184="Production",INDEX(tbl_Production[Job Number],$BI1184),INDEX(tbl_Consulting[Job Number],$BI1184)))&amp;"")</f>
        <v/>
      </c>
      <c r="D1184" s="10">
        <f>IF($BI1184="","",IF($B1184="Onsite",INDEX(tbl_Onsite[Client],$BI1184),IF($B1184="Production",INDEX(tbl_Production[Client],$BI1184),INDEX(tbl_Consulting[Client],$BI1184)))&amp;"")</f>
        <v/>
      </c>
      <c r="E1184" s="10">
        <f>IF($C1184="","",IF(COUNTIF(lst_Jobs,$C1184)&gt;0,"OK","CHECK"))</f>
        <v/>
      </c>
      <c r="F1184" s="10">
        <f>IF($C1184="","",IFERROR(INDEX(lst_JobName,MATCH($C1184,lst_Jobs,0)),""))</f>
        <v/>
      </c>
      <c r="G1184" s="10">
        <f>IF($BI1184="","",IF($B1184="Onsite",INDEX(tbl_Onsite[Job Description],$BI1184),IF($B1184="Production",INDEX(tbl_Production[Job Description],$BI1184),INDEX(tbl_Consulting[Job Description],$BI1184)))&amp;"")</f>
        <v/>
      </c>
      <c r="H1184" s="10">
        <f>IF($BI1184="","",IF($B1184="Onsite",INDEX(tbl_Onsite[Cost Centre],$BI1184),IF($B1184="Production",INDEX(tbl_Production[Cost Centre],$BI1184),INDEX(tbl_Consulting[Cost Centre],$BI1184)))&amp;"")</f>
        <v/>
      </c>
      <c r="I1184" s="10">
        <f>IF($BI1184="","",IF($B1184="Onsite",INDEX(tbl_Onsite[Invoice Type],$BI1184),IF($B1184="Production",INDEX(tbl_Production[Invoice Type],$BI1184),INDEX(tbl_Consulting[Invoice Type],$BI1184)))&amp;"")</f>
        <v/>
      </c>
      <c r="J1184" s="10">
        <f>IF($BI1184="","",IF($B1184="Onsite",INDEX(tbl_Onsite[Tax Code],$BI1184),IF($B1184="Production",INDEX(tbl_Production[Tax Code],$BI1184),INDEX(tbl_Consulting[Tax Code],$BI1184)))&amp;"")</f>
        <v/>
      </c>
      <c r="K1184" s="10">
        <f>IF(H1184="","",IFERROR(INDEX(lst_CCtoGL,MATCH(H1184,lst_CCforGL,0)),""))</f>
        <v/>
      </c>
      <c r="L1184" s="10">
        <f>IF($BI1184="","",IF($B1184="Onsite",INDEX(tbl_Onsite[PO / Reference],$BI1184),IF($B1184="Production",INDEX(tbl_Production[Current RMS No],$BI1184),INDEX(tbl_Consulting[Qwilr Quote],$BI1184)))&amp;"")</f>
        <v/>
      </c>
      <c r="M1184" s="10">
        <f>IF($BI1184="","",IF($B1184="Onsite",INDEX(tbl_Onsite[Notes],$BI1184),IF($B1184="Production",INDEX(tbl_Production[Notes],$BI1184),INDEX(tbl_Consulting[Notes],$BI1184)))&amp;"")</f>
        <v/>
      </c>
      <c r="N1184" s="11">
        <f>IF($BI1184="","",IF(IF($B1184="Onsite",INDEX(tbl_Onsite[Expected Revenue Ex GST],$BI1184),IF($B1184="Production",INDEX(tbl_Production[Expected Revenue Ex GST],$BI1184),INDEX(tbl_Consulting[Expected Revenue Ex GST],$BI1184)))="","",IF($B1184="Onsite",INDEX(tbl_Onsite[Expected Revenue Ex GST],$BI1184),IF($B1184="Production",INDEX(tbl_Production[Expected Revenue Ex GST],$BI1184),INDEX(tbl_Consulting[Expected Revenue Ex GST],$BI1184)))))</f>
        <v/>
      </c>
      <c r="O1184" s="11">
        <f>IF(AND($C1184="",NOT(COUNTA($S1184:$BB1184)&gt;0)),"",SUM(U1184,X1184,AA1184,AD1184,AG1184,AJ1184,AM1184,AP1184,AS1184,AV1184,AY1184,BB1184))</f>
        <v/>
      </c>
      <c r="P1184" s="11">
        <f>IF(O1184="","",N(N1184)-O1184)</f>
        <v/>
      </c>
      <c r="Q1184" s="10">
        <f>IF(O1184="","",IF($C1184="","Invoice on empty job row",IF(N1184="",IF(ROUND(O1184,2)=0,"No dept value","Invoiced - no dept value"),IF(ROUND(O1184,2)=0,"Not invoiced - to invoice",IF(ROUND(P1184,2)=0,"Agrees",IF(P1184&gt;0,"Dept higher - to invoice","Xero higher - check dept"))))))</f>
        <v/>
      </c>
      <c r="R1184" s="10">
        <f>IF(AND($C1184="",NOT(COUNTA($S1184:$BB1184)&gt;0),$BI1184&lt;&gt;""),"",MID(IF($BI1184="","; Row ID not found on the department sheet - a row was deleted","")&amp;IF(AND($C1184="",COUNTA($S1184:$BB1184)&gt;0),"; Invoice entered but the department row has no job number","")&amp;IF(E1184="CHECK","; Job number not in the Xero job list","")&amp;IF(AND($C1184&lt;&gt;"",COUNTIF($C$7:$C$1506,$C1184)&gt;1),"; Job number on more than one row","")&amp;IF(AND($C1184&lt;&gt;"",H1184=""),"; Dept has not set a cost centre","")&amp;IF(AND($C1184&lt;&gt;"",J1184=""),"; Dept has not set a tax code","")&amp;IF(AND($C1184&lt;&gt;"",N1184=""),"; Dept has not entered an expected value","")&amp;IF((IF(OR(COUNTA(S1184:U1184)=0,AND(COUNTA(S1184:U1184)=3,ISNUMBER(U1184))),0,1)+IF(OR(COUNTA(V1184:X1184)=0,AND(COUNTA(V1184:X1184)=3,ISNUMBER(X1184))),0,1)+IF(OR(COUNTA(Y1184:AA1184)=0,AND(COUNTA(Y1184:AA1184)=3,ISNUMBER(AA1184))),0,1)+IF(OR(COUNTA(AB1184:AD1184)=0,AND(COUNTA(AB1184:AD1184)=3,ISNUMBER(AD1184))),0,1)+IF(OR(COUNTA(AE1184:AG1184)=0,AND(COUNTA(AE1184:AG1184)=3,ISNUMBER(AG1184))),0,1)+IF(OR(COUNTA(AH1184:AJ1184)=0,AND(COUNTA(AH1184:AJ1184)=3,ISNUMBER(AJ1184))),0,1)+IF(OR(COUNTA(AK1184:AM1184)=0,AND(COUNTA(AK1184:AM1184)=3,ISNUMBER(AM1184))),0,1)+IF(OR(COUNTA(AN1184:AP1184)=0,AND(COUNTA(AN1184:AP1184)=3,ISNUMBER(AP1184))),0,1)+IF(OR(COUNTA(AQ1184:AS1184)=0,AND(COUNTA(AQ1184:AS1184)=3,ISNUMBER(AS1184))),0,1)+IF(OR(COUNTA(AT1184:AV1184)=0,AND(COUNTA(AT1184:AV1184)=3,ISNUMBER(AV1184))),0,1)+IF(OR(COUNTA(AW1184:AY1184)=0,AND(COUNTA(AW1184:AY1184)=3,ISNUMBER(AY1184))),0,1)+IF(OR(COUNTA(AZ1184:BB1184)=0,AND(COUNTA(AZ1184:BB1184)=3,ISNUMBER(BB1184))),0,1))&gt;0,"; An invoice is incomplete (needs No, Date and a number in Ex GST)","")&amp;IF((IF(T1184="",0,IFERROR(--(EOMONTH(T1184,0)&lt;&gt;S$5),1))+IF(W1184="",0,IFERROR(--(EOMONTH(W1184,0)&lt;&gt;V$5),1))+IF(Z1184="",0,IFERROR(--(EOMONTH(Z1184,0)&lt;&gt;Y$5),1))+IF(AC1184="",0,IFERROR(--(EOMONTH(AC1184,0)&lt;&gt;AB$5),1))+IF(AF1184="",0,IFERROR(--(EOMONTH(AF1184,0)&lt;&gt;AE$5),1))+IF(AI1184="",0,IFERROR(--(EOMONTH(AI1184,0)&lt;&gt;AH$5),1))+IF(AL1184="",0,IFERROR(--(EOMONTH(AL1184,0)&lt;&gt;AK$5),1))+IF(AO1184="",0,IFERROR(--(EOMONTH(AO1184,0)&lt;&gt;AN$5),1))+IF(AR1184="",0,IFERROR(--(EOMONTH(AR1184,0)&lt;&gt;AQ$5),1))+IF(AU1184="",0,IFERROR(--(EOMONTH(AU1184,0)&lt;&gt;AT$5),1))+IF(AX1184="",0,IFERROR(--(EOMONTH(AX1184,0)&lt;&gt;AW$5),1))+IF(BA1184="",0,IFERROR(--(EOMONTH(BA1184,0)&lt;&gt;AZ$5),1)))&gt;0,"; An invoice date is not in the month it is typed under",""),3,500))</f>
        <v/>
      </c>
      <c r="S1184" s="12" t="n"/>
      <c r="T1184" s="13" t="n"/>
      <c r="U1184" s="14" t="n"/>
      <c r="V1184" s="12" t="n"/>
      <c r="W1184" s="13" t="n"/>
      <c r="X1184" s="14" t="n"/>
      <c r="Y1184" s="12" t="n"/>
      <c r="Z1184" s="13" t="n"/>
      <c r="AA1184" s="14" t="n"/>
      <c r="AB1184" s="12" t="n"/>
      <c r="AC1184" s="13" t="n"/>
      <c r="AD1184" s="14" t="n"/>
      <c r="AE1184" s="12" t="n"/>
      <c r="AF1184" s="13" t="n"/>
      <c r="AG1184" s="14" t="n"/>
      <c r="AH1184" s="12" t="n"/>
      <c r="AI1184" s="13" t="n"/>
      <c r="AJ1184" s="14" t="n"/>
      <c r="AK1184" s="12" t="n"/>
      <c r="AL1184" s="13" t="n"/>
      <c r="AM1184" s="14" t="n"/>
      <c r="AN1184" s="12" t="n"/>
      <c r="AO1184" s="13" t="n"/>
      <c r="AP1184" s="14" t="n"/>
      <c r="AQ1184" s="12" t="n"/>
      <c r="AR1184" s="13" t="n"/>
      <c r="AS1184" s="14" t="n"/>
      <c r="AT1184" s="12" t="n"/>
      <c r="AU1184" s="13" t="n"/>
      <c r="AV1184" s="14" t="n"/>
      <c r="AW1184" s="12" t="n"/>
      <c r="AX1184" s="13" t="n"/>
      <c r="AY1184" s="14" t="n"/>
      <c r="AZ1184" s="12" t="n"/>
      <c r="BA1184" s="13" t="n"/>
      <c r="BB1184" s="14" t="n"/>
      <c r="BC1184" s="11">
        <f>IF(O1184="","",IF(J1184="GST 10%",ROUND(O1184*set_GSTRate,2),0))</f>
        <v/>
      </c>
      <c r="BD1184" s="11">
        <f>IF(O1184="","",O1184+BC1184)</f>
        <v/>
      </c>
      <c r="BE1184" s="15">
        <f>IF(O1184="","",COUNTA(S1184,V1184,Y1184,AB1184,AE1184,AH1184,AK1184,AN1184,AQ1184,AT1184,AW1184,AZ1184))</f>
        <v/>
      </c>
      <c r="BF1184" s="16">
        <f>IF(COUNT(T1184,W1184,Z1184,AC1184,AF1184,AI1184,AL1184,AO1184,AR1184,AU1184,AX1184,BA1184)=0,"",MAX(T1184,W1184,Z1184,AC1184,AF1184,AI1184,AL1184,AO1184,AR1184,AU1184,AX1184,BA1184))</f>
        <v/>
      </c>
      <c r="BG1184" s="10">
        <f>MID(IF(S1184="","",", "&amp;S1184)&amp;IF(V1184="","",", "&amp;V1184)&amp;IF(Y1184="","",", "&amp;Y1184)&amp;IF(AB1184="","",", "&amp;AB1184)&amp;IF(AE1184="","",", "&amp;AE1184)&amp;IF(AH1184="","",", "&amp;AH1184)&amp;IF(AK1184="","",", "&amp;AK1184)&amp;IF(AN1184="","",", "&amp;AN1184)&amp;IF(AQ1184="","",", "&amp;AQ1184)&amp;IF(AT1184="","",", "&amp;AT1184)&amp;IF(AW1184="","",", "&amp;AW1184)&amp;IF(AZ1184="","",", "&amp;AZ1184),3,500)</f>
        <v/>
      </c>
      <c r="BH1184" s="12" t="n"/>
      <c r="BI1184" s="15">
        <f>IFERROR(MATCH($A1184,IF($B1184="Onsite",tbl_Onsite[Row ID],IF($B1184="Production",tbl_Production[Row ID],tbl_Consulting[Row ID])),0),"")</f>
        <v/>
      </c>
    </row>
    <row r="1185">
      <c r="A1185" s="10" t="inlineStr">
        <is>
          <t>CON-0179</t>
        </is>
      </c>
      <c r="B1185" s="10" t="inlineStr">
        <is>
          <t>Consulting</t>
        </is>
      </c>
      <c r="C1185" s="10">
        <f>IF($BI1185="","",IF($B1185="Onsite",INDEX(tbl_Onsite[Job Number],$BI1185),IF($B1185="Production",INDEX(tbl_Production[Job Number],$BI1185),INDEX(tbl_Consulting[Job Number],$BI1185)))&amp;"")</f>
        <v/>
      </c>
      <c r="D1185" s="10">
        <f>IF($BI1185="","",IF($B1185="Onsite",INDEX(tbl_Onsite[Client],$BI1185),IF($B1185="Production",INDEX(tbl_Production[Client],$BI1185),INDEX(tbl_Consulting[Client],$BI1185)))&amp;"")</f>
        <v/>
      </c>
      <c r="E1185" s="10">
        <f>IF($C1185="","",IF(COUNTIF(lst_Jobs,$C1185)&gt;0,"OK","CHECK"))</f>
        <v/>
      </c>
      <c r="F1185" s="10">
        <f>IF($C1185="","",IFERROR(INDEX(lst_JobName,MATCH($C1185,lst_Jobs,0)),""))</f>
        <v/>
      </c>
      <c r="G1185" s="10">
        <f>IF($BI1185="","",IF($B1185="Onsite",INDEX(tbl_Onsite[Job Description],$BI1185),IF($B1185="Production",INDEX(tbl_Production[Job Description],$BI1185),INDEX(tbl_Consulting[Job Description],$BI1185)))&amp;"")</f>
        <v/>
      </c>
      <c r="H1185" s="10">
        <f>IF($BI1185="","",IF($B1185="Onsite",INDEX(tbl_Onsite[Cost Centre],$BI1185),IF($B1185="Production",INDEX(tbl_Production[Cost Centre],$BI1185),INDEX(tbl_Consulting[Cost Centre],$BI1185)))&amp;"")</f>
        <v/>
      </c>
      <c r="I1185" s="10">
        <f>IF($BI1185="","",IF($B1185="Onsite",INDEX(tbl_Onsite[Invoice Type],$BI1185),IF($B1185="Production",INDEX(tbl_Production[Invoice Type],$BI1185),INDEX(tbl_Consulting[Invoice Type],$BI1185)))&amp;"")</f>
        <v/>
      </c>
      <c r="J1185" s="10">
        <f>IF($BI1185="","",IF($B1185="Onsite",INDEX(tbl_Onsite[Tax Code],$BI1185),IF($B1185="Production",INDEX(tbl_Production[Tax Code],$BI1185),INDEX(tbl_Consulting[Tax Code],$BI1185)))&amp;"")</f>
        <v/>
      </c>
      <c r="K1185" s="10">
        <f>IF(H1185="","",IFERROR(INDEX(lst_CCtoGL,MATCH(H1185,lst_CCforGL,0)),""))</f>
        <v/>
      </c>
      <c r="L1185" s="10">
        <f>IF($BI1185="","",IF($B1185="Onsite",INDEX(tbl_Onsite[PO / Reference],$BI1185),IF($B1185="Production",INDEX(tbl_Production[Current RMS No],$BI1185),INDEX(tbl_Consulting[Qwilr Quote],$BI1185)))&amp;"")</f>
        <v/>
      </c>
      <c r="M1185" s="10">
        <f>IF($BI1185="","",IF($B1185="Onsite",INDEX(tbl_Onsite[Notes],$BI1185),IF($B1185="Production",INDEX(tbl_Production[Notes],$BI1185),INDEX(tbl_Consulting[Notes],$BI1185)))&amp;"")</f>
        <v/>
      </c>
      <c r="N1185" s="11">
        <f>IF($BI1185="","",IF(IF($B1185="Onsite",INDEX(tbl_Onsite[Expected Revenue Ex GST],$BI1185),IF($B1185="Production",INDEX(tbl_Production[Expected Revenue Ex GST],$BI1185),INDEX(tbl_Consulting[Expected Revenue Ex GST],$BI1185)))="","",IF($B1185="Onsite",INDEX(tbl_Onsite[Expected Revenue Ex GST],$BI1185),IF($B1185="Production",INDEX(tbl_Production[Expected Revenue Ex GST],$BI1185),INDEX(tbl_Consulting[Expected Revenue Ex GST],$BI1185)))))</f>
        <v/>
      </c>
      <c r="O1185" s="11">
        <f>IF(AND($C1185="",NOT(COUNTA($S1185:$BB1185)&gt;0)),"",SUM(U1185,X1185,AA1185,AD1185,AG1185,AJ1185,AM1185,AP1185,AS1185,AV1185,AY1185,BB1185))</f>
        <v/>
      </c>
      <c r="P1185" s="11">
        <f>IF(O1185="","",N(N1185)-O1185)</f>
        <v/>
      </c>
      <c r="Q1185" s="10">
        <f>IF(O1185="","",IF($C1185="","Invoice on empty job row",IF(N1185="",IF(ROUND(O1185,2)=0,"No dept value","Invoiced - no dept value"),IF(ROUND(O1185,2)=0,"Not invoiced - to invoice",IF(ROUND(P1185,2)=0,"Agrees",IF(P1185&gt;0,"Dept higher - to invoice","Xero higher - check dept"))))))</f>
        <v/>
      </c>
      <c r="R1185" s="10">
        <f>IF(AND($C1185="",NOT(COUNTA($S1185:$BB1185)&gt;0),$BI1185&lt;&gt;""),"",MID(IF($BI1185="","; Row ID not found on the department sheet - a row was deleted","")&amp;IF(AND($C1185="",COUNTA($S1185:$BB1185)&gt;0),"; Invoice entered but the department row has no job number","")&amp;IF(E1185="CHECK","; Job number not in the Xero job list","")&amp;IF(AND($C1185&lt;&gt;"",COUNTIF($C$7:$C$1506,$C1185)&gt;1),"; Job number on more than one row","")&amp;IF(AND($C1185&lt;&gt;"",H1185=""),"; Dept has not set a cost centre","")&amp;IF(AND($C1185&lt;&gt;"",J1185=""),"; Dept has not set a tax code","")&amp;IF(AND($C1185&lt;&gt;"",N1185=""),"; Dept has not entered an expected value","")&amp;IF((IF(OR(COUNTA(S1185:U1185)=0,AND(COUNTA(S1185:U1185)=3,ISNUMBER(U1185))),0,1)+IF(OR(COUNTA(V1185:X1185)=0,AND(COUNTA(V1185:X1185)=3,ISNUMBER(X1185))),0,1)+IF(OR(COUNTA(Y1185:AA1185)=0,AND(COUNTA(Y1185:AA1185)=3,ISNUMBER(AA1185))),0,1)+IF(OR(COUNTA(AB1185:AD1185)=0,AND(COUNTA(AB1185:AD1185)=3,ISNUMBER(AD1185))),0,1)+IF(OR(COUNTA(AE1185:AG1185)=0,AND(COUNTA(AE1185:AG1185)=3,ISNUMBER(AG1185))),0,1)+IF(OR(COUNTA(AH1185:AJ1185)=0,AND(COUNTA(AH1185:AJ1185)=3,ISNUMBER(AJ1185))),0,1)+IF(OR(COUNTA(AK1185:AM1185)=0,AND(COUNTA(AK1185:AM1185)=3,ISNUMBER(AM1185))),0,1)+IF(OR(COUNTA(AN1185:AP1185)=0,AND(COUNTA(AN1185:AP1185)=3,ISNUMBER(AP1185))),0,1)+IF(OR(COUNTA(AQ1185:AS1185)=0,AND(COUNTA(AQ1185:AS1185)=3,ISNUMBER(AS1185))),0,1)+IF(OR(COUNTA(AT1185:AV1185)=0,AND(COUNTA(AT1185:AV1185)=3,ISNUMBER(AV1185))),0,1)+IF(OR(COUNTA(AW1185:AY1185)=0,AND(COUNTA(AW1185:AY1185)=3,ISNUMBER(AY1185))),0,1)+IF(OR(COUNTA(AZ1185:BB1185)=0,AND(COUNTA(AZ1185:BB1185)=3,ISNUMBER(BB1185))),0,1))&gt;0,"; An invoice is incomplete (needs No, Date and a number in Ex GST)","")&amp;IF((IF(T1185="",0,IFERROR(--(EOMONTH(T1185,0)&lt;&gt;S$5),1))+IF(W1185="",0,IFERROR(--(EOMONTH(W1185,0)&lt;&gt;V$5),1))+IF(Z1185="",0,IFERROR(--(EOMONTH(Z1185,0)&lt;&gt;Y$5),1))+IF(AC1185="",0,IFERROR(--(EOMONTH(AC1185,0)&lt;&gt;AB$5),1))+IF(AF1185="",0,IFERROR(--(EOMONTH(AF1185,0)&lt;&gt;AE$5),1))+IF(AI1185="",0,IFERROR(--(EOMONTH(AI1185,0)&lt;&gt;AH$5),1))+IF(AL1185="",0,IFERROR(--(EOMONTH(AL1185,0)&lt;&gt;AK$5),1))+IF(AO1185="",0,IFERROR(--(EOMONTH(AO1185,0)&lt;&gt;AN$5),1))+IF(AR1185="",0,IFERROR(--(EOMONTH(AR1185,0)&lt;&gt;AQ$5),1))+IF(AU1185="",0,IFERROR(--(EOMONTH(AU1185,0)&lt;&gt;AT$5),1))+IF(AX1185="",0,IFERROR(--(EOMONTH(AX1185,0)&lt;&gt;AW$5),1))+IF(BA1185="",0,IFERROR(--(EOMONTH(BA1185,0)&lt;&gt;AZ$5),1)))&gt;0,"; An invoice date is not in the month it is typed under",""),3,500))</f>
        <v/>
      </c>
      <c r="S1185" s="12" t="n"/>
      <c r="T1185" s="13" t="n"/>
      <c r="U1185" s="14" t="n"/>
      <c r="V1185" s="12" t="n"/>
      <c r="W1185" s="13" t="n"/>
      <c r="X1185" s="14" t="n"/>
      <c r="Y1185" s="12" t="n"/>
      <c r="Z1185" s="13" t="n"/>
      <c r="AA1185" s="14" t="n"/>
      <c r="AB1185" s="12" t="n"/>
      <c r="AC1185" s="13" t="n"/>
      <c r="AD1185" s="14" t="n"/>
      <c r="AE1185" s="12" t="n"/>
      <c r="AF1185" s="13" t="n"/>
      <c r="AG1185" s="14" t="n"/>
      <c r="AH1185" s="12" t="n"/>
      <c r="AI1185" s="13" t="n"/>
      <c r="AJ1185" s="14" t="n"/>
      <c r="AK1185" s="12" t="n"/>
      <c r="AL1185" s="13" t="n"/>
      <c r="AM1185" s="14" t="n"/>
      <c r="AN1185" s="12" t="n"/>
      <c r="AO1185" s="13" t="n"/>
      <c r="AP1185" s="14" t="n"/>
      <c r="AQ1185" s="12" t="n"/>
      <c r="AR1185" s="13" t="n"/>
      <c r="AS1185" s="14" t="n"/>
      <c r="AT1185" s="12" t="n"/>
      <c r="AU1185" s="13" t="n"/>
      <c r="AV1185" s="14" t="n"/>
      <c r="AW1185" s="12" t="n"/>
      <c r="AX1185" s="13" t="n"/>
      <c r="AY1185" s="14" t="n"/>
      <c r="AZ1185" s="12" t="n"/>
      <c r="BA1185" s="13" t="n"/>
      <c r="BB1185" s="14" t="n"/>
      <c r="BC1185" s="11">
        <f>IF(O1185="","",IF(J1185="GST 10%",ROUND(O1185*set_GSTRate,2),0))</f>
        <v/>
      </c>
      <c r="BD1185" s="11">
        <f>IF(O1185="","",O1185+BC1185)</f>
        <v/>
      </c>
      <c r="BE1185" s="15">
        <f>IF(O1185="","",COUNTA(S1185,V1185,Y1185,AB1185,AE1185,AH1185,AK1185,AN1185,AQ1185,AT1185,AW1185,AZ1185))</f>
        <v/>
      </c>
      <c r="BF1185" s="16">
        <f>IF(COUNT(T1185,W1185,Z1185,AC1185,AF1185,AI1185,AL1185,AO1185,AR1185,AU1185,AX1185,BA1185)=0,"",MAX(T1185,W1185,Z1185,AC1185,AF1185,AI1185,AL1185,AO1185,AR1185,AU1185,AX1185,BA1185))</f>
        <v/>
      </c>
      <c r="BG1185" s="10">
        <f>MID(IF(S1185="","",", "&amp;S1185)&amp;IF(V1185="","",", "&amp;V1185)&amp;IF(Y1185="","",", "&amp;Y1185)&amp;IF(AB1185="","",", "&amp;AB1185)&amp;IF(AE1185="","",", "&amp;AE1185)&amp;IF(AH1185="","",", "&amp;AH1185)&amp;IF(AK1185="","",", "&amp;AK1185)&amp;IF(AN1185="","",", "&amp;AN1185)&amp;IF(AQ1185="","",", "&amp;AQ1185)&amp;IF(AT1185="","",", "&amp;AT1185)&amp;IF(AW1185="","",", "&amp;AW1185)&amp;IF(AZ1185="","",", "&amp;AZ1185),3,500)</f>
        <v/>
      </c>
      <c r="BH1185" s="12" t="n"/>
      <c r="BI1185" s="15">
        <f>IFERROR(MATCH($A1185,IF($B1185="Onsite",tbl_Onsite[Row ID],IF($B1185="Production",tbl_Production[Row ID],tbl_Consulting[Row ID])),0),"")</f>
        <v/>
      </c>
    </row>
    <row r="1186">
      <c r="A1186" s="10" t="inlineStr">
        <is>
          <t>CON-0180</t>
        </is>
      </c>
      <c r="B1186" s="10" t="inlineStr">
        <is>
          <t>Consulting</t>
        </is>
      </c>
      <c r="C1186" s="10">
        <f>IF($BI1186="","",IF($B1186="Onsite",INDEX(tbl_Onsite[Job Number],$BI1186),IF($B1186="Production",INDEX(tbl_Production[Job Number],$BI1186),INDEX(tbl_Consulting[Job Number],$BI1186)))&amp;"")</f>
        <v/>
      </c>
      <c r="D1186" s="10">
        <f>IF($BI1186="","",IF($B1186="Onsite",INDEX(tbl_Onsite[Client],$BI1186),IF($B1186="Production",INDEX(tbl_Production[Client],$BI1186),INDEX(tbl_Consulting[Client],$BI1186)))&amp;"")</f>
        <v/>
      </c>
      <c r="E1186" s="10">
        <f>IF($C1186="","",IF(COUNTIF(lst_Jobs,$C1186)&gt;0,"OK","CHECK"))</f>
        <v/>
      </c>
      <c r="F1186" s="10">
        <f>IF($C1186="","",IFERROR(INDEX(lst_JobName,MATCH($C1186,lst_Jobs,0)),""))</f>
        <v/>
      </c>
      <c r="G1186" s="10">
        <f>IF($BI1186="","",IF($B1186="Onsite",INDEX(tbl_Onsite[Job Description],$BI1186),IF($B1186="Production",INDEX(tbl_Production[Job Description],$BI1186),INDEX(tbl_Consulting[Job Description],$BI1186)))&amp;"")</f>
        <v/>
      </c>
      <c r="H1186" s="10">
        <f>IF($BI1186="","",IF($B1186="Onsite",INDEX(tbl_Onsite[Cost Centre],$BI1186),IF($B1186="Production",INDEX(tbl_Production[Cost Centre],$BI1186),INDEX(tbl_Consulting[Cost Centre],$BI1186)))&amp;"")</f>
        <v/>
      </c>
      <c r="I1186" s="10">
        <f>IF($BI1186="","",IF($B1186="Onsite",INDEX(tbl_Onsite[Invoice Type],$BI1186),IF($B1186="Production",INDEX(tbl_Production[Invoice Type],$BI1186),INDEX(tbl_Consulting[Invoice Type],$BI1186)))&amp;"")</f>
        <v/>
      </c>
      <c r="J1186" s="10">
        <f>IF($BI1186="","",IF($B1186="Onsite",INDEX(tbl_Onsite[Tax Code],$BI1186),IF($B1186="Production",INDEX(tbl_Production[Tax Code],$BI1186),INDEX(tbl_Consulting[Tax Code],$BI1186)))&amp;"")</f>
        <v/>
      </c>
      <c r="K1186" s="10">
        <f>IF(H1186="","",IFERROR(INDEX(lst_CCtoGL,MATCH(H1186,lst_CCforGL,0)),""))</f>
        <v/>
      </c>
      <c r="L1186" s="10">
        <f>IF($BI1186="","",IF($B1186="Onsite",INDEX(tbl_Onsite[PO / Reference],$BI1186),IF($B1186="Production",INDEX(tbl_Production[Current RMS No],$BI1186),INDEX(tbl_Consulting[Qwilr Quote],$BI1186)))&amp;"")</f>
        <v/>
      </c>
      <c r="M1186" s="10">
        <f>IF($BI1186="","",IF($B1186="Onsite",INDEX(tbl_Onsite[Notes],$BI1186),IF($B1186="Production",INDEX(tbl_Production[Notes],$BI1186),INDEX(tbl_Consulting[Notes],$BI1186)))&amp;"")</f>
        <v/>
      </c>
      <c r="N1186" s="11">
        <f>IF($BI1186="","",IF(IF($B1186="Onsite",INDEX(tbl_Onsite[Expected Revenue Ex GST],$BI1186),IF($B1186="Production",INDEX(tbl_Production[Expected Revenue Ex GST],$BI1186),INDEX(tbl_Consulting[Expected Revenue Ex GST],$BI1186)))="","",IF($B1186="Onsite",INDEX(tbl_Onsite[Expected Revenue Ex GST],$BI1186),IF($B1186="Production",INDEX(tbl_Production[Expected Revenue Ex GST],$BI1186),INDEX(tbl_Consulting[Expected Revenue Ex GST],$BI1186)))))</f>
        <v/>
      </c>
      <c r="O1186" s="11">
        <f>IF(AND($C1186="",NOT(COUNTA($S1186:$BB1186)&gt;0)),"",SUM(U1186,X1186,AA1186,AD1186,AG1186,AJ1186,AM1186,AP1186,AS1186,AV1186,AY1186,BB1186))</f>
        <v/>
      </c>
      <c r="P1186" s="11">
        <f>IF(O1186="","",N(N1186)-O1186)</f>
        <v/>
      </c>
      <c r="Q1186" s="10">
        <f>IF(O1186="","",IF($C1186="","Invoice on empty job row",IF(N1186="",IF(ROUND(O1186,2)=0,"No dept value","Invoiced - no dept value"),IF(ROUND(O1186,2)=0,"Not invoiced - to invoice",IF(ROUND(P1186,2)=0,"Agrees",IF(P1186&gt;0,"Dept higher - to invoice","Xero higher - check dept"))))))</f>
        <v/>
      </c>
      <c r="R1186" s="10">
        <f>IF(AND($C1186="",NOT(COUNTA($S1186:$BB1186)&gt;0),$BI1186&lt;&gt;""),"",MID(IF($BI1186="","; Row ID not found on the department sheet - a row was deleted","")&amp;IF(AND($C1186="",COUNTA($S1186:$BB1186)&gt;0),"; Invoice entered but the department row has no job number","")&amp;IF(E1186="CHECK","; Job number not in the Xero job list","")&amp;IF(AND($C1186&lt;&gt;"",COUNTIF($C$7:$C$1506,$C1186)&gt;1),"; Job number on more than one row","")&amp;IF(AND($C1186&lt;&gt;"",H1186=""),"; Dept has not set a cost centre","")&amp;IF(AND($C1186&lt;&gt;"",J1186=""),"; Dept has not set a tax code","")&amp;IF(AND($C1186&lt;&gt;"",N1186=""),"; Dept has not entered an expected value","")&amp;IF((IF(OR(COUNTA(S1186:U1186)=0,AND(COUNTA(S1186:U1186)=3,ISNUMBER(U1186))),0,1)+IF(OR(COUNTA(V1186:X1186)=0,AND(COUNTA(V1186:X1186)=3,ISNUMBER(X1186))),0,1)+IF(OR(COUNTA(Y1186:AA1186)=0,AND(COUNTA(Y1186:AA1186)=3,ISNUMBER(AA1186))),0,1)+IF(OR(COUNTA(AB1186:AD1186)=0,AND(COUNTA(AB1186:AD1186)=3,ISNUMBER(AD1186))),0,1)+IF(OR(COUNTA(AE1186:AG1186)=0,AND(COUNTA(AE1186:AG1186)=3,ISNUMBER(AG1186))),0,1)+IF(OR(COUNTA(AH1186:AJ1186)=0,AND(COUNTA(AH1186:AJ1186)=3,ISNUMBER(AJ1186))),0,1)+IF(OR(COUNTA(AK1186:AM1186)=0,AND(COUNTA(AK1186:AM1186)=3,ISNUMBER(AM1186))),0,1)+IF(OR(COUNTA(AN1186:AP1186)=0,AND(COUNTA(AN1186:AP1186)=3,ISNUMBER(AP1186))),0,1)+IF(OR(COUNTA(AQ1186:AS1186)=0,AND(COUNTA(AQ1186:AS1186)=3,ISNUMBER(AS1186))),0,1)+IF(OR(COUNTA(AT1186:AV1186)=0,AND(COUNTA(AT1186:AV1186)=3,ISNUMBER(AV1186))),0,1)+IF(OR(COUNTA(AW1186:AY1186)=0,AND(COUNTA(AW1186:AY1186)=3,ISNUMBER(AY1186))),0,1)+IF(OR(COUNTA(AZ1186:BB1186)=0,AND(COUNTA(AZ1186:BB1186)=3,ISNUMBER(BB1186))),0,1))&gt;0,"; An invoice is incomplete (needs No, Date and a number in Ex GST)","")&amp;IF((IF(T1186="",0,IFERROR(--(EOMONTH(T1186,0)&lt;&gt;S$5),1))+IF(W1186="",0,IFERROR(--(EOMONTH(W1186,0)&lt;&gt;V$5),1))+IF(Z1186="",0,IFERROR(--(EOMONTH(Z1186,0)&lt;&gt;Y$5),1))+IF(AC1186="",0,IFERROR(--(EOMONTH(AC1186,0)&lt;&gt;AB$5),1))+IF(AF1186="",0,IFERROR(--(EOMONTH(AF1186,0)&lt;&gt;AE$5),1))+IF(AI1186="",0,IFERROR(--(EOMONTH(AI1186,0)&lt;&gt;AH$5),1))+IF(AL1186="",0,IFERROR(--(EOMONTH(AL1186,0)&lt;&gt;AK$5),1))+IF(AO1186="",0,IFERROR(--(EOMONTH(AO1186,0)&lt;&gt;AN$5),1))+IF(AR1186="",0,IFERROR(--(EOMONTH(AR1186,0)&lt;&gt;AQ$5),1))+IF(AU1186="",0,IFERROR(--(EOMONTH(AU1186,0)&lt;&gt;AT$5),1))+IF(AX1186="",0,IFERROR(--(EOMONTH(AX1186,0)&lt;&gt;AW$5),1))+IF(BA1186="",0,IFERROR(--(EOMONTH(BA1186,0)&lt;&gt;AZ$5),1)))&gt;0,"; An invoice date is not in the month it is typed under",""),3,500))</f>
        <v/>
      </c>
      <c r="S1186" s="12" t="n"/>
      <c r="T1186" s="13" t="n"/>
      <c r="U1186" s="14" t="n"/>
      <c r="V1186" s="12" t="n"/>
      <c r="W1186" s="13" t="n"/>
      <c r="X1186" s="14" t="n"/>
      <c r="Y1186" s="12" t="n"/>
      <c r="Z1186" s="13" t="n"/>
      <c r="AA1186" s="14" t="n"/>
      <c r="AB1186" s="12" t="n"/>
      <c r="AC1186" s="13" t="n"/>
      <c r="AD1186" s="14" t="n"/>
      <c r="AE1186" s="12" t="n"/>
      <c r="AF1186" s="13" t="n"/>
      <c r="AG1186" s="14" t="n"/>
      <c r="AH1186" s="12" t="n"/>
      <c r="AI1186" s="13" t="n"/>
      <c r="AJ1186" s="14" t="n"/>
      <c r="AK1186" s="12" t="n"/>
      <c r="AL1186" s="13" t="n"/>
      <c r="AM1186" s="14" t="n"/>
      <c r="AN1186" s="12" t="n"/>
      <c r="AO1186" s="13" t="n"/>
      <c r="AP1186" s="14" t="n"/>
      <c r="AQ1186" s="12" t="n"/>
      <c r="AR1186" s="13" t="n"/>
      <c r="AS1186" s="14" t="n"/>
      <c r="AT1186" s="12" t="n"/>
      <c r="AU1186" s="13" t="n"/>
      <c r="AV1186" s="14" t="n"/>
      <c r="AW1186" s="12" t="n"/>
      <c r="AX1186" s="13" t="n"/>
      <c r="AY1186" s="14" t="n"/>
      <c r="AZ1186" s="12" t="n"/>
      <c r="BA1186" s="13" t="n"/>
      <c r="BB1186" s="14" t="n"/>
      <c r="BC1186" s="11">
        <f>IF(O1186="","",IF(J1186="GST 10%",ROUND(O1186*set_GSTRate,2),0))</f>
        <v/>
      </c>
      <c r="BD1186" s="11">
        <f>IF(O1186="","",O1186+BC1186)</f>
        <v/>
      </c>
      <c r="BE1186" s="15">
        <f>IF(O1186="","",COUNTA(S1186,V1186,Y1186,AB1186,AE1186,AH1186,AK1186,AN1186,AQ1186,AT1186,AW1186,AZ1186))</f>
        <v/>
      </c>
      <c r="BF1186" s="16">
        <f>IF(COUNT(T1186,W1186,Z1186,AC1186,AF1186,AI1186,AL1186,AO1186,AR1186,AU1186,AX1186,BA1186)=0,"",MAX(T1186,W1186,Z1186,AC1186,AF1186,AI1186,AL1186,AO1186,AR1186,AU1186,AX1186,BA1186))</f>
        <v/>
      </c>
      <c r="BG1186" s="10">
        <f>MID(IF(S1186="","",", "&amp;S1186)&amp;IF(V1186="","",", "&amp;V1186)&amp;IF(Y1186="","",", "&amp;Y1186)&amp;IF(AB1186="","",", "&amp;AB1186)&amp;IF(AE1186="","",", "&amp;AE1186)&amp;IF(AH1186="","",", "&amp;AH1186)&amp;IF(AK1186="","",", "&amp;AK1186)&amp;IF(AN1186="","",", "&amp;AN1186)&amp;IF(AQ1186="","",", "&amp;AQ1186)&amp;IF(AT1186="","",", "&amp;AT1186)&amp;IF(AW1186="","",", "&amp;AW1186)&amp;IF(AZ1186="","",", "&amp;AZ1186),3,500)</f>
        <v/>
      </c>
      <c r="BH1186" s="12" t="n"/>
      <c r="BI1186" s="15">
        <f>IFERROR(MATCH($A1186,IF($B1186="Onsite",tbl_Onsite[Row ID],IF($B1186="Production",tbl_Production[Row ID],tbl_Consulting[Row ID])),0),"")</f>
        <v/>
      </c>
    </row>
    <row r="1187">
      <c r="A1187" s="10" t="inlineStr">
        <is>
          <t>CON-0181</t>
        </is>
      </c>
      <c r="B1187" s="10" t="inlineStr">
        <is>
          <t>Consulting</t>
        </is>
      </c>
      <c r="C1187" s="10">
        <f>IF($BI1187="","",IF($B1187="Onsite",INDEX(tbl_Onsite[Job Number],$BI1187),IF($B1187="Production",INDEX(tbl_Production[Job Number],$BI1187),INDEX(tbl_Consulting[Job Number],$BI1187)))&amp;"")</f>
        <v/>
      </c>
      <c r="D1187" s="10">
        <f>IF($BI1187="","",IF($B1187="Onsite",INDEX(tbl_Onsite[Client],$BI1187),IF($B1187="Production",INDEX(tbl_Production[Client],$BI1187),INDEX(tbl_Consulting[Client],$BI1187)))&amp;"")</f>
        <v/>
      </c>
      <c r="E1187" s="10">
        <f>IF($C1187="","",IF(COUNTIF(lst_Jobs,$C1187)&gt;0,"OK","CHECK"))</f>
        <v/>
      </c>
      <c r="F1187" s="10">
        <f>IF($C1187="","",IFERROR(INDEX(lst_JobName,MATCH($C1187,lst_Jobs,0)),""))</f>
        <v/>
      </c>
      <c r="G1187" s="10">
        <f>IF($BI1187="","",IF($B1187="Onsite",INDEX(tbl_Onsite[Job Description],$BI1187),IF($B1187="Production",INDEX(tbl_Production[Job Description],$BI1187),INDEX(tbl_Consulting[Job Description],$BI1187)))&amp;"")</f>
        <v/>
      </c>
      <c r="H1187" s="10">
        <f>IF($BI1187="","",IF($B1187="Onsite",INDEX(tbl_Onsite[Cost Centre],$BI1187),IF($B1187="Production",INDEX(tbl_Production[Cost Centre],$BI1187),INDEX(tbl_Consulting[Cost Centre],$BI1187)))&amp;"")</f>
        <v/>
      </c>
      <c r="I1187" s="10">
        <f>IF($BI1187="","",IF($B1187="Onsite",INDEX(tbl_Onsite[Invoice Type],$BI1187),IF($B1187="Production",INDEX(tbl_Production[Invoice Type],$BI1187),INDEX(tbl_Consulting[Invoice Type],$BI1187)))&amp;"")</f>
        <v/>
      </c>
      <c r="J1187" s="10">
        <f>IF($BI1187="","",IF($B1187="Onsite",INDEX(tbl_Onsite[Tax Code],$BI1187),IF($B1187="Production",INDEX(tbl_Production[Tax Code],$BI1187),INDEX(tbl_Consulting[Tax Code],$BI1187)))&amp;"")</f>
        <v/>
      </c>
      <c r="K1187" s="10">
        <f>IF(H1187="","",IFERROR(INDEX(lst_CCtoGL,MATCH(H1187,lst_CCforGL,0)),""))</f>
        <v/>
      </c>
      <c r="L1187" s="10">
        <f>IF($BI1187="","",IF($B1187="Onsite",INDEX(tbl_Onsite[PO / Reference],$BI1187),IF($B1187="Production",INDEX(tbl_Production[Current RMS No],$BI1187),INDEX(tbl_Consulting[Qwilr Quote],$BI1187)))&amp;"")</f>
        <v/>
      </c>
      <c r="M1187" s="10">
        <f>IF($BI1187="","",IF($B1187="Onsite",INDEX(tbl_Onsite[Notes],$BI1187),IF($B1187="Production",INDEX(tbl_Production[Notes],$BI1187),INDEX(tbl_Consulting[Notes],$BI1187)))&amp;"")</f>
        <v/>
      </c>
      <c r="N1187" s="11">
        <f>IF($BI1187="","",IF(IF($B1187="Onsite",INDEX(tbl_Onsite[Expected Revenue Ex GST],$BI1187),IF($B1187="Production",INDEX(tbl_Production[Expected Revenue Ex GST],$BI1187),INDEX(tbl_Consulting[Expected Revenue Ex GST],$BI1187)))="","",IF($B1187="Onsite",INDEX(tbl_Onsite[Expected Revenue Ex GST],$BI1187),IF($B1187="Production",INDEX(tbl_Production[Expected Revenue Ex GST],$BI1187),INDEX(tbl_Consulting[Expected Revenue Ex GST],$BI1187)))))</f>
        <v/>
      </c>
      <c r="O1187" s="11">
        <f>IF(AND($C1187="",NOT(COUNTA($S1187:$BB1187)&gt;0)),"",SUM(U1187,X1187,AA1187,AD1187,AG1187,AJ1187,AM1187,AP1187,AS1187,AV1187,AY1187,BB1187))</f>
        <v/>
      </c>
      <c r="P1187" s="11">
        <f>IF(O1187="","",N(N1187)-O1187)</f>
        <v/>
      </c>
      <c r="Q1187" s="10">
        <f>IF(O1187="","",IF($C1187="","Invoice on empty job row",IF(N1187="",IF(ROUND(O1187,2)=0,"No dept value","Invoiced - no dept value"),IF(ROUND(O1187,2)=0,"Not invoiced - to invoice",IF(ROUND(P1187,2)=0,"Agrees",IF(P1187&gt;0,"Dept higher - to invoice","Xero higher - check dept"))))))</f>
        <v/>
      </c>
      <c r="R1187" s="10">
        <f>IF(AND($C1187="",NOT(COUNTA($S1187:$BB1187)&gt;0),$BI1187&lt;&gt;""),"",MID(IF($BI1187="","; Row ID not found on the department sheet - a row was deleted","")&amp;IF(AND($C1187="",COUNTA($S1187:$BB1187)&gt;0),"; Invoice entered but the department row has no job number","")&amp;IF(E1187="CHECK","; Job number not in the Xero job list","")&amp;IF(AND($C1187&lt;&gt;"",COUNTIF($C$7:$C$1506,$C1187)&gt;1),"; Job number on more than one row","")&amp;IF(AND($C1187&lt;&gt;"",H1187=""),"; Dept has not set a cost centre","")&amp;IF(AND($C1187&lt;&gt;"",J1187=""),"; Dept has not set a tax code","")&amp;IF(AND($C1187&lt;&gt;"",N1187=""),"; Dept has not entered an expected value","")&amp;IF((IF(OR(COUNTA(S1187:U1187)=0,AND(COUNTA(S1187:U1187)=3,ISNUMBER(U1187))),0,1)+IF(OR(COUNTA(V1187:X1187)=0,AND(COUNTA(V1187:X1187)=3,ISNUMBER(X1187))),0,1)+IF(OR(COUNTA(Y1187:AA1187)=0,AND(COUNTA(Y1187:AA1187)=3,ISNUMBER(AA1187))),0,1)+IF(OR(COUNTA(AB1187:AD1187)=0,AND(COUNTA(AB1187:AD1187)=3,ISNUMBER(AD1187))),0,1)+IF(OR(COUNTA(AE1187:AG1187)=0,AND(COUNTA(AE1187:AG1187)=3,ISNUMBER(AG1187))),0,1)+IF(OR(COUNTA(AH1187:AJ1187)=0,AND(COUNTA(AH1187:AJ1187)=3,ISNUMBER(AJ1187))),0,1)+IF(OR(COUNTA(AK1187:AM1187)=0,AND(COUNTA(AK1187:AM1187)=3,ISNUMBER(AM1187))),0,1)+IF(OR(COUNTA(AN1187:AP1187)=0,AND(COUNTA(AN1187:AP1187)=3,ISNUMBER(AP1187))),0,1)+IF(OR(COUNTA(AQ1187:AS1187)=0,AND(COUNTA(AQ1187:AS1187)=3,ISNUMBER(AS1187))),0,1)+IF(OR(COUNTA(AT1187:AV1187)=0,AND(COUNTA(AT1187:AV1187)=3,ISNUMBER(AV1187))),0,1)+IF(OR(COUNTA(AW1187:AY1187)=0,AND(COUNTA(AW1187:AY1187)=3,ISNUMBER(AY1187))),0,1)+IF(OR(COUNTA(AZ1187:BB1187)=0,AND(COUNTA(AZ1187:BB1187)=3,ISNUMBER(BB1187))),0,1))&gt;0,"; An invoice is incomplete (needs No, Date and a number in Ex GST)","")&amp;IF((IF(T1187="",0,IFERROR(--(EOMONTH(T1187,0)&lt;&gt;S$5),1))+IF(W1187="",0,IFERROR(--(EOMONTH(W1187,0)&lt;&gt;V$5),1))+IF(Z1187="",0,IFERROR(--(EOMONTH(Z1187,0)&lt;&gt;Y$5),1))+IF(AC1187="",0,IFERROR(--(EOMONTH(AC1187,0)&lt;&gt;AB$5),1))+IF(AF1187="",0,IFERROR(--(EOMONTH(AF1187,0)&lt;&gt;AE$5),1))+IF(AI1187="",0,IFERROR(--(EOMONTH(AI1187,0)&lt;&gt;AH$5),1))+IF(AL1187="",0,IFERROR(--(EOMONTH(AL1187,0)&lt;&gt;AK$5),1))+IF(AO1187="",0,IFERROR(--(EOMONTH(AO1187,0)&lt;&gt;AN$5),1))+IF(AR1187="",0,IFERROR(--(EOMONTH(AR1187,0)&lt;&gt;AQ$5),1))+IF(AU1187="",0,IFERROR(--(EOMONTH(AU1187,0)&lt;&gt;AT$5),1))+IF(AX1187="",0,IFERROR(--(EOMONTH(AX1187,0)&lt;&gt;AW$5),1))+IF(BA1187="",0,IFERROR(--(EOMONTH(BA1187,0)&lt;&gt;AZ$5),1)))&gt;0,"; An invoice date is not in the month it is typed under",""),3,500))</f>
        <v/>
      </c>
      <c r="S1187" s="12" t="n"/>
      <c r="T1187" s="13" t="n"/>
      <c r="U1187" s="14" t="n"/>
      <c r="V1187" s="12" t="n"/>
      <c r="W1187" s="13" t="n"/>
      <c r="X1187" s="14" t="n"/>
      <c r="Y1187" s="12" t="n"/>
      <c r="Z1187" s="13" t="n"/>
      <c r="AA1187" s="14" t="n"/>
      <c r="AB1187" s="12" t="n"/>
      <c r="AC1187" s="13" t="n"/>
      <c r="AD1187" s="14" t="n"/>
      <c r="AE1187" s="12" t="n"/>
      <c r="AF1187" s="13" t="n"/>
      <c r="AG1187" s="14" t="n"/>
      <c r="AH1187" s="12" t="n"/>
      <c r="AI1187" s="13" t="n"/>
      <c r="AJ1187" s="14" t="n"/>
      <c r="AK1187" s="12" t="n"/>
      <c r="AL1187" s="13" t="n"/>
      <c r="AM1187" s="14" t="n"/>
      <c r="AN1187" s="12" t="n"/>
      <c r="AO1187" s="13" t="n"/>
      <c r="AP1187" s="14" t="n"/>
      <c r="AQ1187" s="12" t="n"/>
      <c r="AR1187" s="13" t="n"/>
      <c r="AS1187" s="14" t="n"/>
      <c r="AT1187" s="12" t="n"/>
      <c r="AU1187" s="13" t="n"/>
      <c r="AV1187" s="14" t="n"/>
      <c r="AW1187" s="12" t="n"/>
      <c r="AX1187" s="13" t="n"/>
      <c r="AY1187" s="14" t="n"/>
      <c r="AZ1187" s="12" t="n"/>
      <c r="BA1187" s="13" t="n"/>
      <c r="BB1187" s="14" t="n"/>
      <c r="BC1187" s="11">
        <f>IF(O1187="","",IF(J1187="GST 10%",ROUND(O1187*set_GSTRate,2),0))</f>
        <v/>
      </c>
      <c r="BD1187" s="11">
        <f>IF(O1187="","",O1187+BC1187)</f>
        <v/>
      </c>
      <c r="BE1187" s="15">
        <f>IF(O1187="","",COUNTA(S1187,V1187,Y1187,AB1187,AE1187,AH1187,AK1187,AN1187,AQ1187,AT1187,AW1187,AZ1187))</f>
        <v/>
      </c>
      <c r="BF1187" s="16">
        <f>IF(COUNT(T1187,W1187,Z1187,AC1187,AF1187,AI1187,AL1187,AO1187,AR1187,AU1187,AX1187,BA1187)=0,"",MAX(T1187,W1187,Z1187,AC1187,AF1187,AI1187,AL1187,AO1187,AR1187,AU1187,AX1187,BA1187))</f>
        <v/>
      </c>
      <c r="BG1187" s="10">
        <f>MID(IF(S1187="","",", "&amp;S1187)&amp;IF(V1187="","",", "&amp;V1187)&amp;IF(Y1187="","",", "&amp;Y1187)&amp;IF(AB1187="","",", "&amp;AB1187)&amp;IF(AE1187="","",", "&amp;AE1187)&amp;IF(AH1187="","",", "&amp;AH1187)&amp;IF(AK1187="","",", "&amp;AK1187)&amp;IF(AN1187="","",", "&amp;AN1187)&amp;IF(AQ1187="","",", "&amp;AQ1187)&amp;IF(AT1187="","",", "&amp;AT1187)&amp;IF(AW1187="","",", "&amp;AW1187)&amp;IF(AZ1187="","",", "&amp;AZ1187),3,500)</f>
        <v/>
      </c>
      <c r="BH1187" s="12" t="n"/>
      <c r="BI1187" s="15">
        <f>IFERROR(MATCH($A1187,IF($B1187="Onsite",tbl_Onsite[Row ID],IF($B1187="Production",tbl_Production[Row ID],tbl_Consulting[Row ID])),0),"")</f>
        <v/>
      </c>
    </row>
    <row r="1188">
      <c r="A1188" s="10" t="inlineStr">
        <is>
          <t>CON-0182</t>
        </is>
      </c>
      <c r="B1188" s="10" t="inlineStr">
        <is>
          <t>Consulting</t>
        </is>
      </c>
      <c r="C1188" s="10">
        <f>IF($BI1188="","",IF($B1188="Onsite",INDEX(tbl_Onsite[Job Number],$BI1188),IF($B1188="Production",INDEX(tbl_Production[Job Number],$BI1188),INDEX(tbl_Consulting[Job Number],$BI1188)))&amp;"")</f>
        <v/>
      </c>
      <c r="D1188" s="10">
        <f>IF($BI1188="","",IF($B1188="Onsite",INDEX(tbl_Onsite[Client],$BI1188),IF($B1188="Production",INDEX(tbl_Production[Client],$BI1188),INDEX(tbl_Consulting[Client],$BI1188)))&amp;"")</f>
        <v/>
      </c>
      <c r="E1188" s="10">
        <f>IF($C1188="","",IF(COUNTIF(lst_Jobs,$C1188)&gt;0,"OK","CHECK"))</f>
        <v/>
      </c>
      <c r="F1188" s="10">
        <f>IF($C1188="","",IFERROR(INDEX(lst_JobName,MATCH($C1188,lst_Jobs,0)),""))</f>
        <v/>
      </c>
      <c r="G1188" s="10">
        <f>IF($BI1188="","",IF($B1188="Onsite",INDEX(tbl_Onsite[Job Description],$BI1188),IF($B1188="Production",INDEX(tbl_Production[Job Description],$BI1188),INDEX(tbl_Consulting[Job Description],$BI1188)))&amp;"")</f>
        <v/>
      </c>
      <c r="H1188" s="10">
        <f>IF($BI1188="","",IF($B1188="Onsite",INDEX(tbl_Onsite[Cost Centre],$BI1188),IF($B1188="Production",INDEX(tbl_Production[Cost Centre],$BI1188),INDEX(tbl_Consulting[Cost Centre],$BI1188)))&amp;"")</f>
        <v/>
      </c>
      <c r="I1188" s="10">
        <f>IF($BI1188="","",IF($B1188="Onsite",INDEX(tbl_Onsite[Invoice Type],$BI1188),IF($B1188="Production",INDEX(tbl_Production[Invoice Type],$BI1188),INDEX(tbl_Consulting[Invoice Type],$BI1188)))&amp;"")</f>
        <v/>
      </c>
      <c r="J1188" s="10">
        <f>IF($BI1188="","",IF($B1188="Onsite",INDEX(tbl_Onsite[Tax Code],$BI1188),IF($B1188="Production",INDEX(tbl_Production[Tax Code],$BI1188),INDEX(tbl_Consulting[Tax Code],$BI1188)))&amp;"")</f>
        <v/>
      </c>
      <c r="K1188" s="10">
        <f>IF(H1188="","",IFERROR(INDEX(lst_CCtoGL,MATCH(H1188,lst_CCforGL,0)),""))</f>
        <v/>
      </c>
      <c r="L1188" s="10">
        <f>IF($BI1188="","",IF($B1188="Onsite",INDEX(tbl_Onsite[PO / Reference],$BI1188),IF($B1188="Production",INDEX(tbl_Production[Current RMS No],$BI1188),INDEX(tbl_Consulting[Qwilr Quote],$BI1188)))&amp;"")</f>
        <v/>
      </c>
      <c r="M1188" s="10">
        <f>IF($BI1188="","",IF($B1188="Onsite",INDEX(tbl_Onsite[Notes],$BI1188),IF($B1188="Production",INDEX(tbl_Production[Notes],$BI1188),INDEX(tbl_Consulting[Notes],$BI1188)))&amp;"")</f>
        <v/>
      </c>
      <c r="N1188" s="11">
        <f>IF($BI1188="","",IF(IF($B1188="Onsite",INDEX(tbl_Onsite[Expected Revenue Ex GST],$BI1188),IF($B1188="Production",INDEX(tbl_Production[Expected Revenue Ex GST],$BI1188),INDEX(tbl_Consulting[Expected Revenue Ex GST],$BI1188)))="","",IF($B1188="Onsite",INDEX(tbl_Onsite[Expected Revenue Ex GST],$BI1188),IF($B1188="Production",INDEX(tbl_Production[Expected Revenue Ex GST],$BI1188),INDEX(tbl_Consulting[Expected Revenue Ex GST],$BI1188)))))</f>
        <v/>
      </c>
      <c r="O1188" s="11">
        <f>IF(AND($C1188="",NOT(COUNTA($S1188:$BB1188)&gt;0)),"",SUM(U1188,X1188,AA1188,AD1188,AG1188,AJ1188,AM1188,AP1188,AS1188,AV1188,AY1188,BB1188))</f>
        <v/>
      </c>
      <c r="P1188" s="11">
        <f>IF(O1188="","",N(N1188)-O1188)</f>
        <v/>
      </c>
      <c r="Q1188" s="10">
        <f>IF(O1188="","",IF($C1188="","Invoice on empty job row",IF(N1188="",IF(ROUND(O1188,2)=0,"No dept value","Invoiced - no dept value"),IF(ROUND(O1188,2)=0,"Not invoiced - to invoice",IF(ROUND(P1188,2)=0,"Agrees",IF(P1188&gt;0,"Dept higher - to invoice","Xero higher - check dept"))))))</f>
        <v/>
      </c>
      <c r="R1188" s="10">
        <f>IF(AND($C1188="",NOT(COUNTA($S1188:$BB1188)&gt;0),$BI1188&lt;&gt;""),"",MID(IF($BI1188="","; Row ID not found on the department sheet - a row was deleted","")&amp;IF(AND($C1188="",COUNTA($S1188:$BB1188)&gt;0),"; Invoice entered but the department row has no job number","")&amp;IF(E1188="CHECK","; Job number not in the Xero job list","")&amp;IF(AND($C1188&lt;&gt;"",COUNTIF($C$7:$C$1506,$C1188)&gt;1),"; Job number on more than one row","")&amp;IF(AND($C1188&lt;&gt;"",H1188=""),"; Dept has not set a cost centre","")&amp;IF(AND($C1188&lt;&gt;"",J1188=""),"; Dept has not set a tax code","")&amp;IF(AND($C1188&lt;&gt;"",N1188=""),"; Dept has not entered an expected value","")&amp;IF((IF(OR(COUNTA(S1188:U1188)=0,AND(COUNTA(S1188:U1188)=3,ISNUMBER(U1188))),0,1)+IF(OR(COUNTA(V1188:X1188)=0,AND(COUNTA(V1188:X1188)=3,ISNUMBER(X1188))),0,1)+IF(OR(COUNTA(Y1188:AA1188)=0,AND(COUNTA(Y1188:AA1188)=3,ISNUMBER(AA1188))),0,1)+IF(OR(COUNTA(AB1188:AD1188)=0,AND(COUNTA(AB1188:AD1188)=3,ISNUMBER(AD1188))),0,1)+IF(OR(COUNTA(AE1188:AG1188)=0,AND(COUNTA(AE1188:AG1188)=3,ISNUMBER(AG1188))),0,1)+IF(OR(COUNTA(AH1188:AJ1188)=0,AND(COUNTA(AH1188:AJ1188)=3,ISNUMBER(AJ1188))),0,1)+IF(OR(COUNTA(AK1188:AM1188)=0,AND(COUNTA(AK1188:AM1188)=3,ISNUMBER(AM1188))),0,1)+IF(OR(COUNTA(AN1188:AP1188)=0,AND(COUNTA(AN1188:AP1188)=3,ISNUMBER(AP1188))),0,1)+IF(OR(COUNTA(AQ1188:AS1188)=0,AND(COUNTA(AQ1188:AS1188)=3,ISNUMBER(AS1188))),0,1)+IF(OR(COUNTA(AT1188:AV1188)=0,AND(COUNTA(AT1188:AV1188)=3,ISNUMBER(AV1188))),0,1)+IF(OR(COUNTA(AW1188:AY1188)=0,AND(COUNTA(AW1188:AY1188)=3,ISNUMBER(AY1188))),0,1)+IF(OR(COUNTA(AZ1188:BB1188)=0,AND(COUNTA(AZ1188:BB1188)=3,ISNUMBER(BB1188))),0,1))&gt;0,"; An invoice is incomplete (needs No, Date and a number in Ex GST)","")&amp;IF((IF(T1188="",0,IFERROR(--(EOMONTH(T1188,0)&lt;&gt;S$5),1))+IF(W1188="",0,IFERROR(--(EOMONTH(W1188,0)&lt;&gt;V$5),1))+IF(Z1188="",0,IFERROR(--(EOMONTH(Z1188,0)&lt;&gt;Y$5),1))+IF(AC1188="",0,IFERROR(--(EOMONTH(AC1188,0)&lt;&gt;AB$5),1))+IF(AF1188="",0,IFERROR(--(EOMONTH(AF1188,0)&lt;&gt;AE$5),1))+IF(AI1188="",0,IFERROR(--(EOMONTH(AI1188,0)&lt;&gt;AH$5),1))+IF(AL1188="",0,IFERROR(--(EOMONTH(AL1188,0)&lt;&gt;AK$5),1))+IF(AO1188="",0,IFERROR(--(EOMONTH(AO1188,0)&lt;&gt;AN$5),1))+IF(AR1188="",0,IFERROR(--(EOMONTH(AR1188,0)&lt;&gt;AQ$5),1))+IF(AU1188="",0,IFERROR(--(EOMONTH(AU1188,0)&lt;&gt;AT$5),1))+IF(AX1188="",0,IFERROR(--(EOMONTH(AX1188,0)&lt;&gt;AW$5),1))+IF(BA1188="",0,IFERROR(--(EOMONTH(BA1188,0)&lt;&gt;AZ$5),1)))&gt;0,"; An invoice date is not in the month it is typed under",""),3,500))</f>
        <v/>
      </c>
      <c r="S1188" s="12" t="n"/>
      <c r="T1188" s="13" t="n"/>
      <c r="U1188" s="14" t="n"/>
      <c r="V1188" s="12" t="n"/>
      <c r="W1188" s="13" t="n"/>
      <c r="X1188" s="14" t="n"/>
      <c r="Y1188" s="12" t="n"/>
      <c r="Z1188" s="13" t="n"/>
      <c r="AA1188" s="14" t="n"/>
      <c r="AB1188" s="12" t="n"/>
      <c r="AC1188" s="13" t="n"/>
      <c r="AD1188" s="14" t="n"/>
      <c r="AE1188" s="12" t="n"/>
      <c r="AF1188" s="13" t="n"/>
      <c r="AG1188" s="14" t="n"/>
      <c r="AH1188" s="12" t="n"/>
      <c r="AI1188" s="13" t="n"/>
      <c r="AJ1188" s="14" t="n"/>
      <c r="AK1188" s="12" t="n"/>
      <c r="AL1188" s="13" t="n"/>
      <c r="AM1188" s="14" t="n"/>
      <c r="AN1188" s="12" t="n"/>
      <c r="AO1188" s="13" t="n"/>
      <c r="AP1188" s="14" t="n"/>
      <c r="AQ1188" s="12" t="n"/>
      <c r="AR1188" s="13" t="n"/>
      <c r="AS1188" s="14" t="n"/>
      <c r="AT1188" s="12" t="n"/>
      <c r="AU1188" s="13" t="n"/>
      <c r="AV1188" s="14" t="n"/>
      <c r="AW1188" s="12" t="n"/>
      <c r="AX1188" s="13" t="n"/>
      <c r="AY1188" s="14" t="n"/>
      <c r="AZ1188" s="12" t="n"/>
      <c r="BA1188" s="13" t="n"/>
      <c r="BB1188" s="14" t="n"/>
      <c r="BC1188" s="11">
        <f>IF(O1188="","",IF(J1188="GST 10%",ROUND(O1188*set_GSTRate,2),0))</f>
        <v/>
      </c>
      <c r="BD1188" s="11">
        <f>IF(O1188="","",O1188+BC1188)</f>
        <v/>
      </c>
      <c r="BE1188" s="15">
        <f>IF(O1188="","",COUNTA(S1188,V1188,Y1188,AB1188,AE1188,AH1188,AK1188,AN1188,AQ1188,AT1188,AW1188,AZ1188))</f>
        <v/>
      </c>
      <c r="BF1188" s="16">
        <f>IF(COUNT(T1188,W1188,Z1188,AC1188,AF1188,AI1188,AL1188,AO1188,AR1188,AU1188,AX1188,BA1188)=0,"",MAX(T1188,W1188,Z1188,AC1188,AF1188,AI1188,AL1188,AO1188,AR1188,AU1188,AX1188,BA1188))</f>
        <v/>
      </c>
      <c r="BG1188" s="10">
        <f>MID(IF(S1188="","",", "&amp;S1188)&amp;IF(V1188="","",", "&amp;V1188)&amp;IF(Y1188="","",", "&amp;Y1188)&amp;IF(AB1188="","",", "&amp;AB1188)&amp;IF(AE1188="","",", "&amp;AE1188)&amp;IF(AH1188="","",", "&amp;AH1188)&amp;IF(AK1188="","",", "&amp;AK1188)&amp;IF(AN1188="","",", "&amp;AN1188)&amp;IF(AQ1188="","",", "&amp;AQ1188)&amp;IF(AT1188="","",", "&amp;AT1188)&amp;IF(AW1188="","",", "&amp;AW1188)&amp;IF(AZ1188="","",", "&amp;AZ1188),3,500)</f>
        <v/>
      </c>
      <c r="BH1188" s="12" t="n"/>
      <c r="BI1188" s="15">
        <f>IFERROR(MATCH($A1188,IF($B1188="Onsite",tbl_Onsite[Row ID],IF($B1188="Production",tbl_Production[Row ID],tbl_Consulting[Row ID])),0),"")</f>
        <v/>
      </c>
    </row>
    <row r="1189">
      <c r="A1189" s="10" t="inlineStr">
        <is>
          <t>CON-0183</t>
        </is>
      </c>
      <c r="B1189" s="10" t="inlineStr">
        <is>
          <t>Consulting</t>
        </is>
      </c>
      <c r="C1189" s="10">
        <f>IF($BI1189="","",IF($B1189="Onsite",INDEX(tbl_Onsite[Job Number],$BI1189),IF($B1189="Production",INDEX(tbl_Production[Job Number],$BI1189),INDEX(tbl_Consulting[Job Number],$BI1189)))&amp;"")</f>
        <v/>
      </c>
      <c r="D1189" s="10">
        <f>IF($BI1189="","",IF($B1189="Onsite",INDEX(tbl_Onsite[Client],$BI1189),IF($B1189="Production",INDEX(tbl_Production[Client],$BI1189),INDEX(tbl_Consulting[Client],$BI1189)))&amp;"")</f>
        <v/>
      </c>
      <c r="E1189" s="10">
        <f>IF($C1189="","",IF(COUNTIF(lst_Jobs,$C1189)&gt;0,"OK","CHECK"))</f>
        <v/>
      </c>
      <c r="F1189" s="10">
        <f>IF($C1189="","",IFERROR(INDEX(lst_JobName,MATCH($C1189,lst_Jobs,0)),""))</f>
        <v/>
      </c>
      <c r="G1189" s="10">
        <f>IF($BI1189="","",IF($B1189="Onsite",INDEX(tbl_Onsite[Job Description],$BI1189),IF($B1189="Production",INDEX(tbl_Production[Job Description],$BI1189),INDEX(tbl_Consulting[Job Description],$BI1189)))&amp;"")</f>
        <v/>
      </c>
      <c r="H1189" s="10">
        <f>IF($BI1189="","",IF($B1189="Onsite",INDEX(tbl_Onsite[Cost Centre],$BI1189),IF($B1189="Production",INDEX(tbl_Production[Cost Centre],$BI1189),INDEX(tbl_Consulting[Cost Centre],$BI1189)))&amp;"")</f>
        <v/>
      </c>
      <c r="I1189" s="10">
        <f>IF($BI1189="","",IF($B1189="Onsite",INDEX(tbl_Onsite[Invoice Type],$BI1189),IF($B1189="Production",INDEX(tbl_Production[Invoice Type],$BI1189),INDEX(tbl_Consulting[Invoice Type],$BI1189)))&amp;"")</f>
        <v/>
      </c>
      <c r="J1189" s="10">
        <f>IF($BI1189="","",IF($B1189="Onsite",INDEX(tbl_Onsite[Tax Code],$BI1189),IF($B1189="Production",INDEX(tbl_Production[Tax Code],$BI1189),INDEX(tbl_Consulting[Tax Code],$BI1189)))&amp;"")</f>
        <v/>
      </c>
      <c r="K1189" s="10">
        <f>IF(H1189="","",IFERROR(INDEX(lst_CCtoGL,MATCH(H1189,lst_CCforGL,0)),""))</f>
        <v/>
      </c>
      <c r="L1189" s="10">
        <f>IF($BI1189="","",IF($B1189="Onsite",INDEX(tbl_Onsite[PO / Reference],$BI1189),IF($B1189="Production",INDEX(tbl_Production[Current RMS No],$BI1189),INDEX(tbl_Consulting[Qwilr Quote],$BI1189)))&amp;"")</f>
        <v/>
      </c>
      <c r="M1189" s="10">
        <f>IF($BI1189="","",IF($B1189="Onsite",INDEX(tbl_Onsite[Notes],$BI1189),IF($B1189="Production",INDEX(tbl_Production[Notes],$BI1189),INDEX(tbl_Consulting[Notes],$BI1189)))&amp;"")</f>
        <v/>
      </c>
      <c r="N1189" s="11">
        <f>IF($BI1189="","",IF(IF($B1189="Onsite",INDEX(tbl_Onsite[Expected Revenue Ex GST],$BI1189),IF($B1189="Production",INDEX(tbl_Production[Expected Revenue Ex GST],$BI1189),INDEX(tbl_Consulting[Expected Revenue Ex GST],$BI1189)))="","",IF($B1189="Onsite",INDEX(tbl_Onsite[Expected Revenue Ex GST],$BI1189),IF($B1189="Production",INDEX(tbl_Production[Expected Revenue Ex GST],$BI1189),INDEX(tbl_Consulting[Expected Revenue Ex GST],$BI1189)))))</f>
        <v/>
      </c>
      <c r="O1189" s="11">
        <f>IF(AND($C1189="",NOT(COUNTA($S1189:$BB1189)&gt;0)),"",SUM(U1189,X1189,AA1189,AD1189,AG1189,AJ1189,AM1189,AP1189,AS1189,AV1189,AY1189,BB1189))</f>
        <v/>
      </c>
      <c r="P1189" s="11">
        <f>IF(O1189="","",N(N1189)-O1189)</f>
        <v/>
      </c>
      <c r="Q1189" s="10">
        <f>IF(O1189="","",IF($C1189="","Invoice on empty job row",IF(N1189="",IF(ROUND(O1189,2)=0,"No dept value","Invoiced - no dept value"),IF(ROUND(O1189,2)=0,"Not invoiced - to invoice",IF(ROUND(P1189,2)=0,"Agrees",IF(P1189&gt;0,"Dept higher - to invoice","Xero higher - check dept"))))))</f>
        <v/>
      </c>
      <c r="R1189" s="10">
        <f>IF(AND($C1189="",NOT(COUNTA($S1189:$BB1189)&gt;0),$BI1189&lt;&gt;""),"",MID(IF($BI1189="","; Row ID not found on the department sheet - a row was deleted","")&amp;IF(AND($C1189="",COUNTA($S1189:$BB1189)&gt;0),"; Invoice entered but the department row has no job number","")&amp;IF(E1189="CHECK","; Job number not in the Xero job list","")&amp;IF(AND($C1189&lt;&gt;"",COUNTIF($C$7:$C$1506,$C1189)&gt;1),"; Job number on more than one row","")&amp;IF(AND($C1189&lt;&gt;"",H1189=""),"; Dept has not set a cost centre","")&amp;IF(AND($C1189&lt;&gt;"",J1189=""),"; Dept has not set a tax code","")&amp;IF(AND($C1189&lt;&gt;"",N1189=""),"; Dept has not entered an expected value","")&amp;IF((IF(OR(COUNTA(S1189:U1189)=0,AND(COUNTA(S1189:U1189)=3,ISNUMBER(U1189))),0,1)+IF(OR(COUNTA(V1189:X1189)=0,AND(COUNTA(V1189:X1189)=3,ISNUMBER(X1189))),0,1)+IF(OR(COUNTA(Y1189:AA1189)=0,AND(COUNTA(Y1189:AA1189)=3,ISNUMBER(AA1189))),0,1)+IF(OR(COUNTA(AB1189:AD1189)=0,AND(COUNTA(AB1189:AD1189)=3,ISNUMBER(AD1189))),0,1)+IF(OR(COUNTA(AE1189:AG1189)=0,AND(COUNTA(AE1189:AG1189)=3,ISNUMBER(AG1189))),0,1)+IF(OR(COUNTA(AH1189:AJ1189)=0,AND(COUNTA(AH1189:AJ1189)=3,ISNUMBER(AJ1189))),0,1)+IF(OR(COUNTA(AK1189:AM1189)=0,AND(COUNTA(AK1189:AM1189)=3,ISNUMBER(AM1189))),0,1)+IF(OR(COUNTA(AN1189:AP1189)=0,AND(COUNTA(AN1189:AP1189)=3,ISNUMBER(AP1189))),0,1)+IF(OR(COUNTA(AQ1189:AS1189)=0,AND(COUNTA(AQ1189:AS1189)=3,ISNUMBER(AS1189))),0,1)+IF(OR(COUNTA(AT1189:AV1189)=0,AND(COUNTA(AT1189:AV1189)=3,ISNUMBER(AV1189))),0,1)+IF(OR(COUNTA(AW1189:AY1189)=0,AND(COUNTA(AW1189:AY1189)=3,ISNUMBER(AY1189))),0,1)+IF(OR(COUNTA(AZ1189:BB1189)=0,AND(COUNTA(AZ1189:BB1189)=3,ISNUMBER(BB1189))),0,1))&gt;0,"; An invoice is incomplete (needs No, Date and a number in Ex GST)","")&amp;IF((IF(T1189="",0,IFERROR(--(EOMONTH(T1189,0)&lt;&gt;S$5),1))+IF(W1189="",0,IFERROR(--(EOMONTH(W1189,0)&lt;&gt;V$5),1))+IF(Z1189="",0,IFERROR(--(EOMONTH(Z1189,0)&lt;&gt;Y$5),1))+IF(AC1189="",0,IFERROR(--(EOMONTH(AC1189,0)&lt;&gt;AB$5),1))+IF(AF1189="",0,IFERROR(--(EOMONTH(AF1189,0)&lt;&gt;AE$5),1))+IF(AI1189="",0,IFERROR(--(EOMONTH(AI1189,0)&lt;&gt;AH$5),1))+IF(AL1189="",0,IFERROR(--(EOMONTH(AL1189,0)&lt;&gt;AK$5),1))+IF(AO1189="",0,IFERROR(--(EOMONTH(AO1189,0)&lt;&gt;AN$5),1))+IF(AR1189="",0,IFERROR(--(EOMONTH(AR1189,0)&lt;&gt;AQ$5),1))+IF(AU1189="",0,IFERROR(--(EOMONTH(AU1189,0)&lt;&gt;AT$5),1))+IF(AX1189="",0,IFERROR(--(EOMONTH(AX1189,0)&lt;&gt;AW$5),1))+IF(BA1189="",0,IFERROR(--(EOMONTH(BA1189,0)&lt;&gt;AZ$5),1)))&gt;0,"; An invoice date is not in the month it is typed under",""),3,500))</f>
        <v/>
      </c>
      <c r="S1189" s="12" t="n"/>
      <c r="T1189" s="13" t="n"/>
      <c r="U1189" s="14" t="n"/>
      <c r="V1189" s="12" t="n"/>
      <c r="W1189" s="13" t="n"/>
      <c r="X1189" s="14" t="n"/>
      <c r="Y1189" s="12" t="n"/>
      <c r="Z1189" s="13" t="n"/>
      <c r="AA1189" s="14" t="n"/>
      <c r="AB1189" s="12" t="n"/>
      <c r="AC1189" s="13" t="n"/>
      <c r="AD1189" s="14" t="n"/>
      <c r="AE1189" s="12" t="n"/>
      <c r="AF1189" s="13" t="n"/>
      <c r="AG1189" s="14" t="n"/>
      <c r="AH1189" s="12" t="n"/>
      <c r="AI1189" s="13" t="n"/>
      <c r="AJ1189" s="14" t="n"/>
      <c r="AK1189" s="12" t="n"/>
      <c r="AL1189" s="13" t="n"/>
      <c r="AM1189" s="14" t="n"/>
      <c r="AN1189" s="12" t="n"/>
      <c r="AO1189" s="13" t="n"/>
      <c r="AP1189" s="14" t="n"/>
      <c r="AQ1189" s="12" t="n"/>
      <c r="AR1189" s="13" t="n"/>
      <c r="AS1189" s="14" t="n"/>
      <c r="AT1189" s="12" t="n"/>
      <c r="AU1189" s="13" t="n"/>
      <c r="AV1189" s="14" t="n"/>
      <c r="AW1189" s="12" t="n"/>
      <c r="AX1189" s="13" t="n"/>
      <c r="AY1189" s="14" t="n"/>
      <c r="AZ1189" s="12" t="n"/>
      <c r="BA1189" s="13" t="n"/>
      <c r="BB1189" s="14" t="n"/>
      <c r="BC1189" s="11">
        <f>IF(O1189="","",IF(J1189="GST 10%",ROUND(O1189*set_GSTRate,2),0))</f>
        <v/>
      </c>
      <c r="BD1189" s="11">
        <f>IF(O1189="","",O1189+BC1189)</f>
        <v/>
      </c>
      <c r="BE1189" s="15">
        <f>IF(O1189="","",COUNTA(S1189,V1189,Y1189,AB1189,AE1189,AH1189,AK1189,AN1189,AQ1189,AT1189,AW1189,AZ1189))</f>
        <v/>
      </c>
      <c r="BF1189" s="16">
        <f>IF(COUNT(T1189,W1189,Z1189,AC1189,AF1189,AI1189,AL1189,AO1189,AR1189,AU1189,AX1189,BA1189)=0,"",MAX(T1189,W1189,Z1189,AC1189,AF1189,AI1189,AL1189,AO1189,AR1189,AU1189,AX1189,BA1189))</f>
        <v/>
      </c>
      <c r="BG1189" s="10">
        <f>MID(IF(S1189="","",", "&amp;S1189)&amp;IF(V1189="","",", "&amp;V1189)&amp;IF(Y1189="","",", "&amp;Y1189)&amp;IF(AB1189="","",", "&amp;AB1189)&amp;IF(AE1189="","",", "&amp;AE1189)&amp;IF(AH1189="","",", "&amp;AH1189)&amp;IF(AK1189="","",", "&amp;AK1189)&amp;IF(AN1189="","",", "&amp;AN1189)&amp;IF(AQ1189="","",", "&amp;AQ1189)&amp;IF(AT1189="","",", "&amp;AT1189)&amp;IF(AW1189="","",", "&amp;AW1189)&amp;IF(AZ1189="","",", "&amp;AZ1189),3,500)</f>
        <v/>
      </c>
      <c r="BH1189" s="12" t="n"/>
      <c r="BI1189" s="15">
        <f>IFERROR(MATCH($A1189,IF($B1189="Onsite",tbl_Onsite[Row ID],IF($B1189="Production",tbl_Production[Row ID],tbl_Consulting[Row ID])),0),"")</f>
        <v/>
      </c>
    </row>
    <row r="1190">
      <c r="A1190" s="10" t="inlineStr">
        <is>
          <t>CON-0184</t>
        </is>
      </c>
      <c r="B1190" s="10" t="inlineStr">
        <is>
          <t>Consulting</t>
        </is>
      </c>
      <c r="C1190" s="10">
        <f>IF($BI1190="","",IF($B1190="Onsite",INDEX(tbl_Onsite[Job Number],$BI1190),IF($B1190="Production",INDEX(tbl_Production[Job Number],$BI1190),INDEX(tbl_Consulting[Job Number],$BI1190)))&amp;"")</f>
        <v/>
      </c>
      <c r="D1190" s="10">
        <f>IF($BI1190="","",IF($B1190="Onsite",INDEX(tbl_Onsite[Client],$BI1190),IF($B1190="Production",INDEX(tbl_Production[Client],$BI1190),INDEX(tbl_Consulting[Client],$BI1190)))&amp;"")</f>
        <v/>
      </c>
      <c r="E1190" s="10">
        <f>IF($C1190="","",IF(COUNTIF(lst_Jobs,$C1190)&gt;0,"OK","CHECK"))</f>
        <v/>
      </c>
      <c r="F1190" s="10">
        <f>IF($C1190="","",IFERROR(INDEX(lst_JobName,MATCH($C1190,lst_Jobs,0)),""))</f>
        <v/>
      </c>
      <c r="G1190" s="10">
        <f>IF($BI1190="","",IF($B1190="Onsite",INDEX(tbl_Onsite[Job Description],$BI1190),IF($B1190="Production",INDEX(tbl_Production[Job Description],$BI1190),INDEX(tbl_Consulting[Job Description],$BI1190)))&amp;"")</f>
        <v/>
      </c>
      <c r="H1190" s="10">
        <f>IF($BI1190="","",IF($B1190="Onsite",INDEX(tbl_Onsite[Cost Centre],$BI1190),IF($B1190="Production",INDEX(tbl_Production[Cost Centre],$BI1190),INDEX(tbl_Consulting[Cost Centre],$BI1190)))&amp;"")</f>
        <v/>
      </c>
      <c r="I1190" s="10">
        <f>IF($BI1190="","",IF($B1190="Onsite",INDEX(tbl_Onsite[Invoice Type],$BI1190),IF($B1190="Production",INDEX(tbl_Production[Invoice Type],$BI1190),INDEX(tbl_Consulting[Invoice Type],$BI1190)))&amp;"")</f>
        <v/>
      </c>
      <c r="J1190" s="10">
        <f>IF($BI1190="","",IF($B1190="Onsite",INDEX(tbl_Onsite[Tax Code],$BI1190),IF($B1190="Production",INDEX(tbl_Production[Tax Code],$BI1190),INDEX(tbl_Consulting[Tax Code],$BI1190)))&amp;"")</f>
        <v/>
      </c>
      <c r="K1190" s="10">
        <f>IF(H1190="","",IFERROR(INDEX(lst_CCtoGL,MATCH(H1190,lst_CCforGL,0)),""))</f>
        <v/>
      </c>
      <c r="L1190" s="10">
        <f>IF($BI1190="","",IF($B1190="Onsite",INDEX(tbl_Onsite[PO / Reference],$BI1190),IF($B1190="Production",INDEX(tbl_Production[Current RMS No],$BI1190),INDEX(tbl_Consulting[Qwilr Quote],$BI1190)))&amp;"")</f>
        <v/>
      </c>
      <c r="M1190" s="10">
        <f>IF($BI1190="","",IF($B1190="Onsite",INDEX(tbl_Onsite[Notes],$BI1190),IF($B1190="Production",INDEX(tbl_Production[Notes],$BI1190),INDEX(tbl_Consulting[Notes],$BI1190)))&amp;"")</f>
        <v/>
      </c>
      <c r="N1190" s="11">
        <f>IF($BI1190="","",IF(IF($B1190="Onsite",INDEX(tbl_Onsite[Expected Revenue Ex GST],$BI1190),IF($B1190="Production",INDEX(tbl_Production[Expected Revenue Ex GST],$BI1190),INDEX(tbl_Consulting[Expected Revenue Ex GST],$BI1190)))="","",IF($B1190="Onsite",INDEX(tbl_Onsite[Expected Revenue Ex GST],$BI1190),IF($B1190="Production",INDEX(tbl_Production[Expected Revenue Ex GST],$BI1190),INDEX(tbl_Consulting[Expected Revenue Ex GST],$BI1190)))))</f>
        <v/>
      </c>
      <c r="O1190" s="11">
        <f>IF(AND($C1190="",NOT(COUNTA($S1190:$BB1190)&gt;0)),"",SUM(U1190,X1190,AA1190,AD1190,AG1190,AJ1190,AM1190,AP1190,AS1190,AV1190,AY1190,BB1190))</f>
        <v/>
      </c>
      <c r="P1190" s="11">
        <f>IF(O1190="","",N(N1190)-O1190)</f>
        <v/>
      </c>
      <c r="Q1190" s="10">
        <f>IF(O1190="","",IF($C1190="","Invoice on empty job row",IF(N1190="",IF(ROUND(O1190,2)=0,"No dept value","Invoiced - no dept value"),IF(ROUND(O1190,2)=0,"Not invoiced - to invoice",IF(ROUND(P1190,2)=0,"Agrees",IF(P1190&gt;0,"Dept higher - to invoice","Xero higher - check dept"))))))</f>
        <v/>
      </c>
      <c r="R1190" s="10">
        <f>IF(AND($C1190="",NOT(COUNTA($S1190:$BB1190)&gt;0),$BI1190&lt;&gt;""),"",MID(IF($BI1190="","; Row ID not found on the department sheet - a row was deleted","")&amp;IF(AND($C1190="",COUNTA($S1190:$BB1190)&gt;0),"; Invoice entered but the department row has no job number","")&amp;IF(E1190="CHECK","; Job number not in the Xero job list","")&amp;IF(AND($C1190&lt;&gt;"",COUNTIF($C$7:$C$1506,$C1190)&gt;1),"; Job number on more than one row","")&amp;IF(AND($C1190&lt;&gt;"",H1190=""),"; Dept has not set a cost centre","")&amp;IF(AND($C1190&lt;&gt;"",J1190=""),"; Dept has not set a tax code","")&amp;IF(AND($C1190&lt;&gt;"",N1190=""),"; Dept has not entered an expected value","")&amp;IF((IF(OR(COUNTA(S1190:U1190)=0,AND(COUNTA(S1190:U1190)=3,ISNUMBER(U1190))),0,1)+IF(OR(COUNTA(V1190:X1190)=0,AND(COUNTA(V1190:X1190)=3,ISNUMBER(X1190))),0,1)+IF(OR(COUNTA(Y1190:AA1190)=0,AND(COUNTA(Y1190:AA1190)=3,ISNUMBER(AA1190))),0,1)+IF(OR(COUNTA(AB1190:AD1190)=0,AND(COUNTA(AB1190:AD1190)=3,ISNUMBER(AD1190))),0,1)+IF(OR(COUNTA(AE1190:AG1190)=0,AND(COUNTA(AE1190:AG1190)=3,ISNUMBER(AG1190))),0,1)+IF(OR(COUNTA(AH1190:AJ1190)=0,AND(COUNTA(AH1190:AJ1190)=3,ISNUMBER(AJ1190))),0,1)+IF(OR(COUNTA(AK1190:AM1190)=0,AND(COUNTA(AK1190:AM1190)=3,ISNUMBER(AM1190))),0,1)+IF(OR(COUNTA(AN1190:AP1190)=0,AND(COUNTA(AN1190:AP1190)=3,ISNUMBER(AP1190))),0,1)+IF(OR(COUNTA(AQ1190:AS1190)=0,AND(COUNTA(AQ1190:AS1190)=3,ISNUMBER(AS1190))),0,1)+IF(OR(COUNTA(AT1190:AV1190)=0,AND(COUNTA(AT1190:AV1190)=3,ISNUMBER(AV1190))),0,1)+IF(OR(COUNTA(AW1190:AY1190)=0,AND(COUNTA(AW1190:AY1190)=3,ISNUMBER(AY1190))),0,1)+IF(OR(COUNTA(AZ1190:BB1190)=0,AND(COUNTA(AZ1190:BB1190)=3,ISNUMBER(BB1190))),0,1))&gt;0,"; An invoice is incomplete (needs No, Date and a number in Ex GST)","")&amp;IF((IF(T1190="",0,IFERROR(--(EOMONTH(T1190,0)&lt;&gt;S$5),1))+IF(W1190="",0,IFERROR(--(EOMONTH(W1190,0)&lt;&gt;V$5),1))+IF(Z1190="",0,IFERROR(--(EOMONTH(Z1190,0)&lt;&gt;Y$5),1))+IF(AC1190="",0,IFERROR(--(EOMONTH(AC1190,0)&lt;&gt;AB$5),1))+IF(AF1190="",0,IFERROR(--(EOMONTH(AF1190,0)&lt;&gt;AE$5),1))+IF(AI1190="",0,IFERROR(--(EOMONTH(AI1190,0)&lt;&gt;AH$5),1))+IF(AL1190="",0,IFERROR(--(EOMONTH(AL1190,0)&lt;&gt;AK$5),1))+IF(AO1190="",0,IFERROR(--(EOMONTH(AO1190,0)&lt;&gt;AN$5),1))+IF(AR1190="",0,IFERROR(--(EOMONTH(AR1190,0)&lt;&gt;AQ$5),1))+IF(AU1190="",0,IFERROR(--(EOMONTH(AU1190,0)&lt;&gt;AT$5),1))+IF(AX1190="",0,IFERROR(--(EOMONTH(AX1190,0)&lt;&gt;AW$5),1))+IF(BA1190="",0,IFERROR(--(EOMONTH(BA1190,0)&lt;&gt;AZ$5),1)))&gt;0,"; An invoice date is not in the month it is typed under",""),3,500))</f>
        <v/>
      </c>
      <c r="S1190" s="12" t="n"/>
      <c r="T1190" s="13" t="n"/>
      <c r="U1190" s="14" t="n"/>
      <c r="V1190" s="12" t="n"/>
      <c r="W1190" s="13" t="n"/>
      <c r="X1190" s="14" t="n"/>
      <c r="Y1190" s="12" t="n"/>
      <c r="Z1190" s="13" t="n"/>
      <c r="AA1190" s="14" t="n"/>
      <c r="AB1190" s="12" t="n"/>
      <c r="AC1190" s="13" t="n"/>
      <c r="AD1190" s="14" t="n"/>
      <c r="AE1190" s="12" t="n"/>
      <c r="AF1190" s="13" t="n"/>
      <c r="AG1190" s="14" t="n"/>
      <c r="AH1190" s="12" t="n"/>
      <c r="AI1190" s="13" t="n"/>
      <c r="AJ1190" s="14" t="n"/>
      <c r="AK1190" s="12" t="n"/>
      <c r="AL1190" s="13" t="n"/>
      <c r="AM1190" s="14" t="n"/>
      <c r="AN1190" s="12" t="n"/>
      <c r="AO1190" s="13" t="n"/>
      <c r="AP1190" s="14" t="n"/>
      <c r="AQ1190" s="12" t="n"/>
      <c r="AR1190" s="13" t="n"/>
      <c r="AS1190" s="14" t="n"/>
      <c r="AT1190" s="12" t="n"/>
      <c r="AU1190" s="13" t="n"/>
      <c r="AV1190" s="14" t="n"/>
      <c r="AW1190" s="12" t="n"/>
      <c r="AX1190" s="13" t="n"/>
      <c r="AY1190" s="14" t="n"/>
      <c r="AZ1190" s="12" t="n"/>
      <c r="BA1190" s="13" t="n"/>
      <c r="BB1190" s="14" t="n"/>
      <c r="BC1190" s="11">
        <f>IF(O1190="","",IF(J1190="GST 10%",ROUND(O1190*set_GSTRate,2),0))</f>
        <v/>
      </c>
      <c r="BD1190" s="11">
        <f>IF(O1190="","",O1190+BC1190)</f>
        <v/>
      </c>
      <c r="BE1190" s="15">
        <f>IF(O1190="","",COUNTA(S1190,V1190,Y1190,AB1190,AE1190,AH1190,AK1190,AN1190,AQ1190,AT1190,AW1190,AZ1190))</f>
        <v/>
      </c>
      <c r="BF1190" s="16">
        <f>IF(COUNT(T1190,W1190,Z1190,AC1190,AF1190,AI1190,AL1190,AO1190,AR1190,AU1190,AX1190,BA1190)=0,"",MAX(T1190,W1190,Z1190,AC1190,AF1190,AI1190,AL1190,AO1190,AR1190,AU1190,AX1190,BA1190))</f>
        <v/>
      </c>
      <c r="BG1190" s="10">
        <f>MID(IF(S1190="","",", "&amp;S1190)&amp;IF(V1190="","",", "&amp;V1190)&amp;IF(Y1190="","",", "&amp;Y1190)&amp;IF(AB1190="","",", "&amp;AB1190)&amp;IF(AE1190="","",", "&amp;AE1190)&amp;IF(AH1190="","",", "&amp;AH1190)&amp;IF(AK1190="","",", "&amp;AK1190)&amp;IF(AN1190="","",", "&amp;AN1190)&amp;IF(AQ1190="","",", "&amp;AQ1190)&amp;IF(AT1190="","",", "&amp;AT1190)&amp;IF(AW1190="","",", "&amp;AW1190)&amp;IF(AZ1190="","",", "&amp;AZ1190),3,500)</f>
        <v/>
      </c>
      <c r="BH1190" s="12" t="n"/>
      <c r="BI1190" s="15">
        <f>IFERROR(MATCH($A1190,IF($B1190="Onsite",tbl_Onsite[Row ID],IF($B1190="Production",tbl_Production[Row ID],tbl_Consulting[Row ID])),0),"")</f>
        <v/>
      </c>
    </row>
    <row r="1191">
      <c r="A1191" s="10" t="inlineStr">
        <is>
          <t>CON-0185</t>
        </is>
      </c>
      <c r="B1191" s="10" t="inlineStr">
        <is>
          <t>Consulting</t>
        </is>
      </c>
      <c r="C1191" s="10">
        <f>IF($BI1191="","",IF($B1191="Onsite",INDEX(tbl_Onsite[Job Number],$BI1191),IF($B1191="Production",INDEX(tbl_Production[Job Number],$BI1191),INDEX(tbl_Consulting[Job Number],$BI1191)))&amp;"")</f>
        <v/>
      </c>
      <c r="D1191" s="10">
        <f>IF($BI1191="","",IF($B1191="Onsite",INDEX(tbl_Onsite[Client],$BI1191),IF($B1191="Production",INDEX(tbl_Production[Client],$BI1191),INDEX(tbl_Consulting[Client],$BI1191)))&amp;"")</f>
        <v/>
      </c>
      <c r="E1191" s="10">
        <f>IF($C1191="","",IF(COUNTIF(lst_Jobs,$C1191)&gt;0,"OK","CHECK"))</f>
        <v/>
      </c>
      <c r="F1191" s="10">
        <f>IF($C1191="","",IFERROR(INDEX(lst_JobName,MATCH($C1191,lst_Jobs,0)),""))</f>
        <v/>
      </c>
      <c r="G1191" s="10">
        <f>IF($BI1191="","",IF($B1191="Onsite",INDEX(tbl_Onsite[Job Description],$BI1191),IF($B1191="Production",INDEX(tbl_Production[Job Description],$BI1191),INDEX(tbl_Consulting[Job Description],$BI1191)))&amp;"")</f>
        <v/>
      </c>
      <c r="H1191" s="10">
        <f>IF($BI1191="","",IF($B1191="Onsite",INDEX(tbl_Onsite[Cost Centre],$BI1191),IF($B1191="Production",INDEX(tbl_Production[Cost Centre],$BI1191),INDEX(tbl_Consulting[Cost Centre],$BI1191)))&amp;"")</f>
        <v/>
      </c>
      <c r="I1191" s="10">
        <f>IF($BI1191="","",IF($B1191="Onsite",INDEX(tbl_Onsite[Invoice Type],$BI1191),IF($B1191="Production",INDEX(tbl_Production[Invoice Type],$BI1191),INDEX(tbl_Consulting[Invoice Type],$BI1191)))&amp;"")</f>
        <v/>
      </c>
      <c r="J1191" s="10">
        <f>IF($BI1191="","",IF($B1191="Onsite",INDEX(tbl_Onsite[Tax Code],$BI1191),IF($B1191="Production",INDEX(tbl_Production[Tax Code],$BI1191),INDEX(tbl_Consulting[Tax Code],$BI1191)))&amp;"")</f>
        <v/>
      </c>
      <c r="K1191" s="10">
        <f>IF(H1191="","",IFERROR(INDEX(lst_CCtoGL,MATCH(H1191,lst_CCforGL,0)),""))</f>
        <v/>
      </c>
      <c r="L1191" s="10">
        <f>IF($BI1191="","",IF($B1191="Onsite",INDEX(tbl_Onsite[PO / Reference],$BI1191),IF($B1191="Production",INDEX(tbl_Production[Current RMS No],$BI1191),INDEX(tbl_Consulting[Qwilr Quote],$BI1191)))&amp;"")</f>
        <v/>
      </c>
      <c r="M1191" s="10">
        <f>IF($BI1191="","",IF($B1191="Onsite",INDEX(tbl_Onsite[Notes],$BI1191),IF($B1191="Production",INDEX(tbl_Production[Notes],$BI1191),INDEX(tbl_Consulting[Notes],$BI1191)))&amp;"")</f>
        <v/>
      </c>
      <c r="N1191" s="11">
        <f>IF($BI1191="","",IF(IF($B1191="Onsite",INDEX(tbl_Onsite[Expected Revenue Ex GST],$BI1191),IF($B1191="Production",INDEX(tbl_Production[Expected Revenue Ex GST],$BI1191),INDEX(tbl_Consulting[Expected Revenue Ex GST],$BI1191)))="","",IF($B1191="Onsite",INDEX(tbl_Onsite[Expected Revenue Ex GST],$BI1191),IF($B1191="Production",INDEX(tbl_Production[Expected Revenue Ex GST],$BI1191),INDEX(tbl_Consulting[Expected Revenue Ex GST],$BI1191)))))</f>
        <v/>
      </c>
      <c r="O1191" s="11">
        <f>IF(AND($C1191="",NOT(COUNTA($S1191:$BB1191)&gt;0)),"",SUM(U1191,X1191,AA1191,AD1191,AG1191,AJ1191,AM1191,AP1191,AS1191,AV1191,AY1191,BB1191))</f>
        <v/>
      </c>
      <c r="P1191" s="11">
        <f>IF(O1191="","",N(N1191)-O1191)</f>
        <v/>
      </c>
      <c r="Q1191" s="10">
        <f>IF(O1191="","",IF($C1191="","Invoice on empty job row",IF(N1191="",IF(ROUND(O1191,2)=0,"No dept value","Invoiced - no dept value"),IF(ROUND(O1191,2)=0,"Not invoiced - to invoice",IF(ROUND(P1191,2)=0,"Agrees",IF(P1191&gt;0,"Dept higher - to invoice","Xero higher - check dept"))))))</f>
        <v/>
      </c>
      <c r="R1191" s="10">
        <f>IF(AND($C1191="",NOT(COUNTA($S1191:$BB1191)&gt;0),$BI1191&lt;&gt;""),"",MID(IF($BI1191="","; Row ID not found on the department sheet - a row was deleted","")&amp;IF(AND($C1191="",COUNTA($S1191:$BB1191)&gt;0),"; Invoice entered but the department row has no job number","")&amp;IF(E1191="CHECK","; Job number not in the Xero job list","")&amp;IF(AND($C1191&lt;&gt;"",COUNTIF($C$7:$C$1506,$C1191)&gt;1),"; Job number on more than one row","")&amp;IF(AND($C1191&lt;&gt;"",H1191=""),"; Dept has not set a cost centre","")&amp;IF(AND($C1191&lt;&gt;"",J1191=""),"; Dept has not set a tax code","")&amp;IF(AND($C1191&lt;&gt;"",N1191=""),"; Dept has not entered an expected value","")&amp;IF((IF(OR(COUNTA(S1191:U1191)=0,AND(COUNTA(S1191:U1191)=3,ISNUMBER(U1191))),0,1)+IF(OR(COUNTA(V1191:X1191)=0,AND(COUNTA(V1191:X1191)=3,ISNUMBER(X1191))),0,1)+IF(OR(COUNTA(Y1191:AA1191)=0,AND(COUNTA(Y1191:AA1191)=3,ISNUMBER(AA1191))),0,1)+IF(OR(COUNTA(AB1191:AD1191)=0,AND(COUNTA(AB1191:AD1191)=3,ISNUMBER(AD1191))),0,1)+IF(OR(COUNTA(AE1191:AG1191)=0,AND(COUNTA(AE1191:AG1191)=3,ISNUMBER(AG1191))),0,1)+IF(OR(COUNTA(AH1191:AJ1191)=0,AND(COUNTA(AH1191:AJ1191)=3,ISNUMBER(AJ1191))),0,1)+IF(OR(COUNTA(AK1191:AM1191)=0,AND(COUNTA(AK1191:AM1191)=3,ISNUMBER(AM1191))),0,1)+IF(OR(COUNTA(AN1191:AP1191)=0,AND(COUNTA(AN1191:AP1191)=3,ISNUMBER(AP1191))),0,1)+IF(OR(COUNTA(AQ1191:AS1191)=0,AND(COUNTA(AQ1191:AS1191)=3,ISNUMBER(AS1191))),0,1)+IF(OR(COUNTA(AT1191:AV1191)=0,AND(COUNTA(AT1191:AV1191)=3,ISNUMBER(AV1191))),0,1)+IF(OR(COUNTA(AW1191:AY1191)=0,AND(COUNTA(AW1191:AY1191)=3,ISNUMBER(AY1191))),0,1)+IF(OR(COUNTA(AZ1191:BB1191)=0,AND(COUNTA(AZ1191:BB1191)=3,ISNUMBER(BB1191))),0,1))&gt;0,"; An invoice is incomplete (needs No, Date and a number in Ex GST)","")&amp;IF((IF(T1191="",0,IFERROR(--(EOMONTH(T1191,0)&lt;&gt;S$5),1))+IF(W1191="",0,IFERROR(--(EOMONTH(W1191,0)&lt;&gt;V$5),1))+IF(Z1191="",0,IFERROR(--(EOMONTH(Z1191,0)&lt;&gt;Y$5),1))+IF(AC1191="",0,IFERROR(--(EOMONTH(AC1191,0)&lt;&gt;AB$5),1))+IF(AF1191="",0,IFERROR(--(EOMONTH(AF1191,0)&lt;&gt;AE$5),1))+IF(AI1191="",0,IFERROR(--(EOMONTH(AI1191,0)&lt;&gt;AH$5),1))+IF(AL1191="",0,IFERROR(--(EOMONTH(AL1191,0)&lt;&gt;AK$5),1))+IF(AO1191="",0,IFERROR(--(EOMONTH(AO1191,0)&lt;&gt;AN$5),1))+IF(AR1191="",0,IFERROR(--(EOMONTH(AR1191,0)&lt;&gt;AQ$5),1))+IF(AU1191="",0,IFERROR(--(EOMONTH(AU1191,0)&lt;&gt;AT$5),1))+IF(AX1191="",0,IFERROR(--(EOMONTH(AX1191,0)&lt;&gt;AW$5),1))+IF(BA1191="",0,IFERROR(--(EOMONTH(BA1191,0)&lt;&gt;AZ$5),1)))&gt;0,"; An invoice date is not in the month it is typed under",""),3,500))</f>
        <v/>
      </c>
      <c r="S1191" s="12" t="n"/>
      <c r="T1191" s="13" t="n"/>
      <c r="U1191" s="14" t="n"/>
      <c r="V1191" s="12" t="n"/>
      <c r="W1191" s="13" t="n"/>
      <c r="X1191" s="14" t="n"/>
      <c r="Y1191" s="12" t="n"/>
      <c r="Z1191" s="13" t="n"/>
      <c r="AA1191" s="14" t="n"/>
      <c r="AB1191" s="12" t="n"/>
      <c r="AC1191" s="13" t="n"/>
      <c r="AD1191" s="14" t="n"/>
      <c r="AE1191" s="12" t="n"/>
      <c r="AF1191" s="13" t="n"/>
      <c r="AG1191" s="14" t="n"/>
      <c r="AH1191" s="12" t="n"/>
      <c r="AI1191" s="13" t="n"/>
      <c r="AJ1191" s="14" t="n"/>
      <c r="AK1191" s="12" t="n"/>
      <c r="AL1191" s="13" t="n"/>
      <c r="AM1191" s="14" t="n"/>
      <c r="AN1191" s="12" t="n"/>
      <c r="AO1191" s="13" t="n"/>
      <c r="AP1191" s="14" t="n"/>
      <c r="AQ1191" s="12" t="n"/>
      <c r="AR1191" s="13" t="n"/>
      <c r="AS1191" s="14" t="n"/>
      <c r="AT1191" s="12" t="n"/>
      <c r="AU1191" s="13" t="n"/>
      <c r="AV1191" s="14" t="n"/>
      <c r="AW1191" s="12" t="n"/>
      <c r="AX1191" s="13" t="n"/>
      <c r="AY1191" s="14" t="n"/>
      <c r="AZ1191" s="12" t="n"/>
      <c r="BA1191" s="13" t="n"/>
      <c r="BB1191" s="14" t="n"/>
      <c r="BC1191" s="11">
        <f>IF(O1191="","",IF(J1191="GST 10%",ROUND(O1191*set_GSTRate,2),0))</f>
        <v/>
      </c>
      <c r="BD1191" s="11">
        <f>IF(O1191="","",O1191+BC1191)</f>
        <v/>
      </c>
      <c r="BE1191" s="15">
        <f>IF(O1191="","",COUNTA(S1191,V1191,Y1191,AB1191,AE1191,AH1191,AK1191,AN1191,AQ1191,AT1191,AW1191,AZ1191))</f>
        <v/>
      </c>
      <c r="BF1191" s="16">
        <f>IF(COUNT(T1191,W1191,Z1191,AC1191,AF1191,AI1191,AL1191,AO1191,AR1191,AU1191,AX1191,BA1191)=0,"",MAX(T1191,W1191,Z1191,AC1191,AF1191,AI1191,AL1191,AO1191,AR1191,AU1191,AX1191,BA1191))</f>
        <v/>
      </c>
      <c r="BG1191" s="10">
        <f>MID(IF(S1191="","",", "&amp;S1191)&amp;IF(V1191="","",", "&amp;V1191)&amp;IF(Y1191="","",", "&amp;Y1191)&amp;IF(AB1191="","",", "&amp;AB1191)&amp;IF(AE1191="","",", "&amp;AE1191)&amp;IF(AH1191="","",", "&amp;AH1191)&amp;IF(AK1191="","",", "&amp;AK1191)&amp;IF(AN1191="","",", "&amp;AN1191)&amp;IF(AQ1191="","",", "&amp;AQ1191)&amp;IF(AT1191="","",", "&amp;AT1191)&amp;IF(AW1191="","",", "&amp;AW1191)&amp;IF(AZ1191="","",", "&amp;AZ1191),3,500)</f>
        <v/>
      </c>
      <c r="BH1191" s="12" t="n"/>
      <c r="BI1191" s="15">
        <f>IFERROR(MATCH($A1191,IF($B1191="Onsite",tbl_Onsite[Row ID],IF($B1191="Production",tbl_Production[Row ID],tbl_Consulting[Row ID])),0),"")</f>
        <v/>
      </c>
    </row>
    <row r="1192">
      <c r="A1192" s="10" t="inlineStr">
        <is>
          <t>CON-0186</t>
        </is>
      </c>
      <c r="B1192" s="10" t="inlineStr">
        <is>
          <t>Consulting</t>
        </is>
      </c>
      <c r="C1192" s="10">
        <f>IF($BI1192="","",IF($B1192="Onsite",INDEX(tbl_Onsite[Job Number],$BI1192),IF($B1192="Production",INDEX(tbl_Production[Job Number],$BI1192),INDEX(tbl_Consulting[Job Number],$BI1192)))&amp;"")</f>
        <v/>
      </c>
      <c r="D1192" s="10">
        <f>IF($BI1192="","",IF($B1192="Onsite",INDEX(tbl_Onsite[Client],$BI1192),IF($B1192="Production",INDEX(tbl_Production[Client],$BI1192),INDEX(tbl_Consulting[Client],$BI1192)))&amp;"")</f>
        <v/>
      </c>
      <c r="E1192" s="10">
        <f>IF($C1192="","",IF(COUNTIF(lst_Jobs,$C1192)&gt;0,"OK","CHECK"))</f>
        <v/>
      </c>
      <c r="F1192" s="10">
        <f>IF($C1192="","",IFERROR(INDEX(lst_JobName,MATCH($C1192,lst_Jobs,0)),""))</f>
        <v/>
      </c>
      <c r="G1192" s="10">
        <f>IF($BI1192="","",IF($B1192="Onsite",INDEX(tbl_Onsite[Job Description],$BI1192),IF($B1192="Production",INDEX(tbl_Production[Job Description],$BI1192),INDEX(tbl_Consulting[Job Description],$BI1192)))&amp;"")</f>
        <v/>
      </c>
      <c r="H1192" s="10">
        <f>IF($BI1192="","",IF($B1192="Onsite",INDEX(tbl_Onsite[Cost Centre],$BI1192),IF($B1192="Production",INDEX(tbl_Production[Cost Centre],$BI1192),INDEX(tbl_Consulting[Cost Centre],$BI1192)))&amp;"")</f>
        <v/>
      </c>
      <c r="I1192" s="10">
        <f>IF($BI1192="","",IF($B1192="Onsite",INDEX(tbl_Onsite[Invoice Type],$BI1192),IF($B1192="Production",INDEX(tbl_Production[Invoice Type],$BI1192),INDEX(tbl_Consulting[Invoice Type],$BI1192)))&amp;"")</f>
        <v/>
      </c>
      <c r="J1192" s="10">
        <f>IF($BI1192="","",IF($B1192="Onsite",INDEX(tbl_Onsite[Tax Code],$BI1192),IF($B1192="Production",INDEX(tbl_Production[Tax Code],$BI1192),INDEX(tbl_Consulting[Tax Code],$BI1192)))&amp;"")</f>
        <v/>
      </c>
      <c r="K1192" s="10">
        <f>IF(H1192="","",IFERROR(INDEX(lst_CCtoGL,MATCH(H1192,lst_CCforGL,0)),""))</f>
        <v/>
      </c>
      <c r="L1192" s="10">
        <f>IF($BI1192="","",IF($B1192="Onsite",INDEX(tbl_Onsite[PO / Reference],$BI1192),IF($B1192="Production",INDEX(tbl_Production[Current RMS No],$BI1192),INDEX(tbl_Consulting[Qwilr Quote],$BI1192)))&amp;"")</f>
        <v/>
      </c>
      <c r="M1192" s="10">
        <f>IF($BI1192="","",IF($B1192="Onsite",INDEX(tbl_Onsite[Notes],$BI1192),IF($B1192="Production",INDEX(tbl_Production[Notes],$BI1192),INDEX(tbl_Consulting[Notes],$BI1192)))&amp;"")</f>
        <v/>
      </c>
      <c r="N1192" s="11">
        <f>IF($BI1192="","",IF(IF($B1192="Onsite",INDEX(tbl_Onsite[Expected Revenue Ex GST],$BI1192),IF($B1192="Production",INDEX(tbl_Production[Expected Revenue Ex GST],$BI1192),INDEX(tbl_Consulting[Expected Revenue Ex GST],$BI1192)))="","",IF($B1192="Onsite",INDEX(tbl_Onsite[Expected Revenue Ex GST],$BI1192),IF($B1192="Production",INDEX(tbl_Production[Expected Revenue Ex GST],$BI1192),INDEX(tbl_Consulting[Expected Revenue Ex GST],$BI1192)))))</f>
        <v/>
      </c>
      <c r="O1192" s="11">
        <f>IF(AND($C1192="",NOT(COUNTA($S1192:$BB1192)&gt;0)),"",SUM(U1192,X1192,AA1192,AD1192,AG1192,AJ1192,AM1192,AP1192,AS1192,AV1192,AY1192,BB1192))</f>
        <v/>
      </c>
      <c r="P1192" s="11">
        <f>IF(O1192="","",N(N1192)-O1192)</f>
        <v/>
      </c>
      <c r="Q1192" s="10">
        <f>IF(O1192="","",IF($C1192="","Invoice on empty job row",IF(N1192="",IF(ROUND(O1192,2)=0,"No dept value","Invoiced - no dept value"),IF(ROUND(O1192,2)=0,"Not invoiced - to invoice",IF(ROUND(P1192,2)=0,"Agrees",IF(P1192&gt;0,"Dept higher - to invoice","Xero higher - check dept"))))))</f>
        <v/>
      </c>
      <c r="R1192" s="10">
        <f>IF(AND($C1192="",NOT(COUNTA($S1192:$BB1192)&gt;0),$BI1192&lt;&gt;""),"",MID(IF($BI1192="","; Row ID not found on the department sheet - a row was deleted","")&amp;IF(AND($C1192="",COUNTA($S1192:$BB1192)&gt;0),"; Invoice entered but the department row has no job number","")&amp;IF(E1192="CHECK","; Job number not in the Xero job list","")&amp;IF(AND($C1192&lt;&gt;"",COUNTIF($C$7:$C$1506,$C1192)&gt;1),"; Job number on more than one row","")&amp;IF(AND($C1192&lt;&gt;"",H1192=""),"; Dept has not set a cost centre","")&amp;IF(AND($C1192&lt;&gt;"",J1192=""),"; Dept has not set a tax code","")&amp;IF(AND($C1192&lt;&gt;"",N1192=""),"; Dept has not entered an expected value","")&amp;IF((IF(OR(COUNTA(S1192:U1192)=0,AND(COUNTA(S1192:U1192)=3,ISNUMBER(U1192))),0,1)+IF(OR(COUNTA(V1192:X1192)=0,AND(COUNTA(V1192:X1192)=3,ISNUMBER(X1192))),0,1)+IF(OR(COUNTA(Y1192:AA1192)=0,AND(COUNTA(Y1192:AA1192)=3,ISNUMBER(AA1192))),0,1)+IF(OR(COUNTA(AB1192:AD1192)=0,AND(COUNTA(AB1192:AD1192)=3,ISNUMBER(AD1192))),0,1)+IF(OR(COUNTA(AE1192:AG1192)=0,AND(COUNTA(AE1192:AG1192)=3,ISNUMBER(AG1192))),0,1)+IF(OR(COUNTA(AH1192:AJ1192)=0,AND(COUNTA(AH1192:AJ1192)=3,ISNUMBER(AJ1192))),0,1)+IF(OR(COUNTA(AK1192:AM1192)=0,AND(COUNTA(AK1192:AM1192)=3,ISNUMBER(AM1192))),0,1)+IF(OR(COUNTA(AN1192:AP1192)=0,AND(COUNTA(AN1192:AP1192)=3,ISNUMBER(AP1192))),0,1)+IF(OR(COUNTA(AQ1192:AS1192)=0,AND(COUNTA(AQ1192:AS1192)=3,ISNUMBER(AS1192))),0,1)+IF(OR(COUNTA(AT1192:AV1192)=0,AND(COUNTA(AT1192:AV1192)=3,ISNUMBER(AV1192))),0,1)+IF(OR(COUNTA(AW1192:AY1192)=0,AND(COUNTA(AW1192:AY1192)=3,ISNUMBER(AY1192))),0,1)+IF(OR(COUNTA(AZ1192:BB1192)=0,AND(COUNTA(AZ1192:BB1192)=3,ISNUMBER(BB1192))),0,1))&gt;0,"; An invoice is incomplete (needs No, Date and a number in Ex GST)","")&amp;IF((IF(T1192="",0,IFERROR(--(EOMONTH(T1192,0)&lt;&gt;S$5),1))+IF(W1192="",0,IFERROR(--(EOMONTH(W1192,0)&lt;&gt;V$5),1))+IF(Z1192="",0,IFERROR(--(EOMONTH(Z1192,0)&lt;&gt;Y$5),1))+IF(AC1192="",0,IFERROR(--(EOMONTH(AC1192,0)&lt;&gt;AB$5),1))+IF(AF1192="",0,IFERROR(--(EOMONTH(AF1192,0)&lt;&gt;AE$5),1))+IF(AI1192="",0,IFERROR(--(EOMONTH(AI1192,0)&lt;&gt;AH$5),1))+IF(AL1192="",0,IFERROR(--(EOMONTH(AL1192,0)&lt;&gt;AK$5),1))+IF(AO1192="",0,IFERROR(--(EOMONTH(AO1192,0)&lt;&gt;AN$5),1))+IF(AR1192="",0,IFERROR(--(EOMONTH(AR1192,0)&lt;&gt;AQ$5),1))+IF(AU1192="",0,IFERROR(--(EOMONTH(AU1192,0)&lt;&gt;AT$5),1))+IF(AX1192="",0,IFERROR(--(EOMONTH(AX1192,0)&lt;&gt;AW$5),1))+IF(BA1192="",0,IFERROR(--(EOMONTH(BA1192,0)&lt;&gt;AZ$5),1)))&gt;0,"; An invoice date is not in the month it is typed under",""),3,500))</f>
        <v/>
      </c>
      <c r="S1192" s="12" t="n"/>
      <c r="T1192" s="13" t="n"/>
      <c r="U1192" s="14" t="n"/>
      <c r="V1192" s="12" t="n"/>
      <c r="W1192" s="13" t="n"/>
      <c r="X1192" s="14" t="n"/>
      <c r="Y1192" s="12" t="n"/>
      <c r="Z1192" s="13" t="n"/>
      <c r="AA1192" s="14" t="n"/>
      <c r="AB1192" s="12" t="n"/>
      <c r="AC1192" s="13" t="n"/>
      <c r="AD1192" s="14" t="n"/>
      <c r="AE1192" s="12" t="n"/>
      <c r="AF1192" s="13" t="n"/>
      <c r="AG1192" s="14" t="n"/>
      <c r="AH1192" s="12" t="n"/>
      <c r="AI1192" s="13" t="n"/>
      <c r="AJ1192" s="14" t="n"/>
      <c r="AK1192" s="12" t="n"/>
      <c r="AL1192" s="13" t="n"/>
      <c r="AM1192" s="14" t="n"/>
      <c r="AN1192" s="12" t="n"/>
      <c r="AO1192" s="13" t="n"/>
      <c r="AP1192" s="14" t="n"/>
      <c r="AQ1192" s="12" t="n"/>
      <c r="AR1192" s="13" t="n"/>
      <c r="AS1192" s="14" t="n"/>
      <c r="AT1192" s="12" t="n"/>
      <c r="AU1192" s="13" t="n"/>
      <c r="AV1192" s="14" t="n"/>
      <c r="AW1192" s="12" t="n"/>
      <c r="AX1192" s="13" t="n"/>
      <c r="AY1192" s="14" t="n"/>
      <c r="AZ1192" s="12" t="n"/>
      <c r="BA1192" s="13" t="n"/>
      <c r="BB1192" s="14" t="n"/>
      <c r="BC1192" s="11">
        <f>IF(O1192="","",IF(J1192="GST 10%",ROUND(O1192*set_GSTRate,2),0))</f>
        <v/>
      </c>
      <c r="BD1192" s="11">
        <f>IF(O1192="","",O1192+BC1192)</f>
        <v/>
      </c>
      <c r="BE1192" s="15">
        <f>IF(O1192="","",COUNTA(S1192,V1192,Y1192,AB1192,AE1192,AH1192,AK1192,AN1192,AQ1192,AT1192,AW1192,AZ1192))</f>
        <v/>
      </c>
      <c r="BF1192" s="16">
        <f>IF(COUNT(T1192,W1192,Z1192,AC1192,AF1192,AI1192,AL1192,AO1192,AR1192,AU1192,AX1192,BA1192)=0,"",MAX(T1192,W1192,Z1192,AC1192,AF1192,AI1192,AL1192,AO1192,AR1192,AU1192,AX1192,BA1192))</f>
        <v/>
      </c>
      <c r="BG1192" s="10">
        <f>MID(IF(S1192="","",", "&amp;S1192)&amp;IF(V1192="","",", "&amp;V1192)&amp;IF(Y1192="","",", "&amp;Y1192)&amp;IF(AB1192="","",", "&amp;AB1192)&amp;IF(AE1192="","",", "&amp;AE1192)&amp;IF(AH1192="","",", "&amp;AH1192)&amp;IF(AK1192="","",", "&amp;AK1192)&amp;IF(AN1192="","",", "&amp;AN1192)&amp;IF(AQ1192="","",", "&amp;AQ1192)&amp;IF(AT1192="","",", "&amp;AT1192)&amp;IF(AW1192="","",", "&amp;AW1192)&amp;IF(AZ1192="","",", "&amp;AZ1192),3,500)</f>
        <v/>
      </c>
      <c r="BH1192" s="12" t="n"/>
      <c r="BI1192" s="15">
        <f>IFERROR(MATCH($A1192,IF($B1192="Onsite",tbl_Onsite[Row ID],IF($B1192="Production",tbl_Production[Row ID],tbl_Consulting[Row ID])),0),"")</f>
        <v/>
      </c>
    </row>
    <row r="1193">
      <c r="A1193" s="10" t="inlineStr">
        <is>
          <t>CON-0187</t>
        </is>
      </c>
      <c r="B1193" s="10" t="inlineStr">
        <is>
          <t>Consulting</t>
        </is>
      </c>
      <c r="C1193" s="10">
        <f>IF($BI1193="","",IF($B1193="Onsite",INDEX(tbl_Onsite[Job Number],$BI1193),IF($B1193="Production",INDEX(tbl_Production[Job Number],$BI1193),INDEX(tbl_Consulting[Job Number],$BI1193)))&amp;"")</f>
        <v/>
      </c>
      <c r="D1193" s="10">
        <f>IF($BI1193="","",IF($B1193="Onsite",INDEX(tbl_Onsite[Client],$BI1193),IF($B1193="Production",INDEX(tbl_Production[Client],$BI1193),INDEX(tbl_Consulting[Client],$BI1193)))&amp;"")</f>
        <v/>
      </c>
      <c r="E1193" s="10">
        <f>IF($C1193="","",IF(COUNTIF(lst_Jobs,$C1193)&gt;0,"OK","CHECK"))</f>
        <v/>
      </c>
      <c r="F1193" s="10">
        <f>IF($C1193="","",IFERROR(INDEX(lst_JobName,MATCH($C1193,lst_Jobs,0)),""))</f>
        <v/>
      </c>
      <c r="G1193" s="10">
        <f>IF($BI1193="","",IF($B1193="Onsite",INDEX(tbl_Onsite[Job Description],$BI1193),IF($B1193="Production",INDEX(tbl_Production[Job Description],$BI1193),INDEX(tbl_Consulting[Job Description],$BI1193)))&amp;"")</f>
        <v/>
      </c>
      <c r="H1193" s="10">
        <f>IF($BI1193="","",IF($B1193="Onsite",INDEX(tbl_Onsite[Cost Centre],$BI1193),IF($B1193="Production",INDEX(tbl_Production[Cost Centre],$BI1193),INDEX(tbl_Consulting[Cost Centre],$BI1193)))&amp;"")</f>
        <v/>
      </c>
      <c r="I1193" s="10">
        <f>IF($BI1193="","",IF($B1193="Onsite",INDEX(tbl_Onsite[Invoice Type],$BI1193),IF($B1193="Production",INDEX(tbl_Production[Invoice Type],$BI1193),INDEX(tbl_Consulting[Invoice Type],$BI1193)))&amp;"")</f>
        <v/>
      </c>
      <c r="J1193" s="10">
        <f>IF($BI1193="","",IF($B1193="Onsite",INDEX(tbl_Onsite[Tax Code],$BI1193),IF($B1193="Production",INDEX(tbl_Production[Tax Code],$BI1193),INDEX(tbl_Consulting[Tax Code],$BI1193)))&amp;"")</f>
        <v/>
      </c>
      <c r="K1193" s="10">
        <f>IF(H1193="","",IFERROR(INDEX(lst_CCtoGL,MATCH(H1193,lst_CCforGL,0)),""))</f>
        <v/>
      </c>
      <c r="L1193" s="10">
        <f>IF($BI1193="","",IF($B1193="Onsite",INDEX(tbl_Onsite[PO / Reference],$BI1193),IF($B1193="Production",INDEX(tbl_Production[Current RMS No],$BI1193),INDEX(tbl_Consulting[Qwilr Quote],$BI1193)))&amp;"")</f>
        <v/>
      </c>
      <c r="M1193" s="10">
        <f>IF($BI1193="","",IF($B1193="Onsite",INDEX(tbl_Onsite[Notes],$BI1193),IF($B1193="Production",INDEX(tbl_Production[Notes],$BI1193),INDEX(tbl_Consulting[Notes],$BI1193)))&amp;"")</f>
        <v/>
      </c>
      <c r="N1193" s="11">
        <f>IF($BI1193="","",IF(IF($B1193="Onsite",INDEX(tbl_Onsite[Expected Revenue Ex GST],$BI1193),IF($B1193="Production",INDEX(tbl_Production[Expected Revenue Ex GST],$BI1193),INDEX(tbl_Consulting[Expected Revenue Ex GST],$BI1193)))="","",IF($B1193="Onsite",INDEX(tbl_Onsite[Expected Revenue Ex GST],$BI1193),IF($B1193="Production",INDEX(tbl_Production[Expected Revenue Ex GST],$BI1193),INDEX(tbl_Consulting[Expected Revenue Ex GST],$BI1193)))))</f>
        <v/>
      </c>
      <c r="O1193" s="11">
        <f>IF(AND($C1193="",NOT(COUNTA($S1193:$BB1193)&gt;0)),"",SUM(U1193,X1193,AA1193,AD1193,AG1193,AJ1193,AM1193,AP1193,AS1193,AV1193,AY1193,BB1193))</f>
        <v/>
      </c>
      <c r="P1193" s="11">
        <f>IF(O1193="","",N(N1193)-O1193)</f>
        <v/>
      </c>
      <c r="Q1193" s="10">
        <f>IF(O1193="","",IF($C1193="","Invoice on empty job row",IF(N1193="",IF(ROUND(O1193,2)=0,"No dept value","Invoiced - no dept value"),IF(ROUND(O1193,2)=0,"Not invoiced - to invoice",IF(ROUND(P1193,2)=0,"Agrees",IF(P1193&gt;0,"Dept higher - to invoice","Xero higher - check dept"))))))</f>
        <v/>
      </c>
      <c r="R1193" s="10">
        <f>IF(AND($C1193="",NOT(COUNTA($S1193:$BB1193)&gt;0),$BI1193&lt;&gt;""),"",MID(IF($BI1193="","; Row ID not found on the department sheet - a row was deleted","")&amp;IF(AND($C1193="",COUNTA($S1193:$BB1193)&gt;0),"; Invoice entered but the department row has no job number","")&amp;IF(E1193="CHECK","; Job number not in the Xero job list","")&amp;IF(AND($C1193&lt;&gt;"",COUNTIF($C$7:$C$1506,$C1193)&gt;1),"; Job number on more than one row","")&amp;IF(AND($C1193&lt;&gt;"",H1193=""),"; Dept has not set a cost centre","")&amp;IF(AND($C1193&lt;&gt;"",J1193=""),"; Dept has not set a tax code","")&amp;IF(AND($C1193&lt;&gt;"",N1193=""),"; Dept has not entered an expected value","")&amp;IF((IF(OR(COUNTA(S1193:U1193)=0,AND(COUNTA(S1193:U1193)=3,ISNUMBER(U1193))),0,1)+IF(OR(COUNTA(V1193:X1193)=0,AND(COUNTA(V1193:X1193)=3,ISNUMBER(X1193))),0,1)+IF(OR(COUNTA(Y1193:AA1193)=0,AND(COUNTA(Y1193:AA1193)=3,ISNUMBER(AA1193))),0,1)+IF(OR(COUNTA(AB1193:AD1193)=0,AND(COUNTA(AB1193:AD1193)=3,ISNUMBER(AD1193))),0,1)+IF(OR(COUNTA(AE1193:AG1193)=0,AND(COUNTA(AE1193:AG1193)=3,ISNUMBER(AG1193))),0,1)+IF(OR(COUNTA(AH1193:AJ1193)=0,AND(COUNTA(AH1193:AJ1193)=3,ISNUMBER(AJ1193))),0,1)+IF(OR(COUNTA(AK1193:AM1193)=0,AND(COUNTA(AK1193:AM1193)=3,ISNUMBER(AM1193))),0,1)+IF(OR(COUNTA(AN1193:AP1193)=0,AND(COUNTA(AN1193:AP1193)=3,ISNUMBER(AP1193))),0,1)+IF(OR(COUNTA(AQ1193:AS1193)=0,AND(COUNTA(AQ1193:AS1193)=3,ISNUMBER(AS1193))),0,1)+IF(OR(COUNTA(AT1193:AV1193)=0,AND(COUNTA(AT1193:AV1193)=3,ISNUMBER(AV1193))),0,1)+IF(OR(COUNTA(AW1193:AY1193)=0,AND(COUNTA(AW1193:AY1193)=3,ISNUMBER(AY1193))),0,1)+IF(OR(COUNTA(AZ1193:BB1193)=0,AND(COUNTA(AZ1193:BB1193)=3,ISNUMBER(BB1193))),0,1))&gt;0,"; An invoice is incomplete (needs No, Date and a number in Ex GST)","")&amp;IF((IF(T1193="",0,IFERROR(--(EOMONTH(T1193,0)&lt;&gt;S$5),1))+IF(W1193="",0,IFERROR(--(EOMONTH(W1193,0)&lt;&gt;V$5),1))+IF(Z1193="",0,IFERROR(--(EOMONTH(Z1193,0)&lt;&gt;Y$5),1))+IF(AC1193="",0,IFERROR(--(EOMONTH(AC1193,0)&lt;&gt;AB$5),1))+IF(AF1193="",0,IFERROR(--(EOMONTH(AF1193,0)&lt;&gt;AE$5),1))+IF(AI1193="",0,IFERROR(--(EOMONTH(AI1193,0)&lt;&gt;AH$5),1))+IF(AL1193="",0,IFERROR(--(EOMONTH(AL1193,0)&lt;&gt;AK$5),1))+IF(AO1193="",0,IFERROR(--(EOMONTH(AO1193,0)&lt;&gt;AN$5),1))+IF(AR1193="",0,IFERROR(--(EOMONTH(AR1193,0)&lt;&gt;AQ$5),1))+IF(AU1193="",0,IFERROR(--(EOMONTH(AU1193,0)&lt;&gt;AT$5),1))+IF(AX1193="",0,IFERROR(--(EOMONTH(AX1193,0)&lt;&gt;AW$5),1))+IF(BA1193="",0,IFERROR(--(EOMONTH(BA1193,0)&lt;&gt;AZ$5),1)))&gt;0,"; An invoice date is not in the month it is typed under",""),3,500))</f>
        <v/>
      </c>
      <c r="S1193" s="12" t="n"/>
      <c r="T1193" s="13" t="n"/>
      <c r="U1193" s="14" t="n"/>
      <c r="V1193" s="12" t="n"/>
      <c r="W1193" s="13" t="n"/>
      <c r="X1193" s="14" t="n"/>
      <c r="Y1193" s="12" t="n"/>
      <c r="Z1193" s="13" t="n"/>
      <c r="AA1193" s="14" t="n"/>
      <c r="AB1193" s="12" t="n"/>
      <c r="AC1193" s="13" t="n"/>
      <c r="AD1193" s="14" t="n"/>
      <c r="AE1193" s="12" t="n"/>
      <c r="AF1193" s="13" t="n"/>
      <c r="AG1193" s="14" t="n"/>
      <c r="AH1193" s="12" t="n"/>
      <c r="AI1193" s="13" t="n"/>
      <c r="AJ1193" s="14" t="n"/>
      <c r="AK1193" s="12" t="n"/>
      <c r="AL1193" s="13" t="n"/>
      <c r="AM1193" s="14" t="n"/>
      <c r="AN1193" s="12" t="n"/>
      <c r="AO1193" s="13" t="n"/>
      <c r="AP1193" s="14" t="n"/>
      <c r="AQ1193" s="12" t="n"/>
      <c r="AR1193" s="13" t="n"/>
      <c r="AS1193" s="14" t="n"/>
      <c r="AT1193" s="12" t="n"/>
      <c r="AU1193" s="13" t="n"/>
      <c r="AV1193" s="14" t="n"/>
      <c r="AW1193" s="12" t="n"/>
      <c r="AX1193" s="13" t="n"/>
      <c r="AY1193" s="14" t="n"/>
      <c r="AZ1193" s="12" t="n"/>
      <c r="BA1193" s="13" t="n"/>
      <c r="BB1193" s="14" t="n"/>
      <c r="BC1193" s="11">
        <f>IF(O1193="","",IF(J1193="GST 10%",ROUND(O1193*set_GSTRate,2),0))</f>
        <v/>
      </c>
      <c r="BD1193" s="11">
        <f>IF(O1193="","",O1193+BC1193)</f>
        <v/>
      </c>
      <c r="BE1193" s="15">
        <f>IF(O1193="","",COUNTA(S1193,V1193,Y1193,AB1193,AE1193,AH1193,AK1193,AN1193,AQ1193,AT1193,AW1193,AZ1193))</f>
        <v/>
      </c>
      <c r="BF1193" s="16">
        <f>IF(COUNT(T1193,W1193,Z1193,AC1193,AF1193,AI1193,AL1193,AO1193,AR1193,AU1193,AX1193,BA1193)=0,"",MAX(T1193,W1193,Z1193,AC1193,AF1193,AI1193,AL1193,AO1193,AR1193,AU1193,AX1193,BA1193))</f>
        <v/>
      </c>
      <c r="BG1193" s="10">
        <f>MID(IF(S1193="","",", "&amp;S1193)&amp;IF(V1193="","",", "&amp;V1193)&amp;IF(Y1193="","",", "&amp;Y1193)&amp;IF(AB1193="","",", "&amp;AB1193)&amp;IF(AE1193="","",", "&amp;AE1193)&amp;IF(AH1193="","",", "&amp;AH1193)&amp;IF(AK1193="","",", "&amp;AK1193)&amp;IF(AN1193="","",", "&amp;AN1193)&amp;IF(AQ1193="","",", "&amp;AQ1193)&amp;IF(AT1193="","",", "&amp;AT1193)&amp;IF(AW1193="","",", "&amp;AW1193)&amp;IF(AZ1193="","",", "&amp;AZ1193),3,500)</f>
        <v/>
      </c>
      <c r="BH1193" s="12" t="n"/>
      <c r="BI1193" s="15">
        <f>IFERROR(MATCH($A1193,IF($B1193="Onsite",tbl_Onsite[Row ID],IF($B1193="Production",tbl_Production[Row ID],tbl_Consulting[Row ID])),0),"")</f>
        <v/>
      </c>
    </row>
    <row r="1194">
      <c r="A1194" s="10" t="inlineStr">
        <is>
          <t>CON-0188</t>
        </is>
      </c>
      <c r="B1194" s="10" t="inlineStr">
        <is>
          <t>Consulting</t>
        </is>
      </c>
      <c r="C1194" s="10">
        <f>IF($BI1194="","",IF($B1194="Onsite",INDEX(tbl_Onsite[Job Number],$BI1194),IF($B1194="Production",INDEX(tbl_Production[Job Number],$BI1194),INDEX(tbl_Consulting[Job Number],$BI1194)))&amp;"")</f>
        <v/>
      </c>
      <c r="D1194" s="10">
        <f>IF($BI1194="","",IF($B1194="Onsite",INDEX(tbl_Onsite[Client],$BI1194),IF($B1194="Production",INDEX(tbl_Production[Client],$BI1194),INDEX(tbl_Consulting[Client],$BI1194)))&amp;"")</f>
        <v/>
      </c>
      <c r="E1194" s="10">
        <f>IF($C1194="","",IF(COUNTIF(lst_Jobs,$C1194)&gt;0,"OK","CHECK"))</f>
        <v/>
      </c>
      <c r="F1194" s="10">
        <f>IF($C1194="","",IFERROR(INDEX(lst_JobName,MATCH($C1194,lst_Jobs,0)),""))</f>
        <v/>
      </c>
      <c r="G1194" s="10">
        <f>IF($BI1194="","",IF($B1194="Onsite",INDEX(tbl_Onsite[Job Description],$BI1194),IF($B1194="Production",INDEX(tbl_Production[Job Description],$BI1194),INDEX(tbl_Consulting[Job Description],$BI1194)))&amp;"")</f>
        <v/>
      </c>
      <c r="H1194" s="10">
        <f>IF($BI1194="","",IF($B1194="Onsite",INDEX(tbl_Onsite[Cost Centre],$BI1194),IF($B1194="Production",INDEX(tbl_Production[Cost Centre],$BI1194),INDEX(tbl_Consulting[Cost Centre],$BI1194)))&amp;"")</f>
        <v/>
      </c>
      <c r="I1194" s="10">
        <f>IF($BI1194="","",IF($B1194="Onsite",INDEX(tbl_Onsite[Invoice Type],$BI1194),IF($B1194="Production",INDEX(tbl_Production[Invoice Type],$BI1194),INDEX(tbl_Consulting[Invoice Type],$BI1194)))&amp;"")</f>
        <v/>
      </c>
      <c r="J1194" s="10">
        <f>IF($BI1194="","",IF($B1194="Onsite",INDEX(tbl_Onsite[Tax Code],$BI1194),IF($B1194="Production",INDEX(tbl_Production[Tax Code],$BI1194),INDEX(tbl_Consulting[Tax Code],$BI1194)))&amp;"")</f>
        <v/>
      </c>
      <c r="K1194" s="10">
        <f>IF(H1194="","",IFERROR(INDEX(lst_CCtoGL,MATCH(H1194,lst_CCforGL,0)),""))</f>
        <v/>
      </c>
      <c r="L1194" s="10">
        <f>IF($BI1194="","",IF($B1194="Onsite",INDEX(tbl_Onsite[PO / Reference],$BI1194),IF($B1194="Production",INDEX(tbl_Production[Current RMS No],$BI1194),INDEX(tbl_Consulting[Qwilr Quote],$BI1194)))&amp;"")</f>
        <v/>
      </c>
      <c r="M1194" s="10">
        <f>IF($BI1194="","",IF($B1194="Onsite",INDEX(tbl_Onsite[Notes],$BI1194),IF($B1194="Production",INDEX(tbl_Production[Notes],$BI1194),INDEX(tbl_Consulting[Notes],$BI1194)))&amp;"")</f>
        <v/>
      </c>
      <c r="N1194" s="11">
        <f>IF($BI1194="","",IF(IF($B1194="Onsite",INDEX(tbl_Onsite[Expected Revenue Ex GST],$BI1194),IF($B1194="Production",INDEX(tbl_Production[Expected Revenue Ex GST],$BI1194),INDEX(tbl_Consulting[Expected Revenue Ex GST],$BI1194)))="","",IF($B1194="Onsite",INDEX(tbl_Onsite[Expected Revenue Ex GST],$BI1194),IF($B1194="Production",INDEX(tbl_Production[Expected Revenue Ex GST],$BI1194),INDEX(tbl_Consulting[Expected Revenue Ex GST],$BI1194)))))</f>
        <v/>
      </c>
      <c r="O1194" s="11">
        <f>IF(AND($C1194="",NOT(COUNTA($S1194:$BB1194)&gt;0)),"",SUM(U1194,X1194,AA1194,AD1194,AG1194,AJ1194,AM1194,AP1194,AS1194,AV1194,AY1194,BB1194))</f>
        <v/>
      </c>
      <c r="P1194" s="11">
        <f>IF(O1194="","",N(N1194)-O1194)</f>
        <v/>
      </c>
      <c r="Q1194" s="10">
        <f>IF(O1194="","",IF($C1194="","Invoice on empty job row",IF(N1194="",IF(ROUND(O1194,2)=0,"No dept value","Invoiced - no dept value"),IF(ROUND(O1194,2)=0,"Not invoiced - to invoice",IF(ROUND(P1194,2)=0,"Agrees",IF(P1194&gt;0,"Dept higher - to invoice","Xero higher - check dept"))))))</f>
        <v/>
      </c>
      <c r="R1194" s="10">
        <f>IF(AND($C1194="",NOT(COUNTA($S1194:$BB1194)&gt;0),$BI1194&lt;&gt;""),"",MID(IF($BI1194="","; Row ID not found on the department sheet - a row was deleted","")&amp;IF(AND($C1194="",COUNTA($S1194:$BB1194)&gt;0),"; Invoice entered but the department row has no job number","")&amp;IF(E1194="CHECK","; Job number not in the Xero job list","")&amp;IF(AND($C1194&lt;&gt;"",COUNTIF($C$7:$C$1506,$C1194)&gt;1),"; Job number on more than one row","")&amp;IF(AND($C1194&lt;&gt;"",H1194=""),"; Dept has not set a cost centre","")&amp;IF(AND($C1194&lt;&gt;"",J1194=""),"; Dept has not set a tax code","")&amp;IF(AND($C1194&lt;&gt;"",N1194=""),"; Dept has not entered an expected value","")&amp;IF((IF(OR(COUNTA(S1194:U1194)=0,AND(COUNTA(S1194:U1194)=3,ISNUMBER(U1194))),0,1)+IF(OR(COUNTA(V1194:X1194)=0,AND(COUNTA(V1194:X1194)=3,ISNUMBER(X1194))),0,1)+IF(OR(COUNTA(Y1194:AA1194)=0,AND(COUNTA(Y1194:AA1194)=3,ISNUMBER(AA1194))),0,1)+IF(OR(COUNTA(AB1194:AD1194)=0,AND(COUNTA(AB1194:AD1194)=3,ISNUMBER(AD1194))),0,1)+IF(OR(COUNTA(AE1194:AG1194)=0,AND(COUNTA(AE1194:AG1194)=3,ISNUMBER(AG1194))),0,1)+IF(OR(COUNTA(AH1194:AJ1194)=0,AND(COUNTA(AH1194:AJ1194)=3,ISNUMBER(AJ1194))),0,1)+IF(OR(COUNTA(AK1194:AM1194)=0,AND(COUNTA(AK1194:AM1194)=3,ISNUMBER(AM1194))),0,1)+IF(OR(COUNTA(AN1194:AP1194)=0,AND(COUNTA(AN1194:AP1194)=3,ISNUMBER(AP1194))),0,1)+IF(OR(COUNTA(AQ1194:AS1194)=0,AND(COUNTA(AQ1194:AS1194)=3,ISNUMBER(AS1194))),0,1)+IF(OR(COUNTA(AT1194:AV1194)=0,AND(COUNTA(AT1194:AV1194)=3,ISNUMBER(AV1194))),0,1)+IF(OR(COUNTA(AW1194:AY1194)=0,AND(COUNTA(AW1194:AY1194)=3,ISNUMBER(AY1194))),0,1)+IF(OR(COUNTA(AZ1194:BB1194)=0,AND(COUNTA(AZ1194:BB1194)=3,ISNUMBER(BB1194))),0,1))&gt;0,"; An invoice is incomplete (needs No, Date and a number in Ex GST)","")&amp;IF((IF(T1194="",0,IFERROR(--(EOMONTH(T1194,0)&lt;&gt;S$5),1))+IF(W1194="",0,IFERROR(--(EOMONTH(W1194,0)&lt;&gt;V$5),1))+IF(Z1194="",0,IFERROR(--(EOMONTH(Z1194,0)&lt;&gt;Y$5),1))+IF(AC1194="",0,IFERROR(--(EOMONTH(AC1194,0)&lt;&gt;AB$5),1))+IF(AF1194="",0,IFERROR(--(EOMONTH(AF1194,0)&lt;&gt;AE$5),1))+IF(AI1194="",0,IFERROR(--(EOMONTH(AI1194,0)&lt;&gt;AH$5),1))+IF(AL1194="",0,IFERROR(--(EOMONTH(AL1194,0)&lt;&gt;AK$5),1))+IF(AO1194="",0,IFERROR(--(EOMONTH(AO1194,0)&lt;&gt;AN$5),1))+IF(AR1194="",0,IFERROR(--(EOMONTH(AR1194,0)&lt;&gt;AQ$5),1))+IF(AU1194="",0,IFERROR(--(EOMONTH(AU1194,0)&lt;&gt;AT$5),1))+IF(AX1194="",0,IFERROR(--(EOMONTH(AX1194,0)&lt;&gt;AW$5),1))+IF(BA1194="",0,IFERROR(--(EOMONTH(BA1194,0)&lt;&gt;AZ$5),1)))&gt;0,"; An invoice date is not in the month it is typed under",""),3,500))</f>
        <v/>
      </c>
      <c r="S1194" s="12" t="n"/>
      <c r="T1194" s="13" t="n"/>
      <c r="U1194" s="14" t="n"/>
      <c r="V1194" s="12" t="n"/>
      <c r="W1194" s="13" t="n"/>
      <c r="X1194" s="14" t="n"/>
      <c r="Y1194" s="12" t="n"/>
      <c r="Z1194" s="13" t="n"/>
      <c r="AA1194" s="14" t="n"/>
      <c r="AB1194" s="12" t="n"/>
      <c r="AC1194" s="13" t="n"/>
      <c r="AD1194" s="14" t="n"/>
      <c r="AE1194" s="12" t="n"/>
      <c r="AF1194" s="13" t="n"/>
      <c r="AG1194" s="14" t="n"/>
      <c r="AH1194" s="12" t="n"/>
      <c r="AI1194" s="13" t="n"/>
      <c r="AJ1194" s="14" t="n"/>
      <c r="AK1194" s="12" t="n"/>
      <c r="AL1194" s="13" t="n"/>
      <c r="AM1194" s="14" t="n"/>
      <c r="AN1194" s="12" t="n"/>
      <c r="AO1194" s="13" t="n"/>
      <c r="AP1194" s="14" t="n"/>
      <c r="AQ1194" s="12" t="n"/>
      <c r="AR1194" s="13" t="n"/>
      <c r="AS1194" s="14" t="n"/>
      <c r="AT1194" s="12" t="n"/>
      <c r="AU1194" s="13" t="n"/>
      <c r="AV1194" s="14" t="n"/>
      <c r="AW1194" s="12" t="n"/>
      <c r="AX1194" s="13" t="n"/>
      <c r="AY1194" s="14" t="n"/>
      <c r="AZ1194" s="12" t="n"/>
      <c r="BA1194" s="13" t="n"/>
      <c r="BB1194" s="14" t="n"/>
      <c r="BC1194" s="11">
        <f>IF(O1194="","",IF(J1194="GST 10%",ROUND(O1194*set_GSTRate,2),0))</f>
        <v/>
      </c>
      <c r="BD1194" s="11">
        <f>IF(O1194="","",O1194+BC1194)</f>
        <v/>
      </c>
      <c r="BE1194" s="15">
        <f>IF(O1194="","",COUNTA(S1194,V1194,Y1194,AB1194,AE1194,AH1194,AK1194,AN1194,AQ1194,AT1194,AW1194,AZ1194))</f>
        <v/>
      </c>
      <c r="BF1194" s="16">
        <f>IF(COUNT(T1194,W1194,Z1194,AC1194,AF1194,AI1194,AL1194,AO1194,AR1194,AU1194,AX1194,BA1194)=0,"",MAX(T1194,W1194,Z1194,AC1194,AF1194,AI1194,AL1194,AO1194,AR1194,AU1194,AX1194,BA1194))</f>
        <v/>
      </c>
      <c r="BG1194" s="10">
        <f>MID(IF(S1194="","",", "&amp;S1194)&amp;IF(V1194="","",", "&amp;V1194)&amp;IF(Y1194="","",", "&amp;Y1194)&amp;IF(AB1194="","",", "&amp;AB1194)&amp;IF(AE1194="","",", "&amp;AE1194)&amp;IF(AH1194="","",", "&amp;AH1194)&amp;IF(AK1194="","",", "&amp;AK1194)&amp;IF(AN1194="","",", "&amp;AN1194)&amp;IF(AQ1194="","",", "&amp;AQ1194)&amp;IF(AT1194="","",", "&amp;AT1194)&amp;IF(AW1194="","",", "&amp;AW1194)&amp;IF(AZ1194="","",", "&amp;AZ1194),3,500)</f>
        <v/>
      </c>
      <c r="BH1194" s="12" t="n"/>
      <c r="BI1194" s="15">
        <f>IFERROR(MATCH($A1194,IF($B1194="Onsite",tbl_Onsite[Row ID],IF($B1194="Production",tbl_Production[Row ID],tbl_Consulting[Row ID])),0),"")</f>
        <v/>
      </c>
    </row>
    <row r="1195">
      <c r="A1195" s="10" t="inlineStr">
        <is>
          <t>CON-0189</t>
        </is>
      </c>
      <c r="B1195" s="10" t="inlineStr">
        <is>
          <t>Consulting</t>
        </is>
      </c>
      <c r="C1195" s="10">
        <f>IF($BI1195="","",IF($B1195="Onsite",INDEX(tbl_Onsite[Job Number],$BI1195),IF($B1195="Production",INDEX(tbl_Production[Job Number],$BI1195),INDEX(tbl_Consulting[Job Number],$BI1195)))&amp;"")</f>
        <v/>
      </c>
      <c r="D1195" s="10">
        <f>IF($BI1195="","",IF($B1195="Onsite",INDEX(tbl_Onsite[Client],$BI1195),IF($B1195="Production",INDEX(tbl_Production[Client],$BI1195),INDEX(tbl_Consulting[Client],$BI1195)))&amp;"")</f>
        <v/>
      </c>
      <c r="E1195" s="10">
        <f>IF($C1195="","",IF(COUNTIF(lst_Jobs,$C1195)&gt;0,"OK","CHECK"))</f>
        <v/>
      </c>
      <c r="F1195" s="10">
        <f>IF($C1195="","",IFERROR(INDEX(lst_JobName,MATCH($C1195,lst_Jobs,0)),""))</f>
        <v/>
      </c>
      <c r="G1195" s="10">
        <f>IF($BI1195="","",IF($B1195="Onsite",INDEX(tbl_Onsite[Job Description],$BI1195),IF($B1195="Production",INDEX(tbl_Production[Job Description],$BI1195),INDEX(tbl_Consulting[Job Description],$BI1195)))&amp;"")</f>
        <v/>
      </c>
      <c r="H1195" s="10">
        <f>IF($BI1195="","",IF($B1195="Onsite",INDEX(tbl_Onsite[Cost Centre],$BI1195),IF($B1195="Production",INDEX(tbl_Production[Cost Centre],$BI1195),INDEX(tbl_Consulting[Cost Centre],$BI1195)))&amp;"")</f>
        <v/>
      </c>
      <c r="I1195" s="10">
        <f>IF($BI1195="","",IF($B1195="Onsite",INDEX(tbl_Onsite[Invoice Type],$BI1195),IF($B1195="Production",INDEX(tbl_Production[Invoice Type],$BI1195),INDEX(tbl_Consulting[Invoice Type],$BI1195)))&amp;"")</f>
        <v/>
      </c>
      <c r="J1195" s="10">
        <f>IF($BI1195="","",IF($B1195="Onsite",INDEX(tbl_Onsite[Tax Code],$BI1195),IF($B1195="Production",INDEX(tbl_Production[Tax Code],$BI1195),INDEX(tbl_Consulting[Tax Code],$BI1195)))&amp;"")</f>
        <v/>
      </c>
      <c r="K1195" s="10">
        <f>IF(H1195="","",IFERROR(INDEX(lst_CCtoGL,MATCH(H1195,lst_CCforGL,0)),""))</f>
        <v/>
      </c>
      <c r="L1195" s="10">
        <f>IF($BI1195="","",IF($B1195="Onsite",INDEX(tbl_Onsite[PO / Reference],$BI1195),IF($B1195="Production",INDEX(tbl_Production[Current RMS No],$BI1195),INDEX(tbl_Consulting[Qwilr Quote],$BI1195)))&amp;"")</f>
        <v/>
      </c>
      <c r="M1195" s="10">
        <f>IF($BI1195="","",IF($B1195="Onsite",INDEX(tbl_Onsite[Notes],$BI1195),IF($B1195="Production",INDEX(tbl_Production[Notes],$BI1195),INDEX(tbl_Consulting[Notes],$BI1195)))&amp;"")</f>
        <v/>
      </c>
      <c r="N1195" s="11">
        <f>IF($BI1195="","",IF(IF($B1195="Onsite",INDEX(tbl_Onsite[Expected Revenue Ex GST],$BI1195),IF($B1195="Production",INDEX(tbl_Production[Expected Revenue Ex GST],$BI1195),INDEX(tbl_Consulting[Expected Revenue Ex GST],$BI1195)))="","",IF($B1195="Onsite",INDEX(tbl_Onsite[Expected Revenue Ex GST],$BI1195),IF($B1195="Production",INDEX(tbl_Production[Expected Revenue Ex GST],$BI1195),INDEX(tbl_Consulting[Expected Revenue Ex GST],$BI1195)))))</f>
        <v/>
      </c>
      <c r="O1195" s="11">
        <f>IF(AND($C1195="",NOT(COUNTA($S1195:$BB1195)&gt;0)),"",SUM(U1195,X1195,AA1195,AD1195,AG1195,AJ1195,AM1195,AP1195,AS1195,AV1195,AY1195,BB1195))</f>
        <v/>
      </c>
      <c r="P1195" s="11">
        <f>IF(O1195="","",N(N1195)-O1195)</f>
        <v/>
      </c>
      <c r="Q1195" s="10">
        <f>IF(O1195="","",IF($C1195="","Invoice on empty job row",IF(N1195="",IF(ROUND(O1195,2)=0,"No dept value","Invoiced - no dept value"),IF(ROUND(O1195,2)=0,"Not invoiced - to invoice",IF(ROUND(P1195,2)=0,"Agrees",IF(P1195&gt;0,"Dept higher - to invoice","Xero higher - check dept"))))))</f>
        <v/>
      </c>
      <c r="R1195" s="10">
        <f>IF(AND($C1195="",NOT(COUNTA($S1195:$BB1195)&gt;0),$BI1195&lt;&gt;""),"",MID(IF($BI1195="","; Row ID not found on the department sheet - a row was deleted","")&amp;IF(AND($C1195="",COUNTA($S1195:$BB1195)&gt;0),"; Invoice entered but the department row has no job number","")&amp;IF(E1195="CHECK","; Job number not in the Xero job list","")&amp;IF(AND($C1195&lt;&gt;"",COUNTIF($C$7:$C$1506,$C1195)&gt;1),"; Job number on more than one row","")&amp;IF(AND($C1195&lt;&gt;"",H1195=""),"; Dept has not set a cost centre","")&amp;IF(AND($C1195&lt;&gt;"",J1195=""),"; Dept has not set a tax code","")&amp;IF(AND($C1195&lt;&gt;"",N1195=""),"; Dept has not entered an expected value","")&amp;IF((IF(OR(COUNTA(S1195:U1195)=0,AND(COUNTA(S1195:U1195)=3,ISNUMBER(U1195))),0,1)+IF(OR(COUNTA(V1195:X1195)=0,AND(COUNTA(V1195:X1195)=3,ISNUMBER(X1195))),0,1)+IF(OR(COUNTA(Y1195:AA1195)=0,AND(COUNTA(Y1195:AA1195)=3,ISNUMBER(AA1195))),0,1)+IF(OR(COUNTA(AB1195:AD1195)=0,AND(COUNTA(AB1195:AD1195)=3,ISNUMBER(AD1195))),0,1)+IF(OR(COUNTA(AE1195:AG1195)=0,AND(COUNTA(AE1195:AG1195)=3,ISNUMBER(AG1195))),0,1)+IF(OR(COUNTA(AH1195:AJ1195)=0,AND(COUNTA(AH1195:AJ1195)=3,ISNUMBER(AJ1195))),0,1)+IF(OR(COUNTA(AK1195:AM1195)=0,AND(COUNTA(AK1195:AM1195)=3,ISNUMBER(AM1195))),0,1)+IF(OR(COUNTA(AN1195:AP1195)=0,AND(COUNTA(AN1195:AP1195)=3,ISNUMBER(AP1195))),0,1)+IF(OR(COUNTA(AQ1195:AS1195)=0,AND(COUNTA(AQ1195:AS1195)=3,ISNUMBER(AS1195))),0,1)+IF(OR(COUNTA(AT1195:AV1195)=0,AND(COUNTA(AT1195:AV1195)=3,ISNUMBER(AV1195))),0,1)+IF(OR(COUNTA(AW1195:AY1195)=0,AND(COUNTA(AW1195:AY1195)=3,ISNUMBER(AY1195))),0,1)+IF(OR(COUNTA(AZ1195:BB1195)=0,AND(COUNTA(AZ1195:BB1195)=3,ISNUMBER(BB1195))),0,1))&gt;0,"; An invoice is incomplete (needs No, Date and a number in Ex GST)","")&amp;IF((IF(T1195="",0,IFERROR(--(EOMONTH(T1195,0)&lt;&gt;S$5),1))+IF(W1195="",0,IFERROR(--(EOMONTH(W1195,0)&lt;&gt;V$5),1))+IF(Z1195="",0,IFERROR(--(EOMONTH(Z1195,0)&lt;&gt;Y$5),1))+IF(AC1195="",0,IFERROR(--(EOMONTH(AC1195,0)&lt;&gt;AB$5),1))+IF(AF1195="",0,IFERROR(--(EOMONTH(AF1195,0)&lt;&gt;AE$5),1))+IF(AI1195="",0,IFERROR(--(EOMONTH(AI1195,0)&lt;&gt;AH$5),1))+IF(AL1195="",0,IFERROR(--(EOMONTH(AL1195,0)&lt;&gt;AK$5),1))+IF(AO1195="",0,IFERROR(--(EOMONTH(AO1195,0)&lt;&gt;AN$5),1))+IF(AR1195="",0,IFERROR(--(EOMONTH(AR1195,0)&lt;&gt;AQ$5),1))+IF(AU1195="",0,IFERROR(--(EOMONTH(AU1195,0)&lt;&gt;AT$5),1))+IF(AX1195="",0,IFERROR(--(EOMONTH(AX1195,0)&lt;&gt;AW$5),1))+IF(BA1195="",0,IFERROR(--(EOMONTH(BA1195,0)&lt;&gt;AZ$5),1)))&gt;0,"; An invoice date is not in the month it is typed under",""),3,500))</f>
        <v/>
      </c>
      <c r="S1195" s="12" t="n"/>
      <c r="T1195" s="13" t="n"/>
      <c r="U1195" s="14" t="n"/>
      <c r="V1195" s="12" t="n"/>
      <c r="W1195" s="13" t="n"/>
      <c r="X1195" s="14" t="n"/>
      <c r="Y1195" s="12" t="n"/>
      <c r="Z1195" s="13" t="n"/>
      <c r="AA1195" s="14" t="n"/>
      <c r="AB1195" s="12" t="n"/>
      <c r="AC1195" s="13" t="n"/>
      <c r="AD1195" s="14" t="n"/>
      <c r="AE1195" s="12" t="n"/>
      <c r="AF1195" s="13" t="n"/>
      <c r="AG1195" s="14" t="n"/>
      <c r="AH1195" s="12" t="n"/>
      <c r="AI1195" s="13" t="n"/>
      <c r="AJ1195" s="14" t="n"/>
      <c r="AK1195" s="12" t="n"/>
      <c r="AL1195" s="13" t="n"/>
      <c r="AM1195" s="14" t="n"/>
      <c r="AN1195" s="12" t="n"/>
      <c r="AO1195" s="13" t="n"/>
      <c r="AP1195" s="14" t="n"/>
      <c r="AQ1195" s="12" t="n"/>
      <c r="AR1195" s="13" t="n"/>
      <c r="AS1195" s="14" t="n"/>
      <c r="AT1195" s="12" t="n"/>
      <c r="AU1195" s="13" t="n"/>
      <c r="AV1195" s="14" t="n"/>
      <c r="AW1195" s="12" t="n"/>
      <c r="AX1195" s="13" t="n"/>
      <c r="AY1195" s="14" t="n"/>
      <c r="AZ1195" s="12" t="n"/>
      <c r="BA1195" s="13" t="n"/>
      <c r="BB1195" s="14" t="n"/>
      <c r="BC1195" s="11">
        <f>IF(O1195="","",IF(J1195="GST 10%",ROUND(O1195*set_GSTRate,2),0))</f>
        <v/>
      </c>
      <c r="BD1195" s="11">
        <f>IF(O1195="","",O1195+BC1195)</f>
        <v/>
      </c>
      <c r="BE1195" s="15">
        <f>IF(O1195="","",COUNTA(S1195,V1195,Y1195,AB1195,AE1195,AH1195,AK1195,AN1195,AQ1195,AT1195,AW1195,AZ1195))</f>
        <v/>
      </c>
      <c r="BF1195" s="16">
        <f>IF(COUNT(T1195,W1195,Z1195,AC1195,AF1195,AI1195,AL1195,AO1195,AR1195,AU1195,AX1195,BA1195)=0,"",MAX(T1195,W1195,Z1195,AC1195,AF1195,AI1195,AL1195,AO1195,AR1195,AU1195,AX1195,BA1195))</f>
        <v/>
      </c>
      <c r="BG1195" s="10">
        <f>MID(IF(S1195="","",", "&amp;S1195)&amp;IF(V1195="","",", "&amp;V1195)&amp;IF(Y1195="","",", "&amp;Y1195)&amp;IF(AB1195="","",", "&amp;AB1195)&amp;IF(AE1195="","",", "&amp;AE1195)&amp;IF(AH1195="","",", "&amp;AH1195)&amp;IF(AK1195="","",", "&amp;AK1195)&amp;IF(AN1195="","",", "&amp;AN1195)&amp;IF(AQ1195="","",", "&amp;AQ1195)&amp;IF(AT1195="","",", "&amp;AT1195)&amp;IF(AW1195="","",", "&amp;AW1195)&amp;IF(AZ1195="","",", "&amp;AZ1195),3,500)</f>
        <v/>
      </c>
      <c r="BH1195" s="12" t="n"/>
      <c r="BI1195" s="15">
        <f>IFERROR(MATCH($A1195,IF($B1195="Onsite",tbl_Onsite[Row ID],IF($B1195="Production",tbl_Production[Row ID],tbl_Consulting[Row ID])),0),"")</f>
        <v/>
      </c>
    </row>
    <row r="1196">
      <c r="A1196" s="10" t="inlineStr">
        <is>
          <t>CON-0190</t>
        </is>
      </c>
      <c r="B1196" s="10" t="inlineStr">
        <is>
          <t>Consulting</t>
        </is>
      </c>
      <c r="C1196" s="10">
        <f>IF($BI1196="","",IF($B1196="Onsite",INDEX(tbl_Onsite[Job Number],$BI1196),IF($B1196="Production",INDEX(tbl_Production[Job Number],$BI1196),INDEX(tbl_Consulting[Job Number],$BI1196)))&amp;"")</f>
        <v/>
      </c>
      <c r="D1196" s="10">
        <f>IF($BI1196="","",IF($B1196="Onsite",INDEX(tbl_Onsite[Client],$BI1196),IF($B1196="Production",INDEX(tbl_Production[Client],$BI1196),INDEX(tbl_Consulting[Client],$BI1196)))&amp;"")</f>
        <v/>
      </c>
      <c r="E1196" s="10">
        <f>IF($C1196="","",IF(COUNTIF(lst_Jobs,$C1196)&gt;0,"OK","CHECK"))</f>
        <v/>
      </c>
      <c r="F1196" s="10">
        <f>IF($C1196="","",IFERROR(INDEX(lst_JobName,MATCH($C1196,lst_Jobs,0)),""))</f>
        <v/>
      </c>
      <c r="G1196" s="10">
        <f>IF($BI1196="","",IF($B1196="Onsite",INDEX(tbl_Onsite[Job Description],$BI1196),IF($B1196="Production",INDEX(tbl_Production[Job Description],$BI1196),INDEX(tbl_Consulting[Job Description],$BI1196)))&amp;"")</f>
        <v/>
      </c>
      <c r="H1196" s="10">
        <f>IF($BI1196="","",IF($B1196="Onsite",INDEX(tbl_Onsite[Cost Centre],$BI1196),IF($B1196="Production",INDEX(tbl_Production[Cost Centre],$BI1196),INDEX(tbl_Consulting[Cost Centre],$BI1196)))&amp;"")</f>
        <v/>
      </c>
      <c r="I1196" s="10">
        <f>IF($BI1196="","",IF($B1196="Onsite",INDEX(tbl_Onsite[Invoice Type],$BI1196),IF($B1196="Production",INDEX(tbl_Production[Invoice Type],$BI1196),INDEX(tbl_Consulting[Invoice Type],$BI1196)))&amp;"")</f>
        <v/>
      </c>
      <c r="J1196" s="10">
        <f>IF($BI1196="","",IF($B1196="Onsite",INDEX(tbl_Onsite[Tax Code],$BI1196),IF($B1196="Production",INDEX(tbl_Production[Tax Code],$BI1196),INDEX(tbl_Consulting[Tax Code],$BI1196)))&amp;"")</f>
        <v/>
      </c>
      <c r="K1196" s="10">
        <f>IF(H1196="","",IFERROR(INDEX(lst_CCtoGL,MATCH(H1196,lst_CCforGL,0)),""))</f>
        <v/>
      </c>
      <c r="L1196" s="10">
        <f>IF($BI1196="","",IF($B1196="Onsite",INDEX(tbl_Onsite[PO / Reference],$BI1196),IF($B1196="Production",INDEX(tbl_Production[Current RMS No],$BI1196),INDEX(tbl_Consulting[Qwilr Quote],$BI1196)))&amp;"")</f>
        <v/>
      </c>
      <c r="M1196" s="10">
        <f>IF($BI1196="","",IF($B1196="Onsite",INDEX(tbl_Onsite[Notes],$BI1196),IF($B1196="Production",INDEX(tbl_Production[Notes],$BI1196),INDEX(tbl_Consulting[Notes],$BI1196)))&amp;"")</f>
        <v/>
      </c>
      <c r="N1196" s="11">
        <f>IF($BI1196="","",IF(IF($B1196="Onsite",INDEX(tbl_Onsite[Expected Revenue Ex GST],$BI1196),IF($B1196="Production",INDEX(tbl_Production[Expected Revenue Ex GST],$BI1196),INDEX(tbl_Consulting[Expected Revenue Ex GST],$BI1196)))="","",IF($B1196="Onsite",INDEX(tbl_Onsite[Expected Revenue Ex GST],$BI1196),IF($B1196="Production",INDEX(tbl_Production[Expected Revenue Ex GST],$BI1196),INDEX(tbl_Consulting[Expected Revenue Ex GST],$BI1196)))))</f>
        <v/>
      </c>
      <c r="O1196" s="11">
        <f>IF(AND($C1196="",NOT(COUNTA($S1196:$BB1196)&gt;0)),"",SUM(U1196,X1196,AA1196,AD1196,AG1196,AJ1196,AM1196,AP1196,AS1196,AV1196,AY1196,BB1196))</f>
        <v/>
      </c>
      <c r="P1196" s="11">
        <f>IF(O1196="","",N(N1196)-O1196)</f>
        <v/>
      </c>
      <c r="Q1196" s="10">
        <f>IF(O1196="","",IF($C1196="","Invoice on empty job row",IF(N1196="",IF(ROUND(O1196,2)=0,"No dept value","Invoiced - no dept value"),IF(ROUND(O1196,2)=0,"Not invoiced - to invoice",IF(ROUND(P1196,2)=0,"Agrees",IF(P1196&gt;0,"Dept higher - to invoice","Xero higher - check dept"))))))</f>
        <v/>
      </c>
      <c r="R1196" s="10">
        <f>IF(AND($C1196="",NOT(COUNTA($S1196:$BB1196)&gt;0),$BI1196&lt;&gt;""),"",MID(IF($BI1196="","; Row ID not found on the department sheet - a row was deleted","")&amp;IF(AND($C1196="",COUNTA($S1196:$BB1196)&gt;0),"; Invoice entered but the department row has no job number","")&amp;IF(E1196="CHECK","; Job number not in the Xero job list","")&amp;IF(AND($C1196&lt;&gt;"",COUNTIF($C$7:$C$1506,$C1196)&gt;1),"; Job number on more than one row","")&amp;IF(AND($C1196&lt;&gt;"",H1196=""),"; Dept has not set a cost centre","")&amp;IF(AND($C1196&lt;&gt;"",J1196=""),"; Dept has not set a tax code","")&amp;IF(AND($C1196&lt;&gt;"",N1196=""),"; Dept has not entered an expected value","")&amp;IF((IF(OR(COUNTA(S1196:U1196)=0,AND(COUNTA(S1196:U1196)=3,ISNUMBER(U1196))),0,1)+IF(OR(COUNTA(V1196:X1196)=0,AND(COUNTA(V1196:X1196)=3,ISNUMBER(X1196))),0,1)+IF(OR(COUNTA(Y1196:AA1196)=0,AND(COUNTA(Y1196:AA1196)=3,ISNUMBER(AA1196))),0,1)+IF(OR(COUNTA(AB1196:AD1196)=0,AND(COUNTA(AB1196:AD1196)=3,ISNUMBER(AD1196))),0,1)+IF(OR(COUNTA(AE1196:AG1196)=0,AND(COUNTA(AE1196:AG1196)=3,ISNUMBER(AG1196))),0,1)+IF(OR(COUNTA(AH1196:AJ1196)=0,AND(COUNTA(AH1196:AJ1196)=3,ISNUMBER(AJ1196))),0,1)+IF(OR(COUNTA(AK1196:AM1196)=0,AND(COUNTA(AK1196:AM1196)=3,ISNUMBER(AM1196))),0,1)+IF(OR(COUNTA(AN1196:AP1196)=0,AND(COUNTA(AN1196:AP1196)=3,ISNUMBER(AP1196))),0,1)+IF(OR(COUNTA(AQ1196:AS1196)=0,AND(COUNTA(AQ1196:AS1196)=3,ISNUMBER(AS1196))),0,1)+IF(OR(COUNTA(AT1196:AV1196)=0,AND(COUNTA(AT1196:AV1196)=3,ISNUMBER(AV1196))),0,1)+IF(OR(COUNTA(AW1196:AY1196)=0,AND(COUNTA(AW1196:AY1196)=3,ISNUMBER(AY1196))),0,1)+IF(OR(COUNTA(AZ1196:BB1196)=0,AND(COUNTA(AZ1196:BB1196)=3,ISNUMBER(BB1196))),0,1))&gt;0,"; An invoice is incomplete (needs No, Date and a number in Ex GST)","")&amp;IF((IF(T1196="",0,IFERROR(--(EOMONTH(T1196,0)&lt;&gt;S$5),1))+IF(W1196="",0,IFERROR(--(EOMONTH(W1196,0)&lt;&gt;V$5),1))+IF(Z1196="",0,IFERROR(--(EOMONTH(Z1196,0)&lt;&gt;Y$5),1))+IF(AC1196="",0,IFERROR(--(EOMONTH(AC1196,0)&lt;&gt;AB$5),1))+IF(AF1196="",0,IFERROR(--(EOMONTH(AF1196,0)&lt;&gt;AE$5),1))+IF(AI1196="",0,IFERROR(--(EOMONTH(AI1196,0)&lt;&gt;AH$5),1))+IF(AL1196="",0,IFERROR(--(EOMONTH(AL1196,0)&lt;&gt;AK$5),1))+IF(AO1196="",0,IFERROR(--(EOMONTH(AO1196,0)&lt;&gt;AN$5),1))+IF(AR1196="",0,IFERROR(--(EOMONTH(AR1196,0)&lt;&gt;AQ$5),1))+IF(AU1196="",0,IFERROR(--(EOMONTH(AU1196,0)&lt;&gt;AT$5),1))+IF(AX1196="",0,IFERROR(--(EOMONTH(AX1196,0)&lt;&gt;AW$5),1))+IF(BA1196="",0,IFERROR(--(EOMONTH(BA1196,0)&lt;&gt;AZ$5),1)))&gt;0,"; An invoice date is not in the month it is typed under",""),3,500))</f>
        <v/>
      </c>
      <c r="S1196" s="12" t="n"/>
      <c r="T1196" s="13" t="n"/>
      <c r="U1196" s="14" t="n"/>
      <c r="V1196" s="12" t="n"/>
      <c r="W1196" s="13" t="n"/>
      <c r="X1196" s="14" t="n"/>
      <c r="Y1196" s="12" t="n"/>
      <c r="Z1196" s="13" t="n"/>
      <c r="AA1196" s="14" t="n"/>
      <c r="AB1196" s="12" t="n"/>
      <c r="AC1196" s="13" t="n"/>
      <c r="AD1196" s="14" t="n"/>
      <c r="AE1196" s="12" t="n"/>
      <c r="AF1196" s="13" t="n"/>
      <c r="AG1196" s="14" t="n"/>
      <c r="AH1196" s="12" t="n"/>
      <c r="AI1196" s="13" t="n"/>
      <c r="AJ1196" s="14" t="n"/>
      <c r="AK1196" s="12" t="n"/>
      <c r="AL1196" s="13" t="n"/>
      <c r="AM1196" s="14" t="n"/>
      <c r="AN1196" s="12" t="n"/>
      <c r="AO1196" s="13" t="n"/>
      <c r="AP1196" s="14" t="n"/>
      <c r="AQ1196" s="12" t="n"/>
      <c r="AR1196" s="13" t="n"/>
      <c r="AS1196" s="14" t="n"/>
      <c r="AT1196" s="12" t="n"/>
      <c r="AU1196" s="13" t="n"/>
      <c r="AV1196" s="14" t="n"/>
      <c r="AW1196" s="12" t="n"/>
      <c r="AX1196" s="13" t="n"/>
      <c r="AY1196" s="14" t="n"/>
      <c r="AZ1196" s="12" t="n"/>
      <c r="BA1196" s="13" t="n"/>
      <c r="BB1196" s="14" t="n"/>
      <c r="BC1196" s="11">
        <f>IF(O1196="","",IF(J1196="GST 10%",ROUND(O1196*set_GSTRate,2),0))</f>
        <v/>
      </c>
      <c r="BD1196" s="11">
        <f>IF(O1196="","",O1196+BC1196)</f>
        <v/>
      </c>
      <c r="BE1196" s="15">
        <f>IF(O1196="","",COUNTA(S1196,V1196,Y1196,AB1196,AE1196,AH1196,AK1196,AN1196,AQ1196,AT1196,AW1196,AZ1196))</f>
        <v/>
      </c>
      <c r="BF1196" s="16">
        <f>IF(COUNT(T1196,W1196,Z1196,AC1196,AF1196,AI1196,AL1196,AO1196,AR1196,AU1196,AX1196,BA1196)=0,"",MAX(T1196,W1196,Z1196,AC1196,AF1196,AI1196,AL1196,AO1196,AR1196,AU1196,AX1196,BA1196))</f>
        <v/>
      </c>
      <c r="BG1196" s="10">
        <f>MID(IF(S1196="","",", "&amp;S1196)&amp;IF(V1196="","",", "&amp;V1196)&amp;IF(Y1196="","",", "&amp;Y1196)&amp;IF(AB1196="","",", "&amp;AB1196)&amp;IF(AE1196="","",", "&amp;AE1196)&amp;IF(AH1196="","",", "&amp;AH1196)&amp;IF(AK1196="","",", "&amp;AK1196)&amp;IF(AN1196="","",", "&amp;AN1196)&amp;IF(AQ1196="","",", "&amp;AQ1196)&amp;IF(AT1196="","",", "&amp;AT1196)&amp;IF(AW1196="","",", "&amp;AW1196)&amp;IF(AZ1196="","",", "&amp;AZ1196),3,500)</f>
        <v/>
      </c>
      <c r="BH1196" s="12" t="n"/>
      <c r="BI1196" s="15">
        <f>IFERROR(MATCH($A1196,IF($B1196="Onsite",tbl_Onsite[Row ID],IF($B1196="Production",tbl_Production[Row ID],tbl_Consulting[Row ID])),0),"")</f>
        <v/>
      </c>
    </row>
    <row r="1197">
      <c r="A1197" s="10" t="inlineStr">
        <is>
          <t>CON-0191</t>
        </is>
      </c>
      <c r="B1197" s="10" t="inlineStr">
        <is>
          <t>Consulting</t>
        </is>
      </c>
      <c r="C1197" s="10">
        <f>IF($BI1197="","",IF($B1197="Onsite",INDEX(tbl_Onsite[Job Number],$BI1197),IF($B1197="Production",INDEX(tbl_Production[Job Number],$BI1197),INDEX(tbl_Consulting[Job Number],$BI1197)))&amp;"")</f>
        <v/>
      </c>
      <c r="D1197" s="10">
        <f>IF($BI1197="","",IF($B1197="Onsite",INDEX(tbl_Onsite[Client],$BI1197),IF($B1197="Production",INDEX(tbl_Production[Client],$BI1197),INDEX(tbl_Consulting[Client],$BI1197)))&amp;"")</f>
        <v/>
      </c>
      <c r="E1197" s="10">
        <f>IF($C1197="","",IF(COUNTIF(lst_Jobs,$C1197)&gt;0,"OK","CHECK"))</f>
        <v/>
      </c>
      <c r="F1197" s="10">
        <f>IF($C1197="","",IFERROR(INDEX(lst_JobName,MATCH($C1197,lst_Jobs,0)),""))</f>
        <v/>
      </c>
      <c r="G1197" s="10">
        <f>IF($BI1197="","",IF($B1197="Onsite",INDEX(tbl_Onsite[Job Description],$BI1197),IF($B1197="Production",INDEX(tbl_Production[Job Description],$BI1197),INDEX(tbl_Consulting[Job Description],$BI1197)))&amp;"")</f>
        <v/>
      </c>
      <c r="H1197" s="10">
        <f>IF($BI1197="","",IF($B1197="Onsite",INDEX(tbl_Onsite[Cost Centre],$BI1197),IF($B1197="Production",INDEX(tbl_Production[Cost Centre],$BI1197),INDEX(tbl_Consulting[Cost Centre],$BI1197)))&amp;"")</f>
        <v/>
      </c>
      <c r="I1197" s="10">
        <f>IF($BI1197="","",IF($B1197="Onsite",INDEX(tbl_Onsite[Invoice Type],$BI1197),IF($B1197="Production",INDEX(tbl_Production[Invoice Type],$BI1197),INDEX(tbl_Consulting[Invoice Type],$BI1197)))&amp;"")</f>
        <v/>
      </c>
      <c r="J1197" s="10">
        <f>IF($BI1197="","",IF($B1197="Onsite",INDEX(tbl_Onsite[Tax Code],$BI1197),IF($B1197="Production",INDEX(tbl_Production[Tax Code],$BI1197),INDEX(tbl_Consulting[Tax Code],$BI1197)))&amp;"")</f>
        <v/>
      </c>
      <c r="K1197" s="10">
        <f>IF(H1197="","",IFERROR(INDEX(lst_CCtoGL,MATCH(H1197,lst_CCforGL,0)),""))</f>
        <v/>
      </c>
      <c r="L1197" s="10">
        <f>IF($BI1197="","",IF($B1197="Onsite",INDEX(tbl_Onsite[PO / Reference],$BI1197),IF($B1197="Production",INDEX(tbl_Production[Current RMS No],$BI1197),INDEX(tbl_Consulting[Qwilr Quote],$BI1197)))&amp;"")</f>
        <v/>
      </c>
      <c r="M1197" s="10">
        <f>IF($BI1197="","",IF($B1197="Onsite",INDEX(tbl_Onsite[Notes],$BI1197),IF($B1197="Production",INDEX(tbl_Production[Notes],$BI1197),INDEX(tbl_Consulting[Notes],$BI1197)))&amp;"")</f>
        <v/>
      </c>
      <c r="N1197" s="11">
        <f>IF($BI1197="","",IF(IF($B1197="Onsite",INDEX(tbl_Onsite[Expected Revenue Ex GST],$BI1197),IF($B1197="Production",INDEX(tbl_Production[Expected Revenue Ex GST],$BI1197),INDEX(tbl_Consulting[Expected Revenue Ex GST],$BI1197)))="","",IF($B1197="Onsite",INDEX(tbl_Onsite[Expected Revenue Ex GST],$BI1197),IF($B1197="Production",INDEX(tbl_Production[Expected Revenue Ex GST],$BI1197),INDEX(tbl_Consulting[Expected Revenue Ex GST],$BI1197)))))</f>
        <v/>
      </c>
      <c r="O1197" s="11">
        <f>IF(AND($C1197="",NOT(COUNTA($S1197:$BB1197)&gt;0)),"",SUM(U1197,X1197,AA1197,AD1197,AG1197,AJ1197,AM1197,AP1197,AS1197,AV1197,AY1197,BB1197))</f>
        <v/>
      </c>
      <c r="P1197" s="11">
        <f>IF(O1197="","",N(N1197)-O1197)</f>
        <v/>
      </c>
      <c r="Q1197" s="10">
        <f>IF(O1197="","",IF($C1197="","Invoice on empty job row",IF(N1197="",IF(ROUND(O1197,2)=0,"No dept value","Invoiced - no dept value"),IF(ROUND(O1197,2)=0,"Not invoiced - to invoice",IF(ROUND(P1197,2)=0,"Agrees",IF(P1197&gt;0,"Dept higher - to invoice","Xero higher - check dept"))))))</f>
        <v/>
      </c>
      <c r="R1197" s="10">
        <f>IF(AND($C1197="",NOT(COUNTA($S1197:$BB1197)&gt;0),$BI1197&lt;&gt;""),"",MID(IF($BI1197="","; Row ID not found on the department sheet - a row was deleted","")&amp;IF(AND($C1197="",COUNTA($S1197:$BB1197)&gt;0),"; Invoice entered but the department row has no job number","")&amp;IF(E1197="CHECK","; Job number not in the Xero job list","")&amp;IF(AND($C1197&lt;&gt;"",COUNTIF($C$7:$C$1506,$C1197)&gt;1),"; Job number on more than one row","")&amp;IF(AND($C1197&lt;&gt;"",H1197=""),"; Dept has not set a cost centre","")&amp;IF(AND($C1197&lt;&gt;"",J1197=""),"; Dept has not set a tax code","")&amp;IF(AND($C1197&lt;&gt;"",N1197=""),"; Dept has not entered an expected value","")&amp;IF((IF(OR(COUNTA(S1197:U1197)=0,AND(COUNTA(S1197:U1197)=3,ISNUMBER(U1197))),0,1)+IF(OR(COUNTA(V1197:X1197)=0,AND(COUNTA(V1197:X1197)=3,ISNUMBER(X1197))),0,1)+IF(OR(COUNTA(Y1197:AA1197)=0,AND(COUNTA(Y1197:AA1197)=3,ISNUMBER(AA1197))),0,1)+IF(OR(COUNTA(AB1197:AD1197)=0,AND(COUNTA(AB1197:AD1197)=3,ISNUMBER(AD1197))),0,1)+IF(OR(COUNTA(AE1197:AG1197)=0,AND(COUNTA(AE1197:AG1197)=3,ISNUMBER(AG1197))),0,1)+IF(OR(COUNTA(AH1197:AJ1197)=0,AND(COUNTA(AH1197:AJ1197)=3,ISNUMBER(AJ1197))),0,1)+IF(OR(COUNTA(AK1197:AM1197)=0,AND(COUNTA(AK1197:AM1197)=3,ISNUMBER(AM1197))),0,1)+IF(OR(COUNTA(AN1197:AP1197)=0,AND(COUNTA(AN1197:AP1197)=3,ISNUMBER(AP1197))),0,1)+IF(OR(COUNTA(AQ1197:AS1197)=0,AND(COUNTA(AQ1197:AS1197)=3,ISNUMBER(AS1197))),0,1)+IF(OR(COUNTA(AT1197:AV1197)=0,AND(COUNTA(AT1197:AV1197)=3,ISNUMBER(AV1197))),0,1)+IF(OR(COUNTA(AW1197:AY1197)=0,AND(COUNTA(AW1197:AY1197)=3,ISNUMBER(AY1197))),0,1)+IF(OR(COUNTA(AZ1197:BB1197)=0,AND(COUNTA(AZ1197:BB1197)=3,ISNUMBER(BB1197))),0,1))&gt;0,"; An invoice is incomplete (needs No, Date and a number in Ex GST)","")&amp;IF((IF(T1197="",0,IFERROR(--(EOMONTH(T1197,0)&lt;&gt;S$5),1))+IF(W1197="",0,IFERROR(--(EOMONTH(W1197,0)&lt;&gt;V$5),1))+IF(Z1197="",0,IFERROR(--(EOMONTH(Z1197,0)&lt;&gt;Y$5),1))+IF(AC1197="",0,IFERROR(--(EOMONTH(AC1197,0)&lt;&gt;AB$5),1))+IF(AF1197="",0,IFERROR(--(EOMONTH(AF1197,0)&lt;&gt;AE$5),1))+IF(AI1197="",0,IFERROR(--(EOMONTH(AI1197,0)&lt;&gt;AH$5),1))+IF(AL1197="",0,IFERROR(--(EOMONTH(AL1197,0)&lt;&gt;AK$5),1))+IF(AO1197="",0,IFERROR(--(EOMONTH(AO1197,0)&lt;&gt;AN$5),1))+IF(AR1197="",0,IFERROR(--(EOMONTH(AR1197,0)&lt;&gt;AQ$5),1))+IF(AU1197="",0,IFERROR(--(EOMONTH(AU1197,0)&lt;&gt;AT$5),1))+IF(AX1197="",0,IFERROR(--(EOMONTH(AX1197,0)&lt;&gt;AW$5),1))+IF(BA1197="",0,IFERROR(--(EOMONTH(BA1197,0)&lt;&gt;AZ$5),1)))&gt;0,"; An invoice date is not in the month it is typed under",""),3,500))</f>
        <v/>
      </c>
      <c r="S1197" s="12" t="n"/>
      <c r="T1197" s="13" t="n"/>
      <c r="U1197" s="14" t="n"/>
      <c r="V1197" s="12" t="n"/>
      <c r="W1197" s="13" t="n"/>
      <c r="X1197" s="14" t="n"/>
      <c r="Y1197" s="12" t="n"/>
      <c r="Z1197" s="13" t="n"/>
      <c r="AA1197" s="14" t="n"/>
      <c r="AB1197" s="12" t="n"/>
      <c r="AC1197" s="13" t="n"/>
      <c r="AD1197" s="14" t="n"/>
      <c r="AE1197" s="12" t="n"/>
      <c r="AF1197" s="13" t="n"/>
      <c r="AG1197" s="14" t="n"/>
      <c r="AH1197" s="12" t="n"/>
      <c r="AI1197" s="13" t="n"/>
      <c r="AJ1197" s="14" t="n"/>
      <c r="AK1197" s="12" t="n"/>
      <c r="AL1197" s="13" t="n"/>
      <c r="AM1197" s="14" t="n"/>
      <c r="AN1197" s="12" t="n"/>
      <c r="AO1197" s="13" t="n"/>
      <c r="AP1197" s="14" t="n"/>
      <c r="AQ1197" s="12" t="n"/>
      <c r="AR1197" s="13" t="n"/>
      <c r="AS1197" s="14" t="n"/>
      <c r="AT1197" s="12" t="n"/>
      <c r="AU1197" s="13" t="n"/>
      <c r="AV1197" s="14" t="n"/>
      <c r="AW1197" s="12" t="n"/>
      <c r="AX1197" s="13" t="n"/>
      <c r="AY1197" s="14" t="n"/>
      <c r="AZ1197" s="12" t="n"/>
      <c r="BA1197" s="13" t="n"/>
      <c r="BB1197" s="14" t="n"/>
      <c r="BC1197" s="11">
        <f>IF(O1197="","",IF(J1197="GST 10%",ROUND(O1197*set_GSTRate,2),0))</f>
        <v/>
      </c>
      <c r="BD1197" s="11">
        <f>IF(O1197="","",O1197+BC1197)</f>
        <v/>
      </c>
      <c r="BE1197" s="15">
        <f>IF(O1197="","",COUNTA(S1197,V1197,Y1197,AB1197,AE1197,AH1197,AK1197,AN1197,AQ1197,AT1197,AW1197,AZ1197))</f>
        <v/>
      </c>
      <c r="BF1197" s="16">
        <f>IF(COUNT(T1197,W1197,Z1197,AC1197,AF1197,AI1197,AL1197,AO1197,AR1197,AU1197,AX1197,BA1197)=0,"",MAX(T1197,W1197,Z1197,AC1197,AF1197,AI1197,AL1197,AO1197,AR1197,AU1197,AX1197,BA1197))</f>
        <v/>
      </c>
      <c r="BG1197" s="10">
        <f>MID(IF(S1197="","",", "&amp;S1197)&amp;IF(V1197="","",", "&amp;V1197)&amp;IF(Y1197="","",", "&amp;Y1197)&amp;IF(AB1197="","",", "&amp;AB1197)&amp;IF(AE1197="","",", "&amp;AE1197)&amp;IF(AH1197="","",", "&amp;AH1197)&amp;IF(AK1197="","",", "&amp;AK1197)&amp;IF(AN1197="","",", "&amp;AN1197)&amp;IF(AQ1197="","",", "&amp;AQ1197)&amp;IF(AT1197="","",", "&amp;AT1197)&amp;IF(AW1197="","",", "&amp;AW1197)&amp;IF(AZ1197="","",", "&amp;AZ1197),3,500)</f>
        <v/>
      </c>
      <c r="BH1197" s="12" t="n"/>
      <c r="BI1197" s="15">
        <f>IFERROR(MATCH($A1197,IF($B1197="Onsite",tbl_Onsite[Row ID],IF($B1197="Production",tbl_Production[Row ID],tbl_Consulting[Row ID])),0),"")</f>
        <v/>
      </c>
    </row>
    <row r="1198">
      <c r="A1198" s="10" t="inlineStr">
        <is>
          <t>CON-0192</t>
        </is>
      </c>
      <c r="B1198" s="10" t="inlineStr">
        <is>
          <t>Consulting</t>
        </is>
      </c>
      <c r="C1198" s="10">
        <f>IF($BI1198="","",IF($B1198="Onsite",INDEX(tbl_Onsite[Job Number],$BI1198),IF($B1198="Production",INDEX(tbl_Production[Job Number],$BI1198),INDEX(tbl_Consulting[Job Number],$BI1198)))&amp;"")</f>
        <v/>
      </c>
      <c r="D1198" s="10">
        <f>IF($BI1198="","",IF($B1198="Onsite",INDEX(tbl_Onsite[Client],$BI1198),IF($B1198="Production",INDEX(tbl_Production[Client],$BI1198),INDEX(tbl_Consulting[Client],$BI1198)))&amp;"")</f>
        <v/>
      </c>
      <c r="E1198" s="10">
        <f>IF($C1198="","",IF(COUNTIF(lst_Jobs,$C1198)&gt;0,"OK","CHECK"))</f>
        <v/>
      </c>
      <c r="F1198" s="10">
        <f>IF($C1198="","",IFERROR(INDEX(lst_JobName,MATCH($C1198,lst_Jobs,0)),""))</f>
        <v/>
      </c>
      <c r="G1198" s="10">
        <f>IF($BI1198="","",IF($B1198="Onsite",INDEX(tbl_Onsite[Job Description],$BI1198),IF($B1198="Production",INDEX(tbl_Production[Job Description],$BI1198),INDEX(tbl_Consulting[Job Description],$BI1198)))&amp;"")</f>
        <v/>
      </c>
      <c r="H1198" s="10">
        <f>IF($BI1198="","",IF($B1198="Onsite",INDEX(tbl_Onsite[Cost Centre],$BI1198),IF($B1198="Production",INDEX(tbl_Production[Cost Centre],$BI1198),INDEX(tbl_Consulting[Cost Centre],$BI1198)))&amp;"")</f>
        <v/>
      </c>
      <c r="I1198" s="10">
        <f>IF($BI1198="","",IF($B1198="Onsite",INDEX(tbl_Onsite[Invoice Type],$BI1198),IF($B1198="Production",INDEX(tbl_Production[Invoice Type],$BI1198),INDEX(tbl_Consulting[Invoice Type],$BI1198)))&amp;"")</f>
        <v/>
      </c>
      <c r="J1198" s="10">
        <f>IF($BI1198="","",IF($B1198="Onsite",INDEX(tbl_Onsite[Tax Code],$BI1198),IF($B1198="Production",INDEX(tbl_Production[Tax Code],$BI1198),INDEX(tbl_Consulting[Tax Code],$BI1198)))&amp;"")</f>
        <v/>
      </c>
      <c r="K1198" s="10">
        <f>IF(H1198="","",IFERROR(INDEX(lst_CCtoGL,MATCH(H1198,lst_CCforGL,0)),""))</f>
        <v/>
      </c>
      <c r="L1198" s="10">
        <f>IF($BI1198="","",IF($B1198="Onsite",INDEX(tbl_Onsite[PO / Reference],$BI1198),IF($B1198="Production",INDEX(tbl_Production[Current RMS No],$BI1198),INDEX(tbl_Consulting[Qwilr Quote],$BI1198)))&amp;"")</f>
        <v/>
      </c>
      <c r="M1198" s="10">
        <f>IF($BI1198="","",IF($B1198="Onsite",INDEX(tbl_Onsite[Notes],$BI1198),IF($B1198="Production",INDEX(tbl_Production[Notes],$BI1198),INDEX(tbl_Consulting[Notes],$BI1198)))&amp;"")</f>
        <v/>
      </c>
      <c r="N1198" s="11">
        <f>IF($BI1198="","",IF(IF($B1198="Onsite",INDEX(tbl_Onsite[Expected Revenue Ex GST],$BI1198),IF($B1198="Production",INDEX(tbl_Production[Expected Revenue Ex GST],$BI1198),INDEX(tbl_Consulting[Expected Revenue Ex GST],$BI1198)))="","",IF($B1198="Onsite",INDEX(tbl_Onsite[Expected Revenue Ex GST],$BI1198),IF($B1198="Production",INDEX(tbl_Production[Expected Revenue Ex GST],$BI1198),INDEX(tbl_Consulting[Expected Revenue Ex GST],$BI1198)))))</f>
        <v/>
      </c>
      <c r="O1198" s="11">
        <f>IF(AND($C1198="",NOT(COUNTA($S1198:$BB1198)&gt;0)),"",SUM(U1198,X1198,AA1198,AD1198,AG1198,AJ1198,AM1198,AP1198,AS1198,AV1198,AY1198,BB1198))</f>
        <v/>
      </c>
      <c r="P1198" s="11">
        <f>IF(O1198="","",N(N1198)-O1198)</f>
        <v/>
      </c>
      <c r="Q1198" s="10">
        <f>IF(O1198="","",IF($C1198="","Invoice on empty job row",IF(N1198="",IF(ROUND(O1198,2)=0,"No dept value","Invoiced - no dept value"),IF(ROUND(O1198,2)=0,"Not invoiced - to invoice",IF(ROUND(P1198,2)=0,"Agrees",IF(P1198&gt;0,"Dept higher - to invoice","Xero higher - check dept"))))))</f>
        <v/>
      </c>
      <c r="R1198" s="10">
        <f>IF(AND($C1198="",NOT(COUNTA($S1198:$BB1198)&gt;0),$BI1198&lt;&gt;""),"",MID(IF($BI1198="","; Row ID not found on the department sheet - a row was deleted","")&amp;IF(AND($C1198="",COUNTA($S1198:$BB1198)&gt;0),"; Invoice entered but the department row has no job number","")&amp;IF(E1198="CHECK","; Job number not in the Xero job list","")&amp;IF(AND($C1198&lt;&gt;"",COUNTIF($C$7:$C$1506,$C1198)&gt;1),"; Job number on more than one row","")&amp;IF(AND($C1198&lt;&gt;"",H1198=""),"; Dept has not set a cost centre","")&amp;IF(AND($C1198&lt;&gt;"",J1198=""),"; Dept has not set a tax code","")&amp;IF(AND($C1198&lt;&gt;"",N1198=""),"; Dept has not entered an expected value","")&amp;IF((IF(OR(COUNTA(S1198:U1198)=0,AND(COUNTA(S1198:U1198)=3,ISNUMBER(U1198))),0,1)+IF(OR(COUNTA(V1198:X1198)=0,AND(COUNTA(V1198:X1198)=3,ISNUMBER(X1198))),0,1)+IF(OR(COUNTA(Y1198:AA1198)=0,AND(COUNTA(Y1198:AA1198)=3,ISNUMBER(AA1198))),0,1)+IF(OR(COUNTA(AB1198:AD1198)=0,AND(COUNTA(AB1198:AD1198)=3,ISNUMBER(AD1198))),0,1)+IF(OR(COUNTA(AE1198:AG1198)=0,AND(COUNTA(AE1198:AG1198)=3,ISNUMBER(AG1198))),0,1)+IF(OR(COUNTA(AH1198:AJ1198)=0,AND(COUNTA(AH1198:AJ1198)=3,ISNUMBER(AJ1198))),0,1)+IF(OR(COUNTA(AK1198:AM1198)=0,AND(COUNTA(AK1198:AM1198)=3,ISNUMBER(AM1198))),0,1)+IF(OR(COUNTA(AN1198:AP1198)=0,AND(COUNTA(AN1198:AP1198)=3,ISNUMBER(AP1198))),0,1)+IF(OR(COUNTA(AQ1198:AS1198)=0,AND(COUNTA(AQ1198:AS1198)=3,ISNUMBER(AS1198))),0,1)+IF(OR(COUNTA(AT1198:AV1198)=0,AND(COUNTA(AT1198:AV1198)=3,ISNUMBER(AV1198))),0,1)+IF(OR(COUNTA(AW1198:AY1198)=0,AND(COUNTA(AW1198:AY1198)=3,ISNUMBER(AY1198))),0,1)+IF(OR(COUNTA(AZ1198:BB1198)=0,AND(COUNTA(AZ1198:BB1198)=3,ISNUMBER(BB1198))),0,1))&gt;0,"; An invoice is incomplete (needs No, Date and a number in Ex GST)","")&amp;IF((IF(T1198="",0,IFERROR(--(EOMONTH(T1198,0)&lt;&gt;S$5),1))+IF(W1198="",0,IFERROR(--(EOMONTH(W1198,0)&lt;&gt;V$5),1))+IF(Z1198="",0,IFERROR(--(EOMONTH(Z1198,0)&lt;&gt;Y$5),1))+IF(AC1198="",0,IFERROR(--(EOMONTH(AC1198,0)&lt;&gt;AB$5),1))+IF(AF1198="",0,IFERROR(--(EOMONTH(AF1198,0)&lt;&gt;AE$5),1))+IF(AI1198="",0,IFERROR(--(EOMONTH(AI1198,0)&lt;&gt;AH$5),1))+IF(AL1198="",0,IFERROR(--(EOMONTH(AL1198,0)&lt;&gt;AK$5),1))+IF(AO1198="",0,IFERROR(--(EOMONTH(AO1198,0)&lt;&gt;AN$5),1))+IF(AR1198="",0,IFERROR(--(EOMONTH(AR1198,0)&lt;&gt;AQ$5),1))+IF(AU1198="",0,IFERROR(--(EOMONTH(AU1198,0)&lt;&gt;AT$5),1))+IF(AX1198="",0,IFERROR(--(EOMONTH(AX1198,0)&lt;&gt;AW$5),1))+IF(BA1198="",0,IFERROR(--(EOMONTH(BA1198,0)&lt;&gt;AZ$5),1)))&gt;0,"; An invoice date is not in the month it is typed under",""),3,500))</f>
        <v/>
      </c>
      <c r="S1198" s="12" t="n"/>
      <c r="T1198" s="13" t="n"/>
      <c r="U1198" s="14" t="n"/>
      <c r="V1198" s="12" t="n"/>
      <c r="W1198" s="13" t="n"/>
      <c r="X1198" s="14" t="n"/>
      <c r="Y1198" s="12" t="n"/>
      <c r="Z1198" s="13" t="n"/>
      <c r="AA1198" s="14" t="n"/>
      <c r="AB1198" s="12" t="n"/>
      <c r="AC1198" s="13" t="n"/>
      <c r="AD1198" s="14" t="n"/>
      <c r="AE1198" s="12" t="n"/>
      <c r="AF1198" s="13" t="n"/>
      <c r="AG1198" s="14" t="n"/>
      <c r="AH1198" s="12" t="n"/>
      <c r="AI1198" s="13" t="n"/>
      <c r="AJ1198" s="14" t="n"/>
      <c r="AK1198" s="12" t="n"/>
      <c r="AL1198" s="13" t="n"/>
      <c r="AM1198" s="14" t="n"/>
      <c r="AN1198" s="12" t="n"/>
      <c r="AO1198" s="13" t="n"/>
      <c r="AP1198" s="14" t="n"/>
      <c r="AQ1198" s="12" t="n"/>
      <c r="AR1198" s="13" t="n"/>
      <c r="AS1198" s="14" t="n"/>
      <c r="AT1198" s="12" t="n"/>
      <c r="AU1198" s="13" t="n"/>
      <c r="AV1198" s="14" t="n"/>
      <c r="AW1198" s="12" t="n"/>
      <c r="AX1198" s="13" t="n"/>
      <c r="AY1198" s="14" t="n"/>
      <c r="AZ1198" s="12" t="n"/>
      <c r="BA1198" s="13" t="n"/>
      <c r="BB1198" s="14" t="n"/>
      <c r="BC1198" s="11">
        <f>IF(O1198="","",IF(J1198="GST 10%",ROUND(O1198*set_GSTRate,2),0))</f>
        <v/>
      </c>
      <c r="BD1198" s="11">
        <f>IF(O1198="","",O1198+BC1198)</f>
        <v/>
      </c>
      <c r="BE1198" s="15">
        <f>IF(O1198="","",COUNTA(S1198,V1198,Y1198,AB1198,AE1198,AH1198,AK1198,AN1198,AQ1198,AT1198,AW1198,AZ1198))</f>
        <v/>
      </c>
      <c r="BF1198" s="16">
        <f>IF(COUNT(T1198,W1198,Z1198,AC1198,AF1198,AI1198,AL1198,AO1198,AR1198,AU1198,AX1198,BA1198)=0,"",MAX(T1198,W1198,Z1198,AC1198,AF1198,AI1198,AL1198,AO1198,AR1198,AU1198,AX1198,BA1198))</f>
        <v/>
      </c>
      <c r="BG1198" s="10">
        <f>MID(IF(S1198="","",", "&amp;S1198)&amp;IF(V1198="","",", "&amp;V1198)&amp;IF(Y1198="","",", "&amp;Y1198)&amp;IF(AB1198="","",", "&amp;AB1198)&amp;IF(AE1198="","",", "&amp;AE1198)&amp;IF(AH1198="","",", "&amp;AH1198)&amp;IF(AK1198="","",", "&amp;AK1198)&amp;IF(AN1198="","",", "&amp;AN1198)&amp;IF(AQ1198="","",", "&amp;AQ1198)&amp;IF(AT1198="","",", "&amp;AT1198)&amp;IF(AW1198="","",", "&amp;AW1198)&amp;IF(AZ1198="","",", "&amp;AZ1198),3,500)</f>
        <v/>
      </c>
      <c r="BH1198" s="12" t="n"/>
      <c r="BI1198" s="15">
        <f>IFERROR(MATCH($A1198,IF($B1198="Onsite",tbl_Onsite[Row ID],IF($B1198="Production",tbl_Production[Row ID],tbl_Consulting[Row ID])),0),"")</f>
        <v/>
      </c>
    </row>
    <row r="1199">
      <c r="A1199" s="10" t="inlineStr">
        <is>
          <t>CON-0193</t>
        </is>
      </c>
      <c r="B1199" s="10" t="inlineStr">
        <is>
          <t>Consulting</t>
        </is>
      </c>
      <c r="C1199" s="10">
        <f>IF($BI1199="","",IF($B1199="Onsite",INDEX(tbl_Onsite[Job Number],$BI1199),IF($B1199="Production",INDEX(tbl_Production[Job Number],$BI1199),INDEX(tbl_Consulting[Job Number],$BI1199)))&amp;"")</f>
        <v/>
      </c>
      <c r="D1199" s="10">
        <f>IF($BI1199="","",IF($B1199="Onsite",INDEX(tbl_Onsite[Client],$BI1199),IF($B1199="Production",INDEX(tbl_Production[Client],$BI1199),INDEX(tbl_Consulting[Client],$BI1199)))&amp;"")</f>
        <v/>
      </c>
      <c r="E1199" s="10">
        <f>IF($C1199="","",IF(COUNTIF(lst_Jobs,$C1199)&gt;0,"OK","CHECK"))</f>
        <v/>
      </c>
      <c r="F1199" s="10">
        <f>IF($C1199="","",IFERROR(INDEX(lst_JobName,MATCH($C1199,lst_Jobs,0)),""))</f>
        <v/>
      </c>
      <c r="G1199" s="10">
        <f>IF($BI1199="","",IF($B1199="Onsite",INDEX(tbl_Onsite[Job Description],$BI1199),IF($B1199="Production",INDEX(tbl_Production[Job Description],$BI1199),INDEX(tbl_Consulting[Job Description],$BI1199)))&amp;"")</f>
        <v/>
      </c>
      <c r="H1199" s="10">
        <f>IF($BI1199="","",IF($B1199="Onsite",INDEX(tbl_Onsite[Cost Centre],$BI1199),IF($B1199="Production",INDEX(tbl_Production[Cost Centre],$BI1199),INDEX(tbl_Consulting[Cost Centre],$BI1199)))&amp;"")</f>
        <v/>
      </c>
      <c r="I1199" s="10">
        <f>IF($BI1199="","",IF($B1199="Onsite",INDEX(tbl_Onsite[Invoice Type],$BI1199),IF($B1199="Production",INDEX(tbl_Production[Invoice Type],$BI1199),INDEX(tbl_Consulting[Invoice Type],$BI1199)))&amp;"")</f>
        <v/>
      </c>
      <c r="J1199" s="10">
        <f>IF($BI1199="","",IF($B1199="Onsite",INDEX(tbl_Onsite[Tax Code],$BI1199),IF($B1199="Production",INDEX(tbl_Production[Tax Code],$BI1199),INDEX(tbl_Consulting[Tax Code],$BI1199)))&amp;"")</f>
        <v/>
      </c>
      <c r="K1199" s="10">
        <f>IF(H1199="","",IFERROR(INDEX(lst_CCtoGL,MATCH(H1199,lst_CCforGL,0)),""))</f>
        <v/>
      </c>
      <c r="L1199" s="10">
        <f>IF($BI1199="","",IF($B1199="Onsite",INDEX(tbl_Onsite[PO / Reference],$BI1199),IF($B1199="Production",INDEX(tbl_Production[Current RMS No],$BI1199),INDEX(tbl_Consulting[Qwilr Quote],$BI1199)))&amp;"")</f>
        <v/>
      </c>
      <c r="M1199" s="10">
        <f>IF($BI1199="","",IF($B1199="Onsite",INDEX(tbl_Onsite[Notes],$BI1199),IF($B1199="Production",INDEX(tbl_Production[Notes],$BI1199),INDEX(tbl_Consulting[Notes],$BI1199)))&amp;"")</f>
        <v/>
      </c>
      <c r="N1199" s="11">
        <f>IF($BI1199="","",IF(IF($B1199="Onsite",INDEX(tbl_Onsite[Expected Revenue Ex GST],$BI1199),IF($B1199="Production",INDEX(tbl_Production[Expected Revenue Ex GST],$BI1199),INDEX(tbl_Consulting[Expected Revenue Ex GST],$BI1199)))="","",IF($B1199="Onsite",INDEX(tbl_Onsite[Expected Revenue Ex GST],$BI1199),IF($B1199="Production",INDEX(tbl_Production[Expected Revenue Ex GST],$BI1199),INDEX(tbl_Consulting[Expected Revenue Ex GST],$BI1199)))))</f>
        <v/>
      </c>
      <c r="O1199" s="11">
        <f>IF(AND($C1199="",NOT(COUNTA($S1199:$BB1199)&gt;0)),"",SUM(U1199,X1199,AA1199,AD1199,AG1199,AJ1199,AM1199,AP1199,AS1199,AV1199,AY1199,BB1199))</f>
        <v/>
      </c>
      <c r="P1199" s="11">
        <f>IF(O1199="","",N(N1199)-O1199)</f>
        <v/>
      </c>
      <c r="Q1199" s="10">
        <f>IF(O1199="","",IF($C1199="","Invoice on empty job row",IF(N1199="",IF(ROUND(O1199,2)=0,"No dept value","Invoiced - no dept value"),IF(ROUND(O1199,2)=0,"Not invoiced - to invoice",IF(ROUND(P1199,2)=0,"Agrees",IF(P1199&gt;0,"Dept higher - to invoice","Xero higher - check dept"))))))</f>
        <v/>
      </c>
      <c r="R1199" s="10">
        <f>IF(AND($C1199="",NOT(COUNTA($S1199:$BB1199)&gt;0),$BI1199&lt;&gt;""),"",MID(IF($BI1199="","; Row ID not found on the department sheet - a row was deleted","")&amp;IF(AND($C1199="",COUNTA($S1199:$BB1199)&gt;0),"; Invoice entered but the department row has no job number","")&amp;IF(E1199="CHECK","; Job number not in the Xero job list","")&amp;IF(AND($C1199&lt;&gt;"",COUNTIF($C$7:$C$1506,$C1199)&gt;1),"; Job number on more than one row","")&amp;IF(AND($C1199&lt;&gt;"",H1199=""),"; Dept has not set a cost centre","")&amp;IF(AND($C1199&lt;&gt;"",J1199=""),"; Dept has not set a tax code","")&amp;IF(AND($C1199&lt;&gt;"",N1199=""),"; Dept has not entered an expected value","")&amp;IF((IF(OR(COUNTA(S1199:U1199)=0,AND(COUNTA(S1199:U1199)=3,ISNUMBER(U1199))),0,1)+IF(OR(COUNTA(V1199:X1199)=0,AND(COUNTA(V1199:X1199)=3,ISNUMBER(X1199))),0,1)+IF(OR(COUNTA(Y1199:AA1199)=0,AND(COUNTA(Y1199:AA1199)=3,ISNUMBER(AA1199))),0,1)+IF(OR(COUNTA(AB1199:AD1199)=0,AND(COUNTA(AB1199:AD1199)=3,ISNUMBER(AD1199))),0,1)+IF(OR(COUNTA(AE1199:AG1199)=0,AND(COUNTA(AE1199:AG1199)=3,ISNUMBER(AG1199))),0,1)+IF(OR(COUNTA(AH1199:AJ1199)=0,AND(COUNTA(AH1199:AJ1199)=3,ISNUMBER(AJ1199))),0,1)+IF(OR(COUNTA(AK1199:AM1199)=0,AND(COUNTA(AK1199:AM1199)=3,ISNUMBER(AM1199))),0,1)+IF(OR(COUNTA(AN1199:AP1199)=0,AND(COUNTA(AN1199:AP1199)=3,ISNUMBER(AP1199))),0,1)+IF(OR(COUNTA(AQ1199:AS1199)=0,AND(COUNTA(AQ1199:AS1199)=3,ISNUMBER(AS1199))),0,1)+IF(OR(COUNTA(AT1199:AV1199)=0,AND(COUNTA(AT1199:AV1199)=3,ISNUMBER(AV1199))),0,1)+IF(OR(COUNTA(AW1199:AY1199)=0,AND(COUNTA(AW1199:AY1199)=3,ISNUMBER(AY1199))),0,1)+IF(OR(COUNTA(AZ1199:BB1199)=0,AND(COUNTA(AZ1199:BB1199)=3,ISNUMBER(BB1199))),0,1))&gt;0,"; An invoice is incomplete (needs No, Date and a number in Ex GST)","")&amp;IF((IF(T1199="",0,IFERROR(--(EOMONTH(T1199,0)&lt;&gt;S$5),1))+IF(W1199="",0,IFERROR(--(EOMONTH(W1199,0)&lt;&gt;V$5),1))+IF(Z1199="",0,IFERROR(--(EOMONTH(Z1199,0)&lt;&gt;Y$5),1))+IF(AC1199="",0,IFERROR(--(EOMONTH(AC1199,0)&lt;&gt;AB$5),1))+IF(AF1199="",0,IFERROR(--(EOMONTH(AF1199,0)&lt;&gt;AE$5),1))+IF(AI1199="",0,IFERROR(--(EOMONTH(AI1199,0)&lt;&gt;AH$5),1))+IF(AL1199="",0,IFERROR(--(EOMONTH(AL1199,0)&lt;&gt;AK$5),1))+IF(AO1199="",0,IFERROR(--(EOMONTH(AO1199,0)&lt;&gt;AN$5),1))+IF(AR1199="",0,IFERROR(--(EOMONTH(AR1199,0)&lt;&gt;AQ$5),1))+IF(AU1199="",0,IFERROR(--(EOMONTH(AU1199,0)&lt;&gt;AT$5),1))+IF(AX1199="",0,IFERROR(--(EOMONTH(AX1199,0)&lt;&gt;AW$5),1))+IF(BA1199="",0,IFERROR(--(EOMONTH(BA1199,0)&lt;&gt;AZ$5),1)))&gt;0,"; An invoice date is not in the month it is typed under",""),3,500))</f>
        <v/>
      </c>
      <c r="S1199" s="12" t="n"/>
      <c r="T1199" s="13" t="n"/>
      <c r="U1199" s="14" t="n"/>
      <c r="V1199" s="12" t="n"/>
      <c r="W1199" s="13" t="n"/>
      <c r="X1199" s="14" t="n"/>
      <c r="Y1199" s="12" t="n"/>
      <c r="Z1199" s="13" t="n"/>
      <c r="AA1199" s="14" t="n"/>
      <c r="AB1199" s="12" t="n"/>
      <c r="AC1199" s="13" t="n"/>
      <c r="AD1199" s="14" t="n"/>
      <c r="AE1199" s="12" t="n"/>
      <c r="AF1199" s="13" t="n"/>
      <c r="AG1199" s="14" t="n"/>
      <c r="AH1199" s="12" t="n"/>
      <c r="AI1199" s="13" t="n"/>
      <c r="AJ1199" s="14" t="n"/>
      <c r="AK1199" s="12" t="n"/>
      <c r="AL1199" s="13" t="n"/>
      <c r="AM1199" s="14" t="n"/>
      <c r="AN1199" s="12" t="n"/>
      <c r="AO1199" s="13" t="n"/>
      <c r="AP1199" s="14" t="n"/>
      <c r="AQ1199" s="12" t="n"/>
      <c r="AR1199" s="13" t="n"/>
      <c r="AS1199" s="14" t="n"/>
      <c r="AT1199" s="12" t="n"/>
      <c r="AU1199" s="13" t="n"/>
      <c r="AV1199" s="14" t="n"/>
      <c r="AW1199" s="12" t="n"/>
      <c r="AX1199" s="13" t="n"/>
      <c r="AY1199" s="14" t="n"/>
      <c r="AZ1199" s="12" t="n"/>
      <c r="BA1199" s="13" t="n"/>
      <c r="BB1199" s="14" t="n"/>
      <c r="BC1199" s="11">
        <f>IF(O1199="","",IF(J1199="GST 10%",ROUND(O1199*set_GSTRate,2),0))</f>
        <v/>
      </c>
      <c r="BD1199" s="11">
        <f>IF(O1199="","",O1199+BC1199)</f>
        <v/>
      </c>
      <c r="BE1199" s="15">
        <f>IF(O1199="","",COUNTA(S1199,V1199,Y1199,AB1199,AE1199,AH1199,AK1199,AN1199,AQ1199,AT1199,AW1199,AZ1199))</f>
        <v/>
      </c>
      <c r="BF1199" s="16">
        <f>IF(COUNT(T1199,W1199,Z1199,AC1199,AF1199,AI1199,AL1199,AO1199,AR1199,AU1199,AX1199,BA1199)=0,"",MAX(T1199,W1199,Z1199,AC1199,AF1199,AI1199,AL1199,AO1199,AR1199,AU1199,AX1199,BA1199))</f>
        <v/>
      </c>
      <c r="BG1199" s="10">
        <f>MID(IF(S1199="","",", "&amp;S1199)&amp;IF(V1199="","",", "&amp;V1199)&amp;IF(Y1199="","",", "&amp;Y1199)&amp;IF(AB1199="","",", "&amp;AB1199)&amp;IF(AE1199="","",", "&amp;AE1199)&amp;IF(AH1199="","",", "&amp;AH1199)&amp;IF(AK1199="","",", "&amp;AK1199)&amp;IF(AN1199="","",", "&amp;AN1199)&amp;IF(AQ1199="","",", "&amp;AQ1199)&amp;IF(AT1199="","",", "&amp;AT1199)&amp;IF(AW1199="","",", "&amp;AW1199)&amp;IF(AZ1199="","",", "&amp;AZ1199),3,500)</f>
        <v/>
      </c>
      <c r="BH1199" s="12" t="n"/>
      <c r="BI1199" s="15">
        <f>IFERROR(MATCH($A1199,IF($B1199="Onsite",tbl_Onsite[Row ID],IF($B1199="Production",tbl_Production[Row ID],tbl_Consulting[Row ID])),0),"")</f>
        <v/>
      </c>
    </row>
    <row r="1200">
      <c r="A1200" s="10" t="inlineStr">
        <is>
          <t>CON-0194</t>
        </is>
      </c>
      <c r="B1200" s="10" t="inlineStr">
        <is>
          <t>Consulting</t>
        </is>
      </c>
      <c r="C1200" s="10">
        <f>IF($BI1200="","",IF($B1200="Onsite",INDEX(tbl_Onsite[Job Number],$BI1200),IF($B1200="Production",INDEX(tbl_Production[Job Number],$BI1200),INDEX(tbl_Consulting[Job Number],$BI1200)))&amp;"")</f>
        <v/>
      </c>
      <c r="D1200" s="10">
        <f>IF($BI1200="","",IF($B1200="Onsite",INDEX(tbl_Onsite[Client],$BI1200),IF($B1200="Production",INDEX(tbl_Production[Client],$BI1200),INDEX(tbl_Consulting[Client],$BI1200)))&amp;"")</f>
        <v/>
      </c>
      <c r="E1200" s="10">
        <f>IF($C1200="","",IF(COUNTIF(lst_Jobs,$C1200)&gt;0,"OK","CHECK"))</f>
        <v/>
      </c>
      <c r="F1200" s="10">
        <f>IF($C1200="","",IFERROR(INDEX(lst_JobName,MATCH($C1200,lst_Jobs,0)),""))</f>
        <v/>
      </c>
      <c r="G1200" s="10">
        <f>IF($BI1200="","",IF($B1200="Onsite",INDEX(tbl_Onsite[Job Description],$BI1200),IF($B1200="Production",INDEX(tbl_Production[Job Description],$BI1200),INDEX(tbl_Consulting[Job Description],$BI1200)))&amp;"")</f>
        <v/>
      </c>
      <c r="H1200" s="10">
        <f>IF($BI1200="","",IF($B1200="Onsite",INDEX(tbl_Onsite[Cost Centre],$BI1200),IF($B1200="Production",INDEX(tbl_Production[Cost Centre],$BI1200),INDEX(tbl_Consulting[Cost Centre],$BI1200)))&amp;"")</f>
        <v/>
      </c>
      <c r="I1200" s="10">
        <f>IF($BI1200="","",IF($B1200="Onsite",INDEX(tbl_Onsite[Invoice Type],$BI1200),IF($B1200="Production",INDEX(tbl_Production[Invoice Type],$BI1200),INDEX(tbl_Consulting[Invoice Type],$BI1200)))&amp;"")</f>
        <v/>
      </c>
      <c r="J1200" s="10">
        <f>IF($BI1200="","",IF($B1200="Onsite",INDEX(tbl_Onsite[Tax Code],$BI1200),IF($B1200="Production",INDEX(tbl_Production[Tax Code],$BI1200),INDEX(tbl_Consulting[Tax Code],$BI1200)))&amp;"")</f>
        <v/>
      </c>
      <c r="K1200" s="10">
        <f>IF(H1200="","",IFERROR(INDEX(lst_CCtoGL,MATCH(H1200,lst_CCforGL,0)),""))</f>
        <v/>
      </c>
      <c r="L1200" s="10">
        <f>IF($BI1200="","",IF($B1200="Onsite",INDEX(tbl_Onsite[PO / Reference],$BI1200),IF($B1200="Production",INDEX(tbl_Production[Current RMS No],$BI1200),INDEX(tbl_Consulting[Qwilr Quote],$BI1200)))&amp;"")</f>
        <v/>
      </c>
      <c r="M1200" s="10">
        <f>IF($BI1200="","",IF($B1200="Onsite",INDEX(tbl_Onsite[Notes],$BI1200),IF($B1200="Production",INDEX(tbl_Production[Notes],$BI1200),INDEX(tbl_Consulting[Notes],$BI1200)))&amp;"")</f>
        <v/>
      </c>
      <c r="N1200" s="11">
        <f>IF($BI1200="","",IF(IF($B1200="Onsite",INDEX(tbl_Onsite[Expected Revenue Ex GST],$BI1200),IF($B1200="Production",INDEX(tbl_Production[Expected Revenue Ex GST],$BI1200),INDEX(tbl_Consulting[Expected Revenue Ex GST],$BI1200)))="","",IF($B1200="Onsite",INDEX(tbl_Onsite[Expected Revenue Ex GST],$BI1200),IF($B1200="Production",INDEX(tbl_Production[Expected Revenue Ex GST],$BI1200),INDEX(tbl_Consulting[Expected Revenue Ex GST],$BI1200)))))</f>
        <v/>
      </c>
      <c r="O1200" s="11">
        <f>IF(AND($C1200="",NOT(COUNTA($S1200:$BB1200)&gt;0)),"",SUM(U1200,X1200,AA1200,AD1200,AG1200,AJ1200,AM1200,AP1200,AS1200,AV1200,AY1200,BB1200))</f>
        <v/>
      </c>
      <c r="P1200" s="11">
        <f>IF(O1200="","",N(N1200)-O1200)</f>
        <v/>
      </c>
      <c r="Q1200" s="10">
        <f>IF(O1200="","",IF($C1200="","Invoice on empty job row",IF(N1200="",IF(ROUND(O1200,2)=0,"No dept value","Invoiced - no dept value"),IF(ROUND(O1200,2)=0,"Not invoiced - to invoice",IF(ROUND(P1200,2)=0,"Agrees",IF(P1200&gt;0,"Dept higher - to invoice","Xero higher - check dept"))))))</f>
        <v/>
      </c>
      <c r="R1200" s="10">
        <f>IF(AND($C1200="",NOT(COUNTA($S1200:$BB1200)&gt;0),$BI1200&lt;&gt;""),"",MID(IF($BI1200="","; Row ID not found on the department sheet - a row was deleted","")&amp;IF(AND($C1200="",COUNTA($S1200:$BB1200)&gt;0),"; Invoice entered but the department row has no job number","")&amp;IF(E1200="CHECK","; Job number not in the Xero job list","")&amp;IF(AND($C1200&lt;&gt;"",COUNTIF($C$7:$C$1506,$C1200)&gt;1),"; Job number on more than one row","")&amp;IF(AND($C1200&lt;&gt;"",H1200=""),"; Dept has not set a cost centre","")&amp;IF(AND($C1200&lt;&gt;"",J1200=""),"; Dept has not set a tax code","")&amp;IF(AND($C1200&lt;&gt;"",N1200=""),"; Dept has not entered an expected value","")&amp;IF((IF(OR(COUNTA(S1200:U1200)=0,AND(COUNTA(S1200:U1200)=3,ISNUMBER(U1200))),0,1)+IF(OR(COUNTA(V1200:X1200)=0,AND(COUNTA(V1200:X1200)=3,ISNUMBER(X1200))),0,1)+IF(OR(COUNTA(Y1200:AA1200)=0,AND(COUNTA(Y1200:AA1200)=3,ISNUMBER(AA1200))),0,1)+IF(OR(COUNTA(AB1200:AD1200)=0,AND(COUNTA(AB1200:AD1200)=3,ISNUMBER(AD1200))),0,1)+IF(OR(COUNTA(AE1200:AG1200)=0,AND(COUNTA(AE1200:AG1200)=3,ISNUMBER(AG1200))),0,1)+IF(OR(COUNTA(AH1200:AJ1200)=0,AND(COUNTA(AH1200:AJ1200)=3,ISNUMBER(AJ1200))),0,1)+IF(OR(COUNTA(AK1200:AM1200)=0,AND(COUNTA(AK1200:AM1200)=3,ISNUMBER(AM1200))),0,1)+IF(OR(COUNTA(AN1200:AP1200)=0,AND(COUNTA(AN1200:AP1200)=3,ISNUMBER(AP1200))),0,1)+IF(OR(COUNTA(AQ1200:AS1200)=0,AND(COUNTA(AQ1200:AS1200)=3,ISNUMBER(AS1200))),0,1)+IF(OR(COUNTA(AT1200:AV1200)=0,AND(COUNTA(AT1200:AV1200)=3,ISNUMBER(AV1200))),0,1)+IF(OR(COUNTA(AW1200:AY1200)=0,AND(COUNTA(AW1200:AY1200)=3,ISNUMBER(AY1200))),0,1)+IF(OR(COUNTA(AZ1200:BB1200)=0,AND(COUNTA(AZ1200:BB1200)=3,ISNUMBER(BB1200))),0,1))&gt;0,"; An invoice is incomplete (needs No, Date and a number in Ex GST)","")&amp;IF((IF(T1200="",0,IFERROR(--(EOMONTH(T1200,0)&lt;&gt;S$5),1))+IF(W1200="",0,IFERROR(--(EOMONTH(W1200,0)&lt;&gt;V$5),1))+IF(Z1200="",0,IFERROR(--(EOMONTH(Z1200,0)&lt;&gt;Y$5),1))+IF(AC1200="",0,IFERROR(--(EOMONTH(AC1200,0)&lt;&gt;AB$5),1))+IF(AF1200="",0,IFERROR(--(EOMONTH(AF1200,0)&lt;&gt;AE$5),1))+IF(AI1200="",0,IFERROR(--(EOMONTH(AI1200,0)&lt;&gt;AH$5),1))+IF(AL1200="",0,IFERROR(--(EOMONTH(AL1200,0)&lt;&gt;AK$5),1))+IF(AO1200="",0,IFERROR(--(EOMONTH(AO1200,0)&lt;&gt;AN$5),1))+IF(AR1200="",0,IFERROR(--(EOMONTH(AR1200,0)&lt;&gt;AQ$5),1))+IF(AU1200="",0,IFERROR(--(EOMONTH(AU1200,0)&lt;&gt;AT$5),1))+IF(AX1200="",0,IFERROR(--(EOMONTH(AX1200,0)&lt;&gt;AW$5),1))+IF(BA1200="",0,IFERROR(--(EOMONTH(BA1200,0)&lt;&gt;AZ$5),1)))&gt;0,"; An invoice date is not in the month it is typed under",""),3,500))</f>
        <v/>
      </c>
      <c r="S1200" s="12" t="n"/>
      <c r="T1200" s="13" t="n"/>
      <c r="U1200" s="14" t="n"/>
      <c r="V1200" s="12" t="n"/>
      <c r="W1200" s="13" t="n"/>
      <c r="X1200" s="14" t="n"/>
      <c r="Y1200" s="12" t="n"/>
      <c r="Z1200" s="13" t="n"/>
      <c r="AA1200" s="14" t="n"/>
      <c r="AB1200" s="12" t="n"/>
      <c r="AC1200" s="13" t="n"/>
      <c r="AD1200" s="14" t="n"/>
      <c r="AE1200" s="12" t="n"/>
      <c r="AF1200" s="13" t="n"/>
      <c r="AG1200" s="14" t="n"/>
      <c r="AH1200" s="12" t="n"/>
      <c r="AI1200" s="13" t="n"/>
      <c r="AJ1200" s="14" t="n"/>
      <c r="AK1200" s="12" t="n"/>
      <c r="AL1200" s="13" t="n"/>
      <c r="AM1200" s="14" t="n"/>
      <c r="AN1200" s="12" t="n"/>
      <c r="AO1200" s="13" t="n"/>
      <c r="AP1200" s="14" t="n"/>
      <c r="AQ1200" s="12" t="n"/>
      <c r="AR1200" s="13" t="n"/>
      <c r="AS1200" s="14" t="n"/>
      <c r="AT1200" s="12" t="n"/>
      <c r="AU1200" s="13" t="n"/>
      <c r="AV1200" s="14" t="n"/>
      <c r="AW1200" s="12" t="n"/>
      <c r="AX1200" s="13" t="n"/>
      <c r="AY1200" s="14" t="n"/>
      <c r="AZ1200" s="12" t="n"/>
      <c r="BA1200" s="13" t="n"/>
      <c r="BB1200" s="14" t="n"/>
      <c r="BC1200" s="11">
        <f>IF(O1200="","",IF(J1200="GST 10%",ROUND(O1200*set_GSTRate,2),0))</f>
        <v/>
      </c>
      <c r="BD1200" s="11">
        <f>IF(O1200="","",O1200+BC1200)</f>
        <v/>
      </c>
      <c r="BE1200" s="15">
        <f>IF(O1200="","",COUNTA(S1200,V1200,Y1200,AB1200,AE1200,AH1200,AK1200,AN1200,AQ1200,AT1200,AW1200,AZ1200))</f>
        <v/>
      </c>
      <c r="BF1200" s="16">
        <f>IF(COUNT(T1200,W1200,Z1200,AC1200,AF1200,AI1200,AL1200,AO1200,AR1200,AU1200,AX1200,BA1200)=0,"",MAX(T1200,W1200,Z1200,AC1200,AF1200,AI1200,AL1200,AO1200,AR1200,AU1200,AX1200,BA1200))</f>
        <v/>
      </c>
      <c r="BG1200" s="10">
        <f>MID(IF(S1200="","",", "&amp;S1200)&amp;IF(V1200="","",", "&amp;V1200)&amp;IF(Y1200="","",", "&amp;Y1200)&amp;IF(AB1200="","",", "&amp;AB1200)&amp;IF(AE1200="","",", "&amp;AE1200)&amp;IF(AH1200="","",", "&amp;AH1200)&amp;IF(AK1200="","",", "&amp;AK1200)&amp;IF(AN1200="","",", "&amp;AN1200)&amp;IF(AQ1200="","",", "&amp;AQ1200)&amp;IF(AT1200="","",", "&amp;AT1200)&amp;IF(AW1200="","",", "&amp;AW1200)&amp;IF(AZ1200="","",", "&amp;AZ1200),3,500)</f>
        <v/>
      </c>
      <c r="BH1200" s="12" t="n"/>
      <c r="BI1200" s="15">
        <f>IFERROR(MATCH($A1200,IF($B1200="Onsite",tbl_Onsite[Row ID],IF($B1200="Production",tbl_Production[Row ID],tbl_Consulting[Row ID])),0),"")</f>
        <v/>
      </c>
    </row>
    <row r="1201">
      <c r="A1201" s="10" t="inlineStr">
        <is>
          <t>CON-0195</t>
        </is>
      </c>
      <c r="B1201" s="10" t="inlineStr">
        <is>
          <t>Consulting</t>
        </is>
      </c>
      <c r="C1201" s="10">
        <f>IF($BI1201="","",IF($B1201="Onsite",INDEX(tbl_Onsite[Job Number],$BI1201),IF($B1201="Production",INDEX(tbl_Production[Job Number],$BI1201),INDEX(tbl_Consulting[Job Number],$BI1201)))&amp;"")</f>
        <v/>
      </c>
      <c r="D1201" s="10">
        <f>IF($BI1201="","",IF($B1201="Onsite",INDEX(tbl_Onsite[Client],$BI1201),IF($B1201="Production",INDEX(tbl_Production[Client],$BI1201),INDEX(tbl_Consulting[Client],$BI1201)))&amp;"")</f>
        <v/>
      </c>
      <c r="E1201" s="10">
        <f>IF($C1201="","",IF(COUNTIF(lst_Jobs,$C1201)&gt;0,"OK","CHECK"))</f>
        <v/>
      </c>
      <c r="F1201" s="10">
        <f>IF($C1201="","",IFERROR(INDEX(lst_JobName,MATCH($C1201,lst_Jobs,0)),""))</f>
        <v/>
      </c>
      <c r="G1201" s="10">
        <f>IF($BI1201="","",IF($B1201="Onsite",INDEX(tbl_Onsite[Job Description],$BI1201),IF($B1201="Production",INDEX(tbl_Production[Job Description],$BI1201),INDEX(tbl_Consulting[Job Description],$BI1201)))&amp;"")</f>
        <v/>
      </c>
      <c r="H1201" s="10">
        <f>IF($BI1201="","",IF($B1201="Onsite",INDEX(tbl_Onsite[Cost Centre],$BI1201),IF($B1201="Production",INDEX(tbl_Production[Cost Centre],$BI1201),INDEX(tbl_Consulting[Cost Centre],$BI1201)))&amp;"")</f>
        <v/>
      </c>
      <c r="I1201" s="10">
        <f>IF($BI1201="","",IF($B1201="Onsite",INDEX(tbl_Onsite[Invoice Type],$BI1201),IF($B1201="Production",INDEX(tbl_Production[Invoice Type],$BI1201),INDEX(tbl_Consulting[Invoice Type],$BI1201)))&amp;"")</f>
        <v/>
      </c>
      <c r="J1201" s="10">
        <f>IF($BI1201="","",IF($B1201="Onsite",INDEX(tbl_Onsite[Tax Code],$BI1201),IF($B1201="Production",INDEX(tbl_Production[Tax Code],$BI1201),INDEX(tbl_Consulting[Tax Code],$BI1201)))&amp;"")</f>
        <v/>
      </c>
      <c r="K1201" s="10">
        <f>IF(H1201="","",IFERROR(INDEX(lst_CCtoGL,MATCH(H1201,lst_CCforGL,0)),""))</f>
        <v/>
      </c>
      <c r="L1201" s="10">
        <f>IF($BI1201="","",IF($B1201="Onsite",INDEX(tbl_Onsite[PO / Reference],$BI1201),IF($B1201="Production",INDEX(tbl_Production[Current RMS No],$BI1201),INDEX(tbl_Consulting[Qwilr Quote],$BI1201)))&amp;"")</f>
        <v/>
      </c>
      <c r="M1201" s="10">
        <f>IF($BI1201="","",IF($B1201="Onsite",INDEX(tbl_Onsite[Notes],$BI1201),IF($B1201="Production",INDEX(tbl_Production[Notes],$BI1201),INDEX(tbl_Consulting[Notes],$BI1201)))&amp;"")</f>
        <v/>
      </c>
      <c r="N1201" s="11">
        <f>IF($BI1201="","",IF(IF($B1201="Onsite",INDEX(tbl_Onsite[Expected Revenue Ex GST],$BI1201),IF($B1201="Production",INDEX(tbl_Production[Expected Revenue Ex GST],$BI1201),INDEX(tbl_Consulting[Expected Revenue Ex GST],$BI1201)))="","",IF($B1201="Onsite",INDEX(tbl_Onsite[Expected Revenue Ex GST],$BI1201),IF($B1201="Production",INDEX(tbl_Production[Expected Revenue Ex GST],$BI1201),INDEX(tbl_Consulting[Expected Revenue Ex GST],$BI1201)))))</f>
        <v/>
      </c>
      <c r="O1201" s="11">
        <f>IF(AND($C1201="",NOT(COUNTA($S1201:$BB1201)&gt;0)),"",SUM(U1201,X1201,AA1201,AD1201,AG1201,AJ1201,AM1201,AP1201,AS1201,AV1201,AY1201,BB1201))</f>
        <v/>
      </c>
      <c r="P1201" s="11">
        <f>IF(O1201="","",N(N1201)-O1201)</f>
        <v/>
      </c>
      <c r="Q1201" s="10">
        <f>IF(O1201="","",IF($C1201="","Invoice on empty job row",IF(N1201="",IF(ROUND(O1201,2)=0,"No dept value","Invoiced - no dept value"),IF(ROUND(O1201,2)=0,"Not invoiced - to invoice",IF(ROUND(P1201,2)=0,"Agrees",IF(P1201&gt;0,"Dept higher - to invoice","Xero higher - check dept"))))))</f>
        <v/>
      </c>
      <c r="R1201" s="10">
        <f>IF(AND($C1201="",NOT(COUNTA($S1201:$BB1201)&gt;0),$BI1201&lt;&gt;""),"",MID(IF($BI1201="","; Row ID not found on the department sheet - a row was deleted","")&amp;IF(AND($C1201="",COUNTA($S1201:$BB1201)&gt;0),"; Invoice entered but the department row has no job number","")&amp;IF(E1201="CHECK","; Job number not in the Xero job list","")&amp;IF(AND($C1201&lt;&gt;"",COUNTIF($C$7:$C$1506,$C1201)&gt;1),"; Job number on more than one row","")&amp;IF(AND($C1201&lt;&gt;"",H1201=""),"; Dept has not set a cost centre","")&amp;IF(AND($C1201&lt;&gt;"",J1201=""),"; Dept has not set a tax code","")&amp;IF(AND($C1201&lt;&gt;"",N1201=""),"; Dept has not entered an expected value","")&amp;IF((IF(OR(COUNTA(S1201:U1201)=0,AND(COUNTA(S1201:U1201)=3,ISNUMBER(U1201))),0,1)+IF(OR(COUNTA(V1201:X1201)=0,AND(COUNTA(V1201:X1201)=3,ISNUMBER(X1201))),0,1)+IF(OR(COUNTA(Y1201:AA1201)=0,AND(COUNTA(Y1201:AA1201)=3,ISNUMBER(AA1201))),0,1)+IF(OR(COUNTA(AB1201:AD1201)=0,AND(COUNTA(AB1201:AD1201)=3,ISNUMBER(AD1201))),0,1)+IF(OR(COUNTA(AE1201:AG1201)=0,AND(COUNTA(AE1201:AG1201)=3,ISNUMBER(AG1201))),0,1)+IF(OR(COUNTA(AH1201:AJ1201)=0,AND(COUNTA(AH1201:AJ1201)=3,ISNUMBER(AJ1201))),0,1)+IF(OR(COUNTA(AK1201:AM1201)=0,AND(COUNTA(AK1201:AM1201)=3,ISNUMBER(AM1201))),0,1)+IF(OR(COUNTA(AN1201:AP1201)=0,AND(COUNTA(AN1201:AP1201)=3,ISNUMBER(AP1201))),0,1)+IF(OR(COUNTA(AQ1201:AS1201)=0,AND(COUNTA(AQ1201:AS1201)=3,ISNUMBER(AS1201))),0,1)+IF(OR(COUNTA(AT1201:AV1201)=0,AND(COUNTA(AT1201:AV1201)=3,ISNUMBER(AV1201))),0,1)+IF(OR(COUNTA(AW1201:AY1201)=0,AND(COUNTA(AW1201:AY1201)=3,ISNUMBER(AY1201))),0,1)+IF(OR(COUNTA(AZ1201:BB1201)=0,AND(COUNTA(AZ1201:BB1201)=3,ISNUMBER(BB1201))),0,1))&gt;0,"; An invoice is incomplete (needs No, Date and a number in Ex GST)","")&amp;IF((IF(T1201="",0,IFERROR(--(EOMONTH(T1201,0)&lt;&gt;S$5),1))+IF(W1201="",0,IFERROR(--(EOMONTH(W1201,0)&lt;&gt;V$5),1))+IF(Z1201="",0,IFERROR(--(EOMONTH(Z1201,0)&lt;&gt;Y$5),1))+IF(AC1201="",0,IFERROR(--(EOMONTH(AC1201,0)&lt;&gt;AB$5),1))+IF(AF1201="",0,IFERROR(--(EOMONTH(AF1201,0)&lt;&gt;AE$5),1))+IF(AI1201="",0,IFERROR(--(EOMONTH(AI1201,0)&lt;&gt;AH$5),1))+IF(AL1201="",0,IFERROR(--(EOMONTH(AL1201,0)&lt;&gt;AK$5),1))+IF(AO1201="",0,IFERROR(--(EOMONTH(AO1201,0)&lt;&gt;AN$5),1))+IF(AR1201="",0,IFERROR(--(EOMONTH(AR1201,0)&lt;&gt;AQ$5),1))+IF(AU1201="",0,IFERROR(--(EOMONTH(AU1201,0)&lt;&gt;AT$5),1))+IF(AX1201="",0,IFERROR(--(EOMONTH(AX1201,0)&lt;&gt;AW$5),1))+IF(BA1201="",0,IFERROR(--(EOMONTH(BA1201,0)&lt;&gt;AZ$5),1)))&gt;0,"; An invoice date is not in the month it is typed under",""),3,500))</f>
        <v/>
      </c>
      <c r="S1201" s="12" t="n"/>
      <c r="T1201" s="13" t="n"/>
      <c r="U1201" s="14" t="n"/>
      <c r="V1201" s="12" t="n"/>
      <c r="W1201" s="13" t="n"/>
      <c r="X1201" s="14" t="n"/>
      <c r="Y1201" s="12" t="n"/>
      <c r="Z1201" s="13" t="n"/>
      <c r="AA1201" s="14" t="n"/>
      <c r="AB1201" s="12" t="n"/>
      <c r="AC1201" s="13" t="n"/>
      <c r="AD1201" s="14" t="n"/>
      <c r="AE1201" s="12" t="n"/>
      <c r="AF1201" s="13" t="n"/>
      <c r="AG1201" s="14" t="n"/>
      <c r="AH1201" s="12" t="n"/>
      <c r="AI1201" s="13" t="n"/>
      <c r="AJ1201" s="14" t="n"/>
      <c r="AK1201" s="12" t="n"/>
      <c r="AL1201" s="13" t="n"/>
      <c r="AM1201" s="14" t="n"/>
      <c r="AN1201" s="12" t="n"/>
      <c r="AO1201" s="13" t="n"/>
      <c r="AP1201" s="14" t="n"/>
      <c r="AQ1201" s="12" t="n"/>
      <c r="AR1201" s="13" t="n"/>
      <c r="AS1201" s="14" t="n"/>
      <c r="AT1201" s="12" t="n"/>
      <c r="AU1201" s="13" t="n"/>
      <c r="AV1201" s="14" t="n"/>
      <c r="AW1201" s="12" t="n"/>
      <c r="AX1201" s="13" t="n"/>
      <c r="AY1201" s="14" t="n"/>
      <c r="AZ1201" s="12" t="n"/>
      <c r="BA1201" s="13" t="n"/>
      <c r="BB1201" s="14" t="n"/>
      <c r="BC1201" s="11">
        <f>IF(O1201="","",IF(J1201="GST 10%",ROUND(O1201*set_GSTRate,2),0))</f>
        <v/>
      </c>
      <c r="BD1201" s="11">
        <f>IF(O1201="","",O1201+BC1201)</f>
        <v/>
      </c>
      <c r="BE1201" s="15">
        <f>IF(O1201="","",COUNTA(S1201,V1201,Y1201,AB1201,AE1201,AH1201,AK1201,AN1201,AQ1201,AT1201,AW1201,AZ1201))</f>
        <v/>
      </c>
      <c r="BF1201" s="16">
        <f>IF(COUNT(T1201,W1201,Z1201,AC1201,AF1201,AI1201,AL1201,AO1201,AR1201,AU1201,AX1201,BA1201)=0,"",MAX(T1201,W1201,Z1201,AC1201,AF1201,AI1201,AL1201,AO1201,AR1201,AU1201,AX1201,BA1201))</f>
        <v/>
      </c>
      <c r="BG1201" s="10">
        <f>MID(IF(S1201="","",", "&amp;S1201)&amp;IF(V1201="","",", "&amp;V1201)&amp;IF(Y1201="","",", "&amp;Y1201)&amp;IF(AB1201="","",", "&amp;AB1201)&amp;IF(AE1201="","",", "&amp;AE1201)&amp;IF(AH1201="","",", "&amp;AH1201)&amp;IF(AK1201="","",", "&amp;AK1201)&amp;IF(AN1201="","",", "&amp;AN1201)&amp;IF(AQ1201="","",", "&amp;AQ1201)&amp;IF(AT1201="","",", "&amp;AT1201)&amp;IF(AW1201="","",", "&amp;AW1201)&amp;IF(AZ1201="","",", "&amp;AZ1201),3,500)</f>
        <v/>
      </c>
      <c r="BH1201" s="12" t="n"/>
      <c r="BI1201" s="15">
        <f>IFERROR(MATCH($A1201,IF($B1201="Onsite",tbl_Onsite[Row ID],IF($B1201="Production",tbl_Production[Row ID],tbl_Consulting[Row ID])),0),"")</f>
        <v/>
      </c>
    </row>
    <row r="1202">
      <c r="A1202" s="10" t="inlineStr">
        <is>
          <t>CON-0196</t>
        </is>
      </c>
      <c r="B1202" s="10" t="inlineStr">
        <is>
          <t>Consulting</t>
        </is>
      </c>
      <c r="C1202" s="10">
        <f>IF($BI1202="","",IF($B1202="Onsite",INDEX(tbl_Onsite[Job Number],$BI1202),IF($B1202="Production",INDEX(tbl_Production[Job Number],$BI1202),INDEX(tbl_Consulting[Job Number],$BI1202)))&amp;"")</f>
        <v/>
      </c>
      <c r="D1202" s="10">
        <f>IF($BI1202="","",IF($B1202="Onsite",INDEX(tbl_Onsite[Client],$BI1202),IF($B1202="Production",INDEX(tbl_Production[Client],$BI1202),INDEX(tbl_Consulting[Client],$BI1202)))&amp;"")</f>
        <v/>
      </c>
      <c r="E1202" s="10">
        <f>IF($C1202="","",IF(COUNTIF(lst_Jobs,$C1202)&gt;0,"OK","CHECK"))</f>
        <v/>
      </c>
      <c r="F1202" s="10">
        <f>IF($C1202="","",IFERROR(INDEX(lst_JobName,MATCH($C1202,lst_Jobs,0)),""))</f>
        <v/>
      </c>
      <c r="G1202" s="10">
        <f>IF($BI1202="","",IF($B1202="Onsite",INDEX(tbl_Onsite[Job Description],$BI1202),IF($B1202="Production",INDEX(tbl_Production[Job Description],$BI1202),INDEX(tbl_Consulting[Job Description],$BI1202)))&amp;"")</f>
        <v/>
      </c>
      <c r="H1202" s="10">
        <f>IF($BI1202="","",IF($B1202="Onsite",INDEX(tbl_Onsite[Cost Centre],$BI1202),IF($B1202="Production",INDEX(tbl_Production[Cost Centre],$BI1202),INDEX(tbl_Consulting[Cost Centre],$BI1202)))&amp;"")</f>
        <v/>
      </c>
      <c r="I1202" s="10">
        <f>IF($BI1202="","",IF($B1202="Onsite",INDEX(tbl_Onsite[Invoice Type],$BI1202),IF($B1202="Production",INDEX(tbl_Production[Invoice Type],$BI1202),INDEX(tbl_Consulting[Invoice Type],$BI1202)))&amp;"")</f>
        <v/>
      </c>
      <c r="J1202" s="10">
        <f>IF($BI1202="","",IF($B1202="Onsite",INDEX(tbl_Onsite[Tax Code],$BI1202),IF($B1202="Production",INDEX(tbl_Production[Tax Code],$BI1202),INDEX(tbl_Consulting[Tax Code],$BI1202)))&amp;"")</f>
        <v/>
      </c>
      <c r="K1202" s="10">
        <f>IF(H1202="","",IFERROR(INDEX(lst_CCtoGL,MATCH(H1202,lst_CCforGL,0)),""))</f>
        <v/>
      </c>
      <c r="L1202" s="10">
        <f>IF($BI1202="","",IF($B1202="Onsite",INDEX(tbl_Onsite[PO / Reference],$BI1202),IF($B1202="Production",INDEX(tbl_Production[Current RMS No],$BI1202),INDEX(tbl_Consulting[Qwilr Quote],$BI1202)))&amp;"")</f>
        <v/>
      </c>
      <c r="M1202" s="10">
        <f>IF($BI1202="","",IF($B1202="Onsite",INDEX(tbl_Onsite[Notes],$BI1202),IF($B1202="Production",INDEX(tbl_Production[Notes],$BI1202),INDEX(tbl_Consulting[Notes],$BI1202)))&amp;"")</f>
        <v/>
      </c>
      <c r="N1202" s="11">
        <f>IF($BI1202="","",IF(IF($B1202="Onsite",INDEX(tbl_Onsite[Expected Revenue Ex GST],$BI1202),IF($B1202="Production",INDEX(tbl_Production[Expected Revenue Ex GST],$BI1202),INDEX(tbl_Consulting[Expected Revenue Ex GST],$BI1202)))="","",IF($B1202="Onsite",INDEX(tbl_Onsite[Expected Revenue Ex GST],$BI1202),IF($B1202="Production",INDEX(tbl_Production[Expected Revenue Ex GST],$BI1202),INDEX(tbl_Consulting[Expected Revenue Ex GST],$BI1202)))))</f>
        <v/>
      </c>
      <c r="O1202" s="11">
        <f>IF(AND($C1202="",NOT(COUNTA($S1202:$BB1202)&gt;0)),"",SUM(U1202,X1202,AA1202,AD1202,AG1202,AJ1202,AM1202,AP1202,AS1202,AV1202,AY1202,BB1202))</f>
        <v/>
      </c>
      <c r="P1202" s="11">
        <f>IF(O1202="","",N(N1202)-O1202)</f>
        <v/>
      </c>
      <c r="Q1202" s="10">
        <f>IF(O1202="","",IF($C1202="","Invoice on empty job row",IF(N1202="",IF(ROUND(O1202,2)=0,"No dept value","Invoiced - no dept value"),IF(ROUND(O1202,2)=0,"Not invoiced - to invoice",IF(ROUND(P1202,2)=0,"Agrees",IF(P1202&gt;0,"Dept higher - to invoice","Xero higher - check dept"))))))</f>
        <v/>
      </c>
      <c r="R1202" s="10">
        <f>IF(AND($C1202="",NOT(COUNTA($S1202:$BB1202)&gt;0),$BI1202&lt;&gt;""),"",MID(IF($BI1202="","; Row ID not found on the department sheet - a row was deleted","")&amp;IF(AND($C1202="",COUNTA($S1202:$BB1202)&gt;0),"; Invoice entered but the department row has no job number","")&amp;IF(E1202="CHECK","; Job number not in the Xero job list","")&amp;IF(AND($C1202&lt;&gt;"",COUNTIF($C$7:$C$1506,$C1202)&gt;1),"; Job number on more than one row","")&amp;IF(AND($C1202&lt;&gt;"",H1202=""),"; Dept has not set a cost centre","")&amp;IF(AND($C1202&lt;&gt;"",J1202=""),"; Dept has not set a tax code","")&amp;IF(AND($C1202&lt;&gt;"",N1202=""),"; Dept has not entered an expected value","")&amp;IF((IF(OR(COUNTA(S1202:U1202)=0,AND(COUNTA(S1202:U1202)=3,ISNUMBER(U1202))),0,1)+IF(OR(COUNTA(V1202:X1202)=0,AND(COUNTA(V1202:X1202)=3,ISNUMBER(X1202))),0,1)+IF(OR(COUNTA(Y1202:AA1202)=0,AND(COUNTA(Y1202:AA1202)=3,ISNUMBER(AA1202))),0,1)+IF(OR(COUNTA(AB1202:AD1202)=0,AND(COUNTA(AB1202:AD1202)=3,ISNUMBER(AD1202))),0,1)+IF(OR(COUNTA(AE1202:AG1202)=0,AND(COUNTA(AE1202:AG1202)=3,ISNUMBER(AG1202))),0,1)+IF(OR(COUNTA(AH1202:AJ1202)=0,AND(COUNTA(AH1202:AJ1202)=3,ISNUMBER(AJ1202))),0,1)+IF(OR(COUNTA(AK1202:AM1202)=0,AND(COUNTA(AK1202:AM1202)=3,ISNUMBER(AM1202))),0,1)+IF(OR(COUNTA(AN1202:AP1202)=0,AND(COUNTA(AN1202:AP1202)=3,ISNUMBER(AP1202))),0,1)+IF(OR(COUNTA(AQ1202:AS1202)=0,AND(COUNTA(AQ1202:AS1202)=3,ISNUMBER(AS1202))),0,1)+IF(OR(COUNTA(AT1202:AV1202)=0,AND(COUNTA(AT1202:AV1202)=3,ISNUMBER(AV1202))),0,1)+IF(OR(COUNTA(AW1202:AY1202)=0,AND(COUNTA(AW1202:AY1202)=3,ISNUMBER(AY1202))),0,1)+IF(OR(COUNTA(AZ1202:BB1202)=0,AND(COUNTA(AZ1202:BB1202)=3,ISNUMBER(BB1202))),0,1))&gt;0,"; An invoice is incomplete (needs No, Date and a number in Ex GST)","")&amp;IF((IF(T1202="",0,IFERROR(--(EOMONTH(T1202,0)&lt;&gt;S$5),1))+IF(W1202="",0,IFERROR(--(EOMONTH(W1202,0)&lt;&gt;V$5),1))+IF(Z1202="",0,IFERROR(--(EOMONTH(Z1202,0)&lt;&gt;Y$5),1))+IF(AC1202="",0,IFERROR(--(EOMONTH(AC1202,0)&lt;&gt;AB$5),1))+IF(AF1202="",0,IFERROR(--(EOMONTH(AF1202,0)&lt;&gt;AE$5),1))+IF(AI1202="",0,IFERROR(--(EOMONTH(AI1202,0)&lt;&gt;AH$5),1))+IF(AL1202="",0,IFERROR(--(EOMONTH(AL1202,0)&lt;&gt;AK$5),1))+IF(AO1202="",0,IFERROR(--(EOMONTH(AO1202,0)&lt;&gt;AN$5),1))+IF(AR1202="",0,IFERROR(--(EOMONTH(AR1202,0)&lt;&gt;AQ$5),1))+IF(AU1202="",0,IFERROR(--(EOMONTH(AU1202,0)&lt;&gt;AT$5),1))+IF(AX1202="",0,IFERROR(--(EOMONTH(AX1202,0)&lt;&gt;AW$5),1))+IF(BA1202="",0,IFERROR(--(EOMONTH(BA1202,0)&lt;&gt;AZ$5),1)))&gt;0,"; An invoice date is not in the month it is typed under",""),3,500))</f>
        <v/>
      </c>
      <c r="S1202" s="12" t="n"/>
      <c r="T1202" s="13" t="n"/>
      <c r="U1202" s="14" t="n"/>
      <c r="V1202" s="12" t="n"/>
      <c r="W1202" s="13" t="n"/>
      <c r="X1202" s="14" t="n"/>
      <c r="Y1202" s="12" t="n"/>
      <c r="Z1202" s="13" t="n"/>
      <c r="AA1202" s="14" t="n"/>
      <c r="AB1202" s="12" t="n"/>
      <c r="AC1202" s="13" t="n"/>
      <c r="AD1202" s="14" t="n"/>
      <c r="AE1202" s="12" t="n"/>
      <c r="AF1202" s="13" t="n"/>
      <c r="AG1202" s="14" t="n"/>
      <c r="AH1202" s="12" t="n"/>
      <c r="AI1202" s="13" t="n"/>
      <c r="AJ1202" s="14" t="n"/>
      <c r="AK1202" s="12" t="n"/>
      <c r="AL1202" s="13" t="n"/>
      <c r="AM1202" s="14" t="n"/>
      <c r="AN1202" s="12" t="n"/>
      <c r="AO1202" s="13" t="n"/>
      <c r="AP1202" s="14" t="n"/>
      <c r="AQ1202" s="12" t="n"/>
      <c r="AR1202" s="13" t="n"/>
      <c r="AS1202" s="14" t="n"/>
      <c r="AT1202" s="12" t="n"/>
      <c r="AU1202" s="13" t="n"/>
      <c r="AV1202" s="14" t="n"/>
      <c r="AW1202" s="12" t="n"/>
      <c r="AX1202" s="13" t="n"/>
      <c r="AY1202" s="14" t="n"/>
      <c r="AZ1202" s="12" t="n"/>
      <c r="BA1202" s="13" t="n"/>
      <c r="BB1202" s="14" t="n"/>
      <c r="BC1202" s="11">
        <f>IF(O1202="","",IF(J1202="GST 10%",ROUND(O1202*set_GSTRate,2),0))</f>
        <v/>
      </c>
      <c r="BD1202" s="11">
        <f>IF(O1202="","",O1202+BC1202)</f>
        <v/>
      </c>
      <c r="BE1202" s="15">
        <f>IF(O1202="","",COUNTA(S1202,V1202,Y1202,AB1202,AE1202,AH1202,AK1202,AN1202,AQ1202,AT1202,AW1202,AZ1202))</f>
        <v/>
      </c>
      <c r="BF1202" s="16">
        <f>IF(COUNT(T1202,W1202,Z1202,AC1202,AF1202,AI1202,AL1202,AO1202,AR1202,AU1202,AX1202,BA1202)=0,"",MAX(T1202,W1202,Z1202,AC1202,AF1202,AI1202,AL1202,AO1202,AR1202,AU1202,AX1202,BA1202))</f>
        <v/>
      </c>
      <c r="BG1202" s="10">
        <f>MID(IF(S1202="","",", "&amp;S1202)&amp;IF(V1202="","",", "&amp;V1202)&amp;IF(Y1202="","",", "&amp;Y1202)&amp;IF(AB1202="","",", "&amp;AB1202)&amp;IF(AE1202="","",", "&amp;AE1202)&amp;IF(AH1202="","",", "&amp;AH1202)&amp;IF(AK1202="","",", "&amp;AK1202)&amp;IF(AN1202="","",", "&amp;AN1202)&amp;IF(AQ1202="","",", "&amp;AQ1202)&amp;IF(AT1202="","",", "&amp;AT1202)&amp;IF(AW1202="","",", "&amp;AW1202)&amp;IF(AZ1202="","",", "&amp;AZ1202),3,500)</f>
        <v/>
      </c>
      <c r="BH1202" s="12" t="n"/>
      <c r="BI1202" s="15">
        <f>IFERROR(MATCH($A1202,IF($B1202="Onsite",tbl_Onsite[Row ID],IF($B1202="Production",tbl_Production[Row ID],tbl_Consulting[Row ID])),0),"")</f>
        <v/>
      </c>
    </row>
    <row r="1203">
      <c r="A1203" s="10" t="inlineStr">
        <is>
          <t>CON-0197</t>
        </is>
      </c>
      <c r="B1203" s="10" t="inlineStr">
        <is>
          <t>Consulting</t>
        </is>
      </c>
      <c r="C1203" s="10">
        <f>IF($BI1203="","",IF($B1203="Onsite",INDEX(tbl_Onsite[Job Number],$BI1203),IF($B1203="Production",INDEX(tbl_Production[Job Number],$BI1203),INDEX(tbl_Consulting[Job Number],$BI1203)))&amp;"")</f>
        <v/>
      </c>
      <c r="D1203" s="10">
        <f>IF($BI1203="","",IF($B1203="Onsite",INDEX(tbl_Onsite[Client],$BI1203),IF($B1203="Production",INDEX(tbl_Production[Client],$BI1203),INDEX(tbl_Consulting[Client],$BI1203)))&amp;"")</f>
        <v/>
      </c>
      <c r="E1203" s="10">
        <f>IF($C1203="","",IF(COUNTIF(lst_Jobs,$C1203)&gt;0,"OK","CHECK"))</f>
        <v/>
      </c>
      <c r="F1203" s="10">
        <f>IF($C1203="","",IFERROR(INDEX(lst_JobName,MATCH($C1203,lst_Jobs,0)),""))</f>
        <v/>
      </c>
      <c r="G1203" s="10">
        <f>IF($BI1203="","",IF($B1203="Onsite",INDEX(tbl_Onsite[Job Description],$BI1203),IF($B1203="Production",INDEX(tbl_Production[Job Description],$BI1203),INDEX(tbl_Consulting[Job Description],$BI1203)))&amp;"")</f>
        <v/>
      </c>
      <c r="H1203" s="10">
        <f>IF($BI1203="","",IF($B1203="Onsite",INDEX(tbl_Onsite[Cost Centre],$BI1203),IF($B1203="Production",INDEX(tbl_Production[Cost Centre],$BI1203),INDEX(tbl_Consulting[Cost Centre],$BI1203)))&amp;"")</f>
        <v/>
      </c>
      <c r="I1203" s="10">
        <f>IF($BI1203="","",IF($B1203="Onsite",INDEX(tbl_Onsite[Invoice Type],$BI1203),IF($B1203="Production",INDEX(tbl_Production[Invoice Type],$BI1203),INDEX(tbl_Consulting[Invoice Type],$BI1203)))&amp;"")</f>
        <v/>
      </c>
      <c r="J1203" s="10">
        <f>IF($BI1203="","",IF($B1203="Onsite",INDEX(tbl_Onsite[Tax Code],$BI1203),IF($B1203="Production",INDEX(tbl_Production[Tax Code],$BI1203),INDEX(tbl_Consulting[Tax Code],$BI1203)))&amp;"")</f>
        <v/>
      </c>
      <c r="K1203" s="10">
        <f>IF(H1203="","",IFERROR(INDEX(lst_CCtoGL,MATCH(H1203,lst_CCforGL,0)),""))</f>
        <v/>
      </c>
      <c r="L1203" s="10">
        <f>IF($BI1203="","",IF($B1203="Onsite",INDEX(tbl_Onsite[PO / Reference],$BI1203),IF($B1203="Production",INDEX(tbl_Production[Current RMS No],$BI1203),INDEX(tbl_Consulting[Qwilr Quote],$BI1203)))&amp;"")</f>
        <v/>
      </c>
      <c r="M1203" s="10">
        <f>IF($BI1203="","",IF($B1203="Onsite",INDEX(tbl_Onsite[Notes],$BI1203),IF($B1203="Production",INDEX(tbl_Production[Notes],$BI1203),INDEX(tbl_Consulting[Notes],$BI1203)))&amp;"")</f>
        <v/>
      </c>
      <c r="N1203" s="11">
        <f>IF($BI1203="","",IF(IF($B1203="Onsite",INDEX(tbl_Onsite[Expected Revenue Ex GST],$BI1203),IF($B1203="Production",INDEX(tbl_Production[Expected Revenue Ex GST],$BI1203),INDEX(tbl_Consulting[Expected Revenue Ex GST],$BI1203)))="","",IF($B1203="Onsite",INDEX(tbl_Onsite[Expected Revenue Ex GST],$BI1203),IF($B1203="Production",INDEX(tbl_Production[Expected Revenue Ex GST],$BI1203),INDEX(tbl_Consulting[Expected Revenue Ex GST],$BI1203)))))</f>
        <v/>
      </c>
      <c r="O1203" s="11">
        <f>IF(AND($C1203="",NOT(COUNTA($S1203:$BB1203)&gt;0)),"",SUM(U1203,X1203,AA1203,AD1203,AG1203,AJ1203,AM1203,AP1203,AS1203,AV1203,AY1203,BB1203))</f>
        <v/>
      </c>
      <c r="P1203" s="11">
        <f>IF(O1203="","",N(N1203)-O1203)</f>
        <v/>
      </c>
      <c r="Q1203" s="10">
        <f>IF(O1203="","",IF($C1203="","Invoice on empty job row",IF(N1203="",IF(ROUND(O1203,2)=0,"No dept value","Invoiced - no dept value"),IF(ROUND(O1203,2)=0,"Not invoiced - to invoice",IF(ROUND(P1203,2)=0,"Agrees",IF(P1203&gt;0,"Dept higher - to invoice","Xero higher - check dept"))))))</f>
        <v/>
      </c>
      <c r="R1203" s="10">
        <f>IF(AND($C1203="",NOT(COUNTA($S1203:$BB1203)&gt;0),$BI1203&lt;&gt;""),"",MID(IF($BI1203="","; Row ID not found on the department sheet - a row was deleted","")&amp;IF(AND($C1203="",COUNTA($S1203:$BB1203)&gt;0),"; Invoice entered but the department row has no job number","")&amp;IF(E1203="CHECK","; Job number not in the Xero job list","")&amp;IF(AND($C1203&lt;&gt;"",COUNTIF($C$7:$C$1506,$C1203)&gt;1),"; Job number on more than one row","")&amp;IF(AND($C1203&lt;&gt;"",H1203=""),"; Dept has not set a cost centre","")&amp;IF(AND($C1203&lt;&gt;"",J1203=""),"; Dept has not set a tax code","")&amp;IF(AND($C1203&lt;&gt;"",N1203=""),"; Dept has not entered an expected value","")&amp;IF((IF(OR(COUNTA(S1203:U1203)=0,AND(COUNTA(S1203:U1203)=3,ISNUMBER(U1203))),0,1)+IF(OR(COUNTA(V1203:X1203)=0,AND(COUNTA(V1203:X1203)=3,ISNUMBER(X1203))),0,1)+IF(OR(COUNTA(Y1203:AA1203)=0,AND(COUNTA(Y1203:AA1203)=3,ISNUMBER(AA1203))),0,1)+IF(OR(COUNTA(AB1203:AD1203)=0,AND(COUNTA(AB1203:AD1203)=3,ISNUMBER(AD1203))),0,1)+IF(OR(COUNTA(AE1203:AG1203)=0,AND(COUNTA(AE1203:AG1203)=3,ISNUMBER(AG1203))),0,1)+IF(OR(COUNTA(AH1203:AJ1203)=0,AND(COUNTA(AH1203:AJ1203)=3,ISNUMBER(AJ1203))),0,1)+IF(OR(COUNTA(AK1203:AM1203)=0,AND(COUNTA(AK1203:AM1203)=3,ISNUMBER(AM1203))),0,1)+IF(OR(COUNTA(AN1203:AP1203)=0,AND(COUNTA(AN1203:AP1203)=3,ISNUMBER(AP1203))),0,1)+IF(OR(COUNTA(AQ1203:AS1203)=0,AND(COUNTA(AQ1203:AS1203)=3,ISNUMBER(AS1203))),0,1)+IF(OR(COUNTA(AT1203:AV1203)=0,AND(COUNTA(AT1203:AV1203)=3,ISNUMBER(AV1203))),0,1)+IF(OR(COUNTA(AW1203:AY1203)=0,AND(COUNTA(AW1203:AY1203)=3,ISNUMBER(AY1203))),0,1)+IF(OR(COUNTA(AZ1203:BB1203)=0,AND(COUNTA(AZ1203:BB1203)=3,ISNUMBER(BB1203))),0,1))&gt;0,"; An invoice is incomplete (needs No, Date and a number in Ex GST)","")&amp;IF((IF(T1203="",0,IFERROR(--(EOMONTH(T1203,0)&lt;&gt;S$5),1))+IF(W1203="",0,IFERROR(--(EOMONTH(W1203,0)&lt;&gt;V$5),1))+IF(Z1203="",0,IFERROR(--(EOMONTH(Z1203,0)&lt;&gt;Y$5),1))+IF(AC1203="",0,IFERROR(--(EOMONTH(AC1203,0)&lt;&gt;AB$5),1))+IF(AF1203="",0,IFERROR(--(EOMONTH(AF1203,0)&lt;&gt;AE$5),1))+IF(AI1203="",0,IFERROR(--(EOMONTH(AI1203,0)&lt;&gt;AH$5),1))+IF(AL1203="",0,IFERROR(--(EOMONTH(AL1203,0)&lt;&gt;AK$5),1))+IF(AO1203="",0,IFERROR(--(EOMONTH(AO1203,0)&lt;&gt;AN$5),1))+IF(AR1203="",0,IFERROR(--(EOMONTH(AR1203,0)&lt;&gt;AQ$5),1))+IF(AU1203="",0,IFERROR(--(EOMONTH(AU1203,0)&lt;&gt;AT$5),1))+IF(AX1203="",0,IFERROR(--(EOMONTH(AX1203,0)&lt;&gt;AW$5),1))+IF(BA1203="",0,IFERROR(--(EOMONTH(BA1203,0)&lt;&gt;AZ$5),1)))&gt;0,"; An invoice date is not in the month it is typed under",""),3,500))</f>
        <v/>
      </c>
      <c r="S1203" s="12" t="n"/>
      <c r="T1203" s="13" t="n"/>
      <c r="U1203" s="14" t="n"/>
      <c r="V1203" s="12" t="n"/>
      <c r="W1203" s="13" t="n"/>
      <c r="X1203" s="14" t="n"/>
      <c r="Y1203" s="12" t="n"/>
      <c r="Z1203" s="13" t="n"/>
      <c r="AA1203" s="14" t="n"/>
      <c r="AB1203" s="12" t="n"/>
      <c r="AC1203" s="13" t="n"/>
      <c r="AD1203" s="14" t="n"/>
      <c r="AE1203" s="12" t="n"/>
      <c r="AF1203" s="13" t="n"/>
      <c r="AG1203" s="14" t="n"/>
      <c r="AH1203" s="12" t="n"/>
      <c r="AI1203" s="13" t="n"/>
      <c r="AJ1203" s="14" t="n"/>
      <c r="AK1203" s="12" t="n"/>
      <c r="AL1203" s="13" t="n"/>
      <c r="AM1203" s="14" t="n"/>
      <c r="AN1203" s="12" t="n"/>
      <c r="AO1203" s="13" t="n"/>
      <c r="AP1203" s="14" t="n"/>
      <c r="AQ1203" s="12" t="n"/>
      <c r="AR1203" s="13" t="n"/>
      <c r="AS1203" s="14" t="n"/>
      <c r="AT1203" s="12" t="n"/>
      <c r="AU1203" s="13" t="n"/>
      <c r="AV1203" s="14" t="n"/>
      <c r="AW1203" s="12" t="n"/>
      <c r="AX1203" s="13" t="n"/>
      <c r="AY1203" s="14" t="n"/>
      <c r="AZ1203" s="12" t="n"/>
      <c r="BA1203" s="13" t="n"/>
      <c r="BB1203" s="14" t="n"/>
      <c r="BC1203" s="11">
        <f>IF(O1203="","",IF(J1203="GST 10%",ROUND(O1203*set_GSTRate,2),0))</f>
        <v/>
      </c>
      <c r="BD1203" s="11">
        <f>IF(O1203="","",O1203+BC1203)</f>
        <v/>
      </c>
      <c r="BE1203" s="15">
        <f>IF(O1203="","",COUNTA(S1203,V1203,Y1203,AB1203,AE1203,AH1203,AK1203,AN1203,AQ1203,AT1203,AW1203,AZ1203))</f>
        <v/>
      </c>
      <c r="BF1203" s="16">
        <f>IF(COUNT(T1203,W1203,Z1203,AC1203,AF1203,AI1203,AL1203,AO1203,AR1203,AU1203,AX1203,BA1203)=0,"",MAX(T1203,W1203,Z1203,AC1203,AF1203,AI1203,AL1203,AO1203,AR1203,AU1203,AX1203,BA1203))</f>
        <v/>
      </c>
      <c r="BG1203" s="10">
        <f>MID(IF(S1203="","",", "&amp;S1203)&amp;IF(V1203="","",", "&amp;V1203)&amp;IF(Y1203="","",", "&amp;Y1203)&amp;IF(AB1203="","",", "&amp;AB1203)&amp;IF(AE1203="","",", "&amp;AE1203)&amp;IF(AH1203="","",", "&amp;AH1203)&amp;IF(AK1203="","",", "&amp;AK1203)&amp;IF(AN1203="","",", "&amp;AN1203)&amp;IF(AQ1203="","",", "&amp;AQ1203)&amp;IF(AT1203="","",", "&amp;AT1203)&amp;IF(AW1203="","",", "&amp;AW1203)&amp;IF(AZ1203="","",", "&amp;AZ1203),3,500)</f>
        <v/>
      </c>
      <c r="BH1203" s="12" t="n"/>
      <c r="BI1203" s="15">
        <f>IFERROR(MATCH($A1203,IF($B1203="Onsite",tbl_Onsite[Row ID],IF($B1203="Production",tbl_Production[Row ID],tbl_Consulting[Row ID])),0),"")</f>
        <v/>
      </c>
    </row>
    <row r="1204">
      <c r="A1204" s="10" t="inlineStr">
        <is>
          <t>CON-0198</t>
        </is>
      </c>
      <c r="B1204" s="10" t="inlineStr">
        <is>
          <t>Consulting</t>
        </is>
      </c>
      <c r="C1204" s="10">
        <f>IF($BI1204="","",IF($B1204="Onsite",INDEX(tbl_Onsite[Job Number],$BI1204),IF($B1204="Production",INDEX(tbl_Production[Job Number],$BI1204),INDEX(tbl_Consulting[Job Number],$BI1204)))&amp;"")</f>
        <v/>
      </c>
      <c r="D1204" s="10">
        <f>IF($BI1204="","",IF($B1204="Onsite",INDEX(tbl_Onsite[Client],$BI1204),IF($B1204="Production",INDEX(tbl_Production[Client],$BI1204),INDEX(tbl_Consulting[Client],$BI1204)))&amp;"")</f>
        <v/>
      </c>
      <c r="E1204" s="10">
        <f>IF($C1204="","",IF(COUNTIF(lst_Jobs,$C1204)&gt;0,"OK","CHECK"))</f>
        <v/>
      </c>
      <c r="F1204" s="10">
        <f>IF($C1204="","",IFERROR(INDEX(lst_JobName,MATCH($C1204,lst_Jobs,0)),""))</f>
        <v/>
      </c>
      <c r="G1204" s="10">
        <f>IF($BI1204="","",IF($B1204="Onsite",INDEX(tbl_Onsite[Job Description],$BI1204),IF($B1204="Production",INDEX(tbl_Production[Job Description],$BI1204),INDEX(tbl_Consulting[Job Description],$BI1204)))&amp;"")</f>
        <v/>
      </c>
      <c r="H1204" s="10">
        <f>IF($BI1204="","",IF($B1204="Onsite",INDEX(tbl_Onsite[Cost Centre],$BI1204),IF($B1204="Production",INDEX(tbl_Production[Cost Centre],$BI1204),INDEX(tbl_Consulting[Cost Centre],$BI1204)))&amp;"")</f>
        <v/>
      </c>
      <c r="I1204" s="10">
        <f>IF($BI1204="","",IF($B1204="Onsite",INDEX(tbl_Onsite[Invoice Type],$BI1204),IF($B1204="Production",INDEX(tbl_Production[Invoice Type],$BI1204),INDEX(tbl_Consulting[Invoice Type],$BI1204)))&amp;"")</f>
        <v/>
      </c>
      <c r="J1204" s="10">
        <f>IF($BI1204="","",IF($B1204="Onsite",INDEX(tbl_Onsite[Tax Code],$BI1204),IF($B1204="Production",INDEX(tbl_Production[Tax Code],$BI1204),INDEX(tbl_Consulting[Tax Code],$BI1204)))&amp;"")</f>
        <v/>
      </c>
      <c r="K1204" s="10">
        <f>IF(H1204="","",IFERROR(INDEX(lst_CCtoGL,MATCH(H1204,lst_CCforGL,0)),""))</f>
        <v/>
      </c>
      <c r="L1204" s="10">
        <f>IF($BI1204="","",IF($B1204="Onsite",INDEX(tbl_Onsite[PO / Reference],$BI1204),IF($B1204="Production",INDEX(tbl_Production[Current RMS No],$BI1204),INDEX(tbl_Consulting[Qwilr Quote],$BI1204)))&amp;"")</f>
        <v/>
      </c>
      <c r="M1204" s="10">
        <f>IF($BI1204="","",IF($B1204="Onsite",INDEX(tbl_Onsite[Notes],$BI1204),IF($B1204="Production",INDEX(tbl_Production[Notes],$BI1204),INDEX(tbl_Consulting[Notes],$BI1204)))&amp;"")</f>
        <v/>
      </c>
      <c r="N1204" s="11">
        <f>IF($BI1204="","",IF(IF($B1204="Onsite",INDEX(tbl_Onsite[Expected Revenue Ex GST],$BI1204),IF($B1204="Production",INDEX(tbl_Production[Expected Revenue Ex GST],$BI1204),INDEX(tbl_Consulting[Expected Revenue Ex GST],$BI1204)))="","",IF($B1204="Onsite",INDEX(tbl_Onsite[Expected Revenue Ex GST],$BI1204),IF($B1204="Production",INDEX(tbl_Production[Expected Revenue Ex GST],$BI1204),INDEX(tbl_Consulting[Expected Revenue Ex GST],$BI1204)))))</f>
        <v/>
      </c>
      <c r="O1204" s="11">
        <f>IF(AND($C1204="",NOT(COUNTA($S1204:$BB1204)&gt;0)),"",SUM(U1204,X1204,AA1204,AD1204,AG1204,AJ1204,AM1204,AP1204,AS1204,AV1204,AY1204,BB1204))</f>
        <v/>
      </c>
      <c r="P1204" s="11">
        <f>IF(O1204="","",N(N1204)-O1204)</f>
        <v/>
      </c>
      <c r="Q1204" s="10">
        <f>IF(O1204="","",IF($C1204="","Invoice on empty job row",IF(N1204="",IF(ROUND(O1204,2)=0,"No dept value","Invoiced - no dept value"),IF(ROUND(O1204,2)=0,"Not invoiced - to invoice",IF(ROUND(P1204,2)=0,"Agrees",IF(P1204&gt;0,"Dept higher - to invoice","Xero higher - check dept"))))))</f>
        <v/>
      </c>
      <c r="R1204" s="10">
        <f>IF(AND($C1204="",NOT(COUNTA($S1204:$BB1204)&gt;0),$BI1204&lt;&gt;""),"",MID(IF($BI1204="","; Row ID not found on the department sheet - a row was deleted","")&amp;IF(AND($C1204="",COUNTA($S1204:$BB1204)&gt;0),"; Invoice entered but the department row has no job number","")&amp;IF(E1204="CHECK","; Job number not in the Xero job list","")&amp;IF(AND($C1204&lt;&gt;"",COUNTIF($C$7:$C$1506,$C1204)&gt;1),"; Job number on more than one row","")&amp;IF(AND($C1204&lt;&gt;"",H1204=""),"; Dept has not set a cost centre","")&amp;IF(AND($C1204&lt;&gt;"",J1204=""),"; Dept has not set a tax code","")&amp;IF(AND($C1204&lt;&gt;"",N1204=""),"; Dept has not entered an expected value","")&amp;IF((IF(OR(COUNTA(S1204:U1204)=0,AND(COUNTA(S1204:U1204)=3,ISNUMBER(U1204))),0,1)+IF(OR(COUNTA(V1204:X1204)=0,AND(COUNTA(V1204:X1204)=3,ISNUMBER(X1204))),0,1)+IF(OR(COUNTA(Y1204:AA1204)=0,AND(COUNTA(Y1204:AA1204)=3,ISNUMBER(AA1204))),0,1)+IF(OR(COUNTA(AB1204:AD1204)=0,AND(COUNTA(AB1204:AD1204)=3,ISNUMBER(AD1204))),0,1)+IF(OR(COUNTA(AE1204:AG1204)=0,AND(COUNTA(AE1204:AG1204)=3,ISNUMBER(AG1204))),0,1)+IF(OR(COUNTA(AH1204:AJ1204)=0,AND(COUNTA(AH1204:AJ1204)=3,ISNUMBER(AJ1204))),0,1)+IF(OR(COUNTA(AK1204:AM1204)=0,AND(COUNTA(AK1204:AM1204)=3,ISNUMBER(AM1204))),0,1)+IF(OR(COUNTA(AN1204:AP1204)=0,AND(COUNTA(AN1204:AP1204)=3,ISNUMBER(AP1204))),0,1)+IF(OR(COUNTA(AQ1204:AS1204)=0,AND(COUNTA(AQ1204:AS1204)=3,ISNUMBER(AS1204))),0,1)+IF(OR(COUNTA(AT1204:AV1204)=0,AND(COUNTA(AT1204:AV1204)=3,ISNUMBER(AV1204))),0,1)+IF(OR(COUNTA(AW1204:AY1204)=0,AND(COUNTA(AW1204:AY1204)=3,ISNUMBER(AY1204))),0,1)+IF(OR(COUNTA(AZ1204:BB1204)=0,AND(COUNTA(AZ1204:BB1204)=3,ISNUMBER(BB1204))),0,1))&gt;0,"; An invoice is incomplete (needs No, Date and a number in Ex GST)","")&amp;IF((IF(T1204="",0,IFERROR(--(EOMONTH(T1204,0)&lt;&gt;S$5),1))+IF(W1204="",0,IFERROR(--(EOMONTH(W1204,0)&lt;&gt;V$5),1))+IF(Z1204="",0,IFERROR(--(EOMONTH(Z1204,0)&lt;&gt;Y$5),1))+IF(AC1204="",0,IFERROR(--(EOMONTH(AC1204,0)&lt;&gt;AB$5),1))+IF(AF1204="",0,IFERROR(--(EOMONTH(AF1204,0)&lt;&gt;AE$5),1))+IF(AI1204="",0,IFERROR(--(EOMONTH(AI1204,0)&lt;&gt;AH$5),1))+IF(AL1204="",0,IFERROR(--(EOMONTH(AL1204,0)&lt;&gt;AK$5),1))+IF(AO1204="",0,IFERROR(--(EOMONTH(AO1204,0)&lt;&gt;AN$5),1))+IF(AR1204="",0,IFERROR(--(EOMONTH(AR1204,0)&lt;&gt;AQ$5),1))+IF(AU1204="",0,IFERROR(--(EOMONTH(AU1204,0)&lt;&gt;AT$5),1))+IF(AX1204="",0,IFERROR(--(EOMONTH(AX1204,0)&lt;&gt;AW$5),1))+IF(BA1204="",0,IFERROR(--(EOMONTH(BA1204,0)&lt;&gt;AZ$5),1)))&gt;0,"; An invoice date is not in the month it is typed under",""),3,500))</f>
        <v/>
      </c>
      <c r="S1204" s="12" t="n"/>
      <c r="T1204" s="13" t="n"/>
      <c r="U1204" s="14" t="n"/>
      <c r="V1204" s="12" t="n"/>
      <c r="W1204" s="13" t="n"/>
      <c r="X1204" s="14" t="n"/>
      <c r="Y1204" s="12" t="n"/>
      <c r="Z1204" s="13" t="n"/>
      <c r="AA1204" s="14" t="n"/>
      <c r="AB1204" s="12" t="n"/>
      <c r="AC1204" s="13" t="n"/>
      <c r="AD1204" s="14" t="n"/>
      <c r="AE1204" s="12" t="n"/>
      <c r="AF1204" s="13" t="n"/>
      <c r="AG1204" s="14" t="n"/>
      <c r="AH1204" s="12" t="n"/>
      <c r="AI1204" s="13" t="n"/>
      <c r="AJ1204" s="14" t="n"/>
      <c r="AK1204" s="12" t="n"/>
      <c r="AL1204" s="13" t="n"/>
      <c r="AM1204" s="14" t="n"/>
      <c r="AN1204" s="12" t="n"/>
      <c r="AO1204" s="13" t="n"/>
      <c r="AP1204" s="14" t="n"/>
      <c r="AQ1204" s="12" t="n"/>
      <c r="AR1204" s="13" t="n"/>
      <c r="AS1204" s="14" t="n"/>
      <c r="AT1204" s="12" t="n"/>
      <c r="AU1204" s="13" t="n"/>
      <c r="AV1204" s="14" t="n"/>
      <c r="AW1204" s="12" t="n"/>
      <c r="AX1204" s="13" t="n"/>
      <c r="AY1204" s="14" t="n"/>
      <c r="AZ1204" s="12" t="n"/>
      <c r="BA1204" s="13" t="n"/>
      <c r="BB1204" s="14" t="n"/>
      <c r="BC1204" s="11">
        <f>IF(O1204="","",IF(J1204="GST 10%",ROUND(O1204*set_GSTRate,2),0))</f>
        <v/>
      </c>
      <c r="BD1204" s="11">
        <f>IF(O1204="","",O1204+BC1204)</f>
        <v/>
      </c>
      <c r="BE1204" s="15">
        <f>IF(O1204="","",COUNTA(S1204,V1204,Y1204,AB1204,AE1204,AH1204,AK1204,AN1204,AQ1204,AT1204,AW1204,AZ1204))</f>
        <v/>
      </c>
      <c r="BF1204" s="16">
        <f>IF(COUNT(T1204,W1204,Z1204,AC1204,AF1204,AI1204,AL1204,AO1204,AR1204,AU1204,AX1204,BA1204)=0,"",MAX(T1204,W1204,Z1204,AC1204,AF1204,AI1204,AL1204,AO1204,AR1204,AU1204,AX1204,BA1204))</f>
        <v/>
      </c>
      <c r="BG1204" s="10">
        <f>MID(IF(S1204="","",", "&amp;S1204)&amp;IF(V1204="","",", "&amp;V1204)&amp;IF(Y1204="","",", "&amp;Y1204)&amp;IF(AB1204="","",", "&amp;AB1204)&amp;IF(AE1204="","",", "&amp;AE1204)&amp;IF(AH1204="","",", "&amp;AH1204)&amp;IF(AK1204="","",", "&amp;AK1204)&amp;IF(AN1204="","",", "&amp;AN1204)&amp;IF(AQ1204="","",", "&amp;AQ1204)&amp;IF(AT1204="","",", "&amp;AT1204)&amp;IF(AW1204="","",", "&amp;AW1204)&amp;IF(AZ1204="","",", "&amp;AZ1204),3,500)</f>
        <v/>
      </c>
      <c r="BH1204" s="12" t="n"/>
      <c r="BI1204" s="15">
        <f>IFERROR(MATCH($A1204,IF($B1204="Onsite",tbl_Onsite[Row ID],IF($B1204="Production",tbl_Production[Row ID],tbl_Consulting[Row ID])),0),"")</f>
        <v/>
      </c>
    </row>
    <row r="1205">
      <c r="A1205" s="10" t="inlineStr">
        <is>
          <t>CON-0199</t>
        </is>
      </c>
      <c r="B1205" s="10" t="inlineStr">
        <is>
          <t>Consulting</t>
        </is>
      </c>
      <c r="C1205" s="10">
        <f>IF($BI1205="","",IF($B1205="Onsite",INDEX(tbl_Onsite[Job Number],$BI1205),IF($B1205="Production",INDEX(tbl_Production[Job Number],$BI1205),INDEX(tbl_Consulting[Job Number],$BI1205)))&amp;"")</f>
        <v/>
      </c>
      <c r="D1205" s="10">
        <f>IF($BI1205="","",IF($B1205="Onsite",INDEX(tbl_Onsite[Client],$BI1205),IF($B1205="Production",INDEX(tbl_Production[Client],$BI1205),INDEX(tbl_Consulting[Client],$BI1205)))&amp;"")</f>
        <v/>
      </c>
      <c r="E1205" s="10">
        <f>IF($C1205="","",IF(COUNTIF(lst_Jobs,$C1205)&gt;0,"OK","CHECK"))</f>
        <v/>
      </c>
      <c r="F1205" s="10">
        <f>IF($C1205="","",IFERROR(INDEX(lst_JobName,MATCH($C1205,lst_Jobs,0)),""))</f>
        <v/>
      </c>
      <c r="G1205" s="10">
        <f>IF($BI1205="","",IF($B1205="Onsite",INDEX(tbl_Onsite[Job Description],$BI1205),IF($B1205="Production",INDEX(tbl_Production[Job Description],$BI1205),INDEX(tbl_Consulting[Job Description],$BI1205)))&amp;"")</f>
        <v/>
      </c>
      <c r="H1205" s="10">
        <f>IF($BI1205="","",IF($B1205="Onsite",INDEX(tbl_Onsite[Cost Centre],$BI1205),IF($B1205="Production",INDEX(tbl_Production[Cost Centre],$BI1205),INDEX(tbl_Consulting[Cost Centre],$BI1205)))&amp;"")</f>
        <v/>
      </c>
      <c r="I1205" s="10">
        <f>IF($BI1205="","",IF($B1205="Onsite",INDEX(tbl_Onsite[Invoice Type],$BI1205),IF($B1205="Production",INDEX(tbl_Production[Invoice Type],$BI1205),INDEX(tbl_Consulting[Invoice Type],$BI1205)))&amp;"")</f>
        <v/>
      </c>
      <c r="J1205" s="10">
        <f>IF($BI1205="","",IF($B1205="Onsite",INDEX(tbl_Onsite[Tax Code],$BI1205),IF($B1205="Production",INDEX(tbl_Production[Tax Code],$BI1205),INDEX(tbl_Consulting[Tax Code],$BI1205)))&amp;"")</f>
        <v/>
      </c>
      <c r="K1205" s="10">
        <f>IF(H1205="","",IFERROR(INDEX(lst_CCtoGL,MATCH(H1205,lst_CCforGL,0)),""))</f>
        <v/>
      </c>
      <c r="L1205" s="10">
        <f>IF($BI1205="","",IF($B1205="Onsite",INDEX(tbl_Onsite[PO / Reference],$BI1205),IF($B1205="Production",INDEX(tbl_Production[Current RMS No],$BI1205),INDEX(tbl_Consulting[Qwilr Quote],$BI1205)))&amp;"")</f>
        <v/>
      </c>
      <c r="M1205" s="10">
        <f>IF($BI1205="","",IF($B1205="Onsite",INDEX(tbl_Onsite[Notes],$BI1205),IF($B1205="Production",INDEX(tbl_Production[Notes],$BI1205),INDEX(tbl_Consulting[Notes],$BI1205)))&amp;"")</f>
        <v/>
      </c>
      <c r="N1205" s="11">
        <f>IF($BI1205="","",IF(IF($B1205="Onsite",INDEX(tbl_Onsite[Expected Revenue Ex GST],$BI1205),IF($B1205="Production",INDEX(tbl_Production[Expected Revenue Ex GST],$BI1205),INDEX(tbl_Consulting[Expected Revenue Ex GST],$BI1205)))="","",IF($B1205="Onsite",INDEX(tbl_Onsite[Expected Revenue Ex GST],$BI1205),IF($B1205="Production",INDEX(tbl_Production[Expected Revenue Ex GST],$BI1205),INDEX(tbl_Consulting[Expected Revenue Ex GST],$BI1205)))))</f>
        <v/>
      </c>
      <c r="O1205" s="11">
        <f>IF(AND($C1205="",NOT(COUNTA($S1205:$BB1205)&gt;0)),"",SUM(U1205,X1205,AA1205,AD1205,AG1205,AJ1205,AM1205,AP1205,AS1205,AV1205,AY1205,BB1205))</f>
        <v/>
      </c>
      <c r="P1205" s="11">
        <f>IF(O1205="","",N(N1205)-O1205)</f>
        <v/>
      </c>
      <c r="Q1205" s="10">
        <f>IF(O1205="","",IF($C1205="","Invoice on empty job row",IF(N1205="",IF(ROUND(O1205,2)=0,"No dept value","Invoiced - no dept value"),IF(ROUND(O1205,2)=0,"Not invoiced - to invoice",IF(ROUND(P1205,2)=0,"Agrees",IF(P1205&gt;0,"Dept higher - to invoice","Xero higher - check dept"))))))</f>
        <v/>
      </c>
      <c r="R1205" s="10">
        <f>IF(AND($C1205="",NOT(COUNTA($S1205:$BB1205)&gt;0),$BI1205&lt;&gt;""),"",MID(IF($BI1205="","; Row ID not found on the department sheet - a row was deleted","")&amp;IF(AND($C1205="",COUNTA($S1205:$BB1205)&gt;0),"; Invoice entered but the department row has no job number","")&amp;IF(E1205="CHECK","; Job number not in the Xero job list","")&amp;IF(AND($C1205&lt;&gt;"",COUNTIF($C$7:$C$1506,$C1205)&gt;1),"; Job number on more than one row","")&amp;IF(AND($C1205&lt;&gt;"",H1205=""),"; Dept has not set a cost centre","")&amp;IF(AND($C1205&lt;&gt;"",J1205=""),"; Dept has not set a tax code","")&amp;IF(AND($C1205&lt;&gt;"",N1205=""),"; Dept has not entered an expected value","")&amp;IF((IF(OR(COUNTA(S1205:U1205)=0,AND(COUNTA(S1205:U1205)=3,ISNUMBER(U1205))),0,1)+IF(OR(COUNTA(V1205:X1205)=0,AND(COUNTA(V1205:X1205)=3,ISNUMBER(X1205))),0,1)+IF(OR(COUNTA(Y1205:AA1205)=0,AND(COUNTA(Y1205:AA1205)=3,ISNUMBER(AA1205))),0,1)+IF(OR(COUNTA(AB1205:AD1205)=0,AND(COUNTA(AB1205:AD1205)=3,ISNUMBER(AD1205))),0,1)+IF(OR(COUNTA(AE1205:AG1205)=0,AND(COUNTA(AE1205:AG1205)=3,ISNUMBER(AG1205))),0,1)+IF(OR(COUNTA(AH1205:AJ1205)=0,AND(COUNTA(AH1205:AJ1205)=3,ISNUMBER(AJ1205))),0,1)+IF(OR(COUNTA(AK1205:AM1205)=0,AND(COUNTA(AK1205:AM1205)=3,ISNUMBER(AM1205))),0,1)+IF(OR(COUNTA(AN1205:AP1205)=0,AND(COUNTA(AN1205:AP1205)=3,ISNUMBER(AP1205))),0,1)+IF(OR(COUNTA(AQ1205:AS1205)=0,AND(COUNTA(AQ1205:AS1205)=3,ISNUMBER(AS1205))),0,1)+IF(OR(COUNTA(AT1205:AV1205)=0,AND(COUNTA(AT1205:AV1205)=3,ISNUMBER(AV1205))),0,1)+IF(OR(COUNTA(AW1205:AY1205)=0,AND(COUNTA(AW1205:AY1205)=3,ISNUMBER(AY1205))),0,1)+IF(OR(COUNTA(AZ1205:BB1205)=0,AND(COUNTA(AZ1205:BB1205)=3,ISNUMBER(BB1205))),0,1))&gt;0,"; An invoice is incomplete (needs No, Date and a number in Ex GST)","")&amp;IF((IF(T1205="",0,IFERROR(--(EOMONTH(T1205,0)&lt;&gt;S$5),1))+IF(W1205="",0,IFERROR(--(EOMONTH(W1205,0)&lt;&gt;V$5),1))+IF(Z1205="",0,IFERROR(--(EOMONTH(Z1205,0)&lt;&gt;Y$5),1))+IF(AC1205="",0,IFERROR(--(EOMONTH(AC1205,0)&lt;&gt;AB$5),1))+IF(AF1205="",0,IFERROR(--(EOMONTH(AF1205,0)&lt;&gt;AE$5),1))+IF(AI1205="",0,IFERROR(--(EOMONTH(AI1205,0)&lt;&gt;AH$5),1))+IF(AL1205="",0,IFERROR(--(EOMONTH(AL1205,0)&lt;&gt;AK$5),1))+IF(AO1205="",0,IFERROR(--(EOMONTH(AO1205,0)&lt;&gt;AN$5),1))+IF(AR1205="",0,IFERROR(--(EOMONTH(AR1205,0)&lt;&gt;AQ$5),1))+IF(AU1205="",0,IFERROR(--(EOMONTH(AU1205,0)&lt;&gt;AT$5),1))+IF(AX1205="",0,IFERROR(--(EOMONTH(AX1205,0)&lt;&gt;AW$5),1))+IF(BA1205="",0,IFERROR(--(EOMONTH(BA1205,0)&lt;&gt;AZ$5),1)))&gt;0,"; An invoice date is not in the month it is typed under",""),3,500))</f>
        <v/>
      </c>
      <c r="S1205" s="12" t="n"/>
      <c r="T1205" s="13" t="n"/>
      <c r="U1205" s="14" t="n"/>
      <c r="V1205" s="12" t="n"/>
      <c r="W1205" s="13" t="n"/>
      <c r="X1205" s="14" t="n"/>
      <c r="Y1205" s="12" t="n"/>
      <c r="Z1205" s="13" t="n"/>
      <c r="AA1205" s="14" t="n"/>
      <c r="AB1205" s="12" t="n"/>
      <c r="AC1205" s="13" t="n"/>
      <c r="AD1205" s="14" t="n"/>
      <c r="AE1205" s="12" t="n"/>
      <c r="AF1205" s="13" t="n"/>
      <c r="AG1205" s="14" t="n"/>
      <c r="AH1205" s="12" t="n"/>
      <c r="AI1205" s="13" t="n"/>
      <c r="AJ1205" s="14" t="n"/>
      <c r="AK1205" s="12" t="n"/>
      <c r="AL1205" s="13" t="n"/>
      <c r="AM1205" s="14" t="n"/>
      <c r="AN1205" s="12" t="n"/>
      <c r="AO1205" s="13" t="n"/>
      <c r="AP1205" s="14" t="n"/>
      <c r="AQ1205" s="12" t="n"/>
      <c r="AR1205" s="13" t="n"/>
      <c r="AS1205" s="14" t="n"/>
      <c r="AT1205" s="12" t="n"/>
      <c r="AU1205" s="13" t="n"/>
      <c r="AV1205" s="14" t="n"/>
      <c r="AW1205" s="12" t="n"/>
      <c r="AX1205" s="13" t="n"/>
      <c r="AY1205" s="14" t="n"/>
      <c r="AZ1205" s="12" t="n"/>
      <c r="BA1205" s="13" t="n"/>
      <c r="BB1205" s="14" t="n"/>
      <c r="BC1205" s="11">
        <f>IF(O1205="","",IF(J1205="GST 10%",ROUND(O1205*set_GSTRate,2),0))</f>
        <v/>
      </c>
      <c r="BD1205" s="11">
        <f>IF(O1205="","",O1205+BC1205)</f>
        <v/>
      </c>
      <c r="BE1205" s="15">
        <f>IF(O1205="","",COUNTA(S1205,V1205,Y1205,AB1205,AE1205,AH1205,AK1205,AN1205,AQ1205,AT1205,AW1205,AZ1205))</f>
        <v/>
      </c>
      <c r="BF1205" s="16">
        <f>IF(COUNT(T1205,W1205,Z1205,AC1205,AF1205,AI1205,AL1205,AO1205,AR1205,AU1205,AX1205,BA1205)=0,"",MAX(T1205,W1205,Z1205,AC1205,AF1205,AI1205,AL1205,AO1205,AR1205,AU1205,AX1205,BA1205))</f>
        <v/>
      </c>
      <c r="BG1205" s="10">
        <f>MID(IF(S1205="","",", "&amp;S1205)&amp;IF(V1205="","",", "&amp;V1205)&amp;IF(Y1205="","",", "&amp;Y1205)&amp;IF(AB1205="","",", "&amp;AB1205)&amp;IF(AE1205="","",", "&amp;AE1205)&amp;IF(AH1205="","",", "&amp;AH1205)&amp;IF(AK1205="","",", "&amp;AK1205)&amp;IF(AN1205="","",", "&amp;AN1205)&amp;IF(AQ1205="","",", "&amp;AQ1205)&amp;IF(AT1205="","",", "&amp;AT1205)&amp;IF(AW1205="","",", "&amp;AW1205)&amp;IF(AZ1205="","",", "&amp;AZ1205),3,500)</f>
        <v/>
      </c>
      <c r="BH1205" s="12" t="n"/>
      <c r="BI1205" s="15">
        <f>IFERROR(MATCH($A1205,IF($B1205="Onsite",tbl_Onsite[Row ID],IF($B1205="Production",tbl_Production[Row ID],tbl_Consulting[Row ID])),0),"")</f>
        <v/>
      </c>
    </row>
    <row r="1206">
      <c r="A1206" s="10" t="inlineStr">
        <is>
          <t>CON-0200</t>
        </is>
      </c>
      <c r="B1206" s="10" t="inlineStr">
        <is>
          <t>Consulting</t>
        </is>
      </c>
      <c r="C1206" s="10">
        <f>IF($BI1206="","",IF($B1206="Onsite",INDEX(tbl_Onsite[Job Number],$BI1206),IF($B1206="Production",INDEX(tbl_Production[Job Number],$BI1206),INDEX(tbl_Consulting[Job Number],$BI1206)))&amp;"")</f>
        <v/>
      </c>
      <c r="D1206" s="10">
        <f>IF($BI1206="","",IF($B1206="Onsite",INDEX(tbl_Onsite[Client],$BI1206),IF($B1206="Production",INDEX(tbl_Production[Client],$BI1206),INDEX(tbl_Consulting[Client],$BI1206)))&amp;"")</f>
        <v/>
      </c>
      <c r="E1206" s="10">
        <f>IF($C1206="","",IF(COUNTIF(lst_Jobs,$C1206)&gt;0,"OK","CHECK"))</f>
        <v/>
      </c>
      <c r="F1206" s="10">
        <f>IF($C1206="","",IFERROR(INDEX(lst_JobName,MATCH($C1206,lst_Jobs,0)),""))</f>
        <v/>
      </c>
      <c r="G1206" s="10">
        <f>IF($BI1206="","",IF($B1206="Onsite",INDEX(tbl_Onsite[Job Description],$BI1206),IF($B1206="Production",INDEX(tbl_Production[Job Description],$BI1206),INDEX(tbl_Consulting[Job Description],$BI1206)))&amp;"")</f>
        <v/>
      </c>
      <c r="H1206" s="10">
        <f>IF($BI1206="","",IF($B1206="Onsite",INDEX(tbl_Onsite[Cost Centre],$BI1206),IF($B1206="Production",INDEX(tbl_Production[Cost Centre],$BI1206),INDEX(tbl_Consulting[Cost Centre],$BI1206)))&amp;"")</f>
        <v/>
      </c>
      <c r="I1206" s="10">
        <f>IF($BI1206="","",IF($B1206="Onsite",INDEX(tbl_Onsite[Invoice Type],$BI1206),IF($B1206="Production",INDEX(tbl_Production[Invoice Type],$BI1206),INDEX(tbl_Consulting[Invoice Type],$BI1206)))&amp;"")</f>
        <v/>
      </c>
      <c r="J1206" s="10">
        <f>IF($BI1206="","",IF($B1206="Onsite",INDEX(tbl_Onsite[Tax Code],$BI1206),IF($B1206="Production",INDEX(tbl_Production[Tax Code],$BI1206),INDEX(tbl_Consulting[Tax Code],$BI1206)))&amp;"")</f>
        <v/>
      </c>
      <c r="K1206" s="10">
        <f>IF(H1206="","",IFERROR(INDEX(lst_CCtoGL,MATCH(H1206,lst_CCforGL,0)),""))</f>
        <v/>
      </c>
      <c r="L1206" s="10">
        <f>IF($BI1206="","",IF($B1206="Onsite",INDEX(tbl_Onsite[PO / Reference],$BI1206),IF($B1206="Production",INDEX(tbl_Production[Current RMS No],$BI1206),INDEX(tbl_Consulting[Qwilr Quote],$BI1206)))&amp;"")</f>
        <v/>
      </c>
      <c r="M1206" s="10">
        <f>IF($BI1206="","",IF($B1206="Onsite",INDEX(tbl_Onsite[Notes],$BI1206),IF($B1206="Production",INDEX(tbl_Production[Notes],$BI1206),INDEX(tbl_Consulting[Notes],$BI1206)))&amp;"")</f>
        <v/>
      </c>
      <c r="N1206" s="11">
        <f>IF($BI1206="","",IF(IF($B1206="Onsite",INDEX(tbl_Onsite[Expected Revenue Ex GST],$BI1206),IF($B1206="Production",INDEX(tbl_Production[Expected Revenue Ex GST],$BI1206),INDEX(tbl_Consulting[Expected Revenue Ex GST],$BI1206)))="","",IF($B1206="Onsite",INDEX(tbl_Onsite[Expected Revenue Ex GST],$BI1206),IF($B1206="Production",INDEX(tbl_Production[Expected Revenue Ex GST],$BI1206),INDEX(tbl_Consulting[Expected Revenue Ex GST],$BI1206)))))</f>
        <v/>
      </c>
      <c r="O1206" s="11">
        <f>IF(AND($C1206="",NOT(COUNTA($S1206:$BB1206)&gt;0)),"",SUM(U1206,X1206,AA1206,AD1206,AG1206,AJ1206,AM1206,AP1206,AS1206,AV1206,AY1206,BB1206))</f>
        <v/>
      </c>
      <c r="P1206" s="11">
        <f>IF(O1206="","",N(N1206)-O1206)</f>
        <v/>
      </c>
      <c r="Q1206" s="10">
        <f>IF(O1206="","",IF($C1206="","Invoice on empty job row",IF(N1206="",IF(ROUND(O1206,2)=0,"No dept value","Invoiced - no dept value"),IF(ROUND(O1206,2)=0,"Not invoiced - to invoice",IF(ROUND(P1206,2)=0,"Agrees",IF(P1206&gt;0,"Dept higher - to invoice","Xero higher - check dept"))))))</f>
        <v/>
      </c>
      <c r="R1206" s="10">
        <f>IF(AND($C1206="",NOT(COUNTA($S1206:$BB1206)&gt;0),$BI1206&lt;&gt;""),"",MID(IF($BI1206="","; Row ID not found on the department sheet - a row was deleted","")&amp;IF(AND($C1206="",COUNTA($S1206:$BB1206)&gt;0),"; Invoice entered but the department row has no job number","")&amp;IF(E1206="CHECK","; Job number not in the Xero job list","")&amp;IF(AND($C1206&lt;&gt;"",COUNTIF($C$7:$C$1506,$C1206)&gt;1),"; Job number on more than one row","")&amp;IF(AND($C1206&lt;&gt;"",H1206=""),"; Dept has not set a cost centre","")&amp;IF(AND($C1206&lt;&gt;"",J1206=""),"; Dept has not set a tax code","")&amp;IF(AND($C1206&lt;&gt;"",N1206=""),"; Dept has not entered an expected value","")&amp;IF((IF(OR(COUNTA(S1206:U1206)=0,AND(COUNTA(S1206:U1206)=3,ISNUMBER(U1206))),0,1)+IF(OR(COUNTA(V1206:X1206)=0,AND(COUNTA(V1206:X1206)=3,ISNUMBER(X1206))),0,1)+IF(OR(COUNTA(Y1206:AA1206)=0,AND(COUNTA(Y1206:AA1206)=3,ISNUMBER(AA1206))),0,1)+IF(OR(COUNTA(AB1206:AD1206)=0,AND(COUNTA(AB1206:AD1206)=3,ISNUMBER(AD1206))),0,1)+IF(OR(COUNTA(AE1206:AG1206)=0,AND(COUNTA(AE1206:AG1206)=3,ISNUMBER(AG1206))),0,1)+IF(OR(COUNTA(AH1206:AJ1206)=0,AND(COUNTA(AH1206:AJ1206)=3,ISNUMBER(AJ1206))),0,1)+IF(OR(COUNTA(AK1206:AM1206)=0,AND(COUNTA(AK1206:AM1206)=3,ISNUMBER(AM1206))),0,1)+IF(OR(COUNTA(AN1206:AP1206)=0,AND(COUNTA(AN1206:AP1206)=3,ISNUMBER(AP1206))),0,1)+IF(OR(COUNTA(AQ1206:AS1206)=0,AND(COUNTA(AQ1206:AS1206)=3,ISNUMBER(AS1206))),0,1)+IF(OR(COUNTA(AT1206:AV1206)=0,AND(COUNTA(AT1206:AV1206)=3,ISNUMBER(AV1206))),0,1)+IF(OR(COUNTA(AW1206:AY1206)=0,AND(COUNTA(AW1206:AY1206)=3,ISNUMBER(AY1206))),0,1)+IF(OR(COUNTA(AZ1206:BB1206)=0,AND(COUNTA(AZ1206:BB1206)=3,ISNUMBER(BB1206))),0,1))&gt;0,"; An invoice is incomplete (needs No, Date and a number in Ex GST)","")&amp;IF((IF(T1206="",0,IFERROR(--(EOMONTH(T1206,0)&lt;&gt;S$5),1))+IF(W1206="",0,IFERROR(--(EOMONTH(W1206,0)&lt;&gt;V$5),1))+IF(Z1206="",0,IFERROR(--(EOMONTH(Z1206,0)&lt;&gt;Y$5),1))+IF(AC1206="",0,IFERROR(--(EOMONTH(AC1206,0)&lt;&gt;AB$5),1))+IF(AF1206="",0,IFERROR(--(EOMONTH(AF1206,0)&lt;&gt;AE$5),1))+IF(AI1206="",0,IFERROR(--(EOMONTH(AI1206,0)&lt;&gt;AH$5),1))+IF(AL1206="",0,IFERROR(--(EOMONTH(AL1206,0)&lt;&gt;AK$5),1))+IF(AO1206="",0,IFERROR(--(EOMONTH(AO1206,0)&lt;&gt;AN$5),1))+IF(AR1206="",0,IFERROR(--(EOMONTH(AR1206,0)&lt;&gt;AQ$5),1))+IF(AU1206="",0,IFERROR(--(EOMONTH(AU1206,0)&lt;&gt;AT$5),1))+IF(AX1206="",0,IFERROR(--(EOMONTH(AX1206,0)&lt;&gt;AW$5),1))+IF(BA1206="",0,IFERROR(--(EOMONTH(BA1206,0)&lt;&gt;AZ$5),1)))&gt;0,"; An invoice date is not in the month it is typed under",""),3,500))</f>
        <v/>
      </c>
      <c r="S1206" s="12" t="n"/>
      <c r="T1206" s="13" t="n"/>
      <c r="U1206" s="14" t="n"/>
      <c r="V1206" s="12" t="n"/>
      <c r="W1206" s="13" t="n"/>
      <c r="X1206" s="14" t="n"/>
      <c r="Y1206" s="12" t="n"/>
      <c r="Z1206" s="13" t="n"/>
      <c r="AA1206" s="14" t="n"/>
      <c r="AB1206" s="12" t="n"/>
      <c r="AC1206" s="13" t="n"/>
      <c r="AD1206" s="14" t="n"/>
      <c r="AE1206" s="12" t="n"/>
      <c r="AF1206" s="13" t="n"/>
      <c r="AG1206" s="14" t="n"/>
      <c r="AH1206" s="12" t="n"/>
      <c r="AI1206" s="13" t="n"/>
      <c r="AJ1206" s="14" t="n"/>
      <c r="AK1206" s="12" t="n"/>
      <c r="AL1206" s="13" t="n"/>
      <c r="AM1206" s="14" t="n"/>
      <c r="AN1206" s="12" t="n"/>
      <c r="AO1206" s="13" t="n"/>
      <c r="AP1206" s="14" t="n"/>
      <c r="AQ1206" s="12" t="n"/>
      <c r="AR1206" s="13" t="n"/>
      <c r="AS1206" s="14" t="n"/>
      <c r="AT1206" s="12" t="n"/>
      <c r="AU1206" s="13" t="n"/>
      <c r="AV1206" s="14" t="n"/>
      <c r="AW1206" s="12" t="n"/>
      <c r="AX1206" s="13" t="n"/>
      <c r="AY1206" s="14" t="n"/>
      <c r="AZ1206" s="12" t="n"/>
      <c r="BA1206" s="13" t="n"/>
      <c r="BB1206" s="14" t="n"/>
      <c r="BC1206" s="11">
        <f>IF(O1206="","",IF(J1206="GST 10%",ROUND(O1206*set_GSTRate,2),0))</f>
        <v/>
      </c>
      <c r="BD1206" s="11">
        <f>IF(O1206="","",O1206+BC1206)</f>
        <v/>
      </c>
      <c r="BE1206" s="15">
        <f>IF(O1206="","",COUNTA(S1206,V1206,Y1206,AB1206,AE1206,AH1206,AK1206,AN1206,AQ1206,AT1206,AW1206,AZ1206))</f>
        <v/>
      </c>
      <c r="BF1206" s="16">
        <f>IF(COUNT(T1206,W1206,Z1206,AC1206,AF1206,AI1206,AL1206,AO1206,AR1206,AU1206,AX1206,BA1206)=0,"",MAX(T1206,W1206,Z1206,AC1206,AF1206,AI1206,AL1206,AO1206,AR1206,AU1206,AX1206,BA1206))</f>
        <v/>
      </c>
      <c r="BG1206" s="10">
        <f>MID(IF(S1206="","",", "&amp;S1206)&amp;IF(V1206="","",", "&amp;V1206)&amp;IF(Y1206="","",", "&amp;Y1206)&amp;IF(AB1206="","",", "&amp;AB1206)&amp;IF(AE1206="","",", "&amp;AE1206)&amp;IF(AH1206="","",", "&amp;AH1206)&amp;IF(AK1206="","",", "&amp;AK1206)&amp;IF(AN1206="","",", "&amp;AN1206)&amp;IF(AQ1206="","",", "&amp;AQ1206)&amp;IF(AT1206="","",", "&amp;AT1206)&amp;IF(AW1206="","",", "&amp;AW1206)&amp;IF(AZ1206="","",", "&amp;AZ1206),3,500)</f>
        <v/>
      </c>
      <c r="BH1206" s="12" t="n"/>
      <c r="BI1206" s="15">
        <f>IFERROR(MATCH($A1206,IF($B1206="Onsite",tbl_Onsite[Row ID],IF($B1206="Production",tbl_Production[Row ID],tbl_Consulting[Row ID])),0),"")</f>
        <v/>
      </c>
    </row>
    <row r="1207">
      <c r="A1207" s="10" t="inlineStr">
        <is>
          <t>CON-0201</t>
        </is>
      </c>
      <c r="B1207" s="10" t="inlineStr">
        <is>
          <t>Consulting</t>
        </is>
      </c>
      <c r="C1207" s="10">
        <f>IF($BI1207="","",IF($B1207="Onsite",INDEX(tbl_Onsite[Job Number],$BI1207),IF($B1207="Production",INDEX(tbl_Production[Job Number],$BI1207),INDEX(tbl_Consulting[Job Number],$BI1207)))&amp;"")</f>
        <v/>
      </c>
      <c r="D1207" s="10">
        <f>IF($BI1207="","",IF($B1207="Onsite",INDEX(tbl_Onsite[Client],$BI1207),IF($B1207="Production",INDEX(tbl_Production[Client],$BI1207),INDEX(tbl_Consulting[Client],$BI1207)))&amp;"")</f>
        <v/>
      </c>
      <c r="E1207" s="10">
        <f>IF($C1207="","",IF(COUNTIF(lst_Jobs,$C1207)&gt;0,"OK","CHECK"))</f>
        <v/>
      </c>
      <c r="F1207" s="10">
        <f>IF($C1207="","",IFERROR(INDEX(lst_JobName,MATCH($C1207,lst_Jobs,0)),""))</f>
        <v/>
      </c>
      <c r="G1207" s="10">
        <f>IF($BI1207="","",IF($B1207="Onsite",INDEX(tbl_Onsite[Job Description],$BI1207),IF($B1207="Production",INDEX(tbl_Production[Job Description],$BI1207),INDEX(tbl_Consulting[Job Description],$BI1207)))&amp;"")</f>
        <v/>
      </c>
      <c r="H1207" s="10">
        <f>IF($BI1207="","",IF($B1207="Onsite",INDEX(tbl_Onsite[Cost Centre],$BI1207),IF($B1207="Production",INDEX(tbl_Production[Cost Centre],$BI1207),INDEX(tbl_Consulting[Cost Centre],$BI1207)))&amp;"")</f>
        <v/>
      </c>
      <c r="I1207" s="10">
        <f>IF($BI1207="","",IF($B1207="Onsite",INDEX(tbl_Onsite[Invoice Type],$BI1207),IF($B1207="Production",INDEX(tbl_Production[Invoice Type],$BI1207),INDEX(tbl_Consulting[Invoice Type],$BI1207)))&amp;"")</f>
        <v/>
      </c>
      <c r="J1207" s="10">
        <f>IF($BI1207="","",IF($B1207="Onsite",INDEX(tbl_Onsite[Tax Code],$BI1207),IF($B1207="Production",INDEX(tbl_Production[Tax Code],$BI1207),INDEX(tbl_Consulting[Tax Code],$BI1207)))&amp;"")</f>
        <v/>
      </c>
      <c r="K1207" s="10">
        <f>IF(H1207="","",IFERROR(INDEX(lst_CCtoGL,MATCH(H1207,lst_CCforGL,0)),""))</f>
        <v/>
      </c>
      <c r="L1207" s="10">
        <f>IF($BI1207="","",IF($B1207="Onsite",INDEX(tbl_Onsite[PO / Reference],$BI1207),IF($B1207="Production",INDEX(tbl_Production[Current RMS No],$BI1207),INDEX(tbl_Consulting[Qwilr Quote],$BI1207)))&amp;"")</f>
        <v/>
      </c>
      <c r="M1207" s="10">
        <f>IF($BI1207="","",IF($B1207="Onsite",INDEX(tbl_Onsite[Notes],$BI1207),IF($B1207="Production",INDEX(tbl_Production[Notes],$BI1207),INDEX(tbl_Consulting[Notes],$BI1207)))&amp;"")</f>
        <v/>
      </c>
      <c r="N1207" s="11">
        <f>IF($BI1207="","",IF(IF($B1207="Onsite",INDEX(tbl_Onsite[Expected Revenue Ex GST],$BI1207),IF($B1207="Production",INDEX(tbl_Production[Expected Revenue Ex GST],$BI1207),INDEX(tbl_Consulting[Expected Revenue Ex GST],$BI1207)))="","",IF($B1207="Onsite",INDEX(tbl_Onsite[Expected Revenue Ex GST],$BI1207),IF($B1207="Production",INDEX(tbl_Production[Expected Revenue Ex GST],$BI1207),INDEX(tbl_Consulting[Expected Revenue Ex GST],$BI1207)))))</f>
        <v/>
      </c>
      <c r="O1207" s="11">
        <f>IF(AND($C1207="",NOT(COUNTA($S1207:$BB1207)&gt;0)),"",SUM(U1207,X1207,AA1207,AD1207,AG1207,AJ1207,AM1207,AP1207,AS1207,AV1207,AY1207,BB1207))</f>
        <v/>
      </c>
      <c r="P1207" s="11">
        <f>IF(O1207="","",N(N1207)-O1207)</f>
        <v/>
      </c>
      <c r="Q1207" s="10">
        <f>IF(O1207="","",IF($C1207="","Invoice on empty job row",IF(N1207="",IF(ROUND(O1207,2)=0,"No dept value","Invoiced - no dept value"),IF(ROUND(O1207,2)=0,"Not invoiced - to invoice",IF(ROUND(P1207,2)=0,"Agrees",IF(P1207&gt;0,"Dept higher - to invoice","Xero higher - check dept"))))))</f>
        <v/>
      </c>
      <c r="R1207" s="10">
        <f>IF(AND($C1207="",NOT(COUNTA($S1207:$BB1207)&gt;0),$BI1207&lt;&gt;""),"",MID(IF($BI1207="","; Row ID not found on the department sheet - a row was deleted","")&amp;IF(AND($C1207="",COUNTA($S1207:$BB1207)&gt;0),"; Invoice entered but the department row has no job number","")&amp;IF(E1207="CHECK","; Job number not in the Xero job list","")&amp;IF(AND($C1207&lt;&gt;"",COUNTIF($C$7:$C$1506,$C1207)&gt;1),"; Job number on more than one row","")&amp;IF(AND($C1207&lt;&gt;"",H1207=""),"; Dept has not set a cost centre","")&amp;IF(AND($C1207&lt;&gt;"",J1207=""),"; Dept has not set a tax code","")&amp;IF(AND($C1207&lt;&gt;"",N1207=""),"; Dept has not entered an expected value","")&amp;IF((IF(OR(COUNTA(S1207:U1207)=0,AND(COUNTA(S1207:U1207)=3,ISNUMBER(U1207))),0,1)+IF(OR(COUNTA(V1207:X1207)=0,AND(COUNTA(V1207:X1207)=3,ISNUMBER(X1207))),0,1)+IF(OR(COUNTA(Y1207:AA1207)=0,AND(COUNTA(Y1207:AA1207)=3,ISNUMBER(AA1207))),0,1)+IF(OR(COUNTA(AB1207:AD1207)=0,AND(COUNTA(AB1207:AD1207)=3,ISNUMBER(AD1207))),0,1)+IF(OR(COUNTA(AE1207:AG1207)=0,AND(COUNTA(AE1207:AG1207)=3,ISNUMBER(AG1207))),0,1)+IF(OR(COUNTA(AH1207:AJ1207)=0,AND(COUNTA(AH1207:AJ1207)=3,ISNUMBER(AJ1207))),0,1)+IF(OR(COUNTA(AK1207:AM1207)=0,AND(COUNTA(AK1207:AM1207)=3,ISNUMBER(AM1207))),0,1)+IF(OR(COUNTA(AN1207:AP1207)=0,AND(COUNTA(AN1207:AP1207)=3,ISNUMBER(AP1207))),0,1)+IF(OR(COUNTA(AQ1207:AS1207)=0,AND(COUNTA(AQ1207:AS1207)=3,ISNUMBER(AS1207))),0,1)+IF(OR(COUNTA(AT1207:AV1207)=0,AND(COUNTA(AT1207:AV1207)=3,ISNUMBER(AV1207))),0,1)+IF(OR(COUNTA(AW1207:AY1207)=0,AND(COUNTA(AW1207:AY1207)=3,ISNUMBER(AY1207))),0,1)+IF(OR(COUNTA(AZ1207:BB1207)=0,AND(COUNTA(AZ1207:BB1207)=3,ISNUMBER(BB1207))),0,1))&gt;0,"; An invoice is incomplete (needs No, Date and a number in Ex GST)","")&amp;IF((IF(T1207="",0,IFERROR(--(EOMONTH(T1207,0)&lt;&gt;S$5),1))+IF(W1207="",0,IFERROR(--(EOMONTH(W1207,0)&lt;&gt;V$5),1))+IF(Z1207="",0,IFERROR(--(EOMONTH(Z1207,0)&lt;&gt;Y$5),1))+IF(AC1207="",0,IFERROR(--(EOMONTH(AC1207,0)&lt;&gt;AB$5),1))+IF(AF1207="",0,IFERROR(--(EOMONTH(AF1207,0)&lt;&gt;AE$5),1))+IF(AI1207="",0,IFERROR(--(EOMONTH(AI1207,0)&lt;&gt;AH$5),1))+IF(AL1207="",0,IFERROR(--(EOMONTH(AL1207,0)&lt;&gt;AK$5),1))+IF(AO1207="",0,IFERROR(--(EOMONTH(AO1207,0)&lt;&gt;AN$5),1))+IF(AR1207="",0,IFERROR(--(EOMONTH(AR1207,0)&lt;&gt;AQ$5),1))+IF(AU1207="",0,IFERROR(--(EOMONTH(AU1207,0)&lt;&gt;AT$5),1))+IF(AX1207="",0,IFERROR(--(EOMONTH(AX1207,0)&lt;&gt;AW$5),1))+IF(BA1207="",0,IFERROR(--(EOMONTH(BA1207,0)&lt;&gt;AZ$5),1)))&gt;0,"; An invoice date is not in the month it is typed under",""),3,500))</f>
        <v/>
      </c>
      <c r="S1207" s="12" t="n"/>
      <c r="T1207" s="13" t="n"/>
      <c r="U1207" s="14" t="n"/>
      <c r="V1207" s="12" t="n"/>
      <c r="W1207" s="13" t="n"/>
      <c r="X1207" s="14" t="n"/>
      <c r="Y1207" s="12" t="n"/>
      <c r="Z1207" s="13" t="n"/>
      <c r="AA1207" s="14" t="n"/>
      <c r="AB1207" s="12" t="n"/>
      <c r="AC1207" s="13" t="n"/>
      <c r="AD1207" s="14" t="n"/>
      <c r="AE1207" s="12" t="n"/>
      <c r="AF1207" s="13" t="n"/>
      <c r="AG1207" s="14" t="n"/>
      <c r="AH1207" s="12" t="n"/>
      <c r="AI1207" s="13" t="n"/>
      <c r="AJ1207" s="14" t="n"/>
      <c r="AK1207" s="12" t="n"/>
      <c r="AL1207" s="13" t="n"/>
      <c r="AM1207" s="14" t="n"/>
      <c r="AN1207" s="12" t="n"/>
      <c r="AO1207" s="13" t="n"/>
      <c r="AP1207" s="14" t="n"/>
      <c r="AQ1207" s="12" t="n"/>
      <c r="AR1207" s="13" t="n"/>
      <c r="AS1207" s="14" t="n"/>
      <c r="AT1207" s="12" t="n"/>
      <c r="AU1207" s="13" t="n"/>
      <c r="AV1207" s="14" t="n"/>
      <c r="AW1207" s="12" t="n"/>
      <c r="AX1207" s="13" t="n"/>
      <c r="AY1207" s="14" t="n"/>
      <c r="AZ1207" s="12" t="n"/>
      <c r="BA1207" s="13" t="n"/>
      <c r="BB1207" s="14" t="n"/>
      <c r="BC1207" s="11">
        <f>IF(O1207="","",IF(J1207="GST 10%",ROUND(O1207*set_GSTRate,2),0))</f>
        <v/>
      </c>
      <c r="BD1207" s="11">
        <f>IF(O1207="","",O1207+BC1207)</f>
        <v/>
      </c>
      <c r="BE1207" s="15">
        <f>IF(O1207="","",COUNTA(S1207,V1207,Y1207,AB1207,AE1207,AH1207,AK1207,AN1207,AQ1207,AT1207,AW1207,AZ1207))</f>
        <v/>
      </c>
      <c r="BF1207" s="16">
        <f>IF(COUNT(T1207,W1207,Z1207,AC1207,AF1207,AI1207,AL1207,AO1207,AR1207,AU1207,AX1207,BA1207)=0,"",MAX(T1207,W1207,Z1207,AC1207,AF1207,AI1207,AL1207,AO1207,AR1207,AU1207,AX1207,BA1207))</f>
        <v/>
      </c>
      <c r="BG1207" s="10">
        <f>MID(IF(S1207="","",", "&amp;S1207)&amp;IF(V1207="","",", "&amp;V1207)&amp;IF(Y1207="","",", "&amp;Y1207)&amp;IF(AB1207="","",", "&amp;AB1207)&amp;IF(AE1207="","",", "&amp;AE1207)&amp;IF(AH1207="","",", "&amp;AH1207)&amp;IF(AK1207="","",", "&amp;AK1207)&amp;IF(AN1207="","",", "&amp;AN1207)&amp;IF(AQ1207="","",", "&amp;AQ1207)&amp;IF(AT1207="","",", "&amp;AT1207)&amp;IF(AW1207="","",", "&amp;AW1207)&amp;IF(AZ1207="","",", "&amp;AZ1207),3,500)</f>
        <v/>
      </c>
      <c r="BH1207" s="12" t="n"/>
      <c r="BI1207" s="15">
        <f>IFERROR(MATCH($A1207,IF($B1207="Onsite",tbl_Onsite[Row ID],IF($B1207="Production",tbl_Production[Row ID],tbl_Consulting[Row ID])),0),"")</f>
        <v/>
      </c>
    </row>
    <row r="1208">
      <c r="A1208" s="10" t="inlineStr">
        <is>
          <t>CON-0202</t>
        </is>
      </c>
      <c r="B1208" s="10" t="inlineStr">
        <is>
          <t>Consulting</t>
        </is>
      </c>
      <c r="C1208" s="10">
        <f>IF($BI1208="","",IF($B1208="Onsite",INDEX(tbl_Onsite[Job Number],$BI1208),IF($B1208="Production",INDEX(tbl_Production[Job Number],$BI1208),INDEX(tbl_Consulting[Job Number],$BI1208)))&amp;"")</f>
        <v/>
      </c>
      <c r="D1208" s="10">
        <f>IF($BI1208="","",IF($B1208="Onsite",INDEX(tbl_Onsite[Client],$BI1208),IF($B1208="Production",INDEX(tbl_Production[Client],$BI1208),INDEX(tbl_Consulting[Client],$BI1208)))&amp;"")</f>
        <v/>
      </c>
      <c r="E1208" s="10">
        <f>IF($C1208="","",IF(COUNTIF(lst_Jobs,$C1208)&gt;0,"OK","CHECK"))</f>
        <v/>
      </c>
      <c r="F1208" s="10">
        <f>IF($C1208="","",IFERROR(INDEX(lst_JobName,MATCH($C1208,lst_Jobs,0)),""))</f>
        <v/>
      </c>
      <c r="G1208" s="10">
        <f>IF($BI1208="","",IF($B1208="Onsite",INDEX(tbl_Onsite[Job Description],$BI1208),IF($B1208="Production",INDEX(tbl_Production[Job Description],$BI1208),INDEX(tbl_Consulting[Job Description],$BI1208)))&amp;"")</f>
        <v/>
      </c>
      <c r="H1208" s="10">
        <f>IF($BI1208="","",IF($B1208="Onsite",INDEX(tbl_Onsite[Cost Centre],$BI1208),IF($B1208="Production",INDEX(tbl_Production[Cost Centre],$BI1208),INDEX(tbl_Consulting[Cost Centre],$BI1208)))&amp;"")</f>
        <v/>
      </c>
      <c r="I1208" s="10">
        <f>IF($BI1208="","",IF($B1208="Onsite",INDEX(tbl_Onsite[Invoice Type],$BI1208),IF($B1208="Production",INDEX(tbl_Production[Invoice Type],$BI1208),INDEX(tbl_Consulting[Invoice Type],$BI1208)))&amp;"")</f>
        <v/>
      </c>
      <c r="J1208" s="10">
        <f>IF($BI1208="","",IF($B1208="Onsite",INDEX(tbl_Onsite[Tax Code],$BI1208),IF($B1208="Production",INDEX(tbl_Production[Tax Code],$BI1208),INDEX(tbl_Consulting[Tax Code],$BI1208)))&amp;"")</f>
        <v/>
      </c>
      <c r="K1208" s="10">
        <f>IF(H1208="","",IFERROR(INDEX(lst_CCtoGL,MATCH(H1208,lst_CCforGL,0)),""))</f>
        <v/>
      </c>
      <c r="L1208" s="10">
        <f>IF($BI1208="","",IF($B1208="Onsite",INDEX(tbl_Onsite[PO / Reference],$BI1208),IF($B1208="Production",INDEX(tbl_Production[Current RMS No],$BI1208),INDEX(tbl_Consulting[Qwilr Quote],$BI1208)))&amp;"")</f>
        <v/>
      </c>
      <c r="M1208" s="10">
        <f>IF($BI1208="","",IF($B1208="Onsite",INDEX(tbl_Onsite[Notes],$BI1208),IF($B1208="Production",INDEX(tbl_Production[Notes],$BI1208),INDEX(tbl_Consulting[Notes],$BI1208)))&amp;"")</f>
        <v/>
      </c>
      <c r="N1208" s="11">
        <f>IF($BI1208="","",IF(IF($B1208="Onsite",INDEX(tbl_Onsite[Expected Revenue Ex GST],$BI1208),IF($B1208="Production",INDEX(tbl_Production[Expected Revenue Ex GST],$BI1208),INDEX(tbl_Consulting[Expected Revenue Ex GST],$BI1208)))="","",IF($B1208="Onsite",INDEX(tbl_Onsite[Expected Revenue Ex GST],$BI1208),IF($B1208="Production",INDEX(tbl_Production[Expected Revenue Ex GST],$BI1208),INDEX(tbl_Consulting[Expected Revenue Ex GST],$BI1208)))))</f>
        <v/>
      </c>
      <c r="O1208" s="11">
        <f>IF(AND($C1208="",NOT(COUNTA($S1208:$BB1208)&gt;0)),"",SUM(U1208,X1208,AA1208,AD1208,AG1208,AJ1208,AM1208,AP1208,AS1208,AV1208,AY1208,BB1208))</f>
        <v/>
      </c>
      <c r="P1208" s="11">
        <f>IF(O1208="","",N(N1208)-O1208)</f>
        <v/>
      </c>
      <c r="Q1208" s="10">
        <f>IF(O1208="","",IF($C1208="","Invoice on empty job row",IF(N1208="",IF(ROUND(O1208,2)=0,"No dept value","Invoiced - no dept value"),IF(ROUND(O1208,2)=0,"Not invoiced - to invoice",IF(ROUND(P1208,2)=0,"Agrees",IF(P1208&gt;0,"Dept higher - to invoice","Xero higher - check dept"))))))</f>
        <v/>
      </c>
      <c r="R1208" s="10">
        <f>IF(AND($C1208="",NOT(COUNTA($S1208:$BB1208)&gt;0),$BI1208&lt;&gt;""),"",MID(IF($BI1208="","; Row ID not found on the department sheet - a row was deleted","")&amp;IF(AND($C1208="",COUNTA($S1208:$BB1208)&gt;0),"; Invoice entered but the department row has no job number","")&amp;IF(E1208="CHECK","; Job number not in the Xero job list","")&amp;IF(AND($C1208&lt;&gt;"",COUNTIF($C$7:$C$1506,$C1208)&gt;1),"; Job number on more than one row","")&amp;IF(AND($C1208&lt;&gt;"",H1208=""),"; Dept has not set a cost centre","")&amp;IF(AND($C1208&lt;&gt;"",J1208=""),"; Dept has not set a tax code","")&amp;IF(AND($C1208&lt;&gt;"",N1208=""),"; Dept has not entered an expected value","")&amp;IF((IF(OR(COUNTA(S1208:U1208)=0,AND(COUNTA(S1208:U1208)=3,ISNUMBER(U1208))),0,1)+IF(OR(COUNTA(V1208:X1208)=0,AND(COUNTA(V1208:X1208)=3,ISNUMBER(X1208))),0,1)+IF(OR(COUNTA(Y1208:AA1208)=0,AND(COUNTA(Y1208:AA1208)=3,ISNUMBER(AA1208))),0,1)+IF(OR(COUNTA(AB1208:AD1208)=0,AND(COUNTA(AB1208:AD1208)=3,ISNUMBER(AD1208))),0,1)+IF(OR(COUNTA(AE1208:AG1208)=0,AND(COUNTA(AE1208:AG1208)=3,ISNUMBER(AG1208))),0,1)+IF(OR(COUNTA(AH1208:AJ1208)=0,AND(COUNTA(AH1208:AJ1208)=3,ISNUMBER(AJ1208))),0,1)+IF(OR(COUNTA(AK1208:AM1208)=0,AND(COUNTA(AK1208:AM1208)=3,ISNUMBER(AM1208))),0,1)+IF(OR(COUNTA(AN1208:AP1208)=0,AND(COUNTA(AN1208:AP1208)=3,ISNUMBER(AP1208))),0,1)+IF(OR(COUNTA(AQ1208:AS1208)=0,AND(COUNTA(AQ1208:AS1208)=3,ISNUMBER(AS1208))),0,1)+IF(OR(COUNTA(AT1208:AV1208)=0,AND(COUNTA(AT1208:AV1208)=3,ISNUMBER(AV1208))),0,1)+IF(OR(COUNTA(AW1208:AY1208)=0,AND(COUNTA(AW1208:AY1208)=3,ISNUMBER(AY1208))),0,1)+IF(OR(COUNTA(AZ1208:BB1208)=0,AND(COUNTA(AZ1208:BB1208)=3,ISNUMBER(BB1208))),0,1))&gt;0,"; An invoice is incomplete (needs No, Date and a number in Ex GST)","")&amp;IF((IF(T1208="",0,IFERROR(--(EOMONTH(T1208,0)&lt;&gt;S$5),1))+IF(W1208="",0,IFERROR(--(EOMONTH(W1208,0)&lt;&gt;V$5),1))+IF(Z1208="",0,IFERROR(--(EOMONTH(Z1208,0)&lt;&gt;Y$5),1))+IF(AC1208="",0,IFERROR(--(EOMONTH(AC1208,0)&lt;&gt;AB$5),1))+IF(AF1208="",0,IFERROR(--(EOMONTH(AF1208,0)&lt;&gt;AE$5),1))+IF(AI1208="",0,IFERROR(--(EOMONTH(AI1208,0)&lt;&gt;AH$5),1))+IF(AL1208="",0,IFERROR(--(EOMONTH(AL1208,0)&lt;&gt;AK$5),1))+IF(AO1208="",0,IFERROR(--(EOMONTH(AO1208,0)&lt;&gt;AN$5),1))+IF(AR1208="",0,IFERROR(--(EOMONTH(AR1208,0)&lt;&gt;AQ$5),1))+IF(AU1208="",0,IFERROR(--(EOMONTH(AU1208,0)&lt;&gt;AT$5),1))+IF(AX1208="",0,IFERROR(--(EOMONTH(AX1208,0)&lt;&gt;AW$5),1))+IF(BA1208="",0,IFERROR(--(EOMONTH(BA1208,0)&lt;&gt;AZ$5),1)))&gt;0,"; An invoice date is not in the month it is typed under",""),3,500))</f>
        <v/>
      </c>
      <c r="S1208" s="12" t="n"/>
      <c r="T1208" s="13" t="n"/>
      <c r="U1208" s="14" t="n"/>
      <c r="V1208" s="12" t="n"/>
      <c r="W1208" s="13" t="n"/>
      <c r="X1208" s="14" t="n"/>
      <c r="Y1208" s="12" t="n"/>
      <c r="Z1208" s="13" t="n"/>
      <c r="AA1208" s="14" t="n"/>
      <c r="AB1208" s="12" t="n"/>
      <c r="AC1208" s="13" t="n"/>
      <c r="AD1208" s="14" t="n"/>
      <c r="AE1208" s="12" t="n"/>
      <c r="AF1208" s="13" t="n"/>
      <c r="AG1208" s="14" t="n"/>
      <c r="AH1208" s="12" t="n"/>
      <c r="AI1208" s="13" t="n"/>
      <c r="AJ1208" s="14" t="n"/>
      <c r="AK1208" s="12" t="n"/>
      <c r="AL1208" s="13" t="n"/>
      <c r="AM1208" s="14" t="n"/>
      <c r="AN1208" s="12" t="n"/>
      <c r="AO1208" s="13" t="n"/>
      <c r="AP1208" s="14" t="n"/>
      <c r="AQ1208" s="12" t="n"/>
      <c r="AR1208" s="13" t="n"/>
      <c r="AS1208" s="14" t="n"/>
      <c r="AT1208" s="12" t="n"/>
      <c r="AU1208" s="13" t="n"/>
      <c r="AV1208" s="14" t="n"/>
      <c r="AW1208" s="12" t="n"/>
      <c r="AX1208" s="13" t="n"/>
      <c r="AY1208" s="14" t="n"/>
      <c r="AZ1208" s="12" t="n"/>
      <c r="BA1208" s="13" t="n"/>
      <c r="BB1208" s="14" t="n"/>
      <c r="BC1208" s="11">
        <f>IF(O1208="","",IF(J1208="GST 10%",ROUND(O1208*set_GSTRate,2),0))</f>
        <v/>
      </c>
      <c r="BD1208" s="11">
        <f>IF(O1208="","",O1208+BC1208)</f>
        <v/>
      </c>
      <c r="BE1208" s="15">
        <f>IF(O1208="","",COUNTA(S1208,V1208,Y1208,AB1208,AE1208,AH1208,AK1208,AN1208,AQ1208,AT1208,AW1208,AZ1208))</f>
        <v/>
      </c>
      <c r="BF1208" s="16">
        <f>IF(COUNT(T1208,W1208,Z1208,AC1208,AF1208,AI1208,AL1208,AO1208,AR1208,AU1208,AX1208,BA1208)=0,"",MAX(T1208,W1208,Z1208,AC1208,AF1208,AI1208,AL1208,AO1208,AR1208,AU1208,AX1208,BA1208))</f>
        <v/>
      </c>
      <c r="BG1208" s="10">
        <f>MID(IF(S1208="","",", "&amp;S1208)&amp;IF(V1208="","",", "&amp;V1208)&amp;IF(Y1208="","",", "&amp;Y1208)&amp;IF(AB1208="","",", "&amp;AB1208)&amp;IF(AE1208="","",", "&amp;AE1208)&amp;IF(AH1208="","",", "&amp;AH1208)&amp;IF(AK1208="","",", "&amp;AK1208)&amp;IF(AN1208="","",", "&amp;AN1208)&amp;IF(AQ1208="","",", "&amp;AQ1208)&amp;IF(AT1208="","",", "&amp;AT1208)&amp;IF(AW1208="","",", "&amp;AW1208)&amp;IF(AZ1208="","",", "&amp;AZ1208),3,500)</f>
        <v/>
      </c>
      <c r="BH1208" s="12" t="n"/>
      <c r="BI1208" s="15">
        <f>IFERROR(MATCH($A1208,IF($B1208="Onsite",tbl_Onsite[Row ID],IF($B1208="Production",tbl_Production[Row ID],tbl_Consulting[Row ID])),0),"")</f>
        <v/>
      </c>
    </row>
    <row r="1209">
      <c r="A1209" s="10" t="inlineStr">
        <is>
          <t>CON-0203</t>
        </is>
      </c>
      <c r="B1209" s="10" t="inlineStr">
        <is>
          <t>Consulting</t>
        </is>
      </c>
      <c r="C1209" s="10">
        <f>IF($BI1209="","",IF($B1209="Onsite",INDEX(tbl_Onsite[Job Number],$BI1209),IF($B1209="Production",INDEX(tbl_Production[Job Number],$BI1209),INDEX(tbl_Consulting[Job Number],$BI1209)))&amp;"")</f>
        <v/>
      </c>
      <c r="D1209" s="10">
        <f>IF($BI1209="","",IF($B1209="Onsite",INDEX(tbl_Onsite[Client],$BI1209),IF($B1209="Production",INDEX(tbl_Production[Client],$BI1209),INDEX(tbl_Consulting[Client],$BI1209)))&amp;"")</f>
        <v/>
      </c>
      <c r="E1209" s="10">
        <f>IF($C1209="","",IF(COUNTIF(lst_Jobs,$C1209)&gt;0,"OK","CHECK"))</f>
        <v/>
      </c>
      <c r="F1209" s="10">
        <f>IF($C1209="","",IFERROR(INDEX(lst_JobName,MATCH($C1209,lst_Jobs,0)),""))</f>
        <v/>
      </c>
      <c r="G1209" s="10">
        <f>IF($BI1209="","",IF($B1209="Onsite",INDEX(tbl_Onsite[Job Description],$BI1209),IF($B1209="Production",INDEX(tbl_Production[Job Description],$BI1209),INDEX(tbl_Consulting[Job Description],$BI1209)))&amp;"")</f>
        <v/>
      </c>
      <c r="H1209" s="10">
        <f>IF($BI1209="","",IF($B1209="Onsite",INDEX(tbl_Onsite[Cost Centre],$BI1209),IF($B1209="Production",INDEX(tbl_Production[Cost Centre],$BI1209),INDEX(tbl_Consulting[Cost Centre],$BI1209)))&amp;"")</f>
        <v/>
      </c>
      <c r="I1209" s="10">
        <f>IF($BI1209="","",IF($B1209="Onsite",INDEX(tbl_Onsite[Invoice Type],$BI1209),IF($B1209="Production",INDEX(tbl_Production[Invoice Type],$BI1209),INDEX(tbl_Consulting[Invoice Type],$BI1209)))&amp;"")</f>
        <v/>
      </c>
      <c r="J1209" s="10">
        <f>IF($BI1209="","",IF($B1209="Onsite",INDEX(tbl_Onsite[Tax Code],$BI1209),IF($B1209="Production",INDEX(tbl_Production[Tax Code],$BI1209),INDEX(tbl_Consulting[Tax Code],$BI1209)))&amp;"")</f>
        <v/>
      </c>
      <c r="K1209" s="10">
        <f>IF(H1209="","",IFERROR(INDEX(lst_CCtoGL,MATCH(H1209,lst_CCforGL,0)),""))</f>
        <v/>
      </c>
      <c r="L1209" s="10">
        <f>IF($BI1209="","",IF($B1209="Onsite",INDEX(tbl_Onsite[PO / Reference],$BI1209),IF($B1209="Production",INDEX(tbl_Production[Current RMS No],$BI1209),INDEX(tbl_Consulting[Qwilr Quote],$BI1209)))&amp;"")</f>
        <v/>
      </c>
      <c r="M1209" s="10">
        <f>IF($BI1209="","",IF($B1209="Onsite",INDEX(tbl_Onsite[Notes],$BI1209),IF($B1209="Production",INDEX(tbl_Production[Notes],$BI1209),INDEX(tbl_Consulting[Notes],$BI1209)))&amp;"")</f>
        <v/>
      </c>
      <c r="N1209" s="11">
        <f>IF($BI1209="","",IF(IF($B1209="Onsite",INDEX(tbl_Onsite[Expected Revenue Ex GST],$BI1209),IF($B1209="Production",INDEX(tbl_Production[Expected Revenue Ex GST],$BI1209),INDEX(tbl_Consulting[Expected Revenue Ex GST],$BI1209)))="","",IF($B1209="Onsite",INDEX(tbl_Onsite[Expected Revenue Ex GST],$BI1209),IF($B1209="Production",INDEX(tbl_Production[Expected Revenue Ex GST],$BI1209),INDEX(tbl_Consulting[Expected Revenue Ex GST],$BI1209)))))</f>
        <v/>
      </c>
      <c r="O1209" s="11">
        <f>IF(AND($C1209="",NOT(COUNTA($S1209:$BB1209)&gt;0)),"",SUM(U1209,X1209,AA1209,AD1209,AG1209,AJ1209,AM1209,AP1209,AS1209,AV1209,AY1209,BB1209))</f>
        <v/>
      </c>
      <c r="P1209" s="11">
        <f>IF(O1209="","",N(N1209)-O1209)</f>
        <v/>
      </c>
      <c r="Q1209" s="10">
        <f>IF(O1209="","",IF($C1209="","Invoice on empty job row",IF(N1209="",IF(ROUND(O1209,2)=0,"No dept value","Invoiced - no dept value"),IF(ROUND(O1209,2)=0,"Not invoiced - to invoice",IF(ROUND(P1209,2)=0,"Agrees",IF(P1209&gt;0,"Dept higher - to invoice","Xero higher - check dept"))))))</f>
        <v/>
      </c>
      <c r="R1209" s="10">
        <f>IF(AND($C1209="",NOT(COUNTA($S1209:$BB1209)&gt;0),$BI1209&lt;&gt;""),"",MID(IF($BI1209="","; Row ID not found on the department sheet - a row was deleted","")&amp;IF(AND($C1209="",COUNTA($S1209:$BB1209)&gt;0),"; Invoice entered but the department row has no job number","")&amp;IF(E1209="CHECK","; Job number not in the Xero job list","")&amp;IF(AND($C1209&lt;&gt;"",COUNTIF($C$7:$C$1506,$C1209)&gt;1),"; Job number on more than one row","")&amp;IF(AND($C1209&lt;&gt;"",H1209=""),"; Dept has not set a cost centre","")&amp;IF(AND($C1209&lt;&gt;"",J1209=""),"; Dept has not set a tax code","")&amp;IF(AND($C1209&lt;&gt;"",N1209=""),"; Dept has not entered an expected value","")&amp;IF((IF(OR(COUNTA(S1209:U1209)=0,AND(COUNTA(S1209:U1209)=3,ISNUMBER(U1209))),0,1)+IF(OR(COUNTA(V1209:X1209)=0,AND(COUNTA(V1209:X1209)=3,ISNUMBER(X1209))),0,1)+IF(OR(COUNTA(Y1209:AA1209)=0,AND(COUNTA(Y1209:AA1209)=3,ISNUMBER(AA1209))),0,1)+IF(OR(COUNTA(AB1209:AD1209)=0,AND(COUNTA(AB1209:AD1209)=3,ISNUMBER(AD1209))),0,1)+IF(OR(COUNTA(AE1209:AG1209)=0,AND(COUNTA(AE1209:AG1209)=3,ISNUMBER(AG1209))),0,1)+IF(OR(COUNTA(AH1209:AJ1209)=0,AND(COUNTA(AH1209:AJ1209)=3,ISNUMBER(AJ1209))),0,1)+IF(OR(COUNTA(AK1209:AM1209)=0,AND(COUNTA(AK1209:AM1209)=3,ISNUMBER(AM1209))),0,1)+IF(OR(COUNTA(AN1209:AP1209)=0,AND(COUNTA(AN1209:AP1209)=3,ISNUMBER(AP1209))),0,1)+IF(OR(COUNTA(AQ1209:AS1209)=0,AND(COUNTA(AQ1209:AS1209)=3,ISNUMBER(AS1209))),0,1)+IF(OR(COUNTA(AT1209:AV1209)=0,AND(COUNTA(AT1209:AV1209)=3,ISNUMBER(AV1209))),0,1)+IF(OR(COUNTA(AW1209:AY1209)=0,AND(COUNTA(AW1209:AY1209)=3,ISNUMBER(AY1209))),0,1)+IF(OR(COUNTA(AZ1209:BB1209)=0,AND(COUNTA(AZ1209:BB1209)=3,ISNUMBER(BB1209))),0,1))&gt;0,"; An invoice is incomplete (needs No, Date and a number in Ex GST)","")&amp;IF((IF(T1209="",0,IFERROR(--(EOMONTH(T1209,0)&lt;&gt;S$5),1))+IF(W1209="",0,IFERROR(--(EOMONTH(W1209,0)&lt;&gt;V$5),1))+IF(Z1209="",0,IFERROR(--(EOMONTH(Z1209,0)&lt;&gt;Y$5),1))+IF(AC1209="",0,IFERROR(--(EOMONTH(AC1209,0)&lt;&gt;AB$5),1))+IF(AF1209="",0,IFERROR(--(EOMONTH(AF1209,0)&lt;&gt;AE$5),1))+IF(AI1209="",0,IFERROR(--(EOMONTH(AI1209,0)&lt;&gt;AH$5),1))+IF(AL1209="",0,IFERROR(--(EOMONTH(AL1209,0)&lt;&gt;AK$5),1))+IF(AO1209="",0,IFERROR(--(EOMONTH(AO1209,0)&lt;&gt;AN$5),1))+IF(AR1209="",0,IFERROR(--(EOMONTH(AR1209,0)&lt;&gt;AQ$5),1))+IF(AU1209="",0,IFERROR(--(EOMONTH(AU1209,0)&lt;&gt;AT$5),1))+IF(AX1209="",0,IFERROR(--(EOMONTH(AX1209,0)&lt;&gt;AW$5),1))+IF(BA1209="",0,IFERROR(--(EOMONTH(BA1209,0)&lt;&gt;AZ$5),1)))&gt;0,"; An invoice date is not in the month it is typed under",""),3,500))</f>
        <v/>
      </c>
      <c r="S1209" s="12" t="n"/>
      <c r="T1209" s="13" t="n"/>
      <c r="U1209" s="14" t="n"/>
      <c r="V1209" s="12" t="n"/>
      <c r="W1209" s="13" t="n"/>
      <c r="X1209" s="14" t="n"/>
      <c r="Y1209" s="12" t="n"/>
      <c r="Z1209" s="13" t="n"/>
      <c r="AA1209" s="14" t="n"/>
      <c r="AB1209" s="12" t="n"/>
      <c r="AC1209" s="13" t="n"/>
      <c r="AD1209" s="14" t="n"/>
      <c r="AE1209" s="12" t="n"/>
      <c r="AF1209" s="13" t="n"/>
      <c r="AG1209" s="14" t="n"/>
      <c r="AH1209" s="12" t="n"/>
      <c r="AI1209" s="13" t="n"/>
      <c r="AJ1209" s="14" t="n"/>
      <c r="AK1209" s="12" t="n"/>
      <c r="AL1209" s="13" t="n"/>
      <c r="AM1209" s="14" t="n"/>
      <c r="AN1209" s="12" t="n"/>
      <c r="AO1209" s="13" t="n"/>
      <c r="AP1209" s="14" t="n"/>
      <c r="AQ1209" s="12" t="n"/>
      <c r="AR1209" s="13" t="n"/>
      <c r="AS1209" s="14" t="n"/>
      <c r="AT1209" s="12" t="n"/>
      <c r="AU1209" s="13" t="n"/>
      <c r="AV1209" s="14" t="n"/>
      <c r="AW1209" s="12" t="n"/>
      <c r="AX1209" s="13" t="n"/>
      <c r="AY1209" s="14" t="n"/>
      <c r="AZ1209" s="12" t="n"/>
      <c r="BA1209" s="13" t="n"/>
      <c r="BB1209" s="14" t="n"/>
      <c r="BC1209" s="11">
        <f>IF(O1209="","",IF(J1209="GST 10%",ROUND(O1209*set_GSTRate,2),0))</f>
        <v/>
      </c>
      <c r="BD1209" s="11">
        <f>IF(O1209="","",O1209+BC1209)</f>
        <v/>
      </c>
      <c r="BE1209" s="15">
        <f>IF(O1209="","",COUNTA(S1209,V1209,Y1209,AB1209,AE1209,AH1209,AK1209,AN1209,AQ1209,AT1209,AW1209,AZ1209))</f>
        <v/>
      </c>
      <c r="BF1209" s="16">
        <f>IF(COUNT(T1209,W1209,Z1209,AC1209,AF1209,AI1209,AL1209,AO1209,AR1209,AU1209,AX1209,BA1209)=0,"",MAX(T1209,W1209,Z1209,AC1209,AF1209,AI1209,AL1209,AO1209,AR1209,AU1209,AX1209,BA1209))</f>
        <v/>
      </c>
      <c r="BG1209" s="10">
        <f>MID(IF(S1209="","",", "&amp;S1209)&amp;IF(V1209="","",", "&amp;V1209)&amp;IF(Y1209="","",", "&amp;Y1209)&amp;IF(AB1209="","",", "&amp;AB1209)&amp;IF(AE1209="","",", "&amp;AE1209)&amp;IF(AH1209="","",", "&amp;AH1209)&amp;IF(AK1209="","",", "&amp;AK1209)&amp;IF(AN1209="","",", "&amp;AN1209)&amp;IF(AQ1209="","",", "&amp;AQ1209)&amp;IF(AT1209="","",", "&amp;AT1209)&amp;IF(AW1209="","",", "&amp;AW1209)&amp;IF(AZ1209="","",", "&amp;AZ1209),3,500)</f>
        <v/>
      </c>
      <c r="BH1209" s="12" t="n"/>
      <c r="BI1209" s="15">
        <f>IFERROR(MATCH($A1209,IF($B1209="Onsite",tbl_Onsite[Row ID],IF($B1209="Production",tbl_Production[Row ID],tbl_Consulting[Row ID])),0),"")</f>
        <v/>
      </c>
    </row>
    <row r="1210">
      <c r="A1210" s="10" t="inlineStr">
        <is>
          <t>CON-0204</t>
        </is>
      </c>
      <c r="B1210" s="10" t="inlineStr">
        <is>
          <t>Consulting</t>
        </is>
      </c>
      <c r="C1210" s="10">
        <f>IF($BI1210="","",IF($B1210="Onsite",INDEX(tbl_Onsite[Job Number],$BI1210),IF($B1210="Production",INDEX(tbl_Production[Job Number],$BI1210),INDEX(tbl_Consulting[Job Number],$BI1210)))&amp;"")</f>
        <v/>
      </c>
      <c r="D1210" s="10">
        <f>IF($BI1210="","",IF($B1210="Onsite",INDEX(tbl_Onsite[Client],$BI1210),IF($B1210="Production",INDEX(tbl_Production[Client],$BI1210),INDEX(tbl_Consulting[Client],$BI1210)))&amp;"")</f>
        <v/>
      </c>
      <c r="E1210" s="10">
        <f>IF($C1210="","",IF(COUNTIF(lst_Jobs,$C1210)&gt;0,"OK","CHECK"))</f>
        <v/>
      </c>
      <c r="F1210" s="10">
        <f>IF($C1210="","",IFERROR(INDEX(lst_JobName,MATCH($C1210,lst_Jobs,0)),""))</f>
        <v/>
      </c>
      <c r="G1210" s="10">
        <f>IF($BI1210="","",IF($B1210="Onsite",INDEX(tbl_Onsite[Job Description],$BI1210),IF($B1210="Production",INDEX(tbl_Production[Job Description],$BI1210),INDEX(tbl_Consulting[Job Description],$BI1210)))&amp;"")</f>
        <v/>
      </c>
      <c r="H1210" s="10">
        <f>IF($BI1210="","",IF($B1210="Onsite",INDEX(tbl_Onsite[Cost Centre],$BI1210),IF($B1210="Production",INDEX(tbl_Production[Cost Centre],$BI1210),INDEX(tbl_Consulting[Cost Centre],$BI1210)))&amp;"")</f>
        <v/>
      </c>
      <c r="I1210" s="10">
        <f>IF($BI1210="","",IF($B1210="Onsite",INDEX(tbl_Onsite[Invoice Type],$BI1210),IF($B1210="Production",INDEX(tbl_Production[Invoice Type],$BI1210),INDEX(tbl_Consulting[Invoice Type],$BI1210)))&amp;"")</f>
        <v/>
      </c>
      <c r="J1210" s="10">
        <f>IF($BI1210="","",IF($B1210="Onsite",INDEX(tbl_Onsite[Tax Code],$BI1210),IF($B1210="Production",INDEX(tbl_Production[Tax Code],$BI1210),INDEX(tbl_Consulting[Tax Code],$BI1210)))&amp;"")</f>
        <v/>
      </c>
      <c r="K1210" s="10">
        <f>IF(H1210="","",IFERROR(INDEX(lst_CCtoGL,MATCH(H1210,lst_CCforGL,0)),""))</f>
        <v/>
      </c>
      <c r="L1210" s="10">
        <f>IF($BI1210="","",IF($B1210="Onsite",INDEX(tbl_Onsite[PO / Reference],$BI1210),IF($B1210="Production",INDEX(tbl_Production[Current RMS No],$BI1210),INDEX(tbl_Consulting[Qwilr Quote],$BI1210)))&amp;"")</f>
        <v/>
      </c>
      <c r="M1210" s="10">
        <f>IF($BI1210="","",IF($B1210="Onsite",INDEX(tbl_Onsite[Notes],$BI1210),IF($B1210="Production",INDEX(tbl_Production[Notes],$BI1210),INDEX(tbl_Consulting[Notes],$BI1210)))&amp;"")</f>
        <v/>
      </c>
      <c r="N1210" s="11">
        <f>IF($BI1210="","",IF(IF($B1210="Onsite",INDEX(tbl_Onsite[Expected Revenue Ex GST],$BI1210),IF($B1210="Production",INDEX(tbl_Production[Expected Revenue Ex GST],$BI1210),INDEX(tbl_Consulting[Expected Revenue Ex GST],$BI1210)))="","",IF($B1210="Onsite",INDEX(tbl_Onsite[Expected Revenue Ex GST],$BI1210),IF($B1210="Production",INDEX(tbl_Production[Expected Revenue Ex GST],$BI1210),INDEX(tbl_Consulting[Expected Revenue Ex GST],$BI1210)))))</f>
        <v/>
      </c>
      <c r="O1210" s="11">
        <f>IF(AND($C1210="",NOT(COUNTA($S1210:$BB1210)&gt;0)),"",SUM(U1210,X1210,AA1210,AD1210,AG1210,AJ1210,AM1210,AP1210,AS1210,AV1210,AY1210,BB1210))</f>
        <v/>
      </c>
      <c r="P1210" s="11">
        <f>IF(O1210="","",N(N1210)-O1210)</f>
        <v/>
      </c>
      <c r="Q1210" s="10">
        <f>IF(O1210="","",IF($C1210="","Invoice on empty job row",IF(N1210="",IF(ROUND(O1210,2)=0,"No dept value","Invoiced - no dept value"),IF(ROUND(O1210,2)=0,"Not invoiced - to invoice",IF(ROUND(P1210,2)=0,"Agrees",IF(P1210&gt;0,"Dept higher - to invoice","Xero higher - check dept"))))))</f>
        <v/>
      </c>
      <c r="R1210" s="10">
        <f>IF(AND($C1210="",NOT(COUNTA($S1210:$BB1210)&gt;0),$BI1210&lt;&gt;""),"",MID(IF($BI1210="","; Row ID not found on the department sheet - a row was deleted","")&amp;IF(AND($C1210="",COUNTA($S1210:$BB1210)&gt;0),"; Invoice entered but the department row has no job number","")&amp;IF(E1210="CHECK","; Job number not in the Xero job list","")&amp;IF(AND($C1210&lt;&gt;"",COUNTIF($C$7:$C$1506,$C1210)&gt;1),"; Job number on more than one row","")&amp;IF(AND($C1210&lt;&gt;"",H1210=""),"; Dept has not set a cost centre","")&amp;IF(AND($C1210&lt;&gt;"",J1210=""),"; Dept has not set a tax code","")&amp;IF(AND($C1210&lt;&gt;"",N1210=""),"; Dept has not entered an expected value","")&amp;IF((IF(OR(COUNTA(S1210:U1210)=0,AND(COUNTA(S1210:U1210)=3,ISNUMBER(U1210))),0,1)+IF(OR(COUNTA(V1210:X1210)=0,AND(COUNTA(V1210:X1210)=3,ISNUMBER(X1210))),0,1)+IF(OR(COUNTA(Y1210:AA1210)=0,AND(COUNTA(Y1210:AA1210)=3,ISNUMBER(AA1210))),0,1)+IF(OR(COUNTA(AB1210:AD1210)=0,AND(COUNTA(AB1210:AD1210)=3,ISNUMBER(AD1210))),0,1)+IF(OR(COUNTA(AE1210:AG1210)=0,AND(COUNTA(AE1210:AG1210)=3,ISNUMBER(AG1210))),0,1)+IF(OR(COUNTA(AH1210:AJ1210)=0,AND(COUNTA(AH1210:AJ1210)=3,ISNUMBER(AJ1210))),0,1)+IF(OR(COUNTA(AK1210:AM1210)=0,AND(COUNTA(AK1210:AM1210)=3,ISNUMBER(AM1210))),0,1)+IF(OR(COUNTA(AN1210:AP1210)=0,AND(COUNTA(AN1210:AP1210)=3,ISNUMBER(AP1210))),0,1)+IF(OR(COUNTA(AQ1210:AS1210)=0,AND(COUNTA(AQ1210:AS1210)=3,ISNUMBER(AS1210))),0,1)+IF(OR(COUNTA(AT1210:AV1210)=0,AND(COUNTA(AT1210:AV1210)=3,ISNUMBER(AV1210))),0,1)+IF(OR(COUNTA(AW1210:AY1210)=0,AND(COUNTA(AW1210:AY1210)=3,ISNUMBER(AY1210))),0,1)+IF(OR(COUNTA(AZ1210:BB1210)=0,AND(COUNTA(AZ1210:BB1210)=3,ISNUMBER(BB1210))),0,1))&gt;0,"; An invoice is incomplete (needs No, Date and a number in Ex GST)","")&amp;IF((IF(T1210="",0,IFERROR(--(EOMONTH(T1210,0)&lt;&gt;S$5),1))+IF(W1210="",0,IFERROR(--(EOMONTH(W1210,0)&lt;&gt;V$5),1))+IF(Z1210="",0,IFERROR(--(EOMONTH(Z1210,0)&lt;&gt;Y$5),1))+IF(AC1210="",0,IFERROR(--(EOMONTH(AC1210,0)&lt;&gt;AB$5),1))+IF(AF1210="",0,IFERROR(--(EOMONTH(AF1210,0)&lt;&gt;AE$5),1))+IF(AI1210="",0,IFERROR(--(EOMONTH(AI1210,0)&lt;&gt;AH$5),1))+IF(AL1210="",0,IFERROR(--(EOMONTH(AL1210,0)&lt;&gt;AK$5),1))+IF(AO1210="",0,IFERROR(--(EOMONTH(AO1210,0)&lt;&gt;AN$5),1))+IF(AR1210="",0,IFERROR(--(EOMONTH(AR1210,0)&lt;&gt;AQ$5),1))+IF(AU1210="",0,IFERROR(--(EOMONTH(AU1210,0)&lt;&gt;AT$5),1))+IF(AX1210="",0,IFERROR(--(EOMONTH(AX1210,0)&lt;&gt;AW$5),1))+IF(BA1210="",0,IFERROR(--(EOMONTH(BA1210,0)&lt;&gt;AZ$5),1)))&gt;0,"; An invoice date is not in the month it is typed under",""),3,500))</f>
        <v/>
      </c>
      <c r="S1210" s="12" t="n"/>
      <c r="T1210" s="13" t="n"/>
      <c r="U1210" s="14" t="n"/>
      <c r="V1210" s="12" t="n"/>
      <c r="W1210" s="13" t="n"/>
      <c r="X1210" s="14" t="n"/>
      <c r="Y1210" s="12" t="n"/>
      <c r="Z1210" s="13" t="n"/>
      <c r="AA1210" s="14" t="n"/>
      <c r="AB1210" s="12" t="n"/>
      <c r="AC1210" s="13" t="n"/>
      <c r="AD1210" s="14" t="n"/>
      <c r="AE1210" s="12" t="n"/>
      <c r="AF1210" s="13" t="n"/>
      <c r="AG1210" s="14" t="n"/>
      <c r="AH1210" s="12" t="n"/>
      <c r="AI1210" s="13" t="n"/>
      <c r="AJ1210" s="14" t="n"/>
      <c r="AK1210" s="12" t="n"/>
      <c r="AL1210" s="13" t="n"/>
      <c r="AM1210" s="14" t="n"/>
      <c r="AN1210" s="12" t="n"/>
      <c r="AO1210" s="13" t="n"/>
      <c r="AP1210" s="14" t="n"/>
      <c r="AQ1210" s="12" t="n"/>
      <c r="AR1210" s="13" t="n"/>
      <c r="AS1210" s="14" t="n"/>
      <c r="AT1210" s="12" t="n"/>
      <c r="AU1210" s="13" t="n"/>
      <c r="AV1210" s="14" t="n"/>
      <c r="AW1210" s="12" t="n"/>
      <c r="AX1210" s="13" t="n"/>
      <c r="AY1210" s="14" t="n"/>
      <c r="AZ1210" s="12" t="n"/>
      <c r="BA1210" s="13" t="n"/>
      <c r="BB1210" s="14" t="n"/>
      <c r="BC1210" s="11">
        <f>IF(O1210="","",IF(J1210="GST 10%",ROUND(O1210*set_GSTRate,2),0))</f>
        <v/>
      </c>
      <c r="BD1210" s="11">
        <f>IF(O1210="","",O1210+BC1210)</f>
        <v/>
      </c>
      <c r="BE1210" s="15">
        <f>IF(O1210="","",COUNTA(S1210,V1210,Y1210,AB1210,AE1210,AH1210,AK1210,AN1210,AQ1210,AT1210,AW1210,AZ1210))</f>
        <v/>
      </c>
      <c r="BF1210" s="16">
        <f>IF(COUNT(T1210,W1210,Z1210,AC1210,AF1210,AI1210,AL1210,AO1210,AR1210,AU1210,AX1210,BA1210)=0,"",MAX(T1210,W1210,Z1210,AC1210,AF1210,AI1210,AL1210,AO1210,AR1210,AU1210,AX1210,BA1210))</f>
        <v/>
      </c>
      <c r="BG1210" s="10">
        <f>MID(IF(S1210="","",", "&amp;S1210)&amp;IF(V1210="","",", "&amp;V1210)&amp;IF(Y1210="","",", "&amp;Y1210)&amp;IF(AB1210="","",", "&amp;AB1210)&amp;IF(AE1210="","",", "&amp;AE1210)&amp;IF(AH1210="","",", "&amp;AH1210)&amp;IF(AK1210="","",", "&amp;AK1210)&amp;IF(AN1210="","",", "&amp;AN1210)&amp;IF(AQ1210="","",", "&amp;AQ1210)&amp;IF(AT1210="","",", "&amp;AT1210)&amp;IF(AW1210="","",", "&amp;AW1210)&amp;IF(AZ1210="","",", "&amp;AZ1210),3,500)</f>
        <v/>
      </c>
      <c r="BH1210" s="12" t="n"/>
      <c r="BI1210" s="15">
        <f>IFERROR(MATCH($A1210,IF($B1210="Onsite",tbl_Onsite[Row ID],IF($B1210="Production",tbl_Production[Row ID],tbl_Consulting[Row ID])),0),"")</f>
        <v/>
      </c>
    </row>
    <row r="1211">
      <c r="A1211" s="10" t="inlineStr">
        <is>
          <t>CON-0205</t>
        </is>
      </c>
      <c r="B1211" s="10" t="inlineStr">
        <is>
          <t>Consulting</t>
        </is>
      </c>
      <c r="C1211" s="10">
        <f>IF($BI1211="","",IF($B1211="Onsite",INDEX(tbl_Onsite[Job Number],$BI1211),IF($B1211="Production",INDEX(tbl_Production[Job Number],$BI1211),INDEX(tbl_Consulting[Job Number],$BI1211)))&amp;"")</f>
        <v/>
      </c>
      <c r="D1211" s="10">
        <f>IF($BI1211="","",IF($B1211="Onsite",INDEX(tbl_Onsite[Client],$BI1211),IF($B1211="Production",INDEX(tbl_Production[Client],$BI1211),INDEX(tbl_Consulting[Client],$BI1211)))&amp;"")</f>
        <v/>
      </c>
      <c r="E1211" s="10">
        <f>IF($C1211="","",IF(COUNTIF(lst_Jobs,$C1211)&gt;0,"OK","CHECK"))</f>
        <v/>
      </c>
      <c r="F1211" s="10">
        <f>IF($C1211="","",IFERROR(INDEX(lst_JobName,MATCH($C1211,lst_Jobs,0)),""))</f>
        <v/>
      </c>
      <c r="G1211" s="10">
        <f>IF($BI1211="","",IF($B1211="Onsite",INDEX(tbl_Onsite[Job Description],$BI1211),IF($B1211="Production",INDEX(tbl_Production[Job Description],$BI1211),INDEX(tbl_Consulting[Job Description],$BI1211)))&amp;"")</f>
        <v/>
      </c>
      <c r="H1211" s="10">
        <f>IF($BI1211="","",IF($B1211="Onsite",INDEX(tbl_Onsite[Cost Centre],$BI1211),IF($B1211="Production",INDEX(tbl_Production[Cost Centre],$BI1211),INDEX(tbl_Consulting[Cost Centre],$BI1211)))&amp;"")</f>
        <v/>
      </c>
      <c r="I1211" s="10">
        <f>IF($BI1211="","",IF($B1211="Onsite",INDEX(tbl_Onsite[Invoice Type],$BI1211),IF($B1211="Production",INDEX(tbl_Production[Invoice Type],$BI1211),INDEX(tbl_Consulting[Invoice Type],$BI1211)))&amp;"")</f>
        <v/>
      </c>
      <c r="J1211" s="10">
        <f>IF($BI1211="","",IF($B1211="Onsite",INDEX(tbl_Onsite[Tax Code],$BI1211),IF($B1211="Production",INDEX(tbl_Production[Tax Code],$BI1211),INDEX(tbl_Consulting[Tax Code],$BI1211)))&amp;"")</f>
        <v/>
      </c>
      <c r="K1211" s="10">
        <f>IF(H1211="","",IFERROR(INDEX(lst_CCtoGL,MATCH(H1211,lst_CCforGL,0)),""))</f>
        <v/>
      </c>
      <c r="L1211" s="10">
        <f>IF($BI1211="","",IF($B1211="Onsite",INDEX(tbl_Onsite[PO / Reference],$BI1211),IF($B1211="Production",INDEX(tbl_Production[Current RMS No],$BI1211),INDEX(tbl_Consulting[Qwilr Quote],$BI1211)))&amp;"")</f>
        <v/>
      </c>
      <c r="M1211" s="10">
        <f>IF($BI1211="","",IF($B1211="Onsite",INDEX(tbl_Onsite[Notes],$BI1211),IF($B1211="Production",INDEX(tbl_Production[Notes],$BI1211),INDEX(tbl_Consulting[Notes],$BI1211)))&amp;"")</f>
        <v/>
      </c>
      <c r="N1211" s="11">
        <f>IF($BI1211="","",IF(IF($B1211="Onsite",INDEX(tbl_Onsite[Expected Revenue Ex GST],$BI1211),IF($B1211="Production",INDEX(tbl_Production[Expected Revenue Ex GST],$BI1211),INDEX(tbl_Consulting[Expected Revenue Ex GST],$BI1211)))="","",IF($B1211="Onsite",INDEX(tbl_Onsite[Expected Revenue Ex GST],$BI1211),IF($B1211="Production",INDEX(tbl_Production[Expected Revenue Ex GST],$BI1211),INDEX(tbl_Consulting[Expected Revenue Ex GST],$BI1211)))))</f>
        <v/>
      </c>
      <c r="O1211" s="11">
        <f>IF(AND($C1211="",NOT(COUNTA($S1211:$BB1211)&gt;0)),"",SUM(U1211,X1211,AA1211,AD1211,AG1211,AJ1211,AM1211,AP1211,AS1211,AV1211,AY1211,BB1211))</f>
        <v/>
      </c>
      <c r="P1211" s="11">
        <f>IF(O1211="","",N(N1211)-O1211)</f>
        <v/>
      </c>
      <c r="Q1211" s="10">
        <f>IF(O1211="","",IF($C1211="","Invoice on empty job row",IF(N1211="",IF(ROUND(O1211,2)=0,"No dept value","Invoiced - no dept value"),IF(ROUND(O1211,2)=0,"Not invoiced - to invoice",IF(ROUND(P1211,2)=0,"Agrees",IF(P1211&gt;0,"Dept higher - to invoice","Xero higher - check dept"))))))</f>
        <v/>
      </c>
      <c r="R1211" s="10">
        <f>IF(AND($C1211="",NOT(COUNTA($S1211:$BB1211)&gt;0),$BI1211&lt;&gt;""),"",MID(IF($BI1211="","; Row ID not found on the department sheet - a row was deleted","")&amp;IF(AND($C1211="",COUNTA($S1211:$BB1211)&gt;0),"; Invoice entered but the department row has no job number","")&amp;IF(E1211="CHECK","; Job number not in the Xero job list","")&amp;IF(AND($C1211&lt;&gt;"",COUNTIF($C$7:$C$1506,$C1211)&gt;1),"; Job number on more than one row","")&amp;IF(AND($C1211&lt;&gt;"",H1211=""),"; Dept has not set a cost centre","")&amp;IF(AND($C1211&lt;&gt;"",J1211=""),"; Dept has not set a tax code","")&amp;IF(AND($C1211&lt;&gt;"",N1211=""),"; Dept has not entered an expected value","")&amp;IF((IF(OR(COUNTA(S1211:U1211)=0,AND(COUNTA(S1211:U1211)=3,ISNUMBER(U1211))),0,1)+IF(OR(COUNTA(V1211:X1211)=0,AND(COUNTA(V1211:X1211)=3,ISNUMBER(X1211))),0,1)+IF(OR(COUNTA(Y1211:AA1211)=0,AND(COUNTA(Y1211:AA1211)=3,ISNUMBER(AA1211))),0,1)+IF(OR(COUNTA(AB1211:AD1211)=0,AND(COUNTA(AB1211:AD1211)=3,ISNUMBER(AD1211))),0,1)+IF(OR(COUNTA(AE1211:AG1211)=0,AND(COUNTA(AE1211:AG1211)=3,ISNUMBER(AG1211))),0,1)+IF(OR(COUNTA(AH1211:AJ1211)=0,AND(COUNTA(AH1211:AJ1211)=3,ISNUMBER(AJ1211))),0,1)+IF(OR(COUNTA(AK1211:AM1211)=0,AND(COUNTA(AK1211:AM1211)=3,ISNUMBER(AM1211))),0,1)+IF(OR(COUNTA(AN1211:AP1211)=0,AND(COUNTA(AN1211:AP1211)=3,ISNUMBER(AP1211))),0,1)+IF(OR(COUNTA(AQ1211:AS1211)=0,AND(COUNTA(AQ1211:AS1211)=3,ISNUMBER(AS1211))),0,1)+IF(OR(COUNTA(AT1211:AV1211)=0,AND(COUNTA(AT1211:AV1211)=3,ISNUMBER(AV1211))),0,1)+IF(OR(COUNTA(AW1211:AY1211)=0,AND(COUNTA(AW1211:AY1211)=3,ISNUMBER(AY1211))),0,1)+IF(OR(COUNTA(AZ1211:BB1211)=0,AND(COUNTA(AZ1211:BB1211)=3,ISNUMBER(BB1211))),0,1))&gt;0,"; An invoice is incomplete (needs No, Date and a number in Ex GST)","")&amp;IF((IF(T1211="",0,IFERROR(--(EOMONTH(T1211,0)&lt;&gt;S$5),1))+IF(W1211="",0,IFERROR(--(EOMONTH(W1211,0)&lt;&gt;V$5),1))+IF(Z1211="",0,IFERROR(--(EOMONTH(Z1211,0)&lt;&gt;Y$5),1))+IF(AC1211="",0,IFERROR(--(EOMONTH(AC1211,0)&lt;&gt;AB$5),1))+IF(AF1211="",0,IFERROR(--(EOMONTH(AF1211,0)&lt;&gt;AE$5),1))+IF(AI1211="",0,IFERROR(--(EOMONTH(AI1211,0)&lt;&gt;AH$5),1))+IF(AL1211="",0,IFERROR(--(EOMONTH(AL1211,0)&lt;&gt;AK$5),1))+IF(AO1211="",0,IFERROR(--(EOMONTH(AO1211,0)&lt;&gt;AN$5),1))+IF(AR1211="",0,IFERROR(--(EOMONTH(AR1211,0)&lt;&gt;AQ$5),1))+IF(AU1211="",0,IFERROR(--(EOMONTH(AU1211,0)&lt;&gt;AT$5),1))+IF(AX1211="",0,IFERROR(--(EOMONTH(AX1211,0)&lt;&gt;AW$5),1))+IF(BA1211="",0,IFERROR(--(EOMONTH(BA1211,0)&lt;&gt;AZ$5),1)))&gt;0,"; An invoice date is not in the month it is typed under",""),3,500))</f>
        <v/>
      </c>
      <c r="S1211" s="12" t="n"/>
      <c r="T1211" s="13" t="n"/>
      <c r="U1211" s="14" t="n"/>
      <c r="V1211" s="12" t="n"/>
      <c r="W1211" s="13" t="n"/>
      <c r="X1211" s="14" t="n"/>
      <c r="Y1211" s="12" t="n"/>
      <c r="Z1211" s="13" t="n"/>
      <c r="AA1211" s="14" t="n"/>
      <c r="AB1211" s="12" t="n"/>
      <c r="AC1211" s="13" t="n"/>
      <c r="AD1211" s="14" t="n"/>
      <c r="AE1211" s="12" t="n"/>
      <c r="AF1211" s="13" t="n"/>
      <c r="AG1211" s="14" t="n"/>
      <c r="AH1211" s="12" t="n"/>
      <c r="AI1211" s="13" t="n"/>
      <c r="AJ1211" s="14" t="n"/>
      <c r="AK1211" s="12" t="n"/>
      <c r="AL1211" s="13" t="n"/>
      <c r="AM1211" s="14" t="n"/>
      <c r="AN1211" s="12" t="n"/>
      <c r="AO1211" s="13" t="n"/>
      <c r="AP1211" s="14" t="n"/>
      <c r="AQ1211" s="12" t="n"/>
      <c r="AR1211" s="13" t="n"/>
      <c r="AS1211" s="14" t="n"/>
      <c r="AT1211" s="12" t="n"/>
      <c r="AU1211" s="13" t="n"/>
      <c r="AV1211" s="14" t="n"/>
      <c r="AW1211" s="12" t="n"/>
      <c r="AX1211" s="13" t="n"/>
      <c r="AY1211" s="14" t="n"/>
      <c r="AZ1211" s="12" t="n"/>
      <c r="BA1211" s="13" t="n"/>
      <c r="BB1211" s="14" t="n"/>
      <c r="BC1211" s="11">
        <f>IF(O1211="","",IF(J1211="GST 10%",ROUND(O1211*set_GSTRate,2),0))</f>
        <v/>
      </c>
      <c r="BD1211" s="11">
        <f>IF(O1211="","",O1211+BC1211)</f>
        <v/>
      </c>
      <c r="BE1211" s="15">
        <f>IF(O1211="","",COUNTA(S1211,V1211,Y1211,AB1211,AE1211,AH1211,AK1211,AN1211,AQ1211,AT1211,AW1211,AZ1211))</f>
        <v/>
      </c>
      <c r="BF1211" s="16">
        <f>IF(COUNT(T1211,W1211,Z1211,AC1211,AF1211,AI1211,AL1211,AO1211,AR1211,AU1211,AX1211,BA1211)=0,"",MAX(T1211,W1211,Z1211,AC1211,AF1211,AI1211,AL1211,AO1211,AR1211,AU1211,AX1211,BA1211))</f>
        <v/>
      </c>
      <c r="BG1211" s="10">
        <f>MID(IF(S1211="","",", "&amp;S1211)&amp;IF(V1211="","",", "&amp;V1211)&amp;IF(Y1211="","",", "&amp;Y1211)&amp;IF(AB1211="","",", "&amp;AB1211)&amp;IF(AE1211="","",", "&amp;AE1211)&amp;IF(AH1211="","",", "&amp;AH1211)&amp;IF(AK1211="","",", "&amp;AK1211)&amp;IF(AN1211="","",", "&amp;AN1211)&amp;IF(AQ1211="","",", "&amp;AQ1211)&amp;IF(AT1211="","",", "&amp;AT1211)&amp;IF(AW1211="","",", "&amp;AW1211)&amp;IF(AZ1211="","",", "&amp;AZ1211),3,500)</f>
        <v/>
      </c>
      <c r="BH1211" s="12" t="n"/>
      <c r="BI1211" s="15">
        <f>IFERROR(MATCH($A1211,IF($B1211="Onsite",tbl_Onsite[Row ID],IF($B1211="Production",tbl_Production[Row ID],tbl_Consulting[Row ID])),0),"")</f>
        <v/>
      </c>
    </row>
    <row r="1212">
      <c r="A1212" s="10" t="inlineStr">
        <is>
          <t>CON-0206</t>
        </is>
      </c>
      <c r="B1212" s="10" t="inlineStr">
        <is>
          <t>Consulting</t>
        </is>
      </c>
      <c r="C1212" s="10">
        <f>IF($BI1212="","",IF($B1212="Onsite",INDEX(tbl_Onsite[Job Number],$BI1212),IF($B1212="Production",INDEX(tbl_Production[Job Number],$BI1212),INDEX(tbl_Consulting[Job Number],$BI1212)))&amp;"")</f>
        <v/>
      </c>
      <c r="D1212" s="10">
        <f>IF($BI1212="","",IF($B1212="Onsite",INDEX(tbl_Onsite[Client],$BI1212),IF($B1212="Production",INDEX(tbl_Production[Client],$BI1212),INDEX(tbl_Consulting[Client],$BI1212)))&amp;"")</f>
        <v/>
      </c>
      <c r="E1212" s="10">
        <f>IF($C1212="","",IF(COUNTIF(lst_Jobs,$C1212)&gt;0,"OK","CHECK"))</f>
        <v/>
      </c>
      <c r="F1212" s="10">
        <f>IF($C1212="","",IFERROR(INDEX(lst_JobName,MATCH($C1212,lst_Jobs,0)),""))</f>
        <v/>
      </c>
      <c r="G1212" s="10">
        <f>IF($BI1212="","",IF($B1212="Onsite",INDEX(tbl_Onsite[Job Description],$BI1212),IF($B1212="Production",INDEX(tbl_Production[Job Description],$BI1212),INDEX(tbl_Consulting[Job Description],$BI1212)))&amp;"")</f>
        <v/>
      </c>
      <c r="H1212" s="10">
        <f>IF($BI1212="","",IF($B1212="Onsite",INDEX(tbl_Onsite[Cost Centre],$BI1212),IF($B1212="Production",INDEX(tbl_Production[Cost Centre],$BI1212),INDEX(tbl_Consulting[Cost Centre],$BI1212)))&amp;"")</f>
        <v/>
      </c>
      <c r="I1212" s="10">
        <f>IF($BI1212="","",IF($B1212="Onsite",INDEX(tbl_Onsite[Invoice Type],$BI1212),IF($B1212="Production",INDEX(tbl_Production[Invoice Type],$BI1212),INDEX(tbl_Consulting[Invoice Type],$BI1212)))&amp;"")</f>
        <v/>
      </c>
      <c r="J1212" s="10">
        <f>IF($BI1212="","",IF($B1212="Onsite",INDEX(tbl_Onsite[Tax Code],$BI1212),IF($B1212="Production",INDEX(tbl_Production[Tax Code],$BI1212),INDEX(tbl_Consulting[Tax Code],$BI1212)))&amp;"")</f>
        <v/>
      </c>
      <c r="K1212" s="10">
        <f>IF(H1212="","",IFERROR(INDEX(lst_CCtoGL,MATCH(H1212,lst_CCforGL,0)),""))</f>
        <v/>
      </c>
      <c r="L1212" s="10">
        <f>IF($BI1212="","",IF($B1212="Onsite",INDEX(tbl_Onsite[PO / Reference],$BI1212),IF($B1212="Production",INDEX(tbl_Production[Current RMS No],$BI1212),INDEX(tbl_Consulting[Qwilr Quote],$BI1212)))&amp;"")</f>
        <v/>
      </c>
      <c r="M1212" s="10">
        <f>IF($BI1212="","",IF($B1212="Onsite",INDEX(tbl_Onsite[Notes],$BI1212),IF($B1212="Production",INDEX(tbl_Production[Notes],$BI1212),INDEX(tbl_Consulting[Notes],$BI1212)))&amp;"")</f>
        <v/>
      </c>
      <c r="N1212" s="11">
        <f>IF($BI1212="","",IF(IF($B1212="Onsite",INDEX(tbl_Onsite[Expected Revenue Ex GST],$BI1212),IF($B1212="Production",INDEX(tbl_Production[Expected Revenue Ex GST],$BI1212),INDEX(tbl_Consulting[Expected Revenue Ex GST],$BI1212)))="","",IF($B1212="Onsite",INDEX(tbl_Onsite[Expected Revenue Ex GST],$BI1212),IF($B1212="Production",INDEX(tbl_Production[Expected Revenue Ex GST],$BI1212),INDEX(tbl_Consulting[Expected Revenue Ex GST],$BI1212)))))</f>
        <v/>
      </c>
      <c r="O1212" s="11">
        <f>IF(AND($C1212="",NOT(COUNTA($S1212:$BB1212)&gt;0)),"",SUM(U1212,X1212,AA1212,AD1212,AG1212,AJ1212,AM1212,AP1212,AS1212,AV1212,AY1212,BB1212))</f>
        <v/>
      </c>
      <c r="P1212" s="11">
        <f>IF(O1212="","",N(N1212)-O1212)</f>
        <v/>
      </c>
      <c r="Q1212" s="10">
        <f>IF(O1212="","",IF($C1212="","Invoice on empty job row",IF(N1212="",IF(ROUND(O1212,2)=0,"No dept value","Invoiced - no dept value"),IF(ROUND(O1212,2)=0,"Not invoiced - to invoice",IF(ROUND(P1212,2)=0,"Agrees",IF(P1212&gt;0,"Dept higher - to invoice","Xero higher - check dept"))))))</f>
        <v/>
      </c>
      <c r="R1212" s="10">
        <f>IF(AND($C1212="",NOT(COUNTA($S1212:$BB1212)&gt;0),$BI1212&lt;&gt;""),"",MID(IF($BI1212="","; Row ID not found on the department sheet - a row was deleted","")&amp;IF(AND($C1212="",COUNTA($S1212:$BB1212)&gt;0),"; Invoice entered but the department row has no job number","")&amp;IF(E1212="CHECK","; Job number not in the Xero job list","")&amp;IF(AND($C1212&lt;&gt;"",COUNTIF($C$7:$C$1506,$C1212)&gt;1),"; Job number on more than one row","")&amp;IF(AND($C1212&lt;&gt;"",H1212=""),"; Dept has not set a cost centre","")&amp;IF(AND($C1212&lt;&gt;"",J1212=""),"; Dept has not set a tax code","")&amp;IF(AND($C1212&lt;&gt;"",N1212=""),"; Dept has not entered an expected value","")&amp;IF((IF(OR(COUNTA(S1212:U1212)=0,AND(COUNTA(S1212:U1212)=3,ISNUMBER(U1212))),0,1)+IF(OR(COUNTA(V1212:X1212)=0,AND(COUNTA(V1212:X1212)=3,ISNUMBER(X1212))),0,1)+IF(OR(COUNTA(Y1212:AA1212)=0,AND(COUNTA(Y1212:AA1212)=3,ISNUMBER(AA1212))),0,1)+IF(OR(COUNTA(AB1212:AD1212)=0,AND(COUNTA(AB1212:AD1212)=3,ISNUMBER(AD1212))),0,1)+IF(OR(COUNTA(AE1212:AG1212)=0,AND(COUNTA(AE1212:AG1212)=3,ISNUMBER(AG1212))),0,1)+IF(OR(COUNTA(AH1212:AJ1212)=0,AND(COUNTA(AH1212:AJ1212)=3,ISNUMBER(AJ1212))),0,1)+IF(OR(COUNTA(AK1212:AM1212)=0,AND(COUNTA(AK1212:AM1212)=3,ISNUMBER(AM1212))),0,1)+IF(OR(COUNTA(AN1212:AP1212)=0,AND(COUNTA(AN1212:AP1212)=3,ISNUMBER(AP1212))),0,1)+IF(OR(COUNTA(AQ1212:AS1212)=0,AND(COUNTA(AQ1212:AS1212)=3,ISNUMBER(AS1212))),0,1)+IF(OR(COUNTA(AT1212:AV1212)=0,AND(COUNTA(AT1212:AV1212)=3,ISNUMBER(AV1212))),0,1)+IF(OR(COUNTA(AW1212:AY1212)=0,AND(COUNTA(AW1212:AY1212)=3,ISNUMBER(AY1212))),0,1)+IF(OR(COUNTA(AZ1212:BB1212)=0,AND(COUNTA(AZ1212:BB1212)=3,ISNUMBER(BB1212))),0,1))&gt;0,"; An invoice is incomplete (needs No, Date and a number in Ex GST)","")&amp;IF((IF(T1212="",0,IFERROR(--(EOMONTH(T1212,0)&lt;&gt;S$5),1))+IF(W1212="",0,IFERROR(--(EOMONTH(W1212,0)&lt;&gt;V$5),1))+IF(Z1212="",0,IFERROR(--(EOMONTH(Z1212,0)&lt;&gt;Y$5),1))+IF(AC1212="",0,IFERROR(--(EOMONTH(AC1212,0)&lt;&gt;AB$5),1))+IF(AF1212="",0,IFERROR(--(EOMONTH(AF1212,0)&lt;&gt;AE$5),1))+IF(AI1212="",0,IFERROR(--(EOMONTH(AI1212,0)&lt;&gt;AH$5),1))+IF(AL1212="",0,IFERROR(--(EOMONTH(AL1212,0)&lt;&gt;AK$5),1))+IF(AO1212="",0,IFERROR(--(EOMONTH(AO1212,0)&lt;&gt;AN$5),1))+IF(AR1212="",0,IFERROR(--(EOMONTH(AR1212,0)&lt;&gt;AQ$5),1))+IF(AU1212="",0,IFERROR(--(EOMONTH(AU1212,0)&lt;&gt;AT$5),1))+IF(AX1212="",0,IFERROR(--(EOMONTH(AX1212,0)&lt;&gt;AW$5),1))+IF(BA1212="",0,IFERROR(--(EOMONTH(BA1212,0)&lt;&gt;AZ$5),1)))&gt;0,"; An invoice date is not in the month it is typed under",""),3,500))</f>
        <v/>
      </c>
      <c r="S1212" s="12" t="n"/>
      <c r="T1212" s="13" t="n"/>
      <c r="U1212" s="14" t="n"/>
      <c r="V1212" s="12" t="n"/>
      <c r="W1212" s="13" t="n"/>
      <c r="X1212" s="14" t="n"/>
      <c r="Y1212" s="12" t="n"/>
      <c r="Z1212" s="13" t="n"/>
      <c r="AA1212" s="14" t="n"/>
      <c r="AB1212" s="12" t="n"/>
      <c r="AC1212" s="13" t="n"/>
      <c r="AD1212" s="14" t="n"/>
      <c r="AE1212" s="12" t="n"/>
      <c r="AF1212" s="13" t="n"/>
      <c r="AG1212" s="14" t="n"/>
      <c r="AH1212" s="12" t="n"/>
      <c r="AI1212" s="13" t="n"/>
      <c r="AJ1212" s="14" t="n"/>
      <c r="AK1212" s="12" t="n"/>
      <c r="AL1212" s="13" t="n"/>
      <c r="AM1212" s="14" t="n"/>
      <c r="AN1212" s="12" t="n"/>
      <c r="AO1212" s="13" t="n"/>
      <c r="AP1212" s="14" t="n"/>
      <c r="AQ1212" s="12" t="n"/>
      <c r="AR1212" s="13" t="n"/>
      <c r="AS1212" s="14" t="n"/>
      <c r="AT1212" s="12" t="n"/>
      <c r="AU1212" s="13" t="n"/>
      <c r="AV1212" s="14" t="n"/>
      <c r="AW1212" s="12" t="n"/>
      <c r="AX1212" s="13" t="n"/>
      <c r="AY1212" s="14" t="n"/>
      <c r="AZ1212" s="12" t="n"/>
      <c r="BA1212" s="13" t="n"/>
      <c r="BB1212" s="14" t="n"/>
      <c r="BC1212" s="11">
        <f>IF(O1212="","",IF(J1212="GST 10%",ROUND(O1212*set_GSTRate,2),0))</f>
        <v/>
      </c>
      <c r="BD1212" s="11">
        <f>IF(O1212="","",O1212+BC1212)</f>
        <v/>
      </c>
      <c r="BE1212" s="15">
        <f>IF(O1212="","",COUNTA(S1212,V1212,Y1212,AB1212,AE1212,AH1212,AK1212,AN1212,AQ1212,AT1212,AW1212,AZ1212))</f>
        <v/>
      </c>
      <c r="BF1212" s="16">
        <f>IF(COUNT(T1212,W1212,Z1212,AC1212,AF1212,AI1212,AL1212,AO1212,AR1212,AU1212,AX1212,BA1212)=0,"",MAX(T1212,W1212,Z1212,AC1212,AF1212,AI1212,AL1212,AO1212,AR1212,AU1212,AX1212,BA1212))</f>
        <v/>
      </c>
      <c r="BG1212" s="10">
        <f>MID(IF(S1212="","",", "&amp;S1212)&amp;IF(V1212="","",", "&amp;V1212)&amp;IF(Y1212="","",", "&amp;Y1212)&amp;IF(AB1212="","",", "&amp;AB1212)&amp;IF(AE1212="","",", "&amp;AE1212)&amp;IF(AH1212="","",", "&amp;AH1212)&amp;IF(AK1212="","",", "&amp;AK1212)&amp;IF(AN1212="","",", "&amp;AN1212)&amp;IF(AQ1212="","",", "&amp;AQ1212)&amp;IF(AT1212="","",", "&amp;AT1212)&amp;IF(AW1212="","",", "&amp;AW1212)&amp;IF(AZ1212="","",", "&amp;AZ1212),3,500)</f>
        <v/>
      </c>
      <c r="BH1212" s="12" t="n"/>
      <c r="BI1212" s="15">
        <f>IFERROR(MATCH($A1212,IF($B1212="Onsite",tbl_Onsite[Row ID],IF($B1212="Production",tbl_Production[Row ID],tbl_Consulting[Row ID])),0),"")</f>
        <v/>
      </c>
    </row>
    <row r="1213">
      <c r="A1213" s="10" t="inlineStr">
        <is>
          <t>CON-0207</t>
        </is>
      </c>
      <c r="B1213" s="10" t="inlineStr">
        <is>
          <t>Consulting</t>
        </is>
      </c>
      <c r="C1213" s="10">
        <f>IF($BI1213="","",IF($B1213="Onsite",INDEX(tbl_Onsite[Job Number],$BI1213),IF($B1213="Production",INDEX(tbl_Production[Job Number],$BI1213),INDEX(tbl_Consulting[Job Number],$BI1213)))&amp;"")</f>
        <v/>
      </c>
      <c r="D1213" s="10">
        <f>IF($BI1213="","",IF($B1213="Onsite",INDEX(tbl_Onsite[Client],$BI1213),IF($B1213="Production",INDEX(tbl_Production[Client],$BI1213),INDEX(tbl_Consulting[Client],$BI1213)))&amp;"")</f>
        <v/>
      </c>
      <c r="E1213" s="10">
        <f>IF($C1213="","",IF(COUNTIF(lst_Jobs,$C1213)&gt;0,"OK","CHECK"))</f>
        <v/>
      </c>
      <c r="F1213" s="10">
        <f>IF($C1213="","",IFERROR(INDEX(lst_JobName,MATCH($C1213,lst_Jobs,0)),""))</f>
        <v/>
      </c>
      <c r="G1213" s="10">
        <f>IF($BI1213="","",IF($B1213="Onsite",INDEX(tbl_Onsite[Job Description],$BI1213),IF($B1213="Production",INDEX(tbl_Production[Job Description],$BI1213),INDEX(tbl_Consulting[Job Description],$BI1213)))&amp;"")</f>
        <v/>
      </c>
      <c r="H1213" s="10">
        <f>IF($BI1213="","",IF($B1213="Onsite",INDEX(tbl_Onsite[Cost Centre],$BI1213),IF($B1213="Production",INDEX(tbl_Production[Cost Centre],$BI1213),INDEX(tbl_Consulting[Cost Centre],$BI1213)))&amp;"")</f>
        <v/>
      </c>
      <c r="I1213" s="10">
        <f>IF($BI1213="","",IF($B1213="Onsite",INDEX(tbl_Onsite[Invoice Type],$BI1213),IF($B1213="Production",INDEX(tbl_Production[Invoice Type],$BI1213),INDEX(tbl_Consulting[Invoice Type],$BI1213)))&amp;"")</f>
        <v/>
      </c>
      <c r="J1213" s="10">
        <f>IF($BI1213="","",IF($B1213="Onsite",INDEX(tbl_Onsite[Tax Code],$BI1213),IF($B1213="Production",INDEX(tbl_Production[Tax Code],$BI1213),INDEX(tbl_Consulting[Tax Code],$BI1213)))&amp;"")</f>
        <v/>
      </c>
      <c r="K1213" s="10">
        <f>IF(H1213="","",IFERROR(INDEX(lst_CCtoGL,MATCH(H1213,lst_CCforGL,0)),""))</f>
        <v/>
      </c>
      <c r="L1213" s="10">
        <f>IF($BI1213="","",IF($B1213="Onsite",INDEX(tbl_Onsite[PO / Reference],$BI1213),IF($B1213="Production",INDEX(tbl_Production[Current RMS No],$BI1213),INDEX(tbl_Consulting[Qwilr Quote],$BI1213)))&amp;"")</f>
        <v/>
      </c>
      <c r="M1213" s="10">
        <f>IF($BI1213="","",IF($B1213="Onsite",INDEX(tbl_Onsite[Notes],$BI1213),IF($B1213="Production",INDEX(tbl_Production[Notes],$BI1213),INDEX(tbl_Consulting[Notes],$BI1213)))&amp;"")</f>
        <v/>
      </c>
      <c r="N1213" s="11">
        <f>IF($BI1213="","",IF(IF($B1213="Onsite",INDEX(tbl_Onsite[Expected Revenue Ex GST],$BI1213),IF($B1213="Production",INDEX(tbl_Production[Expected Revenue Ex GST],$BI1213),INDEX(tbl_Consulting[Expected Revenue Ex GST],$BI1213)))="","",IF($B1213="Onsite",INDEX(tbl_Onsite[Expected Revenue Ex GST],$BI1213),IF($B1213="Production",INDEX(tbl_Production[Expected Revenue Ex GST],$BI1213),INDEX(tbl_Consulting[Expected Revenue Ex GST],$BI1213)))))</f>
        <v/>
      </c>
      <c r="O1213" s="11">
        <f>IF(AND($C1213="",NOT(COUNTA($S1213:$BB1213)&gt;0)),"",SUM(U1213,X1213,AA1213,AD1213,AG1213,AJ1213,AM1213,AP1213,AS1213,AV1213,AY1213,BB1213))</f>
        <v/>
      </c>
      <c r="P1213" s="11">
        <f>IF(O1213="","",N(N1213)-O1213)</f>
        <v/>
      </c>
      <c r="Q1213" s="10">
        <f>IF(O1213="","",IF($C1213="","Invoice on empty job row",IF(N1213="",IF(ROUND(O1213,2)=0,"No dept value","Invoiced - no dept value"),IF(ROUND(O1213,2)=0,"Not invoiced - to invoice",IF(ROUND(P1213,2)=0,"Agrees",IF(P1213&gt;0,"Dept higher - to invoice","Xero higher - check dept"))))))</f>
        <v/>
      </c>
      <c r="R1213" s="10">
        <f>IF(AND($C1213="",NOT(COUNTA($S1213:$BB1213)&gt;0),$BI1213&lt;&gt;""),"",MID(IF($BI1213="","; Row ID not found on the department sheet - a row was deleted","")&amp;IF(AND($C1213="",COUNTA($S1213:$BB1213)&gt;0),"; Invoice entered but the department row has no job number","")&amp;IF(E1213="CHECK","; Job number not in the Xero job list","")&amp;IF(AND($C1213&lt;&gt;"",COUNTIF($C$7:$C$1506,$C1213)&gt;1),"; Job number on more than one row","")&amp;IF(AND($C1213&lt;&gt;"",H1213=""),"; Dept has not set a cost centre","")&amp;IF(AND($C1213&lt;&gt;"",J1213=""),"; Dept has not set a tax code","")&amp;IF(AND($C1213&lt;&gt;"",N1213=""),"; Dept has not entered an expected value","")&amp;IF((IF(OR(COUNTA(S1213:U1213)=0,AND(COUNTA(S1213:U1213)=3,ISNUMBER(U1213))),0,1)+IF(OR(COUNTA(V1213:X1213)=0,AND(COUNTA(V1213:X1213)=3,ISNUMBER(X1213))),0,1)+IF(OR(COUNTA(Y1213:AA1213)=0,AND(COUNTA(Y1213:AA1213)=3,ISNUMBER(AA1213))),0,1)+IF(OR(COUNTA(AB1213:AD1213)=0,AND(COUNTA(AB1213:AD1213)=3,ISNUMBER(AD1213))),0,1)+IF(OR(COUNTA(AE1213:AG1213)=0,AND(COUNTA(AE1213:AG1213)=3,ISNUMBER(AG1213))),0,1)+IF(OR(COUNTA(AH1213:AJ1213)=0,AND(COUNTA(AH1213:AJ1213)=3,ISNUMBER(AJ1213))),0,1)+IF(OR(COUNTA(AK1213:AM1213)=0,AND(COUNTA(AK1213:AM1213)=3,ISNUMBER(AM1213))),0,1)+IF(OR(COUNTA(AN1213:AP1213)=0,AND(COUNTA(AN1213:AP1213)=3,ISNUMBER(AP1213))),0,1)+IF(OR(COUNTA(AQ1213:AS1213)=0,AND(COUNTA(AQ1213:AS1213)=3,ISNUMBER(AS1213))),0,1)+IF(OR(COUNTA(AT1213:AV1213)=0,AND(COUNTA(AT1213:AV1213)=3,ISNUMBER(AV1213))),0,1)+IF(OR(COUNTA(AW1213:AY1213)=0,AND(COUNTA(AW1213:AY1213)=3,ISNUMBER(AY1213))),0,1)+IF(OR(COUNTA(AZ1213:BB1213)=0,AND(COUNTA(AZ1213:BB1213)=3,ISNUMBER(BB1213))),0,1))&gt;0,"; An invoice is incomplete (needs No, Date and a number in Ex GST)","")&amp;IF((IF(T1213="",0,IFERROR(--(EOMONTH(T1213,0)&lt;&gt;S$5),1))+IF(W1213="",0,IFERROR(--(EOMONTH(W1213,0)&lt;&gt;V$5),1))+IF(Z1213="",0,IFERROR(--(EOMONTH(Z1213,0)&lt;&gt;Y$5),1))+IF(AC1213="",0,IFERROR(--(EOMONTH(AC1213,0)&lt;&gt;AB$5),1))+IF(AF1213="",0,IFERROR(--(EOMONTH(AF1213,0)&lt;&gt;AE$5),1))+IF(AI1213="",0,IFERROR(--(EOMONTH(AI1213,0)&lt;&gt;AH$5),1))+IF(AL1213="",0,IFERROR(--(EOMONTH(AL1213,0)&lt;&gt;AK$5),1))+IF(AO1213="",0,IFERROR(--(EOMONTH(AO1213,0)&lt;&gt;AN$5),1))+IF(AR1213="",0,IFERROR(--(EOMONTH(AR1213,0)&lt;&gt;AQ$5),1))+IF(AU1213="",0,IFERROR(--(EOMONTH(AU1213,0)&lt;&gt;AT$5),1))+IF(AX1213="",0,IFERROR(--(EOMONTH(AX1213,0)&lt;&gt;AW$5),1))+IF(BA1213="",0,IFERROR(--(EOMONTH(BA1213,0)&lt;&gt;AZ$5),1)))&gt;0,"; An invoice date is not in the month it is typed under",""),3,500))</f>
        <v/>
      </c>
      <c r="S1213" s="12" t="n"/>
      <c r="T1213" s="13" t="n"/>
      <c r="U1213" s="14" t="n"/>
      <c r="V1213" s="12" t="n"/>
      <c r="W1213" s="13" t="n"/>
      <c r="X1213" s="14" t="n"/>
      <c r="Y1213" s="12" t="n"/>
      <c r="Z1213" s="13" t="n"/>
      <c r="AA1213" s="14" t="n"/>
      <c r="AB1213" s="12" t="n"/>
      <c r="AC1213" s="13" t="n"/>
      <c r="AD1213" s="14" t="n"/>
      <c r="AE1213" s="12" t="n"/>
      <c r="AF1213" s="13" t="n"/>
      <c r="AG1213" s="14" t="n"/>
      <c r="AH1213" s="12" t="n"/>
      <c r="AI1213" s="13" t="n"/>
      <c r="AJ1213" s="14" t="n"/>
      <c r="AK1213" s="12" t="n"/>
      <c r="AL1213" s="13" t="n"/>
      <c r="AM1213" s="14" t="n"/>
      <c r="AN1213" s="12" t="n"/>
      <c r="AO1213" s="13" t="n"/>
      <c r="AP1213" s="14" t="n"/>
      <c r="AQ1213" s="12" t="n"/>
      <c r="AR1213" s="13" t="n"/>
      <c r="AS1213" s="14" t="n"/>
      <c r="AT1213" s="12" t="n"/>
      <c r="AU1213" s="13" t="n"/>
      <c r="AV1213" s="14" t="n"/>
      <c r="AW1213" s="12" t="n"/>
      <c r="AX1213" s="13" t="n"/>
      <c r="AY1213" s="14" t="n"/>
      <c r="AZ1213" s="12" t="n"/>
      <c r="BA1213" s="13" t="n"/>
      <c r="BB1213" s="14" t="n"/>
      <c r="BC1213" s="11">
        <f>IF(O1213="","",IF(J1213="GST 10%",ROUND(O1213*set_GSTRate,2),0))</f>
        <v/>
      </c>
      <c r="BD1213" s="11">
        <f>IF(O1213="","",O1213+BC1213)</f>
        <v/>
      </c>
      <c r="BE1213" s="15">
        <f>IF(O1213="","",COUNTA(S1213,V1213,Y1213,AB1213,AE1213,AH1213,AK1213,AN1213,AQ1213,AT1213,AW1213,AZ1213))</f>
        <v/>
      </c>
      <c r="BF1213" s="16">
        <f>IF(COUNT(T1213,W1213,Z1213,AC1213,AF1213,AI1213,AL1213,AO1213,AR1213,AU1213,AX1213,BA1213)=0,"",MAX(T1213,W1213,Z1213,AC1213,AF1213,AI1213,AL1213,AO1213,AR1213,AU1213,AX1213,BA1213))</f>
        <v/>
      </c>
      <c r="BG1213" s="10">
        <f>MID(IF(S1213="","",", "&amp;S1213)&amp;IF(V1213="","",", "&amp;V1213)&amp;IF(Y1213="","",", "&amp;Y1213)&amp;IF(AB1213="","",", "&amp;AB1213)&amp;IF(AE1213="","",", "&amp;AE1213)&amp;IF(AH1213="","",", "&amp;AH1213)&amp;IF(AK1213="","",", "&amp;AK1213)&amp;IF(AN1213="","",", "&amp;AN1213)&amp;IF(AQ1213="","",", "&amp;AQ1213)&amp;IF(AT1213="","",", "&amp;AT1213)&amp;IF(AW1213="","",", "&amp;AW1213)&amp;IF(AZ1213="","",", "&amp;AZ1213),3,500)</f>
        <v/>
      </c>
      <c r="BH1213" s="12" t="n"/>
      <c r="BI1213" s="15">
        <f>IFERROR(MATCH($A1213,IF($B1213="Onsite",tbl_Onsite[Row ID],IF($B1213="Production",tbl_Production[Row ID],tbl_Consulting[Row ID])),0),"")</f>
        <v/>
      </c>
    </row>
    <row r="1214">
      <c r="A1214" s="10" t="inlineStr">
        <is>
          <t>CON-0208</t>
        </is>
      </c>
      <c r="B1214" s="10" t="inlineStr">
        <is>
          <t>Consulting</t>
        </is>
      </c>
      <c r="C1214" s="10">
        <f>IF($BI1214="","",IF($B1214="Onsite",INDEX(tbl_Onsite[Job Number],$BI1214),IF($B1214="Production",INDEX(tbl_Production[Job Number],$BI1214),INDEX(tbl_Consulting[Job Number],$BI1214)))&amp;"")</f>
        <v/>
      </c>
      <c r="D1214" s="10">
        <f>IF($BI1214="","",IF($B1214="Onsite",INDEX(tbl_Onsite[Client],$BI1214),IF($B1214="Production",INDEX(tbl_Production[Client],$BI1214),INDEX(tbl_Consulting[Client],$BI1214)))&amp;"")</f>
        <v/>
      </c>
      <c r="E1214" s="10">
        <f>IF($C1214="","",IF(COUNTIF(lst_Jobs,$C1214)&gt;0,"OK","CHECK"))</f>
        <v/>
      </c>
      <c r="F1214" s="10">
        <f>IF($C1214="","",IFERROR(INDEX(lst_JobName,MATCH($C1214,lst_Jobs,0)),""))</f>
        <v/>
      </c>
      <c r="G1214" s="10">
        <f>IF($BI1214="","",IF($B1214="Onsite",INDEX(tbl_Onsite[Job Description],$BI1214),IF($B1214="Production",INDEX(tbl_Production[Job Description],$BI1214),INDEX(tbl_Consulting[Job Description],$BI1214)))&amp;"")</f>
        <v/>
      </c>
      <c r="H1214" s="10">
        <f>IF($BI1214="","",IF($B1214="Onsite",INDEX(tbl_Onsite[Cost Centre],$BI1214),IF($B1214="Production",INDEX(tbl_Production[Cost Centre],$BI1214),INDEX(tbl_Consulting[Cost Centre],$BI1214)))&amp;"")</f>
        <v/>
      </c>
      <c r="I1214" s="10">
        <f>IF($BI1214="","",IF($B1214="Onsite",INDEX(tbl_Onsite[Invoice Type],$BI1214),IF($B1214="Production",INDEX(tbl_Production[Invoice Type],$BI1214),INDEX(tbl_Consulting[Invoice Type],$BI1214)))&amp;"")</f>
        <v/>
      </c>
      <c r="J1214" s="10">
        <f>IF($BI1214="","",IF($B1214="Onsite",INDEX(tbl_Onsite[Tax Code],$BI1214),IF($B1214="Production",INDEX(tbl_Production[Tax Code],$BI1214),INDEX(tbl_Consulting[Tax Code],$BI1214)))&amp;"")</f>
        <v/>
      </c>
      <c r="K1214" s="10">
        <f>IF(H1214="","",IFERROR(INDEX(lst_CCtoGL,MATCH(H1214,lst_CCforGL,0)),""))</f>
        <v/>
      </c>
      <c r="L1214" s="10">
        <f>IF($BI1214="","",IF($B1214="Onsite",INDEX(tbl_Onsite[PO / Reference],$BI1214),IF($B1214="Production",INDEX(tbl_Production[Current RMS No],$BI1214),INDEX(tbl_Consulting[Qwilr Quote],$BI1214)))&amp;"")</f>
        <v/>
      </c>
      <c r="M1214" s="10">
        <f>IF($BI1214="","",IF($B1214="Onsite",INDEX(tbl_Onsite[Notes],$BI1214),IF($B1214="Production",INDEX(tbl_Production[Notes],$BI1214),INDEX(tbl_Consulting[Notes],$BI1214)))&amp;"")</f>
        <v/>
      </c>
      <c r="N1214" s="11">
        <f>IF($BI1214="","",IF(IF($B1214="Onsite",INDEX(tbl_Onsite[Expected Revenue Ex GST],$BI1214),IF($B1214="Production",INDEX(tbl_Production[Expected Revenue Ex GST],$BI1214),INDEX(tbl_Consulting[Expected Revenue Ex GST],$BI1214)))="","",IF($B1214="Onsite",INDEX(tbl_Onsite[Expected Revenue Ex GST],$BI1214),IF($B1214="Production",INDEX(tbl_Production[Expected Revenue Ex GST],$BI1214),INDEX(tbl_Consulting[Expected Revenue Ex GST],$BI1214)))))</f>
        <v/>
      </c>
      <c r="O1214" s="11">
        <f>IF(AND($C1214="",NOT(COUNTA($S1214:$BB1214)&gt;0)),"",SUM(U1214,X1214,AA1214,AD1214,AG1214,AJ1214,AM1214,AP1214,AS1214,AV1214,AY1214,BB1214))</f>
        <v/>
      </c>
      <c r="P1214" s="11">
        <f>IF(O1214="","",N(N1214)-O1214)</f>
        <v/>
      </c>
      <c r="Q1214" s="10">
        <f>IF(O1214="","",IF($C1214="","Invoice on empty job row",IF(N1214="",IF(ROUND(O1214,2)=0,"No dept value","Invoiced - no dept value"),IF(ROUND(O1214,2)=0,"Not invoiced - to invoice",IF(ROUND(P1214,2)=0,"Agrees",IF(P1214&gt;0,"Dept higher - to invoice","Xero higher - check dept"))))))</f>
        <v/>
      </c>
      <c r="R1214" s="10">
        <f>IF(AND($C1214="",NOT(COUNTA($S1214:$BB1214)&gt;0),$BI1214&lt;&gt;""),"",MID(IF($BI1214="","; Row ID not found on the department sheet - a row was deleted","")&amp;IF(AND($C1214="",COUNTA($S1214:$BB1214)&gt;0),"; Invoice entered but the department row has no job number","")&amp;IF(E1214="CHECK","; Job number not in the Xero job list","")&amp;IF(AND($C1214&lt;&gt;"",COUNTIF($C$7:$C$1506,$C1214)&gt;1),"; Job number on more than one row","")&amp;IF(AND($C1214&lt;&gt;"",H1214=""),"; Dept has not set a cost centre","")&amp;IF(AND($C1214&lt;&gt;"",J1214=""),"; Dept has not set a tax code","")&amp;IF(AND($C1214&lt;&gt;"",N1214=""),"; Dept has not entered an expected value","")&amp;IF((IF(OR(COUNTA(S1214:U1214)=0,AND(COUNTA(S1214:U1214)=3,ISNUMBER(U1214))),0,1)+IF(OR(COUNTA(V1214:X1214)=0,AND(COUNTA(V1214:X1214)=3,ISNUMBER(X1214))),0,1)+IF(OR(COUNTA(Y1214:AA1214)=0,AND(COUNTA(Y1214:AA1214)=3,ISNUMBER(AA1214))),0,1)+IF(OR(COUNTA(AB1214:AD1214)=0,AND(COUNTA(AB1214:AD1214)=3,ISNUMBER(AD1214))),0,1)+IF(OR(COUNTA(AE1214:AG1214)=0,AND(COUNTA(AE1214:AG1214)=3,ISNUMBER(AG1214))),0,1)+IF(OR(COUNTA(AH1214:AJ1214)=0,AND(COUNTA(AH1214:AJ1214)=3,ISNUMBER(AJ1214))),0,1)+IF(OR(COUNTA(AK1214:AM1214)=0,AND(COUNTA(AK1214:AM1214)=3,ISNUMBER(AM1214))),0,1)+IF(OR(COUNTA(AN1214:AP1214)=0,AND(COUNTA(AN1214:AP1214)=3,ISNUMBER(AP1214))),0,1)+IF(OR(COUNTA(AQ1214:AS1214)=0,AND(COUNTA(AQ1214:AS1214)=3,ISNUMBER(AS1214))),0,1)+IF(OR(COUNTA(AT1214:AV1214)=0,AND(COUNTA(AT1214:AV1214)=3,ISNUMBER(AV1214))),0,1)+IF(OR(COUNTA(AW1214:AY1214)=0,AND(COUNTA(AW1214:AY1214)=3,ISNUMBER(AY1214))),0,1)+IF(OR(COUNTA(AZ1214:BB1214)=0,AND(COUNTA(AZ1214:BB1214)=3,ISNUMBER(BB1214))),0,1))&gt;0,"; An invoice is incomplete (needs No, Date and a number in Ex GST)","")&amp;IF((IF(T1214="",0,IFERROR(--(EOMONTH(T1214,0)&lt;&gt;S$5),1))+IF(W1214="",0,IFERROR(--(EOMONTH(W1214,0)&lt;&gt;V$5),1))+IF(Z1214="",0,IFERROR(--(EOMONTH(Z1214,0)&lt;&gt;Y$5),1))+IF(AC1214="",0,IFERROR(--(EOMONTH(AC1214,0)&lt;&gt;AB$5),1))+IF(AF1214="",0,IFERROR(--(EOMONTH(AF1214,0)&lt;&gt;AE$5),1))+IF(AI1214="",0,IFERROR(--(EOMONTH(AI1214,0)&lt;&gt;AH$5),1))+IF(AL1214="",0,IFERROR(--(EOMONTH(AL1214,0)&lt;&gt;AK$5),1))+IF(AO1214="",0,IFERROR(--(EOMONTH(AO1214,0)&lt;&gt;AN$5),1))+IF(AR1214="",0,IFERROR(--(EOMONTH(AR1214,0)&lt;&gt;AQ$5),1))+IF(AU1214="",0,IFERROR(--(EOMONTH(AU1214,0)&lt;&gt;AT$5),1))+IF(AX1214="",0,IFERROR(--(EOMONTH(AX1214,0)&lt;&gt;AW$5),1))+IF(BA1214="",0,IFERROR(--(EOMONTH(BA1214,0)&lt;&gt;AZ$5),1)))&gt;0,"; An invoice date is not in the month it is typed under",""),3,500))</f>
        <v/>
      </c>
      <c r="S1214" s="12" t="n"/>
      <c r="T1214" s="13" t="n"/>
      <c r="U1214" s="14" t="n"/>
      <c r="V1214" s="12" t="n"/>
      <c r="W1214" s="13" t="n"/>
      <c r="X1214" s="14" t="n"/>
      <c r="Y1214" s="12" t="n"/>
      <c r="Z1214" s="13" t="n"/>
      <c r="AA1214" s="14" t="n"/>
      <c r="AB1214" s="12" t="n"/>
      <c r="AC1214" s="13" t="n"/>
      <c r="AD1214" s="14" t="n"/>
      <c r="AE1214" s="12" t="n"/>
      <c r="AF1214" s="13" t="n"/>
      <c r="AG1214" s="14" t="n"/>
      <c r="AH1214" s="12" t="n"/>
      <c r="AI1214" s="13" t="n"/>
      <c r="AJ1214" s="14" t="n"/>
      <c r="AK1214" s="12" t="n"/>
      <c r="AL1214" s="13" t="n"/>
      <c r="AM1214" s="14" t="n"/>
      <c r="AN1214" s="12" t="n"/>
      <c r="AO1214" s="13" t="n"/>
      <c r="AP1214" s="14" t="n"/>
      <c r="AQ1214" s="12" t="n"/>
      <c r="AR1214" s="13" t="n"/>
      <c r="AS1214" s="14" t="n"/>
      <c r="AT1214" s="12" t="n"/>
      <c r="AU1214" s="13" t="n"/>
      <c r="AV1214" s="14" t="n"/>
      <c r="AW1214" s="12" t="n"/>
      <c r="AX1214" s="13" t="n"/>
      <c r="AY1214" s="14" t="n"/>
      <c r="AZ1214" s="12" t="n"/>
      <c r="BA1214" s="13" t="n"/>
      <c r="BB1214" s="14" t="n"/>
      <c r="BC1214" s="11">
        <f>IF(O1214="","",IF(J1214="GST 10%",ROUND(O1214*set_GSTRate,2),0))</f>
        <v/>
      </c>
      <c r="BD1214" s="11">
        <f>IF(O1214="","",O1214+BC1214)</f>
        <v/>
      </c>
      <c r="BE1214" s="15">
        <f>IF(O1214="","",COUNTA(S1214,V1214,Y1214,AB1214,AE1214,AH1214,AK1214,AN1214,AQ1214,AT1214,AW1214,AZ1214))</f>
        <v/>
      </c>
      <c r="BF1214" s="16">
        <f>IF(COUNT(T1214,W1214,Z1214,AC1214,AF1214,AI1214,AL1214,AO1214,AR1214,AU1214,AX1214,BA1214)=0,"",MAX(T1214,W1214,Z1214,AC1214,AF1214,AI1214,AL1214,AO1214,AR1214,AU1214,AX1214,BA1214))</f>
        <v/>
      </c>
      <c r="BG1214" s="10">
        <f>MID(IF(S1214="","",", "&amp;S1214)&amp;IF(V1214="","",", "&amp;V1214)&amp;IF(Y1214="","",", "&amp;Y1214)&amp;IF(AB1214="","",", "&amp;AB1214)&amp;IF(AE1214="","",", "&amp;AE1214)&amp;IF(AH1214="","",", "&amp;AH1214)&amp;IF(AK1214="","",", "&amp;AK1214)&amp;IF(AN1214="","",", "&amp;AN1214)&amp;IF(AQ1214="","",", "&amp;AQ1214)&amp;IF(AT1214="","",", "&amp;AT1214)&amp;IF(AW1214="","",", "&amp;AW1214)&amp;IF(AZ1214="","",", "&amp;AZ1214),3,500)</f>
        <v/>
      </c>
      <c r="BH1214" s="12" t="n"/>
      <c r="BI1214" s="15">
        <f>IFERROR(MATCH($A1214,IF($B1214="Onsite",tbl_Onsite[Row ID],IF($B1214="Production",tbl_Production[Row ID],tbl_Consulting[Row ID])),0),"")</f>
        <v/>
      </c>
    </row>
    <row r="1215">
      <c r="A1215" s="10" t="inlineStr">
        <is>
          <t>CON-0209</t>
        </is>
      </c>
      <c r="B1215" s="10" t="inlineStr">
        <is>
          <t>Consulting</t>
        </is>
      </c>
      <c r="C1215" s="10">
        <f>IF($BI1215="","",IF($B1215="Onsite",INDEX(tbl_Onsite[Job Number],$BI1215),IF($B1215="Production",INDEX(tbl_Production[Job Number],$BI1215),INDEX(tbl_Consulting[Job Number],$BI1215)))&amp;"")</f>
        <v/>
      </c>
      <c r="D1215" s="10">
        <f>IF($BI1215="","",IF($B1215="Onsite",INDEX(tbl_Onsite[Client],$BI1215),IF($B1215="Production",INDEX(tbl_Production[Client],$BI1215),INDEX(tbl_Consulting[Client],$BI1215)))&amp;"")</f>
        <v/>
      </c>
      <c r="E1215" s="10">
        <f>IF($C1215="","",IF(COUNTIF(lst_Jobs,$C1215)&gt;0,"OK","CHECK"))</f>
        <v/>
      </c>
      <c r="F1215" s="10">
        <f>IF($C1215="","",IFERROR(INDEX(lst_JobName,MATCH($C1215,lst_Jobs,0)),""))</f>
        <v/>
      </c>
      <c r="G1215" s="10">
        <f>IF($BI1215="","",IF($B1215="Onsite",INDEX(tbl_Onsite[Job Description],$BI1215),IF($B1215="Production",INDEX(tbl_Production[Job Description],$BI1215),INDEX(tbl_Consulting[Job Description],$BI1215)))&amp;"")</f>
        <v/>
      </c>
      <c r="H1215" s="10">
        <f>IF($BI1215="","",IF($B1215="Onsite",INDEX(tbl_Onsite[Cost Centre],$BI1215),IF($B1215="Production",INDEX(tbl_Production[Cost Centre],$BI1215),INDEX(tbl_Consulting[Cost Centre],$BI1215)))&amp;"")</f>
        <v/>
      </c>
      <c r="I1215" s="10">
        <f>IF($BI1215="","",IF($B1215="Onsite",INDEX(tbl_Onsite[Invoice Type],$BI1215),IF($B1215="Production",INDEX(tbl_Production[Invoice Type],$BI1215),INDEX(tbl_Consulting[Invoice Type],$BI1215)))&amp;"")</f>
        <v/>
      </c>
      <c r="J1215" s="10">
        <f>IF($BI1215="","",IF($B1215="Onsite",INDEX(tbl_Onsite[Tax Code],$BI1215),IF($B1215="Production",INDEX(tbl_Production[Tax Code],$BI1215),INDEX(tbl_Consulting[Tax Code],$BI1215)))&amp;"")</f>
        <v/>
      </c>
      <c r="K1215" s="10">
        <f>IF(H1215="","",IFERROR(INDEX(lst_CCtoGL,MATCH(H1215,lst_CCforGL,0)),""))</f>
        <v/>
      </c>
      <c r="L1215" s="10">
        <f>IF($BI1215="","",IF($B1215="Onsite",INDEX(tbl_Onsite[PO / Reference],$BI1215),IF($B1215="Production",INDEX(tbl_Production[Current RMS No],$BI1215),INDEX(tbl_Consulting[Qwilr Quote],$BI1215)))&amp;"")</f>
        <v/>
      </c>
      <c r="M1215" s="10">
        <f>IF($BI1215="","",IF($B1215="Onsite",INDEX(tbl_Onsite[Notes],$BI1215),IF($B1215="Production",INDEX(tbl_Production[Notes],$BI1215),INDEX(tbl_Consulting[Notes],$BI1215)))&amp;"")</f>
        <v/>
      </c>
      <c r="N1215" s="11">
        <f>IF($BI1215="","",IF(IF($B1215="Onsite",INDEX(tbl_Onsite[Expected Revenue Ex GST],$BI1215),IF($B1215="Production",INDEX(tbl_Production[Expected Revenue Ex GST],$BI1215),INDEX(tbl_Consulting[Expected Revenue Ex GST],$BI1215)))="","",IF($B1215="Onsite",INDEX(tbl_Onsite[Expected Revenue Ex GST],$BI1215),IF($B1215="Production",INDEX(tbl_Production[Expected Revenue Ex GST],$BI1215),INDEX(tbl_Consulting[Expected Revenue Ex GST],$BI1215)))))</f>
        <v/>
      </c>
      <c r="O1215" s="11">
        <f>IF(AND($C1215="",NOT(COUNTA($S1215:$BB1215)&gt;0)),"",SUM(U1215,X1215,AA1215,AD1215,AG1215,AJ1215,AM1215,AP1215,AS1215,AV1215,AY1215,BB1215))</f>
        <v/>
      </c>
      <c r="P1215" s="11">
        <f>IF(O1215="","",N(N1215)-O1215)</f>
        <v/>
      </c>
      <c r="Q1215" s="10">
        <f>IF(O1215="","",IF($C1215="","Invoice on empty job row",IF(N1215="",IF(ROUND(O1215,2)=0,"No dept value","Invoiced - no dept value"),IF(ROUND(O1215,2)=0,"Not invoiced - to invoice",IF(ROUND(P1215,2)=0,"Agrees",IF(P1215&gt;0,"Dept higher - to invoice","Xero higher - check dept"))))))</f>
        <v/>
      </c>
      <c r="R1215" s="10">
        <f>IF(AND($C1215="",NOT(COUNTA($S1215:$BB1215)&gt;0),$BI1215&lt;&gt;""),"",MID(IF($BI1215="","; Row ID not found on the department sheet - a row was deleted","")&amp;IF(AND($C1215="",COUNTA($S1215:$BB1215)&gt;0),"; Invoice entered but the department row has no job number","")&amp;IF(E1215="CHECK","; Job number not in the Xero job list","")&amp;IF(AND($C1215&lt;&gt;"",COUNTIF($C$7:$C$1506,$C1215)&gt;1),"; Job number on more than one row","")&amp;IF(AND($C1215&lt;&gt;"",H1215=""),"; Dept has not set a cost centre","")&amp;IF(AND($C1215&lt;&gt;"",J1215=""),"; Dept has not set a tax code","")&amp;IF(AND($C1215&lt;&gt;"",N1215=""),"; Dept has not entered an expected value","")&amp;IF((IF(OR(COUNTA(S1215:U1215)=0,AND(COUNTA(S1215:U1215)=3,ISNUMBER(U1215))),0,1)+IF(OR(COUNTA(V1215:X1215)=0,AND(COUNTA(V1215:X1215)=3,ISNUMBER(X1215))),0,1)+IF(OR(COUNTA(Y1215:AA1215)=0,AND(COUNTA(Y1215:AA1215)=3,ISNUMBER(AA1215))),0,1)+IF(OR(COUNTA(AB1215:AD1215)=0,AND(COUNTA(AB1215:AD1215)=3,ISNUMBER(AD1215))),0,1)+IF(OR(COUNTA(AE1215:AG1215)=0,AND(COUNTA(AE1215:AG1215)=3,ISNUMBER(AG1215))),0,1)+IF(OR(COUNTA(AH1215:AJ1215)=0,AND(COUNTA(AH1215:AJ1215)=3,ISNUMBER(AJ1215))),0,1)+IF(OR(COUNTA(AK1215:AM1215)=0,AND(COUNTA(AK1215:AM1215)=3,ISNUMBER(AM1215))),0,1)+IF(OR(COUNTA(AN1215:AP1215)=0,AND(COUNTA(AN1215:AP1215)=3,ISNUMBER(AP1215))),0,1)+IF(OR(COUNTA(AQ1215:AS1215)=0,AND(COUNTA(AQ1215:AS1215)=3,ISNUMBER(AS1215))),0,1)+IF(OR(COUNTA(AT1215:AV1215)=0,AND(COUNTA(AT1215:AV1215)=3,ISNUMBER(AV1215))),0,1)+IF(OR(COUNTA(AW1215:AY1215)=0,AND(COUNTA(AW1215:AY1215)=3,ISNUMBER(AY1215))),0,1)+IF(OR(COUNTA(AZ1215:BB1215)=0,AND(COUNTA(AZ1215:BB1215)=3,ISNUMBER(BB1215))),0,1))&gt;0,"; An invoice is incomplete (needs No, Date and a number in Ex GST)","")&amp;IF((IF(T1215="",0,IFERROR(--(EOMONTH(T1215,0)&lt;&gt;S$5),1))+IF(W1215="",0,IFERROR(--(EOMONTH(W1215,0)&lt;&gt;V$5),1))+IF(Z1215="",0,IFERROR(--(EOMONTH(Z1215,0)&lt;&gt;Y$5),1))+IF(AC1215="",0,IFERROR(--(EOMONTH(AC1215,0)&lt;&gt;AB$5),1))+IF(AF1215="",0,IFERROR(--(EOMONTH(AF1215,0)&lt;&gt;AE$5),1))+IF(AI1215="",0,IFERROR(--(EOMONTH(AI1215,0)&lt;&gt;AH$5),1))+IF(AL1215="",0,IFERROR(--(EOMONTH(AL1215,0)&lt;&gt;AK$5),1))+IF(AO1215="",0,IFERROR(--(EOMONTH(AO1215,0)&lt;&gt;AN$5),1))+IF(AR1215="",0,IFERROR(--(EOMONTH(AR1215,0)&lt;&gt;AQ$5),1))+IF(AU1215="",0,IFERROR(--(EOMONTH(AU1215,0)&lt;&gt;AT$5),1))+IF(AX1215="",0,IFERROR(--(EOMONTH(AX1215,0)&lt;&gt;AW$5),1))+IF(BA1215="",0,IFERROR(--(EOMONTH(BA1215,0)&lt;&gt;AZ$5),1)))&gt;0,"; An invoice date is not in the month it is typed under",""),3,500))</f>
        <v/>
      </c>
      <c r="S1215" s="12" t="n"/>
      <c r="T1215" s="13" t="n"/>
      <c r="U1215" s="14" t="n"/>
      <c r="V1215" s="12" t="n"/>
      <c r="W1215" s="13" t="n"/>
      <c r="X1215" s="14" t="n"/>
      <c r="Y1215" s="12" t="n"/>
      <c r="Z1215" s="13" t="n"/>
      <c r="AA1215" s="14" t="n"/>
      <c r="AB1215" s="12" t="n"/>
      <c r="AC1215" s="13" t="n"/>
      <c r="AD1215" s="14" t="n"/>
      <c r="AE1215" s="12" t="n"/>
      <c r="AF1215" s="13" t="n"/>
      <c r="AG1215" s="14" t="n"/>
      <c r="AH1215" s="12" t="n"/>
      <c r="AI1215" s="13" t="n"/>
      <c r="AJ1215" s="14" t="n"/>
      <c r="AK1215" s="12" t="n"/>
      <c r="AL1215" s="13" t="n"/>
      <c r="AM1215" s="14" t="n"/>
      <c r="AN1215" s="12" t="n"/>
      <c r="AO1215" s="13" t="n"/>
      <c r="AP1215" s="14" t="n"/>
      <c r="AQ1215" s="12" t="n"/>
      <c r="AR1215" s="13" t="n"/>
      <c r="AS1215" s="14" t="n"/>
      <c r="AT1215" s="12" t="n"/>
      <c r="AU1215" s="13" t="n"/>
      <c r="AV1215" s="14" t="n"/>
      <c r="AW1215" s="12" t="n"/>
      <c r="AX1215" s="13" t="n"/>
      <c r="AY1215" s="14" t="n"/>
      <c r="AZ1215" s="12" t="n"/>
      <c r="BA1215" s="13" t="n"/>
      <c r="BB1215" s="14" t="n"/>
      <c r="BC1215" s="11">
        <f>IF(O1215="","",IF(J1215="GST 10%",ROUND(O1215*set_GSTRate,2),0))</f>
        <v/>
      </c>
      <c r="BD1215" s="11">
        <f>IF(O1215="","",O1215+BC1215)</f>
        <v/>
      </c>
      <c r="BE1215" s="15">
        <f>IF(O1215="","",COUNTA(S1215,V1215,Y1215,AB1215,AE1215,AH1215,AK1215,AN1215,AQ1215,AT1215,AW1215,AZ1215))</f>
        <v/>
      </c>
      <c r="BF1215" s="16">
        <f>IF(COUNT(T1215,W1215,Z1215,AC1215,AF1215,AI1215,AL1215,AO1215,AR1215,AU1215,AX1215,BA1215)=0,"",MAX(T1215,W1215,Z1215,AC1215,AF1215,AI1215,AL1215,AO1215,AR1215,AU1215,AX1215,BA1215))</f>
        <v/>
      </c>
      <c r="BG1215" s="10">
        <f>MID(IF(S1215="","",", "&amp;S1215)&amp;IF(V1215="","",", "&amp;V1215)&amp;IF(Y1215="","",", "&amp;Y1215)&amp;IF(AB1215="","",", "&amp;AB1215)&amp;IF(AE1215="","",", "&amp;AE1215)&amp;IF(AH1215="","",", "&amp;AH1215)&amp;IF(AK1215="","",", "&amp;AK1215)&amp;IF(AN1215="","",", "&amp;AN1215)&amp;IF(AQ1215="","",", "&amp;AQ1215)&amp;IF(AT1215="","",", "&amp;AT1215)&amp;IF(AW1215="","",", "&amp;AW1215)&amp;IF(AZ1215="","",", "&amp;AZ1215),3,500)</f>
        <v/>
      </c>
      <c r="BH1215" s="12" t="n"/>
      <c r="BI1215" s="15">
        <f>IFERROR(MATCH($A1215,IF($B1215="Onsite",tbl_Onsite[Row ID],IF($B1215="Production",tbl_Production[Row ID],tbl_Consulting[Row ID])),0),"")</f>
        <v/>
      </c>
    </row>
    <row r="1216">
      <c r="A1216" s="10" t="inlineStr">
        <is>
          <t>CON-0210</t>
        </is>
      </c>
      <c r="B1216" s="10" t="inlineStr">
        <is>
          <t>Consulting</t>
        </is>
      </c>
      <c r="C1216" s="10">
        <f>IF($BI1216="","",IF($B1216="Onsite",INDEX(tbl_Onsite[Job Number],$BI1216),IF($B1216="Production",INDEX(tbl_Production[Job Number],$BI1216),INDEX(tbl_Consulting[Job Number],$BI1216)))&amp;"")</f>
        <v/>
      </c>
      <c r="D1216" s="10">
        <f>IF($BI1216="","",IF($B1216="Onsite",INDEX(tbl_Onsite[Client],$BI1216),IF($B1216="Production",INDEX(tbl_Production[Client],$BI1216),INDEX(tbl_Consulting[Client],$BI1216)))&amp;"")</f>
        <v/>
      </c>
      <c r="E1216" s="10">
        <f>IF($C1216="","",IF(COUNTIF(lst_Jobs,$C1216)&gt;0,"OK","CHECK"))</f>
        <v/>
      </c>
      <c r="F1216" s="10">
        <f>IF($C1216="","",IFERROR(INDEX(lst_JobName,MATCH($C1216,lst_Jobs,0)),""))</f>
        <v/>
      </c>
      <c r="G1216" s="10">
        <f>IF($BI1216="","",IF($B1216="Onsite",INDEX(tbl_Onsite[Job Description],$BI1216),IF($B1216="Production",INDEX(tbl_Production[Job Description],$BI1216),INDEX(tbl_Consulting[Job Description],$BI1216)))&amp;"")</f>
        <v/>
      </c>
      <c r="H1216" s="10">
        <f>IF($BI1216="","",IF($B1216="Onsite",INDEX(tbl_Onsite[Cost Centre],$BI1216),IF($B1216="Production",INDEX(tbl_Production[Cost Centre],$BI1216),INDEX(tbl_Consulting[Cost Centre],$BI1216)))&amp;"")</f>
        <v/>
      </c>
      <c r="I1216" s="10">
        <f>IF($BI1216="","",IF($B1216="Onsite",INDEX(tbl_Onsite[Invoice Type],$BI1216),IF($B1216="Production",INDEX(tbl_Production[Invoice Type],$BI1216),INDEX(tbl_Consulting[Invoice Type],$BI1216)))&amp;"")</f>
        <v/>
      </c>
      <c r="J1216" s="10">
        <f>IF($BI1216="","",IF($B1216="Onsite",INDEX(tbl_Onsite[Tax Code],$BI1216),IF($B1216="Production",INDEX(tbl_Production[Tax Code],$BI1216),INDEX(tbl_Consulting[Tax Code],$BI1216)))&amp;"")</f>
        <v/>
      </c>
      <c r="K1216" s="10">
        <f>IF(H1216="","",IFERROR(INDEX(lst_CCtoGL,MATCH(H1216,lst_CCforGL,0)),""))</f>
        <v/>
      </c>
      <c r="L1216" s="10">
        <f>IF($BI1216="","",IF($B1216="Onsite",INDEX(tbl_Onsite[PO / Reference],$BI1216),IF($B1216="Production",INDEX(tbl_Production[Current RMS No],$BI1216),INDEX(tbl_Consulting[Qwilr Quote],$BI1216)))&amp;"")</f>
        <v/>
      </c>
      <c r="M1216" s="10">
        <f>IF($BI1216="","",IF($B1216="Onsite",INDEX(tbl_Onsite[Notes],$BI1216),IF($B1216="Production",INDEX(tbl_Production[Notes],$BI1216),INDEX(tbl_Consulting[Notes],$BI1216)))&amp;"")</f>
        <v/>
      </c>
      <c r="N1216" s="11">
        <f>IF($BI1216="","",IF(IF($B1216="Onsite",INDEX(tbl_Onsite[Expected Revenue Ex GST],$BI1216),IF($B1216="Production",INDEX(tbl_Production[Expected Revenue Ex GST],$BI1216),INDEX(tbl_Consulting[Expected Revenue Ex GST],$BI1216)))="","",IF($B1216="Onsite",INDEX(tbl_Onsite[Expected Revenue Ex GST],$BI1216),IF($B1216="Production",INDEX(tbl_Production[Expected Revenue Ex GST],$BI1216),INDEX(tbl_Consulting[Expected Revenue Ex GST],$BI1216)))))</f>
        <v/>
      </c>
      <c r="O1216" s="11">
        <f>IF(AND($C1216="",NOT(COUNTA($S1216:$BB1216)&gt;0)),"",SUM(U1216,X1216,AA1216,AD1216,AG1216,AJ1216,AM1216,AP1216,AS1216,AV1216,AY1216,BB1216))</f>
        <v/>
      </c>
      <c r="P1216" s="11">
        <f>IF(O1216="","",N(N1216)-O1216)</f>
        <v/>
      </c>
      <c r="Q1216" s="10">
        <f>IF(O1216="","",IF($C1216="","Invoice on empty job row",IF(N1216="",IF(ROUND(O1216,2)=0,"No dept value","Invoiced - no dept value"),IF(ROUND(O1216,2)=0,"Not invoiced - to invoice",IF(ROUND(P1216,2)=0,"Agrees",IF(P1216&gt;0,"Dept higher - to invoice","Xero higher - check dept"))))))</f>
        <v/>
      </c>
      <c r="R1216" s="10">
        <f>IF(AND($C1216="",NOT(COUNTA($S1216:$BB1216)&gt;0),$BI1216&lt;&gt;""),"",MID(IF($BI1216="","; Row ID not found on the department sheet - a row was deleted","")&amp;IF(AND($C1216="",COUNTA($S1216:$BB1216)&gt;0),"; Invoice entered but the department row has no job number","")&amp;IF(E1216="CHECK","; Job number not in the Xero job list","")&amp;IF(AND($C1216&lt;&gt;"",COUNTIF($C$7:$C$1506,$C1216)&gt;1),"; Job number on more than one row","")&amp;IF(AND($C1216&lt;&gt;"",H1216=""),"; Dept has not set a cost centre","")&amp;IF(AND($C1216&lt;&gt;"",J1216=""),"; Dept has not set a tax code","")&amp;IF(AND($C1216&lt;&gt;"",N1216=""),"; Dept has not entered an expected value","")&amp;IF((IF(OR(COUNTA(S1216:U1216)=0,AND(COUNTA(S1216:U1216)=3,ISNUMBER(U1216))),0,1)+IF(OR(COUNTA(V1216:X1216)=0,AND(COUNTA(V1216:X1216)=3,ISNUMBER(X1216))),0,1)+IF(OR(COUNTA(Y1216:AA1216)=0,AND(COUNTA(Y1216:AA1216)=3,ISNUMBER(AA1216))),0,1)+IF(OR(COUNTA(AB1216:AD1216)=0,AND(COUNTA(AB1216:AD1216)=3,ISNUMBER(AD1216))),0,1)+IF(OR(COUNTA(AE1216:AG1216)=0,AND(COUNTA(AE1216:AG1216)=3,ISNUMBER(AG1216))),0,1)+IF(OR(COUNTA(AH1216:AJ1216)=0,AND(COUNTA(AH1216:AJ1216)=3,ISNUMBER(AJ1216))),0,1)+IF(OR(COUNTA(AK1216:AM1216)=0,AND(COUNTA(AK1216:AM1216)=3,ISNUMBER(AM1216))),0,1)+IF(OR(COUNTA(AN1216:AP1216)=0,AND(COUNTA(AN1216:AP1216)=3,ISNUMBER(AP1216))),0,1)+IF(OR(COUNTA(AQ1216:AS1216)=0,AND(COUNTA(AQ1216:AS1216)=3,ISNUMBER(AS1216))),0,1)+IF(OR(COUNTA(AT1216:AV1216)=0,AND(COUNTA(AT1216:AV1216)=3,ISNUMBER(AV1216))),0,1)+IF(OR(COUNTA(AW1216:AY1216)=0,AND(COUNTA(AW1216:AY1216)=3,ISNUMBER(AY1216))),0,1)+IF(OR(COUNTA(AZ1216:BB1216)=0,AND(COUNTA(AZ1216:BB1216)=3,ISNUMBER(BB1216))),0,1))&gt;0,"; An invoice is incomplete (needs No, Date and a number in Ex GST)","")&amp;IF((IF(T1216="",0,IFERROR(--(EOMONTH(T1216,0)&lt;&gt;S$5),1))+IF(W1216="",0,IFERROR(--(EOMONTH(W1216,0)&lt;&gt;V$5),1))+IF(Z1216="",0,IFERROR(--(EOMONTH(Z1216,0)&lt;&gt;Y$5),1))+IF(AC1216="",0,IFERROR(--(EOMONTH(AC1216,0)&lt;&gt;AB$5),1))+IF(AF1216="",0,IFERROR(--(EOMONTH(AF1216,0)&lt;&gt;AE$5),1))+IF(AI1216="",0,IFERROR(--(EOMONTH(AI1216,0)&lt;&gt;AH$5),1))+IF(AL1216="",0,IFERROR(--(EOMONTH(AL1216,0)&lt;&gt;AK$5),1))+IF(AO1216="",0,IFERROR(--(EOMONTH(AO1216,0)&lt;&gt;AN$5),1))+IF(AR1216="",0,IFERROR(--(EOMONTH(AR1216,0)&lt;&gt;AQ$5),1))+IF(AU1216="",0,IFERROR(--(EOMONTH(AU1216,0)&lt;&gt;AT$5),1))+IF(AX1216="",0,IFERROR(--(EOMONTH(AX1216,0)&lt;&gt;AW$5),1))+IF(BA1216="",0,IFERROR(--(EOMONTH(BA1216,0)&lt;&gt;AZ$5),1)))&gt;0,"; An invoice date is not in the month it is typed under",""),3,500))</f>
        <v/>
      </c>
      <c r="S1216" s="12" t="n"/>
      <c r="T1216" s="13" t="n"/>
      <c r="U1216" s="14" t="n"/>
      <c r="V1216" s="12" t="n"/>
      <c r="W1216" s="13" t="n"/>
      <c r="X1216" s="14" t="n"/>
      <c r="Y1216" s="12" t="n"/>
      <c r="Z1216" s="13" t="n"/>
      <c r="AA1216" s="14" t="n"/>
      <c r="AB1216" s="12" t="n"/>
      <c r="AC1216" s="13" t="n"/>
      <c r="AD1216" s="14" t="n"/>
      <c r="AE1216" s="12" t="n"/>
      <c r="AF1216" s="13" t="n"/>
      <c r="AG1216" s="14" t="n"/>
      <c r="AH1216" s="12" t="n"/>
      <c r="AI1216" s="13" t="n"/>
      <c r="AJ1216" s="14" t="n"/>
      <c r="AK1216" s="12" t="n"/>
      <c r="AL1216" s="13" t="n"/>
      <c r="AM1216" s="14" t="n"/>
      <c r="AN1216" s="12" t="n"/>
      <c r="AO1216" s="13" t="n"/>
      <c r="AP1216" s="14" t="n"/>
      <c r="AQ1216" s="12" t="n"/>
      <c r="AR1216" s="13" t="n"/>
      <c r="AS1216" s="14" t="n"/>
      <c r="AT1216" s="12" t="n"/>
      <c r="AU1216" s="13" t="n"/>
      <c r="AV1216" s="14" t="n"/>
      <c r="AW1216" s="12" t="n"/>
      <c r="AX1216" s="13" t="n"/>
      <c r="AY1216" s="14" t="n"/>
      <c r="AZ1216" s="12" t="n"/>
      <c r="BA1216" s="13" t="n"/>
      <c r="BB1216" s="14" t="n"/>
      <c r="BC1216" s="11">
        <f>IF(O1216="","",IF(J1216="GST 10%",ROUND(O1216*set_GSTRate,2),0))</f>
        <v/>
      </c>
      <c r="BD1216" s="11">
        <f>IF(O1216="","",O1216+BC1216)</f>
        <v/>
      </c>
      <c r="BE1216" s="15">
        <f>IF(O1216="","",COUNTA(S1216,V1216,Y1216,AB1216,AE1216,AH1216,AK1216,AN1216,AQ1216,AT1216,AW1216,AZ1216))</f>
        <v/>
      </c>
      <c r="BF1216" s="16">
        <f>IF(COUNT(T1216,W1216,Z1216,AC1216,AF1216,AI1216,AL1216,AO1216,AR1216,AU1216,AX1216,BA1216)=0,"",MAX(T1216,W1216,Z1216,AC1216,AF1216,AI1216,AL1216,AO1216,AR1216,AU1216,AX1216,BA1216))</f>
        <v/>
      </c>
      <c r="BG1216" s="10">
        <f>MID(IF(S1216="","",", "&amp;S1216)&amp;IF(V1216="","",", "&amp;V1216)&amp;IF(Y1216="","",", "&amp;Y1216)&amp;IF(AB1216="","",", "&amp;AB1216)&amp;IF(AE1216="","",", "&amp;AE1216)&amp;IF(AH1216="","",", "&amp;AH1216)&amp;IF(AK1216="","",", "&amp;AK1216)&amp;IF(AN1216="","",", "&amp;AN1216)&amp;IF(AQ1216="","",", "&amp;AQ1216)&amp;IF(AT1216="","",", "&amp;AT1216)&amp;IF(AW1216="","",", "&amp;AW1216)&amp;IF(AZ1216="","",", "&amp;AZ1216),3,500)</f>
        <v/>
      </c>
      <c r="BH1216" s="12" t="n"/>
      <c r="BI1216" s="15">
        <f>IFERROR(MATCH($A1216,IF($B1216="Onsite",tbl_Onsite[Row ID],IF($B1216="Production",tbl_Production[Row ID],tbl_Consulting[Row ID])),0),"")</f>
        <v/>
      </c>
    </row>
    <row r="1217">
      <c r="A1217" s="10" t="inlineStr">
        <is>
          <t>CON-0211</t>
        </is>
      </c>
      <c r="B1217" s="10" t="inlineStr">
        <is>
          <t>Consulting</t>
        </is>
      </c>
      <c r="C1217" s="10">
        <f>IF($BI1217="","",IF($B1217="Onsite",INDEX(tbl_Onsite[Job Number],$BI1217),IF($B1217="Production",INDEX(tbl_Production[Job Number],$BI1217),INDEX(tbl_Consulting[Job Number],$BI1217)))&amp;"")</f>
        <v/>
      </c>
      <c r="D1217" s="10">
        <f>IF($BI1217="","",IF($B1217="Onsite",INDEX(tbl_Onsite[Client],$BI1217),IF($B1217="Production",INDEX(tbl_Production[Client],$BI1217),INDEX(tbl_Consulting[Client],$BI1217)))&amp;"")</f>
        <v/>
      </c>
      <c r="E1217" s="10">
        <f>IF($C1217="","",IF(COUNTIF(lst_Jobs,$C1217)&gt;0,"OK","CHECK"))</f>
        <v/>
      </c>
      <c r="F1217" s="10">
        <f>IF($C1217="","",IFERROR(INDEX(lst_JobName,MATCH($C1217,lst_Jobs,0)),""))</f>
        <v/>
      </c>
      <c r="G1217" s="10">
        <f>IF($BI1217="","",IF($B1217="Onsite",INDEX(tbl_Onsite[Job Description],$BI1217),IF($B1217="Production",INDEX(tbl_Production[Job Description],$BI1217),INDEX(tbl_Consulting[Job Description],$BI1217)))&amp;"")</f>
        <v/>
      </c>
      <c r="H1217" s="10">
        <f>IF($BI1217="","",IF($B1217="Onsite",INDEX(tbl_Onsite[Cost Centre],$BI1217),IF($B1217="Production",INDEX(tbl_Production[Cost Centre],$BI1217),INDEX(tbl_Consulting[Cost Centre],$BI1217)))&amp;"")</f>
        <v/>
      </c>
      <c r="I1217" s="10">
        <f>IF($BI1217="","",IF($B1217="Onsite",INDEX(tbl_Onsite[Invoice Type],$BI1217),IF($B1217="Production",INDEX(tbl_Production[Invoice Type],$BI1217),INDEX(tbl_Consulting[Invoice Type],$BI1217)))&amp;"")</f>
        <v/>
      </c>
      <c r="J1217" s="10">
        <f>IF($BI1217="","",IF($B1217="Onsite",INDEX(tbl_Onsite[Tax Code],$BI1217),IF($B1217="Production",INDEX(tbl_Production[Tax Code],$BI1217),INDEX(tbl_Consulting[Tax Code],$BI1217)))&amp;"")</f>
        <v/>
      </c>
      <c r="K1217" s="10">
        <f>IF(H1217="","",IFERROR(INDEX(lst_CCtoGL,MATCH(H1217,lst_CCforGL,0)),""))</f>
        <v/>
      </c>
      <c r="L1217" s="10">
        <f>IF($BI1217="","",IF($B1217="Onsite",INDEX(tbl_Onsite[PO / Reference],$BI1217),IF($B1217="Production",INDEX(tbl_Production[Current RMS No],$BI1217),INDEX(tbl_Consulting[Qwilr Quote],$BI1217)))&amp;"")</f>
        <v/>
      </c>
      <c r="M1217" s="10">
        <f>IF($BI1217="","",IF($B1217="Onsite",INDEX(tbl_Onsite[Notes],$BI1217),IF($B1217="Production",INDEX(tbl_Production[Notes],$BI1217),INDEX(tbl_Consulting[Notes],$BI1217)))&amp;"")</f>
        <v/>
      </c>
      <c r="N1217" s="11">
        <f>IF($BI1217="","",IF(IF($B1217="Onsite",INDEX(tbl_Onsite[Expected Revenue Ex GST],$BI1217),IF($B1217="Production",INDEX(tbl_Production[Expected Revenue Ex GST],$BI1217),INDEX(tbl_Consulting[Expected Revenue Ex GST],$BI1217)))="","",IF($B1217="Onsite",INDEX(tbl_Onsite[Expected Revenue Ex GST],$BI1217),IF($B1217="Production",INDEX(tbl_Production[Expected Revenue Ex GST],$BI1217),INDEX(tbl_Consulting[Expected Revenue Ex GST],$BI1217)))))</f>
        <v/>
      </c>
      <c r="O1217" s="11">
        <f>IF(AND($C1217="",NOT(COUNTA($S1217:$BB1217)&gt;0)),"",SUM(U1217,X1217,AA1217,AD1217,AG1217,AJ1217,AM1217,AP1217,AS1217,AV1217,AY1217,BB1217))</f>
        <v/>
      </c>
      <c r="P1217" s="11">
        <f>IF(O1217="","",N(N1217)-O1217)</f>
        <v/>
      </c>
      <c r="Q1217" s="10">
        <f>IF(O1217="","",IF($C1217="","Invoice on empty job row",IF(N1217="",IF(ROUND(O1217,2)=0,"No dept value","Invoiced - no dept value"),IF(ROUND(O1217,2)=0,"Not invoiced - to invoice",IF(ROUND(P1217,2)=0,"Agrees",IF(P1217&gt;0,"Dept higher - to invoice","Xero higher - check dept"))))))</f>
        <v/>
      </c>
      <c r="R1217" s="10">
        <f>IF(AND($C1217="",NOT(COUNTA($S1217:$BB1217)&gt;0),$BI1217&lt;&gt;""),"",MID(IF($BI1217="","; Row ID not found on the department sheet - a row was deleted","")&amp;IF(AND($C1217="",COUNTA($S1217:$BB1217)&gt;0),"; Invoice entered but the department row has no job number","")&amp;IF(E1217="CHECK","; Job number not in the Xero job list","")&amp;IF(AND($C1217&lt;&gt;"",COUNTIF($C$7:$C$1506,$C1217)&gt;1),"; Job number on more than one row","")&amp;IF(AND($C1217&lt;&gt;"",H1217=""),"; Dept has not set a cost centre","")&amp;IF(AND($C1217&lt;&gt;"",J1217=""),"; Dept has not set a tax code","")&amp;IF(AND($C1217&lt;&gt;"",N1217=""),"; Dept has not entered an expected value","")&amp;IF((IF(OR(COUNTA(S1217:U1217)=0,AND(COUNTA(S1217:U1217)=3,ISNUMBER(U1217))),0,1)+IF(OR(COUNTA(V1217:X1217)=0,AND(COUNTA(V1217:X1217)=3,ISNUMBER(X1217))),0,1)+IF(OR(COUNTA(Y1217:AA1217)=0,AND(COUNTA(Y1217:AA1217)=3,ISNUMBER(AA1217))),0,1)+IF(OR(COUNTA(AB1217:AD1217)=0,AND(COUNTA(AB1217:AD1217)=3,ISNUMBER(AD1217))),0,1)+IF(OR(COUNTA(AE1217:AG1217)=0,AND(COUNTA(AE1217:AG1217)=3,ISNUMBER(AG1217))),0,1)+IF(OR(COUNTA(AH1217:AJ1217)=0,AND(COUNTA(AH1217:AJ1217)=3,ISNUMBER(AJ1217))),0,1)+IF(OR(COUNTA(AK1217:AM1217)=0,AND(COUNTA(AK1217:AM1217)=3,ISNUMBER(AM1217))),0,1)+IF(OR(COUNTA(AN1217:AP1217)=0,AND(COUNTA(AN1217:AP1217)=3,ISNUMBER(AP1217))),0,1)+IF(OR(COUNTA(AQ1217:AS1217)=0,AND(COUNTA(AQ1217:AS1217)=3,ISNUMBER(AS1217))),0,1)+IF(OR(COUNTA(AT1217:AV1217)=0,AND(COUNTA(AT1217:AV1217)=3,ISNUMBER(AV1217))),0,1)+IF(OR(COUNTA(AW1217:AY1217)=0,AND(COUNTA(AW1217:AY1217)=3,ISNUMBER(AY1217))),0,1)+IF(OR(COUNTA(AZ1217:BB1217)=0,AND(COUNTA(AZ1217:BB1217)=3,ISNUMBER(BB1217))),0,1))&gt;0,"; An invoice is incomplete (needs No, Date and a number in Ex GST)","")&amp;IF((IF(T1217="",0,IFERROR(--(EOMONTH(T1217,0)&lt;&gt;S$5),1))+IF(W1217="",0,IFERROR(--(EOMONTH(W1217,0)&lt;&gt;V$5),1))+IF(Z1217="",0,IFERROR(--(EOMONTH(Z1217,0)&lt;&gt;Y$5),1))+IF(AC1217="",0,IFERROR(--(EOMONTH(AC1217,0)&lt;&gt;AB$5),1))+IF(AF1217="",0,IFERROR(--(EOMONTH(AF1217,0)&lt;&gt;AE$5),1))+IF(AI1217="",0,IFERROR(--(EOMONTH(AI1217,0)&lt;&gt;AH$5),1))+IF(AL1217="",0,IFERROR(--(EOMONTH(AL1217,0)&lt;&gt;AK$5),1))+IF(AO1217="",0,IFERROR(--(EOMONTH(AO1217,0)&lt;&gt;AN$5),1))+IF(AR1217="",0,IFERROR(--(EOMONTH(AR1217,0)&lt;&gt;AQ$5),1))+IF(AU1217="",0,IFERROR(--(EOMONTH(AU1217,0)&lt;&gt;AT$5),1))+IF(AX1217="",0,IFERROR(--(EOMONTH(AX1217,0)&lt;&gt;AW$5),1))+IF(BA1217="",0,IFERROR(--(EOMONTH(BA1217,0)&lt;&gt;AZ$5),1)))&gt;0,"; An invoice date is not in the month it is typed under",""),3,500))</f>
        <v/>
      </c>
      <c r="S1217" s="12" t="n"/>
      <c r="T1217" s="13" t="n"/>
      <c r="U1217" s="14" t="n"/>
      <c r="V1217" s="12" t="n"/>
      <c r="W1217" s="13" t="n"/>
      <c r="X1217" s="14" t="n"/>
      <c r="Y1217" s="12" t="n"/>
      <c r="Z1217" s="13" t="n"/>
      <c r="AA1217" s="14" t="n"/>
      <c r="AB1217" s="12" t="n"/>
      <c r="AC1217" s="13" t="n"/>
      <c r="AD1217" s="14" t="n"/>
      <c r="AE1217" s="12" t="n"/>
      <c r="AF1217" s="13" t="n"/>
      <c r="AG1217" s="14" t="n"/>
      <c r="AH1217" s="12" t="n"/>
      <c r="AI1217" s="13" t="n"/>
      <c r="AJ1217" s="14" t="n"/>
      <c r="AK1217" s="12" t="n"/>
      <c r="AL1217" s="13" t="n"/>
      <c r="AM1217" s="14" t="n"/>
      <c r="AN1217" s="12" t="n"/>
      <c r="AO1217" s="13" t="n"/>
      <c r="AP1217" s="14" t="n"/>
      <c r="AQ1217" s="12" t="n"/>
      <c r="AR1217" s="13" t="n"/>
      <c r="AS1217" s="14" t="n"/>
      <c r="AT1217" s="12" t="n"/>
      <c r="AU1217" s="13" t="n"/>
      <c r="AV1217" s="14" t="n"/>
      <c r="AW1217" s="12" t="n"/>
      <c r="AX1217" s="13" t="n"/>
      <c r="AY1217" s="14" t="n"/>
      <c r="AZ1217" s="12" t="n"/>
      <c r="BA1217" s="13" t="n"/>
      <c r="BB1217" s="14" t="n"/>
      <c r="BC1217" s="11">
        <f>IF(O1217="","",IF(J1217="GST 10%",ROUND(O1217*set_GSTRate,2),0))</f>
        <v/>
      </c>
      <c r="BD1217" s="11">
        <f>IF(O1217="","",O1217+BC1217)</f>
        <v/>
      </c>
      <c r="BE1217" s="15">
        <f>IF(O1217="","",COUNTA(S1217,V1217,Y1217,AB1217,AE1217,AH1217,AK1217,AN1217,AQ1217,AT1217,AW1217,AZ1217))</f>
        <v/>
      </c>
      <c r="BF1217" s="16">
        <f>IF(COUNT(T1217,W1217,Z1217,AC1217,AF1217,AI1217,AL1217,AO1217,AR1217,AU1217,AX1217,BA1217)=0,"",MAX(T1217,W1217,Z1217,AC1217,AF1217,AI1217,AL1217,AO1217,AR1217,AU1217,AX1217,BA1217))</f>
        <v/>
      </c>
      <c r="BG1217" s="10">
        <f>MID(IF(S1217="","",", "&amp;S1217)&amp;IF(V1217="","",", "&amp;V1217)&amp;IF(Y1217="","",", "&amp;Y1217)&amp;IF(AB1217="","",", "&amp;AB1217)&amp;IF(AE1217="","",", "&amp;AE1217)&amp;IF(AH1217="","",", "&amp;AH1217)&amp;IF(AK1217="","",", "&amp;AK1217)&amp;IF(AN1217="","",", "&amp;AN1217)&amp;IF(AQ1217="","",", "&amp;AQ1217)&amp;IF(AT1217="","",", "&amp;AT1217)&amp;IF(AW1217="","",", "&amp;AW1217)&amp;IF(AZ1217="","",", "&amp;AZ1217),3,500)</f>
        <v/>
      </c>
      <c r="BH1217" s="12" t="n"/>
      <c r="BI1217" s="15">
        <f>IFERROR(MATCH($A1217,IF($B1217="Onsite",tbl_Onsite[Row ID],IF($B1217="Production",tbl_Production[Row ID],tbl_Consulting[Row ID])),0),"")</f>
        <v/>
      </c>
    </row>
    <row r="1218">
      <c r="A1218" s="10" t="inlineStr">
        <is>
          <t>CON-0212</t>
        </is>
      </c>
      <c r="B1218" s="10" t="inlineStr">
        <is>
          <t>Consulting</t>
        </is>
      </c>
      <c r="C1218" s="10">
        <f>IF($BI1218="","",IF($B1218="Onsite",INDEX(tbl_Onsite[Job Number],$BI1218),IF($B1218="Production",INDEX(tbl_Production[Job Number],$BI1218),INDEX(tbl_Consulting[Job Number],$BI1218)))&amp;"")</f>
        <v/>
      </c>
      <c r="D1218" s="10">
        <f>IF($BI1218="","",IF($B1218="Onsite",INDEX(tbl_Onsite[Client],$BI1218),IF($B1218="Production",INDEX(tbl_Production[Client],$BI1218),INDEX(tbl_Consulting[Client],$BI1218)))&amp;"")</f>
        <v/>
      </c>
      <c r="E1218" s="10">
        <f>IF($C1218="","",IF(COUNTIF(lst_Jobs,$C1218)&gt;0,"OK","CHECK"))</f>
        <v/>
      </c>
      <c r="F1218" s="10">
        <f>IF($C1218="","",IFERROR(INDEX(lst_JobName,MATCH($C1218,lst_Jobs,0)),""))</f>
        <v/>
      </c>
      <c r="G1218" s="10">
        <f>IF($BI1218="","",IF($B1218="Onsite",INDEX(tbl_Onsite[Job Description],$BI1218),IF($B1218="Production",INDEX(tbl_Production[Job Description],$BI1218),INDEX(tbl_Consulting[Job Description],$BI1218)))&amp;"")</f>
        <v/>
      </c>
      <c r="H1218" s="10">
        <f>IF($BI1218="","",IF($B1218="Onsite",INDEX(tbl_Onsite[Cost Centre],$BI1218),IF($B1218="Production",INDEX(tbl_Production[Cost Centre],$BI1218),INDEX(tbl_Consulting[Cost Centre],$BI1218)))&amp;"")</f>
        <v/>
      </c>
      <c r="I1218" s="10">
        <f>IF($BI1218="","",IF($B1218="Onsite",INDEX(tbl_Onsite[Invoice Type],$BI1218),IF($B1218="Production",INDEX(tbl_Production[Invoice Type],$BI1218),INDEX(tbl_Consulting[Invoice Type],$BI1218)))&amp;"")</f>
        <v/>
      </c>
      <c r="J1218" s="10">
        <f>IF($BI1218="","",IF($B1218="Onsite",INDEX(tbl_Onsite[Tax Code],$BI1218),IF($B1218="Production",INDEX(tbl_Production[Tax Code],$BI1218),INDEX(tbl_Consulting[Tax Code],$BI1218)))&amp;"")</f>
        <v/>
      </c>
      <c r="K1218" s="10">
        <f>IF(H1218="","",IFERROR(INDEX(lst_CCtoGL,MATCH(H1218,lst_CCforGL,0)),""))</f>
        <v/>
      </c>
      <c r="L1218" s="10">
        <f>IF($BI1218="","",IF($B1218="Onsite",INDEX(tbl_Onsite[PO / Reference],$BI1218),IF($B1218="Production",INDEX(tbl_Production[Current RMS No],$BI1218),INDEX(tbl_Consulting[Qwilr Quote],$BI1218)))&amp;"")</f>
        <v/>
      </c>
      <c r="M1218" s="10">
        <f>IF($BI1218="","",IF($B1218="Onsite",INDEX(tbl_Onsite[Notes],$BI1218),IF($B1218="Production",INDEX(tbl_Production[Notes],$BI1218),INDEX(tbl_Consulting[Notes],$BI1218)))&amp;"")</f>
        <v/>
      </c>
      <c r="N1218" s="11">
        <f>IF($BI1218="","",IF(IF($B1218="Onsite",INDEX(tbl_Onsite[Expected Revenue Ex GST],$BI1218),IF($B1218="Production",INDEX(tbl_Production[Expected Revenue Ex GST],$BI1218),INDEX(tbl_Consulting[Expected Revenue Ex GST],$BI1218)))="","",IF($B1218="Onsite",INDEX(tbl_Onsite[Expected Revenue Ex GST],$BI1218),IF($B1218="Production",INDEX(tbl_Production[Expected Revenue Ex GST],$BI1218),INDEX(tbl_Consulting[Expected Revenue Ex GST],$BI1218)))))</f>
        <v/>
      </c>
      <c r="O1218" s="11">
        <f>IF(AND($C1218="",NOT(COUNTA($S1218:$BB1218)&gt;0)),"",SUM(U1218,X1218,AA1218,AD1218,AG1218,AJ1218,AM1218,AP1218,AS1218,AV1218,AY1218,BB1218))</f>
        <v/>
      </c>
      <c r="P1218" s="11">
        <f>IF(O1218="","",N(N1218)-O1218)</f>
        <v/>
      </c>
      <c r="Q1218" s="10">
        <f>IF(O1218="","",IF($C1218="","Invoice on empty job row",IF(N1218="",IF(ROUND(O1218,2)=0,"No dept value","Invoiced - no dept value"),IF(ROUND(O1218,2)=0,"Not invoiced - to invoice",IF(ROUND(P1218,2)=0,"Agrees",IF(P1218&gt;0,"Dept higher - to invoice","Xero higher - check dept"))))))</f>
        <v/>
      </c>
      <c r="R1218" s="10">
        <f>IF(AND($C1218="",NOT(COUNTA($S1218:$BB1218)&gt;0),$BI1218&lt;&gt;""),"",MID(IF($BI1218="","; Row ID not found on the department sheet - a row was deleted","")&amp;IF(AND($C1218="",COUNTA($S1218:$BB1218)&gt;0),"; Invoice entered but the department row has no job number","")&amp;IF(E1218="CHECK","; Job number not in the Xero job list","")&amp;IF(AND($C1218&lt;&gt;"",COUNTIF($C$7:$C$1506,$C1218)&gt;1),"; Job number on more than one row","")&amp;IF(AND($C1218&lt;&gt;"",H1218=""),"; Dept has not set a cost centre","")&amp;IF(AND($C1218&lt;&gt;"",J1218=""),"; Dept has not set a tax code","")&amp;IF(AND($C1218&lt;&gt;"",N1218=""),"; Dept has not entered an expected value","")&amp;IF((IF(OR(COUNTA(S1218:U1218)=0,AND(COUNTA(S1218:U1218)=3,ISNUMBER(U1218))),0,1)+IF(OR(COUNTA(V1218:X1218)=0,AND(COUNTA(V1218:X1218)=3,ISNUMBER(X1218))),0,1)+IF(OR(COUNTA(Y1218:AA1218)=0,AND(COUNTA(Y1218:AA1218)=3,ISNUMBER(AA1218))),0,1)+IF(OR(COUNTA(AB1218:AD1218)=0,AND(COUNTA(AB1218:AD1218)=3,ISNUMBER(AD1218))),0,1)+IF(OR(COUNTA(AE1218:AG1218)=0,AND(COUNTA(AE1218:AG1218)=3,ISNUMBER(AG1218))),0,1)+IF(OR(COUNTA(AH1218:AJ1218)=0,AND(COUNTA(AH1218:AJ1218)=3,ISNUMBER(AJ1218))),0,1)+IF(OR(COUNTA(AK1218:AM1218)=0,AND(COUNTA(AK1218:AM1218)=3,ISNUMBER(AM1218))),0,1)+IF(OR(COUNTA(AN1218:AP1218)=0,AND(COUNTA(AN1218:AP1218)=3,ISNUMBER(AP1218))),0,1)+IF(OR(COUNTA(AQ1218:AS1218)=0,AND(COUNTA(AQ1218:AS1218)=3,ISNUMBER(AS1218))),0,1)+IF(OR(COUNTA(AT1218:AV1218)=0,AND(COUNTA(AT1218:AV1218)=3,ISNUMBER(AV1218))),0,1)+IF(OR(COUNTA(AW1218:AY1218)=0,AND(COUNTA(AW1218:AY1218)=3,ISNUMBER(AY1218))),0,1)+IF(OR(COUNTA(AZ1218:BB1218)=0,AND(COUNTA(AZ1218:BB1218)=3,ISNUMBER(BB1218))),0,1))&gt;0,"; An invoice is incomplete (needs No, Date and a number in Ex GST)","")&amp;IF((IF(T1218="",0,IFERROR(--(EOMONTH(T1218,0)&lt;&gt;S$5),1))+IF(W1218="",0,IFERROR(--(EOMONTH(W1218,0)&lt;&gt;V$5),1))+IF(Z1218="",0,IFERROR(--(EOMONTH(Z1218,0)&lt;&gt;Y$5),1))+IF(AC1218="",0,IFERROR(--(EOMONTH(AC1218,0)&lt;&gt;AB$5),1))+IF(AF1218="",0,IFERROR(--(EOMONTH(AF1218,0)&lt;&gt;AE$5),1))+IF(AI1218="",0,IFERROR(--(EOMONTH(AI1218,0)&lt;&gt;AH$5),1))+IF(AL1218="",0,IFERROR(--(EOMONTH(AL1218,0)&lt;&gt;AK$5),1))+IF(AO1218="",0,IFERROR(--(EOMONTH(AO1218,0)&lt;&gt;AN$5),1))+IF(AR1218="",0,IFERROR(--(EOMONTH(AR1218,0)&lt;&gt;AQ$5),1))+IF(AU1218="",0,IFERROR(--(EOMONTH(AU1218,0)&lt;&gt;AT$5),1))+IF(AX1218="",0,IFERROR(--(EOMONTH(AX1218,0)&lt;&gt;AW$5),1))+IF(BA1218="",0,IFERROR(--(EOMONTH(BA1218,0)&lt;&gt;AZ$5),1)))&gt;0,"; An invoice date is not in the month it is typed under",""),3,500))</f>
        <v/>
      </c>
      <c r="S1218" s="12" t="n"/>
      <c r="T1218" s="13" t="n"/>
      <c r="U1218" s="14" t="n"/>
      <c r="V1218" s="12" t="n"/>
      <c r="W1218" s="13" t="n"/>
      <c r="X1218" s="14" t="n"/>
      <c r="Y1218" s="12" t="n"/>
      <c r="Z1218" s="13" t="n"/>
      <c r="AA1218" s="14" t="n"/>
      <c r="AB1218" s="12" t="n"/>
      <c r="AC1218" s="13" t="n"/>
      <c r="AD1218" s="14" t="n"/>
      <c r="AE1218" s="12" t="n"/>
      <c r="AF1218" s="13" t="n"/>
      <c r="AG1218" s="14" t="n"/>
      <c r="AH1218" s="12" t="n"/>
      <c r="AI1218" s="13" t="n"/>
      <c r="AJ1218" s="14" t="n"/>
      <c r="AK1218" s="12" t="n"/>
      <c r="AL1218" s="13" t="n"/>
      <c r="AM1218" s="14" t="n"/>
      <c r="AN1218" s="12" t="n"/>
      <c r="AO1218" s="13" t="n"/>
      <c r="AP1218" s="14" t="n"/>
      <c r="AQ1218" s="12" t="n"/>
      <c r="AR1218" s="13" t="n"/>
      <c r="AS1218" s="14" t="n"/>
      <c r="AT1218" s="12" t="n"/>
      <c r="AU1218" s="13" t="n"/>
      <c r="AV1218" s="14" t="n"/>
      <c r="AW1218" s="12" t="n"/>
      <c r="AX1218" s="13" t="n"/>
      <c r="AY1218" s="14" t="n"/>
      <c r="AZ1218" s="12" t="n"/>
      <c r="BA1218" s="13" t="n"/>
      <c r="BB1218" s="14" t="n"/>
      <c r="BC1218" s="11">
        <f>IF(O1218="","",IF(J1218="GST 10%",ROUND(O1218*set_GSTRate,2),0))</f>
        <v/>
      </c>
      <c r="BD1218" s="11">
        <f>IF(O1218="","",O1218+BC1218)</f>
        <v/>
      </c>
      <c r="BE1218" s="15">
        <f>IF(O1218="","",COUNTA(S1218,V1218,Y1218,AB1218,AE1218,AH1218,AK1218,AN1218,AQ1218,AT1218,AW1218,AZ1218))</f>
        <v/>
      </c>
      <c r="BF1218" s="16">
        <f>IF(COUNT(T1218,W1218,Z1218,AC1218,AF1218,AI1218,AL1218,AO1218,AR1218,AU1218,AX1218,BA1218)=0,"",MAX(T1218,W1218,Z1218,AC1218,AF1218,AI1218,AL1218,AO1218,AR1218,AU1218,AX1218,BA1218))</f>
        <v/>
      </c>
      <c r="BG1218" s="10">
        <f>MID(IF(S1218="","",", "&amp;S1218)&amp;IF(V1218="","",", "&amp;V1218)&amp;IF(Y1218="","",", "&amp;Y1218)&amp;IF(AB1218="","",", "&amp;AB1218)&amp;IF(AE1218="","",", "&amp;AE1218)&amp;IF(AH1218="","",", "&amp;AH1218)&amp;IF(AK1218="","",", "&amp;AK1218)&amp;IF(AN1218="","",", "&amp;AN1218)&amp;IF(AQ1218="","",", "&amp;AQ1218)&amp;IF(AT1218="","",", "&amp;AT1218)&amp;IF(AW1218="","",", "&amp;AW1218)&amp;IF(AZ1218="","",", "&amp;AZ1218),3,500)</f>
        <v/>
      </c>
      <c r="BH1218" s="12" t="n"/>
      <c r="BI1218" s="15">
        <f>IFERROR(MATCH($A1218,IF($B1218="Onsite",tbl_Onsite[Row ID],IF($B1218="Production",tbl_Production[Row ID],tbl_Consulting[Row ID])),0),"")</f>
        <v/>
      </c>
    </row>
    <row r="1219">
      <c r="A1219" s="10" t="inlineStr">
        <is>
          <t>CON-0213</t>
        </is>
      </c>
      <c r="B1219" s="10" t="inlineStr">
        <is>
          <t>Consulting</t>
        </is>
      </c>
      <c r="C1219" s="10">
        <f>IF($BI1219="","",IF($B1219="Onsite",INDEX(tbl_Onsite[Job Number],$BI1219),IF($B1219="Production",INDEX(tbl_Production[Job Number],$BI1219),INDEX(tbl_Consulting[Job Number],$BI1219)))&amp;"")</f>
        <v/>
      </c>
      <c r="D1219" s="10">
        <f>IF($BI1219="","",IF($B1219="Onsite",INDEX(tbl_Onsite[Client],$BI1219),IF($B1219="Production",INDEX(tbl_Production[Client],$BI1219),INDEX(tbl_Consulting[Client],$BI1219)))&amp;"")</f>
        <v/>
      </c>
      <c r="E1219" s="10">
        <f>IF($C1219="","",IF(COUNTIF(lst_Jobs,$C1219)&gt;0,"OK","CHECK"))</f>
        <v/>
      </c>
      <c r="F1219" s="10">
        <f>IF($C1219="","",IFERROR(INDEX(lst_JobName,MATCH($C1219,lst_Jobs,0)),""))</f>
        <v/>
      </c>
      <c r="G1219" s="10">
        <f>IF($BI1219="","",IF($B1219="Onsite",INDEX(tbl_Onsite[Job Description],$BI1219),IF($B1219="Production",INDEX(tbl_Production[Job Description],$BI1219),INDEX(tbl_Consulting[Job Description],$BI1219)))&amp;"")</f>
        <v/>
      </c>
      <c r="H1219" s="10">
        <f>IF($BI1219="","",IF($B1219="Onsite",INDEX(tbl_Onsite[Cost Centre],$BI1219),IF($B1219="Production",INDEX(tbl_Production[Cost Centre],$BI1219),INDEX(tbl_Consulting[Cost Centre],$BI1219)))&amp;"")</f>
        <v/>
      </c>
      <c r="I1219" s="10">
        <f>IF($BI1219="","",IF($B1219="Onsite",INDEX(tbl_Onsite[Invoice Type],$BI1219),IF($B1219="Production",INDEX(tbl_Production[Invoice Type],$BI1219),INDEX(tbl_Consulting[Invoice Type],$BI1219)))&amp;"")</f>
        <v/>
      </c>
      <c r="J1219" s="10">
        <f>IF($BI1219="","",IF($B1219="Onsite",INDEX(tbl_Onsite[Tax Code],$BI1219),IF($B1219="Production",INDEX(tbl_Production[Tax Code],$BI1219),INDEX(tbl_Consulting[Tax Code],$BI1219)))&amp;"")</f>
        <v/>
      </c>
      <c r="K1219" s="10">
        <f>IF(H1219="","",IFERROR(INDEX(lst_CCtoGL,MATCH(H1219,lst_CCforGL,0)),""))</f>
        <v/>
      </c>
      <c r="L1219" s="10">
        <f>IF($BI1219="","",IF($B1219="Onsite",INDEX(tbl_Onsite[PO / Reference],$BI1219),IF($B1219="Production",INDEX(tbl_Production[Current RMS No],$BI1219),INDEX(tbl_Consulting[Qwilr Quote],$BI1219)))&amp;"")</f>
        <v/>
      </c>
      <c r="M1219" s="10">
        <f>IF($BI1219="","",IF($B1219="Onsite",INDEX(tbl_Onsite[Notes],$BI1219),IF($B1219="Production",INDEX(tbl_Production[Notes],$BI1219),INDEX(tbl_Consulting[Notes],$BI1219)))&amp;"")</f>
        <v/>
      </c>
      <c r="N1219" s="11">
        <f>IF($BI1219="","",IF(IF($B1219="Onsite",INDEX(tbl_Onsite[Expected Revenue Ex GST],$BI1219),IF($B1219="Production",INDEX(tbl_Production[Expected Revenue Ex GST],$BI1219),INDEX(tbl_Consulting[Expected Revenue Ex GST],$BI1219)))="","",IF($B1219="Onsite",INDEX(tbl_Onsite[Expected Revenue Ex GST],$BI1219),IF($B1219="Production",INDEX(tbl_Production[Expected Revenue Ex GST],$BI1219),INDEX(tbl_Consulting[Expected Revenue Ex GST],$BI1219)))))</f>
        <v/>
      </c>
      <c r="O1219" s="11">
        <f>IF(AND($C1219="",NOT(COUNTA($S1219:$BB1219)&gt;0)),"",SUM(U1219,X1219,AA1219,AD1219,AG1219,AJ1219,AM1219,AP1219,AS1219,AV1219,AY1219,BB1219))</f>
        <v/>
      </c>
      <c r="P1219" s="11">
        <f>IF(O1219="","",N(N1219)-O1219)</f>
        <v/>
      </c>
      <c r="Q1219" s="10">
        <f>IF(O1219="","",IF($C1219="","Invoice on empty job row",IF(N1219="",IF(ROUND(O1219,2)=0,"No dept value","Invoiced - no dept value"),IF(ROUND(O1219,2)=0,"Not invoiced - to invoice",IF(ROUND(P1219,2)=0,"Agrees",IF(P1219&gt;0,"Dept higher - to invoice","Xero higher - check dept"))))))</f>
        <v/>
      </c>
      <c r="R1219" s="10">
        <f>IF(AND($C1219="",NOT(COUNTA($S1219:$BB1219)&gt;0),$BI1219&lt;&gt;""),"",MID(IF($BI1219="","; Row ID not found on the department sheet - a row was deleted","")&amp;IF(AND($C1219="",COUNTA($S1219:$BB1219)&gt;0),"; Invoice entered but the department row has no job number","")&amp;IF(E1219="CHECK","; Job number not in the Xero job list","")&amp;IF(AND($C1219&lt;&gt;"",COUNTIF($C$7:$C$1506,$C1219)&gt;1),"; Job number on more than one row","")&amp;IF(AND($C1219&lt;&gt;"",H1219=""),"; Dept has not set a cost centre","")&amp;IF(AND($C1219&lt;&gt;"",J1219=""),"; Dept has not set a tax code","")&amp;IF(AND($C1219&lt;&gt;"",N1219=""),"; Dept has not entered an expected value","")&amp;IF((IF(OR(COUNTA(S1219:U1219)=0,AND(COUNTA(S1219:U1219)=3,ISNUMBER(U1219))),0,1)+IF(OR(COUNTA(V1219:X1219)=0,AND(COUNTA(V1219:X1219)=3,ISNUMBER(X1219))),0,1)+IF(OR(COUNTA(Y1219:AA1219)=0,AND(COUNTA(Y1219:AA1219)=3,ISNUMBER(AA1219))),0,1)+IF(OR(COUNTA(AB1219:AD1219)=0,AND(COUNTA(AB1219:AD1219)=3,ISNUMBER(AD1219))),0,1)+IF(OR(COUNTA(AE1219:AG1219)=0,AND(COUNTA(AE1219:AG1219)=3,ISNUMBER(AG1219))),0,1)+IF(OR(COUNTA(AH1219:AJ1219)=0,AND(COUNTA(AH1219:AJ1219)=3,ISNUMBER(AJ1219))),0,1)+IF(OR(COUNTA(AK1219:AM1219)=0,AND(COUNTA(AK1219:AM1219)=3,ISNUMBER(AM1219))),0,1)+IF(OR(COUNTA(AN1219:AP1219)=0,AND(COUNTA(AN1219:AP1219)=3,ISNUMBER(AP1219))),0,1)+IF(OR(COUNTA(AQ1219:AS1219)=0,AND(COUNTA(AQ1219:AS1219)=3,ISNUMBER(AS1219))),0,1)+IF(OR(COUNTA(AT1219:AV1219)=0,AND(COUNTA(AT1219:AV1219)=3,ISNUMBER(AV1219))),0,1)+IF(OR(COUNTA(AW1219:AY1219)=0,AND(COUNTA(AW1219:AY1219)=3,ISNUMBER(AY1219))),0,1)+IF(OR(COUNTA(AZ1219:BB1219)=0,AND(COUNTA(AZ1219:BB1219)=3,ISNUMBER(BB1219))),0,1))&gt;0,"; An invoice is incomplete (needs No, Date and a number in Ex GST)","")&amp;IF((IF(T1219="",0,IFERROR(--(EOMONTH(T1219,0)&lt;&gt;S$5),1))+IF(W1219="",0,IFERROR(--(EOMONTH(W1219,0)&lt;&gt;V$5),1))+IF(Z1219="",0,IFERROR(--(EOMONTH(Z1219,0)&lt;&gt;Y$5),1))+IF(AC1219="",0,IFERROR(--(EOMONTH(AC1219,0)&lt;&gt;AB$5),1))+IF(AF1219="",0,IFERROR(--(EOMONTH(AF1219,0)&lt;&gt;AE$5),1))+IF(AI1219="",0,IFERROR(--(EOMONTH(AI1219,0)&lt;&gt;AH$5),1))+IF(AL1219="",0,IFERROR(--(EOMONTH(AL1219,0)&lt;&gt;AK$5),1))+IF(AO1219="",0,IFERROR(--(EOMONTH(AO1219,0)&lt;&gt;AN$5),1))+IF(AR1219="",0,IFERROR(--(EOMONTH(AR1219,0)&lt;&gt;AQ$5),1))+IF(AU1219="",0,IFERROR(--(EOMONTH(AU1219,0)&lt;&gt;AT$5),1))+IF(AX1219="",0,IFERROR(--(EOMONTH(AX1219,0)&lt;&gt;AW$5),1))+IF(BA1219="",0,IFERROR(--(EOMONTH(BA1219,0)&lt;&gt;AZ$5),1)))&gt;0,"; An invoice date is not in the month it is typed under",""),3,500))</f>
        <v/>
      </c>
      <c r="S1219" s="12" t="n"/>
      <c r="T1219" s="13" t="n"/>
      <c r="U1219" s="14" t="n"/>
      <c r="V1219" s="12" t="n"/>
      <c r="W1219" s="13" t="n"/>
      <c r="X1219" s="14" t="n"/>
      <c r="Y1219" s="12" t="n"/>
      <c r="Z1219" s="13" t="n"/>
      <c r="AA1219" s="14" t="n"/>
      <c r="AB1219" s="12" t="n"/>
      <c r="AC1219" s="13" t="n"/>
      <c r="AD1219" s="14" t="n"/>
      <c r="AE1219" s="12" t="n"/>
      <c r="AF1219" s="13" t="n"/>
      <c r="AG1219" s="14" t="n"/>
      <c r="AH1219" s="12" t="n"/>
      <c r="AI1219" s="13" t="n"/>
      <c r="AJ1219" s="14" t="n"/>
      <c r="AK1219" s="12" t="n"/>
      <c r="AL1219" s="13" t="n"/>
      <c r="AM1219" s="14" t="n"/>
      <c r="AN1219" s="12" t="n"/>
      <c r="AO1219" s="13" t="n"/>
      <c r="AP1219" s="14" t="n"/>
      <c r="AQ1219" s="12" t="n"/>
      <c r="AR1219" s="13" t="n"/>
      <c r="AS1219" s="14" t="n"/>
      <c r="AT1219" s="12" t="n"/>
      <c r="AU1219" s="13" t="n"/>
      <c r="AV1219" s="14" t="n"/>
      <c r="AW1219" s="12" t="n"/>
      <c r="AX1219" s="13" t="n"/>
      <c r="AY1219" s="14" t="n"/>
      <c r="AZ1219" s="12" t="n"/>
      <c r="BA1219" s="13" t="n"/>
      <c r="BB1219" s="14" t="n"/>
      <c r="BC1219" s="11">
        <f>IF(O1219="","",IF(J1219="GST 10%",ROUND(O1219*set_GSTRate,2),0))</f>
        <v/>
      </c>
      <c r="BD1219" s="11">
        <f>IF(O1219="","",O1219+BC1219)</f>
        <v/>
      </c>
      <c r="BE1219" s="15">
        <f>IF(O1219="","",COUNTA(S1219,V1219,Y1219,AB1219,AE1219,AH1219,AK1219,AN1219,AQ1219,AT1219,AW1219,AZ1219))</f>
        <v/>
      </c>
      <c r="BF1219" s="16">
        <f>IF(COUNT(T1219,W1219,Z1219,AC1219,AF1219,AI1219,AL1219,AO1219,AR1219,AU1219,AX1219,BA1219)=0,"",MAX(T1219,W1219,Z1219,AC1219,AF1219,AI1219,AL1219,AO1219,AR1219,AU1219,AX1219,BA1219))</f>
        <v/>
      </c>
      <c r="BG1219" s="10">
        <f>MID(IF(S1219="","",", "&amp;S1219)&amp;IF(V1219="","",", "&amp;V1219)&amp;IF(Y1219="","",", "&amp;Y1219)&amp;IF(AB1219="","",", "&amp;AB1219)&amp;IF(AE1219="","",", "&amp;AE1219)&amp;IF(AH1219="","",", "&amp;AH1219)&amp;IF(AK1219="","",", "&amp;AK1219)&amp;IF(AN1219="","",", "&amp;AN1219)&amp;IF(AQ1219="","",", "&amp;AQ1219)&amp;IF(AT1219="","",", "&amp;AT1219)&amp;IF(AW1219="","",", "&amp;AW1219)&amp;IF(AZ1219="","",", "&amp;AZ1219),3,500)</f>
        <v/>
      </c>
      <c r="BH1219" s="12" t="n"/>
      <c r="BI1219" s="15">
        <f>IFERROR(MATCH($A1219,IF($B1219="Onsite",tbl_Onsite[Row ID],IF($B1219="Production",tbl_Production[Row ID],tbl_Consulting[Row ID])),0),"")</f>
        <v/>
      </c>
    </row>
    <row r="1220">
      <c r="A1220" s="10" t="inlineStr">
        <is>
          <t>CON-0214</t>
        </is>
      </c>
      <c r="B1220" s="10" t="inlineStr">
        <is>
          <t>Consulting</t>
        </is>
      </c>
      <c r="C1220" s="10">
        <f>IF($BI1220="","",IF($B1220="Onsite",INDEX(tbl_Onsite[Job Number],$BI1220),IF($B1220="Production",INDEX(tbl_Production[Job Number],$BI1220),INDEX(tbl_Consulting[Job Number],$BI1220)))&amp;"")</f>
        <v/>
      </c>
      <c r="D1220" s="10">
        <f>IF($BI1220="","",IF($B1220="Onsite",INDEX(tbl_Onsite[Client],$BI1220),IF($B1220="Production",INDEX(tbl_Production[Client],$BI1220),INDEX(tbl_Consulting[Client],$BI1220)))&amp;"")</f>
        <v/>
      </c>
      <c r="E1220" s="10">
        <f>IF($C1220="","",IF(COUNTIF(lst_Jobs,$C1220)&gt;0,"OK","CHECK"))</f>
        <v/>
      </c>
      <c r="F1220" s="10">
        <f>IF($C1220="","",IFERROR(INDEX(lst_JobName,MATCH($C1220,lst_Jobs,0)),""))</f>
        <v/>
      </c>
      <c r="G1220" s="10">
        <f>IF($BI1220="","",IF($B1220="Onsite",INDEX(tbl_Onsite[Job Description],$BI1220),IF($B1220="Production",INDEX(tbl_Production[Job Description],$BI1220),INDEX(tbl_Consulting[Job Description],$BI1220)))&amp;"")</f>
        <v/>
      </c>
      <c r="H1220" s="10">
        <f>IF($BI1220="","",IF($B1220="Onsite",INDEX(tbl_Onsite[Cost Centre],$BI1220),IF($B1220="Production",INDEX(tbl_Production[Cost Centre],$BI1220),INDEX(tbl_Consulting[Cost Centre],$BI1220)))&amp;"")</f>
        <v/>
      </c>
      <c r="I1220" s="10">
        <f>IF($BI1220="","",IF($B1220="Onsite",INDEX(tbl_Onsite[Invoice Type],$BI1220),IF($B1220="Production",INDEX(tbl_Production[Invoice Type],$BI1220),INDEX(tbl_Consulting[Invoice Type],$BI1220)))&amp;"")</f>
        <v/>
      </c>
      <c r="J1220" s="10">
        <f>IF($BI1220="","",IF($B1220="Onsite",INDEX(tbl_Onsite[Tax Code],$BI1220),IF($B1220="Production",INDEX(tbl_Production[Tax Code],$BI1220),INDEX(tbl_Consulting[Tax Code],$BI1220)))&amp;"")</f>
        <v/>
      </c>
      <c r="K1220" s="10">
        <f>IF(H1220="","",IFERROR(INDEX(lst_CCtoGL,MATCH(H1220,lst_CCforGL,0)),""))</f>
        <v/>
      </c>
      <c r="L1220" s="10">
        <f>IF($BI1220="","",IF($B1220="Onsite",INDEX(tbl_Onsite[PO / Reference],$BI1220),IF($B1220="Production",INDEX(tbl_Production[Current RMS No],$BI1220),INDEX(tbl_Consulting[Qwilr Quote],$BI1220)))&amp;"")</f>
        <v/>
      </c>
      <c r="M1220" s="10">
        <f>IF($BI1220="","",IF($B1220="Onsite",INDEX(tbl_Onsite[Notes],$BI1220),IF($B1220="Production",INDEX(tbl_Production[Notes],$BI1220),INDEX(tbl_Consulting[Notes],$BI1220)))&amp;"")</f>
        <v/>
      </c>
      <c r="N1220" s="11">
        <f>IF($BI1220="","",IF(IF($B1220="Onsite",INDEX(tbl_Onsite[Expected Revenue Ex GST],$BI1220),IF($B1220="Production",INDEX(tbl_Production[Expected Revenue Ex GST],$BI1220),INDEX(tbl_Consulting[Expected Revenue Ex GST],$BI1220)))="","",IF($B1220="Onsite",INDEX(tbl_Onsite[Expected Revenue Ex GST],$BI1220),IF($B1220="Production",INDEX(tbl_Production[Expected Revenue Ex GST],$BI1220),INDEX(tbl_Consulting[Expected Revenue Ex GST],$BI1220)))))</f>
        <v/>
      </c>
      <c r="O1220" s="11">
        <f>IF(AND($C1220="",NOT(COUNTA($S1220:$BB1220)&gt;0)),"",SUM(U1220,X1220,AA1220,AD1220,AG1220,AJ1220,AM1220,AP1220,AS1220,AV1220,AY1220,BB1220))</f>
        <v/>
      </c>
      <c r="P1220" s="11">
        <f>IF(O1220="","",N(N1220)-O1220)</f>
        <v/>
      </c>
      <c r="Q1220" s="10">
        <f>IF(O1220="","",IF($C1220="","Invoice on empty job row",IF(N1220="",IF(ROUND(O1220,2)=0,"No dept value","Invoiced - no dept value"),IF(ROUND(O1220,2)=0,"Not invoiced - to invoice",IF(ROUND(P1220,2)=0,"Agrees",IF(P1220&gt;0,"Dept higher - to invoice","Xero higher - check dept"))))))</f>
        <v/>
      </c>
      <c r="R1220" s="10">
        <f>IF(AND($C1220="",NOT(COUNTA($S1220:$BB1220)&gt;0),$BI1220&lt;&gt;""),"",MID(IF($BI1220="","; Row ID not found on the department sheet - a row was deleted","")&amp;IF(AND($C1220="",COUNTA($S1220:$BB1220)&gt;0),"; Invoice entered but the department row has no job number","")&amp;IF(E1220="CHECK","; Job number not in the Xero job list","")&amp;IF(AND($C1220&lt;&gt;"",COUNTIF($C$7:$C$1506,$C1220)&gt;1),"; Job number on more than one row","")&amp;IF(AND($C1220&lt;&gt;"",H1220=""),"; Dept has not set a cost centre","")&amp;IF(AND($C1220&lt;&gt;"",J1220=""),"; Dept has not set a tax code","")&amp;IF(AND($C1220&lt;&gt;"",N1220=""),"; Dept has not entered an expected value","")&amp;IF((IF(OR(COUNTA(S1220:U1220)=0,AND(COUNTA(S1220:U1220)=3,ISNUMBER(U1220))),0,1)+IF(OR(COUNTA(V1220:X1220)=0,AND(COUNTA(V1220:X1220)=3,ISNUMBER(X1220))),0,1)+IF(OR(COUNTA(Y1220:AA1220)=0,AND(COUNTA(Y1220:AA1220)=3,ISNUMBER(AA1220))),0,1)+IF(OR(COUNTA(AB1220:AD1220)=0,AND(COUNTA(AB1220:AD1220)=3,ISNUMBER(AD1220))),0,1)+IF(OR(COUNTA(AE1220:AG1220)=0,AND(COUNTA(AE1220:AG1220)=3,ISNUMBER(AG1220))),0,1)+IF(OR(COUNTA(AH1220:AJ1220)=0,AND(COUNTA(AH1220:AJ1220)=3,ISNUMBER(AJ1220))),0,1)+IF(OR(COUNTA(AK1220:AM1220)=0,AND(COUNTA(AK1220:AM1220)=3,ISNUMBER(AM1220))),0,1)+IF(OR(COUNTA(AN1220:AP1220)=0,AND(COUNTA(AN1220:AP1220)=3,ISNUMBER(AP1220))),0,1)+IF(OR(COUNTA(AQ1220:AS1220)=0,AND(COUNTA(AQ1220:AS1220)=3,ISNUMBER(AS1220))),0,1)+IF(OR(COUNTA(AT1220:AV1220)=0,AND(COUNTA(AT1220:AV1220)=3,ISNUMBER(AV1220))),0,1)+IF(OR(COUNTA(AW1220:AY1220)=0,AND(COUNTA(AW1220:AY1220)=3,ISNUMBER(AY1220))),0,1)+IF(OR(COUNTA(AZ1220:BB1220)=0,AND(COUNTA(AZ1220:BB1220)=3,ISNUMBER(BB1220))),0,1))&gt;0,"; An invoice is incomplete (needs No, Date and a number in Ex GST)","")&amp;IF((IF(T1220="",0,IFERROR(--(EOMONTH(T1220,0)&lt;&gt;S$5),1))+IF(W1220="",0,IFERROR(--(EOMONTH(W1220,0)&lt;&gt;V$5),1))+IF(Z1220="",0,IFERROR(--(EOMONTH(Z1220,0)&lt;&gt;Y$5),1))+IF(AC1220="",0,IFERROR(--(EOMONTH(AC1220,0)&lt;&gt;AB$5),1))+IF(AF1220="",0,IFERROR(--(EOMONTH(AF1220,0)&lt;&gt;AE$5),1))+IF(AI1220="",0,IFERROR(--(EOMONTH(AI1220,0)&lt;&gt;AH$5),1))+IF(AL1220="",0,IFERROR(--(EOMONTH(AL1220,0)&lt;&gt;AK$5),1))+IF(AO1220="",0,IFERROR(--(EOMONTH(AO1220,0)&lt;&gt;AN$5),1))+IF(AR1220="",0,IFERROR(--(EOMONTH(AR1220,0)&lt;&gt;AQ$5),1))+IF(AU1220="",0,IFERROR(--(EOMONTH(AU1220,0)&lt;&gt;AT$5),1))+IF(AX1220="",0,IFERROR(--(EOMONTH(AX1220,0)&lt;&gt;AW$5),1))+IF(BA1220="",0,IFERROR(--(EOMONTH(BA1220,0)&lt;&gt;AZ$5),1)))&gt;0,"; An invoice date is not in the month it is typed under",""),3,500))</f>
        <v/>
      </c>
      <c r="S1220" s="12" t="n"/>
      <c r="T1220" s="13" t="n"/>
      <c r="U1220" s="14" t="n"/>
      <c r="V1220" s="12" t="n"/>
      <c r="W1220" s="13" t="n"/>
      <c r="X1220" s="14" t="n"/>
      <c r="Y1220" s="12" t="n"/>
      <c r="Z1220" s="13" t="n"/>
      <c r="AA1220" s="14" t="n"/>
      <c r="AB1220" s="12" t="n"/>
      <c r="AC1220" s="13" t="n"/>
      <c r="AD1220" s="14" t="n"/>
      <c r="AE1220" s="12" t="n"/>
      <c r="AF1220" s="13" t="n"/>
      <c r="AG1220" s="14" t="n"/>
      <c r="AH1220" s="12" t="n"/>
      <c r="AI1220" s="13" t="n"/>
      <c r="AJ1220" s="14" t="n"/>
      <c r="AK1220" s="12" t="n"/>
      <c r="AL1220" s="13" t="n"/>
      <c r="AM1220" s="14" t="n"/>
      <c r="AN1220" s="12" t="n"/>
      <c r="AO1220" s="13" t="n"/>
      <c r="AP1220" s="14" t="n"/>
      <c r="AQ1220" s="12" t="n"/>
      <c r="AR1220" s="13" t="n"/>
      <c r="AS1220" s="14" t="n"/>
      <c r="AT1220" s="12" t="n"/>
      <c r="AU1220" s="13" t="n"/>
      <c r="AV1220" s="14" t="n"/>
      <c r="AW1220" s="12" t="n"/>
      <c r="AX1220" s="13" t="n"/>
      <c r="AY1220" s="14" t="n"/>
      <c r="AZ1220" s="12" t="n"/>
      <c r="BA1220" s="13" t="n"/>
      <c r="BB1220" s="14" t="n"/>
      <c r="BC1220" s="11">
        <f>IF(O1220="","",IF(J1220="GST 10%",ROUND(O1220*set_GSTRate,2),0))</f>
        <v/>
      </c>
      <c r="BD1220" s="11">
        <f>IF(O1220="","",O1220+BC1220)</f>
        <v/>
      </c>
      <c r="BE1220" s="15">
        <f>IF(O1220="","",COUNTA(S1220,V1220,Y1220,AB1220,AE1220,AH1220,AK1220,AN1220,AQ1220,AT1220,AW1220,AZ1220))</f>
        <v/>
      </c>
      <c r="BF1220" s="16">
        <f>IF(COUNT(T1220,W1220,Z1220,AC1220,AF1220,AI1220,AL1220,AO1220,AR1220,AU1220,AX1220,BA1220)=0,"",MAX(T1220,W1220,Z1220,AC1220,AF1220,AI1220,AL1220,AO1220,AR1220,AU1220,AX1220,BA1220))</f>
        <v/>
      </c>
      <c r="BG1220" s="10">
        <f>MID(IF(S1220="","",", "&amp;S1220)&amp;IF(V1220="","",", "&amp;V1220)&amp;IF(Y1220="","",", "&amp;Y1220)&amp;IF(AB1220="","",", "&amp;AB1220)&amp;IF(AE1220="","",", "&amp;AE1220)&amp;IF(AH1220="","",", "&amp;AH1220)&amp;IF(AK1220="","",", "&amp;AK1220)&amp;IF(AN1220="","",", "&amp;AN1220)&amp;IF(AQ1220="","",", "&amp;AQ1220)&amp;IF(AT1220="","",", "&amp;AT1220)&amp;IF(AW1220="","",", "&amp;AW1220)&amp;IF(AZ1220="","",", "&amp;AZ1220),3,500)</f>
        <v/>
      </c>
      <c r="BH1220" s="12" t="n"/>
      <c r="BI1220" s="15">
        <f>IFERROR(MATCH($A1220,IF($B1220="Onsite",tbl_Onsite[Row ID],IF($B1220="Production",tbl_Production[Row ID],tbl_Consulting[Row ID])),0),"")</f>
        <v/>
      </c>
    </row>
    <row r="1221">
      <c r="A1221" s="10" t="inlineStr">
        <is>
          <t>CON-0215</t>
        </is>
      </c>
      <c r="B1221" s="10" t="inlineStr">
        <is>
          <t>Consulting</t>
        </is>
      </c>
      <c r="C1221" s="10">
        <f>IF($BI1221="","",IF($B1221="Onsite",INDEX(tbl_Onsite[Job Number],$BI1221),IF($B1221="Production",INDEX(tbl_Production[Job Number],$BI1221),INDEX(tbl_Consulting[Job Number],$BI1221)))&amp;"")</f>
        <v/>
      </c>
      <c r="D1221" s="10">
        <f>IF($BI1221="","",IF($B1221="Onsite",INDEX(tbl_Onsite[Client],$BI1221),IF($B1221="Production",INDEX(tbl_Production[Client],$BI1221),INDEX(tbl_Consulting[Client],$BI1221)))&amp;"")</f>
        <v/>
      </c>
      <c r="E1221" s="10">
        <f>IF($C1221="","",IF(COUNTIF(lst_Jobs,$C1221)&gt;0,"OK","CHECK"))</f>
        <v/>
      </c>
      <c r="F1221" s="10">
        <f>IF($C1221="","",IFERROR(INDEX(lst_JobName,MATCH($C1221,lst_Jobs,0)),""))</f>
        <v/>
      </c>
      <c r="G1221" s="10">
        <f>IF($BI1221="","",IF($B1221="Onsite",INDEX(tbl_Onsite[Job Description],$BI1221),IF($B1221="Production",INDEX(tbl_Production[Job Description],$BI1221),INDEX(tbl_Consulting[Job Description],$BI1221)))&amp;"")</f>
        <v/>
      </c>
      <c r="H1221" s="10">
        <f>IF($BI1221="","",IF($B1221="Onsite",INDEX(tbl_Onsite[Cost Centre],$BI1221),IF($B1221="Production",INDEX(tbl_Production[Cost Centre],$BI1221),INDEX(tbl_Consulting[Cost Centre],$BI1221)))&amp;"")</f>
        <v/>
      </c>
      <c r="I1221" s="10">
        <f>IF($BI1221="","",IF($B1221="Onsite",INDEX(tbl_Onsite[Invoice Type],$BI1221),IF($B1221="Production",INDEX(tbl_Production[Invoice Type],$BI1221),INDEX(tbl_Consulting[Invoice Type],$BI1221)))&amp;"")</f>
        <v/>
      </c>
      <c r="J1221" s="10">
        <f>IF($BI1221="","",IF($B1221="Onsite",INDEX(tbl_Onsite[Tax Code],$BI1221),IF($B1221="Production",INDEX(tbl_Production[Tax Code],$BI1221),INDEX(tbl_Consulting[Tax Code],$BI1221)))&amp;"")</f>
        <v/>
      </c>
      <c r="K1221" s="10">
        <f>IF(H1221="","",IFERROR(INDEX(lst_CCtoGL,MATCH(H1221,lst_CCforGL,0)),""))</f>
        <v/>
      </c>
      <c r="L1221" s="10">
        <f>IF($BI1221="","",IF($B1221="Onsite",INDEX(tbl_Onsite[PO / Reference],$BI1221),IF($B1221="Production",INDEX(tbl_Production[Current RMS No],$BI1221),INDEX(tbl_Consulting[Qwilr Quote],$BI1221)))&amp;"")</f>
        <v/>
      </c>
      <c r="M1221" s="10">
        <f>IF($BI1221="","",IF($B1221="Onsite",INDEX(tbl_Onsite[Notes],$BI1221),IF($B1221="Production",INDEX(tbl_Production[Notes],$BI1221),INDEX(tbl_Consulting[Notes],$BI1221)))&amp;"")</f>
        <v/>
      </c>
      <c r="N1221" s="11">
        <f>IF($BI1221="","",IF(IF($B1221="Onsite",INDEX(tbl_Onsite[Expected Revenue Ex GST],$BI1221),IF($B1221="Production",INDEX(tbl_Production[Expected Revenue Ex GST],$BI1221),INDEX(tbl_Consulting[Expected Revenue Ex GST],$BI1221)))="","",IF($B1221="Onsite",INDEX(tbl_Onsite[Expected Revenue Ex GST],$BI1221),IF($B1221="Production",INDEX(tbl_Production[Expected Revenue Ex GST],$BI1221),INDEX(tbl_Consulting[Expected Revenue Ex GST],$BI1221)))))</f>
        <v/>
      </c>
      <c r="O1221" s="11">
        <f>IF(AND($C1221="",NOT(COUNTA($S1221:$BB1221)&gt;0)),"",SUM(U1221,X1221,AA1221,AD1221,AG1221,AJ1221,AM1221,AP1221,AS1221,AV1221,AY1221,BB1221))</f>
        <v/>
      </c>
      <c r="P1221" s="11">
        <f>IF(O1221="","",N(N1221)-O1221)</f>
        <v/>
      </c>
      <c r="Q1221" s="10">
        <f>IF(O1221="","",IF($C1221="","Invoice on empty job row",IF(N1221="",IF(ROUND(O1221,2)=0,"No dept value","Invoiced - no dept value"),IF(ROUND(O1221,2)=0,"Not invoiced - to invoice",IF(ROUND(P1221,2)=0,"Agrees",IF(P1221&gt;0,"Dept higher - to invoice","Xero higher - check dept"))))))</f>
        <v/>
      </c>
      <c r="R1221" s="10">
        <f>IF(AND($C1221="",NOT(COUNTA($S1221:$BB1221)&gt;0),$BI1221&lt;&gt;""),"",MID(IF($BI1221="","; Row ID not found on the department sheet - a row was deleted","")&amp;IF(AND($C1221="",COUNTA($S1221:$BB1221)&gt;0),"; Invoice entered but the department row has no job number","")&amp;IF(E1221="CHECK","; Job number not in the Xero job list","")&amp;IF(AND($C1221&lt;&gt;"",COUNTIF($C$7:$C$1506,$C1221)&gt;1),"; Job number on more than one row","")&amp;IF(AND($C1221&lt;&gt;"",H1221=""),"; Dept has not set a cost centre","")&amp;IF(AND($C1221&lt;&gt;"",J1221=""),"; Dept has not set a tax code","")&amp;IF(AND($C1221&lt;&gt;"",N1221=""),"; Dept has not entered an expected value","")&amp;IF((IF(OR(COUNTA(S1221:U1221)=0,AND(COUNTA(S1221:U1221)=3,ISNUMBER(U1221))),0,1)+IF(OR(COUNTA(V1221:X1221)=0,AND(COUNTA(V1221:X1221)=3,ISNUMBER(X1221))),0,1)+IF(OR(COUNTA(Y1221:AA1221)=0,AND(COUNTA(Y1221:AA1221)=3,ISNUMBER(AA1221))),0,1)+IF(OR(COUNTA(AB1221:AD1221)=0,AND(COUNTA(AB1221:AD1221)=3,ISNUMBER(AD1221))),0,1)+IF(OR(COUNTA(AE1221:AG1221)=0,AND(COUNTA(AE1221:AG1221)=3,ISNUMBER(AG1221))),0,1)+IF(OR(COUNTA(AH1221:AJ1221)=0,AND(COUNTA(AH1221:AJ1221)=3,ISNUMBER(AJ1221))),0,1)+IF(OR(COUNTA(AK1221:AM1221)=0,AND(COUNTA(AK1221:AM1221)=3,ISNUMBER(AM1221))),0,1)+IF(OR(COUNTA(AN1221:AP1221)=0,AND(COUNTA(AN1221:AP1221)=3,ISNUMBER(AP1221))),0,1)+IF(OR(COUNTA(AQ1221:AS1221)=0,AND(COUNTA(AQ1221:AS1221)=3,ISNUMBER(AS1221))),0,1)+IF(OR(COUNTA(AT1221:AV1221)=0,AND(COUNTA(AT1221:AV1221)=3,ISNUMBER(AV1221))),0,1)+IF(OR(COUNTA(AW1221:AY1221)=0,AND(COUNTA(AW1221:AY1221)=3,ISNUMBER(AY1221))),0,1)+IF(OR(COUNTA(AZ1221:BB1221)=0,AND(COUNTA(AZ1221:BB1221)=3,ISNUMBER(BB1221))),0,1))&gt;0,"; An invoice is incomplete (needs No, Date and a number in Ex GST)","")&amp;IF((IF(T1221="",0,IFERROR(--(EOMONTH(T1221,0)&lt;&gt;S$5),1))+IF(W1221="",0,IFERROR(--(EOMONTH(W1221,0)&lt;&gt;V$5),1))+IF(Z1221="",0,IFERROR(--(EOMONTH(Z1221,0)&lt;&gt;Y$5),1))+IF(AC1221="",0,IFERROR(--(EOMONTH(AC1221,0)&lt;&gt;AB$5),1))+IF(AF1221="",0,IFERROR(--(EOMONTH(AF1221,0)&lt;&gt;AE$5),1))+IF(AI1221="",0,IFERROR(--(EOMONTH(AI1221,0)&lt;&gt;AH$5),1))+IF(AL1221="",0,IFERROR(--(EOMONTH(AL1221,0)&lt;&gt;AK$5),1))+IF(AO1221="",0,IFERROR(--(EOMONTH(AO1221,0)&lt;&gt;AN$5),1))+IF(AR1221="",0,IFERROR(--(EOMONTH(AR1221,0)&lt;&gt;AQ$5),1))+IF(AU1221="",0,IFERROR(--(EOMONTH(AU1221,0)&lt;&gt;AT$5),1))+IF(AX1221="",0,IFERROR(--(EOMONTH(AX1221,0)&lt;&gt;AW$5),1))+IF(BA1221="",0,IFERROR(--(EOMONTH(BA1221,0)&lt;&gt;AZ$5),1)))&gt;0,"; An invoice date is not in the month it is typed under",""),3,500))</f>
        <v/>
      </c>
      <c r="S1221" s="12" t="n"/>
      <c r="T1221" s="13" t="n"/>
      <c r="U1221" s="14" t="n"/>
      <c r="V1221" s="12" t="n"/>
      <c r="W1221" s="13" t="n"/>
      <c r="X1221" s="14" t="n"/>
      <c r="Y1221" s="12" t="n"/>
      <c r="Z1221" s="13" t="n"/>
      <c r="AA1221" s="14" t="n"/>
      <c r="AB1221" s="12" t="n"/>
      <c r="AC1221" s="13" t="n"/>
      <c r="AD1221" s="14" t="n"/>
      <c r="AE1221" s="12" t="n"/>
      <c r="AF1221" s="13" t="n"/>
      <c r="AG1221" s="14" t="n"/>
      <c r="AH1221" s="12" t="n"/>
      <c r="AI1221" s="13" t="n"/>
      <c r="AJ1221" s="14" t="n"/>
      <c r="AK1221" s="12" t="n"/>
      <c r="AL1221" s="13" t="n"/>
      <c r="AM1221" s="14" t="n"/>
      <c r="AN1221" s="12" t="n"/>
      <c r="AO1221" s="13" t="n"/>
      <c r="AP1221" s="14" t="n"/>
      <c r="AQ1221" s="12" t="n"/>
      <c r="AR1221" s="13" t="n"/>
      <c r="AS1221" s="14" t="n"/>
      <c r="AT1221" s="12" t="n"/>
      <c r="AU1221" s="13" t="n"/>
      <c r="AV1221" s="14" t="n"/>
      <c r="AW1221" s="12" t="n"/>
      <c r="AX1221" s="13" t="n"/>
      <c r="AY1221" s="14" t="n"/>
      <c r="AZ1221" s="12" t="n"/>
      <c r="BA1221" s="13" t="n"/>
      <c r="BB1221" s="14" t="n"/>
      <c r="BC1221" s="11">
        <f>IF(O1221="","",IF(J1221="GST 10%",ROUND(O1221*set_GSTRate,2),0))</f>
        <v/>
      </c>
      <c r="BD1221" s="11">
        <f>IF(O1221="","",O1221+BC1221)</f>
        <v/>
      </c>
      <c r="BE1221" s="15">
        <f>IF(O1221="","",COUNTA(S1221,V1221,Y1221,AB1221,AE1221,AH1221,AK1221,AN1221,AQ1221,AT1221,AW1221,AZ1221))</f>
        <v/>
      </c>
      <c r="BF1221" s="16">
        <f>IF(COUNT(T1221,W1221,Z1221,AC1221,AF1221,AI1221,AL1221,AO1221,AR1221,AU1221,AX1221,BA1221)=0,"",MAX(T1221,W1221,Z1221,AC1221,AF1221,AI1221,AL1221,AO1221,AR1221,AU1221,AX1221,BA1221))</f>
        <v/>
      </c>
      <c r="BG1221" s="10">
        <f>MID(IF(S1221="","",", "&amp;S1221)&amp;IF(V1221="","",", "&amp;V1221)&amp;IF(Y1221="","",", "&amp;Y1221)&amp;IF(AB1221="","",", "&amp;AB1221)&amp;IF(AE1221="","",", "&amp;AE1221)&amp;IF(AH1221="","",", "&amp;AH1221)&amp;IF(AK1221="","",", "&amp;AK1221)&amp;IF(AN1221="","",", "&amp;AN1221)&amp;IF(AQ1221="","",", "&amp;AQ1221)&amp;IF(AT1221="","",", "&amp;AT1221)&amp;IF(AW1221="","",", "&amp;AW1221)&amp;IF(AZ1221="","",", "&amp;AZ1221),3,500)</f>
        <v/>
      </c>
      <c r="BH1221" s="12" t="n"/>
      <c r="BI1221" s="15">
        <f>IFERROR(MATCH($A1221,IF($B1221="Onsite",tbl_Onsite[Row ID],IF($B1221="Production",tbl_Production[Row ID],tbl_Consulting[Row ID])),0),"")</f>
        <v/>
      </c>
    </row>
    <row r="1222">
      <c r="A1222" s="10" t="inlineStr">
        <is>
          <t>CON-0216</t>
        </is>
      </c>
      <c r="B1222" s="10" t="inlineStr">
        <is>
          <t>Consulting</t>
        </is>
      </c>
      <c r="C1222" s="10">
        <f>IF($BI1222="","",IF($B1222="Onsite",INDEX(tbl_Onsite[Job Number],$BI1222),IF($B1222="Production",INDEX(tbl_Production[Job Number],$BI1222),INDEX(tbl_Consulting[Job Number],$BI1222)))&amp;"")</f>
        <v/>
      </c>
      <c r="D1222" s="10">
        <f>IF($BI1222="","",IF($B1222="Onsite",INDEX(tbl_Onsite[Client],$BI1222),IF($B1222="Production",INDEX(tbl_Production[Client],$BI1222),INDEX(tbl_Consulting[Client],$BI1222)))&amp;"")</f>
        <v/>
      </c>
      <c r="E1222" s="10">
        <f>IF($C1222="","",IF(COUNTIF(lst_Jobs,$C1222)&gt;0,"OK","CHECK"))</f>
        <v/>
      </c>
      <c r="F1222" s="10">
        <f>IF($C1222="","",IFERROR(INDEX(lst_JobName,MATCH($C1222,lst_Jobs,0)),""))</f>
        <v/>
      </c>
      <c r="G1222" s="10">
        <f>IF($BI1222="","",IF($B1222="Onsite",INDEX(tbl_Onsite[Job Description],$BI1222),IF($B1222="Production",INDEX(tbl_Production[Job Description],$BI1222),INDEX(tbl_Consulting[Job Description],$BI1222)))&amp;"")</f>
        <v/>
      </c>
      <c r="H1222" s="10">
        <f>IF($BI1222="","",IF($B1222="Onsite",INDEX(tbl_Onsite[Cost Centre],$BI1222),IF($B1222="Production",INDEX(tbl_Production[Cost Centre],$BI1222),INDEX(tbl_Consulting[Cost Centre],$BI1222)))&amp;"")</f>
        <v/>
      </c>
      <c r="I1222" s="10">
        <f>IF($BI1222="","",IF($B1222="Onsite",INDEX(tbl_Onsite[Invoice Type],$BI1222),IF($B1222="Production",INDEX(tbl_Production[Invoice Type],$BI1222),INDEX(tbl_Consulting[Invoice Type],$BI1222)))&amp;"")</f>
        <v/>
      </c>
      <c r="J1222" s="10">
        <f>IF($BI1222="","",IF($B1222="Onsite",INDEX(tbl_Onsite[Tax Code],$BI1222),IF($B1222="Production",INDEX(tbl_Production[Tax Code],$BI1222),INDEX(tbl_Consulting[Tax Code],$BI1222)))&amp;"")</f>
        <v/>
      </c>
      <c r="K1222" s="10">
        <f>IF(H1222="","",IFERROR(INDEX(lst_CCtoGL,MATCH(H1222,lst_CCforGL,0)),""))</f>
        <v/>
      </c>
      <c r="L1222" s="10">
        <f>IF($BI1222="","",IF($B1222="Onsite",INDEX(tbl_Onsite[PO / Reference],$BI1222),IF($B1222="Production",INDEX(tbl_Production[Current RMS No],$BI1222),INDEX(tbl_Consulting[Qwilr Quote],$BI1222)))&amp;"")</f>
        <v/>
      </c>
      <c r="M1222" s="10">
        <f>IF($BI1222="","",IF($B1222="Onsite",INDEX(tbl_Onsite[Notes],$BI1222),IF($B1222="Production",INDEX(tbl_Production[Notes],$BI1222),INDEX(tbl_Consulting[Notes],$BI1222)))&amp;"")</f>
        <v/>
      </c>
      <c r="N1222" s="11">
        <f>IF($BI1222="","",IF(IF($B1222="Onsite",INDEX(tbl_Onsite[Expected Revenue Ex GST],$BI1222),IF($B1222="Production",INDEX(tbl_Production[Expected Revenue Ex GST],$BI1222),INDEX(tbl_Consulting[Expected Revenue Ex GST],$BI1222)))="","",IF($B1222="Onsite",INDEX(tbl_Onsite[Expected Revenue Ex GST],$BI1222),IF($B1222="Production",INDEX(tbl_Production[Expected Revenue Ex GST],$BI1222),INDEX(tbl_Consulting[Expected Revenue Ex GST],$BI1222)))))</f>
        <v/>
      </c>
      <c r="O1222" s="11">
        <f>IF(AND($C1222="",NOT(COUNTA($S1222:$BB1222)&gt;0)),"",SUM(U1222,X1222,AA1222,AD1222,AG1222,AJ1222,AM1222,AP1222,AS1222,AV1222,AY1222,BB1222))</f>
        <v/>
      </c>
      <c r="P1222" s="11">
        <f>IF(O1222="","",N(N1222)-O1222)</f>
        <v/>
      </c>
      <c r="Q1222" s="10">
        <f>IF(O1222="","",IF($C1222="","Invoice on empty job row",IF(N1222="",IF(ROUND(O1222,2)=0,"No dept value","Invoiced - no dept value"),IF(ROUND(O1222,2)=0,"Not invoiced - to invoice",IF(ROUND(P1222,2)=0,"Agrees",IF(P1222&gt;0,"Dept higher - to invoice","Xero higher - check dept"))))))</f>
        <v/>
      </c>
      <c r="R1222" s="10">
        <f>IF(AND($C1222="",NOT(COUNTA($S1222:$BB1222)&gt;0),$BI1222&lt;&gt;""),"",MID(IF($BI1222="","; Row ID not found on the department sheet - a row was deleted","")&amp;IF(AND($C1222="",COUNTA($S1222:$BB1222)&gt;0),"; Invoice entered but the department row has no job number","")&amp;IF(E1222="CHECK","; Job number not in the Xero job list","")&amp;IF(AND($C1222&lt;&gt;"",COUNTIF($C$7:$C$1506,$C1222)&gt;1),"; Job number on more than one row","")&amp;IF(AND($C1222&lt;&gt;"",H1222=""),"; Dept has not set a cost centre","")&amp;IF(AND($C1222&lt;&gt;"",J1222=""),"; Dept has not set a tax code","")&amp;IF(AND($C1222&lt;&gt;"",N1222=""),"; Dept has not entered an expected value","")&amp;IF((IF(OR(COUNTA(S1222:U1222)=0,AND(COUNTA(S1222:U1222)=3,ISNUMBER(U1222))),0,1)+IF(OR(COUNTA(V1222:X1222)=0,AND(COUNTA(V1222:X1222)=3,ISNUMBER(X1222))),0,1)+IF(OR(COUNTA(Y1222:AA1222)=0,AND(COUNTA(Y1222:AA1222)=3,ISNUMBER(AA1222))),0,1)+IF(OR(COUNTA(AB1222:AD1222)=0,AND(COUNTA(AB1222:AD1222)=3,ISNUMBER(AD1222))),0,1)+IF(OR(COUNTA(AE1222:AG1222)=0,AND(COUNTA(AE1222:AG1222)=3,ISNUMBER(AG1222))),0,1)+IF(OR(COUNTA(AH1222:AJ1222)=0,AND(COUNTA(AH1222:AJ1222)=3,ISNUMBER(AJ1222))),0,1)+IF(OR(COUNTA(AK1222:AM1222)=0,AND(COUNTA(AK1222:AM1222)=3,ISNUMBER(AM1222))),0,1)+IF(OR(COUNTA(AN1222:AP1222)=0,AND(COUNTA(AN1222:AP1222)=3,ISNUMBER(AP1222))),0,1)+IF(OR(COUNTA(AQ1222:AS1222)=0,AND(COUNTA(AQ1222:AS1222)=3,ISNUMBER(AS1222))),0,1)+IF(OR(COUNTA(AT1222:AV1222)=0,AND(COUNTA(AT1222:AV1222)=3,ISNUMBER(AV1222))),0,1)+IF(OR(COUNTA(AW1222:AY1222)=0,AND(COUNTA(AW1222:AY1222)=3,ISNUMBER(AY1222))),0,1)+IF(OR(COUNTA(AZ1222:BB1222)=0,AND(COUNTA(AZ1222:BB1222)=3,ISNUMBER(BB1222))),0,1))&gt;0,"; An invoice is incomplete (needs No, Date and a number in Ex GST)","")&amp;IF((IF(T1222="",0,IFERROR(--(EOMONTH(T1222,0)&lt;&gt;S$5),1))+IF(W1222="",0,IFERROR(--(EOMONTH(W1222,0)&lt;&gt;V$5),1))+IF(Z1222="",0,IFERROR(--(EOMONTH(Z1222,0)&lt;&gt;Y$5),1))+IF(AC1222="",0,IFERROR(--(EOMONTH(AC1222,0)&lt;&gt;AB$5),1))+IF(AF1222="",0,IFERROR(--(EOMONTH(AF1222,0)&lt;&gt;AE$5),1))+IF(AI1222="",0,IFERROR(--(EOMONTH(AI1222,0)&lt;&gt;AH$5),1))+IF(AL1222="",0,IFERROR(--(EOMONTH(AL1222,0)&lt;&gt;AK$5),1))+IF(AO1222="",0,IFERROR(--(EOMONTH(AO1222,0)&lt;&gt;AN$5),1))+IF(AR1222="",0,IFERROR(--(EOMONTH(AR1222,0)&lt;&gt;AQ$5),1))+IF(AU1222="",0,IFERROR(--(EOMONTH(AU1222,0)&lt;&gt;AT$5),1))+IF(AX1222="",0,IFERROR(--(EOMONTH(AX1222,0)&lt;&gt;AW$5),1))+IF(BA1222="",0,IFERROR(--(EOMONTH(BA1222,0)&lt;&gt;AZ$5),1)))&gt;0,"; An invoice date is not in the month it is typed under",""),3,500))</f>
        <v/>
      </c>
      <c r="S1222" s="12" t="n"/>
      <c r="T1222" s="13" t="n"/>
      <c r="U1222" s="14" t="n"/>
      <c r="V1222" s="12" t="n"/>
      <c r="W1222" s="13" t="n"/>
      <c r="X1222" s="14" t="n"/>
      <c r="Y1222" s="12" t="n"/>
      <c r="Z1222" s="13" t="n"/>
      <c r="AA1222" s="14" t="n"/>
      <c r="AB1222" s="12" t="n"/>
      <c r="AC1222" s="13" t="n"/>
      <c r="AD1222" s="14" t="n"/>
      <c r="AE1222" s="12" t="n"/>
      <c r="AF1222" s="13" t="n"/>
      <c r="AG1222" s="14" t="n"/>
      <c r="AH1222" s="12" t="n"/>
      <c r="AI1222" s="13" t="n"/>
      <c r="AJ1222" s="14" t="n"/>
      <c r="AK1222" s="12" t="n"/>
      <c r="AL1222" s="13" t="n"/>
      <c r="AM1222" s="14" t="n"/>
      <c r="AN1222" s="12" t="n"/>
      <c r="AO1222" s="13" t="n"/>
      <c r="AP1222" s="14" t="n"/>
      <c r="AQ1222" s="12" t="n"/>
      <c r="AR1222" s="13" t="n"/>
      <c r="AS1222" s="14" t="n"/>
      <c r="AT1222" s="12" t="n"/>
      <c r="AU1222" s="13" t="n"/>
      <c r="AV1222" s="14" t="n"/>
      <c r="AW1222" s="12" t="n"/>
      <c r="AX1222" s="13" t="n"/>
      <c r="AY1222" s="14" t="n"/>
      <c r="AZ1222" s="12" t="n"/>
      <c r="BA1222" s="13" t="n"/>
      <c r="BB1222" s="14" t="n"/>
      <c r="BC1222" s="11">
        <f>IF(O1222="","",IF(J1222="GST 10%",ROUND(O1222*set_GSTRate,2),0))</f>
        <v/>
      </c>
      <c r="BD1222" s="11">
        <f>IF(O1222="","",O1222+BC1222)</f>
        <v/>
      </c>
      <c r="BE1222" s="15">
        <f>IF(O1222="","",COUNTA(S1222,V1222,Y1222,AB1222,AE1222,AH1222,AK1222,AN1222,AQ1222,AT1222,AW1222,AZ1222))</f>
        <v/>
      </c>
      <c r="BF1222" s="16">
        <f>IF(COUNT(T1222,W1222,Z1222,AC1222,AF1222,AI1222,AL1222,AO1222,AR1222,AU1222,AX1222,BA1222)=0,"",MAX(T1222,W1222,Z1222,AC1222,AF1222,AI1222,AL1222,AO1222,AR1222,AU1222,AX1222,BA1222))</f>
        <v/>
      </c>
      <c r="BG1222" s="10">
        <f>MID(IF(S1222="","",", "&amp;S1222)&amp;IF(V1222="","",", "&amp;V1222)&amp;IF(Y1222="","",", "&amp;Y1222)&amp;IF(AB1222="","",", "&amp;AB1222)&amp;IF(AE1222="","",", "&amp;AE1222)&amp;IF(AH1222="","",", "&amp;AH1222)&amp;IF(AK1222="","",", "&amp;AK1222)&amp;IF(AN1222="","",", "&amp;AN1222)&amp;IF(AQ1222="","",", "&amp;AQ1222)&amp;IF(AT1222="","",", "&amp;AT1222)&amp;IF(AW1222="","",", "&amp;AW1222)&amp;IF(AZ1222="","",", "&amp;AZ1222),3,500)</f>
        <v/>
      </c>
      <c r="BH1222" s="12" t="n"/>
      <c r="BI1222" s="15">
        <f>IFERROR(MATCH($A1222,IF($B1222="Onsite",tbl_Onsite[Row ID],IF($B1222="Production",tbl_Production[Row ID],tbl_Consulting[Row ID])),0),"")</f>
        <v/>
      </c>
    </row>
    <row r="1223">
      <c r="A1223" s="10" t="inlineStr">
        <is>
          <t>CON-0217</t>
        </is>
      </c>
      <c r="B1223" s="10" t="inlineStr">
        <is>
          <t>Consulting</t>
        </is>
      </c>
      <c r="C1223" s="10">
        <f>IF($BI1223="","",IF($B1223="Onsite",INDEX(tbl_Onsite[Job Number],$BI1223),IF($B1223="Production",INDEX(tbl_Production[Job Number],$BI1223),INDEX(tbl_Consulting[Job Number],$BI1223)))&amp;"")</f>
        <v/>
      </c>
      <c r="D1223" s="10">
        <f>IF($BI1223="","",IF($B1223="Onsite",INDEX(tbl_Onsite[Client],$BI1223),IF($B1223="Production",INDEX(tbl_Production[Client],$BI1223),INDEX(tbl_Consulting[Client],$BI1223)))&amp;"")</f>
        <v/>
      </c>
      <c r="E1223" s="10">
        <f>IF($C1223="","",IF(COUNTIF(lst_Jobs,$C1223)&gt;0,"OK","CHECK"))</f>
        <v/>
      </c>
      <c r="F1223" s="10">
        <f>IF($C1223="","",IFERROR(INDEX(lst_JobName,MATCH($C1223,lst_Jobs,0)),""))</f>
        <v/>
      </c>
      <c r="G1223" s="10">
        <f>IF($BI1223="","",IF($B1223="Onsite",INDEX(tbl_Onsite[Job Description],$BI1223),IF($B1223="Production",INDEX(tbl_Production[Job Description],$BI1223),INDEX(tbl_Consulting[Job Description],$BI1223)))&amp;"")</f>
        <v/>
      </c>
      <c r="H1223" s="10">
        <f>IF($BI1223="","",IF($B1223="Onsite",INDEX(tbl_Onsite[Cost Centre],$BI1223),IF($B1223="Production",INDEX(tbl_Production[Cost Centre],$BI1223),INDEX(tbl_Consulting[Cost Centre],$BI1223)))&amp;"")</f>
        <v/>
      </c>
      <c r="I1223" s="10">
        <f>IF($BI1223="","",IF($B1223="Onsite",INDEX(tbl_Onsite[Invoice Type],$BI1223),IF($B1223="Production",INDEX(tbl_Production[Invoice Type],$BI1223),INDEX(tbl_Consulting[Invoice Type],$BI1223)))&amp;"")</f>
        <v/>
      </c>
      <c r="J1223" s="10">
        <f>IF($BI1223="","",IF($B1223="Onsite",INDEX(tbl_Onsite[Tax Code],$BI1223),IF($B1223="Production",INDEX(tbl_Production[Tax Code],$BI1223),INDEX(tbl_Consulting[Tax Code],$BI1223)))&amp;"")</f>
        <v/>
      </c>
      <c r="K1223" s="10">
        <f>IF(H1223="","",IFERROR(INDEX(lst_CCtoGL,MATCH(H1223,lst_CCforGL,0)),""))</f>
        <v/>
      </c>
      <c r="L1223" s="10">
        <f>IF($BI1223="","",IF($B1223="Onsite",INDEX(tbl_Onsite[PO / Reference],$BI1223),IF($B1223="Production",INDEX(tbl_Production[Current RMS No],$BI1223),INDEX(tbl_Consulting[Qwilr Quote],$BI1223)))&amp;"")</f>
        <v/>
      </c>
      <c r="M1223" s="10">
        <f>IF($BI1223="","",IF($B1223="Onsite",INDEX(tbl_Onsite[Notes],$BI1223),IF($B1223="Production",INDEX(tbl_Production[Notes],$BI1223),INDEX(tbl_Consulting[Notes],$BI1223)))&amp;"")</f>
        <v/>
      </c>
      <c r="N1223" s="11">
        <f>IF($BI1223="","",IF(IF($B1223="Onsite",INDEX(tbl_Onsite[Expected Revenue Ex GST],$BI1223),IF($B1223="Production",INDEX(tbl_Production[Expected Revenue Ex GST],$BI1223),INDEX(tbl_Consulting[Expected Revenue Ex GST],$BI1223)))="","",IF($B1223="Onsite",INDEX(tbl_Onsite[Expected Revenue Ex GST],$BI1223),IF($B1223="Production",INDEX(tbl_Production[Expected Revenue Ex GST],$BI1223),INDEX(tbl_Consulting[Expected Revenue Ex GST],$BI1223)))))</f>
        <v/>
      </c>
      <c r="O1223" s="11">
        <f>IF(AND($C1223="",NOT(COUNTA($S1223:$BB1223)&gt;0)),"",SUM(U1223,X1223,AA1223,AD1223,AG1223,AJ1223,AM1223,AP1223,AS1223,AV1223,AY1223,BB1223))</f>
        <v/>
      </c>
      <c r="P1223" s="11">
        <f>IF(O1223="","",N(N1223)-O1223)</f>
        <v/>
      </c>
      <c r="Q1223" s="10">
        <f>IF(O1223="","",IF($C1223="","Invoice on empty job row",IF(N1223="",IF(ROUND(O1223,2)=0,"No dept value","Invoiced - no dept value"),IF(ROUND(O1223,2)=0,"Not invoiced - to invoice",IF(ROUND(P1223,2)=0,"Agrees",IF(P1223&gt;0,"Dept higher - to invoice","Xero higher - check dept"))))))</f>
        <v/>
      </c>
      <c r="R1223" s="10">
        <f>IF(AND($C1223="",NOT(COUNTA($S1223:$BB1223)&gt;0),$BI1223&lt;&gt;""),"",MID(IF($BI1223="","; Row ID not found on the department sheet - a row was deleted","")&amp;IF(AND($C1223="",COUNTA($S1223:$BB1223)&gt;0),"; Invoice entered but the department row has no job number","")&amp;IF(E1223="CHECK","; Job number not in the Xero job list","")&amp;IF(AND($C1223&lt;&gt;"",COUNTIF($C$7:$C$1506,$C1223)&gt;1),"; Job number on more than one row","")&amp;IF(AND($C1223&lt;&gt;"",H1223=""),"; Dept has not set a cost centre","")&amp;IF(AND($C1223&lt;&gt;"",J1223=""),"; Dept has not set a tax code","")&amp;IF(AND($C1223&lt;&gt;"",N1223=""),"; Dept has not entered an expected value","")&amp;IF((IF(OR(COUNTA(S1223:U1223)=0,AND(COUNTA(S1223:U1223)=3,ISNUMBER(U1223))),0,1)+IF(OR(COUNTA(V1223:X1223)=0,AND(COUNTA(V1223:X1223)=3,ISNUMBER(X1223))),0,1)+IF(OR(COUNTA(Y1223:AA1223)=0,AND(COUNTA(Y1223:AA1223)=3,ISNUMBER(AA1223))),0,1)+IF(OR(COUNTA(AB1223:AD1223)=0,AND(COUNTA(AB1223:AD1223)=3,ISNUMBER(AD1223))),0,1)+IF(OR(COUNTA(AE1223:AG1223)=0,AND(COUNTA(AE1223:AG1223)=3,ISNUMBER(AG1223))),0,1)+IF(OR(COUNTA(AH1223:AJ1223)=0,AND(COUNTA(AH1223:AJ1223)=3,ISNUMBER(AJ1223))),0,1)+IF(OR(COUNTA(AK1223:AM1223)=0,AND(COUNTA(AK1223:AM1223)=3,ISNUMBER(AM1223))),0,1)+IF(OR(COUNTA(AN1223:AP1223)=0,AND(COUNTA(AN1223:AP1223)=3,ISNUMBER(AP1223))),0,1)+IF(OR(COUNTA(AQ1223:AS1223)=0,AND(COUNTA(AQ1223:AS1223)=3,ISNUMBER(AS1223))),0,1)+IF(OR(COUNTA(AT1223:AV1223)=0,AND(COUNTA(AT1223:AV1223)=3,ISNUMBER(AV1223))),0,1)+IF(OR(COUNTA(AW1223:AY1223)=0,AND(COUNTA(AW1223:AY1223)=3,ISNUMBER(AY1223))),0,1)+IF(OR(COUNTA(AZ1223:BB1223)=0,AND(COUNTA(AZ1223:BB1223)=3,ISNUMBER(BB1223))),0,1))&gt;0,"; An invoice is incomplete (needs No, Date and a number in Ex GST)","")&amp;IF((IF(T1223="",0,IFERROR(--(EOMONTH(T1223,0)&lt;&gt;S$5),1))+IF(W1223="",0,IFERROR(--(EOMONTH(W1223,0)&lt;&gt;V$5),1))+IF(Z1223="",0,IFERROR(--(EOMONTH(Z1223,0)&lt;&gt;Y$5),1))+IF(AC1223="",0,IFERROR(--(EOMONTH(AC1223,0)&lt;&gt;AB$5),1))+IF(AF1223="",0,IFERROR(--(EOMONTH(AF1223,0)&lt;&gt;AE$5),1))+IF(AI1223="",0,IFERROR(--(EOMONTH(AI1223,0)&lt;&gt;AH$5),1))+IF(AL1223="",0,IFERROR(--(EOMONTH(AL1223,0)&lt;&gt;AK$5),1))+IF(AO1223="",0,IFERROR(--(EOMONTH(AO1223,0)&lt;&gt;AN$5),1))+IF(AR1223="",0,IFERROR(--(EOMONTH(AR1223,0)&lt;&gt;AQ$5),1))+IF(AU1223="",0,IFERROR(--(EOMONTH(AU1223,0)&lt;&gt;AT$5),1))+IF(AX1223="",0,IFERROR(--(EOMONTH(AX1223,0)&lt;&gt;AW$5),1))+IF(BA1223="",0,IFERROR(--(EOMONTH(BA1223,0)&lt;&gt;AZ$5),1)))&gt;0,"; An invoice date is not in the month it is typed under",""),3,500))</f>
        <v/>
      </c>
      <c r="S1223" s="12" t="n"/>
      <c r="T1223" s="13" t="n"/>
      <c r="U1223" s="14" t="n"/>
      <c r="V1223" s="12" t="n"/>
      <c r="W1223" s="13" t="n"/>
      <c r="X1223" s="14" t="n"/>
      <c r="Y1223" s="12" t="n"/>
      <c r="Z1223" s="13" t="n"/>
      <c r="AA1223" s="14" t="n"/>
      <c r="AB1223" s="12" t="n"/>
      <c r="AC1223" s="13" t="n"/>
      <c r="AD1223" s="14" t="n"/>
      <c r="AE1223" s="12" t="n"/>
      <c r="AF1223" s="13" t="n"/>
      <c r="AG1223" s="14" t="n"/>
      <c r="AH1223" s="12" t="n"/>
      <c r="AI1223" s="13" t="n"/>
      <c r="AJ1223" s="14" t="n"/>
      <c r="AK1223" s="12" t="n"/>
      <c r="AL1223" s="13" t="n"/>
      <c r="AM1223" s="14" t="n"/>
      <c r="AN1223" s="12" t="n"/>
      <c r="AO1223" s="13" t="n"/>
      <c r="AP1223" s="14" t="n"/>
      <c r="AQ1223" s="12" t="n"/>
      <c r="AR1223" s="13" t="n"/>
      <c r="AS1223" s="14" t="n"/>
      <c r="AT1223" s="12" t="n"/>
      <c r="AU1223" s="13" t="n"/>
      <c r="AV1223" s="14" t="n"/>
      <c r="AW1223" s="12" t="n"/>
      <c r="AX1223" s="13" t="n"/>
      <c r="AY1223" s="14" t="n"/>
      <c r="AZ1223" s="12" t="n"/>
      <c r="BA1223" s="13" t="n"/>
      <c r="BB1223" s="14" t="n"/>
      <c r="BC1223" s="11">
        <f>IF(O1223="","",IF(J1223="GST 10%",ROUND(O1223*set_GSTRate,2),0))</f>
        <v/>
      </c>
      <c r="BD1223" s="11">
        <f>IF(O1223="","",O1223+BC1223)</f>
        <v/>
      </c>
      <c r="BE1223" s="15">
        <f>IF(O1223="","",COUNTA(S1223,V1223,Y1223,AB1223,AE1223,AH1223,AK1223,AN1223,AQ1223,AT1223,AW1223,AZ1223))</f>
        <v/>
      </c>
      <c r="BF1223" s="16">
        <f>IF(COUNT(T1223,W1223,Z1223,AC1223,AF1223,AI1223,AL1223,AO1223,AR1223,AU1223,AX1223,BA1223)=0,"",MAX(T1223,W1223,Z1223,AC1223,AF1223,AI1223,AL1223,AO1223,AR1223,AU1223,AX1223,BA1223))</f>
        <v/>
      </c>
      <c r="BG1223" s="10">
        <f>MID(IF(S1223="","",", "&amp;S1223)&amp;IF(V1223="","",", "&amp;V1223)&amp;IF(Y1223="","",", "&amp;Y1223)&amp;IF(AB1223="","",", "&amp;AB1223)&amp;IF(AE1223="","",", "&amp;AE1223)&amp;IF(AH1223="","",", "&amp;AH1223)&amp;IF(AK1223="","",", "&amp;AK1223)&amp;IF(AN1223="","",", "&amp;AN1223)&amp;IF(AQ1223="","",", "&amp;AQ1223)&amp;IF(AT1223="","",", "&amp;AT1223)&amp;IF(AW1223="","",", "&amp;AW1223)&amp;IF(AZ1223="","",", "&amp;AZ1223),3,500)</f>
        <v/>
      </c>
      <c r="BH1223" s="12" t="n"/>
      <c r="BI1223" s="15">
        <f>IFERROR(MATCH($A1223,IF($B1223="Onsite",tbl_Onsite[Row ID],IF($B1223="Production",tbl_Production[Row ID],tbl_Consulting[Row ID])),0),"")</f>
        <v/>
      </c>
    </row>
    <row r="1224">
      <c r="A1224" s="10" t="inlineStr">
        <is>
          <t>CON-0218</t>
        </is>
      </c>
      <c r="B1224" s="10" t="inlineStr">
        <is>
          <t>Consulting</t>
        </is>
      </c>
      <c r="C1224" s="10">
        <f>IF($BI1224="","",IF($B1224="Onsite",INDEX(tbl_Onsite[Job Number],$BI1224),IF($B1224="Production",INDEX(tbl_Production[Job Number],$BI1224),INDEX(tbl_Consulting[Job Number],$BI1224)))&amp;"")</f>
        <v/>
      </c>
      <c r="D1224" s="10">
        <f>IF($BI1224="","",IF($B1224="Onsite",INDEX(tbl_Onsite[Client],$BI1224),IF($B1224="Production",INDEX(tbl_Production[Client],$BI1224),INDEX(tbl_Consulting[Client],$BI1224)))&amp;"")</f>
        <v/>
      </c>
      <c r="E1224" s="10">
        <f>IF($C1224="","",IF(COUNTIF(lst_Jobs,$C1224)&gt;0,"OK","CHECK"))</f>
        <v/>
      </c>
      <c r="F1224" s="10">
        <f>IF($C1224="","",IFERROR(INDEX(lst_JobName,MATCH($C1224,lst_Jobs,0)),""))</f>
        <v/>
      </c>
      <c r="G1224" s="10">
        <f>IF($BI1224="","",IF($B1224="Onsite",INDEX(tbl_Onsite[Job Description],$BI1224),IF($B1224="Production",INDEX(tbl_Production[Job Description],$BI1224),INDEX(tbl_Consulting[Job Description],$BI1224)))&amp;"")</f>
        <v/>
      </c>
      <c r="H1224" s="10">
        <f>IF($BI1224="","",IF($B1224="Onsite",INDEX(tbl_Onsite[Cost Centre],$BI1224),IF($B1224="Production",INDEX(tbl_Production[Cost Centre],$BI1224),INDEX(tbl_Consulting[Cost Centre],$BI1224)))&amp;"")</f>
        <v/>
      </c>
      <c r="I1224" s="10">
        <f>IF($BI1224="","",IF($B1224="Onsite",INDEX(tbl_Onsite[Invoice Type],$BI1224),IF($B1224="Production",INDEX(tbl_Production[Invoice Type],$BI1224),INDEX(tbl_Consulting[Invoice Type],$BI1224)))&amp;"")</f>
        <v/>
      </c>
      <c r="J1224" s="10">
        <f>IF($BI1224="","",IF($B1224="Onsite",INDEX(tbl_Onsite[Tax Code],$BI1224),IF($B1224="Production",INDEX(tbl_Production[Tax Code],$BI1224),INDEX(tbl_Consulting[Tax Code],$BI1224)))&amp;"")</f>
        <v/>
      </c>
      <c r="K1224" s="10">
        <f>IF(H1224="","",IFERROR(INDEX(lst_CCtoGL,MATCH(H1224,lst_CCforGL,0)),""))</f>
        <v/>
      </c>
      <c r="L1224" s="10">
        <f>IF($BI1224="","",IF($B1224="Onsite",INDEX(tbl_Onsite[PO / Reference],$BI1224),IF($B1224="Production",INDEX(tbl_Production[Current RMS No],$BI1224),INDEX(tbl_Consulting[Qwilr Quote],$BI1224)))&amp;"")</f>
        <v/>
      </c>
      <c r="M1224" s="10">
        <f>IF($BI1224="","",IF($B1224="Onsite",INDEX(tbl_Onsite[Notes],$BI1224),IF($B1224="Production",INDEX(tbl_Production[Notes],$BI1224),INDEX(tbl_Consulting[Notes],$BI1224)))&amp;"")</f>
        <v/>
      </c>
      <c r="N1224" s="11">
        <f>IF($BI1224="","",IF(IF($B1224="Onsite",INDEX(tbl_Onsite[Expected Revenue Ex GST],$BI1224),IF($B1224="Production",INDEX(tbl_Production[Expected Revenue Ex GST],$BI1224),INDEX(tbl_Consulting[Expected Revenue Ex GST],$BI1224)))="","",IF($B1224="Onsite",INDEX(tbl_Onsite[Expected Revenue Ex GST],$BI1224),IF($B1224="Production",INDEX(tbl_Production[Expected Revenue Ex GST],$BI1224),INDEX(tbl_Consulting[Expected Revenue Ex GST],$BI1224)))))</f>
        <v/>
      </c>
      <c r="O1224" s="11">
        <f>IF(AND($C1224="",NOT(COUNTA($S1224:$BB1224)&gt;0)),"",SUM(U1224,X1224,AA1224,AD1224,AG1224,AJ1224,AM1224,AP1224,AS1224,AV1224,AY1224,BB1224))</f>
        <v/>
      </c>
      <c r="P1224" s="11">
        <f>IF(O1224="","",N(N1224)-O1224)</f>
        <v/>
      </c>
      <c r="Q1224" s="10">
        <f>IF(O1224="","",IF($C1224="","Invoice on empty job row",IF(N1224="",IF(ROUND(O1224,2)=0,"No dept value","Invoiced - no dept value"),IF(ROUND(O1224,2)=0,"Not invoiced - to invoice",IF(ROUND(P1224,2)=0,"Agrees",IF(P1224&gt;0,"Dept higher - to invoice","Xero higher - check dept"))))))</f>
        <v/>
      </c>
      <c r="R1224" s="10">
        <f>IF(AND($C1224="",NOT(COUNTA($S1224:$BB1224)&gt;0),$BI1224&lt;&gt;""),"",MID(IF($BI1224="","; Row ID not found on the department sheet - a row was deleted","")&amp;IF(AND($C1224="",COUNTA($S1224:$BB1224)&gt;0),"; Invoice entered but the department row has no job number","")&amp;IF(E1224="CHECK","; Job number not in the Xero job list","")&amp;IF(AND($C1224&lt;&gt;"",COUNTIF($C$7:$C$1506,$C1224)&gt;1),"; Job number on more than one row","")&amp;IF(AND($C1224&lt;&gt;"",H1224=""),"; Dept has not set a cost centre","")&amp;IF(AND($C1224&lt;&gt;"",J1224=""),"; Dept has not set a tax code","")&amp;IF(AND($C1224&lt;&gt;"",N1224=""),"; Dept has not entered an expected value","")&amp;IF((IF(OR(COUNTA(S1224:U1224)=0,AND(COUNTA(S1224:U1224)=3,ISNUMBER(U1224))),0,1)+IF(OR(COUNTA(V1224:X1224)=0,AND(COUNTA(V1224:X1224)=3,ISNUMBER(X1224))),0,1)+IF(OR(COUNTA(Y1224:AA1224)=0,AND(COUNTA(Y1224:AA1224)=3,ISNUMBER(AA1224))),0,1)+IF(OR(COUNTA(AB1224:AD1224)=0,AND(COUNTA(AB1224:AD1224)=3,ISNUMBER(AD1224))),0,1)+IF(OR(COUNTA(AE1224:AG1224)=0,AND(COUNTA(AE1224:AG1224)=3,ISNUMBER(AG1224))),0,1)+IF(OR(COUNTA(AH1224:AJ1224)=0,AND(COUNTA(AH1224:AJ1224)=3,ISNUMBER(AJ1224))),0,1)+IF(OR(COUNTA(AK1224:AM1224)=0,AND(COUNTA(AK1224:AM1224)=3,ISNUMBER(AM1224))),0,1)+IF(OR(COUNTA(AN1224:AP1224)=0,AND(COUNTA(AN1224:AP1224)=3,ISNUMBER(AP1224))),0,1)+IF(OR(COUNTA(AQ1224:AS1224)=0,AND(COUNTA(AQ1224:AS1224)=3,ISNUMBER(AS1224))),0,1)+IF(OR(COUNTA(AT1224:AV1224)=0,AND(COUNTA(AT1224:AV1224)=3,ISNUMBER(AV1224))),0,1)+IF(OR(COUNTA(AW1224:AY1224)=0,AND(COUNTA(AW1224:AY1224)=3,ISNUMBER(AY1224))),0,1)+IF(OR(COUNTA(AZ1224:BB1224)=0,AND(COUNTA(AZ1224:BB1224)=3,ISNUMBER(BB1224))),0,1))&gt;0,"; An invoice is incomplete (needs No, Date and a number in Ex GST)","")&amp;IF((IF(T1224="",0,IFERROR(--(EOMONTH(T1224,0)&lt;&gt;S$5),1))+IF(W1224="",0,IFERROR(--(EOMONTH(W1224,0)&lt;&gt;V$5),1))+IF(Z1224="",0,IFERROR(--(EOMONTH(Z1224,0)&lt;&gt;Y$5),1))+IF(AC1224="",0,IFERROR(--(EOMONTH(AC1224,0)&lt;&gt;AB$5),1))+IF(AF1224="",0,IFERROR(--(EOMONTH(AF1224,0)&lt;&gt;AE$5),1))+IF(AI1224="",0,IFERROR(--(EOMONTH(AI1224,0)&lt;&gt;AH$5),1))+IF(AL1224="",0,IFERROR(--(EOMONTH(AL1224,0)&lt;&gt;AK$5),1))+IF(AO1224="",0,IFERROR(--(EOMONTH(AO1224,0)&lt;&gt;AN$5),1))+IF(AR1224="",0,IFERROR(--(EOMONTH(AR1224,0)&lt;&gt;AQ$5),1))+IF(AU1224="",0,IFERROR(--(EOMONTH(AU1224,0)&lt;&gt;AT$5),1))+IF(AX1224="",0,IFERROR(--(EOMONTH(AX1224,0)&lt;&gt;AW$5),1))+IF(BA1224="",0,IFERROR(--(EOMONTH(BA1224,0)&lt;&gt;AZ$5),1)))&gt;0,"; An invoice date is not in the month it is typed under",""),3,500))</f>
        <v/>
      </c>
      <c r="S1224" s="12" t="n"/>
      <c r="T1224" s="13" t="n"/>
      <c r="U1224" s="14" t="n"/>
      <c r="V1224" s="12" t="n"/>
      <c r="W1224" s="13" t="n"/>
      <c r="X1224" s="14" t="n"/>
      <c r="Y1224" s="12" t="n"/>
      <c r="Z1224" s="13" t="n"/>
      <c r="AA1224" s="14" t="n"/>
      <c r="AB1224" s="12" t="n"/>
      <c r="AC1224" s="13" t="n"/>
      <c r="AD1224" s="14" t="n"/>
      <c r="AE1224" s="12" t="n"/>
      <c r="AF1224" s="13" t="n"/>
      <c r="AG1224" s="14" t="n"/>
      <c r="AH1224" s="12" t="n"/>
      <c r="AI1224" s="13" t="n"/>
      <c r="AJ1224" s="14" t="n"/>
      <c r="AK1224" s="12" t="n"/>
      <c r="AL1224" s="13" t="n"/>
      <c r="AM1224" s="14" t="n"/>
      <c r="AN1224" s="12" t="n"/>
      <c r="AO1224" s="13" t="n"/>
      <c r="AP1224" s="14" t="n"/>
      <c r="AQ1224" s="12" t="n"/>
      <c r="AR1224" s="13" t="n"/>
      <c r="AS1224" s="14" t="n"/>
      <c r="AT1224" s="12" t="n"/>
      <c r="AU1224" s="13" t="n"/>
      <c r="AV1224" s="14" t="n"/>
      <c r="AW1224" s="12" t="n"/>
      <c r="AX1224" s="13" t="n"/>
      <c r="AY1224" s="14" t="n"/>
      <c r="AZ1224" s="12" t="n"/>
      <c r="BA1224" s="13" t="n"/>
      <c r="BB1224" s="14" t="n"/>
      <c r="BC1224" s="11">
        <f>IF(O1224="","",IF(J1224="GST 10%",ROUND(O1224*set_GSTRate,2),0))</f>
        <v/>
      </c>
      <c r="BD1224" s="11">
        <f>IF(O1224="","",O1224+BC1224)</f>
        <v/>
      </c>
      <c r="BE1224" s="15">
        <f>IF(O1224="","",COUNTA(S1224,V1224,Y1224,AB1224,AE1224,AH1224,AK1224,AN1224,AQ1224,AT1224,AW1224,AZ1224))</f>
        <v/>
      </c>
      <c r="BF1224" s="16">
        <f>IF(COUNT(T1224,W1224,Z1224,AC1224,AF1224,AI1224,AL1224,AO1224,AR1224,AU1224,AX1224,BA1224)=0,"",MAX(T1224,W1224,Z1224,AC1224,AF1224,AI1224,AL1224,AO1224,AR1224,AU1224,AX1224,BA1224))</f>
        <v/>
      </c>
      <c r="BG1224" s="10">
        <f>MID(IF(S1224="","",", "&amp;S1224)&amp;IF(V1224="","",", "&amp;V1224)&amp;IF(Y1224="","",", "&amp;Y1224)&amp;IF(AB1224="","",", "&amp;AB1224)&amp;IF(AE1224="","",", "&amp;AE1224)&amp;IF(AH1224="","",", "&amp;AH1224)&amp;IF(AK1224="","",", "&amp;AK1224)&amp;IF(AN1224="","",", "&amp;AN1224)&amp;IF(AQ1224="","",", "&amp;AQ1224)&amp;IF(AT1224="","",", "&amp;AT1224)&amp;IF(AW1224="","",", "&amp;AW1224)&amp;IF(AZ1224="","",", "&amp;AZ1224),3,500)</f>
        <v/>
      </c>
      <c r="BH1224" s="12" t="n"/>
      <c r="BI1224" s="15">
        <f>IFERROR(MATCH($A1224,IF($B1224="Onsite",tbl_Onsite[Row ID],IF($B1224="Production",tbl_Production[Row ID],tbl_Consulting[Row ID])),0),"")</f>
        <v/>
      </c>
    </row>
    <row r="1225">
      <c r="A1225" s="10" t="inlineStr">
        <is>
          <t>CON-0219</t>
        </is>
      </c>
      <c r="B1225" s="10" t="inlineStr">
        <is>
          <t>Consulting</t>
        </is>
      </c>
      <c r="C1225" s="10">
        <f>IF($BI1225="","",IF($B1225="Onsite",INDEX(tbl_Onsite[Job Number],$BI1225),IF($B1225="Production",INDEX(tbl_Production[Job Number],$BI1225),INDEX(tbl_Consulting[Job Number],$BI1225)))&amp;"")</f>
        <v/>
      </c>
      <c r="D1225" s="10">
        <f>IF($BI1225="","",IF($B1225="Onsite",INDEX(tbl_Onsite[Client],$BI1225),IF($B1225="Production",INDEX(tbl_Production[Client],$BI1225),INDEX(tbl_Consulting[Client],$BI1225)))&amp;"")</f>
        <v/>
      </c>
      <c r="E1225" s="10">
        <f>IF($C1225="","",IF(COUNTIF(lst_Jobs,$C1225)&gt;0,"OK","CHECK"))</f>
        <v/>
      </c>
      <c r="F1225" s="10">
        <f>IF($C1225="","",IFERROR(INDEX(lst_JobName,MATCH($C1225,lst_Jobs,0)),""))</f>
        <v/>
      </c>
      <c r="G1225" s="10">
        <f>IF($BI1225="","",IF($B1225="Onsite",INDEX(tbl_Onsite[Job Description],$BI1225),IF($B1225="Production",INDEX(tbl_Production[Job Description],$BI1225),INDEX(tbl_Consulting[Job Description],$BI1225)))&amp;"")</f>
        <v/>
      </c>
      <c r="H1225" s="10">
        <f>IF($BI1225="","",IF($B1225="Onsite",INDEX(tbl_Onsite[Cost Centre],$BI1225),IF($B1225="Production",INDEX(tbl_Production[Cost Centre],$BI1225),INDEX(tbl_Consulting[Cost Centre],$BI1225)))&amp;"")</f>
        <v/>
      </c>
      <c r="I1225" s="10">
        <f>IF($BI1225="","",IF($B1225="Onsite",INDEX(tbl_Onsite[Invoice Type],$BI1225),IF($B1225="Production",INDEX(tbl_Production[Invoice Type],$BI1225),INDEX(tbl_Consulting[Invoice Type],$BI1225)))&amp;"")</f>
        <v/>
      </c>
      <c r="J1225" s="10">
        <f>IF($BI1225="","",IF($B1225="Onsite",INDEX(tbl_Onsite[Tax Code],$BI1225),IF($B1225="Production",INDEX(tbl_Production[Tax Code],$BI1225),INDEX(tbl_Consulting[Tax Code],$BI1225)))&amp;"")</f>
        <v/>
      </c>
      <c r="K1225" s="10">
        <f>IF(H1225="","",IFERROR(INDEX(lst_CCtoGL,MATCH(H1225,lst_CCforGL,0)),""))</f>
        <v/>
      </c>
      <c r="L1225" s="10">
        <f>IF($BI1225="","",IF($B1225="Onsite",INDEX(tbl_Onsite[PO / Reference],$BI1225),IF($B1225="Production",INDEX(tbl_Production[Current RMS No],$BI1225),INDEX(tbl_Consulting[Qwilr Quote],$BI1225)))&amp;"")</f>
        <v/>
      </c>
      <c r="M1225" s="10">
        <f>IF($BI1225="","",IF($B1225="Onsite",INDEX(tbl_Onsite[Notes],$BI1225),IF($B1225="Production",INDEX(tbl_Production[Notes],$BI1225),INDEX(tbl_Consulting[Notes],$BI1225)))&amp;"")</f>
        <v/>
      </c>
      <c r="N1225" s="11">
        <f>IF($BI1225="","",IF(IF($B1225="Onsite",INDEX(tbl_Onsite[Expected Revenue Ex GST],$BI1225),IF($B1225="Production",INDEX(tbl_Production[Expected Revenue Ex GST],$BI1225),INDEX(tbl_Consulting[Expected Revenue Ex GST],$BI1225)))="","",IF($B1225="Onsite",INDEX(tbl_Onsite[Expected Revenue Ex GST],$BI1225),IF($B1225="Production",INDEX(tbl_Production[Expected Revenue Ex GST],$BI1225),INDEX(tbl_Consulting[Expected Revenue Ex GST],$BI1225)))))</f>
        <v/>
      </c>
      <c r="O1225" s="11">
        <f>IF(AND($C1225="",NOT(COUNTA($S1225:$BB1225)&gt;0)),"",SUM(U1225,X1225,AA1225,AD1225,AG1225,AJ1225,AM1225,AP1225,AS1225,AV1225,AY1225,BB1225))</f>
        <v/>
      </c>
      <c r="P1225" s="11">
        <f>IF(O1225="","",N(N1225)-O1225)</f>
        <v/>
      </c>
      <c r="Q1225" s="10">
        <f>IF(O1225="","",IF($C1225="","Invoice on empty job row",IF(N1225="",IF(ROUND(O1225,2)=0,"No dept value","Invoiced - no dept value"),IF(ROUND(O1225,2)=0,"Not invoiced - to invoice",IF(ROUND(P1225,2)=0,"Agrees",IF(P1225&gt;0,"Dept higher - to invoice","Xero higher - check dept"))))))</f>
        <v/>
      </c>
      <c r="R1225" s="10">
        <f>IF(AND($C1225="",NOT(COUNTA($S1225:$BB1225)&gt;0),$BI1225&lt;&gt;""),"",MID(IF($BI1225="","; Row ID not found on the department sheet - a row was deleted","")&amp;IF(AND($C1225="",COUNTA($S1225:$BB1225)&gt;0),"; Invoice entered but the department row has no job number","")&amp;IF(E1225="CHECK","; Job number not in the Xero job list","")&amp;IF(AND($C1225&lt;&gt;"",COUNTIF($C$7:$C$1506,$C1225)&gt;1),"; Job number on more than one row","")&amp;IF(AND($C1225&lt;&gt;"",H1225=""),"; Dept has not set a cost centre","")&amp;IF(AND($C1225&lt;&gt;"",J1225=""),"; Dept has not set a tax code","")&amp;IF(AND($C1225&lt;&gt;"",N1225=""),"; Dept has not entered an expected value","")&amp;IF((IF(OR(COUNTA(S1225:U1225)=0,AND(COUNTA(S1225:U1225)=3,ISNUMBER(U1225))),0,1)+IF(OR(COUNTA(V1225:X1225)=0,AND(COUNTA(V1225:X1225)=3,ISNUMBER(X1225))),0,1)+IF(OR(COUNTA(Y1225:AA1225)=0,AND(COUNTA(Y1225:AA1225)=3,ISNUMBER(AA1225))),0,1)+IF(OR(COUNTA(AB1225:AD1225)=0,AND(COUNTA(AB1225:AD1225)=3,ISNUMBER(AD1225))),0,1)+IF(OR(COUNTA(AE1225:AG1225)=0,AND(COUNTA(AE1225:AG1225)=3,ISNUMBER(AG1225))),0,1)+IF(OR(COUNTA(AH1225:AJ1225)=0,AND(COUNTA(AH1225:AJ1225)=3,ISNUMBER(AJ1225))),0,1)+IF(OR(COUNTA(AK1225:AM1225)=0,AND(COUNTA(AK1225:AM1225)=3,ISNUMBER(AM1225))),0,1)+IF(OR(COUNTA(AN1225:AP1225)=0,AND(COUNTA(AN1225:AP1225)=3,ISNUMBER(AP1225))),0,1)+IF(OR(COUNTA(AQ1225:AS1225)=0,AND(COUNTA(AQ1225:AS1225)=3,ISNUMBER(AS1225))),0,1)+IF(OR(COUNTA(AT1225:AV1225)=0,AND(COUNTA(AT1225:AV1225)=3,ISNUMBER(AV1225))),0,1)+IF(OR(COUNTA(AW1225:AY1225)=0,AND(COUNTA(AW1225:AY1225)=3,ISNUMBER(AY1225))),0,1)+IF(OR(COUNTA(AZ1225:BB1225)=0,AND(COUNTA(AZ1225:BB1225)=3,ISNUMBER(BB1225))),0,1))&gt;0,"; An invoice is incomplete (needs No, Date and a number in Ex GST)","")&amp;IF((IF(T1225="",0,IFERROR(--(EOMONTH(T1225,0)&lt;&gt;S$5),1))+IF(W1225="",0,IFERROR(--(EOMONTH(W1225,0)&lt;&gt;V$5),1))+IF(Z1225="",0,IFERROR(--(EOMONTH(Z1225,0)&lt;&gt;Y$5),1))+IF(AC1225="",0,IFERROR(--(EOMONTH(AC1225,0)&lt;&gt;AB$5),1))+IF(AF1225="",0,IFERROR(--(EOMONTH(AF1225,0)&lt;&gt;AE$5),1))+IF(AI1225="",0,IFERROR(--(EOMONTH(AI1225,0)&lt;&gt;AH$5),1))+IF(AL1225="",0,IFERROR(--(EOMONTH(AL1225,0)&lt;&gt;AK$5),1))+IF(AO1225="",0,IFERROR(--(EOMONTH(AO1225,0)&lt;&gt;AN$5),1))+IF(AR1225="",0,IFERROR(--(EOMONTH(AR1225,0)&lt;&gt;AQ$5),1))+IF(AU1225="",0,IFERROR(--(EOMONTH(AU1225,0)&lt;&gt;AT$5),1))+IF(AX1225="",0,IFERROR(--(EOMONTH(AX1225,0)&lt;&gt;AW$5),1))+IF(BA1225="",0,IFERROR(--(EOMONTH(BA1225,0)&lt;&gt;AZ$5),1)))&gt;0,"; An invoice date is not in the month it is typed under",""),3,500))</f>
        <v/>
      </c>
      <c r="S1225" s="12" t="n"/>
      <c r="T1225" s="13" t="n"/>
      <c r="U1225" s="14" t="n"/>
      <c r="V1225" s="12" t="n"/>
      <c r="W1225" s="13" t="n"/>
      <c r="X1225" s="14" t="n"/>
      <c r="Y1225" s="12" t="n"/>
      <c r="Z1225" s="13" t="n"/>
      <c r="AA1225" s="14" t="n"/>
      <c r="AB1225" s="12" t="n"/>
      <c r="AC1225" s="13" t="n"/>
      <c r="AD1225" s="14" t="n"/>
      <c r="AE1225" s="12" t="n"/>
      <c r="AF1225" s="13" t="n"/>
      <c r="AG1225" s="14" t="n"/>
      <c r="AH1225" s="12" t="n"/>
      <c r="AI1225" s="13" t="n"/>
      <c r="AJ1225" s="14" t="n"/>
      <c r="AK1225" s="12" t="n"/>
      <c r="AL1225" s="13" t="n"/>
      <c r="AM1225" s="14" t="n"/>
      <c r="AN1225" s="12" t="n"/>
      <c r="AO1225" s="13" t="n"/>
      <c r="AP1225" s="14" t="n"/>
      <c r="AQ1225" s="12" t="n"/>
      <c r="AR1225" s="13" t="n"/>
      <c r="AS1225" s="14" t="n"/>
      <c r="AT1225" s="12" t="n"/>
      <c r="AU1225" s="13" t="n"/>
      <c r="AV1225" s="14" t="n"/>
      <c r="AW1225" s="12" t="n"/>
      <c r="AX1225" s="13" t="n"/>
      <c r="AY1225" s="14" t="n"/>
      <c r="AZ1225" s="12" t="n"/>
      <c r="BA1225" s="13" t="n"/>
      <c r="BB1225" s="14" t="n"/>
      <c r="BC1225" s="11">
        <f>IF(O1225="","",IF(J1225="GST 10%",ROUND(O1225*set_GSTRate,2),0))</f>
        <v/>
      </c>
      <c r="BD1225" s="11">
        <f>IF(O1225="","",O1225+BC1225)</f>
        <v/>
      </c>
      <c r="BE1225" s="15">
        <f>IF(O1225="","",COUNTA(S1225,V1225,Y1225,AB1225,AE1225,AH1225,AK1225,AN1225,AQ1225,AT1225,AW1225,AZ1225))</f>
        <v/>
      </c>
      <c r="BF1225" s="16">
        <f>IF(COUNT(T1225,W1225,Z1225,AC1225,AF1225,AI1225,AL1225,AO1225,AR1225,AU1225,AX1225,BA1225)=0,"",MAX(T1225,W1225,Z1225,AC1225,AF1225,AI1225,AL1225,AO1225,AR1225,AU1225,AX1225,BA1225))</f>
        <v/>
      </c>
      <c r="BG1225" s="10">
        <f>MID(IF(S1225="","",", "&amp;S1225)&amp;IF(V1225="","",", "&amp;V1225)&amp;IF(Y1225="","",", "&amp;Y1225)&amp;IF(AB1225="","",", "&amp;AB1225)&amp;IF(AE1225="","",", "&amp;AE1225)&amp;IF(AH1225="","",", "&amp;AH1225)&amp;IF(AK1225="","",", "&amp;AK1225)&amp;IF(AN1225="","",", "&amp;AN1225)&amp;IF(AQ1225="","",", "&amp;AQ1225)&amp;IF(AT1225="","",", "&amp;AT1225)&amp;IF(AW1225="","",", "&amp;AW1225)&amp;IF(AZ1225="","",", "&amp;AZ1225),3,500)</f>
        <v/>
      </c>
      <c r="BH1225" s="12" t="n"/>
      <c r="BI1225" s="15">
        <f>IFERROR(MATCH($A1225,IF($B1225="Onsite",tbl_Onsite[Row ID],IF($B1225="Production",tbl_Production[Row ID],tbl_Consulting[Row ID])),0),"")</f>
        <v/>
      </c>
    </row>
    <row r="1226">
      <c r="A1226" s="10" t="inlineStr">
        <is>
          <t>CON-0220</t>
        </is>
      </c>
      <c r="B1226" s="10" t="inlineStr">
        <is>
          <t>Consulting</t>
        </is>
      </c>
      <c r="C1226" s="10">
        <f>IF($BI1226="","",IF($B1226="Onsite",INDEX(tbl_Onsite[Job Number],$BI1226),IF($B1226="Production",INDEX(tbl_Production[Job Number],$BI1226),INDEX(tbl_Consulting[Job Number],$BI1226)))&amp;"")</f>
        <v/>
      </c>
      <c r="D1226" s="10">
        <f>IF($BI1226="","",IF($B1226="Onsite",INDEX(tbl_Onsite[Client],$BI1226),IF($B1226="Production",INDEX(tbl_Production[Client],$BI1226),INDEX(tbl_Consulting[Client],$BI1226)))&amp;"")</f>
        <v/>
      </c>
      <c r="E1226" s="10">
        <f>IF($C1226="","",IF(COUNTIF(lst_Jobs,$C1226)&gt;0,"OK","CHECK"))</f>
        <v/>
      </c>
      <c r="F1226" s="10">
        <f>IF($C1226="","",IFERROR(INDEX(lst_JobName,MATCH($C1226,lst_Jobs,0)),""))</f>
        <v/>
      </c>
      <c r="G1226" s="10">
        <f>IF($BI1226="","",IF($B1226="Onsite",INDEX(tbl_Onsite[Job Description],$BI1226),IF($B1226="Production",INDEX(tbl_Production[Job Description],$BI1226),INDEX(tbl_Consulting[Job Description],$BI1226)))&amp;"")</f>
        <v/>
      </c>
      <c r="H1226" s="10">
        <f>IF($BI1226="","",IF($B1226="Onsite",INDEX(tbl_Onsite[Cost Centre],$BI1226),IF($B1226="Production",INDEX(tbl_Production[Cost Centre],$BI1226),INDEX(tbl_Consulting[Cost Centre],$BI1226)))&amp;"")</f>
        <v/>
      </c>
      <c r="I1226" s="10">
        <f>IF($BI1226="","",IF($B1226="Onsite",INDEX(tbl_Onsite[Invoice Type],$BI1226),IF($B1226="Production",INDEX(tbl_Production[Invoice Type],$BI1226),INDEX(tbl_Consulting[Invoice Type],$BI1226)))&amp;"")</f>
        <v/>
      </c>
      <c r="J1226" s="10">
        <f>IF($BI1226="","",IF($B1226="Onsite",INDEX(tbl_Onsite[Tax Code],$BI1226),IF($B1226="Production",INDEX(tbl_Production[Tax Code],$BI1226),INDEX(tbl_Consulting[Tax Code],$BI1226)))&amp;"")</f>
        <v/>
      </c>
      <c r="K1226" s="10">
        <f>IF(H1226="","",IFERROR(INDEX(lst_CCtoGL,MATCH(H1226,lst_CCforGL,0)),""))</f>
        <v/>
      </c>
      <c r="L1226" s="10">
        <f>IF($BI1226="","",IF($B1226="Onsite",INDEX(tbl_Onsite[PO / Reference],$BI1226),IF($B1226="Production",INDEX(tbl_Production[Current RMS No],$BI1226),INDEX(tbl_Consulting[Qwilr Quote],$BI1226)))&amp;"")</f>
        <v/>
      </c>
      <c r="M1226" s="10">
        <f>IF($BI1226="","",IF($B1226="Onsite",INDEX(tbl_Onsite[Notes],$BI1226),IF($B1226="Production",INDEX(tbl_Production[Notes],$BI1226),INDEX(tbl_Consulting[Notes],$BI1226)))&amp;"")</f>
        <v/>
      </c>
      <c r="N1226" s="11">
        <f>IF($BI1226="","",IF(IF($B1226="Onsite",INDEX(tbl_Onsite[Expected Revenue Ex GST],$BI1226),IF($B1226="Production",INDEX(tbl_Production[Expected Revenue Ex GST],$BI1226),INDEX(tbl_Consulting[Expected Revenue Ex GST],$BI1226)))="","",IF($B1226="Onsite",INDEX(tbl_Onsite[Expected Revenue Ex GST],$BI1226),IF($B1226="Production",INDEX(tbl_Production[Expected Revenue Ex GST],$BI1226),INDEX(tbl_Consulting[Expected Revenue Ex GST],$BI1226)))))</f>
        <v/>
      </c>
      <c r="O1226" s="11">
        <f>IF(AND($C1226="",NOT(COUNTA($S1226:$BB1226)&gt;0)),"",SUM(U1226,X1226,AA1226,AD1226,AG1226,AJ1226,AM1226,AP1226,AS1226,AV1226,AY1226,BB1226))</f>
        <v/>
      </c>
      <c r="P1226" s="11">
        <f>IF(O1226="","",N(N1226)-O1226)</f>
        <v/>
      </c>
      <c r="Q1226" s="10">
        <f>IF(O1226="","",IF($C1226="","Invoice on empty job row",IF(N1226="",IF(ROUND(O1226,2)=0,"No dept value","Invoiced - no dept value"),IF(ROUND(O1226,2)=0,"Not invoiced - to invoice",IF(ROUND(P1226,2)=0,"Agrees",IF(P1226&gt;0,"Dept higher - to invoice","Xero higher - check dept"))))))</f>
        <v/>
      </c>
      <c r="R1226" s="10">
        <f>IF(AND($C1226="",NOT(COUNTA($S1226:$BB1226)&gt;0),$BI1226&lt;&gt;""),"",MID(IF($BI1226="","; Row ID not found on the department sheet - a row was deleted","")&amp;IF(AND($C1226="",COUNTA($S1226:$BB1226)&gt;0),"; Invoice entered but the department row has no job number","")&amp;IF(E1226="CHECK","; Job number not in the Xero job list","")&amp;IF(AND($C1226&lt;&gt;"",COUNTIF($C$7:$C$1506,$C1226)&gt;1),"; Job number on more than one row","")&amp;IF(AND($C1226&lt;&gt;"",H1226=""),"; Dept has not set a cost centre","")&amp;IF(AND($C1226&lt;&gt;"",J1226=""),"; Dept has not set a tax code","")&amp;IF(AND($C1226&lt;&gt;"",N1226=""),"; Dept has not entered an expected value","")&amp;IF((IF(OR(COUNTA(S1226:U1226)=0,AND(COUNTA(S1226:U1226)=3,ISNUMBER(U1226))),0,1)+IF(OR(COUNTA(V1226:X1226)=0,AND(COUNTA(V1226:X1226)=3,ISNUMBER(X1226))),0,1)+IF(OR(COUNTA(Y1226:AA1226)=0,AND(COUNTA(Y1226:AA1226)=3,ISNUMBER(AA1226))),0,1)+IF(OR(COUNTA(AB1226:AD1226)=0,AND(COUNTA(AB1226:AD1226)=3,ISNUMBER(AD1226))),0,1)+IF(OR(COUNTA(AE1226:AG1226)=0,AND(COUNTA(AE1226:AG1226)=3,ISNUMBER(AG1226))),0,1)+IF(OR(COUNTA(AH1226:AJ1226)=0,AND(COUNTA(AH1226:AJ1226)=3,ISNUMBER(AJ1226))),0,1)+IF(OR(COUNTA(AK1226:AM1226)=0,AND(COUNTA(AK1226:AM1226)=3,ISNUMBER(AM1226))),0,1)+IF(OR(COUNTA(AN1226:AP1226)=0,AND(COUNTA(AN1226:AP1226)=3,ISNUMBER(AP1226))),0,1)+IF(OR(COUNTA(AQ1226:AS1226)=0,AND(COUNTA(AQ1226:AS1226)=3,ISNUMBER(AS1226))),0,1)+IF(OR(COUNTA(AT1226:AV1226)=0,AND(COUNTA(AT1226:AV1226)=3,ISNUMBER(AV1226))),0,1)+IF(OR(COUNTA(AW1226:AY1226)=0,AND(COUNTA(AW1226:AY1226)=3,ISNUMBER(AY1226))),0,1)+IF(OR(COUNTA(AZ1226:BB1226)=0,AND(COUNTA(AZ1226:BB1226)=3,ISNUMBER(BB1226))),0,1))&gt;0,"; An invoice is incomplete (needs No, Date and a number in Ex GST)","")&amp;IF((IF(T1226="",0,IFERROR(--(EOMONTH(T1226,0)&lt;&gt;S$5),1))+IF(W1226="",0,IFERROR(--(EOMONTH(W1226,0)&lt;&gt;V$5),1))+IF(Z1226="",0,IFERROR(--(EOMONTH(Z1226,0)&lt;&gt;Y$5),1))+IF(AC1226="",0,IFERROR(--(EOMONTH(AC1226,0)&lt;&gt;AB$5),1))+IF(AF1226="",0,IFERROR(--(EOMONTH(AF1226,0)&lt;&gt;AE$5),1))+IF(AI1226="",0,IFERROR(--(EOMONTH(AI1226,0)&lt;&gt;AH$5),1))+IF(AL1226="",0,IFERROR(--(EOMONTH(AL1226,0)&lt;&gt;AK$5),1))+IF(AO1226="",0,IFERROR(--(EOMONTH(AO1226,0)&lt;&gt;AN$5),1))+IF(AR1226="",0,IFERROR(--(EOMONTH(AR1226,0)&lt;&gt;AQ$5),1))+IF(AU1226="",0,IFERROR(--(EOMONTH(AU1226,0)&lt;&gt;AT$5),1))+IF(AX1226="",0,IFERROR(--(EOMONTH(AX1226,0)&lt;&gt;AW$5),1))+IF(BA1226="",0,IFERROR(--(EOMONTH(BA1226,0)&lt;&gt;AZ$5),1)))&gt;0,"; An invoice date is not in the month it is typed under",""),3,500))</f>
        <v/>
      </c>
      <c r="S1226" s="12" t="n"/>
      <c r="T1226" s="13" t="n"/>
      <c r="U1226" s="14" t="n"/>
      <c r="V1226" s="12" t="n"/>
      <c r="W1226" s="13" t="n"/>
      <c r="X1226" s="14" t="n"/>
      <c r="Y1226" s="12" t="n"/>
      <c r="Z1226" s="13" t="n"/>
      <c r="AA1226" s="14" t="n"/>
      <c r="AB1226" s="12" t="n"/>
      <c r="AC1226" s="13" t="n"/>
      <c r="AD1226" s="14" t="n"/>
      <c r="AE1226" s="12" t="n"/>
      <c r="AF1226" s="13" t="n"/>
      <c r="AG1226" s="14" t="n"/>
      <c r="AH1226" s="12" t="n"/>
      <c r="AI1226" s="13" t="n"/>
      <c r="AJ1226" s="14" t="n"/>
      <c r="AK1226" s="12" t="n"/>
      <c r="AL1226" s="13" t="n"/>
      <c r="AM1226" s="14" t="n"/>
      <c r="AN1226" s="12" t="n"/>
      <c r="AO1226" s="13" t="n"/>
      <c r="AP1226" s="14" t="n"/>
      <c r="AQ1226" s="12" t="n"/>
      <c r="AR1226" s="13" t="n"/>
      <c r="AS1226" s="14" t="n"/>
      <c r="AT1226" s="12" t="n"/>
      <c r="AU1226" s="13" t="n"/>
      <c r="AV1226" s="14" t="n"/>
      <c r="AW1226" s="12" t="n"/>
      <c r="AX1226" s="13" t="n"/>
      <c r="AY1226" s="14" t="n"/>
      <c r="AZ1226" s="12" t="n"/>
      <c r="BA1226" s="13" t="n"/>
      <c r="BB1226" s="14" t="n"/>
      <c r="BC1226" s="11">
        <f>IF(O1226="","",IF(J1226="GST 10%",ROUND(O1226*set_GSTRate,2),0))</f>
        <v/>
      </c>
      <c r="BD1226" s="11">
        <f>IF(O1226="","",O1226+BC1226)</f>
        <v/>
      </c>
      <c r="BE1226" s="15">
        <f>IF(O1226="","",COUNTA(S1226,V1226,Y1226,AB1226,AE1226,AH1226,AK1226,AN1226,AQ1226,AT1226,AW1226,AZ1226))</f>
        <v/>
      </c>
      <c r="BF1226" s="16">
        <f>IF(COUNT(T1226,W1226,Z1226,AC1226,AF1226,AI1226,AL1226,AO1226,AR1226,AU1226,AX1226,BA1226)=0,"",MAX(T1226,W1226,Z1226,AC1226,AF1226,AI1226,AL1226,AO1226,AR1226,AU1226,AX1226,BA1226))</f>
        <v/>
      </c>
      <c r="BG1226" s="10">
        <f>MID(IF(S1226="","",", "&amp;S1226)&amp;IF(V1226="","",", "&amp;V1226)&amp;IF(Y1226="","",", "&amp;Y1226)&amp;IF(AB1226="","",", "&amp;AB1226)&amp;IF(AE1226="","",", "&amp;AE1226)&amp;IF(AH1226="","",", "&amp;AH1226)&amp;IF(AK1226="","",", "&amp;AK1226)&amp;IF(AN1226="","",", "&amp;AN1226)&amp;IF(AQ1226="","",", "&amp;AQ1226)&amp;IF(AT1226="","",", "&amp;AT1226)&amp;IF(AW1226="","",", "&amp;AW1226)&amp;IF(AZ1226="","",", "&amp;AZ1226),3,500)</f>
        <v/>
      </c>
      <c r="BH1226" s="12" t="n"/>
      <c r="BI1226" s="15">
        <f>IFERROR(MATCH($A1226,IF($B1226="Onsite",tbl_Onsite[Row ID],IF($B1226="Production",tbl_Production[Row ID],tbl_Consulting[Row ID])),0),"")</f>
        <v/>
      </c>
    </row>
    <row r="1227">
      <c r="A1227" s="10" t="inlineStr">
        <is>
          <t>CON-0221</t>
        </is>
      </c>
      <c r="B1227" s="10" t="inlineStr">
        <is>
          <t>Consulting</t>
        </is>
      </c>
      <c r="C1227" s="10">
        <f>IF($BI1227="","",IF($B1227="Onsite",INDEX(tbl_Onsite[Job Number],$BI1227),IF($B1227="Production",INDEX(tbl_Production[Job Number],$BI1227),INDEX(tbl_Consulting[Job Number],$BI1227)))&amp;"")</f>
        <v/>
      </c>
      <c r="D1227" s="10">
        <f>IF($BI1227="","",IF($B1227="Onsite",INDEX(tbl_Onsite[Client],$BI1227),IF($B1227="Production",INDEX(tbl_Production[Client],$BI1227),INDEX(tbl_Consulting[Client],$BI1227)))&amp;"")</f>
        <v/>
      </c>
      <c r="E1227" s="10">
        <f>IF($C1227="","",IF(COUNTIF(lst_Jobs,$C1227)&gt;0,"OK","CHECK"))</f>
        <v/>
      </c>
      <c r="F1227" s="10">
        <f>IF($C1227="","",IFERROR(INDEX(lst_JobName,MATCH($C1227,lst_Jobs,0)),""))</f>
        <v/>
      </c>
      <c r="G1227" s="10">
        <f>IF($BI1227="","",IF($B1227="Onsite",INDEX(tbl_Onsite[Job Description],$BI1227),IF($B1227="Production",INDEX(tbl_Production[Job Description],$BI1227),INDEX(tbl_Consulting[Job Description],$BI1227)))&amp;"")</f>
        <v/>
      </c>
      <c r="H1227" s="10">
        <f>IF($BI1227="","",IF($B1227="Onsite",INDEX(tbl_Onsite[Cost Centre],$BI1227),IF($B1227="Production",INDEX(tbl_Production[Cost Centre],$BI1227),INDEX(tbl_Consulting[Cost Centre],$BI1227)))&amp;"")</f>
        <v/>
      </c>
      <c r="I1227" s="10">
        <f>IF($BI1227="","",IF($B1227="Onsite",INDEX(tbl_Onsite[Invoice Type],$BI1227),IF($B1227="Production",INDEX(tbl_Production[Invoice Type],$BI1227),INDEX(tbl_Consulting[Invoice Type],$BI1227)))&amp;"")</f>
        <v/>
      </c>
      <c r="J1227" s="10">
        <f>IF($BI1227="","",IF($B1227="Onsite",INDEX(tbl_Onsite[Tax Code],$BI1227),IF($B1227="Production",INDEX(tbl_Production[Tax Code],$BI1227),INDEX(tbl_Consulting[Tax Code],$BI1227)))&amp;"")</f>
        <v/>
      </c>
      <c r="K1227" s="10">
        <f>IF(H1227="","",IFERROR(INDEX(lst_CCtoGL,MATCH(H1227,lst_CCforGL,0)),""))</f>
        <v/>
      </c>
      <c r="L1227" s="10">
        <f>IF($BI1227="","",IF($B1227="Onsite",INDEX(tbl_Onsite[PO / Reference],$BI1227),IF($B1227="Production",INDEX(tbl_Production[Current RMS No],$BI1227),INDEX(tbl_Consulting[Qwilr Quote],$BI1227)))&amp;"")</f>
        <v/>
      </c>
      <c r="M1227" s="10">
        <f>IF($BI1227="","",IF($B1227="Onsite",INDEX(tbl_Onsite[Notes],$BI1227),IF($B1227="Production",INDEX(tbl_Production[Notes],$BI1227),INDEX(tbl_Consulting[Notes],$BI1227)))&amp;"")</f>
        <v/>
      </c>
      <c r="N1227" s="11">
        <f>IF($BI1227="","",IF(IF($B1227="Onsite",INDEX(tbl_Onsite[Expected Revenue Ex GST],$BI1227),IF($B1227="Production",INDEX(tbl_Production[Expected Revenue Ex GST],$BI1227),INDEX(tbl_Consulting[Expected Revenue Ex GST],$BI1227)))="","",IF($B1227="Onsite",INDEX(tbl_Onsite[Expected Revenue Ex GST],$BI1227),IF($B1227="Production",INDEX(tbl_Production[Expected Revenue Ex GST],$BI1227),INDEX(tbl_Consulting[Expected Revenue Ex GST],$BI1227)))))</f>
        <v/>
      </c>
      <c r="O1227" s="11">
        <f>IF(AND($C1227="",NOT(COUNTA($S1227:$BB1227)&gt;0)),"",SUM(U1227,X1227,AA1227,AD1227,AG1227,AJ1227,AM1227,AP1227,AS1227,AV1227,AY1227,BB1227))</f>
        <v/>
      </c>
      <c r="P1227" s="11">
        <f>IF(O1227="","",N(N1227)-O1227)</f>
        <v/>
      </c>
      <c r="Q1227" s="10">
        <f>IF(O1227="","",IF($C1227="","Invoice on empty job row",IF(N1227="",IF(ROUND(O1227,2)=0,"No dept value","Invoiced - no dept value"),IF(ROUND(O1227,2)=0,"Not invoiced - to invoice",IF(ROUND(P1227,2)=0,"Agrees",IF(P1227&gt;0,"Dept higher - to invoice","Xero higher - check dept"))))))</f>
        <v/>
      </c>
      <c r="R1227" s="10">
        <f>IF(AND($C1227="",NOT(COUNTA($S1227:$BB1227)&gt;0),$BI1227&lt;&gt;""),"",MID(IF($BI1227="","; Row ID not found on the department sheet - a row was deleted","")&amp;IF(AND($C1227="",COUNTA($S1227:$BB1227)&gt;0),"; Invoice entered but the department row has no job number","")&amp;IF(E1227="CHECK","; Job number not in the Xero job list","")&amp;IF(AND($C1227&lt;&gt;"",COUNTIF($C$7:$C$1506,$C1227)&gt;1),"; Job number on more than one row","")&amp;IF(AND($C1227&lt;&gt;"",H1227=""),"; Dept has not set a cost centre","")&amp;IF(AND($C1227&lt;&gt;"",J1227=""),"; Dept has not set a tax code","")&amp;IF(AND($C1227&lt;&gt;"",N1227=""),"; Dept has not entered an expected value","")&amp;IF((IF(OR(COUNTA(S1227:U1227)=0,AND(COUNTA(S1227:U1227)=3,ISNUMBER(U1227))),0,1)+IF(OR(COUNTA(V1227:X1227)=0,AND(COUNTA(V1227:X1227)=3,ISNUMBER(X1227))),0,1)+IF(OR(COUNTA(Y1227:AA1227)=0,AND(COUNTA(Y1227:AA1227)=3,ISNUMBER(AA1227))),0,1)+IF(OR(COUNTA(AB1227:AD1227)=0,AND(COUNTA(AB1227:AD1227)=3,ISNUMBER(AD1227))),0,1)+IF(OR(COUNTA(AE1227:AG1227)=0,AND(COUNTA(AE1227:AG1227)=3,ISNUMBER(AG1227))),0,1)+IF(OR(COUNTA(AH1227:AJ1227)=0,AND(COUNTA(AH1227:AJ1227)=3,ISNUMBER(AJ1227))),0,1)+IF(OR(COUNTA(AK1227:AM1227)=0,AND(COUNTA(AK1227:AM1227)=3,ISNUMBER(AM1227))),0,1)+IF(OR(COUNTA(AN1227:AP1227)=0,AND(COUNTA(AN1227:AP1227)=3,ISNUMBER(AP1227))),0,1)+IF(OR(COUNTA(AQ1227:AS1227)=0,AND(COUNTA(AQ1227:AS1227)=3,ISNUMBER(AS1227))),0,1)+IF(OR(COUNTA(AT1227:AV1227)=0,AND(COUNTA(AT1227:AV1227)=3,ISNUMBER(AV1227))),0,1)+IF(OR(COUNTA(AW1227:AY1227)=0,AND(COUNTA(AW1227:AY1227)=3,ISNUMBER(AY1227))),0,1)+IF(OR(COUNTA(AZ1227:BB1227)=0,AND(COUNTA(AZ1227:BB1227)=3,ISNUMBER(BB1227))),0,1))&gt;0,"; An invoice is incomplete (needs No, Date and a number in Ex GST)","")&amp;IF((IF(T1227="",0,IFERROR(--(EOMONTH(T1227,0)&lt;&gt;S$5),1))+IF(W1227="",0,IFERROR(--(EOMONTH(W1227,0)&lt;&gt;V$5),1))+IF(Z1227="",0,IFERROR(--(EOMONTH(Z1227,0)&lt;&gt;Y$5),1))+IF(AC1227="",0,IFERROR(--(EOMONTH(AC1227,0)&lt;&gt;AB$5),1))+IF(AF1227="",0,IFERROR(--(EOMONTH(AF1227,0)&lt;&gt;AE$5),1))+IF(AI1227="",0,IFERROR(--(EOMONTH(AI1227,0)&lt;&gt;AH$5),1))+IF(AL1227="",0,IFERROR(--(EOMONTH(AL1227,0)&lt;&gt;AK$5),1))+IF(AO1227="",0,IFERROR(--(EOMONTH(AO1227,0)&lt;&gt;AN$5),1))+IF(AR1227="",0,IFERROR(--(EOMONTH(AR1227,0)&lt;&gt;AQ$5),1))+IF(AU1227="",0,IFERROR(--(EOMONTH(AU1227,0)&lt;&gt;AT$5),1))+IF(AX1227="",0,IFERROR(--(EOMONTH(AX1227,0)&lt;&gt;AW$5),1))+IF(BA1227="",0,IFERROR(--(EOMONTH(BA1227,0)&lt;&gt;AZ$5),1)))&gt;0,"; An invoice date is not in the month it is typed under",""),3,500))</f>
        <v/>
      </c>
      <c r="S1227" s="12" t="n"/>
      <c r="T1227" s="13" t="n"/>
      <c r="U1227" s="14" t="n"/>
      <c r="V1227" s="12" t="n"/>
      <c r="W1227" s="13" t="n"/>
      <c r="X1227" s="14" t="n"/>
      <c r="Y1227" s="12" t="n"/>
      <c r="Z1227" s="13" t="n"/>
      <c r="AA1227" s="14" t="n"/>
      <c r="AB1227" s="12" t="n"/>
      <c r="AC1227" s="13" t="n"/>
      <c r="AD1227" s="14" t="n"/>
      <c r="AE1227" s="12" t="n"/>
      <c r="AF1227" s="13" t="n"/>
      <c r="AG1227" s="14" t="n"/>
      <c r="AH1227" s="12" t="n"/>
      <c r="AI1227" s="13" t="n"/>
      <c r="AJ1227" s="14" t="n"/>
      <c r="AK1227" s="12" t="n"/>
      <c r="AL1227" s="13" t="n"/>
      <c r="AM1227" s="14" t="n"/>
      <c r="AN1227" s="12" t="n"/>
      <c r="AO1227" s="13" t="n"/>
      <c r="AP1227" s="14" t="n"/>
      <c r="AQ1227" s="12" t="n"/>
      <c r="AR1227" s="13" t="n"/>
      <c r="AS1227" s="14" t="n"/>
      <c r="AT1227" s="12" t="n"/>
      <c r="AU1227" s="13" t="n"/>
      <c r="AV1227" s="14" t="n"/>
      <c r="AW1227" s="12" t="n"/>
      <c r="AX1227" s="13" t="n"/>
      <c r="AY1227" s="14" t="n"/>
      <c r="AZ1227" s="12" t="n"/>
      <c r="BA1227" s="13" t="n"/>
      <c r="BB1227" s="14" t="n"/>
      <c r="BC1227" s="11">
        <f>IF(O1227="","",IF(J1227="GST 10%",ROUND(O1227*set_GSTRate,2),0))</f>
        <v/>
      </c>
      <c r="BD1227" s="11">
        <f>IF(O1227="","",O1227+BC1227)</f>
        <v/>
      </c>
      <c r="BE1227" s="15">
        <f>IF(O1227="","",COUNTA(S1227,V1227,Y1227,AB1227,AE1227,AH1227,AK1227,AN1227,AQ1227,AT1227,AW1227,AZ1227))</f>
        <v/>
      </c>
      <c r="BF1227" s="16">
        <f>IF(COUNT(T1227,W1227,Z1227,AC1227,AF1227,AI1227,AL1227,AO1227,AR1227,AU1227,AX1227,BA1227)=0,"",MAX(T1227,W1227,Z1227,AC1227,AF1227,AI1227,AL1227,AO1227,AR1227,AU1227,AX1227,BA1227))</f>
        <v/>
      </c>
      <c r="BG1227" s="10">
        <f>MID(IF(S1227="","",", "&amp;S1227)&amp;IF(V1227="","",", "&amp;V1227)&amp;IF(Y1227="","",", "&amp;Y1227)&amp;IF(AB1227="","",", "&amp;AB1227)&amp;IF(AE1227="","",", "&amp;AE1227)&amp;IF(AH1227="","",", "&amp;AH1227)&amp;IF(AK1227="","",", "&amp;AK1227)&amp;IF(AN1227="","",", "&amp;AN1227)&amp;IF(AQ1227="","",", "&amp;AQ1227)&amp;IF(AT1227="","",", "&amp;AT1227)&amp;IF(AW1227="","",", "&amp;AW1227)&amp;IF(AZ1227="","",", "&amp;AZ1227),3,500)</f>
        <v/>
      </c>
      <c r="BH1227" s="12" t="n"/>
      <c r="BI1227" s="15">
        <f>IFERROR(MATCH($A1227,IF($B1227="Onsite",tbl_Onsite[Row ID],IF($B1227="Production",tbl_Production[Row ID],tbl_Consulting[Row ID])),0),"")</f>
        <v/>
      </c>
    </row>
    <row r="1228">
      <c r="A1228" s="10" t="inlineStr">
        <is>
          <t>CON-0222</t>
        </is>
      </c>
      <c r="B1228" s="10" t="inlineStr">
        <is>
          <t>Consulting</t>
        </is>
      </c>
      <c r="C1228" s="10">
        <f>IF($BI1228="","",IF($B1228="Onsite",INDEX(tbl_Onsite[Job Number],$BI1228),IF($B1228="Production",INDEX(tbl_Production[Job Number],$BI1228),INDEX(tbl_Consulting[Job Number],$BI1228)))&amp;"")</f>
        <v/>
      </c>
      <c r="D1228" s="10">
        <f>IF($BI1228="","",IF($B1228="Onsite",INDEX(tbl_Onsite[Client],$BI1228),IF($B1228="Production",INDEX(tbl_Production[Client],$BI1228),INDEX(tbl_Consulting[Client],$BI1228)))&amp;"")</f>
        <v/>
      </c>
      <c r="E1228" s="10">
        <f>IF($C1228="","",IF(COUNTIF(lst_Jobs,$C1228)&gt;0,"OK","CHECK"))</f>
        <v/>
      </c>
      <c r="F1228" s="10">
        <f>IF($C1228="","",IFERROR(INDEX(lst_JobName,MATCH($C1228,lst_Jobs,0)),""))</f>
        <v/>
      </c>
      <c r="G1228" s="10">
        <f>IF($BI1228="","",IF($B1228="Onsite",INDEX(tbl_Onsite[Job Description],$BI1228),IF($B1228="Production",INDEX(tbl_Production[Job Description],$BI1228),INDEX(tbl_Consulting[Job Description],$BI1228)))&amp;"")</f>
        <v/>
      </c>
      <c r="H1228" s="10">
        <f>IF($BI1228="","",IF($B1228="Onsite",INDEX(tbl_Onsite[Cost Centre],$BI1228),IF($B1228="Production",INDEX(tbl_Production[Cost Centre],$BI1228),INDEX(tbl_Consulting[Cost Centre],$BI1228)))&amp;"")</f>
        <v/>
      </c>
      <c r="I1228" s="10">
        <f>IF($BI1228="","",IF($B1228="Onsite",INDEX(tbl_Onsite[Invoice Type],$BI1228),IF($B1228="Production",INDEX(tbl_Production[Invoice Type],$BI1228),INDEX(tbl_Consulting[Invoice Type],$BI1228)))&amp;"")</f>
        <v/>
      </c>
      <c r="J1228" s="10">
        <f>IF($BI1228="","",IF($B1228="Onsite",INDEX(tbl_Onsite[Tax Code],$BI1228),IF($B1228="Production",INDEX(tbl_Production[Tax Code],$BI1228),INDEX(tbl_Consulting[Tax Code],$BI1228)))&amp;"")</f>
        <v/>
      </c>
      <c r="K1228" s="10">
        <f>IF(H1228="","",IFERROR(INDEX(lst_CCtoGL,MATCH(H1228,lst_CCforGL,0)),""))</f>
        <v/>
      </c>
      <c r="L1228" s="10">
        <f>IF($BI1228="","",IF($B1228="Onsite",INDEX(tbl_Onsite[PO / Reference],$BI1228),IF($B1228="Production",INDEX(tbl_Production[Current RMS No],$BI1228),INDEX(tbl_Consulting[Qwilr Quote],$BI1228)))&amp;"")</f>
        <v/>
      </c>
      <c r="M1228" s="10">
        <f>IF($BI1228="","",IF($B1228="Onsite",INDEX(tbl_Onsite[Notes],$BI1228),IF($B1228="Production",INDEX(tbl_Production[Notes],$BI1228),INDEX(tbl_Consulting[Notes],$BI1228)))&amp;"")</f>
        <v/>
      </c>
      <c r="N1228" s="11">
        <f>IF($BI1228="","",IF(IF($B1228="Onsite",INDEX(tbl_Onsite[Expected Revenue Ex GST],$BI1228),IF($B1228="Production",INDEX(tbl_Production[Expected Revenue Ex GST],$BI1228),INDEX(tbl_Consulting[Expected Revenue Ex GST],$BI1228)))="","",IF($B1228="Onsite",INDEX(tbl_Onsite[Expected Revenue Ex GST],$BI1228),IF($B1228="Production",INDEX(tbl_Production[Expected Revenue Ex GST],$BI1228),INDEX(tbl_Consulting[Expected Revenue Ex GST],$BI1228)))))</f>
        <v/>
      </c>
      <c r="O1228" s="11">
        <f>IF(AND($C1228="",NOT(COUNTA($S1228:$BB1228)&gt;0)),"",SUM(U1228,X1228,AA1228,AD1228,AG1228,AJ1228,AM1228,AP1228,AS1228,AV1228,AY1228,BB1228))</f>
        <v/>
      </c>
      <c r="P1228" s="11">
        <f>IF(O1228="","",N(N1228)-O1228)</f>
        <v/>
      </c>
      <c r="Q1228" s="10">
        <f>IF(O1228="","",IF($C1228="","Invoice on empty job row",IF(N1228="",IF(ROUND(O1228,2)=0,"No dept value","Invoiced - no dept value"),IF(ROUND(O1228,2)=0,"Not invoiced - to invoice",IF(ROUND(P1228,2)=0,"Agrees",IF(P1228&gt;0,"Dept higher - to invoice","Xero higher - check dept"))))))</f>
        <v/>
      </c>
      <c r="R1228" s="10">
        <f>IF(AND($C1228="",NOT(COUNTA($S1228:$BB1228)&gt;0),$BI1228&lt;&gt;""),"",MID(IF($BI1228="","; Row ID not found on the department sheet - a row was deleted","")&amp;IF(AND($C1228="",COUNTA($S1228:$BB1228)&gt;0),"; Invoice entered but the department row has no job number","")&amp;IF(E1228="CHECK","; Job number not in the Xero job list","")&amp;IF(AND($C1228&lt;&gt;"",COUNTIF($C$7:$C$1506,$C1228)&gt;1),"; Job number on more than one row","")&amp;IF(AND($C1228&lt;&gt;"",H1228=""),"; Dept has not set a cost centre","")&amp;IF(AND($C1228&lt;&gt;"",J1228=""),"; Dept has not set a tax code","")&amp;IF(AND($C1228&lt;&gt;"",N1228=""),"; Dept has not entered an expected value","")&amp;IF((IF(OR(COUNTA(S1228:U1228)=0,AND(COUNTA(S1228:U1228)=3,ISNUMBER(U1228))),0,1)+IF(OR(COUNTA(V1228:X1228)=0,AND(COUNTA(V1228:X1228)=3,ISNUMBER(X1228))),0,1)+IF(OR(COUNTA(Y1228:AA1228)=0,AND(COUNTA(Y1228:AA1228)=3,ISNUMBER(AA1228))),0,1)+IF(OR(COUNTA(AB1228:AD1228)=0,AND(COUNTA(AB1228:AD1228)=3,ISNUMBER(AD1228))),0,1)+IF(OR(COUNTA(AE1228:AG1228)=0,AND(COUNTA(AE1228:AG1228)=3,ISNUMBER(AG1228))),0,1)+IF(OR(COUNTA(AH1228:AJ1228)=0,AND(COUNTA(AH1228:AJ1228)=3,ISNUMBER(AJ1228))),0,1)+IF(OR(COUNTA(AK1228:AM1228)=0,AND(COUNTA(AK1228:AM1228)=3,ISNUMBER(AM1228))),0,1)+IF(OR(COUNTA(AN1228:AP1228)=0,AND(COUNTA(AN1228:AP1228)=3,ISNUMBER(AP1228))),0,1)+IF(OR(COUNTA(AQ1228:AS1228)=0,AND(COUNTA(AQ1228:AS1228)=3,ISNUMBER(AS1228))),0,1)+IF(OR(COUNTA(AT1228:AV1228)=0,AND(COUNTA(AT1228:AV1228)=3,ISNUMBER(AV1228))),0,1)+IF(OR(COUNTA(AW1228:AY1228)=0,AND(COUNTA(AW1228:AY1228)=3,ISNUMBER(AY1228))),0,1)+IF(OR(COUNTA(AZ1228:BB1228)=0,AND(COUNTA(AZ1228:BB1228)=3,ISNUMBER(BB1228))),0,1))&gt;0,"; An invoice is incomplete (needs No, Date and a number in Ex GST)","")&amp;IF((IF(T1228="",0,IFERROR(--(EOMONTH(T1228,0)&lt;&gt;S$5),1))+IF(W1228="",0,IFERROR(--(EOMONTH(W1228,0)&lt;&gt;V$5),1))+IF(Z1228="",0,IFERROR(--(EOMONTH(Z1228,0)&lt;&gt;Y$5),1))+IF(AC1228="",0,IFERROR(--(EOMONTH(AC1228,0)&lt;&gt;AB$5),1))+IF(AF1228="",0,IFERROR(--(EOMONTH(AF1228,0)&lt;&gt;AE$5),1))+IF(AI1228="",0,IFERROR(--(EOMONTH(AI1228,0)&lt;&gt;AH$5),1))+IF(AL1228="",0,IFERROR(--(EOMONTH(AL1228,0)&lt;&gt;AK$5),1))+IF(AO1228="",0,IFERROR(--(EOMONTH(AO1228,0)&lt;&gt;AN$5),1))+IF(AR1228="",0,IFERROR(--(EOMONTH(AR1228,0)&lt;&gt;AQ$5),1))+IF(AU1228="",0,IFERROR(--(EOMONTH(AU1228,0)&lt;&gt;AT$5),1))+IF(AX1228="",0,IFERROR(--(EOMONTH(AX1228,0)&lt;&gt;AW$5),1))+IF(BA1228="",0,IFERROR(--(EOMONTH(BA1228,0)&lt;&gt;AZ$5),1)))&gt;0,"; An invoice date is not in the month it is typed under",""),3,500))</f>
        <v/>
      </c>
      <c r="S1228" s="12" t="n"/>
      <c r="T1228" s="13" t="n"/>
      <c r="U1228" s="14" t="n"/>
      <c r="V1228" s="12" t="n"/>
      <c r="W1228" s="13" t="n"/>
      <c r="X1228" s="14" t="n"/>
      <c r="Y1228" s="12" t="n"/>
      <c r="Z1228" s="13" t="n"/>
      <c r="AA1228" s="14" t="n"/>
      <c r="AB1228" s="12" t="n"/>
      <c r="AC1228" s="13" t="n"/>
      <c r="AD1228" s="14" t="n"/>
      <c r="AE1228" s="12" t="n"/>
      <c r="AF1228" s="13" t="n"/>
      <c r="AG1228" s="14" t="n"/>
      <c r="AH1228" s="12" t="n"/>
      <c r="AI1228" s="13" t="n"/>
      <c r="AJ1228" s="14" t="n"/>
      <c r="AK1228" s="12" t="n"/>
      <c r="AL1228" s="13" t="n"/>
      <c r="AM1228" s="14" t="n"/>
      <c r="AN1228" s="12" t="n"/>
      <c r="AO1228" s="13" t="n"/>
      <c r="AP1228" s="14" t="n"/>
      <c r="AQ1228" s="12" t="n"/>
      <c r="AR1228" s="13" t="n"/>
      <c r="AS1228" s="14" t="n"/>
      <c r="AT1228" s="12" t="n"/>
      <c r="AU1228" s="13" t="n"/>
      <c r="AV1228" s="14" t="n"/>
      <c r="AW1228" s="12" t="n"/>
      <c r="AX1228" s="13" t="n"/>
      <c r="AY1228" s="14" t="n"/>
      <c r="AZ1228" s="12" t="n"/>
      <c r="BA1228" s="13" t="n"/>
      <c r="BB1228" s="14" t="n"/>
      <c r="BC1228" s="11">
        <f>IF(O1228="","",IF(J1228="GST 10%",ROUND(O1228*set_GSTRate,2),0))</f>
        <v/>
      </c>
      <c r="BD1228" s="11">
        <f>IF(O1228="","",O1228+BC1228)</f>
        <v/>
      </c>
      <c r="BE1228" s="15">
        <f>IF(O1228="","",COUNTA(S1228,V1228,Y1228,AB1228,AE1228,AH1228,AK1228,AN1228,AQ1228,AT1228,AW1228,AZ1228))</f>
        <v/>
      </c>
      <c r="BF1228" s="16">
        <f>IF(COUNT(T1228,W1228,Z1228,AC1228,AF1228,AI1228,AL1228,AO1228,AR1228,AU1228,AX1228,BA1228)=0,"",MAX(T1228,W1228,Z1228,AC1228,AF1228,AI1228,AL1228,AO1228,AR1228,AU1228,AX1228,BA1228))</f>
        <v/>
      </c>
      <c r="BG1228" s="10">
        <f>MID(IF(S1228="","",", "&amp;S1228)&amp;IF(V1228="","",", "&amp;V1228)&amp;IF(Y1228="","",", "&amp;Y1228)&amp;IF(AB1228="","",", "&amp;AB1228)&amp;IF(AE1228="","",", "&amp;AE1228)&amp;IF(AH1228="","",", "&amp;AH1228)&amp;IF(AK1228="","",", "&amp;AK1228)&amp;IF(AN1228="","",", "&amp;AN1228)&amp;IF(AQ1228="","",", "&amp;AQ1228)&amp;IF(AT1228="","",", "&amp;AT1228)&amp;IF(AW1228="","",", "&amp;AW1228)&amp;IF(AZ1228="","",", "&amp;AZ1228),3,500)</f>
        <v/>
      </c>
      <c r="BH1228" s="12" t="n"/>
      <c r="BI1228" s="15">
        <f>IFERROR(MATCH($A1228,IF($B1228="Onsite",tbl_Onsite[Row ID],IF($B1228="Production",tbl_Production[Row ID],tbl_Consulting[Row ID])),0),"")</f>
        <v/>
      </c>
    </row>
    <row r="1229">
      <c r="A1229" s="10" t="inlineStr">
        <is>
          <t>CON-0223</t>
        </is>
      </c>
      <c r="B1229" s="10" t="inlineStr">
        <is>
          <t>Consulting</t>
        </is>
      </c>
      <c r="C1229" s="10">
        <f>IF($BI1229="","",IF($B1229="Onsite",INDEX(tbl_Onsite[Job Number],$BI1229),IF($B1229="Production",INDEX(tbl_Production[Job Number],$BI1229),INDEX(tbl_Consulting[Job Number],$BI1229)))&amp;"")</f>
        <v/>
      </c>
      <c r="D1229" s="10">
        <f>IF($BI1229="","",IF($B1229="Onsite",INDEX(tbl_Onsite[Client],$BI1229),IF($B1229="Production",INDEX(tbl_Production[Client],$BI1229),INDEX(tbl_Consulting[Client],$BI1229)))&amp;"")</f>
        <v/>
      </c>
      <c r="E1229" s="10">
        <f>IF($C1229="","",IF(COUNTIF(lst_Jobs,$C1229)&gt;0,"OK","CHECK"))</f>
        <v/>
      </c>
      <c r="F1229" s="10">
        <f>IF($C1229="","",IFERROR(INDEX(lst_JobName,MATCH($C1229,lst_Jobs,0)),""))</f>
        <v/>
      </c>
      <c r="G1229" s="10">
        <f>IF($BI1229="","",IF($B1229="Onsite",INDEX(tbl_Onsite[Job Description],$BI1229),IF($B1229="Production",INDEX(tbl_Production[Job Description],$BI1229),INDEX(tbl_Consulting[Job Description],$BI1229)))&amp;"")</f>
        <v/>
      </c>
      <c r="H1229" s="10">
        <f>IF($BI1229="","",IF($B1229="Onsite",INDEX(tbl_Onsite[Cost Centre],$BI1229),IF($B1229="Production",INDEX(tbl_Production[Cost Centre],$BI1229),INDEX(tbl_Consulting[Cost Centre],$BI1229)))&amp;"")</f>
        <v/>
      </c>
      <c r="I1229" s="10">
        <f>IF($BI1229="","",IF($B1229="Onsite",INDEX(tbl_Onsite[Invoice Type],$BI1229),IF($B1229="Production",INDEX(tbl_Production[Invoice Type],$BI1229),INDEX(tbl_Consulting[Invoice Type],$BI1229)))&amp;"")</f>
        <v/>
      </c>
      <c r="J1229" s="10">
        <f>IF($BI1229="","",IF($B1229="Onsite",INDEX(tbl_Onsite[Tax Code],$BI1229),IF($B1229="Production",INDEX(tbl_Production[Tax Code],$BI1229),INDEX(tbl_Consulting[Tax Code],$BI1229)))&amp;"")</f>
        <v/>
      </c>
      <c r="K1229" s="10">
        <f>IF(H1229="","",IFERROR(INDEX(lst_CCtoGL,MATCH(H1229,lst_CCforGL,0)),""))</f>
        <v/>
      </c>
      <c r="L1229" s="10">
        <f>IF($BI1229="","",IF($B1229="Onsite",INDEX(tbl_Onsite[PO / Reference],$BI1229),IF($B1229="Production",INDEX(tbl_Production[Current RMS No],$BI1229),INDEX(tbl_Consulting[Qwilr Quote],$BI1229)))&amp;"")</f>
        <v/>
      </c>
      <c r="M1229" s="10">
        <f>IF($BI1229="","",IF($B1229="Onsite",INDEX(tbl_Onsite[Notes],$BI1229),IF($B1229="Production",INDEX(tbl_Production[Notes],$BI1229),INDEX(tbl_Consulting[Notes],$BI1229)))&amp;"")</f>
        <v/>
      </c>
      <c r="N1229" s="11">
        <f>IF($BI1229="","",IF(IF($B1229="Onsite",INDEX(tbl_Onsite[Expected Revenue Ex GST],$BI1229),IF($B1229="Production",INDEX(tbl_Production[Expected Revenue Ex GST],$BI1229),INDEX(tbl_Consulting[Expected Revenue Ex GST],$BI1229)))="","",IF($B1229="Onsite",INDEX(tbl_Onsite[Expected Revenue Ex GST],$BI1229),IF($B1229="Production",INDEX(tbl_Production[Expected Revenue Ex GST],$BI1229),INDEX(tbl_Consulting[Expected Revenue Ex GST],$BI1229)))))</f>
        <v/>
      </c>
      <c r="O1229" s="11">
        <f>IF(AND($C1229="",NOT(COUNTA($S1229:$BB1229)&gt;0)),"",SUM(U1229,X1229,AA1229,AD1229,AG1229,AJ1229,AM1229,AP1229,AS1229,AV1229,AY1229,BB1229))</f>
        <v/>
      </c>
      <c r="P1229" s="11">
        <f>IF(O1229="","",N(N1229)-O1229)</f>
        <v/>
      </c>
      <c r="Q1229" s="10">
        <f>IF(O1229="","",IF($C1229="","Invoice on empty job row",IF(N1229="",IF(ROUND(O1229,2)=0,"No dept value","Invoiced - no dept value"),IF(ROUND(O1229,2)=0,"Not invoiced - to invoice",IF(ROUND(P1229,2)=0,"Agrees",IF(P1229&gt;0,"Dept higher - to invoice","Xero higher - check dept"))))))</f>
        <v/>
      </c>
      <c r="R1229" s="10">
        <f>IF(AND($C1229="",NOT(COUNTA($S1229:$BB1229)&gt;0),$BI1229&lt;&gt;""),"",MID(IF($BI1229="","; Row ID not found on the department sheet - a row was deleted","")&amp;IF(AND($C1229="",COUNTA($S1229:$BB1229)&gt;0),"; Invoice entered but the department row has no job number","")&amp;IF(E1229="CHECK","; Job number not in the Xero job list","")&amp;IF(AND($C1229&lt;&gt;"",COUNTIF($C$7:$C$1506,$C1229)&gt;1),"; Job number on more than one row","")&amp;IF(AND($C1229&lt;&gt;"",H1229=""),"; Dept has not set a cost centre","")&amp;IF(AND($C1229&lt;&gt;"",J1229=""),"; Dept has not set a tax code","")&amp;IF(AND($C1229&lt;&gt;"",N1229=""),"; Dept has not entered an expected value","")&amp;IF((IF(OR(COUNTA(S1229:U1229)=0,AND(COUNTA(S1229:U1229)=3,ISNUMBER(U1229))),0,1)+IF(OR(COUNTA(V1229:X1229)=0,AND(COUNTA(V1229:X1229)=3,ISNUMBER(X1229))),0,1)+IF(OR(COUNTA(Y1229:AA1229)=0,AND(COUNTA(Y1229:AA1229)=3,ISNUMBER(AA1229))),0,1)+IF(OR(COUNTA(AB1229:AD1229)=0,AND(COUNTA(AB1229:AD1229)=3,ISNUMBER(AD1229))),0,1)+IF(OR(COUNTA(AE1229:AG1229)=0,AND(COUNTA(AE1229:AG1229)=3,ISNUMBER(AG1229))),0,1)+IF(OR(COUNTA(AH1229:AJ1229)=0,AND(COUNTA(AH1229:AJ1229)=3,ISNUMBER(AJ1229))),0,1)+IF(OR(COUNTA(AK1229:AM1229)=0,AND(COUNTA(AK1229:AM1229)=3,ISNUMBER(AM1229))),0,1)+IF(OR(COUNTA(AN1229:AP1229)=0,AND(COUNTA(AN1229:AP1229)=3,ISNUMBER(AP1229))),0,1)+IF(OR(COUNTA(AQ1229:AS1229)=0,AND(COUNTA(AQ1229:AS1229)=3,ISNUMBER(AS1229))),0,1)+IF(OR(COUNTA(AT1229:AV1229)=0,AND(COUNTA(AT1229:AV1229)=3,ISNUMBER(AV1229))),0,1)+IF(OR(COUNTA(AW1229:AY1229)=0,AND(COUNTA(AW1229:AY1229)=3,ISNUMBER(AY1229))),0,1)+IF(OR(COUNTA(AZ1229:BB1229)=0,AND(COUNTA(AZ1229:BB1229)=3,ISNUMBER(BB1229))),0,1))&gt;0,"; An invoice is incomplete (needs No, Date and a number in Ex GST)","")&amp;IF((IF(T1229="",0,IFERROR(--(EOMONTH(T1229,0)&lt;&gt;S$5),1))+IF(W1229="",0,IFERROR(--(EOMONTH(W1229,0)&lt;&gt;V$5),1))+IF(Z1229="",0,IFERROR(--(EOMONTH(Z1229,0)&lt;&gt;Y$5),1))+IF(AC1229="",0,IFERROR(--(EOMONTH(AC1229,0)&lt;&gt;AB$5),1))+IF(AF1229="",0,IFERROR(--(EOMONTH(AF1229,0)&lt;&gt;AE$5),1))+IF(AI1229="",0,IFERROR(--(EOMONTH(AI1229,0)&lt;&gt;AH$5),1))+IF(AL1229="",0,IFERROR(--(EOMONTH(AL1229,0)&lt;&gt;AK$5),1))+IF(AO1229="",0,IFERROR(--(EOMONTH(AO1229,0)&lt;&gt;AN$5),1))+IF(AR1229="",0,IFERROR(--(EOMONTH(AR1229,0)&lt;&gt;AQ$5),1))+IF(AU1229="",0,IFERROR(--(EOMONTH(AU1229,0)&lt;&gt;AT$5),1))+IF(AX1229="",0,IFERROR(--(EOMONTH(AX1229,0)&lt;&gt;AW$5),1))+IF(BA1229="",0,IFERROR(--(EOMONTH(BA1229,0)&lt;&gt;AZ$5),1)))&gt;0,"; An invoice date is not in the month it is typed under",""),3,500))</f>
        <v/>
      </c>
      <c r="S1229" s="12" t="n"/>
      <c r="T1229" s="13" t="n"/>
      <c r="U1229" s="14" t="n"/>
      <c r="V1229" s="12" t="n"/>
      <c r="W1229" s="13" t="n"/>
      <c r="X1229" s="14" t="n"/>
      <c r="Y1229" s="12" t="n"/>
      <c r="Z1229" s="13" t="n"/>
      <c r="AA1229" s="14" t="n"/>
      <c r="AB1229" s="12" t="n"/>
      <c r="AC1229" s="13" t="n"/>
      <c r="AD1229" s="14" t="n"/>
      <c r="AE1229" s="12" t="n"/>
      <c r="AF1229" s="13" t="n"/>
      <c r="AG1229" s="14" t="n"/>
      <c r="AH1229" s="12" t="n"/>
      <c r="AI1229" s="13" t="n"/>
      <c r="AJ1229" s="14" t="n"/>
      <c r="AK1229" s="12" t="n"/>
      <c r="AL1229" s="13" t="n"/>
      <c r="AM1229" s="14" t="n"/>
      <c r="AN1229" s="12" t="n"/>
      <c r="AO1229" s="13" t="n"/>
      <c r="AP1229" s="14" t="n"/>
      <c r="AQ1229" s="12" t="n"/>
      <c r="AR1229" s="13" t="n"/>
      <c r="AS1229" s="14" t="n"/>
      <c r="AT1229" s="12" t="n"/>
      <c r="AU1229" s="13" t="n"/>
      <c r="AV1229" s="14" t="n"/>
      <c r="AW1229" s="12" t="n"/>
      <c r="AX1229" s="13" t="n"/>
      <c r="AY1229" s="14" t="n"/>
      <c r="AZ1229" s="12" t="n"/>
      <c r="BA1229" s="13" t="n"/>
      <c r="BB1229" s="14" t="n"/>
      <c r="BC1229" s="11">
        <f>IF(O1229="","",IF(J1229="GST 10%",ROUND(O1229*set_GSTRate,2),0))</f>
        <v/>
      </c>
      <c r="BD1229" s="11">
        <f>IF(O1229="","",O1229+BC1229)</f>
        <v/>
      </c>
      <c r="BE1229" s="15">
        <f>IF(O1229="","",COUNTA(S1229,V1229,Y1229,AB1229,AE1229,AH1229,AK1229,AN1229,AQ1229,AT1229,AW1229,AZ1229))</f>
        <v/>
      </c>
      <c r="BF1229" s="16">
        <f>IF(COUNT(T1229,W1229,Z1229,AC1229,AF1229,AI1229,AL1229,AO1229,AR1229,AU1229,AX1229,BA1229)=0,"",MAX(T1229,W1229,Z1229,AC1229,AF1229,AI1229,AL1229,AO1229,AR1229,AU1229,AX1229,BA1229))</f>
        <v/>
      </c>
      <c r="BG1229" s="10">
        <f>MID(IF(S1229="","",", "&amp;S1229)&amp;IF(V1229="","",", "&amp;V1229)&amp;IF(Y1229="","",", "&amp;Y1229)&amp;IF(AB1229="","",", "&amp;AB1229)&amp;IF(AE1229="","",", "&amp;AE1229)&amp;IF(AH1229="","",", "&amp;AH1229)&amp;IF(AK1229="","",", "&amp;AK1229)&amp;IF(AN1229="","",", "&amp;AN1229)&amp;IF(AQ1229="","",", "&amp;AQ1229)&amp;IF(AT1229="","",", "&amp;AT1229)&amp;IF(AW1229="","",", "&amp;AW1229)&amp;IF(AZ1229="","",", "&amp;AZ1229),3,500)</f>
        <v/>
      </c>
      <c r="BH1229" s="12" t="n"/>
      <c r="BI1229" s="15">
        <f>IFERROR(MATCH($A1229,IF($B1229="Onsite",tbl_Onsite[Row ID],IF($B1229="Production",tbl_Production[Row ID],tbl_Consulting[Row ID])),0),"")</f>
        <v/>
      </c>
    </row>
    <row r="1230">
      <c r="A1230" s="10" t="inlineStr">
        <is>
          <t>CON-0224</t>
        </is>
      </c>
      <c r="B1230" s="10" t="inlineStr">
        <is>
          <t>Consulting</t>
        </is>
      </c>
      <c r="C1230" s="10">
        <f>IF($BI1230="","",IF($B1230="Onsite",INDEX(tbl_Onsite[Job Number],$BI1230),IF($B1230="Production",INDEX(tbl_Production[Job Number],$BI1230),INDEX(tbl_Consulting[Job Number],$BI1230)))&amp;"")</f>
        <v/>
      </c>
      <c r="D1230" s="10">
        <f>IF($BI1230="","",IF($B1230="Onsite",INDEX(tbl_Onsite[Client],$BI1230),IF($B1230="Production",INDEX(tbl_Production[Client],$BI1230),INDEX(tbl_Consulting[Client],$BI1230)))&amp;"")</f>
        <v/>
      </c>
      <c r="E1230" s="10">
        <f>IF($C1230="","",IF(COUNTIF(lst_Jobs,$C1230)&gt;0,"OK","CHECK"))</f>
        <v/>
      </c>
      <c r="F1230" s="10">
        <f>IF($C1230="","",IFERROR(INDEX(lst_JobName,MATCH($C1230,lst_Jobs,0)),""))</f>
        <v/>
      </c>
      <c r="G1230" s="10">
        <f>IF($BI1230="","",IF($B1230="Onsite",INDEX(tbl_Onsite[Job Description],$BI1230),IF($B1230="Production",INDEX(tbl_Production[Job Description],$BI1230),INDEX(tbl_Consulting[Job Description],$BI1230)))&amp;"")</f>
        <v/>
      </c>
      <c r="H1230" s="10">
        <f>IF($BI1230="","",IF($B1230="Onsite",INDEX(tbl_Onsite[Cost Centre],$BI1230),IF($B1230="Production",INDEX(tbl_Production[Cost Centre],$BI1230),INDEX(tbl_Consulting[Cost Centre],$BI1230)))&amp;"")</f>
        <v/>
      </c>
      <c r="I1230" s="10">
        <f>IF($BI1230="","",IF($B1230="Onsite",INDEX(tbl_Onsite[Invoice Type],$BI1230),IF($B1230="Production",INDEX(tbl_Production[Invoice Type],$BI1230),INDEX(tbl_Consulting[Invoice Type],$BI1230)))&amp;"")</f>
        <v/>
      </c>
      <c r="J1230" s="10">
        <f>IF($BI1230="","",IF($B1230="Onsite",INDEX(tbl_Onsite[Tax Code],$BI1230),IF($B1230="Production",INDEX(tbl_Production[Tax Code],$BI1230),INDEX(tbl_Consulting[Tax Code],$BI1230)))&amp;"")</f>
        <v/>
      </c>
      <c r="K1230" s="10">
        <f>IF(H1230="","",IFERROR(INDEX(lst_CCtoGL,MATCH(H1230,lst_CCforGL,0)),""))</f>
        <v/>
      </c>
      <c r="L1230" s="10">
        <f>IF($BI1230="","",IF($B1230="Onsite",INDEX(tbl_Onsite[PO / Reference],$BI1230),IF($B1230="Production",INDEX(tbl_Production[Current RMS No],$BI1230),INDEX(tbl_Consulting[Qwilr Quote],$BI1230)))&amp;"")</f>
        <v/>
      </c>
      <c r="M1230" s="10">
        <f>IF($BI1230="","",IF($B1230="Onsite",INDEX(tbl_Onsite[Notes],$BI1230),IF($B1230="Production",INDEX(tbl_Production[Notes],$BI1230),INDEX(tbl_Consulting[Notes],$BI1230)))&amp;"")</f>
        <v/>
      </c>
      <c r="N1230" s="11">
        <f>IF($BI1230="","",IF(IF($B1230="Onsite",INDEX(tbl_Onsite[Expected Revenue Ex GST],$BI1230),IF($B1230="Production",INDEX(tbl_Production[Expected Revenue Ex GST],$BI1230),INDEX(tbl_Consulting[Expected Revenue Ex GST],$BI1230)))="","",IF($B1230="Onsite",INDEX(tbl_Onsite[Expected Revenue Ex GST],$BI1230),IF($B1230="Production",INDEX(tbl_Production[Expected Revenue Ex GST],$BI1230),INDEX(tbl_Consulting[Expected Revenue Ex GST],$BI1230)))))</f>
        <v/>
      </c>
      <c r="O1230" s="11">
        <f>IF(AND($C1230="",NOT(COUNTA($S1230:$BB1230)&gt;0)),"",SUM(U1230,X1230,AA1230,AD1230,AG1230,AJ1230,AM1230,AP1230,AS1230,AV1230,AY1230,BB1230))</f>
        <v/>
      </c>
      <c r="P1230" s="11">
        <f>IF(O1230="","",N(N1230)-O1230)</f>
        <v/>
      </c>
      <c r="Q1230" s="10">
        <f>IF(O1230="","",IF($C1230="","Invoice on empty job row",IF(N1230="",IF(ROUND(O1230,2)=0,"No dept value","Invoiced - no dept value"),IF(ROUND(O1230,2)=0,"Not invoiced - to invoice",IF(ROUND(P1230,2)=0,"Agrees",IF(P1230&gt;0,"Dept higher - to invoice","Xero higher - check dept"))))))</f>
        <v/>
      </c>
      <c r="R1230" s="10">
        <f>IF(AND($C1230="",NOT(COUNTA($S1230:$BB1230)&gt;0),$BI1230&lt;&gt;""),"",MID(IF($BI1230="","; Row ID not found on the department sheet - a row was deleted","")&amp;IF(AND($C1230="",COUNTA($S1230:$BB1230)&gt;0),"; Invoice entered but the department row has no job number","")&amp;IF(E1230="CHECK","; Job number not in the Xero job list","")&amp;IF(AND($C1230&lt;&gt;"",COUNTIF($C$7:$C$1506,$C1230)&gt;1),"; Job number on more than one row","")&amp;IF(AND($C1230&lt;&gt;"",H1230=""),"; Dept has not set a cost centre","")&amp;IF(AND($C1230&lt;&gt;"",J1230=""),"; Dept has not set a tax code","")&amp;IF(AND($C1230&lt;&gt;"",N1230=""),"; Dept has not entered an expected value","")&amp;IF((IF(OR(COUNTA(S1230:U1230)=0,AND(COUNTA(S1230:U1230)=3,ISNUMBER(U1230))),0,1)+IF(OR(COUNTA(V1230:X1230)=0,AND(COUNTA(V1230:X1230)=3,ISNUMBER(X1230))),0,1)+IF(OR(COUNTA(Y1230:AA1230)=0,AND(COUNTA(Y1230:AA1230)=3,ISNUMBER(AA1230))),0,1)+IF(OR(COUNTA(AB1230:AD1230)=0,AND(COUNTA(AB1230:AD1230)=3,ISNUMBER(AD1230))),0,1)+IF(OR(COUNTA(AE1230:AG1230)=0,AND(COUNTA(AE1230:AG1230)=3,ISNUMBER(AG1230))),0,1)+IF(OR(COUNTA(AH1230:AJ1230)=0,AND(COUNTA(AH1230:AJ1230)=3,ISNUMBER(AJ1230))),0,1)+IF(OR(COUNTA(AK1230:AM1230)=0,AND(COUNTA(AK1230:AM1230)=3,ISNUMBER(AM1230))),0,1)+IF(OR(COUNTA(AN1230:AP1230)=0,AND(COUNTA(AN1230:AP1230)=3,ISNUMBER(AP1230))),0,1)+IF(OR(COUNTA(AQ1230:AS1230)=0,AND(COUNTA(AQ1230:AS1230)=3,ISNUMBER(AS1230))),0,1)+IF(OR(COUNTA(AT1230:AV1230)=0,AND(COUNTA(AT1230:AV1230)=3,ISNUMBER(AV1230))),0,1)+IF(OR(COUNTA(AW1230:AY1230)=0,AND(COUNTA(AW1230:AY1230)=3,ISNUMBER(AY1230))),0,1)+IF(OR(COUNTA(AZ1230:BB1230)=0,AND(COUNTA(AZ1230:BB1230)=3,ISNUMBER(BB1230))),0,1))&gt;0,"; An invoice is incomplete (needs No, Date and a number in Ex GST)","")&amp;IF((IF(T1230="",0,IFERROR(--(EOMONTH(T1230,0)&lt;&gt;S$5),1))+IF(W1230="",0,IFERROR(--(EOMONTH(W1230,0)&lt;&gt;V$5),1))+IF(Z1230="",0,IFERROR(--(EOMONTH(Z1230,0)&lt;&gt;Y$5),1))+IF(AC1230="",0,IFERROR(--(EOMONTH(AC1230,0)&lt;&gt;AB$5),1))+IF(AF1230="",0,IFERROR(--(EOMONTH(AF1230,0)&lt;&gt;AE$5),1))+IF(AI1230="",0,IFERROR(--(EOMONTH(AI1230,0)&lt;&gt;AH$5),1))+IF(AL1230="",0,IFERROR(--(EOMONTH(AL1230,0)&lt;&gt;AK$5),1))+IF(AO1230="",0,IFERROR(--(EOMONTH(AO1230,0)&lt;&gt;AN$5),1))+IF(AR1230="",0,IFERROR(--(EOMONTH(AR1230,0)&lt;&gt;AQ$5),1))+IF(AU1230="",0,IFERROR(--(EOMONTH(AU1230,0)&lt;&gt;AT$5),1))+IF(AX1230="",0,IFERROR(--(EOMONTH(AX1230,0)&lt;&gt;AW$5),1))+IF(BA1230="",0,IFERROR(--(EOMONTH(BA1230,0)&lt;&gt;AZ$5),1)))&gt;0,"; An invoice date is not in the month it is typed under",""),3,500))</f>
        <v/>
      </c>
      <c r="S1230" s="12" t="n"/>
      <c r="T1230" s="13" t="n"/>
      <c r="U1230" s="14" t="n"/>
      <c r="V1230" s="12" t="n"/>
      <c r="W1230" s="13" t="n"/>
      <c r="X1230" s="14" t="n"/>
      <c r="Y1230" s="12" t="n"/>
      <c r="Z1230" s="13" t="n"/>
      <c r="AA1230" s="14" t="n"/>
      <c r="AB1230" s="12" t="n"/>
      <c r="AC1230" s="13" t="n"/>
      <c r="AD1230" s="14" t="n"/>
      <c r="AE1230" s="12" t="n"/>
      <c r="AF1230" s="13" t="n"/>
      <c r="AG1230" s="14" t="n"/>
      <c r="AH1230" s="12" t="n"/>
      <c r="AI1230" s="13" t="n"/>
      <c r="AJ1230" s="14" t="n"/>
      <c r="AK1230" s="12" t="n"/>
      <c r="AL1230" s="13" t="n"/>
      <c r="AM1230" s="14" t="n"/>
      <c r="AN1230" s="12" t="n"/>
      <c r="AO1230" s="13" t="n"/>
      <c r="AP1230" s="14" t="n"/>
      <c r="AQ1230" s="12" t="n"/>
      <c r="AR1230" s="13" t="n"/>
      <c r="AS1230" s="14" t="n"/>
      <c r="AT1230" s="12" t="n"/>
      <c r="AU1230" s="13" t="n"/>
      <c r="AV1230" s="14" t="n"/>
      <c r="AW1230" s="12" t="n"/>
      <c r="AX1230" s="13" t="n"/>
      <c r="AY1230" s="14" t="n"/>
      <c r="AZ1230" s="12" t="n"/>
      <c r="BA1230" s="13" t="n"/>
      <c r="BB1230" s="14" t="n"/>
      <c r="BC1230" s="11">
        <f>IF(O1230="","",IF(J1230="GST 10%",ROUND(O1230*set_GSTRate,2),0))</f>
        <v/>
      </c>
      <c r="BD1230" s="11">
        <f>IF(O1230="","",O1230+BC1230)</f>
        <v/>
      </c>
      <c r="BE1230" s="15">
        <f>IF(O1230="","",COUNTA(S1230,V1230,Y1230,AB1230,AE1230,AH1230,AK1230,AN1230,AQ1230,AT1230,AW1230,AZ1230))</f>
        <v/>
      </c>
      <c r="BF1230" s="16">
        <f>IF(COUNT(T1230,W1230,Z1230,AC1230,AF1230,AI1230,AL1230,AO1230,AR1230,AU1230,AX1230,BA1230)=0,"",MAX(T1230,W1230,Z1230,AC1230,AF1230,AI1230,AL1230,AO1230,AR1230,AU1230,AX1230,BA1230))</f>
        <v/>
      </c>
      <c r="BG1230" s="10">
        <f>MID(IF(S1230="","",", "&amp;S1230)&amp;IF(V1230="","",", "&amp;V1230)&amp;IF(Y1230="","",", "&amp;Y1230)&amp;IF(AB1230="","",", "&amp;AB1230)&amp;IF(AE1230="","",", "&amp;AE1230)&amp;IF(AH1230="","",", "&amp;AH1230)&amp;IF(AK1230="","",", "&amp;AK1230)&amp;IF(AN1230="","",", "&amp;AN1230)&amp;IF(AQ1230="","",", "&amp;AQ1230)&amp;IF(AT1230="","",", "&amp;AT1230)&amp;IF(AW1230="","",", "&amp;AW1230)&amp;IF(AZ1230="","",", "&amp;AZ1230),3,500)</f>
        <v/>
      </c>
      <c r="BH1230" s="12" t="n"/>
      <c r="BI1230" s="15">
        <f>IFERROR(MATCH($A1230,IF($B1230="Onsite",tbl_Onsite[Row ID],IF($B1230="Production",tbl_Production[Row ID],tbl_Consulting[Row ID])),0),"")</f>
        <v/>
      </c>
    </row>
    <row r="1231">
      <c r="A1231" s="10" t="inlineStr">
        <is>
          <t>CON-0225</t>
        </is>
      </c>
      <c r="B1231" s="10" t="inlineStr">
        <is>
          <t>Consulting</t>
        </is>
      </c>
      <c r="C1231" s="10">
        <f>IF($BI1231="","",IF($B1231="Onsite",INDEX(tbl_Onsite[Job Number],$BI1231),IF($B1231="Production",INDEX(tbl_Production[Job Number],$BI1231),INDEX(tbl_Consulting[Job Number],$BI1231)))&amp;"")</f>
        <v/>
      </c>
      <c r="D1231" s="10">
        <f>IF($BI1231="","",IF($B1231="Onsite",INDEX(tbl_Onsite[Client],$BI1231),IF($B1231="Production",INDEX(tbl_Production[Client],$BI1231),INDEX(tbl_Consulting[Client],$BI1231)))&amp;"")</f>
        <v/>
      </c>
      <c r="E1231" s="10">
        <f>IF($C1231="","",IF(COUNTIF(lst_Jobs,$C1231)&gt;0,"OK","CHECK"))</f>
        <v/>
      </c>
      <c r="F1231" s="10">
        <f>IF($C1231="","",IFERROR(INDEX(lst_JobName,MATCH($C1231,lst_Jobs,0)),""))</f>
        <v/>
      </c>
      <c r="G1231" s="10">
        <f>IF($BI1231="","",IF($B1231="Onsite",INDEX(tbl_Onsite[Job Description],$BI1231),IF($B1231="Production",INDEX(tbl_Production[Job Description],$BI1231),INDEX(tbl_Consulting[Job Description],$BI1231)))&amp;"")</f>
        <v/>
      </c>
      <c r="H1231" s="10">
        <f>IF($BI1231="","",IF($B1231="Onsite",INDEX(tbl_Onsite[Cost Centre],$BI1231),IF($B1231="Production",INDEX(tbl_Production[Cost Centre],$BI1231),INDEX(tbl_Consulting[Cost Centre],$BI1231)))&amp;"")</f>
        <v/>
      </c>
      <c r="I1231" s="10">
        <f>IF($BI1231="","",IF($B1231="Onsite",INDEX(tbl_Onsite[Invoice Type],$BI1231),IF($B1231="Production",INDEX(tbl_Production[Invoice Type],$BI1231),INDEX(tbl_Consulting[Invoice Type],$BI1231)))&amp;"")</f>
        <v/>
      </c>
      <c r="J1231" s="10">
        <f>IF($BI1231="","",IF($B1231="Onsite",INDEX(tbl_Onsite[Tax Code],$BI1231),IF($B1231="Production",INDEX(tbl_Production[Tax Code],$BI1231),INDEX(tbl_Consulting[Tax Code],$BI1231)))&amp;"")</f>
        <v/>
      </c>
      <c r="K1231" s="10">
        <f>IF(H1231="","",IFERROR(INDEX(lst_CCtoGL,MATCH(H1231,lst_CCforGL,0)),""))</f>
        <v/>
      </c>
      <c r="L1231" s="10">
        <f>IF($BI1231="","",IF($B1231="Onsite",INDEX(tbl_Onsite[PO / Reference],$BI1231),IF($B1231="Production",INDEX(tbl_Production[Current RMS No],$BI1231),INDEX(tbl_Consulting[Qwilr Quote],$BI1231)))&amp;"")</f>
        <v/>
      </c>
      <c r="M1231" s="10">
        <f>IF($BI1231="","",IF($B1231="Onsite",INDEX(tbl_Onsite[Notes],$BI1231),IF($B1231="Production",INDEX(tbl_Production[Notes],$BI1231),INDEX(tbl_Consulting[Notes],$BI1231)))&amp;"")</f>
        <v/>
      </c>
      <c r="N1231" s="11">
        <f>IF($BI1231="","",IF(IF($B1231="Onsite",INDEX(tbl_Onsite[Expected Revenue Ex GST],$BI1231),IF($B1231="Production",INDEX(tbl_Production[Expected Revenue Ex GST],$BI1231),INDEX(tbl_Consulting[Expected Revenue Ex GST],$BI1231)))="","",IF($B1231="Onsite",INDEX(tbl_Onsite[Expected Revenue Ex GST],$BI1231),IF($B1231="Production",INDEX(tbl_Production[Expected Revenue Ex GST],$BI1231),INDEX(tbl_Consulting[Expected Revenue Ex GST],$BI1231)))))</f>
        <v/>
      </c>
      <c r="O1231" s="11">
        <f>IF(AND($C1231="",NOT(COUNTA($S1231:$BB1231)&gt;0)),"",SUM(U1231,X1231,AA1231,AD1231,AG1231,AJ1231,AM1231,AP1231,AS1231,AV1231,AY1231,BB1231))</f>
        <v/>
      </c>
      <c r="P1231" s="11">
        <f>IF(O1231="","",N(N1231)-O1231)</f>
        <v/>
      </c>
      <c r="Q1231" s="10">
        <f>IF(O1231="","",IF($C1231="","Invoice on empty job row",IF(N1231="",IF(ROUND(O1231,2)=0,"No dept value","Invoiced - no dept value"),IF(ROUND(O1231,2)=0,"Not invoiced - to invoice",IF(ROUND(P1231,2)=0,"Agrees",IF(P1231&gt;0,"Dept higher - to invoice","Xero higher - check dept"))))))</f>
        <v/>
      </c>
      <c r="R1231" s="10">
        <f>IF(AND($C1231="",NOT(COUNTA($S1231:$BB1231)&gt;0),$BI1231&lt;&gt;""),"",MID(IF($BI1231="","; Row ID not found on the department sheet - a row was deleted","")&amp;IF(AND($C1231="",COUNTA($S1231:$BB1231)&gt;0),"; Invoice entered but the department row has no job number","")&amp;IF(E1231="CHECK","; Job number not in the Xero job list","")&amp;IF(AND($C1231&lt;&gt;"",COUNTIF($C$7:$C$1506,$C1231)&gt;1),"; Job number on more than one row","")&amp;IF(AND($C1231&lt;&gt;"",H1231=""),"; Dept has not set a cost centre","")&amp;IF(AND($C1231&lt;&gt;"",J1231=""),"; Dept has not set a tax code","")&amp;IF(AND($C1231&lt;&gt;"",N1231=""),"; Dept has not entered an expected value","")&amp;IF((IF(OR(COUNTA(S1231:U1231)=0,AND(COUNTA(S1231:U1231)=3,ISNUMBER(U1231))),0,1)+IF(OR(COUNTA(V1231:X1231)=0,AND(COUNTA(V1231:X1231)=3,ISNUMBER(X1231))),0,1)+IF(OR(COUNTA(Y1231:AA1231)=0,AND(COUNTA(Y1231:AA1231)=3,ISNUMBER(AA1231))),0,1)+IF(OR(COUNTA(AB1231:AD1231)=0,AND(COUNTA(AB1231:AD1231)=3,ISNUMBER(AD1231))),0,1)+IF(OR(COUNTA(AE1231:AG1231)=0,AND(COUNTA(AE1231:AG1231)=3,ISNUMBER(AG1231))),0,1)+IF(OR(COUNTA(AH1231:AJ1231)=0,AND(COUNTA(AH1231:AJ1231)=3,ISNUMBER(AJ1231))),0,1)+IF(OR(COUNTA(AK1231:AM1231)=0,AND(COUNTA(AK1231:AM1231)=3,ISNUMBER(AM1231))),0,1)+IF(OR(COUNTA(AN1231:AP1231)=0,AND(COUNTA(AN1231:AP1231)=3,ISNUMBER(AP1231))),0,1)+IF(OR(COUNTA(AQ1231:AS1231)=0,AND(COUNTA(AQ1231:AS1231)=3,ISNUMBER(AS1231))),0,1)+IF(OR(COUNTA(AT1231:AV1231)=0,AND(COUNTA(AT1231:AV1231)=3,ISNUMBER(AV1231))),0,1)+IF(OR(COUNTA(AW1231:AY1231)=0,AND(COUNTA(AW1231:AY1231)=3,ISNUMBER(AY1231))),0,1)+IF(OR(COUNTA(AZ1231:BB1231)=0,AND(COUNTA(AZ1231:BB1231)=3,ISNUMBER(BB1231))),0,1))&gt;0,"; An invoice is incomplete (needs No, Date and a number in Ex GST)","")&amp;IF((IF(T1231="",0,IFERROR(--(EOMONTH(T1231,0)&lt;&gt;S$5),1))+IF(W1231="",0,IFERROR(--(EOMONTH(W1231,0)&lt;&gt;V$5),1))+IF(Z1231="",0,IFERROR(--(EOMONTH(Z1231,0)&lt;&gt;Y$5),1))+IF(AC1231="",0,IFERROR(--(EOMONTH(AC1231,0)&lt;&gt;AB$5),1))+IF(AF1231="",0,IFERROR(--(EOMONTH(AF1231,0)&lt;&gt;AE$5),1))+IF(AI1231="",0,IFERROR(--(EOMONTH(AI1231,0)&lt;&gt;AH$5),1))+IF(AL1231="",0,IFERROR(--(EOMONTH(AL1231,0)&lt;&gt;AK$5),1))+IF(AO1231="",0,IFERROR(--(EOMONTH(AO1231,0)&lt;&gt;AN$5),1))+IF(AR1231="",0,IFERROR(--(EOMONTH(AR1231,0)&lt;&gt;AQ$5),1))+IF(AU1231="",0,IFERROR(--(EOMONTH(AU1231,0)&lt;&gt;AT$5),1))+IF(AX1231="",0,IFERROR(--(EOMONTH(AX1231,0)&lt;&gt;AW$5),1))+IF(BA1231="",0,IFERROR(--(EOMONTH(BA1231,0)&lt;&gt;AZ$5),1)))&gt;0,"; An invoice date is not in the month it is typed under",""),3,500))</f>
        <v/>
      </c>
      <c r="S1231" s="12" t="n"/>
      <c r="T1231" s="13" t="n"/>
      <c r="U1231" s="14" t="n"/>
      <c r="V1231" s="12" t="n"/>
      <c r="W1231" s="13" t="n"/>
      <c r="X1231" s="14" t="n"/>
      <c r="Y1231" s="12" t="n"/>
      <c r="Z1231" s="13" t="n"/>
      <c r="AA1231" s="14" t="n"/>
      <c r="AB1231" s="12" t="n"/>
      <c r="AC1231" s="13" t="n"/>
      <c r="AD1231" s="14" t="n"/>
      <c r="AE1231" s="12" t="n"/>
      <c r="AF1231" s="13" t="n"/>
      <c r="AG1231" s="14" t="n"/>
      <c r="AH1231" s="12" t="n"/>
      <c r="AI1231" s="13" t="n"/>
      <c r="AJ1231" s="14" t="n"/>
      <c r="AK1231" s="12" t="n"/>
      <c r="AL1231" s="13" t="n"/>
      <c r="AM1231" s="14" t="n"/>
      <c r="AN1231" s="12" t="n"/>
      <c r="AO1231" s="13" t="n"/>
      <c r="AP1231" s="14" t="n"/>
      <c r="AQ1231" s="12" t="n"/>
      <c r="AR1231" s="13" t="n"/>
      <c r="AS1231" s="14" t="n"/>
      <c r="AT1231" s="12" t="n"/>
      <c r="AU1231" s="13" t="n"/>
      <c r="AV1231" s="14" t="n"/>
      <c r="AW1231" s="12" t="n"/>
      <c r="AX1231" s="13" t="n"/>
      <c r="AY1231" s="14" t="n"/>
      <c r="AZ1231" s="12" t="n"/>
      <c r="BA1231" s="13" t="n"/>
      <c r="BB1231" s="14" t="n"/>
      <c r="BC1231" s="11">
        <f>IF(O1231="","",IF(J1231="GST 10%",ROUND(O1231*set_GSTRate,2),0))</f>
        <v/>
      </c>
      <c r="BD1231" s="11">
        <f>IF(O1231="","",O1231+BC1231)</f>
        <v/>
      </c>
      <c r="BE1231" s="15">
        <f>IF(O1231="","",COUNTA(S1231,V1231,Y1231,AB1231,AE1231,AH1231,AK1231,AN1231,AQ1231,AT1231,AW1231,AZ1231))</f>
        <v/>
      </c>
      <c r="BF1231" s="16">
        <f>IF(COUNT(T1231,W1231,Z1231,AC1231,AF1231,AI1231,AL1231,AO1231,AR1231,AU1231,AX1231,BA1231)=0,"",MAX(T1231,W1231,Z1231,AC1231,AF1231,AI1231,AL1231,AO1231,AR1231,AU1231,AX1231,BA1231))</f>
        <v/>
      </c>
      <c r="BG1231" s="10">
        <f>MID(IF(S1231="","",", "&amp;S1231)&amp;IF(V1231="","",", "&amp;V1231)&amp;IF(Y1231="","",", "&amp;Y1231)&amp;IF(AB1231="","",", "&amp;AB1231)&amp;IF(AE1231="","",", "&amp;AE1231)&amp;IF(AH1231="","",", "&amp;AH1231)&amp;IF(AK1231="","",", "&amp;AK1231)&amp;IF(AN1231="","",", "&amp;AN1231)&amp;IF(AQ1231="","",", "&amp;AQ1231)&amp;IF(AT1231="","",", "&amp;AT1231)&amp;IF(AW1231="","",", "&amp;AW1231)&amp;IF(AZ1231="","",", "&amp;AZ1231),3,500)</f>
        <v/>
      </c>
      <c r="BH1231" s="12" t="n"/>
      <c r="BI1231" s="15">
        <f>IFERROR(MATCH($A1231,IF($B1231="Onsite",tbl_Onsite[Row ID],IF($B1231="Production",tbl_Production[Row ID],tbl_Consulting[Row ID])),0),"")</f>
        <v/>
      </c>
    </row>
    <row r="1232">
      <c r="A1232" s="10" t="inlineStr">
        <is>
          <t>CON-0226</t>
        </is>
      </c>
      <c r="B1232" s="10" t="inlineStr">
        <is>
          <t>Consulting</t>
        </is>
      </c>
      <c r="C1232" s="10">
        <f>IF($BI1232="","",IF($B1232="Onsite",INDEX(tbl_Onsite[Job Number],$BI1232),IF($B1232="Production",INDEX(tbl_Production[Job Number],$BI1232),INDEX(tbl_Consulting[Job Number],$BI1232)))&amp;"")</f>
        <v/>
      </c>
      <c r="D1232" s="10">
        <f>IF($BI1232="","",IF($B1232="Onsite",INDEX(tbl_Onsite[Client],$BI1232),IF($B1232="Production",INDEX(tbl_Production[Client],$BI1232),INDEX(tbl_Consulting[Client],$BI1232)))&amp;"")</f>
        <v/>
      </c>
      <c r="E1232" s="10">
        <f>IF($C1232="","",IF(COUNTIF(lst_Jobs,$C1232)&gt;0,"OK","CHECK"))</f>
        <v/>
      </c>
      <c r="F1232" s="10">
        <f>IF($C1232="","",IFERROR(INDEX(lst_JobName,MATCH($C1232,lst_Jobs,0)),""))</f>
        <v/>
      </c>
      <c r="G1232" s="10">
        <f>IF($BI1232="","",IF($B1232="Onsite",INDEX(tbl_Onsite[Job Description],$BI1232),IF($B1232="Production",INDEX(tbl_Production[Job Description],$BI1232),INDEX(tbl_Consulting[Job Description],$BI1232)))&amp;"")</f>
        <v/>
      </c>
      <c r="H1232" s="10">
        <f>IF($BI1232="","",IF($B1232="Onsite",INDEX(tbl_Onsite[Cost Centre],$BI1232),IF($B1232="Production",INDEX(tbl_Production[Cost Centre],$BI1232),INDEX(tbl_Consulting[Cost Centre],$BI1232)))&amp;"")</f>
        <v/>
      </c>
      <c r="I1232" s="10">
        <f>IF($BI1232="","",IF($B1232="Onsite",INDEX(tbl_Onsite[Invoice Type],$BI1232),IF($B1232="Production",INDEX(tbl_Production[Invoice Type],$BI1232),INDEX(tbl_Consulting[Invoice Type],$BI1232)))&amp;"")</f>
        <v/>
      </c>
      <c r="J1232" s="10">
        <f>IF($BI1232="","",IF($B1232="Onsite",INDEX(tbl_Onsite[Tax Code],$BI1232),IF($B1232="Production",INDEX(tbl_Production[Tax Code],$BI1232),INDEX(tbl_Consulting[Tax Code],$BI1232)))&amp;"")</f>
        <v/>
      </c>
      <c r="K1232" s="10">
        <f>IF(H1232="","",IFERROR(INDEX(lst_CCtoGL,MATCH(H1232,lst_CCforGL,0)),""))</f>
        <v/>
      </c>
      <c r="L1232" s="10">
        <f>IF($BI1232="","",IF($B1232="Onsite",INDEX(tbl_Onsite[PO / Reference],$BI1232),IF($B1232="Production",INDEX(tbl_Production[Current RMS No],$BI1232),INDEX(tbl_Consulting[Qwilr Quote],$BI1232)))&amp;"")</f>
        <v/>
      </c>
      <c r="M1232" s="10">
        <f>IF($BI1232="","",IF($B1232="Onsite",INDEX(tbl_Onsite[Notes],$BI1232),IF($B1232="Production",INDEX(tbl_Production[Notes],$BI1232),INDEX(tbl_Consulting[Notes],$BI1232)))&amp;"")</f>
        <v/>
      </c>
      <c r="N1232" s="11">
        <f>IF($BI1232="","",IF(IF($B1232="Onsite",INDEX(tbl_Onsite[Expected Revenue Ex GST],$BI1232),IF($B1232="Production",INDEX(tbl_Production[Expected Revenue Ex GST],$BI1232),INDEX(tbl_Consulting[Expected Revenue Ex GST],$BI1232)))="","",IF($B1232="Onsite",INDEX(tbl_Onsite[Expected Revenue Ex GST],$BI1232),IF($B1232="Production",INDEX(tbl_Production[Expected Revenue Ex GST],$BI1232),INDEX(tbl_Consulting[Expected Revenue Ex GST],$BI1232)))))</f>
        <v/>
      </c>
      <c r="O1232" s="11">
        <f>IF(AND($C1232="",NOT(COUNTA($S1232:$BB1232)&gt;0)),"",SUM(U1232,X1232,AA1232,AD1232,AG1232,AJ1232,AM1232,AP1232,AS1232,AV1232,AY1232,BB1232))</f>
        <v/>
      </c>
      <c r="P1232" s="11">
        <f>IF(O1232="","",N(N1232)-O1232)</f>
        <v/>
      </c>
      <c r="Q1232" s="10">
        <f>IF(O1232="","",IF($C1232="","Invoice on empty job row",IF(N1232="",IF(ROUND(O1232,2)=0,"No dept value","Invoiced - no dept value"),IF(ROUND(O1232,2)=0,"Not invoiced - to invoice",IF(ROUND(P1232,2)=0,"Agrees",IF(P1232&gt;0,"Dept higher - to invoice","Xero higher - check dept"))))))</f>
        <v/>
      </c>
      <c r="R1232" s="10">
        <f>IF(AND($C1232="",NOT(COUNTA($S1232:$BB1232)&gt;0),$BI1232&lt;&gt;""),"",MID(IF($BI1232="","; Row ID not found on the department sheet - a row was deleted","")&amp;IF(AND($C1232="",COUNTA($S1232:$BB1232)&gt;0),"; Invoice entered but the department row has no job number","")&amp;IF(E1232="CHECK","; Job number not in the Xero job list","")&amp;IF(AND($C1232&lt;&gt;"",COUNTIF($C$7:$C$1506,$C1232)&gt;1),"; Job number on more than one row","")&amp;IF(AND($C1232&lt;&gt;"",H1232=""),"; Dept has not set a cost centre","")&amp;IF(AND($C1232&lt;&gt;"",J1232=""),"; Dept has not set a tax code","")&amp;IF(AND($C1232&lt;&gt;"",N1232=""),"; Dept has not entered an expected value","")&amp;IF((IF(OR(COUNTA(S1232:U1232)=0,AND(COUNTA(S1232:U1232)=3,ISNUMBER(U1232))),0,1)+IF(OR(COUNTA(V1232:X1232)=0,AND(COUNTA(V1232:X1232)=3,ISNUMBER(X1232))),0,1)+IF(OR(COUNTA(Y1232:AA1232)=0,AND(COUNTA(Y1232:AA1232)=3,ISNUMBER(AA1232))),0,1)+IF(OR(COUNTA(AB1232:AD1232)=0,AND(COUNTA(AB1232:AD1232)=3,ISNUMBER(AD1232))),0,1)+IF(OR(COUNTA(AE1232:AG1232)=0,AND(COUNTA(AE1232:AG1232)=3,ISNUMBER(AG1232))),0,1)+IF(OR(COUNTA(AH1232:AJ1232)=0,AND(COUNTA(AH1232:AJ1232)=3,ISNUMBER(AJ1232))),0,1)+IF(OR(COUNTA(AK1232:AM1232)=0,AND(COUNTA(AK1232:AM1232)=3,ISNUMBER(AM1232))),0,1)+IF(OR(COUNTA(AN1232:AP1232)=0,AND(COUNTA(AN1232:AP1232)=3,ISNUMBER(AP1232))),0,1)+IF(OR(COUNTA(AQ1232:AS1232)=0,AND(COUNTA(AQ1232:AS1232)=3,ISNUMBER(AS1232))),0,1)+IF(OR(COUNTA(AT1232:AV1232)=0,AND(COUNTA(AT1232:AV1232)=3,ISNUMBER(AV1232))),0,1)+IF(OR(COUNTA(AW1232:AY1232)=0,AND(COUNTA(AW1232:AY1232)=3,ISNUMBER(AY1232))),0,1)+IF(OR(COUNTA(AZ1232:BB1232)=0,AND(COUNTA(AZ1232:BB1232)=3,ISNUMBER(BB1232))),0,1))&gt;0,"; An invoice is incomplete (needs No, Date and a number in Ex GST)","")&amp;IF((IF(T1232="",0,IFERROR(--(EOMONTH(T1232,0)&lt;&gt;S$5),1))+IF(W1232="",0,IFERROR(--(EOMONTH(W1232,0)&lt;&gt;V$5),1))+IF(Z1232="",0,IFERROR(--(EOMONTH(Z1232,0)&lt;&gt;Y$5),1))+IF(AC1232="",0,IFERROR(--(EOMONTH(AC1232,0)&lt;&gt;AB$5),1))+IF(AF1232="",0,IFERROR(--(EOMONTH(AF1232,0)&lt;&gt;AE$5),1))+IF(AI1232="",0,IFERROR(--(EOMONTH(AI1232,0)&lt;&gt;AH$5),1))+IF(AL1232="",0,IFERROR(--(EOMONTH(AL1232,0)&lt;&gt;AK$5),1))+IF(AO1232="",0,IFERROR(--(EOMONTH(AO1232,0)&lt;&gt;AN$5),1))+IF(AR1232="",0,IFERROR(--(EOMONTH(AR1232,0)&lt;&gt;AQ$5),1))+IF(AU1232="",0,IFERROR(--(EOMONTH(AU1232,0)&lt;&gt;AT$5),1))+IF(AX1232="",0,IFERROR(--(EOMONTH(AX1232,0)&lt;&gt;AW$5),1))+IF(BA1232="",0,IFERROR(--(EOMONTH(BA1232,0)&lt;&gt;AZ$5),1)))&gt;0,"; An invoice date is not in the month it is typed under",""),3,500))</f>
        <v/>
      </c>
      <c r="S1232" s="12" t="n"/>
      <c r="T1232" s="13" t="n"/>
      <c r="U1232" s="14" t="n"/>
      <c r="V1232" s="12" t="n"/>
      <c r="W1232" s="13" t="n"/>
      <c r="X1232" s="14" t="n"/>
      <c r="Y1232" s="12" t="n"/>
      <c r="Z1232" s="13" t="n"/>
      <c r="AA1232" s="14" t="n"/>
      <c r="AB1232" s="12" t="n"/>
      <c r="AC1232" s="13" t="n"/>
      <c r="AD1232" s="14" t="n"/>
      <c r="AE1232" s="12" t="n"/>
      <c r="AF1232" s="13" t="n"/>
      <c r="AG1232" s="14" t="n"/>
      <c r="AH1232" s="12" t="n"/>
      <c r="AI1232" s="13" t="n"/>
      <c r="AJ1232" s="14" t="n"/>
      <c r="AK1232" s="12" t="n"/>
      <c r="AL1232" s="13" t="n"/>
      <c r="AM1232" s="14" t="n"/>
      <c r="AN1232" s="12" t="n"/>
      <c r="AO1232" s="13" t="n"/>
      <c r="AP1232" s="14" t="n"/>
      <c r="AQ1232" s="12" t="n"/>
      <c r="AR1232" s="13" t="n"/>
      <c r="AS1232" s="14" t="n"/>
      <c r="AT1232" s="12" t="n"/>
      <c r="AU1232" s="13" t="n"/>
      <c r="AV1232" s="14" t="n"/>
      <c r="AW1232" s="12" t="n"/>
      <c r="AX1232" s="13" t="n"/>
      <c r="AY1232" s="14" t="n"/>
      <c r="AZ1232" s="12" t="n"/>
      <c r="BA1232" s="13" t="n"/>
      <c r="BB1232" s="14" t="n"/>
      <c r="BC1232" s="11">
        <f>IF(O1232="","",IF(J1232="GST 10%",ROUND(O1232*set_GSTRate,2),0))</f>
        <v/>
      </c>
      <c r="BD1232" s="11">
        <f>IF(O1232="","",O1232+BC1232)</f>
        <v/>
      </c>
      <c r="BE1232" s="15">
        <f>IF(O1232="","",COUNTA(S1232,V1232,Y1232,AB1232,AE1232,AH1232,AK1232,AN1232,AQ1232,AT1232,AW1232,AZ1232))</f>
        <v/>
      </c>
      <c r="BF1232" s="16">
        <f>IF(COUNT(T1232,W1232,Z1232,AC1232,AF1232,AI1232,AL1232,AO1232,AR1232,AU1232,AX1232,BA1232)=0,"",MAX(T1232,W1232,Z1232,AC1232,AF1232,AI1232,AL1232,AO1232,AR1232,AU1232,AX1232,BA1232))</f>
        <v/>
      </c>
      <c r="BG1232" s="10">
        <f>MID(IF(S1232="","",", "&amp;S1232)&amp;IF(V1232="","",", "&amp;V1232)&amp;IF(Y1232="","",", "&amp;Y1232)&amp;IF(AB1232="","",", "&amp;AB1232)&amp;IF(AE1232="","",", "&amp;AE1232)&amp;IF(AH1232="","",", "&amp;AH1232)&amp;IF(AK1232="","",", "&amp;AK1232)&amp;IF(AN1232="","",", "&amp;AN1232)&amp;IF(AQ1232="","",", "&amp;AQ1232)&amp;IF(AT1232="","",", "&amp;AT1232)&amp;IF(AW1232="","",", "&amp;AW1232)&amp;IF(AZ1232="","",", "&amp;AZ1232),3,500)</f>
        <v/>
      </c>
      <c r="BH1232" s="12" t="n"/>
      <c r="BI1232" s="15">
        <f>IFERROR(MATCH($A1232,IF($B1232="Onsite",tbl_Onsite[Row ID],IF($B1232="Production",tbl_Production[Row ID],tbl_Consulting[Row ID])),0),"")</f>
        <v/>
      </c>
    </row>
    <row r="1233">
      <c r="A1233" s="10" t="inlineStr">
        <is>
          <t>CON-0227</t>
        </is>
      </c>
      <c r="B1233" s="10" t="inlineStr">
        <is>
          <t>Consulting</t>
        </is>
      </c>
      <c r="C1233" s="10">
        <f>IF($BI1233="","",IF($B1233="Onsite",INDEX(tbl_Onsite[Job Number],$BI1233),IF($B1233="Production",INDEX(tbl_Production[Job Number],$BI1233),INDEX(tbl_Consulting[Job Number],$BI1233)))&amp;"")</f>
        <v/>
      </c>
      <c r="D1233" s="10">
        <f>IF($BI1233="","",IF($B1233="Onsite",INDEX(tbl_Onsite[Client],$BI1233),IF($B1233="Production",INDEX(tbl_Production[Client],$BI1233),INDEX(tbl_Consulting[Client],$BI1233)))&amp;"")</f>
        <v/>
      </c>
      <c r="E1233" s="10">
        <f>IF($C1233="","",IF(COUNTIF(lst_Jobs,$C1233)&gt;0,"OK","CHECK"))</f>
        <v/>
      </c>
      <c r="F1233" s="10">
        <f>IF($C1233="","",IFERROR(INDEX(lst_JobName,MATCH($C1233,lst_Jobs,0)),""))</f>
        <v/>
      </c>
      <c r="G1233" s="10">
        <f>IF($BI1233="","",IF($B1233="Onsite",INDEX(tbl_Onsite[Job Description],$BI1233),IF($B1233="Production",INDEX(tbl_Production[Job Description],$BI1233),INDEX(tbl_Consulting[Job Description],$BI1233)))&amp;"")</f>
        <v/>
      </c>
      <c r="H1233" s="10">
        <f>IF($BI1233="","",IF($B1233="Onsite",INDEX(tbl_Onsite[Cost Centre],$BI1233),IF($B1233="Production",INDEX(tbl_Production[Cost Centre],$BI1233),INDEX(tbl_Consulting[Cost Centre],$BI1233)))&amp;"")</f>
        <v/>
      </c>
      <c r="I1233" s="10">
        <f>IF($BI1233="","",IF($B1233="Onsite",INDEX(tbl_Onsite[Invoice Type],$BI1233),IF($B1233="Production",INDEX(tbl_Production[Invoice Type],$BI1233),INDEX(tbl_Consulting[Invoice Type],$BI1233)))&amp;"")</f>
        <v/>
      </c>
      <c r="J1233" s="10">
        <f>IF($BI1233="","",IF($B1233="Onsite",INDEX(tbl_Onsite[Tax Code],$BI1233),IF($B1233="Production",INDEX(tbl_Production[Tax Code],$BI1233),INDEX(tbl_Consulting[Tax Code],$BI1233)))&amp;"")</f>
        <v/>
      </c>
      <c r="K1233" s="10">
        <f>IF(H1233="","",IFERROR(INDEX(lst_CCtoGL,MATCH(H1233,lst_CCforGL,0)),""))</f>
        <v/>
      </c>
      <c r="L1233" s="10">
        <f>IF($BI1233="","",IF($B1233="Onsite",INDEX(tbl_Onsite[PO / Reference],$BI1233),IF($B1233="Production",INDEX(tbl_Production[Current RMS No],$BI1233),INDEX(tbl_Consulting[Qwilr Quote],$BI1233)))&amp;"")</f>
        <v/>
      </c>
      <c r="M1233" s="10">
        <f>IF($BI1233="","",IF($B1233="Onsite",INDEX(tbl_Onsite[Notes],$BI1233),IF($B1233="Production",INDEX(tbl_Production[Notes],$BI1233),INDEX(tbl_Consulting[Notes],$BI1233)))&amp;"")</f>
        <v/>
      </c>
      <c r="N1233" s="11">
        <f>IF($BI1233="","",IF(IF($B1233="Onsite",INDEX(tbl_Onsite[Expected Revenue Ex GST],$BI1233),IF($B1233="Production",INDEX(tbl_Production[Expected Revenue Ex GST],$BI1233),INDEX(tbl_Consulting[Expected Revenue Ex GST],$BI1233)))="","",IF($B1233="Onsite",INDEX(tbl_Onsite[Expected Revenue Ex GST],$BI1233),IF($B1233="Production",INDEX(tbl_Production[Expected Revenue Ex GST],$BI1233),INDEX(tbl_Consulting[Expected Revenue Ex GST],$BI1233)))))</f>
        <v/>
      </c>
      <c r="O1233" s="11">
        <f>IF(AND($C1233="",NOT(COUNTA($S1233:$BB1233)&gt;0)),"",SUM(U1233,X1233,AA1233,AD1233,AG1233,AJ1233,AM1233,AP1233,AS1233,AV1233,AY1233,BB1233))</f>
        <v/>
      </c>
      <c r="P1233" s="11">
        <f>IF(O1233="","",N(N1233)-O1233)</f>
        <v/>
      </c>
      <c r="Q1233" s="10">
        <f>IF(O1233="","",IF($C1233="","Invoice on empty job row",IF(N1233="",IF(ROUND(O1233,2)=0,"No dept value","Invoiced - no dept value"),IF(ROUND(O1233,2)=0,"Not invoiced - to invoice",IF(ROUND(P1233,2)=0,"Agrees",IF(P1233&gt;0,"Dept higher - to invoice","Xero higher - check dept"))))))</f>
        <v/>
      </c>
      <c r="R1233" s="10">
        <f>IF(AND($C1233="",NOT(COUNTA($S1233:$BB1233)&gt;0),$BI1233&lt;&gt;""),"",MID(IF($BI1233="","; Row ID not found on the department sheet - a row was deleted","")&amp;IF(AND($C1233="",COUNTA($S1233:$BB1233)&gt;0),"; Invoice entered but the department row has no job number","")&amp;IF(E1233="CHECK","; Job number not in the Xero job list","")&amp;IF(AND($C1233&lt;&gt;"",COUNTIF($C$7:$C$1506,$C1233)&gt;1),"; Job number on more than one row","")&amp;IF(AND($C1233&lt;&gt;"",H1233=""),"; Dept has not set a cost centre","")&amp;IF(AND($C1233&lt;&gt;"",J1233=""),"; Dept has not set a tax code","")&amp;IF(AND($C1233&lt;&gt;"",N1233=""),"; Dept has not entered an expected value","")&amp;IF((IF(OR(COUNTA(S1233:U1233)=0,AND(COUNTA(S1233:U1233)=3,ISNUMBER(U1233))),0,1)+IF(OR(COUNTA(V1233:X1233)=0,AND(COUNTA(V1233:X1233)=3,ISNUMBER(X1233))),0,1)+IF(OR(COUNTA(Y1233:AA1233)=0,AND(COUNTA(Y1233:AA1233)=3,ISNUMBER(AA1233))),0,1)+IF(OR(COUNTA(AB1233:AD1233)=0,AND(COUNTA(AB1233:AD1233)=3,ISNUMBER(AD1233))),0,1)+IF(OR(COUNTA(AE1233:AG1233)=0,AND(COUNTA(AE1233:AG1233)=3,ISNUMBER(AG1233))),0,1)+IF(OR(COUNTA(AH1233:AJ1233)=0,AND(COUNTA(AH1233:AJ1233)=3,ISNUMBER(AJ1233))),0,1)+IF(OR(COUNTA(AK1233:AM1233)=0,AND(COUNTA(AK1233:AM1233)=3,ISNUMBER(AM1233))),0,1)+IF(OR(COUNTA(AN1233:AP1233)=0,AND(COUNTA(AN1233:AP1233)=3,ISNUMBER(AP1233))),0,1)+IF(OR(COUNTA(AQ1233:AS1233)=0,AND(COUNTA(AQ1233:AS1233)=3,ISNUMBER(AS1233))),0,1)+IF(OR(COUNTA(AT1233:AV1233)=0,AND(COUNTA(AT1233:AV1233)=3,ISNUMBER(AV1233))),0,1)+IF(OR(COUNTA(AW1233:AY1233)=0,AND(COUNTA(AW1233:AY1233)=3,ISNUMBER(AY1233))),0,1)+IF(OR(COUNTA(AZ1233:BB1233)=0,AND(COUNTA(AZ1233:BB1233)=3,ISNUMBER(BB1233))),0,1))&gt;0,"; An invoice is incomplete (needs No, Date and a number in Ex GST)","")&amp;IF((IF(T1233="",0,IFERROR(--(EOMONTH(T1233,0)&lt;&gt;S$5),1))+IF(W1233="",0,IFERROR(--(EOMONTH(W1233,0)&lt;&gt;V$5),1))+IF(Z1233="",0,IFERROR(--(EOMONTH(Z1233,0)&lt;&gt;Y$5),1))+IF(AC1233="",0,IFERROR(--(EOMONTH(AC1233,0)&lt;&gt;AB$5),1))+IF(AF1233="",0,IFERROR(--(EOMONTH(AF1233,0)&lt;&gt;AE$5),1))+IF(AI1233="",0,IFERROR(--(EOMONTH(AI1233,0)&lt;&gt;AH$5),1))+IF(AL1233="",0,IFERROR(--(EOMONTH(AL1233,0)&lt;&gt;AK$5),1))+IF(AO1233="",0,IFERROR(--(EOMONTH(AO1233,0)&lt;&gt;AN$5),1))+IF(AR1233="",0,IFERROR(--(EOMONTH(AR1233,0)&lt;&gt;AQ$5),1))+IF(AU1233="",0,IFERROR(--(EOMONTH(AU1233,0)&lt;&gt;AT$5),1))+IF(AX1233="",0,IFERROR(--(EOMONTH(AX1233,0)&lt;&gt;AW$5),1))+IF(BA1233="",0,IFERROR(--(EOMONTH(BA1233,0)&lt;&gt;AZ$5),1)))&gt;0,"; An invoice date is not in the month it is typed under",""),3,500))</f>
        <v/>
      </c>
      <c r="S1233" s="12" t="n"/>
      <c r="T1233" s="13" t="n"/>
      <c r="U1233" s="14" t="n"/>
      <c r="V1233" s="12" t="n"/>
      <c r="W1233" s="13" t="n"/>
      <c r="X1233" s="14" t="n"/>
      <c r="Y1233" s="12" t="n"/>
      <c r="Z1233" s="13" t="n"/>
      <c r="AA1233" s="14" t="n"/>
      <c r="AB1233" s="12" t="n"/>
      <c r="AC1233" s="13" t="n"/>
      <c r="AD1233" s="14" t="n"/>
      <c r="AE1233" s="12" t="n"/>
      <c r="AF1233" s="13" t="n"/>
      <c r="AG1233" s="14" t="n"/>
      <c r="AH1233" s="12" t="n"/>
      <c r="AI1233" s="13" t="n"/>
      <c r="AJ1233" s="14" t="n"/>
      <c r="AK1233" s="12" t="n"/>
      <c r="AL1233" s="13" t="n"/>
      <c r="AM1233" s="14" t="n"/>
      <c r="AN1233" s="12" t="n"/>
      <c r="AO1233" s="13" t="n"/>
      <c r="AP1233" s="14" t="n"/>
      <c r="AQ1233" s="12" t="n"/>
      <c r="AR1233" s="13" t="n"/>
      <c r="AS1233" s="14" t="n"/>
      <c r="AT1233" s="12" t="n"/>
      <c r="AU1233" s="13" t="n"/>
      <c r="AV1233" s="14" t="n"/>
      <c r="AW1233" s="12" t="n"/>
      <c r="AX1233" s="13" t="n"/>
      <c r="AY1233" s="14" t="n"/>
      <c r="AZ1233" s="12" t="n"/>
      <c r="BA1233" s="13" t="n"/>
      <c r="BB1233" s="14" t="n"/>
      <c r="BC1233" s="11">
        <f>IF(O1233="","",IF(J1233="GST 10%",ROUND(O1233*set_GSTRate,2),0))</f>
        <v/>
      </c>
      <c r="BD1233" s="11">
        <f>IF(O1233="","",O1233+BC1233)</f>
        <v/>
      </c>
      <c r="BE1233" s="15">
        <f>IF(O1233="","",COUNTA(S1233,V1233,Y1233,AB1233,AE1233,AH1233,AK1233,AN1233,AQ1233,AT1233,AW1233,AZ1233))</f>
        <v/>
      </c>
      <c r="BF1233" s="16">
        <f>IF(COUNT(T1233,W1233,Z1233,AC1233,AF1233,AI1233,AL1233,AO1233,AR1233,AU1233,AX1233,BA1233)=0,"",MAX(T1233,W1233,Z1233,AC1233,AF1233,AI1233,AL1233,AO1233,AR1233,AU1233,AX1233,BA1233))</f>
        <v/>
      </c>
      <c r="BG1233" s="10">
        <f>MID(IF(S1233="","",", "&amp;S1233)&amp;IF(V1233="","",", "&amp;V1233)&amp;IF(Y1233="","",", "&amp;Y1233)&amp;IF(AB1233="","",", "&amp;AB1233)&amp;IF(AE1233="","",", "&amp;AE1233)&amp;IF(AH1233="","",", "&amp;AH1233)&amp;IF(AK1233="","",", "&amp;AK1233)&amp;IF(AN1233="","",", "&amp;AN1233)&amp;IF(AQ1233="","",", "&amp;AQ1233)&amp;IF(AT1233="","",", "&amp;AT1233)&amp;IF(AW1233="","",", "&amp;AW1233)&amp;IF(AZ1233="","",", "&amp;AZ1233),3,500)</f>
        <v/>
      </c>
      <c r="BH1233" s="12" t="n"/>
      <c r="BI1233" s="15">
        <f>IFERROR(MATCH($A1233,IF($B1233="Onsite",tbl_Onsite[Row ID],IF($B1233="Production",tbl_Production[Row ID],tbl_Consulting[Row ID])),0),"")</f>
        <v/>
      </c>
    </row>
    <row r="1234">
      <c r="A1234" s="10" t="inlineStr">
        <is>
          <t>CON-0228</t>
        </is>
      </c>
      <c r="B1234" s="10" t="inlineStr">
        <is>
          <t>Consulting</t>
        </is>
      </c>
      <c r="C1234" s="10">
        <f>IF($BI1234="","",IF($B1234="Onsite",INDEX(tbl_Onsite[Job Number],$BI1234),IF($B1234="Production",INDEX(tbl_Production[Job Number],$BI1234),INDEX(tbl_Consulting[Job Number],$BI1234)))&amp;"")</f>
        <v/>
      </c>
      <c r="D1234" s="10">
        <f>IF($BI1234="","",IF($B1234="Onsite",INDEX(tbl_Onsite[Client],$BI1234),IF($B1234="Production",INDEX(tbl_Production[Client],$BI1234),INDEX(tbl_Consulting[Client],$BI1234)))&amp;"")</f>
        <v/>
      </c>
      <c r="E1234" s="10">
        <f>IF($C1234="","",IF(COUNTIF(lst_Jobs,$C1234)&gt;0,"OK","CHECK"))</f>
        <v/>
      </c>
      <c r="F1234" s="10">
        <f>IF($C1234="","",IFERROR(INDEX(lst_JobName,MATCH($C1234,lst_Jobs,0)),""))</f>
        <v/>
      </c>
      <c r="G1234" s="10">
        <f>IF($BI1234="","",IF($B1234="Onsite",INDEX(tbl_Onsite[Job Description],$BI1234),IF($B1234="Production",INDEX(tbl_Production[Job Description],$BI1234),INDEX(tbl_Consulting[Job Description],$BI1234)))&amp;"")</f>
        <v/>
      </c>
      <c r="H1234" s="10">
        <f>IF($BI1234="","",IF($B1234="Onsite",INDEX(tbl_Onsite[Cost Centre],$BI1234),IF($B1234="Production",INDEX(tbl_Production[Cost Centre],$BI1234),INDEX(tbl_Consulting[Cost Centre],$BI1234)))&amp;"")</f>
        <v/>
      </c>
      <c r="I1234" s="10">
        <f>IF($BI1234="","",IF($B1234="Onsite",INDEX(tbl_Onsite[Invoice Type],$BI1234),IF($B1234="Production",INDEX(tbl_Production[Invoice Type],$BI1234),INDEX(tbl_Consulting[Invoice Type],$BI1234)))&amp;"")</f>
        <v/>
      </c>
      <c r="J1234" s="10">
        <f>IF($BI1234="","",IF($B1234="Onsite",INDEX(tbl_Onsite[Tax Code],$BI1234),IF($B1234="Production",INDEX(tbl_Production[Tax Code],$BI1234),INDEX(tbl_Consulting[Tax Code],$BI1234)))&amp;"")</f>
        <v/>
      </c>
      <c r="K1234" s="10">
        <f>IF(H1234="","",IFERROR(INDEX(lst_CCtoGL,MATCH(H1234,lst_CCforGL,0)),""))</f>
        <v/>
      </c>
      <c r="L1234" s="10">
        <f>IF($BI1234="","",IF($B1234="Onsite",INDEX(tbl_Onsite[PO / Reference],$BI1234),IF($B1234="Production",INDEX(tbl_Production[Current RMS No],$BI1234),INDEX(tbl_Consulting[Qwilr Quote],$BI1234)))&amp;"")</f>
        <v/>
      </c>
      <c r="M1234" s="10">
        <f>IF($BI1234="","",IF($B1234="Onsite",INDEX(tbl_Onsite[Notes],$BI1234),IF($B1234="Production",INDEX(tbl_Production[Notes],$BI1234),INDEX(tbl_Consulting[Notes],$BI1234)))&amp;"")</f>
        <v/>
      </c>
      <c r="N1234" s="11">
        <f>IF($BI1234="","",IF(IF($B1234="Onsite",INDEX(tbl_Onsite[Expected Revenue Ex GST],$BI1234),IF($B1234="Production",INDEX(tbl_Production[Expected Revenue Ex GST],$BI1234),INDEX(tbl_Consulting[Expected Revenue Ex GST],$BI1234)))="","",IF($B1234="Onsite",INDEX(tbl_Onsite[Expected Revenue Ex GST],$BI1234),IF($B1234="Production",INDEX(tbl_Production[Expected Revenue Ex GST],$BI1234),INDEX(tbl_Consulting[Expected Revenue Ex GST],$BI1234)))))</f>
        <v/>
      </c>
      <c r="O1234" s="11">
        <f>IF(AND($C1234="",NOT(COUNTA($S1234:$BB1234)&gt;0)),"",SUM(U1234,X1234,AA1234,AD1234,AG1234,AJ1234,AM1234,AP1234,AS1234,AV1234,AY1234,BB1234))</f>
        <v/>
      </c>
      <c r="P1234" s="11">
        <f>IF(O1234="","",N(N1234)-O1234)</f>
        <v/>
      </c>
      <c r="Q1234" s="10">
        <f>IF(O1234="","",IF($C1234="","Invoice on empty job row",IF(N1234="",IF(ROUND(O1234,2)=0,"No dept value","Invoiced - no dept value"),IF(ROUND(O1234,2)=0,"Not invoiced - to invoice",IF(ROUND(P1234,2)=0,"Agrees",IF(P1234&gt;0,"Dept higher - to invoice","Xero higher - check dept"))))))</f>
        <v/>
      </c>
      <c r="R1234" s="10">
        <f>IF(AND($C1234="",NOT(COUNTA($S1234:$BB1234)&gt;0),$BI1234&lt;&gt;""),"",MID(IF($BI1234="","; Row ID not found on the department sheet - a row was deleted","")&amp;IF(AND($C1234="",COUNTA($S1234:$BB1234)&gt;0),"; Invoice entered but the department row has no job number","")&amp;IF(E1234="CHECK","; Job number not in the Xero job list","")&amp;IF(AND($C1234&lt;&gt;"",COUNTIF($C$7:$C$1506,$C1234)&gt;1),"; Job number on more than one row","")&amp;IF(AND($C1234&lt;&gt;"",H1234=""),"; Dept has not set a cost centre","")&amp;IF(AND($C1234&lt;&gt;"",J1234=""),"; Dept has not set a tax code","")&amp;IF(AND($C1234&lt;&gt;"",N1234=""),"; Dept has not entered an expected value","")&amp;IF((IF(OR(COUNTA(S1234:U1234)=0,AND(COUNTA(S1234:U1234)=3,ISNUMBER(U1234))),0,1)+IF(OR(COUNTA(V1234:X1234)=0,AND(COUNTA(V1234:X1234)=3,ISNUMBER(X1234))),0,1)+IF(OR(COUNTA(Y1234:AA1234)=0,AND(COUNTA(Y1234:AA1234)=3,ISNUMBER(AA1234))),0,1)+IF(OR(COUNTA(AB1234:AD1234)=0,AND(COUNTA(AB1234:AD1234)=3,ISNUMBER(AD1234))),0,1)+IF(OR(COUNTA(AE1234:AG1234)=0,AND(COUNTA(AE1234:AG1234)=3,ISNUMBER(AG1234))),0,1)+IF(OR(COUNTA(AH1234:AJ1234)=0,AND(COUNTA(AH1234:AJ1234)=3,ISNUMBER(AJ1234))),0,1)+IF(OR(COUNTA(AK1234:AM1234)=0,AND(COUNTA(AK1234:AM1234)=3,ISNUMBER(AM1234))),0,1)+IF(OR(COUNTA(AN1234:AP1234)=0,AND(COUNTA(AN1234:AP1234)=3,ISNUMBER(AP1234))),0,1)+IF(OR(COUNTA(AQ1234:AS1234)=0,AND(COUNTA(AQ1234:AS1234)=3,ISNUMBER(AS1234))),0,1)+IF(OR(COUNTA(AT1234:AV1234)=0,AND(COUNTA(AT1234:AV1234)=3,ISNUMBER(AV1234))),0,1)+IF(OR(COUNTA(AW1234:AY1234)=0,AND(COUNTA(AW1234:AY1234)=3,ISNUMBER(AY1234))),0,1)+IF(OR(COUNTA(AZ1234:BB1234)=0,AND(COUNTA(AZ1234:BB1234)=3,ISNUMBER(BB1234))),0,1))&gt;0,"; An invoice is incomplete (needs No, Date and a number in Ex GST)","")&amp;IF((IF(T1234="",0,IFERROR(--(EOMONTH(T1234,0)&lt;&gt;S$5),1))+IF(W1234="",0,IFERROR(--(EOMONTH(W1234,0)&lt;&gt;V$5),1))+IF(Z1234="",0,IFERROR(--(EOMONTH(Z1234,0)&lt;&gt;Y$5),1))+IF(AC1234="",0,IFERROR(--(EOMONTH(AC1234,0)&lt;&gt;AB$5),1))+IF(AF1234="",0,IFERROR(--(EOMONTH(AF1234,0)&lt;&gt;AE$5),1))+IF(AI1234="",0,IFERROR(--(EOMONTH(AI1234,0)&lt;&gt;AH$5),1))+IF(AL1234="",0,IFERROR(--(EOMONTH(AL1234,0)&lt;&gt;AK$5),1))+IF(AO1234="",0,IFERROR(--(EOMONTH(AO1234,0)&lt;&gt;AN$5),1))+IF(AR1234="",0,IFERROR(--(EOMONTH(AR1234,0)&lt;&gt;AQ$5),1))+IF(AU1234="",0,IFERROR(--(EOMONTH(AU1234,0)&lt;&gt;AT$5),1))+IF(AX1234="",0,IFERROR(--(EOMONTH(AX1234,0)&lt;&gt;AW$5),1))+IF(BA1234="",0,IFERROR(--(EOMONTH(BA1234,0)&lt;&gt;AZ$5),1)))&gt;0,"; An invoice date is not in the month it is typed under",""),3,500))</f>
        <v/>
      </c>
      <c r="S1234" s="12" t="n"/>
      <c r="T1234" s="13" t="n"/>
      <c r="U1234" s="14" t="n"/>
      <c r="V1234" s="12" t="n"/>
      <c r="W1234" s="13" t="n"/>
      <c r="X1234" s="14" t="n"/>
      <c r="Y1234" s="12" t="n"/>
      <c r="Z1234" s="13" t="n"/>
      <c r="AA1234" s="14" t="n"/>
      <c r="AB1234" s="12" t="n"/>
      <c r="AC1234" s="13" t="n"/>
      <c r="AD1234" s="14" t="n"/>
      <c r="AE1234" s="12" t="n"/>
      <c r="AF1234" s="13" t="n"/>
      <c r="AG1234" s="14" t="n"/>
      <c r="AH1234" s="12" t="n"/>
      <c r="AI1234" s="13" t="n"/>
      <c r="AJ1234" s="14" t="n"/>
      <c r="AK1234" s="12" t="n"/>
      <c r="AL1234" s="13" t="n"/>
      <c r="AM1234" s="14" t="n"/>
      <c r="AN1234" s="12" t="n"/>
      <c r="AO1234" s="13" t="n"/>
      <c r="AP1234" s="14" t="n"/>
      <c r="AQ1234" s="12" t="n"/>
      <c r="AR1234" s="13" t="n"/>
      <c r="AS1234" s="14" t="n"/>
      <c r="AT1234" s="12" t="n"/>
      <c r="AU1234" s="13" t="n"/>
      <c r="AV1234" s="14" t="n"/>
      <c r="AW1234" s="12" t="n"/>
      <c r="AX1234" s="13" t="n"/>
      <c r="AY1234" s="14" t="n"/>
      <c r="AZ1234" s="12" t="n"/>
      <c r="BA1234" s="13" t="n"/>
      <c r="BB1234" s="14" t="n"/>
      <c r="BC1234" s="11">
        <f>IF(O1234="","",IF(J1234="GST 10%",ROUND(O1234*set_GSTRate,2),0))</f>
        <v/>
      </c>
      <c r="BD1234" s="11">
        <f>IF(O1234="","",O1234+BC1234)</f>
        <v/>
      </c>
      <c r="BE1234" s="15">
        <f>IF(O1234="","",COUNTA(S1234,V1234,Y1234,AB1234,AE1234,AH1234,AK1234,AN1234,AQ1234,AT1234,AW1234,AZ1234))</f>
        <v/>
      </c>
      <c r="BF1234" s="16">
        <f>IF(COUNT(T1234,W1234,Z1234,AC1234,AF1234,AI1234,AL1234,AO1234,AR1234,AU1234,AX1234,BA1234)=0,"",MAX(T1234,W1234,Z1234,AC1234,AF1234,AI1234,AL1234,AO1234,AR1234,AU1234,AX1234,BA1234))</f>
        <v/>
      </c>
      <c r="BG1234" s="10">
        <f>MID(IF(S1234="","",", "&amp;S1234)&amp;IF(V1234="","",", "&amp;V1234)&amp;IF(Y1234="","",", "&amp;Y1234)&amp;IF(AB1234="","",", "&amp;AB1234)&amp;IF(AE1234="","",", "&amp;AE1234)&amp;IF(AH1234="","",", "&amp;AH1234)&amp;IF(AK1234="","",", "&amp;AK1234)&amp;IF(AN1234="","",", "&amp;AN1234)&amp;IF(AQ1234="","",", "&amp;AQ1234)&amp;IF(AT1234="","",", "&amp;AT1234)&amp;IF(AW1234="","",", "&amp;AW1234)&amp;IF(AZ1234="","",", "&amp;AZ1234),3,500)</f>
        <v/>
      </c>
      <c r="BH1234" s="12" t="n"/>
      <c r="BI1234" s="15">
        <f>IFERROR(MATCH($A1234,IF($B1234="Onsite",tbl_Onsite[Row ID],IF($B1234="Production",tbl_Production[Row ID],tbl_Consulting[Row ID])),0),"")</f>
        <v/>
      </c>
    </row>
    <row r="1235">
      <c r="A1235" s="10" t="inlineStr">
        <is>
          <t>CON-0229</t>
        </is>
      </c>
      <c r="B1235" s="10" t="inlineStr">
        <is>
          <t>Consulting</t>
        </is>
      </c>
      <c r="C1235" s="10">
        <f>IF($BI1235="","",IF($B1235="Onsite",INDEX(tbl_Onsite[Job Number],$BI1235),IF($B1235="Production",INDEX(tbl_Production[Job Number],$BI1235),INDEX(tbl_Consulting[Job Number],$BI1235)))&amp;"")</f>
        <v/>
      </c>
      <c r="D1235" s="10">
        <f>IF($BI1235="","",IF($B1235="Onsite",INDEX(tbl_Onsite[Client],$BI1235),IF($B1235="Production",INDEX(tbl_Production[Client],$BI1235),INDEX(tbl_Consulting[Client],$BI1235)))&amp;"")</f>
        <v/>
      </c>
      <c r="E1235" s="10">
        <f>IF($C1235="","",IF(COUNTIF(lst_Jobs,$C1235)&gt;0,"OK","CHECK"))</f>
        <v/>
      </c>
      <c r="F1235" s="10">
        <f>IF($C1235="","",IFERROR(INDEX(lst_JobName,MATCH($C1235,lst_Jobs,0)),""))</f>
        <v/>
      </c>
      <c r="G1235" s="10">
        <f>IF($BI1235="","",IF($B1235="Onsite",INDEX(tbl_Onsite[Job Description],$BI1235),IF($B1235="Production",INDEX(tbl_Production[Job Description],$BI1235),INDEX(tbl_Consulting[Job Description],$BI1235)))&amp;"")</f>
        <v/>
      </c>
      <c r="H1235" s="10">
        <f>IF($BI1235="","",IF($B1235="Onsite",INDEX(tbl_Onsite[Cost Centre],$BI1235),IF($B1235="Production",INDEX(tbl_Production[Cost Centre],$BI1235),INDEX(tbl_Consulting[Cost Centre],$BI1235)))&amp;"")</f>
        <v/>
      </c>
      <c r="I1235" s="10">
        <f>IF($BI1235="","",IF($B1235="Onsite",INDEX(tbl_Onsite[Invoice Type],$BI1235),IF($B1235="Production",INDEX(tbl_Production[Invoice Type],$BI1235),INDEX(tbl_Consulting[Invoice Type],$BI1235)))&amp;"")</f>
        <v/>
      </c>
      <c r="J1235" s="10">
        <f>IF($BI1235="","",IF($B1235="Onsite",INDEX(tbl_Onsite[Tax Code],$BI1235),IF($B1235="Production",INDEX(tbl_Production[Tax Code],$BI1235),INDEX(tbl_Consulting[Tax Code],$BI1235)))&amp;"")</f>
        <v/>
      </c>
      <c r="K1235" s="10">
        <f>IF(H1235="","",IFERROR(INDEX(lst_CCtoGL,MATCH(H1235,lst_CCforGL,0)),""))</f>
        <v/>
      </c>
      <c r="L1235" s="10">
        <f>IF($BI1235="","",IF($B1235="Onsite",INDEX(tbl_Onsite[PO / Reference],$BI1235),IF($B1235="Production",INDEX(tbl_Production[Current RMS No],$BI1235),INDEX(tbl_Consulting[Qwilr Quote],$BI1235)))&amp;"")</f>
        <v/>
      </c>
      <c r="M1235" s="10">
        <f>IF($BI1235="","",IF($B1235="Onsite",INDEX(tbl_Onsite[Notes],$BI1235),IF($B1235="Production",INDEX(tbl_Production[Notes],$BI1235),INDEX(tbl_Consulting[Notes],$BI1235)))&amp;"")</f>
        <v/>
      </c>
      <c r="N1235" s="11">
        <f>IF($BI1235="","",IF(IF($B1235="Onsite",INDEX(tbl_Onsite[Expected Revenue Ex GST],$BI1235),IF($B1235="Production",INDEX(tbl_Production[Expected Revenue Ex GST],$BI1235),INDEX(tbl_Consulting[Expected Revenue Ex GST],$BI1235)))="","",IF($B1235="Onsite",INDEX(tbl_Onsite[Expected Revenue Ex GST],$BI1235),IF($B1235="Production",INDEX(tbl_Production[Expected Revenue Ex GST],$BI1235),INDEX(tbl_Consulting[Expected Revenue Ex GST],$BI1235)))))</f>
        <v/>
      </c>
      <c r="O1235" s="11">
        <f>IF(AND($C1235="",NOT(COUNTA($S1235:$BB1235)&gt;0)),"",SUM(U1235,X1235,AA1235,AD1235,AG1235,AJ1235,AM1235,AP1235,AS1235,AV1235,AY1235,BB1235))</f>
        <v/>
      </c>
      <c r="P1235" s="11">
        <f>IF(O1235="","",N(N1235)-O1235)</f>
        <v/>
      </c>
      <c r="Q1235" s="10">
        <f>IF(O1235="","",IF($C1235="","Invoice on empty job row",IF(N1235="",IF(ROUND(O1235,2)=0,"No dept value","Invoiced - no dept value"),IF(ROUND(O1235,2)=0,"Not invoiced - to invoice",IF(ROUND(P1235,2)=0,"Agrees",IF(P1235&gt;0,"Dept higher - to invoice","Xero higher - check dept"))))))</f>
        <v/>
      </c>
      <c r="R1235" s="10">
        <f>IF(AND($C1235="",NOT(COUNTA($S1235:$BB1235)&gt;0),$BI1235&lt;&gt;""),"",MID(IF($BI1235="","; Row ID not found on the department sheet - a row was deleted","")&amp;IF(AND($C1235="",COUNTA($S1235:$BB1235)&gt;0),"; Invoice entered but the department row has no job number","")&amp;IF(E1235="CHECK","; Job number not in the Xero job list","")&amp;IF(AND($C1235&lt;&gt;"",COUNTIF($C$7:$C$1506,$C1235)&gt;1),"; Job number on more than one row","")&amp;IF(AND($C1235&lt;&gt;"",H1235=""),"; Dept has not set a cost centre","")&amp;IF(AND($C1235&lt;&gt;"",J1235=""),"; Dept has not set a tax code","")&amp;IF(AND($C1235&lt;&gt;"",N1235=""),"; Dept has not entered an expected value","")&amp;IF((IF(OR(COUNTA(S1235:U1235)=0,AND(COUNTA(S1235:U1235)=3,ISNUMBER(U1235))),0,1)+IF(OR(COUNTA(V1235:X1235)=0,AND(COUNTA(V1235:X1235)=3,ISNUMBER(X1235))),0,1)+IF(OR(COUNTA(Y1235:AA1235)=0,AND(COUNTA(Y1235:AA1235)=3,ISNUMBER(AA1235))),0,1)+IF(OR(COUNTA(AB1235:AD1235)=0,AND(COUNTA(AB1235:AD1235)=3,ISNUMBER(AD1235))),0,1)+IF(OR(COUNTA(AE1235:AG1235)=0,AND(COUNTA(AE1235:AG1235)=3,ISNUMBER(AG1235))),0,1)+IF(OR(COUNTA(AH1235:AJ1235)=0,AND(COUNTA(AH1235:AJ1235)=3,ISNUMBER(AJ1235))),0,1)+IF(OR(COUNTA(AK1235:AM1235)=0,AND(COUNTA(AK1235:AM1235)=3,ISNUMBER(AM1235))),0,1)+IF(OR(COUNTA(AN1235:AP1235)=0,AND(COUNTA(AN1235:AP1235)=3,ISNUMBER(AP1235))),0,1)+IF(OR(COUNTA(AQ1235:AS1235)=0,AND(COUNTA(AQ1235:AS1235)=3,ISNUMBER(AS1235))),0,1)+IF(OR(COUNTA(AT1235:AV1235)=0,AND(COUNTA(AT1235:AV1235)=3,ISNUMBER(AV1235))),0,1)+IF(OR(COUNTA(AW1235:AY1235)=0,AND(COUNTA(AW1235:AY1235)=3,ISNUMBER(AY1235))),0,1)+IF(OR(COUNTA(AZ1235:BB1235)=0,AND(COUNTA(AZ1235:BB1235)=3,ISNUMBER(BB1235))),0,1))&gt;0,"; An invoice is incomplete (needs No, Date and a number in Ex GST)","")&amp;IF((IF(T1235="",0,IFERROR(--(EOMONTH(T1235,0)&lt;&gt;S$5),1))+IF(W1235="",0,IFERROR(--(EOMONTH(W1235,0)&lt;&gt;V$5),1))+IF(Z1235="",0,IFERROR(--(EOMONTH(Z1235,0)&lt;&gt;Y$5),1))+IF(AC1235="",0,IFERROR(--(EOMONTH(AC1235,0)&lt;&gt;AB$5),1))+IF(AF1235="",0,IFERROR(--(EOMONTH(AF1235,0)&lt;&gt;AE$5),1))+IF(AI1235="",0,IFERROR(--(EOMONTH(AI1235,0)&lt;&gt;AH$5),1))+IF(AL1235="",0,IFERROR(--(EOMONTH(AL1235,0)&lt;&gt;AK$5),1))+IF(AO1235="",0,IFERROR(--(EOMONTH(AO1235,0)&lt;&gt;AN$5),1))+IF(AR1235="",0,IFERROR(--(EOMONTH(AR1235,0)&lt;&gt;AQ$5),1))+IF(AU1235="",0,IFERROR(--(EOMONTH(AU1235,0)&lt;&gt;AT$5),1))+IF(AX1235="",0,IFERROR(--(EOMONTH(AX1235,0)&lt;&gt;AW$5),1))+IF(BA1235="",0,IFERROR(--(EOMONTH(BA1235,0)&lt;&gt;AZ$5),1)))&gt;0,"; An invoice date is not in the month it is typed under",""),3,500))</f>
        <v/>
      </c>
      <c r="S1235" s="12" t="n"/>
      <c r="T1235" s="13" t="n"/>
      <c r="U1235" s="14" t="n"/>
      <c r="V1235" s="12" t="n"/>
      <c r="W1235" s="13" t="n"/>
      <c r="X1235" s="14" t="n"/>
      <c r="Y1235" s="12" t="n"/>
      <c r="Z1235" s="13" t="n"/>
      <c r="AA1235" s="14" t="n"/>
      <c r="AB1235" s="12" t="n"/>
      <c r="AC1235" s="13" t="n"/>
      <c r="AD1235" s="14" t="n"/>
      <c r="AE1235" s="12" t="n"/>
      <c r="AF1235" s="13" t="n"/>
      <c r="AG1235" s="14" t="n"/>
      <c r="AH1235" s="12" t="n"/>
      <c r="AI1235" s="13" t="n"/>
      <c r="AJ1235" s="14" t="n"/>
      <c r="AK1235" s="12" t="n"/>
      <c r="AL1235" s="13" t="n"/>
      <c r="AM1235" s="14" t="n"/>
      <c r="AN1235" s="12" t="n"/>
      <c r="AO1235" s="13" t="n"/>
      <c r="AP1235" s="14" t="n"/>
      <c r="AQ1235" s="12" t="n"/>
      <c r="AR1235" s="13" t="n"/>
      <c r="AS1235" s="14" t="n"/>
      <c r="AT1235" s="12" t="n"/>
      <c r="AU1235" s="13" t="n"/>
      <c r="AV1235" s="14" t="n"/>
      <c r="AW1235" s="12" t="n"/>
      <c r="AX1235" s="13" t="n"/>
      <c r="AY1235" s="14" t="n"/>
      <c r="AZ1235" s="12" t="n"/>
      <c r="BA1235" s="13" t="n"/>
      <c r="BB1235" s="14" t="n"/>
      <c r="BC1235" s="11">
        <f>IF(O1235="","",IF(J1235="GST 10%",ROUND(O1235*set_GSTRate,2),0))</f>
        <v/>
      </c>
      <c r="BD1235" s="11">
        <f>IF(O1235="","",O1235+BC1235)</f>
        <v/>
      </c>
      <c r="BE1235" s="15">
        <f>IF(O1235="","",COUNTA(S1235,V1235,Y1235,AB1235,AE1235,AH1235,AK1235,AN1235,AQ1235,AT1235,AW1235,AZ1235))</f>
        <v/>
      </c>
      <c r="BF1235" s="16">
        <f>IF(COUNT(T1235,W1235,Z1235,AC1235,AF1235,AI1235,AL1235,AO1235,AR1235,AU1235,AX1235,BA1235)=0,"",MAX(T1235,W1235,Z1235,AC1235,AF1235,AI1235,AL1235,AO1235,AR1235,AU1235,AX1235,BA1235))</f>
        <v/>
      </c>
      <c r="BG1235" s="10">
        <f>MID(IF(S1235="","",", "&amp;S1235)&amp;IF(V1235="","",", "&amp;V1235)&amp;IF(Y1235="","",", "&amp;Y1235)&amp;IF(AB1235="","",", "&amp;AB1235)&amp;IF(AE1235="","",", "&amp;AE1235)&amp;IF(AH1235="","",", "&amp;AH1235)&amp;IF(AK1235="","",", "&amp;AK1235)&amp;IF(AN1235="","",", "&amp;AN1235)&amp;IF(AQ1235="","",", "&amp;AQ1235)&amp;IF(AT1235="","",", "&amp;AT1235)&amp;IF(AW1235="","",", "&amp;AW1235)&amp;IF(AZ1235="","",", "&amp;AZ1235),3,500)</f>
        <v/>
      </c>
      <c r="BH1235" s="12" t="n"/>
      <c r="BI1235" s="15">
        <f>IFERROR(MATCH($A1235,IF($B1235="Onsite",tbl_Onsite[Row ID],IF($B1235="Production",tbl_Production[Row ID],tbl_Consulting[Row ID])),0),"")</f>
        <v/>
      </c>
    </row>
    <row r="1236">
      <c r="A1236" s="10" t="inlineStr">
        <is>
          <t>CON-0230</t>
        </is>
      </c>
      <c r="B1236" s="10" t="inlineStr">
        <is>
          <t>Consulting</t>
        </is>
      </c>
      <c r="C1236" s="10">
        <f>IF($BI1236="","",IF($B1236="Onsite",INDEX(tbl_Onsite[Job Number],$BI1236),IF($B1236="Production",INDEX(tbl_Production[Job Number],$BI1236),INDEX(tbl_Consulting[Job Number],$BI1236)))&amp;"")</f>
        <v/>
      </c>
      <c r="D1236" s="10">
        <f>IF($BI1236="","",IF($B1236="Onsite",INDEX(tbl_Onsite[Client],$BI1236),IF($B1236="Production",INDEX(tbl_Production[Client],$BI1236),INDEX(tbl_Consulting[Client],$BI1236)))&amp;"")</f>
        <v/>
      </c>
      <c r="E1236" s="10">
        <f>IF($C1236="","",IF(COUNTIF(lst_Jobs,$C1236)&gt;0,"OK","CHECK"))</f>
        <v/>
      </c>
      <c r="F1236" s="10">
        <f>IF($C1236="","",IFERROR(INDEX(lst_JobName,MATCH($C1236,lst_Jobs,0)),""))</f>
        <v/>
      </c>
      <c r="G1236" s="10">
        <f>IF($BI1236="","",IF($B1236="Onsite",INDEX(tbl_Onsite[Job Description],$BI1236),IF($B1236="Production",INDEX(tbl_Production[Job Description],$BI1236),INDEX(tbl_Consulting[Job Description],$BI1236)))&amp;"")</f>
        <v/>
      </c>
      <c r="H1236" s="10">
        <f>IF($BI1236="","",IF($B1236="Onsite",INDEX(tbl_Onsite[Cost Centre],$BI1236),IF($B1236="Production",INDEX(tbl_Production[Cost Centre],$BI1236),INDEX(tbl_Consulting[Cost Centre],$BI1236)))&amp;"")</f>
        <v/>
      </c>
      <c r="I1236" s="10">
        <f>IF($BI1236="","",IF($B1236="Onsite",INDEX(tbl_Onsite[Invoice Type],$BI1236),IF($B1236="Production",INDEX(tbl_Production[Invoice Type],$BI1236),INDEX(tbl_Consulting[Invoice Type],$BI1236)))&amp;"")</f>
        <v/>
      </c>
      <c r="J1236" s="10">
        <f>IF($BI1236="","",IF($B1236="Onsite",INDEX(tbl_Onsite[Tax Code],$BI1236),IF($B1236="Production",INDEX(tbl_Production[Tax Code],$BI1236),INDEX(tbl_Consulting[Tax Code],$BI1236)))&amp;"")</f>
        <v/>
      </c>
      <c r="K1236" s="10">
        <f>IF(H1236="","",IFERROR(INDEX(lst_CCtoGL,MATCH(H1236,lst_CCforGL,0)),""))</f>
        <v/>
      </c>
      <c r="L1236" s="10">
        <f>IF($BI1236="","",IF($B1236="Onsite",INDEX(tbl_Onsite[PO / Reference],$BI1236),IF($B1236="Production",INDEX(tbl_Production[Current RMS No],$BI1236),INDEX(tbl_Consulting[Qwilr Quote],$BI1236)))&amp;"")</f>
        <v/>
      </c>
      <c r="M1236" s="10">
        <f>IF($BI1236="","",IF($B1236="Onsite",INDEX(tbl_Onsite[Notes],$BI1236),IF($B1236="Production",INDEX(tbl_Production[Notes],$BI1236),INDEX(tbl_Consulting[Notes],$BI1236)))&amp;"")</f>
        <v/>
      </c>
      <c r="N1236" s="11">
        <f>IF($BI1236="","",IF(IF($B1236="Onsite",INDEX(tbl_Onsite[Expected Revenue Ex GST],$BI1236),IF($B1236="Production",INDEX(tbl_Production[Expected Revenue Ex GST],$BI1236),INDEX(tbl_Consulting[Expected Revenue Ex GST],$BI1236)))="","",IF($B1236="Onsite",INDEX(tbl_Onsite[Expected Revenue Ex GST],$BI1236),IF($B1236="Production",INDEX(tbl_Production[Expected Revenue Ex GST],$BI1236),INDEX(tbl_Consulting[Expected Revenue Ex GST],$BI1236)))))</f>
        <v/>
      </c>
      <c r="O1236" s="11">
        <f>IF(AND($C1236="",NOT(COUNTA($S1236:$BB1236)&gt;0)),"",SUM(U1236,X1236,AA1236,AD1236,AG1236,AJ1236,AM1236,AP1236,AS1236,AV1236,AY1236,BB1236))</f>
        <v/>
      </c>
      <c r="P1236" s="11">
        <f>IF(O1236="","",N(N1236)-O1236)</f>
        <v/>
      </c>
      <c r="Q1236" s="10">
        <f>IF(O1236="","",IF($C1236="","Invoice on empty job row",IF(N1236="",IF(ROUND(O1236,2)=0,"No dept value","Invoiced - no dept value"),IF(ROUND(O1236,2)=0,"Not invoiced - to invoice",IF(ROUND(P1236,2)=0,"Agrees",IF(P1236&gt;0,"Dept higher - to invoice","Xero higher - check dept"))))))</f>
        <v/>
      </c>
      <c r="R1236" s="10">
        <f>IF(AND($C1236="",NOT(COUNTA($S1236:$BB1236)&gt;0),$BI1236&lt;&gt;""),"",MID(IF($BI1236="","; Row ID not found on the department sheet - a row was deleted","")&amp;IF(AND($C1236="",COUNTA($S1236:$BB1236)&gt;0),"; Invoice entered but the department row has no job number","")&amp;IF(E1236="CHECK","; Job number not in the Xero job list","")&amp;IF(AND($C1236&lt;&gt;"",COUNTIF($C$7:$C$1506,$C1236)&gt;1),"; Job number on more than one row","")&amp;IF(AND($C1236&lt;&gt;"",H1236=""),"; Dept has not set a cost centre","")&amp;IF(AND($C1236&lt;&gt;"",J1236=""),"; Dept has not set a tax code","")&amp;IF(AND($C1236&lt;&gt;"",N1236=""),"; Dept has not entered an expected value","")&amp;IF((IF(OR(COUNTA(S1236:U1236)=0,AND(COUNTA(S1236:U1236)=3,ISNUMBER(U1236))),0,1)+IF(OR(COUNTA(V1236:X1236)=0,AND(COUNTA(V1236:X1236)=3,ISNUMBER(X1236))),0,1)+IF(OR(COUNTA(Y1236:AA1236)=0,AND(COUNTA(Y1236:AA1236)=3,ISNUMBER(AA1236))),0,1)+IF(OR(COUNTA(AB1236:AD1236)=0,AND(COUNTA(AB1236:AD1236)=3,ISNUMBER(AD1236))),0,1)+IF(OR(COUNTA(AE1236:AG1236)=0,AND(COUNTA(AE1236:AG1236)=3,ISNUMBER(AG1236))),0,1)+IF(OR(COUNTA(AH1236:AJ1236)=0,AND(COUNTA(AH1236:AJ1236)=3,ISNUMBER(AJ1236))),0,1)+IF(OR(COUNTA(AK1236:AM1236)=0,AND(COUNTA(AK1236:AM1236)=3,ISNUMBER(AM1236))),0,1)+IF(OR(COUNTA(AN1236:AP1236)=0,AND(COUNTA(AN1236:AP1236)=3,ISNUMBER(AP1236))),0,1)+IF(OR(COUNTA(AQ1236:AS1236)=0,AND(COUNTA(AQ1236:AS1236)=3,ISNUMBER(AS1236))),0,1)+IF(OR(COUNTA(AT1236:AV1236)=0,AND(COUNTA(AT1236:AV1236)=3,ISNUMBER(AV1236))),0,1)+IF(OR(COUNTA(AW1236:AY1236)=0,AND(COUNTA(AW1236:AY1236)=3,ISNUMBER(AY1236))),0,1)+IF(OR(COUNTA(AZ1236:BB1236)=0,AND(COUNTA(AZ1236:BB1236)=3,ISNUMBER(BB1236))),0,1))&gt;0,"; An invoice is incomplete (needs No, Date and a number in Ex GST)","")&amp;IF((IF(T1236="",0,IFERROR(--(EOMONTH(T1236,0)&lt;&gt;S$5),1))+IF(W1236="",0,IFERROR(--(EOMONTH(W1236,0)&lt;&gt;V$5),1))+IF(Z1236="",0,IFERROR(--(EOMONTH(Z1236,0)&lt;&gt;Y$5),1))+IF(AC1236="",0,IFERROR(--(EOMONTH(AC1236,0)&lt;&gt;AB$5),1))+IF(AF1236="",0,IFERROR(--(EOMONTH(AF1236,0)&lt;&gt;AE$5),1))+IF(AI1236="",0,IFERROR(--(EOMONTH(AI1236,0)&lt;&gt;AH$5),1))+IF(AL1236="",0,IFERROR(--(EOMONTH(AL1236,0)&lt;&gt;AK$5),1))+IF(AO1236="",0,IFERROR(--(EOMONTH(AO1236,0)&lt;&gt;AN$5),1))+IF(AR1236="",0,IFERROR(--(EOMONTH(AR1236,0)&lt;&gt;AQ$5),1))+IF(AU1236="",0,IFERROR(--(EOMONTH(AU1236,0)&lt;&gt;AT$5),1))+IF(AX1236="",0,IFERROR(--(EOMONTH(AX1236,0)&lt;&gt;AW$5),1))+IF(BA1236="",0,IFERROR(--(EOMONTH(BA1236,0)&lt;&gt;AZ$5),1)))&gt;0,"; An invoice date is not in the month it is typed under",""),3,500))</f>
        <v/>
      </c>
      <c r="S1236" s="12" t="n"/>
      <c r="T1236" s="13" t="n"/>
      <c r="U1236" s="14" t="n"/>
      <c r="V1236" s="12" t="n"/>
      <c r="W1236" s="13" t="n"/>
      <c r="X1236" s="14" t="n"/>
      <c r="Y1236" s="12" t="n"/>
      <c r="Z1236" s="13" t="n"/>
      <c r="AA1236" s="14" t="n"/>
      <c r="AB1236" s="12" t="n"/>
      <c r="AC1236" s="13" t="n"/>
      <c r="AD1236" s="14" t="n"/>
      <c r="AE1236" s="12" t="n"/>
      <c r="AF1236" s="13" t="n"/>
      <c r="AG1236" s="14" t="n"/>
      <c r="AH1236" s="12" t="n"/>
      <c r="AI1236" s="13" t="n"/>
      <c r="AJ1236" s="14" t="n"/>
      <c r="AK1236" s="12" t="n"/>
      <c r="AL1236" s="13" t="n"/>
      <c r="AM1236" s="14" t="n"/>
      <c r="AN1236" s="12" t="n"/>
      <c r="AO1236" s="13" t="n"/>
      <c r="AP1236" s="14" t="n"/>
      <c r="AQ1236" s="12" t="n"/>
      <c r="AR1236" s="13" t="n"/>
      <c r="AS1236" s="14" t="n"/>
      <c r="AT1236" s="12" t="n"/>
      <c r="AU1236" s="13" t="n"/>
      <c r="AV1236" s="14" t="n"/>
      <c r="AW1236" s="12" t="n"/>
      <c r="AX1236" s="13" t="n"/>
      <c r="AY1236" s="14" t="n"/>
      <c r="AZ1236" s="12" t="n"/>
      <c r="BA1236" s="13" t="n"/>
      <c r="BB1236" s="14" t="n"/>
      <c r="BC1236" s="11">
        <f>IF(O1236="","",IF(J1236="GST 10%",ROUND(O1236*set_GSTRate,2),0))</f>
        <v/>
      </c>
      <c r="BD1236" s="11">
        <f>IF(O1236="","",O1236+BC1236)</f>
        <v/>
      </c>
      <c r="BE1236" s="15">
        <f>IF(O1236="","",COUNTA(S1236,V1236,Y1236,AB1236,AE1236,AH1236,AK1236,AN1236,AQ1236,AT1236,AW1236,AZ1236))</f>
        <v/>
      </c>
      <c r="BF1236" s="16">
        <f>IF(COUNT(T1236,W1236,Z1236,AC1236,AF1236,AI1236,AL1236,AO1236,AR1236,AU1236,AX1236,BA1236)=0,"",MAX(T1236,W1236,Z1236,AC1236,AF1236,AI1236,AL1236,AO1236,AR1236,AU1236,AX1236,BA1236))</f>
        <v/>
      </c>
      <c r="BG1236" s="10">
        <f>MID(IF(S1236="","",", "&amp;S1236)&amp;IF(V1236="","",", "&amp;V1236)&amp;IF(Y1236="","",", "&amp;Y1236)&amp;IF(AB1236="","",", "&amp;AB1236)&amp;IF(AE1236="","",", "&amp;AE1236)&amp;IF(AH1236="","",", "&amp;AH1236)&amp;IF(AK1236="","",", "&amp;AK1236)&amp;IF(AN1236="","",", "&amp;AN1236)&amp;IF(AQ1236="","",", "&amp;AQ1236)&amp;IF(AT1236="","",", "&amp;AT1236)&amp;IF(AW1236="","",", "&amp;AW1236)&amp;IF(AZ1236="","",", "&amp;AZ1236),3,500)</f>
        <v/>
      </c>
      <c r="BH1236" s="12" t="n"/>
      <c r="BI1236" s="15">
        <f>IFERROR(MATCH($A1236,IF($B1236="Onsite",tbl_Onsite[Row ID],IF($B1236="Production",tbl_Production[Row ID],tbl_Consulting[Row ID])),0),"")</f>
        <v/>
      </c>
    </row>
    <row r="1237">
      <c r="A1237" s="10" t="inlineStr">
        <is>
          <t>CON-0231</t>
        </is>
      </c>
      <c r="B1237" s="10" t="inlineStr">
        <is>
          <t>Consulting</t>
        </is>
      </c>
      <c r="C1237" s="10">
        <f>IF($BI1237="","",IF($B1237="Onsite",INDEX(tbl_Onsite[Job Number],$BI1237),IF($B1237="Production",INDEX(tbl_Production[Job Number],$BI1237),INDEX(tbl_Consulting[Job Number],$BI1237)))&amp;"")</f>
        <v/>
      </c>
      <c r="D1237" s="10">
        <f>IF($BI1237="","",IF($B1237="Onsite",INDEX(tbl_Onsite[Client],$BI1237),IF($B1237="Production",INDEX(tbl_Production[Client],$BI1237),INDEX(tbl_Consulting[Client],$BI1237)))&amp;"")</f>
        <v/>
      </c>
      <c r="E1237" s="10">
        <f>IF($C1237="","",IF(COUNTIF(lst_Jobs,$C1237)&gt;0,"OK","CHECK"))</f>
        <v/>
      </c>
      <c r="F1237" s="10">
        <f>IF($C1237="","",IFERROR(INDEX(lst_JobName,MATCH($C1237,lst_Jobs,0)),""))</f>
        <v/>
      </c>
      <c r="G1237" s="10">
        <f>IF($BI1237="","",IF($B1237="Onsite",INDEX(tbl_Onsite[Job Description],$BI1237),IF($B1237="Production",INDEX(tbl_Production[Job Description],$BI1237),INDEX(tbl_Consulting[Job Description],$BI1237)))&amp;"")</f>
        <v/>
      </c>
      <c r="H1237" s="10">
        <f>IF($BI1237="","",IF($B1237="Onsite",INDEX(tbl_Onsite[Cost Centre],$BI1237),IF($B1237="Production",INDEX(tbl_Production[Cost Centre],$BI1237),INDEX(tbl_Consulting[Cost Centre],$BI1237)))&amp;"")</f>
        <v/>
      </c>
      <c r="I1237" s="10">
        <f>IF($BI1237="","",IF($B1237="Onsite",INDEX(tbl_Onsite[Invoice Type],$BI1237),IF($B1237="Production",INDEX(tbl_Production[Invoice Type],$BI1237),INDEX(tbl_Consulting[Invoice Type],$BI1237)))&amp;"")</f>
        <v/>
      </c>
      <c r="J1237" s="10">
        <f>IF($BI1237="","",IF($B1237="Onsite",INDEX(tbl_Onsite[Tax Code],$BI1237),IF($B1237="Production",INDEX(tbl_Production[Tax Code],$BI1237),INDEX(tbl_Consulting[Tax Code],$BI1237)))&amp;"")</f>
        <v/>
      </c>
      <c r="K1237" s="10">
        <f>IF(H1237="","",IFERROR(INDEX(lst_CCtoGL,MATCH(H1237,lst_CCforGL,0)),""))</f>
        <v/>
      </c>
      <c r="L1237" s="10">
        <f>IF($BI1237="","",IF($B1237="Onsite",INDEX(tbl_Onsite[PO / Reference],$BI1237),IF($B1237="Production",INDEX(tbl_Production[Current RMS No],$BI1237),INDEX(tbl_Consulting[Qwilr Quote],$BI1237)))&amp;"")</f>
        <v/>
      </c>
      <c r="M1237" s="10">
        <f>IF($BI1237="","",IF($B1237="Onsite",INDEX(tbl_Onsite[Notes],$BI1237),IF($B1237="Production",INDEX(tbl_Production[Notes],$BI1237),INDEX(tbl_Consulting[Notes],$BI1237)))&amp;"")</f>
        <v/>
      </c>
      <c r="N1237" s="11">
        <f>IF($BI1237="","",IF(IF($B1237="Onsite",INDEX(tbl_Onsite[Expected Revenue Ex GST],$BI1237),IF($B1237="Production",INDEX(tbl_Production[Expected Revenue Ex GST],$BI1237),INDEX(tbl_Consulting[Expected Revenue Ex GST],$BI1237)))="","",IF($B1237="Onsite",INDEX(tbl_Onsite[Expected Revenue Ex GST],$BI1237),IF($B1237="Production",INDEX(tbl_Production[Expected Revenue Ex GST],$BI1237),INDEX(tbl_Consulting[Expected Revenue Ex GST],$BI1237)))))</f>
        <v/>
      </c>
      <c r="O1237" s="11">
        <f>IF(AND($C1237="",NOT(COUNTA($S1237:$BB1237)&gt;0)),"",SUM(U1237,X1237,AA1237,AD1237,AG1237,AJ1237,AM1237,AP1237,AS1237,AV1237,AY1237,BB1237))</f>
        <v/>
      </c>
      <c r="P1237" s="11">
        <f>IF(O1237="","",N(N1237)-O1237)</f>
        <v/>
      </c>
      <c r="Q1237" s="10">
        <f>IF(O1237="","",IF($C1237="","Invoice on empty job row",IF(N1237="",IF(ROUND(O1237,2)=0,"No dept value","Invoiced - no dept value"),IF(ROUND(O1237,2)=0,"Not invoiced - to invoice",IF(ROUND(P1237,2)=0,"Agrees",IF(P1237&gt;0,"Dept higher - to invoice","Xero higher - check dept"))))))</f>
        <v/>
      </c>
      <c r="R1237" s="10">
        <f>IF(AND($C1237="",NOT(COUNTA($S1237:$BB1237)&gt;0),$BI1237&lt;&gt;""),"",MID(IF($BI1237="","; Row ID not found on the department sheet - a row was deleted","")&amp;IF(AND($C1237="",COUNTA($S1237:$BB1237)&gt;0),"; Invoice entered but the department row has no job number","")&amp;IF(E1237="CHECK","; Job number not in the Xero job list","")&amp;IF(AND($C1237&lt;&gt;"",COUNTIF($C$7:$C$1506,$C1237)&gt;1),"; Job number on more than one row","")&amp;IF(AND($C1237&lt;&gt;"",H1237=""),"; Dept has not set a cost centre","")&amp;IF(AND($C1237&lt;&gt;"",J1237=""),"; Dept has not set a tax code","")&amp;IF(AND($C1237&lt;&gt;"",N1237=""),"; Dept has not entered an expected value","")&amp;IF((IF(OR(COUNTA(S1237:U1237)=0,AND(COUNTA(S1237:U1237)=3,ISNUMBER(U1237))),0,1)+IF(OR(COUNTA(V1237:X1237)=0,AND(COUNTA(V1237:X1237)=3,ISNUMBER(X1237))),0,1)+IF(OR(COUNTA(Y1237:AA1237)=0,AND(COUNTA(Y1237:AA1237)=3,ISNUMBER(AA1237))),0,1)+IF(OR(COUNTA(AB1237:AD1237)=0,AND(COUNTA(AB1237:AD1237)=3,ISNUMBER(AD1237))),0,1)+IF(OR(COUNTA(AE1237:AG1237)=0,AND(COUNTA(AE1237:AG1237)=3,ISNUMBER(AG1237))),0,1)+IF(OR(COUNTA(AH1237:AJ1237)=0,AND(COUNTA(AH1237:AJ1237)=3,ISNUMBER(AJ1237))),0,1)+IF(OR(COUNTA(AK1237:AM1237)=0,AND(COUNTA(AK1237:AM1237)=3,ISNUMBER(AM1237))),0,1)+IF(OR(COUNTA(AN1237:AP1237)=0,AND(COUNTA(AN1237:AP1237)=3,ISNUMBER(AP1237))),0,1)+IF(OR(COUNTA(AQ1237:AS1237)=0,AND(COUNTA(AQ1237:AS1237)=3,ISNUMBER(AS1237))),0,1)+IF(OR(COUNTA(AT1237:AV1237)=0,AND(COUNTA(AT1237:AV1237)=3,ISNUMBER(AV1237))),0,1)+IF(OR(COUNTA(AW1237:AY1237)=0,AND(COUNTA(AW1237:AY1237)=3,ISNUMBER(AY1237))),0,1)+IF(OR(COUNTA(AZ1237:BB1237)=0,AND(COUNTA(AZ1237:BB1237)=3,ISNUMBER(BB1237))),0,1))&gt;0,"; An invoice is incomplete (needs No, Date and a number in Ex GST)","")&amp;IF((IF(T1237="",0,IFERROR(--(EOMONTH(T1237,0)&lt;&gt;S$5),1))+IF(W1237="",0,IFERROR(--(EOMONTH(W1237,0)&lt;&gt;V$5),1))+IF(Z1237="",0,IFERROR(--(EOMONTH(Z1237,0)&lt;&gt;Y$5),1))+IF(AC1237="",0,IFERROR(--(EOMONTH(AC1237,0)&lt;&gt;AB$5),1))+IF(AF1237="",0,IFERROR(--(EOMONTH(AF1237,0)&lt;&gt;AE$5),1))+IF(AI1237="",0,IFERROR(--(EOMONTH(AI1237,0)&lt;&gt;AH$5),1))+IF(AL1237="",0,IFERROR(--(EOMONTH(AL1237,0)&lt;&gt;AK$5),1))+IF(AO1237="",0,IFERROR(--(EOMONTH(AO1237,0)&lt;&gt;AN$5),1))+IF(AR1237="",0,IFERROR(--(EOMONTH(AR1237,0)&lt;&gt;AQ$5),1))+IF(AU1237="",0,IFERROR(--(EOMONTH(AU1237,0)&lt;&gt;AT$5),1))+IF(AX1237="",0,IFERROR(--(EOMONTH(AX1237,0)&lt;&gt;AW$5),1))+IF(BA1237="",0,IFERROR(--(EOMONTH(BA1237,0)&lt;&gt;AZ$5),1)))&gt;0,"; An invoice date is not in the month it is typed under",""),3,500))</f>
        <v/>
      </c>
      <c r="S1237" s="12" t="n"/>
      <c r="T1237" s="13" t="n"/>
      <c r="U1237" s="14" t="n"/>
      <c r="V1237" s="12" t="n"/>
      <c r="W1237" s="13" t="n"/>
      <c r="X1237" s="14" t="n"/>
      <c r="Y1237" s="12" t="n"/>
      <c r="Z1237" s="13" t="n"/>
      <c r="AA1237" s="14" t="n"/>
      <c r="AB1237" s="12" t="n"/>
      <c r="AC1237" s="13" t="n"/>
      <c r="AD1237" s="14" t="n"/>
      <c r="AE1237" s="12" t="n"/>
      <c r="AF1237" s="13" t="n"/>
      <c r="AG1237" s="14" t="n"/>
      <c r="AH1237" s="12" t="n"/>
      <c r="AI1237" s="13" t="n"/>
      <c r="AJ1237" s="14" t="n"/>
      <c r="AK1237" s="12" t="n"/>
      <c r="AL1237" s="13" t="n"/>
      <c r="AM1237" s="14" t="n"/>
      <c r="AN1237" s="12" t="n"/>
      <c r="AO1237" s="13" t="n"/>
      <c r="AP1237" s="14" t="n"/>
      <c r="AQ1237" s="12" t="n"/>
      <c r="AR1237" s="13" t="n"/>
      <c r="AS1237" s="14" t="n"/>
      <c r="AT1237" s="12" t="n"/>
      <c r="AU1237" s="13" t="n"/>
      <c r="AV1237" s="14" t="n"/>
      <c r="AW1237" s="12" t="n"/>
      <c r="AX1237" s="13" t="n"/>
      <c r="AY1237" s="14" t="n"/>
      <c r="AZ1237" s="12" t="n"/>
      <c r="BA1237" s="13" t="n"/>
      <c r="BB1237" s="14" t="n"/>
      <c r="BC1237" s="11">
        <f>IF(O1237="","",IF(J1237="GST 10%",ROUND(O1237*set_GSTRate,2),0))</f>
        <v/>
      </c>
      <c r="BD1237" s="11">
        <f>IF(O1237="","",O1237+BC1237)</f>
        <v/>
      </c>
      <c r="BE1237" s="15">
        <f>IF(O1237="","",COUNTA(S1237,V1237,Y1237,AB1237,AE1237,AH1237,AK1237,AN1237,AQ1237,AT1237,AW1237,AZ1237))</f>
        <v/>
      </c>
      <c r="BF1237" s="16">
        <f>IF(COUNT(T1237,W1237,Z1237,AC1237,AF1237,AI1237,AL1237,AO1237,AR1237,AU1237,AX1237,BA1237)=0,"",MAX(T1237,W1237,Z1237,AC1237,AF1237,AI1237,AL1237,AO1237,AR1237,AU1237,AX1237,BA1237))</f>
        <v/>
      </c>
      <c r="BG1237" s="10">
        <f>MID(IF(S1237="","",", "&amp;S1237)&amp;IF(V1237="","",", "&amp;V1237)&amp;IF(Y1237="","",", "&amp;Y1237)&amp;IF(AB1237="","",", "&amp;AB1237)&amp;IF(AE1237="","",", "&amp;AE1237)&amp;IF(AH1237="","",", "&amp;AH1237)&amp;IF(AK1237="","",", "&amp;AK1237)&amp;IF(AN1237="","",", "&amp;AN1237)&amp;IF(AQ1237="","",", "&amp;AQ1237)&amp;IF(AT1237="","",", "&amp;AT1237)&amp;IF(AW1237="","",", "&amp;AW1237)&amp;IF(AZ1237="","",", "&amp;AZ1237),3,500)</f>
        <v/>
      </c>
      <c r="BH1237" s="12" t="n"/>
      <c r="BI1237" s="15">
        <f>IFERROR(MATCH($A1237,IF($B1237="Onsite",tbl_Onsite[Row ID],IF($B1237="Production",tbl_Production[Row ID],tbl_Consulting[Row ID])),0),"")</f>
        <v/>
      </c>
    </row>
    <row r="1238">
      <c r="A1238" s="10" t="inlineStr">
        <is>
          <t>CON-0232</t>
        </is>
      </c>
      <c r="B1238" s="10" t="inlineStr">
        <is>
          <t>Consulting</t>
        </is>
      </c>
      <c r="C1238" s="10">
        <f>IF($BI1238="","",IF($B1238="Onsite",INDEX(tbl_Onsite[Job Number],$BI1238),IF($B1238="Production",INDEX(tbl_Production[Job Number],$BI1238),INDEX(tbl_Consulting[Job Number],$BI1238)))&amp;"")</f>
        <v/>
      </c>
      <c r="D1238" s="10">
        <f>IF($BI1238="","",IF($B1238="Onsite",INDEX(tbl_Onsite[Client],$BI1238),IF($B1238="Production",INDEX(tbl_Production[Client],$BI1238),INDEX(tbl_Consulting[Client],$BI1238)))&amp;"")</f>
        <v/>
      </c>
      <c r="E1238" s="10">
        <f>IF($C1238="","",IF(COUNTIF(lst_Jobs,$C1238)&gt;0,"OK","CHECK"))</f>
        <v/>
      </c>
      <c r="F1238" s="10">
        <f>IF($C1238="","",IFERROR(INDEX(lst_JobName,MATCH($C1238,lst_Jobs,0)),""))</f>
        <v/>
      </c>
      <c r="G1238" s="10">
        <f>IF($BI1238="","",IF($B1238="Onsite",INDEX(tbl_Onsite[Job Description],$BI1238),IF($B1238="Production",INDEX(tbl_Production[Job Description],$BI1238),INDEX(tbl_Consulting[Job Description],$BI1238)))&amp;"")</f>
        <v/>
      </c>
      <c r="H1238" s="10">
        <f>IF($BI1238="","",IF($B1238="Onsite",INDEX(tbl_Onsite[Cost Centre],$BI1238),IF($B1238="Production",INDEX(tbl_Production[Cost Centre],$BI1238),INDEX(tbl_Consulting[Cost Centre],$BI1238)))&amp;"")</f>
        <v/>
      </c>
      <c r="I1238" s="10">
        <f>IF($BI1238="","",IF($B1238="Onsite",INDEX(tbl_Onsite[Invoice Type],$BI1238),IF($B1238="Production",INDEX(tbl_Production[Invoice Type],$BI1238),INDEX(tbl_Consulting[Invoice Type],$BI1238)))&amp;"")</f>
        <v/>
      </c>
      <c r="J1238" s="10">
        <f>IF($BI1238="","",IF($B1238="Onsite",INDEX(tbl_Onsite[Tax Code],$BI1238),IF($B1238="Production",INDEX(tbl_Production[Tax Code],$BI1238),INDEX(tbl_Consulting[Tax Code],$BI1238)))&amp;"")</f>
        <v/>
      </c>
      <c r="K1238" s="10">
        <f>IF(H1238="","",IFERROR(INDEX(lst_CCtoGL,MATCH(H1238,lst_CCforGL,0)),""))</f>
        <v/>
      </c>
      <c r="L1238" s="10">
        <f>IF($BI1238="","",IF($B1238="Onsite",INDEX(tbl_Onsite[PO / Reference],$BI1238),IF($B1238="Production",INDEX(tbl_Production[Current RMS No],$BI1238),INDEX(tbl_Consulting[Qwilr Quote],$BI1238)))&amp;"")</f>
        <v/>
      </c>
      <c r="M1238" s="10">
        <f>IF($BI1238="","",IF($B1238="Onsite",INDEX(tbl_Onsite[Notes],$BI1238),IF($B1238="Production",INDEX(tbl_Production[Notes],$BI1238),INDEX(tbl_Consulting[Notes],$BI1238)))&amp;"")</f>
        <v/>
      </c>
      <c r="N1238" s="11">
        <f>IF($BI1238="","",IF(IF($B1238="Onsite",INDEX(tbl_Onsite[Expected Revenue Ex GST],$BI1238),IF($B1238="Production",INDEX(tbl_Production[Expected Revenue Ex GST],$BI1238),INDEX(tbl_Consulting[Expected Revenue Ex GST],$BI1238)))="","",IF($B1238="Onsite",INDEX(tbl_Onsite[Expected Revenue Ex GST],$BI1238),IF($B1238="Production",INDEX(tbl_Production[Expected Revenue Ex GST],$BI1238),INDEX(tbl_Consulting[Expected Revenue Ex GST],$BI1238)))))</f>
        <v/>
      </c>
      <c r="O1238" s="11">
        <f>IF(AND($C1238="",NOT(COUNTA($S1238:$BB1238)&gt;0)),"",SUM(U1238,X1238,AA1238,AD1238,AG1238,AJ1238,AM1238,AP1238,AS1238,AV1238,AY1238,BB1238))</f>
        <v/>
      </c>
      <c r="P1238" s="11">
        <f>IF(O1238="","",N(N1238)-O1238)</f>
        <v/>
      </c>
      <c r="Q1238" s="10">
        <f>IF(O1238="","",IF($C1238="","Invoice on empty job row",IF(N1238="",IF(ROUND(O1238,2)=0,"No dept value","Invoiced - no dept value"),IF(ROUND(O1238,2)=0,"Not invoiced - to invoice",IF(ROUND(P1238,2)=0,"Agrees",IF(P1238&gt;0,"Dept higher - to invoice","Xero higher - check dept"))))))</f>
        <v/>
      </c>
      <c r="R1238" s="10">
        <f>IF(AND($C1238="",NOT(COUNTA($S1238:$BB1238)&gt;0),$BI1238&lt;&gt;""),"",MID(IF($BI1238="","; Row ID not found on the department sheet - a row was deleted","")&amp;IF(AND($C1238="",COUNTA($S1238:$BB1238)&gt;0),"; Invoice entered but the department row has no job number","")&amp;IF(E1238="CHECK","; Job number not in the Xero job list","")&amp;IF(AND($C1238&lt;&gt;"",COUNTIF($C$7:$C$1506,$C1238)&gt;1),"; Job number on more than one row","")&amp;IF(AND($C1238&lt;&gt;"",H1238=""),"; Dept has not set a cost centre","")&amp;IF(AND($C1238&lt;&gt;"",J1238=""),"; Dept has not set a tax code","")&amp;IF(AND($C1238&lt;&gt;"",N1238=""),"; Dept has not entered an expected value","")&amp;IF((IF(OR(COUNTA(S1238:U1238)=0,AND(COUNTA(S1238:U1238)=3,ISNUMBER(U1238))),0,1)+IF(OR(COUNTA(V1238:X1238)=0,AND(COUNTA(V1238:X1238)=3,ISNUMBER(X1238))),0,1)+IF(OR(COUNTA(Y1238:AA1238)=0,AND(COUNTA(Y1238:AA1238)=3,ISNUMBER(AA1238))),0,1)+IF(OR(COUNTA(AB1238:AD1238)=0,AND(COUNTA(AB1238:AD1238)=3,ISNUMBER(AD1238))),0,1)+IF(OR(COUNTA(AE1238:AG1238)=0,AND(COUNTA(AE1238:AG1238)=3,ISNUMBER(AG1238))),0,1)+IF(OR(COUNTA(AH1238:AJ1238)=0,AND(COUNTA(AH1238:AJ1238)=3,ISNUMBER(AJ1238))),0,1)+IF(OR(COUNTA(AK1238:AM1238)=0,AND(COUNTA(AK1238:AM1238)=3,ISNUMBER(AM1238))),0,1)+IF(OR(COUNTA(AN1238:AP1238)=0,AND(COUNTA(AN1238:AP1238)=3,ISNUMBER(AP1238))),0,1)+IF(OR(COUNTA(AQ1238:AS1238)=0,AND(COUNTA(AQ1238:AS1238)=3,ISNUMBER(AS1238))),0,1)+IF(OR(COUNTA(AT1238:AV1238)=0,AND(COUNTA(AT1238:AV1238)=3,ISNUMBER(AV1238))),0,1)+IF(OR(COUNTA(AW1238:AY1238)=0,AND(COUNTA(AW1238:AY1238)=3,ISNUMBER(AY1238))),0,1)+IF(OR(COUNTA(AZ1238:BB1238)=0,AND(COUNTA(AZ1238:BB1238)=3,ISNUMBER(BB1238))),0,1))&gt;0,"; An invoice is incomplete (needs No, Date and a number in Ex GST)","")&amp;IF((IF(T1238="",0,IFERROR(--(EOMONTH(T1238,0)&lt;&gt;S$5),1))+IF(W1238="",0,IFERROR(--(EOMONTH(W1238,0)&lt;&gt;V$5),1))+IF(Z1238="",0,IFERROR(--(EOMONTH(Z1238,0)&lt;&gt;Y$5),1))+IF(AC1238="",0,IFERROR(--(EOMONTH(AC1238,0)&lt;&gt;AB$5),1))+IF(AF1238="",0,IFERROR(--(EOMONTH(AF1238,0)&lt;&gt;AE$5),1))+IF(AI1238="",0,IFERROR(--(EOMONTH(AI1238,0)&lt;&gt;AH$5),1))+IF(AL1238="",0,IFERROR(--(EOMONTH(AL1238,0)&lt;&gt;AK$5),1))+IF(AO1238="",0,IFERROR(--(EOMONTH(AO1238,0)&lt;&gt;AN$5),1))+IF(AR1238="",0,IFERROR(--(EOMONTH(AR1238,0)&lt;&gt;AQ$5),1))+IF(AU1238="",0,IFERROR(--(EOMONTH(AU1238,0)&lt;&gt;AT$5),1))+IF(AX1238="",0,IFERROR(--(EOMONTH(AX1238,0)&lt;&gt;AW$5),1))+IF(BA1238="",0,IFERROR(--(EOMONTH(BA1238,0)&lt;&gt;AZ$5),1)))&gt;0,"; An invoice date is not in the month it is typed under",""),3,500))</f>
        <v/>
      </c>
      <c r="S1238" s="12" t="n"/>
      <c r="T1238" s="13" t="n"/>
      <c r="U1238" s="14" t="n"/>
      <c r="V1238" s="12" t="n"/>
      <c r="W1238" s="13" t="n"/>
      <c r="X1238" s="14" t="n"/>
      <c r="Y1238" s="12" t="n"/>
      <c r="Z1238" s="13" t="n"/>
      <c r="AA1238" s="14" t="n"/>
      <c r="AB1238" s="12" t="n"/>
      <c r="AC1238" s="13" t="n"/>
      <c r="AD1238" s="14" t="n"/>
      <c r="AE1238" s="12" t="n"/>
      <c r="AF1238" s="13" t="n"/>
      <c r="AG1238" s="14" t="n"/>
      <c r="AH1238" s="12" t="n"/>
      <c r="AI1238" s="13" t="n"/>
      <c r="AJ1238" s="14" t="n"/>
      <c r="AK1238" s="12" t="n"/>
      <c r="AL1238" s="13" t="n"/>
      <c r="AM1238" s="14" t="n"/>
      <c r="AN1238" s="12" t="n"/>
      <c r="AO1238" s="13" t="n"/>
      <c r="AP1238" s="14" t="n"/>
      <c r="AQ1238" s="12" t="n"/>
      <c r="AR1238" s="13" t="n"/>
      <c r="AS1238" s="14" t="n"/>
      <c r="AT1238" s="12" t="n"/>
      <c r="AU1238" s="13" t="n"/>
      <c r="AV1238" s="14" t="n"/>
      <c r="AW1238" s="12" t="n"/>
      <c r="AX1238" s="13" t="n"/>
      <c r="AY1238" s="14" t="n"/>
      <c r="AZ1238" s="12" t="n"/>
      <c r="BA1238" s="13" t="n"/>
      <c r="BB1238" s="14" t="n"/>
      <c r="BC1238" s="11">
        <f>IF(O1238="","",IF(J1238="GST 10%",ROUND(O1238*set_GSTRate,2),0))</f>
        <v/>
      </c>
      <c r="BD1238" s="11">
        <f>IF(O1238="","",O1238+BC1238)</f>
        <v/>
      </c>
      <c r="BE1238" s="15">
        <f>IF(O1238="","",COUNTA(S1238,V1238,Y1238,AB1238,AE1238,AH1238,AK1238,AN1238,AQ1238,AT1238,AW1238,AZ1238))</f>
        <v/>
      </c>
      <c r="BF1238" s="16">
        <f>IF(COUNT(T1238,W1238,Z1238,AC1238,AF1238,AI1238,AL1238,AO1238,AR1238,AU1238,AX1238,BA1238)=0,"",MAX(T1238,W1238,Z1238,AC1238,AF1238,AI1238,AL1238,AO1238,AR1238,AU1238,AX1238,BA1238))</f>
        <v/>
      </c>
      <c r="BG1238" s="10">
        <f>MID(IF(S1238="","",", "&amp;S1238)&amp;IF(V1238="","",", "&amp;V1238)&amp;IF(Y1238="","",", "&amp;Y1238)&amp;IF(AB1238="","",", "&amp;AB1238)&amp;IF(AE1238="","",", "&amp;AE1238)&amp;IF(AH1238="","",", "&amp;AH1238)&amp;IF(AK1238="","",", "&amp;AK1238)&amp;IF(AN1238="","",", "&amp;AN1238)&amp;IF(AQ1238="","",", "&amp;AQ1238)&amp;IF(AT1238="","",", "&amp;AT1238)&amp;IF(AW1238="","",", "&amp;AW1238)&amp;IF(AZ1238="","",", "&amp;AZ1238),3,500)</f>
        <v/>
      </c>
      <c r="BH1238" s="12" t="n"/>
      <c r="BI1238" s="15">
        <f>IFERROR(MATCH($A1238,IF($B1238="Onsite",tbl_Onsite[Row ID],IF($B1238="Production",tbl_Production[Row ID],tbl_Consulting[Row ID])),0),"")</f>
        <v/>
      </c>
    </row>
    <row r="1239">
      <c r="A1239" s="10" t="inlineStr">
        <is>
          <t>CON-0233</t>
        </is>
      </c>
      <c r="B1239" s="10" t="inlineStr">
        <is>
          <t>Consulting</t>
        </is>
      </c>
      <c r="C1239" s="10">
        <f>IF($BI1239="","",IF($B1239="Onsite",INDEX(tbl_Onsite[Job Number],$BI1239),IF($B1239="Production",INDEX(tbl_Production[Job Number],$BI1239),INDEX(tbl_Consulting[Job Number],$BI1239)))&amp;"")</f>
        <v/>
      </c>
      <c r="D1239" s="10">
        <f>IF($BI1239="","",IF($B1239="Onsite",INDEX(tbl_Onsite[Client],$BI1239),IF($B1239="Production",INDEX(tbl_Production[Client],$BI1239),INDEX(tbl_Consulting[Client],$BI1239)))&amp;"")</f>
        <v/>
      </c>
      <c r="E1239" s="10">
        <f>IF($C1239="","",IF(COUNTIF(lst_Jobs,$C1239)&gt;0,"OK","CHECK"))</f>
        <v/>
      </c>
      <c r="F1239" s="10">
        <f>IF($C1239="","",IFERROR(INDEX(lst_JobName,MATCH($C1239,lst_Jobs,0)),""))</f>
        <v/>
      </c>
      <c r="G1239" s="10">
        <f>IF($BI1239="","",IF($B1239="Onsite",INDEX(tbl_Onsite[Job Description],$BI1239),IF($B1239="Production",INDEX(tbl_Production[Job Description],$BI1239),INDEX(tbl_Consulting[Job Description],$BI1239)))&amp;"")</f>
        <v/>
      </c>
      <c r="H1239" s="10">
        <f>IF($BI1239="","",IF($B1239="Onsite",INDEX(tbl_Onsite[Cost Centre],$BI1239),IF($B1239="Production",INDEX(tbl_Production[Cost Centre],$BI1239),INDEX(tbl_Consulting[Cost Centre],$BI1239)))&amp;"")</f>
        <v/>
      </c>
      <c r="I1239" s="10">
        <f>IF($BI1239="","",IF($B1239="Onsite",INDEX(tbl_Onsite[Invoice Type],$BI1239),IF($B1239="Production",INDEX(tbl_Production[Invoice Type],$BI1239),INDEX(tbl_Consulting[Invoice Type],$BI1239)))&amp;"")</f>
        <v/>
      </c>
      <c r="J1239" s="10">
        <f>IF($BI1239="","",IF($B1239="Onsite",INDEX(tbl_Onsite[Tax Code],$BI1239),IF($B1239="Production",INDEX(tbl_Production[Tax Code],$BI1239),INDEX(tbl_Consulting[Tax Code],$BI1239)))&amp;"")</f>
        <v/>
      </c>
      <c r="K1239" s="10">
        <f>IF(H1239="","",IFERROR(INDEX(lst_CCtoGL,MATCH(H1239,lst_CCforGL,0)),""))</f>
        <v/>
      </c>
      <c r="L1239" s="10">
        <f>IF($BI1239="","",IF($B1239="Onsite",INDEX(tbl_Onsite[PO / Reference],$BI1239),IF($B1239="Production",INDEX(tbl_Production[Current RMS No],$BI1239),INDEX(tbl_Consulting[Qwilr Quote],$BI1239)))&amp;"")</f>
        <v/>
      </c>
      <c r="M1239" s="10">
        <f>IF($BI1239="","",IF($B1239="Onsite",INDEX(tbl_Onsite[Notes],$BI1239),IF($B1239="Production",INDEX(tbl_Production[Notes],$BI1239),INDEX(tbl_Consulting[Notes],$BI1239)))&amp;"")</f>
        <v/>
      </c>
      <c r="N1239" s="11">
        <f>IF($BI1239="","",IF(IF($B1239="Onsite",INDEX(tbl_Onsite[Expected Revenue Ex GST],$BI1239),IF($B1239="Production",INDEX(tbl_Production[Expected Revenue Ex GST],$BI1239),INDEX(tbl_Consulting[Expected Revenue Ex GST],$BI1239)))="","",IF($B1239="Onsite",INDEX(tbl_Onsite[Expected Revenue Ex GST],$BI1239),IF($B1239="Production",INDEX(tbl_Production[Expected Revenue Ex GST],$BI1239),INDEX(tbl_Consulting[Expected Revenue Ex GST],$BI1239)))))</f>
        <v/>
      </c>
      <c r="O1239" s="11">
        <f>IF(AND($C1239="",NOT(COUNTA($S1239:$BB1239)&gt;0)),"",SUM(U1239,X1239,AA1239,AD1239,AG1239,AJ1239,AM1239,AP1239,AS1239,AV1239,AY1239,BB1239))</f>
        <v/>
      </c>
      <c r="P1239" s="11">
        <f>IF(O1239="","",N(N1239)-O1239)</f>
        <v/>
      </c>
      <c r="Q1239" s="10">
        <f>IF(O1239="","",IF($C1239="","Invoice on empty job row",IF(N1239="",IF(ROUND(O1239,2)=0,"No dept value","Invoiced - no dept value"),IF(ROUND(O1239,2)=0,"Not invoiced - to invoice",IF(ROUND(P1239,2)=0,"Agrees",IF(P1239&gt;0,"Dept higher - to invoice","Xero higher - check dept"))))))</f>
        <v/>
      </c>
      <c r="R1239" s="10">
        <f>IF(AND($C1239="",NOT(COUNTA($S1239:$BB1239)&gt;0),$BI1239&lt;&gt;""),"",MID(IF($BI1239="","; Row ID not found on the department sheet - a row was deleted","")&amp;IF(AND($C1239="",COUNTA($S1239:$BB1239)&gt;0),"; Invoice entered but the department row has no job number","")&amp;IF(E1239="CHECK","; Job number not in the Xero job list","")&amp;IF(AND($C1239&lt;&gt;"",COUNTIF($C$7:$C$1506,$C1239)&gt;1),"; Job number on more than one row","")&amp;IF(AND($C1239&lt;&gt;"",H1239=""),"; Dept has not set a cost centre","")&amp;IF(AND($C1239&lt;&gt;"",J1239=""),"; Dept has not set a tax code","")&amp;IF(AND($C1239&lt;&gt;"",N1239=""),"; Dept has not entered an expected value","")&amp;IF((IF(OR(COUNTA(S1239:U1239)=0,AND(COUNTA(S1239:U1239)=3,ISNUMBER(U1239))),0,1)+IF(OR(COUNTA(V1239:X1239)=0,AND(COUNTA(V1239:X1239)=3,ISNUMBER(X1239))),0,1)+IF(OR(COUNTA(Y1239:AA1239)=0,AND(COUNTA(Y1239:AA1239)=3,ISNUMBER(AA1239))),0,1)+IF(OR(COUNTA(AB1239:AD1239)=0,AND(COUNTA(AB1239:AD1239)=3,ISNUMBER(AD1239))),0,1)+IF(OR(COUNTA(AE1239:AG1239)=0,AND(COUNTA(AE1239:AG1239)=3,ISNUMBER(AG1239))),0,1)+IF(OR(COUNTA(AH1239:AJ1239)=0,AND(COUNTA(AH1239:AJ1239)=3,ISNUMBER(AJ1239))),0,1)+IF(OR(COUNTA(AK1239:AM1239)=0,AND(COUNTA(AK1239:AM1239)=3,ISNUMBER(AM1239))),0,1)+IF(OR(COUNTA(AN1239:AP1239)=0,AND(COUNTA(AN1239:AP1239)=3,ISNUMBER(AP1239))),0,1)+IF(OR(COUNTA(AQ1239:AS1239)=0,AND(COUNTA(AQ1239:AS1239)=3,ISNUMBER(AS1239))),0,1)+IF(OR(COUNTA(AT1239:AV1239)=0,AND(COUNTA(AT1239:AV1239)=3,ISNUMBER(AV1239))),0,1)+IF(OR(COUNTA(AW1239:AY1239)=0,AND(COUNTA(AW1239:AY1239)=3,ISNUMBER(AY1239))),0,1)+IF(OR(COUNTA(AZ1239:BB1239)=0,AND(COUNTA(AZ1239:BB1239)=3,ISNUMBER(BB1239))),0,1))&gt;0,"; An invoice is incomplete (needs No, Date and a number in Ex GST)","")&amp;IF((IF(T1239="",0,IFERROR(--(EOMONTH(T1239,0)&lt;&gt;S$5),1))+IF(W1239="",0,IFERROR(--(EOMONTH(W1239,0)&lt;&gt;V$5),1))+IF(Z1239="",0,IFERROR(--(EOMONTH(Z1239,0)&lt;&gt;Y$5),1))+IF(AC1239="",0,IFERROR(--(EOMONTH(AC1239,0)&lt;&gt;AB$5),1))+IF(AF1239="",0,IFERROR(--(EOMONTH(AF1239,0)&lt;&gt;AE$5),1))+IF(AI1239="",0,IFERROR(--(EOMONTH(AI1239,0)&lt;&gt;AH$5),1))+IF(AL1239="",0,IFERROR(--(EOMONTH(AL1239,0)&lt;&gt;AK$5),1))+IF(AO1239="",0,IFERROR(--(EOMONTH(AO1239,0)&lt;&gt;AN$5),1))+IF(AR1239="",0,IFERROR(--(EOMONTH(AR1239,0)&lt;&gt;AQ$5),1))+IF(AU1239="",0,IFERROR(--(EOMONTH(AU1239,0)&lt;&gt;AT$5),1))+IF(AX1239="",0,IFERROR(--(EOMONTH(AX1239,0)&lt;&gt;AW$5),1))+IF(BA1239="",0,IFERROR(--(EOMONTH(BA1239,0)&lt;&gt;AZ$5),1)))&gt;0,"; An invoice date is not in the month it is typed under",""),3,500))</f>
        <v/>
      </c>
      <c r="S1239" s="12" t="n"/>
      <c r="T1239" s="13" t="n"/>
      <c r="U1239" s="14" t="n"/>
      <c r="V1239" s="12" t="n"/>
      <c r="W1239" s="13" t="n"/>
      <c r="X1239" s="14" t="n"/>
      <c r="Y1239" s="12" t="n"/>
      <c r="Z1239" s="13" t="n"/>
      <c r="AA1239" s="14" t="n"/>
      <c r="AB1239" s="12" t="n"/>
      <c r="AC1239" s="13" t="n"/>
      <c r="AD1239" s="14" t="n"/>
      <c r="AE1239" s="12" t="n"/>
      <c r="AF1239" s="13" t="n"/>
      <c r="AG1239" s="14" t="n"/>
      <c r="AH1239" s="12" t="n"/>
      <c r="AI1239" s="13" t="n"/>
      <c r="AJ1239" s="14" t="n"/>
      <c r="AK1239" s="12" t="n"/>
      <c r="AL1239" s="13" t="n"/>
      <c r="AM1239" s="14" t="n"/>
      <c r="AN1239" s="12" t="n"/>
      <c r="AO1239" s="13" t="n"/>
      <c r="AP1239" s="14" t="n"/>
      <c r="AQ1239" s="12" t="n"/>
      <c r="AR1239" s="13" t="n"/>
      <c r="AS1239" s="14" t="n"/>
      <c r="AT1239" s="12" t="n"/>
      <c r="AU1239" s="13" t="n"/>
      <c r="AV1239" s="14" t="n"/>
      <c r="AW1239" s="12" t="n"/>
      <c r="AX1239" s="13" t="n"/>
      <c r="AY1239" s="14" t="n"/>
      <c r="AZ1239" s="12" t="n"/>
      <c r="BA1239" s="13" t="n"/>
      <c r="BB1239" s="14" t="n"/>
      <c r="BC1239" s="11">
        <f>IF(O1239="","",IF(J1239="GST 10%",ROUND(O1239*set_GSTRate,2),0))</f>
        <v/>
      </c>
      <c r="BD1239" s="11">
        <f>IF(O1239="","",O1239+BC1239)</f>
        <v/>
      </c>
      <c r="BE1239" s="15">
        <f>IF(O1239="","",COUNTA(S1239,V1239,Y1239,AB1239,AE1239,AH1239,AK1239,AN1239,AQ1239,AT1239,AW1239,AZ1239))</f>
        <v/>
      </c>
      <c r="BF1239" s="16">
        <f>IF(COUNT(T1239,W1239,Z1239,AC1239,AF1239,AI1239,AL1239,AO1239,AR1239,AU1239,AX1239,BA1239)=0,"",MAX(T1239,W1239,Z1239,AC1239,AF1239,AI1239,AL1239,AO1239,AR1239,AU1239,AX1239,BA1239))</f>
        <v/>
      </c>
      <c r="BG1239" s="10">
        <f>MID(IF(S1239="","",", "&amp;S1239)&amp;IF(V1239="","",", "&amp;V1239)&amp;IF(Y1239="","",", "&amp;Y1239)&amp;IF(AB1239="","",", "&amp;AB1239)&amp;IF(AE1239="","",", "&amp;AE1239)&amp;IF(AH1239="","",", "&amp;AH1239)&amp;IF(AK1239="","",", "&amp;AK1239)&amp;IF(AN1239="","",", "&amp;AN1239)&amp;IF(AQ1239="","",", "&amp;AQ1239)&amp;IF(AT1239="","",", "&amp;AT1239)&amp;IF(AW1239="","",", "&amp;AW1239)&amp;IF(AZ1239="","",", "&amp;AZ1239),3,500)</f>
        <v/>
      </c>
      <c r="BH1239" s="12" t="n"/>
      <c r="BI1239" s="15">
        <f>IFERROR(MATCH($A1239,IF($B1239="Onsite",tbl_Onsite[Row ID],IF($B1239="Production",tbl_Production[Row ID],tbl_Consulting[Row ID])),0),"")</f>
        <v/>
      </c>
    </row>
    <row r="1240">
      <c r="A1240" s="10" t="inlineStr">
        <is>
          <t>CON-0234</t>
        </is>
      </c>
      <c r="B1240" s="10" t="inlineStr">
        <is>
          <t>Consulting</t>
        </is>
      </c>
      <c r="C1240" s="10">
        <f>IF($BI1240="","",IF($B1240="Onsite",INDEX(tbl_Onsite[Job Number],$BI1240),IF($B1240="Production",INDEX(tbl_Production[Job Number],$BI1240),INDEX(tbl_Consulting[Job Number],$BI1240)))&amp;"")</f>
        <v/>
      </c>
      <c r="D1240" s="10">
        <f>IF($BI1240="","",IF($B1240="Onsite",INDEX(tbl_Onsite[Client],$BI1240),IF($B1240="Production",INDEX(tbl_Production[Client],$BI1240),INDEX(tbl_Consulting[Client],$BI1240)))&amp;"")</f>
        <v/>
      </c>
      <c r="E1240" s="10">
        <f>IF($C1240="","",IF(COUNTIF(lst_Jobs,$C1240)&gt;0,"OK","CHECK"))</f>
        <v/>
      </c>
      <c r="F1240" s="10">
        <f>IF($C1240="","",IFERROR(INDEX(lst_JobName,MATCH($C1240,lst_Jobs,0)),""))</f>
        <v/>
      </c>
      <c r="G1240" s="10">
        <f>IF($BI1240="","",IF($B1240="Onsite",INDEX(tbl_Onsite[Job Description],$BI1240),IF($B1240="Production",INDEX(tbl_Production[Job Description],$BI1240),INDEX(tbl_Consulting[Job Description],$BI1240)))&amp;"")</f>
        <v/>
      </c>
      <c r="H1240" s="10">
        <f>IF($BI1240="","",IF($B1240="Onsite",INDEX(tbl_Onsite[Cost Centre],$BI1240),IF($B1240="Production",INDEX(tbl_Production[Cost Centre],$BI1240),INDEX(tbl_Consulting[Cost Centre],$BI1240)))&amp;"")</f>
        <v/>
      </c>
      <c r="I1240" s="10">
        <f>IF($BI1240="","",IF($B1240="Onsite",INDEX(tbl_Onsite[Invoice Type],$BI1240),IF($B1240="Production",INDEX(tbl_Production[Invoice Type],$BI1240),INDEX(tbl_Consulting[Invoice Type],$BI1240)))&amp;"")</f>
        <v/>
      </c>
      <c r="J1240" s="10">
        <f>IF($BI1240="","",IF($B1240="Onsite",INDEX(tbl_Onsite[Tax Code],$BI1240),IF($B1240="Production",INDEX(tbl_Production[Tax Code],$BI1240),INDEX(tbl_Consulting[Tax Code],$BI1240)))&amp;"")</f>
        <v/>
      </c>
      <c r="K1240" s="10">
        <f>IF(H1240="","",IFERROR(INDEX(lst_CCtoGL,MATCH(H1240,lst_CCforGL,0)),""))</f>
        <v/>
      </c>
      <c r="L1240" s="10">
        <f>IF($BI1240="","",IF($B1240="Onsite",INDEX(tbl_Onsite[PO / Reference],$BI1240),IF($B1240="Production",INDEX(tbl_Production[Current RMS No],$BI1240),INDEX(tbl_Consulting[Qwilr Quote],$BI1240)))&amp;"")</f>
        <v/>
      </c>
      <c r="M1240" s="10">
        <f>IF($BI1240="","",IF($B1240="Onsite",INDEX(tbl_Onsite[Notes],$BI1240),IF($B1240="Production",INDEX(tbl_Production[Notes],$BI1240),INDEX(tbl_Consulting[Notes],$BI1240)))&amp;"")</f>
        <v/>
      </c>
      <c r="N1240" s="11">
        <f>IF($BI1240="","",IF(IF($B1240="Onsite",INDEX(tbl_Onsite[Expected Revenue Ex GST],$BI1240),IF($B1240="Production",INDEX(tbl_Production[Expected Revenue Ex GST],$BI1240),INDEX(tbl_Consulting[Expected Revenue Ex GST],$BI1240)))="","",IF($B1240="Onsite",INDEX(tbl_Onsite[Expected Revenue Ex GST],$BI1240),IF($B1240="Production",INDEX(tbl_Production[Expected Revenue Ex GST],$BI1240),INDEX(tbl_Consulting[Expected Revenue Ex GST],$BI1240)))))</f>
        <v/>
      </c>
      <c r="O1240" s="11">
        <f>IF(AND($C1240="",NOT(COUNTA($S1240:$BB1240)&gt;0)),"",SUM(U1240,X1240,AA1240,AD1240,AG1240,AJ1240,AM1240,AP1240,AS1240,AV1240,AY1240,BB1240))</f>
        <v/>
      </c>
      <c r="P1240" s="11">
        <f>IF(O1240="","",N(N1240)-O1240)</f>
        <v/>
      </c>
      <c r="Q1240" s="10">
        <f>IF(O1240="","",IF($C1240="","Invoice on empty job row",IF(N1240="",IF(ROUND(O1240,2)=0,"No dept value","Invoiced - no dept value"),IF(ROUND(O1240,2)=0,"Not invoiced - to invoice",IF(ROUND(P1240,2)=0,"Agrees",IF(P1240&gt;0,"Dept higher - to invoice","Xero higher - check dept"))))))</f>
        <v/>
      </c>
      <c r="R1240" s="10">
        <f>IF(AND($C1240="",NOT(COUNTA($S1240:$BB1240)&gt;0),$BI1240&lt;&gt;""),"",MID(IF($BI1240="","; Row ID not found on the department sheet - a row was deleted","")&amp;IF(AND($C1240="",COUNTA($S1240:$BB1240)&gt;0),"; Invoice entered but the department row has no job number","")&amp;IF(E1240="CHECK","; Job number not in the Xero job list","")&amp;IF(AND($C1240&lt;&gt;"",COUNTIF($C$7:$C$1506,$C1240)&gt;1),"; Job number on more than one row","")&amp;IF(AND($C1240&lt;&gt;"",H1240=""),"; Dept has not set a cost centre","")&amp;IF(AND($C1240&lt;&gt;"",J1240=""),"; Dept has not set a tax code","")&amp;IF(AND($C1240&lt;&gt;"",N1240=""),"; Dept has not entered an expected value","")&amp;IF((IF(OR(COUNTA(S1240:U1240)=0,AND(COUNTA(S1240:U1240)=3,ISNUMBER(U1240))),0,1)+IF(OR(COUNTA(V1240:X1240)=0,AND(COUNTA(V1240:X1240)=3,ISNUMBER(X1240))),0,1)+IF(OR(COUNTA(Y1240:AA1240)=0,AND(COUNTA(Y1240:AA1240)=3,ISNUMBER(AA1240))),0,1)+IF(OR(COUNTA(AB1240:AD1240)=0,AND(COUNTA(AB1240:AD1240)=3,ISNUMBER(AD1240))),0,1)+IF(OR(COUNTA(AE1240:AG1240)=0,AND(COUNTA(AE1240:AG1240)=3,ISNUMBER(AG1240))),0,1)+IF(OR(COUNTA(AH1240:AJ1240)=0,AND(COUNTA(AH1240:AJ1240)=3,ISNUMBER(AJ1240))),0,1)+IF(OR(COUNTA(AK1240:AM1240)=0,AND(COUNTA(AK1240:AM1240)=3,ISNUMBER(AM1240))),0,1)+IF(OR(COUNTA(AN1240:AP1240)=0,AND(COUNTA(AN1240:AP1240)=3,ISNUMBER(AP1240))),0,1)+IF(OR(COUNTA(AQ1240:AS1240)=0,AND(COUNTA(AQ1240:AS1240)=3,ISNUMBER(AS1240))),0,1)+IF(OR(COUNTA(AT1240:AV1240)=0,AND(COUNTA(AT1240:AV1240)=3,ISNUMBER(AV1240))),0,1)+IF(OR(COUNTA(AW1240:AY1240)=0,AND(COUNTA(AW1240:AY1240)=3,ISNUMBER(AY1240))),0,1)+IF(OR(COUNTA(AZ1240:BB1240)=0,AND(COUNTA(AZ1240:BB1240)=3,ISNUMBER(BB1240))),0,1))&gt;0,"; An invoice is incomplete (needs No, Date and a number in Ex GST)","")&amp;IF((IF(T1240="",0,IFERROR(--(EOMONTH(T1240,0)&lt;&gt;S$5),1))+IF(W1240="",0,IFERROR(--(EOMONTH(W1240,0)&lt;&gt;V$5),1))+IF(Z1240="",0,IFERROR(--(EOMONTH(Z1240,0)&lt;&gt;Y$5),1))+IF(AC1240="",0,IFERROR(--(EOMONTH(AC1240,0)&lt;&gt;AB$5),1))+IF(AF1240="",0,IFERROR(--(EOMONTH(AF1240,0)&lt;&gt;AE$5),1))+IF(AI1240="",0,IFERROR(--(EOMONTH(AI1240,0)&lt;&gt;AH$5),1))+IF(AL1240="",0,IFERROR(--(EOMONTH(AL1240,0)&lt;&gt;AK$5),1))+IF(AO1240="",0,IFERROR(--(EOMONTH(AO1240,0)&lt;&gt;AN$5),1))+IF(AR1240="",0,IFERROR(--(EOMONTH(AR1240,0)&lt;&gt;AQ$5),1))+IF(AU1240="",0,IFERROR(--(EOMONTH(AU1240,0)&lt;&gt;AT$5),1))+IF(AX1240="",0,IFERROR(--(EOMONTH(AX1240,0)&lt;&gt;AW$5),1))+IF(BA1240="",0,IFERROR(--(EOMONTH(BA1240,0)&lt;&gt;AZ$5),1)))&gt;0,"; An invoice date is not in the month it is typed under",""),3,500))</f>
        <v/>
      </c>
      <c r="S1240" s="12" t="n"/>
      <c r="T1240" s="13" t="n"/>
      <c r="U1240" s="14" t="n"/>
      <c r="V1240" s="12" t="n"/>
      <c r="W1240" s="13" t="n"/>
      <c r="X1240" s="14" t="n"/>
      <c r="Y1240" s="12" t="n"/>
      <c r="Z1240" s="13" t="n"/>
      <c r="AA1240" s="14" t="n"/>
      <c r="AB1240" s="12" t="n"/>
      <c r="AC1240" s="13" t="n"/>
      <c r="AD1240" s="14" t="n"/>
      <c r="AE1240" s="12" t="n"/>
      <c r="AF1240" s="13" t="n"/>
      <c r="AG1240" s="14" t="n"/>
      <c r="AH1240" s="12" t="n"/>
      <c r="AI1240" s="13" t="n"/>
      <c r="AJ1240" s="14" t="n"/>
      <c r="AK1240" s="12" t="n"/>
      <c r="AL1240" s="13" t="n"/>
      <c r="AM1240" s="14" t="n"/>
      <c r="AN1240" s="12" t="n"/>
      <c r="AO1240" s="13" t="n"/>
      <c r="AP1240" s="14" t="n"/>
      <c r="AQ1240" s="12" t="n"/>
      <c r="AR1240" s="13" t="n"/>
      <c r="AS1240" s="14" t="n"/>
      <c r="AT1240" s="12" t="n"/>
      <c r="AU1240" s="13" t="n"/>
      <c r="AV1240" s="14" t="n"/>
      <c r="AW1240" s="12" t="n"/>
      <c r="AX1240" s="13" t="n"/>
      <c r="AY1240" s="14" t="n"/>
      <c r="AZ1240" s="12" t="n"/>
      <c r="BA1240" s="13" t="n"/>
      <c r="BB1240" s="14" t="n"/>
      <c r="BC1240" s="11">
        <f>IF(O1240="","",IF(J1240="GST 10%",ROUND(O1240*set_GSTRate,2),0))</f>
        <v/>
      </c>
      <c r="BD1240" s="11">
        <f>IF(O1240="","",O1240+BC1240)</f>
        <v/>
      </c>
      <c r="BE1240" s="15">
        <f>IF(O1240="","",COUNTA(S1240,V1240,Y1240,AB1240,AE1240,AH1240,AK1240,AN1240,AQ1240,AT1240,AW1240,AZ1240))</f>
        <v/>
      </c>
      <c r="BF1240" s="16">
        <f>IF(COUNT(T1240,W1240,Z1240,AC1240,AF1240,AI1240,AL1240,AO1240,AR1240,AU1240,AX1240,BA1240)=0,"",MAX(T1240,W1240,Z1240,AC1240,AF1240,AI1240,AL1240,AO1240,AR1240,AU1240,AX1240,BA1240))</f>
        <v/>
      </c>
      <c r="BG1240" s="10">
        <f>MID(IF(S1240="","",", "&amp;S1240)&amp;IF(V1240="","",", "&amp;V1240)&amp;IF(Y1240="","",", "&amp;Y1240)&amp;IF(AB1240="","",", "&amp;AB1240)&amp;IF(AE1240="","",", "&amp;AE1240)&amp;IF(AH1240="","",", "&amp;AH1240)&amp;IF(AK1240="","",", "&amp;AK1240)&amp;IF(AN1240="","",", "&amp;AN1240)&amp;IF(AQ1240="","",", "&amp;AQ1240)&amp;IF(AT1240="","",", "&amp;AT1240)&amp;IF(AW1240="","",", "&amp;AW1240)&amp;IF(AZ1240="","",", "&amp;AZ1240),3,500)</f>
        <v/>
      </c>
      <c r="BH1240" s="12" t="n"/>
      <c r="BI1240" s="15">
        <f>IFERROR(MATCH($A1240,IF($B1240="Onsite",tbl_Onsite[Row ID],IF($B1240="Production",tbl_Production[Row ID],tbl_Consulting[Row ID])),0),"")</f>
        <v/>
      </c>
    </row>
    <row r="1241">
      <c r="A1241" s="10" t="inlineStr">
        <is>
          <t>CON-0235</t>
        </is>
      </c>
      <c r="B1241" s="10" t="inlineStr">
        <is>
          <t>Consulting</t>
        </is>
      </c>
      <c r="C1241" s="10">
        <f>IF($BI1241="","",IF($B1241="Onsite",INDEX(tbl_Onsite[Job Number],$BI1241),IF($B1241="Production",INDEX(tbl_Production[Job Number],$BI1241),INDEX(tbl_Consulting[Job Number],$BI1241)))&amp;"")</f>
        <v/>
      </c>
      <c r="D1241" s="10">
        <f>IF($BI1241="","",IF($B1241="Onsite",INDEX(tbl_Onsite[Client],$BI1241),IF($B1241="Production",INDEX(tbl_Production[Client],$BI1241),INDEX(tbl_Consulting[Client],$BI1241)))&amp;"")</f>
        <v/>
      </c>
      <c r="E1241" s="10">
        <f>IF($C1241="","",IF(COUNTIF(lst_Jobs,$C1241)&gt;0,"OK","CHECK"))</f>
        <v/>
      </c>
      <c r="F1241" s="10">
        <f>IF($C1241="","",IFERROR(INDEX(lst_JobName,MATCH($C1241,lst_Jobs,0)),""))</f>
        <v/>
      </c>
      <c r="G1241" s="10">
        <f>IF($BI1241="","",IF($B1241="Onsite",INDEX(tbl_Onsite[Job Description],$BI1241),IF($B1241="Production",INDEX(tbl_Production[Job Description],$BI1241),INDEX(tbl_Consulting[Job Description],$BI1241)))&amp;"")</f>
        <v/>
      </c>
      <c r="H1241" s="10">
        <f>IF($BI1241="","",IF($B1241="Onsite",INDEX(tbl_Onsite[Cost Centre],$BI1241),IF($B1241="Production",INDEX(tbl_Production[Cost Centre],$BI1241),INDEX(tbl_Consulting[Cost Centre],$BI1241)))&amp;"")</f>
        <v/>
      </c>
      <c r="I1241" s="10">
        <f>IF($BI1241="","",IF($B1241="Onsite",INDEX(tbl_Onsite[Invoice Type],$BI1241),IF($B1241="Production",INDEX(tbl_Production[Invoice Type],$BI1241),INDEX(tbl_Consulting[Invoice Type],$BI1241)))&amp;"")</f>
        <v/>
      </c>
      <c r="J1241" s="10">
        <f>IF($BI1241="","",IF($B1241="Onsite",INDEX(tbl_Onsite[Tax Code],$BI1241),IF($B1241="Production",INDEX(tbl_Production[Tax Code],$BI1241),INDEX(tbl_Consulting[Tax Code],$BI1241)))&amp;"")</f>
        <v/>
      </c>
      <c r="K1241" s="10">
        <f>IF(H1241="","",IFERROR(INDEX(lst_CCtoGL,MATCH(H1241,lst_CCforGL,0)),""))</f>
        <v/>
      </c>
      <c r="L1241" s="10">
        <f>IF($BI1241="","",IF($B1241="Onsite",INDEX(tbl_Onsite[PO / Reference],$BI1241),IF($B1241="Production",INDEX(tbl_Production[Current RMS No],$BI1241),INDEX(tbl_Consulting[Qwilr Quote],$BI1241)))&amp;"")</f>
        <v/>
      </c>
      <c r="M1241" s="10">
        <f>IF($BI1241="","",IF($B1241="Onsite",INDEX(tbl_Onsite[Notes],$BI1241),IF($B1241="Production",INDEX(tbl_Production[Notes],$BI1241),INDEX(tbl_Consulting[Notes],$BI1241)))&amp;"")</f>
        <v/>
      </c>
      <c r="N1241" s="11">
        <f>IF($BI1241="","",IF(IF($B1241="Onsite",INDEX(tbl_Onsite[Expected Revenue Ex GST],$BI1241),IF($B1241="Production",INDEX(tbl_Production[Expected Revenue Ex GST],$BI1241),INDEX(tbl_Consulting[Expected Revenue Ex GST],$BI1241)))="","",IF($B1241="Onsite",INDEX(tbl_Onsite[Expected Revenue Ex GST],$BI1241),IF($B1241="Production",INDEX(tbl_Production[Expected Revenue Ex GST],$BI1241),INDEX(tbl_Consulting[Expected Revenue Ex GST],$BI1241)))))</f>
        <v/>
      </c>
      <c r="O1241" s="11">
        <f>IF(AND($C1241="",NOT(COUNTA($S1241:$BB1241)&gt;0)),"",SUM(U1241,X1241,AA1241,AD1241,AG1241,AJ1241,AM1241,AP1241,AS1241,AV1241,AY1241,BB1241))</f>
        <v/>
      </c>
      <c r="P1241" s="11">
        <f>IF(O1241="","",N(N1241)-O1241)</f>
        <v/>
      </c>
      <c r="Q1241" s="10">
        <f>IF(O1241="","",IF($C1241="","Invoice on empty job row",IF(N1241="",IF(ROUND(O1241,2)=0,"No dept value","Invoiced - no dept value"),IF(ROUND(O1241,2)=0,"Not invoiced - to invoice",IF(ROUND(P1241,2)=0,"Agrees",IF(P1241&gt;0,"Dept higher - to invoice","Xero higher - check dept"))))))</f>
        <v/>
      </c>
      <c r="R1241" s="10">
        <f>IF(AND($C1241="",NOT(COUNTA($S1241:$BB1241)&gt;0),$BI1241&lt;&gt;""),"",MID(IF($BI1241="","; Row ID not found on the department sheet - a row was deleted","")&amp;IF(AND($C1241="",COUNTA($S1241:$BB1241)&gt;0),"; Invoice entered but the department row has no job number","")&amp;IF(E1241="CHECK","; Job number not in the Xero job list","")&amp;IF(AND($C1241&lt;&gt;"",COUNTIF($C$7:$C$1506,$C1241)&gt;1),"; Job number on more than one row","")&amp;IF(AND($C1241&lt;&gt;"",H1241=""),"; Dept has not set a cost centre","")&amp;IF(AND($C1241&lt;&gt;"",J1241=""),"; Dept has not set a tax code","")&amp;IF(AND($C1241&lt;&gt;"",N1241=""),"; Dept has not entered an expected value","")&amp;IF((IF(OR(COUNTA(S1241:U1241)=0,AND(COUNTA(S1241:U1241)=3,ISNUMBER(U1241))),0,1)+IF(OR(COUNTA(V1241:X1241)=0,AND(COUNTA(V1241:X1241)=3,ISNUMBER(X1241))),0,1)+IF(OR(COUNTA(Y1241:AA1241)=0,AND(COUNTA(Y1241:AA1241)=3,ISNUMBER(AA1241))),0,1)+IF(OR(COUNTA(AB1241:AD1241)=0,AND(COUNTA(AB1241:AD1241)=3,ISNUMBER(AD1241))),0,1)+IF(OR(COUNTA(AE1241:AG1241)=0,AND(COUNTA(AE1241:AG1241)=3,ISNUMBER(AG1241))),0,1)+IF(OR(COUNTA(AH1241:AJ1241)=0,AND(COUNTA(AH1241:AJ1241)=3,ISNUMBER(AJ1241))),0,1)+IF(OR(COUNTA(AK1241:AM1241)=0,AND(COUNTA(AK1241:AM1241)=3,ISNUMBER(AM1241))),0,1)+IF(OR(COUNTA(AN1241:AP1241)=0,AND(COUNTA(AN1241:AP1241)=3,ISNUMBER(AP1241))),0,1)+IF(OR(COUNTA(AQ1241:AS1241)=0,AND(COUNTA(AQ1241:AS1241)=3,ISNUMBER(AS1241))),0,1)+IF(OR(COUNTA(AT1241:AV1241)=0,AND(COUNTA(AT1241:AV1241)=3,ISNUMBER(AV1241))),0,1)+IF(OR(COUNTA(AW1241:AY1241)=0,AND(COUNTA(AW1241:AY1241)=3,ISNUMBER(AY1241))),0,1)+IF(OR(COUNTA(AZ1241:BB1241)=0,AND(COUNTA(AZ1241:BB1241)=3,ISNUMBER(BB1241))),0,1))&gt;0,"; An invoice is incomplete (needs No, Date and a number in Ex GST)","")&amp;IF((IF(T1241="",0,IFERROR(--(EOMONTH(T1241,0)&lt;&gt;S$5),1))+IF(W1241="",0,IFERROR(--(EOMONTH(W1241,0)&lt;&gt;V$5),1))+IF(Z1241="",0,IFERROR(--(EOMONTH(Z1241,0)&lt;&gt;Y$5),1))+IF(AC1241="",0,IFERROR(--(EOMONTH(AC1241,0)&lt;&gt;AB$5),1))+IF(AF1241="",0,IFERROR(--(EOMONTH(AF1241,0)&lt;&gt;AE$5),1))+IF(AI1241="",0,IFERROR(--(EOMONTH(AI1241,0)&lt;&gt;AH$5),1))+IF(AL1241="",0,IFERROR(--(EOMONTH(AL1241,0)&lt;&gt;AK$5),1))+IF(AO1241="",0,IFERROR(--(EOMONTH(AO1241,0)&lt;&gt;AN$5),1))+IF(AR1241="",0,IFERROR(--(EOMONTH(AR1241,0)&lt;&gt;AQ$5),1))+IF(AU1241="",0,IFERROR(--(EOMONTH(AU1241,0)&lt;&gt;AT$5),1))+IF(AX1241="",0,IFERROR(--(EOMONTH(AX1241,0)&lt;&gt;AW$5),1))+IF(BA1241="",0,IFERROR(--(EOMONTH(BA1241,0)&lt;&gt;AZ$5),1)))&gt;0,"; An invoice date is not in the month it is typed under",""),3,500))</f>
        <v/>
      </c>
      <c r="S1241" s="12" t="n"/>
      <c r="T1241" s="13" t="n"/>
      <c r="U1241" s="14" t="n"/>
      <c r="V1241" s="12" t="n"/>
      <c r="W1241" s="13" t="n"/>
      <c r="X1241" s="14" t="n"/>
      <c r="Y1241" s="12" t="n"/>
      <c r="Z1241" s="13" t="n"/>
      <c r="AA1241" s="14" t="n"/>
      <c r="AB1241" s="12" t="n"/>
      <c r="AC1241" s="13" t="n"/>
      <c r="AD1241" s="14" t="n"/>
      <c r="AE1241" s="12" t="n"/>
      <c r="AF1241" s="13" t="n"/>
      <c r="AG1241" s="14" t="n"/>
      <c r="AH1241" s="12" t="n"/>
      <c r="AI1241" s="13" t="n"/>
      <c r="AJ1241" s="14" t="n"/>
      <c r="AK1241" s="12" t="n"/>
      <c r="AL1241" s="13" t="n"/>
      <c r="AM1241" s="14" t="n"/>
      <c r="AN1241" s="12" t="n"/>
      <c r="AO1241" s="13" t="n"/>
      <c r="AP1241" s="14" t="n"/>
      <c r="AQ1241" s="12" t="n"/>
      <c r="AR1241" s="13" t="n"/>
      <c r="AS1241" s="14" t="n"/>
      <c r="AT1241" s="12" t="n"/>
      <c r="AU1241" s="13" t="n"/>
      <c r="AV1241" s="14" t="n"/>
      <c r="AW1241" s="12" t="n"/>
      <c r="AX1241" s="13" t="n"/>
      <c r="AY1241" s="14" t="n"/>
      <c r="AZ1241" s="12" t="n"/>
      <c r="BA1241" s="13" t="n"/>
      <c r="BB1241" s="14" t="n"/>
      <c r="BC1241" s="11">
        <f>IF(O1241="","",IF(J1241="GST 10%",ROUND(O1241*set_GSTRate,2),0))</f>
        <v/>
      </c>
      <c r="BD1241" s="11">
        <f>IF(O1241="","",O1241+BC1241)</f>
        <v/>
      </c>
      <c r="BE1241" s="15">
        <f>IF(O1241="","",COUNTA(S1241,V1241,Y1241,AB1241,AE1241,AH1241,AK1241,AN1241,AQ1241,AT1241,AW1241,AZ1241))</f>
        <v/>
      </c>
      <c r="BF1241" s="16">
        <f>IF(COUNT(T1241,W1241,Z1241,AC1241,AF1241,AI1241,AL1241,AO1241,AR1241,AU1241,AX1241,BA1241)=0,"",MAX(T1241,W1241,Z1241,AC1241,AF1241,AI1241,AL1241,AO1241,AR1241,AU1241,AX1241,BA1241))</f>
        <v/>
      </c>
      <c r="BG1241" s="10">
        <f>MID(IF(S1241="","",", "&amp;S1241)&amp;IF(V1241="","",", "&amp;V1241)&amp;IF(Y1241="","",", "&amp;Y1241)&amp;IF(AB1241="","",", "&amp;AB1241)&amp;IF(AE1241="","",", "&amp;AE1241)&amp;IF(AH1241="","",", "&amp;AH1241)&amp;IF(AK1241="","",", "&amp;AK1241)&amp;IF(AN1241="","",", "&amp;AN1241)&amp;IF(AQ1241="","",", "&amp;AQ1241)&amp;IF(AT1241="","",", "&amp;AT1241)&amp;IF(AW1241="","",", "&amp;AW1241)&amp;IF(AZ1241="","",", "&amp;AZ1241),3,500)</f>
        <v/>
      </c>
      <c r="BH1241" s="12" t="n"/>
      <c r="BI1241" s="15">
        <f>IFERROR(MATCH($A1241,IF($B1241="Onsite",tbl_Onsite[Row ID],IF($B1241="Production",tbl_Production[Row ID],tbl_Consulting[Row ID])),0),"")</f>
        <v/>
      </c>
    </row>
    <row r="1242">
      <c r="A1242" s="10" t="inlineStr">
        <is>
          <t>CON-0236</t>
        </is>
      </c>
      <c r="B1242" s="10" t="inlineStr">
        <is>
          <t>Consulting</t>
        </is>
      </c>
      <c r="C1242" s="10">
        <f>IF($BI1242="","",IF($B1242="Onsite",INDEX(tbl_Onsite[Job Number],$BI1242),IF($B1242="Production",INDEX(tbl_Production[Job Number],$BI1242),INDEX(tbl_Consulting[Job Number],$BI1242)))&amp;"")</f>
        <v/>
      </c>
      <c r="D1242" s="10">
        <f>IF($BI1242="","",IF($B1242="Onsite",INDEX(tbl_Onsite[Client],$BI1242),IF($B1242="Production",INDEX(tbl_Production[Client],$BI1242),INDEX(tbl_Consulting[Client],$BI1242)))&amp;"")</f>
        <v/>
      </c>
      <c r="E1242" s="10">
        <f>IF($C1242="","",IF(COUNTIF(lst_Jobs,$C1242)&gt;0,"OK","CHECK"))</f>
        <v/>
      </c>
      <c r="F1242" s="10">
        <f>IF($C1242="","",IFERROR(INDEX(lst_JobName,MATCH($C1242,lst_Jobs,0)),""))</f>
        <v/>
      </c>
      <c r="G1242" s="10">
        <f>IF($BI1242="","",IF($B1242="Onsite",INDEX(tbl_Onsite[Job Description],$BI1242),IF($B1242="Production",INDEX(tbl_Production[Job Description],$BI1242),INDEX(tbl_Consulting[Job Description],$BI1242)))&amp;"")</f>
        <v/>
      </c>
      <c r="H1242" s="10">
        <f>IF($BI1242="","",IF($B1242="Onsite",INDEX(tbl_Onsite[Cost Centre],$BI1242),IF($B1242="Production",INDEX(tbl_Production[Cost Centre],$BI1242),INDEX(tbl_Consulting[Cost Centre],$BI1242)))&amp;"")</f>
        <v/>
      </c>
      <c r="I1242" s="10">
        <f>IF($BI1242="","",IF($B1242="Onsite",INDEX(tbl_Onsite[Invoice Type],$BI1242),IF($B1242="Production",INDEX(tbl_Production[Invoice Type],$BI1242),INDEX(tbl_Consulting[Invoice Type],$BI1242)))&amp;"")</f>
        <v/>
      </c>
      <c r="J1242" s="10">
        <f>IF($BI1242="","",IF($B1242="Onsite",INDEX(tbl_Onsite[Tax Code],$BI1242),IF($B1242="Production",INDEX(tbl_Production[Tax Code],$BI1242),INDEX(tbl_Consulting[Tax Code],$BI1242)))&amp;"")</f>
        <v/>
      </c>
      <c r="K1242" s="10">
        <f>IF(H1242="","",IFERROR(INDEX(lst_CCtoGL,MATCH(H1242,lst_CCforGL,0)),""))</f>
        <v/>
      </c>
      <c r="L1242" s="10">
        <f>IF($BI1242="","",IF($B1242="Onsite",INDEX(tbl_Onsite[PO / Reference],$BI1242),IF($B1242="Production",INDEX(tbl_Production[Current RMS No],$BI1242),INDEX(tbl_Consulting[Qwilr Quote],$BI1242)))&amp;"")</f>
        <v/>
      </c>
      <c r="M1242" s="10">
        <f>IF($BI1242="","",IF($B1242="Onsite",INDEX(tbl_Onsite[Notes],$BI1242),IF($B1242="Production",INDEX(tbl_Production[Notes],$BI1242),INDEX(tbl_Consulting[Notes],$BI1242)))&amp;"")</f>
        <v/>
      </c>
      <c r="N1242" s="11">
        <f>IF($BI1242="","",IF(IF($B1242="Onsite",INDEX(tbl_Onsite[Expected Revenue Ex GST],$BI1242),IF($B1242="Production",INDEX(tbl_Production[Expected Revenue Ex GST],$BI1242),INDEX(tbl_Consulting[Expected Revenue Ex GST],$BI1242)))="","",IF($B1242="Onsite",INDEX(tbl_Onsite[Expected Revenue Ex GST],$BI1242),IF($B1242="Production",INDEX(tbl_Production[Expected Revenue Ex GST],$BI1242),INDEX(tbl_Consulting[Expected Revenue Ex GST],$BI1242)))))</f>
        <v/>
      </c>
      <c r="O1242" s="11">
        <f>IF(AND($C1242="",NOT(COUNTA($S1242:$BB1242)&gt;0)),"",SUM(U1242,X1242,AA1242,AD1242,AG1242,AJ1242,AM1242,AP1242,AS1242,AV1242,AY1242,BB1242))</f>
        <v/>
      </c>
      <c r="P1242" s="11">
        <f>IF(O1242="","",N(N1242)-O1242)</f>
        <v/>
      </c>
      <c r="Q1242" s="10">
        <f>IF(O1242="","",IF($C1242="","Invoice on empty job row",IF(N1242="",IF(ROUND(O1242,2)=0,"No dept value","Invoiced - no dept value"),IF(ROUND(O1242,2)=0,"Not invoiced - to invoice",IF(ROUND(P1242,2)=0,"Agrees",IF(P1242&gt;0,"Dept higher - to invoice","Xero higher - check dept"))))))</f>
        <v/>
      </c>
      <c r="R1242" s="10">
        <f>IF(AND($C1242="",NOT(COUNTA($S1242:$BB1242)&gt;0),$BI1242&lt;&gt;""),"",MID(IF($BI1242="","; Row ID not found on the department sheet - a row was deleted","")&amp;IF(AND($C1242="",COUNTA($S1242:$BB1242)&gt;0),"; Invoice entered but the department row has no job number","")&amp;IF(E1242="CHECK","; Job number not in the Xero job list","")&amp;IF(AND($C1242&lt;&gt;"",COUNTIF($C$7:$C$1506,$C1242)&gt;1),"; Job number on more than one row","")&amp;IF(AND($C1242&lt;&gt;"",H1242=""),"; Dept has not set a cost centre","")&amp;IF(AND($C1242&lt;&gt;"",J1242=""),"; Dept has not set a tax code","")&amp;IF(AND($C1242&lt;&gt;"",N1242=""),"; Dept has not entered an expected value","")&amp;IF((IF(OR(COUNTA(S1242:U1242)=0,AND(COUNTA(S1242:U1242)=3,ISNUMBER(U1242))),0,1)+IF(OR(COUNTA(V1242:X1242)=0,AND(COUNTA(V1242:X1242)=3,ISNUMBER(X1242))),0,1)+IF(OR(COUNTA(Y1242:AA1242)=0,AND(COUNTA(Y1242:AA1242)=3,ISNUMBER(AA1242))),0,1)+IF(OR(COUNTA(AB1242:AD1242)=0,AND(COUNTA(AB1242:AD1242)=3,ISNUMBER(AD1242))),0,1)+IF(OR(COUNTA(AE1242:AG1242)=0,AND(COUNTA(AE1242:AG1242)=3,ISNUMBER(AG1242))),0,1)+IF(OR(COUNTA(AH1242:AJ1242)=0,AND(COUNTA(AH1242:AJ1242)=3,ISNUMBER(AJ1242))),0,1)+IF(OR(COUNTA(AK1242:AM1242)=0,AND(COUNTA(AK1242:AM1242)=3,ISNUMBER(AM1242))),0,1)+IF(OR(COUNTA(AN1242:AP1242)=0,AND(COUNTA(AN1242:AP1242)=3,ISNUMBER(AP1242))),0,1)+IF(OR(COUNTA(AQ1242:AS1242)=0,AND(COUNTA(AQ1242:AS1242)=3,ISNUMBER(AS1242))),0,1)+IF(OR(COUNTA(AT1242:AV1242)=0,AND(COUNTA(AT1242:AV1242)=3,ISNUMBER(AV1242))),0,1)+IF(OR(COUNTA(AW1242:AY1242)=0,AND(COUNTA(AW1242:AY1242)=3,ISNUMBER(AY1242))),0,1)+IF(OR(COUNTA(AZ1242:BB1242)=0,AND(COUNTA(AZ1242:BB1242)=3,ISNUMBER(BB1242))),0,1))&gt;0,"; An invoice is incomplete (needs No, Date and a number in Ex GST)","")&amp;IF((IF(T1242="",0,IFERROR(--(EOMONTH(T1242,0)&lt;&gt;S$5),1))+IF(W1242="",0,IFERROR(--(EOMONTH(W1242,0)&lt;&gt;V$5),1))+IF(Z1242="",0,IFERROR(--(EOMONTH(Z1242,0)&lt;&gt;Y$5),1))+IF(AC1242="",0,IFERROR(--(EOMONTH(AC1242,0)&lt;&gt;AB$5),1))+IF(AF1242="",0,IFERROR(--(EOMONTH(AF1242,0)&lt;&gt;AE$5),1))+IF(AI1242="",0,IFERROR(--(EOMONTH(AI1242,0)&lt;&gt;AH$5),1))+IF(AL1242="",0,IFERROR(--(EOMONTH(AL1242,0)&lt;&gt;AK$5),1))+IF(AO1242="",0,IFERROR(--(EOMONTH(AO1242,0)&lt;&gt;AN$5),1))+IF(AR1242="",0,IFERROR(--(EOMONTH(AR1242,0)&lt;&gt;AQ$5),1))+IF(AU1242="",0,IFERROR(--(EOMONTH(AU1242,0)&lt;&gt;AT$5),1))+IF(AX1242="",0,IFERROR(--(EOMONTH(AX1242,0)&lt;&gt;AW$5),1))+IF(BA1242="",0,IFERROR(--(EOMONTH(BA1242,0)&lt;&gt;AZ$5),1)))&gt;0,"; An invoice date is not in the month it is typed under",""),3,500))</f>
        <v/>
      </c>
      <c r="S1242" s="12" t="n"/>
      <c r="T1242" s="13" t="n"/>
      <c r="U1242" s="14" t="n"/>
      <c r="V1242" s="12" t="n"/>
      <c r="W1242" s="13" t="n"/>
      <c r="X1242" s="14" t="n"/>
      <c r="Y1242" s="12" t="n"/>
      <c r="Z1242" s="13" t="n"/>
      <c r="AA1242" s="14" t="n"/>
      <c r="AB1242" s="12" t="n"/>
      <c r="AC1242" s="13" t="n"/>
      <c r="AD1242" s="14" t="n"/>
      <c r="AE1242" s="12" t="n"/>
      <c r="AF1242" s="13" t="n"/>
      <c r="AG1242" s="14" t="n"/>
      <c r="AH1242" s="12" t="n"/>
      <c r="AI1242" s="13" t="n"/>
      <c r="AJ1242" s="14" t="n"/>
      <c r="AK1242" s="12" t="n"/>
      <c r="AL1242" s="13" t="n"/>
      <c r="AM1242" s="14" t="n"/>
      <c r="AN1242" s="12" t="n"/>
      <c r="AO1242" s="13" t="n"/>
      <c r="AP1242" s="14" t="n"/>
      <c r="AQ1242" s="12" t="n"/>
      <c r="AR1242" s="13" t="n"/>
      <c r="AS1242" s="14" t="n"/>
      <c r="AT1242" s="12" t="n"/>
      <c r="AU1242" s="13" t="n"/>
      <c r="AV1242" s="14" t="n"/>
      <c r="AW1242" s="12" t="n"/>
      <c r="AX1242" s="13" t="n"/>
      <c r="AY1242" s="14" t="n"/>
      <c r="AZ1242" s="12" t="n"/>
      <c r="BA1242" s="13" t="n"/>
      <c r="BB1242" s="14" t="n"/>
      <c r="BC1242" s="11">
        <f>IF(O1242="","",IF(J1242="GST 10%",ROUND(O1242*set_GSTRate,2),0))</f>
        <v/>
      </c>
      <c r="BD1242" s="11">
        <f>IF(O1242="","",O1242+BC1242)</f>
        <v/>
      </c>
      <c r="BE1242" s="15">
        <f>IF(O1242="","",COUNTA(S1242,V1242,Y1242,AB1242,AE1242,AH1242,AK1242,AN1242,AQ1242,AT1242,AW1242,AZ1242))</f>
        <v/>
      </c>
      <c r="BF1242" s="16">
        <f>IF(COUNT(T1242,W1242,Z1242,AC1242,AF1242,AI1242,AL1242,AO1242,AR1242,AU1242,AX1242,BA1242)=0,"",MAX(T1242,W1242,Z1242,AC1242,AF1242,AI1242,AL1242,AO1242,AR1242,AU1242,AX1242,BA1242))</f>
        <v/>
      </c>
      <c r="BG1242" s="10">
        <f>MID(IF(S1242="","",", "&amp;S1242)&amp;IF(V1242="","",", "&amp;V1242)&amp;IF(Y1242="","",", "&amp;Y1242)&amp;IF(AB1242="","",", "&amp;AB1242)&amp;IF(AE1242="","",", "&amp;AE1242)&amp;IF(AH1242="","",", "&amp;AH1242)&amp;IF(AK1242="","",", "&amp;AK1242)&amp;IF(AN1242="","",", "&amp;AN1242)&amp;IF(AQ1242="","",", "&amp;AQ1242)&amp;IF(AT1242="","",", "&amp;AT1242)&amp;IF(AW1242="","",", "&amp;AW1242)&amp;IF(AZ1242="","",", "&amp;AZ1242),3,500)</f>
        <v/>
      </c>
      <c r="BH1242" s="12" t="n"/>
      <c r="BI1242" s="15">
        <f>IFERROR(MATCH($A1242,IF($B1242="Onsite",tbl_Onsite[Row ID],IF($B1242="Production",tbl_Production[Row ID],tbl_Consulting[Row ID])),0),"")</f>
        <v/>
      </c>
    </row>
    <row r="1243">
      <c r="A1243" s="10" t="inlineStr">
        <is>
          <t>CON-0237</t>
        </is>
      </c>
      <c r="B1243" s="10" t="inlineStr">
        <is>
          <t>Consulting</t>
        </is>
      </c>
      <c r="C1243" s="10">
        <f>IF($BI1243="","",IF($B1243="Onsite",INDEX(tbl_Onsite[Job Number],$BI1243),IF($B1243="Production",INDEX(tbl_Production[Job Number],$BI1243),INDEX(tbl_Consulting[Job Number],$BI1243)))&amp;"")</f>
        <v/>
      </c>
      <c r="D1243" s="10">
        <f>IF($BI1243="","",IF($B1243="Onsite",INDEX(tbl_Onsite[Client],$BI1243),IF($B1243="Production",INDEX(tbl_Production[Client],$BI1243),INDEX(tbl_Consulting[Client],$BI1243)))&amp;"")</f>
        <v/>
      </c>
      <c r="E1243" s="10">
        <f>IF($C1243="","",IF(COUNTIF(lst_Jobs,$C1243)&gt;0,"OK","CHECK"))</f>
        <v/>
      </c>
      <c r="F1243" s="10">
        <f>IF($C1243="","",IFERROR(INDEX(lst_JobName,MATCH($C1243,lst_Jobs,0)),""))</f>
        <v/>
      </c>
      <c r="G1243" s="10">
        <f>IF($BI1243="","",IF($B1243="Onsite",INDEX(tbl_Onsite[Job Description],$BI1243),IF($B1243="Production",INDEX(tbl_Production[Job Description],$BI1243),INDEX(tbl_Consulting[Job Description],$BI1243)))&amp;"")</f>
        <v/>
      </c>
      <c r="H1243" s="10">
        <f>IF($BI1243="","",IF($B1243="Onsite",INDEX(tbl_Onsite[Cost Centre],$BI1243),IF($B1243="Production",INDEX(tbl_Production[Cost Centre],$BI1243),INDEX(tbl_Consulting[Cost Centre],$BI1243)))&amp;"")</f>
        <v/>
      </c>
      <c r="I1243" s="10">
        <f>IF($BI1243="","",IF($B1243="Onsite",INDEX(tbl_Onsite[Invoice Type],$BI1243),IF($B1243="Production",INDEX(tbl_Production[Invoice Type],$BI1243),INDEX(tbl_Consulting[Invoice Type],$BI1243)))&amp;"")</f>
        <v/>
      </c>
      <c r="J1243" s="10">
        <f>IF($BI1243="","",IF($B1243="Onsite",INDEX(tbl_Onsite[Tax Code],$BI1243),IF($B1243="Production",INDEX(tbl_Production[Tax Code],$BI1243),INDEX(tbl_Consulting[Tax Code],$BI1243)))&amp;"")</f>
        <v/>
      </c>
      <c r="K1243" s="10">
        <f>IF(H1243="","",IFERROR(INDEX(lst_CCtoGL,MATCH(H1243,lst_CCforGL,0)),""))</f>
        <v/>
      </c>
      <c r="L1243" s="10">
        <f>IF($BI1243="","",IF($B1243="Onsite",INDEX(tbl_Onsite[PO / Reference],$BI1243),IF($B1243="Production",INDEX(tbl_Production[Current RMS No],$BI1243),INDEX(tbl_Consulting[Qwilr Quote],$BI1243)))&amp;"")</f>
        <v/>
      </c>
      <c r="M1243" s="10">
        <f>IF($BI1243="","",IF($B1243="Onsite",INDEX(tbl_Onsite[Notes],$BI1243),IF($B1243="Production",INDEX(tbl_Production[Notes],$BI1243),INDEX(tbl_Consulting[Notes],$BI1243)))&amp;"")</f>
        <v/>
      </c>
      <c r="N1243" s="11">
        <f>IF($BI1243="","",IF(IF($B1243="Onsite",INDEX(tbl_Onsite[Expected Revenue Ex GST],$BI1243),IF($B1243="Production",INDEX(tbl_Production[Expected Revenue Ex GST],$BI1243),INDEX(tbl_Consulting[Expected Revenue Ex GST],$BI1243)))="","",IF($B1243="Onsite",INDEX(tbl_Onsite[Expected Revenue Ex GST],$BI1243),IF($B1243="Production",INDEX(tbl_Production[Expected Revenue Ex GST],$BI1243),INDEX(tbl_Consulting[Expected Revenue Ex GST],$BI1243)))))</f>
        <v/>
      </c>
      <c r="O1243" s="11">
        <f>IF(AND($C1243="",NOT(COUNTA($S1243:$BB1243)&gt;0)),"",SUM(U1243,X1243,AA1243,AD1243,AG1243,AJ1243,AM1243,AP1243,AS1243,AV1243,AY1243,BB1243))</f>
        <v/>
      </c>
      <c r="P1243" s="11">
        <f>IF(O1243="","",N(N1243)-O1243)</f>
        <v/>
      </c>
      <c r="Q1243" s="10">
        <f>IF(O1243="","",IF($C1243="","Invoice on empty job row",IF(N1243="",IF(ROUND(O1243,2)=0,"No dept value","Invoiced - no dept value"),IF(ROUND(O1243,2)=0,"Not invoiced - to invoice",IF(ROUND(P1243,2)=0,"Agrees",IF(P1243&gt;0,"Dept higher - to invoice","Xero higher - check dept"))))))</f>
        <v/>
      </c>
      <c r="R1243" s="10">
        <f>IF(AND($C1243="",NOT(COUNTA($S1243:$BB1243)&gt;0),$BI1243&lt;&gt;""),"",MID(IF($BI1243="","; Row ID not found on the department sheet - a row was deleted","")&amp;IF(AND($C1243="",COUNTA($S1243:$BB1243)&gt;0),"; Invoice entered but the department row has no job number","")&amp;IF(E1243="CHECK","; Job number not in the Xero job list","")&amp;IF(AND($C1243&lt;&gt;"",COUNTIF($C$7:$C$1506,$C1243)&gt;1),"; Job number on more than one row","")&amp;IF(AND($C1243&lt;&gt;"",H1243=""),"; Dept has not set a cost centre","")&amp;IF(AND($C1243&lt;&gt;"",J1243=""),"; Dept has not set a tax code","")&amp;IF(AND($C1243&lt;&gt;"",N1243=""),"; Dept has not entered an expected value","")&amp;IF((IF(OR(COUNTA(S1243:U1243)=0,AND(COUNTA(S1243:U1243)=3,ISNUMBER(U1243))),0,1)+IF(OR(COUNTA(V1243:X1243)=0,AND(COUNTA(V1243:X1243)=3,ISNUMBER(X1243))),0,1)+IF(OR(COUNTA(Y1243:AA1243)=0,AND(COUNTA(Y1243:AA1243)=3,ISNUMBER(AA1243))),0,1)+IF(OR(COUNTA(AB1243:AD1243)=0,AND(COUNTA(AB1243:AD1243)=3,ISNUMBER(AD1243))),0,1)+IF(OR(COUNTA(AE1243:AG1243)=0,AND(COUNTA(AE1243:AG1243)=3,ISNUMBER(AG1243))),0,1)+IF(OR(COUNTA(AH1243:AJ1243)=0,AND(COUNTA(AH1243:AJ1243)=3,ISNUMBER(AJ1243))),0,1)+IF(OR(COUNTA(AK1243:AM1243)=0,AND(COUNTA(AK1243:AM1243)=3,ISNUMBER(AM1243))),0,1)+IF(OR(COUNTA(AN1243:AP1243)=0,AND(COUNTA(AN1243:AP1243)=3,ISNUMBER(AP1243))),0,1)+IF(OR(COUNTA(AQ1243:AS1243)=0,AND(COUNTA(AQ1243:AS1243)=3,ISNUMBER(AS1243))),0,1)+IF(OR(COUNTA(AT1243:AV1243)=0,AND(COUNTA(AT1243:AV1243)=3,ISNUMBER(AV1243))),0,1)+IF(OR(COUNTA(AW1243:AY1243)=0,AND(COUNTA(AW1243:AY1243)=3,ISNUMBER(AY1243))),0,1)+IF(OR(COUNTA(AZ1243:BB1243)=0,AND(COUNTA(AZ1243:BB1243)=3,ISNUMBER(BB1243))),0,1))&gt;0,"; An invoice is incomplete (needs No, Date and a number in Ex GST)","")&amp;IF((IF(T1243="",0,IFERROR(--(EOMONTH(T1243,0)&lt;&gt;S$5),1))+IF(W1243="",0,IFERROR(--(EOMONTH(W1243,0)&lt;&gt;V$5),1))+IF(Z1243="",0,IFERROR(--(EOMONTH(Z1243,0)&lt;&gt;Y$5),1))+IF(AC1243="",0,IFERROR(--(EOMONTH(AC1243,0)&lt;&gt;AB$5),1))+IF(AF1243="",0,IFERROR(--(EOMONTH(AF1243,0)&lt;&gt;AE$5),1))+IF(AI1243="",0,IFERROR(--(EOMONTH(AI1243,0)&lt;&gt;AH$5),1))+IF(AL1243="",0,IFERROR(--(EOMONTH(AL1243,0)&lt;&gt;AK$5),1))+IF(AO1243="",0,IFERROR(--(EOMONTH(AO1243,0)&lt;&gt;AN$5),1))+IF(AR1243="",0,IFERROR(--(EOMONTH(AR1243,0)&lt;&gt;AQ$5),1))+IF(AU1243="",0,IFERROR(--(EOMONTH(AU1243,0)&lt;&gt;AT$5),1))+IF(AX1243="",0,IFERROR(--(EOMONTH(AX1243,0)&lt;&gt;AW$5),1))+IF(BA1243="",0,IFERROR(--(EOMONTH(BA1243,0)&lt;&gt;AZ$5),1)))&gt;0,"; An invoice date is not in the month it is typed under",""),3,500))</f>
        <v/>
      </c>
      <c r="S1243" s="12" t="n"/>
      <c r="T1243" s="13" t="n"/>
      <c r="U1243" s="14" t="n"/>
      <c r="V1243" s="12" t="n"/>
      <c r="W1243" s="13" t="n"/>
      <c r="X1243" s="14" t="n"/>
      <c r="Y1243" s="12" t="n"/>
      <c r="Z1243" s="13" t="n"/>
      <c r="AA1243" s="14" t="n"/>
      <c r="AB1243" s="12" t="n"/>
      <c r="AC1243" s="13" t="n"/>
      <c r="AD1243" s="14" t="n"/>
      <c r="AE1243" s="12" t="n"/>
      <c r="AF1243" s="13" t="n"/>
      <c r="AG1243" s="14" t="n"/>
      <c r="AH1243" s="12" t="n"/>
      <c r="AI1243" s="13" t="n"/>
      <c r="AJ1243" s="14" t="n"/>
      <c r="AK1243" s="12" t="n"/>
      <c r="AL1243" s="13" t="n"/>
      <c r="AM1243" s="14" t="n"/>
      <c r="AN1243" s="12" t="n"/>
      <c r="AO1243" s="13" t="n"/>
      <c r="AP1243" s="14" t="n"/>
      <c r="AQ1243" s="12" t="n"/>
      <c r="AR1243" s="13" t="n"/>
      <c r="AS1243" s="14" t="n"/>
      <c r="AT1243" s="12" t="n"/>
      <c r="AU1243" s="13" t="n"/>
      <c r="AV1243" s="14" t="n"/>
      <c r="AW1243" s="12" t="n"/>
      <c r="AX1243" s="13" t="n"/>
      <c r="AY1243" s="14" t="n"/>
      <c r="AZ1243" s="12" t="n"/>
      <c r="BA1243" s="13" t="n"/>
      <c r="BB1243" s="14" t="n"/>
      <c r="BC1243" s="11">
        <f>IF(O1243="","",IF(J1243="GST 10%",ROUND(O1243*set_GSTRate,2),0))</f>
        <v/>
      </c>
      <c r="BD1243" s="11">
        <f>IF(O1243="","",O1243+BC1243)</f>
        <v/>
      </c>
      <c r="BE1243" s="15">
        <f>IF(O1243="","",COUNTA(S1243,V1243,Y1243,AB1243,AE1243,AH1243,AK1243,AN1243,AQ1243,AT1243,AW1243,AZ1243))</f>
        <v/>
      </c>
      <c r="BF1243" s="16">
        <f>IF(COUNT(T1243,W1243,Z1243,AC1243,AF1243,AI1243,AL1243,AO1243,AR1243,AU1243,AX1243,BA1243)=0,"",MAX(T1243,W1243,Z1243,AC1243,AF1243,AI1243,AL1243,AO1243,AR1243,AU1243,AX1243,BA1243))</f>
        <v/>
      </c>
      <c r="BG1243" s="10">
        <f>MID(IF(S1243="","",", "&amp;S1243)&amp;IF(V1243="","",", "&amp;V1243)&amp;IF(Y1243="","",", "&amp;Y1243)&amp;IF(AB1243="","",", "&amp;AB1243)&amp;IF(AE1243="","",", "&amp;AE1243)&amp;IF(AH1243="","",", "&amp;AH1243)&amp;IF(AK1243="","",", "&amp;AK1243)&amp;IF(AN1243="","",", "&amp;AN1243)&amp;IF(AQ1243="","",", "&amp;AQ1243)&amp;IF(AT1243="","",", "&amp;AT1243)&amp;IF(AW1243="","",", "&amp;AW1243)&amp;IF(AZ1243="","",", "&amp;AZ1243),3,500)</f>
        <v/>
      </c>
      <c r="BH1243" s="12" t="n"/>
      <c r="BI1243" s="15">
        <f>IFERROR(MATCH($A1243,IF($B1243="Onsite",tbl_Onsite[Row ID],IF($B1243="Production",tbl_Production[Row ID],tbl_Consulting[Row ID])),0),"")</f>
        <v/>
      </c>
    </row>
    <row r="1244">
      <c r="A1244" s="10" t="inlineStr">
        <is>
          <t>CON-0238</t>
        </is>
      </c>
      <c r="B1244" s="10" t="inlineStr">
        <is>
          <t>Consulting</t>
        </is>
      </c>
      <c r="C1244" s="10">
        <f>IF($BI1244="","",IF($B1244="Onsite",INDEX(tbl_Onsite[Job Number],$BI1244),IF($B1244="Production",INDEX(tbl_Production[Job Number],$BI1244),INDEX(tbl_Consulting[Job Number],$BI1244)))&amp;"")</f>
        <v/>
      </c>
      <c r="D1244" s="10">
        <f>IF($BI1244="","",IF($B1244="Onsite",INDEX(tbl_Onsite[Client],$BI1244),IF($B1244="Production",INDEX(tbl_Production[Client],$BI1244),INDEX(tbl_Consulting[Client],$BI1244)))&amp;"")</f>
        <v/>
      </c>
      <c r="E1244" s="10">
        <f>IF($C1244="","",IF(COUNTIF(lst_Jobs,$C1244)&gt;0,"OK","CHECK"))</f>
        <v/>
      </c>
      <c r="F1244" s="10">
        <f>IF($C1244="","",IFERROR(INDEX(lst_JobName,MATCH($C1244,lst_Jobs,0)),""))</f>
        <v/>
      </c>
      <c r="G1244" s="10">
        <f>IF($BI1244="","",IF($B1244="Onsite",INDEX(tbl_Onsite[Job Description],$BI1244),IF($B1244="Production",INDEX(tbl_Production[Job Description],$BI1244),INDEX(tbl_Consulting[Job Description],$BI1244)))&amp;"")</f>
        <v/>
      </c>
      <c r="H1244" s="10">
        <f>IF($BI1244="","",IF($B1244="Onsite",INDEX(tbl_Onsite[Cost Centre],$BI1244),IF($B1244="Production",INDEX(tbl_Production[Cost Centre],$BI1244),INDEX(tbl_Consulting[Cost Centre],$BI1244)))&amp;"")</f>
        <v/>
      </c>
      <c r="I1244" s="10">
        <f>IF($BI1244="","",IF($B1244="Onsite",INDEX(tbl_Onsite[Invoice Type],$BI1244),IF($B1244="Production",INDEX(tbl_Production[Invoice Type],$BI1244),INDEX(tbl_Consulting[Invoice Type],$BI1244)))&amp;"")</f>
        <v/>
      </c>
      <c r="J1244" s="10">
        <f>IF($BI1244="","",IF($B1244="Onsite",INDEX(tbl_Onsite[Tax Code],$BI1244),IF($B1244="Production",INDEX(tbl_Production[Tax Code],$BI1244),INDEX(tbl_Consulting[Tax Code],$BI1244)))&amp;"")</f>
        <v/>
      </c>
      <c r="K1244" s="10">
        <f>IF(H1244="","",IFERROR(INDEX(lst_CCtoGL,MATCH(H1244,lst_CCforGL,0)),""))</f>
        <v/>
      </c>
      <c r="L1244" s="10">
        <f>IF($BI1244="","",IF($B1244="Onsite",INDEX(tbl_Onsite[PO / Reference],$BI1244),IF($B1244="Production",INDEX(tbl_Production[Current RMS No],$BI1244),INDEX(tbl_Consulting[Qwilr Quote],$BI1244)))&amp;"")</f>
        <v/>
      </c>
      <c r="M1244" s="10">
        <f>IF($BI1244="","",IF($B1244="Onsite",INDEX(tbl_Onsite[Notes],$BI1244),IF($B1244="Production",INDEX(tbl_Production[Notes],$BI1244),INDEX(tbl_Consulting[Notes],$BI1244)))&amp;"")</f>
        <v/>
      </c>
      <c r="N1244" s="11">
        <f>IF($BI1244="","",IF(IF($B1244="Onsite",INDEX(tbl_Onsite[Expected Revenue Ex GST],$BI1244),IF($B1244="Production",INDEX(tbl_Production[Expected Revenue Ex GST],$BI1244),INDEX(tbl_Consulting[Expected Revenue Ex GST],$BI1244)))="","",IF($B1244="Onsite",INDEX(tbl_Onsite[Expected Revenue Ex GST],$BI1244),IF($B1244="Production",INDEX(tbl_Production[Expected Revenue Ex GST],$BI1244),INDEX(tbl_Consulting[Expected Revenue Ex GST],$BI1244)))))</f>
        <v/>
      </c>
      <c r="O1244" s="11">
        <f>IF(AND($C1244="",NOT(COUNTA($S1244:$BB1244)&gt;0)),"",SUM(U1244,X1244,AA1244,AD1244,AG1244,AJ1244,AM1244,AP1244,AS1244,AV1244,AY1244,BB1244))</f>
        <v/>
      </c>
      <c r="P1244" s="11">
        <f>IF(O1244="","",N(N1244)-O1244)</f>
        <v/>
      </c>
      <c r="Q1244" s="10">
        <f>IF(O1244="","",IF($C1244="","Invoice on empty job row",IF(N1244="",IF(ROUND(O1244,2)=0,"No dept value","Invoiced - no dept value"),IF(ROUND(O1244,2)=0,"Not invoiced - to invoice",IF(ROUND(P1244,2)=0,"Agrees",IF(P1244&gt;0,"Dept higher - to invoice","Xero higher - check dept"))))))</f>
        <v/>
      </c>
      <c r="R1244" s="10">
        <f>IF(AND($C1244="",NOT(COUNTA($S1244:$BB1244)&gt;0),$BI1244&lt;&gt;""),"",MID(IF($BI1244="","; Row ID not found on the department sheet - a row was deleted","")&amp;IF(AND($C1244="",COUNTA($S1244:$BB1244)&gt;0),"; Invoice entered but the department row has no job number","")&amp;IF(E1244="CHECK","; Job number not in the Xero job list","")&amp;IF(AND($C1244&lt;&gt;"",COUNTIF($C$7:$C$1506,$C1244)&gt;1),"; Job number on more than one row","")&amp;IF(AND($C1244&lt;&gt;"",H1244=""),"; Dept has not set a cost centre","")&amp;IF(AND($C1244&lt;&gt;"",J1244=""),"; Dept has not set a tax code","")&amp;IF(AND($C1244&lt;&gt;"",N1244=""),"; Dept has not entered an expected value","")&amp;IF((IF(OR(COUNTA(S1244:U1244)=0,AND(COUNTA(S1244:U1244)=3,ISNUMBER(U1244))),0,1)+IF(OR(COUNTA(V1244:X1244)=0,AND(COUNTA(V1244:X1244)=3,ISNUMBER(X1244))),0,1)+IF(OR(COUNTA(Y1244:AA1244)=0,AND(COUNTA(Y1244:AA1244)=3,ISNUMBER(AA1244))),0,1)+IF(OR(COUNTA(AB1244:AD1244)=0,AND(COUNTA(AB1244:AD1244)=3,ISNUMBER(AD1244))),0,1)+IF(OR(COUNTA(AE1244:AG1244)=0,AND(COUNTA(AE1244:AG1244)=3,ISNUMBER(AG1244))),0,1)+IF(OR(COUNTA(AH1244:AJ1244)=0,AND(COUNTA(AH1244:AJ1244)=3,ISNUMBER(AJ1244))),0,1)+IF(OR(COUNTA(AK1244:AM1244)=0,AND(COUNTA(AK1244:AM1244)=3,ISNUMBER(AM1244))),0,1)+IF(OR(COUNTA(AN1244:AP1244)=0,AND(COUNTA(AN1244:AP1244)=3,ISNUMBER(AP1244))),0,1)+IF(OR(COUNTA(AQ1244:AS1244)=0,AND(COUNTA(AQ1244:AS1244)=3,ISNUMBER(AS1244))),0,1)+IF(OR(COUNTA(AT1244:AV1244)=0,AND(COUNTA(AT1244:AV1244)=3,ISNUMBER(AV1244))),0,1)+IF(OR(COUNTA(AW1244:AY1244)=0,AND(COUNTA(AW1244:AY1244)=3,ISNUMBER(AY1244))),0,1)+IF(OR(COUNTA(AZ1244:BB1244)=0,AND(COUNTA(AZ1244:BB1244)=3,ISNUMBER(BB1244))),0,1))&gt;0,"; An invoice is incomplete (needs No, Date and a number in Ex GST)","")&amp;IF((IF(T1244="",0,IFERROR(--(EOMONTH(T1244,0)&lt;&gt;S$5),1))+IF(W1244="",0,IFERROR(--(EOMONTH(W1244,0)&lt;&gt;V$5),1))+IF(Z1244="",0,IFERROR(--(EOMONTH(Z1244,0)&lt;&gt;Y$5),1))+IF(AC1244="",0,IFERROR(--(EOMONTH(AC1244,0)&lt;&gt;AB$5),1))+IF(AF1244="",0,IFERROR(--(EOMONTH(AF1244,0)&lt;&gt;AE$5),1))+IF(AI1244="",0,IFERROR(--(EOMONTH(AI1244,0)&lt;&gt;AH$5),1))+IF(AL1244="",0,IFERROR(--(EOMONTH(AL1244,0)&lt;&gt;AK$5),1))+IF(AO1244="",0,IFERROR(--(EOMONTH(AO1244,0)&lt;&gt;AN$5),1))+IF(AR1244="",0,IFERROR(--(EOMONTH(AR1244,0)&lt;&gt;AQ$5),1))+IF(AU1244="",0,IFERROR(--(EOMONTH(AU1244,0)&lt;&gt;AT$5),1))+IF(AX1244="",0,IFERROR(--(EOMONTH(AX1244,0)&lt;&gt;AW$5),1))+IF(BA1244="",0,IFERROR(--(EOMONTH(BA1244,0)&lt;&gt;AZ$5),1)))&gt;0,"; An invoice date is not in the month it is typed under",""),3,500))</f>
        <v/>
      </c>
      <c r="S1244" s="12" t="n"/>
      <c r="T1244" s="13" t="n"/>
      <c r="U1244" s="14" t="n"/>
      <c r="V1244" s="12" t="n"/>
      <c r="W1244" s="13" t="n"/>
      <c r="X1244" s="14" t="n"/>
      <c r="Y1244" s="12" t="n"/>
      <c r="Z1244" s="13" t="n"/>
      <c r="AA1244" s="14" t="n"/>
      <c r="AB1244" s="12" t="n"/>
      <c r="AC1244" s="13" t="n"/>
      <c r="AD1244" s="14" t="n"/>
      <c r="AE1244" s="12" t="n"/>
      <c r="AF1244" s="13" t="n"/>
      <c r="AG1244" s="14" t="n"/>
      <c r="AH1244" s="12" t="n"/>
      <c r="AI1244" s="13" t="n"/>
      <c r="AJ1244" s="14" t="n"/>
      <c r="AK1244" s="12" t="n"/>
      <c r="AL1244" s="13" t="n"/>
      <c r="AM1244" s="14" t="n"/>
      <c r="AN1244" s="12" t="n"/>
      <c r="AO1244" s="13" t="n"/>
      <c r="AP1244" s="14" t="n"/>
      <c r="AQ1244" s="12" t="n"/>
      <c r="AR1244" s="13" t="n"/>
      <c r="AS1244" s="14" t="n"/>
      <c r="AT1244" s="12" t="n"/>
      <c r="AU1244" s="13" t="n"/>
      <c r="AV1244" s="14" t="n"/>
      <c r="AW1244" s="12" t="n"/>
      <c r="AX1244" s="13" t="n"/>
      <c r="AY1244" s="14" t="n"/>
      <c r="AZ1244" s="12" t="n"/>
      <c r="BA1244" s="13" t="n"/>
      <c r="BB1244" s="14" t="n"/>
      <c r="BC1244" s="11">
        <f>IF(O1244="","",IF(J1244="GST 10%",ROUND(O1244*set_GSTRate,2),0))</f>
        <v/>
      </c>
      <c r="BD1244" s="11">
        <f>IF(O1244="","",O1244+BC1244)</f>
        <v/>
      </c>
      <c r="BE1244" s="15">
        <f>IF(O1244="","",COUNTA(S1244,V1244,Y1244,AB1244,AE1244,AH1244,AK1244,AN1244,AQ1244,AT1244,AW1244,AZ1244))</f>
        <v/>
      </c>
      <c r="BF1244" s="16">
        <f>IF(COUNT(T1244,W1244,Z1244,AC1244,AF1244,AI1244,AL1244,AO1244,AR1244,AU1244,AX1244,BA1244)=0,"",MAX(T1244,W1244,Z1244,AC1244,AF1244,AI1244,AL1244,AO1244,AR1244,AU1244,AX1244,BA1244))</f>
        <v/>
      </c>
      <c r="BG1244" s="10">
        <f>MID(IF(S1244="","",", "&amp;S1244)&amp;IF(V1244="","",", "&amp;V1244)&amp;IF(Y1244="","",", "&amp;Y1244)&amp;IF(AB1244="","",", "&amp;AB1244)&amp;IF(AE1244="","",", "&amp;AE1244)&amp;IF(AH1244="","",", "&amp;AH1244)&amp;IF(AK1244="","",", "&amp;AK1244)&amp;IF(AN1244="","",", "&amp;AN1244)&amp;IF(AQ1244="","",", "&amp;AQ1244)&amp;IF(AT1244="","",", "&amp;AT1244)&amp;IF(AW1244="","",", "&amp;AW1244)&amp;IF(AZ1244="","",", "&amp;AZ1244),3,500)</f>
        <v/>
      </c>
      <c r="BH1244" s="12" t="n"/>
      <c r="BI1244" s="15">
        <f>IFERROR(MATCH($A1244,IF($B1244="Onsite",tbl_Onsite[Row ID],IF($B1244="Production",tbl_Production[Row ID],tbl_Consulting[Row ID])),0),"")</f>
        <v/>
      </c>
    </row>
    <row r="1245">
      <c r="A1245" s="10" t="inlineStr">
        <is>
          <t>CON-0239</t>
        </is>
      </c>
      <c r="B1245" s="10" t="inlineStr">
        <is>
          <t>Consulting</t>
        </is>
      </c>
      <c r="C1245" s="10">
        <f>IF($BI1245="","",IF($B1245="Onsite",INDEX(tbl_Onsite[Job Number],$BI1245),IF($B1245="Production",INDEX(tbl_Production[Job Number],$BI1245),INDEX(tbl_Consulting[Job Number],$BI1245)))&amp;"")</f>
        <v/>
      </c>
      <c r="D1245" s="10">
        <f>IF($BI1245="","",IF($B1245="Onsite",INDEX(tbl_Onsite[Client],$BI1245),IF($B1245="Production",INDEX(tbl_Production[Client],$BI1245),INDEX(tbl_Consulting[Client],$BI1245)))&amp;"")</f>
        <v/>
      </c>
      <c r="E1245" s="10">
        <f>IF($C1245="","",IF(COUNTIF(lst_Jobs,$C1245)&gt;0,"OK","CHECK"))</f>
        <v/>
      </c>
      <c r="F1245" s="10">
        <f>IF($C1245="","",IFERROR(INDEX(lst_JobName,MATCH($C1245,lst_Jobs,0)),""))</f>
        <v/>
      </c>
      <c r="G1245" s="10">
        <f>IF($BI1245="","",IF($B1245="Onsite",INDEX(tbl_Onsite[Job Description],$BI1245),IF($B1245="Production",INDEX(tbl_Production[Job Description],$BI1245),INDEX(tbl_Consulting[Job Description],$BI1245)))&amp;"")</f>
        <v/>
      </c>
      <c r="H1245" s="10">
        <f>IF($BI1245="","",IF($B1245="Onsite",INDEX(tbl_Onsite[Cost Centre],$BI1245),IF($B1245="Production",INDEX(tbl_Production[Cost Centre],$BI1245),INDEX(tbl_Consulting[Cost Centre],$BI1245)))&amp;"")</f>
        <v/>
      </c>
      <c r="I1245" s="10">
        <f>IF($BI1245="","",IF($B1245="Onsite",INDEX(tbl_Onsite[Invoice Type],$BI1245),IF($B1245="Production",INDEX(tbl_Production[Invoice Type],$BI1245),INDEX(tbl_Consulting[Invoice Type],$BI1245)))&amp;"")</f>
        <v/>
      </c>
      <c r="J1245" s="10">
        <f>IF($BI1245="","",IF($B1245="Onsite",INDEX(tbl_Onsite[Tax Code],$BI1245),IF($B1245="Production",INDEX(tbl_Production[Tax Code],$BI1245),INDEX(tbl_Consulting[Tax Code],$BI1245)))&amp;"")</f>
        <v/>
      </c>
      <c r="K1245" s="10">
        <f>IF(H1245="","",IFERROR(INDEX(lst_CCtoGL,MATCH(H1245,lst_CCforGL,0)),""))</f>
        <v/>
      </c>
      <c r="L1245" s="10">
        <f>IF($BI1245="","",IF($B1245="Onsite",INDEX(tbl_Onsite[PO / Reference],$BI1245),IF($B1245="Production",INDEX(tbl_Production[Current RMS No],$BI1245),INDEX(tbl_Consulting[Qwilr Quote],$BI1245)))&amp;"")</f>
        <v/>
      </c>
      <c r="M1245" s="10">
        <f>IF($BI1245="","",IF($B1245="Onsite",INDEX(tbl_Onsite[Notes],$BI1245),IF($B1245="Production",INDEX(tbl_Production[Notes],$BI1245),INDEX(tbl_Consulting[Notes],$BI1245)))&amp;"")</f>
        <v/>
      </c>
      <c r="N1245" s="11">
        <f>IF($BI1245="","",IF(IF($B1245="Onsite",INDEX(tbl_Onsite[Expected Revenue Ex GST],$BI1245),IF($B1245="Production",INDEX(tbl_Production[Expected Revenue Ex GST],$BI1245),INDEX(tbl_Consulting[Expected Revenue Ex GST],$BI1245)))="","",IF($B1245="Onsite",INDEX(tbl_Onsite[Expected Revenue Ex GST],$BI1245),IF($B1245="Production",INDEX(tbl_Production[Expected Revenue Ex GST],$BI1245),INDEX(tbl_Consulting[Expected Revenue Ex GST],$BI1245)))))</f>
        <v/>
      </c>
      <c r="O1245" s="11">
        <f>IF(AND($C1245="",NOT(COUNTA($S1245:$BB1245)&gt;0)),"",SUM(U1245,X1245,AA1245,AD1245,AG1245,AJ1245,AM1245,AP1245,AS1245,AV1245,AY1245,BB1245))</f>
        <v/>
      </c>
      <c r="P1245" s="11">
        <f>IF(O1245="","",N(N1245)-O1245)</f>
        <v/>
      </c>
      <c r="Q1245" s="10">
        <f>IF(O1245="","",IF($C1245="","Invoice on empty job row",IF(N1245="",IF(ROUND(O1245,2)=0,"No dept value","Invoiced - no dept value"),IF(ROUND(O1245,2)=0,"Not invoiced - to invoice",IF(ROUND(P1245,2)=0,"Agrees",IF(P1245&gt;0,"Dept higher - to invoice","Xero higher - check dept"))))))</f>
        <v/>
      </c>
      <c r="R1245" s="10">
        <f>IF(AND($C1245="",NOT(COUNTA($S1245:$BB1245)&gt;0),$BI1245&lt;&gt;""),"",MID(IF($BI1245="","; Row ID not found on the department sheet - a row was deleted","")&amp;IF(AND($C1245="",COUNTA($S1245:$BB1245)&gt;0),"; Invoice entered but the department row has no job number","")&amp;IF(E1245="CHECK","; Job number not in the Xero job list","")&amp;IF(AND($C1245&lt;&gt;"",COUNTIF($C$7:$C$1506,$C1245)&gt;1),"; Job number on more than one row","")&amp;IF(AND($C1245&lt;&gt;"",H1245=""),"; Dept has not set a cost centre","")&amp;IF(AND($C1245&lt;&gt;"",J1245=""),"; Dept has not set a tax code","")&amp;IF(AND($C1245&lt;&gt;"",N1245=""),"; Dept has not entered an expected value","")&amp;IF((IF(OR(COUNTA(S1245:U1245)=0,AND(COUNTA(S1245:U1245)=3,ISNUMBER(U1245))),0,1)+IF(OR(COUNTA(V1245:X1245)=0,AND(COUNTA(V1245:X1245)=3,ISNUMBER(X1245))),0,1)+IF(OR(COUNTA(Y1245:AA1245)=0,AND(COUNTA(Y1245:AA1245)=3,ISNUMBER(AA1245))),0,1)+IF(OR(COUNTA(AB1245:AD1245)=0,AND(COUNTA(AB1245:AD1245)=3,ISNUMBER(AD1245))),0,1)+IF(OR(COUNTA(AE1245:AG1245)=0,AND(COUNTA(AE1245:AG1245)=3,ISNUMBER(AG1245))),0,1)+IF(OR(COUNTA(AH1245:AJ1245)=0,AND(COUNTA(AH1245:AJ1245)=3,ISNUMBER(AJ1245))),0,1)+IF(OR(COUNTA(AK1245:AM1245)=0,AND(COUNTA(AK1245:AM1245)=3,ISNUMBER(AM1245))),0,1)+IF(OR(COUNTA(AN1245:AP1245)=0,AND(COUNTA(AN1245:AP1245)=3,ISNUMBER(AP1245))),0,1)+IF(OR(COUNTA(AQ1245:AS1245)=0,AND(COUNTA(AQ1245:AS1245)=3,ISNUMBER(AS1245))),0,1)+IF(OR(COUNTA(AT1245:AV1245)=0,AND(COUNTA(AT1245:AV1245)=3,ISNUMBER(AV1245))),0,1)+IF(OR(COUNTA(AW1245:AY1245)=0,AND(COUNTA(AW1245:AY1245)=3,ISNUMBER(AY1245))),0,1)+IF(OR(COUNTA(AZ1245:BB1245)=0,AND(COUNTA(AZ1245:BB1245)=3,ISNUMBER(BB1245))),0,1))&gt;0,"; An invoice is incomplete (needs No, Date and a number in Ex GST)","")&amp;IF((IF(T1245="",0,IFERROR(--(EOMONTH(T1245,0)&lt;&gt;S$5),1))+IF(W1245="",0,IFERROR(--(EOMONTH(W1245,0)&lt;&gt;V$5),1))+IF(Z1245="",0,IFERROR(--(EOMONTH(Z1245,0)&lt;&gt;Y$5),1))+IF(AC1245="",0,IFERROR(--(EOMONTH(AC1245,0)&lt;&gt;AB$5),1))+IF(AF1245="",0,IFERROR(--(EOMONTH(AF1245,0)&lt;&gt;AE$5),1))+IF(AI1245="",0,IFERROR(--(EOMONTH(AI1245,0)&lt;&gt;AH$5),1))+IF(AL1245="",0,IFERROR(--(EOMONTH(AL1245,0)&lt;&gt;AK$5),1))+IF(AO1245="",0,IFERROR(--(EOMONTH(AO1245,0)&lt;&gt;AN$5),1))+IF(AR1245="",0,IFERROR(--(EOMONTH(AR1245,0)&lt;&gt;AQ$5),1))+IF(AU1245="",0,IFERROR(--(EOMONTH(AU1245,0)&lt;&gt;AT$5),1))+IF(AX1245="",0,IFERROR(--(EOMONTH(AX1245,0)&lt;&gt;AW$5),1))+IF(BA1245="",0,IFERROR(--(EOMONTH(BA1245,0)&lt;&gt;AZ$5),1)))&gt;0,"; An invoice date is not in the month it is typed under",""),3,500))</f>
        <v/>
      </c>
      <c r="S1245" s="12" t="n"/>
      <c r="T1245" s="13" t="n"/>
      <c r="U1245" s="14" t="n"/>
      <c r="V1245" s="12" t="n"/>
      <c r="W1245" s="13" t="n"/>
      <c r="X1245" s="14" t="n"/>
      <c r="Y1245" s="12" t="n"/>
      <c r="Z1245" s="13" t="n"/>
      <c r="AA1245" s="14" t="n"/>
      <c r="AB1245" s="12" t="n"/>
      <c r="AC1245" s="13" t="n"/>
      <c r="AD1245" s="14" t="n"/>
      <c r="AE1245" s="12" t="n"/>
      <c r="AF1245" s="13" t="n"/>
      <c r="AG1245" s="14" t="n"/>
      <c r="AH1245" s="12" t="n"/>
      <c r="AI1245" s="13" t="n"/>
      <c r="AJ1245" s="14" t="n"/>
      <c r="AK1245" s="12" t="n"/>
      <c r="AL1245" s="13" t="n"/>
      <c r="AM1245" s="14" t="n"/>
      <c r="AN1245" s="12" t="n"/>
      <c r="AO1245" s="13" t="n"/>
      <c r="AP1245" s="14" t="n"/>
      <c r="AQ1245" s="12" t="n"/>
      <c r="AR1245" s="13" t="n"/>
      <c r="AS1245" s="14" t="n"/>
      <c r="AT1245" s="12" t="n"/>
      <c r="AU1245" s="13" t="n"/>
      <c r="AV1245" s="14" t="n"/>
      <c r="AW1245" s="12" t="n"/>
      <c r="AX1245" s="13" t="n"/>
      <c r="AY1245" s="14" t="n"/>
      <c r="AZ1245" s="12" t="n"/>
      <c r="BA1245" s="13" t="n"/>
      <c r="BB1245" s="14" t="n"/>
      <c r="BC1245" s="11">
        <f>IF(O1245="","",IF(J1245="GST 10%",ROUND(O1245*set_GSTRate,2),0))</f>
        <v/>
      </c>
      <c r="BD1245" s="11">
        <f>IF(O1245="","",O1245+BC1245)</f>
        <v/>
      </c>
      <c r="BE1245" s="15">
        <f>IF(O1245="","",COUNTA(S1245,V1245,Y1245,AB1245,AE1245,AH1245,AK1245,AN1245,AQ1245,AT1245,AW1245,AZ1245))</f>
        <v/>
      </c>
      <c r="BF1245" s="16">
        <f>IF(COUNT(T1245,W1245,Z1245,AC1245,AF1245,AI1245,AL1245,AO1245,AR1245,AU1245,AX1245,BA1245)=0,"",MAX(T1245,W1245,Z1245,AC1245,AF1245,AI1245,AL1245,AO1245,AR1245,AU1245,AX1245,BA1245))</f>
        <v/>
      </c>
      <c r="BG1245" s="10">
        <f>MID(IF(S1245="","",", "&amp;S1245)&amp;IF(V1245="","",", "&amp;V1245)&amp;IF(Y1245="","",", "&amp;Y1245)&amp;IF(AB1245="","",", "&amp;AB1245)&amp;IF(AE1245="","",", "&amp;AE1245)&amp;IF(AH1245="","",", "&amp;AH1245)&amp;IF(AK1245="","",", "&amp;AK1245)&amp;IF(AN1245="","",", "&amp;AN1245)&amp;IF(AQ1245="","",", "&amp;AQ1245)&amp;IF(AT1245="","",", "&amp;AT1245)&amp;IF(AW1245="","",", "&amp;AW1245)&amp;IF(AZ1245="","",", "&amp;AZ1245),3,500)</f>
        <v/>
      </c>
      <c r="BH1245" s="12" t="n"/>
      <c r="BI1245" s="15">
        <f>IFERROR(MATCH($A1245,IF($B1245="Onsite",tbl_Onsite[Row ID],IF($B1245="Production",tbl_Production[Row ID],tbl_Consulting[Row ID])),0),"")</f>
        <v/>
      </c>
    </row>
    <row r="1246">
      <c r="A1246" s="10" t="inlineStr">
        <is>
          <t>CON-0240</t>
        </is>
      </c>
      <c r="B1246" s="10" t="inlineStr">
        <is>
          <t>Consulting</t>
        </is>
      </c>
      <c r="C1246" s="10">
        <f>IF($BI1246="","",IF($B1246="Onsite",INDEX(tbl_Onsite[Job Number],$BI1246),IF($B1246="Production",INDEX(tbl_Production[Job Number],$BI1246),INDEX(tbl_Consulting[Job Number],$BI1246)))&amp;"")</f>
        <v/>
      </c>
      <c r="D1246" s="10">
        <f>IF($BI1246="","",IF($B1246="Onsite",INDEX(tbl_Onsite[Client],$BI1246),IF($B1246="Production",INDEX(tbl_Production[Client],$BI1246),INDEX(tbl_Consulting[Client],$BI1246)))&amp;"")</f>
        <v/>
      </c>
      <c r="E1246" s="10">
        <f>IF($C1246="","",IF(COUNTIF(lst_Jobs,$C1246)&gt;0,"OK","CHECK"))</f>
        <v/>
      </c>
      <c r="F1246" s="10">
        <f>IF($C1246="","",IFERROR(INDEX(lst_JobName,MATCH($C1246,lst_Jobs,0)),""))</f>
        <v/>
      </c>
      <c r="G1246" s="10">
        <f>IF($BI1246="","",IF($B1246="Onsite",INDEX(tbl_Onsite[Job Description],$BI1246),IF($B1246="Production",INDEX(tbl_Production[Job Description],$BI1246),INDEX(tbl_Consulting[Job Description],$BI1246)))&amp;"")</f>
        <v/>
      </c>
      <c r="H1246" s="10">
        <f>IF($BI1246="","",IF($B1246="Onsite",INDEX(tbl_Onsite[Cost Centre],$BI1246),IF($B1246="Production",INDEX(tbl_Production[Cost Centre],$BI1246),INDEX(tbl_Consulting[Cost Centre],$BI1246)))&amp;"")</f>
        <v/>
      </c>
      <c r="I1246" s="10">
        <f>IF($BI1246="","",IF($B1246="Onsite",INDEX(tbl_Onsite[Invoice Type],$BI1246),IF($B1246="Production",INDEX(tbl_Production[Invoice Type],$BI1246),INDEX(tbl_Consulting[Invoice Type],$BI1246)))&amp;"")</f>
        <v/>
      </c>
      <c r="J1246" s="10">
        <f>IF($BI1246="","",IF($B1246="Onsite",INDEX(tbl_Onsite[Tax Code],$BI1246),IF($B1246="Production",INDEX(tbl_Production[Tax Code],$BI1246),INDEX(tbl_Consulting[Tax Code],$BI1246)))&amp;"")</f>
        <v/>
      </c>
      <c r="K1246" s="10">
        <f>IF(H1246="","",IFERROR(INDEX(lst_CCtoGL,MATCH(H1246,lst_CCforGL,0)),""))</f>
        <v/>
      </c>
      <c r="L1246" s="10">
        <f>IF($BI1246="","",IF($B1246="Onsite",INDEX(tbl_Onsite[PO / Reference],$BI1246),IF($B1246="Production",INDEX(tbl_Production[Current RMS No],$BI1246),INDEX(tbl_Consulting[Qwilr Quote],$BI1246)))&amp;"")</f>
        <v/>
      </c>
      <c r="M1246" s="10">
        <f>IF($BI1246="","",IF($B1246="Onsite",INDEX(tbl_Onsite[Notes],$BI1246),IF($B1246="Production",INDEX(tbl_Production[Notes],$BI1246),INDEX(tbl_Consulting[Notes],$BI1246)))&amp;"")</f>
        <v/>
      </c>
      <c r="N1246" s="11">
        <f>IF($BI1246="","",IF(IF($B1246="Onsite",INDEX(tbl_Onsite[Expected Revenue Ex GST],$BI1246),IF($B1246="Production",INDEX(tbl_Production[Expected Revenue Ex GST],$BI1246),INDEX(tbl_Consulting[Expected Revenue Ex GST],$BI1246)))="","",IF($B1246="Onsite",INDEX(tbl_Onsite[Expected Revenue Ex GST],$BI1246),IF($B1246="Production",INDEX(tbl_Production[Expected Revenue Ex GST],$BI1246),INDEX(tbl_Consulting[Expected Revenue Ex GST],$BI1246)))))</f>
        <v/>
      </c>
      <c r="O1246" s="11">
        <f>IF(AND($C1246="",NOT(COUNTA($S1246:$BB1246)&gt;0)),"",SUM(U1246,X1246,AA1246,AD1246,AG1246,AJ1246,AM1246,AP1246,AS1246,AV1246,AY1246,BB1246))</f>
        <v/>
      </c>
      <c r="P1246" s="11">
        <f>IF(O1246="","",N(N1246)-O1246)</f>
        <v/>
      </c>
      <c r="Q1246" s="10">
        <f>IF(O1246="","",IF($C1246="","Invoice on empty job row",IF(N1246="",IF(ROUND(O1246,2)=0,"No dept value","Invoiced - no dept value"),IF(ROUND(O1246,2)=0,"Not invoiced - to invoice",IF(ROUND(P1246,2)=0,"Agrees",IF(P1246&gt;0,"Dept higher - to invoice","Xero higher - check dept"))))))</f>
        <v/>
      </c>
      <c r="R1246" s="10">
        <f>IF(AND($C1246="",NOT(COUNTA($S1246:$BB1246)&gt;0),$BI1246&lt;&gt;""),"",MID(IF($BI1246="","; Row ID not found on the department sheet - a row was deleted","")&amp;IF(AND($C1246="",COUNTA($S1246:$BB1246)&gt;0),"; Invoice entered but the department row has no job number","")&amp;IF(E1246="CHECK","; Job number not in the Xero job list","")&amp;IF(AND($C1246&lt;&gt;"",COUNTIF($C$7:$C$1506,$C1246)&gt;1),"; Job number on more than one row","")&amp;IF(AND($C1246&lt;&gt;"",H1246=""),"; Dept has not set a cost centre","")&amp;IF(AND($C1246&lt;&gt;"",J1246=""),"; Dept has not set a tax code","")&amp;IF(AND($C1246&lt;&gt;"",N1246=""),"; Dept has not entered an expected value","")&amp;IF((IF(OR(COUNTA(S1246:U1246)=0,AND(COUNTA(S1246:U1246)=3,ISNUMBER(U1246))),0,1)+IF(OR(COUNTA(V1246:X1246)=0,AND(COUNTA(V1246:X1246)=3,ISNUMBER(X1246))),0,1)+IF(OR(COUNTA(Y1246:AA1246)=0,AND(COUNTA(Y1246:AA1246)=3,ISNUMBER(AA1246))),0,1)+IF(OR(COUNTA(AB1246:AD1246)=0,AND(COUNTA(AB1246:AD1246)=3,ISNUMBER(AD1246))),0,1)+IF(OR(COUNTA(AE1246:AG1246)=0,AND(COUNTA(AE1246:AG1246)=3,ISNUMBER(AG1246))),0,1)+IF(OR(COUNTA(AH1246:AJ1246)=0,AND(COUNTA(AH1246:AJ1246)=3,ISNUMBER(AJ1246))),0,1)+IF(OR(COUNTA(AK1246:AM1246)=0,AND(COUNTA(AK1246:AM1246)=3,ISNUMBER(AM1246))),0,1)+IF(OR(COUNTA(AN1246:AP1246)=0,AND(COUNTA(AN1246:AP1246)=3,ISNUMBER(AP1246))),0,1)+IF(OR(COUNTA(AQ1246:AS1246)=0,AND(COUNTA(AQ1246:AS1246)=3,ISNUMBER(AS1246))),0,1)+IF(OR(COUNTA(AT1246:AV1246)=0,AND(COUNTA(AT1246:AV1246)=3,ISNUMBER(AV1246))),0,1)+IF(OR(COUNTA(AW1246:AY1246)=0,AND(COUNTA(AW1246:AY1246)=3,ISNUMBER(AY1246))),0,1)+IF(OR(COUNTA(AZ1246:BB1246)=0,AND(COUNTA(AZ1246:BB1246)=3,ISNUMBER(BB1246))),0,1))&gt;0,"; An invoice is incomplete (needs No, Date and a number in Ex GST)","")&amp;IF((IF(T1246="",0,IFERROR(--(EOMONTH(T1246,0)&lt;&gt;S$5),1))+IF(W1246="",0,IFERROR(--(EOMONTH(W1246,0)&lt;&gt;V$5),1))+IF(Z1246="",0,IFERROR(--(EOMONTH(Z1246,0)&lt;&gt;Y$5),1))+IF(AC1246="",0,IFERROR(--(EOMONTH(AC1246,0)&lt;&gt;AB$5),1))+IF(AF1246="",0,IFERROR(--(EOMONTH(AF1246,0)&lt;&gt;AE$5),1))+IF(AI1246="",0,IFERROR(--(EOMONTH(AI1246,0)&lt;&gt;AH$5),1))+IF(AL1246="",0,IFERROR(--(EOMONTH(AL1246,0)&lt;&gt;AK$5),1))+IF(AO1246="",0,IFERROR(--(EOMONTH(AO1246,0)&lt;&gt;AN$5),1))+IF(AR1246="",0,IFERROR(--(EOMONTH(AR1246,0)&lt;&gt;AQ$5),1))+IF(AU1246="",0,IFERROR(--(EOMONTH(AU1246,0)&lt;&gt;AT$5),1))+IF(AX1246="",0,IFERROR(--(EOMONTH(AX1246,0)&lt;&gt;AW$5),1))+IF(BA1246="",0,IFERROR(--(EOMONTH(BA1246,0)&lt;&gt;AZ$5),1)))&gt;0,"; An invoice date is not in the month it is typed under",""),3,500))</f>
        <v/>
      </c>
      <c r="S1246" s="12" t="n"/>
      <c r="T1246" s="13" t="n"/>
      <c r="U1246" s="14" t="n"/>
      <c r="V1246" s="12" t="n"/>
      <c r="W1246" s="13" t="n"/>
      <c r="X1246" s="14" t="n"/>
      <c r="Y1246" s="12" t="n"/>
      <c r="Z1246" s="13" t="n"/>
      <c r="AA1246" s="14" t="n"/>
      <c r="AB1246" s="12" t="n"/>
      <c r="AC1246" s="13" t="n"/>
      <c r="AD1246" s="14" t="n"/>
      <c r="AE1246" s="12" t="n"/>
      <c r="AF1246" s="13" t="n"/>
      <c r="AG1246" s="14" t="n"/>
      <c r="AH1246" s="12" t="n"/>
      <c r="AI1246" s="13" t="n"/>
      <c r="AJ1246" s="14" t="n"/>
      <c r="AK1246" s="12" t="n"/>
      <c r="AL1246" s="13" t="n"/>
      <c r="AM1246" s="14" t="n"/>
      <c r="AN1246" s="12" t="n"/>
      <c r="AO1246" s="13" t="n"/>
      <c r="AP1246" s="14" t="n"/>
      <c r="AQ1246" s="12" t="n"/>
      <c r="AR1246" s="13" t="n"/>
      <c r="AS1246" s="14" t="n"/>
      <c r="AT1246" s="12" t="n"/>
      <c r="AU1246" s="13" t="n"/>
      <c r="AV1246" s="14" t="n"/>
      <c r="AW1246" s="12" t="n"/>
      <c r="AX1246" s="13" t="n"/>
      <c r="AY1246" s="14" t="n"/>
      <c r="AZ1246" s="12" t="n"/>
      <c r="BA1246" s="13" t="n"/>
      <c r="BB1246" s="14" t="n"/>
      <c r="BC1246" s="11">
        <f>IF(O1246="","",IF(J1246="GST 10%",ROUND(O1246*set_GSTRate,2),0))</f>
        <v/>
      </c>
      <c r="BD1246" s="11">
        <f>IF(O1246="","",O1246+BC1246)</f>
        <v/>
      </c>
      <c r="BE1246" s="15">
        <f>IF(O1246="","",COUNTA(S1246,V1246,Y1246,AB1246,AE1246,AH1246,AK1246,AN1246,AQ1246,AT1246,AW1246,AZ1246))</f>
        <v/>
      </c>
      <c r="BF1246" s="16">
        <f>IF(COUNT(T1246,W1246,Z1246,AC1246,AF1246,AI1246,AL1246,AO1246,AR1246,AU1246,AX1246,BA1246)=0,"",MAX(T1246,W1246,Z1246,AC1246,AF1246,AI1246,AL1246,AO1246,AR1246,AU1246,AX1246,BA1246))</f>
        <v/>
      </c>
      <c r="BG1246" s="10">
        <f>MID(IF(S1246="","",", "&amp;S1246)&amp;IF(V1246="","",", "&amp;V1246)&amp;IF(Y1246="","",", "&amp;Y1246)&amp;IF(AB1246="","",", "&amp;AB1246)&amp;IF(AE1246="","",", "&amp;AE1246)&amp;IF(AH1246="","",", "&amp;AH1246)&amp;IF(AK1246="","",", "&amp;AK1246)&amp;IF(AN1246="","",", "&amp;AN1246)&amp;IF(AQ1246="","",", "&amp;AQ1246)&amp;IF(AT1246="","",", "&amp;AT1246)&amp;IF(AW1246="","",", "&amp;AW1246)&amp;IF(AZ1246="","",", "&amp;AZ1246),3,500)</f>
        <v/>
      </c>
      <c r="BH1246" s="12" t="n"/>
      <c r="BI1246" s="15">
        <f>IFERROR(MATCH($A1246,IF($B1246="Onsite",tbl_Onsite[Row ID],IF($B1246="Production",tbl_Production[Row ID],tbl_Consulting[Row ID])),0),"")</f>
        <v/>
      </c>
    </row>
    <row r="1247">
      <c r="A1247" s="10" t="inlineStr">
        <is>
          <t>CON-0241</t>
        </is>
      </c>
      <c r="B1247" s="10" t="inlineStr">
        <is>
          <t>Consulting</t>
        </is>
      </c>
      <c r="C1247" s="10">
        <f>IF($BI1247="","",IF($B1247="Onsite",INDEX(tbl_Onsite[Job Number],$BI1247),IF($B1247="Production",INDEX(tbl_Production[Job Number],$BI1247),INDEX(tbl_Consulting[Job Number],$BI1247)))&amp;"")</f>
        <v/>
      </c>
      <c r="D1247" s="10">
        <f>IF($BI1247="","",IF($B1247="Onsite",INDEX(tbl_Onsite[Client],$BI1247),IF($B1247="Production",INDEX(tbl_Production[Client],$BI1247),INDEX(tbl_Consulting[Client],$BI1247)))&amp;"")</f>
        <v/>
      </c>
      <c r="E1247" s="10">
        <f>IF($C1247="","",IF(COUNTIF(lst_Jobs,$C1247)&gt;0,"OK","CHECK"))</f>
        <v/>
      </c>
      <c r="F1247" s="10">
        <f>IF($C1247="","",IFERROR(INDEX(lst_JobName,MATCH($C1247,lst_Jobs,0)),""))</f>
        <v/>
      </c>
      <c r="G1247" s="10">
        <f>IF($BI1247="","",IF($B1247="Onsite",INDEX(tbl_Onsite[Job Description],$BI1247),IF($B1247="Production",INDEX(tbl_Production[Job Description],$BI1247),INDEX(tbl_Consulting[Job Description],$BI1247)))&amp;"")</f>
        <v/>
      </c>
      <c r="H1247" s="10">
        <f>IF($BI1247="","",IF($B1247="Onsite",INDEX(tbl_Onsite[Cost Centre],$BI1247),IF($B1247="Production",INDEX(tbl_Production[Cost Centre],$BI1247),INDEX(tbl_Consulting[Cost Centre],$BI1247)))&amp;"")</f>
        <v/>
      </c>
      <c r="I1247" s="10">
        <f>IF($BI1247="","",IF($B1247="Onsite",INDEX(tbl_Onsite[Invoice Type],$BI1247),IF($B1247="Production",INDEX(tbl_Production[Invoice Type],$BI1247),INDEX(tbl_Consulting[Invoice Type],$BI1247)))&amp;"")</f>
        <v/>
      </c>
      <c r="J1247" s="10">
        <f>IF($BI1247="","",IF($B1247="Onsite",INDEX(tbl_Onsite[Tax Code],$BI1247),IF($B1247="Production",INDEX(tbl_Production[Tax Code],$BI1247),INDEX(tbl_Consulting[Tax Code],$BI1247)))&amp;"")</f>
        <v/>
      </c>
      <c r="K1247" s="10">
        <f>IF(H1247="","",IFERROR(INDEX(lst_CCtoGL,MATCH(H1247,lst_CCforGL,0)),""))</f>
        <v/>
      </c>
      <c r="L1247" s="10">
        <f>IF($BI1247="","",IF($B1247="Onsite",INDEX(tbl_Onsite[PO / Reference],$BI1247),IF($B1247="Production",INDEX(tbl_Production[Current RMS No],$BI1247),INDEX(tbl_Consulting[Qwilr Quote],$BI1247)))&amp;"")</f>
        <v/>
      </c>
      <c r="M1247" s="10">
        <f>IF($BI1247="","",IF($B1247="Onsite",INDEX(tbl_Onsite[Notes],$BI1247),IF($B1247="Production",INDEX(tbl_Production[Notes],$BI1247),INDEX(tbl_Consulting[Notes],$BI1247)))&amp;"")</f>
        <v/>
      </c>
      <c r="N1247" s="11">
        <f>IF($BI1247="","",IF(IF($B1247="Onsite",INDEX(tbl_Onsite[Expected Revenue Ex GST],$BI1247),IF($B1247="Production",INDEX(tbl_Production[Expected Revenue Ex GST],$BI1247),INDEX(tbl_Consulting[Expected Revenue Ex GST],$BI1247)))="","",IF($B1247="Onsite",INDEX(tbl_Onsite[Expected Revenue Ex GST],$BI1247),IF($B1247="Production",INDEX(tbl_Production[Expected Revenue Ex GST],$BI1247),INDEX(tbl_Consulting[Expected Revenue Ex GST],$BI1247)))))</f>
        <v/>
      </c>
      <c r="O1247" s="11">
        <f>IF(AND($C1247="",NOT(COUNTA($S1247:$BB1247)&gt;0)),"",SUM(U1247,X1247,AA1247,AD1247,AG1247,AJ1247,AM1247,AP1247,AS1247,AV1247,AY1247,BB1247))</f>
        <v/>
      </c>
      <c r="P1247" s="11">
        <f>IF(O1247="","",N(N1247)-O1247)</f>
        <v/>
      </c>
      <c r="Q1247" s="10">
        <f>IF(O1247="","",IF($C1247="","Invoice on empty job row",IF(N1247="",IF(ROUND(O1247,2)=0,"No dept value","Invoiced - no dept value"),IF(ROUND(O1247,2)=0,"Not invoiced - to invoice",IF(ROUND(P1247,2)=0,"Agrees",IF(P1247&gt;0,"Dept higher - to invoice","Xero higher - check dept"))))))</f>
        <v/>
      </c>
      <c r="R1247" s="10">
        <f>IF(AND($C1247="",NOT(COUNTA($S1247:$BB1247)&gt;0),$BI1247&lt;&gt;""),"",MID(IF($BI1247="","; Row ID not found on the department sheet - a row was deleted","")&amp;IF(AND($C1247="",COUNTA($S1247:$BB1247)&gt;0),"; Invoice entered but the department row has no job number","")&amp;IF(E1247="CHECK","; Job number not in the Xero job list","")&amp;IF(AND($C1247&lt;&gt;"",COUNTIF($C$7:$C$1506,$C1247)&gt;1),"; Job number on more than one row","")&amp;IF(AND($C1247&lt;&gt;"",H1247=""),"; Dept has not set a cost centre","")&amp;IF(AND($C1247&lt;&gt;"",J1247=""),"; Dept has not set a tax code","")&amp;IF(AND($C1247&lt;&gt;"",N1247=""),"; Dept has not entered an expected value","")&amp;IF((IF(OR(COUNTA(S1247:U1247)=0,AND(COUNTA(S1247:U1247)=3,ISNUMBER(U1247))),0,1)+IF(OR(COUNTA(V1247:X1247)=0,AND(COUNTA(V1247:X1247)=3,ISNUMBER(X1247))),0,1)+IF(OR(COUNTA(Y1247:AA1247)=0,AND(COUNTA(Y1247:AA1247)=3,ISNUMBER(AA1247))),0,1)+IF(OR(COUNTA(AB1247:AD1247)=0,AND(COUNTA(AB1247:AD1247)=3,ISNUMBER(AD1247))),0,1)+IF(OR(COUNTA(AE1247:AG1247)=0,AND(COUNTA(AE1247:AG1247)=3,ISNUMBER(AG1247))),0,1)+IF(OR(COUNTA(AH1247:AJ1247)=0,AND(COUNTA(AH1247:AJ1247)=3,ISNUMBER(AJ1247))),0,1)+IF(OR(COUNTA(AK1247:AM1247)=0,AND(COUNTA(AK1247:AM1247)=3,ISNUMBER(AM1247))),0,1)+IF(OR(COUNTA(AN1247:AP1247)=0,AND(COUNTA(AN1247:AP1247)=3,ISNUMBER(AP1247))),0,1)+IF(OR(COUNTA(AQ1247:AS1247)=0,AND(COUNTA(AQ1247:AS1247)=3,ISNUMBER(AS1247))),0,1)+IF(OR(COUNTA(AT1247:AV1247)=0,AND(COUNTA(AT1247:AV1247)=3,ISNUMBER(AV1247))),0,1)+IF(OR(COUNTA(AW1247:AY1247)=0,AND(COUNTA(AW1247:AY1247)=3,ISNUMBER(AY1247))),0,1)+IF(OR(COUNTA(AZ1247:BB1247)=0,AND(COUNTA(AZ1247:BB1247)=3,ISNUMBER(BB1247))),0,1))&gt;0,"; An invoice is incomplete (needs No, Date and a number in Ex GST)","")&amp;IF((IF(T1247="",0,IFERROR(--(EOMONTH(T1247,0)&lt;&gt;S$5),1))+IF(W1247="",0,IFERROR(--(EOMONTH(W1247,0)&lt;&gt;V$5),1))+IF(Z1247="",0,IFERROR(--(EOMONTH(Z1247,0)&lt;&gt;Y$5),1))+IF(AC1247="",0,IFERROR(--(EOMONTH(AC1247,0)&lt;&gt;AB$5),1))+IF(AF1247="",0,IFERROR(--(EOMONTH(AF1247,0)&lt;&gt;AE$5),1))+IF(AI1247="",0,IFERROR(--(EOMONTH(AI1247,0)&lt;&gt;AH$5),1))+IF(AL1247="",0,IFERROR(--(EOMONTH(AL1247,0)&lt;&gt;AK$5),1))+IF(AO1247="",0,IFERROR(--(EOMONTH(AO1247,0)&lt;&gt;AN$5),1))+IF(AR1247="",0,IFERROR(--(EOMONTH(AR1247,0)&lt;&gt;AQ$5),1))+IF(AU1247="",0,IFERROR(--(EOMONTH(AU1247,0)&lt;&gt;AT$5),1))+IF(AX1247="",0,IFERROR(--(EOMONTH(AX1247,0)&lt;&gt;AW$5),1))+IF(BA1247="",0,IFERROR(--(EOMONTH(BA1247,0)&lt;&gt;AZ$5),1)))&gt;0,"; An invoice date is not in the month it is typed under",""),3,500))</f>
        <v/>
      </c>
      <c r="S1247" s="12" t="n"/>
      <c r="T1247" s="13" t="n"/>
      <c r="U1247" s="14" t="n"/>
      <c r="V1247" s="12" t="n"/>
      <c r="W1247" s="13" t="n"/>
      <c r="X1247" s="14" t="n"/>
      <c r="Y1247" s="12" t="n"/>
      <c r="Z1247" s="13" t="n"/>
      <c r="AA1247" s="14" t="n"/>
      <c r="AB1247" s="12" t="n"/>
      <c r="AC1247" s="13" t="n"/>
      <c r="AD1247" s="14" t="n"/>
      <c r="AE1247" s="12" t="n"/>
      <c r="AF1247" s="13" t="n"/>
      <c r="AG1247" s="14" t="n"/>
      <c r="AH1247" s="12" t="n"/>
      <c r="AI1247" s="13" t="n"/>
      <c r="AJ1247" s="14" t="n"/>
      <c r="AK1247" s="12" t="n"/>
      <c r="AL1247" s="13" t="n"/>
      <c r="AM1247" s="14" t="n"/>
      <c r="AN1247" s="12" t="n"/>
      <c r="AO1247" s="13" t="n"/>
      <c r="AP1247" s="14" t="n"/>
      <c r="AQ1247" s="12" t="n"/>
      <c r="AR1247" s="13" t="n"/>
      <c r="AS1247" s="14" t="n"/>
      <c r="AT1247" s="12" t="n"/>
      <c r="AU1247" s="13" t="n"/>
      <c r="AV1247" s="14" t="n"/>
      <c r="AW1247" s="12" t="n"/>
      <c r="AX1247" s="13" t="n"/>
      <c r="AY1247" s="14" t="n"/>
      <c r="AZ1247" s="12" t="n"/>
      <c r="BA1247" s="13" t="n"/>
      <c r="BB1247" s="14" t="n"/>
      <c r="BC1247" s="11">
        <f>IF(O1247="","",IF(J1247="GST 10%",ROUND(O1247*set_GSTRate,2),0))</f>
        <v/>
      </c>
      <c r="BD1247" s="11">
        <f>IF(O1247="","",O1247+BC1247)</f>
        <v/>
      </c>
      <c r="BE1247" s="15">
        <f>IF(O1247="","",COUNTA(S1247,V1247,Y1247,AB1247,AE1247,AH1247,AK1247,AN1247,AQ1247,AT1247,AW1247,AZ1247))</f>
        <v/>
      </c>
      <c r="BF1247" s="16">
        <f>IF(COUNT(T1247,W1247,Z1247,AC1247,AF1247,AI1247,AL1247,AO1247,AR1247,AU1247,AX1247,BA1247)=0,"",MAX(T1247,W1247,Z1247,AC1247,AF1247,AI1247,AL1247,AO1247,AR1247,AU1247,AX1247,BA1247))</f>
        <v/>
      </c>
      <c r="BG1247" s="10">
        <f>MID(IF(S1247="","",", "&amp;S1247)&amp;IF(V1247="","",", "&amp;V1247)&amp;IF(Y1247="","",", "&amp;Y1247)&amp;IF(AB1247="","",", "&amp;AB1247)&amp;IF(AE1247="","",", "&amp;AE1247)&amp;IF(AH1247="","",", "&amp;AH1247)&amp;IF(AK1247="","",", "&amp;AK1247)&amp;IF(AN1247="","",", "&amp;AN1247)&amp;IF(AQ1247="","",", "&amp;AQ1247)&amp;IF(AT1247="","",", "&amp;AT1247)&amp;IF(AW1247="","",", "&amp;AW1247)&amp;IF(AZ1247="","",", "&amp;AZ1247),3,500)</f>
        <v/>
      </c>
      <c r="BH1247" s="12" t="n"/>
      <c r="BI1247" s="15">
        <f>IFERROR(MATCH($A1247,IF($B1247="Onsite",tbl_Onsite[Row ID],IF($B1247="Production",tbl_Production[Row ID],tbl_Consulting[Row ID])),0),"")</f>
        <v/>
      </c>
    </row>
    <row r="1248">
      <c r="A1248" s="10" t="inlineStr">
        <is>
          <t>CON-0242</t>
        </is>
      </c>
      <c r="B1248" s="10" t="inlineStr">
        <is>
          <t>Consulting</t>
        </is>
      </c>
      <c r="C1248" s="10">
        <f>IF($BI1248="","",IF($B1248="Onsite",INDEX(tbl_Onsite[Job Number],$BI1248),IF($B1248="Production",INDEX(tbl_Production[Job Number],$BI1248),INDEX(tbl_Consulting[Job Number],$BI1248)))&amp;"")</f>
        <v/>
      </c>
      <c r="D1248" s="10">
        <f>IF($BI1248="","",IF($B1248="Onsite",INDEX(tbl_Onsite[Client],$BI1248),IF($B1248="Production",INDEX(tbl_Production[Client],$BI1248),INDEX(tbl_Consulting[Client],$BI1248)))&amp;"")</f>
        <v/>
      </c>
      <c r="E1248" s="10">
        <f>IF($C1248="","",IF(COUNTIF(lst_Jobs,$C1248)&gt;0,"OK","CHECK"))</f>
        <v/>
      </c>
      <c r="F1248" s="10">
        <f>IF($C1248="","",IFERROR(INDEX(lst_JobName,MATCH($C1248,lst_Jobs,0)),""))</f>
        <v/>
      </c>
      <c r="G1248" s="10">
        <f>IF($BI1248="","",IF($B1248="Onsite",INDEX(tbl_Onsite[Job Description],$BI1248),IF($B1248="Production",INDEX(tbl_Production[Job Description],$BI1248),INDEX(tbl_Consulting[Job Description],$BI1248)))&amp;"")</f>
        <v/>
      </c>
      <c r="H1248" s="10">
        <f>IF($BI1248="","",IF($B1248="Onsite",INDEX(tbl_Onsite[Cost Centre],$BI1248),IF($B1248="Production",INDEX(tbl_Production[Cost Centre],$BI1248),INDEX(tbl_Consulting[Cost Centre],$BI1248)))&amp;"")</f>
        <v/>
      </c>
      <c r="I1248" s="10">
        <f>IF($BI1248="","",IF($B1248="Onsite",INDEX(tbl_Onsite[Invoice Type],$BI1248),IF($B1248="Production",INDEX(tbl_Production[Invoice Type],$BI1248),INDEX(tbl_Consulting[Invoice Type],$BI1248)))&amp;"")</f>
        <v/>
      </c>
      <c r="J1248" s="10">
        <f>IF($BI1248="","",IF($B1248="Onsite",INDEX(tbl_Onsite[Tax Code],$BI1248),IF($B1248="Production",INDEX(tbl_Production[Tax Code],$BI1248),INDEX(tbl_Consulting[Tax Code],$BI1248)))&amp;"")</f>
        <v/>
      </c>
      <c r="K1248" s="10">
        <f>IF(H1248="","",IFERROR(INDEX(lst_CCtoGL,MATCH(H1248,lst_CCforGL,0)),""))</f>
        <v/>
      </c>
      <c r="L1248" s="10">
        <f>IF($BI1248="","",IF($B1248="Onsite",INDEX(tbl_Onsite[PO / Reference],$BI1248),IF($B1248="Production",INDEX(tbl_Production[Current RMS No],$BI1248),INDEX(tbl_Consulting[Qwilr Quote],$BI1248)))&amp;"")</f>
        <v/>
      </c>
      <c r="M1248" s="10">
        <f>IF($BI1248="","",IF($B1248="Onsite",INDEX(tbl_Onsite[Notes],$BI1248),IF($B1248="Production",INDEX(tbl_Production[Notes],$BI1248),INDEX(tbl_Consulting[Notes],$BI1248)))&amp;"")</f>
        <v/>
      </c>
      <c r="N1248" s="11">
        <f>IF($BI1248="","",IF(IF($B1248="Onsite",INDEX(tbl_Onsite[Expected Revenue Ex GST],$BI1248),IF($B1248="Production",INDEX(tbl_Production[Expected Revenue Ex GST],$BI1248),INDEX(tbl_Consulting[Expected Revenue Ex GST],$BI1248)))="","",IF($B1248="Onsite",INDEX(tbl_Onsite[Expected Revenue Ex GST],$BI1248),IF($B1248="Production",INDEX(tbl_Production[Expected Revenue Ex GST],$BI1248),INDEX(tbl_Consulting[Expected Revenue Ex GST],$BI1248)))))</f>
        <v/>
      </c>
      <c r="O1248" s="11">
        <f>IF(AND($C1248="",NOT(COUNTA($S1248:$BB1248)&gt;0)),"",SUM(U1248,X1248,AA1248,AD1248,AG1248,AJ1248,AM1248,AP1248,AS1248,AV1248,AY1248,BB1248))</f>
        <v/>
      </c>
      <c r="P1248" s="11">
        <f>IF(O1248="","",N(N1248)-O1248)</f>
        <v/>
      </c>
      <c r="Q1248" s="10">
        <f>IF(O1248="","",IF($C1248="","Invoice on empty job row",IF(N1248="",IF(ROUND(O1248,2)=0,"No dept value","Invoiced - no dept value"),IF(ROUND(O1248,2)=0,"Not invoiced - to invoice",IF(ROUND(P1248,2)=0,"Agrees",IF(P1248&gt;0,"Dept higher - to invoice","Xero higher - check dept"))))))</f>
        <v/>
      </c>
      <c r="R1248" s="10">
        <f>IF(AND($C1248="",NOT(COUNTA($S1248:$BB1248)&gt;0),$BI1248&lt;&gt;""),"",MID(IF($BI1248="","; Row ID not found on the department sheet - a row was deleted","")&amp;IF(AND($C1248="",COUNTA($S1248:$BB1248)&gt;0),"; Invoice entered but the department row has no job number","")&amp;IF(E1248="CHECK","; Job number not in the Xero job list","")&amp;IF(AND($C1248&lt;&gt;"",COUNTIF($C$7:$C$1506,$C1248)&gt;1),"; Job number on more than one row","")&amp;IF(AND($C1248&lt;&gt;"",H1248=""),"; Dept has not set a cost centre","")&amp;IF(AND($C1248&lt;&gt;"",J1248=""),"; Dept has not set a tax code","")&amp;IF(AND($C1248&lt;&gt;"",N1248=""),"; Dept has not entered an expected value","")&amp;IF((IF(OR(COUNTA(S1248:U1248)=0,AND(COUNTA(S1248:U1248)=3,ISNUMBER(U1248))),0,1)+IF(OR(COUNTA(V1248:X1248)=0,AND(COUNTA(V1248:X1248)=3,ISNUMBER(X1248))),0,1)+IF(OR(COUNTA(Y1248:AA1248)=0,AND(COUNTA(Y1248:AA1248)=3,ISNUMBER(AA1248))),0,1)+IF(OR(COUNTA(AB1248:AD1248)=0,AND(COUNTA(AB1248:AD1248)=3,ISNUMBER(AD1248))),0,1)+IF(OR(COUNTA(AE1248:AG1248)=0,AND(COUNTA(AE1248:AG1248)=3,ISNUMBER(AG1248))),0,1)+IF(OR(COUNTA(AH1248:AJ1248)=0,AND(COUNTA(AH1248:AJ1248)=3,ISNUMBER(AJ1248))),0,1)+IF(OR(COUNTA(AK1248:AM1248)=0,AND(COUNTA(AK1248:AM1248)=3,ISNUMBER(AM1248))),0,1)+IF(OR(COUNTA(AN1248:AP1248)=0,AND(COUNTA(AN1248:AP1248)=3,ISNUMBER(AP1248))),0,1)+IF(OR(COUNTA(AQ1248:AS1248)=0,AND(COUNTA(AQ1248:AS1248)=3,ISNUMBER(AS1248))),0,1)+IF(OR(COUNTA(AT1248:AV1248)=0,AND(COUNTA(AT1248:AV1248)=3,ISNUMBER(AV1248))),0,1)+IF(OR(COUNTA(AW1248:AY1248)=0,AND(COUNTA(AW1248:AY1248)=3,ISNUMBER(AY1248))),0,1)+IF(OR(COUNTA(AZ1248:BB1248)=0,AND(COUNTA(AZ1248:BB1248)=3,ISNUMBER(BB1248))),0,1))&gt;0,"; An invoice is incomplete (needs No, Date and a number in Ex GST)","")&amp;IF((IF(T1248="",0,IFERROR(--(EOMONTH(T1248,0)&lt;&gt;S$5),1))+IF(W1248="",0,IFERROR(--(EOMONTH(W1248,0)&lt;&gt;V$5),1))+IF(Z1248="",0,IFERROR(--(EOMONTH(Z1248,0)&lt;&gt;Y$5),1))+IF(AC1248="",0,IFERROR(--(EOMONTH(AC1248,0)&lt;&gt;AB$5),1))+IF(AF1248="",0,IFERROR(--(EOMONTH(AF1248,0)&lt;&gt;AE$5),1))+IF(AI1248="",0,IFERROR(--(EOMONTH(AI1248,0)&lt;&gt;AH$5),1))+IF(AL1248="",0,IFERROR(--(EOMONTH(AL1248,0)&lt;&gt;AK$5),1))+IF(AO1248="",0,IFERROR(--(EOMONTH(AO1248,0)&lt;&gt;AN$5),1))+IF(AR1248="",0,IFERROR(--(EOMONTH(AR1248,0)&lt;&gt;AQ$5),1))+IF(AU1248="",0,IFERROR(--(EOMONTH(AU1248,0)&lt;&gt;AT$5),1))+IF(AX1248="",0,IFERROR(--(EOMONTH(AX1248,0)&lt;&gt;AW$5),1))+IF(BA1248="",0,IFERROR(--(EOMONTH(BA1248,0)&lt;&gt;AZ$5),1)))&gt;0,"; An invoice date is not in the month it is typed under",""),3,500))</f>
        <v/>
      </c>
      <c r="S1248" s="12" t="n"/>
      <c r="T1248" s="13" t="n"/>
      <c r="U1248" s="14" t="n"/>
      <c r="V1248" s="12" t="n"/>
      <c r="W1248" s="13" t="n"/>
      <c r="X1248" s="14" t="n"/>
      <c r="Y1248" s="12" t="n"/>
      <c r="Z1248" s="13" t="n"/>
      <c r="AA1248" s="14" t="n"/>
      <c r="AB1248" s="12" t="n"/>
      <c r="AC1248" s="13" t="n"/>
      <c r="AD1248" s="14" t="n"/>
      <c r="AE1248" s="12" t="n"/>
      <c r="AF1248" s="13" t="n"/>
      <c r="AG1248" s="14" t="n"/>
      <c r="AH1248" s="12" t="n"/>
      <c r="AI1248" s="13" t="n"/>
      <c r="AJ1248" s="14" t="n"/>
      <c r="AK1248" s="12" t="n"/>
      <c r="AL1248" s="13" t="n"/>
      <c r="AM1248" s="14" t="n"/>
      <c r="AN1248" s="12" t="n"/>
      <c r="AO1248" s="13" t="n"/>
      <c r="AP1248" s="14" t="n"/>
      <c r="AQ1248" s="12" t="n"/>
      <c r="AR1248" s="13" t="n"/>
      <c r="AS1248" s="14" t="n"/>
      <c r="AT1248" s="12" t="n"/>
      <c r="AU1248" s="13" t="n"/>
      <c r="AV1248" s="14" t="n"/>
      <c r="AW1248" s="12" t="n"/>
      <c r="AX1248" s="13" t="n"/>
      <c r="AY1248" s="14" t="n"/>
      <c r="AZ1248" s="12" t="n"/>
      <c r="BA1248" s="13" t="n"/>
      <c r="BB1248" s="14" t="n"/>
      <c r="BC1248" s="11">
        <f>IF(O1248="","",IF(J1248="GST 10%",ROUND(O1248*set_GSTRate,2),0))</f>
        <v/>
      </c>
      <c r="BD1248" s="11">
        <f>IF(O1248="","",O1248+BC1248)</f>
        <v/>
      </c>
      <c r="BE1248" s="15">
        <f>IF(O1248="","",COUNTA(S1248,V1248,Y1248,AB1248,AE1248,AH1248,AK1248,AN1248,AQ1248,AT1248,AW1248,AZ1248))</f>
        <v/>
      </c>
      <c r="BF1248" s="16">
        <f>IF(COUNT(T1248,W1248,Z1248,AC1248,AF1248,AI1248,AL1248,AO1248,AR1248,AU1248,AX1248,BA1248)=0,"",MAX(T1248,W1248,Z1248,AC1248,AF1248,AI1248,AL1248,AO1248,AR1248,AU1248,AX1248,BA1248))</f>
        <v/>
      </c>
      <c r="BG1248" s="10">
        <f>MID(IF(S1248="","",", "&amp;S1248)&amp;IF(V1248="","",", "&amp;V1248)&amp;IF(Y1248="","",", "&amp;Y1248)&amp;IF(AB1248="","",", "&amp;AB1248)&amp;IF(AE1248="","",", "&amp;AE1248)&amp;IF(AH1248="","",", "&amp;AH1248)&amp;IF(AK1248="","",", "&amp;AK1248)&amp;IF(AN1248="","",", "&amp;AN1248)&amp;IF(AQ1248="","",", "&amp;AQ1248)&amp;IF(AT1248="","",", "&amp;AT1248)&amp;IF(AW1248="","",", "&amp;AW1248)&amp;IF(AZ1248="","",", "&amp;AZ1248),3,500)</f>
        <v/>
      </c>
      <c r="BH1248" s="12" t="n"/>
      <c r="BI1248" s="15">
        <f>IFERROR(MATCH($A1248,IF($B1248="Onsite",tbl_Onsite[Row ID],IF($B1248="Production",tbl_Production[Row ID],tbl_Consulting[Row ID])),0),"")</f>
        <v/>
      </c>
    </row>
    <row r="1249">
      <c r="A1249" s="10" t="inlineStr">
        <is>
          <t>CON-0243</t>
        </is>
      </c>
      <c r="B1249" s="10" t="inlineStr">
        <is>
          <t>Consulting</t>
        </is>
      </c>
      <c r="C1249" s="10">
        <f>IF($BI1249="","",IF($B1249="Onsite",INDEX(tbl_Onsite[Job Number],$BI1249),IF($B1249="Production",INDEX(tbl_Production[Job Number],$BI1249),INDEX(tbl_Consulting[Job Number],$BI1249)))&amp;"")</f>
        <v/>
      </c>
      <c r="D1249" s="10">
        <f>IF($BI1249="","",IF($B1249="Onsite",INDEX(tbl_Onsite[Client],$BI1249),IF($B1249="Production",INDEX(tbl_Production[Client],$BI1249),INDEX(tbl_Consulting[Client],$BI1249)))&amp;"")</f>
        <v/>
      </c>
      <c r="E1249" s="10">
        <f>IF($C1249="","",IF(COUNTIF(lst_Jobs,$C1249)&gt;0,"OK","CHECK"))</f>
        <v/>
      </c>
      <c r="F1249" s="10">
        <f>IF($C1249="","",IFERROR(INDEX(lst_JobName,MATCH($C1249,lst_Jobs,0)),""))</f>
        <v/>
      </c>
      <c r="G1249" s="10">
        <f>IF($BI1249="","",IF($B1249="Onsite",INDEX(tbl_Onsite[Job Description],$BI1249),IF($B1249="Production",INDEX(tbl_Production[Job Description],$BI1249),INDEX(tbl_Consulting[Job Description],$BI1249)))&amp;"")</f>
        <v/>
      </c>
      <c r="H1249" s="10">
        <f>IF($BI1249="","",IF($B1249="Onsite",INDEX(tbl_Onsite[Cost Centre],$BI1249),IF($B1249="Production",INDEX(tbl_Production[Cost Centre],$BI1249),INDEX(tbl_Consulting[Cost Centre],$BI1249)))&amp;"")</f>
        <v/>
      </c>
      <c r="I1249" s="10">
        <f>IF($BI1249="","",IF($B1249="Onsite",INDEX(tbl_Onsite[Invoice Type],$BI1249),IF($B1249="Production",INDEX(tbl_Production[Invoice Type],$BI1249),INDEX(tbl_Consulting[Invoice Type],$BI1249)))&amp;"")</f>
        <v/>
      </c>
      <c r="J1249" s="10">
        <f>IF($BI1249="","",IF($B1249="Onsite",INDEX(tbl_Onsite[Tax Code],$BI1249),IF($B1249="Production",INDEX(tbl_Production[Tax Code],$BI1249),INDEX(tbl_Consulting[Tax Code],$BI1249)))&amp;"")</f>
        <v/>
      </c>
      <c r="K1249" s="10">
        <f>IF(H1249="","",IFERROR(INDEX(lst_CCtoGL,MATCH(H1249,lst_CCforGL,0)),""))</f>
        <v/>
      </c>
      <c r="L1249" s="10">
        <f>IF($BI1249="","",IF($B1249="Onsite",INDEX(tbl_Onsite[PO / Reference],$BI1249),IF($B1249="Production",INDEX(tbl_Production[Current RMS No],$BI1249),INDEX(tbl_Consulting[Qwilr Quote],$BI1249)))&amp;"")</f>
        <v/>
      </c>
      <c r="M1249" s="10">
        <f>IF($BI1249="","",IF($B1249="Onsite",INDEX(tbl_Onsite[Notes],$BI1249),IF($B1249="Production",INDEX(tbl_Production[Notes],$BI1249),INDEX(tbl_Consulting[Notes],$BI1249)))&amp;"")</f>
        <v/>
      </c>
      <c r="N1249" s="11">
        <f>IF($BI1249="","",IF(IF($B1249="Onsite",INDEX(tbl_Onsite[Expected Revenue Ex GST],$BI1249),IF($B1249="Production",INDEX(tbl_Production[Expected Revenue Ex GST],$BI1249),INDEX(tbl_Consulting[Expected Revenue Ex GST],$BI1249)))="","",IF($B1249="Onsite",INDEX(tbl_Onsite[Expected Revenue Ex GST],$BI1249),IF($B1249="Production",INDEX(tbl_Production[Expected Revenue Ex GST],$BI1249),INDEX(tbl_Consulting[Expected Revenue Ex GST],$BI1249)))))</f>
        <v/>
      </c>
      <c r="O1249" s="11">
        <f>IF(AND($C1249="",NOT(COUNTA($S1249:$BB1249)&gt;0)),"",SUM(U1249,X1249,AA1249,AD1249,AG1249,AJ1249,AM1249,AP1249,AS1249,AV1249,AY1249,BB1249))</f>
        <v/>
      </c>
      <c r="P1249" s="11">
        <f>IF(O1249="","",N(N1249)-O1249)</f>
        <v/>
      </c>
      <c r="Q1249" s="10">
        <f>IF(O1249="","",IF($C1249="","Invoice on empty job row",IF(N1249="",IF(ROUND(O1249,2)=0,"No dept value","Invoiced - no dept value"),IF(ROUND(O1249,2)=0,"Not invoiced - to invoice",IF(ROUND(P1249,2)=0,"Agrees",IF(P1249&gt;0,"Dept higher - to invoice","Xero higher - check dept"))))))</f>
        <v/>
      </c>
      <c r="R1249" s="10">
        <f>IF(AND($C1249="",NOT(COUNTA($S1249:$BB1249)&gt;0),$BI1249&lt;&gt;""),"",MID(IF($BI1249="","; Row ID not found on the department sheet - a row was deleted","")&amp;IF(AND($C1249="",COUNTA($S1249:$BB1249)&gt;0),"; Invoice entered but the department row has no job number","")&amp;IF(E1249="CHECK","; Job number not in the Xero job list","")&amp;IF(AND($C1249&lt;&gt;"",COUNTIF($C$7:$C$1506,$C1249)&gt;1),"; Job number on more than one row","")&amp;IF(AND($C1249&lt;&gt;"",H1249=""),"; Dept has not set a cost centre","")&amp;IF(AND($C1249&lt;&gt;"",J1249=""),"; Dept has not set a tax code","")&amp;IF(AND($C1249&lt;&gt;"",N1249=""),"; Dept has not entered an expected value","")&amp;IF((IF(OR(COUNTA(S1249:U1249)=0,AND(COUNTA(S1249:U1249)=3,ISNUMBER(U1249))),0,1)+IF(OR(COUNTA(V1249:X1249)=0,AND(COUNTA(V1249:X1249)=3,ISNUMBER(X1249))),0,1)+IF(OR(COUNTA(Y1249:AA1249)=0,AND(COUNTA(Y1249:AA1249)=3,ISNUMBER(AA1249))),0,1)+IF(OR(COUNTA(AB1249:AD1249)=0,AND(COUNTA(AB1249:AD1249)=3,ISNUMBER(AD1249))),0,1)+IF(OR(COUNTA(AE1249:AG1249)=0,AND(COUNTA(AE1249:AG1249)=3,ISNUMBER(AG1249))),0,1)+IF(OR(COUNTA(AH1249:AJ1249)=0,AND(COUNTA(AH1249:AJ1249)=3,ISNUMBER(AJ1249))),0,1)+IF(OR(COUNTA(AK1249:AM1249)=0,AND(COUNTA(AK1249:AM1249)=3,ISNUMBER(AM1249))),0,1)+IF(OR(COUNTA(AN1249:AP1249)=0,AND(COUNTA(AN1249:AP1249)=3,ISNUMBER(AP1249))),0,1)+IF(OR(COUNTA(AQ1249:AS1249)=0,AND(COUNTA(AQ1249:AS1249)=3,ISNUMBER(AS1249))),0,1)+IF(OR(COUNTA(AT1249:AV1249)=0,AND(COUNTA(AT1249:AV1249)=3,ISNUMBER(AV1249))),0,1)+IF(OR(COUNTA(AW1249:AY1249)=0,AND(COUNTA(AW1249:AY1249)=3,ISNUMBER(AY1249))),0,1)+IF(OR(COUNTA(AZ1249:BB1249)=0,AND(COUNTA(AZ1249:BB1249)=3,ISNUMBER(BB1249))),0,1))&gt;0,"; An invoice is incomplete (needs No, Date and a number in Ex GST)","")&amp;IF((IF(T1249="",0,IFERROR(--(EOMONTH(T1249,0)&lt;&gt;S$5),1))+IF(W1249="",0,IFERROR(--(EOMONTH(W1249,0)&lt;&gt;V$5),1))+IF(Z1249="",0,IFERROR(--(EOMONTH(Z1249,0)&lt;&gt;Y$5),1))+IF(AC1249="",0,IFERROR(--(EOMONTH(AC1249,0)&lt;&gt;AB$5),1))+IF(AF1249="",0,IFERROR(--(EOMONTH(AF1249,0)&lt;&gt;AE$5),1))+IF(AI1249="",0,IFERROR(--(EOMONTH(AI1249,0)&lt;&gt;AH$5),1))+IF(AL1249="",0,IFERROR(--(EOMONTH(AL1249,0)&lt;&gt;AK$5),1))+IF(AO1249="",0,IFERROR(--(EOMONTH(AO1249,0)&lt;&gt;AN$5),1))+IF(AR1249="",0,IFERROR(--(EOMONTH(AR1249,0)&lt;&gt;AQ$5),1))+IF(AU1249="",0,IFERROR(--(EOMONTH(AU1249,0)&lt;&gt;AT$5),1))+IF(AX1249="",0,IFERROR(--(EOMONTH(AX1249,0)&lt;&gt;AW$5),1))+IF(BA1249="",0,IFERROR(--(EOMONTH(BA1249,0)&lt;&gt;AZ$5),1)))&gt;0,"; An invoice date is not in the month it is typed under",""),3,500))</f>
        <v/>
      </c>
      <c r="S1249" s="12" t="n"/>
      <c r="T1249" s="13" t="n"/>
      <c r="U1249" s="14" t="n"/>
      <c r="V1249" s="12" t="n"/>
      <c r="W1249" s="13" t="n"/>
      <c r="X1249" s="14" t="n"/>
      <c r="Y1249" s="12" t="n"/>
      <c r="Z1249" s="13" t="n"/>
      <c r="AA1249" s="14" t="n"/>
      <c r="AB1249" s="12" t="n"/>
      <c r="AC1249" s="13" t="n"/>
      <c r="AD1249" s="14" t="n"/>
      <c r="AE1249" s="12" t="n"/>
      <c r="AF1249" s="13" t="n"/>
      <c r="AG1249" s="14" t="n"/>
      <c r="AH1249" s="12" t="n"/>
      <c r="AI1249" s="13" t="n"/>
      <c r="AJ1249" s="14" t="n"/>
      <c r="AK1249" s="12" t="n"/>
      <c r="AL1249" s="13" t="n"/>
      <c r="AM1249" s="14" t="n"/>
      <c r="AN1249" s="12" t="n"/>
      <c r="AO1249" s="13" t="n"/>
      <c r="AP1249" s="14" t="n"/>
      <c r="AQ1249" s="12" t="n"/>
      <c r="AR1249" s="13" t="n"/>
      <c r="AS1249" s="14" t="n"/>
      <c r="AT1249" s="12" t="n"/>
      <c r="AU1249" s="13" t="n"/>
      <c r="AV1249" s="14" t="n"/>
      <c r="AW1249" s="12" t="n"/>
      <c r="AX1249" s="13" t="n"/>
      <c r="AY1249" s="14" t="n"/>
      <c r="AZ1249" s="12" t="n"/>
      <c r="BA1249" s="13" t="n"/>
      <c r="BB1249" s="14" t="n"/>
      <c r="BC1249" s="11">
        <f>IF(O1249="","",IF(J1249="GST 10%",ROUND(O1249*set_GSTRate,2),0))</f>
        <v/>
      </c>
      <c r="BD1249" s="11">
        <f>IF(O1249="","",O1249+BC1249)</f>
        <v/>
      </c>
      <c r="BE1249" s="15">
        <f>IF(O1249="","",COUNTA(S1249,V1249,Y1249,AB1249,AE1249,AH1249,AK1249,AN1249,AQ1249,AT1249,AW1249,AZ1249))</f>
        <v/>
      </c>
      <c r="BF1249" s="16">
        <f>IF(COUNT(T1249,W1249,Z1249,AC1249,AF1249,AI1249,AL1249,AO1249,AR1249,AU1249,AX1249,BA1249)=0,"",MAX(T1249,W1249,Z1249,AC1249,AF1249,AI1249,AL1249,AO1249,AR1249,AU1249,AX1249,BA1249))</f>
        <v/>
      </c>
      <c r="BG1249" s="10">
        <f>MID(IF(S1249="","",", "&amp;S1249)&amp;IF(V1249="","",", "&amp;V1249)&amp;IF(Y1249="","",", "&amp;Y1249)&amp;IF(AB1249="","",", "&amp;AB1249)&amp;IF(AE1249="","",", "&amp;AE1249)&amp;IF(AH1249="","",", "&amp;AH1249)&amp;IF(AK1249="","",", "&amp;AK1249)&amp;IF(AN1249="","",", "&amp;AN1249)&amp;IF(AQ1249="","",", "&amp;AQ1249)&amp;IF(AT1249="","",", "&amp;AT1249)&amp;IF(AW1249="","",", "&amp;AW1249)&amp;IF(AZ1249="","",", "&amp;AZ1249),3,500)</f>
        <v/>
      </c>
      <c r="BH1249" s="12" t="n"/>
      <c r="BI1249" s="15">
        <f>IFERROR(MATCH($A1249,IF($B1249="Onsite",tbl_Onsite[Row ID],IF($B1249="Production",tbl_Production[Row ID],tbl_Consulting[Row ID])),0),"")</f>
        <v/>
      </c>
    </row>
    <row r="1250">
      <c r="A1250" s="10" t="inlineStr">
        <is>
          <t>CON-0244</t>
        </is>
      </c>
      <c r="B1250" s="10" t="inlineStr">
        <is>
          <t>Consulting</t>
        </is>
      </c>
      <c r="C1250" s="10">
        <f>IF($BI1250="","",IF($B1250="Onsite",INDEX(tbl_Onsite[Job Number],$BI1250),IF($B1250="Production",INDEX(tbl_Production[Job Number],$BI1250),INDEX(tbl_Consulting[Job Number],$BI1250)))&amp;"")</f>
        <v/>
      </c>
      <c r="D1250" s="10">
        <f>IF($BI1250="","",IF($B1250="Onsite",INDEX(tbl_Onsite[Client],$BI1250),IF($B1250="Production",INDEX(tbl_Production[Client],$BI1250),INDEX(tbl_Consulting[Client],$BI1250)))&amp;"")</f>
        <v/>
      </c>
      <c r="E1250" s="10">
        <f>IF($C1250="","",IF(COUNTIF(lst_Jobs,$C1250)&gt;0,"OK","CHECK"))</f>
        <v/>
      </c>
      <c r="F1250" s="10">
        <f>IF($C1250="","",IFERROR(INDEX(lst_JobName,MATCH($C1250,lst_Jobs,0)),""))</f>
        <v/>
      </c>
      <c r="G1250" s="10">
        <f>IF($BI1250="","",IF($B1250="Onsite",INDEX(tbl_Onsite[Job Description],$BI1250),IF($B1250="Production",INDEX(tbl_Production[Job Description],$BI1250),INDEX(tbl_Consulting[Job Description],$BI1250)))&amp;"")</f>
        <v/>
      </c>
      <c r="H1250" s="10">
        <f>IF($BI1250="","",IF($B1250="Onsite",INDEX(tbl_Onsite[Cost Centre],$BI1250),IF($B1250="Production",INDEX(tbl_Production[Cost Centre],$BI1250),INDEX(tbl_Consulting[Cost Centre],$BI1250)))&amp;"")</f>
        <v/>
      </c>
      <c r="I1250" s="10">
        <f>IF($BI1250="","",IF($B1250="Onsite",INDEX(tbl_Onsite[Invoice Type],$BI1250),IF($B1250="Production",INDEX(tbl_Production[Invoice Type],$BI1250),INDEX(tbl_Consulting[Invoice Type],$BI1250)))&amp;"")</f>
        <v/>
      </c>
      <c r="J1250" s="10">
        <f>IF($BI1250="","",IF($B1250="Onsite",INDEX(tbl_Onsite[Tax Code],$BI1250),IF($B1250="Production",INDEX(tbl_Production[Tax Code],$BI1250),INDEX(tbl_Consulting[Tax Code],$BI1250)))&amp;"")</f>
        <v/>
      </c>
      <c r="K1250" s="10">
        <f>IF(H1250="","",IFERROR(INDEX(lst_CCtoGL,MATCH(H1250,lst_CCforGL,0)),""))</f>
        <v/>
      </c>
      <c r="L1250" s="10">
        <f>IF($BI1250="","",IF($B1250="Onsite",INDEX(tbl_Onsite[PO / Reference],$BI1250),IF($B1250="Production",INDEX(tbl_Production[Current RMS No],$BI1250),INDEX(tbl_Consulting[Qwilr Quote],$BI1250)))&amp;"")</f>
        <v/>
      </c>
      <c r="M1250" s="10">
        <f>IF($BI1250="","",IF($B1250="Onsite",INDEX(tbl_Onsite[Notes],$BI1250),IF($B1250="Production",INDEX(tbl_Production[Notes],$BI1250),INDEX(tbl_Consulting[Notes],$BI1250)))&amp;"")</f>
        <v/>
      </c>
      <c r="N1250" s="11">
        <f>IF($BI1250="","",IF(IF($B1250="Onsite",INDEX(tbl_Onsite[Expected Revenue Ex GST],$BI1250),IF($B1250="Production",INDEX(tbl_Production[Expected Revenue Ex GST],$BI1250),INDEX(tbl_Consulting[Expected Revenue Ex GST],$BI1250)))="","",IF($B1250="Onsite",INDEX(tbl_Onsite[Expected Revenue Ex GST],$BI1250),IF($B1250="Production",INDEX(tbl_Production[Expected Revenue Ex GST],$BI1250),INDEX(tbl_Consulting[Expected Revenue Ex GST],$BI1250)))))</f>
        <v/>
      </c>
      <c r="O1250" s="11">
        <f>IF(AND($C1250="",NOT(COUNTA($S1250:$BB1250)&gt;0)),"",SUM(U1250,X1250,AA1250,AD1250,AG1250,AJ1250,AM1250,AP1250,AS1250,AV1250,AY1250,BB1250))</f>
        <v/>
      </c>
      <c r="P1250" s="11">
        <f>IF(O1250="","",N(N1250)-O1250)</f>
        <v/>
      </c>
      <c r="Q1250" s="10">
        <f>IF(O1250="","",IF($C1250="","Invoice on empty job row",IF(N1250="",IF(ROUND(O1250,2)=0,"No dept value","Invoiced - no dept value"),IF(ROUND(O1250,2)=0,"Not invoiced - to invoice",IF(ROUND(P1250,2)=0,"Agrees",IF(P1250&gt;0,"Dept higher - to invoice","Xero higher - check dept"))))))</f>
        <v/>
      </c>
      <c r="R1250" s="10">
        <f>IF(AND($C1250="",NOT(COUNTA($S1250:$BB1250)&gt;0),$BI1250&lt;&gt;""),"",MID(IF($BI1250="","; Row ID not found on the department sheet - a row was deleted","")&amp;IF(AND($C1250="",COUNTA($S1250:$BB1250)&gt;0),"; Invoice entered but the department row has no job number","")&amp;IF(E1250="CHECK","; Job number not in the Xero job list","")&amp;IF(AND($C1250&lt;&gt;"",COUNTIF($C$7:$C$1506,$C1250)&gt;1),"; Job number on more than one row","")&amp;IF(AND($C1250&lt;&gt;"",H1250=""),"; Dept has not set a cost centre","")&amp;IF(AND($C1250&lt;&gt;"",J1250=""),"; Dept has not set a tax code","")&amp;IF(AND($C1250&lt;&gt;"",N1250=""),"; Dept has not entered an expected value","")&amp;IF((IF(OR(COUNTA(S1250:U1250)=0,AND(COUNTA(S1250:U1250)=3,ISNUMBER(U1250))),0,1)+IF(OR(COUNTA(V1250:X1250)=0,AND(COUNTA(V1250:X1250)=3,ISNUMBER(X1250))),0,1)+IF(OR(COUNTA(Y1250:AA1250)=0,AND(COUNTA(Y1250:AA1250)=3,ISNUMBER(AA1250))),0,1)+IF(OR(COUNTA(AB1250:AD1250)=0,AND(COUNTA(AB1250:AD1250)=3,ISNUMBER(AD1250))),0,1)+IF(OR(COUNTA(AE1250:AG1250)=0,AND(COUNTA(AE1250:AG1250)=3,ISNUMBER(AG1250))),0,1)+IF(OR(COUNTA(AH1250:AJ1250)=0,AND(COUNTA(AH1250:AJ1250)=3,ISNUMBER(AJ1250))),0,1)+IF(OR(COUNTA(AK1250:AM1250)=0,AND(COUNTA(AK1250:AM1250)=3,ISNUMBER(AM1250))),0,1)+IF(OR(COUNTA(AN1250:AP1250)=0,AND(COUNTA(AN1250:AP1250)=3,ISNUMBER(AP1250))),0,1)+IF(OR(COUNTA(AQ1250:AS1250)=0,AND(COUNTA(AQ1250:AS1250)=3,ISNUMBER(AS1250))),0,1)+IF(OR(COUNTA(AT1250:AV1250)=0,AND(COUNTA(AT1250:AV1250)=3,ISNUMBER(AV1250))),0,1)+IF(OR(COUNTA(AW1250:AY1250)=0,AND(COUNTA(AW1250:AY1250)=3,ISNUMBER(AY1250))),0,1)+IF(OR(COUNTA(AZ1250:BB1250)=0,AND(COUNTA(AZ1250:BB1250)=3,ISNUMBER(BB1250))),0,1))&gt;0,"; An invoice is incomplete (needs No, Date and a number in Ex GST)","")&amp;IF((IF(T1250="",0,IFERROR(--(EOMONTH(T1250,0)&lt;&gt;S$5),1))+IF(W1250="",0,IFERROR(--(EOMONTH(W1250,0)&lt;&gt;V$5),1))+IF(Z1250="",0,IFERROR(--(EOMONTH(Z1250,0)&lt;&gt;Y$5),1))+IF(AC1250="",0,IFERROR(--(EOMONTH(AC1250,0)&lt;&gt;AB$5),1))+IF(AF1250="",0,IFERROR(--(EOMONTH(AF1250,0)&lt;&gt;AE$5),1))+IF(AI1250="",0,IFERROR(--(EOMONTH(AI1250,0)&lt;&gt;AH$5),1))+IF(AL1250="",0,IFERROR(--(EOMONTH(AL1250,0)&lt;&gt;AK$5),1))+IF(AO1250="",0,IFERROR(--(EOMONTH(AO1250,0)&lt;&gt;AN$5),1))+IF(AR1250="",0,IFERROR(--(EOMONTH(AR1250,0)&lt;&gt;AQ$5),1))+IF(AU1250="",0,IFERROR(--(EOMONTH(AU1250,0)&lt;&gt;AT$5),1))+IF(AX1250="",0,IFERROR(--(EOMONTH(AX1250,0)&lt;&gt;AW$5),1))+IF(BA1250="",0,IFERROR(--(EOMONTH(BA1250,0)&lt;&gt;AZ$5),1)))&gt;0,"; An invoice date is not in the month it is typed under",""),3,500))</f>
        <v/>
      </c>
      <c r="S1250" s="12" t="n"/>
      <c r="T1250" s="13" t="n"/>
      <c r="U1250" s="14" t="n"/>
      <c r="V1250" s="12" t="n"/>
      <c r="W1250" s="13" t="n"/>
      <c r="X1250" s="14" t="n"/>
      <c r="Y1250" s="12" t="n"/>
      <c r="Z1250" s="13" t="n"/>
      <c r="AA1250" s="14" t="n"/>
      <c r="AB1250" s="12" t="n"/>
      <c r="AC1250" s="13" t="n"/>
      <c r="AD1250" s="14" t="n"/>
      <c r="AE1250" s="12" t="n"/>
      <c r="AF1250" s="13" t="n"/>
      <c r="AG1250" s="14" t="n"/>
      <c r="AH1250" s="12" t="n"/>
      <c r="AI1250" s="13" t="n"/>
      <c r="AJ1250" s="14" t="n"/>
      <c r="AK1250" s="12" t="n"/>
      <c r="AL1250" s="13" t="n"/>
      <c r="AM1250" s="14" t="n"/>
      <c r="AN1250" s="12" t="n"/>
      <c r="AO1250" s="13" t="n"/>
      <c r="AP1250" s="14" t="n"/>
      <c r="AQ1250" s="12" t="n"/>
      <c r="AR1250" s="13" t="n"/>
      <c r="AS1250" s="14" t="n"/>
      <c r="AT1250" s="12" t="n"/>
      <c r="AU1250" s="13" t="n"/>
      <c r="AV1250" s="14" t="n"/>
      <c r="AW1250" s="12" t="n"/>
      <c r="AX1250" s="13" t="n"/>
      <c r="AY1250" s="14" t="n"/>
      <c r="AZ1250" s="12" t="n"/>
      <c r="BA1250" s="13" t="n"/>
      <c r="BB1250" s="14" t="n"/>
      <c r="BC1250" s="11">
        <f>IF(O1250="","",IF(J1250="GST 10%",ROUND(O1250*set_GSTRate,2),0))</f>
        <v/>
      </c>
      <c r="BD1250" s="11">
        <f>IF(O1250="","",O1250+BC1250)</f>
        <v/>
      </c>
      <c r="BE1250" s="15">
        <f>IF(O1250="","",COUNTA(S1250,V1250,Y1250,AB1250,AE1250,AH1250,AK1250,AN1250,AQ1250,AT1250,AW1250,AZ1250))</f>
        <v/>
      </c>
      <c r="BF1250" s="16">
        <f>IF(COUNT(T1250,W1250,Z1250,AC1250,AF1250,AI1250,AL1250,AO1250,AR1250,AU1250,AX1250,BA1250)=0,"",MAX(T1250,W1250,Z1250,AC1250,AF1250,AI1250,AL1250,AO1250,AR1250,AU1250,AX1250,BA1250))</f>
        <v/>
      </c>
      <c r="BG1250" s="10">
        <f>MID(IF(S1250="","",", "&amp;S1250)&amp;IF(V1250="","",", "&amp;V1250)&amp;IF(Y1250="","",", "&amp;Y1250)&amp;IF(AB1250="","",", "&amp;AB1250)&amp;IF(AE1250="","",", "&amp;AE1250)&amp;IF(AH1250="","",", "&amp;AH1250)&amp;IF(AK1250="","",", "&amp;AK1250)&amp;IF(AN1250="","",", "&amp;AN1250)&amp;IF(AQ1250="","",", "&amp;AQ1250)&amp;IF(AT1250="","",", "&amp;AT1250)&amp;IF(AW1250="","",", "&amp;AW1250)&amp;IF(AZ1250="","",", "&amp;AZ1250),3,500)</f>
        <v/>
      </c>
      <c r="BH1250" s="12" t="n"/>
      <c r="BI1250" s="15">
        <f>IFERROR(MATCH($A1250,IF($B1250="Onsite",tbl_Onsite[Row ID],IF($B1250="Production",tbl_Production[Row ID],tbl_Consulting[Row ID])),0),"")</f>
        <v/>
      </c>
    </row>
    <row r="1251">
      <c r="A1251" s="10" t="inlineStr">
        <is>
          <t>CON-0245</t>
        </is>
      </c>
      <c r="B1251" s="10" t="inlineStr">
        <is>
          <t>Consulting</t>
        </is>
      </c>
      <c r="C1251" s="10">
        <f>IF($BI1251="","",IF($B1251="Onsite",INDEX(tbl_Onsite[Job Number],$BI1251),IF($B1251="Production",INDEX(tbl_Production[Job Number],$BI1251),INDEX(tbl_Consulting[Job Number],$BI1251)))&amp;"")</f>
        <v/>
      </c>
      <c r="D1251" s="10">
        <f>IF($BI1251="","",IF($B1251="Onsite",INDEX(tbl_Onsite[Client],$BI1251),IF($B1251="Production",INDEX(tbl_Production[Client],$BI1251),INDEX(tbl_Consulting[Client],$BI1251)))&amp;"")</f>
        <v/>
      </c>
      <c r="E1251" s="10">
        <f>IF($C1251="","",IF(COUNTIF(lst_Jobs,$C1251)&gt;0,"OK","CHECK"))</f>
        <v/>
      </c>
      <c r="F1251" s="10">
        <f>IF($C1251="","",IFERROR(INDEX(lst_JobName,MATCH($C1251,lst_Jobs,0)),""))</f>
        <v/>
      </c>
      <c r="G1251" s="10">
        <f>IF($BI1251="","",IF($B1251="Onsite",INDEX(tbl_Onsite[Job Description],$BI1251),IF($B1251="Production",INDEX(tbl_Production[Job Description],$BI1251),INDEX(tbl_Consulting[Job Description],$BI1251)))&amp;"")</f>
        <v/>
      </c>
      <c r="H1251" s="10">
        <f>IF($BI1251="","",IF($B1251="Onsite",INDEX(tbl_Onsite[Cost Centre],$BI1251),IF($B1251="Production",INDEX(tbl_Production[Cost Centre],$BI1251),INDEX(tbl_Consulting[Cost Centre],$BI1251)))&amp;"")</f>
        <v/>
      </c>
      <c r="I1251" s="10">
        <f>IF($BI1251="","",IF($B1251="Onsite",INDEX(tbl_Onsite[Invoice Type],$BI1251),IF($B1251="Production",INDEX(tbl_Production[Invoice Type],$BI1251),INDEX(tbl_Consulting[Invoice Type],$BI1251)))&amp;"")</f>
        <v/>
      </c>
      <c r="J1251" s="10">
        <f>IF($BI1251="","",IF($B1251="Onsite",INDEX(tbl_Onsite[Tax Code],$BI1251),IF($B1251="Production",INDEX(tbl_Production[Tax Code],$BI1251),INDEX(tbl_Consulting[Tax Code],$BI1251)))&amp;"")</f>
        <v/>
      </c>
      <c r="K1251" s="10">
        <f>IF(H1251="","",IFERROR(INDEX(lst_CCtoGL,MATCH(H1251,lst_CCforGL,0)),""))</f>
        <v/>
      </c>
      <c r="L1251" s="10">
        <f>IF($BI1251="","",IF($B1251="Onsite",INDEX(tbl_Onsite[PO / Reference],$BI1251),IF($B1251="Production",INDEX(tbl_Production[Current RMS No],$BI1251),INDEX(tbl_Consulting[Qwilr Quote],$BI1251)))&amp;"")</f>
        <v/>
      </c>
      <c r="M1251" s="10">
        <f>IF($BI1251="","",IF($B1251="Onsite",INDEX(tbl_Onsite[Notes],$BI1251),IF($B1251="Production",INDEX(tbl_Production[Notes],$BI1251),INDEX(tbl_Consulting[Notes],$BI1251)))&amp;"")</f>
        <v/>
      </c>
      <c r="N1251" s="11">
        <f>IF($BI1251="","",IF(IF($B1251="Onsite",INDEX(tbl_Onsite[Expected Revenue Ex GST],$BI1251),IF($B1251="Production",INDEX(tbl_Production[Expected Revenue Ex GST],$BI1251),INDEX(tbl_Consulting[Expected Revenue Ex GST],$BI1251)))="","",IF($B1251="Onsite",INDEX(tbl_Onsite[Expected Revenue Ex GST],$BI1251),IF($B1251="Production",INDEX(tbl_Production[Expected Revenue Ex GST],$BI1251),INDEX(tbl_Consulting[Expected Revenue Ex GST],$BI1251)))))</f>
        <v/>
      </c>
      <c r="O1251" s="11">
        <f>IF(AND($C1251="",NOT(COUNTA($S1251:$BB1251)&gt;0)),"",SUM(U1251,X1251,AA1251,AD1251,AG1251,AJ1251,AM1251,AP1251,AS1251,AV1251,AY1251,BB1251))</f>
        <v/>
      </c>
      <c r="P1251" s="11">
        <f>IF(O1251="","",N(N1251)-O1251)</f>
        <v/>
      </c>
      <c r="Q1251" s="10">
        <f>IF(O1251="","",IF($C1251="","Invoice on empty job row",IF(N1251="",IF(ROUND(O1251,2)=0,"No dept value","Invoiced - no dept value"),IF(ROUND(O1251,2)=0,"Not invoiced - to invoice",IF(ROUND(P1251,2)=0,"Agrees",IF(P1251&gt;0,"Dept higher - to invoice","Xero higher - check dept"))))))</f>
        <v/>
      </c>
      <c r="R1251" s="10">
        <f>IF(AND($C1251="",NOT(COUNTA($S1251:$BB1251)&gt;0),$BI1251&lt;&gt;""),"",MID(IF($BI1251="","; Row ID not found on the department sheet - a row was deleted","")&amp;IF(AND($C1251="",COUNTA($S1251:$BB1251)&gt;0),"; Invoice entered but the department row has no job number","")&amp;IF(E1251="CHECK","; Job number not in the Xero job list","")&amp;IF(AND($C1251&lt;&gt;"",COUNTIF($C$7:$C$1506,$C1251)&gt;1),"; Job number on more than one row","")&amp;IF(AND($C1251&lt;&gt;"",H1251=""),"; Dept has not set a cost centre","")&amp;IF(AND($C1251&lt;&gt;"",J1251=""),"; Dept has not set a tax code","")&amp;IF(AND($C1251&lt;&gt;"",N1251=""),"; Dept has not entered an expected value","")&amp;IF((IF(OR(COUNTA(S1251:U1251)=0,AND(COUNTA(S1251:U1251)=3,ISNUMBER(U1251))),0,1)+IF(OR(COUNTA(V1251:X1251)=0,AND(COUNTA(V1251:X1251)=3,ISNUMBER(X1251))),0,1)+IF(OR(COUNTA(Y1251:AA1251)=0,AND(COUNTA(Y1251:AA1251)=3,ISNUMBER(AA1251))),0,1)+IF(OR(COUNTA(AB1251:AD1251)=0,AND(COUNTA(AB1251:AD1251)=3,ISNUMBER(AD1251))),0,1)+IF(OR(COUNTA(AE1251:AG1251)=0,AND(COUNTA(AE1251:AG1251)=3,ISNUMBER(AG1251))),0,1)+IF(OR(COUNTA(AH1251:AJ1251)=0,AND(COUNTA(AH1251:AJ1251)=3,ISNUMBER(AJ1251))),0,1)+IF(OR(COUNTA(AK1251:AM1251)=0,AND(COUNTA(AK1251:AM1251)=3,ISNUMBER(AM1251))),0,1)+IF(OR(COUNTA(AN1251:AP1251)=0,AND(COUNTA(AN1251:AP1251)=3,ISNUMBER(AP1251))),0,1)+IF(OR(COUNTA(AQ1251:AS1251)=0,AND(COUNTA(AQ1251:AS1251)=3,ISNUMBER(AS1251))),0,1)+IF(OR(COUNTA(AT1251:AV1251)=0,AND(COUNTA(AT1251:AV1251)=3,ISNUMBER(AV1251))),0,1)+IF(OR(COUNTA(AW1251:AY1251)=0,AND(COUNTA(AW1251:AY1251)=3,ISNUMBER(AY1251))),0,1)+IF(OR(COUNTA(AZ1251:BB1251)=0,AND(COUNTA(AZ1251:BB1251)=3,ISNUMBER(BB1251))),0,1))&gt;0,"; An invoice is incomplete (needs No, Date and a number in Ex GST)","")&amp;IF((IF(T1251="",0,IFERROR(--(EOMONTH(T1251,0)&lt;&gt;S$5),1))+IF(W1251="",0,IFERROR(--(EOMONTH(W1251,0)&lt;&gt;V$5),1))+IF(Z1251="",0,IFERROR(--(EOMONTH(Z1251,0)&lt;&gt;Y$5),1))+IF(AC1251="",0,IFERROR(--(EOMONTH(AC1251,0)&lt;&gt;AB$5),1))+IF(AF1251="",0,IFERROR(--(EOMONTH(AF1251,0)&lt;&gt;AE$5),1))+IF(AI1251="",0,IFERROR(--(EOMONTH(AI1251,0)&lt;&gt;AH$5),1))+IF(AL1251="",0,IFERROR(--(EOMONTH(AL1251,0)&lt;&gt;AK$5),1))+IF(AO1251="",0,IFERROR(--(EOMONTH(AO1251,0)&lt;&gt;AN$5),1))+IF(AR1251="",0,IFERROR(--(EOMONTH(AR1251,0)&lt;&gt;AQ$5),1))+IF(AU1251="",0,IFERROR(--(EOMONTH(AU1251,0)&lt;&gt;AT$5),1))+IF(AX1251="",0,IFERROR(--(EOMONTH(AX1251,0)&lt;&gt;AW$5),1))+IF(BA1251="",0,IFERROR(--(EOMONTH(BA1251,0)&lt;&gt;AZ$5),1)))&gt;0,"; An invoice date is not in the month it is typed under",""),3,500))</f>
        <v/>
      </c>
      <c r="S1251" s="12" t="n"/>
      <c r="T1251" s="13" t="n"/>
      <c r="U1251" s="14" t="n"/>
      <c r="V1251" s="12" t="n"/>
      <c r="W1251" s="13" t="n"/>
      <c r="X1251" s="14" t="n"/>
      <c r="Y1251" s="12" t="n"/>
      <c r="Z1251" s="13" t="n"/>
      <c r="AA1251" s="14" t="n"/>
      <c r="AB1251" s="12" t="n"/>
      <c r="AC1251" s="13" t="n"/>
      <c r="AD1251" s="14" t="n"/>
      <c r="AE1251" s="12" t="n"/>
      <c r="AF1251" s="13" t="n"/>
      <c r="AG1251" s="14" t="n"/>
      <c r="AH1251" s="12" t="n"/>
      <c r="AI1251" s="13" t="n"/>
      <c r="AJ1251" s="14" t="n"/>
      <c r="AK1251" s="12" t="n"/>
      <c r="AL1251" s="13" t="n"/>
      <c r="AM1251" s="14" t="n"/>
      <c r="AN1251" s="12" t="n"/>
      <c r="AO1251" s="13" t="n"/>
      <c r="AP1251" s="14" t="n"/>
      <c r="AQ1251" s="12" t="n"/>
      <c r="AR1251" s="13" t="n"/>
      <c r="AS1251" s="14" t="n"/>
      <c r="AT1251" s="12" t="n"/>
      <c r="AU1251" s="13" t="n"/>
      <c r="AV1251" s="14" t="n"/>
      <c r="AW1251" s="12" t="n"/>
      <c r="AX1251" s="13" t="n"/>
      <c r="AY1251" s="14" t="n"/>
      <c r="AZ1251" s="12" t="n"/>
      <c r="BA1251" s="13" t="n"/>
      <c r="BB1251" s="14" t="n"/>
      <c r="BC1251" s="11">
        <f>IF(O1251="","",IF(J1251="GST 10%",ROUND(O1251*set_GSTRate,2),0))</f>
        <v/>
      </c>
      <c r="BD1251" s="11">
        <f>IF(O1251="","",O1251+BC1251)</f>
        <v/>
      </c>
      <c r="BE1251" s="15">
        <f>IF(O1251="","",COUNTA(S1251,V1251,Y1251,AB1251,AE1251,AH1251,AK1251,AN1251,AQ1251,AT1251,AW1251,AZ1251))</f>
        <v/>
      </c>
      <c r="BF1251" s="16">
        <f>IF(COUNT(T1251,W1251,Z1251,AC1251,AF1251,AI1251,AL1251,AO1251,AR1251,AU1251,AX1251,BA1251)=0,"",MAX(T1251,W1251,Z1251,AC1251,AF1251,AI1251,AL1251,AO1251,AR1251,AU1251,AX1251,BA1251))</f>
        <v/>
      </c>
      <c r="BG1251" s="10">
        <f>MID(IF(S1251="","",", "&amp;S1251)&amp;IF(V1251="","",", "&amp;V1251)&amp;IF(Y1251="","",", "&amp;Y1251)&amp;IF(AB1251="","",", "&amp;AB1251)&amp;IF(AE1251="","",", "&amp;AE1251)&amp;IF(AH1251="","",", "&amp;AH1251)&amp;IF(AK1251="","",", "&amp;AK1251)&amp;IF(AN1251="","",", "&amp;AN1251)&amp;IF(AQ1251="","",", "&amp;AQ1251)&amp;IF(AT1251="","",", "&amp;AT1251)&amp;IF(AW1251="","",", "&amp;AW1251)&amp;IF(AZ1251="","",", "&amp;AZ1251),3,500)</f>
        <v/>
      </c>
      <c r="BH1251" s="12" t="n"/>
      <c r="BI1251" s="15">
        <f>IFERROR(MATCH($A1251,IF($B1251="Onsite",tbl_Onsite[Row ID],IF($B1251="Production",tbl_Production[Row ID],tbl_Consulting[Row ID])),0),"")</f>
        <v/>
      </c>
    </row>
    <row r="1252">
      <c r="A1252" s="10" t="inlineStr">
        <is>
          <t>CON-0246</t>
        </is>
      </c>
      <c r="B1252" s="10" t="inlineStr">
        <is>
          <t>Consulting</t>
        </is>
      </c>
      <c r="C1252" s="10">
        <f>IF($BI1252="","",IF($B1252="Onsite",INDEX(tbl_Onsite[Job Number],$BI1252),IF($B1252="Production",INDEX(tbl_Production[Job Number],$BI1252),INDEX(tbl_Consulting[Job Number],$BI1252)))&amp;"")</f>
        <v/>
      </c>
      <c r="D1252" s="10">
        <f>IF($BI1252="","",IF($B1252="Onsite",INDEX(tbl_Onsite[Client],$BI1252),IF($B1252="Production",INDEX(tbl_Production[Client],$BI1252),INDEX(tbl_Consulting[Client],$BI1252)))&amp;"")</f>
        <v/>
      </c>
      <c r="E1252" s="10">
        <f>IF($C1252="","",IF(COUNTIF(lst_Jobs,$C1252)&gt;0,"OK","CHECK"))</f>
        <v/>
      </c>
      <c r="F1252" s="10">
        <f>IF($C1252="","",IFERROR(INDEX(lst_JobName,MATCH($C1252,lst_Jobs,0)),""))</f>
        <v/>
      </c>
      <c r="G1252" s="10">
        <f>IF($BI1252="","",IF($B1252="Onsite",INDEX(tbl_Onsite[Job Description],$BI1252),IF($B1252="Production",INDEX(tbl_Production[Job Description],$BI1252),INDEX(tbl_Consulting[Job Description],$BI1252)))&amp;"")</f>
        <v/>
      </c>
      <c r="H1252" s="10">
        <f>IF($BI1252="","",IF($B1252="Onsite",INDEX(tbl_Onsite[Cost Centre],$BI1252),IF($B1252="Production",INDEX(tbl_Production[Cost Centre],$BI1252),INDEX(tbl_Consulting[Cost Centre],$BI1252)))&amp;"")</f>
        <v/>
      </c>
      <c r="I1252" s="10">
        <f>IF($BI1252="","",IF($B1252="Onsite",INDEX(tbl_Onsite[Invoice Type],$BI1252),IF($B1252="Production",INDEX(tbl_Production[Invoice Type],$BI1252),INDEX(tbl_Consulting[Invoice Type],$BI1252)))&amp;"")</f>
        <v/>
      </c>
      <c r="J1252" s="10">
        <f>IF($BI1252="","",IF($B1252="Onsite",INDEX(tbl_Onsite[Tax Code],$BI1252),IF($B1252="Production",INDEX(tbl_Production[Tax Code],$BI1252),INDEX(tbl_Consulting[Tax Code],$BI1252)))&amp;"")</f>
        <v/>
      </c>
      <c r="K1252" s="10">
        <f>IF(H1252="","",IFERROR(INDEX(lst_CCtoGL,MATCH(H1252,lst_CCforGL,0)),""))</f>
        <v/>
      </c>
      <c r="L1252" s="10">
        <f>IF($BI1252="","",IF($B1252="Onsite",INDEX(tbl_Onsite[PO / Reference],$BI1252),IF($B1252="Production",INDEX(tbl_Production[Current RMS No],$BI1252),INDEX(tbl_Consulting[Qwilr Quote],$BI1252)))&amp;"")</f>
        <v/>
      </c>
      <c r="M1252" s="10">
        <f>IF($BI1252="","",IF($B1252="Onsite",INDEX(tbl_Onsite[Notes],$BI1252),IF($B1252="Production",INDEX(tbl_Production[Notes],$BI1252),INDEX(tbl_Consulting[Notes],$BI1252)))&amp;"")</f>
        <v/>
      </c>
      <c r="N1252" s="11">
        <f>IF($BI1252="","",IF(IF($B1252="Onsite",INDEX(tbl_Onsite[Expected Revenue Ex GST],$BI1252),IF($B1252="Production",INDEX(tbl_Production[Expected Revenue Ex GST],$BI1252),INDEX(tbl_Consulting[Expected Revenue Ex GST],$BI1252)))="","",IF($B1252="Onsite",INDEX(tbl_Onsite[Expected Revenue Ex GST],$BI1252),IF($B1252="Production",INDEX(tbl_Production[Expected Revenue Ex GST],$BI1252),INDEX(tbl_Consulting[Expected Revenue Ex GST],$BI1252)))))</f>
        <v/>
      </c>
      <c r="O1252" s="11">
        <f>IF(AND($C1252="",NOT(COUNTA($S1252:$BB1252)&gt;0)),"",SUM(U1252,X1252,AA1252,AD1252,AG1252,AJ1252,AM1252,AP1252,AS1252,AV1252,AY1252,BB1252))</f>
        <v/>
      </c>
      <c r="P1252" s="11">
        <f>IF(O1252="","",N(N1252)-O1252)</f>
        <v/>
      </c>
      <c r="Q1252" s="10">
        <f>IF(O1252="","",IF($C1252="","Invoice on empty job row",IF(N1252="",IF(ROUND(O1252,2)=0,"No dept value","Invoiced - no dept value"),IF(ROUND(O1252,2)=0,"Not invoiced - to invoice",IF(ROUND(P1252,2)=0,"Agrees",IF(P1252&gt;0,"Dept higher - to invoice","Xero higher - check dept"))))))</f>
        <v/>
      </c>
      <c r="R1252" s="10">
        <f>IF(AND($C1252="",NOT(COUNTA($S1252:$BB1252)&gt;0),$BI1252&lt;&gt;""),"",MID(IF($BI1252="","; Row ID not found on the department sheet - a row was deleted","")&amp;IF(AND($C1252="",COUNTA($S1252:$BB1252)&gt;0),"; Invoice entered but the department row has no job number","")&amp;IF(E1252="CHECK","; Job number not in the Xero job list","")&amp;IF(AND($C1252&lt;&gt;"",COUNTIF($C$7:$C$1506,$C1252)&gt;1),"; Job number on more than one row","")&amp;IF(AND($C1252&lt;&gt;"",H1252=""),"; Dept has not set a cost centre","")&amp;IF(AND($C1252&lt;&gt;"",J1252=""),"; Dept has not set a tax code","")&amp;IF(AND($C1252&lt;&gt;"",N1252=""),"; Dept has not entered an expected value","")&amp;IF((IF(OR(COUNTA(S1252:U1252)=0,AND(COUNTA(S1252:U1252)=3,ISNUMBER(U1252))),0,1)+IF(OR(COUNTA(V1252:X1252)=0,AND(COUNTA(V1252:X1252)=3,ISNUMBER(X1252))),0,1)+IF(OR(COUNTA(Y1252:AA1252)=0,AND(COUNTA(Y1252:AA1252)=3,ISNUMBER(AA1252))),0,1)+IF(OR(COUNTA(AB1252:AD1252)=0,AND(COUNTA(AB1252:AD1252)=3,ISNUMBER(AD1252))),0,1)+IF(OR(COUNTA(AE1252:AG1252)=0,AND(COUNTA(AE1252:AG1252)=3,ISNUMBER(AG1252))),0,1)+IF(OR(COUNTA(AH1252:AJ1252)=0,AND(COUNTA(AH1252:AJ1252)=3,ISNUMBER(AJ1252))),0,1)+IF(OR(COUNTA(AK1252:AM1252)=0,AND(COUNTA(AK1252:AM1252)=3,ISNUMBER(AM1252))),0,1)+IF(OR(COUNTA(AN1252:AP1252)=0,AND(COUNTA(AN1252:AP1252)=3,ISNUMBER(AP1252))),0,1)+IF(OR(COUNTA(AQ1252:AS1252)=0,AND(COUNTA(AQ1252:AS1252)=3,ISNUMBER(AS1252))),0,1)+IF(OR(COUNTA(AT1252:AV1252)=0,AND(COUNTA(AT1252:AV1252)=3,ISNUMBER(AV1252))),0,1)+IF(OR(COUNTA(AW1252:AY1252)=0,AND(COUNTA(AW1252:AY1252)=3,ISNUMBER(AY1252))),0,1)+IF(OR(COUNTA(AZ1252:BB1252)=0,AND(COUNTA(AZ1252:BB1252)=3,ISNUMBER(BB1252))),0,1))&gt;0,"; An invoice is incomplete (needs No, Date and a number in Ex GST)","")&amp;IF((IF(T1252="",0,IFERROR(--(EOMONTH(T1252,0)&lt;&gt;S$5),1))+IF(W1252="",0,IFERROR(--(EOMONTH(W1252,0)&lt;&gt;V$5),1))+IF(Z1252="",0,IFERROR(--(EOMONTH(Z1252,0)&lt;&gt;Y$5),1))+IF(AC1252="",0,IFERROR(--(EOMONTH(AC1252,0)&lt;&gt;AB$5),1))+IF(AF1252="",0,IFERROR(--(EOMONTH(AF1252,0)&lt;&gt;AE$5),1))+IF(AI1252="",0,IFERROR(--(EOMONTH(AI1252,0)&lt;&gt;AH$5),1))+IF(AL1252="",0,IFERROR(--(EOMONTH(AL1252,0)&lt;&gt;AK$5),1))+IF(AO1252="",0,IFERROR(--(EOMONTH(AO1252,0)&lt;&gt;AN$5),1))+IF(AR1252="",0,IFERROR(--(EOMONTH(AR1252,0)&lt;&gt;AQ$5),1))+IF(AU1252="",0,IFERROR(--(EOMONTH(AU1252,0)&lt;&gt;AT$5),1))+IF(AX1252="",0,IFERROR(--(EOMONTH(AX1252,0)&lt;&gt;AW$5),1))+IF(BA1252="",0,IFERROR(--(EOMONTH(BA1252,0)&lt;&gt;AZ$5),1)))&gt;0,"; An invoice date is not in the month it is typed under",""),3,500))</f>
        <v/>
      </c>
      <c r="S1252" s="12" t="n"/>
      <c r="T1252" s="13" t="n"/>
      <c r="U1252" s="14" t="n"/>
      <c r="V1252" s="12" t="n"/>
      <c r="W1252" s="13" t="n"/>
      <c r="X1252" s="14" t="n"/>
      <c r="Y1252" s="12" t="n"/>
      <c r="Z1252" s="13" t="n"/>
      <c r="AA1252" s="14" t="n"/>
      <c r="AB1252" s="12" t="n"/>
      <c r="AC1252" s="13" t="n"/>
      <c r="AD1252" s="14" t="n"/>
      <c r="AE1252" s="12" t="n"/>
      <c r="AF1252" s="13" t="n"/>
      <c r="AG1252" s="14" t="n"/>
      <c r="AH1252" s="12" t="n"/>
      <c r="AI1252" s="13" t="n"/>
      <c r="AJ1252" s="14" t="n"/>
      <c r="AK1252" s="12" t="n"/>
      <c r="AL1252" s="13" t="n"/>
      <c r="AM1252" s="14" t="n"/>
      <c r="AN1252" s="12" t="n"/>
      <c r="AO1252" s="13" t="n"/>
      <c r="AP1252" s="14" t="n"/>
      <c r="AQ1252" s="12" t="n"/>
      <c r="AR1252" s="13" t="n"/>
      <c r="AS1252" s="14" t="n"/>
      <c r="AT1252" s="12" t="n"/>
      <c r="AU1252" s="13" t="n"/>
      <c r="AV1252" s="14" t="n"/>
      <c r="AW1252" s="12" t="n"/>
      <c r="AX1252" s="13" t="n"/>
      <c r="AY1252" s="14" t="n"/>
      <c r="AZ1252" s="12" t="n"/>
      <c r="BA1252" s="13" t="n"/>
      <c r="BB1252" s="14" t="n"/>
      <c r="BC1252" s="11">
        <f>IF(O1252="","",IF(J1252="GST 10%",ROUND(O1252*set_GSTRate,2),0))</f>
        <v/>
      </c>
      <c r="BD1252" s="11">
        <f>IF(O1252="","",O1252+BC1252)</f>
        <v/>
      </c>
      <c r="BE1252" s="15">
        <f>IF(O1252="","",COUNTA(S1252,V1252,Y1252,AB1252,AE1252,AH1252,AK1252,AN1252,AQ1252,AT1252,AW1252,AZ1252))</f>
        <v/>
      </c>
      <c r="BF1252" s="16">
        <f>IF(COUNT(T1252,W1252,Z1252,AC1252,AF1252,AI1252,AL1252,AO1252,AR1252,AU1252,AX1252,BA1252)=0,"",MAX(T1252,W1252,Z1252,AC1252,AF1252,AI1252,AL1252,AO1252,AR1252,AU1252,AX1252,BA1252))</f>
        <v/>
      </c>
      <c r="BG1252" s="10">
        <f>MID(IF(S1252="","",", "&amp;S1252)&amp;IF(V1252="","",", "&amp;V1252)&amp;IF(Y1252="","",", "&amp;Y1252)&amp;IF(AB1252="","",", "&amp;AB1252)&amp;IF(AE1252="","",", "&amp;AE1252)&amp;IF(AH1252="","",", "&amp;AH1252)&amp;IF(AK1252="","",", "&amp;AK1252)&amp;IF(AN1252="","",", "&amp;AN1252)&amp;IF(AQ1252="","",", "&amp;AQ1252)&amp;IF(AT1252="","",", "&amp;AT1252)&amp;IF(AW1252="","",", "&amp;AW1252)&amp;IF(AZ1252="","",", "&amp;AZ1252),3,500)</f>
        <v/>
      </c>
      <c r="BH1252" s="12" t="n"/>
      <c r="BI1252" s="15">
        <f>IFERROR(MATCH($A1252,IF($B1252="Onsite",tbl_Onsite[Row ID],IF($B1252="Production",tbl_Production[Row ID],tbl_Consulting[Row ID])),0),"")</f>
        <v/>
      </c>
    </row>
    <row r="1253">
      <c r="A1253" s="10" t="inlineStr">
        <is>
          <t>CON-0247</t>
        </is>
      </c>
      <c r="B1253" s="10" t="inlineStr">
        <is>
          <t>Consulting</t>
        </is>
      </c>
      <c r="C1253" s="10">
        <f>IF($BI1253="","",IF($B1253="Onsite",INDEX(tbl_Onsite[Job Number],$BI1253),IF($B1253="Production",INDEX(tbl_Production[Job Number],$BI1253),INDEX(tbl_Consulting[Job Number],$BI1253)))&amp;"")</f>
        <v/>
      </c>
      <c r="D1253" s="10">
        <f>IF($BI1253="","",IF($B1253="Onsite",INDEX(tbl_Onsite[Client],$BI1253),IF($B1253="Production",INDEX(tbl_Production[Client],$BI1253),INDEX(tbl_Consulting[Client],$BI1253)))&amp;"")</f>
        <v/>
      </c>
      <c r="E1253" s="10">
        <f>IF($C1253="","",IF(COUNTIF(lst_Jobs,$C1253)&gt;0,"OK","CHECK"))</f>
        <v/>
      </c>
      <c r="F1253" s="10">
        <f>IF($C1253="","",IFERROR(INDEX(lst_JobName,MATCH($C1253,lst_Jobs,0)),""))</f>
        <v/>
      </c>
      <c r="G1253" s="10">
        <f>IF($BI1253="","",IF($B1253="Onsite",INDEX(tbl_Onsite[Job Description],$BI1253),IF($B1253="Production",INDEX(tbl_Production[Job Description],$BI1253),INDEX(tbl_Consulting[Job Description],$BI1253)))&amp;"")</f>
        <v/>
      </c>
      <c r="H1253" s="10">
        <f>IF($BI1253="","",IF($B1253="Onsite",INDEX(tbl_Onsite[Cost Centre],$BI1253),IF($B1253="Production",INDEX(tbl_Production[Cost Centre],$BI1253),INDEX(tbl_Consulting[Cost Centre],$BI1253)))&amp;"")</f>
        <v/>
      </c>
      <c r="I1253" s="10">
        <f>IF($BI1253="","",IF($B1253="Onsite",INDEX(tbl_Onsite[Invoice Type],$BI1253),IF($B1253="Production",INDEX(tbl_Production[Invoice Type],$BI1253),INDEX(tbl_Consulting[Invoice Type],$BI1253)))&amp;"")</f>
        <v/>
      </c>
      <c r="J1253" s="10">
        <f>IF($BI1253="","",IF($B1253="Onsite",INDEX(tbl_Onsite[Tax Code],$BI1253),IF($B1253="Production",INDEX(tbl_Production[Tax Code],$BI1253),INDEX(tbl_Consulting[Tax Code],$BI1253)))&amp;"")</f>
        <v/>
      </c>
      <c r="K1253" s="10">
        <f>IF(H1253="","",IFERROR(INDEX(lst_CCtoGL,MATCH(H1253,lst_CCforGL,0)),""))</f>
        <v/>
      </c>
      <c r="L1253" s="10">
        <f>IF($BI1253="","",IF($B1253="Onsite",INDEX(tbl_Onsite[PO / Reference],$BI1253),IF($B1253="Production",INDEX(tbl_Production[Current RMS No],$BI1253),INDEX(tbl_Consulting[Qwilr Quote],$BI1253)))&amp;"")</f>
        <v/>
      </c>
      <c r="M1253" s="10">
        <f>IF($BI1253="","",IF($B1253="Onsite",INDEX(tbl_Onsite[Notes],$BI1253),IF($B1253="Production",INDEX(tbl_Production[Notes],$BI1253),INDEX(tbl_Consulting[Notes],$BI1253)))&amp;"")</f>
        <v/>
      </c>
      <c r="N1253" s="11">
        <f>IF($BI1253="","",IF(IF($B1253="Onsite",INDEX(tbl_Onsite[Expected Revenue Ex GST],$BI1253),IF($B1253="Production",INDEX(tbl_Production[Expected Revenue Ex GST],$BI1253),INDEX(tbl_Consulting[Expected Revenue Ex GST],$BI1253)))="","",IF($B1253="Onsite",INDEX(tbl_Onsite[Expected Revenue Ex GST],$BI1253),IF($B1253="Production",INDEX(tbl_Production[Expected Revenue Ex GST],$BI1253),INDEX(tbl_Consulting[Expected Revenue Ex GST],$BI1253)))))</f>
        <v/>
      </c>
      <c r="O1253" s="11">
        <f>IF(AND($C1253="",NOT(COUNTA($S1253:$BB1253)&gt;0)),"",SUM(U1253,X1253,AA1253,AD1253,AG1253,AJ1253,AM1253,AP1253,AS1253,AV1253,AY1253,BB1253))</f>
        <v/>
      </c>
      <c r="P1253" s="11">
        <f>IF(O1253="","",N(N1253)-O1253)</f>
        <v/>
      </c>
      <c r="Q1253" s="10">
        <f>IF(O1253="","",IF($C1253="","Invoice on empty job row",IF(N1253="",IF(ROUND(O1253,2)=0,"No dept value","Invoiced - no dept value"),IF(ROUND(O1253,2)=0,"Not invoiced - to invoice",IF(ROUND(P1253,2)=0,"Agrees",IF(P1253&gt;0,"Dept higher - to invoice","Xero higher - check dept"))))))</f>
        <v/>
      </c>
      <c r="R1253" s="10">
        <f>IF(AND($C1253="",NOT(COUNTA($S1253:$BB1253)&gt;0),$BI1253&lt;&gt;""),"",MID(IF($BI1253="","; Row ID not found on the department sheet - a row was deleted","")&amp;IF(AND($C1253="",COUNTA($S1253:$BB1253)&gt;0),"; Invoice entered but the department row has no job number","")&amp;IF(E1253="CHECK","; Job number not in the Xero job list","")&amp;IF(AND($C1253&lt;&gt;"",COUNTIF($C$7:$C$1506,$C1253)&gt;1),"; Job number on more than one row","")&amp;IF(AND($C1253&lt;&gt;"",H1253=""),"; Dept has not set a cost centre","")&amp;IF(AND($C1253&lt;&gt;"",J1253=""),"; Dept has not set a tax code","")&amp;IF(AND($C1253&lt;&gt;"",N1253=""),"; Dept has not entered an expected value","")&amp;IF((IF(OR(COUNTA(S1253:U1253)=0,AND(COUNTA(S1253:U1253)=3,ISNUMBER(U1253))),0,1)+IF(OR(COUNTA(V1253:X1253)=0,AND(COUNTA(V1253:X1253)=3,ISNUMBER(X1253))),0,1)+IF(OR(COUNTA(Y1253:AA1253)=0,AND(COUNTA(Y1253:AA1253)=3,ISNUMBER(AA1253))),0,1)+IF(OR(COUNTA(AB1253:AD1253)=0,AND(COUNTA(AB1253:AD1253)=3,ISNUMBER(AD1253))),0,1)+IF(OR(COUNTA(AE1253:AG1253)=0,AND(COUNTA(AE1253:AG1253)=3,ISNUMBER(AG1253))),0,1)+IF(OR(COUNTA(AH1253:AJ1253)=0,AND(COUNTA(AH1253:AJ1253)=3,ISNUMBER(AJ1253))),0,1)+IF(OR(COUNTA(AK1253:AM1253)=0,AND(COUNTA(AK1253:AM1253)=3,ISNUMBER(AM1253))),0,1)+IF(OR(COUNTA(AN1253:AP1253)=0,AND(COUNTA(AN1253:AP1253)=3,ISNUMBER(AP1253))),0,1)+IF(OR(COUNTA(AQ1253:AS1253)=0,AND(COUNTA(AQ1253:AS1253)=3,ISNUMBER(AS1253))),0,1)+IF(OR(COUNTA(AT1253:AV1253)=0,AND(COUNTA(AT1253:AV1253)=3,ISNUMBER(AV1253))),0,1)+IF(OR(COUNTA(AW1253:AY1253)=0,AND(COUNTA(AW1253:AY1253)=3,ISNUMBER(AY1253))),0,1)+IF(OR(COUNTA(AZ1253:BB1253)=0,AND(COUNTA(AZ1253:BB1253)=3,ISNUMBER(BB1253))),0,1))&gt;0,"; An invoice is incomplete (needs No, Date and a number in Ex GST)","")&amp;IF((IF(T1253="",0,IFERROR(--(EOMONTH(T1253,0)&lt;&gt;S$5),1))+IF(W1253="",0,IFERROR(--(EOMONTH(W1253,0)&lt;&gt;V$5),1))+IF(Z1253="",0,IFERROR(--(EOMONTH(Z1253,0)&lt;&gt;Y$5),1))+IF(AC1253="",0,IFERROR(--(EOMONTH(AC1253,0)&lt;&gt;AB$5),1))+IF(AF1253="",0,IFERROR(--(EOMONTH(AF1253,0)&lt;&gt;AE$5),1))+IF(AI1253="",0,IFERROR(--(EOMONTH(AI1253,0)&lt;&gt;AH$5),1))+IF(AL1253="",0,IFERROR(--(EOMONTH(AL1253,0)&lt;&gt;AK$5),1))+IF(AO1253="",0,IFERROR(--(EOMONTH(AO1253,0)&lt;&gt;AN$5),1))+IF(AR1253="",0,IFERROR(--(EOMONTH(AR1253,0)&lt;&gt;AQ$5),1))+IF(AU1253="",0,IFERROR(--(EOMONTH(AU1253,0)&lt;&gt;AT$5),1))+IF(AX1253="",0,IFERROR(--(EOMONTH(AX1253,0)&lt;&gt;AW$5),1))+IF(BA1253="",0,IFERROR(--(EOMONTH(BA1253,0)&lt;&gt;AZ$5),1)))&gt;0,"; An invoice date is not in the month it is typed under",""),3,500))</f>
        <v/>
      </c>
      <c r="S1253" s="12" t="n"/>
      <c r="T1253" s="13" t="n"/>
      <c r="U1253" s="14" t="n"/>
      <c r="V1253" s="12" t="n"/>
      <c r="W1253" s="13" t="n"/>
      <c r="X1253" s="14" t="n"/>
      <c r="Y1253" s="12" t="n"/>
      <c r="Z1253" s="13" t="n"/>
      <c r="AA1253" s="14" t="n"/>
      <c r="AB1253" s="12" t="n"/>
      <c r="AC1253" s="13" t="n"/>
      <c r="AD1253" s="14" t="n"/>
      <c r="AE1253" s="12" t="n"/>
      <c r="AF1253" s="13" t="n"/>
      <c r="AG1253" s="14" t="n"/>
      <c r="AH1253" s="12" t="n"/>
      <c r="AI1253" s="13" t="n"/>
      <c r="AJ1253" s="14" t="n"/>
      <c r="AK1253" s="12" t="n"/>
      <c r="AL1253" s="13" t="n"/>
      <c r="AM1253" s="14" t="n"/>
      <c r="AN1253" s="12" t="n"/>
      <c r="AO1253" s="13" t="n"/>
      <c r="AP1253" s="14" t="n"/>
      <c r="AQ1253" s="12" t="n"/>
      <c r="AR1253" s="13" t="n"/>
      <c r="AS1253" s="14" t="n"/>
      <c r="AT1253" s="12" t="n"/>
      <c r="AU1253" s="13" t="n"/>
      <c r="AV1253" s="14" t="n"/>
      <c r="AW1253" s="12" t="n"/>
      <c r="AX1253" s="13" t="n"/>
      <c r="AY1253" s="14" t="n"/>
      <c r="AZ1253" s="12" t="n"/>
      <c r="BA1253" s="13" t="n"/>
      <c r="BB1253" s="14" t="n"/>
      <c r="BC1253" s="11">
        <f>IF(O1253="","",IF(J1253="GST 10%",ROUND(O1253*set_GSTRate,2),0))</f>
        <v/>
      </c>
      <c r="BD1253" s="11">
        <f>IF(O1253="","",O1253+BC1253)</f>
        <v/>
      </c>
      <c r="BE1253" s="15">
        <f>IF(O1253="","",COUNTA(S1253,V1253,Y1253,AB1253,AE1253,AH1253,AK1253,AN1253,AQ1253,AT1253,AW1253,AZ1253))</f>
        <v/>
      </c>
      <c r="BF1253" s="16">
        <f>IF(COUNT(T1253,W1253,Z1253,AC1253,AF1253,AI1253,AL1253,AO1253,AR1253,AU1253,AX1253,BA1253)=0,"",MAX(T1253,W1253,Z1253,AC1253,AF1253,AI1253,AL1253,AO1253,AR1253,AU1253,AX1253,BA1253))</f>
        <v/>
      </c>
      <c r="BG1253" s="10">
        <f>MID(IF(S1253="","",", "&amp;S1253)&amp;IF(V1253="","",", "&amp;V1253)&amp;IF(Y1253="","",", "&amp;Y1253)&amp;IF(AB1253="","",", "&amp;AB1253)&amp;IF(AE1253="","",", "&amp;AE1253)&amp;IF(AH1253="","",", "&amp;AH1253)&amp;IF(AK1253="","",", "&amp;AK1253)&amp;IF(AN1253="","",", "&amp;AN1253)&amp;IF(AQ1253="","",", "&amp;AQ1253)&amp;IF(AT1253="","",", "&amp;AT1253)&amp;IF(AW1253="","",", "&amp;AW1253)&amp;IF(AZ1253="","",", "&amp;AZ1253),3,500)</f>
        <v/>
      </c>
      <c r="BH1253" s="12" t="n"/>
      <c r="BI1253" s="15">
        <f>IFERROR(MATCH($A1253,IF($B1253="Onsite",tbl_Onsite[Row ID],IF($B1253="Production",tbl_Production[Row ID],tbl_Consulting[Row ID])),0),"")</f>
        <v/>
      </c>
    </row>
    <row r="1254">
      <c r="A1254" s="10" t="inlineStr">
        <is>
          <t>CON-0248</t>
        </is>
      </c>
      <c r="B1254" s="10" t="inlineStr">
        <is>
          <t>Consulting</t>
        </is>
      </c>
      <c r="C1254" s="10">
        <f>IF($BI1254="","",IF($B1254="Onsite",INDEX(tbl_Onsite[Job Number],$BI1254),IF($B1254="Production",INDEX(tbl_Production[Job Number],$BI1254),INDEX(tbl_Consulting[Job Number],$BI1254)))&amp;"")</f>
        <v/>
      </c>
      <c r="D1254" s="10">
        <f>IF($BI1254="","",IF($B1254="Onsite",INDEX(tbl_Onsite[Client],$BI1254),IF($B1254="Production",INDEX(tbl_Production[Client],$BI1254),INDEX(tbl_Consulting[Client],$BI1254)))&amp;"")</f>
        <v/>
      </c>
      <c r="E1254" s="10">
        <f>IF($C1254="","",IF(COUNTIF(lst_Jobs,$C1254)&gt;0,"OK","CHECK"))</f>
        <v/>
      </c>
      <c r="F1254" s="10">
        <f>IF($C1254="","",IFERROR(INDEX(lst_JobName,MATCH($C1254,lst_Jobs,0)),""))</f>
        <v/>
      </c>
      <c r="G1254" s="10">
        <f>IF($BI1254="","",IF($B1254="Onsite",INDEX(tbl_Onsite[Job Description],$BI1254),IF($B1254="Production",INDEX(tbl_Production[Job Description],$BI1254),INDEX(tbl_Consulting[Job Description],$BI1254)))&amp;"")</f>
        <v/>
      </c>
      <c r="H1254" s="10">
        <f>IF($BI1254="","",IF($B1254="Onsite",INDEX(tbl_Onsite[Cost Centre],$BI1254),IF($B1254="Production",INDEX(tbl_Production[Cost Centre],$BI1254),INDEX(tbl_Consulting[Cost Centre],$BI1254)))&amp;"")</f>
        <v/>
      </c>
      <c r="I1254" s="10">
        <f>IF($BI1254="","",IF($B1254="Onsite",INDEX(tbl_Onsite[Invoice Type],$BI1254),IF($B1254="Production",INDEX(tbl_Production[Invoice Type],$BI1254),INDEX(tbl_Consulting[Invoice Type],$BI1254)))&amp;"")</f>
        <v/>
      </c>
      <c r="J1254" s="10">
        <f>IF($BI1254="","",IF($B1254="Onsite",INDEX(tbl_Onsite[Tax Code],$BI1254),IF($B1254="Production",INDEX(tbl_Production[Tax Code],$BI1254),INDEX(tbl_Consulting[Tax Code],$BI1254)))&amp;"")</f>
        <v/>
      </c>
      <c r="K1254" s="10">
        <f>IF(H1254="","",IFERROR(INDEX(lst_CCtoGL,MATCH(H1254,lst_CCforGL,0)),""))</f>
        <v/>
      </c>
      <c r="L1254" s="10">
        <f>IF($BI1254="","",IF($B1254="Onsite",INDEX(tbl_Onsite[PO / Reference],$BI1254),IF($B1254="Production",INDEX(tbl_Production[Current RMS No],$BI1254),INDEX(tbl_Consulting[Qwilr Quote],$BI1254)))&amp;"")</f>
        <v/>
      </c>
      <c r="M1254" s="10">
        <f>IF($BI1254="","",IF($B1254="Onsite",INDEX(tbl_Onsite[Notes],$BI1254),IF($B1254="Production",INDEX(tbl_Production[Notes],$BI1254),INDEX(tbl_Consulting[Notes],$BI1254)))&amp;"")</f>
        <v/>
      </c>
      <c r="N1254" s="11">
        <f>IF($BI1254="","",IF(IF($B1254="Onsite",INDEX(tbl_Onsite[Expected Revenue Ex GST],$BI1254),IF($B1254="Production",INDEX(tbl_Production[Expected Revenue Ex GST],$BI1254),INDEX(tbl_Consulting[Expected Revenue Ex GST],$BI1254)))="","",IF($B1254="Onsite",INDEX(tbl_Onsite[Expected Revenue Ex GST],$BI1254),IF($B1254="Production",INDEX(tbl_Production[Expected Revenue Ex GST],$BI1254),INDEX(tbl_Consulting[Expected Revenue Ex GST],$BI1254)))))</f>
        <v/>
      </c>
      <c r="O1254" s="11">
        <f>IF(AND($C1254="",NOT(COUNTA($S1254:$BB1254)&gt;0)),"",SUM(U1254,X1254,AA1254,AD1254,AG1254,AJ1254,AM1254,AP1254,AS1254,AV1254,AY1254,BB1254))</f>
        <v/>
      </c>
      <c r="P1254" s="11">
        <f>IF(O1254="","",N(N1254)-O1254)</f>
        <v/>
      </c>
      <c r="Q1254" s="10">
        <f>IF(O1254="","",IF($C1254="","Invoice on empty job row",IF(N1254="",IF(ROUND(O1254,2)=0,"No dept value","Invoiced - no dept value"),IF(ROUND(O1254,2)=0,"Not invoiced - to invoice",IF(ROUND(P1254,2)=0,"Agrees",IF(P1254&gt;0,"Dept higher - to invoice","Xero higher - check dept"))))))</f>
        <v/>
      </c>
      <c r="R1254" s="10">
        <f>IF(AND($C1254="",NOT(COUNTA($S1254:$BB1254)&gt;0),$BI1254&lt;&gt;""),"",MID(IF($BI1254="","; Row ID not found on the department sheet - a row was deleted","")&amp;IF(AND($C1254="",COUNTA($S1254:$BB1254)&gt;0),"; Invoice entered but the department row has no job number","")&amp;IF(E1254="CHECK","; Job number not in the Xero job list","")&amp;IF(AND($C1254&lt;&gt;"",COUNTIF($C$7:$C$1506,$C1254)&gt;1),"; Job number on more than one row","")&amp;IF(AND($C1254&lt;&gt;"",H1254=""),"; Dept has not set a cost centre","")&amp;IF(AND($C1254&lt;&gt;"",J1254=""),"; Dept has not set a tax code","")&amp;IF(AND($C1254&lt;&gt;"",N1254=""),"; Dept has not entered an expected value","")&amp;IF((IF(OR(COUNTA(S1254:U1254)=0,AND(COUNTA(S1254:U1254)=3,ISNUMBER(U1254))),0,1)+IF(OR(COUNTA(V1254:X1254)=0,AND(COUNTA(V1254:X1254)=3,ISNUMBER(X1254))),0,1)+IF(OR(COUNTA(Y1254:AA1254)=0,AND(COUNTA(Y1254:AA1254)=3,ISNUMBER(AA1254))),0,1)+IF(OR(COUNTA(AB1254:AD1254)=0,AND(COUNTA(AB1254:AD1254)=3,ISNUMBER(AD1254))),0,1)+IF(OR(COUNTA(AE1254:AG1254)=0,AND(COUNTA(AE1254:AG1254)=3,ISNUMBER(AG1254))),0,1)+IF(OR(COUNTA(AH1254:AJ1254)=0,AND(COUNTA(AH1254:AJ1254)=3,ISNUMBER(AJ1254))),0,1)+IF(OR(COUNTA(AK1254:AM1254)=0,AND(COUNTA(AK1254:AM1254)=3,ISNUMBER(AM1254))),0,1)+IF(OR(COUNTA(AN1254:AP1254)=0,AND(COUNTA(AN1254:AP1254)=3,ISNUMBER(AP1254))),0,1)+IF(OR(COUNTA(AQ1254:AS1254)=0,AND(COUNTA(AQ1254:AS1254)=3,ISNUMBER(AS1254))),0,1)+IF(OR(COUNTA(AT1254:AV1254)=0,AND(COUNTA(AT1254:AV1254)=3,ISNUMBER(AV1254))),0,1)+IF(OR(COUNTA(AW1254:AY1254)=0,AND(COUNTA(AW1254:AY1254)=3,ISNUMBER(AY1254))),0,1)+IF(OR(COUNTA(AZ1254:BB1254)=0,AND(COUNTA(AZ1254:BB1254)=3,ISNUMBER(BB1254))),0,1))&gt;0,"; An invoice is incomplete (needs No, Date and a number in Ex GST)","")&amp;IF((IF(T1254="",0,IFERROR(--(EOMONTH(T1254,0)&lt;&gt;S$5),1))+IF(W1254="",0,IFERROR(--(EOMONTH(W1254,0)&lt;&gt;V$5),1))+IF(Z1254="",0,IFERROR(--(EOMONTH(Z1254,0)&lt;&gt;Y$5),1))+IF(AC1254="",0,IFERROR(--(EOMONTH(AC1254,0)&lt;&gt;AB$5),1))+IF(AF1254="",0,IFERROR(--(EOMONTH(AF1254,0)&lt;&gt;AE$5),1))+IF(AI1254="",0,IFERROR(--(EOMONTH(AI1254,0)&lt;&gt;AH$5),1))+IF(AL1254="",0,IFERROR(--(EOMONTH(AL1254,0)&lt;&gt;AK$5),1))+IF(AO1254="",0,IFERROR(--(EOMONTH(AO1254,0)&lt;&gt;AN$5),1))+IF(AR1254="",0,IFERROR(--(EOMONTH(AR1254,0)&lt;&gt;AQ$5),1))+IF(AU1254="",0,IFERROR(--(EOMONTH(AU1254,0)&lt;&gt;AT$5),1))+IF(AX1254="",0,IFERROR(--(EOMONTH(AX1254,0)&lt;&gt;AW$5),1))+IF(BA1254="",0,IFERROR(--(EOMONTH(BA1254,0)&lt;&gt;AZ$5),1)))&gt;0,"; An invoice date is not in the month it is typed under",""),3,500))</f>
        <v/>
      </c>
      <c r="S1254" s="12" t="n"/>
      <c r="T1254" s="13" t="n"/>
      <c r="U1254" s="14" t="n"/>
      <c r="V1254" s="12" t="n"/>
      <c r="W1254" s="13" t="n"/>
      <c r="X1254" s="14" t="n"/>
      <c r="Y1254" s="12" t="n"/>
      <c r="Z1254" s="13" t="n"/>
      <c r="AA1254" s="14" t="n"/>
      <c r="AB1254" s="12" t="n"/>
      <c r="AC1254" s="13" t="n"/>
      <c r="AD1254" s="14" t="n"/>
      <c r="AE1254" s="12" t="n"/>
      <c r="AF1254" s="13" t="n"/>
      <c r="AG1254" s="14" t="n"/>
      <c r="AH1254" s="12" t="n"/>
      <c r="AI1254" s="13" t="n"/>
      <c r="AJ1254" s="14" t="n"/>
      <c r="AK1254" s="12" t="n"/>
      <c r="AL1254" s="13" t="n"/>
      <c r="AM1254" s="14" t="n"/>
      <c r="AN1254" s="12" t="n"/>
      <c r="AO1254" s="13" t="n"/>
      <c r="AP1254" s="14" t="n"/>
      <c r="AQ1254" s="12" t="n"/>
      <c r="AR1254" s="13" t="n"/>
      <c r="AS1254" s="14" t="n"/>
      <c r="AT1254" s="12" t="n"/>
      <c r="AU1254" s="13" t="n"/>
      <c r="AV1254" s="14" t="n"/>
      <c r="AW1254" s="12" t="n"/>
      <c r="AX1254" s="13" t="n"/>
      <c r="AY1254" s="14" t="n"/>
      <c r="AZ1254" s="12" t="n"/>
      <c r="BA1254" s="13" t="n"/>
      <c r="BB1254" s="14" t="n"/>
      <c r="BC1254" s="11">
        <f>IF(O1254="","",IF(J1254="GST 10%",ROUND(O1254*set_GSTRate,2),0))</f>
        <v/>
      </c>
      <c r="BD1254" s="11">
        <f>IF(O1254="","",O1254+BC1254)</f>
        <v/>
      </c>
      <c r="BE1254" s="15">
        <f>IF(O1254="","",COUNTA(S1254,V1254,Y1254,AB1254,AE1254,AH1254,AK1254,AN1254,AQ1254,AT1254,AW1254,AZ1254))</f>
        <v/>
      </c>
      <c r="BF1254" s="16">
        <f>IF(COUNT(T1254,W1254,Z1254,AC1254,AF1254,AI1254,AL1254,AO1254,AR1254,AU1254,AX1254,BA1254)=0,"",MAX(T1254,W1254,Z1254,AC1254,AF1254,AI1254,AL1254,AO1254,AR1254,AU1254,AX1254,BA1254))</f>
        <v/>
      </c>
      <c r="BG1254" s="10">
        <f>MID(IF(S1254="","",", "&amp;S1254)&amp;IF(V1254="","",", "&amp;V1254)&amp;IF(Y1254="","",", "&amp;Y1254)&amp;IF(AB1254="","",", "&amp;AB1254)&amp;IF(AE1254="","",", "&amp;AE1254)&amp;IF(AH1254="","",", "&amp;AH1254)&amp;IF(AK1254="","",", "&amp;AK1254)&amp;IF(AN1254="","",", "&amp;AN1254)&amp;IF(AQ1254="","",", "&amp;AQ1254)&amp;IF(AT1254="","",", "&amp;AT1254)&amp;IF(AW1254="","",", "&amp;AW1254)&amp;IF(AZ1254="","",", "&amp;AZ1254),3,500)</f>
        <v/>
      </c>
      <c r="BH1254" s="12" t="n"/>
      <c r="BI1254" s="15">
        <f>IFERROR(MATCH($A1254,IF($B1254="Onsite",tbl_Onsite[Row ID],IF($B1254="Production",tbl_Production[Row ID],tbl_Consulting[Row ID])),0),"")</f>
        <v/>
      </c>
    </row>
    <row r="1255">
      <c r="A1255" s="10" t="inlineStr">
        <is>
          <t>CON-0249</t>
        </is>
      </c>
      <c r="B1255" s="10" t="inlineStr">
        <is>
          <t>Consulting</t>
        </is>
      </c>
      <c r="C1255" s="10">
        <f>IF($BI1255="","",IF($B1255="Onsite",INDEX(tbl_Onsite[Job Number],$BI1255),IF($B1255="Production",INDEX(tbl_Production[Job Number],$BI1255),INDEX(tbl_Consulting[Job Number],$BI1255)))&amp;"")</f>
        <v/>
      </c>
      <c r="D1255" s="10">
        <f>IF($BI1255="","",IF($B1255="Onsite",INDEX(tbl_Onsite[Client],$BI1255),IF($B1255="Production",INDEX(tbl_Production[Client],$BI1255),INDEX(tbl_Consulting[Client],$BI1255)))&amp;"")</f>
        <v/>
      </c>
      <c r="E1255" s="10">
        <f>IF($C1255="","",IF(COUNTIF(lst_Jobs,$C1255)&gt;0,"OK","CHECK"))</f>
        <v/>
      </c>
      <c r="F1255" s="10">
        <f>IF($C1255="","",IFERROR(INDEX(lst_JobName,MATCH($C1255,lst_Jobs,0)),""))</f>
        <v/>
      </c>
      <c r="G1255" s="10">
        <f>IF($BI1255="","",IF($B1255="Onsite",INDEX(tbl_Onsite[Job Description],$BI1255),IF($B1255="Production",INDEX(tbl_Production[Job Description],$BI1255),INDEX(tbl_Consulting[Job Description],$BI1255)))&amp;"")</f>
        <v/>
      </c>
      <c r="H1255" s="10">
        <f>IF($BI1255="","",IF($B1255="Onsite",INDEX(tbl_Onsite[Cost Centre],$BI1255),IF($B1255="Production",INDEX(tbl_Production[Cost Centre],$BI1255),INDEX(tbl_Consulting[Cost Centre],$BI1255)))&amp;"")</f>
        <v/>
      </c>
      <c r="I1255" s="10">
        <f>IF($BI1255="","",IF($B1255="Onsite",INDEX(tbl_Onsite[Invoice Type],$BI1255),IF($B1255="Production",INDEX(tbl_Production[Invoice Type],$BI1255),INDEX(tbl_Consulting[Invoice Type],$BI1255)))&amp;"")</f>
        <v/>
      </c>
      <c r="J1255" s="10">
        <f>IF($BI1255="","",IF($B1255="Onsite",INDEX(tbl_Onsite[Tax Code],$BI1255),IF($B1255="Production",INDEX(tbl_Production[Tax Code],$BI1255),INDEX(tbl_Consulting[Tax Code],$BI1255)))&amp;"")</f>
        <v/>
      </c>
      <c r="K1255" s="10">
        <f>IF(H1255="","",IFERROR(INDEX(lst_CCtoGL,MATCH(H1255,lst_CCforGL,0)),""))</f>
        <v/>
      </c>
      <c r="L1255" s="10">
        <f>IF($BI1255="","",IF($B1255="Onsite",INDEX(tbl_Onsite[PO / Reference],$BI1255),IF($B1255="Production",INDEX(tbl_Production[Current RMS No],$BI1255),INDEX(tbl_Consulting[Qwilr Quote],$BI1255)))&amp;"")</f>
        <v/>
      </c>
      <c r="M1255" s="10">
        <f>IF($BI1255="","",IF($B1255="Onsite",INDEX(tbl_Onsite[Notes],$BI1255),IF($B1255="Production",INDEX(tbl_Production[Notes],$BI1255),INDEX(tbl_Consulting[Notes],$BI1255)))&amp;"")</f>
        <v/>
      </c>
      <c r="N1255" s="11">
        <f>IF($BI1255="","",IF(IF($B1255="Onsite",INDEX(tbl_Onsite[Expected Revenue Ex GST],$BI1255),IF($B1255="Production",INDEX(tbl_Production[Expected Revenue Ex GST],$BI1255),INDEX(tbl_Consulting[Expected Revenue Ex GST],$BI1255)))="","",IF($B1255="Onsite",INDEX(tbl_Onsite[Expected Revenue Ex GST],$BI1255),IF($B1255="Production",INDEX(tbl_Production[Expected Revenue Ex GST],$BI1255),INDEX(tbl_Consulting[Expected Revenue Ex GST],$BI1255)))))</f>
        <v/>
      </c>
      <c r="O1255" s="11">
        <f>IF(AND($C1255="",NOT(COUNTA($S1255:$BB1255)&gt;0)),"",SUM(U1255,X1255,AA1255,AD1255,AG1255,AJ1255,AM1255,AP1255,AS1255,AV1255,AY1255,BB1255))</f>
        <v/>
      </c>
      <c r="P1255" s="11">
        <f>IF(O1255="","",N(N1255)-O1255)</f>
        <v/>
      </c>
      <c r="Q1255" s="10">
        <f>IF(O1255="","",IF($C1255="","Invoice on empty job row",IF(N1255="",IF(ROUND(O1255,2)=0,"No dept value","Invoiced - no dept value"),IF(ROUND(O1255,2)=0,"Not invoiced - to invoice",IF(ROUND(P1255,2)=0,"Agrees",IF(P1255&gt;0,"Dept higher - to invoice","Xero higher - check dept"))))))</f>
        <v/>
      </c>
      <c r="R1255" s="10">
        <f>IF(AND($C1255="",NOT(COUNTA($S1255:$BB1255)&gt;0),$BI1255&lt;&gt;""),"",MID(IF($BI1255="","; Row ID not found on the department sheet - a row was deleted","")&amp;IF(AND($C1255="",COUNTA($S1255:$BB1255)&gt;0),"; Invoice entered but the department row has no job number","")&amp;IF(E1255="CHECK","; Job number not in the Xero job list","")&amp;IF(AND($C1255&lt;&gt;"",COUNTIF($C$7:$C$1506,$C1255)&gt;1),"; Job number on more than one row","")&amp;IF(AND($C1255&lt;&gt;"",H1255=""),"; Dept has not set a cost centre","")&amp;IF(AND($C1255&lt;&gt;"",J1255=""),"; Dept has not set a tax code","")&amp;IF(AND($C1255&lt;&gt;"",N1255=""),"; Dept has not entered an expected value","")&amp;IF((IF(OR(COUNTA(S1255:U1255)=0,AND(COUNTA(S1255:U1255)=3,ISNUMBER(U1255))),0,1)+IF(OR(COUNTA(V1255:X1255)=0,AND(COUNTA(V1255:X1255)=3,ISNUMBER(X1255))),0,1)+IF(OR(COUNTA(Y1255:AA1255)=0,AND(COUNTA(Y1255:AA1255)=3,ISNUMBER(AA1255))),0,1)+IF(OR(COUNTA(AB1255:AD1255)=0,AND(COUNTA(AB1255:AD1255)=3,ISNUMBER(AD1255))),0,1)+IF(OR(COUNTA(AE1255:AG1255)=0,AND(COUNTA(AE1255:AG1255)=3,ISNUMBER(AG1255))),0,1)+IF(OR(COUNTA(AH1255:AJ1255)=0,AND(COUNTA(AH1255:AJ1255)=3,ISNUMBER(AJ1255))),0,1)+IF(OR(COUNTA(AK1255:AM1255)=0,AND(COUNTA(AK1255:AM1255)=3,ISNUMBER(AM1255))),0,1)+IF(OR(COUNTA(AN1255:AP1255)=0,AND(COUNTA(AN1255:AP1255)=3,ISNUMBER(AP1255))),0,1)+IF(OR(COUNTA(AQ1255:AS1255)=0,AND(COUNTA(AQ1255:AS1255)=3,ISNUMBER(AS1255))),0,1)+IF(OR(COUNTA(AT1255:AV1255)=0,AND(COUNTA(AT1255:AV1255)=3,ISNUMBER(AV1255))),0,1)+IF(OR(COUNTA(AW1255:AY1255)=0,AND(COUNTA(AW1255:AY1255)=3,ISNUMBER(AY1255))),0,1)+IF(OR(COUNTA(AZ1255:BB1255)=0,AND(COUNTA(AZ1255:BB1255)=3,ISNUMBER(BB1255))),0,1))&gt;0,"; An invoice is incomplete (needs No, Date and a number in Ex GST)","")&amp;IF((IF(T1255="",0,IFERROR(--(EOMONTH(T1255,0)&lt;&gt;S$5),1))+IF(W1255="",0,IFERROR(--(EOMONTH(W1255,0)&lt;&gt;V$5),1))+IF(Z1255="",0,IFERROR(--(EOMONTH(Z1255,0)&lt;&gt;Y$5),1))+IF(AC1255="",0,IFERROR(--(EOMONTH(AC1255,0)&lt;&gt;AB$5),1))+IF(AF1255="",0,IFERROR(--(EOMONTH(AF1255,0)&lt;&gt;AE$5),1))+IF(AI1255="",0,IFERROR(--(EOMONTH(AI1255,0)&lt;&gt;AH$5),1))+IF(AL1255="",0,IFERROR(--(EOMONTH(AL1255,0)&lt;&gt;AK$5),1))+IF(AO1255="",0,IFERROR(--(EOMONTH(AO1255,0)&lt;&gt;AN$5),1))+IF(AR1255="",0,IFERROR(--(EOMONTH(AR1255,0)&lt;&gt;AQ$5),1))+IF(AU1255="",0,IFERROR(--(EOMONTH(AU1255,0)&lt;&gt;AT$5),1))+IF(AX1255="",0,IFERROR(--(EOMONTH(AX1255,0)&lt;&gt;AW$5),1))+IF(BA1255="",0,IFERROR(--(EOMONTH(BA1255,0)&lt;&gt;AZ$5),1)))&gt;0,"; An invoice date is not in the month it is typed under",""),3,500))</f>
        <v/>
      </c>
      <c r="S1255" s="12" t="n"/>
      <c r="T1255" s="13" t="n"/>
      <c r="U1255" s="14" t="n"/>
      <c r="V1255" s="12" t="n"/>
      <c r="W1255" s="13" t="n"/>
      <c r="X1255" s="14" t="n"/>
      <c r="Y1255" s="12" t="n"/>
      <c r="Z1255" s="13" t="n"/>
      <c r="AA1255" s="14" t="n"/>
      <c r="AB1255" s="12" t="n"/>
      <c r="AC1255" s="13" t="n"/>
      <c r="AD1255" s="14" t="n"/>
      <c r="AE1255" s="12" t="n"/>
      <c r="AF1255" s="13" t="n"/>
      <c r="AG1255" s="14" t="n"/>
      <c r="AH1255" s="12" t="n"/>
      <c r="AI1255" s="13" t="n"/>
      <c r="AJ1255" s="14" t="n"/>
      <c r="AK1255" s="12" t="n"/>
      <c r="AL1255" s="13" t="n"/>
      <c r="AM1255" s="14" t="n"/>
      <c r="AN1255" s="12" t="n"/>
      <c r="AO1255" s="13" t="n"/>
      <c r="AP1255" s="14" t="n"/>
      <c r="AQ1255" s="12" t="n"/>
      <c r="AR1255" s="13" t="n"/>
      <c r="AS1255" s="14" t="n"/>
      <c r="AT1255" s="12" t="n"/>
      <c r="AU1255" s="13" t="n"/>
      <c r="AV1255" s="14" t="n"/>
      <c r="AW1255" s="12" t="n"/>
      <c r="AX1255" s="13" t="n"/>
      <c r="AY1255" s="14" t="n"/>
      <c r="AZ1255" s="12" t="n"/>
      <c r="BA1255" s="13" t="n"/>
      <c r="BB1255" s="14" t="n"/>
      <c r="BC1255" s="11">
        <f>IF(O1255="","",IF(J1255="GST 10%",ROUND(O1255*set_GSTRate,2),0))</f>
        <v/>
      </c>
      <c r="BD1255" s="11">
        <f>IF(O1255="","",O1255+BC1255)</f>
        <v/>
      </c>
      <c r="BE1255" s="15">
        <f>IF(O1255="","",COUNTA(S1255,V1255,Y1255,AB1255,AE1255,AH1255,AK1255,AN1255,AQ1255,AT1255,AW1255,AZ1255))</f>
        <v/>
      </c>
      <c r="BF1255" s="16">
        <f>IF(COUNT(T1255,W1255,Z1255,AC1255,AF1255,AI1255,AL1255,AO1255,AR1255,AU1255,AX1255,BA1255)=0,"",MAX(T1255,W1255,Z1255,AC1255,AF1255,AI1255,AL1255,AO1255,AR1255,AU1255,AX1255,BA1255))</f>
        <v/>
      </c>
      <c r="BG1255" s="10">
        <f>MID(IF(S1255="","",", "&amp;S1255)&amp;IF(V1255="","",", "&amp;V1255)&amp;IF(Y1255="","",", "&amp;Y1255)&amp;IF(AB1255="","",", "&amp;AB1255)&amp;IF(AE1255="","",", "&amp;AE1255)&amp;IF(AH1255="","",", "&amp;AH1255)&amp;IF(AK1255="","",", "&amp;AK1255)&amp;IF(AN1255="","",", "&amp;AN1255)&amp;IF(AQ1255="","",", "&amp;AQ1255)&amp;IF(AT1255="","",", "&amp;AT1255)&amp;IF(AW1255="","",", "&amp;AW1255)&amp;IF(AZ1255="","",", "&amp;AZ1255),3,500)</f>
        <v/>
      </c>
      <c r="BH1255" s="12" t="n"/>
      <c r="BI1255" s="15">
        <f>IFERROR(MATCH($A1255,IF($B1255="Onsite",tbl_Onsite[Row ID],IF($B1255="Production",tbl_Production[Row ID],tbl_Consulting[Row ID])),0),"")</f>
        <v/>
      </c>
    </row>
    <row r="1256">
      <c r="A1256" s="10" t="inlineStr">
        <is>
          <t>CON-0250</t>
        </is>
      </c>
      <c r="B1256" s="10" t="inlineStr">
        <is>
          <t>Consulting</t>
        </is>
      </c>
      <c r="C1256" s="10">
        <f>IF($BI1256="","",IF($B1256="Onsite",INDEX(tbl_Onsite[Job Number],$BI1256),IF($B1256="Production",INDEX(tbl_Production[Job Number],$BI1256),INDEX(tbl_Consulting[Job Number],$BI1256)))&amp;"")</f>
        <v/>
      </c>
      <c r="D1256" s="10">
        <f>IF($BI1256="","",IF($B1256="Onsite",INDEX(tbl_Onsite[Client],$BI1256),IF($B1256="Production",INDEX(tbl_Production[Client],$BI1256),INDEX(tbl_Consulting[Client],$BI1256)))&amp;"")</f>
        <v/>
      </c>
      <c r="E1256" s="10">
        <f>IF($C1256="","",IF(COUNTIF(lst_Jobs,$C1256)&gt;0,"OK","CHECK"))</f>
        <v/>
      </c>
      <c r="F1256" s="10">
        <f>IF($C1256="","",IFERROR(INDEX(lst_JobName,MATCH($C1256,lst_Jobs,0)),""))</f>
        <v/>
      </c>
      <c r="G1256" s="10">
        <f>IF($BI1256="","",IF($B1256="Onsite",INDEX(tbl_Onsite[Job Description],$BI1256),IF($B1256="Production",INDEX(tbl_Production[Job Description],$BI1256),INDEX(tbl_Consulting[Job Description],$BI1256)))&amp;"")</f>
        <v/>
      </c>
      <c r="H1256" s="10">
        <f>IF($BI1256="","",IF($B1256="Onsite",INDEX(tbl_Onsite[Cost Centre],$BI1256),IF($B1256="Production",INDEX(tbl_Production[Cost Centre],$BI1256),INDEX(tbl_Consulting[Cost Centre],$BI1256)))&amp;"")</f>
        <v/>
      </c>
      <c r="I1256" s="10">
        <f>IF($BI1256="","",IF($B1256="Onsite",INDEX(tbl_Onsite[Invoice Type],$BI1256),IF($B1256="Production",INDEX(tbl_Production[Invoice Type],$BI1256),INDEX(tbl_Consulting[Invoice Type],$BI1256)))&amp;"")</f>
        <v/>
      </c>
      <c r="J1256" s="10">
        <f>IF($BI1256="","",IF($B1256="Onsite",INDEX(tbl_Onsite[Tax Code],$BI1256),IF($B1256="Production",INDEX(tbl_Production[Tax Code],$BI1256),INDEX(tbl_Consulting[Tax Code],$BI1256)))&amp;"")</f>
        <v/>
      </c>
      <c r="K1256" s="10">
        <f>IF(H1256="","",IFERROR(INDEX(lst_CCtoGL,MATCH(H1256,lst_CCforGL,0)),""))</f>
        <v/>
      </c>
      <c r="L1256" s="10">
        <f>IF($BI1256="","",IF($B1256="Onsite",INDEX(tbl_Onsite[PO / Reference],$BI1256),IF($B1256="Production",INDEX(tbl_Production[Current RMS No],$BI1256),INDEX(tbl_Consulting[Qwilr Quote],$BI1256)))&amp;"")</f>
        <v/>
      </c>
      <c r="M1256" s="10">
        <f>IF($BI1256="","",IF($B1256="Onsite",INDEX(tbl_Onsite[Notes],$BI1256),IF($B1256="Production",INDEX(tbl_Production[Notes],$BI1256),INDEX(tbl_Consulting[Notes],$BI1256)))&amp;"")</f>
        <v/>
      </c>
      <c r="N1256" s="11">
        <f>IF($BI1256="","",IF(IF($B1256="Onsite",INDEX(tbl_Onsite[Expected Revenue Ex GST],$BI1256),IF($B1256="Production",INDEX(tbl_Production[Expected Revenue Ex GST],$BI1256),INDEX(tbl_Consulting[Expected Revenue Ex GST],$BI1256)))="","",IF($B1256="Onsite",INDEX(tbl_Onsite[Expected Revenue Ex GST],$BI1256),IF($B1256="Production",INDEX(tbl_Production[Expected Revenue Ex GST],$BI1256),INDEX(tbl_Consulting[Expected Revenue Ex GST],$BI1256)))))</f>
        <v/>
      </c>
      <c r="O1256" s="11">
        <f>IF(AND($C1256="",NOT(COUNTA($S1256:$BB1256)&gt;0)),"",SUM(U1256,X1256,AA1256,AD1256,AG1256,AJ1256,AM1256,AP1256,AS1256,AV1256,AY1256,BB1256))</f>
        <v/>
      </c>
      <c r="P1256" s="11">
        <f>IF(O1256="","",N(N1256)-O1256)</f>
        <v/>
      </c>
      <c r="Q1256" s="10">
        <f>IF(O1256="","",IF($C1256="","Invoice on empty job row",IF(N1256="",IF(ROUND(O1256,2)=0,"No dept value","Invoiced - no dept value"),IF(ROUND(O1256,2)=0,"Not invoiced - to invoice",IF(ROUND(P1256,2)=0,"Agrees",IF(P1256&gt;0,"Dept higher - to invoice","Xero higher - check dept"))))))</f>
        <v/>
      </c>
      <c r="R1256" s="10">
        <f>IF(AND($C1256="",NOT(COUNTA($S1256:$BB1256)&gt;0),$BI1256&lt;&gt;""),"",MID(IF($BI1256="","; Row ID not found on the department sheet - a row was deleted","")&amp;IF(AND($C1256="",COUNTA($S1256:$BB1256)&gt;0),"; Invoice entered but the department row has no job number","")&amp;IF(E1256="CHECK","; Job number not in the Xero job list","")&amp;IF(AND($C1256&lt;&gt;"",COUNTIF($C$7:$C$1506,$C1256)&gt;1),"; Job number on more than one row","")&amp;IF(AND($C1256&lt;&gt;"",H1256=""),"; Dept has not set a cost centre","")&amp;IF(AND($C1256&lt;&gt;"",J1256=""),"; Dept has not set a tax code","")&amp;IF(AND($C1256&lt;&gt;"",N1256=""),"; Dept has not entered an expected value","")&amp;IF((IF(OR(COUNTA(S1256:U1256)=0,AND(COUNTA(S1256:U1256)=3,ISNUMBER(U1256))),0,1)+IF(OR(COUNTA(V1256:X1256)=0,AND(COUNTA(V1256:X1256)=3,ISNUMBER(X1256))),0,1)+IF(OR(COUNTA(Y1256:AA1256)=0,AND(COUNTA(Y1256:AA1256)=3,ISNUMBER(AA1256))),0,1)+IF(OR(COUNTA(AB1256:AD1256)=0,AND(COUNTA(AB1256:AD1256)=3,ISNUMBER(AD1256))),0,1)+IF(OR(COUNTA(AE1256:AG1256)=0,AND(COUNTA(AE1256:AG1256)=3,ISNUMBER(AG1256))),0,1)+IF(OR(COUNTA(AH1256:AJ1256)=0,AND(COUNTA(AH1256:AJ1256)=3,ISNUMBER(AJ1256))),0,1)+IF(OR(COUNTA(AK1256:AM1256)=0,AND(COUNTA(AK1256:AM1256)=3,ISNUMBER(AM1256))),0,1)+IF(OR(COUNTA(AN1256:AP1256)=0,AND(COUNTA(AN1256:AP1256)=3,ISNUMBER(AP1256))),0,1)+IF(OR(COUNTA(AQ1256:AS1256)=0,AND(COUNTA(AQ1256:AS1256)=3,ISNUMBER(AS1256))),0,1)+IF(OR(COUNTA(AT1256:AV1256)=0,AND(COUNTA(AT1256:AV1256)=3,ISNUMBER(AV1256))),0,1)+IF(OR(COUNTA(AW1256:AY1256)=0,AND(COUNTA(AW1256:AY1256)=3,ISNUMBER(AY1256))),0,1)+IF(OR(COUNTA(AZ1256:BB1256)=0,AND(COUNTA(AZ1256:BB1256)=3,ISNUMBER(BB1256))),0,1))&gt;0,"; An invoice is incomplete (needs No, Date and a number in Ex GST)","")&amp;IF((IF(T1256="",0,IFERROR(--(EOMONTH(T1256,0)&lt;&gt;S$5),1))+IF(W1256="",0,IFERROR(--(EOMONTH(W1256,0)&lt;&gt;V$5),1))+IF(Z1256="",0,IFERROR(--(EOMONTH(Z1256,0)&lt;&gt;Y$5),1))+IF(AC1256="",0,IFERROR(--(EOMONTH(AC1256,0)&lt;&gt;AB$5),1))+IF(AF1256="",0,IFERROR(--(EOMONTH(AF1256,0)&lt;&gt;AE$5),1))+IF(AI1256="",0,IFERROR(--(EOMONTH(AI1256,0)&lt;&gt;AH$5),1))+IF(AL1256="",0,IFERROR(--(EOMONTH(AL1256,0)&lt;&gt;AK$5),1))+IF(AO1256="",0,IFERROR(--(EOMONTH(AO1256,0)&lt;&gt;AN$5),1))+IF(AR1256="",0,IFERROR(--(EOMONTH(AR1256,0)&lt;&gt;AQ$5),1))+IF(AU1256="",0,IFERROR(--(EOMONTH(AU1256,0)&lt;&gt;AT$5),1))+IF(AX1256="",0,IFERROR(--(EOMONTH(AX1256,0)&lt;&gt;AW$5),1))+IF(BA1256="",0,IFERROR(--(EOMONTH(BA1256,0)&lt;&gt;AZ$5),1)))&gt;0,"; An invoice date is not in the month it is typed under",""),3,500))</f>
        <v/>
      </c>
      <c r="S1256" s="12" t="n"/>
      <c r="T1256" s="13" t="n"/>
      <c r="U1256" s="14" t="n"/>
      <c r="V1256" s="12" t="n"/>
      <c r="W1256" s="13" t="n"/>
      <c r="X1256" s="14" t="n"/>
      <c r="Y1256" s="12" t="n"/>
      <c r="Z1256" s="13" t="n"/>
      <c r="AA1256" s="14" t="n"/>
      <c r="AB1256" s="12" t="n"/>
      <c r="AC1256" s="13" t="n"/>
      <c r="AD1256" s="14" t="n"/>
      <c r="AE1256" s="12" t="n"/>
      <c r="AF1256" s="13" t="n"/>
      <c r="AG1256" s="14" t="n"/>
      <c r="AH1256" s="12" t="n"/>
      <c r="AI1256" s="13" t="n"/>
      <c r="AJ1256" s="14" t="n"/>
      <c r="AK1256" s="12" t="n"/>
      <c r="AL1256" s="13" t="n"/>
      <c r="AM1256" s="14" t="n"/>
      <c r="AN1256" s="12" t="n"/>
      <c r="AO1256" s="13" t="n"/>
      <c r="AP1256" s="14" t="n"/>
      <c r="AQ1256" s="12" t="n"/>
      <c r="AR1256" s="13" t="n"/>
      <c r="AS1256" s="14" t="n"/>
      <c r="AT1256" s="12" t="n"/>
      <c r="AU1256" s="13" t="n"/>
      <c r="AV1256" s="14" t="n"/>
      <c r="AW1256" s="12" t="n"/>
      <c r="AX1256" s="13" t="n"/>
      <c r="AY1256" s="14" t="n"/>
      <c r="AZ1256" s="12" t="n"/>
      <c r="BA1256" s="13" t="n"/>
      <c r="BB1256" s="14" t="n"/>
      <c r="BC1256" s="11">
        <f>IF(O1256="","",IF(J1256="GST 10%",ROUND(O1256*set_GSTRate,2),0))</f>
        <v/>
      </c>
      <c r="BD1256" s="11">
        <f>IF(O1256="","",O1256+BC1256)</f>
        <v/>
      </c>
      <c r="BE1256" s="15">
        <f>IF(O1256="","",COUNTA(S1256,V1256,Y1256,AB1256,AE1256,AH1256,AK1256,AN1256,AQ1256,AT1256,AW1256,AZ1256))</f>
        <v/>
      </c>
      <c r="BF1256" s="16">
        <f>IF(COUNT(T1256,W1256,Z1256,AC1256,AF1256,AI1256,AL1256,AO1256,AR1256,AU1256,AX1256,BA1256)=0,"",MAX(T1256,W1256,Z1256,AC1256,AF1256,AI1256,AL1256,AO1256,AR1256,AU1256,AX1256,BA1256))</f>
        <v/>
      </c>
      <c r="BG1256" s="10">
        <f>MID(IF(S1256="","",", "&amp;S1256)&amp;IF(V1256="","",", "&amp;V1256)&amp;IF(Y1256="","",", "&amp;Y1256)&amp;IF(AB1256="","",", "&amp;AB1256)&amp;IF(AE1256="","",", "&amp;AE1256)&amp;IF(AH1256="","",", "&amp;AH1256)&amp;IF(AK1256="","",", "&amp;AK1256)&amp;IF(AN1256="","",", "&amp;AN1256)&amp;IF(AQ1256="","",", "&amp;AQ1256)&amp;IF(AT1256="","",", "&amp;AT1256)&amp;IF(AW1256="","",", "&amp;AW1256)&amp;IF(AZ1256="","",", "&amp;AZ1256),3,500)</f>
        <v/>
      </c>
      <c r="BH1256" s="12" t="n"/>
      <c r="BI1256" s="15">
        <f>IFERROR(MATCH($A1256,IF($B1256="Onsite",tbl_Onsite[Row ID],IF($B1256="Production",tbl_Production[Row ID],tbl_Consulting[Row ID])),0),"")</f>
        <v/>
      </c>
    </row>
    <row r="1257">
      <c r="A1257" s="10" t="inlineStr">
        <is>
          <t>CON-0251</t>
        </is>
      </c>
      <c r="B1257" s="10" t="inlineStr">
        <is>
          <t>Consulting</t>
        </is>
      </c>
      <c r="C1257" s="10">
        <f>IF($BI1257="","",IF($B1257="Onsite",INDEX(tbl_Onsite[Job Number],$BI1257),IF($B1257="Production",INDEX(tbl_Production[Job Number],$BI1257),INDEX(tbl_Consulting[Job Number],$BI1257)))&amp;"")</f>
        <v/>
      </c>
      <c r="D1257" s="10">
        <f>IF($BI1257="","",IF($B1257="Onsite",INDEX(tbl_Onsite[Client],$BI1257),IF($B1257="Production",INDEX(tbl_Production[Client],$BI1257),INDEX(tbl_Consulting[Client],$BI1257)))&amp;"")</f>
        <v/>
      </c>
      <c r="E1257" s="10">
        <f>IF($C1257="","",IF(COUNTIF(lst_Jobs,$C1257)&gt;0,"OK","CHECK"))</f>
        <v/>
      </c>
      <c r="F1257" s="10">
        <f>IF($C1257="","",IFERROR(INDEX(lst_JobName,MATCH($C1257,lst_Jobs,0)),""))</f>
        <v/>
      </c>
      <c r="G1257" s="10">
        <f>IF($BI1257="","",IF($B1257="Onsite",INDEX(tbl_Onsite[Job Description],$BI1257),IF($B1257="Production",INDEX(tbl_Production[Job Description],$BI1257),INDEX(tbl_Consulting[Job Description],$BI1257)))&amp;"")</f>
        <v/>
      </c>
      <c r="H1257" s="10">
        <f>IF($BI1257="","",IF($B1257="Onsite",INDEX(tbl_Onsite[Cost Centre],$BI1257),IF($B1257="Production",INDEX(tbl_Production[Cost Centre],$BI1257),INDEX(tbl_Consulting[Cost Centre],$BI1257)))&amp;"")</f>
        <v/>
      </c>
      <c r="I1257" s="10">
        <f>IF($BI1257="","",IF($B1257="Onsite",INDEX(tbl_Onsite[Invoice Type],$BI1257),IF($B1257="Production",INDEX(tbl_Production[Invoice Type],$BI1257),INDEX(tbl_Consulting[Invoice Type],$BI1257)))&amp;"")</f>
        <v/>
      </c>
      <c r="J1257" s="10">
        <f>IF($BI1257="","",IF($B1257="Onsite",INDEX(tbl_Onsite[Tax Code],$BI1257),IF($B1257="Production",INDEX(tbl_Production[Tax Code],$BI1257),INDEX(tbl_Consulting[Tax Code],$BI1257)))&amp;"")</f>
        <v/>
      </c>
      <c r="K1257" s="10">
        <f>IF(H1257="","",IFERROR(INDEX(lst_CCtoGL,MATCH(H1257,lst_CCforGL,0)),""))</f>
        <v/>
      </c>
      <c r="L1257" s="10">
        <f>IF($BI1257="","",IF($B1257="Onsite",INDEX(tbl_Onsite[PO / Reference],$BI1257),IF($B1257="Production",INDEX(tbl_Production[Current RMS No],$BI1257),INDEX(tbl_Consulting[Qwilr Quote],$BI1257)))&amp;"")</f>
        <v/>
      </c>
      <c r="M1257" s="10">
        <f>IF($BI1257="","",IF($B1257="Onsite",INDEX(tbl_Onsite[Notes],$BI1257),IF($B1257="Production",INDEX(tbl_Production[Notes],$BI1257),INDEX(tbl_Consulting[Notes],$BI1257)))&amp;"")</f>
        <v/>
      </c>
      <c r="N1257" s="11">
        <f>IF($BI1257="","",IF(IF($B1257="Onsite",INDEX(tbl_Onsite[Expected Revenue Ex GST],$BI1257),IF($B1257="Production",INDEX(tbl_Production[Expected Revenue Ex GST],$BI1257),INDEX(tbl_Consulting[Expected Revenue Ex GST],$BI1257)))="","",IF($B1257="Onsite",INDEX(tbl_Onsite[Expected Revenue Ex GST],$BI1257),IF($B1257="Production",INDEX(tbl_Production[Expected Revenue Ex GST],$BI1257),INDEX(tbl_Consulting[Expected Revenue Ex GST],$BI1257)))))</f>
        <v/>
      </c>
      <c r="O1257" s="11">
        <f>IF(AND($C1257="",NOT(COUNTA($S1257:$BB1257)&gt;0)),"",SUM(U1257,X1257,AA1257,AD1257,AG1257,AJ1257,AM1257,AP1257,AS1257,AV1257,AY1257,BB1257))</f>
        <v/>
      </c>
      <c r="P1257" s="11">
        <f>IF(O1257="","",N(N1257)-O1257)</f>
        <v/>
      </c>
      <c r="Q1257" s="10">
        <f>IF(O1257="","",IF($C1257="","Invoice on empty job row",IF(N1257="",IF(ROUND(O1257,2)=0,"No dept value","Invoiced - no dept value"),IF(ROUND(O1257,2)=0,"Not invoiced - to invoice",IF(ROUND(P1257,2)=0,"Agrees",IF(P1257&gt;0,"Dept higher - to invoice","Xero higher - check dept"))))))</f>
        <v/>
      </c>
      <c r="R1257" s="10">
        <f>IF(AND($C1257="",NOT(COUNTA($S1257:$BB1257)&gt;0),$BI1257&lt;&gt;""),"",MID(IF($BI1257="","; Row ID not found on the department sheet - a row was deleted","")&amp;IF(AND($C1257="",COUNTA($S1257:$BB1257)&gt;0),"; Invoice entered but the department row has no job number","")&amp;IF(E1257="CHECK","; Job number not in the Xero job list","")&amp;IF(AND($C1257&lt;&gt;"",COUNTIF($C$7:$C$1506,$C1257)&gt;1),"; Job number on more than one row","")&amp;IF(AND($C1257&lt;&gt;"",H1257=""),"; Dept has not set a cost centre","")&amp;IF(AND($C1257&lt;&gt;"",J1257=""),"; Dept has not set a tax code","")&amp;IF(AND($C1257&lt;&gt;"",N1257=""),"; Dept has not entered an expected value","")&amp;IF((IF(OR(COUNTA(S1257:U1257)=0,AND(COUNTA(S1257:U1257)=3,ISNUMBER(U1257))),0,1)+IF(OR(COUNTA(V1257:X1257)=0,AND(COUNTA(V1257:X1257)=3,ISNUMBER(X1257))),0,1)+IF(OR(COUNTA(Y1257:AA1257)=0,AND(COUNTA(Y1257:AA1257)=3,ISNUMBER(AA1257))),0,1)+IF(OR(COUNTA(AB1257:AD1257)=0,AND(COUNTA(AB1257:AD1257)=3,ISNUMBER(AD1257))),0,1)+IF(OR(COUNTA(AE1257:AG1257)=0,AND(COUNTA(AE1257:AG1257)=3,ISNUMBER(AG1257))),0,1)+IF(OR(COUNTA(AH1257:AJ1257)=0,AND(COUNTA(AH1257:AJ1257)=3,ISNUMBER(AJ1257))),0,1)+IF(OR(COUNTA(AK1257:AM1257)=0,AND(COUNTA(AK1257:AM1257)=3,ISNUMBER(AM1257))),0,1)+IF(OR(COUNTA(AN1257:AP1257)=0,AND(COUNTA(AN1257:AP1257)=3,ISNUMBER(AP1257))),0,1)+IF(OR(COUNTA(AQ1257:AS1257)=0,AND(COUNTA(AQ1257:AS1257)=3,ISNUMBER(AS1257))),0,1)+IF(OR(COUNTA(AT1257:AV1257)=0,AND(COUNTA(AT1257:AV1257)=3,ISNUMBER(AV1257))),0,1)+IF(OR(COUNTA(AW1257:AY1257)=0,AND(COUNTA(AW1257:AY1257)=3,ISNUMBER(AY1257))),0,1)+IF(OR(COUNTA(AZ1257:BB1257)=0,AND(COUNTA(AZ1257:BB1257)=3,ISNUMBER(BB1257))),0,1))&gt;0,"; An invoice is incomplete (needs No, Date and a number in Ex GST)","")&amp;IF((IF(T1257="",0,IFERROR(--(EOMONTH(T1257,0)&lt;&gt;S$5),1))+IF(W1257="",0,IFERROR(--(EOMONTH(W1257,0)&lt;&gt;V$5),1))+IF(Z1257="",0,IFERROR(--(EOMONTH(Z1257,0)&lt;&gt;Y$5),1))+IF(AC1257="",0,IFERROR(--(EOMONTH(AC1257,0)&lt;&gt;AB$5),1))+IF(AF1257="",0,IFERROR(--(EOMONTH(AF1257,0)&lt;&gt;AE$5),1))+IF(AI1257="",0,IFERROR(--(EOMONTH(AI1257,0)&lt;&gt;AH$5),1))+IF(AL1257="",0,IFERROR(--(EOMONTH(AL1257,0)&lt;&gt;AK$5),1))+IF(AO1257="",0,IFERROR(--(EOMONTH(AO1257,0)&lt;&gt;AN$5),1))+IF(AR1257="",0,IFERROR(--(EOMONTH(AR1257,0)&lt;&gt;AQ$5),1))+IF(AU1257="",0,IFERROR(--(EOMONTH(AU1257,0)&lt;&gt;AT$5),1))+IF(AX1257="",0,IFERROR(--(EOMONTH(AX1257,0)&lt;&gt;AW$5),1))+IF(BA1257="",0,IFERROR(--(EOMONTH(BA1257,0)&lt;&gt;AZ$5),1)))&gt;0,"; An invoice date is not in the month it is typed under",""),3,500))</f>
        <v/>
      </c>
      <c r="S1257" s="12" t="n"/>
      <c r="T1257" s="13" t="n"/>
      <c r="U1257" s="14" t="n"/>
      <c r="V1257" s="12" t="n"/>
      <c r="W1257" s="13" t="n"/>
      <c r="X1257" s="14" t="n"/>
      <c r="Y1257" s="12" t="n"/>
      <c r="Z1257" s="13" t="n"/>
      <c r="AA1257" s="14" t="n"/>
      <c r="AB1257" s="12" t="n"/>
      <c r="AC1257" s="13" t="n"/>
      <c r="AD1257" s="14" t="n"/>
      <c r="AE1257" s="12" t="n"/>
      <c r="AF1257" s="13" t="n"/>
      <c r="AG1257" s="14" t="n"/>
      <c r="AH1257" s="12" t="n"/>
      <c r="AI1257" s="13" t="n"/>
      <c r="AJ1257" s="14" t="n"/>
      <c r="AK1257" s="12" t="n"/>
      <c r="AL1257" s="13" t="n"/>
      <c r="AM1257" s="14" t="n"/>
      <c r="AN1257" s="12" t="n"/>
      <c r="AO1257" s="13" t="n"/>
      <c r="AP1257" s="14" t="n"/>
      <c r="AQ1257" s="12" t="n"/>
      <c r="AR1257" s="13" t="n"/>
      <c r="AS1257" s="14" t="n"/>
      <c r="AT1257" s="12" t="n"/>
      <c r="AU1257" s="13" t="n"/>
      <c r="AV1257" s="14" t="n"/>
      <c r="AW1257" s="12" t="n"/>
      <c r="AX1257" s="13" t="n"/>
      <c r="AY1257" s="14" t="n"/>
      <c r="AZ1257" s="12" t="n"/>
      <c r="BA1257" s="13" t="n"/>
      <c r="BB1257" s="14" t="n"/>
      <c r="BC1257" s="11">
        <f>IF(O1257="","",IF(J1257="GST 10%",ROUND(O1257*set_GSTRate,2),0))</f>
        <v/>
      </c>
      <c r="BD1257" s="11">
        <f>IF(O1257="","",O1257+BC1257)</f>
        <v/>
      </c>
      <c r="BE1257" s="15">
        <f>IF(O1257="","",COUNTA(S1257,V1257,Y1257,AB1257,AE1257,AH1257,AK1257,AN1257,AQ1257,AT1257,AW1257,AZ1257))</f>
        <v/>
      </c>
      <c r="BF1257" s="16">
        <f>IF(COUNT(T1257,W1257,Z1257,AC1257,AF1257,AI1257,AL1257,AO1257,AR1257,AU1257,AX1257,BA1257)=0,"",MAX(T1257,W1257,Z1257,AC1257,AF1257,AI1257,AL1257,AO1257,AR1257,AU1257,AX1257,BA1257))</f>
        <v/>
      </c>
      <c r="BG1257" s="10">
        <f>MID(IF(S1257="","",", "&amp;S1257)&amp;IF(V1257="","",", "&amp;V1257)&amp;IF(Y1257="","",", "&amp;Y1257)&amp;IF(AB1257="","",", "&amp;AB1257)&amp;IF(AE1257="","",", "&amp;AE1257)&amp;IF(AH1257="","",", "&amp;AH1257)&amp;IF(AK1257="","",", "&amp;AK1257)&amp;IF(AN1257="","",", "&amp;AN1257)&amp;IF(AQ1257="","",", "&amp;AQ1257)&amp;IF(AT1257="","",", "&amp;AT1257)&amp;IF(AW1257="","",", "&amp;AW1257)&amp;IF(AZ1257="","",", "&amp;AZ1257),3,500)</f>
        <v/>
      </c>
      <c r="BH1257" s="12" t="n"/>
      <c r="BI1257" s="15">
        <f>IFERROR(MATCH($A1257,IF($B1257="Onsite",tbl_Onsite[Row ID],IF($B1257="Production",tbl_Production[Row ID],tbl_Consulting[Row ID])),0),"")</f>
        <v/>
      </c>
    </row>
    <row r="1258">
      <c r="A1258" s="10" t="inlineStr">
        <is>
          <t>CON-0252</t>
        </is>
      </c>
      <c r="B1258" s="10" t="inlineStr">
        <is>
          <t>Consulting</t>
        </is>
      </c>
      <c r="C1258" s="10">
        <f>IF($BI1258="","",IF($B1258="Onsite",INDEX(tbl_Onsite[Job Number],$BI1258),IF($B1258="Production",INDEX(tbl_Production[Job Number],$BI1258),INDEX(tbl_Consulting[Job Number],$BI1258)))&amp;"")</f>
        <v/>
      </c>
      <c r="D1258" s="10">
        <f>IF($BI1258="","",IF($B1258="Onsite",INDEX(tbl_Onsite[Client],$BI1258),IF($B1258="Production",INDEX(tbl_Production[Client],$BI1258),INDEX(tbl_Consulting[Client],$BI1258)))&amp;"")</f>
        <v/>
      </c>
      <c r="E1258" s="10">
        <f>IF($C1258="","",IF(COUNTIF(lst_Jobs,$C1258)&gt;0,"OK","CHECK"))</f>
        <v/>
      </c>
      <c r="F1258" s="10">
        <f>IF($C1258="","",IFERROR(INDEX(lst_JobName,MATCH($C1258,lst_Jobs,0)),""))</f>
        <v/>
      </c>
      <c r="G1258" s="10">
        <f>IF($BI1258="","",IF($B1258="Onsite",INDEX(tbl_Onsite[Job Description],$BI1258),IF($B1258="Production",INDEX(tbl_Production[Job Description],$BI1258),INDEX(tbl_Consulting[Job Description],$BI1258)))&amp;"")</f>
        <v/>
      </c>
      <c r="H1258" s="10">
        <f>IF($BI1258="","",IF($B1258="Onsite",INDEX(tbl_Onsite[Cost Centre],$BI1258),IF($B1258="Production",INDEX(tbl_Production[Cost Centre],$BI1258),INDEX(tbl_Consulting[Cost Centre],$BI1258)))&amp;"")</f>
        <v/>
      </c>
      <c r="I1258" s="10">
        <f>IF($BI1258="","",IF($B1258="Onsite",INDEX(tbl_Onsite[Invoice Type],$BI1258),IF($B1258="Production",INDEX(tbl_Production[Invoice Type],$BI1258),INDEX(tbl_Consulting[Invoice Type],$BI1258)))&amp;"")</f>
        <v/>
      </c>
      <c r="J1258" s="10">
        <f>IF($BI1258="","",IF($B1258="Onsite",INDEX(tbl_Onsite[Tax Code],$BI1258),IF($B1258="Production",INDEX(tbl_Production[Tax Code],$BI1258),INDEX(tbl_Consulting[Tax Code],$BI1258)))&amp;"")</f>
        <v/>
      </c>
      <c r="K1258" s="10">
        <f>IF(H1258="","",IFERROR(INDEX(lst_CCtoGL,MATCH(H1258,lst_CCforGL,0)),""))</f>
        <v/>
      </c>
      <c r="L1258" s="10">
        <f>IF($BI1258="","",IF($B1258="Onsite",INDEX(tbl_Onsite[PO / Reference],$BI1258),IF($B1258="Production",INDEX(tbl_Production[Current RMS No],$BI1258),INDEX(tbl_Consulting[Qwilr Quote],$BI1258)))&amp;"")</f>
        <v/>
      </c>
      <c r="M1258" s="10">
        <f>IF($BI1258="","",IF($B1258="Onsite",INDEX(tbl_Onsite[Notes],$BI1258),IF($B1258="Production",INDEX(tbl_Production[Notes],$BI1258),INDEX(tbl_Consulting[Notes],$BI1258)))&amp;"")</f>
        <v/>
      </c>
      <c r="N1258" s="11">
        <f>IF($BI1258="","",IF(IF($B1258="Onsite",INDEX(tbl_Onsite[Expected Revenue Ex GST],$BI1258),IF($B1258="Production",INDEX(tbl_Production[Expected Revenue Ex GST],$BI1258),INDEX(tbl_Consulting[Expected Revenue Ex GST],$BI1258)))="","",IF($B1258="Onsite",INDEX(tbl_Onsite[Expected Revenue Ex GST],$BI1258),IF($B1258="Production",INDEX(tbl_Production[Expected Revenue Ex GST],$BI1258),INDEX(tbl_Consulting[Expected Revenue Ex GST],$BI1258)))))</f>
        <v/>
      </c>
      <c r="O1258" s="11">
        <f>IF(AND($C1258="",NOT(COUNTA($S1258:$BB1258)&gt;0)),"",SUM(U1258,X1258,AA1258,AD1258,AG1258,AJ1258,AM1258,AP1258,AS1258,AV1258,AY1258,BB1258))</f>
        <v/>
      </c>
      <c r="P1258" s="11">
        <f>IF(O1258="","",N(N1258)-O1258)</f>
        <v/>
      </c>
      <c r="Q1258" s="10">
        <f>IF(O1258="","",IF($C1258="","Invoice on empty job row",IF(N1258="",IF(ROUND(O1258,2)=0,"No dept value","Invoiced - no dept value"),IF(ROUND(O1258,2)=0,"Not invoiced - to invoice",IF(ROUND(P1258,2)=0,"Agrees",IF(P1258&gt;0,"Dept higher - to invoice","Xero higher - check dept"))))))</f>
        <v/>
      </c>
      <c r="R1258" s="10">
        <f>IF(AND($C1258="",NOT(COUNTA($S1258:$BB1258)&gt;0),$BI1258&lt;&gt;""),"",MID(IF($BI1258="","; Row ID not found on the department sheet - a row was deleted","")&amp;IF(AND($C1258="",COUNTA($S1258:$BB1258)&gt;0),"; Invoice entered but the department row has no job number","")&amp;IF(E1258="CHECK","; Job number not in the Xero job list","")&amp;IF(AND($C1258&lt;&gt;"",COUNTIF($C$7:$C$1506,$C1258)&gt;1),"; Job number on more than one row","")&amp;IF(AND($C1258&lt;&gt;"",H1258=""),"; Dept has not set a cost centre","")&amp;IF(AND($C1258&lt;&gt;"",J1258=""),"; Dept has not set a tax code","")&amp;IF(AND($C1258&lt;&gt;"",N1258=""),"; Dept has not entered an expected value","")&amp;IF((IF(OR(COUNTA(S1258:U1258)=0,AND(COUNTA(S1258:U1258)=3,ISNUMBER(U1258))),0,1)+IF(OR(COUNTA(V1258:X1258)=0,AND(COUNTA(V1258:X1258)=3,ISNUMBER(X1258))),0,1)+IF(OR(COUNTA(Y1258:AA1258)=0,AND(COUNTA(Y1258:AA1258)=3,ISNUMBER(AA1258))),0,1)+IF(OR(COUNTA(AB1258:AD1258)=0,AND(COUNTA(AB1258:AD1258)=3,ISNUMBER(AD1258))),0,1)+IF(OR(COUNTA(AE1258:AG1258)=0,AND(COUNTA(AE1258:AG1258)=3,ISNUMBER(AG1258))),0,1)+IF(OR(COUNTA(AH1258:AJ1258)=0,AND(COUNTA(AH1258:AJ1258)=3,ISNUMBER(AJ1258))),0,1)+IF(OR(COUNTA(AK1258:AM1258)=0,AND(COUNTA(AK1258:AM1258)=3,ISNUMBER(AM1258))),0,1)+IF(OR(COUNTA(AN1258:AP1258)=0,AND(COUNTA(AN1258:AP1258)=3,ISNUMBER(AP1258))),0,1)+IF(OR(COUNTA(AQ1258:AS1258)=0,AND(COUNTA(AQ1258:AS1258)=3,ISNUMBER(AS1258))),0,1)+IF(OR(COUNTA(AT1258:AV1258)=0,AND(COUNTA(AT1258:AV1258)=3,ISNUMBER(AV1258))),0,1)+IF(OR(COUNTA(AW1258:AY1258)=0,AND(COUNTA(AW1258:AY1258)=3,ISNUMBER(AY1258))),0,1)+IF(OR(COUNTA(AZ1258:BB1258)=0,AND(COUNTA(AZ1258:BB1258)=3,ISNUMBER(BB1258))),0,1))&gt;0,"; An invoice is incomplete (needs No, Date and a number in Ex GST)","")&amp;IF((IF(T1258="",0,IFERROR(--(EOMONTH(T1258,0)&lt;&gt;S$5),1))+IF(W1258="",0,IFERROR(--(EOMONTH(W1258,0)&lt;&gt;V$5),1))+IF(Z1258="",0,IFERROR(--(EOMONTH(Z1258,0)&lt;&gt;Y$5),1))+IF(AC1258="",0,IFERROR(--(EOMONTH(AC1258,0)&lt;&gt;AB$5),1))+IF(AF1258="",0,IFERROR(--(EOMONTH(AF1258,0)&lt;&gt;AE$5),1))+IF(AI1258="",0,IFERROR(--(EOMONTH(AI1258,0)&lt;&gt;AH$5),1))+IF(AL1258="",0,IFERROR(--(EOMONTH(AL1258,0)&lt;&gt;AK$5),1))+IF(AO1258="",0,IFERROR(--(EOMONTH(AO1258,0)&lt;&gt;AN$5),1))+IF(AR1258="",0,IFERROR(--(EOMONTH(AR1258,0)&lt;&gt;AQ$5),1))+IF(AU1258="",0,IFERROR(--(EOMONTH(AU1258,0)&lt;&gt;AT$5),1))+IF(AX1258="",0,IFERROR(--(EOMONTH(AX1258,0)&lt;&gt;AW$5),1))+IF(BA1258="",0,IFERROR(--(EOMONTH(BA1258,0)&lt;&gt;AZ$5),1)))&gt;0,"; An invoice date is not in the month it is typed under",""),3,500))</f>
        <v/>
      </c>
      <c r="S1258" s="12" t="n"/>
      <c r="T1258" s="13" t="n"/>
      <c r="U1258" s="14" t="n"/>
      <c r="V1258" s="12" t="n"/>
      <c r="W1258" s="13" t="n"/>
      <c r="X1258" s="14" t="n"/>
      <c r="Y1258" s="12" t="n"/>
      <c r="Z1258" s="13" t="n"/>
      <c r="AA1258" s="14" t="n"/>
      <c r="AB1258" s="12" t="n"/>
      <c r="AC1258" s="13" t="n"/>
      <c r="AD1258" s="14" t="n"/>
      <c r="AE1258" s="12" t="n"/>
      <c r="AF1258" s="13" t="n"/>
      <c r="AG1258" s="14" t="n"/>
      <c r="AH1258" s="12" t="n"/>
      <c r="AI1258" s="13" t="n"/>
      <c r="AJ1258" s="14" t="n"/>
      <c r="AK1258" s="12" t="n"/>
      <c r="AL1258" s="13" t="n"/>
      <c r="AM1258" s="14" t="n"/>
      <c r="AN1258" s="12" t="n"/>
      <c r="AO1258" s="13" t="n"/>
      <c r="AP1258" s="14" t="n"/>
      <c r="AQ1258" s="12" t="n"/>
      <c r="AR1258" s="13" t="n"/>
      <c r="AS1258" s="14" t="n"/>
      <c r="AT1258" s="12" t="n"/>
      <c r="AU1258" s="13" t="n"/>
      <c r="AV1258" s="14" t="n"/>
      <c r="AW1258" s="12" t="n"/>
      <c r="AX1258" s="13" t="n"/>
      <c r="AY1258" s="14" t="n"/>
      <c r="AZ1258" s="12" t="n"/>
      <c r="BA1258" s="13" t="n"/>
      <c r="BB1258" s="14" t="n"/>
      <c r="BC1258" s="11">
        <f>IF(O1258="","",IF(J1258="GST 10%",ROUND(O1258*set_GSTRate,2),0))</f>
        <v/>
      </c>
      <c r="BD1258" s="11">
        <f>IF(O1258="","",O1258+BC1258)</f>
        <v/>
      </c>
      <c r="BE1258" s="15">
        <f>IF(O1258="","",COUNTA(S1258,V1258,Y1258,AB1258,AE1258,AH1258,AK1258,AN1258,AQ1258,AT1258,AW1258,AZ1258))</f>
        <v/>
      </c>
      <c r="BF1258" s="16">
        <f>IF(COUNT(T1258,W1258,Z1258,AC1258,AF1258,AI1258,AL1258,AO1258,AR1258,AU1258,AX1258,BA1258)=0,"",MAX(T1258,W1258,Z1258,AC1258,AF1258,AI1258,AL1258,AO1258,AR1258,AU1258,AX1258,BA1258))</f>
        <v/>
      </c>
      <c r="BG1258" s="10">
        <f>MID(IF(S1258="","",", "&amp;S1258)&amp;IF(V1258="","",", "&amp;V1258)&amp;IF(Y1258="","",", "&amp;Y1258)&amp;IF(AB1258="","",", "&amp;AB1258)&amp;IF(AE1258="","",", "&amp;AE1258)&amp;IF(AH1258="","",", "&amp;AH1258)&amp;IF(AK1258="","",", "&amp;AK1258)&amp;IF(AN1258="","",", "&amp;AN1258)&amp;IF(AQ1258="","",", "&amp;AQ1258)&amp;IF(AT1258="","",", "&amp;AT1258)&amp;IF(AW1258="","",", "&amp;AW1258)&amp;IF(AZ1258="","",", "&amp;AZ1258),3,500)</f>
        <v/>
      </c>
      <c r="BH1258" s="12" t="n"/>
      <c r="BI1258" s="15">
        <f>IFERROR(MATCH($A1258,IF($B1258="Onsite",tbl_Onsite[Row ID],IF($B1258="Production",tbl_Production[Row ID],tbl_Consulting[Row ID])),0),"")</f>
        <v/>
      </c>
    </row>
    <row r="1259">
      <c r="A1259" s="10" t="inlineStr">
        <is>
          <t>CON-0253</t>
        </is>
      </c>
      <c r="B1259" s="10" t="inlineStr">
        <is>
          <t>Consulting</t>
        </is>
      </c>
      <c r="C1259" s="10">
        <f>IF($BI1259="","",IF($B1259="Onsite",INDEX(tbl_Onsite[Job Number],$BI1259),IF($B1259="Production",INDEX(tbl_Production[Job Number],$BI1259),INDEX(tbl_Consulting[Job Number],$BI1259)))&amp;"")</f>
        <v/>
      </c>
      <c r="D1259" s="10">
        <f>IF($BI1259="","",IF($B1259="Onsite",INDEX(tbl_Onsite[Client],$BI1259),IF($B1259="Production",INDEX(tbl_Production[Client],$BI1259),INDEX(tbl_Consulting[Client],$BI1259)))&amp;"")</f>
        <v/>
      </c>
      <c r="E1259" s="10">
        <f>IF($C1259="","",IF(COUNTIF(lst_Jobs,$C1259)&gt;0,"OK","CHECK"))</f>
        <v/>
      </c>
      <c r="F1259" s="10">
        <f>IF($C1259="","",IFERROR(INDEX(lst_JobName,MATCH($C1259,lst_Jobs,0)),""))</f>
        <v/>
      </c>
      <c r="G1259" s="10">
        <f>IF($BI1259="","",IF($B1259="Onsite",INDEX(tbl_Onsite[Job Description],$BI1259),IF($B1259="Production",INDEX(tbl_Production[Job Description],$BI1259),INDEX(tbl_Consulting[Job Description],$BI1259)))&amp;"")</f>
        <v/>
      </c>
      <c r="H1259" s="10">
        <f>IF($BI1259="","",IF($B1259="Onsite",INDEX(tbl_Onsite[Cost Centre],$BI1259),IF($B1259="Production",INDEX(tbl_Production[Cost Centre],$BI1259),INDEX(tbl_Consulting[Cost Centre],$BI1259)))&amp;"")</f>
        <v/>
      </c>
      <c r="I1259" s="10">
        <f>IF($BI1259="","",IF($B1259="Onsite",INDEX(tbl_Onsite[Invoice Type],$BI1259),IF($B1259="Production",INDEX(tbl_Production[Invoice Type],$BI1259),INDEX(tbl_Consulting[Invoice Type],$BI1259)))&amp;"")</f>
        <v/>
      </c>
      <c r="J1259" s="10">
        <f>IF($BI1259="","",IF($B1259="Onsite",INDEX(tbl_Onsite[Tax Code],$BI1259),IF($B1259="Production",INDEX(tbl_Production[Tax Code],$BI1259),INDEX(tbl_Consulting[Tax Code],$BI1259)))&amp;"")</f>
        <v/>
      </c>
      <c r="K1259" s="10">
        <f>IF(H1259="","",IFERROR(INDEX(lst_CCtoGL,MATCH(H1259,lst_CCforGL,0)),""))</f>
        <v/>
      </c>
      <c r="L1259" s="10">
        <f>IF($BI1259="","",IF($B1259="Onsite",INDEX(tbl_Onsite[PO / Reference],$BI1259),IF($B1259="Production",INDEX(tbl_Production[Current RMS No],$BI1259),INDEX(tbl_Consulting[Qwilr Quote],$BI1259)))&amp;"")</f>
        <v/>
      </c>
      <c r="M1259" s="10">
        <f>IF($BI1259="","",IF($B1259="Onsite",INDEX(tbl_Onsite[Notes],$BI1259),IF($B1259="Production",INDEX(tbl_Production[Notes],$BI1259),INDEX(tbl_Consulting[Notes],$BI1259)))&amp;"")</f>
        <v/>
      </c>
      <c r="N1259" s="11">
        <f>IF($BI1259="","",IF(IF($B1259="Onsite",INDEX(tbl_Onsite[Expected Revenue Ex GST],$BI1259),IF($B1259="Production",INDEX(tbl_Production[Expected Revenue Ex GST],$BI1259),INDEX(tbl_Consulting[Expected Revenue Ex GST],$BI1259)))="","",IF($B1259="Onsite",INDEX(tbl_Onsite[Expected Revenue Ex GST],$BI1259),IF($B1259="Production",INDEX(tbl_Production[Expected Revenue Ex GST],$BI1259),INDEX(tbl_Consulting[Expected Revenue Ex GST],$BI1259)))))</f>
        <v/>
      </c>
      <c r="O1259" s="11">
        <f>IF(AND($C1259="",NOT(COUNTA($S1259:$BB1259)&gt;0)),"",SUM(U1259,X1259,AA1259,AD1259,AG1259,AJ1259,AM1259,AP1259,AS1259,AV1259,AY1259,BB1259))</f>
        <v/>
      </c>
      <c r="P1259" s="11">
        <f>IF(O1259="","",N(N1259)-O1259)</f>
        <v/>
      </c>
      <c r="Q1259" s="10">
        <f>IF(O1259="","",IF($C1259="","Invoice on empty job row",IF(N1259="",IF(ROUND(O1259,2)=0,"No dept value","Invoiced - no dept value"),IF(ROUND(O1259,2)=0,"Not invoiced - to invoice",IF(ROUND(P1259,2)=0,"Agrees",IF(P1259&gt;0,"Dept higher - to invoice","Xero higher - check dept"))))))</f>
        <v/>
      </c>
      <c r="R1259" s="10">
        <f>IF(AND($C1259="",NOT(COUNTA($S1259:$BB1259)&gt;0),$BI1259&lt;&gt;""),"",MID(IF($BI1259="","; Row ID not found on the department sheet - a row was deleted","")&amp;IF(AND($C1259="",COUNTA($S1259:$BB1259)&gt;0),"; Invoice entered but the department row has no job number","")&amp;IF(E1259="CHECK","; Job number not in the Xero job list","")&amp;IF(AND($C1259&lt;&gt;"",COUNTIF($C$7:$C$1506,$C1259)&gt;1),"; Job number on more than one row","")&amp;IF(AND($C1259&lt;&gt;"",H1259=""),"; Dept has not set a cost centre","")&amp;IF(AND($C1259&lt;&gt;"",J1259=""),"; Dept has not set a tax code","")&amp;IF(AND($C1259&lt;&gt;"",N1259=""),"; Dept has not entered an expected value","")&amp;IF((IF(OR(COUNTA(S1259:U1259)=0,AND(COUNTA(S1259:U1259)=3,ISNUMBER(U1259))),0,1)+IF(OR(COUNTA(V1259:X1259)=0,AND(COUNTA(V1259:X1259)=3,ISNUMBER(X1259))),0,1)+IF(OR(COUNTA(Y1259:AA1259)=0,AND(COUNTA(Y1259:AA1259)=3,ISNUMBER(AA1259))),0,1)+IF(OR(COUNTA(AB1259:AD1259)=0,AND(COUNTA(AB1259:AD1259)=3,ISNUMBER(AD1259))),0,1)+IF(OR(COUNTA(AE1259:AG1259)=0,AND(COUNTA(AE1259:AG1259)=3,ISNUMBER(AG1259))),0,1)+IF(OR(COUNTA(AH1259:AJ1259)=0,AND(COUNTA(AH1259:AJ1259)=3,ISNUMBER(AJ1259))),0,1)+IF(OR(COUNTA(AK1259:AM1259)=0,AND(COUNTA(AK1259:AM1259)=3,ISNUMBER(AM1259))),0,1)+IF(OR(COUNTA(AN1259:AP1259)=0,AND(COUNTA(AN1259:AP1259)=3,ISNUMBER(AP1259))),0,1)+IF(OR(COUNTA(AQ1259:AS1259)=0,AND(COUNTA(AQ1259:AS1259)=3,ISNUMBER(AS1259))),0,1)+IF(OR(COUNTA(AT1259:AV1259)=0,AND(COUNTA(AT1259:AV1259)=3,ISNUMBER(AV1259))),0,1)+IF(OR(COUNTA(AW1259:AY1259)=0,AND(COUNTA(AW1259:AY1259)=3,ISNUMBER(AY1259))),0,1)+IF(OR(COUNTA(AZ1259:BB1259)=0,AND(COUNTA(AZ1259:BB1259)=3,ISNUMBER(BB1259))),0,1))&gt;0,"; An invoice is incomplete (needs No, Date and a number in Ex GST)","")&amp;IF((IF(T1259="",0,IFERROR(--(EOMONTH(T1259,0)&lt;&gt;S$5),1))+IF(W1259="",0,IFERROR(--(EOMONTH(W1259,0)&lt;&gt;V$5),1))+IF(Z1259="",0,IFERROR(--(EOMONTH(Z1259,0)&lt;&gt;Y$5),1))+IF(AC1259="",0,IFERROR(--(EOMONTH(AC1259,0)&lt;&gt;AB$5),1))+IF(AF1259="",0,IFERROR(--(EOMONTH(AF1259,0)&lt;&gt;AE$5),1))+IF(AI1259="",0,IFERROR(--(EOMONTH(AI1259,0)&lt;&gt;AH$5),1))+IF(AL1259="",0,IFERROR(--(EOMONTH(AL1259,0)&lt;&gt;AK$5),1))+IF(AO1259="",0,IFERROR(--(EOMONTH(AO1259,0)&lt;&gt;AN$5),1))+IF(AR1259="",0,IFERROR(--(EOMONTH(AR1259,0)&lt;&gt;AQ$5),1))+IF(AU1259="",0,IFERROR(--(EOMONTH(AU1259,0)&lt;&gt;AT$5),1))+IF(AX1259="",0,IFERROR(--(EOMONTH(AX1259,0)&lt;&gt;AW$5),1))+IF(BA1259="",0,IFERROR(--(EOMONTH(BA1259,0)&lt;&gt;AZ$5),1)))&gt;0,"; An invoice date is not in the month it is typed under",""),3,500))</f>
        <v/>
      </c>
      <c r="S1259" s="12" t="n"/>
      <c r="T1259" s="13" t="n"/>
      <c r="U1259" s="14" t="n"/>
      <c r="V1259" s="12" t="n"/>
      <c r="W1259" s="13" t="n"/>
      <c r="X1259" s="14" t="n"/>
      <c r="Y1259" s="12" t="n"/>
      <c r="Z1259" s="13" t="n"/>
      <c r="AA1259" s="14" t="n"/>
      <c r="AB1259" s="12" t="n"/>
      <c r="AC1259" s="13" t="n"/>
      <c r="AD1259" s="14" t="n"/>
      <c r="AE1259" s="12" t="n"/>
      <c r="AF1259" s="13" t="n"/>
      <c r="AG1259" s="14" t="n"/>
      <c r="AH1259" s="12" t="n"/>
      <c r="AI1259" s="13" t="n"/>
      <c r="AJ1259" s="14" t="n"/>
      <c r="AK1259" s="12" t="n"/>
      <c r="AL1259" s="13" t="n"/>
      <c r="AM1259" s="14" t="n"/>
      <c r="AN1259" s="12" t="n"/>
      <c r="AO1259" s="13" t="n"/>
      <c r="AP1259" s="14" t="n"/>
      <c r="AQ1259" s="12" t="n"/>
      <c r="AR1259" s="13" t="n"/>
      <c r="AS1259" s="14" t="n"/>
      <c r="AT1259" s="12" t="n"/>
      <c r="AU1259" s="13" t="n"/>
      <c r="AV1259" s="14" t="n"/>
      <c r="AW1259" s="12" t="n"/>
      <c r="AX1259" s="13" t="n"/>
      <c r="AY1259" s="14" t="n"/>
      <c r="AZ1259" s="12" t="n"/>
      <c r="BA1259" s="13" t="n"/>
      <c r="BB1259" s="14" t="n"/>
      <c r="BC1259" s="11">
        <f>IF(O1259="","",IF(J1259="GST 10%",ROUND(O1259*set_GSTRate,2),0))</f>
        <v/>
      </c>
      <c r="BD1259" s="11">
        <f>IF(O1259="","",O1259+BC1259)</f>
        <v/>
      </c>
      <c r="BE1259" s="15">
        <f>IF(O1259="","",COUNTA(S1259,V1259,Y1259,AB1259,AE1259,AH1259,AK1259,AN1259,AQ1259,AT1259,AW1259,AZ1259))</f>
        <v/>
      </c>
      <c r="BF1259" s="16">
        <f>IF(COUNT(T1259,W1259,Z1259,AC1259,AF1259,AI1259,AL1259,AO1259,AR1259,AU1259,AX1259,BA1259)=0,"",MAX(T1259,W1259,Z1259,AC1259,AF1259,AI1259,AL1259,AO1259,AR1259,AU1259,AX1259,BA1259))</f>
        <v/>
      </c>
      <c r="BG1259" s="10">
        <f>MID(IF(S1259="","",", "&amp;S1259)&amp;IF(V1259="","",", "&amp;V1259)&amp;IF(Y1259="","",", "&amp;Y1259)&amp;IF(AB1259="","",", "&amp;AB1259)&amp;IF(AE1259="","",", "&amp;AE1259)&amp;IF(AH1259="","",", "&amp;AH1259)&amp;IF(AK1259="","",", "&amp;AK1259)&amp;IF(AN1259="","",", "&amp;AN1259)&amp;IF(AQ1259="","",", "&amp;AQ1259)&amp;IF(AT1259="","",", "&amp;AT1259)&amp;IF(AW1259="","",", "&amp;AW1259)&amp;IF(AZ1259="","",", "&amp;AZ1259),3,500)</f>
        <v/>
      </c>
      <c r="BH1259" s="12" t="n"/>
      <c r="BI1259" s="15">
        <f>IFERROR(MATCH($A1259,IF($B1259="Onsite",tbl_Onsite[Row ID],IF($B1259="Production",tbl_Production[Row ID],tbl_Consulting[Row ID])),0),"")</f>
        <v/>
      </c>
    </row>
    <row r="1260">
      <c r="A1260" s="10" t="inlineStr">
        <is>
          <t>CON-0254</t>
        </is>
      </c>
      <c r="B1260" s="10" t="inlineStr">
        <is>
          <t>Consulting</t>
        </is>
      </c>
      <c r="C1260" s="10">
        <f>IF($BI1260="","",IF($B1260="Onsite",INDEX(tbl_Onsite[Job Number],$BI1260),IF($B1260="Production",INDEX(tbl_Production[Job Number],$BI1260),INDEX(tbl_Consulting[Job Number],$BI1260)))&amp;"")</f>
        <v/>
      </c>
      <c r="D1260" s="10">
        <f>IF($BI1260="","",IF($B1260="Onsite",INDEX(tbl_Onsite[Client],$BI1260),IF($B1260="Production",INDEX(tbl_Production[Client],$BI1260),INDEX(tbl_Consulting[Client],$BI1260)))&amp;"")</f>
        <v/>
      </c>
      <c r="E1260" s="10">
        <f>IF($C1260="","",IF(COUNTIF(lst_Jobs,$C1260)&gt;0,"OK","CHECK"))</f>
        <v/>
      </c>
      <c r="F1260" s="10">
        <f>IF($C1260="","",IFERROR(INDEX(lst_JobName,MATCH($C1260,lst_Jobs,0)),""))</f>
        <v/>
      </c>
      <c r="G1260" s="10">
        <f>IF($BI1260="","",IF($B1260="Onsite",INDEX(tbl_Onsite[Job Description],$BI1260),IF($B1260="Production",INDEX(tbl_Production[Job Description],$BI1260),INDEX(tbl_Consulting[Job Description],$BI1260)))&amp;"")</f>
        <v/>
      </c>
      <c r="H1260" s="10">
        <f>IF($BI1260="","",IF($B1260="Onsite",INDEX(tbl_Onsite[Cost Centre],$BI1260),IF($B1260="Production",INDEX(tbl_Production[Cost Centre],$BI1260),INDEX(tbl_Consulting[Cost Centre],$BI1260)))&amp;"")</f>
        <v/>
      </c>
      <c r="I1260" s="10">
        <f>IF($BI1260="","",IF($B1260="Onsite",INDEX(tbl_Onsite[Invoice Type],$BI1260),IF($B1260="Production",INDEX(tbl_Production[Invoice Type],$BI1260),INDEX(tbl_Consulting[Invoice Type],$BI1260)))&amp;"")</f>
        <v/>
      </c>
      <c r="J1260" s="10">
        <f>IF($BI1260="","",IF($B1260="Onsite",INDEX(tbl_Onsite[Tax Code],$BI1260),IF($B1260="Production",INDEX(tbl_Production[Tax Code],$BI1260),INDEX(tbl_Consulting[Tax Code],$BI1260)))&amp;"")</f>
        <v/>
      </c>
      <c r="K1260" s="10">
        <f>IF(H1260="","",IFERROR(INDEX(lst_CCtoGL,MATCH(H1260,lst_CCforGL,0)),""))</f>
        <v/>
      </c>
      <c r="L1260" s="10">
        <f>IF($BI1260="","",IF($B1260="Onsite",INDEX(tbl_Onsite[PO / Reference],$BI1260),IF($B1260="Production",INDEX(tbl_Production[Current RMS No],$BI1260),INDEX(tbl_Consulting[Qwilr Quote],$BI1260)))&amp;"")</f>
        <v/>
      </c>
      <c r="M1260" s="10">
        <f>IF($BI1260="","",IF($B1260="Onsite",INDEX(tbl_Onsite[Notes],$BI1260),IF($B1260="Production",INDEX(tbl_Production[Notes],$BI1260),INDEX(tbl_Consulting[Notes],$BI1260)))&amp;"")</f>
        <v/>
      </c>
      <c r="N1260" s="11">
        <f>IF($BI1260="","",IF(IF($B1260="Onsite",INDEX(tbl_Onsite[Expected Revenue Ex GST],$BI1260),IF($B1260="Production",INDEX(tbl_Production[Expected Revenue Ex GST],$BI1260),INDEX(tbl_Consulting[Expected Revenue Ex GST],$BI1260)))="","",IF($B1260="Onsite",INDEX(tbl_Onsite[Expected Revenue Ex GST],$BI1260),IF($B1260="Production",INDEX(tbl_Production[Expected Revenue Ex GST],$BI1260),INDEX(tbl_Consulting[Expected Revenue Ex GST],$BI1260)))))</f>
        <v/>
      </c>
      <c r="O1260" s="11">
        <f>IF(AND($C1260="",NOT(COUNTA($S1260:$BB1260)&gt;0)),"",SUM(U1260,X1260,AA1260,AD1260,AG1260,AJ1260,AM1260,AP1260,AS1260,AV1260,AY1260,BB1260))</f>
        <v/>
      </c>
      <c r="P1260" s="11">
        <f>IF(O1260="","",N(N1260)-O1260)</f>
        <v/>
      </c>
      <c r="Q1260" s="10">
        <f>IF(O1260="","",IF($C1260="","Invoice on empty job row",IF(N1260="",IF(ROUND(O1260,2)=0,"No dept value","Invoiced - no dept value"),IF(ROUND(O1260,2)=0,"Not invoiced - to invoice",IF(ROUND(P1260,2)=0,"Agrees",IF(P1260&gt;0,"Dept higher - to invoice","Xero higher - check dept"))))))</f>
        <v/>
      </c>
      <c r="R1260" s="10">
        <f>IF(AND($C1260="",NOT(COUNTA($S1260:$BB1260)&gt;0),$BI1260&lt;&gt;""),"",MID(IF($BI1260="","; Row ID not found on the department sheet - a row was deleted","")&amp;IF(AND($C1260="",COUNTA($S1260:$BB1260)&gt;0),"; Invoice entered but the department row has no job number","")&amp;IF(E1260="CHECK","; Job number not in the Xero job list","")&amp;IF(AND($C1260&lt;&gt;"",COUNTIF($C$7:$C$1506,$C1260)&gt;1),"; Job number on more than one row","")&amp;IF(AND($C1260&lt;&gt;"",H1260=""),"; Dept has not set a cost centre","")&amp;IF(AND($C1260&lt;&gt;"",J1260=""),"; Dept has not set a tax code","")&amp;IF(AND($C1260&lt;&gt;"",N1260=""),"; Dept has not entered an expected value","")&amp;IF((IF(OR(COUNTA(S1260:U1260)=0,AND(COUNTA(S1260:U1260)=3,ISNUMBER(U1260))),0,1)+IF(OR(COUNTA(V1260:X1260)=0,AND(COUNTA(V1260:X1260)=3,ISNUMBER(X1260))),0,1)+IF(OR(COUNTA(Y1260:AA1260)=0,AND(COUNTA(Y1260:AA1260)=3,ISNUMBER(AA1260))),0,1)+IF(OR(COUNTA(AB1260:AD1260)=0,AND(COUNTA(AB1260:AD1260)=3,ISNUMBER(AD1260))),0,1)+IF(OR(COUNTA(AE1260:AG1260)=0,AND(COUNTA(AE1260:AG1260)=3,ISNUMBER(AG1260))),0,1)+IF(OR(COUNTA(AH1260:AJ1260)=0,AND(COUNTA(AH1260:AJ1260)=3,ISNUMBER(AJ1260))),0,1)+IF(OR(COUNTA(AK1260:AM1260)=0,AND(COUNTA(AK1260:AM1260)=3,ISNUMBER(AM1260))),0,1)+IF(OR(COUNTA(AN1260:AP1260)=0,AND(COUNTA(AN1260:AP1260)=3,ISNUMBER(AP1260))),0,1)+IF(OR(COUNTA(AQ1260:AS1260)=0,AND(COUNTA(AQ1260:AS1260)=3,ISNUMBER(AS1260))),0,1)+IF(OR(COUNTA(AT1260:AV1260)=0,AND(COUNTA(AT1260:AV1260)=3,ISNUMBER(AV1260))),0,1)+IF(OR(COUNTA(AW1260:AY1260)=0,AND(COUNTA(AW1260:AY1260)=3,ISNUMBER(AY1260))),0,1)+IF(OR(COUNTA(AZ1260:BB1260)=0,AND(COUNTA(AZ1260:BB1260)=3,ISNUMBER(BB1260))),0,1))&gt;0,"; An invoice is incomplete (needs No, Date and a number in Ex GST)","")&amp;IF((IF(T1260="",0,IFERROR(--(EOMONTH(T1260,0)&lt;&gt;S$5),1))+IF(W1260="",0,IFERROR(--(EOMONTH(W1260,0)&lt;&gt;V$5),1))+IF(Z1260="",0,IFERROR(--(EOMONTH(Z1260,0)&lt;&gt;Y$5),1))+IF(AC1260="",0,IFERROR(--(EOMONTH(AC1260,0)&lt;&gt;AB$5),1))+IF(AF1260="",0,IFERROR(--(EOMONTH(AF1260,0)&lt;&gt;AE$5),1))+IF(AI1260="",0,IFERROR(--(EOMONTH(AI1260,0)&lt;&gt;AH$5),1))+IF(AL1260="",0,IFERROR(--(EOMONTH(AL1260,0)&lt;&gt;AK$5),1))+IF(AO1260="",0,IFERROR(--(EOMONTH(AO1260,0)&lt;&gt;AN$5),1))+IF(AR1260="",0,IFERROR(--(EOMONTH(AR1260,0)&lt;&gt;AQ$5),1))+IF(AU1260="",0,IFERROR(--(EOMONTH(AU1260,0)&lt;&gt;AT$5),1))+IF(AX1260="",0,IFERROR(--(EOMONTH(AX1260,0)&lt;&gt;AW$5),1))+IF(BA1260="",0,IFERROR(--(EOMONTH(BA1260,0)&lt;&gt;AZ$5),1)))&gt;0,"; An invoice date is not in the month it is typed under",""),3,500))</f>
        <v/>
      </c>
      <c r="S1260" s="12" t="n"/>
      <c r="T1260" s="13" t="n"/>
      <c r="U1260" s="14" t="n"/>
      <c r="V1260" s="12" t="n"/>
      <c r="W1260" s="13" t="n"/>
      <c r="X1260" s="14" t="n"/>
      <c r="Y1260" s="12" t="n"/>
      <c r="Z1260" s="13" t="n"/>
      <c r="AA1260" s="14" t="n"/>
      <c r="AB1260" s="12" t="n"/>
      <c r="AC1260" s="13" t="n"/>
      <c r="AD1260" s="14" t="n"/>
      <c r="AE1260" s="12" t="n"/>
      <c r="AF1260" s="13" t="n"/>
      <c r="AG1260" s="14" t="n"/>
      <c r="AH1260" s="12" t="n"/>
      <c r="AI1260" s="13" t="n"/>
      <c r="AJ1260" s="14" t="n"/>
      <c r="AK1260" s="12" t="n"/>
      <c r="AL1260" s="13" t="n"/>
      <c r="AM1260" s="14" t="n"/>
      <c r="AN1260" s="12" t="n"/>
      <c r="AO1260" s="13" t="n"/>
      <c r="AP1260" s="14" t="n"/>
      <c r="AQ1260" s="12" t="n"/>
      <c r="AR1260" s="13" t="n"/>
      <c r="AS1260" s="14" t="n"/>
      <c r="AT1260" s="12" t="n"/>
      <c r="AU1260" s="13" t="n"/>
      <c r="AV1260" s="14" t="n"/>
      <c r="AW1260" s="12" t="n"/>
      <c r="AX1260" s="13" t="n"/>
      <c r="AY1260" s="14" t="n"/>
      <c r="AZ1260" s="12" t="n"/>
      <c r="BA1260" s="13" t="n"/>
      <c r="BB1260" s="14" t="n"/>
      <c r="BC1260" s="11">
        <f>IF(O1260="","",IF(J1260="GST 10%",ROUND(O1260*set_GSTRate,2),0))</f>
        <v/>
      </c>
      <c r="BD1260" s="11">
        <f>IF(O1260="","",O1260+BC1260)</f>
        <v/>
      </c>
      <c r="BE1260" s="15">
        <f>IF(O1260="","",COUNTA(S1260,V1260,Y1260,AB1260,AE1260,AH1260,AK1260,AN1260,AQ1260,AT1260,AW1260,AZ1260))</f>
        <v/>
      </c>
      <c r="BF1260" s="16">
        <f>IF(COUNT(T1260,W1260,Z1260,AC1260,AF1260,AI1260,AL1260,AO1260,AR1260,AU1260,AX1260,BA1260)=0,"",MAX(T1260,W1260,Z1260,AC1260,AF1260,AI1260,AL1260,AO1260,AR1260,AU1260,AX1260,BA1260))</f>
        <v/>
      </c>
      <c r="BG1260" s="10">
        <f>MID(IF(S1260="","",", "&amp;S1260)&amp;IF(V1260="","",", "&amp;V1260)&amp;IF(Y1260="","",", "&amp;Y1260)&amp;IF(AB1260="","",", "&amp;AB1260)&amp;IF(AE1260="","",", "&amp;AE1260)&amp;IF(AH1260="","",", "&amp;AH1260)&amp;IF(AK1260="","",", "&amp;AK1260)&amp;IF(AN1260="","",", "&amp;AN1260)&amp;IF(AQ1260="","",", "&amp;AQ1260)&amp;IF(AT1260="","",", "&amp;AT1260)&amp;IF(AW1260="","",", "&amp;AW1260)&amp;IF(AZ1260="","",", "&amp;AZ1260),3,500)</f>
        <v/>
      </c>
      <c r="BH1260" s="12" t="n"/>
      <c r="BI1260" s="15">
        <f>IFERROR(MATCH($A1260,IF($B1260="Onsite",tbl_Onsite[Row ID],IF($B1260="Production",tbl_Production[Row ID],tbl_Consulting[Row ID])),0),"")</f>
        <v/>
      </c>
    </row>
    <row r="1261">
      <c r="A1261" s="10" t="inlineStr">
        <is>
          <t>CON-0255</t>
        </is>
      </c>
      <c r="B1261" s="10" t="inlineStr">
        <is>
          <t>Consulting</t>
        </is>
      </c>
      <c r="C1261" s="10">
        <f>IF($BI1261="","",IF($B1261="Onsite",INDEX(tbl_Onsite[Job Number],$BI1261),IF($B1261="Production",INDEX(tbl_Production[Job Number],$BI1261),INDEX(tbl_Consulting[Job Number],$BI1261)))&amp;"")</f>
        <v/>
      </c>
      <c r="D1261" s="10">
        <f>IF($BI1261="","",IF($B1261="Onsite",INDEX(tbl_Onsite[Client],$BI1261),IF($B1261="Production",INDEX(tbl_Production[Client],$BI1261),INDEX(tbl_Consulting[Client],$BI1261)))&amp;"")</f>
        <v/>
      </c>
      <c r="E1261" s="10">
        <f>IF($C1261="","",IF(COUNTIF(lst_Jobs,$C1261)&gt;0,"OK","CHECK"))</f>
        <v/>
      </c>
      <c r="F1261" s="10">
        <f>IF($C1261="","",IFERROR(INDEX(lst_JobName,MATCH($C1261,lst_Jobs,0)),""))</f>
        <v/>
      </c>
      <c r="G1261" s="10">
        <f>IF($BI1261="","",IF($B1261="Onsite",INDEX(tbl_Onsite[Job Description],$BI1261),IF($B1261="Production",INDEX(tbl_Production[Job Description],$BI1261),INDEX(tbl_Consulting[Job Description],$BI1261)))&amp;"")</f>
        <v/>
      </c>
      <c r="H1261" s="10">
        <f>IF($BI1261="","",IF($B1261="Onsite",INDEX(tbl_Onsite[Cost Centre],$BI1261),IF($B1261="Production",INDEX(tbl_Production[Cost Centre],$BI1261),INDEX(tbl_Consulting[Cost Centre],$BI1261)))&amp;"")</f>
        <v/>
      </c>
      <c r="I1261" s="10">
        <f>IF($BI1261="","",IF($B1261="Onsite",INDEX(tbl_Onsite[Invoice Type],$BI1261),IF($B1261="Production",INDEX(tbl_Production[Invoice Type],$BI1261),INDEX(tbl_Consulting[Invoice Type],$BI1261)))&amp;"")</f>
        <v/>
      </c>
      <c r="J1261" s="10">
        <f>IF($BI1261="","",IF($B1261="Onsite",INDEX(tbl_Onsite[Tax Code],$BI1261),IF($B1261="Production",INDEX(tbl_Production[Tax Code],$BI1261),INDEX(tbl_Consulting[Tax Code],$BI1261)))&amp;"")</f>
        <v/>
      </c>
      <c r="K1261" s="10">
        <f>IF(H1261="","",IFERROR(INDEX(lst_CCtoGL,MATCH(H1261,lst_CCforGL,0)),""))</f>
        <v/>
      </c>
      <c r="L1261" s="10">
        <f>IF($BI1261="","",IF($B1261="Onsite",INDEX(tbl_Onsite[PO / Reference],$BI1261),IF($B1261="Production",INDEX(tbl_Production[Current RMS No],$BI1261),INDEX(tbl_Consulting[Qwilr Quote],$BI1261)))&amp;"")</f>
        <v/>
      </c>
      <c r="M1261" s="10">
        <f>IF($BI1261="","",IF($B1261="Onsite",INDEX(tbl_Onsite[Notes],$BI1261),IF($B1261="Production",INDEX(tbl_Production[Notes],$BI1261),INDEX(tbl_Consulting[Notes],$BI1261)))&amp;"")</f>
        <v/>
      </c>
      <c r="N1261" s="11">
        <f>IF($BI1261="","",IF(IF($B1261="Onsite",INDEX(tbl_Onsite[Expected Revenue Ex GST],$BI1261),IF($B1261="Production",INDEX(tbl_Production[Expected Revenue Ex GST],$BI1261),INDEX(tbl_Consulting[Expected Revenue Ex GST],$BI1261)))="","",IF($B1261="Onsite",INDEX(tbl_Onsite[Expected Revenue Ex GST],$BI1261),IF($B1261="Production",INDEX(tbl_Production[Expected Revenue Ex GST],$BI1261),INDEX(tbl_Consulting[Expected Revenue Ex GST],$BI1261)))))</f>
        <v/>
      </c>
      <c r="O1261" s="11">
        <f>IF(AND($C1261="",NOT(COUNTA($S1261:$BB1261)&gt;0)),"",SUM(U1261,X1261,AA1261,AD1261,AG1261,AJ1261,AM1261,AP1261,AS1261,AV1261,AY1261,BB1261))</f>
        <v/>
      </c>
      <c r="P1261" s="11">
        <f>IF(O1261="","",N(N1261)-O1261)</f>
        <v/>
      </c>
      <c r="Q1261" s="10">
        <f>IF(O1261="","",IF($C1261="","Invoice on empty job row",IF(N1261="",IF(ROUND(O1261,2)=0,"No dept value","Invoiced - no dept value"),IF(ROUND(O1261,2)=0,"Not invoiced - to invoice",IF(ROUND(P1261,2)=0,"Agrees",IF(P1261&gt;0,"Dept higher - to invoice","Xero higher - check dept"))))))</f>
        <v/>
      </c>
      <c r="R1261" s="10">
        <f>IF(AND($C1261="",NOT(COUNTA($S1261:$BB1261)&gt;0),$BI1261&lt;&gt;""),"",MID(IF($BI1261="","; Row ID not found on the department sheet - a row was deleted","")&amp;IF(AND($C1261="",COUNTA($S1261:$BB1261)&gt;0),"; Invoice entered but the department row has no job number","")&amp;IF(E1261="CHECK","; Job number not in the Xero job list","")&amp;IF(AND($C1261&lt;&gt;"",COUNTIF($C$7:$C$1506,$C1261)&gt;1),"; Job number on more than one row","")&amp;IF(AND($C1261&lt;&gt;"",H1261=""),"; Dept has not set a cost centre","")&amp;IF(AND($C1261&lt;&gt;"",J1261=""),"; Dept has not set a tax code","")&amp;IF(AND($C1261&lt;&gt;"",N1261=""),"; Dept has not entered an expected value","")&amp;IF((IF(OR(COUNTA(S1261:U1261)=0,AND(COUNTA(S1261:U1261)=3,ISNUMBER(U1261))),0,1)+IF(OR(COUNTA(V1261:X1261)=0,AND(COUNTA(V1261:X1261)=3,ISNUMBER(X1261))),0,1)+IF(OR(COUNTA(Y1261:AA1261)=0,AND(COUNTA(Y1261:AA1261)=3,ISNUMBER(AA1261))),0,1)+IF(OR(COUNTA(AB1261:AD1261)=0,AND(COUNTA(AB1261:AD1261)=3,ISNUMBER(AD1261))),0,1)+IF(OR(COUNTA(AE1261:AG1261)=0,AND(COUNTA(AE1261:AG1261)=3,ISNUMBER(AG1261))),0,1)+IF(OR(COUNTA(AH1261:AJ1261)=0,AND(COUNTA(AH1261:AJ1261)=3,ISNUMBER(AJ1261))),0,1)+IF(OR(COUNTA(AK1261:AM1261)=0,AND(COUNTA(AK1261:AM1261)=3,ISNUMBER(AM1261))),0,1)+IF(OR(COUNTA(AN1261:AP1261)=0,AND(COUNTA(AN1261:AP1261)=3,ISNUMBER(AP1261))),0,1)+IF(OR(COUNTA(AQ1261:AS1261)=0,AND(COUNTA(AQ1261:AS1261)=3,ISNUMBER(AS1261))),0,1)+IF(OR(COUNTA(AT1261:AV1261)=0,AND(COUNTA(AT1261:AV1261)=3,ISNUMBER(AV1261))),0,1)+IF(OR(COUNTA(AW1261:AY1261)=0,AND(COUNTA(AW1261:AY1261)=3,ISNUMBER(AY1261))),0,1)+IF(OR(COUNTA(AZ1261:BB1261)=0,AND(COUNTA(AZ1261:BB1261)=3,ISNUMBER(BB1261))),0,1))&gt;0,"; An invoice is incomplete (needs No, Date and a number in Ex GST)","")&amp;IF((IF(T1261="",0,IFERROR(--(EOMONTH(T1261,0)&lt;&gt;S$5),1))+IF(W1261="",0,IFERROR(--(EOMONTH(W1261,0)&lt;&gt;V$5),1))+IF(Z1261="",0,IFERROR(--(EOMONTH(Z1261,0)&lt;&gt;Y$5),1))+IF(AC1261="",0,IFERROR(--(EOMONTH(AC1261,0)&lt;&gt;AB$5),1))+IF(AF1261="",0,IFERROR(--(EOMONTH(AF1261,0)&lt;&gt;AE$5),1))+IF(AI1261="",0,IFERROR(--(EOMONTH(AI1261,0)&lt;&gt;AH$5),1))+IF(AL1261="",0,IFERROR(--(EOMONTH(AL1261,0)&lt;&gt;AK$5),1))+IF(AO1261="",0,IFERROR(--(EOMONTH(AO1261,0)&lt;&gt;AN$5),1))+IF(AR1261="",0,IFERROR(--(EOMONTH(AR1261,0)&lt;&gt;AQ$5),1))+IF(AU1261="",0,IFERROR(--(EOMONTH(AU1261,0)&lt;&gt;AT$5),1))+IF(AX1261="",0,IFERROR(--(EOMONTH(AX1261,0)&lt;&gt;AW$5),1))+IF(BA1261="",0,IFERROR(--(EOMONTH(BA1261,0)&lt;&gt;AZ$5),1)))&gt;0,"; An invoice date is not in the month it is typed under",""),3,500))</f>
        <v/>
      </c>
      <c r="S1261" s="12" t="n"/>
      <c r="T1261" s="13" t="n"/>
      <c r="U1261" s="14" t="n"/>
      <c r="V1261" s="12" t="n"/>
      <c r="W1261" s="13" t="n"/>
      <c r="X1261" s="14" t="n"/>
      <c r="Y1261" s="12" t="n"/>
      <c r="Z1261" s="13" t="n"/>
      <c r="AA1261" s="14" t="n"/>
      <c r="AB1261" s="12" t="n"/>
      <c r="AC1261" s="13" t="n"/>
      <c r="AD1261" s="14" t="n"/>
      <c r="AE1261" s="12" t="n"/>
      <c r="AF1261" s="13" t="n"/>
      <c r="AG1261" s="14" t="n"/>
      <c r="AH1261" s="12" t="n"/>
      <c r="AI1261" s="13" t="n"/>
      <c r="AJ1261" s="14" t="n"/>
      <c r="AK1261" s="12" t="n"/>
      <c r="AL1261" s="13" t="n"/>
      <c r="AM1261" s="14" t="n"/>
      <c r="AN1261" s="12" t="n"/>
      <c r="AO1261" s="13" t="n"/>
      <c r="AP1261" s="14" t="n"/>
      <c r="AQ1261" s="12" t="n"/>
      <c r="AR1261" s="13" t="n"/>
      <c r="AS1261" s="14" t="n"/>
      <c r="AT1261" s="12" t="n"/>
      <c r="AU1261" s="13" t="n"/>
      <c r="AV1261" s="14" t="n"/>
      <c r="AW1261" s="12" t="n"/>
      <c r="AX1261" s="13" t="n"/>
      <c r="AY1261" s="14" t="n"/>
      <c r="AZ1261" s="12" t="n"/>
      <c r="BA1261" s="13" t="n"/>
      <c r="BB1261" s="14" t="n"/>
      <c r="BC1261" s="11">
        <f>IF(O1261="","",IF(J1261="GST 10%",ROUND(O1261*set_GSTRate,2),0))</f>
        <v/>
      </c>
      <c r="BD1261" s="11">
        <f>IF(O1261="","",O1261+BC1261)</f>
        <v/>
      </c>
      <c r="BE1261" s="15">
        <f>IF(O1261="","",COUNTA(S1261,V1261,Y1261,AB1261,AE1261,AH1261,AK1261,AN1261,AQ1261,AT1261,AW1261,AZ1261))</f>
        <v/>
      </c>
      <c r="BF1261" s="16">
        <f>IF(COUNT(T1261,W1261,Z1261,AC1261,AF1261,AI1261,AL1261,AO1261,AR1261,AU1261,AX1261,BA1261)=0,"",MAX(T1261,W1261,Z1261,AC1261,AF1261,AI1261,AL1261,AO1261,AR1261,AU1261,AX1261,BA1261))</f>
        <v/>
      </c>
      <c r="BG1261" s="10">
        <f>MID(IF(S1261="","",", "&amp;S1261)&amp;IF(V1261="","",", "&amp;V1261)&amp;IF(Y1261="","",", "&amp;Y1261)&amp;IF(AB1261="","",", "&amp;AB1261)&amp;IF(AE1261="","",", "&amp;AE1261)&amp;IF(AH1261="","",", "&amp;AH1261)&amp;IF(AK1261="","",", "&amp;AK1261)&amp;IF(AN1261="","",", "&amp;AN1261)&amp;IF(AQ1261="","",", "&amp;AQ1261)&amp;IF(AT1261="","",", "&amp;AT1261)&amp;IF(AW1261="","",", "&amp;AW1261)&amp;IF(AZ1261="","",", "&amp;AZ1261),3,500)</f>
        <v/>
      </c>
      <c r="BH1261" s="12" t="n"/>
      <c r="BI1261" s="15">
        <f>IFERROR(MATCH($A1261,IF($B1261="Onsite",tbl_Onsite[Row ID],IF($B1261="Production",tbl_Production[Row ID],tbl_Consulting[Row ID])),0),"")</f>
        <v/>
      </c>
    </row>
    <row r="1262">
      <c r="A1262" s="10" t="inlineStr">
        <is>
          <t>CON-0256</t>
        </is>
      </c>
      <c r="B1262" s="10" t="inlineStr">
        <is>
          <t>Consulting</t>
        </is>
      </c>
      <c r="C1262" s="10">
        <f>IF($BI1262="","",IF($B1262="Onsite",INDEX(tbl_Onsite[Job Number],$BI1262),IF($B1262="Production",INDEX(tbl_Production[Job Number],$BI1262),INDEX(tbl_Consulting[Job Number],$BI1262)))&amp;"")</f>
        <v/>
      </c>
      <c r="D1262" s="10">
        <f>IF($BI1262="","",IF($B1262="Onsite",INDEX(tbl_Onsite[Client],$BI1262),IF($B1262="Production",INDEX(tbl_Production[Client],$BI1262),INDEX(tbl_Consulting[Client],$BI1262)))&amp;"")</f>
        <v/>
      </c>
      <c r="E1262" s="10">
        <f>IF($C1262="","",IF(COUNTIF(lst_Jobs,$C1262)&gt;0,"OK","CHECK"))</f>
        <v/>
      </c>
      <c r="F1262" s="10">
        <f>IF($C1262="","",IFERROR(INDEX(lst_JobName,MATCH($C1262,lst_Jobs,0)),""))</f>
        <v/>
      </c>
      <c r="G1262" s="10">
        <f>IF($BI1262="","",IF($B1262="Onsite",INDEX(tbl_Onsite[Job Description],$BI1262),IF($B1262="Production",INDEX(tbl_Production[Job Description],$BI1262),INDEX(tbl_Consulting[Job Description],$BI1262)))&amp;"")</f>
        <v/>
      </c>
      <c r="H1262" s="10">
        <f>IF($BI1262="","",IF($B1262="Onsite",INDEX(tbl_Onsite[Cost Centre],$BI1262),IF($B1262="Production",INDEX(tbl_Production[Cost Centre],$BI1262),INDEX(tbl_Consulting[Cost Centre],$BI1262)))&amp;"")</f>
        <v/>
      </c>
      <c r="I1262" s="10">
        <f>IF($BI1262="","",IF($B1262="Onsite",INDEX(tbl_Onsite[Invoice Type],$BI1262),IF($B1262="Production",INDEX(tbl_Production[Invoice Type],$BI1262),INDEX(tbl_Consulting[Invoice Type],$BI1262)))&amp;"")</f>
        <v/>
      </c>
      <c r="J1262" s="10">
        <f>IF($BI1262="","",IF($B1262="Onsite",INDEX(tbl_Onsite[Tax Code],$BI1262),IF($B1262="Production",INDEX(tbl_Production[Tax Code],$BI1262),INDEX(tbl_Consulting[Tax Code],$BI1262)))&amp;"")</f>
        <v/>
      </c>
      <c r="K1262" s="10">
        <f>IF(H1262="","",IFERROR(INDEX(lst_CCtoGL,MATCH(H1262,lst_CCforGL,0)),""))</f>
        <v/>
      </c>
      <c r="L1262" s="10">
        <f>IF($BI1262="","",IF($B1262="Onsite",INDEX(tbl_Onsite[PO / Reference],$BI1262),IF($B1262="Production",INDEX(tbl_Production[Current RMS No],$BI1262),INDEX(tbl_Consulting[Qwilr Quote],$BI1262)))&amp;"")</f>
        <v/>
      </c>
      <c r="M1262" s="10">
        <f>IF($BI1262="","",IF($B1262="Onsite",INDEX(tbl_Onsite[Notes],$BI1262),IF($B1262="Production",INDEX(tbl_Production[Notes],$BI1262),INDEX(tbl_Consulting[Notes],$BI1262)))&amp;"")</f>
        <v/>
      </c>
      <c r="N1262" s="11">
        <f>IF($BI1262="","",IF(IF($B1262="Onsite",INDEX(tbl_Onsite[Expected Revenue Ex GST],$BI1262),IF($B1262="Production",INDEX(tbl_Production[Expected Revenue Ex GST],$BI1262),INDEX(tbl_Consulting[Expected Revenue Ex GST],$BI1262)))="","",IF($B1262="Onsite",INDEX(tbl_Onsite[Expected Revenue Ex GST],$BI1262),IF($B1262="Production",INDEX(tbl_Production[Expected Revenue Ex GST],$BI1262),INDEX(tbl_Consulting[Expected Revenue Ex GST],$BI1262)))))</f>
        <v/>
      </c>
      <c r="O1262" s="11">
        <f>IF(AND($C1262="",NOT(COUNTA($S1262:$BB1262)&gt;0)),"",SUM(U1262,X1262,AA1262,AD1262,AG1262,AJ1262,AM1262,AP1262,AS1262,AV1262,AY1262,BB1262))</f>
        <v/>
      </c>
      <c r="P1262" s="11">
        <f>IF(O1262="","",N(N1262)-O1262)</f>
        <v/>
      </c>
      <c r="Q1262" s="10">
        <f>IF(O1262="","",IF($C1262="","Invoice on empty job row",IF(N1262="",IF(ROUND(O1262,2)=0,"No dept value","Invoiced - no dept value"),IF(ROUND(O1262,2)=0,"Not invoiced - to invoice",IF(ROUND(P1262,2)=0,"Agrees",IF(P1262&gt;0,"Dept higher - to invoice","Xero higher - check dept"))))))</f>
        <v/>
      </c>
      <c r="R1262" s="10">
        <f>IF(AND($C1262="",NOT(COUNTA($S1262:$BB1262)&gt;0),$BI1262&lt;&gt;""),"",MID(IF($BI1262="","; Row ID not found on the department sheet - a row was deleted","")&amp;IF(AND($C1262="",COUNTA($S1262:$BB1262)&gt;0),"; Invoice entered but the department row has no job number","")&amp;IF(E1262="CHECK","; Job number not in the Xero job list","")&amp;IF(AND($C1262&lt;&gt;"",COUNTIF($C$7:$C$1506,$C1262)&gt;1),"; Job number on more than one row","")&amp;IF(AND($C1262&lt;&gt;"",H1262=""),"; Dept has not set a cost centre","")&amp;IF(AND($C1262&lt;&gt;"",J1262=""),"; Dept has not set a tax code","")&amp;IF(AND($C1262&lt;&gt;"",N1262=""),"; Dept has not entered an expected value","")&amp;IF((IF(OR(COUNTA(S1262:U1262)=0,AND(COUNTA(S1262:U1262)=3,ISNUMBER(U1262))),0,1)+IF(OR(COUNTA(V1262:X1262)=0,AND(COUNTA(V1262:X1262)=3,ISNUMBER(X1262))),0,1)+IF(OR(COUNTA(Y1262:AA1262)=0,AND(COUNTA(Y1262:AA1262)=3,ISNUMBER(AA1262))),0,1)+IF(OR(COUNTA(AB1262:AD1262)=0,AND(COUNTA(AB1262:AD1262)=3,ISNUMBER(AD1262))),0,1)+IF(OR(COUNTA(AE1262:AG1262)=0,AND(COUNTA(AE1262:AG1262)=3,ISNUMBER(AG1262))),0,1)+IF(OR(COUNTA(AH1262:AJ1262)=0,AND(COUNTA(AH1262:AJ1262)=3,ISNUMBER(AJ1262))),0,1)+IF(OR(COUNTA(AK1262:AM1262)=0,AND(COUNTA(AK1262:AM1262)=3,ISNUMBER(AM1262))),0,1)+IF(OR(COUNTA(AN1262:AP1262)=0,AND(COUNTA(AN1262:AP1262)=3,ISNUMBER(AP1262))),0,1)+IF(OR(COUNTA(AQ1262:AS1262)=0,AND(COUNTA(AQ1262:AS1262)=3,ISNUMBER(AS1262))),0,1)+IF(OR(COUNTA(AT1262:AV1262)=0,AND(COUNTA(AT1262:AV1262)=3,ISNUMBER(AV1262))),0,1)+IF(OR(COUNTA(AW1262:AY1262)=0,AND(COUNTA(AW1262:AY1262)=3,ISNUMBER(AY1262))),0,1)+IF(OR(COUNTA(AZ1262:BB1262)=0,AND(COUNTA(AZ1262:BB1262)=3,ISNUMBER(BB1262))),0,1))&gt;0,"; An invoice is incomplete (needs No, Date and a number in Ex GST)","")&amp;IF((IF(T1262="",0,IFERROR(--(EOMONTH(T1262,0)&lt;&gt;S$5),1))+IF(W1262="",0,IFERROR(--(EOMONTH(W1262,0)&lt;&gt;V$5),1))+IF(Z1262="",0,IFERROR(--(EOMONTH(Z1262,0)&lt;&gt;Y$5),1))+IF(AC1262="",0,IFERROR(--(EOMONTH(AC1262,0)&lt;&gt;AB$5),1))+IF(AF1262="",0,IFERROR(--(EOMONTH(AF1262,0)&lt;&gt;AE$5),1))+IF(AI1262="",0,IFERROR(--(EOMONTH(AI1262,0)&lt;&gt;AH$5),1))+IF(AL1262="",0,IFERROR(--(EOMONTH(AL1262,0)&lt;&gt;AK$5),1))+IF(AO1262="",0,IFERROR(--(EOMONTH(AO1262,0)&lt;&gt;AN$5),1))+IF(AR1262="",0,IFERROR(--(EOMONTH(AR1262,0)&lt;&gt;AQ$5),1))+IF(AU1262="",0,IFERROR(--(EOMONTH(AU1262,0)&lt;&gt;AT$5),1))+IF(AX1262="",0,IFERROR(--(EOMONTH(AX1262,0)&lt;&gt;AW$5),1))+IF(BA1262="",0,IFERROR(--(EOMONTH(BA1262,0)&lt;&gt;AZ$5),1)))&gt;0,"; An invoice date is not in the month it is typed under",""),3,500))</f>
        <v/>
      </c>
      <c r="S1262" s="12" t="n"/>
      <c r="T1262" s="13" t="n"/>
      <c r="U1262" s="14" t="n"/>
      <c r="V1262" s="12" t="n"/>
      <c r="W1262" s="13" t="n"/>
      <c r="X1262" s="14" t="n"/>
      <c r="Y1262" s="12" t="n"/>
      <c r="Z1262" s="13" t="n"/>
      <c r="AA1262" s="14" t="n"/>
      <c r="AB1262" s="12" t="n"/>
      <c r="AC1262" s="13" t="n"/>
      <c r="AD1262" s="14" t="n"/>
      <c r="AE1262" s="12" t="n"/>
      <c r="AF1262" s="13" t="n"/>
      <c r="AG1262" s="14" t="n"/>
      <c r="AH1262" s="12" t="n"/>
      <c r="AI1262" s="13" t="n"/>
      <c r="AJ1262" s="14" t="n"/>
      <c r="AK1262" s="12" t="n"/>
      <c r="AL1262" s="13" t="n"/>
      <c r="AM1262" s="14" t="n"/>
      <c r="AN1262" s="12" t="n"/>
      <c r="AO1262" s="13" t="n"/>
      <c r="AP1262" s="14" t="n"/>
      <c r="AQ1262" s="12" t="n"/>
      <c r="AR1262" s="13" t="n"/>
      <c r="AS1262" s="14" t="n"/>
      <c r="AT1262" s="12" t="n"/>
      <c r="AU1262" s="13" t="n"/>
      <c r="AV1262" s="14" t="n"/>
      <c r="AW1262" s="12" t="n"/>
      <c r="AX1262" s="13" t="n"/>
      <c r="AY1262" s="14" t="n"/>
      <c r="AZ1262" s="12" t="n"/>
      <c r="BA1262" s="13" t="n"/>
      <c r="BB1262" s="14" t="n"/>
      <c r="BC1262" s="11">
        <f>IF(O1262="","",IF(J1262="GST 10%",ROUND(O1262*set_GSTRate,2),0))</f>
        <v/>
      </c>
      <c r="BD1262" s="11">
        <f>IF(O1262="","",O1262+BC1262)</f>
        <v/>
      </c>
      <c r="BE1262" s="15">
        <f>IF(O1262="","",COUNTA(S1262,V1262,Y1262,AB1262,AE1262,AH1262,AK1262,AN1262,AQ1262,AT1262,AW1262,AZ1262))</f>
        <v/>
      </c>
      <c r="BF1262" s="16">
        <f>IF(COUNT(T1262,W1262,Z1262,AC1262,AF1262,AI1262,AL1262,AO1262,AR1262,AU1262,AX1262,BA1262)=0,"",MAX(T1262,W1262,Z1262,AC1262,AF1262,AI1262,AL1262,AO1262,AR1262,AU1262,AX1262,BA1262))</f>
        <v/>
      </c>
      <c r="BG1262" s="10">
        <f>MID(IF(S1262="","",", "&amp;S1262)&amp;IF(V1262="","",", "&amp;V1262)&amp;IF(Y1262="","",", "&amp;Y1262)&amp;IF(AB1262="","",", "&amp;AB1262)&amp;IF(AE1262="","",", "&amp;AE1262)&amp;IF(AH1262="","",", "&amp;AH1262)&amp;IF(AK1262="","",", "&amp;AK1262)&amp;IF(AN1262="","",", "&amp;AN1262)&amp;IF(AQ1262="","",", "&amp;AQ1262)&amp;IF(AT1262="","",", "&amp;AT1262)&amp;IF(AW1262="","",", "&amp;AW1262)&amp;IF(AZ1262="","",", "&amp;AZ1262),3,500)</f>
        <v/>
      </c>
      <c r="BH1262" s="12" t="n"/>
      <c r="BI1262" s="15">
        <f>IFERROR(MATCH($A1262,IF($B1262="Onsite",tbl_Onsite[Row ID],IF($B1262="Production",tbl_Production[Row ID],tbl_Consulting[Row ID])),0),"")</f>
        <v/>
      </c>
    </row>
    <row r="1263">
      <c r="A1263" s="10" t="inlineStr">
        <is>
          <t>CON-0257</t>
        </is>
      </c>
      <c r="B1263" s="10" t="inlineStr">
        <is>
          <t>Consulting</t>
        </is>
      </c>
      <c r="C1263" s="10">
        <f>IF($BI1263="","",IF($B1263="Onsite",INDEX(tbl_Onsite[Job Number],$BI1263),IF($B1263="Production",INDEX(tbl_Production[Job Number],$BI1263),INDEX(tbl_Consulting[Job Number],$BI1263)))&amp;"")</f>
        <v/>
      </c>
      <c r="D1263" s="10">
        <f>IF($BI1263="","",IF($B1263="Onsite",INDEX(tbl_Onsite[Client],$BI1263),IF($B1263="Production",INDEX(tbl_Production[Client],$BI1263),INDEX(tbl_Consulting[Client],$BI1263)))&amp;"")</f>
        <v/>
      </c>
      <c r="E1263" s="10">
        <f>IF($C1263="","",IF(COUNTIF(lst_Jobs,$C1263)&gt;0,"OK","CHECK"))</f>
        <v/>
      </c>
      <c r="F1263" s="10">
        <f>IF($C1263="","",IFERROR(INDEX(lst_JobName,MATCH($C1263,lst_Jobs,0)),""))</f>
        <v/>
      </c>
      <c r="G1263" s="10">
        <f>IF($BI1263="","",IF($B1263="Onsite",INDEX(tbl_Onsite[Job Description],$BI1263),IF($B1263="Production",INDEX(tbl_Production[Job Description],$BI1263),INDEX(tbl_Consulting[Job Description],$BI1263)))&amp;"")</f>
        <v/>
      </c>
      <c r="H1263" s="10">
        <f>IF($BI1263="","",IF($B1263="Onsite",INDEX(tbl_Onsite[Cost Centre],$BI1263),IF($B1263="Production",INDEX(tbl_Production[Cost Centre],$BI1263),INDEX(tbl_Consulting[Cost Centre],$BI1263)))&amp;"")</f>
        <v/>
      </c>
      <c r="I1263" s="10">
        <f>IF($BI1263="","",IF($B1263="Onsite",INDEX(tbl_Onsite[Invoice Type],$BI1263),IF($B1263="Production",INDEX(tbl_Production[Invoice Type],$BI1263),INDEX(tbl_Consulting[Invoice Type],$BI1263)))&amp;"")</f>
        <v/>
      </c>
      <c r="J1263" s="10">
        <f>IF($BI1263="","",IF($B1263="Onsite",INDEX(tbl_Onsite[Tax Code],$BI1263),IF($B1263="Production",INDEX(tbl_Production[Tax Code],$BI1263),INDEX(tbl_Consulting[Tax Code],$BI1263)))&amp;"")</f>
        <v/>
      </c>
      <c r="K1263" s="10">
        <f>IF(H1263="","",IFERROR(INDEX(lst_CCtoGL,MATCH(H1263,lst_CCforGL,0)),""))</f>
        <v/>
      </c>
      <c r="L1263" s="10">
        <f>IF($BI1263="","",IF($B1263="Onsite",INDEX(tbl_Onsite[PO / Reference],$BI1263),IF($B1263="Production",INDEX(tbl_Production[Current RMS No],$BI1263),INDEX(tbl_Consulting[Qwilr Quote],$BI1263)))&amp;"")</f>
        <v/>
      </c>
      <c r="M1263" s="10">
        <f>IF($BI1263="","",IF($B1263="Onsite",INDEX(tbl_Onsite[Notes],$BI1263),IF($B1263="Production",INDEX(tbl_Production[Notes],$BI1263),INDEX(tbl_Consulting[Notes],$BI1263)))&amp;"")</f>
        <v/>
      </c>
      <c r="N1263" s="11">
        <f>IF($BI1263="","",IF(IF($B1263="Onsite",INDEX(tbl_Onsite[Expected Revenue Ex GST],$BI1263),IF($B1263="Production",INDEX(tbl_Production[Expected Revenue Ex GST],$BI1263),INDEX(tbl_Consulting[Expected Revenue Ex GST],$BI1263)))="","",IF($B1263="Onsite",INDEX(tbl_Onsite[Expected Revenue Ex GST],$BI1263),IF($B1263="Production",INDEX(tbl_Production[Expected Revenue Ex GST],$BI1263),INDEX(tbl_Consulting[Expected Revenue Ex GST],$BI1263)))))</f>
        <v/>
      </c>
      <c r="O1263" s="11">
        <f>IF(AND($C1263="",NOT(COUNTA($S1263:$BB1263)&gt;0)),"",SUM(U1263,X1263,AA1263,AD1263,AG1263,AJ1263,AM1263,AP1263,AS1263,AV1263,AY1263,BB1263))</f>
        <v/>
      </c>
      <c r="P1263" s="11">
        <f>IF(O1263="","",N(N1263)-O1263)</f>
        <v/>
      </c>
      <c r="Q1263" s="10">
        <f>IF(O1263="","",IF($C1263="","Invoice on empty job row",IF(N1263="",IF(ROUND(O1263,2)=0,"No dept value","Invoiced - no dept value"),IF(ROUND(O1263,2)=0,"Not invoiced - to invoice",IF(ROUND(P1263,2)=0,"Agrees",IF(P1263&gt;0,"Dept higher - to invoice","Xero higher - check dept"))))))</f>
        <v/>
      </c>
      <c r="R1263" s="10">
        <f>IF(AND($C1263="",NOT(COUNTA($S1263:$BB1263)&gt;0),$BI1263&lt;&gt;""),"",MID(IF($BI1263="","; Row ID not found on the department sheet - a row was deleted","")&amp;IF(AND($C1263="",COUNTA($S1263:$BB1263)&gt;0),"; Invoice entered but the department row has no job number","")&amp;IF(E1263="CHECK","; Job number not in the Xero job list","")&amp;IF(AND($C1263&lt;&gt;"",COUNTIF($C$7:$C$1506,$C1263)&gt;1),"; Job number on more than one row","")&amp;IF(AND($C1263&lt;&gt;"",H1263=""),"; Dept has not set a cost centre","")&amp;IF(AND($C1263&lt;&gt;"",J1263=""),"; Dept has not set a tax code","")&amp;IF(AND($C1263&lt;&gt;"",N1263=""),"; Dept has not entered an expected value","")&amp;IF((IF(OR(COUNTA(S1263:U1263)=0,AND(COUNTA(S1263:U1263)=3,ISNUMBER(U1263))),0,1)+IF(OR(COUNTA(V1263:X1263)=0,AND(COUNTA(V1263:X1263)=3,ISNUMBER(X1263))),0,1)+IF(OR(COUNTA(Y1263:AA1263)=0,AND(COUNTA(Y1263:AA1263)=3,ISNUMBER(AA1263))),0,1)+IF(OR(COUNTA(AB1263:AD1263)=0,AND(COUNTA(AB1263:AD1263)=3,ISNUMBER(AD1263))),0,1)+IF(OR(COUNTA(AE1263:AG1263)=0,AND(COUNTA(AE1263:AG1263)=3,ISNUMBER(AG1263))),0,1)+IF(OR(COUNTA(AH1263:AJ1263)=0,AND(COUNTA(AH1263:AJ1263)=3,ISNUMBER(AJ1263))),0,1)+IF(OR(COUNTA(AK1263:AM1263)=0,AND(COUNTA(AK1263:AM1263)=3,ISNUMBER(AM1263))),0,1)+IF(OR(COUNTA(AN1263:AP1263)=0,AND(COUNTA(AN1263:AP1263)=3,ISNUMBER(AP1263))),0,1)+IF(OR(COUNTA(AQ1263:AS1263)=0,AND(COUNTA(AQ1263:AS1263)=3,ISNUMBER(AS1263))),0,1)+IF(OR(COUNTA(AT1263:AV1263)=0,AND(COUNTA(AT1263:AV1263)=3,ISNUMBER(AV1263))),0,1)+IF(OR(COUNTA(AW1263:AY1263)=0,AND(COUNTA(AW1263:AY1263)=3,ISNUMBER(AY1263))),0,1)+IF(OR(COUNTA(AZ1263:BB1263)=0,AND(COUNTA(AZ1263:BB1263)=3,ISNUMBER(BB1263))),0,1))&gt;0,"; An invoice is incomplete (needs No, Date and a number in Ex GST)","")&amp;IF((IF(T1263="",0,IFERROR(--(EOMONTH(T1263,0)&lt;&gt;S$5),1))+IF(W1263="",0,IFERROR(--(EOMONTH(W1263,0)&lt;&gt;V$5),1))+IF(Z1263="",0,IFERROR(--(EOMONTH(Z1263,0)&lt;&gt;Y$5),1))+IF(AC1263="",0,IFERROR(--(EOMONTH(AC1263,0)&lt;&gt;AB$5),1))+IF(AF1263="",0,IFERROR(--(EOMONTH(AF1263,0)&lt;&gt;AE$5),1))+IF(AI1263="",0,IFERROR(--(EOMONTH(AI1263,0)&lt;&gt;AH$5),1))+IF(AL1263="",0,IFERROR(--(EOMONTH(AL1263,0)&lt;&gt;AK$5),1))+IF(AO1263="",0,IFERROR(--(EOMONTH(AO1263,0)&lt;&gt;AN$5),1))+IF(AR1263="",0,IFERROR(--(EOMONTH(AR1263,0)&lt;&gt;AQ$5),1))+IF(AU1263="",0,IFERROR(--(EOMONTH(AU1263,0)&lt;&gt;AT$5),1))+IF(AX1263="",0,IFERROR(--(EOMONTH(AX1263,0)&lt;&gt;AW$5),1))+IF(BA1263="",0,IFERROR(--(EOMONTH(BA1263,0)&lt;&gt;AZ$5),1)))&gt;0,"; An invoice date is not in the month it is typed under",""),3,500))</f>
        <v/>
      </c>
      <c r="S1263" s="12" t="n"/>
      <c r="T1263" s="13" t="n"/>
      <c r="U1263" s="14" t="n"/>
      <c r="V1263" s="12" t="n"/>
      <c r="W1263" s="13" t="n"/>
      <c r="X1263" s="14" t="n"/>
      <c r="Y1263" s="12" t="n"/>
      <c r="Z1263" s="13" t="n"/>
      <c r="AA1263" s="14" t="n"/>
      <c r="AB1263" s="12" t="n"/>
      <c r="AC1263" s="13" t="n"/>
      <c r="AD1263" s="14" t="n"/>
      <c r="AE1263" s="12" t="n"/>
      <c r="AF1263" s="13" t="n"/>
      <c r="AG1263" s="14" t="n"/>
      <c r="AH1263" s="12" t="n"/>
      <c r="AI1263" s="13" t="n"/>
      <c r="AJ1263" s="14" t="n"/>
      <c r="AK1263" s="12" t="n"/>
      <c r="AL1263" s="13" t="n"/>
      <c r="AM1263" s="14" t="n"/>
      <c r="AN1263" s="12" t="n"/>
      <c r="AO1263" s="13" t="n"/>
      <c r="AP1263" s="14" t="n"/>
      <c r="AQ1263" s="12" t="n"/>
      <c r="AR1263" s="13" t="n"/>
      <c r="AS1263" s="14" t="n"/>
      <c r="AT1263" s="12" t="n"/>
      <c r="AU1263" s="13" t="n"/>
      <c r="AV1263" s="14" t="n"/>
      <c r="AW1263" s="12" t="n"/>
      <c r="AX1263" s="13" t="n"/>
      <c r="AY1263" s="14" t="n"/>
      <c r="AZ1263" s="12" t="n"/>
      <c r="BA1263" s="13" t="n"/>
      <c r="BB1263" s="14" t="n"/>
      <c r="BC1263" s="11">
        <f>IF(O1263="","",IF(J1263="GST 10%",ROUND(O1263*set_GSTRate,2),0))</f>
        <v/>
      </c>
      <c r="BD1263" s="11">
        <f>IF(O1263="","",O1263+BC1263)</f>
        <v/>
      </c>
      <c r="BE1263" s="15">
        <f>IF(O1263="","",COUNTA(S1263,V1263,Y1263,AB1263,AE1263,AH1263,AK1263,AN1263,AQ1263,AT1263,AW1263,AZ1263))</f>
        <v/>
      </c>
      <c r="BF1263" s="16">
        <f>IF(COUNT(T1263,W1263,Z1263,AC1263,AF1263,AI1263,AL1263,AO1263,AR1263,AU1263,AX1263,BA1263)=0,"",MAX(T1263,W1263,Z1263,AC1263,AF1263,AI1263,AL1263,AO1263,AR1263,AU1263,AX1263,BA1263))</f>
        <v/>
      </c>
      <c r="BG1263" s="10">
        <f>MID(IF(S1263="","",", "&amp;S1263)&amp;IF(V1263="","",", "&amp;V1263)&amp;IF(Y1263="","",", "&amp;Y1263)&amp;IF(AB1263="","",", "&amp;AB1263)&amp;IF(AE1263="","",", "&amp;AE1263)&amp;IF(AH1263="","",", "&amp;AH1263)&amp;IF(AK1263="","",", "&amp;AK1263)&amp;IF(AN1263="","",", "&amp;AN1263)&amp;IF(AQ1263="","",", "&amp;AQ1263)&amp;IF(AT1263="","",", "&amp;AT1263)&amp;IF(AW1263="","",", "&amp;AW1263)&amp;IF(AZ1263="","",", "&amp;AZ1263),3,500)</f>
        <v/>
      </c>
      <c r="BH1263" s="12" t="n"/>
      <c r="BI1263" s="15">
        <f>IFERROR(MATCH($A1263,IF($B1263="Onsite",tbl_Onsite[Row ID],IF($B1263="Production",tbl_Production[Row ID],tbl_Consulting[Row ID])),0),"")</f>
        <v/>
      </c>
    </row>
    <row r="1264">
      <c r="A1264" s="10" t="inlineStr">
        <is>
          <t>CON-0258</t>
        </is>
      </c>
      <c r="B1264" s="10" t="inlineStr">
        <is>
          <t>Consulting</t>
        </is>
      </c>
      <c r="C1264" s="10">
        <f>IF($BI1264="","",IF($B1264="Onsite",INDEX(tbl_Onsite[Job Number],$BI1264),IF($B1264="Production",INDEX(tbl_Production[Job Number],$BI1264),INDEX(tbl_Consulting[Job Number],$BI1264)))&amp;"")</f>
        <v/>
      </c>
      <c r="D1264" s="10">
        <f>IF($BI1264="","",IF($B1264="Onsite",INDEX(tbl_Onsite[Client],$BI1264),IF($B1264="Production",INDEX(tbl_Production[Client],$BI1264),INDEX(tbl_Consulting[Client],$BI1264)))&amp;"")</f>
        <v/>
      </c>
      <c r="E1264" s="10">
        <f>IF($C1264="","",IF(COUNTIF(lst_Jobs,$C1264)&gt;0,"OK","CHECK"))</f>
        <v/>
      </c>
      <c r="F1264" s="10">
        <f>IF($C1264="","",IFERROR(INDEX(lst_JobName,MATCH($C1264,lst_Jobs,0)),""))</f>
        <v/>
      </c>
      <c r="G1264" s="10">
        <f>IF($BI1264="","",IF($B1264="Onsite",INDEX(tbl_Onsite[Job Description],$BI1264),IF($B1264="Production",INDEX(tbl_Production[Job Description],$BI1264),INDEX(tbl_Consulting[Job Description],$BI1264)))&amp;"")</f>
        <v/>
      </c>
      <c r="H1264" s="10">
        <f>IF($BI1264="","",IF($B1264="Onsite",INDEX(tbl_Onsite[Cost Centre],$BI1264),IF($B1264="Production",INDEX(tbl_Production[Cost Centre],$BI1264),INDEX(tbl_Consulting[Cost Centre],$BI1264)))&amp;"")</f>
        <v/>
      </c>
      <c r="I1264" s="10">
        <f>IF($BI1264="","",IF($B1264="Onsite",INDEX(tbl_Onsite[Invoice Type],$BI1264),IF($B1264="Production",INDEX(tbl_Production[Invoice Type],$BI1264),INDEX(tbl_Consulting[Invoice Type],$BI1264)))&amp;"")</f>
        <v/>
      </c>
      <c r="J1264" s="10">
        <f>IF($BI1264="","",IF($B1264="Onsite",INDEX(tbl_Onsite[Tax Code],$BI1264),IF($B1264="Production",INDEX(tbl_Production[Tax Code],$BI1264),INDEX(tbl_Consulting[Tax Code],$BI1264)))&amp;"")</f>
        <v/>
      </c>
      <c r="K1264" s="10">
        <f>IF(H1264="","",IFERROR(INDEX(lst_CCtoGL,MATCH(H1264,lst_CCforGL,0)),""))</f>
        <v/>
      </c>
      <c r="L1264" s="10">
        <f>IF($BI1264="","",IF($B1264="Onsite",INDEX(tbl_Onsite[PO / Reference],$BI1264),IF($B1264="Production",INDEX(tbl_Production[Current RMS No],$BI1264),INDEX(tbl_Consulting[Qwilr Quote],$BI1264)))&amp;"")</f>
        <v/>
      </c>
      <c r="M1264" s="10">
        <f>IF($BI1264="","",IF($B1264="Onsite",INDEX(tbl_Onsite[Notes],$BI1264),IF($B1264="Production",INDEX(tbl_Production[Notes],$BI1264),INDEX(tbl_Consulting[Notes],$BI1264)))&amp;"")</f>
        <v/>
      </c>
      <c r="N1264" s="11">
        <f>IF($BI1264="","",IF(IF($B1264="Onsite",INDEX(tbl_Onsite[Expected Revenue Ex GST],$BI1264),IF($B1264="Production",INDEX(tbl_Production[Expected Revenue Ex GST],$BI1264),INDEX(tbl_Consulting[Expected Revenue Ex GST],$BI1264)))="","",IF($B1264="Onsite",INDEX(tbl_Onsite[Expected Revenue Ex GST],$BI1264),IF($B1264="Production",INDEX(tbl_Production[Expected Revenue Ex GST],$BI1264),INDEX(tbl_Consulting[Expected Revenue Ex GST],$BI1264)))))</f>
        <v/>
      </c>
      <c r="O1264" s="11">
        <f>IF(AND($C1264="",NOT(COUNTA($S1264:$BB1264)&gt;0)),"",SUM(U1264,X1264,AA1264,AD1264,AG1264,AJ1264,AM1264,AP1264,AS1264,AV1264,AY1264,BB1264))</f>
        <v/>
      </c>
      <c r="P1264" s="11">
        <f>IF(O1264="","",N(N1264)-O1264)</f>
        <v/>
      </c>
      <c r="Q1264" s="10">
        <f>IF(O1264="","",IF($C1264="","Invoice on empty job row",IF(N1264="",IF(ROUND(O1264,2)=0,"No dept value","Invoiced - no dept value"),IF(ROUND(O1264,2)=0,"Not invoiced - to invoice",IF(ROUND(P1264,2)=0,"Agrees",IF(P1264&gt;0,"Dept higher - to invoice","Xero higher - check dept"))))))</f>
        <v/>
      </c>
      <c r="R1264" s="10">
        <f>IF(AND($C1264="",NOT(COUNTA($S1264:$BB1264)&gt;0),$BI1264&lt;&gt;""),"",MID(IF($BI1264="","; Row ID not found on the department sheet - a row was deleted","")&amp;IF(AND($C1264="",COUNTA($S1264:$BB1264)&gt;0),"; Invoice entered but the department row has no job number","")&amp;IF(E1264="CHECK","; Job number not in the Xero job list","")&amp;IF(AND($C1264&lt;&gt;"",COUNTIF($C$7:$C$1506,$C1264)&gt;1),"; Job number on more than one row","")&amp;IF(AND($C1264&lt;&gt;"",H1264=""),"; Dept has not set a cost centre","")&amp;IF(AND($C1264&lt;&gt;"",J1264=""),"; Dept has not set a tax code","")&amp;IF(AND($C1264&lt;&gt;"",N1264=""),"; Dept has not entered an expected value","")&amp;IF((IF(OR(COUNTA(S1264:U1264)=0,AND(COUNTA(S1264:U1264)=3,ISNUMBER(U1264))),0,1)+IF(OR(COUNTA(V1264:X1264)=0,AND(COUNTA(V1264:X1264)=3,ISNUMBER(X1264))),0,1)+IF(OR(COUNTA(Y1264:AA1264)=0,AND(COUNTA(Y1264:AA1264)=3,ISNUMBER(AA1264))),0,1)+IF(OR(COUNTA(AB1264:AD1264)=0,AND(COUNTA(AB1264:AD1264)=3,ISNUMBER(AD1264))),0,1)+IF(OR(COUNTA(AE1264:AG1264)=0,AND(COUNTA(AE1264:AG1264)=3,ISNUMBER(AG1264))),0,1)+IF(OR(COUNTA(AH1264:AJ1264)=0,AND(COUNTA(AH1264:AJ1264)=3,ISNUMBER(AJ1264))),0,1)+IF(OR(COUNTA(AK1264:AM1264)=0,AND(COUNTA(AK1264:AM1264)=3,ISNUMBER(AM1264))),0,1)+IF(OR(COUNTA(AN1264:AP1264)=0,AND(COUNTA(AN1264:AP1264)=3,ISNUMBER(AP1264))),0,1)+IF(OR(COUNTA(AQ1264:AS1264)=0,AND(COUNTA(AQ1264:AS1264)=3,ISNUMBER(AS1264))),0,1)+IF(OR(COUNTA(AT1264:AV1264)=0,AND(COUNTA(AT1264:AV1264)=3,ISNUMBER(AV1264))),0,1)+IF(OR(COUNTA(AW1264:AY1264)=0,AND(COUNTA(AW1264:AY1264)=3,ISNUMBER(AY1264))),0,1)+IF(OR(COUNTA(AZ1264:BB1264)=0,AND(COUNTA(AZ1264:BB1264)=3,ISNUMBER(BB1264))),0,1))&gt;0,"; An invoice is incomplete (needs No, Date and a number in Ex GST)","")&amp;IF((IF(T1264="",0,IFERROR(--(EOMONTH(T1264,0)&lt;&gt;S$5),1))+IF(W1264="",0,IFERROR(--(EOMONTH(W1264,0)&lt;&gt;V$5),1))+IF(Z1264="",0,IFERROR(--(EOMONTH(Z1264,0)&lt;&gt;Y$5),1))+IF(AC1264="",0,IFERROR(--(EOMONTH(AC1264,0)&lt;&gt;AB$5),1))+IF(AF1264="",0,IFERROR(--(EOMONTH(AF1264,0)&lt;&gt;AE$5),1))+IF(AI1264="",0,IFERROR(--(EOMONTH(AI1264,0)&lt;&gt;AH$5),1))+IF(AL1264="",0,IFERROR(--(EOMONTH(AL1264,0)&lt;&gt;AK$5),1))+IF(AO1264="",0,IFERROR(--(EOMONTH(AO1264,0)&lt;&gt;AN$5),1))+IF(AR1264="",0,IFERROR(--(EOMONTH(AR1264,0)&lt;&gt;AQ$5),1))+IF(AU1264="",0,IFERROR(--(EOMONTH(AU1264,0)&lt;&gt;AT$5),1))+IF(AX1264="",0,IFERROR(--(EOMONTH(AX1264,0)&lt;&gt;AW$5),1))+IF(BA1264="",0,IFERROR(--(EOMONTH(BA1264,0)&lt;&gt;AZ$5),1)))&gt;0,"; An invoice date is not in the month it is typed under",""),3,500))</f>
        <v/>
      </c>
      <c r="S1264" s="12" t="n"/>
      <c r="T1264" s="13" t="n"/>
      <c r="U1264" s="14" t="n"/>
      <c r="V1264" s="12" t="n"/>
      <c r="W1264" s="13" t="n"/>
      <c r="X1264" s="14" t="n"/>
      <c r="Y1264" s="12" t="n"/>
      <c r="Z1264" s="13" t="n"/>
      <c r="AA1264" s="14" t="n"/>
      <c r="AB1264" s="12" t="n"/>
      <c r="AC1264" s="13" t="n"/>
      <c r="AD1264" s="14" t="n"/>
      <c r="AE1264" s="12" t="n"/>
      <c r="AF1264" s="13" t="n"/>
      <c r="AG1264" s="14" t="n"/>
      <c r="AH1264" s="12" t="n"/>
      <c r="AI1264" s="13" t="n"/>
      <c r="AJ1264" s="14" t="n"/>
      <c r="AK1264" s="12" t="n"/>
      <c r="AL1264" s="13" t="n"/>
      <c r="AM1264" s="14" t="n"/>
      <c r="AN1264" s="12" t="n"/>
      <c r="AO1264" s="13" t="n"/>
      <c r="AP1264" s="14" t="n"/>
      <c r="AQ1264" s="12" t="n"/>
      <c r="AR1264" s="13" t="n"/>
      <c r="AS1264" s="14" t="n"/>
      <c r="AT1264" s="12" t="n"/>
      <c r="AU1264" s="13" t="n"/>
      <c r="AV1264" s="14" t="n"/>
      <c r="AW1264" s="12" t="n"/>
      <c r="AX1264" s="13" t="n"/>
      <c r="AY1264" s="14" t="n"/>
      <c r="AZ1264" s="12" t="n"/>
      <c r="BA1264" s="13" t="n"/>
      <c r="BB1264" s="14" t="n"/>
      <c r="BC1264" s="11">
        <f>IF(O1264="","",IF(J1264="GST 10%",ROUND(O1264*set_GSTRate,2),0))</f>
        <v/>
      </c>
      <c r="BD1264" s="11">
        <f>IF(O1264="","",O1264+BC1264)</f>
        <v/>
      </c>
      <c r="BE1264" s="15">
        <f>IF(O1264="","",COUNTA(S1264,V1264,Y1264,AB1264,AE1264,AH1264,AK1264,AN1264,AQ1264,AT1264,AW1264,AZ1264))</f>
        <v/>
      </c>
      <c r="BF1264" s="16">
        <f>IF(COUNT(T1264,W1264,Z1264,AC1264,AF1264,AI1264,AL1264,AO1264,AR1264,AU1264,AX1264,BA1264)=0,"",MAX(T1264,W1264,Z1264,AC1264,AF1264,AI1264,AL1264,AO1264,AR1264,AU1264,AX1264,BA1264))</f>
        <v/>
      </c>
      <c r="BG1264" s="10">
        <f>MID(IF(S1264="","",", "&amp;S1264)&amp;IF(V1264="","",", "&amp;V1264)&amp;IF(Y1264="","",", "&amp;Y1264)&amp;IF(AB1264="","",", "&amp;AB1264)&amp;IF(AE1264="","",", "&amp;AE1264)&amp;IF(AH1264="","",", "&amp;AH1264)&amp;IF(AK1264="","",", "&amp;AK1264)&amp;IF(AN1264="","",", "&amp;AN1264)&amp;IF(AQ1264="","",", "&amp;AQ1264)&amp;IF(AT1264="","",", "&amp;AT1264)&amp;IF(AW1264="","",", "&amp;AW1264)&amp;IF(AZ1264="","",", "&amp;AZ1264),3,500)</f>
        <v/>
      </c>
      <c r="BH1264" s="12" t="n"/>
      <c r="BI1264" s="15">
        <f>IFERROR(MATCH($A1264,IF($B1264="Onsite",tbl_Onsite[Row ID],IF($B1264="Production",tbl_Production[Row ID],tbl_Consulting[Row ID])),0),"")</f>
        <v/>
      </c>
    </row>
    <row r="1265">
      <c r="A1265" s="10" t="inlineStr">
        <is>
          <t>CON-0259</t>
        </is>
      </c>
      <c r="B1265" s="10" t="inlineStr">
        <is>
          <t>Consulting</t>
        </is>
      </c>
      <c r="C1265" s="10">
        <f>IF($BI1265="","",IF($B1265="Onsite",INDEX(tbl_Onsite[Job Number],$BI1265),IF($B1265="Production",INDEX(tbl_Production[Job Number],$BI1265),INDEX(tbl_Consulting[Job Number],$BI1265)))&amp;"")</f>
        <v/>
      </c>
      <c r="D1265" s="10">
        <f>IF($BI1265="","",IF($B1265="Onsite",INDEX(tbl_Onsite[Client],$BI1265),IF($B1265="Production",INDEX(tbl_Production[Client],$BI1265),INDEX(tbl_Consulting[Client],$BI1265)))&amp;"")</f>
        <v/>
      </c>
      <c r="E1265" s="10">
        <f>IF($C1265="","",IF(COUNTIF(lst_Jobs,$C1265)&gt;0,"OK","CHECK"))</f>
        <v/>
      </c>
      <c r="F1265" s="10">
        <f>IF($C1265="","",IFERROR(INDEX(lst_JobName,MATCH($C1265,lst_Jobs,0)),""))</f>
        <v/>
      </c>
      <c r="G1265" s="10">
        <f>IF($BI1265="","",IF($B1265="Onsite",INDEX(tbl_Onsite[Job Description],$BI1265),IF($B1265="Production",INDEX(tbl_Production[Job Description],$BI1265),INDEX(tbl_Consulting[Job Description],$BI1265)))&amp;"")</f>
        <v/>
      </c>
      <c r="H1265" s="10">
        <f>IF($BI1265="","",IF($B1265="Onsite",INDEX(tbl_Onsite[Cost Centre],$BI1265),IF($B1265="Production",INDEX(tbl_Production[Cost Centre],$BI1265),INDEX(tbl_Consulting[Cost Centre],$BI1265)))&amp;"")</f>
        <v/>
      </c>
      <c r="I1265" s="10">
        <f>IF($BI1265="","",IF($B1265="Onsite",INDEX(tbl_Onsite[Invoice Type],$BI1265),IF($B1265="Production",INDEX(tbl_Production[Invoice Type],$BI1265),INDEX(tbl_Consulting[Invoice Type],$BI1265)))&amp;"")</f>
        <v/>
      </c>
      <c r="J1265" s="10">
        <f>IF($BI1265="","",IF($B1265="Onsite",INDEX(tbl_Onsite[Tax Code],$BI1265),IF($B1265="Production",INDEX(tbl_Production[Tax Code],$BI1265),INDEX(tbl_Consulting[Tax Code],$BI1265)))&amp;"")</f>
        <v/>
      </c>
      <c r="K1265" s="10">
        <f>IF(H1265="","",IFERROR(INDEX(lst_CCtoGL,MATCH(H1265,lst_CCforGL,0)),""))</f>
        <v/>
      </c>
      <c r="L1265" s="10">
        <f>IF($BI1265="","",IF($B1265="Onsite",INDEX(tbl_Onsite[PO / Reference],$BI1265),IF($B1265="Production",INDEX(tbl_Production[Current RMS No],$BI1265),INDEX(tbl_Consulting[Qwilr Quote],$BI1265)))&amp;"")</f>
        <v/>
      </c>
      <c r="M1265" s="10">
        <f>IF($BI1265="","",IF($B1265="Onsite",INDEX(tbl_Onsite[Notes],$BI1265),IF($B1265="Production",INDEX(tbl_Production[Notes],$BI1265),INDEX(tbl_Consulting[Notes],$BI1265)))&amp;"")</f>
        <v/>
      </c>
      <c r="N1265" s="11">
        <f>IF($BI1265="","",IF(IF($B1265="Onsite",INDEX(tbl_Onsite[Expected Revenue Ex GST],$BI1265),IF($B1265="Production",INDEX(tbl_Production[Expected Revenue Ex GST],$BI1265),INDEX(tbl_Consulting[Expected Revenue Ex GST],$BI1265)))="","",IF($B1265="Onsite",INDEX(tbl_Onsite[Expected Revenue Ex GST],$BI1265),IF($B1265="Production",INDEX(tbl_Production[Expected Revenue Ex GST],$BI1265),INDEX(tbl_Consulting[Expected Revenue Ex GST],$BI1265)))))</f>
        <v/>
      </c>
      <c r="O1265" s="11">
        <f>IF(AND($C1265="",NOT(COUNTA($S1265:$BB1265)&gt;0)),"",SUM(U1265,X1265,AA1265,AD1265,AG1265,AJ1265,AM1265,AP1265,AS1265,AV1265,AY1265,BB1265))</f>
        <v/>
      </c>
      <c r="P1265" s="11">
        <f>IF(O1265="","",N(N1265)-O1265)</f>
        <v/>
      </c>
      <c r="Q1265" s="10">
        <f>IF(O1265="","",IF($C1265="","Invoice on empty job row",IF(N1265="",IF(ROUND(O1265,2)=0,"No dept value","Invoiced - no dept value"),IF(ROUND(O1265,2)=0,"Not invoiced - to invoice",IF(ROUND(P1265,2)=0,"Agrees",IF(P1265&gt;0,"Dept higher - to invoice","Xero higher - check dept"))))))</f>
        <v/>
      </c>
      <c r="R1265" s="10">
        <f>IF(AND($C1265="",NOT(COUNTA($S1265:$BB1265)&gt;0),$BI1265&lt;&gt;""),"",MID(IF($BI1265="","; Row ID not found on the department sheet - a row was deleted","")&amp;IF(AND($C1265="",COUNTA($S1265:$BB1265)&gt;0),"; Invoice entered but the department row has no job number","")&amp;IF(E1265="CHECK","; Job number not in the Xero job list","")&amp;IF(AND($C1265&lt;&gt;"",COUNTIF($C$7:$C$1506,$C1265)&gt;1),"; Job number on more than one row","")&amp;IF(AND($C1265&lt;&gt;"",H1265=""),"; Dept has not set a cost centre","")&amp;IF(AND($C1265&lt;&gt;"",J1265=""),"; Dept has not set a tax code","")&amp;IF(AND($C1265&lt;&gt;"",N1265=""),"; Dept has not entered an expected value","")&amp;IF((IF(OR(COUNTA(S1265:U1265)=0,AND(COUNTA(S1265:U1265)=3,ISNUMBER(U1265))),0,1)+IF(OR(COUNTA(V1265:X1265)=0,AND(COUNTA(V1265:X1265)=3,ISNUMBER(X1265))),0,1)+IF(OR(COUNTA(Y1265:AA1265)=0,AND(COUNTA(Y1265:AA1265)=3,ISNUMBER(AA1265))),0,1)+IF(OR(COUNTA(AB1265:AD1265)=0,AND(COUNTA(AB1265:AD1265)=3,ISNUMBER(AD1265))),0,1)+IF(OR(COUNTA(AE1265:AG1265)=0,AND(COUNTA(AE1265:AG1265)=3,ISNUMBER(AG1265))),0,1)+IF(OR(COUNTA(AH1265:AJ1265)=0,AND(COUNTA(AH1265:AJ1265)=3,ISNUMBER(AJ1265))),0,1)+IF(OR(COUNTA(AK1265:AM1265)=0,AND(COUNTA(AK1265:AM1265)=3,ISNUMBER(AM1265))),0,1)+IF(OR(COUNTA(AN1265:AP1265)=0,AND(COUNTA(AN1265:AP1265)=3,ISNUMBER(AP1265))),0,1)+IF(OR(COUNTA(AQ1265:AS1265)=0,AND(COUNTA(AQ1265:AS1265)=3,ISNUMBER(AS1265))),0,1)+IF(OR(COUNTA(AT1265:AV1265)=0,AND(COUNTA(AT1265:AV1265)=3,ISNUMBER(AV1265))),0,1)+IF(OR(COUNTA(AW1265:AY1265)=0,AND(COUNTA(AW1265:AY1265)=3,ISNUMBER(AY1265))),0,1)+IF(OR(COUNTA(AZ1265:BB1265)=0,AND(COUNTA(AZ1265:BB1265)=3,ISNUMBER(BB1265))),0,1))&gt;0,"; An invoice is incomplete (needs No, Date and a number in Ex GST)","")&amp;IF((IF(T1265="",0,IFERROR(--(EOMONTH(T1265,0)&lt;&gt;S$5),1))+IF(W1265="",0,IFERROR(--(EOMONTH(W1265,0)&lt;&gt;V$5),1))+IF(Z1265="",0,IFERROR(--(EOMONTH(Z1265,0)&lt;&gt;Y$5),1))+IF(AC1265="",0,IFERROR(--(EOMONTH(AC1265,0)&lt;&gt;AB$5),1))+IF(AF1265="",0,IFERROR(--(EOMONTH(AF1265,0)&lt;&gt;AE$5),1))+IF(AI1265="",0,IFERROR(--(EOMONTH(AI1265,0)&lt;&gt;AH$5),1))+IF(AL1265="",0,IFERROR(--(EOMONTH(AL1265,0)&lt;&gt;AK$5),1))+IF(AO1265="",0,IFERROR(--(EOMONTH(AO1265,0)&lt;&gt;AN$5),1))+IF(AR1265="",0,IFERROR(--(EOMONTH(AR1265,0)&lt;&gt;AQ$5),1))+IF(AU1265="",0,IFERROR(--(EOMONTH(AU1265,0)&lt;&gt;AT$5),1))+IF(AX1265="",0,IFERROR(--(EOMONTH(AX1265,0)&lt;&gt;AW$5),1))+IF(BA1265="",0,IFERROR(--(EOMONTH(BA1265,0)&lt;&gt;AZ$5),1)))&gt;0,"; An invoice date is not in the month it is typed under",""),3,500))</f>
        <v/>
      </c>
      <c r="S1265" s="12" t="n"/>
      <c r="T1265" s="13" t="n"/>
      <c r="U1265" s="14" t="n"/>
      <c r="V1265" s="12" t="n"/>
      <c r="W1265" s="13" t="n"/>
      <c r="X1265" s="14" t="n"/>
      <c r="Y1265" s="12" t="n"/>
      <c r="Z1265" s="13" t="n"/>
      <c r="AA1265" s="14" t="n"/>
      <c r="AB1265" s="12" t="n"/>
      <c r="AC1265" s="13" t="n"/>
      <c r="AD1265" s="14" t="n"/>
      <c r="AE1265" s="12" t="n"/>
      <c r="AF1265" s="13" t="n"/>
      <c r="AG1265" s="14" t="n"/>
      <c r="AH1265" s="12" t="n"/>
      <c r="AI1265" s="13" t="n"/>
      <c r="AJ1265" s="14" t="n"/>
      <c r="AK1265" s="12" t="n"/>
      <c r="AL1265" s="13" t="n"/>
      <c r="AM1265" s="14" t="n"/>
      <c r="AN1265" s="12" t="n"/>
      <c r="AO1265" s="13" t="n"/>
      <c r="AP1265" s="14" t="n"/>
      <c r="AQ1265" s="12" t="n"/>
      <c r="AR1265" s="13" t="n"/>
      <c r="AS1265" s="14" t="n"/>
      <c r="AT1265" s="12" t="n"/>
      <c r="AU1265" s="13" t="n"/>
      <c r="AV1265" s="14" t="n"/>
      <c r="AW1265" s="12" t="n"/>
      <c r="AX1265" s="13" t="n"/>
      <c r="AY1265" s="14" t="n"/>
      <c r="AZ1265" s="12" t="n"/>
      <c r="BA1265" s="13" t="n"/>
      <c r="BB1265" s="14" t="n"/>
      <c r="BC1265" s="11">
        <f>IF(O1265="","",IF(J1265="GST 10%",ROUND(O1265*set_GSTRate,2),0))</f>
        <v/>
      </c>
      <c r="BD1265" s="11">
        <f>IF(O1265="","",O1265+BC1265)</f>
        <v/>
      </c>
      <c r="BE1265" s="15">
        <f>IF(O1265="","",COUNTA(S1265,V1265,Y1265,AB1265,AE1265,AH1265,AK1265,AN1265,AQ1265,AT1265,AW1265,AZ1265))</f>
        <v/>
      </c>
      <c r="BF1265" s="16">
        <f>IF(COUNT(T1265,W1265,Z1265,AC1265,AF1265,AI1265,AL1265,AO1265,AR1265,AU1265,AX1265,BA1265)=0,"",MAX(T1265,W1265,Z1265,AC1265,AF1265,AI1265,AL1265,AO1265,AR1265,AU1265,AX1265,BA1265))</f>
        <v/>
      </c>
      <c r="BG1265" s="10">
        <f>MID(IF(S1265="","",", "&amp;S1265)&amp;IF(V1265="","",", "&amp;V1265)&amp;IF(Y1265="","",", "&amp;Y1265)&amp;IF(AB1265="","",", "&amp;AB1265)&amp;IF(AE1265="","",", "&amp;AE1265)&amp;IF(AH1265="","",", "&amp;AH1265)&amp;IF(AK1265="","",", "&amp;AK1265)&amp;IF(AN1265="","",", "&amp;AN1265)&amp;IF(AQ1265="","",", "&amp;AQ1265)&amp;IF(AT1265="","",", "&amp;AT1265)&amp;IF(AW1265="","",", "&amp;AW1265)&amp;IF(AZ1265="","",", "&amp;AZ1265),3,500)</f>
        <v/>
      </c>
      <c r="BH1265" s="12" t="n"/>
      <c r="BI1265" s="15">
        <f>IFERROR(MATCH($A1265,IF($B1265="Onsite",tbl_Onsite[Row ID],IF($B1265="Production",tbl_Production[Row ID],tbl_Consulting[Row ID])),0),"")</f>
        <v/>
      </c>
    </row>
    <row r="1266">
      <c r="A1266" s="10" t="inlineStr">
        <is>
          <t>CON-0260</t>
        </is>
      </c>
      <c r="B1266" s="10" t="inlineStr">
        <is>
          <t>Consulting</t>
        </is>
      </c>
      <c r="C1266" s="10">
        <f>IF($BI1266="","",IF($B1266="Onsite",INDEX(tbl_Onsite[Job Number],$BI1266),IF($B1266="Production",INDEX(tbl_Production[Job Number],$BI1266),INDEX(tbl_Consulting[Job Number],$BI1266)))&amp;"")</f>
        <v/>
      </c>
      <c r="D1266" s="10">
        <f>IF($BI1266="","",IF($B1266="Onsite",INDEX(tbl_Onsite[Client],$BI1266),IF($B1266="Production",INDEX(tbl_Production[Client],$BI1266),INDEX(tbl_Consulting[Client],$BI1266)))&amp;"")</f>
        <v/>
      </c>
      <c r="E1266" s="10">
        <f>IF($C1266="","",IF(COUNTIF(lst_Jobs,$C1266)&gt;0,"OK","CHECK"))</f>
        <v/>
      </c>
      <c r="F1266" s="10">
        <f>IF($C1266="","",IFERROR(INDEX(lst_JobName,MATCH($C1266,lst_Jobs,0)),""))</f>
        <v/>
      </c>
      <c r="G1266" s="10">
        <f>IF($BI1266="","",IF($B1266="Onsite",INDEX(tbl_Onsite[Job Description],$BI1266),IF($B1266="Production",INDEX(tbl_Production[Job Description],$BI1266),INDEX(tbl_Consulting[Job Description],$BI1266)))&amp;"")</f>
        <v/>
      </c>
      <c r="H1266" s="10">
        <f>IF($BI1266="","",IF($B1266="Onsite",INDEX(tbl_Onsite[Cost Centre],$BI1266),IF($B1266="Production",INDEX(tbl_Production[Cost Centre],$BI1266),INDEX(tbl_Consulting[Cost Centre],$BI1266)))&amp;"")</f>
        <v/>
      </c>
      <c r="I1266" s="10">
        <f>IF($BI1266="","",IF($B1266="Onsite",INDEX(tbl_Onsite[Invoice Type],$BI1266),IF($B1266="Production",INDEX(tbl_Production[Invoice Type],$BI1266),INDEX(tbl_Consulting[Invoice Type],$BI1266)))&amp;"")</f>
        <v/>
      </c>
      <c r="J1266" s="10">
        <f>IF($BI1266="","",IF($B1266="Onsite",INDEX(tbl_Onsite[Tax Code],$BI1266),IF($B1266="Production",INDEX(tbl_Production[Tax Code],$BI1266),INDEX(tbl_Consulting[Tax Code],$BI1266)))&amp;"")</f>
        <v/>
      </c>
      <c r="K1266" s="10">
        <f>IF(H1266="","",IFERROR(INDEX(lst_CCtoGL,MATCH(H1266,lst_CCforGL,0)),""))</f>
        <v/>
      </c>
      <c r="L1266" s="10">
        <f>IF($BI1266="","",IF($B1266="Onsite",INDEX(tbl_Onsite[PO / Reference],$BI1266),IF($B1266="Production",INDEX(tbl_Production[Current RMS No],$BI1266),INDEX(tbl_Consulting[Qwilr Quote],$BI1266)))&amp;"")</f>
        <v/>
      </c>
      <c r="M1266" s="10">
        <f>IF($BI1266="","",IF($B1266="Onsite",INDEX(tbl_Onsite[Notes],$BI1266),IF($B1266="Production",INDEX(tbl_Production[Notes],$BI1266),INDEX(tbl_Consulting[Notes],$BI1266)))&amp;"")</f>
        <v/>
      </c>
      <c r="N1266" s="11">
        <f>IF($BI1266="","",IF(IF($B1266="Onsite",INDEX(tbl_Onsite[Expected Revenue Ex GST],$BI1266),IF($B1266="Production",INDEX(tbl_Production[Expected Revenue Ex GST],$BI1266),INDEX(tbl_Consulting[Expected Revenue Ex GST],$BI1266)))="","",IF($B1266="Onsite",INDEX(tbl_Onsite[Expected Revenue Ex GST],$BI1266),IF($B1266="Production",INDEX(tbl_Production[Expected Revenue Ex GST],$BI1266),INDEX(tbl_Consulting[Expected Revenue Ex GST],$BI1266)))))</f>
        <v/>
      </c>
      <c r="O1266" s="11">
        <f>IF(AND($C1266="",NOT(COUNTA($S1266:$BB1266)&gt;0)),"",SUM(U1266,X1266,AA1266,AD1266,AG1266,AJ1266,AM1266,AP1266,AS1266,AV1266,AY1266,BB1266))</f>
        <v/>
      </c>
      <c r="P1266" s="11">
        <f>IF(O1266="","",N(N1266)-O1266)</f>
        <v/>
      </c>
      <c r="Q1266" s="10">
        <f>IF(O1266="","",IF($C1266="","Invoice on empty job row",IF(N1266="",IF(ROUND(O1266,2)=0,"No dept value","Invoiced - no dept value"),IF(ROUND(O1266,2)=0,"Not invoiced - to invoice",IF(ROUND(P1266,2)=0,"Agrees",IF(P1266&gt;0,"Dept higher - to invoice","Xero higher - check dept"))))))</f>
        <v/>
      </c>
      <c r="R1266" s="10">
        <f>IF(AND($C1266="",NOT(COUNTA($S1266:$BB1266)&gt;0),$BI1266&lt;&gt;""),"",MID(IF($BI1266="","; Row ID not found on the department sheet - a row was deleted","")&amp;IF(AND($C1266="",COUNTA($S1266:$BB1266)&gt;0),"; Invoice entered but the department row has no job number","")&amp;IF(E1266="CHECK","; Job number not in the Xero job list","")&amp;IF(AND($C1266&lt;&gt;"",COUNTIF($C$7:$C$1506,$C1266)&gt;1),"; Job number on more than one row","")&amp;IF(AND($C1266&lt;&gt;"",H1266=""),"; Dept has not set a cost centre","")&amp;IF(AND($C1266&lt;&gt;"",J1266=""),"; Dept has not set a tax code","")&amp;IF(AND($C1266&lt;&gt;"",N1266=""),"; Dept has not entered an expected value","")&amp;IF((IF(OR(COUNTA(S1266:U1266)=0,AND(COUNTA(S1266:U1266)=3,ISNUMBER(U1266))),0,1)+IF(OR(COUNTA(V1266:X1266)=0,AND(COUNTA(V1266:X1266)=3,ISNUMBER(X1266))),0,1)+IF(OR(COUNTA(Y1266:AA1266)=0,AND(COUNTA(Y1266:AA1266)=3,ISNUMBER(AA1266))),0,1)+IF(OR(COUNTA(AB1266:AD1266)=0,AND(COUNTA(AB1266:AD1266)=3,ISNUMBER(AD1266))),0,1)+IF(OR(COUNTA(AE1266:AG1266)=0,AND(COUNTA(AE1266:AG1266)=3,ISNUMBER(AG1266))),0,1)+IF(OR(COUNTA(AH1266:AJ1266)=0,AND(COUNTA(AH1266:AJ1266)=3,ISNUMBER(AJ1266))),0,1)+IF(OR(COUNTA(AK1266:AM1266)=0,AND(COUNTA(AK1266:AM1266)=3,ISNUMBER(AM1266))),0,1)+IF(OR(COUNTA(AN1266:AP1266)=0,AND(COUNTA(AN1266:AP1266)=3,ISNUMBER(AP1266))),0,1)+IF(OR(COUNTA(AQ1266:AS1266)=0,AND(COUNTA(AQ1266:AS1266)=3,ISNUMBER(AS1266))),0,1)+IF(OR(COUNTA(AT1266:AV1266)=0,AND(COUNTA(AT1266:AV1266)=3,ISNUMBER(AV1266))),0,1)+IF(OR(COUNTA(AW1266:AY1266)=0,AND(COUNTA(AW1266:AY1266)=3,ISNUMBER(AY1266))),0,1)+IF(OR(COUNTA(AZ1266:BB1266)=0,AND(COUNTA(AZ1266:BB1266)=3,ISNUMBER(BB1266))),0,1))&gt;0,"; An invoice is incomplete (needs No, Date and a number in Ex GST)","")&amp;IF((IF(T1266="",0,IFERROR(--(EOMONTH(T1266,0)&lt;&gt;S$5),1))+IF(W1266="",0,IFERROR(--(EOMONTH(W1266,0)&lt;&gt;V$5),1))+IF(Z1266="",0,IFERROR(--(EOMONTH(Z1266,0)&lt;&gt;Y$5),1))+IF(AC1266="",0,IFERROR(--(EOMONTH(AC1266,0)&lt;&gt;AB$5),1))+IF(AF1266="",0,IFERROR(--(EOMONTH(AF1266,0)&lt;&gt;AE$5),1))+IF(AI1266="",0,IFERROR(--(EOMONTH(AI1266,0)&lt;&gt;AH$5),1))+IF(AL1266="",0,IFERROR(--(EOMONTH(AL1266,0)&lt;&gt;AK$5),1))+IF(AO1266="",0,IFERROR(--(EOMONTH(AO1266,0)&lt;&gt;AN$5),1))+IF(AR1266="",0,IFERROR(--(EOMONTH(AR1266,0)&lt;&gt;AQ$5),1))+IF(AU1266="",0,IFERROR(--(EOMONTH(AU1266,0)&lt;&gt;AT$5),1))+IF(AX1266="",0,IFERROR(--(EOMONTH(AX1266,0)&lt;&gt;AW$5),1))+IF(BA1266="",0,IFERROR(--(EOMONTH(BA1266,0)&lt;&gt;AZ$5),1)))&gt;0,"; An invoice date is not in the month it is typed under",""),3,500))</f>
        <v/>
      </c>
      <c r="S1266" s="12" t="n"/>
      <c r="T1266" s="13" t="n"/>
      <c r="U1266" s="14" t="n"/>
      <c r="V1266" s="12" t="n"/>
      <c r="W1266" s="13" t="n"/>
      <c r="X1266" s="14" t="n"/>
      <c r="Y1266" s="12" t="n"/>
      <c r="Z1266" s="13" t="n"/>
      <c r="AA1266" s="14" t="n"/>
      <c r="AB1266" s="12" t="n"/>
      <c r="AC1266" s="13" t="n"/>
      <c r="AD1266" s="14" t="n"/>
      <c r="AE1266" s="12" t="n"/>
      <c r="AF1266" s="13" t="n"/>
      <c r="AG1266" s="14" t="n"/>
      <c r="AH1266" s="12" t="n"/>
      <c r="AI1266" s="13" t="n"/>
      <c r="AJ1266" s="14" t="n"/>
      <c r="AK1266" s="12" t="n"/>
      <c r="AL1266" s="13" t="n"/>
      <c r="AM1266" s="14" t="n"/>
      <c r="AN1266" s="12" t="n"/>
      <c r="AO1266" s="13" t="n"/>
      <c r="AP1266" s="14" t="n"/>
      <c r="AQ1266" s="12" t="n"/>
      <c r="AR1266" s="13" t="n"/>
      <c r="AS1266" s="14" t="n"/>
      <c r="AT1266" s="12" t="n"/>
      <c r="AU1266" s="13" t="n"/>
      <c r="AV1266" s="14" t="n"/>
      <c r="AW1266" s="12" t="n"/>
      <c r="AX1266" s="13" t="n"/>
      <c r="AY1266" s="14" t="n"/>
      <c r="AZ1266" s="12" t="n"/>
      <c r="BA1266" s="13" t="n"/>
      <c r="BB1266" s="14" t="n"/>
      <c r="BC1266" s="11">
        <f>IF(O1266="","",IF(J1266="GST 10%",ROUND(O1266*set_GSTRate,2),0))</f>
        <v/>
      </c>
      <c r="BD1266" s="11">
        <f>IF(O1266="","",O1266+BC1266)</f>
        <v/>
      </c>
      <c r="BE1266" s="15">
        <f>IF(O1266="","",COUNTA(S1266,V1266,Y1266,AB1266,AE1266,AH1266,AK1266,AN1266,AQ1266,AT1266,AW1266,AZ1266))</f>
        <v/>
      </c>
      <c r="BF1266" s="16">
        <f>IF(COUNT(T1266,W1266,Z1266,AC1266,AF1266,AI1266,AL1266,AO1266,AR1266,AU1266,AX1266,BA1266)=0,"",MAX(T1266,W1266,Z1266,AC1266,AF1266,AI1266,AL1266,AO1266,AR1266,AU1266,AX1266,BA1266))</f>
        <v/>
      </c>
      <c r="BG1266" s="10">
        <f>MID(IF(S1266="","",", "&amp;S1266)&amp;IF(V1266="","",", "&amp;V1266)&amp;IF(Y1266="","",", "&amp;Y1266)&amp;IF(AB1266="","",", "&amp;AB1266)&amp;IF(AE1266="","",", "&amp;AE1266)&amp;IF(AH1266="","",", "&amp;AH1266)&amp;IF(AK1266="","",", "&amp;AK1266)&amp;IF(AN1266="","",", "&amp;AN1266)&amp;IF(AQ1266="","",", "&amp;AQ1266)&amp;IF(AT1266="","",", "&amp;AT1266)&amp;IF(AW1266="","",", "&amp;AW1266)&amp;IF(AZ1266="","",", "&amp;AZ1266),3,500)</f>
        <v/>
      </c>
      <c r="BH1266" s="12" t="n"/>
      <c r="BI1266" s="15">
        <f>IFERROR(MATCH($A1266,IF($B1266="Onsite",tbl_Onsite[Row ID],IF($B1266="Production",tbl_Production[Row ID],tbl_Consulting[Row ID])),0),"")</f>
        <v/>
      </c>
    </row>
    <row r="1267">
      <c r="A1267" s="10" t="inlineStr">
        <is>
          <t>CON-0261</t>
        </is>
      </c>
      <c r="B1267" s="10" t="inlineStr">
        <is>
          <t>Consulting</t>
        </is>
      </c>
      <c r="C1267" s="10">
        <f>IF($BI1267="","",IF($B1267="Onsite",INDEX(tbl_Onsite[Job Number],$BI1267),IF($B1267="Production",INDEX(tbl_Production[Job Number],$BI1267),INDEX(tbl_Consulting[Job Number],$BI1267)))&amp;"")</f>
        <v/>
      </c>
      <c r="D1267" s="10">
        <f>IF($BI1267="","",IF($B1267="Onsite",INDEX(tbl_Onsite[Client],$BI1267),IF($B1267="Production",INDEX(tbl_Production[Client],$BI1267),INDEX(tbl_Consulting[Client],$BI1267)))&amp;"")</f>
        <v/>
      </c>
      <c r="E1267" s="10">
        <f>IF($C1267="","",IF(COUNTIF(lst_Jobs,$C1267)&gt;0,"OK","CHECK"))</f>
        <v/>
      </c>
      <c r="F1267" s="10">
        <f>IF($C1267="","",IFERROR(INDEX(lst_JobName,MATCH($C1267,lst_Jobs,0)),""))</f>
        <v/>
      </c>
      <c r="G1267" s="10">
        <f>IF($BI1267="","",IF($B1267="Onsite",INDEX(tbl_Onsite[Job Description],$BI1267),IF($B1267="Production",INDEX(tbl_Production[Job Description],$BI1267),INDEX(tbl_Consulting[Job Description],$BI1267)))&amp;"")</f>
        <v/>
      </c>
      <c r="H1267" s="10">
        <f>IF($BI1267="","",IF($B1267="Onsite",INDEX(tbl_Onsite[Cost Centre],$BI1267),IF($B1267="Production",INDEX(tbl_Production[Cost Centre],$BI1267),INDEX(tbl_Consulting[Cost Centre],$BI1267)))&amp;"")</f>
        <v/>
      </c>
      <c r="I1267" s="10">
        <f>IF($BI1267="","",IF($B1267="Onsite",INDEX(tbl_Onsite[Invoice Type],$BI1267),IF($B1267="Production",INDEX(tbl_Production[Invoice Type],$BI1267),INDEX(tbl_Consulting[Invoice Type],$BI1267)))&amp;"")</f>
        <v/>
      </c>
      <c r="J1267" s="10">
        <f>IF($BI1267="","",IF($B1267="Onsite",INDEX(tbl_Onsite[Tax Code],$BI1267),IF($B1267="Production",INDEX(tbl_Production[Tax Code],$BI1267),INDEX(tbl_Consulting[Tax Code],$BI1267)))&amp;"")</f>
        <v/>
      </c>
      <c r="K1267" s="10">
        <f>IF(H1267="","",IFERROR(INDEX(lst_CCtoGL,MATCH(H1267,lst_CCforGL,0)),""))</f>
        <v/>
      </c>
      <c r="L1267" s="10">
        <f>IF($BI1267="","",IF($B1267="Onsite",INDEX(tbl_Onsite[PO / Reference],$BI1267),IF($B1267="Production",INDEX(tbl_Production[Current RMS No],$BI1267),INDEX(tbl_Consulting[Qwilr Quote],$BI1267)))&amp;"")</f>
        <v/>
      </c>
      <c r="M1267" s="10">
        <f>IF($BI1267="","",IF($B1267="Onsite",INDEX(tbl_Onsite[Notes],$BI1267),IF($B1267="Production",INDEX(tbl_Production[Notes],$BI1267),INDEX(tbl_Consulting[Notes],$BI1267)))&amp;"")</f>
        <v/>
      </c>
      <c r="N1267" s="11">
        <f>IF($BI1267="","",IF(IF($B1267="Onsite",INDEX(tbl_Onsite[Expected Revenue Ex GST],$BI1267),IF($B1267="Production",INDEX(tbl_Production[Expected Revenue Ex GST],$BI1267),INDEX(tbl_Consulting[Expected Revenue Ex GST],$BI1267)))="","",IF($B1267="Onsite",INDEX(tbl_Onsite[Expected Revenue Ex GST],$BI1267),IF($B1267="Production",INDEX(tbl_Production[Expected Revenue Ex GST],$BI1267),INDEX(tbl_Consulting[Expected Revenue Ex GST],$BI1267)))))</f>
        <v/>
      </c>
      <c r="O1267" s="11">
        <f>IF(AND($C1267="",NOT(COUNTA($S1267:$BB1267)&gt;0)),"",SUM(U1267,X1267,AA1267,AD1267,AG1267,AJ1267,AM1267,AP1267,AS1267,AV1267,AY1267,BB1267))</f>
        <v/>
      </c>
      <c r="P1267" s="11">
        <f>IF(O1267="","",N(N1267)-O1267)</f>
        <v/>
      </c>
      <c r="Q1267" s="10">
        <f>IF(O1267="","",IF($C1267="","Invoice on empty job row",IF(N1267="",IF(ROUND(O1267,2)=0,"No dept value","Invoiced - no dept value"),IF(ROUND(O1267,2)=0,"Not invoiced - to invoice",IF(ROUND(P1267,2)=0,"Agrees",IF(P1267&gt;0,"Dept higher - to invoice","Xero higher - check dept"))))))</f>
        <v/>
      </c>
      <c r="R1267" s="10">
        <f>IF(AND($C1267="",NOT(COUNTA($S1267:$BB1267)&gt;0),$BI1267&lt;&gt;""),"",MID(IF($BI1267="","; Row ID not found on the department sheet - a row was deleted","")&amp;IF(AND($C1267="",COUNTA($S1267:$BB1267)&gt;0),"; Invoice entered but the department row has no job number","")&amp;IF(E1267="CHECK","; Job number not in the Xero job list","")&amp;IF(AND($C1267&lt;&gt;"",COUNTIF($C$7:$C$1506,$C1267)&gt;1),"; Job number on more than one row","")&amp;IF(AND($C1267&lt;&gt;"",H1267=""),"; Dept has not set a cost centre","")&amp;IF(AND($C1267&lt;&gt;"",J1267=""),"; Dept has not set a tax code","")&amp;IF(AND($C1267&lt;&gt;"",N1267=""),"; Dept has not entered an expected value","")&amp;IF((IF(OR(COUNTA(S1267:U1267)=0,AND(COUNTA(S1267:U1267)=3,ISNUMBER(U1267))),0,1)+IF(OR(COUNTA(V1267:X1267)=0,AND(COUNTA(V1267:X1267)=3,ISNUMBER(X1267))),0,1)+IF(OR(COUNTA(Y1267:AA1267)=0,AND(COUNTA(Y1267:AA1267)=3,ISNUMBER(AA1267))),0,1)+IF(OR(COUNTA(AB1267:AD1267)=0,AND(COUNTA(AB1267:AD1267)=3,ISNUMBER(AD1267))),0,1)+IF(OR(COUNTA(AE1267:AG1267)=0,AND(COUNTA(AE1267:AG1267)=3,ISNUMBER(AG1267))),0,1)+IF(OR(COUNTA(AH1267:AJ1267)=0,AND(COUNTA(AH1267:AJ1267)=3,ISNUMBER(AJ1267))),0,1)+IF(OR(COUNTA(AK1267:AM1267)=0,AND(COUNTA(AK1267:AM1267)=3,ISNUMBER(AM1267))),0,1)+IF(OR(COUNTA(AN1267:AP1267)=0,AND(COUNTA(AN1267:AP1267)=3,ISNUMBER(AP1267))),0,1)+IF(OR(COUNTA(AQ1267:AS1267)=0,AND(COUNTA(AQ1267:AS1267)=3,ISNUMBER(AS1267))),0,1)+IF(OR(COUNTA(AT1267:AV1267)=0,AND(COUNTA(AT1267:AV1267)=3,ISNUMBER(AV1267))),0,1)+IF(OR(COUNTA(AW1267:AY1267)=0,AND(COUNTA(AW1267:AY1267)=3,ISNUMBER(AY1267))),0,1)+IF(OR(COUNTA(AZ1267:BB1267)=0,AND(COUNTA(AZ1267:BB1267)=3,ISNUMBER(BB1267))),0,1))&gt;0,"; An invoice is incomplete (needs No, Date and a number in Ex GST)","")&amp;IF((IF(T1267="",0,IFERROR(--(EOMONTH(T1267,0)&lt;&gt;S$5),1))+IF(W1267="",0,IFERROR(--(EOMONTH(W1267,0)&lt;&gt;V$5),1))+IF(Z1267="",0,IFERROR(--(EOMONTH(Z1267,0)&lt;&gt;Y$5),1))+IF(AC1267="",0,IFERROR(--(EOMONTH(AC1267,0)&lt;&gt;AB$5),1))+IF(AF1267="",0,IFERROR(--(EOMONTH(AF1267,0)&lt;&gt;AE$5),1))+IF(AI1267="",0,IFERROR(--(EOMONTH(AI1267,0)&lt;&gt;AH$5),1))+IF(AL1267="",0,IFERROR(--(EOMONTH(AL1267,0)&lt;&gt;AK$5),1))+IF(AO1267="",0,IFERROR(--(EOMONTH(AO1267,0)&lt;&gt;AN$5),1))+IF(AR1267="",0,IFERROR(--(EOMONTH(AR1267,0)&lt;&gt;AQ$5),1))+IF(AU1267="",0,IFERROR(--(EOMONTH(AU1267,0)&lt;&gt;AT$5),1))+IF(AX1267="",0,IFERROR(--(EOMONTH(AX1267,0)&lt;&gt;AW$5),1))+IF(BA1267="",0,IFERROR(--(EOMONTH(BA1267,0)&lt;&gt;AZ$5),1)))&gt;0,"; An invoice date is not in the month it is typed under",""),3,500))</f>
        <v/>
      </c>
      <c r="S1267" s="12" t="n"/>
      <c r="T1267" s="13" t="n"/>
      <c r="U1267" s="14" t="n"/>
      <c r="V1267" s="12" t="n"/>
      <c r="W1267" s="13" t="n"/>
      <c r="X1267" s="14" t="n"/>
      <c r="Y1267" s="12" t="n"/>
      <c r="Z1267" s="13" t="n"/>
      <c r="AA1267" s="14" t="n"/>
      <c r="AB1267" s="12" t="n"/>
      <c r="AC1267" s="13" t="n"/>
      <c r="AD1267" s="14" t="n"/>
      <c r="AE1267" s="12" t="n"/>
      <c r="AF1267" s="13" t="n"/>
      <c r="AG1267" s="14" t="n"/>
      <c r="AH1267" s="12" t="n"/>
      <c r="AI1267" s="13" t="n"/>
      <c r="AJ1267" s="14" t="n"/>
      <c r="AK1267" s="12" t="n"/>
      <c r="AL1267" s="13" t="n"/>
      <c r="AM1267" s="14" t="n"/>
      <c r="AN1267" s="12" t="n"/>
      <c r="AO1267" s="13" t="n"/>
      <c r="AP1267" s="14" t="n"/>
      <c r="AQ1267" s="12" t="n"/>
      <c r="AR1267" s="13" t="n"/>
      <c r="AS1267" s="14" t="n"/>
      <c r="AT1267" s="12" t="n"/>
      <c r="AU1267" s="13" t="n"/>
      <c r="AV1267" s="14" t="n"/>
      <c r="AW1267" s="12" t="n"/>
      <c r="AX1267" s="13" t="n"/>
      <c r="AY1267" s="14" t="n"/>
      <c r="AZ1267" s="12" t="n"/>
      <c r="BA1267" s="13" t="n"/>
      <c r="BB1267" s="14" t="n"/>
      <c r="BC1267" s="11">
        <f>IF(O1267="","",IF(J1267="GST 10%",ROUND(O1267*set_GSTRate,2),0))</f>
        <v/>
      </c>
      <c r="BD1267" s="11">
        <f>IF(O1267="","",O1267+BC1267)</f>
        <v/>
      </c>
      <c r="BE1267" s="15">
        <f>IF(O1267="","",COUNTA(S1267,V1267,Y1267,AB1267,AE1267,AH1267,AK1267,AN1267,AQ1267,AT1267,AW1267,AZ1267))</f>
        <v/>
      </c>
      <c r="BF1267" s="16">
        <f>IF(COUNT(T1267,W1267,Z1267,AC1267,AF1267,AI1267,AL1267,AO1267,AR1267,AU1267,AX1267,BA1267)=0,"",MAX(T1267,W1267,Z1267,AC1267,AF1267,AI1267,AL1267,AO1267,AR1267,AU1267,AX1267,BA1267))</f>
        <v/>
      </c>
      <c r="BG1267" s="10">
        <f>MID(IF(S1267="","",", "&amp;S1267)&amp;IF(V1267="","",", "&amp;V1267)&amp;IF(Y1267="","",", "&amp;Y1267)&amp;IF(AB1267="","",", "&amp;AB1267)&amp;IF(AE1267="","",", "&amp;AE1267)&amp;IF(AH1267="","",", "&amp;AH1267)&amp;IF(AK1267="","",", "&amp;AK1267)&amp;IF(AN1267="","",", "&amp;AN1267)&amp;IF(AQ1267="","",", "&amp;AQ1267)&amp;IF(AT1267="","",", "&amp;AT1267)&amp;IF(AW1267="","",", "&amp;AW1267)&amp;IF(AZ1267="","",", "&amp;AZ1267),3,500)</f>
        <v/>
      </c>
      <c r="BH1267" s="12" t="n"/>
      <c r="BI1267" s="15">
        <f>IFERROR(MATCH($A1267,IF($B1267="Onsite",tbl_Onsite[Row ID],IF($B1267="Production",tbl_Production[Row ID],tbl_Consulting[Row ID])),0),"")</f>
        <v/>
      </c>
    </row>
    <row r="1268">
      <c r="A1268" s="10" t="inlineStr">
        <is>
          <t>CON-0262</t>
        </is>
      </c>
      <c r="B1268" s="10" t="inlineStr">
        <is>
          <t>Consulting</t>
        </is>
      </c>
      <c r="C1268" s="10">
        <f>IF($BI1268="","",IF($B1268="Onsite",INDEX(tbl_Onsite[Job Number],$BI1268),IF($B1268="Production",INDEX(tbl_Production[Job Number],$BI1268),INDEX(tbl_Consulting[Job Number],$BI1268)))&amp;"")</f>
        <v/>
      </c>
      <c r="D1268" s="10">
        <f>IF($BI1268="","",IF($B1268="Onsite",INDEX(tbl_Onsite[Client],$BI1268),IF($B1268="Production",INDEX(tbl_Production[Client],$BI1268),INDEX(tbl_Consulting[Client],$BI1268)))&amp;"")</f>
        <v/>
      </c>
      <c r="E1268" s="10">
        <f>IF($C1268="","",IF(COUNTIF(lst_Jobs,$C1268)&gt;0,"OK","CHECK"))</f>
        <v/>
      </c>
      <c r="F1268" s="10">
        <f>IF($C1268="","",IFERROR(INDEX(lst_JobName,MATCH($C1268,lst_Jobs,0)),""))</f>
        <v/>
      </c>
      <c r="G1268" s="10">
        <f>IF($BI1268="","",IF($B1268="Onsite",INDEX(tbl_Onsite[Job Description],$BI1268),IF($B1268="Production",INDEX(tbl_Production[Job Description],$BI1268),INDEX(tbl_Consulting[Job Description],$BI1268)))&amp;"")</f>
        <v/>
      </c>
      <c r="H1268" s="10">
        <f>IF($BI1268="","",IF($B1268="Onsite",INDEX(tbl_Onsite[Cost Centre],$BI1268),IF($B1268="Production",INDEX(tbl_Production[Cost Centre],$BI1268),INDEX(tbl_Consulting[Cost Centre],$BI1268)))&amp;"")</f>
        <v/>
      </c>
      <c r="I1268" s="10">
        <f>IF($BI1268="","",IF($B1268="Onsite",INDEX(tbl_Onsite[Invoice Type],$BI1268),IF($B1268="Production",INDEX(tbl_Production[Invoice Type],$BI1268),INDEX(tbl_Consulting[Invoice Type],$BI1268)))&amp;"")</f>
        <v/>
      </c>
      <c r="J1268" s="10">
        <f>IF($BI1268="","",IF($B1268="Onsite",INDEX(tbl_Onsite[Tax Code],$BI1268),IF($B1268="Production",INDEX(tbl_Production[Tax Code],$BI1268),INDEX(tbl_Consulting[Tax Code],$BI1268)))&amp;"")</f>
        <v/>
      </c>
      <c r="K1268" s="10">
        <f>IF(H1268="","",IFERROR(INDEX(lst_CCtoGL,MATCH(H1268,lst_CCforGL,0)),""))</f>
        <v/>
      </c>
      <c r="L1268" s="10">
        <f>IF($BI1268="","",IF($B1268="Onsite",INDEX(tbl_Onsite[PO / Reference],$BI1268),IF($B1268="Production",INDEX(tbl_Production[Current RMS No],$BI1268),INDEX(tbl_Consulting[Qwilr Quote],$BI1268)))&amp;"")</f>
        <v/>
      </c>
      <c r="M1268" s="10">
        <f>IF($BI1268="","",IF($B1268="Onsite",INDEX(tbl_Onsite[Notes],$BI1268),IF($B1268="Production",INDEX(tbl_Production[Notes],$BI1268),INDEX(tbl_Consulting[Notes],$BI1268)))&amp;"")</f>
        <v/>
      </c>
      <c r="N1268" s="11">
        <f>IF($BI1268="","",IF(IF($B1268="Onsite",INDEX(tbl_Onsite[Expected Revenue Ex GST],$BI1268),IF($B1268="Production",INDEX(tbl_Production[Expected Revenue Ex GST],$BI1268),INDEX(tbl_Consulting[Expected Revenue Ex GST],$BI1268)))="","",IF($B1268="Onsite",INDEX(tbl_Onsite[Expected Revenue Ex GST],$BI1268),IF($B1268="Production",INDEX(tbl_Production[Expected Revenue Ex GST],$BI1268),INDEX(tbl_Consulting[Expected Revenue Ex GST],$BI1268)))))</f>
        <v/>
      </c>
      <c r="O1268" s="11">
        <f>IF(AND($C1268="",NOT(COUNTA($S1268:$BB1268)&gt;0)),"",SUM(U1268,X1268,AA1268,AD1268,AG1268,AJ1268,AM1268,AP1268,AS1268,AV1268,AY1268,BB1268))</f>
        <v/>
      </c>
      <c r="P1268" s="11">
        <f>IF(O1268="","",N(N1268)-O1268)</f>
        <v/>
      </c>
      <c r="Q1268" s="10">
        <f>IF(O1268="","",IF($C1268="","Invoice on empty job row",IF(N1268="",IF(ROUND(O1268,2)=0,"No dept value","Invoiced - no dept value"),IF(ROUND(O1268,2)=0,"Not invoiced - to invoice",IF(ROUND(P1268,2)=0,"Agrees",IF(P1268&gt;0,"Dept higher - to invoice","Xero higher - check dept"))))))</f>
        <v/>
      </c>
      <c r="R1268" s="10">
        <f>IF(AND($C1268="",NOT(COUNTA($S1268:$BB1268)&gt;0),$BI1268&lt;&gt;""),"",MID(IF($BI1268="","; Row ID not found on the department sheet - a row was deleted","")&amp;IF(AND($C1268="",COUNTA($S1268:$BB1268)&gt;0),"; Invoice entered but the department row has no job number","")&amp;IF(E1268="CHECK","; Job number not in the Xero job list","")&amp;IF(AND($C1268&lt;&gt;"",COUNTIF($C$7:$C$1506,$C1268)&gt;1),"; Job number on more than one row","")&amp;IF(AND($C1268&lt;&gt;"",H1268=""),"; Dept has not set a cost centre","")&amp;IF(AND($C1268&lt;&gt;"",J1268=""),"; Dept has not set a tax code","")&amp;IF(AND($C1268&lt;&gt;"",N1268=""),"; Dept has not entered an expected value","")&amp;IF((IF(OR(COUNTA(S1268:U1268)=0,AND(COUNTA(S1268:U1268)=3,ISNUMBER(U1268))),0,1)+IF(OR(COUNTA(V1268:X1268)=0,AND(COUNTA(V1268:X1268)=3,ISNUMBER(X1268))),0,1)+IF(OR(COUNTA(Y1268:AA1268)=0,AND(COUNTA(Y1268:AA1268)=3,ISNUMBER(AA1268))),0,1)+IF(OR(COUNTA(AB1268:AD1268)=0,AND(COUNTA(AB1268:AD1268)=3,ISNUMBER(AD1268))),0,1)+IF(OR(COUNTA(AE1268:AG1268)=0,AND(COUNTA(AE1268:AG1268)=3,ISNUMBER(AG1268))),0,1)+IF(OR(COUNTA(AH1268:AJ1268)=0,AND(COUNTA(AH1268:AJ1268)=3,ISNUMBER(AJ1268))),0,1)+IF(OR(COUNTA(AK1268:AM1268)=0,AND(COUNTA(AK1268:AM1268)=3,ISNUMBER(AM1268))),0,1)+IF(OR(COUNTA(AN1268:AP1268)=0,AND(COUNTA(AN1268:AP1268)=3,ISNUMBER(AP1268))),0,1)+IF(OR(COUNTA(AQ1268:AS1268)=0,AND(COUNTA(AQ1268:AS1268)=3,ISNUMBER(AS1268))),0,1)+IF(OR(COUNTA(AT1268:AV1268)=0,AND(COUNTA(AT1268:AV1268)=3,ISNUMBER(AV1268))),0,1)+IF(OR(COUNTA(AW1268:AY1268)=0,AND(COUNTA(AW1268:AY1268)=3,ISNUMBER(AY1268))),0,1)+IF(OR(COUNTA(AZ1268:BB1268)=0,AND(COUNTA(AZ1268:BB1268)=3,ISNUMBER(BB1268))),0,1))&gt;0,"; An invoice is incomplete (needs No, Date and a number in Ex GST)","")&amp;IF((IF(T1268="",0,IFERROR(--(EOMONTH(T1268,0)&lt;&gt;S$5),1))+IF(W1268="",0,IFERROR(--(EOMONTH(W1268,0)&lt;&gt;V$5),1))+IF(Z1268="",0,IFERROR(--(EOMONTH(Z1268,0)&lt;&gt;Y$5),1))+IF(AC1268="",0,IFERROR(--(EOMONTH(AC1268,0)&lt;&gt;AB$5),1))+IF(AF1268="",0,IFERROR(--(EOMONTH(AF1268,0)&lt;&gt;AE$5),1))+IF(AI1268="",0,IFERROR(--(EOMONTH(AI1268,0)&lt;&gt;AH$5),1))+IF(AL1268="",0,IFERROR(--(EOMONTH(AL1268,0)&lt;&gt;AK$5),1))+IF(AO1268="",0,IFERROR(--(EOMONTH(AO1268,0)&lt;&gt;AN$5),1))+IF(AR1268="",0,IFERROR(--(EOMONTH(AR1268,0)&lt;&gt;AQ$5),1))+IF(AU1268="",0,IFERROR(--(EOMONTH(AU1268,0)&lt;&gt;AT$5),1))+IF(AX1268="",0,IFERROR(--(EOMONTH(AX1268,0)&lt;&gt;AW$5),1))+IF(BA1268="",0,IFERROR(--(EOMONTH(BA1268,0)&lt;&gt;AZ$5),1)))&gt;0,"; An invoice date is not in the month it is typed under",""),3,500))</f>
        <v/>
      </c>
      <c r="S1268" s="12" t="n"/>
      <c r="T1268" s="13" t="n"/>
      <c r="U1268" s="14" t="n"/>
      <c r="V1268" s="12" t="n"/>
      <c r="W1268" s="13" t="n"/>
      <c r="X1268" s="14" t="n"/>
      <c r="Y1268" s="12" t="n"/>
      <c r="Z1268" s="13" t="n"/>
      <c r="AA1268" s="14" t="n"/>
      <c r="AB1268" s="12" t="n"/>
      <c r="AC1268" s="13" t="n"/>
      <c r="AD1268" s="14" t="n"/>
      <c r="AE1268" s="12" t="n"/>
      <c r="AF1268" s="13" t="n"/>
      <c r="AG1268" s="14" t="n"/>
      <c r="AH1268" s="12" t="n"/>
      <c r="AI1268" s="13" t="n"/>
      <c r="AJ1268" s="14" t="n"/>
      <c r="AK1268" s="12" t="n"/>
      <c r="AL1268" s="13" t="n"/>
      <c r="AM1268" s="14" t="n"/>
      <c r="AN1268" s="12" t="n"/>
      <c r="AO1268" s="13" t="n"/>
      <c r="AP1268" s="14" t="n"/>
      <c r="AQ1268" s="12" t="n"/>
      <c r="AR1268" s="13" t="n"/>
      <c r="AS1268" s="14" t="n"/>
      <c r="AT1268" s="12" t="n"/>
      <c r="AU1268" s="13" t="n"/>
      <c r="AV1268" s="14" t="n"/>
      <c r="AW1268" s="12" t="n"/>
      <c r="AX1268" s="13" t="n"/>
      <c r="AY1268" s="14" t="n"/>
      <c r="AZ1268" s="12" t="n"/>
      <c r="BA1268" s="13" t="n"/>
      <c r="BB1268" s="14" t="n"/>
      <c r="BC1268" s="11">
        <f>IF(O1268="","",IF(J1268="GST 10%",ROUND(O1268*set_GSTRate,2),0))</f>
        <v/>
      </c>
      <c r="BD1268" s="11">
        <f>IF(O1268="","",O1268+BC1268)</f>
        <v/>
      </c>
      <c r="BE1268" s="15">
        <f>IF(O1268="","",COUNTA(S1268,V1268,Y1268,AB1268,AE1268,AH1268,AK1268,AN1268,AQ1268,AT1268,AW1268,AZ1268))</f>
        <v/>
      </c>
      <c r="BF1268" s="16">
        <f>IF(COUNT(T1268,W1268,Z1268,AC1268,AF1268,AI1268,AL1268,AO1268,AR1268,AU1268,AX1268,BA1268)=0,"",MAX(T1268,W1268,Z1268,AC1268,AF1268,AI1268,AL1268,AO1268,AR1268,AU1268,AX1268,BA1268))</f>
        <v/>
      </c>
      <c r="BG1268" s="10">
        <f>MID(IF(S1268="","",", "&amp;S1268)&amp;IF(V1268="","",", "&amp;V1268)&amp;IF(Y1268="","",", "&amp;Y1268)&amp;IF(AB1268="","",", "&amp;AB1268)&amp;IF(AE1268="","",", "&amp;AE1268)&amp;IF(AH1268="","",", "&amp;AH1268)&amp;IF(AK1268="","",", "&amp;AK1268)&amp;IF(AN1268="","",", "&amp;AN1268)&amp;IF(AQ1268="","",", "&amp;AQ1268)&amp;IF(AT1268="","",", "&amp;AT1268)&amp;IF(AW1268="","",", "&amp;AW1268)&amp;IF(AZ1268="","",", "&amp;AZ1268),3,500)</f>
        <v/>
      </c>
      <c r="BH1268" s="12" t="n"/>
      <c r="BI1268" s="15">
        <f>IFERROR(MATCH($A1268,IF($B1268="Onsite",tbl_Onsite[Row ID],IF($B1268="Production",tbl_Production[Row ID],tbl_Consulting[Row ID])),0),"")</f>
        <v/>
      </c>
    </row>
    <row r="1269">
      <c r="A1269" s="10" t="inlineStr">
        <is>
          <t>CON-0263</t>
        </is>
      </c>
      <c r="B1269" s="10" t="inlineStr">
        <is>
          <t>Consulting</t>
        </is>
      </c>
      <c r="C1269" s="10">
        <f>IF($BI1269="","",IF($B1269="Onsite",INDEX(tbl_Onsite[Job Number],$BI1269),IF($B1269="Production",INDEX(tbl_Production[Job Number],$BI1269),INDEX(tbl_Consulting[Job Number],$BI1269)))&amp;"")</f>
        <v/>
      </c>
      <c r="D1269" s="10">
        <f>IF($BI1269="","",IF($B1269="Onsite",INDEX(tbl_Onsite[Client],$BI1269),IF($B1269="Production",INDEX(tbl_Production[Client],$BI1269),INDEX(tbl_Consulting[Client],$BI1269)))&amp;"")</f>
        <v/>
      </c>
      <c r="E1269" s="10">
        <f>IF($C1269="","",IF(COUNTIF(lst_Jobs,$C1269)&gt;0,"OK","CHECK"))</f>
        <v/>
      </c>
      <c r="F1269" s="10">
        <f>IF($C1269="","",IFERROR(INDEX(lst_JobName,MATCH($C1269,lst_Jobs,0)),""))</f>
        <v/>
      </c>
      <c r="G1269" s="10">
        <f>IF($BI1269="","",IF($B1269="Onsite",INDEX(tbl_Onsite[Job Description],$BI1269),IF($B1269="Production",INDEX(tbl_Production[Job Description],$BI1269),INDEX(tbl_Consulting[Job Description],$BI1269)))&amp;"")</f>
        <v/>
      </c>
      <c r="H1269" s="10">
        <f>IF($BI1269="","",IF($B1269="Onsite",INDEX(tbl_Onsite[Cost Centre],$BI1269),IF($B1269="Production",INDEX(tbl_Production[Cost Centre],$BI1269),INDEX(tbl_Consulting[Cost Centre],$BI1269)))&amp;"")</f>
        <v/>
      </c>
      <c r="I1269" s="10">
        <f>IF($BI1269="","",IF($B1269="Onsite",INDEX(tbl_Onsite[Invoice Type],$BI1269),IF($B1269="Production",INDEX(tbl_Production[Invoice Type],$BI1269),INDEX(tbl_Consulting[Invoice Type],$BI1269)))&amp;"")</f>
        <v/>
      </c>
      <c r="J1269" s="10">
        <f>IF($BI1269="","",IF($B1269="Onsite",INDEX(tbl_Onsite[Tax Code],$BI1269),IF($B1269="Production",INDEX(tbl_Production[Tax Code],$BI1269),INDEX(tbl_Consulting[Tax Code],$BI1269)))&amp;"")</f>
        <v/>
      </c>
      <c r="K1269" s="10">
        <f>IF(H1269="","",IFERROR(INDEX(lst_CCtoGL,MATCH(H1269,lst_CCforGL,0)),""))</f>
        <v/>
      </c>
      <c r="L1269" s="10">
        <f>IF($BI1269="","",IF($B1269="Onsite",INDEX(tbl_Onsite[PO / Reference],$BI1269),IF($B1269="Production",INDEX(tbl_Production[Current RMS No],$BI1269),INDEX(tbl_Consulting[Qwilr Quote],$BI1269)))&amp;"")</f>
        <v/>
      </c>
      <c r="M1269" s="10">
        <f>IF($BI1269="","",IF($B1269="Onsite",INDEX(tbl_Onsite[Notes],$BI1269),IF($B1269="Production",INDEX(tbl_Production[Notes],$BI1269),INDEX(tbl_Consulting[Notes],$BI1269)))&amp;"")</f>
        <v/>
      </c>
      <c r="N1269" s="11">
        <f>IF($BI1269="","",IF(IF($B1269="Onsite",INDEX(tbl_Onsite[Expected Revenue Ex GST],$BI1269),IF($B1269="Production",INDEX(tbl_Production[Expected Revenue Ex GST],$BI1269),INDEX(tbl_Consulting[Expected Revenue Ex GST],$BI1269)))="","",IF($B1269="Onsite",INDEX(tbl_Onsite[Expected Revenue Ex GST],$BI1269),IF($B1269="Production",INDEX(tbl_Production[Expected Revenue Ex GST],$BI1269),INDEX(tbl_Consulting[Expected Revenue Ex GST],$BI1269)))))</f>
        <v/>
      </c>
      <c r="O1269" s="11">
        <f>IF(AND($C1269="",NOT(COUNTA($S1269:$BB1269)&gt;0)),"",SUM(U1269,X1269,AA1269,AD1269,AG1269,AJ1269,AM1269,AP1269,AS1269,AV1269,AY1269,BB1269))</f>
        <v/>
      </c>
      <c r="P1269" s="11">
        <f>IF(O1269="","",N(N1269)-O1269)</f>
        <v/>
      </c>
      <c r="Q1269" s="10">
        <f>IF(O1269="","",IF($C1269="","Invoice on empty job row",IF(N1269="",IF(ROUND(O1269,2)=0,"No dept value","Invoiced - no dept value"),IF(ROUND(O1269,2)=0,"Not invoiced - to invoice",IF(ROUND(P1269,2)=0,"Agrees",IF(P1269&gt;0,"Dept higher - to invoice","Xero higher - check dept"))))))</f>
        <v/>
      </c>
      <c r="R1269" s="10">
        <f>IF(AND($C1269="",NOT(COUNTA($S1269:$BB1269)&gt;0),$BI1269&lt;&gt;""),"",MID(IF($BI1269="","; Row ID not found on the department sheet - a row was deleted","")&amp;IF(AND($C1269="",COUNTA($S1269:$BB1269)&gt;0),"; Invoice entered but the department row has no job number","")&amp;IF(E1269="CHECK","; Job number not in the Xero job list","")&amp;IF(AND($C1269&lt;&gt;"",COUNTIF($C$7:$C$1506,$C1269)&gt;1),"; Job number on more than one row","")&amp;IF(AND($C1269&lt;&gt;"",H1269=""),"; Dept has not set a cost centre","")&amp;IF(AND($C1269&lt;&gt;"",J1269=""),"; Dept has not set a tax code","")&amp;IF(AND($C1269&lt;&gt;"",N1269=""),"; Dept has not entered an expected value","")&amp;IF((IF(OR(COUNTA(S1269:U1269)=0,AND(COUNTA(S1269:U1269)=3,ISNUMBER(U1269))),0,1)+IF(OR(COUNTA(V1269:X1269)=0,AND(COUNTA(V1269:X1269)=3,ISNUMBER(X1269))),0,1)+IF(OR(COUNTA(Y1269:AA1269)=0,AND(COUNTA(Y1269:AA1269)=3,ISNUMBER(AA1269))),0,1)+IF(OR(COUNTA(AB1269:AD1269)=0,AND(COUNTA(AB1269:AD1269)=3,ISNUMBER(AD1269))),0,1)+IF(OR(COUNTA(AE1269:AG1269)=0,AND(COUNTA(AE1269:AG1269)=3,ISNUMBER(AG1269))),0,1)+IF(OR(COUNTA(AH1269:AJ1269)=0,AND(COUNTA(AH1269:AJ1269)=3,ISNUMBER(AJ1269))),0,1)+IF(OR(COUNTA(AK1269:AM1269)=0,AND(COUNTA(AK1269:AM1269)=3,ISNUMBER(AM1269))),0,1)+IF(OR(COUNTA(AN1269:AP1269)=0,AND(COUNTA(AN1269:AP1269)=3,ISNUMBER(AP1269))),0,1)+IF(OR(COUNTA(AQ1269:AS1269)=0,AND(COUNTA(AQ1269:AS1269)=3,ISNUMBER(AS1269))),0,1)+IF(OR(COUNTA(AT1269:AV1269)=0,AND(COUNTA(AT1269:AV1269)=3,ISNUMBER(AV1269))),0,1)+IF(OR(COUNTA(AW1269:AY1269)=0,AND(COUNTA(AW1269:AY1269)=3,ISNUMBER(AY1269))),0,1)+IF(OR(COUNTA(AZ1269:BB1269)=0,AND(COUNTA(AZ1269:BB1269)=3,ISNUMBER(BB1269))),0,1))&gt;0,"; An invoice is incomplete (needs No, Date and a number in Ex GST)","")&amp;IF((IF(T1269="",0,IFERROR(--(EOMONTH(T1269,0)&lt;&gt;S$5),1))+IF(W1269="",0,IFERROR(--(EOMONTH(W1269,0)&lt;&gt;V$5),1))+IF(Z1269="",0,IFERROR(--(EOMONTH(Z1269,0)&lt;&gt;Y$5),1))+IF(AC1269="",0,IFERROR(--(EOMONTH(AC1269,0)&lt;&gt;AB$5),1))+IF(AF1269="",0,IFERROR(--(EOMONTH(AF1269,0)&lt;&gt;AE$5),1))+IF(AI1269="",0,IFERROR(--(EOMONTH(AI1269,0)&lt;&gt;AH$5),1))+IF(AL1269="",0,IFERROR(--(EOMONTH(AL1269,0)&lt;&gt;AK$5),1))+IF(AO1269="",0,IFERROR(--(EOMONTH(AO1269,0)&lt;&gt;AN$5),1))+IF(AR1269="",0,IFERROR(--(EOMONTH(AR1269,0)&lt;&gt;AQ$5),1))+IF(AU1269="",0,IFERROR(--(EOMONTH(AU1269,0)&lt;&gt;AT$5),1))+IF(AX1269="",0,IFERROR(--(EOMONTH(AX1269,0)&lt;&gt;AW$5),1))+IF(BA1269="",0,IFERROR(--(EOMONTH(BA1269,0)&lt;&gt;AZ$5),1)))&gt;0,"; An invoice date is not in the month it is typed under",""),3,500))</f>
        <v/>
      </c>
      <c r="S1269" s="12" t="n"/>
      <c r="T1269" s="13" t="n"/>
      <c r="U1269" s="14" t="n"/>
      <c r="V1269" s="12" t="n"/>
      <c r="W1269" s="13" t="n"/>
      <c r="X1269" s="14" t="n"/>
      <c r="Y1269" s="12" t="n"/>
      <c r="Z1269" s="13" t="n"/>
      <c r="AA1269" s="14" t="n"/>
      <c r="AB1269" s="12" t="n"/>
      <c r="AC1269" s="13" t="n"/>
      <c r="AD1269" s="14" t="n"/>
      <c r="AE1269" s="12" t="n"/>
      <c r="AF1269" s="13" t="n"/>
      <c r="AG1269" s="14" t="n"/>
      <c r="AH1269" s="12" t="n"/>
      <c r="AI1269" s="13" t="n"/>
      <c r="AJ1269" s="14" t="n"/>
      <c r="AK1269" s="12" t="n"/>
      <c r="AL1269" s="13" t="n"/>
      <c r="AM1269" s="14" t="n"/>
      <c r="AN1269" s="12" t="n"/>
      <c r="AO1269" s="13" t="n"/>
      <c r="AP1269" s="14" t="n"/>
      <c r="AQ1269" s="12" t="n"/>
      <c r="AR1269" s="13" t="n"/>
      <c r="AS1269" s="14" t="n"/>
      <c r="AT1269" s="12" t="n"/>
      <c r="AU1269" s="13" t="n"/>
      <c r="AV1269" s="14" t="n"/>
      <c r="AW1269" s="12" t="n"/>
      <c r="AX1269" s="13" t="n"/>
      <c r="AY1269" s="14" t="n"/>
      <c r="AZ1269" s="12" t="n"/>
      <c r="BA1269" s="13" t="n"/>
      <c r="BB1269" s="14" t="n"/>
      <c r="BC1269" s="11">
        <f>IF(O1269="","",IF(J1269="GST 10%",ROUND(O1269*set_GSTRate,2),0))</f>
        <v/>
      </c>
      <c r="BD1269" s="11">
        <f>IF(O1269="","",O1269+BC1269)</f>
        <v/>
      </c>
      <c r="BE1269" s="15">
        <f>IF(O1269="","",COUNTA(S1269,V1269,Y1269,AB1269,AE1269,AH1269,AK1269,AN1269,AQ1269,AT1269,AW1269,AZ1269))</f>
        <v/>
      </c>
      <c r="BF1269" s="16">
        <f>IF(COUNT(T1269,W1269,Z1269,AC1269,AF1269,AI1269,AL1269,AO1269,AR1269,AU1269,AX1269,BA1269)=0,"",MAX(T1269,W1269,Z1269,AC1269,AF1269,AI1269,AL1269,AO1269,AR1269,AU1269,AX1269,BA1269))</f>
        <v/>
      </c>
      <c r="BG1269" s="10">
        <f>MID(IF(S1269="","",", "&amp;S1269)&amp;IF(V1269="","",", "&amp;V1269)&amp;IF(Y1269="","",", "&amp;Y1269)&amp;IF(AB1269="","",", "&amp;AB1269)&amp;IF(AE1269="","",", "&amp;AE1269)&amp;IF(AH1269="","",", "&amp;AH1269)&amp;IF(AK1269="","",", "&amp;AK1269)&amp;IF(AN1269="","",", "&amp;AN1269)&amp;IF(AQ1269="","",", "&amp;AQ1269)&amp;IF(AT1269="","",", "&amp;AT1269)&amp;IF(AW1269="","",", "&amp;AW1269)&amp;IF(AZ1269="","",", "&amp;AZ1269),3,500)</f>
        <v/>
      </c>
      <c r="BH1269" s="12" t="n"/>
      <c r="BI1269" s="15">
        <f>IFERROR(MATCH($A1269,IF($B1269="Onsite",tbl_Onsite[Row ID],IF($B1269="Production",tbl_Production[Row ID],tbl_Consulting[Row ID])),0),"")</f>
        <v/>
      </c>
    </row>
    <row r="1270">
      <c r="A1270" s="10" t="inlineStr">
        <is>
          <t>CON-0264</t>
        </is>
      </c>
      <c r="B1270" s="10" t="inlineStr">
        <is>
          <t>Consulting</t>
        </is>
      </c>
      <c r="C1270" s="10">
        <f>IF($BI1270="","",IF($B1270="Onsite",INDEX(tbl_Onsite[Job Number],$BI1270),IF($B1270="Production",INDEX(tbl_Production[Job Number],$BI1270),INDEX(tbl_Consulting[Job Number],$BI1270)))&amp;"")</f>
        <v/>
      </c>
      <c r="D1270" s="10">
        <f>IF($BI1270="","",IF($B1270="Onsite",INDEX(tbl_Onsite[Client],$BI1270),IF($B1270="Production",INDEX(tbl_Production[Client],$BI1270),INDEX(tbl_Consulting[Client],$BI1270)))&amp;"")</f>
        <v/>
      </c>
      <c r="E1270" s="10">
        <f>IF($C1270="","",IF(COUNTIF(lst_Jobs,$C1270)&gt;0,"OK","CHECK"))</f>
        <v/>
      </c>
      <c r="F1270" s="10">
        <f>IF($C1270="","",IFERROR(INDEX(lst_JobName,MATCH($C1270,lst_Jobs,0)),""))</f>
        <v/>
      </c>
      <c r="G1270" s="10">
        <f>IF($BI1270="","",IF($B1270="Onsite",INDEX(tbl_Onsite[Job Description],$BI1270),IF($B1270="Production",INDEX(tbl_Production[Job Description],$BI1270),INDEX(tbl_Consulting[Job Description],$BI1270)))&amp;"")</f>
        <v/>
      </c>
      <c r="H1270" s="10">
        <f>IF($BI1270="","",IF($B1270="Onsite",INDEX(tbl_Onsite[Cost Centre],$BI1270),IF($B1270="Production",INDEX(tbl_Production[Cost Centre],$BI1270),INDEX(tbl_Consulting[Cost Centre],$BI1270)))&amp;"")</f>
        <v/>
      </c>
      <c r="I1270" s="10">
        <f>IF($BI1270="","",IF($B1270="Onsite",INDEX(tbl_Onsite[Invoice Type],$BI1270),IF($B1270="Production",INDEX(tbl_Production[Invoice Type],$BI1270),INDEX(tbl_Consulting[Invoice Type],$BI1270)))&amp;"")</f>
        <v/>
      </c>
      <c r="J1270" s="10">
        <f>IF($BI1270="","",IF($B1270="Onsite",INDEX(tbl_Onsite[Tax Code],$BI1270),IF($B1270="Production",INDEX(tbl_Production[Tax Code],$BI1270),INDEX(tbl_Consulting[Tax Code],$BI1270)))&amp;"")</f>
        <v/>
      </c>
      <c r="K1270" s="10">
        <f>IF(H1270="","",IFERROR(INDEX(lst_CCtoGL,MATCH(H1270,lst_CCforGL,0)),""))</f>
        <v/>
      </c>
      <c r="L1270" s="10">
        <f>IF($BI1270="","",IF($B1270="Onsite",INDEX(tbl_Onsite[PO / Reference],$BI1270),IF($B1270="Production",INDEX(tbl_Production[Current RMS No],$BI1270),INDEX(tbl_Consulting[Qwilr Quote],$BI1270)))&amp;"")</f>
        <v/>
      </c>
      <c r="M1270" s="10">
        <f>IF($BI1270="","",IF($B1270="Onsite",INDEX(tbl_Onsite[Notes],$BI1270),IF($B1270="Production",INDEX(tbl_Production[Notes],$BI1270),INDEX(tbl_Consulting[Notes],$BI1270)))&amp;"")</f>
        <v/>
      </c>
      <c r="N1270" s="11">
        <f>IF($BI1270="","",IF(IF($B1270="Onsite",INDEX(tbl_Onsite[Expected Revenue Ex GST],$BI1270),IF($B1270="Production",INDEX(tbl_Production[Expected Revenue Ex GST],$BI1270),INDEX(tbl_Consulting[Expected Revenue Ex GST],$BI1270)))="","",IF($B1270="Onsite",INDEX(tbl_Onsite[Expected Revenue Ex GST],$BI1270),IF($B1270="Production",INDEX(tbl_Production[Expected Revenue Ex GST],$BI1270),INDEX(tbl_Consulting[Expected Revenue Ex GST],$BI1270)))))</f>
        <v/>
      </c>
      <c r="O1270" s="11">
        <f>IF(AND($C1270="",NOT(COUNTA($S1270:$BB1270)&gt;0)),"",SUM(U1270,X1270,AA1270,AD1270,AG1270,AJ1270,AM1270,AP1270,AS1270,AV1270,AY1270,BB1270))</f>
        <v/>
      </c>
      <c r="P1270" s="11">
        <f>IF(O1270="","",N(N1270)-O1270)</f>
        <v/>
      </c>
      <c r="Q1270" s="10">
        <f>IF(O1270="","",IF($C1270="","Invoice on empty job row",IF(N1270="",IF(ROUND(O1270,2)=0,"No dept value","Invoiced - no dept value"),IF(ROUND(O1270,2)=0,"Not invoiced - to invoice",IF(ROUND(P1270,2)=0,"Agrees",IF(P1270&gt;0,"Dept higher - to invoice","Xero higher - check dept"))))))</f>
        <v/>
      </c>
      <c r="R1270" s="10">
        <f>IF(AND($C1270="",NOT(COUNTA($S1270:$BB1270)&gt;0),$BI1270&lt;&gt;""),"",MID(IF($BI1270="","; Row ID not found on the department sheet - a row was deleted","")&amp;IF(AND($C1270="",COUNTA($S1270:$BB1270)&gt;0),"; Invoice entered but the department row has no job number","")&amp;IF(E1270="CHECK","; Job number not in the Xero job list","")&amp;IF(AND($C1270&lt;&gt;"",COUNTIF($C$7:$C$1506,$C1270)&gt;1),"; Job number on more than one row","")&amp;IF(AND($C1270&lt;&gt;"",H1270=""),"; Dept has not set a cost centre","")&amp;IF(AND($C1270&lt;&gt;"",J1270=""),"; Dept has not set a tax code","")&amp;IF(AND($C1270&lt;&gt;"",N1270=""),"; Dept has not entered an expected value","")&amp;IF((IF(OR(COUNTA(S1270:U1270)=0,AND(COUNTA(S1270:U1270)=3,ISNUMBER(U1270))),0,1)+IF(OR(COUNTA(V1270:X1270)=0,AND(COUNTA(V1270:X1270)=3,ISNUMBER(X1270))),0,1)+IF(OR(COUNTA(Y1270:AA1270)=0,AND(COUNTA(Y1270:AA1270)=3,ISNUMBER(AA1270))),0,1)+IF(OR(COUNTA(AB1270:AD1270)=0,AND(COUNTA(AB1270:AD1270)=3,ISNUMBER(AD1270))),0,1)+IF(OR(COUNTA(AE1270:AG1270)=0,AND(COUNTA(AE1270:AG1270)=3,ISNUMBER(AG1270))),0,1)+IF(OR(COUNTA(AH1270:AJ1270)=0,AND(COUNTA(AH1270:AJ1270)=3,ISNUMBER(AJ1270))),0,1)+IF(OR(COUNTA(AK1270:AM1270)=0,AND(COUNTA(AK1270:AM1270)=3,ISNUMBER(AM1270))),0,1)+IF(OR(COUNTA(AN1270:AP1270)=0,AND(COUNTA(AN1270:AP1270)=3,ISNUMBER(AP1270))),0,1)+IF(OR(COUNTA(AQ1270:AS1270)=0,AND(COUNTA(AQ1270:AS1270)=3,ISNUMBER(AS1270))),0,1)+IF(OR(COUNTA(AT1270:AV1270)=0,AND(COUNTA(AT1270:AV1270)=3,ISNUMBER(AV1270))),0,1)+IF(OR(COUNTA(AW1270:AY1270)=0,AND(COUNTA(AW1270:AY1270)=3,ISNUMBER(AY1270))),0,1)+IF(OR(COUNTA(AZ1270:BB1270)=0,AND(COUNTA(AZ1270:BB1270)=3,ISNUMBER(BB1270))),0,1))&gt;0,"; An invoice is incomplete (needs No, Date and a number in Ex GST)","")&amp;IF((IF(T1270="",0,IFERROR(--(EOMONTH(T1270,0)&lt;&gt;S$5),1))+IF(W1270="",0,IFERROR(--(EOMONTH(W1270,0)&lt;&gt;V$5),1))+IF(Z1270="",0,IFERROR(--(EOMONTH(Z1270,0)&lt;&gt;Y$5),1))+IF(AC1270="",0,IFERROR(--(EOMONTH(AC1270,0)&lt;&gt;AB$5),1))+IF(AF1270="",0,IFERROR(--(EOMONTH(AF1270,0)&lt;&gt;AE$5),1))+IF(AI1270="",0,IFERROR(--(EOMONTH(AI1270,0)&lt;&gt;AH$5),1))+IF(AL1270="",0,IFERROR(--(EOMONTH(AL1270,0)&lt;&gt;AK$5),1))+IF(AO1270="",0,IFERROR(--(EOMONTH(AO1270,0)&lt;&gt;AN$5),1))+IF(AR1270="",0,IFERROR(--(EOMONTH(AR1270,0)&lt;&gt;AQ$5),1))+IF(AU1270="",0,IFERROR(--(EOMONTH(AU1270,0)&lt;&gt;AT$5),1))+IF(AX1270="",0,IFERROR(--(EOMONTH(AX1270,0)&lt;&gt;AW$5),1))+IF(BA1270="",0,IFERROR(--(EOMONTH(BA1270,0)&lt;&gt;AZ$5),1)))&gt;0,"; An invoice date is not in the month it is typed under",""),3,500))</f>
        <v/>
      </c>
      <c r="S1270" s="12" t="n"/>
      <c r="T1270" s="13" t="n"/>
      <c r="U1270" s="14" t="n"/>
      <c r="V1270" s="12" t="n"/>
      <c r="W1270" s="13" t="n"/>
      <c r="X1270" s="14" t="n"/>
      <c r="Y1270" s="12" t="n"/>
      <c r="Z1270" s="13" t="n"/>
      <c r="AA1270" s="14" t="n"/>
      <c r="AB1270" s="12" t="n"/>
      <c r="AC1270" s="13" t="n"/>
      <c r="AD1270" s="14" t="n"/>
      <c r="AE1270" s="12" t="n"/>
      <c r="AF1270" s="13" t="n"/>
      <c r="AG1270" s="14" t="n"/>
      <c r="AH1270" s="12" t="n"/>
      <c r="AI1270" s="13" t="n"/>
      <c r="AJ1270" s="14" t="n"/>
      <c r="AK1270" s="12" t="n"/>
      <c r="AL1270" s="13" t="n"/>
      <c r="AM1270" s="14" t="n"/>
      <c r="AN1270" s="12" t="n"/>
      <c r="AO1270" s="13" t="n"/>
      <c r="AP1270" s="14" t="n"/>
      <c r="AQ1270" s="12" t="n"/>
      <c r="AR1270" s="13" t="n"/>
      <c r="AS1270" s="14" t="n"/>
      <c r="AT1270" s="12" t="n"/>
      <c r="AU1270" s="13" t="n"/>
      <c r="AV1270" s="14" t="n"/>
      <c r="AW1270" s="12" t="n"/>
      <c r="AX1270" s="13" t="n"/>
      <c r="AY1270" s="14" t="n"/>
      <c r="AZ1270" s="12" t="n"/>
      <c r="BA1270" s="13" t="n"/>
      <c r="BB1270" s="14" t="n"/>
      <c r="BC1270" s="11">
        <f>IF(O1270="","",IF(J1270="GST 10%",ROUND(O1270*set_GSTRate,2),0))</f>
        <v/>
      </c>
      <c r="BD1270" s="11">
        <f>IF(O1270="","",O1270+BC1270)</f>
        <v/>
      </c>
      <c r="BE1270" s="15">
        <f>IF(O1270="","",COUNTA(S1270,V1270,Y1270,AB1270,AE1270,AH1270,AK1270,AN1270,AQ1270,AT1270,AW1270,AZ1270))</f>
        <v/>
      </c>
      <c r="BF1270" s="16">
        <f>IF(COUNT(T1270,W1270,Z1270,AC1270,AF1270,AI1270,AL1270,AO1270,AR1270,AU1270,AX1270,BA1270)=0,"",MAX(T1270,W1270,Z1270,AC1270,AF1270,AI1270,AL1270,AO1270,AR1270,AU1270,AX1270,BA1270))</f>
        <v/>
      </c>
      <c r="BG1270" s="10">
        <f>MID(IF(S1270="","",", "&amp;S1270)&amp;IF(V1270="","",", "&amp;V1270)&amp;IF(Y1270="","",", "&amp;Y1270)&amp;IF(AB1270="","",", "&amp;AB1270)&amp;IF(AE1270="","",", "&amp;AE1270)&amp;IF(AH1270="","",", "&amp;AH1270)&amp;IF(AK1270="","",", "&amp;AK1270)&amp;IF(AN1270="","",", "&amp;AN1270)&amp;IF(AQ1270="","",", "&amp;AQ1270)&amp;IF(AT1270="","",", "&amp;AT1270)&amp;IF(AW1270="","",", "&amp;AW1270)&amp;IF(AZ1270="","",", "&amp;AZ1270),3,500)</f>
        <v/>
      </c>
      <c r="BH1270" s="12" t="n"/>
      <c r="BI1270" s="15">
        <f>IFERROR(MATCH($A1270,IF($B1270="Onsite",tbl_Onsite[Row ID],IF($B1270="Production",tbl_Production[Row ID],tbl_Consulting[Row ID])),0),"")</f>
        <v/>
      </c>
    </row>
    <row r="1271">
      <c r="A1271" s="10" t="inlineStr">
        <is>
          <t>CON-0265</t>
        </is>
      </c>
      <c r="B1271" s="10" t="inlineStr">
        <is>
          <t>Consulting</t>
        </is>
      </c>
      <c r="C1271" s="10">
        <f>IF($BI1271="","",IF($B1271="Onsite",INDEX(tbl_Onsite[Job Number],$BI1271),IF($B1271="Production",INDEX(tbl_Production[Job Number],$BI1271),INDEX(tbl_Consulting[Job Number],$BI1271)))&amp;"")</f>
        <v/>
      </c>
      <c r="D1271" s="10">
        <f>IF($BI1271="","",IF($B1271="Onsite",INDEX(tbl_Onsite[Client],$BI1271),IF($B1271="Production",INDEX(tbl_Production[Client],$BI1271),INDEX(tbl_Consulting[Client],$BI1271)))&amp;"")</f>
        <v/>
      </c>
      <c r="E1271" s="10">
        <f>IF($C1271="","",IF(COUNTIF(lst_Jobs,$C1271)&gt;0,"OK","CHECK"))</f>
        <v/>
      </c>
      <c r="F1271" s="10">
        <f>IF($C1271="","",IFERROR(INDEX(lst_JobName,MATCH($C1271,lst_Jobs,0)),""))</f>
        <v/>
      </c>
      <c r="G1271" s="10">
        <f>IF($BI1271="","",IF($B1271="Onsite",INDEX(tbl_Onsite[Job Description],$BI1271),IF($B1271="Production",INDEX(tbl_Production[Job Description],$BI1271),INDEX(tbl_Consulting[Job Description],$BI1271)))&amp;"")</f>
        <v/>
      </c>
      <c r="H1271" s="10">
        <f>IF($BI1271="","",IF($B1271="Onsite",INDEX(tbl_Onsite[Cost Centre],$BI1271),IF($B1271="Production",INDEX(tbl_Production[Cost Centre],$BI1271),INDEX(tbl_Consulting[Cost Centre],$BI1271)))&amp;"")</f>
        <v/>
      </c>
      <c r="I1271" s="10">
        <f>IF($BI1271="","",IF($B1271="Onsite",INDEX(tbl_Onsite[Invoice Type],$BI1271),IF($B1271="Production",INDEX(tbl_Production[Invoice Type],$BI1271),INDEX(tbl_Consulting[Invoice Type],$BI1271)))&amp;"")</f>
        <v/>
      </c>
      <c r="J1271" s="10">
        <f>IF($BI1271="","",IF($B1271="Onsite",INDEX(tbl_Onsite[Tax Code],$BI1271),IF($B1271="Production",INDEX(tbl_Production[Tax Code],$BI1271),INDEX(tbl_Consulting[Tax Code],$BI1271)))&amp;"")</f>
        <v/>
      </c>
      <c r="K1271" s="10">
        <f>IF(H1271="","",IFERROR(INDEX(lst_CCtoGL,MATCH(H1271,lst_CCforGL,0)),""))</f>
        <v/>
      </c>
      <c r="L1271" s="10">
        <f>IF($BI1271="","",IF($B1271="Onsite",INDEX(tbl_Onsite[PO / Reference],$BI1271),IF($B1271="Production",INDEX(tbl_Production[Current RMS No],$BI1271),INDEX(tbl_Consulting[Qwilr Quote],$BI1271)))&amp;"")</f>
        <v/>
      </c>
      <c r="M1271" s="10">
        <f>IF($BI1271="","",IF($B1271="Onsite",INDEX(tbl_Onsite[Notes],$BI1271),IF($B1271="Production",INDEX(tbl_Production[Notes],$BI1271),INDEX(tbl_Consulting[Notes],$BI1271)))&amp;"")</f>
        <v/>
      </c>
      <c r="N1271" s="11">
        <f>IF($BI1271="","",IF(IF($B1271="Onsite",INDEX(tbl_Onsite[Expected Revenue Ex GST],$BI1271),IF($B1271="Production",INDEX(tbl_Production[Expected Revenue Ex GST],$BI1271),INDEX(tbl_Consulting[Expected Revenue Ex GST],$BI1271)))="","",IF($B1271="Onsite",INDEX(tbl_Onsite[Expected Revenue Ex GST],$BI1271),IF($B1271="Production",INDEX(tbl_Production[Expected Revenue Ex GST],$BI1271),INDEX(tbl_Consulting[Expected Revenue Ex GST],$BI1271)))))</f>
        <v/>
      </c>
      <c r="O1271" s="11">
        <f>IF(AND($C1271="",NOT(COUNTA($S1271:$BB1271)&gt;0)),"",SUM(U1271,X1271,AA1271,AD1271,AG1271,AJ1271,AM1271,AP1271,AS1271,AV1271,AY1271,BB1271))</f>
        <v/>
      </c>
      <c r="P1271" s="11">
        <f>IF(O1271="","",N(N1271)-O1271)</f>
        <v/>
      </c>
      <c r="Q1271" s="10">
        <f>IF(O1271="","",IF($C1271="","Invoice on empty job row",IF(N1271="",IF(ROUND(O1271,2)=0,"No dept value","Invoiced - no dept value"),IF(ROUND(O1271,2)=0,"Not invoiced - to invoice",IF(ROUND(P1271,2)=0,"Agrees",IF(P1271&gt;0,"Dept higher - to invoice","Xero higher - check dept"))))))</f>
        <v/>
      </c>
      <c r="R1271" s="10">
        <f>IF(AND($C1271="",NOT(COUNTA($S1271:$BB1271)&gt;0),$BI1271&lt;&gt;""),"",MID(IF($BI1271="","; Row ID not found on the department sheet - a row was deleted","")&amp;IF(AND($C1271="",COUNTA($S1271:$BB1271)&gt;0),"; Invoice entered but the department row has no job number","")&amp;IF(E1271="CHECK","; Job number not in the Xero job list","")&amp;IF(AND($C1271&lt;&gt;"",COUNTIF($C$7:$C$1506,$C1271)&gt;1),"; Job number on more than one row","")&amp;IF(AND($C1271&lt;&gt;"",H1271=""),"; Dept has not set a cost centre","")&amp;IF(AND($C1271&lt;&gt;"",J1271=""),"; Dept has not set a tax code","")&amp;IF(AND($C1271&lt;&gt;"",N1271=""),"; Dept has not entered an expected value","")&amp;IF((IF(OR(COUNTA(S1271:U1271)=0,AND(COUNTA(S1271:U1271)=3,ISNUMBER(U1271))),0,1)+IF(OR(COUNTA(V1271:X1271)=0,AND(COUNTA(V1271:X1271)=3,ISNUMBER(X1271))),0,1)+IF(OR(COUNTA(Y1271:AA1271)=0,AND(COUNTA(Y1271:AA1271)=3,ISNUMBER(AA1271))),0,1)+IF(OR(COUNTA(AB1271:AD1271)=0,AND(COUNTA(AB1271:AD1271)=3,ISNUMBER(AD1271))),0,1)+IF(OR(COUNTA(AE1271:AG1271)=0,AND(COUNTA(AE1271:AG1271)=3,ISNUMBER(AG1271))),0,1)+IF(OR(COUNTA(AH1271:AJ1271)=0,AND(COUNTA(AH1271:AJ1271)=3,ISNUMBER(AJ1271))),0,1)+IF(OR(COUNTA(AK1271:AM1271)=0,AND(COUNTA(AK1271:AM1271)=3,ISNUMBER(AM1271))),0,1)+IF(OR(COUNTA(AN1271:AP1271)=0,AND(COUNTA(AN1271:AP1271)=3,ISNUMBER(AP1271))),0,1)+IF(OR(COUNTA(AQ1271:AS1271)=0,AND(COUNTA(AQ1271:AS1271)=3,ISNUMBER(AS1271))),0,1)+IF(OR(COUNTA(AT1271:AV1271)=0,AND(COUNTA(AT1271:AV1271)=3,ISNUMBER(AV1271))),0,1)+IF(OR(COUNTA(AW1271:AY1271)=0,AND(COUNTA(AW1271:AY1271)=3,ISNUMBER(AY1271))),0,1)+IF(OR(COUNTA(AZ1271:BB1271)=0,AND(COUNTA(AZ1271:BB1271)=3,ISNUMBER(BB1271))),0,1))&gt;0,"; An invoice is incomplete (needs No, Date and a number in Ex GST)","")&amp;IF((IF(T1271="",0,IFERROR(--(EOMONTH(T1271,0)&lt;&gt;S$5),1))+IF(W1271="",0,IFERROR(--(EOMONTH(W1271,0)&lt;&gt;V$5),1))+IF(Z1271="",0,IFERROR(--(EOMONTH(Z1271,0)&lt;&gt;Y$5),1))+IF(AC1271="",0,IFERROR(--(EOMONTH(AC1271,0)&lt;&gt;AB$5),1))+IF(AF1271="",0,IFERROR(--(EOMONTH(AF1271,0)&lt;&gt;AE$5),1))+IF(AI1271="",0,IFERROR(--(EOMONTH(AI1271,0)&lt;&gt;AH$5),1))+IF(AL1271="",0,IFERROR(--(EOMONTH(AL1271,0)&lt;&gt;AK$5),1))+IF(AO1271="",0,IFERROR(--(EOMONTH(AO1271,0)&lt;&gt;AN$5),1))+IF(AR1271="",0,IFERROR(--(EOMONTH(AR1271,0)&lt;&gt;AQ$5),1))+IF(AU1271="",0,IFERROR(--(EOMONTH(AU1271,0)&lt;&gt;AT$5),1))+IF(AX1271="",0,IFERROR(--(EOMONTH(AX1271,0)&lt;&gt;AW$5),1))+IF(BA1271="",0,IFERROR(--(EOMONTH(BA1271,0)&lt;&gt;AZ$5),1)))&gt;0,"; An invoice date is not in the month it is typed under",""),3,500))</f>
        <v/>
      </c>
      <c r="S1271" s="12" t="n"/>
      <c r="T1271" s="13" t="n"/>
      <c r="U1271" s="14" t="n"/>
      <c r="V1271" s="12" t="n"/>
      <c r="W1271" s="13" t="n"/>
      <c r="X1271" s="14" t="n"/>
      <c r="Y1271" s="12" t="n"/>
      <c r="Z1271" s="13" t="n"/>
      <c r="AA1271" s="14" t="n"/>
      <c r="AB1271" s="12" t="n"/>
      <c r="AC1271" s="13" t="n"/>
      <c r="AD1271" s="14" t="n"/>
      <c r="AE1271" s="12" t="n"/>
      <c r="AF1271" s="13" t="n"/>
      <c r="AG1271" s="14" t="n"/>
      <c r="AH1271" s="12" t="n"/>
      <c r="AI1271" s="13" t="n"/>
      <c r="AJ1271" s="14" t="n"/>
      <c r="AK1271" s="12" t="n"/>
      <c r="AL1271" s="13" t="n"/>
      <c r="AM1271" s="14" t="n"/>
      <c r="AN1271" s="12" t="n"/>
      <c r="AO1271" s="13" t="n"/>
      <c r="AP1271" s="14" t="n"/>
      <c r="AQ1271" s="12" t="n"/>
      <c r="AR1271" s="13" t="n"/>
      <c r="AS1271" s="14" t="n"/>
      <c r="AT1271" s="12" t="n"/>
      <c r="AU1271" s="13" t="n"/>
      <c r="AV1271" s="14" t="n"/>
      <c r="AW1271" s="12" t="n"/>
      <c r="AX1271" s="13" t="n"/>
      <c r="AY1271" s="14" t="n"/>
      <c r="AZ1271" s="12" t="n"/>
      <c r="BA1271" s="13" t="n"/>
      <c r="BB1271" s="14" t="n"/>
      <c r="BC1271" s="11">
        <f>IF(O1271="","",IF(J1271="GST 10%",ROUND(O1271*set_GSTRate,2),0))</f>
        <v/>
      </c>
      <c r="BD1271" s="11">
        <f>IF(O1271="","",O1271+BC1271)</f>
        <v/>
      </c>
      <c r="BE1271" s="15">
        <f>IF(O1271="","",COUNTA(S1271,V1271,Y1271,AB1271,AE1271,AH1271,AK1271,AN1271,AQ1271,AT1271,AW1271,AZ1271))</f>
        <v/>
      </c>
      <c r="BF1271" s="16">
        <f>IF(COUNT(T1271,W1271,Z1271,AC1271,AF1271,AI1271,AL1271,AO1271,AR1271,AU1271,AX1271,BA1271)=0,"",MAX(T1271,W1271,Z1271,AC1271,AF1271,AI1271,AL1271,AO1271,AR1271,AU1271,AX1271,BA1271))</f>
        <v/>
      </c>
      <c r="BG1271" s="10">
        <f>MID(IF(S1271="","",", "&amp;S1271)&amp;IF(V1271="","",", "&amp;V1271)&amp;IF(Y1271="","",", "&amp;Y1271)&amp;IF(AB1271="","",", "&amp;AB1271)&amp;IF(AE1271="","",", "&amp;AE1271)&amp;IF(AH1271="","",", "&amp;AH1271)&amp;IF(AK1271="","",", "&amp;AK1271)&amp;IF(AN1271="","",", "&amp;AN1271)&amp;IF(AQ1271="","",", "&amp;AQ1271)&amp;IF(AT1271="","",", "&amp;AT1271)&amp;IF(AW1271="","",", "&amp;AW1271)&amp;IF(AZ1271="","",", "&amp;AZ1271),3,500)</f>
        <v/>
      </c>
      <c r="BH1271" s="12" t="n"/>
      <c r="BI1271" s="15">
        <f>IFERROR(MATCH($A1271,IF($B1271="Onsite",tbl_Onsite[Row ID],IF($B1271="Production",tbl_Production[Row ID],tbl_Consulting[Row ID])),0),"")</f>
        <v/>
      </c>
    </row>
    <row r="1272">
      <c r="A1272" s="10" t="inlineStr">
        <is>
          <t>CON-0266</t>
        </is>
      </c>
      <c r="B1272" s="10" t="inlineStr">
        <is>
          <t>Consulting</t>
        </is>
      </c>
      <c r="C1272" s="10">
        <f>IF($BI1272="","",IF($B1272="Onsite",INDEX(tbl_Onsite[Job Number],$BI1272),IF($B1272="Production",INDEX(tbl_Production[Job Number],$BI1272),INDEX(tbl_Consulting[Job Number],$BI1272)))&amp;"")</f>
        <v/>
      </c>
      <c r="D1272" s="10">
        <f>IF($BI1272="","",IF($B1272="Onsite",INDEX(tbl_Onsite[Client],$BI1272),IF($B1272="Production",INDEX(tbl_Production[Client],$BI1272),INDEX(tbl_Consulting[Client],$BI1272)))&amp;"")</f>
        <v/>
      </c>
      <c r="E1272" s="10">
        <f>IF($C1272="","",IF(COUNTIF(lst_Jobs,$C1272)&gt;0,"OK","CHECK"))</f>
        <v/>
      </c>
      <c r="F1272" s="10">
        <f>IF($C1272="","",IFERROR(INDEX(lst_JobName,MATCH($C1272,lst_Jobs,0)),""))</f>
        <v/>
      </c>
      <c r="G1272" s="10">
        <f>IF($BI1272="","",IF($B1272="Onsite",INDEX(tbl_Onsite[Job Description],$BI1272),IF($B1272="Production",INDEX(tbl_Production[Job Description],$BI1272),INDEX(tbl_Consulting[Job Description],$BI1272)))&amp;"")</f>
        <v/>
      </c>
      <c r="H1272" s="10">
        <f>IF($BI1272="","",IF($B1272="Onsite",INDEX(tbl_Onsite[Cost Centre],$BI1272),IF($B1272="Production",INDEX(tbl_Production[Cost Centre],$BI1272),INDEX(tbl_Consulting[Cost Centre],$BI1272)))&amp;"")</f>
        <v/>
      </c>
      <c r="I1272" s="10">
        <f>IF($BI1272="","",IF($B1272="Onsite",INDEX(tbl_Onsite[Invoice Type],$BI1272),IF($B1272="Production",INDEX(tbl_Production[Invoice Type],$BI1272),INDEX(tbl_Consulting[Invoice Type],$BI1272)))&amp;"")</f>
        <v/>
      </c>
      <c r="J1272" s="10">
        <f>IF($BI1272="","",IF($B1272="Onsite",INDEX(tbl_Onsite[Tax Code],$BI1272),IF($B1272="Production",INDEX(tbl_Production[Tax Code],$BI1272),INDEX(tbl_Consulting[Tax Code],$BI1272)))&amp;"")</f>
        <v/>
      </c>
      <c r="K1272" s="10">
        <f>IF(H1272="","",IFERROR(INDEX(lst_CCtoGL,MATCH(H1272,lst_CCforGL,0)),""))</f>
        <v/>
      </c>
      <c r="L1272" s="10">
        <f>IF($BI1272="","",IF($B1272="Onsite",INDEX(tbl_Onsite[PO / Reference],$BI1272),IF($B1272="Production",INDEX(tbl_Production[Current RMS No],$BI1272),INDEX(tbl_Consulting[Qwilr Quote],$BI1272)))&amp;"")</f>
        <v/>
      </c>
      <c r="M1272" s="10">
        <f>IF($BI1272="","",IF($B1272="Onsite",INDEX(tbl_Onsite[Notes],$BI1272),IF($B1272="Production",INDEX(tbl_Production[Notes],$BI1272),INDEX(tbl_Consulting[Notes],$BI1272)))&amp;"")</f>
        <v/>
      </c>
      <c r="N1272" s="11">
        <f>IF($BI1272="","",IF(IF($B1272="Onsite",INDEX(tbl_Onsite[Expected Revenue Ex GST],$BI1272),IF($B1272="Production",INDEX(tbl_Production[Expected Revenue Ex GST],$BI1272),INDEX(tbl_Consulting[Expected Revenue Ex GST],$BI1272)))="","",IF($B1272="Onsite",INDEX(tbl_Onsite[Expected Revenue Ex GST],$BI1272),IF($B1272="Production",INDEX(tbl_Production[Expected Revenue Ex GST],$BI1272),INDEX(tbl_Consulting[Expected Revenue Ex GST],$BI1272)))))</f>
        <v/>
      </c>
      <c r="O1272" s="11">
        <f>IF(AND($C1272="",NOT(COUNTA($S1272:$BB1272)&gt;0)),"",SUM(U1272,X1272,AA1272,AD1272,AG1272,AJ1272,AM1272,AP1272,AS1272,AV1272,AY1272,BB1272))</f>
        <v/>
      </c>
      <c r="P1272" s="11">
        <f>IF(O1272="","",N(N1272)-O1272)</f>
        <v/>
      </c>
      <c r="Q1272" s="10">
        <f>IF(O1272="","",IF($C1272="","Invoice on empty job row",IF(N1272="",IF(ROUND(O1272,2)=0,"No dept value","Invoiced - no dept value"),IF(ROUND(O1272,2)=0,"Not invoiced - to invoice",IF(ROUND(P1272,2)=0,"Agrees",IF(P1272&gt;0,"Dept higher - to invoice","Xero higher - check dept"))))))</f>
        <v/>
      </c>
      <c r="R1272" s="10">
        <f>IF(AND($C1272="",NOT(COUNTA($S1272:$BB1272)&gt;0),$BI1272&lt;&gt;""),"",MID(IF($BI1272="","; Row ID not found on the department sheet - a row was deleted","")&amp;IF(AND($C1272="",COUNTA($S1272:$BB1272)&gt;0),"; Invoice entered but the department row has no job number","")&amp;IF(E1272="CHECK","; Job number not in the Xero job list","")&amp;IF(AND($C1272&lt;&gt;"",COUNTIF($C$7:$C$1506,$C1272)&gt;1),"; Job number on more than one row","")&amp;IF(AND($C1272&lt;&gt;"",H1272=""),"; Dept has not set a cost centre","")&amp;IF(AND($C1272&lt;&gt;"",J1272=""),"; Dept has not set a tax code","")&amp;IF(AND($C1272&lt;&gt;"",N1272=""),"; Dept has not entered an expected value","")&amp;IF((IF(OR(COUNTA(S1272:U1272)=0,AND(COUNTA(S1272:U1272)=3,ISNUMBER(U1272))),0,1)+IF(OR(COUNTA(V1272:X1272)=0,AND(COUNTA(V1272:X1272)=3,ISNUMBER(X1272))),0,1)+IF(OR(COUNTA(Y1272:AA1272)=0,AND(COUNTA(Y1272:AA1272)=3,ISNUMBER(AA1272))),0,1)+IF(OR(COUNTA(AB1272:AD1272)=0,AND(COUNTA(AB1272:AD1272)=3,ISNUMBER(AD1272))),0,1)+IF(OR(COUNTA(AE1272:AG1272)=0,AND(COUNTA(AE1272:AG1272)=3,ISNUMBER(AG1272))),0,1)+IF(OR(COUNTA(AH1272:AJ1272)=0,AND(COUNTA(AH1272:AJ1272)=3,ISNUMBER(AJ1272))),0,1)+IF(OR(COUNTA(AK1272:AM1272)=0,AND(COUNTA(AK1272:AM1272)=3,ISNUMBER(AM1272))),0,1)+IF(OR(COUNTA(AN1272:AP1272)=0,AND(COUNTA(AN1272:AP1272)=3,ISNUMBER(AP1272))),0,1)+IF(OR(COUNTA(AQ1272:AS1272)=0,AND(COUNTA(AQ1272:AS1272)=3,ISNUMBER(AS1272))),0,1)+IF(OR(COUNTA(AT1272:AV1272)=0,AND(COUNTA(AT1272:AV1272)=3,ISNUMBER(AV1272))),0,1)+IF(OR(COUNTA(AW1272:AY1272)=0,AND(COUNTA(AW1272:AY1272)=3,ISNUMBER(AY1272))),0,1)+IF(OR(COUNTA(AZ1272:BB1272)=0,AND(COUNTA(AZ1272:BB1272)=3,ISNUMBER(BB1272))),0,1))&gt;0,"; An invoice is incomplete (needs No, Date and a number in Ex GST)","")&amp;IF((IF(T1272="",0,IFERROR(--(EOMONTH(T1272,0)&lt;&gt;S$5),1))+IF(W1272="",0,IFERROR(--(EOMONTH(W1272,0)&lt;&gt;V$5),1))+IF(Z1272="",0,IFERROR(--(EOMONTH(Z1272,0)&lt;&gt;Y$5),1))+IF(AC1272="",0,IFERROR(--(EOMONTH(AC1272,0)&lt;&gt;AB$5),1))+IF(AF1272="",0,IFERROR(--(EOMONTH(AF1272,0)&lt;&gt;AE$5),1))+IF(AI1272="",0,IFERROR(--(EOMONTH(AI1272,0)&lt;&gt;AH$5),1))+IF(AL1272="",0,IFERROR(--(EOMONTH(AL1272,0)&lt;&gt;AK$5),1))+IF(AO1272="",0,IFERROR(--(EOMONTH(AO1272,0)&lt;&gt;AN$5),1))+IF(AR1272="",0,IFERROR(--(EOMONTH(AR1272,0)&lt;&gt;AQ$5),1))+IF(AU1272="",0,IFERROR(--(EOMONTH(AU1272,0)&lt;&gt;AT$5),1))+IF(AX1272="",0,IFERROR(--(EOMONTH(AX1272,0)&lt;&gt;AW$5),1))+IF(BA1272="",0,IFERROR(--(EOMONTH(BA1272,0)&lt;&gt;AZ$5),1)))&gt;0,"; An invoice date is not in the month it is typed under",""),3,500))</f>
        <v/>
      </c>
      <c r="S1272" s="12" t="n"/>
      <c r="T1272" s="13" t="n"/>
      <c r="U1272" s="14" t="n"/>
      <c r="V1272" s="12" t="n"/>
      <c r="W1272" s="13" t="n"/>
      <c r="X1272" s="14" t="n"/>
      <c r="Y1272" s="12" t="n"/>
      <c r="Z1272" s="13" t="n"/>
      <c r="AA1272" s="14" t="n"/>
      <c r="AB1272" s="12" t="n"/>
      <c r="AC1272" s="13" t="n"/>
      <c r="AD1272" s="14" t="n"/>
      <c r="AE1272" s="12" t="n"/>
      <c r="AF1272" s="13" t="n"/>
      <c r="AG1272" s="14" t="n"/>
      <c r="AH1272" s="12" t="n"/>
      <c r="AI1272" s="13" t="n"/>
      <c r="AJ1272" s="14" t="n"/>
      <c r="AK1272" s="12" t="n"/>
      <c r="AL1272" s="13" t="n"/>
      <c r="AM1272" s="14" t="n"/>
      <c r="AN1272" s="12" t="n"/>
      <c r="AO1272" s="13" t="n"/>
      <c r="AP1272" s="14" t="n"/>
      <c r="AQ1272" s="12" t="n"/>
      <c r="AR1272" s="13" t="n"/>
      <c r="AS1272" s="14" t="n"/>
      <c r="AT1272" s="12" t="n"/>
      <c r="AU1272" s="13" t="n"/>
      <c r="AV1272" s="14" t="n"/>
      <c r="AW1272" s="12" t="n"/>
      <c r="AX1272" s="13" t="n"/>
      <c r="AY1272" s="14" t="n"/>
      <c r="AZ1272" s="12" t="n"/>
      <c r="BA1272" s="13" t="n"/>
      <c r="BB1272" s="14" t="n"/>
      <c r="BC1272" s="11">
        <f>IF(O1272="","",IF(J1272="GST 10%",ROUND(O1272*set_GSTRate,2),0))</f>
        <v/>
      </c>
      <c r="BD1272" s="11">
        <f>IF(O1272="","",O1272+BC1272)</f>
        <v/>
      </c>
      <c r="BE1272" s="15">
        <f>IF(O1272="","",COUNTA(S1272,V1272,Y1272,AB1272,AE1272,AH1272,AK1272,AN1272,AQ1272,AT1272,AW1272,AZ1272))</f>
        <v/>
      </c>
      <c r="BF1272" s="16">
        <f>IF(COUNT(T1272,W1272,Z1272,AC1272,AF1272,AI1272,AL1272,AO1272,AR1272,AU1272,AX1272,BA1272)=0,"",MAX(T1272,W1272,Z1272,AC1272,AF1272,AI1272,AL1272,AO1272,AR1272,AU1272,AX1272,BA1272))</f>
        <v/>
      </c>
      <c r="BG1272" s="10">
        <f>MID(IF(S1272="","",", "&amp;S1272)&amp;IF(V1272="","",", "&amp;V1272)&amp;IF(Y1272="","",", "&amp;Y1272)&amp;IF(AB1272="","",", "&amp;AB1272)&amp;IF(AE1272="","",", "&amp;AE1272)&amp;IF(AH1272="","",", "&amp;AH1272)&amp;IF(AK1272="","",", "&amp;AK1272)&amp;IF(AN1272="","",", "&amp;AN1272)&amp;IF(AQ1272="","",", "&amp;AQ1272)&amp;IF(AT1272="","",", "&amp;AT1272)&amp;IF(AW1272="","",", "&amp;AW1272)&amp;IF(AZ1272="","",", "&amp;AZ1272),3,500)</f>
        <v/>
      </c>
      <c r="BH1272" s="12" t="n"/>
      <c r="BI1272" s="15">
        <f>IFERROR(MATCH($A1272,IF($B1272="Onsite",tbl_Onsite[Row ID],IF($B1272="Production",tbl_Production[Row ID],tbl_Consulting[Row ID])),0),"")</f>
        <v/>
      </c>
    </row>
    <row r="1273">
      <c r="A1273" s="10" t="inlineStr">
        <is>
          <t>CON-0267</t>
        </is>
      </c>
      <c r="B1273" s="10" t="inlineStr">
        <is>
          <t>Consulting</t>
        </is>
      </c>
      <c r="C1273" s="10">
        <f>IF($BI1273="","",IF($B1273="Onsite",INDEX(tbl_Onsite[Job Number],$BI1273),IF($B1273="Production",INDEX(tbl_Production[Job Number],$BI1273),INDEX(tbl_Consulting[Job Number],$BI1273)))&amp;"")</f>
        <v/>
      </c>
      <c r="D1273" s="10">
        <f>IF($BI1273="","",IF($B1273="Onsite",INDEX(tbl_Onsite[Client],$BI1273),IF($B1273="Production",INDEX(tbl_Production[Client],$BI1273),INDEX(tbl_Consulting[Client],$BI1273)))&amp;"")</f>
        <v/>
      </c>
      <c r="E1273" s="10">
        <f>IF($C1273="","",IF(COUNTIF(lst_Jobs,$C1273)&gt;0,"OK","CHECK"))</f>
        <v/>
      </c>
      <c r="F1273" s="10">
        <f>IF($C1273="","",IFERROR(INDEX(lst_JobName,MATCH($C1273,lst_Jobs,0)),""))</f>
        <v/>
      </c>
      <c r="G1273" s="10">
        <f>IF($BI1273="","",IF($B1273="Onsite",INDEX(tbl_Onsite[Job Description],$BI1273),IF($B1273="Production",INDEX(tbl_Production[Job Description],$BI1273),INDEX(tbl_Consulting[Job Description],$BI1273)))&amp;"")</f>
        <v/>
      </c>
      <c r="H1273" s="10">
        <f>IF($BI1273="","",IF($B1273="Onsite",INDEX(tbl_Onsite[Cost Centre],$BI1273),IF($B1273="Production",INDEX(tbl_Production[Cost Centre],$BI1273),INDEX(tbl_Consulting[Cost Centre],$BI1273)))&amp;"")</f>
        <v/>
      </c>
      <c r="I1273" s="10">
        <f>IF($BI1273="","",IF($B1273="Onsite",INDEX(tbl_Onsite[Invoice Type],$BI1273),IF($B1273="Production",INDEX(tbl_Production[Invoice Type],$BI1273),INDEX(tbl_Consulting[Invoice Type],$BI1273)))&amp;"")</f>
        <v/>
      </c>
      <c r="J1273" s="10">
        <f>IF($BI1273="","",IF($B1273="Onsite",INDEX(tbl_Onsite[Tax Code],$BI1273),IF($B1273="Production",INDEX(tbl_Production[Tax Code],$BI1273),INDEX(tbl_Consulting[Tax Code],$BI1273)))&amp;"")</f>
        <v/>
      </c>
      <c r="K1273" s="10">
        <f>IF(H1273="","",IFERROR(INDEX(lst_CCtoGL,MATCH(H1273,lst_CCforGL,0)),""))</f>
        <v/>
      </c>
      <c r="L1273" s="10">
        <f>IF($BI1273="","",IF($B1273="Onsite",INDEX(tbl_Onsite[PO / Reference],$BI1273),IF($B1273="Production",INDEX(tbl_Production[Current RMS No],$BI1273),INDEX(tbl_Consulting[Qwilr Quote],$BI1273)))&amp;"")</f>
        <v/>
      </c>
      <c r="M1273" s="10">
        <f>IF($BI1273="","",IF($B1273="Onsite",INDEX(tbl_Onsite[Notes],$BI1273),IF($B1273="Production",INDEX(tbl_Production[Notes],$BI1273),INDEX(tbl_Consulting[Notes],$BI1273)))&amp;"")</f>
        <v/>
      </c>
      <c r="N1273" s="11">
        <f>IF($BI1273="","",IF(IF($B1273="Onsite",INDEX(tbl_Onsite[Expected Revenue Ex GST],$BI1273),IF($B1273="Production",INDEX(tbl_Production[Expected Revenue Ex GST],$BI1273),INDEX(tbl_Consulting[Expected Revenue Ex GST],$BI1273)))="","",IF($B1273="Onsite",INDEX(tbl_Onsite[Expected Revenue Ex GST],$BI1273),IF($B1273="Production",INDEX(tbl_Production[Expected Revenue Ex GST],$BI1273),INDEX(tbl_Consulting[Expected Revenue Ex GST],$BI1273)))))</f>
        <v/>
      </c>
      <c r="O1273" s="11">
        <f>IF(AND($C1273="",NOT(COUNTA($S1273:$BB1273)&gt;0)),"",SUM(U1273,X1273,AA1273,AD1273,AG1273,AJ1273,AM1273,AP1273,AS1273,AV1273,AY1273,BB1273))</f>
        <v/>
      </c>
      <c r="P1273" s="11">
        <f>IF(O1273="","",N(N1273)-O1273)</f>
        <v/>
      </c>
      <c r="Q1273" s="10">
        <f>IF(O1273="","",IF($C1273="","Invoice on empty job row",IF(N1273="",IF(ROUND(O1273,2)=0,"No dept value","Invoiced - no dept value"),IF(ROUND(O1273,2)=0,"Not invoiced - to invoice",IF(ROUND(P1273,2)=0,"Agrees",IF(P1273&gt;0,"Dept higher - to invoice","Xero higher - check dept"))))))</f>
        <v/>
      </c>
      <c r="R1273" s="10">
        <f>IF(AND($C1273="",NOT(COUNTA($S1273:$BB1273)&gt;0),$BI1273&lt;&gt;""),"",MID(IF($BI1273="","; Row ID not found on the department sheet - a row was deleted","")&amp;IF(AND($C1273="",COUNTA($S1273:$BB1273)&gt;0),"; Invoice entered but the department row has no job number","")&amp;IF(E1273="CHECK","; Job number not in the Xero job list","")&amp;IF(AND($C1273&lt;&gt;"",COUNTIF($C$7:$C$1506,$C1273)&gt;1),"; Job number on more than one row","")&amp;IF(AND($C1273&lt;&gt;"",H1273=""),"; Dept has not set a cost centre","")&amp;IF(AND($C1273&lt;&gt;"",J1273=""),"; Dept has not set a tax code","")&amp;IF(AND($C1273&lt;&gt;"",N1273=""),"; Dept has not entered an expected value","")&amp;IF((IF(OR(COUNTA(S1273:U1273)=0,AND(COUNTA(S1273:U1273)=3,ISNUMBER(U1273))),0,1)+IF(OR(COUNTA(V1273:X1273)=0,AND(COUNTA(V1273:X1273)=3,ISNUMBER(X1273))),0,1)+IF(OR(COUNTA(Y1273:AA1273)=0,AND(COUNTA(Y1273:AA1273)=3,ISNUMBER(AA1273))),0,1)+IF(OR(COUNTA(AB1273:AD1273)=0,AND(COUNTA(AB1273:AD1273)=3,ISNUMBER(AD1273))),0,1)+IF(OR(COUNTA(AE1273:AG1273)=0,AND(COUNTA(AE1273:AG1273)=3,ISNUMBER(AG1273))),0,1)+IF(OR(COUNTA(AH1273:AJ1273)=0,AND(COUNTA(AH1273:AJ1273)=3,ISNUMBER(AJ1273))),0,1)+IF(OR(COUNTA(AK1273:AM1273)=0,AND(COUNTA(AK1273:AM1273)=3,ISNUMBER(AM1273))),0,1)+IF(OR(COUNTA(AN1273:AP1273)=0,AND(COUNTA(AN1273:AP1273)=3,ISNUMBER(AP1273))),0,1)+IF(OR(COUNTA(AQ1273:AS1273)=0,AND(COUNTA(AQ1273:AS1273)=3,ISNUMBER(AS1273))),0,1)+IF(OR(COUNTA(AT1273:AV1273)=0,AND(COUNTA(AT1273:AV1273)=3,ISNUMBER(AV1273))),0,1)+IF(OR(COUNTA(AW1273:AY1273)=0,AND(COUNTA(AW1273:AY1273)=3,ISNUMBER(AY1273))),0,1)+IF(OR(COUNTA(AZ1273:BB1273)=0,AND(COUNTA(AZ1273:BB1273)=3,ISNUMBER(BB1273))),0,1))&gt;0,"; An invoice is incomplete (needs No, Date and a number in Ex GST)","")&amp;IF((IF(T1273="",0,IFERROR(--(EOMONTH(T1273,0)&lt;&gt;S$5),1))+IF(W1273="",0,IFERROR(--(EOMONTH(W1273,0)&lt;&gt;V$5),1))+IF(Z1273="",0,IFERROR(--(EOMONTH(Z1273,0)&lt;&gt;Y$5),1))+IF(AC1273="",0,IFERROR(--(EOMONTH(AC1273,0)&lt;&gt;AB$5),1))+IF(AF1273="",0,IFERROR(--(EOMONTH(AF1273,0)&lt;&gt;AE$5),1))+IF(AI1273="",0,IFERROR(--(EOMONTH(AI1273,0)&lt;&gt;AH$5),1))+IF(AL1273="",0,IFERROR(--(EOMONTH(AL1273,0)&lt;&gt;AK$5),1))+IF(AO1273="",0,IFERROR(--(EOMONTH(AO1273,0)&lt;&gt;AN$5),1))+IF(AR1273="",0,IFERROR(--(EOMONTH(AR1273,0)&lt;&gt;AQ$5),1))+IF(AU1273="",0,IFERROR(--(EOMONTH(AU1273,0)&lt;&gt;AT$5),1))+IF(AX1273="",0,IFERROR(--(EOMONTH(AX1273,0)&lt;&gt;AW$5),1))+IF(BA1273="",0,IFERROR(--(EOMONTH(BA1273,0)&lt;&gt;AZ$5),1)))&gt;0,"; An invoice date is not in the month it is typed under",""),3,500))</f>
        <v/>
      </c>
      <c r="S1273" s="12" t="n"/>
      <c r="T1273" s="13" t="n"/>
      <c r="U1273" s="14" t="n"/>
      <c r="V1273" s="12" t="n"/>
      <c r="W1273" s="13" t="n"/>
      <c r="X1273" s="14" t="n"/>
      <c r="Y1273" s="12" t="n"/>
      <c r="Z1273" s="13" t="n"/>
      <c r="AA1273" s="14" t="n"/>
      <c r="AB1273" s="12" t="n"/>
      <c r="AC1273" s="13" t="n"/>
      <c r="AD1273" s="14" t="n"/>
      <c r="AE1273" s="12" t="n"/>
      <c r="AF1273" s="13" t="n"/>
      <c r="AG1273" s="14" t="n"/>
      <c r="AH1273" s="12" t="n"/>
      <c r="AI1273" s="13" t="n"/>
      <c r="AJ1273" s="14" t="n"/>
      <c r="AK1273" s="12" t="n"/>
      <c r="AL1273" s="13" t="n"/>
      <c r="AM1273" s="14" t="n"/>
      <c r="AN1273" s="12" t="n"/>
      <c r="AO1273" s="13" t="n"/>
      <c r="AP1273" s="14" t="n"/>
      <c r="AQ1273" s="12" t="n"/>
      <c r="AR1273" s="13" t="n"/>
      <c r="AS1273" s="14" t="n"/>
      <c r="AT1273" s="12" t="n"/>
      <c r="AU1273" s="13" t="n"/>
      <c r="AV1273" s="14" t="n"/>
      <c r="AW1273" s="12" t="n"/>
      <c r="AX1273" s="13" t="n"/>
      <c r="AY1273" s="14" t="n"/>
      <c r="AZ1273" s="12" t="n"/>
      <c r="BA1273" s="13" t="n"/>
      <c r="BB1273" s="14" t="n"/>
      <c r="BC1273" s="11">
        <f>IF(O1273="","",IF(J1273="GST 10%",ROUND(O1273*set_GSTRate,2),0))</f>
        <v/>
      </c>
      <c r="BD1273" s="11">
        <f>IF(O1273="","",O1273+BC1273)</f>
        <v/>
      </c>
      <c r="BE1273" s="15">
        <f>IF(O1273="","",COUNTA(S1273,V1273,Y1273,AB1273,AE1273,AH1273,AK1273,AN1273,AQ1273,AT1273,AW1273,AZ1273))</f>
        <v/>
      </c>
      <c r="BF1273" s="16">
        <f>IF(COUNT(T1273,W1273,Z1273,AC1273,AF1273,AI1273,AL1273,AO1273,AR1273,AU1273,AX1273,BA1273)=0,"",MAX(T1273,W1273,Z1273,AC1273,AF1273,AI1273,AL1273,AO1273,AR1273,AU1273,AX1273,BA1273))</f>
        <v/>
      </c>
      <c r="BG1273" s="10">
        <f>MID(IF(S1273="","",", "&amp;S1273)&amp;IF(V1273="","",", "&amp;V1273)&amp;IF(Y1273="","",", "&amp;Y1273)&amp;IF(AB1273="","",", "&amp;AB1273)&amp;IF(AE1273="","",", "&amp;AE1273)&amp;IF(AH1273="","",", "&amp;AH1273)&amp;IF(AK1273="","",", "&amp;AK1273)&amp;IF(AN1273="","",", "&amp;AN1273)&amp;IF(AQ1273="","",", "&amp;AQ1273)&amp;IF(AT1273="","",", "&amp;AT1273)&amp;IF(AW1273="","",", "&amp;AW1273)&amp;IF(AZ1273="","",", "&amp;AZ1273),3,500)</f>
        <v/>
      </c>
      <c r="BH1273" s="12" t="n"/>
      <c r="BI1273" s="15">
        <f>IFERROR(MATCH($A1273,IF($B1273="Onsite",tbl_Onsite[Row ID],IF($B1273="Production",tbl_Production[Row ID],tbl_Consulting[Row ID])),0),"")</f>
        <v/>
      </c>
    </row>
    <row r="1274">
      <c r="A1274" s="10" t="inlineStr">
        <is>
          <t>CON-0268</t>
        </is>
      </c>
      <c r="B1274" s="10" t="inlineStr">
        <is>
          <t>Consulting</t>
        </is>
      </c>
      <c r="C1274" s="10">
        <f>IF($BI1274="","",IF($B1274="Onsite",INDEX(tbl_Onsite[Job Number],$BI1274),IF($B1274="Production",INDEX(tbl_Production[Job Number],$BI1274),INDEX(tbl_Consulting[Job Number],$BI1274)))&amp;"")</f>
        <v/>
      </c>
      <c r="D1274" s="10">
        <f>IF($BI1274="","",IF($B1274="Onsite",INDEX(tbl_Onsite[Client],$BI1274),IF($B1274="Production",INDEX(tbl_Production[Client],$BI1274),INDEX(tbl_Consulting[Client],$BI1274)))&amp;"")</f>
        <v/>
      </c>
      <c r="E1274" s="10">
        <f>IF($C1274="","",IF(COUNTIF(lst_Jobs,$C1274)&gt;0,"OK","CHECK"))</f>
        <v/>
      </c>
      <c r="F1274" s="10">
        <f>IF($C1274="","",IFERROR(INDEX(lst_JobName,MATCH($C1274,lst_Jobs,0)),""))</f>
        <v/>
      </c>
      <c r="G1274" s="10">
        <f>IF($BI1274="","",IF($B1274="Onsite",INDEX(tbl_Onsite[Job Description],$BI1274),IF($B1274="Production",INDEX(tbl_Production[Job Description],$BI1274),INDEX(tbl_Consulting[Job Description],$BI1274)))&amp;"")</f>
        <v/>
      </c>
      <c r="H1274" s="10">
        <f>IF($BI1274="","",IF($B1274="Onsite",INDEX(tbl_Onsite[Cost Centre],$BI1274),IF($B1274="Production",INDEX(tbl_Production[Cost Centre],$BI1274),INDEX(tbl_Consulting[Cost Centre],$BI1274)))&amp;"")</f>
        <v/>
      </c>
      <c r="I1274" s="10">
        <f>IF($BI1274="","",IF($B1274="Onsite",INDEX(tbl_Onsite[Invoice Type],$BI1274),IF($B1274="Production",INDEX(tbl_Production[Invoice Type],$BI1274),INDEX(tbl_Consulting[Invoice Type],$BI1274)))&amp;"")</f>
        <v/>
      </c>
      <c r="J1274" s="10">
        <f>IF($BI1274="","",IF($B1274="Onsite",INDEX(tbl_Onsite[Tax Code],$BI1274),IF($B1274="Production",INDEX(tbl_Production[Tax Code],$BI1274),INDEX(tbl_Consulting[Tax Code],$BI1274)))&amp;"")</f>
        <v/>
      </c>
      <c r="K1274" s="10">
        <f>IF(H1274="","",IFERROR(INDEX(lst_CCtoGL,MATCH(H1274,lst_CCforGL,0)),""))</f>
        <v/>
      </c>
      <c r="L1274" s="10">
        <f>IF($BI1274="","",IF($B1274="Onsite",INDEX(tbl_Onsite[PO / Reference],$BI1274),IF($B1274="Production",INDEX(tbl_Production[Current RMS No],$BI1274),INDEX(tbl_Consulting[Qwilr Quote],$BI1274)))&amp;"")</f>
        <v/>
      </c>
      <c r="M1274" s="10">
        <f>IF($BI1274="","",IF($B1274="Onsite",INDEX(tbl_Onsite[Notes],$BI1274),IF($B1274="Production",INDEX(tbl_Production[Notes],$BI1274),INDEX(tbl_Consulting[Notes],$BI1274)))&amp;"")</f>
        <v/>
      </c>
      <c r="N1274" s="11">
        <f>IF($BI1274="","",IF(IF($B1274="Onsite",INDEX(tbl_Onsite[Expected Revenue Ex GST],$BI1274),IF($B1274="Production",INDEX(tbl_Production[Expected Revenue Ex GST],$BI1274),INDEX(tbl_Consulting[Expected Revenue Ex GST],$BI1274)))="","",IF($B1274="Onsite",INDEX(tbl_Onsite[Expected Revenue Ex GST],$BI1274),IF($B1274="Production",INDEX(tbl_Production[Expected Revenue Ex GST],$BI1274),INDEX(tbl_Consulting[Expected Revenue Ex GST],$BI1274)))))</f>
        <v/>
      </c>
      <c r="O1274" s="11">
        <f>IF(AND($C1274="",NOT(COUNTA($S1274:$BB1274)&gt;0)),"",SUM(U1274,X1274,AA1274,AD1274,AG1274,AJ1274,AM1274,AP1274,AS1274,AV1274,AY1274,BB1274))</f>
        <v/>
      </c>
      <c r="P1274" s="11">
        <f>IF(O1274="","",N(N1274)-O1274)</f>
        <v/>
      </c>
      <c r="Q1274" s="10">
        <f>IF(O1274="","",IF($C1274="","Invoice on empty job row",IF(N1274="",IF(ROUND(O1274,2)=0,"No dept value","Invoiced - no dept value"),IF(ROUND(O1274,2)=0,"Not invoiced - to invoice",IF(ROUND(P1274,2)=0,"Agrees",IF(P1274&gt;0,"Dept higher - to invoice","Xero higher - check dept"))))))</f>
        <v/>
      </c>
      <c r="R1274" s="10">
        <f>IF(AND($C1274="",NOT(COUNTA($S1274:$BB1274)&gt;0),$BI1274&lt;&gt;""),"",MID(IF($BI1274="","; Row ID not found on the department sheet - a row was deleted","")&amp;IF(AND($C1274="",COUNTA($S1274:$BB1274)&gt;0),"; Invoice entered but the department row has no job number","")&amp;IF(E1274="CHECK","; Job number not in the Xero job list","")&amp;IF(AND($C1274&lt;&gt;"",COUNTIF($C$7:$C$1506,$C1274)&gt;1),"; Job number on more than one row","")&amp;IF(AND($C1274&lt;&gt;"",H1274=""),"; Dept has not set a cost centre","")&amp;IF(AND($C1274&lt;&gt;"",J1274=""),"; Dept has not set a tax code","")&amp;IF(AND($C1274&lt;&gt;"",N1274=""),"; Dept has not entered an expected value","")&amp;IF((IF(OR(COUNTA(S1274:U1274)=0,AND(COUNTA(S1274:U1274)=3,ISNUMBER(U1274))),0,1)+IF(OR(COUNTA(V1274:X1274)=0,AND(COUNTA(V1274:X1274)=3,ISNUMBER(X1274))),0,1)+IF(OR(COUNTA(Y1274:AA1274)=0,AND(COUNTA(Y1274:AA1274)=3,ISNUMBER(AA1274))),0,1)+IF(OR(COUNTA(AB1274:AD1274)=0,AND(COUNTA(AB1274:AD1274)=3,ISNUMBER(AD1274))),0,1)+IF(OR(COUNTA(AE1274:AG1274)=0,AND(COUNTA(AE1274:AG1274)=3,ISNUMBER(AG1274))),0,1)+IF(OR(COUNTA(AH1274:AJ1274)=0,AND(COUNTA(AH1274:AJ1274)=3,ISNUMBER(AJ1274))),0,1)+IF(OR(COUNTA(AK1274:AM1274)=0,AND(COUNTA(AK1274:AM1274)=3,ISNUMBER(AM1274))),0,1)+IF(OR(COUNTA(AN1274:AP1274)=0,AND(COUNTA(AN1274:AP1274)=3,ISNUMBER(AP1274))),0,1)+IF(OR(COUNTA(AQ1274:AS1274)=0,AND(COUNTA(AQ1274:AS1274)=3,ISNUMBER(AS1274))),0,1)+IF(OR(COUNTA(AT1274:AV1274)=0,AND(COUNTA(AT1274:AV1274)=3,ISNUMBER(AV1274))),0,1)+IF(OR(COUNTA(AW1274:AY1274)=0,AND(COUNTA(AW1274:AY1274)=3,ISNUMBER(AY1274))),0,1)+IF(OR(COUNTA(AZ1274:BB1274)=0,AND(COUNTA(AZ1274:BB1274)=3,ISNUMBER(BB1274))),0,1))&gt;0,"; An invoice is incomplete (needs No, Date and a number in Ex GST)","")&amp;IF((IF(T1274="",0,IFERROR(--(EOMONTH(T1274,0)&lt;&gt;S$5),1))+IF(W1274="",0,IFERROR(--(EOMONTH(W1274,0)&lt;&gt;V$5),1))+IF(Z1274="",0,IFERROR(--(EOMONTH(Z1274,0)&lt;&gt;Y$5),1))+IF(AC1274="",0,IFERROR(--(EOMONTH(AC1274,0)&lt;&gt;AB$5),1))+IF(AF1274="",0,IFERROR(--(EOMONTH(AF1274,0)&lt;&gt;AE$5),1))+IF(AI1274="",0,IFERROR(--(EOMONTH(AI1274,0)&lt;&gt;AH$5),1))+IF(AL1274="",0,IFERROR(--(EOMONTH(AL1274,0)&lt;&gt;AK$5),1))+IF(AO1274="",0,IFERROR(--(EOMONTH(AO1274,0)&lt;&gt;AN$5),1))+IF(AR1274="",0,IFERROR(--(EOMONTH(AR1274,0)&lt;&gt;AQ$5),1))+IF(AU1274="",0,IFERROR(--(EOMONTH(AU1274,0)&lt;&gt;AT$5),1))+IF(AX1274="",0,IFERROR(--(EOMONTH(AX1274,0)&lt;&gt;AW$5),1))+IF(BA1274="",0,IFERROR(--(EOMONTH(BA1274,0)&lt;&gt;AZ$5),1)))&gt;0,"; An invoice date is not in the month it is typed under",""),3,500))</f>
        <v/>
      </c>
      <c r="S1274" s="12" t="n"/>
      <c r="T1274" s="13" t="n"/>
      <c r="U1274" s="14" t="n"/>
      <c r="V1274" s="12" t="n"/>
      <c r="W1274" s="13" t="n"/>
      <c r="X1274" s="14" t="n"/>
      <c r="Y1274" s="12" t="n"/>
      <c r="Z1274" s="13" t="n"/>
      <c r="AA1274" s="14" t="n"/>
      <c r="AB1274" s="12" t="n"/>
      <c r="AC1274" s="13" t="n"/>
      <c r="AD1274" s="14" t="n"/>
      <c r="AE1274" s="12" t="n"/>
      <c r="AF1274" s="13" t="n"/>
      <c r="AG1274" s="14" t="n"/>
      <c r="AH1274" s="12" t="n"/>
      <c r="AI1274" s="13" t="n"/>
      <c r="AJ1274" s="14" t="n"/>
      <c r="AK1274" s="12" t="n"/>
      <c r="AL1274" s="13" t="n"/>
      <c r="AM1274" s="14" t="n"/>
      <c r="AN1274" s="12" t="n"/>
      <c r="AO1274" s="13" t="n"/>
      <c r="AP1274" s="14" t="n"/>
      <c r="AQ1274" s="12" t="n"/>
      <c r="AR1274" s="13" t="n"/>
      <c r="AS1274" s="14" t="n"/>
      <c r="AT1274" s="12" t="n"/>
      <c r="AU1274" s="13" t="n"/>
      <c r="AV1274" s="14" t="n"/>
      <c r="AW1274" s="12" t="n"/>
      <c r="AX1274" s="13" t="n"/>
      <c r="AY1274" s="14" t="n"/>
      <c r="AZ1274" s="12" t="n"/>
      <c r="BA1274" s="13" t="n"/>
      <c r="BB1274" s="14" t="n"/>
      <c r="BC1274" s="11">
        <f>IF(O1274="","",IF(J1274="GST 10%",ROUND(O1274*set_GSTRate,2),0))</f>
        <v/>
      </c>
      <c r="BD1274" s="11">
        <f>IF(O1274="","",O1274+BC1274)</f>
        <v/>
      </c>
      <c r="BE1274" s="15">
        <f>IF(O1274="","",COUNTA(S1274,V1274,Y1274,AB1274,AE1274,AH1274,AK1274,AN1274,AQ1274,AT1274,AW1274,AZ1274))</f>
        <v/>
      </c>
      <c r="BF1274" s="16">
        <f>IF(COUNT(T1274,W1274,Z1274,AC1274,AF1274,AI1274,AL1274,AO1274,AR1274,AU1274,AX1274,BA1274)=0,"",MAX(T1274,W1274,Z1274,AC1274,AF1274,AI1274,AL1274,AO1274,AR1274,AU1274,AX1274,BA1274))</f>
        <v/>
      </c>
      <c r="BG1274" s="10">
        <f>MID(IF(S1274="","",", "&amp;S1274)&amp;IF(V1274="","",", "&amp;V1274)&amp;IF(Y1274="","",", "&amp;Y1274)&amp;IF(AB1274="","",", "&amp;AB1274)&amp;IF(AE1274="","",", "&amp;AE1274)&amp;IF(AH1274="","",", "&amp;AH1274)&amp;IF(AK1274="","",", "&amp;AK1274)&amp;IF(AN1274="","",", "&amp;AN1274)&amp;IF(AQ1274="","",", "&amp;AQ1274)&amp;IF(AT1274="","",", "&amp;AT1274)&amp;IF(AW1274="","",", "&amp;AW1274)&amp;IF(AZ1274="","",", "&amp;AZ1274),3,500)</f>
        <v/>
      </c>
      <c r="BH1274" s="12" t="n"/>
      <c r="BI1274" s="15">
        <f>IFERROR(MATCH($A1274,IF($B1274="Onsite",tbl_Onsite[Row ID],IF($B1274="Production",tbl_Production[Row ID],tbl_Consulting[Row ID])),0),"")</f>
        <v/>
      </c>
    </row>
    <row r="1275">
      <c r="A1275" s="10" t="inlineStr">
        <is>
          <t>CON-0269</t>
        </is>
      </c>
      <c r="B1275" s="10" t="inlineStr">
        <is>
          <t>Consulting</t>
        </is>
      </c>
      <c r="C1275" s="10">
        <f>IF($BI1275="","",IF($B1275="Onsite",INDEX(tbl_Onsite[Job Number],$BI1275),IF($B1275="Production",INDEX(tbl_Production[Job Number],$BI1275),INDEX(tbl_Consulting[Job Number],$BI1275)))&amp;"")</f>
        <v/>
      </c>
      <c r="D1275" s="10">
        <f>IF($BI1275="","",IF($B1275="Onsite",INDEX(tbl_Onsite[Client],$BI1275),IF($B1275="Production",INDEX(tbl_Production[Client],$BI1275),INDEX(tbl_Consulting[Client],$BI1275)))&amp;"")</f>
        <v/>
      </c>
      <c r="E1275" s="10">
        <f>IF($C1275="","",IF(COUNTIF(lst_Jobs,$C1275)&gt;0,"OK","CHECK"))</f>
        <v/>
      </c>
      <c r="F1275" s="10">
        <f>IF($C1275="","",IFERROR(INDEX(lst_JobName,MATCH($C1275,lst_Jobs,0)),""))</f>
        <v/>
      </c>
      <c r="G1275" s="10">
        <f>IF($BI1275="","",IF($B1275="Onsite",INDEX(tbl_Onsite[Job Description],$BI1275),IF($B1275="Production",INDEX(tbl_Production[Job Description],$BI1275),INDEX(tbl_Consulting[Job Description],$BI1275)))&amp;"")</f>
        <v/>
      </c>
      <c r="H1275" s="10">
        <f>IF($BI1275="","",IF($B1275="Onsite",INDEX(tbl_Onsite[Cost Centre],$BI1275),IF($B1275="Production",INDEX(tbl_Production[Cost Centre],$BI1275),INDEX(tbl_Consulting[Cost Centre],$BI1275)))&amp;"")</f>
        <v/>
      </c>
      <c r="I1275" s="10">
        <f>IF($BI1275="","",IF($B1275="Onsite",INDEX(tbl_Onsite[Invoice Type],$BI1275),IF($B1275="Production",INDEX(tbl_Production[Invoice Type],$BI1275),INDEX(tbl_Consulting[Invoice Type],$BI1275)))&amp;"")</f>
        <v/>
      </c>
      <c r="J1275" s="10">
        <f>IF($BI1275="","",IF($B1275="Onsite",INDEX(tbl_Onsite[Tax Code],$BI1275),IF($B1275="Production",INDEX(tbl_Production[Tax Code],$BI1275),INDEX(tbl_Consulting[Tax Code],$BI1275)))&amp;"")</f>
        <v/>
      </c>
      <c r="K1275" s="10">
        <f>IF(H1275="","",IFERROR(INDEX(lst_CCtoGL,MATCH(H1275,lst_CCforGL,0)),""))</f>
        <v/>
      </c>
      <c r="L1275" s="10">
        <f>IF($BI1275="","",IF($B1275="Onsite",INDEX(tbl_Onsite[PO / Reference],$BI1275),IF($B1275="Production",INDEX(tbl_Production[Current RMS No],$BI1275),INDEX(tbl_Consulting[Qwilr Quote],$BI1275)))&amp;"")</f>
        <v/>
      </c>
      <c r="M1275" s="10">
        <f>IF($BI1275="","",IF($B1275="Onsite",INDEX(tbl_Onsite[Notes],$BI1275),IF($B1275="Production",INDEX(tbl_Production[Notes],$BI1275),INDEX(tbl_Consulting[Notes],$BI1275)))&amp;"")</f>
        <v/>
      </c>
      <c r="N1275" s="11">
        <f>IF($BI1275="","",IF(IF($B1275="Onsite",INDEX(tbl_Onsite[Expected Revenue Ex GST],$BI1275),IF($B1275="Production",INDEX(tbl_Production[Expected Revenue Ex GST],$BI1275),INDEX(tbl_Consulting[Expected Revenue Ex GST],$BI1275)))="","",IF($B1275="Onsite",INDEX(tbl_Onsite[Expected Revenue Ex GST],$BI1275),IF($B1275="Production",INDEX(tbl_Production[Expected Revenue Ex GST],$BI1275),INDEX(tbl_Consulting[Expected Revenue Ex GST],$BI1275)))))</f>
        <v/>
      </c>
      <c r="O1275" s="11">
        <f>IF(AND($C1275="",NOT(COUNTA($S1275:$BB1275)&gt;0)),"",SUM(U1275,X1275,AA1275,AD1275,AG1275,AJ1275,AM1275,AP1275,AS1275,AV1275,AY1275,BB1275))</f>
        <v/>
      </c>
      <c r="P1275" s="11">
        <f>IF(O1275="","",N(N1275)-O1275)</f>
        <v/>
      </c>
      <c r="Q1275" s="10">
        <f>IF(O1275="","",IF($C1275="","Invoice on empty job row",IF(N1275="",IF(ROUND(O1275,2)=0,"No dept value","Invoiced - no dept value"),IF(ROUND(O1275,2)=0,"Not invoiced - to invoice",IF(ROUND(P1275,2)=0,"Agrees",IF(P1275&gt;0,"Dept higher - to invoice","Xero higher - check dept"))))))</f>
        <v/>
      </c>
      <c r="R1275" s="10">
        <f>IF(AND($C1275="",NOT(COUNTA($S1275:$BB1275)&gt;0),$BI1275&lt;&gt;""),"",MID(IF($BI1275="","; Row ID not found on the department sheet - a row was deleted","")&amp;IF(AND($C1275="",COUNTA($S1275:$BB1275)&gt;0),"; Invoice entered but the department row has no job number","")&amp;IF(E1275="CHECK","; Job number not in the Xero job list","")&amp;IF(AND($C1275&lt;&gt;"",COUNTIF($C$7:$C$1506,$C1275)&gt;1),"; Job number on more than one row","")&amp;IF(AND($C1275&lt;&gt;"",H1275=""),"; Dept has not set a cost centre","")&amp;IF(AND($C1275&lt;&gt;"",J1275=""),"; Dept has not set a tax code","")&amp;IF(AND($C1275&lt;&gt;"",N1275=""),"; Dept has not entered an expected value","")&amp;IF((IF(OR(COUNTA(S1275:U1275)=0,AND(COUNTA(S1275:U1275)=3,ISNUMBER(U1275))),0,1)+IF(OR(COUNTA(V1275:X1275)=0,AND(COUNTA(V1275:X1275)=3,ISNUMBER(X1275))),0,1)+IF(OR(COUNTA(Y1275:AA1275)=0,AND(COUNTA(Y1275:AA1275)=3,ISNUMBER(AA1275))),0,1)+IF(OR(COUNTA(AB1275:AD1275)=0,AND(COUNTA(AB1275:AD1275)=3,ISNUMBER(AD1275))),0,1)+IF(OR(COUNTA(AE1275:AG1275)=0,AND(COUNTA(AE1275:AG1275)=3,ISNUMBER(AG1275))),0,1)+IF(OR(COUNTA(AH1275:AJ1275)=0,AND(COUNTA(AH1275:AJ1275)=3,ISNUMBER(AJ1275))),0,1)+IF(OR(COUNTA(AK1275:AM1275)=0,AND(COUNTA(AK1275:AM1275)=3,ISNUMBER(AM1275))),0,1)+IF(OR(COUNTA(AN1275:AP1275)=0,AND(COUNTA(AN1275:AP1275)=3,ISNUMBER(AP1275))),0,1)+IF(OR(COUNTA(AQ1275:AS1275)=0,AND(COUNTA(AQ1275:AS1275)=3,ISNUMBER(AS1275))),0,1)+IF(OR(COUNTA(AT1275:AV1275)=0,AND(COUNTA(AT1275:AV1275)=3,ISNUMBER(AV1275))),0,1)+IF(OR(COUNTA(AW1275:AY1275)=0,AND(COUNTA(AW1275:AY1275)=3,ISNUMBER(AY1275))),0,1)+IF(OR(COUNTA(AZ1275:BB1275)=0,AND(COUNTA(AZ1275:BB1275)=3,ISNUMBER(BB1275))),0,1))&gt;0,"; An invoice is incomplete (needs No, Date and a number in Ex GST)","")&amp;IF((IF(T1275="",0,IFERROR(--(EOMONTH(T1275,0)&lt;&gt;S$5),1))+IF(W1275="",0,IFERROR(--(EOMONTH(W1275,0)&lt;&gt;V$5),1))+IF(Z1275="",0,IFERROR(--(EOMONTH(Z1275,0)&lt;&gt;Y$5),1))+IF(AC1275="",0,IFERROR(--(EOMONTH(AC1275,0)&lt;&gt;AB$5),1))+IF(AF1275="",0,IFERROR(--(EOMONTH(AF1275,0)&lt;&gt;AE$5),1))+IF(AI1275="",0,IFERROR(--(EOMONTH(AI1275,0)&lt;&gt;AH$5),1))+IF(AL1275="",0,IFERROR(--(EOMONTH(AL1275,0)&lt;&gt;AK$5),1))+IF(AO1275="",0,IFERROR(--(EOMONTH(AO1275,0)&lt;&gt;AN$5),1))+IF(AR1275="",0,IFERROR(--(EOMONTH(AR1275,0)&lt;&gt;AQ$5),1))+IF(AU1275="",0,IFERROR(--(EOMONTH(AU1275,0)&lt;&gt;AT$5),1))+IF(AX1275="",0,IFERROR(--(EOMONTH(AX1275,0)&lt;&gt;AW$5),1))+IF(BA1275="",0,IFERROR(--(EOMONTH(BA1275,0)&lt;&gt;AZ$5),1)))&gt;0,"; An invoice date is not in the month it is typed under",""),3,500))</f>
        <v/>
      </c>
      <c r="S1275" s="12" t="n"/>
      <c r="T1275" s="13" t="n"/>
      <c r="U1275" s="14" t="n"/>
      <c r="V1275" s="12" t="n"/>
      <c r="W1275" s="13" t="n"/>
      <c r="X1275" s="14" t="n"/>
      <c r="Y1275" s="12" t="n"/>
      <c r="Z1275" s="13" t="n"/>
      <c r="AA1275" s="14" t="n"/>
      <c r="AB1275" s="12" t="n"/>
      <c r="AC1275" s="13" t="n"/>
      <c r="AD1275" s="14" t="n"/>
      <c r="AE1275" s="12" t="n"/>
      <c r="AF1275" s="13" t="n"/>
      <c r="AG1275" s="14" t="n"/>
      <c r="AH1275" s="12" t="n"/>
      <c r="AI1275" s="13" t="n"/>
      <c r="AJ1275" s="14" t="n"/>
      <c r="AK1275" s="12" t="n"/>
      <c r="AL1275" s="13" t="n"/>
      <c r="AM1275" s="14" t="n"/>
      <c r="AN1275" s="12" t="n"/>
      <c r="AO1275" s="13" t="n"/>
      <c r="AP1275" s="14" t="n"/>
      <c r="AQ1275" s="12" t="n"/>
      <c r="AR1275" s="13" t="n"/>
      <c r="AS1275" s="14" t="n"/>
      <c r="AT1275" s="12" t="n"/>
      <c r="AU1275" s="13" t="n"/>
      <c r="AV1275" s="14" t="n"/>
      <c r="AW1275" s="12" t="n"/>
      <c r="AX1275" s="13" t="n"/>
      <c r="AY1275" s="14" t="n"/>
      <c r="AZ1275" s="12" t="n"/>
      <c r="BA1275" s="13" t="n"/>
      <c r="BB1275" s="14" t="n"/>
      <c r="BC1275" s="11">
        <f>IF(O1275="","",IF(J1275="GST 10%",ROUND(O1275*set_GSTRate,2),0))</f>
        <v/>
      </c>
      <c r="BD1275" s="11">
        <f>IF(O1275="","",O1275+BC1275)</f>
        <v/>
      </c>
      <c r="BE1275" s="15">
        <f>IF(O1275="","",COUNTA(S1275,V1275,Y1275,AB1275,AE1275,AH1275,AK1275,AN1275,AQ1275,AT1275,AW1275,AZ1275))</f>
        <v/>
      </c>
      <c r="BF1275" s="16">
        <f>IF(COUNT(T1275,W1275,Z1275,AC1275,AF1275,AI1275,AL1275,AO1275,AR1275,AU1275,AX1275,BA1275)=0,"",MAX(T1275,W1275,Z1275,AC1275,AF1275,AI1275,AL1275,AO1275,AR1275,AU1275,AX1275,BA1275))</f>
        <v/>
      </c>
      <c r="BG1275" s="10">
        <f>MID(IF(S1275="","",", "&amp;S1275)&amp;IF(V1275="","",", "&amp;V1275)&amp;IF(Y1275="","",", "&amp;Y1275)&amp;IF(AB1275="","",", "&amp;AB1275)&amp;IF(AE1275="","",", "&amp;AE1275)&amp;IF(AH1275="","",", "&amp;AH1275)&amp;IF(AK1275="","",", "&amp;AK1275)&amp;IF(AN1275="","",", "&amp;AN1275)&amp;IF(AQ1275="","",", "&amp;AQ1275)&amp;IF(AT1275="","",", "&amp;AT1275)&amp;IF(AW1275="","",", "&amp;AW1275)&amp;IF(AZ1275="","",", "&amp;AZ1275),3,500)</f>
        <v/>
      </c>
      <c r="BH1275" s="12" t="n"/>
      <c r="BI1275" s="15">
        <f>IFERROR(MATCH($A1275,IF($B1275="Onsite",tbl_Onsite[Row ID],IF($B1275="Production",tbl_Production[Row ID],tbl_Consulting[Row ID])),0),"")</f>
        <v/>
      </c>
    </row>
    <row r="1276">
      <c r="A1276" s="10" t="inlineStr">
        <is>
          <t>CON-0270</t>
        </is>
      </c>
      <c r="B1276" s="10" t="inlineStr">
        <is>
          <t>Consulting</t>
        </is>
      </c>
      <c r="C1276" s="10">
        <f>IF($BI1276="","",IF($B1276="Onsite",INDEX(tbl_Onsite[Job Number],$BI1276),IF($B1276="Production",INDEX(tbl_Production[Job Number],$BI1276),INDEX(tbl_Consulting[Job Number],$BI1276)))&amp;"")</f>
        <v/>
      </c>
      <c r="D1276" s="10">
        <f>IF($BI1276="","",IF($B1276="Onsite",INDEX(tbl_Onsite[Client],$BI1276),IF($B1276="Production",INDEX(tbl_Production[Client],$BI1276),INDEX(tbl_Consulting[Client],$BI1276)))&amp;"")</f>
        <v/>
      </c>
      <c r="E1276" s="10">
        <f>IF($C1276="","",IF(COUNTIF(lst_Jobs,$C1276)&gt;0,"OK","CHECK"))</f>
        <v/>
      </c>
      <c r="F1276" s="10">
        <f>IF($C1276="","",IFERROR(INDEX(lst_JobName,MATCH($C1276,lst_Jobs,0)),""))</f>
        <v/>
      </c>
      <c r="G1276" s="10">
        <f>IF($BI1276="","",IF($B1276="Onsite",INDEX(tbl_Onsite[Job Description],$BI1276),IF($B1276="Production",INDEX(tbl_Production[Job Description],$BI1276),INDEX(tbl_Consulting[Job Description],$BI1276)))&amp;"")</f>
        <v/>
      </c>
      <c r="H1276" s="10">
        <f>IF($BI1276="","",IF($B1276="Onsite",INDEX(tbl_Onsite[Cost Centre],$BI1276),IF($B1276="Production",INDEX(tbl_Production[Cost Centre],$BI1276),INDEX(tbl_Consulting[Cost Centre],$BI1276)))&amp;"")</f>
        <v/>
      </c>
      <c r="I1276" s="10">
        <f>IF($BI1276="","",IF($B1276="Onsite",INDEX(tbl_Onsite[Invoice Type],$BI1276),IF($B1276="Production",INDEX(tbl_Production[Invoice Type],$BI1276),INDEX(tbl_Consulting[Invoice Type],$BI1276)))&amp;"")</f>
        <v/>
      </c>
      <c r="J1276" s="10">
        <f>IF($BI1276="","",IF($B1276="Onsite",INDEX(tbl_Onsite[Tax Code],$BI1276),IF($B1276="Production",INDEX(tbl_Production[Tax Code],$BI1276),INDEX(tbl_Consulting[Tax Code],$BI1276)))&amp;"")</f>
        <v/>
      </c>
      <c r="K1276" s="10">
        <f>IF(H1276="","",IFERROR(INDEX(lst_CCtoGL,MATCH(H1276,lst_CCforGL,0)),""))</f>
        <v/>
      </c>
      <c r="L1276" s="10">
        <f>IF($BI1276="","",IF($B1276="Onsite",INDEX(tbl_Onsite[PO / Reference],$BI1276),IF($B1276="Production",INDEX(tbl_Production[Current RMS No],$BI1276),INDEX(tbl_Consulting[Qwilr Quote],$BI1276)))&amp;"")</f>
        <v/>
      </c>
      <c r="M1276" s="10">
        <f>IF($BI1276="","",IF($B1276="Onsite",INDEX(tbl_Onsite[Notes],$BI1276),IF($B1276="Production",INDEX(tbl_Production[Notes],$BI1276),INDEX(tbl_Consulting[Notes],$BI1276)))&amp;"")</f>
        <v/>
      </c>
      <c r="N1276" s="11">
        <f>IF($BI1276="","",IF(IF($B1276="Onsite",INDEX(tbl_Onsite[Expected Revenue Ex GST],$BI1276),IF($B1276="Production",INDEX(tbl_Production[Expected Revenue Ex GST],$BI1276),INDEX(tbl_Consulting[Expected Revenue Ex GST],$BI1276)))="","",IF($B1276="Onsite",INDEX(tbl_Onsite[Expected Revenue Ex GST],$BI1276),IF($B1276="Production",INDEX(tbl_Production[Expected Revenue Ex GST],$BI1276),INDEX(tbl_Consulting[Expected Revenue Ex GST],$BI1276)))))</f>
        <v/>
      </c>
      <c r="O1276" s="11">
        <f>IF(AND($C1276="",NOT(COUNTA($S1276:$BB1276)&gt;0)),"",SUM(U1276,X1276,AA1276,AD1276,AG1276,AJ1276,AM1276,AP1276,AS1276,AV1276,AY1276,BB1276))</f>
        <v/>
      </c>
      <c r="P1276" s="11">
        <f>IF(O1276="","",N(N1276)-O1276)</f>
        <v/>
      </c>
      <c r="Q1276" s="10">
        <f>IF(O1276="","",IF($C1276="","Invoice on empty job row",IF(N1276="",IF(ROUND(O1276,2)=0,"No dept value","Invoiced - no dept value"),IF(ROUND(O1276,2)=0,"Not invoiced - to invoice",IF(ROUND(P1276,2)=0,"Agrees",IF(P1276&gt;0,"Dept higher - to invoice","Xero higher - check dept"))))))</f>
        <v/>
      </c>
      <c r="R1276" s="10">
        <f>IF(AND($C1276="",NOT(COUNTA($S1276:$BB1276)&gt;0),$BI1276&lt;&gt;""),"",MID(IF($BI1276="","; Row ID not found on the department sheet - a row was deleted","")&amp;IF(AND($C1276="",COUNTA($S1276:$BB1276)&gt;0),"; Invoice entered but the department row has no job number","")&amp;IF(E1276="CHECK","; Job number not in the Xero job list","")&amp;IF(AND($C1276&lt;&gt;"",COUNTIF($C$7:$C$1506,$C1276)&gt;1),"; Job number on more than one row","")&amp;IF(AND($C1276&lt;&gt;"",H1276=""),"; Dept has not set a cost centre","")&amp;IF(AND($C1276&lt;&gt;"",J1276=""),"; Dept has not set a tax code","")&amp;IF(AND($C1276&lt;&gt;"",N1276=""),"; Dept has not entered an expected value","")&amp;IF((IF(OR(COUNTA(S1276:U1276)=0,AND(COUNTA(S1276:U1276)=3,ISNUMBER(U1276))),0,1)+IF(OR(COUNTA(V1276:X1276)=0,AND(COUNTA(V1276:X1276)=3,ISNUMBER(X1276))),0,1)+IF(OR(COUNTA(Y1276:AA1276)=0,AND(COUNTA(Y1276:AA1276)=3,ISNUMBER(AA1276))),0,1)+IF(OR(COUNTA(AB1276:AD1276)=0,AND(COUNTA(AB1276:AD1276)=3,ISNUMBER(AD1276))),0,1)+IF(OR(COUNTA(AE1276:AG1276)=0,AND(COUNTA(AE1276:AG1276)=3,ISNUMBER(AG1276))),0,1)+IF(OR(COUNTA(AH1276:AJ1276)=0,AND(COUNTA(AH1276:AJ1276)=3,ISNUMBER(AJ1276))),0,1)+IF(OR(COUNTA(AK1276:AM1276)=0,AND(COUNTA(AK1276:AM1276)=3,ISNUMBER(AM1276))),0,1)+IF(OR(COUNTA(AN1276:AP1276)=0,AND(COUNTA(AN1276:AP1276)=3,ISNUMBER(AP1276))),0,1)+IF(OR(COUNTA(AQ1276:AS1276)=0,AND(COUNTA(AQ1276:AS1276)=3,ISNUMBER(AS1276))),0,1)+IF(OR(COUNTA(AT1276:AV1276)=0,AND(COUNTA(AT1276:AV1276)=3,ISNUMBER(AV1276))),0,1)+IF(OR(COUNTA(AW1276:AY1276)=0,AND(COUNTA(AW1276:AY1276)=3,ISNUMBER(AY1276))),0,1)+IF(OR(COUNTA(AZ1276:BB1276)=0,AND(COUNTA(AZ1276:BB1276)=3,ISNUMBER(BB1276))),0,1))&gt;0,"; An invoice is incomplete (needs No, Date and a number in Ex GST)","")&amp;IF((IF(T1276="",0,IFERROR(--(EOMONTH(T1276,0)&lt;&gt;S$5),1))+IF(W1276="",0,IFERROR(--(EOMONTH(W1276,0)&lt;&gt;V$5),1))+IF(Z1276="",0,IFERROR(--(EOMONTH(Z1276,0)&lt;&gt;Y$5),1))+IF(AC1276="",0,IFERROR(--(EOMONTH(AC1276,0)&lt;&gt;AB$5),1))+IF(AF1276="",0,IFERROR(--(EOMONTH(AF1276,0)&lt;&gt;AE$5),1))+IF(AI1276="",0,IFERROR(--(EOMONTH(AI1276,0)&lt;&gt;AH$5),1))+IF(AL1276="",0,IFERROR(--(EOMONTH(AL1276,0)&lt;&gt;AK$5),1))+IF(AO1276="",0,IFERROR(--(EOMONTH(AO1276,0)&lt;&gt;AN$5),1))+IF(AR1276="",0,IFERROR(--(EOMONTH(AR1276,0)&lt;&gt;AQ$5),1))+IF(AU1276="",0,IFERROR(--(EOMONTH(AU1276,0)&lt;&gt;AT$5),1))+IF(AX1276="",0,IFERROR(--(EOMONTH(AX1276,0)&lt;&gt;AW$5),1))+IF(BA1276="",0,IFERROR(--(EOMONTH(BA1276,0)&lt;&gt;AZ$5),1)))&gt;0,"; An invoice date is not in the month it is typed under",""),3,500))</f>
        <v/>
      </c>
      <c r="S1276" s="12" t="n"/>
      <c r="T1276" s="13" t="n"/>
      <c r="U1276" s="14" t="n"/>
      <c r="V1276" s="12" t="n"/>
      <c r="W1276" s="13" t="n"/>
      <c r="X1276" s="14" t="n"/>
      <c r="Y1276" s="12" t="n"/>
      <c r="Z1276" s="13" t="n"/>
      <c r="AA1276" s="14" t="n"/>
      <c r="AB1276" s="12" t="n"/>
      <c r="AC1276" s="13" t="n"/>
      <c r="AD1276" s="14" t="n"/>
      <c r="AE1276" s="12" t="n"/>
      <c r="AF1276" s="13" t="n"/>
      <c r="AG1276" s="14" t="n"/>
      <c r="AH1276" s="12" t="n"/>
      <c r="AI1276" s="13" t="n"/>
      <c r="AJ1276" s="14" t="n"/>
      <c r="AK1276" s="12" t="n"/>
      <c r="AL1276" s="13" t="n"/>
      <c r="AM1276" s="14" t="n"/>
      <c r="AN1276" s="12" t="n"/>
      <c r="AO1276" s="13" t="n"/>
      <c r="AP1276" s="14" t="n"/>
      <c r="AQ1276" s="12" t="n"/>
      <c r="AR1276" s="13" t="n"/>
      <c r="AS1276" s="14" t="n"/>
      <c r="AT1276" s="12" t="n"/>
      <c r="AU1276" s="13" t="n"/>
      <c r="AV1276" s="14" t="n"/>
      <c r="AW1276" s="12" t="n"/>
      <c r="AX1276" s="13" t="n"/>
      <c r="AY1276" s="14" t="n"/>
      <c r="AZ1276" s="12" t="n"/>
      <c r="BA1276" s="13" t="n"/>
      <c r="BB1276" s="14" t="n"/>
      <c r="BC1276" s="11">
        <f>IF(O1276="","",IF(J1276="GST 10%",ROUND(O1276*set_GSTRate,2),0))</f>
        <v/>
      </c>
      <c r="BD1276" s="11">
        <f>IF(O1276="","",O1276+BC1276)</f>
        <v/>
      </c>
      <c r="BE1276" s="15">
        <f>IF(O1276="","",COUNTA(S1276,V1276,Y1276,AB1276,AE1276,AH1276,AK1276,AN1276,AQ1276,AT1276,AW1276,AZ1276))</f>
        <v/>
      </c>
      <c r="BF1276" s="16">
        <f>IF(COUNT(T1276,W1276,Z1276,AC1276,AF1276,AI1276,AL1276,AO1276,AR1276,AU1276,AX1276,BA1276)=0,"",MAX(T1276,W1276,Z1276,AC1276,AF1276,AI1276,AL1276,AO1276,AR1276,AU1276,AX1276,BA1276))</f>
        <v/>
      </c>
      <c r="BG1276" s="10">
        <f>MID(IF(S1276="","",", "&amp;S1276)&amp;IF(V1276="","",", "&amp;V1276)&amp;IF(Y1276="","",", "&amp;Y1276)&amp;IF(AB1276="","",", "&amp;AB1276)&amp;IF(AE1276="","",", "&amp;AE1276)&amp;IF(AH1276="","",", "&amp;AH1276)&amp;IF(AK1276="","",", "&amp;AK1276)&amp;IF(AN1276="","",", "&amp;AN1276)&amp;IF(AQ1276="","",", "&amp;AQ1276)&amp;IF(AT1276="","",", "&amp;AT1276)&amp;IF(AW1276="","",", "&amp;AW1276)&amp;IF(AZ1276="","",", "&amp;AZ1276),3,500)</f>
        <v/>
      </c>
      <c r="BH1276" s="12" t="n"/>
      <c r="BI1276" s="15">
        <f>IFERROR(MATCH($A1276,IF($B1276="Onsite",tbl_Onsite[Row ID],IF($B1276="Production",tbl_Production[Row ID],tbl_Consulting[Row ID])),0),"")</f>
        <v/>
      </c>
    </row>
    <row r="1277">
      <c r="A1277" s="10" t="inlineStr">
        <is>
          <t>CON-0271</t>
        </is>
      </c>
      <c r="B1277" s="10" t="inlineStr">
        <is>
          <t>Consulting</t>
        </is>
      </c>
      <c r="C1277" s="10">
        <f>IF($BI1277="","",IF($B1277="Onsite",INDEX(tbl_Onsite[Job Number],$BI1277),IF($B1277="Production",INDEX(tbl_Production[Job Number],$BI1277),INDEX(tbl_Consulting[Job Number],$BI1277)))&amp;"")</f>
        <v/>
      </c>
      <c r="D1277" s="10">
        <f>IF($BI1277="","",IF($B1277="Onsite",INDEX(tbl_Onsite[Client],$BI1277),IF($B1277="Production",INDEX(tbl_Production[Client],$BI1277),INDEX(tbl_Consulting[Client],$BI1277)))&amp;"")</f>
        <v/>
      </c>
      <c r="E1277" s="10">
        <f>IF($C1277="","",IF(COUNTIF(lst_Jobs,$C1277)&gt;0,"OK","CHECK"))</f>
        <v/>
      </c>
      <c r="F1277" s="10">
        <f>IF($C1277="","",IFERROR(INDEX(lst_JobName,MATCH($C1277,lst_Jobs,0)),""))</f>
        <v/>
      </c>
      <c r="G1277" s="10">
        <f>IF($BI1277="","",IF($B1277="Onsite",INDEX(tbl_Onsite[Job Description],$BI1277),IF($B1277="Production",INDEX(tbl_Production[Job Description],$BI1277),INDEX(tbl_Consulting[Job Description],$BI1277)))&amp;"")</f>
        <v/>
      </c>
      <c r="H1277" s="10">
        <f>IF($BI1277="","",IF($B1277="Onsite",INDEX(tbl_Onsite[Cost Centre],$BI1277),IF($B1277="Production",INDEX(tbl_Production[Cost Centre],$BI1277),INDEX(tbl_Consulting[Cost Centre],$BI1277)))&amp;"")</f>
        <v/>
      </c>
      <c r="I1277" s="10">
        <f>IF($BI1277="","",IF($B1277="Onsite",INDEX(tbl_Onsite[Invoice Type],$BI1277),IF($B1277="Production",INDEX(tbl_Production[Invoice Type],$BI1277),INDEX(tbl_Consulting[Invoice Type],$BI1277)))&amp;"")</f>
        <v/>
      </c>
      <c r="J1277" s="10">
        <f>IF($BI1277="","",IF($B1277="Onsite",INDEX(tbl_Onsite[Tax Code],$BI1277),IF($B1277="Production",INDEX(tbl_Production[Tax Code],$BI1277),INDEX(tbl_Consulting[Tax Code],$BI1277)))&amp;"")</f>
        <v/>
      </c>
      <c r="K1277" s="10">
        <f>IF(H1277="","",IFERROR(INDEX(lst_CCtoGL,MATCH(H1277,lst_CCforGL,0)),""))</f>
        <v/>
      </c>
      <c r="L1277" s="10">
        <f>IF($BI1277="","",IF($B1277="Onsite",INDEX(tbl_Onsite[PO / Reference],$BI1277),IF($B1277="Production",INDEX(tbl_Production[Current RMS No],$BI1277),INDEX(tbl_Consulting[Qwilr Quote],$BI1277)))&amp;"")</f>
        <v/>
      </c>
      <c r="M1277" s="10">
        <f>IF($BI1277="","",IF($B1277="Onsite",INDEX(tbl_Onsite[Notes],$BI1277),IF($B1277="Production",INDEX(tbl_Production[Notes],$BI1277),INDEX(tbl_Consulting[Notes],$BI1277)))&amp;"")</f>
        <v/>
      </c>
      <c r="N1277" s="11">
        <f>IF($BI1277="","",IF(IF($B1277="Onsite",INDEX(tbl_Onsite[Expected Revenue Ex GST],$BI1277),IF($B1277="Production",INDEX(tbl_Production[Expected Revenue Ex GST],$BI1277),INDEX(tbl_Consulting[Expected Revenue Ex GST],$BI1277)))="","",IF($B1277="Onsite",INDEX(tbl_Onsite[Expected Revenue Ex GST],$BI1277),IF($B1277="Production",INDEX(tbl_Production[Expected Revenue Ex GST],$BI1277),INDEX(tbl_Consulting[Expected Revenue Ex GST],$BI1277)))))</f>
        <v/>
      </c>
      <c r="O1277" s="11">
        <f>IF(AND($C1277="",NOT(COUNTA($S1277:$BB1277)&gt;0)),"",SUM(U1277,X1277,AA1277,AD1277,AG1277,AJ1277,AM1277,AP1277,AS1277,AV1277,AY1277,BB1277))</f>
        <v/>
      </c>
      <c r="P1277" s="11">
        <f>IF(O1277="","",N(N1277)-O1277)</f>
        <v/>
      </c>
      <c r="Q1277" s="10">
        <f>IF(O1277="","",IF($C1277="","Invoice on empty job row",IF(N1277="",IF(ROUND(O1277,2)=0,"No dept value","Invoiced - no dept value"),IF(ROUND(O1277,2)=0,"Not invoiced - to invoice",IF(ROUND(P1277,2)=0,"Agrees",IF(P1277&gt;0,"Dept higher - to invoice","Xero higher - check dept"))))))</f>
        <v/>
      </c>
      <c r="R1277" s="10">
        <f>IF(AND($C1277="",NOT(COUNTA($S1277:$BB1277)&gt;0),$BI1277&lt;&gt;""),"",MID(IF($BI1277="","; Row ID not found on the department sheet - a row was deleted","")&amp;IF(AND($C1277="",COUNTA($S1277:$BB1277)&gt;0),"; Invoice entered but the department row has no job number","")&amp;IF(E1277="CHECK","; Job number not in the Xero job list","")&amp;IF(AND($C1277&lt;&gt;"",COUNTIF($C$7:$C$1506,$C1277)&gt;1),"; Job number on more than one row","")&amp;IF(AND($C1277&lt;&gt;"",H1277=""),"; Dept has not set a cost centre","")&amp;IF(AND($C1277&lt;&gt;"",J1277=""),"; Dept has not set a tax code","")&amp;IF(AND($C1277&lt;&gt;"",N1277=""),"; Dept has not entered an expected value","")&amp;IF((IF(OR(COUNTA(S1277:U1277)=0,AND(COUNTA(S1277:U1277)=3,ISNUMBER(U1277))),0,1)+IF(OR(COUNTA(V1277:X1277)=0,AND(COUNTA(V1277:X1277)=3,ISNUMBER(X1277))),0,1)+IF(OR(COUNTA(Y1277:AA1277)=0,AND(COUNTA(Y1277:AA1277)=3,ISNUMBER(AA1277))),0,1)+IF(OR(COUNTA(AB1277:AD1277)=0,AND(COUNTA(AB1277:AD1277)=3,ISNUMBER(AD1277))),0,1)+IF(OR(COUNTA(AE1277:AG1277)=0,AND(COUNTA(AE1277:AG1277)=3,ISNUMBER(AG1277))),0,1)+IF(OR(COUNTA(AH1277:AJ1277)=0,AND(COUNTA(AH1277:AJ1277)=3,ISNUMBER(AJ1277))),0,1)+IF(OR(COUNTA(AK1277:AM1277)=0,AND(COUNTA(AK1277:AM1277)=3,ISNUMBER(AM1277))),0,1)+IF(OR(COUNTA(AN1277:AP1277)=0,AND(COUNTA(AN1277:AP1277)=3,ISNUMBER(AP1277))),0,1)+IF(OR(COUNTA(AQ1277:AS1277)=0,AND(COUNTA(AQ1277:AS1277)=3,ISNUMBER(AS1277))),0,1)+IF(OR(COUNTA(AT1277:AV1277)=0,AND(COUNTA(AT1277:AV1277)=3,ISNUMBER(AV1277))),0,1)+IF(OR(COUNTA(AW1277:AY1277)=0,AND(COUNTA(AW1277:AY1277)=3,ISNUMBER(AY1277))),0,1)+IF(OR(COUNTA(AZ1277:BB1277)=0,AND(COUNTA(AZ1277:BB1277)=3,ISNUMBER(BB1277))),0,1))&gt;0,"; An invoice is incomplete (needs No, Date and a number in Ex GST)","")&amp;IF((IF(T1277="",0,IFERROR(--(EOMONTH(T1277,0)&lt;&gt;S$5),1))+IF(W1277="",0,IFERROR(--(EOMONTH(W1277,0)&lt;&gt;V$5),1))+IF(Z1277="",0,IFERROR(--(EOMONTH(Z1277,0)&lt;&gt;Y$5),1))+IF(AC1277="",0,IFERROR(--(EOMONTH(AC1277,0)&lt;&gt;AB$5),1))+IF(AF1277="",0,IFERROR(--(EOMONTH(AF1277,0)&lt;&gt;AE$5),1))+IF(AI1277="",0,IFERROR(--(EOMONTH(AI1277,0)&lt;&gt;AH$5),1))+IF(AL1277="",0,IFERROR(--(EOMONTH(AL1277,0)&lt;&gt;AK$5),1))+IF(AO1277="",0,IFERROR(--(EOMONTH(AO1277,0)&lt;&gt;AN$5),1))+IF(AR1277="",0,IFERROR(--(EOMONTH(AR1277,0)&lt;&gt;AQ$5),1))+IF(AU1277="",0,IFERROR(--(EOMONTH(AU1277,0)&lt;&gt;AT$5),1))+IF(AX1277="",0,IFERROR(--(EOMONTH(AX1277,0)&lt;&gt;AW$5),1))+IF(BA1277="",0,IFERROR(--(EOMONTH(BA1277,0)&lt;&gt;AZ$5),1)))&gt;0,"; An invoice date is not in the month it is typed under",""),3,500))</f>
        <v/>
      </c>
      <c r="S1277" s="12" t="n"/>
      <c r="T1277" s="13" t="n"/>
      <c r="U1277" s="14" t="n"/>
      <c r="V1277" s="12" t="n"/>
      <c r="W1277" s="13" t="n"/>
      <c r="X1277" s="14" t="n"/>
      <c r="Y1277" s="12" t="n"/>
      <c r="Z1277" s="13" t="n"/>
      <c r="AA1277" s="14" t="n"/>
      <c r="AB1277" s="12" t="n"/>
      <c r="AC1277" s="13" t="n"/>
      <c r="AD1277" s="14" t="n"/>
      <c r="AE1277" s="12" t="n"/>
      <c r="AF1277" s="13" t="n"/>
      <c r="AG1277" s="14" t="n"/>
      <c r="AH1277" s="12" t="n"/>
      <c r="AI1277" s="13" t="n"/>
      <c r="AJ1277" s="14" t="n"/>
      <c r="AK1277" s="12" t="n"/>
      <c r="AL1277" s="13" t="n"/>
      <c r="AM1277" s="14" t="n"/>
      <c r="AN1277" s="12" t="n"/>
      <c r="AO1277" s="13" t="n"/>
      <c r="AP1277" s="14" t="n"/>
      <c r="AQ1277" s="12" t="n"/>
      <c r="AR1277" s="13" t="n"/>
      <c r="AS1277" s="14" t="n"/>
      <c r="AT1277" s="12" t="n"/>
      <c r="AU1277" s="13" t="n"/>
      <c r="AV1277" s="14" t="n"/>
      <c r="AW1277" s="12" t="n"/>
      <c r="AX1277" s="13" t="n"/>
      <c r="AY1277" s="14" t="n"/>
      <c r="AZ1277" s="12" t="n"/>
      <c r="BA1277" s="13" t="n"/>
      <c r="BB1277" s="14" t="n"/>
      <c r="BC1277" s="11">
        <f>IF(O1277="","",IF(J1277="GST 10%",ROUND(O1277*set_GSTRate,2),0))</f>
        <v/>
      </c>
      <c r="BD1277" s="11">
        <f>IF(O1277="","",O1277+BC1277)</f>
        <v/>
      </c>
      <c r="BE1277" s="15">
        <f>IF(O1277="","",COUNTA(S1277,V1277,Y1277,AB1277,AE1277,AH1277,AK1277,AN1277,AQ1277,AT1277,AW1277,AZ1277))</f>
        <v/>
      </c>
      <c r="BF1277" s="16">
        <f>IF(COUNT(T1277,W1277,Z1277,AC1277,AF1277,AI1277,AL1277,AO1277,AR1277,AU1277,AX1277,BA1277)=0,"",MAX(T1277,W1277,Z1277,AC1277,AF1277,AI1277,AL1277,AO1277,AR1277,AU1277,AX1277,BA1277))</f>
        <v/>
      </c>
      <c r="BG1277" s="10">
        <f>MID(IF(S1277="","",", "&amp;S1277)&amp;IF(V1277="","",", "&amp;V1277)&amp;IF(Y1277="","",", "&amp;Y1277)&amp;IF(AB1277="","",", "&amp;AB1277)&amp;IF(AE1277="","",", "&amp;AE1277)&amp;IF(AH1277="","",", "&amp;AH1277)&amp;IF(AK1277="","",", "&amp;AK1277)&amp;IF(AN1277="","",", "&amp;AN1277)&amp;IF(AQ1277="","",", "&amp;AQ1277)&amp;IF(AT1277="","",", "&amp;AT1277)&amp;IF(AW1277="","",", "&amp;AW1277)&amp;IF(AZ1277="","",", "&amp;AZ1277),3,500)</f>
        <v/>
      </c>
      <c r="BH1277" s="12" t="n"/>
      <c r="BI1277" s="15">
        <f>IFERROR(MATCH($A1277,IF($B1277="Onsite",tbl_Onsite[Row ID],IF($B1277="Production",tbl_Production[Row ID],tbl_Consulting[Row ID])),0),"")</f>
        <v/>
      </c>
    </row>
    <row r="1278">
      <c r="A1278" s="10" t="inlineStr">
        <is>
          <t>CON-0272</t>
        </is>
      </c>
      <c r="B1278" s="10" t="inlineStr">
        <is>
          <t>Consulting</t>
        </is>
      </c>
      <c r="C1278" s="10">
        <f>IF($BI1278="","",IF($B1278="Onsite",INDEX(tbl_Onsite[Job Number],$BI1278),IF($B1278="Production",INDEX(tbl_Production[Job Number],$BI1278),INDEX(tbl_Consulting[Job Number],$BI1278)))&amp;"")</f>
        <v/>
      </c>
      <c r="D1278" s="10">
        <f>IF($BI1278="","",IF($B1278="Onsite",INDEX(tbl_Onsite[Client],$BI1278),IF($B1278="Production",INDEX(tbl_Production[Client],$BI1278),INDEX(tbl_Consulting[Client],$BI1278)))&amp;"")</f>
        <v/>
      </c>
      <c r="E1278" s="10">
        <f>IF($C1278="","",IF(COUNTIF(lst_Jobs,$C1278)&gt;0,"OK","CHECK"))</f>
        <v/>
      </c>
      <c r="F1278" s="10">
        <f>IF($C1278="","",IFERROR(INDEX(lst_JobName,MATCH($C1278,lst_Jobs,0)),""))</f>
        <v/>
      </c>
      <c r="G1278" s="10">
        <f>IF($BI1278="","",IF($B1278="Onsite",INDEX(tbl_Onsite[Job Description],$BI1278),IF($B1278="Production",INDEX(tbl_Production[Job Description],$BI1278),INDEX(tbl_Consulting[Job Description],$BI1278)))&amp;"")</f>
        <v/>
      </c>
      <c r="H1278" s="10">
        <f>IF($BI1278="","",IF($B1278="Onsite",INDEX(tbl_Onsite[Cost Centre],$BI1278),IF($B1278="Production",INDEX(tbl_Production[Cost Centre],$BI1278),INDEX(tbl_Consulting[Cost Centre],$BI1278)))&amp;"")</f>
        <v/>
      </c>
      <c r="I1278" s="10">
        <f>IF($BI1278="","",IF($B1278="Onsite",INDEX(tbl_Onsite[Invoice Type],$BI1278),IF($B1278="Production",INDEX(tbl_Production[Invoice Type],$BI1278),INDEX(tbl_Consulting[Invoice Type],$BI1278)))&amp;"")</f>
        <v/>
      </c>
      <c r="J1278" s="10">
        <f>IF($BI1278="","",IF($B1278="Onsite",INDEX(tbl_Onsite[Tax Code],$BI1278),IF($B1278="Production",INDEX(tbl_Production[Tax Code],$BI1278),INDEX(tbl_Consulting[Tax Code],$BI1278)))&amp;"")</f>
        <v/>
      </c>
      <c r="K1278" s="10">
        <f>IF(H1278="","",IFERROR(INDEX(lst_CCtoGL,MATCH(H1278,lst_CCforGL,0)),""))</f>
        <v/>
      </c>
      <c r="L1278" s="10">
        <f>IF($BI1278="","",IF($B1278="Onsite",INDEX(tbl_Onsite[PO / Reference],$BI1278),IF($B1278="Production",INDEX(tbl_Production[Current RMS No],$BI1278),INDEX(tbl_Consulting[Qwilr Quote],$BI1278)))&amp;"")</f>
        <v/>
      </c>
      <c r="M1278" s="10">
        <f>IF($BI1278="","",IF($B1278="Onsite",INDEX(tbl_Onsite[Notes],$BI1278),IF($B1278="Production",INDEX(tbl_Production[Notes],$BI1278),INDEX(tbl_Consulting[Notes],$BI1278)))&amp;"")</f>
        <v/>
      </c>
      <c r="N1278" s="11">
        <f>IF($BI1278="","",IF(IF($B1278="Onsite",INDEX(tbl_Onsite[Expected Revenue Ex GST],$BI1278),IF($B1278="Production",INDEX(tbl_Production[Expected Revenue Ex GST],$BI1278),INDEX(tbl_Consulting[Expected Revenue Ex GST],$BI1278)))="","",IF($B1278="Onsite",INDEX(tbl_Onsite[Expected Revenue Ex GST],$BI1278),IF($B1278="Production",INDEX(tbl_Production[Expected Revenue Ex GST],$BI1278),INDEX(tbl_Consulting[Expected Revenue Ex GST],$BI1278)))))</f>
        <v/>
      </c>
      <c r="O1278" s="11">
        <f>IF(AND($C1278="",NOT(COUNTA($S1278:$BB1278)&gt;0)),"",SUM(U1278,X1278,AA1278,AD1278,AG1278,AJ1278,AM1278,AP1278,AS1278,AV1278,AY1278,BB1278))</f>
        <v/>
      </c>
      <c r="P1278" s="11">
        <f>IF(O1278="","",N(N1278)-O1278)</f>
        <v/>
      </c>
      <c r="Q1278" s="10">
        <f>IF(O1278="","",IF($C1278="","Invoice on empty job row",IF(N1278="",IF(ROUND(O1278,2)=0,"No dept value","Invoiced - no dept value"),IF(ROUND(O1278,2)=0,"Not invoiced - to invoice",IF(ROUND(P1278,2)=0,"Agrees",IF(P1278&gt;0,"Dept higher - to invoice","Xero higher - check dept"))))))</f>
        <v/>
      </c>
      <c r="R1278" s="10">
        <f>IF(AND($C1278="",NOT(COUNTA($S1278:$BB1278)&gt;0),$BI1278&lt;&gt;""),"",MID(IF($BI1278="","; Row ID not found on the department sheet - a row was deleted","")&amp;IF(AND($C1278="",COUNTA($S1278:$BB1278)&gt;0),"; Invoice entered but the department row has no job number","")&amp;IF(E1278="CHECK","; Job number not in the Xero job list","")&amp;IF(AND($C1278&lt;&gt;"",COUNTIF($C$7:$C$1506,$C1278)&gt;1),"; Job number on more than one row","")&amp;IF(AND($C1278&lt;&gt;"",H1278=""),"; Dept has not set a cost centre","")&amp;IF(AND($C1278&lt;&gt;"",J1278=""),"; Dept has not set a tax code","")&amp;IF(AND($C1278&lt;&gt;"",N1278=""),"; Dept has not entered an expected value","")&amp;IF((IF(OR(COUNTA(S1278:U1278)=0,AND(COUNTA(S1278:U1278)=3,ISNUMBER(U1278))),0,1)+IF(OR(COUNTA(V1278:X1278)=0,AND(COUNTA(V1278:X1278)=3,ISNUMBER(X1278))),0,1)+IF(OR(COUNTA(Y1278:AA1278)=0,AND(COUNTA(Y1278:AA1278)=3,ISNUMBER(AA1278))),0,1)+IF(OR(COUNTA(AB1278:AD1278)=0,AND(COUNTA(AB1278:AD1278)=3,ISNUMBER(AD1278))),0,1)+IF(OR(COUNTA(AE1278:AG1278)=0,AND(COUNTA(AE1278:AG1278)=3,ISNUMBER(AG1278))),0,1)+IF(OR(COUNTA(AH1278:AJ1278)=0,AND(COUNTA(AH1278:AJ1278)=3,ISNUMBER(AJ1278))),0,1)+IF(OR(COUNTA(AK1278:AM1278)=0,AND(COUNTA(AK1278:AM1278)=3,ISNUMBER(AM1278))),0,1)+IF(OR(COUNTA(AN1278:AP1278)=0,AND(COUNTA(AN1278:AP1278)=3,ISNUMBER(AP1278))),0,1)+IF(OR(COUNTA(AQ1278:AS1278)=0,AND(COUNTA(AQ1278:AS1278)=3,ISNUMBER(AS1278))),0,1)+IF(OR(COUNTA(AT1278:AV1278)=0,AND(COUNTA(AT1278:AV1278)=3,ISNUMBER(AV1278))),0,1)+IF(OR(COUNTA(AW1278:AY1278)=0,AND(COUNTA(AW1278:AY1278)=3,ISNUMBER(AY1278))),0,1)+IF(OR(COUNTA(AZ1278:BB1278)=0,AND(COUNTA(AZ1278:BB1278)=3,ISNUMBER(BB1278))),0,1))&gt;0,"; An invoice is incomplete (needs No, Date and a number in Ex GST)","")&amp;IF((IF(T1278="",0,IFERROR(--(EOMONTH(T1278,0)&lt;&gt;S$5),1))+IF(W1278="",0,IFERROR(--(EOMONTH(W1278,0)&lt;&gt;V$5),1))+IF(Z1278="",0,IFERROR(--(EOMONTH(Z1278,0)&lt;&gt;Y$5),1))+IF(AC1278="",0,IFERROR(--(EOMONTH(AC1278,0)&lt;&gt;AB$5),1))+IF(AF1278="",0,IFERROR(--(EOMONTH(AF1278,0)&lt;&gt;AE$5),1))+IF(AI1278="",0,IFERROR(--(EOMONTH(AI1278,0)&lt;&gt;AH$5),1))+IF(AL1278="",0,IFERROR(--(EOMONTH(AL1278,0)&lt;&gt;AK$5),1))+IF(AO1278="",0,IFERROR(--(EOMONTH(AO1278,0)&lt;&gt;AN$5),1))+IF(AR1278="",0,IFERROR(--(EOMONTH(AR1278,0)&lt;&gt;AQ$5),1))+IF(AU1278="",0,IFERROR(--(EOMONTH(AU1278,0)&lt;&gt;AT$5),1))+IF(AX1278="",0,IFERROR(--(EOMONTH(AX1278,0)&lt;&gt;AW$5),1))+IF(BA1278="",0,IFERROR(--(EOMONTH(BA1278,0)&lt;&gt;AZ$5),1)))&gt;0,"; An invoice date is not in the month it is typed under",""),3,500))</f>
        <v/>
      </c>
      <c r="S1278" s="12" t="n"/>
      <c r="T1278" s="13" t="n"/>
      <c r="U1278" s="14" t="n"/>
      <c r="V1278" s="12" t="n"/>
      <c r="W1278" s="13" t="n"/>
      <c r="X1278" s="14" t="n"/>
      <c r="Y1278" s="12" t="n"/>
      <c r="Z1278" s="13" t="n"/>
      <c r="AA1278" s="14" t="n"/>
      <c r="AB1278" s="12" t="n"/>
      <c r="AC1278" s="13" t="n"/>
      <c r="AD1278" s="14" t="n"/>
      <c r="AE1278" s="12" t="n"/>
      <c r="AF1278" s="13" t="n"/>
      <c r="AG1278" s="14" t="n"/>
      <c r="AH1278" s="12" t="n"/>
      <c r="AI1278" s="13" t="n"/>
      <c r="AJ1278" s="14" t="n"/>
      <c r="AK1278" s="12" t="n"/>
      <c r="AL1278" s="13" t="n"/>
      <c r="AM1278" s="14" t="n"/>
      <c r="AN1278" s="12" t="n"/>
      <c r="AO1278" s="13" t="n"/>
      <c r="AP1278" s="14" t="n"/>
      <c r="AQ1278" s="12" t="n"/>
      <c r="AR1278" s="13" t="n"/>
      <c r="AS1278" s="14" t="n"/>
      <c r="AT1278" s="12" t="n"/>
      <c r="AU1278" s="13" t="n"/>
      <c r="AV1278" s="14" t="n"/>
      <c r="AW1278" s="12" t="n"/>
      <c r="AX1278" s="13" t="n"/>
      <c r="AY1278" s="14" t="n"/>
      <c r="AZ1278" s="12" t="n"/>
      <c r="BA1278" s="13" t="n"/>
      <c r="BB1278" s="14" t="n"/>
      <c r="BC1278" s="11">
        <f>IF(O1278="","",IF(J1278="GST 10%",ROUND(O1278*set_GSTRate,2),0))</f>
        <v/>
      </c>
      <c r="BD1278" s="11">
        <f>IF(O1278="","",O1278+BC1278)</f>
        <v/>
      </c>
      <c r="BE1278" s="15">
        <f>IF(O1278="","",COUNTA(S1278,V1278,Y1278,AB1278,AE1278,AH1278,AK1278,AN1278,AQ1278,AT1278,AW1278,AZ1278))</f>
        <v/>
      </c>
      <c r="BF1278" s="16">
        <f>IF(COUNT(T1278,W1278,Z1278,AC1278,AF1278,AI1278,AL1278,AO1278,AR1278,AU1278,AX1278,BA1278)=0,"",MAX(T1278,W1278,Z1278,AC1278,AF1278,AI1278,AL1278,AO1278,AR1278,AU1278,AX1278,BA1278))</f>
        <v/>
      </c>
      <c r="BG1278" s="10">
        <f>MID(IF(S1278="","",", "&amp;S1278)&amp;IF(V1278="","",", "&amp;V1278)&amp;IF(Y1278="","",", "&amp;Y1278)&amp;IF(AB1278="","",", "&amp;AB1278)&amp;IF(AE1278="","",", "&amp;AE1278)&amp;IF(AH1278="","",", "&amp;AH1278)&amp;IF(AK1278="","",", "&amp;AK1278)&amp;IF(AN1278="","",", "&amp;AN1278)&amp;IF(AQ1278="","",", "&amp;AQ1278)&amp;IF(AT1278="","",", "&amp;AT1278)&amp;IF(AW1278="","",", "&amp;AW1278)&amp;IF(AZ1278="","",", "&amp;AZ1278),3,500)</f>
        <v/>
      </c>
      <c r="BH1278" s="12" t="n"/>
      <c r="BI1278" s="15">
        <f>IFERROR(MATCH($A1278,IF($B1278="Onsite",tbl_Onsite[Row ID],IF($B1278="Production",tbl_Production[Row ID],tbl_Consulting[Row ID])),0),"")</f>
        <v/>
      </c>
    </row>
    <row r="1279">
      <c r="A1279" s="10" t="inlineStr">
        <is>
          <t>CON-0273</t>
        </is>
      </c>
      <c r="B1279" s="10" t="inlineStr">
        <is>
          <t>Consulting</t>
        </is>
      </c>
      <c r="C1279" s="10">
        <f>IF($BI1279="","",IF($B1279="Onsite",INDEX(tbl_Onsite[Job Number],$BI1279),IF($B1279="Production",INDEX(tbl_Production[Job Number],$BI1279),INDEX(tbl_Consulting[Job Number],$BI1279)))&amp;"")</f>
        <v/>
      </c>
      <c r="D1279" s="10">
        <f>IF($BI1279="","",IF($B1279="Onsite",INDEX(tbl_Onsite[Client],$BI1279),IF($B1279="Production",INDEX(tbl_Production[Client],$BI1279),INDEX(tbl_Consulting[Client],$BI1279)))&amp;"")</f>
        <v/>
      </c>
      <c r="E1279" s="10">
        <f>IF($C1279="","",IF(COUNTIF(lst_Jobs,$C1279)&gt;0,"OK","CHECK"))</f>
        <v/>
      </c>
      <c r="F1279" s="10">
        <f>IF($C1279="","",IFERROR(INDEX(lst_JobName,MATCH($C1279,lst_Jobs,0)),""))</f>
        <v/>
      </c>
      <c r="G1279" s="10">
        <f>IF($BI1279="","",IF($B1279="Onsite",INDEX(tbl_Onsite[Job Description],$BI1279),IF($B1279="Production",INDEX(tbl_Production[Job Description],$BI1279),INDEX(tbl_Consulting[Job Description],$BI1279)))&amp;"")</f>
        <v/>
      </c>
      <c r="H1279" s="10">
        <f>IF($BI1279="","",IF($B1279="Onsite",INDEX(tbl_Onsite[Cost Centre],$BI1279),IF($B1279="Production",INDEX(tbl_Production[Cost Centre],$BI1279),INDEX(tbl_Consulting[Cost Centre],$BI1279)))&amp;"")</f>
        <v/>
      </c>
      <c r="I1279" s="10">
        <f>IF($BI1279="","",IF($B1279="Onsite",INDEX(tbl_Onsite[Invoice Type],$BI1279),IF($B1279="Production",INDEX(tbl_Production[Invoice Type],$BI1279),INDEX(tbl_Consulting[Invoice Type],$BI1279)))&amp;"")</f>
        <v/>
      </c>
      <c r="J1279" s="10">
        <f>IF($BI1279="","",IF($B1279="Onsite",INDEX(tbl_Onsite[Tax Code],$BI1279),IF($B1279="Production",INDEX(tbl_Production[Tax Code],$BI1279),INDEX(tbl_Consulting[Tax Code],$BI1279)))&amp;"")</f>
        <v/>
      </c>
      <c r="K1279" s="10">
        <f>IF(H1279="","",IFERROR(INDEX(lst_CCtoGL,MATCH(H1279,lst_CCforGL,0)),""))</f>
        <v/>
      </c>
      <c r="L1279" s="10">
        <f>IF($BI1279="","",IF($B1279="Onsite",INDEX(tbl_Onsite[PO / Reference],$BI1279),IF($B1279="Production",INDEX(tbl_Production[Current RMS No],$BI1279),INDEX(tbl_Consulting[Qwilr Quote],$BI1279)))&amp;"")</f>
        <v/>
      </c>
      <c r="M1279" s="10">
        <f>IF($BI1279="","",IF($B1279="Onsite",INDEX(tbl_Onsite[Notes],$BI1279),IF($B1279="Production",INDEX(tbl_Production[Notes],$BI1279),INDEX(tbl_Consulting[Notes],$BI1279)))&amp;"")</f>
        <v/>
      </c>
      <c r="N1279" s="11">
        <f>IF($BI1279="","",IF(IF($B1279="Onsite",INDEX(tbl_Onsite[Expected Revenue Ex GST],$BI1279),IF($B1279="Production",INDEX(tbl_Production[Expected Revenue Ex GST],$BI1279),INDEX(tbl_Consulting[Expected Revenue Ex GST],$BI1279)))="","",IF($B1279="Onsite",INDEX(tbl_Onsite[Expected Revenue Ex GST],$BI1279),IF($B1279="Production",INDEX(tbl_Production[Expected Revenue Ex GST],$BI1279),INDEX(tbl_Consulting[Expected Revenue Ex GST],$BI1279)))))</f>
        <v/>
      </c>
      <c r="O1279" s="11">
        <f>IF(AND($C1279="",NOT(COUNTA($S1279:$BB1279)&gt;0)),"",SUM(U1279,X1279,AA1279,AD1279,AG1279,AJ1279,AM1279,AP1279,AS1279,AV1279,AY1279,BB1279))</f>
        <v/>
      </c>
      <c r="P1279" s="11">
        <f>IF(O1279="","",N(N1279)-O1279)</f>
        <v/>
      </c>
      <c r="Q1279" s="10">
        <f>IF(O1279="","",IF($C1279="","Invoice on empty job row",IF(N1279="",IF(ROUND(O1279,2)=0,"No dept value","Invoiced - no dept value"),IF(ROUND(O1279,2)=0,"Not invoiced - to invoice",IF(ROUND(P1279,2)=0,"Agrees",IF(P1279&gt;0,"Dept higher - to invoice","Xero higher - check dept"))))))</f>
        <v/>
      </c>
      <c r="R1279" s="10">
        <f>IF(AND($C1279="",NOT(COUNTA($S1279:$BB1279)&gt;0),$BI1279&lt;&gt;""),"",MID(IF($BI1279="","; Row ID not found on the department sheet - a row was deleted","")&amp;IF(AND($C1279="",COUNTA($S1279:$BB1279)&gt;0),"; Invoice entered but the department row has no job number","")&amp;IF(E1279="CHECK","; Job number not in the Xero job list","")&amp;IF(AND($C1279&lt;&gt;"",COUNTIF($C$7:$C$1506,$C1279)&gt;1),"; Job number on more than one row","")&amp;IF(AND($C1279&lt;&gt;"",H1279=""),"; Dept has not set a cost centre","")&amp;IF(AND($C1279&lt;&gt;"",J1279=""),"; Dept has not set a tax code","")&amp;IF(AND($C1279&lt;&gt;"",N1279=""),"; Dept has not entered an expected value","")&amp;IF((IF(OR(COUNTA(S1279:U1279)=0,AND(COUNTA(S1279:U1279)=3,ISNUMBER(U1279))),0,1)+IF(OR(COUNTA(V1279:X1279)=0,AND(COUNTA(V1279:X1279)=3,ISNUMBER(X1279))),0,1)+IF(OR(COUNTA(Y1279:AA1279)=0,AND(COUNTA(Y1279:AA1279)=3,ISNUMBER(AA1279))),0,1)+IF(OR(COUNTA(AB1279:AD1279)=0,AND(COUNTA(AB1279:AD1279)=3,ISNUMBER(AD1279))),0,1)+IF(OR(COUNTA(AE1279:AG1279)=0,AND(COUNTA(AE1279:AG1279)=3,ISNUMBER(AG1279))),0,1)+IF(OR(COUNTA(AH1279:AJ1279)=0,AND(COUNTA(AH1279:AJ1279)=3,ISNUMBER(AJ1279))),0,1)+IF(OR(COUNTA(AK1279:AM1279)=0,AND(COUNTA(AK1279:AM1279)=3,ISNUMBER(AM1279))),0,1)+IF(OR(COUNTA(AN1279:AP1279)=0,AND(COUNTA(AN1279:AP1279)=3,ISNUMBER(AP1279))),0,1)+IF(OR(COUNTA(AQ1279:AS1279)=0,AND(COUNTA(AQ1279:AS1279)=3,ISNUMBER(AS1279))),0,1)+IF(OR(COUNTA(AT1279:AV1279)=0,AND(COUNTA(AT1279:AV1279)=3,ISNUMBER(AV1279))),0,1)+IF(OR(COUNTA(AW1279:AY1279)=0,AND(COUNTA(AW1279:AY1279)=3,ISNUMBER(AY1279))),0,1)+IF(OR(COUNTA(AZ1279:BB1279)=0,AND(COUNTA(AZ1279:BB1279)=3,ISNUMBER(BB1279))),0,1))&gt;0,"; An invoice is incomplete (needs No, Date and a number in Ex GST)","")&amp;IF((IF(T1279="",0,IFERROR(--(EOMONTH(T1279,0)&lt;&gt;S$5),1))+IF(W1279="",0,IFERROR(--(EOMONTH(W1279,0)&lt;&gt;V$5),1))+IF(Z1279="",0,IFERROR(--(EOMONTH(Z1279,0)&lt;&gt;Y$5),1))+IF(AC1279="",0,IFERROR(--(EOMONTH(AC1279,0)&lt;&gt;AB$5),1))+IF(AF1279="",0,IFERROR(--(EOMONTH(AF1279,0)&lt;&gt;AE$5),1))+IF(AI1279="",0,IFERROR(--(EOMONTH(AI1279,0)&lt;&gt;AH$5),1))+IF(AL1279="",0,IFERROR(--(EOMONTH(AL1279,0)&lt;&gt;AK$5),1))+IF(AO1279="",0,IFERROR(--(EOMONTH(AO1279,0)&lt;&gt;AN$5),1))+IF(AR1279="",0,IFERROR(--(EOMONTH(AR1279,0)&lt;&gt;AQ$5),1))+IF(AU1279="",0,IFERROR(--(EOMONTH(AU1279,0)&lt;&gt;AT$5),1))+IF(AX1279="",0,IFERROR(--(EOMONTH(AX1279,0)&lt;&gt;AW$5),1))+IF(BA1279="",0,IFERROR(--(EOMONTH(BA1279,0)&lt;&gt;AZ$5),1)))&gt;0,"; An invoice date is not in the month it is typed under",""),3,500))</f>
        <v/>
      </c>
      <c r="S1279" s="12" t="n"/>
      <c r="T1279" s="13" t="n"/>
      <c r="U1279" s="14" t="n"/>
      <c r="V1279" s="12" t="n"/>
      <c r="W1279" s="13" t="n"/>
      <c r="X1279" s="14" t="n"/>
      <c r="Y1279" s="12" t="n"/>
      <c r="Z1279" s="13" t="n"/>
      <c r="AA1279" s="14" t="n"/>
      <c r="AB1279" s="12" t="n"/>
      <c r="AC1279" s="13" t="n"/>
      <c r="AD1279" s="14" t="n"/>
      <c r="AE1279" s="12" t="n"/>
      <c r="AF1279" s="13" t="n"/>
      <c r="AG1279" s="14" t="n"/>
      <c r="AH1279" s="12" t="n"/>
      <c r="AI1279" s="13" t="n"/>
      <c r="AJ1279" s="14" t="n"/>
      <c r="AK1279" s="12" t="n"/>
      <c r="AL1279" s="13" t="n"/>
      <c r="AM1279" s="14" t="n"/>
      <c r="AN1279" s="12" t="n"/>
      <c r="AO1279" s="13" t="n"/>
      <c r="AP1279" s="14" t="n"/>
      <c r="AQ1279" s="12" t="n"/>
      <c r="AR1279" s="13" t="n"/>
      <c r="AS1279" s="14" t="n"/>
      <c r="AT1279" s="12" t="n"/>
      <c r="AU1279" s="13" t="n"/>
      <c r="AV1279" s="14" t="n"/>
      <c r="AW1279" s="12" t="n"/>
      <c r="AX1279" s="13" t="n"/>
      <c r="AY1279" s="14" t="n"/>
      <c r="AZ1279" s="12" t="n"/>
      <c r="BA1279" s="13" t="n"/>
      <c r="BB1279" s="14" t="n"/>
      <c r="BC1279" s="11">
        <f>IF(O1279="","",IF(J1279="GST 10%",ROUND(O1279*set_GSTRate,2),0))</f>
        <v/>
      </c>
      <c r="BD1279" s="11">
        <f>IF(O1279="","",O1279+BC1279)</f>
        <v/>
      </c>
      <c r="BE1279" s="15">
        <f>IF(O1279="","",COUNTA(S1279,V1279,Y1279,AB1279,AE1279,AH1279,AK1279,AN1279,AQ1279,AT1279,AW1279,AZ1279))</f>
        <v/>
      </c>
      <c r="BF1279" s="16">
        <f>IF(COUNT(T1279,W1279,Z1279,AC1279,AF1279,AI1279,AL1279,AO1279,AR1279,AU1279,AX1279,BA1279)=0,"",MAX(T1279,W1279,Z1279,AC1279,AF1279,AI1279,AL1279,AO1279,AR1279,AU1279,AX1279,BA1279))</f>
        <v/>
      </c>
      <c r="BG1279" s="10">
        <f>MID(IF(S1279="","",", "&amp;S1279)&amp;IF(V1279="","",", "&amp;V1279)&amp;IF(Y1279="","",", "&amp;Y1279)&amp;IF(AB1279="","",", "&amp;AB1279)&amp;IF(AE1279="","",", "&amp;AE1279)&amp;IF(AH1279="","",", "&amp;AH1279)&amp;IF(AK1279="","",", "&amp;AK1279)&amp;IF(AN1279="","",", "&amp;AN1279)&amp;IF(AQ1279="","",", "&amp;AQ1279)&amp;IF(AT1279="","",", "&amp;AT1279)&amp;IF(AW1279="","",", "&amp;AW1279)&amp;IF(AZ1279="","",", "&amp;AZ1279),3,500)</f>
        <v/>
      </c>
      <c r="BH1279" s="12" t="n"/>
      <c r="BI1279" s="15">
        <f>IFERROR(MATCH($A1279,IF($B1279="Onsite",tbl_Onsite[Row ID],IF($B1279="Production",tbl_Production[Row ID],tbl_Consulting[Row ID])),0),"")</f>
        <v/>
      </c>
    </row>
    <row r="1280">
      <c r="A1280" s="10" t="inlineStr">
        <is>
          <t>CON-0274</t>
        </is>
      </c>
      <c r="B1280" s="10" t="inlineStr">
        <is>
          <t>Consulting</t>
        </is>
      </c>
      <c r="C1280" s="10">
        <f>IF($BI1280="","",IF($B1280="Onsite",INDEX(tbl_Onsite[Job Number],$BI1280),IF($B1280="Production",INDEX(tbl_Production[Job Number],$BI1280),INDEX(tbl_Consulting[Job Number],$BI1280)))&amp;"")</f>
        <v/>
      </c>
      <c r="D1280" s="10">
        <f>IF($BI1280="","",IF($B1280="Onsite",INDEX(tbl_Onsite[Client],$BI1280),IF($B1280="Production",INDEX(tbl_Production[Client],$BI1280),INDEX(tbl_Consulting[Client],$BI1280)))&amp;"")</f>
        <v/>
      </c>
      <c r="E1280" s="10">
        <f>IF($C1280="","",IF(COUNTIF(lst_Jobs,$C1280)&gt;0,"OK","CHECK"))</f>
        <v/>
      </c>
      <c r="F1280" s="10">
        <f>IF($C1280="","",IFERROR(INDEX(lst_JobName,MATCH($C1280,lst_Jobs,0)),""))</f>
        <v/>
      </c>
      <c r="G1280" s="10">
        <f>IF($BI1280="","",IF($B1280="Onsite",INDEX(tbl_Onsite[Job Description],$BI1280),IF($B1280="Production",INDEX(tbl_Production[Job Description],$BI1280),INDEX(tbl_Consulting[Job Description],$BI1280)))&amp;"")</f>
        <v/>
      </c>
      <c r="H1280" s="10">
        <f>IF($BI1280="","",IF($B1280="Onsite",INDEX(tbl_Onsite[Cost Centre],$BI1280),IF($B1280="Production",INDEX(tbl_Production[Cost Centre],$BI1280),INDEX(tbl_Consulting[Cost Centre],$BI1280)))&amp;"")</f>
        <v/>
      </c>
      <c r="I1280" s="10">
        <f>IF($BI1280="","",IF($B1280="Onsite",INDEX(tbl_Onsite[Invoice Type],$BI1280),IF($B1280="Production",INDEX(tbl_Production[Invoice Type],$BI1280),INDEX(tbl_Consulting[Invoice Type],$BI1280)))&amp;"")</f>
        <v/>
      </c>
      <c r="J1280" s="10">
        <f>IF($BI1280="","",IF($B1280="Onsite",INDEX(tbl_Onsite[Tax Code],$BI1280),IF($B1280="Production",INDEX(tbl_Production[Tax Code],$BI1280),INDEX(tbl_Consulting[Tax Code],$BI1280)))&amp;"")</f>
        <v/>
      </c>
      <c r="K1280" s="10">
        <f>IF(H1280="","",IFERROR(INDEX(lst_CCtoGL,MATCH(H1280,lst_CCforGL,0)),""))</f>
        <v/>
      </c>
      <c r="L1280" s="10">
        <f>IF($BI1280="","",IF($B1280="Onsite",INDEX(tbl_Onsite[PO / Reference],$BI1280),IF($B1280="Production",INDEX(tbl_Production[Current RMS No],$BI1280),INDEX(tbl_Consulting[Qwilr Quote],$BI1280)))&amp;"")</f>
        <v/>
      </c>
      <c r="M1280" s="10">
        <f>IF($BI1280="","",IF($B1280="Onsite",INDEX(tbl_Onsite[Notes],$BI1280),IF($B1280="Production",INDEX(tbl_Production[Notes],$BI1280),INDEX(tbl_Consulting[Notes],$BI1280)))&amp;"")</f>
        <v/>
      </c>
      <c r="N1280" s="11">
        <f>IF($BI1280="","",IF(IF($B1280="Onsite",INDEX(tbl_Onsite[Expected Revenue Ex GST],$BI1280),IF($B1280="Production",INDEX(tbl_Production[Expected Revenue Ex GST],$BI1280),INDEX(tbl_Consulting[Expected Revenue Ex GST],$BI1280)))="","",IF($B1280="Onsite",INDEX(tbl_Onsite[Expected Revenue Ex GST],$BI1280),IF($B1280="Production",INDEX(tbl_Production[Expected Revenue Ex GST],$BI1280),INDEX(tbl_Consulting[Expected Revenue Ex GST],$BI1280)))))</f>
        <v/>
      </c>
      <c r="O1280" s="11">
        <f>IF(AND($C1280="",NOT(COUNTA($S1280:$BB1280)&gt;0)),"",SUM(U1280,X1280,AA1280,AD1280,AG1280,AJ1280,AM1280,AP1280,AS1280,AV1280,AY1280,BB1280))</f>
        <v/>
      </c>
      <c r="P1280" s="11">
        <f>IF(O1280="","",N(N1280)-O1280)</f>
        <v/>
      </c>
      <c r="Q1280" s="10">
        <f>IF(O1280="","",IF($C1280="","Invoice on empty job row",IF(N1280="",IF(ROUND(O1280,2)=0,"No dept value","Invoiced - no dept value"),IF(ROUND(O1280,2)=0,"Not invoiced - to invoice",IF(ROUND(P1280,2)=0,"Agrees",IF(P1280&gt;0,"Dept higher - to invoice","Xero higher - check dept"))))))</f>
        <v/>
      </c>
      <c r="R1280" s="10">
        <f>IF(AND($C1280="",NOT(COUNTA($S1280:$BB1280)&gt;0),$BI1280&lt;&gt;""),"",MID(IF($BI1280="","; Row ID not found on the department sheet - a row was deleted","")&amp;IF(AND($C1280="",COUNTA($S1280:$BB1280)&gt;0),"; Invoice entered but the department row has no job number","")&amp;IF(E1280="CHECK","; Job number not in the Xero job list","")&amp;IF(AND($C1280&lt;&gt;"",COUNTIF($C$7:$C$1506,$C1280)&gt;1),"; Job number on more than one row","")&amp;IF(AND($C1280&lt;&gt;"",H1280=""),"; Dept has not set a cost centre","")&amp;IF(AND($C1280&lt;&gt;"",J1280=""),"; Dept has not set a tax code","")&amp;IF(AND($C1280&lt;&gt;"",N1280=""),"; Dept has not entered an expected value","")&amp;IF((IF(OR(COUNTA(S1280:U1280)=0,AND(COUNTA(S1280:U1280)=3,ISNUMBER(U1280))),0,1)+IF(OR(COUNTA(V1280:X1280)=0,AND(COUNTA(V1280:X1280)=3,ISNUMBER(X1280))),0,1)+IF(OR(COUNTA(Y1280:AA1280)=0,AND(COUNTA(Y1280:AA1280)=3,ISNUMBER(AA1280))),0,1)+IF(OR(COUNTA(AB1280:AD1280)=0,AND(COUNTA(AB1280:AD1280)=3,ISNUMBER(AD1280))),0,1)+IF(OR(COUNTA(AE1280:AG1280)=0,AND(COUNTA(AE1280:AG1280)=3,ISNUMBER(AG1280))),0,1)+IF(OR(COUNTA(AH1280:AJ1280)=0,AND(COUNTA(AH1280:AJ1280)=3,ISNUMBER(AJ1280))),0,1)+IF(OR(COUNTA(AK1280:AM1280)=0,AND(COUNTA(AK1280:AM1280)=3,ISNUMBER(AM1280))),0,1)+IF(OR(COUNTA(AN1280:AP1280)=0,AND(COUNTA(AN1280:AP1280)=3,ISNUMBER(AP1280))),0,1)+IF(OR(COUNTA(AQ1280:AS1280)=0,AND(COUNTA(AQ1280:AS1280)=3,ISNUMBER(AS1280))),0,1)+IF(OR(COUNTA(AT1280:AV1280)=0,AND(COUNTA(AT1280:AV1280)=3,ISNUMBER(AV1280))),0,1)+IF(OR(COUNTA(AW1280:AY1280)=0,AND(COUNTA(AW1280:AY1280)=3,ISNUMBER(AY1280))),0,1)+IF(OR(COUNTA(AZ1280:BB1280)=0,AND(COUNTA(AZ1280:BB1280)=3,ISNUMBER(BB1280))),0,1))&gt;0,"; An invoice is incomplete (needs No, Date and a number in Ex GST)","")&amp;IF((IF(T1280="",0,IFERROR(--(EOMONTH(T1280,0)&lt;&gt;S$5),1))+IF(W1280="",0,IFERROR(--(EOMONTH(W1280,0)&lt;&gt;V$5),1))+IF(Z1280="",0,IFERROR(--(EOMONTH(Z1280,0)&lt;&gt;Y$5),1))+IF(AC1280="",0,IFERROR(--(EOMONTH(AC1280,0)&lt;&gt;AB$5),1))+IF(AF1280="",0,IFERROR(--(EOMONTH(AF1280,0)&lt;&gt;AE$5),1))+IF(AI1280="",0,IFERROR(--(EOMONTH(AI1280,0)&lt;&gt;AH$5),1))+IF(AL1280="",0,IFERROR(--(EOMONTH(AL1280,0)&lt;&gt;AK$5),1))+IF(AO1280="",0,IFERROR(--(EOMONTH(AO1280,0)&lt;&gt;AN$5),1))+IF(AR1280="",0,IFERROR(--(EOMONTH(AR1280,0)&lt;&gt;AQ$5),1))+IF(AU1280="",0,IFERROR(--(EOMONTH(AU1280,0)&lt;&gt;AT$5),1))+IF(AX1280="",0,IFERROR(--(EOMONTH(AX1280,0)&lt;&gt;AW$5),1))+IF(BA1280="",0,IFERROR(--(EOMONTH(BA1280,0)&lt;&gt;AZ$5),1)))&gt;0,"; An invoice date is not in the month it is typed under",""),3,500))</f>
        <v/>
      </c>
      <c r="S1280" s="12" t="n"/>
      <c r="T1280" s="13" t="n"/>
      <c r="U1280" s="14" t="n"/>
      <c r="V1280" s="12" t="n"/>
      <c r="W1280" s="13" t="n"/>
      <c r="X1280" s="14" t="n"/>
      <c r="Y1280" s="12" t="n"/>
      <c r="Z1280" s="13" t="n"/>
      <c r="AA1280" s="14" t="n"/>
      <c r="AB1280" s="12" t="n"/>
      <c r="AC1280" s="13" t="n"/>
      <c r="AD1280" s="14" t="n"/>
      <c r="AE1280" s="12" t="n"/>
      <c r="AF1280" s="13" t="n"/>
      <c r="AG1280" s="14" t="n"/>
      <c r="AH1280" s="12" t="n"/>
      <c r="AI1280" s="13" t="n"/>
      <c r="AJ1280" s="14" t="n"/>
      <c r="AK1280" s="12" t="n"/>
      <c r="AL1280" s="13" t="n"/>
      <c r="AM1280" s="14" t="n"/>
      <c r="AN1280" s="12" t="n"/>
      <c r="AO1280" s="13" t="n"/>
      <c r="AP1280" s="14" t="n"/>
      <c r="AQ1280" s="12" t="n"/>
      <c r="AR1280" s="13" t="n"/>
      <c r="AS1280" s="14" t="n"/>
      <c r="AT1280" s="12" t="n"/>
      <c r="AU1280" s="13" t="n"/>
      <c r="AV1280" s="14" t="n"/>
      <c r="AW1280" s="12" t="n"/>
      <c r="AX1280" s="13" t="n"/>
      <c r="AY1280" s="14" t="n"/>
      <c r="AZ1280" s="12" t="n"/>
      <c r="BA1280" s="13" t="n"/>
      <c r="BB1280" s="14" t="n"/>
      <c r="BC1280" s="11">
        <f>IF(O1280="","",IF(J1280="GST 10%",ROUND(O1280*set_GSTRate,2),0))</f>
        <v/>
      </c>
      <c r="BD1280" s="11">
        <f>IF(O1280="","",O1280+BC1280)</f>
        <v/>
      </c>
      <c r="BE1280" s="15">
        <f>IF(O1280="","",COUNTA(S1280,V1280,Y1280,AB1280,AE1280,AH1280,AK1280,AN1280,AQ1280,AT1280,AW1280,AZ1280))</f>
        <v/>
      </c>
      <c r="BF1280" s="16">
        <f>IF(COUNT(T1280,W1280,Z1280,AC1280,AF1280,AI1280,AL1280,AO1280,AR1280,AU1280,AX1280,BA1280)=0,"",MAX(T1280,W1280,Z1280,AC1280,AF1280,AI1280,AL1280,AO1280,AR1280,AU1280,AX1280,BA1280))</f>
        <v/>
      </c>
      <c r="BG1280" s="10">
        <f>MID(IF(S1280="","",", "&amp;S1280)&amp;IF(V1280="","",", "&amp;V1280)&amp;IF(Y1280="","",", "&amp;Y1280)&amp;IF(AB1280="","",", "&amp;AB1280)&amp;IF(AE1280="","",", "&amp;AE1280)&amp;IF(AH1280="","",", "&amp;AH1280)&amp;IF(AK1280="","",", "&amp;AK1280)&amp;IF(AN1280="","",", "&amp;AN1280)&amp;IF(AQ1280="","",", "&amp;AQ1280)&amp;IF(AT1280="","",", "&amp;AT1280)&amp;IF(AW1280="","",", "&amp;AW1280)&amp;IF(AZ1280="","",", "&amp;AZ1280),3,500)</f>
        <v/>
      </c>
      <c r="BH1280" s="12" t="n"/>
      <c r="BI1280" s="15">
        <f>IFERROR(MATCH($A1280,IF($B1280="Onsite",tbl_Onsite[Row ID],IF($B1280="Production",tbl_Production[Row ID],tbl_Consulting[Row ID])),0),"")</f>
        <v/>
      </c>
    </row>
    <row r="1281">
      <c r="A1281" s="10" t="inlineStr">
        <is>
          <t>CON-0275</t>
        </is>
      </c>
      <c r="B1281" s="10" t="inlineStr">
        <is>
          <t>Consulting</t>
        </is>
      </c>
      <c r="C1281" s="10">
        <f>IF($BI1281="","",IF($B1281="Onsite",INDEX(tbl_Onsite[Job Number],$BI1281),IF($B1281="Production",INDEX(tbl_Production[Job Number],$BI1281),INDEX(tbl_Consulting[Job Number],$BI1281)))&amp;"")</f>
        <v/>
      </c>
      <c r="D1281" s="10">
        <f>IF($BI1281="","",IF($B1281="Onsite",INDEX(tbl_Onsite[Client],$BI1281),IF($B1281="Production",INDEX(tbl_Production[Client],$BI1281),INDEX(tbl_Consulting[Client],$BI1281)))&amp;"")</f>
        <v/>
      </c>
      <c r="E1281" s="10">
        <f>IF($C1281="","",IF(COUNTIF(lst_Jobs,$C1281)&gt;0,"OK","CHECK"))</f>
        <v/>
      </c>
      <c r="F1281" s="10">
        <f>IF($C1281="","",IFERROR(INDEX(lst_JobName,MATCH($C1281,lst_Jobs,0)),""))</f>
        <v/>
      </c>
      <c r="G1281" s="10">
        <f>IF($BI1281="","",IF($B1281="Onsite",INDEX(tbl_Onsite[Job Description],$BI1281),IF($B1281="Production",INDEX(tbl_Production[Job Description],$BI1281),INDEX(tbl_Consulting[Job Description],$BI1281)))&amp;"")</f>
        <v/>
      </c>
      <c r="H1281" s="10">
        <f>IF($BI1281="","",IF($B1281="Onsite",INDEX(tbl_Onsite[Cost Centre],$BI1281),IF($B1281="Production",INDEX(tbl_Production[Cost Centre],$BI1281),INDEX(tbl_Consulting[Cost Centre],$BI1281)))&amp;"")</f>
        <v/>
      </c>
      <c r="I1281" s="10">
        <f>IF($BI1281="","",IF($B1281="Onsite",INDEX(tbl_Onsite[Invoice Type],$BI1281),IF($B1281="Production",INDEX(tbl_Production[Invoice Type],$BI1281),INDEX(tbl_Consulting[Invoice Type],$BI1281)))&amp;"")</f>
        <v/>
      </c>
      <c r="J1281" s="10">
        <f>IF($BI1281="","",IF($B1281="Onsite",INDEX(tbl_Onsite[Tax Code],$BI1281),IF($B1281="Production",INDEX(tbl_Production[Tax Code],$BI1281),INDEX(tbl_Consulting[Tax Code],$BI1281)))&amp;"")</f>
        <v/>
      </c>
      <c r="K1281" s="10">
        <f>IF(H1281="","",IFERROR(INDEX(lst_CCtoGL,MATCH(H1281,lst_CCforGL,0)),""))</f>
        <v/>
      </c>
      <c r="L1281" s="10">
        <f>IF($BI1281="","",IF($B1281="Onsite",INDEX(tbl_Onsite[PO / Reference],$BI1281),IF($B1281="Production",INDEX(tbl_Production[Current RMS No],$BI1281),INDEX(tbl_Consulting[Qwilr Quote],$BI1281)))&amp;"")</f>
        <v/>
      </c>
      <c r="M1281" s="10">
        <f>IF($BI1281="","",IF($B1281="Onsite",INDEX(tbl_Onsite[Notes],$BI1281),IF($B1281="Production",INDEX(tbl_Production[Notes],$BI1281),INDEX(tbl_Consulting[Notes],$BI1281)))&amp;"")</f>
        <v/>
      </c>
      <c r="N1281" s="11">
        <f>IF($BI1281="","",IF(IF($B1281="Onsite",INDEX(tbl_Onsite[Expected Revenue Ex GST],$BI1281),IF($B1281="Production",INDEX(tbl_Production[Expected Revenue Ex GST],$BI1281),INDEX(tbl_Consulting[Expected Revenue Ex GST],$BI1281)))="","",IF($B1281="Onsite",INDEX(tbl_Onsite[Expected Revenue Ex GST],$BI1281),IF($B1281="Production",INDEX(tbl_Production[Expected Revenue Ex GST],$BI1281),INDEX(tbl_Consulting[Expected Revenue Ex GST],$BI1281)))))</f>
        <v/>
      </c>
      <c r="O1281" s="11">
        <f>IF(AND($C1281="",NOT(COUNTA($S1281:$BB1281)&gt;0)),"",SUM(U1281,X1281,AA1281,AD1281,AG1281,AJ1281,AM1281,AP1281,AS1281,AV1281,AY1281,BB1281))</f>
        <v/>
      </c>
      <c r="P1281" s="11">
        <f>IF(O1281="","",N(N1281)-O1281)</f>
        <v/>
      </c>
      <c r="Q1281" s="10">
        <f>IF(O1281="","",IF($C1281="","Invoice on empty job row",IF(N1281="",IF(ROUND(O1281,2)=0,"No dept value","Invoiced - no dept value"),IF(ROUND(O1281,2)=0,"Not invoiced - to invoice",IF(ROUND(P1281,2)=0,"Agrees",IF(P1281&gt;0,"Dept higher - to invoice","Xero higher - check dept"))))))</f>
        <v/>
      </c>
      <c r="R1281" s="10">
        <f>IF(AND($C1281="",NOT(COUNTA($S1281:$BB1281)&gt;0),$BI1281&lt;&gt;""),"",MID(IF($BI1281="","; Row ID not found on the department sheet - a row was deleted","")&amp;IF(AND($C1281="",COUNTA($S1281:$BB1281)&gt;0),"; Invoice entered but the department row has no job number","")&amp;IF(E1281="CHECK","; Job number not in the Xero job list","")&amp;IF(AND($C1281&lt;&gt;"",COUNTIF($C$7:$C$1506,$C1281)&gt;1),"; Job number on more than one row","")&amp;IF(AND($C1281&lt;&gt;"",H1281=""),"; Dept has not set a cost centre","")&amp;IF(AND($C1281&lt;&gt;"",J1281=""),"; Dept has not set a tax code","")&amp;IF(AND($C1281&lt;&gt;"",N1281=""),"; Dept has not entered an expected value","")&amp;IF((IF(OR(COUNTA(S1281:U1281)=0,AND(COUNTA(S1281:U1281)=3,ISNUMBER(U1281))),0,1)+IF(OR(COUNTA(V1281:X1281)=0,AND(COUNTA(V1281:X1281)=3,ISNUMBER(X1281))),0,1)+IF(OR(COUNTA(Y1281:AA1281)=0,AND(COUNTA(Y1281:AA1281)=3,ISNUMBER(AA1281))),0,1)+IF(OR(COUNTA(AB1281:AD1281)=0,AND(COUNTA(AB1281:AD1281)=3,ISNUMBER(AD1281))),0,1)+IF(OR(COUNTA(AE1281:AG1281)=0,AND(COUNTA(AE1281:AG1281)=3,ISNUMBER(AG1281))),0,1)+IF(OR(COUNTA(AH1281:AJ1281)=0,AND(COUNTA(AH1281:AJ1281)=3,ISNUMBER(AJ1281))),0,1)+IF(OR(COUNTA(AK1281:AM1281)=0,AND(COUNTA(AK1281:AM1281)=3,ISNUMBER(AM1281))),0,1)+IF(OR(COUNTA(AN1281:AP1281)=0,AND(COUNTA(AN1281:AP1281)=3,ISNUMBER(AP1281))),0,1)+IF(OR(COUNTA(AQ1281:AS1281)=0,AND(COUNTA(AQ1281:AS1281)=3,ISNUMBER(AS1281))),0,1)+IF(OR(COUNTA(AT1281:AV1281)=0,AND(COUNTA(AT1281:AV1281)=3,ISNUMBER(AV1281))),0,1)+IF(OR(COUNTA(AW1281:AY1281)=0,AND(COUNTA(AW1281:AY1281)=3,ISNUMBER(AY1281))),0,1)+IF(OR(COUNTA(AZ1281:BB1281)=0,AND(COUNTA(AZ1281:BB1281)=3,ISNUMBER(BB1281))),0,1))&gt;0,"; An invoice is incomplete (needs No, Date and a number in Ex GST)","")&amp;IF((IF(T1281="",0,IFERROR(--(EOMONTH(T1281,0)&lt;&gt;S$5),1))+IF(W1281="",0,IFERROR(--(EOMONTH(W1281,0)&lt;&gt;V$5),1))+IF(Z1281="",0,IFERROR(--(EOMONTH(Z1281,0)&lt;&gt;Y$5),1))+IF(AC1281="",0,IFERROR(--(EOMONTH(AC1281,0)&lt;&gt;AB$5),1))+IF(AF1281="",0,IFERROR(--(EOMONTH(AF1281,0)&lt;&gt;AE$5),1))+IF(AI1281="",0,IFERROR(--(EOMONTH(AI1281,0)&lt;&gt;AH$5),1))+IF(AL1281="",0,IFERROR(--(EOMONTH(AL1281,0)&lt;&gt;AK$5),1))+IF(AO1281="",0,IFERROR(--(EOMONTH(AO1281,0)&lt;&gt;AN$5),1))+IF(AR1281="",0,IFERROR(--(EOMONTH(AR1281,0)&lt;&gt;AQ$5),1))+IF(AU1281="",0,IFERROR(--(EOMONTH(AU1281,0)&lt;&gt;AT$5),1))+IF(AX1281="",0,IFERROR(--(EOMONTH(AX1281,0)&lt;&gt;AW$5),1))+IF(BA1281="",0,IFERROR(--(EOMONTH(BA1281,0)&lt;&gt;AZ$5),1)))&gt;0,"; An invoice date is not in the month it is typed under",""),3,500))</f>
        <v/>
      </c>
      <c r="S1281" s="12" t="n"/>
      <c r="T1281" s="13" t="n"/>
      <c r="U1281" s="14" t="n"/>
      <c r="V1281" s="12" t="n"/>
      <c r="W1281" s="13" t="n"/>
      <c r="X1281" s="14" t="n"/>
      <c r="Y1281" s="12" t="n"/>
      <c r="Z1281" s="13" t="n"/>
      <c r="AA1281" s="14" t="n"/>
      <c r="AB1281" s="12" t="n"/>
      <c r="AC1281" s="13" t="n"/>
      <c r="AD1281" s="14" t="n"/>
      <c r="AE1281" s="12" t="n"/>
      <c r="AF1281" s="13" t="n"/>
      <c r="AG1281" s="14" t="n"/>
      <c r="AH1281" s="12" t="n"/>
      <c r="AI1281" s="13" t="n"/>
      <c r="AJ1281" s="14" t="n"/>
      <c r="AK1281" s="12" t="n"/>
      <c r="AL1281" s="13" t="n"/>
      <c r="AM1281" s="14" t="n"/>
      <c r="AN1281" s="12" t="n"/>
      <c r="AO1281" s="13" t="n"/>
      <c r="AP1281" s="14" t="n"/>
      <c r="AQ1281" s="12" t="n"/>
      <c r="AR1281" s="13" t="n"/>
      <c r="AS1281" s="14" t="n"/>
      <c r="AT1281" s="12" t="n"/>
      <c r="AU1281" s="13" t="n"/>
      <c r="AV1281" s="14" t="n"/>
      <c r="AW1281" s="12" t="n"/>
      <c r="AX1281" s="13" t="n"/>
      <c r="AY1281" s="14" t="n"/>
      <c r="AZ1281" s="12" t="n"/>
      <c r="BA1281" s="13" t="n"/>
      <c r="BB1281" s="14" t="n"/>
      <c r="BC1281" s="11">
        <f>IF(O1281="","",IF(J1281="GST 10%",ROUND(O1281*set_GSTRate,2),0))</f>
        <v/>
      </c>
      <c r="BD1281" s="11">
        <f>IF(O1281="","",O1281+BC1281)</f>
        <v/>
      </c>
      <c r="BE1281" s="15">
        <f>IF(O1281="","",COUNTA(S1281,V1281,Y1281,AB1281,AE1281,AH1281,AK1281,AN1281,AQ1281,AT1281,AW1281,AZ1281))</f>
        <v/>
      </c>
      <c r="BF1281" s="16">
        <f>IF(COUNT(T1281,W1281,Z1281,AC1281,AF1281,AI1281,AL1281,AO1281,AR1281,AU1281,AX1281,BA1281)=0,"",MAX(T1281,W1281,Z1281,AC1281,AF1281,AI1281,AL1281,AO1281,AR1281,AU1281,AX1281,BA1281))</f>
        <v/>
      </c>
      <c r="BG1281" s="10">
        <f>MID(IF(S1281="","",", "&amp;S1281)&amp;IF(V1281="","",", "&amp;V1281)&amp;IF(Y1281="","",", "&amp;Y1281)&amp;IF(AB1281="","",", "&amp;AB1281)&amp;IF(AE1281="","",", "&amp;AE1281)&amp;IF(AH1281="","",", "&amp;AH1281)&amp;IF(AK1281="","",", "&amp;AK1281)&amp;IF(AN1281="","",", "&amp;AN1281)&amp;IF(AQ1281="","",", "&amp;AQ1281)&amp;IF(AT1281="","",", "&amp;AT1281)&amp;IF(AW1281="","",", "&amp;AW1281)&amp;IF(AZ1281="","",", "&amp;AZ1281),3,500)</f>
        <v/>
      </c>
      <c r="BH1281" s="12" t="n"/>
      <c r="BI1281" s="15">
        <f>IFERROR(MATCH($A1281,IF($B1281="Onsite",tbl_Onsite[Row ID],IF($B1281="Production",tbl_Production[Row ID],tbl_Consulting[Row ID])),0),"")</f>
        <v/>
      </c>
    </row>
    <row r="1282">
      <c r="A1282" s="10" t="inlineStr">
        <is>
          <t>CON-0276</t>
        </is>
      </c>
      <c r="B1282" s="10" t="inlineStr">
        <is>
          <t>Consulting</t>
        </is>
      </c>
      <c r="C1282" s="10">
        <f>IF($BI1282="","",IF($B1282="Onsite",INDEX(tbl_Onsite[Job Number],$BI1282),IF($B1282="Production",INDEX(tbl_Production[Job Number],$BI1282),INDEX(tbl_Consulting[Job Number],$BI1282)))&amp;"")</f>
        <v/>
      </c>
      <c r="D1282" s="10">
        <f>IF($BI1282="","",IF($B1282="Onsite",INDEX(tbl_Onsite[Client],$BI1282),IF($B1282="Production",INDEX(tbl_Production[Client],$BI1282),INDEX(tbl_Consulting[Client],$BI1282)))&amp;"")</f>
        <v/>
      </c>
      <c r="E1282" s="10">
        <f>IF($C1282="","",IF(COUNTIF(lst_Jobs,$C1282)&gt;0,"OK","CHECK"))</f>
        <v/>
      </c>
      <c r="F1282" s="10">
        <f>IF($C1282="","",IFERROR(INDEX(lst_JobName,MATCH($C1282,lst_Jobs,0)),""))</f>
        <v/>
      </c>
      <c r="G1282" s="10">
        <f>IF($BI1282="","",IF($B1282="Onsite",INDEX(tbl_Onsite[Job Description],$BI1282),IF($B1282="Production",INDEX(tbl_Production[Job Description],$BI1282),INDEX(tbl_Consulting[Job Description],$BI1282)))&amp;"")</f>
        <v/>
      </c>
      <c r="H1282" s="10">
        <f>IF($BI1282="","",IF($B1282="Onsite",INDEX(tbl_Onsite[Cost Centre],$BI1282),IF($B1282="Production",INDEX(tbl_Production[Cost Centre],$BI1282),INDEX(tbl_Consulting[Cost Centre],$BI1282)))&amp;"")</f>
        <v/>
      </c>
      <c r="I1282" s="10">
        <f>IF($BI1282="","",IF($B1282="Onsite",INDEX(tbl_Onsite[Invoice Type],$BI1282),IF($B1282="Production",INDEX(tbl_Production[Invoice Type],$BI1282),INDEX(tbl_Consulting[Invoice Type],$BI1282)))&amp;"")</f>
        <v/>
      </c>
      <c r="J1282" s="10">
        <f>IF($BI1282="","",IF($B1282="Onsite",INDEX(tbl_Onsite[Tax Code],$BI1282),IF($B1282="Production",INDEX(tbl_Production[Tax Code],$BI1282),INDEX(tbl_Consulting[Tax Code],$BI1282)))&amp;"")</f>
        <v/>
      </c>
      <c r="K1282" s="10">
        <f>IF(H1282="","",IFERROR(INDEX(lst_CCtoGL,MATCH(H1282,lst_CCforGL,0)),""))</f>
        <v/>
      </c>
      <c r="L1282" s="10">
        <f>IF($BI1282="","",IF($B1282="Onsite",INDEX(tbl_Onsite[PO / Reference],$BI1282),IF($B1282="Production",INDEX(tbl_Production[Current RMS No],$BI1282),INDEX(tbl_Consulting[Qwilr Quote],$BI1282)))&amp;"")</f>
        <v/>
      </c>
      <c r="M1282" s="10">
        <f>IF($BI1282="","",IF($B1282="Onsite",INDEX(tbl_Onsite[Notes],$BI1282),IF($B1282="Production",INDEX(tbl_Production[Notes],$BI1282),INDEX(tbl_Consulting[Notes],$BI1282)))&amp;"")</f>
        <v/>
      </c>
      <c r="N1282" s="11">
        <f>IF($BI1282="","",IF(IF($B1282="Onsite",INDEX(tbl_Onsite[Expected Revenue Ex GST],$BI1282),IF($B1282="Production",INDEX(tbl_Production[Expected Revenue Ex GST],$BI1282),INDEX(tbl_Consulting[Expected Revenue Ex GST],$BI1282)))="","",IF($B1282="Onsite",INDEX(tbl_Onsite[Expected Revenue Ex GST],$BI1282),IF($B1282="Production",INDEX(tbl_Production[Expected Revenue Ex GST],$BI1282),INDEX(tbl_Consulting[Expected Revenue Ex GST],$BI1282)))))</f>
        <v/>
      </c>
      <c r="O1282" s="11">
        <f>IF(AND($C1282="",NOT(COUNTA($S1282:$BB1282)&gt;0)),"",SUM(U1282,X1282,AA1282,AD1282,AG1282,AJ1282,AM1282,AP1282,AS1282,AV1282,AY1282,BB1282))</f>
        <v/>
      </c>
      <c r="P1282" s="11">
        <f>IF(O1282="","",N(N1282)-O1282)</f>
        <v/>
      </c>
      <c r="Q1282" s="10">
        <f>IF(O1282="","",IF($C1282="","Invoice on empty job row",IF(N1282="",IF(ROUND(O1282,2)=0,"No dept value","Invoiced - no dept value"),IF(ROUND(O1282,2)=0,"Not invoiced - to invoice",IF(ROUND(P1282,2)=0,"Agrees",IF(P1282&gt;0,"Dept higher - to invoice","Xero higher - check dept"))))))</f>
        <v/>
      </c>
      <c r="R1282" s="10">
        <f>IF(AND($C1282="",NOT(COUNTA($S1282:$BB1282)&gt;0),$BI1282&lt;&gt;""),"",MID(IF($BI1282="","; Row ID not found on the department sheet - a row was deleted","")&amp;IF(AND($C1282="",COUNTA($S1282:$BB1282)&gt;0),"; Invoice entered but the department row has no job number","")&amp;IF(E1282="CHECK","; Job number not in the Xero job list","")&amp;IF(AND($C1282&lt;&gt;"",COUNTIF($C$7:$C$1506,$C1282)&gt;1),"; Job number on more than one row","")&amp;IF(AND($C1282&lt;&gt;"",H1282=""),"; Dept has not set a cost centre","")&amp;IF(AND($C1282&lt;&gt;"",J1282=""),"; Dept has not set a tax code","")&amp;IF(AND($C1282&lt;&gt;"",N1282=""),"; Dept has not entered an expected value","")&amp;IF((IF(OR(COUNTA(S1282:U1282)=0,AND(COUNTA(S1282:U1282)=3,ISNUMBER(U1282))),0,1)+IF(OR(COUNTA(V1282:X1282)=0,AND(COUNTA(V1282:X1282)=3,ISNUMBER(X1282))),0,1)+IF(OR(COUNTA(Y1282:AA1282)=0,AND(COUNTA(Y1282:AA1282)=3,ISNUMBER(AA1282))),0,1)+IF(OR(COUNTA(AB1282:AD1282)=0,AND(COUNTA(AB1282:AD1282)=3,ISNUMBER(AD1282))),0,1)+IF(OR(COUNTA(AE1282:AG1282)=0,AND(COUNTA(AE1282:AG1282)=3,ISNUMBER(AG1282))),0,1)+IF(OR(COUNTA(AH1282:AJ1282)=0,AND(COUNTA(AH1282:AJ1282)=3,ISNUMBER(AJ1282))),0,1)+IF(OR(COUNTA(AK1282:AM1282)=0,AND(COUNTA(AK1282:AM1282)=3,ISNUMBER(AM1282))),0,1)+IF(OR(COUNTA(AN1282:AP1282)=0,AND(COUNTA(AN1282:AP1282)=3,ISNUMBER(AP1282))),0,1)+IF(OR(COUNTA(AQ1282:AS1282)=0,AND(COUNTA(AQ1282:AS1282)=3,ISNUMBER(AS1282))),0,1)+IF(OR(COUNTA(AT1282:AV1282)=0,AND(COUNTA(AT1282:AV1282)=3,ISNUMBER(AV1282))),0,1)+IF(OR(COUNTA(AW1282:AY1282)=0,AND(COUNTA(AW1282:AY1282)=3,ISNUMBER(AY1282))),0,1)+IF(OR(COUNTA(AZ1282:BB1282)=0,AND(COUNTA(AZ1282:BB1282)=3,ISNUMBER(BB1282))),0,1))&gt;0,"; An invoice is incomplete (needs No, Date and a number in Ex GST)","")&amp;IF((IF(T1282="",0,IFERROR(--(EOMONTH(T1282,0)&lt;&gt;S$5),1))+IF(W1282="",0,IFERROR(--(EOMONTH(W1282,0)&lt;&gt;V$5),1))+IF(Z1282="",0,IFERROR(--(EOMONTH(Z1282,0)&lt;&gt;Y$5),1))+IF(AC1282="",0,IFERROR(--(EOMONTH(AC1282,0)&lt;&gt;AB$5),1))+IF(AF1282="",0,IFERROR(--(EOMONTH(AF1282,0)&lt;&gt;AE$5),1))+IF(AI1282="",0,IFERROR(--(EOMONTH(AI1282,0)&lt;&gt;AH$5),1))+IF(AL1282="",0,IFERROR(--(EOMONTH(AL1282,0)&lt;&gt;AK$5),1))+IF(AO1282="",0,IFERROR(--(EOMONTH(AO1282,0)&lt;&gt;AN$5),1))+IF(AR1282="",0,IFERROR(--(EOMONTH(AR1282,0)&lt;&gt;AQ$5),1))+IF(AU1282="",0,IFERROR(--(EOMONTH(AU1282,0)&lt;&gt;AT$5),1))+IF(AX1282="",0,IFERROR(--(EOMONTH(AX1282,0)&lt;&gt;AW$5),1))+IF(BA1282="",0,IFERROR(--(EOMONTH(BA1282,0)&lt;&gt;AZ$5),1)))&gt;0,"; An invoice date is not in the month it is typed under",""),3,500))</f>
        <v/>
      </c>
      <c r="S1282" s="12" t="n"/>
      <c r="T1282" s="13" t="n"/>
      <c r="U1282" s="14" t="n"/>
      <c r="V1282" s="12" t="n"/>
      <c r="W1282" s="13" t="n"/>
      <c r="X1282" s="14" t="n"/>
      <c r="Y1282" s="12" t="n"/>
      <c r="Z1282" s="13" t="n"/>
      <c r="AA1282" s="14" t="n"/>
      <c r="AB1282" s="12" t="n"/>
      <c r="AC1282" s="13" t="n"/>
      <c r="AD1282" s="14" t="n"/>
      <c r="AE1282" s="12" t="n"/>
      <c r="AF1282" s="13" t="n"/>
      <c r="AG1282" s="14" t="n"/>
      <c r="AH1282" s="12" t="n"/>
      <c r="AI1282" s="13" t="n"/>
      <c r="AJ1282" s="14" t="n"/>
      <c r="AK1282" s="12" t="n"/>
      <c r="AL1282" s="13" t="n"/>
      <c r="AM1282" s="14" t="n"/>
      <c r="AN1282" s="12" t="n"/>
      <c r="AO1282" s="13" t="n"/>
      <c r="AP1282" s="14" t="n"/>
      <c r="AQ1282" s="12" t="n"/>
      <c r="AR1282" s="13" t="n"/>
      <c r="AS1282" s="14" t="n"/>
      <c r="AT1282" s="12" t="n"/>
      <c r="AU1282" s="13" t="n"/>
      <c r="AV1282" s="14" t="n"/>
      <c r="AW1282" s="12" t="n"/>
      <c r="AX1282" s="13" t="n"/>
      <c r="AY1282" s="14" t="n"/>
      <c r="AZ1282" s="12" t="n"/>
      <c r="BA1282" s="13" t="n"/>
      <c r="BB1282" s="14" t="n"/>
      <c r="BC1282" s="11">
        <f>IF(O1282="","",IF(J1282="GST 10%",ROUND(O1282*set_GSTRate,2),0))</f>
        <v/>
      </c>
      <c r="BD1282" s="11">
        <f>IF(O1282="","",O1282+BC1282)</f>
        <v/>
      </c>
      <c r="BE1282" s="15">
        <f>IF(O1282="","",COUNTA(S1282,V1282,Y1282,AB1282,AE1282,AH1282,AK1282,AN1282,AQ1282,AT1282,AW1282,AZ1282))</f>
        <v/>
      </c>
      <c r="BF1282" s="16">
        <f>IF(COUNT(T1282,W1282,Z1282,AC1282,AF1282,AI1282,AL1282,AO1282,AR1282,AU1282,AX1282,BA1282)=0,"",MAX(T1282,W1282,Z1282,AC1282,AF1282,AI1282,AL1282,AO1282,AR1282,AU1282,AX1282,BA1282))</f>
        <v/>
      </c>
      <c r="BG1282" s="10">
        <f>MID(IF(S1282="","",", "&amp;S1282)&amp;IF(V1282="","",", "&amp;V1282)&amp;IF(Y1282="","",", "&amp;Y1282)&amp;IF(AB1282="","",", "&amp;AB1282)&amp;IF(AE1282="","",", "&amp;AE1282)&amp;IF(AH1282="","",", "&amp;AH1282)&amp;IF(AK1282="","",", "&amp;AK1282)&amp;IF(AN1282="","",", "&amp;AN1282)&amp;IF(AQ1282="","",", "&amp;AQ1282)&amp;IF(AT1282="","",", "&amp;AT1282)&amp;IF(AW1282="","",", "&amp;AW1282)&amp;IF(AZ1282="","",", "&amp;AZ1282),3,500)</f>
        <v/>
      </c>
      <c r="BH1282" s="12" t="n"/>
      <c r="BI1282" s="15">
        <f>IFERROR(MATCH($A1282,IF($B1282="Onsite",tbl_Onsite[Row ID],IF($B1282="Production",tbl_Production[Row ID],tbl_Consulting[Row ID])),0),"")</f>
        <v/>
      </c>
    </row>
    <row r="1283">
      <c r="A1283" s="10" t="inlineStr">
        <is>
          <t>CON-0277</t>
        </is>
      </c>
      <c r="B1283" s="10" t="inlineStr">
        <is>
          <t>Consulting</t>
        </is>
      </c>
      <c r="C1283" s="10">
        <f>IF($BI1283="","",IF($B1283="Onsite",INDEX(tbl_Onsite[Job Number],$BI1283),IF($B1283="Production",INDEX(tbl_Production[Job Number],$BI1283),INDEX(tbl_Consulting[Job Number],$BI1283)))&amp;"")</f>
        <v/>
      </c>
      <c r="D1283" s="10">
        <f>IF($BI1283="","",IF($B1283="Onsite",INDEX(tbl_Onsite[Client],$BI1283),IF($B1283="Production",INDEX(tbl_Production[Client],$BI1283),INDEX(tbl_Consulting[Client],$BI1283)))&amp;"")</f>
        <v/>
      </c>
      <c r="E1283" s="10">
        <f>IF($C1283="","",IF(COUNTIF(lst_Jobs,$C1283)&gt;0,"OK","CHECK"))</f>
        <v/>
      </c>
      <c r="F1283" s="10">
        <f>IF($C1283="","",IFERROR(INDEX(lst_JobName,MATCH($C1283,lst_Jobs,0)),""))</f>
        <v/>
      </c>
      <c r="G1283" s="10">
        <f>IF($BI1283="","",IF($B1283="Onsite",INDEX(tbl_Onsite[Job Description],$BI1283),IF($B1283="Production",INDEX(tbl_Production[Job Description],$BI1283),INDEX(tbl_Consulting[Job Description],$BI1283)))&amp;"")</f>
        <v/>
      </c>
      <c r="H1283" s="10">
        <f>IF($BI1283="","",IF($B1283="Onsite",INDEX(tbl_Onsite[Cost Centre],$BI1283),IF($B1283="Production",INDEX(tbl_Production[Cost Centre],$BI1283),INDEX(tbl_Consulting[Cost Centre],$BI1283)))&amp;"")</f>
        <v/>
      </c>
      <c r="I1283" s="10">
        <f>IF($BI1283="","",IF($B1283="Onsite",INDEX(tbl_Onsite[Invoice Type],$BI1283),IF($B1283="Production",INDEX(tbl_Production[Invoice Type],$BI1283),INDEX(tbl_Consulting[Invoice Type],$BI1283)))&amp;"")</f>
        <v/>
      </c>
      <c r="J1283" s="10">
        <f>IF($BI1283="","",IF($B1283="Onsite",INDEX(tbl_Onsite[Tax Code],$BI1283),IF($B1283="Production",INDEX(tbl_Production[Tax Code],$BI1283),INDEX(tbl_Consulting[Tax Code],$BI1283)))&amp;"")</f>
        <v/>
      </c>
      <c r="K1283" s="10">
        <f>IF(H1283="","",IFERROR(INDEX(lst_CCtoGL,MATCH(H1283,lst_CCforGL,0)),""))</f>
        <v/>
      </c>
      <c r="L1283" s="10">
        <f>IF($BI1283="","",IF($B1283="Onsite",INDEX(tbl_Onsite[PO / Reference],$BI1283),IF($B1283="Production",INDEX(tbl_Production[Current RMS No],$BI1283),INDEX(tbl_Consulting[Qwilr Quote],$BI1283)))&amp;"")</f>
        <v/>
      </c>
      <c r="M1283" s="10">
        <f>IF($BI1283="","",IF($B1283="Onsite",INDEX(tbl_Onsite[Notes],$BI1283),IF($B1283="Production",INDEX(tbl_Production[Notes],$BI1283),INDEX(tbl_Consulting[Notes],$BI1283)))&amp;"")</f>
        <v/>
      </c>
      <c r="N1283" s="11">
        <f>IF($BI1283="","",IF(IF($B1283="Onsite",INDEX(tbl_Onsite[Expected Revenue Ex GST],$BI1283),IF($B1283="Production",INDEX(tbl_Production[Expected Revenue Ex GST],$BI1283),INDEX(tbl_Consulting[Expected Revenue Ex GST],$BI1283)))="","",IF($B1283="Onsite",INDEX(tbl_Onsite[Expected Revenue Ex GST],$BI1283),IF($B1283="Production",INDEX(tbl_Production[Expected Revenue Ex GST],$BI1283),INDEX(tbl_Consulting[Expected Revenue Ex GST],$BI1283)))))</f>
        <v/>
      </c>
      <c r="O1283" s="11">
        <f>IF(AND($C1283="",NOT(COUNTA($S1283:$BB1283)&gt;0)),"",SUM(U1283,X1283,AA1283,AD1283,AG1283,AJ1283,AM1283,AP1283,AS1283,AV1283,AY1283,BB1283))</f>
        <v/>
      </c>
      <c r="P1283" s="11">
        <f>IF(O1283="","",N(N1283)-O1283)</f>
        <v/>
      </c>
      <c r="Q1283" s="10">
        <f>IF(O1283="","",IF($C1283="","Invoice on empty job row",IF(N1283="",IF(ROUND(O1283,2)=0,"No dept value","Invoiced - no dept value"),IF(ROUND(O1283,2)=0,"Not invoiced - to invoice",IF(ROUND(P1283,2)=0,"Agrees",IF(P1283&gt;0,"Dept higher - to invoice","Xero higher - check dept"))))))</f>
        <v/>
      </c>
      <c r="R1283" s="10">
        <f>IF(AND($C1283="",NOT(COUNTA($S1283:$BB1283)&gt;0),$BI1283&lt;&gt;""),"",MID(IF($BI1283="","; Row ID not found on the department sheet - a row was deleted","")&amp;IF(AND($C1283="",COUNTA($S1283:$BB1283)&gt;0),"; Invoice entered but the department row has no job number","")&amp;IF(E1283="CHECK","; Job number not in the Xero job list","")&amp;IF(AND($C1283&lt;&gt;"",COUNTIF($C$7:$C$1506,$C1283)&gt;1),"; Job number on more than one row","")&amp;IF(AND($C1283&lt;&gt;"",H1283=""),"; Dept has not set a cost centre","")&amp;IF(AND($C1283&lt;&gt;"",J1283=""),"; Dept has not set a tax code","")&amp;IF(AND($C1283&lt;&gt;"",N1283=""),"; Dept has not entered an expected value","")&amp;IF((IF(OR(COUNTA(S1283:U1283)=0,AND(COUNTA(S1283:U1283)=3,ISNUMBER(U1283))),0,1)+IF(OR(COUNTA(V1283:X1283)=0,AND(COUNTA(V1283:X1283)=3,ISNUMBER(X1283))),0,1)+IF(OR(COUNTA(Y1283:AA1283)=0,AND(COUNTA(Y1283:AA1283)=3,ISNUMBER(AA1283))),0,1)+IF(OR(COUNTA(AB1283:AD1283)=0,AND(COUNTA(AB1283:AD1283)=3,ISNUMBER(AD1283))),0,1)+IF(OR(COUNTA(AE1283:AG1283)=0,AND(COUNTA(AE1283:AG1283)=3,ISNUMBER(AG1283))),0,1)+IF(OR(COUNTA(AH1283:AJ1283)=0,AND(COUNTA(AH1283:AJ1283)=3,ISNUMBER(AJ1283))),0,1)+IF(OR(COUNTA(AK1283:AM1283)=0,AND(COUNTA(AK1283:AM1283)=3,ISNUMBER(AM1283))),0,1)+IF(OR(COUNTA(AN1283:AP1283)=0,AND(COUNTA(AN1283:AP1283)=3,ISNUMBER(AP1283))),0,1)+IF(OR(COUNTA(AQ1283:AS1283)=0,AND(COUNTA(AQ1283:AS1283)=3,ISNUMBER(AS1283))),0,1)+IF(OR(COUNTA(AT1283:AV1283)=0,AND(COUNTA(AT1283:AV1283)=3,ISNUMBER(AV1283))),0,1)+IF(OR(COUNTA(AW1283:AY1283)=0,AND(COUNTA(AW1283:AY1283)=3,ISNUMBER(AY1283))),0,1)+IF(OR(COUNTA(AZ1283:BB1283)=0,AND(COUNTA(AZ1283:BB1283)=3,ISNUMBER(BB1283))),0,1))&gt;0,"; An invoice is incomplete (needs No, Date and a number in Ex GST)","")&amp;IF((IF(T1283="",0,IFERROR(--(EOMONTH(T1283,0)&lt;&gt;S$5),1))+IF(W1283="",0,IFERROR(--(EOMONTH(W1283,0)&lt;&gt;V$5),1))+IF(Z1283="",0,IFERROR(--(EOMONTH(Z1283,0)&lt;&gt;Y$5),1))+IF(AC1283="",0,IFERROR(--(EOMONTH(AC1283,0)&lt;&gt;AB$5),1))+IF(AF1283="",0,IFERROR(--(EOMONTH(AF1283,0)&lt;&gt;AE$5),1))+IF(AI1283="",0,IFERROR(--(EOMONTH(AI1283,0)&lt;&gt;AH$5),1))+IF(AL1283="",0,IFERROR(--(EOMONTH(AL1283,0)&lt;&gt;AK$5),1))+IF(AO1283="",0,IFERROR(--(EOMONTH(AO1283,0)&lt;&gt;AN$5),1))+IF(AR1283="",0,IFERROR(--(EOMONTH(AR1283,0)&lt;&gt;AQ$5),1))+IF(AU1283="",0,IFERROR(--(EOMONTH(AU1283,0)&lt;&gt;AT$5),1))+IF(AX1283="",0,IFERROR(--(EOMONTH(AX1283,0)&lt;&gt;AW$5),1))+IF(BA1283="",0,IFERROR(--(EOMONTH(BA1283,0)&lt;&gt;AZ$5),1)))&gt;0,"; An invoice date is not in the month it is typed under",""),3,500))</f>
        <v/>
      </c>
      <c r="S1283" s="12" t="n"/>
      <c r="T1283" s="13" t="n"/>
      <c r="U1283" s="14" t="n"/>
      <c r="V1283" s="12" t="n"/>
      <c r="W1283" s="13" t="n"/>
      <c r="X1283" s="14" t="n"/>
      <c r="Y1283" s="12" t="n"/>
      <c r="Z1283" s="13" t="n"/>
      <c r="AA1283" s="14" t="n"/>
      <c r="AB1283" s="12" t="n"/>
      <c r="AC1283" s="13" t="n"/>
      <c r="AD1283" s="14" t="n"/>
      <c r="AE1283" s="12" t="n"/>
      <c r="AF1283" s="13" t="n"/>
      <c r="AG1283" s="14" t="n"/>
      <c r="AH1283" s="12" t="n"/>
      <c r="AI1283" s="13" t="n"/>
      <c r="AJ1283" s="14" t="n"/>
      <c r="AK1283" s="12" t="n"/>
      <c r="AL1283" s="13" t="n"/>
      <c r="AM1283" s="14" t="n"/>
      <c r="AN1283" s="12" t="n"/>
      <c r="AO1283" s="13" t="n"/>
      <c r="AP1283" s="14" t="n"/>
      <c r="AQ1283" s="12" t="n"/>
      <c r="AR1283" s="13" t="n"/>
      <c r="AS1283" s="14" t="n"/>
      <c r="AT1283" s="12" t="n"/>
      <c r="AU1283" s="13" t="n"/>
      <c r="AV1283" s="14" t="n"/>
      <c r="AW1283" s="12" t="n"/>
      <c r="AX1283" s="13" t="n"/>
      <c r="AY1283" s="14" t="n"/>
      <c r="AZ1283" s="12" t="n"/>
      <c r="BA1283" s="13" t="n"/>
      <c r="BB1283" s="14" t="n"/>
      <c r="BC1283" s="11">
        <f>IF(O1283="","",IF(J1283="GST 10%",ROUND(O1283*set_GSTRate,2),0))</f>
        <v/>
      </c>
      <c r="BD1283" s="11">
        <f>IF(O1283="","",O1283+BC1283)</f>
        <v/>
      </c>
      <c r="BE1283" s="15">
        <f>IF(O1283="","",COUNTA(S1283,V1283,Y1283,AB1283,AE1283,AH1283,AK1283,AN1283,AQ1283,AT1283,AW1283,AZ1283))</f>
        <v/>
      </c>
      <c r="BF1283" s="16">
        <f>IF(COUNT(T1283,W1283,Z1283,AC1283,AF1283,AI1283,AL1283,AO1283,AR1283,AU1283,AX1283,BA1283)=0,"",MAX(T1283,W1283,Z1283,AC1283,AF1283,AI1283,AL1283,AO1283,AR1283,AU1283,AX1283,BA1283))</f>
        <v/>
      </c>
      <c r="BG1283" s="10">
        <f>MID(IF(S1283="","",", "&amp;S1283)&amp;IF(V1283="","",", "&amp;V1283)&amp;IF(Y1283="","",", "&amp;Y1283)&amp;IF(AB1283="","",", "&amp;AB1283)&amp;IF(AE1283="","",", "&amp;AE1283)&amp;IF(AH1283="","",", "&amp;AH1283)&amp;IF(AK1283="","",", "&amp;AK1283)&amp;IF(AN1283="","",", "&amp;AN1283)&amp;IF(AQ1283="","",", "&amp;AQ1283)&amp;IF(AT1283="","",", "&amp;AT1283)&amp;IF(AW1283="","",", "&amp;AW1283)&amp;IF(AZ1283="","",", "&amp;AZ1283),3,500)</f>
        <v/>
      </c>
      <c r="BH1283" s="12" t="n"/>
      <c r="BI1283" s="15">
        <f>IFERROR(MATCH($A1283,IF($B1283="Onsite",tbl_Onsite[Row ID],IF($B1283="Production",tbl_Production[Row ID],tbl_Consulting[Row ID])),0),"")</f>
        <v/>
      </c>
    </row>
    <row r="1284">
      <c r="A1284" s="10" t="inlineStr">
        <is>
          <t>CON-0278</t>
        </is>
      </c>
      <c r="B1284" s="10" t="inlineStr">
        <is>
          <t>Consulting</t>
        </is>
      </c>
      <c r="C1284" s="10">
        <f>IF($BI1284="","",IF($B1284="Onsite",INDEX(tbl_Onsite[Job Number],$BI1284),IF($B1284="Production",INDEX(tbl_Production[Job Number],$BI1284),INDEX(tbl_Consulting[Job Number],$BI1284)))&amp;"")</f>
        <v/>
      </c>
      <c r="D1284" s="10">
        <f>IF($BI1284="","",IF($B1284="Onsite",INDEX(tbl_Onsite[Client],$BI1284),IF($B1284="Production",INDEX(tbl_Production[Client],$BI1284),INDEX(tbl_Consulting[Client],$BI1284)))&amp;"")</f>
        <v/>
      </c>
      <c r="E1284" s="10">
        <f>IF($C1284="","",IF(COUNTIF(lst_Jobs,$C1284)&gt;0,"OK","CHECK"))</f>
        <v/>
      </c>
      <c r="F1284" s="10">
        <f>IF($C1284="","",IFERROR(INDEX(lst_JobName,MATCH($C1284,lst_Jobs,0)),""))</f>
        <v/>
      </c>
      <c r="G1284" s="10">
        <f>IF($BI1284="","",IF($B1284="Onsite",INDEX(tbl_Onsite[Job Description],$BI1284),IF($B1284="Production",INDEX(tbl_Production[Job Description],$BI1284),INDEX(tbl_Consulting[Job Description],$BI1284)))&amp;"")</f>
        <v/>
      </c>
      <c r="H1284" s="10">
        <f>IF($BI1284="","",IF($B1284="Onsite",INDEX(tbl_Onsite[Cost Centre],$BI1284),IF($B1284="Production",INDEX(tbl_Production[Cost Centre],$BI1284),INDEX(tbl_Consulting[Cost Centre],$BI1284)))&amp;"")</f>
        <v/>
      </c>
      <c r="I1284" s="10">
        <f>IF($BI1284="","",IF($B1284="Onsite",INDEX(tbl_Onsite[Invoice Type],$BI1284),IF($B1284="Production",INDEX(tbl_Production[Invoice Type],$BI1284),INDEX(tbl_Consulting[Invoice Type],$BI1284)))&amp;"")</f>
        <v/>
      </c>
      <c r="J1284" s="10">
        <f>IF($BI1284="","",IF($B1284="Onsite",INDEX(tbl_Onsite[Tax Code],$BI1284),IF($B1284="Production",INDEX(tbl_Production[Tax Code],$BI1284),INDEX(tbl_Consulting[Tax Code],$BI1284)))&amp;"")</f>
        <v/>
      </c>
      <c r="K1284" s="10">
        <f>IF(H1284="","",IFERROR(INDEX(lst_CCtoGL,MATCH(H1284,lst_CCforGL,0)),""))</f>
        <v/>
      </c>
      <c r="L1284" s="10">
        <f>IF($BI1284="","",IF($B1284="Onsite",INDEX(tbl_Onsite[PO / Reference],$BI1284),IF($B1284="Production",INDEX(tbl_Production[Current RMS No],$BI1284),INDEX(tbl_Consulting[Qwilr Quote],$BI1284)))&amp;"")</f>
        <v/>
      </c>
      <c r="M1284" s="10">
        <f>IF($BI1284="","",IF($B1284="Onsite",INDEX(tbl_Onsite[Notes],$BI1284),IF($B1284="Production",INDEX(tbl_Production[Notes],$BI1284),INDEX(tbl_Consulting[Notes],$BI1284)))&amp;"")</f>
        <v/>
      </c>
      <c r="N1284" s="11">
        <f>IF($BI1284="","",IF(IF($B1284="Onsite",INDEX(tbl_Onsite[Expected Revenue Ex GST],$BI1284),IF($B1284="Production",INDEX(tbl_Production[Expected Revenue Ex GST],$BI1284),INDEX(tbl_Consulting[Expected Revenue Ex GST],$BI1284)))="","",IF($B1284="Onsite",INDEX(tbl_Onsite[Expected Revenue Ex GST],$BI1284),IF($B1284="Production",INDEX(tbl_Production[Expected Revenue Ex GST],$BI1284),INDEX(tbl_Consulting[Expected Revenue Ex GST],$BI1284)))))</f>
        <v/>
      </c>
      <c r="O1284" s="11">
        <f>IF(AND($C1284="",NOT(COUNTA($S1284:$BB1284)&gt;0)),"",SUM(U1284,X1284,AA1284,AD1284,AG1284,AJ1284,AM1284,AP1284,AS1284,AV1284,AY1284,BB1284))</f>
        <v/>
      </c>
      <c r="P1284" s="11">
        <f>IF(O1284="","",N(N1284)-O1284)</f>
        <v/>
      </c>
      <c r="Q1284" s="10">
        <f>IF(O1284="","",IF($C1284="","Invoice on empty job row",IF(N1284="",IF(ROUND(O1284,2)=0,"No dept value","Invoiced - no dept value"),IF(ROUND(O1284,2)=0,"Not invoiced - to invoice",IF(ROUND(P1284,2)=0,"Agrees",IF(P1284&gt;0,"Dept higher - to invoice","Xero higher - check dept"))))))</f>
        <v/>
      </c>
      <c r="R1284" s="10">
        <f>IF(AND($C1284="",NOT(COUNTA($S1284:$BB1284)&gt;0),$BI1284&lt;&gt;""),"",MID(IF($BI1284="","; Row ID not found on the department sheet - a row was deleted","")&amp;IF(AND($C1284="",COUNTA($S1284:$BB1284)&gt;0),"; Invoice entered but the department row has no job number","")&amp;IF(E1284="CHECK","; Job number not in the Xero job list","")&amp;IF(AND($C1284&lt;&gt;"",COUNTIF($C$7:$C$1506,$C1284)&gt;1),"; Job number on more than one row","")&amp;IF(AND($C1284&lt;&gt;"",H1284=""),"; Dept has not set a cost centre","")&amp;IF(AND($C1284&lt;&gt;"",J1284=""),"; Dept has not set a tax code","")&amp;IF(AND($C1284&lt;&gt;"",N1284=""),"; Dept has not entered an expected value","")&amp;IF((IF(OR(COUNTA(S1284:U1284)=0,AND(COUNTA(S1284:U1284)=3,ISNUMBER(U1284))),0,1)+IF(OR(COUNTA(V1284:X1284)=0,AND(COUNTA(V1284:X1284)=3,ISNUMBER(X1284))),0,1)+IF(OR(COUNTA(Y1284:AA1284)=0,AND(COUNTA(Y1284:AA1284)=3,ISNUMBER(AA1284))),0,1)+IF(OR(COUNTA(AB1284:AD1284)=0,AND(COUNTA(AB1284:AD1284)=3,ISNUMBER(AD1284))),0,1)+IF(OR(COUNTA(AE1284:AG1284)=0,AND(COUNTA(AE1284:AG1284)=3,ISNUMBER(AG1284))),0,1)+IF(OR(COUNTA(AH1284:AJ1284)=0,AND(COUNTA(AH1284:AJ1284)=3,ISNUMBER(AJ1284))),0,1)+IF(OR(COUNTA(AK1284:AM1284)=0,AND(COUNTA(AK1284:AM1284)=3,ISNUMBER(AM1284))),0,1)+IF(OR(COUNTA(AN1284:AP1284)=0,AND(COUNTA(AN1284:AP1284)=3,ISNUMBER(AP1284))),0,1)+IF(OR(COUNTA(AQ1284:AS1284)=0,AND(COUNTA(AQ1284:AS1284)=3,ISNUMBER(AS1284))),0,1)+IF(OR(COUNTA(AT1284:AV1284)=0,AND(COUNTA(AT1284:AV1284)=3,ISNUMBER(AV1284))),0,1)+IF(OR(COUNTA(AW1284:AY1284)=0,AND(COUNTA(AW1284:AY1284)=3,ISNUMBER(AY1284))),0,1)+IF(OR(COUNTA(AZ1284:BB1284)=0,AND(COUNTA(AZ1284:BB1284)=3,ISNUMBER(BB1284))),0,1))&gt;0,"; An invoice is incomplete (needs No, Date and a number in Ex GST)","")&amp;IF((IF(T1284="",0,IFERROR(--(EOMONTH(T1284,0)&lt;&gt;S$5),1))+IF(W1284="",0,IFERROR(--(EOMONTH(W1284,0)&lt;&gt;V$5),1))+IF(Z1284="",0,IFERROR(--(EOMONTH(Z1284,0)&lt;&gt;Y$5),1))+IF(AC1284="",0,IFERROR(--(EOMONTH(AC1284,0)&lt;&gt;AB$5),1))+IF(AF1284="",0,IFERROR(--(EOMONTH(AF1284,0)&lt;&gt;AE$5),1))+IF(AI1284="",0,IFERROR(--(EOMONTH(AI1284,0)&lt;&gt;AH$5),1))+IF(AL1284="",0,IFERROR(--(EOMONTH(AL1284,0)&lt;&gt;AK$5),1))+IF(AO1284="",0,IFERROR(--(EOMONTH(AO1284,0)&lt;&gt;AN$5),1))+IF(AR1284="",0,IFERROR(--(EOMONTH(AR1284,0)&lt;&gt;AQ$5),1))+IF(AU1284="",0,IFERROR(--(EOMONTH(AU1284,0)&lt;&gt;AT$5),1))+IF(AX1284="",0,IFERROR(--(EOMONTH(AX1284,0)&lt;&gt;AW$5),1))+IF(BA1284="",0,IFERROR(--(EOMONTH(BA1284,0)&lt;&gt;AZ$5),1)))&gt;0,"; An invoice date is not in the month it is typed under",""),3,500))</f>
        <v/>
      </c>
      <c r="S1284" s="12" t="n"/>
      <c r="T1284" s="13" t="n"/>
      <c r="U1284" s="14" t="n"/>
      <c r="V1284" s="12" t="n"/>
      <c r="W1284" s="13" t="n"/>
      <c r="X1284" s="14" t="n"/>
      <c r="Y1284" s="12" t="n"/>
      <c r="Z1284" s="13" t="n"/>
      <c r="AA1284" s="14" t="n"/>
      <c r="AB1284" s="12" t="n"/>
      <c r="AC1284" s="13" t="n"/>
      <c r="AD1284" s="14" t="n"/>
      <c r="AE1284" s="12" t="n"/>
      <c r="AF1284" s="13" t="n"/>
      <c r="AG1284" s="14" t="n"/>
      <c r="AH1284" s="12" t="n"/>
      <c r="AI1284" s="13" t="n"/>
      <c r="AJ1284" s="14" t="n"/>
      <c r="AK1284" s="12" t="n"/>
      <c r="AL1284" s="13" t="n"/>
      <c r="AM1284" s="14" t="n"/>
      <c r="AN1284" s="12" t="n"/>
      <c r="AO1284" s="13" t="n"/>
      <c r="AP1284" s="14" t="n"/>
      <c r="AQ1284" s="12" t="n"/>
      <c r="AR1284" s="13" t="n"/>
      <c r="AS1284" s="14" t="n"/>
      <c r="AT1284" s="12" t="n"/>
      <c r="AU1284" s="13" t="n"/>
      <c r="AV1284" s="14" t="n"/>
      <c r="AW1284" s="12" t="n"/>
      <c r="AX1284" s="13" t="n"/>
      <c r="AY1284" s="14" t="n"/>
      <c r="AZ1284" s="12" t="n"/>
      <c r="BA1284" s="13" t="n"/>
      <c r="BB1284" s="14" t="n"/>
      <c r="BC1284" s="11">
        <f>IF(O1284="","",IF(J1284="GST 10%",ROUND(O1284*set_GSTRate,2),0))</f>
        <v/>
      </c>
      <c r="BD1284" s="11">
        <f>IF(O1284="","",O1284+BC1284)</f>
        <v/>
      </c>
      <c r="BE1284" s="15">
        <f>IF(O1284="","",COUNTA(S1284,V1284,Y1284,AB1284,AE1284,AH1284,AK1284,AN1284,AQ1284,AT1284,AW1284,AZ1284))</f>
        <v/>
      </c>
      <c r="BF1284" s="16">
        <f>IF(COUNT(T1284,W1284,Z1284,AC1284,AF1284,AI1284,AL1284,AO1284,AR1284,AU1284,AX1284,BA1284)=0,"",MAX(T1284,W1284,Z1284,AC1284,AF1284,AI1284,AL1284,AO1284,AR1284,AU1284,AX1284,BA1284))</f>
        <v/>
      </c>
      <c r="BG1284" s="10">
        <f>MID(IF(S1284="","",", "&amp;S1284)&amp;IF(V1284="","",", "&amp;V1284)&amp;IF(Y1284="","",", "&amp;Y1284)&amp;IF(AB1284="","",", "&amp;AB1284)&amp;IF(AE1284="","",", "&amp;AE1284)&amp;IF(AH1284="","",", "&amp;AH1284)&amp;IF(AK1284="","",", "&amp;AK1284)&amp;IF(AN1284="","",", "&amp;AN1284)&amp;IF(AQ1284="","",", "&amp;AQ1284)&amp;IF(AT1284="","",", "&amp;AT1284)&amp;IF(AW1284="","",", "&amp;AW1284)&amp;IF(AZ1284="","",", "&amp;AZ1284),3,500)</f>
        <v/>
      </c>
      <c r="BH1284" s="12" t="n"/>
      <c r="BI1284" s="15">
        <f>IFERROR(MATCH($A1284,IF($B1284="Onsite",tbl_Onsite[Row ID],IF($B1284="Production",tbl_Production[Row ID],tbl_Consulting[Row ID])),0),"")</f>
        <v/>
      </c>
    </row>
    <row r="1285">
      <c r="A1285" s="10" t="inlineStr">
        <is>
          <t>CON-0279</t>
        </is>
      </c>
      <c r="B1285" s="10" t="inlineStr">
        <is>
          <t>Consulting</t>
        </is>
      </c>
      <c r="C1285" s="10">
        <f>IF($BI1285="","",IF($B1285="Onsite",INDEX(tbl_Onsite[Job Number],$BI1285),IF($B1285="Production",INDEX(tbl_Production[Job Number],$BI1285),INDEX(tbl_Consulting[Job Number],$BI1285)))&amp;"")</f>
        <v/>
      </c>
      <c r="D1285" s="10">
        <f>IF($BI1285="","",IF($B1285="Onsite",INDEX(tbl_Onsite[Client],$BI1285),IF($B1285="Production",INDEX(tbl_Production[Client],$BI1285),INDEX(tbl_Consulting[Client],$BI1285)))&amp;"")</f>
        <v/>
      </c>
      <c r="E1285" s="10">
        <f>IF($C1285="","",IF(COUNTIF(lst_Jobs,$C1285)&gt;0,"OK","CHECK"))</f>
        <v/>
      </c>
      <c r="F1285" s="10">
        <f>IF($C1285="","",IFERROR(INDEX(lst_JobName,MATCH($C1285,lst_Jobs,0)),""))</f>
        <v/>
      </c>
      <c r="G1285" s="10">
        <f>IF($BI1285="","",IF($B1285="Onsite",INDEX(tbl_Onsite[Job Description],$BI1285),IF($B1285="Production",INDEX(tbl_Production[Job Description],$BI1285),INDEX(tbl_Consulting[Job Description],$BI1285)))&amp;"")</f>
        <v/>
      </c>
      <c r="H1285" s="10">
        <f>IF($BI1285="","",IF($B1285="Onsite",INDEX(tbl_Onsite[Cost Centre],$BI1285),IF($B1285="Production",INDEX(tbl_Production[Cost Centre],$BI1285),INDEX(tbl_Consulting[Cost Centre],$BI1285)))&amp;"")</f>
        <v/>
      </c>
      <c r="I1285" s="10">
        <f>IF($BI1285="","",IF($B1285="Onsite",INDEX(tbl_Onsite[Invoice Type],$BI1285),IF($B1285="Production",INDEX(tbl_Production[Invoice Type],$BI1285),INDEX(tbl_Consulting[Invoice Type],$BI1285)))&amp;"")</f>
        <v/>
      </c>
      <c r="J1285" s="10">
        <f>IF($BI1285="","",IF($B1285="Onsite",INDEX(tbl_Onsite[Tax Code],$BI1285),IF($B1285="Production",INDEX(tbl_Production[Tax Code],$BI1285),INDEX(tbl_Consulting[Tax Code],$BI1285)))&amp;"")</f>
        <v/>
      </c>
      <c r="K1285" s="10">
        <f>IF(H1285="","",IFERROR(INDEX(lst_CCtoGL,MATCH(H1285,lst_CCforGL,0)),""))</f>
        <v/>
      </c>
      <c r="L1285" s="10">
        <f>IF($BI1285="","",IF($B1285="Onsite",INDEX(tbl_Onsite[PO / Reference],$BI1285),IF($B1285="Production",INDEX(tbl_Production[Current RMS No],$BI1285),INDEX(tbl_Consulting[Qwilr Quote],$BI1285)))&amp;"")</f>
        <v/>
      </c>
      <c r="M1285" s="10">
        <f>IF($BI1285="","",IF($B1285="Onsite",INDEX(tbl_Onsite[Notes],$BI1285),IF($B1285="Production",INDEX(tbl_Production[Notes],$BI1285),INDEX(tbl_Consulting[Notes],$BI1285)))&amp;"")</f>
        <v/>
      </c>
      <c r="N1285" s="11">
        <f>IF($BI1285="","",IF(IF($B1285="Onsite",INDEX(tbl_Onsite[Expected Revenue Ex GST],$BI1285),IF($B1285="Production",INDEX(tbl_Production[Expected Revenue Ex GST],$BI1285),INDEX(tbl_Consulting[Expected Revenue Ex GST],$BI1285)))="","",IF($B1285="Onsite",INDEX(tbl_Onsite[Expected Revenue Ex GST],$BI1285),IF($B1285="Production",INDEX(tbl_Production[Expected Revenue Ex GST],$BI1285),INDEX(tbl_Consulting[Expected Revenue Ex GST],$BI1285)))))</f>
        <v/>
      </c>
      <c r="O1285" s="11">
        <f>IF(AND($C1285="",NOT(COUNTA($S1285:$BB1285)&gt;0)),"",SUM(U1285,X1285,AA1285,AD1285,AG1285,AJ1285,AM1285,AP1285,AS1285,AV1285,AY1285,BB1285))</f>
        <v/>
      </c>
      <c r="P1285" s="11">
        <f>IF(O1285="","",N(N1285)-O1285)</f>
        <v/>
      </c>
      <c r="Q1285" s="10">
        <f>IF(O1285="","",IF($C1285="","Invoice on empty job row",IF(N1285="",IF(ROUND(O1285,2)=0,"No dept value","Invoiced - no dept value"),IF(ROUND(O1285,2)=0,"Not invoiced - to invoice",IF(ROUND(P1285,2)=0,"Agrees",IF(P1285&gt;0,"Dept higher - to invoice","Xero higher - check dept"))))))</f>
        <v/>
      </c>
      <c r="R1285" s="10">
        <f>IF(AND($C1285="",NOT(COUNTA($S1285:$BB1285)&gt;0),$BI1285&lt;&gt;""),"",MID(IF($BI1285="","; Row ID not found on the department sheet - a row was deleted","")&amp;IF(AND($C1285="",COUNTA($S1285:$BB1285)&gt;0),"; Invoice entered but the department row has no job number","")&amp;IF(E1285="CHECK","; Job number not in the Xero job list","")&amp;IF(AND($C1285&lt;&gt;"",COUNTIF($C$7:$C$1506,$C1285)&gt;1),"; Job number on more than one row","")&amp;IF(AND($C1285&lt;&gt;"",H1285=""),"; Dept has not set a cost centre","")&amp;IF(AND($C1285&lt;&gt;"",J1285=""),"; Dept has not set a tax code","")&amp;IF(AND($C1285&lt;&gt;"",N1285=""),"; Dept has not entered an expected value","")&amp;IF((IF(OR(COUNTA(S1285:U1285)=0,AND(COUNTA(S1285:U1285)=3,ISNUMBER(U1285))),0,1)+IF(OR(COUNTA(V1285:X1285)=0,AND(COUNTA(V1285:X1285)=3,ISNUMBER(X1285))),0,1)+IF(OR(COUNTA(Y1285:AA1285)=0,AND(COUNTA(Y1285:AA1285)=3,ISNUMBER(AA1285))),0,1)+IF(OR(COUNTA(AB1285:AD1285)=0,AND(COUNTA(AB1285:AD1285)=3,ISNUMBER(AD1285))),0,1)+IF(OR(COUNTA(AE1285:AG1285)=0,AND(COUNTA(AE1285:AG1285)=3,ISNUMBER(AG1285))),0,1)+IF(OR(COUNTA(AH1285:AJ1285)=0,AND(COUNTA(AH1285:AJ1285)=3,ISNUMBER(AJ1285))),0,1)+IF(OR(COUNTA(AK1285:AM1285)=0,AND(COUNTA(AK1285:AM1285)=3,ISNUMBER(AM1285))),0,1)+IF(OR(COUNTA(AN1285:AP1285)=0,AND(COUNTA(AN1285:AP1285)=3,ISNUMBER(AP1285))),0,1)+IF(OR(COUNTA(AQ1285:AS1285)=0,AND(COUNTA(AQ1285:AS1285)=3,ISNUMBER(AS1285))),0,1)+IF(OR(COUNTA(AT1285:AV1285)=0,AND(COUNTA(AT1285:AV1285)=3,ISNUMBER(AV1285))),0,1)+IF(OR(COUNTA(AW1285:AY1285)=0,AND(COUNTA(AW1285:AY1285)=3,ISNUMBER(AY1285))),0,1)+IF(OR(COUNTA(AZ1285:BB1285)=0,AND(COUNTA(AZ1285:BB1285)=3,ISNUMBER(BB1285))),0,1))&gt;0,"; An invoice is incomplete (needs No, Date and a number in Ex GST)","")&amp;IF((IF(T1285="",0,IFERROR(--(EOMONTH(T1285,0)&lt;&gt;S$5),1))+IF(W1285="",0,IFERROR(--(EOMONTH(W1285,0)&lt;&gt;V$5),1))+IF(Z1285="",0,IFERROR(--(EOMONTH(Z1285,0)&lt;&gt;Y$5),1))+IF(AC1285="",0,IFERROR(--(EOMONTH(AC1285,0)&lt;&gt;AB$5),1))+IF(AF1285="",0,IFERROR(--(EOMONTH(AF1285,0)&lt;&gt;AE$5),1))+IF(AI1285="",0,IFERROR(--(EOMONTH(AI1285,0)&lt;&gt;AH$5),1))+IF(AL1285="",0,IFERROR(--(EOMONTH(AL1285,0)&lt;&gt;AK$5),1))+IF(AO1285="",0,IFERROR(--(EOMONTH(AO1285,0)&lt;&gt;AN$5),1))+IF(AR1285="",0,IFERROR(--(EOMONTH(AR1285,0)&lt;&gt;AQ$5),1))+IF(AU1285="",0,IFERROR(--(EOMONTH(AU1285,0)&lt;&gt;AT$5),1))+IF(AX1285="",0,IFERROR(--(EOMONTH(AX1285,0)&lt;&gt;AW$5),1))+IF(BA1285="",0,IFERROR(--(EOMONTH(BA1285,0)&lt;&gt;AZ$5),1)))&gt;0,"; An invoice date is not in the month it is typed under",""),3,500))</f>
        <v/>
      </c>
      <c r="S1285" s="12" t="n"/>
      <c r="T1285" s="13" t="n"/>
      <c r="U1285" s="14" t="n"/>
      <c r="V1285" s="12" t="n"/>
      <c r="W1285" s="13" t="n"/>
      <c r="X1285" s="14" t="n"/>
      <c r="Y1285" s="12" t="n"/>
      <c r="Z1285" s="13" t="n"/>
      <c r="AA1285" s="14" t="n"/>
      <c r="AB1285" s="12" t="n"/>
      <c r="AC1285" s="13" t="n"/>
      <c r="AD1285" s="14" t="n"/>
      <c r="AE1285" s="12" t="n"/>
      <c r="AF1285" s="13" t="n"/>
      <c r="AG1285" s="14" t="n"/>
      <c r="AH1285" s="12" t="n"/>
      <c r="AI1285" s="13" t="n"/>
      <c r="AJ1285" s="14" t="n"/>
      <c r="AK1285" s="12" t="n"/>
      <c r="AL1285" s="13" t="n"/>
      <c r="AM1285" s="14" t="n"/>
      <c r="AN1285" s="12" t="n"/>
      <c r="AO1285" s="13" t="n"/>
      <c r="AP1285" s="14" t="n"/>
      <c r="AQ1285" s="12" t="n"/>
      <c r="AR1285" s="13" t="n"/>
      <c r="AS1285" s="14" t="n"/>
      <c r="AT1285" s="12" t="n"/>
      <c r="AU1285" s="13" t="n"/>
      <c r="AV1285" s="14" t="n"/>
      <c r="AW1285" s="12" t="n"/>
      <c r="AX1285" s="13" t="n"/>
      <c r="AY1285" s="14" t="n"/>
      <c r="AZ1285" s="12" t="n"/>
      <c r="BA1285" s="13" t="n"/>
      <c r="BB1285" s="14" t="n"/>
      <c r="BC1285" s="11">
        <f>IF(O1285="","",IF(J1285="GST 10%",ROUND(O1285*set_GSTRate,2),0))</f>
        <v/>
      </c>
      <c r="BD1285" s="11">
        <f>IF(O1285="","",O1285+BC1285)</f>
        <v/>
      </c>
      <c r="BE1285" s="15">
        <f>IF(O1285="","",COUNTA(S1285,V1285,Y1285,AB1285,AE1285,AH1285,AK1285,AN1285,AQ1285,AT1285,AW1285,AZ1285))</f>
        <v/>
      </c>
      <c r="BF1285" s="16">
        <f>IF(COUNT(T1285,W1285,Z1285,AC1285,AF1285,AI1285,AL1285,AO1285,AR1285,AU1285,AX1285,BA1285)=0,"",MAX(T1285,W1285,Z1285,AC1285,AF1285,AI1285,AL1285,AO1285,AR1285,AU1285,AX1285,BA1285))</f>
        <v/>
      </c>
      <c r="BG1285" s="10">
        <f>MID(IF(S1285="","",", "&amp;S1285)&amp;IF(V1285="","",", "&amp;V1285)&amp;IF(Y1285="","",", "&amp;Y1285)&amp;IF(AB1285="","",", "&amp;AB1285)&amp;IF(AE1285="","",", "&amp;AE1285)&amp;IF(AH1285="","",", "&amp;AH1285)&amp;IF(AK1285="","",", "&amp;AK1285)&amp;IF(AN1285="","",", "&amp;AN1285)&amp;IF(AQ1285="","",", "&amp;AQ1285)&amp;IF(AT1285="","",", "&amp;AT1285)&amp;IF(AW1285="","",", "&amp;AW1285)&amp;IF(AZ1285="","",", "&amp;AZ1285),3,500)</f>
        <v/>
      </c>
      <c r="BH1285" s="12" t="n"/>
      <c r="BI1285" s="15">
        <f>IFERROR(MATCH($A1285,IF($B1285="Onsite",tbl_Onsite[Row ID],IF($B1285="Production",tbl_Production[Row ID],tbl_Consulting[Row ID])),0),"")</f>
        <v/>
      </c>
    </row>
    <row r="1286">
      <c r="A1286" s="10" t="inlineStr">
        <is>
          <t>CON-0280</t>
        </is>
      </c>
      <c r="B1286" s="10" t="inlineStr">
        <is>
          <t>Consulting</t>
        </is>
      </c>
      <c r="C1286" s="10">
        <f>IF($BI1286="","",IF($B1286="Onsite",INDEX(tbl_Onsite[Job Number],$BI1286),IF($B1286="Production",INDEX(tbl_Production[Job Number],$BI1286),INDEX(tbl_Consulting[Job Number],$BI1286)))&amp;"")</f>
        <v/>
      </c>
      <c r="D1286" s="10">
        <f>IF($BI1286="","",IF($B1286="Onsite",INDEX(tbl_Onsite[Client],$BI1286),IF($B1286="Production",INDEX(tbl_Production[Client],$BI1286),INDEX(tbl_Consulting[Client],$BI1286)))&amp;"")</f>
        <v/>
      </c>
      <c r="E1286" s="10">
        <f>IF($C1286="","",IF(COUNTIF(lst_Jobs,$C1286)&gt;0,"OK","CHECK"))</f>
        <v/>
      </c>
      <c r="F1286" s="10">
        <f>IF($C1286="","",IFERROR(INDEX(lst_JobName,MATCH($C1286,lst_Jobs,0)),""))</f>
        <v/>
      </c>
      <c r="G1286" s="10">
        <f>IF($BI1286="","",IF($B1286="Onsite",INDEX(tbl_Onsite[Job Description],$BI1286),IF($B1286="Production",INDEX(tbl_Production[Job Description],$BI1286),INDEX(tbl_Consulting[Job Description],$BI1286)))&amp;"")</f>
        <v/>
      </c>
      <c r="H1286" s="10">
        <f>IF($BI1286="","",IF($B1286="Onsite",INDEX(tbl_Onsite[Cost Centre],$BI1286),IF($B1286="Production",INDEX(tbl_Production[Cost Centre],$BI1286),INDEX(tbl_Consulting[Cost Centre],$BI1286)))&amp;"")</f>
        <v/>
      </c>
      <c r="I1286" s="10">
        <f>IF($BI1286="","",IF($B1286="Onsite",INDEX(tbl_Onsite[Invoice Type],$BI1286),IF($B1286="Production",INDEX(tbl_Production[Invoice Type],$BI1286),INDEX(tbl_Consulting[Invoice Type],$BI1286)))&amp;"")</f>
        <v/>
      </c>
      <c r="J1286" s="10">
        <f>IF($BI1286="","",IF($B1286="Onsite",INDEX(tbl_Onsite[Tax Code],$BI1286),IF($B1286="Production",INDEX(tbl_Production[Tax Code],$BI1286),INDEX(tbl_Consulting[Tax Code],$BI1286)))&amp;"")</f>
        <v/>
      </c>
      <c r="K1286" s="10">
        <f>IF(H1286="","",IFERROR(INDEX(lst_CCtoGL,MATCH(H1286,lst_CCforGL,0)),""))</f>
        <v/>
      </c>
      <c r="L1286" s="10">
        <f>IF($BI1286="","",IF($B1286="Onsite",INDEX(tbl_Onsite[PO / Reference],$BI1286),IF($B1286="Production",INDEX(tbl_Production[Current RMS No],$BI1286),INDEX(tbl_Consulting[Qwilr Quote],$BI1286)))&amp;"")</f>
        <v/>
      </c>
      <c r="M1286" s="10">
        <f>IF($BI1286="","",IF($B1286="Onsite",INDEX(tbl_Onsite[Notes],$BI1286),IF($B1286="Production",INDEX(tbl_Production[Notes],$BI1286),INDEX(tbl_Consulting[Notes],$BI1286)))&amp;"")</f>
        <v/>
      </c>
      <c r="N1286" s="11">
        <f>IF($BI1286="","",IF(IF($B1286="Onsite",INDEX(tbl_Onsite[Expected Revenue Ex GST],$BI1286),IF($B1286="Production",INDEX(tbl_Production[Expected Revenue Ex GST],$BI1286),INDEX(tbl_Consulting[Expected Revenue Ex GST],$BI1286)))="","",IF($B1286="Onsite",INDEX(tbl_Onsite[Expected Revenue Ex GST],$BI1286),IF($B1286="Production",INDEX(tbl_Production[Expected Revenue Ex GST],$BI1286),INDEX(tbl_Consulting[Expected Revenue Ex GST],$BI1286)))))</f>
        <v/>
      </c>
      <c r="O1286" s="11">
        <f>IF(AND($C1286="",NOT(COUNTA($S1286:$BB1286)&gt;0)),"",SUM(U1286,X1286,AA1286,AD1286,AG1286,AJ1286,AM1286,AP1286,AS1286,AV1286,AY1286,BB1286))</f>
        <v/>
      </c>
      <c r="P1286" s="11">
        <f>IF(O1286="","",N(N1286)-O1286)</f>
        <v/>
      </c>
      <c r="Q1286" s="10">
        <f>IF(O1286="","",IF($C1286="","Invoice on empty job row",IF(N1286="",IF(ROUND(O1286,2)=0,"No dept value","Invoiced - no dept value"),IF(ROUND(O1286,2)=0,"Not invoiced - to invoice",IF(ROUND(P1286,2)=0,"Agrees",IF(P1286&gt;0,"Dept higher - to invoice","Xero higher - check dept"))))))</f>
        <v/>
      </c>
      <c r="R1286" s="10">
        <f>IF(AND($C1286="",NOT(COUNTA($S1286:$BB1286)&gt;0),$BI1286&lt;&gt;""),"",MID(IF($BI1286="","; Row ID not found on the department sheet - a row was deleted","")&amp;IF(AND($C1286="",COUNTA($S1286:$BB1286)&gt;0),"; Invoice entered but the department row has no job number","")&amp;IF(E1286="CHECK","; Job number not in the Xero job list","")&amp;IF(AND($C1286&lt;&gt;"",COUNTIF($C$7:$C$1506,$C1286)&gt;1),"; Job number on more than one row","")&amp;IF(AND($C1286&lt;&gt;"",H1286=""),"; Dept has not set a cost centre","")&amp;IF(AND($C1286&lt;&gt;"",J1286=""),"; Dept has not set a tax code","")&amp;IF(AND($C1286&lt;&gt;"",N1286=""),"; Dept has not entered an expected value","")&amp;IF((IF(OR(COUNTA(S1286:U1286)=0,AND(COUNTA(S1286:U1286)=3,ISNUMBER(U1286))),0,1)+IF(OR(COUNTA(V1286:X1286)=0,AND(COUNTA(V1286:X1286)=3,ISNUMBER(X1286))),0,1)+IF(OR(COUNTA(Y1286:AA1286)=0,AND(COUNTA(Y1286:AA1286)=3,ISNUMBER(AA1286))),0,1)+IF(OR(COUNTA(AB1286:AD1286)=0,AND(COUNTA(AB1286:AD1286)=3,ISNUMBER(AD1286))),0,1)+IF(OR(COUNTA(AE1286:AG1286)=0,AND(COUNTA(AE1286:AG1286)=3,ISNUMBER(AG1286))),0,1)+IF(OR(COUNTA(AH1286:AJ1286)=0,AND(COUNTA(AH1286:AJ1286)=3,ISNUMBER(AJ1286))),0,1)+IF(OR(COUNTA(AK1286:AM1286)=0,AND(COUNTA(AK1286:AM1286)=3,ISNUMBER(AM1286))),0,1)+IF(OR(COUNTA(AN1286:AP1286)=0,AND(COUNTA(AN1286:AP1286)=3,ISNUMBER(AP1286))),0,1)+IF(OR(COUNTA(AQ1286:AS1286)=0,AND(COUNTA(AQ1286:AS1286)=3,ISNUMBER(AS1286))),0,1)+IF(OR(COUNTA(AT1286:AV1286)=0,AND(COUNTA(AT1286:AV1286)=3,ISNUMBER(AV1286))),0,1)+IF(OR(COUNTA(AW1286:AY1286)=0,AND(COUNTA(AW1286:AY1286)=3,ISNUMBER(AY1286))),0,1)+IF(OR(COUNTA(AZ1286:BB1286)=0,AND(COUNTA(AZ1286:BB1286)=3,ISNUMBER(BB1286))),0,1))&gt;0,"; An invoice is incomplete (needs No, Date and a number in Ex GST)","")&amp;IF((IF(T1286="",0,IFERROR(--(EOMONTH(T1286,0)&lt;&gt;S$5),1))+IF(W1286="",0,IFERROR(--(EOMONTH(W1286,0)&lt;&gt;V$5),1))+IF(Z1286="",0,IFERROR(--(EOMONTH(Z1286,0)&lt;&gt;Y$5),1))+IF(AC1286="",0,IFERROR(--(EOMONTH(AC1286,0)&lt;&gt;AB$5),1))+IF(AF1286="",0,IFERROR(--(EOMONTH(AF1286,0)&lt;&gt;AE$5),1))+IF(AI1286="",0,IFERROR(--(EOMONTH(AI1286,0)&lt;&gt;AH$5),1))+IF(AL1286="",0,IFERROR(--(EOMONTH(AL1286,0)&lt;&gt;AK$5),1))+IF(AO1286="",0,IFERROR(--(EOMONTH(AO1286,0)&lt;&gt;AN$5),1))+IF(AR1286="",0,IFERROR(--(EOMONTH(AR1286,0)&lt;&gt;AQ$5),1))+IF(AU1286="",0,IFERROR(--(EOMONTH(AU1286,0)&lt;&gt;AT$5),1))+IF(AX1286="",0,IFERROR(--(EOMONTH(AX1286,0)&lt;&gt;AW$5),1))+IF(BA1286="",0,IFERROR(--(EOMONTH(BA1286,0)&lt;&gt;AZ$5),1)))&gt;0,"; An invoice date is not in the month it is typed under",""),3,500))</f>
        <v/>
      </c>
      <c r="S1286" s="12" t="n"/>
      <c r="T1286" s="13" t="n"/>
      <c r="U1286" s="14" t="n"/>
      <c r="V1286" s="12" t="n"/>
      <c r="W1286" s="13" t="n"/>
      <c r="X1286" s="14" t="n"/>
      <c r="Y1286" s="12" t="n"/>
      <c r="Z1286" s="13" t="n"/>
      <c r="AA1286" s="14" t="n"/>
      <c r="AB1286" s="12" t="n"/>
      <c r="AC1286" s="13" t="n"/>
      <c r="AD1286" s="14" t="n"/>
      <c r="AE1286" s="12" t="n"/>
      <c r="AF1286" s="13" t="n"/>
      <c r="AG1286" s="14" t="n"/>
      <c r="AH1286" s="12" t="n"/>
      <c r="AI1286" s="13" t="n"/>
      <c r="AJ1286" s="14" t="n"/>
      <c r="AK1286" s="12" t="n"/>
      <c r="AL1286" s="13" t="n"/>
      <c r="AM1286" s="14" t="n"/>
      <c r="AN1286" s="12" t="n"/>
      <c r="AO1286" s="13" t="n"/>
      <c r="AP1286" s="14" t="n"/>
      <c r="AQ1286" s="12" t="n"/>
      <c r="AR1286" s="13" t="n"/>
      <c r="AS1286" s="14" t="n"/>
      <c r="AT1286" s="12" t="n"/>
      <c r="AU1286" s="13" t="n"/>
      <c r="AV1286" s="14" t="n"/>
      <c r="AW1286" s="12" t="n"/>
      <c r="AX1286" s="13" t="n"/>
      <c r="AY1286" s="14" t="n"/>
      <c r="AZ1286" s="12" t="n"/>
      <c r="BA1286" s="13" t="n"/>
      <c r="BB1286" s="14" t="n"/>
      <c r="BC1286" s="11">
        <f>IF(O1286="","",IF(J1286="GST 10%",ROUND(O1286*set_GSTRate,2),0))</f>
        <v/>
      </c>
      <c r="BD1286" s="11">
        <f>IF(O1286="","",O1286+BC1286)</f>
        <v/>
      </c>
      <c r="BE1286" s="15">
        <f>IF(O1286="","",COUNTA(S1286,V1286,Y1286,AB1286,AE1286,AH1286,AK1286,AN1286,AQ1286,AT1286,AW1286,AZ1286))</f>
        <v/>
      </c>
      <c r="BF1286" s="16">
        <f>IF(COUNT(T1286,W1286,Z1286,AC1286,AF1286,AI1286,AL1286,AO1286,AR1286,AU1286,AX1286,BA1286)=0,"",MAX(T1286,W1286,Z1286,AC1286,AF1286,AI1286,AL1286,AO1286,AR1286,AU1286,AX1286,BA1286))</f>
        <v/>
      </c>
      <c r="BG1286" s="10">
        <f>MID(IF(S1286="","",", "&amp;S1286)&amp;IF(V1286="","",", "&amp;V1286)&amp;IF(Y1286="","",", "&amp;Y1286)&amp;IF(AB1286="","",", "&amp;AB1286)&amp;IF(AE1286="","",", "&amp;AE1286)&amp;IF(AH1286="","",", "&amp;AH1286)&amp;IF(AK1286="","",", "&amp;AK1286)&amp;IF(AN1286="","",", "&amp;AN1286)&amp;IF(AQ1286="","",", "&amp;AQ1286)&amp;IF(AT1286="","",", "&amp;AT1286)&amp;IF(AW1286="","",", "&amp;AW1286)&amp;IF(AZ1286="","",", "&amp;AZ1286),3,500)</f>
        <v/>
      </c>
      <c r="BH1286" s="12" t="n"/>
      <c r="BI1286" s="15">
        <f>IFERROR(MATCH($A1286,IF($B1286="Onsite",tbl_Onsite[Row ID],IF($B1286="Production",tbl_Production[Row ID],tbl_Consulting[Row ID])),0),"")</f>
        <v/>
      </c>
    </row>
    <row r="1287">
      <c r="A1287" s="10" t="inlineStr">
        <is>
          <t>CON-0281</t>
        </is>
      </c>
      <c r="B1287" s="10" t="inlineStr">
        <is>
          <t>Consulting</t>
        </is>
      </c>
      <c r="C1287" s="10">
        <f>IF($BI1287="","",IF($B1287="Onsite",INDEX(tbl_Onsite[Job Number],$BI1287),IF($B1287="Production",INDEX(tbl_Production[Job Number],$BI1287),INDEX(tbl_Consulting[Job Number],$BI1287)))&amp;"")</f>
        <v/>
      </c>
      <c r="D1287" s="10">
        <f>IF($BI1287="","",IF($B1287="Onsite",INDEX(tbl_Onsite[Client],$BI1287),IF($B1287="Production",INDEX(tbl_Production[Client],$BI1287),INDEX(tbl_Consulting[Client],$BI1287)))&amp;"")</f>
        <v/>
      </c>
      <c r="E1287" s="10">
        <f>IF($C1287="","",IF(COUNTIF(lst_Jobs,$C1287)&gt;0,"OK","CHECK"))</f>
        <v/>
      </c>
      <c r="F1287" s="10">
        <f>IF($C1287="","",IFERROR(INDEX(lst_JobName,MATCH($C1287,lst_Jobs,0)),""))</f>
        <v/>
      </c>
      <c r="G1287" s="10">
        <f>IF($BI1287="","",IF($B1287="Onsite",INDEX(tbl_Onsite[Job Description],$BI1287),IF($B1287="Production",INDEX(tbl_Production[Job Description],$BI1287),INDEX(tbl_Consulting[Job Description],$BI1287)))&amp;"")</f>
        <v/>
      </c>
      <c r="H1287" s="10">
        <f>IF($BI1287="","",IF($B1287="Onsite",INDEX(tbl_Onsite[Cost Centre],$BI1287),IF($B1287="Production",INDEX(tbl_Production[Cost Centre],$BI1287),INDEX(tbl_Consulting[Cost Centre],$BI1287)))&amp;"")</f>
        <v/>
      </c>
      <c r="I1287" s="10">
        <f>IF($BI1287="","",IF($B1287="Onsite",INDEX(tbl_Onsite[Invoice Type],$BI1287),IF($B1287="Production",INDEX(tbl_Production[Invoice Type],$BI1287),INDEX(tbl_Consulting[Invoice Type],$BI1287)))&amp;"")</f>
        <v/>
      </c>
      <c r="J1287" s="10">
        <f>IF($BI1287="","",IF($B1287="Onsite",INDEX(tbl_Onsite[Tax Code],$BI1287),IF($B1287="Production",INDEX(tbl_Production[Tax Code],$BI1287),INDEX(tbl_Consulting[Tax Code],$BI1287)))&amp;"")</f>
        <v/>
      </c>
      <c r="K1287" s="10">
        <f>IF(H1287="","",IFERROR(INDEX(lst_CCtoGL,MATCH(H1287,lst_CCforGL,0)),""))</f>
        <v/>
      </c>
      <c r="L1287" s="10">
        <f>IF($BI1287="","",IF($B1287="Onsite",INDEX(tbl_Onsite[PO / Reference],$BI1287),IF($B1287="Production",INDEX(tbl_Production[Current RMS No],$BI1287),INDEX(tbl_Consulting[Qwilr Quote],$BI1287)))&amp;"")</f>
        <v/>
      </c>
      <c r="M1287" s="10">
        <f>IF($BI1287="","",IF($B1287="Onsite",INDEX(tbl_Onsite[Notes],$BI1287),IF($B1287="Production",INDEX(tbl_Production[Notes],$BI1287),INDEX(tbl_Consulting[Notes],$BI1287)))&amp;"")</f>
        <v/>
      </c>
      <c r="N1287" s="11">
        <f>IF($BI1287="","",IF(IF($B1287="Onsite",INDEX(tbl_Onsite[Expected Revenue Ex GST],$BI1287),IF($B1287="Production",INDEX(tbl_Production[Expected Revenue Ex GST],$BI1287),INDEX(tbl_Consulting[Expected Revenue Ex GST],$BI1287)))="","",IF($B1287="Onsite",INDEX(tbl_Onsite[Expected Revenue Ex GST],$BI1287),IF($B1287="Production",INDEX(tbl_Production[Expected Revenue Ex GST],$BI1287),INDEX(tbl_Consulting[Expected Revenue Ex GST],$BI1287)))))</f>
        <v/>
      </c>
      <c r="O1287" s="11">
        <f>IF(AND($C1287="",NOT(COUNTA($S1287:$BB1287)&gt;0)),"",SUM(U1287,X1287,AA1287,AD1287,AG1287,AJ1287,AM1287,AP1287,AS1287,AV1287,AY1287,BB1287))</f>
        <v/>
      </c>
      <c r="P1287" s="11">
        <f>IF(O1287="","",N(N1287)-O1287)</f>
        <v/>
      </c>
      <c r="Q1287" s="10">
        <f>IF(O1287="","",IF($C1287="","Invoice on empty job row",IF(N1287="",IF(ROUND(O1287,2)=0,"No dept value","Invoiced - no dept value"),IF(ROUND(O1287,2)=0,"Not invoiced - to invoice",IF(ROUND(P1287,2)=0,"Agrees",IF(P1287&gt;0,"Dept higher - to invoice","Xero higher - check dept"))))))</f>
        <v/>
      </c>
      <c r="R1287" s="10">
        <f>IF(AND($C1287="",NOT(COUNTA($S1287:$BB1287)&gt;0),$BI1287&lt;&gt;""),"",MID(IF($BI1287="","; Row ID not found on the department sheet - a row was deleted","")&amp;IF(AND($C1287="",COUNTA($S1287:$BB1287)&gt;0),"; Invoice entered but the department row has no job number","")&amp;IF(E1287="CHECK","; Job number not in the Xero job list","")&amp;IF(AND($C1287&lt;&gt;"",COUNTIF($C$7:$C$1506,$C1287)&gt;1),"; Job number on more than one row","")&amp;IF(AND($C1287&lt;&gt;"",H1287=""),"; Dept has not set a cost centre","")&amp;IF(AND($C1287&lt;&gt;"",J1287=""),"; Dept has not set a tax code","")&amp;IF(AND($C1287&lt;&gt;"",N1287=""),"; Dept has not entered an expected value","")&amp;IF((IF(OR(COUNTA(S1287:U1287)=0,AND(COUNTA(S1287:U1287)=3,ISNUMBER(U1287))),0,1)+IF(OR(COUNTA(V1287:X1287)=0,AND(COUNTA(V1287:X1287)=3,ISNUMBER(X1287))),0,1)+IF(OR(COUNTA(Y1287:AA1287)=0,AND(COUNTA(Y1287:AA1287)=3,ISNUMBER(AA1287))),0,1)+IF(OR(COUNTA(AB1287:AD1287)=0,AND(COUNTA(AB1287:AD1287)=3,ISNUMBER(AD1287))),0,1)+IF(OR(COUNTA(AE1287:AG1287)=0,AND(COUNTA(AE1287:AG1287)=3,ISNUMBER(AG1287))),0,1)+IF(OR(COUNTA(AH1287:AJ1287)=0,AND(COUNTA(AH1287:AJ1287)=3,ISNUMBER(AJ1287))),0,1)+IF(OR(COUNTA(AK1287:AM1287)=0,AND(COUNTA(AK1287:AM1287)=3,ISNUMBER(AM1287))),0,1)+IF(OR(COUNTA(AN1287:AP1287)=0,AND(COUNTA(AN1287:AP1287)=3,ISNUMBER(AP1287))),0,1)+IF(OR(COUNTA(AQ1287:AS1287)=0,AND(COUNTA(AQ1287:AS1287)=3,ISNUMBER(AS1287))),0,1)+IF(OR(COUNTA(AT1287:AV1287)=0,AND(COUNTA(AT1287:AV1287)=3,ISNUMBER(AV1287))),0,1)+IF(OR(COUNTA(AW1287:AY1287)=0,AND(COUNTA(AW1287:AY1287)=3,ISNUMBER(AY1287))),0,1)+IF(OR(COUNTA(AZ1287:BB1287)=0,AND(COUNTA(AZ1287:BB1287)=3,ISNUMBER(BB1287))),0,1))&gt;0,"; An invoice is incomplete (needs No, Date and a number in Ex GST)","")&amp;IF((IF(T1287="",0,IFERROR(--(EOMONTH(T1287,0)&lt;&gt;S$5),1))+IF(W1287="",0,IFERROR(--(EOMONTH(W1287,0)&lt;&gt;V$5),1))+IF(Z1287="",0,IFERROR(--(EOMONTH(Z1287,0)&lt;&gt;Y$5),1))+IF(AC1287="",0,IFERROR(--(EOMONTH(AC1287,0)&lt;&gt;AB$5),1))+IF(AF1287="",0,IFERROR(--(EOMONTH(AF1287,0)&lt;&gt;AE$5),1))+IF(AI1287="",0,IFERROR(--(EOMONTH(AI1287,0)&lt;&gt;AH$5),1))+IF(AL1287="",0,IFERROR(--(EOMONTH(AL1287,0)&lt;&gt;AK$5),1))+IF(AO1287="",0,IFERROR(--(EOMONTH(AO1287,0)&lt;&gt;AN$5),1))+IF(AR1287="",0,IFERROR(--(EOMONTH(AR1287,0)&lt;&gt;AQ$5),1))+IF(AU1287="",0,IFERROR(--(EOMONTH(AU1287,0)&lt;&gt;AT$5),1))+IF(AX1287="",0,IFERROR(--(EOMONTH(AX1287,0)&lt;&gt;AW$5),1))+IF(BA1287="",0,IFERROR(--(EOMONTH(BA1287,0)&lt;&gt;AZ$5),1)))&gt;0,"; An invoice date is not in the month it is typed under",""),3,500))</f>
        <v/>
      </c>
      <c r="S1287" s="12" t="n"/>
      <c r="T1287" s="13" t="n"/>
      <c r="U1287" s="14" t="n"/>
      <c r="V1287" s="12" t="n"/>
      <c r="W1287" s="13" t="n"/>
      <c r="X1287" s="14" t="n"/>
      <c r="Y1287" s="12" t="n"/>
      <c r="Z1287" s="13" t="n"/>
      <c r="AA1287" s="14" t="n"/>
      <c r="AB1287" s="12" t="n"/>
      <c r="AC1287" s="13" t="n"/>
      <c r="AD1287" s="14" t="n"/>
      <c r="AE1287" s="12" t="n"/>
      <c r="AF1287" s="13" t="n"/>
      <c r="AG1287" s="14" t="n"/>
      <c r="AH1287" s="12" t="n"/>
      <c r="AI1287" s="13" t="n"/>
      <c r="AJ1287" s="14" t="n"/>
      <c r="AK1287" s="12" t="n"/>
      <c r="AL1287" s="13" t="n"/>
      <c r="AM1287" s="14" t="n"/>
      <c r="AN1287" s="12" t="n"/>
      <c r="AO1287" s="13" t="n"/>
      <c r="AP1287" s="14" t="n"/>
      <c r="AQ1287" s="12" t="n"/>
      <c r="AR1287" s="13" t="n"/>
      <c r="AS1287" s="14" t="n"/>
      <c r="AT1287" s="12" t="n"/>
      <c r="AU1287" s="13" t="n"/>
      <c r="AV1287" s="14" t="n"/>
      <c r="AW1287" s="12" t="n"/>
      <c r="AX1287" s="13" t="n"/>
      <c r="AY1287" s="14" t="n"/>
      <c r="AZ1287" s="12" t="n"/>
      <c r="BA1287" s="13" t="n"/>
      <c r="BB1287" s="14" t="n"/>
      <c r="BC1287" s="11">
        <f>IF(O1287="","",IF(J1287="GST 10%",ROUND(O1287*set_GSTRate,2),0))</f>
        <v/>
      </c>
      <c r="BD1287" s="11">
        <f>IF(O1287="","",O1287+BC1287)</f>
        <v/>
      </c>
      <c r="BE1287" s="15">
        <f>IF(O1287="","",COUNTA(S1287,V1287,Y1287,AB1287,AE1287,AH1287,AK1287,AN1287,AQ1287,AT1287,AW1287,AZ1287))</f>
        <v/>
      </c>
      <c r="BF1287" s="16">
        <f>IF(COUNT(T1287,W1287,Z1287,AC1287,AF1287,AI1287,AL1287,AO1287,AR1287,AU1287,AX1287,BA1287)=0,"",MAX(T1287,W1287,Z1287,AC1287,AF1287,AI1287,AL1287,AO1287,AR1287,AU1287,AX1287,BA1287))</f>
        <v/>
      </c>
      <c r="BG1287" s="10">
        <f>MID(IF(S1287="","",", "&amp;S1287)&amp;IF(V1287="","",", "&amp;V1287)&amp;IF(Y1287="","",", "&amp;Y1287)&amp;IF(AB1287="","",", "&amp;AB1287)&amp;IF(AE1287="","",", "&amp;AE1287)&amp;IF(AH1287="","",", "&amp;AH1287)&amp;IF(AK1287="","",", "&amp;AK1287)&amp;IF(AN1287="","",", "&amp;AN1287)&amp;IF(AQ1287="","",", "&amp;AQ1287)&amp;IF(AT1287="","",", "&amp;AT1287)&amp;IF(AW1287="","",", "&amp;AW1287)&amp;IF(AZ1287="","",", "&amp;AZ1287),3,500)</f>
        <v/>
      </c>
      <c r="BH1287" s="12" t="n"/>
      <c r="BI1287" s="15">
        <f>IFERROR(MATCH($A1287,IF($B1287="Onsite",tbl_Onsite[Row ID],IF($B1287="Production",tbl_Production[Row ID],tbl_Consulting[Row ID])),0),"")</f>
        <v/>
      </c>
    </row>
    <row r="1288">
      <c r="A1288" s="10" t="inlineStr">
        <is>
          <t>CON-0282</t>
        </is>
      </c>
      <c r="B1288" s="10" t="inlineStr">
        <is>
          <t>Consulting</t>
        </is>
      </c>
      <c r="C1288" s="10">
        <f>IF($BI1288="","",IF($B1288="Onsite",INDEX(tbl_Onsite[Job Number],$BI1288),IF($B1288="Production",INDEX(tbl_Production[Job Number],$BI1288),INDEX(tbl_Consulting[Job Number],$BI1288)))&amp;"")</f>
        <v/>
      </c>
      <c r="D1288" s="10">
        <f>IF($BI1288="","",IF($B1288="Onsite",INDEX(tbl_Onsite[Client],$BI1288),IF($B1288="Production",INDEX(tbl_Production[Client],$BI1288),INDEX(tbl_Consulting[Client],$BI1288)))&amp;"")</f>
        <v/>
      </c>
      <c r="E1288" s="10">
        <f>IF($C1288="","",IF(COUNTIF(lst_Jobs,$C1288)&gt;0,"OK","CHECK"))</f>
        <v/>
      </c>
      <c r="F1288" s="10">
        <f>IF($C1288="","",IFERROR(INDEX(lst_JobName,MATCH($C1288,lst_Jobs,0)),""))</f>
        <v/>
      </c>
      <c r="G1288" s="10">
        <f>IF($BI1288="","",IF($B1288="Onsite",INDEX(tbl_Onsite[Job Description],$BI1288),IF($B1288="Production",INDEX(tbl_Production[Job Description],$BI1288),INDEX(tbl_Consulting[Job Description],$BI1288)))&amp;"")</f>
        <v/>
      </c>
      <c r="H1288" s="10">
        <f>IF($BI1288="","",IF($B1288="Onsite",INDEX(tbl_Onsite[Cost Centre],$BI1288),IF($B1288="Production",INDEX(tbl_Production[Cost Centre],$BI1288),INDEX(tbl_Consulting[Cost Centre],$BI1288)))&amp;"")</f>
        <v/>
      </c>
      <c r="I1288" s="10">
        <f>IF($BI1288="","",IF($B1288="Onsite",INDEX(tbl_Onsite[Invoice Type],$BI1288),IF($B1288="Production",INDEX(tbl_Production[Invoice Type],$BI1288),INDEX(tbl_Consulting[Invoice Type],$BI1288)))&amp;"")</f>
        <v/>
      </c>
      <c r="J1288" s="10">
        <f>IF($BI1288="","",IF($B1288="Onsite",INDEX(tbl_Onsite[Tax Code],$BI1288),IF($B1288="Production",INDEX(tbl_Production[Tax Code],$BI1288),INDEX(tbl_Consulting[Tax Code],$BI1288)))&amp;"")</f>
        <v/>
      </c>
      <c r="K1288" s="10">
        <f>IF(H1288="","",IFERROR(INDEX(lst_CCtoGL,MATCH(H1288,lst_CCforGL,0)),""))</f>
        <v/>
      </c>
      <c r="L1288" s="10">
        <f>IF($BI1288="","",IF($B1288="Onsite",INDEX(tbl_Onsite[PO / Reference],$BI1288),IF($B1288="Production",INDEX(tbl_Production[Current RMS No],$BI1288),INDEX(tbl_Consulting[Qwilr Quote],$BI1288)))&amp;"")</f>
        <v/>
      </c>
      <c r="M1288" s="10">
        <f>IF($BI1288="","",IF($B1288="Onsite",INDEX(tbl_Onsite[Notes],$BI1288),IF($B1288="Production",INDEX(tbl_Production[Notes],$BI1288),INDEX(tbl_Consulting[Notes],$BI1288)))&amp;"")</f>
        <v/>
      </c>
      <c r="N1288" s="11">
        <f>IF($BI1288="","",IF(IF($B1288="Onsite",INDEX(tbl_Onsite[Expected Revenue Ex GST],$BI1288),IF($B1288="Production",INDEX(tbl_Production[Expected Revenue Ex GST],$BI1288),INDEX(tbl_Consulting[Expected Revenue Ex GST],$BI1288)))="","",IF($B1288="Onsite",INDEX(tbl_Onsite[Expected Revenue Ex GST],$BI1288),IF($B1288="Production",INDEX(tbl_Production[Expected Revenue Ex GST],$BI1288),INDEX(tbl_Consulting[Expected Revenue Ex GST],$BI1288)))))</f>
        <v/>
      </c>
      <c r="O1288" s="11">
        <f>IF(AND($C1288="",NOT(COUNTA($S1288:$BB1288)&gt;0)),"",SUM(U1288,X1288,AA1288,AD1288,AG1288,AJ1288,AM1288,AP1288,AS1288,AV1288,AY1288,BB1288))</f>
        <v/>
      </c>
      <c r="P1288" s="11">
        <f>IF(O1288="","",N(N1288)-O1288)</f>
        <v/>
      </c>
      <c r="Q1288" s="10">
        <f>IF(O1288="","",IF($C1288="","Invoice on empty job row",IF(N1288="",IF(ROUND(O1288,2)=0,"No dept value","Invoiced - no dept value"),IF(ROUND(O1288,2)=0,"Not invoiced - to invoice",IF(ROUND(P1288,2)=0,"Agrees",IF(P1288&gt;0,"Dept higher - to invoice","Xero higher - check dept"))))))</f>
        <v/>
      </c>
      <c r="R1288" s="10">
        <f>IF(AND($C1288="",NOT(COUNTA($S1288:$BB1288)&gt;0),$BI1288&lt;&gt;""),"",MID(IF($BI1288="","; Row ID not found on the department sheet - a row was deleted","")&amp;IF(AND($C1288="",COUNTA($S1288:$BB1288)&gt;0),"; Invoice entered but the department row has no job number","")&amp;IF(E1288="CHECK","; Job number not in the Xero job list","")&amp;IF(AND($C1288&lt;&gt;"",COUNTIF($C$7:$C$1506,$C1288)&gt;1),"; Job number on more than one row","")&amp;IF(AND($C1288&lt;&gt;"",H1288=""),"; Dept has not set a cost centre","")&amp;IF(AND($C1288&lt;&gt;"",J1288=""),"; Dept has not set a tax code","")&amp;IF(AND($C1288&lt;&gt;"",N1288=""),"; Dept has not entered an expected value","")&amp;IF((IF(OR(COUNTA(S1288:U1288)=0,AND(COUNTA(S1288:U1288)=3,ISNUMBER(U1288))),0,1)+IF(OR(COUNTA(V1288:X1288)=0,AND(COUNTA(V1288:X1288)=3,ISNUMBER(X1288))),0,1)+IF(OR(COUNTA(Y1288:AA1288)=0,AND(COUNTA(Y1288:AA1288)=3,ISNUMBER(AA1288))),0,1)+IF(OR(COUNTA(AB1288:AD1288)=0,AND(COUNTA(AB1288:AD1288)=3,ISNUMBER(AD1288))),0,1)+IF(OR(COUNTA(AE1288:AG1288)=0,AND(COUNTA(AE1288:AG1288)=3,ISNUMBER(AG1288))),0,1)+IF(OR(COUNTA(AH1288:AJ1288)=0,AND(COUNTA(AH1288:AJ1288)=3,ISNUMBER(AJ1288))),0,1)+IF(OR(COUNTA(AK1288:AM1288)=0,AND(COUNTA(AK1288:AM1288)=3,ISNUMBER(AM1288))),0,1)+IF(OR(COUNTA(AN1288:AP1288)=0,AND(COUNTA(AN1288:AP1288)=3,ISNUMBER(AP1288))),0,1)+IF(OR(COUNTA(AQ1288:AS1288)=0,AND(COUNTA(AQ1288:AS1288)=3,ISNUMBER(AS1288))),0,1)+IF(OR(COUNTA(AT1288:AV1288)=0,AND(COUNTA(AT1288:AV1288)=3,ISNUMBER(AV1288))),0,1)+IF(OR(COUNTA(AW1288:AY1288)=0,AND(COUNTA(AW1288:AY1288)=3,ISNUMBER(AY1288))),0,1)+IF(OR(COUNTA(AZ1288:BB1288)=0,AND(COUNTA(AZ1288:BB1288)=3,ISNUMBER(BB1288))),0,1))&gt;0,"; An invoice is incomplete (needs No, Date and a number in Ex GST)","")&amp;IF((IF(T1288="",0,IFERROR(--(EOMONTH(T1288,0)&lt;&gt;S$5),1))+IF(W1288="",0,IFERROR(--(EOMONTH(W1288,0)&lt;&gt;V$5),1))+IF(Z1288="",0,IFERROR(--(EOMONTH(Z1288,0)&lt;&gt;Y$5),1))+IF(AC1288="",0,IFERROR(--(EOMONTH(AC1288,0)&lt;&gt;AB$5),1))+IF(AF1288="",0,IFERROR(--(EOMONTH(AF1288,0)&lt;&gt;AE$5),1))+IF(AI1288="",0,IFERROR(--(EOMONTH(AI1288,0)&lt;&gt;AH$5),1))+IF(AL1288="",0,IFERROR(--(EOMONTH(AL1288,0)&lt;&gt;AK$5),1))+IF(AO1288="",0,IFERROR(--(EOMONTH(AO1288,0)&lt;&gt;AN$5),1))+IF(AR1288="",0,IFERROR(--(EOMONTH(AR1288,0)&lt;&gt;AQ$5),1))+IF(AU1288="",0,IFERROR(--(EOMONTH(AU1288,0)&lt;&gt;AT$5),1))+IF(AX1288="",0,IFERROR(--(EOMONTH(AX1288,0)&lt;&gt;AW$5),1))+IF(BA1288="",0,IFERROR(--(EOMONTH(BA1288,0)&lt;&gt;AZ$5),1)))&gt;0,"; An invoice date is not in the month it is typed under",""),3,500))</f>
        <v/>
      </c>
      <c r="S1288" s="12" t="n"/>
      <c r="T1288" s="13" t="n"/>
      <c r="U1288" s="14" t="n"/>
      <c r="V1288" s="12" t="n"/>
      <c r="W1288" s="13" t="n"/>
      <c r="X1288" s="14" t="n"/>
      <c r="Y1288" s="12" t="n"/>
      <c r="Z1288" s="13" t="n"/>
      <c r="AA1288" s="14" t="n"/>
      <c r="AB1288" s="12" t="n"/>
      <c r="AC1288" s="13" t="n"/>
      <c r="AD1288" s="14" t="n"/>
      <c r="AE1288" s="12" t="n"/>
      <c r="AF1288" s="13" t="n"/>
      <c r="AG1288" s="14" t="n"/>
      <c r="AH1288" s="12" t="n"/>
      <c r="AI1288" s="13" t="n"/>
      <c r="AJ1288" s="14" t="n"/>
      <c r="AK1288" s="12" t="n"/>
      <c r="AL1288" s="13" t="n"/>
      <c r="AM1288" s="14" t="n"/>
      <c r="AN1288" s="12" t="n"/>
      <c r="AO1288" s="13" t="n"/>
      <c r="AP1288" s="14" t="n"/>
      <c r="AQ1288" s="12" t="n"/>
      <c r="AR1288" s="13" t="n"/>
      <c r="AS1288" s="14" t="n"/>
      <c r="AT1288" s="12" t="n"/>
      <c r="AU1288" s="13" t="n"/>
      <c r="AV1288" s="14" t="n"/>
      <c r="AW1288" s="12" t="n"/>
      <c r="AX1288" s="13" t="n"/>
      <c r="AY1288" s="14" t="n"/>
      <c r="AZ1288" s="12" t="n"/>
      <c r="BA1288" s="13" t="n"/>
      <c r="BB1288" s="14" t="n"/>
      <c r="BC1288" s="11">
        <f>IF(O1288="","",IF(J1288="GST 10%",ROUND(O1288*set_GSTRate,2),0))</f>
        <v/>
      </c>
      <c r="BD1288" s="11">
        <f>IF(O1288="","",O1288+BC1288)</f>
        <v/>
      </c>
      <c r="BE1288" s="15">
        <f>IF(O1288="","",COUNTA(S1288,V1288,Y1288,AB1288,AE1288,AH1288,AK1288,AN1288,AQ1288,AT1288,AW1288,AZ1288))</f>
        <v/>
      </c>
      <c r="BF1288" s="16">
        <f>IF(COUNT(T1288,W1288,Z1288,AC1288,AF1288,AI1288,AL1288,AO1288,AR1288,AU1288,AX1288,BA1288)=0,"",MAX(T1288,W1288,Z1288,AC1288,AF1288,AI1288,AL1288,AO1288,AR1288,AU1288,AX1288,BA1288))</f>
        <v/>
      </c>
      <c r="BG1288" s="10">
        <f>MID(IF(S1288="","",", "&amp;S1288)&amp;IF(V1288="","",", "&amp;V1288)&amp;IF(Y1288="","",", "&amp;Y1288)&amp;IF(AB1288="","",", "&amp;AB1288)&amp;IF(AE1288="","",", "&amp;AE1288)&amp;IF(AH1288="","",", "&amp;AH1288)&amp;IF(AK1288="","",", "&amp;AK1288)&amp;IF(AN1288="","",", "&amp;AN1288)&amp;IF(AQ1288="","",", "&amp;AQ1288)&amp;IF(AT1288="","",", "&amp;AT1288)&amp;IF(AW1288="","",", "&amp;AW1288)&amp;IF(AZ1288="","",", "&amp;AZ1288),3,500)</f>
        <v/>
      </c>
      <c r="BH1288" s="12" t="n"/>
      <c r="BI1288" s="15">
        <f>IFERROR(MATCH($A1288,IF($B1288="Onsite",tbl_Onsite[Row ID],IF($B1288="Production",tbl_Production[Row ID],tbl_Consulting[Row ID])),0),"")</f>
        <v/>
      </c>
    </row>
    <row r="1289">
      <c r="A1289" s="10" t="inlineStr">
        <is>
          <t>CON-0283</t>
        </is>
      </c>
      <c r="B1289" s="10" t="inlineStr">
        <is>
          <t>Consulting</t>
        </is>
      </c>
      <c r="C1289" s="10">
        <f>IF($BI1289="","",IF($B1289="Onsite",INDEX(tbl_Onsite[Job Number],$BI1289),IF($B1289="Production",INDEX(tbl_Production[Job Number],$BI1289),INDEX(tbl_Consulting[Job Number],$BI1289)))&amp;"")</f>
        <v/>
      </c>
      <c r="D1289" s="10">
        <f>IF($BI1289="","",IF($B1289="Onsite",INDEX(tbl_Onsite[Client],$BI1289),IF($B1289="Production",INDEX(tbl_Production[Client],$BI1289),INDEX(tbl_Consulting[Client],$BI1289)))&amp;"")</f>
        <v/>
      </c>
      <c r="E1289" s="10">
        <f>IF($C1289="","",IF(COUNTIF(lst_Jobs,$C1289)&gt;0,"OK","CHECK"))</f>
        <v/>
      </c>
      <c r="F1289" s="10">
        <f>IF($C1289="","",IFERROR(INDEX(lst_JobName,MATCH($C1289,lst_Jobs,0)),""))</f>
        <v/>
      </c>
      <c r="G1289" s="10">
        <f>IF($BI1289="","",IF($B1289="Onsite",INDEX(tbl_Onsite[Job Description],$BI1289),IF($B1289="Production",INDEX(tbl_Production[Job Description],$BI1289),INDEX(tbl_Consulting[Job Description],$BI1289)))&amp;"")</f>
        <v/>
      </c>
      <c r="H1289" s="10">
        <f>IF($BI1289="","",IF($B1289="Onsite",INDEX(tbl_Onsite[Cost Centre],$BI1289),IF($B1289="Production",INDEX(tbl_Production[Cost Centre],$BI1289),INDEX(tbl_Consulting[Cost Centre],$BI1289)))&amp;"")</f>
        <v/>
      </c>
      <c r="I1289" s="10">
        <f>IF($BI1289="","",IF($B1289="Onsite",INDEX(tbl_Onsite[Invoice Type],$BI1289),IF($B1289="Production",INDEX(tbl_Production[Invoice Type],$BI1289),INDEX(tbl_Consulting[Invoice Type],$BI1289)))&amp;"")</f>
        <v/>
      </c>
      <c r="J1289" s="10">
        <f>IF($BI1289="","",IF($B1289="Onsite",INDEX(tbl_Onsite[Tax Code],$BI1289),IF($B1289="Production",INDEX(tbl_Production[Tax Code],$BI1289),INDEX(tbl_Consulting[Tax Code],$BI1289)))&amp;"")</f>
        <v/>
      </c>
      <c r="K1289" s="10">
        <f>IF(H1289="","",IFERROR(INDEX(lst_CCtoGL,MATCH(H1289,lst_CCforGL,0)),""))</f>
        <v/>
      </c>
      <c r="L1289" s="10">
        <f>IF($BI1289="","",IF($B1289="Onsite",INDEX(tbl_Onsite[PO / Reference],$BI1289),IF($B1289="Production",INDEX(tbl_Production[Current RMS No],$BI1289),INDEX(tbl_Consulting[Qwilr Quote],$BI1289)))&amp;"")</f>
        <v/>
      </c>
      <c r="M1289" s="10">
        <f>IF($BI1289="","",IF($B1289="Onsite",INDEX(tbl_Onsite[Notes],$BI1289),IF($B1289="Production",INDEX(tbl_Production[Notes],$BI1289),INDEX(tbl_Consulting[Notes],$BI1289)))&amp;"")</f>
        <v/>
      </c>
      <c r="N1289" s="11">
        <f>IF($BI1289="","",IF(IF($B1289="Onsite",INDEX(tbl_Onsite[Expected Revenue Ex GST],$BI1289),IF($B1289="Production",INDEX(tbl_Production[Expected Revenue Ex GST],$BI1289),INDEX(tbl_Consulting[Expected Revenue Ex GST],$BI1289)))="","",IF($B1289="Onsite",INDEX(tbl_Onsite[Expected Revenue Ex GST],$BI1289),IF($B1289="Production",INDEX(tbl_Production[Expected Revenue Ex GST],$BI1289),INDEX(tbl_Consulting[Expected Revenue Ex GST],$BI1289)))))</f>
        <v/>
      </c>
      <c r="O1289" s="11">
        <f>IF(AND($C1289="",NOT(COUNTA($S1289:$BB1289)&gt;0)),"",SUM(U1289,X1289,AA1289,AD1289,AG1289,AJ1289,AM1289,AP1289,AS1289,AV1289,AY1289,BB1289))</f>
        <v/>
      </c>
      <c r="P1289" s="11">
        <f>IF(O1289="","",N(N1289)-O1289)</f>
        <v/>
      </c>
      <c r="Q1289" s="10">
        <f>IF(O1289="","",IF($C1289="","Invoice on empty job row",IF(N1289="",IF(ROUND(O1289,2)=0,"No dept value","Invoiced - no dept value"),IF(ROUND(O1289,2)=0,"Not invoiced - to invoice",IF(ROUND(P1289,2)=0,"Agrees",IF(P1289&gt;0,"Dept higher - to invoice","Xero higher - check dept"))))))</f>
        <v/>
      </c>
      <c r="R1289" s="10">
        <f>IF(AND($C1289="",NOT(COUNTA($S1289:$BB1289)&gt;0),$BI1289&lt;&gt;""),"",MID(IF($BI1289="","; Row ID not found on the department sheet - a row was deleted","")&amp;IF(AND($C1289="",COUNTA($S1289:$BB1289)&gt;0),"; Invoice entered but the department row has no job number","")&amp;IF(E1289="CHECK","; Job number not in the Xero job list","")&amp;IF(AND($C1289&lt;&gt;"",COUNTIF($C$7:$C$1506,$C1289)&gt;1),"; Job number on more than one row","")&amp;IF(AND($C1289&lt;&gt;"",H1289=""),"; Dept has not set a cost centre","")&amp;IF(AND($C1289&lt;&gt;"",J1289=""),"; Dept has not set a tax code","")&amp;IF(AND($C1289&lt;&gt;"",N1289=""),"; Dept has not entered an expected value","")&amp;IF((IF(OR(COUNTA(S1289:U1289)=0,AND(COUNTA(S1289:U1289)=3,ISNUMBER(U1289))),0,1)+IF(OR(COUNTA(V1289:X1289)=0,AND(COUNTA(V1289:X1289)=3,ISNUMBER(X1289))),0,1)+IF(OR(COUNTA(Y1289:AA1289)=0,AND(COUNTA(Y1289:AA1289)=3,ISNUMBER(AA1289))),0,1)+IF(OR(COUNTA(AB1289:AD1289)=0,AND(COUNTA(AB1289:AD1289)=3,ISNUMBER(AD1289))),0,1)+IF(OR(COUNTA(AE1289:AG1289)=0,AND(COUNTA(AE1289:AG1289)=3,ISNUMBER(AG1289))),0,1)+IF(OR(COUNTA(AH1289:AJ1289)=0,AND(COUNTA(AH1289:AJ1289)=3,ISNUMBER(AJ1289))),0,1)+IF(OR(COUNTA(AK1289:AM1289)=0,AND(COUNTA(AK1289:AM1289)=3,ISNUMBER(AM1289))),0,1)+IF(OR(COUNTA(AN1289:AP1289)=0,AND(COUNTA(AN1289:AP1289)=3,ISNUMBER(AP1289))),0,1)+IF(OR(COUNTA(AQ1289:AS1289)=0,AND(COUNTA(AQ1289:AS1289)=3,ISNUMBER(AS1289))),0,1)+IF(OR(COUNTA(AT1289:AV1289)=0,AND(COUNTA(AT1289:AV1289)=3,ISNUMBER(AV1289))),0,1)+IF(OR(COUNTA(AW1289:AY1289)=0,AND(COUNTA(AW1289:AY1289)=3,ISNUMBER(AY1289))),0,1)+IF(OR(COUNTA(AZ1289:BB1289)=0,AND(COUNTA(AZ1289:BB1289)=3,ISNUMBER(BB1289))),0,1))&gt;0,"; An invoice is incomplete (needs No, Date and a number in Ex GST)","")&amp;IF((IF(T1289="",0,IFERROR(--(EOMONTH(T1289,0)&lt;&gt;S$5),1))+IF(W1289="",0,IFERROR(--(EOMONTH(W1289,0)&lt;&gt;V$5),1))+IF(Z1289="",0,IFERROR(--(EOMONTH(Z1289,0)&lt;&gt;Y$5),1))+IF(AC1289="",0,IFERROR(--(EOMONTH(AC1289,0)&lt;&gt;AB$5),1))+IF(AF1289="",0,IFERROR(--(EOMONTH(AF1289,0)&lt;&gt;AE$5),1))+IF(AI1289="",0,IFERROR(--(EOMONTH(AI1289,0)&lt;&gt;AH$5),1))+IF(AL1289="",0,IFERROR(--(EOMONTH(AL1289,0)&lt;&gt;AK$5),1))+IF(AO1289="",0,IFERROR(--(EOMONTH(AO1289,0)&lt;&gt;AN$5),1))+IF(AR1289="",0,IFERROR(--(EOMONTH(AR1289,0)&lt;&gt;AQ$5),1))+IF(AU1289="",0,IFERROR(--(EOMONTH(AU1289,0)&lt;&gt;AT$5),1))+IF(AX1289="",0,IFERROR(--(EOMONTH(AX1289,0)&lt;&gt;AW$5),1))+IF(BA1289="",0,IFERROR(--(EOMONTH(BA1289,0)&lt;&gt;AZ$5),1)))&gt;0,"; An invoice date is not in the month it is typed under",""),3,500))</f>
        <v/>
      </c>
      <c r="S1289" s="12" t="n"/>
      <c r="T1289" s="13" t="n"/>
      <c r="U1289" s="14" t="n"/>
      <c r="V1289" s="12" t="n"/>
      <c r="W1289" s="13" t="n"/>
      <c r="X1289" s="14" t="n"/>
      <c r="Y1289" s="12" t="n"/>
      <c r="Z1289" s="13" t="n"/>
      <c r="AA1289" s="14" t="n"/>
      <c r="AB1289" s="12" t="n"/>
      <c r="AC1289" s="13" t="n"/>
      <c r="AD1289" s="14" t="n"/>
      <c r="AE1289" s="12" t="n"/>
      <c r="AF1289" s="13" t="n"/>
      <c r="AG1289" s="14" t="n"/>
      <c r="AH1289" s="12" t="n"/>
      <c r="AI1289" s="13" t="n"/>
      <c r="AJ1289" s="14" t="n"/>
      <c r="AK1289" s="12" t="n"/>
      <c r="AL1289" s="13" t="n"/>
      <c r="AM1289" s="14" t="n"/>
      <c r="AN1289" s="12" t="n"/>
      <c r="AO1289" s="13" t="n"/>
      <c r="AP1289" s="14" t="n"/>
      <c r="AQ1289" s="12" t="n"/>
      <c r="AR1289" s="13" t="n"/>
      <c r="AS1289" s="14" t="n"/>
      <c r="AT1289" s="12" t="n"/>
      <c r="AU1289" s="13" t="n"/>
      <c r="AV1289" s="14" t="n"/>
      <c r="AW1289" s="12" t="n"/>
      <c r="AX1289" s="13" t="n"/>
      <c r="AY1289" s="14" t="n"/>
      <c r="AZ1289" s="12" t="n"/>
      <c r="BA1289" s="13" t="n"/>
      <c r="BB1289" s="14" t="n"/>
      <c r="BC1289" s="11">
        <f>IF(O1289="","",IF(J1289="GST 10%",ROUND(O1289*set_GSTRate,2),0))</f>
        <v/>
      </c>
      <c r="BD1289" s="11">
        <f>IF(O1289="","",O1289+BC1289)</f>
        <v/>
      </c>
      <c r="BE1289" s="15">
        <f>IF(O1289="","",COUNTA(S1289,V1289,Y1289,AB1289,AE1289,AH1289,AK1289,AN1289,AQ1289,AT1289,AW1289,AZ1289))</f>
        <v/>
      </c>
      <c r="BF1289" s="16">
        <f>IF(COUNT(T1289,W1289,Z1289,AC1289,AF1289,AI1289,AL1289,AO1289,AR1289,AU1289,AX1289,BA1289)=0,"",MAX(T1289,W1289,Z1289,AC1289,AF1289,AI1289,AL1289,AO1289,AR1289,AU1289,AX1289,BA1289))</f>
        <v/>
      </c>
      <c r="BG1289" s="10">
        <f>MID(IF(S1289="","",", "&amp;S1289)&amp;IF(V1289="","",", "&amp;V1289)&amp;IF(Y1289="","",", "&amp;Y1289)&amp;IF(AB1289="","",", "&amp;AB1289)&amp;IF(AE1289="","",", "&amp;AE1289)&amp;IF(AH1289="","",", "&amp;AH1289)&amp;IF(AK1289="","",", "&amp;AK1289)&amp;IF(AN1289="","",", "&amp;AN1289)&amp;IF(AQ1289="","",", "&amp;AQ1289)&amp;IF(AT1289="","",", "&amp;AT1289)&amp;IF(AW1289="","",", "&amp;AW1289)&amp;IF(AZ1289="","",", "&amp;AZ1289),3,500)</f>
        <v/>
      </c>
      <c r="BH1289" s="12" t="n"/>
      <c r="BI1289" s="15">
        <f>IFERROR(MATCH($A1289,IF($B1289="Onsite",tbl_Onsite[Row ID],IF($B1289="Production",tbl_Production[Row ID],tbl_Consulting[Row ID])),0),"")</f>
        <v/>
      </c>
    </row>
    <row r="1290">
      <c r="A1290" s="10" t="inlineStr">
        <is>
          <t>CON-0284</t>
        </is>
      </c>
      <c r="B1290" s="10" t="inlineStr">
        <is>
          <t>Consulting</t>
        </is>
      </c>
      <c r="C1290" s="10">
        <f>IF($BI1290="","",IF($B1290="Onsite",INDEX(tbl_Onsite[Job Number],$BI1290),IF($B1290="Production",INDEX(tbl_Production[Job Number],$BI1290),INDEX(tbl_Consulting[Job Number],$BI1290)))&amp;"")</f>
        <v/>
      </c>
      <c r="D1290" s="10">
        <f>IF($BI1290="","",IF($B1290="Onsite",INDEX(tbl_Onsite[Client],$BI1290),IF($B1290="Production",INDEX(tbl_Production[Client],$BI1290),INDEX(tbl_Consulting[Client],$BI1290)))&amp;"")</f>
        <v/>
      </c>
      <c r="E1290" s="10">
        <f>IF($C1290="","",IF(COUNTIF(lst_Jobs,$C1290)&gt;0,"OK","CHECK"))</f>
        <v/>
      </c>
      <c r="F1290" s="10">
        <f>IF($C1290="","",IFERROR(INDEX(lst_JobName,MATCH($C1290,lst_Jobs,0)),""))</f>
        <v/>
      </c>
      <c r="G1290" s="10">
        <f>IF($BI1290="","",IF($B1290="Onsite",INDEX(tbl_Onsite[Job Description],$BI1290),IF($B1290="Production",INDEX(tbl_Production[Job Description],$BI1290),INDEX(tbl_Consulting[Job Description],$BI1290)))&amp;"")</f>
        <v/>
      </c>
      <c r="H1290" s="10">
        <f>IF($BI1290="","",IF($B1290="Onsite",INDEX(tbl_Onsite[Cost Centre],$BI1290),IF($B1290="Production",INDEX(tbl_Production[Cost Centre],$BI1290),INDEX(tbl_Consulting[Cost Centre],$BI1290)))&amp;"")</f>
        <v/>
      </c>
      <c r="I1290" s="10">
        <f>IF($BI1290="","",IF($B1290="Onsite",INDEX(tbl_Onsite[Invoice Type],$BI1290),IF($B1290="Production",INDEX(tbl_Production[Invoice Type],$BI1290),INDEX(tbl_Consulting[Invoice Type],$BI1290)))&amp;"")</f>
        <v/>
      </c>
      <c r="J1290" s="10">
        <f>IF($BI1290="","",IF($B1290="Onsite",INDEX(tbl_Onsite[Tax Code],$BI1290),IF($B1290="Production",INDEX(tbl_Production[Tax Code],$BI1290),INDEX(tbl_Consulting[Tax Code],$BI1290)))&amp;"")</f>
        <v/>
      </c>
      <c r="K1290" s="10">
        <f>IF(H1290="","",IFERROR(INDEX(lst_CCtoGL,MATCH(H1290,lst_CCforGL,0)),""))</f>
        <v/>
      </c>
      <c r="L1290" s="10">
        <f>IF($BI1290="","",IF($B1290="Onsite",INDEX(tbl_Onsite[PO / Reference],$BI1290),IF($B1290="Production",INDEX(tbl_Production[Current RMS No],$BI1290),INDEX(tbl_Consulting[Qwilr Quote],$BI1290)))&amp;"")</f>
        <v/>
      </c>
      <c r="M1290" s="10">
        <f>IF($BI1290="","",IF($B1290="Onsite",INDEX(tbl_Onsite[Notes],$BI1290),IF($B1290="Production",INDEX(tbl_Production[Notes],$BI1290),INDEX(tbl_Consulting[Notes],$BI1290)))&amp;"")</f>
        <v/>
      </c>
      <c r="N1290" s="11">
        <f>IF($BI1290="","",IF(IF($B1290="Onsite",INDEX(tbl_Onsite[Expected Revenue Ex GST],$BI1290),IF($B1290="Production",INDEX(tbl_Production[Expected Revenue Ex GST],$BI1290),INDEX(tbl_Consulting[Expected Revenue Ex GST],$BI1290)))="","",IF($B1290="Onsite",INDEX(tbl_Onsite[Expected Revenue Ex GST],$BI1290),IF($B1290="Production",INDEX(tbl_Production[Expected Revenue Ex GST],$BI1290),INDEX(tbl_Consulting[Expected Revenue Ex GST],$BI1290)))))</f>
        <v/>
      </c>
      <c r="O1290" s="11">
        <f>IF(AND($C1290="",NOT(COUNTA($S1290:$BB1290)&gt;0)),"",SUM(U1290,X1290,AA1290,AD1290,AG1290,AJ1290,AM1290,AP1290,AS1290,AV1290,AY1290,BB1290))</f>
        <v/>
      </c>
      <c r="P1290" s="11">
        <f>IF(O1290="","",N(N1290)-O1290)</f>
        <v/>
      </c>
      <c r="Q1290" s="10">
        <f>IF(O1290="","",IF($C1290="","Invoice on empty job row",IF(N1290="",IF(ROUND(O1290,2)=0,"No dept value","Invoiced - no dept value"),IF(ROUND(O1290,2)=0,"Not invoiced - to invoice",IF(ROUND(P1290,2)=0,"Agrees",IF(P1290&gt;0,"Dept higher - to invoice","Xero higher - check dept"))))))</f>
        <v/>
      </c>
      <c r="R1290" s="10">
        <f>IF(AND($C1290="",NOT(COUNTA($S1290:$BB1290)&gt;0),$BI1290&lt;&gt;""),"",MID(IF($BI1290="","; Row ID not found on the department sheet - a row was deleted","")&amp;IF(AND($C1290="",COUNTA($S1290:$BB1290)&gt;0),"; Invoice entered but the department row has no job number","")&amp;IF(E1290="CHECK","; Job number not in the Xero job list","")&amp;IF(AND($C1290&lt;&gt;"",COUNTIF($C$7:$C$1506,$C1290)&gt;1),"; Job number on more than one row","")&amp;IF(AND($C1290&lt;&gt;"",H1290=""),"; Dept has not set a cost centre","")&amp;IF(AND($C1290&lt;&gt;"",J1290=""),"; Dept has not set a tax code","")&amp;IF(AND($C1290&lt;&gt;"",N1290=""),"; Dept has not entered an expected value","")&amp;IF((IF(OR(COUNTA(S1290:U1290)=0,AND(COUNTA(S1290:U1290)=3,ISNUMBER(U1290))),0,1)+IF(OR(COUNTA(V1290:X1290)=0,AND(COUNTA(V1290:X1290)=3,ISNUMBER(X1290))),0,1)+IF(OR(COUNTA(Y1290:AA1290)=0,AND(COUNTA(Y1290:AA1290)=3,ISNUMBER(AA1290))),0,1)+IF(OR(COUNTA(AB1290:AD1290)=0,AND(COUNTA(AB1290:AD1290)=3,ISNUMBER(AD1290))),0,1)+IF(OR(COUNTA(AE1290:AG1290)=0,AND(COUNTA(AE1290:AG1290)=3,ISNUMBER(AG1290))),0,1)+IF(OR(COUNTA(AH1290:AJ1290)=0,AND(COUNTA(AH1290:AJ1290)=3,ISNUMBER(AJ1290))),0,1)+IF(OR(COUNTA(AK1290:AM1290)=0,AND(COUNTA(AK1290:AM1290)=3,ISNUMBER(AM1290))),0,1)+IF(OR(COUNTA(AN1290:AP1290)=0,AND(COUNTA(AN1290:AP1290)=3,ISNUMBER(AP1290))),0,1)+IF(OR(COUNTA(AQ1290:AS1290)=0,AND(COUNTA(AQ1290:AS1290)=3,ISNUMBER(AS1290))),0,1)+IF(OR(COUNTA(AT1290:AV1290)=0,AND(COUNTA(AT1290:AV1290)=3,ISNUMBER(AV1290))),0,1)+IF(OR(COUNTA(AW1290:AY1290)=0,AND(COUNTA(AW1290:AY1290)=3,ISNUMBER(AY1290))),0,1)+IF(OR(COUNTA(AZ1290:BB1290)=0,AND(COUNTA(AZ1290:BB1290)=3,ISNUMBER(BB1290))),0,1))&gt;0,"; An invoice is incomplete (needs No, Date and a number in Ex GST)","")&amp;IF((IF(T1290="",0,IFERROR(--(EOMONTH(T1290,0)&lt;&gt;S$5),1))+IF(W1290="",0,IFERROR(--(EOMONTH(W1290,0)&lt;&gt;V$5),1))+IF(Z1290="",0,IFERROR(--(EOMONTH(Z1290,0)&lt;&gt;Y$5),1))+IF(AC1290="",0,IFERROR(--(EOMONTH(AC1290,0)&lt;&gt;AB$5),1))+IF(AF1290="",0,IFERROR(--(EOMONTH(AF1290,0)&lt;&gt;AE$5),1))+IF(AI1290="",0,IFERROR(--(EOMONTH(AI1290,0)&lt;&gt;AH$5),1))+IF(AL1290="",0,IFERROR(--(EOMONTH(AL1290,0)&lt;&gt;AK$5),1))+IF(AO1290="",0,IFERROR(--(EOMONTH(AO1290,0)&lt;&gt;AN$5),1))+IF(AR1290="",0,IFERROR(--(EOMONTH(AR1290,0)&lt;&gt;AQ$5),1))+IF(AU1290="",0,IFERROR(--(EOMONTH(AU1290,0)&lt;&gt;AT$5),1))+IF(AX1290="",0,IFERROR(--(EOMONTH(AX1290,0)&lt;&gt;AW$5),1))+IF(BA1290="",0,IFERROR(--(EOMONTH(BA1290,0)&lt;&gt;AZ$5),1)))&gt;0,"; An invoice date is not in the month it is typed under",""),3,500))</f>
        <v/>
      </c>
      <c r="S1290" s="12" t="n"/>
      <c r="T1290" s="13" t="n"/>
      <c r="U1290" s="14" t="n"/>
      <c r="V1290" s="12" t="n"/>
      <c r="W1290" s="13" t="n"/>
      <c r="X1290" s="14" t="n"/>
      <c r="Y1290" s="12" t="n"/>
      <c r="Z1290" s="13" t="n"/>
      <c r="AA1290" s="14" t="n"/>
      <c r="AB1290" s="12" t="n"/>
      <c r="AC1290" s="13" t="n"/>
      <c r="AD1290" s="14" t="n"/>
      <c r="AE1290" s="12" t="n"/>
      <c r="AF1290" s="13" t="n"/>
      <c r="AG1290" s="14" t="n"/>
      <c r="AH1290" s="12" t="n"/>
      <c r="AI1290" s="13" t="n"/>
      <c r="AJ1290" s="14" t="n"/>
      <c r="AK1290" s="12" t="n"/>
      <c r="AL1290" s="13" t="n"/>
      <c r="AM1290" s="14" t="n"/>
      <c r="AN1290" s="12" t="n"/>
      <c r="AO1290" s="13" t="n"/>
      <c r="AP1290" s="14" t="n"/>
      <c r="AQ1290" s="12" t="n"/>
      <c r="AR1290" s="13" t="n"/>
      <c r="AS1290" s="14" t="n"/>
      <c r="AT1290" s="12" t="n"/>
      <c r="AU1290" s="13" t="n"/>
      <c r="AV1290" s="14" t="n"/>
      <c r="AW1290" s="12" t="n"/>
      <c r="AX1290" s="13" t="n"/>
      <c r="AY1290" s="14" t="n"/>
      <c r="AZ1290" s="12" t="n"/>
      <c r="BA1290" s="13" t="n"/>
      <c r="BB1290" s="14" t="n"/>
      <c r="BC1290" s="11">
        <f>IF(O1290="","",IF(J1290="GST 10%",ROUND(O1290*set_GSTRate,2),0))</f>
        <v/>
      </c>
      <c r="BD1290" s="11">
        <f>IF(O1290="","",O1290+BC1290)</f>
        <v/>
      </c>
      <c r="BE1290" s="15">
        <f>IF(O1290="","",COUNTA(S1290,V1290,Y1290,AB1290,AE1290,AH1290,AK1290,AN1290,AQ1290,AT1290,AW1290,AZ1290))</f>
        <v/>
      </c>
      <c r="BF1290" s="16">
        <f>IF(COUNT(T1290,W1290,Z1290,AC1290,AF1290,AI1290,AL1290,AO1290,AR1290,AU1290,AX1290,BA1290)=0,"",MAX(T1290,W1290,Z1290,AC1290,AF1290,AI1290,AL1290,AO1290,AR1290,AU1290,AX1290,BA1290))</f>
        <v/>
      </c>
      <c r="BG1290" s="10">
        <f>MID(IF(S1290="","",", "&amp;S1290)&amp;IF(V1290="","",", "&amp;V1290)&amp;IF(Y1290="","",", "&amp;Y1290)&amp;IF(AB1290="","",", "&amp;AB1290)&amp;IF(AE1290="","",", "&amp;AE1290)&amp;IF(AH1290="","",", "&amp;AH1290)&amp;IF(AK1290="","",", "&amp;AK1290)&amp;IF(AN1290="","",", "&amp;AN1290)&amp;IF(AQ1290="","",", "&amp;AQ1290)&amp;IF(AT1290="","",", "&amp;AT1290)&amp;IF(AW1290="","",", "&amp;AW1290)&amp;IF(AZ1290="","",", "&amp;AZ1290),3,500)</f>
        <v/>
      </c>
      <c r="BH1290" s="12" t="n"/>
      <c r="BI1290" s="15">
        <f>IFERROR(MATCH($A1290,IF($B1290="Onsite",tbl_Onsite[Row ID],IF($B1290="Production",tbl_Production[Row ID],tbl_Consulting[Row ID])),0),"")</f>
        <v/>
      </c>
    </row>
    <row r="1291">
      <c r="A1291" s="10" t="inlineStr">
        <is>
          <t>CON-0285</t>
        </is>
      </c>
      <c r="B1291" s="10" t="inlineStr">
        <is>
          <t>Consulting</t>
        </is>
      </c>
      <c r="C1291" s="10">
        <f>IF($BI1291="","",IF($B1291="Onsite",INDEX(tbl_Onsite[Job Number],$BI1291),IF($B1291="Production",INDEX(tbl_Production[Job Number],$BI1291),INDEX(tbl_Consulting[Job Number],$BI1291)))&amp;"")</f>
        <v/>
      </c>
      <c r="D1291" s="10">
        <f>IF($BI1291="","",IF($B1291="Onsite",INDEX(tbl_Onsite[Client],$BI1291),IF($B1291="Production",INDEX(tbl_Production[Client],$BI1291),INDEX(tbl_Consulting[Client],$BI1291)))&amp;"")</f>
        <v/>
      </c>
      <c r="E1291" s="10">
        <f>IF($C1291="","",IF(COUNTIF(lst_Jobs,$C1291)&gt;0,"OK","CHECK"))</f>
        <v/>
      </c>
      <c r="F1291" s="10">
        <f>IF($C1291="","",IFERROR(INDEX(lst_JobName,MATCH($C1291,lst_Jobs,0)),""))</f>
        <v/>
      </c>
      <c r="G1291" s="10">
        <f>IF($BI1291="","",IF($B1291="Onsite",INDEX(tbl_Onsite[Job Description],$BI1291),IF($B1291="Production",INDEX(tbl_Production[Job Description],$BI1291),INDEX(tbl_Consulting[Job Description],$BI1291)))&amp;"")</f>
        <v/>
      </c>
      <c r="H1291" s="10">
        <f>IF($BI1291="","",IF($B1291="Onsite",INDEX(tbl_Onsite[Cost Centre],$BI1291),IF($B1291="Production",INDEX(tbl_Production[Cost Centre],$BI1291),INDEX(tbl_Consulting[Cost Centre],$BI1291)))&amp;"")</f>
        <v/>
      </c>
      <c r="I1291" s="10">
        <f>IF($BI1291="","",IF($B1291="Onsite",INDEX(tbl_Onsite[Invoice Type],$BI1291),IF($B1291="Production",INDEX(tbl_Production[Invoice Type],$BI1291),INDEX(tbl_Consulting[Invoice Type],$BI1291)))&amp;"")</f>
        <v/>
      </c>
      <c r="J1291" s="10">
        <f>IF($BI1291="","",IF($B1291="Onsite",INDEX(tbl_Onsite[Tax Code],$BI1291),IF($B1291="Production",INDEX(tbl_Production[Tax Code],$BI1291),INDEX(tbl_Consulting[Tax Code],$BI1291)))&amp;"")</f>
        <v/>
      </c>
      <c r="K1291" s="10">
        <f>IF(H1291="","",IFERROR(INDEX(lst_CCtoGL,MATCH(H1291,lst_CCforGL,0)),""))</f>
        <v/>
      </c>
      <c r="L1291" s="10">
        <f>IF($BI1291="","",IF($B1291="Onsite",INDEX(tbl_Onsite[PO / Reference],$BI1291),IF($B1291="Production",INDEX(tbl_Production[Current RMS No],$BI1291),INDEX(tbl_Consulting[Qwilr Quote],$BI1291)))&amp;"")</f>
        <v/>
      </c>
      <c r="M1291" s="10">
        <f>IF($BI1291="","",IF($B1291="Onsite",INDEX(tbl_Onsite[Notes],$BI1291),IF($B1291="Production",INDEX(tbl_Production[Notes],$BI1291),INDEX(tbl_Consulting[Notes],$BI1291)))&amp;"")</f>
        <v/>
      </c>
      <c r="N1291" s="11">
        <f>IF($BI1291="","",IF(IF($B1291="Onsite",INDEX(tbl_Onsite[Expected Revenue Ex GST],$BI1291),IF($B1291="Production",INDEX(tbl_Production[Expected Revenue Ex GST],$BI1291),INDEX(tbl_Consulting[Expected Revenue Ex GST],$BI1291)))="","",IF($B1291="Onsite",INDEX(tbl_Onsite[Expected Revenue Ex GST],$BI1291),IF($B1291="Production",INDEX(tbl_Production[Expected Revenue Ex GST],$BI1291),INDEX(tbl_Consulting[Expected Revenue Ex GST],$BI1291)))))</f>
        <v/>
      </c>
      <c r="O1291" s="11">
        <f>IF(AND($C1291="",NOT(COUNTA($S1291:$BB1291)&gt;0)),"",SUM(U1291,X1291,AA1291,AD1291,AG1291,AJ1291,AM1291,AP1291,AS1291,AV1291,AY1291,BB1291))</f>
        <v/>
      </c>
      <c r="P1291" s="11">
        <f>IF(O1291="","",N(N1291)-O1291)</f>
        <v/>
      </c>
      <c r="Q1291" s="10">
        <f>IF(O1291="","",IF($C1291="","Invoice on empty job row",IF(N1291="",IF(ROUND(O1291,2)=0,"No dept value","Invoiced - no dept value"),IF(ROUND(O1291,2)=0,"Not invoiced - to invoice",IF(ROUND(P1291,2)=0,"Agrees",IF(P1291&gt;0,"Dept higher - to invoice","Xero higher - check dept"))))))</f>
        <v/>
      </c>
      <c r="R1291" s="10">
        <f>IF(AND($C1291="",NOT(COUNTA($S1291:$BB1291)&gt;0),$BI1291&lt;&gt;""),"",MID(IF($BI1291="","; Row ID not found on the department sheet - a row was deleted","")&amp;IF(AND($C1291="",COUNTA($S1291:$BB1291)&gt;0),"; Invoice entered but the department row has no job number","")&amp;IF(E1291="CHECK","; Job number not in the Xero job list","")&amp;IF(AND($C1291&lt;&gt;"",COUNTIF($C$7:$C$1506,$C1291)&gt;1),"; Job number on more than one row","")&amp;IF(AND($C1291&lt;&gt;"",H1291=""),"; Dept has not set a cost centre","")&amp;IF(AND($C1291&lt;&gt;"",J1291=""),"; Dept has not set a tax code","")&amp;IF(AND($C1291&lt;&gt;"",N1291=""),"; Dept has not entered an expected value","")&amp;IF((IF(OR(COUNTA(S1291:U1291)=0,AND(COUNTA(S1291:U1291)=3,ISNUMBER(U1291))),0,1)+IF(OR(COUNTA(V1291:X1291)=0,AND(COUNTA(V1291:X1291)=3,ISNUMBER(X1291))),0,1)+IF(OR(COUNTA(Y1291:AA1291)=0,AND(COUNTA(Y1291:AA1291)=3,ISNUMBER(AA1291))),0,1)+IF(OR(COUNTA(AB1291:AD1291)=0,AND(COUNTA(AB1291:AD1291)=3,ISNUMBER(AD1291))),0,1)+IF(OR(COUNTA(AE1291:AG1291)=0,AND(COUNTA(AE1291:AG1291)=3,ISNUMBER(AG1291))),0,1)+IF(OR(COUNTA(AH1291:AJ1291)=0,AND(COUNTA(AH1291:AJ1291)=3,ISNUMBER(AJ1291))),0,1)+IF(OR(COUNTA(AK1291:AM1291)=0,AND(COUNTA(AK1291:AM1291)=3,ISNUMBER(AM1291))),0,1)+IF(OR(COUNTA(AN1291:AP1291)=0,AND(COUNTA(AN1291:AP1291)=3,ISNUMBER(AP1291))),0,1)+IF(OR(COUNTA(AQ1291:AS1291)=0,AND(COUNTA(AQ1291:AS1291)=3,ISNUMBER(AS1291))),0,1)+IF(OR(COUNTA(AT1291:AV1291)=0,AND(COUNTA(AT1291:AV1291)=3,ISNUMBER(AV1291))),0,1)+IF(OR(COUNTA(AW1291:AY1291)=0,AND(COUNTA(AW1291:AY1291)=3,ISNUMBER(AY1291))),0,1)+IF(OR(COUNTA(AZ1291:BB1291)=0,AND(COUNTA(AZ1291:BB1291)=3,ISNUMBER(BB1291))),0,1))&gt;0,"; An invoice is incomplete (needs No, Date and a number in Ex GST)","")&amp;IF((IF(T1291="",0,IFERROR(--(EOMONTH(T1291,0)&lt;&gt;S$5),1))+IF(W1291="",0,IFERROR(--(EOMONTH(W1291,0)&lt;&gt;V$5),1))+IF(Z1291="",0,IFERROR(--(EOMONTH(Z1291,0)&lt;&gt;Y$5),1))+IF(AC1291="",0,IFERROR(--(EOMONTH(AC1291,0)&lt;&gt;AB$5),1))+IF(AF1291="",0,IFERROR(--(EOMONTH(AF1291,0)&lt;&gt;AE$5),1))+IF(AI1291="",0,IFERROR(--(EOMONTH(AI1291,0)&lt;&gt;AH$5),1))+IF(AL1291="",0,IFERROR(--(EOMONTH(AL1291,0)&lt;&gt;AK$5),1))+IF(AO1291="",0,IFERROR(--(EOMONTH(AO1291,0)&lt;&gt;AN$5),1))+IF(AR1291="",0,IFERROR(--(EOMONTH(AR1291,0)&lt;&gt;AQ$5),1))+IF(AU1291="",0,IFERROR(--(EOMONTH(AU1291,0)&lt;&gt;AT$5),1))+IF(AX1291="",0,IFERROR(--(EOMONTH(AX1291,0)&lt;&gt;AW$5),1))+IF(BA1291="",0,IFERROR(--(EOMONTH(BA1291,0)&lt;&gt;AZ$5),1)))&gt;0,"; An invoice date is not in the month it is typed under",""),3,500))</f>
        <v/>
      </c>
      <c r="S1291" s="12" t="n"/>
      <c r="T1291" s="13" t="n"/>
      <c r="U1291" s="14" t="n"/>
      <c r="V1291" s="12" t="n"/>
      <c r="W1291" s="13" t="n"/>
      <c r="X1291" s="14" t="n"/>
      <c r="Y1291" s="12" t="n"/>
      <c r="Z1291" s="13" t="n"/>
      <c r="AA1291" s="14" t="n"/>
      <c r="AB1291" s="12" t="n"/>
      <c r="AC1291" s="13" t="n"/>
      <c r="AD1291" s="14" t="n"/>
      <c r="AE1291" s="12" t="n"/>
      <c r="AF1291" s="13" t="n"/>
      <c r="AG1291" s="14" t="n"/>
      <c r="AH1291" s="12" t="n"/>
      <c r="AI1291" s="13" t="n"/>
      <c r="AJ1291" s="14" t="n"/>
      <c r="AK1291" s="12" t="n"/>
      <c r="AL1291" s="13" t="n"/>
      <c r="AM1291" s="14" t="n"/>
      <c r="AN1291" s="12" t="n"/>
      <c r="AO1291" s="13" t="n"/>
      <c r="AP1291" s="14" t="n"/>
      <c r="AQ1291" s="12" t="n"/>
      <c r="AR1291" s="13" t="n"/>
      <c r="AS1291" s="14" t="n"/>
      <c r="AT1291" s="12" t="n"/>
      <c r="AU1291" s="13" t="n"/>
      <c r="AV1291" s="14" t="n"/>
      <c r="AW1291" s="12" t="n"/>
      <c r="AX1291" s="13" t="n"/>
      <c r="AY1291" s="14" t="n"/>
      <c r="AZ1291" s="12" t="n"/>
      <c r="BA1291" s="13" t="n"/>
      <c r="BB1291" s="14" t="n"/>
      <c r="BC1291" s="11">
        <f>IF(O1291="","",IF(J1291="GST 10%",ROUND(O1291*set_GSTRate,2),0))</f>
        <v/>
      </c>
      <c r="BD1291" s="11">
        <f>IF(O1291="","",O1291+BC1291)</f>
        <v/>
      </c>
      <c r="BE1291" s="15">
        <f>IF(O1291="","",COUNTA(S1291,V1291,Y1291,AB1291,AE1291,AH1291,AK1291,AN1291,AQ1291,AT1291,AW1291,AZ1291))</f>
        <v/>
      </c>
      <c r="BF1291" s="16">
        <f>IF(COUNT(T1291,W1291,Z1291,AC1291,AF1291,AI1291,AL1291,AO1291,AR1291,AU1291,AX1291,BA1291)=0,"",MAX(T1291,W1291,Z1291,AC1291,AF1291,AI1291,AL1291,AO1291,AR1291,AU1291,AX1291,BA1291))</f>
        <v/>
      </c>
      <c r="BG1291" s="10">
        <f>MID(IF(S1291="","",", "&amp;S1291)&amp;IF(V1291="","",", "&amp;V1291)&amp;IF(Y1291="","",", "&amp;Y1291)&amp;IF(AB1291="","",", "&amp;AB1291)&amp;IF(AE1291="","",", "&amp;AE1291)&amp;IF(AH1291="","",", "&amp;AH1291)&amp;IF(AK1291="","",", "&amp;AK1291)&amp;IF(AN1291="","",", "&amp;AN1291)&amp;IF(AQ1291="","",", "&amp;AQ1291)&amp;IF(AT1291="","",", "&amp;AT1291)&amp;IF(AW1291="","",", "&amp;AW1291)&amp;IF(AZ1291="","",", "&amp;AZ1291),3,500)</f>
        <v/>
      </c>
      <c r="BH1291" s="12" t="n"/>
      <c r="BI1291" s="15">
        <f>IFERROR(MATCH($A1291,IF($B1291="Onsite",tbl_Onsite[Row ID],IF($B1291="Production",tbl_Production[Row ID],tbl_Consulting[Row ID])),0),"")</f>
        <v/>
      </c>
    </row>
    <row r="1292">
      <c r="A1292" s="10" t="inlineStr">
        <is>
          <t>CON-0286</t>
        </is>
      </c>
      <c r="B1292" s="10" t="inlineStr">
        <is>
          <t>Consulting</t>
        </is>
      </c>
      <c r="C1292" s="10">
        <f>IF($BI1292="","",IF($B1292="Onsite",INDEX(tbl_Onsite[Job Number],$BI1292),IF($B1292="Production",INDEX(tbl_Production[Job Number],$BI1292),INDEX(tbl_Consulting[Job Number],$BI1292)))&amp;"")</f>
        <v/>
      </c>
      <c r="D1292" s="10">
        <f>IF($BI1292="","",IF($B1292="Onsite",INDEX(tbl_Onsite[Client],$BI1292),IF($B1292="Production",INDEX(tbl_Production[Client],$BI1292),INDEX(tbl_Consulting[Client],$BI1292)))&amp;"")</f>
        <v/>
      </c>
      <c r="E1292" s="10">
        <f>IF($C1292="","",IF(COUNTIF(lst_Jobs,$C1292)&gt;0,"OK","CHECK"))</f>
        <v/>
      </c>
      <c r="F1292" s="10">
        <f>IF($C1292="","",IFERROR(INDEX(lst_JobName,MATCH($C1292,lst_Jobs,0)),""))</f>
        <v/>
      </c>
      <c r="G1292" s="10">
        <f>IF($BI1292="","",IF($B1292="Onsite",INDEX(tbl_Onsite[Job Description],$BI1292),IF($B1292="Production",INDEX(tbl_Production[Job Description],$BI1292),INDEX(tbl_Consulting[Job Description],$BI1292)))&amp;"")</f>
        <v/>
      </c>
      <c r="H1292" s="10">
        <f>IF($BI1292="","",IF($B1292="Onsite",INDEX(tbl_Onsite[Cost Centre],$BI1292),IF($B1292="Production",INDEX(tbl_Production[Cost Centre],$BI1292),INDEX(tbl_Consulting[Cost Centre],$BI1292)))&amp;"")</f>
        <v/>
      </c>
      <c r="I1292" s="10">
        <f>IF($BI1292="","",IF($B1292="Onsite",INDEX(tbl_Onsite[Invoice Type],$BI1292),IF($B1292="Production",INDEX(tbl_Production[Invoice Type],$BI1292),INDEX(tbl_Consulting[Invoice Type],$BI1292)))&amp;"")</f>
        <v/>
      </c>
      <c r="J1292" s="10">
        <f>IF($BI1292="","",IF($B1292="Onsite",INDEX(tbl_Onsite[Tax Code],$BI1292),IF($B1292="Production",INDEX(tbl_Production[Tax Code],$BI1292),INDEX(tbl_Consulting[Tax Code],$BI1292)))&amp;"")</f>
        <v/>
      </c>
      <c r="K1292" s="10">
        <f>IF(H1292="","",IFERROR(INDEX(lst_CCtoGL,MATCH(H1292,lst_CCforGL,0)),""))</f>
        <v/>
      </c>
      <c r="L1292" s="10">
        <f>IF($BI1292="","",IF($B1292="Onsite",INDEX(tbl_Onsite[PO / Reference],$BI1292),IF($B1292="Production",INDEX(tbl_Production[Current RMS No],$BI1292),INDEX(tbl_Consulting[Qwilr Quote],$BI1292)))&amp;"")</f>
        <v/>
      </c>
      <c r="M1292" s="10">
        <f>IF($BI1292="","",IF($B1292="Onsite",INDEX(tbl_Onsite[Notes],$BI1292),IF($B1292="Production",INDEX(tbl_Production[Notes],$BI1292),INDEX(tbl_Consulting[Notes],$BI1292)))&amp;"")</f>
        <v/>
      </c>
      <c r="N1292" s="11">
        <f>IF($BI1292="","",IF(IF($B1292="Onsite",INDEX(tbl_Onsite[Expected Revenue Ex GST],$BI1292),IF($B1292="Production",INDEX(tbl_Production[Expected Revenue Ex GST],$BI1292),INDEX(tbl_Consulting[Expected Revenue Ex GST],$BI1292)))="","",IF($B1292="Onsite",INDEX(tbl_Onsite[Expected Revenue Ex GST],$BI1292),IF($B1292="Production",INDEX(tbl_Production[Expected Revenue Ex GST],$BI1292),INDEX(tbl_Consulting[Expected Revenue Ex GST],$BI1292)))))</f>
        <v/>
      </c>
      <c r="O1292" s="11">
        <f>IF(AND($C1292="",NOT(COUNTA($S1292:$BB1292)&gt;0)),"",SUM(U1292,X1292,AA1292,AD1292,AG1292,AJ1292,AM1292,AP1292,AS1292,AV1292,AY1292,BB1292))</f>
        <v/>
      </c>
      <c r="P1292" s="11">
        <f>IF(O1292="","",N(N1292)-O1292)</f>
        <v/>
      </c>
      <c r="Q1292" s="10">
        <f>IF(O1292="","",IF($C1292="","Invoice on empty job row",IF(N1292="",IF(ROUND(O1292,2)=0,"No dept value","Invoiced - no dept value"),IF(ROUND(O1292,2)=0,"Not invoiced - to invoice",IF(ROUND(P1292,2)=0,"Agrees",IF(P1292&gt;0,"Dept higher - to invoice","Xero higher - check dept"))))))</f>
        <v/>
      </c>
      <c r="R1292" s="10">
        <f>IF(AND($C1292="",NOT(COUNTA($S1292:$BB1292)&gt;0),$BI1292&lt;&gt;""),"",MID(IF($BI1292="","; Row ID not found on the department sheet - a row was deleted","")&amp;IF(AND($C1292="",COUNTA($S1292:$BB1292)&gt;0),"; Invoice entered but the department row has no job number","")&amp;IF(E1292="CHECK","; Job number not in the Xero job list","")&amp;IF(AND($C1292&lt;&gt;"",COUNTIF($C$7:$C$1506,$C1292)&gt;1),"; Job number on more than one row","")&amp;IF(AND($C1292&lt;&gt;"",H1292=""),"; Dept has not set a cost centre","")&amp;IF(AND($C1292&lt;&gt;"",J1292=""),"; Dept has not set a tax code","")&amp;IF(AND($C1292&lt;&gt;"",N1292=""),"; Dept has not entered an expected value","")&amp;IF((IF(OR(COUNTA(S1292:U1292)=0,AND(COUNTA(S1292:U1292)=3,ISNUMBER(U1292))),0,1)+IF(OR(COUNTA(V1292:X1292)=0,AND(COUNTA(V1292:X1292)=3,ISNUMBER(X1292))),0,1)+IF(OR(COUNTA(Y1292:AA1292)=0,AND(COUNTA(Y1292:AA1292)=3,ISNUMBER(AA1292))),0,1)+IF(OR(COUNTA(AB1292:AD1292)=0,AND(COUNTA(AB1292:AD1292)=3,ISNUMBER(AD1292))),0,1)+IF(OR(COUNTA(AE1292:AG1292)=0,AND(COUNTA(AE1292:AG1292)=3,ISNUMBER(AG1292))),0,1)+IF(OR(COUNTA(AH1292:AJ1292)=0,AND(COUNTA(AH1292:AJ1292)=3,ISNUMBER(AJ1292))),0,1)+IF(OR(COUNTA(AK1292:AM1292)=0,AND(COUNTA(AK1292:AM1292)=3,ISNUMBER(AM1292))),0,1)+IF(OR(COUNTA(AN1292:AP1292)=0,AND(COUNTA(AN1292:AP1292)=3,ISNUMBER(AP1292))),0,1)+IF(OR(COUNTA(AQ1292:AS1292)=0,AND(COUNTA(AQ1292:AS1292)=3,ISNUMBER(AS1292))),0,1)+IF(OR(COUNTA(AT1292:AV1292)=0,AND(COUNTA(AT1292:AV1292)=3,ISNUMBER(AV1292))),0,1)+IF(OR(COUNTA(AW1292:AY1292)=0,AND(COUNTA(AW1292:AY1292)=3,ISNUMBER(AY1292))),0,1)+IF(OR(COUNTA(AZ1292:BB1292)=0,AND(COUNTA(AZ1292:BB1292)=3,ISNUMBER(BB1292))),0,1))&gt;0,"; An invoice is incomplete (needs No, Date and a number in Ex GST)","")&amp;IF((IF(T1292="",0,IFERROR(--(EOMONTH(T1292,0)&lt;&gt;S$5),1))+IF(W1292="",0,IFERROR(--(EOMONTH(W1292,0)&lt;&gt;V$5),1))+IF(Z1292="",0,IFERROR(--(EOMONTH(Z1292,0)&lt;&gt;Y$5),1))+IF(AC1292="",0,IFERROR(--(EOMONTH(AC1292,0)&lt;&gt;AB$5),1))+IF(AF1292="",0,IFERROR(--(EOMONTH(AF1292,0)&lt;&gt;AE$5),1))+IF(AI1292="",0,IFERROR(--(EOMONTH(AI1292,0)&lt;&gt;AH$5),1))+IF(AL1292="",0,IFERROR(--(EOMONTH(AL1292,0)&lt;&gt;AK$5),1))+IF(AO1292="",0,IFERROR(--(EOMONTH(AO1292,0)&lt;&gt;AN$5),1))+IF(AR1292="",0,IFERROR(--(EOMONTH(AR1292,0)&lt;&gt;AQ$5),1))+IF(AU1292="",0,IFERROR(--(EOMONTH(AU1292,0)&lt;&gt;AT$5),1))+IF(AX1292="",0,IFERROR(--(EOMONTH(AX1292,0)&lt;&gt;AW$5),1))+IF(BA1292="",0,IFERROR(--(EOMONTH(BA1292,0)&lt;&gt;AZ$5),1)))&gt;0,"; An invoice date is not in the month it is typed under",""),3,500))</f>
        <v/>
      </c>
      <c r="S1292" s="12" t="n"/>
      <c r="T1292" s="13" t="n"/>
      <c r="U1292" s="14" t="n"/>
      <c r="V1292" s="12" t="n"/>
      <c r="W1292" s="13" t="n"/>
      <c r="X1292" s="14" t="n"/>
      <c r="Y1292" s="12" t="n"/>
      <c r="Z1292" s="13" t="n"/>
      <c r="AA1292" s="14" t="n"/>
      <c r="AB1292" s="12" t="n"/>
      <c r="AC1292" s="13" t="n"/>
      <c r="AD1292" s="14" t="n"/>
      <c r="AE1292" s="12" t="n"/>
      <c r="AF1292" s="13" t="n"/>
      <c r="AG1292" s="14" t="n"/>
      <c r="AH1292" s="12" t="n"/>
      <c r="AI1292" s="13" t="n"/>
      <c r="AJ1292" s="14" t="n"/>
      <c r="AK1292" s="12" t="n"/>
      <c r="AL1292" s="13" t="n"/>
      <c r="AM1292" s="14" t="n"/>
      <c r="AN1292" s="12" t="n"/>
      <c r="AO1292" s="13" t="n"/>
      <c r="AP1292" s="14" t="n"/>
      <c r="AQ1292" s="12" t="n"/>
      <c r="AR1292" s="13" t="n"/>
      <c r="AS1292" s="14" t="n"/>
      <c r="AT1292" s="12" t="n"/>
      <c r="AU1292" s="13" t="n"/>
      <c r="AV1292" s="14" t="n"/>
      <c r="AW1292" s="12" t="n"/>
      <c r="AX1292" s="13" t="n"/>
      <c r="AY1292" s="14" t="n"/>
      <c r="AZ1292" s="12" t="n"/>
      <c r="BA1292" s="13" t="n"/>
      <c r="BB1292" s="14" t="n"/>
      <c r="BC1292" s="11">
        <f>IF(O1292="","",IF(J1292="GST 10%",ROUND(O1292*set_GSTRate,2),0))</f>
        <v/>
      </c>
      <c r="BD1292" s="11">
        <f>IF(O1292="","",O1292+BC1292)</f>
        <v/>
      </c>
      <c r="BE1292" s="15">
        <f>IF(O1292="","",COUNTA(S1292,V1292,Y1292,AB1292,AE1292,AH1292,AK1292,AN1292,AQ1292,AT1292,AW1292,AZ1292))</f>
        <v/>
      </c>
      <c r="BF1292" s="16">
        <f>IF(COUNT(T1292,W1292,Z1292,AC1292,AF1292,AI1292,AL1292,AO1292,AR1292,AU1292,AX1292,BA1292)=0,"",MAX(T1292,W1292,Z1292,AC1292,AF1292,AI1292,AL1292,AO1292,AR1292,AU1292,AX1292,BA1292))</f>
        <v/>
      </c>
      <c r="BG1292" s="10">
        <f>MID(IF(S1292="","",", "&amp;S1292)&amp;IF(V1292="","",", "&amp;V1292)&amp;IF(Y1292="","",", "&amp;Y1292)&amp;IF(AB1292="","",", "&amp;AB1292)&amp;IF(AE1292="","",", "&amp;AE1292)&amp;IF(AH1292="","",", "&amp;AH1292)&amp;IF(AK1292="","",", "&amp;AK1292)&amp;IF(AN1292="","",", "&amp;AN1292)&amp;IF(AQ1292="","",", "&amp;AQ1292)&amp;IF(AT1292="","",", "&amp;AT1292)&amp;IF(AW1292="","",", "&amp;AW1292)&amp;IF(AZ1292="","",", "&amp;AZ1292),3,500)</f>
        <v/>
      </c>
      <c r="BH1292" s="12" t="n"/>
      <c r="BI1292" s="15">
        <f>IFERROR(MATCH($A1292,IF($B1292="Onsite",tbl_Onsite[Row ID],IF($B1292="Production",tbl_Production[Row ID],tbl_Consulting[Row ID])),0),"")</f>
        <v/>
      </c>
    </row>
    <row r="1293">
      <c r="A1293" s="10" t="inlineStr">
        <is>
          <t>CON-0287</t>
        </is>
      </c>
      <c r="B1293" s="10" t="inlineStr">
        <is>
          <t>Consulting</t>
        </is>
      </c>
      <c r="C1293" s="10">
        <f>IF($BI1293="","",IF($B1293="Onsite",INDEX(tbl_Onsite[Job Number],$BI1293),IF($B1293="Production",INDEX(tbl_Production[Job Number],$BI1293),INDEX(tbl_Consulting[Job Number],$BI1293)))&amp;"")</f>
        <v/>
      </c>
      <c r="D1293" s="10">
        <f>IF($BI1293="","",IF($B1293="Onsite",INDEX(tbl_Onsite[Client],$BI1293),IF($B1293="Production",INDEX(tbl_Production[Client],$BI1293),INDEX(tbl_Consulting[Client],$BI1293)))&amp;"")</f>
        <v/>
      </c>
      <c r="E1293" s="10">
        <f>IF($C1293="","",IF(COUNTIF(lst_Jobs,$C1293)&gt;0,"OK","CHECK"))</f>
        <v/>
      </c>
      <c r="F1293" s="10">
        <f>IF($C1293="","",IFERROR(INDEX(lst_JobName,MATCH($C1293,lst_Jobs,0)),""))</f>
        <v/>
      </c>
      <c r="G1293" s="10">
        <f>IF($BI1293="","",IF($B1293="Onsite",INDEX(tbl_Onsite[Job Description],$BI1293),IF($B1293="Production",INDEX(tbl_Production[Job Description],$BI1293),INDEX(tbl_Consulting[Job Description],$BI1293)))&amp;"")</f>
        <v/>
      </c>
      <c r="H1293" s="10">
        <f>IF($BI1293="","",IF($B1293="Onsite",INDEX(tbl_Onsite[Cost Centre],$BI1293),IF($B1293="Production",INDEX(tbl_Production[Cost Centre],$BI1293),INDEX(tbl_Consulting[Cost Centre],$BI1293)))&amp;"")</f>
        <v/>
      </c>
      <c r="I1293" s="10">
        <f>IF($BI1293="","",IF($B1293="Onsite",INDEX(tbl_Onsite[Invoice Type],$BI1293),IF($B1293="Production",INDEX(tbl_Production[Invoice Type],$BI1293),INDEX(tbl_Consulting[Invoice Type],$BI1293)))&amp;"")</f>
        <v/>
      </c>
      <c r="J1293" s="10">
        <f>IF($BI1293="","",IF($B1293="Onsite",INDEX(tbl_Onsite[Tax Code],$BI1293),IF($B1293="Production",INDEX(tbl_Production[Tax Code],$BI1293),INDEX(tbl_Consulting[Tax Code],$BI1293)))&amp;"")</f>
        <v/>
      </c>
      <c r="K1293" s="10">
        <f>IF(H1293="","",IFERROR(INDEX(lst_CCtoGL,MATCH(H1293,lst_CCforGL,0)),""))</f>
        <v/>
      </c>
      <c r="L1293" s="10">
        <f>IF($BI1293="","",IF($B1293="Onsite",INDEX(tbl_Onsite[PO / Reference],$BI1293),IF($B1293="Production",INDEX(tbl_Production[Current RMS No],$BI1293),INDEX(tbl_Consulting[Qwilr Quote],$BI1293)))&amp;"")</f>
        <v/>
      </c>
      <c r="M1293" s="10">
        <f>IF($BI1293="","",IF($B1293="Onsite",INDEX(tbl_Onsite[Notes],$BI1293),IF($B1293="Production",INDEX(tbl_Production[Notes],$BI1293),INDEX(tbl_Consulting[Notes],$BI1293)))&amp;"")</f>
        <v/>
      </c>
      <c r="N1293" s="11">
        <f>IF($BI1293="","",IF(IF($B1293="Onsite",INDEX(tbl_Onsite[Expected Revenue Ex GST],$BI1293),IF($B1293="Production",INDEX(tbl_Production[Expected Revenue Ex GST],$BI1293),INDEX(tbl_Consulting[Expected Revenue Ex GST],$BI1293)))="","",IF($B1293="Onsite",INDEX(tbl_Onsite[Expected Revenue Ex GST],$BI1293),IF($B1293="Production",INDEX(tbl_Production[Expected Revenue Ex GST],$BI1293),INDEX(tbl_Consulting[Expected Revenue Ex GST],$BI1293)))))</f>
        <v/>
      </c>
      <c r="O1293" s="11">
        <f>IF(AND($C1293="",NOT(COUNTA($S1293:$BB1293)&gt;0)),"",SUM(U1293,X1293,AA1293,AD1293,AG1293,AJ1293,AM1293,AP1293,AS1293,AV1293,AY1293,BB1293))</f>
        <v/>
      </c>
      <c r="P1293" s="11">
        <f>IF(O1293="","",N(N1293)-O1293)</f>
        <v/>
      </c>
      <c r="Q1293" s="10">
        <f>IF(O1293="","",IF($C1293="","Invoice on empty job row",IF(N1293="",IF(ROUND(O1293,2)=0,"No dept value","Invoiced - no dept value"),IF(ROUND(O1293,2)=0,"Not invoiced - to invoice",IF(ROUND(P1293,2)=0,"Agrees",IF(P1293&gt;0,"Dept higher - to invoice","Xero higher - check dept"))))))</f>
        <v/>
      </c>
      <c r="R1293" s="10">
        <f>IF(AND($C1293="",NOT(COUNTA($S1293:$BB1293)&gt;0),$BI1293&lt;&gt;""),"",MID(IF($BI1293="","; Row ID not found on the department sheet - a row was deleted","")&amp;IF(AND($C1293="",COUNTA($S1293:$BB1293)&gt;0),"; Invoice entered but the department row has no job number","")&amp;IF(E1293="CHECK","; Job number not in the Xero job list","")&amp;IF(AND($C1293&lt;&gt;"",COUNTIF($C$7:$C$1506,$C1293)&gt;1),"; Job number on more than one row","")&amp;IF(AND($C1293&lt;&gt;"",H1293=""),"; Dept has not set a cost centre","")&amp;IF(AND($C1293&lt;&gt;"",J1293=""),"; Dept has not set a tax code","")&amp;IF(AND($C1293&lt;&gt;"",N1293=""),"; Dept has not entered an expected value","")&amp;IF((IF(OR(COUNTA(S1293:U1293)=0,AND(COUNTA(S1293:U1293)=3,ISNUMBER(U1293))),0,1)+IF(OR(COUNTA(V1293:X1293)=0,AND(COUNTA(V1293:X1293)=3,ISNUMBER(X1293))),0,1)+IF(OR(COUNTA(Y1293:AA1293)=0,AND(COUNTA(Y1293:AA1293)=3,ISNUMBER(AA1293))),0,1)+IF(OR(COUNTA(AB1293:AD1293)=0,AND(COUNTA(AB1293:AD1293)=3,ISNUMBER(AD1293))),0,1)+IF(OR(COUNTA(AE1293:AG1293)=0,AND(COUNTA(AE1293:AG1293)=3,ISNUMBER(AG1293))),0,1)+IF(OR(COUNTA(AH1293:AJ1293)=0,AND(COUNTA(AH1293:AJ1293)=3,ISNUMBER(AJ1293))),0,1)+IF(OR(COUNTA(AK1293:AM1293)=0,AND(COUNTA(AK1293:AM1293)=3,ISNUMBER(AM1293))),0,1)+IF(OR(COUNTA(AN1293:AP1293)=0,AND(COUNTA(AN1293:AP1293)=3,ISNUMBER(AP1293))),0,1)+IF(OR(COUNTA(AQ1293:AS1293)=0,AND(COUNTA(AQ1293:AS1293)=3,ISNUMBER(AS1293))),0,1)+IF(OR(COUNTA(AT1293:AV1293)=0,AND(COUNTA(AT1293:AV1293)=3,ISNUMBER(AV1293))),0,1)+IF(OR(COUNTA(AW1293:AY1293)=0,AND(COUNTA(AW1293:AY1293)=3,ISNUMBER(AY1293))),0,1)+IF(OR(COUNTA(AZ1293:BB1293)=0,AND(COUNTA(AZ1293:BB1293)=3,ISNUMBER(BB1293))),0,1))&gt;0,"; An invoice is incomplete (needs No, Date and a number in Ex GST)","")&amp;IF((IF(T1293="",0,IFERROR(--(EOMONTH(T1293,0)&lt;&gt;S$5),1))+IF(W1293="",0,IFERROR(--(EOMONTH(W1293,0)&lt;&gt;V$5),1))+IF(Z1293="",0,IFERROR(--(EOMONTH(Z1293,0)&lt;&gt;Y$5),1))+IF(AC1293="",0,IFERROR(--(EOMONTH(AC1293,0)&lt;&gt;AB$5),1))+IF(AF1293="",0,IFERROR(--(EOMONTH(AF1293,0)&lt;&gt;AE$5),1))+IF(AI1293="",0,IFERROR(--(EOMONTH(AI1293,0)&lt;&gt;AH$5),1))+IF(AL1293="",0,IFERROR(--(EOMONTH(AL1293,0)&lt;&gt;AK$5),1))+IF(AO1293="",0,IFERROR(--(EOMONTH(AO1293,0)&lt;&gt;AN$5),1))+IF(AR1293="",0,IFERROR(--(EOMONTH(AR1293,0)&lt;&gt;AQ$5),1))+IF(AU1293="",0,IFERROR(--(EOMONTH(AU1293,0)&lt;&gt;AT$5),1))+IF(AX1293="",0,IFERROR(--(EOMONTH(AX1293,0)&lt;&gt;AW$5),1))+IF(BA1293="",0,IFERROR(--(EOMONTH(BA1293,0)&lt;&gt;AZ$5),1)))&gt;0,"; An invoice date is not in the month it is typed under",""),3,500))</f>
        <v/>
      </c>
      <c r="S1293" s="12" t="n"/>
      <c r="T1293" s="13" t="n"/>
      <c r="U1293" s="14" t="n"/>
      <c r="V1293" s="12" t="n"/>
      <c r="W1293" s="13" t="n"/>
      <c r="X1293" s="14" t="n"/>
      <c r="Y1293" s="12" t="n"/>
      <c r="Z1293" s="13" t="n"/>
      <c r="AA1293" s="14" t="n"/>
      <c r="AB1293" s="12" t="n"/>
      <c r="AC1293" s="13" t="n"/>
      <c r="AD1293" s="14" t="n"/>
      <c r="AE1293" s="12" t="n"/>
      <c r="AF1293" s="13" t="n"/>
      <c r="AG1293" s="14" t="n"/>
      <c r="AH1293" s="12" t="n"/>
      <c r="AI1293" s="13" t="n"/>
      <c r="AJ1293" s="14" t="n"/>
      <c r="AK1293" s="12" t="n"/>
      <c r="AL1293" s="13" t="n"/>
      <c r="AM1293" s="14" t="n"/>
      <c r="AN1293" s="12" t="n"/>
      <c r="AO1293" s="13" t="n"/>
      <c r="AP1293" s="14" t="n"/>
      <c r="AQ1293" s="12" t="n"/>
      <c r="AR1293" s="13" t="n"/>
      <c r="AS1293" s="14" t="n"/>
      <c r="AT1293" s="12" t="n"/>
      <c r="AU1293" s="13" t="n"/>
      <c r="AV1293" s="14" t="n"/>
      <c r="AW1293" s="12" t="n"/>
      <c r="AX1293" s="13" t="n"/>
      <c r="AY1293" s="14" t="n"/>
      <c r="AZ1293" s="12" t="n"/>
      <c r="BA1293" s="13" t="n"/>
      <c r="BB1293" s="14" t="n"/>
      <c r="BC1293" s="11">
        <f>IF(O1293="","",IF(J1293="GST 10%",ROUND(O1293*set_GSTRate,2),0))</f>
        <v/>
      </c>
      <c r="BD1293" s="11">
        <f>IF(O1293="","",O1293+BC1293)</f>
        <v/>
      </c>
      <c r="BE1293" s="15">
        <f>IF(O1293="","",COUNTA(S1293,V1293,Y1293,AB1293,AE1293,AH1293,AK1293,AN1293,AQ1293,AT1293,AW1293,AZ1293))</f>
        <v/>
      </c>
      <c r="BF1293" s="16">
        <f>IF(COUNT(T1293,W1293,Z1293,AC1293,AF1293,AI1293,AL1293,AO1293,AR1293,AU1293,AX1293,BA1293)=0,"",MAX(T1293,W1293,Z1293,AC1293,AF1293,AI1293,AL1293,AO1293,AR1293,AU1293,AX1293,BA1293))</f>
        <v/>
      </c>
      <c r="BG1293" s="10">
        <f>MID(IF(S1293="","",", "&amp;S1293)&amp;IF(V1293="","",", "&amp;V1293)&amp;IF(Y1293="","",", "&amp;Y1293)&amp;IF(AB1293="","",", "&amp;AB1293)&amp;IF(AE1293="","",", "&amp;AE1293)&amp;IF(AH1293="","",", "&amp;AH1293)&amp;IF(AK1293="","",", "&amp;AK1293)&amp;IF(AN1293="","",", "&amp;AN1293)&amp;IF(AQ1293="","",", "&amp;AQ1293)&amp;IF(AT1293="","",", "&amp;AT1293)&amp;IF(AW1293="","",", "&amp;AW1293)&amp;IF(AZ1293="","",", "&amp;AZ1293),3,500)</f>
        <v/>
      </c>
      <c r="BH1293" s="12" t="n"/>
      <c r="BI1293" s="15">
        <f>IFERROR(MATCH($A1293,IF($B1293="Onsite",tbl_Onsite[Row ID],IF($B1293="Production",tbl_Production[Row ID],tbl_Consulting[Row ID])),0),"")</f>
        <v/>
      </c>
    </row>
    <row r="1294">
      <c r="A1294" s="10" t="inlineStr">
        <is>
          <t>CON-0288</t>
        </is>
      </c>
      <c r="B1294" s="10" t="inlineStr">
        <is>
          <t>Consulting</t>
        </is>
      </c>
      <c r="C1294" s="10">
        <f>IF($BI1294="","",IF($B1294="Onsite",INDEX(tbl_Onsite[Job Number],$BI1294),IF($B1294="Production",INDEX(tbl_Production[Job Number],$BI1294),INDEX(tbl_Consulting[Job Number],$BI1294)))&amp;"")</f>
        <v/>
      </c>
      <c r="D1294" s="10">
        <f>IF($BI1294="","",IF($B1294="Onsite",INDEX(tbl_Onsite[Client],$BI1294),IF($B1294="Production",INDEX(tbl_Production[Client],$BI1294),INDEX(tbl_Consulting[Client],$BI1294)))&amp;"")</f>
        <v/>
      </c>
      <c r="E1294" s="10">
        <f>IF($C1294="","",IF(COUNTIF(lst_Jobs,$C1294)&gt;0,"OK","CHECK"))</f>
        <v/>
      </c>
      <c r="F1294" s="10">
        <f>IF($C1294="","",IFERROR(INDEX(lst_JobName,MATCH($C1294,lst_Jobs,0)),""))</f>
        <v/>
      </c>
      <c r="G1294" s="10">
        <f>IF($BI1294="","",IF($B1294="Onsite",INDEX(tbl_Onsite[Job Description],$BI1294),IF($B1294="Production",INDEX(tbl_Production[Job Description],$BI1294),INDEX(tbl_Consulting[Job Description],$BI1294)))&amp;"")</f>
        <v/>
      </c>
      <c r="H1294" s="10">
        <f>IF($BI1294="","",IF($B1294="Onsite",INDEX(tbl_Onsite[Cost Centre],$BI1294),IF($B1294="Production",INDEX(tbl_Production[Cost Centre],$BI1294),INDEX(tbl_Consulting[Cost Centre],$BI1294)))&amp;"")</f>
        <v/>
      </c>
      <c r="I1294" s="10">
        <f>IF($BI1294="","",IF($B1294="Onsite",INDEX(tbl_Onsite[Invoice Type],$BI1294),IF($B1294="Production",INDEX(tbl_Production[Invoice Type],$BI1294),INDEX(tbl_Consulting[Invoice Type],$BI1294)))&amp;"")</f>
        <v/>
      </c>
      <c r="J1294" s="10">
        <f>IF($BI1294="","",IF($B1294="Onsite",INDEX(tbl_Onsite[Tax Code],$BI1294),IF($B1294="Production",INDEX(tbl_Production[Tax Code],$BI1294),INDEX(tbl_Consulting[Tax Code],$BI1294)))&amp;"")</f>
        <v/>
      </c>
      <c r="K1294" s="10">
        <f>IF(H1294="","",IFERROR(INDEX(lst_CCtoGL,MATCH(H1294,lst_CCforGL,0)),""))</f>
        <v/>
      </c>
      <c r="L1294" s="10">
        <f>IF($BI1294="","",IF($B1294="Onsite",INDEX(tbl_Onsite[PO / Reference],$BI1294),IF($B1294="Production",INDEX(tbl_Production[Current RMS No],$BI1294),INDEX(tbl_Consulting[Qwilr Quote],$BI1294)))&amp;"")</f>
        <v/>
      </c>
      <c r="M1294" s="10">
        <f>IF($BI1294="","",IF($B1294="Onsite",INDEX(tbl_Onsite[Notes],$BI1294),IF($B1294="Production",INDEX(tbl_Production[Notes],$BI1294),INDEX(tbl_Consulting[Notes],$BI1294)))&amp;"")</f>
        <v/>
      </c>
      <c r="N1294" s="11">
        <f>IF($BI1294="","",IF(IF($B1294="Onsite",INDEX(tbl_Onsite[Expected Revenue Ex GST],$BI1294),IF($B1294="Production",INDEX(tbl_Production[Expected Revenue Ex GST],$BI1294),INDEX(tbl_Consulting[Expected Revenue Ex GST],$BI1294)))="","",IF($B1294="Onsite",INDEX(tbl_Onsite[Expected Revenue Ex GST],$BI1294),IF($B1294="Production",INDEX(tbl_Production[Expected Revenue Ex GST],$BI1294),INDEX(tbl_Consulting[Expected Revenue Ex GST],$BI1294)))))</f>
        <v/>
      </c>
      <c r="O1294" s="11">
        <f>IF(AND($C1294="",NOT(COUNTA($S1294:$BB1294)&gt;0)),"",SUM(U1294,X1294,AA1294,AD1294,AG1294,AJ1294,AM1294,AP1294,AS1294,AV1294,AY1294,BB1294))</f>
        <v/>
      </c>
      <c r="P1294" s="11">
        <f>IF(O1294="","",N(N1294)-O1294)</f>
        <v/>
      </c>
      <c r="Q1294" s="10">
        <f>IF(O1294="","",IF($C1294="","Invoice on empty job row",IF(N1294="",IF(ROUND(O1294,2)=0,"No dept value","Invoiced - no dept value"),IF(ROUND(O1294,2)=0,"Not invoiced - to invoice",IF(ROUND(P1294,2)=0,"Agrees",IF(P1294&gt;0,"Dept higher - to invoice","Xero higher - check dept"))))))</f>
        <v/>
      </c>
      <c r="R1294" s="10">
        <f>IF(AND($C1294="",NOT(COUNTA($S1294:$BB1294)&gt;0),$BI1294&lt;&gt;""),"",MID(IF($BI1294="","; Row ID not found on the department sheet - a row was deleted","")&amp;IF(AND($C1294="",COUNTA($S1294:$BB1294)&gt;0),"; Invoice entered but the department row has no job number","")&amp;IF(E1294="CHECK","; Job number not in the Xero job list","")&amp;IF(AND($C1294&lt;&gt;"",COUNTIF($C$7:$C$1506,$C1294)&gt;1),"; Job number on more than one row","")&amp;IF(AND($C1294&lt;&gt;"",H1294=""),"; Dept has not set a cost centre","")&amp;IF(AND($C1294&lt;&gt;"",J1294=""),"; Dept has not set a tax code","")&amp;IF(AND($C1294&lt;&gt;"",N1294=""),"; Dept has not entered an expected value","")&amp;IF((IF(OR(COUNTA(S1294:U1294)=0,AND(COUNTA(S1294:U1294)=3,ISNUMBER(U1294))),0,1)+IF(OR(COUNTA(V1294:X1294)=0,AND(COUNTA(V1294:X1294)=3,ISNUMBER(X1294))),0,1)+IF(OR(COUNTA(Y1294:AA1294)=0,AND(COUNTA(Y1294:AA1294)=3,ISNUMBER(AA1294))),0,1)+IF(OR(COUNTA(AB1294:AD1294)=0,AND(COUNTA(AB1294:AD1294)=3,ISNUMBER(AD1294))),0,1)+IF(OR(COUNTA(AE1294:AG1294)=0,AND(COUNTA(AE1294:AG1294)=3,ISNUMBER(AG1294))),0,1)+IF(OR(COUNTA(AH1294:AJ1294)=0,AND(COUNTA(AH1294:AJ1294)=3,ISNUMBER(AJ1294))),0,1)+IF(OR(COUNTA(AK1294:AM1294)=0,AND(COUNTA(AK1294:AM1294)=3,ISNUMBER(AM1294))),0,1)+IF(OR(COUNTA(AN1294:AP1294)=0,AND(COUNTA(AN1294:AP1294)=3,ISNUMBER(AP1294))),0,1)+IF(OR(COUNTA(AQ1294:AS1294)=0,AND(COUNTA(AQ1294:AS1294)=3,ISNUMBER(AS1294))),0,1)+IF(OR(COUNTA(AT1294:AV1294)=0,AND(COUNTA(AT1294:AV1294)=3,ISNUMBER(AV1294))),0,1)+IF(OR(COUNTA(AW1294:AY1294)=0,AND(COUNTA(AW1294:AY1294)=3,ISNUMBER(AY1294))),0,1)+IF(OR(COUNTA(AZ1294:BB1294)=0,AND(COUNTA(AZ1294:BB1294)=3,ISNUMBER(BB1294))),0,1))&gt;0,"; An invoice is incomplete (needs No, Date and a number in Ex GST)","")&amp;IF((IF(T1294="",0,IFERROR(--(EOMONTH(T1294,0)&lt;&gt;S$5),1))+IF(W1294="",0,IFERROR(--(EOMONTH(W1294,0)&lt;&gt;V$5),1))+IF(Z1294="",0,IFERROR(--(EOMONTH(Z1294,0)&lt;&gt;Y$5),1))+IF(AC1294="",0,IFERROR(--(EOMONTH(AC1294,0)&lt;&gt;AB$5),1))+IF(AF1294="",0,IFERROR(--(EOMONTH(AF1294,0)&lt;&gt;AE$5),1))+IF(AI1294="",0,IFERROR(--(EOMONTH(AI1294,0)&lt;&gt;AH$5),1))+IF(AL1294="",0,IFERROR(--(EOMONTH(AL1294,0)&lt;&gt;AK$5),1))+IF(AO1294="",0,IFERROR(--(EOMONTH(AO1294,0)&lt;&gt;AN$5),1))+IF(AR1294="",0,IFERROR(--(EOMONTH(AR1294,0)&lt;&gt;AQ$5),1))+IF(AU1294="",0,IFERROR(--(EOMONTH(AU1294,0)&lt;&gt;AT$5),1))+IF(AX1294="",0,IFERROR(--(EOMONTH(AX1294,0)&lt;&gt;AW$5),1))+IF(BA1294="",0,IFERROR(--(EOMONTH(BA1294,0)&lt;&gt;AZ$5),1)))&gt;0,"; An invoice date is not in the month it is typed under",""),3,500))</f>
        <v/>
      </c>
      <c r="S1294" s="12" t="n"/>
      <c r="T1294" s="13" t="n"/>
      <c r="U1294" s="14" t="n"/>
      <c r="V1294" s="12" t="n"/>
      <c r="W1294" s="13" t="n"/>
      <c r="X1294" s="14" t="n"/>
      <c r="Y1294" s="12" t="n"/>
      <c r="Z1294" s="13" t="n"/>
      <c r="AA1294" s="14" t="n"/>
      <c r="AB1294" s="12" t="n"/>
      <c r="AC1294" s="13" t="n"/>
      <c r="AD1294" s="14" t="n"/>
      <c r="AE1294" s="12" t="n"/>
      <c r="AF1294" s="13" t="n"/>
      <c r="AG1294" s="14" t="n"/>
      <c r="AH1294" s="12" t="n"/>
      <c r="AI1294" s="13" t="n"/>
      <c r="AJ1294" s="14" t="n"/>
      <c r="AK1294" s="12" t="n"/>
      <c r="AL1294" s="13" t="n"/>
      <c r="AM1294" s="14" t="n"/>
      <c r="AN1294" s="12" t="n"/>
      <c r="AO1294" s="13" t="n"/>
      <c r="AP1294" s="14" t="n"/>
      <c r="AQ1294" s="12" t="n"/>
      <c r="AR1294" s="13" t="n"/>
      <c r="AS1294" s="14" t="n"/>
      <c r="AT1294" s="12" t="n"/>
      <c r="AU1294" s="13" t="n"/>
      <c r="AV1294" s="14" t="n"/>
      <c r="AW1294" s="12" t="n"/>
      <c r="AX1294" s="13" t="n"/>
      <c r="AY1294" s="14" t="n"/>
      <c r="AZ1294" s="12" t="n"/>
      <c r="BA1294" s="13" t="n"/>
      <c r="BB1294" s="14" t="n"/>
      <c r="BC1294" s="11">
        <f>IF(O1294="","",IF(J1294="GST 10%",ROUND(O1294*set_GSTRate,2),0))</f>
        <v/>
      </c>
      <c r="BD1294" s="11">
        <f>IF(O1294="","",O1294+BC1294)</f>
        <v/>
      </c>
      <c r="BE1294" s="15">
        <f>IF(O1294="","",COUNTA(S1294,V1294,Y1294,AB1294,AE1294,AH1294,AK1294,AN1294,AQ1294,AT1294,AW1294,AZ1294))</f>
        <v/>
      </c>
      <c r="BF1294" s="16">
        <f>IF(COUNT(T1294,W1294,Z1294,AC1294,AF1294,AI1294,AL1294,AO1294,AR1294,AU1294,AX1294,BA1294)=0,"",MAX(T1294,W1294,Z1294,AC1294,AF1294,AI1294,AL1294,AO1294,AR1294,AU1294,AX1294,BA1294))</f>
        <v/>
      </c>
      <c r="BG1294" s="10">
        <f>MID(IF(S1294="","",", "&amp;S1294)&amp;IF(V1294="","",", "&amp;V1294)&amp;IF(Y1294="","",", "&amp;Y1294)&amp;IF(AB1294="","",", "&amp;AB1294)&amp;IF(AE1294="","",", "&amp;AE1294)&amp;IF(AH1294="","",", "&amp;AH1294)&amp;IF(AK1294="","",", "&amp;AK1294)&amp;IF(AN1294="","",", "&amp;AN1294)&amp;IF(AQ1294="","",", "&amp;AQ1294)&amp;IF(AT1294="","",", "&amp;AT1294)&amp;IF(AW1294="","",", "&amp;AW1294)&amp;IF(AZ1294="","",", "&amp;AZ1294),3,500)</f>
        <v/>
      </c>
      <c r="BH1294" s="12" t="n"/>
      <c r="BI1294" s="15">
        <f>IFERROR(MATCH($A1294,IF($B1294="Onsite",tbl_Onsite[Row ID],IF($B1294="Production",tbl_Production[Row ID],tbl_Consulting[Row ID])),0),"")</f>
        <v/>
      </c>
    </row>
    <row r="1295">
      <c r="A1295" s="10" t="inlineStr">
        <is>
          <t>CON-0289</t>
        </is>
      </c>
      <c r="B1295" s="10" t="inlineStr">
        <is>
          <t>Consulting</t>
        </is>
      </c>
      <c r="C1295" s="10">
        <f>IF($BI1295="","",IF($B1295="Onsite",INDEX(tbl_Onsite[Job Number],$BI1295),IF($B1295="Production",INDEX(tbl_Production[Job Number],$BI1295),INDEX(tbl_Consulting[Job Number],$BI1295)))&amp;"")</f>
        <v/>
      </c>
      <c r="D1295" s="10">
        <f>IF($BI1295="","",IF($B1295="Onsite",INDEX(tbl_Onsite[Client],$BI1295),IF($B1295="Production",INDEX(tbl_Production[Client],$BI1295),INDEX(tbl_Consulting[Client],$BI1295)))&amp;"")</f>
        <v/>
      </c>
      <c r="E1295" s="10">
        <f>IF($C1295="","",IF(COUNTIF(lst_Jobs,$C1295)&gt;0,"OK","CHECK"))</f>
        <v/>
      </c>
      <c r="F1295" s="10">
        <f>IF($C1295="","",IFERROR(INDEX(lst_JobName,MATCH($C1295,lst_Jobs,0)),""))</f>
        <v/>
      </c>
      <c r="G1295" s="10">
        <f>IF($BI1295="","",IF($B1295="Onsite",INDEX(tbl_Onsite[Job Description],$BI1295),IF($B1295="Production",INDEX(tbl_Production[Job Description],$BI1295),INDEX(tbl_Consulting[Job Description],$BI1295)))&amp;"")</f>
        <v/>
      </c>
      <c r="H1295" s="10">
        <f>IF($BI1295="","",IF($B1295="Onsite",INDEX(tbl_Onsite[Cost Centre],$BI1295),IF($B1295="Production",INDEX(tbl_Production[Cost Centre],$BI1295),INDEX(tbl_Consulting[Cost Centre],$BI1295)))&amp;"")</f>
        <v/>
      </c>
      <c r="I1295" s="10">
        <f>IF($BI1295="","",IF($B1295="Onsite",INDEX(tbl_Onsite[Invoice Type],$BI1295),IF($B1295="Production",INDEX(tbl_Production[Invoice Type],$BI1295),INDEX(tbl_Consulting[Invoice Type],$BI1295)))&amp;"")</f>
        <v/>
      </c>
      <c r="J1295" s="10">
        <f>IF($BI1295="","",IF($B1295="Onsite",INDEX(tbl_Onsite[Tax Code],$BI1295),IF($B1295="Production",INDEX(tbl_Production[Tax Code],$BI1295),INDEX(tbl_Consulting[Tax Code],$BI1295)))&amp;"")</f>
        <v/>
      </c>
      <c r="K1295" s="10">
        <f>IF(H1295="","",IFERROR(INDEX(lst_CCtoGL,MATCH(H1295,lst_CCforGL,0)),""))</f>
        <v/>
      </c>
      <c r="L1295" s="10">
        <f>IF($BI1295="","",IF($B1295="Onsite",INDEX(tbl_Onsite[PO / Reference],$BI1295),IF($B1295="Production",INDEX(tbl_Production[Current RMS No],$BI1295),INDEX(tbl_Consulting[Qwilr Quote],$BI1295)))&amp;"")</f>
        <v/>
      </c>
      <c r="M1295" s="10">
        <f>IF($BI1295="","",IF($B1295="Onsite",INDEX(tbl_Onsite[Notes],$BI1295),IF($B1295="Production",INDEX(tbl_Production[Notes],$BI1295),INDEX(tbl_Consulting[Notes],$BI1295)))&amp;"")</f>
        <v/>
      </c>
      <c r="N1295" s="11">
        <f>IF($BI1295="","",IF(IF($B1295="Onsite",INDEX(tbl_Onsite[Expected Revenue Ex GST],$BI1295),IF($B1295="Production",INDEX(tbl_Production[Expected Revenue Ex GST],$BI1295),INDEX(tbl_Consulting[Expected Revenue Ex GST],$BI1295)))="","",IF($B1295="Onsite",INDEX(tbl_Onsite[Expected Revenue Ex GST],$BI1295),IF($B1295="Production",INDEX(tbl_Production[Expected Revenue Ex GST],$BI1295),INDEX(tbl_Consulting[Expected Revenue Ex GST],$BI1295)))))</f>
        <v/>
      </c>
      <c r="O1295" s="11">
        <f>IF(AND($C1295="",NOT(COUNTA($S1295:$BB1295)&gt;0)),"",SUM(U1295,X1295,AA1295,AD1295,AG1295,AJ1295,AM1295,AP1295,AS1295,AV1295,AY1295,BB1295))</f>
        <v/>
      </c>
      <c r="P1295" s="11">
        <f>IF(O1295="","",N(N1295)-O1295)</f>
        <v/>
      </c>
      <c r="Q1295" s="10">
        <f>IF(O1295="","",IF($C1295="","Invoice on empty job row",IF(N1295="",IF(ROUND(O1295,2)=0,"No dept value","Invoiced - no dept value"),IF(ROUND(O1295,2)=0,"Not invoiced - to invoice",IF(ROUND(P1295,2)=0,"Agrees",IF(P1295&gt;0,"Dept higher - to invoice","Xero higher - check dept"))))))</f>
        <v/>
      </c>
      <c r="R1295" s="10">
        <f>IF(AND($C1295="",NOT(COUNTA($S1295:$BB1295)&gt;0),$BI1295&lt;&gt;""),"",MID(IF($BI1295="","; Row ID not found on the department sheet - a row was deleted","")&amp;IF(AND($C1295="",COUNTA($S1295:$BB1295)&gt;0),"; Invoice entered but the department row has no job number","")&amp;IF(E1295="CHECK","; Job number not in the Xero job list","")&amp;IF(AND($C1295&lt;&gt;"",COUNTIF($C$7:$C$1506,$C1295)&gt;1),"; Job number on more than one row","")&amp;IF(AND($C1295&lt;&gt;"",H1295=""),"; Dept has not set a cost centre","")&amp;IF(AND($C1295&lt;&gt;"",J1295=""),"; Dept has not set a tax code","")&amp;IF(AND($C1295&lt;&gt;"",N1295=""),"; Dept has not entered an expected value","")&amp;IF((IF(OR(COUNTA(S1295:U1295)=0,AND(COUNTA(S1295:U1295)=3,ISNUMBER(U1295))),0,1)+IF(OR(COUNTA(V1295:X1295)=0,AND(COUNTA(V1295:X1295)=3,ISNUMBER(X1295))),0,1)+IF(OR(COUNTA(Y1295:AA1295)=0,AND(COUNTA(Y1295:AA1295)=3,ISNUMBER(AA1295))),0,1)+IF(OR(COUNTA(AB1295:AD1295)=0,AND(COUNTA(AB1295:AD1295)=3,ISNUMBER(AD1295))),0,1)+IF(OR(COUNTA(AE1295:AG1295)=0,AND(COUNTA(AE1295:AG1295)=3,ISNUMBER(AG1295))),0,1)+IF(OR(COUNTA(AH1295:AJ1295)=0,AND(COUNTA(AH1295:AJ1295)=3,ISNUMBER(AJ1295))),0,1)+IF(OR(COUNTA(AK1295:AM1295)=0,AND(COUNTA(AK1295:AM1295)=3,ISNUMBER(AM1295))),0,1)+IF(OR(COUNTA(AN1295:AP1295)=0,AND(COUNTA(AN1295:AP1295)=3,ISNUMBER(AP1295))),0,1)+IF(OR(COUNTA(AQ1295:AS1295)=0,AND(COUNTA(AQ1295:AS1295)=3,ISNUMBER(AS1295))),0,1)+IF(OR(COUNTA(AT1295:AV1295)=0,AND(COUNTA(AT1295:AV1295)=3,ISNUMBER(AV1295))),0,1)+IF(OR(COUNTA(AW1295:AY1295)=0,AND(COUNTA(AW1295:AY1295)=3,ISNUMBER(AY1295))),0,1)+IF(OR(COUNTA(AZ1295:BB1295)=0,AND(COUNTA(AZ1295:BB1295)=3,ISNUMBER(BB1295))),0,1))&gt;0,"; An invoice is incomplete (needs No, Date and a number in Ex GST)","")&amp;IF((IF(T1295="",0,IFERROR(--(EOMONTH(T1295,0)&lt;&gt;S$5),1))+IF(W1295="",0,IFERROR(--(EOMONTH(W1295,0)&lt;&gt;V$5),1))+IF(Z1295="",0,IFERROR(--(EOMONTH(Z1295,0)&lt;&gt;Y$5),1))+IF(AC1295="",0,IFERROR(--(EOMONTH(AC1295,0)&lt;&gt;AB$5),1))+IF(AF1295="",0,IFERROR(--(EOMONTH(AF1295,0)&lt;&gt;AE$5),1))+IF(AI1295="",0,IFERROR(--(EOMONTH(AI1295,0)&lt;&gt;AH$5),1))+IF(AL1295="",0,IFERROR(--(EOMONTH(AL1295,0)&lt;&gt;AK$5),1))+IF(AO1295="",0,IFERROR(--(EOMONTH(AO1295,0)&lt;&gt;AN$5),1))+IF(AR1295="",0,IFERROR(--(EOMONTH(AR1295,0)&lt;&gt;AQ$5),1))+IF(AU1295="",0,IFERROR(--(EOMONTH(AU1295,0)&lt;&gt;AT$5),1))+IF(AX1295="",0,IFERROR(--(EOMONTH(AX1295,0)&lt;&gt;AW$5),1))+IF(BA1295="",0,IFERROR(--(EOMONTH(BA1295,0)&lt;&gt;AZ$5),1)))&gt;0,"; An invoice date is not in the month it is typed under",""),3,500))</f>
        <v/>
      </c>
      <c r="S1295" s="12" t="n"/>
      <c r="T1295" s="13" t="n"/>
      <c r="U1295" s="14" t="n"/>
      <c r="V1295" s="12" t="n"/>
      <c r="W1295" s="13" t="n"/>
      <c r="X1295" s="14" t="n"/>
      <c r="Y1295" s="12" t="n"/>
      <c r="Z1295" s="13" t="n"/>
      <c r="AA1295" s="14" t="n"/>
      <c r="AB1295" s="12" t="n"/>
      <c r="AC1295" s="13" t="n"/>
      <c r="AD1295" s="14" t="n"/>
      <c r="AE1295" s="12" t="n"/>
      <c r="AF1295" s="13" t="n"/>
      <c r="AG1295" s="14" t="n"/>
      <c r="AH1295" s="12" t="n"/>
      <c r="AI1295" s="13" t="n"/>
      <c r="AJ1295" s="14" t="n"/>
      <c r="AK1295" s="12" t="n"/>
      <c r="AL1295" s="13" t="n"/>
      <c r="AM1295" s="14" t="n"/>
      <c r="AN1295" s="12" t="n"/>
      <c r="AO1295" s="13" t="n"/>
      <c r="AP1295" s="14" t="n"/>
      <c r="AQ1295" s="12" t="n"/>
      <c r="AR1295" s="13" t="n"/>
      <c r="AS1295" s="14" t="n"/>
      <c r="AT1295" s="12" t="n"/>
      <c r="AU1295" s="13" t="n"/>
      <c r="AV1295" s="14" t="n"/>
      <c r="AW1295" s="12" t="n"/>
      <c r="AX1295" s="13" t="n"/>
      <c r="AY1295" s="14" t="n"/>
      <c r="AZ1295" s="12" t="n"/>
      <c r="BA1295" s="13" t="n"/>
      <c r="BB1295" s="14" t="n"/>
      <c r="BC1295" s="11">
        <f>IF(O1295="","",IF(J1295="GST 10%",ROUND(O1295*set_GSTRate,2),0))</f>
        <v/>
      </c>
      <c r="BD1295" s="11">
        <f>IF(O1295="","",O1295+BC1295)</f>
        <v/>
      </c>
      <c r="BE1295" s="15">
        <f>IF(O1295="","",COUNTA(S1295,V1295,Y1295,AB1295,AE1295,AH1295,AK1295,AN1295,AQ1295,AT1295,AW1295,AZ1295))</f>
        <v/>
      </c>
      <c r="BF1295" s="16">
        <f>IF(COUNT(T1295,W1295,Z1295,AC1295,AF1295,AI1295,AL1295,AO1295,AR1295,AU1295,AX1295,BA1295)=0,"",MAX(T1295,W1295,Z1295,AC1295,AF1295,AI1295,AL1295,AO1295,AR1295,AU1295,AX1295,BA1295))</f>
        <v/>
      </c>
      <c r="BG1295" s="10">
        <f>MID(IF(S1295="","",", "&amp;S1295)&amp;IF(V1295="","",", "&amp;V1295)&amp;IF(Y1295="","",", "&amp;Y1295)&amp;IF(AB1295="","",", "&amp;AB1295)&amp;IF(AE1295="","",", "&amp;AE1295)&amp;IF(AH1295="","",", "&amp;AH1295)&amp;IF(AK1295="","",", "&amp;AK1295)&amp;IF(AN1295="","",", "&amp;AN1295)&amp;IF(AQ1295="","",", "&amp;AQ1295)&amp;IF(AT1295="","",", "&amp;AT1295)&amp;IF(AW1295="","",", "&amp;AW1295)&amp;IF(AZ1295="","",", "&amp;AZ1295),3,500)</f>
        <v/>
      </c>
      <c r="BH1295" s="12" t="n"/>
      <c r="BI1295" s="15">
        <f>IFERROR(MATCH($A1295,IF($B1295="Onsite",tbl_Onsite[Row ID],IF($B1295="Production",tbl_Production[Row ID],tbl_Consulting[Row ID])),0),"")</f>
        <v/>
      </c>
    </row>
    <row r="1296">
      <c r="A1296" s="10" t="inlineStr">
        <is>
          <t>CON-0290</t>
        </is>
      </c>
      <c r="B1296" s="10" t="inlineStr">
        <is>
          <t>Consulting</t>
        </is>
      </c>
      <c r="C1296" s="10">
        <f>IF($BI1296="","",IF($B1296="Onsite",INDEX(tbl_Onsite[Job Number],$BI1296),IF($B1296="Production",INDEX(tbl_Production[Job Number],$BI1296),INDEX(tbl_Consulting[Job Number],$BI1296)))&amp;"")</f>
        <v/>
      </c>
      <c r="D1296" s="10">
        <f>IF($BI1296="","",IF($B1296="Onsite",INDEX(tbl_Onsite[Client],$BI1296),IF($B1296="Production",INDEX(tbl_Production[Client],$BI1296),INDEX(tbl_Consulting[Client],$BI1296)))&amp;"")</f>
        <v/>
      </c>
      <c r="E1296" s="10">
        <f>IF($C1296="","",IF(COUNTIF(lst_Jobs,$C1296)&gt;0,"OK","CHECK"))</f>
        <v/>
      </c>
      <c r="F1296" s="10">
        <f>IF($C1296="","",IFERROR(INDEX(lst_JobName,MATCH($C1296,lst_Jobs,0)),""))</f>
        <v/>
      </c>
      <c r="G1296" s="10">
        <f>IF($BI1296="","",IF($B1296="Onsite",INDEX(tbl_Onsite[Job Description],$BI1296),IF($B1296="Production",INDEX(tbl_Production[Job Description],$BI1296),INDEX(tbl_Consulting[Job Description],$BI1296)))&amp;"")</f>
        <v/>
      </c>
      <c r="H1296" s="10">
        <f>IF($BI1296="","",IF($B1296="Onsite",INDEX(tbl_Onsite[Cost Centre],$BI1296),IF($B1296="Production",INDEX(tbl_Production[Cost Centre],$BI1296),INDEX(tbl_Consulting[Cost Centre],$BI1296)))&amp;"")</f>
        <v/>
      </c>
      <c r="I1296" s="10">
        <f>IF($BI1296="","",IF($B1296="Onsite",INDEX(tbl_Onsite[Invoice Type],$BI1296),IF($B1296="Production",INDEX(tbl_Production[Invoice Type],$BI1296),INDEX(tbl_Consulting[Invoice Type],$BI1296)))&amp;"")</f>
        <v/>
      </c>
      <c r="J1296" s="10">
        <f>IF($BI1296="","",IF($B1296="Onsite",INDEX(tbl_Onsite[Tax Code],$BI1296),IF($B1296="Production",INDEX(tbl_Production[Tax Code],$BI1296),INDEX(tbl_Consulting[Tax Code],$BI1296)))&amp;"")</f>
        <v/>
      </c>
      <c r="K1296" s="10">
        <f>IF(H1296="","",IFERROR(INDEX(lst_CCtoGL,MATCH(H1296,lst_CCforGL,0)),""))</f>
        <v/>
      </c>
      <c r="L1296" s="10">
        <f>IF($BI1296="","",IF($B1296="Onsite",INDEX(tbl_Onsite[PO / Reference],$BI1296),IF($B1296="Production",INDEX(tbl_Production[Current RMS No],$BI1296),INDEX(tbl_Consulting[Qwilr Quote],$BI1296)))&amp;"")</f>
        <v/>
      </c>
      <c r="M1296" s="10">
        <f>IF($BI1296="","",IF($B1296="Onsite",INDEX(tbl_Onsite[Notes],$BI1296),IF($B1296="Production",INDEX(tbl_Production[Notes],$BI1296),INDEX(tbl_Consulting[Notes],$BI1296)))&amp;"")</f>
        <v/>
      </c>
      <c r="N1296" s="11">
        <f>IF($BI1296="","",IF(IF($B1296="Onsite",INDEX(tbl_Onsite[Expected Revenue Ex GST],$BI1296),IF($B1296="Production",INDEX(tbl_Production[Expected Revenue Ex GST],$BI1296),INDEX(tbl_Consulting[Expected Revenue Ex GST],$BI1296)))="","",IF($B1296="Onsite",INDEX(tbl_Onsite[Expected Revenue Ex GST],$BI1296),IF($B1296="Production",INDEX(tbl_Production[Expected Revenue Ex GST],$BI1296),INDEX(tbl_Consulting[Expected Revenue Ex GST],$BI1296)))))</f>
        <v/>
      </c>
      <c r="O1296" s="11">
        <f>IF(AND($C1296="",NOT(COUNTA($S1296:$BB1296)&gt;0)),"",SUM(U1296,X1296,AA1296,AD1296,AG1296,AJ1296,AM1296,AP1296,AS1296,AV1296,AY1296,BB1296))</f>
        <v/>
      </c>
      <c r="P1296" s="11">
        <f>IF(O1296="","",N(N1296)-O1296)</f>
        <v/>
      </c>
      <c r="Q1296" s="10">
        <f>IF(O1296="","",IF($C1296="","Invoice on empty job row",IF(N1296="",IF(ROUND(O1296,2)=0,"No dept value","Invoiced - no dept value"),IF(ROUND(O1296,2)=0,"Not invoiced - to invoice",IF(ROUND(P1296,2)=0,"Agrees",IF(P1296&gt;0,"Dept higher - to invoice","Xero higher - check dept"))))))</f>
        <v/>
      </c>
      <c r="R1296" s="10">
        <f>IF(AND($C1296="",NOT(COUNTA($S1296:$BB1296)&gt;0),$BI1296&lt;&gt;""),"",MID(IF($BI1296="","; Row ID not found on the department sheet - a row was deleted","")&amp;IF(AND($C1296="",COUNTA($S1296:$BB1296)&gt;0),"; Invoice entered but the department row has no job number","")&amp;IF(E1296="CHECK","; Job number not in the Xero job list","")&amp;IF(AND($C1296&lt;&gt;"",COUNTIF($C$7:$C$1506,$C1296)&gt;1),"; Job number on more than one row","")&amp;IF(AND($C1296&lt;&gt;"",H1296=""),"; Dept has not set a cost centre","")&amp;IF(AND($C1296&lt;&gt;"",J1296=""),"; Dept has not set a tax code","")&amp;IF(AND($C1296&lt;&gt;"",N1296=""),"; Dept has not entered an expected value","")&amp;IF((IF(OR(COUNTA(S1296:U1296)=0,AND(COUNTA(S1296:U1296)=3,ISNUMBER(U1296))),0,1)+IF(OR(COUNTA(V1296:X1296)=0,AND(COUNTA(V1296:X1296)=3,ISNUMBER(X1296))),0,1)+IF(OR(COUNTA(Y1296:AA1296)=0,AND(COUNTA(Y1296:AA1296)=3,ISNUMBER(AA1296))),0,1)+IF(OR(COUNTA(AB1296:AD1296)=0,AND(COUNTA(AB1296:AD1296)=3,ISNUMBER(AD1296))),0,1)+IF(OR(COUNTA(AE1296:AG1296)=0,AND(COUNTA(AE1296:AG1296)=3,ISNUMBER(AG1296))),0,1)+IF(OR(COUNTA(AH1296:AJ1296)=0,AND(COUNTA(AH1296:AJ1296)=3,ISNUMBER(AJ1296))),0,1)+IF(OR(COUNTA(AK1296:AM1296)=0,AND(COUNTA(AK1296:AM1296)=3,ISNUMBER(AM1296))),0,1)+IF(OR(COUNTA(AN1296:AP1296)=0,AND(COUNTA(AN1296:AP1296)=3,ISNUMBER(AP1296))),0,1)+IF(OR(COUNTA(AQ1296:AS1296)=0,AND(COUNTA(AQ1296:AS1296)=3,ISNUMBER(AS1296))),0,1)+IF(OR(COUNTA(AT1296:AV1296)=0,AND(COUNTA(AT1296:AV1296)=3,ISNUMBER(AV1296))),0,1)+IF(OR(COUNTA(AW1296:AY1296)=0,AND(COUNTA(AW1296:AY1296)=3,ISNUMBER(AY1296))),0,1)+IF(OR(COUNTA(AZ1296:BB1296)=0,AND(COUNTA(AZ1296:BB1296)=3,ISNUMBER(BB1296))),0,1))&gt;0,"; An invoice is incomplete (needs No, Date and a number in Ex GST)","")&amp;IF((IF(T1296="",0,IFERROR(--(EOMONTH(T1296,0)&lt;&gt;S$5),1))+IF(W1296="",0,IFERROR(--(EOMONTH(W1296,0)&lt;&gt;V$5),1))+IF(Z1296="",0,IFERROR(--(EOMONTH(Z1296,0)&lt;&gt;Y$5),1))+IF(AC1296="",0,IFERROR(--(EOMONTH(AC1296,0)&lt;&gt;AB$5),1))+IF(AF1296="",0,IFERROR(--(EOMONTH(AF1296,0)&lt;&gt;AE$5),1))+IF(AI1296="",0,IFERROR(--(EOMONTH(AI1296,0)&lt;&gt;AH$5),1))+IF(AL1296="",0,IFERROR(--(EOMONTH(AL1296,0)&lt;&gt;AK$5),1))+IF(AO1296="",0,IFERROR(--(EOMONTH(AO1296,0)&lt;&gt;AN$5),1))+IF(AR1296="",0,IFERROR(--(EOMONTH(AR1296,0)&lt;&gt;AQ$5),1))+IF(AU1296="",0,IFERROR(--(EOMONTH(AU1296,0)&lt;&gt;AT$5),1))+IF(AX1296="",0,IFERROR(--(EOMONTH(AX1296,0)&lt;&gt;AW$5),1))+IF(BA1296="",0,IFERROR(--(EOMONTH(BA1296,0)&lt;&gt;AZ$5),1)))&gt;0,"; An invoice date is not in the month it is typed under",""),3,500))</f>
        <v/>
      </c>
      <c r="S1296" s="12" t="n"/>
      <c r="T1296" s="13" t="n"/>
      <c r="U1296" s="14" t="n"/>
      <c r="V1296" s="12" t="n"/>
      <c r="W1296" s="13" t="n"/>
      <c r="X1296" s="14" t="n"/>
      <c r="Y1296" s="12" t="n"/>
      <c r="Z1296" s="13" t="n"/>
      <c r="AA1296" s="14" t="n"/>
      <c r="AB1296" s="12" t="n"/>
      <c r="AC1296" s="13" t="n"/>
      <c r="AD1296" s="14" t="n"/>
      <c r="AE1296" s="12" t="n"/>
      <c r="AF1296" s="13" t="n"/>
      <c r="AG1296" s="14" t="n"/>
      <c r="AH1296" s="12" t="n"/>
      <c r="AI1296" s="13" t="n"/>
      <c r="AJ1296" s="14" t="n"/>
      <c r="AK1296" s="12" t="n"/>
      <c r="AL1296" s="13" t="n"/>
      <c r="AM1296" s="14" t="n"/>
      <c r="AN1296" s="12" t="n"/>
      <c r="AO1296" s="13" t="n"/>
      <c r="AP1296" s="14" t="n"/>
      <c r="AQ1296" s="12" t="n"/>
      <c r="AR1296" s="13" t="n"/>
      <c r="AS1296" s="14" t="n"/>
      <c r="AT1296" s="12" t="n"/>
      <c r="AU1296" s="13" t="n"/>
      <c r="AV1296" s="14" t="n"/>
      <c r="AW1296" s="12" t="n"/>
      <c r="AX1296" s="13" t="n"/>
      <c r="AY1296" s="14" t="n"/>
      <c r="AZ1296" s="12" t="n"/>
      <c r="BA1296" s="13" t="n"/>
      <c r="BB1296" s="14" t="n"/>
      <c r="BC1296" s="11">
        <f>IF(O1296="","",IF(J1296="GST 10%",ROUND(O1296*set_GSTRate,2),0))</f>
        <v/>
      </c>
      <c r="BD1296" s="11">
        <f>IF(O1296="","",O1296+BC1296)</f>
        <v/>
      </c>
      <c r="BE1296" s="15">
        <f>IF(O1296="","",COUNTA(S1296,V1296,Y1296,AB1296,AE1296,AH1296,AK1296,AN1296,AQ1296,AT1296,AW1296,AZ1296))</f>
        <v/>
      </c>
      <c r="BF1296" s="16">
        <f>IF(COUNT(T1296,W1296,Z1296,AC1296,AF1296,AI1296,AL1296,AO1296,AR1296,AU1296,AX1296,BA1296)=0,"",MAX(T1296,W1296,Z1296,AC1296,AF1296,AI1296,AL1296,AO1296,AR1296,AU1296,AX1296,BA1296))</f>
        <v/>
      </c>
      <c r="BG1296" s="10">
        <f>MID(IF(S1296="","",", "&amp;S1296)&amp;IF(V1296="","",", "&amp;V1296)&amp;IF(Y1296="","",", "&amp;Y1296)&amp;IF(AB1296="","",", "&amp;AB1296)&amp;IF(AE1296="","",", "&amp;AE1296)&amp;IF(AH1296="","",", "&amp;AH1296)&amp;IF(AK1296="","",", "&amp;AK1296)&amp;IF(AN1296="","",", "&amp;AN1296)&amp;IF(AQ1296="","",", "&amp;AQ1296)&amp;IF(AT1296="","",", "&amp;AT1296)&amp;IF(AW1296="","",", "&amp;AW1296)&amp;IF(AZ1296="","",", "&amp;AZ1296),3,500)</f>
        <v/>
      </c>
      <c r="BH1296" s="12" t="n"/>
      <c r="BI1296" s="15">
        <f>IFERROR(MATCH($A1296,IF($B1296="Onsite",tbl_Onsite[Row ID],IF($B1296="Production",tbl_Production[Row ID],tbl_Consulting[Row ID])),0),"")</f>
        <v/>
      </c>
    </row>
    <row r="1297">
      <c r="A1297" s="10" t="inlineStr">
        <is>
          <t>CON-0291</t>
        </is>
      </c>
      <c r="B1297" s="10" t="inlineStr">
        <is>
          <t>Consulting</t>
        </is>
      </c>
      <c r="C1297" s="10">
        <f>IF($BI1297="","",IF($B1297="Onsite",INDEX(tbl_Onsite[Job Number],$BI1297),IF($B1297="Production",INDEX(tbl_Production[Job Number],$BI1297),INDEX(tbl_Consulting[Job Number],$BI1297)))&amp;"")</f>
        <v/>
      </c>
      <c r="D1297" s="10">
        <f>IF($BI1297="","",IF($B1297="Onsite",INDEX(tbl_Onsite[Client],$BI1297),IF($B1297="Production",INDEX(tbl_Production[Client],$BI1297),INDEX(tbl_Consulting[Client],$BI1297)))&amp;"")</f>
        <v/>
      </c>
      <c r="E1297" s="10">
        <f>IF($C1297="","",IF(COUNTIF(lst_Jobs,$C1297)&gt;0,"OK","CHECK"))</f>
        <v/>
      </c>
      <c r="F1297" s="10">
        <f>IF($C1297="","",IFERROR(INDEX(lst_JobName,MATCH($C1297,lst_Jobs,0)),""))</f>
        <v/>
      </c>
      <c r="G1297" s="10">
        <f>IF($BI1297="","",IF($B1297="Onsite",INDEX(tbl_Onsite[Job Description],$BI1297),IF($B1297="Production",INDEX(tbl_Production[Job Description],$BI1297),INDEX(tbl_Consulting[Job Description],$BI1297)))&amp;"")</f>
        <v/>
      </c>
      <c r="H1297" s="10">
        <f>IF($BI1297="","",IF($B1297="Onsite",INDEX(tbl_Onsite[Cost Centre],$BI1297),IF($B1297="Production",INDEX(tbl_Production[Cost Centre],$BI1297),INDEX(tbl_Consulting[Cost Centre],$BI1297)))&amp;"")</f>
        <v/>
      </c>
      <c r="I1297" s="10">
        <f>IF($BI1297="","",IF($B1297="Onsite",INDEX(tbl_Onsite[Invoice Type],$BI1297),IF($B1297="Production",INDEX(tbl_Production[Invoice Type],$BI1297),INDEX(tbl_Consulting[Invoice Type],$BI1297)))&amp;"")</f>
        <v/>
      </c>
      <c r="J1297" s="10">
        <f>IF($BI1297="","",IF($B1297="Onsite",INDEX(tbl_Onsite[Tax Code],$BI1297),IF($B1297="Production",INDEX(tbl_Production[Tax Code],$BI1297),INDEX(tbl_Consulting[Tax Code],$BI1297)))&amp;"")</f>
        <v/>
      </c>
      <c r="K1297" s="10">
        <f>IF(H1297="","",IFERROR(INDEX(lst_CCtoGL,MATCH(H1297,lst_CCforGL,0)),""))</f>
        <v/>
      </c>
      <c r="L1297" s="10">
        <f>IF($BI1297="","",IF($B1297="Onsite",INDEX(tbl_Onsite[PO / Reference],$BI1297),IF($B1297="Production",INDEX(tbl_Production[Current RMS No],$BI1297),INDEX(tbl_Consulting[Qwilr Quote],$BI1297)))&amp;"")</f>
        <v/>
      </c>
      <c r="M1297" s="10">
        <f>IF($BI1297="","",IF($B1297="Onsite",INDEX(tbl_Onsite[Notes],$BI1297),IF($B1297="Production",INDEX(tbl_Production[Notes],$BI1297),INDEX(tbl_Consulting[Notes],$BI1297)))&amp;"")</f>
        <v/>
      </c>
      <c r="N1297" s="11">
        <f>IF($BI1297="","",IF(IF($B1297="Onsite",INDEX(tbl_Onsite[Expected Revenue Ex GST],$BI1297),IF($B1297="Production",INDEX(tbl_Production[Expected Revenue Ex GST],$BI1297),INDEX(tbl_Consulting[Expected Revenue Ex GST],$BI1297)))="","",IF($B1297="Onsite",INDEX(tbl_Onsite[Expected Revenue Ex GST],$BI1297),IF($B1297="Production",INDEX(tbl_Production[Expected Revenue Ex GST],$BI1297),INDEX(tbl_Consulting[Expected Revenue Ex GST],$BI1297)))))</f>
        <v/>
      </c>
      <c r="O1297" s="11">
        <f>IF(AND($C1297="",NOT(COUNTA($S1297:$BB1297)&gt;0)),"",SUM(U1297,X1297,AA1297,AD1297,AG1297,AJ1297,AM1297,AP1297,AS1297,AV1297,AY1297,BB1297))</f>
        <v/>
      </c>
      <c r="P1297" s="11">
        <f>IF(O1297="","",N(N1297)-O1297)</f>
        <v/>
      </c>
      <c r="Q1297" s="10">
        <f>IF(O1297="","",IF($C1297="","Invoice on empty job row",IF(N1297="",IF(ROUND(O1297,2)=0,"No dept value","Invoiced - no dept value"),IF(ROUND(O1297,2)=0,"Not invoiced - to invoice",IF(ROUND(P1297,2)=0,"Agrees",IF(P1297&gt;0,"Dept higher - to invoice","Xero higher - check dept"))))))</f>
        <v/>
      </c>
      <c r="R1297" s="10">
        <f>IF(AND($C1297="",NOT(COUNTA($S1297:$BB1297)&gt;0),$BI1297&lt;&gt;""),"",MID(IF($BI1297="","; Row ID not found on the department sheet - a row was deleted","")&amp;IF(AND($C1297="",COUNTA($S1297:$BB1297)&gt;0),"; Invoice entered but the department row has no job number","")&amp;IF(E1297="CHECK","; Job number not in the Xero job list","")&amp;IF(AND($C1297&lt;&gt;"",COUNTIF($C$7:$C$1506,$C1297)&gt;1),"; Job number on more than one row","")&amp;IF(AND($C1297&lt;&gt;"",H1297=""),"; Dept has not set a cost centre","")&amp;IF(AND($C1297&lt;&gt;"",J1297=""),"; Dept has not set a tax code","")&amp;IF(AND($C1297&lt;&gt;"",N1297=""),"; Dept has not entered an expected value","")&amp;IF((IF(OR(COUNTA(S1297:U1297)=0,AND(COUNTA(S1297:U1297)=3,ISNUMBER(U1297))),0,1)+IF(OR(COUNTA(V1297:X1297)=0,AND(COUNTA(V1297:X1297)=3,ISNUMBER(X1297))),0,1)+IF(OR(COUNTA(Y1297:AA1297)=0,AND(COUNTA(Y1297:AA1297)=3,ISNUMBER(AA1297))),0,1)+IF(OR(COUNTA(AB1297:AD1297)=0,AND(COUNTA(AB1297:AD1297)=3,ISNUMBER(AD1297))),0,1)+IF(OR(COUNTA(AE1297:AG1297)=0,AND(COUNTA(AE1297:AG1297)=3,ISNUMBER(AG1297))),0,1)+IF(OR(COUNTA(AH1297:AJ1297)=0,AND(COUNTA(AH1297:AJ1297)=3,ISNUMBER(AJ1297))),0,1)+IF(OR(COUNTA(AK1297:AM1297)=0,AND(COUNTA(AK1297:AM1297)=3,ISNUMBER(AM1297))),0,1)+IF(OR(COUNTA(AN1297:AP1297)=0,AND(COUNTA(AN1297:AP1297)=3,ISNUMBER(AP1297))),0,1)+IF(OR(COUNTA(AQ1297:AS1297)=0,AND(COUNTA(AQ1297:AS1297)=3,ISNUMBER(AS1297))),0,1)+IF(OR(COUNTA(AT1297:AV1297)=0,AND(COUNTA(AT1297:AV1297)=3,ISNUMBER(AV1297))),0,1)+IF(OR(COUNTA(AW1297:AY1297)=0,AND(COUNTA(AW1297:AY1297)=3,ISNUMBER(AY1297))),0,1)+IF(OR(COUNTA(AZ1297:BB1297)=0,AND(COUNTA(AZ1297:BB1297)=3,ISNUMBER(BB1297))),0,1))&gt;0,"; An invoice is incomplete (needs No, Date and a number in Ex GST)","")&amp;IF((IF(T1297="",0,IFERROR(--(EOMONTH(T1297,0)&lt;&gt;S$5),1))+IF(W1297="",0,IFERROR(--(EOMONTH(W1297,0)&lt;&gt;V$5),1))+IF(Z1297="",0,IFERROR(--(EOMONTH(Z1297,0)&lt;&gt;Y$5),1))+IF(AC1297="",0,IFERROR(--(EOMONTH(AC1297,0)&lt;&gt;AB$5),1))+IF(AF1297="",0,IFERROR(--(EOMONTH(AF1297,0)&lt;&gt;AE$5),1))+IF(AI1297="",0,IFERROR(--(EOMONTH(AI1297,0)&lt;&gt;AH$5),1))+IF(AL1297="",0,IFERROR(--(EOMONTH(AL1297,0)&lt;&gt;AK$5),1))+IF(AO1297="",0,IFERROR(--(EOMONTH(AO1297,0)&lt;&gt;AN$5),1))+IF(AR1297="",0,IFERROR(--(EOMONTH(AR1297,0)&lt;&gt;AQ$5),1))+IF(AU1297="",0,IFERROR(--(EOMONTH(AU1297,0)&lt;&gt;AT$5),1))+IF(AX1297="",0,IFERROR(--(EOMONTH(AX1297,0)&lt;&gt;AW$5),1))+IF(BA1297="",0,IFERROR(--(EOMONTH(BA1297,0)&lt;&gt;AZ$5),1)))&gt;0,"; An invoice date is not in the month it is typed under",""),3,500))</f>
        <v/>
      </c>
      <c r="S1297" s="12" t="n"/>
      <c r="T1297" s="13" t="n"/>
      <c r="U1297" s="14" t="n"/>
      <c r="V1297" s="12" t="n"/>
      <c r="W1297" s="13" t="n"/>
      <c r="X1297" s="14" t="n"/>
      <c r="Y1297" s="12" t="n"/>
      <c r="Z1297" s="13" t="n"/>
      <c r="AA1297" s="14" t="n"/>
      <c r="AB1297" s="12" t="n"/>
      <c r="AC1297" s="13" t="n"/>
      <c r="AD1297" s="14" t="n"/>
      <c r="AE1297" s="12" t="n"/>
      <c r="AF1297" s="13" t="n"/>
      <c r="AG1297" s="14" t="n"/>
      <c r="AH1297" s="12" t="n"/>
      <c r="AI1297" s="13" t="n"/>
      <c r="AJ1297" s="14" t="n"/>
      <c r="AK1297" s="12" t="n"/>
      <c r="AL1297" s="13" t="n"/>
      <c r="AM1297" s="14" t="n"/>
      <c r="AN1297" s="12" t="n"/>
      <c r="AO1297" s="13" t="n"/>
      <c r="AP1297" s="14" t="n"/>
      <c r="AQ1297" s="12" t="n"/>
      <c r="AR1297" s="13" t="n"/>
      <c r="AS1297" s="14" t="n"/>
      <c r="AT1297" s="12" t="n"/>
      <c r="AU1297" s="13" t="n"/>
      <c r="AV1297" s="14" t="n"/>
      <c r="AW1297" s="12" t="n"/>
      <c r="AX1297" s="13" t="n"/>
      <c r="AY1297" s="14" t="n"/>
      <c r="AZ1297" s="12" t="n"/>
      <c r="BA1297" s="13" t="n"/>
      <c r="BB1297" s="14" t="n"/>
      <c r="BC1297" s="11">
        <f>IF(O1297="","",IF(J1297="GST 10%",ROUND(O1297*set_GSTRate,2),0))</f>
        <v/>
      </c>
      <c r="BD1297" s="11">
        <f>IF(O1297="","",O1297+BC1297)</f>
        <v/>
      </c>
      <c r="BE1297" s="15">
        <f>IF(O1297="","",COUNTA(S1297,V1297,Y1297,AB1297,AE1297,AH1297,AK1297,AN1297,AQ1297,AT1297,AW1297,AZ1297))</f>
        <v/>
      </c>
      <c r="BF1297" s="16">
        <f>IF(COUNT(T1297,W1297,Z1297,AC1297,AF1297,AI1297,AL1297,AO1297,AR1297,AU1297,AX1297,BA1297)=0,"",MAX(T1297,W1297,Z1297,AC1297,AF1297,AI1297,AL1297,AO1297,AR1297,AU1297,AX1297,BA1297))</f>
        <v/>
      </c>
      <c r="BG1297" s="10">
        <f>MID(IF(S1297="","",", "&amp;S1297)&amp;IF(V1297="","",", "&amp;V1297)&amp;IF(Y1297="","",", "&amp;Y1297)&amp;IF(AB1297="","",", "&amp;AB1297)&amp;IF(AE1297="","",", "&amp;AE1297)&amp;IF(AH1297="","",", "&amp;AH1297)&amp;IF(AK1297="","",", "&amp;AK1297)&amp;IF(AN1297="","",", "&amp;AN1297)&amp;IF(AQ1297="","",", "&amp;AQ1297)&amp;IF(AT1297="","",", "&amp;AT1297)&amp;IF(AW1297="","",", "&amp;AW1297)&amp;IF(AZ1297="","",", "&amp;AZ1297),3,500)</f>
        <v/>
      </c>
      <c r="BH1297" s="12" t="n"/>
      <c r="BI1297" s="15">
        <f>IFERROR(MATCH($A1297,IF($B1297="Onsite",tbl_Onsite[Row ID],IF($B1297="Production",tbl_Production[Row ID],tbl_Consulting[Row ID])),0),"")</f>
        <v/>
      </c>
    </row>
    <row r="1298">
      <c r="A1298" s="10" t="inlineStr">
        <is>
          <t>CON-0292</t>
        </is>
      </c>
      <c r="B1298" s="10" t="inlineStr">
        <is>
          <t>Consulting</t>
        </is>
      </c>
      <c r="C1298" s="10">
        <f>IF($BI1298="","",IF($B1298="Onsite",INDEX(tbl_Onsite[Job Number],$BI1298),IF($B1298="Production",INDEX(tbl_Production[Job Number],$BI1298),INDEX(tbl_Consulting[Job Number],$BI1298)))&amp;"")</f>
        <v/>
      </c>
      <c r="D1298" s="10">
        <f>IF($BI1298="","",IF($B1298="Onsite",INDEX(tbl_Onsite[Client],$BI1298),IF($B1298="Production",INDEX(tbl_Production[Client],$BI1298),INDEX(tbl_Consulting[Client],$BI1298)))&amp;"")</f>
        <v/>
      </c>
      <c r="E1298" s="10">
        <f>IF($C1298="","",IF(COUNTIF(lst_Jobs,$C1298)&gt;0,"OK","CHECK"))</f>
        <v/>
      </c>
      <c r="F1298" s="10">
        <f>IF($C1298="","",IFERROR(INDEX(lst_JobName,MATCH($C1298,lst_Jobs,0)),""))</f>
        <v/>
      </c>
      <c r="G1298" s="10">
        <f>IF($BI1298="","",IF($B1298="Onsite",INDEX(tbl_Onsite[Job Description],$BI1298),IF($B1298="Production",INDEX(tbl_Production[Job Description],$BI1298),INDEX(tbl_Consulting[Job Description],$BI1298)))&amp;"")</f>
        <v/>
      </c>
      <c r="H1298" s="10">
        <f>IF($BI1298="","",IF($B1298="Onsite",INDEX(tbl_Onsite[Cost Centre],$BI1298),IF($B1298="Production",INDEX(tbl_Production[Cost Centre],$BI1298),INDEX(tbl_Consulting[Cost Centre],$BI1298)))&amp;"")</f>
        <v/>
      </c>
      <c r="I1298" s="10">
        <f>IF($BI1298="","",IF($B1298="Onsite",INDEX(tbl_Onsite[Invoice Type],$BI1298),IF($B1298="Production",INDEX(tbl_Production[Invoice Type],$BI1298),INDEX(tbl_Consulting[Invoice Type],$BI1298)))&amp;"")</f>
        <v/>
      </c>
      <c r="J1298" s="10">
        <f>IF($BI1298="","",IF($B1298="Onsite",INDEX(tbl_Onsite[Tax Code],$BI1298),IF($B1298="Production",INDEX(tbl_Production[Tax Code],$BI1298),INDEX(tbl_Consulting[Tax Code],$BI1298)))&amp;"")</f>
        <v/>
      </c>
      <c r="K1298" s="10">
        <f>IF(H1298="","",IFERROR(INDEX(lst_CCtoGL,MATCH(H1298,lst_CCforGL,0)),""))</f>
        <v/>
      </c>
      <c r="L1298" s="10">
        <f>IF($BI1298="","",IF($B1298="Onsite",INDEX(tbl_Onsite[PO / Reference],$BI1298),IF($B1298="Production",INDEX(tbl_Production[Current RMS No],$BI1298),INDEX(tbl_Consulting[Qwilr Quote],$BI1298)))&amp;"")</f>
        <v/>
      </c>
      <c r="M1298" s="10">
        <f>IF($BI1298="","",IF($B1298="Onsite",INDEX(tbl_Onsite[Notes],$BI1298),IF($B1298="Production",INDEX(tbl_Production[Notes],$BI1298),INDEX(tbl_Consulting[Notes],$BI1298)))&amp;"")</f>
        <v/>
      </c>
      <c r="N1298" s="11">
        <f>IF($BI1298="","",IF(IF($B1298="Onsite",INDEX(tbl_Onsite[Expected Revenue Ex GST],$BI1298),IF($B1298="Production",INDEX(tbl_Production[Expected Revenue Ex GST],$BI1298),INDEX(tbl_Consulting[Expected Revenue Ex GST],$BI1298)))="","",IF($B1298="Onsite",INDEX(tbl_Onsite[Expected Revenue Ex GST],$BI1298),IF($B1298="Production",INDEX(tbl_Production[Expected Revenue Ex GST],$BI1298),INDEX(tbl_Consulting[Expected Revenue Ex GST],$BI1298)))))</f>
        <v/>
      </c>
      <c r="O1298" s="11">
        <f>IF(AND($C1298="",NOT(COUNTA($S1298:$BB1298)&gt;0)),"",SUM(U1298,X1298,AA1298,AD1298,AG1298,AJ1298,AM1298,AP1298,AS1298,AV1298,AY1298,BB1298))</f>
        <v/>
      </c>
      <c r="P1298" s="11">
        <f>IF(O1298="","",N(N1298)-O1298)</f>
        <v/>
      </c>
      <c r="Q1298" s="10">
        <f>IF(O1298="","",IF($C1298="","Invoice on empty job row",IF(N1298="",IF(ROUND(O1298,2)=0,"No dept value","Invoiced - no dept value"),IF(ROUND(O1298,2)=0,"Not invoiced - to invoice",IF(ROUND(P1298,2)=0,"Agrees",IF(P1298&gt;0,"Dept higher - to invoice","Xero higher - check dept"))))))</f>
        <v/>
      </c>
      <c r="R1298" s="10">
        <f>IF(AND($C1298="",NOT(COUNTA($S1298:$BB1298)&gt;0),$BI1298&lt;&gt;""),"",MID(IF($BI1298="","; Row ID not found on the department sheet - a row was deleted","")&amp;IF(AND($C1298="",COUNTA($S1298:$BB1298)&gt;0),"; Invoice entered but the department row has no job number","")&amp;IF(E1298="CHECK","; Job number not in the Xero job list","")&amp;IF(AND($C1298&lt;&gt;"",COUNTIF($C$7:$C$1506,$C1298)&gt;1),"; Job number on more than one row","")&amp;IF(AND($C1298&lt;&gt;"",H1298=""),"; Dept has not set a cost centre","")&amp;IF(AND($C1298&lt;&gt;"",J1298=""),"; Dept has not set a tax code","")&amp;IF(AND($C1298&lt;&gt;"",N1298=""),"; Dept has not entered an expected value","")&amp;IF((IF(OR(COUNTA(S1298:U1298)=0,AND(COUNTA(S1298:U1298)=3,ISNUMBER(U1298))),0,1)+IF(OR(COUNTA(V1298:X1298)=0,AND(COUNTA(V1298:X1298)=3,ISNUMBER(X1298))),0,1)+IF(OR(COUNTA(Y1298:AA1298)=0,AND(COUNTA(Y1298:AA1298)=3,ISNUMBER(AA1298))),0,1)+IF(OR(COUNTA(AB1298:AD1298)=0,AND(COUNTA(AB1298:AD1298)=3,ISNUMBER(AD1298))),0,1)+IF(OR(COUNTA(AE1298:AG1298)=0,AND(COUNTA(AE1298:AG1298)=3,ISNUMBER(AG1298))),0,1)+IF(OR(COUNTA(AH1298:AJ1298)=0,AND(COUNTA(AH1298:AJ1298)=3,ISNUMBER(AJ1298))),0,1)+IF(OR(COUNTA(AK1298:AM1298)=0,AND(COUNTA(AK1298:AM1298)=3,ISNUMBER(AM1298))),0,1)+IF(OR(COUNTA(AN1298:AP1298)=0,AND(COUNTA(AN1298:AP1298)=3,ISNUMBER(AP1298))),0,1)+IF(OR(COUNTA(AQ1298:AS1298)=0,AND(COUNTA(AQ1298:AS1298)=3,ISNUMBER(AS1298))),0,1)+IF(OR(COUNTA(AT1298:AV1298)=0,AND(COUNTA(AT1298:AV1298)=3,ISNUMBER(AV1298))),0,1)+IF(OR(COUNTA(AW1298:AY1298)=0,AND(COUNTA(AW1298:AY1298)=3,ISNUMBER(AY1298))),0,1)+IF(OR(COUNTA(AZ1298:BB1298)=0,AND(COUNTA(AZ1298:BB1298)=3,ISNUMBER(BB1298))),0,1))&gt;0,"; An invoice is incomplete (needs No, Date and a number in Ex GST)","")&amp;IF((IF(T1298="",0,IFERROR(--(EOMONTH(T1298,0)&lt;&gt;S$5),1))+IF(W1298="",0,IFERROR(--(EOMONTH(W1298,0)&lt;&gt;V$5),1))+IF(Z1298="",0,IFERROR(--(EOMONTH(Z1298,0)&lt;&gt;Y$5),1))+IF(AC1298="",0,IFERROR(--(EOMONTH(AC1298,0)&lt;&gt;AB$5),1))+IF(AF1298="",0,IFERROR(--(EOMONTH(AF1298,0)&lt;&gt;AE$5),1))+IF(AI1298="",0,IFERROR(--(EOMONTH(AI1298,0)&lt;&gt;AH$5),1))+IF(AL1298="",0,IFERROR(--(EOMONTH(AL1298,0)&lt;&gt;AK$5),1))+IF(AO1298="",0,IFERROR(--(EOMONTH(AO1298,0)&lt;&gt;AN$5),1))+IF(AR1298="",0,IFERROR(--(EOMONTH(AR1298,0)&lt;&gt;AQ$5),1))+IF(AU1298="",0,IFERROR(--(EOMONTH(AU1298,0)&lt;&gt;AT$5),1))+IF(AX1298="",0,IFERROR(--(EOMONTH(AX1298,0)&lt;&gt;AW$5),1))+IF(BA1298="",0,IFERROR(--(EOMONTH(BA1298,0)&lt;&gt;AZ$5),1)))&gt;0,"; An invoice date is not in the month it is typed under",""),3,500))</f>
        <v/>
      </c>
      <c r="S1298" s="12" t="n"/>
      <c r="T1298" s="13" t="n"/>
      <c r="U1298" s="14" t="n"/>
      <c r="V1298" s="12" t="n"/>
      <c r="W1298" s="13" t="n"/>
      <c r="X1298" s="14" t="n"/>
      <c r="Y1298" s="12" t="n"/>
      <c r="Z1298" s="13" t="n"/>
      <c r="AA1298" s="14" t="n"/>
      <c r="AB1298" s="12" t="n"/>
      <c r="AC1298" s="13" t="n"/>
      <c r="AD1298" s="14" t="n"/>
      <c r="AE1298" s="12" t="n"/>
      <c r="AF1298" s="13" t="n"/>
      <c r="AG1298" s="14" t="n"/>
      <c r="AH1298" s="12" t="n"/>
      <c r="AI1298" s="13" t="n"/>
      <c r="AJ1298" s="14" t="n"/>
      <c r="AK1298" s="12" t="n"/>
      <c r="AL1298" s="13" t="n"/>
      <c r="AM1298" s="14" t="n"/>
      <c r="AN1298" s="12" t="n"/>
      <c r="AO1298" s="13" t="n"/>
      <c r="AP1298" s="14" t="n"/>
      <c r="AQ1298" s="12" t="n"/>
      <c r="AR1298" s="13" t="n"/>
      <c r="AS1298" s="14" t="n"/>
      <c r="AT1298" s="12" t="n"/>
      <c r="AU1298" s="13" t="n"/>
      <c r="AV1298" s="14" t="n"/>
      <c r="AW1298" s="12" t="n"/>
      <c r="AX1298" s="13" t="n"/>
      <c r="AY1298" s="14" t="n"/>
      <c r="AZ1298" s="12" t="n"/>
      <c r="BA1298" s="13" t="n"/>
      <c r="BB1298" s="14" t="n"/>
      <c r="BC1298" s="11">
        <f>IF(O1298="","",IF(J1298="GST 10%",ROUND(O1298*set_GSTRate,2),0))</f>
        <v/>
      </c>
      <c r="BD1298" s="11">
        <f>IF(O1298="","",O1298+BC1298)</f>
        <v/>
      </c>
      <c r="BE1298" s="15">
        <f>IF(O1298="","",COUNTA(S1298,V1298,Y1298,AB1298,AE1298,AH1298,AK1298,AN1298,AQ1298,AT1298,AW1298,AZ1298))</f>
        <v/>
      </c>
      <c r="BF1298" s="16">
        <f>IF(COUNT(T1298,W1298,Z1298,AC1298,AF1298,AI1298,AL1298,AO1298,AR1298,AU1298,AX1298,BA1298)=0,"",MAX(T1298,W1298,Z1298,AC1298,AF1298,AI1298,AL1298,AO1298,AR1298,AU1298,AX1298,BA1298))</f>
        <v/>
      </c>
      <c r="BG1298" s="10">
        <f>MID(IF(S1298="","",", "&amp;S1298)&amp;IF(V1298="","",", "&amp;V1298)&amp;IF(Y1298="","",", "&amp;Y1298)&amp;IF(AB1298="","",", "&amp;AB1298)&amp;IF(AE1298="","",", "&amp;AE1298)&amp;IF(AH1298="","",", "&amp;AH1298)&amp;IF(AK1298="","",", "&amp;AK1298)&amp;IF(AN1298="","",", "&amp;AN1298)&amp;IF(AQ1298="","",", "&amp;AQ1298)&amp;IF(AT1298="","",", "&amp;AT1298)&amp;IF(AW1298="","",", "&amp;AW1298)&amp;IF(AZ1298="","",", "&amp;AZ1298),3,500)</f>
        <v/>
      </c>
      <c r="BH1298" s="12" t="n"/>
      <c r="BI1298" s="15">
        <f>IFERROR(MATCH($A1298,IF($B1298="Onsite",tbl_Onsite[Row ID],IF($B1298="Production",tbl_Production[Row ID],tbl_Consulting[Row ID])),0),"")</f>
        <v/>
      </c>
    </row>
    <row r="1299">
      <c r="A1299" s="10" t="inlineStr">
        <is>
          <t>CON-0293</t>
        </is>
      </c>
      <c r="B1299" s="10" t="inlineStr">
        <is>
          <t>Consulting</t>
        </is>
      </c>
      <c r="C1299" s="10">
        <f>IF($BI1299="","",IF($B1299="Onsite",INDEX(tbl_Onsite[Job Number],$BI1299),IF($B1299="Production",INDEX(tbl_Production[Job Number],$BI1299),INDEX(tbl_Consulting[Job Number],$BI1299)))&amp;"")</f>
        <v/>
      </c>
      <c r="D1299" s="10">
        <f>IF($BI1299="","",IF($B1299="Onsite",INDEX(tbl_Onsite[Client],$BI1299),IF($B1299="Production",INDEX(tbl_Production[Client],$BI1299),INDEX(tbl_Consulting[Client],$BI1299)))&amp;"")</f>
        <v/>
      </c>
      <c r="E1299" s="10">
        <f>IF($C1299="","",IF(COUNTIF(lst_Jobs,$C1299)&gt;0,"OK","CHECK"))</f>
        <v/>
      </c>
      <c r="F1299" s="10">
        <f>IF($C1299="","",IFERROR(INDEX(lst_JobName,MATCH($C1299,lst_Jobs,0)),""))</f>
        <v/>
      </c>
      <c r="G1299" s="10">
        <f>IF($BI1299="","",IF($B1299="Onsite",INDEX(tbl_Onsite[Job Description],$BI1299),IF($B1299="Production",INDEX(tbl_Production[Job Description],$BI1299),INDEX(tbl_Consulting[Job Description],$BI1299)))&amp;"")</f>
        <v/>
      </c>
      <c r="H1299" s="10">
        <f>IF($BI1299="","",IF($B1299="Onsite",INDEX(tbl_Onsite[Cost Centre],$BI1299),IF($B1299="Production",INDEX(tbl_Production[Cost Centre],$BI1299),INDEX(tbl_Consulting[Cost Centre],$BI1299)))&amp;"")</f>
        <v/>
      </c>
      <c r="I1299" s="10">
        <f>IF($BI1299="","",IF($B1299="Onsite",INDEX(tbl_Onsite[Invoice Type],$BI1299),IF($B1299="Production",INDEX(tbl_Production[Invoice Type],$BI1299),INDEX(tbl_Consulting[Invoice Type],$BI1299)))&amp;"")</f>
        <v/>
      </c>
      <c r="J1299" s="10">
        <f>IF($BI1299="","",IF($B1299="Onsite",INDEX(tbl_Onsite[Tax Code],$BI1299),IF($B1299="Production",INDEX(tbl_Production[Tax Code],$BI1299),INDEX(tbl_Consulting[Tax Code],$BI1299)))&amp;"")</f>
        <v/>
      </c>
      <c r="K1299" s="10">
        <f>IF(H1299="","",IFERROR(INDEX(lst_CCtoGL,MATCH(H1299,lst_CCforGL,0)),""))</f>
        <v/>
      </c>
      <c r="L1299" s="10">
        <f>IF($BI1299="","",IF($B1299="Onsite",INDEX(tbl_Onsite[PO / Reference],$BI1299),IF($B1299="Production",INDEX(tbl_Production[Current RMS No],$BI1299),INDEX(tbl_Consulting[Qwilr Quote],$BI1299)))&amp;"")</f>
        <v/>
      </c>
      <c r="M1299" s="10">
        <f>IF($BI1299="","",IF($B1299="Onsite",INDEX(tbl_Onsite[Notes],$BI1299),IF($B1299="Production",INDEX(tbl_Production[Notes],$BI1299),INDEX(tbl_Consulting[Notes],$BI1299)))&amp;"")</f>
        <v/>
      </c>
      <c r="N1299" s="11">
        <f>IF($BI1299="","",IF(IF($B1299="Onsite",INDEX(tbl_Onsite[Expected Revenue Ex GST],$BI1299),IF($B1299="Production",INDEX(tbl_Production[Expected Revenue Ex GST],$BI1299),INDEX(tbl_Consulting[Expected Revenue Ex GST],$BI1299)))="","",IF($B1299="Onsite",INDEX(tbl_Onsite[Expected Revenue Ex GST],$BI1299),IF($B1299="Production",INDEX(tbl_Production[Expected Revenue Ex GST],$BI1299),INDEX(tbl_Consulting[Expected Revenue Ex GST],$BI1299)))))</f>
        <v/>
      </c>
      <c r="O1299" s="11">
        <f>IF(AND($C1299="",NOT(COUNTA($S1299:$BB1299)&gt;0)),"",SUM(U1299,X1299,AA1299,AD1299,AG1299,AJ1299,AM1299,AP1299,AS1299,AV1299,AY1299,BB1299))</f>
        <v/>
      </c>
      <c r="P1299" s="11">
        <f>IF(O1299="","",N(N1299)-O1299)</f>
        <v/>
      </c>
      <c r="Q1299" s="10">
        <f>IF(O1299="","",IF($C1299="","Invoice on empty job row",IF(N1299="",IF(ROUND(O1299,2)=0,"No dept value","Invoiced - no dept value"),IF(ROUND(O1299,2)=0,"Not invoiced - to invoice",IF(ROUND(P1299,2)=0,"Agrees",IF(P1299&gt;0,"Dept higher - to invoice","Xero higher - check dept"))))))</f>
        <v/>
      </c>
      <c r="R1299" s="10">
        <f>IF(AND($C1299="",NOT(COUNTA($S1299:$BB1299)&gt;0),$BI1299&lt;&gt;""),"",MID(IF($BI1299="","; Row ID not found on the department sheet - a row was deleted","")&amp;IF(AND($C1299="",COUNTA($S1299:$BB1299)&gt;0),"; Invoice entered but the department row has no job number","")&amp;IF(E1299="CHECK","; Job number not in the Xero job list","")&amp;IF(AND($C1299&lt;&gt;"",COUNTIF($C$7:$C$1506,$C1299)&gt;1),"; Job number on more than one row","")&amp;IF(AND($C1299&lt;&gt;"",H1299=""),"; Dept has not set a cost centre","")&amp;IF(AND($C1299&lt;&gt;"",J1299=""),"; Dept has not set a tax code","")&amp;IF(AND($C1299&lt;&gt;"",N1299=""),"; Dept has not entered an expected value","")&amp;IF((IF(OR(COUNTA(S1299:U1299)=0,AND(COUNTA(S1299:U1299)=3,ISNUMBER(U1299))),0,1)+IF(OR(COUNTA(V1299:X1299)=0,AND(COUNTA(V1299:X1299)=3,ISNUMBER(X1299))),0,1)+IF(OR(COUNTA(Y1299:AA1299)=0,AND(COUNTA(Y1299:AA1299)=3,ISNUMBER(AA1299))),0,1)+IF(OR(COUNTA(AB1299:AD1299)=0,AND(COUNTA(AB1299:AD1299)=3,ISNUMBER(AD1299))),0,1)+IF(OR(COUNTA(AE1299:AG1299)=0,AND(COUNTA(AE1299:AG1299)=3,ISNUMBER(AG1299))),0,1)+IF(OR(COUNTA(AH1299:AJ1299)=0,AND(COUNTA(AH1299:AJ1299)=3,ISNUMBER(AJ1299))),0,1)+IF(OR(COUNTA(AK1299:AM1299)=0,AND(COUNTA(AK1299:AM1299)=3,ISNUMBER(AM1299))),0,1)+IF(OR(COUNTA(AN1299:AP1299)=0,AND(COUNTA(AN1299:AP1299)=3,ISNUMBER(AP1299))),0,1)+IF(OR(COUNTA(AQ1299:AS1299)=0,AND(COUNTA(AQ1299:AS1299)=3,ISNUMBER(AS1299))),0,1)+IF(OR(COUNTA(AT1299:AV1299)=0,AND(COUNTA(AT1299:AV1299)=3,ISNUMBER(AV1299))),0,1)+IF(OR(COUNTA(AW1299:AY1299)=0,AND(COUNTA(AW1299:AY1299)=3,ISNUMBER(AY1299))),0,1)+IF(OR(COUNTA(AZ1299:BB1299)=0,AND(COUNTA(AZ1299:BB1299)=3,ISNUMBER(BB1299))),0,1))&gt;0,"; An invoice is incomplete (needs No, Date and a number in Ex GST)","")&amp;IF((IF(T1299="",0,IFERROR(--(EOMONTH(T1299,0)&lt;&gt;S$5),1))+IF(W1299="",0,IFERROR(--(EOMONTH(W1299,0)&lt;&gt;V$5),1))+IF(Z1299="",0,IFERROR(--(EOMONTH(Z1299,0)&lt;&gt;Y$5),1))+IF(AC1299="",0,IFERROR(--(EOMONTH(AC1299,0)&lt;&gt;AB$5),1))+IF(AF1299="",0,IFERROR(--(EOMONTH(AF1299,0)&lt;&gt;AE$5),1))+IF(AI1299="",0,IFERROR(--(EOMONTH(AI1299,0)&lt;&gt;AH$5),1))+IF(AL1299="",0,IFERROR(--(EOMONTH(AL1299,0)&lt;&gt;AK$5),1))+IF(AO1299="",0,IFERROR(--(EOMONTH(AO1299,0)&lt;&gt;AN$5),1))+IF(AR1299="",0,IFERROR(--(EOMONTH(AR1299,0)&lt;&gt;AQ$5),1))+IF(AU1299="",0,IFERROR(--(EOMONTH(AU1299,0)&lt;&gt;AT$5),1))+IF(AX1299="",0,IFERROR(--(EOMONTH(AX1299,0)&lt;&gt;AW$5),1))+IF(BA1299="",0,IFERROR(--(EOMONTH(BA1299,0)&lt;&gt;AZ$5),1)))&gt;0,"; An invoice date is not in the month it is typed under",""),3,500))</f>
        <v/>
      </c>
      <c r="S1299" s="12" t="n"/>
      <c r="T1299" s="13" t="n"/>
      <c r="U1299" s="14" t="n"/>
      <c r="V1299" s="12" t="n"/>
      <c r="W1299" s="13" t="n"/>
      <c r="X1299" s="14" t="n"/>
      <c r="Y1299" s="12" t="n"/>
      <c r="Z1299" s="13" t="n"/>
      <c r="AA1299" s="14" t="n"/>
      <c r="AB1299" s="12" t="n"/>
      <c r="AC1299" s="13" t="n"/>
      <c r="AD1299" s="14" t="n"/>
      <c r="AE1299" s="12" t="n"/>
      <c r="AF1299" s="13" t="n"/>
      <c r="AG1299" s="14" t="n"/>
      <c r="AH1299" s="12" t="n"/>
      <c r="AI1299" s="13" t="n"/>
      <c r="AJ1299" s="14" t="n"/>
      <c r="AK1299" s="12" t="n"/>
      <c r="AL1299" s="13" t="n"/>
      <c r="AM1299" s="14" t="n"/>
      <c r="AN1299" s="12" t="n"/>
      <c r="AO1299" s="13" t="n"/>
      <c r="AP1299" s="14" t="n"/>
      <c r="AQ1299" s="12" t="n"/>
      <c r="AR1299" s="13" t="n"/>
      <c r="AS1299" s="14" t="n"/>
      <c r="AT1299" s="12" t="n"/>
      <c r="AU1299" s="13" t="n"/>
      <c r="AV1299" s="14" t="n"/>
      <c r="AW1299" s="12" t="n"/>
      <c r="AX1299" s="13" t="n"/>
      <c r="AY1299" s="14" t="n"/>
      <c r="AZ1299" s="12" t="n"/>
      <c r="BA1299" s="13" t="n"/>
      <c r="BB1299" s="14" t="n"/>
      <c r="BC1299" s="11">
        <f>IF(O1299="","",IF(J1299="GST 10%",ROUND(O1299*set_GSTRate,2),0))</f>
        <v/>
      </c>
      <c r="BD1299" s="11">
        <f>IF(O1299="","",O1299+BC1299)</f>
        <v/>
      </c>
      <c r="BE1299" s="15">
        <f>IF(O1299="","",COUNTA(S1299,V1299,Y1299,AB1299,AE1299,AH1299,AK1299,AN1299,AQ1299,AT1299,AW1299,AZ1299))</f>
        <v/>
      </c>
      <c r="BF1299" s="16">
        <f>IF(COUNT(T1299,W1299,Z1299,AC1299,AF1299,AI1299,AL1299,AO1299,AR1299,AU1299,AX1299,BA1299)=0,"",MAX(T1299,W1299,Z1299,AC1299,AF1299,AI1299,AL1299,AO1299,AR1299,AU1299,AX1299,BA1299))</f>
        <v/>
      </c>
      <c r="BG1299" s="10">
        <f>MID(IF(S1299="","",", "&amp;S1299)&amp;IF(V1299="","",", "&amp;V1299)&amp;IF(Y1299="","",", "&amp;Y1299)&amp;IF(AB1299="","",", "&amp;AB1299)&amp;IF(AE1299="","",", "&amp;AE1299)&amp;IF(AH1299="","",", "&amp;AH1299)&amp;IF(AK1299="","",", "&amp;AK1299)&amp;IF(AN1299="","",", "&amp;AN1299)&amp;IF(AQ1299="","",", "&amp;AQ1299)&amp;IF(AT1299="","",", "&amp;AT1299)&amp;IF(AW1299="","",", "&amp;AW1299)&amp;IF(AZ1299="","",", "&amp;AZ1299),3,500)</f>
        <v/>
      </c>
      <c r="BH1299" s="12" t="n"/>
      <c r="BI1299" s="15">
        <f>IFERROR(MATCH($A1299,IF($B1299="Onsite",tbl_Onsite[Row ID],IF($B1299="Production",tbl_Production[Row ID],tbl_Consulting[Row ID])),0),"")</f>
        <v/>
      </c>
    </row>
    <row r="1300">
      <c r="A1300" s="10" t="inlineStr">
        <is>
          <t>CON-0294</t>
        </is>
      </c>
      <c r="B1300" s="10" t="inlineStr">
        <is>
          <t>Consulting</t>
        </is>
      </c>
      <c r="C1300" s="10">
        <f>IF($BI1300="","",IF($B1300="Onsite",INDEX(tbl_Onsite[Job Number],$BI1300),IF($B1300="Production",INDEX(tbl_Production[Job Number],$BI1300),INDEX(tbl_Consulting[Job Number],$BI1300)))&amp;"")</f>
        <v/>
      </c>
      <c r="D1300" s="10">
        <f>IF($BI1300="","",IF($B1300="Onsite",INDEX(tbl_Onsite[Client],$BI1300),IF($B1300="Production",INDEX(tbl_Production[Client],$BI1300),INDEX(tbl_Consulting[Client],$BI1300)))&amp;"")</f>
        <v/>
      </c>
      <c r="E1300" s="10">
        <f>IF($C1300="","",IF(COUNTIF(lst_Jobs,$C1300)&gt;0,"OK","CHECK"))</f>
        <v/>
      </c>
      <c r="F1300" s="10">
        <f>IF($C1300="","",IFERROR(INDEX(lst_JobName,MATCH($C1300,lst_Jobs,0)),""))</f>
        <v/>
      </c>
      <c r="G1300" s="10">
        <f>IF($BI1300="","",IF($B1300="Onsite",INDEX(tbl_Onsite[Job Description],$BI1300),IF($B1300="Production",INDEX(tbl_Production[Job Description],$BI1300),INDEX(tbl_Consulting[Job Description],$BI1300)))&amp;"")</f>
        <v/>
      </c>
      <c r="H1300" s="10">
        <f>IF($BI1300="","",IF($B1300="Onsite",INDEX(tbl_Onsite[Cost Centre],$BI1300),IF($B1300="Production",INDEX(tbl_Production[Cost Centre],$BI1300),INDEX(tbl_Consulting[Cost Centre],$BI1300)))&amp;"")</f>
        <v/>
      </c>
      <c r="I1300" s="10">
        <f>IF($BI1300="","",IF($B1300="Onsite",INDEX(tbl_Onsite[Invoice Type],$BI1300),IF($B1300="Production",INDEX(tbl_Production[Invoice Type],$BI1300),INDEX(tbl_Consulting[Invoice Type],$BI1300)))&amp;"")</f>
        <v/>
      </c>
      <c r="J1300" s="10">
        <f>IF($BI1300="","",IF($B1300="Onsite",INDEX(tbl_Onsite[Tax Code],$BI1300),IF($B1300="Production",INDEX(tbl_Production[Tax Code],$BI1300),INDEX(tbl_Consulting[Tax Code],$BI1300)))&amp;"")</f>
        <v/>
      </c>
      <c r="K1300" s="10">
        <f>IF(H1300="","",IFERROR(INDEX(lst_CCtoGL,MATCH(H1300,lst_CCforGL,0)),""))</f>
        <v/>
      </c>
      <c r="L1300" s="10">
        <f>IF($BI1300="","",IF($B1300="Onsite",INDEX(tbl_Onsite[PO / Reference],$BI1300),IF($B1300="Production",INDEX(tbl_Production[Current RMS No],$BI1300),INDEX(tbl_Consulting[Qwilr Quote],$BI1300)))&amp;"")</f>
        <v/>
      </c>
      <c r="M1300" s="10">
        <f>IF($BI1300="","",IF($B1300="Onsite",INDEX(tbl_Onsite[Notes],$BI1300),IF($B1300="Production",INDEX(tbl_Production[Notes],$BI1300),INDEX(tbl_Consulting[Notes],$BI1300)))&amp;"")</f>
        <v/>
      </c>
      <c r="N1300" s="11">
        <f>IF($BI1300="","",IF(IF($B1300="Onsite",INDEX(tbl_Onsite[Expected Revenue Ex GST],$BI1300),IF($B1300="Production",INDEX(tbl_Production[Expected Revenue Ex GST],$BI1300),INDEX(tbl_Consulting[Expected Revenue Ex GST],$BI1300)))="","",IF($B1300="Onsite",INDEX(tbl_Onsite[Expected Revenue Ex GST],$BI1300),IF($B1300="Production",INDEX(tbl_Production[Expected Revenue Ex GST],$BI1300),INDEX(tbl_Consulting[Expected Revenue Ex GST],$BI1300)))))</f>
        <v/>
      </c>
      <c r="O1300" s="11">
        <f>IF(AND($C1300="",NOT(COUNTA($S1300:$BB1300)&gt;0)),"",SUM(U1300,X1300,AA1300,AD1300,AG1300,AJ1300,AM1300,AP1300,AS1300,AV1300,AY1300,BB1300))</f>
        <v/>
      </c>
      <c r="P1300" s="11">
        <f>IF(O1300="","",N(N1300)-O1300)</f>
        <v/>
      </c>
      <c r="Q1300" s="10">
        <f>IF(O1300="","",IF($C1300="","Invoice on empty job row",IF(N1300="",IF(ROUND(O1300,2)=0,"No dept value","Invoiced - no dept value"),IF(ROUND(O1300,2)=0,"Not invoiced - to invoice",IF(ROUND(P1300,2)=0,"Agrees",IF(P1300&gt;0,"Dept higher - to invoice","Xero higher - check dept"))))))</f>
        <v/>
      </c>
      <c r="R1300" s="10">
        <f>IF(AND($C1300="",NOT(COUNTA($S1300:$BB1300)&gt;0),$BI1300&lt;&gt;""),"",MID(IF($BI1300="","; Row ID not found on the department sheet - a row was deleted","")&amp;IF(AND($C1300="",COUNTA($S1300:$BB1300)&gt;0),"; Invoice entered but the department row has no job number","")&amp;IF(E1300="CHECK","; Job number not in the Xero job list","")&amp;IF(AND($C1300&lt;&gt;"",COUNTIF($C$7:$C$1506,$C1300)&gt;1),"; Job number on more than one row","")&amp;IF(AND($C1300&lt;&gt;"",H1300=""),"; Dept has not set a cost centre","")&amp;IF(AND($C1300&lt;&gt;"",J1300=""),"; Dept has not set a tax code","")&amp;IF(AND($C1300&lt;&gt;"",N1300=""),"; Dept has not entered an expected value","")&amp;IF((IF(OR(COUNTA(S1300:U1300)=0,AND(COUNTA(S1300:U1300)=3,ISNUMBER(U1300))),0,1)+IF(OR(COUNTA(V1300:X1300)=0,AND(COUNTA(V1300:X1300)=3,ISNUMBER(X1300))),0,1)+IF(OR(COUNTA(Y1300:AA1300)=0,AND(COUNTA(Y1300:AA1300)=3,ISNUMBER(AA1300))),0,1)+IF(OR(COUNTA(AB1300:AD1300)=0,AND(COUNTA(AB1300:AD1300)=3,ISNUMBER(AD1300))),0,1)+IF(OR(COUNTA(AE1300:AG1300)=0,AND(COUNTA(AE1300:AG1300)=3,ISNUMBER(AG1300))),0,1)+IF(OR(COUNTA(AH1300:AJ1300)=0,AND(COUNTA(AH1300:AJ1300)=3,ISNUMBER(AJ1300))),0,1)+IF(OR(COUNTA(AK1300:AM1300)=0,AND(COUNTA(AK1300:AM1300)=3,ISNUMBER(AM1300))),0,1)+IF(OR(COUNTA(AN1300:AP1300)=0,AND(COUNTA(AN1300:AP1300)=3,ISNUMBER(AP1300))),0,1)+IF(OR(COUNTA(AQ1300:AS1300)=0,AND(COUNTA(AQ1300:AS1300)=3,ISNUMBER(AS1300))),0,1)+IF(OR(COUNTA(AT1300:AV1300)=0,AND(COUNTA(AT1300:AV1300)=3,ISNUMBER(AV1300))),0,1)+IF(OR(COUNTA(AW1300:AY1300)=0,AND(COUNTA(AW1300:AY1300)=3,ISNUMBER(AY1300))),0,1)+IF(OR(COUNTA(AZ1300:BB1300)=0,AND(COUNTA(AZ1300:BB1300)=3,ISNUMBER(BB1300))),0,1))&gt;0,"; An invoice is incomplete (needs No, Date and a number in Ex GST)","")&amp;IF((IF(T1300="",0,IFERROR(--(EOMONTH(T1300,0)&lt;&gt;S$5),1))+IF(W1300="",0,IFERROR(--(EOMONTH(W1300,0)&lt;&gt;V$5),1))+IF(Z1300="",0,IFERROR(--(EOMONTH(Z1300,0)&lt;&gt;Y$5),1))+IF(AC1300="",0,IFERROR(--(EOMONTH(AC1300,0)&lt;&gt;AB$5),1))+IF(AF1300="",0,IFERROR(--(EOMONTH(AF1300,0)&lt;&gt;AE$5),1))+IF(AI1300="",0,IFERROR(--(EOMONTH(AI1300,0)&lt;&gt;AH$5),1))+IF(AL1300="",0,IFERROR(--(EOMONTH(AL1300,0)&lt;&gt;AK$5),1))+IF(AO1300="",0,IFERROR(--(EOMONTH(AO1300,0)&lt;&gt;AN$5),1))+IF(AR1300="",0,IFERROR(--(EOMONTH(AR1300,0)&lt;&gt;AQ$5),1))+IF(AU1300="",0,IFERROR(--(EOMONTH(AU1300,0)&lt;&gt;AT$5),1))+IF(AX1300="",0,IFERROR(--(EOMONTH(AX1300,0)&lt;&gt;AW$5),1))+IF(BA1300="",0,IFERROR(--(EOMONTH(BA1300,0)&lt;&gt;AZ$5),1)))&gt;0,"; An invoice date is not in the month it is typed under",""),3,500))</f>
        <v/>
      </c>
      <c r="S1300" s="12" t="n"/>
      <c r="T1300" s="13" t="n"/>
      <c r="U1300" s="14" t="n"/>
      <c r="V1300" s="12" t="n"/>
      <c r="W1300" s="13" t="n"/>
      <c r="X1300" s="14" t="n"/>
      <c r="Y1300" s="12" t="n"/>
      <c r="Z1300" s="13" t="n"/>
      <c r="AA1300" s="14" t="n"/>
      <c r="AB1300" s="12" t="n"/>
      <c r="AC1300" s="13" t="n"/>
      <c r="AD1300" s="14" t="n"/>
      <c r="AE1300" s="12" t="n"/>
      <c r="AF1300" s="13" t="n"/>
      <c r="AG1300" s="14" t="n"/>
      <c r="AH1300" s="12" t="n"/>
      <c r="AI1300" s="13" t="n"/>
      <c r="AJ1300" s="14" t="n"/>
      <c r="AK1300" s="12" t="n"/>
      <c r="AL1300" s="13" t="n"/>
      <c r="AM1300" s="14" t="n"/>
      <c r="AN1300" s="12" t="n"/>
      <c r="AO1300" s="13" t="n"/>
      <c r="AP1300" s="14" t="n"/>
      <c r="AQ1300" s="12" t="n"/>
      <c r="AR1300" s="13" t="n"/>
      <c r="AS1300" s="14" t="n"/>
      <c r="AT1300" s="12" t="n"/>
      <c r="AU1300" s="13" t="n"/>
      <c r="AV1300" s="14" t="n"/>
      <c r="AW1300" s="12" t="n"/>
      <c r="AX1300" s="13" t="n"/>
      <c r="AY1300" s="14" t="n"/>
      <c r="AZ1300" s="12" t="n"/>
      <c r="BA1300" s="13" t="n"/>
      <c r="BB1300" s="14" t="n"/>
      <c r="BC1300" s="11">
        <f>IF(O1300="","",IF(J1300="GST 10%",ROUND(O1300*set_GSTRate,2),0))</f>
        <v/>
      </c>
      <c r="BD1300" s="11">
        <f>IF(O1300="","",O1300+BC1300)</f>
        <v/>
      </c>
      <c r="BE1300" s="15">
        <f>IF(O1300="","",COUNTA(S1300,V1300,Y1300,AB1300,AE1300,AH1300,AK1300,AN1300,AQ1300,AT1300,AW1300,AZ1300))</f>
        <v/>
      </c>
      <c r="BF1300" s="16">
        <f>IF(COUNT(T1300,W1300,Z1300,AC1300,AF1300,AI1300,AL1300,AO1300,AR1300,AU1300,AX1300,BA1300)=0,"",MAX(T1300,W1300,Z1300,AC1300,AF1300,AI1300,AL1300,AO1300,AR1300,AU1300,AX1300,BA1300))</f>
        <v/>
      </c>
      <c r="BG1300" s="10">
        <f>MID(IF(S1300="","",", "&amp;S1300)&amp;IF(V1300="","",", "&amp;V1300)&amp;IF(Y1300="","",", "&amp;Y1300)&amp;IF(AB1300="","",", "&amp;AB1300)&amp;IF(AE1300="","",", "&amp;AE1300)&amp;IF(AH1300="","",", "&amp;AH1300)&amp;IF(AK1300="","",", "&amp;AK1300)&amp;IF(AN1300="","",", "&amp;AN1300)&amp;IF(AQ1300="","",", "&amp;AQ1300)&amp;IF(AT1300="","",", "&amp;AT1300)&amp;IF(AW1300="","",", "&amp;AW1300)&amp;IF(AZ1300="","",", "&amp;AZ1300),3,500)</f>
        <v/>
      </c>
      <c r="BH1300" s="12" t="n"/>
      <c r="BI1300" s="15">
        <f>IFERROR(MATCH($A1300,IF($B1300="Onsite",tbl_Onsite[Row ID],IF($B1300="Production",tbl_Production[Row ID],tbl_Consulting[Row ID])),0),"")</f>
        <v/>
      </c>
    </row>
    <row r="1301">
      <c r="A1301" s="10" t="inlineStr">
        <is>
          <t>CON-0295</t>
        </is>
      </c>
      <c r="B1301" s="10" t="inlineStr">
        <is>
          <t>Consulting</t>
        </is>
      </c>
      <c r="C1301" s="10">
        <f>IF($BI1301="","",IF($B1301="Onsite",INDEX(tbl_Onsite[Job Number],$BI1301),IF($B1301="Production",INDEX(tbl_Production[Job Number],$BI1301),INDEX(tbl_Consulting[Job Number],$BI1301)))&amp;"")</f>
        <v/>
      </c>
      <c r="D1301" s="10">
        <f>IF($BI1301="","",IF($B1301="Onsite",INDEX(tbl_Onsite[Client],$BI1301),IF($B1301="Production",INDEX(tbl_Production[Client],$BI1301),INDEX(tbl_Consulting[Client],$BI1301)))&amp;"")</f>
        <v/>
      </c>
      <c r="E1301" s="10">
        <f>IF($C1301="","",IF(COUNTIF(lst_Jobs,$C1301)&gt;0,"OK","CHECK"))</f>
        <v/>
      </c>
      <c r="F1301" s="10">
        <f>IF($C1301="","",IFERROR(INDEX(lst_JobName,MATCH($C1301,lst_Jobs,0)),""))</f>
        <v/>
      </c>
      <c r="G1301" s="10">
        <f>IF($BI1301="","",IF($B1301="Onsite",INDEX(tbl_Onsite[Job Description],$BI1301),IF($B1301="Production",INDEX(tbl_Production[Job Description],$BI1301),INDEX(tbl_Consulting[Job Description],$BI1301)))&amp;"")</f>
        <v/>
      </c>
      <c r="H1301" s="10">
        <f>IF($BI1301="","",IF($B1301="Onsite",INDEX(tbl_Onsite[Cost Centre],$BI1301),IF($B1301="Production",INDEX(tbl_Production[Cost Centre],$BI1301),INDEX(tbl_Consulting[Cost Centre],$BI1301)))&amp;"")</f>
        <v/>
      </c>
      <c r="I1301" s="10">
        <f>IF($BI1301="","",IF($B1301="Onsite",INDEX(tbl_Onsite[Invoice Type],$BI1301),IF($B1301="Production",INDEX(tbl_Production[Invoice Type],$BI1301),INDEX(tbl_Consulting[Invoice Type],$BI1301)))&amp;"")</f>
        <v/>
      </c>
      <c r="J1301" s="10">
        <f>IF($BI1301="","",IF($B1301="Onsite",INDEX(tbl_Onsite[Tax Code],$BI1301),IF($B1301="Production",INDEX(tbl_Production[Tax Code],$BI1301),INDEX(tbl_Consulting[Tax Code],$BI1301)))&amp;"")</f>
        <v/>
      </c>
      <c r="K1301" s="10">
        <f>IF(H1301="","",IFERROR(INDEX(lst_CCtoGL,MATCH(H1301,lst_CCforGL,0)),""))</f>
        <v/>
      </c>
      <c r="L1301" s="10">
        <f>IF($BI1301="","",IF($B1301="Onsite",INDEX(tbl_Onsite[PO / Reference],$BI1301),IF($B1301="Production",INDEX(tbl_Production[Current RMS No],$BI1301),INDEX(tbl_Consulting[Qwilr Quote],$BI1301)))&amp;"")</f>
        <v/>
      </c>
      <c r="M1301" s="10">
        <f>IF($BI1301="","",IF($B1301="Onsite",INDEX(tbl_Onsite[Notes],$BI1301),IF($B1301="Production",INDEX(tbl_Production[Notes],$BI1301),INDEX(tbl_Consulting[Notes],$BI1301)))&amp;"")</f>
        <v/>
      </c>
      <c r="N1301" s="11">
        <f>IF($BI1301="","",IF(IF($B1301="Onsite",INDEX(tbl_Onsite[Expected Revenue Ex GST],$BI1301),IF($B1301="Production",INDEX(tbl_Production[Expected Revenue Ex GST],$BI1301),INDEX(tbl_Consulting[Expected Revenue Ex GST],$BI1301)))="","",IF($B1301="Onsite",INDEX(tbl_Onsite[Expected Revenue Ex GST],$BI1301),IF($B1301="Production",INDEX(tbl_Production[Expected Revenue Ex GST],$BI1301),INDEX(tbl_Consulting[Expected Revenue Ex GST],$BI1301)))))</f>
        <v/>
      </c>
      <c r="O1301" s="11">
        <f>IF(AND($C1301="",NOT(COUNTA($S1301:$BB1301)&gt;0)),"",SUM(U1301,X1301,AA1301,AD1301,AG1301,AJ1301,AM1301,AP1301,AS1301,AV1301,AY1301,BB1301))</f>
        <v/>
      </c>
      <c r="P1301" s="11">
        <f>IF(O1301="","",N(N1301)-O1301)</f>
        <v/>
      </c>
      <c r="Q1301" s="10">
        <f>IF(O1301="","",IF($C1301="","Invoice on empty job row",IF(N1301="",IF(ROUND(O1301,2)=0,"No dept value","Invoiced - no dept value"),IF(ROUND(O1301,2)=0,"Not invoiced - to invoice",IF(ROUND(P1301,2)=0,"Agrees",IF(P1301&gt;0,"Dept higher - to invoice","Xero higher - check dept"))))))</f>
        <v/>
      </c>
      <c r="R1301" s="10">
        <f>IF(AND($C1301="",NOT(COUNTA($S1301:$BB1301)&gt;0),$BI1301&lt;&gt;""),"",MID(IF($BI1301="","; Row ID not found on the department sheet - a row was deleted","")&amp;IF(AND($C1301="",COUNTA($S1301:$BB1301)&gt;0),"; Invoice entered but the department row has no job number","")&amp;IF(E1301="CHECK","; Job number not in the Xero job list","")&amp;IF(AND($C1301&lt;&gt;"",COUNTIF($C$7:$C$1506,$C1301)&gt;1),"; Job number on more than one row","")&amp;IF(AND($C1301&lt;&gt;"",H1301=""),"; Dept has not set a cost centre","")&amp;IF(AND($C1301&lt;&gt;"",J1301=""),"; Dept has not set a tax code","")&amp;IF(AND($C1301&lt;&gt;"",N1301=""),"; Dept has not entered an expected value","")&amp;IF((IF(OR(COUNTA(S1301:U1301)=0,AND(COUNTA(S1301:U1301)=3,ISNUMBER(U1301))),0,1)+IF(OR(COUNTA(V1301:X1301)=0,AND(COUNTA(V1301:X1301)=3,ISNUMBER(X1301))),0,1)+IF(OR(COUNTA(Y1301:AA1301)=0,AND(COUNTA(Y1301:AA1301)=3,ISNUMBER(AA1301))),0,1)+IF(OR(COUNTA(AB1301:AD1301)=0,AND(COUNTA(AB1301:AD1301)=3,ISNUMBER(AD1301))),0,1)+IF(OR(COUNTA(AE1301:AG1301)=0,AND(COUNTA(AE1301:AG1301)=3,ISNUMBER(AG1301))),0,1)+IF(OR(COUNTA(AH1301:AJ1301)=0,AND(COUNTA(AH1301:AJ1301)=3,ISNUMBER(AJ1301))),0,1)+IF(OR(COUNTA(AK1301:AM1301)=0,AND(COUNTA(AK1301:AM1301)=3,ISNUMBER(AM1301))),0,1)+IF(OR(COUNTA(AN1301:AP1301)=0,AND(COUNTA(AN1301:AP1301)=3,ISNUMBER(AP1301))),0,1)+IF(OR(COUNTA(AQ1301:AS1301)=0,AND(COUNTA(AQ1301:AS1301)=3,ISNUMBER(AS1301))),0,1)+IF(OR(COUNTA(AT1301:AV1301)=0,AND(COUNTA(AT1301:AV1301)=3,ISNUMBER(AV1301))),0,1)+IF(OR(COUNTA(AW1301:AY1301)=0,AND(COUNTA(AW1301:AY1301)=3,ISNUMBER(AY1301))),0,1)+IF(OR(COUNTA(AZ1301:BB1301)=0,AND(COUNTA(AZ1301:BB1301)=3,ISNUMBER(BB1301))),0,1))&gt;0,"; An invoice is incomplete (needs No, Date and a number in Ex GST)","")&amp;IF((IF(T1301="",0,IFERROR(--(EOMONTH(T1301,0)&lt;&gt;S$5),1))+IF(W1301="",0,IFERROR(--(EOMONTH(W1301,0)&lt;&gt;V$5),1))+IF(Z1301="",0,IFERROR(--(EOMONTH(Z1301,0)&lt;&gt;Y$5),1))+IF(AC1301="",0,IFERROR(--(EOMONTH(AC1301,0)&lt;&gt;AB$5),1))+IF(AF1301="",0,IFERROR(--(EOMONTH(AF1301,0)&lt;&gt;AE$5),1))+IF(AI1301="",0,IFERROR(--(EOMONTH(AI1301,0)&lt;&gt;AH$5),1))+IF(AL1301="",0,IFERROR(--(EOMONTH(AL1301,0)&lt;&gt;AK$5),1))+IF(AO1301="",0,IFERROR(--(EOMONTH(AO1301,0)&lt;&gt;AN$5),1))+IF(AR1301="",0,IFERROR(--(EOMONTH(AR1301,0)&lt;&gt;AQ$5),1))+IF(AU1301="",0,IFERROR(--(EOMONTH(AU1301,0)&lt;&gt;AT$5),1))+IF(AX1301="",0,IFERROR(--(EOMONTH(AX1301,0)&lt;&gt;AW$5),1))+IF(BA1301="",0,IFERROR(--(EOMONTH(BA1301,0)&lt;&gt;AZ$5),1)))&gt;0,"; An invoice date is not in the month it is typed under",""),3,500))</f>
        <v/>
      </c>
      <c r="S1301" s="12" t="n"/>
      <c r="T1301" s="13" t="n"/>
      <c r="U1301" s="14" t="n"/>
      <c r="V1301" s="12" t="n"/>
      <c r="W1301" s="13" t="n"/>
      <c r="X1301" s="14" t="n"/>
      <c r="Y1301" s="12" t="n"/>
      <c r="Z1301" s="13" t="n"/>
      <c r="AA1301" s="14" t="n"/>
      <c r="AB1301" s="12" t="n"/>
      <c r="AC1301" s="13" t="n"/>
      <c r="AD1301" s="14" t="n"/>
      <c r="AE1301" s="12" t="n"/>
      <c r="AF1301" s="13" t="n"/>
      <c r="AG1301" s="14" t="n"/>
      <c r="AH1301" s="12" t="n"/>
      <c r="AI1301" s="13" t="n"/>
      <c r="AJ1301" s="14" t="n"/>
      <c r="AK1301" s="12" t="n"/>
      <c r="AL1301" s="13" t="n"/>
      <c r="AM1301" s="14" t="n"/>
      <c r="AN1301" s="12" t="n"/>
      <c r="AO1301" s="13" t="n"/>
      <c r="AP1301" s="14" t="n"/>
      <c r="AQ1301" s="12" t="n"/>
      <c r="AR1301" s="13" t="n"/>
      <c r="AS1301" s="14" t="n"/>
      <c r="AT1301" s="12" t="n"/>
      <c r="AU1301" s="13" t="n"/>
      <c r="AV1301" s="14" t="n"/>
      <c r="AW1301" s="12" t="n"/>
      <c r="AX1301" s="13" t="n"/>
      <c r="AY1301" s="14" t="n"/>
      <c r="AZ1301" s="12" t="n"/>
      <c r="BA1301" s="13" t="n"/>
      <c r="BB1301" s="14" t="n"/>
      <c r="BC1301" s="11">
        <f>IF(O1301="","",IF(J1301="GST 10%",ROUND(O1301*set_GSTRate,2),0))</f>
        <v/>
      </c>
      <c r="BD1301" s="11">
        <f>IF(O1301="","",O1301+BC1301)</f>
        <v/>
      </c>
      <c r="BE1301" s="15">
        <f>IF(O1301="","",COUNTA(S1301,V1301,Y1301,AB1301,AE1301,AH1301,AK1301,AN1301,AQ1301,AT1301,AW1301,AZ1301))</f>
        <v/>
      </c>
      <c r="BF1301" s="16">
        <f>IF(COUNT(T1301,W1301,Z1301,AC1301,AF1301,AI1301,AL1301,AO1301,AR1301,AU1301,AX1301,BA1301)=0,"",MAX(T1301,W1301,Z1301,AC1301,AF1301,AI1301,AL1301,AO1301,AR1301,AU1301,AX1301,BA1301))</f>
        <v/>
      </c>
      <c r="BG1301" s="10">
        <f>MID(IF(S1301="","",", "&amp;S1301)&amp;IF(V1301="","",", "&amp;V1301)&amp;IF(Y1301="","",", "&amp;Y1301)&amp;IF(AB1301="","",", "&amp;AB1301)&amp;IF(AE1301="","",", "&amp;AE1301)&amp;IF(AH1301="","",", "&amp;AH1301)&amp;IF(AK1301="","",", "&amp;AK1301)&amp;IF(AN1301="","",", "&amp;AN1301)&amp;IF(AQ1301="","",", "&amp;AQ1301)&amp;IF(AT1301="","",", "&amp;AT1301)&amp;IF(AW1301="","",", "&amp;AW1301)&amp;IF(AZ1301="","",", "&amp;AZ1301),3,500)</f>
        <v/>
      </c>
      <c r="BH1301" s="12" t="n"/>
      <c r="BI1301" s="15">
        <f>IFERROR(MATCH($A1301,IF($B1301="Onsite",tbl_Onsite[Row ID],IF($B1301="Production",tbl_Production[Row ID],tbl_Consulting[Row ID])),0),"")</f>
        <v/>
      </c>
    </row>
    <row r="1302">
      <c r="A1302" s="10" t="inlineStr">
        <is>
          <t>CON-0296</t>
        </is>
      </c>
      <c r="B1302" s="10" t="inlineStr">
        <is>
          <t>Consulting</t>
        </is>
      </c>
      <c r="C1302" s="10">
        <f>IF($BI1302="","",IF($B1302="Onsite",INDEX(tbl_Onsite[Job Number],$BI1302),IF($B1302="Production",INDEX(tbl_Production[Job Number],$BI1302),INDEX(tbl_Consulting[Job Number],$BI1302)))&amp;"")</f>
        <v/>
      </c>
      <c r="D1302" s="10">
        <f>IF($BI1302="","",IF($B1302="Onsite",INDEX(tbl_Onsite[Client],$BI1302),IF($B1302="Production",INDEX(tbl_Production[Client],$BI1302),INDEX(tbl_Consulting[Client],$BI1302)))&amp;"")</f>
        <v/>
      </c>
      <c r="E1302" s="10">
        <f>IF($C1302="","",IF(COUNTIF(lst_Jobs,$C1302)&gt;0,"OK","CHECK"))</f>
        <v/>
      </c>
      <c r="F1302" s="10">
        <f>IF($C1302="","",IFERROR(INDEX(lst_JobName,MATCH($C1302,lst_Jobs,0)),""))</f>
        <v/>
      </c>
      <c r="G1302" s="10">
        <f>IF($BI1302="","",IF($B1302="Onsite",INDEX(tbl_Onsite[Job Description],$BI1302),IF($B1302="Production",INDEX(tbl_Production[Job Description],$BI1302),INDEX(tbl_Consulting[Job Description],$BI1302)))&amp;"")</f>
        <v/>
      </c>
      <c r="H1302" s="10">
        <f>IF($BI1302="","",IF($B1302="Onsite",INDEX(tbl_Onsite[Cost Centre],$BI1302),IF($B1302="Production",INDEX(tbl_Production[Cost Centre],$BI1302),INDEX(tbl_Consulting[Cost Centre],$BI1302)))&amp;"")</f>
        <v/>
      </c>
      <c r="I1302" s="10">
        <f>IF($BI1302="","",IF($B1302="Onsite",INDEX(tbl_Onsite[Invoice Type],$BI1302),IF($B1302="Production",INDEX(tbl_Production[Invoice Type],$BI1302),INDEX(tbl_Consulting[Invoice Type],$BI1302)))&amp;"")</f>
        <v/>
      </c>
      <c r="J1302" s="10">
        <f>IF($BI1302="","",IF($B1302="Onsite",INDEX(tbl_Onsite[Tax Code],$BI1302),IF($B1302="Production",INDEX(tbl_Production[Tax Code],$BI1302),INDEX(tbl_Consulting[Tax Code],$BI1302)))&amp;"")</f>
        <v/>
      </c>
      <c r="K1302" s="10">
        <f>IF(H1302="","",IFERROR(INDEX(lst_CCtoGL,MATCH(H1302,lst_CCforGL,0)),""))</f>
        <v/>
      </c>
      <c r="L1302" s="10">
        <f>IF($BI1302="","",IF($B1302="Onsite",INDEX(tbl_Onsite[PO / Reference],$BI1302),IF($B1302="Production",INDEX(tbl_Production[Current RMS No],$BI1302),INDEX(tbl_Consulting[Qwilr Quote],$BI1302)))&amp;"")</f>
        <v/>
      </c>
      <c r="M1302" s="10">
        <f>IF($BI1302="","",IF($B1302="Onsite",INDEX(tbl_Onsite[Notes],$BI1302),IF($B1302="Production",INDEX(tbl_Production[Notes],$BI1302),INDEX(tbl_Consulting[Notes],$BI1302)))&amp;"")</f>
        <v/>
      </c>
      <c r="N1302" s="11">
        <f>IF($BI1302="","",IF(IF($B1302="Onsite",INDEX(tbl_Onsite[Expected Revenue Ex GST],$BI1302),IF($B1302="Production",INDEX(tbl_Production[Expected Revenue Ex GST],$BI1302),INDEX(tbl_Consulting[Expected Revenue Ex GST],$BI1302)))="","",IF($B1302="Onsite",INDEX(tbl_Onsite[Expected Revenue Ex GST],$BI1302),IF($B1302="Production",INDEX(tbl_Production[Expected Revenue Ex GST],$BI1302),INDEX(tbl_Consulting[Expected Revenue Ex GST],$BI1302)))))</f>
        <v/>
      </c>
      <c r="O1302" s="11">
        <f>IF(AND($C1302="",NOT(COUNTA($S1302:$BB1302)&gt;0)),"",SUM(U1302,X1302,AA1302,AD1302,AG1302,AJ1302,AM1302,AP1302,AS1302,AV1302,AY1302,BB1302))</f>
        <v/>
      </c>
      <c r="P1302" s="11">
        <f>IF(O1302="","",N(N1302)-O1302)</f>
        <v/>
      </c>
      <c r="Q1302" s="10">
        <f>IF(O1302="","",IF($C1302="","Invoice on empty job row",IF(N1302="",IF(ROUND(O1302,2)=0,"No dept value","Invoiced - no dept value"),IF(ROUND(O1302,2)=0,"Not invoiced - to invoice",IF(ROUND(P1302,2)=0,"Agrees",IF(P1302&gt;0,"Dept higher - to invoice","Xero higher - check dept"))))))</f>
        <v/>
      </c>
      <c r="R1302" s="10">
        <f>IF(AND($C1302="",NOT(COUNTA($S1302:$BB1302)&gt;0),$BI1302&lt;&gt;""),"",MID(IF($BI1302="","; Row ID not found on the department sheet - a row was deleted","")&amp;IF(AND($C1302="",COUNTA($S1302:$BB1302)&gt;0),"; Invoice entered but the department row has no job number","")&amp;IF(E1302="CHECK","; Job number not in the Xero job list","")&amp;IF(AND($C1302&lt;&gt;"",COUNTIF($C$7:$C$1506,$C1302)&gt;1),"; Job number on more than one row","")&amp;IF(AND($C1302&lt;&gt;"",H1302=""),"; Dept has not set a cost centre","")&amp;IF(AND($C1302&lt;&gt;"",J1302=""),"; Dept has not set a tax code","")&amp;IF(AND($C1302&lt;&gt;"",N1302=""),"; Dept has not entered an expected value","")&amp;IF((IF(OR(COUNTA(S1302:U1302)=0,AND(COUNTA(S1302:U1302)=3,ISNUMBER(U1302))),0,1)+IF(OR(COUNTA(V1302:X1302)=0,AND(COUNTA(V1302:X1302)=3,ISNUMBER(X1302))),0,1)+IF(OR(COUNTA(Y1302:AA1302)=0,AND(COUNTA(Y1302:AA1302)=3,ISNUMBER(AA1302))),0,1)+IF(OR(COUNTA(AB1302:AD1302)=0,AND(COUNTA(AB1302:AD1302)=3,ISNUMBER(AD1302))),0,1)+IF(OR(COUNTA(AE1302:AG1302)=0,AND(COUNTA(AE1302:AG1302)=3,ISNUMBER(AG1302))),0,1)+IF(OR(COUNTA(AH1302:AJ1302)=0,AND(COUNTA(AH1302:AJ1302)=3,ISNUMBER(AJ1302))),0,1)+IF(OR(COUNTA(AK1302:AM1302)=0,AND(COUNTA(AK1302:AM1302)=3,ISNUMBER(AM1302))),0,1)+IF(OR(COUNTA(AN1302:AP1302)=0,AND(COUNTA(AN1302:AP1302)=3,ISNUMBER(AP1302))),0,1)+IF(OR(COUNTA(AQ1302:AS1302)=0,AND(COUNTA(AQ1302:AS1302)=3,ISNUMBER(AS1302))),0,1)+IF(OR(COUNTA(AT1302:AV1302)=0,AND(COUNTA(AT1302:AV1302)=3,ISNUMBER(AV1302))),0,1)+IF(OR(COUNTA(AW1302:AY1302)=0,AND(COUNTA(AW1302:AY1302)=3,ISNUMBER(AY1302))),0,1)+IF(OR(COUNTA(AZ1302:BB1302)=0,AND(COUNTA(AZ1302:BB1302)=3,ISNUMBER(BB1302))),0,1))&gt;0,"; An invoice is incomplete (needs No, Date and a number in Ex GST)","")&amp;IF((IF(T1302="",0,IFERROR(--(EOMONTH(T1302,0)&lt;&gt;S$5),1))+IF(W1302="",0,IFERROR(--(EOMONTH(W1302,0)&lt;&gt;V$5),1))+IF(Z1302="",0,IFERROR(--(EOMONTH(Z1302,0)&lt;&gt;Y$5),1))+IF(AC1302="",0,IFERROR(--(EOMONTH(AC1302,0)&lt;&gt;AB$5),1))+IF(AF1302="",0,IFERROR(--(EOMONTH(AF1302,0)&lt;&gt;AE$5),1))+IF(AI1302="",0,IFERROR(--(EOMONTH(AI1302,0)&lt;&gt;AH$5),1))+IF(AL1302="",0,IFERROR(--(EOMONTH(AL1302,0)&lt;&gt;AK$5),1))+IF(AO1302="",0,IFERROR(--(EOMONTH(AO1302,0)&lt;&gt;AN$5),1))+IF(AR1302="",0,IFERROR(--(EOMONTH(AR1302,0)&lt;&gt;AQ$5),1))+IF(AU1302="",0,IFERROR(--(EOMONTH(AU1302,0)&lt;&gt;AT$5),1))+IF(AX1302="",0,IFERROR(--(EOMONTH(AX1302,0)&lt;&gt;AW$5),1))+IF(BA1302="",0,IFERROR(--(EOMONTH(BA1302,0)&lt;&gt;AZ$5),1)))&gt;0,"; An invoice date is not in the month it is typed under",""),3,500))</f>
        <v/>
      </c>
      <c r="S1302" s="12" t="n"/>
      <c r="T1302" s="13" t="n"/>
      <c r="U1302" s="14" t="n"/>
      <c r="V1302" s="12" t="n"/>
      <c r="W1302" s="13" t="n"/>
      <c r="X1302" s="14" t="n"/>
      <c r="Y1302" s="12" t="n"/>
      <c r="Z1302" s="13" t="n"/>
      <c r="AA1302" s="14" t="n"/>
      <c r="AB1302" s="12" t="n"/>
      <c r="AC1302" s="13" t="n"/>
      <c r="AD1302" s="14" t="n"/>
      <c r="AE1302" s="12" t="n"/>
      <c r="AF1302" s="13" t="n"/>
      <c r="AG1302" s="14" t="n"/>
      <c r="AH1302" s="12" t="n"/>
      <c r="AI1302" s="13" t="n"/>
      <c r="AJ1302" s="14" t="n"/>
      <c r="AK1302" s="12" t="n"/>
      <c r="AL1302" s="13" t="n"/>
      <c r="AM1302" s="14" t="n"/>
      <c r="AN1302" s="12" t="n"/>
      <c r="AO1302" s="13" t="n"/>
      <c r="AP1302" s="14" t="n"/>
      <c r="AQ1302" s="12" t="n"/>
      <c r="AR1302" s="13" t="n"/>
      <c r="AS1302" s="14" t="n"/>
      <c r="AT1302" s="12" t="n"/>
      <c r="AU1302" s="13" t="n"/>
      <c r="AV1302" s="14" t="n"/>
      <c r="AW1302" s="12" t="n"/>
      <c r="AX1302" s="13" t="n"/>
      <c r="AY1302" s="14" t="n"/>
      <c r="AZ1302" s="12" t="n"/>
      <c r="BA1302" s="13" t="n"/>
      <c r="BB1302" s="14" t="n"/>
      <c r="BC1302" s="11">
        <f>IF(O1302="","",IF(J1302="GST 10%",ROUND(O1302*set_GSTRate,2),0))</f>
        <v/>
      </c>
      <c r="BD1302" s="11">
        <f>IF(O1302="","",O1302+BC1302)</f>
        <v/>
      </c>
      <c r="BE1302" s="15">
        <f>IF(O1302="","",COUNTA(S1302,V1302,Y1302,AB1302,AE1302,AH1302,AK1302,AN1302,AQ1302,AT1302,AW1302,AZ1302))</f>
        <v/>
      </c>
      <c r="BF1302" s="16">
        <f>IF(COUNT(T1302,W1302,Z1302,AC1302,AF1302,AI1302,AL1302,AO1302,AR1302,AU1302,AX1302,BA1302)=0,"",MAX(T1302,W1302,Z1302,AC1302,AF1302,AI1302,AL1302,AO1302,AR1302,AU1302,AX1302,BA1302))</f>
        <v/>
      </c>
      <c r="BG1302" s="10">
        <f>MID(IF(S1302="","",", "&amp;S1302)&amp;IF(V1302="","",", "&amp;V1302)&amp;IF(Y1302="","",", "&amp;Y1302)&amp;IF(AB1302="","",", "&amp;AB1302)&amp;IF(AE1302="","",", "&amp;AE1302)&amp;IF(AH1302="","",", "&amp;AH1302)&amp;IF(AK1302="","",", "&amp;AK1302)&amp;IF(AN1302="","",", "&amp;AN1302)&amp;IF(AQ1302="","",", "&amp;AQ1302)&amp;IF(AT1302="","",", "&amp;AT1302)&amp;IF(AW1302="","",", "&amp;AW1302)&amp;IF(AZ1302="","",", "&amp;AZ1302),3,500)</f>
        <v/>
      </c>
      <c r="BH1302" s="12" t="n"/>
      <c r="BI1302" s="15">
        <f>IFERROR(MATCH($A1302,IF($B1302="Onsite",tbl_Onsite[Row ID],IF($B1302="Production",tbl_Production[Row ID],tbl_Consulting[Row ID])),0),"")</f>
        <v/>
      </c>
    </row>
    <row r="1303">
      <c r="A1303" s="10" t="inlineStr">
        <is>
          <t>CON-0297</t>
        </is>
      </c>
      <c r="B1303" s="10" t="inlineStr">
        <is>
          <t>Consulting</t>
        </is>
      </c>
      <c r="C1303" s="10">
        <f>IF($BI1303="","",IF($B1303="Onsite",INDEX(tbl_Onsite[Job Number],$BI1303),IF($B1303="Production",INDEX(tbl_Production[Job Number],$BI1303),INDEX(tbl_Consulting[Job Number],$BI1303)))&amp;"")</f>
        <v/>
      </c>
      <c r="D1303" s="10">
        <f>IF($BI1303="","",IF($B1303="Onsite",INDEX(tbl_Onsite[Client],$BI1303),IF($B1303="Production",INDEX(tbl_Production[Client],$BI1303),INDEX(tbl_Consulting[Client],$BI1303)))&amp;"")</f>
        <v/>
      </c>
      <c r="E1303" s="10">
        <f>IF($C1303="","",IF(COUNTIF(lst_Jobs,$C1303)&gt;0,"OK","CHECK"))</f>
        <v/>
      </c>
      <c r="F1303" s="10">
        <f>IF($C1303="","",IFERROR(INDEX(lst_JobName,MATCH($C1303,lst_Jobs,0)),""))</f>
        <v/>
      </c>
      <c r="G1303" s="10">
        <f>IF($BI1303="","",IF($B1303="Onsite",INDEX(tbl_Onsite[Job Description],$BI1303),IF($B1303="Production",INDEX(tbl_Production[Job Description],$BI1303),INDEX(tbl_Consulting[Job Description],$BI1303)))&amp;"")</f>
        <v/>
      </c>
      <c r="H1303" s="10">
        <f>IF($BI1303="","",IF($B1303="Onsite",INDEX(tbl_Onsite[Cost Centre],$BI1303),IF($B1303="Production",INDEX(tbl_Production[Cost Centre],$BI1303),INDEX(tbl_Consulting[Cost Centre],$BI1303)))&amp;"")</f>
        <v/>
      </c>
      <c r="I1303" s="10">
        <f>IF($BI1303="","",IF($B1303="Onsite",INDEX(tbl_Onsite[Invoice Type],$BI1303),IF($B1303="Production",INDEX(tbl_Production[Invoice Type],$BI1303),INDEX(tbl_Consulting[Invoice Type],$BI1303)))&amp;"")</f>
        <v/>
      </c>
      <c r="J1303" s="10">
        <f>IF($BI1303="","",IF($B1303="Onsite",INDEX(tbl_Onsite[Tax Code],$BI1303),IF($B1303="Production",INDEX(tbl_Production[Tax Code],$BI1303),INDEX(tbl_Consulting[Tax Code],$BI1303)))&amp;"")</f>
        <v/>
      </c>
      <c r="K1303" s="10">
        <f>IF(H1303="","",IFERROR(INDEX(lst_CCtoGL,MATCH(H1303,lst_CCforGL,0)),""))</f>
        <v/>
      </c>
      <c r="L1303" s="10">
        <f>IF($BI1303="","",IF($B1303="Onsite",INDEX(tbl_Onsite[PO / Reference],$BI1303),IF($B1303="Production",INDEX(tbl_Production[Current RMS No],$BI1303),INDEX(tbl_Consulting[Qwilr Quote],$BI1303)))&amp;"")</f>
        <v/>
      </c>
      <c r="M1303" s="10">
        <f>IF($BI1303="","",IF($B1303="Onsite",INDEX(tbl_Onsite[Notes],$BI1303),IF($B1303="Production",INDEX(tbl_Production[Notes],$BI1303),INDEX(tbl_Consulting[Notes],$BI1303)))&amp;"")</f>
        <v/>
      </c>
      <c r="N1303" s="11">
        <f>IF($BI1303="","",IF(IF($B1303="Onsite",INDEX(tbl_Onsite[Expected Revenue Ex GST],$BI1303),IF($B1303="Production",INDEX(tbl_Production[Expected Revenue Ex GST],$BI1303),INDEX(tbl_Consulting[Expected Revenue Ex GST],$BI1303)))="","",IF($B1303="Onsite",INDEX(tbl_Onsite[Expected Revenue Ex GST],$BI1303),IF($B1303="Production",INDEX(tbl_Production[Expected Revenue Ex GST],$BI1303),INDEX(tbl_Consulting[Expected Revenue Ex GST],$BI1303)))))</f>
        <v/>
      </c>
      <c r="O1303" s="11">
        <f>IF(AND($C1303="",NOT(COUNTA($S1303:$BB1303)&gt;0)),"",SUM(U1303,X1303,AA1303,AD1303,AG1303,AJ1303,AM1303,AP1303,AS1303,AV1303,AY1303,BB1303))</f>
        <v/>
      </c>
      <c r="P1303" s="11">
        <f>IF(O1303="","",N(N1303)-O1303)</f>
        <v/>
      </c>
      <c r="Q1303" s="10">
        <f>IF(O1303="","",IF($C1303="","Invoice on empty job row",IF(N1303="",IF(ROUND(O1303,2)=0,"No dept value","Invoiced - no dept value"),IF(ROUND(O1303,2)=0,"Not invoiced - to invoice",IF(ROUND(P1303,2)=0,"Agrees",IF(P1303&gt;0,"Dept higher - to invoice","Xero higher - check dept"))))))</f>
        <v/>
      </c>
      <c r="R1303" s="10">
        <f>IF(AND($C1303="",NOT(COUNTA($S1303:$BB1303)&gt;0),$BI1303&lt;&gt;""),"",MID(IF($BI1303="","; Row ID not found on the department sheet - a row was deleted","")&amp;IF(AND($C1303="",COUNTA($S1303:$BB1303)&gt;0),"; Invoice entered but the department row has no job number","")&amp;IF(E1303="CHECK","; Job number not in the Xero job list","")&amp;IF(AND($C1303&lt;&gt;"",COUNTIF($C$7:$C$1506,$C1303)&gt;1),"; Job number on more than one row","")&amp;IF(AND($C1303&lt;&gt;"",H1303=""),"; Dept has not set a cost centre","")&amp;IF(AND($C1303&lt;&gt;"",J1303=""),"; Dept has not set a tax code","")&amp;IF(AND($C1303&lt;&gt;"",N1303=""),"; Dept has not entered an expected value","")&amp;IF((IF(OR(COUNTA(S1303:U1303)=0,AND(COUNTA(S1303:U1303)=3,ISNUMBER(U1303))),0,1)+IF(OR(COUNTA(V1303:X1303)=0,AND(COUNTA(V1303:X1303)=3,ISNUMBER(X1303))),0,1)+IF(OR(COUNTA(Y1303:AA1303)=0,AND(COUNTA(Y1303:AA1303)=3,ISNUMBER(AA1303))),0,1)+IF(OR(COUNTA(AB1303:AD1303)=0,AND(COUNTA(AB1303:AD1303)=3,ISNUMBER(AD1303))),0,1)+IF(OR(COUNTA(AE1303:AG1303)=0,AND(COUNTA(AE1303:AG1303)=3,ISNUMBER(AG1303))),0,1)+IF(OR(COUNTA(AH1303:AJ1303)=0,AND(COUNTA(AH1303:AJ1303)=3,ISNUMBER(AJ1303))),0,1)+IF(OR(COUNTA(AK1303:AM1303)=0,AND(COUNTA(AK1303:AM1303)=3,ISNUMBER(AM1303))),0,1)+IF(OR(COUNTA(AN1303:AP1303)=0,AND(COUNTA(AN1303:AP1303)=3,ISNUMBER(AP1303))),0,1)+IF(OR(COUNTA(AQ1303:AS1303)=0,AND(COUNTA(AQ1303:AS1303)=3,ISNUMBER(AS1303))),0,1)+IF(OR(COUNTA(AT1303:AV1303)=0,AND(COUNTA(AT1303:AV1303)=3,ISNUMBER(AV1303))),0,1)+IF(OR(COUNTA(AW1303:AY1303)=0,AND(COUNTA(AW1303:AY1303)=3,ISNUMBER(AY1303))),0,1)+IF(OR(COUNTA(AZ1303:BB1303)=0,AND(COUNTA(AZ1303:BB1303)=3,ISNUMBER(BB1303))),0,1))&gt;0,"; An invoice is incomplete (needs No, Date and a number in Ex GST)","")&amp;IF((IF(T1303="",0,IFERROR(--(EOMONTH(T1303,0)&lt;&gt;S$5),1))+IF(W1303="",0,IFERROR(--(EOMONTH(W1303,0)&lt;&gt;V$5),1))+IF(Z1303="",0,IFERROR(--(EOMONTH(Z1303,0)&lt;&gt;Y$5),1))+IF(AC1303="",0,IFERROR(--(EOMONTH(AC1303,0)&lt;&gt;AB$5),1))+IF(AF1303="",0,IFERROR(--(EOMONTH(AF1303,0)&lt;&gt;AE$5),1))+IF(AI1303="",0,IFERROR(--(EOMONTH(AI1303,0)&lt;&gt;AH$5),1))+IF(AL1303="",0,IFERROR(--(EOMONTH(AL1303,0)&lt;&gt;AK$5),1))+IF(AO1303="",0,IFERROR(--(EOMONTH(AO1303,0)&lt;&gt;AN$5),1))+IF(AR1303="",0,IFERROR(--(EOMONTH(AR1303,0)&lt;&gt;AQ$5),1))+IF(AU1303="",0,IFERROR(--(EOMONTH(AU1303,0)&lt;&gt;AT$5),1))+IF(AX1303="",0,IFERROR(--(EOMONTH(AX1303,0)&lt;&gt;AW$5),1))+IF(BA1303="",0,IFERROR(--(EOMONTH(BA1303,0)&lt;&gt;AZ$5),1)))&gt;0,"; An invoice date is not in the month it is typed under",""),3,500))</f>
        <v/>
      </c>
      <c r="S1303" s="12" t="n"/>
      <c r="T1303" s="13" t="n"/>
      <c r="U1303" s="14" t="n"/>
      <c r="V1303" s="12" t="n"/>
      <c r="W1303" s="13" t="n"/>
      <c r="X1303" s="14" t="n"/>
      <c r="Y1303" s="12" t="n"/>
      <c r="Z1303" s="13" t="n"/>
      <c r="AA1303" s="14" t="n"/>
      <c r="AB1303" s="12" t="n"/>
      <c r="AC1303" s="13" t="n"/>
      <c r="AD1303" s="14" t="n"/>
      <c r="AE1303" s="12" t="n"/>
      <c r="AF1303" s="13" t="n"/>
      <c r="AG1303" s="14" t="n"/>
      <c r="AH1303" s="12" t="n"/>
      <c r="AI1303" s="13" t="n"/>
      <c r="AJ1303" s="14" t="n"/>
      <c r="AK1303" s="12" t="n"/>
      <c r="AL1303" s="13" t="n"/>
      <c r="AM1303" s="14" t="n"/>
      <c r="AN1303" s="12" t="n"/>
      <c r="AO1303" s="13" t="n"/>
      <c r="AP1303" s="14" t="n"/>
      <c r="AQ1303" s="12" t="n"/>
      <c r="AR1303" s="13" t="n"/>
      <c r="AS1303" s="14" t="n"/>
      <c r="AT1303" s="12" t="n"/>
      <c r="AU1303" s="13" t="n"/>
      <c r="AV1303" s="14" t="n"/>
      <c r="AW1303" s="12" t="n"/>
      <c r="AX1303" s="13" t="n"/>
      <c r="AY1303" s="14" t="n"/>
      <c r="AZ1303" s="12" t="n"/>
      <c r="BA1303" s="13" t="n"/>
      <c r="BB1303" s="14" t="n"/>
      <c r="BC1303" s="11">
        <f>IF(O1303="","",IF(J1303="GST 10%",ROUND(O1303*set_GSTRate,2),0))</f>
        <v/>
      </c>
      <c r="BD1303" s="11">
        <f>IF(O1303="","",O1303+BC1303)</f>
        <v/>
      </c>
      <c r="BE1303" s="15">
        <f>IF(O1303="","",COUNTA(S1303,V1303,Y1303,AB1303,AE1303,AH1303,AK1303,AN1303,AQ1303,AT1303,AW1303,AZ1303))</f>
        <v/>
      </c>
      <c r="BF1303" s="16">
        <f>IF(COUNT(T1303,W1303,Z1303,AC1303,AF1303,AI1303,AL1303,AO1303,AR1303,AU1303,AX1303,BA1303)=0,"",MAX(T1303,W1303,Z1303,AC1303,AF1303,AI1303,AL1303,AO1303,AR1303,AU1303,AX1303,BA1303))</f>
        <v/>
      </c>
      <c r="BG1303" s="10">
        <f>MID(IF(S1303="","",", "&amp;S1303)&amp;IF(V1303="","",", "&amp;V1303)&amp;IF(Y1303="","",", "&amp;Y1303)&amp;IF(AB1303="","",", "&amp;AB1303)&amp;IF(AE1303="","",", "&amp;AE1303)&amp;IF(AH1303="","",", "&amp;AH1303)&amp;IF(AK1303="","",", "&amp;AK1303)&amp;IF(AN1303="","",", "&amp;AN1303)&amp;IF(AQ1303="","",", "&amp;AQ1303)&amp;IF(AT1303="","",", "&amp;AT1303)&amp;IF(AW1303="","",", "&amp;AW1303)&amp;IF(AZ1303="","",", "&amp;AZ1303),3,500)</f>
        <v/>
      </c>
      <c r="BH1303" s="12" t="n"/>
      <c r="BI1303" s="15">
        <f>IFERROR(MATCH($A1303,IF($B1303="Onsite",tbl_Onsite[Row ID],IF($B1303="Production",tbl_Production[Row ID],tbl_Consulting[Row ID])),0),"")</f>
        <v/>
      </c>
    </row>
    <row r="1304">
      <c r="A1304" s="10" t="inlineStr">
        <is>
          <t>CON-0298</t>
        </is>
      </c>
      <c r="B1304" s="10" t="inlineStr">
        <is>
          <t>Consulting</t>
        </is>
      </c>
      <c r="C1304" s="10">
        <f>IF($BI1304="","",IF($B1304="Onsite",INDEX(tbl_Onsite[Job Number],$BI1304),IF($B1304="Production",INDEX(tbl_Production[Job Number],$BI1304),INDEX(tbl_Consulting[Job Number],$BI1304)))&amp;"")</f>
        <v/>
      </c>
      <c r="D1304" s="10">
        <f>IF($BI1304="","",IF($B1304="Onsite",INDEX(tbl_Onsite[Client],$BI1304),IF($B1304="Production",INDEX(tbl_Production[Client],$BI1304),INDEX(tbl_Consulting[Client],$BI1304)))&amp;"")</f>
        <v/>
      </c>
      <c r="E1304" s="10">
        <f>IF($C1304="","",IF(COUNTIF(lst_Jobs,$C1304)&gt;0,"OK","CHECK"))</f>
        <v/>
      </c>
      <c r="F1304" s="10">
        <f>IF($C1304="","",IFERROR(INDEX(lst_JobName,MATCH($C1304,lst_Jobs,0)),""))</f>
        <v/>
      </c>
      <c r="G1304" s="10">
        <f>IF($BI1304="","",IF($B1304="Onsite",INDEX(tbl_Onsite[Job Description],$BI1304),IF($B1304="Production",INDEX(tbl_Production[Job Description],$BI1304),INDEX(tbl_Consulting[Job Description],$BI1304)))&amp;"")</f>
        <v/>
      </c>
      <c r="H1304" s="10">
        <f>IF($BI1304="","",IF($B1304="Onsite",INDEX(tbl_Onsite[Cost Centre],$BI1304),IF($B1304="Production",INDEX(tbl_Production[Cost Centre],$BI1304),INDEX(tbl_Consulting[Cost Centre],$BI1304)))&amp;"")</f>
        <v/>
      </c>
      <c r="I1304" s="10">
        <f>IF($BI1304="","",IF($B1304="Onsite",INDEX(tbl_Onsite[Invoice Type],$BI1304),IF($B1304="Production",INDEX(tbl_Production[Invoice Type],$BI1304),INDEX(tbl_Consulting[Invoice Type],$BI1304)))&amp;"")</f>
        <v/>
      </c>
      <c r="J1304" s="10">
        <f>IF($BI1304="","",IF($B1304="Onsite",INDEX(tbl_Onsite[Tax Code],$BI1304),IF($B1304="Production",INDEX(tbl_Production[Tax Code],$BI1304),INDEX(tbl_Consulting[Tax Code],$BI1304)))&amp;"")</f>
        <v/>
      </c>
      <c r="K1304" s="10">
        <f>IF(H1304="","",IFERROR(INDEX(lst_CCtoGL,MATCH(H1304,lst_CCforGL,0)),""))</f>
        <v/>
      </c>
      <c r="L1304" s="10">
        <f>IF($BI1304="","",IF($B1304="Onsite",INDEX(tbl_Onsite[PO / Reference],$BI1304),IF($B1304="Production",INDEX(tbl_Production[Current RMS No],$BI1304),INDEX(tbl_Consulting[Qwilr Quote],$BI1304)))&amp;"")</f>
        <v/>
      </c>
      <c r="M1304" s="10">
        <f>IF($BI1304="","",IF($B1304="Onsite",INDEX(tbl_Onsite[Notes],$BI1304),IF($B1304="Production",INDEX(tbl_Production[Notes],$BI1304),INDEX(tbl_Consulting[Notes],$BI1304)))&amp;"")</f>
        <v/>
      </c>
      <c r="N1304" s="11">
        <f>IF($BI1304="","",IF(IF($B1304="Onsite",INDEX(tbl_Onsite[Expected Revenue Ex GST],$BI1304),IF($B1304="Production",INDEX(tbl_Production[Expected Revenue Ex GST],$BI1304),INDEX(tbl_Consulting[Expected Revenue Ex GST],$BI1304)))="","",IF($B1304="Onsite",INDEX(tbl_Onsite[Expected Revenue Ex GST],$BI1304),IF($B1304="Production",INDEX(tbl_Production[Expected Revenue Ex GST],$BI1304),INDEX(tbl_Consulting[Expected Revenue Ex GST],$BI1304)))))</f>
        <v/>
      </c>
      <c r="O1304" s="11">
        <f>IF(AND($C1304="",NOT(COUNTA($S1304:$BB1304)&gt;0)),"",SUM(U1304,X1304,AA1304,AD1304,AG1304,AJ1304,AM1304,AP1304,AS1304,AV1304,AY1304,BB1304))</f>
        <v/>
      </c>
      <c r="P1304" s="11">
        <f>IF(O1304="","",N(N1304)-O1304)</f>
        <v/>
      </c>
      <c r="Q1304" s="10">
        <f>IF(O1304="","",IF($C1304="","Invoice on empty job row",IF(N1304="",IF(ROUND(O1304,2)=0,"No dept value","Invoiced - no dept value"),IF(ROUND(O1304,2)=0,"Not invoiced - to invoice",IF(ROUND(P1304,2)=0,"Agrees",IF(P1304&gt;0,"Dept higher - to invoice","Xero higher - check dept"))))))</f>
        <v/>
      </c>
      <c r="R1304" s="10">
        <f>IF(AND($C1304="",NOT(COUNTA($S1304:$BB1304)&gt;0),$BI1304&lt;&gt;""),"",MID(IF($BI1304="","; Row ID not found on the department sheet - a row was deleted","")&amp;IF(AND($C1304="",COUNTA($S1304:$BB1304)&gt;0),"; Invoice entered but the department row has no job number","")&amp;IF(E1304="CHECK","; Job number not in the Xero job list","")&amp;IF(AND($C1304&lt;&gt;"",COUNTIF($C$7:$C$1506,$C1304)&gt;1),"; Job number on more than one row","")&amp;IF(AND($C1304&lt;&gt;"",H1304=""),"; Dept has not set a cost centre","")&amp;IF(AND($C1304&lt;&gt;"",J1304=""),"; Dept has not set a tax code","")&amp;IF(AND($C1304&lt;&gt;"",N1304=""),"; Dept has not entered an expected value","")&amp;IF((IF(OR(COUNTA(S1304:U1304)=0,AND(COUNTA(S1304:U1304)=3,ISNUMBER(U1304))),0,1)+IF(OR(COUNTA(V1304:X1304)=0,AND(COUNTA(V1304:X1304)=3,ISNUMBER(X1304))),0,1)+IF(OR(COUNTA(Y1304:AA1304)=0,AND(COUNTA(Y1304:AA1304)=3,ISNUMBER(AA1304))),0,1)+IF(OR(COUNTA(AB1304:AD1304)=0,AND(COUNTA(AB1304:AD1304)=3,ISNUMBER(AD1304))),0,1)+IF(OR(COUNTA(AE1304:AG1304)=0,AND(COUNTA(AE1304:AG1304)=3,ISNUMBER(AG1304))),0,1)+IF(OR(COUNTA(AH1304:AJ1304)=0,AND(COUNTA(AH1304:AJ1304)=3,ISNUMBER(AJ1304))),0,1)+IF(OR(COUNTA(AK1304:AM1304)=0,AND(COUNTA(AK1304:AM1304)=3,ISNUMBER(AM1304))),0,1)+IF(OR(COUNTA(AN1304:AP1304)=0,AND(COUNTA(AN1304:AP1304)=3,ISNUMBER(AP1304))),0,1)+IF(OR(COUNTA(AQ1304:AS1304)=0,AND(COUNTA(AQ1304:AS1304)=3,ISNUMBER(AS1304))),0,1)+IF(OR(COUNTA(AT1304:AV1304)=0,AND(COUNTA(AT1304:AV1304)=3,ISNUMBER(AV1304))),0,1)+IF(OR(COUNTA(AW1304:AY1304)=0,AND(COUNTA(AW1304:AY1304)=3,ISNUMBER(AY1304))),0,1)+IF(OR(COUNTA(AZ1304:BB1304)=0,AND(COUNTA(AZ1304:BB1304)=3,ISNUMBER(BB1304))),0,1))&gt;0,"; An invoice is incomplete (needs No, Date and a number in Ex GST)","")&amp;IF((IF(T1304="",0,IFERROR(--(EOMONTH(T1304,0)&lt;&gt;S$5),1))+IF(W1304="",0,IFERROR(--(EOMONTH(W1304,0)&lt;&gt;V$5),1))+IF(Z1304="",0,IFERROR(--(EOMONTH(Z1304,0)&lt;&gt;Y$5),1))+IF(AC1304="",0,IFERROR(--(EOMONTH(AC1304,0)&lt;&gt;AB$5),1))+IF(AF1304="",0,IFERROR(--(EOMONTH(AF1304,0)&lt;&gt;AE$5),1))+IF(AI1304="",0,IFERROR(--(EOMONTH(AI1304,0)&lt;&gt;AH$5),1))+IF(AL1304="",0,IFERROR(--(EOMONTH(AL1304,0)&lt;&gt;AK$5),1))+IF(AO1304="",0,IFERROR(--(EOMONTH(AO1304,0)&lt;&gt;AN$5),1))+IF(AR1304="",0,IFERROR(--(EOMONTH(AR1304,0)&lt;&gt;AQ$5),1))+IF(AU1304="",0,IFERROR(--(EOMONTH(AU1304,0)&lt;&gt;AT$5),1))+IF(AX1304="",0,IFERROR(--(EOMONTH(AX1304,0)&lt;&gt;AW$5),1))+IF(BA1304="",0,IFERROR(--(EOMONTH(BA1304,0)&lt;&gt;AZ$5),1)))&gt;0,"; An invoice date is not in the month it is typed under",""),3,500))</f>
        <v/>
      </c>
      <c r="S1304" s="12" t="n"/>
      <c r="T1304" s="13" t="n"/>
      <c r="U1304" s="14" t="n"/>
      <c r="V1304" s="12" t="n"/>
      <c r="W1304" s="13" t="n"/>
      <c r="X1304" s="14" t="n"/>
      <c r="Y1304" s="12" t="n"/>
      <c r="Z1304" s="13" t="n"/>
      <c r="AA1304" s="14" t="n"/>
      <c r="AB1304" s="12" t="n"/>
      <c r="AC1304" s="13" t="n"/>
      <c r="AD1304" s="14" t="n"/>
      <c r="AE1304" s="12" t="n"/>
      <c r="AF1304" s="13" t="n"/>
      <c r="AG1304" s="14" t="n"/>
      <c r="AH1304" s="12" t="n"/>
      <c r="AI1304" s="13" t="n"/>
      <c r="AJ1304" s="14" t="n"/>
      <c r="AK1304" s="12" t="n"/>
      <c r="AL1304" s="13" t="n"/>
      <c r="AM1304" s="14" t="n"/>
      <c r="AN1304" s="12" t="n"/>
      <c r="AO1304" s="13" t="n"/>
      <c r="AP1304" s="14" t="n"/>
      <c r="AQ1304" s="12" t="n"/>
      <c r="AR1304" s="13" t="n"/>
      <c r="AS1304" s="14" t="n"/>
      <c r="AT1304" s="12" t="n"/>
      <c r="AU1304" s="13" t="n"/>
      <c r="AV1304" s="14" t="n"/>
      <c r="AW1304" s="12" t="n"/>
      <c r="AX1304" s="13" t="n"/>
      <c r="AY1304" s="14" t="n"/>
      <c r="AZ1304" s="12" t="n"/>
      <c r="BA1304" s="13" t="n"/>
      <c r="BB1304" s="14" t="n"/>
      <c r="BC1304" s="11">
        <f>IF(O1304="","",IF(J1304="GST 10%",ROUND(O1304*set_GSTRate,2),0))</f>
        <v/>
      </c>
      <c r="BD1304" s="11">
        <f>IF(O1304="","",O1304+BC1304)</f>
        <v/>
      </c>
      <c r="BE1304" s="15">
        <f>IF(O1304="","",COUNTA(S1304,V1304,Y1304,AB1304,AE1304,AH1304,AK1304,AN1304,AQ1304,AT1304,AW1304,AZ1304))</f>
        <v/>
      </c>
      <c r="BF1304" s="16">
        <f>IF(COUNT(T1304,W1304,Z1304,AC1304,AF1304,AI1304,AL1304,AO1304,AR1304,AU1304,AX1304,BA1304)=0,"",MAX(T1304,W1304,Z1304,AC1304,AF1304,AI1304,AL1304,AO1304,AR1304,AU1304,AX1304,BA1304))</f>
        <v/>
      </c>
      <c r="BG1304" s="10">
        <f>MID(IF(S1304="","",", "&amp;S1304)&amp;IF(V1304="","",", "&amp;V1304)&amp;IF(Y1304="","",", "&amp;Y1304)&amp;IF(AB1304="","",", "&amp;AB1304)&amp;IF(AE1304="","",", "&amp;AE1304)&amp;IF(AH1304="","",", "&amp;AH1304)&amp;IF(AK1304="","",", "&amp;AK1304)&amp;IF(AN1304="","",", "&amp;AN1304)&amp;IF(AQ1304="","",", "&amp;AQ1304)&amp;IF(AT1304="","",", "&amp;AT1304)&amp;IF(AW1304="","",", "&amp;AW1304)&amp;IF(AZ1304="","",", "&amp;AZ1304),3,500)</f>
        <v/>
      </c>
      <c r="BH1304" s="12" t="n"/>
      <c r="BI1304" s="15">
        <f>IFERROR(MATCH($A1304,IF($B1304="Onsite",tbl_Onsite[Row ID],IF($B1304="Production",tbl_Production[Row ID],tbl_Consulting[Row ID])),0),"")</f>
        <v/>
      </c>
    </row>
    <row r="1305">
      <c r="A1305" s="10" t="inlineStr">
        <is>
          <t>CON-0299</t>
        </is>
      </c>
      <c r="B1305" s="10" t="inlineStr">
        <is>
          <t>Consulting</t>
        </is>
      </c>
      <c r="C1305" s="10">
        <f>IF($BI1305="","",IF($B1305="Onsite",INDEX(tbl_Onsite[Job Number],$BI1305),IF($B1305="Production",INDEX(tbl_Production[Job Number],$BI1305),INDEX(tbl_Consulting[Job Number],$BI1305)))&amp;"")</f>
        <v/>
      </c>
      <c r="D1305" s="10">
        <f>IF($BI1305="","",IF($B1305="Onsite",INDEX(tbl_Onsite[Client],$BI1305),IF($B1305="Production",INDEX(tbl_Production[Client],$BI1305),INDEX(tbl_Consulting[Client],$BI1305)))&amp;"")</f>
        <v/>
      </c>
      <c r="E1305" s="10">
        <f>IF($C1305="","",IF(COUNTIF(lst_Jobs,$C1305)&gt;0,"OK","CHECK"))</f>
        <v/>
      </c>
      <c r="F1305" s="10">
        <f>IF($C1305="","",IFERROR(INDEX(lst_JobName,MATCH($C1305,lst_Jobs,0)),""))</f>
        <v/>
      </c>
      <c r="G1305" s="10">
        <f>IF($BI1305="","",IF($B1305="Onsite",INDEX(tbl_Onsite[Job Description],$BI1305),IF($B1305="Production",INDEX(tbl_Production[Job Description],$BI1305),INDEX(tbl_Consulting[Job Description],$BI1305)))&amp;"")</f>
        <v/>
      </c>
      <c r="H1305" s="10">
        <f>IF($BI1305="","",IF($B1305="Onsite",INDEX(tbl_Onsite[Cost Centre],$BI1305),IF($B1305="Production",INDEX(tbl_Production[Cost Centre],$BI1305),INDEX(tbl_Consulting[Cost Centre],$BI1305)))&amp;"")</f>
        <v/>
      </c>
      <c r="I1305" s="10">
        <f>IF($BI1305="","",IF($B1305="Onsite",INDEX(tbl_Onsite[Invoice Type],$BI1305),IF($B1305="Production",INDEX(tbl_Production[Invoice Type],$BI1305),INDEX(tbl_Consulting[Invoice Type],$BI1305)))&amp;"")</f>
        <v/>
      </c>
      <c r="J1305" s="10">
        <f>IF($BI1305="","",IF($B1305="Onsite",INDEX(tbl_Onsite[Tax Code],$BI1305),IF($B1305="Production",INDEX(tbl_Production[Tax Code],$BI1305),INDEX(tbl_Consulting[Tax Code],$BI1305)))&amp;"")</f>
        <v/>
      </c>
      <c r="K1305" s="10">
        <f>IF(H1305="","",IFERROR(INDEX(lst_CCtoGL,MATCH(H1305,lst_CCforGL,0)),""))</f>
        <v/>
      </c>
      <c r="L1305" s="10">
        <f>IF($BI1305="","",IF($B1305="Onsite",INDEX(tbl_Onsite[PO / Reference],$BI1305),IF($B1305="Production",INDEX(tbl_Production[Current RMS No],$BI1305),INDEX(tbl_Consulting[Qwilr Quote],$BI1305)))&amp;"")</f>
        <v/>
      </c>
      <c r="M1305" s="10">
        <f>IF($BI1305="","",IF($B1305="Onsite",INDEX(tbl_Onsite[Notes],$BI1305),IF($B1305="Production",INDEX(tbl_Production[Notes],$BI1305),INDEX(tbl_Consulting[Notes],$BI1305)))&amp;"")</f>
        <v/>
      </c>
      <c r="N1305" s="11">
        <f>IF($BI1305="","",IF(IF($B1305="Onsite",INDEX(tbl_Onsite[Expected Revenue Ex GST],$BI1305),IF($B1305="Production",INDEX(tbl_Production[Expected Revenue Ex GST],$BI1305),INDEX(tbl_Consulting[Expected Revenue Ex GST],$BI1305)))="","",IF($B1305="Onsite",INDEX(tbl_Onsite[Expected Revenue Ex GST],$BI1305),IF($B1305="Production",INDEX(tbl_Production[Expected Revenue Ex GST],$BI1305),INDEX(tbl_Consulting[Expected Revenue Ex GST],$BI1305)))))</f>
        <v/>
      </c>
      <c r="O1305" s="11">
        <f>IF(AND($C1305="",NOT(COUNTA($S1305:$BB1305)&gt;0)),"",SUM(U1305,X1305,AA1305,AD1305,AG1305,AJ1305,AM1305,AP1305,AS1305,AV1305,AY1305,BB1305))</f>
        <v/>
      </c>
      <c r="P1305" s="11">
        <f>IF(O1305="","",N(N1305)-O1305)</f>
        <v/>
      </c>
      <c r="Q1305" s="10">
        <f>IF(O1305="","",IF($C1305="","Invoice on empty job row",IF(N1305="",IF(ROUND(O1305,2)=0,"No dept value","Invoiced - no dept value"),IF(ROUND(O1305,2)=0,"Not invoiced - to invoice",IF(ROUND(P1305,2)=0,"Agrees",IF(P1305&gt;0,"Dept higher - to invoice","Xero higher - check dept"))))))</f>
        <v/>
      </c>
      <c r="R1305" s="10">
        <f>IF(AND($C1305="",NOT(COUNTA($S1305:$BB1305)&gt;0),$BI1305&lt;&gt;""),"",MID(IF($BI1305="","; Row ID not found on the department sheet - a row was deleted","")&amp;IF(AND($C1305="",COUNTA($S1305:$BB1305)&gt;0),"; Invoice entered but the department row has no job number","")&amp;IF(E1305="CHECK","; Job number not in the Xero job list","")&amp;IF(AND($C1305&lt;&gt;"",COUNTIF($C$7:$C$1506,$C1305)&gt;1),"; Job number on more than one row","")&amp;IF(AND($C1305&lt;&gt;"",H1305=""),"; Dept has not set a cost centre","")&amp;IF(AND($C1305&lt;&gt;"",J1305=""),"; Dept has not set a tax code","")&amp;IF(AND($C1305&lt;&gt;"",N1305=""),"; Dept has not entered an expected value","")&amp;IF((IF(OR(COUNTA(S1305:U1305)=0,AND(COUNTA(S1305:U1305)=3,ISNUMBER(U1305))),0,1)+IF(OR(COUNTA(V1305:X1305)=0,AND(COUNTA(V1305:X1305)=3,ISNUMBER(X1305))),0,1)+IF(OR(COUNTA(Y1305:AA1305)=0,AND(COUNTA(Y1305:AA1305)=3,ISNUMBER(AA1305))),0,1)+IF(OR(COUNTA(AB1305:AD1305)=0,AND(COUNTA(AB1305:AD1305)=3,ISNUMBER(AD1305))),0,1)+IF(OR(COUNTA(AE1305:AG1305)=0,AND(COUNTA(AE1305:AG1305)=3,ISNUMBER(AG1305))),0,1)+IF(OR(COUNTA(AH1305:AJ1305)=0,AND(COUNTA(AH1305:AJ1305)=3,ISNUMBER(AJ1305))),0,1)+IF(OR(COUNTA(AK1305:AM1305)=0,AND(COUNTA(AK1305:AM1305)=3,ISNUMBER(AM1305))),0,1)+IF(OR(COUNTA(AN1305:AP1305)=0,AND(COUNTA(AN1305:AP1305)=3,ISNUMBER(AP1305))),0,1)+IF(OR(COUNTA(AQ1305:AS1305)=0,AND(COUNTA(AQ1305:AS1305)=3,ISNUMBER(AS1305))),0,1)+IF(OR(COUNTA(AT1305:AV1305)=0,AND(COUNTA(AT1305:AV1305)=3,ISNUMBER(AV1305))),0,1)+IF(OR(COUNTA(AW1305:AY1305)=0,AND(COUNTA(AW1305:AY1305)=3,ISNUMBER(AY1305))),0,1)+IF(OR(COUNTA(AZ1305:BB1305)=0,AND(COUNTA(AZ1305:BB1305)=3,ISNUMBER(BB1305))),0,1))&gt;0,"; An invoice is incomplete (needs No, Date and a number in Ex GST)","")&amp;IF((IF(T1305="",0,IFERROR(--(EOMONTH(T1305,0)&lt;&gt;S$5),1))+IF(W1305="",0,IFERROR(--(EOMONTH(W1305,0)&lt;&gt;V$5),1))+IF(Z1305="",0,IFERROR(--(EOMONTH(Z1305,0)&lt;&gt;Y$5),1))+IF(AC1305="",0,IFERROR(--(EOMONTH(AC1305,0)&lt;&gt;AB$5),1))+IF(AF1305="",0,IFERROR(--(EOMONTH(AF1305,0)&lt;&gt;AE$5),1))+IF(AI1305="",0,IFERROR(--(EOMONTH(AI1305,0)&lt;&gt;AH$5),1))+IF(AL1305="",0,IFERROR(--(EOMONTH(AL1305,0)&lt;&gt;AK$5),1))+IF(AO1305="",0,IFERROR(--(EOMONTH(AO1305,0)&lt;&gt;AN$5),1))+IF(AR1305="",0,IFERROR(--(EOMONTH(AR1305,0)&lt;&gt;AQ$5),1))+IF(AU1305="",0,IFERROR(--(EOMONTH(AU1305,0)&lt;&gt;AT$5),1))+IF(AX1305="",0,IFERROR(--(EOMONTH(AX1305,0)&lt;&gt;AW$5),1))+IF(BA1305="",0,IFERROR(--(EOMONTH(BA1305,0)&lt;&gt;AZ$5),1)))&gt;0,"; An invoice date is not in the month it is typed under",""),3,500))</f>
        <v/>
      </c>
      <c r="S1305" s="12" t="n"/>
      <c r="T1305" s="13" t="n"/>
      <c r="U1305" s="14" t="n"/>
      <c r="V1305" s="12" t="n"/>
      <c r="W1305" s="13" t="n"/>
      <c r="X1305" s="14" t="n"/>
      <c r="Y1305" s="12" t="n"/>
      <c r="Z1305" s="13" t="n"/>
      <c r="AA1305" s="14" t="n"/>
      <c r="AB1305" s="12" t="n"/>
      <c r="AC1305" s="13" t="n"/>
      <c r="AD1305" s="14" t="n"/>
      <c r="AE1305" s="12" t="n"/>
      <c r="AF1305" s="13" t="n"/>
      <c r="AG1305" s="14" t="n"/>
      <c r="AH1305" s="12" t="n"/>
      <c r="AI1305" s="13" t="n"/>
      <c r="AJ1305" s="14" t="n"/>
      <c r="AK1305" s="12" t="n"/>
      <c r="AL1305" s="13" t="n"/>
      <c r="AM1305" s="14" t="n"/>
      <c r="AN1305" s="12" t="n"/>
      <c r="AO1305" s="13" t="n"/>
      <c r="AP1305" s="14" t="n"/>
      <c r="AQ1305" s="12" t="n"/>
      <c r="AR1305" s="13" t="n"/>
      <c r="AS1305" s="14" t="n"/>
      <c r="AT1305" s="12" t="n"/>
      <c r="AU1305" s="13" t="n"/>
      <c r="AV1305" s="14" t="n"/>
      <c r="AW1305" s="12" t="n"/>
      <c r="AX1305" s="13" t="n"/>
      <c r="AY1305" s="14" t="n"/>
      <c r="AZ1305" s="12" t="n"/>
      <c r="BA1305" s="13" t="n"/>
      <c r="BB1305" s="14" t="n"/>
      <c r="BC1305" s="11">
        <f>IF(O1305="","",IF(J1305="GST 10%",ROUND(O1305*set_GSTRate,2),0))</f>
        <v/>
      </c>
      <c r="BD1305" s="11">
        <f>IF(O1305="","",O1305+BC1305)</f>
        <v/>
      </c>
      <c r="BE1305" s="15">
        <f>IF(O1305="","",COUNTA(S1305,V1305,Y1305,AB1305,AE1305,AH1305,AK1305,AN1305,AQ1305,AT1305,AW1305,AZ1305))</f>
        <v/>
      </c>
      <c r="BF1305" s="16">
        <f>IF(COUNT(T1305,W1305,Z1305,AC1305,AF1305,AI1305,AL1305,AO1305,AR1305,AU1305,AX1305,BA1305)=0,"",MAX(T1305,W1305,Z1305,AC1305,AF1305,AI1305,AL1305,AO1305,AR1305,AU1305,AX1305,BA1305))</f>
        <v/>
      </c>
      <c r="BG1305" s="10">
        <f>MID(IF(S1305="","",", "&amp;S1305)&amp;IF(V1305="","",", "&amp;V1305)&amp;IF(Y1305="","",", "&amp;Y1305)&amp;IF(AB1305="","",", "&amp;AB1305)&amp;IF(AE1305="","",", "&amp;AE1305)&amp;IF(AH1305="","",", "&amp;AH1305)&amp;IF(AK1305="","",", "&amp;AK1305)&amp;IF(AN1305="","",", "&amp;AN1305)&amp;IF(AQ1305="","",", "&amp;AQ1305)&amp;IF(AT1305="","",", "&amp;AT1305)&amp;IF(AW1305="","",", "&amp;AW1305)&amp;IF(AZ1305="","",", "&amp;AZ1305),3,500)</f>
        <v/>
      </c>
      <c r="BH1305" s="12" t="n"/>
      <c r="BI1305" s="15">
        <f>IFERROR(MATCH($A1305,IF($B1305="Onsite",tbl_Onsite[Row ID],IF($B1305="Production",tbl_Production[Row ID],tbl_Consulting[Row ID])),0),"")</f>
        <v/>
      </c>
    </row>
    <row r="1306">
      <c r="A1306" s="10" t="inlineStr">
        <is>
          <t>CON-0300</t>
        </is>
      </c>
      <c r="B1306" s="10" t="inlineStr">
        <is>
          <t>Consulting</t>
        </is>
      </c>
      <c r="C1306" s="10">
        <f>IF($BI1306="","",IF($B1306="Onsite",INDEX(tbl_Onsite[Job Number],$BI1306),IF($B1306="Production",INDEX(tbl_Production[Job Number],$BI1306),INDEX(tbl_Consulting[Job Number],$BI1306)))&amp;"")</f>
        <v/>
      </c>
      <c r="D1306" s="10">
        <f>IF($BI1306="","",IF($B1306="Onsite",INDEX(tbl_Onsite[Client],$BI1306),IF($B1306="Production",INDEX(tbl_Production[Client],$BI1306),INDEX(tbl_Consulting[Client],$BI1306)))&amp;"")</f>
        <v/>
      </c>
      <c r="E1306" s="10">
        <f>IF($C1306="","",IF(COUNTIF(lst_Jobs,$C1306)&gt;0,"OK","CHECK"))</f>
        <v/>
      </c>
      <c r="F1306" s="10">
        <f>IF($C1306="","",IFERROR(INDEX(lst_JobName,MATCH($C1306,lst_Jobs,0)),""))</f>
        <v/>
      </c>
      <c r="G1306" s="10">
        <f>IF($BI1306="","",IF($B1306="Onsite",INDEX(tbl_Onsite[Job Description],$BI1306),IF($B1306="Production",INDEX(tbl_Production[Job Description],$BI1306),INDEX(tbl_Consulting[Job Description],$BI1306)))&amp;"")</f>
        <v/>
      </c>
      <c r="H1306" s="10">
        <f>IF($BI1306="","",IF($B1306="Onsite",INDEX(tbl_Onsite[Cost Centre],$BI1306),IF($B1306="Production",INDEX(tbl_Production[Cost Centre],$BI1306),INDEX(tbl_Consulting[Cost Centre],$BI1306)))&amp;"")</f>
        <v/>
      </c>
      <c r="I1306" s="10">
        <f>IF($BI1306="","",IF($B1306="Onsite",INDEX(tbl_Onsite[Invoice Type],$BI1306),IF($B1306="Production",INDEX(tbl_Production[Invoice Type],$BI1306),INDEX(tbl_Consulting[Invoice Type],$BI1306)))&amp;"")</f>
        <v/>
      </c>
      <c r="J1306" s="10">
        <f>IF($BI1306="","",IF($B1306="Onsite",INDEX(tbl_Onsite[Tax Code],$BI1306),IF($B1306="Production",INDEX(tbl_Production[Tax Code],$BI1306),INDEX(tbl_Consulting[Tax Code],$BI1306)))&amp;"")</f>
        <v/>
      </c>
      <c r="K1306" s="10">
        <f>IF(H1306="","",IFERROR(INDEX(lst_CCtoGL,MATCH(H1306,lst_CCforGL,0)),""))</f>
        <v/>
      </c>
      <c r="L1306" s="10">
        <f>IF($BI1306="","",IF($B1306="Onsite",INDEX(tbl_Onsite[PO / Reference],$BI1306),IF($B1306="Production",INDEX(tbl_Production[Current RMS No],$BI1306),INDEX(tbl_Consulting[Qwilr Quote],$BI1306)))&amp;"")</f>
        <v/>
      </c>
      <c r="M1306" s="10">
        <f>IF($BI1306="","",IF($B1306="Onsite",INDEX(tbl_Onsite[Notes],$BI1306),IF($B1306="Production",INDEX(tbl_Production[Notes],$BI1306),INDEX(tbl_Consulting[Notes],$BI1306)))&amp;"")</f>
        <v/>
      </c>
      <c r="N1306" s="11">
        <f>IF($BI1306="","",IF(IF($B1306="Onsite",INDEX(tbl_Onsite[Expected Revenue Ex GST],$BI1306),IF($B1306="Production",INDEX(tbl_Production[Expected Revenue Ex GST],$BI1306),INDEX(tbl_Consulting[Expected Revenue Ex GST],$BI1306)))="","",IF($B1306="Onsite",INDEX(tbl_Onsite[Expected Revenue Ex GST],$BI1306),IF($B1306="Production",INDEX(tbl_Production[Expected Revenue Ex GST],$BI1306),INDEX(tbl_Consulting[Expected Revenue Ex GST],$BI1306)))))</f>
        <v/>
      </c>
      <c r="O1306" s="11">
        <f>IF(AND($C1306="",NOT(COUNTA($S1306:$BB1306)&gt;0)),"",SUM(U1306,X1306,AA1306,AD1306,AG1306,AJ1306,AM1306,AP1306,AS1306,AV1306,AY1306,BB1306))</f>
        <v/>
      </c>
      <c r="P1306" s="11">
        <f>IF(O1306="","",N(N1306)-O1306)</f>
        <v/>
      </c>
      <c r="Q1306" s="10">
        <f>IF(O1306="","",IF($C1306="","Invoice on empty job row",IF(N1306="",IF(ROUND(O1306,2)=0,"No dept value","Invoiced - no dept value"),IF(ROUND(O1306,2)=0,"Not invoiced - to invoice",IF(ROUND(P1306,2)=0,"Agrees",IF(P1306&gt;0,"Dept higher - to invoice","Xero higher - check dept"))))))</f>
        <v/>
      </c>
      <c r="R1306" s="10">
        <f>IF(AND($C1306="",NOT(COUNTA($S1306:$BB1306)&gt;0),$BI1306&lt;&gt;""),"",MID(IF($BI1306="","; Row ID not found on the department sheet - a row was deleted","")&amp;IF(AND($C1306="",COUNTA($S1306:$BB1306)&gt;0),"; Invoice entered but the department row has no job number","")&amp;IF(E1306="CHECK","; Job number not in the Xero job list","")&amp;IF(AND($C1306&lt;&gt;"",COUNTIF($C$7:$C$1506,$C1306)&gt;1),"; Job number on more than one row","")&amp;IF(AND($C1306&lt;&gt;"",H1306=""),"; Dept has not set a cost centre","")&amp;IF(AND($C1306&lt;&gt;"",J1306=""),"; Dept has not set a tax code","")&amp;IF(AND($C1306&lt;&gt;"",N1306=""),"; Dept has not entered an expected value","")&amp;IF((IF(OR(COUNTA(S1306:U1306)=0,AND(COUNTA(S1306:U1306)=3,ISNUMBER(U1306))),0,1)+IF(OR(COUNTA(V1306:X1306)=0,AND(COUNTA(V1306:X1306)=3,ISNUMBER(X1306))),0,1)+IF(OR(COUNTA(Y1306:AA1306)=0,AND(COUNTA(Y1306:AA1306)=3,ISNUMBER(AA1306))),0,1)+IF(OR(COUNTA(AB1306:AD1306)=0,AND(COUNTA(AB1306:AD1306)=3,ISNUMBER(AD1306))),0,1)+IF(OR(COUNTA(AE1306:AG1306)=0,AND(COUNTA(AE1306:AG1306)=3,ISNUMBER(AG1306))),0,1)+IF(OR(COUNTA(AH1306:AJ1306)=0,AND(COUNTA(AH1306:AJ1306)=3,ISNUMBER(AJ1306))),0,1)+IF(OR(COUNTA(AK1306:AM1306)=0,AND(COUNTA(AK1306:AM1306)=3,ISNUMBER(AM1306))),0,1)+IF(OR(COUNTA(AN1306:AP1306)=0,AND(COUNTA(AN1306:AP1306)=3,ISNUMBER(AP1306))),0,1)+IF(OR(COUNTA(AQ1306:AS1306)=0,AND(COUNTA(AQ1306:AS1306)=3,ISNUMBER(AS1306))),0,1)+IF(OR(COUNTA(AT1306:AV1306)=0,AND(COUNTA(AT1306:AV1306)=3,ISNUMBER(AV1306))),0,1)+IF(OR(COUNTA(AW1306:AY1306)=0,AND(COUNTA(AW1306:AY1306)=3,ISNUMBER(AY1306))),0,1)+IF(OR(COUNTA(AZ1306:BB1306)=0,AND(COUNTA(AZ1306:BB1306)=3,ISNUMBER(BB1306))),0,1))&gt;0,"; An invoice is incomplete (needs No, Date and a number in Ex GST)","")&amp;IF((IF(T1306="",0,IFERROR(--(EOMONTH(T1306,0)&lt;&gt;S$5),1))+IF(W1306="",0,IFERROR(--(EOMONTH(W1306,0)&lt;&gt;V$5),1))+IF(Z1306="",0,IFERROR(--(EOMONTH(Z1306,0)&lt;&gt;Y$5),1))+IF(AC1306="",0,IFERROR(--(EOMONTH(AC1306,0)&lt;&gt;AB$5),1))+IF(AF1306="",0,IFERROR(--(EOMONTH(AF1306,0)&lt;&gt;AE$5),1))+IF(AI1306="",0,IFERROR(--(EOMONTH(AI1306,0)&lt;&gt;AH$5),1))+IF(AL1306="",0,IFERROR(--(EOMONTH(AL1306,0)&lt;&gt;AK$5),1))+IF(AO1306="",0,IFERROR(--(EOMONTH(AO1306,0)&lt;&gt;AN$5),1))+IF(AR1306="",0,IFERROR(--(EOMONTH(AR1306,0)&lt;&gt;AQ$5),1))+IF(AU1306="",0,IFERROR(--(EOMONTH(AU1306,0)&lt;&gt;AT$5),1))+IF(AX1306="",0,IFERROR(--(EOMONTH(AX1306,0)&lt;&gt;AW$5),1))+IF(BA1306="",0,IFERROR(--(EOMONTH(BA1306,0)&lt;&gt;AZ$5),1)))&gt;0,"; An invoice date is not in the month it is typed under",""),3,500))</f>
        <v/>
      </c>
      <c r="S1306" s="12" t="n"/>
      <c r="T1306" s="13" t="n"/>
      <c r="U1306" s="14" t="n"/>
      <c r="V1306" s="12" t="n"/>
      <c r="W1306" s="13" t="n"/>
      <c r="X1306" s="14" t="n"/>
      <c r="Y1306" s="12" t="n"/>
      <c r="Z1306" s="13" t="n"/>
      <c r="AA1306" s="14" t="n"/>
      <c r="AB1306" s="12" t="n"/>
      <c r="AC1306" s="13" t="n"/>
      <c r="AD1306" s="14" t="n"/>
      <c r="AE1306" s="12" t="n"/>
      <c r="AF1306" s="13" t="n"/>
      <c r="AG1306" s="14" t="n"/>
      <c r="AH1306" s="12" t="n"/>
      <c r="AI1306" s="13" t="n"/>
      <c r="AJ1306" s="14" t="n"/>
      <c r="AK1306" s="12" t="n"/>
      <c r="AL1306" s="13" t="n"/>
      <c r="AM1306" s="14" t="n"/>
      <c r="AN1306" s="12" t="n"/>
      <c r="AO1306" s="13" t="n"/>
      <c r="AP1306" s="14" t="n"/>
      <c r="AQ1306" s="12" t="n"/>
      <c r="AR1306" s="13" t="n"/>
      <c r="AS1306" s="14" t="n"/>
      <c r="AT1306" s="12" t="n"/>
      <c r="AU1306" s="13" t="n"/>
      <c r="AV1306" s="14" t="n"/>
      <c r="AW1306" s="12" t="n"/>
      <c r="AX1306" s="13" t="n"/>
      <c r="AY1306" s="14" t="n"/>
      <c r="AZ1306" s="12" t="n"/>
      <c r="BA1306" s="13" t="n"/>
      <c r="BB1306" s="14" t="n"/>
      <c r="BC1306" s="11">
        <f>IF(O1306="","",IF(J1306="GST 10%",ROUND(O1306*set_GSTRate,2),0))</f>
        <v/>
      </c>
      <c r="BD1306" s="11">
        <f>IF(O1306="","",O1306+BC1306)</f>
        <v/>
      </c>
      <c r="BE1306" s="15">
        <f>IF(O1306="","",COUNTA(S1306,V1306,Y1306,AB1306,AE1306,AH1306,AK1306,AN1306,AQ1306,AT1306,AW1306,AZ1306))</f>
        <v/>
      </c>
      <c r="BF1306" s="16">
        <f>IF(COUNT(T1306,W1306,Z1306,AC1306,AF1306,AI1306,AL1306,AO1306,AR1306,AU1306,AX1306,BA1306)=0,"",MAX(T1306,W1306,Z1306,AC1306,AF1306,AI1306,AL1306,AO1306,AR1306,AU1306,AX1306,BA1306))</f>
        <v/>
      </c>
      <c r="BG1306" s="10">
        <f>MID(IF(S1306="","",", "&amp;S1306)&amp;IF(V1306="","",", "&amp;V1306)&amp;IF(Y1306="","",", "&amp;Y1306)&amp;IF(AB1306="","",", "&amp;AB1306)&amp;IF(AE1306="","",", "&amp;AE1306)&amp;IF(AH1306="","",", "&amp;AH1306)&amp;IF(AK1306="","",", "&amp;AK1306)&amp;IF(AN1306="","",", "&amp;AN1306)&amp;IF(AQ1306="","",", "&amp;AQ1306)&amp;IF(AT1306="","",", "&amp;AT1306)&amp;IF(AW1306="","",", "&amp;AW1306)&amp;IF(AZ1306="","",", "&amp;AZ1306),3,500)</f>
        <v/>
      </c>
      <c r="BH1306" s="12" t="n"/>
      <c r="BI1306" s="15">
        <f>IFERROR(MATCH($A1306,IF($B1306="Onsite",tbl_Onsite[Row ID],IF($B1306="Production",tbl_Production[Row ID],tbl_Consulting[Row ID])),0),"")</f>
        <v/>
      </c>
    </row>
    <row r="1307">
      <c r="A1307" s="10" t="inlineStr">
        <is>
          <t>CON-0301</t>
        </is>
      </c>
      <c r="B1307" s="10" t="inlineStr">
        <is>
          <t>Consulting</t>
        </is>
      </c>
      <c r="C1307" s="10">
        <f>IF($BI1307="","",IF($B1307="Onsite",INDEX(tbl_Onsite[Job Number],$BI1307),IF($B1307="Production",INDEX(tbl_Production[Job Number],$BI1307),INDEX(tbl_Consulting[Job Number],$BI1307)))&amp;"")</f>
        <v/>
      </c>
      <c r="D1307" s="10">
        <f>IF($BI1307="","",IF($B1307="Onsite",INDEX(tbl_Onsite[Client],$BI1307),IF($B1307="Production",INDEX(tbl_Production[Client],$BI1307),INDEX(tbl_Consulting[Client],$BI1307)))&amp;"")</f>
        <v/>
      </c>
      <c r="E1307" s="10">
        <f>IF($C1307="","",IF(COUNTIF(lst_Jobs,$C1307)&gt;0,"OK","CHECK"))</f>
        <v/>
      </c>
      <c r="F1307" s="10">
        <f>IF($C1307="","",IFERROR(INDEX(lst_JobName,MATCH($C1307,lst_Jobs,0)),""))</f>
        <v/>
      </c>
      <c r="G1307" s="10">
        <f>IF($BI1307="","",IF($B1307="Onsite",INDEX(tbl_Onsite[Job Description],$BI1307),IF($B1307="Production",INDEX(tbl_Production[Job Description],$BI1307),INDEX(tbl_Consulting[Job Description],$BI1307)))&amp;"")</f>
        <v/>
      </c>
      <c r="H1307" s="10">
        <f>IF($BI1307="","",IF($B1307="Onsite",INDEX(tbl_Onsite[Cost Centre],$BI1307),IF($B1307="Production",INDEX(tbl_Production[Cost Centre],$BI1307),INDEX(tbl_Consulting[Cost Centre],$BI1307)))&amp;"")</f>
        <v/>
      </c>
      <c r="I1307" s="10">
        <f>IF($BI1307="","",IF($B1307="Onsite",INDEX(tbl_Onsite[Invoice Type],$BI1307),IF($B1307="Production",INDEX(tbl_Production[Invoice Type],$BI1307),INDEX(tbl_Consulting[Invoice Type],$BI1307)))&amp;"")</f>
        <v/>
      </c>
      <c r="J1307" s="10">
        <f>IF($BI1307="","",IF($B1307="Onsite",INDEX(tbl_Onsite[Tax Code],$BI1307),IF($B1307="Production",INDEX(tbl_Production[Tax Code],$BI1307),INDEX(tbl_Consulting[Tax Code],$BI1307)))&amp;"")</f>
        <v/>
      </c>
      <c r="K1307" s="10">
        <f>IF(H1307="","",IFERROR(INDEX(lst_CCtoGL,MATCH(H1307,lst_CCforGL,0)),""))</f>
        <v/>
      </c>
      <c r="L1307" s="10">
        <f>IF($BI1307="","",IF($B1307="Onsite",INDEX(tbl_Onsite[PO / Reference],$BI1307),IF($B1307="Production",INDEX(tbl_Production[Current RMS No],$BI1307),INDEX(tbl_Consulting[Qwilr Quote],$BI1307)))&amp;"")</f>
        <v/>
      </c>
      <c r="M1307" s="10">
        <f>IF($BI1307="","",IF($B1307="Onsite",INDEX(tbl_Onsite[Notes],$BI1307),IF($B1307="Production",INDEX(tbl_Production[Notes],$BI1307),INDEX(tbl_Consulting[Notes],$BI1307)))&amp;"")</f>
        <v/>
      </c>
      <c r="N1307" s="11">
        <f>IF($BI1307="","",IF(IF($B1307="Onsite",INDEX(tbl_Onsite[Expected Revenue Ex GST],$BI1307),IF($B1307="Production",INDEX(tbl_Production[Expected Revenue Ex GST],$BI1307),INDEX(tbl_Consulting[Expected Revenue Ex GST],$BI1307)))="","",IF($B1307="Onsite",INDEX(tbl_Onsite[Expected Revenue Ex GST],$BI1307),IF($B1307="Production",INDEX(tbl_Production[Expected Revenue Ex GST],$BI1307),INDEX(tbl_Consulting[Expected Revenue Ex GST],$BI1307)))))</f>
        <v/>
      </c>
      <c r="O1307" s="11">
        <f>IF(AND($C1307="",NOT(COUNTA($S1307:$BB1307)&gt;0)),"",SUM(U1307,X1307,AA1307,AD1307,AG1307,AJ1307,AM1307,AP1307,AS1307,AV1307,AY1307,BB1307))</f>
        <v/>
      </c>
      <c r="P1307" s="11">
        <f>IF(O1307="","",N(N1307)-O1307)</f>
        <v/>
      </c>
      <c r="Q1307" s="10">
        <f>IF(O1307="","",IF($C1307="","Invoice on empty job row",IF(N1307="",IF(ROUND(O1307,2)=0,"No dept value","Invoiced - no dept value"),IF(ROUND(O1307,2)=0,"Not invoiced - to invoice",IF(ROUND(P1307,2)=0,"Agrees",IF(P1307&gt;0,"Dept higher - to invoice","Xero higher - check dept"))))))</f>
        <v/>
      </c>
      <c r="R1307" s="10">
        <f>IF(AND($C1307="",NOT(COUNTA($S1307:$BB1307)&gt;0),$BI1307&lt;&gt;""),"",MID(IF($BI1307="","; Row ID not found on the department sheet - a row was deleted","")&amp;IF(AND($C1307="",COUNTA($S1307:$BB1307)&gt;0),"; Invoice entered but the department row has no job number","")&amp;IF(E1307="CHECK","; Job number not in the Xero job list","")&amp;IF(AND($C1307&lt;&gt;"",COUNTIF($C$7:$C$1506,$C1307)&gt;1),"; Job number on more than one row","")&amp;IF(AND($C1307&lt;&gt;"",H1307=""),"; Dept has not set a cost centre","")&amp;IF(AND($C1307&lt;&gt;"",J1307=""),"; Dept has not set a tax code","")&amp;IF(AND($C1307&lt;&gt;"",N1307=""),"; Dept has not entered an expected value","")&amp;IF((IF(OR(COUNTA(S1307:U1307)=0,AND(COUNTA(S1307:U1307)=3,ISNUMBER(U1307))),0,1)+IF(OR(COUNTA(V1307:X1307)=0,AND(COUNTA(V1307:X1307)=3,ISNUMBER(X1307))),0,1)+IF(OR(COUNTA(Y1307:AA1307)=0,AND(COUNTA(Y1307:AA1307)=3,ISNUMBER(AA1307))),0,1)+IF(OR(COUNTA(AB1307:AD1307)=0,AND(COUNTA(AB1307:AD1307)=3,ISNUMBER(AD1307))),0,1)+IF(OR(COUNTA(AE1307:AG1307)=0,AND(COUNTA(AE1307:AG1307)=3,ISNUMBER(AG1307))),0,1)+IF(OR(COUNTA(AH1307:AJ1307)=0,AND(COUNTA(AH1307:AJ1307)=3,ISNUMBER(AJ1307))),0,1)+IF(OR(COUNTA(AK1307:AM1307)=0,AND(COUNTA(AK1307:AM1307)=3,ISNUMBER(AM1307))),0,1)+IF(OR(COUNTA(AN1307:AP1307)=0,AND(COUNTA(AN1307:AP1307)=3,ISNUMBER(AP1307))),0,1)+IF(OR(COUNTA(AQ1307:AS1307)=0,AND(COUNTA(AQ1307:AS1307)=3,ISNUMBER(AS1307))),0,1)+IF(OR(COUNTA(AT1307:AV1307)=0,AND(COUNTA(AT1307:AV1307)=3,ISNUMBER(AV1307))),0,1)+IF(OR(COUNTA(AW1307:AY1307)=0,AND(COUNTA(AW1307:AY1307)=3,ISNUMBER(AY1307))),0,1)+IF(OR(COUNTA(AZ1307:BB1307)=0,AND(COUNTA(AZ1307:BB1307)=3,ISNUMBER(BB1307))),0,1))&gt;0,"; An invoice is incomplete (needs No, Date and a number in Ex GST)","")&amp;IF((IF(T1307="",0,IFERROR(--(EOMONTH(T1307,0)&lt;&gt;S$5),1))+IF(W1307="",0,IFERROR(--(EOMONTH(W1307,0)&lt;&gt;V$5),1))+IF(Z1307="",0,IFERROR(--(EOMONTH(Z1307,0)&lt;&gt;Y$5),1))+IF(AC1307="",0,IFERROR(--(EOMONTH(AC1307,0)&lt;&gt;AB$5),1))+IF(AF1307="",0,IFERROR(--(EOMONTH(AF1307,0)&lt;&gt;AE$5),1))+IF(AI1307="",0,IFERROR(--(EOMONTH(AI1307,0)&lt;&gt;AH$5),1))+IF(AL1307="",0,IFERROR(--(EOMONTH(AL1307,0)&lt;&gt;AK$5),1))+IF(AO1307="",0,IFERROR(--(EOMONTH(AO1307,0)&lt;&gt;AN$5),1))+IF(AR1307="",0,IFERROR(--(EOMONTH(AR1307,0)&lt;&gt;AQ$5),1))+IF(AU1307="",0,IFERROR(--(EOMONTH(AU1307,0)&lt;&gt;AT$5),1))+IF(AX1307="",0,IFERROR(--(EOMONTH(AX1307,0)&lt;&gt;AW$5),1))+IF(BA1307="",0,IFERROR(--(EOMONTH(BA1307,0)&lt;&gt;AZ$5),1)))&gt;0,"; An invoice date is not in the month it is typed under",""),3,500))</f>
        <v/>
      </c>
      <c r="S1307" s="12" t="n"/>
      <c r="T1307" s="13" t="n"/>
      <c r="U1307" s="14" t="n"/>
      <c r="V1307" s="12" t="n"/>
      <c r="W1307" s="13" t="n"/>
      <c r="X1307" s="14" t="n"/>
      <c r="Y1307" s="12" t="n"/>
      <c r="Z1307" s="13" t="n"/>
      <c r="AA1307" s="14" t="n"/>
      <c r="AB1307" s="12" t="n"/>
      <c r="AC1307" s="13" t="n"/>
      <c r="AD1307" s="14" t="n"/>
      <c r="AE1307" s="12" t="n"/>
      <c r="AF1307" s="13" t="n"/>
      <c r="AG1307" s="14" t="n"/>
      <c r="AH1307" s="12" t="n"/>
      <c r="AI1307" s="13" t="n"/>
      <c r="AJ1307" s="14" t="n"/>
      <c r="AK1307" s="12" t="n"/>
      <c r="AL1307" s="13" t="n"/>
      <c r="AM1307" s="14" t="n"/>
      <c r="AN1307" s="12" t="n"/>
      <c r="AO1307" s="13" t="n"/>
      <c r="AP1307" s="14" t="n"/>
      <c r="AQ1307" s="12" t="n"/>
      <c r="AR1307" s="13" t="n"/>
      <c r="AS1307" s="14" t="n"/>
      <c r="AT1307" s="12" t="n"/>
      <c r="AU1307" s="13" t="n"/>
      <c r="AV1307" s="14" t="n"/>
      <c r="AW1307" s="12" t="n"/>
      <c r="AX1307" s="13" t="n"/>
      <c r="AY1307" s="14" t="n"/>
      <c r="AZ1307" s="12" t="n"/>
      <c r="BA1307" s="13" t="n"/>
      <c r="BB1307" s="14" t="n"/>
      <c r="BC1307" s="11">
        <f>IF(O1307="","",IF(J1307="GST 10%",ROUND(O1307*set_GSTRate,2),0))</f>
        <v/>
      </c>
      <c r="BD1307" s="11">
        <f>IF(O1307="","",O1307+BC1307)</f>
        <v/>
      </c>
      <c r="BE1307" s="15">
        <f>IF(O1307="","",COUNTA(S1307,V1307,Y1307,AB1307,AE1307,AH1307,AK1307,AN1307,AQ1307,AT1307,AW1307,AZ1307))</f>
        <v/>
      </c>
      <c r="BF1307" s="16">
        <f>IF(COUNT(T1307,W1307,Z1307,AC1307,AF1307,AI1307,AL1307,AO1307,AR1307,AU1307,AX1307,BA1307)=0,"",MAX(T1307,W1307,Z1307,AC1307,AF1307,AI1307,AL1307,AO1307,AR1307,AU1307,AX1307,BA1307))</f>
        <v/>
      </c>
      <c r="BG1307" s="10">
        <f>MID(IF(S1307="","",", "&amp;S1307)&amp;IF(V1307="","",", "&amp;V1307)&amp;IF(Y1307="","",", "&amp;Y1307)&amp;IF(AB1307="","",", "&amp;AB1307)&amp;IF(AE1307="","",", "&amp;AE1307)&amp;IF(AH1307="","",", "&amp;AH1307)&amp;IF(AK1307="","",", "&amp;AK1307)&amp;IF(AN1307="","",", "&amp;AN1307)&amp;IF(AQ1307="","",", "&amp;AQ1307)&amp;IF(AT1307="","",", "&amp;AT1307)&amp;IF(AW1307="","",", "&amp;AW1307)&amp;IF(AZ1307="","",", "&amp;AZ1307),3,500)</f>
        <v/>
      </c>
      <c r="BH1307" s="12" t="n"/>
      <c r="BI1307" s="15">
        <f>IFERROR(MATCH($A1307,IF($B1307="Onsite",tbl_Onsite[Row ID],IF($B1307="Production",tbl_Production[Row ID],tbl_Consulting[Row ID])),0),"")</f>
        <v/>
      </c>
    </row>
    <row r="1308">
      <c r="A1308" s="10" t="inlineStr">
        <is>
          <t>CON-0302</t>
        </is>
      </c>
      <c r="B1308" s="10" t="inlineStr">
        <is>
          <t>Consulting</t>
        </is>
      </c>
      <c r="C1308" s="10">
        <f>IF($BI1308="","",IF($B1308="Onsite",INDEX(tbl_Onsite[Job Number],$BI1308),IF($B1308="Production",INDEX(tbl_Production[Job Number],$BI1308),INDEX(tbl_Consulting[Job Number],$BI1308)))&amp;"")</f>
        <v/>
      </c>
      <c r="D1308" s="10">
        <f>IF($BI1308="","",IF($B1308="Onsite",INDEX(tbl_Onsite[Client],$BI1308),IF($B1308="Production",INDEX(tbl_Production[Client],$BI1308),INDEX(tbl_Consulting[Client],$BI1308)))&amp;"")</f>
        <v/>
      </c>
      <c r="E1308" s="10">
        <f>IF($C1308="","",IF(COUNTIF(lst_Jobs,$C1308)&gt;0,"OK","CHECK"))</f>
        <v/>
      </c>
      <c r="F1308" s="10">
        <f>IF($C1308="","",IFERROR(INDEX(lst_JobName,MATCH($C1308,lst_Jobs,0)),""))</f>
        <v/>
      </c>
      <c r="G1308" s="10">
        <f>IF($BI1308="","",IF($B1308="Onsite",INDEX(tbl_Onsite[Job Description],$BI1308),IF($B1308="Production",INDEX(tbl_Production[Job Description],$BI1308),INDEX(tbl_Consulting[Job Description],$BI1308)))&amp;"")</f>
        <v/>
      </c>
      <c r="H1308" s="10">
        <f>IF($BI1308="","",IF($B1308="Onsite",INDEX(tbl_Onsite[Cost Centre],$BI1308),IF($B1308="Production",INDEX(tbl_Production[Cost Centre],$BI1308),INDEX(tbl_Consulting[Cost Centre],$BI1308)))&amp;"")</f>
        <v/>
      </c>
      <c r="I1308" s="10">
        <f>IF($BI1308="","",IF($B1308="Onsite",INDEX(tbl_Onsite[Invoice Type],$BI1308),IF($B1308="Production",INDEX(tbl_Production[Invoice Type],$BI1308),INDEX(tbl_Consulting[Invoice Type],$BI1308)))&amp;"")</f>
        <v/>
      </c>
      <c r="J1308" s="10">
        <f>IF($BI1308="","",IF($B1308="Onsite",INDEX(tbl_Onsite[Tax Code],$BI1308),IF($B1308="Production",INDEX(tbl_Production[Tax Code],$BI1308),INDEX(tbl_Consulting[Tax Code],$BI1308)))&amp;"")</f>
        <v/>
      </c>
      <c r="K1308" s="10">
        <f>IF(H1308="","",IFERROR(INDEX(lst_CCtoGL,MATCH(H1308,lst_CCforGL,0)),""))</f>
        <v/>
      </c>
      <c r="L1308" s="10">
        <f>IF($BI1308="","",IF($B1308="Onsite",INDEX(tbl_Onsite[PO / Reference],$BI1308),IF($B1308="Production",INDEX(tbl_Production[Current RMS No],$BI1308),INDEX(tbl_Consulting[Qwilr Quote],$BI1308)))&amp;"")</f>
        <v/>
      </c>
      <c r="M1308" s="10">
        <f>IF($BI1308="","",IF($B1308="Onsite",INDEX(tbl_Onsite[Notes],$BI1308),IF($B1308="Production",INDEX(tbl_Production[Notes],$BI1308),INDEX(tbl_Consulting[Notes],$BI1308)))&amp;"")</f>
        <v/>
      </c>
      <c r="N1308" s="11">
        <f>IF($BI1308="","",IF(IF($B1308="Onsite",INDEX(tbl_Onsite[Expected Revenue Ex GST],$BI1308),IF($B1308="Production",INDEX(tbl_Production[Expected Revenue Ex GST],$BI1308),INDEX(tbl_Consulting[Expected Revenue Ex GST],$BI1308)))="","",IF($B1308="Onsite",INDEX(tbl_Onsite[Expected Revenue Ex GST],$BI1308),IF($B1308="Production",INDEX(tbl_Production[Expected Revenue Ex GST],$BI1308),INDEX(tbl_Consulting[Expected Revenue Ex GST],$BI1308)))))</f>
        <v/>
      </c>
      <c r="O1308" s="11">
        <f>IF(AND($C1308="",NOT(COUNTA($S1308:$BB1308)&gt;0)),"",SUM(U1308,X1308,AA1308,AD1308,AG1308,AJ1308,AM1308,AP1308,AS1308,AV1308,AY1308,BB1308))</f>
        <v/>
      </c>
      <c r="P1308" s="11">
        <f>IF(O1308="","",N(N1308)-O1308)</f>
        <v/>
      </c>
      <c r="Q1308" s="10">
        <f>IF(O1308="","",IF($C1308="","Invoice on empty job row",IF(N1308="",IF(ROUND(O1308,2)=0,"No dept value","Invoiced - no dept value"),IF(ROUND(O1308,2)=0,"Not invoiced - to invoice",IF(ROUND(P1308,2)=0,"Agrees",IF(P1308&gt;0,"Dept higher - to invoice","Xero higher - check dept"))))))</f>
        <v/>
      </c>
      <c r="R1308" s="10">
        <f>IF(AND($C1308="",NOT(COUNTA($S1308:$BB1308)&gt;0),$BI1308&lt;&gt;""),"",MID(IF($BI1308="","; Row ID not found on the department sheet - a row was deleted","")&amp;IF(AND($C1308="",COUNTA($S1308:$BB1308)&gt;0),"; Invoice entered but the department row has no job number","")&amp;IF(E1308="CHECK","; Job number not in the Xero job list","")&amp;IF(AND($C1308&lt;&gt;"",COUNTIF($C$7:$C$1506,$C1308)&gt;1),"; Job number on more than one row","")&amp;IF(AND($C1308&lt;&gt;"",H1308=""),"; Dept has not set a cost centre","")&amp;IF(AND($C1308&lt;&gt;"",J1308=""),"; Dept has not set a tax code","")&amp;IF(AND($C1308&lt;&gt;"",N1308=""),"; Dept has not entered an expected value","")&amp;IF((IF(OR(COUNTA(S1308:U1308)=0,AND(COUNTA(S1308:U1308)=3,ISNUMBER(U1308))),0,1)+IF(OR(COUNTA(V1308:X1308)=0,AND(COUNTA(V1308:X1308)=3,ISNUMBER(X1308))),0,1)+IF(OR(COUNTA(Y1308:AA1308)=0,AND(COUNTA(Y1308:AA1308)=3,ISNUMBER(AA1308))),0,1)+IF(OR(COUNTA(AB1308:AD1308)=0,AND(COUNTA(AB1308:AD1308)=3,ISNUMBER(AD1308))),0,1)+IF(OR(COUNTA(AE1308:AG1308)=0,AND(COUNTA(AE1308:AG1308)=3,ISNUMBER(AG1308))),0,1)+IF(OR(COUNTA(AH1308:AJ1308)=0,AND(COUNTA(AH1308:AJ1308)=3,ISNUMBER(AJ1308))),0,1)+IF(OR(COUNTA(AK1308:AM1308)=0,AND(COUNTA(AK1308:AM1308)=3,ISNUMBER(AM1308))),0,1)+IF(OR(COUNTA(AN1308:AP1308)=0,AND(COUNTA(AN1308:AP1308)=3,ISNUMBER(AP1308))),0,1)+IF(OR(COUNTA(AQ1308:AS1308)=0,AND(COUNTA(AQ1308:AS1308)=3,ISNUMBER(AS1308))),0,1)+IF(OR(COUNTA(AT1308:AV1308)=0,AND(COUNTA(AT1308:AV1308)=3,ISNUMBER(AV1308))),0,1)+IF(OR(COUNTA(AW1308:AY1308)=0,AND(COUNTA(AW1308:AY1308)=3,ISNUMBER(AY1308))),0,1)+IF(OR(COUNTA(AZ1308:BB1308)=0,AND(COUNTA(AZ1308:BB1308)=3,ISNUMBER(BB1308))),0,1))&gt;0,"; An invoice is incomplete (needs No, Date and a number in Ex GST)","")&amp;IF((IF(T1308="",0,IFERROR(--(EOMONTH(T1308,0)&lt;&gt;S$5),1))+IF(W1308="",0,IFERROR(--(EOMONTH(W1308,0)&lt;&gt;V$5),1))+IF(Z1308="",0,IFERROR(--(EOMONTH(Z1308,0)&lt;&gt;Y$5),1))+IF(AC1308="",0,IFERROR(--(EOMONTH(AC1308,0)&lt;&gt;AB$5),1))+IF(AF1308="",0,IFERROR(--(EOMONTH(AF1308,0)&lt;&gt;AE$5),1))+IF(AI1308="",0,IFERROR(--(EOMONTH(AI1308,0)&lt;&gt;AH$5),1))+IF(AL1308="",0,IFERROR(--(EOMONTH(AL1308,0)&lt;&gt;AK$5),1))+IF(AO1308="",0,IFERROR(--(EOMONTH(AO1308,0)&lt;&gt;AN$5),1))+IF(AR1308="",0,IFERROR(--(EOMONTH(AR1308,0)&lt;&gt;AQ$5),1))+IF(AU1308="",0,IFERROR(--(EOMONTH(AU1308,0)&lt;&gt;AT$5),1))+IF(AX1308="",0,IFERROR(--(EOMONTH(AX1308,0)&lt;&gt;AW$5),1))+IF(BA1308="",0,IFERROR(--(EOMONTH(BA1308,0)&lt;&gt;AZ$5),1)))&gt;0,"; An invoice date is not in the month it is typed under",""),3,500))</f>
        <v/>
      </c>
      <c r="S1308" s="12" t="n"/>
      <c r="T1308" s="13" t="n"/>
      <c r="U1308" s="14" t="n"/>
      <c r="V1308" s="12" t="n"/>
      <c r="W1308" s="13" t="n"/>
      <c r="X1308" s="14" t="n"/>
      <c r="Y1308" s="12" t="n"/>
      <c r="Z1308" s="13" t="n"/>
      <c r="AA1308" s="14" t="n"/>
      <c r="AB1308" s="12" t="n"/>
      <c r="AC1308" s="13" t="n"/>
      <c r="AD1308" s="14" t="n"/>
      <c r="AE1308" s="12" t="n"/>
      <c r="AF1308" s="13" t="n"/>
      <c r="AG1308" s="14" t="n"/>
      <c r="AH1308" s="12" t="n"/>
      <c r="AI1308" s="13" t="n"/>
      <c r="AJ1308" s="14" t="n"/>
      <c r="AK1308" s="12" t="n"/>
      <c r="AL1308" s="13" t="n"/>
      <c r="AM1308" s="14" t="n"/>
      <c r="AN1308" s="12" t="n"/>
      <c r="AO1308" s="13" t="n"/>
      <c r="AP1308" s="14" t="n"/>
      <c r="AQ1308" s="12" t="n"/>
      <c r="AR1308" s="13" t="n"/>
      <c r="AS1308" s="14" t="n"/>
      <c r="AT1308" s="12" t="n"/>
      <c r="AU1308" s="13" t="n"/>
      <c r="AV1308" s="14" t="n"/>
      <c r="AW1308" s="12" t="n"/>
      <c r="AX1308" s="13" t="n"/>
      <c r="AY1308" s="14" t="n"/>
      <c r="AZ1308" s="12" t="n"/>
      <c r="BA1308" s="13" t="n"/>
      <c r="BB1308" s="14" t="n"/>
      <c r="BC1308" s="11">
        <f>IF(O1308="","",IF(J1308="GST 10%",ROUND(O1308*set_GSTRate,2),0))</f>
        <v/>
      </c>
      <c r="BD1308" s="11">
        <f>IF(O1308="","",O1308+BC1308)</f>
        <v/>
      </c>
      <c r="BE1308" s="15">
        <f>IF(O1308="","",COUNTA(S1308,V1308,Y1308,AB1308,AE1308,AH1308,AK1308,AN1308,AQ1308,AT1308,AW1308,AZ1308))</f>
        <v/>
      </c>
      <c r="BF1308" s="16">
        <f>IF(COUNT(T1308,W1308,Z1308,AC1308,AF1308,AI1308,AL1308,AO1308,AR1308,AU1308,AX1308,BA1308)=0,"",MAX(T1308,W1308,Z1308,AC1308,AF1308,AI1308,AL1308,AO1308,AR1308,AU1308,AX1308,BA1308))</f>
        <v/>
      </c>
      <c r="BG1308" s="10">
        <f>MID(IF(S1308="","",", "&amp;S1308)&amp;IF(V1308="","",", "&amp;V1308)&amp;IF(Y1308="","",", "&amp;Y1308)&amp;IF(AB1308="","",", "&amp;AB1308)&amp;IF(AE1308="","",", "&amp;AE1308)&amp;IF(AH1308="","",", "&amp;AH1308)&amp;IF(AK1308="","",", "&amp;AK1308)&amp;IF(AN1308="","",", "&amp;AN1308)&amp;IF(AQ1308="","",", "&amp;AQ1308)&amp;IF(AT1308="","",", "&amp;AT1308)&amp;IF(AW1308="","",", "&amp;AW1308)&amp;IF(AZ1308="","",", "&amp;AZ1308),3,500)</f>
        <v/>
      </c>
      <c r="BH1308" s="12" t="n"/>
      <c r="BI1308" s="15">
        <f>IFERROR(MATCH($A1308,IF($B1308="Onsite",tbl_Onsite[Row ID],IF($B1308="Production",tbl_Production[Row ID],tbl_Consulting[Row ID])),0),"")</f>
        <v/>
      </c>
    </row>
    <row r="1309">
      <c r="A1309" s="10" t="inlineStr">
        <is>
          <t>CON-0303</t>
        </is>
      </c>
      <c r="B1309" s="10" t="inlineStr">
        <is>
          <t>Consulting</t>
        </is>
      </c>
      <c r="C1309" s="10">
        <f>IF($BI1309="","",IF($B1309="Onsite",INDEX(tbl_Onsite[Job Number],$BI1309),IF($B1309="Production",INDEX(tbl_Production[Job Number],$BI1309),INDEX(tbl_Consulting[Job Number],$BI1309)))&amp;"")</f>
        <v/>
      </c>
      <c r="D1309" s="10">
        <f>IF($BI1309="","",IF($B1309="Onsite",INDEX(tbl_Onsite[Client],$BI1309),IF($B1309="Production",INDEX(tbl_Production[Client],$BI1309),INDEX(tbl_Consulting[Client],$BI1309)))&amp;"")</f>
        <v/>
      </c>
      <c r="E1309" s="10">
        <f>IF($C1309="","",IF(COUNTIF(lst_Jobs,$C1309)&gt;0,"OK","CHECK"))</f>
        <v/>
      </c>
      <c r="F1309" s="10">
        <f>IF($C1309="","",IFERROR(INDEX(lst_JobName,MATCH($C1309,lst_Jobs,0)),""))</f>
        <v/>
      </c>
      <c r="G1309" s="10">
        <f>IF($BI1309="","",IF($B1309="Onsite",INDEX(tbl_Onsite[Job Description],$BI1309),IF($B1309="Production",INDEX(tbl_Production[Job Description],$BI1309),INDEX(tbl_Consulting[Job Description],$BI1309)))&amp;"")</f>
        <v/>
      </c>
      <c r="H1309" s="10">
        <f>IF($BI1309="","",IF($B1309="Onsite",INDEX(tbl_Onsite[Cost Centre],$BI1309),IF($B1309="Production",INDEX(tbl_Production[Cost Centre],$BI1309),INDEX(tbl_Consulting[Cost Centre],$BI1309)))&amp;"")</f>
        <v/>
      </c>
      <c r="I1309" s="10">
        <f>IF($BI1309="","",IF($B1309="Onsite",INDEX(tbl_Onsite[Invoice Type],$BI1309),IF($B1309="Production",INDEX(tbl_Production[Invoice Type],$BI1309),INDEX(tbl_Consulting[Invoice Type],$BI1309)))&amp;"")</f>
        <v/>
      </c>
      <c r="J1309" s="10">
        <f>IF($BI1309="","",IF($B1309="Onsite",INDEX(tbl_Onsite[Tax Code],$BI1309),IF($B1309="Production",INDEX(tbl_Production[Tax Code],$BI1309),INDEX(tbl_Consulting[Tax Code],$BI1309)))&amp;"")</f>
        <v/>
      </c>
      <c r="K1309" s="10">
        <f>IF(H1309="","",IFERROR(INDEX(lst_CCtoGL,MATCH(H1309,lst_CCforGL,0)),""))</f>
        <v/>
      </c>
      <c r="L1309" s="10">
        <f>IF($BI1309="","",IF($B1309="Onsite",INDEX(tbl_Onsite[PO / Reference],$BI1309),IF($B1309="Production",INDEX(tbl_Production[Current RMS No],$BI1309),INDEX(tbl_Consulting[Qwilr Quote],$BI1309)))&amp;"")</f>
        <v/>
      </c>
      <c r="M1309" s="10">
        <f>IF($BI1309="","",IF($B1309="Onsite",INDEX(tbl_Onsite[Notes],$BI1309),IF($B1309="Production",INDEX(tbl_Production[Notes],$BI1309),INDEX(tbl_Consulting[Notes],$BI1309)))&amp;"")</f>
        <v/>
      </c>
      <c r="N1309" s="11">
        <f>IF($BI1309="","",IF(IF($B1309="Onsite",INDEX(tbl_Onsite[Expected Revenue Ex GST],$BI1309),IF($B1309="Production",INDEX(tbl_Production[Expected Revenue Ex GST],$BI1309),INDEX(tbl_Consulting[Expected Revenue Ex GST],$BI1309)))="","",IF($B1309="Onsite",INDEX(tbl_Onsite[Expected Revenue Ex GST],$BI1309),IF($B1309="Production",INDEX(tbl_Production[Expected Revenue Ex GST],$BI1309),INDEX(tbl_Consulting[Expected Revenue Ex GST],$BI1309)))))</f>
        <v/>
      </c>
      <c r="O1309" s="11">
        <f>IF(AND($C1309="",NOT(COUNTA($S1309:$BB1309)&gt;0)),"",SUM(U1309,X1309,AA1309,AD1309,AG1309,AJ1309,AM1309,AP1309,AS1309,AV1309,AY1309,BB1309))</f>
        <v/>
      </c>
      <c r="P1309" s="11">
        <f>IF(O1309="","",N(N1309)-O1309)</f>
        <v/>
      </c>
      <c r="Q1309" s="10">
        <f>IF(O1309="","",IF($C1309="","Invoice on empty job row",IF(N1309="",IF(ROUND(O1309,2)=0,"No dept value","Invoiced - no dept value"),IF(ROUND(O1309,2)=0,"Not invoiced - to invoice",IF(ROUND(P1309,2)=0,"Agrees",IF(P1309&gt;0,"Dept higher - to invoice","Xero higher - check dept"))))))</f>
        <v/>
      </c>
      <c r="R1309" s="10">
        <f>IF(AND($C1309="",NOT(COUNTA($S1309:$BB1309)&gt;0),$BI1309&lt;&gt;""),"",MID(IF($BI1309="","; Row ID not found on the department sheet - a row was deleted","")&amp;IF(AND($C1309="",COUNTA($S1309:$BB1309)&gt;0),"; Invoice entered but the department row has no job number","")&amp;IF(E1309="CHECK","; Job number not in the Xero job list","")&amp;IF(AND($C1309&lt;&gt;"",COUNTIF($C$7:$C$1506,$C1309)&gt;1),"; Job number on more than one row","")&amp;IF(AND($C1309&lt;&gt;"",H1309=""),"; Dept has not set a cost centre","")&amp;IF(AND($C1309&lt;&gt;"",J1309=""),"; Dept has not set a tax code","")&amp;IF(AND($C1309&lt;&gt;"",N1309=""),"; Dept has not entered an expected value","")&amp;IF((IF(OR(COUNTA(S1309:U1309)=0,AND(COUNTA(S1309:U1309)=3,ISNUMBER(U1309))),0,1)+IF(OR(COUNTA(V1309:X1309)=0,AND(COUNTA(V1309:X1309)=3,ISNUMBER(X1309))),0,1)+IF(OR(COUNTA(Y1309:AA1309)=0,AND(COUNTA(Y1309:AA1309)=3,ISNUMBER(AA1309))),0,1)+IF(OR(COUNTA(AB1309:AD1309)=0,AND(COUNTA(AB1309:AD1309)=3,ISNUMBER(AD1309))),0,1)+IF(OR(COUNTA(AE1309:AG1309)=0,AND(COUNTA(AE1309:AG1309)=3,ISNUMBER(AG1309))),0,1)+IF(OR(COUNTA(AH1309:AJ1309)=0,AND(COUNTA(AH1309:AJ1309)=3,ISNUMBER(AJ1309))),0,1)+IF(OR(COUNTA(AK1309:AM1309)=0,AND(COUNTA(AK1309:AM1309)=3,ISNUMBER(AM1309))),0,1)+IF(OR(COUNTA(AN1309:AP1309)=0,AND(COUNTA(AN1309:AP1309)=3,ISNUMBER(AP1309))),0,1)+IF(OR(COUNTA(AQ1309:AS1309)=0,AND(COUNTA(AQ1309:AS1309)=3,ISNUMBER(AS1309))),0,1)+IF(OR(COUNTA(AT1309:AV1309)=0,AND(COUNTA(AT1309:AV1309)=3,ISNUMBER(AV1309))),0,1)+IF(OR(COUNTA(AW1309:AY1309)=0,AND(COUNTA(AW1309:AY1309)=3,ISNUMBER(AY1309))),0,1)+IF(OR(COUNTA(AZ1309:BB1309)=0,AND(COUNTA(AZ1309:BB1309)=3,ISNUMBER(BB1309))),0,1))&gt;0,"; An invoice is incomplete (needs No, Date and a number in Ex GST)","")&amp;IF((IF(T1309="",0,IFERROR(--(EOMONTH(T1309,0)&lt;&gt;S$5),1))+IF(W1309="",0,IFERROR(--(EOMONTH(W1309,0)&lt;&gt;V$5),1))+IF(Z1309="",0,IFERROR(--(EOMONTH(Z1309,0)&lt;&gt;Y$5),1))+IF(AC1309="",0,IFERROR(--(EOMONTH(AC1309,0)&lt;&gt;AB$5),1))+IF(AF1309="",0,IFERROR(--(EOMONTH(AF1309,0)&lt;&gt;AE$5),1))+IF(AI1309="",0,IFERROR(--(EOMONTH(AI1309,0)&lt;&gt;AH$5),1))+IF(AL1309="",0,IFERROR(--(EOMONTH(AL1309,0)&lt;&gt;AK$5),1))+IF(AO1309="",0,IFERROR(--(EOMONTH(AO1309,0)&lt;&gt;AN$5),1))+IF(AR1309="",0,IFERROR(--(EOMONTH(AR1309,0)&lt;&gt;AQ$5),1))+IF(AU1309="",0,IFERROR(--(EOMONTH(AU1309,0)&lt;&gt;AT$5),1))+IF(AX1309="",0,IFERROR(--(EOMONTH(AX1309,0)&lt;&gt;AW$5),1))+IF(BA1309="",0,IFERROR(--(EOMONTH(BA1309,0)&lt;&gt;AZ$5),1)))&gt;0,"; An invoice date is not in the month it is typed under",""),3,500))</f>
        <v/>
      </c>
      <c r="S1309" s="12" t="n"/>
      <c r="T1309" s="13" t="n"/>
      <c r="U1309" s="14" t="n"/>
      <c r="V1309" s="12" t="n"/>
      <c r="W1309" s="13" t="n"/>
      <c r="X1309" s="14" t="n"/>
      <c r="Y1309" s="12" t="n"/>
      <c r="Z1309" s="13" t="n"/>
      <c r="AA1309" s="14" t="n"/>
      <c r="AB1309" s="12" t="n"/>
      <c r="AC1309" s="13" t="n"/>
      <c r="AD1309" s="14" t="n"/>
      <c r="AE1309" s="12" t="n"/>
      <c r="AF1309" s="13" t="n"/>
      <c r="AG1309" s="14" t="n"/>
      <c r="AH1309" s="12" t="n"/>
      <c r="AI1309" s="13" t="n"/>
      <c r="AJ1309" s="14" t="n"/>
      <c r="AK1309" s="12" t="n"/>
      <c r="AL1309" s="13" t="n"/>
      <c r="AM1309" s="14" t="n"/>
      <c r="AN1309" s="12" t="n"/>
      <c r="AO1309" s="13" t="n"/>
      <c r="AP1309" s="14" t="n"/>
      <c r="AQ1309" s="12" t="n"/>
      <c r="AR1309" s="13" t="n"/>
      <c r="AS1309" s="14" t="n"/>
      <c r="AT1309" s="12" t="n"/>
      <c r="AU1309" s="13" t="n"/>
      <c r="AV1309" s="14" t="n"/>
      <c r="AW1309" s="12" t="n"/>
      <c r="AX1309" s="13" t="n"/>
      <c r="AY1309" s="14" t="n"/>
      <c r="AZ1309" s="12" t="n"/>
      <c r="BA1309" s="13" t="n"/>
      <c r="BB1309" s="14" t="n"/>
      <c r="BC1309" s="11">
        <f>IF(O1309="","",IF(J1309="GST 10%",ROUND(O1309*set_GSTRate,2),0))</f>
        <v/>
      </c>
      <c r="BD1309" s="11">
        <f>IF(O1309="","",O1309+BC1309)</f>
        <v/>
      </c>
      <c r="BE1309" s="15">
        <f>IF(O1309="","",COUNTA(S1309,V1309,Y1309,AB1309,AE1309,AH1309,AK1309,AN1309,AQ1309,AT1309,AW1309,AZ1309))</f>
        <v/>
      </c>
      <c r="BF1309" s="16">
        <f>IF(COUNT(T1309,W1309,Z1309,AC1309,AF1309,AI1309,AL1309,AO1309,AR1309,AU1309,AX1309,BA1309)=0,"",MAX(T1309,W1309,Z1309,AC1309,AF1309,AI1309,AL1309,AO1309,AR1309,AU1309,AX1309,BA1309))</f>
        <v/>
      </c>
      <c r="BG1309" s="10">
        <f>MID(IF(S1309="","",", "&amp;S1309)&amp;IF(V1309="","",", "&amp;V1309)&amp;IF(Y1309="","",", "&amp;Y1309)&amp;IF(AB1309="","",", "&amp;AB1309)&amp;IF(AE1309="","",", "&amp;AE1309)&amp;IF(AH1309="","",", "&amp;AH1309)&amp;IF(AK1309="","",", "&amp;AK1309)&amp;IF(AN1309="","",", "&amp;AN1309)&amp;IF(AQ1309="","",", "&amp;AQ1309)&amp;IF(AT1309="","",", "&amp;AT1309)&amp;IF(AW1309="","",", "&amp;AW1309)&amp;IF(AZ1309="","",", "&amp;AZ1309),3,500)</f>
        <v/>
      </c>
      <c r="BH1309" s="12" t="n"/>
      <c r="BI1309" s="15">
        <f>IFERROR(MATCH($A1309,IF($B1309="Onsite",tbl_Onsite[Row ID],IF($B1309="Production",tbl_Production[Row ID],tbl_Consulting[Row ID])),0),"")</f>
        <v/>
      </c>
    </row>
    <row r="1310">
      <c r="A1310" s="10" t="inlineStr">
        <is>
          <t>CON-0304</t>
        </is>
      </c>
      <c r="B1310" s="10" t="inlineStr">
        <is>
          <t>Consulting</t>
        </is>
      </c>
      <c r="C1310" s="10">
        <f>IF($BI1310="","",IF($B1310="Onsite",INDEX(tbl_Onsite[Job Number],$BI1310),IF($B1310="Production",INDEX(tbl_Production[Job Number],$BI1310),INDEX(tbl_Consulting[Job Number],$BI1310)))&amp;"")</f>
        <v/>
      </c>
      <c r="D1310" s="10">
        <f>IF($BI1310="","",IF($B1310="Onsite",INDEX(tbl_Onsite[Client],$BI1310),IF($B1310="Production",INDEX(tbl_Production[Client],$BI1310),INDEX(tbl_Consulting[Client],$BI1310)))&amp;"")</f>
        <v/>
      </c>
      <c r="E1310" s="10">
        <f>IF($C1310="","",IF(COUNTIF(lst_Jobs,$C1310)&gt;0,"OK","CHECK"))</f>
        <v/>
      </c>
      <c r="F1310" s="10">
        <f>IF($C1310="","",IFERROR(INDEX(lst_JobName,MATCH($C1310,lst_Jobs,0)),""))</f>
        <v/>
      </c>
      <c r="G1310" s="10">
        <f>IF($BI1310="","",IF($B1310="Onsite",INDEX(tbl_Onsite[Job Description],$BI1310),IF($B1310="Production",INDEX(tbl_Production[Job Description],$BI1310),INDEX(tbl_Consulting[Job Description],$BI1310)))&amp;"")</f>
        <v/>
      </c>
      <c r="H1310" s="10">
        <f>IF($BI1310="","",IF($B1310="Onsite",INDEX(tbl_Onsite[Cost Centre],$BI1310),IF($B1310="Production",INDEX(tbl_Production[Cost Centre],$BI1310),INDEX(tbl_Consulting[Cost Centre],$BI1310)))&amp;"")</f>
        <v/>
      </c>
      <c r="I1310" s="10">
        <f>IF($BI1310="","",IF($B1310="Onsite",INDEX(tbl_Onsite[Invoice Type],$BI1310),IF($B1310="Production",INDEX(tbl_Production[Invoice Type],$BI1310),INDEX(tbl_Consulting[Invoice Type],$BI1310)))&amp;"")</f>
        <v/>
      </c>
      <c r="J1310" s="10">
        <f>IF($BI1310="","",IF($B1310="Onsite",INDEX(tbl_Onsite[Tax Code],$BI1310),IF($B1310="Production",INDEX(tbl_Production[Tax Code],$BI1310),INDEX(tbl_Consulting[Tax Code],$BI1310)))&amp;"")</f>
        <v/>
      </c>
      <c r="K1310" s="10">
        <f>IF(H1310="","",IFERROR(INDEX(lst_CCtoGL,MATCH(H1310,lst_CCforGL,0)),""))</f>
        <v/>
      </c>
      <c r="L1310" s="10">
        <f>IF($BI1310="","",IF($B1310="Onsite",INDEX(tbl_Onsite[PO / Reference],$BI1310),IF($B1310="Production",INDEX(tbl_Production[Current RMS No],$BI1310),INDEX(tbl_Consulting[Qwilr Quote],$BI1310)))&amp;"")</f>
        <v/>
      </c>
      <c r="M1310" s="10">
        <f>IF($BI1310="","",IF($B1310="Onsite",INDEX(tbl_Onsite[Notes],$BI1310),IF($B1310="Production",INDEX(tbl_Production[Notes],$BI1310),INDEX(tbl_Consulting[Notes],$BI1310)))&amp;"")</f>
        <v/>
      </c>
      <c r="N1310" s="11">
        <f>IF($BI1310="","",IF(IF($B1310="Onsite",INDEX(tbl_Onsite[Expected Revenue Ex GST],$BI1310),IF($B1310="Production",INDEX(tbl_Production[Expected Revenue Ex GST],$BI1310),INDEX(tbl_Consulting[Expected Revenue Ex GST],$BI1310)))="","",IF($B1310="Onsite",INDEX(tbl_Onsite[Expected Revenue Ex GST],$BI1310),IF($B1310="Production",INDEX(tbl_Production[Expected Revenue Ex GST],$BI1310),INDEX(tbl_Consulting[Expected Revenue Ex GST],$BI1310)))))</f>
        <v/>
      </c>
      <c r="O1310" s="11">
        <f>IF(AND($C1310="",NOT(COUNTA($S1310:$BB1310)&gt;0)),"",SUM(U1310,X1310,AA1310,AD1310,AG1310,AJ1310,AM1310,AP1310,AS1310,AV1310,AY1310,BB1310))</f>
        <v/>
      </c>
      <c r="P1310" s="11">
        <f>IF(O1310="","",N(N1310)-O1310)</f>
        <v/>
      </c>
      <c r="Q1310" s="10">
        <f>IF(O1310="","",IF($C1310="","Invoice on empty job row",IF(N1310="",IF(ROUND(O1310,2)=0,"No dept value","Invoiced - no dept value"),IF(ROUND(O1310,2)=0,"Not invoiced - to invoice",IF(ROUND(P1310,2)=0,"Agrees",IF(P1310&gt;0,"Dept higher - to invoice","Xero higher - check dept"))))))</f>
        <v/>
      </c>
      <c r="R1310" s="10">
        <f>IF(AND($C1310="",NOT(COUNTA($S1310:$BB1310)&gt;0),$BI1310&lt;&gt;""),"",MID(IF($BI1310="","; Row ID not found on the department sheet - a row was deleted","")&amp;IF(AND($C1310="",COUNTA($S1310:$BB1310)&gt;0),"; Invoice entered but the department row has no job number","")&amp;IF(E1310="CHECK","; Job number not in the Xero job list","")&amp;IF(AND($C1310&lt;&gt;"",COUNTIF($C$7:$C$1506,$C1310)&gt;1),"; Job number on more than one row","")&amp;IF(AND($C1310&lt;&gt;"",H1310=""),"; Dept has not set a cost centre","")&amp;IF(AND($C1310&lt;&gt;"",J1310=""),"; Dept has not set a tax code","")&amp;IF(AND($C1310&lt;&gt;"",N1310=""),"; Dept has not entered an expected value","")&amp;IF((IF(OR(COUNTA(S1310:U1310)=0,AND(COUNTA(S1310:U1310)=3,ISNUMBER(U1310))),0,1)+IF(OR(COUNTA(V1310:X1310)=0,AND(COUNTA(V1310:X1310)=3,ISNUMBER(X1310))),0,1)+IF(OR(COUNTA(Y1310:AA1310)=0,AND(COUNTA(Y1310:AA1310)=3,ISNUMBER(AA1310))),0,1)+IF(OR(COUNTA(AB1310:AD1310)=0,AND(COUNTA(AB1310:AD1310)=3,ISNUMBER(AD1310))),0,1)+IF(OR(COUNTA(AE1310:AG1310)=0,AND(COUNTA(AE1310:AG1310)=3,ISNUMBER(AG1310))),0,1)+IF(OR(COUNTA(AH1310:AJ1310)=0,AND(COUNTA(AH1310:AJ1310)=3,ISNUMBER(AJ1310))),0,1)+IF(OR(COUNTA(AK1310:AM1310)=0,AND(COUNTA(AK1310:AM1310)=3,ISNUMBER(AM1310))),0,1)+IF(OR(COUNTA(AN1310:AP1310)=0,AND(COUNTA(AN1310:AP1310)=3,ISNUMBER(AP1310))),0,1)+IF(OR(COUNTA(AQ1310:AS1310)=0,AND(COUNTA(AQ1310:AS1310)=3,ISNUMBER(AS1310))),0,1)+IF(OR(COUNTA(AT1310:AV1310)=0,AND(COUNTA(AT1310:AV1310)=3,ISNUMBER(AV1310))),0,1)+IF(OR(COUNTA(AW1310:AY1310)=0,AND(COUNTA(AW1310:AY1310)=3,ISNUMBER(AY1310))),0,1)+IF(OR(COUNTA(AZ1310:BB1310)=0,AND(COUNTA(AZ1310:BB1310)=3,ISNUMBER(BB1310))),0,1))&gt;0,"; An invoice is incomplete (needs No, Date and a number in Ex GST)","")&amp;IF((IF(T1310="",0,IFERROR(--(EOMONTH(T1310,0)&lt;&gt;S$5),1))+IF(W1310="",0,IFERROR(--(EOMONTH(W1310,0)&lt;&gt;V$5),1))+IF(Z1310="",0,IFERROR(--(EOMONTH(Z1310,0)&lt;&gt;Y$5),1))+IF(AC1310="",0,IFERROR(--(EOMONTH(AC1310,0)&lt;&gt;AB$5),1))+IF(AF1310="",0,IFERROR(--(EOMONTH(AF1310,0)&lt;&gt;AE$5),1))+IF(AI1310="",0,IFERROR(--(EOMONTH(AI1310,0)&lt;&gt;AH$5),1))+IF(AL1310="",0,IFERROR(--(EOMONTH(AL1310,0)&lt;&gt;AK$5),1))+IF(AO1310="",0,IFERROR(--(EOMONTH(AO1310,0)&lt;&gt;AN$5),1))+IF(AR1310="",0,IFERROR(--(EOMONTH(AR1310,0)&lt;&gt;AQ$5),1))+IF(AU1310="",0,IFERROR(--(EOMONTH(AU1310,0)&lt;&gt;AT$5),1))+IF(AX1310="",0,IFERROR(--(EOMONTH(AX1310,0)&lt;&gt;AW$5),1))+IF(BA1310="",0,IFERROR(--(EOMONTH(BA1310,0)&lt;&gt;AZ$5),1)))&gt;0,"; An invoice date is not in the month it is typed under",""),3,500))</f>
        <v/>
      </c>
      <c r="S1310" s="12" t="n"/>
      <c r="T1310" s="13" t="n"/>
      <c r="U1310" s="14" t="n"/>
      <c r="V1310" s="12" t="n"/>
      <c r="W1310" s="13" t="n"/>
      <c r="X1310" s="14" t="n"/>
      <c r="Y1310" s="12" t="n"/>
      <c r="Z1310" s="13" t="n"/>
      <c r="AA1310" s="14" t="n"/>
      <c r="AB1310" s="12" t="n"/>
      <c r="AC1310" s="13" t="n"/>
      <c r="AD1310" s="14" t="n"/>
      <c r="AE1310" s="12" t="n"/>
      <c r="AF1310" s="13" t="n"/>
      <c r="AG1310" s="14" t="n"/>
      <c r="AH1310" s="12" t="n"/>
      <c r="AI1310" s="13" t="n"/>
      <c r="AJ1310" s="14" t="n"/>
      <c r="AK1310" s="12" t="n"/>
      <c r="AL1310" s="13" t="n"/>
      <c r="AM1310" s="14" t="n"/>
      <c r="AN1310" s="12" t="n"/>
      <c r="AO1310" s="13" t="n"/>
      <c r="AP1310" s="14" t="n"/>
      <c r="AQ1310" s="12" t="n"/>
      <c r="AR1310" s="13" t="n"/>
      <c r="AS1310" s="14" t="n"/>
      <c r="AT1310" s="12" t="n"/>
      <c r="AU1310" s="13" t="n"/>
      <c r="AV1310" s="14" t="n"/>
      <c r="AW1310" s="12" t="n"/>
      <c r="AX1310" s="13" t="n"/>
      <c r="AY1310" s="14" t="n"/>
      <c r="AZ1310" s="12" t="n"/>
      <c r="BA1310" s="13" t="n"/>
      <c r="BB1310" s="14" t="n"/>
      <c r="BC1310" s="11">
        <f>IF(O1310="","",IF(J1310="GST 10%",ROUND(O1310*set_GSTRate,2),0))</f>
        <v/>
      </c>
      <c r="BD1310" s="11">
        <f>IF(O1310="","",O1310+BC1310)</f>
        <v/>
      </c>
      <c r="BE1310" s="15">
        <f>IF(O1310="","",COUNTA(S1310,V1310,Y1310,AB1310,AE1310,AH1310,AK1310,AN1310,AQ1310,AT1310,AW1310,AZ1310))</f>
        <v/>
      </c>
      <c r="BF1310" s="16">
        <f>IF(COUNT(T1310,W1310,Z1310,AC1310,AF1310,AI1310,AL1310,AO1310,AR1310,AU1310,AX1310,BA1310)=0,"",MAX(T1310,W1310,Z1310,AC1310,AF1310,AI1310,AL1310,AO1310,AR1310,AU1310,AX1310,BA1310))</f>
        <v/>
      </c>
      <c r="BG1310" s="10">
        <f>MID(IF(S1310="","",", "&amp;S1310)&amp;IF(V1310="","",", "&amp;V1310)&amp;IF(Y1310="","",", "&amp;Y1310)&amp;IF(AB1310="","",", "&amp;AB1310)&amp;IF(AE1310="","",", "&amp;AE1310)&amp;IF(AH1310="","",", "&amp;AH1310)&amp;IF(AK1310="","",", "&amp;AK1310)&amp;IF(AN1310="","",", "&amp;AN1310)&amp;IF(AQ1310="","",", "&amp;AQ1310)&amp;IF(AT1310="","",", "&amp;AT1310)&amp;IF(AW1310="","",", "&amp;AW1310)&amp;IF(AZ1310="","",", "&amp;AZ1310),3,500)</f>
        <v/>
      </c>
      <c r="BH1310" s="12" t="n"/>
      <c r="BI1310" s="15">
        <f>IFERROR(MATCH($A1310,IF($B1310="Onsite",tbl_Onsite[Row ID],IF($B1310="Production",tbl_Production[Row ID],tbl_Consulting[Row ID])),0),"")</f>
        <v/>
      </c>
    </row>
    <row r="1311">
      <c r="A1311" s="10" t="inlineStr">
        <is>
          <t>CON-0305</t>
        </is>
      </c>
      <c r="B1311" s="10" t="inlineStr">
        <is>
          <t>Consulting</t>
        </is>
      </c>
      <c r="C1311" s="10">
        <f>IF($BI1311="","",IF($B1311="Onsite",INDEX(tbl_Onsite[Job Number],$BI1311),IF($B1311="Production",INDEX(tbl_Production[Job Number],$BI1311),INDEX(tbl_Consulting[Job Number],$BI1311)))&amp;"")</f>
        <v/>
      </c>
      <c r="D1311" s="10">
        <f>IF($BI1311="","",IF($B1311="Onsite",INDEX(tbl_Onsite[Client],$BI1311),IF($B1311="Production",INDEX(tbl_Production[Client],$BI1311),INDEX(tbl_Consulting[Client],$BI1311)))&amp;"")</f>
        <v/>
      </c>
      <c r="E1311" s="10">
        <f>IF($C1311="","",IF(COUNTIF(lst_Jobs,$C1311)&gt;0,"OK","CHECK"))</f>
        <v/>
      </c>
      <c r="F1311" s="10">
        <f>IF($C1311="","",IFERROR(INDEX(lst_JobName,MATCH($C1311,lst_Jobs,0)),""))</f>
        <v/>
      </c>
      <c r="G1311" s="10">
        <f>IF($BI1311="","",IF($B1311="Onsite",INDEX(tbl_Onsite[Job Description],$BI1311),IF($B1311="Production",INDEX(tbl_Production[Job Description],$BI1311),INDEX(tbl_Consulting[Job Description],$BI1311)))&amp;"")</f>
        <v/>
      </c>
      <c r="H1311" s="10">
        <f>IF($BI1311="","",IF($B1311="Onsite",INDEX(tbl_Onsite[Cost Centre],$BI1311),IF($B1311="Production",INDEX(tbl_Production[Cost Centre],$BI1311),INDEX(tbl_Consulting[Cost Centre],$BI1311)))&amp;"")</f>
        <v/>
      </c>
      <c r="I1311" s="10">
        <f>IF($BI1311="","",IF($B1311="Onsite",INDEX(tbl_Onsite[Invoice Type],$BI1311),IF($B1311="Production",INDEX(tbl_Production[Invoice Type],$BI1311),INDEX(tbl_Consulting[Invoice Type],$BI1311)))&amp;"")</f>
        <v/>
      </c>
      <c r="J1311" s="10">
        <f>IF($BI1311="","",IF($B1311="Onsite",INDEX(tbl_Onsite[Tax Code],$BI1311),IF($B1311="Production",INDEX(tbl_Production[Tax Code],$BI1311),INDEX(tbl_Consulting[Tax Code],$BI1311)))&amp;"")</f>
        <v/>
      </c>
      <c r="K1311" s="10">
        <f>IF(H1311="","",IFERROR(INDEX(lst_CCtoGL,MATCH(H1311,lst_CCforGL,0)),""))</f>
        <v/>
      </c>
      <c r="L1311" s="10">
        <f>IF($BI1311="","",IF($B1311="Onsite",INDEX(tbl_Onsite[PO / Reference],$BI1311),IF($B1311="Production",INDEX(tbl_Production[Current RMS No],$BI1311),INDEX(tbl_Consulting[Qwilr Quote],$BI1311)))&amp;"")</f>
        <v/>
      </c>
      <c r="M1311" s="10">
        <f>IF($BI1311="","",IF($B1311="Onsite",INDEX(tbl_Onsite[Notes],$BI1311),IF($B1311="Production",INDEX(tbl_Production[Notes],$BI1311),INDEX(tbl_Consulting[Notes],$BI1311)))&amp;"")</f>
        <v/>
      </c>
      <c r="N1311" s="11">
        <f>IF($BI1311="","",IF(IF($B1311="Onsite",INDEX(tbl_Onsite[Expected Revenue Ex GST],$BI1311),IF($B1311="Production",INDEX(tbl_Production[Expected Revenue Ex GST],$BI1311),INDEX(tbl_Consulting[Expected Revenue Ex GST],$BI1311)))="","",IF($B1311="Onsite",INDEX(tbl_Onsite[Expected Revenue Ex GST],$BI1311),IF($B1311="Production",INDEX(tbl_Production[Expected Revenue Ex GST],$BI1311),INDEX(tbl_Consulting[Expected Revenue Ex GST],$BI1311)))))</f>
        <v/>
      </c>
      <c r="O1311" s="11">
        <f>IF(AND($C1311="",NOT(COUNTA($S1311:$BB1311)&gt;0)),"",SUM(U1311,X1311,AA1311,AD1311,AG1311,AJ1311,AM1311,AP1311,AS1311,AV1311,AY1311,BB1311))</f>
        <v/>
      </c>
      <c r="P1311" s="11">
        <f>IF(O1311="","",N(N1311)-O1311)</f>
        <v/>
      </c>
      <c r="Q1311" s="10">
        <f>IF(O1311="","",IF($C1311="","Invoice on empty job row",IF(N1311="",IF(ROUND(O1311,2)=0,"No dept value","Invoiced - no dept value"),IF(ROUND(O1311,2)=0,"Not invoiced - to invoice",IF(ROUND(P1311,2)=0,"Agrees",IF(P1311&gt;0,"Dept higher - to invoice","Xero higher - check dept"))))))</f>
        <v/>
      </c>
      <c r="R1311" s="10">
        <f>IF(AND($C1311="",NOT(COUNTA($S1311:$BB1311)&gt;0),$BI1311&lt;&gt;""),"",MID(IF($BI1311="","; Row ID not found on the department sheet - a row was deleted","")&amp;IF(AND($C1311="",COUNTA($S1311:$BB1311)&gt;0),"; Invoice entered but the department row has no job number","")&amp;IF(E1311="CHECK","; Job number not in the Xero job list","")&amp;IF(AND($C1311&lt;&gt;"",COUNTIF($C$7:$C$1506,$C1311)&gt;1),"; Job number on more than one row","")&amp;IF(AND($C1311&lt;&gt;"",H1311=""),"; Dept has not set a cost centre","")&amp;IF(AND($C1311&lt;&gt;"",J1311=""),"; Dept has not set a tax code","")&amp;IF(AND($C1311&lt;&gt;"",N1311=""),"; Dept has not entered an expected value","")&amp;IF((IF(OR(COUNTA(S1311:U1311)=0,AND(COUNTA(S1311:U1311)=3,ISNUMBER(U1311))),0,1)+IF(OR(COUNTA(V1311:X1311)=0,AND(COUNTA(V1311:X1311)=3,ISNUMBER(X1311))),0,1)+IF(OR(COUNTA(Y1311:AA1311)=0,AND(COUNTA(Y1311:AA1311)=3,ISNUMBER(AA1311))),0,1)+IF(OR(COUNTA(AB1311:AD1311)=0,AND(COUNTA(AB1311:AD1311)=3,ISNUMBER(AD1311))),0,1)+IF(OR(COUNTA(AE1311:AG1311)=0,AND(COUNTA(AE1311:AG1311)=3,ISNUMBER(AG1311))),0,1)+IF(OR(COUNTA(AH1311:AJ1311)=0,AND(COUNTA(AH1311:AJ1311)=3,ISNUMBER(AJ1311))),0,1)+IF(OR(COUNTA(AK1311:AM1311)=0,AND(COUNTA(AK1311:AM1311)=3,ISNUMBER(AM1311))),0,1)+IF(OR(COUNTA(AN1311:AP1311)=0,AND(COUNTA(AN1311:AP1311)=3,ISNUMBER(AP1311))),0,1)+IF(OR(COUNTA(AQ1311:AS1311)=0,AND(COUNTA(AQ1311:AS1311)=3,ISNUMBER(AS1311))),0,1)+IF(OR(COUNTA(AT1311:AV1311)=0,AND(COUNTA(AT1311:AV1311)=3,ISNUMBER(AV1311))),0,1)+IF(OR(COUNTA(AW1311:AY1311)=0,AND(COUNTA(AW1311:AY1311)=3,ISNUMBER(AY1311))),0,1)+IF(OR(COUNTA(AZ1311:BB1311)=0,AND(COUNTA(AZ1311:BB1311)=3,ISNUMBER(BB1311))),0,1))&gt;0,"; An invoice is incomplete (needs No, Date and a number in Ex GST)","")&amp;IF((IF(T1311="",0,IFERROR(--(EOMONTH(T1311,0)&lt;&gt;S$5),1))+IF(W1311="",0,IFERROR(--(EOMONTH(W1311,0)&lt;&gt;V$5),1))+IF(Z1311="",0,IFERROR(--(EOMONTH(Z1311,0)&lt;&gt;Y$5),1))+IF(AC1311="",0,IFERROR(--(EOMONTH(AC1311,0)&lt;&gt;AB$5),1))+IF(AF1311="",0,IFERROR(--(EOMONTH(AF1311,0)&lt;&gt;AE$5),1))+IF(AI1311="",0,IFERROR(--(EOMONTH(AI1311,0)&lt;&gt;AH$5),1))+IF(AL1311="",0,IFERROR(--(EOMONTH(AL1311,0)&lt;&gt;AK$5),1))+IF(AO1311="",0,IFERROR(--(EOMONTH(AO1311,0)&lt;&gt;AN$5),1))+IF(AR1311="",0,IFERROR(--(EOMONTH(AR1311,0)&lt;&gt;AQ$5),1))+IF(AU1311="",0,IFERROR(--(EOMONTH(AU1311,0)&lt;&gt;AT$5),1))+IF(AX1311="",0,IFERROR(--(EOMONTH(AX1311,0)&lt;&gt;AW$5),1))+IF(BA1311="",0,IFERROR(--(EOMONTH(BA1311,0)&lt;&gt;AZ$5),1)))&gt;0,"; An invoice date is not in the month it is typed under",""),3,500))</f>
        <v/>
      </c>
      <c r="S1311" s="12" t="n"/>
      <c r="T1311" s="13" t="n"/>
      <c r="U1311" s="14" t="n"/>
      <c r="V1311" s="12" t="n"/>
      <c r="W1311" s="13" t="n"/>
      <c r="X1311" s="14" t="n"/>
      <c r="Y1311" s="12" t="n"/>
      <c r="Z1311" s="13" t="n"/>
      <c r="AA1311" s="14" t="n"/>
      <c r="AB1311" s="12" t="n"/>
      <c r="AC1311" s="13" t="n"/>
      <c r="AD1311" s="14" t="n"/>
      <c r="AE1311" s="12" t="n"/>
      <c r="AF1311" s="13" t="n"/>
      <c r="AG1311" s="14" t="n"/>
      <c r="AH1311" s="12" t="n"/>
      <c r="AI1311" s="13" t="n"/>
      <c r="AJ1311" s="14" t="n"/>
      <c r="AK1311" s="12" t="n"/>
      <c r="AL1311" s="13" t="n"/>
      <c r="AM1311" s="14" t="n"/>
      <c r="AN1311" s="12" t="n"/>
      <c r="AO1311" s="13" t="n"/>
      <c r="AP1311" s="14" t="n"/>
      <c r="AQ1311" s="12" t="n"/>
      <c r="AR1311" s="13" t="n"/>
      <c r="AS1311" s="14" t="n"/>
      <c r="AT1311" s="12" t="n"/>
      <c r="AU1311" s="13" t="n"/>
      <c r="AV1311" s="14" t="n"/>
      <c r="AW1311" s="12" t="n"/>
      <c r="AX1311" s="13" t="n"/>
      <c r="AY1311" s="14" t="n"/>
      <c r="AZ1311" s="12" t="n"/>
      <c r="BA1311" s="13" t="n"/>
      <c r="BB1311" s="14" t="n"/>
      <c r="BC1311" s="11">
        <f>IF(O1311="","",IF(J1311="GST 10%",ROUND(O1311*set_GSTRate,2),0))</f>
        <v/>
      </c>
      <c r="BD1311" s="11">
        <f>IF(O1311="","",O1311+BC1311)</f>
        <v/>
      </c>
      <c r="BE1311" s="15">
        <f>IF(O1311="","",COUNTA(S1311,V1311,Y1311,AB1311,AE1311,AH1311,AK1311,AN1311,AQ1311,AT1311,AW1311,AZ1311))</f>
        <v/>
      </c>
      <c r="BF1311" s="16">
        <f>IF(COUNT(T1311,W1311,Z1311,AC1311,AF1311,AI1311,AL1311,AO1311,AR1311,AU1311,AX1311,BA1311)=0,"",MAX(T1311,W1311,Z1311,AC1311,AF1311,AI1311,AL1311,AO1311,AR1311,AU1311,AX1311,BA1311))</f>
        <v/>
      </c>
      <c r="BG1311" s="10">
        <f>MID(IF(S1311="","",", "&amp;S1311)&amp;IF(V1311="","",", "&amp;V1311)&amp;IF(Y1311="","",", "&amp;Y1311)&amp;IF(AB1311="","",", "&amp;AB1311)&amp;IF(AE1311="","",", "&amp;AE1311)&amp;IF(AH1311="","",", "&amp;AH1311)&amp;IF(AK1311="","",", "&amp;AK1311)&amp;IF(AN1311="","",", "&amp;AN1311)&amp;IF(AQ1311="","",", "&amp;AQ1311)&amp;IF(AT1311="","",", "&amp;AT1311)&amp;IF(AW1311="","",", "&amp;AW1311)&amp;IF(AZ1311="","",", "&amp;AZ1311),3,500)</f>
        <v/>
      </c>
      <c r="BH1311" s="12" t="n"/>
      <c r="BI1311" s="15">
        <f>IFERROR(MATCH($A1311,IF($B1311="Onsite",tbl_Onsite[Row ID],IF($B1311="Production",tbl_Production[Row ID],tbl_Consulting[Row ID])),0),"")</f>
        <v/>
      </c>
    </row>
    <row r="1312">
      <c r="A1312" s="10" t="inlineStr">
        <is>
          <t>CON-0306</t>
        </is>
      </c>
      <c r="B1312" s="10" t="inlineStr">
        <is>
          <t>Consulting</t>
        </is>
      </c>
      <c r="C1312" s="10">
        <f>IF($BI1312="","",IF($B1312="Onsite",INDEX(tbl_Onsite[Job Number],$BI1312),IF($B1312="Production",INDEX(tbl_Production[Job Number],$BI1312),INDEX(tbl_Consulting[Job Number],$BI1312)))&amp;"")</f>
        <v/>
      </c>
      <c r="D1312" s="10">
        <f>IF($BI1312="","",IF($B1312="Onsite",INDEX(tbl_Onsite[Client],$BI1312),IF($B1312="Production",INDEX(tbl_Production[Client],$BI1312),INDEX(tbl_Consulting[Client],$BI1312)))&amp;"")</f>
        <v/>
      </c>
      <c r="E1312" s="10">
        <f>IF($C1312="","",IF(COUNTIF(lst_Jobs,$C1312)&gt;0,"OK","CHECK"))</f>
        <v/>
      </c>
      <c r="F1312" s="10">
        <f>IF($C1312="","",IFERROR(INDEX(lst_JobName,MATCH($C1312,lst_Jobs,0)),""))</f>
        <v/>
      </c>
      <c r="G1312" s="10">
        <f>IF($BI1312="","",IF($B1312="Onsite",INDEX(tbl_Onsite[Job Description],$BI1312),IF($B1312="Production",INDEX(tbl_Production[Job Description],$BI1312),INDEX(tbl_Consulting[Job Description],$BI1312)))&amp;"")</f>
        <v/>
      </c>
      <c r="H1312" s="10">
        <f>IF($BI1312="","",IF($B1312="Onsite",INDEX(tbl_Onsite[Cost Centre],$BI1312),IF($B1312="Production",INDEX(tbl_Production[Cost Centre],$BI1312),INDEX(tbl_Consulting[Cost Centre],$BI1312)))&amp;"")</f>
        <v/>
      </c>
      <c r="I1312" s="10">
        <f>IF($BI1312="","",IF($B1312="Onsite",INDEX(tbl_Onsite[Invoice Type],$BI1312),IF($B1312="Production",INDEX(tbl_Production[Invoice Type],$BI1312),INDEX(tbl_Consulting[Invoice Type],$BI1312)))&amp;"")</f>
        <v/>
      </c>
      <c r="J1312" s="10">
        <f>IF($BI1312="","",IF($B1312="Onsite",INDEX(tbl_Onsite[Tax Code],$BI1312),IF($B1312="Production",INDEX(tbl_Production[Tax Code],$BI1312),INDEX(tbl_Consulting[Tax Code],$BI1312)))&amp;"")</f>
        <v/>
      </c>
      <c r="K1312" s="10">
        <f>IF(H1312="","",IFERROR(INDEX(lst_CCtoGL,MATCH(H1312,lst_CCforGL,0)),""))</f>
        <v/>
      </c>
      <c r="L1312" s="10">
        <f>IF($BI1312="","",IF($B1312="Onsite",INDEX(tbl_Onsite[PO / Reference],$BI1312),IF($B1312="Production",INDEX(tbl_Production[Current RMS No],$BI1312),INDEX(tbl_Consulting[Qwilr Quote],$BI1312)))&amp;"")</f>
        <v/>
      </c>
      <c r="M1312" s="10">
        <f>IF($BI1312="","",IF($B1312="Onsite",INDEX(tbl_Onsite[Notes],$BI1312),IF($B1312="Production",INDEX(tbl_Production[Notes],$BI1312),INDEX(tbl_Consulting[Notes],$BI1312)))&amp;"")</f>
        <v/>
      </c>
      <c r="N1312" s="11">
        <f>IF($BI1312="","",IF(IF($B1312="Onsite",INDEX(tbl_Onsite[Expected Revenue Ex GST],$BI1312),IF($B1312="Production",INDEX(tbl_Production[Expected Revenue Ex GST],$BI1312),INDEX(tbl_Consulting[Expected Revenue Ex GST],$BI1312)))="","",IF($B1312="Onsite",INDEX(tbl_Onsite[Expected Revenue Ex GST],$BI1312),IF($B1312="Production",INDEX(tbl_Production[Expected Revenue Ex GST],$BI1312),INDEX(tbl_Consulting[Expected Revenue Ex GST],$BI1312)))))</f>
        <v/>
      </c>
      <c r="O1312" s="11">
        <f>IF(AND($C1312="",NOT(COUNTA($S1312:$BB1312)&gt;0)),"",SUM(U1312,X1312,AA1312,AD1312,AG1312,AJ1312,AM1312,AP1312,AS1312,AV1312,AY1312,BB1312))</f>
        <v/>
      </c>
      <c r="P1312" s="11">
        <f>IF(O1312="","",N(N1312)-O1312)</f>
        <v/>
      </c>
      <c r="Q1312" s="10">
        <f>IF(O1312="","",IF($C1312="","Invoice on empty job row",IF(N1312="",IF(ROUND(O1312,2)=0,"No dept value","Invoiced - no dept value"),IF(ROUND(O1312,2)=0,"Not invoiced - to invoice",IF(ROUND(P1312,2)=0,"Agrees",IF(P1312&gt;0,"Dept higher - to invoice","Xero higher - check dept"))))))</f>
        <v/>
      </c>
      <c r="R1312" s="10">
        <f>IF(AND($C1312="",NOT(COUNTA($S1312:$BB1312)&gt;0),$BI1312&lt;&gt;""),"",MID(IF($BI1312="","; Row ID not found on the department sheet - a row was deleted","")&amp;IF(AND($C1312="",COUNTA($S1312:$BB1312)&gt;0),"; Invoice entered but the department row has no job number","")&amp;IF(E1312="CHECK","; Job number not in the Xero job list","")&amp;IF(AND($C1312&lt;&gt;"",COUNTIF($C$7:$C$1506,$C1312)&gt;1),"; Job number on more than one row","")&amp;IF(AND($C1312&lt;&gt;"",H1312=""),"; Dept has not set a cost centre","")&amp;IF(AND($C1312&lt;&gt;"",J1312=""),"; Dept has not set a tax code","")&amp;IF(AND($C1312&lt;&gt;"",N1312=""),"; Dept has not entered an expected value","")&amp;IF((IF(OR(COUNTA(S1312:U1312)=0,AND(COUNTA(S1312:U1312)=3,ISNUMBER(U1312))),0,1)+IF(OR(COUNTA(V1312:X1312)=0,AND(COUNTA(V1312:X1312)=3,ISNUMBER(X1312))),0,1)+IF(OR(COUNTA(Y1312:AA1312)=0,AND(COUNTA(Y1312:AA1312)=3,ISNUMBER(AA1312))),0,1)+IF(OR(COUNTA(AB1312:AD1312)=0,AND(COUNTA(AB1312:AD1312)=3,ISNUMBER(AD1312))),0,1)+IF(OR(COUNTA(AE1312:AG1312)=0,AND(COUNTA(AE1312:AG1312)=3,ISNUMBER(AG1312))),0,1)+IF(OR(COUNTA(AH1312:AJ1312)=0,AND(COUNTA(AH1312:AJ1312)=3,ISNUMBER(AJ1312))),0,1)+IF(OR(COUNTA(AK1312:AM1312)=0,AND(COUNTA(AK1312:AM1312)=3,ISNUMBER(AM1312))),0,1)+IF(OR(COUNTA(AN1312:AP1312)=0,AND(COUNTA(AN1312:AP1312)=3,ISNUMBER(AP1312))),0,1)+IF(OR(COUNTA(AQ1312:AS1312)=0,AND(COUNTA(AQ1312:AS1312)=3,ISNUMBER(AS1312))),0,1)+IF(OR(COUNTA(AT1312:AV1312)=0,AND(COUNTA(AT1312:AV1312)=3,ISNUMBER(AV1312))),0,1)+IF(OR(COUNTA(AW1312:AY1312)=0,AND(COUNTA(AW1312:AY1312)=3,ISNUMBER(AY1312))),0,1)+IF(OR(COUNTA(AZ1312:BB1312)=0,AND(COUNTA(AZ1312:BB1312)=3,ISNUMBER(BB1312))),0,1))&gt;0,"; An invoice is incomplete (needs No, Date and a number in Ex GST)","")&amp;IF((IF(T1312="",0,IFERROR(--(EOMONTH(T1312,0)&lt;&gt;S$5),1))+IF(W1312="",0,IFERROR(--(EOMONTH(W1312,0)&lt;&gt;V$5),1))+IF(Z1312="",0,IFERROR(--(EOMONTH(Z1312,0)&lt;&gt;Y$5),1))+IF(AC1312="",0,IFERROR(--(EOMONTH(AC1312,0)&lt;&gt;AB$5),1))+IF(AF1312="",0,IFERROR(--(EOMONTH(AF1312,0)&lt;&gt;AE$5),1))+IF(AI1312="",0,IFERROR(--(EOMONTH(AI1312,0)&lt;&gt;AH$5),1))+IF(AL1312="",0,IFERROR(--(EOMONTH(AL1312,0)&lt;&gt;AK$5),1))+IF(AO1312="",0,IFERROR(--(EOMONTH(AO1312,0)&lt;&gt;AN$5),1))+IF(AR1312="",0,IFERROR(--(EOMONTH(AR1312,0)&lt;&gt;AQ$5),1))+IF(AU1312="",0,IFERROR(--(EOMONTH(AU1312,0)&lt;&gt;AT$5),1))+IF(AX1312="",0,IFERROR(--(EOMONTH(AX1312,0)&lt;&gt;AW$5),1))+IF(BA1312="",0,IFERROR(--(EOMONTH(BA1312,0)&lt;&gt;AZ$5),1)))&gt;0,"; An invoice date is not in the month it is typed under",""),3,500))</f>
        <v/>
      </c>
      <c r="S1312" s="12" t="n"/>
      <c r="T1312" s="13" t="n"/>
      <c r="U1312" s="14" t="n"/>
      <c r="V1312" s="12" t="n"/>
      <c r="W1312" s="13" t="n"/>
      <c r="X1312" s="14" t="n"/>
      <c r="Y1312" s="12" t="n"/>
      <c r="Z1312" s="13" t="n"/>
      <c r="AA1312" s="14" t="n"/>
      <c r="AB1312" s="12" t="n"/>
      <c r="AC1312" s="13" t="n"/>
      <c r="AD1312" s="14" t="n"/>
      <c r="AE1312" s="12" t="n"/>
      <c r="AF1312" s="13" t="n"/>
      <c r="AG1312" s="14" t="n"/>
      <c r="AH1312" s="12" t="n"/>
      <c r="AI1312" s="13" t="n"/>
      <c r="AJ1312" s="14" t="n"/>
      <c r="AK1312" s="12" t="n"/>
      <c r="AL1312" s="13" t="n"/>
      <c r="AM1312" s="14" t="n"/>
      <c r="AN1312" s="12" t="n"/>
      <c r="AO1312" s="13" t="n"/>
      <c r="AP1312" s="14" t="n"/>
      <c r="AQ1312" s="12" t="n"/>
      <c r="AR1312" s="13" t="n"/>
      <c r="AS1312" s="14" t="n"/>
      <c r="AT1312" s="12" t="n"/>
      <c r="AU1312" s="13" t="n"/>
      <c r="AV1312" s="14" t="n"/>
      <c r="AW1312" s="12" t="n"/>
      <c r="AX1312" s="13" t="n"/>
      <c r="AY1312" s="14" t="n"/>
      <c r="AZ1312" s="12" t="n"/>
      <c r="BA1312" s="13" t="n"/>
      <c r="BB1312" s="14" t="n"/>
      <c r="BC1312" s="11">
        <f>IF(O1312="","",IF(J1312="GST 10%",ROUND(O1312*set_GSTRate,2),0))</f>
        <v/>
      </c>
      <c r="BD1312" s="11">
        <f>IF(O1312="","",O1312+BC1312)</f>
        <v/>
      </c>
      <c r="BE1312" s="15">
        <f>IF(O1312="","",COUNTA(S1312,V1312,Y1312,AB1312,AE1312,AH1312,AK1312,AN1312,AQ1312,AT1312,AW1312,AZ1312))</f>
        <v/>
      </c>
      <c r="BF1312" s="16">
        <f>IF(COUNT(T1312,W1312,Z1312,AC1312,AF1312,AI1312,AL1312,AO1312,AR1312,AU1312,AX1312,BA1312)=0,"",MAX(T1312,W1312,Z1312,AC1312,AF1312,AI1312,AL1312,AO1312,AR1312,AU1312,AX1312,BA1312))</f>
        <v/>
      </c>
      <c r="BG1312" s="10">
        <f>MID(IF(S1312="","",", "&amp;S1312)&amp;IF(V1312="","",", "&amp;V1312)&amp;IF(Y1312="","",", "&amp;Y1312)&amp;IF(AB1312="","",", "&amp;AB1312)&amp;IF(AE1312="","",", "&amp;AE1312)&amp;IF(AH1312="","",", "&amp;AH1312)&amp;IF(AK1312="","",", "&amp;AK1312)&amp;IF(AN1312="","",", "&amp;AN1312)&amp;IF(AQ1312="","",", "&amp;AQ1312)&amp;IF(AT1312="","",", "&amp;AT1312)&amp;IF(AW1312="","",", "&amp;AW1312)&amp;IF(AZ1312="","",", "&amp;AZ1312),3,500)</f>
        <v/>
      </c>
      <c r="BH1312" s="12" t="n"/>
      <c r="BI1312" s="15">
        <f>IFERROR(MATCH($A1312,IF($B1312="Onsite",tbl_Onsite[Row ID],IF($B1312="Production",tbl_Production[Row ID],tbl_Consulting[Row ID])),0),"")</f>
        <v/>
      </c>
    </row>
    <row r="1313">
      <c r="A1313" s="10" t="inlineStr">
        <is>
          <t>CON-0307</t>
        </is>
      </c>
      <c r="B1313" s="10" t="inlineStr">
        <is>
          <t>Consulting</t>
        </is>
      </c>
      <c r="C1313" s="10">
        <f>IF($BI1313="","",IF($B1313="Onsite",INDEX(tbl_Onsite[Job Number],$BI1313),IF($B1313="Production",INDEX(tbl_Production[Job Number],$BI1313),INDEX(tbl_Consulting[Job Number],$BI1313)))&amp;"")</f>
        <v/>
      </c>
      <c r="D1313" s="10">
        <f>IF($BI1313="","",IF($B1313="Onsite",INDEX(tbl_Onsite[Client],$BI1313),IF($B1313="Production",INDEX(tbl_Production[Client],$BI1313),INDEX(tbl_Consulting[Client],$BI1313)))&amp;"")</f>
        <v/>
      </c>
      <c r="E1313" s="10">
        <f>IF($C1313="","",IF(COUNTIF(lst_Jobs,$C1313)&gt;0,"OK","CHECK"))</f>
        <v/>
      </c>
      <c r="F1313" s="10">
        <f>IF($C1313="","",IFERROR(INDEX(lst_JobName,MATCH($C1313,lst_Jobs,0)),""))</f>
        <v/>
      </c>
      <c r="G1313" s="10">
        <f>IF($BI1313="","",IF($B1313="Onsite",INDEX(tbl_Onsite[Job Description],$BI1313),IF($B1313="Production",INDEX(tbl_Production[Job Description],$BI1313),INDEX(tbl_Consulting[Job Description],$BI1313)))&amp;"")</f>
        <v/>
      </c>
      <c r="H1313" s="10">
        <f>IF($BI1313="","",IF($B1313="Onsite",INDEX(tbl_Onsite[Cost Centre],$BI1313),IF($B1313="Production",INDEX(tbl_Production[Cost Centre],$BI1313),INDEX(tbl_Consulting[Cost Centre],$BI1313)))&amp;"")</f>
        <v/>
      </c>
      <c r="I1313" s="10">
        <f>IF($BI1313="","",IF($B1313="Onsite",INDEX(tbl_Onsite[Invoice Type],$BI1313),IF($B1313="Production",INDEX(tbl_Production[Invoice Type],$BI1313),INDEX(tbl_Consulting[Invoice Type],$BI1313)))&amp;"")</f>
        <v/>
      </c>
      <c r="J1313" s="10">
        <f>IF($BI1313="","",IF($B1313="Onsite",INDEX(tbl_Onsite[Tax Code],$BI1313),IF($B1313="Production",INDEX(tbl_Production[Tax Code],$BI1313),INDEX(tbl_Consulting[Tax Code],$BI1313)))&amp;"")</f>
        <v/>
      </c>
      <c r="K1313" s="10">
        <f>IF(H1313="","",IFERROR(INDEX(lst_CCtoGL,MATCH(H1313,lst_CCforGL,0)),""))</f>
        <v/>
      </c>
      <c r="L1313" s="10">
        <f>IF($BI1313="","",IF($B1313="Onsite",INDEX(tbl_Onsite[PO / Reference],$BI1313),IF($B1313="Production",INDEX(tbl_Production[Current RMS No],$BI1313),INDEX(tbl_Consulting[Qwilr Quote],$BI1313)))&amp;"")</f>
        <v/>
      </c>
      <c r="M1313" s="10">
        <f>IF($BI1313="","",IF($B1313="Onsite",INDEX(tbl_Onsite[Notes],$BI1313),IF($B1313="Production",INDEX(tbl_Production[Notes],$BI1313),INDEX(tbl_Consulting[Notes],$BI1313)))&amp;"")</f>
        <v/>
      </c>
      <c r="N1313" s="11">
        <f>IF($BI1313="","",IF(IF($B1313="Onsite",INDEX(tbl_Onsite[Expected Revenue Ex GST],$BI1313),IF($B1313="Production",INDEX(tbl_Production[Expected Revenue Ex GST],$BI1313),INDEX(tbl_Consulting[Expected Revenue Ex GST],$BI1313)))="","",IF($B1313="Onsite",INDEX(tbl_Onsite[Expected Revenue Ex GST],$BI1313),IF($B1313="Production",INDEX(tbl_Production[Expected Revenue Ex GST],$BI1313),INDEX(tbl_Consulting[Expected Revenue Ex GST],$BI1313)))))</f>
        <v/>
      </c>
      <c r="O1313" s="11">
        <f>IF(AND($C1313="",NOT(COUNTA($S1313:$BB1313)&gt;0)),"",SUM(U1313,X1313,AA1313,AD1313,AG1313,AJ1313,AM1313,AP1313,AS1313,AV1313,AY1313,BB1313))</f>
        <v/>
      </c>
      <c r="P1313" s="11">
        <f>IF(O1313="","",N(N1313)-O1313)</f>
        <v/>
      </c>
      <c r="Q1313" s="10">
        <f>IF(O1313="","",IF($C1313="","Invoice on empty job row",IF(N1313="",IF(ROUND(O1313,2)=0,"No dept value","Invoiced - no dept value"),IF(ROUND(O1313,2)=0,"Not invoiced - to invoice",IF(ROUND(P1313,2)=0,"Agrees",IF(P1313&gt;0,"Dept higher - to invoice","Xero higher - check dept"))))))</f>
        <v/>
      </c>
      <c r="R1313" s="10">
        <f>IF(AND($C1313="",NOT(COUNTA($S1313:$BB1313)&gt;0),$BI1313&lt;&gt;""),"",MID(IF($BI1313="","; Row ID not found on the department sheet - a row was deleted","")&amp;IF(AND($C1313="",COUNTA($S1313:$BB1313)&gt;0),"; Invoice entered but the department row has no job number","")&amp;IF(E1313="CHECK","; Job number not in the Xero job list","")&amp;IF(AND($C1313&lt;&gt;"",COUNTIF($C$7:$C$1506,$C1313)&gt;1),"; Job number on more than one row","")&amp;IF(AND($C1313&lt;&gt;"",H1313=""),"; Dept has not set a cost centre","")&amp;IF(AND($C1313&lt;&gt;"",J1313=""),"; Dept has not set a tax code","")&amp;IF(AND($C1313&lt;&gt;"",N1313=""),"; Dept has not entered an expected value","")&amp;IF((IF(OR(COUNTA(S1313:U1313)=0,AND(COUNTA(S1313:U1313)=3,ISNUMBER(U1313))),0,1)+IF(OR(COUNTA(V1313:X1313)=0,AND(COUNTA(V1313:X1313)=3,ISNUMBER(X1313))),0,1)+IF(OR(COUNTA(Y1313:AA1313)=0,AND(COUNTA(Y1313:AA1313)=3,ISNUMBER(AA1313))),0,1)+IF(OR(COUNTA(AB1313:AD1313)=0,AND(COUNTA(AB1313:AD1313)=3,ISNUMBER(AD1313))),0,1)+IF(OR(COUNTA(AE1313:AG1313)=0,AND(COUNTA(AE1313:AG1313)=3,ISNUMBER(AG1313))),0,1)+IF(OR(COUNTA(AH1313:AJ1313)=0,AND(COUNTA(AH1313:AJ1313)=3,ISNUMBER(AJ1313))),0,1)+IF(OR(COUNTA(AK1313:AM1313)=0,AND(COUNTA(AK1313:AM1313)=3,ISNUMBER(AM1313))),0,1)+IF(OR(COUNTA(AN1313:AP1313)=0,AND(COUNTA(AN1313:AP1313)=3,ISNUMBER(AP1313))),0,1)+IF(OR(COUNTA(AQ1313:AS1313)=0,AND(COUNTA(AQ1313:AS1313)=3,ISNUMBER(AS1313))),0,1)+IF(OR(COUNTA(AT1313:AV1313)=0,AND(COUNTA(AT1313:AV1313)=3,ISNUMBER(AV1313))),0,1)+IF(OR(COUNTA(AW1313:AY1313)=0,AND(COUNTA(AW1313:AY1313)=3,ISNUMBER(AY1313))),0,1)+IF(OR(COUNTA(AZ1313:BB1313)=0,AND(COUNTA(AZ1313:BB1313)=3,ISNUMBER(BB1313))),0,1))&gt;0,"; An invoice is incomplete (needs No, Date and a number in Ex GST)","")&amp;IF((IF(T1313="",0,IFERROR(--(EOMONTH(T1313,0)&lt;&gt;S$5),1))+IF(W1313="",0,IFERROR(--(EOMONTH(W1313,0)&lt;&gt;V$5),1))+IF(Z1313="",0,IFERROR(--(EOMONTH(Z1313,0)&lt;&gt;Y$5),1))+IF(AC1313="",0,IFERROR(--(EOMONTH(AC1313,0)&lt;&gt;AB$5),1))+IF(AF1313="",0,IFERROR(--(EOMONTH(AF1313,0)&lt;&gt;AE$5),1))+IF(AI1313="",0,IFERROR(--(EOMONTH(AI1313,0)&lt;&gt;AH$5),1))+IF(AL1313="",0,IFERROR(--(EOMONTH(AL1313,0)&lt;&gt;AK$5),1))+IF(AO1313="",0,IFERROR(--(EOMONTH(AO1313,0)&lt;&gt;AN$5),1))+IF(AR1313="",0,IFERROR(--(EOMONTH(AR1313,0)&lt;&gt;AQ$5),1))+IF(AU1313="",0,IFERROR(--(EOMONTH(AU1313,0)&lt;&gt;AT$5),1))+IF(AX1313="",0,IFERROR(--(EOMONTH(AX1313,0)&lt;&gt;AW$5),1))+IF(BA1313="",0,IFERROR(--(EOMONTH(BA1313,0)&lt;&gt;AZ$5),1)))&gt;0,"; An invoice date is not in the month it is typed under",""),3,500))</f>
        <v/>
      </c>
      <c r="S1313" s="12" t="n"/>
      <c r="T1313" s="13" t="n"/>
      <c r="U1313" s="14" t="n"/>
      <c r="V1313" s="12" t="n"/>
      <c r="W1313" s="13" t="n"/>
      <c r="X1313" s="14" t="n"/>
      <c r="Y1313" s="12" t="n"/>
      <c r="Z1313" s="13" t="n"/>
      <c r="AA1313" s="14" t="n"/>
      <c r="AB1313" s="12" t="n"/>
      <c r="AC1313" s="13" t="n"/>
      <c r="AD1313" s="14" t="n"/>
      <c r="AE1313" s="12" t="n"/>
      <c r="AF1313" s="13" t="n"/>
      <c r="AG1313" s="14" t="n"/>
      <c r="AH1313" s="12" t="n"/>
      <c r="AI1313" s="13" t="n"/>
      <c r="AJ1313" s="14" t="n"/>
      <c r="AK1313" s="12" t="n"/>
      <c r="AL1313" s="13" t="n"/>
      <c r="AM1313" s="14" t="n"/>
      <c r="AN1313" s="12" t="n"/>
      <c r="AO1313" s="13" t="n"/>
      <c r="AP1313" s="14" t="n"/>
      <c r="AQ1313" s="12" t="n"/>
      <c r="AR1313" s="13" t="n"/>
      <c r="AS1313" s="14" t="n"/>
      <c r="AT1313" s="12" t="n"/>
      <c r="AU1313" s="13" t="n"/>
      <c r="AV1313" s="14" t="n"/>
      <c r="AW1313" s="12" t="n"/>
      <c r="AX1313" s="13" t="n"/>
      <c r="AY1313" s="14" t="n"/>
      <c r="AZ1313" s="12" t="n"/>
      <c r="BA1313" s="13" t="n"/>
      <c r="BB1313" s="14" t="n"/>
      <c r="BC1313" s="11">
        <f>IF(O1313="","",IF(J1313="GST 10%",ROUND(O1313*set_GSTRate,2),0))</f>
        <v/>
      </c>
      <c r="BD1313" s="11">
        <f>IF(O1313="","",O1313+BC1313)</f>
        <v/>
      </c>
      <c r="BE1313" s="15">
        <f>IF(O1313="","",COUNTA(S1313,V1313,Y1313,AB1313,AE1313,AH1313,AK1313,AN1313,AQ1313,AT1313,AW1313,AZ1313))</f>
        <v/>
      </c>
      <c r="BF1313" s="16">
        <f>IF(COUNT(T1313,W1313,Z1313,AC1313,AF1313,AI1313,AL1313,AO1313,AR1313,AU1313,AX1313,BA1313)=0,"",MAX(T1313,W1313,Z1313,AC1313,AF1313,AI1313,AL1313,AO1313,AR1313,AU1313,AX1313,BA1313))</f>
        <v/>
      </c>
      <c r="BG1313" s="10">
        <f>MID(IF(S1313="","",", "&amp;S1313)&amp;IF(V1313="","",", "&amp;V1313)&amp;IF(Y1313="","",", "&amp;Y1313)&amp;IF(AB1313="","",", "&amp;AB1313)&amp;IF(AE1313="","",", "&amp;AE1313)&amp;IF(AH1313="","",", "&amp;AH1313)&amp;IF(AK1313="","",", "&amp;AK1313)&amp;IF(AN1313="","",", "&amp;AN1313)&amp;IF(AQ1313="","",", "&amp;AQ1313)&amp;IF(AT1313="","",", "&amp;AT1313)&amp;IF(AW1313="","",", "&amp;AW1313)&amp;IF(AZ1313="","",", "&amp;AZ1313),3,500)</f>
        <v/>
      </c>
      <c r="BH1313" s="12" t="n"/>
      <c r="BI1313" s="15">
        <f>IFERROR(MATCH($A1313,IF($B1313="Onsite",tbl_Onsite[Row ID],IF($B1313="Production",tbl_Production[Row ID],tbl_Consulting[Row ID])),0),"")</f>
        <v/>
      </c>
    </row>
    <row r="1314">
      <c r="A1314" s="10" t="inlineStr">
        <is>
          <t>CON-0308</t>
        </is>
      </c>
      <c r="B1314" s="10" t="inlineStr">
        <is>
          <t>Consulting</t>
        </is>
      </c>
      <c r="C1314" s="10">
        <f>IF($BI1314="","",IF($B1314="Onsite",INDEX(tbl_Onsite[Job Number],$BI1314),IF($B1314="Production",INDEX(tbl_Production[Job Number],$BI1314),INDEX(tbl_Consulting[Job Number],$BI1314)))&amp;"")</f>
        <v/>
      </c>
      <c r="D1314" s="10">
        <f>IF($BI1314="","",IF($B1314="Onsite",INDEX(tbl_Onsite[Client],$BI1314),IF($B1314="Production",INDEX(tbl_Production[Client],$BI1314),INDEX(tbl_Consulting[Client],$BI1314)))&amp;"")</f>
        <v/>
      </c>
      <c r="E1314" s="10">
        <f>IF($C1314="","",IF(COUNTIF(lst_Jobs,$C1314)&gt;0,"OK","CHECK"))</f>
        <v/>
      </c>
      <c r="F1314" s="10">
        <f>IF($C1314="","",IFERROR(INDEX(lst_JobName,MATCH($C1314,lst_Jobs,0)),""))</f>
        <v/>
      </c>
      <c r="G1314" s="10">
        <f>IF($BI1314="","",IF($B1314="Onsite",INDEX(tbl_Onsite[Job Description],$BI1314),IF($B1314="Production",INDEX(tbl_Production[Job Description],$BI1314),INDEX(tbl_Consulting[Job Description],$BI1314)))&amp;"")</f>
        <v/>
      </c>
      <c r="H1314" s="10">
        <f>IF($BI1314="","",IF($B1314="Onsite",INDEX(tbl_Onsite[Cost Centre],$BI1314),IF($B1314="Production",INDEX(tbl_Production[Cost Centre],$BI1314),INDEX(tbl_Consulting[Cost Centre],$BI1314)))&amp;"")</f>
        <v/>
      </c>
      <c r="I1314" s="10">
        <f>IF($BI1314="","",IF($B1314="Onsite",INDEX(tbl_Onsite[Invoice Type],$BI1314),IF($B1314="Production",INDEX(tbl_Production[Invoice Type],$BI1314),INDEX(tbl_Consulting[Invoice Type],$BI1314)))&amp;"")</f>
        <v/>
      </c>
      <c r="J1314" s="10">
        <f>IF($BI1314="","",IF($B1314="Onsite",INDEX(tbl_Onsite[Tax Code],$BI1314),IF($B1314="Production",INDEX(tbl_Production[Tax Code],$BI1314),INDEX(tbl_Consulting[Tax Code],$BI1314)))&amp;"")</f>
        <v/>
      </c>
      <c r="K1314" s="10">
        <f>IF(H1314="","",IFERROR(INDEX(lst_CCtoGL,MATCH(H1314,lst_CCforGL,0)),""))</f>
        <v/>
      </c>
      <c r="L1314" s="10">
        <f>IF($BI1314="","",IF($B1314="Onsite",INDEX(tbl_Onsite[PO / Reference],$BI1314),IF($B1314="Production",INDEX(tbl_Production[Current RMS No],$BI1314),INDEX(tbl_Consulting[Qwilr Quote],$BI1314)))&amp;"")</f>
        <v/>
      </c>
      <c r="M1314" s="10">
        <f>IF($BI1314="","",IF($B1314="Onsite",INDEX(tbl_Onsite[Notes],$BI1314),IF($B1314="Production",INDEX(tbl_Production[Notes],$BI1314),INDEX(tbl_Consulting[Notes],$BI1314)))&amp;"")</f>
        <v/>
      </c>
      <c r="N1314" s="11">
        <f>IF($BI1314="","",IF(IF($B1314="Onsite",INDEX(tbl_Onsite[Expected Revenue Ex GST],$BI1314),IF($B1314="Production",INDEX(tbl_Production[Expected Revenue Ex GST],$BI1314),INDEX(tbl_Consulting[Expected Revenue Ex GST],$BI1314)))="","",IF($B1314="Onsite",INDEX(tbl_Onsite[Expected Revenue Ex GST],$BI1314),IF($B1314="Production",INDEX(tbl_Production[Expected Revenue Ex GST],$BI1314),INDEX(tbl_Consulting[Expected Revenue Ex GST],$BI1314)))))</f>
        <v/>
      </c>
      <c r="O1314" s="11">
        <f>IF(AND($C1314="",NOT(COUNTA($S1314:$BB1314)&gt;0)),"",SUM(U1314,X1314,AA1314,AD1314,AG1314,AJ1314,AM1314,AP1314,AS1314,AV1314,AY1314,BB1314))</f>
        <v/>
      </c>
      <c r="P1314" s="11">
        <f>IF(O1314="","",N(N1314)-O1314)</f>
        <v/>
      </c>
      <c r="Q1314" s="10">
        <f>IF(O1314="","",IF($C1314="","Invoice on empty job row",IF(N1314="",IF(ROUND(O1314,2)=0,"No dept value","Invoiced - no dept value"),IF(ROUND(O1314,2)=0,"Not invoiced - to invoice",IF(ROUND(P1314,2)=0,"Agrees",IF(P1314&gt;0,"Dept higher - to invoice","Xero higher - check dept"))))))</f>
        <v/>
      </c>
      <c r="R1314" s="10">
        <f>IF(AND($C1314="",NOT(COUNTA($S1314:$BB1314)&gt;0),$BI1314&lt;&gt;""),"",MID(IF($BI1314="","; Row ID not found on the department sheet - a row was deleted","")&amp;IF(AND($C1314="",COUNTA($S1314:$BB1314)&gt;0),"; Invoice entered but the department row has no job number","")&amp;IF(E1314="CHECK","; Job number not in the Xero job list","")&amp;IF(AND($C1314&lt;&gt;"",COUNTIF($C$7:$C$1506,$C1314)&gt;1),"; Job number on more than one row","")&amp;IF(AND($C1314&lt;&gt;"",H1314=""),"; Dept has not set a cost centre","")&amp;IF(AND($C1314&lt;&gt;"",J1314=""),"; Dept has not set a tax code","")&amp;IF(AND($C1314&lt;&gt;"",N1314=""),"; Dept has not entered an expected value","")&amp;IF((IF(OR(COUNTA(S1314:U1314)=0,AND(COUNTA(S1314:U1314)=3,ISNUMBER(U1314))),0,1)+IF(OR(COUNTA(V1314:X1314)=0,AND(COUNTA(V1314:X1314)=3,ISNUMBER(X1314))),0,1)+IF(OR(COUNTA(Y1314:AA1314)=0,AND(COUNTA(Y1314:AA1314)=3,ISNUMBER(AA1314))),0,1)+IF(OR(COUNTA(AB1314:AD1314)=0,AND(COUNTA(AB1314:AD1314)=3,ISNUMBER(AD1314))),0,1)+IF(OR(COUNTA(AE1314:AG1314)=0,AND(COUNTA(AE1314:AG1314)=3,ISNUMBER(AG1314))),0,1)+IF(OR(COUNTA(AH1314:AJ1314)=0,AND(COUNTA(AH1314:AJ1314)=3,ISNUMBER(AJ1314))),0,1)+IF(OR(COUNTA(AK1314:AM1314)=0,AND(COUNTA(AK1314:AM1314)=3,ISNUMBER(AM1314))),0,1)+IF(OR(COUNTA(AN1314:AP1314)=0,AND(COUNTA(AN1314:AP1314)=3,ISNUMBER(AP1314))),0,1)+IF(OR(COUNTA(AQ1314:AS1314)=0,AND(COUNTA(AQ1314:AS1314)=3,ISNUMBER(AS1314))),0,1)+IF(OR(COUNTA(AT1314:AV1314)=0,AND(COUNTA(AT1314:AV1314)=3,ISNUMBER(AV1314))),0,1)+IF(OR(COUNTA(AW1314:AY1314)=0,AND(COUNTA(AW1314:AY1314)=3,ISNUMBER(AY1314))),0,1)+IF(OR(COUNTA(AZ1314:BB1314)=0,AND(COUNTA(AZ1314:BB1314)=3,ISNUMBER(BB1314))),0,1))&gt;0,"; An invoice is incomplete (needs No, Date and a number in Ex GST)","")&amp;IF((IF(T1314="",0,IFERROR(--(EOMONTH(T1314,0)&lt;&gt;S$5),1))+IF(W1314="",0,IFERROR(--(EOMONTH(W1314,0)&lt;&gt;V$5),1))+IF(Z1314="",0,IFERROR(--(EOMONTH(Z1314,0)&lt;&gt;Y$5),1))+IF(AC1314="",0,IFERROR(--(EOMONTH(AC1314,0)&lt;&gt;AB$5),1))+IF(AF1314="",0,IFERROR(--(EOMONTH(AF1314,0)&lt;&gt;AE$5),1))+IF(AI1314="",0,IFERROR(--(EOMONTH(AI1314,0)&lt;&gt;AH$5),1))+IF(AL1314="",0,IFERROR(--(EOMONTH(AL1314,0)&lt;&gt;AK$5),1))+IF(AO1314="",0,IFERROR(--(EOMONTH(AO1314,0)&lt;&gt;AN$5),1))+IF(AR1314="",0,IFERROR(--(EOMONTH(AR1314,0)&lt;&gt;AQ$5),1))+IF(AU1314="",0,IFERROR(--(EOMONTH(AU1314,0)&lt;&gt;AT$5),1))+IF(AX1314="",0,IFERROR(--(EOMONTH(AX1314,0)&lt;&gt;AW$5),1))+IF(BA1314="",0,IFERROR(--(EOMONTH(BA1314,0)&lt;&gt;AZ$5),1)))&gt;0,"; An invoice date is not in the month it is typed under",""),3,500))</f>
        <v/>
      </c>
      <c r="S1314" s="12" t="n"/>
      <c r="T1314" s="13" t="n"/>
      <c r="U1314" s="14" t="n"/>
      <c r="V1314" s="12" t="n"/>
      <c r="W1314" s="13" t="n"/>
      <c r="X1314" s="14" t="n"/>
      <c r="Y1314" s="12" t="n"/>
      <c r="Z1314" s="13" t="n"/>
      <c r="AA1314" s="14" t="n"/>
      <c r="AB1314" s="12" t="n"/>
      <c r="AC1314" s="13" t="n"/>
      <c r="AD1314" s="14" t="n"/>
      <c r="AE1314" s="12" t="n"/>
      <c r="AF1314" s="13" t="n"/>
      <c r="AG1314" s="14" t="n"/>
      <c r="AH1314" s="12" t="n"/>
      <c r="AI1314" s="13" t="n"/>
      <c r="AJ1314" s="14" t="n"/>
      <c r="AK1314" s="12" t="n"/>
      <c r="AL1314" s="13" t="n"/>
      <c r="AM1314" s="14" t="n"/>
      <c r="AN1314" s="12" t="n"/>
      <c r="AO1314" s="13" t="n"/>
      <c r="AP1314" s="14" t="n"/>
      <c r="AQ1314" s="12" t="n"/>
      <c r="AR1314" s="13" t="n"/>
      <c r="AS1314" s="14" t="n"/>
      <c r="AT1314" s="12" t="n"/>
      <c r="AU1314" s="13" t="n"/>
      <c r="AV1314" s="14" t="n"/>
      <c r="AW1314" s="12" t="n"/>
      <c r="AX1314" s="13" t="n"/>
      <c r="AY1314" s="14" t="n"/>
      <c r="AZ1314" s="12" t="n"/>
      <c r="BA1314" s="13" t="n"/>
      <c r="BB1314" s="14" t="n"/>
      <c r="BC1314" s="11">
        <f>IF(O1314="","",IF(J1314="GST 10%",ROUND(O1314*set_GSTRate,2),0))</f>
        <v/>
      </c>
      <c r="BD1314" s="11">
        <f>IF(O1314="","",O1314+BC1314)</f>
        <v/>
      </c>
      <c r="BE1314" s="15">
        <f>IF(O1314="","",COUNTA(S1314,V1314,Y1314,AB1314,AE1314,AH1314,AK1314,AN1314,AQ1314,AT1314,AW1314,AZ1314))</f>
        <v/>
      </c>
      <c r="BF1314" s="16">
        <f>IF(COUNT(T1314,W1314,Z1314,AC1314,AF1314,AI1314,AL1314,AO1314,AR1314,AU1314,AX1314,BA1314)=0,"",MAX(T1314,W1314,Z1314,AC1314,AF1314,AI1314,AL1314,AO1314,AR1314,AU1314,AX1314,BA1314))</f>
        <v/>
      </c>
      <c r="BG1314" s="10">
        <f>MID(IF(S1314="","",", "&amp;S1314)&amp;IF(V1314="","",", "&amp;V1314)&amp;IF(Y1314="","",", "&amp;Y1314)&amp;IF(AB1314="","",", "&amp;AB1314)&amp;IF(AE1314="","",", "&amp;AE1314)&amp;IF(AH1314="","",", "&amp;AH1314)&amp;IF(AK1314="","",", "&amp;AK1314)&amp;IF(AN1314="","",", "&amp;AN1314)&amp;IF(AQ1314="","",", "&amp;AQ1314)&amp;IF(AT1314="","",", "&amp;AT1314)&amp;IF(AW1314="","",", "&amp;AW1314)&amp;IF(AZ1314="","",", "&amp;AZ1314),3,500)</f>
        <v/>
      </c>
      <c r="BH1314" s="12" t="n"/>
      <c r="BI1314" s="15">
        <f>IFERROR(MATCH($A1314,IF($B1314="Onsite",tbl_Onsite[Row ID],IF($B1314="Production",tbl_Production[Row ID],tbl_Consulting[Row ID])),0),"")</f>
        <v/>
      </c>
    </row>
    <row r="1315">
      <c r="A1315" s="10" t="inlineStr">
        <is>
          <t>CON-0309</t>
        </is>
      </c>
      <c r="B1315" s="10" t="inlineStr">
        <is>
          <t>Consulting</t>
        </is>
      </c>
      <c r="C1315" s="10">
        <f>IF($BI1315="","",IF($B1315="Onsite",INDEX(tbl_Onsite[Job Number],$BI1315),IF($B1315="Production",INDEX(tbl_Production[Job Number],$BI1315),INDEX(tbl_Consulting[Job Number],$BI1315)))&amp;"")</f>
        <v/>
      </c>
      <c r="D1315" s="10">
        <f>IF($BI1315="","",IF($B1315="Onsite",INDEX(tbl_Onsite[Client],$BI1315),IF($B1315="Production",INDEX(tbl_Production[Client],$BI1315),INDEX(tbl_Consulting[Client],$BI1315)))&amp;"")</f>
        <v/>
      </c>
      <c r="E1315" s="10">
        <f>IF($C1315="","",IF(COUNTIF(lst_Jobs,$C1315)&gt;0,"OK","CHECK"))</f>
        <v/>
      </c>
      <c r="F1315" s="10">
        <f>IF($C1315="","",IFERROR(INDEX(lst_JobName,MATCH($C1315,lst_Jobs,0)),""))</f>
        <v/>
      </c>
      <c r="G1315" s="10">
        <f>IF($BI1315="","",IF($B1315="Onsite",INDEX(tbl_Onsite[Job Description],$BI1315),IF($B1315="Production",INDEX(tbl_Production[Job Description],$BI1315),INDEX(tbl_Consulting[Job Description],$BI1315)))&amp;"")</f>
        <v/>
      </c>
      <c r="H1315" s="10">
        <f>IF($BI1315="","",IF($B1315="Onsite",INDEX(tbl_Onsite[Cost Centre],$BI1315),IF($B1315="Production",INDEX(tbl_Production[Cost Centre],$BI1315),INDEX(tbl_Consulting[Cost Centre],$BI1315)))&amp;"")</f>
        <v/>
      </c>
      <c r="I1315" s="10">
        <f>IF($BI1315="","",IF($B1315="Onsite",INDEX(tbl_Onsite[Invoice Type],$BI1315),IF($B1315="Production",INDEX(tbl_Production[Invoice Type],$BI1315),INDEX(tbl_Consulting[Invoice Type],$BI1315)))&amp;"")</f>
        <v/>
      </c>
      <c r="J1315" s="10">
        <f>IF($BI1315="","",IF($B1315="Onsite",INDEX(tbl_Onsite[Tax Code],$BI1315),IF($B1315="Production",INDEX(tbl_Production[Tax Code],$BI1315),INDEX(tbl_Consulting[Tax Code],$BI1315)))&amp;"")</f>
        <v/>
      </c>
      <c r="K1315" s="10">
        <f>IF(H1315="","",IFERROR(INDEX(lst_CCtoGL,MATCH(H1315,lst_CCforGL,0)),""))</f>
        <v/>
      </c>
      <c r="L1315" s="10">
        <f>IF($BI1315="","",IF($B1315="Onsite",INDEX(tbl_Onsite[PO / Reference],$BI1315),IF($B1315="Production",INDEX(tbl_Production[Current RMS No],$BI1315),INDEX(tbl_Consulting[Qwilr Quote],$BI1315)))&amp;"")</f>
        <v/>
      </c>
      <c r="M1315" s="10">
        <f>IF($BI1315="","",IF($B1315="Onsite",INDEX(tbl_Onsite[Notes],$BI1315),IF($B1315="Production",INDEX(tbl_Production[Notes],$BI1315),INDEX(tbl_Consulting[Notes],$BI1315)))&amp;"")</f>
        <v/>
      </c>
      <c r="N1315" s="11">
        <f>IF($BI1315="","",IF(IF($B1315="Onsite",INDEX(tbl_Onsite[Expected Revenue Ex GST],$BI1315),IF($B1315="Production",INDEX(tbl_Production[Expected Revenue Ex GST],$BI1315),INDEX(tbl_Consulting[Expected Revenue Ex GST],$BI1315)))="","",IF($B1315="Onsite",INDEX(tbl_Onsite[Expected Revenue Ex GST],$BI1315),IF($B1315="Production",INDEX(tbl_Production[Expected Revenue Ex GST],$BI1315),INDEX(tbl_Consulting[Expected Revenue Ex GST],$BI1315)))))</f>
        <v/>
      </c>
      <c r="O1315" s="11">
        <f>IF(AND($C1315="",NOT(COUNTA($S1315:$BB1315)&gt;0)),"",SUM(U1315,X1315,AA1315,AD1315,AG1315,AJ1315,AM1315,AP1315,AS1315,AV1315,AY1315,BB1315))</f>
        <v/>
      </c>
      <c r="P1315" s="11">
        <f>IF(O1315="","",N(N1315)-O1315)</f>
        <v/>
      </c>
      <c r="Q1315" s="10">
        <f>IF(O1315="","",IF($C1315="","Invoice on empty job row",IF(N1315="",IF(ROUND(O1315,2)=0,"No dept value","Invoiced - no dept value"),IF(ROUND(O1315,2)=0,"Not invoiced - to invoice",IF(ROUND(P1315,2)=0,"Agrees",IF(P1315&gt;0,"Dept higher - to invoice","Xero higher - check dept"))))))</f>
        <v/>
      </c>
      <c r="R1315" s="10">
        <f>IF(AND($C1315="",NOT(COUNTA($S1315:$BB1315)&gt;0),$BI1315&lt;&gt;""),"",MID(IF($BI1315="","; Row ID not found on the department sheet - a row was deleted","")&amp;IF(AND($C1315="",COUNTA($S1315:$BB1315)&gt;0),"; Invoice entered but the department row has no job number","")&amp;IF(E1315="CHECK","; Job number not in the Xero job list","")&amp;IF(AND($C1315&lt;&gt;"",COUNTIF($C$7:$C$1506,$C1315)&gt;1),"; Job number on more than one row","")&amp;IF(AND($C1315&lt;&gt;"",H1315=""),"; Dept has not set a cost centre","")&amp;IF(AND($C1315&lt;&gt;"",J1315=""),"; Dept has not set a tax code","")&amp;IF(AND($C1315&lt;&gt;"",N1315=""),"; Dept has not entered an expected value","")&amp;IF((IF(OR(COUNTA(S1315:U1315)=0,AND(COUNTA(S1315:U1315)=3,ISNUMBER(U1315))),0,1)+IF(OR(COUNTA(V1315:X1315)=0,AND(COUNTA(V1315:X1315)=3,ISNUMBER(X1315))),0,1)+IF(OR(COUNTA(Y1315:AA1315)=0,AND(COUNTA(Y1315:AA1315)=3,ISNUMBER(AA1315))),0,1)+IF(OR(COUNTA(AB1315:AD1315)=0,AND(COUNTA(AB1315:AD1315)=3,ISNUMBER(AD1315))),0,1)+IF(OR(COUNTA(AE1315:AG1315)=0,AND(COUNTA(AE1315:AG1315)=3,ISNUMBER(AG1315))),0,1)+IF(OR(COUNTA(AH1315:AJ1315)=0,AND(COUNTA(AH1315:AJ1315)=3,ISNUMBER(AJ1315))),0,1)+IF(OR(COUNTA(AK1315:AM1315)=0,AND(COUNTA(AK1315:AM1315)=3,ISNUMBER(AM1315))),0,1)+IF(OR(COUNTA(AN1315:AP1315)=0,AND(COUNTA(AN1315:AP1315)=3,ISNUMBER(AP1315))),0,1)+IF(OR(COUNTA(AQ1315:AS1315)=0,AND(COUNTA(AQ1315:AS1315)=3,ISNUMBER(AS1315))),0,1)+IF(OR(COUNTA(AT1315:AV1315)=0,AND(COUNTA(AT1315:AV1315)=3,ISNUMBER(AV1315))),0,1)+IF(OR(COUNTA(AW1315:AY1315)=0,AND(COUNTA(AW1315:AY1315)=3,ISNUMBER(AY1315))),0,1)+IF(OR(COUNTA(AZ1315:BB1315)=0,AND(COUNTA(AZ1315:BB1315)=3,ISNUMBER(BB1315))),0,1))&gt;0,"; An invoice is incomplete (needs No, Date and a number in Ex GST)","")&amp;IF((IF(T1315="",0,IFERROR(--(EOMONTH(T1315,0)&lt;&gt;S$5),1))+IF(W1315="",0,IFERROR(--(EOMONTH(W1315,0)&lt;&gt;V$5),1))+IF(Z1315="",0,IFERROR(--(EOMONTH(Z1315,0)&lt;&gt;Y$5),1))+IF(AC1315="",0,IFERROR(--(EOMONTH(AC1315,0)&lt;&gt;AB$5),1))+IF(AF1315="",0,IFERROR(--(EOMONTH(AF1315,0)&lt;&gt;AE$5),1))+IF(AI1315="",0,IFERROR(--(EOMONTH(AI1315,0)&lt;&gt;AH$5),1))+IF(AL1315="",0,IFERROR(--(EOMONTH(AL1315,0)&lt;&gt;AK$5),1))+IF(AO1315="",0,IFERROR(--(EOMONTH(AO1315,0)&lt;&gt;AN$5),1))+IF(AR1315="",0,IFERROR(--(EOMONTH(AR1315,0)&lt;&gt;AQ$5),1))+IF(AU1315="",0,IFERROR(--(EOMONTH(AU1315,0)&lt;&gt;AT$5),1))+IF(AX1315="",0,IFERROR(--(EOMONTH(AX1315,0)&lt;&gt;AW$5),1))+IF(BA1315="",0,IFERROR(--(EOMONTH(BA1315,0)&lt;&gt;AZ$5),1)))&gt;0,"; An invoice date is not in the month it is typed under",""),3,500))</f>
        <v/>
      </c>
      <c r="S1315" s="12" t="n"/>
      <c r="T1315" s="13" t="n"/>
      <c r="U1315" s="14" t="n"/>
      <c r="V1315" s="12" t="n"/>
      <c r="W1315" s="13" t="n"/>
      <c r="X1315" s="14" t="n"/>
      <c r="Y1315" s="12" t="n"/>
      <c r="Z1315" s="13" t="n"/>
      <c r="AA1315" s="14" t="n"/>
      <c r="AB1315" s="12" t="n"/>
      <c r="AC1315" s="13" t="n"/>
      <c r="AD1315" s="14" t="n"/>
      <c r="AE1315" s="12" t="n"/>
      <c r="AF1315" s="13" t="n"/>
      <c r="AG1315" s="14" t="n"/>
      <c r="AH1315" s="12" t="n"/>
      <c r="AI1315" s="13" t="n"/>
      <c r="AJ1315" s="14" t="n"/>
      <c r="AK1315" s="12" t="n"/>
      <c r="AL1315" s="13" t="n"/>
      <c r="AM1315" s="14" t="n"/>
      <c r="AN1315" s="12" t="n"/>
      <c r="AO1315" s="13" t="n"/>
      <c r="AP1315" s="14" t="n"/>
      <c r="AQ1315" s="12" t="n"/>
      <c r="AR1315" s="13" t="n"/>
      <c r="AS1315" s="14" t="n"/>
      <c r="AT1315" s="12" t="n"/>
      <c r="AU1315" s="13" t="n"/>
      <c r="AV1315" s="14" t="n"/>
      <c r="AW1315" s="12" t="n"/>
      <c r="AX1315" s="13" t="n"/>
      <c r="AY1315" s="14" t="n"/>
      <c r="AZ1315" s="12" t="n"/>
      <c r="BA1315" s="13" t="n"/>
      <c r="BB1315" s="14" t="n"/>
      <c r="BC1315" s="11">
        <f>IF(O1315="","",IF(J1315="GST 10%",ROUND(O1315*set_GSTRate,2),0))</f>
        <v/>
      </c>
      <c r="BD1315" s="11">
        <f>IF(O1315="","",O1315+BC1315)</f>
        <v/>
      </c>
      <c r="BE1315" s="15">
        <f>IF(O1315="","",COUNTA(S1315,V1315,Y1315,AB1315,AE1315,AH1315,AK1315,AN1315,AQ1315,AT1315,AW1315,AZ1315))</f>
        <v/>
      </c>
      <c r="BF1315" s="16">
        <f>IF(COUNT(T1315,W1315,Z1315,AC1315,AF1315,AI1315,AL1315,AO1315,AR1315,AU1315,AX1315,BA1315)=0,"",MAX(T1315,W1315,Z1315,AC1315,AF1315,AI1315,AL1315,AO1315,AR1315,AU1315,AX1315,BA1315))</f>
        <v/>
      </c>
      <c r="BG1315" s="10">
        <f>MID(IF(S1315="","",", "&amp;S1315)&amp;IF(V1315="","",", "&amp;V1315)&amp;IF(Y1315="","",", "&amp;Y1315)&amp;IF(AB1315="","",", "&amp;AB1315)&amp;IF(AE1315="","",", "&amp;AE1315)&amp;IF(AH1315="","",", "&amp;AH1315)&amp;IF(AK1315="","",", "&amp;AK1315)&amp;IF(AN1315="","",", "&amp;AN1315)&amp;IF(AQ1315="","",", "&amp;AQ1315)&amp;IF(AT1315="","",", "&amp;AT1315)&amp;IF(AW1315="","",", "&amp;AW1315)&amp;IF(AZ1315="","",", "&amp;AZ1315),3,500)</f>
        <v/>
      </c>
      <c r="BH1315" s="12" t="n"/>
      <c r="BI1315" s="15">
        <f>IFERROR(MATCH($A1315,IF($B1315="Onsite",tbl_Onsite[Row ID],IF($B1315="Production",tbl_Production[Row ID],tbl_Consulting[Row ID])),0),"")</f>
        <v/>
      </c>
    </row>
    <row r="1316">
      <c r="A1316" s="10" t="inlineStr">
        <is>
          <t>CON-0310</t>
        </is>
      </c>
      <c r="B1316" s="10" t="inlineStr">
        <is>
          <t>Consulting</t>
        </is>
      </c>
      <c r="C1316" s="10">
        <f>IF($BI1316="","",IF($B1316="Onsite",INDEX(tbl_Onsite[Job Number],$BI1316),IF($B1316="Production",INDEX(tbl_Production[Job Number],$BI1316),INDEX(tbl_Consulting[Job Number],$BI1316)))&amp;"")</f>
        <v/>
      </c>
      <c r="D1316" s="10">
        <f>IF($BI1316="","",IF($B1316="Onsite",INDEX(tbl_Onsite[Client],$BI1316),IF($B1316="Production",INDEX(tbl_Production[Client],$BI1316),INDEX(tbl_Consulting[Client],$BI1316)))&amp;"")</f>
        <v/>
      </c>
      <c r="E1316" s="10">
        <f>IF($C1316="","",IF(COUNTIF(lst_Jobs,$C1316)&gt;0,"OK","CHECK"))</f>
        <v/>
      </c>
      <c r="F1316" s="10">
        <f>IF($C1316="","",IFERROR(INDEX(lst_JobName,MATCH($C1316,lst_Jobs,0)),""))</f>
        <v/>
      </c>
      <c r="G1316" s="10">
        <f>IF($BI1316="","",IF($B1316="Onsite",INDEX(tbl_Onsite[Job Description],$BI1316),IF($B1316="Production",INDEX(tbl_Production[Job Description],$BI1316),INDEX(tbl_Consulting[Job Description],$BI1316)))&amp;"")</f>
        <v/>
      </c>
      <c r="H1316" s="10">
        <f>IF($BI1316="","",IF($B1316="Onsite",INDEX(tbl_Onsite[Cost Centre],$BI1316),IF($B1316="Production",INDEX(tbl_Production[Cost Centre],$BI1316),INDEX(tbl_Consulting[Cost Centre],$BI1316)))&amp;"")</f>
        <v/>
      </c>
      <c r="I1316" s="10">
        <f>IF($BI1316="","",IF($B1316="Onsite",INDEX(tbl_Onsite[Invoice Type],$BI1316),IF($B1316="Production",INDEX(tbl_Production[Invoice Type],$BI1316),INDEX(tbl_Consulting[Invoice Type],$BI1316)))&amp;"")</f>
        <v/>
      </c>
      <c r="J1316" s="10">
        <f>IF($BI1316="","",IF($B1316="Onsite",INDEX(tbl_Onsite[Tax Code],$BI1316),IF($B1316="Production",INDEX(tbl_Production[Tax Code],$BI1316),INDEX(tbl_Consulting[Tax Code],$BI1316)))&amp;"")</f>
        <v/>
      </c>
      <c r="K1316" s="10">
        <f>IF(H1316="","",IFERROR(INDEX(lst_CCtoGL,MATCH(H1316,lst_CCforGL,0)),""))</f>
        <v/>
      </c>
      <c r="L1316" s="10">
        <f>IF($BI1316="","",IF($B1316="Onsite",INDEX(tbl_Onsite[PO / Reference],$BI1316),IF($B1316="Production",INDEX(tbl_Production[Current RMS No],$BI1316),INDEX(tbl_Consulting[Qwilr Quote],$BI1316)))&amp;"")</f>
        <v/>
      </c>
      <c r="M1316" s="10">
        <f>IF($BI1316="","",IF($B1316="Onsite",INDEX(tbl_Onsite[Notes],$BI1316),IF($B1316="Production",INDEX(tbl_Production[Notes],$BI1316),INDEX(tbl_Consulting[Notes],$BI1316)))&amp;"")</f>
        <v/>
      </c>
      <c r="N1316" s="11">
        <f>IF($BI1316="","",IF(IF($B1316="Onsite",INDEX(tbl_Onsite[Expected Revenue Ex GST],$BI1316),IF($B1316="Production",INDEX(tbl_Production[Expected Revenue Ex GST],$BI1316),INDEX(tbl_Consulting[Expected Revenue Ex GST],$BI1316)))="","",IF($B1316="Onsite",INDEX(tbl_Onsite[Expected Revenue Ex GST],$BI1316),IF($B1316="Production",INDEX(tbl_Production[Expected Revenue Ex GST],$BI1316),INDEX(tbl_Consulting[Expected Revenue Ex GST],$BI1316)))))</f>
        <v/>
      </c>
      <c r="O1316" s="11">
        <f>IF(AND($C1316="",NOT(COUNTA($S1316:$BB1316)&gt;0)),"",SUM(U1316,X1316,AA1316,AD1316,AG1316,AJ1316,AM1316,AP1316,AS1316,AV1316,AY1316,BB1316))</f>
        <v/>
      </c>
      <c r="P1316" s="11">
        <f>IF(O1316="","",N(N1316)-O1316)</f>
        <v/>
      </c>
      <c r="Q1316" s="10">
        <f>IF(O1316="","",IF($C1316="","Invoice on empty job row",IF(N1316="",IF(ROUND(O1316,2)=0,"No dept value","Invoiced - no dept value"),IF(ROUND(O1316,2)=0,"Not invoiced - to invoice",IF(ROUND(P1316,2)=0,"Agrees",IF(P1316&gt;0,"Dept higher - to invoice","Xero higher - check dept"))))))</f>
        <v/>
      </c>
      <c r="R1316" s="10">
        <f>IF(AND($C1316="",NOT(COUNTA($S1316:$BB1316)&gt;0),$BI1316&lt;&gt;""),"",MID(IF($BI1316="","; Row ID not found on the department sheet - a row was deleted","")&amp;IF(AND($C1316="",COUNTA($S1316:$BB1316)&gt;0),"; Invoice entered but the department row has no job number","")&amp;IF(E1316="CHECK","; Job number not in the Xero job list","")&amp;IF(AND($C1316&lt;&gt;"",COUNTIF($C$7:$C$1506,$C1316)&gt;1),"; Job number on more than one row","")&amp;IF(AND($C1316&lt;&gt;"",H1316=""),"; Dept has not set a cost centre","")&amp;IF(AND($C1316&lt;&gt;"",J1316=""),"; Dept has not set a tax code","")&amp;IF(AND($C1316&lt;&gt;"",N1316=""),"; Dept has not entered an expected value","")&amp;IF((IF(OR(COUNTA(S1316:U1316)=0,AND(COUNTA(S1316:U1316)=3,ISNUMBER(U1316))),0,1)+IF(OR(COUNTA(V1316:X1316)=0,AND(COUNTA(V1316:X1316)=3,ISNUMBER(X1316))),0,1)+IF(OR(COUNTA(Y1316:AA1316)=0,AND(COUNTA(Y1316:AA1316)=3,ISNUMBER(AA1316))),0,1)+IF(OR(COUNTA(AB1316:AD1316)=0,AND(COUNTA(AB1316:AD1316)=3,ISNUMBER(AD1316))),0,1)+IF(OR(COUNTA(AE1316:AG1316)=0,AND(COUNTA(AE1316:AG1316)=3,ISNUMBER(AG1316))),0,1)+IF(OR(COUNTA(AH1316:AJ1316)=0,AND(COUNTA(AH1316:AJ1316)=3,ISNUMBER(AJ1316))),0,1)+IF(OR(COUNTA(AK1316:AM1316)=0,AND(COUNTA(AK1316:AM1316)=3,ISNUMBER(AM1316))),0,1)+IF(OR(COUNTA(AN1316:AP1316)=0,AND(COUNTA(AN1316:AP1316)=3,ISNUMBER(AP1316))),0,1)+IF(OR(COUNTA(AQ1316:AS1316)=0,AND(COUNTA(AQ1316:AS1316)=3,ISNUMBER(AS1316))),0,1)+IF(OR(COUNTA(AT1316:AV1316)=0,AND(COUNTA(AT1316:AV1316)=3,ISNUMBER(AV1316))),0,1)+IF(OR(COUNTA(AW1316:AY1316)=0,AND(COUNTA(AW1316:AY1316)=3,ISNUMBER(AY1316))),0,1)+IF(OR(COUNTA(AZ1316:BB1316)=0,AND(COUNTA(AZ1316:BB1316)=3,ISNUMBER(BB1316))),0,1))&gt;0,"; An invoice is incomplete (needs No, Date and a number in Ex GST)","")&amp;IF((IF(T1316="",0,IFERROR(--(EOMONTH(T1316,0)&lt;&gt;S$5),1))+IF(W1316="",0,IFERROR(--(EOMONTH(W1316,0)&lt;&gt;V$5),1))+IF(Z1316="",0,IFERROR(--(EOMONTH(Z1316,0)&lt;&gt;Y$5),1))+IF(AC1316="",0,IFERROR(--(EOMONTH(AC1316,0)&lt;&gt;AB$5),1))+IF(AF1316="",0,IFERROR(--(EOMONTH(AF1316,0)&lt;&gt;AE$5),1))+IF(AI1316="",0,IFERROR(--(EOMONTH(AI1316,0)&lt;&gt;AH$5),1))+IF(AL1316="",0,IFERROR(--(EOMONTH(AL1316,0)&lt;&gt;AK$5),1))+IF(AO1316="",0,IFERROR(--(EOMONTH(AO1316,0)&lt;&gt;AN$5),1))+IF(AR1316="",0,IFERROR(--(EOMONTH(AR1316,0)&lt;&gt;AQ$5),1))+IF(AU1316="",0,IFERROR(--(EOMONTH(AU1316,0)&lt;&gt;AT$5),1))+IF(AX1316="",0,IFERROR(--(EOMONTH(AX1316,0)&lt;&gt;AW$5),1))+IF(BA1316="",0,IFERROR(--(EOMONTH(BA1316,0)&lt;&gt;AZ$5),1)))&gt;0,"; An invoice date is not in the month it is typed under",""),3,500))</f>
        <v/>
      </c>
      <c r="S1316" s="12" t="n"/>
      <c r="T1316" s="13" t="n"/>
      <c r="U1316" s="14" t="n"/>
      <c r="V1316" s="12" t="n"/>
      <c r="W1316" s="13" t="n"/>
      <c r="X1316" s="14" t="n"/>
      <c r="Y1316" s="12" t="n"/>
      <c r="Z1316" s="13" t="n"/>
      <c r="AA1316" s="14" t="n"/>
      <c r="AB1316" s="12" t="n"/>
      <c r="AC1316" s="13" t="n"/>
      <c r="AD1316" s="14" t="n"/>
      <c r="AE1316" s="12" t="n"/>
      <c r="AF1316" s="13" t="n"/>
      <c r="AG1316" s="14" t="n"/>
      <c r="AH1316" s="12" t="n"/>
      <c r="AI1316" s="13" t="n"/>
      <c r="AJ1316" s="14" t="n"/>
      <c r="AK1316" s="12" t="n"/>
      <c r="AL1316" s="13" t="n"/>
      <c r="AM1316" s="14" t="n"/>
      <c r="AN1316" s="12" t="n"/>
      <c r="AO1316" s="13" t="n"/>
      <c r="AP1316" s="14" t="n"/>
      <c r="AQ1316" s="12" t="n"/>
      <c r="AR1316" s="13" t="n"/>
      <c r="AS1316" s="14" t="n"/>
      <c r="AT1316" s="12" t="n"/>
      <c r="AU1316" s="13" t="n"/>
      <c r="AV1316" s="14" t="n"/>
      <c r="AW1316" s="12" t="n"/>
      <c r="AX1316" s="13" t="n"/>
      <c r="AY1316" s="14" t="n"/>
      <c r="AZ1316" s="12" t="n"/>
      <c r="BA1316" s="13" t="n"/>
      <c r="BB1316" s="14" t="n"/>
      <c r="BC1316" s="11">
        <f>IF(O1316="","",IF(J1316="GST 10%",ROUND(O1316*set_GSTRate,2),0))</f>
        <v/>
      </c>
      <c r="BD1316" s="11">
        <f>IF(O1316="","",O1316+BC1316)</f>
        <v/>
      </c>
      <c r="BE1316" s="15">
        <f>IF(O1316="","",COUNTA(S1316,V1316,Y1316,AB1316,AE1316,AH1316,AK1316,AN1316,AQ1316,AT1316,AW1316,AZ1316))</f>
        <v/>
      </c>
      <c r="BF1316" s="16">
        <f>IF(COUNT(T1316,W1316,Z1316,AC1316,AF1316,AI1316,AL1316,AO1316,AR1316,AU1316,AX1316,BA1316)=0,"",MAX(T1316,W1316,Z1316,AC1316,AF1316,AI1316,AL1316,AO1316,AR1316,AU1316,AX1316,BA1316))</f>
        <v/>
      </c>
      <c r="BG1316" s="10">
        <f>MID(IF(S1316="","",", "&amp;S1316)&amp;IF(V1316="","",", "&amp;V1316)&amp;IF(Y1316="","",", "&amp;Y1316)&amp;IF(AB1316="","",", "&amp;AB1316)&amp;IF(AE1316="","",", "&amp;AE1316)&amp;IF(AH1316="","",", "&amp;AH1316)&amp;IF(AK1316="","",", "&amp;AK1316)&amp;IF(AN1316="","",", "&amp;AN1316)&amp;IF(AQ1316="","",", "&amp;AQ1316)&amp;IF(AT1316="","",", "&amp;AT1316)&amp;IF(AW1316="","",", "&amp;AW1316)&amp;IF(AZ1316="","",", "&amp;AZ1316),3,500)</f>
        <v/>
      </c>
      <c r="BH1316" s="12" t="n"/>
      <c r="BI1316" s="15">
        <f>IFERROR(MATCH($A1316,IF($B1316="Onsite",tbl_Onsite[Row ID],IF($B1316="Production",tbl_Production[Row ID],tbl_Consulting[Row ID])),0),"")</f>
        <v/>
      </c>
    </row>
    <row r="1317">
      <c r="A1317" s="10" t="inlineStr">
        <is>
          <t>CON-0311</t>
        </is>
      </c>
      <c r="B1317" s="10" t="inlineStr">
        <is>
          <t>Consulting</t>
        </is>
      </c>
      <c r="C1317" s="10">
        <f>IF($BI1317="","",IF($B1317="Onsite",INDEX(tbl_Onsite[Job Number],$BI1317),IF($B1317="Production",INDEX(tbl_Production[Job Number],$BI1317),INDEX(tbl_Consulting[Job Number],$BI1317)))&amp;"")</f>
        <v/>
      </c>
      <c r="D1317" s="10">
        <f>IF($BI1317="","",IF($B1317="Onsite",INDEX(tbl_Onsite[Client],$BI1317),IF($B1317="Production",INDEX(tbl_Production[Client],$BI1317),INDEX(tbl_Consulting[Client],$BI1317)))&amp;"")</f>
        <v/>
      </c>
      <c r="E1317" s="10">
        <f>IF($C1317="","",IF(COUNTIF(lst_Jobs,$C1317)&gt;0,"OK","CHECK"))</f>
        <v/>
      </c>
      <c r="F1317" s="10">
        <f>IF($C1317="","",IFERROR(INDEX(lst_JobName,MATCH($C1317,lst_Jobs,0)),""))</f>
        <v/>
      </c>
      <c r="G1317" s="10">
        <f>IF($BI1317="","",IF($B1317="Onsite",INDEX(tbl_Onsite[Job Description],$BI1317),IF($B1317="Production",INDEX(tbl_Production[Job Description],$BI1317),INDEX(tbl_Consulting[Job Description],$BI1317)))&amp;"")</f>
        <v/>
      </c>
      <c r="H1317" s="10">
        <f>IF($BI1317="","",IF($B1317="Onsite",INDEX(tbl_Onsite[Cost Centre],$BI1317),IF($B1317="Production",INDEX(tbl_Production[Cost Centre],$BI1317),INDEX(tbl_Consulting[Cost Centre],$BI1317)))&amp;"")</f>
        <v/>
      </c>
      <c r="I1317" s="10">
        <f>IF($BI1317="","",IF($B1317="Onsite",INDEX(tbl_Onsite[Invoice Type],$BI1317),IF($B1317="Production",INDEX(tbl_Production[Invoice Type],$BI1317),INDEX(tbl_Consulting[Invoice Type],$BI1317)))&amp;"")</f>
        <v/>
      </c>
      <c r="J1317" s="10">
        <f>IF($BI1317="","",IF($B1317="Onsite",INDEX(tbl_Onsite[Tax Code],$BI1317),IF($B1317="Production",INDEX(tbl_Production[Tax Code],$BI1317),INDEX(tbl_Consulting[Tax Code],$BI1317)))&amp;"")</f>
        <v/>
      </c>
      <c r="K1317" s="10">
        <f>IF(H1317="","",IFERROR(INDEX(lst_CCtoGL,MATCH(H1317,lst_CCforGL,0)),""))</f>
        <v/>
      </c>
      <c r="L1317" s="10">
        <f>IF($BI1317="","",IF($B1317="Onsite",INDEX(tbl_Onsite[PO / Reference],$BI1317),IF($B1317="Production",INDEX(tbl_Production[Current RMS No],$BI1317),INDEX(tbl_Consulting[Qwilr Quote],$BI1317)))&amp;"")</f>
        <v/>
      </c>
      <c r="M1317" s="10">
        <f>IF($BI1317="","",IF($B1317="Onsite",INDEX(tbl_Onsite[Notes],$BI1317),IF($B1317="Production",INDEX(tbl_Production[Notes],$BI1317),INDEX(tbl_Consulting[Notes],$BI1317)))&amp;"")</f>
        <v/>
      </c>
      <c r="N1317" s="11">
        <f>IF($BI1317="","",IF(IF($B1317="Onsite",INDEX(tbl_Onsite[Expected Revenue Ex GST],$BI1317),IF($B1317="Production",INDEX(tbl_Production[Expected Revenue Ex GST],$BI1317),INDEX(tbl_Consulting[Expected Revenue Ex GST],$BI1317)))="","",IF($B1317="Onsite",INDEX(tbl_Onsite[Expected Revenue Ex GST],$BI1317),IF($B1317="Production",INDEX(tbl_Production[Expected Revenue Ex GST],$BI1317),INDEX(tbl_Consulting[Expected Revenue Ex GST],$BI1317)))))</f>
        <v/>
      </c>
      <c r="O1317" s="11">
        <f>IF(AND($C1317="",NOT(COUNTA($S1317:$BB1317)&gt;0)),"",SUM(U1317,X1317,AA1317,AD1317,AG1317,AJ1317,AM1317,AP1317,AS1317,AV1317,AY1317,BB1317))</f>
        <v/>
      </c>
      <c r="P1317" s="11">
        <f>IF(O1317="","",N(N1317)-O1317)</f>
        <v/>
      </c>
      <c r="Q1317" s="10">
        <f>IF(O1317="","",IF($C1317="","Invoice on empty job row",IF(N1317="",IF(ROUND(O1317,2)=0,"No dept value","Invoiced - no dept value"),IF(ROUND(O1317,2)=0,"Not invoiced - to invoice",IF(ROUND(P1317,2)=0,"Agrees",IF(P1317&gt;0,"Dept higher - to invoice","Xero higher - check dept"))))))</f>
        <v/>
      </c>
      <c r="R1317" s="10">
        <f>IF(AND($C1317="",NOT(COUNTA($S1317:$BB1317)&gt;0),$BI1317&lt;&gt;""),"",MID(IF($BI1317="","; Row ID not found on the department sheet - a row was deleted","")&amp;IF(AND($C1317="",COUNTA($S1317:$BB1317)&gt;0),"; Invoice entered but the department row has no job number","")&amp;IF(E1317="CHECK","; Job number not in the Xero job list","")&amp;IF(AND($C1317&lt;&gt;"",COUNTIF($C$7:$C$1506,$C1317)&gt;1),"; Job number on more than one row","")&amp;IF(AND($C1317&lt;&gt;"",H1317=""),"; Dept has not set a cost centre","")&amp;IF(AND($C1317&lt;&gt;"",J1317=""),"; Dept has not set a tax code","")&amp;IF(AND($C1317&lt;&gt;"",N1317=""),"; Dept has not entered an expected value","")&amp;IF((IF(OR(COUNTA(S1317:U1317)=0,AND(COUNTA(S1317:U1317)=3,ISNUMBER(U1317))),0,1)+IF(OR(COUNTA(V1317:X1317)=0,AND(COUNTA(V1317:X1317)=3,ISNUMBER(X1317))),0,1)+IF(OR(COUNTA(Y1317:AA1317)=0,AND(COUNTA(Y1317:AA1317)=3,ISNUMBER(AA1317))),0,1)+IF(OR(COUNTA(AB1317:AD1317)=0,AND(COUNTA(AB1317:AD1317)=3,ISNUMBER(AD1317))),0,1)+IF(OR(COUNTA(AE1317:AG1317)=0,AND(COUNTA(AE1317:AG1317)=3,ISNUMBER(AG1317))),0,1)+IF(OR(COUNTA(AH1317:AJ1317)=0,AND(COUNTA(AH1317:AJ1317)=3,ISNUMBER(AJ1317))),0,1)+IF(OR(COUNTA(AK1317:AM1317)=0,AND(COUNTA(AK1317:AM1317)=3,ISNUMBER(AM1317))),0,1)+IF(OR(COUNTA(AN1317:AP1317)=0,AND(COUNTA(AN1317:AP1317)=3,ISNUMBER(AP1317))),0,1)+IF(OR(COUNTA(AQ1317:AS1317)=0,AND(COUNTA(AQ1317:AS1317)=3,ISNUMBER(AS1317))),0,1)+IF(OR(COUNTA(AT1317:AV1317)=0,AND(COUNTA(AT1317:AV1317)=3,ISNUMBER(AV1317))),0,1)+IF(OR(COUNTA(AW1317:AY1317)=0,AND(COUNTA(AW1317:AY1317)=3,ISNUMBER(AY1317))),0,1)+IF(OR(COUNTA(AZ1317:BB1317)=0,AND(COUNTA(AZ1317:BB1317)=3,ISNUMBER(BB1317))),0,1))&gt;0,"; An invoice is incomplete (needs No, Date and a number in Ex GST)","")&amp;IF((IF(T1317="",0,IFERROR(--(EOMONTH(T1317,0)&lt;&gt;S$5),1))+IF(W1317="",0,IFERROR(--(EOMONTH(W1317,0)&lt;&gt;V$5),1))+IF(Z1317="",0,IFERROR(--(EOMONTH(Z1317,0)&lt;&gt;Y$5),1))+IF(AC1317="",0,IFERROR(--(EOMONTH(AC1317,0)&lt;&gt;AB$5),1))+IF(AF1317="",0,IFERROR(--(EOMONTH(AF1317,0)&lt;&gt;AE$5),1))+IF(AI1317="",0,IFERROR(--(EOMONTH(AI1317,0)&lt;&gt;AH$5),1))+IF(AL1317="",0,IFERROR(--(EOMONTH(AL1317,0)&lt;&gt;AK$5),1))+IF(AO1317="",0,IFERROR(--(EOMONTH(AO1317,0)&lt;&gt;AN$5),1))+IF(AR1317="",0,IFERROR(--(EOMONTH(AR1317,0)&lt;&gt;AQ$5),1))+IF(AU1317="",0,IFERROR(--(EOMONTH(AU1317,0)&lt;&gt;AT$5),1))+IF(AX1317="",0,IFERROR(--(EOMONTH(AX1317,0)&lt;&gt;AW$5),1))+IF(BA1317="",0,IFERROR(--(EOMONTH(BA1317,0)&lt;&gt;AZ$5),1)))&gt;0,"; An invoice date is not in the month it is typed under",""),3,500))</f>
        <v/>
      </c>
      <c r="S1317" s="12" t="n"/>
      <c r="T1317" s="13" t="n"/>
      <c r="U1317" s="14" t="n"/>
      <c r="V1317" s="12" t="n"/>
      <c r="W1317" s="13" t="n"/>
      <c r="X1317" s="14" t="n"/>
      <c r="Y1317" s="12" t="n"/>
      <c r="Z1317" s="13" t="n"/>
      <c r="AA1317" s="14" t="n"/>
      <c r="AB1317" s="12" t="n"/>
      <c r="AC1317" s="13" t="n"/>
      <c r="AD1317" s="14" t="n"/>
      <c r="AE1317" s="12" t="n"/>
      <c r="AF1317" s="13" t="n"/>
      <c r="AG1317" s="14" t="n"/>
      <c r="AH1317" s="12" t="n"/>
      <c r="AI1317" s="13" t="n"/>
      <c r="AJ1317" s="14" t="n"/>
      <c r="AK1317" s="12" t="n"/>
      <c r="AL1317" s="13" t="n"/>
      <c r="AM1317" s="14" t="n"/>
      <c r="AN1317" s="12" t="n"/>
      <c r="AO1317" s="13" t="n"/>
      <c r="AP1317" s="14" t="n"/>
      <c r="AQ1317" s="12" t="n"/>
      <c r="AR1317" s="13" t="n"/>
      <c r="AS1317" s="14" t="n"/>
      <c r="AT1317" s="12" t="n"/>
      <c r="AU1317" s="13" t="n"/>
      <c r="AV1317" s="14" t="n"/>
      <c r="AW1317" s="12" t="n"/>
      <c r="AX1317" s="13" t="n"/>
      <c r="AY1317" s="14" t="n"/>
      <c r="AZ1317" s="12" t="n"/>
      <c r="BA1317" s="13" t="n"/>
      <c r="BB1317" s="14" t="n"/>
      <c r="BC1317" s="11">
        <f>IF(O1317="","",IF(J1317="GST 10%",ROUND(O1317*set_GSTRate,2),0))</f>
        <v/>
      </c>
      <c r="BD1317" s="11">
        <f>IF(O1317="","",O1317+BC1317)</f>
        <v/>
      </c>
      <c r="BE1317" s="15">
        <f>IF(O1317="","",COUNTA(S1317,V1317,Y1317,AB1317,AE1317,AH1317,AK1317,AN1317,AQ1317,AT1317,AW1317,AZ1317))</f>
        <v/>
      </c>
      <c r="BF1317" s="16">
        <f>IF(COUNT(T1317,W1317,Z1317,AC1317,AF1317,AI1317,AL1317,AO1317,AR1317,AU1317,AX1317,BA1317)=0,"",MAX(T1317,W1317,Z1317,AC1317,AF1317,AI1317,AL1317,AO1317,AR1317,AU1317,AX1317,BA1317))</f>
        <v/>
      </c>
      <c r="BG1317" s="10">
        <f>MID(IF(S1317="","",", "&amp;S1317)&amp;IF(V1317="","",", "&amp;V1317)&amp;IF(Y1317="","",", "&amp;Y1317)&amp;IF(AB1317="","",", "&amp;AB1317)&amp;IF(AE1317="","",", "&amp;AE1317)&amp;IF(AH1317="","",", "&amp;AH1317)&amp;IF(AK1317="","",", "&amp;AK1317)&amp;IF(AN1317="","",", "&amp;AN1317)&amp;IF(AQ1317="","",", "&amp;AQ1317)&amp;IF(AT1317="","",", "&amp;AT1317)&amp;IF(AW1317="","",", "&amp;AW1317)&amp;IF(AZ1317="","",", "&amp;AZ1317),3,500)</f>
        <v/>
      </c>
      <c r="BH1317" s="12" t="n"/>
      <c r="BI1317" s="15">
        <f>IFERROR(MATCH($A1317,IF($B1317="Onsite",tbl_Onsite[Row ID],IF($B1317="Production",tbl_Production[Row ID],tbl_Consulting[Row ID])),0),"")</f>
        <v/>
      </c>
    </row>
    <row r="1318">
      <c r="A1318" s="10" t="inlineStr">
        <is>
          <t>CON-0312</t>
        </is>
      </c>
      <c r="B1318" s="10" t="inlineStr">
        <is>
          <t>Consulting</t>
        </is>
      </c>
      <c r="C1318" s="10">
        <f>IF($BI1318="","",IF($B1318="Onsite",INDEX(tbl_Onsite[Job Number],$BI1318),IF($B1318="Production",INDEX(tbl_Production[Job Number],$BI1318),INDEX(tbl_Consulting[Job Number],$BI1318)))&amp;"")</f>
        <v/>
      </c>
      <c r="D1318" s="10">
        <f>IF($BI1318="","",IF($B1318="Onsite",INDEX(tbl_Onsite[Client],$BI1318),IF($B1318="Production",INDEX(tbl_Production[Client],$BI1318),INDEX(tbl_Consulting[Client],$BI1318)))&amp;"")</f>
        <v/>
      </c>
      <c r="E1318" s="10">
        <f>IF($C1318="","",IF(COUNTIF(lst_Jobs,$C1318)&gt;0,"OK","CHECK"))</f>
        <v/>
      </c>
      <c r="F1318" s="10">
        <f>IF($C1318="","",IFERROR(INDEX(lst_JobName,MATCH($C1318,lst_Jobs,0)),""))</f>
        <v/>
      </c>
      <c r="G1318" s="10">
        <f>IF($BI1318="","",IF($B1318="Onsite",INDEX(tbl_Onsite[Job Description],$BI1318),IF($B1318="Production",INDEX(tbl_Production[Job Description],$BI1318),INDEX(tbl_Consulting[Job Description],$BI1318)))&amp;"")</f>
        <v/>
      </c>
      <c r="H1318" s="10">
        <f>IF($BI1318="","",IF($B1318="Onsite",INDEX(tbl_Onsite[Cost Centre],$BI1318),IF($B1318="Production",INDEX(tbl_Production[Cost Centre],$BI1318),INDEX(tbl_Consulting[Cost Centre],$BI1318)))&amp;"")</f>
        <v/>
      </c>
      <c r="I1318" s="10">
        <f>IF($BI1318="","",IF($B1318="Onsite",INDEX(tbl_Onsite[Invoice Type],$BI1318),IF($B1318="Production",INDEX(tbl_Production[Invoice Type],$BI1318),INDEX(tbl_Consulting[Invoice Type],$BI1318)))&amp;"")</f>
        <v/>
      </c>
      <c r="J1318" s="10">
        <f>IF($BI1318="","",IF($B1318="Onsite",INDEX(tbl_Onsite[Tax Code],$BI1318),IF($B1318="Production",INDEX(tbl_Production[Tax Code],$BI1318),INDEX(tbl_Consulting[Tax Code],$BI1318)))&amp;"")</f>
        <v/>
      </c>
      <c r="K1318" s="10">
        <f>IF(H1318="","",IFERROR(INDEX(lst_CCtoGL,MATCH(H1318,lst_CCforGL,0)),""))</f>
        <v/>
      </c>
      <c r="L1318" s="10">
        <f>IF($BI1318="","",IF($B1318="Onsite",INDEX(tbl_Onsite[PO / Reference],$BI1318),IF($B1318="Production",INDEX(tbl_Production[Current RMS No],$BI1318),INDEX(tbl_Consulting[Qwilr Quote],$BI1318)))&amp;"")</f>
        <v/>
      </c>
      <c r="M1318" s="10">
        <f>IF($BI1318="","",IF($B1318="Onsite",INDEX(tbl_Onsite[Notes],$BI1318),IF($B1318="Production",INDEX(tbl_Production[Notes],$BI1318),INDEX(tbl_Consulting[Notes],$BI1318)))&amp;"")</f>
        <v/>
      </c>
      <c r="N1318" s="11">
        <f>IF($BI1318="","",IF(IF($B1318="Onsite",INDEX(tbl_Onsite[Expected Revenue Ex GST],$BI1318),IF($B1318="Production",INDEX(tbl_Production[Expected Revenue Ex GST],$BI1318),INDEX(tbl_Consulting[Expected Revenue Ex GST],$BI1318)))="","",IF($B1318="Onsite",INDEX(tbl_Onsite[Expected Revenue Ex GST],$BI1318),IF($B1318="Production",INDEX(tbl_Production[Expected Revenue Ex GST],$BI1318),INDEX(tbl_Consulting[Expected Revenue Ex GST],$BI1318)))))</f>
        <v/>
      </c>
      <c r="O1318" s="11">
        <f>IF(AND($C1318="",NOT(COUNTA($S1318:$BB1318)&gt;0)),"",SUM(U1318,X1318,AA1318,AD1318,AG1318,AJ1318,AM1318,AP1318,AS1318,AV1318,AY1318,BB1318))</f>
        <v/>
      </c>
      <c r="P1318" s="11">
        <f>IF(O1318="","",N(N1318)-O1318)</f>
        <v/>
      </c>
      <c r="Q1318" s="10">
        <f>IF(O1318="","",IF($C1318="","Invoice on empty job row",IF(N1318="",IF(ROUND(O1318,2)=0,"No dept value","Invoiced - no dept value"),IF(ROUND(O1318,2)=0,"Not invoiced - to invoice",IF(ROUND(P1318,2)=0,"Agrees",IF(P1318&gt;0,"Dept higher - to invoice","Xero higher - check dept"))))))</f>
        <v/>
      </c>
      <c r="R1318" s="10">
        <f>IF(AND($C1318="",NOT(COUNTA($S1318:$BB1318)&gt;0),$BI1318&lt;&gt;""),"",MID(IF($BI1318="","; Row ID not found on the department sheet - a row was deleted","")&amp;IF(AND($C1318="",COUNTA($S1318:$BB1318)&gt;0),"; Invoice entered but the department row has no job number","")&amp;IF(E1318="CHECK","; Job number not in the Xero job list","")&amp;IF(AND($C1318&lt;&gt;"",COUNTIF($C$7:$C$1506,$C1318)&gt;1),"; Job number on more than one row","")&amp;IF(AND($C1318&lt;&gt;"",H1318=""),"; Dept has not set a cost centre","")&amp;IF(AND($C1318&lt;&gt;"",J1318=""),"; Dept has not set a tax code","")&amp;IF(AND($C1318&lt;&gt;"",N1318=""),"; Dept has not entered an expected value","")&amp;IF((IF(OR(COUNTA(S1318:U1318)=0,AND(COUNTA(S1318:U1318)=3,ISNUMBER(U1318))),0,1)+IF(OR(COUNTA(V1318:X1318)=0,AND(COUNTA(V1318:X1318)=3,ISNUMBER(X1318))),0,1)+IF(OR(COUNTA(Y1318:AA1318)=0,AND(COUNTA(Y1318:AA1318)=3,ISNUMBER(AA1318))),0,1)+IF(OR(COUNTA(AB1318:AD1318)=0,AND(COUNTA(AB1318:AD1318)=3,ISNUMBER(AD1318))),0,1)+IF(OR(COUNTA(AE1318:AG1318)=0,AND(COUNTA(AE1318:AG1318)=3,ISNUMBER(AG1318))),0,1)+IF(OR(COUNTA(AH1318:AJ1318)=0,AND(COUNTA(AH1318:AJ1318)=3,ISNUMBER(AJ1318))),0,1)+IF(OR(COUNTA(AK1318:AM1318)=0,AND(COUNTA(AK1318:AM1318)=3,ISNUMBER(AM1318))),0,1)+IF(OR(COUNTA(AN1318:AP1318)=0,AND(COUNTA(AN1318:AP1318)=3,ISNUMBER(AP1318))),0,1)+IF(OR(COUNTA(AQ1318:AS1318)=0,AND(COUNTA(AQ1318:AS1318)=3,ISNUMBER(AS1318))),0,1)+IF(OR(COUNTA(AT1318:AV1318)=0,AND(COUNTA(AT1318:AV1318)=3,ISNUMBER(AV1318))),0,1)+IF(OR(COUNTA(AW1318:AY1318)=0,AND(COUNTA(AW1318:AY1318)=3,ISNUMBER(AY1318))),0,1)+IF(OR(COUNTA(AZ1318:BB1318)=0,AND(COUNTA(AZ1318:BB1318)=3,ISNUMBER(BB1318))),0,1))&gt;0,"; An invoice is incomplete (needs No, Date and a number in Ex GST)","")&amp;IF((IF(T1318="",0,IFERROR(--(EOMONTH(T1318,0)&lt;&gt;S$5),1))+IF(W1318="",0,IFERROR(--(EOMONTH(W1318,0)&lt;&gt;V$5),1))+IF(Z1318="",0,IFERROR(--(EOMONTH(Z1318,0)&lt;&gt;Y$5),1))+IF(AC1318="",0,IFERROR(--(EOMONTH(AC1318,0)&lt;&gt;AB$5),1))+IF(AF1318="",0,IFERROR(--(EOMONTH(AF1318,0)&lt;&gt;AE$5),1))+IF(AI1318="",0,IFERROR(--(EOMONTH(AI1318,0)&lt;&gt;AH$5),1))+IF(AL1318="",0,IFERROR(--(EOMONTH(AL1318,0)&lt;&gt;AK$5),1))+IF(AO1318="",0,IFERROR(--(EOMONTH(AO1318,0)&lt;&gt;AN$5),1))+IF(AR1318="",0,IFERROR(--(EOMONTH(AR1318,0)&lt;&gt;AQ$5),1))+IF(AU1318="",0,IFERROR(--(EOMONTH(AU1318,0)&lt;&gt;AT$5),1))+IF(AX1318="",0,IFERROR(--(EOMONTH(AX1318,0)&lt;&gt;AW$5),1))+IF(BA1318="",0,IFERROR(--(EOMONTH(BA1318,0)&lt;&gt;AZ$5),1)))&gt;0,"; An invoice date is not in the month it is typed under",""),3,500))</f>
        <v/>
      </c>
      <c r="S1318" s="12" t="n"/>
      <c r="T1318" s="13" t="n"/>
      <c r="U1318" s="14" t="n"/>
      <c r="V1318" s="12" t="n"/>
      <c r="W1318" s="13" t="n"/>
      <c r="X1318" s="14" t="n"/>
      <c r="Y1318" s="12" t="n"/>
      <c r="Z1318" s="13" t="n"/>
      <c r="AA1318" s="14" t="n"/>
      <c r="AB1318" s="12" t="n"/>
      <c r="AC1318" s="13" t="n"/>
      <c r="AD1318" s="14" t="n"/>
      <c r="AE1318" s="12" t="n"/>
      <c r="AF1318" s="13" t="n"/>
      <c r="AG1318" s="14" t="n"/>
      <c r="AH1318" s="12" t="n"/>
      <c r="AI1318" s="13" t="n"/>
      <c r="AJ1318" s="14" t="n"/>
      <c r="AK1318" s="12" t="n"/>
      <c r="AL1318" s="13" t="n"/>
      <c r="AM1318" s="14" t="n"/>
      <c r="AN1318" s="12" t="n"/>
      <c r="AO1318" s="13" t="n"/>
      <c r="AP1318" s="14" t="n"/>
      <c r="AQ1318" s="12" t="n"/>
      <c r="AR1318" s="13" t="n"/>
      <c r="AS1318" s="14" t="n"/>
      <c r="AT1318" s="12" t="n"/>
      <c r="AU1318" s="13" t="n"/>
      <c r="AV1318" s="14" t="n"/>
      <c r="AW1318" s="12" t="n"/>
      <c r="AX1318" s="13" t="n"/>
      <c r="AY1318" s="14" t="n"/>
      <c r="AZ1318" s="12" t="n"/>
      <c r="BA1318" s="13" t="n"/>
      <c r="BB1318" s="14" t="n"/>
      <c r="BC1318" s="11">
        <f>IF(O1318="","",IF(J1318="GST 10%",ROUND(O1318*set_GSTRate,2),0))</f>
        <v/>
      </c>
      <c r="BD1318" s="11">
        <f>IF(O1318="","",O1318+BC1318)</f>
        <v/>
      </c>
      <c r="BE1318" s="15">
        <f>IF(O1318="","",COUNTA(S1318,V1318,Y1318,AB1318,AE1318,AH1318,AK1318,AN1318,AQ1318,AT1318,AW1318,AZ1318))</f>
        <v/>
      </c>
      <c r="BF1318" s="16">
        <f>IF(COUNT(T1318,W1318,Z1318,AC1318,AF1318,AI1318,AL1318,AO1318,AR1318,AU1318,AX1318,BA1318)=0,"",MAX(T1318,W1318,Z1318,AC1318,AF1318,AI1318,AL1318,AO1318,AR1318,AU1318,AX1318,BA1318))</f>
        <v/>
      </c>
      <c r="BG1318" s="10">
        <f>MID(IF(S1318="","",", "&amp;S1318)&amp;IF(V1318="","",", "&amp;V1318)&amp;IF(Y1318="","",", "&amp;Y1318)&amp;IF(AB1318="","",", "&amp;AB1318)&amp;IF(AE1318="","",", "&amp;AE1318)&amp;IF(AH1318="","",", "&amp;AH1318)&amp;IF(AK1318="","",", "&amp;AK1318)&amp;IF(AN1318="","",", "&amp;AN1318)&amp;IF(AQ1318="","",", "&amp;AQ1318)&amp;IF(AT1318="","",", "&amp;AT1318)&amp;IF(AW1318="","",", "&amp;AW1318)&amp;IF(AZ1318="","",", "&amp;AZ1318),3,500)</f>
        <v/>
      </c>
      <c r="BH1318" s="12" t="n"/>
      <c r="BI1318" s="15">
        <f>IFERROR(MATCH($A1318,IF($B1318="Onsite",tbl_Onsite[Row ID],IF($B1318="Production",tbl_Production[Row ID],tbl_Consulting[Row ID])),0),"")</f>
        <v/>
      </c>
    </row>
    <row r="1319">
      <c r="A1319" s="10" t="inlineStr">
        <is>
          <t>CON-0313</t>
        </is>
      </c>
      <c r="B1319" s="10" t="inlineStr">
        <is>
          <t>Consulting</t>
        </is>
      </c>
      <c r="C1319" s="10">
        <f>IF($BI1319="","",IF($B1319="Onsite",INDEX(tbl_Onsite[Job Number],$BI1319),IF($B1319="Production",INDEX(tbl_Production[Job Number],$BI1319),INDEX(tbl_Consulting[Job Number],$BI1319)))&amp;"")</f>
        <v/>
      </c>
      <c r="D1319" s="10">
        <f>IF($BI1319="","",IF($B1319="Onsite",INDEX(tbl_Onsite[Client],$BI1319),IF($B1319="Production",INDEX(tbl_Production[Client],$BI1319),INDEX(tbl_Consulting[Client],$BI1319)))&amp;"")</f>
        <v/>
      </c>
      <c r="E1319" s="10">
        <f>IF($C1319="","",IF(COUNTIF(lst_Jobs,$C1319)&gt;0,"OK","CHECK"))</f>
        <v/>
      </c>
      <c r="F1319" s="10">
        <f>IF($C1319="","",IFERROR(INDEX(lst_JobName,MATCH($C1319,lst_Jobs,0)),""))</f>
        <v/>
      </c>
      <c r="G1319" s="10">
        <f>IF($BI1319="","",IF($B1319="Onsite",INDEX(tbl_Onsite[Job Description],$BI1319),IF($B1319="Production",INDEX(tbl_Production[Job Description],$BI1319),INDEX(tbl_Consulting[Job Description],$BI1319)))&amp;"")</f>
        <v/>
      </c>
      <c r="H1319" s="10">
        <f>IF($BI1319="","",IF($B1319="Onsite",INDEX(tbl_Onsite[Cost Centre],$BI1319),IF($B1319="Production",INDEX(tbl_Production[Cost Centre],$BI1319),INDEX(tbl_Consulting[Cost Centre],$BI1319)))&amp;"")</f>
        <v/>
      </c>
      <c r="I1319" s="10">
        <f>IF($BI1319="","",IF($B1319="Onsite",INDEX(tbl_Onsite[Invoice Type],$BI1319),IF($B1319="Production",INDEX(tbl_Production[Invoice Type],$BI1319),INDEX(tbl_Consulting[Invoice Type],$BI1319)))&amp;"")</f>
        <v/>
      </c>
      <c r="J1319" s="10">
        <f>IF($BI1319="","",IF($B1319="Onsite",INDEX(tbl_Onsite[Tax Code],$BI1319),IF($B1319="Production",INDEX(tbl_Production[Tax Code],$BI1319),INDEX(tbl_Consulting[Tax Code],$BI1319)))&amp;"")</f>
        <v/>
      </c>
      <c r="K1319" s="10">
        <f>IF(H1319="","",IFERROR(INDEX(lst_CCtoGL,MATCH(H1319,lst_CCforGL,0)),""))</f>
        <v/>
      </c>
      <c r="L1319" s="10">
        <f>IF($BI1319="","",IF($B1319="Onsite",INDEX(tbl_Onsite[PO / Reference],$BI1319),IF($B1319="Production",INDEX(tbl_Production[Current RMS No],$BI1319),INDEX(tbl_Consulting[Qwilr Quote],$BI1319)))&amp;"")</f>
        <v/>
      </c>
      <c r="M1319" s="10">
        <f>IF($BI1319="","",IF($B1319="Onsite",INDEX(tbl_Onsite[Notes],$BI1319),IF($B1319="Production",INDEX(tbl_Production[Notes],$BI1319),INDEX(tbl_Consulting[Notes],$BI1319)))&amp;"")</f>
        <v/>
      </c>
      <c r="N1319" s="11">
        <f>IF($BI1319="","",IF(IF($B1319="Onsite",INDEX(tbl_Onsite[Expected Revenue Ex GST],$BI1319),IF($B1319="Production",INDEX(tbl_Production[Expected Revenue Ex GST],$BI1319),INDEX(tbl_Consulting[Expected Revenue Ex GST],$BI1319)))="","",IF($B1319="Onsite",INDEX(tbl_Onsite[Expected Revenue Ex GST],$BI1319),IF($B1319="Production",INDEX(tbl_Production[Expected Revenue Ex GST],$BI1319),INDEX(tbl_Consulting[Expected Revenue Ex GST],$BI1319)))))</f>
        <v/>
      </c>
      <c r="O1319" s="11">
        <f>IF(AND($C1319="",NOT(COUNTA($S1319:$BB1319)&gt;0)),"",SUM(U1319,X1319,AA1319,AD1319,AG1319,AJ1319,AM1319,AP1319,AS1319,AV1319,AY1319,BB1319))</f>
        <v/>
      </c>
      <c r="P1319" s="11">
        <f>IF(O1319="","",N(N1319)-O1319)</f>
        <v/>
      </c>
      <c r="Q1319" s="10">
        <f>IF(O1319="","",IF($C1319="","Invoice on empty job row",IF(N1319="",IF(ROUND(O1319,2)=0,"No dept value","Invoiced - no dept value"),IF(ROUND(O1319,2)=0,"Not invoiced - to invoice",IF(ROUND(P1319,2)=0,"Agrees",IF(P1319&gt;0,"Dept higher - to invoice","Xero higher - check dept"))))))</f>
        <v/>
      </c>
      <c r="R1319" s="10">
        <f>IF(AND($C1319="",NOT(COUNTA($S1319:$BB1319)&gt;0),$BI1319&lt;&gt;""),"",MID(IF($BI1319="","; Row ID not found on the department sheet - a row was deleted","")&amp;IF(AND($C1319="",COUNTA($S1319:$BB1319)&gt;0),"; Invoice entered but the department row has no job number","")&amp;IF(E1319="CHECK","; Job number not in the Xero job list","")&amp;IF(AND($C1319&lt;&gt;"",COUNTIF($C$7:$C$1506,$C1319)&gt;1),"; Job number on more than one row","")&amp;IF(AND($C1319&lt;&gt;"",H1319=""),"; Dept has not set a cost centre","")&amp;IF(AND($C1319&lt;&gt;"",J1319=""),"; Dept has not set a tax code","")&amp;IF(AND($C1319&lt;&gt;"",N1319=""),"; Dept has not entered an expected value","")&amp;IF((IF(OR(COUNTA(S1319:U1319)=0,AND(COUNTA(S1319:U1319)=3,ISNUMBER(U1319))),0,1)+IF(OR(COUNTA(V1319:X1319)=0,AND(COUNTA(V1319:X1319)=3,ISNUMBER(X1319))),0,1)+IF(OR(COUNTA(Y1319:AA1319)=0,AND(COUNTA(Y1319:AA1319)=3,ISNUMBER(AA1319))),0,1)+IF(OR(COUNTA(AB1319:AD1319)=0,AND(COUNTA(AB1319:AD1319)=3,ISNUMBER(AD1319))),0,1)+IF(OR(COUNTA(AE1319:AG1319)=0,AND(COUNTA(AE1319:AG1319)=3,ISNUMBER(AG1319))),0,1)+IF(OR(COUNTA(AH1319:AJ1319)=0,AND(COUNTA(AH1319:AJ1319)=3,ISNUMBER(AJ1319))),0,1)+IF(OR(COUNTA(AK1319:AM1319)=0,AND(COUNTA(AK1319:AM1319)=3,ISNUMBER(AM1319))),0,1)+IF(OR(COUNTA(AN1319:AP1319)=0,AND(COUNTA(AN1319:AP1319)=3,ISNUMBER(AP1319))),0,1)+IF(OR(COUNTA(AQ1319:AS1319)=0,AND(COUNTA(AQ1319:AS1319)=3,ISNUMBER(AS1319))),0,1)+IF(OR(COUNTA(AT1319:AV1319)=0,AND(COUNTA(AT1319:AV1319)=3,ISNUMBER(AV1319))),0,1)+IF(OR(COUNTA(AW1319:AY1319)=0,AND(COUNTA(AW1319:AY1319)=3,ISNUMBER(AY1319))),0,1)+IF(OR(COUNTA(AZ1319:BB1319)=0,AND(COUNTA(AZ1319:BB1319)=3,ISNUMBER(BB1319))),0,1))&gt;0,"; An invoice is incomplete (needs No, Date and a number in Ex GST)","")&amp;IF((IF(T1319="",0,IFERROR(--(EOMONTH(T1319,0)&lt;&gt;S$5),1))+IF(W1319="",0,IFERROR(--(EOMONTH(W1319,0)&lt;&gt;V$5),1))+IF(Z1319="",0,IFERROR(--(EOMONTH(Z1319,0)&lt;&gt;Y$5),1))+IF(AC1319="",0,IFERROR(--(EOMONTH(AC1319,0)&lt;&gt;AB$5),1))+IF(AF1319="",0,IFERROR(--(EOMONTH(AF1319,0)&lt;&gt;AE$5),1))+IF(AI1319="",0,IFERROR(--(EOMONTH(AI1319,0)&lt;&gt;AH$5),1))+IF(AL1319="",0,IFERROR(--(EOMONTH(AL1319,0)&lt;&gt;AK$5),1))+IF(AO1319="",0,IFERROR(--(EOMONTH(AO1319,0)&lt;&gt;AN$5),1))+IF(AR1319="",0,IFERROR(--(EOMONTH(AR1319,0)&lt;&gt;AQ$5),1))+IF(AU1319="",0,IFERROR(--(EOMONTH(AU1319,0)&lt;&gt;AT$5),1))+IF(AX1319="",0,IFERROR(--(EOMONTH(AX1319,0)&lt;&gt;AW$5),1))+IF(BA1319="",0,IFERROR(--(EOMONTH(BA1319,0)&lt;&gt;AZ$5),1)))&gt;0,"; An invoice date is not in the month it is typed under",""),3,500))</f>
        <v/>
      </c>
      <c r="S1319" s="12" t="n"/>
      <c r="T1319" s="13" t="n"/>
      <c r="U1319" s="14" t="n"/>
      <c r="V1319" s="12" t="n"/>
      <c r="W1319" s="13" t="n"/>
      <c r="X1319" s="14" t="n"/>
      <c r="Y1319" s="12" t="n"/>
      <c r="Z1319" s="13" t="n"/>
      <c r="AA1319" s="14" t="n"/>
      <c r="AB1319" s="12" t="n"/>
      <c r="AC1319" s="13" t="n"/>
      <c r="AD1319" s="14" t="n"/>
      <c r="AE1319" s="12" t="n"/>
      <c r="AF1319" s="13" t="n"/>
      <c r="AG1319" s="14" t="n"/>
      <c r="AH1319" s="12" t="n"/>
      <c r="AI1319" s="13" t="n"/>
      <c r="AJ1319" s="14" t="n"/>
      <c r="AK1319" s="12" t="n"/>
      <c r="AL1319" s="13" t="n"/>
      <c r="AM1319" s="14" t="n"/>
      <c r="AN1319" s="12" t="n"/>
      <c r="AO1319" s="13" t="n"/>
      <c r="AP1319" s="14" t="n"/>
      <c r="AQ1319" s="12" t="n"/>
      <c r="AR1319" s="13" t="n"/>
      <c r="AS1319" s="14" t="n"/>
      <c r="AT1319" s="12" t="n"/>
      <c r="AU1319" s="13" t="n"/>
      <c r="AV1319" s="14" t="n"/>
      <c r="AW1319" s="12" t="n"/>
      <c r="AX1319" s="13" t="n"/>
      <c r="AY1319" s="14" t="n"/>
      <c r="AZ1319" s="12" t="n"/>
      <c r="BA1319" s="13" t="n"/>
      <c r="BB1319" s="14" t="n"/>
      <c r="BC1319" s="11">
        <f>IF(O1319="","",IF(J1319="GST 10%",ROUND(O1319*set_GSTRate,2),0))</f>
        <v/>
      </c>
      <c r="BD1319" s="11">
        <f>IF(O1319="","",O1319+BC1319)</f>
        <v/>
      </c>
      <c r="BE1319" s="15">
        <f>IF(O1319="","",COUNTA(S1319,V1319,Y1319,AB1319,AE1319,AH1319,AK1319,AN1319,AQ1319,AT1319,AW1319,AZ1319))</f>
        <v/>
      </c>
      <c r="BF1319" s="16">
        <f>IF(COUNT(T1319,W1319,Z1319,AC1319,AF1319,AI1319,AL1319,AO1319,AR1319,AU1319,AX1319,BA1319)=0,"",MAX(T1319,W1319,Z1319,AC1319,AF1319,AI1319,AL1319,AO1319,AR1319,AU1319,AX1319,BA1319))</f>
        <v/>
      </c>
      <c r="BG1319" s="10">
        <f>MID(IF(S1319="","",", "&amp;S1319)&amp;IF(V1319="","",", "&amp;V1319)&amp;IF(Y1319="","",", "&amp;Y1319)&amp;IF(AB1319="","",", "&amp;AB1319)&amp;IF(AE1319="","",", "&amp;AE1319)&amp;IF(AH1319="","",", "&amp;AH1319)&amp;IF(AK1319="","",", "&amp;AK1319)&amp;IF(AN1319="","",", "&amp;AN1319)&amp;IF(AQ1319="","",", "&amp;AQ1319)&amp;IF(AT1319="","",", "&amp;AT1319)&amp;IF(AW1319="","",", "&amp;AW1319)&amp;IF(AZ1319="","",", "&amp;AZ1319),3,500)</f>
        <v/>
      </c>
      <c r="BH1319" s="12" t="n"/>
      <c r="BI1319" s="15">
        <f>IFERROR(MATCH($A1319,IF($B1319="Onsite",tbl_Onsite[Row ID],IF($B1319="Production",tbl_Production[Row ID],tbl_Consulting[Row ID])),0),"")</f>
        <v/>
      </c>
    </row>
    <row r="1320">
      <c r="A1320" s="10" t="inlineStr">
        <is>
          <t>CON-0314</t>
        </is>
      </c>
      <c r="B1320" s="10" t="inlineStr">
        <is>
          <t>Consulting</t>
        </is>
      </c>
      <c r="C1320" s="10">
        <f>IF($BI1320="","",IF($B1320="Onsite",INDEX(tbl_Onsite[Job Number],$BI1320),IF($B1320="Production",INDEX(tbl_Production[Job Number],$BI1320),INDEX(tbl_Consulting[Job Number],$BI1320)))&amp;"")</f>
        <v/>
      </c>
      <c r="D1320" s="10">
        <f>IF($BI1320="","",IF($B1320="Onsite",INDEX(tbl_Onsite[Client],$BI1320),IF($B1320="Production",INDEX(tbl_Production[Client],$BI1320),INDEX(tbl_Consulting[Client],$BI1320)))&amp;"")</f>
        <v/>
      </c>
      <c r="E1320" s="10">
        <f>IF($C1320="","",IF(COUNTIF(lst_Jobs,$C1320)&gt;0,"OK","CHECK"))</f>
        <v/>
      </c>
      <c r="F1320" s="10">
        <f>IF($C1320="","",IFERROR(INDEX(lst_JobName,MATCH($C1320,lst_Jobs,0)),""))</f>
        <v/>
      </c>
      <c r="G1320" s="10">
        <f>IF($BI1320="","",IF($B1320="Onsite",INDEX(tbl_Onsite[Job Description],$BI1320),IF($B1320="Production",INDEX(tbl_Production[Job Description],$BI1320),INDEX(tbl_Consulting[Job Description],$BI1320)))&amp;"")</f>
        <v/>
      </c>
      <c r="H1320" s="10">
        <f>IF($BI1320="","",IF($B1320="Onsite",INDEX(tbl_Onsite[Cost Centre],$BI1320),IF($B1320="Production",INDEX(tbl_Production[Cost Centre],$BI1320),INDEX(tbl_Consulting[Cost Centre],$BI1320)))&amp;"")</f>
        <v/>
      </c>
      <c r="I1320" s="10">
        <f>IF($BI1320="","",IF($B1320="Onsite",INDEX(tbl_Onsite[Invoice Type],$BI1320),IF($B1320="Production",INDEX(tbl_Production[Invoice Type],$BI1320),INDEX(tbl_Consulting[Invoice Type],$BI1320)))&amp;"")</f>
        <v/>
      </c>
      <c r="J1320" s="10">
        <f>IF($BI1320="","",IF($B1320="Onsite",INDEX(tbl_Onsite[Tax Code],$BI1320),IF($B1320="Production",INDEX(tbl_Production[Tax Code],$BI1320),INDEX(tbl_Consulting[Tax Code],$BI1320)))&amp;"")</f>
        <v/>
      </c>
      <c r="K1320" s="10">
        <f>IF(H1320="","",IFERROR(INDEX(lst_CCtoGL,MATCH(H1320,lst_CCforGL,0)),""))</f>
        <v/>
      </c>
      <c r="L1320" s="10">
        <f>IF($BI1320="","",IF($B1320="Onsite",INDEX(tbl_Onsite[PO / Reference],$BI1320),IF($B1320="Production",INDEX(tbl_Production[Current RMS No],$BI1320),INDEX(tbl_Consulting[Qwilr Quote],$BI1320)))&amp;"")</f>
        <v/>
      </c>
      <c r="M1320" s="10">
        <f>IF($BI1320="","",IF($B1320="Onsite",INDEX(tbl_Onsite[Notes],$BI1320),IF($B1320="Production",INDEX(tbl_Production[Notes],$BI1320),INDEX(tbl_Consulting[Notes],$BI1320)))&amp;"")</f>
        <v/>
      </c>
      <c r="N1320" s="11">
        <f>IF($BI1320="","",IF(IF($B1320="Onsite",INDEX(tbl_Onsite[Expected Revenue Ex GST],$BI1320),IF($B1320="Production",INDEX(tbl_Production[Expected Revenue Ex GST],$BI1320),INDEX(tbl_Consulting[Expected Revenue Ex GST],$BI1320)))="","",IF($B1320="Onsite",INDEX(tbl_Onsite[Expected Revenue Ex GST],$BI1320),IF($B1320="Production",INDEX(tbl_Production[Expected Revenue Ex GST],$BI1320),INDEX(tbl_Consulting[Expected Revenue Ex GST],$BI1320)))))</f>
        <v/>
      </c>
      <c r="O1320" s="11">
        <f>IF(AND($C1320="",NOT(COUNTA($S1320:$BB1320)&gt;0)),"",SUM(U1320,X1320,AA1320,AD1320,AG1320,AJ1320,AM1320,AP1320,AS1320,AV1320,AY1320,BB1320))</f>
        <v/>
      </c>
      <c r="P1320" s="11">
        <f>IF(O1320="","",N(N1320)-O1320)</f>
        <v/>
      </c>
      <c r="Q1320" s="10">
        <f>IF(O1320="","",IF($C1320="","Invoice on empty job row",IF(N1320="",IF(ROUND(O1320,2)=0,"No dept value","Invoiced - no dept value"),IF(ROUND(O1320,2)=0,"Not invoiced - to invoice",IF(ROUND(P1320,2)=0,"Agrees",IF(P1320&gt;0,"Dept higher - to invoice","Xero higher - check dept"))))))</f>
        <v/>
      </c>
      <c r="R1320" s="10">
        <f>IF(AND($C1320="",NOT(COUNTA($S1320:$BB1320)&gt;0),$BI1320&lt;&gt;""),"",MID(IF($BI1320="","; Row ID not found on the department sheet - a row was deleted","")&amp;IF(AND($C1320="",COUNTA($S1320:$BB1320)&gt;0),"; Invoice entered but the department row has no job number","")&amp;IF(E1320="CHECK","; Job number not in the Xero job list","")&amp;IF(AND($C1320&lt;&gt;"",COUNTIF($C$7:$C$1506,$C1320)&gt;1),"; Job number on more than one row","")&amp;IF(AND($C1320&lt;&gt;"",H1320=""),"; Dept has not set a cost centre","")&amp;IF(AND($C1320&lt;&gt;"",J1320=""),"; Dept has not set a tax code","")&amp;IF(AND($C1320&lt;&gt;"",N1320=""),"; Dept has not entered an expected value","")&amp;IF((IF(OR(COUNTA(S1320:U1320)=0,AND(COUNTA(S1320:U1320)=3,ISNUMBER(U1320))),0,1)+IF(OR(COUNTA(V1320:X1320)=0,AND(COUNTA(V1320:X1320)=3,ISNUMBER(X1320))),0,1)+IF(OR(COUNTA(Y1320:AA1320)=0,AND(COUNTA(Y1320:AA1320)=3,ISNUMBER(AA1320))),0,1)+IF(OR(COUNTA(AB1320:AD1320)=0,AND(COUNTA(AB1320:AD1320)=3,ISNUMBER(AD1320))),0,1)+IF(OR(COUNTA(AE1320:AG1320)=0,AND(COUNTA(AE1320:AG1320)=3,ISNUMBER(AG1320))),0,1)+IF(OR(COUNTA(AH1320:AJ1320)=0,AND(COUNTA(AH1320:AJ1320)=3,ISNUMBER(AJ1320))),0,1)+IF(OR(COUNTA(AK1320:AM1320)=0,AND(COUNTA(AK1320:AM1320)=3,ISNUMBER(AM1320))),0,1)+IF(OR(COUNTA(AN1320:AP1320)=0,AND(COUNTA(AN1320:AP1320)=3,ISNUMBER(AP1320))),0,1)+IF(OR(COUNTA(AQ1320:AS1320)=0,AND(COUNTA(AQ1320:AS1320)=3,ISNUMBER(AS1320))),0,1)+IF(OR(COUNTA(AT1320:AV1320)=0,AND(COUNTA(AT1320:AV1320)=3,ISNUMBER(AV1320))),0,1)+IF(OR(COUNTA(AW1320:AY1320)=0,AND(COUNTA(AW1320:AY1320)=3,ISNUMBER(AY1320))),0,1)+IF(OR(COUNTA(AZ1320:BB1320)=0,AND(COUNTA(AZ1320:BB1320)=3,ISNUMBER(BB1320))),0,1))&gt;0,"; An invoice is incomplete (needs No, Date and a number in Ex GST)","")&amp;IF((IF(T1320="",0,IFERROR(--(EOMONTH(T1320,0)&lt;&gt;S$5),1))+IF(W1320="",0,IFERROR(--(EOMONTH(W1320,0)&lt;&gt;V$5),1))+IF(Z1320="",0,IFERROR(--(EOMONTH(Z1320,0)&lt;&gt;Y$5),1))+IF(AC1320="",0,IFERROR(--(EOMONTH(AC1320,0)&lt;&gt;AB$5),1))+IF(AF1320="",0,IFERROR(--(EOMONTH(AF1320,0)&lt;&gt;AE$5),1))+IF(AI1320="",0,IFERROR(--(EOMONTH(AI1320,0)&lt;&gt;AH$5),1))+IF(AL1320="",0,IFERROR(--(EOMONTH(AL1320,0)&lt;&gt;AK$5),1))+IF(AO1320="",0,IFERROR(--(EOMONTH(AO1320,0)&lt;&gt;AN$5),1))+IF(AR1320="",0,IFERROR(--(EOMONTH(AR1320,0)&lt;&gt;AQ$5),1))+IF(AU1320="",0,IFERROR(--(EOMONTH(AU1320,0)&lt;&gt;AT$5),1))+IF(AX1320="",0,IFERROR(--(EOMONTH(AX1320,0)&lt;&gt;AW$5),1))+IF(BA1320="",0,IFERROR(--(EOMONTH(BA1320,0)&lt;&gt;AZ$5),1)))&gt;0,"; An invoice date is not in the month it is typed under",""),3,500))</f>
        <v/>
      </c>
      <c r="S1320" s="12" t="n"/>
      <c r="T1320" s="13" t="n"/>
      <c r="U1320" s="14" t="n"/>
      <c r="V1320" s="12" t="n"/>
      <c r="W1320" s="13" t="n"/>
      <c r="X1320" s="14" t="n"/>
      <c r="Y1320" s="12" t="n"/>
      <c r="Z1320" s="13" t="n"/>
      <c r="AA1320" s="14" t="n"/>
      <c r="AB1320" s="12" t="n"/>
      <c r="AC1320" s="13" t="n"/>
      <c r="AD1320" s="14" t="n"/>
      <c r="AE1320" s="12" t="n"/>
      <c r="AF1320" s="13" t="n"/>
      <c r="AG1320" s="14" t="n"/>
      <c r="AH1320" s="12" t="n"/>
      <c r="AI1320" s="13" t="n"/>
      <c r="AJ1320" s="14" t="n"/>
      <c r="AK1320" s="12" t="n"/>
      <c r="AL1320" s="13" t="n"/>
      <c r="AM1320" s="14" t="n"/>
      <c r="AN1320" s="12" t="n"/>
      <c r="AO1320" s="13" t="n"/>
      <c r="AP1320" s="14" t="n"/>
      <c r="AQ1320" s="12" t="n"/>
      <c r="AR1320" s="13" t="n"/>
      <c r="AS1320" s="14" t="n"/>
      <c r="AT1320" s="12" t="n"/>
      <c r="AU1320" s="13" t="n"/>
      <c r="AV1320" s="14" t="n"/>
      <c r="AW1320" s="12" t="n"/>
      <c r="AX1320" s="13" t="n"/>
      <c r="AY1320" s="14" t="n"/>
      <c r="AZ1320" s="12" t="n"/>
      <c r="BA1320" s="13" t="n"/>
      <c r="BB1320" s="14" t="n"/>
      <c r="BC1320" s="11">
        <f>IF(O1320="","",IF(J1320="GST 10%",ROUND(O1320*set_GSTRate,2),0))</f>
        <v/>
      </c>
      <c r="BD1320" s="11">
        <f>IF(O1320="","",O1320+BC1320)</f>
        <v/>
      </c>
      <c r="BE1320" s="15">
        <f>IF(O1320="","",COUNTA(S1320,V1320,Y1320,AB1320,AE1320,AH1320,AK1320,AN1320,AQ1320,AT1320,AW1320,AZ1320))</f>
        <v/>
      </c>
      <c r="BF1320" s="16">
        <f>IF(COUNT(T1320,W1320,Z1320,AC1320,AF1320,AI1320,AL1320,AO1320,AR1320,AU1320,AX1320,BA1320)=0,"",MAX(T1320,W1320,Z1320,AC1320,AF1320,AI1320,AL1320,AO1320,AR1320,AU1320,AX1320,BA1320))</f>
        <v/>
      </c>
      <c r="BG1320" s="10">
        <f>MID(IF(S1320="","",", "&amp;S1320)&amp;IF(V1320="","",", "&amp;V1320)&amp;IF(Y1320="","",", "&amp;Y1320)&amp;IF(AB1320="","",", "&amp;AB1320)&amp;IF(AE1320="","",", "&amp;AE1320)&amp;IF(AH1320="","",", "&amp;AH1320)&amp;IF(AK1320="","",", "&amp;AK1320)&amp;IF(AN1320="","",", "&amp;AN1320)&amp;IF(AQ1320="","",", "&amp;AQ1320)&amp;IF(AT1320="","",", "&amp;AT1320)&amp;IF(AW1320="","",", "&amp;AW1320)&amp;IF(AZ1320="","",", "&amp;AZ1320),3,500)</f>
        <v/>
      </c>
      <c r="BH1320" s="12" t="n"/>
      <c r="BI1320" s="15">
        <f>IFERROR(MATCH($A1320,IF($B1320="Onsite",tbl_Onsite[Row ID],IF($B1320="Production",tbl_Production[Row ID],tbl_Consulting[Row ID])),0),"")</f>
        <v/>
      </c>
    </row>
    <row r="1321">
      <c r="A1321" s="10" t="inlineStr">
        <is>
          <t>CON-0315</t>
        </is>
      </c>
      <c r="B1321" s="10" t="inlineStr">
        <is>
          <t>Consulting</t>
        </is>
      </c>
      <c r="C1321" s="10">
        <f>IF($BI1321="","",IF($B1321="Onsite",INDEX(tbl_Onsite[Job Number],$BI1321),IF($B1321="Production",INDEX(tbl_Production[Job Number],$BI1321),INDEX(tbl_Consulting[Job Number],$BI1321)))&amp;"")</f>
        <v/>
      </c>
      <c r="D1321" s="10">
        <f>IF($BI1321="","",IF($B1321="Onsite",INDEX(tbl_Onsite[Client],$BI1321),IF($B1321="Production",INDEX(tbl_Production[Client],$BI1321),INDEX(tbl_Consulting[Client],$BI1321)))&amp;"")</f>
        <v/>
      </c>
      <c r="E1321" s="10">
        <f>IF($C1321="","",IF(COUNTIF(lst_Jobs,$C1321)&gt;0,"OK","CHECK"))</f>
        <v/>
      </c>
      <c r="F1321" s="10">
        <f>IF($C1321="","",IFERROR(INDEX(lst_JobName,MATCH($C1321,lst_Jobs,0)),""))</f>
        <v/>
      </c>
      <c r="G1321" s="10">
        <f>IF($BI1321="","",IF($B1321="Onsite",INDEX(tbl_Onsite[Job Description],$BI1321),IF($B1321="Production",INDEX(tbl_Production[Job Description],$BI1321),INDEX(tbl_Consulting[Job Description],$BI1321)))&amp;"")</f>
        <v/>
      </c>
      <c r="H1321" s="10">
        <f>IF($BI1321="","",IF($B1321="Onsite",INDEX(tbl_Onsite[Cost Centre],$BI1321),IF($B1321="Production",INDEX(tbl_Production[Cost Centre],$BI1321),INDEX(tbl_Consulting[Cost Centre],$BI1321)))&amp;"")</f>
        <v/>
      </c>
      <c r="I1321" s="10">
        <f>IF($BI1321="","",IF($B1321="Onsite",INDEX(tbl_Onsite[Invoice Type],$BI1321),IF($B1321="Production",INDEX(tbl_Production[Invoice Type],$BI1321),INDEX(tbl_Consulting[Invoice Type],$BI1321)))&amp;"")</f>
        <v/>
      </c>
      <c r="J1321" s="10">
        <f>IF($BI1321="","",IF($B1321="Onsite",INDEX(tbl_Onsite[Tax Code],$BI1321),IF($B1321="Production",INDEX(tbl_Production[Tax Code],$BI1321),INDEX(tbl_Consulting[Tax Code],$BI1321)))&amp;"")</f>
        <v/>
      </c>
      <c r="K1321" s="10">
        <f>IF(H1321="","",IFERROR(INDEX(lst_CCtoGL,MATCH(H1321,lst_CCforGL,0)),""))</f>
        <v/>
      </c>
      <c r="L1321" s="10">
        <f>IF($BI1321="","",IF($B1321="Onsite",INDEX(tbl_Onsite[PO / Reference],$BI1321),IF($B1321="Production",INDEX(tbl_Production[Current RMS No],$BI1321),INDEX(tbl_Consulting[Qwilr Quote],$BI1321)))&amp;"")</f>
        <v/>
      </c>
      <c r="M1321" s="10">
        <f>IF($BI1321="","",IF($B1321="Onsite",INDEX(tbl_Onsite[Notes],$BI1321),IF($B1321="Production",INDEX(tbl_Production[Notes],$BI1321),INDEX(tbl_Consulting[Notes],$BI1321)))&amp;"")</f>
        <v/>
      </c>
      <c r="N1321" s="11">
        <f>IF($BI1321="","",IF(IF($B1321="Onsite",INDEX(tbl_Onsite[Expected Revenue Ex GST],$BI1321),IF($B1321="Production",INDEX(tbl_Production[Expected Revenue Ex GST],$BI1321),INDEX(tbl_Consulting[Expected Revenue Ex GST],$BI1321)))="","",IF($B1321="Onsite",INDEX(tbl_Onsite[Expected Revenue Ex GST],$BI1321),IF($B1321="Production",INDEX(tbl_Production[Expected Revenue Ex GST],$BI1321),INDEX(tbl_Consulting[Expected Revenue Ex GST],$BI1321)))))</f>
        <v/>
      </c>
      <c r="O1321" s="11">
        <f>IF(AND($C1321="",NOT(COUNTA($S1321:$BB1321)&gt;0)),"",SUM(U1321,X1321,AA1321,AD1321,AG1321,AJ1321,AM1321,AP1321,AS1321,AV1321,AY1321,BB1321))</f>
        <v/>
      </c>
      <c r="P1321" s="11">
        <f>IF(O1321="","",N(N1321)-O1321)</f>
        <v/>
      </c>
      <c r="Q1321" s="10">
        <f>IF(O1321="","",IF($C1321="","Invoice on empty job row",IF(N1321="",IF(ROUND(O1321,2)=0,"No dept value","Invoiced - no dept value"),IF(ROUND(O1321,2)=0,"Not invoiced - to invoice",IF(ROUND(P1321,2)=0,"Agrees",IF(P1321&gt;0,"Dept higher - to invoice","Xero higher - check dept"))))))</f>
        <v/>
      </c>
      <c r="R1321" s="10">
        <f>IF(AND($C1321="",NOT(COUNTA($S1321:$BB1321)&gt;0),$BI1321&lt;&gt;""),"",MID(IF($BI1321="","; Row ID not found on the department sheet - a row was deleted","")&amp;IF(AND($C1321="",COUNTA($S1321:$BB1321)&gt;0),"; Invoice entered but the department row has no job number","")&amp;IF(E1321="CHECK","; Job number not in the Xero job list","")&amp;IF(AND($C1321&lt;&gt;"",COUNTIF($C$7:$C$1506,$C1321)&gt;1),"; Job number on more than one row","")&amp;IF(AND($C1321&lt;&gt;"",H1321=""),"; Dept has not set a cost centre","")&amp;IF(AND($C1321&lt;&gt;"",J1321=""),"; Dept has not set a tax code","")&amp;IF(AND($C1321&lt;&gt;"",N1321=""),"; Dept has not entered an expected value","")&amp;IF((IF(OR(COUNTA(S1321:U1321)=0,AND(COUNTA(S1321:U1321)=3,ISNUMBER(U1321))),0,1)+IF(OR(COUNTA(V1321:X1321)=0,AND(COUNTA(V1321:X1321)=3,ISNUMBER(X1321))),0,1)+IF(OR(COUNTA(Y1321:AA1321)=0,AND(COUNTA(Y1321:AA1321)=3,ISNUMBER(AA1321))),0,1)+IF(OR(COUNTA(AB1321:AD1321)=0,AND(COUNTA(AB1321:AD1321)=3,ISNUMBER(AD1321))),0,1)+IF(OR(COUNTA(AE1321:AG1321)=0,AND(COUNTA(AE1321:AG1321)=3,ISNUMBER(AG1321))),0,1)+IF(OR(COUNTA(AH1321:AJ1321)=0,AND(COUNTA(AH1321:AJ1321)=3,ISNUMBER(AJ1321))),0,1)+IF(OR(COUNTA(AK1321:AM1321)=0,AND(COUNTA(AK1321:AM1321)=3,ISNUMBER(AM1321))),0,1)+IF(OR(COUNTA(AN1321:AP1321)=0,AND(COUNTA(AN1321:AP1321)=3,ISNUMBER(AP1321))),0,1)+IF(OR(COUNTA(AQ1321:AS1321)=0,AND(COUNTA(AQ1321:AS1321)=3,ISNUMBER(AS1321))),0,1)+IF(OR(COUNTA(AT1321:AV1321)=0,AND(COUNTA(AT1321:AV1321)=3,ISNUMBER(AV1321))),0,1)+IF(OR(COUNTA(AW1321:AY1321)=0,AND(COUNTA(AW1321:AY1321)=3,ISNUMBER(AY1321))),0,1)+IF(OR(COUNTA(AZ1321:BB1321)=0,AND(COUNTA(AZ1321:BB1321)=3,ISNUMBER(BB1321))),0,1))&gt;0,"; An invoice is incomplete (needs No, Date and a number in Ex GST)","")&amp;IF((IF(T1321="",0,IFERROR(--(EOMONTH(T1321,0)&lt;&gt;S$5),1))+IF(W1321="",0,IFERROR(--(EOMONTH(W1321,0)&lt;&gt;V$5),1))+IF(Z1321="",0,IFERROR(--(EOMONTH(Z1321,0)&lt;&gt;Y$5),1))+IF(AC1321="",0,IFERROR(--(EOMONTH(AC1321,0)&lt;&gt;AB$5),1))+IF(AF1321="",0,IFERROR(--(EOMONTH(AF1321,0)&lt;&gt;AE$5),1))+IF(AI1321="",0,IFERROR(--(EOMONTH(AI1321,0)&lt;&gt;AH$5),1))+IF(AL1321="",0,IFERROR(--(EOMONTH(AL1321,0)&lt;&gt;AK$5),1))+IF(AO1321="",0,IFERROR(--(EOMONTH(AO1321,0)&lt;&gt;AN$5),1))+IF(AR1321="",0,IFERROR(--(EOMONTH(AR1321,0)&lt;&gt;AQ$5),1))+IF(AU1321="",0,IFERROR(--(EOMONTH(AU1321,0)&lt;&gt;AT$5),1))+IF(AX1321="",0,IFERROR(--(EOMONTH(AX1321,0)&lt;&gt;AW$5),1))+IF(BA1321="",0,IFERROR(--(EOMONTH(BA1321,0)&lt;&gt;AZ$5),1)))&gt;0,"; An invoice date is not in the month it is typed under",""),3,500))</f>
        <v/>
      </c>
      <c r="S1321" s="12" t="n"/>
      <c r="T1321" s="13" t="n"/>
      <c r="U1321" s="14" t="n"/>
      <c r="V1321" s="12" t="n"/>
      <c r="W1321" s="13" t="n"/>
      <c r="X1321" s="14" t="n"/>
      <c r="Y1321" s="12" t="n"/>
      <c r="Z1321" s="13" t="n"/>
      <c r="AA1321" s="14" t="n"/>
      <c r="AB1321" s="12" t="n"/>
      <c r="AC1321" s="13" t="n"/>
      <c r="AD1321" s="14" t="n"/>
      <c r="AE1321" s="12" t="n"/>
      <c r="AF1321" s="13" t="n"/>
      <c r="AG1321" s="14" t="n"/>
      <c r="AH1321" s="12" t="n"/>
      <c r="AI1321" s="13" t="n"/>
      <c r="AJ1321" s="14" t="n"/>
      <c r="AK1321" s="12" t="n"/>
      <c r="AL1321" s="13" t="n"/>
      <c r="AM1321" s="14" t="n"/>
      <c r="AN1321" s="12" t="n"/>
      <c r="AO1321" s="13" t="n"/>
      <c r="AP1321" s="14" t="n"/>
      <c r="AQ1321" s="12" t="n"/>
      <c r="AR1321" s="13" t="n"/>
      <c r="AS1321" s="14" t="n"/>
      <c r="AT1321" s="12" t="n"/>
      <c r="AU1321" s="13" t="n"/>
      <c r="AV1321" s="14" t="n"/>
      <c r="AW1321" s="12" t="n"/>
      <c r="AX1321" s="13" t="n"/>
      <c r="AY1321" s="14" t="n"/>
      <c r="AZ1321" s="12" t="n"/>
      <c r="BA1321" s="13" t="n"/>
      <c r="BB1321" s="14" t="n"/>
      <c r="BC1321" s="11">
        <f>IF(O1321="","",IF(J1321="GST 10%",ROUND(O1321*set_GSTRate,2),0))</f>
        <v/>
      </c>
      <c r="BD1321" s="11">
        <f>IF(O1321="","",O1321+BC1321)</f>
        <v/>
      </c>
      <c r="BE1321" s="15">
        <f>IF(O1321="","",COUNTA(S1321,V1321,Y1321,AB1321,AE1321,AH1321,AK1321,AN1321,AQ1321,AT1321,AW1321,AZ1321))</f>
        <v/>
      </c>
      <c r="BF1321" s="16">
        <f>IF(COUNT(T1321,W1321,Z1321,AC1321,AF1321,AI1321,AL1321,AO1321,AR1321,AU1321,AX1321,BA1321)=0,"",MAX(T1321,W1321,Z1321,AC1321,AF1321,AI1321,AL1321,AO1321,AR1321,AU1321,AX1321,BA1321))</f>
        <v/>
      </c>
      <c r="BG1321" s="10">
        <f>MID(IF(S1321="","",", "&amp;S1321)&amp;IF(V1321="","",", "&amp;V1321)&amp;IF(Y1321="","",", "&amp;Y1321)&amp;IF(AB1321="","",", "&amp;AB1321)&amp;IF(AE1321="","",", "&amp;AE1321)&amp;IF(AH1321="","",", "&amp;AH1321)&amp;IF(AK1321="","",", "&amp;AK1321)&amp;IF(AN1321="","",", "&amp;AN1321)&amp;IF(AQ1321="","",", "&amp;AQ1321)&amp;IF(AT1321="","",", "&amp;AT1321)&amp;IF(AW1321="","",", "&amp;AW1321)&amp;IF(AZ1321="","",", "&amp;AZ1321),3,500)</f>
        <v/>
      </c>
      <c r="BH1321" s="12" t="n"/>
      <c r="BI1321" s="15">
        <f>IFERROR(MATCH($A1321,IF($B1321="Onsite",tbl_Onsite[Row ID],IF($B1321="Production",tbl_Production[Row ID],tbl_Consulting[Row ID])),0),"")</f>
        <v/>
      </c>
    </row>
    <row r="1322">
      <c r="A1322" s="10" t="inlineStr">
        <is>
          <t>CON-0316</t>
        </is>
      </c>
      <c r="B1322" s="10" t="inlineStr">
        <is>
          <t>Consulting</t>
        </is>
      </c>
      <c r="C1322" s="10">
        <f>IF($BI1322="","",IF($B1322="Onsite",INDEX(tbl_Onsite[Job Number],$BI1322),IF($B1322="Production",INDEX(tbl_Production[Job Number],$BI1322),INDEX(tbl_Consulting[Job Number],$BI1322)))&amp;"")</f>
        <v/>
      </c>
      <c r="D1322" s="10">
        <f>IF($BI1322="","",IF($B1322="Onsite",INDEX(tbl_Onsite[Client],$BI1322),IF($B1322="Production",INDEX(tbl_Production[Client],$BI1322),INDEX(tbl_Consulting[Client],$BI1322)))&amp;"")</f>
        <v/>
      </c>
      <c r="E1322" s="10">
        <f>IF($C1322="","",IF(COUNTIF(lst_Jobs,$C1322)&gt;0,"OK","CHECK"))</f>
        <v/>
      </c>
      <c r="F1322" s="10">
        <f>IF($C1322="","",IFERROR(INDEX(lst_JobName,MATCH($C1322,lst_Jobs,0)),""))</f>
        <v/>
      </c>
      <c r="G1322" s="10">
        <f>IF($BI1322="","",IF($B1322="Onsite",INDEX(tbl_Onsite[Job Description],$BI1322),IF($B1322="Production",INDEX(tbl_Production[Job Description],$BI1322),INDEX(tbl_Consulting[Job Description],$BI1322)))&amp;"")</f>
        <v/>
      </c>
      <c r="H1322" s="10">
        <f>IF($BI1322="","",IF($B1322="Onsite",INDEX(tbl_Onsite[Cost Centre],$BI1322),IF($B1322="Production",INDEX(tbl_Production[Cost Centre],$BI1322),INDEX(tbl_Consulting[Cost Centre],$BI1322)))&amp;"")</f>
        <v/>
      </c>
      <c r="I1322" s="10">
        <f>IF($BI1322="","",IF($B1322="Onsite",INDEX(tbl_Onsite[Invoice Type],$BI1322),IF($B1322="Production",INDEX(tbl_Production[Invoice Type],$BI1322),INDEX(tbl_Consulting[Invoice Type],$BI1322)))&amp;"")</f>
        <v/>
      </c>
      <c r="J1322" s="10">
        <f>IF($BI1322="","",IF($B1322="Onsite",INDEX(tbl_Onsite[Tax Code],$BI1322),IF($B1322="Production",INDEX(tbl_Production[Tax Code],$BI1322),INDEX(tbl_Consulting[Tax Code],$BI1322)))&amp;"")</f>
        <v/>
      </c>
      <c r="K1322" s="10">
        <f>IF(H1322="","",IFERROR(INDEX(lst_CCtoGL,MATCH(H1322,lst_CCforGL,0)),""))</f>
        <v/>
      </c>
      <c r="L1322" s="10">
        <f>IF($BI1322="","",IF($B1322="Onsite",INDEX(tbl_Onsite[PO / Reference],$BI1322),IF($B1322="Production",INDEX(tbl_Production[Current RMS No],$BI1322),INDEX(tbl_Consulting[Qwilr Quote],$BI1322)))&amp;"")</f>
        <v/>
      </c>
      <c r="M1322" s="10">
        <f>IF($BI1322="","",IF($B1322="Onsite",INDEX(tbl_Onsite[Notes],$BI1322),IF($B1322="Production",INDEX(tbl_Production[Notes],$BI1322),INDEX(tbl_Consulting[Notes],$BI1322)))&amp;"")</f>
        <v/>
      </c>
      <c r="N1322" s="11">
        <f>IF($BI1322="","",IF(IF($B1322="Onsite",INDEX(tbl_Onsite[Expected Revenue Ex GST],$BI1322),IF($B1322="Production",INDEX(tbl_Production[Expected Revenue Ex GST],$BI1322),INDEX(tbl_Consulting[Expected Revenue Ex GST],$BI1322)))="","",IF($B1322="Onsite",INDEX(tbl_Onsite[Expected Revenue Ex GST],$BI1322),IF($B1322="Production",INDEX(tbl_Production[Expected Revenue Ex GST],$BI1322),INDEX(tbl_Consulting[Expected Revenue Ex GST],$BI1322)))))</f>
        <v/>
      </c>
      <c r="O1322" s="11">
        <f>IF(AND($C1322="",NOT(COUNTA($S1322:$BB1322)&gt;0)),"",SUM(U1322,X1322,AA1322,AD1322,AG1322,AJ1322,AM1322,AP1322,AS1322,AV1322,AY1322,BB1322))</f>
        <v/>
      </c>
      <c r="P1322" s="11">
        <f>IF(O1322="","",N(N1322)-O1322)</f>
        <v/>
      </c>
      <c r="Q1322" s="10">
        <f>IF(O1322="","",IF($C1322="","Invoice on empty job row",IF(N1322="",IF(ROUND(O1322,2)=0,"No dept value","Invoiced - no dept value"),IF(ROUND(O1322,2)=0,"Not invoiced - to invoice",IF(ROUND(P1322,2)=0,"Agrees",IF(P1322&gt;0,"Dept higher - to invoice","Xero higher - check dept"))))))</f>
        <v/>
      </c>
      <c r="R1322" s="10">
        <f>IF(AND($C1322="",NOT(COUNTA($S1322:$BB1322)&gt;0),$BI1322&lt;&gt;""),"",MID(IF($BI1322="","; Row ID not found on the department sheet - a row was deleted","")&amp;IF(AND($C1322="",COUNTA($S1322:$BB1322)&gt;0),"; Invoice entered but the department row has no job number","")&amp;IF(E1322="CHECK","; Job number not in the Xero job list","")&amp;IF(AND($C1322&lt;&gt;"",COUNTIF($C$7:$C$1506,$C1322)&gt;1),"; Job number on more than one row","")&amp;IF(AND($C1322&lt;&gt;"",H1322=""),"; Dept has not set a cost centre","")&amp;IF(AND($C1322&lt;&gt;"",J1322=""),"; Dept has not set a tax code","")&amp;IF(AND($C1322&lt;&gt;"",N1322=""),"; Dept has not entered an expected value","")&amp;IF((IF(OR(COUNTA(S1322:U1322)=0,AND(COUNTA(S1322:U1322)=3,ISNUMBER(U1322))),0,1)+IF(OR(COUNTA(V1322:X1322)=0,AND(COUNTA(V1322:X1322)=3,ISNUMBER(X1322))),0,1)+IF(OR(COUNTA(Y1322:AA1322)=0,AND(COUNTA(Y1322:AA1322)=3,ISNUMBER(AA1322))),0,1)+IF(OR(COUNTA(AB1322:AD1322)=0,AND(COUNTA(AB1322:AD1322)=3,ISNUMBER(AD1322))),0,1)+IF(OR(COUNTA(AE1322:AG1322)=0,AND(COUNTA(AE1322:AG1322)=3,ISNUMBER(AG1322))),0,1)+IF(OR(COUNTA(AH1322:AJ1322)=0,AND(COUNTA(AH1322:AJ1322)=3,ISNUMBER(AJ1322))),0,1)+IF(OR(COUNTA(AK1322:AM1322)=0,AND(COUNTA(AK1322:AM1322)=3,ISNUMBER(AM1322))),0,1)+IF(OR(COUNTA(AN1322:AP1322)=0,AND(COUNTA(AN1322:AP1322)=3,ISNUMBER(AP1322))),0,1)+IF(OR(COUNTA(AQ1322:AS1322)=0,AND(COUNTA(AQ1322:AS1322)=3,ISNUMBER(AS1322))),0,1)+IF(OR(COUNTA(AT1322:AV1322)=0,AND(COUNTA(AT1322:AV1322)=3,ISNUMBER(AV1322))),0,1)+IF(OR(COUNTA(AW1322:AY1322)=0,AND(COUNTA(AW1322:AY1322)=3,ISNUMBER(AY1322))),0,1)+IF(OR(COUNTA(AZ1322:BB1322)=0,AND(COUNTA(AZ1322:BB1322)=3,ISNUMBER(BB1322))),0,1))&gt;0,"; An invoice is incomplete (needs No, Date and a number in Ex GST)","")&amp;IF((IF(T1322="",0,IFERROR(--(EOMONTH(T1322,0)&lt;&gt;S$5),1))+IF(W1322="",0,IFERROR(--(EOMONTH(W1322,0)&lt;&gt;V$5),1))+IF(Z1322="",0,IFERROR(--(EOMONTH(Z1322,0)&lt;&gt;Y$5),1))+IF(AC1322="",0,IFERROR(--(EOMONTH(AC1322,0)&lt;&gt;AB$5),1))+IF(AF1322="",0,IFERROR(--(EOMONTH(AF1322,0)&lt;&gt;AE$5),1))+IF(AI1322="",0,IFERROR(--(EOMONTH(AI1322,0)&lt;&gt;AH$5),1))+IF(AL1322="",0,IFERROR(--(EOMONTH(AL1322,0)&lt;&gt;AK$5),1))+IF(AO1322="",0,IFERROR(--(EOMONTH(AO1322,0)&lt;&gt;AN$5),1))+IF(AR1322="",0,IFERROR(--(EOMONTH(AR1322,0)&lt;&gt;AQ$5),1))+IF(AU1322="",0,IFERROR(--(EOMONTH(AU1322,0)&lt;&gt;AT$5),1))+IF(AX1322="",0,IFERROR(--(EOMONTH(AX1322,0)&lt;&gt;AW$5),1))+IF(BA1322="",0,IFERROR(--(EOMONTH(BA1322,0)&lt;&gt;AZ$5),1)))&gt;0,"; An invoice date is not in the month it is typed under",""),3,500))</f>
        <v/>
      </c>
      <c r="S1322" s="12" t="n"/>
      <c r="T1322" s="13" t="n"/>
      <c r="U1322" s="14" t="n"/>
      <c r="V1322" s="12" t="n"/>
      <c r="W1322" s="13" t="n"/>
      <c r="X1322" s="14" t="n"/>
      <c r="Y1322" s="12" t="n"/>
      <c r="Z1322" s="13" t="n"/>
      <c r="AA1322" s="14" t="n"/>
      <c r="AB1322" s="12" t="n"/>
      <c r="AC1322" s="13" t="n"/>
      <c r="AD1322" s="14" t="n"/>
      <c r="AE1322" s="12" t="n"/>
      <c r="AF1322" s="13" t="n"/>
      <c r="AG1322" s="14" t="n"/>
      <c r="AH1322" s="12" t="n"/>
      <c r="AI1322" s="13" t="n"/>
      <c r="AJ1322" s="14" t="n"/>
      <c r="AK1322" s="12" t="n"/>
      <c r="AL1322" s="13" t="n"/>
      <c r="AM1322" s="14" t="n"/>
      <c r="AN1322" s="12" t="n"/>
      <c r="AO1322" s="13" t="n"/>
      <c r="AP1322" s="14" t="n"/>
      <c r="AQ1322" s="12" t="n"/>
      <c r="AR1322" s="13" t="n"/>
      <c r="AS1322" s="14" t="n"/>
      <c r="AT1322" s="12" t="n"/>
      <c r="AU1322" s="13" t="n"/>
      <c r="AV1322" s="14" t="n"/>
      <c r="AW1322" s="12" t="n"/>
      <c r="AX1322" s="13" t="n"/>
      <c r="AY1322" s="14" t="n"/>
      <c r="AZ1322" s="12" t="n"/>
      <c r="BA1322" s="13" t="n"/>
      <c r="BB1322" s="14" t="n"/>
      <c r="BC1322" s="11">
        <f>IF(O1322="","",IF(J1322="GST 10%",ROUND(O1322*set_GSTRate,2),0))</f>
        <v/>
      </c>
      <c r="BD1322" s="11">
        <f>IF(O1322="","",O1322+BC1322)</f>
        <v/>
      </c>
      <c r="BE1322" s="15">
        <f>IF(O1322="","",COUNTA(S1322,V1322,Y1322,AB1322,AE1322,AH1322,AK1322,AN1322,AQ1322,AT1322,AW1322,AZ1322))</f>
        <v/>
      </c>
      <c r="BF1322" s="16">
        <f>IF(COUNT(T1322,W1322,Z1322,AC1322,AF1322,AI1322,AL1322,AO1322,AR1322,AU1322,AX1322,BA1322)=0,"",MAX(T1322,W1322,Z1322,AC1322,AF1322,AI1322,AL1322,AO1322,AR1322,AU1322,AX1322,BA1322))</f>
        <v/>
      </c>
      <c r="BG1322" s="10">
        <f>MID(IF(S1322="","",", "&amp;S1322)&amp;IF(V1322="","",", "&amp;V1322)&amp;IF(Y1322="","",", "&amp;Y1322)&amp;IF(AB1322="","",", "&amp;AB1322)&amp;IF(AE1322="","",", "&amp;AE1322)&amp;IF(AH1322="","",", "&amp;AH1322)&amp;IF(AK1322="","",", "&amp;AK1322)&amp;IF(AN1322="","",", "&amp;AN1322)&amp;IF(AQ1322="","",", "&amp;AQ1322)&amp;IF(AT1322="","",", "&amp;AT1322)&amp;IF(AW1322="","",", "&amp;AW1322)&amp;IF(AZ1322="","",", "&amp;AZ1322),3,500)</f>
        <v/>
      </c>
      <c r="BH1322" s="12" t="n"/>
      <c r="BI1322" s="15">
        <f>IFERROR(MATCH($A1322,IF($B1322="Onsite",tbl_Onsite[Row ID],IF($B1322="Production",tbl_Production[Row ID],tbl_Consulting[Row ID])),0),"")</f>
        <v/>
      </c>
    </row>
    <row r="1323">
      <c r="A1323" s="10" t="inlineStr">
        <is>
          <t>CON-0317</t>
        </is>
      </c>
      <c r="B1323" s="10" t="inlineStr">
        <is>
          <t>Consulting</t>
        </is>
      </c>
      <c r="C1323" s="10">
        <f>IF($BI1323="","",IF($B1323="Onsite",INDEX(tbl_Onsite[Job Number],$BI1323),IF($B1323="Production",INDEX(tbl_Production[Job Number],$BI1323),INDEX(tbl_Consulting[Job Number],$BI1323)))&amp;"")</f>
        <v/>
      </c>
      <c r="D1323" s="10">
        <f>IF($BI1323="","",IF($B1323="Onsite",INDEX(tbl_Onsite[Client],$BI1323),IF($B1323="Production",INDEX(tbl_Production[Client],$BI1323),INDEX(tbl_Consulting[Client],$BI1323)))&amp;"")</f>
        <v/>
      </c>
      <c r="E1323" s="10">
        <f>IF($C1323="","",IF(COUNTIF(lst_Jobs,$C1323)&gt;0,"OK","CHECK"))</f>
        <v/>
      </c>
      <c r="F1323" s="10">
        <f>IF($C1323="","",IFERROR(INDEX(lst_JobName,MATCH($C1323,lst_Jobs,0)),""))</f>
        <v/>
      </c>
      <c r="G1323" s="10">
        <f>IF($BI1323="","",IF($B1323="Onsite",INDEX(tbl_Onsite[Job Description],$BI1323),IF($B1323="Production",INDEX(tbl_Production[Job Description],$BI1323),INDEX(tbl_Consulting[Job Description],$BI1323)))&amp;"")</f>
        <v/>
      </c>
      <c r="H1323" s="10">
        <f>IF($BI1323="","",IF($B1323="Onsite",INDEX(tbl_Onsite[Cost Centre],$BI1323),IF($B1323="Production",INDEX(tbl_Production[Cost Centre],$BI1323),INDEX(tbl_Consulting[Cost Centre],$BI1323)))&amp;"")</f>
        <v/>
      </c>
      <c r="I1323" s="10">
        <f>IF($BI1323="","",IF($B1323="Onsite",INDEX(tbl_Onsite[Invoice Type],$BI1323),IF($B1323="Production",INDEX(tbl_Production[Invoice Type],$BI1323),INDEX(tbl_Consulting[Invoice Type],$BI1323)))&amp;"")</f>
        <v/>
      </c>
      <c r="J1323" s="10">
        <f>IF($BI1323="","",IF($B1323="Onsite",INDEX(tbl_Onsite[Tax Code],$BI1323),IF($B1323="Production",INDEX(tbl_Production[Tax Code],$BI1323),INDEX(tbl_Consulting[Tax Code],$BI1323)))&amp;"")</f>
        <v/>
      </c>
      <c r="K1323" s="10">
        <f>IF(H1323="","",IFERROR(INDEX(lst_CCtoGL,MATCH(H1323,lst_CCforGL,0)),""))</f>
        <v/>
      </c>
      <c r="L1323" s="10">
        <f>IF($BI1323="","",IF($B1323="Onsite",INDEX(tbl_Onsite[PO / Reference],$BI1323),IF($B1323="Production",INDEX(tbl_Production[Current RMS No],$BI1323),INDEX(tbl_Consulting[Qwilr Quote],$BI1323)))&amp;"")</f>
        <v/>
      </c>
      <c r="M1323" s="10">
        <f>IF($BI1323="","",IF($B1323="Onsite",INDEX(tbl_Onsite[Notes],$BI1323),IF($B1323="Production",INDEX(tbl_Production[Notes],$BI1323),INDEX(tbl_Consulting[Notes],$BI1323)))&amp;"")</f>
        <v/>
      </c>
      <c r="N1323" s="11">
        <f>IF($BI1323="","",IF(IF($B1323="Onsite",INDEX(tbl_Onsite[Expected Revenue Ex GST],$BI1323),IF($B1323="Production",INDEX(tbl_Production[Expected Revenue Ex GST],$BI1323),INDEX(tbl_Consulting[Expected Revenue Ex GST],$BI1323)))="","",IF($B1323="Onsite",INDEX(tbl_Onsite[Expected Revenue Ex GST],$BI1323),IF($B1323="Production",INDEX(tbl_Production[Expected Revenue Ex GST],$BI1323),INDEX(tbl_Consulting[Expected Revenue Ex GST],$BI1323)))))</f>
        <v/>
      </c>
      <c r="O1323" s="11">
        <f>IF(AND($C1323="",NOT(COUNTA($S1323:$BB1323)&gt;0)),"",SUM(U1323,X1323,AA1323,AD1323,AG1323,AJ1323,AM1323,AP1323,AS1323,AV1323,AY1323,BB1323))</f>
        <v/>
      </c>
      <c r="P1323" s="11">
        <f>IF(O1323="","",N(N1323)-O1323)</f>
        <v/>
      </c>
      <c r="Q1323" s="10">
        <f>IF(O1323="","",IF($C1323="","Invoice on empty job row",IF(N1323="",IF(ROUND(O1323,2)=0,"No dept value","Invoiced - no dept value"),IF(ROUND(O1323,2)=0,"Not invoiced - to invoice",IF(ROUND(P1323,2)=0,"Agrees",IF(P1323&gt;0,"Dept higher - to invoice","Xero higher - check dept"))))))</f>
        <v/>
      </c>
      <c r="R1323" s="10">
        <f>IF(AND($C1323="",NOT(COUNTA($S1323:$BB1323)&gt;0),$BI1323&lt;&gt;""),"",MID(IF($BI1323="","; Row ID not found on the department sheet - a row was deleted","")&amp;IF(AND($C1323="",COUNTA($S1323:$BB1323)&gt;0),"; Invoice entered but the department row has no job number","")&amp;IF(E1323="CHECK","; Job number not in the Xero job list","")&amp;IF(AND($C1323&lt;&gt;"",COUNTIF($C$7:$C$1506,$C1323)&gt;1),"; Job number on more than one row","")&amp;IF(AND($C1323&lt;&gt;"",H1323=""),"; Dept has not set a cost centre","")&amp;IF(AND($C1323&lt;&gt;"",J1323=""),"; Dept has not set a tax code","")&amp;IF(AND($C1323&lt;&gt;"",N1323=""),"; Dept has not entered an expected value","")&amp;IF((IF(OR(COUNTA(S1323:U1323)=0,AND(COUNTA(S1323:U1323)=3,ISNUMBER(U1323))),0,1)+IF(OR(COUNTA(V1323:X1323)=0,AND(COUNTA(V1323:X1323)=3,ISNUMBER(X1323))),0,1)+IF(OR(COUNTA(Y1323:AA1323)=0,AND(COUNTA(Y1323:AA1323)=3,ISNUMBER(AA1323))),0,1)+IF(OR(COUNTA(AB1323:AD1323)=0,AND(COUNTA(AB1323:AD1323)=3,ISNUMBER(AD1323))),0,1)+IF(OR(COUNTA(AE1323:AG1323)=0,AND(COUNTA(AE1323:AG1323)=3,ISNUMBER(AG1323))),0,1)+IF(OR(COUNTA(AH1323:AJ1323)=0,AND(COUNTA(AH1323:AJ1323)=3,ISNUMBER(AJ1323))),0,1)+IF(OR(COUNTA(AK1323:AM1323)=0,AND(COUNTA(AK1323:AM1323)=3,ISNUMBER(AM1323))),0,1)+IF(OR(COUNTA(AN1323:AP1323)=0,AND(COUNTA(AN1323:AP1323)=3,ISNUMBER(AP1323))),0,1)+IF(OR(COUNTA(AQ1323:AS1323)=0,AND(COUNTA(AQ1323:AS1323)=3,ISNUMBER(AS1323))),0,1)+IF(OR(COUNTA(AT1323:AV1323)=0,AND(COUNTA(AT1323:AV1323)=3,ISNUMBER(AV1323))),0,1)+IF(OR(COUNTA(AW1323:AY1323)=0,AND(COUNTA(AW1323:AY1323)=3,ISNUMBER(AY1323))),0,1)+IF(OR(COUNTA(AZ1323:BB1323)=0,AND(COUNTA(AZ1323:BB1323)=3,ISNUMBER(BB1323))),0,1))&gt;0,"; An invoice is incomplete (needs No, Date and a number in Ex GST)","")&amp;IF((IF(T1323="",0,IFERROR(--(EOMONTH(T1323,0)&lt;&gt;S$5),1))+IF(W1323="",0,IFERROR(--(EOMONTH(W1323,0)&lt;&gt;V$5),1))+IF(Z1323="",0,IFERROR(--(EOMONTH(Z1323,0)&lt;&gt;Y$5),1))+IF(AC1323="",0,IFERROR(--(EOMONTH(AC1323,0)&lt;&gt;AB$5),1))+IF(AF1323="",0,IFERROR(--(EOMONTH(AF1323,0)&lt;&gt;AE$5),1))+IF(AI1323="",0,IFERROR(--(EOMONTH(AI1323,0)&lt;&gt;AH$5),1))+IF(AL1323="",0,IFERROR(--(EOMONTH(AL1323,0)&lt;&gt;AK$5),1))+IF(AO1323="",0,IFERROR(--(EOMONTH(AO1323,0)&lt;&gt;AN$5),1))+IF(AR1323="",0,IFERROR(--(EOMONTH(AR1323,0)&lt;&gt;AQ$5),1))+IF(AU1323="",0,IFERROR(--(EOMONTH(AU1323,0)&lt;&gt;AT$5),1))+IF(AX1323="",0,IFERROR(--(EOMONTH(AX1323,0)&lt;&gt;AW$5),1))+IF(BA1323="",0,IFERROR(--(EOMONTH(BA1323,0)&lt;&gt;AZ$5),1)))&gt;0,"; An invoice date is not in the month it is typed under",""),3,500))</f>
        <v/>
      </c>
      <c r="S1323" s="12" t="n"/>
      <c r="T1323" s="13" t="n"/>
      <c r="U1323" s="14" t="n"/>
      <c r="V1323" s="12" t="n"/>
      <c r="W1323" s="13" t="n"/>
      <c r="X1323" s="14" t="n"/>
      <c r="Y1323" s="12" t="n"/>
      <c r="Z1323" s="13" t="n"/>
      <c r="AA1323" s="14" t="n"/>
      <c r="AB1323" s="12" t="n"/>
      <c r="AC1323" s="13" t="n"/>
      <c r="AD1323" s="14" t="n"/>
      <c r="AE1323" s="12" t="n"/>
      <c r="AF1323" s="13" t="n"/>
      <c r="AG1323" s="14" t="n"/>
      <c r="AH1323" s="12" t="n"/>
      <c r="AI1323" s="13" t="n"/>
      <c r="AJ1323" s="14" t="n"/>
      <c r="AK1323" s="12" t="n"/>
      <c r="AL1323" s="13" t="n"/>
      <c r="AM1323" s="14" t="n"/>
      <c r="AN1323" s="12" t="n"/>
      <c r="AO1323" s="13" t="n"/>
      <c r="AP1323" s="14" t="n"/>
      <c r="AQ1323" s="12" t="n"/>
      <c r="AR1323" s="13" t="n"/>
      <c r="AS1323" s="14" t="n"/>
      <c r="AT1323" s="12" t="n"/>
      <c r="AU1323" s="13" t="n"/>
      <c r="AV1323" s="14" t="n"/>
      <c r="AW1323" s="12" t="n"/>
      <c r="AX1323" s="13" t="n"/>
      <c r="AY1323" s="14" t="n"/>
      <c r="AZ1323" s="12" t="n"/>
      <c r="BA1323" s="13" t="n"/>
      <c r="BB1323" s="14" t="n"/>
      <c r="BC1323" s="11">
        <f>IF(O1323="","",IF(J1323="GST 10%",ROUND(O1323*set_GSTRate,2),0))</f>
        <v/>
      </c>
      <c r="BD1323" s="11">
        <f>IF(O1323="","",O1323+BC1323)</f>
        <v/>
      </c>
      <c r="BE1323" s="15">
        <f>IF(O1323="","",COUNTA(S1323,V1323,Y1323,AB1323,AE1323,AH1323,AK1323,AN1323,AQ1323,AT1323,AW1323,AZ1323))</f>
        <v/>
      </c>
      <c r="BF1323" s="16">
        <f>IF(COUNT(T1323,W1323,Z1323,AC1323,AF1323,AI1323,AL1323,AO1323,AR1323,AU1323,AX1323,BA1323)=0,"",MAX(T1323,W1323,Z1323,AC1323,AF1323,AI1323,AL1323,AO1323,AR1323,AU1323,AX1323,BA1323))</f>
        <v/>
      </c>
      <c r="BG1323" s="10">
        <f>MID(IF(S1323="","",", "&amp;S1323)&amp;IF(V1323="","",", "&amp;V1323)&amp;IF(Y1323="","",", "&amp;Y1323)&amp;IF(AB1323="","",", "&amp;AB1323)&amp;IF(AE1323="","",", "&amp;AE1323)&amp;IF(AH1323="","",", "&amp;AH1323)&amp;IF(AK1323="","",", "&amp;AK1323)&amp;IF(AN1323="","",", "&amp;AN1323)&amp;IF(AQ1323="","",", "&amp;AQ1323)&amp;IF(AT1323="","",", "&amp;AT1323)&amp;IF(AW1323="","",", "&amp;AW1323)&amp;IF(AZ1323="","",", "&amp;AZ1323),3,500)</f>
        <v/>
      </c>
      <c r="BH1323" s="12" t="n"/>
      <c r="BI1323" s="15">
        <f>IFERROR(MATCH($A1323,IF($B1323="Onsite",tbl_Onsite[Row ID],IF($B1323="Production",tbl_Production[Row ID],tbl_Consulting[Row ID])),0),"")</f>
        <v/>
      </c>
    </row>
    <row r="1324">
      <c r="A1324" s="10" t="inlineStr">
        <is>
          <t>CON-0318</t>
        </is>
      </c>
      <c r="B1324" s="10" t="inlineStr">
        <is>
          <t>Consulting</t>
        </is>
      </c>
      <c r="C1324" s="10">
        <f>IF($BI1324="","",IF($B1324="Onsite",INDEX(tbl_Onsite[Job Number],$BI1324),IF($B1324="Production",INDEX(tbl_Production[Job Number],$BI1324),INDEX(tbl_Consulting[Job Number],$BI1324)))&amp;"")</f>
        <v/>
      </c>
      <c r="D1324" s="10">
        <f>IF($BI1324="","",IF($B1324="Onsite",INDEX(tbl_Onsite[Client],$BI1324),IF($B1324="Production",INDEX(tbl_Production[Client],$BI1324),INDEX(tbl_Consulting[Client],$BI1324)))&amp;"")</f>
        <v/>
      </c>
      <c r="E1324" s="10">
        <f>IF($C1324="","",IF(COUNTIF(lst_Jobs,$C1324)&gt;0,"OK","CHECK"))</f>
        <v/>
      </c>
      <c r="F1324" s="10">
        <f>IF($C1324="","",IFERROR(INDEX(lst_JobName,MATCH($C1324,lst_Jobs,0)),""))</f>
        <v/>
      </c>
      <c r="G1324" s="10">
        <f>IF($BI1324="","",IF($B1324="Onsite",INDEX(tbl_Onsite[Job Description],$BI1324),IF($B1324="Production",INDEX(tbl_Production[Job Description],$BI1324),INDEX(tbl_Consulting[Job Description],$BI1324)))&amp;"")</f>
        <v/>
      </c>
      <c r="H1324" s="10">
        <f>IF($BI1324="","",IF($B1324="Onsite",INDEX(tbl_Onsite[Cost Centre],$BI1324),IF($B1324="Production",INDEX(tbl_Production[Cost Centre],$BI1324),INDEX(tbl_Consulting[Cost Centre],$BI1324)))&amp;"")</f>
        <v/>
      </c>
      <c r="I1324" s="10">
        <f>IF($BI1324="","",IF($B1324="Onsite",INDEX(tbl_Onsite[Invoice Type],$BI1324),IF($B1324="Production",INDEX(tbl_Production[Invoice Type],$BI1324),INDEX(tbl_Consulting[Invoice Type],$BI1324)))&amp;"")</f>
        <v/>
      </c>
      <c r="J1324" s="10">
        <f>IF($BI1324="","",IF($B1324="Onsite",INDEX(tbl_Onsite[Tax Code],$BI1324),IF($B1324="Production",INDEX(tbl_Production[Tax Code],$BI1324),INDEX(tbl_Consulting[Tax Code],$BI1324)))&amp;"")</f>
        <v/>
      </c>
      <c r="K1324" s="10">
        <f>IF(H1324="","",IFERROR(INDEX(lst_CCtoGL,MATCH(H1324,lst_CCforGL,0)),""))</f>
        <v/>
      </c>
      <c r="L1324" s="10">
        <f>IF($BI1324="","",IF($B1324="Onsite",INDEX(tbl_Onsite[PO / Reference],$BI1324),IF($B1324="Production",INDEX(tbl_Production[Current RMS No],$BI1324),INDEX(tbl_Consulting[Qwilr Quote],$BI1324)))&amp;"")</f>
        <v/>
      </c>
      <c r="M1324" s="10">
        <f>IF($BI1324="","",IF($B1324="Onsite",INDEX(tbl_Onsite[Notes],$BI1324),IF($B1324="Production",INDEX(tbl_Production[Notes],$BI1324),INDEX(tbl_Consulting[Notes],$BI1324)))&amp;"")</f>
        <v/>
      </c>
      <c r="N1324" s="11">
        <f>IF($BI1324="","",IF(IF($B1324="Onsite",INDEX(tbl_Onsite[Expected Revenue Ex GST],$BI1324),IF($B1324="Production",INDEX(tbl_Production[Expected Revenue Ex GST],$BI1324),INDEX(tbl_Consulting[Expected Revenue Ex GST],$BI1324)))="","",IF($B1324="Onsite",INDEX(tbl_Onsite[Expected Revenue Ex GST],$BI1324),IF($B1324="Production",INDEX(tbl_Production[Expected Revenue Ex GST],$BI1324),INDEX(tbl_Consulting[Expected Revenue Ex GST],$BI1324)))))</f>
        <v/>
      </c>
      <c r="O1324" s="11">
        <f>IF(AND($C1324="",NOT(COUNTA($S1324:$BB1324)&gt;0)),"",SUM(U1324,X1324,AA1324,AD1324,AG1324,AJ1324,AM1324,AP1324,AS1324,AV1324,AY1324,BB1324))</f>
        <v/>
      </c>
      <c r="P1324" s="11">
        <f>IF(O1324="","",N(N1324)-O1324)</f>
        <v/>
      </c>
      <c r="Q1324" s="10">
        <f>IF(O1324="","",IF($C1324="","Invoice on empty job row",IF(N1324="",IF(ROUND(O1324,2)=0,"No dept value","Invoiced - no dept value"),IF(ROUND(O1324,2)=0,"Not invoiced - to invoice",IF(ROUND(P1324,2)=0,"Agrees",IF(P1324&gt;0,"Dept higher - to invoice","Xero higher - check dept"))))))</f>
        <v/>
      </c>
      <c r="R1324" s="10">
        <f>IF(AND($C1324="",NOT(COUNTA($S1324:$BB1324)&gt;0),$BI1324&lt;&gt;""),"",MID(IF($BI1324="","; Row ID not found on the department sheet - a row was deleted","")&amp;IF(AND($C1324="",COUNTA($S1324:$BB1324)&gt;0),"; Invoice entered but the department row has no job number","")&amp;IF(E1324="CHECK","; Job number not in the Xero job list","")&amp;IF(AND($C1324&lt;&gt;"",COUNTIF($C$7:$C$1506,$C1324)&gt;1),"; Job number on more than one row","")&amp;IF(AND($C1324&lt;&gt;"",H1324=""),"; Dept has not set a cost centre","")&amp;IF(AND($C1324&lt;&gt;"",J1324=""),"; Dept has not set a tax code","")&amp;IF(AND($C1324&lt;&gt;"",N1324=""),"; Dept has not entered an expected value","")&amp;IF((IF(OR(COUNTA(S1324:U1324)=0,AND(COUNTA(S1324:U1324)=3,ISNUMBER(U1324))),0,1)+IF(OR(COUNTA(V1324:X1324)=0,AND(COUNTA(V1324:X1324)=3,ISNUMBER(X1324))),0,1)+IF(OR(COUNTA(Y1324:AA1324)=0,AND(COUNTA(Y1324:AA1324)=3,ISNUMBER(AA1324))),0,1)+IF(OR(COUNTA(AB1324:AD1324)=0,AND(COUNTA(AB1324:AD1324)=3,ISNUMBER(AD1324))),0,1)+IF(OR(COUNTA(AE1324:AG1324)=0,AND(COUNTA(AE1324:AG1324)=3,ISNUMBER(AG1324))),0,1)+IF(OR(COUNTA(AH1324:AJ1324)=0,AND(COUNTA(AH1324:AJ1324)=3,ISNUMBER(AJ1324))),0,1)+IF(OR(COUNTA(AK1324:AM1324)=0,AND(COUNTA(AK1324:AM1324)=3,ISNUMBER(AM1324))),0,1)+IF(OR(COUNTA(AN1324:AP1324)=0,AND(COUNTA(AN1324:AP1324)=3,ISNUMBER(AP1324))),0,1)+IF(OR(COUNTA(AQ1324:AS1324)=0,AND(COUNTA(AQ1324:AS1324)=3,ISNUMBER(AS1324))),0,1)+IF(OR(COUNTA(AT1324:AV1324)=0,AND(COUNTA(AT1324:AV1324)=3,ISNUMBER(AV1324))),0,1)+IF(OR(COUNTA(AW1324:AY1324)=0,AND(COUNTA(AW1324:AY1324)=3,ISNUMBER(AY1324))),0,1)+IF(OR(COUNTA(AZ1324:BB1324)=0,AND(COUNTA(AZ1324:BB1324)=3,ISNUMBER(BB1324))),0,1))&gt;0,"; An invoice is incomplete (needs No, Date and a number in Ex GST)","")&amp;IF((IF(T1324="",0,IFERROR(--(EOMONTH(T1324,0)&lt;&gt;S$5),1))+IF(W1324="",0,IFERROR(--(EOMONTH(W1324,0)&lt;&gt;V$5),1))+IF(Z1324="",0,IFERROR(--(EOMONTH(Z1324,0)&lt;&gt;Y$5),1))+IF(AC1324="",0,IFERROR(--(EOMONTH(AC1324,0)&lt;&gt;AB$5),1))+IF(AF1324="",0,IFERROR(--(EOMONTH(AF1324,0)&lt;&gt;AE$5),1))+IF(AI1324="",0,IFERROR(--(EOMONTH(AI1324,0)&lt;&gt;AH$5),1))+IF(AL1324="",0,IFERROR(--(EOMONTH(AL1324,0)&lt;&gt;AK$5),1))+IF(AO1324="",0,IFERROR(--(EOMONTH(AO1324,0)&lt;&gt;AN$5),1))+IF(AR1324="",0,IFERROR(--(EOMONTH(AR1324,0)&lt;&gt;AQ$5),1))+IF(AU1324="",0,IFERROR(--(EOMONTH(AU1324,0)&lt;&gt;AT$5),1))+IF(AX1324="",0,IFERROR(--(EOMONTH(AX1324,0)&lt;&gt;AW$5),1))+IF(BA1324="",0,IFERROR(--(EOMONTH(BA1324,0)&lt;&gt;AZ$5),1)))&gt;0,"; An invoice date is not in the month it is typed under",""),3,500))</f>
        <v/>
      </c>
      <c r="S1324" s="12" t="n"/>
      <c r="T1324" s="13" t="n"/>
      <c r="U1324" s="14" t="n"/>
      <c r="V1324" s="12" t="n"/>
      <c r="W1324" s="13" t="n"/>
      <c r="X1324" s="14" t="n"/>
      <c r="Y1324" s="12" t="n"/>
      <c r="Z1324" s="13" t="n"/>
      <c r="AA1324" s="14" t="n"/>
      <c r="AB1324" s="12" t="n"/>
      <c r="AC1324" s="13" t="n"/>
      <c r="AD1324" s="14" t="n"/>
      <c r="AE1324" s="12" t="n"/>
      <c r="AF1324" s="13" t="n"/>
      <c r="AG1324" s="14" t="n"/>
      <c r="AH1324" s="12" t="n"/>
      <c r="AI1324" s="13" t="n"/>
      <c r="AJ1324" s="14" t="n"/>
      <c r="AK1324" s="12" t="n"/>
      <c r="AL1324" s="13" t="n"/>
      <c r="AM1324" s="14" t="n"/>
      <c r="AN1324" s="12" t="n"/>
      <c r="AO1324" s="13" t="n"/>
      <c r="AP1324" s="14" t="n"/>
      <c r="AQ1324" s="12" t="n"/>
      <c r="AR1324" s="13" t="n"/>
      <c r="AS1324" s="14" t="n"/>
      <c r="AT1324" s="12" t="n"/>
      <c r="AU1324" s="13" t="n"/>
      <c r="AV1324" s="14" t="n"/>
      <c r="AW1324" s="12" t="n"/>
      <c r="AX1324" s="13" t="n"/>
      <c r="AY1324" s="14" t="n"/>
      <c r="AZ1324" s="12" t="n"/>
      <c r="BA1324" s="13" t="n"/>
      <c r="BB1324" s="14" t="n"/>
      <c r="BC1324" s="11">
        <f>IF(O1324="","",IF(J1324="GST 10%",ROUND(O1324*set_GSTRate,2),0))</f>
        <v/>
      </c>
      <c r="BD1324" s="11">
        <f>IF(O1324="","",O1324+BC1324)</f>
        <v/>
      </c>
      <c r="BE1324" s="15">
        <f>IF(O1324="","",COUNTA(S1324,V1324,Y1324,AB1324,AE1324,AH1324,AK1324,AN1324,AQ1324,AT1324,AW1324,AZ1324))</f>
        <v/>
      </c>
      <c r="BF1324" s="16">
        <f>IF(COUNT(T1324,W1324,Z1324,AC1324,AF1324,AI1324,AL1324,AO1324,AR1324,AU1324,AX1324,BA1324)=0,"",MAX(T1324,W1324,Z1324,AC1324,AF1324,AI1324,AL1324,AO1324,AR1324,AU1324,AX1324,BA1324))</f>
        <v/>
      </c>
      <c r="BG1324" s="10">
        <f>MID(IF(S1324="","",", "&amp;S1324)&amp;IF(V1324="","",", "&amp;V1324)&amp;IF(Y1324="","",", "&amp;Y1324)&amp;IF(AB1324="","",", "&amp;AB1324)&amp;IF(AE1324="","",", "&amp;AE1324)&amp;IF(AH1324="","",", "&amp;AH1324)&amp;IF(AK1324="","",", "&amp;AK1324)&amp;IF(AN1324="","",", "&amp;AN1324)&amp;IF(AQ1324="","",", "&amp;AQ1324)&amp;IF(AT1324="","",", "&amp;AT1324)&amp;IF(AW1324="","",", "&amp;AW1324)&amp;IF(AZ1324="","",", "&amp;AZ1324),3,500)</f>
        <v/>
      </c>
      <c r="BH1324" s="12" t="n"/>
      <c r="BI1324" s="15">
        <f>IFERROR(MATCH($A1324,IF($B1324="Onsite",tbl_Onsite[Row ID],IF($B1324="Production",tbl_Production[Row ID],tbl_Consulting[Row ID])),0),"")</f>
        <v/>
      </c>
    </row>
    <row r="1325">
      <c r="A1325" s="10" t="inlineStr">
        <is>
          <t>CON-0319</t>
        </is>
      </c>
      <c r="B1325" s="10" t="inlineStr">
        <is>
          <t>Consulting</t>
        </is>
      </c>
      <c r="C1325" s="10">
        <f>IF($BI1325="","",IF($B1325="Onsite",INDEX(tbl_Onsite[Job Number],$BI1325),IF($B1325="Production",INDEX(tbl_Production[Job Number],$BI1325),INDEX(tbl_Consulting[Job Number],$BI1325)))&amp;"")</f>
        <v/>
      </c>
      <c r="D1325" s="10">
        <f>IF($BI1325="","",IF($B1325="Onsite",INDEX(tbl_Onsite[Client],$BI1325),IF($B1325="Production",INDEX(tbl_Production[Client],$BI1325),INDEX(tbl_Consulting[Client],$BI1325)))&amp;"")</f>
        <v/>
      </c>
      <c r="E1325" s="10">
        <f>IF($C1325="","",IF(COUNTIF(lst_Jobs,$C1325)&gt;0,"OK","CHECK"))</f>
        <v/>
      </c>
      <c r="F1325" s="10">
        <f>IF($C1325="","",IFERROR(INDEX(lst_JobName,MATCH($C1325,lst_Jobs,0)),""))</f>
        <v/>
      </c>
      <c r="G1325" s="10">
        <f>IF($BI1325="","",IF($B1325="Onsite",INDEX(tbl_Onsite[Job Description],$BI1325),IF($B1325="Production",INDEX(tbl_Production[Job Description],$BI1325),INDEX(tbl_Consulting[Job Description],$BI1325)))&amp;"")</f>
        <v/>
      </c>
      <c r="H1325" s="10">
        <f>IF($BI1325="","",IF($B1325="Onsite",INDEX(tbl_Onsite[Cost Centre],$BI1325),IF($B1325="Production",INDEX(tbl_Production[Cost Centre],$BI1325),INDEX(tbl_Consulting[Cost Centre],$BI1325)))&amp;"")</f>
        <v/>
      </c>
      <c r="I1325" s="10">
        <f>IF($BI1325="","",IF($B1325="Onsite",INDEX(tbl_Onsite[Invoice Type],$BI1325),IF($B1325="Production",INDEX(tbl_Production[Invoice Type],$BI1325),INDEX(tbl_Consulting[Invoice Type],$BI1325)))&amp;"")</f>
        <v/>
      </c>
      <c r="J1325" s="10">
        <f>IF($BI1325="","",IF($B1325="Onsite",INDEX(tbl_Onsite[Tax Code],$BI1325),IF($B1325="Production",INDEX(tbl_Production[Tax Code],$BI1325),INDEX(tbl_Consulting[Tax Code],$BI1325)))&amp;"")</f>
        <v/>
      </c>
      <c r="K1325" s="10">
        <f>IF(H1325="","",IFERROR(INDEX(lst_CCtoGL,MATCH(H1325,lst_CCforGL,0)),""))</f>
        <v/>
      </c>
      <c r="L1325" s="10">
        <f>IF($BI1325="","",IF($B1325="Onsite",INDEX(tbl_Onsite[PO / Reference],$BI1325),IF($B1325="Production",INDEX(tbl_Production[Current RMS No],$BI1325),INDEX(tbl_Consulting[Qwilr Quote],$BI1325)))&amp;"")</f>
        <v/>
      </c>
      <c r="M1325" s="10">
        <f>IF($BI1325="","",IF($B1325="Onsite",INDEX(tbl_Onsite[Notes],$BI1325),IF($B1325="Production",INDEX(tbl_Production[Notes],$BI1325),INDEX(tbl_Consulting[Notes],$BI1325)))&amp;"")</f>
        <v/>
      </c>
      <c r="N1325" s="11">
        <f>IF($BI1325="","",IF(IF($B1325="Onsite",INDEX(tbl_Onsite[Expected Revenue Ex GST],$BI1325),IF($B1325="Production",INDEX(tbl_Production[Expected Revenue Ex GST],$BI1325),INDEX(tbl_Consulting[Expected Revenue Ex GST],$BI1325)))="","",IF($B1325="Onsite",INDEX(tbl_Onsite[Expected Revenue Ex GST],$BI1325),IF($B1325="Production",INDEX(tbl_Production[Expected Revenue Ex GST],$BI1325),INDEX(tbl_Consulting[Expected Revenue Ex GST],$BI1325)))))</f>
        <v/>
      </c>
      <c r="O1325" s="11">
        <f>IF(AND($C1325="",NOT(COUNTA($S1325:$BB1325)&gt;0)),"",SUM(U1325,X1325,AA1325,AD1325,AG1325,AJ1325,AM1325,AP1325,AS1325,AV1325,AY1325,BB1325))</f>
        <v/>
      </c>
      <c r="P1325" s="11">
        <f>IF(O1325="","",N(N1325)-O1325)</f>
        <v/>
      </c>
      <c r="Q1325" s="10">
        <f>IF(O1325="","",IF($C1325="","Invoice on empty job row",IF(N1325="",IF(ROUND(O1325,2)=0,"No dept value","Invoiced - no dept value"),IF(ROUND(O1325,2)=0,"Not invoiced - to invoice",IF(ROUND(P1325,2)=0,"Agrees",IF(P1325&gt;0,"Dept higher - to invoice","Xero higher - check dept"))))))</f>
        <v/>
      </c>
      <c r="R1325" s="10">
        <f>IF(AND($C1325="",NOT(COUNTA($S1325:$BB1325)&gt;0),$BI1325&lt;&gt;""),"",MID(IF($BI1325="","; Row ID not found on the department sheet - a row was deleted","")&amp;IF(AND($C1325="",COUNTA($S1325:$BB1325)&gt;0),"; Invoice entered but the department row has no job number","")&amp;IF(E1325="CHECK","; Job number not in the Xero job list","")&amp;IF(AND($C1325&lt;&gt;"",COUNTIF($C$7:$C$1506,$C1325)&gt;1),"; Job number on more than one row","")&amp;IF(AND($C1325&lt;&gt;"",H1325=""),"; Dept has not set a cost centre","")&amp;IF(AND($C1325&lt;&gt;"",J1325=""),"; Dept has not set a tax code","")&amp;IF(AND($C1325&lt;&gt;"",N1325=""),"; Dept has not entered an expected value","")&amp;IF((IF(OR(COUNTA(S1325:U1325)=0,AND(COUNTA(S1325:U1325)=3,ISNUMBER(U1325))),0,1)+IF(OR(COUNTA(V1325:X1325)=0,AND(COUNTA(V1325:X1325)=3,ISNUMBER(X1325))),0,1)+IF(OR(COUNTA(Y1325:AA1325)=0,AND(COUNTA(Y1325:AA1325)=3,ISNUMBER(AA1325))),0,1)+IF(OR(COUNTA(AB1325:AD1325)=0,AND(COUNTA(AB1325:AD1325)=3,ISNUMBER(AD1325))),0,1)+IF(OR(COUNTA(AE1325:AG1325)=0,AND(COUNTA(AE1325:AG1325)=3,ISNUMBER(AG1325))),0,1)+IF(OR(COUNTA(AH1325:AJ1325)=0,AND(COUNTA(AH1325:AJ1325)=3,ISNUMBER(AJ1325))),0,1)+IF(OR(COUNTA(AK1325:AM1325)=0,AND(COUNTA(AK1325:AM1325)=3,ISNUMBER(AM1325))),0,1)+IF(OR(COUNTA(AN1325:AP1325)=0,AND(COUNTA(AN1325:AP1325)=3,ISNUMBER(AP1325))),0,1)+IF(OR(COUNTA(AQ1325:AS1325)=0,AND(COUNTA(AQ1325:AS1325)=3,ISNUMBER(AS1325))),0,1)+IF(OR(COUNTA(AT1325:AV1325)=0,AND(COUNTA(AT1325:AV1325)=3,ISNUMBER(AV1325))),0,1)+IF(OR(COUNTA(AW1325:AY1325)=0,AND(COUNTA(AW1325:AY1325)=3,ISNUMBER(AY1325))),0,1)+IF(OR(COUNTA(AZ1325:BB1325)=0,AND(COUNTA(AZ1325:BB1325)=3,ISNUMBER(BB1325))),0,1))&gt;0,"; An invoice is incomplete (needs No, Date and a number in Ex GST)","")&amp;IF((IF(T1325="",0,IFERROR(--(EOMONTH(T1325,0)&lt;&gt;S$5),1))+IF(W1325="",0,IFERROR(--(EOMONTH(W1325,0)&lt;&gt;V$5),1))+IF(Z1325="",0,IFERROR(--(EOMONTH(Z1325,0)&lt;&gt;Y$5),1))+IF(AC1325="",0,IFERROR(--(EOMONTH(AC1325,0)&lt;&gt;AB$5),1))+IF(AF1325="",0,IFERROR(--(EOMONTH(AF1325,0)&lt;&gt;AE$5),1))+IF(AI1325="",0,IFERROR(--(EOMONTH(AI1325,0)&lt;&gt;AH$5),1))+IF(AL1325="",0,IFERROR(--(EOMONTH(AL1325,0)&lt;&gt;AK$5),1))+IF(AO1325="",0,IFERROR(--(EOMONTH(AO1325,0)&lt;&gt;AN$5),1))+IF(AR1325="",0,IFERROR(--(EOMONTH(AR1325,0)&lt;&gt;AQ$5),1))+IF(AU1325="",0,IFERROR(--(EOMONTH(AU1325,0)&lt;&gt;AT$5),1))+IF(AX1325="",0,IFERROR(--(EOMONTH(AX1325,0)&lt;&gt;AW$5),1))+IF(BA1325="",0,IFERROR(--(EOMONTH(BA1325,0)&lt;&gt;AZ$5),1)))&gt;0,"; An invoice date is not in the month it is typed under",""),3,500))</f>
        <v/>
      </c>
      <c r="S1325" s="12" t="n"/>
      <c r="T1325" s="13" t="n"/>
      <c r="U1325" s="14" t="n"/>
      <c r="V1325" s="12" t="n"/>
      <c r="W1325" s="13" t="n"/>
      <c r="X1325" s="14" t="n"/>
      <c r="Y1325" s="12" t="n"/>
      <c r="Z1325" s="13" t="n"/>
      <c r="AA1325" s="14" t="n"/>
      <c r="AB1325" s="12" t="n"/>
      <c r="AC1325" s="13" t="n"/>
      <c r="AD1325" s="14" t="n"/>
      <c r="AE1325" s="12" t="n"/>
      <c r="AF1325" s="13" t="n"/>
      <c r="AG1325" s="14" t="n"/>
      <c r="AH1325" s="12" t="n"/>
      <c r="AI1325" s="13" t="n"/>
      <c r="AJ1325" s="14" t="n"/>
      <c r="AK1325" s="12" t="n"/>
      <c r="AL1325" s="13" t="n"/>
      <c r="AM1325" s="14" t="n"/>
      <c r="AN1325" s="12" t="n"/>
      <c r="AO1325" s="13" t="n"/>
      <c r="AP1325" s="14" t="n"/>
      <c r="AQ1325" s="12" t="n"/>
      <c r="AR1325" s="13" t="n"/>
      <c r="AS1325" s="14" t="n"/>
      <c r="AT1325" s="12" t="n"/>
      <c r="AU1325" s="13" t="n"/>
      <c r="AV1325" s="14" t="n"/>
      <c r="AW1325" s="12" t="n"/>
      <c r="AX1325" s="13" t="n"/>
      <c r="AY1325" s="14" t="n"/>
      <c r="AZ1325" s="12" t="n"/>
      <c r="BA1325" s="13" t="n"/>
      <c r="BB1325" s="14" t="n"/>
      <c r="BC1325" s="11">
        <f>IF(O1325="","",IF(J1325="GST 10%",ROUND(O1325*set_GSTRate,2),0))</f>
        <v/>
      </c>
      <c r="BD1325" s="11">
        <f>IF(O1325="","",O1325+BC1325)</f>
        <v/>
      </c>
      <c r="BE1325" s="15">
        <f>IF(O1325="","",COUNTA(S1325,V1325,Y1325,AB1325,AE1325,AH1325,AK1325,AN1325,AQ1325,AT1325,AW1325,AZ1325))</f>
        <v/>
      </c>
      <c r="BF1325" s="16">
        <f>IF(COUNT(T1325,W1325,Z1325,AC1325,AF1325,AI1325,AL1325,AO1325,AR1325,AU1325,AX1325,BA1325)=0,"",MAX(T1325,W1325,Z1325,AC1325,AF1325,AI1325,AL1325,AO1325,AR1325,AU1325,AX1325,BA1325))</f>
        <v/>
      </c>
      <c r="BG1325" s="10">
        <f>MID(IF(S1325="","",", "&amp;S1325)&amp;IF(V1325="","",", "&amp;V1325)&amp;IF(Y1325="","",", "&amp;Y1325)&amp;IF(AB1325="","",", "&amp;AB1325)&amp;IF(AE1325="","",", "&amp;AE1325)&amp;IF(AH1325="","",", "&amp;AH1325)&amp;IF(AK1325="","",", "&amp;AK1325)&amp;IF(AN1325="","",", "&amp;AN1325)&amp;IF(AQ1325="","",", "&amp;AQ1325)&amp;IF(AT1325="","",", "&amp;AT1325)&amp;IF(AW1325="","",", "&amp;AW1325)&amp;IF(AZ1325="","",", "&amp;AZ1325),3,500)</f>
        <v/>
      </c>
      <c r="BH1325" s="12" t="n"/>
      <c r="BI1325" s="15">
        <f>IFERROR(MATCH($A1325,IF($B1325="Onsite",tbl_Onsite[Row ID],IF($B1325="Production",tbl_Production[Row ID],tbl_Consulting[Row ID])),0),"")</f>
        <v/>
      </c>
    </row>
    <row r="1326">
      <c r="A1326" s="10" t="inlineStr">
        <is>
          <t>CON-0320</t>
        </is>
      </c>
      <c r="B1326" s="10" t="inlineStr">
        <is>
          <t>Consulting</t>
        </is>
      </c>
      <c r="C1326" s="10">
        <f>IF($BI1326="","",IF($B1326="Onsite",INDEX(tbl_Onsite[Job Number],$BI1326),IF($B1326="Production",INDEX(tbl_Production[Job Number],$BI1326),INDEX(tbl_Consulting[Job Number],$BI1326)))&amp;"")</f>
        <v/>
      </c>
      <c r="D1326" s="10">
        <f>IF($BI1326="","",IF($B1326="Onsite",INDEX(tbl_Onsite[Client],$BI1326),IF($B1326="Production",INDEX(tbl_Production[Client],$BI1326),INDEX(tbl_Consulting[Client],$BI1326)))&amp;"")</f>
        <v/>
      </c>
      <c r="E1326" s="10">
        <f>IF($C1326="","",IF(COUNTIF(lst_Jobs,$C1326)&gt;0,"OK","CHECK"))</f>
        <v/>
      </c>
      <c r="F1326" s="10">
        <f>IF($C1326="","",IFERROR(INDEX(lst_JobName,MATCH($C1326,lst_Jobs,0)),""))</f>
        <v/>
      </c>
      <c r="G1326" s="10">
        <f>IF($BI1326="","",IF($B1326="Onsite",INDEX(tbl_Onsite[Job Description],$BI1326),IF($B1326="Production",INDEX(tbl_Production[Job Description],$BI1326),INDEX(tbl_Consulting[Job Description],$BI1326)))&amp;"")</f>
        <v/>
      </c>
      <c r="H1326" s="10">
        <f>IF($BI1326="","",IF($B1326="Onsite",INDEX(tbl_Onsite[Cost Centre],$BI1326),IF($B1326="Production",INDEX(tbl_Production[Cost Centre],$BI1326),INDEX(tbl_Consulting[Cost Centre],$BI1326)))&amp;"")</f>
        <v/>
      </c>
      <c r="I1326" s="10">
        <f>IF($BI1326="","",IF($B1326="Onsite",INDEX(tbl_Onsite[Invoice Type],$BI1326),IF($B1326="Production",INDEX(tbl_Production[Invoice Type],$BI1326),INDEX(tbl_Consulting[Invoice Type],$BI1326)))&amp;"")</f>
        <v/>
      </c>
      <c r="J1326" s="10">
        <f>IF($BI1326="","",IF($B1326="Onsite",INDEX(tbl_Onsite[Tax Code],$BI1326),IF($B1326="Production",INDEX(tbl_Production[Tax Code],$BI1326),INDEX(tbl_Consulting[Tax Code],$BI1326)))&amp;"")</f>
        <v/>
      </c>
      <c r="K1326" s="10">
        <f>IF(H1326="","",IFERROR(INDEX(lst_CCtoGL,MATCH(H1326,lst_CCforGL,0)),""))</f>
        <v/>
      </c>
      <c r="L1326" s="10">
        <f>IF($BI1326="","",IF($B1326="Onsite",INDEX(tbl_Onsite[PO / Reference],$BI1326),IF($B1326="Production",INDEX(tbl_Production[Current RMS No],$BI1326),INDEX(tbl_Consulting[Qwilr Quote],$BI1326)))&amp;"")</f>
        <v/>
      </c>
      <c r="M1326" s="10">
        <f>IF($BI1326="","",IF($B1326="Onsite",INDEX(tbl_Onsite[Notes],$BI1326),IF($B1326="Production",INDEX(tbl_Production[Notes],$BI1326),INDEX(tbl_Consulting[Notes],$BI1326)))&amp;"")</f>
        <v/>
      </c>
      <c r="N1326" s="11">
        <f>IF($BI1326="","",IF(IF($B1326="Onsite",INDEX(tbl_Onsite[Expected Revenue Ex GST],$BI1326),IF($B1326="Production",INDEX(tbl_Production[Expected Revenue Ex GST],$BI1326),INDEX(tbl_Consulting[Expected Revenue Ex GST],$BI1326)))="","",IF($B1326="Onsite",INDEX(tbl_Onsite[Expected Revenue Ex GST],$BI1326),IF($B1326="Production",INDEX(tbl_Production[Expected Revenue Ex GST],$BI1326),INDEX(tbl_Consulting[Expected Revenue Ex GST],$BI1326)))))</f>
        <v/>
      </c>
      <c r="O1326" s="11">
        <f>IF(AND($C1326="",NOT(COUNTA($S1326:$BB1326)&gt;0)),"",SUM(U1326,X1326,AA1326,AD1326,AG1326,AJ1326,AM1326,AP1326,AS1326,AV1326,AY1326,BB1326))</f>
        <v/>
      </c>
      <c r="P1326" s="11">
        <f>IF(O1326="","",N(N1326)-O1326)</f>
        <v/>
      </c>
      <c r="Q1326" s="10">
        <f>IF(O1326="","",IF($C1326="","Invoice on empty job row",IF(N1326="",IF(ROUND(O1326,2)=0,"No dept value","Invoiced - no dept value"),IF(ROUND(O1326,2)=0,"Not invoiced - to invoice",IF(ROUND(P1326,2)=0,"Agrees",IF(P1326&gt;0,"Dept higher - to invoice","Xero higher - check dept"))))))</f>
        <v/>
      </c>
      <c r="R1326" s="10">
        <f>IF(AND($C1326="",NOT(COUNTA($S1326:$BB1326)&gt;0),$BI1326&lt;&gt;""),"",MID(IF($BI1326="","; Row ID not found on the department sheet - a row was deleted","")&amp;IF(AND($C1326="",COUNTA($S1326:$BB1326)&gt;0),"; Invoice entered but the department row has no job number","")&amp;IF(E1326="CHECK","; Job number not in the Xero job list","")&amp;IF(AND($C1326&lt;&gt;"",COUNTIF($C$7:$C$1506,$C1326)&gt;1),"; Job number on more than one row","")&amp;IF(AND($C1326&lt;&gt;"",H1326=""),"; Dept has not set a cost centre","")&amp;IF(AND($C1326&lt;&gt;"",J1326=""),"; Dept has not set a tax code","")&amp;IF(AND($C1326&lt;&gt;"",N1326=""),"; Dept has not entered an expected value","")&amp;IF((IF(OR(COUNTA(S1326:U1326)=0,AND(COUNTA(S1326:U1326)=3,ISNUMBER(U1326))),0,1)+IF(OR(COUNTA(V1326:X1326)=0,AND(COUNTA(V1326:X1326)=3,ISNUMBER(X1326))),0,1)+IF(OR(COUNTA(Y1326:AA1326)=0,AND(COUNTA(Y1326:AA1326)=3,ISNUMBER(AA1326))),0,1)+IF(OR(COUNTA(AB1326:AD1326)=0,AND(COUNTA(AB1326:AD1326)=3,ISNUMBER(AD1326))),0,1)+IF(OR(COUNTA(AE1326:AG1326)=0,AND(COUNTA(AE1326:AG1326)=3,ISNUMBER(AG1326))),0,1)+IF(OR(COUNTA(AH1326:AJ1326)=0,AND(COUNTA(AH1326:AJ1326)=3,ISNUMBER(AJ1326))),0,1)+IF(OR(COUNTA(AK1326:AM1326)=0,AND(COUNTA(AK1326:AM1326)=3,ISNUMBER(AM1326))),0,1)+IF(OR(COUNTA(AN1326:AP1326)=0,AND(COUNTA(AN1326:AP1326)=3,ISNUMBER(AP1326))),0,1)+IF(OR(COUNTA(AQ1326:AS1326)=0,AND(COUNTA(AQ1326:AS1326)=3,ISNUMBER(AS1326))),0,1)+IF(OR(COUNTA(AT1326:AV1326)=0,AND(COUNTA(AT1326:AV1326)=3,ISNUMBER(AV1326))),0,1)+IF(OR(COUNTA(AW1326:AY1326)=0,AND(COUNTA(AW1326:AY1326)=3,ISNUMBER(AY1326))),0,1)+IF(OR(COUNTA(AZ1326:BB1326)=0,AND(COUNTA(AZ1326:BB1326)=3,ISNUMBER(BB1326))),0,1))&gt;0,"; An invoice is incomplete (needs No, Date and a number in Ex GST)","")&amp;IF((IF(T1326="",0,IFERROR(--(EOMONTH(T1326,0)&lt;&gt;S$5),1))+IF(W1326="",0,IFERROR(--(EOMONTH(W1326,0)&lt;&gt;V$5),1))+IF(Z1326="",0,IFERROR(--(EOMONTH(Z1326,0)&lt;&gt;Y$5),1))+IF(AC1326="",0,IFERROR(--(EOMONTH(AC1326,0)&lt;&gt;AB$5),1))+IF(AF1326="",0,IFERROR(--(EOMONTH(AF1326,0)&lt;&gt;AE$5),1))+IF(AI1326="",0,IFERROR(--(EOMONTH(AI1326,0)&lt;&gt;AH$5),1))+IF(AL1326="",0,IFERROR(--(EOMONTH(AL1326,0)&lt;&gt;AK$5),1))+IF(AO1326="",0,IFERROR(--(EOMONTH(AO1326,0)&lt;&gt;AN$5),1))+IF(AR1326="",0,IFERROR(--(EOMONTH(AR1326,0)&lt;&gt;AQ$5),1))+IF(AU1326="",0,IFERROR(--(EOMONTH(AU1326,0)&lt;&gt;AT$5),1))+IF(AX1326="",0,IFERROR(--(EOMONTH(AX1326,0)&lt;&gt;AW$5),1))+IF(BA1326="",0,IFERROR(--(EOMONTH(BA1326,0)&lt;&gt;AZ$5),1)))&gt;0,"; An invoice date is not in the month it is typed under",""),3,500))</f>
        <v/>
      </c>
      <c r="S1326" s="12" t="n"/>
      <c r="T1326" s="13" t="n"/>
      <c r="U1326" s="14" t="n"/>
      <c r="V1326" s="12" t="n"/>
      <c r="W1326" s="13" t="n"/>
      <c r="X1326" s="14" t="n"/>
      <c r="Y1326" s="12" t="n"/>
      <c r="Z1326" s="13" t="n"/>
      <c r="AA1326" s="14" t="n"/>
      <c r="AB1326" s="12" t="n"/>
      <c r="AC1326" s="13" t="n"/>
      <c r="AD1326" s="14" t="n"/>
      <c r="AE1326" s="12" t="n"/>
      <c r="AF1326" s="13" t="n"/>
      <c r="AG1326" s="14" t="n"/>
      <c r="AH1326" s="12" t="n"/>
      <c r="AI1326" s="13" t="n"/>
      <c r="AJ1326" s="14" t="n"/>
      <c r="AK1326" s="12" t="n"/>
      <c r="AL1326" s="13" t="n"/>
      <c r="AM1326" s="14" t="n"/>
      <c r="AN1326" s="12" t="n"/>
      <c r="AO1326" s="13" t="n"/>
      <c r="AP1326" s="14" t="n"/>
      <c r="AQ1326" s="12" t="n"/>
      <c r="AR1326" s="13" t="n"/>
      <c r="AS1326" s="14" t="n"/>
      <c r="AT1326" s="12" t="n"/>
      <c r="AU1326" s="13" t="n"/>
      <c r="AV1326" s="14" t="n"/>
      <c r="AW1326" s="12" t="n"/>
      <c r="AX1326" s="13" t="n"/>
      <c r="AY1326" s="14" t="n"/>
      <c r="AZ1326" s="12" t="n"/>
      <c r="BA1326" s="13" t="n"/>
      <c r="BB1326" s="14" t="n"/>
      <c r="BC1326" s="11">
        <f>IF(O1326="","",IF(J1326="GST 10%",ROUND(O1326*set_GSTRate,2),0))</f>
        <v/>
      </c>
      <c r="BD1326" s="11">
        <f>IF(O1326="","",O1326+BC1326)</f>
        <v/>
      </c>
      <c r="BE1326" s="15">
        <f>IF(O1326="","",COUNTA(S1326,V1326,Y1326,AB1326,AE1326,AH1326,AK1326,AN1326,AQ1326,AT1326,AW1326,AZ1326))</f>
        <v/>
      </c>
      <c r="BF1326" s="16">
        <f>IF(COUNT(T1326,W1326,Z1326,AC1326,AF1326,AI1326,AL1326,AO1326,AR1326,AU1326,AX1326,BA1326)=0,"",MAX(T1326,W1326,Z1326,AC1326,AF1326,AI1326,AL1326,AO1326,AR1326,AU1326,AX1326,BA1326))</f>
        <v/>
      </c>
      <c r="BG1326" s="10">
        <f>MID(IF(S1326="","",", "&amp;S1326)&amp;IF(V1326="","",", "&amp;V1326)&amp;IF(Y1326="","",", "&amp;Y1326)&amp;IF(AB1326="","",", "&amp;AB1326)&amp;IF(AE1326="","",", "&amp;AE1326)&amp;IF(AH1326="","",", "&amp;AH1326)&amp;IF(AK1326="","",", "&amp;AK1326)&amp;IF(AN1326="","",", "&amp;AN1326)&amp;IF(AQ1326="","",", "&amp;AQ1326)&amp;IF(AT1326="","",", "&amp;AT1326)&amp;IF(AW1326="","",", "&amp;AW1326)&amp;IF(AZ1326="","",", "&amp;AZ1326),3,500)</f>
        <v/>
      </c>
      <c r="BH1326" s="12" t="n"/>
      <c r="BI1326" s="15">
        <f>IFERROR(MATCH($A1326,IF($B1326="Onsite",tbl_Onsite[Row ID],IF($B1326="Production",tbl_Production[Row ID],tbl_Consulting[Row ID])),0),"")</f>
        <v/>
      </c>
    </row>
    <row r="1327">
      <c r="A1327" s="10" t="inlineStr">
        <is>
          <t>CON-0321</t>
        </is>
      </c>
      <c r="B1327" s="10" t="inlineStr">
        <is>
          <t>Consulting</t>
        </is>
      </c>
      <c r="C1327" s="10">
        <f>IF($BI1327="","",IF($B1327="Onsite",INDEX(tbl_Onsite[Job Number],$BI1327),IF($B1327="Production",INDEX(tbl_Production[Job Number],$BI1327),INDEX(tbl_Consulting[Job Number],$BI1327)))&amp;"")</f>
        <v/>
      </c>
      <c r="D1327" s="10">
        <f>IF($BI1327="","",IF($B1327="Onsite",INDEX(tbl_Onsite[Client],$BI1327),IF($B1327="Production",INDEX(tbl_Production[Client],$BI1327),INDEX(tbl_Consulting[Client],$BI1327)))&amp;"")</f>
        <v/>
      </c>
      <c r="E1327" s="10">
        <f>IF($C1327="","",IF(COUNTIF(lst_Jobs,$C1327)&gt;0,"OK","CHECK"))</f>
        <v/>
      </c>
      <c r="F1327" s="10">
        <f>IF($C1327="","",IFERROR(INDEX(lst_JobName,MATCH($C1327,lst_Jobs,0)),""))</f>
        <v/>
      </c>
      <c r="G1327" s="10">
        <f>IF($BI1327="","",IF($B1327="Onsite",INDEX(tbl_Onsite[Job Description],$BI1327),IF($B1327="Production",INDEX(tbl_Production[Job Description],$BI1327),INDEX(tbl_Consulting[Job Description],$BI1327)))&amp;"")</f>
        <v/>
      </c>
      <c r="H1327" s="10">
        <f>IF($BI1327="","",IF($B1327="Onsite",INDEX(tbl_Onsite[Cost Centre],$BI1327),IF($B1327="Production",INDEX(tbl_Production[Cost Centre],$BI1327),INDEX(tbl_Consulting[Cost Centre],$BI1327)))&amp;"")</f>
        <v/>
      </c>
      <c r="I1327" s="10">
        <f>IF($BI1327="","",IF($B1327="Onsite",INDEX(tbl_Onsite[Invoice Type],$BI1327),IF($B1327="Production",INDEX(tbl_Production[Invoice Type],$BI1327),INDEX(tbl_Consulting[Invoice Type],$BI1327)))&amp;"")</f>
        <v/>
      </c>
      <c r="J1327" s="10">
        <f>IF($BI1327="","",IF($B1327="Onsite",INDEX(tbl_Onsite[Tax Code],$BI1327),IF($B1327="Production",INDEX(tbl_Production[Tax Code],$BI1327),INDEX(tbl_Consulting[Tax Code],$BI1327)))&amp;"")</f>
        <v/>
      </c>
      <c r="K1327" s="10">
        <f>IF(H1327="","",IFERROR(INDEX(lst_CCtoGL,MATCH(H1327,lst_CCforGL,0)),""))</f>
        <v/>
      </c>
      <c r="L1327" s="10">
        <f>IF($BI1327="","",IF($B1327="Onsite",INDEX(tbl_Onsite[PO / Reference],$BI1327),IF($B1327="Production",INDEX(tbl_Production[Current RMS No],$BI1327),INDEX(tbl_Consulting[Qwilr Quote],$BI1327)))&amp;"")</f>
        <v/>
      </c>
      <c r="M1327" s="10">
        <f>IF($BI1327="","",IF($B1327="Onsite",INDEX(tbl_Onsite[Notes],$BI1327),IF($B1327="Production",INDEX(tbl_Production[Notes],$BI1327),INDEX(tbl_Consulting[Notes],$BI1327)))&amp;"")</f>
        <v/>
      </c>
      <c r="N1327" s="11">
        <f>IF($BI1327="","",IF(IF($B1327="Onsite",INDEX(tbl_Onsite[Expected Revenue Ex GST],$BI1327),IF($B1327="Production",INDEX(tbl_Production[Expected Revenue Ex GST],$BI1327),INDEX(tbl_Consulting[Expected Revenue Ex GST],$BI1327)))="","",IF($B1327="Onsite",INDEX(tbl_Onsite[Expected Revenue Ex GST],$BI1327),IF($B1327="Production",INDEX(tbl_Production[Expected Revenue Ex GST],$BI1327),INDEX(tbl_Consulting[Expected Revenue Ex GST],$BI1327)))))</f>
        <v/>
      </c>
      <c r="O1327" s="11">
        <f>IF(AND($C1327="",NOT(COUNTA($S1327:$BB1327)&gt;0)),"",SUM(U1327,X1327,AA1327,AD1327,AG1327,AJ1327,AM1327,AP1327,AS1327,AV1327,AY1327,BB1327))</f>
        <v/>
      </c>
      <c r="P1327" s="11">
        <f>IF(O1327="","",N(N1327)-O1327)</f>
        <v/>
      </c>
      <c r="Q1327" s="10">
        <f>IF(O1327="","",IF($C1327="","Invoice on empty job row",IF(N1327="",IF(ROUND(O1327,2)=0,"No dept value","Invoiced - no dept value"),IF(ROUND(O1327,2)=0,"Not invoiced - to invoice",IF(ROUND(P1327,2)=0,"Agrees",IF(P1327&gt;0,"Dept higher - to invoice","Xero higher - check dept"))))))</f>
        <v/>
      </c>
      <c r="R1327" s="10">
        <f>IF(AND($C1327="",NOT(COUNTA($S1327:$BB1327)&gt;0),$BI1327&lt;&gt;""),"",MID(IF($BI1327="","; Row ID not found on the department sheet - a row was deleted","")&amp;IF(AND($C1327="",COUNTA($S1327:$BB1327)&gt;0),"; Invoice entered but the department row has no job number","")&amp;IF(E1327="CHECK","; Job number not in the Xero job list","")&amp;IF(AND($C1327&lt;&gt;"",COUNTIF($C$7:$C$1506,$C1327)&gt;1),"; Job number on more than one row","")&amp;IF(AND($C1327&lt;&gt;"",H1327=""),"; Dept has not set a cost centre","")&amp;IF(AND($C1327&lt;&gt;"",J1327=""),"; Dept has not set a tax code","")&amp;IF(AND($C1327&lt;&gt;"",N1327=""),"; Dept has not entered an expected value","")&amp;IF((IF(OR(COUNTA(S1327:U1327)=0,AND(COUNTA(S1327:U1327)=3,ISNUMBER(U1327))),0,1)+IF(OR(COUNTA(V1327:X1327)=0,AND(COUNTA(V1327:X1327)=3,ISNUMBER(X1327))),0,1)+IF(OR(COUNTA(Y1327:AA1327)=0,AND(COUNTA(Y1327:AA1327)=3,ISNUMBER(AA1327))),0,1)+IF(OR(COUNTA(AB1327:AD1327)=0,AND(COUNTA(AB1327:AD1327)=3,ISNUMBER(AD1327))),0,1)+IF(OR(COUNTA(AE1327:AG1327)=0,AND(COUNTA(AE1327:AG1327)=3,ISNUMBER(AG1327))),0,1)+IF(OR(COUNTA(AH1327:AJ1327)=0,AND(COUNTA(AH1327:AJ1327)=3,ISNUMBER(AJ1327))),0,1)+IF(OR(COUNTA(AK1327:AM1327)=0,AND(COUNTA(AK1327:AM1327)=3,ISNUMBER(AM1327))),0,1)+IF(OR(COUNTA(AN1327:AP1327)=0,AND(COUNTA(AN1327:AP1327)=3,ISNUMBER(AP1327))),0,1)+IF(OR(COUNTA(AQ1327:AS1327)=0,AND(COUNTA(AQ1327:AS1327)=3,ISNUMBER(AS1327))),0,1)+IF(OR(COUNTA(AT1327:AV1327)=0,AND(COUNTA(AT1327:AV1327)=3,ISNUMBER(AV1327))),0,1)+IF(OR(COUNTA(AW1327:AY1327)=0,AND(COUNTA(AW1327:AY1327)=3,ISNUMBER(AY1327))),0,1)+IF(OR(COUNTA(AZ1327:BB1327)=0,AND(COUNTA(AZ1327:BB1327)=3,ISNUMBER(BB1327))),0,1))&gt;0,"; An invoice is incomplete (needs No, Date and a number in Ex GST)","")&amp;IF((IF(T1327="",0,IFERROR(--(EOMONTH(T1327,0)&lt;&gt;S$5),1))+IF(W1327="",0,IFERROR(--(EOMONTH(W1327,0)&lt;&gt;V$5),1))+IF(Z1327="",0,IFERROR(--(EOMONTH(Z1327,0)&lt;&gt;Y$5),1))+IF(AC1327="",0,IFERROR(--(EOMONTH(AC1327,0)&lt;&gt;AB$5),1))+IF(AF1327="",0,IFERROR(--(EOMONTH(AF1327,0)&lt;&gt;AE$5),1))+IF(AI1327="",0,IFERROR(--(EOMONTH(AI1327,0)&lt;&gt;AH$5),1))+IF(AL1327="",0,IFERROR(--(EOMONTH(AL1327,0)&lt;&gt;AK$5),1))+IF(AO1327="",0,IFERROR(--(EOMONTH(AO1327,0)&lt;&gt;AN$5),1))+IF(AR1327="",0,IFERROR(--(EOMONTH(AR1327,0)&lt;&gt;AQ$5),1))+IF(AU1327="",0,IFERROR(--(EOMONTH(AU1327,0)&lt;&gt;AT$5),1))+IF(AX1327="",0,IFERROR(--(EOMONTH(AX1327,0)&lt;&gt;AW$5),1))+IF(BA1327="",0,IFERROR(--(EOMONTH(BA1327,0)&lt;&gt;AZ$5),1)))&gt;0,"; An invoice date is not in the month it is typed under",""),3,500))</f>
        <v/>
      </c>
      <c r="S1327" s="12" t="n"/>
      <c r="T1327" s="13" t="n"/>
      <c r="U1327" s="14" t="n"/>
      <c r="V1327" s="12" t="n"/>
      <c r="W1327" s="13" t="n"/>
      <c r="X1327" s="14" t="n"/>
      <c r="Y1327" s="12" t="n"/>
      <c r="Z1327" s="13" t="n"/>
      <c r="AA1327" s="14" t="n"/>
      <c r="AB1327" s="12" t="n"/>
      <c r="AC1327" s="13" t="n"/>
      <c r="AD1327" s="14" t="n"/>
      <c r="AE1327" s="12" t="n"/>
      <c r="AF1327" s="13" t="n"/>
      <c r="AG1327" s="14" t="n"/>
      <c r="AH1327" s="12" t="n"/>
      <c r="AI1327" s="13" t="n"/>
      <c r="AJ1327" s="14" t="n"/>
      <c r="AK1327" s="12" t="n"/>
      <c r="AL1327" s="13" t="n"/>
      <c r="AM1327" s="14" t="n"/>
      <c r="AN1327" s="12" t="n"/>
      <c r="AO1327" s="13" t="n"/>
      <c r="AP1327" s="14" t="n"/>
      <c r="AQ1327" s="12" t="n"/>
      <c r="AR1327" s="13" t="n"/>
      <c r="AS1327" s="14" t="n"/>
      <c r="AT1327" s="12" t="n"/>
      <c r="AU1327" s="13" t="n"/>
      <c r="AV1327" s="14" t="n"/>
      <c r="AW1327" s="12" t="n"/>
      <c r="AX1327" s="13" t="n"/>
      <c r="AY1327" s="14" t="n"/>
      <c r="AZ1327" s="12" t="n"/>
      <c r="BA1327" s="13" t="n"/>
      <c r="BB1327" s="14" t="n"/>
      <c r="BC1327" s="11">
        <f>IF(O1327="","",IF(J1327="GST 10%",ROUND(O1327*set_GSTRate,2),0))</f>
        <v/>
      </c>
      <c r="BD1327" s="11">
        <f>IF(O1327="","",O1327+BC1327)</f>
        <v/>
      </c>
      <c r="BE1327" s="15">
        <f>IF(O1327="","",COUNTA(S1327,V1327,Y1327,AB1327,AE1327,AH1327,AK1327,AN1327,AQ1327,AT1327,AW1327,AZ1327))</f>
        <v/>
      </c>
      <c r="BF1327" s="16">
        <f>IF(COUNT(T1327,W1327,Z1327,AC1327,AF1327,AI1327,AL1327,AO1327,AR1327,AU1327,AX1327,BA1327)=0,"",MAX(T1327,W1327,Z1327,AC1327,AF1327,AI1327,AL1327,AO1327,AR1327,AU1327,AX1327,BA1327))</f>
        <v/>
      </c>
      <c r="BG1327" s="10">
        <f>MID(IF(S1327="","",", "&amp;S1327)&amp;IF(V1327="","",", "&amp;V1327)&amp;IF(Y1327="","",", "&amp;Y1327)&amp;IF(AB1327="","",", "&amp;AB1327)&amp;IF(AE1327="","",", "&amp;AE1327)&amp;IF(AH1327="","",", "&amp;AH1327)&amp;IF(AK1327="","",", "&amp;AK1327)&amp;IF(AN1327="","",", "&amp;AN1327)&amp;IF(AQ1327="","",", "&amp;AQ1327)&amp;IF(AT1327="","",", "&amp;AT1327)&amp;IF(AW1327="","",", "&amp;AW1327)&amp;IF(AZ1327="","",", "&amp;AZ1327),3,500)</f>
        <v/>
      </c>
      <c r="BH1327" s="12" t="n"/>
      <c r="BI1327" s="15">
        <f>IFERROR(MATCH($A1327,IF($B1327="Onsite",tbl_Onsite[Row ID],IF($B1327="Production",tbl_Production[Row ID],tbl_Consulting[Row ID])),0),"")</f>
        <v/>
      </c>
    </row>
    <row r="1328">
      <c r="A1328" s="10" t="inlineStr">
        <is>
          <t>CON-0322</t>
        </is>
      </c>
      <c r="B1328" s="10" t="inlineStr">
        <is>
          <t>Consulting</t>
        </is>
      </c>
      <c r="C1328" s="10">
        <f>IF($BI1328="","",IF($B1328="Onsite",INDEX(tbl_Onsite[Job Number],$BI1328),IF($B1328="Production",INDEX(tbl_Production[Job Number],$BI1328),INDEX(tbl_Consulting[Job Number],$BI1328)))&amp;"")</f>
        <v/>
      </c>
      <c r="D1328" s="10">
        <f>IF($BI1328="","",IF($B1328="Onsite",INDEX(tbl_Onsite[Client],$BI1328),IF($B1328="Production",INDEX(tbl_Production[Client],$BI1328),INDEX(tbl_Consulting[Client],$BI1328)))&amp;"")</f>
        <v/>
      </c>
      <c r="E1328" s="10">
        <f>IF($C1328="","",IF(COUNTIF(lst_Jobs,$C1328)&gt;0,"OK","CHECK"))</f>
        <v/>
      </c>
      <c r="F1328" s="10">
        <f>IF($C1328="","",IFERROR(INDEX(lst_JobName,MATCH($C1328,lst_Jobs,0)),""))</f>
        <v/>
      </c>
      <c r="G1328" s="10">
        <f>IF($BI1328="","",IF($B1328="Onsite",INDEX(tbl_Onsite[Job Description],$BI1328),IF($B1328="Production",INDEX(tbl_Production[Job Description],$BI1328),INDEX(tbl_Consulting[Job Description],$BI1328)))&amp;"")</f>
        <v/>
      </c>
      <c r="H1328" s="10">
        <f>IF($BI1328="","",IF($B1328="Onsite",INDEX(tbl_Onsite[Cost Centre],$BI1328),IF($B1328="Production",INDEX(tbl_Production[Cost Centre],$BI1328),INDEX(tbl_Consulting[Cost Centre],$BI1328)))&amp;"")</f>
        <v/>
      </c>
      <c r="I1328" s="10">
        <f>IF($BI1328="","",IF($B1328="Onsite",INDEX(tbl_Onsite[Invoice Type],$BI1328),IF($B1328="Production",INDEX(tbl_Production[Invoice Type],$BI1328),INDEX(tbl_Consulting[Invoice Type],$BI1328)))&amp;"")</f>
        <v/>
      </c>
      <c r="J1328" s="10">
        <f>IF($BI1328="","",IF($B1328="Onsite",INDEX(tbl_Onsite[Tax Code],$BI1328),IF($B1328="Production",INDEX(tbl_Production[Tax Code],$BI1328),INDEX(tbl_Consulting[Tax Code],$BI1328)))&amp;"")</f>
        <v/>
      </c>
      <c r="K1328" s="10">
        <f>IF(H1328="","",IFERROR(INDEX(lst_CCtoGL,MATCH(H1328,lst_CCforGL,0)),""))</f>
        <v/>
      </c>
      <c r="L1328" s="10">
        <f>IF($BI1328="","",IF($B1328="Onsite",INDEX(tbl_Onsite[PO / Reference],$BI1328),IF($B1328="Production",INDEX(tbl_Production[Current RMS No],$BI1328),INDEX(tbl_Consulting[Qwilr Quote],$BI1328)))&amp;"")</f>
        <v/>
      </c>
      <c r="M1328" s="10">
        <f>IF($BI1328="","",IF($B1328="Onsite",INDEX(tbl_Onsite[Notes],$BI1328),IF($B1328="Production",INDEX(tbl_Production[Notes],$BI1328),INDEX(tbl_Consulting[Notes],$BI1328)))&amp;"")</f>
        <v/>
      </c>
      <c r="N1328" s="11">
        <f>IF($BI1328="","",IF(IF($B1328="Onsite",INDEX(tbl_Onsite[Expected Revenue Ex GST],$BI1328),IF($B1328="Production",INDEX(tbl_Production[Expected Revenue Ex GST],$BI1328),INDEX(tbl_Consulting[Expected Revenue Ex GST],$BI1328)))="","",IF($B1328="Onsite",INDEX(tbl_Onsite[Expected Revenue Ex GST],$BI1328),IF($B1328="Production",INDEX(tbl_Production[Expected Revenue Ex GST],$BI1328),INDEX(tbl_Consulting[Expected Revenue Ex GST],$BI1328)))))</f>
        <v/>
      </c>
      <c r="O1328" s="11">
        <f>IF(AND($C1328="",NOT(COUNTA($S1328:$BB1328)&gt;0)),"",SUM(U1328,X1328,AA1328,AD1328,AG1328,AJ1328,AM1328,AP1328,AS1328,AV1328,AY1328,BB1328))</f>
        <v/>
      </c>
      <c r="P1328" s="11">
        <f>IF(O1328="","",N(N1328)-O1328)</f>
        <v/>
      </c>
      <c r="Q1328" s="10">
        <f>IF(O1328="","",IF($C1328="","Invoice on empty job row",IF(N1328="",IF(ROUND(O1328,2)=0,"No dept value","Invoiced - no dept value"),IF(ROUND(O1328,2)=0,"Not invoiced - to invoice",IF(ROUND(P1328,2)=0,"Agrees",IF(P1328&gt;0,"Dept higher - to invoice","Xero higher - check dept"))))))</f>
        <v/>
      </c>
      <c r="R1328" s="10">
        <f>IF(AND($C1328="",NOT(COUNTA($S1328:$BB1328)&gt;0),$BI1328&lt;&gt;""),"",MID(IF($BI1328="","; Row ID not found on the department sheet - a row was deleted","")&amp;IF(AND($C1328="",COUNTA($S1328:$BB1328)&gt;0),"; Invoice entered but the department row has no job number","")&amp;IF(E1328="CHECK","; Job number not in the Xero job list","")&amp;IF(AND($C1328&lt;&gt;"",COUNTIF($C$7:$C$1506,$C1328)&gt;1),"; Job number on more than one row","")&amp;IF(AND($C1328&lt;&gt;"",H1328=""),"; Dept has not set a cost centre","")&amp;IF(AND($C1328&lt;&gt;"",J1328=""),"; Dept has not set a tax code","")&amp;IF(AND($C1328&lt;&gt;"",N1328=""),"; Dept has not entered an expected value","")&amp;IF((IF(OR(COUNTA(S1328:U1328)=0,AND(COUNTA(S1328:U1328)=3,ISNUMBER(U1328))),0,1)+IF(OR(COUNTA(V1328:X1328)=0,AND(COUNTA(V1328:X1328)=3,ISNUMBER(X1328))),0,1)+IF(OR(COUNTA(Y1328:AA1328)=0,AND(COUNTA(Y1328:AA1328)=3,ISNUMBER(AA1328))),0,1)+IF(OR(COUNTA(AB1328:AD1328)=0,AND(COUNTA(AB1328:AD1328)=3,ISNUMBER(AD1328))),0,1)+IF(OR(COUNTA(AE1328:AG1328)=0,AND(COUNTA(AE1328:AG1328)=3,ISNUMBER(AG1328))),0,1)+IF(OR(COUNTA(AH1328:AJ1328)=0,AND(COUNTA(AH1328:AJ1328)=3,ISNUMBER(AJ1328))),0,1)+IF(OR(COUNTA(AK1328:AM1328)=0,AND(COUNTA(AK1328:AM1328)=3,ISNUMBER(AM1328))),0,1)+IF(OR(COUNTA(AN1328:AP1328)=0,AND(COUNTA(AN1328:AP1328)=3,ISNUMBER(AP1328))),0,1)+IF(OR(COUNTA(AQ1328:AS1328)=0,AND(COUNTA(AQ1328:AS1328)=3,ISNUMBER(AS1328))),0,1)+IF(OR(COUNTA(AT1328:AV1328)=0,AND(COUNTA(AT1328:AV1328)=3,ISNUMBER(AV1328))),0,1)+IF(OR(COUNTA(AW1328:AY1328)=0,AND(COUNTA(AW1328:AY1328)=3,ISNUMBER(AY1328))),0,1)+IF(OR(COUNTA(AZ1328:BB1328)=0,AND(COUNTA(AZ1328:BB1328)=3,ISNUMBER(BB1328))),0,1))&gt;0,"; An invoice is incomplete (needs No, Date and a number in Ex GST)","")&amp;IF((IF(T1328="",0,IFERROR(--(EOMONTH(T1328,0)&lt;&gt;S$5),1))+IF(W1328="",0,IFERROR(--(EOMONTH(W1328,0)&lt;&gt;V$5),1))+IF(Z1328="",0,IFERROR(--(EOMONTH(Z1328,0)&lt;&gt;Y$5),1))+IF(AC1328="",0,IFERROR(--(EOMONTH(AC1328,0)&lt;&gt;AB$5),1))+IF(AF1328="",0,IFERROR(--(EOMONTH(AF1328,0)&lt;&gt;AE$5),1))+IF(AI1328="",0,IFERROR(--(EOMONTH(AI1328,0)&lt;&gt;AH$5),1))+IF(AL1328="",0,IFERROR(--(EOMONTH(AL1328,0)&lt;&gt;AK$5),1))+IF(AO1328="",0,IFERROR(--(EOMONTH(AO1328,0)&lt;&gt;AN$5),1))+IF(AR1328="",0,IFERROR(--(EOMONTH(AR1328,0)&lt;&gt;AQ$5),1))+IF(AU1328="",0,IFERROR(--(EOMONTH(AU1328,0)&lt;&gt;AT$5),1))+IF(AX1328="",0,IFERROR(--(EOMONTH(AX1328,0)&lt;&gt;AW$5),1))+IF(BA1328="",0,IFERROR(--(EOMONTH(BA1328,0)&lt;&gt;AZ$5),1)))&gt;0,"; An invoice date is not in the month it is typed under",""),3,500))</f>
        <v/>
      </c>
      <c r="S1328" s="12" t="n"/>
      <c r="T1328" s="13" t="n"/>
      <c r="U1328" s="14" t="n"/>
      <c r="V1328" s="12" t="n"/>
      <c r="W1328" s="13" t="n"/>
      <c r="X1328" s="14" t="n"/>
      <c r="Y1328" s="12" t="n"/>
      <c r="Z1328" s="13" t="n"/>
      <c r="AA1328" s="14" t="n"/>
      <c r="AB1328" s="12" t="n"/>
      <c r="AC1328" s="13" t="n"/>
      <c r="AD1328" s="14" t="n"/>
      <c r="AE1328" s="12" t="n"/>
      <c r="AF1328" s="13" t="n"/>
      <c r="AG1328" s="14" t="n"/>
      <c r="AH1328" s="12" t="n"/>
      <c r="AI1328" s="13" t="n"/>
      <c r="AJ1328" s="14" t="n"/>
      <c r="AK1328" s="12" t="n"/>
      <c r="AL1328" s="13" t="n"/>
      <c r="AM1328" s="14" t="n"/>
      <c r="AN1328" s="12" t="n"/>
      <c r="AO1328" s="13" t="n"/>
      <c r="AP1328" s="14" t="n"/>
      <c r="AQ1328" s="12" t="n"/>
      <c r="AR1328" s="13" t="n"/>
      <c r="AS1328" s="14" t="n"/>
      <c r="AT1328" s="12" t="n"/>
      <c r="AU1328" s="13" t="n"/>
      <c r="AV1328" s="14" t="n"/>
      <c r="AW1328" s="12" t="n"/>
      <c r="AX1328" s="13" t="n"/>
      <c r="AY1328" s="14" t="n"/>
      <c r="AZ1328" s="12" t="n"/>
      <c r="BA1328" s="13" t="n"/>
      <c r="BB1328" s="14" t="n"/>
      <c r="BC1328" s="11">
        <f>IF(O1328="","",IF(J1328="GST 10%",ROUND(O1328*set_GSTRate,2),0))</f>
        <v/>
      </c>
      <c r="BD1328" s="11">
        <f>IF(O1328="","",O1328+BC1328)</f>
        <v/>
      </c>
      <c r="BE1328" s="15">
        <f>IF(O1328="","",COUNTA(S1328,V1328,Y1328,AB1328,AE1328,AH1328,AK1328,AN1328,AQ1328,AT1328,AW1328,AZ1328))</f>
        <v/>
      </c>
      <c r="BF1328" s="16">
        <f>IF(COUNT(T1328,W1328,Z1328,AC1328,AF1328,AI1328,AL1328,AO1328,AR1328,AU1328,AX1328,BA1328)=0,"",MAX(T1328,W1328,Z1328,AC1328,AF1328,AI1328,AL1328,AO1328,AR1328,AU1328,AX1328,BA1328))</f>
        <v/>
      </c>
      <c r="BG1328" s="10">
        <f>MID(IF(S1328="","",", "&amp;S1328)&amp;IF(V1328="","",", "&amp;V1328)&amp;IF(Y1328="","",", "&amp;Y1328)&amp;IF(AB1328="","",", "&amp;AB1328)&amp;IF(AE1328="","",", "&amp;AE1328)&amp;IF(AH1328="","",", "&amp;AH1328)&amp;IF(AK1328="","",", "&amp;AK1328)&amp;IF(AN1328="","",", "&amp;AN1328)&amp;IF(AQ1328="","",", "&amp;AQ1328)&amp;IF(AT1328="","",", "&amp;AT1328)&amp;IF(AW1328="","",", "&amp;AW1328)&amp;IF(AZ1328="","",", "&amp;AZ1328),3,500)</f>
        <v/>
      </c>
      <c r="BH1328" s="12" t="n"/>
      <c r="BI1328" s="15">
        <f>IFERROR(MATCH($A1328,IF($B1328="Onsite",tbl_Onsite[Row ID],IF($B1328="Production",tbl_Production[Row ID],tbl_Consulting[Row ID])),0),"")</f>
        <v/>
      </c>
    </row>
    <row r="1329">
      <c r="A1329" s="10" t="inlineStr">
        <is>
          <t>CON-0323</t>
        </is>
      </c>
      <c r="B1329" s="10" t="inlineStr">
        <is>
          <t>Consulting</t>
        </is>
      </c>
      <c r="C1329" s="10">
        <f>IF($BI1329="","",IF($B1329="Onsite",INDEX(tbl_Onsite[Job Number],$BI1329),IF($B1329="Production",INDEX(tbl_Production[Job Number],$BI1329),INDEX(tbl_Consulting[Job Number],$BI1329)))&amp;"")</f>
        <v/>
      </c>
      <c r="D1329" s="10">
        <f>IF($BI1329="","",IF($B1329="Onsite",INDEX(tbl_Onsite[Client],$BI1329),IF($B1329="Production",INDEX(tbl_Production[Client],$BI1329),INDEX(tbl_Consulting[Client],$BI1329)))&amp;"")</f>
        <v/>
      </c>
      <c r="E1329" s="10">
        <f>IF($C1329="","",IF(COUNTIF(lst_Jobs,$C1329)&gt;0,"OK","CHECK"))</f>
        <v/>
      </c>
      <c r="F1329" s="10">
        <f>IF($C1329="","",IFERROR(INDEX(lst_JobName,MATCH($C1329,lst_Jobs,0)),""))</f>
        <v/>
      </c>
      <c r="G1329" s="10">
        <f>IF($BI1329="","",IF($B1329="Onsite",INDEX(tbl_Onsite[Job Description],$BI1329),IF($B1329="Production",INDEX(tbl_Production[Job Description],$BI1329),INDEX(tbl_Consulting[Job Description],$BI1329)))&amp;"")</f>
        <v/>
      </c>
      <c r="H1329" s="10">
        <f>IF($BI1329="","",IF($B1329="Onsite",INDEX(tbl_Onsite[Cost Centre],$BI1329),IF($B1329="Production",INDEX(tbl_Production[Cost Centre],$BI1329),INDEX(tbl_Consulting[Cost Centre],$BI1329)))&amp;"")</f>
        <v/>
      </c>
      <c r="I1329" s="10">
        <f>IF($BI1329="","",IF($B1329="Onsite",INDEX(tbl_Onsite[Invoice Type],$BI1329),IF($B1329="Production",INDEX(tbl_Production[Invoice Type],$BI1329),INDEX(tbl_Consulting[Invoice Type],$BI1329)))&amp;"")</f>
        <v/>
      </c>
      <c r="J1329" s="10">
        <f>IF($BI1329="","",IF($B1329="Onsite",INDEX(tbl_Onsite[Tax Code],$BI1329),IF($B1329="Production",INDEX(tbl_Production[Tax Code],$BI1329),INDEX(tbl_Consulting[Tax Code],$BI1329)))&amp;"")</f>
        <v/>
      </c>
      <c r="K1329" s="10">
        <f>IF(H1329="","",IFERROR(INDEX(lst_CCtoGL,MATCH(H1329,lst_CCforGL,0)),""))</f>
        <v/>
      </c>
      <c r="L1329" s="10">
        <f>IF($BI1329="","",IF($B1329="Onsite",INDEX(tbl_Onsite[PO / Reference],$BI1329),IF($B1329="Production",INDEX(tbl_Production[Current RMS No],$BI1329),INDEX(tbl_Consulting[Qwilr Quote],$BI1329)))&amp;"")</f>
        <v/>
      </c>
      <c r="M1329" s="10">
        <f>IF($BI1329="","",IF($B1329="Onsite",INDEX(tbl_Onsite[Notes],$BI1329),IF($B1329="Production",INDEX(tbl_Production[Notes],$BI1329),INDEX(tbl_Consulting[Notes],$BI1329)))&amp;"")</f>
        <v/>
      </c>
      <c r="N1329" s="11">
        <f>IF($BI1329="","",IF(IF($B1329="Onsite",INDEX(tbl_Onsite[Expected Revenue Ex GST],$BI1329),IF($B1329="Production",INDEX(tbl_Production[Expected Revenue Ex GST],$BI1329),INDEX(tbl_Consulting[Expected Revenue Ex GST],$BI1329)))="","",IF($B1329="Onsite",INDEX(tbl_Onsite[Expected Revenue Ex GST],$BI1329),IF($B1329="Production",INDEX(tbl_Production[Expected Revenue Ex GST],$BI1329),INDEX(tbl_Consulting[Expected Revenue Ex GST],$BI1329)))))</f>
        <v/>
      </c>
      <c r="O1329" s="11">
        <f>IF(AND($C1329="",NOT(COUNTA($S1329:$BB1329)&gt;0)),"",SUM(U1329,X1329,AA1329,AD1329,AG1329,AJ1329,AM1329,AP1329,AS1329,AV1329,AY1329,BB1329))</f>
        <v/>
      </c>
      <c r="P1329" s="11">
        <f>IF(O1329="","",N(N1329)-O1329)</f>
        <v/>
      </c>
      <c r="Q1329" s="10">
        <f>IF(O1329="","",IF($C1329="","Invoice on empty job row",IF(N1329="",IF(ROUND(O1329,2)=0,"No dept value","Invoiced - no dept value"),IF(ROUND(O1329,2)=0,"Not invoiced - to invoice",IF(ROUND(P1329,2)=0,"Agrees",IF(P1329&gt;0,"Dept higher - to invoice","Xero higher - check dept"))))))</f>
        <v/>
      </c>
      <c r="R1329" s="10">
        <f>IF(AND($C1329="",NOT(COUNTA($S1329:$BB1329)&gt;0),$BI1329&lt;&gt;""),"",MID(IF($BI1329="","; Row ID not found on the department sheet - a row was deleted","")&amp;IF(AND($C1329="",COUNTA($S1329:$BB1329)&gt;0),"; Invoice entered but the department row has no job number","")&amp;IF(E1329="CHECK","; Job number not in the Xero job list","")&amp;IF(AND($C1329&lt;&gt;"",COUNTIF($C$7:$C$1506,$C1329)&gt;1),"; Job number on more than one row","")&amp;IF(AND($C1329&lt;&gt;"",H1329=""),"; Dept has not set a cost centre","")&amp;IF(AND($C1329&lt;&gt;"",J1329=""),"; Dept has not set a tax code","")&amp;IF(AND($C1329&lt;&gt;"",N1329=""),"; Dept has not entered an expected value","")&amp;IF((IF(OR(COUNTA(S1329:U1329)=0,AND(COUNTA(S1329:U1329)=3,ISNUMBER(U1329))),0,1)+IF(OR(COUNTA(V1329:X1329)=0,AND(COUNTA(V1329:X1329)=3,ISNUMBER(X1329))),0,1)+IF(OR(COUNTA(Y1329:AA1329)=0,AND(COUNTA(Y1329:AA1329)=3,ISNUMBER(AA1329))),0,1)+IF(OR(COUNTA(AB1329:AD1329)=0,AND(COUNTA(AB1329:AD1329)=3,ISNUMBER(AD1329))),0,1)+IF(OR(COUNTA(AE1329:AG1329)=0,AND(COUNTA(AE1329:AG1329)=3,ISNUMBER(AG1329))),0,1)+IF(OR(COUNTA(AH1329:AJ1329)=0,AND(COUNTA(AH1329:AJ1329)=3,ISNUMBER(AJ1329))),0,1)+IF(OR(COUNTA(AK1329:AM1329)=0,AND(COUNTA(AK1329:AM1329)=3,ISNUMBER(AM1329))),0,1)+IF(OR(COUNTA(AN1329:AP1329)=0,AND(COUNTA(AN1329:AP1329)=3,ISNUMBER(AP1329))),0,1)+IF(OR(COUNTA(AQ1329:AS1329)=0,AND(COUNTA(AQ1329:AS1329)=3,ISNUMBER(AS1329))),0,1)+IF(OR(COUNTA(AT1329:AV1329)=0,AND(COUNTA(AT1329:AV1329)=3,ISNUMBER(AV1329))),0,1)+IF(OR(COUNTA(AW1329:AY1329)=0,AND(COUNTA(AW1329:AY1329)=3,ISNUMBER(AY1329))),0,1)+IF(OR(COUNTA(AZ1329:BB1329)=0,AND(COUNTA(AZ1329:BB1329)=3,ISNUMBER(BB1329))),0,1))&gt;0,"; An invoice is incomplete (needs No, Date and a number in Ex GST)","")&amp;IF((IF(T1329="",0,IFERROR(--(EOMONTH(T1329,0)&lt;&gt;S$5),1))+IF(W1329="",0,IFERROR(--(EOMONTH(W1329,0)&lt;&gt;V$5),1))+IF(Z1329="",0,IFERROR(--(EOMONTH(Z1329,0)&lt;&gt;Y$5),1))+IF(AC1329="",0,IFERROR(--(EOMONTH(AC1329,0)&lt;&gt;AB$5),1))+IF(AF1329="",0,IFERROR(--(EOMONTH(AF1329,0)&lt;&gt;AE$5),1))+IF(AI1329="",0,IFERROR(--(EOMONTH(AI1329,0)&lt;&gt;AH$5),1))+IF(AL1329="",0,IFERROR(--(EOMONTH(AL1329,0)&lt;&gt;AK$5),1))+IF(AO1329="",0,IFERROR(--(EOMONTH(AO1329,0)&lt;&gt;AN$5),1))+IF(AR1329="",0,IFERROR(--(EOMONTH(AR1329,0)&lt;&gt;AQ$5),1))+IF(AU1329="",0,IFERROR(--(EOMONTH(AU1329,0)&lt;&gt;AT$5),1))+IF(AX1329="",0,IFERROR(--(EOMONTH(AX1329,0)&lt;&gt;AW$5),1))+IF(BA1329="",0,IFERROR(--(EOMONTH(BA1329,0)&lt;&gt;AZ$5),1)))&gt;0,"; An invoice date is not in the month it is typed under",""),3,500))</f>
        <v/>
      </c>
      <c r="S1329" s="12" t="n"/>
      <c r="T1329" s="13" t="n"/>
      <c r="U1329" s="14" t="n"/>
      <c r="V1329" s="12" t="n"/>
      <c r="W1329" s="13" t="n"/>
      <c r="X1329" s="14" t="n"/>
      <c r="Y1329" s="12" t="n"/>
      <c r="Z1329" s="13" t="n"/>
      <c r="AA1329" s="14" t="n"/>
      <c r="AB1329" s="12" t="n"/>
      <c r="AC1329" s="13" t="n"/>
      <c r="AD1329" s="14" t="n"/>
      <c r="AE1329" s="12" t="n"/>
      <c r="AF1329" s="13" t="n"/>
      <c r="AG1329" s="14" t="n"/>
      <c r="AH1329" s="12" t="n"/>
      <c r="AI1329" s="13" t="n"/>
      <c r="AJ1329" s="14" t="n"/>
      <c r="AK1329" s="12" t="n"/>
      <c r="AL1329" s="13" t="n"/>
      <c r="AM1329" s="14" t="n"/>
      <c r="AN1329" s="12" t="n"/>
      <c r="AO1329" s="13" t="n"/>
      <c r="AP1329" s="14" t="n"/>
      <c r="AQ1329" s="12" t="n"/>
      <c r="AR1329" s="13" t="n"/>
      <c r="AS1329" s="14" t="n"/>
      <c r="AT1329" s="12" t="n"/>
      <c r="AU1329" s="13" t="n"/>
      <c r="AV1329" s="14" t="n"/>
      <c r="AW1329" s="12" t="n"/>
      <c r="AX1329" s="13" t="n"/>
      <c r="AY1329" s="14" t="n"/>
      <c r="AZ1329" s="12" t="n"/>
      <c r="BA1329" s="13" t="n"/>
      <c r="BB1329" s="14" t="n"/>
      <c r="BC1329" s="11">
        <f>IF(O1329="","",IF(J1329="GST 10%",ROUND(O1329*set_GSTRate,2),0))</f>
        <v/>
      </c>
      <c r="BD1329" s="11">
        <f>IF(O1329="","",O1329+BC1329)</f>
        <v/>
      </c>
      <c r="BE1329" s="15">
        <f>IF(O1329="","",COUNTA(S1329,V1329,Y1329,AB1329,AE1329,AH1329,AK1329,AN1329,AQ1329,AT1329,AW1329,AZ1329))</f>
        <v/>
      </c>
      <c r="BF1329" s="16">
        <f>IF(COUNT(T1329,W1329,Z1329,AC1329,AF1329,AI1329,AL1329,AO1329,AR1329,AU1329,AX1329,BA1329)=0,"",MAX(T1329,W1329,Z1329,AC1329,AF1329,AI1329,AL1329,AO1329,AR1329,AU1329,AX1329,BA1329))</f>
        <v/>
      </c>
      <c r="BG1329" s="10">
        <f>MID(IF(S1329="","",", "&amp;S1329)&amp;IF(V1329="","",", "&amp;V1329)&amp;IF(Y1329="","",", "&amp;Y1329)&amp;IF(AB1329="","",", "&amp;AB1329)&amp;IF(AE1329="","",", "&amp;AE1329)&amp;IF(AH1329="","",", "&amp;AH1329)&amp;IF(AK1329="","",", "&amp;AK1329)&amp;IF(AN1329="","",", "&amp;AN1329)&amp;IF(AQ1329="","",", "&amp;AQ1329)&amp;IF(AT1329="","",", "&amp;AT1329)&amp;IF(AW1329="","",", "&amp;AW1329)&amp;IF(AZ1329="","",", "&amp;AZ1329),3,500)</f>
        <v/>
      </c>
      <c r="BH1329" s="12" t="n"/>
      <c r="BI1329" s="15">
        <f>IFERROR(MATCH($A1329,IF($B1329="Onsite",tbl_Onsite[Row ID],IF($B1329="Production",tbl_Production[Row ID],tbl_Consulting[Row ID])),0),"")</f>
        <v/>
      </c>
    </row>
    <row r="1330">
      <c r="A1330" s="10" t="inlineStr">
        <is>
          <t>CON-0324</t>
        </is>
      </c>
      <c r="B1330" s="10" t="inlineStr">
        <is>
          <t>Consulting</t>
        </is>
      </c>
      <c r="C1330" s="10">
        <f>IF($BI1330="","",IF($B1330="Onsite",INDEX(tbl_Onsite[Job Number],$BI1330),IF($B1330="Production",INDEX(tbl_Production[Job Number],$BI1330),INDEX(tbl_Consulting[Job Number],$BI1330)))&amp;"")</f>
        <v/>
      </c>
      <c r="D1330" s="10">
        <f>IF($BI1330="","",IF($B1330="Onsite",INDEX(tbl_Onsite[Client],$BI1330),IF($B1330="Production",INDEX(tbl_Production[Client],$BI1330),INDEX(tbl_Consulting[Client],$BI1330)))&amp;"")</f>
        <v/>
      </c>
      <c r="E1330" s="10">
        <f>IF($C1330="","",IF(COUNTIF(lst_Jobs,$C1330)&gt;0,"OK","CHECK"))</f>
        <v/>
      </c>
      <c r="F1330" s="10">
        <f>IF($C1330="","",IFERROR(INDEX(lst_JobName,MATCH($C1330,lst_Jobs,0)),""))</f>
        <v/>
      </c>
      <c r="G1330" s="10">
        <f>IF($BI1330="","",IF($B1330="Onsite",INDEX(tbl_Onsite[Job Description],$BI1330),IF($B1330="Production",INDEX(tbl_Production[Job Description],$BI1330),INDEX(tbl_Consulting[Job Description],$BI1330)))&amp;"")</f>
        <v/>
      </c>
      <c r="H1330" s="10">
        <f>IF($BI1330="","",IF($B1330="Onsite",INDEX(tbl_Onsite[Cost Centre],$BI1330),IF($B1330="Production",INDEX(tbl_Production[Cost Centre],$BI1330),INDEX(tbl_Consulting[Cost Centre],$BI1330)))&amp;"")</f>
        <v/>
      </c>
      <c r="I1330" s="10">
        <f>IF($BI1330="","",IF($B1330="Onsite",INDEX(tbl_Onsite[Invoice Type],$BI1330),IF($B1330="Production",INDEX(tbl_Production[Invoice Type],$BI1330),INDEX(tbl_Consulting[Invoice Type],$BI1330)))&amp;"")</f>
        <v/>
      </c>
      <c r="J1330" s="10">
        <f>IF($BI1330="","",IF($B1330="Onsite",INDEX(tbl_Onsite[Tax Code],$BI1330),IF($B1330="Production",INDEX(tbl_Production[Tax Code],$BI1330),INDEX(tbl_Consulting[Tax Code],$BI1330)))&amp;"")</f>
        <v/>
      </c>
      <c r="K1330" s="10">
        <f>IF(H1330="","",IFERROR(INDEX(lst_CCtoGL,MATCH(H1330,lst_CCforGL,0)),""))</f>
        <v/>
      </c>
      <c r="L1330" s="10">
        <f>IF($BI1330="","",IF($B1330="Onsite",INDEX(tbl_Onsite[PO / Reference],$BI1330),IF($B1330="Production",INDEX(tbl_Production[Current RMS No],$BI1330),INDEX(tbl_Consulting[Qwilr Quote],$BI1330)))&amp;"")</f>
        <v/>
      </c>
      <c r="M1330" s="10">
        <f>IF($BI1330="","",IF($B1330="Onsite",INDEX(tbl_Onsite[Notes],$BI1330),IF($B1330="Production",INDEX(tbl_Production[Notes],$BI1330),INDEX(tbl_Consulting[Notes],$BI1330)))&amp;"")</f>
        <v/>
      </c>
      <c r="N1330" s="11">
        <f>IF($BI1330="","",IF(IF($B1330="Onsite",INDEX(tbl_Onsite[Expected Revenue Ex GST],$BI1330),IF($B1330="Production",INDEX(tbl_Production[Expected Revenue Ex GST],$BI1330),INDEX(tbl_Consulting[Expected Revenue Ex GST],$BI1330)))="","",IF($B1330="Onsite",INDEX(tbl_Onsite[Expected Revenue Ex GST],$BI1330),IF($B1330="Production",INDEX(tbl_Production[Expected Revenue Ex GST],$BI1330),INDEX(tbl_Consulting[Expected Revenue Ex GST],$BI1330)))))</f>
        <v/>
      </c>
      <c r="O1330" s="11">
        <f>IF(AND($C1330="",NOT(COUNTA($S1330:$BB1330)&gt;0)),"",SUM(U1330,X1330,AA1330,AD1330,AG1330,AJ1330,AM1330,AP1330,AS1330,AV1330,AY1330,BB1330))</f>
        <v/>
      </c>
      <c r="P1330" s="11">
        <f>IF(O1330="","",N(N1330)-O1330)</f>
        <v/>
      </c>
      <c r="Q1330" s="10">
        <f>IF(O1330="","",IF($C1330="","Invoice on empty job row",IF(N1330="",IF(ROUND(O1330,2)=0,"No dept value","Invoiced - no dept value"),IF(ROUND(O1330,2)=0,"Not invoiced - to invoice",IF(ROUND(P1330,2)=0,"Agrees",IF(P1330&gt;0,"Dept higher - to invoice","Xero higher - check dept"))))))</f>
        <v/>
      </c>
      <c r="R1330" s="10">
        <f>IF(AND($C1330="",NOT(COUNTA($S1330:$BB1330)&gt;0),$BI1330&lt;&gt;""),"",MID(IF($BI1330="","; Row ID not found on the department sheet - a row was deleted","")&amp;IF(AND($C1330="",COUNTA($S1330:$BB1330)&gt;0),"; Invoice entered but the department row has no job number","")&amp;IF(E1330="CHECK","; Job number not in the Xero job list","")&amp;IF(AND($C1330&lt;&gt;"",COUNTIF($C$7:$C$1506,$C1330)&gt;1),"; Job number on more than one row","")&amp;IF(AND($C1330&lt;&gt;"",H1330=""),"; Dept has not set a cost centre","")&amp;IF(AND($C1330&lt;&gt;"",J1330=""),"; Dept has not set a tax code","")&amp;IF(AND($C1330&lt;&gt;"",N1330=""),"; Dept has not entered an expected value","")&amp;IF((IF(OR(COUNTA(S1330:U1330)=0,AND(COUNTA(S1330:U1330)=3,ISNUMBER(U1330))),0,1)+IF(OR(COUNTA(V1330:X1330)=0,AND(COUNTA(V1330:X1330)=3,ISNUMBER(X1330))),0,1)+IF(OR(COUNTA(Y1330:AA1330)=0,AND(COUNTA(Y1330:AA1330)=3,ISNUMBER(AA1330))),0,1)+IF(OR(COUNTA(AB1330:AD1330)=0,AND(COUNTA(AB1330:AD1330)=3,ISNUMBER(AD1330))),0,1)+IF(OR(COUNTA(AE1330:AG1330)=0,AND(COUNTA(AE1330:AG1330)=3,ISNUMBER(AG1330))),0,1)+IF(OR(COUNTA(AH1330:AJ1330)=0,AND(COUNTA(AH1330:AJ1330)=3,ISNUMBER(AJ1330))),0,1)+IF(OR(COUNTA(AK1330:AM1330)=0,AND(COUNTA(AK1330:AM1330)=3,ISNUMBER(AM1330))),0,1)+IF(OR(COUNTA(AN1330:AP1330)=0,AND(COUNTA(AN1330:AP1330)=3,ISNUMBER(AP1330))),0,1)+IF(OR(COUNTA(AQ1330:AS1330)=0,AND(COUNTA(AQ1330:AS1330)=3,ISNUMBER(AS1330))),0,1)+IF(OR(COUNTA(AT1330:AV1330)=0,AND(COUNTA(AT1330:AV1330)=3,ISNUMBER(AV1330))),0,1)+IF(OR(COUNTA(AW1330:AY1330)=0,AND(COUNTA(AW1330:AY1330)=3,ISNUMBER(AY1330))),0,1)+IF(OR(COUNTA(AZ1330:BB1330)=0,AND(COUNTA(AZ1330:BB1330)=3,ISNUMBER(BB1330))),0,1))&gt;0,"; An invoice is incomplete (needs No, Date and a number in Ex GST)","")&amp;IF((IF(T1330="",0,IFERROR(--(EOMONTH(T1330,0)&lt;&gt;S$5),1))+IF(W1330="",0,IFERROR(--(EOMONTH(W1330,0)&lt;&gt;V$5),1))+IF(Z1330="",0,IFERROR(--(EOMONTH(Z1330,0)&lt;&gt;Y$5),1))+IF(AC1330="",0,IFERROR(--(EOMONTH(AC1330,0)&lt;&gt;AB$5),1))+IF(AF1330="",0,IFERROR(--(EOMONTH(AF1330,0)&lt;&gt;AE$5),1))+IF(AI1330="",0,IFERROR(--(EOMONTH(AI1330,0)&lt;&gt;AH$5),1))+IF(AL1330="",0,IFERROR(--(EOMONTH(AL1330,0)&lt;&gt;AK$5),1))+IF(AO1330="",0,IFERROR(--(EOMONTH(AO1330,0)&lt;&gt;AN$5),1))+IF(AR1330="",0,IFERROR(--(EOMONTH(AR1330,0)&lt;&gt;AQ$5),1))+IF(AU1330="",0,IFERROR(--(EOMONTH(AU1330,0)&lt;&gt;AT$5),1))+IF(AX1330="",0,IFERROR(--(EOMONTH(AX1330,0)&lt;&gt;AW$5),1))+IF(BA1330="",0,IFERROR(--(EOMONTH(BA1330,0)&lt;&gt;AZ$5),1)))&gt;0,"; An invoice date is not in the month it is typed under",""),3,500))</f>
        <v/>
      </c>
      <c r="S1330" s="12" t="n"/>
      <c r="T1330" s="13" t="n"/>
      <c r="U1330" s="14" t="n"/>
      <c r="V1330" s="12" t="n"/>
      <c r="W1330" s="13" t="n"/>
      <c r="X1330" s="14" t="n"/>
      <c r="Y1330" s="12" t="n"/>
      <c r="Z1330" s="13" t="n"/>
      <c r="AA1330" s="14" t="n"/>
      <c r="AB1330" s="12" t="n"/>
      <c r="AC1330" s="13" t="n"/>
      <c r="AD1330" s="14" t="n"/>
      <c r="AE1330" s="12" t="n"/>
      <c r="AF1330" s="13" t="n"/>
      <c r="AG1330" s="14" t="n"/>
      <c r="AH1330" s="12" t="n"/>
      <c r="AI1330" s="13" t="n"/>
      <c r="AJ1330" s="14" t="n"/>
      <c r="AK1330" s="12" t="n"/>
      <c r="AL1330" s="13" t="n"/>
      <c r="AM1330" s="14" t="n"/>
      <c r="AN1330" s="12" t="n"/>
      <c r="AO1330" s="13" t="n"/>
      <c r="AP1330" s="14" t="n"/>
      <c r="AQ1330" s="12" t="n"/>
      <c r="AR1330" s="13" t="n"/>
      <c r="AS1330" s="14" t="n"/>
      <c r="AT1330" s="12" t="n"/>
      <c r="AU1330" s="13" t="n"/>
      <c r="AV1330" s="14" t="n"/>
      <c r="AW1330" s="12" t="n"/>
      <c r="AX1330" s="13" t="n"/>
      <c r="AY1330" s="14" t="n"/>
      <c r="AZ1330" s="12" t="n"/>
      <c r="BA1330" s="13" t="n"/>
      <c r="BB1330" s="14" t="n"/>
      <c r="BC1330" s="11">
        <f>IF(O1330="","",IF(J1330="GST 10%",ROUND(O1330*set_GSTRate,2),0))</f>
        <v/>
      </c>
      <c r="BD1330" s="11">
        <f>IF(O1330="","",O1330+BC1330)</f>
        <v/>
      </c>
      <c r="BE1330" s="15">
        <f>IF(O1330="","",COUNTA(S1330,V1330,Y1330,AB1330,AE1330,AH1330,AK1330,AN1330,AQ1330,AT1330,AW1330,AZ1330))</f>
        <v/>
      </c>
      <c r="BF1330" s="16">
        <f>IF(COUNT(T1330,W1330,Z1330,AC1330,AF1330,AI1330,AL1330,AO1330,AR1330,AU1330,AX1330,BA1330)=0,"",MAX(T1330,W1330,Z1330,AC1330,AF1330,AI1330,AL1330,AO1330,AR1330,AU1330,AX1330,BA1330))</f>
        <v/>
      </c>
      <c r="BG1330" s="10">
        <f>MID(IF(S1330="","",", "&amp;S1330)&amp;IF(V1330="","",", "&amp;V1330)&amp;IF(Y1330="","",", "&amp;Y1330)&amp;IF(AB1330="","",", "&amp;AB1330)&amp;IF(AE1330="","",", "&amp;AE1330)&amp;IF(AH1330="","",", "&amp;AH1330)&amp;IF(AK1330="","",", "&amp;AK1330)&amp;IF(AN1330="","",", "&amp;AN1330)&amp;IF(AQ1330="","",", "&amp;AQ1330)&amp;IF(AT1330="","",", "&amp;AT1330)&amp;IF(AW1330="","",", "&amp;AW1330)&amp;IF(AZ1330="","",", "&amp;AZ1330),3,500)</f>
        <v/>
      </c>
      <c r="BH1330" s="12" t="n"/>
      <c r="BI1330" s="15">
        <f>IFERROR(MATCH($A1330,IF($B1330="Onsite",tbl_Onsite[Row ID],IF($B1330="Production",tbl_Production[Row ID],tbl_Consulting[Row ID])),0),"")</f>
        <v/>
      </c>
    </row>
    <row r="1331">
      <c r="A1331" s="10" t="inlineStr">
        <is>
          <t>CON-0325</t>
        </is>
      </c>
      <c r="B1331" s="10" t="inlineStr">
        <is>
          <t>Consulting</t>
        </is>
      </c>
      <c r="C1331" s="10">
        <f>IF($BI1331="","",IF($B1331="Onsite",INDEX(tbl_Onsite[Job Number],$BI1331),IF($B1331="Production",INDEX(tbl_Production[Job Number],$BI1331),INDEX(tbl_Consulting[Job Number],$BI1331)))&amp;"")</f>
        <v/>
      </c>
      <c r="D1331" s="10">
        <f>IF($BI1331="","",IF($B1331="Onsite",INDEX(tbl_Onsite[Client],$BI1331),IF($B1331="Production",INDEX(tbl_Production[Client],$BI1331),INDEX(tbl_Consulting[Client],$BI1331)))&amp;"")</f>
        <v/>
      </c>
      <c r="E1331" s="10">
        <f>IF($C1331="","",IF(COUNTIF(lst_Jobs,$C1331)&gt;0,"OK","CHECK"))</f>
        <v/>
      </c>
      <c r="F1331" s="10">
        <f>IF($C1331="","",IFERROR(INDEX(lst_JobName,MATCH($C1331,lst_Jobs,0)),""))</f>
        <v/>
      </c>
      <c r="G1331" s="10">
        <f>IF($BI1331="","",IF($B1331="Onsite",INDEX(tbl_Onsite[Job Description],$BI1331),IF($B1331="Production",INDEX(tbl_Production[Job Description],$BI1331),INDEX(tbl_Consulting[Job Description],$BI1331)))&amp;"")</f>
        <v/>
      </c>
      <c r="H1331" s="10">
        <f>IF($BI1331="","",IF($B1331="Onsite",INDEX(tbl_Onsite[Cost Centre],$BI1331),IF($B1331="Production",INDEX(tbl_Production[Cost Centre],$BI1331),INDEX(tbl_Consulting[Cost Centre],$BI1331)))&amp;"")</f>
        <v/>
      </c>
      <c r="I1331" s="10">
        <f>IF($BI1331="","",IF($B1331="Onsite",INDEX(tbl_Onsite[Invoice Type],$BI1331),IF($B1331="Production",INDEX(tbl_Production[Invoice Type],$BI1331),INDEX(tbl_Consulting[Invoice Type],$BI1331)))&amp;"")</f>
        <v/>
      </c>
      <c r="J1331" s="10">
        <f>IF($BI1331="","",IF($B1331="Onsite",INDEX(tbl_Onsite[Tax Code],$BI1331),IF($B1331="Production",INDEX(tbl_Production[Tax Code],$BI1331),INDEX(tbl_Consulting[Tax Code],$BI1331)))&amp;"")</f>
        <v/>
      </c>
      <c r="K1331" s="10">
        <f>IF(H1331="","",IFERROR(INDEX(lst_CCtoGL,MATCH(H1331,lst_CCforGL,0)),""))</f>
        <v/>
      </c>
      <c r="L1331" s="10">
        <f>IF($BI1331="","",IF($B1331="Onsite",INDEX(tbl_Onsite[PO / Reference],$BI1331),IF($B1331="Production",INDEX(tbl_Production[Current RMS No],$BI1331),INDEX(tbl_Consulting[Qwilr Quote],$BI1331)))&amp;"")</f>
        <v/>
      </c>
      <c r="M1331" s="10">
        <f>IF($BI1331="","",IF($B1331="Onsite",INDEX(tbl_Onsite[Notes],$BI1331),IF($B1331="Production",INDEX(tbl_Production[Notes],$BI1331),INDEX(tbl_Consulting[Notes],$BI1331)))&amp;"")</f>
        <v/>
      </c>
      <c r="N1331" s="11">
        <f>IF($BI1331="","",IF(IF($B1331="Onsite",INDEX(tbl_Onsite[Expected Revenue Ex GST],$BI1331),IF($B1331="Production",INDEX(tbl_Production[Expected Revenue Ex GST],$BI1331),INDEX(tbl_Consulting[Expected Revenue Ex GST],$BI1331)))="","",IF($B1331="Onsite",INDEX(tbl_Onsite[Expected Revenue Ex GST],$BI1331),IF($B1331="Production",INDEX(tbl_Production[Expected Revenue Ex GST],$BI1331),INDEX(tbl_Consulting[Expected Revenue Ex GST],$BI1331)))))</f>
        <v/>
      </c>
      <c r="O1331" s="11">
        <f>IF(AND($C1331="",NOT(COUNTA($S1331:$BB1331)&gt;0)),"",SUM(U1331,X1331,AA1331,AD1331,AG1331,AJ1331,AM1331,AP1331,AS1331,AV1331,AY1331,BB1331))</f>
        <v/>
      </c>
      <c r="P1331" s="11">
        <f>IF(O1331="","",N(N1331)-O1331)</f>
        <v/>
      </c>
      <c r="Q1331" s="10">
        <f>IF(O1331="","",IF($C1331="","Invoice on empty job row",IF(N1331="",IF(ROUND(O1331,2)=0,"No dept value","Invoiced - no dept value"),IF(ROUND(O1331,2)=0,"Not invoiced - to invoice",IF(ROUND(P1331,2)=0,"Agrees",IF(P1331&gt;0,"Dept higher - to invoice","Xero higher - check dept"))))))</f>
        <v/>
      </c>
      <c r="R1331" s="10">
        <f>IF(AND($C1331="",NOT(COUNTA($S1331:$BB1331)&gt;0),$BI1331&lt;&gt;""),"",MID(IF($BI1331="","; Row ID not found on the department sheet - a row was deleted","")&amp;IF(AND($C1331="",COUNTA($S1331:$BB1331)&gt;0),"; Invoice entered but the department row has no job number","")&amp;IF(E1331="CHECK","; Job number not in the Xero job list","")&amp;IF(AND($C1331&lt;&gt;"",COUNTIF($C$7:$C$1506,$C1331)&gt;1),"; Job number on more than one row","")&amp;IF(AND($C1331&lt;&gt;"",H1331=""),"; Dept has not set a cost centre","")&amp;IF(AND($C1331&lt;&gt;"",J1331=""),"; Dept has not set a tax code","")&amp;IF(AND($C1331&lt;&gt;"",N1331=""),"; Dept has not entered an expected value","")&amp;IF((IF(OR(COUNTA(S1331:U1331)=0,AND(COUNTA(S1331:U1331)=3,ISNUMBER(U1331))),0,1)+IF(OR(COUNTA(V1331:X1331)=0,AND(COUNTA(V1331:X1331)=3,ISNUMBER(X1331))),0,1)+IF(OR(COUNTA(Y1331:AA1331)=0,AND(COUNTA(Y1331:AA1331)=3,ISNUMBER(AA1331))),0,1)+IF(OR(COUNTA(AB1331:AD1331)=0,AND(COUNTA(AB1331:AD1331)=3,ISNUMBER(AD1331))),0,1)+IF(OR(COUNTA(AE1331:AG1331)=0,AND(COUNTA(AE1331:AG1331)=3,ISNUMBER(AG1331))),0,1)+IF(OR(COUNTA(AH1331:AJ1331)=0,AND(COUNTA(AH1331:AJ1331)=3,ISNUMBER(AJ1331))),0,1)+IF(OR(COUNTA(AK1331:AM1331)=0,AND(COUNTA(AK1331:AM1331)=3,ISNUMBER(AM1331))),0,1)+IF(OR(COUNTA(AN1331:AP1331)=0,AND(COUNTA(AN1331:AP1331)=3,ISNUMBER(AP1331))),0,1)+IF(OR(COUNTA(AQ1331:AS1331)=0,AND(COUNTA(AQ1331:AS1331)=3,ISNUMBER(AS1331))),0,1)+IF(OR(COUNTA(AT1331:AV1331)=0,AND(COUNTA(AT1331:AV1331)=3,ISNUMBER(AV1331))),0,1)+IF(OR(COUNTA(AW1331:AY1331)=0,AND(COUNTA(AW1331:AY1331)=3,ISNUMBER(AY1331))),0,1)+IF(OR(COUNTA(AZ1331:BB1331)=0,AND(COUNTA(AZ1331:BB1331)=3,ISNUMBER(BB1331))),0,1))&gt;0,"; An invoice is incomplete (needs No, Date and a number in Ex GST)","")&amp;IF((IF(T1331="",0,IFERROR(--(EOMONTH(T1331,0)&lt;&gt;S$5),1))+IF(W1331="",0,IFERROR(--(EOMONTH(W1331,0)&lt;&gt;V$5),1))+IF(Z1331="",0,IFERROR(--(EOMONTH(Z1331,0)&lt;&gt;Y$5),1))+IF(AC1331="",0,IFERROR(--(EOMONTH(AC1331,0)&lt;&gt;AB$5),1))+IF(AF1331="",0,IFERROR(--(EOMONTH(AF1331,0)&lt;&gt;AE$5),1))+IF(AI1331="",0,IFERROR(--(EOMONTH(AI1331,0)&lt;&gt;AH$5),1))+IF(AL1331="",0,IFERROR(--(EOMONTH(AL1331,0)&lt;&gt;AK$5),1))+IF(AO1331="",0,IFERROR(--(EOMONTH(AO1331,0)&lt;&gt;AN$5),1))+IF(AR1331="",0,IFERROR(--(EOMONTH(AR1331,0)&lt;&gt;AQ$5),1))+IF(AU1331="",0,IFERROR(--(EOMONTH(AU1331,0)&lt;&gt;AT$5),1))+IF(AX1331="",0,IFERROR(--(EOMONTH(AX1331,0)&lt;&gt;AW$5),1))+IF(BA1331="",0,IFERROR(--(EOMONTH(BA1331,0)&lt;&gt;AZ$5),1)))&gt;0,"; An invoice date is not in the month it is typed under",""),3,500))</f>
        <v/>
      </c>
      <c r="S1331" s="12" t="n"/>
      <c r="T1331" s="13" t="n"/>
      <c r="U1331" s="14" t="n"/>
      <c r="V1331" s="12" t="n"/>
      <c r="W1331" s="13" t="n"/>
      <c r="X1331" s="14" t="n"/>
      <c r="Y1331" s="12" t="n"/>
      <c r="Z1331" s="13" t="n"/>
      <c r="AA1331" s="14" t="n"/>
      <c r="AB1331" s="12" t="n"/>
      <c r="AC1331" s="13" t="n"/>
      <c r="AD1331" s="14" t="n"/>
      <c r="AE1331" s="12" t="n"/>
      <c r="AF1331" s="13" t="n"/>
      <c r="AG1331" s="14" t="n"/>
      <c r="AH1331" s="12" t="n"/>
      <c r="AI1331" s="13" t="n"/>
      <c r="AJ1331" s="14" t="n"/>
      <c r="AK1331" s="12" t="n"/>
      <c r="AL1331" s="13" t="n"/>
      <c r="AM1331" s="14" t="n"/>
      <c r="AN1331" s="12" t="n"/>
      <c r="AO1331" s="13" t="n"/>
      <c r="AP1331" s="14" t="n"/>
      <c r="AQ1331" s="12" t="n"/>
      <c r="AR1331" s="13" t="n"/>
      <c r="AS1331" s="14" t="n"/>
      <c r="AT1331" s="12" t="n"/>
      <c r="AU1331" s="13" t="n"/>
      <c r="AV1331" s="14" t="n"/>
      <c r="AW1331" s="12" t="n"/>
      <c r="AX1331" s="13" t="n"/>
      <c r="AY1331" s="14" t="n"/>
      <c r="AZ1331" s="12" t="n"/>
      <c r="BA1331" s="13" t="n"/>
      <c r="BB1331" s="14" t="n"/>
      <c r="BC1331" s="11">
        <f>IF(O1331="","",IF(J1331="GST 10%",ROUND(O1331*set_GSTRate,2),0))</f>
        <v/>
      </c>
      <c r="BD1331" s="11">
        <f>IF(O1331="","",O1331+BC1331)</f>
        <v/>
      </c>
      <c r="BE1331" s="15">
        <f>IF(O1331="","",COUNTA(S1331,V1331,Y1331,AB1331,AE1331,AH1331,AK1331,AN1331,AQ1331,AT1331,AW1331,AZ1331))</f>
        <v/>
      </c>
      <c r="BF1331" s="16">
        <f>IF(COUNT(T1331,W1331,Z1331,AC1331,AF1331,AI1331,AL1331,AO1331,AR1331,AU1331,AX1331,BA1331)=0,"",MAX(T1331,W1331,Z1331,AC1331,AF1331,AI1331,AL1331,AO1331,AR1331,AU1331,AX1331,BA1331))</f>
        <v/>
      </c>
      <c r="BG1331" s="10">
        <f>MID(IF(S1331="","",", "&amp;S1331)&amp;IF(V1331="","",", "&amp;V1331)&amp;IF(Y1331="","",", "&amp;Y1331)&amp;IF(AB1331="","",", "&amp;AB1331)&amp;IF(AE1331="","",", "&amp;AE1331)&amp;IF(AH1331="","",", "&amp;AH1331)&amp;IF(AK1331="","",", "&amp;AK1331)&amp;IF(AN1331="","",", "&amp;AN1331)&amp;IF(AQ1331="","",", "&amp;AQ1331)&amp;IF(AT1331="","",", "&amp;AT1331)&amp;IF(AW1331="","",", "&amp;AW1331)&amp;IF(AZ1331="","",", "&amp;AZ1331),3,500)</f>
        <v/>
      </c>
      <c r="BH1331" s="12" t="n"/>
      <c r="BI1331" s="15">
        <f>IFERROR(MATCH($A1331,IF($B1331="Onsite",tbl_Onsite[Row ID],IF($B1331="Production",tbl_Production[Row ID],tbl_Consulting[Row ID])),0),"")</f>
        <v/>
      </c>
    </row>
    <row r="1332">
      <c r="A1332" s="10" t="inlineStr">
        <is>
          <t>CON-0326</t>
        </is>
      </c>
      <c r="B1332" s="10" t="inlineStr">
        <is>
          <t>Consulting</t>
        </is>
      </c>
      <c r="C1332" s="10">
        <f>IF($BI1332="","",IF($B1332="Onsite",INDEX(tbl_Onsite[Job Number],$BI1332),IF($B1332="Production",INDEX(tbl_Production[Job Number],$BI1332),INDEX(tbl_Consulting[Job Number],$BI1332)))&amp;"")</f>
        <v/>
      </c>
      <c r="D1332" s="10">
        <f>IF($BI1332="","",IF($B1332="Onsite",INDEX(tbl_Onsite[Client],$BI1332),IF($B1332="Production",INDEX(tbl_Production[Client],$BI1332),INDEX(tbl_Consulting[Client],$BI1332)))&amp;"")</f>
        <v/>
      </c>
      <c r="E1332" s="10">
        <f>IF($C1332="","",IF(COUNTIF(lst_Jobs,$C1332)&gt;0,"OK","CHECK"))</f>
        <v/>
      </c>
      <c r="F1332" s="10">
        <f>IF($C1332="","",IFERROR(INDEX(lst_JobName,MATCH($C1332,lst_Jobs,0)),""))</f>
        <v/>
      </c>
      <c r="G1332" s="10">
        <f>IF($BI1332="","",IF($B1332="Onsite",INDEX(tbl_Onsite[Job Description],$BI1332),IF($B1332="Production",INDEX(tbl_Production[Job Description],$BI1332),INDEX(tbl_Consulting[Job Description],$BI1332)))&amp;"")</f>
        <v/>
      </c>
      <c r="H1332" s="10">
        <f>IF($BI1332="","",IF($B1332="Onsite",INDEX(tbl_Onsite[Cost Centre],$BI1332),IF($B1332="Production",INDEX(tbl_Production[Cost Centre],$BI1332),INDEX(tbl_Consulting[Cost Centre],$BI1332)))&amp;"")</f>
        <v/>
      </c>
      <c r="I1332" s="10">
        <f>IF($BI1332="","",IF($B1332="Onsite",INDEX(tbl_Onsite[Invoice Type],$BI1332),IF($B1332="Production",INDEX(tbl_Production[Invoice Type],$BI1332),INDEX(tbl_Consulting[Invoice Type],$BI1332)))&amp;"")</f>
        <v/>
      </c>
      <c r="J1332" s="10">
        <f>IF($BI1332="","",IF($B1332="Onsite",INDEX(tbl_Onsite[Tax Code],$BI1332),IF($B1332="Production",INDEX(tbl_Production[Tax Code],$BI1332),INDEX(tbl_Consulting[Tax Code],$BI1332)))&amp;"")</f>
        <v/>
      </c>
      <c r="K1332" s="10">
        <f>IF(H1332="","",IFERROR(INDEX(lst_CCtoGL,MATCH(H1332,lst_CCforGL,0)),""))</f>
        <v/>
      </c>
      <c r="L1332" s="10">
        <f>IF($BI1332="","",IF($B1332="Onsite",INDEX(tbl_Onsite[PO / Reference],$BI1332),IF($B1332="Production",INDEX(tbl_Production[Current RMS No],$BI1332),INDEX(tbl_Consulting[Qwilr Quote],$BI1332)))&amp;"")</f>
        <v/>
      </c>
      <c r="M1332" s="10">
        <f>IF($BI1332="","",IF($B1332="Onsite",INDEX(tbl_Onsite[Notes],$BI1332),IF($B1332="Production",INDEX(tbl_Production[Notes],$BI1332),INDEX(tbl_Consulting[Notes],$BI1332)))&amp;"")</f>
        <v/>
      </c>
      <c r="N1332" s="11">
        <f>IF($BI1332="","",IF(IF($B1332="Onsite",INDEX(tbl_Onsite[Expected Revenue Ex GST],$BI1332),IF($B1332="Production",INDEX(tbl_Production[Expected Revenue Ex GST],$BI1332),INDEX(tbl_Consulting[Expected Revenue Ex GST],$BI1332)))="","",IF($B1332="Onsite",INDEX(tbl_Onsite[Expected Revenue Ex GST],$BI1332),IF($B1332="Production",INDEX(tbl_Production[Expected Revenue Ex GST],$BI1332),INDEX(tbl_Consulting[Expected Revenue Ex GST],$BI1332)))))</f>
        <v/>
      </c>
      <c r="O1332" s="11">
        <f>IF(AND($C1332="",NOT(COUNTA($S1332:$BB1332)&gt;0)),"",SUM(U1332,X1332,AA1332,AD1332,AG1332,AJ1332,AM1332,AP1332,AS1332,AV1332,AY1332,BB1332))</f>
        <v/>
      </c>
      <c r="P1332" s="11">
        <f>IF(O1332="","",N(N1332)-O1332)</f>
        <v/>
      </c>
      <c r="Q1332" s="10">
        <f>IF(O1332="","",IF($C1332="","Invoice on empty job row",IF(N1332="",IF(ROUND(O1332,2)=0,"No dept value","Invoiced - no dept value"),IF(ROUND(O1332,2)=0,"Not invoiced - to invoice",IF(ROUND(P1332,2)=0,"Agrees",IF(P1332&gt;0,"Dept higher - to invoice","Xero higher - check dept"))))))</f>
        <v/>
      </c>
      <c r="R1332" s="10">
        <f>IF(AND($C1332="",NOT(COUNTA($S1332:$BB1332)&gt;0),$BI1332&lt;&gt;""),"",MID(IF($BI1332="","; Row ID not found on the department sheet - a row was deleted","")&amp;IF(AND($C1332="",COUNTA($S1332:$BB1332)&gt;0),"; Invoice entered but the department row has no job number","")&amp;IF(E1332="CHECK","; Job number not in the Xero job list","")&amp;IF(AND($C1332&lt;&gt;"",COUNTIF($C$7:$C$1506,$C1332)&gt;1),"; Job number on more than one row","")&amp;IF(AND($C1332&lt;&gt;"",H1332=""),"; Dept has not set a cost centre","")&amp;IF(AND($C1332&lt;&gt;"",J1332=""),"; Dept has not set a tax code","")&amp;IF(AND($C1332&lt;&gt;"",N1332=""),"; Dept has not entered an expected value","")&amp;IF((IF(OR(COUNTA(S1332:U1332)=0,AND(COUNTA(S1332:U1332)=3,ISNUMBER(U1332))),0,1)+IF(OR(COUNTA(V1332:X1332)=0,AND(COUNTA(V1332:X1332)=3,ISNUMBER(X1332))),0,1)+IF(OR(COUNTA(Y1332:AA1332)=0,AND(COUNTA(Y1332:AA1332)=3,ISNUMBER(AA1332))),0,1)+IF(OR(COUNTA(AB1332:AD1332)=0,AND(COUNTA(AB1332:AD1332)=3,ISNUMBER(AD1332))),0,1)+IF(OR(COUNTA(AE1332:AG1332)=0,AND(COUNTA(AE1332:AG1332)=3,ISNUMBER(AG1332))),0,1)+IF(OR(COUNTA(AH1332:AJ1332)=0,AND(COUNTA(AH1332:AJ1332)=3,ISNUMBER(AJ1332))),0,1)+IF(OR(COUNTA(AK1332:AM1332)=0,AND(COUNTA(AK1332:AM1332)=3,ISNUMBER(AM1332))),0,1)+IF(OR(COUNTA(AN1332:AP1332)=0,AND(COUNTA(AN1332:AP1332)=3,ISNUMBER(AP1332))),0,1)+IF(OR(COUNTA(AQ1332:AS1332)=0,AND(COUNTA(AQ1332:AS1332)=3,ISNUMBER(AS1332))),0,1)+IF(OR(COUNTA(AT1332:AV1332)=0,AND(COUNTA(AT1332:AV1332)=3,ISNUMBER(AV1332))),0,1)+IF(OR(COUNTA(AW1332:AY1332)=0,AND(COUNTA(AW1332:AY1332)=3,ISNUMBER(AY1332))),0,1)+IF(OR(COUNTA(AZ1332:BB1332)=0,AND(COUNTA(AZ1332:BB1332)=3,ISNUMBER(BB1332))),0,1))&gt;0,"; An invoice is incomplete (needs No, Date and a number in Ex GST)","")&amp;IF((IF(T1332="",0,IFERROR(--(EOMONTH(T1332,0)&lt;&gt;S$5),1))+IF(W1332="",0,IFERROR(--(EOMONTH(W1332,0)&lt;&gt;V$5),1))+IF(Z1332="",0,IFERROR(--(EOMONTH(Z1332,0)&lt;&gt;Y$5),1))+IF(AC1332="",0,IFERROR(--(EOMONTH(AC1332,0)&lt;&gt;AB$5),1))+IF(AF1332="",0,IFERROR(--(EOMONTH(AF1332,0)&lt;&gt;AE$5),1))+IF(AI1332="",0,IFERROR(--(EOMONTH(AI1332,0)&lt;&gt;AH$5),1))+IF(AL1332="",0,IFERROR(--(EOMONTH(AL1332,0)&lt;&gt;AK$5),1))+IF(AO1332="",0,IFERROR(--(EOMONTH(AO1332,0)&lt;&gt;AN$5),1))+IF(AR1332="",0,IFERROR(--(EOMONTH(AR1332,0)&lt;&gt;AQ$5),1))+IF(AU1332="",0,IFERROR(--(EOMONTH(AU1332,0)&lt;&gt;AT$5),1))+IF(AX1332="",0,IFERROR(--(EOMONTH(AX1332,0)&lt;&gt;AW$5),1))+IF(BA1332="",0,IFERROR(--(EOMONTH(BA1332,0)&lt;&gt;AZ$5),1)))&gt;0,"; An invoice date is not in the month it is typed under",""),3,500))</f>
        <v/>
      </c>
      <c r="S1332" s="12" t="n"/>
      <c r="T1332" s="13" t="n"/>
      <c r="U1332" s="14" t="n"/>
      <c r="V1332" s="12" t="n"/>
      <c r="W1332" s="13" t="n"/>
      <c r="X1332" s="14" t="n"/>
      <c r="Y1332" s="12" t="n"/>
      <c r="Z1332" s="13" t="n"/>
      <c r="AA1332" s="14" t="n"/>
      <c r="AB1332" s="12" t="n"/>
      <c r="AC1332" s="13" t="n"/>
      <c r="AD1332" s="14" t="n"/>
      <c r="AE1332" s="12" t="n"/>
      <c r="AF1332" s="13" t="n"/>
      <c r="AG1332" s="14" t="n"/>
      <c r="AH1332" s="12" t="n"/>
      <c r="AI1332" s="13" t="n"/>
      <c r="AJ1332" s="14" t="n"/>
      <c r="AK1332" s="12" t="n"/>
      <c r="AL1332" s="13" t="n"/>
      <c r="AM1332" s="14" t="n"/>
      <c r="AN1332" s="12" t="n"/>
      <c r="AO1332" s="13" t="n"/>
      <c r="AP1332" s="14" t="n"/>
      <c r="AQ1332" s="12" t="n"/>
      <c r="AR1332" s="13" t="n"/>
      <c r="AS1332" s="14" t="n"/>
      <c r="AT1332" s="12" t="n"/>
      <c r="AU1332" s="13" t="n"/>
      <c r="AV1332" s="14" t="n"/>
      <c r="AW1332" s="12" t="n"/>
      <c r="AX1332" s="13" t="n"/>
      <c r="AY1332" s="14" t="n"/>
      <c r="AZ1332" s="12" t="n"/>
      <c r="BA1332" s="13" t="n"/>
      <c r="BB1332" s="14" t="n"/>
      <c r="BC1332" s="11">
        <f>IF(O1332="","",IF(J1332="GST 10%",ROUND(O1332*set_GSTRate,2),0))</f>
        <v/>
      </c>
      <c r="BD1332" s="11">
        <f>IF(O1332="","",O1332+BC1332)</f>
        <v/>
      </c>
      <c r="BE1332" s="15">
        <f>IF(O1332="","",COUNTA(S1332,V1332,Y1332,AB1332,AE1332,AH1332,AK1332,AN1332,AQ1332,AT1332,AW1332,AZ1332))</f>
        <v/>
      </c>
      <c r="BF1332" s="16">
        <f>IF(COUNT(T1332,W1332,Z1332,AC1332,AF1332,AI1332,AL1332,AO1332,AR1332,AU1332,AX1332,BA1332)=0,"",MAX(T1332,W1332,Z1332,AC1332,AF1332,AI1332,AL1332,AO1332,AR1332,AU1332,AX1332,BA1332))</f>
        <v/>
      </c>
      <c r="BG1332" s="10">
        <f>MID(IF(S1332="","",", "&amp;S1332)&amp;IF(V1332="","",", "&amp;V1332)&amp;IF(Y1332="","",", "&amp;Y1332)&amp;IF(AB1332="","",", "&amp;AB1332)&amp;IF(AE1332="","",", "&amp;AE1332)&amp;IF(AH1332="","",", "&amp;AH1332)&amp;IF(AK1332="","",", "&amp;AK1332)&amp;IF(AN1332="","",", "&amp;AN1332)&amp;IF(AQ1332="","",", "&amp;AQ1332)&amp;IF(AT1332="","",", "&amp;AT1332)&amp;IF(AW1332="","",", "&amp;AW1332)&amp;IF(AZ1332="","",", "&amp;AZ1332),3,500)</f>
        <v/>
      </c>
      <c r="BH1332" s="12" t="n"/>
      <c r="BI1332" s="15">
        <f>IFERROR(MATCH($A1332,IF($B1332="Onsite",tbl_Onsite[Row ID],IF($B1332="Production",tbl_Production[Row ID],tbl_Consulting[Row ID])),0),"")</f>
        <v/>
      </c>
    </row>
    <row r="1333">
      <c r="A1333" s="10" t="inlineStr">
        <is>
          <t>CON-0327</t>
        </is>
      </c>
      <c r="B1333" s="10" t="inlineStr">
        <is>
          <t>Consulting</t>
        </is>
      </c>
      <c r="C1333" s="10">
        <f>IF($BI1333="","",IF($B1333="Onsite",INDEX(tbl_Onsite[Job Number],$BI1333),IF($B1333="Production",INDEX(tbl_Production[Job Number],$BI1333),INDEX(tbl_Consulting[Job Number],$BI1333)))&amp;"")</f>
        <v/>
      </c>
      <c r="D1333" s="10">
        <f>IF($BI1333="","",IF($B1333="Onsite",INDEX(tbl_Onsite[Client],$BI1333),IF($B1333="Production",INDEX(tbl_Production[Client],$BI1333),INDEX(tbl_Consulting[Client],$BI1333)))&amp;"")</f>
        <v/>
      </c>
      <c r="E1333" s="10">
        <f>IF($C1333="","",IF(COUNTIF(lst_Jobs,$C1333)&gt;0,"OK","CHECK"))</f>
        <v/>
      </c>
      <c r="F1333" s="10">
        <f>IF($C1333="","",IFERROR(INDEX(lst_JobName,MATCH($C1333,lst_Jobs,0)),""))</f>
        <v/>
      </c>
      <c r="G1333" s="10">
        <f>IF($BI1333="","",IF($B1333="Onsite",INDEX(tbl_Onsite[Job Description],$BI1333),IF($B1333="Production",INDEX(tbl_Production[Job Description],$BI1333),INDEX(tbl_Consulting[Job Description],$BI1333)))&amp;"")</f>
        <v/>
      </c>
      <c r="H1333" s="10">
        <f>IF($BI1333="","",IF($B1333="Onsite",INDEX(tbl_Onsite[Cost Centre],$BI1333),IF($B1333="Production",INDEX(tbl_Production[Cost Centre],$BI1333),INDEX(tbl_Consulting[Cost Centre],$BI1333)))&amp;"")</f>
        <v/>
      </c>
      <c r="I1333" s="10">
        <f>IF($BI1333="","",IF($B1333="Onsite",INDEX(tbl_Onsite[Invoice Type],$BI1333),IF($B1333="Production",INDEX(tbl_Production[Invoice Type],$BI1333),INDEX(tbl_Consulting[Invoice Type],$BI1333)))&amp;"")</f>
        <v/>
      </c>
      <c r="J1333" s="10">
        <f>IF($BI1333="","",IF($B1333="Onsite",INDEX(tbl_Onsite[Tax Code],$BI1333),IF($B1333="Production",INDEX(tbl_Production[Tax Code],$BI1333),INDEX(tbl_Consulting[Tax Code],$BI1333)))&amp;"")</f>
        <v/>
      </c>
      <c r="K1333" s="10">
        <f>IF(H1333="","",IFERROR(INDEX(lst_CCtoGL,MATCH(H1333,lst_CCforGL,0)),""))</f>
        <v/>
      </c>
      <c r="L1333" s="10">
        <f>IF($BI1333="","",IF($B1333="Onsite",INDEX(tbl_Onsite[PO / Reference],$BI1333),IF($B1333="Production",INDEX(tbl_Production[Current RMS No],$BI1333),INDEX(tbl_Consulting[Qwilr Quote],$BI1333)))&amp;"")</f>
        <v/>
      </c>
      <c r="M1333" s="10">
        <f>IF($BI1333="","",IF($B1333="Onsite",INDEX(tbl_Onsite[Notes],$BI1333),IF($B1333="Production",INDEX(tbl_Production[Notes],$BI1333),INDEX(tbl_Consulting[Notes],$BI1333)))&amp;"")</f>
        <v/>
      </c>
      <c r="N1333" s="11">
        <f>IF($BI1333="","",IF(IF($B1333="Onsite",INDEX(tbl_Onsite[Expected Revenue Ex GST],$BI1333),IF($B1333="Production",INDEX(tbl_Production[Expected Revenue Ex GST],$BI1333),INDEX(tbl_Consulting[Expected Revenue Ex GST],$BI1333)))="","",IF($B1333="Onsite",INDEX(tbl_Onsite[Expected Revenue Ex GST],$BI1333),IF($B1333="Production",INDEX(tbl_Production[Expected Revenue Ex GST],$BI1333),INDEX(tbl_Consulting[Expected Revenue Ex GST],$BI1333)))))</f>
        <v/>
      </c>
      <c r="O1333" s="11">
        <f>IF(AND($C1333="",NOT(COUNTA($S1333:$BB1333)&gt;0)),"",SUM(U1333,X1333,AA1333,AD1333,AG1333,AJ1333,AM1333,AP1333,AS1333,AV1333,AY1333,BB1333))</f>
        <v/>
      </c>
      <c r="P1333" s="11">
        <f>IF(O1333="","",N(N1333)-O1333)</f>
        <v/>
      </c>
      <c r="Q1333" s="10">
        <f>IF(O1333="","",IF($C1333="","Invoice on empty job row",IF(N1333="",IF(ROUND(O1333,2)=0,"No dept value","Invoiced - no dept value"),IF(ROUND(O1333,2)=0,"Not invoiced - to invoice",IF(ROUND(P1333,2)=0,"Agrees",IF(P1333&gt;0,"Dept higher - to invoice","Xero higher - check dept"))))))</f>
        <v/>
      </c>
      <c r="R1333" s="10">
        <f>IF(AND($C1333="",NOT(COUNTA($S1333:$BB1333)&gt;0),$BI1333&lt;&gt;""),"",MID(IF($BI1333="","; Row ID not found on the department sheet - a row was deleted","")&amp;IF(AND($C1333="",COUNTA($S1333:$BB1333)&gt;0),"; Invoice entered but the department row has no job number","")&amp;IF(E1333="CHECK","; Job number not in the Xero job list","")&amp;IF(AND($C1333&lt;&gt;"",COUNTIF($C$7:$C$1506,$C1333)&gt;1),"; Job number on more than one row","")&amp;IF(AND($C1333&lt;&gt;"",H1333=""),"; Dept has not set a cost centre","")&amp;IF(AND($C1333&lt;&gt;"",J1333=""),"; Dept has not set a tax code","")&amp;IF(AND($C1333&lt;&gt;"",N1333=""),"; Dept has not entered an expected value","")&amp;IF((IF(OR(COUNTA(S1333:U1333)=0,AND(COUNTA(S1333:U1333)=3,ISNUMBER(U1333))),0,1)+IF(OR(COUNTA(V1333:X1333)=0,AND(COUNTA(V1333:X1333)=3,ISNUMBER(X1333))),0,1)+IF(OR(COUNTA(Y1333:AA1333)=0,AND(COUNTA(Y1333:AA1333)=3,ISNUMBER(AA1333))),0,1)+IF(OR(COUNTA(AB1333:AD1333)=0,AND(COUNTA(AB1333:AD1333)=3,ISNUMBER(AD1333))),0,1)+IF(OR(COUNTA(AE1333:AG1333)=0,AND(COUNTA(AE1333:AG1333)=3,ISNUMBER(AG1333))),0,1)+IF(OR(COUNTA(AH1333:AJ1333)=0,AND(COUNTA(AH1333:AJ1333)=3,ISNUMBER(AJ1333))),0,1)+IF(OR(COUNTA(AK1333:AM1333)=0,AND(COUNTA(AK1333:AM1333)=3,ISNUMBER(AM1333))),0,1)+IF(OR(COUNTA(AN1333:AP1333)=0,AND(COUNTA(AN1333:AP1333)=3,ISNUMBER(AP1333))),0,1)+IF(OR(COUNTA(AQ1333:AS1333)=0,AND(COUNTA(AQ1333:AS1333)=3,ISNUMBER(AS1333))),0,1)+IF(OR(COUNTA(AT1333:AV1333)=0,AND(COUNTA(AT1333:AV1333)=3,ISNUMBER(AV1333))),0,1)+IF(OR(COUNTA(AW1333:AY1333)=0,AND(COUNTA(AW1333:AY1333)=3,ISNUMBER(AY1333))),0,1)+IF(OR(COUNTA(AZ1333:BB1333)=0,AND(COUNTA(AZ1333:BB1333)=3,ISNUMBER(BB1333))),0,1))&gt;0,"; An invoice is incomplete (needs No, Date and a number in Ex GST)","")&amp;IF((IF(T1333="",0,IFERROR(--(EOMONTH(T1333,0)&lt;&gt;S$5),1))+IF(W1333="",0,IFERROR(--(EOMONTH(W1333,0)&lt;&gt;V$5),1))+IF(Z1333="",0,IFERROR(--(EOMONTH(Z1333,0)&lt;&gt;Y$5),1))+IF(AC1333="",0,IFERROR(--(EOMONTH(AC1333,0)&lt;&gt;AB$5),1))+IF(AF1333="",0,IFERROR(--(EOMONTH(AF1333,0)&lt;&gt;AE$5),1))+IF(AI1333="",0,IFERROR(--(EOMONTH(AI1333,0)&lt;&gt;AH$5),1))+IF(AL1333="",0,IFERROR(--(EOMONTH(AL1333,0)&lt;&gt;AK$5),1))+IF(AO1333="",0,IFERROR(--(EOMONTH(AO1333,0)&lt;&gt;AN$5),1))+IF(AR1333="",0,IFERROR(--(EOMONTH(AR1333,0)&lt;&gt;AQ$5),1))+IF(AU1333="",0,IFERROR(--(EOMONTH(AU1333,0)&lt;&gt;AT$5),1))+IF(AX1333="",0,IFERROR(--(EOMONTH(AX1333,0)&lt;&gt;AW$5),1))+IF(BA1333="",0,IFERROR(--(EOMONTH(BA1333,0)&lt;&gt;AZ$5),1)))&gt;0,"; An invoice date is not in the month it is typed under",""),3,500))</f>
        <v/>
      </c>
      <c r="S1333" s="12" t="n"/>
      <c r="T1333" s="13" t="n"/>
      <c r="U1333" s="14" t="n"/>
      <c r="V1333" s="12" t="n"/>
      <c r="W1333" s="13" t="n"/>
      <c r="X1333" s="14" t="n"/>
      <c r="Y1333" s="12" t="n"/>
      <c r="Z1333" s="13" t="n"/>
      <c r="AA1333" s="14" t="n"/>
      <c r="AB1333" s="12" t="n"/>
      <c r="AC1333" s="13" t="n"/>
      <c r="AD1333" s="14" t="n"/>
      <c r="AE1333" s="12" t="n"/>
      <c r="AF1333" s="13" t="n"/>
      <c r="AG1333" s="14" t="n"/>
      <c r="AH1333" s="12" t="n"/>
      <c r="AI1333" s="13" t="n"/>
      <c r="AJ1333" s="14" t="n"/>
      <c r="AK1333" s="12" t="n"/>
      <c r="AL1333" s="13" t="n"/>
      <c r="AM1333" s="14" t="n"/>
      <c r="AN1333" s="12" t="n"/>
      <c r="AO1333" s="13" t="n"/>
      <c r="AP1333" s="14" t="n"/>
      <c r="AQ1333" s="12" t="n"/>
      <c r="AR1333" s="13" t="n"/>
      <c r="AS1333" s="14" t="n"/>
      <c r="AT1333" s="12" t="n"/>
      <c r="AU1333" s="13" t="n"/>
      <c r="AV1333" s="14" t="n"/>
      <c r="AW1333" s="12" t="n"/>
      <c r="AX1333" s="13" t="n"/>
      <c r="AY1333" s="14" t="n"/>
      <c r="AZ1333" s="12" t="n"/>
      <c r="BA1333" s="13" t="n"/>
      <c r="BB1333" s="14" t="n"/>
      <c r="BC1333" s="11">
        <f>IF(O1333="","",IF(J1333="GST 10%",ROUND(O1333*set_GSTRate,2),0))</f>
        <v/>
      </c>
      <c r="BD1333" s="11">
        <f>IF(O1333="","",O1333+BC1333)</f>
        <v/>
      </c>
      <c r="BE1333" s="15">
        <f>IF(O1333="","",COUNTA(S1333,V1333,Y1333,AB1333,AE1333,AH1333,AK1333,AN1333,AQ1333,AT1333,AW1333,AZ1333))</f>
        <v/>
      </c>
      <c r="BF1333" s="16">
        <f>IF(COUNT(T1333,W1333,Z1333,AC1333,AF1333,AI1333,AL1333,AO1333,AR1333,AU1333,AX1333,BA1333)=0,"",MAX(T1333,W1333,Z1333,AC1333,AF1333,AI1333,AL1333,AO1333,AR1333,AU1333,AX1333,BA1333))</f>
        <v/>
      </c>
      <c r="BG1333" s="10">
        <f>MID(IF(S1333="","",", "&amp;S1333)&amp;IF(V1333="","",", "&amp;V1333)&amp;IF(Y1333="","",", "&amp;Y1333)&amp;IF(AB1333="","",", "&amp;AB1333)&amp;IF(AE1333="","",", "&amp;AE1333)&amp;IF(AH1333="","",", "&amp;AH1333)&amp;IF(AK1333="","",", "&amp;AK1333)&amp;IF(AN1333="","",", "&amp;AN1333)&amp;IF(AQ1333="","",", "&amp;AQ1333)&amp;IF(AT1333="","",", "&amp;AT1333)&amp;IF(AW1333="","",", "&amp;AW1333)&amp;IF(AZ1333="","",", "&amp;AZ1333),3,500)</f>
        <v/>
      </c>
      <c r="BH1333" s="12" t="n"/>
      <c r="BI1333" s="15">
        <f>IFERROR(MATCH($A1333,IF($B1333="Onsite",tbl_Onsite[Row ID],IF($B1333="Production",tbl_Production[Row ID],tbl_Consulting[Row ID])),0),"")</f>
        <v/>
      </c>
    </row>
    <row r="1334">
      <c r="A1334" s="10" t="inlineStr">
        <is>
          <t>CON-0328</t>
        </is>
      </c>
      <c r="B1334" s="10" t="inlineStr">
        <is>
          <t>Consulting</t>
        </is>
      </c>
      <c r="C1334" s="10">
        <f>IF($BI1334="","",IF($B1334="Onsite",INDEX(tbl_Onsite[Job Number],$BI1334),IF($B1334="Production",INDEX(tbl_Production[Job Number],$BI1334),INDEX(tbl_Consulting[Job Number],$BI1334)))&amp;"")</f>
        <v/>
      </c>
      <c r="D1334" s="10">
        <f>IF($BI1334="","",IF($B1334="Onsite",INDEX(tbl_Onsite[Client],$BI1334),IF($B1334="Production",INDEX(tbl_Production[Client],$BI1334),INDEX(tbl_Consulting[Client],$BI1334)))&amp;"")</f>
        <v/>
      </c>
      <c r="E1334" s="10">
        <f>IF($C1334="","",IF(COUNTIF(lst_Jobs,$C1334)&gt;0,"OK","CHECK"))</f>
        <v/>
      </c>
      <c r="F1334" s="10">
        <f>IF($C1334="","",IFERROR(INDEX(lst_JobName,MATCH($C1334,lst_Jobs,0)),""))</f>
        <v/>
      </c>
      <c r="G1334" s="10">
        <f>IF($BI1334="","",IF($B1334="Onsite",INDEX(tbl_Onsite[Job Description],$BI1334),IF($B1334="Production",INDEX(tbl_Production[Job Description],$BI1334),INDEX(tbl_Consulting[Job Description],$BI1334)))&amp;"")</f>
        <v/>
      </c>
      <c r="H1334" s="10">
        <f>IF($BI1334="","",IF($B1334="Onsite",INDEX(tbl_Onsite[Cost Centre],$BI1334),IF($B1334="Production",INDEX(tbl_Production[Cost Centre],$BI1334),INDEX(tbl_Consulting[Cost Centre],$BI1334)))&amp;"")</f>
        <v/>
      </c>
      <c r="I1334" s="10">
        <f>IF($BI1334="","",IF($B1334="Onsite",INDEX(tbl_Onsite[Invoice Type],$BI1334),IF($B1334="Production",INDEX(tbl_Production[Invoice Type],$BI1334),INDEX(tbl_Consulting[Invoice Type],$BI1334)))&amp;"")</f>
        <v/>
      </c>
      <c r="J1334" s="10">
        <f>IF($BI1334="","",IF($B1334="Onsite",INDEX(tbl_Onsite[Tax Code],$BI1334),IF($B1334="Production",INDEX(tbl_Production[Tax Code],$BI1334),INDEX(tbl_Consulting[Tax Code],$BI1334)))&amp;"")</f>
        <v/>
      </c>
      <c r="K1334" s="10">
        <f>IF(H1334="","",IFERROR(INDEX(lst_CCtoGL,MATCH(H1334,lst_CCforGL,0)),""))</f>
        <v/>
      </c>
      <c r="L1334" s="10">
        <f>IF($BI1334="","",IF($B1334="Onsite",INDEX(tbl_Onsite[PO / Reference],$BI1334),IF($B1334="Production",INDEX(tbl_Production[Current RMS No],$BI1334),INDEX(tbl_Consulting[Qwilr Quote],$BI1334)))&amp;"")</f>
        <v/>
      </c>
      <c r="M1334" s="10">
        <f>IF($BI1334="","",IF($B1334="Onsite",INDEX(tbl_Onsite[Notes],$BI1334),IF($B1334="Production",INDEX(tbl_Production[Notes],$BI1334),INDEX(tbl_Consulting[Notes],$BI1334)))&amp;"")</f>
        <v/>
      </c>
      <c r="N1334" s="11">
        <f>IF($BI1334="","",IF(IF($B1334="Onsite",INDEX(tbl_Onsite[Expected Revenue Ex GST],$BI1334),IF($B1334="Production",INDEX(tbl_Production[Expected Revenue Ex GST],$BI1334),INDEX(tbl_Consulting[Expected Revenue Ex GST],$BI1334)))="","",IF($B1334="Onsite",INDEX(tbl_Onsite[Expected Revenue Ex GST],$BI1334),IF($B1334="Production",INDEX(tbl_Production[Expected Revenue Ex GST],$BI1334),INDEX(tbl_Consulting[Expected Revenue Ex GST],$BI1334)))))</f>
        <v/>
      </c>
      <c r="O1334" s="11">
        <f>IF(AND($C1334="",NOT(COUNTA($S1334:$BB1334)&gt;0)),"",SUM(U1334,X1334,AA1334,AD1334,AG1334,AJ1334,AM1334,AP1334,AS1334,AV1334,AY1334,BB1334))</f>
        <v/>
      </c>
      <c r="P1334" s="11">
        <f>IF(O1334="","",N(N1334)-O1334)</f>
        <v/>
      </c>
      <c r="Q1334" s="10">
        <f>IF(O1334="","",IF($C1334="","Invoice on empty job row",IF(N1334="",IF(ROUND(O1334,2)=0,"No dept value","Invoiced - no dept value"),IF(ROUND(O1334,2)=0,"Not invoiced - to invoice",IF(ROUND(P1334,2)=0,"Agrees",IF(P1334&gt;0,"Dept higher - to invoice","Xero higher - check dept"))))))</f>
        <v/>
      </c>
      <c r="R1334" s="10">
        <f>IF(AND($C1334="",NOT(COUNTA($S1334:$BB1334)&gt;0),$BI1334&lt;&gt;""),"",MID(IF($BI1334="","; Row ID not found on the department sheet - a row was deleted","")&amp;IF(AND($C1334="",COUNTA($S1334:$BB1334)&gt;0),"; Invoice entered but the department row has no job number","")&amp;IF(E1334="CHECK","; Job number not in the Xero job list","")&amp;IF(AND($C1334&lt;&gt;"",COUNTIF($C$7:$C$1506,$C1334)&gt;1),"; Job number on more than one row","")&amp;IF(AND($C1334&lt;&gt;"",H1334=""),"; Dept has not set a cost centre","")&amp;IF(AND($C1334&lt;&gt;"",J1334=""),"; Dept has not set a tax code","")&amp;IF(AND($C1334&lt;&gt;"",N1334=""),"; Dept has not entered an expected value","")&amp;IF((IF(OR(COUNTA(S1334:U1334)=0,AND(COUNTA(S1334:U1334)=3,ISNUMBER(U1334))),0,1)+IF(OR(COUNTA(V1334:X1334)=0,AND(COUNTA(V1334:X1334)=3,ISNUMBER(X1334))),0,1)+IF(OR(COUNTA(Y1334:AA1334)=0,AND(COUNTA(Y1334:AA1334)=3,ISNUMBER(AA1334))),0,1)+IF(OR(COUNTA(AB1334:AD1334)=0,AND(COUNTA(AB1334:AD1334)=3,ISNUMBER(AD1334))),0,1)+IF(OR(COUNTA(AE1334:AG1334)=0,AND(COUNTA(AE1334:AG1334)=3,ISNUMBER(AG1334))),0,1)+IF(OR(COUNTA(AH1334:AJ1334)=0,AND(COUNTA(AH1334:AJ1334)=3,ISNUMBER(AJ1334))),0,1)+IF(OR(COUNTA(AK1334:AM1334)=0,AND(COUNTA(AK1334:AM1334)=3,ISNUMBER(AM1334))),0,1)+IF(OR(COUNTA(AN1334:AP1334)=0,AND(COUNTA(AN1334:AP1334)=3,ISNUMBER(AP1334))),0,1)+IF(OR(COUNTA(AQ1334:AS1334)=0,AND(COUNTA(AQ1334:AS1334)=3,ISNUMBER(AS1334))),0,1)+IF(OR(COUNTA(AT1334:AV1334)=0,AND(COUNTA(AT1334:AV1334)=3,ISNUMBER(AV1334))),0,1)+IF(OR(COUNTA(AW1334:AY1334)=0,AND(COUNTA(AW1334:AY1334)=3,ISNUMBER(AY1334))),0,1)+IF(OR(COUNTA(AZ1334:BB1334)=0,AND(COUNTA(AZ1334:BB1334)=3,ISNUMBER(BB1334))),0,1))&gt;0,"; An invoice is incomplete (needs No, Date and a number in Ex GST)","")&amp;IF((IF(T1334="",0,IFERROR(--(EOMONTH(T1334,0)&lt;&gt;S$5),1))+IF(W1334="",0,IFERROR(--(EOMONTH(W1334,0)&lt;&gt;V$5),1))+IF(Z1334="",0,IFERROR(--(EOMONTH(Z1334,0)&lt;&gt;Y$5),1))+IF(AC1334="",0,IFERROR(--(EOMONTH(AC1334,0)&lt;&gt;AB$5),1))+IF(AF1334="",0,IFERROR(--(EOMONTH(AF1334,0)&lt;&gt;AE$5),1))+IF(AI1334="",0,IFERROR(--(EOMONTH(AI1334,0)&lt;&gt;AH$5),1))+IF(AL1334="",0,IFERROR(--(EOMONTH(AL1334,0)&lt;&gt;AK$5),1))+IF(AO1334="",0,IFERROR(--(EOMONTH(AO1334,0)&lt;&gt;AN$5),1))+IF(AR1334="",0,IFERROR(--(EOMONTH(AR1334,0)&lt;&gt;AQ$5),1))+IF(AU1334="",0,IFERROR(--(EOMONTH(AU1334,0)&lt;&gt;AT$5),1))+IF(AX1334="",0,IFERROR(--(EOMONTH(AX1334,0)&lt;&gt;AW$5),1))+IF(BA1334="",0,IFERROR(--(EOMONTH(BA1334,0)&lt;&gt;AZ$5),1)))&gt;0,"; An invoice date is not in the month it is typed under",""),3,500))</f>
        <v/>
      </c>
      <c r="S1334" s="12" t="n"/>
      <c r="T1334" s="13" t="n"/>
      <c r="U1334" s="14" t="n"/>
      <c r="V1334" s="12" t="n"/>
      <c r="W1334" s="13" t="n"/>
      <c r="X1334" s="14" t="n"/>
      <c r="Y1334" s="12" t="n"/>
      <c r="Z1334" s="13" t="n"/>
      <c r="AA1334" s="14" t="n"/>
      <c r="AB1334" s="12" t="n"/>
      <c r="AC1334" s="13" t="n"/>
      <c r="AD1334" s="14" t="n"/>
      <c r="AE1334" s="12" t="n"/>
      <c r="AF1334" s="13" t="n"/>
      <c r="AG1334" s="14" t="n"/>
      <c r="AH1334" s="12" t="n"/>
      <c r="AI1334" s="13" t="n"/>
      <c r="AJ1334" s="14" t="n"/>
      <c r="AK1334" s="12" t="n"/>
      <c r="AL1334" s="13" t="n"/>
      <c r="AM1334" s="14" t="n"/>
      <c r="AN1334" s="12" t="n"/>
      <c r="AO1334" s="13" t="n"/>
      <c r="AP1334" s="14" t="n"/>
      <c r="AQ1334" s="12" t="n"/>
      <c r="AR1334" s="13" t="n"/>
      <c r="AS1334" s="14" t="n"/>
      <c r="AT1334" s="12" t="n"/>
      <c r="AU1334" s="13" t="n"/>
      <c r="AV1334" s="14" t="n"/>
      <c r="AW1334" s="12" t="n"/>
      <c r="AX1334" s="13" t="n"/>
      <c r="AY1334" s="14" t="n"/>
      <c r="AZ1334" s="12" t="n"/>
      <c r="BA1334" s="13" t="n"/>
      <c r="BB1334" s="14" t="n"/>
      <c r="BC1334" s="11">
        <f>IF(O1334="","",IF(J1334="GST 10%",ROUND(O1334*set_GSTRate,2),0))</f>
        <v/>
      </c>
      <c r="BD1334" s="11">
        <f>IF(O1334="","",O1334+BC1334)</f>
        <v/>
      </c>
      <c r="BE1334" s="15">
        <f>IF(O1334="","",COUNTA(S1334,V1334,Y1334,AB1334,AE1334,AH1334,AK1334,AN1334,AQ1334,AT1334,AW1334,AZ1334))</f>
        <v/>
      </c>
      <c r="BF1334" s="16">
        <f>IF(COUNT(T1334,W1334,Z1334,AC1334,AF1334,AI1334,AL1334,AO1334,AR1334,AU1334,AX1334,BA1334)=0,"",MAX(T1334,W1334,Z1334,AC1334,AF1334,AI1334,AL1334,AO1334,AR1334,AU1334,AX1334,BA1334))</f>
        <v/>
      </c>
      <c r="BG1334" s="10">
        <f>MID(IF(S1334="","",", "&amp;S1334)&amp;IF(V1334="","",", "&amp;V1334)&amp;IF(Y1334="","",", "&amp;Y1334)&amp;IF(AB1334="","",", "&amp;AB1334)&amp;IF(AE1334="","",", "&amp;AE1334)&amp;IF(AH1334="","",", "&amp;AH1334)&amp;IF(AK1334="","",", "&amp;AK1334)&amp;IF(AN1334="","",", "&amp;AN1334)&amp;IF(AQ1334="","",", "&amp;AQ1334)&amp;IF(AT1334="","",", "&amp;AT1334)&amp;IF(AW1334="","",", "&amp;AW1334)&amp;IF(AZ1334="","",", "&amp;AZ1334),3,500)</f>
        <v/>
      </c>
      <c r="BH1334" s="12" t="n"/>
      <c r="BI1334" s="15">
        <f>IFERROR(MATCH($A1334,IF($B1334="Onsite",tbl_Onsite[Row ID],IF($B1334="Production",tbl_Production[Row ID],tbl_Consulting[Row ID])),0),"")</f>
        <v/>
      </c>
    </row>
    <row r="1335">
      <c r="A1335" s="10" t="inlineStr">
        <is>
          <t>CON-0329</t>
        </is>
      </c>
      <c r="B1335" s="10" t="inlineStr">
        <is>
          <t>Consulting</t>
        </is>
      </c>
      <c r="C1335" s="10">
        <f>IF($BI1335="","",IF($B1335="Onsite",INDEX(tbl_Onsite[Job Number],$BI1335),IF($B1335="Production",INDEX(tbl_Production[Job Number],$BI1335),INDEX(tbl_Consulting[Job Number],$BI1335)))&amp;"")</f>
        <v/>
      </c>
      <c r="D1335" s="10">
        <f>IF($BI1335="","",IF($B1335="Onsite",INDEX(tbl_Onsite[Client],$BI1335),IF($B1335="Production",INDEX(tbl_Production[Client],$BI1335),INDEX(tbl_Consulting[Client],$BI1335)))&amp;"")</f>
        <v/>
      </c>
      <c r="E1335" s="10">
        <f>IF($C1335="","",IF(COUNTIF(lst_Jobs,$C1335)&gt;0,"OK","CHECK"))</f>
        <v/>
      </c>
      <c r="F1335" s="10">
        <f>IF($C1335="","",IFERROR(INDEX(lst_JobName,MATCH($C1335,lst_Jobs,0)),""))</f>
        <v/>
      </c>
      <c r="G1335" s="10">
        <f>IF($BI1335="","",IF($B1335="Onsite",INDEX(tbl_Onsite[Job Description],$BI1335),IF($B1335="Production",INDEX(tbl_Production[Job Description],$BI1335),INDEX(tbl_Consulting[Job Description],$BI1335)))&amp;"")</f>
        <v/>
      </c>
      <c r="H1335" s="10">
        <f>IF($BI1335="","",IF($B1335="Onsite",INDEX(tbl_Onsite[Cost Centre],$BI1335),IF($B1335="Production",INDEX(tbl_Production[Cost Centre],$BI1335),INDEX(tbl_Consulting[Cost Centre],$BI1335)))&amp;"")</f>
        <v/>
      </c>
      <c r="I1335" s="10">
        <f>IF($BI1335="","",IF($B1335="Onsite",INDEX(tbl_Onsite[Invoice Type],$BI1335),IF($B1335="Production",INDEX(tbl_Production[Invoice Type],$BI1335),INDEX(tbl_Consulting[Invoice Type],$BI1335)))&amp;"")</f>
        <v/>
      </c>
      <c r="J1335" s="10">
        <f>IF($BI1335="","",IF($B1335="Onsite",INDEX(tbl_Onsite[Tax Code],$BI1335),IF($B1335="Production",INDEX(tbl_Production[Tax Code],$BI1335),INDEX(tbl_Consulting[Tax Code],$BI1335)))&amp;"")</f>
        <v/>
      </c>
      <c r="K1335" s="10">
        <f>IF(H1335="","",IFERROR(INDEX(lst_CCtoGL,MATCH(H1335,lst_CCforGL,0)),""))</f>
        <v/>
      </c>
      <c r="L1335" s="10">
        <f>IF($BI1335="","",IF($B1335="Onsite",INDEX(tbl_Onsite[PO / Reference],$BI1335),IF($B1335="Production",INDEX(tbl_Production[Current RMS No],$BI1335),INDEX(tbl_Consulting[Qwilr Quote],$BI1335)))&amp;"")</f>
        <v/>
      </c>
      <c r="M1335" s="10">
        <f>IF($BI1335="","",IF($B1335="Onsite",INDEX(tbl_Onsite[Notes],$BI1335),IF($B1335="Production",INDEX(tbl_Production[Notes],$BI1335),INDEX(tbl_Consulting[Notes],$BI1335)))&amp;"")</f>
        <v/>
      </c>
      <c r="N1335" s="11">
        <f>IF($BI1335="","",IF(IF($B1335="Onsite",INDEX(tbl_Onsite[Expected Revenue Ex GST],$BI1335),IF($B1335="Production",INDEX(tbl_Production[Expected Revenue Ex GST],$BI1335),INDEX(tbl_Consulting[Expected Revenue Ex GST],$BI1335)))="","",IF($B1335="Onsite",INDEX(tbl_Onsite[Expected Revenue Ex GST],$BI1335),IF($B1335="Production",INDEX(tbl_Production[Expected Revenue Ex GST],$BI1335),INDEX(tbl_Consulting[Expected Revenue Ex GST],$BI1335)))))</f>
        <v/>
      </c>
      <c r="O1335" s="11">
        <f>IF(AND($C1335="",NOT(COUNTA($S1335:$BB1335)&gt;0)),"",SUM(U1335,X1335,AA1335,AD1335,AG1335,AJ1335,AM1335,AP1335,AS1335,AV1335,AY1335,BB1335))</f>
        <v/>
      </c>
      <c r="P1335" s="11">
        <f>IF(O1335="","",N(N1335)-O1335)</f>
        <v/>
      </c>
      <c r="Q1335" s="10">
        <f>IF(O1335="","",IF($C1335="","Invoice on empty job row",IF(N1335="",IF(ROUND(O1335,2)=0,"No dept value","Invoiced - no dept value"),IF(ROUND(O1335,2)=0,"Not invoiced - to invoice",IF(ROUND(P1335,2)=0,"Agrees",IF(P1335&gt;0,"Dept higher - to invoice","Xero higher - check dept"))))))</f>
        <v/>
      </c>
      <c r="R1335" s="10">
        <f>IF(AND($C1335="",NOT(COUNTA($S1335:$BB1335)&gt;0),$BI1335&lt;&gt;""),"",MID(IF($BI1335="","; Row ID not found on the department sheet - a row was deleted","")&amp;IF(AND($C1335="",COUNTA($S1335:$BB1335)&gt;0),"; Invoice entered but the department row has no job number","")&amp;IF(E1335="CHECK","; Job number not in the Xero job list","")&amp;IF(AND($C1335&lt;&gt;"",COUNTIF($C$7:$C$1506,$C1335)&gt;1),"; Job number on more than one row","")&amp;IF(AND($C1335&lt;&gt;"",H1335=""),"; Dept has not set a cost centre","")&amp;IF(AND($C1335&lt;&gt;"",J1335=""),"; Dept has not set a tax code","")&amp;IF(AND($C1335&lt;&gt;"",N1335=""),"; Dept has not entered an expected value","")&amp;IF((IF(OR(COUNTA(S1335:U1335)=0,AND(COUNTA(S1335:U1335)=3,ISNUMBER(U1335))),0,1)+IF(OR(COUNTA(V1335:X1335)=0,AND(COUNTA(V1335:X1335)=3,ISNUMBER(X1335))),0,1)+IF(OR(COUNTA(Y1335:AA1335)=0,AND(COUNTA(Y1335:AA1335)=3,ISNUMBER(AA1335))),0,1)+IF(OR(COUNTA(AB1335:AD1335)=0,AND(COUNTA(AB1335:AD1335)=3,ISNUMBER(AD1335))),0,1)+IF(OR(COUNTA(AE1335:AG1335)=0,AND(COUNTA(AE1335:AG1335)=3,ISNUMBER(AG1335))),0,1)+IF(OR(COUNTA(AH1335:AJ1335)=0,AND(COUNTA(AH1335:AJ1335)=3,ISNUMBER(AJ1335))),0,1)+IF(OR(COUNTA(AK1335:AM1335)=0,AND(COUNTA(AK1335:AM1335)=3,ISNUMBER(AM1335))),0,1)+IF(OR(COUNTA(AN1335:AP1335)=0,AND(COUNTA(AN1335:AP1335)=3,ISNUMBER(AP1335))),0,1)+IF(OR(COUNTA(AQ1335:AS1335)=0,AND(COUNTA(AQ1335:AS1335)=3,ISNUMBER(AS1335))),0,1)+IF(OR(COUNTA(AT1335:AV1335)=0,AND(COUNTA(AT1335:AV1335)=3,ISNUMBER(AV1335))),0,1)+IF(OR(COUNTA(AW1335:AY1335)=0,AND(COUNTA(AW1335:AY1335)=3,ISNUMBER(AY1335))),0,1)+IF(OR(COUNTA(AZ1335:BB1335)=0,AND(COUNTA(AZ1335:BB1335)=3,ISNUMBER(BB1335))),0,1))&gt;0,"; An invoice is incomplete (needs No, Date and a number in Ex GST)","")&amp;IF((IF(T1335="",0,IFERROR(--(EOMONTH(T1335,0)&lt;&gt;S$5),1))+IF(W1335="",0,IFERROR(--(EOMONTH(W1335,0)&lt;&gt;V$5),1))+IF(Z1335="",0,IFERROR(--(EOMONTH(Z1335,0)&lt;&gt;Y$5),1))+IF(AC1335="",0,IFERROR(--(EOMONTH(AC1335,0)&lt;&gt;AB$5),1))+IF(AF1335="",0,IFERROR(--(EOMONTH(AF1335,0)&lt;&gt;AE$5),1))+IF(AI1335="",0,IFERROR(--(EOMONTH(AI1335,0)&lt;&gt;AH$5),1))+IF(AL1335="",0,IFERROR(--(EOMONTH(AL1335,0)&lt;&gt;AK$5),1))+IF(AO1335="",0,IFERROR(--(EOMONTH(AO1335,0)&lt;&gt;AN$5),1))+IF(AR1335="",0,IFERROR(--(EOMONTH(AR1335,0)&lt;&gt;AQ$5),1))+IF(AU1335="",0,IFERROR(--(EOMONTH(AU1335,0)&lt;&gt;AT$5),1))+IF(AX1335="",0,IFERROR(--(EOMONTH(AX1335,0)&lt;&gt;AW$5),1))+IF(BA1335="",0,IFERROR(--(EOMONTH(BA1335,0)&lt;&gt;AZ$5),1)))&gt;0,"; An invoice date is not in the month it is typed under",""),3,500))</f>
        <v/>
      </c>
      <c r="S1335" s="12" t="n"/>
      <c r="T1335" s="13" t="n"/>
      <c r="U1335" s="14" t="n"/>
      <c r="V1335" s="12" t="n"/>
      <c r="W1335" s="13" t="n"/>
      <c r="X1335" s="14" t="n"/>
      <c r="Y1335" s="12" t="n"/>
      <c r="Z1335" s="13" t="n"/>
      <c r="AA1335" s="14" t="n"/>
      <c r="AB1335" s="12" t="n"/>
      <c r="AC1335" s="13" t="n"/>
      <c r="AD1335" s="14" t="n"/>
      <c r="AE1335" s="12" t="n"/>
      <c r="AF1335" s="13" t="n"/>
      <c r="AG1335" s="14" t="n"/>
      <c r="AH1335" s="12" t="n"/>
      <c r="AI1335" s="13" t="n"/>
      <c r="AJ1335" s="14" t="n"/>
      <c r="AK1335" s="12" t="n"/>
      <c r="AL1335" s="13" t="n"/>
      <c r="AM1335" s="14" t="n"/>
      <c r="AN1335" s="12" t="n"/>
      <c r="AO1335" s="13" t="n"/>
      <c r="AP1335" s="14" t="n"/>
      <c r="AQ1335" s="12" t="n"/>
      <c r="AR1335" s="13" t="n"/>
      <c r="AS1335" s="14" t="n"/>
      <c r="AT1335" s="12" t="n"/>
      <c r="AU1335" s="13" t="n"/>
      <c r="AV1335" s="14" t="n"/>
      <c r="AW1335" s="12" t="n"/>
      <c r="AX1335" s="13" t="n"/>
      <c r="AY1335" s="14" t="n"/>
      <c r="AZ1335" s="12" t="n"/>
      <c r="BA1335" s="13" t="n"/>
      <c r="BB1335" s="14" t="n"/>
      <c r="BC1335" s="11">
        <f>IF(O1335="","",IF(J1335="GST 10%",ROUND(O1335*set_GSTRate,2),0))</f>
        <v/>
      </c>
      <c r="BD1335" s="11">
        <f>IF(O1335="","",O1335+BC1335)</f>
        <v/>
      </c>
      <c r="BE1335" s="15">
        <f>IF(O1335="","",COUNTA(S1335,V1335,Y1335,AB1335,AE1335,AH1335,AK1335,AN1335,AQ1335,AT1335,AW1335,AZ1335))</f>
        <v/>
      </c>
      <c r="BF1335" s="16">
        <f>IF(COUNT(T1335,W1335,Z1335,AC1335,AF1335,AI1335,AL1335,AO1335,AR1335,AU1335,AX1335,BA1335)=0,"",MAX(T1335,W1335,Z1335,AC1335,AF1335,AI1335,AL1335,AO1335,AR1335,AU1335,AX1335,BA1335))</f>
        <v/>
      </c>
      <c r="BG1335" s="10">
        <f>MID(IF(S1335="","",", "&amp;S1335)&amp;IF(V1335="","",", "&amp;V1335)&amp;IF(Y1335="","",", "&amp;Y1335)&amp;IF(AB1335="","",", "&amp;AB1335)&amp;IF(AE1335="","",", "&amp;AE1335)&amp;IF(AH1335="","",", "&amp;AH1335)&amp;IF(AK1335="","",", "&amp;AK1335)&amp;IF(AN1335="","",", "&amp;AN1335)&amp;IF(AQ1335="","",", "&amp;AQ1335)&amp;IF(AT1335="","",", "&amp;AT1335)&amp;IF(AW1335="","",", "&amp;AW1335)&amp;IF(AZ1335="","",", "&amp;AZ1335),3,500)</f>
        <v/>
      </c>
      <c r="BH1335" s="12" t="n"/>
      <c r="BI1335" s="15">
        <f>IFERROR(MATCH($A1335,IF($B1335="Onsite",tbl_Onsite[Row ID],IF($B1335="Production",tbl_Production[Row ID],tbl_Consulting[Row ID])),0),"")</f>
        <v/>
      </c>
    </row>
    <row r="1336">
      <c r="A1336" s="10" t="inlineStr">
        <is>
          <t>CON-0330</t>
        </is>
      </c>
      <c r="B1336" s="10" t="inlineStr">
        <is>
          <t>Consulting</t>
        </is>
      </c>
      <c r="C1336" s="10">
        <f>IF($BI1336="","",IF($B1336="Onsite",INDEX(tbl_Onsite[Job Number],$BI1336),IF($B1336="Production",INDEX(tbl_Production[Job Number],$BI1336),INDEX(tbl_Consulting[Job Number],$BI1336)))&amp;"")</f>
        <v/>
      </c>
      <c r="D1336" s="10">
        <f>IF($BI1336="","",IF($B1336="Onsite",INDEX(tbl_Onsite[Client],$BI1336),IF($B1336="Production",INDEX(tbl_Production[Client],$BI1336),INDEX(tbl_Consulting[Client],$BI1336)))&amp;"")</f>
        <v/>
      </c>
      <c r="E1336" s="10">
        <f>IF($C1336="","",IF(COUNTIF(lst_Jobs,$C1336)&gt;0,"OK","CHECK"))</f>
        <v/>
      </c>
      <c r="F1336" s="10">
        <f>IF($C1336="","",IFERROR(INDEX(lst_JobName,MATCH($C1336,lst_Jobs,0)),""))</f>
        <v/>
      </c>
      <c r="G1336" s="10">
        <f>IF($BI1336="","",IF($B1336="Onsite",INDEX(tbl_Onsite[Job Description],$BI1336),IF($B1336="Production",INDEX(tbl_Production[Job Description],$BI1336),INDEX(tbl_Consulting[Job Description],$BI1336)))&amp;"")</f>
        <v/>
      </c>
      <c r="H1336" s="10">
        <f>IF($BI1336="","",IF($B1336="Onsite",INDEX(tbl_Onsite[Cost Centre],$BI1336),IF($B1336="Production",INDEX(tbl_Production[Cost Centre],$BI1336),INDEX(tbl_Consulting[Cost Centre],$BI1336)))&amp;"")</f>
        <v/>
      </c>
      <c r="I1336" s="10">
        <f>IF($BI1336="","",IF($B1336="Onsite",INDEX(tbl_Onsite[Invoice Type],$BI1336),IF($B1336="Production",INDEX(tbl_Production[Invoice Type],$BI1336),INDEX(tbl_Consulting[Invoice Type],$BI1336)))&amp;"")</f>
        <v/>
      </c>
      <c r="J1336" s="10">
        <f>IF($BI1336="","",IF($B1336="Onsite",INDEX(tbl_Onsite[Tax Code],$BI1336),IF($B1336="Production",INDEX(tbl_Production[Tax Code],$BI1336),INDEX(tbl_Consulting[Tax Code],$BI1336)))&amp;"")</f>
        <v/>
      </c>
      <c r="K1336" s="10">
        <f>IF(H1336="","",IFERROR(INDEX(lst_CCtoGL,MATCH(H1336,lst_CCforGL,0)),""))</f>
        <v/>
      </c>
      <c r="L1336" s="10">
        <f>IF($BI1336="","",IF($B1336="Onsite",INDEX(tbl_Onsite[PO / Reference],$BI1336),IF($B1336="Production",INDEX(tbl_Production[Current RMS No],$BI1336),INDEX(tbl_Consulting[Qwilr Quote],$BI1336)))&amp;"")</f>
        <v/>
      </c>
      <c r="M1336" s="10">
        <f>IF($BI1336="","",IF($B1336="Onsite",INDEX(tbl_Onsite[Notes],$BI1336),IF($B1336="Production",INDEX(tbl_Production[Notes],$BI1336),INDEX(tbl_Consulting[Notes],$BI1336)))&amp;"")</f>
        <v/>
      </c>
      <c r="N1336" s="11">
        <f>IF($BI1336="","",IF(IF($B1336="Onsite",INDEX(tbl_Onsite[Expected Revenue Ex GST],$BI1336),IF($B1336="Production",INDEX(tbl_Production[Expected Revenue Ex GST],$BI1336),INDEX(tbl_Consulting[Expected Revenue Ex GST],$BI1336)))="","",IF($B1336="Onsite",INDEX(tbl_Onsite[Expected Revenue Ex GST],$BI1336),IF($B1336="Production",INDEX(tbl_Production[Expected Revenue Ex GST],$BI1336),INDEX(tbl_Consulting[Expected Revenue Ex GST],$BI1336)))))</f>
        <v/>
      </c>
      <c r="O1336" s="11">
        <f>IF(AND($C1336="",NOT(COUNTA($S1336:$BB1336)&gt;0)),"",SUM(U1336,X1336,AA1336,AD1336,AG1336,AJ1336,AM1336,AP1336,AS1336,AV1336,AY1336,BB1336))</f>
        <v/>
      </c>
      <c r="P1336" s="11">
        <f>IF(O1336="","",N(N1336)-O1336)</f>
        <v/>
      </c>
      <c r="Q1336" s="10">
        <f>IF(O1336="","",IF($C1336="","Invoice on empty job row",IF(N1336="",IF(ROUND(O1336,2)=0,"No dept value","Invoiced - no dept value"),IF(ROUND(O1336,2)=0,"Not invoiced - to invoice",IF(ROUND(P1336,2)=0,"Agrees",IF(P1336&gt;0,"Dept higher - to invoice","Xero higher - check dept"))))))</f>
        <v/>
      </c>
      <c r="R1336" s="10">
        <f>IF(AND($C1336="",NOT(COUNTA($S1336:$BB1336)&gt;0),$BI1336&lt;&gt;""),"",MID(IF($BI1336="","; Row ID not found on the department sheet - a row was deleted","")&amp;IF(AND($C1336="",COUNTA($S1336:$BB1336)&gt;0),"; Invoice entered but the department row has no job number","")&amp;IF(E1336="CHECK","; Job number not in the Xero job list","")&amp;IF(AND($C1336&lt;&gt;"",COUNTIF($C$7:$C$1506,$C1336)&gt;1),"; Job number on more than one row","")&amp;IF(AND($C1336&lt;&gt;"",H1336=""),"; Dept has not set a cost centre","")&amp;IF(AND($C1336&lt;&gt;"",J1336=""),"; Dept has not set a tax code","")&amp;IF(AND($C1336&lt;&gt;"",N1336=""),"; Dept has not entered an expected value","")&amp;IF((IF(OR(COUNTA(S1336:U1336)=0,AND(COUNTA(S1336:U1336)=3,ISNUMBER(U1336))),0,1)+IF(OR(COUNTA(V1336:X1336)=0,AND(COUNTA(V1336:X1336)=3,ISNUMBER(X1336))),0,1)+IF(OR(COUNTA(Y1336:AA1336)=0,AND(COUNTA(Y1336:AA1336)=3,ISNUMBER(AA1336))),0,1)+IF(OR(COUNTA(AB1336:AD1336)=0,AND(COUNTA(AB1336:AD1336)=3,ISNUMBER(AD1336))),0,1)+IF(OR(COUNTA(AE1336:AG1336)=0,AND(COUNTA(AE1336:AG1336)=3,ISNUMBER(AG1336))),0,1)+IF(OR(COUNTA(AH1336:AJ1336)=0,AND(COUNTA(AH1336:AJ1336)=3,ISNUMBER(AJ1336))),0,1)+IF(OR(COUNTA(AK1336:AM1336)=0,AND(COUNTA(AK1336:AM1336)=3,ISNUMBER(AM1336))),0,1)+IF(OR(COUNTA(AN1336:AP1336)=0,AND(COUNTA(AN1336:AP1336)=3,ISNUMBER(AP1336))),0,1)+IF(OR(COUNTA(AQ1336:AS1336)=0,AND(COUNTA(AQ1336:AS1336)=3,ISNUMBER(AS1336))),0,1)+IF(OR(COUNTA(AT1336:AV1336)=0,AND(COUNTA(AT1336:AV1336)=3,ISNUMBER(AV1336))),0,1)+IF(OR(COUNTA(AW1336:AY1336)=0,AND(COUNTA(AW1336:AY1336)=3,ISNUMBER(AY1336))),0,1)+IF(OR(COUNTA(AZ1336:BB1336)=0,AND(COUNTA(AZ1336:BB1336)=3,ISNUMBER(BB1336))),0,1))&gt;0,"; An invoice is incomplete (needs No, Date and a number in Ex GST)","")&amp;IF((IF(T1336="",0,IFERROR(--(EOMONTH(T1336,0)&lt;&gt;S$5),1))+IF(W1336="",0,IFERROR(--(EOMONTH(W1336,0)&lt;&gt;V$5),1))+IF(Z1336="",0,IFERROR(--(EOMONTH(Z1336,0)&lt;&gt;Y$5),1))+IF(AC1336="",0,IFERROR(--(EOMONTH(AC1336,0)&lt;&gt;AB$5),1))+IF(AF1336="",0,IFERROR(--(EOMONTH(AF1336,0)&lt;&gt;AE$5),1))+IF(AI1336="",0,IFERROR(--(EOMONTH(AI1336,0)&lt;&gt;AH$5),1))+IF(AL1336="",0,IFERROR(--(EOMONTH(AL1336,0)&lt;&gt;AK$5),1))+IF(AO1336="",0,IFERROR(--(EOMONTH(AO1336,0)&lt;&gt;AN$5),1))+IF(AR1336="",0,IFERROR(--(EOMONTH(AR1336,0)&lt;&gt;AQ$5),1))+IF(AU1336="",0,IFERROR(--(EOMONTH(AU1336,0)&lt;&gt;AT$5),1))+IF(AX1336="",0,IFERROR(--(EOMONTH(AX1336,0)&lt;&gt;AW$5),1))+IF(BA1336="",0,IFERROR(--(EOMONTH(BA1336,0)&lt;&gt;AZ$5),1)))&gt;0,"; An invoice date is not in the month it is typed under",""),3,500))</f>
        <v/>
      </c>
      <c r="S1336" s="12" t="n"/>
      <c r="T1336" s="13" t="n"/>
      <c r="U1336" s="14" t="n"/>
      <c r="V1336" s="12" t="n"/>
      <c r="W1336" s="13" t="n"/>
      <c r="X1336" s="14" t="n"/>
      <c r="Y1336" s="12" t="n"/>
      <c r="Z1336" s="13" t="n"/>
      <c r="AA1336" s="14" t="n"/>
      <c r="AB1336" s="12" t="n"/>
      <c r="AC1336" s="13" t="n"/>
      <c r="AD1336" s="14" t="n"/>
      <c r="AE1336" s="12" t="n"/>
      <c r="AF1336" s="13" t="n"/>
      <c r="AG1336" s="14" t="n"/>
      <c r="AH1336" s="12" t="n"/>
      <c r="AI1336" s="13" t="n"/>
      <c r="AJ1336" s="14" t="n"/>
      <c r="AK1336" s="12" t="n"/>
      <c r="AL1336" s="13" t="n"/>
      <c r="AM1336" s="14" t="n"/>
      <c r="AN1336" s="12" t="n"/>
      <c r="AO1336" s="13" t="n"/>
      <c r="AP1336" s="14" t="n"/>
      <c r="AQ1336" s="12" t="n"/>
      <c r="AR1336" s="13" t="n"/>
      <c r="AS1336" s="14" t="n"/>
      <c r="AT1336" s="12" t="n"/>
      <c r="AU1336" s="13" t="n"/>
      <c r="AV1336" s="14" t="n"/>
      <c r="AW1336" s="12" t="n"/>
      <c r="AX1336" s="13" t="n"/>
      <c r="AY1336" s="14" t="n"/>
      <c r="AZ1336" s="12" t="n"/>
      <c r="BA1336" s="13" t="n"/>
      <c r="BB1336" s="14" t="n"/>
      <c r="BC1336" s="11">
        <f>IF(O1336="","",IF(J1336="GST 10%",ROUND(O1336*set_GSTRate,2),0))</f>
        <v/>
      </c>
      <c r="BD1336" s="11">
        <f>IF(O1336="","",O1336+BC1336)</f>
        <v/>
      </c>
      <c r="BE1336" s="15">
        <f>IF(O1336="","",COUNTA(S1336,V1336,Y1336,AB1336,AE1336,AH1336,AK1336,AN1336,AQ1336,AT1336,AW1336,AZ1336))</f>
        <v/>
      </c>
      <c r="BF1336" s="16">
        <f>IF(COUNT(T1336,W1336,Z1336,AC1336,AF1336,AI1336,AL1336,AO1336,AR1336,AU1336,AX1336,BA1336)=0,"",MAX(T1336,W1336,Z1336,AC1336,AF1336,AI1336,AL1336,AO1336,AR1336,AU1336,AX1336,BA1336))</f>
        <v/>
      </c>
      <c r="BG1336" s="10">
        <f>MID(IF(S1336="","",", "&amp;S1336)&amp;IF(V1336="","",", "&amp;V1336)&amp;IF(Y1336="","",", "&amp;Y1336)&amp;IF(AB1336="","",", "&amp;AB1336)&amp;IF(AE1336="","",", "&amp;AE1336)&amp;IF(AH1336="","",", "&amp;AH1336)&amp;IF(AK1336="","",", "&amp;AK1336)&amp;IF(AN1336="","",", "&amp;AN1336)&amp;IF(AQ1336="","",", "&amp;AQ1336)&amp;IF(AT1336="","",", "&amp;AT1336)&amp;IF(AW1336="","",", "&amp;AW1336)&amp;IF(AZ1336="","",", "&amp;AZ1336),3,500)</f>
        <v/>
      </c>
      <c r="BH1336" s="12" t="n"/>
      <c r="BI1336" s="15">
        <f>IFERROR(MATCH($A1336,IF($B1336="Onsite",tbl_Onsite[Row ID],IF($B1336="Production",tbl_Production[Row ID],tbl_Consulting[Row ID])),0),"")</f>
        <v/>
      </c>
    </row>
    <row r="1337">
      <c r="A1337" s="10" t="inlineStr">
        <is>
          <t>CON-0331</t>
        </is>
      </c>
      <c r="B1337" s="10" t="inlineStr">
        <is>
          <t>Consulting</t>
        </is>
      </c>
      <c r="C1337" s="10">
        <f>IF($BI1337="","",IF($B1337="Onsite",INDEX(tbl_Onsite[Job Number],$BI1337),IF($B1337="Production",INDEX(tbl_Production[Job Number],$BI1337),INDEX(tbl_Consulting[Job Number],$BI1337)))&amp;"")</f>
        <v/>
      </c>
      <c r="D1337" s="10">
        <f>IF($BI1337="","",IF($B1337="Onsite",INDEX(tbl_Onsite[Client],$BI1337),IF($B1337="Production",INDEX(tbl_Production[Client],$BI1337),INDEX(tbl_Consulting[Client],$BI1337)))&amp;"")</f>
        <v/>
      </c>
      <c r="E1337" s="10">
        <f>IF($C1337="","",IF(COUNTIF(lst_Jobs,$C1337)&gt;0,"OK","CHECK"))</f>
        <v/>
      </c>
      <c r="F1337" s="10">
        <f>IF($C1337="","",IFERROR(INDEX(lst_JobName,MATCH($C1337,lst_Jobs,0)),""))</f>
        <v/>
      </c>
      <c r="G1337" s="10">
        <f>IF($BI1337="","",IF($B1337="Onsite",INDEX(tbl_Onsite[Job Description],$BI1337),IF($B1337="Production",INDEX(tbl_Production[Job Description],$BI1337),INDEX(tbl_Consulting[Job Description],$BI1337)))&amp;"")</f>
        <v/>
      </c>
      <c r="H1337" s="10">
        <f>IF($BI1337="","",IF($B1337="Onsite",INDEX(tbl_Onsite[Cost Centre],$BI1337),IF($B1337="Production",INDEX(tbl_Production[Cost Centre],$BI1337),INDEX(tbl_Consulting[Cost Centre],$BI1337)))&amp;"")</f>
        <v/>
      </c>
      <c r="I1337" s="10">
        <f>IF($BI1337="","",IF($B1337="Onsite",INDEX(tbl_Onsite[Invoice Type],$BI1337),IF($B1337="Production",INDEX(tbl_Production[Invoice Type],$BI1337),INDEX(tbl_Consulting[Invoice Type],$BI1337)))&amp;"")</f>
        <v/>
      </c>
      <c r="J1337" s="10">
        <f>IF($BI1337="","",IF($B1337="Onsite",INDEX(tbl_Onsite[Tax Code],$BI1337),IF($B1337="Production",INDEX(tbl_Production[Tax Code],$BI1337),INDEX(tbl_Consulting[Tax Code],$BI1337)))&amp;"")</f>
        <v/>
      </c>
      <c r="K1337" s="10">
        <f>IF(H1337="","",IFERROR(INDEX(lst_CCtoGL,MATCH(H1337,lst_CCforGL,0)),""))</f>
        <v/>
      </c>
      <c r="L1337" s="10">
        <f>IF($BI1337="","",IF($B1337="Onsite",INDEX(tbl_Onsite[PO / Reference],$BI1337),IF($B1337="Production",INDEX(tbl_Production[Current RMS No],$BI1337),INDEX(tbl_Consulting[Qwilr Quote],$BI1337)))&amp;"")</f>
        <v/>
      </c>
      <c r="M1337" s="10">
        <f>IF($BI1337="","",IF($B1337="Onsite",INDEX(tbl_Onsite[Notes],$BI1337),IF($B1337="Production",INDEX(tbl_Production[Notes],$BI1337),INDEX(tbl_Consulting[Notes],$BI1337)))&amp;"")</f>
        <v/>
      </c>
      <c r="N1337" s="11">
        <f>IF($BI1337="","",IF(IF($B1337="Onsite",INDEX(tbl_Onsite[Expected Revenue Ex GST],$BI1337),IF($B1337="Production",INDEX(tbl_Production[Expected Revenue Ex GST],$BI1337),INDEX(tbl_Consulting[Expected Revenue Ex GST],$BI1337)))="","",IF($B1337="Onsite",INDEX(tbl_Onsite[Expected Revenue Ex GST],$BI1337),IF($B1337="Production",INDEX(tbl_Production[Expected Revenue Ex GST],$BI1337),INDEX(tbl_Consulting[Expected Revenue Ex GST],$BI1337)))))</f>
        <v/>
      </c>
      <c r="O1337" s="11">
        <f>IF(AND($C1337="",NOT(COUNTA($S1337:$BB1337)&gt;0)),"",SUM(U1337,X1337,AA1337,AD1337,AG1337,AJ1337,AM1337,AP1337,AS1337,AV1337,AY1337,BB1337))</f>
        <v/>
      </c>
      <c r="P1337" s="11">
        <f>IF(O1337="","",N(N1337)-O1337)</f>
        <v/>
      </c>
      <c r="Q1337" s="10">
        <f>IF(O1337="","",IF($C1337="","Invoice on empty job row",IF(N1337="",IF(ROUND(O1337,2)=0,"No dept value","Invoiced - no dept value"),IF(ROUND(O1337,2)=0,"Not invoiced - to invoice",IF(ROUND(P1337,2)=0,"Agrees",IF(P1337&gt;0,"Dept higher - to invoice","Xero higher - check dept"))))))</f>
        <v/>
      </c>
      <c r="R1337" s="10">
        <f>IF(AND($C1337="",NOT(COUNTA($S1337:$BB1337)&gt;0),$BI1337&lt;&gt;""),"",MID(IF($BI1337="","; Row ID not found on the department sheet - a row was deleted","")&amp;IF(AND($C1337="",COUNTA($S1337:$BB1337)&gt;0),"; Invoice entered but the department row has no job number","")&amp;IF(E1337="CHECK","; Job number not in the Xero job list","")&amp;IF(AND($C1337&lt;&gt;"",COUNTIF($C$7:$C$1506,$C1337)&gt;1),"; Job number on more than one row","")&amp;IF(AND($C1337&lt;&gt;"",H1337=""),"; Dept has not set a cost centre","")&amp;IF(AND($C1337&lt;&gt;"",J1337=""),"; Dept has not set a tax code","")&amp;IF(AND($C1337&lt;&gt;"",N1337=""),"; Dept has not entered an expected value","")&amp;IF((IF(OR(COUNTA(S1337:U1337)=0,AND(COUNTA(S1337:U1337)=3,ISNUMBER(U1337))),0,1)+IF(OR(COUNTA(V1337:X1337)=0,AND(COUNTA(V1337:X1337)=3,ISNUMBER(X1337))),0,1)+IF(OR(COUNTA(Y1337:AA1337)=0,AND(COUNTA(Y1337:AA1337)=3,ISNUMBER(AA1337))),0,1)+IF(OR(COUNTA(AB1337:AD1337)=0,AND(COUNTA(AB1337:AD1337)=3,ISNUMBER(AD1337))),0,1)+IF(OR(COUNTA(AE1337:AG1337)=0,AND(COUNTA(AE1337:AG1337)=3,ISNUMBER(AG1337))),0,1)+IF(OR(COUNTA(AH1337:AJ1337)=0,AND(COUNTA(AH1337:AJ1337)=3,ISNUMBER(AJ1337))),0,1)+IF(OR(COUNTA(AK1337:AM1337)=0,AND(COUNTA(AK1337:AM1337)=3,ISNUMBER(AM1337))),0,1)+IF(OR(COUNTA(AN1337:AP1337)=0,AND(COUNTA(AN1337:AP1337)=3,ISNUMBER(AP1337))),0,1)+IF(OR(COUNTA(AQ1337:AS1337)=0,AND(COUNTA(AQ1337:AS1337)=3,ISNUMBER(AS1337))),0,1)+IF(OR(COUNTA(AT1337:AV1337)=0,AND(COUNTA(AT1337:AV1337)=3,ISNUMBER(AV1337))),0,1)+IF(OR(COUNTA(AW1337:AY1337)=0,AND(COUNTA(AW1337:AY1337)=3,ISNUMBER(AY1337))),0,1)+IF(OR(COUNTA(AZ1337:BB1337)=0,AND(COUNTA(AZ1337:BB1337)=3,ISNUMBER(BB1337))),0,1))&gt;0,"; An invoice is incomplete (needs No, Date and a number in Ex GST)","")&amp;IF((IF(T1337="",0,IFERROR(--(EOMONTH(T1337,0)&lt;&gt;S$5),1))+IF(W1337="",0,IFERROR(--(EOMONTH(W1337,0)&lt;&gt;V$5),1))+IF(Z1337="",0,IFERROR(--(EOMONTH(Z1337,0)&lt;&gt;Y$5),1))+IF(AC1337="",0,IFERROR(--(EOMONTH(AC1337,0)&lt;&gt;AB$5),1))+IF(AF1337="",0,IFERROR(--(EOMONTH(AF1337,0)&lt;&gt;AE$5),1))+IF(AI1337="",0,IFERROR(--(EOMONTH(AI1337,0)&lt;&gt;AH$5),1))+IF(AL1337="",0,IFERROR(--(EOMONTH(AL1337,0)&lt;&gt;AK$5),1))+IF(AO1337="",0,IFERROR(--(EOMONTH(AO1337,0)&lt;&gt;AN$5),1))+IF(AR1337="",0,IFERROR(--(EOMONTH(AR1337,0)&lt;&gt;AQ$5),1))+IF(AU1337="",0,IFERROR(--(EOMONTH(AU1337,0)&lt;&gt;AT$5),1))+IF(AX1337="",0,IFERROR(--(EOMONTH(AX1337,0)&lt;&gt;AW$5),1))+IF(BA1337="",0,IFERROR(--(EOMONTH(BA1337,0)&lt;&gt;AZ$5),1)))&gt;0,"; An invoice date is not in the month it is typed under",""),3,500))</f>
        <v/>
      </c>
      <c r="S1337" s="12" t="n"/>
      <c r="T1337" s="13" t="n"/>
      <c r="U1337" s="14" t="n"/>
      <c r="V1337" s="12" t="n"/>
      <c r="W1337" s="13" t="n"/>
      <c r="X1337" s="14" t="n"/>
      <c r="Y1337" s="12" t="n"/>
      <c r="Z1337" s="13" t="n"/>
      <c r="AA1337" s="14" t="n"/>
      <c r="AB1337" s="12" t="n"/>
      <c r="AC1337" s="13" t="n"/>
      <c r="AD1337" s="14" t="n"/>
      <c r="AE1337" s="12" t="n"/>
      <c r="AF1337" s="13" t="n"/>
      <c r="AG1337" s="14" t="n"/>
      <c r="AH1337" s="12" t="n"/>
      <c r="AI1337" s="13" t="n"/>
      <c r="AJ1337" s="14" t="n"/>
      <c r="AK1337" s="12" t="n"/>
      <c r="AL1337" s="13" t="n"/>
      <c r="AM1337" s="14" t="n"/>
      <c r="AN1337" s="12" t="n"/>
      <c r="AO1337" s="13" t="n"/>
      <c r="AP1337" s="14" t="n"/>
      <c r="AQ1337" s="12" t="n"/>
      <c r="AR1337" s="13" t="n"/>
      <c r="AS1337" s="14" t="n"/>
      <c r="AT1337" s="12" t="n"/>
      <c r="AU1337" s="13" t="n"/>
      <c r="AV1337" s="14" t="n"/>
      <c r="AW1337" s="12" t="n"/>
      <c r="AX1337" s="13" t="n"/>
      <c r="AY1337" s="14" t="n"/>
      <c r="AZ1337" s="12" t="n"/>
      <c r="BA1337" s="13" t="n"/>
      <c r="BB1337" s="14" t="n"/>
      <c r="BC1337" s="11">
        <f>IF(O1337="","",IF(J1337="GST 10%",ROUND(O1337*set_GSTRate,2),0))</f>
        <v/>
      </c>
      <c r="BD1337" s="11">
        <f>IF(O1337="","",O1337+BC1337)</f>
        <v/>
      </c>
      <c r="BE1337" s="15">
        <f>IF(O1337="","",COUNTA(S1337,V1337,Y1337,AB1337,AE1337,AH1337,AK1337,AN1337,AQ1337,AT1337,AW1337,AZ1337))</f>
        <v/>
      </c>
      <c r="BF1337" s="16">
        <f>IF(COUNT(T1337,W1337,Z1337,AC1337,AF1337,AI1337,AL1337,AO1337,AR1337,AU1337,AX1337,BA1337)=0,"",MAX(T1337,W1337,Z1337,AC1337,AF1337,AI1337,AL1337,AO1337,AR1337,AU1337,AX1337,BA1337))</f>
        <v/>
      </c>
      <c r="BG1337" s="10">
        <f>MID(IF(S1337="","",", "&amp;S1337)&amp;IF(V1337="","",", "&amp;V1337)&amp;IF(Y1337="","",", "&amp;Y1337)&amp;IF(AB1337="","",", "&amp;AB1337)&amp;IF(AE1337="","",", "&amp;AE1337)&amp;IF(AH1337="","",", "&amp;AH1337)&amp;IF(AK1337="","",", "&amp;AK1337)&amp;IF(AN1337="","",", "&amp;AN1337)&amp;IF(AQ1337="","",", "&amp;AQ1337)&amp;IF(AT1337="","",", "&amp;AT1337)&amp;IF(AW1337="","",", "&amp;AW1337)&amp;IF(AZ1337="","",", "&amp;AZ1337),3,500)</f>
        <v/>
      </c>
      <c r="BH1337" s="12" t="n"/>
      <c r="BI1337" s="15">
        <f>IFERROR(MATCH($A1337,IF($B1337="Onsite",tbl_Onsite[Row ID],IF($B1337="Production",tbl_Production[Row ID],tbl_Consulting[Row ID])),0),"")</f>
        <v/>
      </c>
    </row>
    <row r="1338">
      <c r="A1338" s="10" t="inlineStr">
        <is>
          <t>CON-0332</t>
        </is>
      </c>
      <c r="B1338" s="10" t="inlineStr">
        <is>
          <t>Consulting</t>
        </is>
      </c>
      <c r="C1338" s="10">
        <f>IF($BI1338="","",IF($B1338="Onsite",INDEX(tbl_Onsite[Job Number],$BI1338),IF($B1338="Production",INDEX(tbl_Production[Job Number],$BI1338),INDEX(tbl_Consulting[Job Number],$BI1338)))&amp;"")</f>
        <v/>
      </c>
      <c r="D1338" s="10">
        <f>IF($BI1338="","",IF($B1338="Onsite",INDEX(tbl_Onsite[Client],$BI1338),IF($B1338="Production",INDEX(tbl_Production[Client],$BI1338),INDEX(tbl_Consulting[Client],$BI1338)))&amp;"")</f>
        <v/>
      </c>
      <c r="E1338" s="10">
        <f>IF($C1338="","",IF(COUNTIF(lst_Jobs,$C1338)&gt;0,"OK","CHECK"))</f>
        <v/>
      </c>
      <c r="F1338" s="10">
        <f>IF($C1338="","",IFERROR(INDEX(lst_JobName,MATCH($C1338,lst_Jobs,0)),""))</f>
        <v/>
      </c>
      <c r="G1338" s="10">
        <f>IF($BI1338="","",IF($B1338="Onsite",INDEX(tbl_Onsite[Job Description],$BI1338),IF($B1338="Production",INDEX(tbl_Production[Job Description],$BI1338),INDEX(tbl_Consulting[Job Description],$BI1338)))&amp;"")</f>
        <v/>
      </c>
      <c r="H1338" s="10">
        <f>IF($BI1338="","",IF($B1338="Onsite",INDEX(tbl_Onsite[Cost Centre],$BI1338),IF($B1338="Production",INDEX(tbl_Production[Cost Centre],$BI1338),INDEX(tbl_Consulting[Cost Centre],$BI1338)))&amp;"")</f>
        <v/>
      </c>
      <c r="I1338" s="10">
        <f>IF($BI1338="","",IF($B1338="Onsite",INDEX(tbl_Onsite[Invoice Type],$BI1338),IF($B1338="Production",INDEX(tbl_Production[Invoice Type],$BI1338),INDEX(tbl_Consulting[Invoice Type],$BI1338)))&amp;"")</f>
        <v/>
      </c>
      <c r="J1338" s="10">
        <f>IF($BI1338="","",IF($B1338="Onsite",INDEX(tbl_Onsite[Tax Code],$BI1338),IF($B1338="Production",INDEX(tbl_Production[Tax Code],$BI1338),INDEX(tbl_Consulting[Tax Code],$BI1338)))&amp;"")</f>
        <v/>
      </c>
      <c r="K1338" s="10">
        <f>IF(H1338="","",IFERROR(INDEX(lst_CCtoGL,MATCH(H1338,lst_CCforGL,0)),""))</f>
        <v/>
      </c>
      <c r="L1338" s="10">
        <f>IF($BI1338="","",IF($B1338="Onsite",INDEX(tbl_Onsite[PO / Reference],$BI1338),IF($B1338="Production",INDEX(tbl_Production[Current RMS No],$BI1338),INDEX(tbl_Consulting[Qwilr Quote],$BI1338)))&amp;"")</f>
        <v/>
      </c>
      <c r="M1338" s="10">
        <f>IF($BI1338="","",IF($B1338="Onsite",INDEX(tbl_Onsite[Notes],$BI1338),IF($B1338="Production",INDEX(tbl_Production[Notes],$BI1338),INDEX(tbl_Consulting[Notes],$BI1338)))&amp;"")</f>
        <v/>
      </c>
      <c r="N1338" s="11">
        <f>IF($BI1338="","",IF(IF($B1338="Onsite",INDEX(tbl_Onsite[Expected Revenue Ex GST],$BI1338),IF($B1338="Production",INDEX(tbl_Production[Expected Revenue Ex GST],$BI1338),INDEX(tbl_Consulting[Expected Revenue Ex GST],$BI1338)))="","",IF($B1338="Onsite",INDEX(tbl_Onsite[Expected Revenue Ex GST],$BI1338),IF($B1338="Production",INDEX(tbl_Production[Expected Revenue Ex GST],$BI1338),INDEX(tbl_Consulting[Expected Revenue Ex GST],$BI1338)))))</f>
        <v/>
      </c>
      <c r="O1338" s="11">
        <f>IF(AND($C1338="",NOT(COUNTA($S1338:$BB1338)&gt;0)),"",SUM(U1338,X1338,AA1338,AD1338,AG1338,AJ1338,AM1338,AP1338,AS1338,AV1338,AY1338,BB1338))</f>
        <v/>
      </c>
      <c r="P1338" s="11">
        <f>IF(O1338="","",N(N1338)-O1338)</f>
        <v/>
      </c>
      <c r="Q1338" s="10">
        <f>IF(O1338="","",IF($C1338="","Invoice on empty job row",IF(N1338="",IF(ROUND(O1338,2)=0,"No dept value","Invoiced - no dept value"),IF(ROUND(O1338,2)=0,"Not invoiced - to invoice",IF(ROUND(P1338,2)=0,"Agrees",IF(P1338&gt;0,"Dept higher - to invoice","Xero higher - check dept"))))))</f>
        <v/>
      </c>
      <c r="R1338" s="10">
        <f>IF(AND($C1338="",NOT(COUNTA($S1338:$BB1338)&gt;0),$BI1338&lt;&gt;""),"",MID(IF($BI1338="","; Row ID not found on the department sheet - a row was deleted","")&amp;IF(AND($C1338="",COUNTA($S1338:$BB1338)&gt;0),"; Invoice entered but the department row has no job number","")&amp;IF(E1338="CHECK","; Job number not in the Xero job list","")&amp;IF(AND($C1338&lt;&gt;"",COUNTIF($C$7:$C$1506,$C1338)&gt;1),"; Job number on more than one row","")&amp;IF(AND($C1338&lt;&gt;"",H1338=""),"; Dept has not set a cost centre","")&amp;IF(AND($C1338&lt;&gt;"",J1338=""),"; Dept has not set a tax code","")&amp;IF(AND($C1338&lt;&gt;"",N1338=""),"; Dept has not entered an expected value","")&amp;IF((IF(OR(COUNTA(S1338:U1338)=0,AND(COUNTA(S1338:U1338)=3,ISNUMBER(U1338))),0,1)+IF(OR(COUNTA(V1338:X1338)=0,AND(COUNTA(V1338:X1338)=3,ISNUMBER(X1338))),0,1)+IF(OR(COUNTA(Y1338:AA1338)=0,AND(COUNTA(Y1338:AA1338)=3,ISNUMBER(AA1338))),0,1)+IF(OR(COUNTA(AB1338:AD1338)=0,AND(COUNTA(AB1338:AD1338)=3,ISNUMBER(AD1338))),0,1)+IF(OR(COUNTA(AE1338:AG1338)=0,AND(COUNTA(AE1338:AG1338)=3,ISNUMBER(AG1338))),0,1)+IF(OR(COUNTA(AH1338:AJ1338)=0,AND(COUNTA(AH1338:AJ1338)=3,ISNUMBER(AJ1338))),0,1)+IF(OR(COUNTA(AK1338:AM1338)=0,AND(COUNTA(AK1338:AM1338)=3,ISNUMBER(AM1338))),0,1)+IF(OR(COUNTA(AN1338:AP1338)=0,AND(COUNTA(AN1338:AP1338)=3,ISNUMBER(AP1338))),0,1)+IF(OR(COUNTA(AQ1338:AS1338)=0,AND(COUNTA(AQ1338:AS1338)=3,ISNUMBER(AS1338))),0,1)+IF(OR(COUNTA(AT1338:AV1338)=0,AND(COUNTA(AT1338:AV1338)=3,ISNUMBER(AV1338))),0,1)+IF(OR(COUNTA(AW1338:AY1338)=0,AND(COUNTA(AW1338:AY1338)=3,ISNUMBER(AY1338))),0,1)+IF(OR(COUNTA(AZ1338:BB1338)=0,AND(COUNTA(AZ1338:BB1338)=3,ISNUMBER(BB1338))),0,1))&gt;0,"; An invoice is incomplete (needs No, Date and a number in Ex GST)","")&amp;IF((IF(T1338="",0,IFERROR(--(EOMONTH(T1338,0)&lt;&gt;S$5),1))+IF(W1338="",0,IFERROR(--(EOMONTH(W1338,0)&lt;&gt;V$5),1))+IF(Z1338="",0,IFERROR(--(EOMONTH(Z1338,0)&lt;&gt;Y$5),1))+IF(AC1338="",0,IFERROR(--(EOMONTH(AC1338,0)&lt;&gt;AB$5),1))+IF(AF1338="",0,IFERROR(--(EOMONTH(AF1338,0)&lt;&gt;AE$5),1))+IF(AI1338="",0,IFERROR(--(EOMONTH(AI1338,0)&lt;&gt;AH$5),1))+IF(AL1338="",0,IFERROR(--(EOMONTH(AL1338,0)&lt;&gt;AK$5),1))+IF(AO1338="",0,IFERROR(--(EOMONTH(AO1338,0)&lt;&gt;AN$5),1))+IF(AR1338="",0,IFERROR(--(EOMONTH(AR1338,0)&lt;&gt;AQ$5),1))+IF(AU1338="",0,IFERROR(--(EOMONTH(AU1338,0)&lt;&gt;AT$5),1))+IF(AX1338="",0,IFERROR(--(EOMONTH(AX1338,0)&lt;&gt;AW$5),1))+IF(BA1338="",0,IFERROR(--(EOMONTH(BA1338,0)&lt;&gt;AZ$5),1)))&gt;0,"; An invoice date is not in the month it is typed under",""),3,500))</f>
        <v/>
      </c>
      <c r="S1338" s="12" t="n"/>
      <c r="T1338" s="13" t="n"/>
      <c r="U1338" s="14" t="n"/>
      <c r="V1338" s="12" t="n"/>
      <c r="W1338" s="13" t="n"/>
      <c r="X1338" s="14" t="n"/>
      <c r="Y1338" s="12" t="n"/>
      <c r="Z1338" s="13" t="n"/>
      <c r="AA1338" s="14" t="n"/>
      <c r="AB1338" s="12" t="n"/>
      <c r="AC1338" s="13" t="n"/>
      <c r="AD1338" s="14" t="n"/>
      <c r="AE1338" s="12" t="n"/>
      <c r="AF1338" s="13" t="n"/>
      <c r="AG1338" s="14" t="n"/>
      <c r="AH1338" s="12" t="n"/>
      <c r="AI1338" s="13" t="n"/>
      <c r="AJ1338" s="14" t="n"/>
      <c r="AK1338" s="12" t="n"/>
      <c r="AL1338" s="13" t="n"/>
      <c r="AM1338" s="14" t="n"/>
      <c r="AN1338" s="12" t="n"/>
      <c r="AO1338" s="13" t="n"/>
      <c r="AP1338" s="14" t="n"/>
      <c r="AQ1338" s="12" t="n"/>
      <c r="AR1338" s="13" t="n"/>
      <c r="AS1338" s="14" t="n"/>
      <c r="AT1338" s="12" t="n"/>
      <c r="AU1338" s="13" t="n"/>
      <c r="AV1338" s="14" t="n"/>
      <c r="AW1338" s="12" t="n"/>
      <c r="AX1338" s="13" t="n"/>
      <c r="AY1338" s="14" t="n"/>
      <c r="AZ1338" s="12" t="n"/>
      <c r="BA1338" s="13" t="n"/>
      <c r="BB1338" s="14" t="n"/>
      <c r="BC1338" s="11">
        <f>IF(O1338="","",IF(J1338="GST 10%",ROUND(O1338*set_GSTRate,2),0))</f>
        <v/>
      </c>
      <c r="BD1338" s="11">
        <f>IF(O1338="","",O1338+BC1338)</f>
        <v/>
      </c>
      <c r="BE1338" s="15">
        <f>IF(O1338="","",COUNTA(S1338,V1338,Y1338,AB1338,AE1338,AH1338,AK1338,AN1338,AQ1338,AT1338,AW1338,AZ1338))</f>
        <v/>
      </c>
      <c r="BF1338" s="16">
        <f>IF(COUNT(T1338,W1338,Z1338,AC1338,AF1338,AI1338,AL1338,AO1338,AR1338,AU1338,AX1338,BA1338)=0,"",MAX(T1338,W1338,Z1338,AC1338,AF1338,AI1338,AL1338,AO1338,AR1338,AU1338,AX1338,BA1338))</f>
        <v/>
      </c>
      <c r="BG1338" s="10">
        <f>MID(IF(S1338="","",", "&amp;S1338)&amp;IF(V1338="","",", "&amp;V1338)&amp;IF(Y1338="","",", "&amp;Y1338)&amp;IF(AB1338="","",", "&amp;AB1338)&amp;IF(AE1338="","",", "&amp;AE1338)&amp;IF(AH1338="","",", "&amp;AH1338)&amp;IF(AK1338="","",", "&amp;AK1338)&amp;IF(AN1338="","",", "&amp;AN1338)&amp;IF(AQ1338="","",", "&amp;AQ1338)&amp;IF(AT1338="","",", "&amp;AT1338)&amp;IF(AW1338="","",", "&amp;AW1338)&amp;IF(AZ1338="","",", "&amp;AZ1338),3,500)</f>
        <v/>
      </c>
      <c r="BH1338" s="12" t="n"/>
      <c r="BI1338" s="15">
        <f>IFERROR(MATCH($A1338,IF($B1338="Onsite",tbl_Onsite[Row ID],IF($B1338="Production",tbl_Production[Row ID],tbl_Consulting[Row ID])),0),"")</f>
        <v/>
      </c>
    </row>
    <row r="1339">
      <c r="A1339" s="10" t="inlineStr">
        <is>
          <t>CON-0333</t>
        </is>
      </c>
      <c r="B1339" s="10" t="inlineStr">
        <is>
          <t>Consulting</t>
        </is>
      </c>
      <c r="C1339" s="10">
        <f>IF($BI1339="","",IF($B1339="Onsite",INDEX(tbl_Onsite[Job Number],$BI1339),IF($B1339="Production",INDEX(tbl_Production[Job Number],$BI1339),INDEX(tbl_Consulting[Job Number],$BI1339)))&amp;"")</f>
        <v/>
      </c>
      <c r="D1339" s="10">
        <f>IF($BI1339="","",IF($B1339="Onsite",INDEX(tbl_Onsite[Client],$BI1339),IF($B1339="Production",INDEX(tbl_Production[Client],$BI1339),INDEX(tbl_Consulting[Client],$BI1339)))&amp;"")</f>
        <v/>
      </c>
      <c r="E1339" s="10">
        <f>IF($C1339="","",IF(COUNTIF(lst_Jobs,$C1339)&gt;0,"OK","CHECK"))</f>
        <v/>
      </c>
      <c r="F1339" s="10">
        <f>IF($C1339="","",IFERROR(INDEX(lst_JobName,MATCH($C1339,lst_Jobs,0)),""))</f>
        <v/>
      </c>
      <c r="G1339" s="10">
        <f>IF($BI1339="","",IF($B1339="Onsite",INDEX(tbl_Onsite[Job Description],$BI1339),IF($B1339="Production",INDEX(tbl_Production[Job Description],$BI1339),INDEX(tbl_Consulting[Job Description],$BI1339)))&amp;"")</f>
        <v/>
      </c>
      <c r="H1339" s="10">
        <f>IF($BI1339="","",IF($B1339="Onsite",INDEX(tbl_Onsite[Cost Centre],$BI1339),IF($B1339="Production",INDEX(tbl_Production[Cost Centre],$BI1339),INDEX(tbl_Consulting[Cost Centre],$BI1339)))&amp;"")</f>
        <v/>
      </c>
      <c r="I1339" s="10">
        <f>IF($BI1339="","",IF($B1339="Onsite",INDEX(tbl_Onsite[Invoice Type],$BI1339),IF($B1339="Production",INDEX(tbl_Production[Invoice Type],$BI1339),INDEX(tbl_Consulting[Invoice Type],$BI1339)))&amp;"")</f>
        <v/>
      </c>
      <c r="J1339" s="10">
        <f>IF($BI1339="","",IF($B1339="Onsite",INDEX(tbl_Onsite[Tax Code],$BI1339),IF($B1339="Production",INDEX(tbl_Production[Tax Code],$BI1339),INDEX(tbl_Consulting[Tax Code],$BI1339)))&amp;"")</f>
        <v/>
      </c>
      <c r="K1339" s="10">
        <f>IF(H1339="","",IFERROR(INDEX(lst_CCtoGL,MATCH(H1339,lst_CCforGL,0)),""))</f>
        <v/>
      </c>
      <c r="L1339" s="10">
        <f>IF($BI1339="","",IF($B1339="Onsite",INDEX(tbl_Onsite[PO / Reference],$BI1339),IF($B1339="Production",INDEX(tbl_Production[Current RMS No],$BI1339),INDEX(tbl_Consulting[Qwilr Quote],$BI1339)))&amp;"")</f>
        <v/>
      </c>
      <c r="M1339" s="10">
        <f>IF($BI1339="","",IF($B1339="Onsite",INDEX(tbl_Onsite[Notes],$BI1339),IF($B1339="Production",INDEX(tbl_Production[Notes],$BI1339),INDEX(tbl_Consulting[Notes],$BI1339)))&amp;"")</f>
        <v/>
      </c>
      <c r="N1339" s="11">
        <f>IF($BI1339="","",IF(IF($B1339="Onsite",INDEX(tbl_Onsite[Expected Revenue Ex GST],$BI1339),IF($B1339="Production",INDEX(tbl_Production[Expected Revenue Ex GST],$BI1339),INDEX(tbl_Consulting[Expected Revenue Ex GST],$BI1339)))="","",IF($B1339="Onsite",INDEX(tbl_Onsite[Expected Revenue Ex GST],$BI1339),IF($B1339="Production",INDEX(tbl_Production[Expected Revenue Ex GST],$BI1339),INDEX(tbl_Consulting[Expected Revenue Ex GST],$BI1339)))))</f>
        <v/>
      </c>
      <c r="O1339" s="11">
        <f>IF(AND($C1339="",NOT(COUNTA($S1339:$BB1339)&gt;0)),"",SUM(U1339,X1339,AA1339,AD1339,AG1339,AJ1339,AM1339,AP1339,AS1339,AV1339,AY1339,BB1339))</f>
        <v/>
      </c>
      <c r="P1339" s="11">
        <f>IF(O1339="","",N(N1339)-O1339)</f>
        <v/>
      </c>
      <c r="Q1339" s="10">
        <f>IF(O1339="","",IF($C1339="","Invoice on empty job row",IF(N1339="",IF(ROUND(O1339,2)=0,"No dept value","Invoiced - no dept value"),IF(ROUND(O1339,2)=0,"Not invoiced - to invoice",IF(ROUND(P1339,2)=0,"Agrees",IF(P1339&gt;0,"Dept higher - to invoice","Xero higher - check dept"))))))</f>
        <v/>
      </c>
      <c r="R1339" s="10">
        <f>IF(AND($C1339="",NOT(COUNTA($S1339:$BB1339)&gt;0),$BI1339&lt;&gt;""),"",MID(IF($BI1339="","; Row ID not found on the department sheet - a row was deleted","")&amp;IF(AND($C1339="",COUNTA($S1339:$BB1339)&gt;0),"; Invoice entered but the department row has no job number","")&amp;IF(E1339="CHECK","; Job number not in the Xero job list","")&amp;IF(AND($C1339&lt;&gt;"",COUNTIF($C$7:$C$1506,$C1339)&gt;1),"; Job number on more than one row","")&amp;IF(AND($C1339&lt;&gt;"",H1339=""),"; Dept has not set a cost centre","")&amp;IF(AND($C1339&lt;&gt;"",J1339=""),"; Dept has not set a tax code","")&amp;IF(AND($C1339&lt;&gt;"",N1339=""),"; Dept has not entered an expected value","")&amp;IF((IF(OR(COUNTA(S1339:U1339)=0,AND(COUNTA(S1339:U1339)=3,ISNUMBER(U1339))),0,1)+IF(OR(COUNTA(V1339:X1339)=0,AND(COUNTA(V1339:X1339)=3,ISNUMBER(X1339))),0,1)+IF(OR(COUNTA(Y1339:AA1339)=0,AND(COUNTA(Y1339:AA1339)=3,ISNUMBER(AA1339))),0,1)+IF(OR(COUNTA(AB1339:AD1339)=0,AND(COUNTA(AB1339:AD1339)=3,ISNUMBER(AD1339))),0,1)+IF(OR(COUNTA(AE1339:AG1339)=0,AND(COUNTA(AE1339:AG1339)=3,ISNUMBER(AG1339))),0,1)+IF(OR(COUNTA(AH1339:AJ1339)=0,AND(COUNTA(AH1339:AJ1339)=3,ISNUMBER(AJ1339))),0,1)+IF(OR(COUNTA(AK1339:AM1339)=0,AND(COUNTA(AK1339:AM1339)=3,ISNUMBER(AM1339))),0,1)+IF(OR(COUNTA(AN1339:AP1339)=0,AND(COUNTA(AN1339:AP1339)=3,ISNUMBER(AP1339))),0,1)+IF(OR(COUNTA(AQ1339:AS1339)=0,AND(COUNTA(AQ1339:AS1339)=3,ISNUMBER(AS1339))),0,1)+IF(OR(COUNTA(AT1339:AV1339)=0,AND(COUNTA(AT1339:AV1339)=3,ISNUMBER(AV1339))),0,1)+IF(OR(COUNTA(AW1339:AY1339)=0,AND(COUNTA(AW1339:AY1339)=3,ISNUMBER(AY1339))),0,1)+IF(OR(COUNTA(AZ1339:BB1339)=0,AND(COUNTA(AZ1339:BB1339)=3,ISNUMBER(BB1339))),0,1))&gt;0,"; An invoice is incomplete (needs No, Date and a number in Ex GST)","")&amp;IF((IF(T1339="",0,IFERROR(--(EOMONTH(T1339,0)&lt;&gt;S$5),1))+IF(W1339="",0,IFERROR(--(EOMONTH(W1339,0)&lt;&gt;V$5),1))+IF(Z1339="",0,IFERROR(--(EOMONTH(Z1339,0)&lt;&gt;Y$5),1))+IF(AC1339="",0,IFERROR(--(EOMONTH(AC1339,0)&lt;&gt;AB$5),1))+IF(AF1339="",0,IFERROR(--(EOMONTH(AF1339,0)&lt;&gt;AE$5),1))+IF(AI1339="",0,IFERROR(--(EOMONTH(AI1339,0)&lt;&gt;AH$5),1))+IF(AL1339="",0,IFERROR(--(EOMONTH(AL1339,0)&lt;&gt;AK$5),1))+IF(AO1339="",0,IFERROR(--(EOMONTH(AO1339,0)&lt;&gt;AN$5),1))+IF(AR1339="",0,IFERROR(--(EOMONTH(AR1339,0)&lt;&gt;AQ$5),1))+IF(AU1339="",0,IFERROR(--(EOMONTH(AU1339,0)&lt;&gt;AT$5),1))+IF(AX1339="",0,IFERROR(--(EOMONTH(AX1339,0)&lt;&gt;AW$5),1))+IF(BA1339="",0,IFERROR(--(EOMONTH(BA1339,0)&lt;&gt;AZ$5),1)))&gt;0,"; An invoice date is not in the month it is typed under",""),3,500))</f>
        <v/>
      </c>
      <c r="S1339" s="12" t="n"/>
      <c r="T1339" s="13" t="n"/>
      <c r="U1339" s="14" t="n"/>
      <c r="V1339" s="12" t="n"/>
      <c r="W1339" s="13" t="n"/>
      <c r="X1339" s="14" t="n"/>
      <c r="Y1339" s="12" t="n"/>
      <c r="Z1339" s="13" t="n"/>
      <c r="AA1339" s="14" t="n"/>
      <c r="AB1339" s="12" t="n"/>
      <c r="AC1339" s="13" t="n"/>
      <c r="AD1339" s="14" t="n"/>
      <c r="AE1339" s="12" t="n"/>
      <c r="AF1339" s="13" t="n"/>
      <c r="AG1339" s="14" t="n"/>
      <c r="AH1339" s="12" t="n"/>
      <c r="AI1339" s="13" t="n"/>
      <c r="AJ1339" s="14" t="n"/>
      <c r="AK1339" s="12" t="n"/>
      <c r="AL1339" s="13" t="n"/>
      <c r="AM1339" s="14" t="n"/>
      <c r="AN1339" s="12" t="n"/>
      <c r="AO1339" s="13" t="n"/>
      <c r="AP1339" s="14" t="n"/>
      <c r="AQ1339" s="12" t="n"/>
      <c r="AR1339" s="13" t="n"/>
      <c r="AS1339" s="14" t="n"/>
      <c r="AT1339" s="12" t="n"/>
      <c r="AU1339" s="13" t="n"/>
      <c r="AV1339" s="14" t="n"/>
      <c r="AW1339" s="12" t="n"/>
      <c r="AX1339" s="13" t="n"/>
      <c r="AY1339" s="14" t="n"/>
      <c r="AZ1339" s="12" t="n"/>
      <c r="BA1339" s="13" t="n"/>
      <c r="BB1339" s="14" t="n"/>
      <c r="BC1339" s="11">
        <f>IF(O1339="","",IF(J1339="GST 10%",ROUND(O1339*set_GSTRate,2),0))</f>
        <v/>
      </c>
      <c r="BD1339" s="11">
        <f>IF(O1339="","",O1339+BC1339)</f>
        <v/>
      </c>
      <c r="BE1339" s="15">
        <f>IF(O1339="","",COUNTA(S1339,V1339,Y1339,AB1339,AE1339,AH1339,AK1339,AN1339,AQ1339,AT1339,AW1339,AZ1339))</f>
        <v/>
      </c>
      <c r="BF1339" s="16">
        <f>IF(COUNT(T1339,W1339,Z1339,AC1339,AF1339,AI1339,AL1339,AO1339,AR1339,AU1339,AX1339,BA1339)=0,"",MAX(T1339,W1339,Z1339,AC1339,AF1339,AI1339,AL1339,AO1339,AR1339,AU1339,AX1339,BA1339))</f>
        <v/>
      </c>
      <c r="BG1339" s="10">
        <f>MID(IF(S1339="","",", "&amp;S1339)&amp;IF(V1339="","",", "&amp;V1339)&amp;IF(Y1339="","",", "&amp;Y1339)&amp;IF(AB1339="","",", "&amp;AB1339)&amp;IF(AE1339="","",", "&amp;AE1339)&amp;IF(AH1339="","",", "&amp;AH1339)&amp;IF(AK1339="","",", "&amp;AK1339)&amp;IF(AN1339="","",", "&amp;AN1339)&amp;IF(AQ1339="","",", "&amp;AQ1339)&amp;IF(AT1339="","",", "&amp;AT1339)&amp;IF(AW1339="","",", "&amp;AW1339)&amp;IF(AZ1339="","",", "&amp;AZ1339),3,500)</f>
        <v/>
      </c>
      <c r="BH1339" s="12" t="n"/>
      <c r="BI1339" s="15">
        <f>IFERROR(MATCH($A1339,IF($B1339="Onsite",tbl_Onsite[Row ID],IF($B1339="Production",tbl_Production[Row ID],tbl_Consulting[Row ID])),0),"")</f>
        <v/>
      </c>
    </row>
    <row r="1340">
      <c r="A1340" s="10" t="inlineStr">
        <is>
          <t>CON-0334</t>
        </is>
      </c>
      <c r="B1340" s="10" t="inlineStr">
        <is>
          <t>Consulting</t>
        </is>
      </c>
      <c r="C1340" s="10">
        <f>IF($BI1340="","",IF($B1340="Onsite",INDEX(tbl_Onsite[Job Number],$BI1340),IF($B1340="Production",INDEX(tbl_Production[Job Number],$BI1340),INDEX(tbl_Consulting[Job Number],$BI1340)))&amp;"")</f>
        <v/>
      </c>
      <c r="D1340" s="10">
        <f>IF($BI1340="","",IF($B1340="Onsite",INDEX(tbl_Onsite[Client],$BI1340),IF($B1340="Production",INDEX(tbl_Production[Client],$BI1340),INDEX(tbl_Consulting[Client],$BI1340)))&amp;"")</f>
        <v/>
      </c>
      <c r="E1340" s="10">
        <f>IF($C1340="","",IF(COUNTIF(lst_Jobs,$C1340)&gt;0,"OK","CHECK"))</f>
        <v/>
      </c>
      <c r="F1340" s="10">
        <f>IF($C1340="","",IFERROR(INDEX(lst_JobName,MATCH($C1340,lst_Jobs,0)),""))</f>
        <v/>
      </c>
      <c r="G1340" s="10">
        <f>IF($BI1340="","",IF($B1340="Onsite",INDEX(tbl_Onsite[Job Description],$BI1340),IF($B1340="Production",INDEX(tbl_Production[Job Description],$BI1340),INDEX(tbl_Consulting[Job Description],$BI1340)))&amp;"")</f>
        <v/>
      </c>
      <c r="H1340" s="10">
        <f>IF($BI1340="","",IF($B1340="Onsite",INDEX(tbl_Onsite[Cost Centre],$BI1340),IF($B1340="Production",INDEX(tbl_Production[Cost Centre],$BI1340),INDEX(tbl_Consulting[Cost Centre],$BI1340)))&amp;"")</f>
        <v/>
      </c>
      <c r="I1340" s="10">
        <f>IF($BI1340="","",IF($B1340="Onsite",INDEX(tbl_Onsite[Invoice Type],$BI1340),IF($B1340="Production",INDEX(tbl_Production[Invoice Type],$BI1340),INDEX(tbl_Consulting[Invoice Type],$BI1340)))&amp;"")</f>
        <v/>
      </c>
      <c r="J1340" s="10">
        <f>IF($BI1340="","",IF($B1340="Onsite",INDEX(tbl_Onsite[Tax Code],$BI1340),IF($B1340="Production",INDEX(tbl_Production[Tax Code],$BI1340),INDEX(tbl_Consulting[Tax Code],$BI1340)))&amp;"")</f>
        <v/>
      </c>
      <c r="K1340" s="10">
        <f>IF(H1340="","",IFERROR(INDEX(lst_CCtoGL,MATCH(H1340,lst_CCforGL,0)),""))</f>
        <v/>
      </c>
      <c r="L1340" s="10">
        <f>IF($BI1340="","",IF($B1340="Onsite",INDEX(tbl_Onsite[PO / Reference],$BI1340),IF($B1340="Production",INDEX(tbl_Production[Current RMS No],$BI1340),INDEX(tbl_Consulting[Qwilr Quote],$BI1340)))&amp;"")</f>
        <v/>
      </c>
      <c r="M1340" s="10">
        <f>IF($BI1340="","",IF($B1340="Onsite",INDEX(tbl_Onsite[Notes],$BI1340),IF($B1340="Production",INDEX(tbl_Production[Notes],$BI1340),INDEX(tbl_Consulting[Notes],$BI1340)))&amp;"")</f>
        <v/>
      </c>
      <c r="N1340" s="11">
        <f>IF($BI1340="","",IF(IF($B1340="Onsite",INDEX(tbl_Onsite[Expected Revenue Ex GST],$BI1340),IF($B1340="Production",INDEX(tbl_Production[Expected Revenue Ex GST],$BI1340),INDEX(tbl_Consulting[Expected Revenue Ex GST],$BI1340)))="","",IF($B1340="Onsite",INDEX(tbl_Onsite[Expected Revenue Ex GST],$BI1340),IF($B1340="Production",INDEX(tbl_Production[Expected Revenue Ex GST],$BI1340),INDEX(tbl_Consulting[Expected Revenue Ex GST],$BI1340)))))</f>
        <v/>
      </c>
      <c r="O1340" s="11">
        <f>IF(AND($C1340="",NOT(COUNTA($S1340:$BB1340)&gt;0)),"",SUM(U1340,X1340,AA1340,AD1340,AG1340,AJ1340,AM1340,AP1340,AS1340,AV1340,AY1340,BB1340))</f>
        <v/>
      </c>
      <c r="P1340" s="11">
        <f>IF(O1340="","",N(N1340)-O1340)</f>
        <v/>
      </c>
      <c r="Q1340" s="10">
        <f>IF(O1340="","",IF($C1340="","Invoice on empty job row",IF(N1340="",IF(ROUND(O1340,2)=0,"No dept value","Invoiced - no dept value"),IF(ROUND(O1340,2)=0,"Not invoiced - to invoice",IF(ROUND(P1340,2)=0,"Agrees",IF(P1340&gt;0,"Dept higher - to invoice","Xero higher - check dept"))))))</f>
        <v/>
      </c>
      <c r="R1340" s="10">
        <f>IF(AND($C1340="",NOT(COUNTA($S1340:$BB1340)&gt;0),$BI1340&lt;&gt;""),"",MID(IF($BI1340="","; Row ID not found on the department sheet - a row was deleted","")&amp;IF(AND($C1340="",COUNTA($S1340:$BB1340)&gt;0),"; Invoice entered but the department row has no job number","")&amp;IF(E1340="CHECK","; Job number not in the Xero job list","")&amp;IF(AND($C1340&lt;&gt;"",COUNTIF($C$7:$C$1506,$C1340)&gt;1),"; Job number on more than one row","")&amp;IF(AND($C1340&lt;&gt;"",H1340=""),"; Dept has not set a cost centre","")&amp;IF(AND($C1340&lt;&gt;"",J1340=""),"; Dept has not set a tax code","")&amp;IF(AND($C1340&lt;&gt;"",N1340=""),"; Dept has not entered an expected value","")&amp;IF((IF(OR(COUNTA(S1340:U1340)=0,AND(COUNTA(S1340:U1340)=3,ISNUMBER(U1340))),0,1)+IF(OR(COUNTA(V1340:X1340)=0,AND(COUNTA(V1340:X1340)=3,ISNUMBER(X1340))),0,1)+IF(OR(COUNTA(Y1340:AA1340)=0,AND(COUNTA(Y1340:AA1340)=3,ISNUMBER(AA1340))),0,1)+IF(OR(COUNTA(AB1340:AD1340)=0,AND(COUNTA(AB1340:AD1340)=3,ISNUMBER(AD1340))),0,1)+IF(OR(COUNTA(AE1340:AG1340)=0,AND(COUNTA(AE1340:AG1340)=3,ISNUMBER(AG1340))),0,1)+IF(OR(COUNTA(AH1340:AJ1340)=0,AND(COUNTA(AH1340:AJ1340)=3,ISNUMBER(AJ1340))),0,1)+IF(OR(COUNTA(AK1340:AM1340)=0,AND(COUNTA(AK1340:AM1340)=3,ISNUMBER(AM1340))),0,1)+IF(OR(COUNTA(AN1340:AP1340)=0,AND(COUNTA(AN1340:AP1340)=3,ISNUMBER(AP1340))),0,1)+IF(OR(COUNTA(AQ1340:AS1340)=0,AND(COUNTA(AQ1340:AS1340)=3,ISNUMBER(AS1340))),0,1)+IF(OR(COUNTA(AT1340:AV1340)=0,AND(COUNTA(AT1340:AV1340)=3,ISNUMBER(AV1340))),0,1)+IF(OR(COUNTA(AW1340:AY1340)=0,AND(COUNTA(AW1340:AY1340)=3,ISNUMBER(AY1340))),0,1)+IF(OR(COUNTA(AZ1340:BB1340)=0,AND(COUNTA(AZ1340:BB1340)=3,ISNUMBER(BB1340))),0,1))&gt;0,"; An invoice is incomplete (needs No, Date and a number in Ex GST)","")&amp;IF((IF(T1340="",0,IFERROR(--(EOMONTH(T1340,0)&lt;&gt;S$5),1))+IF(W1340="",0,IFERROR(--(EOMONTH(W1340,0)&lt;&gt;V$5),1))+IF(Z1340="",0,IFERROR(--(EOMONTH(Z1340,0)&lt;&gt;Y$5),1))+IF(AC1340="",0,IFERROR(--(EOMONTH(AC1340,0)&lt;&gt;AB$5),1))+IF(AF1340="",0,IFERROR(--(EOMONTH(AF1340,0)&lt;&gt;AE$5),1))+IF(AI1340="",0,IFERROR(--(EOMONTH(AI1340,0)&lt;&gt;AH$5),1))+IF(AL1340="",0,IFERROR(--(EOMONTH(AL1340,0)&lt;&gt;AK$5),1))+IF(AO1340="",0,IFERROR(--(EOMONTH(AO1340,0)&lt;&gt;AN$5),1))+IF(AR1340="",0,IFERROR(--(EOMONTH(AR1340,0)&lt;&gt;AQ$5),1))+IF(AU1340="",0,IFERROR(--(EOMONTH(AU1340,0)&lt;&gt;AT$5),1))+IF(AX1340="",0,IFERROR(--(EOMONTH(AX1340,0)&lt;&gt;AW$5),1))+IF(BA1340="",0,IFERROR(--(EOMONTH(BA1340,0)&lt;&gt;AZ$5),1)))&gt;0,"; An invoice date is not in the month it is typed under",""),3,500))</f>
        <v/>
      </c>
      <c r="S1340" s="12" t="n"/>
      <c r="T1340" s="13" t="n"/>
      <c r="U1340" s="14" t="n"/>
      <c r="V1340" s="12" t="n"/>
      <c r="W1340" s="13" t="n"/>
      <c r="X1340" s="14" t="n"/>
      <c r="Y1340" s="12" t="n"/>
      <c r="Z1340" s="13" t="n"/>
      <c r="AA1340" s="14" t="n"/>
      <c r="AB1340" s="12" t="n"/>
      <c r="AC1340" s="13" t="n"/>
      <c r="AD1340" s="14" t="n"/>
      <c r="AE1340" s="12" t="n"/>
      <c r="AF1340" s="13" t="n"/>
      <c r="AG1340" s="14" t="n"/>
      <c r="AH1340" s="12" t="n"/>
      <c r="AI1340" s="13" t="n"/>
      <c r="AJ1340" s="14" t="n"/>
      <c r="AK1340" s="12" t="n"/>
      <c r="AL1340" s="13" t="n"/>
      <c r="AM1340" s="14" t="n"/>
      <c r="AN1340" s="12" t="n"/>
      <c r="AO1340" s="13" t="n"/>
      <c r="AP1340" s="14" t="n"/>
      <c r="AQ1340" s="12" t="n"/>
      <c r="AR1340" s="13" t="n"/>
      <c r="AS1340" s="14" t="n"/>
      <c r="AT1340" s="12" t="n"/>
      <c r="AU1340" s="13" t="n"/>
      <c r="AV1340" s="14" t="n"/>
      <c r="AW1340" s="12" t="n"/>
      <c r="AX1340" s="13" t="n"/>
      <c r="AY1340" s="14" t="n"/>
      <c r="AZ1340" s="12" t="n"/>
      <c r="BA1340" s="13" t="n"/>
      <c r="BB1340" s="14" t="n"/>
      <c r="BC1340" s="11">
        <f>IF(O1340="","",IF(J1340="GST 10%",ROUND(O1340*set_GSTRate,2),0))</f>
        <v/>
      </c>
      <c r="BD1340" s="11">
        <f>IF(O1340="","",O1340+BC1340)</f>
        <v/>
      </c>
      <c r="BE1340" s="15">
        <f>IF(O1340="","",COUNTA(S1340,V1340,Y1340,AB1340,AE1340,AH1340,AK1340,AN1340,AQ1340,AT1340,AW1340,AZ1340))</f>
        <v/>
      </c>
      <c r="BF1340" s="16">
        <f>IF(COUNT(T1340,W1340,Z1340,AC1340,AF1340,AI1340,AL1340,AO1340,AR1340,AU1340,AX1340,BA1340)=0,"",MAX(T1340,W1340,Z1340,AC1340,AF1340,AI1340,AL1340,AO1340,AR1340,AU1340,AX1340,BA1340))</f>
        <v/>
      </c>
      <c r="BG1340" s="10">
        <f>MID(IF(S1340="","",", "&amp;S1340)&amp;IF(V1340="","",", "&amp;V1340)&amp;IF(Y1340="","",", "&amp;Y1340)&amp;IF(AB1340="","",", "&amp;AB1340)&amp;IF(AE1340="","",", "&amp;AE1340)&amp;IF(AH1340="","",", "&amp;AH1340)&amp;IF(AK1340="","",", "&amp;AK1340)&amp;IF(AN1340="","",", "&amp;AN1340)&amp;IF(AQ1340="","",", "&amp;AQ1340)&amp;IF(AT1340="","",", "&amp;AT1340)&amp;IF(AW1340="","",", "&amp;AW1340)&amp;IF(AZ1340="","",", "&amp;AZ1340),3,500)</f>
        <v/>
      </c>
      <c r="BH1340" s="12" t="n"/>
      <c r="BI1340" s="15">
        <f>IFERROR(MATCH($A1340,IF($B1340="Onsite",tbl_Onsite[Row ID],IF($B1340="Production",tbl_Production[Row ID],tbl_Consulting[Row ID])),0),"")</f>
        <v/>
      </c>
    </row>
    <row r="1341">
      <c r="A1341" s="10" t="inlineStr">
        <is>
          <t>CON-0335</t>
        </is>
      </c>
      <c r="B1341" s="10" t="inlineStr">
        <is>
          <t>Consulting</t>
        </is>
      </c>
      <c r="C1341" s="10">
        <f>IF($BI1341="","",IF($B1341="Onsite",INDEX(tbl_Onsite[Job Number],$BI1341),IF($B1341="Production",INDEX(tbl_Production[Job Number],$BI1341),INDEX(tbl_Consulting[Job Number],$BI1341)))&amp;"")</f>
        <v/>
      </c>
      <c r="D1341" s="10">
        <f>IF($BI1341="","",IF($B1341="Onsite",INDEX(tbl_Onsite[Client],$BI1341),IF($B1341="Production",INDEX(tbl_Production[Client],$BI1341),INDEX(tbl_Consulting[Client],$BI1341)))&amp;"")</f>
        <v/>
      </c>
      <c r="E1341" s="10">
        <f>IF($C1341="","",IF(COUNTIF(lst_Jobs,$C1341)&gt;0,"OK","CHECK"))</f>
        <v/>
      </c>
      <c r="F1341" s="10">
        <f>IF($C1341="","",IFERROR(INDEX(lst_JobName,MATCH($C1341,lst_Jobs,0)),""))</f>
        <v/>
      </c>
      <c r="G1341" s="10">
        <f>IF($BI1341="","",IF($B1341="Onsite",INDEX(tbl_Onsite[Job Description],$BI1341),IF($B1341="Production",INDEX(tbl_Production[Job Description],$BI1341),INDEX(tbl_Consulting[Job Description],$BI1341)))&amp;"")</f>
        <v/>
      </c>
      <c r="H1341" s="10">
        <f>IF($BI1341="","",IF($B1341="Onsite",INDEX(tbl_Onsite[Cost Centre],$BI1341),IF($B1341="Production",INDEX(tbl_Production[Cost Centre],$BI1341),INDEX(tbl_Consulting[Cost Centre],$BI1341)))&amp;"")</f>
        <v/>
      </c>
      <c r="I1341" s="10">
        <f>IF($BI1341="","",IF($B1341="Onsite",INDEX(tbl_Onsite[Invoice Type],$BI1341),IF($B1341="Production",INDEX(tbl_Production[Invoice Type],$BI1341),INDEX(tbl_Consulting[Invoice Type],$BI1341)))&amp;"")</f>
        <v/>
      </c>
      <c r="J1341" s="10">
        <f>IF($BI1341="","",IF($B1341="Onsite",INDEX(tbl_Onsite[Tax Code],$BI1341),IF($B1341="Production",INDEX(tbl_Production[Tax Code],$BI1341),INDEX(tbl_Consulting[Tax Code],$BI1341)))&amp;"")</f>
        <v/>
      </c>
      <c r="K1341" s="10">
        <f>IF(H1341="","",IFERROR(INDEX(lst_CCtoGL,MATCH(H1341,lst_CCforGL,0)),""))</f>
        <v/>
      </c>
      <c r="L1341" s="10">
        <f>IF($BI1341="","",IF($B1341="Onsite",INDEX(tbl_Onsite[PO / Reference],$BI1341),IF($B1341="Production",INDEX(tbl_Production[Current RMS No],$BI1341),INDEX(tbl_Consulting[Qwilr Quote],$BI1341)))&amp;"")</f>
        <v/>
      </c>
      <c r="M1341" s="10">
        <f>IF($BI1341="","",IF($B1341="Onsite",INDEX(tbl_Onsite[Notes],$BI1341),IF($B1341="Production",INDEX(tbl_Production[Notes],$BI1341),INDEX(tbl_Consulting[Notes],$BI1341)))&amp;"")</f>
        <v/>
      </c>
      <c r="N1341" s="11">
        <f>IF($BI1341="","",IF(IF($B1341="Onsite",INDEX(tbl_Onsite[Expected Revenue Ex GST],$BI1341),IF($B1341="Production",INDEX(tbl_Production[Expected Revenue Ex GST],$BI1341),INDEX(tbl_Consulting[Expected Revenue Ex GST],$BI1341)))="","",IF($B1341="Onsite",INDEX(tbl_Onsite[Expected Revenue Ex GST],$BI1341),IF($B1341="Production",INDEX(tbl_Production[Expected Revenue Ex GST],$BI1341),INDEX(tbl_Consulting[Expected Revenue Ex GST],$BI1341)))))</f>
        <v/>
      </c>
      <c r="O1341" s="11">
        <f>IF(AND($C1341="",NOT(COUNTA($S1341:$BB1341)&gt;0)),"",SUM(U1341,X1341,AA1341,AD1341,AG1341,AJ1341,AM1341,AP1341,AS1341,AV1341,AY1341,BB1341))</f>
        <v/>
      </c>
      <c r="P1341" s="11">
        <f>IF(O1341="","",N(N1341)-O1341)</f>
        <v/>
      </c>
      <c r="Q1341" s="10">
        <f>IF(O1341="","",IF($C1341="","Invoice on empty job row",IF(N1341="",IF(ROUND(O1341,2)=0,"No dept value","Invoiced - no dept value"),IF(ROUND(O1341,2)=0,"Not invoiced - to invoice",IF(ROUND(P1341,2)=0,"Agrees",IF(P1341&gt;0,"Dept higher - to invoice","Xero higher - check dept"))))))</f>
        <v/>
      </c>
      <c r="R1341" s="10">
        <f>IF(AND($C1341="",NOT(COUNTA($S1341:$BB1341)&gt;0),$BI1341&lt;&gt;""),"",MID(IF($BI1341="","; Row ID not found on the department sheet - a row was deleted","")&amp;IF(AND($C1341="",COUNTA($S1341:$BB1341)&gt;0),"; Invoice entered but the department row has no job number","")&amp;IF(E1341="CHECK","; Job number not in the Xero job list","")&amp;IF(AND($C1341&lt;&gt;"",COUNTIF($C$7:$C$1506,$C1341)&gt;1),"; Job number on more than one row","")&amp;IF(AND($C1341&lt;&gt;"",H1341=""),"; Dept has not set a cost centre","")&amp;IF(AND($C1341&lt;&gt;"",J1341=""),"; Dept has not set a tax code","")&amp;IF(AND($C1341&lt;&gt;"",N1341=""),"; Dept has not entered an expected value","")&amp;IF((IF(OR(COUNTA(S1341:U1341)=0,AND(COUNTA(S1341:U1341)=3,ISNUMBER(U1341))),0,1)+IF(OR(COUNTA(V1341:X1341)=0,AND(COUNTA(V1341:X1341)=3,ISNUMBER(X1341))),0,1)+IF(OR(COUNTA(Y1341:AA1341)=0,AND(COUNTA(Y1341:AA1341)=3,ISNUMBER(AA1341))),0,1)+IF(OR(COUNTA(AB1341:AD1341)=0,AND(COUNTA(AB1341:AD1341)=3,ISNUMBER(AD1341))),0,1)+IF(OR(COUNTA(AE1341:AG1341)=0,AND(COUNTA(AE1341:AG1341)=3,ISNUMBER(AG1341))),0,1)+IF(OR(COUNTA(AH1341:AJ1341)=0,AND(COUNTA(AH1341:AJ1341)=3,ISNUMBER(AJ1341))),0,1)+IF(OR(COUNTA(AK1341:AM1341)=0,AND(COUNTA(AK1341:AM1341)=3,ISNUMBER(AM1341))),0,1)+IF(OR(COUNTA(AN1341:AP1341)=0,AND(COUNTA(AN1341:AP1341)=3,ISNUMBER(AP1341))),0,1)+IF(OR(COUNTA(AQ1341:AS1341)=0,AND(COUNTA(AQ1341:AS1341)=3,ISNUMBER(AS1341))),0,1)+IF(OR(COUNTA(AT1341:AV1341)=0,AND(COUNTA(AT1341:AV1341)=3,ISNUMBER(AV1341))),0,1)+IF(OR(COUNTA(AW1341:AY1341)=0,AND(COUNTA(AW1341:AY1341)=3,ISNUMBER(AY1341))),0,1)+IF(OR(COUNTA(AZ1341:BB1341)=0,AND(COUNTA(AZ1341:BB1341)=3,ISNUMBER(BB1341))),0,1))&gt;0,"; An invoice is incomplete (needs No, Date and a number in Ex GST)","")&amp;IF((IF(T1341="",0,IFERROR(--(EOMONTH(T1341,0)&lt;&gt;S$5),1))+IF(W1341="",0,IFERROR(--(EOMONTH(W1341,0)&lt;&gt;V$5),1))+IF(Z1341="",0,IFERROR(--(EOMONTH(Z1341,0)&lt;&gt;Y$5),1))+IF(AC1341="",0,IFERROR(--(EOMONTH(AC1341,0)&lt;&gt;AB$5),1))+IF(AF1341="",0,IFERROR(--(EOMONTH(AF1341,0)&lt;&gt;AE$5),1))+IF(AI1341="",0,IFERROR(--(EOMONTH(AI1341,0)&lt;&gt;AH$5),1))+IF(AL1341="",0,IFERROR(--(EOMONTH(AL1341,0)&lt;&gt;AK$5),1))+IF(AO1341="",0,IFERROR(--(EOMONTH(AO1341,0)&lt;&gt;AN$5),1))+IF(AR1341="",0,IFERROR(--(EOMONTH(AR1341,0)&lt;&gt;AQ$5),1))+IF(AU1341="",0,IFERROR(--(EOMONTH(AU1341,0)&lt;&gt;AT$5),1))+IF(AX1341="",0,IFERROR(--(EOMONTH(AX1341,0)&lt;&gt;AW$5),1))+IF(BA1341="",0,IFERROR(--(EOMONTH(BA1341,0)&lt;&gt;AZ$5),1)))&gt;0,"; An invoice date is not in the month it is typed under",""),3,500))</f>
        <v/>
      </c>
      <c r="S1341" s="12" t="n"/>
      <c r="T1341" s="13" t="n"/>
      <c r="U1341" s="14" t="n"/>
      <c r="V1341" s="12" t="n"/>
      <c r="W1341" s="13" t="n"/>
      <c r="X1341" s="14" t="n"/>
      <c r="Y1341" s="12" t="n"/>
      <c r="Z1341" s="13" t="n"/>
      <c r="AA1341" s="14" t="n"/>
      <c r="AB1341" s="12" t="n"/>
      <c r="AC1341" s="13" t="n"/>
      <c r="AD1341" s="14" t="n"/>
      <c r="AE1341" s="12" t="n"/>
      <c r="AF1341" s="13" t="n"/>
      <c r="AG1341" s="14" t="n"/>
      <c r="AH1341" s="12" t="n"/>
      <c r="AI1341" s="13" t="n"/>
      <c r="AJ1341" s="14" t="n"/>
      <c r="AK1341" s="12" t="n"/>
      <c r="AL1341" s="13" t="n"/>
      <c r="AM1341" s="14" t="n"/>
      <c r="AN1341" s="12" t="n"/>
      <c r="AO1341" s="13" t="n"/>
      <c r="AP1341" s="14" t="n"/>
      <c r="AQ1341" s="12" t="n"/>
      <c r="AR1341" s="13" t="n"/>
      <c r="AS1341" s="14" t="n"/>
      <c r="AT1341" s="12" t="n"/>
      <c r="AU1341" s="13" t="n"/>
      <c r="AV1341" s="14" t="n"/>
      <c r="AW1341" s="12" t="n"/>
      <c r="AX1341" s="13" t="n"/>
      <c r="AY1341" s="14" t="n"/>
      <c r="AZ1341" s="12" t="n"/>
      <c r="BA1341" s="13" t="n"/>
      <c r="BB1341" s="14" t="n"/>
      <c r="BC1341" s="11">
        <f>IF(O1341="","",IF(J1341="GST 10%",ROUND(O1341*set_GSTRate,2),0))</f>
        <v/>
      </c>
      <c r="BD1341" s="11">
        <f>IF(O1341="","",O1341+BC1341)</f>
        <v/>
      </c>
      <c r="BE1341" s="15">
        <f>IF(O1341="","",COUNTA(S1341,V1341,Y1341,AB1341,AE1341,AH1341,AK1341,AN1341,AQ1341,AT1341,AW1341,AZ1341))</f>
        <v/>
      </c>
      <c r="BF1341" s="16">
        <f>IF(COUNT(T1341,W1341,Z1341,AC1341,AF1341,AI1341,AL1341,AO1341,AR1341,AU1341,AX1341,BA1341)=0,"",MAX(T1341,W1341,Z1341,AC1341,AF1341,AI1341,AL1341,AO1341,AR1341,AU1341,AX1341,BA1341))</f>
        <v/>
      </c>
      <c r="BG1341" s="10">
        <f>MID(IF(S1341="","",", "&amp;S1341)&amp;IF(V1341="","",", "&amp;V1341)&amp;IF(Y1341="","",", "&amp;Y1341)&amp;IF(AB1341="","",", "&amp;AB1341)&amp;IF(AE1341="","",", "&amp;AE1341)&amp;IF(AH1341="","",", "&amp;AH1341)&amp;IF(AK1341="","",", "&amp;AK1341)&amp;IF(AN1341="","",", "&amp;AN1341)&amp;IF(AQ1341="","",", "&amp;AQ1341)&amp;IF(AT1341="","",", "&amp;AT1341)&amp;IF(AW1341="","",", "&amp;AW1341)&amp;IF(AZ1341="","",", "&amp;AZ1341),3,500)</f>
        <v/>
      </c>
      <c r="BH1341" s="12" t="n"/>
      <c r="BI1341" s="15">
        <f>IFERROR(MATCH($A1341,IF($B1341="Onsite",tbl_Onsite[Row ID],IF($B1341="Production",tbl_Production[Row ID],tbl_Consulting[Row ID])),0),"")</f>
        <v/>
      </c>
    </row>
    <row r="1342">
      <c r="A1342" s="10" t="inlineStr">
        <is>
          <t>CON-0336</t>
        </is>
      </c>
      <c r="B1342" s="10" t="inlineStr">
        <is>
          <t>Consulting</t>
        </is>
      </c>
      <c r="C1342" s="10">
        <f>IF($BI1342="","",IF($B1342="Onsite",INDEX(tbl_Onsite[Job Number],$BI1342),IF($B1342="Production",INDEX(tbl_Production[Job Number],$BI1342),INDEX(tbl_Consulting[Job Number],$BI1342)))&amp;"")</f>
        <v/>
      </c>
      <c r="D1342" s="10">
        <f>IF($BI1342="","",IF($B1342="Onsite",INDEX(tbl_Onsite[Client],$BI1342),IF($B1342="Production",INDEX(tbl_Production[Client],$BI1342),INDEX(tbl_Consulting[Client],$BI1342)))&amp;"")</f>
        <v/>
      </c>
      <c r="E1342" s="10">
        <f>IF($C1342="","",IF(COUNTIF(lst_Jobs,$C1342)&gt;0,"OK","CHECK"))</f>
        <v/>
      </c>
      <c r="F1342" s="10">
        <f>IF($C1342="","",IFERROR(INDEX(lst_JobName,MATCH($C1342,lst_Jobs,0)),""))</f>
        <v/>
      </c>
      <c r="G1342" s="10">
        <f>IF($BI1342="","",IF($B1342="Onsite",INDEX(tbl_Onsite[Job Description],$BI1342),IF($B1342="Production",INDEX(tbl_Production[Job Description],$BI1342),INDEX(tbl_Consulting[Job Description],$BI1342)))&amp;"")</f>
        <v/>
      </c>
      <c r="H1342" s="10">
        <f>IF($BI1342="","",IF($B1342="Onsite",INDEX(tbl_Onsite[Cost Centre],$BI1342),IF($B1342="Production",INDEX(tbl_Production[Cost Centre],$BI1342),INDEX(tbl_Consulting[Cost Centre],$BI1342)))&amp;"")</f>
        <v/>
      </c>
      <c r="I1342" s="10">
        <f>IF($BI1342="","",IF($B1342="Onsite",INDEX(tbl_Onsite[Invoice Type],$BI1342),IF($B1342="Production",INDEX(tbl_Production[Invoice Type],$BI1342),INDEX(tbl_Consulting[Invoice Type],$BI1342)))&amp;"")</f>
        <v/>
      </c>
      <c r="J1342" s="10">
        <f>IF($BI1342="","",IF($B1342="Onsite",INDEX(tbl_Onsite[Tax Code],$BI1342),IF($B1342="Production",INDEX(tbl_Production[Tax Code],$BI1342),INDEX(tbl_Consulting[Tax Code],$BI1342)))&amp;"")</f>
        <v/>
      </c>
      <c r="K1342" s="10">
        <f>IF(H1342="","",IFERROR(INDEX(lst_CCtoGL,MATCH(H1342,lst_CCforGL,0)),""))</f>
        <v/>
      </c>
      <c r="L1342" s="10">
        <f>IF($BI1342="","",IF($B1342="Onsite",INDEX(tbl_Onsite[PO / Reference],$BI1342),IF($B1342="Production",INDEX(tbl_Production[Current RMS No],$BI1342),INDEX(tbl_Consulting[Qwilr Quote],$BI1342)))&amp;"")</f>
        <v/>
      </c>
      <c r="M1342" s="10">
        <f>IF($BI1342="","",IF($B1342="Onsite",INDEX(tbl_Onsite[Notes],$BI1342),IF($B1342="Production",INDEX(tbl_Production[Notes],$BI1342),INDEX(tbl_Consulting[Notes],$BI1342)))&amp;"")</f>
        <v/>
      </c>
      <c r="N1342" s="11">
        <f>IF($BI1342="","",IF(IF($B1342="Onsite",INDEX(tbl_Onsite[Expected Revenue Ex GST],$BI1342),IF($B1342="Production",INDEX(tbl_Production[Expected Revenue Ex GST],$BI1342),INDEX(tbl_Consulting[Expected Revenue Ex GST],$BI1342)))="","",IF($B1342="Onsite",INDEX(tbl_Onsite[Expected Revenue Ex GST],$BI1342),IF($B1342="Production",INDEX(tbl_Production[Expected Revenue Ex GST],$BI1342),INDEX(tbl_Consulting[Expected Revenue Ex GST],$BI1342)))))</f>
        <v/>
      </c>
      <c r="O1342" s="11">
        <f>IF(AND($C1342="",NOT(COUNTA($S1342:$BB1342)&gt;0)),"",SUM(U1342,X1342,AA1342,AD1342,AG1342,AJ1342,AM1342,AP1342,AS1342,AV1342,AY1342,BB1342))</f>
        <v/>
      </c>
      <c r="P1342" s="11">
        <f>IF(O1342="","",N(N1342)-O1342)</f>
        <v/>
      </c>
      <c r="Q1342" s="10">
        <f>IF(O1342="","",IF($C1342="","Invoice on empty job row",IF(N1342="",IF(ROUND(O1342,2)=0,"No dept value","Invoiced - no dept value"),IF(ROUND(O1342,2)=0,"Not invoiced - to invoice",IF(ROUND(P1342,2)=0,"Agrees",IF(P1342&gt;0,"Dept higher - to invoice","Xero higher - check dept"))))))</f>
        <v/>
      </c>
      <c r="R1342" s="10">
        <f>IF(AND($C1342="",NOT(COUNTA($S1342:$BB1342)&gt;0),$BI1342&lt;&gt;""),"",MID(IF($BI1342="","; Row ID not found on the department sheet - a row was deleted","")&amp;IF(AND($C1342="",COUNTA($S1342:$BB1342)&gt;0),"; Invoice entered but the department row has no job number","")&amp;IF(E1342="CHECK","; Job number not in the Xero job list","")&amp;IF(AND($C1342&lt;&gt;"",COUNTIF($C$7:$C$1506,$C1342)&gt;1),"; Job number on more than one row","")&amp;IF(AND($C1342&lt;&gt;"",H1342=""),"; Dept has not set a cost centre","")&amp;IF(AND($C1342&lt;&gt;"",J1342=""),"; Dept has not set a tax code","")&amp;IF(AND($C1342&lt;&gt;"",N1342=""),"; Dept has not entered an expected value","")&amp;IF((IF(OR(COUNTA(S1342:U1342)=0,AND(COUNTA(S1342:U1342)=3,ISNUMBER(U1342))),0,1)+IF(OR(COUNTA(V1342:X1342)=0,AND(COUNTA(V1342:X1342)=3,ISNUMBER(X1342))),0,1)+IF(OR(COUNTA(Y1342:AA1342)=0,AND(COUNTA(Y1342:AA1342)=3,ISNUMBER(AA1342))),0,1)+IF(OR(COUNTA(AB1342:AD1342)=0,AND(COUNTA(AB1342:AD1342)=3,ISNUMBER(AD1342))),0,1)+IF(OR(COUNTA(AE1342:AG1342)=0,AND(COUNTA(AE1342:AG1342)=3,ISNUMBER(AG1342))),0,1)+IF(OR(COUNTA(AH1342:AJ1342)=0,AND(COUNTA(AH1342:AJ1342)=3,ISNUMBER(AJ1342))),0,1)+IF(OR(COUNTA(AK1342:AM1342)=0,AND(COUNTA(AK1342:AM1342)=3,ISNUMBER(AM1342))),0,1)+IF(OR(COUNTA(AN1342:AP1342)=0,AND(COUNTA(AN1342:AP1342)=3,ISNUMBER(AP1342))),0,1)+IF(OR(COUNTA(AQ1342:AS1342)=0,AND(COUNTA(AQ1342:AS1342)=3,ISNUMBER(AS1342))),0,1)+IF(OR(COUNTA(AT1342:AV1342)=0,AND(COUNTA(AT1342:AV1342)=3,ISNUMBER(AV1342))),0,1)+IF(OR(COUNTA(AW1342:AY1342)=0,AND(COUNTA(AW1342:AY1342)=3,ISNUMBER(AY1342))),0,1)+IF(OR(COUNTA(AZ1342:BB1342)=0,AND(COUNTA(AZ1342:BB1342)=3,ISNUMBER(BB1342))),0,1))&gt;0,"; An invoice is incomplete (needs No, Date and a number in Ex GST)","")&amp;IF((IF(T1342="",0,IFERROR(--(EOMONTH(T1342,0)&lt;&gt;S$5),1))+IF(W1342="",0,IFERROR(--(EOMONTH(W1342,0)&lt;&gt;V$5),1))+IF(Z1342="",0,IFERROR(--(EOMONTH(Z1342,0)&lt;&gt;Y$5),1))+IF(AC1342="",0,IFERROR(--(EOMONTH(AC1342,0)&lt;&gt;AB$5),1))+IF(AF1342="",0,IFERROR(--(EOMONTH(AF1342,0)&lt;&gt;AE$5),1))+IF(AI1342="",0,IFERROR(--(EOMONTH(AI1342,0)&lt;&gt;AH$5),1))+IF(AL1342="",0,IFERROR(--(EOMONTH(AL1342,0)&lt;&gt;AK$5),1))+IF(AO1342="",0,IFERROR(--(EOMONTH(AO1342,0)&lt;&gt;AN$5),1))+IF(AR1342="",0,IFERROR(--(EOMONTH(AR1342,0)&lt;&gt;AQ$5),1))+IF(AU1342="",0,IFERROR(--(EOMONTH(AU1342,0)&lt;&gt;AT$5),1))+IF(AX1342="",0,IFERROR(--(EOMONTH(AX1342,0)&lt;&gt;AW$5),1))+IF(BA1342="",0,IFERROR(--(EOMONTH(BA1342,0)&lt;&gt;AZ$5),1)))&gt;0,"; An invoice date is not in the month it is typed under",""),3,500))</f>
        <v/>
      </c>
      <c r="S1342" s="12" t="n"/>
      <c r="T1342" s="13" t="n"/>
      <c r="U1342" s="14" t="n"/>
      <c r="V1342" s="12" t="n"/>
      <c r="W1342" s="13" t="n"/>
      <c r="X1342" s="14" t="n"/>
      <c r="Y1342" s="12" t="n"/>
      <c r="Z1342" s="13" t="n"/>
      <c r="AA1342" s="14" t="n"/>
      <c r="AB1342" s="12" t="n"/>
      <c r="AC1342" s="13" t="n"/>
      <c r="AD1342" s="14" t="n"/>
      <c r="AE1342" s="12" t="n"/>
      <c r="AF1342" s="13" t="n"/>
      <c r="AG1342" s="14" t="n"/>
      <c r="AH1342" s="12" t="n"/>
      <c r="AI1342" s="13" t="n"/>
      <c r="AJ1342" s="14" t="n"/>
      <c r="AK1342" s="12" t="n"/>
      <c r="AL1342" s="13" t="n"/>
      <c r="AM1342" s="14" t="n"/>
      <c r="AN1342" s="12" t="n"/>
      <c r="AO1342" s="13" t="n"/>
      <c r="AP1342" s="14" t="n"/>
      <c r="AQ1342" s="12" t="n"/>
      <c r="AR1342" s="13" t="n"/>
      <c r="AS1342" s="14" t="n"/>
      <c r="AT1342" s="12" t="n"/>
      <c r="AU1342" s="13" t="n"/>
      <c r="AV1342" s="14" t="n"/>
      <c r="AW1342" s="12" t="n"/>
      <c r="AX1342" s="13" t="n"/>
      <c r="AY1342" s="14" t="n"/>
      <c r="AZ1342" s="12" t="n"/>
      <c r="BA1342" s="13" t="n"/>
      <c r="BB1342" s="14" t="n"/>
      <c r="BC1342" s="11">
        <f>IF(O1342="","",IF(J1342="GST 10%",ROUND(O1342*set_GSTRate,2),0))</f>
        <v/>
      </c>
      <c r="BD1342" s="11">
        <f>IF(O1342="","",O1342+BC1342)</f>
        <v/>
      </c>
      <c r="BE1342" s="15">
        <f>IF(O1342="","",COUNTA(S1342,V1342,Y1342,AB1342,AE1342,AH1342,AK1342,AN1342,AQ1342,AT1342,AW1342,AZ1342))</f>
        <v/>
      </c>
      <c r="BF1342" s="16">
        <f>IF(COUNT(T1342,W1342,Z1342,AC1342,AF1342,AI1342,AL1342,AO1342,AR1342,AU1342,AX1342,BA1342)=0,"",MAX(T1342,W1342,Z1342,AC1342,AF1342,AI1342,AL1342,AO1342,AR1342,AU1342,AX1342,BA1342))</f>
        <v/>
      </c>
      <c r="BG1342" s="10">
        <f>MID(IF(S1342="","",", "&amp;S1342)&amp;IF(V1342="","",", "&amp;V1342)&amp;IF(Y1342="","",", "&amp;Y1342)&amp;IF(AB1342="","",", "&amp;AB1342)&amp;IF(AE1342="","",", "&amp;AE1342)&amp;IF(AH1342="","",", "&amp;AH1342)&amp;IF(AK1342="","",", "&amp;AK1342)&amp;IF(AN1342="","",", "&amp;AN1342)&amp;IF(AQ1342="","",", "&amp;AQ1342)&amp;IF(AT1342="","",", "&amp;AT1342)&amp;IF(AW1342="","",", "&amp;AW1342)&amp;IF(AZ1342="","",", "&amp;AZ1342),3,500)</f>
        <v/>
      </c>
      <c r="BH1342" s="12" t="n"/>
      <c r="BI1342" s="15">
        <f>IFERROR(MATCH($A1342,IF($B1342="Onsite",tbl_Onsite[Row ID],IF($B1342="Production",tbl_Production[Row ID],tbl_Consulting[Row ID])),0),"")</f>
        <v/>
      </c>
    </row>
    <row r="1343">
      <c r="A1343" s="10" t="inlineStr">
        <is>
          <t>CON-0337</t>
        </is>
      </c>
      <c r="B1343" s="10" t="inlineStr">
        <is>
          <t>Consulting</t>
        </is>
      </c>
      <c r="C1343" s="10">
        <f>IF($BI1343="","",IF($B1343="Onsite",INDEX(tbl_Onsite[Job Number],$BI1343),IF($B1343="Production",INDEX(tbl_Production[Job Number],$BI1343),INDEX(tbl_Consulting[Job Number],$BI1343)))&amp;"")</f>
        <v/>
      </c>
      <c r="D1343" s="10">
        <f>IF($BI1343="","",IF($B1343="Onsite",INDEX(tbl_Onsite[Client],$BI1343),IF($B1343="Production",INDEX(tbl_Production[Client],$BI1343),INDEX(tbl_Consulting[Client],$BI1343)))&amp;"")</f>
        <v/>
      </c>
      <c r="E1343" s="10">
        <f>IF($C1343="","",IF(COUNTIF(lst_Jobs,$C1343)&gt;0,"OK","CHECK"))</f>
        <v/>
      </c>
      <c r="F1343" s="10">
        <f>IF($C1343="","",IFERROR(INDEX(lst_JobName,MATCH($C1343,lst_Jobs,0)),""))</f>
        <v/>
      </c>
      <c r="G1343" s="10">
        <f>IF($BI1343="","",IF($B1343="Onsite",INDEX(tbl_Onsite[Job Description],$BI1343),IF($B1343="Production",INDEX(tbl_Production[Job Description],$BI1343),INDEX(tbl_Consulting[Job Description],$BI1343)))&amp;"")</f>
        <v/>
      </c>
      <c r="H1343" s="10">
        <f>IF($BI1343="","",IF($B1343="Onsite",INDEX(tbl_Onsite[Cost Centre],$BI1343),IF($B1343="Production",INDEX(tbl_Production[Cost Centre],$BI1343),INDEX(tbl_Consulting[Cost Centre],$BI1343)))&amp;"")</f>
        <v/>
      </c>
      <c r="I1343" s="10">
        <f>IF($BI1343="","",IF($B1343="Onsite",INDEX(tbl_Onsite[Invoice Type],$BI1343),IF($B1343="Production",INDEX(tbl_Production[Invoice Type],$BI1343),INDEX(tbl_Consulting[Invoice Type],$BI1343)))&amp;"")</f>
        <v/>
      </c>
      <c r="J1343" s="10">
        <f>IF($BI1343="","",IF($B1343="Onsite",INDEX(tbl_Onsite[Tax Code],$BI1343),IF($B1343="Production",INDEX(tbl_Production[Tax Code],$BI1343),INDEX(tbl_Consulting[Tax Code],$BI1343)))&amp;"")</f>
        <v/>
      </c>
      <c r="K1343" s="10">
        <f>IF(H1343="","",IFERROR(INDEX(lst_CCtoGL,MATCH(H1343,lst_CCforGL,0)),""))</f>
        <v/>
      </c>
      <c r="L1343" s="10">
        <f>IF($BI1343="","",IF($B1343="Onsite",INDEX(tbl_Onsite[PO / Reference],$BI1343),IF($B1343="Production",INDEX(tbl_Production[Current RMS No],$BI1343),INDEX(tbl_Consulting[Qwilr Quote],$BI1343)))&amp;"")</f>
        <v/>
      </c>
      <c r="M1343" s="10">
        <f>IF($BI1343="","",IF($B1343="Onsite",INDEX(tbl_Onsite[Notes],$BI1343),IF($B1343="Production",INDEX(tbl_Production[Notes],$BI1343),INDEX(tbl_Consulting[Notes],$BI1343)))&amp;"")</f>
        <v/>
      </c>
      <c r="N1343" s="11">
        <f>IF($BI1343="","",IF(IF($B1343="Onsite",INDEX(tbl_Onsite[Expected Revenue Ex GST],$BI1343),IF($B1343="Production",INDEX(tbl_Production[Expected Revenue Ex GST],$BI1343),INDEX(tbl_Consulting[Expected Revenue Ex GST],$BI1343)))="","",IF($B1343="Onsite",INDEX(tbl_Onsite[Expected Revenue Ex GST],$BI1343),IF($B1343="Production",INDEX(tbl_Production[Expected Revenue Ex GST],$BI1343),INDEX(tbl_Consulting[Expected Revenue Ex GST],$BI1343)))))</f>
        <v/>
      </c>
      <c r="O1343" s="11">
        <f>IF(AND($C1343="",NOT(COUNTA($S1343:$BB1343)&gt;0)),"",SUM(U1343,X1343,AA1343,AD1343,AG1343,AJ1343,AM1343,AP1343,AS1343,AV1343,AY1343,BB1343))</f>
        <v/>
      </c>
      <c r="P1343" s="11">
        <f>IF(O1343="","",N(N1343)-O1343)</f>
        <v/>
      </c>
      <c r="Q1343" s="10">
        <f>IF(O1343="","",IF($C1343="","Invoice on empty job row",IF(N1343="",IF(ROUND(O1343,2)=0,"No dept value","Invoiced - no dept value"),IF(ROUND(O1343,2)=0,"Not invoiced - to invoice",IF(ROUND(P1343,2)=0,"Agrees",IF(P1343&gt;0,"Dept higher - to invoice","Xero higher - check dept"))))))</f>
        <v/>
      </c>
      <c r="R1343" s="10">
        <f>IF(AND($C1343="",NOT(COUNTA($S1343:$BB1343)&gt;0),$BI1343&lt;&gt;""),"",MID(IF($BI1343="","; Row ID not found on the department sheet - a row was deleted","")&amp;IF(AND($C1343="",COUNTA($S1343:$BB1343)&gt;0),"; Invoice entered but the department row has no job number","")&amp;IF(E1343="CHECK","; Job number not in the Xero job list","")&amp;IF(AND($C1343&lt;&gt;"",COUNTIF($C$7:$C$1506,$C1343)&gt;1),"; Job number on more than one row","")&amp;IF(AND($C1343&lt;&gt;"",H1343=""),"; Dept has not set a cost centre","")&amp;IF(AND($C1343&lt;&gt;"",J1343=""),"; Dept has not set a tax code","")&amp;IF(AND($C1343&lt;&gt;"",N1343=""),"; Dept has not entered an expected value","")&amp;IF((IF(OR(COUNTA(S1343:U1343)=0,AND(COUNTA(S1343:U1343)=3,ISNUMBER(U1343))),0,1)+IF(OR(COUNTA(V1343:X1343)=0,AND(COUNTA(V1343:X1343)=3,ISNUMBER(X1343))),0,1)+IF(OR(COUNTA(Y1343:AA1343)=0,AND(COUNTA(Y1343:AA1343)=3,ISNUMBER(AA1343))),0,1)+IF(OR(COUNTA(AB1343:AD1343)=0,AND(COUNTA(AB1343:AD1343)=3,ISNUMBER(AD1343))),0,1)+IF(OR(COUNTA(AE1343:AG1343)=0,AND(COUNTA(AE1343:AG1343)=3,ISNUMBER(AG1343))),0,1)+IF(OR(COUNTA(AH1343:AJ1343)=0,AND(COUNTA(AH1343:AJ1343)=3,ISNUMBER(AJ1343))),0,1)+IF(OR(COUNTA(AK1343:AM1343)=0,AND(COUNTA(AK1343:AM1343)=3,ISNUMBER(AM1343))),0,1)+IF(OR(COUNTA(AN1343:AP1343)=0,AND(COUNTA(AN1343:AP1343)=3,ISNUMBER(AP1343))),0,1)+IF(OR(COUNTA(AQ1343:AS1343)=0,AND(COUNTA(AQ1343:AS1343)=3,ISNUMBER(AS1343))),0,1)+IF(OR(COUNTA(AT1343:AV1343)=0,AND(COUNTA(AT1343:AV1343)=3,ISNUMBER(AV1343))),0,1)+IF(OR(COUNTA(AW1343:AY1343)=0,AND(COUNTA(AW1343:AY1343)=3,ISNUMBER(AY1343))),0,1)+IF(OR(COUNTA(AZ1343:BB1343)=0,AND(COUNTA(AZ1343:BB1343)=3,ISNUMBER(BB1343))),0,1))&gt;0,"; An invoice is incomplete (needs No, Date and a number in Ex GST)","")&amp;IF((IF(T1343="",0,IFERROR(--(EOMONTH(T1343,0)&lt;&gt;S$5),1))+IF(W1343="",0,IFERROR(--(EOMONTH(W1343,0)&lt;&gt;V$5),1))+IF(Z1343="",0,IFERROR(--(EOMONTH(Z1343,0)&lt;&gt;Y$5),1))+IF(AC1343="",0,IFERROR(--(EOMONTH(AC1343,0)&lt;&gt;AB$5),1))+IF(AF1343="",0,IFERROR(--(EOMONTH(AF1343,0)&lt;&gt;AE$5),1))+IF(AI1343="",0,IFERROR(--(EOMONTH(AI1343,0)&lt;&gt;AH$5),1))+IF(AL1343="",0,IFERROR(--(EOMONTH(AL1343,0)&lt;&gt;AK$5),1))+IF(AO1343="",0,IFERROR(--(EOMONTH(AO1343,0)&lt;&gt;AN$5),1))+IF(AR1343="",0,IFERROR(--(EOMONTH(AR1343,0)&lt;&gt;AQ$5),1))+IF(AU1343="",0,IFERROR(--(EOMONTH(AU1343,0)&lt;&gt;AT$5),1))+IF(AX1343="",0,IFERROR(--(EOMONTH(AX1343,0)&lt;&gt;AW$5),1))+IF(BA1343="",0,IFERROR(--(EOMONTH(BA1343,0)&lt;&gt;AZ$5),1)))&gt;0,"; An invoice date is not in the month it is typed under",""),3,500))</f>
        <v/>
      </c>
      <c r="S1343" s="12" t="n"/>
      <c r="T1343" s="13" t="n"/>
      <c r="U1343" s="14" t="n"/>
      <c r="V1343" s="12" t="n"/>
      <c r="W1343" s="13" t="n"/>
      <c r="X1343" s="14" t="n"/>
      <c r="Y1343" s="12" t="n"/>
      <c r="Z1343" s="13" t="n"/>
      <c r="AA1343" s="14" t="n"/>
      <c r="AB1343" s="12" t="n"/>
      <c r="AC1343" s="13" t="n"/>
      <c r="AD1343" s="14" t="n"/>
      <c r="AE1343" s="12" t="n"/>
      <c r="AF1343" s="13" t="n"/>
      <c r="AG1343" s="14" t="n"/>
      <c r="AH1343" s="12" t="n"/>
      <c r="AI1343" s="13" t="n"/>
      <c r="AJ1343" s="14" t="n"/>
      <c r="AK1343" s="12" t="n"/>
      <c r="AL1343" s="13" t="n"/>
      <c r="AM1343" s="14" t="n"/>
      <c r="AN1343" s="12" t="n"/>
      <c r="AO1343" s="13" t="n"/>
      <c r="AP1343" s="14" t="n"/>
      <c r="AQ1343" s="12" t="n"/>
      <c r="AR1343" s="13" t="n"/>
      <c r="AS1343" s="14" t="n"/>
      <c r="AT1343" s="12" t="n"/>
      <c r="AU1343" s="13" t="n"/>
      <c r="AV1343" s="14" t="n"/>
      <c r="AW1343" s="12" t="n"/>
      <c r="AX1343" s="13" t="n"/>
      <c r="AY1343" s="14" t="n"/>
      <c r="AZ1343" s="12" t="n"/>
      <c r="BA1343" s="13" t="n"/>
      <c r="BB1343" s="14" t="n"/>
      <c r="BC1343" s="11">
        <f>IF(O1343="","",IF(J1343="GST 10%",ROUND(O1343*set_GSTRate,2),0))</f>
        <v/>
      </c>
      <c r="BD1343" s="11">
        <f>IF(O1343="","",O1343+BC1343)</f>
        <v/>
      </c>
      <c r="BE1343" s="15">
        <f>IF(O1343="","",COUNTA(S1343,V1343,Y1343,AB1343,AE1343,AH1343,AK1343,AN1343,AQ1343,AT1343,AW1343,AZ1343))</f>
        <v/>
      </c>
      <c r="BF1343" s="16">
        <f>IF(COUNT(T1343,W1343,Z1343,AC1343,AF1343,AI1343,AL1343,AO1343,AR1343,AU1343,AX1343,BA1343)=0,"",MAX(T1343,W1343,Z1343,AC1343,AF1343,AI1343,AL1343,AO1343,AR1343,AU1343,AX1343,BA1343))</f>
        <v/>
      </c>
      <c r="BG1343" s="10">
        <f>MID(IF(S1343="","",", "&amp;S1343)&amp;IF(V1343="","",", "&amp;V1343)&amp;IF(Y1343="","",", "&amp;Y1343)&amp;IF(AB1343="","",", "&amp;AB1343)&amp;IF(AE1343="","",", "&amp;AE1343)&amp;IF(AH1343="","",", "&amp;AH1343)&amp;IF(AK1343="","",", "&amp;AK1343)&amp;IF(AN1343="","",", "&amp;AN1343)&amp;IF(AQ1343="","",", "&amp;AQ1343)&amp;IF(AT1343="","",", "&amp;AT1343)&amp;IF(AW1343="","",", "&amp;AW1343)&amp;IF(AZ1343="","",", "&amp;AZ1343),3,500)</f>
        <v/>
      </c>
      <c r="BH1343" s="12" t="n"/>
      <c r="BI1343" s="15">
        <f>IFERROR(MATCH($A1343,IF($B1343="Onsite",tbl_Onsite[Row ID],IF($B1343="Production",tbl_Production[Row ID],tbl_Consulting[Row ID])),0),"")</f>
        <v/>
      </c>
    </row>
    <row r="1344">
      <c r="A1344" s="10" t="inlineStr">
        <is>
          <t>CON-0338</t>
        </is>
      </c>
      <c r="B1344" s="10" t="inlineStr">
        <is>
          <t>Consulting</t>
        </is>
      </c>
      <c r="C1344" s="10">
        <f>IF($BI1344="","",IF($B1344="Onsite",INDEX(tbl_Onsite[Job Number],$BI1344),IF($B1344="Production",INDEX(tbl_Production[Job Number],$BI1344),INDEX(tbl_Consulting[Job Number],$BI1344)))&amp;"")</f>
        <v/>
      </c>
      <c r="D1344" s="10">
        <f>IF($BI1344="","",IF($B1344="Onsite",INDEX(tbl_Onsite[Client],$BI1344),IF($B1344="Production",INDEX(tbl_Production[Client],$BI1344),INDEX(tbl_Consulting[Client],$BI1344)))&amp;"")</f>
        <v/>
      </c>
      <c r="E1344" s="10">
        <f>IF($C1344="","",IF(COUNTIF(lst_Jobs,$C1344)&gt;0,"OK","CHECK"))</f>
        <v/>
      </c>
      <c r="F1344" s="10">
        <f>IF($C1344="","",IFERROR(INDEX(lst_JobName,MATCH($C1344,lst_Jobs,0)),""))</f>
        <v/>
      </c>
      <c r="G1344" s="10">
        <f>IF($BI1344="","",IF($B1344="Onsite",INDEX(tbl_Onsite[Job Description],$BI1344),IF($B1344="Production",INDEX(tbl_Production[Job Description],$BI1344),INDEX(tbl_Consulting[Job Description],$BI1344)))&amp;"")</f>
        <v/>
      </c>
      <c r="H1344" s="10">
        <f>IF($BI1344="","",IF($B1344="Onsite",INDEX(tbl_Onsite[Cost Centre],$BI1344),IF($B1344="Production",INDEX(tbl_Production[Cost Centre],$BI1344),INDEX(tbl_Consulting[Cost Centre],$BI1344)))&amp;"")</f>
        <v/>
      </c>
      <c r="I1344" s="10">
        <f>IF($BI1344="","",IF($B1344="Onsite",INDEX(tbl_Onsite[Invoice Type],$BI1344),IF($B1344="Production",INDEX(tbl_Production[Invoice Type],$BI1344),INDEX(tbl_Consulting[Invoice Type],$BI1344)))&amp;"")</f>
        <v/>
      </c>
      <c r="J1344" s="10">
        <f>IF($BI1344="","",IF($B1344="Onsite",INDEX(tbl_Onsite[Tax Code],$BI1344),IF($B1344="Production",INDEX(tbl_Production[Tax Code],$BI1344),INDEX(tbl_Consulting[Tax Code],$BI1344)))&amp;"")</f>
        <v/>
      </c>
      <c r="K1344" s="10">
        <f>IF(H1344="","",IFERROR(INDEX(lst_CCtoGL,MATCH(H1344,lst_CCforGL,0)),""))</f>
        <v/>
      </c>
      <c r="L1344" s="10">
        <f>IF($BI1344="","",IF($B1344="Onsite",INDEX(tbl_Onsite[PO / Reference],$BI1344),IF($B1344="Production",INDEX(tbl_Production[Current RMS No],$BI1344),INDEX(tbl_Consulting[Qwilr Quote],$BI1344)))&amp;"")</f>
        <v/>
      </c>
      <c r="M1344" s="10">
        <f>IF($BI1344="","",IF($B1344="Onsite",INDEX(tbl_Onsite[Notes],$BI1344),IF($B1344="Production",INDEX(tbl_Production[Notes],$BI1344),INDEX(tbl_Consulting[Notes],$BI1344)))&amp;"")</f>
        <v/>
      </c>
      <c r="N1344" s="11">
        <f>IF($BI1344="","",IF(IF($B1344="Onsite",INDEX(tbl_Onsite[Expected Revenue Ex GST],$BI1344),IF($B1344="Production",INDEX(tbl_Production[Expected Revenue Ex GST],$BI1344),INDEX(tbl_Consulting[Expected Revenue Ex GST],$BI1344)))="","",IF($B1344="Onsite",INDEX(tbl_Onsite[Expected Revenue Ex GST],$BI1344),IF($B1344="Production",INDEX(tbl_Production[Expected Revenue Ex GST],$BI1344),INDEX(tbl_Consulting[Expected Revenue Ex GST],$BI1344)))))</f>
        <v/>
      </c>
      <c r="O1344" s="11">
        <f>IF(AND($C1344="",NOT(COUNTA($S1344:$BB1344)&gt;0)),"",SUM(U1344,X1344,AA1344,AD1344,AG1344,AJ1344,AM1344,AP1344,AS1344,AV1344,AY1344,BB1344))</f>
        <v/>
      </c>
      <c r="P1344" s="11">
        <f>IF(O1344="","",N(N1344)-O1344)</f>
        <v/>
      </c>
      <c r="Q1344" s="10">
        <f>IF(O1344="","",IF($C1344="","Invoice on empty job row",IF(N1344="",IF(ROUND(O1344,2)=0,"No dept value","Invoiced - no dept value"),IF(ROUND(O1344,2)=0,"Not invoiced - to invoice",IF(ROUND(P1344,2)=0,"Agrees",IF(P1344&gt;0,"Dept higher - to invoice","Xero higher - check dept"))))))</f>
        <v/>
      </c>
      <c r="R1344" s="10">
        <f>IF(AND($C1344="",NOT(COUNTA($S1344:$BB1344)&gt;0),$BI1344&lt;&gt;""),"",MID(IF($BI1344="","; Row ID not found on the department sheet - a row was deleted","")&amp;IF(AND($C1344="",COUNTA($S1344:$BB1344)&gt;0),"; Invoice entered but the department row has no job number","")&amp;IF(E1344="CHECK","; Job number not in the Xero job list","")&amp;IF(AND($C1344&lt;&gt;"",COUNTIF($C$7:$C$1506,$C1344)&gt;1),"; Job number on more than one row","")&amp;IF(AND($C1344&lt;&gt;"",H1344=""),"; Dept has not set a cost centre","")&amp;IF(AND($C1344&lt;&gt;"",J1344=""),"; Dept has not set a tax code","")&amp;IF(AND($C1344&lt;&gt;"",N1344=""),"; Dept has not entered an expected value","")&amp;IF((IF(OR(COUNTA(S1344:U1344)=0,AND(COUNTA(S1344:U1344)=3,ISNUMBER(U1344))),0,1)+IF(OR(COUNTA(V1344:X1344)=0,AND(COUNTA(V1344:X1344)=3,ISNUMBER(X1344))),0,1)+IF(OR(COUNTA(Y1344:AA1344)=0,AND(COUNTA(Y1344:AA1344)=3,ISNUMBER(AA1344))),0,1)+IF(OR(COUNTA(AB1344:AD1344)=0,AND(COUNTA(AB1344:AD1344)=3,ISNUMBER(AD1344))),0,1)+IF(OR(COUNTA(AE1344:AG1344)=0,AND(COUNTA(AE1344:AG1344)=3,ISNUMBER(AG1344))),0,1)+IF(OR(COUNTA(AH1344:AJ1344)=0,AND(COUNTA(AH1344:AJ1344)=3,ISNUMBER(AJ1344))),0,1)+IF(OR(COUNTA(AK1344:AM1344)=0,AND(COUNTA(AK1344:AM1344)=3,ISNUMBER(AM1344))),0,1)+IF(OR(COUNTA(AN1344:AP1344)=0,AND(COUNTA(AN1344:AP1344)=3,ISNUMBER(AP1344))),0,1)+IF(OR(COUNTA(AQ1344:AS1344)=0,AND(COUNTA(AQ1344:AS1344)=3,ISNUMBER(AS1344))),0,1)+IF(OR(COUNTA(AT1344:AV1344)=0,AND(COUNTA(AT1344:AV1344)=3,ISNUMBER(AV1344))),0,1)+IF(OR(COUNTA(AW1344:AY1344)=0,AND(COUNTA(AW1344:AY1344)=3,ISNUMBER(AY1344))),0,1)+IF(OR(COUNTA(AZ1344:BB1344)=0,AND(COUNTA(AZ1344:BB1344)=3,ISNUMBER(BB1344))),0,1))&gt;0,"; An invoice is incomplete (needs No, Date and a number in Ex GST)","")&amp;IF((IF(T1344="",0,IFERROR(--(EOMONTH(T1344,0)&lt;&gt;S$5),1))+IF(W1344="",0,IFERROR(--(EOMONTH(W1344,0)&lt;&gt;V$5),1))+IF(Z1344="",0,IFERROR(--(EOMONTH(Z1344,0)&lt;&gt;Y$5),1))+IF(AC1344="",0,IFERROR(--(EOMONTH(AC1344,0)&lt;&gt;AB$5),1))+IF(AF1344="",0,IFERROR(--(EOMONTH(AF1344,0)&lt;&gt;AE$5),1))+IF(AI1344="",0,IFERROR(--(EOMONTH(AI1344,0)&lt;&gt;AH$5),1))+IF(AL1344="",0,IFERROR(--(EOMONTH(AL1344,0)&lt;&gt;AK$5),1))+IF(AO1344="",0,IFERROR(--(EOMONTH(AO1344,0)&lt;&gt;AN$5),1))+IF(AR1344="",0,IFERROR(--(EOMONTH(AR1344,0)&lt;&gt;AQ$5),1))+IF(AU1344="",0,IFERROR(--(EOMONTH(AU1344,0)&lt;&gt;AT$5),1))+IF(AX1344="",0,IFERROR(--(EOMONTH(AX1344,0)&lt;&gt;AW$5),1))+IF(BA1344="",0,IFERROR(--(EOMONTH(BA1344,0)&lt;&gt;AZ$5),1)))&gt;0,"; An invoice date is not in the month it is typed under",""),3,500))</f>
        <v/>
      </c>
      <c r="S1344" s="12" t="n"/>
      <c r="T1344" s="13" t="n"/>
      <c r="U1344" s="14" t="n"/>
      <c r="V1344" s="12" t="n"/>
      <c r="W1344" s="13" t="n"/>
      <c r="X1344" s="14" t="n"/>
      <c r="Y1344" s="12" t="n"/>
      <c r="Z1344" s="13" t="n"/>
      <c r="AA1344" s="14" t="n"/>
      <c r="AB1344" s="12" t="n"/>
      <c r="AC1344" s="13" t="n"/>
      <c r="AD1344" s="14" t="n"/>
      <c r="AE1344" s="12" t="n"/>
      <c r="AF1344" s="13" t="n"/>
      <c r="AG1344" s="14" t="n"/>
      <c r="AH1344" s="12" t="n"/>
      <c r="AI1344" s="13" t="n"/>
      <c r="AJ1344" s="14" t="n"/>
      <c r="AK1344" s="12" t="n"/>
      <c r="AL1344" s="13" t="n"/>
      <c r="AM1344" s="14" t="n"/>
      <c r="AN1344" s="12" t="n"/>
      <c r="AO1344" s="13" t="n"/>
      <c r="AP1344" s="14" t="n"/>
      <c r="AQ1344" s="12" t="n"/>
      <c r="AR1344" s="13" t="n"/>
      <c r="AS1344" s="14" t="n"/>
      <c r="AT1344" s="12" t="n"/>
      <c r="AU1344" s="13" t="n"/>
      <c r="AV1344" s="14" t="n"/>
      <c r="AW1344" s="12" t="n"/>
      <c r="AX1344" s="13" t="n"/>
      <c r="AY1344" s="14" t="n"/>
      <c r="AZ1344" s="12" t="n"/>
      <c r="BA1344" s="13" t="n"/>
      <c r="BB1344" s="14" t="n"/>
      <c r="BC1344" s="11">
        <f>IF(O1344="","",IF(J1344="GST 10%",ROUND(O1344*set_GSTRate,2),0))</f>
        <v/>
      </c>
      <c r="BD1344" s="11">
        <f>IF(O1344="","",O1344+BC1344)</f>
        <v/>
      </c>
      <c r="BE1344" s="15">
        <f>IF(O1344="","",COUNTA(S1344,V1344,Y1344,AB1344,AE1344,AH1344,AK1344,AN1344,AQ1344,AT1344,AW1344,AZ1344))</f>
        <v/>
      </c>
      <c r="BF1344" s="16">
        <f>IF(COUNT(T1344,W1344,Z1344,AC1344,AF1344,AI1344,AL1344,AO1344,AR1344,AU1344,AX1344,BA1344)=0,"",MAX(T1344,W1344,Z1344,AC1344,AF1344,AI1344,AL1344,AO1344,AR1344,AU1344,AX1344,BA1344))</f>
        <v/>
      </c>
      <c r="BG1344" s="10">
        <f>MID(IF(S1344="","",", "&amp;S1344)&amp;IF(V1344="","",", "&amp;V1344)&amp;IF(Y1344="","",", "&amp;Y1344)&amp;IF(AB1344="","",", "&amp;AB1344)&amp;IF(AE1344="","",", "&amp;AE1344)&amp;IF(AH1344="","",", "&amp;AH1344)&amp;IF(AK1344="","",", "&amp;AK1344)&amp;IF(AN1344="","",", "&amp;AN1344)&amp;IF(AQ1344="","",", "&amp;AQ1344)&amp;IF(AT1344="","",", "&amp;AT1344)&amp;IF(AW1344="","",", "&amp;AW1344)&amp;IF(AZ1344="","",", "&amp;AZ1344),3,500)</f>
        <v/>
      </c>
      <c r="BH1344" s="12" t="n"/>
      <c r="BI1344" s="15">
        <f>IFERROR(MATCH($A1344,IF($B1344="Onsite",tbl_Onsite[Row ID],IF($B1344="Production",tbl_Production[Row ID],tbl_Consulting[Row ID])),0),"")</f>
        <v/>
      </c>
    </row>
    <row r="1345">
      <c r="A1345" s="10" t="inlineStr">
        <is>
          <t>CON-0339</t>
        </is>
      </c>
      <c r="B1345" s="10" t="inlineStr">
        <is>
          <t>Consulting</t>
        </is>
      </c>
      <c r="C1345" s="10">
        <f>IF($BI1345="","",IF($B1345="Onsite",INDEX(tbl_Onsite[Job Number],$BI1345),IF($B1345="Production",INDEX(tbl_Production[Job Number],$BI1345),INDEX(tbl_Consulting[Job Number],$BI1345)))&amp;"")</f>
        <v/>
      </c>
      <c r="D1345" s="10">
        <f>IF($BI1345="","",IF($B1345="Onsite",INDEX(tbl_Onsite[Client],$BI1345),IF($B1345="Production",INDEX(tbl_Production[Client],$BI1345),INDEX(tbl_Consulting[Client],$BI1345)))&amp;"")</f>
        <v/>
      </c>
      <c r="E1345" s="10">
        <f>IF($C1345="","",IF(COUNTIF(lst_Jobs,$C1345)&gt;0,"OK","CHECK"))</f>
        <v/>
      </c>
      <c r="F1345" s="10">
        <f>IF($C1345="","",IFERROR(INDEX(lst_JobName,MATCH($C1345,lst_Jobs,0)),""))</f>
        <v/>
      </c>
      <c r="G1345" s="10">
        <f>IF($BI1345="","",IF($B1345="Onsite",INDEX(tbl_Onsite[Job Description],$BI1345),IF($B1345="Production",INDEX(tbl_Production[Job Description],$BI1345),INDEX(tbl_Consulting[Job Description],$BI1345)))&amp;"")</f>
        <v/>
      </c>
      <c r="H1345" s="10">
        <f>IF($BI1345="","",IF($B1345="Onsite",INDEX(tbl_Onsite[Cost Centre],$BI1345),IF($B1345="Production",INDEX(tbl_Production[Cost Centre],$BI1345),INDEX(tbl_Consulting[Cost Centre],$BI1345)))&amp;"")</f>
        <v/>
      </c>
      <c r="I1345" s="10">
        <f>IF($BI1345="","",IF($B1345="Onsite",INDEX(tbl_Onsite[Invoice Type],$BI1345),IF($B1345="Production",INDEX(tbl_Production[Invoice Type],$BI1345),INDEX(tbl_Consulting[Invoice Type],$BI1345)))&amp;"")</f>
        <v/>
      </c>
      <c r="J1345" s="10">
        <f>IF($BI1345="","",IF($B1345="Onsite",INDEX(tbl_Onsite[Tax Code],$BI1345),IF($B1345="Production",INDEX(tbl_Production[Tax Code],$BI1345),INDEX(tbl_Consulting[Tax Code],$BI1345)))&amp;"")</f>
        <v/>
      </c>
      <c r="K1345" s="10">
        <f>IF(H1345="","",IFERROR(INDEX(lst_CCtoGL,MATCH(H1345,lst_CCforGL,0)),""))</f>
        <v/>
      </c>
      <c r="L1345" s="10">
        <f>IF($BI1345="","",IF($B1345="Onsite",INDEX(tbl_Onsite[PO / Reference],$BI1345),IF($B1345="Production",INDEX(tbl_Production[Current RMS No],$BI1345),INDEX(tbl_Consulting[Qwilr Quote],$BI1345)))&amp;"")</f>
        <v/>
      </c>
      <c r="M1345" s="10">
        <f>IF($BI1345="","",IF($B1345="Onsite",INDEX(tbl_Onsite[Notes],$BI1345),IF($B1345="Production",INDEX(tbl_Production[Notes],$BI1345),INDEX(tbl_Consulting[Notes],$BI1345)))&amp;"")</f>
        <v/>
      </c>
      <c r="N1345" s="11">
        <f>IF($BI1345="","",IF(IF($B1345="Onsite",INDEX(tbl_Onsite[Expected Revenue Ex GST],$BI1345),IF($B1345="Production",INDEX(tbl_Production[Expected Revenue Ex GST],$BI1345),INDEX(tbl_Consulting[Expected Revenue Ex GST],$BI1345)))="","",IF($B1345="Onsite",INDEX(tbl_Onsite[Expected Revenue Ex GST],$BI1345),IF($B1345="Production",INDEX(tbl_Production[Expected Revenue Ex GST],$BI1345),INDEX(tbl_Consulting[Expected Revenue Ex GST],$BI1345)))))</f>
        <v/>
      </c>
      <c r="O1345" s="11">
        <f>IF(AND($C1345="",NOT(COUNTA($S1345:$BB1345)&gt;0)),"",SUM(U1345,X1345,AA1345,AD1345,AG1345,AJ1345,AM1345,AP1345,AS1345,AV1345,AY1345,BB1345))</f>
        <v/>
      </c>
      <c r="P1345" s="11">
        <f>IF(O1345="","",N(N1345)-O1345)</f>
        <v/>
      </c>
      <c r="Q1345" s="10">
        <f>IF(O1345="","",IF($C1345="","Invoice on empty job row",IF(N1345="",IF(ROUND(O1345,2)=0,"No dept value","Invoiced - no dept value"),IF(ROUND(O1345,2)=0,"Not invoiced - to invoice",IF(ROUND(P1345,2)=0,"Agrees",IF(P1345&gt;0,"Dept higher - to invoice","Xero higher - check dept"))))))</f>
        <v/>
      </c>
      <c r="R1345" s="10">
        <f>IF(AND($C1345="",NOT(COUNTA($S1345:$BB1345)&gt;0),$BI1345&lt;&gt;""),"",MID(IF($BI1345="","; Row ID not found on the department sheet - a row was deleted","")&amp;IF(AND($C1345="",COUNTA($S1345:$BB1345)&gt;0),"; Invoice entered but the department row has no job number","")&amp;IF(E1345="CHECK","; Job number not in the Xero job list","")&amp;IF(AND($C1345&lt;&gt;"",COUNTIF($C$7:$C$1506,$C1345)&gt;1),"; Job number on more than one row","")&amp;IF(AND($C1345&lt;&gt;"",H1345=""),"; Dept has not set a cost centre","")&amp;IF(AND($C1345&lt;&gt;"",J1345=""),"; Dept has not set a tax code","")&amp;IF(AND($C1345&lt;&gt;"",N1345=""),"; Dept has not entered an expected value","")&amp;IF((IF(OR(COUNTA(S1345:U1345)=0,AND(COUNTA(S1345:U1345)=3,ISNUMBER(U1345))),0,1)+IF(OR(COUNTA(V1345:X1345)=0,AND(COUNTA(V1345:X1345)=3,ISNUMBER(X1345))),0,1)+IF(OR(COUNTA(Y1345:AA1345)=0,AND(COUNTA(Y1345:AA1345)=3,ISNUMBER(AA1345))),0,1)+IF(OR(COUNTA(AB1345:AD1345)=0,AND(COUNTA(AB1345:AD1345)=3,ISNUMBER(AD1345))),0,1)+IF(OR(COUNTA(AE1345:AG1345)=0,AND(COUNTA(AE1345:AG1345)=3,ISNUMBER(AG1345))),0,1)+IF(OR(COUNTA(AH1345:AJ1345)=0,AND(COUNTA(AH1345:AJ1345)=3,ISNUMBER(AJ1345))),0,1)+IF(OR(COUNTA(AK1345:AM1345)=0,AND(COUNTA(AK1345:AM1345)=3,ISNUMBER(AM1345))),0,1)+IF(OR(COUNTA(AN1345:AP1345)=0,AND(COUNTA(AN1345:AP1345)=3,ISNUMBER(AP1345))),0,1)+IF(OR(COUNTA(AQ1345:AS1345)=0,AND(COUNTA(AQ1345:AS1345)=3,ISNUMBER(AS1345))),0,1)+IF(OR(COUNTA(AT1345:AV1345)=0,AND(COUNTA(AT1345:AV1345)=3,ISNUMBER(AV1345))),0,1)+IF(OR(COUNTA(AW1345:AY1345)=0,AND(COUNTA(AW1345:AY1345)=3,ISNUMBER(AY1345))),0,1)+IF(OR(COUNTA(AZ1345:BB1345)=0,AND(COUNTA(AZ1345:BB1345)=3,ISNUMBER(BB1345))),0,1))&gt;0,"; An invoice is incomplete (needs No, Date and a number in Ex GST)","")&amp;IF((IF(T1345="",0,IFERROR(--(EOMONTH(T1345,0)&lt;&gt;S$5),1))+IF(W1345="",0,IFERROR(--(EOMONTH(W1345,0)&lt;&gt;V$5),1))+IF(Z1345="",0,IFERROR(--(EOMONTH(Z1345,0)&lt;&gt;Y$5),1))+IF(AC1345="",0,IFERROR(--(EOMONTH(AC1345,0)&lt;&gt;AB$5),1))+IF(AF1345="",0,IFERROR(--(EOMONTH(AF1345,0)&lt;&gt;AE$5),1))+IF(AI1345="",0,IFERROR(--(EOMONTH(AI1345,0)&lt;&gt;AH$5),1))+IF(AL1345="",0,IFERROR(--(EOMONTH(AL1345,0)&lt;&gt;AK$5),1))+IF(AO1345="",0,IFERROR(--(EOMONTH(AO1345,0)&lt;&gt;AN$5),1))+IF(AR1345="",0,IFERROR(--(EOMONTH(AR1345,0)&lt;&gt;AQ$5),1))+IF(AU1345="",0,IFERROR(--(EOMONTH(AU1345,0)&lt;&gt;AT$5),1))+IF(AX1345="",0,IFERROR(--(EOMONTH(AX1345,0)&lt;&gt;AW$5),1))+IF(BA1345="",0,IFERROR(--(EOMONTH(BA1345,0)&lt;&gt;AZ$5),1)))&gt;0,"; An invoice date is not in the month it is typed under",""),3,500))</f>
        <v/>
      </c>
      <c r="S1345" s="12" t="n"/>
      <c r="T1345" s="13" t="n"/>
      <c r="U1345" s="14" t="n"/>
      <c r="V1345" s="12" t="n"/>
      <c r="W1345" s="13" t="n"/>
      <c r="X1345" s="14" t="n"/>
      <c r="Y1345" s="12" t="n"/>
      <c r="Z1345" s="13" t="n"/>
      <c r="AA1345" s="14" t="n"/>
      <c r="AB1345" s="12" t="n"/>
      <c r="AC1345" s="13" t="n"/>
      <c r="AD1345" s="14" t="n"/>
      <c r="AE1345" s="12" t="n"/>
      <c r="AF1345" s="13" t="n"/>
      <c r="AG1345" s="14" t="n"/>
      <c r="AH1345" s="12" t="n"/>
      <c r="AI1345" s="13" t="n"/>
      <c r="AJ1345" s="14" t="n"/>
      <c r="AK1345" s="12" t="n"/>
      <c r="AL1345" s="13" t="n"/>
      <c r="AM1345" s="14" t="n"/>
      <c r="AN1345" s="12" t="n"/>
      <c r="AO1345" s="13" t="n"/>
      <c r="AP1345" s="14" t="n"/>
      <c r="AQ1345" s="12" t="n"/>
      <c r="AR1345" s="13" t="n"/>
      <c r="AS1345" s="14" t="n"/>
      <c r="AT1345" s="12" t="n"/>
      <c r="AU1345" s="13" t="n"/>
      <c r="AV1345" s="14" t="n"/>
      <c r="AW1345" s="12" t="n"/>
      <c r="AX1345" s="13" t="n"/>
      <c r="AY1345" s="14" t="n"/>
      <c r="AZ1345" s="12" t="n"/>
      <c r="BA1345" s="13" t="n"/>
      <c r="BB1345" s="14" t="n"/>
      <c r="BC1345" s="11">
        <f>IF(O1345="","",IF(J1345="GST 10%",ROUND(O1345*set_GSTRate,2),0))</f>
        <v/>
      </c>
      <c r="BD1345" s="11">
        <f>IF(O1345="","",O1345+BC1345)</f>
        <v/>
      </c>
      <c r="BE1345" s="15">
        <f>IF(O1345="","",COUNTA(S1345,V1345,Y1345,AB1345,AE1345,AH1345,AK1345,AN1345,AQ1345,AT1345,AW1345,AZ1345))</f>
        <v/>
      </c>
      <c r="BF1345" s="16">
        <f>IF(COUNT(T1345,W1345,Z1345,AC1345,AF1345,AI1345,AL1345,AO1345,AR1345,AU1345,AX1345,BA1345)=0,"",MAX(T1345,W1345,Z1345,AC1345,AF1345,AI1345,AL1345,AO1345,AR1345,AU1345,AX1345,BA1345))</f>
        <v/>
      </c>
      <c r="BG1345" s="10">
        <f>MID(IF(S1345="","",", "&amp;S1345)&amp;IF(V1345="","",", "&amp;V1345)&amp;IF(Y1345="","",", "&amp;Y1345)&amp;IF(AB1345="","",", "&amp;AB1345)&amp;IF(AE1345="","",", "&amp;AE1345)&amp;IF(AH1345="","",", "&amp;AH1345)&amp;IF(AK1345="","",", "&amp;AK1345)&amp;IF(AN1345="","",", "&amp;AN1345)&amp;IF(AQ1345="","",", "&amp;AQ1345)&amp;IF(AT1345="","",", "&amp;AT1345)&amp;IF(AW1345="","",", "&amp;AW1345)&amp;IF(AZ1345="","",", "&amp;AZ1345),3,500)</f>
        <v/>
      </c>
      <c r="BH1345" s="12" t="n"/>
      <c r="BI1345" s="15">
        <f>IFERROR(MATCH($A1345,IF($B1345="Onsite",tbl_Onsite[Row ID],IF($B1345="Production",tbl_Production[Row ID],tbl_Consulting[Row ID])),0),"")</f>
        <v/>
      </c>
    </row>
    <row r="1346">
      <c r="A1346" s="10" t="inlineStr">
        <is>
          <t>CON-0340</t>
        </is>
      </c>
      <c r="B1346" s="10" t="inlineStr">
        <is>
          <t>Consulting</t>
        </is>
      </c>
      <c r="C1346" s="10">
        <f>IF($BI1346="","",IF($B1346="Onsite",INDEX(tbl_Onsite[Job Number],$BI1346),IF($B1346="Production",INDEX(tbl_Production[Job Number],$BI1346),INDEX(tbl_Consulting[Job Number],$BI1346)))&amp;"")</f>
        <v/>
      </c>
      <c r="D1346" s="10">
        <f>IF($BI1346="","",IF($B1346="Onsite",INDEX(tbl_Onsite[Client],$BI1346),IF($B1346="Production",INDEX(tbl_Production[Client],$BI1346),INDEX(tbl_Consulting[Client],$BI1346)))&amp;"")</f>
        <v/>
      </c>
      <c r="E1346" s="10">
        <f>IF($C1346="","",IF(COUNTIF(lst_Jobs,$C1346)&gt;0,"OK","CHECK"))</f>
        <v/>
      </c>
      <c r="F1346" s="10">
        <f>IF($C1346="","",IFERROR(INDEX(lst_JobName,MATCH($C1346,lst_Jobs,0)),""))</f>
        <v/>
      </c>
      <c r="G1346" s="10">
        <f>IF($BI1346="","",IF($B1346="Onsite",INDEX(tbl_Onsite[Job Description],$BI1346),IF($B1346="Production",INDEX(tbl_Production[Job Description],$BI1346),INDEX(tbl_Consulting[Job Description],$BI1346)))&amp;"")</f>
        <v/>
      </c>
      <c r="H1346" s="10">
        <f>IF($BI1346="","",IF($B1346="Onsite",INDEX(tbl_Onsite[Cost Centre],$BI1346),IF($B1346="Production",INDEX(tbl_Production[Cost Centre],$BI1346),INDEX(tbl_Consulting[Cost Centre],$BI1346)))&amp;"")</f>
        <v/>
      </c>
      <c r="I1346" s="10">
        <f>IF($BI1346="","",IF($B1346="Onsite",INDEX(tbl_Onsite[Invoice Type],$BI1346),IF($B1346="Production",INDEX(tbl_Production[Invoice Type],$BI1346),INDEX(tbl_Consulting[Invoice Type],$BI1346)))&amp;"")</f>
        <v/>
      </c>
      <c r="J1346" s="10">
        <f>IF($BI1346="","",IF($B1346="Onsite",INDEX(tbl_Onsite[Tax Code],$BI1346),IF($B1346="Production",INDEX(tbl_Production[Tax Code],$BI1346),INDEX(tbl_Consulting[Tax Code],$BI1346)))&amp;"")</f>
        <v/>
      </c>
      <c r="K1346" s="10">
        <f>IF(H1346="","",IFERROR(INDEX(lst_CCtoGL,MATCH(H1346,lst_CCforGL,0)),""))</f>
        <v/>
      </c>
      <c r="L1346" s="10">
        <f>IF($BI1346="","",IF($B1346="Onsite",INDEX(tbl_Onsite[PO / Reference],$BI1346),IF($B1346="Production",INDEX(tbl_Production[Current RMS No],$BI1346),INDEX(tbl_Consulting[Qwilr Quote],$BI1346)))&amp;"")</f>
        <v/>
      </c>
      <c r="M1346" s="10">
        <f>IF($BI1346="","",IF($B1346="Onsite",INDEX(tbl_Onsite[Notes],$BI1346),IF($B1346="Production",INDEX(tbl_Production[Notes],$BI1346),INDEX(tbl_Consulting[Notes],$BI1346)))&amp;"")</f>
        <v/>
      </c>
      <c r="N1346" s="11">
        <f>IF($BI1346="","",IF(IF($B1346="Onsite",INDEX(tbl_Onsite[Expected Revenue Ex GST],$BI1346),IF($B1346="Production",INDEX(tbl_Production[Expected Revenue Ex GST],$BI1346),INDEX(tbl_Consulting[Expected Revenue Ex GST],$BI1346)))="","",IF($B1346="Onsite",INDEX(tbl_Onsite[Expected Revenue Ex GST],$BI1346),IF($B1346="Production",INDEX(tbl_Production[Expected Revenue Ex GST],$BI1346),INDEX(tbl_Consulting[Expected Revenue Ex GST],$BI1346)))))</f>
        <v/>
      </c>
      <c r="O1346" s="11">
        <f>IF(AND($C1346="",NOT(COUNTA($S1346:$BB1346)&gt;0)),"",SUM(U1346,X1346,AA1346,AD1346,AG1346,AJ1346,AM1346,AP1346,AS1346,AV1346,AY1346,BB1346))</f>
        <v/>
      </c>
      <c r="P1346" s="11">
        <f>IF(O1346="","",N(N1346)-O1346)</f>
        <v/>
      </c>
      <c r="Q1346" s="10">
        <f>IF(O1346="","",IF($C1346="","Invoice on empty job row",IF(N1346="",IF(ROUND(O1346,2)=0,"No dept value","Invoiced - no dept value"),IF(ROUND(O1346,2)=0,"Not invoiced - to invoice",IF(ROUND(P1346,2)=0,"Agrees",IF(P1346&gt;0,"Dept higher - to invoice","Xero higher - check dept"))))))</f>
        <v/>
      </c>
      <c r="R1346" s="10">
        <f>IF(AND($C1346="",NOT(COUNTA($S1346:$BB1346)&gt;0),$BI1346&lt;&gt;""),"",MID(IF($BI1346="","; Row ID not found on the department sheet - a row was deleted","")&amp;IF(AND($C1346="",COUNTA($S1346:$BB1346)&gt;0),"; Invoice entered but the department row has no job number","")&amp;IF(E1346="CHECK","; Job number not in the Xero job list","")&amp;IF(AND($C1346&lt;&gt;"",COUNTIF($C$7:$C$1506,$C1346)&gt;1),"; Job number on more than one row","")&amp;IF(AND($C1346&lt;&gt;"",H1346=""),"; Dept has not set a cost centre","")&amp;IF(AND($C1346&lt;&gt;"",J1346=""),"; Dept has not set a tax code","")&amp;IF(AND($C1346&lt;&gt;"",N1346=""),"; Dept has not entered an expected value","")&amp;IF((IF(OR(COUNTA(S1346:U1346)=0,AND(COUNTA(S1346:U1346)=3,ISNUMBER(U1346))),0,1)+IF(OR(COUNTA(V1346:X1346)=0,AND(COUNTA(V1346:X1346)=3,ISNUMBER(X1346))),0,1)+IF(OR(COUNTA(Y1346:AA1346)=0,AND(COUNTA(Y1346:AA1346)=3,ISNUMBER(AA1346))),0,1)+IF(OR(COUNTA(AB1346:AD1346)=0,AND(COUNTA(AB1346:AD1346)=3,ISNUMBER(AD1346))),0,1)+IF(OR(COUNTA(AE1346:AG1346)=0,AND(COUNTA(AE1346:AG1346)=3,ISNUMBER(AG1346))),0,1)+IF(OR(COUNTA(AH1346:AJ1346)=0,AND(COUNTA(AH1346:AJ1346)=3,ISNUMBER(AJ1346))),0,1)+IF(OR(COUNTA(AK1346:AM1346)=0,AND(COUNTA(AK1346:AM1346)=3,ISNUMBER(AM1346))),0,1)+IF(OR(COUNTA(AN1346:AP1346)=0,AND(COUNTA(AN1346:AP1346)=3,ISNUMBER(AP1346))),0,1)+IF(OR(COUNTA(AQ1346:AS1346)=0,AND(COUNTA(AQ1346:AS1346)=3,ISNUMBER(AS1346))),0,1)+IF(OR(COUNTA(AT1346:AV1346)=0,AND(COUNTA(AT1346:AV1346)=3,ISNUMBER(AV1346))),0,1)+IF(OR(COUNTA(AW1346:AY1346)=0,AND(COUNTA(AW1346:AY1346)=3,ISNUMBER(AY1346))),0,1)+IF(OR(COUNTA(AZ1346:BB1346)=0,AND(COUNTA(AZ1346:BB1346)=3,ISNUMBER(BB1346))),0,1))&gt;0,"; An invoice is incomplete (needs No, Date and a number in Ex GST)","")&amp;IF((IF(T1346="",0,IFERROR(--(EOMONTH(T1346,0)&lt;&gt;S$5),1))+IF(W1346="",0,IFERROR(--(EOMONTH(W1346,0)&lt;&gt;V$5),1))+IF(Z1346="",0,IFERROR(--(EOMONTH(Z1346,0)&lt;&gt;Y$5),1))+IF(AC1346="",0,IFERROR(--(EOMONTH(AC1346,0)&lt;&gt;AB$5),1))+IF(AF1346="",0,IFERROR(--(EOMONTH(AF1346,0)&lt;&gt;AE$5),1))+IF(AI1346="",0,IFERROR(--(EOMONTH(AI1346,0)&lt;&gt;AH$5),1))+IF(AL1346="",0,IFERROR(--(EOMONTH(AL1346,0)&lt;&gt;AK$5),1))+IF(AO1346="",0,IFERROR(--(EOMONTH(AO1346,0)&lt;&gt;AN$5),1))+IF(AR1346="",0,IFERROR(--(EOMONTH(AR1346,0)&lt;&gt;AQ$5),1))+IF(AU1346="",0,IFERROR(--(EOMONTH(AU1346,0)&lt;&gt;AT$5),1))+IF(AX1346="",0,IFERROR(--(EOMONTH(AX1346,0)&lt;&gt;AW$5),1))+IF(BA1346="",0,IFERROR(--(EOMONTH(BA1346,0)&lt;&gt;AZ$5),1)))&gt;0,"; An invoice date is not in the month it is typed under",""),3,500))</f>
        <v/>
      </c>
      <c r="S1346" s="12" t="n"/>
      <c r="T1346" s="13" t="n"/>
      <c r="U1346" s="14" t="n"/>
      <c r="V1346" s="12" t="n"/>
      <c r="W1346" s="13" t="n"/>
      <c r="X1346" s="14" t="n"/>
      <c r="Y1346" s="12" t="n"/>
      <c r="Z1346" s="13" t="n"/>
      <c r="AA1346" s="14" t="n"/>
      <c r="AB1346" s="12" t="n"/>
      <c r="AC1346" s="13" t="n"/>
      <c r="AD1346" s="14" t="n"/>
      <c r="AE1346" s="12" t="n"/>
      <c r="AF1346" s="13" t="n"/>
      <c r="AG1346" s="14" t="n"/>
      <c r="AH1346" s="12" t="n"/>
      <c r="AI1346" s="13" t="n"/>
      <c r="AJ1346" s="14" t="n"/>
      <c r="AK1346" s="12" t="n"/>
      <c r="AL1346" s="13" t="n"/>
      <c r="AM1346" s="14" t="n"/>
      <c r="AN1346" s="12" t="n"/>
      <c r="AO1346" s="13" t="n"/>
      <c r="AP1346" s="14" t="n"/>
      <c r="AQ1346" s="12" t="n"/>
      <c r="AR1346" s="13" t="n"/>
      <c r="AS1346" s="14" t="n"/>
      <c r="AT1346" s="12" t="n"/>
      <c r="AU1346" s="13" t="n"/>
      <c r="AV1346" s="14" t="n"/>
      <c r="AW1346" s="12" t="n"/>
      <c r="AX1346" s="13" t="n"/>
      <c r="AY1346" s="14" t="n"/>
      <c r="AZ1346" s="12" t="n"/>
      <c r="BA1346" s="13" t="n"/>
      <c r="BB1346" s="14" t="n"/>
      <c r="BC1346" s="11">
        <f>IF(O1346="","",IF(J1346="GST 10%",ROUND(O1346*set_GSTRate,2),0))</f>
        <v/>
      </c>
      <c r="BD1346" s="11">
        <f>IF(O1346="","",O1346+BC1346)</f>
        <v/>
      </c>
      <c r="BE1346" s="15">
        <f>IF(O1346="","",COUNTA(S1346,V1346,Y1346,AB1346,AE1346,AH1346,AK1346,AN1346,AQ1346,AT1346,AW1346,AZ1346))</f>
        <v/>
      </c>
      <c r="BF1346" s="16">
        <f>IF(COUNT(T1346,W1346,Z1346,AC1346,AF1346,AI1346,AL1346,AO1346,AR1346,AU1346,AX1346,BA1346)=0,"",MAX(T1346,W1346,Z1346,AC1346,AF1346,AI1346,AL1346,AO1346,AR1346,AU1346,AX1346,BA1346))</f>
        <v/>
      </c>
      <c r="BG1346" s="10">
        <f>MID(IF(S1346="","",", "&amp;S1346)&amp;IF(V1346="","",", "&amp;V1346)&amp;IF(Y1346="","",", "&amp;Y1346)&amp;IF(AB1346="","",", "&amp;AB1346)&amp;IF(AE1346="","",", "&amp;AE1346)&amp;IF(AH1346="","",", "&amp;AH1346)&amp;IF(AK1346="","",", "&amp;AK1346)&amp;IF(AN1346="","",", "&amp;AN1346)&amp;IF(AQ1346="","",", "&amp;AQ1346)&amp;IF(AT1346="","",", "&amp;AT1346)&amp;IF(AW1346="","",", "&amp;AW1346)&amp;IF(AZ1346="","",", "&amp;AZ1346),3,500)</f>
        <v/>
      </c>
      <c r="BH1346" s="12" t="n"/>
      <c r="BI1346" s="15">
        <f>IFERROR(MATCH($A1346,IF($B1346="Onsite",tbl_Onsite[Row ID],IF($B1346="Production",tbl_Production[Row ID],tbl_Consulting[Row ID])),0),"")</f>
        <v/>
      </c>
    </row>
    <row r="1347">
      <c r="A1347" s="10" t="inlineStr">
        <is>
          <t>CON-0341</t>
        </is>
      </c>
      <c r="B1347" s="10" t="inlineStr">
        <is>
          <t>Consulting</t>
        </is>
      </c>
      <c r="C1347" s="10">
        <f>IF($BI1347="","",IF($B1347="Onsite",INDEX(tbl_Onsite[Job Number],$BI1347),IF($B1347="Production",INDEX(tbl_Production[Job Number],$BI1347),INDEX(tbl_Consulting[Job Number],$BI1347)))&amp;"")</f>
        <v/>
      </c>
      <c r="D1347" s="10">
        <f>IF($BI1347="","",IF($B1347="Onsite",INDEX(tbl_Onsite[Client],$BI1347),IF($B1347="Production",INDEX(tbl_Production[Client],$BI1347),INDEX(tbl_Consulting[Client],$BI1347)))&amp;"")</f>
        <v/>
      </c>
      <c r="E1347" s="10">
        <f>IF($C1347="","",IF(COUNTIF(lst_Jobs,$C1347)&gt;0,"OK","CHECK"))</f>
        <v/>
      </c>
      <c r="F1347" s="10">
        <f>IF($C1347="","",IFERROR(INDEX(lst_JobName,MATCH($C1347,lst_Jobs,0)),""))</f>
        <v/>
      </c>
      <c r="G1347" s="10">
        <f>IF($BI1347="","",IF($B1347="Onsite",INDEX(tbl_Onsite[Job Description],$BI1347),IF($B1347="Production",INDEX(tbl_Production[Job Description],$BI1347),INDEX(tbl_Consulting[Job Description],$BI1347)))&amp;"")</f>
        <v/>
      </c>
      <c r="H1347" s="10">
        <f>IF($BI1347="","",IF($B1347="Onsite",INDEX(tbl_Onsite[Cost Centre],$BI1347),IF($B1347="Production",INDEX(tbl_Production[Cost Centre],$BI1347),INDEX(tbl_Consulting[Cost Centre],$BI1347)))&amp;"")</f>
        <v/>
      </c>
      <c r="I1347" s="10">
        <f>IF($BI1347="","",IF($B1347="Onsite",INDEX(tbl_Onsite[Invoice Type],$BI1347),IF($B1347="Production",INDEX(tbl_Production[Invoice Type],$BI1347),INDEX(tbl_Consulting[Invoice Type],$BI1347)))&amp;"")</f>
        <v/>
      </c>
      <c r="J1347" s="10">
        <f>IF($BI1347="","",IF($B1347="Onsite",INDEX(tbl_Onsite[Tax Code],$BI1347),IF($B1347="Production",INDEX(tbl_Production[Tax Code],$BI1347),INDEX(tbl_Consulting[Tax Code],$BI1347)))&amp;"")</f>
        <v/>
      </c>
      <c r="K1347" s="10">
        <f>IF(H1347="","",IFERROR(INDEX(lst_CCtoGL,MATCH(H1347,lst_CCforGL,0)),""))</f>
        <v/>
      </c>
      <c r="L1347" s="10">
        <f>IF($BI1347="","",IF($B1347="Onsite",INDEX(tbl_Onsite[PO / Reference],$BI1347),IF($B1347="Production",INDEX(tbl_Production[Current RMS No],$BI1347),INDEX(tbl_Consulting[Qwilr Quote],$BI1347)))&amp;"")</f>
        <v/>
      </c>
      <c r="M1347" s="10">
        <f>IF($BI1347="","",IF($B1347="Onsite",INDEX(tbl_Onsite[Notes],$BI1347),IF($B1347="Production",INDEX(tbl_Production[Notes],$BI1347),INDEX(tbl_Consulting[Notes],$BI1347)))&amp;"")</f>
        <v/>
      </c>
      <c r="N1347" s="11">
        <f>IF($BI1347="","",IF(IF($B1347="Onsite",INDEX(tbl_Onsite[Expected Revenue Ex GST],$BI1347),IF($B1347="Production",INDEX(tbl_Production[Expected Revenue Ex GST],$BI1347),INDEX(tbl_Consulting[Expected Revenue Ex GST],$BI1347)))="","",IF($B1347="Onsite",INDEX(tbl_Onsite[Expected Revenue Ex GST],$BI1347),IF($B1347="Production",INDEX(tbl_Production[Expected Revenue Ex GST],$BI1347),INDEX(tbl_Consulting[Expected Revenue Ex GST],$BI1347)))))</f>
        <v/>
      </c>
      <c r="O1347" s="11">
        <f>IF(AND($C1347="",NOT(COUNTA($S1347:$BB1347)&gt;0)),"",SUM(U1347,X1347,AA1347,AD1347,AG1347,AJ1347,AM1347,AP1347,AS1347,AV1347,AY1347,BB1347))</f>
        <v/>
      </c>
      <c r="P1347" s="11">
        <f>IF(O1347="","",N(N1347)-O1347)</f>
        <v/>
      </c>
      <c r="Q1347" s="10">
        <f>IF(O1347="","",IF($C1347="","Invoice on empty job row",IF(N1347="",IF(ROUND(O1347,2)=0,"No dept value","Invoiced - no dept value"),IF(ROUND(O1347,2)=0,"Not invoiced - to invoice",IF(ROUND(P1347,2)=0,"Agrees",IF(P1347&gt;0,"Dept higher - to invoice","Xero higher - check dept"))))))</f>
        <v/>
      </c>
      <c r="R1347" s="10">
        <f>IF(AND($C1347="",NOT(COUNTA($S1347:$BB1347)&gt;0),$BI1347&lt;&gt;""),"",MID(IF($BI1347="","; Row ID not found on the department sheet - a row was deleted","")&amp;IF(AND($C1347="",COUNTA($S1347:$BB1347)&gt;0),"; Invoice entered but the department row has no job number","")&amp;IF(E1347="CHECK","; Job number not in the Xero job list","")&amp;IF(AND($C1347&lt;&gt;"",COUNTIF($C$7:$C$1506,$C1347)&gt;1),"; Job number on more than one row","")&amp;IF(AND($C1347&lt;&gt;"",H1347=""),"; Dept has not set a cost centre","")&amp;IF(AND($C1347&lt;&gt;"",J1347=""),"; Dept has not set a tax code","")&amp;IF(AND($C1347&lt;&gt;"",N1347=""),"; Dept has not entered an expected value","")&amp;IF((IF(OR(COUNTA(S1347:U1347)=0,AND(COUNTA(S1347:U1347)=3,ISNUMBER(U1347))),0,1)+IF(OR(COUNTA(V1347:X1347)=0,AND(COUNTA(V1347:X1347)=3,ISNUMBER(X1347))),0,1)+IF(OR(COUNTA(Y1347:AA1347)=0,AND(COUNTA(Y1347:AA1347)=3,ISNUMBER(AA1347))),0,1)+IF(OR(COUNTA(AB1347:AD1347)=0,AND(COUNTA(AB1347:AD1347)=3,ISNUMBER(AD1347))),0,1)+IF(OR(COUNTA(AE1347:AG1347)=0,AND(COUNTA(AE1347:AG1347)=3,ISNUMBER(AG1347))),0,1)+IF(OR(COUNTA(AH1347:AJ1347)=0,AND(COUNTA(AH1347:AJ1347)=3,ISNUMBER(AJ1347))),0,1)+IF(OR(COUNTA(AK1347:AM1347)=0,AND(COUNTA(AK1347:AM1347)=3,ISNUMBER(AM1347))),0,1)+IF(OR(COUNTA(AN1347:AP1347)=0,AND(COUNTA(AN1347:AP1347)=3,ISNUMBER(AP1347))),0,1)+IF(OR(COUNTA(AQ1347:AS1347)=0,AND(COUNTA(AQ1347:AS1347)=3,ISNUMBER(AS1347))),0,1)+IF(OR(COUNTA(AT1347:AV1347)=0,AND(COUNTA(AT1347:AV1347)=3,ISNUMBER(AV1347))),0,1)+IF(OR(COUNTA(AW1347:AY1347)=0,AND(COUNTA(AW1347:AY1347)=3,ISNUMBER(AY1347))),0,1)+IF(OR(COUNTA(AZ1347:BB1347)=0,AND(COUNTA(AZ1347:BB1347)=3,ISNUMBER(BB1347))),0,1))&gt;0,"; An invoice is incomplete (needs No, Date and a number in Ex GST)","")&amp;IF((IF(T1347="",0,IFERROR(--(EOMONTH(T1347,0)&lt;&gt;S$5),1))+IF(W1347="",0,IFERROR(--(EOMONTH(W1347,0)&lt;&gt;V$5),1))+IF(Z1347="",0,IFERROR(--(EOMONTH(Z1347,0)&lt;&gt;Y$5),1))+IF(AC1347="",0,IFERROR(--(EOMONTH(AC1347,0)&lt;&gt;AB$5),1))+IF(AF1347="",0,IFERROR(--(EOMONTH(AF1347,0)&lt;&gt;AE$5),1))+IF(AI1347="",0,IFERROR(--(EOMONTH(AI1347,0)&lt;&gt;AH$5),1))+IF(AL1347="",0,IFERROR(--(EOMONTH(AL1347,0)&lt;&gt;AK$5),1))+IF(AO1347="",0,IFERROR(--(EOMONTH(AO1347,0)&lt;&gt;AN$5),1))+IF(AR1347="",0,IFERROR(--(EOMONTH(AR1347,0)&lt;&gt;AQ$5),1))+IF(AU1347="",0,IFERROR(--(EOMONTH(AU1347,0)&lt;&gt;AT$5),1))+IF(AX1347="",0,IFERROR(--(EOMONTH(AX1347,0)&lt;&gt;AW$5),1))+IF(BA1347="",0,IFERROR(--(EOMONTH(BA1347,0)&lt;&gt;AZ$5),1)))&gt;0,"; An invoice date is not in the month it is typed under",""),3,500))</f>
        <v/>
      </c>
      <c r="S1347" s="12" t="n"/>
      <c r="T1347" s="13" t="n"/>
      <c r="U1347" s="14" t="n"/>
      <c r="V1347" s="12" t="n"/>
      <c r="W1347" s="13" t="n"/>
      <c r="X1347" s="14" t="n"/>
      <c r="Y1347" s="12" t="n"/>
      <c r="Z1347" s="13" t="n"/>
      <c r="AA1347" s="14" t="n"/>
      <c r="AB1347" s="12" t="n"/>
      <c r="AC1347" s="13" t="n"/>
      <c r="AD1347" s="14" t="n"/>
      <c r="AE1347" s="12" t="n"/>
      <c r="AF1347" s="13" t="n"/>
      <c r="AG1347" s="14" t="n"/>
      <c r="AH1347" s="12" t="n"/>
      <c r="AI1347" s="13" t="n"/>
      <c r="AJ1347" s="14" t="n"/>
      <c r="AK1347" s="12" t="n"/>
      <c r="AL1347" s="13" t="n"/>
      <c r="AM1347" s="14" t="n"/>
      <c r="AN1347" s="12" t="n"/>
      <c r="AO1347" s="13" t="n"/>
      <c r="AP1347" s="14" t="n"/>
      <c r="AQ1347" s="12" t="n"/>
      <c r="AR1347" s="13" t="n"/>
      <c r="AS1347" s="14" t="n"/>
      <c r="AT1347" s="12" t="n"/>
      <c r="AU1347" s="13" t="n"/>
      <c r="AV1347" s="14" t="n"/>
      <c r="AW1347" s="12" t="n"/>
      <c r="AX1347" s="13" t="n"/>
      <c r="AY1347" s="14" t="n"/>
      <c r="AZ1347" s="12" t="n"/>
      <c r="BA1347" s="13" t="n"/>
      <c r="BB1347" s="14" t="n"/>
      <c r="BC1347" s="11">
        <f>IF(O1347="","",IF(J1347="GST 10%",ROUND(O1347*set_GSTRate,2),0))</f>
        <v/>
      </c>
      <c r="BD1347" s="11">
        <f>IF(O1347="","",O1347+BC1347)</f>
        <v/>
      </c>
      <c r="BE1347" s="15">
        <f>IF(O1347="","",COUNTA(S1347,V1347,Y1347,AB1347,AE1347,AH1347,AK1347,AN1347,AQ1347,AT1347,AW1347,AZ1347))</f>
        <v/>
      </c>
      <c r="BF1347" s="16">
        <f>IF(COUNT(T1347,W1347,Z1347,AC1347,AF1347,AI1347,AL1347,AO1347,AR1347,AU1347,AX1347,BA1347)=0,"",MAX(T1347,W1347,Z1347,AC1347,AF1347,AI1347,AL1347,AO1347,AR1347,AU1347,AX1347,BA1347))</f>
        <v/>
      </c>
      <c r="BG1347" s="10">
        <f>MID(IF(S1347="","",", "&amp;S1347)&amp;IF(V1347="","",", "&amp;V1347)&amp;IF(Y1347="","",", "&amp;Y1347)&amp;IF(AB1347="","",", "&amp;AB1347)&amp;IF(AE1347="","",", "&amp;AE1347)&amp;IF(AH1347="","",", "&amp;AH1347)&amp;IF(AK1347="","",", "&amp;AK1347)&amp;IF(AN1347="","",", "&amp;AN1347)&amp;IF(AQ1347="","",", "&amp;AQ1347)&amp;IF(AT1347="","",", "&amp;AT1347)&amp;IF(AW1347="","",", "&amp;AW1347)&amp;IF(AZ1347="","",", "&amp;AZ1347),3,500)</f>
        <v/>
      </c>
      <c r="BH1347" s="12" t="n"/>
      <c r="BI1347" s="15">
        <f>IFERROR(MATCH($A1347,IF($B1347="Onsite",tbl_Onsite[Row ID],IF($B1347="Production",tbl_Production[Row ID],tbl_Consulting[Row ID])),0),"")</f>
        <v/>
      </c>
    </row>
    <row r="1348">
      <c r="A1348" s="10" t="inlineStr">
        <is>
          <t>CON-0342</t>
        </is>
      </c>
      <c r="B1348" s="10" t="inlineStr">
        <is>
          <t>Consulting</t>
        </is>
      </c>
      <c r="C1348" s="10">
        <f>IF($BI1348="","",IF($B1348="Onsite",INDEX(tbl_Onsite[Job Number],$BI1348),IF($B1348="Production",INDEX(tbl_Production[Job Number],$BI1348),INDEX(tbl_Consulting[Job Number],$BI1348)))&amp;"")</f>
        <v/>
      </c>
      <c r="D1348" s="10">
        <f>IF($BI1348="","",IF($B1348="Onsite",INDEX(tbl_Onsite[Client],$BI1348),IF($B1348="Production",INDEX(tbl_Production[Client],$BI1348),INDEX(tbl_Consulting[Client],$BI1348)))&amp;"")</f>
        <v/>
      </c>
      <c r="E1348" s="10">
        <f>IF($C1348="","",IF(COUNTIF(lst_Jobs,$C1348)&gt;0,"OK","CHECK"))</f>
        <v/>
      </c>
      <c r="F1348" s="10">
        <f>IF($C1348="","",IFERROR(INDEX(lst_JobName,MATCH($C1348,lst_Jobs,0)),""))</f>
        <v/>
      </c>
      <c r="G1348" s="10">
        <f>IF($BI1348="","",IF($B1348="Onsite",INDEX(tbl_Onsite[Job Description],$BI1348),IF($B1348="Production",INDEX(tbl_Production[Job Description],$BI1348),INDEX(tbl_Consulting[Job Description],$BI1348)))&amp;"")</f>
        <v/>
      </c>
      <c r="H1348" s="10">
        <f>IF($BI1348="","",IF($B1348="Onsite",INDEX(tbl_Onsite[Cost Centre],$BI1348),IF($B1348="Production",INDEX(tbl_Production[Cost Centre],$BI1348),INDEX(tbl_Consulting[Cost Centre],$BI1348)))&amp;"")</f>
        <v/>
      </c>
      <c r="I1348" s="10">
        <f>IF($BI1348="","",IF($B1348="Onsite",INDEX(tbl_Onsite[Invoice Type],$BI1348),IF($B1348="Production",INDEX(tbl_Production[Invoice Type],$BI1348),INDEX(tbl_Consulting[Invoice Type],$BI1348)))&amp;"")</f>
        <v/>
      </c>
      <c r="J1348" s="10">
        <f>IF($BI1348="","",IF($B1348="Onsite",INDEX(tbl_Onsite[Tax Code],$BI1348),IF($B1348="Production",INDEX(tbl_Production[Tax Code],$BI1348),INDEX(tbl_Consulting[Tax Code],$BI1348)))&amp;"")</f>
        <v/>
      </c>
      <c r="K1348" s="10">
        <f>IF(H1348="","",IFERROR(INDEX(lst_CCtoGL,MATCH(H1348,lst_CCforGL,0)),""))</f>
        <v/>
      </c>
      <c r="L1348" s="10">
        <f>IF($BI1348="","",IF($B1348="Onsite",INDEX(tbl_Onsite[PO / Reference],$BI1348),IF($B1348="Production",INDEX(tbl_Production[Current RMS No],$BI1348),INDEX(tbl_Consulting[Qwilr Quote],$BI1348)))&amp;"")</f>
        <v/>
      </c>
      <c r="M1348" s="10">
        <f>IF($BI1348="","",IF($B1348="Onsite",INDEX(tbl_Onsite[Notes],$BI1348),IF($B1348="Production",INDEX(tbl_Production[Notes],$BI1348),INDEX(tbl_Consulting[Notes],$BI1348)))&amp;"")</f>
        <v/>
      </c>
      <c r="N1348" s="11">
        <f>IF($BI1348="","",IF(IF($B1348="Onsite",INDEX(tbl_Onsite[Expected Revenue Ex GST],$BI1348),IF($B1348="Production",INDEX(tbl_Production[Expected Revenue Ex GST],$BI1348),INDEX(tbl_Consulting[Expected Revenue Ex GST],$BI1348)))="","",IF($B1348="Onsite",INDEX(tbl_Onsite[Expected Revenue Ex GST],$BI1348),IF($B1348="Production",INDEX(tbl_Production[Expected Revenue Ex GST],$BI1348),INDEX(tbl_Consulting[Expected Revenue Ex GST],$BI1348)))))</f>
        <v/>
      </c>
      <c r="O1348" s="11">
        <f>IF(AND($C1348="",NOT(COUNTA($S1348:$BB1348)&gt;0)),"",SUM(U1348,X1348,AA1348,AD1348,AG1348,AJ1348,AM1348,AP1348,AS1348,AV1348,AY1348,BB1348))</f>
        <v/>
      </c>
      <c r="P1348" s="11">
        <f>IF(O1348="","",N(N1348)-O1348)</f>
        <v/>
      </c>
      <c r="Q1348" s="10">
        <f>IF(O1348="","",IF($C1348="","Invoice on empty job row",IF(N1348="",IF(ROUND(O1348,2)=0,"No dept value","Invoiced - no dept value"),IF(ROUND(O1348,2)=0,"Not invoiced - to invoice",IF(ROUND(P1348,2)=0,"Agrees",IF(P1348&gt;0,"Dept higher - to invoice","Xero higher - check dept"))))))</f>
        <v/>
      </c>
      <c r="R1348" s="10">
        <f>IF(AND($C1348="",NOT(COUNTA($S1348:$BB1348)&gt;0),$BI1348&lt;&gt;""),"",MID(IF($BI1348="","; Row ID not found on the department sheet - a row was deleted","")&amp;IF(AND($C1348="",COUNTA($S1348:$BB1348)&gt;0),"; Invoice entered but the department row has no job number","")&amp;IF(E1348="CHECK","; Job number not in the Xero job list","")&amp;IF(AND($C1348&lt;&gt;"",COUNTIF($C$7:$C$1506,$C1348)&gt;1),"; Job number on more than one row","")&amp;IF(AND($C1348&lt;&gt;"",H1348=""),"; Dept has not set a cost centre","")&amp;IF(AND($C1348&lt;&gt;"",J1348=""),"; Dept has not set a tax code","")&amp;IF(AND($C1348&lt;&gt;"",N1348=""),"; Dept has not entered an expected value","")&amp;IF((IF(OR(COUNTA(S1348:U1348)=0,AND(COUNTA(S1348:U1348)=3,ISNUMBER(U1348))),0,1)+IF(OR(COUNTA(V1348:X1348)=0,AND(COUNTA(V1348:X1348)=3,ISNUMBER(X1348))),0,1)+IF(OR(COUNTA(Y1348:AA1348)=0,AND(COUNTA(Y1348:AA1348)=3,ISNUMBER(AA1348))),0,1)+IF(OR(COUNTA(AB1348:AD1348)=0,AND(COUNTA(AB1348:AD1348)=3,ISNUMBER(AD1348))),0,1)+IF(OR(COUNTA(AE1348:AG1348)=0,AND(COUNTA(AE1348:AG1348)=3,ISNUMBER(AG1348))),0,1)+IF(OR(COUNTA(AH1348:AJ1348)=0,AND(COUNTA(AH1348:AJ1348)=3,ISNUMBER(AJ1348))),0,1)+IF(OR(COUNTA(AK1348:AM1348)=0,AND(COUNTA(AK1348:AM1348)=3,ISNUMBER(AM1348))),0,1)+IF(OR(COUNTA(AN1348:AP1348)=0,AND(COUNTA(AN1348:AP1348)=3,ISNUMBER(AP1348))),0,1)+IF(OR(COUNTA(AQ1348:AS1348)=0,AND(COUNTA(AQ1348:AS1348)=3,ISNUMBER(AS1348))),0,1)+IF(OR(COUNTA(AT1348:AV1348)=0,AND(COUNTA(AT1348:AV1348)=3,ISNUMBER(AV1348))),0,1)+IF(OR(COUNTA(AW1348:AY1348)=0,AND(COUNTA(AW1348:AY1348)=3,ISNUMBER(AY1348))),0,1)+IF(OR(COUNTA(AZ1348:BB1348)=0,AND(COUNTA(AZ1348:BB1348)=3,ISNUMBER(BB1348))),0,1))&gt;0,"; An invoice is incomplete (needs No, Date and a number in Ex GST)","")&amp;IF((IF(T1348="",0,IFERROR(--(EOMONTH(T1348,0)&lt;&gt;S$5),1))+IF(W1348="",0,IFERROR(--(EOMONTH(W1348,0)&lt;&gt;V$5),1))+IF(Z1348="",0,IFERROR(--(EOMONTH(Z1348,0)&lt;&gt;Y$5),1))+IF(AC1348="",0,IFERROR(--(EOMONTH(AC1348,0)&lt;&gt;AB$5),1))+IF(AF1348="",0,IFERROR(--(EOMONTH(AF1348,0)&lt;&gt;AE$5),1))+IF(AI1348="",0,IFERROR(--(EOMONTH(AI1348,0)&lt;&gt;AH$5),1))+IF(AL1348="",0,IFERROR(--(EOMONTH(AL1348,0)&lt;&gt;AK$5),1))+IF(AO1348="",0,IFERROR(--(EOMONTH(AO1348,0)&lt;&gt;AN$5),1))+IF(AR1348="",0,IFERROR(--(EOMONTH(AR1348,0)&lt;&gt;AQ$5),1))+IF(AU1348="",0,IFERROR(--(EOMONTH(AU1348,0)&lt;&gt;AT$5),1))+IF(AX1348="",0,IFERROR(--(EOMONTH(AX1348,0)&lt;&gt;AW$5),1))+IF(BA1348="",0,IFERROR(--(EOMONTH(BA1348,0)&lt;&gt;AZ$5),1)))&gt;0,"; An invoice date is not in the month it is typed under",""),3,500))</f>
        <v/>
      </c>
      <c r="S1348" s="12" t="n"/>
      <c r="T1348" s="13" t="n"/>
      <c r="U1348" s="14" t="n"/>
      <c r="V1348" s="12" t="n"/>
      <c r="W1348" s="13" t="n"/>
      <c r="X1348" s="14" t="n"/>
      <c r="Y1348" s="12" t="n"/>
      <c r="Z1348" s="13" t="n"/>
      <c r="AA1348" s="14" t="n"/>
      <c r="AB1348" s="12" t="n"/>
      <c r="AC1348" s="13" t="n"/>
      <c r="AD1348" s="14" t="n"/>
      <c r="AE1348" s="12" t="n"/>
      <c r="AF1348" s="13" t="n"/>
      <c r="AG1348" s="14" t="n"/>
      <c r="AH1348" s="12" t="n"/>
      <c r="AI1348" s="13" t="n"/>
      <c r="AJ1348" s="14" t="n"/>
      <c r="AK1348" s="12" t="n"/>
      <c r="AL1348" s="13" t="n"/>
      <c r="AM1348" s="14" t="n"/>
      <c r="AN1348" s="12" t="n"/>
      <c r="AO1348" s="13" t="n"/>
      <c r="AP1348" s="14" t="n"/>
      <c r="AQ1348" s="12" t="n"/>
      <c r="AR1348" s="13" t="n"/>
      <c r="AS1348" s="14" t="n"/>
      <c r="AT1348" s="12" t="n"/>
      <c r="AU1348" s="13" t="n"/>
      <c r="AV1348" s="14" t="n"/>
      <c r="AW1348" s="12" t="n"/>
      <c r="AX1348" s="13" t="n"/>
      <c r="AY1348" s="14" t="n"/>
      <c r="AZ1348" s="12" t="n"/>
      <c r="BA1348" s="13" t="n"/>
      <c r="BB1348" s="14" t="n"/>
      <c r="BC1348" s="11">
        <f>IF(O1348="","",IF(J1348="GST 10%",ROUND(O1348*set_GSTRate,2),0))</f>
        <v/>
      </c>
      <c r="BD1348" s="11">
        <f>IF(O1348="","",O1348+BC1348)</f>
        <v/>
      </c>
      <c r="BE1348" s="15">
        <f>IF(O1348="","",COUNTA(S1348,V1348,Y1348,AB1348,AE1348,AH1348,AK1348,AN1348,AQ1348,AT1348,AW1348,AZ1348))</f>
        <v/>
      </c>
      <c r="BF1348" s="16">
        <f>IF(COUNT(T1348,W1348,Z1348,AC1348,AF1348,AI1348,AL1348,AO1348,AR1348,AU1348,AX1348,BA1348)=0,"",MAX(T1348,W1348,Z1348,AC1348,AF1348,AI1348,AL1348,AO1348,AR1348,AU1348,AX1348,BA1348))</f>
        <v/>
      </c>
      <c r="BG1348" s="10">
        <f>MID(IF(S1348="","",", "&amp;S1348)&amp;IF(V1348="","",", "&amp;V1348)&amp;IF(Y1348="","",", "&amp;Y1348)&amp;IF(AB1348="","",", "&amp;AB1348)&amp;IF(AE1348="","",", "&amp;AE1348)&amp;IF(AH1348="","",", "&amp;AH1348)&amp;IF(AK1348="","",", "&amp;AK1348)&amp;IF(AN1348="","",", "&amp;AN1348)&amp;IF(AQ1348="","",", "&amp;AQ1348)&amp;IF(AT1348="","",", "&amp;AT1348)&amp;IF(AW1348="","",", "&amp;AW1348)&amp;IF(AZ1348="","",", "&amp;AZ1348),3,500)</f>
        <v/>
      </c>
      <c r="BH1348" s="12" t="n"/>
      <c r="BI1348" s="15">
        <f>IFERROR(MATCH($A1348,IF($B1348="Onsite",tbl_Onsite[Row ID],IF($B1348="Production",tbl_Production[Row ID],tbl_Consulting[Row ID])),0),"")</f>
        <v/>
      </c>
    </row>
    <row r="1349">
      <c r="A1349" s="10" t="inlineStr">
        <is>
          <t>CON-0343</t>
        </is>
      </c>
      <c r="B1349" s="10" t="inlineStr">
        <is>
          <t>Consulting</t>
        </is>
      </c>
      <c r="C1349" s="10">
        <f>IF($BI1349="","",IF($B1349="Onsite",INDEX(tbl_Onsite[Job Number],$BI1349),IF($B1349="Production",INDEX(tbl_Production[Job Number],$BI1349),INDEX(tbl_Consulting[Job Number],$BI1349)))&amp;"")</f>
        <v/>
      </c>
      <c r="D1349" s="10">
        <f>IF($BI1349="","",IF($B1349="Onsite",INDEX(tbl_Onsite[Client],$BI1349),IF($B1349="Production",INDEX(tbl_Production[Client],$BI1349),INDEX(tbl_Consulting[Client],$BI1349)))&amp;"")</f>
        <v/>
      </c>
      <c r="E1349" s="10">
        <f>IF($C1349="","",IF(COUNTIF(lst_Jobs,$C1349)&gt;0,"OK","CHECK"))</f>
        <v/>
      </c>
      <c r="F1349" s="10">
        <f>IF($C1349="","",IFERROR(INDEX(lst_JobName,MATCH($C1349,lst_Jobs,0)),""))</f>
        <v/>
      </c>
      <c r="G1349" s="10">
        <f>IF($BI1349="","",IF($B1349="Onsite",INDEX(tbl_Onsite[Job Description],$BI1349),IF($B1349="Production",INDEX(tbl_Production[Job Description],$BI1349),INDEX(tbl_Consulting[Job Description],$BI1349)))&amp;"")</f>
        <v/>
      </c>
      <c r="H1349" s="10">
        <f>IF($BI1349="","",IF($B1349="Onsite",INDEX(tbl_Onsite[Cost Centre],$BI1349),IF($B1349="Production",INDEX(tbl_Production[Cost Centre],$BI1349),INDEX(tbl_Consulting[Cost Centre],$BI1349)))&amp;"")</f>
        <v/>
      </c>
      <c r="I1349" s="10">
        <f>IF($BI1349="","",IF($B1349="Onsite",INDEX(tbl_Onsite[Invoice Type],$BI1349),IF($B1349="Production",INDEX(tbl_Production[Invoice Type],$BI1349),INDEX(tbl_Consulting[Invoice Type],$BI1349)))&amp;"")</f>
        <v/>
      </c>
      <c r="J1349" s="10">
        <f>IF($BI1349="","",IF($B1349="Onsite",INDEX(tbl_Onsite[Tax Code],$BI1349),IF($B1349="Production",INDEX(tbl_Production[Tax Code],$BI1349),INDEX(tbl_Consulting[Tax Code],$BI1349)))&amp;"")</f>
        <v/>
      </c>
      <c r="K1349" s="10">
        <f>IF(H1349="","",IFERROR(INDEX(lst_CCtoGL,MATCH(H1349,lst_CCforGL,0)),""))</f>
        <v/>
      </c>
      <c r="L1349" s="10">
        <f>IF($BI1349="","",IF($B1349="Onsite",INDEX(tbl_Onsite[PO / Reference],$BI1349),IF($B1349="Production",INDEX(tbl_Production[Current RMS No],$BI1349),INDEX(tbl_Consulting[Qwilr Quote],$BI1349)))&amp;"")</f>
        <v/>
      </c>
      <c r="M1349" s="10">
        <f>IF($BI1349="","",IF($B1349="Onsite",INDEX(tbl_Onsite[Notes],$BI1349),IF($B1349="Production",INDEX(tbl_Production[Notes],$BI1349),INDEX(tbl_Consulting[Notes],$BI1349)))&amp;"")</f>
        <v/>
      </c>
      <c r="N1349" s="11">
        <f>IF($BI1349="","",IF(IF($B1349="Onsite",INDEX(tbl_Onsite[Expected Revenue Ex GST],$BI1349),IF($B1349="Production",INDEX(tbl_Production[Expected Revenue Ex GST],$BI1349),INDEX(tbl_Consulting[Expected Revenue Ex GST],$BI1349)))="","",IF($B1349="Onsite",INDEX(tbl_Onsite[Expected Revenue Ex GST],$BI1349),IF($B1349="Production",INDEX(tbl_Production[Expected Revenue Ex GST],$BI1349),INDEX(tbl_Consulting[Expected Revenue Ex GST],$BI1349)))))</f>
        <v/>
      </c>
      <c r="O1349" s="11">
        <f>IF(AND($C1349="",NOT(COUNTA($S1349:$BB1349)&gt;0)),"",SUM(U1349,X1349,AA1349,AD1349,AG1349,AJ1349,AM1349,AP1349,AS1349,AV1349,AY1349,BB1349))</f>
        <v/>
      </c>
      <c r="P1349" s="11">
        <f>IF(O1349="","",N(N1349)-O1349)</f>
        <v/>
      </c>
      <c r="Q1349" s="10">
        <f>IF(O1349="","",IF($C1349="","Invoice on empty job row",IF(N1349="",IF(ROUND(O1349,2)=0,"No dept value","Invoiced - no dept value"),IF(ROUND(O1349,2)=0,"Not invoiced - to invoice",IF(ROUND(P1349,2)=0,"Agrees",IF(P1349&gt;0,"Dept higher - to invoice","Xero higher - check dept"))))))</f>
        <v/>
      </c>
      <c r="R1349" s="10">
        <f>IF(AND($C1349="",NOT(COUNTA($S1349:$BB1349)&gt;0),$BI1349&lt;&gt;""),"",MID(IF($BI1349="","; Row ID not found on the department sheet - a row was deleted","")&amp;IF(AND($C1349="",COUNTA($S1349:$BB1349)&gt;0),"; Invoice entered but the department row has no job number","")&amp;IF(E1349="CHECK","; Job number not in the Xero job list","")&amp;IF(AND($C1349&lt;&gt;"",COUNTIF($C$7:$C$1506,$C1349)&gt;1),"; Job number on more than one row","")&amp;IF(AND($C1349&lt;&gt;"",H1349=""),"; Dept has not set a cost centre","")&amp;IF(AND($C1349&lt;&gt;"",J1349=""),"; Dept has not set a tax code","")&amp;IF(AND($C1349&lt;&gt;"",N1349=""),"; Dept has not entered an expected value","")&amp;IF((IF(OR(COUNTA(S1349:U1349)=0,AND(COUNTA(S1349:U1349)=3,ISNUMBER(U1349))),0,1)+IF(OR(COUNTA(V1349:X1349)=0,AND(COUNTA(V1349:X1349)=3,ISNUMBER(X1349))),0,1)+IF(OR(COUNTA(Y1349:AA1349)=0,AND(COUNTA(Y1349:AA1349)=3,ISNUMBER(AA1349))),0,1)+IF(OR(COUNTA(AB1349:AD1349)=0,AND(COUNTA(AB1349:AD1349)=3,ISNUMBER(AD1349))),0,1)+IF(OR(COUNTA(AE1349:AG1349)=0,AND(COUNTA(AE1349:AG1349)=3,ISNUMBER(AG1349))),0,1)+IF(OR(COUNTA(AH1349:AJ1349)=0,AND(COUNTA(AH1349:AJ1349)=3,ISNUMBER(AJ1349))),0,1)+IF(OR(COUNTA(AK1349:AM1349)=0,AND(COUNTA(AK1349:AM1349)=3,ISNUMBER(AM1349))),0,1)+IF(OR(COUNTA(AN1349:AP1349)=0,AND(COUNTA(AN1349:AP1349)=3,ISNUMBER(AP1349))),0,1)+IF(OR(COUNTA(AQ1349:AS1349)=0,AND(COUNTA(AQ1349:AS1349)=3,ISNUMBER(AS1349))),0,1)+IF(OR(COUNTA(AT1349:AV1349)=0,AND(COUNTA(AT1349:AV1349)=3,ISNUMBER(AV1349))),0,1)+IF(OR(COUNTA(AW1349:AY1349)=0,AND(COUNTA(AW1349:AY1349)=3,ISNUMBER(AY1349))),0,1)+IF(OR(COUNTA(AZ1349:BB1349)=0,AND(COUNTA(AZ1349:BB1349)=3,ISNUMBER(BB1349))),0,1))&gt;0,"; An invoice is incomplete (needs No, Date and a number in Ex GST)","")&amp;IF((IF(T1349="",0,IFERROR(--(EOMONTH(T1349,0)&lt;&gt;S$5),1))+IF(W1349="",0,IFERROR(--(EOMONTH(W1349,0)&lt;&gt;V$5),1))+IF(Z1349="",0,IFERROR(--(EOMONTH(Z1349,0)&lt;&gt;Y$5),1))+IF(AC1349="",0,IFERROR(--(EOMONTH(AC1349,0)&lt;&gt;AB$5),1))+IF(AF1349="",0,IFERROR(--(EOMONTH(AF1349,0)&lt;&gt;AE$5),1))+IF(AI1349="",0,IFERROR(--(EOMONTH(AI1349,0)&lt;&gt;AH$5),1))+IF(AL1349="",0,IFERROR(--(EOMONTH(AL1349,0)&lt;&gt;AK$5),1))+IF(AO1349="",0,IFERROR(--(EOMONTH(AO1349,0)&lt;&gt;AN$5),1))+IF(AR1349="",0,IFERROR(--(EOMONTH(AR1349,0)&lt;&gt;AQ$5),1))+IF(AU1349="",0,IFERROR(--(EOMONTH(AU1349,0)&lt;&gt;AT$5),1))+IF(AX1349="",0,IFERROR(--(EOMONTH(AX1349,0)&lt;&gt;AW$5),1))+IF(BA1349="",0,IFERROR(--(EOMONTH(BA1349,0)&lt;&gt;AZ$5),1)))&gt;0,"; An invoice date is not in the month it is typed under",""),3,500))</f>
        <v/>
      </c>
      <c r="S1349" s="12" t="n"/>
      <c r="T1349" s="13" t="n"/>
      <c r="U1349" s="14" t="n"/>
      <c r="V1349" s="12" t="n"/>
      <c r="W1349" s="13" t="n"/>
      <c r="X1349" s="14" t="n"/>
      <c r="Y1349" s="12" t="n"/>
      <c r="Z1349" s="13" t="n"/>
      <c r="AA1349" s="14" t="n"/>
      <c r="AB1349" s="12" t="n"/>
      <c r="AC1349" s="13" t="n"/>
      <c r="AD1349" s="14" t="n"/>
      <c r="AE1349" s="12" t="n"/>
      <c r="AF1349" s="13" t="n"/>
      <c r="AG1349" s="14" t="n"/>
      <c r="AH1349" s="12" t="n"/>
      <c r="AI1349" s="13" t="n"/>
      <c r="AJ1349" s="14" t="n"/>
      <c r="AK1349" s="12" t="n"/>
      <c r="AL1349" s="13" t="n"/>
      <c r="AM1349" s="14" t="n"/>
      <c r="AN1349" s="12" t="n"/>
      <c r="AO1349" s="13" t="n"/>
      <c r="AP1349" s="14" t="n"/>
      <c r="AQ1349" s="12" t="n"/>
      <c r="AR1349" s="13" t="n"/>
      <c r="AS1349" s="14" t="n"/>
      <c r="AT1349" s="12" t="n"/>
      <c r="AU1349" s="13" t="n"/>
      <c r="AV1349" s="14" t="n"/>
      <c r="AW1349" s="12" t="n"/>
      <c r="AX1349" s="13" t="n"/>
      <c r="AY1349" s="14" t="n"/>
      <c r="AZ1349" s="12" t="n"/>
      <c r="BA1349" s="13" t="n"/>
      <c r="BB1349" s="14" t="n"/>
      <c r="BC1349" s="11">
        <f>IF(O1349="","",IF(J1349="GST 10%",ROUND(O1349*set_GSTRate,2),0))</f>
        <v/>
      </c>
      <c r="BD1349" s="11">
        <f>IF(O1349="","",O1349+BC1349)</f>
        <v/>
      </c>
      <c r="BE1349" s="15">
        <f>IF(O1349="","",COUNTA(S1349,V1349,Y1349,AB1349,AE1349,AH1349,AK1349,AN1349,AQ1349,AT1349,AW1349,AZ1349))</f>
        <v/>
      </c>
      <c r="BF1349" s="16">
        <f>IF(COUNT(T1349,W1349,Z1349,AC1349,AF1349,AI1349,AL1349,AO1349,AR1349,AU1349,AX1349,BA1349)=0,"",MAX(T1349,W1349,Z1349,AC1349,AF1349,AI1349,AL1349,AO1349,AR1349,AU1349,AX1349,BA1349))</f>
        <v/>
      </c>
      <c r="BG1349" s="10">
        <f>MID(IF(S1349="","",", "&amp;S1349)&amp;IF(V1349="","",", "&amp;V1349)&amp;IF(Y1349="","",", "&amp;Y1349)&amp;IF(AB1349="","",", "&amp;AB1349)&amp;IF(AE1349="","",", "&amp;AE1349)&amp;IF(AH1349="","",", "&amp;AH1349)&amp;IF(AK1349="","",", "&amp;AK1349)&amp;IF(AN1349="","",", "&amp;AN1349)&amp;IF(AQ1349="","",", "&amp;AQ1349)&amp;IF(AT1349="","",", "&amp;AT1349)&amp;IF(AW1349="","",", "&amp;AW1349)&amp;IF(AZ1349="","",", "&amp;AZ1349),3,500)</f>
        <v/>
      </c>
      <c r="BH1349" s="12" t="n"/>
      <c r="BI1349" s="15">
        <f>IFERROR(MATCH($A1349,IF($B1349="Onsite",tbl_Onsite[Row ID],IF($B1349="Production",tbl_Production[Row ID],tbl_Consulting[Row ID])),0),"")</f>
        <v/>
      </c>
    </row>
    <row r="1350">
      <c r="A1350" s="10" t="inlineStr">
        <is>
          <t>CON-0344</t>
        </is>
      </c>
      <c r="B1350" s="10" t="inlineStr">
        <is>
          <t>Consulting</t>
        </is>
      </c>
      <c r="C1350" s="10">
        <f>IF($BI1350="","",IF($B1350="Onsite",INDEX(tbl_Onsite[Job Number],$BI1350),IF($B1350="Production",INDEX(tbl_Production[Job Number],$BI1350),INDEX(tbl_Consulting[Job Number],$BI1350)))&amp;"")</f>
        <v/>
      </c>
      <c r="D1350" s="10">
        <f>IF($BI1350="","",IF($B1350="Onsite",INDEX(tbl_Onsite[Client],$BI1350),IF($B1350="Production",INDEX(tbl_Production[Client],$BI1350),INDEX(tbl_Consulting[Client],$BI1350)))&amp;"")</f>
        <v/>
      </c>
      <c r="E1350" s="10">
        <f>IF($C1350="","",IF(COUNTIF(lst_Jobs,$C1350)&gt;0,"OK","CHECK"))</f>
        <v/>
      </c>
      <c r="F1350" s="10">
        <f>IF($C1350="","",IFERROR(INDEX(lst_JobName,MATCH($C1350,lst_Jobs,0)),""))</f>
        <v/>
      </c>
      <c r="G1350" s="10">
        <f>IF($BI1350="","",IF($B1350="Onsite",INDEX(tbl_Onsite[Job Description],$BI1350),IF($B1350="Production",INDEX(tbl_Production[Job Description],$BI1350),INDEX(tbl_Consulting[Job Description],$BI1350)))&amp;"")</f>
        <v/>
      </c>
      <c r="H1350" s="10">
        <f>IF($BI1350="","",IF($B1350="Onsite",INDEX(tbl_Onsite[Cost Centre],$BI1350),IF($B1350="Production",INDEX(tbl_Production[Cost Centre],$BI1350),INDEX(tbl_Consulting[Cost Centre],$BI1350)))&amp;"")</f>
        <v/>
      </c>
      <c r="I1350" s="10">
        <f>IF($BI1350="","",IF($B1350="Onsite",INDEX(tbl_Onsite[Invoice Type],$BI1350),IF($B1350="Production",INDEX(tbl_Production[Invoice Type],$BI1350),INDEX(tbl_Consulting[Invoice Type],$BI1350)))&amp;"")</f>
        <v/>
      </c>
      <c r="J1350" s="10">
        <f>IF($BI1350="","",IF($B1350="Onsite",INDEX(tbl_Onsite[Tax Code],$BI1350),IF($B1350="Production",INDEX(tbl_Production[Tax Code],$BI1350),INDEX(tbl_Consulting[Tax Code],$BI1350)))&amp;"")</f>
        <v/>
      </c>
      <c r="K1350" s="10">
        <f>IF(H1350="","",IFERROR(INDEX(lst_CCtoGL,MATCH(H1350,lst_CCforGL,0)),""))</f>
        <v/>
      </c>
      <c r="L1350" s="10">
        <f>IF($BI1350="","",IF($B1350="Onsite",INDEX(tbl_Onsite[PO / Reference],$BI1350),IF($B1350="Production",INDEX(tbl_Production[Current RMS No],$BI1350),INDEX(tbl_Consulting[Qwilr Quote],$BI1350)))&amp;"")</f>
        <v/>
      </c>
      <c r="M1350" s="10">
        <f>IF($BI1350="","",IF($B1350="Onsite",INDEX(tbl_Onsite[Notes],$BI1350),IF($B1350="Production",INDEX(tbl_Production[Notes],$BI1350),INDEX(tbl_Consulting[Notes],$BI1350)))&amp;"")</f>
        <v/>
      </c>
      <c r="N1350" s="11">
        <f>IF($BI1350="","",IF(IF($B1350="Onsite",INDEX(tbl_Onsite[Expected Revenue Ex GST],$BI1350),IF($B1350="Production",INDEX(tbl_Production[Expected Revenue Ex GST],$BI1350),INDEX(tbl_Consulting[Expected Revenue Ex GST],$BI1350)))="","",IF($B1350="Onsite",INDEX(tbl_Onsite[Expected Revenue Ex GST],$BI1350),IF($B1350="Production",INDEX(tbl_Production[Expected Revenue Ex GST],$BI1350),INDEX(tbl_Consulting[Expected Revenue Ex GST],$BI1350)))))</f>
        <v/>
      </c>
      <c r="O1350" s="11">
        <f>IF(AND($C1350="",NOT(COUNTA($S1350:$BB1350)&gt;0)),"",SUM(U1350,X1350,AA1350,AD1350,AG1350,AJ1350,AM1350,AP1350,AS1350,AV1350,AY1350,BB1350))</f>
        <v/>
      </c>
      <c r="P1350" s="11">
        <f>IF(O1350="","",N(N1350)-O1350)</f>
        <v/>
      </c>
      <c r="Q1350" s="10">
        <f>IF(O1350="","",IF($C1350="","Invoice on empty job row",IF(N1350="",IF(ROUND(O1350,2)=0,"No dept value","Invoiced - no dept value"),IF(ROUND(O1350,2)=0,"Not invoiced - to invoice",IF(ROUND(P1350,2)=0,"Agrees",IF(P1350&gt;0,"Dept higher - to invoice","Xero higher - check dept"))))))</f>
        <v/>
      </c>
      <c r="R1350" s="10">
        <f>IF(AND($C1350="",NOT(COUNTA($S1350:$BB1350)&gt;0),$BI1350&lt;&gt;""),"",MID(IF($BI1350="","; Row ID not found on the department sheet - a row was deleted","")&amp;IF(AND($C1350="",COUNTA($S1350:$BB1350)&gt;0),"; Invoice entered but the department row has no job number","")&amp;IF(E1350="CHECK","; Job number not in the Xero job list","")&amp;IF(AND($C1350&lt;&gt;"",COUNTIF($C$7:$C$1506,$C1350)&gt;1),"; Job number on more than one row","")&amp;IF(AND($C1350&lt;&gt;"",H1350=""),"; Dept has not set a cost centre","")&amp;IF(AND($C1350&lt;&gt;"",J1350=""),"; Dept has not set a tax code","")&amp;IF(AND($C1350&lt;&gt;"",N1350=""),"; Dept has not entered an expected value","")&amp;IF((IF(OR(COUNTA(S1350:U1350)=0,AND(COUNTA(S1350:U1350)=3,ISNUMBER(U1350))),0,1)+IF(OR(COUNTA(V1350:X1350)=0,AND(COUNTA(V1350:X1350)=3,ISNUMBER(X1350))),0,1)+IF(OR(COUNTA(Y1350:AA1350)=0,AND(COUNTA(Y1350:AA1350)=3,ISNUMBER(AA1350))),0,1)+IF(OR(COUNTA(AB1350:AD1350)=0,AND(COUNTA(AB1350:AD1350)=3,ISNUMBER(AD1350))),0,1)+IF(OR(COUNTA(AE1350:AG1350)=0,AND(COUNTA(AE1350:AG1350)=3,ISNUMBER(AG1350))),0,1)+IF(OR(COUNTA(AH1350:AJ1350)=0,AND(COUNTA(AH1350:AJ1350)=3,ISNUMBER(AJ1350))),0,1)+IF(OR(COUNTA(AK1350:AM1350)=0,AND(COUNTA(AK1350:AM1350)=3,ISNUMBER(AM1350))),0,1)+IF(OR(COUNTA(AN1350:AP1350)=0,AND(COUNTA(AN1350:AP1350)=3,ISNUMBER(AP1350))),0,1)+IF(OR(COUNTA(AQ1350:AS1350)=0,AND(COUNTA(AQ1350:AS1350)=3,ISNUMBER(AS1350))),0,1)+IF(OR(COUNTA(AT1350:AV1350)=0,AND(COUNTA(AT1350:AV1350)=3,ISNUMBER(AV1350))),0,1)+IF(OR(COUNTA(AW1350:AY1350)=0,AND(COUNTA(AW1350:AY1350)=3,ISNUMBER(AY1350))),0,1)+IF(OR(COUNTA(AZ1350:BB1350)=0,AND(COUNTA(AZ1350:BB1350)=3,ISNUMBER(BB1350))),0,1))&gt;0,"; An invoice is incomplete (needs No, Date and a number in Ex GST)","")&amp;IF((IF(T1350="",0,IFERROR(--(EOMONTH(T1350,0)&lt;&gt;S$5),1))+IF(W1350="",0,IFERROR(--(EOMONTH(W1350,0)&lt;&gt;V$5),1))+IF(Z1350="",0,IFERROR(--(EOMONTH(Z1350,0)&lt;&gt;Y$5),1))+IF(AC1350="",0,IFERROR(--(EOMONTH(AC1350,0)&lt;&gt;AB$5),1))+IF(AF1350="",0,IFERROR(--(EOMONTH(AF1350,0)&lt;&gt;AE$5),1))+IF(AI1350="",0,IFERROR(--(EOMONTH(AI1350,0)&lt;&gt;AH$5),1))+IF(AL1350="",0,IFERROR(--(EOMONTH(AL1350,0)&lt;&gt;AK$5),1))+IF(AO1350="",0,IFERROR(--(EOMONTH(AO1350,0)&lt;&gt;AN$5),1))+IF(AR1350="",0,IFERROR(--(EOMONTH(AR1350,0)&lt;&gt;AQ$5),1))+IF(AU1350="",0,IFERROR(--(EOMONTH(AU1350,0)&lt;&gt;AT$5),1))+IF(AX1350="",0,IFERROR(--(EOMONTH(AX1350,0)&lt;&gt;AW$5),1))+IF(BA1350="",0,IFERROR(--(EOMONTH(BA1350,0)&lt;&gt;AZ$5),1)))&gt;0,"; An invoice date is not in the month it is typed under",""),3,500))</f>
        <v/>
      </c>
      <c r="S1350" s="12" t="n"/>
      <c r="T1350" s="13" t="n"/>
      <c r="U1350" s="14" t="n"/>
      <c r="V1350" s="12" t="n"/>
      <c r="W1350" s="13" t="n"/>
      <c r="X1350" s="14" t="n"/>
      <c r="Y1350" s="12" t="n"/>
      <c r="Z1350" s="13" t="n"/>
      <c r="AA1350" s="14" t="n"/>
      <c r="AB1350" s="12" t="n"/>
      <c r="AC1350" s="13" t="n"/>
      <c r="AD1350" s="14" t="n"/>
      <c r="AE1350" s="12" t="n"/>
      <c r="AF1350" s="13" t="n"/>
      <c r="AG1350" s="14" t="n"/>
      <c r="AH1350" s="12" t="n"/>
      <c r="AI1350" s="13" t="n"/>
      <c r="AJ1350" s="14" t="n"/>
      <c r="AK1350" s="12" t="n"/>
      <c r="AL1350" s="13" t="n"/>
      <c r="AM1350" s="14" t="n"/>
      <c r="AN1350" s="12" t="n"/>
      <c r="AO1350" s="13" t="n"/>
      <c r="AP1350" s="14" t="n"/>
      <c r="AQ1350" s="12" t="n"/>
      <c r="AR1350" s="13" t="n"/>
      <c r="AS1350" s="14" t="n"/>
      <c r="AT1350" s="12" t="n"/>
      <c r="AU1350" s="13" t="n"/>
      <c r="AV1350" s="14" t="n"/>
      <c r="AW1350" s="12" t="n"/>
      <c r="AX1350" s="13" t="n"/>
      <c r="AY1350" s="14" t="n"/>
      <c r="AZ1350" s="12" t="n"/>
      <c r="BA1350" s="13" t="n"/>
      <c r="BB1350" s="14" t="n"/>
      <c r="BC1350" s="11">
        <f>IF(O1350="","",IF(J1350="GST 10%",ROUND(O1350*set_GSTRate,2),0))</f>
        <v/>
      </c>
      <c r="BD1350" s="11">
        <f>IF(O1350="","",O1350+BC1350)</f>
        <v/>
      </c>
      <c r="BE1350" s="15">
        <f>IF(O1350="","",COUNTA(S1350,V1350,Y1350,AB1350,AE1350,AH1350,AK1350,AN1350,AQ1350,AT1350,AW1350,AZ1350))</f>
        <v/>
      </c>
      <c r="BF1350" s="16">
        <f>IF(COUNT(T1350,W1350,Z1350,AC1350,AF1350,AI1350,AL1350,AO1350,AR1350,AU1350,AX1350,BA1350)=0,"",MAX(T1350,W1350,Z1350,AC1350,AF1350,AI1350,AL1350,AO1350,AR1350,AU1350,AX1350,BA1350))</f>
        <v/>
      </c>
      <c r="BG1350" s="10">
        <f>MID(IF(S1350="","",", "&amp;S1350)&amp;IF(V1350="","",", "&amp;V1350)&amp;IF(Y1350="","",", "&amp;Y1350)&amp;IF(AB1350="","",", "&amp;AB1350)&amp;IF(AE1350="","",", "&amp;AE1350)&amp;IF(AH1350="","",", "&amp;AH1350)&amp;IF(AK1350="","",", "&amp;AK1350)&amp;IF(AN1350="","",", "&amp;AN1350)&amp;IF(AQ1350="","",", "&amp;AQ1350)&amp;IF(AT1350="","",", "&amp;AT1350)&amp;IF(AW1350="","",", "&amp;AW1350)&amp;IF(AZ1350="","",", "&amp;AZ1350),3,500)</f>
        <v/>
      </c>
      <c r="BH1350" s="12" t="n"/>
      <c r="BI1350" s="15">
        <f>IFERROR(MATCH($A1350,IF($B1350="Onsite",tbl_Onsite[Row ID],IF($B1350="Production",tbl_Production[Row ID],tbl_Consulting[Row ID])),0),"")</f>
        <v/>
      </c>
    </row>
    <row r="1351">
      <c r="A1351" s="10" t="inlineStr">
        <is>
          <t>CON-0345</t>
        </is>
      </c>
      <c r="B1351" s="10" t="inlineStr">
        <is>
          <t>Consulting</t>
        </is>
      </c>
      <c r="C1351" s="10">
        <f>IF($BI1351="","",IF($B1351="Onsite",INDEX(tbl_Onsite[Job Number],$BI1351),IF($B1351="Production",INDEX(tbl_Production[Job Number],$BI1351),INDEX(tbl_Consulting[Job Number],$BI1351)))&amp;"")</f>
        <v/>
      </c>
      <c r="D1351" s="10">
        <f>IF($BI1351="","",IF($B1351="Onsite",INDEX(tbl_Onsite[Client],$BI1351),IF($B1351="Production",INDEX(tbl_Production[Client],$BI1351),INDEX(tbl_Consulting[Client],$BI1351)))&amp;"")</f>
        <v/>
      </c>
      <c r="E1351" s="10">
        <f>IF($C1351="","",IF(COUNTIF(lst_Jobs,$C1351)&gt;0,"OK","CHECK"))</f>
        <v/>
      </c>
      <c r="F1351" s="10">
        <f>IF($C1351="","",IFERROR(INDEX(lst_JobName,MATCH($C1351,lst_Jobs,0)),""))</f>
        <v/>
      </c>
      <c r="G1351" s="10">
        <f>IF($BI1351="","",IF($B1351="Onsite",INDEX(tbl_Onsite[Job Description],$BI1351),IF($B1351="Production",INDEX(tbl_Production[Job Description],$BI1351),INDEX(tbl_Consulting[Job Description],$BI1351)))&amp;"")</f>
        <v/>
      </c>
      <c r="H1351" s="10">
        <f>IF($BI1351="","",IF($B1351="Onsite",INDEX(tbl_Onsite[Cost Centre],$BI1351),IF($B1351="Production",INDEX(tbl_Production[Cost Centre],$BI1351),INDEX(tbl_Consulting[Cost Centre],$BI1351)))&amp;"")</f>
        <v/>
      </c>
      <c r="I1351" s="10">
        <f>IF($BI1351="","",IF($B1351="Onsite",INDEX(tbl_Onsite[Invoice Type],$BI1351),IF($B1351="Production",INDEX(tbl_Production[Invoice Type],$BI1351),INDEX(tbl_Consulting[Invoice Type],$BI1351)))&amp;"")</f>
        <v/>
      </c>
      <c r="J1351" s="10">
        <f>IF($BI1351="","",IF($B1351="Onsite",INDEX(tbl_Onsite[Tax Code],$BI1351),IF($B1351="Production",INDEX(tbl_Production[Tax Code],$BI1351),INDEX(tbl_Consulting[Tax Code],$BI1351)))&amp;"")</f>
        <v/>
      </c>
      <c r="K1351" s="10">
        <f>IF(H1351="","",IFERROR(INDEX(lst_CCtoGL,MATCH(H1351,lst_CCforGL,0)),""))</f>
        <v/>
      </c>
      <c r="L1351" s="10">
        <f>IF($BI1351="","",IF($B1351="Onsite",INDEX(tbl_Onsite[PO / Reference],$BI1351),IF($B1351="Production",INDEX(tbl_Production[Current RMS No],$BI1351),INDEX(tbl_Consulting[Qwilr Quote],$BI1351)))&amp;"")</f>
        <v/>
      </c>
      <c r="M1351" s="10">
        <f>IF($BI1351="","",IF($B1351="Onsite",INDEX(tbl_Onsite[Notes],$BI1351),IF($B1351="Production",INDEX(tbl_Production[Notes],$BI1351),INDEX(tbl_Consulting[Notes],$BI1351)))&amp;"")</f>
        <v/>
      </c>
      <c r="N1351" s="11">
        <f>IF($BI1351="","",IF(IF($B1351="Onsite",INDEX(tbl_Onsite[Expected Revenue Ex GST],$BI1351),IF($B1351="Production",INDEX(tbl_Production[Expected Revenue Ex GST],$BI1351),INDEX(tbl_Consulting[Expected Revenue Ex GST],$BI1351)))="","",IF($B1351="Onsite",INDEX(tbl_Onsite[Expected Revenue Ex GST],$BI1351),IF($B1351="Production",INDEX(tbl_Production[Expected Revenue Ex GST],$BI1351),INDEX(tbl_Consulting[Expected Revenue Ex GST],$BI1351)))))</f>
        <v/>
      </c>
      <c r="O1351" s="11">
        <f>IF(AND($C1351="",NOT(COUNTA($S1351:$BB1351)&gt;0)),"",SUM(U1351,X1351,AA1351,AD1351,AG1351,AJ1351,AM1351,AP1351,AS1351,AV1351,AY1351,BB1351))</f>
        <v/>
      </c>
      <c r="P1351" s="11">
        <f>IF(O1351="","",N(N1351)-O1351)</f>
        <v/>
      </c>
      <c r="Q1351" s="10">
        <f>IF(O1351="","",IF($C1351="","Invoice on empty job row",IF(N1351="",IF(ROUND(O1351,2)=0,"No dept value","Invoiced - no dept value"),IF(ROUND(O1351,2)=0,"Not invoiced - to invoice",IF(ROUND(P1351,2)=0,"Agrees",IF(P1351&gt;0,"Dept higher - to invoice","Xero higher - check dept"))))))</f>
        <v/>
      </c>
      <c r="R1351" s="10">
        <f>IF(AND($C1351="",NOT(COUNTA($S1351:$BB1351)&gt;0),$BI1351&lt;&gt;""),"",MID(IF($BI1351="","; Row ID not found on the department sheet - a row was deleted","")&amp;IF(AND($C1351="",COUNTA($S1351:$BB1351)&gt;0),"; Invoice entered but the department row has no job number","")&amp;IF(E1351="CHECK","; Job number not in the Xero job list","")&amp;IF(AND($C1351&lt;&gt;"",COUNTIF($C$7:$C$1506,$C1351)&gt;1),"; Job number on more than one row","")&amp;IF(AND($C1351&lt;&gt;"",H1351=""),"; Dept has not set a cost centre","")&amp;IF(AND($C1351&lt;&gt;"",J1351=""),"; Dept has not set a tax code","")&amp;IF(AND($C1351&lt;&gt;"",N1351=""),"; Dept has not entered an expected value","")&amp;IF((IF(OR(COUNTA(S1351:U1351)=0,AND(COUNTA(S1351:U1351)=3,ISNUMBER(U1351))),0,1)+IF(OR(COUNTA(V1351:X1351)=0,AND(COUNTA(V1351:X1351)=3,ISNUMBER(X1351))),0,1)+IF(OR(COUNTA(Y1351:AA1351)=0,AND(COUNTA(Y1351:AA1351)=3,ISNUMBER(AA1351))),0,1)+IF(OR(COUNTA(AB1351:AD1351)=0,AND(COUNTA(AB1351:AD1351)=3,ISNUMBER(AD1351))),0,1)+IF(OR(COUNTA(AE1351:AG1351)=0,AND(COUNTA(AE1351:AG1351)=3,ISNUMBER(AG1351))),0,1)+IF(OR(COUNTA(AH1351:AJ1351)=0,AND(COUNTA(AH1351:AJ1351)=3,ISNUMBER(AJ1351))),0,1)+IF(OR(COUNTA(AK1351:AM1351)=0,AND(COUNTA(AK1351:AM1351)=3,ISNUMBER(AM1351))),0,1)+IF(OR(COUNTA(AN1351:AP1351)=0,AND(COUNTA(AN1351:AP1351)=3,ISNUMBER(AP1351))),0,1)+IF(OR(COUNTA(AQ1351:AS1351)=0,AND(COUNTA(AQ1351:AS1351)=3,ISNUMBER(AS1351))),0,1)+IF(OR(COUNTA(AT1351:AV1351)=0,AND(COUNTA(AT1351:AV1351)=3,ISNUMBER(AV1351))),0,1)+IF(OR(COUNTA(AW1351:AY1351)=0,AND(COUNTA(AW1351:AY1351)=3,ISNUMBER(AY1351))),0,1)+IF(OR(COUNTA(AZ1351:BB1351)=0,AND(COUNTA(AZ1351:BB1351)=3,ISNUMBER(BB1351))),0,1))&gt;0,"; An invoice is incomplete (needs No, Date and a number in Ex GST)","")&amp;IF((IF(T1351="",0,IFERROR(--(EOMONTH(T1351,0)&lt;&gt;S$5),1))+IF(W1351="",0,IFERROR(--(EOMONTH(W1351,0)&lt;&gt;V$5),1))+IF(Z1351="",0,IFERROR(--(EOMONTH(Z1351,0)&lt;&gt;Y$5),1))+IF(AC1351="",0,IFERROR(--(EOMONTH(AC1351,0)&lt;&gt;AB$5),1))+IF(AF1351="",0,IFERROR(--(EOMONTH(AF1351,0)&lt;&gt;AE$5),1))+IF(AI1351="",0,IFERROR(--(EOMONTH(AI1351,0)&lt;&gt;AH$5),1))+IF(AL1351="",0,IFERROR(--(EOMONTH(AL1351,0)&lt;&gt;AK$5),1))+IF(AO1351="",0,IFERROR(--(EOMONTH(AO1351,0)&lt;&gt;AN$5),1))+IF(AR1351="",0,IFERROR(--(EOMONTH(AR1351,0)&lt;&gt;AQ$5),1))+IF(AU1351="",0,IFERROR(--(EOMONTH(AU1351,0)&lt;&gt;AT$5),1))+IF(AX1351="",0,IFERROR(--(EOMONTH(AX1351,0)&lt;&gt;AW$5),1))+IF(BA1351="",0,IFERROR(--(EOMONTH(BA1351,0)&lt;&gt;AZ$5),1)))&gt;0,"; An invoice date is not in the month it is typed under",""),3,500))</f>
        <v/>
      </c>
      <c r="S1351" s="12" t="n"/>
      <c r="T1351" s="13" t="n"/>
      <c r="U1351" s="14" t="n"/>
      <c r="V1351" s="12" t="n"/>
      <c r="W1351" s="13" t="n"/>
      <c r="X1351" s="14" t="n"/>
      <c r="Y1351" s="12" t="n"/>
      <c r="Z1351" s="13" t="n"/>
      <c r="AA1351" s="14" t="n"/>
      <c r="AB1351" s="12" t="n"/>
      <c r="AC1351" s="13" t="n"/>
      <c r="AD1351" s="14" t="n"/>
      <c r="AE1351" s="12" t="n"/>
      <c r="AF1351" s="13" t="n"/>
      <c r="AG1351" s="14" t="n"/>
      <c r="AH1351" s="12" t="n"/>
      <c r="AI1351" s="13" t="n"/>
      <c r="AJ1351" s="14" t="n"/>
      <c r="AK1351" s="12" t="n"/>
      <c r="AL1351" s="13" t="n"/>
      <c r="AM1351" s="14" t="n"/>
      <c r="AN1351" s="12" t="n"/>
      <c r="AO1351" s="13" t="n"/>
      <c r="AP1351" s="14" t="n"/>
      <c r="AQ1351" s="12" t="n"/>
      <c r="AR1351" s="13" t="n"/>
      <c r="AS1351" s="14" t="n"/>
      <c r="AT1351" s="12" t="n"/>
      <c r="AU1351" s="13" t="n"/>
      <c r="AV1351" s="14" t="n"/>
      <c r="AW1351" s="12" t="n"/>
      <c r="AX1351" s="13" t="n"/>
      <c r="AY1351" s="14" t="n"/>
      <c r="AZ1351" s="12" t="n"/>
      <c r="BA1351" s="13" t="n"/>
      <c r="BB1351" s="14" t="n"/>
      <c r="BC1351" s="11">
        <f>IF(O1351="","",IF(J1351="GST 10%",ROUND(O1351*set_GSTRate,2),0))</f>
        <v/>
      </c>
      <c r="BD1351" s="11">
        <f>IF(O1351="","",O1351+BC1351)</f>
        <v/>
      </c>
      <c r="BE1351" s="15">
        <f>IF(O1351="","",COUNTA(S1351,V1351,Y1351,AB1351,AE1351,AH1351,AK1351,AN1351,AQ1351,AT1351,AW1351,AZ1351))</f>
        <v/>
      </c>
      <c r="BF1351" s="16">
        <f>IF(COUNT(T1351,W1351,Z1351,AC1351,AF1351,AI1351,AL1351,AO1351,AR1351,AU1351,AX1351,BA1351)=0,"",MAX(T1351,W1351,Z1351,AC1351,AF1351,AI1351,AL1351,AO1351,AR1351,AU1351,AX1351,BA1351))</f>
        <v/>
      </c>
      <c r="BG1351" s="10">
        <f>MID(IF(S1351="","",", "&amp;S1351)&amp;IF(V1351="","",", "&amp;V1351)&amp;IF(Y1351="","",", "&amp;Y1351)&amp;IF(AB1351="","",", "&amp;AB1351)&amp;IF(AE1351="","",", "&amp;AE1351)&amp;IF(AH1351="","",", "&amp;AH1351)&amp;IF(AK1351="","",", "&amp;AK1351)&amp;IF(AN1351="","",", "&amp;AN1351)&amp;IF(AQ1351="","",", "&amp;AQ1351)&amp;IF(AT1351="","",", "&amp;AT1351)&amp;IF(AW1351="","",", "&amp;AW1351)&amp;IF(AZ1351="","",", "&amp;AZ1351),3,500)</f>
        <v/>
      </c>
      <c r="BH1351" s="12" t="n"/>
      <c r="BI1351" s="15">
        <f>IFERROR(MATCH($A1351,IF($B1351="Onsite",tbl_Onsite[Row ID],IF($B1351="Production",tbl_Production[Row ID],tbl_Consulting[Row ID])),0),"")</f>
        <v/>
      </c>
    </row>
    <row r="1352">
      <c r="A1352" s="10" t="inlineStr">
        <is>
          <t>CON-0346</t>
        </is>
      </c>
      <c r="B1352" s="10" t="inlineStr">
        <is>
          <t>Consulting</t>
        </is>
      </c>
      <c r="C1352" s="10">
        <f>IF($BI1352="","",IF($B1352="Onsite",INDEX(tbl_Onsite[Job Number],$BI1352),IF($B1352="Production",INDEX(tbl_Production[Job Number],$BI1352),INDEX(tbl_Consulting[Job Number],$BI1352)))&amp;"")</f>
        <v/>
      </c>
      <c r="D1352" s="10">
        <f>IF($BI1352="","",IF($B1352="Onsite",INDEX(tbl_Onsite[Client],$BI1352),IF($B1352="Production",INDEX(tbl_Production[Client],$BI1352),INDEX(tbl_Consulting[Client],$BI1352)))&amp;"")</f>
        <v/>
      </c>
      <c r="E1352" s="10">
        <f>IF($C1352="","",IF(COUNTIF(lst_Jobs,$C1352)&gt;0,"OK","CHECK"))</f>
        <v/>
      </c>
      <c r="F1352" s="10">
        <f>IF($C1352="","",IFERROR(INDEX(lst_JobName,MATCH($C1352,lst_Jobs,0)),""))</f>
        <v/>
      </c>
      <c r="G1352" s="10">
        <f>IF($BI1352="","",IF($B1352="Onsite",INDEX(tbl_Onsite[Job Description],$BI1352),IF($B1352="Production",INDEX(tbl_Production[Job Description],$BI1352),INDEX(tbl_Consulting[Job Description],$BI1352)))&amp;"")</f>
        <v/>
      </c>
      <c r="H1352" s="10">
        <f>IF($BI1352="","",IF($B1352="Onsite",INDEX(tbl_Onsite[Cost Centre],$BI1352),IF($B1352="Production",INDEX(tbl_Production[Cost Centre],$BI1352),INDEX(tbl_Consulting[Cost Centre],$BI1352)))&amp;"")</f>
        <v/>
      </c>
      <c r="I1352" s="10">
        <f>IF($BI1352="","",IF($B1352="Onsite",INDEX(tbl_Onsite[Invoice Type],$BI1352),IF($B1352="Production",INDEX(tbl_Production[Invoice Type],$BI1352),INDEX(tbl_Consulting[Invoice Type],$BI1352)))&amp;"")</f>
        <v/>
      </c>
      <c r="J1352" s="10">
        <f>IF($BI1352="","",IF($B1352="Onsite",INDEX(tbl_Onsite[Tax Code],$BI1352),IF($B1352="Production",INDEX(tbl_Production[Tax Code],$BI1352),INDEX(tbl_Consulting[Tax Code],$BI1352)))&amp;"")</f>
        <v/>
      </c>
      <c r="K1352" s="10">
        <f>IF(H1352="","",IFERROR(INDEX(lst_CCtoGL,MATCH(H1352,lst_CCforGL,0)),""))</f>
        <v/>
      </c>
      <c r="L1352" s="10">
        <f>IF($BI1352="","",IF($B1352="Onsite",INDEX(tbl_Onsite[PO / Reference],$BI1352),IF($B1352="Production",INDEX(tbl_Production[Current RMS No],$BI1352),INDEX(tbl_Consulting[Qwilr Quote],$BI1352)))&amp;"")</f>
        <v/>
      </c>
      <c r="M1352" s="10">
        <f>IF($BI1352="","",IF($B1352="Onsite",INDEX(tbl_Onsite[Notes],$BI1352),IF($B1352="Production",INDEX(tbl_Production[Notes],$BI1352),INDEX(tbl_Consulting[Notes],$BI1352)))&amp;"")</f>
        <v/>
      </c>
      <c r="N1352" s="11">
        <f>IF($BI1352="","",IF(IF($B1352="Onsite",INDEX(tbl_Onsite[Expected Revenue Ex GST],$BI1352),IF($B1352="Production",INDEX(tbl_Production[Expected Revenue Ex GST],$BI1352),INDEX(tbl_Consulting[Expected Revenue Ex GST],$BI1352)))="","",IF($B1352="Onsite",INDEX(tbl_Onsite[Expected Revenue Ex GST],$BI1352),IF($B1352="Production",INDEX(tbl_Production[Expected Revenue Ex GST],$BI1352),INDEX(tbl_Consulting[Expected Revenue Ex GST],$BI1352)))))</f>
        <v/>
      </c>
      <c r="O1352" s="11">
        <f>IF(AND($C1352="",NOT(COUNTA($S1352:$BB1352)&gt;0)),"",SUM(U1352,X1352,AA1352,AD1352,AG1352,AJ1352,AM1352,AP1352,AS1352,AV1352,AY1352,BB1352))</f>
        <v/>
      </c>
      <c r="P1352" s="11">
        <f>IF(O1352="","",N(N1352)-O1352)</f>
        <v/>
      </c>
      <c r="Q1352" s="10">
        <f>IF(O1352="","",IF($C1352="","Invoice on empty job row",IF(N1352="",IF(ROUND(O1352,2)=0,"No dept value","Invoiced - no dept value"),IF(ROUND(O1352,2)=0,"Not invoiced - to invoice",IF(ROUND(P1352,2)=0,"Agrees",IF(P1352&gt;0,"Dept higher - to invoice","Xero higher - check dept"))))))</f>
        <v/>
      </c>
      <c r="R1352" s="10">
        <f>IF(AND($C1352="",NOT(COUNTA($S1352:$BB1352)&gt;0),$BI1352&lt;&gt;""),"",MID(IF($BI1352="","; Row ID not found on the department sheet - a row was deleted","")&amp;IF(AND($C1352="",COUNTA($S1352:$BB1352)&gt;0),"; Invoice entered but the department row has no job number","")&amp;IF(E1352="CHECK","; Job number not in the Xero job list","")&amp;IF(AND($C1352&lt;&gt;"",COUNTIF($C$7:$C$1506,$C1352)&gt;1),"; Job number on more than one row","")&amp;IF(AND($C1352&lt;&gt;"",H1352=""),"; Dept has not set a cost centre","")&amp;IF(AND($C1352&lt;&gt;"",J1352=""),"; Dept has not set a tax code","")&amp;IF(AND($C1352&lt;&gt;"",N1352=""),"; Dept has not entered an expected value","")&amp;IF((IF(OR(COUNTA(S1352:U1352)=0,AND(COUNTA(S1352:U1352)=3,ISNUMBER(U1352))),0,1)+IF(OR(COUNTA(V1352:X1352)=0,AND(COUNTA(V1352:X1352)=3,ISNUMBER(X1352))),0,1)+IF(OR(COUNTA(Y1352:AA1352)=0,AND(COUNTA(Y1352:AA1352)=3,ISNUMBER(AA1352))),0,1)+IF(OR(COUNTA(AB1352:AD1352)=0,AND(COUNTA(AB1352:AD1352)=3,ISNUMBER(AD1352))),0,1)+IF(OR(COUNTA(AE1352:AG1352)=0,AND(COUNTA(AE1352:AG1352)=3,ISNUMBER(AG1352))),0,1)+IF(OR(COUNTA(AH1352:AJ1352)=0,AND(COUNTA(AH1352:AJ1352)=3,ISNUMBER(AJ1352))),0,1)+IF(OR(COUNTA(AK1352:AM1352)=0,AND(COUNTA(AK1352:AM1352)=3,ISNUMBER(AM1352))),0,1)+IF(OR(COUNTA(AN1352:AP1352)=0,AND(COUNTA(AN1352:AP1352)=3,ISNUMBER(AP1352))),0,1)+IF(OR(COUNTA(AQ1352:AS1352)=0,AND(COUNTA(AQ1352:AS1352)=3,ISNUMBER(AS1352))),0,1)+IF(OR(COUNTA(AT1352:AV1352)=0,AND(COUNTA(AT1352:AV1352)=3,ISNUMBER(AV1352))),0,1)+IF(OR(COUNTA(AW1352:AY1352)=0,AND(COUNTA(AW1352:AY1352)=3,ISNUMBER(AY1352))),0,1)+IF(OR(COUNTA(AZ1352:BB1352)=0,AND(COUNTA(AZ1352:BB1352)=3,ISNUMBER(BB1352))),0,1))&gt;0,"; An invoice is incomplete (needs No, Date and a number in Ex GST)","")&amp;IF((IF(T1352="",0,IFERROR(--(EOMONTH(T1352,0)&lt;&gt;S$5),1))+IF(W1352="",0,IFERROR(--(EOMONTH(W1352,0)&lt;&gt;V$5),1))+IF(Z1352="",0,IFERROR(--(EOMONTH(Z1352,0)&lt;&gt;Y$5),1))+IF(AC1352="",0,IFERROR(--(EOMONTH(AC1352,0)&lt;&gt;AB$5),1))+IF(AF1352="",0,IFERROR(--(EOMONTH(AF1352,0)&lt;&gt;AE$5),1))+IF(AI1352="",0,IFERROR(--(EOMONTH(AI1352,0)&lt;&gt;AH$5),1))+IF(AL1352="",0,IFERROR(--(EOMONTH(AL1352,0)&lt;&gt;AK$5),1))+IF(AO1352="",0,IFERROR(--(EOMONTH(AO1352,0)&lt;&gt;AN$5),1))+IF(AR1352="",0,IFERROR(--(EOMONTH(AR1352,0)&lt;&gt;AQ$5),1))+IF(AU1352="",0,IFERROR(--(EOMONTH(AU1352,0)&lt;&gt;AT$5),1))+IF(AX1352="",0,IFERROR(--(EOMONTH(AX1352,0)&lt;&gt;AW$5),1))+IF(BA1352="",0,IFERROR(--(EOMONTH(BA1352,0)&lt;&gt;AZ$5),1)))&gt;0,"; An invoice date is not in the month it is typed under",""),3,500))</f>
        <v/>
      </c>
      <c r="S1352" s="12" t="n"/>
      <c r="T1352" s="13" t="n"/>
      <c r="U1352" s="14" t="n"/>
      <c r="V1352" s="12" t="n"/>
      <c r="W1352" s="13" t="n"/>
      <c r="X1352" s="14" t="n"/>
      <c r="Y1352" s="12" t="n"/>
      <c r="Z1352" s="13" t="n"/>
      <c r="AA1352" s="14" t="n"/>
      <c r="AB1352" s="12" t="n"/>
      <c r="AC1352" s="13" t="n"/>
      <c r="AD1352" s="14" t="n"/>
      <c r="AE1352" s="12" t="n"/>
      <c r="AF1352" s="13" t="n"/>
      <c r="AG1352" s="14" t="n"/>
      <c r="AH1352" s="12" t="n"/>
      <c r="AI1352" s="13" t="n"/>
      <c r="AJ1352" s="14" t="n"/>
      <c r="AK1352" s="12" t="n"/>
      <c r="AL1352" s="13" t="n"/>
      <c r="AM1352" s="14" t="n"/>
      <c r="AN1352" s="12" t="n"/>
      <c r="AO1352" s="13" t="n"/>
      <c r="AP1352" s="14" t="n"/>
      <c r="AQ1352" s="12" t="n"/>
      <c r="AR1352" s="13" t="n"/>
      <c r="AS1352" s="14" t="n"/>
      <c r="AT1352" s="12" t="n"/>
      <c r="AU1352" s="13" t="n"/>
      <c r="AV1352" s="14" t="n"/>
      <c r="AW1352" s="12" t="n"/>
      <c r="AX1352" s="13" t="n"/>
      <c r="AY1352" s="14" t="n"/>
      <c r="AZ1352" s="12" t="n"/>
      <c r="BA1352" s="13" t="n"/>
      <c r="BB1352" s="14" t="n"/>
      <c r="BC1352" s="11">
        <f>IF(O1352="","",IF(J1352="GST 10%",ROUND(O1352*set_GSTRate,2),0))</f>
        <v/>
      </c>
      <c r="BD1352" s="11">
        <f>IF(O1352="","",O1352+BC1352)</f>
        <v/>
      </c>
      <c r="BE1352" s="15">
        <f>IF(O1352="","",COUNTA(S1352,V1352,Y1352,AB1352,AE1352,AH1352,AK1352,AN1352,AQ1352,AT1352,AW1352,AZ1352))</f>
        <v/>
      </c>
      <c r="BF1352" s="16">
        <f>IF(COUNT(T1352,W1352,Z1352,AC1352,AF1352,AI1352,AL1352,AO1352,AR1352,AU1352,AX1352,BA1352)=0,"",MAX(T1352,W1352,Z1352,AC1352,AF1352,AI1352,AL1352,AO1352,AR1352,AU1352,AX1352,BA1352))</f>
        <v/>
      </c>
      <c r="BG1352" s="10">
        <f>MID(IF(S1352="","",", "&amp;S1352)&amp;IF(V1352="","",", "&amp;V1352)&amp;IF(Y1352="","",", "&amp;Y1352)&amp;IF(AB1352="","",", "&amp;AB1352)&amp;IF(AE1352="","",", "&amp;AE1352)&amp;IF(AH1352="","",", "&amp;AH1352)&amp;IF(AK1352="","",", "&amp;AK1352)&amp;IF(AN1352="","",", "&amp;AN1352)&amp;IF(AQ1352="","",", "&amp;AQ1352)&amp;IF(AT1352="","",", "&amp;AT1352)&amp;IF(AW1352="","",", "&amp;AW1352)&amp;IF(AZ1352="","",", "&amp;AZ1352),3,500)</f>
        <v/>
      </c>
      <c r="BH1352" s="12" t="n"/>
      <c r="BI1352" s="15">
        <f>IFERROR(MATCH($A1352,IF($B1352="Onsite",tbl_Onsite[Row ID],IF($B1352="Production",tbl_Production[Row ID],tbl_Consulting[Row ID])),0),"")</f>
        <v/>
      </c>
    </row>
    <row r="1353">
      <c r="A1353" s="10" t="inlineStr">
        <is>
          <t>CON-0347</t>
        </is>
      </c>
      <c r="B1353" s="10" t="inlineStr">
        <is>
          <t>Consulting</t>
        </is>
      </c>
      <c r="C1353" s="10">
        <f>IF($BI1353="","",IF($B1353="Onsite",INDEX(tbl_Onsite[Job Number],$BI1353),IF($B1353="Production",INDEX(tbl_Production[Job Number],$BI1353),INDEX(tbl_Consulting[Job Number],$BI1353)))&amp;"")</f>
        <v/>
      </c>
      <c r="D1353" s="10">
        <f>IF($BI1353="","",IF($B1353="Onsite",INDEX(tbl_Onsite[Client],$BI1353),IF($B1353="Production",INDEX(tbl_Production[Client],$BI1353),INDEX(tbl_Consulting[Client],$BI1353)))&amp;"")</f>
        <v/>
      </c>
      <c r="E1353" s="10">
        <f>IF($C1353="","",IF(COUNTIF(lst_Jobs,$C1353)&gt;0,"OK","CHECK"))</f>
        <v/>
      </c>
      <c r="F1353" s="10">
        <f>IF($C1353="","",IFERROR(INDEX(lst_JobName,MATCH($C1353,lst_Jobs,0)),""))</f>
        <v/>
      </c>
      <c r="G1353" s="10">
        <f>IF($BI1353="","",IF($B1353="Onsite",INDEX(tbl_Onsite[Job Description],$BI1353),IF($B1353="Production",INDEX(tbl_Production[Job Description],$BI1353),INDEX(tbl_Consulting[Job Description],$BI1353)))&amp;"")</f>
        <v/>
      </c>
      <c r="H1353" s="10">
        <f>IF($BI1353="","",IF($B1353="Onsite",INDEX(tbl_Onsite[Cost Centre],$BI1353),IF($B1353="Production",INDEX(tbl_Production[Cost Centre],$BI1353),INDEX(tbl_Consulting[Cost Centre],$BI1353)))&amp;"")</f>
        <v/>
      </c>
      <c r="I1353" s="10">
        <f>IF($BI1353="","",IF($B1353="Onsite",INDEX(tbl_Onsite[Invoice Type],$BI1353),IF($B1353="Production",INDEX(tbl_Production[Invoice Type],$BI1353),INDEX(tbl_Consulting[Invoice Type],$BI1353)))&amp;"")</f>
        <v/>
      </c>
      <c r="J1353" s="10">
        <f>IF($BI1353="","",IF($B1353="Onsite",INDEX(tbl_Onsite[Tax Code],$BI1353),IF($B1353="Production",INDEX(tbl_Production[Tax Code],$BI1353),INDEX(tbl_Consulting[Tax Code],$BI1353)))&amp;"")</f>
        <v/>
      </c>
      <c r="K1353" s="10">
        <f>IF(H1353="","",IFERROR(INDEX(lst_CCtoGL,MATCH(H1353,lst_CCforGL,0)),""))</f>
        <v/>
      </c>
      <c r="L1353" s="10">
        <f>IF($BI1353="","",IF($B1353="Onsite",INDEX(tbl_Onsite[PO / Reference],$BI1353),IF($B1353="Production",INDEX(tbl_Production[Current RMS No],$BI1353),INDEX(tbl_Consulting[Qwilr Quote],$BI1353)))&amp;"")</f>
        <v/>
      </c>
      <c r="M1353" s="10">
        <f>IF($BI1353="","",IF($B1353="Onsite",INDEX(tbl_Onsite[Notes],$BI1353),IF($B1353="Production",INDEX(tbl_Production[Notes],$BI1353),INDEX(tbl_Consulting[Notes],$BI1353)))&amp;"")</f>
        <v/>
      </c>
      <c r="N1353" s="11">
        <f>IF($BI1353="","",IF(IF($B1353="Onsite",INDEX(tbl_Onsite[Expected Revenue Ex GST],$BI1353),IF($B1353="Production",INDEX(tbl_Production[Expected Revenue Ex GST],$BI1353),INDEX(tbl_Consulting[Expected Revenue Ex GST],$BI1353)))="","",IF($B1353="Onsite",INDEX(tbl_Onsite[Expected Revenue Ex GST],$BI1353),IF($B1353="Production",INDEX(tbl_Production[Expected Revenue Ex GST],$BI1353),INDEX(tbl_Consulting[Expected Revenue Ex GST],$BI1353)))))</f>
        <v/>
      </c>
      <c r="O1353" s="11">
        <f>IF(AND($C1353="",NOT(COUNTA($S1353:$BB1353)&gt;0)),"",SUM(U1353,X1353,AA1353,AD1353,AG1353,AJ1353,AM1353,AP1353,AS1353,AV1353,AY1353,BB1353))</f>
        <v/>
      </c>
      <c r="P1353" s="11">
        <f>IF(O1353="","",N(N1353)-O1353)</f>
        <v/>
      </c>
      <c r="Q1353" s="10">
        <f>IF(O1353="","",IF($C1353="","Invoice on empty job row",IF(N1353="",IF(ROUND(O1353,2)=0,"No dept value","Invoiced - no dept value"),IF(ROUND(O1353,2)=0,"Not invoiced - to invoice",IF(ROUND(P1353,2)=0,"Agrees",IF(P1353&gt;0,"Dept higher - to invoice","Xero higher - check dept"))))))</f>
        <v/>
      </c>
      <c r="R1353" s="10">
        <f>IF(AND($C1353="",NOT(COUNTA($S1353:$BB1353)&gt;0),$BI1353&lt;&gt;""),"",MID(IF($BI1353="","; Row ID not found on the department sheet - a row was deleted","")&amp;IF(AND($C1353="",COUNTA($S1353:$BB1353)&gt;0),"; Invoice entered but the department row has no job number","")&amp;IF(E1353="CHECK","; Job number not in the Xero job list","")&amp;IF(AND($C1353&lt;&gt;"",COUNTIF($C$7:$C$1506,$C1353)&gt;1),"; Job number on more than one row","")&amp;IF(AND($C1353&lt;&gt;"",H1353=""),"; Dept has not set a cost centre","")&amp;IF(AND($C1353&lt;&gt;"",J1353=""),"; Dept has not set a tax code","")&amp;IF(AND($C1353&lt;&gt;"",N1353=""),"; Dept has not entered an expected value","")&amp;IF((IF(OR(COUNTA(S1353:U1353)=0,AND(COUNTA(S1353:U1353)=3,ISNUMBER(U1353))),0,1)+IF(OR(COUNTA(V1353:X1353)=0,AND(COUNTA(V1353:X1353)=3,ISNUMBER(X1353))),0,1)+IF(OR(COUNTA(Y1353:AA1353)=0,AND(COUNTA(Y1353:AA1353)=3,ISNUMBER(AA1353))),0,1)+IF(OR(COUNTA(AB1353:AD1353)=0,AND(COUNTA(AB1353:AD1353)=3,ISNUMBER(AD1353))),0,1)+IF(OR(COUNTA(AE1353:AG1353)=0,AND(COUNTA(AE1353:AG1353)=3,ISNUMBER(AG1353))),0,1)+IF(OR(COUNTA(AH1353:AJ1353)=0,AND(COUNTA(AH1353:AJ1353)=3,ISNUMBER(AJ1353))),0,1)+IF(OR(COUNTA(AK1353:AM1353)=0,AND(COUNTA(AK1353:AM1353)=3,ISNUMBER(AM1353))),0,1)+IF(OR(COUNTA(AN1353:AP1353)=0,AND(COUNTA(AN1353:AP1353)=3,ISNUMBER(AP1353))),0,1)+IF(OR(COUNTA(AQ1353:AS1353)=0,AND(COUNTA(AQ1353:AS1353)=3,ISNUMBER(AS1353))),0,1)+IF(OR(COUNTA(AT1353:AV1353)=0,AND(COUNTA(AT1353:AV1353)=3,ISNUMBER(AV1353))),0,1)+IF(OR(COUNTA(AW1353:AY1353)=0,AND(COUNTA(AW1353:AY1353)=3,ISNUMBER(AY1353))),0,1)+IF(OR(COUNTA(AZ1353:BB1353)=0,AND(COUNTA(AZ1353:BB1353)=3,ISNUMBER(BB1353))),0,1))&gt;0,"; An invoice is incomplete (needs No, Date and a number in Ex GST)","")&amp;IF((IF(T1353="",0,IFERROR(--(EOMONTH(T1353,0)&lt;&gt;S$5),1))+IF(W1353="",0,IFERROR(--(EOMONTH(W1353,0)&lt;&gt;V$5),1))+IF(Z1353="",0,IFERROR(--(EOMONTH(Z1353,0)&lt;&gt;Y$5),1))+IF(AC1353="",0,IFERROR(--(EOMONTH(AC1353,0)&lt;&gt;AB$5),1))+IF(AF1353="",0,IFERROR(--(EOMONTH(AF1353,0)&lt;&gt;AE$5),1))+IF(AI1353="",0,IFERROR(--(EOMONTH(AI1353,0)&lt;&gt;AH$5),1))+IF(AL1353="",0,IFERROR(--(EOMONTH(AL1353,0)&lt;&gt;AK$5),1))+IF(AO1353="",0,IFERROR(--(EOMONTH(AO1353,0)&lt;&gt;AN$5),1))+IF(AR1353="",0,IFERROR(--(EOMONTH(AR1353,0)&lt;&gt;AQ$5),1))+IF(AU1353="",0,IFERROR(--(EOMONTH(AU1353,0)&lt;&gt;AT$5),1))+IF(AX1353="",0,IFERROR(--(EOMONTH(AX1353,0)&lt;&gt;AW$5),1))+IF(BA1353="",0,IFERROR(--(EOMONTH(BA1353,0)&lt;&gt;AZ$5),1)))&gt;0,"; An invoice date is not in the month it is typed under",""),3,500))</f>
        <v/>
      </c>
      <c r="S1353" s="12" t="n"/>
      <c r="T1353" s="13" t="n"/>
      <c r="U1353" s="14" t="n"/>
      <c r="V1353" s="12" t="n"/>
      <c r="W1353" s="13" t="n"/>
      <c r="X1353" s="14" t="n"/>
      <c r="Y1353" s="12" t="n"/>
      <c r="Z1353" s="13" t="n"/>
      <c r="AA1353" s="14" t="n"/>
      <c r="AB1353" s="12" t="n"/>
      <c r="AC1353" s="13" t="n"/>
      <c r="AD1353" s="14" t="n"/>
      <c r="AE1353" s="12" t="n"/>
      <c r="AF1353" s="13" t="n"/>
      <c r="AG1353" s="14" t="n"/>
      <c r="AH1353" s="12" t="n"/>
      <c r="AI1353" s="13" t="n"/>
      <c r="AJ1353" s="14" t="n"/>
      <c r="AK1353" s="12" t="n"/>
      <c r="AL1353" s="13" t="n"/>
      <c r="AM1353" s="14" t="n"/>
      <c r="AN1353" s="12" t="n"/>
      <c r="AO1353" s="13" t="n"/>
      <c r="AP1353" s="14" t="n"/>
      <c r="AQ1353" s="12" t="n"/>
      <c r="AR1353" s="13" t="n"/>
      <c r="AS1353" s="14" t="n"/>
      <c r="AT1353" s="12" t="n"/>
      <c r="AU1353" s="13" t="n"/>
      <c r="AV1353" s="14" t="n"/>
      <c r="AW1353" s="12" t="n"/>
      <c r="AX1353" s="13" t="n"/>
      <c r="AY1353" s="14" t="n"/>
      <c r="AZ1353" s="12" t="n"/>
      <c r="BA1353" s="13" t="n"/>
      <c r="BB1353" s="14" t="n"/>
      <c r="BC1353" s="11">
        <f>IF(O1353="","",IF(J1353="GST 10%",ROUND(O1353*set_GSTRate,2),0))</f>
        <v/>
      </c>
      <c r="BD1353" s="11">
        <f>IF(O1353="","",O1353+BC1353)</f>
        <v/>
      </c>
      <c r="BE1353" s="15">
        <f>IF(O1353="","",COUNTA(S1353,V1353,Y1353,AB1353,AE1353,AH1353,AK1353,AN1353,AQ1353,AT1353,AW1353,AZ1353))</f>
        <v/>
      </c>
      <c r="BF1353" s="16">
        <f>IF(COUNT(T1353,W1353,Z1353,AC1353,AF1353,AI1353,AL1353,AO1353,AR1353,AU1353,AX1353,BA1353)=0,"",MAX(T1353,W1353,Z1353,AC1353,AF1353,AI1353,AL1353,AO1353,AR1353,AU1353,AX1353,BA1353))</f>
        <v/>
      </c>
      <c r="BG1353" s="10">
        <f>MID(IF(S1353="","",", "&amp;S1353)&amp;IF(V1353="","",", "&amp;V1353)&amp;IF(Y1353="","",", "&amp;Y1353)&amp;IF(AB1353="","",", "&amp;AB1353)&amp;IF(AE1353="","",", "&amp;AE1353)&amp;IF(AH1353="","",", "&amp;AH1353)&amp;IF(AK1353="","",", "&amp;AK1353)&amp;IF(AN1353="","",", "&amp;AN1353)&amp;IF(AQ1353="","",", "&amp;AQ1353)&amp;IF(AT1353="","",", "&amp;AT1353)&amp;IF(AW1353="","",", "&amp;AW1353)&amp;IF(AZ1353="","",", "&amp;AZ1353),3,500)</f>
        <v/>
      </c>
      <c r="BH1353" s="12" t="n"/>
      <c r="BI1353" s="15">
        <f>IFERROR(MATCH($A1353,IF($B1353="Onsite",tbl_Onsite[Row ID],IF($B1353="Production",tbl_Production[Row ID],tbl_Consulting[Row ID])),0),"")</f>
        <v/>
      </c>
    </row>
    <row r="1354">
      <c r="A1354" s="10" t="inlineStr">
        <is>
          <t>CON-0348</t>
        </is>
      </c>
      <c r="B1354" s="10" t="inlineStr">
        <is>
          <t>Consulting</t>
        </is>
      </c>
      <c r="C1354" s="10">
        <f>IF($BI1354="","",IF($B1354="Onsite",INDEX(tbl_Onsite[Job Number],$BI1354),IF($B1354="Production",INDEX(tbl_Production[Job Number],$BI1354),INDEX(tbl_Consulting[Job Number],$BI1354)))&amp;"")</f>
        <v/>
      </c>
      <c r="D1354" s="10">
        <f>IF($BI1354="","",IF($B1354="Onsite",INDEX(tbl_Onsite[Client],$BI1354),IF($B1354="Production",INDEX(tbl_Production[Client],$BI1354),INDEX(tbl_Consulting[Client],$BI1354)))&amp;"")</f>
        <v/>
      </c>
      <c r="E1354" s="10">
        <f>IF($C1354="","",IF(COUNTIF(lst_Jobs,$C1354)&gt;0,"OK","CHECK"))</f>
        <v/>
      </c>
      <c r="F1354" s="10">
        <f>IF($C1354="","",IFERROR(INDEX(lst_JobName,MATCH($C1354,lst_Jobs,0)),""))</f>
        <v/>
      </c>
      <c r="G1354" s="10">
        <f>IF($BI1354="","",IF($B1354="Onsite",INDEX(tbl_Onsite[Job Description],$BI1354),IF($B1354="Production",INDEX(tbl_Production[Job Description],$BI1354),INDEX(tbl_Consulting[Job Description],$BI1354)))&amp;"")</f>
        <v/>
      </c>
      <c r="H1354" s="10">
        <f>IF($BI1354="","",IF($B1354="Onsite",INDEX(tbl_Onsite[Cost Centre],$BI1354),IF($B1354="Production",INDEX(tbl_Production[Cost Centre],$BI1354),INDEX(tbl_Consulting[Cost Centre],$BI1354)))&amp;"")</f>
        <v/>
      </c>
      <c r="I1354" s="10">
        <f>IF($BI1354="","",IF($B1354="Onsite",INDEX(tbl_Onsite[Invoice Type],$BI1354),IF($B1354="Production",INDEX(tbl_Production[Invoice Type],$BI1354),INDEX(tbl_Consulting[Invoice Type],$BI1354)))&amp;"")</f>
        <v/>
      </c>
      <c r="J1354" s="10">
        <f>IF($BI1354="","",IF($B1354="Onsite",INDEX(tbl_Onsite[Tax Code],$BI1354),IF($B1354="Production",INDEX(tbl_Production[Tax Code],$BI1354),INDEX(tbl_Consulting[Tax Code],$BI1354)))&amp;"")</f>
        <v/>
      </c>
      <c r="K1354" s="10">
        <f>IF(H1354="","",IFERROR(INDEX(lst_CCtoGL,MATCH(H1354,lst_CCforGL,0)),""))</f>
        <v/>
      </c>
      <c r="L1354" s="10">
        <f>IF($BI1354="","",IF($B1354="Onsite",INDEX(tbl_Onsite[PO / Reference],$BI1354),IF($B1354="Production",INDEX(tbl_Production[Current RMS No],$BI1354),INDEX(tbl_Consulting[Qwilr Quote],$BI1354)))&amp;"")</f>
        <v/>
      </c>
      <c r="M1354" s="10">
        <f>IF($BI1354="","",IF($B1354="Onsite",INDEX(tbl_Onsite[Notes],$BI1354),IF($B1354="Production",INDEX(tbl_Production[Notes],$BI1354),INDEX(tbl_Consulting[Notes],$BI1354)))&amp;"")</f>
        <v/>
      </c>
      <c r="N1354" s="11">
        <f>IF($BI1354="","",IF(IF($B1354="Onsite",INDEX(tbl_Onsite[Expected Revenue Ex GST],$BI1354),IF($B1354="Production",INDEX(tbl_Production[Expected Revenue Ex GST],$BI1354),INDEX(tbl_Consulting[Expected Revenue Ex GST],$BI1354)))="","",IF($B1354="Onsite",INDEX(tbl_Onsite[Expected Revenue Ex GST],$BI1354),IF($B1354="Production",INDEX(tbl_Production[Expected Revenue Ex GST],$BI1354),INDEX(tbl_Consulting[Expected Revenue Ex GST],$BI1354)))))</f>
        <v/>
      </c>
      <c r="O1354" s="11">
        <f>IF(AND($C1354="",NOT(COUNTA($S1354:$BB1354)&gt;0)),"",SUM(U1354,X1354,AA1354,AD1354,AG1354,AJ1354,AM1354,AP1354,AS1354,AV1354,AY1354,BB1354))</f>
        <v/>
      </c>
      <c r="P1354" s="11">
        <f>IF(O1354="","",N(N1354)-O1354)</f>
        <v/>
      </c>
      <c r="Q1354" s="10">
        <f>IF(O1354="","",IF($C1354="","Invoice on empty job row",IF(N1354="",IF(ROUND(O1354,2)=0,"No dept value","Invoiced - no dept value"),IF(ROUND(O1354,2)=0,"Not invoiced - to invoice",IF(ROUND(P1354,2)=0,"Agrees",IF(P1354&gt;0,"Dept higher - to invoice","Xero higher - check dept"))))))</f>
        <v/>
      </c>
      <c r="R1354" s="10">
        <f>IF(AND($C1354="",NOT(COUNTA($S1354:$BB1354)&gt;0),$BI1354&lt;&gt;""),"",MID(IF($BI1354="","; Row ID not found on the department sheet - a row was deleted","")&amp;IF(AND($C1354="",COUNTA($S1354:$BB1354)&gt;0),"; Invoice entered but the department row has no job number","")&amp;IF(E1354="CHECK","; Job number not in the Xero job list","")&amp;IF(AND($C1354&lt;&gt;"",COUNTIF($C$7:$C$1506,$C1354)&gt;1),"; Job number on more than one row","")&amp;IF(AND($C1354&lt;&gt;"",H1354=""),"; Dept has not set a cost centre","")&amp;IF(AND($C1354&lt;&gt;"",J1354=""),"; Dept has not set a tax code","")&amp;IF(AND($C1354&lt;&gt;"",N1354=""),"; Dept has not entered an expected value","")&amp;IF((IF(OR(COUNTA(S1354:U1354)=0,AND(COUNTA(S1354:U1354)=3,ISNUMBER(U1354))),0,1)+IF(OR(COUNTA(V1354:X1354)=0,AND(COUNTA(V1354:X1354)=3,ISNUMBER(X1354))),0,1)+IF(OR(COUNTA(Y1354:AA1354)=0,AND(COUNTA(Y1354:AA1354)=3,ISNUMBER(AA1354))),0,1)+IF(OR(COUNTA(AB1354:AD1354)=0,AND(COUNTA(AB1354:AD1354)=3,ISNUMBER(AD1354))),0,1)+IF(OR(COUNTA(AE1354:AG1354)=0,AND(COUNTA(AE1354:AG1354)=3,ISNUMBER(AG1354))),0,1)+IF(OR(COUNTA(AH1354:AJ1354)=0,AND(COUNTA(AH1354:AJ1354)=3,ISNUMBER(AJ1354))),0,1)+IF(OR(COUNTA(AK1354:AM1354)=0,AND(COUNTA(AK1354:AM1354)=3,ISNUMBER(AM1354))),0,1)+IF(OR(COUNTA(AN1354:AP1354)=0,AND(COUNTA(AN1354:AP1354)=3,ISNUMBER(AP1354))),0,1)+IF(OR(COUNTA(AQ1354:AS1354)=0,AND(COUNTA(AQ1354:AS1354)=3,ISNUMBER(AS1354))),0,1)+IF(OR(COUNTA(AT1354:AV1354)=0,AND(COUNTA(AT1354:AV1354)=3,ISNUMBER(AV1354))),0,1)+IF(OR(COUNTA(AW1354:AY1354)=0,AND(COUNTA(AW1354:AY1354)=3,ISNUMBER(AY1354))),0,1)+IF(OR(COUNTA(AZ1354:BB1354)=0,AND(COUNTA(AZ1354:BB1354)=3,ISNUMBER(BB1354))),0,1))&gt;0,"; An invoice is incomplete (needs No, Date and a number in Ex GST)","")&amp;IF((IF(T1354="",0,IFERROR(--(EOMONTH(T1354,0)&lt;&gt;S$5),1))+IF(W1354="",0,IFERROR(--(EOMONTH(W1354,0)&lt;&gt;V$5),1))+IF(Z1354="",0,IFERROR(--(EOMONTH(Z1354,0)&lt;&gt;Y$5),1))+IF(AC1354="",0,IFERROR(--(EOMONTH(AC1354,0)&lt;&gt;AB$5),1))+IF(AF1354="",0,IFERROR(--(EOMONTH(AF1354,0)&lt;&gt;AE$5),1))+IF(AI1354="",0,IFERROR(--(EOMONTH(AI1354,0)&lt;&gt;AH$5),1))+IF(AL1354="",0,IFERROR(--(EOMONTH(AL1354,0)&lt;&gt;AK$5),1))+IF(AO1354="",0,IFERROR(--(EOMONTH(AO1354,0)&lt;&gt;AN$5),1))+IF(AR1354="",0,IFERROR(--(EOMONTH(AR1354,0)&lt;&gt;AQ$5),1))+IF(AU1354="",0,IFERROR(--(EOMONTH(AU1354,0)&lt;&gt;AT$5),1))+IF(AX1354="",0,IFERROR(--(EOMONTH(AX1354,0)&lt;&gt;AW$5),1))+IF(BA1354="",0,IFERROR(--(EOMONTH(BA1354,0)&lt;&gt;AZ$5),1)))&gt;0,"; An invoice date is not in the month it is typed under",""),3,500))</f>
        <v/>
      </c>
      <c r="S1354" s="12" t="n"/>
      <c r="T1354" s="13" t="n"/>
      <c r="U1354" s="14" t="n"/>
      <c r="V1354" s="12" t="n"/>
      <c r="W1354" s="13" t="n"/>
      <c r="X1354" s="14" t="n"/>
      <c r="Y1354" s="12" t="n"/>
      <c r="Z1354" s="13" t="n"/>
      <c r="AA1354" s="14" t="n"/>
      <c r="AB1354" s="12" t="n"/>
      <c r="AC1354" s="13" t="n"/>
      <c r="AD1354" s="14" t="n"/>
      <c r="AE1354" s="12" t="n"/>
      <c r="AF1354" s="13" t="n"/>
      <c r="AG1354" s="14" t="n"/>
      <c r="AH1354" s="12" t="n"/>
      <c r="AI1354" s="13" t="n"/>
      <c r="AJ1354" s="14" t="n"/>
      <c r="AK1354" s="12" t="n"/>
      <c r="AL1354" s="13" t="n"/>
      <c r="AM1354" s="14" t="n"/>
      <c r="AN1354" s="12" t="n"/>
      <c r="AO1354" s="13" t="n"/>
      <c r="AP1354" s="14" t="n"/>
      <c r="AQ1354" s="12" t="n"/>
      <c r="AR1354" s="13" t="n"/>
      <c r="AS1354" s="14" t="n"/>
      <c r="AT1354" s="12" t="n"/>
      <c r="AU1354" s="13" t="n"/>
      <c r="AV1354" s="14" t="n"/>
      <c r="AW1354" s="12" t="n"/>
      <c r="AX1354" s="13" t="n"/>
      <c r="AY1354" s="14" t="n"/>
      <c r="AZ1354" s="12" t="n"/>
      <c r="BA1354" s="13" t="n"/>
      <c r="BB1354" s="14" t="n"/>
      <c r="BC1354" s="11">
        <f>IF(O1354="","",IF(J1354="GST 10%",ROUND(O1354*set_GSTRate,2),0))</f>
        <v/>
      </c>
      <c r="BD1354" s="11">
        <f>IF(O1354="","",O1354+BC1354)</f>
        <v/>
      </c>
      <c r="BE1354" s="15">
        <f>IF(O1354="","",COUNTA(S1354,V1354,Y1354,AB1354,AE1354,AH1354,AK1354,AN1354,AQ1354,AT1354,AW1354,AZ1354))</f>
        <v/>
      </c>
      <c r="BF1354" s="16">
        <f>IF(COUNT(T1354,W1354,Z1354,AC1354,AF1354,AI1354,AL1354,AO1354,AR1354,AU1354,AX1354,BA1354)=0,"",MAX(T1354,W1354,Z1354,AC1354,AF1354,AI1354,AL1354,AO1354,AR1354,AU1354,AX1354,BA1354))</f>
        <v/>
      </c>
      <c r="BG1354" s="10">
        <f>MID(IF(S1354="","",", "&amp;S1354)&amp;IF(V1354="","",", "&amp;V1354)&amp;IF(Y1354="","",", "&amp;Y1354)&amp;IF(AB1354="","",", "&amp;AB1354)&amp;IF(AE1354="","",", "&amp;AE1354)&amp;IF(AH1354="","",", "&amp;AH1354)&amp;IF(AK1354="","",", "&amp;AK1354)&amp;IF(AN1354="","",", "&amp;AN1354)&amp;IF(AQ1354="","",", "&amp;AQ1354)&amp;IF(AT1354="","",", "&amp;AT1354)&amp;IF(AW1354="","",", "&amp;AW1354)&amp;IF(AZ1354="","",", "&amp;AZ1354),3,500)</f>
        <v/>
      </c>
      <c r="BH1354" s="12" t="n"/>
      <c r="BI1354" s="15">
        <f>IFERROR(MATCH($A1354,IF($B1354="Onsite",tbl_Onsite[Row ID],IF($B1354="Production",tbl_Production[Row ID],tbl_Consulting[Row ID])),0),"")</f>
        <v/>
      </c>
    </row>
    <row r="1355">
      <c r="A1355" s="10" t="inlineStr">
        <is>
          <t>CON-0349</t>
        </is>
      </c>
      <c r="B1355" s="10" t="inlineStr">
        <is>
          <t>Consulting</t>
        </is>
      </c>
      <c r="C1355" s="10">
        <f>IF($BI1355="","",IF($B1355="Onsite",INDEX(tbl_Onsite[Job Number],$BI1355),IF($B1355="Production",INDEX(tbl_Production[Job Number],$BI1355),INDEX(tbl_Consulting[Job Number],$BI1355)))&amp;"")</f>
        <v/>
      </c>
      <c r="D1355" s="10">
        <f>IF($BI1355="","",IF($B1355="Onsite",INDEX(tbl_Onsite[Client],$BI1355),IF($B1355="Production",INDEX(tbl_Production[Client],$BI1355),INDEX(tbl_Consulting[Client],$BI1355)))&amp;"")</f>
        <v/>
      </c>
      <c r="E1355" s="10">
        <f>IF($C1355="","",IF(COUNTIF(lst_Jobs,$C1355)&gt;0,"OK","CHECK"))</f>
        <v/>
      </c>
      <c r="F1355" s="10">
        <f>IF($C1355="","",IFERROR(INDEX(lst_JobName,MATCH($C1355,lst_Jobs,0)),""))</f>
        <v/>
      </c>
      <c r="G1355" s="10">
        <f>IF($BI1355="","",IF($B1355="Onsite",INDEX(tbl_Onsite[Job Description],$BI1355),IF($B1355="Production",INDEX(tbl_Production[Job Description],$BI1355),INDEX(tbl_Consulting[Job Description],$BI1355)))&amp;"")</f>
        <v/>
      </c>
      <c r="H1355" s="10">
        <f>IF($BI1355="","",IF($B1355="Onsite",INDEX(tbl_Onsite[Cost Centre],$BI1355),IF($B1355="Production",INDEX(tbl_Production[Cost Centre],$BI1355),INDEX(tbl_Consulting[Cost Centre],$BI1355)))&amp;"")</f>
        <v/>
      </c>
      <c r="I1355" s="10">
        <f>IF($BI1355="","",IF($B1355="Onsite",INDEX(tbl_Onsite[Invoice Type],$BI1355),IF($B1355="Production",INDEX(tbl_Production[Invoice Type],$BI1355),INDEX(tbl_Consulting[Invoice Type],$BI1355)))&amp;"")</f>
        <v/>
      </c>
      <c r="J1355" s="10">
        <f>IF($BI1355="","",IF($B1355="Onsite",INDEX(tbl_Onsite[Tax Code],$BI1355),IF($B1355="Production",INDEX(tbl_Production[Tax Code],$BI1355),INDEX(tbl_Consulting[Tax Code],$BI1355)))&amp;"")</f>
        <v/>
      </c>
      <c r="K1355" s="10">
        <f>IF(H1355="","",IFERROR(INDEX(lst_CCtoGL,MATCH(H1355,lst_CCforGL,0)),""))</f>
        <v/>
      </c>
      <c r="L1355" s="10">
        <f>IF($BI1355="","",IF($B1355="Onsite",INDEX(tbl_Onsite[PO / Reference],$BI1355),IF($B1355="Production",INDEX(tbl_Production[Current RMS No],$BI1355),INDEX(tbl_Consulting[Qwilr Quote],$BI1355)))&amp;"")</f>
        <v/>
      </c>
      <c r="M1355" s="10">
        <f>IF($BI1355="","",IF($B1355="Onsite",INDEX(tbl_Onsite[Notes],$BI1355),IF($B1355="Production",INDEX(tbl_Production[Notes],$BI1355),INDEX(tbl_Consulting[Notes],$BI1355)))&amp;"")</f>
        <v/>
      </c>
      <c r="N1355" s="11">
        <f>IF($BI1355="","",IF(IF($B1355="Onsite",INDEX(tbl_Onsite[Expected Revenue Ex GST],$BI1355),IF($B1355="Production",INDEX(tbl_Production[Expected Revenue Ex GST],$BI1355),INDEX(tbl_Consulting[Expected Revenue Ex GST],$BI1355)))="","",IF($B1355="Onsite",INDEX(tbl_Onsite[Expected Revenue Ex GST],$BI1355),IF($B1355="Production",INDEX(tbl_Production[Expected Revenue Ex GST],$BI1355),INDEX(tbl_Consulting[Expected Revenue Ex GST],$BI1355)))))</f>
        <v/>
      </c>
      <c r="O1355" s="11">
        <f>IF(AND($C1355="",NOT(COUNTA($S1355:$BB1355)&gt;0)),"",SUM(U1355,X1355,AA1355,AD1355,AG1355,AJ1355,AM1355,AP1355,AS1355,AV1355,AY1355,BB1355))</f>
        <v/>
      </c>
      <c r="P1355" s="11">
        <f>IF(O1355="","",N(N1355)-O1355)</f>
        <v/>
      </c>
      <c r="Q1355" s="10">
        <f>IF(O1355="","",IF($C1355="","Invoice on empty job row",IF(N1355="",IF(ROUND(O1355,2)=0,"No dept value","Invoiced - no dept value"),IF(ROUND(O1355,2)=0,"Not invoiced - to invoice",IF(ROUND(P1355,2)=0,"Agrees",IF(P1355&gt;0,"Dept higher - to invoice","Xero higher - check dept"))))))</f>
        <v/>
      </c>
      <c r="R1355" s="10">
        <f>IF(AND($C1355="",NOT(COUNTA($S1355:$BB1355)&gt;0),$BI1355&lt;&gt;""),"",MID(IF($BI1355="","; Row ID not found on the department sheet - a row was deleted","")&amp;IF(AND($C1355="",COUNTA($S1355:$BB1355)&gt;0),"; Invoice entered but the department row has no job number","")&amp;IF(E1355="CHECK","; Job number not in the Xero job list","")&amp;IF(AND($C1355&lt;&gt;"",COUNTIF($C$7:$C$1506,$C1355)&gt;1),"; Job number on more than one row","")&amp;IF(AND($C1355&lt;&gt;"",H1355=""),"; Dept has not set a cost centre","")&amp;IF(AND($C1355&lt;&gt;"",J1355=""),"; Dept has not set a tax code","")&amp;IF(AND($C1355&lt;&gt;"",N1355=""),"; Dept has not entered an expected value","")&amp;IF((IF(OR(COUNTA(S1355:U1355)=0,AND(COUNTA(S1355:U1355)=3,ISNUMBER(U1355))),0,1)+IF(OR(COUNTA(V1355:X1355)=0,AND(COUNTA(V1355:X1355)=3,ISNUMBER(X1355))),0,1)+IF(OR(COUNTA(Y1355:AA1355)=0,AND(COUNTA(Y1355:AA1355)=3,ISNUMBER(AA1355))),0,1)+IF(OR(COUNTA(AB1355:AD1355)=0,AND(COUNTA(AB1355:AD1355)=3,ISNUMBER(AD1355))),0,1)+IF(OR(COUNTA(AE1355:AG1355)=0,AND(COUNTA(AE1355:AG1355)=3,ISNUMBER(AG1355))),0,1)+IF(OR(COUNTA(AH1355:AJ1355)=0,AND(COUNTA(AH1355:AJ1355)=3,ISNUMBER(AJ1355))),0,1)+IF(OR(COUNTA(AK1355:AM1355)=0,AND(COUNTA(AK1355:AM1355)=3,ISNUMBER(AM1355))),0,1)+IF(OR(COUNTA(AN1355:AP1355)=0,AND(COUNTA(AN1355:AP1355)=3,ISNUMBER(AP1355))),0,1)+IF(OR(COUNTA(AQ1355:AS1355)=0,AND(COUNTA(AQ1355:AS1355)=3,ISNUMBER(AS1355))),0,1)+IF(OR(COUNTA(AT1355:AV1355)=0,AND(COUNTA(AT1355:AV1355)=3,ISNUMBER(AV1355))),0,1)+IF(OR(COUNTA(AW1355:AY1355)=0,AND(COUNTA(AW1355:AY1355)=3,ISNUMBER(AY1355))),0,1)+IF(OR(COUNTA(AZ1355:BB1355)=0,AND(COUNTA(AZ1355:BB1355)=3,ISNUMBER(BB1355))),0,1))&gt;0,"; An invoice is incomplete (needs No, Date and a number in Ex GST)","")&amp;IF((IF(T1355="",0,IFERROR(--(EOMONTH(T1355,0)&lt;&gt;S$5),1))+IF(W1355="",0,IFERROR(--(EOMONTH(W1355,0)&lt;&gt;V$5),1))+IF(Z1355="",0,IFERROR(--(EOMONTH(Z1355,0)&lt;&gt;Y$5),1))+IF(AC1355="",0,IFERROR(--(EOMONTH(AC1355,0)&lt;&gt;AB$5),1))+IF(AF1355="",0,IFERROR(--(EOMONTH(AF1355,0)&lt;&gt;AE$5),1))+IF(AI1355="",0,IFERROR(--(EOMONTH(AI1355,0)&lt;&gt;AH$5),1))+IF(AL1355="",0,IFERROR(--(EOMONTH(AL1355,0)&lt;&gt;AK$5),1))+IF(AO1355="",0,IFERROR(--(EOMONTH(AO1355,0)&lt;&gt;AN$5),1))+IF(AR1355="",0,IFERROR(--(EOMONTH(AR1355,0)&lt;&gt;AQ$5),1))+IF(AU1355="",0,IFERROR(--(EOMONTH(AU1355,0)&lt;&gt;AT$5),1))+IF(AX1355="",0,IFERROR(--(EOMONTH(AX1355,0)&lt;&gt;AW$5),1))+IF(BA1355="",0,IFERROR(--(EOMONTH(BA1355,0)&lt;&gt;AZ$5),1)))&gt;0,"; An invoice date is not in the month it is typed under",""),3,500))</f>
        <v/>
      </c>
      <c r="S1355" s="12" t="n"/>
      <c r="T1355" s="13" t="n"/>
      <c r="U1355" s="14" t="n"/>
      <c r="V1355" s="12" t="n"/>
      <c r="W1355" s="13" t="n"/>
      <c r="X1355" s="14" t="n"/>
      <c r="Y1355" s="12" t="n"/>
      <c r="Z1355" s="13" t="n"/>
      <c r="AA1355" s="14" t="n"/>
      <c r="AB1355" s="12" t="n"/>
      <c r="AC1355" s="13" t="n"/>
      <c r="AD1355" s="14" t="n"/>
      <c r="AE1355" s="12" t="n"/>
      <c r="AF1355" s="13" t="n"/>
      <c r="AG1355" s="14" t="n"/>
      <c r="AH1355" s="12" t="n"/>
      <c r="AI1355" s="13" t="n"/>
      <c r="AJ1355" s="14" t="n"/>
      <c r="AK1355" s="12" t="n"/>
      <c r="AL1355" s="13" t="n"/>
      <c r="AM1355" s="14" t="n"/>
      <c r="AN1355" s="12" t="n"/>
      <c r="AO1355" s="13" t="n"/>
      <c r="AP1355" s="14" t="n"/>
      <c r="AQ1355" s="12" t="n"/>
      <c r="AR1355" s="13" t="n"/>
      <c r="AS1355" s="14" t="n"/>
      <c r="AT1355" s="12" t="n"/>
      <c r="AU1355" s="13" t="n"/>
      <c r="AV1355" s="14" t="n"/>
      <c r="AW1355" s="12" t="n"/>
      <c r="AX1355" s="13" t="n"/>
      <c r="AY1355" s="14" t="n"/>
      <c r="AZ1355" s="12" t="n"/>
      <c r="BA1355" s="13" t="n"/>
      <c r="BB1355" s="14" t="n"/>
      <c r="BC1355" s="11">
        <f>IF(O1355="","",IF(J1355="GST 10%",ROUND(O1355*set_GSTRate,2),0))</f>
        <v/>
      </c>
      <c r="BD1355" s="11">
        <f>IF(O1355="","",O1355+BC1355)</f>
        <v/>
      </c>
      <c r="BE1355" s="15">
        <f>IF(O1355="","",COUNTA(S1355,V1355,Y1355,AB1355,AE1355,AH1355,AK1355,AN1355,AQ1355,AT1355,AW1355,AZ1355))</f>
        <v/>
      </c>
      <c r="BF1355" s="16">
        <f>IF(COUNT(T1355,W1355,Z1355,AC1355,AF1355,AI1355,AL1355,AO1355,AR1355,AU1355,AX1355,BA1355)=0,"",MAX(T1355,W1355,Z1355,AC1355,AF1355,AI1355,AL1355,AO1355,AR1355,AU1355,AX1355,BA1355))</f>
        <v/>
      </c>
      <c r="BG1355" s="10">
        <f>MID(IF(S1355="","",", "&amp;S1355)&amp;IF(V1355="","",", "&amp;V1355)&amp;IF(Y1355="","",", "&amp;Y1355)&amp;IF(AB1355="","",", "&amp;AB1355)&amp;IF(AE1355="","",", "&amp;AE1355)&amp;IF(AH1355="","",", "&amp;AH1355)&amp;IF(AK1355="","",", "&amp;AK1355)&amp;IF(AN1355="","",", "&amp;AN1355)&amp;IF(AQ1355="","",", "&amp;AQ1355)&amp;IF(AT1355="","",", "&amp;AT1355)&amp;IF(AW1355="","",", "&amp;AW1355)&amp;IF(AZ1355="","",", "&amp;AZ1355),3,500)</f>
        <v/>
      </c>
      <c r="BH1355" s="12" t="n"/>
      <c r="BI1355" s="15">
        <f>IFERROR(MATCH($A1355,IF($B1355="Onsite",tbl_Onsite[Row ID],IF($B1355="Production",tbl_Production[Row ID],tbl_Consulting[Row ID])),0),"")</f>
        <v/>
      </c>
    </row>
    <row r="1356">
      <c r="A1356" s="10" t="inlineStr">
        <is>
          <t>CON-0350</t>
        </is>
      </c>
      <c r="B1356" s="10" t="inlineStr">
        <is>
          <t>Consulting</t>
        </is>
      </c>
      <c r="C1356" s="10">
        <f>IF($BI1356="","",IF($B1356="Onsite",INDEX(tbl_Onsite[Job Number],$BI1356),IF($B1356="Production",INDEX(tbl_Production[Job Number],$BI1356),INDEX(tbl_Consulting[Job Number],$BI1356)))&amp;"")</f>
        <v/>
      </c>
      <c r="D1356" s="10">
        <f>IF($BI1356="","",IF($B1356="Onsite",INDEX(tbl_Onsite[Client],$BI1356),IF($B1356="Production",INDEX(tbl_Production[Client],$BI1356),INDEX(tbl_Consulting[Client],$BI1356)))&amp;"")</f>
        <v/>
      </c>
      <c r="E1356" s="10">
        <f>IF($C1356="","",IF(COUNTIF(lst_Jobs,$C1356)&gt;0,"OK","CHECK"))</f>
        <v/>
      </c>
      <c r="F1356" s="10">
        <f>IF($C1356="","",IFERROR(INDEX(lst_JobName,MATCH($C1356,lst_Jobs,0)),""))</f>
        <v/>
      </c>
      <c r="G1356" s="10">
        <f>IF($BI1356="","",IF($B1356="Onsite",INDEX(tbl_Onsite[Job Description],$BI1356),IF($B1356="Production",INDEX(tbl_Production[Job Description],$BI1356),INDEX(tbl_Consulting[Job Description],$BI1356)))&amp;"")</f>
        <v/>
      </c>
      <c r="H1356" s="10">
        <f>IF($BI1356="","",IF($B1356="Onsite",INDEX(tbl_Onsite[Cost Centre],$BI1356),IF($B1356="Production",INDEX(tbl_Production[Cost Centre],$BI1356),INDEX(tbl_Consulting[Cost Centre],$BI1356)))&amp;"")</f>
        <v/>
      </c>
      <c r="I1356" s="10">
        <f>IF($BI1356="","",IF($B1356="Onsite",INDEX(tbl_Onsite[Invoice Type],$BI1356),IF($B1356="Production",INDEX(tbl_Production[Invoice Type],$BI1356),INDEX(tbl_Consulting[Invoice Type],$BI1356)))&amp;"")</f>
        <v/>
      </c>
      <c r="J1356" s="10">
        <f>IF($BI1356="","",IF($B1356="Onsite",INDEX(tbl_Onsite[Tax Code],$BI1356),IF($B1356="Production",INDEX(tbl_Production[Tax Code],$BI1356),INDEX(tbl_Consulting[Tax Code],$BI1356)))&amp;"")</f>
        <v/>
      </c>
      <c r="K1356" s="10">
        <f>IF(H1356="","",IFERROR(INDEX(lst_CCtoGL,MATCH(H1356,lst_CCforGL,0)),""))</f>
        <v/>
      </c>
      <c r="L1356" s="10">
        <f>IF($BI1356="","",IF($B1356="Onsite",INDEX(tbl_Onsite[PO / Reference],$BI1356),IF($B1356="Production",INDEX(tbl_Production[Current RMS No],$BI1356),INDEX(tbl_Consulting[Qwilr Quote],$BI1356)))&amp;"")</f>
        <v/>
      </c>
      <c r="M1356" s="10">
        <f>IF($BI1356="","",IF($B1356="Onsite",INDEX(tbl_Onsite[Notes],$BI1356),IF($B1356="Production",INDEX(tbl_Production[Notes],$BI1356),INDEX(tbl_Consulting[Notes],$BI1356)))&amp;"")</f>
        <v/>
      </c>
      <c r="N1356" s="11">
        <f>IF($BI1356="","",IF(IF($B1356="Onsite",INDEX(tbl_Onsite[Expected Revenue Ex GST],$BI1356),IF($B1356="Production",INDEX(tbl_Production[Expected Revenue Ex GST],$BI1356),INDEX(tbl_Consulting[Expected Revenue Ex GST],$BI1356)))="","",IF($B1356="Onsite",INDEX(tbl_Onsite[Expected Revenue Ex GST],$BI1356),IF($B1356="Production",INDEX(tbl_Production[Expected Revenue Ex GST],$BI1356),INDEX(tbl_Consulting[Expected Revenue Ex GST],$BI1356)))))</f>
        <v/>
      </c>
      <c r="O1356" s="11">
        <f>IF(AND($C1356="",NOT(COUNTA($S1356:$BB1356)&gt;0)),"",SUM(U1356,X1356,AA1356,AD1356,AG1356,AJ1356,AM1356,AP1356,AS1356,AV1356,AY1356,BB1356))</f>
        <v/>
      </c>
      <c r="P1356" s="11">
        <f>IF(O1356="","",N(N1356)-O1356)</f>
        <v/>
      </c>
      <c r="Q1356" s="10">
        <f>IF(O1356="","",IF($C1356="","Invoice on empty job row",IF(N1356="",IF(ROUND(O1356,2)=0,"No dept value","Invoiced - no dept value"),IF(ROUND(O1356,2)=0,"Not invoiced - to invoice",IF(ROUND(P1356,2)=0,"Agrees",IF(P1356&gt;0,"Dept higher - to invoice","Xero higher - check dept"))))))</f>
        <v/>
      </c>
      <c r="R1356" s="10">
        <f>IF(AND($C1356="",NOT(COUNTA($S1356:$BB1356)&gt;0),$BI1356&lt;&gt;""),"",MID(IF($BI1356="","; Row ID not found on the department sheet - a row was deleted","")&amp;IF(AND($C1356="",COUNTA($S1356:$BB1356)&gt;0),"; Invoice entered but the department row has no job number","")&amp;IF(E1356="CHECK","; Job number not in the Xero job list","")&amp;IF(AND($C1356&lt;&gt;"",COUNTIF($C$7:$C$1506,$C1356)&gt;1),"; Job number on more than one row","")&amp;IF(AND($C1356&lt;&gt;"",H1356=""),"; Dept has not set a cost centre","")&amp;IF(AND($C1356&lt;&gt;"",J1356=""),"; Dept has not set a tax code","")&amp;IF(AND($C1356&lt;&gt;"",N1356=""),"; Dept has not entered an expected value","")&amp;IF((IF(OR(COUNTA(S1356:U1356)=0,AND(COUNTA(S1356:U1356)=3,ISNUMBER(U1356))),0,1)+IF(OR(COUNTA(V1356:X1356)=0,AND(COUNTA(V1356:X1356)=3,ISNUMBER(X1356))),0,1)+IF(OR(COUNTA(Y1356:AA1356)=0,AND(COUNTA(Y1356:AA1356)=3,ISNUMBER(AA1356))),0,1)+IF(OR(COUNTA(AB1356:AD1356)=0,AND(COUNTA(AB1356:AD1356)=3,ISNUMBER(AD1356))),0,1)+IF(OR(COUNTA(AE1356:AG1356)=0,AND(COUNTA(AE1356:AG1356)=3,ISNUMBER(AG1356))),0,1)+IF(OR(COUNTA(AH1356:AJ1356)=0,AND(COUNTA(AH1356:AJ1356)=3,ISNUMBER(AJ1356))),0,1)+IF(OR(COUNTA(AK1356:AM1356)=0,AND(COUNTA(AK1356:AM1356)=3,ISNUMBER(AM1356))),0,1)+IF(OR(COUNTA(AN1356:AP1356)=0,AND(COUNTA(AN1356:AP1356)=3,ISNUMBER(AP1356))),0,1)+IF(OR(COUNTA(AQ1356:AS1356)=0,AND(COUNTA(AQ1356:AS1356)=3,ISNUMBER(AS1356))),0,1)+IF(OR(COUNTA(AT1356:AV1356)=0,AND(COUNTA(AT1356:AV1356)=3,ISNUMBER(AV1356))),0,1)+IF(OR(COUNTA(AW1356:AY1356)=0,AND(COUNTA(AW1356:AY1356)=3,ISNUMBER(AY1356))),0,1)+IF(OR(COUNTA(AZ1356:BB1356)=0,AND(COUNTA(AZ1356:BB1356)=3,ISNUMBER(BB1356))),0,1))&gt;0,"; An invoice is incomplete (needs No, Date and a number in Ex GST)","")&amp;IF((IF(T1356="",0,IFERROR(--(EOMONTH(T1356,0)&lt;&gt;S$5),1))+IF(W1356="",0,IFERROR(--(EOMONTH(W1356,0)&lt;&gt;V$5),1))+IF(Z1356="",0,IFERROR(--(EOMONTH(Z1356,0)&lt;&gt;Y$5),1))+IF(AC1356="",0,IFERROR(--(EOMONTH(AC1356,0)&lt;&gt;AB$5),1))+IF(AF1356="",0,IFERROR(--(EOMONTH(AF1356,0)&lt;&gt;AE$5),1))+IF(AI1356="",0,IFERROR(--(EOMONTH(AI1356,0)&lt;&gt;AH$5),1))+IF(AL1356="",0,IFERROR(--(EOMONTH(AL1356,0)&lt;&gt;AK$5),1))+IF(AO1356="",0,IFERROR(--(EOMONTH(AO1356,0)&lt;&gt;AN$5),1))+IF(AR1356="",0,IFERROR(--(EOMONTH(AR1356,0)&lt;&gt;AQ$5),1))+IF(AU1356="",0,IFERROR(--(EOMONTH(AU1356,0)&lt;&gt;AT$5),1))+IF(AX1356="",0,IFERROR(--(EOMONTH(AX1356,0)&lt;&gt;AW$5),1))+IF(BA1356="",0,IFERROR(--(EOMONTH(BA1356,0)&lt;&gt;AZ$5),1)))&gt;0,"; An invoice date is not in the month it is typed under",""),3,500))</f>
        <v/>
      </c>
      <c r="S1356" s="12" t="n"/>
      <c r="T1356" s="13" t="n"/>
      <c r="U1356" s="14" t="n"/>
      <c r="V1356" s="12" t="n"/>
      <c r="W1356" s="13" t="n"/>
      <c r="X1356" s="14" t="n"/>
      <c r="Y1356" s="12" t="n"/>
      <c r="Z1356" s="13" t="n"/>
      <c r="AA1356" s="14" t="n"/>
      <c r="AB1356" s="12" t="n"/>
      <c r="AC1356" s="13" t="n"/>
      <c r="AD1356" s="14" t="n"/>
      <c r="AE1356" s="12" t="n"/>
      <c r="AF1356" s="13" t="n"/>
      <c r="AG1356" s="14" t="n"/>
      <c r="AH1356" s="12" t="n"/>
      <c r="AI1356" s="13" t="n"/>
      <c r="AJ1356" s="14" t="n"/>
      <c r="AK1356" s="12" t="n"/>
      <c r="AL1356" s="13" t="n"/>
      <c r="AM1356" s="14" t="n"/>
      <c r="AN1356" s="12" t="n"/>
      <c r="AO1356" s="13" t="n"/>
      <c r="AP1356" s="14" t="n"/>
      <c r="AQ1356" s="12" t="n"/>
      <c r="AR1356" s="13" t="n"/>
      <c r="AS1356" s="14" t="n"/>
      <c r="AT1356" s="12" t="n"/>
      <c r="AU1356" s="13" t="n"/>
      <c r="AV1356" s="14" t="n"/>
      <c r="AW1356" s="12" t="n"/>
      <c r="AX1356" s="13" t="n"/>
      <c r="AY1356" s="14" t="n"/>
      <c r="AZ1356" s="12" t="n"/>
      <c r="BA1356" s="13" t="n"/>
      <c r="BB1356" s="14" t="n"/>
      <c r="BC1356" s="11">
        <f>IF(O1356="","",IF(J1356="GST 10%",ROUND(O1356*set_GSTRate,2),0))</f>
        <v/>
      </c>
      <c r="BD1356" s="11">
        <f>IF(O1356="","",O1356+BC1356)</f>
        <v/>
      </c>
      <c r="BE1356" s="15">
        <f>IF(O1356="","",COUNTA(S1356,V1356,Y1356,AB1356,AE1356,AH1356,AK1356,AN1356,AQ1356,AT1356,AW1356,AZ1356))</f>
        <v/>
      </c>
      <c r="BF1356" s="16">
        <f>IF(COUNT(T1356,W1356,Z1356,AC1356,AF1356,AI1356,AL1356,AO1356,AR1356,AU1356,AX1356,BA1356)=0,"",MAX(T1356,W1356,Z1356,AC1356,AF1356,AI1356,AL1356,AO1356,AR1356,AU1356,AX1356,BA1356))</f>
        <v/>
      </c>
      <c r="BG1356" s="10">
        <f>MID(IF(S1356="","",", "&amp;S1356)&amp;IF(V1356="","",", "&amp;V1356)&amp;IF(Y1356="","",", "&amp;Y1356)&amp;IF(AB1356="","",", "&amp;AB1356)&amp;IF(AE1356="","",", "&amp;AE1356)&amp;IF(AH1356="","",", "&amp;AH1356)&amp;IF(AK1356="","",", "&amp;AK1356)&amp;IF(AN1356="","",", "&amp;AN1356)&amp;IF(AQ1356="","",", "&amp;AQ1356)&amp;IF(AT1356="","",", "&amp;AT1356)&amp;IF(AW1356="","",", "&amp;AW1356)&amp;IF(AZ1356="","",", "&amp;AZ1356),3,500)</f>
        <v/>
      </c>
      <c r="BH1356" s="12" t="n"/>
      <c r="BI1356" s="15">
        <f>IFERROR(MATCH($A1356,IF($B1356="Onsite",tbl_Onsite[Row ID],IF($B1356="Production",tbl_Production[Row ID],tbl_Consulting[Row ID])),0),"")</f>
        <v/>
      </c>
    </row>
    <row r="1357">
      <c r="A1357" s="10" t="inlineStr">
        <is>
          <t>CON-0351</t>
        </is>
      </c>
      <c r="B1357" s="10" t="inlineStr">
        <is>
          <t>Consulting</t>
        </is>
      </c>
      <c r="C1357" s="10">
        <f>IF($BI1357="","",IF($B1357="Onsite",INDEX(tbl_Onsite[Job Number],$BI1357),IF($B1357="Production",INDEX(tbl_Production[Job Number],$BI1357),INDEX(tbl_Consulting[Job Number],$BI1357)))&amp;"")</f>
        <v/>
      </c>
      <c r="D1357" s="10">
        <f>IF($BI1357="","",IF($B1357="Onsite",INDEX(tbl_Onsite[Client],$BI1357),IF($B1357="Production",INDEX(tbl_Production[Client],$BI1357),INDEX(tbl_Consulting[Client],$BI1357)))&amp;"")</f>
        <v/>
      </c>
      <c r="E1357" s="10">
        <f>IF($C1357="","",IF(COUNTIF(lst_Jobs,$C1357)&gt;0,"OK","CHECK"))</f>
        <v/>
      </c>
      <c r="F1357" s="10">
        <f>IF($C1357="","",IFERROR(INDEX(lst_JobName,MATCH($C1357,lst_Jobs,0)),""))</f>
        <v/>
      </c>
      <c r="G1357" s="10">
        <f>IF($BI1357="","",IF($B1357="Onsite",INDEX(tbl_Onsite[Job Description],$BI1357),IF($B1357="Production",INDEX(tbl_Production[Job Description],$BI1357),INDEX(tbl_Consulting[Job Description],$BI1357)))&amp;"")</f>
        <v/>
      </c>
      <c r="H1357" s="10">
        <f>IF($BI1357="","",IF($B1357="Onsite",INDEX(tbl_Onsite[Cost Centre],$BI1357),IF($B1357="Production",INDEX(tbl_Production[Cost Centre],$BI1357),INDEX(tbl_Consulting[Cost Centre],$BI1357)))&amp;"")</f>
        <v/>
      </c>
      <c r="I1357" s="10">
        <f>IF($BI1357="","",IF($B1357="Onsite",INDEX(tbl_Onsite[Invoice Type],$BI1357),IF($B1357="Production",INDEX(tbl_Production[Invoice Type],$BI1357),INDEX(tbl_Consulting[Invoice Type],$BI1357)))&amp;"")</f>
        <v/>
      </c>
      <c r="J1357" s="10">
        <f>IF($BI1357="","",IF($B1357="Onsite",INDEX(tbl_Onsite[Tax Code],$BI1357),IF($B1357="Production",INDEX(tbl_Production[Tax Code],$BI1357),INDEX(tbl_Consulting[Tax Code],$BI1357)))&amp;"")</f>
        <v/>
      </c>
      <c r="K1357" s="10">
        <f>IF(H1357="","",IFERROR(INDEX(lst_CCtoGL,MATCH(H1357,lst_CCforGL,0)),""))</f>
        <v/>
      </c>
      <c r="L1357" s="10">
        <f>IF($BI1357="","",IF($B1357="Onsite",INDEX(tbl_Onsite[PO / Reference],$BI1357),IF($B1357="Production",INDEX(tbl_Production[Current RMS No],$BI1357),INDEX(tbl_Consulting[Qwilr Quote],$BI1357)))&amp;"")</f>
        <v/>
      </c>
      <c r="M1357" s="10">
        <f>IF($BI1357="","",IF($B1357="Onsite",INDEX(tbl_Onsite[Notes],$BI1357),IF($B1357="Production",INDEX(tbl_Production[Notes],$BI1357),INDEX(tbl_Consulting[Notes],$BI1357)))&amp;"")</f>
        <v/>
      </c>
      <c r="N1357" s="11">
        <f>IF($BI1357="","",IF(IF($B1357="Onsite",INDEX(tbl_Onsite[Expected Revenue Ex GST],$BI1357),IF($B1357="Production",INDEX(tbl_Production[Expected Revenue Ex GST],$BI1357),INDEX(tbl_Consulting[Expected Revenue Ex GST],$BI1357)))="","",IF($B1357="Onsite",INDEX(tbl_Onsite[Expected Revenue Ex GST],$BI1357),IF($B1357="Production",INDEX(tbl_Production[Expected Revenue Ex GST],$BI1357),INDEX(tbl_Consulting[Expected Revenue Ex GST],$BI1357)))))</f>
        <v/>
      </c>
      <c r="O1357" s="11">
        <f>IF(AND($C1357="",NOT(COUNTA($S1357:$BB1357)&gt;0)),"",SUM(U1357,X1357,AA1357,AD1357,AG1357,AJ1357,AM1357,AP1357,AS1357,AV1357,AY1357,BB1357))</f>
        <v/>
      </c>
      <c r="P1357" s="11">
        <f>IF(O1357="","",N(N1357)-O1357)</f>
        <v/>
      </c>
      <c r="Q1357" s="10">
        <f>IF(O1357="","",IF($C1357="","Invoice on empty job row",IF(N1357="",IF(ROUND(O1357,2)=0,"No dept value","Invoiced - no dept value"),IF(ROUND(O1357,2)=0,"Not invoiced - to invoice",IF(ROUND(P1357,2)=0,"Agrees",IF(P1357&gt;0,"Dept higher - to invoice","Xero higher - check dept"))))))</f>
        <v/>
      </c>
      <c r="R1357" s="10">
        <f>IF(AND($C1357="",NOT(COUNTA($S1357:$BB1357)&gt;0),$BI1357&lt;&gt;""),"",MID(IF($BI1357="","; Row ID not found on the department sheet - a row was deleted","")&amp;IF(AND($C1357="",COUNTA($S1357:$BB1357)&gt;0),"; Invoice entered but the department row has no job number","")&amp;IF(E1357="CHECK","; Job number not in the Xero job list","")&amp;IF(AND($C1357&lt;&gt;"",COUNTIF($C$7:$C$1506,$C1357)&gt;1),"; Job number on more than one row","")&amp;IF(AND($C1357&lt;&gt;"",H1357=""),"; Dept has not set a cost centre","")&amp;IF(AND($C1357&lt;&gt;"",J1357=""),"; Dept has not set a tax code","")&amp;IF(AND($C1357&lt;&gt;"",N1357=""),"; Dept has not entered an expected value","")&amp;IF((IF(OR(COUNTA(S1357:U1357)=0,AND(COUNTA(S1357:U1357)=3,ISNUMBER(U1357))),0,1)+IF(OR(COUNTA(V1357:X1357)=0,AND(COUNTA(V1357:X1357)=3,ISNUMBER(X1357))),0,1)+IF(OR(COUNTA(Y1357:AA1357)=0,AND(COUNTA(Y1357:AA1357)=3,ISNUMBER(AA1357))),0,1)+IF(OR(COUNTA(AB1357:AD1357)=0,AND(COUNTA(AB1357:AD1357)=3,ISNUMBER(AD1357))),0,1)+IF(OR(COUNTA(AE1357:AG1357)=0,AND(COUNTA(AE1357:AG1357)=3,ISNUMBER(AG1357))),0,1)+IF(OR(COUNTA(AH1357:AJ1357)=0,AND(COUNTA(AH1357:AJ1357)=3,ISNUMBER(AJ1357))),0,1)+IF(OR(COUNTA(AK1357:AM1357)=0,AND(COUNTA(AK1357:AM1357)=3,ISNUMBER(AM1357))),0,1)+IF(OR(COUNTA(AN1357:AP1357)=0,AND(COUNTA(AN1357:AP1357)=3,ISNUMBER(AP1357))),0,1)+IF(OR(COUNTA(AQ1357:AS1357)=0,AND(COUNTA(AQ1357:AS1357)=3,ISNUMBER(AS1357))),0,1)+IF(OR(COUNTA(AT1357:AV1357)=0,AND(COUNTA(AT1357:AV1357)=3,ISNUMBER(AV1357))),0,1)+IF(OR(COUNTA(AW1357:AY1357)=0,AND(COUNTA(AW1357:AY1357)=3,ISNUMBER(AY1357))),0,1)+IF(OR(COUNTA(AZ1357:BB1357)=0,AND(COUNTA(AZ1357:BB1357)=3,ISNUMBER(BB1357))),0,1))&gt;0,"; An invoice is incomplete (needs No, Date and a number in Ex GST)","")&amp;IF((IF(T1357="",0,IFERROR(--(EOMONTH(T1357,0)&lt;&gt;S$5),1))+IF(W1357="",0,IFERROR(--(EOMONTH(W1357,0)&lt;&gt;V$5),1))+IF(Z1357="",0,IFERROR(--(EOMONTH(Z1357,0)&lt;&gt;Y$5),1))+IF(AC1357="",0,IFERROR(--(EOMONTH(AC1357,0)&lt;&gt;AB$5),1))+IF(AF1357="",0,IFERROR(--(EOMONTH(AF1357,0)&lt;&gt;AE$5),1))+IF(AI1357="",0,IFERROR(--(EOMONTH(AI1357,0)&lt;&gt;AH$5),1))+IF(AL1357="",0,IFERROR(--(EOMONTH(AL1357,0)&lt;&gt;AK$5),1))+IF(AO1357="",0,IFERROR(--(EOMONTH(AO1357,0)&lt;&gt;AN$5),1))+IF(AR1357="",0,IFERROR(--(EOMONTH(AR1357,0)&lt;&gt;AQ$5),1))+IF(AU1357="",0,IFERROR(--(EOMONTH(AU1357,0)&lt;&gt;AT$5),1))+IF(AX1357="",0,IFERROR(--(EOMONTH(AX1357,0)&lt;&gt;AW$5),1))+IF(BA1357="",0,IFERROR(--(EOMONTH(BA1357,0)&lt;&gt;AZ$5),1)))&gt;0,"; An invoice date is not in the month it is typed under",""),3,500))</f>
        <v/>
      </c>
      <c r="S1357" s="12" t="n"/>
      <c r="T1357" s="13" t="n"/>
      <c r="U1357" s="14" t="n"/>
      <c r="V1357" s="12" t="n"/>
      <c r="W1357" s="13" t="n"/>
      <c r="X1357" s="14" t="n"/>
      <c r="Y1357" s="12" t="n"/>
      <c r="Z1357" s="13" t="n"/>
      <c r="AA1357" s="14" t="n"/>
      <c r="AB1357" s="12" t="n"/>
      <c r="AC1357" s="13" t="n"/>
      <c r="AD1357" s="14" t="n"/>
      <c r="AE1357" s="12" t="n"/>
      <c r="AF1357" s="13" t="n"/>
      <c r="AG1357" s="14" t="n"/>
      <c r="AH1357" s="12" t="n"/>
      <c r="AI1357" s="13" t="n"/>
      <c r="AJ1357" s="14" t="n"/>
      <c r="AK1357" s="12" t="n"/>
      <c r="AL1357" s="13" t="n"/>
      <c r="AM1357" s="14" t="n"/>
      <c r="AN1357" s="12" t="n"/>
      <c r="AO1357" s="13" t="n"/>
      <c r="AP1357" s="14" t="n"/>
      <c r="AQ1357" s="12" t="n"/>
      <c r="AR1357" s="13" t="n"/>
      <c r="AS1357" s="14" t="n"/>
      <c r="AT1357" s="12" t="n"/>
      <c r="AU1357" s="13" t="n"/>
      <c r="AV1357" s="14" t="n"/>
      <c r="AW1357" s="12" t="n"/>
      <c r="AX1357" s="13" t="n"/>
      <c r="AY1357" s="14" t="n"/>
      <c r="AZ1357" s="12" t="n"/>
      <c r="BA1357" s="13" t="n"/>
      <c r="BB1357" s="14" t="n"/>
      <c r="BC1357" s="11">
        <f>IF(O1357="","",IF(J1357="GST 10%",ROUND(O1357*set_GSTRate,2),0))</f>
        <v/>
      </c>
      <c r="BD1357" s="11">
        <f>IF(O1357="","",O1357+BC1357)</f>
        <v/>
      </c>
      <c r="BE1357" s="15">
        <f>IF(O1357="","",COUNTA(S1357,V1357,Y1357,AB1357,AE1357,AH1357,AK1357,AN1357,AQ1357,AT1357,AW1357,AZ1357))</f>
        <v/>
      </c>
      <c r="BF1357" s="16">
        <f>IF(COUNT(T1357,W1357,Z1357,AC1357,AF1357,AI1357,AL1357,AO1357,AR1357,AU1357,AX1357,BA1357)=0,"",MAX(T1357,W1357,Z1357,AC1357,AF1357,AI1357,AL1357,AO1357,AR1357,AU1357,AX1357,BA1357))</f>
        <v/>
      </c>
      <c r="BG1357" s="10">
        <f>MID(IF(S1357="","",", "&amp;S1357)&amp;IF(V1357="","",", "&amp;V1357)&amp;IF(Y1357="","",", "&amp;Y1357)&amp;IF(AB1357="","",", "&amp;AB1357)&amp;IF(AE1357="","",", "&amp;AE1357)&amp;IF(AH1357="","",", "&amp;AH1357)&amp;IF(AK1357="","",", "&amp;AK1357)&amp;IF(AN1357="","",", "&amp;AN1357)&amp;IF(AQ1357="","",", "&amp;AQ1357)&amp;IF(AT1357="","",", "&amp;AT1357)&amp;IF(AW1357="","",", "&amp;AW1357)&amp;IF(AZ1357="","",", "&amp;AZ1357),3,500)</f>
        <v/>
      </c>
      <c r="BH1357" s="12" t="n"/>
      <c r="BI1357" s="15">
        <f>IFERROR(MATCH($A1357,IF($B1357="Onsite",tbl_Onsite[Row ID],IF($B1357="Production",tbl_Production[Row ID],tbl_Consulting[Row ID])),0),"")</f>
        <v/>
      </c>
    </row>
    <row r="1358">
      <c r="A1358" s="10" t="inlineStr">
        <is>
          <t>CON-0352</t>
        </is>
      </c>
      <c r="B1358" s="10" t="inlineStr">
        <is>
          <t>Consulting</t>
        </is>
      </c>
      <c r="C1358" s="10">
        <f>IF($BI1358="","",IF($B1358="Onsite",INDEX(tbl_Onsite[Job Number],$BI1358),IF($B1358="Production",INDEX(tbl_Production[Job Number],$BI1358),INDEX(tbl_Consulting[Job Number],$BI1358)))&amp;"")</f>
        <v/>
      </c>
      <c r="D1358" s="10">
        <f>IF($BI1358="","",IF($B1358="Onsite",INDEX(tbl_Onsite[Client],$BI1358),IF($B1358="Production",INDEX(tbl_Production[Client],$BI1358),INDEX(tbl_Consulting[Client],$BI1358)))&amp;"")</f>
        <v/>
      </c>
      <c r="E1358" s="10">
        <f>IF($C1358="","",IF(COUNTIF(lst_Jobs,$C1358)&gt;0,"OK","CHECK"))</f>
        <v/>
      </c>
      <c r="F1358" s="10">
        <f>IF($C1358="","",IFERROR(INDEX(lst_JobName,MATCH($C1358,lst_Jobs,0)),""))</f>
        <v/>
      </c>
      <c r="G1358" s="10">
        <f>IF($BI1358="","",IF($B1358="Onsite",INDEX(tbl_Onsite[Job Description],$BI1358),IF($B1358="Production",INDEX(tbl_Production[Job Description],$BI1358),INDEX(tbl_Consulting[Job Description],$BI1358)))&amp;"")</f>
        <v/>
      </c>
      <c r="H1358" s="10">
        <f>IF($BI1358="","",IF($B1358="Onsite",INDEX(tbl_Onsite[Cost Centre],$BI1358),IF($B1358="Production",INDEX(tbl_Production[Cost Centre],$BI1358),INDEX(tbl_Consulting[Cost Centre],$BI1358)))&amp;"")</f>
        <v/>
      </c>
      <c r="I1358" s="10">
        <f>IF($BI1358="","",IF($B1358="Onsite",INDEX(tbl_Onsite[Invoice Type],$BI1358),IF($B1358="Production",INDEX(tbl_Production[Invoice Type],$BI1358),INDEX(tbl_Consulting[Invoice Type],$BI1358)))&amp;"")</f>
        <v/>
      </c>
      <c r="J1358" s="10">
        <f>IF($BI1358="","",IF($B1358="Onsite",INDEX(tbl_Onsite[Tax Code],$BI1358),IF($B1358="Production",INDEX(tbl_Production[Tax Code],$BI1358),INDEX(tbl_Consulting[Tax Code],$BI1358)))&amp;"")</f>
        <v/>
      </c>
      <c r="K1358" s="10">
        <f>IF(H1358="","",IFERROR(INDEX(lst_CCtoGL,MATCH(H1358,lst_CCforGL,0)),""))</f>
        <v/>
      </c>
      <c r="L1358" s="10">
        <f>IF($BI1358="","",IF($B1358="Onsite",INDEX(tbl_Onsite[PO / Reference],$BI1358),IF($B1358="Production",INDEX(tbl_Production[Current RMS No],$BI1358),INDEX(tbl_Consulting[Qwilr Quote],$BI1358)))&amp;"")</f>
        <v/>
      </c>
      <c r="M1358" s="10">
        <f>IF($BI1358="","",IF($B1358="Onsite",INDEX(tbl_Onsite[Notes],$BI1358),IF($B1358="Production",INDEX(tbl_Production[Notes],$BI1358),INDEX(tbl_Consulting[Notes],$BI1358)))&amp;"")</f>
        <v/>
      </c>
      <c r="N1358" s="11">
        <f>IF($BI1358="","",IF(IF($B1358="Onsite",INDEX(tbl_Onsite[Expected Revenue Ex GST],$BI1358),IF($B1358="Production",INDEX(tbl_Production[Expected Revenue Ex GST],$BI1358),INDEX(tbl_Consulting[Expected Revenue Ex GST],$BI1358)))="","",IF($B1358="Onsite",INDEX(tbl_Onsite[Expected Revenue Ex GST],$BI1358),IF($B1358="Production",INDEX(tbl_Production[Expected Revenue Ex GST],$BI1358),INDEX(tbl_Consulting[Expected Revenue Ex GST],$BI1358)))))</f>
        <v/>
      </c>
      <c r="O1358" s="11">
        <f>IF(AND($C1358="",NOT(COUNTA($S1358:$BB1358)&gt;0)),"",SUM(U1358,X1358,AA1358,AD1358,AG1358,AJ1358,AM1358,AP1358,AS1358,AV1358,AY1358,BB1358))</f>
        <v/>
      </c>
      <c r="P1358" s="11">
        <f>IF(O1358="","",N(N1358)-O1358)</f>
        <v/>
      </c>
      <c r="Q1358" s="10">
        <f>IF(O1358="","",IF($C1358="","Invoice on empty job row",IF(N1358="",IF(ROUND(O1358,2)=0,"No dept value","Invoiced - no dept value"),IF(ROUND(O1358,2)=0,"Not invoiced - to invoice",IF(ROUND(P1358,2)=0,"Agrees",IF(P1358&gt;0,"Dept higher - to invoice","Xero higher - check dept"))))))</f>
        <v/>
      </c>
      <c r="R1358" s="10">
        <f>IF(AND($C1358="",NOT(COUNTA($S1358:$BB1358)&gt;0),$BI1358&lt;&gt;""),"",MID(IF($BI1358="","; Row ID not found on the department sheet - a row was deleted","")&amp;IF(AND($C1358="",COUNTA($S1358:$BB1358)&gt;0),"; Invoice entered but the department row has no job number","")&amp;IF(E1358="CHECK","; Job number not in the Xero job list","")&amp;IF(AND($C1358&lt;&gt;"",COUNTIF($C$7:$C$1506,$C1358)&gt;1),"; Job number on more than one row","")&amp;IF(AND($C1358&lt;&gt;"",H1358=""),"; Dept has not set a cost centre","")&amp;IF(AND($C1358&lt;&gt;"",J1358=""),"; Dept has not set a tax code","")&amp;IF(AND($C1358&lt;&gt;"",N1358=""),"; Dept has not entered an expected value","")&amp;IF((IF(OR(COUNTA(S1358:U1358)=0,AND(COUNTA(S1358:U1358)=3,ISNUMBER(U1358))),0,1)+IF(OR(COUNTA(V1358:X1358)=0,AND(COUNTA(V1358:X1358)=3,ISNUMBER(X1358))),0,1)+IF(OR(COUNTA(Y1358:AA1358)=0,AND(COUNTA(Y1358:AA1358)=3,ISNUMBER(AA1358))),0,1)+IF(OR(COUNTA(AB1358:AD1358)=0,AND(COUNTA(AB1358:AD1358)=3,ISNUMBER(AD1358))),0,1)+IF(OR(COUNTA(AE1358:AG1358)=0,AND(COUNTA(AE1358:AG1358)=3,ISNUMBER(AG1358))),0,1)+IF(OR(COUNTA(AH1358:AJ1358)=0,AND(COUNTA(AH1358:AJ1358)=3,ISNUMBER(AJ1358))),0,1)+IF(OR(COUNTA(AK1358:AM1358)=0,AND(COUNTA(AK1358:AM1358)=3,ISNUMBER(AM1358))),0,1)+IF(OR(COUNTA(AN1358:AP1358)=0,AND(COUNTA(AN1358:AP1358)=3,ISNUMBER(AP1358))),0,1)+IF(OR(COUNTA(AQ1358:AS1358)=0,AND(COUNTA(AQ1358:AS1358)=3,ISNUMBER(AS1358))),0,1)+IF(OR(COUNTA(AT1358:AV1358)=0,AND(COUNTA(AT1358:AV1358)=3,ISNUMBER(AV1358))),0,1)+IF(OR(COUNTA(AW1358:AY1358)=0,AND(COUNTA(AW1358:AY1358)=3,ISNUMBER(AY1358))),0,1)+IF(OR(COUNTA(AZ1358:BB1358)=0,AND(COUNTA(AZ1358:BB1358)=3,ISNUMBER(BB1358))),0,1))&gt;0,"; An invoice is incomplete (needs No, Date and a number in Ex GST)","")&amp;IF((IF(T1358="",0,IFERROR(--(EOMONTH(T1358,0)&lt;&gt;S$5),1))+IF(W1358="",0,IFERROR(--(EOMONTH(W1358,0)&lt;&gt;V$5),1))+IF(Z1358="",0,IFERROR(--(EOMONTH(Z1358,0)&lt;&gt;Y$5),1))+IF(AC1358="",0,IFERROR(--(EOMONTH(AC1358,0)&lt;&gt;AB$5),1))+IF(AF1358="",0,IFERROR(--(EOMONTH(AF1358,0)&lt;&gt;AE$5),1))+IF(AI1358="",0,IFERROR(--(EOMONTH(AI1358,0)&lt;&gt;AH$5),1))+IF(AL1358="",0,IFERROR(--(EOMONTH(AL1358,0)&lt;&gt;AK$5),1))+IF(AO1358="",0,IFERROR(--(EOMONTH(AO1358,0)&lt;&gt;AN$5),1))+IF(AR1358="",0,IFERROR(--(EOMONTH(AR1358,0)&lt;&gt;AQ$5),1))+IF(AU1358="",0,IFERROR(--(EOMONTH(AU1358,0)&lt;&gt;AT$5),1))+IF(AX1358="",0,IFERROR(--(EOMONTH(AX1358,0)&lt;&gt;AW$5),1))+IF(BA1358="",0,IFERROR(--(EOMONTH(BA1358,0)&lt;&gt;AZ$5),1)))&gt;0,"; An invoice date is not in the month it is typed under",""),3,500))</f>
        <v/>
      </c>
      <c r="S1358" s="12" t="n"/>
      <c r="T1358" s="13" t="n"/>
      <c r="U1358" s="14" t="n"/>
      <c r="V1358" s="12" t="n"/>
      <c r="W1358" s="13" t="n"/>
      <c r="X1358" s="14" t="n"/>
      <c r="Y1358" s="12" t="n"/>
      <c r="Z1358" s="13" t="n"/>
      <c r="AA1358" s="14" t="n"/>
      <c r="AB1358" s="12" t="n"/>
      <c r="AC1358" s="13" t="n"/>
      <c r="AD1358" s="14" t="n"/>
      <c r="AE1358" s="12" t="n"/>
      <c r="AF1358" s="13" t="n"/>
      <c r="AG1358" s="14" t="n"/>
      <c r="AH1358" s="12" t="n"/>
      <c r="AI1358" s="13" t="n"/>
      <c r="AJ1358" s="14" t="n"/>
      <c r="AK1358" s="12" t="n"/>
      <c r="AL1358" s="13" t="n"/>
      <c r="AM1358" s="14" t="n"/>
      <c r="AN1358" s="12" t="n"/>
      <c r="AO1358" s="13" t="n"/>
      <c r="AP1358" s="14" t="n"/>
      <c r="AQ1358" s="12" t="n"/>
      <c r="AR1358" s="13" t="n"/>
      <c r="AS1358" s="14" t="n"/>
      <c r="AT1358" s="12" t="n"/>
      <c r="AU1358" s="13" t="n"/>
      <c r="AV1358" s="14" t="n"/>
      <c r="AW1358" s="12" t="n"/>
      <c r="AX1358" s="13" t="n"/>
      <c r="AY1358" s="14" t="n"/>
      <c r="AZ1358" s="12" t="n"/>
      <c r="BA1358" s="13" t="n"/>
      <c r="BB1358" s="14" t="n"/>
      <c r="BC1358" s="11">
        <f>IF(O1358="","",IF(J1358="GST 10%",ROUND(O1358*set_GSTRate,2),0))</f>
        <v/>
      </c>
      <c r="BD1358" s="11">
        <f>IF(O1358="","",O1358+BC1358)</f>
        <v/>
      </c>
      <c r="BE1358" s="15">
        <f>IF(O1358="","",COUNTA(S1358,V1358,Y1358,AB1358,AE1358,AH1358,AK1358,AN1358,AQ1358,AT1358,AW1358,AZ1358))</f>
        <v/>
      </c>
      <c r="BF1358" s="16">
        <f>IF(COUNT(T1358,W1358,Z1358,AC1358,AF1358,AI1358,AL1358,AO1358,AR1358,AU1358,AX1358,BA1358)=0,"",MAX(T1358,W1358,Z1358,AC1358,AF1358,AI1358,AL1358,AO1358,AR1358,AU1358,AX1358,BA1358))</f>
        <v/>
      </c>
      <c r="BG1358" s="10">
        <f>MID(IF(S1358="","",", "&amp;S1358)&amp;IF(V1358="","",", "&amp;V1358)&amp;IF(Y1358="","",", "&amp;Y1358)&amp;IF(AB1358="","",", "&amp;AB1358)&amp;IF(AE1358="","",", "&amp;AE1358)&amp;IF(AH1358="","",", "&amp;AH1358)&amp;IF(AK1358="","",", "&amp;AK1358)&amp;IF(AN1358="","",", "&amp;AN1358)&amp;IF(AQ1358="","",", "&amp;AQ1358)&amp;IF(AT1358="","",", "&amp;AT1358)&amp;IF(AW1358="","",", "&amp;AW1358)&amp;IF(AZ1358="","",", "&amp;AZ1358),3,500)</f>
        <v/>
      </c>
      <c r="BH1358" s="12" t="n"/>
      <c r="BI1358" s="15">
        <f>IFERROR(MATCH($A1358,IF($B1358="Onsite",tbl_Onsite[Row ID],IF($B1358="Production",tbl_Production[Row ID],tbl_Consulting[Row ID])),0),"")</f>
        <v/>
      </c>
    </row>
    <row r="1359">
      <c r="A1359" s="10" t="inlineStr">
        <is>
          <t>CON-0353</t>
        </is>
      </c>
      <c r="B1359" s="10" t="inlineStr">
        <is>
          <t>Consulting</t>
        </is>
      </c>
      <c r="C1359" s="10">
        <f>IF($BI1359="","",IF($B1359="Onsite",INDEX(tbl_Onsite[Job Number],$BI1359),IF($B1359="Production",INDEX(tbl_Production[Job Number],$BI1359),INDEX(tbl_Consulting[Job Number],$BI1359)))&amp;"")</f>
        <v/>
      </c>
      <c r="D1359" s="10">
        <f>IF($BI1359="","",IF($B1359="Onsite",INDEX(tbl_Onsite[Client],$BI1359),IF($B1359="Production",INDEX(tbl_Production[Client],$BI1359),INDEX(tbl_Consulting[Client],$BI1359)))&amp;"")</f>
        <v/>
      </c>
      <c r="E1359" s="10">
        <f>IF($C1359="","",IF(COUNTIF(lst_Jobs,$C1359)&gt;0,"OK","CHECK"))</f>
        <v/>
      </c>
      <c r="F1359" s="10">
        <f>IF($C1359="","",IFERROR(INDEX(lst_JobName,MATCH($C1359,lst_Jobs,0)),""))</f>
        <v/>
      </c>
      <c r="G1359" s="10">
        <f>IF($BI1359="","",IF($B1359="Onsite",INDEX(tbl_Onsite[Job Description],$BI1359),IF($B1359="Production",INDEX(tbl_Production[Job Description],$BI1359),INDEX(tbl_Consulting[Job Description],$BI1359)))&amp;"")</f>
        <v/>
      </c>
      <c r="H1359" s="10">
        <f>IF($BI1359="","",IF($B1359="Onsite",INDEX(tbl_Onsite[Cost Centre],$BI1359),IF($B1359="Production",INDEX(tbl_Production[Cost Centre],$BI1359),INDEX(tbl_Consulting[Cost Centre],$BI1359)))&amp;"")</f>
        <v/>
      </c>
      <c r="I1359" s="10">
        <f>IF($BI1359="","",IF($B1359="Onsite",INDEX(tbl_Onsite[Invoice Type],$BI1359),IF($B1359="Production",INDEX(tbl_Production[Invoice Type],$BI1359),INDEX(tbl_Consulting[Invoice Type],$BI1359)))&amp;"")</f>
        <v/>
      </c>
      <c r="J1359" s="10">
        <f>IF($BI1359="","",IF($B1359="Onsite",INDEX(tbl_Onsite[Tax Code],$BI1359),IF($B1359="Production",INDEX(tbl_Production[Tax Code],$BI1359),INDEX(tbl_Consulting[Tax Code],$BI1359)))&amp;"")</f>
        <v/>
      </c>
      <c r="K1359" s="10">
        <f>IF(H1359="","",IFERROR(INDEX(lst_CCtoGL,MATCH(H1359,lst_CCforGL,0)),""))</f>
        <v/>
      </c>
      <c r="L1359" s="10">
        <f>IF($BI1359="","",IF($B1359="Onsite",INDEX(tbl_Onsite[PO / Reference],$BI1359),IF($B1359="Production",INDEX(tbl_Production[Current RMS No],$BI1359),INDEX(tbl_Consulting[Qwilr Quote],$BI1359)))&amp;"")</f>
        <v/>
      </c>
      <c r="M1359" s="10">
        <f>IF($BI1359="","",IF($B1359="Onsite",INDEX(tbl_Onsite[Notes],$BI1359),IF($B1359="Production",INDEX(tbl_Production[Notes],$BI1359),INDEX(tbl_Consulting[Notes],$BI1359)))&amp;"")</f>
        <v/>
      </c>
      <c r="N1359" s="11">
        <f>IF($BI1359="","",IF(IF($B1359="Onsite",INDEX(tbl_Onsite[Expected Revenue Ex GST],$BI1359),IF($B1359="Production",INDEX(tbl_Production[Expected Revenue Ex GST],$BI1359),INDEX(tbl_Consulting[Expected Revenue Ex GST],$BI1359)))="","",IF($B1359="Onsite",INDEX(tbl_Onsite[Expected Revenue Ex GST],$BI1359),IF($B1359="Production",INDEX(tbl_Production[Expected Revenue Ex GST],$BI1359),INDEX(tbl_Consulting[Expected Revenue Ex GST],$BI1359)))))</f>
        <v/>
      </c>
      <c r="O1359" s="11">
        <f>IF(AND($C1359="",NOT(COUNTA($S1359:$BB1359)&gt;0)),"",SUM(U1359,X1359,AA1359,AD1359,AG1359,AJ1359,AM1359,AP1359,AS1359,AV1359,AY1359,BB1359))</f>
        <v/>
      </c>
      <c r="P1359" s="11">
        <f>IF(O1359="","",N(N1359)-O1359)</f>
        <v/>
      </c>
      <c r="Q1359" s="10">
        <f>IF(O1359="","",IF($C1359="","Invoice on empty job row",IF(N1359="",IF(ROUND(O1359,2)=0,"No dept value","Invoiced - no dept value"),IF(ROUND(O1359,2)=0,"Not invoiced - to invoice",IF(ROUND(P1359,2)=0,"Agrees",IF(P1359&gt;0,"Dept higher - to invoice","Xero higher - check dept"))))))</f>
        <v/>
      </c>
      <c r="R1359" s="10">
        <f>IF(AND($C1359="",NOT(COUNTA($S1359:$BB1359)&gt;0),$BI1359&lt;&gt;""),"",MID(IF($BI1359="","; Row ID not found on the department sheet - a row was deleted","")&amp;IF(AND($C1359="",COUNTA($S1359:$BB1359)&gt;0),"; Invoice entered but the department row has no job number","")&amp;IF(E1359="CHECK","; Job number not in the Xero job list","")&amp;IF(AND($C1359&lt;&gt;"",COUNTIF($C$7:$C$1506,$C1359)&gt;1),"; Job number on more than one row","")&amp;IF(AND($C1359&lt;&gt;"",H1359=""),"; Dept has not set a cost centre","")&amp;IF(AND($C1359&lt;&gt;"",J1359=""),"; Dept has not set a tax code","")&amp;IF(AND($C1359&lt;&gt;"",N1359=""),"; Dept has not entered an expected value","")&amp;IF((IF(OR(COUNTA(S1359:U1359)=0,AND(COUNTA(S1359:U1359)=3,ISNUMBER(U1359))),0,1)+IF(OR(COUNTA(V1359:X1359)=0,AND(COUNTA(V1359:X1359)=3,ISNUMBER(X1359))),0,1)+IF(OR(COUNTA(Y1359:AA1359)=0,AND(COUNTA(Y1359:AA1359)=3,ISNUMBER(AA1359))),0,1)+IF(OR(COUNTA(AB1359:AD1359)=0,AND(COUNTA(AB1359:AD1359)=3,ISNUMBER(AD1359))),0,1)+IF(OR(COUNTA(AE1359:AG1359)=0,AND(COUNTA(AE1359:AG1359)=3,ISNUMBER(AG1359))),0,1)+IF(OR(COUNTA(AH1359:AJ1359)=0,AND(COUNTA(AH1359:AJ1359)=3,ISNUMBER(AJ1359))),0,1)+IF(OR(COUNTA(AK1359:AM1359)=0,AND(COUNTA(AK1359:AM1359)=3,ISNUMBER(AM1359))),0,1)+IF(OR(COUNTA(AN1359:AP1359)=0,AND(COUNTA(AN1359:AP1359)=3,ISNUMBER(AP1359))),0,1)+IF(OR(COUNTA(AQ1359:AS1359)=0,AND(COUNTA(AQ1359:AS1359)=3,ISNUMBER(AS1359))),0,1)+IF(OR(COUNTA(AT1359:AV1359)=0,AND(COUNTA(AT1359:AV1359)=3,ISNUMBER(AV1359))),0,1)+IF(OR(COUNTA(AW1359:AY1359)=0,AND(COUNTA(AW1359:AY1359)=3,ISNUMBER(AY1359))),0,1)+IF(OR(COUNTA(AZ1359:BB1359)=0,AND(COUNTA(AZ1359:BB1359)=3,ISNUMBER(BB1359))),0,1))&gt;0,"; An invoice is incomplete (needs No, Date and a number in Ex GST)","")&amp;IF((IF(T1359="",0,IFERROR(--(EOMONTH(T1359,0)&lt;&gt;S$5),1))+IF(W1359="",0,IFERROR(--(EOMONTH(W1359,0)&lt;&gt;V$5),1))+IF(Z1359="",0,IFERROR(--(EOMONTH(Z1359,0)&lt;&gt;Y$5),1))+IF(AC1359="",0,IFERROR(--(EOMONTH(AC1359,0)&lt;&gt;AB$5),1))+IF(AF1359="",0,IFERROR(--(EOMONTH(AF1359,0)&lt;&gt;AE$5),1))+IF(AI1359="",0,IFERROR(--(EOMONTH(AI1359,0)&lt;&gt;AH$5),1))+IF(AL1359="",0,IFERROR(--(EOMONTH(AL1359,0)&lt;&gt;AK$5),1))+IF(AO1359="",0,IFERROR(--(EOMONTH(AO1359,0)&lt;&gt;AN$5),1))+IF(AR1359="",0,IFERROR(--(EOMONTH(AR1359,0)&lt;&gt;AQ$5),1))+IF(AU1359="",0,IFERROR(--(EOMONTH(AU1359,0)&lt;&gt;AT$5),1))+IF(AX1359="",0,IFERROR(--(EOMONTH(AX1359,0)&lt;&gt;AW$5),1))+IF(BA1359="",0,IFERROR(--(EOMONTH(BA1359,0)&lt;&gt;AZ$5),1)))&gt;0,"; An invoice date is not in the month it is typed under",""),3,500))</f>
        <v/>
      </c>
      <c r="S1359" s="12" t="n"/>
      <c r="T1359" s="13" t="n"/>
      <c r="U1359" s="14" t="n"/>
      <c r="V1359" s="12" t="n"/>
      <c r="W1359" s="13" t="n"/>
      <c r="X1359" s="14" t="n"/>
      <c r="Y1359" s="12" t="n"/>
      <c r="Z1359" s="13" t="n"/>
      <c r="AA1359" s="14" t="n"/>
      <c r="AB1359" s="12" t="n"/>
      <c r="AC1359" s="13" t="n"/>
      <c r="AD1359" s="14" t="n"/>
      <c r="AE1359" s="12" t="n"/>
      <c r="AF1359" s="13" t="n"/>
      <c r="AG1359" s="14" t="n"/>
      <c r="AH1359" s="12" t="n"/>
      <c r="AI1359" s="13" t="n"/>
      <c r="AJ1359" s="14" t="n"/>
      <c r="AK1359" s="12" t="n"/>
      <c r="AL1359" s="13" t="n"/>
      <c r="AM1359" s="14" t="n"/>
      <c r="AN1359" s="12" t="n"/>
      <c r="AO1359" s="13" t="n"/>
      <c r="AP1359" s="14" t="n"/>
      <c r="AQ1359" s="12" t="n"/>
      <c r="AR1359" s="13" t="n"/>
      <c r="AS1359" s="14" t="n"/>
      <c r="AT1359" s="12" t="n"/>
      <c r="AU1359" s="13" t="n"/>
      <c r="AV1359" s="14" t="n"/>
      <c r="AW1359" s="12" t="n"/>
      <c r="AX1359" s="13" t="n"/>
      <c r="AY1359" s="14" t="n"/>
      <c r="AZ1359" s="12" t="n"/>
      <c r="BA1359" s="13" t="n"/>
      <c r="BB1359" s="14" t="n"/>
      <c r="BC1359" s="11">
        <f>IF(O1359="","",IF(J1359="GST 10%",ROUND(O1359*set_GSTRate,2),0))</f>
        <v/>
      </c>
      <c r="BD1359" s="11">
        <f>IF(O1359="","",O1359+BC1359)</f>
        <v/>
      </c>
      <c r="BE1359" s="15">
        <f>IF(O1359="","",COUNTA(S1359,V1359,Y1359,AB1359,AE1359,AH1359,AK1359,AN1359,AQ1359,AT1359,AW1359,AZ1359))</f>
        <v/>
      </c>
      <c r="BF1359" s="16">
        <f>IF(COUNT(T1359,W1359,Z1359,AC1359,AF1359,AI1359,AL1359,AO1359,AR1359,AU1359,AX1359,BA1359)=0,"",MAX(T1359,W1359,Z1359,AC1359,AF1359,AI1359,AL1359,AO1359,AR1359,AU1359,AX1359,BA1359))</f>
        <v/>
      </c>
      <c r="BG1359" s="10">
        <f>MID(IF(S1359="","",", "&amp;S1359)&amp;IF(V1359="","",", "&amp;V1359)&amp;IF(Y1359="","",", "&amp;Y1359)&amp;IF(AB1359="","",", "&amp;AB1359)&amp;IF(AE1359="","",", "&amp;AE1359)&amp;IF(AH1359="","",", "&amp;AH1359)&amp;IF(AK1359="","",", "&amp;AK1359)&amp;IF(AN1359="","",", "&amp;AN1359)&amp;IF(AQ1359="","",", "&amp;AQ1359)&amp;IF(AT1359="","",", "&amp;AT1359)&amp;IF(AW1359="","",", "&amp;AW1359)&amp;IF(AZ1359="","",", "&amp;AZ1359),3,500)</f>
        <v/>
      </c>
      <c r="BH1359" s="12" t="n"/>
      <c r="BI1359" s="15">
        <f>IFERROR(MATCH($A1359,IF($B1359="Onsite",tbl_Onsite[Row ID],IF($B1359="Production",tbl_Production[Row ID],tbl_Consulting[Row ID])),0),"")</f>
        <v/>
      </c>
    </row>
    <row r="1360">
      <c r="A1360" s="10" t="inlineStr">
        <is>
          <t>CON-0354</t>
        </is>
      </c>
      <c r="B1360" s="10" t="inlineStr">
        <is>
          <t>Consulting</t>
        </is>
      </c>
      <c r="C1360" s="10">
        <f>IF($BI1360="","",IF($B1360="Onsite",INDEX(tbl_Onsite[Job Number],$BI1360),IF($B1360="Production",INDEX(tbl_Production[Job Number],$BI1360),INDEX(tbl_Consulting[Job Number],$BI1360)))&amp;"")</f>
        <v/>
      </c>
      <c r="D1360" s="10">
        <f>IF($BI1360="","",IF($B1360="Onsite",INDEX(tbl_Onsite[Client],$BI1360),IF($B1360="Production",INDEX(tbl_Production[Client],$BI1360),INDEX(tbl_Consulting[Client],$BI1360)))&amp;"")</f>
        <v/>
      </c>
      <c r="E1360" s="10">
        <f>IF($C1360="","",IF(COUNTIF(lst_Jobs,$C1360)&gt;0,"OK","CHECK"))</f>
        <v/>
      </c>
      <c r="F1360" s="10">
        <f>IF($C1360="","",IFERROR(INDEX(lst_JobName,MATCH($C1360,lst_Jobs,0)),""))</f>
        <v/>
      </c>
      <c r="G1360" s="10">
        <f>IF($BI1360="","",IF($B1360="Onsite",INDEX(tbl_Onsite[Job Description],$BI1360),IF($B1360="Production",INDEX(tbl_Production[Job Description],$BI1360),INDEX(tbl_Consulting[Job Description],$BI1360)))&amp;"")</f>
        <v/>
      </c>
      <c r="H1360" s="10">
        <f>IF($BI1360="","",IF($B1360="Onsite",INDEX(tbl_Onsite[Cost Centre],$BI1360),IF($B1360="Production",INDEX(tbl_Production[Cost Centre],$BI1360),INDEX(tbl_Consulting[Cost Centre],$BI1360)))&amp;"")</f>
        <v/>
      </c>
      <c r="I1360" s="10">
        <f>IF($BI1360="","",IF($B1360="Onsite",INDEX(tbl_Onsite[Invoice Type],$BI1360),IF($B1360="Production",INDEX(tbl_Production[Invoice Type],$BI1360),INDEX(tbl_Consulting[Invoice Type],$BI1360)))&amp;"")</f>
        <v/>
      </c>
      <c r="J1360" s="10">
        <f>IF($BI1360="","",IF($B1360="Onsite",INDEX(tbl_Onsite[Tax Code],$BI1360),IF($B1360="Production",INDEX(tbl_Production[Tax Code],$BI1360),INDEX(tbl_Consulting[Tax Code],$BI1360)))&amp;"")</f>
        <v/>
      </c>
      <c r="K1360" s="10">
        <f>IF(H1360="","",IFERROR(INDEX(lst_CCtoGL,MATCH(H1360,lst_CCforGL,0)),""))</f>
        <v/>
      </c>
      <c r="L1360" s="10">
        <f>IF($BI1360="","",IF($B1360="Onsite",INDEX(tbl_Onsite[PO / Reference],$BI1360),IF($B1360="Production",INDEX(tbl_Production[Current RMS No],$BI1360),INDEX(tbl_Consulting[Qwilr Quote],$BI1360)))&amp;"")</f>
        <v/>
      </c>
      <c r="M1360" s="10">
        <f>IF($BI1360="","",IF($B1360="Onsite",INDEX(tbl_Onsite[Notes],$BI1360),IF($B1360="Production",INDEX(tbl_Production[Notes],$BI1360),INDEX(tbl_Consulting[Notes],$BI1360)))&amp;"")</f>
        <v/>
      </c>
      <c r="N1360" s="11">
        <f>IF($BI1360="","",IF(IF($B1360="Onsite",INDEX(tbl_Onsite[Expected Revenue Ex GST],$BI1360),IF($B1360="Production",INDEX(tbl_Production[Expected Revenue Ex GST],$BI1360),INDEX(tbl_Consulting[Expected Revenue Ex GST],$BI1360)))="","",IF($B1360="Onsite",INDEX(tbl_Onsite[Expected Revenue Ex GST],$BI1360),IF($B1360="Production",INDEX(tbl_Production[Expected Revenue Ex GST],$BI1360),INDEX(tbl_Consulting[Expected Revenue Ex GST],$BI1360)))))</f>
        <v/>
      </c>
      <c r="O1360" s="11">
        <f>IF(AND($C1360="",NOT(COUNTA($S1360:$BB1360)&gt;0)),"",SUM(U1360,X1360,AA1360,AD1360,AG1360,AJ1360,AM1360,AP1360,AS1360,AV1360,AY1360,BB1360))</f>
        <v/>
      </c>
      <c r="P1360" s="11">
        <f>IF(O1360="","",N(N1360)-O1360)</f>
        <v/>
      </c>
      <c r="Q1360" s="10">
        <f>IF(O1360="","",IF($C1360="","Invoice on empty job row",IF(N1360="",IF(ROUND(O1360,2)=0,"No dept value","Invoiced - no dept value"),IF(ROUND(O1360,2)=0,"Not invoiced - to invoice",IF(ROUND(P1360,2)=0,"Agrees",IF(P1360&gt;0,"Dept higher - to invoice","Xero higher - check dept"))))))</f>
        <v/>
      </c>
      <c r="R1360" s="10">
        <f>IF(AND($C1360="",NOT(COUNTA($S1360:$BB1360)&gt;0),$BI1360&lt;&gt;""),"",MID(IF($BI1360="","; Row ID not found on the department sheet - a row was deleted","")&amp;IF(AND($C1360="",COUNTA($S1360:$BB1360)&gt;0),"; Invoice entered but the department row has no job number","")&amp;IF(E1360="CHECK","; Job number not in the Xero job list","")&amp;IF(AND($C1360&lt;&gt;"",COUNTIF($C$7:$C$1506,$C1360)&gt;1),"; Job number on more than one row","")&amp;IF(AND($C1360&lt;&gt;"",H1360=""),"; Dept has not set a cost centre","")&amp;IF(AND($C1360&lt;&gt;"",J1360=""),"; Dept has not set a tax code","")&amp;IF(AND($C1360&lt;&gt;"",N1360=""),"; Dept has not entered an expected value","")&amp;IF((IF(OR(COUNTA(S1360:U1360)=0,AND(COUNTA(S1360:U1360)=3,ISNUMBER(U1360))),0,1)+IF(OR(COUNTA(V1360:X1360)=0,AND(COUNTA(V1360:X1360)=3,ISNUMBER(X1360))),0,1)+IF(OR(COUNTA(Y1360:AA1360)=0,AND(COUNTA(Y1360:AA1360)=3,ISNUMBER(AA1360))),0,1)+IF(OR(COUNTA(AB1360:AD1360)=0,AND(COUNTA(AB1360:AD1360)=3,ISNUMBER(AD1360))),0,1)+IF(OR(COUNTA(AE1360:AG1360)=0,AND(COUNTA(AE1360:AG1360)=3,ISNUMBER(AG1360))),0,1)+IF(OR(COUNTA(AH1360:AJ1360)=0,AND(COUNTA(AH1360:AJ1360)=3,ISNUMBER(AJ1360))),0,1)+IF(OR(COUNTA(AK1360:AM1360)=0,AND(COUNTA(AK1360:AM1360)=3,ISNUMBER(AM1360))),0,1)+IF(OR(COUNTA(AN1360:AP1360)=0,AND(COUNTA(AN1360:AP1360)=3,ISNUMBER(AP1360))),0,1)+IF(OR(COUNTA(AQ1360:AS1360)=0,AND(COUNTA(AQ1360:AS1360)=3,ISNUMBER(AS1360))),0,1)+IF(OR(COUNTA(AT1360:AV1360)=0,AND(COUNTA(AT1360:AV1360)=3,ISNUMBER(AV1360))),0,1)+IF(OR(COUNTA(AW1360:AY1360)=0,AND(COUNTA(AW1360:AY1360)=3,ISNUMBER(AY1360))),0,1)+IF(OR(COUNTA(AZ1360:BB1360)=0,AND(COUNTA(AZ1360:BB1360)=3,ISNUMBER(BB1360))),0,1))&gt;0,"; An invoice is incomplete (needs No, Date and a number in Ex GST)","")&amp;IF((IF(T1360="",0,IFERROR(--(EOMONTH(T1360,0)&lt;&gt;S$5),1))+IF(W1360="",0,IFERROR(--(EOMONTH(W1360,0)&lt;&gt;V$5),1))+IF(Z1360="",0,IFERROR(--(EOMONTH(Z1360,0)&lt;&gt;Y$5),1))+IF(AC1360="",0,IFERROR(--(EOMONTH(AC1360,0)&lt;&gt;AB$5),1))+IF(AF1360="",0,IFERROR(--(EOMONTH(AF1360,0)&lt;&gt;AE$5),1))+IF(AI1360="",0,IFERROR(--(EOMONTH(AI1360,0)&lt;&gt;AH$5),1))+IF(AL1360="",0,IFERROR(--(EOMONTH(AL1360,0)&lt;&gt;AK$5),1))+IF(AO1360="",0,IFERROR(--(EOMONTH(AO1360,0)&lt;&gt;AN$5),1))+IF(AR1360="",0,IFERROR(--(EOMONTH(AR1360,0)&lt;&gt;AQ$5),1))+IF(AU1360="",0,IFERROR(--(EOMONTH(AU1360,0)&lt;&gt;AT$5),1))+IF(AX1360="",0,IFERROR(--(EOMONTH(AX1360,0)&lt;&gt;AW$5),1))+IF(BA1360="",0,IFERROR(--(EOMONTH(BA1360,0)&lt;&gt;AZ$5),1)))&gt;0,"; An invoice date is not in the month it is typed under",""),3,500))</f>
        <v/>
      </c>
      <c r="S1360" s="12" t="n"/>
      <c r="T1360" s="13" t="n"/>
      <c r="U1360" s="14" t="n"/>
      <c r="V1360" s="12" t="n"/>
      <c r="W1360" s="13" t="n"/>
      <c r="X1360" s="14" t="n"/>
      <c r="Y1360" s="12" t="n"/>
      <c r="Z1360" s="13" t="n"/>
      <c r="AA1360" s="14" t="n"/>
      <c r="AB1360" s="12" t="n"/>
      <c r="AC1360" s="13" t="n"/>
      <c r="AD1360" s="14" t="n"/>
      <c r="AE1360" s="12" t="n"/>
      <c r="AF1360" s="13" t="n"/>
      <c r="AG1360" s="14" t="n"/>
      <c r="AH1360" s="12" t="n"/>
      <c r="AI1360" s="13" t="n"/>
      <c r="AJ1360" s="14" t="n"/>
      <c r="AK1360" s="12" t="n"/>
      <c r="AL1360" s="13" t="n"/>
      <c r="AM1360" s="14" t="n"/>
      <c r="AN1360" s="12" t="n"/>
      <c r="AO1360" s="13" t="n"/>
      <c r="AP1360" s="14" t="n"/>
      <c r="AQ1360" s="12" t="n"/>
      <c r="AR1360" s="13" t="n"/>
      <c r="AS1360" s="14" t="n"/>
      <c r="AT1360" s="12" t="n"/>
      <c r="AU1360" s="13" t="n"/>
      <c r="AV1360" s="14" t="n"/>
      <c r="AW1360" s="12" t="n"/>
      <c r="AX1360" s="13" t="n"/>
      <c r="AY1360" s="14" t="n"/>
      <c r="AZ1360" s="12" t="n"/>
      <c r="BA1360" s="13" t="n"/>
      <c r="BB1360" s="14" t="n"/>
      <c r="BC1360" s="11">
        <f>IF(O1360="","",IF(J1360="GST 10%",ROUND(O1360*set_GSTRate,2),0))</f>
        <v/>
      </c>
      <c r="BD1360" s="11">
        <f>IF(O1360="","",O1360+BC1360)</f>
        <v/>
      </c>
      <c r="BE1360" s="15">
        <f>IF(O1360="","",COUNTA(S1360,V1360,Y1360,AB1360,AE1360,AH1360,AK1360,AN1360,AQ1360,AT1360,AW1360,AZ1360))</f>
        <v/>
      </c>
      <c r="BF1360" s="16">
        <f>IF(COUNT(T1360,W1360,Z1360,AC1360,AF1360,AI1360,AL1360,AO1360,AR1360,AU1360,AX1360,BA1360)=0,"",MAX(T1360,W1360,Z1360,AC1360,AF1360,AI1360,AL1360,AO1360,AR1360,AU1360,AX1360,BA1360))</f>
        <v/>
      </c>
      <c r="BG1360" s="10">
        <f>MID(IF(S1360="","",", "&amp;S1360)&amp;IF(V1360="","",", "&amp;V1360)&amp;IF(Y1360="","",", "&amp;Y1360)&amp;IF(AB1360="","",", "&amp;AB1360)&amp;IF(AE1360="","",", "&amp;AE1360)&amp;IF(AH1360="","",", "&amp;AH1360)&amp;IF(AK1360="","",", "&amp;AK1360)&amp;IF(AN1360="","",", "&amp;AN1360)&amp;IF(AQ1360="","",", "&amp;AQ1360)&amp;IF(AT1360="","",", "&amp;AT1360)&amp;IF(AW1360="","",", "&amp;AW1360)&amp;IF(AZ1360="","",", "&amp;AZ1360),3,500)</f>
        <v/>
      </c>
      <c r="BH1360" s="12" t="n"/>
      <c r="BI1360" s="15">
        <f>IFERROR(MATCH($A1360,IF($B1360="Onsite",tbl_Onsite[Row ID],IF($B1360="Production",tbl_Production[Row ID],tbl_Consulting[Row ID])),0),"")</f>
        <v/>
      </c>
    </row>
    <row r="1361">
      <c r="A1361" s="10" t="inlineStr">
        <is>
          <t>CON-0355</t>
        </is>
      </c>
      <c r="B1361" s="10" t="inlineStr">
        <is>
          <t>Consulting</t>
        </is>
      </c>
      <c r="C1361" s="10">
        <f>IF($BI1361="","",IF($B1361="Onsite",INDEX(tbl_Onsite[Job Number],$BI1361),IF($B1361="Production",INDEX(tbl_Production[Job Number],$BI1361),INDEX(tbl_Consulting[Job Number],$BI1361)))&amp;"")</f>
        <v/>
      </c>
      <c r="D1361" s="10">
        <f>IF($BI1361="","",IF($B1361="Onsite",INDEX(tbl_Onsite[Client],$BI1361),IF($B1361="Production",INDEX(tbl_Production[Client],$BI1361),INDEX(tbl_Consulting[Client],$BI1361)))&amp;"")</f>
        <v/>
      </c>
      <c r="E1361" s="10">
        <f>IF($C1361="","",IF(COUNTIF(lst_Jobs,$C1361)&gt;0,"OK","CHECK"))</f>
        <v/>
      </c>
      <c r="F1361" s="10">
        <f>IF($C1361="","",IFERROR(INDEX(lst_JobName,MATCH($C1361,lst_Jobs,0)),""))</f>
        <v/>
      </c>
      <c r="G1361" s="10">
        <f>IF($BI1361="","",IF($B1361="Onsite",INDEX(tbl_Onsite[Job Description],$BI1361),IF($B1361="Production",INDEX(tbl_Production[Job Description],$BI1361),INDEX(tbl_Consulting[Job Description],$BI1361)))&amp;"")</f>
        <v/>
      </c>
      <c r="H1361" s="10">
        <f>IF($BI1361="","",IF($B1361="Onsite",INDEX(tbl_Onsite[Cost Centre],$BI1361),IF($B1361="Production",INDEX(tbl_Production[Cost Centre],$BI1361),INDEX(tbl_Consulting[Cost Centre],$BI1361)))&amp;"")</f>
        <v/>
      </c>
      <c r="I1361" s="10">
        <f>IF($BI1361="","",IF($B1361="Onsite",INDEX(tbl_Onsite[Invoice Type],$BI1361),IF($B1361="Production",INDEX(tbl_Production[Invoice Type],$BI1361),INDEX(tbl_Consulting[Invoice Type],$BI1361)))&amp;"")</f>
        <v/>
      </c>
      <c r="J1361" s="10">
        <f>IF($BI1361="","",IF($B1361="Onsite",INDEX(tbl_Onsite[Tax Code],$BI1361),IF($B1361="Production",INDEX(tbl_Production[Tax Code],$BI1361),INDEX(tbl_Consulting[Tax Code],$BI1361)))&amp;"")</f>
        <v/>
      </c>
      <c r="K1361" s="10">
        <f>IF(H1361="","",IFERROR(INDEX(lst_CCtoGL,MATCH(H1361,lst_CCforGL,0)),""))</f>
        <v/>
      </c>
      <c r="L1361" s="10">
        <f>IF($BI1361="","",IF($B1361="Onsite",INDEX(tbl_Onsite[PO / Reference],$BI1361),IF($B1361="Production",INDEX(tbl_Production[Current RMS No],$BI1361),INDEX(tbl_Consulting[Qwilr Quote],$BI1361)))&amp;"")</f>
        <v/>
      </c>
      <c r="M1361" s="10">
        <f>IF($BI1361="","",IF($B1361="Onsite",INDEX(tbl_Onsite[Notes],$BI1361),IF($B1361="Production",INDEX(tbl_Production[Notes],$BI1361),INDEX(tbl_Consulting[Notes],$BI1361)))&amp;"")</f>
        <v/>
      </c>
      <c r="N1361" s="11">
        <f>IF($BI1361="","",IF(IF($B1361="Onsite",INDEX(tbl_Onsite[Expected Revenue Ex GST],$BI1361),IF($B1361="Production",INDEX(tbl_Production[Expected Revenue Ex GST],$BI1361),INDEX(tbl_Consulting[Expected Revenue Ex GST],$BI1361)))="","",IF($B1361="Onsite",INDEX(tbl_Onsite[Expected Revenue Ex GST],$BI1361),IF($B1361="Production",INDEX(tbl_Production[Expected Revenue Ex GST],$BI1361),INDEX(tbl_Consulting[Expected Revenue Ex GST],$BI1361)))))</f>
        <v/>
      </c>
      <c r="O1361" s="11">
        <f>IF(AND($C1361="",NOT(COUNTA($S1361:$BB1361)&gt;0)),"",SUM(U1361,X1361,AA1361,AD1361,AG1361,AJ1361,AM1361,AP1361,AS1361,AV1361,AY1361,BB1361))</f>
        <v/>
      </c>
      <c r="P1361" s="11">
        <f>IF(O1361="","",N(N1361)-O1361)</f>
        <v/>
      </c>
      <c r="Q1361" s="10">
        <f>IF(O1361="","",IF($C1361="","Invoice on empty job row",IF(N1361="",IF(ROUND(O1361,2)=0,"No dept value","Invoiced - no dept value"),IF(ROUND(O1361,2)=0,"Not invoiced - to invoice",IF(ROUND(P1361,2)=0,"Agrees",IF(P1361&gt;0,"Dept higher - to invoice","Xero higher - check dept"))))))</f>
        <v/>
      </c>
      <c r="R1361" s="10">
        <f>IF(AND($C1361="",NOT(COUNTA($S1361:$BB1361)&gt;0),$BI1361&lt;&gt;""),"",MID(IF($BI1361="","; Row ID not found on the department sheet - a row was deleted","")&amp;IF(AND($C1361="",COUNTA($S1361:$BB1361)&gt;0),"; Invoice entered but the department row has no job number","")&amp;IF(E1361="CHECK","; Job number not in the Xero job list","")&amp;IF(AND($C1361&lt;&gt;"",COUNTIF($C$7:$C$1506,$C1361)&gt;1),"; Job number on more than one row","")&amp;IF(AND($C1361&lt;&gt;"",H1361=""),"; Dept has not set a cost centre","")&amp;IF(AND($C1361&lt;&gt;"",J1361=""),"; Dept has not set a tax code","")&amp;IF(AND($C1361&lt;&gt;"",N1361=""),"; Dept has not entered an expected value","")&amp;IF((IF(OR(COUNTA(S1361:U1361)=0,AND(COUNTA(S1361:U1361)=3,ISNUMBER(U1361))),0,1)+IF(OR(COUNTA(V1361:X1361)=0,AND(COUNTA(V1361:X1361)=3,ISNUMBER(X1361))),0,1)+IF(OR(COUNTA(Y1361:AA1361)=0,AND(COUNTA(Y1361:AA1361)=3,ISNUMBER(AA1361))),0,1)+IF(OR(COUNTA(AB1361:AD1361)=0,AND(COUNTA(AB1361:AD1361)=3,ISNUMBER(AD1361))),0,1)+IF(OR(COUNTA(AE1361:AG1361)=0,AND(COUNTA(AE1361:AG1361)=3,ISNUMBER(AG1361))),0,1)+IF(OR(COUNTA(AH1361:AJ1361)=0,AND(COUNTA(AH1361:AJ1361)=3,ISNUMBER(AJ1361))),0,1)+IF(OR(COUNTA(AK1361:AM1361)=0,AND(COUNTA(AK1361:AM1361)=3,ISNUMBER(AM1361))),0,1)+IF(OR(COUNTA(AN1361:AP1361)=0,AND(COUNTA(AN1361:AP1361)=3,ISNUMBER(AP1361))),0,1)+IF(OR(COUNTA(AQ1361:AS1361)=0,AND(COUNTA(AQ1361:AS1361)=3,ISNUMBER(AS1361))),0,1)+IF(OR(COUNTA(AT1361:AV1361)=0,AND(COUNTA(AT1361:AV1361)=3,ISNUMBER(AV1361))),0,1)+IF(OR(COUNTA(AW1361:AY1361)=0,AND(COUNTA(AW1361:AY1361)=3,ISNUMBER(AY1361))),0,1)+IF(OR(COUNTA(AZ1361:BB1361)=0,AND(COUNTA(AZ1361:BB1361)=3,ISNUMBER(BB1361))),0,1))&gt;0,"; An invoice is incomplete (needs No, Date and a number in Ex GST)","")&amp;IF((IF(T1361="",0,IFERROR(--(EOMONTH(T1361,0)&lt;&gt;S$5),1))+IF(W1361="",0,IFERROR(--(EOMONTH(W1361,0)&lt;&gt;V$5),1))+IF(Z1361="",0,IFERROR(--(EOMONTH(Z1361,0)&lt;&gt;Y$5),1))+IF(AC1361="",0,IFERROR(--(EOMONTH(AC1361,0)&lt;&gt;AB$5),1))+IF(AF1361="",0,IFERROR(--(EOMONTH(AF1361,0)&lt;&gt;AE$5),1))+IF(AI1361="",0,IFERROR(--(EOMONTH(AI1361,0)&lt;&gt;AH$5),1))+IF(AL1361="",0,IFERROR(--(EOMONTH(AL1361,0)&lt;&gt;AK$5),1))+IF(AO1361="",0,IFERROR(--(EOMONTH(AO1361,0)&lt;&gt;AN$5),1))+IF(AR1361="",0,IFERROR(--(EOMONTH(AR1361,0)&lt;&gt;AQ$5),1))+IF(AU1361="",0,IFERROR(--(EOMONTH(AU1361,0)&lt;&gt;AT$5),1))+IF(AX1361="",0,IFERROR(--(EOMONTH(AX1361,0)&lt;&gt;AW$5),1))+IF(BA1361="",0,IFERROR(--(EOMONTH(BA1361,0)&lt;&gt;AZ$5),1)))&gt;0,"; An invoice date is not in the month it is typed under",""),3,500))</f>
        <v/>
      </c>
      <c r="S1361" s="12" t="n"/>
      <c r="T1361" s="13" t="n"/>
      <c r="U1361" s="14" t="n"/>
      <c r="V1361" s="12" t="n"/>
      <c r="W1361" s="13" t="n"/>
      <c r="X1361" s="14" t="n"/>
      <c r="Y1361" s="12" t="n"/>
      <c r="Z1361" s="13" t="n"/>
      <c r="AA1361" s="14" t="n"/>
      <c r="AB1361" s="12" t="n"/>
      <c r="AC1361" s="13" t="n"/>
      <c r="AD1361" s="14" t="n"/>
      <c r="AE1361" s="12" t="n"/>
      <c r="AF1361" s="13" t="n"/>
      <c r="AG1361" s="14" t="n"/>
      <c r="AH1361" s="12" t="n"/>
      <c r="AI1361" s="13" t="n"/>
      <c r="AJ1361" s="14" t="n"/>
      <c r="AK1361" s="12" t="n"/>
      <c r="AL1361" s="13" t="n"/>
      <c r="AM1361" s="14" t="n"/>
      <c r="AN1361" s="12" t="n"/>
      <c r="AO1361" s="13" t="n"/>
      <c r="AP1361" s="14" t="n"/>
      <c r="AQ1361" s="12" t="n"/>
      <c r="AR1361" s="13" t="n"/>
      <c r="AS1361" s="14" t="n"/>
      <c r="AT1361" s="12" t="n"/>
      <c r="AU1361" s="13" t="n"/>
      <c r="AV1361" s="14" t="n"/>
      <c r="AW1361" s="12" t="n"/>
      <c r="AX1361" s="13" t="n"/>
      <c r="AY1361" s="14" t="n"/>
      <c r="AZ1361" s="12" t="n"/>
      <c r="BA1361" s="13" t="n"/>
      <c r="BB1361" s="14" t="n"/>
      <c r="BC1361" s="11">
        <f>IF(O1361="","",IF(J1361="GST 10%",ROUND(O1361*set_GSTRate,2),0))</f>
        <v/>
      </c>
      <c r="BD1361" s="11">
        <f>IF(O1361="","",O1361+BC1361)</f>
        <v/>
      </c>
      <c r="BE1361" s="15">
        <f>IF(O1361="","",COUNTA(S1361,V1361,Y1361,AB1361,AE1361,AH1361,AK1361,AN1361,AQ1361,AT1361,AW1361,AZ1361))</f>
        <v/>
      </c>
      <c r="BF1361" s="16">
        <f>IF(COUNT(T1361,W1361,Z1361,AC1361,AF1361,AI1361,AL1361,AO1361,AR1361,AU1361,AX1361,BA1361)=0,"",MAX(T1361,W1361,Z1361,AC1361,AF1361,AI1361,AL1361,AO1361,AR1361,AU1361,AX1361,BA1361))</f>
        <v/>
      </c>
      <c r="BG1361" s="10">
        <f>MID(IF(S1361="","",", "&amp;S1361)&amp;IF(V1361="","",", "&amp;V1361)&amp;IF(Y1361="","",", "&amp;Y1361)&amp;IF(AB1361="","",", "&amp;AB1361)&amp;IF(AE1361="","",", "&amp;AE1361)&amp;IF(AH1361="","",", "&amp;AH1361)&amp;IF(AK1361="","",", "&amp;AK1361)&amp;IF(AN1361="","",", "&amp;AN1361)&amp;IF(AQ1361="","",", "&amp;AQ1361)&amp;IF(AT1361="","",", "&amp;AT1361)&amp;IF(AW1361="","",", "&amp;AW1361)&amp;IF(AZ1361="","",", "&amp;AZ1361),3,500)</f>
        <v/>
      </c>
      <c r="BH1361" s="12" t="n"/>
      <c r="BI1361" s="15">
        <f>IFERROR(MATCH($A1361,IF($B1361="Onsite",tbl_Onsite[Row ID],IF($B1361="Production",tbl_Production[Row ID],tbl_Consulting[Row ID])),0),"")</f>
        <v/>
      </c>
    </row>
    <row r="1362">
      <c r="A1362" s="10" t="inlineStr">
        <is>
          <t>CON-0356</t>
        </is>
      </c>
      <c r="B1362" s="10" t="inlineStr">
        <is>
          <t>Consulting</t>
        </is>
      </c>
      <c r="C1362" s="10">
        <f>IF($BI1362="","",IF($B1362="Onsite",INDEX(tbl_Onsite[Job Number],$BI1362),IF($B1362="Production",INDEX(tbl_Production[Job Number],$BI1362),INDEX(tbl_Consulting[Job Number],$BI1362)))&amp;"")</f>
        <v/>
      </c>
      <c r="D1362" s="10">
        <f>IF($BI1362="","",IF($B1362="Onsite",INDEX(tbl_Onsite[Client],$BI1362),IF($B1362="Production",INDEX(tbl_Production[Client],$BI1362),INDEX(tbl_Consulting[Client],$BI1362)))&amp;"")</f>
        <v/>
      </c>
      <c r="E1362" s="10">
        <f>IF($C1362="","",IF(COUNTIF(lst_Jobs,$C1362)&gt;0,"OK","CHECK"))</f>
        <v/>
      </c>
      <c r="F1362" s="10">
        <f>IF($C1362="","",IFERROR(INDEX(lst_JobName,MATCH($C1362,lst_Jobs,0)),""))</f>
        <v/>
      </c>
      <c r="G1362" s="10">
        <f>IF($BI1362="","",IF($B1362="Onsite",INDEX(tbl_Onsite[Job Description],$BI1362),IF($B1362="Production",INDEX(tbl_Production[Job Description],$BI1362),INDEX(tbl_Consulting[Job Description],$BI1362)))&amp;"")</f>
        <v/>
      </c>
      <c r="H1362" s="10">
        <f>IF($BI1362="","",IF($B1362="Onsite",INDEX(tbl_Onsite[Cost Centre],$BI1362),IF($B1362="Production",INDEX(tbl_Production[Cost Centre],$BI1362),INDEX(tbl_Consulting[Cost Centre],$BI1362)))&amp;"")</f>
        <v/>
      </c>
      <c r="I1362" s="10">
        <f>IF($BI1362="","",IF($B1362="Onsite",INDEX(tbl_Onsite[Invoice Type],$BI1362),IF($B1362="Production",INDEX(tbl_Production[Invoice Type],$BI1362),INDEX(tbl_Consulting[Invoice Type],$BI1362)))&amp;"")</f>
        <v/>
      </c>
      <c r="J1362" s="10">
        <f>IF($BI1362="","",IF($B1362="Onsite",INDEX(tbl_Onsite[Tax Code],$BI1362),IF($B1362="Production",INDEX(tbl_Production[Tax Code],$BI1362),INDEX(tbl_Consulting[Tax Code],$BI1362)))&amp;"")</f>
        <v/>
      </c>
      <c r="K1362" s="10">
        <f>IF(H1362="","",IFERROR(INDEX(lst_CCtoGL,MATCH(H1362,lst_CCforGL,0)),""))</f>
        <v/>
      </c>
      <c r="L1362" s="10">
        <f>IF($BI1362="","",IF($B1362="Onsite",INDEX(tbl_Onsite[PO / Reference],$BI1362),IF($B1362="Production",INDEX(tbl_Production[Current RMS No],$BI1362),INDEX(tbl_Consulting[Qwilr Quote],$BI1362)))&amp;"")</f>
        <v/>
      </c>
      <c r="M1362" s="10">
        <f>IF($BI1362="","",IF($B1362="Onsite",INDEX(tbl_Onsite[Notes],$BI1362),IF($B1362="Production",INDEX(tbl_Production[Notes],$BI1362),INDEX(tbl_Consulting[Notes],$BI1362)))&amp;"")</f>
        <v/>
      </c>
      <c r="N1362" s="11">
        <f>IF($BI1362="","",IF(IF($B1362="Onsite",INDEX(tbl_Onsite[Expected Revenue Ex GST],$BI1362),IF($B1362="Production",INDEX(tbl_Production[Expected Revenue Ex GST],$BI1362),INDEX(tbl_Consulting[Expected Revenue Ex GST],$BI1362)))="","",IF($B1362="Onsite",INDEX(tbl_Onsite[Expected Revenue Ex GST],$BI1362),IF($B1362="Production",INDEX(tbl_Production[Expected Revenue Ex GST],$BI1362),INDEX(tbl_Consulting[Expected Revenue Ex GST],$BI1362)))))</f>
        <v/>
      </c>
      <c r="O1362" s="11">
        <f>IF(AND($C1362="",NOT(COUNTA($S1362:$BB1362)&gt;0)),"",SUM(U1362,X1362,AA1362,AD1362,AG1362,AJ1362,AM1362,AP1362,AS1362,AV1362,AY1362,BB1362))</f>
        <v/>
      </c>
      <c r="P1362" s="11">
        <f>IF(O1362="","",N(N1362)-O1362)</f>
        <v/>
      </c>
      <c r="Q1362" s="10">
        <f>IF(O1362="","",IF($C1362="","Invoice on empty job row",IF(N1362="",IF(ROUND(O1362,2)=0,"No dept value","Invoiced - no dept value"),IF(ROUND(O1362,2)=0,"Not invoiced - to invoice",IF(ROUND(P1362,2)=0,"Agrees",IF(P1362&gt;0,"Dept higher - to invoice","Xero higher - check dept"))))))</f>
        <v/>
      </c>
      <c r="R1362" s="10">
        <f>IF(AND($C1362="",NOT(COUNTA($S1362:$BB1362)&gt;0),$BI1362&lt;&gt;""),"",MID(IF($BI1362="","; Row ID not found on the department sheet - a row was deleted","")&amp;IF(AND($C1362="",COUNTA($S1362:$BB1362)&gt;0),"; Invoice entered but the department row has no job number","")&amp;IF(E1362="CHECK","; Job number not in the Xero job list","")&amp;IF(AND($C1362&lt;&gt;"",COUNTIF($C$7:$C$1506,$C1362)&gt;1),"; Job number on more than one row","")&amp;IF(AND($C1362&lt;&gt;"",H1362=""),"; Dept has not set a cost centre","")&amp;IF(AND($C1362&lt;&gt;"",J1362=""),"; Dept has not set a tax code","")&amp;IF(AND($C1362&lt;&gt;"",N1362=""),"; Dept has not entered an expected value","")&amp;IF((IF(OR(COUNTA(S1362:U1362)=0,AND(COUNTA(S1362:U1362)=3,ISNUMBER(U1362))),0,1)+IF(OR(COUNTA(V1362:X1362)=0,AND(COUNTA(V1362:X1362)=3,ISNUMBER(X1362))),0,1)+IF(OR(COUNTA(Y1362:AA1362)=0,AND(COUNTA(Y1362:AA1362)=3,ISNUMBER(AA1362))),0,1)+IF(OR(COUNTA(AB1362:AD1362)=0,AND(COUNTA(AB1362:AD1362)=3,ISNUMBER(AD1362))),0,1)+IF(OR(COUNTA(AE1362:AG1362)=0,AND(COUNTA(AE1362:AG1362)=3,ISNUMBER(AG1362))),0,1)+IF(OR(COUNTA(AH1362:AJ1362)=0,AND(COUNTA(AH1362:AJ1362)=3,ISNUMBER(AJ1362))),0,1)+IF(OR(COUNTA(AK1362:AM1362)=0,AND(COUNTA(AK1362:AM1362)=3,ISNUMBER(AM1362))),0,1)+IF(OR(COUNTA(AN1362:AP1362)=0,AND(COUNTA(AN1362:AP1362)=3,ISNUMBER(AP1362))),0,1)+IF(OR(COUNTA(AQ1362:AS1362)=0,AND(COUNTA(AQ1362:AS1362)=3,ISNUMBER(AS1362))),0,1)+IF(OR(COUNTA(AT1362:AV1362)=0,AND(COUNTA(AT1362:AV1362)=3,ISNUMBER(AV1362))),0,1)+IF(OR(COUNTA(AW1362:AY1362)=0,AND(COUNTA(AW1362:AY1362)=3,ISNUMBER(AY1362))),0,1)+IF(OR(COUNTA(AZ1362:BB1362)=0,AND(COUNTA(AZ1362:BB1362)=3,ISNUMBER(BB1362))),0,1))&gt;0,"; An invoice is incomplete (needs No, Date and a number in Ex GST)","")&amp;IF((IF(T1362="",0,IFERROR(--(EOMONTH(T1362,0)&lt;&gt;S$5),1))+IF(W1362="",0,IFERROR(--(EOMONTH(W1362,0)&lt;&gt;V$5),1))+IF(Z1362="",0,IFERROR(--(EOMONTH(Z1362,0)&lt;&gt;Y$5),1))+IF(AC1362="",0,IFERROR(--(EOMONTH(AC1362,0)&lt;&gt;AB$5),1))+IF(AF1362="",0,IFERROR(--(EOMONTH(AF1362,0)&lt;&gt;AE$5),1))+IF(AI1362="",0,IFERROR(--(EOMONTH(AI1362,0)&lt;&gt;AH$5),1))+IF(AL1362="",0,IFERROR(--(EOMONTH(AL1362,0)&lt;&gt;AK$5),1))+IF(AO1362="",0,IFERROR(--(EOMONTH(AO1362,0)&lt;&gt;AN$5),1))+IF(AR1362="",0,IFERROR(--(EOMONTH(AR1362,0)&lt;&gt;AQ$5),1))+IF(AU1362="",0,IFERROR(--(EOMONTH(AU1362,0)&lt;&gt;AT$5),1))+IF(AX1362="",0,IFERROR(--(EOMONTH(AX1362,0)&lt;&gt;AW$5),1))+IF(BA1362="",0,IFERROR(--(EOMONTH(BA1362,0)&lt;&gt;AZ$5),1)))&gt;0,"; An invoice date is not in the month it is typed under",""),3,500))</f>
        <v/>
      </c>
      <c r="S1362" s="12" t="n"/>
      <c r="T1362" s="13" t="n"/>
      <c r="U1362" s="14" t="n"/>
      <c r="V1362" s="12" t="n"/>
      <c r="W1362" s="13" t="n"/>
      <c r="X1362" s="14" t="n"/>
      <c r="Y1362" s="12" t="n"/>
      <c r="Z1362" s="13" t="n"/>
      <c r="AA1362" s="14" t="n"/>
      <c r="AB1362" s="12" t="n"/>
      <c r="AC1362" s="13" t="n"/>
      <c r="AD1362" s="14" t="n"/>
      <c r="AE1362" s="12" t="n"/>
      <c r="AF1362" s="13" t="n"/>
      <c r="AG1362" s="14" t="n"/>
      <c r="AH1362" s="12" t="n"/>
      <c r="AI1362" s="13" t="n"/>
      <c r="AJ1362" s="14" t="n"/>
      <c r="AK1362" s="12" t="n"/>
      <c r="AL1362" s="13" t="n"/>
      <c r="AM1362" s="14" t="n"/>
      <c r="AN1362" s="12" t="n"/>
      <c r="AO1362" s="13" t="n"/>
      <c r="AP1362" s="14" t="n"/>
      <c r="AQ1362" s="12" t="n"/>
      <c r="AR1362" s="13" t="n"/>
      <c r="AS1362" s="14" t="n"/>
      <c r="AT1362" s="12" t="n"/>
      <c r="AU1362" s="13" t="n"/>
      <c r="AV1362" s="14" t="n"/>
      <c r="AW1362" s="12" t="n"/>
      <c r="AX1362" s="13" t="n"/>
      <c r="AY1362" s="14" t="n"/>
      <c r="AZ1362" s="12" t="n"/>
      <c r="BA1362" s="13" t="n"/>
      <c r="BB1362" s="14" t="n"/>
      <c r="BC1362" s="11">
        <f>IF(O1362="","",IF(J1362="GST 10%",ROUND(O1362*set_GSTRate,2),0))</f>
        <v/>
      </c>
      <c r="BD1362" s="11">
        <f>IF(O1362="","",O1362+BC1362)</f>
        <v/>
      </c>
      <c r="BE1362" s="15">
        <f>IF(O1362="","",COUNTA(S1362,V1362,Y1362,AB1362,AE1362,AH1362,AK1362,AN1362,AQ1362,AT1362,AW1362,AZ1362))</f>
        <v/>
      </c>
      <c r="BF1362" s="16">
        <f>IF(COUNT(T1362,W1362,Z1362,AC1362,AF1362,AI1362,AL1362,AO1362,AR1362,AU1362,AX1362,BA1362)=0,"",MAX(T1362,W1362,Z1362,AC1362,AF1362,AI1362,AL1362,AO1362,AR1362,AU1362,AX1362,BA1362))</f>
        <v/>
      </c>
      <c r="BG1362" s="10">
        <f>MID(IF(S1362="","",", "&amp;S1362)&amp;IF(V1362="","",", "&amp;V1362)&amp;IF(Y1362="","",", "&amp;Y1362)&amp;IF(AB1362="","",", "&amp;AB1362)&amp;IF(AE1362="","",", "&amp;AE1362)&amp;IF(AH1362="","",", "&amp;AH1362)&amp;IF(AK1362="","",", "&amp;AK1362)&amp;IF(AN1362="","",", "&amp;AN1362)&amp;IF(AQ1362="","",", "&amp;AQ1362)&amp;IF(AT1362="","",", "&amp;AT1362)&amp;IF(AW1362="","",", "&amp;AW1362)&amp;IF(AZ1362="","",", "&amp;AZ1362),3,500)</f>
        <v/>
      </c>
      <c r="BH1362" s="12" t="n"/>
      <c r="BI1362" s="15">
        <f>IFERROR(MATCH($A1362,IF($B1362="Onsite",tbl_Onsite[Row ID],IF($B1362="Production",tbl_Production[Row ID],tbl_Consulting[Row ID])),0),"")</f>
        <v/>
      </c>
    </row>
    <row r="1363">
      <c r="A1363" s="10" t="inlineStr">
        <is>
          <t>CON-0357</t>
        </is>
      </c>
      <c r="B1363" s="10" t="inlineStr">
        <is>
          <t>Consulting</t>
        </is>
      </c>
      <c r="C1363" s="10">
        <f>IF($BI1363="","",IF($B1363="Onsite",INDEX(tbl_Onsite[Job Number],$BI1363),IF($B1363="Production",INDEX(tbl_Production[Job Number],$BI1363),INDEX(tbl_Consulting[Job Number],$BI1363)))&amp;"")</f>
        <v/>
      </c>
      <c r="D1363" s="10">
        <f>IF($BI1363="","",IF($B1363="Onsite",INDEX(tbl_Onsite[Client],$BI1363),IF($B1363="Production",INDEX(tbl_Production[Client],$BI1363),INDEX(tbl_Consulting[Client],$BI1363)))&amp;"")</f>
        <v/>
      </c>
      <c r="E1363" s="10">
        <f>IF($C1363="","",IF(COUNTIF(lst_Jobs,$C1363)&gt;0,"OK","CHECK"))</f>
        <v/>
      </c>
      <c r="F1363" s="10">
        <f>IF($C1363="","",IFERROR(INDEX(lst_JobName,MATCH($C1363,lst_Jobs,0)),""))</f>
        <v/>
      </c>
      <c r="G1363" s="10">
        <f>IF($BI1363="","",IF($B1363="Onsite",INDEX(tbl_Onsite[Job Description],$BI1363),IF($B1363="Production",INDEX(tbl_Production[Job Description],$BI1363),INDEX(tbl_Consulting[Job Description],$BI1363)))&amp;"")</f>
        <v/>
      </c>
      <c r="H1363" s="10">
        <f>IF($BI1363="","",IF($B1363="Onsite",INDEX(tbl_Onsite[Cost Centre],$BI1363),IF($B1363="Production",INDEX(tbl_Production[Cost Centre],$BI1363),INDEX(tbl_Consulting[Cost Centre],$BI1363)))&amp;"")</f>
        <v/>
      </c>
      <c r="I1363" s="10">
        <f>IF($BI1363="","",IF($B1363="Onsite",INDEX(tbl_Onsite[Invoice Type],$BI1363),IF($B1363="Production",INDEX(tbl_Production[Invoice Type],$BI1363),INDEX(tbl_Consulting[Invoice Type],$BI1363)))&amp;"")</f>
        <v/>
      </c>
      <c r="J1363" s="10">
        <f>IF($BI1363="","",IF($B1363="Onsite",INDEX(tbl_Onsite[Tax Code],$BI1363),IF($B1363="Production",INDEX(tbl_Production[Tax Code],$BI1363),INDEX(tbl_Consulting[Tax Code],$BI1363)))&amp;"")</f>
        <v/>
      </c>
      <c r="K1363" s="10">
        <f>IF(H1363="","",IFERROR(INDEX(lst_CCtoGL,MATCH(H1363,lst_CCforGL,0)),""))</f>
        <v/>
      </c>
      <c r="L1363" s="10">
        <f>IF($BI1363="","",IF($B1363="Onsite",INDEX(tbl_Onsite[PO / Reference],$BI1363),IF($B1363="Production",INDEX(tbl_Production[Current RMS No],$BI1363),INDEX(tbl_Consulting[Qwilr Quote],$BI1363)))&amp;"")</f>
        <v/>
      </c>
      <c r="M1363" s="10">
        <f>IF($BI1363="","",IF($B1363="Onsite",INDEX(tbl_Onsite[Notes],$BI1363),IF($B1363="Production",INDEX(tbl_Production[Notes],$BI1363),INDEX(tbl_Consulting[Notes],$BI1363)))&amp;"")</f>
        <v/>
      </c>
      <c r="N1363" s="11">
        <f>IF($BI1363="","",IF(IF($B1363="Onsite",INDEX(tbl_Onsite[Expected Revenue Ex GST],$BI1363),IF($B1363="Production",INDEX(tbl_Production[Expected Revenue Ex GST],$BI1363),INDEX(tbl_Consulting[Expected Revenue Ex GST],$BI1363)))="","",IF($B1363="Onsite",INDEX(tbl_Onsite[Expected Revenue Ex GST],$BI1363),IF($B1363="Production",INDEX(tbl_Production[Expected Revenue Ex GST],$BI1363),INDEX(tbl_Consulting[Expected Revenue Ex GST],$BI1363)))))</f>
        <v/>
      </c>
      <c r="O1363" s="11">
        <f>IF(AND($C1363="",NOT(COUNTA($S1363:$BB1363)&gt;0)),"",SUM(U1363,X1363,AA1363,AD1363,AG1363,AJ1363,AM1363,AP1363,AS1363,AV1363,AY1363,BB1363))</f>
        <v/>
      </c>
      <c r="P1363" s="11">
        <f>IF(O1363="","",N(N1363)-O1363)</f>
        <v/>
      </c>
      <c r="Q1363" s="10">
        <f>IF(O1363="","",IF($C1363="","Invoice on empty job row",IF(N1363="",IF(ROUND(O1363,2)=0,"No dept value","Invoiced - no dept value"),IF(ROUND(O1363,2)=0,"Not invoiced - to invoice",IF(ROUND(P1363,2)=0,"Agrees",IF(P1363&gt;0,"Dept higher - to invoice","Xero higher - check dept"))))))</f>
        <v/>
      </c>
      <c r="R1363" s="10">
        <f>IF(AND($C1363="",NOT(COUNTA($S1363:$BB1363)&gt;0),$BI1363&lt;&gt;""),"",MID(IF($BI1363="","; Row ID not found on the department sheet - a row was deleted","")&amp;IF(AND($C1363="",COUNTA($S1363:$BB1363)&gt;0),"; Invoice entered but the department row has no job number","")&amp;IF(E1363="CHECK","; Job number not in the Xero job list","")&amp;IF(AND($C1363&lt;&gt;"",COUNTIF($C$7:$C$1506,$C1363)&gt;1),"; Job number on more than one row","")&amp;IF(AND($C1363&lt;&gt;"",H1363=""),"; Dept has not set a cost centre","")&amp;IF(AND($C1363&lt;&gt;"",J1363=""),"; Dept has not set a tax code","")&amp;IF(AND($C1363&lt;&gt;"",N1363=""),"; Dept has not entered an expected value","")&amp;IF((IF(OR(COUNTA(S1363:U1363)=0,AND(COUNTA(S1363:U1363)=3,ISNUMBER(U1363))),0,1)+IF(OR(COUNTA(V1363:X1363)=0,AND(COUNTA(V1363:X1363)=3,ISNUMBER(X1363))),0,1)+IF(OR(COUNTA(Y1363:AA1363)=0,AND(COUNTA(Y1363:AA1363)=3,ISNUMBER(AA1363))),0,1)+IF(OR(COUNTA(AB1363:AD1363)=0,AND(COUNTA(AB1363:AD1363)=3,ISNUMBER(AD1363))),0,1)+IF(OR(COUNTA(AE1363:AG1363)=0,AND(COUNTA(AE1363:AG1363)=3,ISNUMBER(AG1363))),0,1)+IF(OR(COUNTA(AH1363:AJ1363)=0,AND(COUNTA(AH1363:AJ1363)=3,ISNUMBER(AJ1363))),0,1)+IF(OR(COUNTA(AK1363:AM1363)=0,AND(COUNTA(AK1363:AM1363)=3,ISNUMBER(AM1363))),0,1)+IF(OR(COUNTA(AN1363:AP1363)=0,AND(COUNTA(AN1363:AP1363)=3,ISNUMBER(AP1363))),0,1)+IF(OR(COUNTA(AQ1363:AS1363)=0,AND(COUNTA(AQ1363:AS1363)=3,ISNUMBER(AS1363))),0,1)+IF(OR(COUNTA(AT1363:AV1363)=0,AND(COUNTA(AT1363:AV1363)=3,ISNUMBER(AV1363))),0,1)+IF(OR(COUNTA(AW1363:AY1363)=0,AND(COUNTA(AW1363:AY1363)=3,ISNUMBER(AY1363))),0,1)+IF(OR(COUNTA(AZ1363:BB1363)=0,AND(COUNTA(AZ1363:BB1363)=3,ISNUMBER(BB1363))),0,1))&gt;0,"; An invoice is incomplete (needs No, Date and a number in Ex GST)","")&amp;IF((IF(T1363="",0,IFERROR(--(EOMONTH(T1363,0)&lt;&gt;S$5),1))+IF(W1363="",0,IFERROR(--(EOMONTH(W1363,0)&lt;&gt;V$5),1))+IF(Z1363="",0,IFERROR(--(EOMONTH(Z1363,0)&lt;&gt;Y$5),1))+IF(AC1363="",0,IFERROR(--(EOMONTH(AC1363,0)&lt;&gt;AB$5),1))+IF(AF1363="",0,IFERROR(--(EOMONTH(AF1363,0)&lt;&gt;AE$5),1))+IF(AI1363="",0,IFERROR(--(EOMONTH(AI1363,0)&lt;&gt;AH$5),1))+IF(AL1363="",0,IFERROR(--(EOMONTH(AL1363,0)&lt;&gt;AK$5),1))+IF(AO1363="",0,IFERROR(--(EOMONTH(AO1363,0)&lt;&gt;AN$5),1))+IF(AR1363="",0,IFERROR(--(EOMONTH(AR1363,0)&lt;&gt;AQ$5),1))+IF(AU1363="",0,IFERROR(--(EOMONTH(AU1363,0)&lt;&gt;AT$5),1))+IF(AX1363="",0,IFERROR(--(EOMONTH(AX1363,0)&lt;&gt;AW$5),1))+IF(BA1363="",0,IFERROR(--(EOMONTH(BA1363,0)&lt;&gt;AZ$5),1)))&gt;0,"; An invoice date is not in the month it is typed under",""),3,500))</f>
        <v/>
      </c>
      <c r="S1363" s="12" t="n"/>
      <c r="T1363" s="13" t="n"/>
      <c r="U1363" s="14" t="n"/>
      <c r="V1363" s="12" t="n"/>
      <c r="W1363" s="13" t="n"/>
      <c r="X1363" s="14" t="n"/>
      <c r="Y1363" s="12" t="n"/>
      <c r="Z1363" s="13" t="n"/>
      <c r="AA1363" s="14" t="n"/>
      <c r="AB1363" s="12" t="n"/>
      <c r="AC1363" s="13" t="n"/>
      <c r="AD1363" s="14" t="n"/>
      <c r="AE1363" s="12" t="n"/>
      <c r="AF1363" s="13" t="n"/>
      <c r="AG1363" s="14" t="n"/>
      <c r="AH1363" s="12" t="n"/>
      <c r="AI1363" s="13" t="n"/>
      <c r="AJ1363" s="14" t="n"/>
      <c r="AK1363" s="12" t="n"/>
      <c r="AL1363" s="13" t="n"/>
      <c r="AM1363" s="14" t="n"/>
      <c r="AN1363" s="12" t="n"/>
      <c r="AO1363" s="13" t="n"/>
      <c r="AP1363" s="14" t="n"/>
      <c r="AQ1363" s="12" t="n"/>
      <c r="AR1363" s="13" t="n"/>
      <c r="AS1363" s="14" t="n"/>
      <c r="AT1363" s="12" t="n"/>
      <c r="AU1363" s="13" t="n"/>
      <c r="AV1363" s="14" t="n"/>
      <c r="AW1363" s="12" t="n"/>
      <c r="AX1363" s="13" t="n"/>
      <c r="AY1363" s="14" t="n"/>
      <c r="AZ1363" s="12" t="n"/>
      <c r="BA1363" s="13" t="n"/>
      <c r="BB1363" s="14" t="n"/>
      <c r="BC1363" s="11">
        <f>IF(O1363="","",IF(J1363="GST 10%",ROUND(O1363*set_GSTRate,2),0))</f>
        <v/>
      </c>
      <c r="BD1363" s="11">
        <f>IF(O1363="","",O1363+BC1363)</f>
        <v/>
      </c>
      <c r="BE1363" s="15">
        <f>IF(O1363="","",COUNTA(S1363,V1363,Y1363,AB1363,AE1363,AH1363,AK1363,AN1363,AQ1363,AT1363,AW1363,AZ1363))</f>
        <v/>
      </c>
      <c r="BF1363" s="16">
        <f>IF(COUNT(T1363,W1363,Z1363,AC1363,AF1363,AI1363,AL1363,AO1363,AR1363,AU1363,AX1363,BA1363)=0,"",MAX(T1363,W1363,Z1363,AC1363,AF1363,AI1363,AL1363,AO1363,AR1363,AU1363,AX1363,BA1363))</f>
        <v/>
      </c>
      <c r="BG1363" s="10">
        <f>MID(IF(S1363="","",", "&amp;S1363)&amp;IF(V1363="","",", "&amp;V1363)&amp;IF(Y1363="","",", "&amp;Y1363)&amp;IF(AB1363="","",", "&amp;AB1363)&amp;IF(AE1363="","",", "&amp;AE1363)&amp;IF(AH1363="","",", "&amp;AH1363)&amp;IF(AK1363="","",", "&amp;AK1363)&amp;IF(AN1363="","",", "&amp;AN1363)&amp;IF(AQ1363="","",", "&amp;AQ1363)&amp;IF(AT1363="","",", "&amp;AT1363)&amp;IF(AW1363="","",", "&amp;AW1363)&amp;IF(AZ1363="","",", "&amp;AZ1363),3,500)</f>
        <v/>
      </c>
      <c r="BH1363" s="12" t="n"/>
      <c r="BI1363" s="15">
        <f>IFERROR(MATCH($A1363,IF($B1363="Onsite",tbl_Onsite[Row ID],IF($B1363="Production",tbl_Production[Row ID],tbl_Consulting[Row ID])),0),"")</f>
        <v/>
      </c>
    </row>
    <row r="1364">
      <c r="A1364" s="10" t="inlineStr">
        <is>
          <t>CON-0358</t>
        </is>
      </c>
      <c r="B1364" s="10" t="inlineStr">
        <is>
          <t>Consulting</t>
        </is>
      </c>
      <c r="C1364" s="10">
        <f>IF($BI1364="","",IF($B1364="Onsite",INDEX(tbl_Onsite[Job Number],$BI1364),IF($B1364="Production",INDEX(tbl_Production[Job Number],$BI1364),INDEX(tbl_Consulting[Job Number],$BI1364)))&amp;"")</f>
        <v/>
      </c>
      <c r="D1364" s="10">
        <f>IF($BI1364="","",IF($B1364="Onsite",INDEX(tbl_Onsite[Client],$BI1364),IF($B1364="Production",INDEX(tbl_Production[Client],$BI1364),INDEX(tbl_Consulting[Client],$BI1364)))&amp;"")</f>
        <v/>
      </c>
      <c r="E1364" s="10">
        <f>IF($C1364="","",IF(COUNTIF(lst_Jobs,$C1364)&gt;0,"OK","CHECK"))</f>
        <v/>
      </c>
      <c r="F1364" s="10">
        <f>IF($C1364="","",IFERROR(INDEX(lst_JobName,MATCH($C1364,lst_Jobs,0)),""))</f>
        <v/>
      </c>
      <c r="G1364" s="10">
        <f>IF($BI1364="","",IF($B1364="Onsite",INDEX(tbl_Onsite[Job Description],$BI1364),IF($B1364="Production",INDEX(tbl_Production[Job Description],$BI1364),INDEX(tbl_Consulting[Job Description],$BI1364)))&amp;"")</f>
        <v/>
      </c>
      <c r="H1364" s="10">
        <f>IF($BI1364="","",IF($B1364="Onsite",INDEX(tbl_Onsite[Cost Centre],$BI1364),IF($B1364="Production",INDEX(tbl_Production[Cost Centre],$BI1364),INDEX(tbl_Consulting[Cost Centre],$BI1364)))&amp;"")</f>
        <v/>
      </c>
      <c r="I1364" s="10">
        <f>IF($BI1364="","",IF($B1364="Onsite",INDEX(tbl_Onsite[Invoice Type],$BI1364),IF($B1364="Production",INDEX(tbl_Production[Invoice Type],$BI1364),INDEX(tbl_Consulting[Invoice Type],$BI1364)))&amp;"")</f>
        <v/>
      </c>
      <c r="J1364" s="10">
        <f>IF($BI1364="","",IF($B1364="Onsite",INDEX(tbl_Onsite[Tax Code],$BI1364),IF($B1364="Production",INDEX(tbl_Production[Tax Code],$BI1364),INDEX(tbl_Consulting[Tax Code],$BI1364)))&amp;"")</f>
        <v/>
      </c>
      <c r="K1364" s="10">
        <f>IF(H1364="","",IFERROR(INDEX(lst_CCtoGL,MATCH(H1364,lst_CCforGL,0)),""))</f>
        <v/>
      </c>
      <c r="L1364" s="10">
        <f>IF($BI1364="","",IF($B1364="Onsite",INDEX(tbl_Onsite[PO / Reference],$BI1364),IF($B1364="Production",INDEX(tbl_Production[Current RMS No],$BI1364),INDEX(tbl_Consulting[Qwilr Quote],$BI1364)))&amp;"")</f>
        <v/>
      </c>
      <c r="M1364" s="10">
        <f>IF($BI1364="","",IF($B1364="Onsite",INDEX(tbl_Onsite[Notes],$BI1364),IF($B1364="Production",INDEX(tbl_Production[Notes],$BI1364),INDEX(tbl_Consulting[Notes],$BI1364)))&amp;"")</f>
        <v/>
      </c>
      <c r="N1364" s="11">
        <f>IF($BI1364="","",IF(IF($B1364="Onsite",INDEX(tbl_Onsite[Expected Revenue Ex GST],$BI1364),IF($B1364="Production",INDEX(tbl_Production[Expected Revenue Ex GST],$BI1364),INDEX(tbl_Consulting[Expected Revenue Ex GST],$BI1364)))="","",IF($B1364="Onsite",INDEX(tbl_Onsite[Expected Revenue Ex GST],$BI1364),IF($B1364="Production",INDEX(tbl_Production[Expected Revenue Ex GST],$BI1364),INDEX(tbl_Consulting[Expected Revenue Ex GST],$BI1364)))))</f>
        <v/>
      </c>
      <c r="O1364" s="11">
        <f>IF(AND($C1364="",NOT(COUNTA($S1364:$BB1364)&gt;0)),"",SUM(U1364,X1364,AA1364,AD1364,AG1364,AJ1364,AM1364,AP1364,AS1364,AV1364,AY1364,BB1364))</f>
        <v/>
      </c>
      <c r="P1364" s="11">
        <f>IF(O1364="","",N(N1364)-O1364)</f>
        <v/>
      </c>
      <c r="Q1364" s="10">
        <f>IF(O1364="","",IF($C1364="","Invoice on empty job row",IF(N1364="",IF(ROUND(O1364,2)=0,"No dept value","Invoiced - no dept value"),IF(ROUND(O1364,2)=0,"Not invoiced - to invoice",IF(ROUND(P1364,2)=0,"Agrees",IF(P1364&gt;0,"Dept higher - to invoice","Xero higher - check dept"))))))</f>
        <v/>
      </c>
      <c r="R1364" s="10">
        <f>IF(AND($C1364="",NOT(COUNTA($S1364:$BB1364)&gt;0),$BI1364&lt;&gt;""),"",MID(IF($BI1364="","; Row ID not found on the department sheet - a row was deleted","")&amp;IF(AND($C1364="",COUNTA($S1364:$BB1364)&gt;0),"; Invoice entered but the department row has no job number","")&amp;IF(E1364="CHECK","; Job number not in the Xero job list","")&amp;IF(AND($C1364&lt;&gt;"",COUNTIF($C$7:$C$1506,$C1364)&gt;1),"; Job number on more than one row","")&amp;IF(AND($C1364&lt;&gt;"",H1364=""),"; Dept has not set a cost centre","")&amp;IF(AND($C1364&lt;&gt;"",J1364=""),"; Dept has not set a tax code","")&amp;IF(AND($C1364&lt;&gt;"",N1364=""),"; Dept has not entered an expected value","")&amp;IF((IF(OR(COUNTA(S1364:U1364)=0,AND(COUNTA(S1364:U1364)=3,ISNUMBER(U1364))),0,1)+IF(OR(COUNTA(V1364:X1364)=0,AND(COUNTA(V1364:X1364)=3,ISNUMBER(X1364))),0,1)+IF(OR(COUNTA(Y1364:AA1364)=0,AND(COUNTA(Y1364:AA1364)=3,ISNUMBER(AA1364))),0,1)+IF(OR(COUNTA(AB1364:AD1364)=0,AND(COUNTA(AB1364:AD1364)=3,ISNUMBER(AD1364))),0,1)+IF(OR(COUNTA(AE1364:AG1364)=0,AND(COUNTA(AE1364:AG1364)=3,ISNUMBER(AG1364))),0,1)+IF(OR(COUNTA(AH1364:AJ1364)=0,AND(COUNTA(AH1364:AJ1364)=3,ISNUMBER(AJ1364))),0,1)+IF(OR(COUNTA(AK1364:AM1364)=0,AND(COUNTA(AK1364:AM1364)=3,ISNUMBER(AM1364))),0,1)+IF(OR(COUNTA(AN1364:AP1364)=0,AND(COUNTA(AN1364:AP1364)=3,ISNUMBER(AP1364))),0,1)+IF(OR(COUNTA(AQ1364:AS1364)=0,AND(COUNTA(AQ1364:AS1364)=3,ISNUMBER(AS1364))),0,1)+IF(OR(COUNTA(AT1364:AV1364)=0,AND(COUNTA(AT1364:AV1364)=3,ISNUMBER(AV1364))),0,1)+IF(OR(COUNTA(AW1364:AY1364)=0,AND(COUNTA(AW1364:AY1364)=3,ISNUMBER(AY1364))),0,1)+IF(OR(COUNTA(AZ1364:BB1364)=0,AND(COUNTA(AZ1364:BB1364)=3,ISNUMBER(BB1364))),0,1))&gt;0,"; An invoice is incomplete (needs No, Date and a number in Ex GST)","")&amp;IF((IF(T1364="",0,IFERROR(--(EOMONTH(T1364,0)&lt;&gt;S$5),1))+IF(W1364="",0,IFERROR(--(EOMONTH(W1364,0)&lt;&gt;V$5),1))+IF(Z1364="",0,IFERROR(--(EOMONTH(Z1364,0)&lt;&gt;Y$5),1))+IF(AC1364="",0,IFERROR(--(EOMONTH(AC1364,0)&lt;&gt;AB$5),1))+IF(AF1364="",0,IFERROR(--(EOMONTH(AF1364,0)&lt;&gt;AE$5),1))+IF(AI1364="",0,IFERROR(--(EOMONTH(AI1364,0)&lt;&gt;AH$5),1))+IF(AL1364="",0,IFERROR(--(EOMONTH(AL1364,0)&lt;&gt;AK$5),1))+IF(AO1364="",0,IFERROR(--(EOMONTH(AO1364,0)&lt;&gt;AN$5),1))+IF(AR1364="",0,IFERROR(--(EOMONTH(AR1364,0)&lt;&gt;AQ$5),1))+IF(AU1364="",0,IFERROR(--(EOMONTH(AU1364,0)&lt;&gt;AT$5),1))+IF(AX1364="",0,IFERROR(--(EOMONTH(AX1364,0)&lt;&gt;AW$5),1))+IF(BA1364="",0,IFERROR(--(EOMONTH(BA1364,0)&lt;&gt;AZ$5),1)))&gt;0,"; An invoice date is not in the month it is typed under",""),3,500))</f>
        <v/>
      </c>
      <c r="S1364" s="12" t="n"/>
      <c r="T1364" s="13" t="n"/>
      <c r="U1364" s="14" t="n"/>
      <c r="V1364" s="12" t="n"/>
      <c r="W1364" s="13" t="n"/>
      <c r="X1364" s="14" t="n"/>
      <c r="Y1364" s="12" t="n"/>
      <c r="Z1364" s="13" t="n"/>
      <c r="AA1364" s="14" t="n"/>
      <c r="AB1364" s="12" t="n"/>
      <c r="AC1364" s="13" t="n"/>
      <c r="AD1364" s="14" t="n"/>
      <c r="AE1364" s="12" t="n"/>
      <c r="AF1364" s="13" t="n"/>
      <c r="AG1364" s="14" t="n"/>
      <c r="AH1364" s="12" t="n"/>
      <c r="AI1364" s="13" t="n"/>
      <c r="AJ1364" s="14" t="n"/>
      <c r="AK1364" s="12" t="n"/>
      <c r="AL1364" s="13" t="n"/>
      <c r="AM1364" s="14" t="n"/>
      <c r="AN1364" s="12" t="n"/>
      <c r="AO1364" s="13" t="n"/>
      <c r="AP1364" s="14" t="n"/>
      <c r="AQ1364" s="12" t="n"/>
      <c r="AR1364" s="13" t="n"/>
      <c r="AS1364" s="14" t="n"/>
      <c r="AT1364" s="12" t="n"/>
      <c r="AU1364" s="13" t="n"/>
      <c r="AV1364" s="14" t="n"/>
      <c r="AW1364" s="12" t="n"/>
      <c r="AX1364" s="13" t="n"/>
      <c r="AY1364" s="14" t="n"/>
      <c r="AZ1364" s="12" t="n"/>
      <c r="BA1364" s="13" t="n"/>
      <c r="BB1364" s="14" t="n"/>
      <c r="BC1364" s="11">
        <f>IF(O1364="","",IF(J1364="GST 10%",ROUND(O1364*set_GSTRate,2),0))</f>
        <v/>
      </c>
      <c r="BD1364" s="11">
        <f>IF(O1364="","",O1364+BC1364)</f>
        <v/>
      </c>
      <c r="BE1364" s="15">
        <f>IF(O1364="","",COUNTA(S1364,V1364,Y1364,AB1364,AE1364,AH1364,AK1364,AN1364,AQ1364,AT1364,AW1364,AZ1364))</f>
        <v/>
      </c>
      <c r="BF1364" s="16">
        <f>IF(COUNT(T1364,W1364,Z1364,AC1364,AF1364,AI1364,AL1364,AO1364,AR1364,AU1364,AX1364,BA1364)=0,"",MAX(T1364,W1364,Z1364,AC1364,AF1364,AI1364,AL1364,AO1364,AR1364,AU1364,AX1364,BA1364))</f>
        <v/>
      </c>
      <c r="BG1364" s="10">
        <f>MID(IF(S1364="","",", "&amp;S1364)&amp;IF(V1364="","",", "&amp;V1364)&amp;IF(Y1364="","",", "&amp;Y1364)&amp;IF(AB1364="","",", "&amp;AB1364)&amp;IF(AE1364="","",", "&amp;AE1364)&amp;IF(AH1364="","",", "&amp;AH1364)&amp;IF(AK1364="","",", "&amp;AK1364)&amp;IF(AN1364="","",", "&amp;AN1364)&amp;IF(AQ1364="","",", "&amp;AQ1364)&amp;IF(AT1364="","",", "&amp;AT1364)&amp;IF(AW1364="","",", "&amp;AW1364)&amp;IF(AZ1364="","",", "&amp;AZ1364),3,500)</f>
        <v/>
      </c>
      <c r="BH1364" s="12" t="n"/>
      <c r="BI1364" s="15">
        <f>IFERROR(MATCH($A1364,IF($B1364="Onsite",tbl_Onsite[Row ID],IF($B1364="Production",tbl_Production[Row ID],tbl_Consulting[Row ID])),0),"")</f>
        <v/>
      </c>
    </row>
    <row r="1365">
      <c r="A1365" s="10" t="inlineStr">
        <is>
          <t>CON-0359</t>
        </is>
      </c>
      <c r="B1365" s="10" t="inlineStr">
        <is>
          <t>Consulting</t>
        </is>
      </c>
      <c r="C1365" s="10">
        <f>IF($BI1365="","",IF($B1365="Onsite",INDEX(tbl_Onsite[Job Number],$BI1365),IF($B1365="Production",INDEX(tbl_Production[Job Number],$BI1365),INDEX(tbl_Consulting[Job Number],$BI1365)))&amp;"")</f>
        <v/>
      </c>
      <c r="D1365" s="10">
        <f>IF($BI1365="","",IF($B1365="Onsite",INDEX(tbl_Onsite[Client],$BI1365),IF($B1365="Production",INDEX(tbl_Production[Client],$BI1365),INDEX(tbl_Consulting[Client],$BI1365)))&amp;"")</f>
        <v/>
      </c>
      <c r="E1365" s="10">
        <f>IF($C1365="","",IF(COUNTIF(lst_Jobs,$C1365)&gt;0,"OK","CHECK"))</f>
        <v/>
      </c>
      <c r="F1365" s="10">
        <f>IF($C1365="","",IFERROR(INDEX(lst_JobName,MATCH($C1365,lst_Jobs,0)),""))</f>
        <v/>
      </c>
      <c r="G1365" s="10">
        <f>IF($BI1365="","",IF($B1365="Onsite",INDEX(tbl_Onsite[Job Description],$BI1365),IF($B1365="Production",INDEX(tbl_Production[Job Description],$BI1365),INDEX(tbl_Consulting[Job Description],$BI1365)))&amp;"")</f>
        <v/>
      </c>
      <c r="H1365" s="10">
        <f>IF($BI1365="","",IF($B1365="Onsite",INDEX(tbl_Onsite[Cost Centre],$BI1365),IF($B1365="Production",INDEX(tbl_Production[Cost Centre],$BI1365),INDEX(tbl_Consulting[Cost Centre],$BI1365)))&amp;"")</f>
        <v/>
      </c>
      <c r="I1365" s="10">
        <f>IF($BI1365="","",IF($B1365="Onsite",INDEX(tbl_Onsite[Invoice Type],$BI1365),IF($B1365="Production",INDEX(tbl_Production[Invoice Type],$BI1365),INDEX(tbl_Consulting[Invoice Type],$BI1365)))&amp;"")</f>
        <v/>
      </c>
      <c r="J1365" s="10">
        <f>IF($BI1365="","",IF($B1365="Onsite",INDEX(tbl_Onsite[Tax Code],$BI1365),IF($B1365="Production",INDEX(tbl_Production[Tax Code],$BI1365),INDEX(tbl_Consulting[Tax Code],$BI1365)))&amp;"")</f>
        <v/>
      </c>
      <c r="K1365" s="10">
        <f>IF(H1365="","",IFERROR(INDEX(lst_CCtoGL,MATCH(H1365,lst_CCforGL,0)),""))</f>
        <v/>
      </c>
      <c r="L1365" s="10">
        <f>IF($BI1365="","",IF($B1365="Onsite",INDEX(tbl_Onsite[PO / Reference],$BI1365),IF($B1365="Production",INDEX(tbl_Production[Current RMS No],$BI1365),INDEX(tbl_Consulting[Qwilr Quote],$BI1365)))&amp;"")</f>
        <v/>
      </c>
      <c r="M1365" s="10">
        <f>IF($BI1365="","",IF($B1365="Onsite",INDEX(tbl_Onsite[Notes],$BI1365),IF($B1365="Production",INDEX(tbl_Production[Notes],$BI1365),INDEX(tbl_Consulting[Notes],$BI1365)))&amp;"")</f>
        <v/>
      </c>
      <c r="N1365" s="11">
        <f>IF($BI1365="","",IF(IF($B1365="Onsite",INDEX(tbl_Onsite[Expected Revenue Ex GST],$BI1365),IF($B1365="Production",INDEX(tbl_Production[Expected Revenue Ex GST],$BI1365),INDEX(tbl_Consulting[Expected Revenue Ex GST],$BI1365)))="","",IF($B1365="Onsite",INDEX(tbl_Onsite[Expected Revenue Ex GST],$BI1365),IF($B1365="Production",INDEX(tbl_Production[Expected Revenue Ex GST],$BI1365),INDEX(tbl_Consulting[Expected Revenue Ex GST],$BI1365)))))</f>
        <v/>
      </c>
      <c r="O1365" s="11">
        <f>IF(AND($C1365="",NOT(COUNTA($S1365:$BB1365)&gt;0)),"",SUM(U1365,X1365,AA1365,AD1365,AG1365,AJ1365,AM1365,AP1365,AS1365,AV1365,AY1365,BB1365))</f>
        <v/>
      </c>
      <c r="P1365" s="11">
        <f>IF(O1365="","",N(N1365)-O1365)</f>
        <v/>
      </c>
      <c r="Q1365" s="10">
        <f>IF(O1365="","",IF($C1365="","Invoice on empty job row",IF(N1365="",IF(ROUND(O1365,2)=0,"No dept value","Invoiced - no dept value"),IF(ROUND(O1365,2)=0,"Not invoiced - to invoice",IF(ROUND(P1365,2)=0,"Agrees",IF(P1365&gt;0,"Dept higher - to invoice","Xero higher - check dept"))))))</f>
        <v/>
      </c>
      <c r="R1365" s="10">
        <f>IF(AND($C1365="",NOT(COUNTA($S1365:$BB1365)&gt;0),$BI1365&lt;&gt;""),"",MID(IF($BI1365="","; Row ID not found on the department sheet - a row was deleted","")&amp;IF(AND($C1365="",COUNTA($S1365:$BB1365)&gt;0),"; Invoice entered but the department row has no job number","")&amp;IF(E1365="CHECK","; Job number not in the Xero job list","")&amp;IF(AND($C1365&lt;&gt;"",COUNTIF($C$7:$C$1506,$C1365)&gt;1),"; Job number on more than one row","")&amp;IF(AND($C1365&lt;&gt;"",H1365=""),"; Dept has not set a cost centre","")&amp;IF(AND($C1365&lt;&gt;"",J1365=""),"; Dept has not set a tax code","")&amp;IF(AND($C1365&lt;&gt;"",N1365=""),"; Dept has not entered an expected value","")&amp;IF((IF(OR(COUNTA(S1365:U1365)=0,AND(COUNTA(S1365:U1365)=3,ISNUMBER(U1365))),0,1)+IF(OR(COUNTA(V1365:X1365)=0,AND(COUNTA(V1365:X1365)=3,ISNUMBER(X1365))),0,1)+IF(OR(COUNTA(Y1365:AA1365)=0,AND(COUNTA(Y1365:AA1365)=3,ISNUMBER(AA1365))),0,1)+IF(OR(COUNTA(AB1365:AD1365)=0,AND(COUNTA(AB1365:AD1365)=3,ISNUMBER(AD1365))),0,1)+IF(OR(COUNTA(AE1365:AG1365)=0,AND(COUNTA(AE1365:AG1365)=3,ISNUMBER(AG1365))),0,1)+IF(OR(COUNTA(AH1365:AJ1365)=0,AND(COUNTA(AH1365:AJ1365)=3,ISNUMBER(AJ1365))),0,1)+IF(OR(COUNTA(AK1365:AM1365)=0,AND(COUNTA(AK1365:AM1365)=3,ISNUMBER(AM1365))),0,1)+IF(OR(COUNTA(AN1365:AP1365)=0,AND(COUNTA(AN1365:AP1365)=3,ISNUMBER(AP1365))),0,1)+IF(OR(COUNTA(AQ1365:AS1365)=0,AND(COUNTA(AQ1365:AS1365)=3,ISNUMBER(AS1365))),0,1)+IF(OR(COUNTA(AT1365:AV1365)=0,AND(COUNTA(AT1365:AV1365)=3,ISNUMBER(AV1365))),0,1)+IF(OR(COUNTA(AW1365:AY1365)=0,AND(COUNTA(AW1365:AY1365)=3,ISNUMBER(AY1365))),0,1)+IF(OR(COUNTA(AZ1365:BB1365)=0,AND(COUNTA(AZ1365:BB1365)=3,ISNUMBER(BB1365))),0,1))&gt;0,"; An invoice is incomplete (needs No, Date and a number in Ex GST)","")&amp;IF((IF(T1365="",0,IFERROR(--(EOMONTH(T1365,0)&lt;&gt;S$5),1))+IF(W1365="",0,IFERROR(--(EOMONTH(W1365,0)&lt;&gt;V$5),1))+IF(Z1365="",0,IFERROR(--(EOMONTH(Z1365,0)&lt;&gt;Y$5),1))+IF(AC1365="",0,IFERROR(--(EOMONTH(AC1365,0)&lt;&gt;AB$5),1))+IF(AF1365="",0,IFERROR(--(EOMONTH(AF1365,0)&lt;&gt;AE$5),1))+IF(AI1365="",0,IFERROR(--(EOMONTH(AI1365,0)&lt;&gt;AH$5),1))+IF(AL1365="",0,IFERROR(--(EOMONTH(AL1365,0)&lt;&gt;AK$5),1))+IF(AO1365="",0,IFERROR(--(EOMONTH(AO1365,0)&lt;&gt;AN$5),1))+IF(AR1365="",0,IFERROR(--(EOMONTH(AR1365,0)&lt;&gt;AQ$5),1))+IF(AU1365="",0,IFERROR(--(EOMONTH(AU1365,0)&lt;&gt;AT$5),1))+IF(AX1365="",0,IFERROR(--(EOMONTH(AX1365,0)&lt;&gt;AW$5),1))+IF(BA1365="",0,IFERROR(--(EOMONTH(BA1365,0)&lt;&gt;AZ$5),1)))&gt;0,"; An invoice date is not in the month it is typed under",""),3,500))</f>
        <v/>
      </c>
      <c r="S1365" s="12" t="n"/>
      <c r="T1365" s="13" t="n"/>
      <c r="U1365" s="14" t="n"/>
      <c r="V1365" s="12" t="n"/>
      <c r="W1365" s="13" t="n"/>
      <c r="X1365" s="14" t="n"/>
      <c r="Y1365" s="12" t="n"/>
      <c r="Z1365" s="13" t="n"/>
      <c r="AA1365" s="14" t="n"/>
      <c r="AB1365" s="12" t="n"/>
      <c r="AC1365" s="13" t="n"/>
      <c r="AD1365" s="14" t="n"/>
      <c r="AE1365" s="12" t="n"/>
      <c r="AF1365" s="13" t="n"/>
      <c r="AG1365" s="14" t="n"/>
      <c r="AH1365" s="12" t="n"/>
      <c r="AI1365" s="13" t="n"/>
      <c r="AJ1365" s="14" t="n"/>
      <c r="AK1365" s="12" t="n"/>
      <c r="AL1365" s="13" t="n"/>
      <c r="AM1365" s="14" t="n"/>
      <c r="AN1365" s="12" t="n"/>
      <c r="AO1365" s="13" t="n"/>
      <c r="AP1365" s="14" t="n"/>
      <c r="AQ1365" s="12" t="n"/>
      <c r="AR1365" s="13" t="n"/>
      <c r="AS1365" s="14" t="n"/>
      <c r="AT1365" s="12" t="n"/>
      <c r="AU1365" s="13" t="n"/>
      <c r="AV1365" s="14" t="n"/>
      <c r="AW1365" s="12" t="n"/>
      <c r="AX1365" s="13" t="n"/>
      <c r="AY1365" s="14" t="n"/>
      <c r="AZ1365" s="12" t="n"/>
      <c r="BA1365" s="13" t="n"/>
      <c r="BB1365" s="14" t="n"/>
      <c r="BC1365" s="11">
        <f>IF(O1365="","",IF(J1365="GST 10%",ROUND(O1365*set_GSTRate,2),0))</f>
        <v/>
      </c>
      <c r="BD1365" s="11">
        <f>IF(O1365="","",O1365+BC1365)</f>
        <v/>
      </c>
      <c r="BE1365" s="15">
        <f>IF(O1365="","",COUNTA(S1365,V1365,Y1365,AB1365,AE1365,AH1365,AK1365,AN1365,AQ1365,AT1365,AW1365,AZ1365))</f>
        <v/>
      </c>
      <c r="BF1365" s="16">
        <f>IF(COUNT(T1365,W1365,Z1365,AC1365,AF1365,AI1365,AL1365,AO1365,AR1365,AU1365,AX1365,BA1365)=0,"",MAX(T1365,W1365,Z1365,AC1365,AF1365,AI1365,AL1365,AO1365,AR1365,AU1365,AX1365,BA1365))</f>
        <v/>
      </c>
      <c r="BG1365" s="10">
        <f>MID(IF(S1365="","",", "&amp;S1365)&amp;IF(V1365="","",", "&amp;V1365)&amp;IF(Y1365="","",", "&amp;Y1365)&amp;IF(AB1365="","",", "&amp;AB1365)&amp;IF(AE1365="","",", "&amp;AE1365)&amp;IF(AH1365="","",", "&amp;AH1365)&amp;IF(AK1365="","",", "&amp;AK1365)&amp;IF(AN1365="","",", "&amp;AN1365)&amp;IF(AQ1365="","",", "&amp;AQ1365)&amp;IF(AT1365="","",", "&amp;AT1365)&amp;IF(AW1365="","",", "&amp;AW1365)&amp;IF(AZ1365="","",", "&amp;AZ1365),3,500)</f>
        <v/>
      </c>
      <c r="BH1365" s="12" t="n"/>
      <c r="BI1365" s="15">
        <f>IFERROR(MATCH($A1365,IF($B1365="Onsite",tbl_Onsite[Row ID],IF($B1365="Production",tbl_Production[Row ID],tbl_Consulting[Row ID])),0),"")</f>
        <v/>
      </c>
    </row>
    <row r="1366">
      <c r="A1366" s="10" t="inlineStr">
        <is>
          <t>CON-0360</t>
        </is>
      </c>
      <c r="B1366" s="10" t="inlineStr">
        <is>
          <t>Consulting</t>
        </is>
      </c>
      <c r="C1366" s="10">
        <f>IF($BI1366="","",IF($B1366="Onsite",INDEX(tbl_Onsite[Job Number],$BI1366),IF($B1366="Production",INDEX(tbl_Production[Job Number],$BI1366),INDEX(tbl_Consulting[Job Number],$BI1366)))&amp;"")</f>
        <v/>
      </c>
      <c r="D1366" s="10">
        <f>IF($BI1366="","",IF($B1366="Onsite",INDEX(tbl_Onsite[Client],$BI1366),IF($B1366="Production",INDEX(tbl_Production[Client],$BI1366),INDEX(tbl_Consulting[Client],$BI1366)))&amp;"")</f>
        <v/>
      </c>
      <c r="E1366" s="10">
        <f>IF($C1366="","",IF(COUNTIF(lst_Jobs,$C1366)&gt;0,"OK","CHECK"))</f>
        <v/>
      </c>
      <c r="F1366" s="10">
        <f>IF($C1366="","",IFERROR(INDEX(lst_JobName,MATCH($C1366,lst_Jobs,0)),""))</f>
        <v/>
      </c>
      <c r="G1366" s="10">
        <f>IF($BI1366="","",IF($B1366="Onsite",INDEX(tbl_Onsite[Job Description],$BI1366),IF($B1366="Production",INDEX(tbl_Production[Job Description],$BI1366),INDEX(tbl_Consulting[Job Description],$BI1366)))&amp;"")</f>
        <v/>
      </c>
      <c r="H1366" s="10">
        <f>IF($BI1366="","",IF($B1366="Onsite",INDEX(tbl_Onsite[Cost Centre],$BI1366),IF($B1366="Production",INDEX(tbl_Production[Cost Centre],$BI1366),INDEX(tbl_Consulting[Cost Centre],$BI1366)))&amp;"")</f>
        <v/>
      </c>
      <c r="I1366" s="10">
        <f>IF($BI1366="","",IF($B1366="Onsite",INDEX(tbl_Onsite[Invoice Type],$BI1366),IF($B1366="Production",INDEX(tbl_Production[Invoice Type],$BI1366),INDEX(tbl_Consulting[Invoice Type],$BI1366)))&amp;"")</f>
        <v/>
      </c>
      <c r="J1366" s="10">
        <f>IF($BI1366="","",IF($B1366="Onsite",INDEX(tbl_Onsite[Tax Code],$BI1366),IF($B1366="Production",INDEX(tbl_Production[Tax Code],$BI1366),INDEX(tbl_Consulting[Tax Code],$BI1366)))&amp;"")</f>
        <v/>
      </c>
      <c r="K1366" s="10">
        <f>IF(H1366="","",IFERROR(INDEX(lst_CCtoGL,MATCH(H1366,lst_CCforGL,0)),""))</f>
        <v/>
      </c>
      <c r="L1366" s="10">
        <f>IF($BI1366="","",IF($B1366="Onsite",INDEX(tbl_Onsite[PO / Reference],$BI1366),IF($B1366="Production",INDEX(tbl_Production[Current RMS No],$BI1366),INDEX(tbl_Consulting[Qwilr Quote],$BI1366)))&amp;"")</f>
        <v/>
      </c>
      <c r="M1366" s="10">
        <f>IF($BI1366="","",IF($B1366="Onsite",INDEX(tbl_Onsite[Notes],$BI1366),IF($B1366="Production",INDEX(tbl_Production[Notes],$BI1366),INDEX(tbl_Consulting[Notes],$BI1366)))&amp;"")</f>
        <v/>
      </c>
      <c r="N1366" s="11">
        <f>IF($BI1366="","",IF(IF($B1366="Onsite",INDEX(tbl_Onsite[Expected Revenue Ex GST],$BI1366),IF($B1366="Production",INDEX(tbl_Production[Expected Revenue Ex GST],$BI1366),INDEX(tbl_Consulting[Expected Revenue Ex GST],$BI1366)))="","",IF($B1366="Onsite",INDEX(tbl_Onsite[Expected Revenue Ex GST],$BI1366),IF($B1366="Production",INDEX(tbl_Production[Expected Revenue Ex GST],$BI1366),INDEX(tbl_Consulting[Expected Revenue Ex GST],$BI1366)))))</f>
        <v/>
      </c>
      <c r="O1366" s="11">
        <f>IF(AND($C1366="",NOT(COUNTA($S1366:$BB1366)&gt;0)),"",SUM(U1366,X1366,AA1366,AD1366,AG1366,AJ1366,AM1366,AP1366,AS1366,AV1366,AY1366,BB1366))</f>
        <v/>
      </c>
      <c r="P1366" s="11">
        <f>IF(O1366="","",N(N1366)-O1366)</f>
        <v/>
      </c>
      <c r="Q1366" s="10">
        <f>IF(O1366="","",IF($C1366="","Invoice on empty job row",IF(N1366="",IF(ROUND(O1366,2)=0,"No dept value","Invoiced - no dept value"),IF(ROUND(O1366,2)=0,"Not invoiced - to invoice",IF(ROUND(P1366,2)=0,"Agrees",IF(P1366&gt;0,"Dept higher - to invoice","Xero higher - check dept"))))))</f>
        <v/>
      </c>
      <c r="R1366" s="10">
        <f>IF(AND($C1366="",NOT(COUNTA($S1366:$BB1366)&gt;0),$BI1366&lt;&gt;""),"",MID(IF($BI1366="","; Row ID not found on the department sheet - a row was deleted","")&amp;IF(AND($C1366="",COUNTA($S1366:$BB1366)&gt;0),"; Invoice entered but the department row has no job number","")&amp;IF(E1366="CHECK","; Job number not in the Xero job list","")&amp;IF(AND($C1366&lt;&gt;"",COUNTIF($C$7:$C$1506,$C1366)&gt;1),"; Job number on more than one row","")&amp;IF(AND($C1366&lt;&gt;"",H1366=""),"; Dept has not set a cost centre","")&amp;IF(AND($C1366&lt;&gt;"",J1366=""),"; Dept has not set a tax code","")&amp;IF(AND($C1366&lt;&gt;"",N1366=""),"; Dept has not entered an expected value","")&amp;IF((IF(OR(COUNTA(S1366:U1366)=0,AND(COUNTA(S1366:U1366)=3,ISNUMBER(U1366))),0,1)+IF(OR(COUNTA(V1366:X1366)=0,AND(COUNTA(V1366:X1366)=3,ISNUMBER(X1366))),0,1)+IF(OR(COUNTA(Y1366:AA1366)=0,AND(COUNTA(Y1366:AA1366)=3,ISNUMBER(AA1366))),0,1)+IF(OR(COUNTA(AB1366:AD1366)=0,AND(COUNTA(AB1366:AD1366)=3,ISNUMBER(AD1366))),0,1)+IF(OR(COUNTA(AE1366:AG1366)=0,AND(COUNTA(AE1366:AG1366)=3,ISNUMBER(AG1366))),0,1)+IF(OR(COUNTA(AH1366:AJ1366)=0,AND(COUNTA(AH1366:AJ1366)=3,ISNUMBER(AJ1366))),0,1)+IF(OR(COUNTA(AK1366:AM1366)=0,AND(COUNTA(AK1366:AM1366)=3,ISNUMBER(AM1366))),0,1)+IF(OR(COUNTA(AN1366:AP1366)=0,AND(COUNTA(AN1366:AP1366)=3,ISNUMBER(AP1366))),0,1)+IF(OR(COUNTA(AQ1366:AS1366)=0,AND(COUNTA(AQ1366:AS1366)=3,ISNUMBER(AS1366))),0,1)+IF(OR(COUNTA(AT1366:AV1366)=0,AND(COUNTA(AT1366:AV1366)=3,ISNUMBER(AV1366))),0,1)+IF(OR(COUNTA(AW1366:AY1366)=0,AND(COUNTA(AW1366:AY1366)=3,ISNUMBER(AY1366))),0,1)+IF(OR(COUNTA(AZ1366:BB1366)=0,AND(COUNTA(AZ1366:BB1366)=3,ISNUMBER(BB1366))),0,1))&gt;0,"; An invoice is incomplete (needs No, Date and a number in Ex GST)","")&amp;IF((IF(T1366="",0,IFERROR(--(EOMONTH(T1366,0)&lt;&gt;S$5),1))+IF(W1366="",0,IFERROR(--(EOMONTH(W1366,0)&lt;&gt;V$5),1))+IF(Z1366="",0,IFERROR(--(EOMONTH(Z1366,0)&lt;&gt;Y$5),1))+IF(AC1366="",0,IFERROR(--(EOMONTH(AC1366,0)&lt;&gt;AB$5),1))+IF(AF1366="",0,IFERROR(--(EOMONTH(AF1366,0)&lt;&gt;AE$5),1))+IF(AI1366="",0,IFERROR(--(EOMONTH(AI1366,0)&lt;&gt;AH$5),1))+IF(AL1366="",0,IFERROR(--(EOMONTH(AL1366,0)&lt;&gt;AK$5),1))+IF(AO1366="",0,IFERROR(--(EOMONTH(AO1366,0)&lt;&gt;AN$5),1))+IF(AR1366="",0,IFERROR(--(EOMONTH(AR1366,0)&lt;&gt;AQ$5),1))+IF(AU1366="",0,IFERROR(--(EOMONTH(AU1366,0)&lt;&gt;AT$5),1))+IF(AX1366="",0,IFERROR(--(EOMONTH(AX1366,0)&lt;&gt;AW$5),1))+IF(BA1366="",0,IFERROR(--(EOMONTH(BA1366,0)&lt;&gt;AZ$5),1)))&gt;0,"; An invoice date is not in the month it is typed under",""),3,500))</f>
        <v/>
      </c>
      <c r="S1366" s="12" t="n"/>
      <c r="T1366" s="13" t="n"/>
      <c r="U1366" s="14" t="n"/>
      <c r="V1366" s="12" t="n"/>
      <c r="W1366" s="13" t="n"/>
      <c r="X1366" s="14" t="n"/>
      <c r="Y1366" s="12" t="n"/>
      <c r="Z1366" s="13" t="n"/>
      <c r="AA1366" s="14" t="n"/>
      <c r="AB1366" s="12" t="n"/>
      <c r="AC1366" s="13" t="n"/>
      <c r="AD1366" s="14" t="n"/>
      <c r="AE1366" s="12" t="n"/>
      <c r="AF1366" s="13" t="n"/>
      <c r="AG1366" s="14" t="n"/>
      <c r="AH1366" s="12" t="n"/>
      <c r="AI1366" s="13" t="n"/>
      <c r="AJ1366" s="14" t="n"/>
      <c r="AK1366" s="12" t="n"/>
      <c r="AL1366" s="13" t="n"/>
      <c r="AM1366" s="14" t="n"/>
      <c r="AN1366" s="12" t="n"/>
      <c r="AO1366" s="13" t="n"/>
      <c r="AP1366" s="14" t="n"/>
      <c r="AQ1366" s="12" t="n"/>
      <c r="AR1366" s="13" t="n"/>
      <c r="AS1366" s="14" t="n"/>
      <c r="AT1366" s="12" t="n"/>
      <c r="AU1366" s="13" t="n"/>
      <c r="AV1366" s="14" t="n"/>
      <c r="AW1366" s="12" t="n"/>
      <c r="AX1366" s="13" t="n"/>
      <c r="AY1366" s="14" t="n"/>
      <c r="AZ1366" s="12" t="n"/>
      <c r="BA1366" s="13" t="n"/>
      <c r="BB1366" s="14" t="n"/>
      <c r="BC1366" s="11">
        <f>IF(O1366="","",IF(J1366="GST 10%",ROUND(O1366*set_GSTRate,2),0))</f>
        <v/>
      </c>
      <c r="BD1366" s="11">
        <f>IF(O1366="","",O1366+BC1366)</f>
        <v/>
      </c>
      <c r="BE1366" s="15">
        <f>IF(O1366="","",COUNTA(S1366,V1366,Y1366,AB1366,AE1366,AH1366,AK1366,AN1366,AQ1366,AT1366,AW1366,AZ1366))</f>
        <v/>
      </c>
      <c r="BF1366" s="16">
        <f>IF(COUNT(T1366,W1366,Z1366,AC1366,AF1366,AI1366,AL1366,AO1366,AR1366,AU1366,AX1366,BA1366)=0,"",MAX(T1366,W1366,Z1366,AC1366,AF1366,AI1366,AL1366,AO1366,AR1366,AU1366,AX1366,BA1366))</f>
        <v/>
      </c>
      <c r="BG1366" s="10">
        <f>MID(IF(S1366="","",", "&amp;S1366)&amp;IF(V1366="","",", "&amp;V1366)&amp;IF(Y1366="","",", "&amp;Y1366)&amp;IF(AB1366="","",", "&amp;AB1366)&amp;IF(AE1366="","",", "&amp;AE1366)&amp;IF(AH1366="","",", "&amp;AH1366)&amp;IF(AK1366="","",", "&amp;AK1366)&amp;IF(AN1366="","",", "&amp;AN1366)&amp;IF(AQ1366="","",", "&amp;AQ1366)&amp;IF(AT1366="","",", "&amp;AT1366)&amp;IF(AW1366="","",", "&amp;AW1366)&amp;IF(AZ1366="","",", "&amp;AZ1366),3,500)</f>
        <v/>
      </c>
      <c r="BH1366" s="12" t="n"/>
      <c r="BI1366" s="15">
        <f>IFERROR(MATCH($A1366,IF($B1366="Onsite",tbl_Onsite[Row ID],IF($B1366="Production",tbl_Production[Row ID],tbl_Consulting[Row ID])),0),"")</f>
        <v/>
      </c>
    </row>
    <row r="1367">
      <c r="A1367" s="10" t="inlineStr">
        <is>
          <t>CON-0361</t>
        </is>
      </c>
      <c r="B1367" s="10" t="inlineStr">
        <is>
          <t>Consulting</t>
        </is>
      </c>
      <c r="C1367" s="10">
        <f>IF($BI1367="","",IF($B1367="Onsite",INDEX(tbl_Onsite[Job Number],$BI1367),IF($B1367="Production",INDEX(tbl_Production[Job Number],$BI1367),INDEX(tbl_Consulting[Job Number],$BI1367)))&amp;"")</f>
        <v/>
      </c>
      <c r="D1367" s="10">
        <f>IF($BI1367="","",IF($B1367="Onsite",INDEX(tbl_Onsite[Client],$BI1367),IF($B1367="Production",INDEX(tbl_Production[Client],$BI1367),INDEX(tbl_Consulting[Client],$BI1367)))&amp;"")</f>
        <v/>
      </c>
      <c r="E1367" s="10">
        <f>IF($C1367="","",IF(COUNTIF(lst_Jobs,$C1367)&gt;0,"OK","CHECK"))</f>
        <v/>
      </c>
      <c r="F1367" s="10">
        <f>IF($C1367="","",IFERROR(INDEX(lst_JobName,MATCH($C1367,lst_Jobs,0)),""))</f>
        <v/>
      </c>
      <c r="G1367" s="10">
        <f>IF($BI1367="","",IF($B1367="Onsite",INDEX(tbl_Onsite[Job Description],$BI1367),IF($B1367="Production",INDEX(tbl_Production[Job Description],$BI1367),INDEX(tbl_Consulting[Job Description],$BI1367)))&amp;"")</f>
        <v/>
      </c>
      <c r="H1367" s="10">
        <f>IF($BI1367="","",IF($B1367="Onsite",INDEX(tbl_Onsite[Cost Centre],$BI1367),IF($B1367="Production",INDEX(tbl_Production[Cost Centre],$BI1367),INDEX(tbl_Consulting[Cost Centre],$BI1367)))&amp;"")</f>
        <v/>
      </c>
      <c r="I1367" s="10">
        <f>IF($BI1367="","",IF($B1367="Onsite",INDEX(tbl_Onsite[Invoice Type],$BI1367),IF($B1367="Production",INDEX(tbl_Production[Invoice Type],$BI1367),INDEX(tbl_Consulting[Invoice Type],$BI1367)))&amp;"")</f>
        <v/>
      </c>
      <c r="J1367" s="10">
        <f>IF($BI1367="","",IF($B1367="Onsite",INDEX(tbl_Onsite[Tax Code],$BI1367),IF($B1367="Production",INDEX(tbl_Production[Tax Code],$BI1367),INDEX(tbl_Consulting[Tax Code],$BI1367)))&amp;"")</f>
        <v/>
      </c>
      <c r="K1367" s="10">
        <f>IF(H1367="","",IFERROR(INDEX(lst_CCtoGL,MATCH(H1367,lst_CCforGL,0)),""))</f>
        <v/>
      </c>
      <c r="L1367" s="10">
        <f>IF($BI1367="","",IF($B1367="Onsite",INDEX(tbl_Onsite[PO / Reference],$BI1367),IF($B1367="Production",INDEX(tbl_Production[Current RMS No],$BI1367),INDEX(tbl_Consulting[Qwilr Quote],$BI1367)))&amp;"")</f>
        <v/>
      </c>
      <c r="M1367" s="10">
        <f>IF($BI1367="","",IF($B1367="Onsite",INDEX(tbl_Onsite[Notes],$BI1367),IF($B1367="Production",INDEX(tbl_Production[Notes],$BI1367),INDEX(tbl_Consulting[Notes],$BI1367)))&amp;"")</f>
        <v/>
      </c>
      <c r="N1367" s="11">
        <f>IF($BI1367="","",IF(IF($B1367="Onsite",INDEX(tbl_Onsite[Expected Revenue Ex GST],$BI1367),IF($B1367="Production",INDEX(tbl_Production[Expected Revenue Ex GST],$BI1367),INDEX(tbl_Consulting[Expected Revenue Ex GST],$BI1367)))="","",IF($B1367="Onsite",INDEX(tbl_Onsite[Expected Revenue Ex GST],$BI1367),IF($B1367="Production",INDEX(tbl_Production[Expected Revenue Ex GST],$BI1367),INDEX(tbl_Consulting[Expected Revenue Ex GST],$BI1367)))))</f>
        <v/>
      </c>
      <c r="O1367" s="11">
        <f>IF(AND($C1367="",NOT(COUNTA($S1367:$BB1367)&gt;0)),"",SUM(U1367,X1367,AA1367,AD1367,AG1367,AJ1367,AM1367,AP1367,AS1367,AV1367,AY1367,BB1367))</f>
        <v/>
      </c>
      <c r="P1367" s="11">
        <f>IF(O1367="","",N(N1367)-O1367)</f>
        <v/>
      </c>
      <c r="Q1367" s="10">
        <f>IF(O1367="","",IF($C1367="","Invoice on empty job row",IF(N1367="",IF(ROUND(O1367,2)=0,"No dept value","Invoiced - no dept value"),IF(ROUND(O1367,2)=0,"Not invoiced - to invoice",IF(ROUND(P1367,2)=0,"Agrees",IF(P1367&gt;0,"Dept higher - to invoice","Xero higher - check dept"))))))</f>
        <v/>
      </c>
      <c r="R1367" s="10">
        <f>IF(AND($C1367="",NOT(COUNTA($S1367:$BB1367)&gt;0),$BI1367&lt;&gt;""),"",MID(IF($BI1367="","; Row ID not found on the department sheet - a row was deleted","")&amp;IF(AND($C1367="",COUNTA($S1367:$BB1367)&gt;0),"; Invoice entered but the department row has no job number","")&amp;IF(E1367="CHECK","; Job number not in the Xero job list","")&amp;IF(AND($C1367&lt;&gt;"",COUNTIF($C$7:$C$1506,$C1367)&gt;1),"; Job number on more than one row","")&amp;IF(AND($C1367&lt;&gt;"",H1367=""),"; Dept has not set a cost centre","")&amp;IF(AND($C1367&lt;&gt;"",J1367=""),"; Dept has not set a tax code","")&amp;IF(AND($C1367&lt;&gt;"",N1367=""),"; Dept has not entered an expected value","")&amp;IF((IF(OR(COUNTA(S1367:U1367)=0,AND(COUNTA(S1367:U1367)=3,ISNUMBER(U1367))),0,1)+IF(OR(COUNTA(V1367:X1367)=0,AND(COUNTA(V1367:X1367)=3,ISNUMBER(X1367))),0,1)+IF(OR(COUNTA(Y1367:AA1367)=0,AND(COUNTA(Y1367:AA1367)=3,ISNUMBER(AA1367))),0,1)+IF(OR(COUNTA(AB1367:AD1367)=0,AND(COUNTA(AB1367:AD1367)=3,ISNUMBER(AD1367))),0,1)+IF(OR(COUNTA(AE1367:AG1367)=0,AND(COUNTA(AE1367:AG1367)=3,ISNUMBER(AG1367))),0,1)+IF(OR(COUNTA(AH1367:AJ1367)=0,AND(COUNTA(AH1367:AJ1367)=3,ISNUMBER(AJ1367))),0,1)+IF(OR(COUNTA(AK1367:AM1367)=0,AND(COUNTA(AK1367:AM1367)=3,ISNUMBER(AM1367))),0,1)+IF(OR(COUNTA(AN1367:AP1367)=0,AND(COUNTA(AN1367:AP1367)=3,ISNUMBER(AP1367))),0,1)+IF(OR(COUNTA(AQ1367:AS1367)=0,AND(COUNTA(AQ1367:AS1367)=3,ISNUMBER(AS1367))),0,1)+IF(OR(COUNTA(AT1367:AV1367)=0,AND(COUNTA(AT1367:AV1367)=3,ISNUMBER(AV1367))),0,1)+IF(OR(COUNTA(AW1367:AY1367)=0,AND(COUNTA(AW1367:AY1367)=3,ISNUMBER(AY1367))),0,1)+IF(OR(COUNTA(AZ1367:BB1367)=0,AND(COUNTA(AZ1367:BB1367)=3,ISNUMBER(BB1367))),0,1))&gt;0,"; An invoice is incomplete (needs No, Date and a number in Ex GST)","")&amp;IF((IF(T1367="",0,IFERROR(--(EOMONTH(T1367,0)&lt;&gt;S$5),1))+IF(W1367="",0,IFERROR(--(EOMONTH(W1367,0)&lt;&gt;V$5),1))+IF(Z1367="",0,IFERROR(--(EOMONTH(Z1367,0)&lt;&gt;Y$5),1))+IF(AC1367="",0,IFERROR(--(EOMONTH(AC1367,0)&lt;&gt;AB$5),1))+IF(AF1367="",0,IFERROR(--(EOMONTH(AF1367,0)&lt;&gt;AE$5),1))+IF(AI1367="",0,IFERROR(--(EOMONTH(AI1367,0)&lt;&gt;AH$5),1))+IF(AL1367="",0,IFERROR(--(EOMONTH(AL1367,0)&lt;&gt;AK$5),1))+IF(AO1367="",0,IFERROR(--(EOMONTH(AO1367,0)&lt;&gt;AN$5),1))+IF(AR1367="",0,IFERROR(--(EOMONTH(AR1367,0)&lt;&gt;AQ$5),1))+IF(AU1367="",0,IFERROR(--(EOMONTH(AU1367,0)&lt;&gt;AT$5),1))+IF(AX1367="",0,IFERROR(--(EOMONTH(AX1367,0)&lt;&gt;AW$5),1))+IF(BA1367="",0,IFERROR(--(EOMONTH(BA1367,0)&lt;&gt;AZ$5),1)))&gt;0,"; An invoice date is not in the month it is typed under",""),3,500))</f>
        <v/>
      </c>
      <c r="S1367" s="12" t="n"/>
      <c r="T1367" s="13" t="n"/>
      <c r="U1367" s="14" t="n"/>
      <c r="V1367" s="12" t="n"/>
      <c r="W1367" s="13" t="n"/>
      <c r="X1367" s="14" t="n"/>
      <c r="Y1367" s="12" t="n"/>
      <c r="Z1367" s="13" t="n"/>
      <c r="AA1367" s="14" t="n"/>
      <c r="AB1367" s="12" t="n"/>
      <c r="AC1367" s="13" t="n"/>
      <c r="AD1367" s="14" t="n"/>
      <c r="AE1367" s="12" t="n"/>
      <c r="AF1367" s="13" t="n"/>
      <c r="AG1367" s="14" t="n"/>
      <c r="AH1367" s="12" t="n"/>
      <c r="AI1367" s="13" t="n"/>
      <c r="AJ1367" s="14" t="n"/>
      <c r="AK1367" s="12" t="n"/>
      <c r="AL1367" s="13" t="n"/>
      <c r="AM1367" s="14" t="n"/>
      <c r="AN1367" s="12" t="n"/>
      <c r="AO1367" s="13" t="n"/>
      <c r="AP1367" s="14" t="n"/>
      <c r="AQ1367" s="12" t="n"/>
      <c r="AR1367" s="13" t="n"/>
      <c r="AS1367" s="14" t="n"/>
      <c r="AT1367" s="12" t="n"/>
      <c r="AU1367" s="13" t="n"/>
      <c r="AV1367" s="14" t="n"/>
      <c r="AW1367" s="12" t="n"/>
      <c r="AX1367" s="13" t="n"/>
      <c r="AY1367" s="14" t="n"/>
      <c r="AZ1367" s="12" t="n"/>
      <c r="BA1367" s="13" t="n"/>
      <c r="BB1367" s="14" t="n"/>
      <c r="BC1367" s="11">
        <f>IF(O1367="","",IF(J1367="GST 10%",ROUND(O1367*set_GSTRate,2),0))</f>
        <v/>
      </c>
      <c r="BD1367" s="11">
        <f>IF(O1367="","",O1367+BC1367)</f>
        <v/>
      </c>
      <c r="BE1367" s="15">
        <f>IF(O1367="","",COUNTA(S1367,V1367,Y1367,AB1367,AE1367,AH1367,AK1367,AN1367,AQ1367,AT1367,AW1367,AZ1367))</f>
        <v/>
      </c>
      <c r="BF1367" s="16">
        <f>IF(COUNT(T1367,W1367,Z1367,AC1367,AF1367,AI1367,AL1367,AO1367,AR1367,AU1367,AX1367,BA1367)=0,"",MAX(T1367,W1367,Z1367,AC1367,AF1367,AI1367,AL1367,AO1367,AR1367,AU1367,AX1367,BA1367))</f>
        <v/>
      </c>
      <c r="BG1367" s="10">
        <f>MID(IF(S1367="","",", "&amp;S1367)&amp;IF(V1367="","",", "&amp;V1367)&amp;IF(Y1367="","",", "&amp;Y1367)&amp;IF(AB1367="","",", "&amp;AB1367)&amp;IF(AE1367="","",", "&amp;AE1367)&amp;IF(AH1367="","",", "&amp;AH1367)&amp;IF(AK1367="","",", "&amp;AK1367)&amp;IF(AN1367="","",", "&amp;AN1367)&amp;IF(AQ1367="","",", "&amp;AQ1367)&amp;IF(AT1367="","",", "&amp;AT1367)&amp;IF(AW1367="","",", "&amp;AW1367)&amp;IF(AZ1367="","",", "&amp;AZ1367),3,500)</f>
        <v/>
      </c>
      <c r="BH1367" s="12" t="n"/>
      <c r="BI1367" s="15">
        <f>IFERROR(MATCH($A1367,IF($B1367="Onsite",tbl_Onsite[Row ID],IF($B1367="Production",tbl_Production[Row ID],tbl_Consulting[Row ID])),0),"")</f>
        <v/>
      </c>
    </row>
    <row r="1368">
      <c r="A1368" s="10" t="inlineStr">
        <is>
          <t>CON-0362</t>
        </is>
      </c>
      <c r="B1368" s="10" t="inlineStr">
        <is>
          <t>Consulting</t>
        </is>
      </c>
      <c r="C1368" s="10">
        <f>IF($BI1368="","",IF($B1368="Onsite",INDEX(tbl_Onsite[Job Number],$BI1368),IF($B1368="Production",INDEX(tbl_Production[Job Number],$BI1368),INDEX(tbl_Consulting[Job Number],$BI1368)))&amp;"")</f>
        <v/>
      </c>
      <c r="D1368" s="10">
        <f>IF($BI1368="","",IF($B1368="Onsite",INDEX(tbl_Onsite[Client],$BI1368),IF($B1368="Production",INDEX(tbl_Production[Client],$BI1368),INDEX(tbl_Consulting[Client],$BI1368)))&amp;"")</f>
        <v/>
      </c>
      <c r="E1368" s="10">
        <f>IF($C1368="","",IF(COUNTIF(lst_Jobs,$C1368)&gt;0,"OK","CHECK"))</f>
        <v/>
      </c>
      <c r="F1368" s="10">
        <f>IF($C1368="","",IFERROR(INDEX(lst_JobName,MATCH($C1368,lst_Jobs,0)),""))</f>
        <v/>
      </c>
      <c r="G1368" s="10">
        <f>IF($BI1368="","",IF($B1368="Onsite",INDEX(tbl_Onsite[Job Description],$BI1368),IF($B1368="Production",INDEX(tbl_Production[Job Description],$BI1368),INDEX(tbl_Consulting[Job Description],$BI1368)))&amp;"")</f>
        <v/>
      </c>
      <c r="H1368" s="10">
        <f>IF($BI1368="","",IF($B1368="Onsite",INDEX(tbl_Onsite[Cost Centre],$BI1368),IF($B1368="Production",INDEX(tbl_Production[Cost Centre],$BI1368),INDEX(tbl_Consulting[Cost Centre],$BI1368)))&amp;"")</f>
        <v/>
      </c>
      <c r="I1368" s="10">
        <f>IF($BI1368="","",IF($B1368="Onsite",INDEX(tbl_Onsite[Invoice Type],$BI1368),IF($B1368="Production",INDEX(tbl_Production[Invoice Type],$BI1368),INDEX(tbl_Consulting[Invoice Type],$BI1368)))&amp;"")</f>
        <v/>
      </c>
      <c r="J1368" s="10">
        <f>IF($BI1368="","",IF($B1368="Onsite",INDEX(tbl_Onsite[Tax Code],$BI1368),IF($B1368="Production",INDEX(tbl_Production[Tax Code],$BI1368),INDEX(tbl_Consulting[Tax Code],$BI1368)))&amp;"")</f>
        <v/>
      </c>
      <c r="K1368" s="10">
        <f>IF(H1368="","",IFERROR(INDEX(lst_CCtoGL,MATCH(H1368,lst_CCforGL,0)),""))</f>
        <v/>
      </c>
      <c r="L1368" s="10">
        <f>IF($BI1368="","",IF($B1368="Onsite",INDEX(tbl_Onsite[PO / Reference],$BI1368),IF($B1368="Production",INDEX(tbl_Production[Current RMS No],$BI1368),INDEX(tbl_Consulting[Qwilr Quote],$BI1368)))&amp;"")</f>
        <v/>
      </c>
      <c r="M1368" s="10">
        <f>IF($BI1368="","",IF($B1368="Onsite",INDEX(tbl_Onsite[Notes],$BI1368),IF($B1368="Production",INDEX(tbl_Production[Notes],$BI1368),INDEX(tbl_Consulting[Notes],$BI1368)))&amp;"")</f>
        <v/>
      </c>
      <c r="N1368" s="11">
        <f>IF($BI1368="","",IF(IF($B1368="Onsite",INDEX(tbl_Onsite[Expected Revenue Ex GST],$BI1368),IF($B1368="Production",INDEX(tbl_Production[Expected Revenue Ex GST],$BI1368),INDEX(tbl_Consulting[Expected Revenue Ex GST],$BI1368)))="","",IF($B1368="Onsite",INDEX(tbl_Onsite[Expected Revenue Ex GST],$BI1368),IF($B1368="Production",INDEX(tbl_Production[Expected Revenue Ex GST],$BI1368),INDEX(tbl_Consulting[Expected Revenue Ex GST],$BI1368)))))</f>
        <v/>
      </c>
      <c r="O1368" s="11">
        <f>IF(AND($C1368="",NOT(COUNTA($S1368:$BB1368)&gt;0)),"",SUM(U1368,X1368,AA1368,AD1368,AG1368,AJ1368,AM1368,AP1368,AS1368,AV1368,AY1368,BB1368))</f>
        <v/>
      </c>
      <c r="P1368" s="11">
        <f>IF(O1368="","",N(N1368)-O1368)</f>
        <v/>
      </c>
      <c r="Q1368" s="10">
        <f>IF(O1368="","",IF($C1368="","Invoice on empty job row",IF(N1368="",IF(ROUND(O1368,2)=0,"No dept value","Invoiced - no dept value"),IF(ROUND(O1368,2)=0,"Not invoiced - to invoice",IF(ROUND(P1368,2)=0,"Agrees",IF(P1368&gt;0,"Dept higher - to invoice","Xero higher - check dept"))))))</f>
        <v/>
      </c>
      <c r="R1368" s="10">
        <f>IF(AND($C1368="",NOT(COUNTA($S1368:$BB1368)&gt;0),$BI1368&lt;&gt;""),"",MID(IF($BI1368="","; Row ID not found on the department sheet - a row was deleted","")&amp;IF(AND($C1368="",COUNTA($S1368:$BB1368)&gt;0),"; Invoice entered but the department row has no job number","")&amp;IF(E1368="CHECK","; Job number not in the Xero job list","")&amp;IF(AND($C1368&lt;&gt;"",COUNTIF($C$7:$C$1506,$C1368)&gt;1),"; Job number on more than one row","")&amp;IF(AND($C1368&lt;&gt;"",H1368=""),"; Dept has not set a cost centre","")&amp;IF(AND($C1368&lt;&gt;"",J1368=""),"; Dept has not set a tax code","")&amp;IF(AND($C1368&lt;&gt;"",N1368=""),"; Dept has not entered an expected value","")&amp;IF((IF(OR(COUNTA(S1368:U1368)=0,AND(COUNTA(S1368:U1368)=3,ISNUMBER(U1368))),0,1)+IF(OR(COUNTA(V1368:X1368)=0,AND(COUNTA(V1368:X1368)=3,ISNUMBER(X1368))),0,1)+IF(OR(COUNTA(Y1368:AA1368)=0,AND(COUNTA(Y1368:AA1368)=3,ISNUMBER(AA1368))),0,1)+IF(OR(COUNTA(AB1368:AD1368)=0,AND(COUNTA(AB1368:AD1368)=3,ISNUMBER(AD1368))),0,1)+IF(OR(COUNTA(AE1368:AG1368)=0,AND(COUNTA(AE1368:AG1368)=3,ISNUMBER(AG1368))),0,1)+IF(OR(COUNTA(AH1368:AJ1368)=0,AND(COUNTA(AH1368:AJ1368)=3,ISNUMBER(AJ1368))),0,1)+IF(OR(COUNTA(AK1368:AM1368)=0,AND(COUNTA(AK1368:AM1368)=3,ISNUMBER(AM1368))),0,1)+IF(OR(COUNTA(AN1368:AP1368)=0,AND(COUNTA(AN1368:AP1368)=3,ISNUMBER(AP1368))),0,1)+IF(OR(COUNTA(AQ1368:AS1368)=0,AND(COUNTA(AQ1368:AS1368)=3,ISNUMBER(AS1368))),0,1)+IF(OR(COUNTA(AT1368:AV1368)=0,AND(COUNTA(AT1368:AV1368)=3,ISNUMBER(AV1368))),0,1)+IF(OR(COUNTA(AW1368:AY1368)=0,AND(COUNTA(AW1368:AY1368)=3,ISNUMBER(AY1368))),0,1)+IF(OR(COUNTA(AZ1368:BB1368)=0,AND(COUNTA(AZ1368:BB1368)=3,ISNUMBER(BB1368))),0,1))&gt;0,"; An invoice is incomplete (needs No, Date and a number in Ex GST)","")&amp;IF((IF(T1368="",0,IFERROR(--(EOMONTH(T1368,0)&lt;&gt;S$5),1))+IF(W1368="",0,IFERROR(--(EOMONTH(W1368,0)&lt;&gt;V$5),1))+IF(Z1368="",0,IFERROR(--(EOMONTH(Z1368,0)&lt;&gt;Y$5),1))+IF(AC1368="",0,IFERROR(--(EOMONTH(AC1368,0)&lt;&gt;AB$5),1))+IF(AF1368="",0,IFERROR(--(EOMONTH(AF1368,0)&lt;&gt;AE$5),1))+IF(AI1368="",0,IFERROR(--(EOMONTH(AI1368,0)&lt;&gt;AH$5),1))+IF(AL1368="",0,IFERROR(--(EOMONTH(AL1368,0)&lt;&gt;AK$5),1))+IF(AO1368="",0,IFERROR(--(EOMONTH(AO1368,0)&lt;&gt;AN$5),1))+IF(AR1368="",0,IFERROR(--(EOMONTH(AR1368,0)&lt;&gt;AQ$5),1))+IF(AU1368="",0,IFERROR(--(EOMONTH(AU1368,0)&lt;&gt;AT$5),1))+IF(AX1368="",0,IFERROR(--(EOMONTH(AX1368,0)&lt;&gt;AW$5),1))+IF(BA1368="",0,IFERROR(--(EOMONTH(BA1368,0)&lt;&gt;AZ$5),1)))&gt;0,"; An invoice date is not in the month it is typed under",""),3,500))</f>
        <v/>
      </c>
      <c r="S1368" s="12" t="n"/>
      <c r="T1368" s="13" t="n"/>
      <c r="U1368" s="14" t="n"/>
      <c r="V1368" s="12" t="n"/>
      <c r="W1368" s="13" t="n"/>
      <c r="X1368" s="14" t="n"/>
      <c r="Y1368" s="12" t="n"/>
      <c r="Z1368" s="13" t="n"/>
      <c r="AA1368" s="14" t="n"/>
      <c r="AB1368" s="12" t="n"/>
      <c r="AC1368" s="13" t="n"/>
      <c r="AD1368" s="14" t="n"/>
      <c r="AE1368" s="12" t="n"/>
      <c r="AF1368" s="13" t="n"/>
      <c r="AG1368" s="14" t="n"/>
      <c r="AH1368" s="12" t="n"/>
      <c r="AI1368" s="13" t="n"/>
      <c r="AJ1368" s="14" t="n"/>
      <c r="AK1368" s="12" t="n"/>
      <c r="AL1368" s="13" t="n"/>
      <c r="AM1368" s="14" t="n"/>
      <c r="AN1368" s="12" t="n"/>
      <c r="AO1368" s="13" t="n"/>
      <c r="AP1368" s="14" t="n"/>
      <c r="AQ1368" s="12" t="n"/>
      <c r="AR1368" s="13" t="n"/>
      <c r="AS1368" s="14" t="n"/>
      <c r="AT1368" s="12" t="n"/>
      <c r="AU1368" s="13" t="n"/>
      <c r="AV1368" s="14" t="n"/>
      <c r="AW1368" s="12" t="n"/>
      <c r="AX1368" s="13" t="n"/>
      <c r="AY1368" s="14" t="n"/>
      <c r="AZ1368" s="12" t="n"/>
      <c r="BA1368" s="13" t="n"/>
      <c r="BB1368" s="14" t="n"/>
      <c r="BC1368" s="11">
        <f>IF(O1368="","",IF(J1368="GST 10%",ROUND(O1368*set_GSTRate,2),0))</f>
        <v/>
      </c>
      <c r="BD1368" s="11">
        <f>IF(O1368="","",O1368+BC1368)</f>
        <v/>
      </c>
      <c r="BE1368" s="15">
        <f>IF(O1368="","",COUNTA(S1368,V1368,Y1368,AB1368,AE1368,AH1368,AK1368,AN1368,AQ1368,AT1368,AW1368,AZ1368))</f>
        <v/>
      </c>
      <c r="BF1368" s="16">
        <f>IF(COUNT(T1368,W1368,Z1368,AC1368,AF1368,AI1368,AL1368,AO1368,AR1368,AU1368,AX1368,BA1368)=0,"",MAX(T1368,W1368,Z1368,AC1368,AF1368,AI1368,AL1368,AO1368,AR1368,AU1368,AX1368,BA1368))</f>
        <v/>
      </c>
      <c r="BG1368" s="10">
        <f>MID(IF(S1368="","",", "&amp;S1368)&amp;IF(V1368="","",", "&amp;V1368)&amp;IF(Y1368="","",", "&amp;Y1368)&amp;IF(AB1368="","",", "&amp;AB1368)&amp;IF(AE1368="","",", "&amp;AE1368)&amp;IF(AH1368="","",", "&amp;AH1368)&amp;IF(AK1368="","",", "&amp;AK1368)&amp;IF(AN1368="","",", "&amp;AN1368)&amp;IF(AQ1368="","",", "&amp;AQ1368)&amp;IF(AT1368="","",", "&amp;AT1368)&amp;IF(AW1368="","",", "&amp;AW1368)&amp;IF(AZ1368="","",", "&amp;AZ1368),3,500)</f>
        <v/>
      </c>
      <c r="BH1368" s="12" t="n"/>
      <c r="BI1368" s="15">
        <f>IFERROR(MATCH($A1368,IF($B1368="Onsite",tbl_Onsite[Row ID],IF($B1368="Production",tbl_Production[Row ID],tbl_Consulting[Row ID])),0),"")</f>
        <v/>
      </c>
    </row>
    <row r="1369">
      <c r="A1369" s="10" t="inlineStr">
        <is>
          <t>CON-0363</t>
        </is>
      </c>
      <c r="B1369" s="10" t="inlineStr">
        <is>
          <t>Consulting</t>
        </is>
      </c>
      <c r="C1369" s="10">
        <f>IF($BI1369="","",IF($B1369="Onsite",INDEX(tbl_Onsite[Job Number],$BI1369),IF($B1369="Production",INDEX(tbl_Production[Job Number],$BI1369),INDEX(tbl_Consulting[Job Number],$BI1369)))&amp;"")</f>
        <v/>
      </c>
      <c r="D1369" s="10">
        <f>IF($BI1369="","",IF($B1369="Onsite",INDEX(tbl_Onsite[Client],$BI1369),IF($B1369="Production",INDEX(tbl_Production[Client],$BI1369),INDEX(tbl_Consulting[Client],$BI1369)))&amp;"")</f>
        <v/>
      </c>
      <c r="E1369" s="10">
        <f>IF($C1369="","",IF(COUNTIF(lst_Jobs,$C1369)&gt;0,"OK","CHECK"))</f>
        <v/>
      </c>
      <c r="F1369" s="10">
        <f>IF($C1369="","",IFERROR(INDEX(lst_JobName,MATCH($C1369,lst_Jobs,0)),""))</f>
        <v/>
      </c>
      <c r="G1369" s="10">
        <f>IF($BI1369="","",IF($B1369="Onsite",INDEX(tbl_Onsite[Job Description],$BI1369),IF($B1369="Production",INDEX(tbl_Production[Job Description],$BI1369),INDEX(tbl_Consulting[Job Description],$BI1369)))&amp;"")</f>
        <v/>
      </c>
      <c r="H1369" s="10">
        <f>IF($BI1369="","",IF($B1369="Onsite",INDEX(tbl_Onsite[Cost Centre],$BI1369),IF($B1369="Production",INDEX(tbl_Production[Cost Centre],$BI1369),INDEX(tbl_Consulting[Cost Centre],$BI1369)))&amp;"")</f>
        <v/>
      </c>
      <c r="I1369" s="10">
        <f>IF($BI1369="","",IF($B1369="Onsite",INDEX(tbl_Onsite[Invoice Type],$BI1369),IF($B1369="Production",INDEX(tbl_Production[Invoice Type],$BI1369),INDEX(tbl_Consulting[Invoice Type],$BI1369)))&amp;"")</f>
        <v/>
      </c>
      <c r="J1369" s="10">
        <f>IF($BI1369="","",IF($B1369="Onsite",INDEX(tbl_Onsite[Tax Code],$BI1369),IF($B1369="Production",INDEX(tbl_Production[Tax Code],$BI1369),INDEX(tbl_Consulting[Tax Code],$BI1369)))&amp;"")</f>
        <v/>
      </c>
      <c r="K1369" s="10">
        <f>IF(H1369="","",IFERROR(INDEX(lst_CCtoGL,MATCH(H1369,lst_CCforGL,0)),""))</f>
        <v/>
      </c>
      <c r="L1369" s="10">
        <f>IF($BI1369="","",IF($B1369="Onsite",INDEX(tbl_Onsite[PO / Reference],$BI1369),IF($B1369="Production",INDEX(tbl_Production[Current RMS No],$BI1369),INDEX(tbl_Consulting[Qwilr Quote],$BI1369)))&amp;"")</f>
        <v/>
      </c>
      <c r="M1369" s="10">
        <f>IF($BI1369="","",IF($B1369="Onsite",INDEX(tbl_Onsite[Notes],$BI1369),IF($B1369="Production",INDEX(tbl_Production[Notes],$BI1369),INDEX(tbl_Consulting[Notes],$BI1369)))&amp;"")</f>
        <v/>
      </c>
      <c r="N1369" s="11">
        <f>IF($BI1369="","",IF(IF($B1369="Onsite",INDEX(tbl_Onsite[Expected Revenue Ex GST],$BI1369),IF($B1369="Production",INDEX(tbl_Production[Expected Revenue Ex GST],$BI1369),INDEX(tbl_Consulting[Expected Revenue Ex GST],$BI1369)))="","",IF($B1369="Onsite",INDEX(tbl_Onsite[Expected Revenue Ex GST],$BI1369),IF($B1369="Production",INDEX(tbl_Production[Expected Revenue Ex GST],$BI1369),INDEX(tbl_Consulting[Expected Revenue Ex GST],$BI1369)))))</f>
        <v/>
      </c>
      <c r="O1369" s="11">
        <f>IF(AND($C1369="",NOT(COUNTA($S1369:$BB1369)&gt;0)),"",SUM(U1369,X1369,AA1369,AD1369,AG1369,AJ1369,AM1369,AP1369,AS1369,AV1369,AY1369,BB1369))</f>
        <v/>
      </c>
      <c r="P1369" s="11">
        <f>IF(O1369="","",N(N1369)-O1369)</f>
        <v/>
      </c>
      <c r="Q1369" s="10">
        <f>IF(O1369="","",IF($C1369="","Invoice on empty job row",IF(N1369="",IF(ROUND(O1369,2)=0,"No dept value","Invoiced - no dept value"),IF(ROUND(O1369,2)=0,"Not invoiced - to invoice",IF(ROUND(P1369,2)=0,"Agrees",IF(P1369&gt;0,"Dept higher - to invoice","Xero higher - check dept"))))))</f>
        <v/>
      </c>
      <c r="R1369" s="10">
        <f>IF(AND($C1369="",NOT(COUNTA($S1369:$BB1369)&gt;0),$BI1369&lt;&gt;""),"",MID(IF($BI1369="","; Row ID not found on the department sheet - a row was deleted","")&amp;IF(AND($C1369="",COUNTA($S1369:$BB1369)&gt;0),"; Invoice entered but the department row has no job number","")&amp;IF(E1369="CHECK","; Job number not in the Xero job list","")&amp;IF(AND($C1369&lt;&gt;"",COUNTIF($C$7:$C$1506,$C1369)&gt;1),"; Job number on more than one row","")&amp;IF(AND($C1369&lt;&gt;"",H1369=""),"; Dept has not set a cost centre","")&amp;IF(AND($C1369&lt;&gt;"",J1369=""),"; Dept has not set a tax code","")&amp;IF(AND($C1369&lt;&gt;"",N1369=""),"; Dept has not entered an expected value","")&amp;IF((IF(OR(COUNTA(S1369:U1369)=0,AND(COUNTA(S1369:U1369)=3,ISNUMBER(U1369))),0,1)+IF(OR(COUNTA(V1369:X1369)=0,AND(COUNTA(V1369:X1369)=3,ISNUMBER(X1369))),0,1)+IF(OR(COUNTA(Y1369:AA1369)=0,AND(COUNTA(Y1369:AA1369)=3,ISNUMBER(AA1369))),0,1)+IF(OR(COUNTA(AB1369:AD1369)=0,AND(COUNTA(AB1369:AD1369)=3,ISNUMBER(AD1369))),0,1)+IF(OR(COUNTA(AE1369:AG1369)=0,AND(COUNTA(AE1369:AG1369)=3,ISNUMBER(AG1369))),0,1)+IF(OR(COUNTA(AH1369:AJ1369)=0,AND(COUNTA(AH1369:AJ1369)=3,ISNUMBER(AJ1369))),0,1)+IF(OR(COUNTA(AK1369:AM1369)=0,AND(COUNTA(AK1369:AM1369)=3,ISNUMBER(AM1369))),0,1)+IF(OR(COUNTA(AN1369:AP1369)=0,AND(COUNTA(AN1369:AP1369)=3,ISNUMBER(AP1369))),0,1)+IF(OR(COUNTA(AQ1369:AS1369)=0,AND(COUNTA(AQ1369:AS1369)=3,ISNUMBER(AS1369))),0,1)+IF(OR(COUNTA(AT1369:AV1369)=0,AND(COUNTA(AT1369:AV1369)=3,ISNUMBER(AV1369))),0,1)+IF(OR(COUNTA(AW1369:AY1369)=0,AND(COUNTA(AW1369:AY1369)=3,ISNUMBER(AY1369))),0,1)+IF(OR(COUNTA(AZ1369:BB1369)=0,AND(COUNTA(AZ1369:BB1369)=3,ISNUMBER(BB1369))),0,1))&gt;0,"; An invoice is incomplete (needs No, Date and a number in Ex GST)","")&amp;IF((IF(T1369="",0,IFERROR(--(EOMONTH(T1369,0)&lt;&gt;S$5),1))+IF(W1369="",0,IFERROR(--(EOMONTH(W1369,0)&lt;&gt;V$5),1))+IF(Z1369="",0,IFERROR(--(EOMONTH(Z1369,0)&lt;&gt;Y$5),1))+IF(AC1369="",0,IFERROR(--(EOMONTH(AC1369,0)&lt;&gt;AB$5),1))+IF(AF1369="",0,IFERROR(--(EOMONTH(AF1369,0)&lt;&gt;AE$5),1))+IF(AI1369="",0,IFERROR(--(EOMONTH(AI1369,0)&lt;&gt;AH$5),1))+IF(AL1369="",0,IFERROR(--(EOMONTH(AL1369,0)&lt;&gt;AK$5),1))+IF(AO1369="",0,IFERROR(--(EOMONTH(AO1369,0)&lt;&gt;AN$5),1))+IF(AR1369="",0,IFERROR(--(EOMONTH(AR1369,0)&lt;&gt;AQ$5),1))+IF(AU1369="",0,IFERROR(--(EOMONTH(AU1369,0)&lt;&gt;AT$5),1))+IF(AX1369="",0,IFERROR(--(EOMONTH(AX1369,0)&lt;&gt;AW$5),1))+IF(BA1369="",0,IFERROR(--(EOMONTH(BA1369,0)&lt;&gt;AZ$5),1)))&gt;0,"; An invoice date is not in the month it is typed under",""),3,500))</f>
        <v/>
      </c>
      <c r="S1369" s="12" t="n"/>
      <c r="T1369" s="13" t="n"/>
      <c r="U1369" s="14" t="n"/>
      <c r="V1369" s="12" t="n"/>
      <c r="W1369" s="13" t="n"/>
      <c r="X1369" s="14" t="n"/>
      <c r="Y1369" s="12" t="n"/>
      <c r="Z1369" s="13" t="n"/>
      <c r="AA1369" s="14" t="n"/>
      <c r="AB1369" s="12" t="n"/>
      <c r="AC1369" s="13" t="n"/>
      <c r="AD1369" s="14" t="n"/>
      <c r="AE1369" s="12" t="n"/>
      <c r="AF1369" s="13" t="n"/>
      <c r="AG1369" s="14" t="n"/>
      <c r="AH1369" s="12" t="n"/>
      <c r="AI1369" s="13" t="n"/>
      <c r="AJ1369" s="14" t="n"/>
      <c r="AK1369" s="12" t="n"/>
      <c r="AL1369" s="13" t="n"/>
      <c r="AM1369" s="14" t="n"/>
      <c r="AN1369" s="12" t="n"/>
      <c r="AO1369" s="13" t="n"/>
      <c r="AP1369" s="14" t="n"/>
      <c r="AQ1369" s="12" t="n"/>
      <c r="AR1369" s="13" t="n"/>
      <c r="AS1369" s="14" t="n"/>
      <c r="AT1369" s="12" t="n"/>
      <c r="AU1369" s="13" t="n"/>
      <c r="AV1369" s="14" t="n"/>
      <c r="AW1369" s="12" t="n"/>
      <c r="AX1369" s="13" t="n"/>
      <c r="AY1369" s="14" t="n"/>
      <c r="AZ1369" s="12" t="n"/>
      <c r="BA1369" s="13" t="n"/>
      <c r="BB1369" s="14" t="n"/>
      <c r="BC1369" s="11">
        <f>IF(O1369="","",IF(J1369="GST 10%",ROUND(O1369*set_GSTRate,2),0))</f>
        <v/>
      </c>
      <c r="BD1369" s="11">
        <f>IF(O1369="","",O1369+BC1369)</f>
        <v/>
      </c>
      <c r="BE1369" s="15">
        <f>IF(O1369="","",COUNTA(S1369,V1369,Y1369,AB1369,AE1369,AH1369,AK1369,AN1369,AQ1369,AT1369,AW1369,AZ1369))</f>
        <v/>
      </c>
      <c r="BF1369" s="16">
        <f>IF(COUNT(T1369,W1369,Z1369,AC1369,AF1369,AI1369,AL1369,AO1369,AR1369,AU1369,AX1369,BA1369)=0,"",MAX(T1369,W1369,Z1369,AC1369,AF1369,AI1369,AL1369,AO1369,AR1369,AU1369,AX1369,BA1369))</f>
        <v/>
      </c>
      <c r="BG1369" s="10">
        <f>MID(IF(S1369="","",", "&amp;S1369)&amp;IF(V1369="","",", "&amp;V1369)&amp;IF(Y1369="","",", "&amp;Y1369)&amp;IF(AB1369="","",", "&amp;AB1369)&amp;IF(AE1369="","",", "&amp;AE1369)&amp;IF(AH1369="","",", "&amp;AH1369)&amp;IF(AK1369="","",", "&amp;AK1369)&amp;IF(AN1369="","",", "&amp;AN1369)&amp;IF(AQ1369="","",", "&amp;AQ1369)&amp;IF(AT1369="","",", "&amp;AT1369)&amp;IF(AW1369="","",", "&amp;AW1369)&amp;IF(AZ1369="","",", "&amp;AZ1369),3,500)</f>
        <v/>
      </c>
      <c r="BH1369" s="12" t="n"/>
      <c r="BI1369" s="15">
        <f>IFERROR(MATCH($A1369,IF($B1369="Onsite",tbl_Onsite[Row ID],IF($B1369="Production",tbl_Production[Row ID],tbl_Consulting[Row ID])),0),"")</f>
        <v/>
      </c>
    </row>
    <row r="1370">
      <c r="A1370" s="10" t="inlineStr">
        <is>
          <t>CON-0364</t>
        </is>
      </c>
      <c r="B1370" s="10" t="inlineStr">
        <is>
          <t>Consulting</t>
        </is>
      </c>
      <c r="C1370" s="10">
        <f>IF($BI1370="","",IF($B1370="Onsite",INDEX(tbl_Onsite[Job Number],$BI1370),IF($B1370="Production",INDEX(tbl_Production[Job Number],$BI1370),INDEX(tbl_Consulting[Job Number],$BI1370)))&amp;"")</f>
        <v/>
      </c>
      <c r="D1370" s="10">
        <f>IF($BI1370="","",IF($B1370="Onsite",INDEX(tbl_Onsite[Client],$BI1370),IF($B1370="Production",INDEX(tbl_Production[Client],$BI1370),INDEX(tbl_Consulting[Client],$BI1370)))&amp;"")</f>
        <v/>
      </c>
      <c r="E1370" s="10">
        <f>IF($C1370="","",IF(COUNTIF(lst_Jobs,$C1370)&gt;0,"OK","CHECK"))</f>
        <v/>
      </c>
      <c r="F1370" s="10">
        <f>IF($C1370="","",IFERROR(INDEX(lst_JobName,MATCH($C1370,lst_Jobs,0)),""))</f>
        <v/>
      </c>
      <c r="G1370" s="10">
        <f>IF($BI1370="","",IF($B1370="Onsite",INDEX(tbl_Onsite[Job Description],$BI1370),IF($B1370="Production",INDEX(tbl_Production[Job Description],$BI1370),INDEX(tbl_Consulting[Job Description],$BI1370)))&amp;"")</f>
        <v/>
      </c>
      <c r="H1370" s="10">
        <f>IF($BI1370="","",IF($B1370="Onsite",INDEX(tbl_Onsite[Cost Centre],$BI1370),IF($B1370="Production",INDEX(tbl_Production[Cost Centre],$BI1370),INDEX(tbl_Consulting[Cost Centre],$BI1370)))&amp;"")</f>
        <v/>
      </c>
      <c r="I1370" s="10">
        <f>IF($BI1370="","",IF($B1370="Onsite",INDEX(tbl_Onsite[Invoice Type],$BI1370),IF($B1370="Production",INDEX(tbl_Production[Invoice Type],$BI1370),INDEX(tbl_Consulting[Invoice Type],$BI1370)))&amp;"")</f>
        <v/>
      </c>
      <c r="J1370" s="10">
        <f>IF($BI1370="","",IF($B1370="Onsite",INDEX(tbl_Onsite[Tax Code],$BI1370),IF($B1370="Production",INDEX(tbl_Production[Tax Code],$BI1370),INDEX(tbl_Consulting[Tax Code],$BI1370)))&amp;"")</f>
        <v/>
      </c>
      <c r="K1370" s="10">
        <f>IF(H1370="","",IFERROR(INDEX(lst_CCtoGL,MATCH(H1370,lst_CCforGL,0)),""))</f>
        <v/>
      </c>
      <c r="L1370" s="10">
        <f>IF($BI1370="","",IF($B1370="Onsite",INDEX(tbl_Onsite[PO / Reference],$BI1370),IF($B1370="Production",INDEX(tbl_Production[Current RMS No],$BI1370),INDEX(tbl_Consulting[Qwilr Quote],$BI1370)))&amp;"")</f>
        <v/>
      </c>
      <c r="M1370" s="10">
        <f>IF($BI1370="","",IF($B1370="Onsite",INDEX(tbl_Onsite[Notes],$BI1370),IF($B1370="Production",INDEX(tbl_Production[Notes],$BI1370),INDEX(tbl_Consulting[Notes],$BI1370)))&amp;"")</f>
        <v/>
      </c>
      <c r="N1370" s="11">
        <f>IF($BI1370="","",IF(IF($B1370="Onsite",INDEX(tbl_Onsite[Expected Revenue Ex GST],$BI1370),IF($B1370="Production",INDEX(tbl_Production[Expected Revenue Ex GST],$BI1370),INDEX(tbl_Consulting[Expected Revenue Ex GST],$BI1370)))="","",IF($B1370="Onsite",INDEX(tbl_Onsite[Expected Revenue Ex GST],$BI1370),IF($B1370="Production",INDEX(tbl_Production[Expected Revenue Ex GST],$BI1370),INDEX(tbl_Consulting[Expected Revenue Ex GST],$BI1370)))))</f>
        <v/>
      </c>
      <c r="O1370" s="11">
        <f>IF(AND($C1370="",NOT(COUNTA($S1370:$BB1370)&gt;0)),"",SUM(U1370,X1370,AA1370,AD1370,AG1370,AJ1370,AM1370,AP1370,AS1370,AV1370,AY1370,BB1370))</f>
        <v/>
      </c>
      <c r="P1370" s="11">
        <f>IF(O1370="","",N(N1370)-O1370)</f>
        <v/>
      </c>
      <c r="Q1370" s="10">
        <f>IF(O1370="","",IF($C1370="","Invoice on empty job row",IF(N1370="",IF(ROUND(O1370,2)=0,"No dept value","Invoiced - no dept value"),IF(ROUND(O1370,2)=0,"Not invoiced - to invoice",IF(ROUND(P1370,2)=0,"Agrees",IF(P1370&gt;0,"Dept higher - to invoice","Xero higher - check dept"))))))</f>
        <v/>
      </c>
      <c r="R1370" s="10">
        <f>IF(AND($C1370="",NOT(COUNTA($S1370:$BB1370)&gt;0),$BI1370&lt;&gt;""),"",MID(IF($BI1370="","; Row ID not found on the department sheet - a row was deleted","")&amp;IF(AND($C1370="",COUNTA($S1370:$BB1370)&gt;0),"; Invoice entered but the department row has no job number","")&amp;IF(E1370="CHECK","; Job number not in the Xero job list","")&amp;IF(AND($C1370&lt;&gt;"",COUNTIF($C$7:$C$1506,$C1370)&gt;1),"; Job number on more than one row","")&amp;IF(AND($C1370&lt;&gt;"",H1370=""),"; Dept has not set a cost centre","")&amp;IF(AND($C1370&lt;&gt;"",J1370=""),"; Dept has not set a tax code","")&amp;IF(AND($C1370&lt;&gt;"",N1370=""),"; Dept has not entered an expected value","")&amp;IF((IF(OR(COUNTA(S1370:U1370)=0,AND(COUNTA(S1370:U1370)=3,ISNUMBER(U1370))),0,1)+IF(OR(COUNTA(V1370:X1370)=0,AND(COUNTA(V1370:X1370)=3,ISNUMBER(X1370))),0,1)+IF(OR(COUNTA(Y1370:AA1370)=0,AND(COUNTA(Y1370:AA1370)=3,ISNUMBER(AA1370))),0,1)+IF(OR(COUNTA(AB1370:AD1370)=0,AND(COUNTA(AB1370:AD1370)=3,ISNUMBER(AD1370))),0,1)+IF(OR(COUNTA(AE1370:AG1370)=0,AND(COUNTA(AE1370:AG1370)=3,ISNUMBER(AG1370))),0,1)+IF(OR(COUNTA(AH1370:AJ1370)=0,AND(COUNTA(AH1370:AJ1370)=3,ISNUMBER(AJ1370))),0,1)+IF(OR(COUNTA(AK1370:AM1370)=0,AND(COUNTA(AK1370:AM1370)=3,ISNUMBER(AM1370))),0,1)+IF(OR(COUNTA(AN1370:AP1370)=0,AND(COUNTA(AN1370:AP1370)=3,ISNUMBER(AP1370))),0,1)+IF(OR(COUNTA(AQ1370:AS1370)=0,AND(COUNTA(AQ1370:AS1370)=3,ISNUMBER(AS1370))),0,1)+IF(OR(COUNTA(AT1370:AV1370)=0,AND(COUNTA(AT1370:AV1370)=3,ISNUMBER(AV1370))),0,1)+IF(OR(COUNTA(AW1370:AY1370)=0,AND(COUNTA(AW1370:AY1370)=3,ISNUMBER(AY1370))),0,1)+IF(OR(COUNTA(AZ1370:BB1370)=0,AND(COUNTA(AZ1370:BB1370)=3,ISNUMBER(BB1370))),0,1))&gt;0,"; An invoice is incomplete (needs No, Date and a number in Ex GST)","")&amp;IF((IF(T1370="",0,IFERROR(--(EOMONTH(T1370,0)&lt;&gt;S$5),1))+IF(W1370="",0,IFERROR(--(EOMONTH(W1370,0)&lt;&gt;V$5),1))+IF(Z1370="",0,IFERROR(--(EOMONTH(Z1370,0)&lt;&gt;Y$5),1))+IF(AC1370="",0,IFERROR(--(EOMONTH(AC1370,0)&lt;&gt;AB$5),1))+IF(AF1370="",0,IFERROR(--(EOMONTH(AF1370,0)&lt;&gt;AE$5),1))+IF(AI1370="",0,IFERROR(--(EOMONTH(AI1370,0)&lt;&gt;AH$5),1))+IF(AL1370="",0,IFERROR(--(EOMONTH(AL1370,0)&lt;&gt;AK$5),1))+IF(AO1370="",0,IFERROR(--(EOMONTH(AO1370,0)&lt;&gt;AN$5),1))+IF(AR1370="",0,IFERROR(--(EOMONTH(AR1370,0)&lt;&gt;AQ$5),1))+IF(AU1370="",0,IFERROR(--(EOMONTH(AU1370,0)&lt;&gt;AT$5),1))+IF(AX1370="",0,IFERROR(--(EOMONTH(AX1370,0)&lt;&gt;AW$5),1))+IF(BA1370="",0,IFERROR(--(EOMONTH(BA1370,0)&lt;&gt;AZ$5),1)))&gt;0,"; An invoice date is not in the month it is typed under",""),3,500))</f>
        <v/>
      </c>
      <c r="S1370" s="12" t="n"/>
      <c r="T1370" s="13" t="n"/>
      <c r="U1370" s="14" t="n"/>
      <c r="V1370" s="12" t="n"/>
      <c r="W1370" s="13" t="n"/>
      <c r="X1370" s="14" t="n"/>
      <c r="Y1370" s="12" t="n"/>
      <c r="Z1370" s="13" t="n"/>
      <c r="AA1370" s="14" t="n"/>
      <c r="AB1370" s="12" t="n"/>
      <c r="AC1370" s="13" t="n"/>
      <c r="AD1370" s="14" t="n"/>
      <c r="AE1370" s="12" t="n"/>
      <c r="AF1370" s="13" t="n"/>
      <c r="AG1370" s="14" t="n"/>
      <c r="AH1370" s="12" t="n"/>
      <c r="AI1370" s="13" t="n"/>
      <c r="AJ1370" s="14" t="n"/>
      <c r="AK1370" s="12" t="n"/>
      <c r="AL1370" s="13" t="n"/>
      <c r="AM1370" s="14" t="n"/>
      <c r="AN1370" s="12" t="n"/>
      <c r="AO1370" s="13" t="n"/>
      <c r="AP1370" s="14" t="n"/>
      <c r="AQ1370" s="12" t="n"/>
      <c r="AR1370" s="13" t="n"/>
      <c r="AS1370" s="14" t="n"/>
      <c r="AT1370" s="12" t="n"/>
      <c r="AU1370" s="13" t="n"/>
      <c r="AV1370" s="14" t="n"/>
      <c r="AW1370" s="12" t="n"/>
      <c r="AX1370" s="13" t="n"/>
      <c r="AY1370" s="14" t="n"/>
      <c r="AZ1370" s="12" t="n"/>
      <c r="BA1370" s="13" t="n"/>
      <c r="BB1370" s="14" t="n"/>
      <c r="BC1370" s="11">
        <f>IF(O1370="","",IF(J1370="GST 10%",ROUND(O1370*set_GSTRate,2),0))</f>
        <v/>
      </c>
      <c r="BD1370" s="11">
        <f>IF(O1370="","",O1370+BC1370)</f>
        <v/>
      </c>
      <c r="BE1370" s="15">
        <f>IF(O1370="","",COUNTA(S1370,V1370,Y1370,AB1370,AE1370,AH1370,AK1370,AN1370,AQ1370,AT1370,AW1370,AZ1370))</f>
        <v/>
      </c>
      <c r="BF1370" s="16">
        <f>IF(COUNT(T1370,W1370,Z1370,AC1370,AF1370,AI1370,AL1370,AO1370,AR1370,AU1370,AX1370,BA1370)=0,"",MAX(T1370,W1370,Z1370,AC1370,AF1370,AI1370,AL1370,AO1370,AR1370,AU1370,AX1370,BA1370))</f>
        <v/>
      </c>
      <c r="BG1370" s="10">
        <f>MID(IF(S1370="","",", "&amp;S1370)&amp;IF(V1370="","",", "&amp;V1370)&amp;IF(Y1370="","",", "&amp;Y1370)&amp;IF(AB1370="","",", "&amp;AB1370)&amp;IF(AE1370="","",", "&amp;AE1370)&amp;IF(AH1370="","",", "&amp;AH1370)&amp;IF(AK1370="","",", "&amp;AK1370)&amp;IF(AN1370="","",", "&amp;AN1370)&amp;IF(AQ1370="","",", "&amp;AQ1370)&amp;IF(AT1370="","",", "&amp;AT1370)&amp;IF(AW1370="","",", "&amp;AW1370)&amp;IF(AZ1370="","",", "&amp;AZ1370),3,500)</f>
        <v/>
      </c>
      <c r="BH1370" s="12" t="n"/>
      <c r="BI1370" s="15">
        <f>IFERROR(MATCH($A1370,IF($B1370="Onsite",tbl_Onsite[Row ID],IF($B1370="Production",tbl_Production[Row ID],tbl_Consulting[Row ID])),0),"")</f>
        <v/>
      </c>
    </row>
    <row r="1371">
      <c r="A1371" s="10" t="inlineStr">
        <is>
          <t>CON-0365</t>
        </is>
      </c>
      <c r="B1371" s="10" t="inlineStr">
        <is>
          <t>Consulting</t>
        </is>
      </c>
      <c r="C1371" s="10">
        <f>IF($BI1371="","",IF($B1371="Onsite",INDEX(tbl_Onsite[Job Number],$BI1371),IF($B1371="Production",INDEX(tbl_Production[Job Number],$BI1371),INDEX(tbl_Consulting[Job Number],$BI1371)))&amp;"")</f>
        <v/>
      </c>
      <c r="D1371" s="10">
        <f>IF($BI1371="","",IF($B1371="Onsite",INDEX(tbl_Onsite[Client],$BI1371),IF($B1371="Production",INDEX(tbl_Production[Client],$BI1371),INDEX(tbl_Consulting[Client],$BI1371)))&amp;"")</f>
        <v/>
      </c>
      <c r="E1371" s="10">
        <f>IF($C1371="","",IF(COUNTIF(lst_Jobs,$C1371)&gt;0,"OK","CHECK"))</f>
        <v/>
      </c>
      <c r="F1371" s="10">
        <f>IF($C1371="","",IFERROR(INDEX(lst_JobName,MATCH($C1371,lst_Jobs,0)),""))</f>
        <v/>
      </c>
      <c r="G1371" s="10">
        <f>IF($BI1371="","",IF($B1371="Onsite",INDEX(tbl_Onsite[Job Description],$BI1371),IF($B1371="Production",INDEX(tbl_Production[Job Description],$BI1371),INDEX(tbl_Consulting[Job Description],$BI1371)))&amp;"")</f>
        <v/>
      </c>
      <c r="H1371" s="10">
        <f>IF($BI1371="","",IF($B1371="Onsite",INDEX(tbl_Onsite[Cost Centre],$BI1371),IF($B1371="Production",INDEX(tbl_Production[Cost Centre],$BI1371),INDEX(tbl_Consulting[Cost Centre],$BI1371)))&amp;"")</f>
        <v/>
      </c>
      <c r="I1371" s="10">
        <f>IF($BI1371="","",IF($B1371="Onsite",INDEX(tbl_Onsite[Invoice Type],$BI1371),IF($B1371="Production",INDEX(tbl_Production[Invoice Type],$BI1371),INDEX(tbl_Consulting[Invoice Type],$BI1371)))&amp;"")</f>
        <v/>
      </c>
      <c r="J1371" s="10">
        <f>IF($BI1371="","",IF($B1371="Onsite",INDEX(tbl_Onsite[Tax Code],$BI1371),IF($B1371="Production",INDEX(tbl_Production[Tax Code],$BI1371),INDEX(tbl_Consulting[Tax Code],$BI1371)))&amp;"")</f>
        <v/>
      </c>
      <c r="K1371" s="10">
        <f>IF(H1371="","",IFERROR(INDEX(lst_CCtoGL,MATCH(H1371,lst_CCforGL,0)),""))</f>
        <v/>
      </c>
      <c r="L1371" s="10">
        <f>IF($BI1371="","",IF($B1371="Onsite",INDEX(tbl_Onsite[PO / Reference],$BI1371),IF($B1371="Production",INDEX(tbl_Production[Current RMS No],$BI1371),INDEX(tbl_Consulting[Qwilr Quote],$BI1371)))&amp;"")</f>
        <v/>
      </c>
      <c r="M1371" s="10">
        <f>IF($BI1371="","",IF($B1371="Onsite",INDEX(tbl_Onsite[Notes],$BI1371),IF($B1371="Production",INDEX(tbl_Production[Notes],$BI1371),INDEX(tbl_Consulting[Notes],$BI1371)))&amp;"")</f>
        <v/>
      </c>
      <c r="N1371" s="11">
        <f>IF($BI1371="","",IF(IF($B1371="Onsite",INDEX(tbl_Onsite[Expected Revenue Ex GST],$BI1371),IF($B1371="Production",INDEX(tbl_Production[Expected Revenue Ex GST],$BI1371),INDEX(tbl_Consulting[Expected Revenue Ex GST],$BI1371)))="","",IF($B1371="Onsite",INDEX(tbl_Onsite[Expected Revenue Ex GST],$BI1371),IF($B1371="Production",INDEX(tbl_Production[Expected Revenue Ex GST],$BI1371),INDEX(tbl_Consulting[Expected Revenue Ex GST],$BI1371)))))</f>
        <v/>
      </c>
      <c r="O1371" s="11">
        <f>IF(AND($C1371="",NOT(COUNTA($S1371:$BB1371)&gt;0)),"",SUM(U1371,X1371,AA1371,AD1371,AG1371,AJ1371,AM1371,AP1371,AS1371,AV1371,AY1371,BB1371))</f>
        <v/>
      </c>
      <c r="P1371" s="11">
        <f>IF(O1371="","",N(N1371)-O1371)</f>
        <v/>
      </c>
      <c r="Q1371" s="10">
        <f>IF(O1371="","",IF($C1371="","Invoice on empty job row",IF(N1371="",IF(ROUND(O1371,2)=0,"No dept value","Invoiced - no dept value"),IF(ROUND(O1371,2)=0,"Not invoiced - to invoice",IF(ROUND(P1371,2)=0,"Agrees",IF(P1371&gt;0,"Dept higher - to invoice","Xero higher - check dept"))))))</f>
        <v/>
      </c>
      <c r="R1371" s="10">
        <f>IF(AND($C1371="",NOT(COUNTA($S1371:$BB1371)&gt;0),$BI1371&lt;&gt;""),"",MID(IF($BI1371="","; Row ID not found on the department sheet - a row was deleted","")&amp;IF(AND($C1371="",COUNTA($S1371:$BB1371)&gt;0),"; Invoice entered but the department row has no job number","")&amp;IF(E1371="CHECK","; Job number not in the Xero job list","")&amp;IF(AND($C1371&lt;&gt;"",COUNTIF($C$7:$C$1506,$C1371)&gt;1),"; Job number on more than one row","")&amp;IF(AND($C1371&lt;&gt;"",H1371=""),"; Dept has not set a cost centre","")&amp;IF(AND($C1371&lt;&gt;"",J1371=""),"; Dept has not set a tax code","")&amp;IF(AND($C1371&lt;&gt;"",N1371=""),"; Dept has not entered an expected value","")&amp;IF((IF(OR(COUNTA(S1371:U1371)=0,AND(COUNTA(S1371:U1371)=3,ISNUMBER(U1371))),0,1)+IF(OR(COUNTA(V1371:X1371)=0,AND(COUNTA(V1371:X1371)=3,ISNUMBER(X1371))),0,1)+IF(OR(COUNTA(Y1371:AA1371)=0,AND(COUNTA(Y1371:AA1371)=3,ISNUMBER(AA1371))),0,1)+IF(OR(COUNTA(AB1371:AD1371)=0,AND(COUNTA(AB1371:AD1371)=3,ISNUMBER(AD1371))),0,1)+IF(OR(COUNTA(AE1371:AG1371)=0,AND(COUNTA(AE1371:AG1371)=3,ISNUMBER(AG1371))),0,1)+IF(OR(COUNTA(AH1371:AJ1371)=0,AND(COUNTA(AH1371:AJ1371)=3,ISNUMBER(AJ1371))),0,1)+IF(OR(COUNTA(AK1371:AM1371)=0,AND(COUNTA(AK1371:AM1371)=3,ISNUMBER(AM1371))),0,1)+IF(OR(COUNTA(AN1371:AP1371)=0,AND(COUNTA(AN1371:AP1371)=3,ISNUMBER(AP1371))),0,1)+IF(OR(COUNTA(AQ1371:AS1371)=0,AND(COUNTA(AQ1371:AS1371)=3,ISNUMBER(AS1371))),0,1)+IF(OR(COUNTA(AT1371:AV1371)=0,AND(COUNTA(AT1371:AV1371)=3,ISNUMBER(AV1371))),0,1)+IF(OR(COUNTA(AW1371:AY1371)=0,AND(COUNTA(AW1371:AY1371)=3,ISNUMBER(AY1371))),0,1)+IF(OR(COUNTA(AZ1371:BB1371)=0,AND(COUNTA(AZ1371:BB1371)=3,ISNUMBER(BB1371))),0,1))&gt;0,"; An invoice is incomplete (needs No, Date and a number in Ex GST)","")&amp;IF((IF(T1371="",0,IFERROR(--(EOMONTH(T1371,0)&lt;&gt;S$5),1))+IF(W1371="",0,IFERROR(--(EOMONTH(W1371,0)&lt;&gt;V$5),1))+IF(Z1371="",0,IFERROR(--(EOMONTH(Z1371,0)&lt;&gt;Y$5),1))+IF(AC1371="",0,IFERROR(--(EOMONTH(AC1371,0)&lt;&gt;AB$5),1))+IF(AF1371="",0,IFERROR(--(EOMONTH(AF1371,0)&lt;&gt;AE$5),1))+IF(AI1371="",0,IFERROR(--(EOMONTH(AI1371,0)&lt;&gt;AH$5),1))+IF(AL1371="",0,IFERROR(--(EOMONTH(AL1371,0)&lt;&gt;AK$5),1))+IF(AO1371="",0,IFERROR(--(EOMONTH(AO1371,0)&lt;&gt;AN$5),1))+IF(AR1371="",0,IFERROR(--(EOMONTH(AR1371,0)&lt;&gt;AQ$5),1))+IF(AU1371="",0,IFERROR(--(EOMONTH(AU1371,0)&lt;&gt;AT$5),1))+IF(AX1371="",0,IFERROR(--(EOMONTH(AX1371,0)&lt;&gt;AW$5),1))+IF(BA1371="",0,IFERROR(--(EOMONTH(BA1371,0)&lt;&gt;AZ$5),1)))&gt;0,"; An invoice date is not in the month it is typed under",""),3,500))</f>
        <v/>
      </c>
      <c r="S1371" s="12" t="n"/>
      <c r="T1371" s="13" t="n"/>
      <c r="U1371" s="14" t="n"/>
      <c r="V1371" s="12" t="n"/>
      <c r="W1371" s="13" t="n"/>
      <c r="X1371" s="14" t="n"/>
      <c r="Y1371" s="12" t="n"/>
      <c r="Z1371" s="13" t="n"/>
      <c r="AA1371" s="14" t="n"/>
      <c r="AB1371" s="12" t="n"/>
      <c r="AC1371" s="13" t="n"/>
      <c r="AD1371" s="14" t="n"/>
      <c r="AE1371" s="12" t="n"/>
      <c r="AF1371" s="13" t="n"/>
      <c r="AG1371" s="14" t="n"/>
      <c r="AH1371" s="12" t="n"/>
      <c r="AI1371" s="13" t="n"/>
      <c r="AJ1371" s="14" t="n"/>
      <c r="AK1371" s="12" t="n"/>
      <c r="AL1371" s="13" t="n"/>
      <c r="AM1371" s="14" t="n"/>
      <c r="AN1371" s="12" t="n"/>
      <c r="AO1371" s="13" t="n"/>
      <c r="AP1371" s="14" t="n"/>
      <c r="AQ1371" s="12" t="n"/>
      <c r="AR1371" s="13" t="n"/>
      <c r="AS1371" s="14" t="n"/>
      <c r="AT1371" s="12" t="n"/>
      <c r="AU1371" s="13" t="n"/>
      <c r="AV1371" s="14" t="n"/>
      <c r="AW1371" s="12" t="n"/>
      <c r="AX1371" s="13" t="n"/>
      <c r="AY1371" s="14" t="n"/>
      <c r="AZ1371" s="12" t="n"/>
      <c r="BA1371" s="13" t="n"/>
      <c r="BB1371" s="14" t="n"/>
      <c r="BC1371" s="11">
        <f>IF(O1371="","",IF(J1371="GST 10%",ROUND(O1371*set_GSTRate,2),0))</f>
        <v/>
      </c>
      <c r="BD1371" s="11">
        <f>IF(O1371="","",O1371+BC1371)</f>
        <v/>
      </c>
      <c r="BE1371" s="15">
        <f>IF(O1371="","",COUNTA(S1371,V1371,Y1371,AB1371,AE1371,AH1371,AK1371,AN1371,AQ1371,AT1371,AW1371,AZ1371))</f>
        <v/>
      </c>
      <c r="BF1371" s="16">
        <f>IF(COUNT(T1371,W1371,Z1371,AC1371,AF1371,AI1371,AL1371,AO1371,AR1371,AU1371,AX1371,BA1371)=0,"",MAX(T1371,W1371,Z1371,AC1371,AF1371,AI1371,AL1371,AO1371,AR1371,AU1371,AX1371,BA1371))</f>
        <v/>
      </c>
      <c r="BG1371" s="10">
        <f>MID(IF(S1371="","",", "&amp;S1371)&amp;IF(V1371="","",", "&amp;V1371)&amp;IF(Y1371="","",", "&amp;Y1371)&amp;IF(AB1371="","",", "&amp;AB1371)&amp;IF(AE1371="","",", "&amp;AE1371)&amp;IF(AH1371="","",", "&amp;AH1371)&amp;IF(AK1371="","",", "&amp;AK1371)&amp;IF(AN1371="","",", "&amp;AN1371)&amp;IF(AQ1371="","",", "&amp;AQ1371)&amp;IF(AT1371="","",", "&amp;AT1371)&amp;IF(AW1371="","",", "&amp;AW1371)&amp;IF(AZ1371="","",", "&amp;AZ1371),3,500)</f>
        <v/>
      </c>
      <c r="BH1371" s="12" t="n"/>
      <c r="BI1371" s="15">
        <f>IFERROR(MATCH($A1371,IF($B1371="Onsite",tbl_Onsite[Row ID],IF($B1371="Production",tbl_Production[Row ID],tbl_Consulting[Row ID])),0),"")</f>
        <v/>
      </c>
    </row>
    <row r="1372">
      <c r="A1372" s="10" t="inlineStr">
        <is>
          <t>CON-0366</t>
        </is>
      </c>
      <c r="B1372" s="10" t="inlineStr">
        <is>
          <t>Consulting</t>
        </is>
      </c>
      <c r="C1372" s="10">
        <f>IF($BI1372="","",IF($B1372="Onsite",INDEX(tbl_Onsite[Job Number],$BI1372),IF($B1372="Production",INDEX(tbl_Production[Job Number],$BI1372),INDEX(tbl_Consulting[Job Number],$BI1372)))&amp;"")</f>
        <v/>
      </c>
      <c r="D1372" s="10">
        <f>IF($BI1372="","",IF($B1372="Onsite",INDEX(tbl_Onsite[Client],$BI1372),IF($B1372="Production",INDEX(tbl_Production[Client],$BI1372),INDEX(tbl_Consulting[Client],$BI1372)))&amp;"")</f>
        <v/>
      </c>
      <c r="E1372" s="10">
        <f>IF($C1372="","",IF(COUNTIF(lst_Jobs,$C1372)&gt;0,"OK","CHECK"))</f>
        <v/>
      </c>
      <c r="F1372" s="10">
        <f>IF($C1372="","",IFERROR(INDEX(lst_JobName,MATCH($C1372,lst_Jobs,0)),""))</f>
        <v/>
      </c>
      <c r="G1372" s="10">
        <f>IF($BI1372="","",IF($B1372="Onsite",INDEX(tbl_Onsite[Job Description],$BI1372),IF($B1372="Production",INDEX(tbl_Production[Job Description],$BI1372),INDEX(tbl_Consulting[Job Description],$BI1372)))&amp;"")</f>
        <v/>
      </c>
      <c r="H1372" s="10">
        <f>IF($BI1372="","",IF($B1372="Onsite",INDEX(tbl_Onsite[Cost Centre],$BI1372),IF($B1372="Production",INDEX(tbl_Production[Cost Centre],$BI1372),INDEX(tbl_Consulting[Cost Centre],$BI1372)))&amp;"")</f>
        <v/>
      </c>
      <c r="I1372" s="10">
        <f>IF($BI1372="","",IF($B1372="Onsite",INDEX(tbl_Onsite[Invoice Type],$BI1372),IF($B1372="Production",INDEX(tbl_Production[Invoice Type],$BI1372),INDEX(tbl_Consulting[Invoice Type],$BI1372)))&amp;"")</f>
        <v/>
      </c>
      <c r="J1372" s="10">
        <f>IF($BI1372="","",IF($B1372="Onsite",INDEX(tbl_Onsite[Tax Code],$BI1372),IF($B1372="Production",INDEX(tbl_Production[Tax Code],$BI1372),INDEX(tbl_Consulting[Tax Code],$BI1372)))&amp;"")</f>
        <v/>
      </c>
      <c r="K1372" s="10">
        <f>IF(H1372="","",IFERROR(INDEX(lst_CCtoGL,MATCH(H1372,lst_CCforGL,0)),""))</f>
        <v/>
      </c>
      <c r="L1372" s="10">
        <f>IF($BI1372="","",IF($B1372="Onsite",INDEX(tbl_Onsite[PO / Reference],$BI1372),IF($B1372="Production",INDEX(tbl_Production[Current RMS No],$BI1372),INDEX(tbl_Consulting[Qwilr Quote],$BI1372)))&amp;"")</f>
        <v/>
      </c>
      <c r="M1372" s="10">
        <f>IF($BI1372="","",IF($B1372="Onsite",INDEX(tbl_Onsite[Notes],$BI1372),IF($B1372="Production",INDEX(tbl_Production[Notes],$BI1372),INDEX(tbl_Consulting[Notes],$BI1372)))&amp;"")</f>
        <v/>
      </c>
      <c r="N1372" s="11">
        <f>IF($BI1372="","",IF(IF($B1372="Onsite",INDEX(tbl_Onsite[Expected Revenue Ex GST],$BI1372),IF($B1372="Production",INDEX(tbl_Production[Expected Revenue Ex GST],$BI1372),INDEX(tbl_Consulting[Expected Revenue Ex GST],$BI1372)))="","",IF($B1372="Onsite",INDEX(tbl_Onsite[Expected Revenue Ex GST],$BI1372),IF($B1372="Production",INDEX(tbl_Production[Expected Revenue Ex GST],$BI1372),INDEX(tbl_Consulting[Expected Revenue Ex GST],$BI1372)))))</f>
        <v/>
      </c>
      <c r="O1372" s="11">
        <f>IF(AND($C1372="",NOT(COUNTA($S1372:$BB1372)&gt;0)),"",SUM(U1372,X1372,AA1372,AD1372,AG1372,AJ1372,AM1372,AP1372,AS1372,AV1372,AY1372,BB1372))</f>
        <v/>
      </c>
      <c r="P1372" s="11">
        <f>IF(O1372="","",N(N1372)-O1372)</f>
        <v/>
      </c>
      <c r="Q1372" s="10">
        <f>IF(O1372="","",IF($C1372="","Invoice on empty job row",IF(N1372="",IF(ROUND(O1372,2)=0,"No dept value","Invoiced - no dept value"),IF(ROUND(O1372,2)=0,"Not invoiced - to invoice",IF(ROUND(P1372,2)=0,"Agrees",IF(P1372&gt;0,"Dept higher - to invoice","Xero higher - check dept"))))))</f>
        <v/>
      </c>
      <c r="R1372" s="10">
        <f>IF(AND($C1372="",NOT(COUNTA($S1372:$BB1372)&gt;0),$BI1372&lt;&gt;""),"",MID(IF($BI1372="","; Row ID not found on the department sheet - a row was deleted","")&amp;IF(AND($C1372="",COUNTA($S1372:$BB1372)&gt;0),"; Invoice entered but the department row has no job number","")&amp;IF(E1372="CHECK","; Job number not in the Xero job list","")&amp;IF(AND($C1372&lt;&gt;"",COUNTIF($C$7:$C$1506,$C1372)&gt;1),"; Job number on more than one row","")&amp;IF(AND($C1372&lt;&gt;"",H1372=""),"; Dept has not set a cost centre","")&amp;IF(AND($C1372&lt;&gt;"",J1372=""),"; Dept has not set a tax code","")&amp;IF(AND($C1372&lt;&gt;"",N1372=""),"; Dept has not entered an expected value","")&amp;IF((IF(OR(COUNTA(S1372:U1372)=0,AND(COUNTA(S1372:U1372)=3,ISNUMBER(U1372))),0,1)+IF(OR(COUNTA(V1372:X1372)=0,AND(COUNTA(V1372:X1372)=3,ISNUMBER(X1372))),0,1)+IF(OR(COUNTA(Y1372:AA1372)=0,AND(COUNTA(Y1372:AA1372)=3,ISNUMBER(AA1372))),0,1)+IF(OR(COUNTA(AB1372:AD1372)=0,AND(COUNTA(AB1372:AD1372)=3,ISNUMBER(AD1372))),0,1)+IF(OR(COUNTA(AE1372:AG1372)=0,AND(COUNTA(AE1372:AG1372)=3,ISNUMBER(AG1372))),0,1)+IF(OR(COUNTA(AH1372:AJ1372)=0,AND(COUNTA(AH1372:AJ1372)=3,ISNUMBER(AJ1372))),0,1)+IF(OR(COUNTA(AK1372:AM1372)=0,AND(COUNTA(AK1372:AM1372)=3,ISNUMBER(AM1372))),0,1)+IF(OR(COUNTA(AN1372:AP1372)=0,AND(COUNTA(AN1372:AP1372)=3,ISNUMBER(AP1372))),0,1)+IF(OR(COUNTA(AQ1372:AS1372)=0,AND(COUNTA(AQ1372:AS1372)=3,ISNUMBER(AS1372))),0,1)+IF(OR(COUNTA(AT1372:AV1372)=0,AND(COUNTA(AT1372:AV1372)=3,ISNUMBER(AV1372))),0,1)+IF(OR(COUNTA(AW1372:AY1372)=0,AND(COUNTA(AW1372:AY1372)=3,ISNUMBER(AY1372))),0,1)+IF(OR(COUNTA(AZ1372:BB1372)=0,AND(COUNTA(AZ1372:BB1372)=3,ISNUMBER(BB1372))),0,1))&gt;0,"; An invoice is incomplete (needs No, Date and a number in Ex GST)","")&amp;IF((IF(T1372="",0,IFERROR(--(EOMONTH(T1372,0)&lt;&gt;S$5),1))+IF(W1372="",0,IFERROR(--(EOMONTH(W1372,0)&lt;&gt;V$5),1))+IF(Z1372="",0,IFERROR(--(EOMONTH(Z1372,0)&lt;&gt;Y$5),1))+IF(AC1372="",0,IFERROR(--(EOMONTH(AC1372,0)&lt;&gt;AB$5),1))+IF(AF1372="",0,IFERROR(--(EOMONTH(AF1372,0)&lt;&gt;AE$5),1))+IF(AI1372="",0,IFERROR(--(EOMONTH(AI1372,0)&lt;&gt;AH$5),1))+IF(AL1372="",0,IFERROR(--(EOMONTH(AL1372,0)&lt;&gt;AK$5),1))+IF(AO1372="",0,IFERROR(--(EOMONTH(AO1372,0)&lt;&gt;AN$5),1))+IF(AR1372="",0,IFERROR(--(EOMONTH(AR1372,0)&lt;&gt;AQ$5),1))+IF(AU1372="",0,IFERROR(--(EOMONTH(AU1372,0)&lt;&gt;AT$5),1))+IF(AX1372="",0,IFERROR(--(EOMONTH(AX1372,0)&lt;&gt;AW$5),1))+IF(BA1372="",0,IFERROR(--(EOMONTH(BA1372,0)&lt;&gt;AZ$5),1)))&gt;0,"; An invoice date is not in the month it is typed under",""),3,500))</f>
        <v/>
      </c>
      <c r="S1372" s="12" t="n"/>
      <c r="T1372" s="13" t="n"/>
      <c r="U1372" s="14" t="n"/>
      <c r="V1372" s="12" t="n"/>
      <c r="W1372" s="13" t="n"/>
      <c r="X1372" s="14" t="n"/>
      <c r="Y1372" s="12" t="n"/>
      <c r="Z1372" s="13" t="n"/>
      <c r="AA1372" s="14" t="n"/>
      <c r="AB1372" s="12" t="n"/>
      <c r="AC1372" s="13" t="n"/>
      <c r="AD1372" s="14" t="n"/>
      <c r="AE1372" s="12" t="n"/>
      <c r="AF1372" s="13" t="n"/>
      <c r="AG1372" s="14" t="n"/>
      <c r="AH1372" s="12" t="n"/>
      <c r="AI1372" s="13" t="n"/>
      <c r="AJ1372" s="14" t="n"/>
      <c r="AK1372" s="12" t="n"/>
      <c r="AL1372" s="13" t="n"/>
      <c r="AM1372" s="14" t="n"/>
      <c r="AN1372" s="12" t="n"/>
      <c r="AO1372" s="13" t="n"/>
      <c r="AP1372" s="14" t="n"/>
      <c r="AQ1372" s="12" t="n"/>
      <c r="AR1372" s="13" t="n"/>
      <c r="AS1372" s="14" t="n"/>
      <c r="AT1372" s="12" t="n"/>
      <c r="AU1372" s="13" t="n"/>
      <c r="AV1372" s="14" t="n"/>
      <c r="AW1372" s="12" t="n"/>
      <c r="AX1372" s="13" t="n"/>
      <c r="AY1372" s="14" t="n"/>
      <c r="AZ1372" s="12" t="n"/>
      <c r="BA1372" s="13" t="n"/>
      <c r="BB1372" s="14" t="n"/>
      <c r="BC1372" s="11">
        <f>IF(O1372="","",IF(J1372="GST 10%",ROUND(O1372*set_GSTRate,2),0))</f>
        <v/>
      </c>
      <c r="BD1372" s="11">
        <f>IF(O1372="","",O1372+BC1372)</f>
        <v/>
      </c>
      <c r="BE1372" s="15">
        <f>IF(O1372="","",COUNTA(S1372,V1372,Y1372,AB1372,AE1372,AH1372,AK1372,AN1372,AQ1372,AT1372,AW1372,AZ1372))</f>
        <v/>
      </c>
      <c r="BF1372" s="16">
        <f>IF(COUNT(T1372,W1372,Z1372,AC1372,AF1372,AI1372,AL1372,AO1372,AR1372,AU1372,AX1372,BA1372)=0,"",MAX(T1372,W1372,Z1372,AC1372,AF1372,AI1372,AL1372,AO1372,AR1372,AU1372,AX1372,BA1372))</f>
        <v/>
      </c>
      <c r="BG1372" s="10">
        <f>MID(IF(S1372="","",", "&amp;S1372)&amp;IF(V1372="","",", "&amp;V1372)&amp;IF(Y1372="","",", "&amp;Y1372)&amp;IF(AB1372="","",", "&amp;AB1372)&amp;IF(AE1372="","",", "&amp;AE1372)&amp;IF(AH1372="","",", "&amp;AH1372)&amp;IF(AK1372="","",", "&amp;AK1372)&amp;IF(AN1372="","",", "&amp;AN1372)&amp;IF(AQ1372="","",", "&amp;AQ1372)&amp;IF(AT1372="","",", "&amp;AT1372)&amp;IF(AW1372="","",", "&amp;AW1372)&amp;IF(AZ1372="","",", "&amp;AZ1372),3,500)</f>
        <v/>
      </c>
      <c r="BH1372" s="12" t="n"/>
      <c r="BI1372" s="15">
        <f>IFERROR(MATCH($A1372,IF($B1372="Onsite",tbl_Onsite[Row ID],IF($B1372="Production",tbl_Production[Row ID],tbl_Consulting[Row ID])),0),"")</f>
        <v/>
      </c>
    </row>
    <row r="1373">
      <c r="A1373" s="10" t="inlineStr">
        <is>
          <t>CON-0367</t>
        </is>
      </c>
      <c r="B1373" s="10" t="inlineStr">
        <is>
          <t>Consulting</t>
        </is>
      </c>
      <c r="C1373" s="10">
        <f>IF($BI1373="","",IF($B1373="Onsite",INDEX(tbl_Onsite[Job Number],$BI1373),IF($B1373="Production",INDEX(tbl_Production[Job Number],$BI1373),INDEX(tbl_Consulting[Job Number],$BI1373)))&amp;"")</f>
        <v/>
      </c>
      <c r="D1373" s="10">
        <f>IF($BI1373="","",IF($B1373="Onsite",INDEX(tbl_Onsite[Client],$BI1373),IF($B1373="Production",INDEX(tbl_Production[Client],$BI1373),INDEX(tbl_Consulting[Client],$BI1373)))&amp;"")</f>
        <v/>
      </c>
      <c r="E1373" s="10">
        <f>IF($C1373="","",IF(COUNTIF(lst_Jobs,$C1373)&gt;0,"OK","CHECK"))</f>
        <v/>
      </c>
      <c r="F1373" s="10">
        <f>IF($C1373="","",IFERROR(INDEX(lst_JobName,MATCH($C1373,lst_Jobs,0)),""))</f>
        <v/>
      </c>
      <c r="G1373" s="10">
        <f>IF($BI1373="","",IF($B1373="Onsite",INDEX(tbl_Onsite[Job Description],$BI1373),IF($B1373="Production",INDEX(tbl_Production[Job Description],$BI1373),INDEX(tbl_Consulting[Job Description],$BI1373)))&amp;"")</f>
        <v/>
      </c>
      <c r="H1373" s="10">
        <f>IF($BI1373="","",IF($B1373="Onsite",INDEX(tbl_Onsite[Cost Centre],$BI1373),IF($B1373="Production",INDEX(tbl_Production[Cost Centre],$BI1373),INDEX(tbl_Consulting[Cost Centre],$BI1373)))&amp;"")</f>
        <v/>
      </c>
      <c r="I1373" s="10">
        <f>IF($BI1373="","",IF($B1373="Onsite",INDEX(tbl_Onsite[Invoice Type],$BI1373),IF($B1373="Production",INDEX(tbl_Production[Invoice Type],$BI1373),INDEX(tbl_Consulting[Invoice Type],$BI1373)))&amp;"")</f>
        <v/>
      </c>
      <c r="J1373" s="10">
        <f>IF($BI1373="","",IF($B1373="Onsite",INDEX(tbl_Onsite[Tax Code],$BI1373),IF($B1373="Production",INDEX(tbl_Production[Tax Code],$BI1373),INDEX(tbl_Consulting[Tax Code],$BI1373)))&amp;"")</f>
        <v/>
      </c>
      <c r="K1373" s="10">
        <f>IF(H1373="","",IFERROR(INDEX(lst_CCtoGL,MATCH(H1373,lst_CCforGL,0)),""))</f>
        <v/>
      </c>
      <c r="L1373" s="10">
        <f>IF($BI1373="","",IF($B1373="Onsite",INDEX(tbl_Onsite[PO / Reference],$BI1373),IF($B1373="Production",INDEX(tbl_Production[Current RMS No],$BI1373),INDEX(tbl_Consulting[Qwilr Quote],$BI1373)))&amp;"")</f>
        <v/>
      </c>
      <c r="M1373" s="10">
        <f>IF($BI1373="","",IF($B1373="Onsite",INDEX(tbl_Onsite[Notes],$BI1373),IF($B1373="Production",INDEX(tbl_Production[Notes],$BI1373),INDEX(tbl_Consulting[Notes],$BI1373)))&amp;"")</f>
        <v/>
      </c>
      <c r="N1373" s="11">
        <f>IF($BI1373="","",IF(IF($B1373="Onsite",INDEX(tbl_Onsite[Expected Revenue Ex GST],$BI1373),IF($B1373="Production",INDEX(tbl_Production[Expected Revenue Ex GST],$BI1373),INDEX(tbl_Consulting[Expected Revenue Ex GST],$BI1373)))="","",IF($B1373="Onsite",INDEX(tbl_Onsite[Expected Revenue Ex GST],$BI1373),IF($B1373="Production",INDEX(tbl_Production[Expected Revenue Ex GST],$BI1373),INDEX(tbl_Consulting[Expected Revenue Ex GST],$BI1373)))))</f>
        <v/>
      </c>
      <c r="O1373" s="11">
        <f>IF(AND($C1373="",NOT(COUNTA($S1373:$BB1373)&gt;0)),"",SUM(U1373,X1373,AA1373,AD1373,AG1373,AJ1373,AM1373,AP1373,AS1373,AV1373,AY1373,BB1373))</f>
        <v/>
      </c>
      <c r="P1373" s="11">
        <f>IF(O1373="","",N(N1373)-O1373)</f>
        <v/>
      </c>
      <c r="Q1373" s="10">
        <f>IF(O1373="","",IF($C1373="","Invoice on empty job row",IF(N1373="",IF(ROUND(O1373,2)=0,"No dept value","Invoiced - no dept value"),IF(ROUND(O1373,2)=0,"Not invoiced - to invoice",IF(ROUND(P1373,2)=0,"Agrees",IF(P1373&gt;0,"Dept higher - to invoice","Xero higher - check dept"))))))</f>
        <v/>
      </c>
      <c r="R1373" s="10">
        <f>IF(AND($C1373="",NOT(COUNTA($S1373:$BB1373)&gt;0),$BI1373&lt;&gt;""),"",MID(IF($BI1373="","; Row ID not found on the department sheet - a row was deleted","")&amp;IF(AND($C1373="",COUNTA($S1373:$BB1373)&gt;0),"; Invoice entered but the department row has no job number","")&amp;IF(E1373="CHECK","; Job number not in the Xero job list","")&amp;IF(AND($C1373&lt;&gt;"",COUNTIF($C$7:$C$1506,$C1373)&gt;1),"; Job number on more than one row","")&amp;IF(AND($C1373&lt;&gt;"",H1373=""),"; Dept has not set a cost centre","")&amp;IF(AND($C1373&lt;&gt;"",J1373=""),"; Dept has not set a tax code","")&amp;IF(AND($C1373&lt;&gt;"",N1373=""),"; Dept has not entered an expected value","")&amp;IF((IF(OR(COUNTA(S1373:U1373)=0,AND(COUNTA(S1373:U1373)=3,ISNUMBER(U1373))),0,1)+IF(OR(COUNTA(V1373:X1373)=0,AND(COUNTA(V1373:X1373)=3,ISNUMBER(X1373))),0,1)+IF(OR(COUNTA(Y1373:AA1373)=0,AND(COUNTA(Y1373:AA1373)=3,ISNUMBER(AA1373))),0,1)+IF(OR(COUNTA(AB1373:AD1373)=0,AND(COUNTA(AB1373:AD1373)=3,ISNUMBER(AD1373))),0,1)+IF(OR(COUNTA(AE1373:AG1373)=0,AND(COUNTA(AE1373:AG1373)=3,ISNUMBER(AG1373))),0,1)+IF(OR(COUNTA(AH1373:AJ1373)=0,AND(COUNTA(AH1373:AJ1373)=3,ISNUMBER(AJ1373))),0,1)+IF(OR(COUNTA(AK1373:AM1373)=0,AND(COUNTA(AK1373:AM1373)=3,ISNUMBER(AM1373))),0,1)+IF(OR(COUNTA(AN1373:AP1373)=0,AND(COUNTA(AN1373:AP1373)=3,ISNUMBER(AP1373))),0,1)+IF(OR(COUNTA(AQ1373:AS1373)=0,AND(COUNTA(AQ1373:AS1373)=3,ISNUMBER(AS1373))),0,1)+IF(OR(COUNTA(AT1373:AV1373)=0,AND(COUNTA(AT1373:AV1373)=3,ISNUMBER(AV1373))),0,1)+IF(OR(COUNTA(AW1373:AY1373)=0,AND(COUNTA(AW1373:AY1373)=3,ISNUMBER(AY1373))),0,1)+IF(OR(COUNTA(AZ1373:BB1373)=0,AND(COUNTA(AZ1373:BB1373)=3,ISNUMBER(BB1373))),0,1))&gt;0,"; An invoice is incomplete (needs No, Date and a number in Ex GST)","")&amp;IF((IF(T1373="",0,IFERROR(--(EOMONTH(T1373,0)&lt;&gt;S$5),1))+IF(W1373="",0,IFERROR(--(EOMONTH(W1373,0)&lt;&gt;V$5),1))+IF(Z1373="",0,IFERROR(--(EOMONTH(Z1373,0)&lt;&gt;Y$5),1))+IF(AC1373="",0,IFERROR(--(EOMONTH(AC1373,0)&lt;&gt;AB$5),1))+IF(AF1373="",0,IFERROR(--(EOMONTH(AF1373,0)&lt;&gt;AE$5),1))+IF(AI1373="",0,IFERROR(--(EOMONTH(AI1373,0)&lt;&gt;AH$5),1))+IF(AL1373="",0,IFERROR(--(EOMONTH(AL1373,0)&lt;&gt;AK$5),1))+IF(AO1373="",0,IFERROR(--(EOMONTH(AO1373,0)&lt;&gt;AN$5),1))+IF(AR1373="",0,IFERROR(--(EOMONTH(AR1373,0)&lt;&gt;AQ$5),1))+IF(AU1373="",0,IFERROR(--(EOMONTH(AU1373,0)&lt;&gt;AT$5),1))+IF(AX1373="",0,IFERROR(--(EOMONTH(AX1373,0)&lt;&gt;AW$5),1))+IF(BA1373="",0,IFERROR(--(EOMONTH(BA1373,0)&lt;&gt;AZ$5),1)))&gt;0,"; An invoice date is not in the month it is typed under",""),3,500))</f>
        <v/>
      </c>
      <c r="S1373" s="12" t="n"/>
      <c r="T1373" s="13" t="n"/>
      <c r="U1373" s="14" t="n"/>
      <c r="V1373" s="12" t="n"/>
      <c r="W1373" s="13" t="n"/>
      <c r="X1373" s="14" t="n"/>
      <c r="Y1373" s="12" t="n"/>
      <c r="Z1373" s="13" t="n"/>
      <c r="AA1373" s="14" t="n"/>
      <c r="AB1373" s="12" t="n"/>
      <c r="AC1373" s="13" t="n"/>
      <c r="AD1373" s="14" t="n"/>
      <c r="AE1373" s="12" t="n"/>
      <c r="AF1373" s="13" t="n"/>
      <c r="AG1373" s="14" t="n"/>
      <c r="AH1373" s="12" t="n"/>
      <c r="AI1373" s="13" t="n"/>
      <c r="AJ1373" s="14" t="n"/>
      <c r="AK1373" s="12" t="n"/>
      <c r="AL1373" s="13" t="n"/>
      <c r="AM1373" s="14" t="n"/>
      <c r="AN1373" s="12" t="n"/>
      <c r="AO1373" s="13" t="n"/>
      <c r="AP1373" s="14" t="n"/>
      <c r="AQ1373" s="12" t="n"/>
      <c r="AR1373" s="13" t="n"/>
      <c r="AS1373" s="14" t="n"/>
      <c r="AT1373" s="12" t="n"/>
      <c r="AU1373" s="13" t="n"/>
      <c r="AV1373" s="14" t="n"/>
      <c r="AW1373" s="12" t="n"/>
      <c r="AX1373" s="13" t="n"/>
      <c r="AY1373" s="14" t="n"/>
      <c r="AZ1373" s="12" t="n"/>
      <c r="BA1373" s="13" t="n"/>
      <c r="BB1373" s="14" t="n"/>
      <c r="BC1373" s="11">
        <f>IF(O1373="","",IF(J1373="GST 10%",ROUND(O1373*set_GSTRate,2),0))</f>
        <v/>
      </c>
      <c r="BD1373" s="11">
        <f>IF(O1373="","",O1373+BC1373)</f>
        <v/>
      </c>
      <c r="BE1373" s="15">
        <f>IF(O1373="","",COUNTA(S1373,V1373,Y1373,AB1373,AE1373,AH1373,AK1373,AN1373,AQ1373,AT1373,AW1373,AZ1373))</f>
        <v/>
      </c>
      <c r="BF1373" s="16">
        <f>IF(COUNT(T1373,W1373,Z1373,AC1373,AF1373,AI1373,AL1373,AO1373,AR1373,AU1373,AX1373,BA1373)=0,"",MAX(T1373,W1373,Z1373,AC1373,AF1373,AI1373,AL1373,AO1373,AR1373,AU1373,AX1373,BA1373))</f>
        <v/>
      </c>
      <c r="BG1373" s="10">
        <f>MID(IF(S1373="","",", "&amp;S1373)&amp;IF(V1373="","",", "&amp;V1373)&amp;IF(Y1373="","",", "&amp;Y1373)&amp;IF(AB1373="","",", "&amp;AB1373)&amp;IF(AE1373="","",", "&amp;AE1373)&amp;IF(AH1373="","",", "&amp;AH1373)&amp;IF(AK1373="","",", "&amp;AK1373)&amp;IF(AN1373="","",", "&amp;AN1373)&amp;IF(AQ1373="","",", "&amp;AQ1373)&amp;IF(AT1373="","",", "&amp;AT1373)&amp;IF(AW1373="","",", "&amp;AW1373)&amp;IF(AZ1373="","",", "&amp;AZ1373),3,500)</f>
        <v/>
      </c>
      <c r="BH1373" s="12" t="n"/>
      <c r="BI1373" s="15">
        <f>IFERROR(MATCH($A1373,IF($B1373="Onsite",tbl_Onsite[Row ID],IF($B1373="Production",tbl_Production[Row ID],tbl_Consulting[Row ID])),0),"")</f>
        <v/>
      </c>
    </row>
    <row r="1374">
      <c r="A1374" s="10" t="inlineStr">
        <is>
          <t>CON-0368</t>
        </is>
      </c>
      <c r="B1374" s="10" t="inlineStr">
        <is>
          <t>Consulting</t>
        </is>
      </c>
      <c r="C1374" s="10">
        <f>IF($BI1374="","",IF($B1374="Onsite",INDEX(tbl_Onsite[Job Number],$BI1374),IF($B1374="Production",INDEX(tbl_Production[Job Number],$BI1374),INDEX(tbl_Consulting[Job Number],$BI1374)))&amp;"")</f>
        <v/>
      </c>
      <c r="D1374" s="10">
        <f>IF($BI1374="","",IF($B1374="Onsite",INDEX(tbl_Onsite[Client],$BI1374),IF($B1374="Production",INDEX(tbl_Production[Client],$BI1374),INDEX(tbl_Consulting[Client],$BI1374)))&amp;"")</f>
        <v/>
      </c>
      <c r="E1374" s="10">
        <f>IF($C1374="","",IF(COUNTIF(lst_Jobs,$C1374)&gt;0,"OK","CHECK"))</f>
        <v/>
      </c>
      <c r="F1374" s="10">
        <f>IF($C1374="","",IFERROR(INDEX(lst_JobName,MATCH($C1374,lst_Jobs,0)),""))</f>
        <v/>
      </c>
      <c r="G1374" s="10">
        <f>IF($BI1374="","",IF($B1374="Onsite",INDEX(tbl_Onsite[Job Description],$BI1374),IF($B1374="Production",INDEX(tbl_Production[Job Description],$BI1374),INDEX(tbl_Consulting[Job Description],$BI1374)))&amp;"")</f>
        <v/>
      </c>
      <c r="H1374" s="10">
        <f>IF($BI1374="","",IF($B1374="Onsite",INDEX(tbl_Onsite[Cost Centre],$BI1374),IF($B1374="Production",INDEX(tbl_Production[Cost Centre],$BI1374),INDEX(tbl_Consulting[Cost Centre],$BI1374)))&amp;"")</f>
        <v/>
      </c>
      <c r="I1374" s="10">
        <f>IF($BI1374="","",IF($B1374="Onsite",INDEX(tbl_Onsite[Invoice Type],$BI1374),IF($B1374="Production",INDEX(tbl_Production[Invoice Type],$BI1374),INDEX(tbl_Consulting[Invoice Type],$BI1374)))&amp;"")</f>
        <v/>
      </c>
      <c r="J1374" s="10">
        <f>IF($BI1374="","",IF($B1374="Onsite",INDEX(tbl_Onsite[Tax Code],$BI1374),IF($B1374="Production",INDEX(tbl_Production[Tax Code],$BI1374),INDEX(tbl_Consulting[Tax Code],$BI1374)))&amp;"")</f>
        <v/>
      </c>
      <c r="K1374" s="10">
        <f>IF(H1374="","",IFERROR(INDEX(lst_CCtoGL,MATCH(H1374,lst_CCforGL,0)),""))</f>
        <v/>
      </c>
      <c r="L1374" s="10">
        <f>IF($BI1374="","",IF($B1374="Onsite",INDEX(tbl_Onsite[PO / Reference],$BI1374),IF($B1374="Production",INDEX(tbl_Production[Current RMS No],$BI1374),INDEX(tbl_Consulting[Qwilr Quote],$BI1374)))&amp;"")</f>
        <v/>
      </c>
      <c r="M1374" s="10">
        <f>IF($BI1374="","",IF($B1374="Onsite",INDEX(tbl_Onsite[Notes],$BI1374),IF($B1374="Production",INDEX(tbl_Production[Notes],$BI1374),INDEX(tbl_Consulting[Notes],$BI1374)))&amp;"")</f>
        <v/>
      </c>
      <c r="N1374" s="11">
        <f>IF($BI1374="","",IF(IF($B1374="Onsite",INDEX(tbl_Onsite[Expected Revenue Ex GST],$BI1374),IF($B1374="Production",INDEX(tbl_Production[Expected Revenue Ex GST],$BI1374),INDEX(tbl_Consulting[Expected Revenue Ex GST],$BI1374)))="","",IF($B1374="Onsite",INDEX(tbl_Onsite[Expected Revenue Ex GST],$BI1374),IF($B1374="Production",INDEX(tbl_Production[Expected Revenue Ex GST],$BI1374),INDEX(tbl_Consulting[Expected Revenue Ex GST],$BI1374)))))</f>
        <v/>
      </c>
      <c r="O1374" s="11">
        <f>IF(AND($C1374="",NOT(COUNTA($S1374:$BB1374)&gt;0)),"",SUM(U1374,X1374,AA1374,AD1374,AG1374,AJ1374,AM1374,AP1374,AS1374,AV1374,AY1374,BB1374))</f>
        <v/>
      </c>
      <c r="P1374" s="11">
        <f>IF(O1374="","",N(N1374)-O1374)</f>
        <v/>
      </c>
      <c r="Q1374" s="10">
        <f>IF(O1374="","",IF($C1374="","Invoice on empty job row",IF(N1374="",IF(ROUND(O1374,2)=0,"No dept value","Invoiced - no dept value"),IF(ROUND(O1374,2)=0,"Not invoiced - to invoice",IF(ROUND(P1374,2)=0,"Agrees",IF(P1374&gt;0,"Dept higher - to invoice","Xero higher - check dept"))))))</f>
        <v/>
      </c>
      <c r="R1374" s="10">
        <f>IF(AND($C1374="",NOT(COUNTA($S1374:$BB1374)&gt;0),$BI1374&lt;&gt;""),"",MID(IF($BI1374="","; Row ID not found on the department sheet - a row was deleted","")&amp;IF(AND($C1374="",COUNTA($S1374:$BB1374)&gt;0),"; Invoice entered but the department row has no job number","")&amp;IF(E1374="CHECK","; Job number not in the Xero job list","")&amp;IF(AND($C1374&lt;&gt;"",COUNTIF($C$7:$C$1506,$C1374)&gt;1),"; Job number on more than one row","")&amp;IF(AND($C1374&lt;&gt;"",H1374=""),"; Dept has not set a cost centre","")&amp;IF(AND($C1374&lt;&gt;"",J1374=""),"; Dept has not set a tax code","")&amp;IF(AND($C1374&lt;&gt;"",N1374=""),"; Dept has not entered an expected value","")&amp;IF((IF(OR(COUNTA(S1374:U1374)=0,AND(COUNTA(S1374:U1374)=3,ISNUMBER(U1374))),0,1)+IF(OR(COUNTA(V1374:X1374)=0,AND(COUNTA(V1374:X1374)=3,ISNUMBER(X1374))),0,1)+IF(OR(COUNTA(Y1374:AA1374)=0,AND(COUNTA(Y1374:AA1374)=3,ISNUMBER(AA1374))),0,1)+IF(OR(COUNTA(AB1374:AD1374)=0,AND(COUNTA(AB1374:AD1374)=3,ISNUMBER(AD1374))),0,1)+IF(OR(COUNTA(AE1374:AG1374)=0,AND(COUNTA(AE1374:AG1374)=3,ISNUMBER(AG1374))),0,1)+IF(OR(COUNTA(AH1374:AJ1374)=0,AND(COUNTA(AH1374:AJ1374)=3,ISNUMBER(AJ1374))),0,1)+IF(OR(COUNTA(AK1374:AM1374)=0,AND(COUNTA(AK1374:AM1374)=3,ISNUMBER(AM1374))),0,1)+IF(OR(COUNTA(AN1374:AP1374)=0,AND(COUNTA(AN1374:AP1374)=3,ISNUMBER(AP1374))),0,1)+IF(OR(COUNTA(AQ1374:AS1374)=0,AND(COUNTA(AQ1374:AS1374)=3,ISNUMBER(AS1374))),0,1)+IF(OR(COUNTA(AT1374:AV1374)=0,AND(COUNTA(AT1374:AV1374)=3,ISNUMBER(AV1374))),0,1)+IF(OR(COUNTA(AW1374:AY1374)=0,AND(COUNTA(AW1374:AY1374)=3,ISNUMBER(AY1374))),0,1)+IF(OR(COUNTA(AZ1374:BB1374)=0,AND(COUNTA(AZ1374:BB1374)=3,ISNUMBER(BB1374))),0,1))&gt;0,"; An invoice is incomplete (needs No, Date and a number in Ex GST)","")&amp;IF((IF(T1374="",0,IFERROR(--(EOMONTH(T1374,0)&lt;&gt;S$5),1))+IF(W1374="",0,IFERROR(--(EOMONTH(W1374,0)&lt;&gt;V$5),1))+IF(Z1374="",0,IFERROR(--(EOMONTH(Z1374,0)&lt;&gt;Y$5),1))+IF(AC1374="",0,IFERROR(--(EOMONTH(AC1374,0)&lt;&gt;AB$5),1))+IF(AF1374="",0,IFERROR(--(EOMONTH(AF1374,0)&lt;&gt;AE$5),1))+IF(AI1374="",0,IFERROR(--(EOMONTH(AI1374,0)&lt;&gt;AH$5),1))+IF(AL1374="",0,IFERROR(--(EOMONTH(AL1374,0)&lt;&gt;AK$5),1))+IF(AO1374="",0,IFERROR(--(EOMONTH(AO1374,0)&lt;&gt;AN$5),1))+IF(AR1374="",0,IFERROR(--(EOMONTH(AR1374,0)&lt;&gt;AQ$5),1))+IF(AU1374="",0,IFERROR(--(EOMONTH(AU1374,0)&lt;&gt;AT$5),1))+IF(AX1374="",0,IFERROR(--(EOMONTH(AX1374,0)&lt;&gt;AW$5),1))+IF(BA1374="",0,IFERROR(--(EOMONTH(BA1374,0)&lt;&gt;AZ$5),1)))&gt;0,"; An invoice date is not in the month it is typed under",""),3,500))</f>
        <v/>
      </c>
      <c r="S1374" s="12" t="n"/>
      <c r="T1374" s="13" t="n"/>
      <c r="U1374" s="14" t="n"/>
      <c r="V1374" s="12" t="n"/>
      <c r="W1374" s="13" t="n"/>
      <c r="X1374" s="14" t="n"/>
      <c r="Y1374" s="12" t="n"/>
      <c r="Z1374" s="13" t="n"/>
      <c r="AA1374" s="14" t="n"/>
      <c r="AB1374" s="12" t="n"/>
      <c r="AC1374" s="13" t="n"/>
      <c r="AD1374" s="14" t="n"/>
      <c r="AE1374" s="12" t="n"/>
      <c r="AF1374" s="13" t="n"/>
      <c r="AG1374" s="14" t="n"/>
      <c r="AH1374" s="12" t="n"/>
      <c r="AI1374" s="13" t="n"/>
      <c r="AJ1374" s="14" t="n"/>
      <c r="AK1374" s="12" t="n"/>
      <c r="AL1374" s="13" t="n"/>
      <c r="AM1374" s="14" t="n"/>
      <c r="AN1374" s="12" t="n"/>
      <c r="AO1374" s="13" t="n"/>
      <c r="AP1374" s="14" t="n"/>
      <c r="AQ1374" s="12" t="n"/>
      <c r="AR1374" s="13" t="n"/>
      <c r="AS1374" s="14" t="n"/>
      <c r="AT1374" s="12" t="n"/>
      <c r="AU1374" s="13" t="n"/>
      <c r="AV1374" s="14" t="n"/>
      <c r="AW1374" s="12" t="n"/>
      <c r="AX1374" s="13" t="n"/>
      <c r="AY1374" s="14" t="n"/>
      <c r="AZ1374" s="12" t="n"/>
      <c r="BA1374" s="13" t="n"/>
      <c r="BB1374" s="14" t="n"/>
      <c r="BC1374" s="11">
        <f>IF(O1374="","",IF(J1374="GST 10%",ROUND(O1374*set_GSTRate,2),0))</f>
        <v/>
      </c>
      <c r="BD1374" s="11">
        <f>IF(O1374="","",O1374+BC1374)</f>
        <v/>
      </c>
      <c r="BE1374" s="15">
        <f>IF(O1374="","",COUNTA(S1374,V1374,Y1374,AB1374,AE1374,AH1374,AK1374,AN1374,AQ1374,AT1374,AW1374,AZ1374))</f>
        <v/>
      </c>
      <c r="BF1374" s="16">
        <f>IF(COUNT(T1374,W1374,Z1374,AC1374,AF1374,AI1374,AL1374,AO1374,AR1374,AU1374,AX1374,BA1374)=0,"",MAX(T1374,W1374,Z1374,AC1374,AF1374,AI1374,AL1374,AO1374,AR1374,AU1374,AX1374,BA1374))</f>
        <v/>
      </c>
      <c r="BG1374" s="10">
        <f>MID(IF(S1374="","",", "&amp;S1374)&amp;IF(V1374="","",", "&amp;V1374)&amp;IF(Y1374="","",", "&amp;Y1374)&amp;IF(AB1374="","",", "&amp;AB1374)&amp;IF(AE1374="","",", "&amp;AE1374)&amp;IF(AH1374="","",", "&amp;AH1374)&amp;IF(AK1374="","",", "&amp;AK1374)&amp;IF(AN1374="","",", "&amp;AN1374)&amp;IF(AQ1374="","",", "&amp;AQ1374)&amp;IF(AT1374="","",", "&amp;AT1374)&amp;IF(AW1374="","",", "&amp;AW1374)&amp;IF(AZ1374="","",", "&amp;AZ1374),3,500)</f>
        <v/>
      </c>
      <c r="BH1374" s="12" t="n"/>
      <c r="BI1374" s="15">
        <f>IFERROR(MATCH($A1374,IF($B1374="Onsite",tbl_Onsite[Row ID],IF($B1374="Production",tbl_Production[Row ID],tbl_Consulting[Row ID])),0),"")</f>
        <v/>
      </c>
    </row>
    <row r="1375">
      <c r="A1375" s="10" t="inlineStr">
        <is>
          <t>CON-0369</t>
        </is>
      </c>
      <c r="B1375" s="10" t="inlineStr">
        <is>
          <t>Consulting</t>
        </is>
      </c>
      <c r="C1375" s="10">
        <f>IF($BI1375="","",IF($B1375="Onsite",INDEX(tbl_Onsite[Job Number],$BI1375),IF($B1375="Production",INDEX(tbl_Production[Job Number],$BI1375),INDEX(tbl_Consulting[Job Number],$BI1375)))&amp;"")</f>
        <v/>
      </c>
      <c r="D1375" s="10">
        <f>IF($BI1375="","",IF($B1375="Onsite",INDEX(tbl_Onsite[Client],$BI1375),IF($B1375="Production",INDEX(tbl_Production[Client],$BI1375),INDEX(tbl_Consulting[Client],$BI1375)))&amp;"")</f>
        <v/>
      </c>
      <c r="E1375" s="10">
        <f>IF($C1375="","",IF(COUNTIF(lst_Jobs,$C1375)&gt;0,"OK","CHECK"))</f>
        <v/>
      </c>
      <c r="F1375" s="10">
        <f>IF($C1375="","",IFERROR(INDEX(lst_JobName,MATCH($C1375,lst_Jobs,0)),""))</f>
        <v/>
      </c>
      <c r="G1375" s="10">
        <f>IF($BI1375="","",IF($B1375="Onsite",INDEX(tbl_Onsite[Job Description],$BI1375),IF($B1375="Production",INDEX(tbl_Production[Job Description],$BI1375),INDEX(tbl_Consulting[Job Description],$BI1375)))&amp;"")</f>
        <v/>
      </c>
      <c r="H1375" s="10">
        <f>IF($BI1375="","",IF($B1375="Onsite",INDEX(tbl_Onsite[Cost Centre],$BI1375),IF($B1375="Production",INDEX(tbl_Production[Cost Centre],$BI1375),INDEX(tbl_Consulting[Cost Centre],$BI1375)))&amp;"")</f>
        <v/>
      </c>
      <c r="I1375" s="10">
        <f>IF($BI1375="","",IF($B1375="Onsite",INDEX(tbl_Onsite[Invoice Type],$BI1375),IF($B1375="Production",INDEX(tbl_Production[Invoice Type],$BI1375),INDEX(tbl_Consulting[Invoice Type],$BI1375)))&amp;"")</f>
        <v/>
      </c>
      <c r="J1375" s="10">
        <f>IF($BI1375="","",IF($B1375="Onsite",INDEX(tbl_Onsite[Tax Code],$BI1375),IF($B1375="Production",INDEX(tbl_Production[Tax Code],$BI1375),INDEX(tbl_Consulting[Tax Code],$BI1375)))&amp;"")</f>
        <v/>
      </c>
      <c r="K1375" s="10">
        <f>IF(H1375="","",IFERROR(INDEX(lst_CCtoGL,MATCH(H1375,lst_CCforGL,0)),""))</f>
        <v/>
      </c>
      <c r="L1375" s="10">
        <f>IF($BI1375="","",IF($B1375="Onsite",INDEX(tbl_Onsite[PO / Reference],$BI1375),IF($B1375="Production",INDEX(tbl_Production[Current RMS No],$BI1375),INDEX(tbl_Consulting[Qwilr Quote],$BI1375)))&amp;"")</f>
        <v/>
      </c>
      <c r="M1375" s="10">
        <f>IF($BI1375="","",IF($B1375="Onsite",INDEX(tbl_Onsite[Notes],$BI1375),IF($B1375="Production",INDEX(tbl_Production[Notes],$BI1375),INDEX(tbl_Consulting[Notes],$BI1375)))&amp;"")</f>
        <v/>
      </c>
      <c r="N1375" s="11">
        <f>IF($BI1375="","",IF(IF($B1375="Onsite",INDEX(tbl_Onsite[Expected Revenue Ex GST],$BI1375),IF($B1375="Production",INDEX(tbl_Production[Expected Revenue Ex GST],$BI1375),INDEX(tbl_Consulting[Expected Revenue Ex GST],$BI1375)))="","",IF($B1375="Onsite",INDEX(tbl_Onsite[Expected Revenue Ex GST],$BI1375),IF($B1375="Production",INDEX(tbl_Production[Expected Revenue Ex GST],$BI1375),INDEX(tbl_Consulting[Expected Revenue Ex GST],$BI1375)))))</f>
        <v/>
      </c>
      <c r="O1375" s="11">
        <f>IF(AND($C1375="",NOT(COUNTA($S1375:$BB1375)&gt;0)),"",SUM(U1375,X1375,AA1375,AD1375,AG1375,AJ1375,AM1375,AP1375,AS1375,AV1375,AY1375,BB1375))</f>
        <v/>
      </c>
      <c r="P1375" s="11">
        <f>IF(O1375="","",N(N1375)-O1375)</f>
        <v/>
      </c>
      <c r="Q1375" s="10">
        <f>IF(O1375="","",IF($C1375="","Invoice on empty job row",IF(N1375="",IF(ROUND(O1375,2)=0,"No dept value","Invoiced - no dept value"),IF(ROUND(O1375,2)=0,"Not invoiced - to invoice",IF(ROUND(P1375,2)=0,"Agrees",IF(P1375&gt;0,"Dept higher - to invoice","Xero higher - check dept"))))))</f>
        <v/>
      </c>
      <c r="R1375" s="10">
        <f>IF(AND($C1375="",NOT(COUNTA($S1375:$BB1375)&gt;0),$BI1375&lt;&gt;""),"",MID(IF($BI1375="","; Row ID not found on the department sheet - a row was deleted","")&amp;IF(AND($C1375="",COUNTA($S1375:$BB1375)&gt;0),"; Invoice entered but the department row has no job number","")&amp;IF(E1375="CHECK","; Job number not in the Xero job list","")&amp;IF(AND($C1375&lt;&gt;"",COUNTIF($C$7:$C$1506,$C1375)&gt;1),"; Job number on more than one row","")&amp;IF(AND($C1375&lt;&gt;"",H1375=""),"; Dept has not set a cost centre","")&amp;IF(AND($C1375&lt;&gt;"",J1375=""),"; Dept has not set a tax code","")&amp;IF(AND($C1375&lt;&gt;"",N1375=""),"; Dept has not entered an expected value","")&amp;IF((IF(OR(COUNTA(S1375:U1375)=0,AND(COUNTA(S1375:U1375)=3,ISNUMBER(U1375))),0,1)+IF(OR(COUNTA(V1375:X1375)=0,AND(COUNTA(V1375:X1375)=3,ISNUMBER(X1375))),0,1)+IF(OR(COUNTA(Y1375:AA1375)=0,AND(COUNTA(Y1375:AA1375)=3,ISNUMBER(AA1375))),0,1)+IF(OR(COUNTA(AB1375:AD1375)=0,AND(COUNTA(AB1375:AD1375)=3,ISNUMBER(AD1375))),0,1)+IF(OR(COUNTA(AE1375:AG1375)=0,AND(COUNTA(AE1375:AG1375)=3,ISNUMBER(AG1375))),0,1)+IF(OR(COUNTA(AH1375:AJ1375)=0,AND(COUNTA(AH1375:AJ1375)=3,ISNUMBER(AJ1375))),0,1)+IF(OR(COUNTA(AK1375:AM1375)=0,AND(COUNTA(AK1375:AM1375)=3,ISNUMBER(AM1375))),0,1)+IF(OR(COUNTA(AN1375:AP1375)=0,AND(COUNTA(AN1375:AP1375)=3,ISNUMBER(AP1375))),0,1)+IF(OR(COUNTA(AQ1375:AS1375)=0,AND(COUNTA(AQ1375:AS1375)=3,ISNUMBER(AS1375))),0,1)+IF(OR(COUNTA(AT1375:AV1375)=0,AND(COUNTA(AT1375:AV1375)=3,ISNUMBER(AV1375))),0,1)+IF(OR(COUNTA(AW1375:AY1375)=0,AND(COUNTA(AW1375:AY1375)=3,ISNUMBER(AY1375))),0,1)+IF(OR(COUNTA(AZ1375:BB1375)=0,AND(COUNTA(AZ1375:BB1375)=3,ISNUMBER(BB1375))),0,1))&gt;0,"; An invoice is incomplete (needs No, Date and a number in Ex GST)","")&amp;IF((IF(T1375="",0,IFERROR(--(EOMONTH(T1375,0)&lt;&gt;S$5),1))+IF(W1375="",0,IFERROR(--(EOMONTH(W1375,0)&lt;&gt;V$5),1))+IF(Z1375="",0,IFERROR(--(EOMONTH(Z1375,0)&lt;&gt;Y$5),1))+IF(AC1375="",0,IFERROR(--(EOMONTH(AC1375,0)&lt;&gt;AB$5),1))+IF(AF1375="",0,IFERROR(--(EOMONTH(AF1375,0)&lt;&gt;AE$5),1))+IF(AI1375="",0,IFERROR(--(EOMONTH(AI1375,0)&lt;&gt;AH$5),1))+IF(AL1375="",0,IFERROR(--(EOMONTH(AL1375,0)&lt;&gt;AK$5),1))+IF(AO1375="",0,IFERROR(--(EOMONTH(AO1375,0)&lt;&gt;AN$5),1))+IF(AR1375="",0,IFERROR(--(EOMONTH(AR1375,0)&lt;&gt;AQ$5),1))+IF(AU1375="",0,IFERROR(--(EOMONTH(AU1375,0)&lt;&gt;AT$5),1))+IF(AX1375="",0,IFERROR(--(EOMONTH(AX1375,0)&lt;&gt;AW$5),1))+IF(BA1375="",0,IFERROR(--(EOMONTH(BA1375,0)&lt;&gt;AZ$5),1)))&gt;0,"; An invoice date is not in the month it is typed under",""),3,500))</f>
        <v/>
      </c>
      <c r="S1375" s="12" t="n"/>
      <c r="T1375" s="13" t="n"/>
      <c r="U1375" s="14" t="n"/>
      <c r="V1375" s="12" t="n"/>
      <c r="W1375" s="13" t="n"/>
      <c r="X1375" s="14" t="n"/>
      <c r="Y1375" s="12" t="n"/>
      <c r="Z1375" s="13" t="n"/>
      <c r="AA1375" s="14" t="n"/>
      <c r="AB1375" s="12" t="n"/>
      <c r="AC1375" s="13" t="n"/>
      <c r="AD1375" s="14" t="n"/>
      <c r="AE1375" s="12" t="n"/>
      <c r="AF1375" s="13" t="n"/>
      <c r="AG1375" s="14" t="n"/>
      <c r="AH1375" s="12" t="n"/>
      <c r="AI1375" s="13" t="n"/>
      <c r="AJ1375" s="14" t="n"/>
      <c r="AK1375" s="12" t="n"/>
      <c r="AL1375" s="13" t="n"/>
      <c r="AM1375" s="14" t="n"/>
      <c r="AN1375" s="12" t="n"/>
      <c r="AO1375" s="13" t="n"/>
      <c r="AP1375" s="14" t="n"/>
      <c r="AQ1375" s="12" t="n"/>
      <c r="AR1375" s="13" t="n"/>
      <c r="AS1375" s="14" t="n"/>
      <c r="AT1375" s="12" t="n"/>
      <c r="AU1375" s="13" t="n"/>
      <c r="AV1375" s="14" t="n"/>
      <c r="AW1375" s="12" t="n"/>
      <c r="AX1375" s="13" t="n"/>
      <c r="AY1375" s="14" t="n"/>
      <c r="AZ1375" s="12" t="n"/>
      <c r="BA1375" s="13" t="n"/>
      <c r="BB1375" s="14" t="n"/>
      <c r="BC1375" s="11">
        <f>IF(O1375="","",IF(J1375="GST 10%",ROUND(O1375*set_GSTRate,2),0))</f>
        <v/>
      </c>
      <c r="BD1375" s="11">
        <f>IF(O1375="","",O1375+BC1375)</f>
        <v/>
      </c>
      <c r="BE1375" s="15">
        <f>IF(O1375="","",COUNTA(S1375,V1375,Y1375,AB1375,AE1375,AH1375,AK1375,AN1375,AQ1375,AT1375,AW1375,AZ1375))</f>
        <v/>
      </c>
      <c r="BF1375" s="16">
        <f>IF(COUNT(T1375,W1375,Z1375,AC1375,AF1375,AI1375,AL1375,AO1375,AR1375,AU1375,AX1375,BA1375)=0,"",MAX(T1375,W1375,Z1375,AC1375,AF1375,AI1375,AL1375,AO1375,AR1375,AU1375,AX1375,BA1375))</f>
        <v/>
      </c>
      <c r="BG1375" s="10">
        <f>MID(IF(S1375="","",", "&amp;S1375)&amp;IF(V1375="","",", "&amp;V1375)&amp;IF(Y1375="","",", "&amp;Y1375)&amp;IF(AB1375="","",", "&amp;AB1375)&amp;IF(AE1375="","",", "&amp;AE1375)&amp;IF(AH1375="","",", "&amp;AH1375)&amp;IF(AK1375="","",", "&amp;AK1375)&amp;IF(AN1375="","",", "&amp;AN1375)&amp;IF(AQ1375="","",", "&amp;AQ1375)&amp;IF(AT1375="","",", "&amp;AT1375)&amp;IF(AW1375="","",", "&amp;AW1375)&amp;IF(AZ1375="","",", "&amp;AZ1375),3,500)</f>
        <v/>
      </c>
      <c r="BH1375" s="12" t="n"/>
      <c r="BI1375" s="15">
        <f>IFERROR(MATCH($A1375,IF($B1375="Onsite",tbl_Onsite[Row ID],IF($B1375="Production",tbl_Production[Row ID],tbl_Consulting[Row ID])),0),"")</f>
        <v/>
      </c>
    </row>
    <row r="1376">
      <c r="A1376" s="10" t="inlineStr">
        <is>
          <t>CON-0370</t>
        </is>
      </c>
      <c r="B1376" s="10" t="inlineStr">
        <is>
          <t>Consulting</t>
        </is>
      </c>
      <c r="C1376" s="10">
        <f>IF($BI1376="","",IF($B1376="Onsite",INDEX(tbl_Onsite[Job Number],$BI1376),IF($B1376="Production",INDEX(tbl_Production[Job Number],$BI1376),INDEX(tbl_Consulting[Job Number],$BI1376)))&amp;"")</f>
        <v/>
      </c>
      <c r="D1376" s="10">
        <f>IF($BI1376="","",IF($B1376="Onsite",INDEX(tbl_Onsite[Client],$BI1376),IF($B1376="Production",INDEX(tbl_Production[Client],$BI1376),INDEX(tbl_Consulting[Client],$BI1376)))&amp;"")</f>
        <v/>
      </c>
      <c r="E1376" s="10">
        <f>IF($C1376="","",IF(COUNTIF(lst_Jobs,$C1376)&gt;0,"OK","CHECK"))</f>
        <v/>
      </c>
      <c r="F1376" s="10">
        <f>IF($C1376="","",IFERROR(INDEX(lst_JobName,MATCH($C1376,lst_Jobs,0)),""))</f>
        <v/>
      </c>
      <c r="G1376" s="10">
        <f>IF($BI1376="","",IF($B1376="Onsite",INDEX(tbl_Onsite[Job Description],$BI1376),IF($B1376="Production",INDEX(tbl_Production[Job Description],$BI1376),INDEX(tbl_Consulting[Job Description],$BI1376)))&amp;"")</f>
        <v/>
      </c>
      <c r="H1376" s="10">
        <f>IF($BI1376="","",IF($B1376="Onsite",INDEX(tbl_Onsite[Cost Centre],$BI1376),IF($B1376="Production",INDEX(tbl_Production[Cost Centre],$BI1376),INDEX(tbl_Consulting[Cost Centre],$BI1376)))&amp;"")</f>
        <v/>
      </c>
      <c r="I1376" s="10">
        <f>IF($BI1376="","",IF($B1376="Onsite",INDEX(tbl_Onsite[Invoice Type],$BI1376),IF($B1376="Production",INDEX(tbl_Production[Invoice Type],$BI1376),INDEX(tbl_Consulting[Invoice Type],$BI1376)))&amp;"")</f>
        <v/>
      </c>
      <c r="J1376" s="10">
        <f>IF($BI1376="","",IF($B1376="Onsite",INDEX(tbl_Onsite[Tax Code],$BI1376),IF($B1376="Production",INDEX(tbl_Production[Tax Code],$BI1376),INDEX(tbl_Consulting[Tax Code],$BI1376)))&amp;"")</f>
        <v/>
      </c>
      <c r="K1376" s="10">
        <f>IF(H1376="","",IFERROR(INDEX(lst_CCtoGL,MATCH(H1376,lst_CCforGL,0)),""))</f>
        <v/>
      </c>
      <c r="L1376" s="10">
        <f>IF($BI1376="","",IF($B1376="Onsite",INDEX(tbl_Onsite[PO / Reference],$BI1376),IF($B1376="Production",INDEX(tbl_Production[Current RMS No],$BI1376),INDEX(tbl_Consulting[Qwilr Quote],$BI1376)))&amp;"")</f>
        <v/>
      </c>
      <c r="M1376" s="10">
        <f>IF($BI1376="","",IF($B1376="Onsite",INDEX(tbl_Onsite[Notes],$BI1376),IF($B1376="Production",INDEX(tbl_Production[Notes],$BI1376),INDEX(tbl_Consulting[Notes],$BI1376)))&amp;"")</f>
        <v/>
      </c>
      <c r="N1376" s="11">
        <f>IF($BI1376="","",IF(IF($B1376="Onsite",INDEX(tbl_Onsite[Expected Revenue Ex GST],$BI1376),IF($B1376="Production",INDEX(tbl_Production[Expected Revenue Ex GST],$BI1376),INDEX(tbl_Consulting[Expected Revenue Ex GST],$BI1376)))="","",IF($B1376="Onsite",INDEX(tbl_Onsite[Expected Revenue Ex GST],$BI1376),IF($B1376="Production",INDEX(tbl_Production[Expected Revenue Ex GST],$BI1376),INDEX(tbl_Consulting[Expected Revenue Ex GST],$BI1376)))))</f>
        <v/>
      </c>
      <c r="O1376" s="11">
        <f>IF(AND($C1376="",NOT(COUNTA($S1376:$BB1376)&gt;0)),"",SUM(U1376,X1376,AA1376,AD1376,AG1376,AJ1376,AM1376,AP1376,AS1376,AV1376,AY1376,BB1376))</f>
        <v/>
      </c>
      <c r="P1376" s="11">
        <f>IF(O1376="","",N(N1376)-O1376)</f>
        <v/>
      </c>
      <c r="Q1376" s="10">
        <f>IF(O1376="","",IF($C1376="","Invoice on empty job row",IF(N1376="",IF(ROUND(O1376,2)=0,"No dept value","Invoiced - no dept value"),IF(ROUND(O1376,2)=0,"Not invoiced - to invoice",IF(ROUND(P1376,2)=0,"Agrees",IF(P1376&gt;0,"Dept higher - to invoice","Xero higher - check dept"))))))</f>
        <v/>
      </c>
      <c r="R1376" s="10">
        <f>IF(AND($C1376="",NOT(COUNTA($S1376:$BB1376)&gt;0),$BI1376&lt;&gt;""),"",MID(IF($BI1376="","; Row ID not found on the department sheet - a row was deleted","")&amp;IF(AND($C1376="",COUNTA($S1376:$BB1376)&gt;0),"; Invoice entered but the department row has no job number","")&amp;IF(E1376="CHECK","; Job number not in the Xero job list","")&amp;IF(AND($C1376&lt;&gt;"",COUNTIF($C$7:$C$1506,$C1376)&gt;1),"; Job number on more than one row","")&amp;IF(AND($C1376&lt;&gt;"",H1376=""),"; Dept has not set a cost centre","")&amp;IF(AND($C1376&lt;&gt;"",J1376=""),"; Dept has not set a tax code","")&amp;IF(AND($C1376&lt;&gt;"",N1376=""),"; Dept has not entered an expected value","")&amp;IF((IF(OR(COUNTA(S1376:U1376)=0,AND(COUNTA(S1376:U1376)=3,ISNUMBER(U1376))),0,1)+IF(OR(COUNTA(V1376:X1376)=0,AND(COUNTA(V1376:X1376)=3,ISNUMBER(X1376))),0,1)+IF(OR(COUNTA(Y1376:AA1376)=0,AND(COUNTA(Y1376:AA1376)=3,ISNUMBER(AA1376))),0,1)+IF(OR(COUNTA(AB1376:AD1376)=0,AND(COUNTA(AB1376:AD1376)=3,ISNUMBER(AD1376))),0,1)+IF(OR(COUNTA(AE1376:AG1376)=0,AND(COUNTA(AE1376:AG1376)=3,ISNUMBER(AG1376))),0,1)+IF(OR(COUNTA(AH1376:AJ1376)=0,AND(COUNTA(AH1376:AJ1376)=3,ISNUMBER(AJ1376))),0,1)+IF(OR(COUNTA(AK1376:AM1376)=0,AND(COUNTA(AK1376:AM1376)=3,ISNUMBER(AM1376))),0,1)+IF(OR(COUNTA(AN1376:AP1376)=0,AND(COUNTA(AN1376:AP1376)=3,ISNUMBER(AP1376))),0,1)+IF(OR(COUNTA(AQ1376:AS1376)=0,AND(COUNTA(AQ1376:AS1376)=3,ISNUMBER(AS1376))),0,1)+IF(OR(COUNTA(AT1376:AV1376)=0,AND(COUNTA(AT1376:AV1376)=3,ISNUMBER(AV1376))),0,1)+IF(OR(COUNTA(AW1376:AY1376)=0,AND(COUNTA(AW1376:AY1376)=3,ISNUMBER(AY1376))),0,1)+IF(OR(COUNTA(AZ1376:BB1376)=0,AND(COUNTA(AZ1376:BB1376)=3,ISNUMBER(BB1376))),0,1))&gt;0,"; An invoice is incomplete (needs No, Date and a number in Ex GST)","")&amp;IF((IF(T1376="",0,IFERROR(--(EOMONTH(T1376,0)&lt;&gt;S$5),1))+IF(W1376="",0,IFERROR(--(EOMONTH(W1376,0)&lt;&gt;V$5),1))+IF(Z1376="",0,IFERROR(--(EOMONTH(Z1376,0)&lt;&gt;Y$5),1))+IF(AC1376="",0,IFERROR(--(EOMONTH(AC1376,0)&lt;&gt;AB$5),1))+IF(AF1376="",0,IFERROR(--(EOMONTH(AF1376,0)&lt;&gt;AE$5),1))+IF(AI1376="",0,IFERROR(--(EOMONTH(AI1376,0)&lt;&gt;AH$5),1))+IF(AL1376="",0,IFERROR(--(EOMONTH(AL1376,0)&lt;&gt;AK$5),1))+IF(AO1376="",0,IFERROR(--(EOMONTH(AO1376,0)&lt;&gt;AN$5),1))+IF(AR1376="",0,IFERROR(--(EOMONTH(AR1376,0)&lt;&gt;AQ$5),1))+IF(AU1376="",0,IFERROR(--(EOMONTH(AU1376,0)&lt;&gt;AT$5),1))+IF(AX1376="",0,IFERROR(--(EOMONTH(AX1376,0)&lt;&gt;AW$5),1))+IF(BA1376="",0,IFERROR(--(EOMONTH(BA1376,0)&lt;&gt;AZ$5),1)))&gt;0,"; An invoice date is not in the month it is typed under",""),3,500))</f>
        <v/>
      </c>
      <c r="S1376" s="12" t="n"/>
      <c r="T1376" s="13" t="n"/>
      <c r="U1376" s="14" t="n"/>
      <c r="V1376" s="12" t="n"/>
      <c r="W1376" s="13" t="n"/>
      <c r="X1376" s="14" t="n"/>
      <c r="Y1376" s="12" t="n"/>
      <c r="Z1376" s="13" t="n"/>
      <c r="AA1376" s="14" t="n"/>
      <c r="AB1376" s="12" t="n"/>
      <c r="AC1376" s="13" t="n"/>
      <c r="AD1376" s="14" t="n"/>
      <c r="AE1376" s="12" t="n"/>
      <c r="AF1376" s="13" t="n"/>
      <c r="AG1376" s="14" t="n"/>
      <c r="AH1376" s="12" t="n"/>
      <c r="AI1376" s="13" t="n"/>
      <c r="AJ1376" s="14" t="n"/>
      <c r="AK1376" s="12" t="n"/>
      <c r="AL1376" s="13" t="n"/>
      <c r="AM1376" s="14" t="n"/>
      <c r="AN1376" s="12" t="n"/>
      <c r="AO1376" s="13" t="n"/>
      <c r="AP1376" s="14" t="n"/>
      <c r="AQ1376" s="12" t="n"/>
      <c r="AR1376" s="13" t="n"/>
      <c r="AS1376" s="14" t="n"/>
      <c r="AT1376" s="12" t="n"/>
      <c r="AU1376" s="13" t="n"/>
      <c r="AV1376" s="14" t="n"/>
      <c r="AW1376" s="12" t="n"/>
      <c r="AX1376" s="13" t="n"/>
      <c r="AY1376" s="14" t="n"/>
      <c r="AZ1376" s="12" t="n"/>
      <c r="BA1376" s="13" t="n"/>
      <c r="BB1376" s="14" t="n"/>
      <c r="BC1376" s="11">
        <f>IF(O1376="","",IF(J1376="GST 10%",ROUND(O1376*set_GSTRate,2),0))</f>
        <v/>
      </c>
      <c r="BD1376" s="11">
        <f>IF(O1376="","",O1376+BC1376)</f>
        <v/>
      </c>
      <c r="BE1376" s="15">
        <f>IF(O1376="","",COUNTA(S1376,V1376,Y1376,AB1376,AE1376,AH1376,AK1376,AN1376,AQ1376,AT1376,AW1376,AZ1376))</f>
        <v/>
      </c>
      <c r="BF1376" s="16">
        <f>IF(COUNT(T1376,W1376,Z1376,AC1376,AF1376,AI1376,AL1376,AO1376,AR1376,AU1376,AX1376,BA1376)=0,"",MAX(T1376,W1376,Z1376,AC1376,AF1376,AI1376,AL1376,AO1376,AR1376,AU1376,AX1376,BA1376))</f>
        <v/>
      </c>
      <c r="BG1376" s="10">
        <f>MID(IF(S1376="","",", "&amp;S1376)&amp;IF(V1376="","",", "&amp;V1376)&amp;IF(Y1376="","",", "&amp;Y1376)&amp;IF(AB1376="","",", "&amp;AB1376)&amp;IF(AE1376="","",", "&amp;AE1376)&amp;IF(AH1376="","",", "&amp;AH1376)&amp;IF(AK1376="","",", "&amp;AK1376)&amp;IF(AN1376="","",", "&amp;AN1376)&amp;IF(AQ1376="","",", "&amp;AQ1376)&amp;IF(AT1376="","",", "&amp;AT1376)&amp;IF(AW1376="","",", "&amp;AW1376)&amp;IF(AZ1376="","",", "&amp;AZ1376),3,500)</f>
        <v/>
      </c>
      <c r="BH1376" s="12" t="n"/>
      <c r="BI1376" s="15">
        <f>IFERROR(MATCH($A1376,IF($B1376="Onsite",tbl_Onsite[Row ID],IF($B1376="Production",tbl_Production[Row ID],tbl_Consulting[Row ID])),0),"")</f>
        <v/>
      </c>
    </row>
    <row r="1377">
      <c r="A1377" s="10" t="inlineStr">
        <is>
          <t>CON-0371</t>
        </is>
      </c>
      <c r="B1377" s="10" t="inlineStr">
        <is>
          <t>Consulting</t>
        </is>
      </c>
      <c r="C1377" s="10">
        <f>IF($BI1377="","",IF($B1377="Onsite",INDEX(tbl_Onsite[Job Number],$BI1377),IF($B1377="Production",INDEX(tbl_Production[Job Number],$BI1377),INDEX(tbl_Consulting[Job Number],$BI1377)))&amp;"")</f>
        <v/>
      </c>
      <c r="D1377" s="10">
        <f>IF($BI1377="","",IF($B1377="Onsite",INDEX(tbl_Onsite[Client],$BI1377),IF($B1377="Production",INDEX(tbl_Production[Client],$BI1377),INDEX(tbl_Consulting[Client],$BI1377)))&amp;"")</f>
        <v/>
      </c>
      <c r="E1377" s="10">
        <f>IF($C1377="","",IF(COUNTIF(lst_Jobs,$C1377)&gt;0,"OK","CHECK"))</f>
        <v/>
      </c>
      <c r="F1377" s="10">
        <f>IF($C1377="","",IFERROR(INDEX(lst_JobName,MATCH($C1377,lst_Jobs,0)),""))</f>
        <v/>
      </c>
      <c r="G1377" s="10">
        <f>IF($BI1377="","",IF($B1377="Onsite",INDEX(tbl_Onsite[Job Description],$BI1377),IF($B1377="Production",INDEX(tbl_Production[Job Description],$BI1377),INDEX(tbl_Consulting[Job Description],$BI1377)))&amp;"")</f>
        <v/>
      </c>
      <c r="H1377" s="10">
        <f>IF($BI1377="","",IF($B1377="Onsite",INDEX(tbl_Onsite[Cost Centre],$BI1377),IF($B1377="Production",INDEX(tbl_Production[Cost Centre],$BI1377),INDEX(tbl_Consulting[Cost Centre],$BI1377)))&amp;"")</f>
        <v/>
      </c>
      <c r="I1377" s="10">
        <f>IF($BI1377="","",IF($B1377="Onsite",INDEX(tbl_Onsite[Invoice Type],$BI1377),IF($B1377="Production",INDEX(tbl_Production[Invoice Type],$BI1377),INDEX(tbl_Consulting[Invoice Type],$BI1377)))&amp;"")</f>
        <v/>
      </c>
      <c r="J1377" s="10">
        <f>IF($BI1377="","",IF($B1377="Onsite",INDEX(tbl_Onsite[Tax Code],$BI1377),IF($B1377="Production",INDEX(tbl_Production[Tax Code],$BI1377),INDEX(tbl_Consulting[Tax Code],$BI1377)))&amp;"")</f>
        <v/>
      </c>
      <c r="K1377" s="10">
        <f>IF(H1377="","",IFERROR(INDEX(lst_CCtoGL,MATCH(H1377,lst_CCforGL,0)),""))</f>
        <v/>
      </c>
      <c r="L1377" s="10">
        <f>IF($BI1377="","",IF($B1377="Onsite",INDEX(tbl_Onsite[PO / Reference],$BI1377),IF($B1377="Production",INDEX(tbl_Production[Current RMS No],$BI1377),INDEX(tbl_Consulting[Qwilr Quote],$BI1377)))&amp;"")</f>
        <v/>
      </c>
      <c r="M1377" s="10">
        <f>IF($BI1377="","",IF($B1377="Onsite",INDEX(tbl_Onsite[Notes],$BI1377),IF($B1377="Production",INDEX(tbl_Production[Notes],$BI1377),INDEX(tbl_Consulting[Notes],$BI1377)))&amp;"")</f>
        <v/>
      </c>
      <c r="N1377" s="11">
        <f>IF($BI1377="","",IF(IF($B1377="Onsite",INDEX(tbl_Onsite[Expected Revenue Ex GST],$BI1377),IF($B1377="Production",INDEX(tbl_Production[Expected Revenue Ex GST],$BI1377),INDEX(tbl_Consulting[Expected Revenue Ex GST],$BI1377)))="","",IF($B1377="Onsite",INDEX(tbl_Onsite[Expected Revenue Ex GST],$BI1377),IF($B1377="Production",INDEX(tbl_Production[Expected Revenue Ex GST],$BI1377),INDEX(tbl_Consulting[Expected Revenue Ex GST],$BI1377)))))</f>
        <v/>
      </c>
      <c r="O1377" s="11">
        <f>IF(AND($C1377="",NOT(COUNTA($S1377:$BB1377)&gt;0)),"",SUM(U1377,X1377,AA1377,AD1377,AG1377,AJ1377,AM1377,AP1377,AS1377,AV1377,AY1377,BB1377))</f>
        <v/>
      </c>
      <c r="P1377" s="11">
        <f>IF(O1377="","",N(N1377)-O1377)</f>
        <v/>
      </c>
      <c r="Q1377" s="10">
        <f>IF(O1377="","",IF($C1377="","Invoice on empty job row",IF(N1377="",IF(ROUND(O1377,2)=0,"No dept value","Invoiced - no dept value"),IF(ROUND(O1377,2)=0,"Not invoiced - to invoice",IF(ROUND(P1377,2)=0,"Agrees",IF(P1377&gt;0,"Dept higher - to invoice","Xero higher - check dept"))))))</f>
        <v/>
      </c>
      <c r="R1377" s="10">
        <f>IF(AND($C1377="",NOT(COUNTA($S1377:$BB1377)&gt;0),$BI1377&lt;&gt;""),"",MID(IF($BI1377="","; Row ID not found on the department sheet - a row was deleted","")&amp;IF(AND($C1377="",COUNTA($S1377:$BB1377)&gt;0),"; Invoice entered but the department row has no job number","")&amp;IF(E1377="CHECK","; Job number not in the Xero job list","")&amp;IF(AND($C1377&lt;&gt;"",COUNTIF($C$7:$C$1506,$C1377)&gt;1),"; Job number on more than one row","")&amp;IF(AND($C1377&lt;&gt;"",H1377=""),"; Dept has not set a cost centre","")&amp;IF(AND($C1377&lt;&gt;"",J1377=""),"; Dept has not set a tax code","")&amp;IF(AND($C1377&lt;&gt;"",N1377=""),"; Dept has not entered an expected value","")&amp;IF((IF(OR(COUNTA(S1377:U1377)=0,AND(COUNTA(S1377:U1377)=3,ISNUMBER(U1377))),0,1)+IF(OR(COUNTA(V1377:X1377)=0,AND(COUNTA(V1377:X1377)=3,ISNUMBER(X1377))),0,1)+IF(OR(COUNTA(Y1377:AA1377)=0,AND(COUNTA(Y1377:AA1377)=3,ISNUMBER(AA1377))),0,1)+IF(OR(COUNTA(AB1377:AD1377)=0,AND(COUNTA(AB1377:AD1377)=3,ISNUMBER(AD1377))),0,1)+IF(OR(COUNTA(AE1377:AG1377)=0,AND(COUNTA(AE1377:AG1377)=3,ISNUMBER(AG1377))),0,1)+IF(OR(COUNTA(AH1377:AJ1377)=0,AND(COUNTA(AH1377:AJ1377)=3,ISNUMBER(AJ1377))),0,1)+IF(OR(COUNTA(AK1377:AM1377)=0,AND(COUNTA(AK1377:AM1377)=3,ISNUMBER(AM1377))),0,1)+IF(OR(COUNTA(AN1377:AP1377)=0,AND(COUNTA(AN1377:AP1377)=3,ISNUMBER(AP1377))),0,1)+IF(OR(COUNTA(AQ1377:AS1377)=0,AND(COUNTA(AQ1377:AS1377)=3,ISNUMBER(AS1377))),0,1)+IF(OR(COUNTA(AT1377:AV1377)=0,AND(COUNTA(AT1377:AV1377)=3,ISNUMBER(AV1377))),0,1)+IF(OR(COUNTA(AW1377:AY1377)=0,AND(COUNTA(AW1377:AY1377)=3,ISNUMBER(AY1377))),0,1)+IF(OR(COUNTA(AZ1377:BB1377)=0,AND(COUNTA(AZ1377:BB1377)=3,ISNUMBER(BB1377))),0,1))&gt;0,"; An invoice is incomplete (needs No, Date and a number in Ex GST)","")&amp;IF((IF(T1377="",0,IFERROR(--(EOMONTH(T1377,0)&lt;&gt;S$5),1))+IF(W1377="",0,IFERROR(--(EOMONTH(W1377,0)&lt;&gt;V$5),1))+IF(Z1377="",0,IFERROR(--(EOMONTH(Z1377,0)&lt;&gt;Y$5),1))+IF(AC1377="",0,IFERROR(--(EOMONTH(AC1377,0)&lt;&gt;AB$5),1))+IF(AF1377="",0,IFERROR(--(EOMONTH(AF1377,0)&lt;&gt;AE$5),1))+IF(AI1377="",0,IFERROR(--(EOMONTH(AI1377,0)&lt;&gt;AH$5),1))+IF(AL1377="",0,IFERROR(--(EOMONTH(AL1377,0)&lt;&gt;AK$5),1))+IF(AO1377="",0,IFERROR(--(EOMONTH(AO1377,0)&lt;&gt;AN$5),1))+IF(AR1377="",0,IFERROR(--(EOMONTH(AR1377,0)&lt;&gt;AQ$5),1))+IF(AU1377="",0,IFERROR(--(EOMONTH(AU1377,0)&lt;&gt;AT$5),1))+IF(AX1377="",0,IFERROR(--(EOMONTH(AX1377,0)&lt;&gt;AW$5),1))+IF(BA1377="",0,IFERROR(--(EOMONTH(BA1377,0)&lt;&gt;AZ$5),1)))&gt;0,"; An invoice date is not in the month it is typed under",""),3,500))</f>
        <v/>
      </c>
      <c r="S1377" s="12" t="n"/>
      <c r="T1377" s="13" t="n"/>
      <c r="U1377" s="14" t="n"/>
      <c r="V1377" s="12" t="n"/>
      <c r="W1377" s="13" t="n"/>
      <c r="X1377" s="14" t="n"/>
      <c r="Y1377" s="12" t="n"/>
      <c r="Z1377" s="13" t="n"/>
      <c r="AA1377" s="14" t="n"/>
      <c r="AB1377" s="12" t="n"/>
      <c r="AC1377" s="13" t="n"/>
      <c r="AD1377" s="14" t="n"/>
      <c r="AE1377" s="12" t="n"/>
      <c r="AF1377" s="13" t="n"/>
      <c r="AG1377" s="14" t="n"/>
      <c r="AH1377" s="12" t="n"/>
      <c r="AI1377" s="13" t="n"/>
      <c r="AJ1377" s="14" t="n"/>
      <c r="AK1377" s="12" t="n"/>
      <c r="AL1377" s="13" t="n"/>
      <c r="AM1377" s="14" t="n"/>
      <c r="AN1377" s="12" t="n"/>
      <c r="AO1377" s="13" t="n"/>
      <c r="AP1377" s="14" t="n"/>
      <c r="AQ1377" s="12" t="n"/>
      <c r="AR1377" s="13" t="n"/>
      <c r="AS1377" s="14" t="n"/>
      <c r="AT1377" s="12" t="n"/>
      <c r="AU1377" s="13" t="n"/>
      <c r="AV1377" s="14" t="n"/>
      <c r="AW1377" s="12" t="n"/>
      <c r="AX1377" s="13" t="n"/>
      <c r="AY1377" s="14" t="n"/>
      <c r="AZ1377" s="12" t="n"/>
      <c r="BA1377" s="13" t="n"/>
      <c r="BB1377" s="14" t="n"/>
      <c r="BC1377" s="11">
        <f>IF(O1377="","",IF(J1377="GST 10%",ROUND(O1377*set_GSTRate,2),0))</f>
        <v/>
      </c>
      <c r="BD1377" s="11">
        <f>IF(O1377="","",O1377+BC1377)</f>
        <v/>
      </c>
      <c r="BE1377" s="15">
        <f>IF(O1377="","",COUNTA(S1377,V1377,Y1377,AB1377,AE1377,AH1377,AK1377,AN1377,AQ1377,AT1377,AW1377,AZ1377))</f>
        <v/>
      </c>
      <c r="BF1377" s="16">
        <f>IF(COUNT(T1377,W1377,Z1377,AC1377,AF1377,AI1377,AL1377,AO1377,AR1377,AU1377,AX1377,BA1377)=0,"",MAX(T1377,W1377,Z1377,AC1377,AF1377,AI1377,AL1377,AO1377,AR1377,AU1377,AX1377,BA1377))</f>
        <v/>
      </c>
      <c r="BG1377" s="10">
        <f>MID(IF(S1377="","",", "&amp;S1377)&amp;IF(V1377="","",", "&amp;V1377)&amp;IF(Y1377="","",", "&amp;Y1377)&amp;IF(AB1377="","",", "&amp;AB1377)&amp;IF(AE1377="","",", "&amp;AE1377)&amp;IF(AH1377="","",", "&amp;AH1377)&amp;IF(AK1377="","",", "&amp;AK1377)&amp;IF(AN1377="","",", "&amp;AN1377)&amp;IF(AQ1377="","",", "&amp;AQ1377)&amp;IF(AT1377="","",", "&amp;AT1377)&amp;IF(AW1377="","",", "&amp;AW1377)&amp;IF(AZ1377="","",", "&amp;AZ1377),3,500)</f>
        <v/>
      </c>
      <c r="BH1377" s="12" t="n"/>
      <c r="BI1377" s="15">
        <f>IFERROR(MATCH($A1377,IF($B1377="Onsite",tbl_Onsite[Row ID],IF($B1377="Production",tbl_Production[Row ID],tbl_Consulting[Row ID])),0),"")</f>
        <v/>
      </c>
    </row>
    <row r="1378">
      <c r="A1378" s="10" t="inlineStr">
        <is>
          <t>CON-0372</t>
        </is>
      </c>
      <c r="B1378" s="10" t="inlineStr">
        <is>
          <t>Consulting</t>
        </is>
      </c>
      <c r="C1378" s="10">
        <f>IF($BI1378="","",IF($B1378="Onsite",INDEX(tbl_Onsite[Job Number],$BI1378),IF($B1378="Production",INDEX(tbl_Production[Job Number],$BI1378),INDEX(tbl_Consulting[Job Number],$BI1378)))&amp;"")</f>
        <v/>
      </c>
      <c r="D1378" s="10">
        <f>IF($BI1378="","",IF($B1378="Onsite",INDEX(tbl_Onsite[Client],$BI1378),IF($B1378="Production",INDEX(tbl_Production[Client],$BI1378),INDEX(tbl_Consulting[Client],$BI1378)))&amp;"")</f>
        <v/>
      </c>
      <c r="E1378" s="10">
        <f>IF($C1378="","",IF(COUNTIF(lst_Jobs,$C1378)&gt;0,"OK","CHECK"))</f>
        <v/>
      </c>
      <c r="F1378" s="10">
        <f>IF($C1378="","",IFERROR(INDEX(lst_JobName,MATCH($C1378,lst_Jobs,0)),""))</f>
        <v/>
      </c>
      <c r="G1378" s="10">
        <f>IF($BI1378="","",IF($B1378="Onsite",INDEX(tbl_Onsite[Job Description],$BI1378),IF($B1378="Production",INDEX(tbl_Production[Job Description],$BI1378),INDEX(tbl_Consulting[Job Description],$BI1378)))&amp;"")</f>
        <v/>
      </c>
      <c r="H1378" s="10">
        <f>IF($BI1378="","",IF($B1378="Onsite",INDEX(tbl_Onsite[Cost Centre],$BI1378),IF($B1378="Production",INDEX(tbl_Production[Cost Centre],$BI1378),INDEX(tbl_Consulting[Cost Centre],$BI1378)))&amp;"")</f>
        <v/>
      </c>
      <c r="I1378" s="10">
        <f>IF($BI1378="","",IF($B1378="Onsite",INDEX(tbl_Onsite[Invoice Type],$BI1378),IF($B1378="Production",INDEX(tbl_Production[Invoice Type],$BI1378),INDEX(tbl_Consulting[Invoice Type],$BI1378)))&amp;"")</f>
        <v/>
      </c>
      <c r="J1378" s="10">
        <f>IF($BI1378="","",IF($B1378="Onsite",INDEX(tbl_Onsite[Tax Code],$BI1378),IF($B1378="Production",INDEX(tbl_Production[Tax Code],$BI1378),INDEX(tbl_Consulting[Tax Code],$BI1378)))&amp;"")</f>
        <v/>
      </c>
      <c r="K1378" s="10">
        <f>IF(H1378="","",IFERROR(INDEX(lst_CCtoGL,MATCH(H1378,lst_CCforGL,0)),""))</f>
        <v/>
      </c>
      <c r="L1378" s="10">
        <f>IF($BI1378="","",IF($B1378="Onsite",INDEX(tbl_Onsite[PO / Reference],$BI1378),IF($B1378="Production",INDEX(tbl_Production[Current RMS No],$BI1378),INDEX(tbl_Consulting[Qwilr Quote],$BI1378)))&amp;"")</f>
        <v/>
      </c>
      <c r="M1378" s="10">
        <f>IF($BI1378="","",IF($B1378="Onsite",INDEX(tbl_Onsite[Notes],$BI1378),IF($B1378="Production",INDEX(tbl_Production[Notes],$BI1378),INDEX(tbl_Consulting[Notes],$BI1378)))&amp;"")</f>
        <v/>
      </c>
      <c r="N1378" s="11">
        <f>IF($BI1378="","",IF(IF($B1378="Onsite",INDEX(tbl_Onsite[Expected Revenue Ex GST],$BI1378),IF($B1378="Production",INDEX(tbl_Production[Expected Revenue Ex GST],$BI1378),INDEX(tbl_Consulting[Expected Revenue Ex GST],$BI1378)))="","",IF($B1378="Onsite",INDEX(tbl_Onsite[Expected Revenue Ex GST],$BI1378),IF($B1378="Production",INDEX(tbl_Production[Expected Revenue Ex GST],$BI1378),INDEX(tbl_Consulting[Expected Revenue Ex GST],$BI1378)))))</f>
        <v/>
      </c>
      <c r="O1378" s="11">
        <f>IF(AND($C1378="",NOT(COUNTA($S1378:$BB1378)&gt;0)),"",SUM(U1378,X1378,AA1378,AD1378,AG1378,AJ1378,AM1378,AP1378,AS1378,AV1378,AY1378,BB1378))</f>
        <v/>
      </c>
      <c r="P1378" s="11">
        <f>IF(O1378="","",N(N1378)-O1378)</f>
        <v/>
      </c>
      <c r="Q1378" s="10">
        <f>IF(O1378="","",IF($C1378="","Invoice on empty job row",IF(N1378="",IF(ROUND(O1378,2)=0,"No dept value","Invoiced - no dept value"),IF(ROUND(O1378,2)=0,"Not invoiced - to invoice",IF(ROUND(P1378,2)=0,"Agrees",IF(P1378&gt;0,"Dept higher - to invoice","Xero higher - check dept"))))))</f>
        <v/>
      </c>
      <c r="R1378" s="10">
        <f>IF(AND($C1378="",NOT(COUNTA($S1378:$BB1378)&gt;0),$BI1378&lt;&gt;""),"",MID(IF($BI1378="","; Row ID not found on the department sheet - a row was deleted","")&amp;IF(AND($C1378="",COUNTA($S1378:$BB1378)&gt;0),"; Invoice entered but the department row has no job number","")&amp;IF(E1378="CHECK","; Job number not in the Xero job list","")&amp;IF(AND($C1378&lt;&gt;"",COUNTIF($C$7:$C$1506,$C1378)&gt;1),"; Job number on more than one row","")&amp;IF(AND($C1378&lt;&gt;"",H1378=""),"; Dept has not set a cost centre","")&amp;IF(AND($C1378&lt;&gt;"",J1378=""),"; Dept has not set a tax code","")&amp;IF(AND($C1378&lt;&gt;"",N1378=""),"; Dept has not entered an expected value","")&amp;IF((IF(OR(COUNTA(S1378:U1378)=0,AND(COUNTA(S1378:U1378)=3,ISNUMBER(U1378))),0,1)+IF(OR(COUNTA(V1378:X1378)=0,AND(COUNTA(V1378:X1378)=3,ISNUMBER(X1378))),0,1)+IF(OR(COUNTA(Y1378:AA1378)=0,AND(COUNTA(Y1378:AA1378)=3,ISNUMBER(AA1378))),0,1)+IF(OR(COUNTA(AB1378:AD1378)=0,AND(COUNTA(AB1378:AD1378)=3,ISNUMBER(AD1378))),0,1)+IF(OR(COUNTA(AE1378:AG1378)=0,AND(COUNTA(AE1378:AG1378)=3,ISNUMBER(AG1378))),0,1)+IF(OR(COUNTA(AH1378:AJ1378)=0,AND(COUNTA(AH1378:AJ1378)=3,ISNUMBER(AJ1378))),0,1)+IF(OR(COUNTA(AK1378:AM1378)=0,AND(COUNTA(AK1378:AM1378)=3,ISNUMBER(AM1378))),0,1)+IF(OR(COUNTA(AN1378:AP1378)=0,AND(COUNTA(AN1378:AP1378)=3,ISNUMBER(AP1378))),0,1)+IF(OR(COUNTA(AQ1378:AS1378)=0,AND(COUNTA(AQ1378:AS1378)=3,ISNUMBER(AS1378))),0,1)+IF(OR(COUNTA(AT1378:AV1378)=0,AND(COUNTA(AT1378:AV1378)=3,ISNUMBER(AV1378))),0,1)+IF(OR(COUNTA(AW1378:AY1378)=0,AND(COUNTA(AW1378:AY1378)=3,ISNUMBER(AY1378))),0,1)+IF(OR(COUNTA(AZ1378:BB1378)=0,AND(COUNTA(AZ1378:BB1378)=3,ISNUMBER(BB1378))),0,1))&gt;0,"; An invoice is incomplete (needs No, Date and a number in Ex GST)","")&amp;IF((IF(T1378="",0,IFERROR(--(EOMONTH(T1378,0)&lt;&gt;S$5),1))+IF(W1378="",0,IFERROR(--(EOMONTH(W1378,0)&lt;&gt;V$5),1))+IF(Z1378="",0,IFERROR(--(EOMONTH(Z1378,0)&lt;&gt;Y$5),1))+IF(AC1378="",0,IFERROR(--(EOMONTH(AC1378,0)&lt;&gt;AB$5),1))+IF(AF1378="",0,IFERROR(--(EOMONTH(AF1378,0)&lt;&gt;AE$5),1))+IF(AI1378="",0,IFERROR(--(EOMONTH(AI1378,0)&lt;&gt;AH$5),1))+IF(AL1378="",0,IFERROR(--(EOMONTH(AL1378,0)&lt;&gt;AK$5),1))+IF(AO1378="",0,IFERROR(--(EOMONTH(AO1378,0)&lt;&gt;AN$5),1))+IF(AR1378="",0,IFERROR(--(EOMONTH(AR1378,0)&lt;&gt;AQ$5),1))+IF(AU1378="",0,IFERROR(--(EOMONTH(AU1378,0)&lt;&gt;AT$5),1))+IF(AX1378="",0,IFERROR(--(EOMONTH(AX1378,0)&lt;&gt;AW$5),1))+IF(BA1378="",0,IFERROR(--(EOMONTH(BA1378,0)&lt;&gt;AZ$5),1)))&gt;0,"; An invoice date is not in the month it is typed under",""),3,500))</f>
        <v/>
      </c>
      <c r="S1378" s="12" t="n"/>
      <c r="T1378" s="13" t="n"/>
      <c r="U1378" s="14" t="n"/>
      <c r="V1378" s="12" t="n"/>
      <c r="W1378" s="13" t="n"/>
      <c r="X1378" s="14" t="n"/>
      <c r="Y1378" s="12" t="n"/>
      <c r="Z1378" s="13" t="n"/>
      <c r="AA1378" s="14" t="n"/>
      <c r="AB1378" s="12" t="n"/>
      <c r="AC1378" s="13" t="n"/>
      <c r="AD1378" s="14" t="n"/>
      <c r="AE1378" s="12" t="n"/>
      <c r="AF1378" s="13" t="n"/>
      <c r="AG1378" s="14" t="n"/>
      <c r="AH1378" s="12" t="n"/>
      <c r="AI1378" s="13" t="n"/>
      <c r="AJ1378" s="14" t="n"/>
      <c r="AK1378" s="12" t="n"/>
      <c r="AL1378" s="13" t="n"/>
      <c r="AM1378" s="14" t="n"/>
      <c r="AN1378" s="12" t="n"/>
      <c r="AO1378" s="13" t="n"/>
      <c r="AP1378" s="14" t="n"/>
      <c r="AQ1378" s="12" t="n"/>
      <c r="AR1378" s="13" t="n"/>
      <c r="AS1378" s="14" t="n"/>
      <c r="AT1378" s="12" t="n"/>
      <c r="AU1378" s="13" t="n"/>
      <c r="AV1378" s="14" t="n"/>
      <c r="AW1378" s="12" t="n"/>
      <c r="AX1378" s="13" t="n"/>
      <c r="AY1378" s="14" t="n"/>
      <c r="AZ1378" s="12" t="n"/>
      <c r="BA1378" s="13" t="n"/>
      <c r="BB1378" s="14" t="n"/>
      <c r="BC1378" s="11">
        <f>IF(O1378="","",IF(J1378="GST 10%",ROUND(O1378*set_GSTRate,2),0))</f>
        <v/>
      </c>
      <c r="BD1378" s="11">
        <f>IF(O1378="","",O1378+BC1378)</f>
        <v/>
      </c>
      <c r="BE1378" s="15">
        <f>IF(O1378="","",COUNTA(S1378,V1378,Y1378,AB1378,AE1378,AH1378,AK1378,AN1378,AQ1378,AT1378,AW1378,AZ1378))</f>
        <v/>
      </c>
      <c r="BF1378" s="16">
        <f>IF(COUNT(T1378,W1378,Z1378,AC1378,AF1378,AI1378,AL1378,AO1378,AR1378,AU1378,AX1378,BA1378)=0,"",MAX(T1378,W1378,Z1378,AC1378,AF1378,AI1378,AL1378,AO1378,AR1378,AU1378,AX1378,BA1378))</f>
        <v/>
      </c>
      <c r="BG1378" s="10">
        <f>MID(IF(S1378="","",", "&amp;S1378)&amp;IF(V1378="","",", "&amp;V1378)&amp;IF(Y1378="","",", "&amp;Y1378)&amp;IF(AB1378="","",", "&amp;AB1378)&amp;IF(AE1378="","",", "&amp;AE1378)&amp;IF(AH1378="","",", "&amp;AH1378)&amp;IF(AK1378="","",", "&amp;AK1378)&amp;IF(AN1378="","",", "&amp;AN1378)&amp;IF(AQ1378="","",", "&amp;AQ1378)&amp;IF(AT1378="","",", "&amp;AT1378)&amp;IF(AW1378="","",", "&amp;AW1378)&amp;IF(AZ1378="","",", "&amp;AZ1378),3,500)</f>
        <v/>
      </c>
      <c r="BH1378" s="12" t="n"/>
      <c r="BI1378" s="15">
        <f>IFERROR(MATCH($A1378,IF($B1378="Onsite",tbl_Onsite[Row ID],IF($B1378="Production",tbl_Production[Row ID],tbl_Consulting[Row ID])),0),"")</f>
        <v/>
      </c>
    </row>
    <row r="1379">
      <c r="A1379" s="10" t="inlineStr">
        <is>
          <t>CON-0373</t>
        </is>
      </c>
      <c r="B1379" s="10" t="inlineStr">
        <is>
          <t>Consulting</t>
        </is>
      </c>
      <c r="C1379" s="10">
        <f>IF($BI1379="","",IF($B1379="Onsite",INDEX(tbl_Onsite[Job Number],$BI1379),IF($B1379="Production",INDEX(tbl_Production[Job Number],$BI1379),INDEX(tbl_Consulting[Job Number],$BI1379)))&amp;"")</f>
        <v/>
      </c>
      <c r="D1379" s="10">
        <f>IF($BI1379="","",IF($B1379="Onsite",INDEX(tbl_Onsite[Client],$BI1379),IF($B1379="Production",INDEX(tbl_Production[Client],$BI1379),INDEX(tbl_Consulting[Client],$BI1379)))&amp;"")</f>
        <v/>
      </c>
      <c r="E1379" s="10">
        <f>IF($C1379="","",IF(COUNTIF(lst_Jobs,$C1379)&gt;0,"OK","CHECK"))</f>
        <v/>
      </c>
      <c r="F1379" s="10">
        <f>IF($C1379="","",IFERROR(INDEX(lst_JobName,MATCH($C1379,lst_Jobs,0)),""))</f>
        <v/>
      </c>
      <c r="G1379" s="10">
        <f>IF($BI1379="","",IF($B1379="Onsite",INDEX(tbl_Onsite[Job Description],$BI1379),IF($B1379="Production",INDEX(tbl_Production[Job Description],$BI1379),INDEX(tbl_Consulting[Job Description],$BI1379)))&amp;"")</f>
        <v/>
      </c>
      <c r="H1379" s="10">
        <f>IF($BI1379="","",IF($B1379="Onsite",INDEX(tbl_Onsite[Cost Centre],$BI1379),IF($B1379="Production",INDEX(tbl_Production[Cost Centre],$BI1379),INDEX(tbl_Consulting[Cost Centre],$BI1379)))&amp;"")</f>
        <v/>
      </c>
      <c r="I1379" s="10">
        <f>IF($BI1379="","",IF($B1379="Onsite",INDEX(tbl_Onsite[Invoice Type],$BI1379),IF($B1379="Production",INDEX(tbl_Production[Invoice Type],$BI1379),INDEX(tbl_Consulting[Invoice Type],$BI1379)))&amp;"")</f>
        <v/>
      </c>
      <c r="J1379" s="10">
        <f>IF($BI1379="","",IF($B1379="Onsite",INDEX(tbl_Onsite[Tax Code],$BI1379),IF($B1379="Production",INDEX(tbl_Production[Tax Code],$BI1379),INDEX(tbl_Consulting[Tax Code],$BI1379)))&amp;"")</f>
        <v/>
      </c>
      <c r="K1379" s="10">
        <f>IF(H1379="","",IFERROR(INDEX(lst_CCtoGL,MATCH(H1379,lst_CCforGL,0)),""))</f>
        <v/>
      </c>
      <c r="L1379" s="10">
        <f>IF($BI1379="","",IF($B1379="Onsite",INDEX(tbl_Onsite[PO / Reference],$BI1379),IF($B1379="Production",INDEX(tbl_Production[Current RMS No],$BI1379),INDEX(tbl_Consulting[Qwilr Quote],$BI1379)))&amp;"")</f>
        <v/>
      </c>
      <c r="M1379" s="10">
        <f>IF($BI1379="","",IF($B1379="Onsite",INDEX(tbl_Onsite[Notes],$BI1379),IF($B1379="Production",INDEX(tbl_Production[Notes],$BI1379),INDEX(tbl_Consulting[Notes],$BI1379)))&amp;"")</f>
        <v/>
      </c>
      <c r="N1379" s="11">
        <f>IF($BI1379="","",IF(IF($B1379="Onsite",INDEX(tbl_Onsite[Expected Revenue Ex GST],$BI1379),IF($B1379="Production",INDEX(tbl_Production[Expected Revenue Ex GST],$BI1379),INDEX(tbl_Consulting[Expected Revenue Ex GST],$BI1379)))="","",IF($B1379="Onsite",INDEX(tbl_Onsite[Expected Revenue Ex GST],$BI1379),IF($B1379="Production",INDEX(tbl_Production[Expected Revenue Ex GST],$BI1379),INDEX(tbl_Consulting[Expected Revenue Ex GST],$BI1379)))))</f>
        <v/>
      </c>
      <c r="O1379" s="11">
        <f>IF(AND($C1379="",NOT(COUNTA($S1379:$BB1379)&gt;0)),"",SUM(U1379,X1379,AA1379,AD1379,AG1379,AJ1379,AM1379,AP1379,AS1379,AV1379,AY1379,BB1379))</f>
        <v/>
      </c>
      <c r="P1379" s="11">
        <f>IF(O1379="","",N(N1379)-O1379)</f>
        <v/>
      </c>
      <c r="Q1379" s="10">
        <f>IF(O1379="","",IF($C1379="","Invoice on empty job row",IF(N1379="",IF(ROUND(O1379,2)=0,"No dept value","Invoiced - no dept value"),IF(ROUND(O1379,2)=0,"Not invoiced - to invoice",IF(ROUND(P1379,2)=0,"Agrees",IF(P1379&gt;0,"Dept higher - to invoice","Xero higher - check dept"))))))</f>
        <v/>
      </c>
      <c r="R1379" s="10">
        <f>IF(AND($C1379="",NOT(COUNTA($S1379:$BB1379)&gt;0),$BI1379&lt;&gt;""),"",MID(IF($BI1379="","; Row ID not found on the department sheet - a row was deleted","")&amp;IF(AND($C1379="",COUNTA($S1379:$BB1379)&gt;0),"; Invoice entered but the department row has no job number","")&amp;IF(E1379="CHECK","; Job number not in the Xero job list","")&amp;IF(AND($C1379&lt;&gt;"",COUNTIF($C$7:$C$1506,$C1379)&gt;1),"; Job number on more than one row","")&amp;IF(AND($C1379&lt;&gt;"",H1379=""),"; Dept has not set a cost centre","")&amp;IF(AND($C1379&lt;&gt;"",J1379=""),"; Dept has not set a tax code","")&amp;IF(AND($C1379&lt;&gt;"",N1379=""),"; Dept has not entered an expected value","")&amp;IF((IF(OR(COUNTA(S1379:U1379)=0,AND(COUNTA(S1379:U1379)=3,ISNUMBER(U1379))),0,1)+IF(OR(COUNTA(V1379:X1379)=0,AND(COUNTA(V1379:X1379)=3,ISNUMBER(X1379))),0,1)+IF(OR(COUNTA(Y1379:AA1379)=0,AND(COUNTA(Y1379:AA1379)=3,ISNUMBER(AA1379))),0,1)+IF(OR(COUNTA(AB1379:AD1379)=0,AND(COUNTA(AB1379:AD1379)=3,ISNUMBER(AD1379))),0,1)+IF(OR(COUNTA(AE1379:AG1379)=0,AND(COUNTA(AE1379:AG1379)=3,ISNUMBER(AG1379))),0,1)+IF(OR(COUNTA(AH1379:AJ1379)=0,AND(COUNTA(AH1379:AJ1379)=3,ISNUMBER(AJ1379))),0,1)+IF(OR(COUNTA(AK1379:AM1379)=0,AND(COUNTA(AK1379:AM1379)=3,ISNUMBER(AM1379))),0,1)+IF(OR(COUNTA(AN1379:AP1379)=0,AND(COUNTA(AN1379:AP1379)=3,ISNUMBER(AP1379))),0,1)+IF(OR(COUNTA(AQ1379:AS1379)=0,AND(COUNTA(AQ1379:AS1379)=3,ISNUMBER(AS1379))),0,1)+IF(OR(COUNTA(AT1379:AV1379)=0,AND(COUNTA(AT1379:AV1379)=3,ISNUMBER(AV1379))),0,1)+IF(OR(COUNTA(AW1379:AY1379)=0,AND(COUNTA(AW1379:AY1379)=3,ISNUMBER(AY1379))),0,1)+IF(OR(COUNTA(AZ1379:BB1379)=0,AND(COUNTA(AZ1379:BB1379)=3,ISNUMBER(BB1379))),0,1))&gt;0,"; An invoice is incomplete (needs No, Date and a number in Ex GST)","")&amp;IF((IF(T1379="",0,IFERROR(--(EOMONTH(T1379,0)&lt;&gt;S$5),1))+IF(W1379="",0,IFERROR(--(EOMONTH(W1379,0)&lt;&gt;V$5),1))+IF(Z1379="",0,IFERROR(--(EOMONTH(Z1379,0)&lt;&gt;Y$5),1))+IF(AC1379="",0,IFERROR(--(EOMONTH(AC1379,0)&lt;&gt;AB$5),1))+IF(AF1379="",0,IFERROR(--(EOMONTH(AF1379,0)&lt;&gt;AE$5),1))+IF(AI1379="",0,IFERROR(--(EOMONTH(AI1379,0)&lt;&gt;AH$5),1))+IF(AL1379="",0,IFERROR(--(EOMONTH(AL1379,0)&lt;&gt;AK$5),1))+IF(AO1379="",0,IFERROR(--(EOMONTH(AO1379,0)&lt;&gt;AN$5),1))+IF(AR1379="",0,IFERROR(--(EOMONTH(AR1379,0)&lt;&gt;AQ$5),1))+IF(AU1379="",0,IFERROR(--(EOMONTH(AU1379,0)&lt;&gt;AT$5),1))+IF(AX1379="",0,IFERROR(--(EOMONTH(AX1379,0)&lt;&gt;AW$5),1))+IF(BA1379="",0,IFERROR(--(EOMONTH(BA1379,0)&lt;&gt;AZ$5),1)))&gt;0,"; An invoice date is not in the month it is typed under",""),3,500))</f>
        <v/>
      </c>
      <c r="S1379" s="12" t="n"/>
      <c r="T1379" s="13" t="n"/>
      <c r="U1379" s="14" t="n"/>
      <c r="V1379" s="12" t="n"/>
      <c r="W1379" s="13" t="n"/>
      <c r="X1379" s="14" t="n"/>
      <c r="Y1379" s="12" t="n"/>
      <c r="Z1379" s="13" t="n"/>
      <c r="AA1379" s="14" t="n"/>
      <c r="AB1379" s="12" t="n"/>
      <c r="AC1379" s="13" t="n"/>
      <c r="AD1379" s="14" t="n"/>
      <c r="AE1379" s="12" t="n"/>
      <c r="AF1379" s="13" t="n"/>
      <c r="AG1379" s="14" t="n"/>
      <c r="AH1379" s="12" t="n"/>
      <c r="AI1379" s="13" t="n"/>
      <c r="AJ1379" s="14" t="n"/>
      <c r="AK1379" s="12" t="n"/>
      <c r="AL1379" s="13" t="n"/>
      <c r="AM1379" s="14" t="n"/>
      <c r="AN1379" s="12" t="n"/>
      <c r="AO1379" s="13" t="n"/>
      <c r="AP1379" s="14" t="n"/>
      <c r="AQ1379" s="12" t="n"/>
      <c r="AR1379" s="13" t="n"/>
      <c r="AS1379" s="14" t="n"/>
      <c r="AT1379" s="12" t="n"/>
      <c r="AU1379" s="13" t="n"/>
      <c r="AV1379" s="14" t="n"/>
      <c r="AW1379" s="12" t="n"/>
      <c r="AX1379" s="13" t="n"/>
      <c r="AY1379" s="14" t="n"/>
      <c r="AZ1379" s="12" t="n"/>
      <c r="BA1379" s="13" t="n"/>
      <c r="BB1379" s="14" t="n"/>
      <c r="BC1379" s="11">
        <f>IF(O1379="","",IF(J1379="GST 10%",ROUND(O1379*set_GSTRate,2),0))</f>
        <v/>
      </c>
      <c r="BD1379" s="11">
        <f>IF(O1379="","",O1379+BC1379)</f>
        <v/>
      </c>
      <c r="BE1379" s="15">
        <f>IF(O1379="","",COUNTA(S1379,V1379,Y1379,AB1379,AE1379,AH1379,AK1379,AN1379,AQ1379,AT1379,AW1379,AZ1379))</f>
        <v/>
      </c>
      <c r="BF1379" s="16">
        <f>IF(COUNT(T1379,W1379,Z1379,AC1379,AF1379,AI1379,AL1379,AO1379,AR1379,AU1379,AX1379,BA1379)=0,"",MAX(T1379,W1379,Z1379,AC1379,AF1379,AI1379,AL1379,AO1379,AR1379,AU1379,AX1379,BA1379))</f>
        <v/>
      </c>
      <c r="BG1379" s="10">
        <f>MID(IF(S1379="","",", "&amp;S1379)&amp;IF(V1379="","",", "&amp;V1379)&amp;IF(Y1379="","",", "&amp;Y1379)&amp;IF(AB1379="","",", "&amp;AB1379)&amp;IF(AE1379="","",", "&amp;AE1379)&amp;IF(AH1379="","",", "&amp;AH1379)&amp;IF(AK1379="","",", "&amp;AK1379)&amp;IF(AN1379="","",", "&amp;AN1379)&amp;IF(AQ1379="","",", "&amp;AQ1379)&amp;IF(AT1379="","",", "&amp;AT1379)&amp;IF(AW1379="","",", "&amp;AW1379)&amp;IF(AZ1379="","",", "&amp;AZ1379),3,500)</f>
        <v/>
      </c>
      <c r="BH1379" s="12" t="n"/>
      <c r="BI1379" s="15">
        <f>IFERROR(MATCH($A1379,IF($B1379="Onsite",tbl_Onsite[Row ID],IF($B1379="Production",tbl_Production[Row ID],tbl_Consulting[Row ID])),0),"")</f>
        <v/>
      </c>
    </row>
    <row r="1380">
      <c r="A1380" s="10" t="inlineStr">
        <is>
          <t>CON-0374</t>
        </is>
      </c>
      <c r="B1380" s="10" t="inlineStr">
        <is>
          <t>Consulting</t>
        </is>
      </c>
      <c r="C1380" s="10">
        <f>IF($BI1380="","",IF($B1380="Onsite",INDEX(tbl_Onsite[Job Number],$BI1380),IF($B1380="Production",INDEX(tbl_Production[Job Number],$BI1380),INDEX(tbl_Consulting[Job Number],$BI1380)))&amp;"")</f>
        <v/>
      </c>
      <c r="D1380" s="10">
        <f>IF($BI1380="","",IF($B1380="Onsite",INDEX(tbl_Onsite[Client],$BI1380),IF($B1380="Production",INDEX(tbl_Production[Client],$BI1380),INDEX(tbl_Consulting[Client],$BI1380)))&amp;"")</f>
        <v/>
      </c>
      <c r="E1380" s="10">
        <f>IF($C1380="","",IF(COUNTIF(lst_Jobs,$C1380)&gt;0,"OK","CHECK"))</f>
        <v/>
      </c>
      <c r="F1380" s="10">
        <f>IF($C1380="","",IFERROR(INDEX(lst_JobName,MATCH($C1380,lst_Jobs,0)),""))</f>
        <v/>
      </c>
      <c r="G1380" s="10">
        <f>IF($BI1380="","",IF($B1380="Onsite",INDEX(tbl_Onsite[Job Description],$BI1380),IF($B1380="Production",INDEX(tbl_Production[Job Description],$BI1380),INDEX(tbl_Consulting[Job Description],$BI1380)))&amp;"")</f>
        <v/>
      </c>
      <c r="H1380" s="10">
        <f>IF($BI1380="","",IF($B1380="Onsite",INDEX(tbl_Onsite[Cost Centre],$BI1380),IF($B1380="Production",INDEX(tbl_Production[Cost Centre],$BI1380),INDEX(tbl_Consulting[Cost Centre],$BI1380)))&amp;"")</f>
        <v/>
      </c>
      <c r="I1380" s="10">
        <f>IF($BI1380="","",IF($B1380="Onsite",INDEX(tbl_Onsite[Invoice Type],$BI1380),IF($B1380="Production",INDEX(tbl_Production[Invoice Type],$BI1380),INDEX(tbl_Consulting[Invoice Type],$BI1380)))&amp;"")</f>
        <v/>
      </c>
      <c r="J1380" s="10">
        <f>IF($BI1380="","",IF($B1380="Onsite",INDEX(tbl_Onsite[Tax Code],$BI1380),IF($B1380="Production",INDEX(tbl_Production[Tax Code],$BI1380),INDEX(tbl_Consulting[Tax Code],$BI1380)))&amp;"")</f>
        <v/>
      </c>
      <c r="K1380" s="10">
        <f>IF(H1380="","",IFERROR(INDEX(lst_CCtoGL,MATCH(H1380,lst_CCforGL,0)),""))</f>
        <v/>
      </c>
      <c r="L1380" s="10">
        <f>IF($BI1380="","",IF($B1380="Onsite",INDEX(tbl_Onsite[PO / Reference],$BI1380),IF($B1380="Production",INDEX(tbl_Production[Current RMS No],$BI1380),INDEX(tbl_Consulting[Qwilr Quote],$BI1380)))&amp;"")</f>
        <v/>
      </c>
      <c r="M1380" s="10">
        <f>IF($BI1380="","",IF($B1380="Onsite",INDEX(tbl_Onsite[Notes],$BI1380),IF($B1380="Production",INDEX(tbl_Production[Notes],$BI1380),INDEX(tbl_Consulting[Notes],$BI1380)))&amp;"")</f>
        <v/>
      </c>
      <c r="N1380" s="11">
        <f>IF($BI1380="","",IF(IF($B1380="Onsite",INDEX(tbl_Onsite[Expected Revenue Ex GST],$BI1380),IF($B1380="Production",INDEX(tbl_Production[Expected Revenue Ex GST],$BI1380),INDEX(tbl_Consulting[Expected Revenue Ex GST],$BI1380)))="","",IF($B1380="Onsite",INDEX(tbl_Onsite[Expected Revenue Ex GST],$BI1380),IF($B1380="Production",INDEX(tbl_Production[Expected Revenue Ex GST],$BI1380),INDEX(tbl_Consulting[Expected Revenue Ex GST],$BI1380)))))</f>
        <v/>
      </c>
      <c r="O1380" s="11">
        <f>IF(AND($C1380="",NOT(COUNTA($S1380:$BB1380)&gt;0)),"",SUM(U1380,X1380,AA1380,AD1380,AG1380,AJ1380,AM1380,AP1380,AS1380,AV1380,AY1380,BB1380))</f>
        <v/>
      </c>
      <c r="P1380" s="11">
        <f>IF(O1380="","",N(N1380)-O1380)</f>
        <v/>
      </c>
      <c r="Q1380" s="10">
        <f>IF(O1380="","",IF($C1380="","Invoice on empty job row",IF(N1380="",IF(ROUND(O1380,2)=0,"No dept value","Invoiced - no dept value"),IF(ROUND(O1380,2)=0,"Not invoiced - to invoice",IF(ROUND(P1380,2)=0,"Agrees",IF(P1380&gt;0,"Dept higher - to invoice","Xero higher - check dept"))))))</f>
        <v/>
      </c>
      <c r="R1380" s="10">
        <f>IF(AND($C1380="",NOT(COUNTA($S1380:$BB1380)&gt;0),$BI1380&lt;&gt;""),"",MID(IF($BI1380="","; Row ID not found on the department sheet - a row was deleted","")&amp;IF(AND($C1380="",COUNTA($S1380:$BB1380)&gt;0),"; Invoice entered but the department row has no job number","")&amp;IF(E1380="CHECK","; Job number not in the Xero job list","")&amp;IF(AND($C1380&lt;&gt;"",COUNTIF($C$7:$C$1506,$C1380)&gt;1),"; Job number on more than one row","")&amp;IF(AND($C1380&lt;&gt;"",H1380=""),"; Dept has not set a cost centre","")&amp;IF(AND($C1380&lt;&gt;"",J1380=""),"; Dept has not set a tax code","")&amp;IF(AND($C1380&lt;&gt;"",N1380=""),"; Dept has not entered an expected value","")&amp;IF((IF(OR(COUNTA(S1380:U1380)=0,AND(COUNTA(S1380:U1380)=3,ISNUMBER(U1380))),0,1)+IF(OR(COUNTA(V1380:X1380)=0,AND(COUNTA(V1380:X1380)=3,ISNUMBER(X1380))),0,1)+IF(OR(COUNTA(Y1380:AA1380)=0,AND(COUNTA(Y1380:AA1380)=3,ISNUMBER(AA1380))),0,1)+IF(OR(COUNTA(AB1380:AD1380)=0,AND(COUNTA(AB1380:AD1380)=3,ISNUMBER(AD1380))),0,1)+IF(OR(COUNTA(AE1380:AG1380)=0,AND(COUNTA(AE1380:AG1380)=3,ISNUMBER(AG1380))),0,1)+IF(OR(COUNTA(AH1380:AJ1380)=0,AND(COUNTA(AH1380:AJ1380)=3,ISNUMBER(AJ1380))),0,1)+IF(OR(COUNTA(AK1380:AM1380)=0,AND(COUNTA(AK1380:AM1380)=3,ISNUMBER(AM1380))),0,1)+IF(OR(COUNTA(AN1380:AP1380)=0,AND(COUNTA(AN1380:AP1380)=3,ISNUMBER(AP1380))),0,1)+IF(OR(COUNTA(AQ1380:AS1380)=0,AND(COUNTA(AQ1380:AS1380)=3,ISNUMBER(AS1380))),0,1)+IF(OR(COUNTA(AT1380:AV1380)=0,AND(COUNTA(AT1380:AV1380)=3,ISNUMBER(AV1380))),0,1)+IF(OR(COUNTA(AW1380:AY1380)=0,AND(COUNTA(AW1380:AY1380)=3,ISNUMBER(AY1380))),0,1)+IF(OR(COUNTA(AZ1380:BB1380)=0,AND(COUNTA(AZ1380:BB1380)=3,ISNUMBER(BB1380))),0,1))&gt;0,"; An invoice is incomplete (needs No, Date and a number in Ex GST)","")&amp;IF((IF(T1380="",0,IFERROR(--(EOMONTH(T1380,0)&lt;&gt;S$5),1))+IF(W1380="",0,IFERROR(--(EOMONTH(W1380,0)&lt;&gt;V$5),1))+IF(Z1380="",0,IFERROR(--(EOMONTH(Z1380,0)&lt;&gt;Y$5),1))+IF(AC1380="",0,IFERROR(--(EOMONTH(AC1380,0)&lt;&gt;AB$5),1))+IF(AF1380="",0,IFERROR(--(EOMONTH(AF1380,0)&lt;&gt;AE$5),1))+IF(AI1380="",0,IFERROR(--(EOMONTH(AI1380,0)&lt;&gt;AH$5),1))+IF(AL1380="",0,IFERROR(--(EOMONTH(AL1380,0)&lt;&gt;AK$5),1))+IF(AO1380="",0,IFERROR(--(EOMONTH(AO1380,0)&lt;&gt;AN$5),1))+IF(AR1380="",0,IFERROR(--(EOMONTH(AR1380,0)&lt;&gt;AQ$5),1))+IF(AU1380="",0,IFERROR(--(EOMONTH(AU1380,0)&lt;&gt;AT$5),1))+IF(AX1380="",0,IFERROR(--(EOMONTH(AX1380,0)&lt;&gt;AW$5),1))+IF(BA1380="",0,IFERROR(--(EOMONTH(BA1380,0)&lt;&gt;AZ$5),1)))&gt;0,"; An invoice date is not in the month it is typed under",""),3,500))</f>
        <v/>
      </c>
      <c r="S1380" s="12" t="n"/>
      <c r="T1380" s="13" t="n"/>
      <c r="U1380" s="14" t="n"/>
      <c r="V1380" s="12" t="n"/>
      <c r="W1380" s="13" t="n"/>
      <c r="X1380" s="14" t="n"/>
      <c r="Y1380" s="12" t="n"/>
      <c r="Z1380" s="13" t="n"/>
      <c r="AA1380" s="14" t="n"/>
      <c r="AB1380" s="12" t="n"/>
      <c r="AC1380" s="13" t="n"/>
      <c r="AD1380" s="14" t="n"/>
      <c r="AE1380" s="12" t="n"/>
      <c r="AF1380" s="13" t="n"/>
      <c r="AG1380" s="14" t="n"/>
      <c r="AH1380" s="12" t="n"/>
      <c r="AI1380" s="13" t="n"/>
      <c r="AJ1380" s="14" t="n"/>
      <c r="AK1380" s="12" t="n"/>
      <c r="AL1380" s="13" t="n"/>
      <c r="AM1380" s="14" t="n"/>
      <c r="AN1380" s="12" t="n"/>
      <c r="AO1380" s="13" t="n"/>
      <c r="AP1380" s="14" t="n"/>
      <c r="AQ1380" s="12" t="n"/>
      <c r="AR1380" s="13" t="n"/>
      <c r="AS1380" s="14" t="n"/>
      <c r="AT1380" s="12" t="n"/>
      <c r="AU1380" s="13" t="n"/>
      <c r="AV1380" s="14" t="n"/>
      <c r="AW1380" s="12" t="n"/>
      <c r="AX1380" s="13" t="n"/>
      <c r="AY1380" s="14" t="n"/>
      <c r="AZ1380" s="12" t="n"/>
      <c r="BA1380" s="13" t="n"/>
      <c r="BB1380" s="14" t="n"/>
      <c r="BC1380" s="11">
        <f>IF(O1380="","",IF(J1380="GST 10%",ROUND(O1380*set_GSTRate,2),0))</f>
        <v/>
      </c>
      <c r="BD1380" s="11">
        <f>IF(O1380="","",O1380+BC1380)</f>
        <v/>
      </c>
      <c r="BE1380" s="15">
        <f>IF(O1380="","",COUNTA(S1380,V1380,Y1380,AB1380,AE1380,AH1380,AK1380,AN1380,AQ1380,AT1380,AW1380,AZ1380))</f>
        <v/>
      </c>
      <c r="BF1380" s="16">
        <f>IF(COUNT(T1380,W1380,Z1380,AC1380,AF1380,AI1380,AL1380,AO1380,AR1380,AU1380,AX1380,BA1380)=0,"",MAX(T1380,W1380,Z1380,AC1380,AF1380,AI1380,AL1380,AO1380,AR1380,AU1380,AX1380,BA1380))</f>
        <v/>
      </c>
      <c r="BG1380" s="10">
        <f>MID(IF(S1380="","",", "&amp;S1380)&amp;IF(V1380="","",", "&amp;V1380)&amp;IF(Y1380="","",", "&amp;Y1380)&amp;IF(AB1380="","",", "&amp;AB1380)&amp;IF(AE1380="","",", "&amp;AE1380)&amp;IF(AH1380="","",", "&amp;AH1380)&amp;IF(AK1380="","",", "&amp;AK1380)&amp;IF(AN1380="","",", "&amp;AN1380)&amp;IF(AQ1380="","",", "&amp;AQ1380)&amp;IF(AT1380="","",", "&amp;AT1380)&amp;IF(AW1380="","",", "&amp;AW1380)&amp;IF(AZ1380="","",", "&amp;AZ1380),3,500)</f>
        <v/>
      </c>
      <c r="BH1380" s="12" t="n"/>
      <c r="BI1380" s="15">
        <f>IFERROR(MATCH($A1380,IF($B1380="Onsite",tbl_Onsite[Row ID],IF($B1380="Production",tbl_Production[Row ID],tbl_Consulting[Row ID])),0),"")</f>
        <v/>
      </c>
    </row>
    <row r="1381">
      <c r="A1381" s="10" t="inlineStr">
        <is>
          <t>CON-0375</t>
        </is>
      </c>
      <c r="B1381" s="10" t="inlineStr">
        <is>
          <t>Consulting</t>
        </is>
      </c>
      <c r="C1381" s="10">
        <f>IF($BI1381="","",IF($B1381="Onsite",INDEX(tbl_Onsite[Job Number],$BI1381),IF($B1381="Production",INDEX(tbl_Production[Job Number],$BI1381),INDEX(tbl_Consulting[Job Number],$BI1381)))&amp;"")</f>
        <v/>
      </c>
      <c r="D1381" s="10">
        <f>IF($BI1381="","",IF($B1381="Onsite",INDEX(tbl_Onsite[Client],$BI1381),IF($B1381="Production",INDEX(tbl_Production[Client],$BI1381),INDEX(tbl_Consulting[Client],$BI1381)))&amp;"")</f>
        <v/>
      </c>
      <c r="E1381" s="10">
        <f>IF($C1381="","",IF(COUNTIF(lst_Jobs,$C1381)&gt;0,"OK","CHECK"))</f>
        <v/>
      </c>
      <c r="F1381" s="10">
        <f>IF($C1381="","",IFERROR(INDEX(lst_JobName,MATCH($C1381,lst_Jobs,0)),""))</f>
        <v/>
      </c>
      <c r="G1381" s="10">
        <f>IF($BI1381="","",IF($B1381="Onsite",INDEX(tbl_Onsite[Job Description],$BI1381),IF($B1381="Production",INDEX(tbl_Production[Job Description],$BI1381),INDEX(tbl_Consulting[Job Description],$BI1381)))&amp;"")</f>
        <v/>
      </c>
      <c r="H1381" s="10">
        <f>IF($BI1381="","",IF($B1381="Onsite",INDEX(tbl_Onsite[Cost Centre],$BI1381),IF($B1381="Production",INDEX(tbl_Production[Cost Centre],$BI1381),INDEX(tbl_Consulting[Cost Centre],$BI1381)))&amp;"")</f>
        <v/>
      </c>
      <c r="I1381" s="10">
        <f>IF($BI1381="","",IF($B1381="Onsite",INDEX(tbl_Onsite[Invoice Type],$BI1381),IF($B1381="Production",INDEX(tbl_Production[Invoice Type],$BI1381),INDEX(tbl_Consulting[Invoice Type],$BI1381)))&amp;"")</f>
        <v/>
      </c>
      <c r="J1381" s="10">
        <f>IF($BI1381="","",IF($B1381="Onsite",INDEX(tbl_Onsite[Tax Code],$BI1381),IF($B1381="Production",INDEX(tbl_Production[Tax Code],$BI1381),INDEX(tbl_Consulting[Tax Code],$BI1381)))&amp;"")</f>
        <v/>
      </c>
      <c r="K1381" s="10">
        <f>IF(H1381="","",IFERROR(INDEX(lst_CCtoGL,MATCH(H1381,lst_CCforGL,0)),""))</f>
        <v/>
      </c>
      <c r="L1381" s="10">
        <f>IF($BI1381="","",IF($B1381="Onsite",INDEX(tbl_Onsite[PO / Reference],$BI1381),IF($B1381="Production",INDEX(tbl_Production[Current RMS No],$BI1381),INDEX(tbl_Consulting[Qwilr Quote],$BI1381)))&amp;"")</f>
        <v/>
      </c>
      <c r="M1381" s="10">
        <f>IF($BI1381="","",IF($B1381="Onsite",INDEX(tbl_Onsite[Notes],$BI1381),IF($B1381="Production",INDEX(tbl_Production[Notes],$BI1381),INDEX(tbl_Consulting[Notes],$BI1381)))&amp;"")</f>
        <v/>
      </c>
      <c r="N1381" s="11">
        <f>IF($BI1381="","",IF(IF($B1381="Onsite",INDEX(tbl_Onsite[Expected Revenue Ex GST],$BI1381),IF($B1381="Production",INDEX(tbl_Production[Expected Revenue Ex GST],$BI1381),INDEX(tbl_Consulting[Expected Revenue Ex GST],$BI1381)))="","",IF($B1381="Onsite",INDEX(tbl_Onsite[Expected Revenue Ex GST],$BI1381),IF($B1381="Production",INDEX(tbl_Production[Expected Revenue Ex GST],$BI1381),INDEX(tbl_Consulting[Expected Revenue Ex GST],$BI1381)))))</f>
        <v/>
      </c>
      <c r="O1381" s="11">
        <f>IF(AND($C1381="",NOT(COUNTA($S1381:$BB1381)&gt;0)),"",SUM(U1381,X1381,AA1381,AD1381,AG1381,AJ1381,AM1381,AP1381,AS1381,AV1381,AY1381,BB1381))</f>
        <v/>
      </c>
      <c r="P1381" s="11">
        <f>IF(O1381="","",N(N1381)-O1381)</f>
        <v/>
      </c>
      <c r="Q1381" s="10">
        <f>IF(O1381="","",IF($C1381="","Invoice on empty job row",IF(N1381="",IF(ROUND(O1381,2)=0,"No dept value","Invoiced - no dept value"),IF(ROUND(O1381,2)=0,"Not invoiced - to invoice",IF(ROUND(P1381,2)=0,"Agrees",IF(P1381&gt;0,"Dept higher - to invoice","Xero higher - check dept"))))))</f>
        <v/>
      </c>
      <c r="R1381" s="10">
        <f>IF(AND($C1381="",NOT(COUNTA($S1381:$BB1381)&gt;0),$BI1381&lt;&gt;""),"",MID(IF($BI1381="","; Row ID not found on the department sheet - a row was deleted","")&amp;IF(AND($C1381="",COUNTA($S1381:$BB1381)&gt;0),"; Invoice entered but the department row has no job number","")&amp;IF(E1381="CHECK","; Job number not in the Xero job list","")&amp;IF(AND($C1381&lt;&gt;"",COUNTIF($C$7:$C$1506,$C1381)&gt;1),"; Job number on more than one row","")&amp;IF(AND($C1381&lt;&gt;"",H1381=""),"; Dept has not set a cost centre","")&amp;IF(AND($C1381&lt;&gt;"",J1381=""),"; Dept has not set a tax code","")&amp;IF(AND($C1381&lt;&gt;"",N1381=""),"; Dept has not entered an expected value","")&amp;IF((IF(OR(COUNTA(S1381:U1381)=0,AND(COUNTA(S1381:U1381)=3,ISNUMBER(U1381))),0,1)+IF(OR(COUNTA(V1381:X1381)=0,AND(COUNTA(V1381:X1381)=3,ISNUMBER(X1381))),0,1)+IF(OR(COUNTA(Y1381:AA1381)=0,AND(COUNTA(Y1381:AA1381)=3,ISNUMBER(AA1381))),0,1)+IF(OR(COUNTA(AB1381:AD1381)=0,AND(COUNTA(AB1381:AD1381)=3,ISNUMBER(AD1381))),0,1)+IF(OR(COUNTA(AE1381:AG1381)=0,AND(COUNTA(AE1381:AG1381)=3,ISNUMBER(AG1381))),0,1)+IF(OR(COUNTA(AH1381:AJ1381)=0,AND(COUNTA(AH1381:AJ1381)=3,ISNUMBER(AJ1381))),0,1)+IF(OR(COUNTA(AK1381:AM1381)=0,AND(COUNTA(AK1381:AM1381)=3,ISNUMBER(AM1381))),0,1)+IF(OR(COUNTA(AN1381:AP1381)=0,AND(COUNTA(AN1381:AP1381)=3,ISNUMBER(AP1381))),0,1)+IF(OR(COUNTA(AQ1381:AS1381)=0,AND(COUNTA(AQ1381:AS1381)=3,ISNUMBER(AS1381))),0,1)+IF(OR(COUNTA(AT1381:AV1381)=0,AND(COUNTA(AT1381:AV1381)=3,ISNUMBER(AV1381))),0,1)+IF(OR(COUNTA(AW1381:AY1381)=0,AND(COUNTA(AW1381:AY1381)=3,ISNUMBER(AY1381))),0,1)+IF(OR(COUNTA(AZ1381:BB1381)=0,AND(COUNTA(AZ1381:BB1381)=3,ISNUMBER(BB1381))),0,1))&gt;0,"; An invoice is incomplete (needs No, Date and a number in Ex GST)","")&amp;IF((IF(T1381="",0,IFERROR(--(EOMONTH(T1381,0)&lt;&gt;S$5),1))+IF(W1381="",0,IFERROR(--(EOMONTH(W1381,0)&lt;&gt;V$5),1))+IF(Z1381="",0,IFERROR(--(EOMONTH(Z1381,0)&lt;&gt;Y$5),1))+IF(AC1381="",0,IFERROR(--(EOMONTH(AC1381,0)&lt;&gt;AB$5),1))+IF(AF1381="",0,IFERROR(--(EOMONTH(AF1381,0)&lt;&gt;AE$5),1))+IF(AI1381="",0,IFERROR(--(EOMONTH(AI1381,0)&lt;&gt;AH$5),1))+IF(AL1381="",0,IFERROR(--(EOMONTH(AL1381,0)&lt;&gt;AK$5),1))+IF(AO1381="",0,IFERROR(--(EOMONTH(AO1381,0)&lt;&gt;AN$5),1))+IF(AR1381="",0,IFERROR(--(EOMONTH(AR1381,0)&lt;&gt;AQ$5),1))+IF(AU1381="",0,IFERROR(--(EOMONTH(AU1381,0)&lt;&gt;AT$5),1))+IF(AX1381="",0,IFERROR(--(EOMONTH(AX1381,0)&lt;&gt;AW$5),1))+IF(BA1381="",0,IFERROR(--(EOMONTH(BA1381,0)&lt;&gt;AZ$5),1)))&gt;0,"; An invoice date is not in the month it is typed under",""),3,500))</f>
        <v/>
      </c>
      <c r="S1381" s="12" t="n"/>
      <c r="T1381" s="13" t="n"/>
      <c r="U1381" s="14" t="n"/>
      <c r="V1381" s="12" t="n"/>
      <c r="W1381" s="13" t="n"/>
      <c r="X1381" s="14" t="n"/>
      <c r="Y1381" s="12" t="n"/>
      <c r="Z1381" s="13" t="n"/>
      <c r="AA1381" s="14" t="n"/>
      <c r="AB1381" s="12" t="n"/>
      <c r="AC1381" s="13" t="n"/>
      <c r="AD1381" s="14" t="n"/>
      <c r="AE1381" s="12" t="n"/>
      <c r="AF1381" s="13" t="n"/>
      <c r="AG1381" s="14" t="n"/>
      <c r="AH1381" s="12" t="n"/>
      <c r="AI1381" s="13" t="n"/>
      <c r="AJ1381" s="14" t="n"/>
      <c r="AK1381" s="12" t="n"/>
      <c r="AL1381" s="13" t="n"/>
      <c r="AM1381" s="14" t="n"/>
      <c r="AN1381" s="12" t="n"/>
      <c r="AO1381" s="13" t="n"/>
      <c r="AP1381" s="14" t="n"/>
      <c r="AQ1381" s="12" t="n"/>
      <c r="AR1381" s="13" t="n"/>
      <c r="AS1381" s="14" t="n"/>
      <c r="AT1381" s="12" t="n"/>
      <c r="AU1381" s="13" t="n"/>
      <c r="AV1381" s="14" t="n"/>
      <c r="AW1381" s="12" t="n"/>
      <c r="AX1381" s="13" t="n"/>
      <c r="AY1381" s="14" t="n"/>
      <c r="AZ1381" s="12" t="n"/>
      <c r="BA1381" s="13" t="n"/>
      <c r="BB1381" s="14" t="n"/>
      <c r="BC1381" s="11">
        <f>IF(O1381="","",IF(J1381="GST 10%",ROUND(O1381*set_GSTRate,2),0))</f>
        <v/>
      </c>
      <c r="BD1381" s="11">
        <f>IF(O1381="","",O1381+BC1381)</f>
        <v/>
      </c>
      <c r="BE1381" s="15">
        <f>IF(O1381="","",COUNTA(S1381,V1381,Y1381,AB1381,AE1381,AH1381,AK1381,AN1381,AQ1381,AT1381,AW1381,AZ1381))</f>
        <v/>
      </c>
      <c r="BF1381" s="16">
        <f>IF(COUNT(T1381,W1381,Z1381,AC1381,AF1381,AI1381,AL1381,AO1381,AR1381,AU1381,AX1381,BA1381)=0,"",MAX(T1381,W1381,Z1381,AC1381,AF1381,AI1381,AL1381,AO1381,AR1381,AU1381,AX1381,BA1381))</f>
        <v/>
      </c>
      <c r="BG1381" s="10">
        <f>MID(IF(S1381="","",", "&amp;S1381)&amp;IF(V1381="","",", "&amp;V1381)&amp;IF(Y1381="","",", "&amp;Y1381)&amp;IF(AB1381="","",", "&amp;AB1381)&amp;IF(AE1381="","",", "&amp;AE1381)&amp;IF(AH1381="","",", "&amp;AH1381)&amp;IF(AK1381="","",", "&amp;AK1381)&amp;IF(AN1381="","",", "&amp;AN1381)&amp;IF(AQ1381="","",", "&amp;AQ1381)&amp;IF(AT1381="","",", "&amp;AT1381)&amp;IF(AW1381="","",", "&amp;AW1381)&amp;IF(AZ1381="","",", "&amp;AZ1381),3,500)</f>
        <v/>
      </c>
      <c r="BH1381" s="12" t="n"/>
      <c r="BI1381" s="15">
        <f>IFERROR(MATCH($A1381,IF($B1381="Onsite",tbl_Onsite[Row ID],IF($B1381="Production",tbl_Production[Row ID],tbl_Consulting[Row ID])),0),"")</f>
        <v/>
      </c>
    </row>
    <row r="1382">
      <c r="A1382" s="10" t="inlineStr">
        <is>
          <t>CON-0376</t>
        </is>
      </c>
      <c r="B1382" s="10" t="inlineStr">
        <is>
          <t>Consulting</t>
        </is>
      </c>
      <c r="C1382" s="10">
        <f>IF($BI1382="","",IF($B1382="Onsite",INDEX(tbl_Onsite[Job Number],$BI1382),IF($B1382="Production",INDEX(tbl_Production[Job Number],$BI1382),INDEX(tbl_Consulting[Job Number],$BI1382)))&amp;"")</f>
        <v/>
      </c>
      <c r="D1382" s="10">
        <f>IF($BI1382="","",IF($B1382="Onsite",INDEX(tbl_Onsite[Client],$BI1382),IF($B1382="Production",INDEX(tbl_Production[Client],$BI1382),INDEX(tbl_Consulting[Client],$BI1382)))&amp;"")</f>
        <v/>
      </c>
      <c r="E1382" s="10">
        <f>IF($C1382="","",IF(COUNTIF(lst_Jobs,$C1382)&gt;0,"OK","CHECK"))</f>
        <v/>
      </c>
      <c r="F1382" s="10">
        <f>IF($C1382="","",IFERROR(INDEX(lst_JobName,MATCH($C1382,lst_Jobs,0)),""))</f>
        <v/>
      </c>
      <c r="G1382" s="10">
        <f>IF($BI1382="","",IF($B1382="Onsite",INDEX(tbl_Onsite[Job Description],$BI1382),IF($B1382="Production",INDEX(tbl_Production[Job Description],$BI1382),INDEX(tbl_Consulting[Job Description],$BI1382)))&amp;"")</f>
        <v/>
      </c>
      <c r="H1382" s="10">
        <f>IF($BI1382="","",IF($B1382="Onsite",INDEX(tbl_Onsite[Cost Centre],$BI1382),IF($B1382="Production",INDEX(tbl_Production[Cost Centre],$BI1382),INDEX(tbl_Consulting[Cost Centre],$BI1382)))&amp;"")</f>
        <v/>
      </c>
      <c r="I1382" s="10">
        <f>IF($BI1382="","",IF($B1382="Onsite",INDEX(tbl_Onsite[Invoice Type],$BI1382),IF($B1382="Production",INDEX(tbl_Production[Invoice Type],$BI1382),INDEX(tbl_Consulting[Invoice Type],$BI1382)))&amp;"")</f>
        <v/>
      </c>
      <c r="J1382" s="10">
        <f>IF($BI1382="","",IF($B1382="Onsite",INDEX(tbl_Onsite[Tax Code],$BI1382),IF($B1382="Production",INDEX(tbl_Production[Tax Code],$BI1382),INDEX(tbl_Consulting[Tax Code],$BI1382)))&amp;"")</f>
        <v/>
      </c>
      <c r="K1382" s="10">
        <f>IF(H1382="","",IFERROR(INDEX(lst_CCtoGL,MATCH(H1382,lst_CCforGL,0)),""))</f>
        <v/>
      </c>
      <c r="L1382" s="10">
        <f>IF($BI1382="","",IF($B1382="Onsite",INDEX(tbl_Onsite[PO / Reference],$BI1382),IF($B1382="Production",INDEX(tbl_Production[Current RMS No],$BI1382),INDEX(tbl_Consulting[Qwilr Quote],$BI1382)))&amp;"")</f>
        <v/>
      </c>
      <c r="M1382" s="10">
        <f>IF($BI1382="","",IF($B1382="Onsite",INDEX(tbl_Onsite[Notes],$BI1382),IF($B1382="Production",INDEX(tbl_Production[Notes],$BI1382),INDEX(tbl_Consulting[Notes],$BI1382)))&amp;"")</f>
        <v/>
      </c>
      <c r="N1382" s="11">
        <f>IF($BI1382="","",IF(IF($B1382="Onsite",INDEX(tbl_Onsite[Expected Revenue Ex GST],$BI1382),IF($B1382="Production",INDEX(tbl_Production[Expected Revenue Ex GST],$BI1382),INDEX(tbl_Consulting[Expected Revenue Ex GST],$BI1382)))="","",IF($B1382="Onsite",INDEX(tbl_Onsite[Expected Revenue Ex GST],$BI1382),IF($B1382="Production",INDEX(tbl_Production[Expected Revenue Ex GST],$BI1382),INDEX(tbl_Consulting[Expected Revenue Ex GST],$BI1382)))))</f>
        <v/>
      </c>
      <c r="O1382" s="11">
        <f>IF(AND($C1382="",NOT(COUNTA($S1382:$BB1382)&gt;0)),"",SUM(U1382,X1382,AA1382,AD1382,AG1382,AJ1382,AM1382,AP1382,AS1382,AV1382,AY1382,BB1382))</f>
        <v/>
      </c>
      <c r="P1382" s="11">
        <f>IF(O1382="","",N(N1382)-O1382)</f>
        <v/>
      </c>
      <c r="Q1382" s="10">
        <f>IF(O1382="","",IF($C1382="","Invoice on empty job row",IF(N1382="",IF(ROUND(O1382,2)=0,"No dept value","Invoiced - no dept value"),IF(ROUND(O1382,2)=0,"Not invoiced - to invoice",IF(ROUND(P1382,2)=0,"Agrees",IF(P1382&gt;0,"Dept higher - to invoice","Xero higher - check dept"))))))</f>
        <v/>
      </c>
      <c r="R1382" s="10">
        <f>IF(AND($C1382="",NOT(COUNTA($S1382:$BB1382)&gt;0),$BI1382&lt;&gt;""),"",MID(IF($BI1382="","; Row ID not found on the department sheet - a row was deleted","")&amp;IF(AND($C1382="",COUNTA($S1382:$BB1382)&gt;0),"; Invoice entered but the department row has no job number","")&amp;IF(E1382="CHECK","; Job number not in the Xero job list","")&amp;IF(AND($C1382&lt;&gt;"",COUNTIF($C$7:$C$1506,$C1382)&gt;1),"; Job number on more than one row","")&amp;IF(AND($C1382&lt;&gt;"",H1382=""),"; Dept has not set a cost centre","")&amp;IF(AND($C1382&lt;&gt;"",J1382=""),"; Dept has not set a tax code","")&amp;IF(AND($C1382&lt;&gt;"",N1382=""),"; Dept has not entered an expected value","")&amp;IF((IF(OR(COUNTA(S1382:U1382)=0,AND(COUNTA(S1382:U1382)=3,ISNUMBER(U1382))),0,1)+IF(OR(COUNTA(V1382:X1382)=0,AND(COUNTA(V1382:X1382)=3,ISNUMBER(X1382))),0,1)+IF(OR(COUNTA(Y1382:AA1382)=0,AND(COUNTA(Y1382:AA1382)=3,ISNUMBER(AA1382))),0,1)+IF(OR(COUNTA(AB1382:AD1382)=0,AND(COUNTA(AB1382:AD1382)=3,ISNUMBER(AD1382))),0,1)+IF(OR(COUNTA(AE1382:AG1382)=0,AND(COUNTA(AE1382:AG1382)=3,ISNUMBER(AG1382))),0,1)+IF(OR(COUNTA(AH1382:AJ1382)=0,AND(COUNTA(AH1382:AJ1382)=3,ISNUMBER(AJ1382))),0,1)+IF(OR(COUNTA(AK1382:AM1382)=0,AND(COUNTA(AK1382:AM1382)=3,ISNUMBER(AM1382))),0,1)+IF(OR(COUNTA(AN1382:AP1382)=0,AND(COUNTA(AN1382:AP1382)=3,ISNUMBER(AP1382))),0,1)+IF(OR(COUNTA(AQ1382:AS1382)=0,AND(COUNTA(AQ1382:AS1382)=3,ISNUMBER(AS1382))),0,1)+IF(OR(COUNTA(AT1382:AV1382)=0,AND(COUNTA(AT1382:AV1382)=3,ISNUMBER(AV1382))),0,1)+IF(OR(COUNTA(AW1382:AY1382)=0,AND(COUNTA(AW1382:AY1382)=3,ISNUMBER(AY1382))),0,1)+IF(OR(COUNTA(AZ1382:BB1382)=0,AND(COUNTA(AZ1382:BB1382)=3,ISNUMBER(BB1382))),0,1))&gt;0,"; An invoice is incomplete (needs No, Date and a number in Ex GST)","")&amp;IF((IF(T1382="",0,IFERROR(--(EOMONTH(T1382,0)&lt;&gt;S$5),1))+IF(W1382="",0,IFERROR(--(EOMONTH(W1382,0)&lt;&gt;V$5),1))+IF(Z1382="",0,IFERROR(--(EOMONTH(Z1382,0)&lt;&gt;Y$5),1))+IF(AC1382="",0,IFERROR(--(EOMONTH(AC1382,0)&lt;&gt;AB$5),1))+IF(AF1382="",0,IFERROR(--(EOMONTH(AF1382,0)&lt;&gt;AE$5),1))+IF(AI1382="",0,IFERROR(--(EOMONTH(AI1382,0)&lt;&gt;AH$5),1))+IF(AL1382="",0,IFERROR(--(EOMONTH(AL1382,0)&lt;&gt;AK$5),1))+IF(AO1382="",0,IFERROR(--(EOMONTH(AO1382,0)&lt;&gt;AN$5),1))+IF(AR1382="",0,IFERROR(--(EOMONTH(AR1382,0)&lt;&gt;AQ$5),1))+IF(AU1382="",0,IFERROR(--(EOMONTH(AU1382,0)&lt;&gt;AT$5),1))+IF(AX1382="",0,IFERROR(--(EOMONTH(AX1382,0)&lt;&gt;AW$5),1))+IF(BA1382="",0,IFERROR(--(EOMONTH(BA1382,0)&lt;&gt;AZ$5),1)))&gt;0,"; An invoice date is not in the month it is typed under",""),3,500))</f>
        <v/>
      </c>
      <c r="S1382" s="12" t="n"/>
      <c r="T1382" s="13" t="n"/>
      <c r="U1382" s="14" t="n"/>
      <c r="V1382" s="12" t="n"/>
      <c r="W1382" s="13" t="n"/>
      <c r="X1382" s="14" t="n"/>
      <c r="Y1382" s="12" t="n"/>
      <c r="Z1382" s="13" t="n"/>
      <c r="AA1382" s="14" t="n"/>
      <c r="AB1382" s="12" t="n"/>
      <c r="AC1382" s="13" t="n"/>
      <c r="AD1382" s="14" t="n"/>
      <c r="AE1382" s="12" t="n"/>
      <c r="AF1382" s="13" t="n"/>
      <c r="AG1382" s="14" t="n"/>
      <c r="AH1382" s="12" t="n"/>
      <c r="AI1382" s="13" t="n"/>
      <c r="AJ1382" s="14" t="n"/>
      <c r="AK1382" s="12" t="n"/>
      <c r="AL1382" s="13" t="n"/>
      <c r="AM1382" s="14" t="n"/>
      <c r="AN1382" s="12" t="n"/>
      <c r="AO1382" s="13" t="n"/>
      <c r="AP1382" s="14" t="n"/>
      <c r="AQ1382" s="12" t="n"/>
      <c r="AR1382" s="13" t="n"/>
      <c r="AS1382" s="14" t="n"/>
      <c r="AT1382" s="12" t="n"/>
      <c r="AU1382" s="13" t="n"/>
      <c r="AV1382" s="14" t="n"/>
      <c r="AW1382" s="12" t="n"/>
      <c r="AX1382" s="13" t="n"/>
      <c r="AY1382" s="14" t="n"/>
      <c r="AZ1382" s="12" t="n"/>
      <c r="BA1382" s="13" t="n"/>
      <c r="BB1382" s="14" t="n"/>
      <c r="BC1382" s="11">
        <f>IF(O1382="","",IF(J1382="GST 10%",ROUND(O1382*set_GSTRate,2),0))</f>
        <v/>
      </c>
      <c r="BD1382" s="11">
        <f>IF(O1382="","",O1382+BC1382)</f>
        <v/>
      </c>
      <c r="BE1382" s="15">
        <f>IF(O1382="","",COUNTA(S1382,V1382,Y1382,AB1382,AE1382,AH1382,AK1382,AN1382,AQ1382,AT1382,AW1382,AZ1382))</f>
        <v/>
      </c>
      <c r="BF1382" s="16">
        <f>IF(COUNT(T1382,W1382,Z1382,AC1382,AF1382,AI1382,AL1382,AO1382,AR1382,AU1382,AX1382,BA1382)=0,"",MAX(T1382,W1382,Z1382,AC1382,AF1382,AI1382,AL1382,AO1382,AR1382,AU1382,AX1382,BA1382))</f>
        <v/>
      </c>
      <c r="BG1382" s="10">
        <f>MID(IF(S1382="","",", "&amp;S1382)&amp;IF(V1382="","",", "&amp;V1382)&amp;IF(Y1382="","",", "&amp;Y1382)&amp;IF(AB1382="","",", "&amp;AB1382)&amp;IF(AE1382="","",", "&amp;AE1382)&amp;IF(AH1382="","",", "&amp;AH1382)&amp;IF(AK1382="","",", "&amp;AK1382)&amp;IF(AN1382="","",", "&amp;AN1382)&amp;IF(AQ1382="","",", "&amp;AQ1382)&amp;IF(AT1382="","",", "&amp;AT1382)&amp;IF(AW1382="","",", "&amp;AW1382)&amp;IF(AZ1382="","",", "&amp;AZ1382),3,500)</f>
        <v/>
      </c>
      <c r="BH1382" s="12" t="n"/>
      <c r="BI1382" s="15">
        <f>IFERROR(MATCH($A1382,IF($B1382="Onsite",tbl_Onsite[Row ID],IF($B1382="Production",tbl_Production[Row ID],tbl_Consulting[Row ID])),0),"")</f>
        <v/>
      </c>
    </row>
    <row r="1383">
      <c r="A1383" s="10" t="inlineStr">
        <is>
          <t>CON-0377</t>
        </is>
      </c>
      <c r="B1383" s="10" t="inlineStr">
        <is>
          <t>Consulting</t>
        </is>
      </c>
      <c r="C1383" s="10">
        <f>IF($BI1383="","",IF($B1383="Onsite",INDEX(tbl_Onsite[Job Number],$BI1383),IF($B1383="Production",INDEX(tbl_Production[Job Number],$BI1383),INDEX(tbl_Consulting[Job Number],$BI1383)))&amp;"")</f>
        <v/>
      </c>
      <c r="D1383" s="10">
        <f>IF($BI1383="","",IF($B1383="Onsite",INDEX(tbl_Onsite[Client],$BI1383),IF($B1383="Production",INDEX(tbl_Production[Client],$BI1383),INDEX(tbl_Consulting[Client],$BI1383)))&amp;"")</f>
        <v/>
      </c>
      <c r="E1383" s="10">
        <f>IF($C1383="","",IF(COUNTIF(lst_Jobs,$C1383)&gt;0,"OK","CHECK"))</f>
        <v/>
      </c>
      <c r="F1383" s="10">
        <f>IF($C1383="","",IFERROR(INDEX(lst_JobName,MATCH($C1383,lst_Jobs,0)),""))</f>
        <v/>
      </c>
      <c r="G1383" s="10">
        <f>IF($BI1383="","",IF($B1383="Onsite",INDEX(tbl_Onsite[Job Description],$BI1383),IF($B1383="Production",INDEX(tbl_Production[Job Description],$BI1383),INDEX(tbl_Consulting[Job Description],$BI1383)))&amp;"")</f>
        <v/>
      </c>
      <c r="H1383" s="10">
        <f>IF($BI1383="","",IF($B1383="Onsite",INDEX(tbl_Onsite[Cost Centre],$BI1383),IF($B1383="Production",INDEX(tbl_Production[Cost Centre],$BI1383),INDEX(tbl_Consulting[Cost Centre],$BI1383)))&amp;"")</f>
        <v/>
      </c>
      <c r="I1383" s="10">
        <f>IF($BI1383="","",IF($B1383="Onsite",INDEX(tbl_Onsite[Invoice Type],$BI1383),IF($B1383="Production",INDEX(tbl_Production[Invoice Type],$BI1383),INDEX(tbl_Consulting[Invoice Type],$BI1383)))&amp;"")</f>
        <v/>
      </c>
      <c r="J1383" s="10">
        <f>IF($BI1383="","",IF($B1383="Onsite",INDEX(tbl_Onsite[Tax Code],$BI1383),IF($B1383="Production",INDEX(tbl_Production[Tax Code],$BI1383),INDEX(tbl_Consulting[Tax Code],$BI1383)))&amp;"")</f>
        <v/>
      </c>
      <c r="K1383" s="10">
        <f>IF(H1383="","",IFERROR(INDEX(lst_CCtoGL,MATCH(H1383,lst_CCforGL,0)),""))</f>
        <v/>
      </c>
      <c r="L1383" s="10">
        <f>IF($BI1383="","",IF($B1383="Onsite",INDEX(tbl_Onsite[PO / Reference],$BI1383),IF($B1383="Production",INDEX(tbl_Production[Current RMS No],$BI1383),INDEX(tbl_Consulting[Qwilr Quote],$BI1383)))&amp;"")</f>
        <v/>
      </c>
      <c r="M1383" s="10">
        <f>IF($BI1383="","",IF($B1383="Onsite",INDEX(tbl_Onsite[Notes],$BI1383),IF($B1383="Production",INDEX(tbl_Production[Notes],$BI1383),INDEX(tbl_Consulting[Notes],$BI1383)))&amp;"")</f>
        <v/>
      </c>
      <c r="N1383" s="11">
        <f>IF($BI1383="","",IF(IF($B1383="Onsite",INDEX(tbl_Onsite[Expected Revenue Ex GST],$BI1383),IF($B1383="Production",INDEX(tbl_Production[Expected Revenue Ex GST],$BI1383),INDEX(tbl_Consulting[Expected Revenue Ex GST],$BI1383)))="","",IF($B1383="Onsite",INDEX(tbl_Onsite[Expected Revenue Ex GST],$BI1383),IF($B1383="Production",INDEX(tbl_Production[Expected Revenue Ex GST],$BI1383),INDEX(tbl_Consulting[Expected Revenue Ex GST],$BI1383)))))</f>
        <v/>
      </c>
      <c r="O1383" s="11">
        <f>IF(AND($C1383="",NOT(COUNTA($S1383:$BB1383)&gt;0)),"",SUM(U1383,X1383,AA1383,AD1383,AG1383,AJ1383,AM1383,AP1383,AS1383,AV1383,AY1383,BB1383))</f>
        <v/>
      </c>
      <c r="P1383" s="11">
        <f>IF(O1383="","",N(N1383)-O1383)</f>
        <v/>
      </c>
      <c r="Q1383" s="10">
        <f>IF(O1383="","",IF($C1383="","Invoice on empty job row",IF(N1383="",IF(ROUND(O1383,2)=0,"No dept value","Invoiced - no dept value"),IF(ROUND(O1383,2)=0,"Not invoiced - to invoice",IF(ROUND(P1383,2)=0,"Agrees",IF(P1383&gt;0,"Dept higher - to invoice","Xero higher - check dept"))))))</f>
        <v/>
      </c>
      <c r="R1383" s="10">
        <f>IF(AND($C1383="",NOT(COUNTA($S1383:$BB1383)&gt;0),$BI1383&lt;&gt;""),"",MID(IF($BI1383="","; Row ID not found on the department sheet - a row was deleted","")&amp;IF(AND($C1383="",COUNTA($S1383:$BB1383)&gt;0),"; Invoice entered but the department row has no job number","")&amp;IF(E1383="CHECK","; Job number not in the Xero job list","")&amp;IF(AND($C1383&lt;&gt;"",COUNTIF($C$7:$C$1506,$C1383)&gt;1),"; Job number on more than one row","")&amp;IF(AND($C1383&lt;&gt;"",H1383=""),"; Dept has not set a cost centre","")&amp;IF(AND($C1383&lt;&gt;"",J1383=""),"; Dept has not set a tax code","")&amp;IF(AND($C1383&lt;&gt;"",N1383=""),"; Dept has not entered an expected value","")&amp;IF((IF(OR(COUNTA(S1383:U1383)=0,AND(COUNTA(S1383:U1383)=3,ISNUMBER(U1383))),0,1)+IF(OR(COUNTA(V1383:X1383)=0,AND(COUNTA(V1383:X1383)=3,ISNUMBER(X1383))),0,1)+IF(OR(COUNTA(Y1383:AA1383)=0,AND(COUNTA(Y1383:AA1383)=3,ISNUMBER(AA1383))),0,1)+IF(OR(COUNTA(AB1383:AD1383)=0,AND(COUNTA(AB1383:AD1383)=3,ISNUMBER(AD1383))),0,1)+IF(OR(COUNTA(AE1383:AG1383)=0,AND(COUNTA(AE1383:AG1383)=3,ISNUMBER(AG1383))),0,1)+IF(OR(COUNTA(AH1383:AJ1383)=0,AND(COUNTA(AH1383:AJ1383)=3,ISNUMBER(AJ1383))),0,1)+IF(OR(COUNTA(AK1383:AM1383)=0,AND(COUNTA(AK1383:AM1383)=3,ISNUMBER(AM1383))),0,1)+IF(OR(COUNTA(AN1383:AP1383)=0,AND(COUNTA(AN1383:AP1383)=3,ISNUMBER(AP1383))),0,1)+IF(OR(COUNTA(AQ1383:AS1383)=0,AND(COUNTA(AQ1383:AS1383)=3,ISNUMBER(AS1383))),0,1)+IF(OR(COUNTA(AT1383:AV1383)=0,AND(COUNTA(AT1383:AV1383)=3,ISNUMBER(AV1383))),0,1)+IF(OR(COUNTA(AW1383:AY1383)=0,AND(COUNTA(AW1383:AY1383)=3,ISNUMBER(AY1383))),0,1)+IF(OR(COUNTA(AZ1383:BB1383)=0,AND(COUNTA(AZ1383:BB1383)=3,ISNUMBER(BB1383))),0,1))&gt;0,"; An invoice is incomplete (needs No, Date and a number in Ex GST)","")&amp;IF((IF(T1383="",0,IFERROR(--(EOMONTH(T1383,0)&lt;&gt;S$5),1))+IF(W1383="",0,IFERROR(--(EOMONTH(W1383,0)&lt;&gt;V$5),1))+IF(Z1383="",0,IFERROR(--(EOMONTH(Z1383,0)&lt;&gt;Y$5),1))+IF(AC1383="",0,IFERROR(--(EOMONTH(AC1383,0)&lt;&gt;AB$5),1))+IF(AF1383="",0,IFERROR(--(EOMONTH(AF1383,0)&lt;&gt;AE$5),1))+IF(AI1383="",0,IFERROR(--(EOMONTH(AI1383,0)&lt;&gt;AH$5),1))+IF(AL1383="",0,IFERROR(--(EOMONTH(AL1383,0)&lt;&gt;AK$5),1))+IF(AO1383="",0,IFERROR(--(EOMONTH(AO1383,0)&lt;&gt;AN$5),1))+IF(AR1383="",0,IFERROR(--(EOMONTH(AR1383,0)&lt;&gt;AQ$5),1))+IF(AU1383="",0,IFERROR(--(EOMONTH(AU1383,0)&lt;&gt;AT$5),1))+IF(AX1383="",0,IFERROR(--(EOMONTH(AX1383,0)&lt;&gt;AW$5),1))+IF(BA1383="",0,IFERROR(--(EOMONTH(BA1383,0)&lt;&gt;AZ$5),1)))&gt;0,"; An invoice date is not in the month it is typed under",""),3,500))</f>
        <v/>
      </c>
      <c r="S1383" s="12" t="n"/>
      <c r="T1383" s="13" t="n"/>
      <c r="U1383" s="14" t="n"/>
      <c r="V1383" s="12" t="n"/>
      <c r="W1383" s="13" t="n"/>
      <c r="X1383" s="14" t="n"/>
      <c r="Y1383" s="12" t="n"/>
      <c r="Z1383" s="13" t="n"/>
      <c r="AA1383" s="14" t="n"/>
      <c r="AB1383" s="12" t="n"/>
      <c r="AC1383" s="13" t="n"/>
      <c r="AD1383" s="14" t="n"/>
      <c r="AE1383" s="12" t="n"/>
      <c r="AF1383" s="13" t="n"/>
      <c r="AG1383" s="14" t="n"/>
      <c r="AH1383" s="12" t="n"/>
      <c r="AI1383" s="13" t="n"/>
      <c r="AJ1383" s="14" t="n"/>
      <c r="AK1383" s="12" t="n"/>
      <c r="AL1383" s="13" t="n"/>
      <c r="AM1383" s="14" t="n"/>
      <c r="AN1383" s="12" t="n"/>
      <c r="AO1383" s="13" t="n"/>
      <c r="AP1383" s="14" t="n"/>
      <c r="AQ1383" s="12" t="n"/>
      <c r="AR1383" s="13" t="n"/>
      <c r="AS1383" s="14" t="n"/>
      <c r="AT1383" s="12" t="n"/>
      <c r="AU1383" s="13" t="n"/>
      <c r="AV1383" s="14" t="n"/>
      <c r="AW1383" s="12" t="n"/>
      <c r="AX1383" s="13" t="n"/>
      <c r="AY1383" s="14" t="n"/>
      <c r="AZ1383" s="12" t="n"/>
      <c r="BA1383" s="13" t="n"/>
      <c r="BB1383" s="14" t="n"/>
      <c r="BC1383" s="11">
        <f>IF(O1383="","",IF(J1383="GST 10%",ROUND(O1383*set_GSTRate,2),0))</f>
        <v/>
      </c>
      <c r="BD1383" s="11">
        <f>IF(O1383="","",O1383+BC1383)</f>
        <v/>
      </c>
      <c r="BE1383" s="15">
        <f>IF(O1383="","",COUNTA(S1383,V1383,Y1383,AB1383,AE1383,AH1383,AK1383,AN1383,AQ1383,AT1383,AW1383,AZ1383))</f>
        <v/>
      </c>
      <c r="BF1383" s="16">
        <f>IF(COUNT(T1383,W1383,Z1383,AC1383,AF1383,AI1383,AL1383,AO1383,AR1383,AU1383,AX1383,BA1383)=0,"",MAX(T1383,W1383,Z1383,AC1383,AF1383,AI1383,AL1383,AO1383,AR1383,AU1383,AX1383,BA1383))</f>
        <v/>
      </c>
      <c r="BG1383" s="10">
        <f>MID(IF(S1383="","",", "&amp;S1383)&amp;IF(V1383="","",", "&amp;V1383)&amp;IF(Y1383="","",", "&amp;Y1383)&amp;IF(AB1383="","",", "&amp;AB1383)&amp;IF(AE1383="","",", "&amp;AE1383)&amp;IF(AH1383="","",", "&amp;AH1383)&amp;IF(AK1383="","",", "&amp;AK1383)&amp;IF(AN1383="","",", "&amp;AN1383)&amp;IF(AQ1383="","",", "&amp;AQ1383)&amp;IF(AT1383="","",", "&amp;AT1383)&amp;IF(AW1383="","",", "&amp;AW1383)&amp;IF(AZ1383="","",", "&amp;AZ1383),3,500)</f>
        <v/>
      </c>
      <c r="BH1383" s="12" t="n"/>
      <c r="BI1383" s="15">
        <f>IFERROR(MATCH($A1383,IF($B1383="Onsite",tbl_Onsite[Row ID],IF($B1383="Production",tbl_Production[Row ID],tbl_Consulting[Row ID])),0),"")</f>
        <v/>
      </c>
    </row>
    <row r="1384">
      <c r="A1384" s="10" t="inlineStr">
        <is>
          <t>CON-0378</t>
        </is>
      </c>
      <c r="B1384" s="10" t="inlineStr">
        <is>
          <t>Consulting</t>
        </is>
      </c>
      <c r="C1384" s="10">
        <f>IF($BI1384="","",IF($B1384="Onsite",INDEX(tbl_Onsite[Job Number],$BI1384),IF($B1384="Production",INDEX(tbl_Production[Job Number],$BI1384),INDEX(tbl_Consulting[Job Number],$BI1384)))&amp;"")</f>
        <v/>
      </c>
      <c r="D1384" s="10">
        <f>IF($BI1384="","",IF($B1384="Onsite",INDEX(tbl_Onsite[Client],$BI1384),IF($B1384="Production",INDEX(tbl_Production[Client],$BI1384),INDEX(tbl_Consulting[Client],$BI1384)))&amp;"")</f>
        <v/>
      </c>
      <c r="E1384" s="10">
        <f>IF($C1384="","",IF(COUNTIF(lst_Jobs,$C1384)&gt;0,"OK","CHECK"))</f>
        <v/>
      </c>
      <c r="F1384" s="10">
        <f>IF($C1384="","",IFERROR(INDEX(lst_JobName,MATCH($C1384,lst_Jobs,0)),""))</f>
        <v/>
      </c>
      <c r="G1384" s="10">
        <f>IF($BI1384="","",IF($B1384="Onsite",INDEX(tbl_Onsite[Job Description],$BI1384),IF($B1384="Production",INDEX(tbl_Production[Job Description],$BI1384),INDEX(tbl_Consulting[Job Description],$BI1384)))&amp;"")</f>
        <v/>
      </c>
      <c r="H1384" s="10">
        <f>IF($BI1384="","",IF($B1384="Onsite",INDEX(tbl_Onsite[Cost Centre],$BI1384),IF($B1384="Production",INDEX(tbl_Production[Cost Centre],$BI1384),INDEX(tbl_Consulting[Cost Centre],$BI1384)))&amp;"")</f>
        <v/>
      </c>
      <c r="I1384" s="10">
        <f>IF($BI1384="","",IF($B1384="Onsite",INDEX(tbl_Onsite[Invoice Type],$BI1384),IF($B1384="Production",INDEX(tbl_Production[Invoice Type],$BI1384),INDEX(tbl_Consulting[Invoice Type],$BI1384)))&amp;"")</f>
        <v/>
      </c>
      <c r="J1384" s="10">
        <f>IF($BI1384="","",IF($B1384="Onsite",INDEX(tbl_Onsite[Tax Code],$BI1384),IF($B1384="Production",INDEX(tbl_Production[Tax Code],$BI1384),INDEX(tbl_Consulting[Tax Code],$BI1384)))&amp;"")</f>
        <v/>
      </c>
      <c r="K1384" s="10">
        <f>IF(H1384="","",IFERROR(INDEX(lst_CCtoGL,MATCH(H1384,lst_CCforGL,0)),""))</f>
        <v/>
      </c>
      <c r="L1384" s="10">
        <f>IF($BI1384="","",IF($B1384="Onsite",INDEX(tbl_Onsite[PO / Reference],$BI1384),IF($B1384="Production",INDEX(tbl_Production[Current RMS No],$BI1384),INDEX(tbl_Consulting[Qwilr Quote],$BI1384)))&amp;"")</f>
        <v/>
      </c>
      <c r="M1384" s="10">
        <f>IF($BI1384="","",IF($B1384="Onsite",INDEX(tbl_Onsite[Notes],$BI1384),IF($B1384="Production",INDEX(tbl_Production[Notes],$BI1384),INDEX(tbl_Consulting[Notes],$BI1384)))&amp;"")</f>
        <v/>
      </c>
      <c r="N1384" s="11">
        <f>IF($BI1384="","",IF(IF($B1384="Onsite",INDEX(tbl_Onsite[Expected Revenue Ex GST],$BI1384),IF($B1384="Production",INDEX(tbl_Production[Expected Revenue Ex GST],$BI1384),INDEX(tbl_Consulting[Expected Revenue Ex GST],$BI1384)))="","",IF($B1384="Onsite",INDEX(tbl_Onsite[Expected Revenue Ex GST],$BI1384),IF($B1384="Production",INDEX(tbl_Production[Expected Revenue Ex GST],$BI1384),INDEX(tbl_Consulting[Expected Revenue Ex GST],$BI1384)))))</f>
        <v/>
      </c>
      <c r="O1384" s="11">
        <f>IF(AND($C1384="",NOT(COUNTA($S1384:$BB1384)&gt;0)),"",SUM(U1384,X1384,AA1384,AD1384,AG1384,AJ1384,AM1384,AP1384,AS1384,AV1384,AY1384,BB1384))</f>
        <v/>
      </c>
      <c r="P1384" s="11">
        <f>IF(O1384="","",N(N1384)-O1384)</f>
        <v/>
      </c>
      <c r="Q1384" s="10">
        <f>IF(O1384="","",IF($C1384="","Invoice on empty job row",IF(N1384="",IF(ROUND(O1384,2)=0,"No dept value","Invoiced - no dept value"),IF(ROUND(O1384,2)=0,"Not invoiced - to invoice",IF(ROUND(P1384,2)=0,"Agrees",IF(P1384&gt;0,"Dept higher - to invoice","Xero higher - check dept"))))))</f>
        <v/>
      </c>
      <c r="R1384" s="10">
        <f>IF(AND($C1384="",NOT(COUNTA($S1384:$BB1384)&gt;0),$BI1384&lt;&gt;""),"",MID(IF($BI1384="","; Row ID not found on the department sheet - a row was deleted","")&amp;IF(AND($C1384="",COUNTA($S1384:$BB1384)&gt;0),"; Invoice entered but the department row has no job number","")&amp;IF(E1384="CHECK","; Job number not in the Xero job list","")&amp;IF(AND($C1384&lt;&gt;"",COUNTIF($C$7:$C$1506,$C1384)&gt;1),"; Job number on more than one row","")&amp;IF(AND($C1384&lt;&gt;"",H1384=""),"; Dept has not set a cost centre","")&amp;IF(AND($C1384&lt;&gt;"",J1384=""),"; Dept has not set a tax code","")&amp;IF(AND($C1384&lt;&gt;"",N1384=""),"; Dept has not entered an expected value","")&amp;IF((IF(OR(COUNTA(S1384:U1384)=0,AND(COUNTA(S1384:U1384)=3,ISNUMBER(U1384))),0,1)+IF(OR(COUNTA(V1384:X1384)=0,AND(COUNTA(V1384:X1384)=3,ISNUMBER(X1384))),0,1)+IF(OR(COUNTA(Y1384:AA1384)=0,AND(COUNTA(Y1384:AA1384)=3,ISNUMBER(AA1384))),0,1)+IF(OR(COUNTA(AB1384:AD1384)=0,AND(COUNTA(AB1384:AD1384)=3,ISNUMBER(AD1384))),0,1)+IF(OR(COUNTA(AE1384:AG1384)=0,AND(COUNTA(AE1384:AG1384)=3,ISNUMBER(AG1384))),0,1)+IF(OR(COUNTA(AH1384:AJ1384)=0,AND(COUNTA(AH1384:AJ1384)=3,ISNUMBER(AJ1384))),0,1)+IF(OR(COUNTA(AK1384:AM1384)=0,AND(COUNTA(AK1384:AM1384)=3,ISNUMBER(AM1384))),0,1)+IF(OR(COUNTA(AN1384:AP1384)=0,AND(COUNTA(AN1384:AP1384)=3,ISNUMBER(AP1384))),0,1)+IF(OR(COUNTA(AQ1384:AS1384)=0,AND(COUNTA(AQ1384:AS1384)=3,ISNUMBER(AS1384))),0,1)+IF(OR(COUNTA(AT1384:AV1384)=0,AND(COUNTA(AT1384:AV1384)=3,ISNUMBER(AV1384))),0,1)+IF(OR(COUNTA(AW1384:AY1384)=0,AND(COUNTA(AW1384:AY1384)=3,ISNUMBER(AY1384))),0,1)+IF(OR(COUNTA(AZ1384:BB1384)=0,AND(COUNTA(AZ1384:BB1384)=3,ISNUMBER(BB1384))),0,1))&gt;0,"; An invoice is incomplete (needs No, Date and a number in Ex GST)","")&amp;IF((IF(T1384="",0,IFERROR(--(EOMONTH(T1384,0)&lt;&gt;S$5),1))+IF(W1384="",0,IFERROR(--(EOMONTH(W1384,0)&lt;&gt;V$5),1))+IF(Z1384="",0,IFERROR(--(EOMONTH(Z1384,0)&lt;&gt;Y$5),1))+IF(AC1384="",0,IFERROR(--(EOMONTH(AC1384,0)&lt;&gt;AB$5),1))+IF(AF1384="",0,IFERROR(--(EOMONTH(AF1384,0)&lt;&gt;AE$5),1))+IF(AI1384="",0,IFERROR(--(EOMONTH(AI1384,0)&lt;&gt;AH$5),1))+IF(AL1384="",0,IFERROR(--(EOMONTH(AL1384,0)&lt;&gt;AK$5),1))+IF(AO1384="",0,IFERROR(--(EOMONTH(AO1384,0)&lt;&gt;AN$5),1))+IF(AR1384="",0,IFERROR(--(EOMONTH(AR1384,0)&lt;&gt;AQ$5),1))+IF(AU1384="",0,IFERROR(--(EOMONTH(AU1384,0)&lt;&gt;AT$5),1))+IF(AX1384="",0,IFERROR(--(EOMONTH(AX1384,0)&lt;&gt;AW$5),1))+IF(BA1384="",0,IFERROR(--(EOMONTH(BA1384,0)&lt;&gt;AZ$5),1)))&gt;0,"; An invoice date is not in the month it is typed under",""),3,500))</f>
        <v/>
      </c>
      <c r="S1384" s="12" t="n"/>
      <c r="T1384" s="13" t="n"/>
      <c r="U1384" s="14" t="n"/>
      <c r="V1384" s="12" t="n"/>
      <c r="W1384" s="13" t="n"/>
      <c r="X1384" s="14" t="n"/>
      <c r="Y1384" s="12" t="n"/>
      <c r="Z1384" s="13" t="n"/>
      <c r="AA1384" s="14" t="n"/>
      <c r="AB1384" s="12" t="n"/>
      <c r="AC1384" s="13" t="n"/>
      <c r="AD1384" s="14" t="n"/>
      <c r="AE1384" s="12" t="n"/>
      <c r="AF1384" s="13" t="n"/>
      <c r="AG1384" s="14" t="n"/>
      <c r="AH1384" s="12" t="n"/>
      <c r="AI1384" s="13" t="n"/>
      <c r="AJ1384" s="14" t="n"/>
      <c r="AK1384" s="12" t="n"/>
      <c r="AL1384" s="13" t="n"/>
      <c r="AM1384" s="14" t="n"/>
      <c r="AN1384" s="12" t="n"/>
      <c r="AO1384" s="13" t="n"/>
      <c r="AP1384" s="14" t="n"/>
      <c r="AQ1384" s="12" t="n"/>
      <c r="AR1384" s="13" t="n"/>
      <c r="AS1384" s="14" t="n"/>
      <c r="AT1384" s="12" t="n"/>
      <c r="AU1384" s="13" t="n"/>
      <c r="AV1384" s="14" t="n"/>
      <c r="AW1384" s="12" t="n"/>
      <c r="AX1384" s="13" t="n"/>
      <c r="AY1384" s="14" t="n"/>
      <c r="AZ1384" s="12" t="n"/>
      <c r="BA1384" s="13" t="n"/>
      <c r="BB1384" s="14" t="n"/>
      <c r="BC1384" s="11">
        <f>IF(O1384="","",IF(J1384="GST 10%",ROUND(O1384*set_GSTRate,2),0))</f>
        <v/>
      </c>
      <c r="BD1384" s="11">
        <f>IF(O1384="","",O1384+BC1384)</f>
        <v/>
      </c>
      <c r="BE1384" s="15">
        <f>IF(O1384="","",COUNTA(S1384,V1384,Y1384,AB1384,AE1384,AH1384,AK1384,AN1384,AQ1384,AT1384,AW1384,AZ1384))</f>
        <v/>
      </c>
      <c r="BF1384" s="16">
        <f>IF(COUNT(T1384,W1384,Z1384,AC1384,AF1384,AI1384,AL1384,AO1384,AR1384,AU1384,AX1384,BA1384)=0,"",MAX(T1384,W1384,Z1384,AC1384,AF1384,AI1384,AL1384,AO1384,AR1384,AU1384,AX1384,BA1384))</f>
        <v/>
      </c>
      <c r="BG1384" s="10">
        <f>MID(IF(S1384="","",", "&amp;S1384)&amp;IF(V1384="","",", "&amp;V1384)&amp;IF(Y1384="","",", "&amp;Y1384)&amp;IF(AB1384="","",", "&amp;AB1384)&amp;IF(AE1384="","",", "&amp;AE1384)&amp;IF(AH1384="","",", "&amp;AH1384)&amp;IF(AK1384="","",", "&amp;AK1384)&amp;IF(AN1384="","",", "&amp;AN1384)&amp;IF(AQ1384="","",", "&amp;AQ1384)&amp;IF(AT1384="","",", "&amp;AT1384)&amp;IF(AW1384="","",", "&amp;AW1384)&amp;IF(AZ1384="","",", "&amp;AZ1384),3,500)</f>
        <v/>
      </c>
      <c r="BH1384" s="12" t="n"/>
      <c r="BI1384" s="15">
        <f>IFERROR(MATCH($A1384,IF($B1384="Onsite",tbl_Onsite[Row ID],IF($B1384="Production",tbl_Production[Row ID],tbl_Consulting[Row ID])),0),"")</f>
        <v/>
      </c>
    </row>
    <row r="1385">
      <c r="A1385" s="10" t="inlineStr">
        <is>
          <t>CON-0379</t>
        </is>
      </c>
      <c r="B1385" s="10" t="inlineStr">
        <is>
          <t>Consulting</t>
        </is>
      </c>
      <c r="C1385" s="10">
        <f>IF($BI1385="","",IF($B1385="Onsite",INDEX(tbl_Onsite[Job Number],$BI1385),IF($B1385="Production",INDEX(tbl_Production[Job Number],$BI1385),INDEX(tbl_Consulting[Job Number],$BI1385)))&amp;"")</f>
        <v/>
      </c>
      <c r="D1385" s="10">
        <f>IF($BI1385="","",IF($B1385="Onsite",INDEX(tbl_Onsite[Client],$BI1385),IF($B1385="Production",INDEX(tbl_Production[Client],$BI1385),INDEX(tbl_Consulting[Client],$BI1385)))&amp;"")</f>
        <v/>
      </c>
      <c r="E1385" s="10">
        <f>IF($C1385="","",IF(COUNTIF(lst_Jobs,$C1385)&gt;0,"OK","CHECK"))</f>
        <v/>
      </c>
      <c r="F1385" s="10">
        <f>IF($C1385="","",IFERROR(INDEX(lst_JobName,MATCH($C1385,lst_Jobs,0)),""))</f>
        <v/>
      </c>
      <c r="G1385" s="10">
        <f>IF($BI1385="","",IF($B1385="Onsite",INDEX(tbl_Onsite[Job Description],$BI1385),IF($B1385="Production",INDEX(tbl_Production[Job Description],$BI1385),INDEX(tbl_Consulting[Job Description],$BI1385)))&amp;"")</f>
        <v/>
      </c>
      <c r="H1385" s="10">
        <f>IF($BI1385="","",IF($B1385="Onsite",INDEX(tbl_Onsite[Cost Centre],$BI1385),IF($B1385="Production",INDEX(tbl_Production[Cost Centre],$BI1385),INDEX(tbl_Consulting[Cost Centre],$BI1385)))&amp;"")</f>
        <v/>
      </c>
      <c r="I1385" s="10">
        <f>IF($BI1385="","",IF($B1385="Onsite",INDEX(tbl_Onsite[Invoice Type],$BI1385),IF($B1385="Production",INDEX(tbl_Production[Invoice Type],$BI1385),INDEX(tbl_Consulting[Invoice Type],$BI1385)))&amp;"")</f>
        <v/>
      </c>
      <c r="J1385" s="10">
        <f>IF($BI1385="","",IF($B1385="Onsite",INDEX(tbl_Onsite[Tax Code],$BI1385),IF($B1385="Production",INDEX(tbl_Production[Tax Code],$BI1385),INDEX(tbl_Consulting[Tax Code],$BI1385)))&amp;"")</f>
        <v/>
      </c>
      <c r="K1385" s="10">
        <f>IF(H1385="","",IFERROR(INDEX(lst_CCtoGL,MATCH(H1385,lst_CCforGL,0)),""))</f>
        <v/>
      </c>
      <c r="L1385" s="10">
        <f>IF($BI1385="","",IF($B1385="Onsite",INDEX(tbl_Onsite[PO / Reference],$BI1385),IF($B1385="Production",INDEX(tbl_Production[Current RMS No],$BI1385),INDEX(tbl_Consulting[Qwilr Quote],$BI1385)))&amp;"")</f>
        <v/>
      </c>
      <c r="M1385" s="10">
        <f>IF($BI1385="","",IF($B1385="Onsite",INDEX(tbl_Onsite[Notes],$BI1385),IF($B1385="Production",INDEX(tbl_Production[Notes],$BI1385),INDEX(tbl_Consulting[Notes],$BI1385)))&amp;"")</f>
        <v/>
      </c>
      <c r="N1385" s="11">
        <f>IF($BI1385="","",IF(IF($B1385="Onsite",INDEX(tbl_Onsite[Expected Revenue Ex GST],$BI1385),IF($B1385="Production",INDEX(tbl_Production[Expected Revenue Ex GST],$BI1385),INDEX(tbl_Consulting[Expected Revenue Ex GST],$BI1385)))="","",IF($B1385="Onsite",INDEX(tbl_Onsite[Expected Revenue Ex GST],$BI1385),IF($B1385="Production",INDEX(tbl_Production[Expected Revenue Ex GST],$BI1385),INDEX(tbl_Consulting[Expected Revenue Ex GST],$BI1385)))))</f>
        <v/>
      </c>
      <c r="O1385" s="11">
        <f>IF(AND($C1385="",NOT(COUNTA($S1385:$BB1385)&gt;0)),"",SUM(U1385,X1385,AA1385,AD1385,AG1385,AJ1385,AM1385,AP1385,AS1385,AV1385,AY1385,BB1385))</f>
        <v/>
      </c>
      <c r="P1385" s="11">
        <f>IF(O1385="","",N(N1385)-O1385)</f>
        <v/>
      </c>
      <c r="Q1385" s="10">
        <f>IF(O1385="","",IF($C1385="","Invoice on empty job row",IF(N1385="",IF(ROUND(O1385,2)=0,"No dept value","Invoiced - no dept value"),IF(ROUND(O1385,2)=0,"Not invoiced - to invoice",IF(ROUND(P1385,2)=0,"Agrees",IF(P1385&gt;0,"Dept higher - to invoice","Xero higher - check dept"))))))</f>
        <v/>
      </c>
      <c r="R1385" s="10">
        <f>IF(AND($C1385="",NOT(COUNTA($S1385:$BB1385)&gt;0),$BI1385&lt;&gt;""),"",MID(IF($BI1385="","; Row ID not found on the department sheet - a row was deleted","")&amp;IF(AND($C1385="",COUNTA($S1385:$BB1385)&gt;0),"; Invoice entered but the department row has no job number","")&amp;IF(E1385="CHECK","; Job number not in the Xero job list","")&amp;IF(AND($C1385&lt;&gt;"",COUNTIF($C$7:$C$1506,$C1385)&gt;1),"; Job number on more than one row","")&amp;IF(AND($C1385&lt;&gt;"",H1385=""),"; Dept has not set a cost centre","")&amp;IF(AND($C1385&lt;&gt;"",J1385=""),"; Dept has not set a tax code","")&amp;IF(AND($C1385&lt;&gt;"",N1385=""),"; Dept has not entered an expected value","")&amp;IF((IF(OR(COUNTA(S1385:U1385)=0,AND(COUNTA(S1385:U1385)=3,ISNUMBER(U1385))),0,1)+IF(OR(COUNTA(V1385:X1385)=0,AND(COUNTA(V1385:X1385)=3,ISNUMBER(X1385))),0,1)+IF(OR(COUNTA(Y1385:AA1385)=0,AND(COUNTA(Y1385:AA1385)=3,ISNUMBER(AA1385))),0,1)+IF(OR(COUNTA(AB1385:AD1385)=0,AND(COUNTA(AB1385:AD1385)=3,ISNUMBER(AD1385))),0,1)+IF(OR(COUNTA(AE1385:AG1385)=0,AND(COUNTA(AE1385:AG1385)=3,ISNUMBER(AG1385))),0,1)+IF(OR(COUNTA(AH1385:AJ1385)=0,AND(COUNTA(AH1385:AJ1385)=3,ISNUMBER(AJ1385))),0,1)+IF(OR(COUNTA(AK1385:AM1385)=0,AND(COUNTA(AK1385:AM1385)=3,ISNUMBER(AM1385))),0,1)+IF(OR(COUNTA(AN1385:AP1385)=0,AND(COUNTA(AN1385:AP1385)=3,ISNUMBER(AP1385))),0,1)+IF(OR(COUNTA(AQ1385:AS1385)=0,AND(COUNTA(AQ1385:AS1385)=3,ISNUMBER(AS1385))),0,1)+IF(OR(COUNTA(AT1385:AV1385)=0,AND(COUNTA(AT1385:AV1385)=3,ISNUMBER(AV1385))),0,1)+IF(OR(COUNTA(AW1385:AY1385)=0,AND(COUNTA(AW1385:AY1385)=3,ISNUMBER(AY1385))),0,1)+IF(OR(COUNTA(AZ1385:BB1385)=0,AND(COUNTA(AZ1385:BB1385)=3,ISNUMBER(BB1385))),0,1))&gt;0,"; An invoice is incomplete (needs No, Date and a number in Ex GST)","")&amp;IF((IF(T1385="",0,IFERROR(--(EOMONTH(T1385,0)&lt;&gt;S$5),1))+IF(W1385="",0,IFERROR(--(EOMONTH(W1385,0)&lt;&gt;V$5),1))+IF(Z1385="",0,IFERROR(--(EOMONTH(Z1385,0)&lt;&gt;Y$5),1))+IF(AC1385="",0,IFERROR(--(EOMONTH(AC1385,0)&lt;&gt;AB$5),1))+IF(AF1385="",0,IFERROR(--(EOMONTH(AF1385,0)&lt;&gt;AE$5),1))+IF(AI1385="",0,IFERROR(--(EOMONTH(AI1385,0)&lt;&gt;AH$5),1))+IF(AL1385="",0,IFERROR(--(EOMONTH(AL1385,0)&lt;&gt;AK$5),1))+IF(AO1385="",0,IFERROR(--(EOMONTH(AO1385,0)&lt;&gt;AN$5),1))+IF(AR1385="",0,IFERROR(--(EOMONTH(AR1385,0)&lt;&gt;AQ$5),1))+IF(AU1385="",0,IFERROR(--(EOMONTH(AU1385,0)&lt;&gt;AT$5),1))+IF(AX1385="",0,IFERROR(--(EOMONTH(AX1385,0)&lt;&gt;AW$5),1))+IF(BA1385="",0,IFERROR(--(EOMONTH(BA1385,0)&lt;&gt;AZ$5),1)))&gt;0,"; An invoice date is not in the month it is typed under",""),3,500))</f>
        <v/>
      </c>
      <c r="S1385" s="12" t="n"/>
      <c r="T1385" s="13" t="n"/>
      <c r="U1385" s="14" t="n"/>
      <c r="V1385" s="12" t="n"/>
      <c r="W1385" s="13" t="n"/>
      <c r="X1385" s="14" t="n"/>
      <c r="Y1385" s="12" t="n"/>
      <c r="Z1385" s="13" t="n"/>
      <c r="AA1385" s="14" t="n"/>
      <c r="AB1385" s="12" t="n"/>
      <c r="AC1385" s="13" t="n"/>
      <c r="AD1385" s="14" t="n"/>
      <c r="AE1385" s="12" t="n"/>
      <c r="AF1385" s="13" t="n"/>
      <c r="AG1385" s="14" t="n"/>
      <c r="AH1385" s="12" t="n"/>
      <c r="AI1385" s="13" t="n"/>
      <c r="AJ1385" s="14" t="n"/>
      <c r="AK1385" s="12" t="n"/>
      <c r="AL1385" s="13" t="n"/>
      <c r="AM1385" s="14" t="n"/>
      <c r="AN1385" s="12" t="n"/>
      <c r="AO1385" s="13" t="n"/>
      <c r="AP1385" s="14" t="n"/>
      <c r="AQ1385" s="12" t="n"/>
      <c r="AR1385" s="13" t="n"/>
      <c r="AS1385" s="14" t="n"/>
      <c r="AT1385" s="12" t="n"/>
      <c r="AU1385" s="13" t="n"/>
      <c r="AV1385" s="14" t="n"/>
      <c r="AW1385" s="12" t="n"/>
      <c r="AX1385" s="13" t="n"/>
      <c r="AY1385" s="14" t="n"/>
      <c r="AZ1385" s="12" t="n"/>
      <c r="BA1385" s="13" t="n"/>
      <c r="BB1385" s="14" t="n"/>
      <c r="BC1385" s="11">
        <f>IF(O1385="","",IF(J1385="GST 10%",ROUND(O1385*set_GSTRate,2),0))</f>
        <v/>
      </c>
      <c r="BD1385" s="11">
        <f>IF(O1385="","",O1385+BC1385)</f>
        <v/>
      </c>
      <c r="BE1385" s="15">
        <f>IF(O1385="","",COUNTA(S1385,V1385,Y1385,AB1385,AE1385,AH1385,AK1385,AN1385,AQ1385,AT1385,AW1385,AZ1385))</f>
        <v/>
      </c>
      <c r="BF1385" s="16">
        <f>IF(COUNT(T1385,W1385,Z1385,AC1385,AF1385,AI1385,AL1385,AO1385,AR1385,AU1385,AX1385,BA1385)=0,"",MAX(T1385,W1385,Z1385,AC1385,AF1385,AI1385,AL1385,AO1385,AR1385,AU1385,AX1385,BA1385))</f>
        <v/>
      </c>
      <c r="BG1385" s="10">
        <f>MID(IF(S1385="","",", "&amp;S1385)&amp;IF(V1385="","",", "&amp;V1385)&amp;IF(Y1385="","",", "&amp;Y1385)&amp;IF(AB1385="","",", "&amp;AB1385)&amp;IF(AE1385="","",", "&amp;AE1385)&amp;IF(AH1385="","",", "&amp;AH1385)&amp;IF(AK1385="","",", "&amp;AK1385)&amp;IF(AN1385="","",", "&amp;AN1385)&amp;IF(AQ1385="","",", "&amp;AQ1385)&amp;IF(AT1385="","",", "&amp;AT1385)&amp;IF(AW1385="","",", "&amp;AW1385)&amp;IF(AZ1385="","",", "&amp;AZ1385),3,500)</f>
        <v/>
      </c>
      <c r="BH1385" s="12" t="n"/>
      <c r="BI1385" s="15">
        <f>IFERROR(MATCH($A1385,IF($B1385="Onsite",tbl_Onsite[Row ID],IF($B1385="Production",tbl_Production[Row ID],tbl_Consulting[Row ID])),0),"")</f>
        <v/>
      </c>
    </row>
    <row r="1386">
      <c r="A1386" s="10" t="inlineStr">
        <is>
          <t>CON-0380</t>
        </is>
      </c>
      <c r="B1386" s="10" t="inlineStr">
        <is>
          <t>Consulting</t>
        </is>
      </c>
      <c r="C1386" s="10">
        <f>IF($BI1386="","",IF($B1386="Onsite",INDEX(tbl_Onsite[Job Number],$BI1386),IF($B1386="Production",INDEX(tbl_Production[Job Number],$BI1386),INDEX(tbl_Consulting[Job Number],$BI1386)))&amp;"")</f>
        <v/>
      </c>
      <c r="D1386" s="10">
        <f>IF($BI1386="","",IF($B1386="Onsite",INDEX(tbl_Onsite[Client],$BI1386),IF($B1386="Production",INDEX(tbl_Production[Client],$BI1386),INDEX(tbl_Consulting[Client],$BI1386)))&amp;"")</f>
        <v/>
      </c>
      <c r="E1386" s="10">
        <f>IF($C1386="","",IF(COUNTIF(lst_Jobs,$C1386)&gt;0,"OK","CHECK"))</f>
        <v/>
      </c>
      <c r="F1386" s="10">
        <f>IF($C1386="","",IFERROR(INDEX(lst_JobName,MATCH($C1386,lst_Jobs,0)),""))</f>
        <v/>
      </c>
      <c r="G1386" s="10">
        <f>IF($BI1386="","",IF($B1386="Onsite",INDEX(tbl_Onsite[Job Description],$BI1386),IF($B1386="Production",INDEX(tbl_Production[Job Description],$BI1386),INDEX(tbl_Consulting[Job Description],$BI1386)))&amp;"")</f>
        <v/>
      </c>
      <c r="H1386" s="10">
        <f>IF($BI1386="","",IF($B1386="Onsite",INDEX(tbl_Onsite[Cost Centre],$BI1386),IF($B1386="Production",INDEX(tbl_Production[Cost Centre],$BI1386),INDEX(tbl_Consulting[Cost Centre],$BI1386)))&amp;"")</f>
        <v/>
      </c>
      <c r="I1386" s="10">
        <f>IF($BI1386="","",IF($B1386="Onsite",INDEX(tbl_Onsite[Invoice Type],$BI1386),IF($B1386="Production",INDEX(tbl_Production[Invoice Type],$BI1386),INDEX(tbl_Consulting[Invoice Type],$BI1386)))&amp;"")</f>
        <v/>
      </c>
      <c r="J1386" s="10">
        <f>IF($BI1386="","",IF($B1386="Onsite",INDEX(tbl_Onsite[Tax Code],$BI1386),IF($B1386="Production",INDEX(tbl_Production[Tax Code],$BI1386),INDEX(tbl_Consulting[Tax Code],$BI1386)))&amp;"")</f>
        <v/>
      </c>
      <c r="K1386" s="10">
        <f>IF(H1386="","",IFERROR(INDEX(lst_CCtoGL,MATCH(H1386,lst_CCforGL,0)),""))</f>
        <v/>
      </c>
      <c r="L1386" s="10">
        <f>IF($BI1386="","",IF($B1386="Onsite",INDEX(tbl_Onsite[PO / Reference],$BI1386),IF($B1386="Production",INDEX(tbl_Production[Current RMS No],$BI1386),INDEX(tbl_Consulting[Qwilr Quote],$BI1386)))&amp;"")</f>
        <v/>
      </c>
      <c r="M1386" s="10">
        <f>IF($BI1386="","",IF($B1386="Onsite",INDEX(tbl_Onsite[Notes],$BI1386),IF($B1386="Production",INDEX(tbl_Production[Notes],$BI1386),INDEX(tbl_Consulting[Notes],$BI1386)))&amp;"")</f>
        <v/>
      </c>
      <c r="N1386" s="11">
        <f>IF($BI1386="","",IF(IF($B1386="Onsite",INDEX(tbl_Onsite[Expected Revenue Ex GST],$BI1386),IF($B1386="Production",INDEX(tbl_Production[Expected Revenue Ex GST],$BI1386),INDEX(tbl_Consulting[Expected Revenue Ex GST],$BI1386)))="","",IF($B1386="Onsite",INDEX(tbl_Onsite[Expected Revenue Ex GST],$BI1386),IF($B1386="Production",INDEX(tbl_Production[Expected Revenue Ex GST],$BI1386),INDEX(tbl_Consulting[Expected Revenue Ex GST],$BI1386)))))</f>
        <v/>
      </c>
      <c r="O1386" s="11">
        <f>IF(AND($C1386="",NOT(COUNTA($S1386:$BB1386)&gt;0)),"",SUM(U1386,X1386,AA1386,AD1386,AG1386,AJ1386,AM1386,AP1386,AS1386,AV1386,AY1386,BB1386))</f>
        <v/>
      </c>
      <c r="P1386" s="11">
        <f>IF(O1386="","",N(N1386)-O1386)</f>
        <v/>
      </c>
      <c r="Q1386" s="10">
        <f>IF(O1386="","",IF($C1386="","Invoice on empty job row",IF(N1386="",IF(ROUND(O1386,2)=0,"No dept value","Invoiced - no dept value"),IF(ROUND(O1386,2)=0,"Not invoiced - to invoice",IF(ROUND(P1386,2)=0,"Agrees",IF(P1386&gt;0,"Dept higher - to invoice","Xero higher - check dept"))))))</f>
        <v/>
      </c>
      <c r="R1386" s="10">
        <f>IF(AND($C1386="",NOT(COUNTA($S1386:$BB1386)&gt;0),$BI1386&lt;&gt;""),"",MID(IF($BI1386="","; Row ID not found on the department sheet - a row was deleted","")&amp;IF(AND($C1386="",COUNTA($S1386:$BB1386)&gt;0),"; Invoice entered but the department row has no job number","")&amp;IF(E1386="CHECK","; Job number not in the Xero job list","")&amp;IF(AND($C1386&lt;&gt;"",COUNTIF($C$7:$C$1506,$C1386)&gt;1),"; Job number on more than one row","")&amp;IF(AND($C1386&lt;&gt;"",H1386=""),"; Dept has not set a cost centre","")&amp;IF(AND($C1386&lt;&gt;"",J1386=""),"; Dept has not set a tax code","")&amp;IF(AND($C1386&lt;&gt;"",N1386=""),"; Dept has not entered an expected value","")&amp;IF((IF(OR(COUNTA(S1386:U1386)=0,AND(COUNTA(S1386:U1386)=3,ISNUMBER(U1386))),0,1)+IF(OR(COUNTA(V1386:X1386)=0,AND(COUNTA(V1386:X1386)=3,ISNUMBER(X1386))),0,1)+IF(OR(COUNTA(Y1386:AA1386)=0,AND(COUNTA(Y1386:AA1386)=3,ISNUMBER(AA1386))),0,1)+IF(OR(COUNTA(AB1386:AD1386)=0,AND(COUNTA(AB1386:AD1386)=3,ISNUMBER(AD1386))),0,1)+IF(OR(COUNTA(AE1386:AG1386)=0,AND(COUNTA(AE1386:AG1386)=3,ISNUMBER(AG1386))),0,1)+IF(OR(COUNTA(AH1386:AJ1386)=0,AND(COUNTA(AH1386:AJ1386)=3,ISNUMBER(AJ1386))),0,1)+IF(OR(COUNTA(AK1386:AM1386)=0,AND(COUNTA(AK1386:AM1386)=3,ISNUMBER(AM1386))),0,1)+IF(OR(COUNTA(AN1386:AP1386)=0,AND(COUNTA(AN1386:AP1386)=3,ISNUMBER(AP1386))),0,1)+IF(OR(COUNTA(AQ1386:AS1386)=0,AND(COUNTA(AQ1386:AS1386)=3,ISNUMBER(AS1386))),0,1)+IF(OR(COUNTA(AT1386:AV1386)=0,AND(COUNTA(AT1386:AV1386)=3,ISNUMBER(AV1386))),0,1)+IF(OR(COUNTA(AW1386:AY1386)=0,AND(COUNTA(AW1386:AY1386)=3,ISNUMBER(AY1386))),0,1)+IF(OR(COUNTA(AZ1386:BB1386)=0,AND(COUNTA(AZ1386:BB1386)=3,ISNUMBER(BB1386))),0,1))&gt;0,"; An invoice is incomplete (needs No, Date and a number in Ex GST)","")&amp;IF((IF(T1386="",0,IFERROR(--(EOMONTH(T1386,0)&lt;&gt;S$5),1))+IF(W1386="",0,IFERROR(--(EOMONTH(W1386,0)&lt;&gt;V$5),1))+IF(Z1386="",0,IFERROR(--(EOMONTH(Z1386,0)&lt;&gt;Y$5),1))+IF(AC1386="",0,IFERROR(--(EOMONTH(AC1386,0)&lt;&gt;AB$5),1))+IF(AF1386="",0,IFERROR(--(EOMONTH(AF1386,0)&lt;&gt;AE$5),1))+IF(AI1386="",0,IFERROR(--(EOMONTH(AI1386,0)&lt;&gt;AH$5),1))+IF(AL1386="",0,IFERROR(--(EOMONTH(AL1386,0)&lt;&gt;AK$5),1))+IF(AO1386="",0,IFERROR(--(EOMONTH(AO1386,0)&lt;&gt;AN$5),1))+IF(AR1386="",0,IFERROR(--(EOMONTH(AR1386,0)&lt;&gt;AQ$5),1))+IF(AU1386="",0,IFERROR(--(EOMONTH(AU1386,0)&lt;&gt;AT$5),1))+IF(AX1386="",0,IFERROR(--(EOMONTH(AX1386,0)&lt;&gt;AW$5),1))+IF(BA1386="",0,IFERROR(--(EOMONTH(BA1386,0)&lt;&gt;AZ$5),1)))&gt;0,"; An invoice date is not in the month it is typed under",""),3,500))</f>
        <v/>
      </c>
      <c r="S1386" s="12" t="n"/>
      <c r="T1386" s="13" t="n"/>
      <c r="U1386" s="14" t="n"/>
      <c r="V1386" s="12" t="n"/>
      <c r="W1386" s="13" t="n"/>
      <c r="X1386" s="14" t="n"/>
      <c r="Y1386" s="12" t="n"/>
      <c r="Z1386" s="13" t="n"/>
      <c r="AA1386" s="14" t="n"/>
      <c r="AB1386" s="12" t="n"/>
      <c r="AC1386" s="13" t="n"/>
      <c r="AD1386" s="14" t="n"/>
      <c r="AE1386" s="12" t="n"/>
      <c r="AF1386" s="13" t="n"/>
      <c r="AG1386" s="14" t="n"/>
      <c r="AH1386" s="12" t="n"/>
      <c r="AI1386" s="13" t="n"/>
      <c r="AJ1386" s="14" t="n"/>
      <c r="AK1386" s="12" t="n"/>
      <c r="AL1386" s="13" t="n"/>
      <c r="AM1386" s="14" t="n"/>
      <c r="AN1386" s="12" t="n"/>
      <c r="AO1386" s="13" t="n"/>
      <c r="AP1386" s="14" t="n"/>
      <c r="AQ1386" s="12" t="n"/>
      <c r="AR1386" s="13" t="n"/>
      <c r="AS1386" s="14" t="n"/>
      <c r="AT1386" s="12" t="n"/>
      <c r="AU1386" s="13" t="n"/>
      <c r="AV1386" s="14" t="n"/>
      <c r="AW1386" s="12" t="n"/>
      <c r="AX1386" s="13" t="n"/>
      <c r="AY1386" s="14" t="n"/>
      <c r="AZ1386" s="12" t="n"/>
      <c r="BA1386" s="13" t="n"/>
      <c r="BB1386" s="14" t="n"/>
      <c r="BC1386" s="11">
        <f>IF(O1386="","",IF(J1386="GST 10%",ROUND(O1386*set_GSTRate,2),0))</f>
        <v/>
      </c>
      <c r="BD1386" s="11">
        <f>IF(O1386="","",O1386+BC1386)</f>
        <v/>
      </c>
      <c r="BE1386" s="15">
        <f>IF(O1386="","",COUNTA(S1386,V1386,Y1386,AB1386,AE1386,AH1386,AK1386,AN1386,AQ1386,AT1386,AW1386,AZ1386))</f>
        <v/>
      </c>
      <c r="BF1386" s="16">
        <f>IF(COUNT(T1386,W1386,Z1386,AC1386,AF1386,AI1386,AL1386,AO1386,AR1386,AU1386,AX1386,BA1386)=0,"",MAX(T1386,W1386,Z1386,AC1386,AF1386,AI1386,AL1386,AO1386,AR1386,AU1386,AX1386,BA1386))</f>
        <v/>
      </c>
      <c r="BG1386" s="10">
        <f>MID(IF(S1386="","",", "&amp;S1386)&amp;IF(V1386="","",", "&amp;V1386)&amp;IF(Y1386="","",", "&amp;Y1386)&amp;IF(AB1386="","",", "&amp;AB1386)&amp;IF(AE1386="","",", "&amp;AE1386)&amp;IF(AH1386="","",", "&amp;AH1386)&amp;IF(AK1386="","",", "&amp;AK1386)&amp;IF(AN1386="","",", "&amp;AN1386)&amp;IF(AQ1386="","",", "&amp;AQ1386)&amp;IF(AT1386="","",", "&amp;AT1386)&amp;IF(AW1386="","",", "&amp;AW1386)&amp;IF(AZ1386="","",", "&amp;AZ1386),3,500)</f>
        <v/>
      </c>
      <c r="BH1386" s="12" t="n"/>
      <c r="BI1386" s="15">
        <f>IFERROR(MATCH($A1386,IF($B1386="Onsite",tbl_Onsite[Row ID],IF($B1386="Production",tbl_Production[Row ID],tbl_Consulting[Row ID])),0),"")</f>
        <v/>
      </c>
    </row>
    <row r="1387">
      <c r="A1387" s="10" t="inlineStr">
        <is>
          <t>CON-0381</t>
        </is>
      </c>
      <c r="B1387" s="10" t="inlineStr">
        <is>
          <t>Consulting</t>
        </is>
      </c>
      <c r="C1387" s="10">
        <f>IF($BI1387="","",IF($B1387="Onsite",INDEX(tbl_Onsite[Job Number],$BI1387),IF($B1387="Production",INDEX(tbl_Production[Job Number],$BI1387),INDEX(tbl_Consulting[Job Number],$BI1387)))&amp;"")</f>
        <v/>
      </c>
      <c r="D1387" s="10">
        <f>IF($BI1387="","",IF($B1387="Onsite",INDEX(tbl_Onsite[Client],$BI1387),IF($B1387="Production",INDEX(tbl_Production[Client],$BI1387),INDEX(tbl_Consulting[Client],$BI1387)))&amp;"")</f>
        <v/>
      </c>
      <c r="E1387" s="10">
        <f>IF($C1387="","",IF(COUNTIF(lst_Jobs,$C1387)&gt;0,"OK","CHECK"))</f>
        <v/>
      </c>
      <c r="F1387" s="10">
        <f>IF($C1387="","",IFERROR(INDEX(lst_JobName,MATCH($C1387,lst_Jobs,0)),""))</f>
        <v/>
      </c>
      <c r="G1387" s="10">
        <f>IF($BI1387="","",IF($B1387="Onsite",INDEX(tbl_Onsite[Job Description],$BI1387),IF($B1387="Production",INDEX(tbl_Production[Job Description],$BI1387),INDEX(tbl_Consulting[Job Description],$BI1387)))&amp;"")</f>
        <v/>
      </c>
      <c r="H1387" s="10">
        <f>IF($BI1387="","",IF($B1387="Onsite",INDEX(tbl_Onsite[Cost Centre],$BI1387),IF($B1387="Production",INDEX(tbl_Production[Cost Centre],$BI1387),INDEX(tbl_Consulting[Cost Centre],$BI1387)))&amp;"")</f>
        <v/>
      </c>
      <c r="I1387" s="10">
        <f>IF($BI1387="","",IF($B1387="Onsite",INDEX(tbl_Onsite[Invoice Type],$BI1387),IF($B1387="Production",INDEX(tbl_Production[Invoice Type],$BI1387),INDEX(tbl_Consulting[Invoice Type],$BI1387)))&amp;"")</f>
        <v/>
      </c>
      <c r="J1387" s="10">
        <f>IF($BI1387="","",IF($B1387="Onsite",INDEX(tbl_Onsite[Tax Code],$BI1387),IF($B1387="Production",INDEX(tbl_Production[Tax Code],$BI1387),INDEX(tbl_Consulting[Tax Code],$BI1387)))&amp;"")</f>
        <v/>
      </c>
      <c r="K1387" s="10">
        <f>IF(H1387="","",IFERROR(INDEX(lst_CCtoGL,MATCH(H1387,lst_CCforGL,0)),""))</f>
        <v/>
      </c>
      <c r="L1387" s="10">
        <f>IF($BI1387="","",IF($B1387="Onsite",INDEX(tbl_Onsite[PO / Reference],$BI1387),IF($B1387="Production",INDEX(tbl_Production[Current RMS No],$BI1387),INDEX(tbl_Consulting[Qwilr Quote],$BI1387)))&amp;"")</f>
        <v/>
      </c>
      <c r="M1387" s="10">
        <f>IF($BI1387="","",IF($B1387="Onsite",INDEX(tbl_Onsite[Notes],$BI1387),IF($B1387="Production",INDEX(tbl_Production[Notes],$BI1387),INDEX(tbl_Consulting[Notes],$BI1387)))&amp;"")</f>
        <v/>
      </c>
      <c r="N1387" s="11">
        <f>IF($BI1387="","",IF(IF($B1387="Onsite",INDEX(tbl_Onsite[Expected Revenue Ex GST],$BI1387),IF($B1387="Production",INDEX(tbl_Production[Expected Revenue Ex GST],$BI1387),INDEX(tbl_Consulting[Expected Revenue Ex GST],$BI1387)))="","",IF($B1387="Onsite",INDEX(tbl_Onsite[Expected Revenue Ex GST],$BI1387),IF($B1387="Production",INDEX(tbl_Production[Expected Revenue Ex GST],$BI1387),INDEX(tbl_Consulting[Expected Revenue Ex GST],$BI1387)))))</f>
        <v/>
      </c>
      <c r="O1387" s="11">
        <f>IF(AND($C1387="",NOT(COUNTA($S1387:$BB1387)&gt;0)),"",SUM(U1387,X1387,AA1387,AD1387,AG1387,AJ1387,AM1387,AP1387,AS1387,AV1387,AY1387,BB1387))</f>
        <v/>
      </c>
      <c r="P1387" s="11">
        <f>IF(O1387="","",N(N1387)-O1387)</f>
        <v/>
      </c>
      <c r="Q1387" s="10">
        <f>IF(O1387="","",IF($C1387="","Invoice on empty job row",IF(N1387="",IF(ROUND(O1387,2)=0,"No dept value","Invoiced - no dept value"),IF(ROUND(O1387,2)=0,"Not invoiced - to invoice",IF(ROUND(P1387,2)=0,"Agrees",IF(P1387&gt;0,"Dept higher - to invoice","Xero higher - check dept"))))))</f>
        <v/>
      </c>
      <c r="R1387" s="10">
        <f>IF(AND($C1387="",NOT(COUNTA($S1387:$BB1387)&gt;0),$BI1387&lt;&gt;""),"",MID(IF($BI1387="","; Row ID not found on the department sheet - a row was deleted","")&amp;IF(AND($C1387="",COUNTA($S1387:$BB1387)&gt;0),"; Invoice entered but the department row has no job number","")&amp;IF(E1387="CHECK","; Job number not in the Xero job list","")&amp;IF(AND($C1387&lt;&gt;"",COUNTIF($C$7:$C$1506,$C1387)&gt;1),"; Job number on more than one row","")&amp;IF(AND($C1387&lt;&gt;"",H1387=""),"; Dept has not set a cost centre","")&amp;IF(AND($C1387&lt;&gt;"",J1387=""),"; Dept has not set a tax code","")&amp;IF(AND($C1387&lt;&gt;"",N1387=""),"; Dept has not entered an expected value","")&amp;IF((IF(OR(COUNTA(S1387:U1387)=0,AND(COUNTA(S1387:U1387)=3,ISNUMBER(U1387))),0,1)+IF(OR(COUNTA(V1387:X1387)=0,AND(COUNTA(V1387:X1387)=3,ISNUMBER(X1387))),0,1)+IF(OR(COUNTA(Y1387:AA1387)=0,AND(COUNTA(Y1387:AA1387)=3,ISNUMBER(AA1387))),0,1)+IF(OR(COUNTA(AB1387:AD1387)=0,AND(COUNTA(AB1387:AD1387)=3,ISNUMBER(AD1387))),0,1)+IF(OR(COUNTA(AE1387:AG1387)=0,AND(COUNTA(AE1387:AG1387)=3,ISNUMBER(AG1387))),0,1)+IF(OR(COUNTA(AH1387:AJ1387)=0,AND(COUNTA(AH1387:AJ1387)=3,ISNUMBER(AJ1387))),0,1)+IF(OR(COUNTA(AK1387:AM1387)=0,AND(COUNTA(AK1387:AM1387)=3,ISNUMBER(AM1387))),0,1)+IF(OR(COUNTA(AN1387:AP1387)=0,AND(COUNTA(AN1387:AP1387)=3,ISNUMBER(AP1387))),0,1)+IF(OR(COUNTA(AQ1387:AS1387)=0,AND(COUNTA(AQ1387:AS1387)=3,ISNUMBER(AS1387))),0,1)+IF(OR(COUNTA(AT1387:AV1387)=0,AND(COUNTA(AT1387:AV1387)=3,ISNUMBER(AV1387))),0,1)+IF(OR(COUNTA(AW1387:AY1387)=0,AND(COUNTA(AW1387:AY1387)=3,ISNUMBER(AY1387))),0,1)+IF(OR(COUNTA(AZ1387:BB1387)=0,AND(COUNTA(AZ1387:BB1387)=3,ISNUMBER(BB1387))),0,1))&gt;0,"; An invoice is incomplete (needs No, Date and a number in Ex GST)","")&amp;IF((IF(T1387="",0,IFERROR(--(EOMONTH(T1387,0)&lt;&gt;S$5),1))+IF(W1387="",0,IFERROR(--(EOMONTH(W1387,0)&lt;&gt;V$5),1))+IF(Z1387="",0,IFERROR(--(EOMONTH(Z1387,0)&lt;&gt;Y$5),1))+IF(AC1387="",0,IFERROR(--(EOMONTH(AC1387,0)&lt;&gt;AB$5),1))+IF(AF1387="",0,IFERROR(--(EOMONTH(AF1387,0)&lt;&gt;AE$5),1))+IF(AI1387="",0,IFERROR(--(EOMONTH(AI1387,0)&lt;&gt;AH$5),1))+IF(AL1387="",0,IFERROR(--(EOMONTH(AL1387,0)&lt;&gt;AK$5),1))+IF(AO1387="",0,IFERROR(--(EOMONTH(AO1387,0)&lt;&gt;AN$5),1))+IF(AR1387="",0,IFERROR(--(EOMONTH(AR1387,0)&lt;&gt;AQ$5),1))+IF(AU1387="",0,IFERROR(--(EOMONTH(AU1387,0)&lt;&gt;AT$5),1))+IF(AX1387="",0,IFERROR(--(EOMONTH(AX1387,0)&lt;&gt;AW$5),1))+IF(BA1387="",0,IFERROR(--(EOMONTH(BA1387,0)&lt;&gt;AZ$5),1)))&gt;0,"; An invoice date is not in the month it is typed under",""),3,500))</f>
        <v/>
      </c>
      <c r="S1387" s="12" t="n"/>
      <c r="T1387" s="13" t="n"/>
      <c r="U1387" s="14" t="n"/>
      <c r="V1387" s="12" t="n"/>
      <c r="W1387" s="13" t="n"/>
      <c r="X1387" s="14" t="n"/>
      <c r="Y1387" s="12" t="n"/>
      <c r="Z1387" s="13" t="n"/>
      <c r="AA1387" s="14" t="n"/>
      <c r="AB1387" s="12" t="n"/>
      <c r="AC1387" s="13" t="n"/>
      <c r="AD1387" s="14" t="n"/>
      <c r="AE1387" s="12" t="n"/>
      <c r="AF1387" s="13" t="n"/>
      <c r="AG1387" s="14" t="n"/>
      <c r="AH1387" s="12" t="n"/>
      <c r="AI1387" s="13" t="n"/>
      <c r="AJ1387" s="14" t="n"/>
      <c r="AK1387" s="12" t="n"/>
      <c r="AL1387" s="13" t="n"/>
      <c r="AM1387" s="14" t="n"/>
      <c r="AN1387" s="12" t="n"/>
      <c r="AO1387" s="13" t="n"/>
      <c r="AP1387" s="14" t="n"/>
      <c r="AQ1387" s="12" t="n"/>
      <c r="AR1387" s="13" t="n"/>
      <c r="AS1387" s="14" t="n"/>
      <c r="AT1387" s="12" t="n"/>
      <c r="AU1387" s="13" t="n"/>
      <c r="AV1387" s="14" t="n"/>
      <c r="AW1387" s="12" t="n"/>
      <c r="AX1387" s="13" t="n"/>
      <c r="AY1387" s="14" t="n"/>
      <c r="AZ1387" s="12" t="n"/>
      <c r="BA1387" s="13" t="n"/>
      <c r="BB1387" s="14" t="n"/>
      <c r="BC1387" s="11">
        <f>IF(O1387="","",IF(J1387="GST 10%",ROUND(O1387*set_GSTRate,2),0))</f>
        <v/>
      </c>
      <c r="BD1387" s="11">
        <f>IF(O1387="","",O1387+BC1387)</f>
        <v/>
      </c>
      <c r="BE1387" s="15">
        <f>IF(O1387="","",COUNTA(S1387,V1387,Y1387,AB1387,AE1387,AH1387,AK1387,AN1387,AQ1387,AT1387,AW1387,AZ1387))</f>
        <v/>
      </c>
      <c r="BF1387" s="16">
        <f>IF(COUNT(T1387,W1387,Z1387,AC1387,AF1387,AI1387,AL1387,AO1387,AR1387,AU1387,AX1387,BA1387)=0,"",MAX(T1387,W1387,Z1387,AC1387,AF1387,AI1387,AL1387,AO1387,AR1387,AU1387,AX1387,BA1387))</f>
        <v/>
      </c>
      <c r="BG1387" s="10">
        <f>MID(IF(S1387="","",", "&amp;S1387)&amp;IF(V1387="","",", "&amp;V1387)&amp;IF(Y1387="","",", "&amp;Y1387)&amp;IF(AB1387="","",", "&amp;AB1387)&amp;IF(AE1387="","",", "&amp;AE1387)&amp;IF(AH1387="","",", "&amp;AH1387)&amp;IF(AK1387="","",", "&amp;AK1387)&amp;IF(AN1387="","",", "&amp;AN1387)&amp;IF(AQ1387="","",", "&amp;AQ1387)&amp;IF(AT1387="","",", "&amp;AT1387)&amp;IF(AW1387="","",", "&amp;AW1387)&amp;IF(AZ1387="","",", "&amp;AZ1387),3,500)</f>
        <v/>
      </c>
      <c r="BH1387" s="12" t="n"/>
      <c r="BI1387" s="15">
        <f>IFERROR(MATCH($A1387,IF($B1387="Onsite",tbl_Onsite[Row ID],IF($B1387="Production",tbl_Production[Row ID],tbl_Consulting[Row ID])),0),"")</f>
        <v/>
      </c>
    </row>
    <row r="1388">
      <c r="A1388" s="10" t="inlineStr">
        <is>
          <t>CON-0382</t>
        </is>
      </c>
      <c r="B1388" s="10" t="inlineStr">
        <is>
          <t>Consulting</t>
        </is>
      </c>
      <c r="C1388" s="10">
        <f>IF($BI1388="","",IF($B1388="Onsite",INDEX(tbl_Onsite[Job Number],$BI1388),IF($B1388="Production",INDEX(tbl_Production[Job Number],$BI1388),INDEX(tbl_Consulting[Job Number],$BI1388)))&amp;"")</f>
        <v/>
      </c>
      <c r="D1388" s="10">
        <f>IF($BI1388="","",IF($B1388="Onsite",INDEX(tbl_Onsite[Client],$BI1388),IF($B1388="Production",INDEX(tbl_Production[Client],$BI1388),INDEX(tbl_Consulting[Client],$BI1388)))&amp;"")</f>
        <v/>
      </c>
      <c r="E1388" s="10">
        <f>IF($C1388="","",IF(COUNTIF(lst_Jobs,$C1388)&gt;0,"OK","CHECK"))</f>
        <v/>
      </c>
      <c r="F1388" s="10">
        <f>IF($C1388="","",IFERROR(INDEX(lst_JobName,MATCH($C1388,lst_Jobs,0)),""))</f>
        <v/>
      </c>
      <c r="G1388" s="10">
        <f>IF($BI1388="","",IF($B1388="Onsite",INDEX(tbl_Onsite[Job Description],$BI1388),IF($B1388="Production",INDEX(tbl_Production[Job Description],$BI1388),INDEX(tbl_Consulting[Job Description],$BI1388)))&amp;"")</f>
        <v/>
      </c>
      <c r="H1388" s="10">
        <f>IF($BI1388="","",IF($B1388="Onsite",INDEX(tbl_Onsite[Cost Centre],$BI1388),IF($B1388="Production",INDEX(tbl_Production[Cost Centre],$BI1388),INDEX(tbl_Consulting[Cost Centre],$BI1388)))&amp;"")</f>
        <v/>
      </c>
      <c r="I1388" s="10">
        <f>IF($BI1388="","",IF($B1388="Onsite",INDEX(tbl_Onsite[Invoice Type],$BI1388),IF($B1388="Production",INDEX(tbl_Production[Invoice Type],$BI1388),INDEX(tbl_Consulting[Invoice Type],$BI1388)))&amp;"")</f>
        <v/>
      </c>
      <c r="J1388" s="10">
        <f>IF($BI1388="","",IF($B1388="Onsite",INDEX(tbl_Onsite[Tax Code],$BI1388),IF($B1388="Production",INDEX(tbl_Production[Tax Code],$BI1388),INDEX(tbl_Consulting[Tax Code],$BI1388)))&amp;"")</f>
        <v/>
      </c>
      <c r="K1388" s="10">
        <f>IF(H1388="","",IFERROR(INDEX(lst_CCtoGL,MATCH(H1388,lst_CCforGL,0)),""))</f>
        <v/>
      </c>
      <c r="L1388" s="10">
        <f>IF($BI1388="","",IF($B1388="Onsite",INDEX(tbl_Onsite[PO / Reference],$BI1388),IF($B1388="Production",INDEX(tbl_Production[Current RMS No],$BI1388),INDEX(tbl_Consulting[Qwilr Quote],$BI1388)))&amp;"")</f>
        <v/>
      </c>
      <c r="M1388" s="10">
        <f>IF($BI1388="","",IF($B1388="Onsite",INDEX(tbl_Onsite[Notes],$BI1388),IF($B1388="Production",INDEX(tbl_Production[Notes],$BI1388),INDEX(tbl_Consulting[Notes],$BI1388)))&amp;"")</f>
        <v/>
      </c>
      <c r="N1388" s="11">
        <f>IF($BI1388="","",IF(IF($B1388="Onsite",INDEX(tbl_Onsite[Expected Revenue Ex GST],$BI1388),IF($B1388="Production",INDEX(tbl_Production[Expected Revenue Ex GST],$BI1388),INDEX(tbl_Consulting[Expected Revenue Ex GST],$BI1388)))="","",IF($B1388="Onsite",INDEX(tbl_Onsite[Expected Revenue Ex GST],$BI1388),IF($B1388="Production",INDEX(tbl_Production[Expected Revenue Ex GST],$BI1388),INDEX(tbl_Consulting[Expected Revenue Ex GST],$BI1388)))))</f>
        <v/>
      </c>
      <c r="O1388" s="11">
        <f>IF(AND($C1388="",NOT(COUNTA($S1388:$BB1388)&gt;0)),"",SUM(U1388,X1388,AA1388,AD1388,AG1388,AJ1388,AM1388,AP1388,AS1388,AV1388,AY1388,BB1388))</f>
        <v/>
      </c>
      <c r="P1388" s="11">
        <f>IF(O1388="","",N(N1388)-O1388)</f>
        <v/>
      </c>
      <c r="Q1388" s="10">
        <f>IF(O1388="","",IF($C1388="","Invoice on empty job row",IF(N1388="",IF(ROUND(O1388,2)=0,"No dept value","Invoiced - no dept value"),IF(ROUND(O1388,2)=0,"Not invoiced - to invoice",IF(ROUND(P1388,2)=0,"Agrees",IF(P1388&gt;0,"Dept higher - to invoice","Xero higher - check dept"))))))</f>
        <v/>
      </c>
      <c r="R1388" s="10">
        <f>IF(AND($C1388="",NOT(COUNTA($S1388:$BB1388)&gt;0),$BI1388&lt;&gt;""),"",MID(IF($BI1388="","; Row ID not found on the department sheet - a row was deleted","")&amp;IF(AND($C1388="",COUNTA($S1388:$BB1388)&gt;0),"; Invoice entered but the department row has no job number","")&amp;IF(E1388="CHECK","; Job number not in the Xero job list","")&amp;IF(AND($C1388&lt;&gt;"",COUNTIF($C$7:$C$1506,$C1388)&gt;1),"; Job number on more than one row","")&amp;IF(AND($C1388&lt;&gt;"",H1388=""),"; Dept has not set a cost centre","")&amp;IF(AND($C1388&lt;&gt;"",J1388=""),"; Dept has not set a tax code","")&amp;IF(AND($C1388&lt;&gt;"",N1388=""),"; Dept has not entered an expected value","")&amp;IF((IF(OR(COUNTA(S1388:U1388)=0,AND(COUNTA(S1388:U1388)=3,ISNUMBER(U1388))),0,1)+IF(OR(COUNTA(V1388:X1388)=0,AND(COUNTA(V1388:X1388)=3,ISNUMBER(X1388))),0,1)+IF(OR(COUNTA(Y1388:AA1388)=0,AND(COUNTA(Y1388:AA1388)=3,ISNUMBER(AA1388))),0,1)+IF(OR(COUNTA(AB1388:AD1388)=0,AND(COUNTA(AB1388:AD1388)=3,ISNUMBER(AD1388))),0,1)+IF(OR(COUNTA(AE1388:AG1388)=0,AND(COUNTA(AE1388:AG1388)=3,ISNUMBER(AG1388))),0,1)+IF(OR(COUNTA(AH1388:AJ1388)=0,AND(COUNTA(AH1388:AJ1388)=3,ISNUMBER(AJ1388))),0,1)+IF(OR(COUNTA(AK1388:AM1388)=0,AND(COUNTA(AK1388:AM1388)=3,ISNUMBER(AM1388))),0,1)+IF(OR(COUNTA(AN1388:AP1388)=0,AND(COUNTA(AN1388:AP1388)=3,ISNUMBER(AP1388))),0,1)+IF(OR(COUNTA(AQ1388:AS1388)=0,AND(COUNTA(AQ1388:AS1388)=3,ISNUMBER(AS1388))),0,1)+IF(OR(COUNTA(AT1388:AV1388)=0,AND(COUNTA(AT1388:AV1388)=3,ISNUMBER(AV1388))),0,1)+IF(OR(COUNTA(AW1388:AY1388)=0,AND(COUNTA(AW1388:AY1388)=3,ISNUMBER(AY1388))),0,1)+IF(OR(COUNTA(AZ1388:BB1388)=0,AND(COUNTA(AZ1388:BB1388)=3,ISNUMBER(BB1388))),0,1))&gt;0,"; An invoice is incomplete (needs No, Date and a number in Ex GST)","")&amp;IF((IF(T1388="",0,IFERROR(--(EOMONTH(T1388,0)&lt;&gt;S$5),1))+IF(W1388="",0,IFERROR(--(EOMONTH(W1388,0)&lt;&gt;V$5),1))+IF(Z1388="",0,IFERROR(--(EOMONTH(Z1388,0)&lt;&gt;Y$5),1))+IF(AC1388="",0,IFERROR(--(EOMONTH(AC1388,0)&lt;&gt;AB$5),1))+IF(AF1388="",0,IFERROR(--(EOMONTH(AF1388,0)&lt;&gt;AE$5),1))+IF(AI1388="",0,IFERROR(--(EOMONTH(AI1388,0)&lt;&gt;AH$5),1))+IF(AL1388="",0,IFERROR(--(EOMONTH(AL1388,0)&lt;&gt;AK$5),1))+IF(AO1388="",0,IFERROR(--(EOMONTH(AO1388,0)&lt;&gt;AN$5),1))+IF(AR1388="",0,IFERROR(--(EOMONTH(AR1388,0)&lt;&gt;AQ$5),1))+IF(AU1388="",0,IFERROR(--(EOMONTH(AU1388,0)&lt;&gt;AT$5),1))+IF(AX1388="",0,IFERROR(--(EOMONTH(AX1388,0)&lt;&gt;AW$5),1))+IF(BA1388="",0,IFERROR(--(EOMONTH(BA1388,0)&lt;&gt;AZ$5),1)))&gt;0,"; An invoice date is not in the month it is typed under",""),3,500))</f>
        <v/>
      </c>
      <c r="S1388" s="12" t="n"/>
      <c r="T1388" s="13" t="n"/>
      <c r="U1388" s="14" t="n"/>
      <c r="V1388" s="12" t="n"/>
      <c r="W1388" s="13" t="n"/>
      <c r="X1388" s="14" t="n"/>
      <c r="Y1388" s="12" t="n"/>
      <c r="Z1388" s="13" t="n"/>
      <c r="AA1388" s="14" t="n"/>
      <c r="AB1388" s="12" t="n"/>
      <c r="AC1388" s="13" t="n"/>
      <c r="AD1388" s="14" t="n"/>
      <c r="AE1388" s="12" t="n"/>
      <c r="AF1388" s="13" t="n"/>
      <c r="AG1388" s="14" t="n"/>
      <c r="AH1388" s="12" t="n"/>
      <c r="AI1388" s="13" t="n"/>
      <c r="AJ1388" s="14" t="n"/>
      <c r="AK1388" s="12" t="n"/>
      <c r="AL1388" s="13" t="n"/>
      <c r="AM1388" s="14" t="n"/>
      <c r="AN1388" s="12" t="n"/>
      <c r="AO1388" s="13" t="n"/>
      <c r="AP1388" s="14" t="n"/>
      <c r="AQ1388" s="12" t="n"/>
      <c r="AR1388" s="13" t="n"/>
      <c r="AS1388" s="14" t="n"/>
      <c r="AT1388" s="12" t="n"/>
      <c r="AU1388" s="13" t="n"/>
      <c r="AV1388" s="14" t="n"/>
      <c r="AW1388" s="12" t="n"/>
      <c r="AX1388" s="13" t="n"/>
      <c r="AY1388" s="14" t="n"/>
      <c r="AZ1388" s="12" t="n"/>
      <c r="BA1388" s="13" t="n"/>
      <c r="BB1388" s="14" t="n"/>
      <c r="BC1388" s="11">
        <f>IF(O1388="","",IF(J1388="GST 10%",ROUND(O1388*set_GSTRate,2),0))</f>
        <v/>
      </c>
      <c r="BD1388" s="11">
        <f>IF(O1388="","",O1388+BC1388)</f>
        <v/>
      </c>
      <c r="BE1388" s="15">
        <f>IF(O1388="","",COUNTA(S1388,V1388,Y1388,AB1388,AE1388,AH1388,AK1388,AN1388,AQ1388,AT1388,AW1388,AZ1388))</f>
        <v/>
      </c>
      <c r="BF1388" s="16">
        <f>IF(COUNT(T1388,W1388,Z1388,AC1388,AF1388,AI1388,AL1388,AO1388,AR1388,AU1388,AX1388,BA1388)=0,"",MAX(T1388,W1388,Z1388,AC1388,AF1388,AI1388,AL1388,AO1388,AR1388,AU1388,AX1388,BA1388))</f>
        <v/>
      </c>
      <c r="BG1388" s="10">
        <f>MID(IF(S1388="","",", "&amp;S1388)&amp;IF(V1388="","",", "&amp;V1388)&amp;IF(Y1388="","",", "&amp;Y1388)&amp;IF(AB1388="","",", "&amp;AB1388)&amp;IF(AE1388="","",", "&amp;AE1388)&amp;IF(AH1388="","",", "&amp;AH1388)&amp;IF(AK1388="","",", "&amp;AK1388)&amp;IF(AN1388="","",", "&amp;AN1388)&amp;IF(AQ1388="","",", "&amp;AQ1388)&amp;IF(AT1388="","",", "&amp;AT1388)&amp;IF(AW1388="","",", "&amp;AW1388)&amp;IF(AZ1388="","",", "&amp;AZ1388),3,500)</f>
        <v/>
      </c>
      <c r="BH1388" s="12" t="n"/>
      <c r="BI1388" s="15">
        <f>IFERROR(MATCH($A1388,IF($B1388="Onsite",tbl_Onsite[Row ID],IF($B1388="Production",tbl_Production[Row ID],tbl_Consulting[Row ID])),0),"")</f>
        <v/>
      </c>
    </row>
    <row r="1389">
      <c r="A1389" s="10" t="inlineStr">
        <is>
          <t>CON-0383</t>
        </is>
      </c>
      <c r="B1389" s="10" t="inlineStr">
        <is>
          <t>Consulting</t>
        </is>
      </c>
      <c r="C1389" s="10">
        <f>IF($BI1389="","",IF($B1389="Onsite",INDEX(tbl_Onsite[Job Number],$BI1389),IF($B1389="Production",INDEX(tbl_Production[Job Number],$BI1389),INDEX(tbl_Consulting[Job Number],$BI1389)))&amp;"")</f>
        <v/>
      </c>
      <c r="D1389" s="10">
        <f>IF($BI1389="","",IF($B1389="Onsite",INDEX(tbl_Onsite[Client],$BI1389),IF($B1389="Production",INDEX(tbl_Production[Client],$BI1389),INDEX(tbl_Consulting[Client],$BI1389)))&amp;"")</f>
        <v/>
      </c>
      <c r="E1389" s="10">
        <f>IF($C1389="","",IF(COUNTIF(lst_Jobs,$C1389)&gt;0,"OK","CHECK"))</f>
        <v/>
      </c>
      <c r="F1389" s="10">
        <f>IF($C1389="","",IFERROR(INDEX(lst_JobName,MATCH($C1389,lst_Jobs,0)),""))</f>
        <v/>
      </c>
      <c r="G1389" s="10">
        <f>IF($BI1389="","",IF($B1389="Onsite",INDEX(tbl_Onsite[Job Description],$BI1389),IF($B1389="Production",INDEX(tbl_Production[Job Description],$BI1389),INDEX(tbl_Consulting[Job Description],$BI1389)))&amp;"")</f>
        <v/>
      </c>
      <c r="H1389" s="10">
        <f>IF($BI1389="","",IF($B1389="Onsite",INDEX(tbl_Onsite[Cost Centre],$BI1389),IF($B1389="Production",INDEX(tbl_Production[Cost Centre],$BI1389),INDEX(tbl_Consulting[Cost Centre],$BI1389)))&amp;"")</f>
        <v/>
      </c>
      <c r="I1389" s="10">
        <f>IF($BI1389="","",IF($B1389="Onsite",INDEX(tbl_Onsite[Invoice Type],$BI1389),IF($B1389="Production",INDEX(tbl_Production[Invoice Type],$BI1389),INDEX(tbl_Consulting[Invoice Type],$BI1389)))&amp;"")</f>
        <v/>
      </c>
      <c r="J1389" s="10">
        <f>IF($BI1389="","",IF($B1389="Onsite",INDEX(tbl_Onsite[Tax Code],$BI1389),IF($B1389="Production",INDEX(tbl_Production[Tax Code],$BI1389),INDEX(tbl_Consulting[Tax Code],$BI1389)))&amp;"")</f>
        <v/>
      </c>
      <c r="K1389" s="10">
        <f>IF(H1389="","",IFERROR(INDEX(lst_CCtoGL,MATCH(H1389,lst_CCforGL,0)),""))</f>
        <v/>
      </c>
      <c r="L1389" s="10">
        <f>IF($BI1389="","",IF($B1389="Onsite",INDEX(tbl_Onsite[PO / Reference],$BI1389),IF($B1389="Production",INDEX(tbl_Production[Current RMS No],$BI1389),INDEX(tbl_Consulting[Qwilr Quote],$BI1389)))&amp;"")</f>
        <v/>
      </c>
      <c r="M1389" s="10">
        <f>IF($BI1389="","",IF($B1389="Onsite",INDEX(tbl_Onsite[Notes],$BI1389),IF($B1389="Production",INDEX(tbl_Production[Notes],$BI1389),INDEX(tbl_Consulting[Notes],$BI1389)))&amp;"")</f>
        <v/>
      </c>
      <c r="N1389" s="11">
        <f>IF($BI1389="","",IF(IF($B1389="Onsite",INDEX(tbl_Onsite[Expected Revenue Ex GST],$BI1389),IF($B1389="Production",INDEX(tbl_Production[Expected Revenue Ex GST],$BI1389),INDEX(tbl_Consulting[Expected Revenue Ex GST],$BI1389)))="","",IF($B1389="Onsite",INDEX(tbl_Onsite[Expected Revenue Ex GST],$BI1389),IF($B1389="Production",INDEX(tbl_Production[Expected Revenue Ex GST],$BI1389),INDEX(tbl_Consulting[Expected Revenue Ex GST],$BI1389)))))</f>
        <v/>
      </c>
      <c r="O1389" s="11">
        <f>IF(AND($C1389="",NOT(COUNTA($S1389:$BB1389)&gt;0)),"",SUM(U1389,X1389,AA1389,AD1389,AG1389,AJ1389,AM1389,AP1389,AS1389,AV1389,AY1389,BB1389))</f>
        <v/>
      </c>
      <c r="P1389" s="11">
        <f>IF(O1389="","",N(N1389)-O1389)</f>
        <v/>
      </c>
      <c r="Q1389" s="10">
        <f>IF(O1389="","",IF($C1389="","Invoice on empty job row",IF(N1389="",IF(ROUND(O1389,2)=0,"No dept value","Invoiced - no dept value"),IF(ROUND(O1389,2)=0,"Not invoiced - to invoice",IF(ROUND(P1389,2)=0,"Agrees",IF(P1389&gt;0,"Dept higher - to invoice","Xero higher - check dept"))))))</f>
        <v/>
      </c>
      <c r="R1389" s="10">
        <f>IF(AND($C1389="",NOT(COUNTA($S1389:$BB1389)&gt;0),$BI1389&lt;&gt;""),"",MID(IF($BI1389="","; Row ID not found on the department sheet - a row was deleted","")&amp;IF(AND($C1389="",COUNTA($S1389:$BB1389)&gt;0),"; Invoice entered but the department row has no job number","")&amp;IF(E1389="CHECK","; Job number not in the Xero job list","")&amp;IF(AND($C1389&lt;&gt;"",COUNTIF($C$7:$C$1506,$C1389)&gt;1),"; Job number on more than one row","")&amp;IF(AND($C1389&lt;&gt;"",H1389=""),"; Dept has not set a cost centre","")&amp;IF(AND($C1389&lt;&gt;"",J1389=""),"; Dept has not set a tax code","")&amp;IF(AND($C1389&lt;&gt;"",N1389=""),"; Dept has not entered an expected value","")&amp;IF((IF(OR(COUNTA(S1389:U1389)=0,AND(COUNTA(S1389:U1389)=3,ISNUMBER(U1389))),0,1)+IF(OR(COUNTA(V1389:X1389)=0,AND(COUNTA(V1389:X1389)=3,ISNUMBER(X1389))),0,1)+IF(OR(COUNTA(Y1389:AA1389)=0,AND(COUNTA(Y1389:AA1389)=3,ISNUMBER(AA1389))),0,1)+IF(OR(COUNTA(AB1389:AD1389)=0,AND(COUNTA(AB1389:AD1389)=3,ISNUMBER(AD1389))),0,1)+IF(OR(COUNTA(AE1389:AG1389)=0,AND(COUNTA(AE1389:AG1389)=3,ISNUMBER(AG1389))),0,1)+IF(OR(COUNTA(AH1389:AJ1389)=0,AND(COUNTA(AH1389:AJ1389)=3,ISNUMBER(AJ1389))),0,1)+IF(OR(COUNTA(AK1389:AM1389)=0,AND(COUNTA(AK1389:AM1389)=3,ISNUMBER(AM1389))),0,1)+IF(OR(COUNTA(AN1389:AP1389)=0,AND(COUNTA(AN1389:AP1389)=3,ISNUMBER(AP1389))),0,1)+IF(OR(COUNTA(AQ1389:AS1389)=0,AND(COUNTA(AQ1389:AS1389)=3,ISNUMBER(AS1389))),0,1)+IF(OR(COUNTA(AT1389:AV1389)=0,AND(COUNTA(AT1389:AV1389)=3,ISNUMBER(AV1389))),0,1)+IF(OR(COUNTA(AW1389:AY1389)=0,AND(COUNTA(AW1389:AY1389)=3,ISNUMBER(AY1389))),0,1)+IF(OR(COUNTA(AZ1389:BB1389)=0,AND(COUNTA(AZ1389:BB1389)=3,ISNUMBER(BB1389))),0,1))&gt;0,"; An invoice is incomplete (needs No, Date and a number in Ex GST)","")&amp;IF((IF(T1389="",0,IFERROR(--(EOMONTH(T1389,0)&lt;&gt;S$5),1))+IF(W1389="",0,IFERROR(--(EOMONTH(W1389,0)&lt;&gt;V$5),1))+IF(Z1389="",0,IFERROR(--(EOMONTH(Z1389,0)&lt;&gt;Y$5),1))+IF(AC1389="",0,IFERROR(--(EOMONTH(AC1389,0)&lt;&gt;AB$5),1))+IF(AF1389="",0,IFERROR(--(EOMONTH(AF1389,0)&lt;&gt;AE$5),1))+IF(AI1389="",0,IFERROR(--(EOMONTH(AI1389,0)&lt;&gt;AH$5),1))+IF(AL1389="",0,IFERROR(--(EOMONTH(AL1389,0)&lt;&gt;AK$5),1))+IF(AO1389="",0,IFERROR(--(EOMONTH(AO1389,0)&lt;&gt;AN$5),1))+IF(AR1389="",0,IFERROR(--(EOMONTH(AR1389,0)&lt;&gt;AQ$5),1))+IF(AU1389="",0,IFERROR(--(EOMONTH(AU1389,0)&lt;&gt;AT$5),1))+IF(AX1389="",0,IFERROR(--(EOMONTH(AX1389,0)&lt;&gt;AW$5),1))+IF(BA1389="",0,IFERROR(--(EOMONTH(BA1389,0)&lt;&gt;AZ$5),1)))&gt;0,"; An invoice date is not in the month it is typed under",""),3,500))</f>
        <v/>
      </c>
      <c r="S1389" s="12" t="n"/>
      <c r="T1389" s="13" t="n"/>
      <c r="U1389" s="14" t="n"/>
      <c r="V1389" s="12" t="n"/>
      <c r="W1389" s="13" t="n"/>
      <c r="X1389" s="14" t="n"/>
      <c r="Y1389" s="12" t="n"/>
      <c r="Z1389" s="13" t="n"/>
      <c r="AA1389" s="14" t="n"/>
      <c r="AB1389" s="12" t="n"/>
      <c r="AC1389" s="13" t="n"/>
      <c r="AD1389" s="14" t="n"/>
      <c r="AE1389" s="12" t="n"/>
      <c r="AF1389" s="13" t="n"/>
      <c r="AG1389" s="14" t="n"/>
      <c r="AH1389" s="12" t="n"/>
      <c r="AI1389" s="13" t="n"/>
      <c r="AJ1389" s="14" t="n"/>
      <c r="AK1389" s="12" t="n"/>
      <c r="AL1389" s="13" t="n"/>
      <c r="AM1389" s="14" t="n"/>
      <c r="AN1389" s="12" t="n"/>
      <c r="AO1389" s="13" t="n"/>
      <c r="AP1389" s="14" t="n"/>
      <c r="AQ1389" s="12" t="n"/>
      <c r="AR1389" s="13" t="n"/>
      <c r="AS1389" s="14" t="n"/>
      <c r="AT1389" s="12" t="n"/>
      <c r="AU1389" s="13" t="n"/>
      <c r="AV1389" s="14" t="n"/>
      <c r="AW1389" s="12" t="n"/>
      <c r="AX1389" s="13" t="n"/>
      <c r="AY1389" s="14" t="n"/>
      <c r="AZ1389" s="12" t="n"/>
      <c r="BA1389" s="13" t="n"/>
      <c r="BB1389" s="14" t="n"/>
      <c r="BC1389" s="11">
        <f>IF(O1389="","",IF(J1389="GST 10%",ROUND(O1389*set_GSTRate,2),0))</f>
        <v/>
      </c>
      <c r="BD1389" s="11">
        <f>IF(O1389="","",O1389+BC1389)</f>
        <v/>
      </c>
      <c r="BE1389" s="15">
        <f>IF(O1389="","",COUNTA(S1389,V1389,Y1389,AB1389,AE1389,AH1389,AK1389,AN1389,AQ1389,AT1389,AW1389,AZ1389))</f>
        <v/>
      </c>
      <c r="BF1389" s="16">
        <f>IF(COUNT(T1389,W1389,Z1389,AC1389,AF1389,AI1389,AL1389,AO1389,AR1389,AU1389,AX1389,BA1389)=0,"",MAX(T1389,W1389,Z1389,AC1389,AF1389,AI1389,AL1389,AO1389,AR1389,AU1389,AX1389,BA1389))</f>
        <v/>
      </c>
      <c r="BG1389" s="10">
        <f>MID(IF(S1389="","",", "&amp;S1389)&amp;IF(V1389="","",", "&amp;V1389)&amp;IF(Y1389="","",", "&amp;Y1389)&amp;IF(AB1389="","",", "&amp;AB1389)&amp;IF(AE1389="","",", "&amp;AE1389)&amp;IF(AH1389="","",", "&amp;AH1389)&amp;IF(AK1389="","",", "&amp;AK1389)&amp;IF(AN1389="","",", "&amp;AN1389)&amp;IF(AQ1389="","",", "&amp;AQ1389)&amp;IF(AT1389="","",", "&amp;AT1389)&amp;IF(AW1389="","",", "&amp;AW1389)&amp;IF(AZ1389="","",", "&amp;AZ1389),3,500)</f>
        <v/>
      </c>
      <c r="BH1389" s="12" t="n"/>
      <c r="BI1389" s="15">
        <f>IFERROR(MATCH($A1389,IF($B1389="Onsite",tbl_Onsite[Row ID],IF($B1389="Production",tbl_Production[Row ID],tbl_Consulting[Row ID])),0),"")</f>
        <v/>
      </c>
    </row>
    <row r="1390">
      <c r="A1390" s="10" t="inlineStr">
        <is>
          <t>CON-0384</t>
        </is>
      </c>
      <c r="B1390" s="10" t="inlineStr">
        <is>
          <t>Consulting</t>
        </is>
      </c>
      <c r="C1390" s="10">
        <f>IF($BI1390="","",IF($B1390="Onsite",INDEX(tbl_Onsite[Job Number],$BI1390),IF($B1390="Production",INDEX(tbl_Production[Job Number],$BI1390),INDEX(tbl_Consulting[Job Number],$BI1390)))&amp;"")</f>
        <v/>
      </c>
      <c r="D1390" s="10">
        <f>IF($BI1390="","",IF($B1390="Onsite",INDEX(tbl_Onsite[Client],$BI1390),IF($B1390="Production",INDEX(tbl_Production[Client],$BI1390),INDEX(tbl_Consulting[Client],$BI1390)))&amp;"")</f>
        <v/>
      </c>
      <c r="E1390" s="10">
        <f>IF($C1390="","",IF(COUNTIF(lst_Jobs,$C1390)&gt;0,"OK","CHECK"))</f>
        <v/>
      </c>
      <c r="F1390" s="10">
        <f>IF($C1390="","",IFERROR(INDEX(lst_JobName,MATCH($C1390,lst_Jobs,0)),""))</f>
        <v/>
      </c>
      <c r="G1390" s="10">
        <f>IF($BI1390="","",IF($B1390="Onsite",INDEX(tbl_Onsite[Job Description],$BI1390),IF($B1390="Production",INDEX(tbl_Production[Job Description],$BI1390),INDEX(tbl_Consulting[Job Description],$BI1390)))&amp;"")</f>
        <v/>
      </c>
      <c r="H1390" s="10">
        <f>IF($BI1390="","",IF($B1390="Onsite",INDEX(tbl_Onsite[Cost Centre],$BI1390),IF($B1390="Production",INDEX(tbl_Production[Cost Centre],$BI1390),INDEX(tbl_Consulting[Cost Centre],$BI1390)))&amp;"")</f>
        <v/>
      </c>
      <c r="I1390" s="10">
        <f>IF($BI1390="","",IF($B1390="Onsite",INDEX(tbl_Onsite[Invoice Type],$BI1390),IF($B1390="Production",INDEX(tbl_Production[Invoice Type],$BI1390),INDEX(tbl_Consulting[Invoice Type],$BI1390)))&amp;"")</f>
        <v/>
      </c>
      <c r="J1390" s="10">
        <f>IF($BI1390="","",IF($B1390="Onsite",INDEX(tbl_Onsite[Tax Code],$BI1390),IF($B1390="Production",INDEX(tbl_Production[Tax Code],$BI1390),INDEX(tbl_Consulting[Tax Code],$BI1390)))&amp;"")</f>
        <v/>
      </c>
      <c r="K1390" s="10">
        <f>IF(H1390="","",IFERROR(INDEX(lst_CCtoGL,MATCH(H1390,lst_CCforGL,0)),""))</f>
        <v/>
      </c>
      <c r="L1390" s="10">
        <f>IF($BI1390="","",IF($B1390="Onsite",INDEX(tbl_Onsite[PO / Reference],$BI1390),IF($B1390="Production",INDEX(tbl_Production[Current RMS No],$BI1390),INDEX(tbl_Consulting[Qwilr Quote],$BI1390)))&amp;"")</f>
        <v/>
      </c>
      <c r="M1390" s="10">
        <f>IF($BI1390="","",IF($B1390="Onsite",INDEX(tbl_Onsite[Notes],$BI1390),IF($B1390="Production",INDEX(tbl_Production[Notes],$BI1390),INDEX(tbl_Consulting[Notes],$BI1390)))&amp;"")</f>
        <v/>
      </c>
      <c r="N1390" s="11">
        <f>IF($BI1390="","",IF(IF($B1390="Onsite",INDEX(tbl_Onsite[Expected Revenue Ex GST],$BI1390),IF($B1390="Production",INDEX(tbl_Production[Expected Revenue Ex GST],$BI1390),INDEX(tbl_Consulting[Expected Revenue Ex GST],$BI1390)))="","",IF($B1390="Onsite",INDEX(tbl_Onsite[Expected Revenue Ex GST],$BI1390),IF($B1390="Production",INDEX(tbl_Production[Expected Revenue Ex GST],$BI1390),INDEX(tbl_Consulting[Expected Revenue Ex GST],$BI1390)))))</f>
        <v/>
      </c>
      <c r="O1390" s="11">
        <f>IF(AND($C1390="",NOT(COUNTA($S1390:$BB1390)&gt;0)),"",SUM(U1390,X1390,AA1390,AD1390,AG1390,AJ1390,AM1390,AP1390,AS1390,AV1390,AY1390,BB1390))</f>
        <v/>
      </c>
      <c r="P1390" s="11">
        <f>IF(O1390="","",N(N1390)-O1390)</f>
        <v/>
      </c>
      <c r="Q1390" s="10">
        <f>IF(O1390="","",IF($C1390="","Invoice on empty job row",IF(N1390="",IF(ROUND(O1390,2)=0,"No dept value","Invoiced - no dept value"),IF(ROUND(O1390,2)=0,"Not invoiced - to invoice",IF(ROUND(P1390,2)=0,"Agrees",IF(P1390&gt;0,"Dept higher - to invoice","Xero higher - check dept"))))))</f>
        <v/>
      </c>
      <c r="R1390" s="10">
        <f>IF(AND($C1390="",NOT(COUNTA($S1390:$BB1390)&gt;0),$BI1390&lt;&gt;""),"",MID(IF($BI1390="","; Row ID not found on the department sheet - a row was deleted","")&amp;IF(AND($C1390="",COUNTA($S1390:$BB1390)&gt;0),"; Invoice entered but the department row has no job number","")&amp;IF(E1390="CHECK","; Job number not in the Xero job list","")&amp;IF(AND($C1390&lt;&gt;"",COUNTIF($C$7:$C$1506,$C1390)&gt;1),"; Job number on more than one row","")&amp;IF(AND($C1390&lt;&gt;"",H1390=""),"; Dept has not set a cost centre","")&amp;IF(AND($C1390&lt;&gt;"",J1390=""),"; Dept has not set a tax code","")&amp;IF(AND($C1390&lt;&gt;"",N1390=""),"; Dept has not entered an expected value","")&amp;IF((IF(OR(COUNTA(S1390:U1390)=0,AND(COUNTA(S1390:U1390)=3,ISNUMBER(U1390))),0,1)+IF(OR(COUNTA(V1390:X1390)=0,AND(COUNTA(V1390:X1390)=3,ISNUMBER(X1390))),0,1)+IF(OR(COUNTA(Y1390:AA1390)=0,AND(COUNTA(Y1390:AA1390)=3,ISNUMBER(AA1390))),0,1)+IF(OR(COUNTA(AB1390:AD1390)=0,AND(COUNTA(AB1390:AD1390)=3,ISNUMBER(AD1390))),0,1)+IF(OR(COUNTA(AE1390:AG1390)=0,AND(COUNTA(AE1390:AG1390)=3,ISNUMBER(AG1390))),0,1)+IF(OR(COUNTA(AH1390:AJ1390)=0,AND(COUNTA(AH1390:AJ1390)=3,ISNUMBER(AJ1390))),0,1)+IF(OR(COUNTA(AK1390:AM1390)=0,AND(COUNTA(AK1390:AM1390)=3,ISNUMBER(AM1390))),0,1)+IF(OR(COUNTA(AN1390:AP1390)=0,AND(COUNTA(AN1390:AP1390)=3,ISNUMBER(AP1390))),0,1)+IF(OR(COUNTA(AQ1390:AS1390)=0,AND(COUNTA(AQ1390:AS1390)=3,ISNUMBER(AS1390))),0,1)+IF(OR(COUNTA(AT1390:AV1390)=0,AND(COUNTA(AT1390:AV1390)=3,ISNUMBER(AV1390))),0,1)+IF(OR(COUNTA(AW1390:AY1390)=0,AND(COUNTA(AW1390:AY1390)=3,ISNUMBER(AY1390))),0,1)+IF(OR(COUNTA(AZ1390:BB1390)=0,AND(COUNTA(AZ1390:BB1390)=3,ISNUMBER(BB1390))),0,1))&gt;0,"; An invoice is incomplete (needs No, Date and a number in Ex GST)","")&amp;IF((IF(T1390="",0,IFERROR(--(EOMONTH(T1390,0)&lt;&gt;S$5),1))+IF(W1390="",0,IFERROR(--(EOMONTH(W1390,0)&lt;&gt;V$5),1))+IF(Z1390="",0,IFERROR(--(EOMONTH(Z1390,0)&lt;&gt;Y$5),1))+IF(AC1390="",0,IFERROR(--(EOMONTH(AC1390,0)&lt;&gt;AB$5),1))+IF(AF1390="",0,IFERROR(--(EOMONTH(AF1390,0)&lt;&gt;AE$5),1))+IF(AI1390="",0,IFERROR(--(EOMONTH(AI1390,0)&lt;&gt;AH$5),1))+IF(AL1390="",0,IFERROR(--(EOMONTH(AL1390,0)&lt;&gt;AK$5),1))+IF(AO1390="",0,IFERROR(--(EOMONTH(AO1390,0)&lt;&gt;AN$5),1))+IF(AR1390="",0,IFERROR(--(EOMONTH(AR1390,0)&lt;&gt;AQ$5),1))+IF(AU1390="",0,IFERROR(--(EOMONTH(AU1390,0)&lt;&gt;AT$5),1))+IF(AX1390="",0,IFERROR(--(EOMONTH(AX1390,0)&lt;&gt;AW$5),1))+IF(BA1390="",0,IFERROR(--(EOMONTH(BA1390,0)&lt;&gt;AZ$5),1)))&gt;0,"; An invoice date is not in the month it is typed under",""),3,500))</f>
        <v/>
      </c>
      <c r="S1390" s="12" t="n"/>
      <c r="T1390" s="13" t="n"/>
      <c r="U1390" s="14" t="n"/>
      <c r="V1390" s="12" t="n"/>
      <c r="W1390" s="13" t="n"/>
      <c r="X1390" s="14" t="n"/>
      <c r="Y1390" s="12" t="n"/>
      <c r="Z1390" s="13" t="n"/>
      <c r="AA1390" s="14" t="n"/>
      <c r="AB1390" s="12" t="n"/>
      <c r="AC1390" s="13" t="n"/>
      <c r="AD1390" s="14" t="n"/>
      <c r="AE1390" s="12" t="n"/>
      <c r="AF1390" s="13" t="n"/>
      <c r="AG1390" s="14" t="n"/>
      <c r="AH1390" s="12" t="n"/>
      <c r="AI1390" s="13" t="n"/>
      <c r="AJ1390" s="14" t="n"/>
      <c r="AK1390" s="12" t="n"/>
      <c r="AL1390" s="13" t="n"/>
      <c r="AM1390" s="14" t="n"/>
      <c r="AN1390" s="12" t="n"/>
      <c r="AO1390" s="13" t="n"/>
      <c r="AP1390" s="14" t="n"/>
      <c r="AQ1390" s="12" t="n"/>
      <c r="AR1390" s="13" t="n"/>
      <c r="AS1390" s="14" t="n"/>
      <c r="AT1390" s="12" t="n"/>
      <c r="AU1390" s="13" t="n"/>
      <c r="AV1390" s="14" t="n"/>
      <c r="AW1390" s="12" t="n"/>
      <c r="AX1390" s="13" t="n"/>
      <c r="AY1390" s="14" t="n"/>
      <c r="AZ1390" s="12" t="n"/>
      <c r="BA1390" s="13" t="n"/>
      <c r="BB1390" s="14" t="n"/>
      <c r="BC1390" s="11">
        <f>IF(O1390="","",IF(J1390="GST 10%",ROUND(O1390*set_GSTRate,2),0))</f>
        <v/>
      </c>
      <c r="BD1390" s="11">
        <f>IF(O1390="","",O1390+BC1390)</f>
        <v/>
      </c>
      <c r="BE1390" s="15">
        <f>IF(O1390="","",COUNTA(S1390,V1390,Y1390,AB1390,AE1390,AH1390,AK1390,AN1390,AQ1390,AT1390,AW1390,AZ1390))</f>
        <v/>
      </c>
      <c r="BF1390" s="16">
        <f>IF(COUNT(T1390,W1390,Z1390,AC1390,AF1390,AI1390,AL1390,AO1390,AR1390,AU1390,AX1390,BA1390)=0,"",MAX(T1390,W1390,Z1390,AC1390,AF1390,AI1390,AL1390,AO1390,AR1390,AU1390,AX1390,BA1390))</f>
        <v/>
      </c>
      <c r="BG1390" s="10">
        <f>MID(IF(S1390="","",", "&amp;S1390)&amp;IF(V1390="","",", "&amp;V1390)&amp;IF(Y1390="","",", "&amp;Y1390)&amp;IF(AB1390="","",", "&amp;AB1390)&amp;IF(AE1390="","",", "&amp;AE1390)&amp;IF(AH1390="","",", "&amp;AH1390)&amp;IF(AK1390="","",", "&amp;AK1390)&amp;IF(AN1390="","",", "&amp;AN1390)&amp;IF(AQ1390="","",", "&amp;AQ1390)&amp;IF(AT1390="","",", "&amp;AT1390)&amp;IF(AW1390="","",", "&amp;AW1390)&amp;IF(AZ1390="","",", "&amp;AZ1390),3,500)</f>
        <v/>
      </c>
      <c r="BH1390" s="12" t="n"/>
      <c r="BI1390" s="15">
        <f>IFERROR(MATCH($A1390,IF($B1390="Onsite",tbl_Onsite[Row ID],IF($B1390="Production",tbl_Production[Row ID],tbl_Consulting[Row ID])),0),"")</f>
        <v/>
      </c>
    </row>
    <row r="1391">
      <c r="A1391" s="10" t="inlineStr">
        <is>
          <t>CON-0385</t>
        </is>
      </c>
      <c r="B1391" s="10" t="inlineStr">
        <is>
          <t>Consulting</t>
        </is>
      </c>
      <c r="C1391" s="10">
        <f>IF($BI1391="","",IF($B1391="Onsite",INDEX(tbl_Onsite[Job Number],$BI1391),IF($B1391="Production",INDEX(tbl_Production[Job Number],$BI1391),INDEX(tbl_Consulting[Job Number],$BI1391)))&amp;"")</f>
        <v/>
      </c>
      <c r="D1391" s="10">
        <f>IF($BI1391="","",IF($B1391="Onsite",INDEX(tbl_Onsite[Client],$BI1391),IF($B1391="Production",INDEX(tbl_Production[Client],$BI1391),INDEX(tbl_Consulting[Client],$BI1391)))&amp;"")</f>
        <v/>
      </c>
      <c r="E1391" s="10">
        <f>IF($C1391="","",IF(COUNTIF(lst_Jobs,$C1391)&gt;0,"OK","CHECK"))</f>
        <v/>
      </c>
      <c r="F1391" s="10">
        <f>IF($C1391="","",IFERROR(INDEX(lst_JobName,MATCH($C1391,lst_Jobs,0)),""))</f>
        <v/>
      </c>
      <c r="G1391" s="10">
        <f>IF($BI1391="","",IF($B1391="Onsite",INDEX(tbl_Onsite[Job Description],$BI1391),IF($B1391="Production",INDEX(tbl_Production[Job Description],$BI1391),INDEX(tbl_Consulting[Job Description],$BI1391)))&amp;"")</f>
        <v/>
      </c>
      <c r="H1391" s="10">
        <f>IF($BI1391="","",IF($B1391="Onsite",INDEX(tbl_Onsite[Cost Centre],$BI1391),IF($B1391="Production",INDEX(tbl_Production[Cost Centre],$BI1391),INDEX(tbl_Consulting[Cost Centre],$BI1391)))&amp;"")</f>
        <v/>
      </c>
      <c r="I1391" s="10">
        <f>IF($BI1391="","",IF($B1391="Onsite",INDEX(tbl_Onsite[Invoice Type],$BI1391),IF($B1391="Production",INDEX(tbl_Production[Invoice Type],$BI1391),INDEX(tbl_Consulting[Invoice Type],$BI1391)))&amp;"")</f>
        <v/>
      </c>
      <c r="J1391" s="10">
        <f>IF($BI1391="","",IF($B1391="Onsite",INDEX(tbl_Onsite[Tax Code],$BI1391),IF($B1391="Production",INDEX(tbl_Production[Tax Code],$BI1391),INDEX(tbl_Consulting[Tax Code],$BI1391)))&amp;"")</f>
        <v/>
      </c>
      <c r="K1391" s="10">
        <f>IF(H1391="","",IFERROR(INDEX(lst_CCtoGL,MATCH(H1391,lst_CCforGL,0)),""))</f>
        <v/>
      </c>
      <c r="L1391" s="10">
        <f>IF($BI1391="","",IF($B1391="Onsite",INDEX(tbl_Onsite[PO / Reference],$BI1391),IF($B1391="Production",INDEX(tbl_Production[Current RMS No],$BI1391),INDEX(tbl_Consulting[Qwilr Quote],$BI1391)))&amp;"")</f>
        <v/>
      </c>
      <c r="M1391" s="10">
        <f>IF($BI1391="","",IF($B1391="Onsite",INDEX(tbl_Onsite[Notes],$BI1391),IF($B1391="Production",INDEX(tbl_Production[Notes],$BI1391),INDEX(tbl_Consulting[Notes],$BI1391)))&amp;"")</f>
        <v/>
      </c>
      <c r="N1391" s="11">
        <f>IF($BI1391="","",IF(IF($B1391="Onsite",INDEX(tbl_Onsite[Expected Revenue Ex GST],$BI1391),IF($B1391="Production",INDEX(tbl_Production[Expected Revenue Ex GST],$BI1391),INDEX(tbl_Consulting[Expected Revenue Ex GST],$BI1391)))="","",IF($B1391="Onsite",INDEX(tbl_Onsite[Expected Revenue Ex GST],$BI1391),IF($B1391="Production",INDEX(tbl_Production[Expected Revenue Ex GST],$BI1391),INDEX(tbl_Consulting[Expected Revenue Ex GST],$BI1391)))))</f>
        <v/>
      </c>
      <c r="O1391" s="11">
        <f>IF(AND($C1391="",NOT(COUNTA($S1391:$BB1391)&gt;0)),"",SUM(U1391,X1391,AA1391,AD1391,AG1391,AJ1391,AM1391,AP1391,AS1391,AV1391,AY1391,BB1391))</f>
        <v/>
      </c>
      <c r="P1391" s="11">
        <f>IF(O1391="","",N(N1391)-O1391)</f>
        <v/>
      </c>
      <c r="Q1391" s="10">
        <f>IF(O1391="","",IF($C1391="","Invoice on empty job row",IF(N1391="",IF(ROUND(O1391,2)=0,"No dept value","Invoiced - no dept value"),IF(ROUND(O1391,2)=0,"Not invoiced - to invoice",IF(ROUND(P1391,2)=0,"Agrees",IF(P1391&gt;0,"Dept higher - to invoice","Xero higher - check dept"))))))</f>
        <v/>
      </c>
      <c r="R1391" s="10">
        <f>IF(AND($C1391="",NOT(COUNTA($S1391:$BB1391)&gt;0),$BI1391&lt;&gt;""),"",MID(IF($BI1391="","; Row ID not found on the department sheet - a row was deleted","")&amp;IF(AND($C1391="",COUNTA($S1391:$BB1391)&gt;0),"; Invoice entered but the department row has no job number","")&amp;IF(E1391="CHECK","; Job number not in the Xero job list","")&amp;IF(AND($C1391&lt;&gt;"",COUNTIF($C$7:$C$1506,$C1391)&gt;1),"; Job number on more than one row","")&amp;IF(AND($C1391&lt;&gt;"",H1391=""),"; Dept has not set a cost centre","")&amp;IF(AND($C1391&lt;&gt;"",J1391=""),"; Dept has not set a tax code","")&amp;IF(AND($C1391&lt;&gt;"",N1391=""),"; Dept has not entered an expected value","")&amp;IF((IF(OR(COUNTA(S1391:U1391)=0,AND(COUNTA(S1391:U1391)=3,ISNUMBER(U1391))),0,1)+IF(OR(COUNTA(V1391:X1391)=0,AND(COUNTA(V1391:X1391)=3,ISNUMBER(X1391))),0,1)+IF(OR(COUNTA(Y1391:AA1391)=0,AND(COUNTA(Y1391:AA1391)=3,ISNUMBER(AA1391))),0,1)+IF(OR(COUNTA(AB1391:AD1391)=0,AND(COUNTA(AB1391:AD1391)=3,ISNUMBER(AD1391))),0,1)+IF(OR(COUNTA(AE1391:AG1391)=0,AND(COUNTA(AE1391:AG1391)=3,ISNUMBER(AG1391))),0,1)+IF(OR(COUNTA(AH1391:AJ1391)=0,AND(COUNTA(AH1391:AJ1391)=3,ISNUMBER(AJ1391))),0,1)+IF(OR(COUNTA(AK1391:AM1391)=0,AND(COUNTA(AK1391:AM1391)=3,ISNUMBER(AM1391))),0,1)+IF(OR(COUNTA(AN1391:AP1391)=0,AND(COUNTA(AN1391:AP1391)=3,ISNUMBER(AP1391))),0,1)+IF(OR(COUNTA(AQ1391:AS1391)=0,AND(COUNTA(AQ1391:AS1391)=3,ISNUMBER(AS1391))),0,1)+IF(OR(COUNTA(AT1391:AV1391)=0,AND(COUNTA(AT1391:AV1391)=3,ISNUMBER(AV1391))),0,1)+IF(OR(COUNTA(AW1391:AY1391)=0,AND(COUNTA(AW1391:AY1391)=3,ISNUMBER(AY1391))),0,1)+IF(OR(COUNTA(AZ1391:BB1391)=0,AND(COUNTA(AZ1391:BB1391)=3,ISNUMBER(BB1391))),0,1))&gt;0,"; An invoice is incomplete (needs No, Date and a number in Ex GST)","")&amp;IF((IF(T1391="",0,IFERROR(--(EOMONTH(T1391,0)&lt;&gt;S$5),1))+IF(W1391="",0,IFERROR(--(EOMONTH(W1391,0)&lt;&gt;V$5),1))+IF(Z1391="",0,IFERROR(--(EOMONTH(Z1391,0)&lt;&gt;Y$5),1))+IF(AC1391="",0,IFERROR(--(EOMONTH(AC1391,0)&lt;&gt;AB$5),1))+IF(AF1391="",0,IFERROR(--(EOMONTH(AF1391,0)&lt;&gt;AE$5),1))+IF(AI1391="",0,IFERROR(--(EOMONTH(AI1391,0)&lt;&gt;AH$5),1))+IF(AL1391="",0,IFERROR(--(EOMONTH(AL1391,0)&lt;&gt;AK$5),1))+IF(AO1391="",0,IFERROR(--(EOMONTH(AO1391,0)&lt;&gt;AN$5),1))+IF(AR1391="",0,IFERROR(--(EOMONTH(AR1391,0)&lt;&gt;AQ$5),1))+IF(AU1391="",0,IFERROR(--(EOMONTH(AU1391,0)&lt;&gt;AT$5),1))+IF(AX1391="",0,IFERROR(--(EOMONTH(AX1391,0)&lt;&gt;AW$5),1))+IF(BA1391="",0,IFERROR(--(EOMONTH(BA1391,0)&lt;&gt;AZ$5),1)))&gt;0,"; An invoice date is not in the month it is typed under",""),3,500))</f>
        <v/>
      </c>
      <c r="S1391" s="12" t="n"/>
      <c r="T1391" s="13" t="n"/>
      <c r="U1391" s="14" t="n"/>
      <c r="V1391" s="12" t="n"/>
      <c r="W1391" s="13" t="n"/>
      <c r="X1391" s="14" t="n"/>
      <c r="Y1391" s="12" t="n"/>
      <c r="Z1391" s="13" t="n"/>
      <c r="AA1391" s="14" t="n"/>
      <c r="AB1391" s="12" t="n"/>
      <c r="AC1391" s="13" t="n"/>
      <c r="AD1391" s="14" t="n"/>
      <c r="AE1391" s="12" t="n"/>
      <c r="AF1391" s="13" t="n"/>
      <c r="AG1391" s="14" t="n"/>
      <c r="AH1391" s="12" t="n"/>
      <c r="AI1391" s="13" t="n"/>
      <c r="AJ1391" s="14" t="n"/>
      <c r="AK1391" s="12" t="n"/>
      <c r="AL1391" s="13" t="n"/>
      <c r="AM1391" s="14" t="n"/>
      <c r="AN1391" s="12" t="n"/>
      <c r="AO1391" s="13" t="n"/>
      <c r="AP1391" s="14" t="n"/>
      <c r="AQ1391" s="12" t="n"/>
      <c r="AR1391" s="13" t="n"/>
      <c r="AS1391" s="14" t="n"/>
      <c r="AT1391" s="12" t="n"/>
      <c r="AU1391" s="13" t="n"/>
      <c r="AV1391" s="14" t="n"/>
      <c r="AW1391" s="12" t="n"/>
      <c r="AX1391" s="13" t="n"/>
      <c r="AY1391" s="14" t="n"/>
      <c r="AZ1391" s="12" t="n"/>
      <c r="BA1391" s="13" t="n"/>
      <c r="BB1391" s="14" t="n"/>
      <c r="BC1391" s="11">
        <f>IF(O1391="","",IF(J1391="GST 10%",ROUND(O1391*set_GSTRate,2),0))</f>
        <v/>
      </c>
      <c r="BD1391" s="11">
        <f>IF(O1391="","",O1391+BC1391)</f>
        <v/>
      </c>
      <c r="BE1391" s="15">
        <f>IF(O1391="","",COUNTA(S1391,V1391,Y1391,AB1391,AE1391,AH1391,AK1391,AN1391,AQ1391,AT1391,AW1391,AZ1391))</f>
        <v/>
      </c>
      <c r="BF1391" s="16">
        <f>IF(COUNT(T1391,W1391,Z1391,AC1391,AF1391,AI1391,AL1391,AO1391,AR1391,AU1391,AX1391,BA1391)=0,"",MAX(T1391,W1391,Z1391,AC1391,AF1391,AI1391,AL1391,AO1391,AR1391,AU1391,AX1391,BA1391))</f>
        <v/>
      </c>
      <c r="BG1391" s="10">
        <f>MID(IF(S1391="","",", "&amp;S1391)&amp;IF(V1391="","",", "&amp;V1391)&amp;IF(Y1391="","",", "&amp;Y1391)&amp;IF(AB1391="","",", "&amp;AB1391)&amp;IF(AE1391="","",", "&amp;AE1391)&amp;IF(AH1391="","",", "&amp;AH1391)&amp;IF(AK1391="","",", "&amp;AK1391)&amp;IF(AN1391="","",", "&amp;AN1391)&amp;IF(AQ1391="","",", "&amp;AQ1391)&amp;IF(AT1391="","",", "&amp;AT1391)&amp;IF(AW1391="","",", "&amp;AW1391)&amp;IF(AZ1391="","",", "&amp;AZ1391),3,500)</f>
        <v/>
      </c>
      <c r="BH1391" s="12" t="n"/>
      <c r="BI1391" s="15">
        <f>IFERROR(MATCH($A1391,IF($B1391="Onsite",tbl_Onsite[Row ID],IF($B1391="Production",tbl_Production[Row ID],tbl_Consulting[Row ID])),0),"")</f>
        <v/>
      </c>
    </row>
    <row r="1392">
      <c r="A1392" s="10" t="inlineStr">
        <is>
          <t>CON-0386</t>
        </is>
      </c>
      <c r="B1392" s="10" t="inlineStr">
        <is>
          <t>Consulting</t>
        </is>
      </c>
      <c r="C1392" s="10">
        <f>IF($BI1392="","",IF($B1392="Onsite",INDEX(tbl_Onsite[Job Number],$BI1392),IF($B1392="Production",INDEX(tbl_Production[Job Number],$BI1392),INDEX(tbl_Consulting[Job Number],$BI1392)))&amp;"")</f>
        <v/>
      </c>
      <c r="D1392" s="10">
        <f>IF($BI1392="","",IF($B1392="Onsite",INDEX(tbl_Onsite[Client],$BI1392),IF($B1392="Production",INDEX(tbl_Production[Client],$BI1392),INDEX(tbl_Consulting[Client],$BI1392)))&amp;"")</f>
        <v/>
      </c>
      <c r="E1392" s="10">
        <f>IF($C1392="","",IF(COUNTIF(lst_Jobs,$C1392)&gt;0,"OK","CHECK"))</f>
        <v/>
      </c>
      <c r="F1392" s="10">
        <f>IF($C1392="","",IFERROR(INDEX(lst_JobName,MATCH($C1392,lst_Jobs,0)),""))</f>
        <v/>
      </c>
      <c r="G1392" s="10">
        <f>IF($BI1392="","",IF($B1392="Onsite",INDEX(tbl_Onsite[Job Description],$BI1392),IF($B1392="Production",INDEX(tbl_Production[Job Description],$BI1392),INDEX(tbl_Consulting[Job Description],$BI1392)))&amp;"")</f>
        <v/>
      </c>
      <c r="H1392" s="10">
        <f>IF($BI1392="","",IF($B1392="Onsite",INDEX(tbl_Onsite[Cost Centre],$BI1392),IF($B1392="Production",INDEX(tbl_Production[Cost Centre],$BI1392),INDEX(tbl_Consulting[Cost Centre],$BI1392)))&amp;"")</f>
        <v/>
      </c>
      <c r="I1392" s="10">
        <f>IF($BI1392="","",IF($B1392="Onsite",INDEX(tbl_Onsite[Invoice Type],$BI1392),IF($B1392="Production",INDEX(tbl_Production[Invoice Type],$BI1392),INDEX(tbl_Consulting[Invoice Type],$BI1392)))&amp;"")</f>
        <v/>
      </c>
      <c r="J1392" s="10">
        <f>IF($BI1392="","",IF($B1392="Onsite",INDEX(tbl_Onsite[Tax Code],$BI1392),IF($B1392="Production",INDEX(tbl_Production[Tax Code],$BI1392),INDEX(tbl_Consulting[Tax Code],$BI1392)))&amp;"")</f>
        <v/>
      </c>
      <c r="K1392" s="10">
        <f>IF(H1392="","",IFERROR(INDEX(lst_CCtoGL,MATCH(H1392,lst_CCforGL,0)),""))</f>
        <v/>
      </c>
      <c r="L1392" s="10">
        <f>IF($BI1392="","",IF($B1392="Onsite",INDEX(tbl_Onsite[PO / Reference],$BI1392),IF($B1392="Production",INDEX(tbl_Production[Current RMS No],$BI1392),INDEX(tbl_Consulting[Qwilr Quote],$BI1392)))&amp;"")</f>
        <v/>
      </c>
      <c r="M1392" s="10">
        <f>IF($BI1392="","",IF($B1392="Onsite",INDEX(tbl_Onsite[Notes],$BI1392),IF($B1392="Production",INDEX(tbl_Production[Notes],$BI1392),INDEX(tbl_Consulting[Notes],$BI1392)))&amp;"")</f>
        <v/>
      </c>
      <c r="N1392" s="11">
        <f>IF($BI1392="","",IF(IF($B1392="Onsite",INDEX(tbl_Onsite[Expected Revenue Ex GST],$BI1392),IF($B1392="Production",INDEX(tbl_Production[Expected Revenue Ex GST],$BI1392),INDEX(tbl_Consulting[Expected Revenue Ex GST],$BI1392)))="","",IF($B1392="Onsite",INDEX(tbl_Onsite[Expected Revenue Ex GST],$BI1392),IF($B1392="Production",INDEX(tbl_Production[Expected Revenue Ex GST],$BI1392),INDEX(tbl_Consulting[Expected Revenue Ex GST],$BI1392)))))</f>
        <v/>
      </c>
      <c r="O1392" s="11">
        <f>IF(AND($C1392="",NOT(COUNTA($S1392:$BB1392)&gt;0)),"",SUM(U1392,X1392,AA1392,AD1392,AG1392,AJ1392,AM1392,AP1392,AS1392,AV1392,AY1392,BB1392))</f>
        <v/>
      </c>
      <c r="P1392" s="11">
        <f>IF(O1392="","",N(N1392)-O1392)</f>
        <v/>
      </c>
      <c r="Q1392" s="10">
        <f>IF(O1392="","",IF($C1392="","Invoice on empty job row",IF(N1392="",IF(ROUND(O1392,2)=0,"No dept value","Invoiced - no dept value"),IF(ROUND(O1392,2)=0,"Not invoiced - to invoice",IF(ROUND(P1392,2)=0,"Agrees",IF(P1392&gt;0,"Dept higher - to invoice","Xero higher - check dept"))))))</f>
        <v/>
      </c>
      <c r="R1392" s="10">
        <f>IF(AND($C1392="",NOT(COUNTA($S1392:$BB1392)&gt;0),$BI1392&lt;&gt;""),"",MID(IF($BI1392="","; Row ID not found on the department sheet - a row was deleted","")&amp;IF(AND($C1392="",COUNTA($S1392:$BB1392)&gt;0),"; Invoice entered but the department row has no job number","")&amp;IF(E1392="CHECK","; Job number not in the Xero job list","")&amp;IF(AND($C1392&lt;&gt;"",COUNTIF($C$7:$C$1506,$C1392)&gt;1),"; Job number on more than one row","")&amp;IF(AND($C1392&lt;&gt;"",H1392=""),"; Dept has not set a cost centre","")&amp;IF(AND($C1392&lt;&gt;"",J1392=""),"; Dept has not set a tax code","")&amp;IF(AND($C1392&lt;&gt;"",N1392=""),"; Dept has not entered an expected value","")&amp;IF((IF(OR(COUNTA(S1392:U1392)=0,AND(COUNTA(S1392:U1392)=3,ISNUMBER(U1392))),0,1)+IF(OR(COUNTA(V1392:X1392)=0,AND(COUNTA(V1392:X1392)=3,ISNUMBER(X1392))),0,1)+IF(OR(COUNTA(Y1392:AA1392)=0,AND(COUNTA(Y1392:AA1392)=3,ISNUMBER(AA1392))),0,1)+IF(OR(COUNTA(AB1392:AD1392)=0,AND(COUNTA(AB1392:AD1392)=3,ISNUMBER(AD1392))),0,1)+IF(OR(COUNTA(AE1392:AG1392)=0,AND(COUNTA(AE1392:AG1392)=3,ISNUMBER(AG1392))),0,1)+IF(OR(COUNTA(AH1392:AJ1392)=0,AND(COUNTA(AH1392:AJ1392)=3,ISNUMBER(AJ1392))),0,1)+IF(OR(COUNTA(AK1392:AM1392)=0,AND(COUNTA(AK1392:AM1392)=3,ISNUMBER(AM1392))),0,1)+IF(OR(COUNTA(AN1392:AP1392)=0,AND(COUNTA(AN1392:AP1392)=3,ISNUMBER(AP1392))),0,1)+IF(OR(COUNTA(AQ1392:AS1392)=0,AND(COUNTA(AQ1392:AS1392)=3,ISNUMBER(AS1392))),0,1)+IF(OR(COUNTA(AT1392:AV1392)=0,AND(COUNTA(AT1392:AV1392)=3,ISNUMBER(AV1392))),0,1)+IF(OR(COUNTA(AW1392:AY1392)=0,AND(COUNTA(AW1392:AY1392)=3,ISNUMBER(AY1392))),0,1)+IF(OR(COUNTA(AZ1392:BB1392)=0,AND(COUNTA(AZ1392:BB1392)=3,ISNUMBER(BB1392))),0,1))&gt;0,"; An invoice is incomplete (needs No, Date and a number in Ex GST)","")&amp;IF((IF(T1392="",0,IFERROR(--(EOMONTH(T1392,0)&lt;&gt;S$5),1))+IF(W1392="",0,IFERROR(--(EOMONTH(W1392,0)&lt;&gt;V$5),1))+IF(Z1392="",0,IFERROR(--(EOMONTH(Z1392,0)&lt;&gt;Y$5),1))+IF(AC1392="",0,IFERROR(--(EOMONTH(AC1392,0)&lt;&gt;AB$5),1))+IF(AF1392="",0,IFERROR(--(EOMONTH(AF1392,0)&lt;&gt;AE$5),1))+IF(AI1392="",0,IFERROR(--(EOMONTH(AI1392,0)&lt;&gt;AH$5),1))+IF(AL1392="",0,IFERROR(--(EOMONTH(AL1392,0)&lt;&gt;AK$5),1))+IF(AO1392="",0,IFERROR(--(EOMONTH(AO1392,0)&lt;&gt;AN$5),1))+IF(AR1392="",0,IFERROR(--(EOMONTH(AR1392,0)&lt;&gt;AQ$5),1))+IF(AU1392="",0,IFERROR(--(EOMONTH(AU1392,0)&lt;&gt;AT$5),1))+IF(AX1392="",0,IFERROR(--(EOMONTH(AX1392,0)&lt;&gt;AW$5),1))+IF(BA1392="",0,IFERROR(--(EOMONTH(BA1392,0)&lt;&gt;AZ$5),1)))&gt;0,"; An invoice date is not in the month it is typed under",""),3,500))</f>
        <v/>
      </c>
      <c r="S1392" s="12" t="n"/>
      <c r="T1392" s="13" t="n"/>
      <c r="U1392" s="14" t="n"/>
      <c r="V1392" s="12" t="n"/>
      <c r="W1392" s="13" t="n"/>
      <c r="X1392" s="14" t="n"/>
      <c r="Y1392" s="12" t="n"/>
      <c r="Z1392" s="13" t="n"/>
      <c r="AA1392" s="14" t="n"/>
      <c r="AB1392" s="12" t="n"/>
      <c r="AC1392" s="13" t="n"/>
      <c r="AD1392" s="14" t="n"/>
      <c r="AE1392" s="12" t="n"/>
      <c r="AF1392" s="13" t="n"/>
      <c r="AG1392" s="14" t="n"/>
      <c r="AH1392" s="12" t="n"/>
      <c r="AI1392" s="13" t="n"/>
      <c r="AJ1392" s="14" t="n"/>
      <c r="AK1392" s="12" t="n"/>
      <c r="AL1392" s="13" t="n"/>
      <c r="AM1392" s="14" t="n"/>
      <c r="AN1392" s="12" t="n"/>
      <c r="AO1392" s="13" t="n"/>
      <c r="AP1392" s="14" t="n"/>
      <c r="AQ1392" s="12" t="n"/>
      <c r="AR1392" s="13" t="n"/>
      <c r="AS1392" s="14" t="n"/>
      <c r="AT1392" s="12" t="n"/>
      <c r="AU1392" s="13" t="n"/>
      <c r="AV1392" s="14" t="n"/>
      <c r="AW1392" s="12" t="n"/>
      <c r="AX1392" s="13" t="n"/>
      <c r="AY1392" s="14" t="n"/>
      <c r="AZ1392" s="12" t="n"/>
      <c r="BA1392" s="13" t="n"/>
      <c r="BB1392" s="14" t="n"/>
      <c r="BC1392" s="11">
        <f>IF(O1392="","",IF(J1392="GST 10%",ROUND(O1392*set_GSTRate,2),0))</f>
        <v/>
      </c>
      <c r="BD1392" s="11">
        <f>IF(O1392="","",O1392+BC1392)</f>
        <v/>
      </c>
      <c r="BE1392" s="15">
        <f>IF(O1392="","",COUNTA(S1392,V1392,Y1392,AB1392,AE1392,AH1392,AK1392,AN1392,AQ1392,AT1392,AW1392,AZ1392))</f>
        <v/>
      </c>
      <c r="BF1392" s="16">
        <f>IF(COUNT(T1392,W1392,Z1392,AC1392,AF1392,AI1392,AL1392,AO1392,AR1392,AU1392,AX1392,BA1392)=0,"",MAX(T1392,W1392,Z1392,AC1392,AF1392,AI1392,AL1392,AO1392,AR1392,AU1392,AX1392,BA1392))</f>
        <v/>
      </c>
      <c r="BG1392" s="10">
        <f>MID(IF(S1392="","",", "&amp;S1392)&amp;IF(V1392="","",", "&amp;V1392)&amp;IF(Y1392="","",", "&amp;Y1392)&amp;IF(AB1392="","",", "&amp;AB1392)&amp;IF(AE1392="","",", "&amp;AE1392)&amp;IF(AH1392="","",", "&amp;AH1392)&amp;IF(AK1392="","",", "&amp;AK1392)&amp;IF(AN1392="","",", "&amp;AN1392)&amp;IF(AQ1392="","",", "&amp;AQ1392)&amp;IF(AT1392="","",", "&amp;AT1392)&amp;IF(AW1392="","",", "&amp;AW1392)&amp;IF(AZ1392="","",", "&amp;AZ1392),3,500)</f>
        <v/>
      </c>
      <c r="BH1392" s="12" t="n"/>
      <c r="BI1392" s="15">
        <f>IFERROR(MATCH($A1392,IF($B1392="Onsite",tbl_Onsite[Row ID],IF($B1392="Production",tbl_Production[Row ID],tbl_Consulting[Row ID])),0),"")</f>
        <v/>
      </c>
    </row>
    <row r="1393">
      <c r="A1393" s="10" t="inlineStr">
        <is>
          <t>CON-0387</t>
        </is>
      </c>
      <c r="B1393" s="10" t="inlineStr">
        <is>
          <t>Consulting</t>
        </is>
      </c>
      <c r="C1393" s="10">
        <f>IF($BI1393="","",IF($B1393="Onsite",INDEX(tbl_Onsite[Job Number],$BI1393),IF($B1393="Production",INDEX(tbl_Production[Job Number],$BI1393),INDEX(tbl_Consulting[Job Number],$BI1393)))&amp;"")</f>
        <v/>
      </c>
      <c r="D1393" s="10">
        <f>IF($BI1393="","",IF($B1393="Onsite",INDEX(tbl_Onsite[Client],$BI1393),IF($B1393="Production",INDEX(tbl_Production[Client],$BI1393),INDEX(tbl_Consulting[Client],$BI1393)))&amp;"")</f>
        <v/>
      </c>
      <c r="E1393" s="10">
        <f>IF($C1393="","",IF(COUNTIF(lst_Jobs,$C1393)&gt;0,"OK","CHECK"))</f>
        <v/>
      </c>
      <c r="F1393" s="10">
        <f>IF($C1393="","",IFERROR(INDEX(lst_JobName,MATCH($C1393,lst_Jobs,0)),""))</f>
        <v/>
      </c>
      <c r="G1393" s="10">
        <f>IF($BI1393="","",IF($B1393="Onsite",INDEX(tbl_Onsite[Job Description],$BI1393),IF($B1393="Production",INDEX(tbl_Production[Job Description],$BI1393),INDEX(tbl_Consulting[Job Description],$BI1393)))&amp;"")</f>
        <v/>
      </c>
      <c r="H1393" s="10">
        <f>IF($BI1393="","",IF($B1393="Onsite",INDEX(tbl_Onsite[Cost Centre],$BI1393),IF($B1393="Production",INDEX(tbl_Production[Cost Centre],$BI1393),INDEX(tbl_Consulting[Cost Centre],$BI1393)))&amp;"")</f>
        <v/>
      </c>
      <c r="I1393" s="10">
        <f>IF($BI1393="","",IF($B1393="Onsite",INDEX(tbl_Onsite[Invoice Type],$BI1393),IF($B1393="Production",INDEX(tbl_Production[Invoice Type],$BI1393),INDEX(tbl_Consulting[Invoice Type],$BI1393)))&amp;"")</f>
        <v/>
      </c>
      <c r="J1393" s="10">
        <f>IF($BI1393="","",IF($B1393="Onsite",INDEX(tbl_Onsite[Tax Code],$BI1393),IF($B1393="Production",INDEX(tbl_Production[Tax Code],$BI1393),INDEX(tbl_Consulting[Tax Code],$BI1393)))&amp;"")</f>
        <v/>
      </c>
      <c r="K1393" s="10">
        <f>IF(H1393="","",IFERROR(INDEX(lst_CCtoGL,MATCH(H1393,lst_CCforGL,0)),""))</f>
        <v/>
      </c>
      <c r="L1393" s="10">
        <f>IF($BI1393="","",IF($B1393="Onsite",INDEX(tbl_Onsite[PO / Reference],$BI1393),IF($B1393="Production",INDEX(tbl_Production[Current RMS No],$BI1393),INDEX(tbl_Consulting[Qwilr Quote],$BI1393)))&amp;"")</f>
        <v/>
      </c>
      <c r="M1393" s="10">
        <f>IF($BI1393="","",IF($B1393="Onsite",INDEX(tbl_Onsite[Notes],$BI1393),IF($B1393="Production",INDEX(tbl_Production[Notes],$BI1393),INDEX(tbl_Consulting[Notes],$BI1393)))&amp;"")</f>
        <v/>
      </c>
      <c r="N1393" s="11">
        <f>IF($BI1393="","",IF(IF($B1393="Onsite",INDEX(tbl_Onsite[Expected Revenue Ex GST],$BI1393),IF($B1393="Production",INDEX(tbl_Production[Expected Revenue Ex GST],$BI1393),INDEX(tbl_Consulting[Expected Revenue Ex GST],$BI1393)))="","",IF($B1393="Onsite",INDEX(tbl_Onsite[Expected Revenue Ex GST],$BI1393),IF($B1393="Production",INDEX(tbl_Production[Expected Revenue Ex GST],$BI1393),INDEX(tbl_Consulting[Expected Revenue Ex GST],$BI1393)))))</f>
        <v/>
      </c>
      <c r="O1393" s="11">
        <f>IF(AND($C1393="",NOT(COUNTA($S1393:$BB1393)&gt;0)),"",SUM(U1393,X1393,AA1393,AD1393,AG1393,AJ1393,AM1393,AP1393,AS1393,AV1393,AY1393,BB1393))</f>
        <v/>
      </c>
      <c r="P1393" s="11">
        <f>IF(O1393="","",N(N1393)-O1393)</f>
        <v/>
      </c>
      <c r="Q1393" s="10">
        <f>IF(O1393="","",IF($C1393="","Invoice on empty job row",IF(N1393="",IF(ROUND(O1393,2)=0,"No dept value","Invoiced - no dept value"),IF(ROUND(O1393,2)=0,"Not invoiced - to invoice",IF(ROUND(P1393,2)=0,"Agrees",IF(P1393&gt;0,"Dept higher - to invoice","Xero higher - check dept"))))))</f>
        <v/>
      </c>
      <c r="R1393" s="10">
        <f>IF(AND($C1393="",NOT(COUNTA($S1393:$BB1393)&gt;0),$BI1393&lt;&gt;""),"",MID(IF($BI1393="","; Row ID not found on the department sheet - a row was deleted","")&amp;IF(AND($C1393="",COUNTA($S1393:$BB1393)&gt;0),"; Invoice entered but the department row has no job number","")&amp;IF(E1393="CHECK","; Job number not in the Xero job list","")&amp;IF(AND($C1393&lt;&gt;"",COUNTIF($C$7:$C$1506,$C1393)&gt;1),"; Job number on more than one row","")&amp;IF(AND($C1393&lt;&gt;"",H1393=""),"; Dept has not set a cost centre","")&amp;IF(AND($C1393&lt;&gt;"",J1393=""),"; Dept has not set a tax code","")&amp;IF(AND($C1393&lt;&gt;"",N1393=""),"; Dept has not entered an expected value","")&amp;IF((IF(OR(COUNTA(S1393:U1393)=0,AND(COUNTA(S1393:U1393)=3,ISNUMBER(U1393))),0,1)+IF(OR(COUNTA(V1393:X1393)=0,AND(COUNTA(V1393:X1393)=3,ISNUMBER(X1393))),0,1)+IF(OR(COUNTA(Y1393:AA1393)=0,AND(COUNTA(Y1393:AA1393)=3,ISNUMBER(AA1393))),0,1)+IF(OR(COUNTA(AB1393:AD1393)=0,AND(COUNTA(AB1393:AD1393)=3,ISNUMBER(AD1393))),0,1)+IF(OR(COUNTA(AE1393:AG1393)=0,AND(COUNTA(AE1393:AG1393)=3,ISNUMBER(AG1393))),0,1)+IF(OR(COUNTA(AH1393:AJ1393)=0,AND(COUNTA(AH1393:AJ1393)=3,ISNUMBER(AJ1393))),0,1)+IF(OR(COUNTA(AK1393:AM1393)=0,AND(COUNTA(AK1393:AM1393)=3,ISNUMBER(AM1393))),0,1)+IF(OR(COUNTA(AN1393:AP1393)=0,AND(COUNTA(AN1393:AP1393)=3,ISNUMBER(AP1393))),0,1)+IF(OR(COUNTA(AQ1393:AS1393)=0,AND(COUNTA(AQ1393:AS1393)=3,ISNUMBER(AS1393))),0,1)+IF(OR(COUNTA(AT1393:AV1393)=0,AND(COUNTA(AT1393:AV1393)=3,ISNUMBER(AV1393))),0,1)+IF(OR(COUNTA(AW1393:AY1393)=0,AND(COUNTA(AW1393:AY1393)=3,ISNUMBER(AY1393))),0,1)+IF(OR(COUNTA(AZ1393:BB1393)=0,AND(COUNTA(AZ1393:BB1393)=3,ISNUMBER(BB1393))),0,1))&gt;0,"; An invoice is incomplete (needs No, Date and a number in Ex GST)","")&amp;IF((IF(T1393="",0,IFERROR(--(EOMONTH(T1393,0)&lt;&gt;S$5),1))+IF(W1393="",0,IFERROR(--(EOMONTH(W1393,0)&lt;&gt;V$5),1))+IF(Z1393="",0,IFERROR(--(EOMONTH(Z1393,0)&lt;&gt;Y$5),1))+IF(AC1393="",0,IFERROR(--(EOMONTH(AC1393,0)&lt;&gt;AB$5),1))+IF(AF1393="",0,IFERROR(--(EOMONTH(AF1393,0)&lt;&gt;AE$5),1))+IF(AI1393="",0,IFERROR(--(EOMONTH(AI1393,0)&lt;&gt;AH$5),1))+IF(AL1393="",0,IFERROR(--(EOMONTH(AL1393,0)&lt;&gt;AK$5),1))+IF(AO1393="",0,IFERROR(--(EOMONTH(AO1393,0)&lt;&gt;AN$5),1))+IF(AR1393="",0,IFERROR(--(EOMONTH(AR1393,0)&lt;&gt;AQ$5),1))+IF(AU1393="",0,IFERROR(--(EOMONTH(AU1393,0)&lt;&gt;AT$5),1))+IF(AX1393="",0,IFERROR(--(EOMONTH(AX1393,0)&lt;&gt;AW$5),1))+IF(BA1393="",0,IFERROR(--(EOMONTH(BA1393,0)&lt;&gt;AZ$5),1)))&gt;0,"; An invoice date is not in the month it is typed under",""),3,500))</f>
        <v/>
      </c>
      <c r="S1393" s="12" t="n"/>
      <c r="T1393" s="13" t="n"/>
      <c r="U1393" s="14" t="n"/>
      <c r="V1393" s="12" t="n"/>
      <c r="W1393" s="13" t="n"/>
      <c r="X1393" s="14" t="n"/>
      <c r="Y1393" s="12" t="n"/>
      <c r="Z1393" s="13" t="n"/>
      <c r="AA1393" s="14" t="n"/>
      <c r="AB1393" s="12" t="n"/>
      <c r="AC1393" s="13" t="n"/>
      <c r="AD1393" s="14" t="n"/>
      <c r="AE1393" s="12" t="n"/>
      <c r="AF1393" s="13" t="n"/>
      <c r="AG1393" s="14" t="n"/>
      <c r="AH1393" s="12" t="n"/>
      <c r="AI1393" s="13" t="n"/>
      <c r="AJ1393" s="14" t="n"/>
      <c r="AK1393" s="12" t="n"/>
      <c r="AL1393" s="13" t="n"/>
      <c r="AM1393" s="14" t="n"/>
      <c r="AN1393" s="12" t="n"/>
      <c r="AO1393" s="13" t="n"/>
      <c r="AP1393" s="14" t="n"/>
      <c r="AQ1393" s="12" t="n"/>
      <c r="AR1393" s="13" t="n"/>
      <c r="AS1393" s="14" t="n"/>
      <c r="AT1393" s="12" t="n"/>
      <c r="AU1393" s="13" t="n"/>
      <c r="AV1393" s="14" t="n"/>
      <c r="AW1393" s="12" t="n"/>
      <c r="AX1393" s="13" t="n"/>
      <c r="AY1393" s="14" t="n"/>
      <c r="AZ1393" s="12" t="n"/>
      <c r="BA1393" s="13" t="n"/>
      <c r="BB1393" s="14" t="n"/>
      <c r="BC1393" s="11">
        <f>IF(O1393="","",IF(J1393="GST 10%",ROUND(O1393*set_GSTRate,2),0))</f>
        <v/>
      </c>
      <c r="BD1393" s="11">
        <f>IF(O1393="","",O1393+BC1393)</f>
        <v/>
      </c>
      <c r="BE1393" s="15">
        <f>IF(O1393="","",COUNTA(S1393,V1393,Y1393,AB1393,AE1393,AH1393,AK1393,AN1393,AQ1393,AT1393,AW1393,AZ1393))</f>
        <v/>
      </c>
      <c r="BF1393" s="16">
        <f>IF(COUNT(T1393,W1393,Z1393,AC1393,AF1393,AI1393,AL1393,AO1393,AR1393,AU1393,AX1393,BA1393)=0,"",MAX(T1393,W1393,Z1393,AC1393,AF1393,AI1393,AL1393,AO1393,AR1393,AU1393,AX1393,BA1393))</f>
        <v/>
      </c>
      <c r="BG1393" s="10">
        <f>MID(IF(S1393="","",", "&amp;S1393)&amp;IF(V1393="","",", "&amp;V1393)&amp;IF(Y1393="","",", "&amp;Y1393)&amp;IF(AB1393="","",", "&amp;AB1393)&amp;IF(AE1393="","",", "&amp;AE1393)&amp;IF(AH1393="","",", "&amp;AH1393)&amp;IF(AK1393="","",", "&amp;AK1393)&amp;IF(AN1393="","",", "&amp;AN1393)&amp;IF(AQ1393="","",", "&amp;AQ1393)&amp;IF(AT1393="","",", "&amp;AT1393)&amp;IF(AW1393="","",", "&amp;AW1393)&amp;IF(AZ1393="","",", "&amp;AZ1393),3,500)</f>
        <v/>
      </c>
      <c r="BH1393" s="12" t="n"/>
      <c r="BI1393" s="15">
        <f>IFERROR(MATCH($A1393,IF($B1393="Onsite",tbl_Onsite[Row ID],IF($B1393="Production",tbl_Production[Row ID],tbl_Consulting[Row ID])),0),"")</f>
        <v/>
      </c>
    </row>
    <row r="1394">
      <c r="A1394" s="10" t="inlineStr">
        <is>
          <t>CON-0388</t>
        </is>
      </c>
      <c r="B1394" s="10" t="inlineStr">
        <is>
          <t>Consulting</t>
        </is>
      </c>
      <c r="C1394" s="10">
        <f>IF($BI1394="","",IF($B1394="Onsite",INDEX(tbl_Onsite[Job Number],$BI1394),IF($B1394="Production",INDEX(tbl_Production[Job Number],$BI1394),INDEX(tbl_Consulting[Job Number],$BI1394)))&amp;"")</f>
        <v/>
      </c>
      <c r="D1394" s="10">
        <f>IF($BI1394="","",IF($B1394="Onsite",INDEX(tbl_Onsite[Client],$BI1394),IF($B1394="Production",INDEX(tbl_Production[Client],$BI1394),INDEX(tbl_Consulting[Client],$BI1394)))&amp;"")</f>
        <v/>
      </c>
      <c r="E1394" s="10">
        <f>IF($C1394="","",IF(COUNTIF(lst_Jobs,$C1394)&gt;0,"OK","CHECK"))</f>
        <v/>
      </c>
      <c r="F1394" s="10">
        <f>IF($C1394="","",IFERROR(INDEX(lst_JobName,MATCH($C1394,lst_Jobs,0)),""))</f>
        <v/>
      </c>
      <c r="G1394" s="10">
        <f>IF($BI1394="","",IF($B1394="Onsite",INDEX(tbl_Onsite[Job Description],$BI1394),IF($B1394="Production",INDEX(tbl_Production[Job Description],$BI1394),INDEX(tbl_Consulting[Job Description],$BI1394)))&amp;"")</f>
        <v/>
      </c>
      <c r="H1394" s="10">
        <f>IF($BI1394="","",IF($B1394="Onsite",INDEX(tbl_Onsite[Cost Centre],$BI1394),IF($B1394="Production",INDEX(tbl_Production[Cost Centre],$BI1394),INDEX(tbl_Consulting[Cost Centre],$BI1394)))&amp;"")</f>
        <v/>
      </c>
      <c r="I1394" s="10">
        <f>IF($BI1394="","",IF($B1394="Onsite",INDEX(tbl_Onsite[Invoice Type],$BI1394),IF($B1394="Production",INDEX(tbl_Production[Invoice Type],$BI1394),INDEX(tbl_Consulting[Invoice Type],$BI1394)))&amp;"")</f>
        <v/>
      </c>
      <c r="J1394" s="10">
        <f>IF($BI1394="","",IF($B1394="Onsite",INDEX(tbl_Onsite[Tax Code],$BI1394),IF($B1394="Production",INDEX(tbl_Production[Tax Code],$BI1394),INDEX(tbl_Consulting[Tax Code],$BI1394)))&amp;"")</f>
        <v/>
      </c>
      <c r="K1394" s="10">
        <f>IF(H1394="","",IFERROR(INDEX(lst_CCtoGL,MATCH(H1394,lst_CCforGL,0)),""))</f>
        <v/>
      </c>
      <c r="L1394" s="10">
        <f>IF($BI1394="","",IF($B1394="Onsite",INDEX(tbl_Onsite[PO / Reference],$BI1394),IF($B1394="Production",INDEX(tbl_Production[Current RMS No],$BI1394),INDEX(tbl_Consulting[Qwilr Quote],$BI1394)))&amp;"")</f>
        <v/>
      </c>
      <c r="M1394" s="10">
        <f>IF($BI1394="","",IF($B1394="Onsite",INDEX(tbl_Onsite[Notes],$BI1394),IF($B1394="Production",INDEX(tbl_Production[Notes],$BI1394),INDEX(tbl_Consulting[Notes],$BI1394)))&amp;"")</f>
        <v/>
      </c>
      <c r="N1394" s="11">
        <f>IF($BI1394="","",IF(IF($B1394="Onsite",INDEX(tbl_Onsite[Expected Revenue Ex GST],$BI1394),IF($B1394="Production",INDEX(tbl_Production[Expected Revenue Ex GST],$BI1394),INDEX(tbl_Consulting[Expected Revenue Ex GST],$BI1394)))="","",IF($B1394="Onsite",INDEX(tbl_Onsite[Expected Revenue Ex GST],$BI1394),IF($B1394="Production",INDEX(tbl_Production[Expected Revenue Ex GST],$BI1394),INDEX(tbl_Consulting[Expected Revenue Ex GST],$BI1394)))))</f>
        <v/>
      </c>
      <c r="O1394" s="11">
        <f>IF(AND($C1394="",NOT(COUNTA($S1394:$BB1394)&gt;0)),"",SUM(U1394,X1394,AA1394,AD1394,AG1394,AJ1394,AM1394,AP1394,AS1394,AV1394,AY1394,BB1394))</f>
        <v/>
      </c>
      <c r="P1394" s="11">
        <f>IF(O1394="","",N(N1394)-O1394)</f>
        <v/>
      </c>
      <c r="Q1394" s="10">
        <f>IF(O1394="","",IF($C1394="","Invoice on empty job row",IF(N1394="",IF(ROUND(O1394,2)=0,"No dept value","Invoiced - no dept value"),IF(ROUND(O1394,2)=0,"Not invoiced - to invoice",IF(ROUND(P1394,2)=0,"Agrees",IF(P1394&gt;0,"Dept higher - to invoice","Xero higher - check dept"))))))</f>
        <v/>
      </c>
      <c r="R1394" s="10">
        <f>IF(AND($C1394="",NOT(COUNTA($S1394:$BB1394)&gt;0),$BI1394&lt;&gt;""),"",MID(IF($BI1394="","; Row ID not found on the department sheet - a row was deleted","")&amp;IF(AND($C1394="",COUNTA($S1394:$BB1394)&gt;0),"; Invoice entered but the department row has no job number","")&amp;IF(E1394="CHECK","; Job number not in the Xero job list","")&amp;IF(AND($C1394&lt;&gt;"",COUNTIF($C$7:$C$1506,$C1394)&gt;1),"; Job number on more than one row","")&amp;IF(AND($C1394&lt;&gt;"",H1394=""),"; Dept has not set a cost centre","")&amp;IF(AND($C1394&lt;&gt;"",J1394=""),"; Dept has not set a tax code","")&amp;IF(AND($C1394&lt;&gt;"",N1394=""),"; Dept has not entered an expected value","")&amp;IF((IF(OR(COUNTA(S1394:U1394)=0,AND(COUNTA(S1394:U1394)=3,ISNUMBER(U1394))),0,1)+IF(OR(COUNTA(V1394:X1394)=0,AND(COUNTA(V1394:X1394)=3,ISNUMBER(X1394))),0,1)+IF(OR(COUNTA(Y1394:AA1394)=0,AND(COUNTA(Y1394:AA1394)=3,ISNUMBER(AA1394))),0,1)+IF(OR(COUNTA(AB1394:AD1394)=0,AND(COUNTA(AB1394:AD1394)=3,ISNUMBER(AD1394))),0,1)+IF(OR(COUNTA(AE1394:AG1394)=0,AND(COUNTA(AE1394:AG1394)=3,ISNUMBER(AG1394))),0,1)+IF(OR(COUNTA(AH1394:AJ1394)=0,AND(COUNTA(AH1394:AJ1394)=3,ISNUMBER(AJ1394))),0,1)+IF(OR(COUNTA(AK1394:AM1394)=0,AND(COUNTA(AK1394:AM1394)=3,ISNUMBER(AM1394))),0,1)+IF(OR(COUNTA(AN1394:AP1394)=0,AND(COUNTA(AN1394:AP1394)=3,ISNUMBER(AP1394))),0,1)+IF(OR(COUNTA(AQ1394:AS1394)=0,AND(COUNTA(AQ1394:AS1394)=3,ISNUMBER(AS1394))),0,1)+IF(OR(COUNTA(AT1394:AV1394)=0,AND(COUNTA(AT1394:AV1394)=3,ISNUMBER(AV1394))),0,1)+IF(OR(COUNTA(AW1394:AY1394)=0,AND(COUNTA(AW1394:AY1394)=3,ISNUMBER(AY1394))),0,1)+IF(OR(COUNTA(AZ1394:BB1394)=0,AND(COUNTA(AZ1394:BB1394)=3,ISNUMBER(BB1394))),0,1))&gt;0,"; An invoice is incomplete (needs No, Date and a number in Ex GST)","")&amp;IF((IF(T1394="",0,IFERROR(--(EOMONTH(T1394,0)&lt;&gt;S$5),1))+IF(W1394="",0,IFERROR(--(EOMONTH(W1394,0)&lt;&gt;V$5),1))+IF(Z1394="",0,IFERROR(--(EOMONTH(Z1394,0)&lt;&gt;Y$5),1))+IF(AC1394="",0,IFERROR(--(EOMONTH(AC1394,0)&lt;&gt;AB$5),1))+IF(AF1394="",0,IFERROR(--(EOMONTH(AF1394,0)&lt;&gt;AE$5),1))+IF(AI1394="",0,IFERROR(--(EOMONTH(AI1394,0)&lt;&gt;AH$5),1))+IF(AL1394="",0,IFERROR(--(EOMONTH(AL1394,0)&lt;&gt;AK$5),1))+IF(AO1394="",0,IFERROR(--(EOMONTH(AO1394,0)&lt;&gt;AN$5),1))+IF(AR1394="",0,IFERROR(--(EOMONTH(AR1394,0)&lt;&gt;AQ$5),1))+IF(AU1394="",0,IFERROR(--(EOMONTH(AU1394,0)&lt;&gt;AT$5),1))+IF(AX1394="",0,IFERROR(--(EOMONTH(AX1394,0)&lt;&gt;AW$5),1))+IF(BA1394="",0,IFERROR(--(EOMONTH(BA1394,0)&lt;&gt;AZ$5),1)))&gt;0,"; An invoice date is not in the month it is typed under",""),3,500))</f>
        <v/>
      </c>
      <c r="S1394" s="12" t="n"/>
      <c r="T1394" s="13" t="n"/>
      <c r="U1394" s="14" t="n"/>
      <c r="V1394" s="12" t="n"/>
      <c r="W1394" s="13" t="n"/>
      <c r="X1394" s="14" t="n"/>
      <c r="Y1394" s="12" t="n"/>
      <c r="Z1394" s="13" t="n"/>
      <c r="AA1394" s="14" t="n"/>
      <c r="AB1394" s="12" t="n"/>
      <c r="AC1394" s="13" t="n"/>
      <c r="AD1394" s="14" t="n"/>
      <c r="AE1394" s="12" t="n"/>
      <c r="AF1394" s="13" t="n"/>
      <c r="AG1394" s="14" t="n"/>
      <c r="AH1394" s="12" t="n"/>
      <c r="AI1394" s="13" t="n"/>
      <c r="AJ1394" s="14" t="n"/>
      <c r="AK1394" s="12" t="n"/>
      <c r="AL1394" s="13" t="n"/>
      <c r="AM1394" s="14" t="n"/>
      <c r="AN1394" s="12" t="n"/>
      <c r="AO1394" s="13" t="n"/>
      <c r="AP1394" s="14" t="n"/>
      <c r="AQ1394" s="12" t="n"/>
      <c r="AR1394" s="13" t="n"/>
      <c r="AS1394" s="14" t="n"/>
      <c r="AT1394" s="12" t="n"/>
      <c r="AU1394" s="13" t="n"/>
      <c r="AV1394" s="14" t="n"/>
      <c r="AW1394" s="12" t="n"/>
      <c r="AX1394" s="13" t="n"/>
      <c r="AY1394" s="14" t="n"/>
      <c r="AZ1394" s="12" t="n"/>
      <c r="BA1394" s="13" t="n"/>
      <c r="BB1394" s="14" t="n"/>
      <c r="BC1394" s="11">
        <f>IF(O1394="","",IF(J1394="GST 10%",ROUND(O1394*set_GSTRate,2),0))</f>
        <v/>
      </c>
      <c r="BD1394" s="11">
        <f>IF(O1394="","",O1394+BC1394)</f>
        <v/>
      </c>
      <c r="BE1394" s="15">
        <f>IF(O1394="","",COUNTA(S1394,V1394,Y1394,AB1394,AE1394,AH1394,AK1394,AN1394,AQ1394,AT1394,AW1394,AZ1394))</f>
        <v/>
      </c>
      <c r="BF1394" s="16">
        <f>IF(COUNT(T1394,W1394,Z1394,AC1394,AF1394,AI1394,AL1394,AO1394,AR1394,AU1394,AX1394,BA1394)=0,"",MAX(T1394,W1394,Z1394,AC1394,AF1394,AI1394,AL1394,AO1394,AR1394,AU1394,AX1394,BA1394))</f>
        <v/>
      </c>
      <c r="BG1394" s="10">
        <f>MID(IF(S1394="","",", "&amp;S1394)&amp;IF(V1394="","",", "&amp;V1394)&amp;IF(Y1394="","",", "&amp;Y1394)&amp;IF(AB1394="","",", "&amp;AB1394)&amp;IF(AE1394="","",", "&amp;AE1394)&amp;IF(AH1394="","",", "&amp;AH1394)&amp;IF(AK1394="","",", "&amp;AK1394)&amp;IF(AN1394="","",", "&amp;AN1394)&amp;IF(AQ1394="","",", "&amp;AQ1394)&amp;IF(AT1394="","",", "&amp;AT1394)&amp;IF(AW1394="","",", "&amp;AW1394)&amp;IF(AZ1394="","",", "&amp;AZ1394),3,500)</f>
        <v/>
      </c>
      <c r="BH1394" s="12" t="n"/>
      <c r="BI1394" s="15">
        <f>IFERROR(MATCH($A1394,IF($B1394="Onsite",tbl_Onsite[Row ID],IF($B1394="Production",tbl_Production[Row ID],tbl_Consulting[Row ID])),0),"")</f>
        <v/>
      </c>
    </row>
    <row r="1395">
      <c r="A1395" s="10" t="inlineStr">
        <is>
          <t>CON-0389</t>
        </is>
      </c>
      <c r="B1395" s="10" t="inlineStr">
        <is>
          <t>Consulting</t>
        </is>
      </c>
      <c r="C1395" s="10">
        <f>IF($BI1395="","",IF($B1395="Onsite",INDEX(tbl_Onsite[Job Number],$BI1395),IF($B1395="Production",INDEX(tbl_Production[Job Number],$BI1395),INDEX(tbl_Consulting[Job Number],$BI1395)))&amp;"")</f>
        <v/>
      </c>
      <c r="D1395" s="10">
        <f>IF($BI1395="","",IF($B1395="Onsite",INDEX(tbl_Onsite[Client],$BI1395),IF($B1395="Production",INDEX(tbl_Production[Client],$BI1395),INDEX(tbl_Consulting[Client],$BI1395)))&amp;"")</f>
        <v/>
      </c>
      <c r="E1395" s="10">
        <f>IF($C1395="","",IF(COUNTIF(lst_Jobs,$C1395)&gt;0,"OK","CHECK"))</f>
        <v/>
      </c>
      <c r="F1395" s="10">
        <f>IF($C1395="","",IFERROR(INDEX(lst_JobName,MATCH($C1395,lst_Jobs,0)),""))</f>
        <v/>
      </c>
      <c r="G1395" s="10">
        <f>IF($BI1395="","",IF($B1395="Onsite",INDEX(tbl_Onsite[Job Description],$BI1395),IF($B1395="Production",INDEX(tbl_Production[Job Description],$BI1395),INDEX(tbl_Consulting[Job Description],$BI1395)))&amp;"")</f>
        <v/>
      </c>
      <c r="H1395" s="10">
        <f>IF($BI1395="","",IF($B1395="Onsite",INDEX(tbl_Onsite[Cost Centre],$BI1395),IF($B1395="Production",INDEX(tbl_Production[Cost Centre],$BI1395),INDEX(tbl_Consulting[Cost Centre],$BI1395)))&amp;"")</f>
        <v/>
      </c>
      <c r="I1395" s="10">
        <f>IF($BI1395="","",IF($B1395="Onsite",INDEX(tbl_Onsite[Invoice Type],$BI1395),IF($B1395="Production",INDEX(tbl_Production[Invoice Type],$BI1395),INDEX(tbl_Consulting[Invoice Type],$BI1395)))&amp;"")</f>
        <v/>
      </c>
      <c r="J1395" s="10">
        <f>IF($BI1395="","",IF($B1395="Onsite",INDEX(tbl_Onsite[Tax Code],$BI1395),IF($B1395="Production",INDEX(tbl_Production[Tax Code],$BI1395),INDEX(tbl_Consulting[Tax Code],$BI1395)))&amp;"")</f>
        <v/>
      </c>
      <c r="K1395" s="10">
        <f>IF(H1395="","",IFERROR(INDEX(lst_CCtoGL,MATCH(H1395,lst_CCforGL,0)),""))</f>
        <v/>
      </c>
      <c r="L1395" s="10">
        <f>IF($BI1395="","",IF($B1395="Onsite",INDEX(tbl_Onsite[PO / Reference],$BI1395),IF($B1395="Production",INDEX(tbl_Production[Current RMS No],$BI1395),INDEX(tbl_Consulting[Qwilr Quote],$BI1395)))&amp;"")</f>
        <v/>
      </c>
      <c r="M1395" s="10">
        <f>IF($BI1395="","",IF($B1395="Onsite",INDEX(tbl_Onsite[Notes],$BI1395),IF($B1395="Production",INDEX(tbl_Production[Notes],$BI1395),INDEX(tbl_Consulting[Notes],$BI1395)))&amp;"")</f>
        <v/>
      </c>
      <c r="N1395" s="11">
        <f>IF($BI1395="","",IF(IF($B1395="Onsite",INDEX(tbl_Onsite[Expected Revenue Ex GST],$BI1395),IF($B1395="Production",INDEX(tbl_Production[Expected Revenue Ex GST],$BI1395),INDEX(tbl_Consulting[Expected Revenue Ex GST],$BI1395)))="","",IF($B1395="Onsite",INDEX(tbl_Onsite[Expected Revenue Ex GST],$BI1395),IF($B1395="Production",INDEX(tbl_Production[Expected Revenue Ex GST],$BI1395),INDEX(tbl_Consulting[Expected Revenue Ex GST],$BI1395)))))</f>
        <v/>
      </c>
      <c r="O1395" s="11">
        <f>IF(AND($C1395="",NOT(COUNTA($S1395:$BB1395)&gt;0)),"",SUM(U1395,X1395,AA1395,AD1395,AG1395,AJ1395,AM1395,AP1395,AS1395,AV1395,AY1395,BB1395))</f>
        <v/>
      </c>
      <c r="P1395" s="11">
        <f>IF(O1395="","",N(N1395)-O1395)</f>
        <v/>
      </c>
      <c r="Q1395" s="10">
        <f>IF(O1395="","",IF($C1395="","Invoice on empty job row",IF(N1395="",IF(ROUND(O1395,2)=0,"No dept value","Invoiced - no dept value"),IF(ROUND(O1395,2)=0,"Not invoiced - to invoice",IF(ROUND(P1395,2)=0,"Agrees",IF(P1395&gt;0,"Dept higher - to invoice","Xero higher - check dept"))))))</f>
        <v/>
      </c>
      <c r="R1395" s="10">
        <f>IF(AND($C1395="",NOT(COUNTA($S1395:$BB1395)&gt;0),$BI1395&lt;&gt;""),"",MID(IF($BI1395="","; Row ID not found on the department sheet - a row was deleted","")&amp;IF(AND($C1395="",COUNTA($S1395:$BB1395)&gt;0),"; Invoice entered but the department row has no job number","")&amp;IF(E1395="CHECK","; Job number not in the Xero job list","")&amp;IF(AND($C1395&lt;&gt;"",COUNTIF($C$7:$C$1506,$C1395)&gt;1),"; Job number on more than one row","")&amp;IF(AND($C1395&lt;&gt;"",H1395=""),"; Dept has not set a cost centre","")&amp;IF(AND($C1395&lt;&gt;"",J1395=""),"; Dept has not set a tax code","")&amp;IF(AND($C1395&lt;&gt;"",N1395=""),"; Dept has not entered an expected value","")&amp;IF((IF(OR(COUNTA(S1395:U1395)=0,AND(COUNTA(S1395:U1395)=3,ISNUMBER(U1395))),0,1)+IF(OR(COUNTA(V1395:X1395)=0,AND(COUNTA(V1395:X1395)=3,ISNUMBER(X1395))),0,1)+IF(OR(COUNTA(Y1395:AA1395)=0,AND(COUNTA(Y1395:AA1395)=3,ISNUMBER(AA1395))),0,1)+IF(OR(COUNTA(AB1395:AD1395)=0,AND(COUNTA(AB1395:AD1395)=3,ISNUMBER(AD1395))),0,1)+IF(OR(COUNTA(AE1395:AG1395)=0,AND(COUNTA(AE1395:AG1395)=3,ISNUMBER(AG1395))),0,1)+IF(OR(COUNTA(AH1395:AJ1395)=0,AND(COUNTA(AH1395:AJ1395)=3,ISNUMBER(AJ1395))),0,1)+IF(OR(COUNTA(AK1395:AM1395)=0,AND(COUNTA(AK1395:AM1395)=3,ISNUMBER(AM1395))),0,1)+IF(OR(COUNTA(AN1395:AP1395)=0,AND(COUNTA(AN1395:AP1395)=3,ISNUMBER(AP1395))),0,1)+IF(OR(COUNTA(AQ1395:AS1395)=0,AND(COUNTA(AQ1395:AS1395)=3,ISNUMBER(AS1395))),0,1)+IF(OR(COUNTA(AT1395:AV1395)=0,AND(COUNTA(AT1395:AV1395)=3,ISNUMBER(AV1395))),0,1)+IF(OR(COUNTA(AW1395:AY1395)=0,AND(COUNTA(AW1395:AY1395)=3,ISNUMBER(AY1395))),0,1)+IF(OR(COUNTA(AZ1395:BB1395)=0,AND(COUNTA(AZ1395:BB1395)=3,ISNUMBER(BB1395))),0,1))&gt;0,"; An invoice is incomplete (needs No, Date and a number in Ex GST)","")&amp;IF((IF(T1395="",0,IFERROR(--(EOMONTH(T1395,0)&lt;&gt;S$5),1))+IF(W1395="",0,IFERROR(--(EOMONTH(W1395,0)&lt;&gt;V$5),1))+IF(Z1395="",0,IFERROR(--(EOMONTH(Z1395,0)&lt;&gt;Y$5),1))+IF(AC1395="",0,IFERROR(--(EOMONTH(AC1395,0)&lt;&gt;AB$5),1))+IF(AF1395="",0,IFERROR(--(EOMONTH(AF1395,0)&lt;&gt;AE$5),1))+IF(AI1395="",0,IFERROR(--(EOMONTH(AI1395,0)&lt;&gt;AH$5),1))+IF(AL1395="",0,IFERROR(--(EOMONTH(AL1395,0)&lt;&gt;AK$5),1))+IF(AO1395="",0,IFERROR(--(EOMONTH(AO1395,0)&lt;&gt;AN$5),1))+IF(AR1395="",0,IFERROR(--(EOMONTH(AR1395,0)&lt;&gt;AQ$5),1))+IF(AU1395="",0,IFERROR(--(EOMONTH(AU1395,0)&lt;&gt;AT$5),1))+IF(AX1395="",0,IFERROR(--(EOMONTH(AX1395,0)&lt;&gt;AW$5),1))+IF(BA1395="",0,IFERROR(--(EOMONTH(BA1395,0)&lt;&gt;AZ$5),1)))&gt;0,"; An invoice date is not in the month it is typed under",""),3,500))</f>
        <v/>
      </c>
      <c r="S1395" s="12" t="n"/>
      <c r="T1395" s="13" t="n"/>
      <c r="U1395" s="14" t="n"/>
      <c r="V1395" s="12" t="n"/>
      <c r="W1395" s="13" t="n"/>
      <c r="X1395" s="14" t="n"/>
      <c r="Y1395" s="12" t="n"/>
      <c r="Z1395" s="13" t="n"/>
      <c r="AA1395" s="14" t="n"/>
      <c r="AB1395" s="12" t="n"/>
      <c r="AC1395" s="13" t="n"/>
      <c r="AD1395" s="14" t="n"/>
      <c r="AE1395" s="12" t="n"/>
      <c r="AF1395" s="13" t="n"/>
      <c r="AG1395" s="14" t="n"/>
      <c r="AH1395" s="12" t="n"/>
      <c r="AI1395" s="13" t="n"/>
      <c r="AJ1395" s="14" t="n"/>
      <c r="AK1395" s="12" t="n"/>
      <c r="AL1395" s="13" t="n"/>
      <c r="AM1395" s="14" t="n"/>
      <c r="AN1395" s="12" t="n"/>
      <c r="AO1395" s="13" t="n"/>
      <c r="AP1395" s="14" t="n"/>
      <c r="AQ1395" s="12" t="n"/>
      <c r="AR1395" s="13" t="n"/>
      <c r="AS1395" s="14" t="n"/>
      <c r="AT1395" s="12" t="n"/>
      <c r="AU1395" s="13" t="n"/>
      <c r="AV1395" s="14" t="n"/>
      <c r="AW1395" s="12" t="n"/>
      <c r="AX1395" s="13" t="n"/>
      <c r="AY1395" s="14" t="n"/>
      <c r="AZ1395" s="12" t="n"/>
      <c r="BA1395" s="13" t="n"/>
      <c r="BB1395" s="14" t="n"/>
      <c r="BC1395" s="11">
        <f>IF(O1395="","",IF(J1395="GST 10%",ROUND(O1395*set_GSTRate,2),0))</f>
        <v/>
      </c>
      <c r="BD1395" s="11">
        <f>IF(O1395="","",O1395+BC1395)</f>
        <v/>
      </c>
      <c r="BE1395" s="15">
        <f>IF(O1395="","",COUNTA(S1395,V1395,Y1395,AB1395,AE1395,AH1395,AK1395,AN1395,AQ1395,AT1395,AW1395,AZ1395))</f>
        <v/>
      </c>
      <c r="BF1395" s="16">
        <f>IF(COUNT(T1395,W1395,Z1395,AC1395,AF1395,AI1395,AL1395,AO1395,AR1395,AU1395,AX1395,BA1395)=0,"",MAX(T1395,W1395,Z1395,AC1395,AF1395,AI1395,AL1395,AO1395,AR1395,AU1395,AX1395,BA1395))</f>
        <v/>
      </c>
      <c r="BG1395" s="10">
        <f>MID(IF(S1395="","",", "&amp;S1395)&amp;IF(V1395="","",", "&amp;V1395)&amp;IF(Y1395="","",", "&amp;Y1395)&amp;IF(AB1395="","",", "&amp;AB1395)&amp;IF(AE1395="","",", "&amp;AE1395)&amp;IF(AH1395="","",", "&amp;AH1395)&amp;IF(AK1395="","",", "&amp;AK1395)&amp;IF(AN1395="","",", "&amp;AN1395)&amp;IF(AQ1395="","",", "&amp;AQ1395)&amp;IF(AT1395="","",", "&amp;AT1395)&amp;IF(AW1395="","",", "&amp;AW1395)&amp;IF(AZ1395="","",", "&amp;AZ1395),3,500)</f>
        <v/>
      </c>
      <c r="BH1395" s="12" t="n"/>
      <c r="BI1395" s="15">
        <f>IFERROR(MATCH($A1395,IF($B1395="Onsite",tbl_Onsite[Row ID],IF($B1395="Production",tbl_Production[Row ID],tbl_Consulting[Row ID])),0),"")</f>
        <v/>
      </c>
    </row>
    <row r="1396">
      <c r="A1396" s="10" t="inlineStr">
        <is>
          <t>CON-0390</t>
        </is>
      </c>
      <c r="B1396" s="10" t="inlineStr">
        <is>
          <t>Consulting</t>
        </is>
      </c>
      <c r="C1396" s="10">
        <f>IF($BI1396="","",IF($B1396="Onsite",INDEX(tbl_Onsite[Job Number],$BI1396),IF($B1396="Production",INDEX(tbl_Production[Job Number],$BI1396),INDEX(tbl_Consulting[Job Number],$BI1396)))&amp;"")</f>
        <v/>
      </c>
      <c r="D1396" s="10">
        <f>IF($BI1396="","",IF($B1396="Onsite",INDEX(tbl_Onsite[Client],$BI1396),IF($B1396="Production",INDEX(tbl_Production[Client],$BI1396),INDEX(tbl_Consulting[Client],$BI1396)))&amp;"")</f>
        <v/>
      </c>
      <c r="E1396" s="10">
        <f>IF($C1396="","",IF(COUNTIF(lst_Jobs,$C1396)&gt;0,"OK","CHECK"))</f>
        <v/>
      </c>
      <c r="F1396" s="10">
        <f>IF($C1396="","",IFERROR(INDEX(lst_JobName,MATCH($C1396,lst_Jobs,0)),""))</f>
        <v/>
      </c>
      <c r="G1396" s="10">
        <f>IF($BI1396="","",IF($B1396="Onsite",INDEX(tbl_Onsite[Job Description],$BI1396),IF($B1396="Production",INDEX(tbl_Production[Job Description],$BI1396),INDEX(tbl_Consulting[Job Description],$BI1396)))&amp;"")</f>
        <v/>
      </c>
      <c r="H1396" s="10">
        <f>IF($BI1396="","",IF($B1396="Onsite",INDEX(tbl_Onsite[Cost Centre],$BI1396),IF($B1396="Production",INDEX(tbl_Production[Cost Centre],$BI1396),INDEX(tbl_Consulting[Cost Centre],$BI1396)))&amp;"")</f>
        <v/>
      </c>
      <c r="I1396" s="10">
        <f>IF($BI1396="","",IF($B1396="Onsite",INDEX(tbl_Onsite[Invoice Type],$BI1396),IF($B1396="Production",INDEX(tbl_Production[Invoice Type],$BI1396),INDEX(tbl_Consulting[Invoice Type],$BI1396)))&amp;"")</f>
        <v/>
      </c>
      <c r="J1396" s="10">
        <f>IF($BI1396="","",IF($B1396="Onsite",INDEX(tbl_Onsite[Tax Code],$BI1396),IF($B1396="Production",INDEX(tbl_Production[Tax Code],$BI1396),INDEX(tbl_Consulting[Tax Code],$BI1396)))&amp;"")</f>
        <v/>
      </c>
      <c r="K1396" s="10">
        <f>IF(H1396="","",IFERROR(INDEX(lst_CCtoGL,MATCH(H1396,lst_CCforGL,0)),""))</f>
        <v/>
      </c>
      <c r="L1396" s="10">
        <f>IF($BI1396="","",IF($B1396="Onsite",INDEX(tbl_Onsite[PO / Reference],$BI1396),IF($B1396="Production",INDEX(tbl_Production[Current RMS No],$BI1396),INDEX(tbl_Consulting[Qwilr Quote],$BI1396)))&amp;"")</f>
        <v/>
      </c>
      <c r="M1396" s="10">
        <f>IF($BI1396="","",IF($B1396="Onsite",INDEX(tbl_Onsite[Notes],$BI1396),IF($B1396="Production",INDEX(tbl_Production[Notes],$BI1396),INDEX(tbl_Consulting[Notes],$BI1396)))&amp;"")</f>
        <v/>
      </c>
      <c r="N1396" s="11">
        <f>IF($BI1396="","",IF(IF($B1396="Onsite",INDEX(tbl_Onsite[Expected Revenue Ex GST],$BI1396),IF($B1396="Production",INDEX(tbl_Production[Expected Revenue Ex GST],$BI1396),INDEX(tbl_Consulting[Expected Revenue Ex GST],$BI1396)))="","",IF($B1396="Onsite",INDEX(tbl_Onsite[Expected Revenue Ex GST],$BI1396),IF($B1396="Production",INDEX(tbl_Production[Expected Revenue Ex GST],$BI1396),INDEX(tbl_Consulting[Expected Revenue Ex GST],$BI1396)))))</f>
        <v/>
      </c>
      <c r="O1396" s="11">
        <f>IF(AND($C1396="",NOT(COUNTA($S1396:$BB1396)&gt;0)),"",SUM(U1396,X1396,AA1396,AD1396,AG1396,AJ1396,AM1396,AP1396,AS1396,AV1396,AY1396,BB1396))</f>
        <v/>
      </c>
      <c r="P1396" s="11">
        <f>IF(O1396="","",N(N1396)-O1396)</f>
        <v/>
      </c>
      <c r="Q1396" s="10">
        <f>IF(O1396="","",IF($C1396="","Invoice on empty job row",IF(N1396="",IF(ROUND(O1396,2)=0,"No dept value","Invoiced - no dept value"),IF(ROUND(O1396,2)=0,"Not invoiced - to invoice",IF(ROUND(P1396,2)=0,"Agrees",IF(P1396&gt;0,"Dept higher - to invoice","Xero higher - check dept"))))))</f>
        <v/>
      </c>
      <c r="R1396" s="10">
        <f>IF(AND($C1396="",NOT(COUNTA($S1396:$BB1396)&gt;0),$BI1396&lt;&gt;""),"",MID(IF($BI1396="","; Row ID not found on the department sheet - a row was deleted","")&amp;IF(AND($C1396="",COUNTA($S1396:$BB1396)&gt;0),"; Invoice entered but the department row has no job number","")&amp;IF(E1396="CHECK","; Job number not in the Xero job list","")&amp;IF(AND($C1396&lt;&gt;"",COUNTIF($C$7:$C$1506,$C1396)&gt;1),"; Job number on more than one row","")&amp;IF(AND($C1396&lt;&gt;"",H1396=""),"; Dept has not set a cost centre","")&amp;IF(AND($C1396&lt;&gt;"",J1396=""),"; Dept has not set a tax code","")&amp;IF(AND($C1396&lt;&gt;"",N1396=""),"; Dept has not entered an expected value","")&amp;IF((IF(OR(COUNTA(S1396:U1396)=0,AND(COUNTA(S1396:U1396)=3,ISNUMBER(U1396))),0,1)+IF(OR(COUNTA(V1396:X1396)=0,AND(COUNTA(V1396:X1396)=3,ISNUMBER(X1396))),0,1)+IF(OR(COUNTA(Y1396:AA1396)=0,AND(COUNTA(Y1396:AA1396)=3,ISNUMBER(AA1396))),0,1)+IF(OR(COUNTA(AB1396:AD1396)=0,AND(COUNTA(AB1396:AD1396)=3,ISNUMBER(AD1396))),0,1)+IF(OR(COUNTA(AE1396:AG1396)=0,AND(COUNTA(AE1396:AG1396)=3,ISNUMBER(AG1396))),0,1)+IF(OR(COUNTA(AH1396:AJ1396)=0,AND(COUNTA(AH1396:AJ1396)=3,ISNUMBER(AJ1396))),0,1)+IF(OR(COUNTA(AK1396:AM1396)=0,AND(COUNTA(AK1396:AM1396)=3,ISNUMBER(AM1396))),0,1)+IF(OR(COUNTA(AN1396:AP1396)=0,AND(COUNTA(AN1396:AP1396)=3,ISNUMBER(AP1396))),0,1)+IF(OR(COUNTA(AQ1396:AS1396)=0,AND(COUNTA(AQ1396:AS1396)=3,ISNUMBER(AS1396))),0,1)+IF(OR(COUNTA(AT1396:AV1396)=0,AND(COUNTA(AT1396:AV1396)=3,ISNUMBER(AV1396))),0,1)+IF(OR(COUNTA(AW1396:AY1396)=0,AND(COUNTA(AW1396:AY1396)=3,ISNUMBER(AY1396))),0,1)+IF(OR(COUNTA(AZ1396:BB1396)=0,AND(COUNTA(AZ1396:BB1396)=3,ISNUMBER(BB1396))),0,1))&gt;0,"; An invoice is incomplete (needs No, Date and a number in Ex GST)","")&amp;IF((IF(T1396="",0,IFERROR(--(EOMONTH(T1396,0)&lt;&gt;S$5),1))+IF(W1396="",0,IFERROR(--(EOMONTH(W1396,0)&lt;&gt;V$5),1))+IF(Z1396="",0,IFERROR(--(EOMONTH(Z1396,0)&lt;&gt;Y$5),1))+IF(AC1396="",0,IFERROR(--(EOMONTH(AC1396,0)&lt;&gt;AB$5),1))+IF(AF1396="",0,IFERROR(--(EOMONTH(AF1396,0)&lt;&gt;AE$5),1))+IF(AI1396="",0,IFERROR(--(EOMONTH(AI1396,0)&lt;&gt;AH$5),1))+IF(AL1396="",0,IFERROR(--(EOMONTH(AL1396,0)&lt;&gt;AK$5),1))+IF(AO1396="",0,IFERROR(--(EOMONTH(AO1396,0)&lt;&gt;AN$5),1))+IF(AR1396="",0,IFERROR(--(EOMONTH(AR1396,0)&lt;&gt;AQ$5),1))+IF(AU1396="",0,IFERROR(--(EOMONTH(AU1396,0)&lt;&gt;AT$5),1))+IF(AX1396="",0,IFERROR(--(EOMONTH(AX1396,0)&lt;&gt;AW$5),1))+IF(BA1396="",0,IFERROR(--(EOMONTH(BA1396,0)&lt;&gt;AZ$5),1)))&gt;0,"; An invoice date is not in the month it is typed under",""),3,500))</f>
        <v/>
      </c>
      <c r="S1396" s="12" t="n"/>
      <c r="T1396" s="13" t="n"/>
      <c r="U1396" s="14" t="n"/>
      <c r="V1396" s="12" t="n"/>
      <c r="W1396" s="13" t="n"/>
      <c r="X1396" s="14" t="n"/>
      <c r="Y1396" s="12" t="n"/>
      <c r="Z1396" s="13" t="n"/>
      <c r="AA1396" s="14" t="n"/>
      <c r="AB1396" s="12" t="n"/>
      <c r="AC1396" s="13" t="n"/>
      <c r="AD1396" s="14" t="n"/>
      <c r="AE1396" s="12" t="n"/>
      <c r="AF1396" s="13" t="n"/>
      <c r="AG1396" s="14" t="n"/>
      <c r="AH1396" s="12" t="n"/>
      <c r="AI1396" s="13" t="n"/>
      <c r="AJ1396" s="14" t="n"/>
      <c r="AK1396" s="12" t="n"/>
      <c r="AL1396" s="13" t="n"/>
      <c r="AM1396" s="14" t="n"/>
      <c r="AN1396" s="12" t="n"/>
      <c r="AO1396" s="13" t="n"/>
      <c r="AP1396" s="14" t="n"/>
      <c r="AQ1396" s="12" t="n"/>
      <c r="AR1396" s="13" t="n"/>
      <c r="AS1396" s="14" t="n"/>
      <c r="AT1396" s="12" t="n"/>
      <c r="AU1396" s="13" t="n"/>
      <c r="AV1396" s="14" t="n"/>
      <c r="AW1396" s="12" t="n"/>
      <c r="AX1396" s="13" t="n"/>
      <c r="AY1396" s="14" t="n"/>
      <c r="AZ1396" s="12" t="n"/>
      <c r="BA1396" s="13" t="n"/>
      <c r="BB1396" s="14" t="n"/>
      <c r="BC1396" s="11">
        <f>IF(O1396="","",IF(J1396="GST 10%",ROUND(O1396*set_GSTRate,2),0))</f>
        <v/>
      </c>
      <c r="BD1396" s="11">
        <f>IF(O1396="","",O1396+BC1396)</f>
        <v/>
      </c>
      <c r="BE1396" s="15">
        <f>IF(O1396="","",COUNTA(S1396,V1396,Y1396,AB1396,AE1396,AH1396,AK1396,AN1396,AQ1396,AT1396,AW1396,AZ1396))</f>
        <v/>
      </c>
      <c r="BF1396" s="16">
        <f>IF(COUNT(T1396,W1396,Z1396,AC1396,AF1396,AI1396,AL1396,AO1396,AR1396,AU1396,AX1396,BA1396)=0,"",MAX(T1396,W1396,Z1396,AC1396,AF1396,AI1396,AL1396,AO1396,AR1396,AU1396,AX1396,BA1396))</f>
        <v/>
      </c>
      <c r="BG1396" s="10">
        <f>MID(IF(S1396="","",", "&amp;S1396)&amp;IF(V1396="","",", "&amp;V1396)&amp;IF(Y1396="","",", "&amp;Y1396)&amp;IF(AB1396="","",", "&amp;AB1396)&amp;IF(AE1396="","",", "&amp;AE1396)&amp;IF(AH1396="","",", "&amp;AH1396)&amp;IF(AK1396="","",", "&amp;AK1396)&amp;IF(AN1396="","",", "&amp;AN1396)&amp;IF(AQ1396="","",", "&amp;AQ1396)&amp;IF(AT1396="","",", "&amp;AT1396)&amp;IF(AW1396="","",", "&amp;AW1396)&amp;IF(AZ1396="","",", "&amp;AZ1396),3,500)</f>
        <v/>
      </c>
      <c r="BH1396" s="12" t="n"/>
      <c r="BI1396" s="15">
        <f>IFERROR(MATCH($A1396,IF($B1396="Onsite",tbl_Onsite[Row ID],IF($B1396="Production",tbl_Production[Row ID],tbl_Consulting[Row ID])),0),"")</f>
        <v/>
      </c>
    </row>
    <row r="1397">
      <c r="A1397" s="10" t="inlineStr">
        <is>
          <t>CON-0391</t>
        </is>
      </c>
      <c r="B1397" s="10" t="inlineStr">
        <is>
          <t>Consulting</t>
        </is>
      </c>
      <c r="C1397" s="10">
        <f>IF($BI1397="","",IF($B1397="Onsite",INDEX(tbl_Onsite[Job Number],$BI1397),IF($B1397="Production",INDEX(tbl_Production[Job Number],$BI1397),INDEX(tbl_Consulting[Job Number],$BI1397)))&amp;"")</f>
        <v/>
      </c>
      <c r="D1397" s="10">
        <f>IF($BI1397="","",IF($B1397="Onsite",INDEX(tbl_Onsite[Client],$BI1397),IF($B1397="Production",INDEX(tbl_Production[Client],$BI1397),INDEX(tbl_Consulting[Client],$BI1397)))&amp;"")</f>
        <v/>
      </c>
      <c r="E1397" s="10">
        <f>IF($C1397="","",IF(COUNTIF(lst_Jobs,$C1397)&gt;0,"OK","CHECK"))</f>
        <v/>
      </c>
      <c r="F1397" s="10">
        <f>IF($C1397="","",IFERROR(INDEX(lst_JobName,MATCH($C1397,lst_Jobs,0)),""))</f>
        <v/>
      </c>
      <c r="G1397" s="10">
        <f>IF($BI1397="","",IF($B1397="Onsite",INDEX(tbl_Onsite[Job Description],$BI1397),IF($B1397="Production",INDEX(tbl_Production[Job Description],$BI1397),INDEX(tbl_Consulting[Job Description],$BI1397)))&amp;"")</f>
        <v/>
      </c>
      <c r="H1397" s="10">
        <f>IF($BI1397="","",IF($B1397="Onsite",INDEX(tbl_Onsite[Cost Centre],$BI1397),IF($B1397="Production",INDEX(tbl_Production[Cost Centre],$BI1397),INDEX(tbl_Consulting[Cost Centre],$BI1397)))&amp;"")</f>
        <v/>
      </c>
      <c r="I1397" s="10">
        <f>IF($BI1397="","",IF($B1397="Onsite",INDEX(tbl_Onsite[Invoice Type],$BI1397),IF($B1397="Production",INDEX(tbl_Production[Invoice Type],$BI1397),INDEX(tbl_Consulting[Invoice Type],$BI1397)))&amp;"")</f>
        <v/>
      </c>
      <c r="J1397" s="10">
        <f>IF($BI1397="","",IF($B1397="Onsite",INDEX(tbl_Onsite[Tax Code],$BI1397),IF($B1397="Production",INDEX(tbl_Production[Tax Code],$BI1397),INDEX(tbl_Consulting[Tax Code],$BI1397)))&amp;"")</f>
        <v/>
      </c>
      <c r="K1397" s="10">
        <f>IF(H1397="","",IFERROR(INDEX(lst_CCtoGL,MATCH(H1397,lst_CCforGL,0)),""))</f>
        <v/>
      </c>
      <c r="L1397" s="10">
        <f>IF($BI1397="","",IF($B1397="Onsite",INDEX(tbl_Onsite[PO / Reference],$BI1397),IF($B1397="Production",INDEX(tbl_Production[Current RMS No],$BI1397),INDEX(tbl_Consulting[Qwilr Quote],$BI1397)))&amp;"")</f>
        <v/>
      </c>
      <c r="M1397" s="10">
        <f>IF($BI1397="","",IF($B1397="Onsite",INDEX(tbl_Onsite[Notes],$BI1397),IF($B1397="Production",INDEX(tbl_Production[Notes],$BI1397),INDEX(tbl_Consulting[Notes],$BI1397)))&amp;"")</f>
        <v/>
      </c>
      <c r="N1397" s="11">
        <f>IF($BI1397="","",IF(IF($B1397="Onsite",INDEX(tbl_Onsite[Expected Revenue Ex GST],$BI1397),IF($B1397="Production",INDEX(tbl_Production[Expected Revenue Ex GST],$BI1397),INDEX(tbl_Consulting[Expected Revenue Ex GST],$BI1397)))="","",IF($B1397="Onsite",INDEX(tbl_Onsite[Expected Revenue Ex GST],$BI1397),IF($B1397="Production",INDEX(tbl_Production[Expected Revenue Ex GST],$BI1397),INDEX(tbl_Consulting[Expected Revenue Ex GST],$BI1397)))))</f>
        <v/>
      </c>
      <c r="O1397" s="11">
        <f>IF(AND($C1397="",NOT(COUNTA($S1397:$BB1397)&gt;0)),"",SUM(U1397,X1397,AA1397,AD1397,AG1397,AJ1397,AM1397,AP1397,AS1397,AV1397,AY1397,BB1397))</f>
        <v/>
      </c>
      <c r="P1397" s="11">
        <f>IF(O1397="","",N(N1397)-O1397)</f>
        <v/>
      </c>
      <c r="Q1397" s="10">
        <f>IF(O1397="","",IF($C1397="","Invoice on empty job row",IF(N1397="",IF(ROUND(O1397,2)=0,"No dept value","Invoiced - no dept value"),IF(ROUND(O1397,2)=0,"Not invoiced - to invoice",IF(ROUND(P1397,2)=0,"Agrees",IF(P1397&gt;0,"Dept higher - to invoice","Xero higher - check dept"))))))</f>
        <v/>
      </c>
      <c r="R1397" s="10">
        <f>IF(AND($C1397="",NOT(COUNTA($S1397:$BB1397)&gt;0),$BI1397&lt;&gt;""),"",MID(IF($BI1397="","; Row ID not found on the department sheet - a row was deleted","")&amp;IF(AND($C1397="",COUNTA($S1397:$BB1397)&gt;0),"; Invoice entered but the department row has no job number","")&amp;IF(E1397="CHECK","; Job number not in the Xero job list","")&amp;IF(AND($C1397&lt;&gt;"",COUNTIF($C$7:$C$1506,$C1397)&gt;1),"; Job number on more than one row","")&amp;IF(AND($C1397&lt;&gt;"",H1397=""),"; Dept has not set a cost centre","")&amp;IF(AND($C1397&lt;&gt;"",J1397=""),"; Dept has not set a tax code","")&amp;IF(AND($C1397&lt;&gt;"",N1397=""),"; Dept has not entered an expected value","")&amp;IF((IF(OR(COUNTA(S1397:U1397)=0,AND(COUNTA(S1397:U1397)=3,ISNUMBER(U1397))),0,1)+IF(OR(COUNTA(V1397:X1397)=0,AND(COUNTA(V1397:X1397)=3,ISNUMBER(X1397))),0,1)+IF(OR(COUNTA(Y1397:AA1397)=0,AND(COUNTA(Y1397:AA1397)=3,ISNUMBER(AA1397))),0,1)+IF(OR(COUNTA(AB1397:AD1397)=0,AND(COUNTA(AB1397:AD1397)=3,ISNUMBER(AD1397))),0,1)+IF(OR(COUNTA(AE1397:AG1397)=0,AND(COUNTA(AE1397:AG1397)=3,ISNUMBER(AG1397))),0,1)+IF(OR(COUNTA(AH1397:AJ1397)=0,AND(COUNTA(AH1397:AJ1397)=3,ISNUMBER(AJ1397))),0,1)+IF(OR(COUNTA(AK1397:AM1397)=0,AND(COUNTA(AK1397:AM1397)=3,ISNUMBER(AM1397))),0,1)+IF(OR(COUNTA(AN1397:AP1397)=0,AND(COUNTA(AN1397:AP1397)=3,ISNUMBER(AP1397))),0,1)+IF(OR(COUNTA(AQ1397:AS1397)=0,AND(COUNTA(AQ1397:AS1397)=3,ISNUMBER(AS1397))),0,1)+IF(OR(COUNTA(AT1397:AV1397)=0,AND(COUNTA(AT1397:AV1397)=3,ISNUMBER(AV1397))),0,1)+IF(OR(COUNTA(AW1397:AY1397)=0,AND(COUNTA(AW1397:AY1397)=3,ISNUMBER(AY1397))),0,1)+IF(OR(COUNTA(AZ1397:BB1397)=0,AND(COUNTA(AZ1397:BB1397)=3,ISNUMBER(BB1397))),0,1))&gt;0,"; An invoice is incomplete (needs No, Date and a number in Ex GST)","")&amp;IF((IF(T1397="",0,IFERROR(--(EOMONTH(T1397,0)&lt;&gt;S$5),1))+IF(W1397="",0,IFERROR(--(EOMONTH(W1397,0)&lt;&gt;V$5),1))+IF(Z1397="",0,IFERROR(--(EOMONTH(Z1397,0)&lt;&gt;Y$5),1))+IF(AC1397="",0,IFERROR(--(EOMONTH(AC1397,0)&lt;&gt;AB$5),1))+IF(AF1397="",0,IFERROR(--(EOMONTH(AF1397,0)&lt;&gt;AE$5),1))+IF(AI1397="",0,IFERROR(--(EOMONTH(AI1397,0)&lt;&gt;AH$5),1))+IF(AL1397="",0,IFERROR(--(EOMONTH(AL1397,0)&lt;&gt;AK$5),1))+IF(AO1397="",0,IFERROR(--(EOMONTH(AO1397,0)&lt;&gt;AN$5),1))+IF(AR1397="",0,IFERROR(--(EOMONTH(AR1397,0)&lt;&gt;AQ$5),1))+IF(AU1397="",0,IFERROR(--(EOMONTH(AU1397,0)&lt;&gt;AT$5),1))+IF(AX1397="",0,IFERROR(--(EOMONTH(AX1397,0)&lt;&gt;AW$5),1))+IF(BA1397="",0,IFERROR(--(EOMONTH(BA1397,0)&lt;&gt;AZ$5),1)))&gt;0,"; An invoice date is not in the month it is typed under",""),3,500))</f>
        <v/>
      </c>
      <c r="S1397" s="12" t="n"/>
      <c r="T1397" s="13" t="n"/>
      <c r="U1397" s="14" t="n"/>
      <c r="V1397" s="12" t="n"/>
      <c r="W1397" s="13" t="n"/>
      <c r="X1397" s="14" t="n"/>
      <c r="Y1397" s="12" t="n"/>
      <c r="Z1397" s="13" t="n"/>
      <c r="AA1397" s="14" t="n"/>
      <c r="AB1397" s="12" t="n"/>
      <c r="AC1397" s="13" t="n"/>
      <c r="AD1397" s="14" t="n"/>
      <c r="AE1397" s="12" t="n"/>
      <c r="AF1397" s="13" t="n"/>
      <c r="AG1397" s="14" t="n"/>
      <c r="AH1397" s="12" t="n"/>
      <c r="AI1397" s="13" t="n"/>
      <c r="AJ1397" s="14" t="n"/>
      <c r="AK1397" s="12" t="n"/>
      <c r="AL1397" s="13" t="n"/>
      <c r="AM1397" s="14" t="n"/>
      <c r="AN1397" s="12" t="n"/>
      <c r="AO1397" s="13" t="n"/>
      <c r="AP1397" s="14" t="n"/>
      <c r="AQ1397" s="12" t="n"/>
      <c r="AR1397" s="13" t="n"/>
      <c r="AS1397" s="14" t="n"/>
      <c r="AT1397" s="12" t="n"/>
      <c r="AU1397" s="13" t="n"/>
      <c r="AV1397" s="14" t="n"/>
      <c r="AW1397" s="12" t="n"/>
      <c r="AX1397" s="13" t="n"/>
      <c r="AY1397" s="14" t="n"/>
      <c r="AZ1397" s="12" t="n"/>
      <c r="BA1397" s="13" t="n"/>
      <c r="BB1397" s="14" t="n"/>
      <c r="BC1397" s="11">
        <f>IF(O1397="","",IF(J1397="GST 10%",ROUND(O1397*set_GSTRate,2),0))</f>
        <v/>
      </c>
      <c r="BD1397" s="11">
        <f>IF(O1397="","",O1397+BC1397)</f>
        <v/>
      </c>
      <c r="BE1397" s="15">
        <f>IF(O1397="","",COUNTA(S1397,V1397,Y1397,AB1397,AE1397,AH1397,AK1397,AN1397,AQ1397,AT1397,AW1397,AZ1397))</f>
        <v/>
      </c>
      <c r="BF1397" s="16">
        <f>IF(COUNT(T1397,W1397,Z1397,AC1397,AF1397,AI1397,AL1397,AO1397,AR1397,AU1397,AX1397,BA1397)=0,"",MAX(T1397,W1397,Z1397,AC1397,AF1397,AI1397,AL1397,AO1397,AR1397,AU1397,AX1397,BA1397))</f>
        <v/>
      </c>
      <c r="BG1397" s="10">
        <f>MID(IF(S1397="","",", "&amp;S1397)&amp;IF(V1397="","",", "&amp;V1397)&amp;IF(Y1397="","",", "&amp;Y1397)&amp;IF(AB1397="","",", "&amp;AB1397)&amp;IF(AE1397="","",", "&amp;AE1397)&amp;IF(AH1397="","",", "&amp;AH1397)&amp;IF(AK1397="","",", "&amp;AK1397)&amp;IF(AN1397="","",", "&amp;AN1397)&amp;IF(AQ1397="","",", "&amp;AQ1397)&amp;IF(AT1397="","",", "&amp;AT1397)&amp;IF(AW1397="","",", "&amp;AW1397)&amp;IF(AZ1397="","",", "&amp;AZ1397),3,500)</f>
        <v/>
      </c>
      <c r="BH1397" s="12" t="n"/>
      <c r="BI1397" s="15">
        <f>IFERROR(MATCH($A1397,IF($B1397="Onsite",tbl_Onsite[Row ID],IF($B1397="Production",tbl_Production[Row ID],tbl_Consulting[Row ID])),0),"")</f>
        <v/>
      </c>
    </row>
    <row r="1398">
      <c r="A1398" s="10" t="inlineStr">
        <is>
          <t>CON-0392</t>
        </is>
      </c>
      <c r="B1398" s="10" t="inlineStr">
        <is>
          <t>Consulting</t>
        </is>
      </c>
      <c r="C1398" s="10">
        <f>IF($BI1398="","",IF($B1398="Onsite",INDEX(tbl_Onsite[Job Number],$BI1398),IF($B1398="Production",INDEX(tbl_Production[Job Number],$BI1398),INDEX(tbl_Consulting[Job Number],$BI1398)))&amp;"")</f>
        <v/>
      </c>
      <c r="D1398" s="10">
        <f>IF($BI1398="","",IF($B1398="Onsite",INDEX(tbl_Onsite[Client],$BI1398),IF($B1398="Production",INDEX(tbl_Production[Client],$BI1398),INDEX(tbl_Consulting[Client],$BI1398)))&amp;"")</f>
        <v/>
      </c>
      <c r="E1398" s="10">
        <f>IF($C1398="","",IF(COUNTIF(lst_Jobs,$C1398)&gt;0,"OK","CHECK"))</f>
        <v/>
      </c>
      <c r="F1398" s="10">
        <f>IF($C1398="","",IFERROR(INDEX(lst_JobName,MATCH($C1398,lst_Jobs,0)),""))</f>
        <v/>
      </c>
      <c r="G1398" s="10">
        <f>IF($BI1398="","",IF($B1398="Onsite",INDEX(tbl_Onsite[Job Description],$BI1398),IF($B1398="Production",INDEX(tbl_Production[Job Description],$BI1398),INDEX(tbl_Consulting[Job Description],$BI1398)))&amp;"")</f>
        <v/>
      </c>
      <c r="H1398" s="10">
        <f>IF($BI1398="","",IF($B1398="Onsite",INDEX(tbl_Onsite[Cost Centre],$BI1398),IF($B1398="Production",INDEX(tbl_Production[Cost Centre],$BI1398),INDEX(tbl_Consulting[Cost Centre],$BI1398)))&amp;"")</f>
        <v/>
      </c>
      <c r="I1398" s="10">
        <f>IF($BI1398="","",IF($B1398="Onsite",INDEX(tbl_Onsite[Invoice Type],$BI1398),IF($B1398="Production",INDEX(tbl_Production[Invoice Type],$BI1398),INDEX(tbl_Consulting[Invoice Type],$BI1398)))&amp;"")</f>
        <v/>
      </c>
      <c r="J1398" s="10">
        <f>IF($BI1398="","",IF($B1398="Onsite",INDEX(tbl_Onsite[Tax Code],$BI1398),IF($B1398="Production",INDEX(tbl_Production[Tax Code],$BI1398),INDEX(tbl_Consulting[Tax Code],$BI1398)))&amp;"")</f>
        <v/>
      </c>
      <c r="K1398" s="10">
        <f>IF(H1398="","",IFERROR(INDEX(lst_CCtoGL,MATCH(H1398,lst_CCforGL,0)),""))</f>
        <v/>
      </c>
      <c r="L1398" s="10">
        <f>IF($BI1398="","",IF($B1398="Onsite",INDEX(tbl_Onsite[PO / Reference],$BI1398),IF($B1398="Production",INDEX(tbl_Production[Current RMS No],$BI1398),INDEX(tbl_Consulting[Qwilr Quote],$BI1398)))&amp;"")</f>
        <v/>
      </c>
      <c r="M1398" s="10">
        <f>IF($BI1398="","",IF($B1398="Onsite",INDEX(tbl_Onsite[Notes],$BI1398),IF($B1398="Production",INDEX(tbl_Production[Notes],$BI1398),INDEX(tbl_Consulting[Notes],$BI1398)))&amp;"")</f>
        <v/>
      </c>
      <c r="N1398" s="11">
        <f>IF($BI1398="","",IF(IF($B1398="Onsite",INDEX(tbl_Onsite[Expected Revenue Ex GST],$BI1398),IF($B1398="Production",INDEX(tbl_Production[Expected Revenue Ex GST],$BI1398),INDEX(tbl_Consulting[Expected Revenue Ex GST],$BI1398)))="","",IF($B1398="Onsite",INDEX(tbl_Onsite[Expected Revenue Ex GST],$BI1398),IF($B1398="Production",INDEX(tbl_Production[Expected Revenue Ex GST],$BI1398),INDEX(tbl_Consulting[Expected Revenue Ex GST],$BI1398)))))</f>
        <v/>
      </c>
      <c r="O1398" s="11">
        <f>IF(AND($C1398="",NOT(COUNTA($S1398:$BB1398)&gt;0)),"",SUM(U1398,X1398,AA1398,AD1398,AG1398,AJ1398,AM1398,AP1398,AS1398,AV1398,AY1398,BB1398))</f>
        <v/>
      </c>
      <c r="P1398" s="11">
        <f>IF(O1398="","",N(N1398)-O1398)</f>
        <v/>
      </c>
      <c r="Q1398" s="10">
        <f>IF(O1398="","",IF($C1398="","Invoice on empty job row",IF(N1398="",IF(ROUND(O1398,2)=0,"No dept value","Invoiced - no dept value"),IF(ROUND(O1398,2)=0,"Not invoiced - to invoice",IF(ROUND(P1398,2)=0,"Agrees",IF(P1398&gt;0,"Dept higher - to invoice","Xero higher - check dept"))))))</f>
        <v/>
      </c>
      <c r="R1398" s="10">
        <f>IF(AND($C1398="",NOT(COUNTA($S1398:$BB1398)&gt;0),$BI1398&lt;&gt;""),"",MID(IF($BI1398="","; Row ID not found on the department sheet - a row was deleted","")&amp;IF(AND($C1398="",COUNTA($S1398:$BB1398)&gt;0),"; Invoice entered but the department row has no job number","")&amp;IF(E1398="CHECK","; Job number not in the Xero job list","")&amp;IF(AND($C1398&lt;&gt;"",COUNTIF($C$7:$C$1506,$C1398)&gt;1),"; Job number on more than one row","")&amp;IF(AND($C1398&lt;&gt;"",H1398=""),"; Dept has not set a cost centre","")&amp;IF(AND($C1398&lt;&gt;"",J1398=""),"; Dept has not set a tax code","")&amp;IF(AND($C1398&lt;&gt;"",N1398=""),"; Dept has not entered an expected value","")&amp;IF((IF(OR(COUNTA(S1398:U1398)=0,AND(COUNTA(S1398:U1398)=3,ISNUMBER(U1398))),0,1)+IF(OR(COUNTA(V1398:X1398)=0,AND(COUNTA(V1398:X1398)=3,ISNUMBER(X1398))),0,1)+IF(OR(COUNTA(Y1398:AA1398)=0,AND(COUNTA(Y1398:AA1398)=3,ISNUMBER(AA1398))),0,1)+IF(OR(COUNTA(AB1398:AD1398)=0,AND(COUNTA(AB1398:AD1398)=3,ISNUMBER(AD1398))),0,1)+IF(OR(COUNTA(AE1398:AG1398)=0,AND(COUNTA(AE1398:AG1398)=3,ISNUMBER(AG1398))),0,1)+IF(OR(COUNTA(AH1398:AJ1398)=0,AND(COUNTA(AH1398:AJ1398)=3,ISNUMBER(AJ1398))),0,1)+IF(OR(COUNTA(AK1398:AM1398)=0,AND(COUNTA(AK1398:AM1398)=3,ISNUMBER(AM1398))),0,1)+IF(OR(COUNTA(AN1398:AP1398)=0,AND(COUNTA(AN1398:AP1398)=3,ISNUMBER(AP1398))),0,1)+IF(OR(COUNTA(AQ1398:AS1398)=0,AND(COUNTA(AQ1398:AS1398)=3,ISNUMBER(AS1398))),0,1)+IF(OR(COUNTA(AT1398:AV1398)=0,AND(COUNTA(AT1398:AV1398)=3,ISNUMBER(AV1398))),0,1)+IF(OR(COUNTA(AW1398:AY1398)=0,AND(COUNTA(AW1398:AY1398)=3,ISNUMBER(AY1398))),0,1)+IF(OR(COUNTA(AZ1398:BB1398)=0,AND(COUNTA(AZ1398:BB1398)=3,ISNUMBER(BB1398))),0,1))&gt;0,"; An invoice is incomplete (needs No, Date and a number in Ex GST)","")&amp;IF((IF(T1398="",0,IFERROR(--(EOMONTH(T1398,0)&lt;&gt;S$5),1))+IF(W1398="",0,IFERROR(--(EOMONTH(W1398,0)&lt;&gt;V$5),1))+IF(Z1398="",0,IFERROR(--(EOMONTH(Z1398,0)&lt;&gt;Y$5),1))+IF(AC1398="",0,IFERROR(--(EOMONTH(AC1398,0)&lt;&gt;AB$5),1))+IF(AF1398="",0,IFERROR(--(EOMONTH(AF1398,0)&lt;&gt;AE$5),1))+IF(AI1398="",0,IFERROR(--(EOMONTH(AI1398,0)&lt;&gt;AH$5),1))+IF(AL1398="",0,IFERROR(--(EOMONTH(AL1398,0)&lt;&gt;AK$5),1))+IF(AO1398="",0,IFERROR(--(EOMONTH(AO1398,0)&lt;&gt;AN$5),1))+IF(AR1398="",0,IFERROR(--(EOMONTH(AR1398,0)&lt;&gt;AQ$5),1))+IF(AU1398="",0,IFERROR(--(EOMONTH(AU1398,0)&lt;&gt;AT$5),1))+IF(AX1398="",0,IFERROR(--(EOMONTH(AX1398,0)&lt;&gt;AW$5),1))+IF(BA1398="",0,IFERROR(--(EOMONTH(BA1398,0)&lt;&gt;AZ$5),1)))&gt;0,"; An invoice date is not in the month it is typed under",""),3,500))</f>
        <v/>
      </c>
      <c r="S1398" s="12" t="n"/>
      <c r="T1398" s="13" t="n"/>
      <c r="U1398" s="14" t="n"/>
      <c r="V1398" s="12" t="n"/>
      <c r="W1398" s="13" t="n"/>
      <c r="X1398" s="14" t="n"/>
      <c r="Y1398" s="12" t="n"/>
      <c r="Z1398" s="13" t="n"/>
      <c r="AA1398" s="14" t="n"/>
      <c r="AB1398" s="12" t="n"/>
      <c r="AC1398" s="13" t="n"/>
      <c r="AD1398" s="14" t="n"/>
      <c r="AE1398" s="12" t="n"/>
      <c r="AF1398" s="13" t="n"/>
      <c r="AG1398" s="14" t="n"/>
      <c r="AH1398" s="12" t="n"/>
      <c r="AI1398" s="13" t="n"/>
      <c r="AJ1398" s="14" t="n"/>
      <c r="AK1398" s="12" t="n"/>
      <c r="AL1398" s="13" t="n"/>
      <c r="AM1398" s="14" t="n"/>
      <c r="AN1398" s="12" t="n"/>
      <c r="AO1398" s="13" t="n"/>
      <c r="AP1398" s="14" t="n"/>
      <c r="AQ1398" s="12" t="n"/>
      <c r="AR1398" s="13" t="n"/>
      <c r="AS1398" s="14" t="n"/>
      <c r="AT1398" s="12" t="n"/>
      <c r="AU1398" s="13" t="n"/>
      <c r="AV1398" s="14" t="n"/>
      <c r="AW1398" s="12" t="n"/>
      <c r="AX1398" s="13" t="n"/>
      <c r="AY1398" s="14" t="n"/>
      <c r="AZ1398" s="12" t="n"/>
      <c r="BA1398" s="13" t="n"/>
      <c r="BB1398" s="14" t="n"/>
      <c r="BC1398" s="11">
        <f>IF(O1398="","",IF(J1398="GST 10%",ROUND(O1398*set_GSTRate,2),0))</f>
        <v/>
      </c>
      <c r="BD1398" s="11">
        <f>IF(O1398="","",O1398+BC1398)</f>
        <v/>
      </c>
      <c r="BE1398" s="15">
        <f>IF(O1398="","",COUNTA(S1398,V1398,Y1398,AB1398,AE1398,AH1398,AK1398,AN1398,AQ1398,AT1398,AW1398,AZ1398))</f>
        <v/>
      </c>
      <c r="BF1398" s="16">
        <f>IF(COUNT(T1398,W1398,Z1398,AC1398,AF1398,AI1398,AL1398,AO1398,AR1398,AU1398,AX1398,BA1398)=0,"",MAX(T1398,W1398,Z1398,AC1398,AF1398,AI1398,AL1398,AO1398,AR1398,AU1398,AX1398,BA1398))</f>
        <v/>
      </c>
      <c r="BG1398" s="10">
        <f>MID(IF(S1398="","",", "&amp;S1398)&amp;IF(V1398="","",", "&amp;V1398)&amp;IF(Y1398="","",", "&amp;Y1398)&amp;IF(AB1398="","",", "&amp;AB1398)&amp;IF(AE1398="","",", "&amp;AE1398)&amp;IF(AH1398="","",", "&amp;AH1398)&amp;IF(AK1398="","",", "&amp;AK1398)&amp;IF(AN1398="","",", "&amp;AN1398)&amp;IF(AQ1398="","",", "&amp;AQ1398)&amp;IF(AT1398="","",", "&amp;AT1398)&amp;IF(AW1398="","",", "&amp;AW1398)&amp;IF(AZ1398="","",", "&amp;AZ1398),3,500)</f>
        <v/>
      </c>
      <c r="BH1398" s="12" t="n"/>
      <c r="BI1398" s="15">
        <f>IFERROR(MATCH($A1398,IF($B1398="Onsite",tbl_Onsite[Row ID],IF($B1398="Production",tbl_Production[Row ID],tbl_Consulting[Row ID])),0),"")</f>
        <v/>
      </c>
    </row>
    <row r="1399">
      <c r="A1399" s="10" t="inlineStr">
        <is>
          <t>CON-0393</t>
        </is>
      </c>
      <c r="B1399" s="10" t="inlineStr">
        <is>
          <t>Consulting</t>
        </is>
      </c>
      <c r="C1399" s="10">
        <f>IF($BI1399="","",IF($B1399="Onsite",INDEX(tbl_Onsite[Job Number],$BI1399),IF($B1399="Production",INDEX(tbl_Production[Job Number],$BI1399),INDEX(tbl_Consulting[Job Number],$BI1399)))&amp;"")</f>
        <v/>
      </c>
      <c r="D1399" s="10">
        <f>IF($BI1399="","",IF($B1399="Onsite",INDEX(tbl_Onsite[Client],$BI1399),IF($B1399="Production",INDEX(tbl_Production[Client],$BI1399),INDEX(tbl_Consulting[Client],$BI1399)))&amp;"")</f>
        <v/>
      </c>
      <c r="E1399" s="10">
        <f>IF($C1399="","",IF(COUNTIF(lst_Jobs,$C1399)&gt;0,"OK","CHECK"))</f>
        <v/>
      </c>
      <c r="F1399" s="10">
        <f>IF($C1399="","",IFERROR(INDEX(lst_JobName,MATCH($C1399,lst_Jobs,0)),""))</f>
        <v/>
      </c>
      <c r="G1399" s="10">
        <f>IF($BI1399="","",IF($B1399="Onsite",INDEX(tbl_Onsite[Job Description],$BI1399),IF($B1399="Production",INDEX(tbl_Production[Job Description],$BI1399),INDEX(tbl_Consulting[Job Description],$BI1399)))&amp;"")</f>
        <v/>
      </c>
      <c r="H1399" s="10">
        <f>IF($BI1399="","",IF($B1399="Onsite",INDEX(tbl_Onsite[Cost Centre],$BI1399),IF($B1399="Production",INDEX(tbl_Production[Cost Centre],$BI1399),INDEX(tbl_Consulting[Cost Centre],$BI1399)))&amp;"")</f>
        <v/>
      </c>
      <c r="I1399" s="10">
        <f>IF($BI1399="","",IF($B1399="Onsite",INDEX(tbl_Onsite[Invoice Type],$BI1399),IF($B1399="Production",INDEX(tbl_Production[Invoice Type],$BI1399),INDEX(tbl_Consulting[Invoice Type],$BI1399)))&amp;"")</f>
        <v/>
      </c>
      <c r="J1399" s="10">
        <f>IF($BI1399="","",IF($B1399="Onsite",INDEX(tbl_Onsite[Tax Code],$BI1399),IF($B1399="Production",INDEX(tbl_Production[Tax Code],$BI1399),INDEX(tbl_Consulting[Tax Code],$BI1399)))&amp;"")</f>
        <v/>
      </c>
      <c r="K1399" s="10">
        <f>IF(H1399="","",IFERROR(INDEX(lst_CCtoGL,MATCH(H1399,lst_CCforGL,0)),""))</f>
        <v/>
      </c>
      <c r="L1399" s="10">
        <f>IF($BI1399="","",IF($B1399="Onsite",INDEX(tbl_Onsite[PO / Reference],$BI1399),IF($B1399="Production",INDEX(tbl_Production[Current RMS No],$BI1399),INDEX(tbl_Consulting[Qwilr Quote],$BI1399)))&amp;"")</f>
        <v/>
      </c>
      <c r="M1399" s="10">
        <f>IF($BI1399="","",IF($B1399="Onsite",INDEX(tbl_Onsite[Notes],$BI1399),IF($B1399="Production",INDEX(tbl_Production[Notes],$BI1399),INDEX(tbl_Consulting[Notes],$BI1399)))&amp;"")</f>
        <v/>
      </c>
      <c r="N1399" s="11">
        <f>IF($BI1399="","",IF(IF($B1399="Onsite",INDEX(tbl_Onsite[Expected Revenue Ex GST],$BI1399),IF($B1399="Production",INDEX(tbl_Production[Expected Revenue Ex GST],$BI1399),INDEX(tbl_Consulting[Expected Revenue Ex GST],$BI1399)))="","",IF($B1399="Onsite",INDEX(tbl_Onsite[Expected Revenue Ex GST],$BI1399),IF($B1399="Production",INDEX(tbl_Production[Expected Revenue Ex GST],$BI1399),INDEX(tbl_Consulting[Expected Revenue Ex GST],$BI1399)))))</f>
        <v/>
      </c>
      <c r="O1399" s="11">
        <f>IF(AND($C1399="",NOT(COUNTA($S1399:$BB1399)&gt;0)),"",SUM(U1399,X1399,AA1399,AD1399,AG1399,AJ1399,AM1399,AP1399,AS1399,AV1399,AY1399,BB1399))</f>
        <v/>
      </c>
      <c r="P1399" s="11">
        <f>IF(O1399="","",N(N1399)-O1399)</f>
        <v/>
      </c>
      <c r="Q1399" s="10">
        <f>IF(O1399="","",IF($C1399="","Invoice on empty job row",IF(N1399="",IF(ROUND(O1399,2)=0,"No dept value","Invoiced - no dept value"),IF(ROUND(O1399,2)=0,"Not invoiced - to invoice",IF(ROUND(P1399,2)=0,"Agrees",IF(P1399&gt;0,"Dept higher - to invoice","Xero higher - check dept"))))))</f>
        <v/>
      </c>
      <c r="R1399" s="10">
        <f>IF(AND($C1399="",NOT(COUNTA($S1399:$BB1399)&gt;0),$BI1399&lt;&gt;""),"",MID(IF($BI1399="","; Row ID not found on the department sheet - a row was deleted","")&amp;IF(AND($C1399="",COUNTA($S1399:$BB1399)&gt;0),"; Invoice entered but the department row has no job number","")&amp;IF(E1399="CHECK","; Job number not in the Xero job list","")&amp;IF(AND($C1399&lt;&gt;"",COUNTIF($C$7:$C$1506,$C1399)&gt;1),"; Job number on more than one row","")&amp;IF(AND($C1399&lt;&gt;"",H1399=""),"; Dept has not set a cost centre","")&amp;IF(AND($C1399&lt;&gt;"",J1399=""),"; Dept has not set a tax code","")&amp;IF(AND($C1399&lt;&gt;"",N1399=""),"; Dept has not entered an expected value","")&amp;IF((IF(OR(COUNTA(S1399:U1399)=0,AND(COUNTA(S1399:U1399)=3,ISNUMBER(U1399))),0,1)+IF(OR(COUNTA(V1399:X1399)=0,AND(COUNTA(V1399:X1399)=3,ISNUMBER(X1399))),0,1)+IF(OR(COUNTA(Y1399:AA1399)=0,AND(COUNTA(Y1399:AA1399)=3,ISNUMBER(AA1399))),0,1)+IF(OR(COUNTA(AB1399:AD1399)=0,AND(COUNTA(AB1399:AD1399)=3,ISNUMBER(AD1399))),0,1)+IF(OR(COUNTA(AE1399:AG1399)=0,AND(COUNTA(AE1399:AG1399)=3,ISNUMBER(AG1399))),0,1)+IF(OR(COUNTA(AH1399:AJ1399)=0,AND(COUNTA(AH1399:AJ1399)=3,ISNUMBER(AJ1399))),0,1)+IF(OR(COUNTA(AK1399:AM1399)=0,AND(COUNTA(AK1399:AM1399)=3,ISNUMBER(AM1399))),0,1)+IF(OR(COUNTA(AN1399:AP1399)=0,AND(COUNTA(AN1399:AP1399)=3,ISNUMBER(AP1399))),0,1)+IF(OR(COUNTA(AQ1399:AS1399)=0,AND(COUNTA(AQ1399:AS1399)=3,ISNUMBER(AS1399))),0,1)+IF(OR(COUNTA(AT1399:AV1399)=0,AND(COUNTA(AT1399:AV1399)=3,ISNUMBER(AV1399))),0,1)+IF(OR(COUNTA(AW1399:AY1399)=0,AND(COUNTA(AW1399:AY1399)=3,ISNUMBER(AY1399))),0,1)+IF(OR(COUNTA(AZ1399:BB1399)=0,AND(COUNTA(AZ1399:BB1399)=3,ISNUMBER(BB1399))),0,1))&gt;0,"; An invoice is incomplete (needs No, Date and a number in Ex GST)","")&amp;IF((IF(T1399="",0,IFERROR(--(EOMONTH(T1399,0)&lt;&gt;S$5),1))+IF(W1399="",0,IFERROR(--(EOMONTH(W1399,0)&lt;&gt;V$5),1))+IF(Z1399="",0,IFERROR(--(EOMONTH(Z1399,0)&lt;&gt;Y$5),1))+IF(AC1399="",0,IFERROR(--(EOMONTH(AC1399,0)&lt;&gt;AB$5),1))+IF(AF1399="",0,IFERROR(--(EOMONTH(AF1399,0)&lt;&gt;AE$5),1))+IF(AI1399="",0,IFERROR(--(EOMONTH(AI1399,0)&lt;&gt;AH$5),1))+IF(AL1399="",0,IFERROR(--(EOMONTH(AL1399,0)&lt;&gt;AK$5),1))+IF(AO1399="",0,IFERROR(--(EOMONTH(AO1399,0)&lt;&gt;AN$5),1))+IF(AR1399="",0,IFERROR(--(EOMONTH(AR1399,0)&lt;&gt;AQ$5),1))+IF(AU1399="",0,IFERROR(--(EOMONTH(AU1399,0)&lt;&gt;AT$5),1))+IF(AX1399="",0,IFERROR(--(EOMONTH(AX1399,0)&lt;&gt;AW$5),1))+IF(BA1399="",0,IFERROR(--(EOMONTH(BA1399,0)&lt;&gt;AZ$5),1)))&gt;0,"; An invoice date is not in the month it is typed under",""),3,500))</f>
        <v/>
      </c>
      <c r="S1399" s="12" t="n"/>
      <c r="T1399" s="13" t="n"/>
      <c r="U1399" s="14" t="n"/>
      <c r="V1399" s="12" t="n"/>
      <c r="W1399" s="13" t="n"/>
      <c r="X1399" s="14" t="n"/>
      <c r="Y1399" s="12" t="n"/>
      <c r="Z1399" s="13" t="n"/>
      <c r="AA1399" s="14" t="n"/>
      <c r="AB1399" s="12" t="n"/>
      <c r="AC1399" s="13" t="n"/>
      <c r="AD1399" s="14" t="n"/>
      <c r="AE1399" s="12" t="n"/>
      <c r="AF1399" s="13" t="n"/>
      <c r="AG1399" s="14" t="n"/>
      <c r="AH1399" s="12" t="n"/>
      <c r="AI1399" s="13" t="n"/>
      <c r="AJ1399" s="14" t="n"/>
      <c r="AK1399" s="12" t="n"/>
      <c r="AL1399" s="13" t="n"/>
      <c r="AM1399" s="14" t="n"/>
      <c r="AN1399" s="12" t="n"/>
      <c r="AO1399" s="13" t="n"/>
      <c r="AP1399" s="14" t="n"/>
      <c r="AQ1399" s="12" t="n"/>
      <c r="AR1399" s="13" t="n"/>
      <c r="AS1399" s="14" t="n"/>
      <c r="AT1399" s="12" t="n"/>
      <c r="AU1399" s="13" t="n"/>
      <c r="AV1399" s="14" t="n"/>
      <c r="AW1399" s="12" t="n"/>
      <c r="AX1399" s="13" t="n"/>
      <c r="AY1399" s="14" t="n"/>
      <c r="AZ1399" s="12" t="n"/>
      <c r="BA1399" s="13" t="n"/>
      <c r="BB1399" s="14" t="n"/>
      <c r="BC1399" s="11">
        <f>IF(O1399="","",IF(J1399="GST 10%",ROUND(O1399*set_GSTRate,2),0))</f>
        <v/>
      </c>
      <c r="BD1399" s="11">
        <f>IF(O1399="","",O1399+BC1399)</f>
        <v/>
      </c>
      <c r="BE1399" s="15">
        <f>IF(O1399="","",COUNTA(S1399,V1399,Y1399,AB1399,AE1399,AH1399,AK1399,AN1399,AQ1399,AT1399,AW1399,AZ1399))</f>
        <v/>
      </c>
      <c r="BF1399" s="16">
        <f>IF(COUNT(T1399,W1399,Z1399,AC1399,AF1399,AI1399,AL1399,AO1399,AR1399,AU1399,AX1399,BA1399)=0,"",MAX(T1399,W1399,Z1399,AC1399,AF1399,AI1399,AL1399,AO1399,AR1399,AU1399,AX1399,BA1399))</f>
        <v/>
      </c>
      <c r="BG1399" s="10">
        <f>MID(IF(S1399="","",", "&amp;S1399)&amp;IF(V1399="","",", "&amp;V1399)&amp;IF(Y1399="","",", "&amp;Y1399)&amp;IF(AB1399="","",", "&amp;AB1399)&amp;IF(AE1399="","",", "&amp;AE1399)&amp;IF(AH1399="","",", "&amp;AH1399)&amp;IF(AK1399="","",", "&amp;AK1399)&amp;IF(AN1399="","",", "&amp;AN1399)&amp;IF(AQ1399="","",", "&amp;AQ1399)&amp;IF(AT1399="","",", "&amp;AT1399)&amp;IF(AW1399="","",", "&amp;AW1399)&amp;IF(AZ1399="","",", "&amp;AZ1399),3,500)</f>
        <v/>
      </c>
      <c r="BH1399" s="12" t="n"/>
      <c r="BI1399" s="15">
        <f>IFERROR(MATCH($A1399,IF($B1399="Onsite",tbl_Onsite[Row ID],IF($B1399="Production",tbl_Production[Row ID],tbl_Consulting[Row ID])),0),"")</f>
        <v/>
      </c>
    </row>
    <row r="1400">
      <c r="A1400" s="10" t="inlineStr">
        <is>
          <t>CON-0394</t>
        </is>
      </c>
      <c r="B1400" s="10" t="inlineStr">
        <is>
          <t>Consulting</t>
        </is>
      </c>
      <c r="C1400" s="10">
        <f>IF($BI1400="","",IF($B1400="Onsite",INDEX(tbl_Onsite[Job Number],$BI1400),IF($B1400="Production",INDEX(tbl_Production[Job Number],$BI1400),INDEX(tbl_Consulting[Job Number],$BI1400)))&amp;"")</f>
        <v/>
      </c>
      <c r="D1400" s="10">
        <f>IF($BI1400="","",IF($B1400="Onsite",INDEX(tbl_Onsite[Client],$BI1400),IF($B1400="Production",INDEX(tbl_Production[Client],$BI1400),INDEX(tbl_Consulting[Client],$BI1400)))&amp;"")</f>
        <v/>
      </c>
      <c r="E1400" s="10">
        <f>IF($C1400="","",IF(COUNTIF(lst_Jobs,$C1400)&gt;0,"OK","CHECK"))</f>
        <v/>
      </c>
      <c r="F1400" s="10">
        <f>IF($C1400="","",IFERROR(INDEX(lst_JobName,MATCH($C1400,lst_Jobs,0)),""))</f>
        <v/>
      </c>
      <c r="G1400" s="10">
        <f>IF($BI1400="","",IF($B1400="Onsite",INDEX(tbl_Onsite[Job Description],$BI1400),IF($B1400="Production",INDEX(tbl_Production[Job Description],$BI1400),INDEX(tbl_Consulting[Job Description],$BI1400)))&amp;"")</f>
        <v/>
      </c>
      <c r="H1400" s="10">
        <f>IF($BI1400="","",IF($B1400="Onsite",INDEX(tbl_Onsite[Cost Centre],$BI1400),IF($B1400="Production",INDEX(tbl_Production[Cost Centre],$BI1400),INDEX(tbl_Consulting[Cost Centre],$BI1400)))&amp;"")</f>
        <v/>
      </c>
      <c r="I1400" s="10">
        <f>IF($BI1400="","",IF($B1400="Onsite",INDEX(tbl_Onsite[Invoice Type],$BI1400),IF($B1400="Production",INDEX(tbl_Production[Invoice Type],$BI1400),INDEX(tbl_Consulting[Invoice Type],$BI1400)))&amp;"")</f>
        <v/>
      </c>
      <c r="J1400" s="10">
        <f>IF($BI1400="","",IF($B1400="Onsite",INDEX(tbl_Onsite[Tax Code],$BI1400),IF($B1400="Production",INDEX(tbl_Production[Tax Code],$BI1400),INDEX(tbl_Consulting[Tax Code],$BI1400)))&amp;"")</f>
        <v/>
      </c>
      <c r="K1400" s="10">
        <f>IF(H1400="","",IFERROR(INDEX(lst_CCtoGL,MATCH(H1400,lst_CCforGL,0)),""))</f>
        <v/>
      </c>
      <c r="L1400" s="10">
        <f>IF($BI1400="","",IF($B1400="Onsite",INDEX(tbl_Onsite[PO / Reference],$BI1400),IF($B1400="Production",INDEX(tbl_Production[Current RMS No],$BI1400),INDEX(tbl_Consulting[Qwilr Quote],$BI1400)))&amp;"")</f>
        <v/>
      </c>
      <c r="M1400" s="10">
        <f>IF($BI1400="","",IF($B1400="Onsite",INDEX(tbl_Onsite[Notes],$BI1400),IF($B1400="Production",INDEX(tbl_Production[Notes],$BI1400),INDEX(tbl_Consulting[Notes],$BI1400)))&amp;"")</f>
        <v/>
      </c>
      <c r="N1400" s="11">
        <f>IF($BI1400="","",IF(IF($B1400="Onsite",INDEX(tbl_Onsite[Expected Revenue Ex GST],$BI1400),IF($B1400="Production",INDEX(tbl_Production[Expected Revenue Ex GST],$BI1400),INDEX(tbl_Consulting[Expected Revenue Ex GST],$BI1400)))="","",IF($B1400="Onsite",INDEX(tbl_Onsite[Expected Revenue Ex GST],$BI1400),IF($B1400="Production",INDEX(tbl_Production[Expected Revenue Ex GST],$BI1400),INDEX(tbl_Consulting[Expected Revenue Ex GST],$BI1400)))))</f>
        <v/>
      </c>
      <c r="O1400" s="11">
        <f>IF(AND($C1400="",NOT(COUNTA($S1400:$BB1400)&gt;0)),"",SUM(U1400,X1400,AA1400,AD1400,AG1400,AJ1400,AM1400,AP1400,AS1400,AV1400,AY1400,BB1400))</f>
        <v/>
      </c>
      <c r="P1400" s="11">
        <f>IF(O1400="","",N(N1400)-O1400)</f>
        <v/>
      </c>
      <c r="Q1400" s="10">
        <f>IF(O1400="","",IF($C1400="","Invoice on empty job row",IF(N1400="",IF(ROUND(O1400,2)=0,"No dept value","Invoiced - no dept value"),IF(ROUND(O1400,2)=0,"Not invoiced - to invoice",IF(ROUND(P1400,2)=0,"Agrees",IF(P1400&gt;0,"Dept higher - to invoice","Xero higher - check dept"))))))</f>
        <v/>
      </c>
      <c r="R1400" s="10">
        <f>IF(AND($C1400="",NOT(COUNTA($S1400:$BB1400)&gt;0),$BI1400&lt;&gt;""),"",MID(IF($BI1400="","; Row ID not found on the department sheet - a row was deleted","")&amp;IF(AND($C1400="",COUNTA($S1400:$BB1400)&gt;0),"; Invoice entered but the department row has no job number","")&amp;IF(E1400="CHECK","; Job number not in the Xero job list","")&amp;IF(AND($C1400&lt;&gt;"",COUNTIF($C$7:$C$1506,$C1400)&gt;1),"; Job number on more than one row","")&amp;IF(AND($C1400&lt;&gt;"",H1400=""),"; Dept has not set a cost centre","")&amp;IF(AND($C1400&lt;&gt;"",J1400=""),"; Dept has not set a tax code","")&amp;IF(AND($C1400&lt;&gt;"",N1400=""),"; Dept has not entered an expected value","")&amp;IF((IF(OR(COUNTA(S1400:U1400)=0,AND(COUNTA(S1400:U1400)=3,ISNUMBER(U1400))),0,1)+IF(OR(COUNTA(V1400:X1400)=0,AND(COUNTA(V1400:X1400)=3,ISNUMBER(X1400))),0,1)+IF(OR(COUNTA(Y1400:AA1400)=0,AND(COUNTA(Y1400:AA1400)=3,ISNUMBER(AA1400))),0,1)+IF(OR(COUNTA(AB1400:AD1400)=0,AND(COUNTA(AB1400:AD1400)=3,ISNUMBER(AD1400))),0,1)+IF(OR(COUNTA(AE1400:AG1400)=0,AND(COUNTA(AE1400:AG1400)=3,ISNUMBER(AG1400))),0,1)+IF(OR(COUNTA(AH1400:AJ1400)=0,AND(COUNTA(AH1400:AJ1400)=3,ISNUMBER(AJ1400))),0,1)+IF(OR(COUNTA(AK1400:AM1400)=0,AND(COUNTA(AK1400:AM1400)=3,ISNUMBER(AM1400))),0,1)+IF(OR(COUNTA(AN1400:AP1400)=0,AND(COUNTA(AN1400:AP1400)=3,ISNUMBER(AP1400))),0,1)+IF(OR(COUNTA(AQ1400:AS1400)=0,AND(COUNTA(AQ1400:AS1400)=3,ISNUMBER(AS1400))),0,1)+IF(OR(COUNTA(AT1400:AV1400)=0,AND(COUNTA(AT1400:AV1400)=3,ISNUMBER(AV1400))),0,1)+IF(OR(COUNTA(AW1400:AY1400)=0,AND(COUNTA(AW1400:AY1400)=3,ISNUMBER(AY1400))),0,1)+IF(OR(COUNTA(AZ1400:BB1400)=0,AND(COUNTA(AZ1400:BB1400)=3,ISNUMBER(BB1400))),0,1))&gt;0,"; An invoice is incomplete (needs No, Date and a number in Ex GST)","")&amp;IF((IF(T1400="",0,IFERROR(--(EOMONTH(T1400,0)&lt;&gt;S$5),1))+IF(W1400="",0,IFERROR(--(EOMONTH(W1400,0)&lt;&gt;V$5),1))+IF(Z1400="",0,IFERROR(--(EOMONTH(Z1400,0)&lt;&gt;Y$5),1))+IF(AC1400="",0,IFERROR(--(EOMONTH(AC1400,0)&lt;&gt;AB$5),1))+IF(AF1400="",0,IFERROR(--(EOMONTH(AF1400,0)&lt;&gt;AE$5),1))+IF(AI1400="",0,IFERROR(--(EOMONTH(AI1400,0)&lt;&gt;AH$5),1))+IF(AL1400="",0,IFERROR(--(EOMONTH(AL1400,0)&lt;&gt;AK$5),1))+IF(AO1400="",0,IFERROR(--(EOMONTH(AO1400,0)&lt;&gt;AN$5),1))+IF(AR1400="",0,IFERROR(--(EOMONTH(AR1400,0)&lt;&gt;AQ$5),1))+IF(AU1400="",0,IFERROR(--(EOMONTH(AU1400,0)&lt;&gt;AT$5),1))+IF(AX1400="",0,IFERROR(--(EOMONTH(AX1400,0)&lt;&gt;AW$5),1))+IF(BA1400="",0,IFERROR(--(EOMONTH(BA1400,0)&lt;&gt;AZ$5),1)))&gt;0,"; An invoice date is not in the month it is typed under",""),3,500))</f>
        <v/>
      </c>
      <c r="S1400" s="12" t="n"/>
      <c r="T1400" s="13" t="n"/>
      <c r="U1400" s="14" t="n"/>
      <c r="V1400" s="12" t="n"/>
      <c r="W1400" s="13" t="n"/>
      <c r="X1400" s="14" t="n"/>
      <c r="Y1400" s="12" t="n"/>
      <c r="Z1400" s="13" t="n"/>
      <c r="AA1400" s="14" t="n"/>
      <c r="AB1400" s="12" t="n"/>
      <c r="AC1400" s="13" t="n"/>
      <c r="AD1400" s="14" t="n"/>
      <c r="AE1400" s="12" t="n"/>
      <c r="AF1400" s="13" t="n"/>
      <c r="AG1400" s="14" t="n"/>
      <c r="AH1400" s="12" t="n"/>
      <c r="AI1400" s="13" t="n"/>
      <c r="AJ1400" s="14" t="n"/>
      <c r="AK1400" s="12" t="n"/>
      <c r="AL1400" s="13" t="n"/>
      <c r="AM1400" s="14" t="n"/>
      <c r="AN1400" s="12" t="n"/>
      <c r="AO1400" s="13" t="n"/>
      <c r="AP1400" s="14" t="n"/>
      <c r="AQ1400" s="12" t="n"/>
      <c r="AR1400" s="13" t="n"/>
      <c r="AS1400" s="14" t="n"/>
      <c r="AT1400" s="12" t="n"/>
      <c r="AU1400" s="13" t="n"/>
      <c r="AV1400" s="14" t="n"/>
      <c r="AW1400" s="12" t="n"/>
      <c r="AX1400" s="13" t="n"/>
      <c r="AY1400" s="14" t="n"/>
      <c r="AZ1400" s="12" t="n"/>
      <c r="BA1400" s="13" t="n"/>
      <c r="BB1400" s="14" t="n"/>
      <c r="BC1400" s="11">
        <f>IF(O1400="","",IF(J1400="GST 10%",ROUND(O1400*set_GSTRate,2),0))</f>
        <v/>
      </c>
      <c r="BD1400" s="11">
        <f>IF(O1400="","",O1400+BC1400)</f>
        <v/>
      </c>
      <c r="BE1400" s="15">
        <f>IF(O1400="","",COUNTA(S1400,V1400,Y1400,AB1400,AE1400,AH1400,AK1400,AN1400,AQ1400,AT1400,AW1400,AZ1400))</f>
        <v/>
      </c>
      <c r="BF1400" s="16">
        <f>IF(COUNT(T1400,W1400,Z1400,AC1400,AF1400,AI1400,AL1400,AO1400,AR1400,AU1400,AX1400,BA1400)=0,"",MAX(T1400,W1400,Z1400,AC1400,AF1400,AI1400,AL1400,AO1400,AR1400,AU1400,AX1400,BA1400))</f>
        <v/>
      </c>
      <c r="BG1400" s="10">
        <f>MID(IF(S1400="","",", "&amp;S1400)&amp;IF(V1400="","",", "&amp;V1400)&amp;IF(Y1400="","",", "&amp;Y1400)&amp;IF(AB1400="","",", "&amp;AB1400)&amp;IF(AE1400="","",", "&amp;AE1400)&amp;IF(AH1400="","",", "&amp;AH1400)&amp;IF(AK1400="","",", "&amp;AK1400)&amp;IF(AN1400="","",", "&amp;AN1400)&amp;IF(AQ1400="","",", "&amp;AQ1400)&amp;IF(AT1400="","",", "&amp;AT1400)&amp;IF(AW1400="","",", "&amp;AW1400)&amp;IF(AZ1400="","",", "&amp;AZ1400),3,500)</f>
        <v/>
      </c>
      <c r="BH1400" s="12" t="n"/>
      <c r="BI1400" s="15">
        <f>IFERROR(MATCH($A1400,IF($B1400="Onsite",tbl_Onsite[Row ID],IF($B1400="Production",tbl_Production[Row ID],tbl_Consulting[Row ID])),0),"")</f>
        <v/>
      </c>
    </row>
    <row r="1401">
      <c r="A1401" s="10" t="inlineStr">
        <is>
          <t>CON-0395</t>
        </is>
      </c>
      <c r="B1401" s="10" t="inlineStr">
        <is>
          <t>Consulting</t>
        </is>
      </c>
      <c r="C1401" s="10">
        <f>IF($BI1401="","",IF($B1401="Onsite",INDEX(tbl_Onsite[Job Number],$BI1401),IF($B1401="Production",INDEX(tbl_Production[Job Number],$BI1401),INDEX(tbl_Consulting[Job Number],$BI1401)))&amp;"")</f>
        <v/>
      </c>
      <c r="D1401" s="10">
        <f>IF($BI1401="","",IF($B1401="Onsite",INDEX(tbl_Onsite[Client],$BI1401),IF($B1401="Production",INDEX(tbl_Production[Client],$BI1401),INDEX(tbl_Consulting[Client],$BI1401)))&amp;"")</f>
        <v/>
      </c>
      <c r="E1401" s="10">
        <f>IF($C1401="","",IF(COUNTIF(lst_Jobs,$C1401)&gt;0,"OK","CHECK"))</f>
        <v/>
      </c>
      <c r="F1401" s="10">
        <f>IF($C1401="","",IFERROR(INDEX(lst_JobName,MATCH($C1401,lst_Jobs,0)),""))</f>
        <v/>
      </c>
      <c r="G1401" s="10">
        <f>IF($BI1401="","",IF($B1401="Onsite",INDEX(tbl_Onsite[Job Description],$BI1401),IF($B1401="Production",INDEX(tbl_Production[Job Description],$BI1401),INDEX(tbl_Consulting[Job Description],$BI1401)))&amp;"")</f>
        <v/>
      </c>
      <c r="H1401" s="10">
        <f>IF($BI1401="","",IF($B1401="Onsite",INDEX(tbl_Onsite[Cost Centre],$BI1401),IF($B1401="Production",INDEX(tbl_Production[Cost Centre],$BI1401),INDEX(tbl_Consulting[Cost Centre],$BI1401)))&amp;"")</f>
        <v/>
      </c>
      <c r="I1401" s="10">
        <f>IF($BI1401="","",IF($B1401="Onsite",INDEX(tbl_Onsite[Invoice Type],$BI1401),IF($B1401="Production",INDEX(tbl_Production[Invoice Type],$BI1401),INDEX(tbl_Consulting[Invoice Type],$BI1401)))&amp;"")</f>
        <v/>
      </c>
      <c r="J1401" s="10">
        <f>IF($BI1401="","",IF($B1401="Onsite",INDEX(tbl_Onsite[Tax Code],$BI1401),IF($B1401="Production",INDEX(tbl_Production[Tax Code],$BI1401),INDEX(tbl_Consulting[Tax Code],$BI1401)))&amp;"")</f>
        <v/>
      </c>
      <c r="K1401" s="10">
        <f>IF(H1401="","",IFERROR(INDEX(lst_CCtoGL,MATCH(H1401,lst_CCforGL,0)),""))</f>
        <v/>
      </c>
      <c r="L1401" s="10">
        <f>IF($BI1401="","",IF($B1401="Onsite",INDEX(tbl_Onsite[PO / Reference],$BI1401),IF($B1401="Production",INDEX(tbl_Production[Current RMS No],$BI1401),INDEX(tbl_Consulting[Qwilr Quote],$BI1401)))&amp;"")</f>
        <v/>
      </c>
      <c r="M1401" s="10">
        <f>IF($BI1401="","",IF($B1401="Onsite",INDEX(tbl_Onsite[Notes],$BI1401),IF($B1401="Production",INDEX(tbl_Production[Notes],$BI1401),INDEX(tbl_Consulting[Notes],$BI1401)))&amp;"")</f>
        <v/>
      </c>
      <c r="N1401" s="11">
        <f>IF($BI1401="","",IF(IF($B1401="Onsite",INDEX(tbl_Onsite[Expected Revenue Ex GST],$BI1401),IF($B1401="Production",INDEX(tbl_Production[Expected Revenue Ex GST],$BI1401),INDEX(tbl_Consulting[Expected Revenue Ex GST],$BI1401)))="","",IF($B1401="Onsite",INDEX(tbl_Onsite[Expected Revenue Ex GST],$BI1401),IF($B1401="Production",INDEX(tbl_Production[Expected Revenue Ex GST],$BI1401),INDEX(tbl_Consulting[Expected Revenue Ex GST],$BI1401)))))</f>
        <v/>
      </c>
      <c r="O1401" s="11">
        <f>IF(AND($C1401="",NOT(COUNTA($S1401:$BB1401)&gt;0)),"",SUM(U1401,X1401,AA1401,AD1401,AG1401,AJ1401,AM1401,AP1401,AS1401,AV1401,AY1401,BB1401))</f>
        <v/>
      </c>
      <c r="P1401" s="11">
        <f>IF(O1401="","",N(N1401)-O1401)</f>
        <v/>
      </c>
      <c r="Q1401" s="10">
        <f>IF(O1401="","",IF($C1401="","Invoice on empty job row",IF(N1401="",IF(ROUND(O1401,2)=0,"No dept value","Invoiced - no dept value"),IF(ROUND(O1401,2)=0,"Not invoiced - to invoice",IF(ROUND(P1401,2)=0,"Agrees",IF(P1401&gt;0,"Dept higher - to invoice","Xero higher - check dept"))))))</f>
        <v/>
      </c>
      <c r="R1401" s="10">
        <f>IF(AND($C1401="",NOT(COUNTA($S1401:$BB1401)&gt;0),$BI1401&lt;&gt;""),"",MID(IF($BI1401="","; Row ID not found on the department sheet - a row was deleted","")&amp;IF(AND($C1401="",COUNTA($S1401:$BB1401)&gt;0),"; Invoice entered but the department row has no job number","")&amp;IF(E1401="CHECK","; Job number not in the Xero job list","")&amp;IF(AND($C1401&lt;&gt;"",COUNTIF($C$7:$C$1506,$C1401)&gt;1),"; Job number on more than one row","")&amp;IF(AND($C1401&lt;&gt;"",H1401=""),"; Dept has not set a cost centre","")&amp;IF(AND($C1401&lt;&gt;"",J1401=""),"; Dept has not set a tax code","")&amp;IF(AND($C1401&lt;&gt;"",N1401=""),"; Dept has not entered an expected value","")&amp;IF((IF(OR(COUNTA(S1401:U1401)=0,AND(COUNTA(S1401:U1401)=3,ISNUMBER(U1401))),0,1)+IF(OR(COUNTA(V1401:X1401)=0,AND(COUNTA(V1401:X1401)=3,ISNUMBER(X1401))),0,1)+IF(OR(COUNTA(Y1401:AA1401)=0,AND(COUNTA(Y1401:AA1401)=3,ISNUMBER(AA1401))),0,1)+IF(OR(COUNTA(AB1401:AD1401)=0,AND(COUNTA(AB1401:AD1401)=3,ISNUMBER(AD1401))),0,1)+IF(OR(COUNTA(AE1401:AG1401)=0,AND(COUNTA(AE1401:AG1401)=3,ISNUMBER(AG1401))),0,1)+IF(OR(COUNTA(AH1401:AJ1401)=0,AND(COUNTA(AH1401:AJ1401)=3,ISNUMBER(AJ1401))),0,1)+IF(OR(COUNTA(AK1401:AM1401)=0,AND(COUNTA(AK1401:AM1401)=3,ISNUMBER(AM1401))),0,1)+IF(OR(COUNTA(AN1401:AP1401)=0,AND(COUNTA(AN1401:AP1401)=3,ISNUMBER(AP1401))),0,1)+IF(OR(COUNTA(AQ1401:AS1401)=0,AND(COUNTA(AQ1401:AS1401)=3,ISNUMBER(AS1401))),0,1)+IF(OR(COUNTA(AT1401:AV1401)=0,AND(COUNTA(AT1401:AV1401)=3,ISNUMBER(AV1401))),0,1)+IF(OR(COUNTA(AW1401:AY1401)=0,AND(COUNTA(AW1401:AY1401)=3,ISNUMBER(AY1401))),0,1)+IF(OR(COUNTA(AZ1401:BB1401)=0,AND(COUNTA(AZ1401:BB1401)=3,ISNUMBER(BB1401))),0,1))&gt;0,"; An invoice is incomplete (needs No, Date and a number in Ex GST)","")&amp;IF((IF(T1401="",0,IFERROR(--(EOMONTH(T1401,0)&lt;&gt;S$5),1))+IF(W1401="",0,IFERROR(--(EOMONTH(W1401,0)&lt;&gt;V$5),1))+IF(Z1401="",0,IFERROR(--(EOMONTH(Z1401,0)&lt;&gt;Y$5),1))+IF(AC1401="",0,IFERROR(--(EOMONTH(AC1401,0)&lt;&gt;AB$5),1))+IF(AF1401="",0,IFERROR(--(EOMONTH(AF1401,0)&lt;&gt;AE$5),1))+IF(AI1401="",0,IFERROR(--(EOMONTH(AI1401,0)&lt;&gt;AH$5),1))+IF(AL1401="",0,IFERROR(--(EOMONTH(AL1401,0)&lt;&gt;AK$5),1))+IF(AO1401="",0,IFERROR(--(EOMONTH(AO1401,0)&lt;&gt;AN$5),1))+IF(AR1401="",0,IFERROR(--(EOMONTH(AR1401,0)&lt;&gt;AQ$5),1))+IF(AU1401="",0,IFERROR(--(EOMONTH(AU1401,0)&lt;&gt;AT$5),1))+IF(AX1401="",0,IFERROR(--(EOMONTH(AX1401,0)&lt;&gt;AW$5),1))+IF(BA1401="",0,IFERROR(--(EOMONTH(BA1401,0)&lt;&gt;AZ$5),1)))&gt;0,"; An invoice date is not in the month it is typed under",""),3,500))</f>
        <v/>
      </c>
      <c r="S1401" s="12" t="n"/>
      <c r="T1401" s="13" t="n"/>
      <c r="U1401" s="14" t="n"/>
      <c r="V1401" s="12" t="n"/>
      <c r="W1401" s="13" t="n"/>
      <c r="X1401" s="14" t="n"/>
      <c r="Y1401" s="12" t="n"/>
      <c r="Z1401" s="13" t="n"/>
      <c r="AA1401" s="14" t="n"/>
      <c r="AB1401" s="12" t="n"/>
      <c r="AC1401" s="13" t="n"/>
      <c r="AD1401" s="14" t="n"/>
      <c r="AE1401" s="12" t="n"/>
      <c r="AF1401" s="13" t="n"/>
      <c r="AG1401" s="14" t="n"/>
      <c r="AH1401" s="12" t="n"/>
      <c r="AI1401" s="13" t="n"/>
      <c r="AJ1401" s="14" t="n"/>
      <c r="AK1401" s="12" t="n"/>
      <c r="AL1401" s="13" t="n"/>
      <c r="AM1401" s="14" t="n"/>
      <c r="AN1401" s="12" t="n"/>
      <c r="AO1401" s="13" t="n"/>
      <c r="AP1401" s="14" t="n"/>
      <c r="AQ1401" s="12" t="n"/>
      <c r="AR1401" s="13" t="n"/>
      <c r="AS1401" s="14" t="n"/>
      <c r="AT1401" s="12" t="n"/>
      <c r="AU1401" s="13" t="n"/>
      <c r="AV1401" s="14" t="n"/>
      <c r="AW1401" s="12" t="n"/>
      <c r="AX1401" s="13" t="n"/>
      <c r="AY1401" s="14" t="n"/>
      <c r="AZ1401" s="12" t="n"/>
      <c r="BA1401" s="13" t="n"/>
      <c r="BB1401" s="14" t="n"/>
      <c r="BC1401" s="11">
        <f>IF(O1401="","",IF(J1401="GST 10%",ROUND(O1401*set_GSTRate,2),0))</f>
        <v/>
      </c>
      <c r="BD1401" s="11">
        <f>IF(O1401="","",O1401+BC1401)</f>
        <v/>
      </c>
      <c r="BE1401" s="15">
        <f>IF(O1401="","",COUNTA(S1401,V1401,Y1401,AB1401,AE1401,AH1401,AK1401,AN1401,AQ1401,AT1401,AW1401,AZ1401))</f>
        <v/>
      </c>
      <c r="BF1401" s="16">
        <f>IF(COUNT(T1401,W1401,Z1401,AC1401,AF1401,AI1401,AL1401,AO1401,AR1401,AU1401,AX1401,BA1401)=0,"",MAX(T1401,W1401,Z1401,AC1401,AF1401,AI1401,AL1401,AO1401,AR1401,AU1401,AX1401,BA1401))</f>
        <v/>
      </c>
      <c r="BG1401" s="10">
        <f>MID(IF(S1401="","",", "&amp;S1401)&amp;IF(V1401="","",", "&amp;V1401)&amp;IF(Y1401="","",", "&amp;Y1401)&amp;IF(AB1401="","",", "&amp;AB1401)&amp;IF(AE1401="","",", "&amp;AE1401)&amp;IF(AH1401="","",", "&amp;AH1401)&amp;IF(AK1401="","",", "&amp;AK1401)&amp;IF(AN1401="","",", "&amp;AN1401)&amp;IF(AQ1401="","",", "&amp;AQ1401)&amp;IF(AT1401="","",", "&amp;AT1401)&amp;IF(AW1401="","",", "&amp;AW1401)&amp;IF(AZ1401="","",", "&amp;AZ1401),3,500)</f>
        <v/>
      </c>
      <c r="BH1401" s="12" t="n"/>
      <c r="BI1401" s="15">
        <f>IFERROR(MATCH($A1401,IF($B1401="Onsite",tbl_Onsite[Row ID],IF($B1401="Production",tbl_Production[Row ID],tbl_Consulting[Row ID])),0),"")</f>
        <v/>
      </c>
    </row>
    <row r="1402">
      <c r="A1402" s="10" t="inlineStr">
        <is>
          <t>CON-0396</t>
        </is>
      </c>
      <c r="B1402" s="10" t="inlineStr">
        <is>
          <t>Consulting</t>
        </is>
      </c>
      <c r="C1402" s="10">
        <f>IF($BI1402="","",IF($B1402="Onsite",INDEX(tbl_Onsite[Job Number],$BI1402),IF($B1402="Production",INDEX(tbl_Production[Job Number],$BI1402),INDEX(tbl_Consulting[Job Number],$BI1402)))&amp;"")</f>
        <v/>
      </c>
      <c r="D1402" s="10">
        <f>IF($BI1402="","",IF($B1402="Onsite",INDEX(tbl_Onsite[Client],$BI1402),IF($B1402="Production",INDEX(tbl_Production[Client],$BI1402),INDEX(tbl_Consulting[Client],$BI1402)))&amp;"")</f>
        <v/>
      </c>
      <c r="E1402" s="10">
        <f>IF($C1402="","",IF(COUNTIF(lst_Jobs,$C1402)&gt;0,"OK","CHECK"))</f>
        <v/>
      </c>
      <c r="F1402" s="10">
        <f>IF($C1402="","",IFERROR(INDEX(lst_JobName,MATCH($C1402,lst_Jobs,0)),""))</f>
        <v/>
      </c>
      <c r="G1402" s="10">
        <f>IF($BI1402="","",IF($B1402="Onsite",INDEX(tbl_Onsite[Job Description],$BI1402),IF($B1402="Production",INDEX(tbl_Production[Job Description],$BI1402),INDEX(tbl_Consulting[Job Description],$BI1402)))&amp;"")</f>
        <v/>
      </c>
      <c r="H1402" s="10">
        <f>IF($BI1402="","",IF($B1402="Onsite",INDEX(tbl_Onsite[Cost Centre],$BI1402),IF($B1402="Production",INDEX(tbl_Production[Cost Centre],$BI1402),INDEX(tbl_Consulting[Cost Centre],$BI1402)))&amp;"")</f>
        <v/>
      </c>
      <c r="I1402" s="10">
        <f>IF($BI1402="","",IF($B1402="Onsite",INDEX(tbl_Onsite[Invoice Type],$BI1402),IF($B1402="Production",INDEX(tbl_Production[Invoice Type],$BI1402),INDEX(tbl_Consulting[Invoice Type],$BI1402)))&amp;"")</f>
        <v/>
      </c>
      <c r="J1402" s="10">
        <f>IF($BI1402="","",IF($B1402="Onsite",INDEX(tbl_Onsite[Tax Code],$BI1402),IF($B1402="Production",INDEX(tbl_Production[Tax Code],$BI1402),INDEX(tbl_Consulting[Tax Code],$BI1402)))&amp;"")</f>
        <v/>
      </c>
      <c r="K1402" s="10">
        <f>IF(H1402="","",IFERROR(INDEX(lst_CCtoGL,MATCH(H1402,lst_CCforGL,0)),""))</f>
        <v/>
      </c>
      <c r="L1402" s="10">
        <f>IF($BI1402="","",IF($B1402="Onsite",INDEX(tbl_Onsite[PO / Reference],$BI1402),IF($B1402="Production",INDEX(tbl_Production[Current RMS No],$BI1402),INDEX(tbl_Consulting[Qwilr Quote],$BI1402)))&amp;"")</f>
        <v/>
      </c>
      <c r="M1402" s="10">
        <f>IF($BI1402="","",IF($B1402="Onsite",INDEX(tbl_Onsite[Notes],$BI1402),IF($B1402="Production",INDEX(tbl_Production[Notes],$BI1402),INDEX(tbl_Consulting[Notes],$BI1402)))&amp;"")</f>
        <v/>
      </c>
      <c r="N1402" s="11">
        <f>IF($BI1402="","",IF(IF($B1402="Onsite",INDEX(tbl_Onsite[Expected Revenue Ex GST],$BI1402),IF($B1402="Production",INDEX(tbl_Production[Expected Revenue Ex GST],$BI1402),INDEX(tbl_Consulting[Expected Revenue Ex GST],$BI1402)))="","",IF($B1402="Onsite",INDEX(tbl_Onsite[Expected Revenue Ex GST],$BI1402),IF($B1402="Production",INDEX(tbl_Production[Expected Revenue Ex GST],$BI1402),INDEX(tbl_Consulting[Expected Revenue Ex GST],$BI1402)))))</f>
        <v/>
      </c>
      <c r="O1402" s="11">
        <f>IF(AND($C1402="",NOT(COUNTA($S1402:$BB1402)&gt;0)),"",SUM(U1402,X1402,AA1402,AD1402,AG1402,AJ1402,AM1402,AP1402,AS1402,AV1402,AY1402,BB1402))</f>
        <v/>
      </c>
      <c r="P1402" s="11">
        <f>IF(O1402="","",N(N1402)-O1402)</f>
        <v/>
      </c>
      <c r="Q1402" s="10">
        <f>IF(O1402="","",IF($C1402="","Invoice on empty job row",IF(N1402="",IF(ROUND(O1402,2)=0,"No dept value","Invoiced - no dept value"),IF(ROUND(O1402,2)=0,"Not invoiced - to invoice",IF(ROUND(P1402,2)=0,"Agrees",IF(P1402&gt;0,"Dept higher - to invoice","Xero higher - check dept"))))))</f>
        <v/>
      </c>
      <c r="R1402" s="10">
        <f>IF(AND($C1402="",NOT(COUNTA($S1402:$BB1402)&gt;0),$BI1402&lt;&gt;""),"",MID(IF($BI1402="","; Row ID not found on the department sheet - a row was deleted","")&amp;IF(AND($C1402="",COUNTA($S1402:$BB1402)&gt;0),"; Invoice entered but the department row has no job number","")&amp;IF(E1402="CHECK","; Job number not in the Xero job list","")&amp;IF(AND($C1402&lt;&gt;"",COUNTIF($C$7:$C$1506,$C1402)&gt;1),"; Job number on more than one row","")&amp;IF(AND($C1402&lt;&gt;"",H1402=""),"; Dept has not set a cost centre","")&amp;IF(AND($C1402&lt;&gt;"",J1402=""),"; Dept has not set a tax code","")&amp;IF(AND($C1402&lt;&gt;"",N1402=""),"; Dept has not entered an expected value","")&amp;IF((IF(OR(COUNTA(S1402:U1402)=0,AND(COUNTA(S1402:U1402)=3,ISNUMBER(U1402))),0,1)+IF(OR(COUNTA(V1402:X1402)=0,AND(COUNTA(V1402:X1402)=3,ISNUMBER(X1402))),0,1)+IF(OR(COUNTA(Y1402:AA1402)=0,AND(COUNTA(Y1402:AA1402)=3,ISNUMBER(AA1402))),0,1)+IF(OR(COUNTA(AB1402:AD1402)=0,AND(COUNTA(AB1402:AD1402)=3,ISNUMBER(AD1402))),0,1)+IF(OR(COUNTA(AE1402:AG1402)=0,AND(COUNTA(AE1402:AG1402)=3,ISNUMBER(AG1402))),0,1)+IF(OR(COUNTA(AH1402:AJ1402)=0,AND(COUNTA(AH1402:AJ1402)=3,ISNUMBER(AJ1402))),0,1)+IF(OR(COUNTA(AK1402:AM1402)=0,AND(COUNTA(AK1402:AM1402)=3,ISNUMBER(AM1402))),0,1)+IF(OR(COUNTA(AN1402:AP1402)=0,AND(COUNTA(AN1402:AP1402)=3,ISNUMBER(AP1402))),0,1)+IF(OR(COUNTA(AQ1402:AS1402)=0,AND(COUNTA(AQ1402:AS1402)=3,ISNUMBER(AS1402))),0,1)+IF(OR(COUNTA(AT1402:AV1402)=0,AND(COUNTA(AT1402:AV1402)=3,ISNUMBER(AV1402))),0,1)+IF(OR(COUNTA(AW1402:AY1402)=0,AND(COUNTA(AW1402:AY1402)=3,ISNUMBER(AY1402))),0,1)+IF(OR(COUNTA(AZ1402:BB1402)=0,AND(COUNTA(AZ1402:BB1402)=3,ISNUMBER(BB1402))),0,1))&gt;0,"; An invoice is incomplete (needs No, Date and a number in Ex GST)","")&amp;IF((IF(T1402="",0,IFERROR(--(EOMONTH(T1402,0)&lt;&gt;S$5),1))+IF(W1402="",0,IFERROR(--(EOMONTH(W1402,0)&lt;&gt;V$5),1))+IF(Z1402="",0,IFERROR(--(EOMONTH(Z1402,0)&lt;&gt;Y$5),1))+IF(AC1402="",0,IFERROR(--(EOMONTH(AC1402,0)&lt;&gt;AB$5),1))+IF(AF1402="",0,IFERROR(--(EOMONTH(AF1402,0)&lt;&gt;AE$5),1))+IF(AI1402="",0,IFERROR(--(EOMONTH(AI1402,0)&lt;&gt;AH$5),1))+IF(AL1402="",0,IFERROR(--(EOMONTH(AL1402,0)&lt;&gt;AK$5),1))+IF(AO1402="",0,IFERROR(--(EOMONTH(AO1402,0)&lt;&gt;AN$5),1))+IF(AR1402="",0,IFERROR(--(EOMONTH(AR1402,0)&lt;&gt;AQ$5),1))+IF(AU1402="",0,IFERROR(--(EOMONTH(AU1402,0)&lt;&gt;AT$5),1))+IF(AX1402="",0,IFERROR(--(EOMONTH(AX1402,0)&lt;&gt;AW$5),1))+IF(BA1402="",0,IFERROR(--(EOMONTH(BA1402,0)&lt;&gt;AZ$5),1)))&gt;0,"; An invoice date is not in the month it is typed under",""),3,500))</f>
        <v/>
      </c>
      <c r="S1402" s="12" t="n"/>
      <c r="T1402" s="13" t="n"/>
      <c r="U1402" s="14" t="n"/>
      <c r="V1402" s="12" t="n"/>
      <c r="W1402" s="13" t="n"/>
      <c r="X1402" s="14" t="n"/>
      <c r="Y1402" s="12" t="n"/>
      <c r="Z1402" s="13" t="n"/>
      <c r="AA1402" s="14" t="n"/>
      <c r="AB1402" s="12" t="n"/>
      <c r="AC1402" s="13" t="n"/>
      <c r="AD1402" s="14" t="n"/>
      <c r="AE1402" s="12" t="n"/>
      <c r="AF1402" s="13" t="n"/>
      <c r="AG1402" s="14" t="n"/>
      <c r="AH1402" s="12" t="n"/>
      <c r="AI1402" s="13" t="n"/>
      <c r="AJ1402" s="14" t="n"/>
      <c r="AK1402" s="12" t="n"/>
      <c r="AL1402" s="13" t="n"/>
      <c r="AM1402" s="14" t="n"/>
      <c r="AN1402" s="12" t="n"/>
      <c r="AO1402" s="13" t="n"/>
      <c r="AP1402" s="14" t="n"/>
      <c r="AQ1402" s="12" t="n"/>
      <c r="AR1402" s="13" t="n"/>
      <c r="AS1402" s="14" t="n"/>
      <c r="AT1402" s="12" t="n"/>
      <c r="AU1402" s="13" t="n"/>
      <c r="AV1402" s="14" t="n"/>
      <c r="AW1402" s="12" t="n"/>
      <c r="AX1402" s="13" t="n"/>
      <c r="AY1402" s="14" t="n"/>
      <c r="AZ1402" s="12" t="n"/>
      <c r="BA1402" s="13" t="n"/>
      <c r="BB1402" s="14" t="n"/>
      <c r="BC1402" s="11">
        <f>IF(O1402="","",IF(J1402="GST 10%",ROUND(O1402*set_GSTRate,2),0))</f>
        <v/>
      </c>
      <c r="BD1402" s="11">
        <f>IF(O1402="","",O1402+BC1402)</f>
        <v/>
      </c>
      <c r="BE1402" s="15">
        <f>IF(O1402="","",COUNTA(S1402,V1402,Y1402,AB1402,AE1402,AH1402,AK1402,AN1402,AQ1402,AT1402,AW1402,AZ1402))</f>
        <v/>
      </c>
      <c r="BF1402" s="16">
        <f>IF(COUNT(T1402,W1402,Z1402,AC1402,AF1402,AI1402,AL1402,AO1402,AR1402,AU1402,AX1402,BA1402)=0,"",MAX(T1402,W1402,Z1402,AC1402,AF1402,AI1402,AL1402,AO1402,AR1402,AU1402,AX1402,BA1402))</f>
        <v/>
      </c>
      <c r="BG1402" s="10">
        <f>MID(IF(S1402="","",", "&amp;S1402)&amp;IF(V1402="","",", "&amp;V1402)&amp;IF(Y1402="","",", "&amp;Y1402)&amp;IF(AB1402="","",", "&amp;AB1402)&amp;IF(AE1402="","",", "&amp;AE1402)&amp;IF(AH1402="","",", "&amp;AH1402)&amp;IF(AK1402="","",", "&amp;AK1402)&amp;IF(AN1402="","",", "&amp;AN1402)&amp;IF(AQ1402="","",", "&amp;AQ1402)&amp;IF(AT1402="","",", "&amp;AT1402)&amp;IF(AW1402="","",", "&amp;AW1402)&amp;IF(AZ1402="","",", "&amp;AZ1402),3,500)</f>
        <v/>
      </c>
      <c r="BH1402" s="12" t="n"/>
      <c r="BI1402" s="15">
        <f>IFERROR(MATCH($A1402,IF($B1402="Onsite",tbl_Onsite[Row ID],IF($B1402="Production",tbl_Production[Row ID],tbl_Consulting[Row ID])),0),"")</f>
        <v/>
      </c>
    </row>
    <row r="1403">
      <c r="A1403" s="10" t="inlineStr">
        <is>
          <t>CON-0397</t>
        </is>
      </c>
      <c r="B1403" s="10" t="inlineStr">
        <is>
          <t>Consulting</t>
        </is>
      </c>
      <c r="C1403" s="10">
        <f>IF($BI1403="","",IF($B1403="Onsite",INDEX(tbl_Onsite[Job Number],$BI1403),IF($B1403="Production",INDEX(tbl_Production[Job Number],$BI1403),INDEX(tbl_Consulting[Job Number],$BI1403)))&amp;"")</f>
        <v/>
      </c>
      <c r="D1403" s="10">
        <f>IF($BI1403="","",IF($B1403="Onsite",INDEX(tbl_Onsite[Client],$BI1403),IF($B1403="Production",INDEX(tbl_Production[Client],$BI1403),INDEX(tbl_Consulting[Client],$BI1403)))&amp;"")</f>
        <v/>
      </c>
      <c r="E1403" s="10">
        <f>IF($C1403="","",IF(COUNTIF(lst_Jobs,$C1403)&gt;0,"OK","CHECK"))</f>
        <v/>
      </c>
      <c r="F1403" s="10">
        <f>IF($C1403="","",IFERROR(INDEX(lst_JobName,MATCH($C1403,lst_Jobs,0)),""))</f>
        <v/>
      </c>
      <c r="G1403" s="10">
        <f>IF($BI1403="","",IF($B1403="Onsite",INDEX(tbl_Onsite[Job Description],$BI1403),IF($B1403="Production",INDEX(tbl_Production[Job Description],$BI1403),INDEX(tbl_Consulting[Job Description],$BI1403)))&amp;"")</f>
        <v/>
      </c>
      <c r="H1403" s="10">
        <f>IF($BI1403="","",IF($B1403="Onsite",INDEX(tbl_Onsite[Cost Centre],$BI1403),IF($B1403="Production",INDEX(tbl_Production[Cost Centre],$BI1403),INDEX(tbl_Consulting[Cost Centre],$BI1403)))&amp;"")</f>
        <v/>
      </c>
      <c r="I1403" s="10">
        <f>IF($BI1403="","",IF($B1403="Onsite",INDEX(tbl_Onsite[Invoice Type],$BI1403),IF($B1403="Production",INDEX(tbl_Production[Invoice Type],$BI1403),INDEX(tbl_Consulting[Invoice Type],$BI1403)))&amp;"")</f>
        <v/>
      </c>
      <c r="J1403" s="10">
        <f>IF($BI1403="","",IF($B1403="Onsite",INDEX(tbl_Onsite[Tax Code],$BI1403),IF($B1403="Production",INDEX(tbl_Production[Tax Code],$BI1403),INDEX(tbl_Consulting[Tax Code],$BI1403)))&amp;"")</f>
        <v/>
      </c>
      <c r="K1403" s="10">
        <f>IF(H1403="","",IFERROR(INDEX(lst_CCtoGL,MATCH(H1403,lst_CCforGL,0)),""))</f>
        <v/>
      </c>
      <c r="L1403" s="10">
        <f>IF($BI1403="","",IF($B1403="Onsite",INDEX(tbl_Onsite[PO / Reference],$BI1403),IF($B1403="Production",INDEX(tbl_Production[Current RMS No],$BI1403),INDEX(tbl_Consulting[Qwilr Quote],$BI1403)))&amp;"")</f>
        <v/>
      </c>
      <c r="M1403" s="10">
        <f>IF($BI1403="","",IF($B1403="Onsite",INDEX(tbl_Onsite[Notes],$BI1403),IF($B1403="Production",INDEX(tbl_Production[Notes],$BI1403),INDEX(tbl_Consulting[Notes],$BI1403)))&amp;"")</f>
        <v/>
      </c>
      <c r="N1403" s="11">
        <f>IF($BI1403="","",IF(IF($B1403="Onsite",INDEX(tbl_Onsite[Expected Revenue Ex GST],$BI1403),IF($B1403="Production",INDEX(tbl_Production[Expected Revenue Ex GST],$BI1403),INDEX(tbl_Consulting[Expected Revenue Ex GST],$BI1403)))="","",IF($B1403="Onsite",INDEX(tbl_Onsite[Expected Revenue Ex GST],$BI1403),IF($B1403="Production",INDEX(tbl_Production[Expected Revenue Ex GST],$BI1403),INDEX(tbl_Consulting[Expected Revenue Ex GST],$BI1403)))))</f>
        <v/>
      </c>
      <c r="O1403" s="11">
        <f>IF(AND($C1403="",NOT(COUNTA($S1403:$BB1403)&gt;0)),"",SUM(U1403,X1403,AA1403,AD1403,AG1403,AJ1403,AM1403,AP1403,AS1403,AV1403,AY1403,BB1403))</f>
        <v/>
      </c>
      <c r="P1403" s="11">
        <f>IF(O1403="","",N(N1403)-O1403)</f>
        <v/>
      </c>
      <c r="Q1403" s="10">
        <f>IF(O1403="","",IF($C1403="","Invoice on empty job row",IF(N1403="",IF(ROUND(O1403,2)=0,"No dept value","Invoiced - no dept value"),IF(ROUND(O1403,2)=0,"Not invoiced - to invoice",IF(ROUND(P1403,2)=0,"Agrees",IF(P1403&gt;0,"Dept higher - to invoice","Xero higher - check dept"))))))</f>
        <v/>
      </c>
      <c r="R1403" s="10">
        <f>IF(AND($C1403="",NOT(COUNTA($S1403:$BB1403)&gt;0),$BI1403&lt;&gt;""),"",MID(IF($BI1403="","; Row ID not found on the department sheet - a row was deleted","")&amp;IF(AND($C1403="",COUNTA($S1403:$BB1403)&gt;0),"; Invoice entered but the department row has no job number","")&amp;IF(E1403="CHECK","; Job number not in the Xero job list","")&amp;IF(AND($C1403&lt;&gt;"",COUNTIF($C$7:$C$1506,$C1403)&gt;1),"; Job number on more than one row","")&amp;IF(AND($C1403&lt;&gt;"",H1403=""),"; Dept has not set a cost centre","")&amp;IF(AND($C1403&lt;&gt;"",J1403=""),"; Dept has not set a tax code","")&amp;IF(AND($C1403&lt;&gt;"",N1403=""),"; Dept has not entered an expected value","")&amp;IF((IF(OR(COUNTA(S1403:U1403)=0,AND(COUNTA(S1403:U1403)=3,ISNUMBER(U1403))),0,1)+IF(OR(COUNTA(V1403:X1403)=0,AND(COUNTA(V1403:X1403)=3,ISNUMBER(X1403))),0,1)+IF(OR(COUNTA(Y1403:AA1403)=0,AND(COUNTA(Y1403:AA1403)=3,ISNUMBER(AA1403))),0,1)+IF(OR(COUNTA(AB1403:AD1403)=0,AND(COUNTA(AB1403:AD1403)=3,ISNUMBER(AD1403))),0,1)+IF(OR(COUNTA(AE1403:AG1403)=0,AND(COUNTA(AE1403:AG1403)=3,ISNUMBER(AG1403))),0,1)+IF(OR(COUNTA(AH1403:AJ1403)=0,AND(COUNTA(AH1403:AJ1403)=3,ISNUMBER(AJ1403))),0,1)+IF(OR(COUNTA(AK1403:AM1403)=0,AND(COUNTA(AK1403:AM1403)=3,ISNUMBER(AM1403))),0,1)+IF(OR(COUNTA(AN1403:AP1403)=0,AND(COUNTA(AN1403:AP1403)=3,ISNUMBER(AP1403))),0,1)+IF(OR(COUNTA(AQ1403:AS1403)=0,AND(COUNTA(AQ1403:AS1403)=3,ISNUMBER(AS1403))),0,1)+IF(OR(COUNTA(AT1403:AV1403)=0,AND(COUNTA(AT1403:AV1403)=3,ISNUMBER(AV1403))),0,1)+IF(OR(COUNTA(AW1403:AY1403)=0,AND(COUNTA(AW1403:AY1403)=3,ISNUMBER(AY1403))),0,1)+IF(OR(COUNTA(AZ1403:BB1403)=0,AND(COUNTA(AZ1403:BB1403)=3,ISNUMBER(BB1403))),0,1))&gt;0,"; An invoice is incomplete (needs No, Date and a number in Ex GST)","")&amp;IF((IF(T1403="",0,IFERROR(--(EOMONTH(T1403,0)&lt;&gt;S$5),1))+IF(W1403="",0,IFERROR(--(EOMONTH(W1403,0)&lt;&gt;V$5),1))+IF(Z1403="",0,IFERROR(--(EOMONTH(Z1403,0)&lt;&gt;Y$5),1))+IF(AC1403="",0,IFERROR(--(EOMONTH(AC1403,0)&lt;&gt;AB$5),1))+IF(AF1403="",0,IFERROR(--(EOMONTH(AF1403,0)&lt;&gt;AE$5),1))+IF(AI1403="",0,IFERROR(--(EOMONTH(AI1403,0)&lt;&gt;AH$5),1))+IF(AL1403="",0,IFERROR(--(EOMONTH(AL1403,0)&lt;&gt;AK$5),1))+IF(AO1403="",0,IFERROR(--(EOMONTH(AO1403,0)&lt;&gt;AN$5),1))+IF(AR1403="",0,IFERROR(--(EOMONTH(AR1403,0)&lt;&gt;AQ$5),1))+IF(AU1403="",0,IFERROR(--(EOMONTH(AU1403,0)&lt;&gt;AT$5),1))+IF(AX1403="",0,IFERROR(--(EOMONTH(AX1403,0)&lt;&gt;AW$5),1))+IF(BA1403="",0,IFERROR(--(EOMONTH(BA1403,0)&lt;&gt;AZ$5),1)))&gt;0,"; An invoice date is not in the month it is typed under",""),3,500))</f>
        <v/>
      </c>
      <c r="S1403" s="12" t="n"/>
      <c r="T1403" s="13" t="n"/>
      <c r="U1403" s="14" t="n"/>
      <c r="V1403" s="12" t="n"/>
      <c r="W1403" s="13" t="n"/>
      <c r="X1403" s="14" t="n"/>
      <c r="Y1403" s="12" t="n"/>
      <c r="Z1403" s="13" t="n"/>
      <c r="AA1403" s="14" t="n"/>
      <c r="AB1403" s="12" t="n"/>
      <c r="AC1403" s="13" t="n"/>
      <c r="AD1403" s="14" t="n"/>
      <c r="AE1403" s="12" t="n"/>
      <c r="AF1403" s="13" t="n"/>
      <c r="AG1403" s="14" t="n"/>
      <c r="AH1403" s="12" t="n"/>
      <c r="AI1403" s="13" t="n"/>
      <c r="AJ1403" s="14" t="n"/>
      <c r="AK1403" s="12" t="n"/>
      <c r="AL1403" s="13" t="n"/>
      <c r="AM1403" s="14" t="n"/>
      <c r="AN1403" s="12" t="n"/>
      <c r="AO1403" s="13" t="n"/>
      <c r="AP1403" s="14" t="n"/>
      <c r="AQ1403" s="12" t="n"/>
      <c r="AR1403" s="13" t="n"/>
      <c r="AS1403" s="14" t="n"/>
      <c r="AT1403" s="12" t="n"/>
      <c r="AU1403" s="13" t="n"/>
      <c r="AV1403" s="14" t="n"/>
      <c r="AW1403" s="12" t="n"/>
      <c r="AX1403" s="13" t="n"/>
      <c r="AY1403" s="14" t="n"/>
      <c r="AZ1403" s="12" t="n"/>
      <c r="BA1403" s="13" t="n"/>
      <c r="BB1403" s="14" t="n"/>
      <c r="BC1403" s="11">
        <f>IF(O1403="","",IF(J1403="GST 10%",ROUND(O1403*set_GSTRate,2),0))</f>
        <v/>
      </c>
      <c r="BD1403" s="11">
        <f>IF(O1403="","",O1403+BC1403)</f>
        <v/>
      </c>
      <c r="BE1403" s="15">
        <f>IF(O1403="","",COUNTA(S1403,V1403,Y1403,AB1403,AE1403,AH1403,AK1403,AN1403,AQ1403,AT1403,AW1403,AZ1403))</f>
        <v/>
      </c>
      <c r="BF1403" s="16">
        <f>IF(COUNT(T1403,W1403,Z1403,AC1403,AF1403,AI1403,AL1403,AO1403,AR1403,AU1403,AX1403,BA1403)=0,"",MAX(T1403,W1403,Z1403,AC1403,AF1403,AI1403,AL1403,AO1403,AR1403,AU1403,AX1403,BA1403))</f>
        <v/>
      </c>
      <c r="BG1403" s="10">
        <f>MID(IF(S1403="","",", "&amp;S1403)&amp;IF(V1403="","",", "&amp;V1403)&amp;IF(Y1403="","",", "&amp;Y1403)&amp;IF(AB1403="","",", "&amp;AB1403)&amp;IF(AE1403="","",", "&amp;AE1403)&amp;IF(AH1403="","",", "&amp;AH1403)&amp;IF(AK1403="","",", "&amp;AK1403)&amp;IF(AN1403="","",", "&amp;AN1403)&amp;IF(AQ1403="","",", "&amp;AQ1403)&amp;IF(AT1403="","",", "&amp;AT1403)&amp;IF(AW1403="","",", "&amp;AW1403)&amp;IF(AZ1403="","",", "&amp;AZ1403),3,500)</f>
        <v/>
      </c>
      <c r="BH1403" s="12" t="n"/>
      <c r="BI1403" s="15">
        <f>IFERROR(MATCH($A1403,IF($B1403="Onsite",tbl_Onsite[Row ID],IF($B1403="Production",tbl_Production[Row ID],tbl_Consulting[Row ID])),0),"")</f>
        <v/>
      </c>
    </row>
    <row r="1404">
      <c r="A1404" s="10" t="inlineStr">
        <is>
          <t>CON-0398</t>
        </is>
      </c>
      <c r="B1404" s="10" t="inlineStr">
        <is>
          <t>Consulting</t>
        </is>
      </c>
      <c r="C1404" s="10">
        <f>IF($BI1404="","",IF($B1404="Onsite",INDEX(tbl_Onsite[Job Number],$BI1404),IF($B1404="Production",INDEX(tbl_Production[Job Number],$BI1404),INDEX(tbl_Consulting[Job Number],$BI1404)))&amp;"")</f>
        <v/>
      </c>
      <c r="D1404" s="10">
        <f>IF($BI1404="","",IF($B1404="Onsite",INDEX(tbl_Onsite[Client],$BI1404),IF($B1404="Production",INDEX(tbl_Production[Client],$BI1404),INDEX(tbl_Consulting[Client],$BI1404)))&amp;"")</f>
        <v/>
      </c>
      <c r="E1404" s="10">
        <f>IF($C1404="","",IF(COUNTIF(lst_Jobs,$C1404)&gt;0,"OK","CHECK"))</f>
        <v/>
      </c>
      <c r="F1404" s="10">
        <f>IF($C1404="","",IFERROR(INDEX(lst_JobName,MATCH($C1404,lst_Jobs,0)),""))</f>
        <v/>
      </c>
      <c r="G1404" s="10">
        <f>IF($BI1404="","",IF($B1404="Onsite",INDEX(tbl_Onsite[Job Description],$BI1404),IF($B1404="Production",INDEX(tbl_Production[Job Description],$BI1404),INDEX(tbl_Consulting[Job Description],$BI1404)))&amp;"")</f>
        <v/>
      </c>
      <c r="H1404" s="10">
        <f>IF($BI1404="","",IF($B1404="Onsite",INDEX(tbl_Onsite[Cost Centre],$BI1404),IF($B1404="Production",INDEX(tbl_Production[Cost Centre],$BI1404),INDEX(tbl_Consulting[Cost Centre],$BI1404)))&amp;"")</f>
        <v/>
      </c>
      <c r="I1404" s="10">
        <f>IF($BI1404="","",IF($B1404="Onsite",INDEX(tbl_Onsite[Invoice Type],$BI1404),IF($B1404="Production",INDEX(tbl_Production[Invoice Type],$BI1404),INDEX(tbl_Consulting[Invoice Type],$BI1404)))&amp;"")</f>
        <v/>
      </c>
      <c r="J1404" s="10">
        <f>IF($BI1404="","",IF($B1404="Onsite",INDEX(tbl_Onsite[Tax Code],$BI1404),IF($B1404="Production",INDEX(tbl_Production[Tax Code],$BI1404),INDEX(tbl_Consulting[Tax Code],$BI1404)))&amp;"")</f>
        <v/>
      </c>
      <c r="K1404" s="10">
        <f>IF(H1404="","",IFERROR(INDEX(lst_CCtoGL,MATCH(H1404,lst_CCforGL,0)),""))</f>
        <v/>
      </c>
      <c r="L1404" s="10">
        <f>IF($BI1404="","",IF($B1404="Onsite",INDEX(tbl_Onsite[PO / Reference],$BI1404),IF($B1404="Production",INDEX(tbl_Production[Current RMS No],$BI1404),INDEX(tbl_Consulting[Qwilr Quote],$BI1404)))&amp;"")</f>
        <v/>
      </c>
      <c r="M1404" s="10">
        <f>IF($BI1404="","",IF($B1404="Onsite",INDEX(tbl_Onsite[Notes],$BI1404),IF($B1404="Production",INDEX(tbl_Production[Notes],$BI1404),INDEX(tbl_Consulting[Notes],$BI1404)))&amp;"")</f>
        <v/>
      </c>
      <c r="N1404" s="11">
        <f>IF($BI1404="","",IF(IF($B1404="Onsite",INDEX(tbl_Onsite[Expected Revenue Ex GST],$BI1404),IF($B1404="Production",INDEX(tbl_Production[Expected Revenue Ex GST],$BI1404),INDEX(tbl_Consulting[Expected Revenue Ex GST],$BI1404)))="","",IF($B1404="Onsite",INDEX(tbl_Onsite[Expected Revenue Ex GST],$BI1404),IF($B1404="Production",INDEX(tbl_Production[Expected Revenue Ex GST],$BI1404),INDEX(tbl_Consulting[Expected Revenue Ex GST],$BI1404)))))</f>
        <v/>
      </c>
      <c r="O1404" s="11">
        <f>IF(AND($C1404="",NOT(COUNTA($S1404:$BB1404)&gt;0)),"",SUM(U1404,X1404,AA1404,AD1404,AG1404,AJ1404,AM1404,AP1404,AS1404,AV1404,AY1404,BB1404))</f>
        <v/>
      </c>
      <c r="P1404" s="11">
        <f>IF(O1404="","",N(N1404)-O1404)</f>
        <v/>
      </c>
      <c r="Q1404" s="10">
        <f>IF(O1404="","",IF($C1404="","Invoice on empty job row",IF(N1404="",IF(ROUND(O1404,2)=0,"No dept value","Invoiced - no dept value"),IF(ROUND(O1404,2)=0,"Not invoiced - to invoice",IF(ROUND(P1404,2)=0,"Agrees",IF(P1404&gt;0,"Dept higher - to invoice","Xero higher - check dept"))))))</f>
        <v/>
      </c>
      <c r="R1404" s="10">
        <f>IF(AND($C1404="",NOT(COUNTA($S1404:$BB1404)&gt;0),$BI1404&lt;&gt;""),"",MID(IF($BI1404="","; Row ID not found on the department sheet - a row was deleted","")&amp;IF(AND($C1404="",COUNTA($S1404:$BB1404)&gt;0),"; Invoice entered but the department row has no job number","")&amp;IF(E1404="CHECK","; Job number not in the Xero job list","")&amp;IF(AND($C1404&lt;&gt;"",COUNTIF($C$7:$C$1506,$C1404)&gt;1),"; Job number on more than one row","")&amp;IF(AND($C1404&lt;&gt;"",H1404=""),"; Dept has not set a cost centre","")&amp;IF(AND($C1404&lt;&gt;"",J1404=""),"; Dept has not set a tax code","")&amp;IF(AND($C1404&lt;&gt;"",N1404=""),"; Dept has not entered an expected value","")&amp;IF((IF(OR(COUNTA(S1404:U1404)=0,AND(COUNTA(S1404:U1404)=3,ISNUMBER(U1404))),0,1)+IF(OR(COUNTA(V1404:X1404)=0,AND(COUNTA(V1404:X1404)=3,ISNUMBER(X1404))),0,1)+IF(OR(COUNTA(Y1404:AA1404)=0,AND(COUNTA(Y1404:AA1404)=3,ISNUMBER(AA1404))),0,1)+IF(OR(COUNTA(AB1404:AD1404)=0,AND(COUNTA(AB1404:AD1404)=3,ISNUMBER(AD1404))),0,1)+IF(OR(COUNTA(AE1404:AG1404)=0,AND(COUNTA(AE1404:AG1404)=3,ISNUMBER(AG1404))),0,1)+IF(OR(COUNTA(AH1404:AJ1404)=0,AND(COUNTA(AH1404:AJ1404)=3,ISNUMBER(AJ1404))),0,1)+IF(OR(COUNTA(AK1404:AM1404)=0,AND(COUNTA(AK1404:AM1404)=3,ISNUMBER(AM1404))),0,1)+IF(OR(COUNTA(AN1404:AP1404)=0,AND(COUNTA(AN1404:AP1404)=3,ISNUMBER(AP1404))),0,1)+IF(OR(COUNTA(AQ1404:AS1404)=0,AND(COUNTA(AQ1404:AS1404)=3,ISNUMBER(AS1404))),0,1)+IF(OR(COUNTA(AT1404:AV1404)=0,AND(COUNTA(AT1404:AV1404)=3,ISNUMBER(AV1404))),0,1)+IF(OR(COUNTA(AW1404:AY1404)=0,AND(COUNTA(AW1404:AY1404)=3,ISNUMBER(AY1404))),0,1)+IF(OR(COUNTA(AZ1404:BB1404)=0,AND(COUNTA(AZ1404:BB1404)=3,ISNUMBER(BB1404))),0,1))&gt;0,"; An invoice is incomplete (needs No, Date and a number in Ex GST)","")&amp;IF((IF(T1404="",0,IFERROR(--(EOMONTH(T1404,0)&lt;&gt;S$5),1))+IF(W1404="",0,IFERROR(--(EOMONTH(W1404,0)&lt;&gt;V$5),1))+IF(Z1404="",0,IFERROR(--(EOMONTH(Z1404,0)&lt;&gt;Y$5),1))+IF(AC1404="",0,IFERROR(--(EOMONTH(AC1404,0)&lt;&gt;AB$5),1))+IF(AF1404="",0,IFERROR(--(EOMONTH(AF1404,0)&lt;&gt;AE$5),1))+IF(AI1404="",0,IFERROR(--(EOMONTH(AI1404,0)&lt;&gt;AH$5),1))+IF(AL1404="",0,IFERROR(--(EOMONTH(AL1404,0)&lt;&gt;AK$5),1))+IF(AO1404="",0,IFERROR(--(EOMONTH(AO1404,0)&lt;&gt;AN$5),1))+IF(AR1404="",0,IFERROR(--(EOMONTH(AR1404,0)&lt;&gt;AQ$5),1))+IF(AU1404="",0,IFERROR(--(EOMONTH(AU1404,0)&lt;&gt;AT$5),1))+IF(AX1404="",0,IFERROR(--(EOMONTH(AX1404,0)&lt;&gt;AW$5),1))+IF(BA1404="",0,IFERROR(--(EOMONTH(BA1404,0)&lt;&gt;AZ$5),1)))&gt;0,"; An invoice date is not in the month it is typed under",""),3,500))</f>
        <v/>
      </c>
      <c r="S1404" s="12" t="n"/>
      <c r="T1404" s="13" t="n"/>
      <c r="U1404" s="14" t="n"/>
      <c r="V1404" s="12" t="n"/>
      <c r="W1404" s="13" t="n"/>
      <c r="X1404" s="14" t="n"/>
      <c r="Y1404" s="12" t="n"/>
      <c r="Z1404" s="13" t="n"/>
      <c r="AA1404" s="14" t="n"/>
      <c r="AB1404" s="12" t="n"/>
      <c r="AC1404" s="13" t="n"/>
      <c r="AD1404" s="14" t="n"/>
      <c r="AE1404" s="12" t="n"/>
      <c r="AF1404" s="13" t="n"/>
      <c r="AG1404" s="14" t="n"/>
      <c r="AH1404" s="12" t="n"/>
      <c r="AI1404" s="13" t="n"/>
      <c r="AJ1404" s="14" t="n"/>
      <c r="AK1404" s="12" t="n"/>
      <c r="AL1404" s="13" t="n"/>
      <c r="AM1404" s="14" t="n"/>
      <c r="AN1404" s="12" t="n"/>
      <c r="AO1404" s="13" t="n"/>
      <c r="AP1404" s="14" t="n"/>
      <c r="AQ1404" s="12" t="n"/>
      <c r="AR1404" s="13" t="n"/>
      <c r="AS1404" s="14" t="n"/>
      <c r="AT1404" s="12" t="n"/>
      <c r="AU1404" s="13" t="n"/>
      <c r="AV1404" s="14" t="n"/>
      <c r="AW1404" s="12" t="n"/>
      <c r="AX1404" s="13" t="n"/>
      <c r="AY1404" s="14" t="n"/>
      <c r="AZ1404" s="12" t="n"/>
      <c r="BA1404" s="13" t="n"/>
      <c r="BB1404" s="14" t="n"/>
      <c r="BC1404" s="11">
        <f>IF(O1404="","",IF(J1404="GST 10%",ROUND(O1404*set_GSTRate,2),0))</f>
        <v/>
      </c>
      <c r="BD1404" s="11">
        <f>IF(O1404="","",O1404+BC1404)</f>
        <v/>
      </c>
      <c r="BE1404" s="15">
        <f>IF(O1404="","",COUNTA(S1404,V1404,Y1404,AB1404,AE1404,AH1404,AK1404,AN1404,AQ1404,AT1404,AW1404,AZ1404))</f>
        <v/>
      </c>
      <c r="BF1404" s="16">
        <f>IF(COUNT(T1404,W1404,Z1404,AC1404,AF1404,AI1404,AL1404,AO1404,AR1404,AU1404,AX1404,BA1404)=0,"",MAX(T1404,W1404,Z1404,AC1404,AF1404,AI1404,AL1404,AO1404,AR1404,AU1404,AX1404,BA1404))</f>
        <v/>
      </c>
      <c r="BG1404" s="10">
        <f>MID(IF(S1404="","",", "&amp;S1404)&amp;IF(V1404="","",", "&amp;V1404)&amp;IF(Y1404="","",", "&amp;Y1404)&amp;IF(AB1404="","",", "&amp;AB1404)&amp;IF(AE1404="","",", "&amp;AE1404)&amp;IF(AH1404="","",", "&amp;AH1404)&amp;IF(AK1404="","",", "&amp;AK1404)&amp;IF(AN1404="","",", "&amp;AN1404)&amp;IF(AQ1404="","",", "&amp;AQ1404)&amp;IF(AT1404="","",", "&amp;AT1404)&amp;IF(AW1404="","",", "&amp;AW1404)&amp;IF(AZ1404="","",", "&amp;AZ1404),3,500)</f>
        <v/>
      </c>
      <c r="BH1404" s="12" t="n"/>
      <c r="BI1404" s="15">
        <f>IFERROR(MATCH($A1404,IF($B1404="Onsite",tbl_Onsite[Row ID],IF($B1404="Production",tbl_Production[Row ID],tbl_Consulting[Row ID])),0),"")</f>
        <v/>
      </c>
    </row>
    <row r="1405">
      <c r="A1405" s="10" t="inlineStr">
        <is>
          <t>CON-0399</t>
        </is>
      </c>
      <c r="B1405" s="10" t="inlineStr">
        <is>
          <t>Consulting</t>
        </is>
      </c>
      <c r="C1405" s="10">
        <f>IF($BI1405="","",IF($B1405="Onsite",INDEX(tbl_Onsite[Job Number],$BI1405),IF($B1405="Production",INDEX(tbl_Production[Job Number],$BI1405),INDEX(tbl_Consulting[Job Number],$BI1405)))&amp;"")</f>
        <v/>
      </c>
      <c r="D1405" s="10">
        <f>IF($BI1405="","",IF($B1405="Onsite",INDEX(tbl_Onsite[Client],$BI1405),IF($B1405="Production",INDEX(tbl_Production[Client],$BI1405),INDEX(tbl_Consulting[Client],$BI1405)))&amp;"")</f>
        <v/>
      </c>
      <c r="E1405" s="10">
        <f>IF($C1405="","",IF(COUNTIF(lst_Jobs,$C1405)&gt;0,"OK","CHECK"))</f>
        <v/>
      </c>
      <c r="F1405" s="10">
        <f>IF($C1405="","",IFERROR(INDEX(lst_JobName,MATCH($C1405,lst_Jobs,0)),""))</f>
        <v/>
      </c>
      <c r="G1405" s="10">
        <f>IF($BI1405="","",IF($B1405="Onsite",INDEX(tbl_Onsite[Job Description],$BI1405),IF($B1405="Production",INDEX(tbl_Production[Job Description],$BI1405),INDEX(tbl_Consulting[Job Description],$BI1405)))&amp;"")</f>
        <v/>
      </c>
      <c r="H1405" s="10">
        <f>IF($BI1405="","",IF($B1405="Onsite",INDEX(tbl_Onsite[Cost Centre],$BI1405),IF($B1405="Production",INDEX(tbl_Production[Cost Centre],$BI1405),INDEX(tbl_Consulting[Cost Centre],$BI1405)))&amp;"")</f>
        <v/>
      </c>
      <c r="I1405" s="10">
        <f>IF($BI1405="","",IF($B1405="Onsite",INDEX(tbl_Onsite[Invoice Type],$BI1405),IF($B1405="Production",INDEX(tbl_Production[Invoice Type],$BI1405),INDEX(tbl_Consulting[Invoice Type],$BI1405)))&amp;"")</f>
        <v/>
      </c>
      <c r="J1405" s="10">
        <f>IF($BI1405="","",IF($B1405="Onsite",INDEX(tbl_Onsite[Tax Code],$BI1405),IF($B1405="Production",INDEX(tbl_Production[Tax Code],$BI1405),INDEX(tbl_Consulting[Tax Code],$BI1405)))&amp;"")</f>
        <v/>
      </c>
      <c r="K1405" s="10">
        <f>IF(H1405="","",IFERROR(INDEX(lst_CCtoGL,MATCH(H1405,lst_CCforGL,0)),""))</f>
        <v/>
      </c>
      <c r="L1405" s="10">
        <f>IF($BI1405="","",IF($B1405="Onsite",INDEX(tbl_Onsite[PO / Reference],$BI1405),IF($B1405="Production",INDEX(tbl_Production[Current RMS No],$BI1405),INDEX(tbl_Consulting[Qwilr Quote],$BI1405)))&amp;"")</f>
        <v/>
      </c>
      <c r="M1405" s="10">
        <f>IF($BI1405="","",IF($B1405="Onsite",INDEX(tbl_Onsite[Notes],$BI1405),IF($B1405="Production",INDEX(tbl_Production[Notes],$BI1405),INDEX(tbl_Consulting[Notes],$BI1405)))&amp;"")</f>
        <v/>
      </c>
      <c r="N1405" s="11">
        <f>IF($BI1405="","",IF(IF($B1405="Onsite",INDEX(tbl_Onsite[Expected Revenue Ex GST],$BI1405),IF($B1405="Production",INDEX(tbl_Production[Expected Revenue Ex GST],$BI1405),INDEX(tbl_Consulting[Expected Revenue Ex GST],$BI1405)))="","",IF($B1405="Onsite",INDEX(tbl_Onsite[Expected Revenue Ex GST],$BI1405),IF($B1405="Production",INDEX(tbl_Production[Expected Revenue Ex GST],$BI1405),INDEX(tbl_Consulting[Expected Revenue Ex GST],$BI1405)))))</f>
        <v/>
      </c>
      <c r="O1405" s="11">
        <f>IF(AND($C1405="",NOT(COUNTA($S1405:$BB1405)&gt;0)),"",SUM(U1405,X1405,AA1405,AD1405,AG1405,AJ1405,AM1405,AP1405,AS1405,AV1405,AY1405,BB1405))</f>
        <v/>
      </c>
      <c r="P1405" s="11">
        <f>IF(O1405="","",N(N1405)-O1405)</f>
        <v/>
      </c>
      <c r="Q1405" s="10">
        <f>IF(O1405="","",IF($C1405="","Invoice on empty job row",IF(N1405="",IF(ROUND(O1405,2)=0,"No dept value","Invoiced - no dept value"),IF(ROUND(O1405,2)=0,"Not invoiced - to invoice",IF(ROUND(P1405,2)=0,"Agrees",IF(P1405&gt;0,"Dept higher - to invoice","Xero higher - check dept"))))))</f>
        <v/>
      </c>
      <c r="R1405" s="10">
        <f>IF(AND($C1405="",NOT(COUNTA($S1405:$BB1405)&gt;0),$BI1405&lt;&gt;""),"",MID(IF($BI1405="","; Row ID not found on the department sheet - a row was deleted","")&amp;IF(AND($C1405="",COUNTA($S1405:$BB1405)&gt;0),"; Invoice entered but the department row has no job number","")&amp;IF(E1405="CHECK","; Job number not in the Xero job list","")&amp;IF(AND($C1405&lt;&gt;"",COUNTIF($C$7:$C$1506,$C1405)&gt;1),"; Job number on more than one row","")&amp;IF(AND($C1405&lt;&gt;"",H1405=""),"; Dept has not set a cost centre","")&amp;IF(AND($C1405&lt;&gt;"",J1405=""),"; Dept has not set a tax code","")&amp;IF(AND($C1405&lt;&gt;"",N1405=""),"; Dept has not entered an expected value","")&amp;IF((IF(OR(COUNTA(S1405:U1405)=0,AND(COUNTA(S1405:U1405)=3,ISNUMBER(U1405))),0,1)+IF(OR(COUNTA(V1405:X1405)=0,AND(COUNTA(V1405:X1405)=3,ISNUMBER(X1405))),0,1)+IF(OR(COUNTA(Y1405:AA1405)=0,AND(COUNTA(Y1405:AA1405)=3,ISNUMBER(AA1405))),0,1)+IF(OR(COUNTA(AB1405:AD1405)=0,AND(COUNTA(AB1405:AD1405)=3,ISNUMBER(AD1405))),0,1)+IF(OR(COUNTA(AE1405:AG1405)=0,AND(COUNTA(AE1405:AG1405)=3,ISNUMBER(AG1405))),0,1)+IF(OR(COUNTA(AH1405:AJ1405)=0,AND(COUNTA(AH1405:AJ1405)=3,ISNUMBER(AJ1405))),0,1)+IF(OR(COUNTA(AK1405:AM1405)=0,AND(COUNTA(AK1405:AM1405)=3,ISNUMBER(AM1405))),0,1)+IF(OR(COUNTA(AN1405:AP1405)=0,AND(COUNTA(AN1405:AP1405)=3,ISNUMBER(AP1405))),0,1)+IF(OR(COUNTA(AQ1405:AS1405)=0,AND(COUNTA(AQ1405:AS1405)=3,ISNUMBER(AS1405))),0,1)+IF(OR(COUNTA(AT1405:AV1405)=0,AND(COUNTA(AT1405:AV1405)=3,ISNUMBER(AV1405))),0,1)+IF(OR(COUNTA(AW1405:AY1405)=0,AND(COUNTA(AW1405:AY1405)=3,ISNUMBER(AY1405))),0,1)+IF(OR(COUNTA(AZ1405:BB1405)=0,AND(COUNTA(AZ1405:BB1405)=3,ISNUMBER(BB1405))),0,1))&gt;0,"; An invoice is incomplete (needs No, Date and a number in Ex GST)","")&amp;IF((IF(T1405="",0,IFERROR(--(EOMONTH(T1405,0)&lt;&gt;S$5),1))+IF(W1405="",0,IFERROR(--(EOMONTH(W1405,0)&lt;&gt;V$5),1))+IF(Z1405="",0,IFERROR(--(EOMONTH(Z1405,0)&lt;&gt;Y$5),1))+IF(AC1405="",0,IFERROR(--(EOMONTH(AC1405,0)&lt;&gt;AB$5),1))+IF(AF1405="",0,IFERROR(--(EOMONTH(AF1405,0)&lt;&gt;AE$5),1))+IF(AI1405="",0,IFERROR(--(EOMONTH(AI1405,0)&lt;&gt;AH$5),1))+IF(AL1405="",0,IFERROR(--(EOMONTH(AL1405,0)&lt;&gt;AK$5),1))+IF(AO1405="",0,IFERROR(--(EOMONTH(AO1405,0)&lt;&gt;AN$5),1))+IF(AR1405="",0,IFERROR(--(EOMONTH(AR1405,0)&lt;&gt;AQ$5),1))+IF(AU1405="",0,IFERROR(--(EOMONTH(AU1405,0)&lt;&gt;AT$5),1))+IF(AX1405="",0,IFERROR(--(EOMONTH(AX1405,0)&lt;&gt;AW$5),1))+IF(BA1405="",0,IFERROR(--(EOMONTH(BA1405,0)&lt;&gt;AZ$5),1)))&gt;0,"; An invoice date is not in the month it is typed under",""),3,500))</f>
        <v/>
      </c>
      <c r="S1405" s="12" t="n"/>
      <c r="T1405" s="13" t="n"/>
      <c r="U1405" s="14" t="n"/>
      <c r="V1405" s="12" t="n"/>
      <c r="W1405" s="13" t="n"/>
      <c r="X1405" s="14" t="n"/>
      <c r="Y1405" s="12" t="n"/>
      <c r="Z1405" s="13" t="n"/>
      <c r="AA1405" s="14" t="n"/>
      <c r="AB1405" s="12" t="n"/>
      <c r="AC1405" s="13" t="n"/>
      <c r="AD1405" s="14" t="n"/>
      <c r="AE1405" s="12" t="n"/>
      <c r="AF1405" s="13" t="n"/>
      <c r="AG1405" s="14" t="n"/>
      <c r="AH1405" s="12" t="n"/>
      <c r="AI1405" s="13" t="n"/>
      <c r="AJ1405" s="14" t="n"/>
      <c r="AK1405" s="12" t="n"/>
      <c r="AL1405" s="13" t="n"/>
      <c r="AM1405" s="14" t="n"/>
      <c r="AN1405" s="12" t="n"/>
      <c r="AO1405" s="13" t="n"/>
      <c r="AP1405" s="14" t="n"/>
      <c r="AQ1405" s="12" t="n"/>
      <c r="AR1405" s="13" t="n"/>
      <c r="AS1405" s="14" t="n"/>
      <c r="AT1405" s="12" t="n"/>
      <c r="AU1405" s="13" t="n"/>
      <c r="AV1405" s="14" t="n"/>
      <c r="AW1405" s="12" t="n"/>
      <c r="AX1405" s="13" t="n"/>
      <c r="AY1405" s="14" t="n"/>
      <c r="AZ1405" s="12" t="n"/>
      <c r="BA1405" s="13" t="n"/>
      <c r="BB1405" s="14" t="n"/>
      <c r="BC1405" s="11">
        <f>IF(O1405="","",IF(J1405="GST 10%",ROUND(O1405*set_GSTRate,2),0))</f>
        <v/>
      </c>
      <c r="BD1405" s="11">
        <f>IF(O1405="","",O1405+BC1405)</f>
        <v/>
      </c>
      <c r="BE1405" s="15">
        <f>IF(O1405="","",COUNTA(S1405,V1405,Y1405,AB1405,AE1405,AH1405,AK1405,AN1405,AQ1405,AT1405,AW1405,AZ1405))</f>
        <v/>
      </c>
      <c r="BF1405" s="16">
        <f>IF(COUNT(T1405,W1405,Z1405,AC1405,AF1405,AI1405,AL1405,AO1405,AR1405,AU1405,AX1405,BA1405)=0,"",MAX(T1405,W1405,Z1405,AC1405,AF1405,AI1405,AL1405,AO1405,AR1405,AU1405,AX1405,BA1405))</f>
        <v/>
      </c>
      <c r="BG1405" s="10">
        <f>MID(IF(S1405="","",", "&amp;S1405)&amp;IF(V1405="","",", "&amp;V1405)&amp;IF(Y1405="","",", "&amp;Y1405)&amp;IF(AB1405="","",", "&amp;AB1405)&amp;IF(AE1405="","",", "&amp;AE1405)&amp;IF(AH1405="","",", "&amp;AH1405)&amp;IF(AK1405="","",", "&amp;AK1405)&amp;IF(AN1405="","",", "&amp;AN1405)&amp;IF(AQ1405="","",", "&amp;AQ1405)&amp;IF(AT1405="","",", "&amp;AT1405)&amp;IF(AW1405="","",", "&amp;AW1405)&amp;IF(AZ1405="","",", "&amp;AZ1405),3,500)</f>
        <v/>
      </c>
      <c r="BH1405" s="12" t="n"/>
      <c r="BI1405" s="15">
        <f>IFERROR(MATCH($A1405,IF($B1405="Onsite",tbl_Onsite[Row ID],IF($B1405="Production",tbl_Production[Row ID],tbl_Consulting[Row ID])),0),"")</f>
        <v/>
      </c>
    </row>
    <row r="1406">
      <c r="A1406" s="10" t="inlineStr">
        <is>
          <t>CON-0400</t>
        </is>
      </c>
      <c r="B1406" s="10" t="inlineStr">
        <is>
          <t>Consulting</t>
        </is>
      </c>
      <c r="C1406" s="10">
        <f>IF($BI1406="","",IF($B1406="Onsite",INDEX(tbl_Onsite[Job Number],$BI1406),IF($B1406="Production",INDEX(tbl_Production[Job Number],$BI1406),INDEX(tbl_Consulting[Job Number],$BI1406)))&amp;"")</f>
        <v/>
      </c>
      <c r="D1406" s="10">
        <f>IF($BI1406="","",IF($B1406="Onsite",INDEX(tbl_Onsite[Client],$BI1406),IF($B1406="Production",INDEX(tbl_Production[Client],$BI1406),INDEX(tbl_Consulting[Client],$BI1406)))&amp;"")</f>
        <v/>
      </c>
      <c r="E1406" s="10">
        <f>IF($C1406="","",IF(COUNTIF(lst_Jobs,$C1406)&gt;0,"OK","CHECK"))</f>
        <v/>
      </c>
      <c r="F1406" s="10">
        <f>IF($C1406="","",IFERROR(INDEX(lst_JobName,MATCH($C1406,lst_Jobs,0)),""))</f>
        <v/>
      </c>
      <c r="G1406" s="10">
        <f>IF($BI1406="","",IF($B1406="Onsite",INDEX(tbl_Onsite[Job Description],$BI1406),IF($B1406="Production",INDEX(tbl_Production[Job Description],$BI1406),INDEX(tbl_Consulting[Job Description],$BI1406)))&amp;"")</f>
        <v/>
      </c>
      <c r="H1406" s="10">
        <f>IF($BI1406="","",IF($B1406="Onsite",INDEX(tbl_Onsite[Cost Centre],$BI1406),IF($B1406="Production",INDEX(tbl_Production[Cost Centre],$BI1406),INDEX(tbl_Consulting[Cost Centre],$BI1406)))&amp;"")</f>
        <v/>
      </c>
      <c r="I1406" s="10">
        <f>IF($BI1406="","",IF($B1406="Onsite",INDEX(tbl_Onsite[Invoice Type],$BI1406),IF($B1406="Production",INDEX(tbl_Production[Invoice Type],$BI1406),INDEX(tbl_Consulting[Invoice Type],$BI1406)))&amp;"")</f>
        <v/>
      </c>
      <c r="J1406" s="10">
        <f>IF($BI1406="","",IF($B1406="Onsite",INDEX(tbl_Onsite[Tax Code],$BI1406),IF($B1406="Production",INDEX(tbl_Production[Tax Code],$BI1406),INDEX(tbl_Consulting[Tax Code],$BI1406)))&amp;"")</f>
        <v/>
      </c>
      <c r="K1406" s="10">
        <f>IF(H1406="","",IFERROR(INDEX(lst_CCtoGL,MATCH(H1406,lst_CCforGL,0)),""))</f>
        <v/>
      </c>
      <c r="L1406" s="10">
        <f>IF($BI1406="","",IF($B1406="Onsite",INDEX(tbl_Onsite[PO / Reference],$BI1406),IF($B1406="Production",INDEX(tbl_Production[Current RMS No],$BI1406),INDEX(tbl_Consulting[Qwilr Quote],$BI1406)))&amp;"")</f>
        <v/>
      </c>
      <c r="M1406" s="10">
        <f>IF($BI1406="","",IF($B1406="Onsite",INDEX(tbl_Onsite[Notes],$BI1406),IF($B1406="Production",INDEX(tbl_Production[Notes],$BI1406),INDEX(tbl_Consulting[Notes],$BI1406)))&amp;"")</f>
        <v/>
      </c>
      <c r="N1406" s="11">
        <f>IF($BI1406="","",IF(IF($B1406="Onsite",INDEX(tbl_Onsite[Expected Revenue Ex GST],$BI1406),IF($B1406="Production",INDEX(tbl_Production[Expected Revenue Ex GST],$BI1406),INDEX(tbl_Consulting[Expected Revenue Ex GST],$BI1406)))="","",IF($B1406="Onsite",INDEX(tbl_Onsite[Expected Revenue Ex GST],$BI1406),IF($B1406="Production",INDEX(tbl_Production[Expected Revenue Ex GST],$BI1406),INDEX(tbl_Consulting[Expected Revenue Ex GST],$BI1406)))))</f>
        <v/>
      </c>
      <c r="O1406" s="11">
        <f>IF(AND($C1406="",NOT(COUNTA($S1406:$BB1406)&gt;0)),"",SUM(U1406,X1406,AA1406,AD1406,AG1406,AJ1406,AM1406,AP1406,AS1406,AV1406,AY1406,BB1406))</f>
        <v/>
      </c>
      <c r="P1406" s="11">
        <f>IF(O1406="","",N(N1406)-O1406)</f>
        <v/>
      </c>
      <c r="Q1406" s="10">
        <f>IF(O1406="","",IF($C1406="","Invoice on empty job row",IF(N1406="",IF(ROUND(O1406,2)=0,"No dept value","Invoiced - no dept value"),IF(ROUND(O1406,2)=0,"Not invoiced - to invoice",IF(ROUND(P1406,2)=0,"Agrees",IF(P1406&gt;0,"Dept higher - to invoice","Xero higher - check dept"))))))</f>
        <v/>
      </c>
      <c r="R1406" s="10">
        <f>IF(AND($C1406="",NOT(COUNTA($S1406:$BB1406)&gt;0),$BI1406&lt;&gt;""),"",MID(IF($BI1406="","; Row ID not found on the department sheet - a row was deleted","")&amp;IF(AND($C1406="",COUNTA($S1406:$BB1406)&gt;0),"; Invoice entered but the department row has no job number","")&amp;IF(E1406="CHECK","; Job number not in the Xero job list","")&amp;IF(AND($C1406&lt;&gt;"",COUNTIF($C$7:$C$1506,$C1406)&gt;1),"; Job number on more than one row","")&amp;IF(AND($C1406&lt;&gt;"",H1406=""),"; Dept has not set a cost centre","")&amp;IF(AND($C1406&lt;&gt;"",J1406=""),"; Dept has not set a tax code","")&amp;IF(AND($C1406&lt;&gt;"",N1406=""),"; Dept has not entered an expected value","")&amp;IF((IF(OR(COUNTA(S1406:U1406)=0,AND(COUNTA(S1406:U1406)=3,ISNUMBER(U1406))),0,1)+IF(OR(COUNTA(V1406:X1406)=0,AND(COUNTA(V1406:X1406)=3,ISNUMBER(X1406))),0,1)+IF(OR(COUNTA(Y1406:AA1406)=0,AND(COUNTA(Y1406:AA1406)=3,ISNUMBER(AA1406))),0,1)+IF(OR(COUNTA(AB1406:AD1406)=0,AND(COUNTA(AB1406:AD1406)=3,ISNUMBER(AD1406))),0,1)+IF(OR(COUNTA(AE1406:AG1406)=0,AND(COUNTA(AE1406:AG1406)=3,ISNUMBER(AG1406))),0,1)+IF(OR(COUNTA(AH1406:AJ1406)=0,AND(COUNTA(AH1406:AJ1406)=3,ISNUMBER(AJ1406))),0,1)+IF(OR(COUNTA(AK1406:AM1406)=0,AND(COUNTA(AK1406:AM1406)=3,ISNUMBER(AM1406))),0,1)+IF(OR(COUNTA(AN1406:AP1406)=0,AND(COUNTA(AN1406:AP1406)=3,ISNUMBER(AP1406))),0,1)+IF(OR(COUNTA(AQ1406:AS1406)=0,AND(COUNTA(AQ1406:AS1406)=3,ISNUMBER(AS1406))),0,1)+IF(OR(COUNTA(AT1406:AV1406)=0,AND(COUNTA(AT1406:AV1406)=3,ISNUMBER(AV1406))),0,1)+IF(OR(COUNTA(AW1406:AY1406)=0,AND(COUNTA(AW1406:AY1406)=3,ISNUMBER(AY1406))),0,1)+IF(OR(COUNTA(AZ1406:BB1406)=0,AND(COUNTA(AZ1406:BB1406)=3,ISNUMBER(BB1406))),0,1))&gt;0,"; An invoice is incomplete (needs No, Date and a number in Ex GST)","")&amp;IF((IF(T1406="",0,IFERROR(--(EOMONTH(T1406,0)&lt;&gt;S$5),1))+IF(W1406="",0,IFERROR(--(EOMONTH(W1406,0)&lt;&gt;V$5),1))+IF(Z1406="",0,IFERROR(--(EOMONTH(Z1406,0)&lt;&gt;Y$5),1))+IF(AC1406="",0,IFERROR(--(EOMONTH(AC1406,0)&lt;&gt;AB$5),1))+IF(AF1406="",0,IFERROR(--(EOMONTH(AF1406,0)&lt;&gt;AE$5),1))+IF(AI1406="",0,IFERROR(--(EOMONTH(AI1406,0)&lt;&gt;AH$5),1))+IF(AL1406="",0,IFERROR(--(EOMONTH(AL1406,0)&lt;&gt;AK$5),1))+IF(AO1406="",0,IFERROR(--(EOMONTH(AO1406,0)&lt;&gt;AN$5),1))+IF(AR1406="",0,IFERROR(--(EOMONTH(AR1406,0)&lt;&gt;AQ$5),1))+IF(AU1406="",0,IFERROR(--(EOMONTH(AU1406,0)&lt;&gt;AT$5),1))+IF(AX1406="",0,IFERROR(--(EOMONTH(AX1406,0)&lt;&gt;AW$5),1))+IF(BA1406="",0,IFERROR(--(EOMONTH(BA1406,0)&lt;&gt;AZ$5),1)))&gt;0,"; An invoice date is not in the month it is typed under",""),3,500))</f>
        <v/>
      </c>
      <c r="S1406" s="12" t="n"/>
      <c r="T1406" s="13" t="n"/>
      <c r="U1406" s="14" t="n"/>
      <c r="V1406" s="12" t="n"/>
      <c r="W1406" s="13" t="n"/>
      <c r="X1406" s="14" t="n"/>
      <c r="Y1406" s="12" t="n"/>
      <c r="Z1406" s="13" t="n"/>
      <c r="AA1406" s="14" t="n"/>
      <c r="AB1406" s="12" t="n"/>
      <c r="AC1406" s="13" t="n"/>
      <c r="AD1406" s="14" t="n"/>
      <c r="AE1406" s="12" t="n"/>
      <c r="AF1406" s="13" t="n"/>
      <c r="AG1406" s="14" t="n"/>
      <c r="AH1406" s="12" t="n"/>
      <c r="AI1406" s="13" t="n"/>
      <c r="AJ1406" s="14" t="n"/>
      <c r="AK1406" s="12" t="n"/>
      <c r="AL1406" s="13" t="n"/>
      <c r="AM1406" s="14" t="n"/>
      <c r="AN1406" s="12" t="n"/>
      <c r="AO1406" s="13" t="n"/>
      <c r="AP1406" s="14" t="n"/>
      <c r="AQ1406" s="12" t="n"/>
      <c r="AR1406" s="13" t="n"/>
      <c r="AS1406" s="14" t="n"/>
      <c r="AT1406" s="12" t="n"/>
      <c r="AU1406" s="13" t="n"/>
      <c r="AV1406" s="14" t="n"/>
      <c r="AW1406" s="12" t="n"/>
      <c r="AX1406" s="13" t="n"/>
      <c r="AY1406" s="14" t="n"/>
      <c r="AZ1406" s="12" t="n"/>
      <c r="BA1406" s="13" t="n"/>
      <c r="BB1406" s="14" t="n"/>
      <c r="BC1406" s="11">
        <f>IF(O1406="","",IF(J1406="GST 10%",ROUND(O1406*set_GSTRate,2),0))</f>
        <v/>
      </c>
      <c r="BD1406" s="11">
        <f>IF(O1406="","",O1406+BC1406)</f>
        <v/>
      </c>
      <c r="BE1406" s="15">
        <f>IF(O1406="","",COUNTA(S1406,V1406,Y1406,AB1406,AE1406,AH1406,AK1406,AN1406,AQ1406,AT1406,AW1406,AZ1406))</f>
        <v/>
      </c>
      <c r="BF1406" s="16">
        <f>IF(COUNT(T1406,W1406,Z1406,AC1406,AF1406,AI1406,AL1406,AO1406,AR1406,AU1406,AX1406,BA1406)=0,"",MAX(T1406,W1406,Z1406,AC1406,AF1406,AI1406,AL1406,AO1406,AR1406,AU1406,AX1406,BA1406))</f>
        <v/>
      </c>
      <c r="BG1406" s="10">
        <f>MID(IF(S1406="","",", "&amp;S1406)&amp;IF(V1406="","",", "&amp;V1406)&amp;IF(Y1406="","",", "&amp;Y1406)&amp;IF(AB1406="","",", "&amp;AB1406)&amp;IF(AE1406="","",", "&amp;AE1406)&amp;IF(AH1406="","",", "&amp;AH1406)&amp;IF(AK1406="","",", "&amp;AK1406)&amp;IF(AN1406="","",", "&amp;AN1406)&amp;IF(AQ1406="","",", "&amp;AQ1406)&amp;IF(AT1406="","",", "&amp;AT1406)&amp;IF(AW1406="","",", "&amp;AW1406)&amp;IF(AZ1406="","",", "&amp;AZ1406),3,500)</f>
        <v/>
      </c>
      <c r="BH1406" s="12" t="n"/>
      <c r="BI1406" s="15">
        <f>IFERROR(MATCH($A1406,IF($B1406="Onsite",tbl_Onsite[Row ID],IF($B1406="Production",tbl_Production[Row ID],tbl_Consulting[Row ID])),0),"")</f>
        <v/>
      </c>
    </row>
    <row r="1407">
      <c r="A1407" s="10" t="inlineStr">
        <is>
          <t>CON-0401</t>
        </is>
      </c>
      <c r="B1407" s="10" t="inlineStr">
        <is>
          <t>Consulting</t>
        </is>
      </c>
      <c r="C1407" s="10">
        <f>IF($BI1407="","",IF($B1407="Onsite",INDEX(tbl_Onsite[Job Number],$BI1407),IF($B1407="Production",INDEX(tbl_Production[Job Number],$BI1407),INDEX(tbl_Consulting[Job Number],$BI1407)))&amp;"")</f>
        <v/>
      </c>
      <c r="D1407" s="10">
        <f>IF($BI1407="","",IF($B1407="Onsite",INDEX(tbl_Onsite[Client],$BI1407),IF($B1407="Production",INDEX(tbl_Production[Client],$BI1407),INDEX(tbl_Consulting[Client],$BI1407)))&amp;"")</f>
        <v/>
      </c>
      <c r="E1407" s="10">
        <f>IF($C1407="","",IF(COUNTIF(lst_Jobs,$C1407)&gt;0,"OK","CHECK"))</f>
        <v/>
      </c>
      <c r="F1407" s="10">
        <f>IF($C1407="","",IFERROR(INDEX(lst_JobName,MATCH($C1407,lst_Jobs,0)),""))</f>
        <v/>
      </c>
      <c r="G1407" s="10">
        <f>IF($BI1407="","",IF($B1407="Onsite",INDEX(tbl_Onsite[Job Description],$BI1407),IF($B1407="Production",INDEX(tbl_Production[Job Description],$BI1407),INDEX(tbl_Consulting[Job Description],$BI1407)))&amp;"")</f>
        <v/>
      </c>
      <c r="H1407" s="10">
        <f>IF($BI1407="","",IF($B1407="Onsite",INDEX(tbl_Onsite[Cost Centre],$BI1407),IF($B1407="Production",INDEX(tbl_Production[Cost Centre],$BI1407),INDEX(tbl_Consulting[Cost Centre],$BI1407)))&amp;"")</f>
        <v/>
      </c>
      <c r="I1407" s="10">
        <f>IF($BI1407="","",IF($B1407="Onsite",INDEX(tbl_Onsite[Invoice Type],$BI1407),IF($B1407="Production",INDEX(tbl_Production[Invoice Type],$BI1407),INDEX(tbl_Consulting[Invoice Type],$BI1407)))&amp;"")</f>
        <v/>
      </c>
      <c r="J1407" s="10">
        <f>IF($BI1407="","",IF($B1407="Onsite",INDEX(tbl_Onsite[Tax Code],$BI1407),IF($B1407="Production",INDEX(tbl_Production[Tax Code],$BI1407),INDEX(tbl_Consulting[Tax Code],$BI1407)))&amp;"")</f>
        <v/>
      </c>
      <c r="K1407" s="10">
        <f>IF(H1407="","",IFERROR(INDEX(lst_CCtoGL,MATCH(H1407,lst_CCforGL,0)),""))</f>
        <v/>
      </c>
      <c r="L1407" s="10">
        <f>IF($BI1407="","",IF($B1407="Onsite",INDEX(tbl_Onsite[PO / Reference],$BI1407),IF($B1407="Production",INDEX(tbl_Production[Current RMS No],$BI1407),INDEX(tbl_Consulting[Qwilr Quote],$BI1407)))&amp;"")</f>
        <v/>
      </c>
      <c r="M1407" s="10">
        <f>IF($BI1407="","",IF($B1407="Onsite",INDEX(tbl_Onsite[Notes],$BI1407),IF($B1407="Production",INDEX(tbl_Production[Notes],$BI1407),INDEX(tbl_Consulting[Notes],$BI1407)))&amp;"")</f>
        <v/>
      </c>
      <c r="N1407" s="11">
        <f>IF($BI1407="","",IF(IF($B1407="Onsite",INDEX(tbl_Onsite[Expected Revenue Ex GST],$BI1407),IF($B1407="Production",INDEX(tbl_Production[Expected Revenue Ex GST],$BI1407),INDEX(tbl_Consulting[Expected Revenue Ex GST],$BI1407)))="","",IF($B1407="Onsite",INDEX(tbl_Onsite[Expected Revenue Ex GST],$BI1407),IF($B1407="Production",INDEX(tbl_Production[Expected Revenue Ex GST],$BI1407),INDEX(tbl_Consulting[Expected Revenue Ex GST],$BI1407)))))</f>
        <v/>
      </c>
      <c r="O1407" s="11">
        <f>IF(AND($C1407="",NOT(COUNTA($S1407:$BB1407)&gt;0)),"",SUM(U1407,X1407,AA1407,AD1407,AG1407,AJ1407,AM1407,AP1407,AS1407,AV1407,AY1407,BB1407))</f>
        <v/>
      </c>
      <c r="P1407" s="11">
        <f>IF(O1407="","",N(N1407)-O1407)</f>
        <v/>
      </c>
      <c r="Q1407" s="10">
        <f>IF(O1407="","",IF($C1407="","Invoice on empty job row",IF(N1407="",IF(ROUND(O1407,2)=0,"No dept value","Invoiced - no dept value"),IF(ROUND(O1407,2)=0,"Not invoiced - to invoice",IF(ROUND(P1407,2)=0,"Agrees",IF(P1407&gt;0,"Dept higher - to invoice","Xero higher - check dept"))))))</f>
        <v/>
      </c>
      <c r="R1407" s="10">
        <f>IF(AND($C1407="",NOT(COUNTA($S1407:$BB1407)&gt;0),$BI1407&lt;&gt;""),"",MID(IF($BI1407="","; Row ID not found on the department sheet - a row was deleted","")&amp;IF(AND($C1407="",COUNTA($S1407:$BB1407)&gt;0),"; Invoice entered but the department row has no job number","")&amp;IF(E1407="CHECK","; Job number not in the Xero job list","")&amp;IF(AND($C1407&lt;&gt;"",COUNTIF($C$7:$C$1506,$C1407)&gt;1),"; Job number on more than one row","")&amp;IF(AND($C1407&lt;&gt;"",H1407=""),"; Dept has not set a cost centre","")&amp;IF(AND($C1407&lt;&gt;"",J1407=""),"; Dept has not set a tax code","")&amp;IF(AND($C1407&lt;&gt;"",N1407=""),"; Dept has not entered an expected value","")&amp;IF((IF(OR(COUNTA(S1407:U1407)=0,AND(COUNTA(S1407:U1407)=3,ISNUMBER(U1407))),0,1)+IF(OR(COUNTA(V1407:X1407)=0,AND(COUNTA(V1407:X1407)=3,ISNUMBER(X1407))),0,1)+IF(OR(COUNTA(Y1407:AA1407)=0,AND(COUNTA(Y1407:AA1407)=3,ISNUMBER(AA1407))),0,1)+IF(OR(COUNTA(AB1407:AD1407)=0,AND(COUNTA(AB1407:AD1407)=3,ISNUMBER(AD1407))),0,1)+IF(OR(COUNTA(AE1407:AG1407)=0,AND(COUNTA(AE1407:AG1407)=3,ISNUMBER(AG1407))),0,1)+IF(OR(COUNTA(AH1407:AJ1407)=0,AND(COUNTA(AH1407:AJ1407)=3,ISNUMBER(AJ1407))),0,1)+IF(OR(COUNTA(AK1407:AM1407)=0,AND(COUNTA(AK1407:AM1407)=3,ISNUMBER(AM1407))),0,1)+IF(OR(COUNTA(AN1407:AP1407)=0,AND(COUNTA(AN1407:AP1407)=3,ISNUMBER(AP1407))),0,1)+IF(OR(COUNTA(AQ1407:AS1407)=0,AND(COUNTA(AQ1407:AS1407)=3,ISNUMBER(AS1407))),0,1)+IF(OR(COUNTA(AT1407:AV1407)=0,AND(COUNTA(AT1407:AV1407)=3,ISNUMBER(AV1407))),0,1)+IF(OR(COUNTA(AW1407:AY1407)=0,AND(COUNTA(AW1407:AY1407)=3,ISNUMBER(AY1407))),0,1)+IF(OR(COUNTA(AZ1407:BB1407)=0,AND(COUNTA(AZ1407:BB1407)=3,ISNUMBER(BB1407))),0,1))&gt;0,"; An invoice is incomplete (needs No, Date and a number in Ex GST)","")&amp;IF((IF(T1407="",0,IFERROR(--(EOMONTH(T1407,0)&lt;&gt;S$5),1))+IF(W1407="",0,IFERROR(--(EOMONTH(W1407,0)&lt;&gt;V$5),1))+IF(Z1407="",0,IFERROR(--(EOMONTH(Z1407,0)&lt;&gt;Y$5),1))+IF(AC1407="",0,IFERROR(--(EOMONTH(AC1407,0)&lt;&gt;AB$5),1))+IF(AF1407="",0,IFERROR(--(EOMONTH(AF1407,0)&lt;&gt;AE$5),1))+IF(AI1407="",0,IFERROR(--(EOMONTH(AI1407,0)&lt;&gt;AH$5),1))+IF(AL1407="",0,IFERROR(--(EOMONTH(AL1407,0)&lt;&gt;AK$5),1))+IF(AO1407="",0,IFERROR(--(EOMONTH(AO1407,0)&lt;&gt;AN$5),1))+IF(AR1407="",0,IFERROR(--(EOMONTH(AR1407,0)&lt;&gt;AQ$5),1))+IF(AU1407="",0,IFERROR(--(EOMONTH(AU1407,0)&lt;&gt;AT$5),1))+IF(AX1407="",0,IFERROR(--(EOMONTH(AX1407,0)&lt;&gt;AW$5),1))+IF(BA1407="",0,IFERROR(--(EOMONTH(BA1407,0)&lt;&gt;AZ$5),1)))&gt;0,"; An invoice date is not in the month it is typed under",""),3,500))</f>
        <v/>
      </c>
      <c r="S1407" s="12" t="n"/>
      <c r="T1407" s="13" t="n"/>
      <c r="U1407" s="14" t="n"/>
      <c r="V1407" s="12" t="n"/>
      <c r="W1407" s="13" t="n"/>
      <c r="X1407" s="14" t="n"/>
      <c r="Y1407" s="12" t="n"/>
      <c r="Z1407" s="13" t="n"/>
      <c r="AA1407" s="14" t="n"/>
      <c r="AB1407" s="12" t="n"/>
      <c r="AC1407" s="13" t="n"/>
      <c r="AD1407" s="14" t="n"/>
      <c r="AE1407" s="12" t="n"/>
      <c r="AF1407" s="13" t="n"/>
      <c r="AG1407" s="14" t="n"/>
      <c r="AH1407" s="12" t="n"/>
      <c r="AI1407" s="13" t="n"/>
      <c r="AJ1407" s="14" t="n"/>
      <c r="AK1407" s="12" t="n"/>
      <c r="AL1407" s="13" t="n"/>
      <c r="AM1407" s="14" t="n"/>
      <c r="AN1407" s="12" t="n"/>
      <c r="AO1407" s="13" t="n"/>
      <c r="AP1407" s="14" t="n"/>
      <c r="AQ1407" s="12" t="n"/>
      <c r="AR1407" s="13" t="n"/>
      <c r="AS1407" s="14" t="n"/>
      <c r="AT1407" s="12" t="n"/>
      <c r="AU1407" s="13" t="n"/>
      <c r="AV1407" s="14" t="n"/>
      <c r="AW1407" s="12" t="n"/>
      <c r="AX1407" s="13" t="n"/>
      <c r="AY1407" s="14" t="n"/>
      <c r="AZ1407" s="12" t="n"/>
      <c r="BA1407" s="13" t="n"/>
      <c r="BB1407" s="14" t="n"/>
      <c r="BC1407" s="11">
        <f>IF(O1407="","",IF(J1407="GST 10%",ROUND(O1407*set_GSTRate,2),0))</f>
        <v/>
      </c>
      <c r="BD1407" s="11">
        <f>IF(O1407="","",O1407+BC1407)</f>
        <v/>
      </c>
      <c r="BE1407" s="15">
        <f>IF(O1407="","",COUNTA(S1407,V1407,Y1407,AB1407,AE1407,AH1407,AK1407,AN1407,AQ1407,AT1407,AW1407,AZ1407))</f>
        <v/>
      </c>
      <c r="BF1407" s="16">
        <f>IF(COUNT(T1407,W1407,Z1407,AC1407,AF1407,AI1407,AL1407,AO1407,AR1407,AU1407,AX1407,BA1407)=0,"",MAX(T1407,W1407,Z1407,AC1407,AF1407,AI1407,AL1407,AO1407,AR1407,AU1407,AX1407,BA1407))</f>
        <v/>
      </c>
      <c r="BG1407" s="10">
        <f>MID(IF(S1407="","",", "&amp;S1407)&amp;IF(V1407="","",", "&amp;V1407)&amp;IF(Y1407="","",", "&amp;Y1407)&amp;IF(AB1407="","",", "&amp;AB1407)&amp;IF(AE1407="","",", "&amp;AE1407)&amp;IF(AH1407="","",", "&amp;AH1407)&amp;IF(AK1407="","",", "&amp;AK1407)&amp;IF(AN1407="","",", "&amp;AN1407)&amp;IF(AQ1407="","",", "&amp;AQ1407)&amp;IF(AT1407="","",", "&amp;AT1407)&amp;IF(AW1407="","",", "&amp;AW1407)&amp;IF(AZ1407="","",", "&amp;AZ1407),3,500)</f>
        <v/>
      </c>
      <c r="BH1407" s="12" t="n"/>
      <c r="BI1407" s="15">
        <f>IFERROR(MATCH($A1407,IF($B1407="Onsite",tbl_Onsite[Row ID],IF($B1407="Production",tbl_Production[Row ID],tbl_Consulting[Row ID])),0),"")</f>
        <v/>
      </c>
    </row>
    <row r="1408">
      <c r="A1408" s="10" t="inlineStr">
        <is>
          <t>CON-0402</t>
        </is>
      </c>
      <c r="B1408" s="10" t="inlineStr">
        <is>
          <t>Consulting</t>
        </is>
      </c>
      <c r="C1408" s="10">
        <f>IF($BI1408="","",IF($B1408="Onsite",INDEX(tbl_Onsite[Job Number],$BI1408),IF($B1408="Production",INDEX(tbl_Production[Job Number],$BI1408),INDEX(tbl_Consulting[Job Number],$BI1408)))&amp;"")</f>
        <v/>
      </c>
      <c r="D1408" s="10">
        <f>IF($BI1408="","",IF($B1408="Onsite",INDEX(tbl_Onsite[Client],$BI1408),IF($B1408="Production",INDEX(tbl_Production[Client],$BI1408),INDEX(tbl_Consulting[Client],$BI1408)))&amp;"")</f>
        <v/>
      </c>
      <c r="E1408" s="10">
        <f>IF($C1408="","",IF(COUNTIF(lst_Jobs,$C1408)&gt;0,"OK","CHECK"))</f>
        <v/>
      </c>
      <c r="F1408" s="10">
        <f>IF($C1408="","",IFERROR(INDEX(lst_JobName,MATCH($C1408,lst_Jobs,0)),""))</f>
        <v/>
      </c>
      <c r="G1408" s="10">
        <f>IF($BI1408="","",IF($B1408="Onsite",INDEX(tbl_Onsite[Job Description],$BI1408),IF($B1408="Production",INDEX(tbl_Production[Job Description],$BI1408),INDEX(tbl_Consulting[Job Description],$BI1408)))&amp;"")</f>
        <v/>
      </c>
      <c r="H1408" s="10">
        <f>IF($BI1408="","",IF($B1408="Onsite",INDEX(tbl_Onsite[Cost Centre],$BI1408),IF($B1408="Production",INDEX(tbl_Production[Cost Centre],$BI1408),INDEX(tbl_Consulting[Cost Centre],$BI1408)))&amp;"")</f>
        <v/>
      </c>
      <c r="I1408" s="10">
        <f>IF($BI1408="","",IF($B1408="Onsite",INDEX(tbl_Onsite[Invoice Type],$BI1408),IF($B1408="Production",INDEX(tbl_Production[Invoice Type],$BI1408),INDEX(tbl_Consulting[Invoice Type],$BI1408)))&amp;"")</f>
        <v/>
      </c>
      <c r="J1408" s="10">
        <f>IF($BI1408="","",IF($B1408="Onsite",INDEX(tbl_Onsite[Tax Code],$BI1408),IF($B1408="Production",INDEX(tbl_Production[Tax Code],$BI1408),INDEX(tbl_Consulting[Tax Code],$BI1408)))&amp;"")</f>
        <v/>
      </c>
      <c r="K1408" s="10">
        <f>IF(H1408="","",IFERROR(INDEX(lst_CCtoGL,MATCH(H1408,lst_CCforGL,0)),""))</f>
        <v/>
      </c>
      <c r="L1408" s="10">
        <f>IF($BI1408="","",IF($B1408="Onsite",INDEX(tbl_Onsite[PO / Reference],$BI1408),IF($B1408="Production",INDEX(tbl_Production[Current RMS No],$BI1408),INDEX(tbl_Consulting[Qwilr Quote],$BI1408)))&amp;"")</f>
        <v/>
      </c>
      <c r="M1408" s="10">
        <f>IF($BI1408="","",IF($B1408="Onsite",INDEX(tbl_Onsite[Notes],$BI1408),IF($B1408="Production",INDEX(tbl_Production[Notes],$BI1408),INDEX(tbl_Consulting[Notes],$BI1408)))&amp;"")</f>
        <v/>
      </c>
      <c r="N1408" s="11">
        <f>IF($BI1408="","",IF(IF($B1408="Onsite",INDEX(tbl_Onsite[Expected Revenue Ex GST],$BI1408),IF($B1408="Production",INDEX(tbl_Production[Expected Revenue Ex GST],$BI1408),INDEX(tbl_Consulting[Expected Revenue Ex GST],$BI1408)))="","",IF($B1408="Onsite",INDEX(tbl_Onsite[Expected Revenue Ex GST],$BI1408),IF($B1408="Production",INDEX(tbl_Production[Expected Revenue Ex GST],$BI1408),INDEX(tbl_Consulting[Expected Revenue Ex GST],$BI1408)))))</f>
        <v/>
      </c>
      <c r="O1408" s="11">
        <f>IF(AND($C1408="",NOT(COUNTA($S1408:$BB1408)&gt;0)),"",SUM(U1408,X1408,AA1408,AD1408,AG1408,AJ1408,AM1408,AP1408,AS1408,AV1408,AY1408,BB1408))</f>
        <v/>
      </c>
      <c r="P1408" s="11">
        <f>IF(O1408="","",N(N1408)-O1408)</f>
        <v/>
      </c>
      <c r="Q1408" s="10">
        <f>IF(O1408="","",IF($C1408="","Invoice on empty job row",IF(N1408="",IF(ROUND(O1408,2)=0,"No dept value","Invoiced - no dept value"),IF(ROUND(O1408,2)=0,"Not invoiced - to invoice",IF(ROUND(P1408,2)=0,"Agrees",IF(P1408&gt;0,"Dept higher - to invoice","Xero higher - check dept"))))))</f>
        <v/>
      </c>
      <c r="R1408" s="10">
        <f>IF(AND($C1408="",NOT(COUNTA($S1408:$BB1408)&gt;0),$BI1408&lt;&gt;""),"",MID(IF($BI1408="","; Row ID not found on the department sheet - a row was deleted","")&amp;IF(AND($C1408="",COUNTA($S1408:$BB1408)&gt;0),"; Invoice entered but the department row has no job number","")&amp;IF(E1408="CHECK","; Job number not in the Xero job list","")&amp;IF(AND($C1408&lt;&gt;"",COUNTIF($C$7:$C$1506,$C1408)&gt;1),"; Job number on more than one row","")&amp;IF(AND($C1408&lt;&gt;"",H1408=""),"; Dept has not set a cost centre","")&amp;IF(AND($C1408&lt;&gt;"",J1408=""),"; Dept has not set a tax code","")&amp;IF(AND($C1408&lt;&gt;"",N1408=""),"; Dept has not entered an expected value","")&amp;IF((IF(OR(COUNTA(S1408:U1408)=0,AND(COUNTA(S1408:U1408)=3,ISNUMBER(U1408))),0,1)+IF(OR(COUNTA(V1408:X1408)=0,AND(COUNTA(V1408:X1408)=3,ISNUMBER(X1408))),0,1)+IF(OR(COUNTA(Y1408:AA1408)=0,AND(COUNTA(Y1408:AA1408)=3,ISNUMBER(AA1408))),0,1)+IF(OR(COUNTA(AB1408:AD1408)=0,AND(COUNTA(AB1408:AD1408)=3,ISNUMBER(AD1408))),0,1)+IF(OR(COUNTA(AE1408:AG1408)=0,AND(COUNTA(AE1408:AG1408)=3,ISNUMBER(AG1408))),0,1)+IF(OR(COUNTA(AH1408:AJ1408)=0,AND(COUNTA(AH1408:AJ1408)=3,ISNUMBER(AJ1408))),0,1)+IF(OR(COUNTA(AK1408:AM1408)=0,AND(COUNTA(AK1408:AM1408)=3,ISNUMBER(AM1408))),0,1)+IF(OR(COUNTA(AN1408:AP1408)=0,AND(COUNTA(AN1408:AP1408)=3,ISNUMBER(AP1408))),0,1)+IF(OR(COUNTA(AQ1408:AS1408)=0,AND(COUNTA(AQ1408:AS1408)=3,ISNUMBER(AS1408))),0,1)+IF(OR(COUNTA(AT1408:AV1408)=0,AND(COUNTA(AT1408:AV1408)=3,ISNUMBER(AV1408))),0,1)+IF(OR(COUNTA(AW1408:AY1408)=0,AND(COUNTA(AW1408:AY1408)=3,ISNUMBER(AY1408))),0,1)+IF(OR(COUNTA(AZ1408:BB1408)=0,AND(COUNTA(AZ1408:BB1408)=3,ISNUMBER(BB1408))),0,1))&gt;0,"; An invoice is incomplete (needs No, Date and a number in Ex GST)","")&amp;IF((IF(T1408="",0,IFERROR(--(EOMONTH(T1408,0)&lt;&gt;S$5),1))+IF(W1408="",0,IFERROR(--(EOMONTH(W1408,0)&lt;&gt;V$5),1))+IF(Z1408="",0,IFERROR(--(EOMONTH(Z1408,0)&lt;&gt;Y$5),1))+IF(AC1408="",0,IFERROR(--(EOMONTH(AC1408,0)&lt;&gt;AB$5),1))+IF(AF1408="",0,IFERROR(--(EOMONTH(AF1408,0)&lt;&gt;AE$5),1))+IF(AI1408="",0,IFERROR(--(EOMONTH(AI1408,0)&lt;&gt;AH$5),1))+IF(AL1408="",0,IFERROR(--(EOMONTH(AL1408,0)&lt;&gt;AK$5),1))+IF(AO1408="",0,IFERROR(--(EOMONTH(AO1408,0)&lt;&gt;AN$5),1))+IF(AR1408="",0,IFERROR(--(EOMONTH(AR1408,0)&lt;&gt;AQ$5),1))+IF(AU1408="",0,IFERROR(--(EOMONTH(AU1408,0)&lt;&gt;AT$5),1))+IF(AX1408="",0,IFERROR(--(EOMONTH(AX1408,0)&lt;&gt;AW$5),1))+IF(BA1408="",0,IFERROR(--(EOMONTH(BA1408,0)&lt;&gt;AZ$5),1)))&gt;0,"; An invoice date is not in the month it is typed under",""),3,500))</f>
        <v/>
      </c>
      <c r="S1408" s="12" t="n"/>
      <c r="T1408" s="13" t="n"/>
      <c r="U1408" s="14" t="n"/>
      <c r="V1408" s="12" t="n"/>
      <c r="W1408" s="13" t="n"/>
      <c r="X1408" s="14" t="n"/>
      <c r="Y1408" s="12" t="n"/>
      <c r="Z1408" s="13" t="n"/>
      <c r="AA1408" s="14" t="n"/>
      <c r="AB1408" s="12" t="n"/>
      <c r="AC1408" s="13" t="n"/>
      <c r="AD1408" s="14" t="n"/>
      <c r="AE1408" s="12" t="n"/>
      <c r="AF1408" s="13" t="n"/>
      <c r="AG1408" s="14" t="n"/>
      <c r="AH1408" s="12" t="n"/>
      <c r="AI1408" s="13" t="n"/>
      <c r="AJ1408" s="14" t="n"/>
      <c r="AK1408" s="12" t="n"/>
      <c r="AL1408" s="13" t="n"/>
      <c r="AM1408" s="14" t="n"/>
      <c r="AN1408" s="12" t="n"/>
      <c r="AO1408" s="13" t="n"/>
      <c r="AP1408" s="14" t="n"/>
      <c r="AQ1408" s="12" t="n"/>
      <c r="AR1408" s="13" t="n"/>
      <c r="AS1408" s="14" t="n"/>
      <c r="AT1408" s="12" t="n"/>
      <c r="AU1408" s="13" t="n"/>
      <c r="AV1408" s="14" t="n"/>
      <c r="AW1408" s="12" t="n"/>
      <c r="AX1408" s="13" t="n"/>
      <c r="AY1408" s="14" t="n"/>
      <c r="AZ1408" s="12" t="n"/>
      <c r="BA1408" s="13" t="n"/>
      <c r="BB1408" s="14" t="n"/>
      <c r="BC1408" s="11">
        <f>IF(O1408="","",IF(J1408="GST 10%",ROUND(O1408*set_GSTRate,2),0))</f>
        <v/>
      </c>
      <c r="BD1408" s="11">
        <f>IF(O1408="","",O1408+BC1408)</f>
        <v/>
      </c>
      <c r="BE1408" s="15">
        <f>IF(O1408="","",COUNTA(S1408,V1408,Y1408,AB1408,AE1408,AH1408,AK1408,AN1408,AQ1408,AT1408,AW1408,AZ1408))</f>
        <v/>
      </c>
      <c r="BF1408" s="16">
        <f>IF(COUNT(T1408,W1408,Z1408,AC1408,AF1408,AI1408,AL1408,AO1408,AR1408,AU1408,AX1408,BA1408)=0,"",MAX(T1408,W1408,Z1408,AC1408,AF1408,AI1408,AL1408,AO1408,AR1408,AU1408,AX1408,BA1408))</f>
        <v/>
      </c>
      <c r="BG1408" s="10">
        <f>MID(IF(S1408="","",", "&amp;S1408)&amp;IF(V1408="","",", "&amp;V1408)&amp;IF(Y1408="","",", "&amp;Y1408)&amp;IF(AB1408="","",", "&amp;AB1408)&amp;IF(AE1408="","",", "&amp;AE1408)&amp;IF(AH1408="","",", "&amp;AH1408)&amp;IF(AK1408="","",", "&amp;AK1408)&amp;IF(AN1408="","",", "&amp;AN1408)&amp;IF(AQ1408="","",", "&amp;AQ1408)&amp;IF(AT1408="","",", "&amp;AT1408)&amp;IF(AW1408="","",", "&amp;AW1408)&amp;IF(AZ1408="","",", "&amp;AZ1408),3,500)</f>
        <v/>
      </c>
      <c r="BH1408" s="12" t="n"/>
      <c r="BI1408" s="15">
        <f>IFERROR(MATCH($A1408,IF($B1408="Onsite",tbl_Onsite[Row ID],IF($B1408="Production",tbl_Production[Row ID],tbl_Consulting[Row ID])),0),"")</f>
        <v/>
      </c>
    </row>
    <row r="1409">
      <c r="A1409" s="10" t="inlineStr">
        <is>
          <t>CON-0403</t>
        </is>
      </c>
      <c r="B1409" s="10" t="inlineStr">
        <is>
          <t>Consulting</t>
        </is>
      </c>
      <c r="C1409" s="10">
        <f>IF($BI1409="","",IF($B1409="Onsite",INDEX(tbl_Onsite[Job Number],$BI1409),IF($B1409="Production",INDEX(tbl_Production[Job Number],$BI1409),INDEX(tbl_Consulting[Job Number],$BI1409)))&amp;"")</f>
        <v/>
      </c>
      <c r="D1409" s="10">
        <f>IF($BI1409="","",IF($B1409="Onsite",INDEX(tbl_Onsite[Client],$BI1409),IF($B1409="Production",INDEX(tbl_Production[Client],$BI1409),INDEX(tbl_Consulting[Client],$BI1409)))&amp;"")</f>
        <v/>
      </c>
      <c r="E1409" s="10">
        <f>IF($C1409="","",IF(COUNTIF(lst_Jobs,$C1409)&gt;0,"OK","CHECK"))</f>
        <v/>
      </c>
      <c r="F1409" s="10">
        <f>IF($C1409="","",IFERROR(INDEX(lst_JobName,MATCH($C1409,lst_Jobs,0)),""))</f>
        <v/>
      </c>
      <c r="G1409" s="10">
        <f>IF($BI1409="","",IF($B1409="Onsite",INDEX(tbl_Onsite[Job Description],$BI1409),IF($B1409="Production",INDEX(tbl_Production[Job Description],$BI1409),INDEX(tbl_Consulting[Job Description],$BI1409)))&amp;"")</f>
        <v/>
      </c>
      <c r="H1409" s="10">
        <f>IF($BI1409="","",IF($B1409="Onsite",INDEX(tbl_Onsite[Cost Centre],$BI1409),IF($B1409="Production",INDEX(tbl_Production[Cost Centre],$BI1409),INDEX(tbl_Consulting[Cost Centre],$BI1409)))&amp;"")</f>
        <v/>
      </c>
      <c r="I1409" s="10">
        <f>IF($BI1409="","",IF($B1409="Onsite",INDEX(tbl_Onsite[Invoice Type],$BI1409),IF($B1409="Production",INDEX(tbl_Production[Invoice Type],$BI1409),INDEX(tbl_Consulting[Invoice Type],$BI1409)))&amp;"")</f>
        <v/>
      </c>
      <c r="J1409" s="10">
        <f>IF($BI1409="","",IF($B1409="Onsite",INDEX(tbl_Onsite[Tax Code],$BI1409),IF($B1409="Production",INDEX(tbl_Production[Tax Code],$BI1409),INDEX(tbl_Consulting[Tax Code],$BI1409)))&amp;"")</f>
        <v/>
      </c>
      <c r="K1409" s="10">
        <f>IF(H1409="","",IFERROR(INDEX(lst_CCtoGL,MATCH(H1409,lst_CCforGL,0)),""))</f>
        <v/>
      </c>
      <c r="L1409" s="10">
        <f>IF($BI1409="","",IF($B1409="Onsite",INDEX(tbl_Onsite[PO / Reference],$BI1409),IF($B1409="Production",INDEX(tbl_Production[Current RMS No],$BI1409),INDEX(tbl_Consulting[Qwilr Quote],$BI1409)))&amp;"")</f>
        <v/>
      </c>
      <c r="M1409" s="10">
        <f>IF($BI1409="","",IF($B1409="Onsite",INDEX(tbl_Onsite[Notes],$BI1409),IF($B1409="Production",INDEX(tbl_Production[Notes],$BI1409),INDEX(tbl_Consulting[Notes],$BI1409)))&amp;"")</f>
        <v/>
      </c>
      <c r="N1409" s="11">
        <f>IF($BI1409="","",IF(IF($B1409="Onsite",INDEX(tbl_Onsite[Expected Revenue Ex GST],$BI1409),IF($B1409="Production",INDEX(tbl_Production[Expected Revenue Ex GST],$BI1409),INDEX(tbl_Consulting[Expected Revenue Ex GST],$BI1409)))="","",IF($B1409="Onsite",INDEX(tbl_Onsite[Expected Revenue Ex GST],$BI1409),IF($B1409="Production",INDEX(tbl_Production[Expected Revenue Ex GST],$BI1409),INDEX(tbl_Consulting[Expected Revenue Ex GST],$BI1409)))))</f>
        <v/>
      </c>
      <c r="O1409" s="11">
        <f>IF(AND($C1409="",NOT(COUNTA($S1409:$BB1409)&gt;0)),"",SUM(U1409,X1409,AA1409,AD1409,AG1409,AJ1409,AM1409,AP1409,AS1409,AV1409,AY1409,BB1409))</f>
        <v/>
      </c>
      <c r="P1409" s="11">
        <f>IF(O1409="","",N(N1409)-O1409)</f>
        <v/>
      </c>
      <c r="Q1409" s="10">
        <f>IF(O1409="","",IF($C1409="","Invoice on empty job row",IF(N1409="",IF(ROUND(O1409,2)=0,"No dept value","Invoiced - no dept value"),IF(ROUND(O1409,2)=0,"Not invoiced - to invoice",IF(ROUND(P1409,2)=0,"Agrees",IF(P1409&gt;0,"Dept higher - to invoice","Xero higher - check dept"))))))</f>
        <v/>
      </c>
      <c r="R1409" s="10">
        <f>IF(AND($C1409="",NOT(COUNTA($S1409:$BB1409)&gt;0),$BI1409&lt;&gt;""),"",MID(IF($BI1409="","; Row ID not found on the department sheet - a row was deleted","")&amp;IF(AND($C1409="",COUNTA($S1409:$BB1409)&gt;0),"; Invoice entered but the department row has no job number","")&amp;IF(E1409="CHECK","; Job number not in the Xero job list","")&amp;IF(AND($C1409&lt;&gt;"",COUNTIF($C$7:$C$1506,$C1409)&gt;1),"; Job number on more than one row","")&amp;IF(AND($C1409&lt;&gt;"",H1409=""),"; Dept has not set a cost centre","")&amp;IF(AND($C1409&lt;&gt;"",J1409=""),"; Dept has not set a tax code","")&amp;IF(AND($C1409&lt;&gt;"",N1409=""),"; Dept has not entered an expected value","")&amp;IF((IF(OR(COUNTA(S1409:U1409)=0,AND(COUNTA(S1409:U1409)=3,ISNUMBER(U1409))),0,1)+IF(OR(COUNTA(V1409:X1409)=0,AND(COUNTA(V1409:X1409)=3,ISNUMBER(X1409))),0,1)+IF(OR(COUNTA(Y1409:AA1409)=0,AND(COUNTA(Y1409:AA1409)=3,ISNUMBER(AA1409))),0,1)+IF(OR(COUNTA(AB1409:AD1409)=0,AND(COUNTA(AB1409:AD1409)=3,ISNUMBER(AD1409))),0,1)+IF(OR(COUNTA(AE1409:AG1409)=0,AND(COUNTA(AE1409:AG1409)=3,ISNUMBER(AG1409))),0,1)+IF(OR(COUNTA(AH1409:AJ1409)=0,AND(COUNTA(AH1409:AJ1409)=3,ISNUMBER(AJ1409))),0,1)+IF(OR(COUNTA(AK1409:AM1409)=0,AND(COUNTA(AK1409:AM1409)=3,ISNUMBER(AM1409))),0,1)+IF(OR(COUNTA(AN1409:AP1409)=0,AND(COUNTA(AN1409:AP1409)=3,ISNUMBER(AP1409))),0,1)+IF(OR(COUNTA(AQ1409:AS1409)=0,AND(COUNTA(AQ1409:AS1409)=3,ISNUMBER(AS1409))),0,1)+IF(OR(COUNTA(AT1409:AV1409)=0,AND(COUNTA(AT1409:AV1409)=3,ISNUMBER(AV1409))),0,1)+IF(OR(COUNTA(AW1409:AY1409)=0,AND(COUNTA(AW1409:AY1409)=3,ISNUMBER(AY1409))),0,1)+IF(OR(COUNTA(AZ1409:BB1409)=0,AND(COUNTA(AZ1409:BB1409)=3,ISNUMBER(BB1409))),0,1))&gt;0,"; An invoice is incomplete (needs No, Date and a number in Ex GST)","")&amp;IF((IF(T1409="",0,IFERROR(--(EOMONTH(T1409,0)&lt;&gt;S$5),1))+IF(W1409="",0,IFERROR(--(EOMONTH(W1409,0)&lt;&gt;V$5),1))+IF(Z1409="",0,IFERROR(--(EOMONTH(Z1409,0)&lt;&gt;Y$5),1))+IF(AC1409="",0,IFERROR(--(EOMONTH(AC1409,0)&lt;&gt;AB$5),1))+IF(AF1409="",0,IFERROR(--(EOMONTH(AF1409,0)&lt;&gt;AE$5),1))+IF(AI1409="",0,IFERROR(--(EOMONTH(AI1409,0)&lt;&gt;AH$5),1))+IF(AL1409="",0,IFERROR(--(EOMONTH(AL1409,0)&lt;&gt;AK$5),1))+IF(AO1409="",0,IFERROR(--(EOMONTH(AO1409,0)&lt;&gt;AN$5),1))+IF(AR1409="",0,IFERROR(--(EOMONTH(AR1409,0)&lt;&gt;AQ$5),1))+IF(AU1409="",0,IFERROR(--(EOMONTH(AU1409,0)&lt;&gt;AT$5),1))+IF(AX1409="",0,IFERROR(--(EOMONTH(AX1409,0)&lt;&gt;AW$5),1))+IF(BA1409="",0,IFERROR(--(EOMONTH(BA1409,0)&lt;&gt;AZ$5),1)))&gt;0,"; An invoice date is not in the month it is typed under",""),3,500))</f>
        <v/>
      </c>
      <c r="S1409" s="12" t="n"/>
      <c r="T1409" s="13" t="n"/>
      <c r="U1409" s="14" t="n"/>
      <c r="V1409" s="12" t="n"/>
      <c r="W1409" s="13" t="n"/>
      <c r="X1409" s="14" t="n"/>
      <c r="Y1409" s="12" t="n"/>
      <c r="Z1409" s="13" t="n"/>
      <c r="AA1409" s="14" t="n"/>
      <c r="AB1409" s="12" t="n"/>
      <c r="AC1409" s="13" t="n"/>
      <c r="AD1409" s="14" t="n"/>
      <c r="AE1409" s="12" t="n"/>
      <c r="AF1409" s="13" t="n"/>
      <c r="AG1409" s="14" t="n"/>
      <c r="AH1409" s="12" t="n"/>
      <c r="AI1409" s="13" t="n"/>
      <c r="AJ1409" s="14" t="n"/>
      <c r="AK1409" s="12" t="n"/>
      <c r="AL1409" s="13" t="n"/>
      <c r="AM1409" s="14" t="n"/>
      <c r="AN1409" s="12" t="n"/>
      <c r="AO1409" s="13" t="n"/>
      <c r="AP1409" s="14" t="n"/>
      <c r="AQ1409" s="12" t="n"/>
      <c r="AR1409" s="13" t="n"/>
      <c r="AS1409" s="14" t="n"/>
      <c r="AT1409" s="12" t="n"/>
      <c r="AU1409" s="13" t="n"/>
      <c r="AV1409" s="14" t="n"/>
      <c r="AW1409" s="12" t="n"/>
      <c r="AX1409" s="13" t="n"/>
      <c r="AY1409" s="14" t="n"/>
      <c r="AZ1409" s="12" t="n"/>
      <c r="BA1409" s="13" t="n"/>
      <c r="BB1409" s="14" t="n"/>
      <c r="BC1409" s="11">
        <f>IF(O1409="","",IF(J1409="GST 10%",ROUND(O1409*set_GSTRate,2),0))</f>
        <v/>
      </c>
      <c r="BD1409" s="11">
        <f>IF(O1409="","",O1409+BC1409)</f>
        <v/>
      </c>
      <c r="BE1409" s="15">
        <f>IF(O1409="","",COUNTA(S1409,V1409,Y1409,AB1409,AE1409,AH1409,AK1409,AN1409,AQ1409,AT1409,AW1409,AZ1409))</f>
        <v/>
      </c>
      <c r="BF1409" s="16">
        <f>IF(COUNT(T1409,W1409,Z1409,AC1409,AF1409,AI1409,AL1409,AO1409,AR1409,AU1409,AX1409,BA1409)=0,"",MAX(T1409,W1409,Z1409,AC1409,AF1409,AI1409,AL1409,AO1409,AR1409,AU1409,AX1409,BA1409))</f>
        <v/>
      </c>
      <c r="BG1409" s="10">
        <f>MID(IF(S1409="","",", "&amp;S1409)&amp;IF(V1409="","",", "&amp;V1409)&amp;IF(Y1409="","",", "&amp;Y1409)&amp;IF(AB1409="","",", "&amp;AB1409)&amp;IF(AE1409="","",", "&amp;AE1409)&amp;IF(AH1409="","",", "&amp;AH1409)&amp;IF(AK1409="","",", "&amp;AK1409)&amp;IF(AN1409="","",", "&amp;AN1409)&amp;IF(AQ1409="","",", "&amp;AQ1409)&amp;IF(AT1409="","",", "&amp;AT1409)&amp;IF(AW1409="","",", "&amp;AW1409)&amp;IF(AZ1409="","",", "&amp;AZ1409),3,500)</f>
        <v/>
      </c>
      <c r="BH1409" s="12" t="n"/>
      <c r="BI1409" s="15">
        <f>IFERROR(MATCH($A1409,IF($B1409="Onsite",tbl_Onsite[Row ID],IF($B1409="Production",tbl_Production[Row ID],tbl_Consulting[Row ID])),0),"")</f>
        <v/>
      </c>
    </row>
    <row r="1410">
      <c r="A1410" s="10" t="inlineStr">
        <is>
          <t>CON-0404</t>
        </is>
      </c>
      <c r="B1410" s="10" t="inlineStr">
        <is>
          <t>Consulting</t>
        </is>
      </c>
      <c r="C1410" s="10">
        <f>IF($BI1410="","",IF($B1410="Onsite",INDEX(tbl_Onsite[Job Number],$BI1410),IF($B1410="Production",INDEX(tbl_Production[Job Number],$BI1410),INDEX(tbl_Consulting[Job Number],$BI1410)))&amp;"")</f>
        <v/>
      </c>
      <c r="D1410" s="10">
        <f>IF($BI1410="","",IF($B1410="Onsite",INDEX(tbl_Onsite[Client],$BI1410),IF($B1410="Production",INDEX(tbl_Production[Client],$BI1410),INDEX(tbl_Consulting[Client],$BI1410)))&amp;"")</f>
        <v/>
      </c>
      <c r="E1410" s="10">
        <f>IF($C1410="","",IF(COUNTIF(lst_Jobs,$C1410)&gt;0,"OK","CHECK"))</f>
        <v/>
      </c>
      <c r="F1410" s="10">
        <f>IF($C1410="","",IFERROR(INDEX(lst_JobName,MATCH($C1410,lst_Jobs,0)),""))</f>
        <v/>
      </c>
      <c r="G1410" s="10">
        <f>IF($BI1410="","",IF($B1410="Onsite",INDEX(tbl_Onsite[Job Description],$BI1410),IF($B1410="Production",INDEX(tbl_Production[Job Description],$BI1410),INDEX(tbl_Consulting[Job Description],$BI1410)))&amp;"")</f>
        <v/>
      </c>
      <c r="H1410" s="10">
        <f>IF($BI1410="","",IF($B1410="Onsite",INDEX(tbl_Onsite[Cost Centre],$BI1410),IF($B1410="Production",INDEX(tbl_Production[Cost Centre],$BI1410),INDEX(tbl_Consulting[Cost Centre],$BI1410)))&amp;"")</f>
        <v/>
      </c>
      <c r="I1410" s="10">
        <f>IF($BI1410="","",IF($B1410="Onsite",INDEX(tbl_Onsite[Invoice Type],$BI1410),IF($B1410="Production",INDEX(tbl_Production[Invoice Type],$BI1410),INDEX(tbl_Consulting[Invoice Type],$BI1410)))&amp;"")</f>
        <v/>
      </c>
      <c r="J1410" s="10">
        <f>IF($BI1410="","",IF($B1410="Onsite",INDEX(tbl_Onsite[Tax Code],$BI1410),IF($B1410="Production",INDEX(tbl_Production[Tax Code],$BI1410),INDEX(tbl_Consulting[Tax Code],$BI1410)))&amp;"")</f>
        <v/>
      </c>
      <c r="K1410" s="10">
        <f>IF(H1410="","",IFERROR(INDEX(lst_CCtoGL,MATCH(H1410,lst_CCforGL,0)),""))</f>
        <v/>
      </c>
      <c r="L1410" s="10">
        <f>IF($BI1410="","",IF($B1410="Onsite",INDEX(tbl_Onsite[PO / Reference],$BI1410),IF($B1410="Production",INDEX(tbl_Production[Current RMS No],$BI1410),INDEX(tbl_Consulting[Qwilr Quote],$BI1410)))&amp;"")</f>
        <v/>
      </c>
      <c r="M1410" s="10">
        <f>IF($BI1410="","",IF($B1410="Onsite",INDEX(tbl_Onsite[Notes],$BI1410),IF($B1410="Production",INDEX(tbl_Production[Notes],$BI1410),INDEX(tbl_Consulting[Notes],$BI1410)))&amp;"")</f>
        <v/>
      </c>
      <c r="N1410" s="11">
        <f>IF($BI1410="","",IF(IF($B1410="Onsite",INDEX(tbl_Onsite[Expected Revenue Ex GST],$BI1410),IF($B1410="Production",INDEX(tbl_Production[Expected Revenue Ex GST],$BI1410),INDEX(tbl_Consulting[Expected Revenue Ex GST],$BI1410)))="","",IF($B1410="Onsite",INDEX(tbl_Onsite[Expected Revenue Ex GST],$BI1410),IF($B1410="Production",INDEX(tbl_Production[Expected Revenue Ex GST],$BI1410),INDEX(tbl_Consulting[Expected Revenue Ex GST],$BI1410)))))</f>
        <v/>
      </c>
      <c r="O1410" s="11">
        <f>IF(AND($C1410="",NOT(COUNTA($S1410:$BB1410)&gt;0)),"",SUM(U1410,X1410,AA1410,AD1410,AG1410,AJ1410,AM1410,AP1410,AS1410,AV1410,AY1410,BB1410))</f>
        <v/>
      </c>
      <c r="P1410" s="11">
        <f>IF(O1410="","",N(N1410)-O1410)</f>
        <v/>
      </c>
      <c r="Q1410" s="10">
        <f>IF(O1410="","",IF($C1410="","Invoice on empty job row",IF(N1410="",IF(ROUND(O1410,2)=0,"No dept value","Invoiced - no dept value"),IF(ROUND(O1410,2)=0,"Not invoiced - to invoice",IF(ROUND(P1410,2)=0,"Agrees",IF(P1410&gt;0,"Dept higher - to invoice","Xero higher - check dept"))))))</f>
        <v/>
      </c>
      <c r="R1410" s="10">
        <f>IF(AND($C1410="",NOT(COUNTA($S1410:$BB1410)&gt;0),$BI1410&lt;&gt;""),"",MID(IF($BI1410="","; Row ID not found on the department sheet - a row was deleted","")&amp;IF(AND($C1410="",COUNTA($S1410:$BB1410)&gt;0),"; Invoice entered but the department row has no job number","")&amp;IF(E1410="CHECK","; Job number not in the Xero job list","")&amp;IF(AND($C1410&lt;&gt;"",COUNTIF($C$7:$C$1506,$C1410)&gt;1),"; Job number on more than one row","")&amp;IF(AND($C1410&lt;&gt;"",H1410=""),"; Dept has not set a cost centre","")&amp;IF(AND($C1410&lt;&gt;"",J1410=""),"; Dept has not set a tax code","")&amp;IF(AND($C1410&lt;&gt;"",N1410=""),"; Dept has not entered an expected value","")&amp;IF((IF(OR(COUNTA(S1410:U1410)=0,AND(COUNTA(S1410:U1410)=3,ISNUMBER(U1410))),0,1)+IF(OR(COUNTA(V1410:X1410)=0,AND(COUNTA(V1410:X1410)=3,ISNUMBER(X1410))),0,1)+IF(OR(COUNTA(Y1410:AA1410)=0,AND(COUNTA(Y1410:AA1410)=3,ISNUMBER(AA1410))),0,1)+IF(OR(COUNTA(AB1410:AD1410)=0,AND(COUNTA(AB1410:AD1410)=3,ISNUMBER(AD1410))),0,1)+IF(OR(COUNTA(AE1410:AG1410)=0,AND(COUNTA(AE1410:AG1410)=3,ISNUMBER(AG1410))),0,1)+IF(OR(COUNTA(AH1410:AJ1410)=0,AND(COUNTA(AH1410:AJ1410)=3,ISNUMBER(AJ1410))),0,1)+IF(OR(COUNTA(AK1410:AM1410)=0,AND(COUNTA(AK1410:AM1410)=3,ISNUMBER(AM1410))),0,1)+IF(OR(COUNTA(AN1410:AP1410)=0,AND(COUNTA(AN1410:AP1410)=3,ISNUMBER(AP1410))),0,1)+IF(OR(COUNTA(AQ1410:AS1410)=0,AND(COUNTA(AQ1410:AS1410)=3,ISNUMBER(AS1410))),0,1)+IF(OR(COUNTA(AT1410:AV1410)=0,AND(COUNTA(AT1410:AV1410)=3,ISNUMBER(AV1410))),0,1)+IF(OR(COUNTA(AW1410:AY1410)=0,AND(COUNTA(AW1410:AY1410)=3,ISNUMBER(AY1410))),0,1)+IF(OR(COUNTA(AZ1410:BB1410)=0,AND(COUNTA(AZ1410:BB1410)=3,ISNUMBER(BB1410))),0,1))&gt;0,"; An invoice is incomplete (needs No, Date and a number in Ex GST)","")&amp;IF((IF(T1410="",0,IFERROR(--(EOMONTH(T1410,0)&lt;&gt;S$5),1))+IF(W1410="",0,IFERROR(--(EOMONTH(W1410,0)&lt;&gt;V$5),1))+IF(Z1410="",0,IFERROR(--(EOMONTH(Z1410,0)&lt;&gt;Y$5),1))+IF(AC1410="",0,IFERROR(--(EOMONTH(AC1410,0)&lt;&gt;AB$5),1))+IF(AF1410="",0,IFERROR(--(EOMONTH(AF1410,0)&lt;&gt;AE$5),1))+IF(AI1410="",0,IFERROR(--(EOMONTH(AI1410,0)&lt;&gt;AH$5),1))+IF(AL1410="",0,IFERROR(--(EOMONTH(AL1410,0)&lt;&gt;AK$5),1))+IF(AO1410="",0,IFERROR(--(EOMONTH(AO1410,0)&lt;&gt;AN$5),1))+IF(AR1410="",0,IFERROR(--(EOMONTH(AR1410,0)&lt;&gt;AQ$5),1))+IF(AU1410="",0,IFERROR(--(EOMONTH(AU1410,0)&lt;&gt;AT$5),1))+IF(AX1410="",0,IFERROR(--(EOMONTH(AX1410,0)&lt;&gt;AW$5),1))+IF(BA1410="",0,IFERROR(--(EOMONTH(BA1410,0)&lt;&gt;AZ$5),1)))&gt;0,"; An invoice date is not in the month it is typed under",""),3,500))</f>
        <v/>
      </c>
      <c r="S1410" s="12" t="n"/>
      <c r="T1410" s="13" t="n"/>
      <c r="U1410" s="14" t="n"/>
      <c r="V1410" s="12" t="n"/>
      <c r="W1410" s="13" t="n"/>
      <c r="X1410" s="14" t="n"/>
      <c r="Y1410" s="12" t="n"/>
      <c r="Z1410" s="13" t="n"/>
      <c r="AA1410" s="14" t="n"/>
      <c r="AB1410" s="12" t="n"/>
      <c r="AC1410" s="13" t="n"/>
      <c r="AD1410" s="14" t="n"/>
      <c r="AE1410" s="12" t="n"/>
      <c r="AF1410" s="13" t="n"/>
      <c r="AG1410" s="14" t="n"/>
      <c r="AH1410" s="12" t="n"/>
      <c r="AI1410" s="13" t="n"/>
      <c r="AJ1410" s="14" t="n"/>
      <c r="AK1410" s="12" t="n"/>
      <c r="AL1410" s="13" t="n"/>
      <c r="AM1410" s="14" t="n"/>
      <c r="AN1410" s="12" t="n"/>
      <c r="AO1410" s="13" t="n"/>
      <c r="AP1410" s="14" t="n"/>
      <c r="AQ1410" s="12" t="n"/>
      <c r="AR1410" s="13" t="n"/>
      <c r="AS1410" s="14" t="n"/>
      <c r="AT1410" s="12" t="n"/>
      <c r="AU1410" s="13" t="n"/>
      <c r="AV1410" s="14" t="n"/>
      <c r="AW1410" s="12" t="n"/>
      <c r="AX1410" s="13" t="n"/>
      <c r="AY1410" s="14" t="n"/>
      <c r="AZ1410" s="12" t="n"/>
      <c r="BA1410" s="13" t="n"/>
      <c r="BB1410" s="14" t="n"/>
      <c r="BC1410" s="11">
        <f>IF(O1410="","",IF(J1410="GST 10%",ROUND(O1410*set_GSTRate,2),0))</f>
        <v/>
      </c>
      <c r="BD1410" s="11">
        <f>IF(O1410="","",O1410+BC1410)</f>
        <v/>
      </c>
      <c r="BE1410" s="15">
        <f>IF(O1410="","",COUNTA(S1410,V1410,Y1410,AB1410,AE1410,AH1410,AK1410,AN1410,AQ1410,AT1410,AW1410,AZ1410))</f>
        <v/>
      </c>
      <c r="BF1410" s="16">
        <f>IF(COUNT(T1410,W1410,Z1410,AC1410,AF1410,AI1410,AL1410,AO1410,AR1410,AU1410,AX1410,BA1410)=0,"",MAX(T1410,W1410,Z1410,AC1410,AF1410,AI1410,AL1410,AO1410,AR1410,AU1410,AX1410,BA1410))</f>
        <v/>
      </c>
      <c r="BG1410" s="10">
        <f>MID(IF(S1410="","",", "&amp;S1410)&amp;IF(V1410="","",", "&amp;V1410)&amp;IF(Y1410="","",", "&amp;Y1410)&amp;IF(AB1410="","",", "&amp;AB1410)&amp;IF(AE1410="","",", "&amp;AE1410)&amp;IF(AH1410="","",", "&amp;AH1410)&amp;IF(AK1410="","",", "&amp;AK1410)&amp;IF(AN1410="","",", "&amp;AN1410)&amp;IF(AQ1410="","",", "&amp;AQ1410)&amp;IF(AT1410="","",", "&amp;AT1410)&amp;IF(AW1410="","",", "&amp;AW1410)&amp;IF(AZ1410="","",", "&amp;AZ1410),3,500)</f>
        <v/>
      </c>
      <c r="BH1410" s="12" t="n"/>
      <c r="BI1410" s="15">
        <f>IFERROR(MATCH($A1410,IF($B1410="Onsite",tbl_Onsite[Row ID],IF($B1410="Production",tbl_Production[Row ID],tbl_Consulting[Row ID])),0),"")</f>
        <v/>
      </c>
    </row>
    <row r="1411">
      <c r="A1411" s="10" t="inlineStr">
        <is>
          <t>CON-0405</t>
        </is>
      </c>
      <c r="B1411" s="10" t="inlineStr">
        <is>
          <t>Consulting</t>
        </is>
      </c>
      <c r="C1411" s="10">
        <f>IF($BI1411="","",IF($B1411="Onsite",INDEX(tbl_Onsite[Job Number],$BI1411),IF($B1411="Production",INDEX(tbl_Production[Job Number],$BI1411),INDEX(tbl_Consulting[Job Number],$BI1411)))&amp;"")</f>
        <v/>
      </c>
      <c r="D1411" s="10">
        <f>IF($BI1411="","",IF($B1411="Onsite",INDEX(tbl_Onsite[Client],$BI1411),IF($B1411="Production",INDEX(tbl_Production[Client],$BI1411),INDEX(tbl_Consulting[Client],$BI1411)))&amp;"")</f>
        <v/>
      </c>
      <c r="E1411" s="10">
        <f>IF($C1411="","",IF(COUNTIF(lst_Jobs,$C1411)&gt;0,"OK","CHECK"))</f>
        <v/>
      </c>
      <c r="F1411" s="10">
        <f>IF($C1411="","",IFERROR(INDEX(lst_JobName,MATCH($C1411,lst_Jobs,0)),""))</f>
        <v/>
      </c>
      <c r="G1411" s="10">
        <f>IF($BI1411="","",IF($B1411="Onsite",INDEX(tbl_Onsite[Job Description],$BI1411),IF($B1411="Production",INDEX(tbl_Production[Job Description],$BI1411),INDEX(tbl_Consulting[Job Description],$BI1411)))&amp;"")</f>
        <v/>
      </c>
      <c r="H1411" s="10">
        <f>IF($BI1411="","",IF($B1411="Onsite",INDEX(tbl_Onsite[Cost Centre],$BI1411),IF($B1411="Production",INDEX(tbl_Production[Cost Centre],$BI1411),INDEX(tbl_Consulting[Cost Centre],$BI1411)))&amp;"")</f>
        <v/>
      </c>
      <c r="I1411" s="10">
        <f>IF($BI1411="","",IF($B1411="Onsite",INDEX(tbl_Onsite[Invoice Type],$BI1411),IF($B1411="Production",INDEX(tbl_Production[Invoice Type],$BI1411),INDEX(tbl_Consulting[Invoice Type],$BI1411)))&amp;"")</f>
        <v/>
      </c>
      <c r="J1411" s="10">
        <f>IF($BI1411="","",IF($B1411="Onsite",INDEX(tbl_Onsite[Tax Code],$BI1411),IF($B1411="Production",INDEX(tbl_Production[Tax Code],$BI1411),INDEX(tbl_Consulting[Tax Code],$BI1411)))&amp;"")</f>
        <v/>
      </c>
      <c r="K1411" s="10">
        <f>IF(H1411="","",IFERROR(INDEX(lst_CCtoGL,MATCH(H1411,lst_CCforGL,0)),""))</f>
        <v/>
      </c>
      <c r="L1411" s="10">
        <f>IF($BI1411="","",IF($B1411="Onsite",INDEX(tbl_Onsite[PO / Reference],$BI1411),IF($B1411="Production",INDEX(tbl_Production[Current RMS No],$BI1411),INDEX(tbl_Consulting[Qwilr Quote],$BI1411)))&amp;"")</f>
        <v/>
      </c>
      <c r="M1411" s="10">
        <f>IF($BI1411="","",IF($B1411="Onsite",INDEX(tbl_Onsite[Notes],$BI1411),IF($B1411="Production",INDEX(tbl_Production[Notes],$BI1411),INDEX(tbl_Consulting[Notes],$BI1411)))&amp;"")</f>
        <v/>
      </c>
      <c r="N1411" s="11">
        <f>IF($BI1411="","",IF(IF($B1411="Onsite",INDEX(tbl_Onsite[Expected Revenue Ex GST],$BI1411),IF($B1411="Production",INDEX(tbl_Production[Expected Revenue Ex GST],$BI1411),INDEX(tbl_Consulting[Expected Revenue Ex GST],$BI1411)))="","",IF($B1411="Onsite",INDEX(tbl_Onsite[Expected Revenue Ex GST],$BI1411),IF($B1411="Production",INDEX(tbl_Production[Expected Revenue Ex GST],$BI1411),INDEX(tbl_Consulting[Expected Revenue Ex GST],$BI1411)))))</f>
        <v/>
      </c>
      <c r="O1411" s="11">
        <f>IF(AND($C1411="",NOT(COUNTA($S1411:$BB1411)&gt;0)),"",SUM(U1411,X1411,AA1411,AD1411,AG1411,AJ1411,AM1411,AP1411,AS1411,AV1411,AY1411,BB1411))</f>
        <v/>
      </c>
      <c r="P1411" s="11">
        <f>IF(O1411="","",N(N1411)-O1411)</f>
        <v/>
      </c>
      <c r="Q1411" s="10">
        <f>IF(O1411="","",IF($C1411="","Invoice on empty job row",IF(N1411="",IF(ROUND(O1411,2)=0,"No dept value","Invoiced - no dept value"),IF(ROUND(O1411,2)=0,"Not invoiced - to invoice",IF(ROUND(P1411,2)=0,"Agrees",IF(P1411&gt;0,"Dept higher - to invoice","Xero higher - check dept"))))))</f>
        <v/>
      </c>
      <c r="R1411" s="10">
        <f>IF(AND($C1411="",NOT(COUNTA($S1411:$BB1411)&gt;0),$BI1411&lt;&gt;""),"",MID(IF($BI1411="","; Row ID not found on the department sheet - a row was deleted","")&amp;IF(AND($C1411="",COUNTA($S1411:$BB1411)&gt;0),"; Invoice entered but the department row has no job number","")&amp;IF(E1411="CHECK","; Job number not in the Xero job list","")&amp;IF(AND($C1411&lt;&gt;"",COUNTIF($C$7:$C$1506,$C1411)&gt;1),"; Job number on more than one row","")&amp;IF(AND($C1411&lt;&gt;"",H1411=""),"; Dept has not set a cost centre","")&amp;IF(AND($C1411&lt;&gt;"",J1411=""),"; Dept has not set a tax code","")&amp;IF(AND($C1411&lt;&gt;"",N1411=""),"; Dept has not entered an expected value","")&amp;IF((IF(OR(COUNTA(S1411:U1411)=0,AND(COUNTA(S1411:U1411)=3,ISNUMBER(U1411))),0,1)+IF(OR(COUNTA(V1411:X1411)=0,AND(COUNTA(V1411:X1411)=3,ISNUMBER(X1411))),0,1)+IF(OR(COUNTA(Y1411:AA1411)=0,AND(COUNTA(Y1411:AA1411)=3,ISNUMBER(AA1411))),0,1)+IF(OR(COUNTA(AB1411:AD1411)=0,AND(COUNTA(AB1411:AD1411)=3,ISNUMBER(AD1411))),0,1)+IF(OR(COUNTA(AE1411:AG1411)=0,AND(COUNTA(AE1411:AG1411)=3,ISNUMBER(AG1411))),0,1)+IF(OR(COUNTA(AH1411:AJ1411)=0,AND(COUNTA(AH1411:AJ1411)=3,ISNUMBER(AJ1411))),0,1)+IF(OR(COUNTA(AK1411:AM1411)=0,AND(COUNTA(AK1411:AM1411)=3,ISNUMBER(AM1411))),0,1)+IF(OR(COUNTA(AN1411:AP1411)=0,AND(COUNTA(AN1411:AP1411)=3,ISNUMBER(AP1411))),0,1)+IF(OR(COUNTA(AQ1411:AS1411)=0,AND(COUNTA(AQ1411:AS1411)=3,ISNUMBER(AS1411))),0,1)+IF(OR(COUNTA(AT1411:AV1411)=0,AND(COUNTA(AT1411:AV1411)=3,ISNUMBER(AV1411))),0,1)+IF(OR(COUNTA(AW1411:AY1411)=0,AND(COUNTA(AW1411:AY1411)=3,ISNUMBER(AY1411))),0,1)+IF(OR(COUNTA(AZ1411:BB1411)=0,AND(COUNTA(AZ1411:BB1411)=3,ISNUMBER(BB1411))),0,1))&gt;0,"; An invoice is incomplete (needs No, Date and a number in Ex GST)","")&amp;IF((IF(T1411="",0,IFERROR(--(EOMONTH(T1411,0)&lt;&gt;S$5),1))+IF(W1411="",0,IFERROR(--(EOMONTH(W1411,0)&lt;&gt;V$5),1))+IF(Z1411="",0,IFERROR(--(EOMONTH(Z1411,0)&lt;&gt;Y$5),1))+IF(AC1411="",0,IFERROR(--(EOMONTH(AC1411,0)&lt;&gt;AB$5),1))+IF(AF1411="",0,IFERROR(--(EOMONTH(AF1411,0)&lt;&gt;AE$5),1))+IF(AI1411="",0,IFERROR(--(EOMONTH(AI1411,0)&lt;&gt;AH$5),1))+IF(AL1411="",0,IFERROR(--(EOMONTH(AL1411,0)&lt;&gt;AK$5),1))+IF(AO1411="",0,IFERROR(--(EOMONTH(AO1411,0)&lt;&gt;AN$5),1))+IF(AR1411="",0,IFERROR(--(EOMONTH(AR1411,0)&lt;&gt;AQ$5),1))+IF(AU1411="",0,IFERROR(--(EOMONTH(AU1411,0)&lt;&gt;AT$5),1))+IF(AX1411="",0,IFERROR(--(EOMONTH(AX1411,0)&lt;&gt;AW$5),1))+IF(BA1411="",0,IFERROR(--(EOMONTH(BA1411,0)&lt;&gt;AZ$5),1)))&gt;0,"; An invoice date is not in the month it is typed under",""),3,500))</f>
        <v/>
      </c>
      <c r="S1411" s="12" t="n"/>
      <c r="T1411" s="13" t="n"/>
      <c r="U1411" s="14" t="n"/>
      <c r="V1411" s="12" t="n"/>
      <c r="W1411" s="13" t="n"/>
      <c r="X1411" s="14" t="n"/>
      <c r="Y1411" s="12" t="n"/>
      <c r="Z1411" s="13" t="n"/>
      <c r="AA1411" s="14" t="n"/>
      <c r="AB1411" s="12" t="n"/>
      <c r="AC1411" s="13" t="n"/>
      <c r="AD1411" s="14" t="n"/>
      <c r="AE1411" s="12" t="n"/>
      <c r="AF1411" s="13" t="n"/>
      <c r="AG1411" s="14" t="n"/>
      <c r="AH1411" s="12" t="n"/>
      <c r="AI1411" s="13" t="n"/>
      <c r="AJ1411" s="14" t="n"/>
      <c r="AK1411" s="12" t="n"/>
      <c r="AL1411" s="13" t="n"/>
      <c r="AM1411" s="14" t="n"/>
      <c r="AN1411" s="12" t="n"/>
      <c r="AO1411" s="13" t="n"/>
      <c r="AP1411" s="14" t="n"/>
      <c r="AQ1411" s="12" t="n"/>
      <c r="AR1411" s="13" t="n"/>
      <c r="AS1411" s="14" t="n"/>
      <c r="AT1411" s="12" t="n"/>
      <c r="AU1411" s="13" t="n"/>
      <c r="AV1411" s="14" t="n"/>
      <c r="AW1411" s="12" t="n"/>
      <c r="AX1411" s="13" t="n"/>
      <c r="AY1411" s="14" t="n"/>
      <c r="AZ1411" s="12" t="n"/>
      <c r="BA1411" s="13" t="n"/>
      <c r="BB1411" s="14" t="n"/>
      <c r="BC1411" s="11">
        <f>IF(O1411="","",IF(J1411="GST 10%",ROUND(O1411*set_GSTRate,2),0))</f>
        <v/>
      </c>
      <c r="BD1411" s="11">
        <f>IF(O1411="","",O1411+BC1411)</f>
        <v/>
      </c>
      <c r="BE1411" s="15">
        <f>IF(O1411="","",COUNTA(S1411,V1411,Y1411,AB1411,AE1411,AH1411,AK1411,AN1411,AQ1411,AT1411,AW1411,AZ1411))</f>
        <v/>
      </c>
      <c r="BF1411" s="16">
        <f>IF(COUNT(T1411,W1411,Z1411,AC1411,AF1411,AI1411,AL1411,AO1411,AR1411,AU1411,AX1411,BA1411)=0,"",MAX(T1411,W1411,Z1411,AC1411,AF1411,AI1411,AL1411,AO1411,AR1411,AU1411,AX1411,BA1411))</f>
        <v/>
      </c>
      <c r="BG1411" s="10">
        <f>MID(IF(S1411="","",", "&amp;S1411)&amp;IF(V1411="","",", "&amp;V1411)&amp;IF(Y1411="","",", "&amp;Y1411)&amp;IF(AB1411="","",", "&amp;AB1411)&amp;IF(AE1411="","",", "&amp;AE1411)&amp;IF(AH1411="","",", "&amp;AH1411)&amp;IF(AK1411="","",", "&amp;AK1411)&amp;IF(AN1411="","",", "&amp;AN1411)&amp;IF(AQ1411="","",", "&amp;AQ1411)&amp;IF(AT1411="","",", "&amp;AT1411)&amp;IF(AW1411="","",", "&amp;AW1411)&amp;IF(AZ1411="","",", "&amp;AZ1411),3,500)</f>
        <v/>
      </c>
      <c r="BH1411" s="12" t="n"/>
      <c r="BI1411" s="15">
        <f>IFERROR(MATCH($A1411,IF($B1411="Onsite",tbl_Onsite[Row ID],IF($B1411="Production",tbl_Production[Row ID],tbl_Consulting[Row ID])),0),"")</f>
        <v/>
      </c>
    </row>
    <row r="1412">
      <c r="A1412" s="10" t="inlineStr">
        <is>
          <t>CON-0406</t>
        </is>
      </c>
      <c r="B1412" s="10" t="inlineStr">
        <is>
          <t>Consulting</t>
        </is>
      </c>
      <c r="C1412" s="10">
        <f>IF($BI1412="","",IF($B1412="Onsite",INDEX(tbl_Onsite[Job Number],$BI1412),IF($B1412="Production",INDEX(tbl_Production[Job Number],$BI1412),INDEX(tbl_Consulting[Job Number],$BI1412)))&amp;"")</f>
        <v/>
      </c>
      <c r="D1412" s="10">
        <f>IF($BI1412="","",IF($B1412="Onsite",INDEX(tbl_Onsite[Client],$BI1412),IF($B1412="Production",INDEX(tbl_Production[Client],$BI1412),INDEX(tbl_Consulting[Client],$BI1412)))&amp;"")</f>
        <v/>
      </c>
      <c r="E1412" s="10">
        <f>IF($C1412="","",IF(COUNTIF(lst_Jobs,$C1412)&gt;0,"OK","CHECK"))</f>
        <v/>
      </c>
      <c r="F1412" s="10">
        <f>IF($C1412="","",IFERROR(INDEX(lst_JobName,MATCH($C1412,lst_Jobs,0)),""))</f>
        <v/>
      </c>
      <c r="G1412" s="10">
        <f>IF($BI1412="","",IF($B1412="Onsite",INDEX(tbl_Onsite[Job Description],$BI1412),IF($B1412="Production",INDEX(tbl_Production[Job Description],$BI1412),INDEX(tbl_Consulting[Job Description],$BI1412)))&amp;"")</f>
        <v/>
      </c>
      <c r="H1412" s="10">
        <f>IF($BI1412="","",IF($B1412="Onsite",INDEX(tbl_Onsite[Cost Centre],$BI1412),IF($B1412="Production",INDEX(tbl_Production[Cost Centre],$BI1412),INDEX(tbl_Consulting[Cost Centre],$BI1412)))&amp;"")</f>
        <v/>
      </c>
      <c r="I1412" s="10">
        <f>IF($BI1412="","",IF($B1412="Onsite",INDEX(tbl_Onsite[Invoice Type],$BI1412),IF($B1412="Production",INDEX(tbl_Production[Invoice Type],$BI1412),INDEX(tbl_Consulting[Invoice Type],$BI1412)))&amp;"")</f>
        <v/>
      </c>
      <c r="J1412" s="10">
        <f>IF($BI1412="","",IF($B1412="Onsite",INDEX(tbl_Onsite[Tax Code],$BI1412),IF($B1412="Production",INDEX(tbl_Production[Tax Code],$BI1412),INDEX(tbl_Consulting[Tax Code],$BI1412)))&amp;"")</f>
        <v/>
      </c>
      <c r="K1412" s="10">
        <f>IF(H1412="","",IFERROR(INDEX(lst_CCtoGL,MATCH(H1412,lst_CCforGL,0)),""))</f>
        <v/>
      </c>
      <c r="L1412" s="10">
        <f>IF($BI1412="","",IF($B1412="Onsite",INDEX(tbl_Onsite[PO / Reference],$BI1412),IF($B1412="Production",INDEX(tbl_Production[Current RMS No],$BI1412),INDEX(tbl_Consulting[Qwilr Quote],$BI1412)))&amp;"")</f>
        <v/>
      </c>
      <c r="M1412" s="10">
        <f>IF($BI1412="","",IF($B1412="Onsite",INDEX(tbl_Onsite[Notes],$BI1412),IF($B1412="Production",INDEX(tbl_Production[Notes],$BI1412),INDEX(tbl_Consulting[Notes],$BI1412)))&amp;"")</f>
        <v/>
      </c>
      <c r="N1412" s="11">
        <f>IF($BI1412="","",IF(IF($B1412="Onsite",INDEX(tbl_Onsite[Expected Revenue Ex GST],$BI1412),IF($B1412="Production",INDEX(tbl_Production[Expected Revenue Ex GST],$BI1412),INDEX(tbl_Consulting[Expected Revenue Ex GST],$BI1412)))="","",IF($B1412="Onsite",INDEX(tbl_Onsite[Expected Revenue Ex GST],$BI1412),IF($B1412="Production",INDEX(tbl_Production[Expected Revenue Ex GST],$BI1412),INDEX(tbl_Consulting[Expected Revenue Ex GST],$BI1412)))))</f>
        <v/>
      </c>
      <c r="O1412" s="11">
        <f>IF(AND($C1412="",NOT(COUNTA($S1412:$BB1412)&gt;0)),"",SUM(U1412,X1412,AA1412,AD1412,AG1412,AJ1412,AM1412,AP1412,AS1412,AV1412,AY1412,BB1412))</f>
        <v/>
      </c>
      <c r="P1412" s="11">
        <f>IF(O1412="","",N(N1412)-O1412)</f>
        <v/>
      </c>
      <c r="Q1412" s="10">
        <f>IF(O1412="","",IF($C1412="","Invoice on empty job row",IF(N1412="",IF(ROUND(O1412,2)=0,"No dept value","Invoiced - no dept value"),IF(ROUND(O1412,2)=0,"Not invoiced - to invoice",IF(ROUND(P1412,2)=0,"Agrees",IF(P1412&gt;0,"Dept higher - to invoice","Xero higher - check dept"))))))</f>
        <v/>
      </c>
      <c r="R1412" s="10">
        <f>IF(AND($C1412="",NOT(COUNTA($S1412:$BB1412)&gt;0),$BI1412&lt;&gt;""),"",MID(IF($BI1412="","; Row ID not found on the department sheet - a row was deleted","")&amp;IF(AND($C1412="",COUNTA($S1412:$BB1412)&gt;0),"; Invoice entered but the department row has no job number","")&amp;IF(E1412="CHECK","; Job number not in the Xero job list","")&amp;IF(AND($C1412&lt;&gt;"",COUNTIF($C$7:$C$1506,$C1412)&gt;1),"; Job number on more than one row","")&amp;IF(AND($C1412&lt;&gt;"",H1412=""),"; Dept has not set a cost centre","")&amp;IF(AND($C1412&lt;&gt;"",J1412=""),"; Dept has not set a tax code","")&amp;IF(AND($C1412&lt;&gt;"",N1412=""),"; Dept has not entered an expected value","")&amp;IF((IF(OR(COUNTA(S1412:U1412)=0,AND(COUNTA(S1412:U1412)=3,ISNUMBER(U1412))),0,1)+IF(OR(COUNTA(V1412:X1412)=0,AND(COUNTA(V1412:X1412)=3,ISNUMBER(X1412))),0,1)+IF(OR(COUNTA(Y1412:AA1412)=0,AND(COUNTA(Y1412:AA1412)=3,ISNUMBER(AA1412))),0,1)+IF(OR(COUNTA(AB1412:AD1412)=0,AND(COUNTA(AB1412:AD1412)=3,ISNUMBER(AD1412))),0,1)+IF(OR(COUNTA(AE1412:AG1412)=0,AND(COUNTA(AE1412:AG1412)=3,ISNUMBER(AG1412))),0,1)+IF(OR(COUNTA(AH1412:AJ1412)=0,AND(COUNTA(AH1412:AJ1412)=3,ISNUMBER(AJ1412))),0,1)+IF(OR(COUNTA(AK1412:AM1412)=0,AND(COUNTA(AK1412:AM1412)=3,ISNUMBER(AM1412))),0,1)+IF(OR(COUNTA(AN1412:AP1412)=0,AND(COUNTA(AN1412:AP1412)=3,ISNUMBER(AP1412))),0,1)+IF(OR(COUNTA(AQ1412:AS1412)=0,AND(COUNTA(AQ1412:AS1412)=3,ISNUMBER(AS1412))),0,1)+IF(OR(COUNTA(AT1412:AV1412)=0,AND(COUNTA(AT1412:AV1412)=3,ISNUMBER(AV1412))),0,1)+IF(OR(COUNTA(AW1412:AY1412)=0,AND(COUNTA(AW1412:AY1412)=3,ISNUMBER(AY1412))),0,1)+IF(OR(COUNTA(AZ1412:BB1412)=0,AND(COUNTA(AZ1412:BB1412)=3,ISNUMBER(BB1412))),0,1))&gt;0,"; An invoice is incomplete (needs No, Date and a number in Ex GST)","")&amp;IF((IF(T1412="",0,IFERROR(--(EOMONTH(T1412,0)&lt;&gt;S$5),1))+IF(W1412="",0,IFERROR(--(EOMONTH(W1412,0)&lt;&gt;V$5),1))+IF(Z1412="",0,IFERROR(--(EOMONTH(Z1412,0)&lt;&gt;Y$5),1))+IF(AC1412="",0,IFERROR(--(EOMONTH(AC1412,0)&lt;&gt;AB$5),1))+IF(AF1412="",0,IFERROR(--(EOMONTH(AF1412,0)&lt;&gt;AE$5),1))+IF(AI1412="",0,IFERROR(--(EOMONTH(AI1412,0)&lt;&gt;AH$5),1))+IF(AL1412="",0,IFERROR(--(EOMONTH(AL1412,0)&lt;&gt;AK$5),1))+IF(AO1412="",0,IFERROR(--(EOMONTH(AO1412,0)&lt;&gt;AN$5),1))+IF(AR1412="",0,IFERROR(--(EOMONTH(AR1412,0)&lt;&gt;AQ$5),1))+IF(AU1412="",0,IFERROR(--(EOMONTH(AU1412,0)&lt;&gt;AT$5),1))+IF(AX1412="",0,IFERROR(--(EOMONTH(AX1412,0)&lt;&gt;AW$5),1))+IF(BA1412="",0,IFERROR(--(EOMONTH(BA1412,0)&lt;&gt;AZ$5),1)))&gt;0,"; An invoice date is not in the month it is typed under",""),3,500))</f>
        <v/>
      </c>
      <c r="S1412" s="12" t="n"/>
      <c r="T1412" s="13" t="n"/>
      <c r="U1412" s="14" t="n"/>
      <c r="V1412" s="12" t="n"/>
      <c r="W1412" s="13" t="n"/>
      <c r="X1412" s="14" t="n"/>
      <c r="Y1412" s="12" t="n"/>
      <c r="Z1412" s="13" t="n"/>
      <c r="AA1412" s="14" t="n"/>
      <c r="AB1412" s="12" t="n"/>
      <c r="AC1412" s="13" t="n"/>
      <c r="AD1412" s="14" t="n"/>
      <c r="AE1412" s="12" t="n"/>
      <c r="AF1412" s="13" t="n"/>
      <c r="AG1412" s="14" t="n"/>
      <c r="AH1412" s="12" t="n"/>
      <c r="AI1412" s="13" t="n"/>
      <c r="AJ1412" s="14" t="n"/>
      <c r="AK1412" s="12" t="n"/>
      <c r="AL1412" s="13" t="n"/>
      <c r="AM1412" s="14" t="n"/>
      <c r="AN1412" s="12" t="n"/>
      <c r="AO1412" s="13" t="n"/>
      <c r="AP1412" s="14" t="n"/>
      <c r="AQ1412" s="12" t="n"/>
      <c r="AR1412" s="13" t="n"/>
      <c r="AS1412" s="14" t="n"/>
      <c r="AT1412" s="12" t="n"/>
      <c r="AU1412" s="13" t="n"/>
      <c r="AV1412" s="14" t="n"/>
      <c r="AW1412" s="12" t="n"/>
      <c r="AX1412" s="13" t="n"/>
      <c r="AY1412" s="14" t="n"/>
      <c r="AZ1412" s="12" t="n"/>
      <c r="BA1412" s="13" t="n"/>
      <c r="BB1412" s="14" t="n"/>
      <c r="BC1412" s="11">
        <f>IF(O1412="","",IF(J1412="GST 10%",ROUND(O1412*set_GSTRate,2),0))</f>
        <v/>
      </c>
      <c r="BD1412" s="11">
        <f>IF(O1412="","",O1412+BC1412)</f>
        <v/>
      </c>
      <c r="BE1412" s="15">
        <f>IF(O1412="","",COUNTA(S1412,V1412,Y1412,AB1412,AE1412,AH1412,AK1412,AN1412,AQ1412,AT1412,AW1412,AZ1412))</f>
        <v/>
      </c>
      <c r="BF1412" s="16">
        <f>IF(COUNT(T1412,W1412,Z1412,AC1412,AF1412,AI1412,AL1412,AO1412,AR1412,AU1412,AX1412,BA1412)=0,"",MAX(T1412,W1412,Z1412,AC1412,AF1412,AI1412,AL1412,AO1412,AR1412,AU1412,AX1412,BA1412))</f>
        <v/>
      </c>
      <c r="BG1412" s="10">
        <f>MID(IF(S1412="","",", "&amp;S1412)&amp;IF(V1412="","",", "&amp;V1412)&amp;IF(Y1412="","",", "&amp;Y1412)&amp;IF(AB1412="","",", "&amp;AB1412)&amp;IF(AE1412="","",", "&amp;AE1412)&amp;IF(AH1412="","",", "&amp;AH1412)&amp;IF(AK1412="","",", "&amp;AK1412)&amp;IF(AN1412="","",", "&amp;AN1412)&amp;IF(AQ1412="","",", "&amp;AQ1412)&amp;IF(AT1412="","",", "&amp;AT1412)&amp;IF(AW1412="","",", "&amp;AW1412)&amp;IF(AZ1412="","",", "&amp;AZ1412),3,500)</f>
        <v/>
      </c>
      <c r="BH1412" s="12" t="n"/>
      <c r="BI1412" s="15">
        <f>IFERROR(MATCH($A1412,IF($B1412="Onsite",tbl_Onsite[Row ID],IF($B1412="Production",tbl_Production[Row ID],tbl_Consulting[Row ID])),0),"")</f>
        <v/>
      </c>
    </row>
    <row r="1413">
      <c r="A1413" s="10" t="inlineStr">
        <is>
          <t>CON-0407</t>
        </is>
      </c>
      <c r="B1413" s="10" t="inlineStr">
        <is>
          <t>Consulting</t>
        </is>
      </c>
      <c r="C1413" s="10">
        <f>IF($BI1413="","",IF($B1413="Onsite",INDEX(tbl_Onsite[Job Number],$BI1413),IF($B1413="Production",INDEX(tbl_Production[Job Number],$BI1413),INDEX(tbl_Consulting[Job Number],$BI1413)))&amp;"")</f>
        <v/>
      </c>
      <c r="D1413" s="10">
        <f>IF($BI1413="","",IF($B1413="Onsite",INDEX(tbl_Onsite[Client],$BI1413),IF($B1413="Production",INDEX(tbl_Production[Client],$BI1413),INDEX(tbl_Consulting[Client],$BI1413)))&amp;"")</f>
        <v/>
      </c>
      <c r="E1413" s="10">
        <f>IF($C1413="","",IF(COUNTIF(lst_Jobs,$C1413)&gt;0,"OK","CHECK"))</f>
        <v/>
      </c>
      <c r="F1413" s="10">
        <f>IF($C1413="","",IFERROR(INDEX(lst_JobName,MATCH($C1413,lst_Jobs,0)),""))</f>
        <v/>
      </c>
      <c r="G1413" s="10">
        <f>IF($BI1413="","",IF($B1413="Onsite",INDEX(tbl_Onsite[Job Description],$BI1413),IF($B1413="Production",INDEX(tbl_Production[Job Description],$BI1413),INDEX(tbl_Consulting[Job Description],$BI1413)))&amp;"")</f>
        <v/>
      </c>
      <c r="H1413" s="10">
        <f>IF($BI1413="","",IF($B1413="Onsite",INDEX(tbl_Onsite[Cost Centre],$BI1413),IF($B1413="Production",INDEX(tbl_Production[Cost Centre],$BI1413),INDEX(tbl_Consulting[Cost Centre],$BI1413)))&amp;"")</f>
        <v/>
      </c>
      <c r="I1413" s="10">
        <f>IF($BI1413="","",IF($B1413="Onsite",INDEX(tbl_Onsite[Invoice Type],$BI1413),IF($B1413="Production",INDEX(tbl_Production[Invoice Type],$BI1413),INDEX(tbl_Consulting[Invoice Type],$BI1413)))&amp;"")</f>
        <v/>
      </c>
      <c r="J1413" s="10">
        <f>IF($BI1413="","",IF($B1413="Onsite",INDEX(tbl_Onsite[Tax Code],$BI1413),IF($B1413="Production",INDEX(tbl_Production[Tax Code],$BI1413),INDEX(tbl_Consulting[Tax Code],$BI1413)))&amp;"")</f>
        <v/>
      </c>
      <c r="K1413" s="10">
        <f>IF(H1413="","",IFERROR(INDEX(lst_CCtoGL,MATCH(H1413,lst_CCforGL,0)),""))</f>
        <v/>
      </c>
      <c r="L1413" s="10">
        <f>IF($BI1413="","",IF($B1413="Onsite",INDEX(tbl_Onsite[PO / Reference],$BI1413),IF($B1413="Production",INDEX(tbl_Production[Current RMS No],$BI1413),INDEX(tbl_Consulting[Qwilr Quote],$BI1413)))&amp;"")</f>
        <v/>
      </c>
      <c r="M1413" s="10">
        <f>IF($BI1413="","",IF($B1413="Onsite",INDEX(tbl_Onsite[Notes],$BI1413),IF($B1413="Production",INDEX(tbl_Production[Notes],$BI1413),INDEX(tbl_Consulting[Notes],$BI1413)))&amp;"")</f>
        <v/>
      </c>
      <c r="N1413" s="11">
        <f>IF($BI1413="","",IF(IF($B1413="Onsite",INDEX(tbl_Onsite[Expected Revenue Ex GST],$BI1413),IF($B1413="Production",INDEX(tbl_Production[Expected Revenue Ex GST],$BI1413),INDEX(tbl_Consulting[Expected Revenue Ex GST],$BI1413)))="","",IF($B1413="Onsite",INDEX(tbl_Onsite[Expected Revenue Ex GST],$BI1413),IF($B1413="Production",INDEX(tbl_Production[Expected Revenue Ex GST],$BI1413),INDEX(tbl_Consulting[Expected Revenue Ex GST],$BI1413)))))</f>
        <v/>
      </c>
      <c r="O1413" s="11">
        <f>IF(AND($C1413="",NOT(COUNTA($S1413:$BB1413)&gt;0)),"",SUM(U1413,X1413,AA1413,AD1413,AG1413,AJ1413,AM1413,AP1413,AS1413,AV1413,AY1413,BB1413))</f>
        <v/>
      </c>
      <c r="P1413" s="11">
        <f>IF(O1413="","",N(N1413)-O1413)</f>
        <v/>
      </c>
      <c r="Q1413" s="10">
        <f>IF(O1413="","",IF($C1413="","Invoice on empty job row",IF(N1413="",IF(ROUND(O1413,2)=0,"No dept value","Invoiced - no dept value"),IF(ROUND(O1413,2)=0,"Not invoiced - to invoice",IF(ROUND(P1413,2)=0,"Agrees",IF(P1413&gt;0,"Dept higher - to invoice","Xero higher - check dept"))))))</f>
        <v/>
      </c>
      <c r="R1413" s="10">
        <f>IF(AND($C1413="",NOT(COUNTA($S1413:$BB1413)&gt;0),$BI1413&lt;&gt;""),"",MID(IF($BI1413="","; Row ID not found on the department sheet - a row was deleted","")&amp;IF(AND($C1413="",COUNTA($S1413:$BB1413)&gt;0),"; Invoice entered but the department row has no job number","")&amp;IF(E1413="CHECK","; Job number not in the Xero job list","")&amp;IF(AND($C1413&lt;&gt;"",COUNTIF($C$7:$C$1506,$C1413)&gt;1),"; Job number on more than one row","")&amp;IF(AND($C1413&lt;&gt;"",H1413=""),"; Dept has not set a cost centre","")&amp;IF(AND($C1413&lt;&gt;"",J1413=""),"; Dept has not set a tax code","")&amp;IF(AND($C1413&lt;&gt;"",N1413=""),"; Dept has not entered an expected value","")&amp;IF((IF(OR(COUNTA(S1413:U1413)=0,AND(COUNTA(S1413:U1413)=3,ISNUMBER(U1413))),0,1)+IF(OR(COUNTA(V1413:X1413)=0,AND(COUNTA(V1413:X1413)=3,ISNUMBER(X1413))),0,1)+IF(OR(COUNTA(Y1413:AA1413)=0,AND(COUNTA(Y1413:AA1413)=3,ISNUMBER(AA1413))),0,1)+IF(OR(COUNTA(AB1413:AD1413)=0,AND(COUNTA(AB1413:AD1413)=3,ISNUMBER(AD1413))),0,1)+IF(OR(COUNTA(AE1413:AG1413)=0,AND(COUNTA(AE1413:AG1413)=3,ISNUMBER(AG1413))),0,1)+IF(OR(COUNTA(AH1413:AJ1413)=0,AND(COUNTA(AH1413:AJ1413)=3,ISNUMBER(AJ1413))),0,1)+IF(OR(COUNTA(AK1413:AM1413)=0,AND(COUNTA(AK1413:AM1413)=3,ISNUMBER(AM1413))),0,1)+IF(OR(COUNTA(AN1413:AP1413)=0,AND(COUNTA(AN1413:AP1413)=3,ISNUMBER(AP1413))),0,1)+IF(OR(COUNTA(AQ1413:AS1413)=0,AND(COUNTA(AQ1413:AS1413)=3,ISNUMBER(AS1413))),0,1)+IF(OR(COUNTA(AT1413:AV1413)=0,AND(COUNTA(AT1413:AV1413)=3,ISNUMBER(AV1413))),0,1)+IF(OR(COUNTA(AW1413:AY1413)=0,AND(COUNTA(AW1413:AY1413)=3,ISNUMBER(AY1413))),0,1)+IF(OR(COUNTA(AZ1413:BB1413)=0,AND(COUNTA(AZ1413:BB1413)=3,ISNUMBER(BB1413))),0,1))&gt;0,"; An invoice is incomplete (needs No, Date and a number in Ex GST)","")&amp;IF((IF(T1413="",0,IFERROR(--(EOMONTH(T1413,0)&lt;&gt;S$5),1))+IF(W1413="",0,IFERROR(--(EOMONTH(W1413,0)&lt;&gt;V$5),1))+IF(Z1413="",0,IFERROR(--(EOMONTH(Z1413,0)&lt;&gt;Y$5),1))+IF(AC1413="",0,IFERROR(--(EOMONTH(AC1413,0)&lt;&gt;AB$5),1))+IF(AF1413="",0,IFERROR(--(EOMONTH(AF1413,0)&lt;&gt;AE$5),1))+IF(AI1413="",0,IFERROR(--(EOMONTH(AI1413,0)&lt;&gt;AH$5),1))+IF(AL1413="",0,IFERROR(--(EOMONTH(AL1413,0)&lt;&gt;AK$5),1))+IF(AO1413="",0,IFERROR(--(EOMONTH(AO1413,0)&lt;&gt;AN$5),1))+IF(AR1413="",0,IFERROR(--(EOMONTH(AR1413,0)&lt;&gt;AQ$5),1))+IF(AU1413="",0,IFERROR(--(EOMONTH(AU1413,0)&lt;&gt;AT$5),1))+IF(AX1413="",0,IFERROR(--(EOMONTH(AX1413,0)&lt;&gt;AW$5),1))+IF(BA1413="",0,IFERROR(--(EOMONTH(BA1413,0)&lt;&gt;AZ$5),1)))&gt;0,"; An invoice date is not in the month it is typed under",""),3,500))</f>
        <v/>
      </c>
      <c r="S1413" s="12" t="n"/>
      <c r="T1413" s="13" t="n"/>
      <c r="U1413" s="14" t="n"/>
      <c r="V1413" s="12" t="n"/>
      <c r="W1413" s="13" t="n"/>
      <c r="X1413" s="14" t="n"/>
      <c r="Y1413" s="12" t="n"/>
      <c r="Z1413" s="13" t="n"/>
      <c r="AA1413" s="14" t="n"/>
      <c r="AB1413" s="12" t="n"/>
      <c r="AC1413" s="13" t="n"/>
      <c r="AD1413" s="14" t="n"/>
      <c r="AE1413" s="12" t="n"/>
      <c r="AF1413" s="13" t="n"/>
      <c r="AG1413" s="14" t="n"/>
      <c r="AH1413" s="12" t="n"/>
      <c r="AI1413" s="13" t="n"/>
      <c r="AJ1413" s="14" t="n"/>
      <c r="AK1413" s="12" t="n"/>
      <c r="AL1413" s="13" t="n"/>
      <c r="AM1413" s="14" t="n"/>
      <c r="AN1413" s="12" t="n"/>
      <c r="AO1413" s="13" t="n"/>
      <c r="AP1413" s="14" t="n"/>
      <c r="AQ1413" s="12" t="n"/>
      <c r="AR1413" s="13" t="n"/>
      <c r="AS1413" s="14" t="n"/>
      <c r="AT1413" s="12" t="n"/>
      <c r="AU1413" s="13" t="n"/>
      <c r="AV1413" s="14" t="n"/>
      <c r="AW1413" s="12" t="n"/>
      <c r="AX1413" s="13" t="n"/>
      <c r="AY1413" s="14" t="n"/>
      <c r="AZ1413" s="12" t="n"/>
      <c r="BA1413" s="13" t="n"/>
      <c r="BB1413" s="14" t="n"/>
      <c r="BC1413" s="11">
        <f>IF(O1413="","",IF(J1413="GST 10%",ROUND(O1413*set_GSTRate,2),0))</f>
        <v/>
      </c>
      <c r="BD1413" s="11">
        <f>IF(O1413="","",O1413+BC1413)</f>
        <v/>
      </c>
      <c r="BE1413" s="15">
        <f>IF(O1413="","",COUNTA(S1413,V1413,Y1413,AB1413,AE1413,AH1413,AK1413,AN1413,AQ1413,AT1413,AW1413,AZ1413))</f>
        <v/>
      </c>
      <c r="BF1413" s="16">
        <f>IF(COUNT(T1413,W1413,Z1413,AC1413,AF1413,AI1413,AL1413,AO1413,AR1413,AU1413,AX1413,BA1413)=0,"",MAX(T1413,W1413,Z1413,AC1413,AF1413,AI1413,AL1413,AO1413,AR1413,AU1413,AX1413,BA1413))</f>
        <v/>
      </c>
      <c r="BG1413" s="10">
        <f>MID(IF(S1413="","",", "&amp;S1413)&amp;IF(V1413="","",", "&amp;V1413)&amp;IF(Y1413="","",", "&amp;Y1413)&amp;IF(AB1413="","",", "&amp;AB1413)&amp;IF(AE1413="","",", "&amp;AE1413)&amp;IF(AH1413="","",", "&amp;AH1413)&amp;IF(AK1413="","",", "&amp;AK1413)&amp;IF(AN1413="","",", "&amp;AN1413)&amp;IF(AQ1413="","",", "&amp;AQ1413)&amp;IF(AT1413="","",", "&amp;AT1413)&amp;IF(AW1413="","",", "&amp;AW1413)&amp;IF(AZ1413="","",", "&amp;AZ1413),3,500)</f>
        <v/>
      </c>
      <c r="BH1413" s="12" t="n"/>
      <c r="BI1413" s="15">
        <f>IFERROR(MATCH($A1413,IF($B1413="Onsite",tbl_Onsite[Row ID],IF($B1413="Production",tbl_Production[Row ID],tbl_Consulting[Row ID])),0),"")</f>
        <v/>
      </c>
    </row>
    <row r="1414">
      <c r="A1414" s="10" t="inlineStr">
        <is>
          <t>CON-0408</t>
        </is>
      </c>
      <c r="B1414" s="10" t="inlineStr">
        <is>
          <t>Consulting</t>
        </is>
      </c>
      <c r="C1414" s="10">
        <f>IF($BI1414="","",IF($B1414="Onsite",INDEX(tbl_Onsite[Job Number],$BI1414),IF($B1414="Production",INDEX(tbl_Production[Job Number],$BI1414),INDEX(tbl_Consulting[Job Number],$BI1414)))&amp;"")</f>
        <v/>
      </c>
      <c r="D1414" s="10">
        <f>IF($BI1414="","",IF($B1414="Onsite",INDEX(tbl_Onsite[Client],$BI1414),IF($B1414="Production",INDEX(tbl_Production[Client],$BI1414),INDEX(tbl_Consulting[Client],$BI1414)))&amp;"")</f>
        <v/>
      </c>
      <c r="E1414" s="10">
        <f>IF($C1414="","",IF(COUNTIF(lst_Jobs,$C1414)&gt;0,"OK","CHECK"))</f>
        <v/>
      </c>
      <c r="F1414" s="10">
        <f>IF($C1414="","",IFERROR(INDEX(lst_JobName,MATCH($C1414,lst_Jobs,0)),""))</f>
        <v/>
      </c>
      <c r="G1414" s="10">
        <f>IF($BI1414="","",IF($B1414="Onsite",INDEX(tbl_Onsite[Job Description],$BI1414),IF($B1414="Production",INDEX(tbl_Production[Job Description],$BI1414),INDEX(tbl_Consulting[Job Description],$BI1414)))&amp;"")</f>
        <v/>
      </c>
      <c r="H1414" s="10">
        <f>IF($BI1414="","",IF($B1414="Onsite",INDEX(tbl_Onsite[Cost Centre],$BI1414),IF($B1414="Production",INDEX(tbl_Production[Cost Centre],$BI1414),INDEX(tbl_Consulting[Cost Centre],$BI1414)))&amp;"")</f>
        <v/>
      </c>
      <c r="I1414" s="10">
        <f>IF($BI1414="","",IF($B1414="Onsite",INDEX(tbl_Onsite[Invoice Type],$BI1414),IF($B1414="Production",INDEX(tbl_Production[Invoice Type],$BI1414),INDEX(tbl_Consulting[Invoice Type],$BI1414)))&amp;"")</f>
        <v/>
      </c>
      <c r="J1414" s="10">
        <f>IF($BI1414="","",IF($B1414="Onsite",INDEX(tbl_Onsite[Tax Code],$BI1414),IF($B1414="Production",INDEX(tbl_Production[Tax Code],$BI1414),INDEX(tbl_Consulting[Tax Code],$BI1414)))&amp;"")</f>
        <v/>
      </c>
      <c r="K1414" s="10">
        <f>IF(H1414="","",IFERROR(INDEX(lst_CCtoGL,MATCH(H1414,lst_CCforGL,0)),""))</f>
        <v/>
      </c>
      <c r="L1414" s="10">
        <f>IF($BI1414="","",IF($B1414="Onsite",INDEX(tbl_Onsite[PO / Reference],$BI1414),IF($B1414="Production",INDEX(tbl_Production[Current RMS No],$BI1414),INDEX(tbl_Consulting[Qwilr Quote],$BI1414)))&amp;"")</f>
        <v/>
      </c>
      <c r="M1414" s="10">
        <f>IF($BI1414="","",IF($B1414="Onsite",INDEX(tbl_Onsite[Notes],$BI1414),IF($B1414="Production",INDEX(tbl_Production[Notes],$BI1414),INDEX(tbl_Consulting[Notes],$BI1414)))&amp;"")</f>
        <v/>
      </c>
      <c r="N1414" s="11">
        <f>IF($BI1414="","",IF(IF($B1414="Onsite",INDEX(tbl_Onsite[Expected Revenue Ex GST],$BI1414),IF($B1414="Production",INDEX(tbl_Production[Expected Revenue Ex GST],$BI1414),INDEX(tbl_Consulting[Expected Revenue Ex GST],$BI1414)))="","",IF($B1414="Onsite",INDEX(tbl_Onsite[Expected Revenue Ex GST],$BI1414),IF($B1414="Production",INDEX(tbl_Production[Expected Revenue Ex GST],$BI1414),INDEX(tbl_Consulting[Expected Revenue Ex GST],$BI1414)))))</f>
        <v/>
      </c>
      <c r="O1414" s="11">
        <f>IF(AND($C1414="",NOT(COUNTA($S1414:$BB1414)&gt;0)),"",SUM(U1414,X1414,AA1414,AD1414,AG1414,AJ1414,AM1414,AP1414,AS1414,AV1414,AY1414,BB1414))</f>
        <v/>
      </c>
      <c r="P1414" s="11">
        <f>IF(O1414="","",N(N1414)-O1414)</f>
        <v/>
      </c>
      <c r="Q1414" s="10">
        <f>IF(O1414="","",IF($C1414="","Invoice on empty job row",IF(N1414="",IF(ROUND(O1414,2)=0,"No dept value","Invoiced - no dept value"),IF(ROUND(O1414,2)=0,"Not invoiced - to invoice",IF(ROUND(P1414,2)=0,"Agrees",IF(P1414&gt;0,"Dept higher - to invoice","Xero higher - check dept"))))))</f>
        <v/>
      </c>
      <c r="R1414" s="10">
        <f>IF(AND($C1414="",NOT(COUNTA($S1414:$BB1414)&gt;0),$BI1414&lt;&gt;""),"",MID(IF($BI1414="","; Row ID not found on the department sheet - a row was deleted","")&amp;IF(AND($C1414="",COUNTA($S1414:$BB1414)&gt;0),"; Invoice entered but the department row has no job number","")&amp;IF(E1414="CHECK","; Job number not in the Xero job list","")&amp;IF(AND($C1414&lt;&gt;"",COUNTIF($C$7:$C$1506,$C1414)&gt;1),"; Job number on more than one row","")&amp;IF(AND($C1414&lt;&gt;"",H1414=""),"; Dept has not set a cost centre","")&amp;IF(AND($C1414&lt;&gt;"",J1414=""),"; Dept has not set a tax code","")&amp;IF(AND($C1414&lt;&gt;"",N1414=""),"; Dept has not entered an expected value","")&amp;IF((IF(OR(COUNTA(S1414:U1414)=0,AND(COUNTA(S1414:U1414)=3,ISNUMBER(U1414))),0,1)+IF(OR(COUNTA(V1414:X1414)=0,AND(COUNTA(V1414:X1414)=3,ISNUMBER(X1414))),0,1)+IF(OR(COUNTA(Y1414:AA1414)=0,AND(COUNTA(Y1414:AA1414)=3,ISNUMBER(AA1414))),0,1)+IF(OR(COUNTA(AB1414:AD1414)=0,AND(COUNTA(AB1414:AD1414)=3,ISNUMBER(AD1414))),0,1)+IF(OR(COUNTA(AE1414:AG1414)=0,AND(COUNTA(AE1414:AG1414)=3,ISNUMBER(AG1414))),0,1)+IF(OR(COUNTA(AH1414:AJ1414)=0,AND(COUNTA(AH1414:AJ1414)=3,ISNUMBER(AJ1414))),0,1)+IF(OR(COUNTA(AK1414:AM1414)=0,AND(COUNTA(AK1414:AM1414)=3,ISNUMBER(AM1414))),0,1)+IF(OR(COUNTA(AN1414:AP1414)=0,AND(COUNTA(AN1414:AP1414)=3,ISNUMBER(AP1414))),0,1)+IF(OR(COUNTA(AQ1414:AS1414)=0,AND(COUNTA(AQ1414:AS1414)=3,ISNUMBER(AS1414))),0,1)+IF(OR(COUNTA(AT1414:AV1414)=0,AND(COUNTA(AT1414:AV1414)=3,ISNUMBER(AV1414))),0,1)+IF(OR(COUNTA(AW1414:AY1414)=0,AND(COUNTA(AW1414:AY1414)=3,ISNUMBER(AY1414))),0,1)+IF(OR(COUNTA(AZ1414:BB1414)=0,AND(COUNTA(AZ1414:BB1414)=3,ISNUMBER(BB1414))),0,1))&gt;0,"; An invoice is incomplete (needs No, Date and a number in Ex GST)","")&amp;IF((IF(T1414="",0,IFERROR(--(EOMONTH(T1414,0)&lt;&gt;S$5),1))+IF(W1414="",0,IFERROR(--(EOMONTH(W1414,0)&lt;&gt;V$5),1))+IF(Z1414="",0,IFERROR(--(EOMONTH(Z1414,0)&lt;&gt;Y$5),1))+IF(AC1414="",0,IFERROR(--(EOMONTH(AC1414,0)&lt;&gt;AB$5),1))+IF(AF1414="",0,IFERROR(--(EOMONTH(AF1414,0)&lt;&gt;AE$5),1))+IF(AI1414="",0,IFERROR(--(EOMONTH(AI1414,0)&lt;&gt;AH$5),1))+IF(AL1414="",0,IFERROR(--(EOMONTH(AL1414,0)&lt;&gt;AK$5),1))+IF(AO1414="",0,IFERROR(--(EOMONTH(AO1414,0)&lt;&gt;AN$5),1))+IF(AR1414="",0,IFERROR(--(EOMONTH(AR1414,0)&lt;&gt;AQ$5),1))+IF(AU1414="",0,IFERROR(--(EOMONTH(AU1414,0)&lt;&gt;AT$5),1))+IF(AX1414="",0,IFERROR(--(EOMONTH(AX1414,0)&lt;&gt;AW$5),1))+IF(BA1414="",0,IFERROR(--(EOMONTH(BA1414,0)&lt;&gt;AZ$5),1)))&gt;0,"; An invoice date is not in the month it is typed under",""),3,500))</f>
        <v/>
      </c>
      <c r="S1414" s="12" t="n"/>
      <c r="T1414" s="13" t="n"/>
      <c r="U1414" s="14" t="n"/>
      <c r="V1414" s="12" t="n"/>
      <c r="W1414" s="13" t="n"/>
      <c r="X1414" s="14" t="n"/>
      <c r="Y1414" s="12" t="n"/>
      <c r="Z1414" s="13" t="n"/>
      <c r="AA1414" s="14" t="n"/>
      <c r="AB1414" s="12" t="n"/>
      <c r="AC1414" s="13" t="n"/>
      <c r="AD1414" s="14" t="n"/>
      <c r="AE1414" s="12" t="n"/>
      <c r="AF1414" s="13" t="n"/>
      <c r="AG1414" s="14" t="n"/>
      <c r="AH1414" s="12" t="n"/>
      <c r="AI1414" s="13" t="n"/>
      <c r="AJ1414" s="14" t="n"/>
      <c r="AK1414" s="12" t="n"/>
      <c r="AL1414" s="13" t="n"/>
      <c r="AM1414" s="14" t="n"/>
      <c r="AN1414" s="12" t="n"/>
      <c r="AO1414" s="13" t="n"/>
      <c r="AP1414" s="14" t="n"/>
      <c r="AQ1414" s="12" t="n"/>
      <c r="AR1414" s="13" t="n"/>
      <c r="AS1414" s="14" t="n"/>
      <c r="AT1414" s="12" t="n"/>
      <c r="AU1414" s="13" t="n"/>
      <c r="AV1414" s="14" t="n"/>
      <c r="AW1414" s="12" t="n"/>
      <c r="AX1414" s="13" t="n"/>
      <c r="AY1414" s="14" t="n"/>
      <c r="AZ1414" s="12" t="n"/>
      <c r="BA1414" s="13" t="n"/>
      <c r="BB1414" s="14" t="n"/>
      <c r="BC1414" s="11">
        <f>IF(O1414="","",IF(J1414="GST 10%",ROUND(O1414*set_GSTRate,2),0))</f>
        <v/>
      </c>
      <c r="BD1414" s="11">
        <f>IF(O1414="","",O1414+BC1414)</f>
        <v/>
      </c>
      <c r="BE1414" s="15">
        <f>IF(O1414="","",COUNTA(S1414,V1414,Y1414,AB1414,AE1414,AH1414,AK1414,AN1414,AQ1414,AT1414,AW1414,AZ1414))</f>
        <v/>
      </c>
      <c r="BF1414" s="16">
        <f>IF(COUNT(T1414,W1414,Z1414,AC1414,AF1414,AI1414,AL1414,AO1414,AR1414,AU1414,AX1414,BA1414)=0,"",MAX(T1414,W1414,Z1414,AC1414,AF1414,AI1414,AL1414,AO1414,AR1414,AU1414,AX1414,BA1414))</f>
        <v/>
      </c>
      <c r="BG1414" s="10">
        <f>MID(IF(S1414="","",", "&amp;S1414)&amp;IF(V1414="","",", "&amp;V1414)&amp;IF(Y1414="","",", "&amp;Y1414)&amp;IF(AB1414="","",", "&amp;AB1414)&amp;IF(AE1414="","",", "&amp;AE1414)&amp;IF(AH1414="","",", "&amp;AH1414)&amp;IF(AK1414="","",", "&amp;AK1414)&amp;IF(AN1414="","",", "&amp;AN1414)&amp;IF(AQ1414="","",", "&amp;AQ1414)&amp;IF(AT1414="","",", "&amp;AT1414)&amp;IF(AW1414="","",", "&amp;AW1414)&amp;IF(AZ1414="","",", "&amp;AZ1414),3,500)</f>
        <v/>
      </c>
      <c r="BH1414" s="12" t="n"/>
      <c r="BI1414" s="15">
        <f>IFERROR(MATCH($A1414,IF($B1414="Onsite",tbl_Onsite[Row ID],IF($B1414="Production",tbl_Production[Row ID],tbl_Consulting[Row ID])),0),"")</f>
        <v/>
      </c>
    </row>
    <row r="1415">
      <c r="A1415" s="10" t="inlineStr">
        <is>
          <t>CON-0409</t>
        </is>
      </c>
      <c r="B1415" s="10" t="inlineStr">
        <is>
          <t>Consulting</t>
        </is>
      </c>
      <c r="C1415" s="10">
        <f>IF($BI1415="","",IF($B1415="Onsite",INDEX(tbl_Onsite[Job Number],$BI1415),IF($B1415="Production",INDEX(tbl_Production[Job Number],$BI1415),INDEX(tbl_Consulting[Job Number],$BI1415)))&amp;"")</f>
        <v/>
      </c>
      <c r="D1415" s="10">
        <f>IF($BI1415="","",IF($B1415="Onsite",INDEX(tbl_Onsite[Client],$BI1415),IF($B1415="Production",INDEX(tbl_Production[Client],$BI1415),INDEX(tbl_Consulting[Client],$BI1415)))&amp;"")</f>
        <v/>
      </c>
      <c r="E1415" s="10">
        <f>IF($C1415="","",IF(COUNTIF(lst_Jobs,$C1415)&gt;0,"OK","CHECK"))</f>
        <v/>
      </c>
      <c r="F1415" s="10">
        <f>IF($C1415="","",IFERROR(INDEX(lst_JobName,MATCH($C1415,lst_Jobs,0)),""))</f>
        <v/>
      </c>
      <c r="G1415" s="10">
        <f>IF($BI1415="","",IF($B1415="Onsite",INDEX(tbl_Onsite[Job Description],$BI1415),IF($B1415="Production",INDEX(tbl_Production[Job Description],$BI1415),INDEX(tbl_Consulting[Job Description],$BI1415)))&amp;"")</f>
        <v/>
      </c>
      <c r="H1415" s="10">
        <f>IF($BI1415="","",IF($B1415="Onsite",INDEX(tbl_Onsite[Cost Centre],$BI1415),IF($B1415="Production",INDEX(tbl_Production[Cost Centre],$BI1415),INDEX(tbl_Consulting[Cost Centre],$BI1415)))&amp;"")</f>
        <v/>
      </c>
      <c r="I1415" s="10">
        <f>IF($BI1415="","",IF($B1415="Onsite",INDEX(tbl_Onsite[Invoice Type],$BI1415),IF($B1415="Production",INDEX(tbl_Production[Invoice Type],$BI1415),INDEX(tbl_Consulting[Invoice Type],$BI1415)))&amp;"")</f>
        <v/>
      </c>
      <c r="J1415" s="10">
        <f>IF($BI1415="","",IF($B1415="Onsite",INDEX(tbl_Onsite[Tax Code],$BI1415),IF($B1415="Production",INDEX(tbl_Production[Tax Code],$BI1415),INDEX(tbl_Consulting[Tax Code],$BI1415)))&amp;"")</f>
        <v/>
      </c>
      <c r="K1415" s="10">
        <f>IF(H1415="","",IFERROR(INDEX(lst_CCtoGL,MATCH(H1415,lst_CCforGL,0)),""))</f>
        <v/>
      </c>
      <c r="L1415" s="10">
        <f>IF($BI1415="","",IF($B1415="Onsite",INDEX(tbl_Onsite[PO / Reference],$BI1415),IF($B1415="Production",INDEX(tbl_Production[Current RMS No],$BI1415),INDEX(tbl_Consulting[Qwilr Quote],$BI1415)))&amp;"")</f>
        <v/>
      </c>
      <c r="M1415" s="10">
        <f>IF($BI1415="","",IF($B1415="Onsite",INDEX(tbl_Onsite[Notes],$BI1415),IF($B1415="Production",INDEX(tbl_Production[Notes],$BI1415),INDEX(tbl_Consulting[Notes],$BI1415)))&amp;"")</f>
        <v/>
      </c>
      <c r="N1415" s="11">
        <f>IF($BI1415="","",IF(IF($B1415="Onsite",INDEX(tbl_Onsite[Expected Revenue Ex GST],$BI1415),IF($B1415="Production",INDEX(tbl_Production[Expected Revenue Ex GST],$BI1415),INDEX(tbl_Consulting[Expected Revenue Ex GST],$BI1415)))="","",IF($B1415="Onsite",INDEX(tbl_Onsite[Expected Revenue Ex GST],$BI1415),IF($B1415="Production",INDEX(tbl_Production[Expected Revenue Ex GST],$BI1415),INDEX(tbl_Consulting[Expected Revenue Ex GST],$BI1415)))))</f>
        <v/>
      </c>
      <c r="O1415" s="11">
        <f>IF(AND($C1415="",NOT(COUNTA($S1415:$BB1415)&gt;0)),"",SUM(U1415,X1415,AA1415,AD1415,AG1415,AJ1415,AM1415,AP1415,AS1415,AV1415,AY1415,BB1415))</f>
        <v/>
      </c>
      <c r="P1415" s="11">
        <f>IF(O1415="","",N(N1415)-O1415)</f>
        <v/>
      </c>
      <c r="Q1415" s="10">
        <f>IF(O1415="","",IF($C1415="","Invoice on empty job row",IF(N1415="",IF(ROUND(O1415,2)=0,"No dept value","Invoiced - no dept value"),IF(ROUND(O1415,2)=0,"Not invoiced - to invoice",IF(ROUND(P1415,2)=0,"Agrees",IF(P1415&gt;0,"Dept higher - to invoice","Xero higher - check dept"))))))</f>
        <v/>
      </c>
      <c r="R1415" s="10">
        <f>IF(AND($C1415="",NOT(COUNTA($S1415:$BB1415)&gt;0),$BI1415&lt;&gt;""),"",MID(IF($BI1415="","; Row ID not found on the department sheet - a row was deleted","")&amp;IF(AND($C1415="",COUNTA($S1415:$BB1415)&gt;0),"; Invoice entered but the department row has no job number","")&amp;IF(E1415="CHECK","; Job number not in the Xero job list","")&amp;IF(AND($C1415&lt;&gt;"",COUNTIF($C$7:$C$1506,$C1415)&gt;1),"; Job number on more than one row","")&amp;IF(AND($C1415&lt;&gt;"",H1415=""),"; Dept has not set a cost centre","")&amp;IF(AND($C1415&lt;&gt;"",J1415=""),"; Dept has not set a tax code","")&amp;IF(AND($C1415&lt;&gt;"",N1415=""),"; Dept has not entered an expected value","")&amp;IF((IF(OR(COUNTA(S1415:U1415)=0,AND(COUNTA(S1415:U1415)=3,ISNUMBER(U1415))),0,1)+IF(OR(COUNTA(V1415:X1415)=0,AND(COUNTA(V1415:X1415)=3,ISNUMBER(X1415))),0,1)+IF(OR(COUNTA(Y1415:AA1415)=0,AND(COUNTA(Y1415:AA1415)=3,ISNUMBER(AA1415))),0,1)+IF(OR(COUNTA(AB1415:AD1415)=0,AND(COUNTA(AB1415:AD1415)=3,ISNUMBER(AD1415))),0,1)+IF(OR(COUNTA(AE1415:AG1415)=0,AND(COUNTA(AE1415:AG1415)=3,ISNUMBER(AG1415))),0,1)+IF(OR(COUNTA(AH1415:AJ1415)=0,AND(COUNTA(AH1415:AJ1415)=3,ISNUMBER(AJ1415))),0,1)+IF(OR(COUNTA(AK1415:AM1415)=0,AND(COUNTA(AK1415:AM1415)=3,ISNUMBER(AM1415))),0,1)+IF(OR(COUNTA(AN1415:AP1415)=0,AND(COUNTA(AN1415:AP1415)=3,ISNUMBER(AP1415))),0,1)+IF(OR(COUNTA(AQ1415:AS1415)=0,AND(COUNTA(AQ1415:AS1415)=3,ISNUMBER(AS1415))),0,1)+IF(OR(COUNTA(AT1415:AV1415)=0,AND(COUNTA(AT1415:AV1415)=3,ISNUMBER(AV1415))),0,1)+IF(OR(COUNTA(AW1415:AY1415)=0,AND(COUNTA(AW1415:AY1415)=3,ISNUMBER(AY1415))),0,1)+IF(OR(COUNTA(AZ1415:BB1415)=0,AND(COUNTA(AZ1415:BB1415)=3,ISNUMBER(BB1415))),0,1))&gt;0,"; An invoice is incomplete (needs No, Date and a number in Ex GST)","")&amp;IF((IF(T1415="",0,IFERROR(--(EOMONTH(T1415,0)&lt;&gt;S$5),1))+IF(W1415="",0,IFERROR(--(EOMONTH(W1415,0)&lt;&gt;V$5),1))+IF(Z1415="",0,IFERROR(--(EOMONTH(Z1415,0)&lt;&gt;Y$5),1))+IF(AC1415="",0,IFERROR(--(EOMONTH(AC1415,0)&lt;&gt;AB$5),1))+IF(AF1415="",0,IFERROR(--(EOMONTH(AF1415,0)&lt;&gt;AE$5),1))+IF(AI1415="",0,IFERROR(--(EOMONTH(AI1415,0)&lt;&gt;AH$5),1))+IF(AL1415="",0,IFERROR(--(EOMONTH(AL1415,0)&lt;&gt;AK$5),1))+IF(AO1415="",0,IFERROR(--(EOMONTH(AO1415,0)&lt;&gt;AN$5),1))+IF(AR1415="",0,IFERROR(--(EOMONTH(AR1415,0)&lt;&gt;AQ$5),1))+IF(AU1415="",0,IFERROR(--(EOMONTH(AU1415,0)&lt;&gt;AT$5),1))+IF(AX1415="",0,IFERROR(--(EOMONTH(AX1415,0)&lt;&gt;AW$5),1))+IF(BA1415="",0,IFERROR(--(EOMONTH(BA1415,0)&lt;&gt;AZ$5),1)))&gt;0,"; An invoice date is not in the month it is typed under",""),3,500))</f>
        <v/>
      </c>
      <c r="S1415" s="12" t="n"/>
      <c r="T1415" s="13" t="n"/>
      <c r="U1415" s="14" t="n"/>
      <c r="V1415" s="12" t="n"/>
      <c r="W1415" s="13" t="n"/>
      <c r="X1415" s="14" t="n"/>
      <c r="Y1415" s="12" t="n"/>
      <c r="Z1415" s="13" t="n"/>
      <c r="AA1415" s="14" t="n"/>
      <c r="AB1415" s="12" t="n"/>
      <c r="AC1415" s="13" t="n"/>
      <c r="AD1415" s="14" t="n"/>
      <c r="AE1415" s="12" t="n"/>
      <c r="AF1415" s="13" t="n"/>
      <c r="AG1415" s="14" t="n"/>
      <c r="AH1415" s="12" t="n"/>
      <c r="AI1415" s="13" t="n"/>
      <c r="AJ1415" s="14" t="n"/>
      <c r="AK1415" s="12" t="n"/>
      <c r="AL1415" s="13" t="n"/>
      <c r="AM1415" s="14" t="n"/>
      <c r="AN1415" s="12" t="n"/>
      <c r="AO1415" s="13" t="n"/>
      <c r="AP1415" s="14" t="n"/>
      <c r="AQ1415" s="12" t="n"/>
      <c r="AR1415" s="13" t="n"/>
      <c r="AS1415" s="14" t="n"/>
      <c r="AT1415" s="12" t="n"/>
      <c r="AU1415" s="13" t="n"/>
      <c r="AV1415" s="14" t="n"/>
      <c r="AW1415" s="12" t="n"/>
      <c r="AX1415" s="13" t="n"/>
      <c r="AY1415" s="14" t="n"/>
      <c r="AZ1415" s="12" t="n"/>
      <c r="BA1415" s="13" t="n"/>
      <c r="BB1415" s="14" t="n"/>
      <c r="BC1415" s="11">
        <f>IF(O1415="","",IF(J1415="GST 10%",ROUND(O1415*set_GSTRate,2),0))</f>
        <v/>
      </c>
      <c r="BD1415" s="11">
        <f>IF(O1415="","",O1415+BC1415)</f>
        <v/>
      </c>
      <c r="BE1415" s="15">
        <f>IF(O1415="","",COUNTA(S1415,V1415,Y1415,AB1415,AE1415,AH1415,AK1415,AN1415,AQ1415,AT1415,AW1415,AZ1415))</f>
        <v/>
      </c>
      <c r="BF1415" s="16">
        <f>IF(COUNT(T1415,W1415,Z1415,AC1415,AF1415,AI1415,AL1415,AO1415,AR1415,AU1415,AX1415,BA1415)=0,"",MAX(T1415,W1415,Z1415,AC1415,AF1415,AI1415,AL1415,AO1415,AR1415,AU1415,AX1415,BA1415))</f>
        <v/>
      </c>
      <c r="BG1415" s="10">
        <f>MID(IF(S1415="","",", "&amp;S1415)&amp;IF(V1415="","",", "&amp;V1415)&amp;IF(Y1415="","",", "&amp;Y1415)&amp;IF(AB1415="","",", "&amp;AB1415)&amp;IF(AE1415="","",", "&amp;AE1415)&amp;IF(AH1415="","",", "&amp;AH1415)&amp;IF(AK1415="","",", "&amp;AK1415)&amp;IF(AN1415="","",", "&amp;AN1415)&amp;IF(AQ1415="","",", "&amp;AQ1415)&amp;IF(AT1415="","",", "&amp;AT1415)&amp;IF(AW1415="","",", "&amp;AW1415)&amp;IF(AZ1415="","",", "&amp;AZ1415),3,500)</f>
        <v/>
      </c>
      <c r="BH1415" s="12" t="n"/>
      <c r="BI1415" s="15">
        <f>IFERROR(MATCH($A1415,IF($B1415="Onsite",tbl_Onsite[Row ID],IF($B1415="Production",tbl_Production[Row ID],tbl_Consulting[Row ID])),0),"")</f>
        <v/>
      </c>
    </row>
    <row r="1416">
      <c r="A1416" s="10" t="inlineStr">
        <is>
          <t>CON-0410</t>
        </is>
      </c>
      <c r="B1416" s="10" t="inlineStr">
        <is>
          <t>Consulting</t>
        </is>
      </c>
      <c r="C1416" s="10">
        <f>IF($BI1416="","",IF($B1416="Onsite",INDEX(tbl_Onsite[Job Number],$BI1416),IF($B1416="Production",INDEX(tbl_Production[Job Number],$BI1416),INDEX(tbl_Consulting[Job Number],$BI1416)))&amp;"")</f>
        <v/>
      </c>
      <c r="D1416" s="10">
        <f>IF($BI1416="","",IF($B1416="Onsite",INDEX(tbl_Onsite[Client],$BI1416),IF($B1416="Production",INDEX(tbl_Production[Client],$BI1416),INDEX(tbl_Consulting[Client],$BI1416)))&amp;"")</f>
        <v/>
      </c>
      <c r="E1416" s="10">
        <f>IF($C1416="","",IF(COUNTIF(lst_Jobs,$C1416)&gt;0,"OK","CHECK"))</f>
        <v/>
      </c>
      <c r="F1416" s="10">
        <f>IF($C1416="","",IFERROR(INDEX(lst_JobName,MATCH($C1416,lst_Jobs,0)),""))</f>
        <v/>
      </c>
      <c r="G1416" s="10">
        <f>IF($BI1416="","",IF($B1416="Onsite",INDEX(tbl_Onsite[Job Description],$BI1416),IF($B1416="Production",INDEX(tbl_Production[Job Description],$BI1416),INDEX(tbl_Consulting[Job Description],$BI1416)))&amp;"")</f>
        <v/>
      </c>
      <c r="H1416" s="10">
        <f>IF($BI1416="","",IF($B1416="Onsite",INDEX(tbl_Onsite[Cost Centre],$BI1416),IF($B1416="Production",INDEX(tbl_Production[Cost Centre],$BI1416),INDEX(tbl_Consulting[Cost Centre],$BI1416)))&amp;"")</f>
        <v/>
      </c>
      <c r="I1416" s="10">
        <f>IF($BI1416="","",IF($B1416="Onsite",INDEX(tbl_Onsite[Invoice Type],$BI1416),IF($B1416="Production",INDEX(tbl_Production[Invoice Type],$BI1416),INDEX(tbl_Consulting[Invoice Type],$BI1416)))&amp;"")</f>
        <v/>
      </c>
      <c r="J1416" s="10">
        <f>IF($BI1416="","",IF($B1416="Onsite",INDEX(tbl_Onsite[Tax Code],$BI1416),IF($B1416="Production",INDEX(tbl_Production[Tax Code],$BI1416),INDEX(tbl_Consulting[Tax Code],$BI1416)))&amp;"")</f>
        <v/>
      </c>
      <c r="K1416" s="10">
        <f>IF(H1416="","",IFERROR(INDEX(lst_CCtoGL,MATCH(H1416,lst_CCforGL,0)),""))</f>
        <v/>
      </c>
      <c r="L1416" s="10">
        <f>IF($BI1416="","",IF($B1416="Onsite",INDEX(tbl_Onsite[PO / Reference],$BI1416),IF($B1416="Production",INDEX(tbl_Production[Current RMS No],$BI1416),INDEX(tbl_Consulting[Qwilr Quote],$BI1416)))&amp;"")</f>
        <v/>
      </c>
      <c r="M1416" s="10">
        <f>IF($BI1416="","",IF($B1416="Onsite",INDEX(tbl_Onsite[Notes],$BI1416),IF($B1416="Production",INDEX(tbl_Production[Notes],$BI1416),INDEX(tbl_Consulting[Notes],$BI1416)))&amp;"")</f>
        <v/>
      </c>
      <c r="N1416" s="11">
        <f>IF($BI1416="","",IF(IF($B1416="Onsite",INDEX(tbl_Onsite[Expected Revenue Ex GST],$BI1416),IF($B1416="Production",INDEX(tbl_Production[Expected Revenue Ex GST],$BI1416),INDEX(tbl_Consulting[Expected Revenue Ex GST],$BI1416)))="","",IF($B1416="Onsite",INDEX(tbl_Onsite[Expected Revenue Ex GST],$BI1416),IF($B1416="Production",INDEX(tbl_Production[Expected Revenue Ex GST],$BI1416),INDEX(tbl_Consulting[Expected Revenue Ex GST],$BI1416)))))</f>
        <v/>
      </c>
      <c r="O1416" s="11">
        <f>IF(AND($C1416="",NOT(COUNTA($S1416:$BB1416)&gt;0)),"",SUM(U1416,X1416,AA1416,AD1416,AG1416,AJ1416,AM1416,AP1416,AS1416,AV1416,AY1416,BB1416))</f>
        <v/>
      </c>
      <c r="P1416" s="11">
        <f>IF(O1416="","",N(N1416)-O1416)</f>
        <v/>
      </c>
      <c r="Q1416" s="10">
        <f>IF(O1416="","",IF($C1416="","Invoice on empty job row",IF(N1416="",IF(ROUND(O1416,2)=0,"No dept value","Invoiced - no dept value"),IF(ROUND(O1416,2)=0,"Not invoiced - to invoice",IF(ROUND(P1416,2)=0,"Agrees",IF(P1416&gt;0,"Dept higher - to invoice","Xero higher - check dept"))))))</f>
        <v/>
      </c>
      <c r="R1416" s="10">
        <f>IF(AND($C1416="",NOT(COUNTA($S1416:$BB1416)&gt;0),$BI1416&lt;&gt;""),"",MID(IF($BI1416="","; Row ID not found on the department sheet - a row was deleted","")&amp;IF(AND($C1416="",COUNTA($S1416:$BB1416)&gt;0),"; Invoice entered but the department row has no job number","")&amp;IF(E1416="CHECK","; Job number not in the Xero job list","")&amp;IF(AND($C1416&lt;&gt;"",COUNTIF($C$7:$C$1506,$C1416)&gt;1),"; Job number on more than one row","")&amp;IF(AND($C1416&lt;&gt;"",H1416=""),"; Dept has not set a cost centre","")&amp;IF(AND($C1416&lt;&gt;"",J1416=""),"; Dept has not set a tax code","")&amp;IF(AND($C1416&lt;&gt;"",N1416=""),"; Dept has not entered an expected value","")&amp;IF((IF(OR(COUNTA(S1416:U1416)=0,AND(COUNTA(S1416:U1416)=3,ISNUMBER(U1416))),0,1)+IF(OR(COUNTA(V1416:X1416)=0,AND(COUNTA(V1416:X1416)=3,ISNUMBER(X1416))),0,1)+IF(OR(COUNTA(Y1416:AA1416)=0,AND(COUNTA(Y1416:AA1416)=3,ISNUMBER(AA1416))),0,1)+IF(OR(COUNTA(AB1416:AD1416)=0,AND(COUNTA(AB1416:AD1416)=3,ISNUMBER(AD1416))),0,1)+IF(OR(COUNTA(AE1416:AG1416)=0,AND(COUNTA(AE1416:AG1416)=3,ISNUMBER(AG1416))),0,1)+IF(OR(COUNTA(AH1416:AJ1416)=0,AND(COUNTA(AH1416:AJ1416)=3,ISNUMBER(AJ1416))),0,1)+IF(OR(COUNTA(AK1416:AM1416)=0,AND(COUNTA(AK1416:AM1416)=3,ISNUMBER(AM1416))),0,1)+IF(OR(COUNTA(AN1416:AP1416)=0,AND(COUNTA(AN1416:AP1416)=3,ISNUMBER(AP1416))),0,1)+IF(OR(COUNTA(AQ1416:AS1416)=0,AND(COUNTA(AQ1416:AS1416)=3,ISNUMBER(AS1416))),0,1)+IF(OR(COUNTA(AT1416:AV1416)=0,AND(COUNTA(AT1416:AV1416)=3,ISNUMBER(AV1416))),0,1)+IF(OR(COUNTA(AW1416:AY1416)=0,AND(COUNTA(AW1416:AY1416)=3,ISNUMBER(AY1416))),0,1)+IF(OR(COUNTA(AZ1416:BB1416)=0,AND(COUNTA(AZ1416:BB1416)=3,ISNUMBER(BB1416))),0,1))&gt;0,"; An invoice is incomplete (needs No, Date and a number in Ex GST)","")&amp;IF((IF(T1416="",0,IFERROR(--(EOMONTH(T1416,0)&lt;&gt;S$5),1))+IF(W1416="",0,IFERROR(--(EOMONTH(W1416,0)&lt;&gt;V$5),1))+IF(Z1416="",0,IFERROR(--(EOMONTH(Z1416,0)&lt;&gt;Y$5),1))+IF(AC1416="",0,IFERROR(--(EOMONTH(AC1416,0)&lt;&gt;AB$5),1))+IF(AF1416="",0,IFERROR(--(EOMONTH(AF1416,0)&lt;&gt;AE$5),1))+IF(AI1416="",0,IFERROR(--(EOMONTH(AI1416,0)&lt;&gt;AH$5),1))+IF(AL1416="",0,IFERROR(--(EOMONTH(AL1416,0)&lt;&gt;AK$5),1))+IF(AO1416="",0,IFERROR(--(EOMONTH(AO1416,0)&lt;&gt;AN$5),1))+IF(AR1416="",0,IFERROR(--(EOMONTH(AR1416,0)&lt;&gt;AQ$5),1))+IF(AU1416="",0,IFERROR(--(EOMONTH(AU1416,0)&lt;&gt;AT$5),1))+IF(AX1416="",0,IFERROR(--(EOMONTH(AX1416,0)&lt;&gt;AW$5),1))+IF(BA1416="",0,IFERROR(--(EOMONTH(BA1416,0)&lt;&gt;AZ$5),1)))&gt;0,"; An invoice date is not in the month it is typed under",""),3,500))</f>
        <v/>
      </c>
      <c r="S1416" s="12" t="n"/>
      <c r="T1416" s="13" t="n"/>
      <c r="U1416" s="14" t="n"/>
      <c r="V1416" s="12" t="n"/>
      <c r="W1416" s="13" t="n"/>
      <c r="X1416" s="14" t="n"/>
      <c r="Y1416" s="12" t="n"/>
      <c r="Z1416" s="13" t="n"/>
      <c r="AA1416" s="14" t="n"/>
      <c r="AB1416" s="12" t="n"/>
      <c r="AC1416" s="13" t="n"/>
      <c r="AD1416" s="14" t="n"/>
      <c r="AE1416" s="12" t="n"/>
      <c r="AF1416" s="13" t="n"/>
      <c r="AG1416" s="14" t="n"/>
      <c r="AH1416" s="12" t="n"/>
      <c r="AI1416" s="13" t="n"/>
      <c r="AJ1416" s="14" t="n"/>
      <c r="AK1416" s="12" t="n"/>
      <c r="AL1416" s="13" t="n"/>
      <c r="AM1416" s="14" t="n"/>
      <c r="AN1416" s="12" t="n"/>
      <c r="AO1416" s="13" t="n"/>
      <c r="AP1416" s="14" t="n"/>
      <c r="AQ1416" s="12" t="n"/>
      <c r="AR1416" s="13" t="n"/>
      <c r="AS1416" s="14" t="n"/>
      <c r="AT1416" s="12" t="n"/>
      <c r="AU1416" s="13" t="n"/>
      <c r="AV1416" s="14" t="n"/>
      <c r="AW1416" s="12" t="n"/>
      <c r="AX1416" s="13" t="n"/>
      <c r="AY1416" s="14" t="n"/>
      <c r="AZ1416" s="12" t="n"/>
      <c r="BA1416" s="13" t="n"/>
      <c r="BB1416" s="14" t="n"/>
      <c r="BC1416" s="11">
        <f>IF(O1416="","",IF(J1416="GST 10%",ROUND(O1416*set_GSTRate,2),0))</f>
        <v/>
      </c>
      <c r="BD1416" s="11">
        <f>IF(O1416="","",O1416+BC1416)</f>
        <v/>
      </c>
      <c r="BE1416" s="15">
        <f>IF(O1416="","",COUNTA(S1416,V1416,Y1416,AB1416,AE1416,AH1416,AK1416,AN1416,AQ1416,AT1416,AW1416,AZ1416))</f>
        <v/>
      </c>
      <c r="BF1416" s="16">
        <f>IF(COUNT(T1416,W1416,Z1416,AC1416,AF1416,AI1416,AL1416,AO1416,AR1416,AU1416,AX1416,BA1416)=0,"",MAX(T1416,W1416,Z1416,AC1416,AF1416,AI1416,AL1416,AO1416,AR1416,AU1416,AX1416,BA1416))</f>
        <v/>
      </c>
      <c r="BG1416" s="10">
        <f>MID(IF(S1416="","",", "&amp;S1416)&amp;IF(V1416="","",", "&amp;V1416)&amp;IF(Y1416="","",", "&amp;Y1416)&amp;IF(AB1416="","",", "&amp;AB1416)&amp;IF(AE1416="","",", "&amp;AE1416)&amp;IF(AH1416="","",", "&amp;AH1416)&amp;IF(AK1416="","",", "&amp;AK1416)&amp;IF(AN1416="","",", "&amp;AN1416)&amp;IF(AQ1416="","",", "&amp;AQ1416)&amp;IF(AT1416="","",", "&amp;AT1416)&amp;IF(AW1416="","",", "&amp;AW1416)&amp;IF(AZ1416="","",", "&amp;AZ1416),3,500)</f>
        <v/>
      </c>
      <c r="BH1416" s="12" t="n"/>
      <c r="BI1416" s="15">
        <f>IFERROR(MATCH($A1416,IF($B1416="Onsite",tbl_Onsite[Row ID],IF($B1416="Production",tbl_Production[Row ID],tbl_Consulting[Row ID])),0),"")</f>
        <v/>
      </c>
    </row>
    <row r="1417">
      <c r="A1417" s="10" t="inlineStr">
        <is>
          <t>CON-0411</t>
        </is>
      </c>
      <c r="B1417" s="10" t="inlineStr">
        <is>
          <t>Consulting</t>
        </is>
      </c>
      <c r="C1417" s="10">
        <f>IF($BI1417="","",IF($B1417="Onsite",INDEX(tbl_Onsite[Job Number],$BI1417),IF($B1417="Production",INDEX(tbl_Production[Job Number],$BI1417),INDEX(tbl_Consulting[Job Number],$BI1417)))&amp;"")</f>
        <v/>
      </c>
      <c r="D1417" s="10">
        <f>IF($BI1417="","",IF($B1417="Onsite",INDEX(tbl_Onsite[Client],$BI1417),IF($B1417="Production",INDEX(tbl_Production[Client],$BI1417),INDEX(tbl_Consulting[Client],$BI1417)))&amp;"")</f>
        <v/>
      </c>
      <c r="E1417" s="10">
        <f>IF($C1417="","",IF(COUNTIF(lst_Jobs,$C1417)&gt;0,"OK","CHECK"))</f>
        <v/>
      </c>
      <c r="F1417" s="10">
        <f>IF($C1417="","",IFERROR(INDEX(lst_JobName,MATCH($C1417,lst_Jobs,0)),""))</f>
        <v/>
      </c>
      <c r="G1417" s="10">
        <f>IF($BI1417="","",IF($B1417="Onsite",INDEX(tbl_Onsite[Job Description],$BI1417),IF($B1417="Production",INDEX(tbl_Production[Job Description],$BI1417),INDEX(tbl_Consulting[Job Description],$BI1417)))&amp;"")</f>
        <v/>
      </c>
      <c r="H1417" s="10">
        <f>IF($BI1417="","",IF($B1417="Onsite",INDEX(tbl_Onsite[Cost Centre],$BI1417),IF($B1417="Production",INDEX(tbl_Production[Cost Centre],$BI1417),INDEX(tbl_Consulting[Cost Centre],$BI1417)))&amp;"")</f>
        <v/>
      </c>
      <c r="I1417" s="10">
        <f>IF($BI1417="","",IF($B1417="Onsite",INDEX(tbl_Onsite[Invoice Type],$BI1417),IF($B1417="Production",INDEX(tbl_Production[Invoice Type],$BI1417),INDEX(tbl_Consulting[Invoice Type],$BI1417)))&amp;"")</f>
        <v/>
      </c>
      <c r="J1417" s="10">
        <f>IF($BI1417="","",IF($B1417="Onsite",INDEX(tbl_Onsite[Tax Code],$BI1417),IF($B1417="Production",INDEX(tbl_Production[Tax Code],$BI1417),INDEX(tbl_Consulting[Tax Code],$BI1417)))&amp;"")</f>
        <v/>
      </c>
      <c r="K1417" s="10">
        <f>IF(H1417="","",IFERROR(INDEX(lst_CCtoGL,MATCH(H1417,lst_CCforGL,0)),""))</f>
        <v/>
      </c>
      <c r="L1417" s="10">
        <f>IF($BI1417="","",IF($B1417="Onsite",INDEX(tbl_Onsite[PO / Reference],$BI1417),IF($B1417="Production",INDEX(tbl_Production[Current RMS No],$BI1417),INDEX(tbl_Consulting[Qwilr Quote],$BI1417)))&amp;"")</f>
        <v/>
      </c>
      <c r="M1417" s="10">
        <f>IF($BI1417="","",IF($B1417="Onsite",INDEX(tbl_Onsite[Notes],$BI1417),IF($B1417="Production",INDEX(tbl_Production[Notes],$BI1417),INDEX(tbl_Consulting[Notes],$BI1417)))&amp;"")</f>
        <v/>
      </c>
      <c r="N1417" s="11">
        <f>IF($BI1417="","",IF(IF($B1417="Onsite",INDEX(tbl_Onsite[Expected Revenue Ex GST],$BI1417),IF($B1417="Production",INDEX(tbl_Production[Expected Revenue Ex GST],$BI1417),INDEX(tbl_Consulting[Expected Revenue Ex GST],$BI1417)))="","",IF($B1417="Onsite",INDEX(tbl_Onsite[Expected Revenue Ex GST],$BI1417),IF($B1417="Production",INDEX(tbl_Production[Expected Revenue Ex GST],$BI1417),INDEX(tbl_Consulting[Expected Revenue Ex GST],$BI1417)))))</f>
        <v/>
      </c>
      <c r="O1417" s="11">
        <f>IF(AND($C1417="",NOT(COUNTA($S1417:$BB1417)&gt;0)),"",SUM(U1417,X1417,AA1417,AD1417,AG1417,AJ1417,AM1417,AP1417,AS1417,AV1417,AY1417,BB1417))</f>
        <v/>
      </c>
      <c r="P1417" s="11">
        <f>IF(O1417="","",N(N1417)-O1417)</f>
        <v/>
      </c>
      <c r="Q1417" s="10">
        <f>IF(O1417="","",IF($C1417="","Invoice on empty job row",IF(N1417="",IF(ROUND(O1417,2)=0,"No dept value","Invoiced - no dept value"),IF(ROUND(O1417,2)=0,"Not invoiced - to invoice",IF(ROUND(P1417,2)=0,"Agrees",IF(P1417&gt;0,"Dept higher - to invoice","Xero higher - check dept"))))))</f>
        <v/>
      </c>
      <c r="R1417" s="10">
        <f>IF(AND($C1417="",NOT(COUNTA($S1417:$BB1417)&gt;0),$BI1417&lt;&gt;""),"",MID(IF($BI1417="","; Row ID not found on the department sheet - a row was deleted","")&amp;IF(AND($C1417="",COUNTA($S1417:$BB1417)&gt;0),"; Invoice entered but the department row has no job number","")&amp;IF(E1417="CHECK","; Job number not in the Xero job list","")&amp;IF(AND($C1417&lt;&gt;"",COUNTIF($C$7:$C$1506,$C1417)&gt;1),"; Job number on more than one row","")&amp;IF(AND($C1417&lt;&gt;"",H1417=""),"; Dept has not set a cost centre","")&amp;IF(AND($C1417&lt;&gt;"",J1417=""),"; Dept has not set a tax code","")&amp;IF(AND($C1417&lt;&gt;"",N1417=""),"; Dept has not entered an expected value","")&amp;IF((IF(OR(COUNTA(S1417:U1417)=0,AND(COUNTA(S1417:U1417)=3,ISNUMBER(U1417))),0,1)+IF(OR(COUNTA(V1417:X1417)=0,AND(COUNTA(V1417:X1417)=3,ISNUMBER(X1417))),0,1)+IF(OR(COUNTA(Y1417:AA1417)=0,AND(COUNTA(Y1417:AA1417)=3,ISNUMBER(AA1417))),0,1)+IF(OR(COUNTA(AB1417:AD1417)=0,AND(COUNTA(AB1417:AD1417)=3,ISNUMBER(AD1417))),0,1)+IF(OR(COUNTA(AE1417:AG1417)=0,AND(COUNTA(AE1417:AG1417)=3,ISNUMBER(AG1417))),0,1)+IF(OR(COUNTA(AH1417:AJ1417)=0,AND(COUNTA(AH1417:AJ1417)=3,ISNUMBER(AJ1417))),0,1)+IF(OR(COUNTA(AK1417:AM1417)=0,AND(COUNTA(AK1417:AM1417)=3,ISNUMBER(AM1417))),0,1)+IF(OR(COUNTA(AN1417:AP1417)=0,AND(COUNTA(AN1417:AP1417)=3,ISNUMBER(AP1417))),0,1)+IF(OR(COUNTA(AQ1417:AS1417)=0,AND(COUNTA(AQ1417:AS1417)=3,ISNUMBER(AS1417))),0,1)+IF(OR(COUNTA(AT1417:AV1417)=0,AND(COUNTA(AT1417:AV1417)=3,ISNUMBER(AV1417))),0,1)+IF(OR(COUNTA(AW1417:AY1417)=0,AND(COUNTA(AW1417:AY1417)=3,ISNUMBER(AY1417))),0,1)+IF(OR(COUNTA(AZ1417:BB1417)=0,AND(COUNTA(AZ1417:BB1417)=3,ISNUMBER(BB1417))),0,1))&gt;0,"; An invoice is incomplete (needs No, Date and a number in Ex GST)","")&amp;IF((IF(T1417="",0,IFERROR(--(EOMONTH(T1417,0)&lt;&gt;S$5),1))+IF(W1417="",0,IFERROR(--(EOMONTH(W1417,0)&lt;&gt;V$5),1))+IF(Z1417="",0,IFERROR(--(EOMONTH(Z1417,0)&lt;&gt;Y$5),1))+IF(AC1417="",0,IFERROR(--(EOMONTH(AC1417,0)&lt;&gt;AB$5),1))+IF(AF1417="",0,IFERROR(--(EOMONTH(AF1417,0)&lt;&gt;AE$5),1))+IF(AI1417="",0,IFERROR(--(EOMONTH(AI1417,0)&lt;&gt;AH$5),1))+IF(AL1417="",0,IFERROR(--(EOMONTH(AL1417,0)&lt;&gt;AK$5),1))+IF(AO1417="",0,IFERROR(--(EOMONTH(AO1417,0)&lt;&gt;AN$5),1))+IF(AR1417="",0,IFERROR(--(EOMONTH(AR1417,0)&lt;&gt;AQ$5),1))+IF(AU1417="",0,IFERROR(--(EOMONTH(AU1417,0)&lt;&gt;AT$5),1))+IF(AX1417="",0,IFERROR(--(EOMONTH(AX1417,0)&lt;&gt;AW$5),1))+IF(BA1417="",0,IFERROR(--(EOMONTH(BA1417,0)&lt;&gt;AZ$5),1)))&gt;0,"; An invoice date is not in the month it is typed under",""),3,500))</f>
        <v/>
      </c>
      <c r="S1417" s="12" t="n"/>
      <c r="T1417" s="13" t="n"/>
      <c r="U1417" s="14" t="n"/>
      <c r="V1417" s="12" t="n"/>
      <c r="W1417" s="13" t="n"/>
      <c r="X1417" s="14" t="n"/>
      <c r="Y1417" s="12" t="n"/>
      <c r="Z1417" s="13" t="n"/>
      <c r="AA1417" s="14" t="n"/>
      <c r="AB1417" s="12" t="n"/>
      <c r="AC1417" s="13" t="n"/>
      <c r="AD1417" s="14" t="n"/>
      <c r="AE1417" s="12" t="n"/>
      <c r="AF1417" s="13" t="n"/>
      <c r="AG1417" s="14" t="n"/>
      <c r="AH1417" s="12" t="n"/>
      <c r="AI1417" s="13" t="n"/>
      <c r="AJ1417" s="14" t="n"/>
      <c r="AK1417" s="12" t="n"/>
      <c r="AL1417" s="13" t="n"/>
      <c r="AM1417" s="14" t="n"/>
      <c r="AN1417" s="12" t="n"/>
      <c r="AO1417" s="13" t="n"/>
      <c r="AP1417" s="14" t="n"/>
      <c r="AQ1417" s="12" t="n"/>
      <c r="AR1417" s="13" t="n"/>
      <c r="AS1417" s="14" t="n"/>
      <c r="AT1417" s="12" t="n"/>
      <c r="AU1417" s="13" t="n"/>
      <c r="AV1417" s="14" t="n"/>
      <c r="AW1417" s="12" t="n"/>
      <c r="AX1417" s="13" t="n"/>
      <c r="AY1417" s="14" t="n"/>
      <c r="AZ1417" s="12" t="n"/>
      <c r="BA1417" s="13" t="n"/>
      <c r="BB1417" s="14" t="n"/>
      <c r="BC1417" s="11">
        <f>IF(O1417="","",IF(J1417="GST 10%",ROUND(O1417*set_GSTRate,2),0))</f>
        <v/>
      </c>
      <c r="BD1417" s="11">
        <f>IF(O1417="","",O1417+BC1417)</f>
        <v/>
      </c>
      <c r="BE1417" s="15">
        <f>IF(O1417="","",COUNTA(S1417,V1417,Y1417,AB1417,AE1417,AH1417,AK1417,AN1417,AQ1417,AT1417,AW1417,AZ1417))</f>
        <v/>
      </c>
      <c r="BF1417" s="16">
        <f>IF(COUNT(T1417,W1417,Z1417,AC1417,AF1417,AI1417,AL1417,AO1417,AR1417,AU1417,AX1417,BA1417)=0,"",MAX(T1417,W1417,Z1417,AC1417,AF1417,AI1417,AL1417,AO1417,AR1417,AU1417,AX1417,BA1417))</f>
        <v/>
      </c>
      <c r="BG1417" s="10">
        <f>MID(IF(S1417="","",", "&amp;S1417)&amp;IF(V1417="","",", "&amp;V1417)&amp;IF(Y1417="","",", "&amp;Y1417)&amp;IF(AB1417="","",", "&amp;AB1417)&amp;IF(AE1417="","",", "&amp;AE1417)&amp;IF(AH1417="","",", "&amp;AH1417)&amp;IF(AK1417="","",", "&amp;AK1417)&amp;IF(AN1417="","",", "&amp;AN1417)&amp;IF(AQ1417="","",", "&amp;AQ1417)&amp;IF(AT1417="","",", "&amp;AT1417)&amp;IF(AW1417="","",", "&amp;AW1417)&amp;IF(AZ1417="","",", "&amp;AZ1417),3,500)</f>
        <v/>
      </c>
      <c r="BH1417" s="12" t="n"/>
      <c r="BI1417" s="15">
        <f>IFERROR(MATCH($A1417,IF($B1417="Onsite",tbl_Onsite[Row ID],IF($B1417="Production",tbl_Production[Row ID],tbl_Consulting[Row ID])),0),"")</f>
        <v/>
      </c>
    </row>
    <row r="1418">
      <c r="A1418" s="10" t="inlineStr">
        <is>
          <t>CON-0412</t>
        </is>
      </c>
      <c r="B1418" s="10" t="inlineStr">
        <is>
          <t>Consulting</t>
        </is>
      </c>
      <c r="C1418" s="10">
        <f>IF($BI1418="","",IF($B1418="Onsite",INDEX(tbl_Onsite[Job Number],$BI1418),IF($B1418="Production",INDEX(tbl_Production[Job Number],$BI1418),INDEX(tbl_Consulting[Job Number],$BI1418)))&amp;"")</f>
        <v/>
      </c>
      <c r="D1418" s="10">
        <f>IF($BI1418="","",IF($B1418="Onsite",INDEX(tbl_Onsite[Client],$BI1418),IF($B1418="Production",INDEX(tbl_Production[Client],$BI1418),INDEX(tbl_Consulting[Client],$BI1418)))&amp;"")</f>
        <v/>
      </c>
      <c r="E1418" s="10">
        <f>IF($C1418="","",IF(COUNTIF(lst_Jobs,$C1418)&gt;0,"OK","CHECK"))</f>
        <v/>
      </c>
      <c r="F1418" s="10">
        <f>IF($C1418="","",IFERROR(INDEX(lst_JobName,MATCH($C1418,lst_Jobs,0)),""))</f>
        <v/>
      </c>
      <c r="G1418" s="10">
        <f>IF($BI1418="","",IF($B1418="Onsite",INDEX(tbl_Onsite[Job Description],$BI1418),IF($B1418="Production",INDEX(tbl_Production[Job Description],$BI1418),INDEX(tbl_Consulting[Job Description],$BI1418)))&amp;"")</f>
        <v/>
      </c>
      <c r="H1418" s="10">
        <f>IF($BI1418="","",IF($B1418="Onsite",INDEX(tbl_Onsite[Cost Centre],$BI1418),IF($B1418="Production",INDEX(tbl_Production[Cost Centre],$BI1418),INDEX(tbl_Consulting[Cost Centre],$BI1418)))&amp;"")</f>
        <v/>
      </c>
      <c r="I1418" s="10">
        <f>IF($BI1418="","",IF($B1418="Onsite",INDEX(tbl_Onsite[Invoice Type],$BI1418),IF($B1418="Production",INDEX(tbl_Production[Invoice Type],$BI1418),INDEX(tbl_Consulting[Invoice Type],$BI1418)))&amp;"")</f>
        <v/>
      </c>
      <c r="J1418" s="10">
        <f>IF($BI1418="","",IF($B1418="Onsite",INDEX(tbl_Onsite[Tax Code],$BI1418),IF($B1418="Production",INDEX(tbl_Production[Tax Code],$BI1418),INDEX(tbl_Consulting[Tax Code],$BI1418)))&amp;"")</f>
        <v/>
      </c>
      <c r="K1418" s="10">
        <f>IF(H1418="","",IFERROR(INDEX(lst_CCtoGL,MATCH(H1418,lst_CCforGL,0)),""))</f>
        <v/>
      </c>
      <c r="L1418" s="10">
        <f>IF($BI1418="","",IF($B1418="Onsite",INDEX(tbl_Onsite[PO / Reference],$BI1418),IF($B1418="Production",INDEX(tbl_Production[Current RMS No],$BI1418),INDEX(tbl_Consulting[Qwilr Quote],$BI1418)))&amp;"")</f>
        <v/>
      </c>
      <c r="M1418" s="10">
        <f>IF($BI1418="","",IF($B1418="Onsite",INDEX(tbl_Onsite[Notes],$BI1418),IF($B1418="Production",INDEX(tbl_Production[Notes],$BI1418),INDEX(tbl_Consulting[Notes],$BI1418)))&amp;"")</f>
        <v/>
      </c>
      <c r="N1418" s="11">
        <f>IF($BI1418="","",IF(IF($B1418="Onsite",INDEX(tbl_Onsite[Expected Revenue Ex GST],$BI1418),IF($B1418="Production",INDEX(tbl_Production[Expected Revenue Ex GST],$BI1418),INDEX(tbl_Consulting[Expected Revenue Ex GST],$BI1418)))="","",IF($B1418="Onsite",INDEX(tbl_Onsite[Expected Revenue Ex GST],$BI1418),IF($B1418="Production",INDEX(tbl_Production[Expected Revenue Ex GST],$BI1418),INDEX(tbl_Consulting[Expected Revenue Ex GST],$BI1418)))))</f>
        <v/>
      </c>
      <c r="O1418" s="11">
        <f>IF(AND($C1418="",NOT(COUNTA($S1418:$BB1418)&gt;0)),"",SUM(U1418,X1418,AA1418,AD1418,AG1418,AJ1418,AM1418,AP1418,AS1418,AV1418,AY1418,BB1418))</f>
        <v/>
      </c>
      <c r="P1418" s="11">
        <f>IF(O1418="","",N(N1418)-O1418)</f>
        <v/>
      </c>
      <c r="Q1418" s="10">
        <f>IF(O1418="","",IF($C1418="","Invoice on empty job row",IF(N1418="",IF(ROUND(O1418,2)=0,"No dept value","Invoiced - no dept value"),IF(ROUND(O1418,2)=0,"Not invoiced - to invoice",IF(ROUND(P1418,2)=0,"Agrees",IF(P1418&gt;0,"Dept higher - to invoice","Xero higher - check dept"))))))</f>
        <v/>
      </c>
      <c r="R1418" s="10">
        <f>IF(AND($C1418="",NOT(COUNTA($S1418:$BB1418)&gt;0),$BI1418&lt;&gt;""),"",MID(IF($BI1418="","; Row ID not found on the department sheet - a row was deleted","")&amp;IF(AND($C1418="",COUNTA($S1418:$BB1418)&gt;0),"; Invoice entered but the department row has no job number","")&amp;IF(E1418="CHECK","; Job number not in the Xero job list","")&amp;IF(AND($C1418&lt;&gt;"",COUNTIF($C$7:$C$1506,$C1418)&gt;1),"; Job number on more than one row","")&amp;IF(AND($C1418&lt;&gt;"",H1418=""),"; Dept has not set a cost centre","")&amp;IF(AND($C1418&lt;&gt;"",J1418=""),"; Dept has not set a tax code","")&amp;IF(AND($C1418&lt;&gt;"",N1418=""),"; Dept has not entered an expected value","")&amp;IF((IF(OR(COUNTA(S1418:U1418)=0,AND(COUNTA(S1418:U1418)=3,ISNUMBER(U1418))),0,1)+IF(OR(COUNTA(V1418:X1418)=0,AND(COUNTA(V1418:X1418)=3,ISNUMBER(X1418))),0,1)+IF(OR(COUNTA(Y1418:AA1418)=0,AND(COUNTA(Y1418:AA1418)=3,ISNUMBER(AA1418))),0,1)+IF(OR(COUNTA(AB1418:AD1418)=0,AND(COUNTA(AB1418:AD1418)=3,ISNUMBER(AD1418))),0,1)+IF(OR(COUNTA(AE1418:AG1418)=0,AND(COUNTA(AE1418:AG1418)=3,ISNUMBER(AG1418))),0,1)+IF(OR(COUNTA(AH1418:AJ1418)=0,AND(COUNTA(AH1418:AJ1418)=3,ISNUMBER(AJ1418))),0,1)+IF(OR(COUNTA(AK1418:AM1418)=0,AND(COUNTA(AK1418:AM1418)=3,ISNUMBER(AM1418))),0,1)+IF(OR(COUNTA(AN1418:AP1418)=0,AND(COUNTA(AN1418:AP1418)=3,ISNUMBER(AP1418))),0,1)+IF(OR(COUNTA(AQ1418:AS1418)=0,AND(COUNTA(AQ1418:AS1418)=3,ISNUMBER(AS1418))),0,1)+IF(OR(COUNTA(AT1418:AV1418)=0,AND(COUNTA(AT1418:AV1418)=3,ISNUMBER(AV1418))),0,1)+IF(OR(COUNTA(AW1418:AY1418)=0,AND(COUNTA(AW1418:AY1418)=3,ISNUMBER(AY1418))),0,1)+IF(OR(COUNTA(AZ1418:BB1418)=0,AND(COUNTA(AZ1418:BB1418)=3,ISNUMBER(BB1418))),0,1))&gt;0,"; An invoice is incomplete (needs No, Date and a number in Ex GST)","")&amp;IF((IF(T1418="",0,IFERROR(--(EOMONTH(T1418,0)&lt;&gt;S$5),1))+IF(W1418="",0,IFERROR(--(EOMONTH(W1418,0)&lt;&gt;V$5),1))+IF(Z1418="",0,IFERROR(--(EOMONTH(Z1418,0)&lt;&gt;Y$5),1))+IF(AC1418="",0,IFERROR(--(EOMONTH(AC1418,0)&lt;&gt;AB$5),1))+IF(AF1418="",0,IFERROR(--(EOMONTH(AF1418,0)&lt;&gt;AE$5),1))+IF(AI1418="",0,IFERROR(--(EOMONTH(AI1418,0)&lt;&gt;AH$5),1))+IF(AL1418="",0,IFERROR(--(EOMONTH(AL1418,0)&lt;&gt;AK$5),1))+IF(AO1418="",0,IFERROR(--(EOMONTH(AO1418,0)&lt;&gt;AN$5),1))+IF(AR1418="",0,IFERROR(--(EOMONTH(AR1418,0)&lt;&gt;AQ$5),1))+IF(AU1418="",0,IFERROR(--(EOMONTH(AU1418,0)&lt;&gt;AT$5),1))+IF(AX1418="",0,IFERROR(--(EOMONTH(AX1418,0)&lt;&gt;AW$5),1))+IF(BA1418="",0,IFERROR(--(EOMONTH(BA1418,0)&lt;&gt;AZ$5),1)))&gt;0,"; An invoice date is not in the month it is typed under",""),3,500))</f>
        <v/>
      </c>
      <c r="S1418" s="12" t="n"/>
      <c r="T1418" s="13" t="n"/>
      <c r="U1418" s="14" t="n"/>
      <c r="V1418" s="12" t="n"/>
      <c r="W1418" s="13" t="n"/>
      <c r="X1418" s="14" t="n"/>
      <c r="Y1418" s="12" t="n"/>
      <c r="Z1418" s="13" t="n"/>
      <c r="AA1418" s="14" t="n"/>
      <c r="AB1418" s="12" t="n"/>
      <c r="AC1418" s="13" t="n"/>
      <c r="AD1418" s="14" t="n"/>
      <c r="AE1418" s="12" t="n"/>
      <c r="AF1418" s="13" t="n"/>
      <c r="AG1418" s="14" t="n"/>
      <c r="AH1418" s="12" t="n"/>
      <c r="AI1418" s="13" t="n"/>
      <c r="AJ1418" s="14" t="n"/>
      <c r="AK1418" s="12" t="n"/>
      <c r="AL1418" s="13" t="n"/>
      <c r="AM1418" s="14" t="n"/>
      <c r="AN1418" s="12" t="n"/>
      <c r="AO1418" s="13" t="n"/>
      <c r="AP1418" s="14" t="n"/>
      <c r="AQ1418" s="12" t="n"/>
      <c r="AR1418" s="13" t="n"/>
      <c r="AS1418" s="14" t="n"/>
      <c r="AT1418" s="12" t="n"/>
      <c r="AU1418" s="13" t="n"/>
      <c r="AV1418" s="14" t="n"/>
      <c r="AW1418" s="12" t="n"/>
      <c r="AX1418" s="13" t="n"/>
      <c r="AY1418" s="14" t="n"/>
      <c r="AZ1418" s="12" t="n"/>
      <c r="BA1418" s="13" t="n"/>
      <c r="BB1418" s="14" t="n"/>
      <c r="BC1418" s="11">
        <f>IF(O1418="","",IF(J1418="GST 10%",ROUND(O1418*set_GSTRate,2),0))</f>
        <v/>
      </c>
      <c r="BD1418" s="11">
        <f>IF(O1418="","",O1418+BC1418)</f>
        <v/>
      </c>
      <c r="BE1418" s="15">
        <f>IF(O1418="","",COUNTA(S1418,V1418,Y1418,AB1418,AE1418,AH1418,AK1418,AN1418,AQ1418,AT1418,AW1418,AZ1418))</f>
        <v/>
      </c>
      <c r="BF1418" s="16">
        <f>IF(COUNT(T1418,W1418,Z1418,AC1418,AF1418,AI1418,AL1418,AO1418,AR1418,AU1418,AX1418,BA1418)=0,"",MAX(T1418,W1418,Z1418,AC1418,AF1418,AI1418,AL1418,AO1418,AR1418,AU1418,AX1418,BA1418))</f>
        <v/>
      </c>
      <c r="BG1418" s="10">
        <f>MID(IF(S1418="","",", "&amp;S1418)&amp;IF(V1418="","",", "&amp;V1418)&amp;IF(Y1418="","",", "&amp;Y1418)&amp;IF(AB1418="","",", "&amp;AB1418)&amp;IF(AE1418="","",", "&amp;AE1418)&amp;IF(AH1418="","",", "&amp;AH1418)&amp;IF(AK1418="","",", "&amp;AK1418)&amp;IF(AN1418="","",", "&amp;AN1418)&amp;IF(AQ1418="","",", "&amp;AQ1418)&amp;IF(AT1418="","",", "&amp;AT1418)&amp;IF(AW1418="","",", "&amp;AW1418)&amp;IF(AZ1418="","",", "&amp;AZ1418),3,500)</f>
        <v/>
      </c>
      <c r="BH1418" s="12" t="n"/>
      <c r="BI1418" s="15">
        <f>IFERROR(MATCH($A1418,IF($B1418="Onsite",tbl_Onsite[Row ID],IF($B1418="Production",tbl_Production[Row ID],tbl_Consulting[Row ID])),0),"")</f>
        <v/>
      </c>
    </row>
    <row r="1419">
      <c r="A1419" s="10" t="inlineStr">
        <is>
          <t>CON-0413</t>
        </is>
      </c>
      <c r="B1419" s="10" t="inlineStr">
        <is>
          <t>Consulting</t>
        </is>
      </c>
      <c r="C1419" s="10">
        <f>IF($BI1419="","",IF($B1419="Onsite",INDEX(tbl_Onsite[Job Number],$BI1419),IF($B1419="Production",INDEX(tbl_Production[Job Number],$BI1419),INDEX(tbl_Consulting[Job Number],$BI1419)))&amp;"")</f>
        <v/>
      </c>
      <c r="D1419" s="10">
        <f>IF($BI1419="","",IF($B1419="Onsite",INDEX(tbl_Onsite[Client],$BI1419),IF($B1419="Production",INDEX(tbl_Production[Client],$BI1419),INDEX(tbl_Consulting[Client],$BI1419)))&amp;"")</f>
        <v/>
      </c>
      <c r="E1419" s="10">
        <f>IF($C1419="","",IF(COUNTIF(lst_Jobs,$C1419)&gt;0,"OK","CHECK"))</f>
        <v/>
      </c>
      <c r="F1419" s="10">
        <f>IF($C1419="","",IFERROR(INDEX(lst_JobName,MATCH($C1419,lst_Jobs,0)),""))</f>
        <v/>
      </c>
      <c r="G1419" s="10">
        <f>IF($BI1419="","",IF($B1419="Onsite",INDEX(tbl_Onsite[Job Description],$BI1419),IF($B1419="Production",INDEX(tbl_Production[Job Description],$BI1419),INDEX(tbl_Consulting[Job Description],$BI1419)))&amp;"")</f>
        <v/>
      </c>
      <c r="H1419" s="10">
        <f>IF($BI1419="","",IF($B1419="Onsite",INDEX(tbl_Onsite[Cost Centre],$BI1419),IF($B1419="Production",INDEX(tbl_Production[Cost Centre],$BI1419),INDEX(tbl_Consulting[Cost Centre],$BI1419)))&amp;"")</f>
        <v/>
      </c>
      <c r="I1419" s="10">
        <f>IF($BI1419="","",IF($B1419="Onsite",INDEX(tbl_Onsite[Invoice Type],$BI1419),IF($B1419="Production",INDEX(tbl_Production[Invoice Type],$BI1419),INDEX(tbl_Consulting[Invoice Type],$BI1419)))&amp;"")</f>
        <v/>
      </c>
      <c r="J1419" s="10">
        <f>IF($BI1419="","",IF($B1419="Onsite",INDEX(tbl_Onsite[Tax Code],$BI1419),IF($B1419="Production",INDEX(tbl_Production[Tax Code],$BI1419),INDEX(tbl_Consulting[Tax Code],$BI1419)))&amp;"")</f>
        <v/>
      </c>
      <c r="K1419" s="10">
        <f>IF(H1419="","",IFERROR(INDEX(lst_CCtoGL,MATCH(H1419,lst_CCforGL,0)),""))</f>
        <v/>
      </c>
      <c r="L1419" s="10">
        <f>IF($BI1419="","",IF($B1419="Onsite",INDEX(tbl_Onsite[PO / Reference],$BI1419),IF($B1419="Production",INDEX(tbl_Production[Current RMS No],$BI1419),INDEX(tbl_Consulting[Qwilr Quote],$BI1419)))&amp;"")</f>
        <v/>
      </c>
      <c r="M1419" s="10">
        <f>IF($BI1419="","",IF($B1419="Onsite",INDEX(tbl_Onsite[Notes],$BI1419),IF($B1419="Production",INDEX(tbl_Production[Notes],$BI1419),INDEX(tbl_Consulting[Notes],$BI1419)))&amp;"")</f>
        <v/>
      </c>
      <c r="N1419" s="11">
        <f>IF($BI1419="","",IF(IF($B1419="Onsite",INDEX(tbl_Onsite[Expected Revenue Ex GST],$BI1419),IF($B1419="Production",INDEX(tbl_Production[Expected Revenue Ex GST],$BI1419),INDEX(tbl_Consulting[Expected Revenue Ex GST],$BI1419)))="","",IF($B1419="Onsite",INDEX(tbl_Onsite[Expected Revenue Ex GST],$BI1419),IF($B1419="Production",INDEX(tbl_Production[Expected Revenue Ex GST],$BI1419),INDEX(tbl_Consulting[Expected Revenue Ex GST],$BI1419)))))</f>
        <v/>
      </c>
      <c r="O1419" s="11">
        <f>IF(AND($C1419="",NOT(COUNTA($S1419:$BB1419)&gt;0)),"",SUM(U1419,X1419,AA1419,AD1419,AG1419,AJ1419,AM1419,AP1419,AS1419,AV1419,AY1419,BB1419))</f>
        <v/>
      </c>
      <c r="P1419" s="11">
        <f>IF(O1419="","",N(N1419)-O1419)</f>
        <v/>
      </c>
      <c r="Q1419" s="10">
        <f>IF(O1419="","",IF($C1419="","Invoice on empty job row",IF(N1419="",IF(ROUND(O1419,2)=0,"No dept value","Invoiced - no dept value"),IF(ROUND(O1419,2)=0,"Not invoiced - to invoice",IF(ROUND(P1419,2)=0,"Agrees",IF(P1419&gt;0,"Dept higher - to invoice","Xero higher - check dept"))))))</f>
        <v/>
      </c>
      <c r="R1419" s="10">
        <f>IF(AND($C1419="",NOT(COUNTA($S1419:$BB1419)&gt;0),$BI1419&lt;&gt;""),"",MID(IF($BI1419="","; Row ID not found on the department sheet - a row was deleted","")&amp;IF(AND($C1419="",COUNTA($S1419:$BB1419)&gt;0),"; Invoice entered but the department row has no job number","")&amp;IF(E1419="CHECK","; Job number not in the Xero job list","")&amp;IF(AND($C1419&lt;&gt;"",COUNTIF($C$7:$C$1506,$C1419)&gt;1),"; Job number on more than one row","")&amp;IF(AND($C1419&lt;&gt;"",H1419=""),"; Dept has not set a cost centre","")&amp;IF(AND($C1419&lt;&gt;"",J1419=""),"; Dept has not set a tax code","")&amp;IF(AND($C1419&lt;&gt;"",N1419=""),"; Dept has not entered an expected value","")&amp;IF((IF(OR(COUNTA(S1419:U1419)=0,AND(COUNTA(S1419:U1419)=3,ISNUMBER(U1419))),0,1)+IF(OR(COUNTA(V1419:X1419)=0,AND(COUNTA(V1419:X1419)=3,ISNUMBER(X1419))),0,1)+IF(OR(COUNTA(Y1419:AA1419)=0,AND(COUNTA(Y1419:AA1419)=3,ISNUMBER(AA1419))),0,1)+IF(OR(COUNTA(AB1419:AD1419)=0,AND(COUNTA(AB1419:AD1419)=3,ISNUMBER(AD1419))),0,1)+IF(OR(COUNTA(AE1419:AG1419)=0,AND(COUNTA(AE1419:AG1419)=3,ISNUMBER(AG1419))),0,1)+IF(OR(COUNTA(AH1419:AJ1419)=0,AND(COUNTA(AH1419:AJ1419)=3,ISNUMBER(AJ1419))),0,1)+IF(OR(COUNTA(AK1419:AM1419)=0,AND(COUNTA(AK1419:AM1419)=3,ISNUMBER(AM1419))),0,1)+IF(OR(COUNTA(AN1419:AP1419)=0,AND(COUNTA(AN1419:AP1419)=3,ISNUMBER(AP1419))),0,1)+IF(OR(COUNTA(AQ1419:AS1419)=0,AND(COUNTA(AQ1419:AS1419)=3,ISNUMBER(AS1419))),0,1)+IF(OR(COUNTA(AT1419:AV1419)=0,AND(COUNTA(AT1419:AV1419)=3,ISNUMBER(AV1419))),0,1)+IF(OR(COUNTA(AW1419:AY1419)=0,AND(COUNTA(AW1419:AY1419)=3,ISNUMBER(AY1419))),0,1)+IF(OR(COUNTA(AZ1419:BB1419)=0,AND(COUNTA(AZ1419:BB1419)=3,ISNUMBER(BB1419))),0,1))&gt;0,"; An invoice is incomplete (needs No, Date and a number in Ex GST)","")&amp;IF((IF(T1419="",0,IFERROR(--(EOMONTH(T1419,0)&lt;&gt;S$5),1))+IF(W1419="",0,IFERROR(--(EOMONTH(W1419,0)&lt;&gt;V$5),1))+IF(Z1419="",0,IFERROR(--(EOMONTH(Z1419,0)&lt;&gt;Y$5),1))+IF(AC1419="",0,IFERROR(--(EOMONTH(AC1419,0)&lt;&gt;AB$5),1))+IF(AF1419="",0,IFERROR(--(EOMONTH(AF1419,0)&lt;&gt;AE$5),1))+IF(AI1419="",0,IFERROR(--(EOMONTH(AI1419,0)&lt;&gt;AH$5),1))+IF(AL1419="",0,IFERROR(--(EOMONTH(AL1419,0)&lt;&gt;AK$5),1))+IF(AO1419="",0,IFERROR(--(EOMONTH(AO1419,0)&lt;&gt;AN$5),1))+IF(AR1419="",0,IFERROR(--(EOMONTH(AR1419,0)&lt;&gt;AQ$5),1))+IF(AU1419="",0,IFERROR(--(EOMONTH(AU1419,0)&lt;&gt;AT$5),1))+IF(AX1419="",0,IFERROR(--(EOMONTH(AX1419,0)&lt;&gt;AW$5),1))+IF(BA1419="",0,IFERROR(--(EOMONTH(BA1419,0)&lt;&gt;AZ$5),1)))&gt;0,"; An invoice date is not in the month it is typed under",""),3,500))</f>
        <v/>
      </c>
      <c r="S1419" s="12" t="n"/>
      <c r="T1419" s="13" t="n"/>
      <c r="U1419" s="14" t="n"/>
      <c r="V1419" s="12" t="n"/>
      <c r="W1419" s="13" t="n"/>
      <c r="X1419" s="14" t="n"/>
      <c r="Y1419" s="12" t="n"/>
      <c r="Z1419" s="13" t="n"/>
      <c r="AA1419" s="14" t="n"/>
      <c r="AB1419" s="12" t="n"/>
      <c r="AC1419" s="13" t="n"/>
      <c r="AD1419" s="14" t="n"/>
      <c r="AE1419" s="12" t="n"/>
      <c r="AF1419" s="13" t="n"/>
      <c r="AG1419" s="14" t="n"/>
      <c r="AH1419" s="12" t="n"/>
      <c r="AI1419" s="13" t="n"/>
      <c r="AJ1419" s="14" t="n"/>
      <c r="AK1419" s="12" t="n"/>
      <c r="AL1419" s="13" t="n"/>
      <c r="AM1419" s="14" t="n"/>
      <c r="AN1419" s="12" t="n"/>
      <c r="AO1419" s="13" t="n"/>
      <c r="AP1419" s="14" t="n"/>
      <c r="AQ1419" s="12" t="n"/>
      <c r="AR1419" s="13" t="n"/>
      <c r="AS1419" s="14" t="n"/>
      <c r="AT1419" s="12" t="n"/>
      <c r="AU1419" s="13" t="n"/>
      <c r="AV1419" s="14" t="n"/>
      <c r="AW1419" s="12" t="n"/>
      <c r="AX1419" s="13" t="n"/>
      <c r="AY1419" s="14" t="n"/>
      <c r="AZ1419" s="12" t="n"/>
      <c r="BA1419" s="13" t="n"/>
      <c r="BB1419" s="14" t="n"/>
      <c r="BC1419" s="11">
        <f>IF(O1419="","",IF(J1419="GST 10%",ROUND(O1419*set_GSTRate,2),0))</f>
        <v/>
      </c>
      <c r="BD1419" s="11">
        <f>IF(O1419="","",O1419+BC1419)</f>
        <v/>
      </c>
      <c r="BE1419" s="15">
        <f>IF(O1419="","",COUNTA(S1419,V1419,Y1419,AB1419,AE1419,AH1419,AK1419,AN1419,AQ1419,AT1419,AW1419,AZ1419))</f>
        <v/>
      </c>
      <c r="BF1419" s="16">
        <f>IF(COUNT(T1419,W1419,Z1419,AC1419,AF1419,AI1419,AL1419,AO1419,AR1419,AU1419,AX1419,BA1419)=0,"",MAX(T1419,W1419,Z1419,AC1419,AF1419,AI1419,AL1419,AO1419,AR1419,AU1419,AX1419,BA1419))</f>
        <v/>
      </c>
      <c r="BG1419" s="10">
        <f>MID(IF(S1419="","",", "&amp;S1419)&amp;IF(V1419="","",", "&amp;V1419)&amp;IF(Y1419="","",", "&amp;Y1419)&amp;IF(AB1419="","",", "&amp;AB1419)&amp;IF(AE1419="","",", "&amp;AE1419)&amp;IF(AH1419="","",", "&amp;AH1419)&amp;IF(AK1419="","",", "&amp;AK1419)&amp;IF(AN1419="","",", "&amp;AN1419)&amp;IF(AQ1419="","",", "&amp;AQ1419)&amp;IF(AT1419="","",", "&amp;AT1419)&amp;IF(AW1419="","",", "&amp;AW1419)&amp;IF(AZ1419="","",", "&amp;AZ1419),3,500)</f>
        <v/>
      </c>
      <c r="BH1419" s="12" t="n"/>
      <c r="BI1419" s="15">
        <f>IFERROR(MATCH($A1419,IF($B1419="Onsite",tbl_Onsite[Row ID],IF($B1419="Production",tbl_Production[Row ID],tbl_Consulting[Row ID])),0),"")</f>
        <v/>
      </c>
    </row>
    <row r="1420">
      <c r="A1420" s="10" t="inlineStr">
        <is>
          <t>CON-0414</t>
        </is>
      </c>
      <c r="B1420" s="10" t="inlineStr">
        <is>
          <t>Consulting</t>
        </is>
      </c>
      <c r="C1420" s="10">
        <f>IF($BI1420="","",IF($B1420="Onsite",INDEX(tbl_Onsite[Job Number],$BI1420),IF($B1420="Production",INDEX(tbl_Production[Job Number],$BI1420),INDEX(tbl_Consulting[Job Number],$BI1420)))&amp;"")</f>
        <v/>
      </c>
      <c r="D1420" s="10">
        <f>IF($BI1420="","",IF($B1420="Onsite",INDEX(tbl_Onsite[Client],$BI1420),IF($B1420="Production",INDEX(tbl_Production[Client],$BI1420),INDEX(tbl_Consulting[Client],$BI1420)))&amp;"")</f>
        <v/>
      </c>
      <c r="E1420" s="10">
        <f>IF($C1420="","",IF(COUNTIF(lst_Jobs,$C1420)&gt;0,"OK","CHECK"))</f>
        <v/>
      </c>
      <c r="F1420" s="10">
        <f>IF($C1420="","",IFERROR(INDEX(lst_JobName,MATCH($C1420,lst_Jobs,0)),""))</f>
        <v/>
      </c>
      <c r="G1420" s="10">
        <f>IF($BI1420="","",IF($B1420="Onsite",INDEX(tbl_Onsite[Job Description],$BI1420),IF($B1420="Production",INDEX(tbl_Production[Job Description],$BI1420),INDEX(tbl_Consulting[Job Description],$BI1420)))&amp;"")</f>
        <v/>
      </c>
      <c r="H1420" s="10">
        <f>IF($BI1420="","",IF($B1420="Onsite",INDEX(tbl_Onsite[Cost Centre],$BI1420),IF($B1420="Production",INDEX(tbl_Production[Cost Centre],$BI1420),INDEX(tbl_Consulting[Cost Centre],$BI1420)))&amp;"")</f>
        <v/>
      </c>
      <c r="I1420" s="10">
        <f>IF($BI1420="","",IF($B1420="Onsite",INDEX(tbl_Onsite[Invoice Type],$BI1420),IF($B1420="Production",INDEX(tbl_Production[Invoice Type],$BI1420),INDEX(tbl_Consulting[Invoice Type],$BI1420)))&amp;"")</f>
        <v/>
      </c>
      <c r="J1420" s="10">
        <f>IF($BI1420="","",IF($B1420="Onsite",INDEX(tbl_Onsite[Tax Code],$BI1420),IF($B1420="Production",INDEX(tbl_Production[Tax Code],$BI1420),INDEX(tbl_Consulting[Tax Code],$BI1420)))&amp;"")</f>
        <v/>
      </c>
      <c r="K1420" s="10">
        <f>IF(H1420="","",IFERROR(INDEX(lst_CCtoGL,MATCH(H1420,lst_CCforGL,0)),""))</f>
        <v/>
      </c>
      <c r="L1420" s="10">
        <f>IF($BI1420="","",IF($B1420="Onsite",INDEX(tbl_Onsite[PO / Reference],$BI1420),IF($B1420="Production",INDEX(tbl_Production[Current RMS No],$BI1420),INDEX(tbl_Consulting[Qwilr Quote],$BI1420)))&amp;"")</f>
        <v/>
      </c>
      <c r="M1420" s="10">
        <f>IF($BI1420="","",IF($B1420="Onsite",INDEX(tbl_Onsite[Notes],$BI1420),IF($B1420="Production",INDEX(tbl_Production[Notes],$BI1420),INDEX(tbl_Consulting[Notes],$BI1420)))&amp;"")</f>
        <v/>
      </c>
      <c r="N1420" s="11">
        <f>IF($BI1420="","",IF(IF($B1420="Onsite",INDEX(tbl_Onsite[Expected Revenue Ex GST],$BI1420),IF($B1420="Production",INDEX(tbl_Production[Expected Revenue Ex GST],$BI1420),INDEX(tbl_Consulting[Expected Revenue Ex GST],$BI1420)))="","",IF($B1420="Onsite",INDEX(tbl_Onsite[Expected Revenue Ex GST],$BI1420),IF($B1420="Production",INDEX(tbl_Production[Expected Revenue Ex GST],$BI1420),INDEX(tbl_Consulting[Expected Revenue Ex GST],$BI1420)))))</f>
        <v/>
      </c>
      <c r="O1420" s="11">
        <f>IF(AND($C1420="",NOT(COUNTA($S1420:$BB1420)&gt;0)),"",SUM(U1420,X1420,AA1420,AD1420,AG1420,AJ1420,AM1420,AP1420,AS1420,AV1420,AY1420,BB1420))</f>
        <v/>
      </c>
      <c r="P1420" s="11">
        <f>IF(O1420="","",N(N1420)-O1420)</f>
        <v/>
      </c>
      <c r="Q1420" s="10">
        <f>IF(O1420="","",IF($C1420="","Invoice on empty job row",IF(N1420="",IF(ROUND(O1420,2)=0,"No dept value","Invoiced - no dept value"),IF(ROUND(O1420,2)=0,"Not invoiced - to invoice",IF(ROUND(P1420,2)=0,"Agrees",IF(P1420&gt;0,"Dept higher - to invoice","Xero higher - check dept"))))))</f>
        <v/>
      </c>
      <c r="R1420" s="10">
        <f>IF(AND($C1420="",NOT(COUNTA($S1420:$BB1420)&gt;0),$BI1420&lt;&gt;""),"",MID(IF($BI1420="","; Row ID not found on the department sheet - a row was deleted","")&amp;IF(AND($C1420="",COUNTA($S1420:$BB1420)&gt;0),"; Invoice entered but the department row has no job number","")&amp;IF(E1420="CHECK","; Job number not in the Xero job list","")&amp;IF(AND($C1420&lt;&gt;"",COUNTIF($C$7:$C$1506,$C1420)&gt;1),"; Job number on more than one row","")&amp;IF(AND($C1420&lt;&gt;"",H1420=""),"; Dept has not set a cost centre","")&amp;IF(AND($C1420&lt;&gt;"",J1420=""),"; Dept has not set a tax code","")&amp;IF(AND($C1420&lt;&gt;"",N1420=""),"; Dept has not entered an expected value","")&amp;IF((IF(OR(COUNTA(S1420:U1420)=0,AND(COUNTA(S1420:U1420)=3,ISNUMBER(U1420))),0,1)+IF(OR(COUNTA(V1420:X1420)=0,AND(COUNTA(V1420:X1420)=3,ISNUMBER(X1420))),0,1)+IF(OR(COUNTA(Y1420:AA1420)=0,AND(COUNTA(Y1420:AA1420)=3,ISNUMBER(AA1420))),0,1)+IF(OR(COUNTA(AB1420:AD1420)=0,AND(COUNTA(AB1420:AD1420)=3,ISNUMBER(AD1420))),0,1)+IF(OR(COUNTA(AE1420:AG1420)=0,AND(COUNTA(AE1420:AG1420)=3,ISNUMBER(AG1420))),0,1)+IF(OR(COUNTA(AH1420:AJ1420)=0,AND(COUNTA(AH1420:AJ1420)=3,ISNUMBER(AJ1420))),0,1)+IF(OR(COUNTA(AK1420:AM1420)=0,AND(COUNTA(AK1420:AM1420)=3,ISNUMBER(AM1420))),0,1)+IF(OR(COUNTA(AN1420:AP1420)=0,AND(COUNTA(AN1420:AP1420)=3,ISNUMBER(AP1420))),0,1)+IF(OR(COUNTA(AQ1420:AS1420)=0,AND(COUNTA(AQ1420:AS1420)=3,ISNUMBER(AS1420))),0,1)+IF(OR(COUNTA(AT1420:AV1420)=0,AND(COUNTA(AT1420:AV1420)=3,ISNUMBER(AV1420))),0,1)+IF(OR(COUNTA(AW1420:AY1420)=0,AND(COUNTA(AW1420:AY1420)=3,ISNUMBER(AY1420))),0,1)+IF(OR(COUNTA(AZ1420:BB1420)=0,AND(COUNTA(AZ1420:BB1420)=3,ISNUMBER(BB1420))),0,1))&gt;0,"; An invoice is incomplete (needs No, Date and a number in Ex GST)","")&amp;IF((IF(T1420="",0,IFERROR(--(EOMONTH(T1420,0)&lt;&gt;S$5),1))+IF(W1420="",0,IFERROR(--(EOMONTH(W1420,0)&lt;&gt;V$5),1))+IF(Z1420="",0,IFERROR(--(EOMONTH(Z1420,0)&lt;&gt;Y$5),1))+IF(AC1420="",0,IFERROR(--(EOMONTH(AC1420,0)&lt;&gt;AB$5),1))+IF(AF1420="",0,IFERROR(--(EOMONTH(AF1420,0)&lt;&gt;AE$5),1))+IF(AI1420="",0,IFERROR(--(EOMONTH(AI1420,0)&lt;&gt;AH$5),1))+IF(AL1420="",0,IFERROR(--(EOMONTH(AL1420,0)&lt;&gt;AK$5),1))+IF(AO1420="",0,IFERROR(--(EOMONTH(AO1420,0)&lt;&gt;AN$5),1))+IF(AR1420="",0,IFERROR(--(EOMONTH(AR1420,0)&lt;&gt;AQ$5),1))+IF(AU1420="",0,IFERROR(--(EOMONTH(AU1420,0)&lt;&gt;AT$5),1))+IF(AX1420="",0,IFERROR(--(EOMONTH(AX1420,0)&lt;&gt;AW$5),1))+IF(BA1420="",0,IFERROR(--(EOMONTH(BA1420,0)&lt;&gt;AZ$5),1)))&gt;0,"; An invoice date is not in the month it is typed under",""),3,500))</f>
        <v/>
      </c>
      <c r="S1420" s="12" t="n"/>
      <c r="T1420" s="13" t="n"/>
      <c r="U1420" s="14" t="n"/>
      <c r="V1420" s="12" t="n"/>
      <c r="W1420" s="13" t="n"/>
      <c r="X1420" s="14" t="n"/>
      <c r="Y1420" s="12" t="n"/>
      <c r="Z1420" s="13" t="n"/>
      <c r="AA1420" s="14" t="n"/>
      <c r="AB1420" s="12" t="n"/>
      <c r="AC1420" s="13" t="n"/>
      <c r="AD1420" s="14" t="n"/>
      <c r="AE1420" s="12" t="n"/>
      <c r="AF1420" s="13" t="n"/>
      <c r="AG1420" s="14" t="n"/>
      <c r="AH1420" s="12" t="n"/>
      <c r="AI1420" s="13" t="n"/>
      <c r="AJ1420" s="14" t="n"/>
      <c r="AK1420" s="12" t="n"/>
      <c r="AL1420" s="13" t="n"/>
      <c r="AM1420" s="14" t="n"/>
      <c r="AN1420" s="12" t="n"/>
      <c r="AO1420" s="13" t="n"/>
      <c r="AP1420" s="14" t="n"/>
      <c r="AQ1420" s="12" t="n"/>
      <c r="AR1420" s="13" t="n"/>
      <c r="AS1420" s="14" t="n"/>
      <c r="AT1420" s="12" t="n"/>
      <c r="AU1420" s="13" t="n"/>
      <c r="AV1420" s="14" t="n"/>
      <c r="AW1420" s="12" t="n"/>
      <c r="AX1420" s="13" t="n"/>
      <c r="AY1420" s="14" t="n"/>
      <c r="AZ1420" s="12" t="n"/>
      <c r="BA1420" s="13" t="n"/>
      <c r="BB1420" s="14" t="n"/>
      <c r="BC1420" s="11">
        <f>IF(O1420="","",IF(J1420="GST 10%",ROUND(O1420*set_GSTRate,2),0))</f>
        <v/>
      </c>
      <c r="BD1420" s="11">
        <f>IF(O1420="","",O1420+BC1420)</f>
        <v/>
      </c>
      <c r="BE1420" s="15">
        <f>IF(O1420="","",COUNTA(S1420,V1420,Y1420,AB1420,AE1420,AH1420,AK1420,AN1420,AQ1420,AT1420,AW1420,AZ1420))</f>
        <v/>
      </c>
      <c r="BF1420" s="16">
        <f>IF(COUNT(T1420,W1420,Z1420,AC1420,AF1420,AI1420,AL1420,AO1420,AR1420,AU1420,AX1420,BA1420)=0,"",MAX(T1420,W1420,Z1420,AC1420,AF1420,AI1420,AL1420,AO1420,AR1420,AU1420,AX1420,BA1420))</f>
        <v/>
      </c>
      <c r="BG1420" s="10">
        <f>MID(IF(S1420="","",", "&amp;S1420)&amp;IF(V1420="","",", "&amp;V1420)&amp;IF(Y1420="","",", "&amp;Y1420)&amp;IF(AB1420="","",", "&amp;AB1420)&amp;IF(AE1420="","",", "&amp;AE1420)&amp;IF(AH1420="","",", "&amp;AH1420)&amp;IF(AK1420="","",", "&amp;AK1420)&amp;IF(AN1420="","",", "&amp;AN1420)&amp;IF(AQ1420="","",", "&amp;AQ1420)&amp;IF(AT1420="","",", "&amp;AT1420)&amp;IF(AW1420="","",", "&amp;AW1420)&amp;IF(AZ1420="","",", "&amp;AZ1420),3,500)</f>
        <v/>
      </c>
      <c r="BH1420" s="12" t="n"/>
      <c r="BI1420" s="15">
        <f>IFERROR(MATCH($A1420,IF($B1420="Onsite",tbl_Onsite[Row ID],IF($B1420="Production",tbl_Production[Row ID],tbl_Consulting[Row ID])),0),"")</f>
        <v/>
      </c>
    </row>
    <row r="1421">
      <c r="A1421" s="10" t="inlineStr">
        <is>
          <t>CON-0415</t>
        </is>
      </c>
      <c r="B1421" s="10" t="inlineStr">
        <is>
          <t>Consulting</t>
        </is>
      </c>
      <c r="C1421" s="10">
        <f>IF($BI1421="","",IF($B1421="Onsite",INDEX(tbl_Onsite[Job Number],$BI1421),IF($B1421="Production",INDEX(tbl_Production[Job Number],$BI1421),INDEX(tbl_Consulting[Job Number],$BI1421)))&amp;"")</f>
        <v/>
      </c>
      <c r="D1421" s="10">
        <f>IF($BI1421="","",IF($B1421="Onsite",INDEX(tbl_Onsite[Client],$BI1421),IF($B1421="Production",INDEX(tbl_Production[Client],$BI1421),INDEX(tbl_Consulting[Client],$BI1421)))&amp;"")</f>
        <v/>
      </c>
      <c r="E1421" s="10">
        <f>IF($C1421="","",IF(COUNTIF(lst_Jobs,$C1421)&gt;0,"OK","CHECK"))</f>
        <v/>
      </c>
      <c r="F1421" s="10">
        <f>IF($C1421="","",IFERROR(INDEX(lst_JobName,MATCH($C1421,lst_Jobs,0)),""))</f>
        <v/>
      </c>
      <c r="G1421" s="10">
        <f>IF($BI1421="","",IF($B1421="Onsite",INDEX(tbl_Onsite[Job Description],$BI1421),IF($B1421="Production",INDEX(tbl_Production[Job Description],$BI1421),INDEX(tbl_Consulting[Job Description],$BI1421)))&amp;"")</f>
        <v/>
      </c>
      <c r="H1421" s="10">
        <f>IF($BI1421="","",IF($B1421="Onsite",INDEX(tbl_Onsite[Cost Centre],$BI1421),IF($B1421="Production",INDEX(tbl_Production[Cost Centre],$BI1421),INDEX(tbl_Consulting[Cost Centre],$BI1421)))&amp;"")</f>
        <v/>
      </c>
      <c r="I1421" s="10">
        <f>IF($BI1421="","",IF($B1421="Onsite",INDEX(tbl_Onsite[Invoice Type],$BI1421),IF($B1421="Production",INDEX(tbl_Production[Invoice Type],$BI1421),INDEX(tbl_Consulting[Invoice Type],$BI1421)))&amp;"")</f>
        <v/>
      </c>
      <c r="J1421" s="10">
        <f>IF($BI1421="","",IF($B1421="Onsite",INDEX(tbl_Onsite[Tax Code],$BI1421),IF($B1421="Production",INDEX(tbl_Production[Tax Code],$BI1421),INDEX(tbl_Consulting[Tax Code],$BI1421)))&amp;"")</f>
        <v/>
      </c>
      <c r="K1421" s="10">
        <f>IF(H1421="","",IFERROR(INDEX(lst_CCtoGL,MATCH(H1421,lst_CCforGL,0)),""))</f>
        <v/>
      </c>
      <c r="L1421" s="10">
        <f>IF($BI1421="","",IF($B1421="Onsite",INDEX(tbl_Onsite[PO / Reference],$BI1421),IF($B1421="Production",INDEX(tbl_Production[Current RMS No],$BI1421),INDEX(tbl_Consulting[Qwilr Quote],$BI1421)))&amp;"")</f>
        <v/>
      </c>
      <c r="M1421" s="10">
        <f>IF($BI1421="","",IF($B1421="Onsite",INDEX(tbl_Onsite[Notes],$BI1421),IF($B1421="Production",INDEX(tbl_Production[Notes],$BI1421),INDEX(tbl_Consulting[Notes],$BI1421)))&amp;"")</f>
        <v/>
      </c>
      <c r="N1421" s="11">
        <f>IF($BI1421="","",IF(IF($B1421="Onsite",INDEX(tbl_Onsite[Expected Revenue Ex GST],$BI1421),IF($B1421="Production",INDEX(tbl_Production[Expected Revenue Ex GST],$BI1421),INDEX(tbl_Consulting[Expected Revenue Ex GST],$BI1421)))="","",IF($B1421="Onsite",INDEX(tbl_Onsite[Expected Revenue Ex GST],$BI1421),IF($B1421="Production",INDEX(tbl_Production[Expected Revenue Ex GST],$BI1421),INDEX(tbl_Consulting[Expected Revenue Ex GST],$BI1421)))))</f>
        <v/>
      </c>
      <c r="O1421" s="11">
        <f>IF(AND($C1421="",NOT(COUNTA($S1421:$BB1421)&gt;0)),"",SUM(U1421,X1421,AA1421,AD1421,AG1421,AJ1421,AM1421,AP1421,AS1421,AV1421,AY1421,BB1421))</f>
        <v/>
      </c>
      <c r="P1421" s="11">
        <f>IF(O1421="","",N(N1421)-O1421)</f>
        <v/>
      </c>
      <c r="Q1421" s="10">
        <f>IF(O1421="","",IF($C1421="","Invoice on empty job row",IF(N1421="",IF(ROUND(O1421,2)=0,"No dept value","Invoiced - no dept value"),IF(ROUND(O1421,2)=0,"Not invoiced - to invoice",IF(ROUND(P1421,2)=0,"Agrees",IF(P1421&gt;0,"Dept higher - to invoice","Xero higher - check dept"))))))</f>
        <v/>
      </c>
      <c r="R1421" s="10">
        <f>IF(AND($C1421="",NOT(COUNTA($S1421:$BB1421)&gt;0),$BI1421&lt;&gt;""),"",MID(IF($BI1421="","; Row ID not found on the department sheet - a row was deleted","")&amp;IF(AND($C1421="",COUNTA($S1421:$BB1421)&gt;0),"; Invoice entered but the department row has no job number","")&amp;IF(E1421="CHECK","; Job number not in the Xero job list","")&amp;IF(AND($C1421&lt;&gt;"",COUNTIF($C$7:$C$1506,$C1421)&gt;1),"; Job number on more than one row","")&amp;IF(AND($C1421&lt;&gt;"",H1421=""),"; Dept has not set a cost centre","")&amp;IF(AND($C1421&lt;&gt;"",J1421=""),"; Dept has not set a tax code","")&amp;IF(AND($C1421&lt;&gt;"",N1421=""),"; Dept has not entered an expected value","")&amp;IF((IF(OR(COUNTA(S1421:U1421)=0,AND(COUNTA(S1421:U1421)=3,ISNUMBER(U1421))),0,1)+IF(OR(COUNTA(V1421:X1421)=0,AND(COUNTA(V1421:X1421)=3,ISNUMBER(X1421))),0,1)+IF(OR(COUNTA(Y1421:AA1421)=0,AND(COUNTA(Y1421:AA1421)=3,ISNUMBER(AA1421))),0,1)+IF(OR(COUNTA(AB1421:AD1421)=0,AND(COUNTA(AB1421:AD1421)=3,ISNUMBER(AD1421))),0,1)+IF(OR(COUNTA(AE1421:AG1421)=0,AND(COUNTA(AE1421:AG1421)=3,ISNUMBER(AG1421))),0,1)+IF(OR(COUNTA(AH1421:AJ1421)=0,AND(COUNTA(AH1421:AJ1421)=3,ISNUMBER(AJ1421))),0,1)+IF(OR(COUNTA(AK1421:AM1421)=0,AND(COUNTA(AK1421:AM1421)=3,ISNUMBER(AM1421))),0,1)+IF(OR(COUNTA(AN1421:AP1421)=0,AND(COUNTA(AN1421:AP1421)=3,ISNUMBER(AP1421))),0,1)+IF(OR(COUNTA(AQ1421:AS1421)=0,AND(COUNTA(AQ1421:AS1421)=3,ISNUMBER(AS1421))),0,1)+IF(OR(COUNTA(AT1421:AV1421)=0,AND(COUNTA(AT1421:AV1421)=3,ISNUMBER(AV1421))),0,1)+IF(OR(COUNTA(AW1421:AY1421)=0,AND(COUNTA(AW1421:AY1421)=3,ISNUMBER(AY1421))),0,1)+IF(OR(COUNTA(AZ1421:BB1421)=0,AND(COUNTA(AZ1421:BB1421)=3,ISNUMBER(BB1421))),0,1))&gt;0,"; An invoice is incomplete (needs No, Date and a number in Ex GST)","")&amp;IF((IF(T1421="",0,IFERROR(--(EOMONTH(T1421,0)&lt;&gt;S$5),1))+IF(W1421="",0,IFERROR(--(EOMONTH(W1421,0)&lt;&gt;V$5),1))+IF(Z1421="",0,IFERROR(--(EOMONTH(Z1421,0)&lt;&gt;Y$5),1))+IF(AC1421="",0,IFERROR(--(EOMONTH(AC1421,0)&lt;&gt;AB$5),1))+IF(AF1421="",0,IFERROR(--(EOMONTH(AF1421,0)&lt;&gt;AE$5),1))+IF(AI1421="",0,IFERROR(--(EOMONTH(AI1421,0)&lt;&gt;AH$5),1))+IF(AL1421="",0,IFERROR(--(EOMONTH(AL1421,0)&lt;&gt;AK$5),1))+IF(AO1421="",0,IFERROR(--(EOMONTH(AO1421,0)&lt;&gt;AN$5),1))+IF(AR1421="",0,IFERROR(--(EOMONTH(AR1421,0)&lt;&gt;AQ$5),1))+IF(AU1421="",0,IFERROR(--(EOMONTH(AU1421,0)&lt;&gt;AT$5),1))+IF(AX1421="",0,IFERROR(--(EOMONTH(AX1421,0)&lt;&gt;AW$5),1))+IF(BA1421="",0,IFERROR(--(EOMONTH(BA1421,0)&lt;&gt;AZ$5),1)))&gt;0,"; An invoice date is not in the month it is typed under",""),3,500))</f>
        <v/>
      </c>
      <c r="S1421" s="12" t="n"/>
      <c r="T1421" s="13" t="n"/>
      <c r="U1421" s="14" t="n"/>
      <c r="V1421" s="12" t="n"/>
      <c r="W1421" s="13" t="n"/>
      <c r="X1421" s="14" t="n"/>
      <c r="Y1421" s="12" t="n"/>
      <c r="Z1421" s="13" t="n"/>
      <c r="AA1421" s="14" t="n"/>
      <c r="AB1421" s="12" t="n"/>
      <c r="AC1421" s="13" t="n"/>
      <c r="AD1421" s="14" t="n"/>
      <c r="AE1421" s="12" t="n"/>
      <c r="AF1421" s="13" t="n"/>
      <c r="AG1421" s="14" t="n"/>
      <c r="AH1421" s="12" t="n"/>
      <c r="AI1421" s="13" t="n"/>
      <c r="AJ1421" s="14" t="n"/>
      <c r="AK1421" s="12" t="n"/>
      <c r="AL1421" s="13" t="n"/>
      <c r="AM1421" s="14" t="n"/>
      <c r="AN1421" s="12" t="n"/>
      <c r="AO1421" s="13" t="n"/>
      <c r="AP1421" s="14" t="n"/>
      <c r="AQ1421" s="12" t="n"/>
      <c r="AR1421" s="13" t="n"/>
      <c r="AS1421" s="14" t="n"/>
      <c r="AT1421" s="12" t="n"/>
      <c r="AU1421" s="13" t="n"/>
      <c r="AV1421" s="14" t="n"/>
      <c r="AW1421" s="12" t="n"/>
      <c r="AX1421" s="13" t="n"/>
      <c r="AY1421" s="14" t="n"/>
      <c r="AZ1421" s="12" t="n"/>
      <c r="BA1421" s="13" t="n"/>
      <c r="BB1421" s="14" t="n"/>
      <c r="BC1421" s="11">
        <f>IF(O1421="","",IF(J1421="GST 10%",ROUND(O1421*set_GSTRate,2),0))</f>
        <v/>
      </c>
      <c r="BD1421" s="11">
        <f>IF(O1421="","",O1421+BC1421)</f>
        <v/>
      </c>
      <c r="BE1421" s="15">
        <f>IF(O1421="","",COUNTA(S1421,V1421,Y1421,AB1421,AE1421,AH1421,AK1421,AN1421,AQ1421,AT1421,AW1421,AZ1421))</f>
        <v/>
      </c>
      <c r="BF1421" s="16">
        <f>IF(COUNT(T1421,W1421,Z1421,AC1421,AF1421,AI1421,AL1421,AO1421,AR1421,AU1421,AX1421,BA1421)=0,"",MAX(T1421,W1421,Z1421,AC1421,AF1421,AI1421,AL1421,AO1421,AR1421,AU1421,AX1421,BA1421))</f>
        <v/>
      </c>
      <c r="BG1421" s="10">
        <f>MID(IF(S1421="","",", "&amp;S1421)&amp;IF(V1421="","",", "&amp;V1421)&amp;IF(Y1421="","",", "&amp;Y1421)&amp;IF(AB1421="","",", "&amp;AB1421)&amp;IF(AE1421="","",", "&amp;AE1421)&amp;IF(AH1421="","",", "&amp;AH1421)&amp;IF(AK1421="","",", "&amp;AK1421)&amp;IF(AN1421="","",", "&amp;AN1421)&amp;IF(AQ1421="","",", "&amp;AQ1421)&amp;IF(AT1421="","",", "&amp;AT1421)&amp;IF(AW1421="","",", "&amp;AW1421)&amp;IF(AZ1421="","",", "&amp;AZ1421),3,500)</f>
        <v/>
      </c>
      <c r="BH1421" s="12" t="n"/>
      <c r="BI1421" s="15">
        <f>IFERROR(MATCH($A1421,IF($B1421="Onsite",tbl_Onsite[Row ID],IF($B1421="Production",tbl_Production[Row ID],tbl_Consulting[Row ID])),0),"")</f>
        <v/>
      </c>
    </row>
    <row r="1422">
      <c r="A1422" s="10" t="inlineStr">
        <is>
          <t>CON-0416</t>
        </is>
      </c>
      <c r="B1422" s="10" t="inlineStr">
        <is>
          <t>Consulting</t>
        </is>
      </c>
      <c r="C1422" s="10">
        <f>IF($BI1422="","",IF($B1422="Onsite",INDEX(tbl_Onsite[Job Number],$BI1422),IF($B1422="Production",INDEX(tbl_Production[Job Number],$BI1422),INDEX(tbl_Consulting[Job Number],$BI1422)))&amp;"")</f>
        <v/>
      </c>
      <c r="D1422" s="10">
        <f>IF($BI1422="","",IF($B1422="Onsite",INDEX(tbl_Onsite[Client],$BI1422),IF($B1422="Production",INDEX(tbl_Production[Client],$BI1422),INDEX(tbl_Consulting[Client],$BI1422)))&amp;"")</f>
        <v/>
      </c>
      <c r="E1422" s="10">
        <f>IF($C1422="","",IF(COUNTIF(lst_Jobs,$C1422)&gt;0,"OK","CHECK"))</f>
        <v/>
      </c>
      <c r="F1422" s="10">
        <f>IF($C1422="","",IFERROR(INDEX(lst_JobName,MATCH($C1422,lst_Jobs,0)),""))</f>
        <v/>
      </c>
      <c r="G1422" s="10">
        <f>IF($BI1422="","",IF($B1422="Onsite",INDEX(tbl_Onsite[Job Description],$BI1422),IF($B1422="Production",INDEX(tbl_Production[Job Description],$BI1422),INDEX(tbl_Consulting[Job Description],$BI1422)))&amp;"")</f>
        <v/>
      </c>
      <c r="H1422" s="10">
        <f>IF($BI1422="","",IF($B1422="Onsite",INDEX(tbl_Onsite[Cost Centre],$BI1422),IF($B1422="Production",INDEX(tbl_Production[Cost Centre],$BI1422),INDEX(tbl_Consulting[Cost Centre],$BI1422)))&amp;"")</f>
        <v/>
      </c>
      <c r="I1422" s="10">
        <f>IF($BI1422="","",IF($B1422="Onsite",INDEX(tbl_Onsite[Invoice Type],$BI1422),IF($B1422="Production",INDEX(tbl_Production[Invoice Type],$BI1422),INDEX(tbl_Consulting[Invoice Type],$BI1422)))&amp;"")</f>
        <v/>
      </c>
      <c r="J1422" s="10">
        <f>IF($BI1422="","",IF($B1422="Onsite",INDEX(tbl_Onsite[Tax Code],$BI1422),IF($B1422="Production",INDEX(tbl_Production[Tax Code],$BI1422),INDEX(tbl_Consulting[Tax Code],$BI1422)))&amp;"")</f>
        <v/>
      </c>
      <c r="K1422" s="10">
        <f>IF(H1422="","",IFERROR(INDEX(lst_CCtoGL,MATCH(H1422,lst_CCforGL,0)),""))</f>
        <v/>
      </c>
      <c r="L1422" s="10">
        <f>IF($BI1422="","",IF($B1422="Onsite",INDEX(tbl_Onsite[PO / Reference],$BI1422),IF($B1422="Production",INDEX(tbl_Production[Current RMS No],$BI1422),INDEX(tbl_Consulting[Qwilr Quote],$BI1422)))&amp;"")</f>
        <v/>
      </c>
      <c r="M1422" s="10">
        <f>IF($BI1422="","",IF($B1422="Onsite",INDEX(tbl_Onsite[Notes],$BI1422),IF($B1422="Production",INDEX(tbl_Production[Notes],$BI1422),INDEX(tbl_Consulting[Notes],$BI1422)))&amp;"")</f>
        <v/>
      </c>
      <c r="N1422" s="11">
        <f>IF($BI1422="","",IF(IF($B1422="Onsite",INDEX(tbl_Onsite[Expected Revenue Ex GST],$BI1422),IF($B1422="Production",INDEX(tbl_Production[Expected Revenue Ex GST],$BI1422),INDEX(tbl_Consulting[Expected Revenue Ex GST],$BI1422)))="","",IF($B1422="Onsite",INDEX(tbl_Onsite[Expected Revenue Ex GST],$BI1422),IF($B1422="Production",INDEX(tbl_Production[Expected Revenue Ex GST],$BI1422),INDEX(tbl_Consulting[Expected Revenue Ex GST],$BI1422)))))</f>
        <v/>
      </c>
      <c r="O1422" s="11">
        <f>IF(AND($C1422="",NOT(COUNTA($S1422:$BB1422)&gt;0)),"",SUM(U1422,X1422,AA1422,AD1422,AG1422,AJ1422,AM1422,AP1422,AS1422,AV1422,AY1422,BB1422))</f>
        <v/>
      </c>
      <c r="P1422" s="11">
        <f>IF(O1422="","",N(N1422)-O1422)</f>
        <v/>
      </c>
      <c r="Q1422" s="10">
        <f>IF(O1422="","",IF($C1422="","Invoice on empty job row",IF(N1422="",IF(ROUND(O1422,2)=0,"No dept value","Invoiced - no dept value"),IF(ROUND(O1422,2)=0,"Not invoiced - to invoice",IF(ROUND(P1422,2)=0,"Agrees",IF(P1422&gt;0,"Dept higher - to invoice","Xero higher - check dept"))))))</f>
        <v/>
      </c>
      <c r="R1422" s="10">
        <f>IF(AND($C1422="",NOT(COUNTA($S1422:$BB1422)&gt;0),$BI1422&lt;&gt;""),"",MID(IF($BI1422="","; Row ID not found on the department sheet - a row was deleted","")&amp;IF(AND($C1422="",COUNTA($S1422:$BB1422)&gt;0),"; Invoice entered but the department row has no job number","")&amp;IF(E1422="CHECK","; Job number not in the Xero job list","")&amp;IF(AND($C1422&lt;&gt;"",COUNTIF($C$7:$C$1506,$C1422)&gt;1),"; Job number on more than one row","")&amp;IF(AND($C1422&lt;&gt;"",H1422=""),"; Dept has not set a cost centre","")&amp;IF(AND($C1422&lt;&gt;"",J1422=""),"; Dept has not set a tax code","")&amp;IF(AND($C1422&lt;&gt;"",N1422=""),"; Dept has not entered an expected value","")&amp;IF((IF(OR(COUNTA(S1422:U1422)=0,AND(COUNTA(S1422:U1422)=3,ISNUMBER(U1422))),0,1)+IF(OR(COUNTA(V1422:X1422)=0,AND(COUNTA(V1422:X1422)=3,ISNUMBER(X1422))),0,1)+IF(OR(COUNTA(Y1422:AA1422)=0,AND(COUNTA(Y1422:AA1422)=3,ISNUMBER(AA1422))),0,1)+IF(OR(COUNTA(AB1422:AD1422)=0,AND(COUNTA(AB1422:AD1422)=3,ISNUMBER(AD1422))),0,1)+IF(OR(COUNTA(AE1422:AG1422)=0,AND(COUNTA(AE1422:AG1422)=3,ISNUMBER(AG1422))),0,1)+IF(OR(COUNTA(AH1422:AJ1422)=0,AND(COUNTA(AH1422:AJ1422)=3,ISNUMBER(AJ1422))),0,1)+IF(OR(COUNTA(AK1422:AM1422)=0,AND(COUNTA(AK1422:AM1422)=3,ISNUMBER(AM1422))),0,1)+IF(OR(COUNTA(AN1422:AP1422)=0,AND(COUNTA(AN1422:AP1422)=3,ISNUMBER(AP1422))),0,1)+IF(OR(COUNTA(AQ1422:AS1422)=0,AND(COUNTA(AQ1422:AS1422)=3,ISNUMBER(AS1422))),0,1)+IF(OR(COUNTA(AT1422:AV1422)=0,AND(COUNTA(AT1422:AV1422)=3,ISNUMBER(AV1422))),0,1)+IF(OR(COUNTA(AW1422:AY1422)=0,AND(COUNTA(AW1422:AY1422)=3,ISNUMBER(AY1422))),0,1)+IF(OR(COUNTA(AZ1422:BB1422)=0,AND(COUNTA(AZ1422:BB1422)=3,ISNUMBER(BB1422))),0,1))&gt;0,"; An invoice is incomplete (needs No, Date and a number in Ex GST)","")&amp;IF((IF(T1422="",0,IFERROR(--(EOMONTH(T1422,0)&lt;&gt;S$5),1))+IF(W1422="",0,IFERROR(--(EOMONTH(W1422,0)&lt;&gt;V$5),1))+IF(Z1422="",0,IFERROR(--(EOMONTH(Z1422,0)&lt;&gt;Y$5),1))+IF(AC1422="",0,IFERROR(--(EOMONTH(AC1422,0)&lt;&gt;AB$5),1))+IF(AF1422="",0,IFERROR(--(EOMONTH(AF1422,0)&lt;&gt;AE$5),1))+IF(AI1422="",0,IFERROR(--(EOMONTH(AI1422,0)&lt;&gt;AH$5),1))+IF(AL1422="",0,IFERROR(--(EOMONTH(AL1422,0)&lt;&gt;AK$5),1))+IF(AO1422="",0,IFERROR(--(EOMONTH(AO1422,0)&lt;&gt;AN$5),1))+IF(AR1422="",0,IFERROR(--(EOMONTH(AR1422,0)&lt;&gt;AQ$5),1))+IF(AU1422="",0,IFERROR(--(EOMONTH(AU1422,0)&lt;&gt;AT$5),1))+IF(AX1422="",0,IFERROR(--(EOMONTH(AX1422,0)&lt;&gt;AW$5),1))+IF(BA1422="",0,IFERROR(--(EOMONTH(BA1422,0)&lt;&gt;AZ$5),1)))&gt;0,"; An invoice date is not in the month it is typed under",""),3,500))</f>
        <v/>
      </c>
      <c r="S1422" s="12" t="n"/>
      <c r="T1422" s="13" t="n"/>
      <c r="U1422" s="14" t="n"/>
      <c r="V1422" s="12" t="n"/>
      <c r="W1422" s="13" t="n"/>
      <c r="X1422" s="14" t="n"/>
      <c r="Y1422" s="12" t="n"/>
      <c r="Z1422" s="13" t="n"/>
      <c r="AA1422" s="14" t="n"/>
      <c r="AB1422" s="12" t="n"/>
      <c r="AC1422" s="13" t="n"/>
      <c r="AD1422" s="14" t="n"/>
      <c r="AE1422" s="12" t="n"/>
      <c r="AF1422" s="13" t="n"/>
      <c r="AG1422" s="14" t="n"/>
      <c r="AH1422" s="12" t="n"/>
      <c r="AI1422" s="13" t="n"/>
      <c r="AJ1422" s="14" t="n"/>
      <c r="AK1422" s="12" t="n"/>
      <c r="AL1422" s="13" t="n"/>
      <c r="AM1422" s="14" t="n"/>
      <c r="AN1422" s="12" t="n"/>
      <c r="AO1422" s="13" t="n"/>
      <c r="AP1422" s="14" t="n"/>
      <c r="AQ1422" s="12" t="n"/>
      <c r="AR1422" s="13" t="n"/>
      <c r="AS1422" s="14" t="n"/>
      <c r="AT1422" s="12" t="n"/>
      <c r="AU1422" s="13" t="n"/>
      <c r="AV1422" s="14" t="n"/>
      <c r="AW1422" s="12" t="n"/>
      <c r="AX1422" s="13" t="n"/>
      <c r="AY1422" s="14" t="n"/>
      <c r="AZ1422" s="12" t="n"/>
      <c r="BA1422" s="13" t="n"/>
      <c r="BB1422" s="14" t="n"/>
      <c r="BC1422" s="11">
        <f>IF(O1422="","",IF(J1422="GST 10%",ROUND(O1422*set_GSTRate,2),0))</f>
        <v/>
      </c>
      <c r="BD1422" s="11">
        <f>IF(O1422="","",O1422+BC1422)</f>
        <v/>
      </c>
      <c r="BE1422" s="15">
        <f>IF(O1422="","",COUNTA(S1422,V1422,Y1422,AB1422,AE1422,AH1422,AK1422,AN1422,AQ1422,AT1422,AW1422,AZ1422))</f>
        <v/>
      </c>
      <c r="BF1422" s="16">
        <f>IF(COUNT(T1422,W1422,Z1422,AC1422,AF1422,AI1422,AL1422,AO1422,AR1422,AU1422,AX1422,BA1422)=0,"",MAX(T1422,W1422,Z1422,AC1422,AF1422,AI1422,AL1422,AO1422,AR1422,AU1422,AX1422,BA1422))</f>
        <v/>
      </c>
      <c r="BG1422" s="10">
        <f>MID(IF(S1422="","",", "&amp;S1422)&amp;IF(V1422="","",", "&amp;V1422)&amp;IF(Y1422="","",", "&amp;Y1422)&amp;IF(AB1422="","",", "&amp;AB1422)&amp;IF(AE1422="","",", "&amp;AE1422)&amp;IF(AH1422="","",", "&amp;AH1422)&amp;IF(AK1422="","",", "&amp;AK1422)&amp;IF(AN1422="","",", "&amp;AN1422)&amp;IF(AQ1422="","",", "&amp;AQ1422)&amp;IF(AT1422="","",", "&amp;AT1422)&amp;IF(AW1422="","",", "&amp;AW1422)&amp;IF(AZ1422="","",", "&amp;AZ1422),3,500)</f>
        <v/>
      </c>
      <c r="BH1422" s="12" t="n"/>
      <c r="BI1422" s="15">
        <f>IFERROR(MATCH($A1422,IF($B1422="Onsite",tbl_Onsite[Row ID],IF($B1422="Production",tbl_Production[Row ID],tbl_Consulting[Row ID])),0),"")</f>
        <v/>
      </c>
    </row>
    <row r="1423">
      <c r="A1423" s="10" t="inlineStr">
        <is>
          <t>CON-0417</t>
        </is>
      </c>
      <c r="B1423" s="10" t="inlineStr">
        <is>
          <t>Consulting</t>
        </is>
      </c>
      <c r="C1423" s="10">
        <f>IF($BI1423="","",IF($B1423="Onsite",INDEX(tbl_Onsite[Job Number],$BI1423),IF($B1423="Production",INDEX(tbl_Production[Job Number],$BI1423),INDEX(tbl_Consulting[Job Number],$BI1423)))&amp;"")</f>
        <v/>
      </c>
      <c r="D1423" s="10">
        <f>IF($BI1423="","",IF($B1423="Onsite",INDEX(tbl_Onsite[Client],$BI1423),IF($B1423="Production",INDEX(tbl_Production[Client],$BI1423),INDEX(tbl_Consulting[Client],$BI1423)))&amp;"")</f>
        <v/>
      </c>
      <c r="E1423" s="10">
        <f>IF($C1423="","",IF(COUNTIF(lst_Jobs,$C1423)&gt;0,"OK","CHECK"))</f>
        <v/>
      </c>
      <c r="F1423" s="10">
        <f>IF($C1423="","",IFERROR(INDEX(lst_JobName,MATCH($C1423,lst_Jobs,0)),""))</f>
        <v/>
      </c>
      <c r="G1423" s="10">
        <f>IF($BI1423="","",IF($B1423="Onsite",INDEX(tbl_Onsite[Job Description],$BI1423),IF($B1423="Production",INDEX(tbl_Production[Job Description],$BI1423),INDEX(tbl_Consulting[Job Description],$BI1423)))&amp;"")</f>
        <v/>
      </c>
      <c r="H1423" s="10">
        <f>IF($BI1423="","",IF($B1423="Onsite",INDEX(tbl_Onsite[Cost Centre],$BI1423),IF($B1423="Production",INDEX(tbl_Production[Cost Centre],$BI1423),INDEX(tbl_Consulting[Cost Centre],$BI1423)))&amp;"")</f>
        <v/>
      </c>
      <c r="I1423" s="10">
        <f>IF($BI1423="","",IF($B1423="Onsite",INDEX(tbl_Onsite[Invoice Type],$BI1423),IF($B1423="Production",INDEX(tbl_Production[Invoice Type],$BI1423),INDEX(tbl_Consulting[Invoice Type],$BI1423)))&amp;"")</f>
        <v/>
      </c>
      <c r="J1423" s="10">
        <f>IF($BI1423="","",IF($B1423="Onsite",INDEX(tbl_Onsite[Tax Code],$BI1423),IF($B1423="Production",INDEX(tbl_Production[Tax Code],$BI1423),INDEX(tbl_Consulting[Tax Code],$BI1423)))&amp;"")</f>
        <v/>
      </c>
      <c r="K1423" s="10">
        <f>IF(H1423="","",IFERROR(INDEX(lst_CCtoGL,MATCH(H1423,lst_CCforGL,0)),""))</f>
        <v/>
      </c>
      <c r="L1423" s="10">
        <f>IF($BI1423="","",IF($B1423="Onsite",INDEX(tbl_Onsite[PO / Reference],$BI1423),IF($B1423="Production",INDEX(tbl_Production[Current RMS No],$BI1423),INDEX(tbl_Consulting[Qwilr Quote],$BI1423)))&amp;"")</f>
        <v/>
      </c>
      <c r="M1423" s="10">
        <f>IF($BI1423="","",IF($B1423="Onsite",INDEX(tbl_Onsite[Notes],$BI1423),IF($B1423="Production",INDEX(tbl_Production[Notes],$BI1423),INDEX(tbl_Consulting[Notes],$BI1423)))&amp;"")</f>
        <v/>
      </c>
      <c r="N1423" s="11">
        <f>IF($BI1423="","",IF(IF($B1423="Onsite",INDEX(tbl_Onsite[Expected Revenue Ex GST],$BI1423),IF($B1423="Production",INDEX(tbl_Production[Expected Revenue Ex GST],$BI1423),INDEX(tbl_Consulting[Expected Revenue Ex GST],$BI1423)))="","",IF($B1423="Onsite",INDEX(tbl_Onsite[Expected Revenue Ex GST],$BI1423),IF($B1423="Production",INDEX(tbl_Production[Expected Revenue Ex GST],$BI1423),INDEX(tbl_Consulting[Expected Revenue Ex GST],$BI1423)))))</f>
        <v/>
      </c>
      <c r="O1423" s="11">
        <f>IF(AND($C1423="",NOT(COUNTA($S1423:$BB1423)&gt;0)),"",SUM(U1423,X1423,AA1423,AD1423,AG1423,AJ1423,AM1423,AP1423,AS1423,AV1423,AY1423,BB1423))</f>
        <v/>
      </c>
      <c r="P1423" s="11">
        <f>IF(O1423="","",N(N1423)-O1423)</f>
        <v/>
      </c>
      <c r="Q1423" s="10">
        <f>IF(O1423="","",IF($C1423="","Invoice on empty job row",IF(N1423="",IF(ROUND(O1423,2)=0,"No dept value","Invoiced - no dept value"),IF(ROUND(O1423,2)=0,"Not invoiced - to invoice",IF(ROUND(P1423,2)=0,"Agrees",IF(P1423&gt;0,"Dept higher - to invoice","Xero higher - check dept"))))))</f>
        <v/>
      </c>
      <c r="R1423" s="10">
        <f>IF(AND($C1423="",NOT(COUNTA($S1423:$BB1423)&gt;0),$BI1423&lt;&gt;""),"",MID(IF($BI1423="","; Row ID not found on the department sheet - a row was deleted","")&amp;IF(AND($C1423="",COUNTA($S1423:$BB1423)&gt;0),"; Invoice entered but the department row has no job number","")&amp;IF(E1423="CHECK","; Job number not in the Xero job list","")&amp;IF(AND($C1423&lt;&gt;"",COUNTIF($C$7:$C$1506,$C1423)&gt;1),"; Job number on more than one row","")&amp;IF(AND($C1423&lt;&gt;"",H1423=""),"; Dept has not set a cost centre","")&amp;IF(AND($C1423&lt;&gt;"",J1423=""),"; Dept has not set a tax code","")&amp;IF(AND($C1423&lt;&gt;"",N1423=""),"; Dept has not entered an expected value","")&amp;IF((IF(OR(COUNTA(S1423:U1423)=0,AND(COUNTA(S1423:U1423)=3,ISNUMBER(U1423))),0,1)+IF(OR(COUNTA(V1423:X1423)=0,AND(COUNTA(V1423:X1423)=3,ISNUMBER(X1423))),0,1)+IF(OR(COUNTA(Y1423:AA1423)=0,AND(COUNTA(Y1423:AA1423)=3,ISNUMBER(AA1423))),0,1)+IF(OR(COUNTA(AB1423:AD1423)=0,AND(COUNTA(AB1423:AD1423)=3,ISNUMBER(AD1423))),0,1)+IF(OR(COUNTA(AE1423:AG1423)=0,AND(COUNTA(AE1423:AG1423)=3,ISNUMBER(AG1423))),0,1)+IF(OR(COUNTA(AH1423:AJ1423)=0,AND(COUNTA(AH1423:AJ1423)=3,ISNUMBER(AJ1423))),0,1)+IF(OR(COUNTA(AK1423:AM1423)=0,AND(COUNTA(AK1423:AM1423)=3,ISNUMBER(AM1423))),0,1)+IF(OR(COUNTA(AN1423:AP1423)=0,AND(COUNTA(AN1423:AP1423)=3,ISNUMBER(AP1423))),0,1)+IF(OR(COUNTA(AQ1423:AS1423)=0,AND(COUNTA(AQ1423:AS1423)=3,ISNUMBER(AS1423))),0,1)+IF(OR(COUNTA(AT1423:AV1423)=0,AND(COUNTA(AT1423:AV1423)=3,ISNUMBER(AV1423))),0,1)+IF(OR(COUNTA(AW1423:AY1423)=0,AND(COUNTA(AW1423:AY1423)=3,ISNUMBER(AY1423))),0,1)+IF(OR(COUNTA(AZ1423:BB1423)=0,AND(COUNTA(AZ1423:BB1423)=3,ISNUMBER(BB1423))),0,1))&gt;0,"; An invoice is incomplete (needs No, Date and a number in Ex GST)","")&amp;IF((IF(T1423="",0,IFERROR(--(EOMONTH(T1423,0)&lt;&gt;S$5),1))+IF(W1423="",0,IFERROR(--(EOMONTH(W1423,0)&lt;&gt;V$5),1))+IF(Z1423="",0,IFERROR(--(EOMONTH(Z1423,0)&lt;&gt;Y$5),1))+IF(AC1423="",0,IFERROR(--(EOMONTH(AC1423,0)&lt;&gt;AB$5),1))+IF(AF1423="",0,IFERROR(--(EOMONTH(AF1423,0)&lt;&gt;AE$5),1))+IF(AI1423="",0,IFERROR(--(EOMONTH(AI1423,0)&lt;&gt;AH$5),1))+IF(AL1423="",0,IFERROR(--(EOMONTH(AL1423,0)&lt;&gt;AK$5),1))+IF(AO1423="",0,IFERROR(--(EOMONTH(AO1423,0)&lt;&gt;AN$5),1))+IF(AR1423="",0,IFERROR(--(EOMONTH(AR1423,0)&lt;&gt;AQ$5),1))+IF(AU1423="",0,IFERROR(--(EOMONTH(AU1423,0)&lt;&gt;AT$5),1))+IF(AX1423="",0,IFERROR(--(EOMONTH(AX1423,0)&lt;&gt;AW$5),1))+IF(BA1423="",0,IFERROR(--(EOMONTH(BA1423,0)&lt;&gt;AZ$5),1)))&gt;0,"; An invoice date is not in the month it is typed under",""),3,500))</f>
        <v/>
      </c>
      <c r="S1423" s="12" t="n"/>
      <c r="T1423" s="13" t="n"/>
      <c r="U1423" s="14" t="n"/>
      <c r="V1423" s="12" t="n"/>
      <c r="W1423" s="13" t="n"/>
      <c r="X1423" s="14" t="n"/>
      <c r="Y1423" s="12" t="n"/>
      <c r="Z1423" s="13" t="n"/>
      <c r="AA1423" s="14" t="n"/>
      <c r="AB1423" s="12" t="n"/>
      <c r="AC1423" s="13" t="n"/>
      <c r="AD1423" s="14" t="n"/>
      <c r="AE1423" s="12" t="n"/>
      <c r="AF1423" s="13" t="n"/>
      <c r="AG1423" s="14" t="n"/>
      <c r="AH1423" s="12" t="n"/>
      <c r="AI1423" s="13" t="n"/>
      <c r="AJ1423" s="14" t="n"/>
      <c r="AK1423" s="12" t="n"/>
      <c r="AL1423" s="13" t="n"/>
      <c r="AM1423" s="14" t="n"/>
      <c r="AN1423" s="12" t="n"/>
      <c r="AO1423" s="13" t="n"/>
      <c r="AP1423" s="14" t="n"/>
      <c r="AQ1423" s="12" t="n"/>
      <c r="AR1423" s="13" t="n"/>
      <c r="AS1423" s="14" t="n"/>
      <c r="AT1423" s="12" t="n"/>
      <c r="AU1423" s="13" t="n"/>
      <c r="AV1423" s="14" t="n"/>
      <c r="AW1423" s="12" t="n"/>
      <c r="AX1423" s="13" t="n"/>
      <c r="AY1423" s="14" t="n"/>
      <c r="AZ1423" s="12" t="n"/>
      <c r="BA1423" s="13" t="n"/>
      <c r="BB1423" s="14" t="n"/>
      <c r="BC1423" s="11">
        <f>IF(O1423="","",IF(J1423="GST 10%",ROUND(O1423*set_GSTRate,2),0))</f>
        <v/>
      </c>
      <c r="BD1423" s="11">
        <f>IF(O1423="","",O1423+BC1423)</f>
        <v/>
      </c>
      <c r="BE1423" s="15">
        <f>IF(O1423="","",COUNTA(S1423,V1423,Y1423,AB1423,AE1423,AH1423,AK1423,AN1423,AQ1423,AT1423,AW1423,AZ1423))</f>
        <v/>
      </c>
      <c r="BF1423" s="16">
        <f>IF(COUNT(T1423,W1423,Z1423,AC1423,AF1423,AI1423,AL1423,AO1423,AR1423,AU1423,AX1423,BA1423)=0,"",MAX(T1423,W1423,Z1423,AC1423,AF1423,AI1423,AL1423,AO1423,AR1423,AU1423,AX1423,BA1423))</f>
        <v/>
      </c>
      <c r="BG1423" s="10">
        <f>MID(IF(S1423="","",", "&amp;S1423)&amp;IF(V1423="","",", "&amp;V1423)&amp;IF(Y1423="","",", "&amp;Y1423)&amp;IF(AB1423="","",", "&amp;AB1423)&amp;IF(AE1423="","",", "&amp;AE1423)&amp;IF(AH1423="","",", "&amp;AH1423)&amp;IF(AK1423="","",", "&amp;AK1423)&amp;IF(AN1423="","",", "&amp;AN1423)&amp;IF(AQ1423="","",", "&amp;AQ1423)&amp;IF(AT1423="","",", "&amp;AT1423)&amp;IF(AW1423="","",", "&amp;AW1423)&amp;IF(AZ1423="","",", "&amp;AZ1423),3,500)</f>
        <v/>
      </c>
      <c r="BH1423" s="12" t="n"/>
      <c r="BI1423" s="15">
        <f>IFERROR(MATCH($A1423,IF($B1423="Onsite",tbl_Onsite[Row ID],IF($B1423="Production",tbl_Production[Row ID],tbl_Consulting[Row ID])),0),"")</f>
        <v/>
      </c>
    </row>
    <row r="1424">
      <c r="A1424" s="10" t="inlineStr">
        <is>
          <t>CON-0418</t>
        </is>
      </c>
      <c r="B1424" s="10" t="inlineStr">
        <is>
          <t>Consulting</t>
        </is>
      </c>
      <c r="C1424" s="10">
        <f>IF($BI1424="","",IF($B1424="Onsite",INDEX(tbl_Onsite[Job Number],$BI1424),IF($B1424="Production",INDEX(tbl_Production[Job Number],$BI1424),INDEX(tbl_Consulting[Job Number],$BI1424)))&amp;"")</f>
        <v/>
      </c>
      <c r="D1424" s="10">
        <f>IF($BI1424="","",IF($B1424="Onsite",INDEX(tbl_Onsite[Client],$BI1424),IF($B1424="Production",INDEX(tbl_Production[Client],$BI1424),INDEX(tbl_Consulting[Client],$BI1424)))&amp;"")</f>
        <v/>
      </c>
      <c r="E1424" s="10">
        <f>IF($C1424="","",IF(COUNTIF(lst_Jobs,$C1424)&gt;0,"OK","CHECK"))</f>
        <v/>
      </c>
      <c r="F1424" s="10">
        <f>IF($C1424="","",IFERROR(INDEX(lst_JobName,MATCH($C1424,lst_Jobs,0)),""))</f>
        <v/>
      </c>
      <c r="G1424" s="10">
        <f>IF($BI1424="","",IF($B1424="Onsite",INDEX(tbl_Onsite[Job Description],$BI1424),IF($B1424="Production",INDEX(tbl_Production[Job Description],$BI1424),INDEX(tbl_Consulting[Job Description],$BI1424)))&amp;"")</f>
        <v/>
      </c>
      <c r="H1424" s="10">
        <f>IF($BI1424="","",IF($B1424="Onsite",INDEX(tbl_Onsite[Cost Centre],$BI1424),IF($B1424="Production",INDEX(tbl_Production[Cost Centre],$BI1424),INDEX(tbl_Consulting[Cost Centre],$BI1424)))&amp;"")</f>
        <v/>
      </c>
      <c r="I1424" s="10">
        <f>IF($BI1424="","",IF($B1424="Onsite",INDEX(tbl_Onsite[Invoice Type],$BI1424),IF($B1424="Production",INDEX(tbl_Production[Invoice Type],$BI1424),INDEX(tbl_Consulting[Invoice Type],$BI1424)))&amp;"")</f>
        <v/>
      </c>
      <c r="J1424" s="10">
        <f>IF($BI1424="","",IF($B1424="Onsite",INDEX(tbl_Onsite[Tax Code],$BI1424),IF($B1424="Production",INDEX(tbl_Production[Tax Code],$BI1424),INDEX(tbl_Consulting[Tax Code],$BI1424)))&amp;"")</f>
        <v/>
      </c>
      <c r="K1424" s="10">
        <f>IF(H1424="","",IFERROR(INDEX(lst_CCtoGL,MATCH(H1424,lst_CCforGL,0)),""))</f>
        <v/>
      </c>
      <c r="L1424" s="10">
        <f>IF($BI1424="","",IF($B1424="Onsite",INDEX(tbl_Onsite[PO / Reference],$BI1424),IF($B1424="Production",INDEX(tbl_Production[Current RMS No],$BI1424),INDEX(tbl_Consulting[Qwilr Quote],$BI1424)))&amp;"")</f>
        <v/>
      </c>
      <c r="M1424" s="10">
        <f>IF($BI1424="","",IF($B1424="Onsite",INDEX(tbl_Onsite[Notes],$BI1424),IF($B1424="Production",INDEX(tbl_Production[Notes],$BI1424),INDEX(tbl_Consulting[Notes],$BI1424)))&amp;"")</f>
        <v/>
      </c>
      <c r="N1424" s="11">
        <f>IF($BI1424="","",IF(IF($B1424="Onsite",INDEX(tbl_Onsite[Expected Revenue Ex GST],$BI1424),IF($B1424="Production",INDEX(tbl_Production[Expected Revenue Ex GST],$BI1424),INDEX(tbl_Consulting[Expected Revenue Ex GST],$BI1424)))="","",IF($B1424="Onsite",INDEX(tbl_Onsite[Expected Revenue Ex GST],$BI1424),IF($B1424="Production",INDEX(tbl_Production[Expected Revenue Ex GST],$BI1424),INDEX(tbl_Consulting[Expected Revenue Ex GST],$BI1424)))))</f>
        <v/>
      </c>
      <c r="O1424" s="11">
        <f>IF(AND($C1424="",NOT(COUNTA($S1424:$BB1424)&gt;0)),"",SUM(U1424,X1424,AA1424,AD1424,AG1424,AJ1424,AM1424,AP1424,AS1424,AV1424,AY1424,BB1424))</f>
        <v/>
      </c>
      <c r="P1424" s="11">
        <f>IF(O1424="","",N(N1424)-O1424)</f>
        <v/>
      </c>
      <c r="Q1424" s="10">
        <f>IF(O1424="","",IF($C1424="","Invoice on empty job row",IF(N1424="",IF(ROUND(O1424,2)=0,"No dept value","Invoiced - no dept value"),IF(ROUND(O1424,2)=0,"Not invoiced - to invoice",IF(ROUND(P1424,2)=0,"Agrees",IF(P1424&gt;0,"Dept higher - to invoice","Xero higher - check dept"))))))</f>
        <v/>
      </c>
      <c r="R1424" s="10">
        <f>IF(AND($C1424="",NOT(COUNTA($S1424:$BB1424)&gt;0),$BI1424&lt;&gt;""),"",MID(IF($BI1424="","; Row ID not found on the department sheet - a row was deleted","")&amp;IF(AND($C1424="",COUNTA($S1424:$BB1424)&gt;0),"; Invoice entered but the department row has no job number","")&amp;IF(E1424="CHECK","; Job number not in the Xero job list","")&amp;IF(AND($C1424&lt;&gt;"",COUNTIF($C$7:$C$1506,$C1424)&gt;1),"; Job number on more than one row","")&amp;IF(AND($C1424&lt;&gt;"",H1424=""),"; Dept has not set a cost centre","")&amp;IF(AND($C1424&lt;&gt;"",J1424=""),"; Dept has not set a tax code","")&amp;IF(AND($C1424&lt;&gt;"",N1424=""),"; Dept has not entered an expected value","")&amp;IF((IF(OR(COUNTA(S1424:U1424)=0,AND(COUNTA(S1424:U1424)=3,ISNUMBER(U1424))),0,1)+IF(OR(COUNTA(V1424:X1424)=0,AND(COUNTA(V1424:X1424)=3,ISNUMBER(X1424))),0,1)+IF(OR(COUNTA(Y1424:AA1424)=0,AND(COUNTA(Y1424:AA1424)=3,ISNUMBER(AA1424))),0,1)+IF(OR(COUNTA(AB1424:AD1424)=0,AND(COUNTA(AB1424:AD1424)=3,ISNUMBER(AD1424))),0,1)+IF(OR(COUNTA(AE1424:AG1424)=0,AND(COUNTA(AE1424:AG1424)=3,ISNUMBER(AG1424))),0,1)+IF(OR(COUNTA(AH1424:AJ1424)=0,AND(COUNTA(AH1424:AJ1424)=3,ISNUMBER(AJ1424))),0,1)+IF(OR(COUNTA(AK1424:AM1424)=0,AND(COUNTA(AK1424:AM1424)=3,ISNUMBER(AM1424))),0,1)+IF(OR(COUNTA(AN1424:AP1424)=0,AND(COUNTA(AN1424:AP1424)=3,ISNUMBER(AP1424))),0,1)+IF(OR(COUNTA(AQ1424:AS1424)=0,AND(COUNTA(AQ1424:AS1424)=3,ISNUMBER(AS1424))),0,1)+IF(OR(COUNTA(AT1424:AV1424)=0,AND(COUNTA(AT1424:AV1424)=3,ISNUMBER(AV1424))),0,1)+IF(OR(COUNTA(AW1424:AY1424)=0,AND(COUNTA(AW1424:AY1424)=3,ISNUMBER(AY1424))),0,1)+IF(OR(COUNTA(AZ1424:BB1424)=0,AND(COUNTA(AZ1424:BB1424)=3,ISNUMBER(BB1424))),0,1))&gt;0,"; An invoice is incomplete (needs No, Date and a number in Ex GST)","")&amp;IF((IF(T1424="",0,IFERROR(--(EOMONTH(T1424,0)&lt;&gt;S$5),1))+IF(W1424="",0,IFERROR(--(EOMONTH(W1424,0)&lt;&gt;V$5),1))+IF(Z1424="",0,IFERROR(--(EOMONTH(Z1424,0)&lt;&gt;Y$5),1))+IF(AC1424="",0,IFERROR(--(EOMONTH(AC1424,0)&lt;&gt;AB$5),1))+IF(AF1424="",0,IFERROR(--(EOMONTH(AF1424,0)&lt;&gt;AE$5),1))+IF(AI1424="",0,IFERROR(--(EOMONTH(AI1424,0)&lt;&gt;AH$5),1))+IF(AL1424="",0,IFERROR(--(EOMONTH(AL1424,0)&lt;&gt;AK$5),1))+IF(AO1424="",0,IFERROR(--(EOMONTH(AO1424,0)&lt;&gt;AN$5),1))+IF(AR1424="",0,IFERROR(--(EOMONTH(AR1424,0)&lt;&gt;AQ$5),1))+IF(AU1424="",0,IFERROR(--(EOMONTH(AU1424,0)&lt;&gt;AT$5),1))+IF(AX1424="",0,IFERROR(--(EOMONTH(AX1424,0)&lt;&gt;AW$5),1))+IF(BA1424="",0,IFERROR(--(EOMONTH(BA1424,0)&lt;&gt;AZ$5),1)))&gt;0,"; An invoice date is not in the month it is typed under",""),3,500))</f>
        <v/>
      </c>
      <c r="S1424" s="12" t="n"/>
      <c r="T1424" s="13" t="n"/>
      <c r="U1424" s="14" t="n"/>
      <c r="V1424" s="12" t="n"/>
      <c r="W1424" s="13" t="n"/>
      <c r="X1424" s="14" t="n"/>
      <c r="Y1424" s="12" t="n"/>
      <c r="Z1424" s="13" t="n"/>
      <c r="AA1424" s="14" t="n"/>
      <c r="AB1424" s="12" t="n"/>
      <c r="AC1424" s="13" t="n"/>
      <c r="AD1424" s="14" t="n"/>
      <c r="AE1424" s="12" t="n"/>
      <c r="AF1424" s="13" t="n"/>
      <c r="AG1424" s="14" t="n"/>
      <c r="AH1424" s="12" t="n"/>
      <c r="AI1424" s="13" t="n"/>
      <c r="AJ1424" s="14" t="n"/>
      <c r="AK1424" s="12" t="n"/>
      <c r="AL1424" s="13" t="n"/>
      <c r="AM1424" s="14" t="n"/>
      <c r="AN1424" s="12" t="n"/>
      <c r="AO1424" s="13" t="n"/>
      <c r="AP1424" s="14" t="n"/>
      <c r="AQ1424" s="12" t="n"/>
      <c r="AR1424" s="13" t="n"/>
      <c r="AS1424" s="14" t="n"/>
      <c r="AT1424" s="12" t="n"/>
      <c r="AU1424" s="13" t="n"/>
      <c r="AV1424" s="14" t="n"/>
      <c r="AW1424" s="12" t="n"/>
      <c r="AX1424" s="13" t="n"/>
      <c r="AY1424" s="14" t="n"/>
      <c r="AZ1424" s="12" t="n"/>
      <c r="BA1424" s="13" t="n"/>
      <c r="BB1424" s="14" t="n"/>
      <c r="BC1424" s="11">
        <f>IF(O1424="","",IF(J1424="GST 10%",ROUND(O1424*set_GSTRate,2),0))</f>
        <v/>
      </c>
      <c r="BD1424" s="11">
        <f>IF(O1424="","",O1424+BC1424)</f>
        <v/>
      </c>
      <c r="BE1424" s="15">
        <f>IF(O1424="","",COUNTA(S1424,V1424,Y1424,AB1424,AE1424,AH1424,AK1424,AN1424,AQ1424,AT1424,AW1424,AZ1424))</f>
        <v/>
      </c>
      <c r="BF1424" s="16">
        <f>IF(COUNT(T1424,W1424,Z1424,AC1424,AF1424,AI1424,AL1424,AO1424,AR1424,AU1424,AX1424,BA1424)=0,"",MAX(T1424,W1424,Z1424,AC1424,AF1424,AI1424,AL1424,AO1424,AR1424,AU1424,AX1424,BA1424))</f>
        <v/>
      </c>
      <c r="BG1424" s="10">
        <f>MID(IF(S1424="","",", "&amp;S1424)&amp;IF(V1424="","",", "&amp;V1424)&amp;IF(Y1424="","",", "&amp;Y1424)&amp;IF(AB1424="","",", "&amp;AB1424)&amp;IF(AE1424="","",", "&amp;AE1424)&amp;IF(AH1424="","",", "&amp;AH1424)&amp;IF(AK1424="","",", "&amp;AK1424)&amp;IF(AN1424="","",", "&amp;AN1424)&amp;IF(AQ1424="","",", "&amp;AQ1424)&amp;IF(AT1424="","",", "&amp;AT1424)&amp;IF(AW1424="","",", "&amp;AW1424)&amp;IF(AZ1424="","",", "&amp;AZ1424),3,500)</f>
        <v/>
      </c>
      <c r="BH1424" s="12" t="n"/>
      <c r="BI1424" s="15">
        <f>IFERROR(MATCH($A1424,IF($B1424="Onsite",tbl_Onsite[Row ID],IF($B1424="Production",tbl_Production[Row ID],tbl_Consulting[Row ID])),0),"")</f>
        <v/>
      </c>
    </row>
    <row r="1425">
      <c r="A1425" s="10" t="inlineStr">
        <is>
          <t>CON-0419</t>
        </is>
      </c>
      <c r="B1425" s="10" t="inlineStr">
        <is>
          <t>Consulting</t>
        </is>
      </c>
      <c r="C1425" s="10">
        <f>IF($BI1425="","",IF($B1425="Onsite",INDEX(tbl_Onsite[Job Number],$BI1425),IF($B1425="Production",INDEX(tbl_Production[Job Number],$BI1425),INDEX(tbl_Consulting[Job Number],$BI1425)))&amp;"")</f>
        <v/>
      </c>
      <c r="D1425" s="10">
        <f>IF($BI1425="","",IF($B1425="Onsite",INDEX(tbl_Onsite[Client],$BI1425),IF($B1425="Production",INDEX(tbl_Production[Client],$BI1425),INDEX(tbl_Consulting[Client],$BI1425)))&amp;"")</f>
        <v/>
      </c>
      <c r="E1425" s="10">
        <f>IF($C1425="","",IF(COUNTIF(lst_Jobs,$C1425)&gt;0,"OK","CHECK"))</f>
        <v/>
      </c>
      <c r="F1425" s="10">
        <f>IF($C1425="","",IFERROR(INDEX(lst_JobName,MATCH($C1425,lst_Jobs,0)),""))</f>
        <v/>
      </c>
      <c r="G1425" s="10">
        <f>IF($BI1425="","",IF($B1425="Onsite",INDEX(tbl_Onsite[Job Description],$BI1425),IF($B1425="Production",INDEX(tbl_Production[Job Description],$BI1425),INDEX(tbl_Consulting[Job Description],$BI1425)))&amp;"")</f>
        <v/>
      </c>
      <c r="H1425" s="10">
        <f>IF($BI1425="","",IF($B1425="Onsite",INDEX(tbl_Onsite[Cost Centre],$BI1425),IF($B1425="Production",INDEX(tbl_Production[Cost Centre],$BI1425),INDEX(tbl_Consulting[Cost Centre],$BI1425)))&amp;"")</f>
        <v/>
      </c>
      <c r="I1425" s="10">
        <f>IF($BI1425="","",IF($B1425="Onsite",INDEX(tbl_Onsite[Invoice Type],$BI1425),IF($B1425="Production",INDEX(tbl_Production[Invoice Type],$BI1425),INDEX(tbl_Consulting[Invoice Type],$BI1425)))&amp;"")</f>
        <v/>
      </c>
      <c r="J1425" s="10">
        <f>IF($BI1425="","",IF($B1425="Onsite",INDEX(tbl_Onsite[Tax Code],$BI1425),IF($B1425="Production",INDEX(tbl_Production[Tax Code],$BI1425),INDEX(tbl_Consulting[Tax Code],$BI1425)))&amp;"")</f>
        <v/>
      </c>
      <c r="K1425" s="10">
        <f>IF(H1425="","",IFERROR(INDEX(lst_CCtoGL,MATCH(H1425,lst_CCforGL,0)),""))</f>
        <v/>
      </c>
      <c r="L1425" s="10">
        <f>IF($BI1425="","",IF($B1425="Onsite",INDEX(tbl_Onsite[PO / Reference],$BI1425),IF($B1425="Production",INDEX(tbl_Production[Current RMS No],$BI1425),INDEX(tbl_Consulting[Qwilr Quote],$BI1425)))&amp;"")</f>
        <v/>
      </c>
      <c r="M1425" s="10">
        <f>IF($BI1425="","",IF($B1425="Onsite",INDEX(tbl_Onsite[Notes],$BI1425),IF($B1425="Production",INDEX(tbl_Production[Notes],$BI1425),INDEX(tbl_Consulting[Notes],$BI1425)))&amp;"")</f>
        <v/>
      </c>
      <c r="N1425" s="11">
        <f>IF($BI1425="","",IF(IF($B1425="Onsite",INDEX(tbl_Onsite[Expected Revenue Ex GST],$BI1425),IF($B1425="Production",INDEX(tbl_Production[Expected Revenue Ex GST],$BI1425),INDEX(tbl_Consulting[Expected Revenue Ex GST],$BI1425)))="","",IF($B1425="Onsite",INDEX(tbl_Onsite[Expected Revenue Ex GST],$BI1425),IF($B1425="Production",INDEX(tbl_Production[Expected Revenue Ex GST],$BI1425),INDEX(tbl_Consulting[Expected Revenue Ex GST],$BI1425)))))</f>
        <v/>
      </c>
      <c r="O1425" s="11">
        <f>IF(AND($C1425="",NOT(COUNTA($S1425:$BB1425)&gt;0)),"",SUM(U1425,X1425,AA1425,AD1425,AG1425,AJ1425,AM1425,AP1425,AS1425,AV1425,AY1425,BB1425))</f>
        <v/>
      </c>
      <c r="P1425" s="11">
        <f>IF(O1425="","",N(N1425)-O1425)</f>
        <v/>
      </c>
      <c r="Q1425" s="10">
        <f>IF(O1425="","",IF($C1425="","Invoice on empty job row",IF(N1425="",IF(ROUND(O1425,2)=0,"No dept value","Invoiced - no dept value"),IF(ROUND(O1425,2)=0,"Not invoiced - to invoice",IF(ROUND(P1425,2)=0,"Agrees",IF(P1425&gt;0,"Dept higher - to invoice","Xero higher - check dept"))))))</f>
        <v/>
      </c>
      <c r="R1425" s="10">
        <f>IF(AND($C1425="",NOT(COUNTA($S1425:$BB1425)&gt;0),$BI1425&lt;&gt;""),"",MID(IF($BI1425="","; Row ID not found on the department sheet - a row was deleted","")&amp;IF(AND($C1425="",COUNTA($S1425:$BB1425)&gt;0),"; Invoice entered but the department row has no job number","")&amp;IF(E1425="CHECK","; Job number not in the Xero job list","")&amp;IF(AND($C1425&lt;&gt;"",COUNTIF($C$7:$C$1506,$C1425)&gt;1),"; Job number on more than one row","")&amp;IF(AND($C1425&lt;&gt;"",H1425=""),"; Dept has not set a cost centre","")&amp;IF(AND($C1425&lt;&gt;"",J1425=""),"; Dept has not set a tax code","")&amp;IF(AND($C1425&lt;&gt;"",N1425=""),"; Dept has not entered an expected value","")&amp;IF((IF(OR(COUNTA(S1425:U1425)=0,AND(COUNTA(S1425:U1425)=3,ISNUMBER(U1425))),0,1)+IF(OR(COUNTA(V1425:X1425)=0,AND(COUNTA(V1425:X1425)=3,ISNUMBER(X1425))),0,1)+IF(OR(COUNTA(Y1425:AA1425)=0,AND(COUNTA(Y1425:AA1425)=3,ISNUMBER(AA1425))),0,1)+IF(OR(COUNTA(AB1425:AD1425)=0,AND(COUNTA(AB1425:AD1425)=3,ISNUMBER(AD1425))),0,1)+IF(OR(COUNTA(AE1425:AG1425)=0,AND(COUNTA(AE1425:AG1425)=3,ISNUMBER(AG1425))),0,1)+IF(OR(COUNTA(AH1425:AJ1425)=0,AND(COUNTA(AH1425:AJ1425)=3,ISNUMBER(AJ1425))),0,1)+IF(OR(COUNTA(AK1425:AM1425)=0,AND(COUNTA(AK1425:AM1425)=3,ISNUMBER(AM1425))),0,1)+IF(OR(COUNTA(AN1425:AP1425)=0,AND(COUNTA(AN1425:AP1425)=3,ISNUMBER(AP1425))),0,1)+IF(OR(COUNTA(AQ1425:AS1425)=0,AND(COUNTA(AQ1425:AS1425)=3,ISNUMBER(AS1425))),0,1)+IF(OR(COUNTA(AT1425:AV1425)=0,AND(COUNTA(AT1425:AV1425)=3,ISNUMBER(AV1425))),0,1)+IF(OR(COUNTA(AW1425:AY1425)=0,AND(COUNTA(AW1425:AY1425)=3,ISNUMBER(AY1425))),0,1)+IF(OR(COUNTA(AZ1425:BB1425)=0,AND(COUNTA(AZ1425:BB1425)=3,ISNUMBER(BB1425))),0,1))&gt;0,"; An invoice is incomplete (needs No, Date and a number in Ex GST)","")&amp;IF((IF(T1425="",0,IFERROR(--(EOMONTH(T1425,0)&lt;&gt;S$5),1))+IF(W1425="",0,IFERROR(--(EOMONTH(W1425,0)&lt;&gt;V$5),1))+IF(Z1425="",0,IFERROR(--(EOMONTH(Z1425,0)&lt;&gt;Y$5),1))+IF(AC1425="",0,IFERROR(--(EOMONTH(AC1425,0)&lt;&gt;AB$5),1))+IF(AF1425="",0,IFERROR(--(EOMONTH(AF1425,0)&lt;&gt;AE$5),1))+IF(AI1425="",0,IFERROR(--(EOMONTH(AI1425,0)&lt;&gt;AH$5),1))+IF(AL1425="",0,IFERROR(--(EOMONTH(AL1425,0)&lt;&gt;AK$5),1))+IF(AO1425="",0,IFERROR(--(EOMONTH(AO1425,0)&lt;&gt;AN$5),1))+IF(AR1425="",0,IFERROR(--(EOMONTH(AR1425,0)&lt;&gt;AQ$5),1))+IF(AU1425="",0,IFERROR(--(EOMONTH(AU1425,0)&lt;&gt;AT$5),1))+IF(AX1425="",0,IFERROR(--(EOMONTH(AX1425,0)&lt;&gt;AW$5),1))+IF(BA1425="",0,IFERROR(--(EOMONTH(BA1425,0)&lt;&gt;AZ$5),1)))&gt;0,"; An invoice date is not in the month it is typed under",""),3,500))</f>
        <v/>
      </c>
      <c r="S1425" s="12" t="n"/>
      <c r="T1425" s="13" t="n"/>
      <c r="U1425" s="14" t="n"/>
      <c r="V1425" s="12" t="n"/>
      <c r="W1425" s="13" t="n"/>
      <c r="X1425" s="14" t="n"/>
      <c r="Y1425" s="12" t="n"/>
      <c r="Z1425" s="13" t="n"/>
      <c r="AA1425" s="14" t="n"/>
      <c r="AB1425" s="12" t="n"/>
      <c r="AC1425" s="13" t="n"/>
      <c r="AD1425" s="14" t="n"/>
      <c r="AE1425" s="12" t="n"/>
      <c r="AF1425" s="13" t="n"/>
      <c r="AG1425" s="14" t="n"/>
      <c r="AH1425" s="12" t="n"/>
      <c r="AI1425" s="13" t="n"/>
      <c r="AJ1425" s="14" t="n"/>
      <c r="AK1425" s="12" t="n"/>
      <c r="AL1425" s="13" t="n"/>
      <c r="AM1425" s="14" t="n"/>
      <c r="AN1425" s="12" t="n"/>
      <c r="AO1425" s="13" t="n"/>
      <c r="AP1425" s="14" t="n"/>
      <c r="AQ1425" s="12" t="n"/>
      <c r="AR1425" s="13" t="n"/>
      <c r="AS1425" s="14" t="n"/>
      <c r="AT1425" s="12" t="n"/>
      <c r="AU1425" s="13" t="n"/>
      <c r="AV1425" s="14" t="n"/>
      <c r="AW1425" s="12" t="n"/>
      <c r="AX1425" s="13" t="n"/>
      <c r="AY1425" s="14" t="n"/>
      <c r="AZ1425" s="12" t="n"/>
      <c r="BA1425" s="13" t="n"/>
      <c r="BB1425" s="14" t="n"/>
      <c r="BC1425" s="11">
        <f>IF(O1425="","",IF(J1425="GST 10%",ROUND(O1425*set_GSTRate,2),0))</f>
        <v/>
      </c>
      <c r="BD1425" s="11">
        <f>IF(O1425="","",O1425+BC1425)</f>
        <v/>
      </c>
      <c r="BE1425" s="15">
        <f>IF(O1425="","",COUNTA(S1425,V1425,Y1425,AB1425,AE1425,AH1425,AK1425,AN1425,AQ1425,AT1425,AW1425,AZ1425))</f>
        <v/>
      </c>
      <c r="BF1425" s="16">
        <f>IF(COUNT(T1425,W1425,Z1425,AC1425,AF1425,AI1425,AL1425,AO1425,AR1425,AU1425,AX1425,BA1425)=0,"",MAX(T1425,W1425,Z1425,AC1425,AF1425,AI1425,AL1425,AO1425,AR1425,AU1425,AX1425,BA1425))</f>
        <v/>
      </c>
      <c r="BG1425" s="10">
        <f>MID(IF(S1425="","",", "&amp;S1425)&amp;IF(V1425="","",", "&amp;V1425)&amp;IF(Y1425="","",", "&amp;Y1425)&amp;IF(AB1425="","",", "&amp;AB1425)&amp;IF(AE1425="","",", "&amp;AE1425)&amp;IF(AH1425="","",", "&amp;AH1425)&amp;IF(AK1425="","",", "&amp;AK1425)&amp;IF(AN1425="","",", "&amp;AN1425)&amp;IF(AQ1425="","",", "&amp;AQ1425)&amp;IF(AT1425="","",", "&amp;AT1425)&amp;IF(AW1425="","",", "&amp;AW1425)&amp;IF(AZ1425="","",", "&amp;AZ1425),3,500)</f>
        <v/>
      </c>
      <c r="BH1425" s="12" t="n"/>
      <c r="BI1425" s="15">
        <f>IFERROR(MATCH($A1425,IF($B1425="Onsite",tbl_Onsite[Row ID],IF($B1425="Production",tbl_Production[Row ID],tbl_Consulting[Row ID])),0),"")</f>
        <v/>
      </c>
    </row>
    <row r="1426">
      <c r="A1426" s="10" t="inlineStr">
        <is>
          <t>CON-0420</t>
        </is>
      </c>
      <c r="B1426" s="10" t="inlineStr">
        <is>
          <t>Consulting</t>
        </is>
      </c>
      <c r="C1426" s="10">
        <f>IF($BI1426="","",IF($B1426="Onsite",INDEX(tbl_Onsite[Job Number],$BI1426),IF($B1426="Production",INDEX(tbl_Production[Job Number],$BI1426),INDEX(tbl_Consulting[Job Number],$BI1426)))&amp;"")</f>
        <v/>
      </c>
      <c r="D1426" s="10">
        <f>IF($BI1426="","",IF($B1426="Onsite",INDEX(tbl_Onsite[Client],$BI1426),IF($B1426="Production",INDEX(tbl_Production[Client],$BI1426),INDEX(tbl_Consulting[Client],$BI1426)))&amp;"")</f>
        <v/>
      </c>
      <c r="E1426" s="10">
        <f>IF($C1426="","",IF(COUNTIF(lst_Jobs,$C1426)&gt;0,"OK","CHECK"))</f>
        <v/>
      </c>
      <c r="F1426" s="10">
        <f>IF($C1426="","",IFERROR(INDEX(lst_JobName,MATCH($C1426,lst_Jobs,0)),""))</f>
        <v/>
      </c>
      <c r="G1426" s="10">
        <f>IF($BI1426="","",IF($B1426="Onsite",INDEX(tbl_Onsite[Job Description],$BI1426),IF($B1426="Production",INDEX(tbl_Production[Job Description],$BI1426),INDEX(tbl_Consulting[Job Description],$BI1426)))&amp;"")</f>
        <v/>
      </c>
      <c r="H1426" s="10">
        <f>IF($BI1426="","",IF($B1426="Onsite",INDEX(tbl_Onsite[Cost Centre],$BI1426),IF($B1426="Production",INDEX(tbl_Production[Cost Centre],$BI1426),INDEX(tbl_Consulting[Cost Centre],$BI1426)))&amp;"")</f>
        <v/>
      </c>
      <c r="I1426" s="10">
        <f>IF($BI1426="","",IF($B1426="Onsite",INDEX(tbl_Onsite[Invoice Type],$BI1426),IF($B1426="Production",INDEX(tbl_Production[Invoice Type],$BI1426),INDEX(tbl_Consulting[Invoice Type],$BI1426)))&amp;"")</f>
        <v/>
      </c>
      <c r="J1426" s="10">
        <f>IF($BI1426="","",IF($B1426="Onsite",INDEX(tbl_Onsite[Tax Code],$BI1426),IF($B1426="Production",INDEX(tbl_Production[Tax Code],$BI1426),INDEX(tbl_Consulting[Tax Code],$BI1426)))&amp;"")</f>
        <v/>
      </c>
      <c r="K1426" s="10">
        <f>IF(H1426="","",IFERROR(INDEX(lst_CCtoGL,MATCH(H1426,lst_CCforGL,0)),""))</f>
        <v/>
      </c>
      <c r="L1426" s="10">
        <f>IF($BI1426="","",IF($B1426="Onsite",INDEX(tbl_Onsite[PO / Reference],$BI1426),IF($B1426="Production",INDEX(tbl_Production[Current RMS No],$BI1426),INDEX(tbl_Consulting[Qwilr Quote],$BI1426)))&amp;"")</f>
        <v/>
      </c>
      <c r="M1426" s="10">
        <f>IF($BI1426="","",IF($B1426="Onsite",INDEX(tbl_Onsite[Notes],$BI1426),IF($B1426="Production",INDEX(tbl_Production[Notes],$BI1426),INDEX(tbl_Consulting[Notes],$BI1426)))&amp;"")</f>
        <v/>
      </c>
      <c r="N1426" s="11">
        <f>IF($BI1426="","",IF(IF($B1426="Onsite",INDEX(tbl_Onsite[Expected Revenue Ex GST],$BI1426),IF($B1426="Production",INDEX(tbl_Production[Expected Revenue Ex GST],$BI1426),INDEX(tbl_Consulting[Expected Revenue Ex GST],$BI1426)))="","",IF($B1426="Onsite",INDEX(tbl_Onsite[Expected Revenue Ex GST],$BI1426),IF($B1426="Production",INDEX(tbl_Production[Expected Revenue Ex GST],$BI1426),INDEX(tbl_Consulting[Expected Revenue Ex GST],$BI1426)))))</f>
        <v/>
      </c>
      <c r="O1426" s="11">
        <f>IF(AND($C1426="",NOT(COUNTA($S1426:$BB1426)&gt;0)),"",SUM(U1426,X1426,AA1426,AD1426,AG1426,AJ1426,AM1426,AP1426,AS1426,AV1426,AY1426,BB1426))</f>
        <v/>
      </c>
      <c r="P1426" s="11">
        <f>IF(O1426="","",N(N1426)-O1426)</f>
        <v/>
      </c>
      <c r="Q1426" s="10">
        <f>IF(O1426="","",IF($C1426="","Invoice on empty job row",IF(N1426="",IF(ROUND(O1426,2)=0,"No dept value","Invoiced - no dept value"),IF(ROUND(O1426,2)=0,"Not invoiced - to invoice",IF(ROUND(P1426,2)=0,"Agrees",IF(P1426&gt;0,"Dept higher - to invoice","Xero higher - check dept"))))))</f>
        <v/>
      </c>
      <c r="R1426" s="10">
        <f>IF(AND($C1426="",NOT(COUNTA($S1426:$BB1426)&gt;0),$BI1426&lt;&gt;""),"",MID(IF($BI1426="","; Row ID not found on the department sheet - a row was deleted","")&amp;IF(AND($C1426="",COUNTA($S1426:$BB1426)&gt;0),"; Invoice entered but the department row has no job number","")&amp;IF(E1426="CHECK","; Job number not in the Xero job list","")&amp;IF(AND($C1426&lt;&gt;"",COUNTIF($C$7:$C$1506,$C1426)&gt;1),"; Job number on more than one row","")&amp;IF(AND($C1426&lt;&gt;"",H1426=""),"; Dept has not set a cost centre","")&amp;IF(AND($C1426&lt;&gt;"",J1426=""),"; Dept has not set a tax code","")&amp;IF(AND($C1426&lt;&gt;"",N1426=""),"; Dept has not entered an expected value","")&amp;IF((IF(OR(COUNTA(S1426:U1426)=0,AND(COUNTA(S1426:U1426)=3,ISNUMBER(U1426))),0,1)+IF(OR(COUNTA(V1426:X1426)=0,AND(COUNTA(V1426:X1426)=3,ISNUMBER(X1426))),0,1)+IF(OR(COUNTA(Y1426:AA1426)=0,AND(COUNTA(Y1426:AA1426)=3,ISNUMBER(AA1426))),0,1)+IF(OR(COUNTA(AB1426:AD1426)=0,AND(COUNTA(AB1426:AD1426)=3,ISNUMBER(AD1426))),0,1)+IF(OR(COUNTA(AE1426:AG1426)=0,AND(COUNTA(AE1426:AG1426)=3,ISNUMBER(AG1426))),0,1)+IF(OR(COUNTA(AH1426:AJ1426)=0,AND(COUNTA(AH1426:AJ1426)=3,ISNUMBER(AJ1426))),0,1)+IF(OR(COUNTA(AK1426:AM1426)=0,AND(COUNTA(AK1426:AM1426)=3,ISNUMBER(AM1426))),0,1)+IF(OR(COUNTA(AN1426:AP1426)=0,AND(COUNTA(AN1426:AP1426)=3,ISNUMBER(AP1426))),0,1)+IF(OR(COUNTA(AQ1426:AS1426)=0,AND(COUNTA(AQ1426:AS1426)=3,ISNUMBER(AS1426))),0,1)+IF(OR(COUNTA(AT1426:AV1426)=0,AND(COUNTA(AT1426:AV1426)=3,ISNUMBER(AV1426))),0,1)+IF(OR(COUNTA(AW1426:AY1426)=0,AND(COUNTA(AW1426:AY1426)=3,ISNUMBER(AY1426))),0,1)+IF(OR(COUNTA(AZ1426:BB1426)=0,AND(COUNTA(AZ1426:BB1426)=3,ISNUMBER(BB1426))),0,1))&gt;0,"; An invoice is incomplete (needs No, Date and a number in Ex GST)","")&amp;IF((IF(T1426="",0,IFERROR(--(EOMONTH(T1426,0)&lt;&gt;S$5),1))+IF(W1426="",0,IFERROR(--(EOMONTH(W1426,0)&lt;&gt;V$5),1))+IF(Z1426="",0,IFERROR(--(EOMONTH(Z1426,0)&lt;&gt;Y$5),1))+IF(AC1426="",0,IFERROR(--(EOMONTH(AC1426,0)&lt;&gt;AB$5),1))+IF(AF1426="",0,IFERROR(--(EOMONTH(AF1426,0)&lt;&gt;AE$5),1))+IF(AI1426="",0,IFERROR(--(EOMONTH(AI1426,0)&lt;&gt;AH$5),1))+IF(AL1426="",0,IFERROR(--(EOMONTH(AL1426,0)&lt;&gt;AK$5),1))+IF(AO1426="",0,IFERROR(--(EOMONTH(AO1426,0)&lt;&gt;AN$5),1))+IF(AR1426="",0,IFERROR(--(EOMONTH(AR1426,0)&lt;&gt;AQ$5),1))+IF(AU1426="",0,IFERROR(--(EOMONTH(AU1426,0)&lt;&gt;AT$5),1))+IF(AX1426="",0,IFERROR(--(EOMONTH(AX1426,0)&lt;&gt;AW$5),1))+IF(BA1426="",0,IFERROR(--(EOMONTH(BA1426,0)&lt;&gt;AZ$5),1)))&gt;0,"; An invoice date is not in the month it is typed under",""),3,500))</f>
        <v/>
      </c>
      <c r="S1426" s="12" t="n"/>
      <c r="T1426" s="13" t="n"/>
      <c r="U1426" s="14" t="n"/>
      <c r="V1426" s="12" t="n"/>
      <c r="W1426" s="13" t="n"/>
      <c r="X1426" s="14" t="n"/>
      <c r="Y1426" s="12" t="n"/>
      <c r="Z1426" s="13" t="n"/>
      <c r="AA1426" s="14" t="n"/>
      <c r="AB1426" s="12" t="n"/>
      <c r="AC1426" s="13" t="n"/>
      <c r="AD1426" s="14" t="n"/>
      <c r="AE1426" s="12" t="n"/>
      <c r="AF1426" s="13" t="n"/>
      <c r="AG1426" s="14" t="n"/>
      <c r="AH1426" s="12" t="n"/>
      <c r="AI1426" s="13" t="n"/>
      <c r="AJ1426" s="14" t="n"/>
      <c r="AK1426" s="12" t="n"/>
      <c r="AL1426" s="13" t="n"/>
      <c r="AM1426" s="14" t="n"/>
      <c r="AN1426" s="12" t="n"/>
      <c r="AO1426" s="13" t="n"/>
      <c r="AP1426" s="14" t="n"/>
      <c r="AQ1426" s="12" t="n"/>
      <c r="AR1426" s="13" t="n"/>
      <c r="AS1426" s="14" t="n"/>
      <c r="AT1426" s="12" t="n"/>
      <c r="AU1426" s="13" t="n"/>
      <c r="AV1426" s="14" t="n"/>
      <c r="AW1426" s="12" t="n"/>
      <c r="AX1426" s="13" t="n"/>
      <c r="AY1426" s="14" t="n"/>
      <c r="AZ1426" s="12" t="n"/>
      <c r="BA1426" s="13" t="n"/>
      <c r="BB1426" s="14" t="n"/>
      <c r="BC1426" s="11">
        <f>IF(O1426="","",IF(J1426="GST 10%",ROUND(O1426*set_GSTRate,2),0))</f>
        <v/>
      </c>
      <c r="BD1426" s="11">
        <f>IF(O1426="","",O1426+BC1426)</f>
        <v/>
      </c>
      <c r="BE1426" s="15">
        <f>IF(O1426="","",COUNTA(S1426,V1426,Y1426,AB1426,AE1426,AH1426,AK1426,AN1426,AQ1426,AT1426,AW1426,AZ1426))</f>
        <v/>
      </c>
      <c r="BF1426" s="16">
        <f>IF(COUNT(T1426,W1426,Z1426,AC1426,AF1426,AI1426,AL1426,AO1426,AR1426,AU1426,AX1426,BA1426)=0,"",MAX(T1426,W1426,Z1426,AC1426,AF1426,AI1426,AL1426,AO1426,AR1426,AU1426,AX1426,BA1426))</f>
        <v/>
      </c>
      <c r="BG1426" s="10">
        <f>MID(IF(S1426="","",", "&amp;S1426)&amp;IF(V1426="","",", "&amp;V1426)&amp;IF(Y1426="","",", "&amp;Y1426)&amp;IF(AB1426="","",", "&amp;AB1426)&amp;IF(AE1426="","",", "&amp;AE1426)&amp;IF(AH1426="","",", "&amp;AH1426)&amp;IF(AK1426="","",", "&amp;AK1426)&amp;IF(AN1426="","",", "&amp;AN1426)&amp;IF(AQ1426="","",", "&amp;AQ1426)&amp;IF(AT1426="","",", "&amp;AT1426)&amp;IF(AW1426="","",", "&amp;AW1426)&amp;IF(AZ1426="","",", "&amp;AZ1426),3,500)</f>
        <v/>
      </c>
      <c r="BH1426" s="12" t="n"/>
      <c r="BI1426" s="15">
        <f>IFERROR(MATCH($A1426,IF($B1426="Onsite",tbl_Onsite[Row ID],IF($B1426="Production",tbl_Production[Row ID],tbl_Consulting[Row ID])),0),"")</f>
        <v/>
      </c>
    </row>
    <row r="1427">
      <c r="A1427" s="10" t="inlineStr">
        <is>
          <t>CON-0421</t>
        </is>
      </c>
      <c r="B1427" s="10" t="inlineStr">
        <is>
          <t>Consulting</t>
        </is>
      </c>
      <c r="C1427" s="10">
        <f>IF($BI1427="","",IF($B1427="Onsite",INDEX(tbl_Onsite[Job Number],$BI1427),IF($B1427="Production",INDEX(tbl_Production[Job Number],$BI1427),INDEX(tbl_Consulting[Job Number],$BI1427)))&amp;"")</f>
        <v/>
      </c>
      <c r="D1427" s="10">
        <f>IF($BI1427="","",IF($B1427="Onsite",INDEX(tbl_Onsite[Client],$BI1427),IF($B1427="Production",INDEX(tbl_Production[Client],$BI1427),INDEX(tbl_Consulting[Client],$BI1427)))&amp;"")</f>
        <v/>
      </c>
      <c r="E1427" s="10">
        <f>IF($C1427="","",IF(COUNTIF(lst_Jobs,$C1427)&gt;0,"OK","CHECK"))</f>
        <v/>
      </c>
      <c r="F1427" s="10">
        <f>IF($C1427="","",IFERROR(INDEX(lst_JobName,MATCH($C1427,lst_Jobs,0)),""))</f>
        <v/>
      </c>
      <c r="G1427" s="10">
        <f>IF($BI1427="","",IF($B1427="Onsite",INDEX(tbl_Onsite[Job Description],$BI1427),IF($B1427="Production",INDEX(tbl_Production[Job Description],$BI1427),INDEX(tbl_Consulting[Job Description],$BI1427)))&amp;"")</f>
        <v/>
      </c>
      <c r="H1427" s="10">
        <f>IF($BI1427="","",IF($B1427="Onsite",INDEX(tbl_Onsite[Cost Centre],$BI1427),IF($B1427="Production",INDEX(tbl_Production[Cost Centre],$BI1427),INDEX(tbl_Consulting[Cost Centre],$BI1427)))&amp;"")</f>
        <v/>
      </c>
      <c r="I1427" s="10">
        <f>IF($BI1427="","",IF($B1427="Onsite",INDEX(tbl_Onsite[Invoice Type],$BI1427),IF($B1427="Production",INDEX(tbl_Production[Invoice Type],$BI1427),INDEX(tbl_Consulting[Invoice Type],$BI1427)))&amp;"")</f>
        <v/>
      </c>
      <c r="J1427" s="10">
        <f>IF($BI1427="","",IF($B1427="Onsite",INDEX(tbl_Onsite[Tax Code],$BI1427),IF($B1427="Production",INDEX(tbl_Production[Tax Code],$BI1427),INDEX(tbl_Consulting[Tax Code],$BI1427)))&amp;"")</f>
        <v/>
      </c>
      <c r="K1427" s="10">
        <f>IF(H1427="","",IFERROR(INDEX(lst_CCtoGL,MATCH(H1427,lst_CCforGL,0)),""))</f>
        <v/>
      </c>
      <c r="L1427" s="10">
        <f>IF($BI1427="","",IF($B1427="Onsite",INDEX(tbl_Onsite[PO / Reference],$BI1427),IF($B1427="Production",INDEX(tbl_Production[Current RMS No],$BI1427),INDEX(tbl_Consulting[Qwilr Quote],$BI1427)))&amp;"")</f>
        <v/>
      </c>
      <c r="M1427" s="10">
        <f>IF($BI1427="","",IF($B1427="Onsite",INDEX(tbl_Onsite[Notes],$BI1427),IF($B1427="Production",INDEX(tbl_Production[Notes],$BI1427),INDEX(tbl_Consulting[Notes],$BI1427)))&amp;"")</f>
        <v/>
      </c>
      <c r="N1427" s="11">
        <f>IF($BI1427="","",IF(IF($B1427="Onsite",INDEX(tbl_Onsite[Expected Revenue Ex GST],$BI1427),IF($B1427="Production",INDEX(tbl_Production[Expected Revenue Ex GST],$BI1427),INDEX(tbl_Consulting[Expected Revenue Ex GST],$BI1427)))="","",IF($B1427="Onsite",INDEX(tbl_Onsite[Expected Revenue Ex GST],$BI1427),IF($B1427="Production",INDEX(tbl_Production[Expected Revenue Ex GST],$BI1427),INDEX(tbl_Consulting[Expected Revenue Ex GST],$BI1427)))))</f>
        <v/>
      </c>
      <c r="O1427" s="11">
        <f>IF(AND($C1427="",NOT(COUNTA($S1427:$BB1427)&gt;0)),"",SUM(U1427,X1427,AA1427,AD1427,AG1427,AJ1427,AM1427,AP1427,AS1427,AV1427,AY1427,BB1427))</f>
        <v/>
      </c>
      <c r="P1427" s="11">
        <f>IF(O1427="","",N(N1427)-O1427)</f>
        <v/>
      </c>
      <c r="Q1427" s="10">
        <f>IF(O1427="","",IF($C1427="","Invoice on empty job row",IF(N1427="",IF(ROUND(O1427,2)=0,"No dept value","Invoiced - no dept value"),IF(ROUND(O1427,2)=0,"Not invoiced - to invoice",IF(ROUND(P1427,2)=0,"Agrees",IF(P1427&gt;0,"Dept higher - to invoice","Xero higher - check dept"))))))</f>
        <v/>
      </c>
      <c r="R1427" s="10">
        <f>IF(AND($C1427="",NOT(COUNTA($S1427:$BB1427)&gt;0),$BI1427&lt;&gt;""),"",MID(IF($BI1427="","; Row ID not found on the department sheet - a row was deleted","")&amp;IF(AND($C1427="",COUNTA($S1427:$BB1427)&gt;0),"; Invoice entered but the department row has no job number","")&amp;IF(E1427="CHECK","; Job number not in the Xero job list","")&amp;IF(AND($C1427&lt;&gt;"",COUNTIF($C$7:$C$1506,$C1427)&gt;1),"; Job number on more than one row","")&amp;IF(AND($C1427&lt;&gt;"",H1427=""),"; Dept has not set a cost centre","")&amp;IF(AND($C1427&lt;&gt;"",J1427=""),"; Dept has not set a tax code","")&amp;IF(AND($C1427&lt;&gt;"",N1427=""),"; Dept has not entered an expected value","")&amp;IF((IF(OR(COUNTA(S1427:U1427)=0,AND(COUNTA(S1427:U1427)=3,ISNUMBER(U1427))),0,1)+IF(OR(COUNTA(V1427:X1427)=0,AND(COUNTA(V1427:X1427)=3,ISNUMBER(X1427))),0,1)+IF(OR(COUNTA(Y1427:AA1427)=0,AND(COUNTA(Y1427:AA1427)=3,ISNUMBER(AA1427))),0,1)+IF(OR(COUNTA(AB1427:AD1427)=0,AND(COUNTA(AB1427:AD1427)=3,ISNUMBER(AD1427))),0,1)+IF(OR(COUNTA(AE1427:AG1427)=0,AND(COUNTA(AE1427:AG1427)=3,ISNUMBER(AG1427))),0,1)+IF(OR(COUNTA(AH1427:AJ1427)=0,AND(COUNTA(AH1427:AJ1427)=3,ISNUMBER(AJ1427))),0,1)+IF(OR(COUNTA(AK1427:AM1427)=0,AND(COUNTA(AK1427:AM1427)=3,ISNUMBER(AM1427))),0,1)+IF(OR(COUNTA(AN1427:AP1427)=0,AND(COUNTA(AN1427:AP1427)=3,ISNUMBER(AP1427))),0,1)+IF(OR(COUNTA(AQ1427:AS1427)=0,AND(COUNTA(AQ1427:AS1427)=3,ISNUMBER(AS1427))),0,1)+IF(OR(COUNTA(AT1427:AV1427)=0,AND(COUNTA(AT1427:AV1427)=3,ISNUMBER(AV1427))),0,1)+IF(OR(COUNTA(AW1427:AY1427)=0,AND(COUNTA(AW1427:AY1427)=3,ISNUMBER(AY1427))),0,1)+IF(OR(COUNTA(AZ1427:BB1427)=0,AND(COUNTA(AZ1427:BB1427)=3,ISNUMBER(BB1427))),0,1))&gt;0,"; An invoice is incomplete (needs No, Date and a number in Ex GST)","")&amp;IF((IF(T1427="",0,IFERROR(--(EOMONTH(T1427,0)&lt;&gt;S$5),1))+IF(W1427="",0,IFERROR(--(EOMONTH(W1427,0)&lt;&gt;V$5),1))+IF(Z1427="",0,IFERROR(--(EOMONTH(Z1427,0)&lt;&gt;Y$5),1))+IF(AC1427="",0,IFERROR(--(EOMONTH(AC1427,0)&lt;&gt;AB$5),1))+IF(AF1427="",0,IFERROR(--(EOMONTH(AF1427,0)&lt;&gt;AE$5),1))+IF(AI1427="",0,IFERROR(--(EOMONTH(AI1427,0)&lt;&gt;AH$5),1))+IF(AL1427="",0,IFERROR(--(EOMONTH(AL1427,0)&lt;&gt;AK$5),1))+IF(AO1427="",0,IFERROR(--(EOMONTH(AO1427,0)&lt;&gt;AN$5),1))+IF(AR1427="",0,IFERROR(--(EOMONTH(AR1427,0)&lt;&gt;AQ$5),1))+IF(AU1427="",0,IFERROR(--(EOMONTH(AU1427,0)&lt;&gt;AT$5),1))+IF(AX1427="",0,IFERROR(--(EOMONTH(AX1427,0)&lt;&gt;AW$5),1))+IF(BA1427="",0,IFERROR(--(EOMONTH(BA1427,0)&lt;&gt;AZ$5),1)))&gt;0,"; An invoice date is not in the month it is typed under",""),3,500))</f>
        <v/>
      </c>
      <c r="S1427" s="12" t="n"/>
      <c r="T1427" s="13" t="n"/>
      <c r="U1427" s="14" t="n"/>
      <c r="V1427" s="12" t="n"/>
      <c r="W1427" s="13" t="n"/>
      <c r="X1427" s="14" t="n"/>
      <c r="Y1427" s="12" t="n"/>
      <c r="Z1427" s="13" t="n"/>
      <c r="AA1427" s="14" t="n"/>
      <c r="AB1427" s="12" t="n"/>
      <c r="AC1427" s="13" t="n"/>
      <c r="AD1427" s="14" t="n"/>
      <c r="AE1427" s="12" t="n"/>
      <c r="AF1427" s="13" t="n"/>
      <c r="AG1427" s="14" t="n"/>
      <c r="AH1427" s="12" t="n"/>
      <c r="AI1427" s="13" t="n"/>
      <c r="AJ1427" s="14" t="n"/>
      <c r="AK1427" s="12" t="n"/>
      <c r="AL1427" s="13" t="n"/>
      <c r="AM1427" s="14" t="n"/>
      <c r="AN1427" s="12" t="n"/>
      <c r="AO1427" s="13" t="n"/>
      <c r="AP1427" s="14" t="n"/>
      <c r="AQ1427" s="12" t="n"/>
      <c r="AR1427" s="13" t="n"/>
      <c r="AS1427" s="14" t="n"/>
      <c r="AT1427" s="12" t="n"/>
      <c r="AU1427" s="13" t="n"/>
      <c r="AV1427" s="14" t="n"/>
      <c r="AW1427" s="12" t="n"/>
      <c r="AX1427" s="13" t="n"/>
      <c r="AY1427" s="14" t="n"/>
      <c r="AZ1427" s="12" t="n"/>
      <c r="BA1427" s="13" t="n"/>
      <c r="BB1427" s="14" t="n"/>
      <c r="BC1427" s="11">
        <f>IF(O1427="","",IF(J1427="GST 10%",ROUND(O1427*set_GSTRate,2),0))</f>
        <v/>
      </c>
      <c r="BD1427" s="11">
        <f>IF(O1427="","",O1427+BC1427)</f>
        <v/>
      </c>
      <c r="BE1427" s="15">
        <f>IF(O1427="","",COUNTA(S1427,V1427,Y1427,AB1427,AE1427,AH1427,AK1427,AN1427,AQ1427,AT1427,AW1427,AZ1427))</f>
        <v/>
      </c>
      <c r="BF1427" s="16">
        <f>IF(COUNT(T1427,W1427,Z1427,AC1427,AF1427,AI1427,AL1427,AO1427,AR1427,AU1427,AX1427,BA1427)=0,"",MAX(T1427,W1427,Z1427,AC1427,AF1427,AI1427,AL1427,AO1427,AR1427,AU1427,AX1427,BA1427))</f>
        <v/>
      </c>
      <c r="BG1427" s="10">
        <f>MID(IF(S1427="","",", "&amp;S1427)&amp;IF(V1427="","",", "&amp;V1427)&amp;IF(Y1427="","",", "&amp;Y1427)&amp;IF(AB1427="","",", "&amp;AB1427)&amp;IF(AE1427="","",", "&amp;AE1427)&amp;IF(AH1427="","",", "&amp;AH1427)&amp;IF(AK1427="","",", "&amp;AK1427)&amp;IF(AN1427="","",", "&amp;AN1427)&amp;IF(AQ1427="","",", "&amp;AQ1427)&amp;IF(AT1427="","",", "&amp;AT1427)&amp;IF(AW1427="","",", "&amp;AW1427)&amp;IF(AZ1427="","",", "&amp;AZ1427),3,500)</f>
        <v/>
      </c>
      <c r="BH1427" s="12" t="n"/>
      <c r="BI1427" s="15">
        <f>IFERROR(MATCH($A1427,IF($B1427="Onsite",tbl_Onsite[Row ID],IF($B1427="Production",tbl_Production[Row ID],tbl_Consulting[Row ID])),0),"")</f>
        <v/>
      </c>
    </row>
    <row r="1428">
      <c r="A1428" s="10" t="inlineStr">
        <is>
          <t>CON-0422</t>
        </is>
      </c>
      <c r="B1428" s="10" t="inlineStr">
        <is>
          <t>Consulting</t>
        </is>
      </c>
      <c r="C1428" s="10">
        <f>IF($BI1428="","",IF($B1428="Onsite",INDEX(tbl_Onsite[Job Number],$BI1428),IF($B1428="Production",INDEX(tbl_Production[Job Number],$BI1428),INDEX(tbl_Consulting[Job Number],$BI1428)))&amp;"")</f>
        <v/>
      </c>
      <c r="D1428" s="10">
        <f>IF($BI1428="","",IF($B1428="Onsite",INDEX(tbl_Onsite[Client],$BI1428),IF($B1428="Production",INDEX(tbl_Production[Client],$BI1428),INDEX(tbl_Consulting[Client],$BI1428)))&amp;"")</f>
        <v/>
      </c>
      <c r="E1428" s="10">
        <f>IF($C1428="","",IF(COUNTIF(lst_Jobs,$C1428)&gt;0,"OK","CHECK"))</f>
        <v/>
      </c>
      <c r="F1428" s="10">
        <f>IF($C1428="","",IFERROR(INDEX(lst_JobName,MATCH($C1428,lst_Jobs,0)),""))</f>
        <v/>
      </c>
      <c r="G1428" s="10">
        <f>IF($BI1428="","",IF($B1428="Onsite",INDEX(tbl_Onsite[Job Description],$BI1428),IF($B1428="Production",INDEX(tbl_Production[Job Description],$BI1428),INDEX(tbl_Consulting[Job Description],$BI1428)))&amp;"")</f>
        <v/>
      </c>
      <c r="H1428" s="10">
        <f>IF($BI1428="","",IF($B1428="Onsite",INDEX(tbl_Onsite[Cost Centre],$BI1428),IF($B1428="Production",INDEX(tbl_Production[Cost Centre],$BI1428),INDEX(tbl_Consulting[Cost Centre],$BI1428)))&amp;"")</f>
        <v/>
      </c>
      <c r="I1428" s="10">
        <f>IF($BI1428="","",IF($B1428="Onsite",INDEX(tbl_Onsite[Invoice Type],$BI1428),IF($B1428="Production",INDEX(tbl_Production[Invoice Type],$BI1428),INDEX(tbl_Consulting[Invoice Type],$BI1428)))&amp;"")</f>
        <v/>
      </c>
      <c r="J1428" s="10">
        <f>IF($BI1428="","",IF($B1428="Onsite",INDEX(tbl_Onsite[Tax Code],$BI1428),IF($B1428="Production",INDEX(tbl_Production[Tax Code],$BI1428),INDEX(tbl_Consulting[Tax Code],$BI1428)))&amp;"")</f>
        <v/>
      </c>
      <c r="K1428" s="10">
        <f>IF(H1428="","",IFERROR(INDEX(lst_CCtoGL,MATCH(H1428,lst_CCforGL,0)),""))</f>
        <v/>
      </c>
      <c r="L1428" s="10">
        <f>IF($BI1428="","",IF($B1428="Onsite",INDEX(tbl_Onsite[PO / Reference],$BI1428),IF($B1428="Production",INDEX(tbl_Production[Current RMS No],$BI1428),INDEX(tbl_Consulting[Qwilr Quote],$BI1428)))&amp;"")</f>
        <v/>
      </c>
      <c r="M1428" s="10">
        <f>IF($BI1428="","",IF($B1428="Onsite",INDEX(tbl_Onsite[Notes],$BI1428),IF($B1428="Production",INDEX(tbl_Production[Notes],$BI1428),INDEX(tbl_Consulting[Notes],$BI1428)))&amp;"")</f>
        <v/>
      </c>
      <c r="N1428" s="11">
        <f>IF($BI1428="","",IF(IF($B1428="Onsite",INDEX(tbl_Onsite[Expected Revenue Ex GST],$BI1428),IF($B1428="Production",INDEX(tbl_Production[Expected Revenue Ex GST],$BI1428),INDEX(tbl_Consulting[Expected Revenue Ex GST],$BI1428)))="","",IF($B1428="Onsite",INDEX(tbl_Onsite[Expected Revenue Ex GST],$BI1428),IF($B1428="Production",INDEX(tbl_Production[Expected Revenue Ex GST],$BI1428),INDEX(tbl_Consulting[Expected Revenue Ex GST],$BI1428)))))</f>
        <v/>
      </c>
      <c r="O1428" s="11">
        <f>IF(AND($C1428="",NOT(COUNTA($S1428:$BB1428)&gt;0)),"",SUM(U1428,X1428,AA1428,AD1428,AG1428,AJ1428,AM1428,AP1428,AS1428,AV1428,AY1428,BB1428))</f>
        <v/>
      </c>
      <c r="P1428" s="11">
        <f>IF(O1428="","",N(N1428)-O1428)</f>
        <v/>
      </c>
      <c r="Q1428" s="10">
        <f>IF(O1428="","",IF($C1428="","Invoice on empty job row",IF(N1428="",IF(ROUND(O1428,2)=0,"No dept value","Invoiced - no dept value"),IF(ROUND(O1428,2)=0,"Not invoiced - to invoice",IF(ROUND(P1428,2)=0,"Agrees",IF(P1428&gt;0,"Dept higher - to invoice","Xero higher - check dept"))))))</f>
        <v/>
      </c>
      <c r="R1428" s="10">
        <f>IF(AND($C1428="",NOT(COUNTA($S1428:$BB1428)&gt;0),$BI1428&lt;&gt;""),"",MID(IF($BI1428="","; Row ID not found on the department sheet - a row was deleted","")&amp;IF(AND($C1428="",COUNTA($S1428:$BB1428)&gt;0),"; Invoice entered but the department row has no job number","")&amp;IF(E1428="CHECK","; Job number not in the Xero job list","")&amp;IF(AND($C1428&lt;&gt;"",COUNTIF($C$7:$C$1506,$C1428)&gt;1),"; Job number on more than one row","")&amp;IF(AND($C1428&lt;&gt;"",H1428=""),"; Dept has not set a cost centre","")&amp;IF(AND($C1428&lt;&gt;"",J1428=""),"; Dept has not set a tax code","")&amp;IF(AND($C1428&lt;&gt;"",N1428=""),"; Dept has not entered an expected value","")&amp;IF((IF(OR(COUNTA(S1428:U1428)=0,AND(COUNTA(S1428:U1428)=3,ISNUMBER(U1428))),0,1)+IF(OR(COUNTA(V1428:X1428)=0,AND(COUNTA(V1428:X1428)=3,ISNUMBER(X1428))),0,1)+IF(OR(COUNTA(Y1428:AA1428)=0,AND(COUNTA(Y1428:AA1428)=3,ISNUMBER(AA1428))),0,1)+IF(OR(COUNTA(AB1428:AD1428)=0,AND(COUNTA(AB1428:AD1428)=3,ISNUMBER(AD1428))),0,1)+IF(OR(COUNTA(AE1428:AG1428)=0,AND(COUNTA(AE1428:AG1428)=3,ISNUMBER(AG1428))),0,1)+IF(OR(COUNTA(AH1428:AJ1428)=0,AND(COUNTA(AH1428:AJ1428)=3,ISNUMBER(AJ1428))),0,1)+IF(OR(COUNTA(AK1428:AM1428)=0,AND(COUNTA(AK1428:AM1428)=3,ISNUMBER(AM1428))),0,1)+IF(OR(COUNTA(AN1428:AP1428)=0,AND(COUNTA(AN1428:AP1428)=3,ISNUMBER(AP1428))),0,1)+IF(OR(COUNTA(AQ1428:AS1428)=0,AND(COUNTA(AQ1428:AS1428)=3,ISNUMBER(AS1428))),0,1)+IF(OR(COUNTA(AT1428:AV1428)=0,AND(COUNTA(AT1428:AV1428)=3,ISNUMBER(AV1428))),0,1)+IF(OR(COUNTA(AW1428:AY1428)=0,AND(COUNTA(AW1428:AY1428)=3,ISNUMBER(AY1428))),0,1)+IF(OR(COUNTA(AZ1428:BB1428)=0,AND(COUNTA(AZ1428:BB1428)=3,ISNUMBER(BB1428))),0,1))&gt;0,"; An invoice is incomplete (needs No, Date and a number in Ex GST)","")&amp;IF((IF(T1428="",0,IFERROR(--(EOMONTH(T1428,0)&lt;&gt;S$5),1))+IF(W1428="",0,IFERROR(--(EOMONTH(W1428,0)&lt;&gt;V$5),1))+IF(Z1428="",0,IFERROR(--(EOMONTH(Z1428,0)&lt;&gt;Y$5),1))+IF(AC1428="",0,IFERROR(--(EOMONTH(AC1428,0)&lt;&gt;AB$5),1))+IF(AF1428="",0,IFERROR(--(EOMONTH(AF1428,0)&lt;&gt;AE$5),1))+IF(AI1428="",0,IFERROR(--(EOMONTH(AI1428,0)&lt;&gt;AH$5),1))+IF(AL1428="",0,IFERROR(--(EOMONTH(AL1428,0)&lt;&gt;AK$5),1))+IF(AO1428="",0,IFERROR(--(EOMONTH(AO1428,0)&lt;&gt;AN$5),1))+IF(AR1428="",0,IFERROR(--(EOMONTH(AR1428,0)&lt;&gt;AQ$5),1))+IF(AU1428="",0,IFERROR(--(EOMONTH(AU1428,0)&lt;&gt;AT$5),1))+IF(AX1428="",0,IFERROR(--(EOMONTH(AX1428,0)&lt;&gt;AW$5),1))+IF(BA1428="",0,IFERROR(--(EOMONTH(BA1428,0)&lt;&gt;AZ$5),1)))&gt;0,"; An invoice date is not in the month it is typed under",""),3,500))</f>
        <v/>
      </c>
      <c r="S1428" s="12" t="n"/>
      <c r="T1428" s="13" t="n"/>
      <c r="U1428" s="14" t="n"/>
      <c r="V1428" s="12" t="n"/>
      <c r="W1428" s="13" t="n"/>
      <c r="X1428" s="14" t="n"/>
      <c r="Y1428" s="12" t="n"/>
      <c r="Z1428" s="13" t="n"/>
      <c r="AA1428" s="14" t="n"/>
      <c r="AB1428" s="12" t="n"/>
      <c r="AC1428" s="13" t="n"/>
      <c r="AD1428" s="14" t="n"/>
      <c r="AE1428" s="12" t="n"/>
      <c r="AF1428" s="13" t="n"/>
      <c r="AG1428" s="14" t="n"/>
      <c r="AH1428" s="12" t="n"/>
      <c r="AI1428" s="13" t="n"/>
      <c r="AJ1428" s="14" t="n"/>
      <c r="AK1428" s="12" t="n"/>
      <c r="AL1428" s="13" t="n"/>
      <c r="AM1428" s="14" t="n"/>
      <c r="AN1428" s="12" t="n"/>
      <c r="AO1428" s="13" t="n"/>
      <c r="AP1428" s="14" t="n"/>
      <c r="AQ1428" s="12" t="n"/>
      <c r="AR1428" s="13" t="n"/>
      <c r="AS1428" s="14" t="n"/>
      <c r="AT1428" s="12" t="n"/>
      <c r="AU1428" s="13" t="n"/>
      <c r="AV1428" s="14" t="n"/>
      <c r="AW1428" s="12" t="n"/>
      <c r="AX1428" s="13" t="n"/>
      <c r="AY1428" s="14" t="n"/>
      <c r="AZ1428" s="12" t="n"/>
      <c r="BA1428" s="13" t="n"/>
      <c r="BB1428" s="14" t="n"/>
      <c r="BC1428" s="11">
        <f>IF(O1428="","",IF(J1428="GST 10%",ROUND(O1428*set_GSTRate,2),0))</f>
        <v/>
      </c>
      <c r="BD1428" s="11">
        <f>IF(O1428="","",O1428+BC1428)</f>
        <v/>
      </c>
      <c r="BE1428" s="15">
        <f>IF(O1428="","",COUNTA(S1428,V1428,Y1428,AB1428,AE1428,AH1428,AK1428,AN1428,AQ1428,AT1428,AW1428,AZ1428))</f>
        <v/>
      </c>
      <c r="BF1428" s="16">
        <f>IF(COUNT(T1428,W1428,Z1428,AC1428,AF1428,AI1428,AL1428,AO1428,AR1428,AU1428,AX1428,BA1428)=0,"",MAX(T1428,W1428,Z1428,AC1428,AF1428,AI1428,AL1428,AO1428,AR1428,AU1428,AX1428,BA1428))</f>
        <v/>
      </c>
      <c r="BG1428" s="10">
        <f>MID(IF(S1428="","",", "&amp;S1428)&amp;IF(V1428="","",", "&amp;V1428)&amp;IF(Y1428="","",", "&amp;Y1428)&amp;IF(AB1428="","",", "&amp;AB1428)&amp;IF(AE1428="","",", "&amp;AE1428)&amp;IF(AH1428="","",", "&amp;AH1428)&amp;IF(AK1428="","",", "&amp;AK1428)&amp;IF(AN1428="","",", "&amp;AN1428)&amp;IF(AQ1428="","",", "&amp;AQ1428)&amp;IF(AT1428="","",", "&amp;AT1428)&amp;IF(AW1428="","",", "&amp;AW1428)&amp;IF(AZ1428="","",", "&amp;AZ1428),3,500)</f>
        <v/>
      </c>
      <c r="BH1428" s="12" t="n"/>
      <c r="BI1428" s="15">
        <f>IFERROR(MATCH($A1428,IF($B1428="Onsite",tbl_Onsite[Row ID],IF($B1428="Production",tbl_Production[Row ID],tbl_Consulting[Row ID])),0),"")</f>
        <v/>
      </c>
    </row>
    <row r="1429">
      <c r="A1429" s="10" t="inlineStr">
        <is>
          <t>CON-0423</t>
        </is>
      </c>
      <c r="B1429" s="10" t="inlineStr">
        <is>
          <t>Consulting</t>
        </is>
      </c>
      <c r="C1429" s="10">
        <f>IF($BI1429="","",IF($B1429="Onsite",INDEX(tbl_Onsite[Job Number],$BI1429),IF($B1429="Production",INDEX(tbl_Production[Job Number],$BI1429),INDEX(tbl_Consulting[Job Number],$BI1429)))&amp;"")</f>
        <v/>
      </c>
      <c r="D1429" s="10">
        <f>IF($BI1429="","",IF($B1429="Onsite",INDEX(tbl_Onsite[Client],$BI1429),IF($B1429="Production",INDEX(tbl_Production[Client],$BI1429),INDEX(tbl_Consulting[Client],$BI1429)))&amp;"")</f>
        <v/>
      </c>
      <c r="E1429" s="10">
        <f>IF($C1429="","",IF(COUNTIF(lst_Jobs,$C1429)&gt;0,"OK","CHECK"))</f>
        <v/>
      </c>
      <c r="F1429" s="10">
        <f>IF($C1429="","",IFERROR(INDEX(lst_JobName,MATCH($C1429,lst_Jobs,0)),""))</f>
        <v/>
      </c>
      <c r="G1429" s="10">
        <f>IF($BI1429="","",IF($B1429="Onsite",INDEX(tbl_Onsite[Job Description],$BI1429),IF($B1429="Production",INDEX(tbl_Production[Job Description],$BI1429),INDEX(tbl_Consulting[Job Description],$BI1429)))&amp;"")</f>
        <v/>
      </c>
      <c r="H1429" s="10">
        <f>IF($BI1429="","",IF($B1429="Onsite",INDEX(tbl_Onsite[Cost Centre],$BI1429),IF($B1429="Production",INDEX(tbl_Production[Cost Centre],$BI1429),INDEX(tbl_Consulting[Cost Centre],$BI1429)))&amp;"")</f>
        <v/>
      </c>
      <c r="I1429" s="10">
        <f>IF($BI1429="","",IF($B1429="Onsite",INDEX(tbl_Onsite[Invoice Type],$BI1429),IF($B1429="Production",INDEX(tbl_Production[Invoice Type],$BI1429),INDEX(tbl_Consulting[Invoice Type],$BI1429)))&amp;"")</f>
        <v/>
      </c>
      <c r="J1429" s="10">
        <f>IF($BI1429="","",IF($B1429="Onsite",INDEX(tbl_Onsite[Tax Code],$BI1429),IF($B1429="Production",INDEX(tbl_Production[Tax Code],$BI1429),INDEX(tbl_Consulting[Tax Code],$BI1429)))&amp;"")</f>
        <v/>
      </c>
      <c r="K1429" s="10">
        <f>IF(H1429="","",IFERROR(INDEX(lst_CCtoGL,MATCH(H1429,lst_CCforGL,0)),""))</f>
        <v/>
      </c>
      <c r="L1429" s="10">
        <f>IF($BI1429="","",IF($B1429="Onsite",INDEX(tbl_Onsite[PO / Reference],$BI1429),IF($B1429="Production",INDEX(tbl_Production[Current RMS No],$BI1429),INDEX(tbl_Consulting[Qwilr Quote],$BI1429)))&amp;"")</f>
        <v/>
      </c>
      <c r="M1429" s="10">
        <f>IF($BI1429="","",IF($B1429="Onsite",INDEX(tbl_Onsite[Notes],$BI1429),IF($B1429="Production",INDEX(tbl_Production[Notes],$BI1429),INDEX(tbl_Consulting[Notes],$BI1429)))&amp;"")</f>
        <v/>
      </c>
      <c r="N1429" s="11">
        <f>IF($BI1429="","",IF(IF($B1429="Onsite",INDEX(tbl_Onsite[Expected Revenue Ex GST],$BI1429),IF($B1429="Production",INDEX(tbl_Production[Expected Revenue Ex GST],$BI1429),INDEX(tbl_Consulting[Expected Revenue Ex GST],$BI1429)))="","",IF($B1429="Onsite",INDEX(tbl_Onsite[Expected Revenue Ex GST],$BI1429),IF($B1429="Production",INDEX(tbl_Production[Expected Revenue Ex GST],$BI1429),INDEX(tbl_Consulting[Expected Revenue Ex GST],$BI1429)))))</f>
        <v/>
      </c>
      <c r="O1429" s="11">
        <f>IF(AND($C1429="",NOT(COUNTA($S1429:$BB1429)&gt;0)),"",SUM(U1429,X1429,AA1429,AD1429,AG1429,AJ1429,AM1429,AP1429,AS1429,AV1429,AY1429,BB1429))</f>
        <v/>
      </c>
      <c r="P1429" s="11">
        <f>IF(O1429="","",N(N1429)-O1429)</f>
        <v/>
      </c>
      <c r="Q1429" s="10">
        <f>IF(O1429="","",IF($C1429="","Invoice on empty job row",IF(N1429="",IF(ROUND(O1429,2)=0,"No dept value","Invoiced - no dept value"),IF(ROUND(O1429,2)=0,"Not invoiced - to invoice",IF(ROUND(P1429,2)=0,"Agrees",IF(P1429&gt;0,"Dept higher - to invoice","Xero higher - check dept"))))))</f>
        <v/>
      </c>
      <c r="R1429" s="10">
        <f>IF(AND($C1429="",NOT(COUNTA($S1429:$BB1429)&gt;0),$BI1429&lt;&gt;""),"",MID(IF($BI1429="","; Row ID not found on the department sheet - a row was deleted","")&amp;IF(AND($C1429="",COUNTA($S1429:$BB1429)&gt;0),"; Invoice entered but the department row has no job number","")&amp;IF(E1429="CHECK","; Job number not in the Xero job list","")&amp;IF(AND($C1429&lt;&gt;"",COUNTIF($C$7:$C$1506,$C1429)&gt;1),"; Job number on more than one row","")&amp;IF(AND($C1429&lt;&gt;"",H1429=""),"; Dept has not set a cost centre","")&amp;IF(AND($C1429&lt;&gt;"",J1429=""),"; Dept has not set a tax code","")&amp;IF(AND($C1429&lt;&gt;"",N1429=""),"; Dept has not entered an expected value","")&amp;IF((IF(OR(COUNTA(S1429:U1429)=0,AND(COUNTA(S1429:U1429)=3,ISNUMBER(U1429))),0,1)+IF(OR(COUNTA(V1429:X1429)=0,AND(COUNTA(V1429:X1429)=3,ISNUMBER(X1429))),0,1)+IF(OR(COUNTA(Y1429:AA1429)=0,AND(COUNTA(Y1429:AA1429)=3,ISNUMBER(AA1429))),0,1)+IF(OR(COUNTA(AB1429:AD1429)=0,AND(COUNTA(AB1429:AD1429)=3,ISNUMBER(AD1429))),0,1)+IF(OR(COUNTA(AE1429:AG1429)=0,AND(COUNTA(AE1429:AG1429)=3,ISNUMBER(AG1429))),0,1)+IF(OR(COUNTA(AH1429:AJ1429)=0,AND(COUNTA(AH1429:AJ1429)=3,ISNUMBER(AJ1429))),0,1)+IF(OR(COUNTA(AK1429:AM1429)=0,AND(COUNTA(AK1429:AM1429)=3,ISNUMBER(AM1429))),0,1)+IF(OR(COUNTA(AN1429:AP1429)=0,AND(COUNTA(AN1429:AP1429)=3,ISNUMBER(AP1429))),0,1)+IF(OR(COUNTA(AQ1429:AS1429)=0,AND(COUNTA(AQ1429:AS1429)=3,ISNUMBER(AS1429))),0,1)+IF(OR(COUNTA(AT1429:AV1429)=0,AND(COUNTA(AT1429:AV1429)=3,ISNUMBER(AV1429))),0,1)+IF(OR(COUNTA(AW1429:AY1429)=0,AND(COUNTA(AW1429:AY1429)=3,ISNUMBER(AY1429))),0,1)+IF(OR(COUNTA(AZ1429:BB1429)=0,AND(COUNTA(AZ1429:BB1429)=3,ISNUMBER(BB1429))),0,1))&gt;0,"; An invoice is incomplete (needs No, Date and a number in Ex GST)","")&amp;IF((IF(T1429="",0,IFERROR(--(EOMONTH(T1429,0)&lt;&gt;S$5),1))+IF(W1429="",0,IFERROR(--(EOMONTH(W1429,0)&lt;&gt;V$5),1))+IF(Z1429="",0,IFERROR(--(EOMONTH(Z1429,0)&lt;&gt;Y$5),1))+IF(AC1429="",0,IFERROR(--(EOMONTH(AC1429,0)&lt;&gt;AB$5),1))+IF(AF1429="",0,IFERROR(--(EOMONTH(AF1429,0)&lt;&gt;AE$5),1))+IF(AI1429="",0,IFERROR(--(EOMONTH(AI1429,0)&lt;&gt;AH$5),1))+IF(AL1429="",0,IFERROR(--(EOMONTH(AL1429,0)&lt;&gt;AK$5),1))+IF(AO1429="",0,IFERROR(--(EOMONTH(AO1429,0)&lt;&gt;AN$5),1))+IF(AR1429="",0,IFERROR(--(EOMONTH(AR1429,0)&lt;&gt;AQ$5),1))+IF(AU1429="",0,IFERROR(--(EOMONTH(AU1429,0)&lt;&gt;AT$5),1))+IF(AX1429="",0,IFERROR(--(EOMONTH(AX1429,0)&lt;&gt;AW$5),1))+IF(BA1429="",0,IFERROR(--(EOMONTH(BA1429,0)&lt;&gt;AZ$5),1)))&gt;0,"; An invoice date is not in the month it is typed under",""),3,500))</f>
        <v/>
      </c>
      <c r="S1429" s="12" t="n"/>
      <c r="T1429" s="13" t="n"/>
      <c r="U1429" s="14" t="n"/>
      <c r="V1429" s="12" t="n"/>
      <c r="W1429" s="13" t="n"/>
      <c r="X1429" s="14" t="n"/>
      <c r="Y1429" s="12" t="n"/>
      <c r="Z1429" s="13" t="n"/>
      <c r="AA1429" s="14" t="n"/>
      <c r="AB1429" s="12" t="n"/>
      <c r="AC1429" s="13" t="n"/>
      <c r="AD1429" s="14" t="n"/>
      <c r="AE1429" s="12" t="n"/>
      <c r="AF1429" s="13" t="n"/>
      <c r="AG1429" s="14" t="n"/>
      <c r="AH1429" s="12" t="n"/>
      <c r="AI1429" s="13" t="n"/>
      <c r="AJ1429" s="14" t="n"/>
      <c r="AK1429" s="12" t="n"/>
      <c r="AL1429" s="13" t="n"/>
      <c r="AM1429" s="14" t="n"/>
      <c r="AN1429" s="12" t="n"/>
      <c r="AO1429" s="13" t="n"/>
      <c r="AP1429" s="14" t="n"/>
      <c r="AQ1429" s="12" t="n"/>
      <c r="AR1429" s="13" t="n"/>
      <c r="AS1429" s="14" t="n"/>
      <c r="AT1429" s="12" t="n"/>
      <c r="AU1429" s="13" t="n"/>
      <c r="AV1429" s="14" t="n"/>
      <c r="AW1429" s="12" t="n"/>
      <c r="AX1429" s="13" t="n"/>
      <c r="AY1429" s="14" t="n"/>
      <c r="AZ1429" s="12" t="n"/>
      <c r="BA1429" s="13" t="n"/>
      <c r="BB1429" s="14" t="n"/>
      <c r="BC1429" s="11">
        <f>IF(O1429="","",IF(J1429="GST 10%",ROUND(O1429*set_GSTRate,2),0))</f>
        <v/>
      </c>
      <c r="BD1429" s="11">
        <f>IF(O1429="","",O1429+BC1429)</f>
        <v/>
      </c>
      <c r="BE1429" s="15">
        <f>IF(O1429="","",COUNTA(S1429,V1429,Y1429,AB1429,AE1429,AH1429,AK1429,AN1429,AQ1429,AT1429,AW1429,AZ1429))</f>
        <v/>
      </c>
      <c r="BF1429" s="16">
        <f>IF(COUNT(T1429,W1429,Z1429,AC1429,AF1429,AI1429,AL1429,AO1429,AR1429,AU1429,AX1429,BA1429)=0,"",MAX(T1429,W1429,Z1429,AC1429,AF1429,AI1429,AL1429,AO1429,AR1429,AU1429,AX1429,BA1429))</f>
        <v/>
      </c>
      <c r="BG1429" s="10">
        <f>MID(IF(S1429="","",", "&amp;S1429)&amp;IF(V1429="","",", "&amp;V1429)&amp;IF(Y1429="","",", "&amp;Y1429)&amp;IF(AB1429="","",", "&amp;AB1429)&amp;IF(AE1429="","",", "&amp;AE1429)&amp;IF(AH1429="","",", "&amp;AH1429)&amp;IF(AK1429="","",", "&amp;AK1429)&amp;IF(AN1429="","",", "&amp;AN1429)&amp;IF(AQ1429="","",", "&amp;AQ1429)&amp;IF(AT1429="","",", "&amp;AT1429)&amp;IF(AW1429="","",", "&amp;AW1429)&amp;IF(AZ1429="","",", "&amp;AZ1429),3,500)</f>
        <v/>
      </c>
      <c r="BH1429" s="12" t="n"/>
      <c r="BI1429" s="15">
        <f>IFERROR(MATCH($A1429,IF($B1429="Onsite",tbl_Onsite[Row ID],IF($B1429="Production",tbl_Production[Row ID],tbl_Consulting[Row ID])),0),"")</f>
        <v/>
      </c>
    </row>
    <row r="1430">
      <c r="A1430" s="10" t="inlineStr">
        <is>
          <t>CON-0424</t>
        </is>
      </c>
      <c r="B1430" s="10" t="inlineStr">
        <is>
          <t>Consulting</t>
        </is>
      </c>
      <c r="C1430" s="10">
        <f>IF($BI1430="","",IF($B1430="Onsite",INDEX(tbl_Onsite[Job Number],$BI1430),IF($B1430="Production",INDEX(tbl_Production[Job Number],$BI1430),INDEX(tbl_Consulting[Job Number],$BI1430)))&amp;"")</f>
        <v/>
      </c>
      <c r="D1430" s="10">
        <f>IF($BI1430="","",IF($B1430="Onsite",INDEX(tbl_Onsite[Client],$BI1430),IF($B1430="Production",INDEX(tbl_Production[Client],$BI1430),INDEX(tbl_Consulting[Client],$BI1430)))&amp;"")</f>
        <v/>
      </c>
      <c r="E1430" s="10">
        <f>IF($C1430="","",IF(COUNTIF(lst_Jobs,$C1430)&gt;0,"OK","CHECK"))</f>
        <v/>
      </c>
      <c r="F1430" s="10">
        <f>IF($C1430="","",IFERROR(INDEX(lst_JobName,MATCH($C1430,lst_Jobs,0)),""))</f>
        <v/>
      </c>
      <c r="G1430" s="10">
        <f>IF($BI1430="","",IF($B1430="Onsite",INDEX(tbl_Onsite[Job Description],$BI1430),IF($B1430="Production",INDEX(tbl_Production[Job Description],$BI1430),INDEX(tbl_Consulting[Job Description],$BI1430)))&amp;"")</f>
        <v/>
      </c>
      <c r="H1430" s="10">
        <f>IF($BI1430="","",IF($B1430="Onsite",INDEX(tbl_Onsite[Cost Centre],$BI1430),IF($B1430="Production",INDEX(tbl_Production[Cost Centre],$BI1430),INDEX(tbl_Consulting[Cost Centre],$BI1430)))&amp;"")</f>
        <v/>
      </c>
      <c r="I1430" s="10">
        <f>IF($BI1430="","",IF($B1430="Onsite",INDEX(tbl_Onsite[Invoice Type],$BI1430),IF($B1430="Production",INDEX(tbl_Production[Invoice Type],$BI1430),INDEX(tbl_Consulting[Invoice Type],$BI1430)))&amp;"")</f>
        <v/>
      </c>
      <c r="J1430" s="10">
        <f>IF($BI1430="","",IF($B1430="Onsite",INDEX(tbl_Onsite[Tax Code],$BI1430),IF($B1430="Production",INDEX(tbl_Production[Tax Code],$BI1430),INDEX(tbl_Consulting[Tax Code],$BI1430)))&amp;"")</f>
        <v/>
      </c>
      <c r="K1430" s="10">
        <f>IF(H1430="","",IFERROR(INDEX(lst_CCtoGL,MATCH(H1430,lst_CCforGL,0)),""))</f>
        <v/>
      </c>
      <c r="L1430" s="10">
        <f>IF($BI1430="","",IF($B1430="Onsite",INDEX(tbl_Onsite[PO / Reference],$BI1430),IF($B1430="Production",INDEX(tbl_Production[Current RMS No],$BI1430),INDEX(tbl_Consulting[Qwilr Quote],$BI1430)))&amp;"")</f>
        <v/>
      </c>
      <c r="M1430" s="10">
        <f>IF($BI1430="","",IF($B1430="Onsite",INDEX(tbl_Onsite[Notes],$BI1430),IF($B1430="Production",INDEX(tbl_Production[Notes],$BI1430),INDEX(tbl_Consulting[Notes],$BI1430)))&amp;"")</f>
        <v/>
      </c>
      <c r="N1430" s="11">
        <f>IF($BI1430="","",IF(IF($B1430="Onsite",INDEX(tbl_Onsite[Expected Revenue Ex GST],$BI1430),IF($B1430="Production",INDEX(tbl_Production[Expected Revenue Ex GST],$BI1430),INDEX(tbl_Consulting[Expected Revenue Ex GST],$BI1430)))="","",IF($B1430="Onsite",INDEX(tbl_Onsite[Expected Revenue Ex GST],$BI1430),IF($B1430="Production",INDEX(tbl_Production[Expected Revenue Ex GST],$BI1430),INDEX(tbl_Consulting[Expected Revenue Ex GST],$BI1430)))))</f>
        <v/>
      </c>
      <c r="O1430" s="11">
        <f>IF(AND($C1430="",NOT(COUNTA($S1430:$BB1430)&gt;0)),"",SUM(U1430,X1430,AA1430,AD1430,AG1430,AJ1430,AM1430,AP1430,AS1430,AV1430,AY1430,BB1430))</f>
        <v/>
      </c>
      <c r="P1430" s="11">
        <f>IF(O1430="","",N(N1430)-O1430)</f>
        <v/>
      </c>
      <c r="Q1430" s="10">
        <f>IF(O1430="","",IF($C1430="","Invoice on empty job row",IF(N1430="",IF(ROUND(O1430,2)=0,"No dept value","Invoiced - no dept value"),IF(ROUND(O1430,2)=0,"Not invoiced - to invoice",IF(ROUND(P1430,2)=0,"Agrees",IF(P1430&gt;0,"Dept higher - to invoice","Xero higher - check dept"))))))</f>
        <v/>
      </c>
      <c r="R1430" s="10">
        <f>IF(AND($C1430="",NOT(COUNTA($S1430:$BB1430)&gt;0),$BI1430&lt;&gt;""),"",MID(IF($BI1430="","; Row ID not found on the department sheet - a row was deleted","")&amp;IF(AND($C1430="",COUNTA($S1430:$BB1430)&gt;0),"; Invoice entered but the department row has no job number","")&amp;IF(E1430="CHECK","; Job number not in the Xero job list","")&amp;IF(AND($C1430&lt;&gt;"",COUNTIF($C$7:$C$1506,$C1430)&gt;1),"; Job number on more than one row","")&amp;IF(AND($C1430&lt;&gt;"",H1430=""),"; Dept has not set a cost centre","")&amp;IF(AND($C1430&lt;&gt;"",J1430=""),"; Dept has not set a tax code","")&amp;IF(AND($C1430&lt;&gt;"",N1430=""),"; Dept has not entered an expected value","")&amp;IF((IF(OR(COUNTA(S1430:U1430)=0,AND(COUNTA(S1430:U1430)=3,ISNUMBER(U1430))),0,1)+IF(OR(COUNTA(V1430:X1430)=0,AND(COUNTA(V1430:X1430)=3,ISNUMBER(X1430))),0,1)+IF(OR(COUNTA(Y1430:AA1430)=0,AND(COUNTA(Y1430:AA1430)=3,ISNUMBER(AA1430))),0,1)+IF(OR(COUNTA(AB1430:AD1430)=0,AND(COUNTA(AB1430:AD1430)=3,ISNUMBER(AD1430))),0,1)+IF(OR(COUNTA(AE1430:AG1430)=0,AND(COUNTA(AE1430:AG1430)=3,ISNUMBER(AG1430))),0,1)+IF(OR(COUNTA(AH1430:AJ1430)=0,AND(COUNTA(AH1430:AJ1430)=3,ISNUMBER(AJ1430))),0,1)+IF(OR(COUNTA(AK1430:AM1430)=0,AND(COUNTA(AK1430:AM1430)=3,ISNUMBER(AM1430))),0,1)+IF(OR(COUNTA(AN1430:AP1430)=0,AND(COUNTA(AN1430:AP1430)=3,ISNUMBER(AP1430))),0,1)+IF(OR(COUNTA(AQ1430:AS1430)=0,AND(COUNTA(AQ1430:AS1430)=3,ISNUMBER(AS1430))),0,1)+IF(OR(COUNTA(AT1430:AV1430)=0,AND(COUNTA(AT1430:AV1430)=3,ISNUMBER(AV1430))),0,1)+IF(OR(COUNTA(AW1430:AY1430)=0,AND(COUNTA(AW1430:AY1430)=3,ISNUMBER(AY1430))),0,1)+IF(OR(COUNTA(AZ1430:BB1430)=0,AND(COUNTA(AZ1430:BB1430)=3,ISNUMBER(BB1430))),0,1))&gt;0,"; An invoice is incomplete (needs No, Date and a number in Ex GST)","")&amp;IF((IF(T1430="",0,IFERROR(--(EOMONTH(T1430,0)&lt;&gt;S$5),1))+IF(W1430="",0,IFERROR(--(EOMONTH(W1430,0)&lt;&gt;V$5),1))+IF(Z1430="",0,IFERROR(--(EOMONTH(Z1430,0)&lt;&gt;Y$5),1))+IF(AC1430="",0,IFERROR(--(EOMONTH(AC1430,0)&lt;&gt;AB$5),1))+IF(AF1430="",0,IFERROR(--(EOMONTH(AF1430,0)&lt;&gt;AE$5),1))+IF(AI1430="",0,IFERROR(--(EOMONTH(AI1430,0)&lt;&gt;AH$5),1))+IF(AL1430="",0,IFERROR(--(EOMONTH(AL1430,0)&lt;&gt;AK$5),1))+IF(AO1430="",0,IFERROR(--(EOMONTH(AO1430,0)&lt;&gt;AN$5),1))+IF(AR1430="",0,IFERROR(--(EOMONTH(AR1430,0)&lt;&gt;AQ$5),1))+IF(AU1430="",0,IFERROR(--(EOMONTH(AU1430,0)&lt;&gt;AT$5),1))+IF(AX1430="",0,IFERROR(--(EOMONTH(AX1430,0)&lt;&gt;AW$5),1))+IF(BA1430="",0,IFERROR(--(EOMONTH(BA1430,0)&lt;&gt;AZ$5),1)))&gt;0,"; An invoice date is not in the month it is typed under",""),3,500))</f>
        <v/>
      </c>
      <c r="S1430" s="12" t="n"/>
      <c r="T1430" s="13" t="n"/>
      <c r="U1430" s="14" t="n"/>
      <c r="V1430" s="12" t="n"/>
      <c r="W1430" s="13" t="n"/>
      <c r="X1430" s="14" t="n"/>
      <c r="Y1430" s="12" t="n"/>
      <c r="Z1430" s="13" t="n"/>
      <c r="AA1430" s="14" t="n"/>
      <c r="AB1430" s="12" t="n"/>
      <c r="AC1430" s="13" t="n"/>
      <c r="AD1430" s="14" t="n"/>
      <c r="AE1430" s="12" t="n"/>
      <c r="AF1430" s="13" t="n"/>
      <c r="AG1430" s="14" t="n"/>
      <c r="AH1430" s="12" t="n"/>
      <c r="AI1430" s="13" t="n"/>
      <c r="AJ1430" s="14" t="n"/>
      <c r="AK1430" s="12" t="n"/>
      <c r="AL1430" s="13" t="n"/>
      <c r="AM1430" s="14" t="n"/>
      <c r="AN1430" s="12" t="n"/>
      <c r="AO1430" s="13" t="n"/>
      <c r="AP1430" s="14" t="n"/>
      <c r="AQ1430" s="12" t="n"/>
      <c r="AR1430" s="13" t="n"/>
      <c r="AS1430" s="14" t="n"/>
      <c r="AT1430" s="12" t="n"/>
      <c r="AU1430" s="13" t="n"/>
      <c r="AV1430" s="14" t="n"/>
      <c r="AW1430" s="12" t="n"/>
      <c r="AX1430" s="13" t="n"/>
      <c r="AY1430" s="14" t="n"/>
      <c r="AZ1430" s="12" t="n"/>
      <c r="BA1430" s="13" t="n"/>
      <c r="BB1430" s="14" t="n"/>
      <c r="BC1430" s="11">
        <f>IF(O1430="","",IF(J1430="GST 10%",ROUND(O1430*set_GSTRate,2),0))</f>
        <v/>
      </c>
      <c r="BD1430" s="11">
        <f>IF(O1430="","",O1430+BC1430)</f>
        <v/>
      </c>
      <c r="BE1430" s="15">
        <f>IF(O1430="","",COUNTA(S1430,V1430,Y1430,AB1430,AE1430,AH1430,AK1430,AN1430,AQ1430,AT1430,AW1430,AZ1430))</f>
        <v/>
      </c>
      <c r="BF1430" s="16">
        <f>IF(COUNT(T1430,W1430,Z1430,AC1430,AF1430,AI1430,AL1430,AO1430,AR1430,AU1430,AX1430,BA1430)=0,"",MAX(T1430,W1430,Z1430,AC1430,AF1430,AI1430,AL1430,AO1430,AR1430,AU1430,AX1430,BA1430))</f>
        <v/>
      </c>
      <c r="BG1430" s="10">
        <f>MID(IF(S1430="","",", "&amp;S1430)&amp;IF(V1430="","",", "&amp;V1430)&amp;IF(Y1430="","",", "&amp;Y1430)&amp;IF(AB1430="","",", "&amp;AB1430)&amp;IF(AE1430="","",", "&amp;AE1430)&amp;IF(AH1430="","",", "&amp;AH1430)&amp;IF(AK1430="","",", "&amp;AK1430)&amp;IF(AN1430="","",", "&amp;AN1430)&amp;IF(AQ1430="","",", "&amp;AQ1430)&amp;IF(AT1430="","",", "&amp;AT1430)&amp;IF(AW1430="","",", "&amp;AW1430)&amp;IF(AZ1430="","",", "&amp;AZ1430),3,500)</f>
        <v/>
      </c>
      <c r="BH1430" s="12" t="n"/>
      <c r="BI1430" s="15">
        <f>IFERROR(MATCH($A1430,IF($B1430="Onsite",tbl_Onsite[Row ID],IF($B1430="Production",tbl_Production[Row ID],tbl_Consulting[Row ID])),0),"")</f>
        <v/>
      </c>
    </row>
    <row r="1431">
      <c r="A1431" s="10" t="inlineStr">
        <is>
          <t>CON-0425</t>
        </is>
      </c>
      <c r="B1431" s="10" t="inlineStr">
        <is>
          <t>Consulting</t>
        </is>
      </c>
      <c r="C1431" s="10">
        <f>IF($BI1431="","",IF($B1431="Onsite",INDEX(tbl_Onsite[Job Number],$BI1431),IF($B1431="Production",INDEX(tbl_Production[Job Number],$BI1431),INDEX(tbl_Consulting[Job Number],$BI1431)))&amp;"")</f>
        <v/>
      </c>
      <c r="D1431" s="10">
        <f>IF($BI1431="","",IF($B1431="Onsite",INDEX(tbl_Onsite[Client],$BI1431),IF($B1431="Production",INDEX(tbl_Production[Client],$BI1431),INDEX(tbl_Consulting[Client],$BI1431)))&amp;"")</f>
        <v/>
      </c>
      <c r="E1431" s="10">
        <f>IF($C1431="","",IF(COUNTIF(lst_Jobs,$C1431)&gt;0,"OK","CHECK"))</f>
        <v/>
      </c>
      <c r="F1431" s="10">
        <f>IF($C1431="","",IFERROR(INDEX(lst_JobName,MATCH($C1431,lst_Jobs,0)),""))</f>
        <v/>
      </c>
      <c r="G1431" s="10">
        <f>IF($BI1431="","",IF($B1431="Onsite",INDEX(tbl_Onsite[Job Description],$BI1431),IF($B1431="Production",INDEX(tbl_Production[Job Description],$BI1431),INDEX(tbl_Consulting[Job Description],$BI1431)))&amp;"")</f>
        <v/>
      </c>
      <c r="H1431" s="10">
        <f>IF($BI1431="","",IF($B1431="Onsite",INDEX(tbl_Onsite[Cost Centre],$BI1431),IF($B1431="Production",INDEX(tbl_Production[Cost Centre],$BI1431),INDEX(tbl_Consulting[Cost Centre],$BI1431)))&amp;"")</f>
        <v/>
      </c>
      <c r="I1431" s="10">
        <f>IF($BI1431="","",IF($B1431="Onsite",INDEX(tbl_Onsite[Invoice Type],$BI1431),IF($B1431="Production",INDEX(tbl_Production[Invoice Type],$BI1431),INDEX(tbl_Consulting[Invoice Type],$BI1431)))&amp;"")</f>
        <v/>
      </c>
      <c r="J1431" s="10">
        <f>IF($BI1431="","",IF($B1431="Onsite",INDEX(tbl_Onsite[Tax Code],$BI1431),IF($B1431="Production",INDEX(tbl_Production[Tax Code],$BI1431),INDEX(tbl_Consulting[Tax Code],$BI1431)))&amp;"")</f>
        <v/>
      </c>
      <c r="K1431" s="10">
        <f>IF(H1431="","",IFERROR(INDEX(lst_CCtoGL,MATCH(H1431,lst_CCforGL,0)),""))</f>
        <v/>
      </c>
      <c r="L1431" s="10">
        <f>IF($BI1431="","",IF($B1431="Onsite",INDEX(tbl_Onsite[PO / Reference],$BI1431),IF($B1431="Production",INDEX(tbl_Production[Current RMS No],$BI1431),INDEX(tbl_Consulting[Qwilr Quote],$BI1431)))&amp;"")</f>
        <v/>
      </c>
      <c r="M1431" s="10">
        <f>IF($BI1431="","",IF($B1431="Onsite",INDEX(tbl_Onsite[Notes],$BI1431),IF($B1431="Production",INDEX(tbl_Production[Notes],$BI1431),INDEX(tbl_Consulting[Notes],$BI1431)))&amp;"")</f>
        <v/>
      </c>
      <c r="N1431" s="11">
        <f>IF($BI1431="","",IF(IF($B1431="Onsite",INDEX(tbl_Onsite[Expected Revenue Ex GST],$BI1431),IF($B1431="Production",INDEX(tbl_Production[Expected Revenue Ex GST],$BI1431),INDEX(tbl_Consulting[Expected Revenue Ex GST],$BI1431)))="","",IF($B1431="Onsite",INDEX(tbl_Onsite[Expected Revenue Ex GST],$BI1431),IF($B1431="Production",INDEX(tbl_Production[Expected Revenue Ex GST],$BI1431),INDEX(tbl_Consulting[Expected Revenue Ex GST],$BI1431)))))</f>
        <v/>
      </c>
      <c r="O1431" s="11">
        <f>IF(AND($C1431="",NOT(COUNTA($S1431:$BB1431)&gt;0)),"",SUM(U1431,X1431,AA1431,AD1431,AG1431,AJ1431,AM1431,AP1431,AS1431,AV1431,AY1431,BB1431))</f>
        <v/>
      </c>
      <c r="P1431" s="11">
        <f>IF(O1431="","",N(N1431)-O1431)</f>
        <v/>
      </c>
      <c r="Q1431" s="10">
        <f>IF(O1431="","",IF($C1431="","Invoice on empty job row",IF(N1431="",IF(ROUND(O1431,2)=0,"No dept value","Invoiced - no dept value"),IF(ROUND(O1431,2)=0,"Not invoiced - to invoice",IF(ROUND(P1431,2)=0,"Agrees",IF(P1431&gt;0,"Dept higher - to invoice","Xero higher - check dept"))))))</f>
        <v/>
      </c>
      <c r="R1431" s="10">
        <f>IF(AND($C1431="",NOT(COUNTA($S1431:$BB1431)&gt;0),$BI1431&lt;&gt;""),"",MID(IF($BI1431="","; Row ID not found on the department sheet - a row was deleted","")&amp;IF(AND($C1431="",COUNTA($S1431:$BB1431)&gt;0),"; Invoice entered but the department row has no job number","")&amp;IF(E1431="CHECK","; Job number not in the Xero job list","")&amp;IF(AND($C1431&lt;&gt;"",COUNTIF($C$7:$C$1506,$C1431)&gt;1),"; Job number on more than one row","")&amp;IF(AND($C1431&lt;&gt;"",H1431=""),"; Dept has not set a cost centre","")&amp;IF(AND($C1431&lt;&gt;"",J1431=""),"; Dept has not set a tax code","")&amp;IF(AND($C1431&lt;&gt;"",N1431=""),"; Dept has not entered an expected value","")&amp;IF((IF(OR(COUNTA(S1431:U1431)=0,AND(COUNTA(S1431:U1431)=3,ISNUMBER(U1431))),0,1)+IF(OR(COUNTA(V1431:X1431)=0,AND(COUNTA(V1431:X1431)=3,ISNUMBER(X1431))),0,1)+IF(OR(COUNTA(Y1431:AA1431)=0,AND(COUNTA(Y1431:AA1431)=3,ISNUMBER(AA1431))),0,1)+IF(OR(COUNTA(AB1431:AD1431)=0,AND(COUNTA(AB1431:AD1431)=3,ISNUMBER(AD1431))),0,1)+IF(OR(COUNTA(AE1431:AG1431)=0,AND(COUNTA(AE1431:AG1431)=3,ISNUMBER(AG1431))),0,1)+IF(OR(COUNTA(AH1431:AJ1431)=0,AND(COUNTA(AH1431:AJ1431)=3,ISNUMBER(AJ1431))),0,1)+IF(OR(COUNTA(AK1431:AM1431)=0,AND(COUNTA(AK1431:AM1431)=3,ISNUMBER(AM1431))),0,1)+IF(OR(COUNTA(AN1431:AP1431)=0,AND(COUNTA(AN1431:AP1431)=3,ISNUMBER(AP1431))),0,1)+IF(OR(COUNTA(AQ1431:AS1431)=0,AND(COUNTA(AQ1431:AS1431)=3,ISNUMBER(AS1431))),0,1)+IF(OR(COUNTA(AT1431:AV1431)=0,AND(COUNTA(AT1431:AV1431)=3,ISNUMBER(AV1431))),0,1)+IF(OR(COUNTA(AW1431:AY1431)=0,AND(COUNTA(AW1431:AY1431)=3,ISNUMBER(AY1431))),0,1)+IF(OR(COUNTA(AZ1431:BB1431)=0,AND(COUNTA(AZ1431:BB1431)=3,ISNUMBER(BB1431))),0,1))&gt;0,"; An invoice is incomplete (needs No, Date and a number in Ex GST)","")&amp;IF((IF(T1431="",0,IFERROR(--(EOMONTH(T1431,0)&lt;&gt;S$5),1))+IF(W1431="",0,IFERROR(--(EOMONTH(W1431,0)&lt;&gt;V$5),1))+IF(Z1431="",0,IFERROR(--(EOMONTH(Z1431,0)&lt;&gt;Y$5),1))+IF(AC1431="",0,IFERROR(--(EOMONTH(AC1431,0)&lt;&gt;AB$5),1))+IF(AF1431="",0,IFERROR(--(EOMONTH(AF1431,0)&lt;&gt;AE$5),1))+IF(AI1431="",0,IFERROR(--(EOMONTH(AI1431,0)&lt;&gt;AH$5),1))+IF(AL1431="",0,IFERROR(--(EOMONTH(AL1431,0)&lt;&gt;AK$5),1))+IF(AO1431="",0,IFERROR(--(EOMONTH(AO1431,0)&lt;&gt;AN$5),1))+IF(AR1431="",0,IFERROR(--(EOMONTH(AR1431,0)&lt;&gt;AQ$5),1))+IF(AU1431="",0,IFERROR(--(EOMONTH(AU1431,0)&lt;&gt;AT$5),1))+IF(AX1431="",0,IFERROR(--(EOMONTH(AX1431,0)&lt;&gt;AW$5),1))+IF(BA1431="",0,IFERROR(--(EOMONTH(BA1431,0)&lt;&gt;AZ$5),1)))&gt;0,"; An invoice date is not in the month it is typed under",""),3,500))</f>
        <v/>
      </c>
      <c r="S1431" s="12" t="n"/>
      <c r="T1431" s="13" t="n"/>
      <c r="U1431" s="14" t="n"/>
      <c r="V1431" s="12" t="n"/>
      <c r="W1431" s="13" t="n"/>
      <c r="X1431" s="14" t="n"/>
      <c r="Y1431" s="12" t="n"/>
      <c r="Z1431" s="13" t="n"/>
      <c r="AA1431" s="14" t="n"/>
      <c r="AB1431" s="12" t="n"/>
      <c r="AC1431" s="13" t="n"/>
      <c r="AD1431" s="14" t="n"/>
      <c r="AE1431" s="12" t="n"/>
      <c r="AF1431" s="13" t="n"/>
      <c r="AG1431" s="14" t="n"/>
      <c r="AH1431" s="12" t="n"/>
      <c r="AI1431" s="13" t="n"/>
      <c r="AJ1431" s="14" t="n"/>
      <c r="AK1431" s="12" t="n"/>
      <c r="AL1431" s="13" t="n"/>
      <c r="AM1431" s="14" t="n"/>
      <c r="AN1431" s="12" t="n"/>
      <c r="AO1431" s="13" t="n"/>
      <c r="AP1431" s="14" t="n"/>
      <c r="AQ1431" s="12" t="n"/>
      <c r="AR1431" s="13" t="n"/>
      <c r="AS1431" s="14" t="n"/>
      <c r="AT1431" s="12" t="n"/>
      <c r="AU1431" s="13" t="n"/>
      <c r="AV1431" s="14" t="n"/>
      <c r="AW1431" s="12" t="n"/>
      <c r="AX1431" s="13" t="n"/>
      <c r="AY1431" s="14" t="n"/>
      <c r="AZ1431" s="12" t="n"/>
      <c r="BA1431" s="13" t="n"/>
      <c r="BB1431" s="14" t="n"/>
      <c r="BC1431" s="11">
        <f>IF(O1431="","",IF(J1431="GST 10%",ROUND(O1431*set_GSTRate,2),0))</f>
        <v/>
      </c>
      <c r="BD1431" s="11">
        <f>IF(O1431="","",O1431+BC1431)</f>
        <v/>
      </c>
      <c r="BE1431" s="15">
        <f>IF(O1431="","",COUNTA(S1431,V1431,Y1431,AB1431,AE1431,AH1431,AK1431,AN1431,AQ1431,AT1431,AW1431,AZ1431))</f>
        <v/>
      </c>
      <c r="BF1431" s="16">
        <f>IF(COUNT(T1431,W1431,Z1431,AC1431,AF1431,AI1431,AL1431,AO1431,AR1431,AU1431,AX1431,BA1431)=0,"",MAX(T1431,W1431,Z1431,AC1431,AF1431,AI1431,AL1431,AO1431,AR1431,AU1431,AX1431,BA1431))</f>
        <v/>
      </c>
      <c r="BG1431" s="10">
        <f>MID(IF(S1431="","",", "&amp;S1431)&amp;IF(V1431="","",", "&amp;V1431)&amp;IF(Y1431="","",", "&amp;Y1431)&amp;IF(AB1431="","",", "&amp;AB1431)&amp;IF(AE1431="","",", "&amp;AE1431)&amp;IF(AH1431="","",", "&amp;AH1431)&amp;IF(AK1431="","",", "&amp;AK1431)&amp;IF(AN1431="","",", "&amp;AN1431)&amp;IF(AQ1431="","",", "&amp;AQ1431)&amp;IF(AT1431="","",", "&amp;AT1431)&amp;IF(AW1431="","",", "&amp;AW1431)&amp;IF(AZ1431="","",", "&amp;AZ1431),3,500)</f>
        <v/>
      </c>
      <c r="BH1431" s="12" t="n"/>
      <c r="BI1431" s="15">
        <f>IFERROR(MATCH($A1431,IF($B1431="Onsite",tbl_Onsite[Row ID],IF($B1431="Production",tbl_Production[Row ID],tbl_Consulting[Row ID])),0),"")</f>
        <v/>
      </c>
    </row>
    <row r="1432">
      <c r="A1432" s="10" t="inlineStr">
        <is>
          <t>CON-0426</t>
        </is>
      </c>
      <c r="B1432" s="10" t="inlineStr">
        <is>
          <t>Consulting</t>
        </is>
      </c>
      <c r="C1432" s="10">
        <f>IF($BI1432="","",IF($B1432="Onsite",INDEX(tbl_Onsite[Job Number],$BI1432),IF($B1432="Production",INDEX(tbl_Production[Job Number],$BI1432),INDEX(tbl_Consulting[Job Number],$BI1432)))&amp;"")</f>
        <v/>
      </c>
      <c r="D1432" s="10">
        <f>IF($BI1432="","",IF($B1432="Onsite",INDEX(tbl_Onsite[Client],$BI1432),IF($B1432="Production",INDEX(tbl_Production[Client],$BI1432),INDEX(tbl_Consulting[Client],$BI1432)))&amp;"")</f>
        <v/>
      </c>
      <c r="E1432" s="10">
        <f>IF($C1432="","",IF(COUNTIF(lst_Jobs,$C1432)&gt;0,"OK","CHECK"))</f>
        <v/>
      </c>
      <c r="F1432" s="10">
        <f>IF($C1432="","",IFERROR(INDEX(lst_JobName,MATCH($C1432,lst_Jobs,0)),""))</f>
        <v/>
      </c>
      <c r="G1432" s="10">
        <f>IF($BI1432="","",IF($B1432="Onsite",INDEX(tbl_Onsite[Job Description],$BI1432),IF($B1432="Production",INDEX(tbl_Production[Job Description],$BI1432),INDEX(tbl_Consulting[Job Description],$BI1432)))&amp;"")</f>
        <v/>
      </c>
      <c r="H1432" s="10">
        <f>IF($BI1432="","",IF($B1432="Onsite",INDEX(tbl_Onsite[Cost Centre],$BI1432),IF($B1432="Production",INDEX(tbl_Production[Cost Centre],$BI1432),INDEX(tbl_Consulting[Cost Centre],$BI1432)))&amp;"")</f>
        <v/>
      </c>
      <c r="I1432" s="10">
        <f>IF($BI1432="","",IF($B1432="Onsite",INDEX(tbl_Onsite[Invoice Type],$BI1432),IF($B1432="Production",INDEX(tbl_Production[Invoice Type],$BI1432),INDEX(tbl_Consulting[Invoice Type],$BI1432)))&amp;"")</f>
        <v/>
      </c>
      <c r="J1432" s="10">
        <f>IF($BI1432="","",IF($B1432="Onsite",INDEX(tbl_Onsite[Tax Code],$BI1432),IF($B1432="Production",INDEX(tbl_Production[Tax Code],$BI1432),INDEX(tbl_Consulting[Tax Code],$BI1432)))&amp;"")</f>
        <v/>
      </c>
      <c r="K1432" s="10">
        <f>IF(H1432="","",IFERROR(INDEX(lst_CCtoGL,MATCH(H1432,lst_CCforGL,0)),""))</f>
        <v/>
      </c>
      <c r="L1432" s="10">
        <f>IF($BI1432="","",IF($B1432="Onsite",INDEX(tbl_Onsite[PO / Reference],$BI1432),IF($B1432="Production",INDEX(tbl_Production[Current RMS No],$BI1432),INDEX(tbl_Consulting[Qwilr Quote],$BI1432)))&amp;"")</f>
        <v/>
      </c>
      <c r="M1432" s="10">
        <f>IF($BI1432="","",IF($B1432="Onsite",INDEX(tbl_Onsite[Notes],$BI1432),IF($B1432="Production",INDEX(tbl_Production[Notes],$BI1432),INDEX(tbl_Consulting[Notes],$BI1432)))&amp;"")</f>
        <v/>
      </c>
      <c r="N1432" s="11">
        <f>IF($BI1432="","",IF(IF($B1432="Onsite",INDEX(tbl_Onsite[Expected Revenue Ex GST],$BI1432),IF($B1432="Production",INDEX(tbl_Production[Expected Revenue Ex GST],$BI1432),INDEX(tbl_Consulting[Expected Revenue Ex GST],$BI1432)))="","",IF($B1432="Onsite",INDEX(tbl_Onsite[Expected Revenue Ex GST],$BI1432),IF($B1432="Production",INDEX(tbl_Production[Expected Revenue Ex GST],$BI1432),INDEX(tbl_Consulting[Expected Revenue Ex GST],$BI1432)))))</f>
        <v/>
      </c>
      <c r="O1432" s="11">
        <f>IF(AND($C1432="",NOT(COUNTA($S1432:$BB1432)&gt;0)),"",SUM(U1432,X1432,AA1432,AD1432,AG1432,AJ1432,AM1432,AP1432,AS1432,AV1432,AY1432,BB1432))</f>
        <v/>
      </c>
      <c r="P1432" s="11">
        <f>IF(O1432="","",N(N1432)-O1432)</f>
        <v/>
      </c>
      <c r="Q1432" s="10">
        <f>IF(O1432="","",IF($C1432="","Invoice on empty job row",IF(N1432="",IF(ROUND(O1432,2)=0,"No dept value","Invoiced - no dept value"),IF(ROUND(O1432,2)=0,"Not invoiced - to invoice",IF(ROUND(P1432,2)=0,"Agrees",IF(P1432&gt;0,"Dept higher - to invoice","Xero higher - check dept"))))))</f>
        <v/>
      </c>
      <c r="R1432" s="10">
        <f>IF(AND($C1432="",NOT(COUNTA($S1432:$BB1432)&gt;0),$BI1432&lt;&gt;""),"",MID(IF($BI1432="","; Row ID not found on the department sheet - a row was deleted","")&amp;IF(AND($C1432="",COUNTA($S1432:$BB1432)&gt;0),"; Invoice entered but the department row has no job number","")&amp;IF(E1432="CHECK","; Job number not in the Xero job list","")&amp;IF(AND($C1432&lt;&gt;"",COUNTIF($C$7:$C$1506,$C1432)&gt;1),"; Job number on more than one row","")&amp;IF(AND($C1432&lt;&gt;"",H1432=""),"; Dept has not set a cost centre","")&amp;IF(AND($C1432&lt;&gt;"",J1432=""),"; Dept has not set a tax code","")&amp;IF(AND($C1432&lt;&gt;"",N1432=""),"; Dept has not entered an expected value","")&amp;IF((IF(OR(COUNTA(S1432:U1432)=0,AND(COUNTA(S1432:U1432)=3,ISNUMBER(U1432))),0,1)+IF(OR(COUNTA(V1432:X1432)=0,AND(COUNTA(V1432:X1432)=3,ISNUMBER(X1432))),0,1)+IF(OR(COUNTA(Y1432:AA1432)=0,AND(COUNTA(Y1432:AA1432)=3,ISNUMBER(AA1432))),0,1)+IF(OR(COUNTA(AB1432:AD1432)=0,AND(COUNTA(AB1432:AD1432)=3,ISNUMBER(AD1432))),0,1)+IF(OR(COUNTA(AE1432:AG1432)=0,AND(COUNTA(AE1432:AG1432)=3,ISNUMBER(AG1432))),0,1)+IF(OR(COUNTA(AH1432:AJ1432)=0,AND(COUNTA(AH1432:AJ1432)=3,ISNUMBER(AJ1432))),0,1)+IF(OR(COUNTA(AK1432:AM1432)=0,AND(COUNTA(AK1432:AM1432)=3,ISNUMBER(AM1432))),0,1)+IF(OR(COUNTA(AN1432:AP1432)=0,AND(COUNTA(AN1432:AP1432)=3,ISNUMBER(AP1432))),0,1)+IF(OR(COUNTA(AQ1432:AS1432)=0,AND(COUNTA(AQ1432:AS1432)=3,ISNUMBER(AS1432))),0,1)+IF(OR(COUNTA(AT1432:AV1432)=0,AND(COUNTA(AT1432:AV1432)=3,ISNUMBER(AV1432))),0,1)+IF(OR(COUNTA(AW1432:AY1432)=0,AND(COUNTA(AW1432:AY1432)=3,ISNUMBER(AY1432))),0,1)+IF(OR(COUNTA(AZ1432:BB1432)=0,AND(COUNTA(AZ1432:BB1432)=3,ISNUMBER(BB1432))),0,1))&gt;0,"; An invoice is incomplete (needs No, Date and a number in Ex GST)","")&amp;IF((IF(T1432="",0,IFERROR(--(EOMONTH(T1432,0)&lt;&gt;S$5),1))+IF(W1432="",0,IFERROR(--(EOMONTH(W1432,0)&lt;&gt;V$5),1))+IF(Z1432="",0,IFERROR(--(EOMONTH(Z1432,0)&lt;&gt;Y$5),1))+IF(AC1432="",0,IFERROR(--(EOMONTH(AC1432,0)&lt;&gt;AB$5),1))+IF(AF1432="",0,IFERROR(--(EOMONTH(AF1432,0)&lt;&gt;AE$5),1))+IF(AI1432="",0,IFERROR(--(EOMONTH(AI1432,0)&lt;&gt;AH$5),1))+IF(AL1432="",0,IFERROR(--(EOMONTH(AL1432,0)&lt;&gt;AK$5),1))+IF(AO1432="",0,IFERROR(--(EOMONTH(AO1432,0)&lt;&gt;AN$5),1))+IF(AR1432="",0,IFERROR(--(EOMONTH(AR1432,0)&lt;&gt;AQ$5),1))+IF(AU1432="",0,IFERROR(--(EOMONTH(AU1432,0)&lt;&gt;AT$5),1))+IF(AX1432="",0,IFERROR(--(EOMONTH(AX1432,0)&lt;&gt;AW$5),1))+IF(BA1432="",0,IFERROR(--(EOMONTH(BA1432,0)&lt;&gt;AZ$5),1)))&gt;0,"; An invoice date is not in the month it is typed under",""),3,500))</f>
        <v/>
      </c>
      <c r="S1432" s="12" t="n"/>
      <c r="T1432" s="13" t="n"/>
      <c r="U1432" s="14" t="n"/>
      <c r="V1432" s="12" t="n"/>
      <c r="W1432" s="13" t="n"/>
      <c r="X1432" s="14" t="n"/>
      <c r="Y1432" s="12" t="n"/>
      <c r="Z1432" s="13" t="n"/>
      <c r="AA1432" s="14" t="n"/>
      <c r="AB1432" s="12" t="n"/>
      <c r="AC1432" s="13" t="n"/>
      <c r="AD1432" s="14" t="n"/>
      <c r="AE1432" s="12" t="n"/>
      <c r="AF1432" s="13" t="n"/>
      <c r="AG1432" s="14" t="n"/>
      <c r="AH1432" s="12" t="n"/>
      <c r="AI1432" s="13" t="n"/>
      <c r="AJ1432" s="14" t="n"/>
      <c r="AK1432" s="12" t="n"/>
      <c r="AL1432" s="13" t="n"/>
      <c r="AM1432" s="14" t="n"/>
      <c r="AN1432" s="12" t="n"/>
      <c r="AO1432" s="13" t="n"/>
      <c r="AP1432" s="14" t="n"/>
      <c r="AQ1432" s="12" t="n"/>
      <c r="AR1432" s="13" t="n"/>
      <c r="AS1432" s="14" t="n"/>
      <c r="AT1432" s="12" t="n"/>
      <c r="AU1432" s="13" t="n"/>
      <c r="AV1432" s="14" t="n"/>
      <c r="AW1432" s="12" t="n"/>
      <c r="AX1432" s="13" t="n"/>
      <c r="AY1432" s="14" t="n"/>
      <c r="AZ1432" s="12" t="n"/>
      <c r="BA1432" s="13" t="n"/>
      <c r="BB1432" s="14" t="n"/>
      <c r="BC1432" s="11">
        <f>IF(O1432="","",IF(J1432="GST 10%",ROUND(O1432*set_GSTRate,2),0))</f>
        <v/>
      </c>
      <c r="BD1432" s="11">
        <f>IF(O1432="","",O1432+BC1432)</f>
        <v/>
      </c>
      <c r="BE1432" s="15">
        <f>IF(O1432="","",COUNTA(S1432,V1432,Y1432,AB1432,AE1432,AH1432,AK1432,AN1432,AQ1432,AT1432,AW1432,AZ1432))</f>
        <v/>
      </c>
      <c r="BF1432" s="16">
        <f>IF(COUNT(T1432,W1432,Z1432,AC1432,AF1432,AI1432,AL1432,AO1432,AR1432,AU1432,AX1432,BA1432)=0,"",MAX(T1432,W1432,Z1432,AC1432,AF1432,AI1432,AL1432,AO1432,AR1432,AU1432,AX1432,BA1432))</f>
        <v/>
      </c>
      <c r="BG1432" s="10">
        <f>MID(IF(S1432="","",", "&amp;S1432)&amp;IF(V1432="","",", "&amp;V1432)&amp;IF(Y1432="","",", "&amp;Y1432)&amp;IF(AB1432="","",", "&amp;AB1432)&amp;IF(AE1432="","",", "&amp;AE1432)&amp;IF(AH1432="","",", "&amp;AH1432)&amp;IF(AK1432="","",", "&amp;AK1432)&amp;IF(AN1432="","",", "&amp;AN1432)&amp;IF(AQ1432="","",", "&amp;AQ1432)&amp;IF(AT1432="","",", "&amp;AT1432)&amp;IF(AW1432="","",", "&amp;AW1432)&amp;IF(AZ1432="","",", "&amp;AZ1432),3,500)</f>
        <v/>
      </c>
      <c r="BH1432" s="12" t="n"/>
      <c r="BI1432" s="15">
        <f>IFERROR(MATCH($A1432,IF($B1432="Onsite",tbl_Onsite[Row ID],IF($B1432="Production",tbl_Production[Row ID],tbl_Consulting[Row ID])),0),"")</f>
        <v/>
      </c>
    </row>
    <row r="1433">
      <c r="A1433" s="10" t="inlineStr">
        <is>
          <t>CON-0427</t>
        </is>
      </c>
      <c r="B1433" s="10" t="inlineStr">
        <is>
          <t>Consulting</t>
        </is>
      </c>
      <c r="C1433" s="10">
        <f>IF($BI1433="","",IF($B1433="Onsite",INDEX(tbl_Onsite[Job Number],$BI1433),IF($B1433="Production",INDEX(tbl_Production[Job Number],$BI1433),INDEX(tbl_Consulting[Job Number],$BI1433)))&amp;"")</f>
        <v/>
      </c>
      <c r="D1433" s="10">
        <f>IF($BI1433="","",IF($B1433="Onsite",INDEX(tbl_Onsite[Client],$BI1433),IF($B1433="Production",INDEX(tbl_Production[Client],$BI1433),INDEX(tbl_Consulting[Client],$BI1433)))&amp;"")</f>
        <v/>
      </c>
      <c r="E1433" s="10">
        <f>IF($C1433="","",IF(COUNTIF(lst_Jobs,$C1433)&gt;0,"OK","CHECK"))</f>
        <v/>
      </c>
      <c r="F1433" s="10">
        <f>IF($C1433="","",IFERROR(INDEX(lst_JobName,MATCH($C1433,lst_Jobs,0)),""))</f>
        <v/>
      </c>
      <c r="G1433" s="10">
        <f>IF($BI1433="","",IF($B1433="Onsite",INDEX(tbl_Onsite[Job Description],$BI1433),IF($B1433="Production",INDEX(tbl_Production[Job Description],$BI1433),INDEX(tbl_Consulting[Job Description],$BI1433)))&amp;"")</f>
        <v/>
      </c>
      <c r="H1433" s="10">
        <f>IF($BI1433="","",IF($B1433="Onsite",INDEX(tbl_Onsite[Cost Centre],$BI1433),IF($B1433="Production",INDEX(tbl_Production[Cost Centre],$BI1433),INDEX(tbl_Consulting[Cost Centre],$BI1433)))&amp;"")</f>
        <v/>
      </c>
      <c r="I1433" s="10">
        <f>IF($BI1433="","",IF($B1433="Onsite",INDEX(tbl_Onsite[Invoice Type],$BI1433),IF($B1433="Production",INDEX(tbl_Production[Invoice Type],$BI1433),INDEX(tbl_Consulting[Invoice Type],$BI1433)))&amp;"")</f>
        <v/>
      </c>
      <c r="J1433" s="10">
        <f>IF($BI1433="","",IF($B1433="Onsite",INDEX(tbl_Onsite[Tax Code],$BI1433),IF($B1433="Production",INDEX(tbl_Production[Tax Code],$BI1433),INDEX(tbl_Consulting[Tax Code],$BI1433)))&amp;"")</f>
        <v/>
      </c>
      <c r="K1433" s="10">
        <f>IF(H1433="","",IFERROR(INDEX(lst_CCtoGL,MATCH(H1433,lst_CCforGL,0)),""))</f>
        <v/>
      </c>
      <c r="L1433" s="10">
        <f>IF($BI1433="","",IF($B1433="Onsite",INDEX(tbl_Onsite[PO / Reference],$BI1433),IF($B1433="Production",INDEX(tbl_Production[Current RMS No],$BI1433),INDEX(tbl_Consulting[Qwilr Quote],$BI1433)))&amp;"")</f>
        <v/>
      </c>
      <c r="M1433" s="10">
        <f>IF($BI1433="","",IF($B1433="Onsite",INDEX(tbl_Onsite[Notes],$BI1433),IF($B1433="Production",INDEX(tbl_Production[Notes],$BI1433),INDEX(tbl_Consulting[Notes],$BI1433)))&amp;"")</f>
        <v/>
      </c>
      <c r="N1433" s="11">
        <f>IF($BI1433="","",IF(IF($B1433="Onsite",INDEX(tbl_Onsite[Expected Revenue Ex GST],$BI1433),IF($B1433="Production",INDEX(tbl_Production[Expected Revenue Ex GST],$BI1433),INDEX(tbl_Consulting[Expected Revenue Ex GST],$BI1433)))="","",IF($B1433="Onsite",INDEX(tbl_Onsite[Expected Revenue Ex GST],$BI1433),IF($B1433="Production",INDEX(tbl_Production[Expected Revenue Ex GST],$BI1433),INDEX(tbl_Consulting[Expected Revenue Ex GST],$BI1433)))))</f>
        <v/>
      </c>
      <c r="O1433" s="11">
        <f>IF(AND($C1433="",NOT(COUNTA($S1433:$BB1433)&gt;0)),"",SUM(U1433,X1433,AA1433,AD1433,AG1433,AJ1433,AM1433,AP1433,AS1433,AV1433,AY1433,BB1433))</f>
        <v/>
      </c>
      <c r="P1433" s="11">
        <f>IF(O1433="","",N(N1433)-O1433)</f>
        <v/>
      </c>
      <c r="Q1433" s="10">
        <f>IF(O1433="","",IF($C1433="","Invoice on empty job row",IF(N1433="",IF(ROUND(O1433,2)=0,"No dept value","Invoiced - no dept value"),IF(ROUND(O1433,2)=0,"Not invoiced - to invoice",IF(ROUND(P1433,2)=0,"Agrees",IF(P1433&gt;0,"Dept higher - to invoice","Xero higher - check dept"))))))</f>
        <v/>
      </c>
      <c r="R1433" s="10">
        <f>IF(AND($C1433="",NOT(COUNTA($S1433:$BB1433)&gt;0),$BI1433&lt;&gt;""),"",MID(IF($BI1433="","; Row ID not found on the department sheet - a row was deleted","")&amp;IF(AND($C1433="",COUNTA($S1433:$BB1433)&gt;0),"; Invoice entered but the department row has no job number","")&amp;IF(E1433="CHECK","; Job number not in the Xero job list","")&amp;IF(AND($C1433&lt;&gt;"",COUNTIF($C$7:$C$1506,$C1433)&gt;1),"; Job number on more than one row","")&amp;IF(AND($C1433&lt;&gt;"",H1433=""),"; Dept has not set a cost centre","")&amp;IF(AND($C1433&lt;&gt;"",J1433=""),"; Dept has not set a tax code","")&amp;IF(AND($C1433&lt;&gt;"",N1433=""),"; Dept has not entered an expected value","")&amp;IF((IF(OR(COUNTA(S1433:U1433)=0,AND(COUNTA(S1433:U1433)=3,ISNUMBER(U1433))),0,1)+IF(OR(COUNTA(V1433:X1433)=0,AND(COUNTA(V1433:X1433)=3,ISNUMBER(X1433))),0,1)+IF(OR(COUNTA(Y1433:AA1433)=0,AND(COUNTA(Y1433:AA1433)=3,ISNUMBER(AA1433))),0,1)+IF(OR(COUNTA(AB1433:AD1433)=0,AND(COUNTA(AB1433:AD1433)=3,ISNUMBER(AD1433))),0,1)+IF(OR(COUNTA(AE1433:AG1433)=0,AND(COUNTA(AE1433:AG1433)=3,ISNUMBER(AG1433))),0,1)+IF(OR(COUNTA(AH1433:AJ1433)=0,AND(COUNTA(AH1433:AJ1433)=3,ISNUMBER(AJ1433))),0,1)+IF(OR(COUNTA(AK1433:AM1433)=0,AND(COUNTA(AK1433:AM1433)=3,ISNUMBER(AM1433))),0,1)+IF(OR(COUNTA(AN1433:AP1433)=0,AND(COUNTA(AN1433:AP1433)=3,ISNUMBER(AP1433))),0,1)+IF(OR(COUNTA(AQ1433:AS1433)=0,AND(COUNTA(AQ1433:AS1433)=3,ISNUMBER(AS1433))),0,1)+IF(OR(COUNTA(AT1433:AV1433)=0,AND(COUNTA(AT1433:AV1433)=3,ISNUMBER(AV1433))),0,1)+IF(OR(COUNTA(AW1433:AY1433)=0,AND(COUNTA(AW1433:AY1433)=3,ISNUMBER(AY1433))),0,1)+IF(OR(COUNTA(AZ1433:BB1433)=0,AND(COUNTA(AZ1433:BB1433)=3,ISNUMBER(BB1433))),0,1))&gt;0,"; An invoice is incomplete (needs No, Date and a number in Ex GST)","")&amp;IF((IF(T1433="",0,IFERROR(--(EOMONTH(T1433,0)&lt;&gt;S$5),1))+IF(W1433="",0,IFERROR(--(EOMONTH(W1433,0)&lt;&gt;V$5),1))+IF(Z1433="",0,IFERROR(--(EOMONTH(Z1433,0)&lt;&gt;Y$5),1))+IF(AC1433="",0,IFERROR(--(EOMONTH(AC1433,0)&lt;&gt;AB$5),1))+IF(AF1433="",0,IFERROR(--(EOMONTH(AF1433,0)&lt;&gt;AE$5),1))+IF(AI1433="",0,IFERROR(--(EOMONTH(AI1433,0)&lt;&gt;AH$5),1))+IF(AL1433="",0,IFERROR(--(EOMONTH(AL1433,0)&lt;&gt;AK$5),1))+IF(AO1433="",0,IFERROR(--(EOMONTH(AO1433,0)&lt;&gt;AN$5),1))+IF(AR1433="",0,IFERROR(--(EOMONTH(AR1433,0)&lt;&gt;AQ$5),1))+IF(AU1433="",0,IFERROR(--(EOMONTH(AU1433,0)&lt;&gt;AT$5),1))+IF(AX1433="",0,IFERROR(--(EOMONTH(AX1433,0)&lt;&gt;AW$5),1))+IF(BA1433="",0,IFERROR(--(EOMONTH(BA1433,0)&lt;&gt;AZ$5),1)))&gt;0,"; An invoice date is not in the month it is typed under",""),3,500))</f>
        <v/>
      </c>
      <c r="S1433" s="12" t="n"/>
      <c r="T1433" s="13" t="n"/>
      <c r="U1433" s="14" t="n"/>
      <c r="V1433" s="12" t="n"/>
      <c r="W1433" s="13" t="n"/>
      <c r="X1433" s="14" t="n"/>
      <c r="Y1433" s="12" t="n"/>
      <c r="Z1433" s="13" t="n"/>
      <c r="AA1433" s="14" t="n"/>
      <c r="AB1433" s="12" t="n"/>
      <c r="AC1433" s="13" t="n"/>
      <c r="AD1433" s="14" t="n"/>
      <c r="AE1433" s="12" t="n"/>
      <c r="AF1433" s="13" t="n"/>
      <c r="AG1433" s="14" t="n"/>
      <c r="AH1433" s="12" t="n"/>
      <c r="AI1433" s="13" t="n"/>
      <c r="AJ1433" s="14" t="n"/>
      <c r="AK1433" s="12" t="n"/>
      <c r="AL1433" s="13" t="n"/>
      <c r="AM1433" s="14" t="n"/>
      <c r="AN1433" s="12" t="n"/>
      <c r="AO1433" s="13" t="n"/>
      <c r="AP1433" s="14" t="n"/>
      <c r="AQ1433" s="12" t="n"/>
      <c r="AR1433" s="13" t="n"/>
      <c r="AS1433" s="14" t="n"/>
      <c r="AT1433" s="12" t="n"/>
      <c r="AU1433" s="13" t="n"/>
      <c r="AV1433" s="14" t="n"/>
      <c r="AW1433" s="12" t="n"/>
      <c r="AX1433" s="13" t="n"/>
      <c r="AY1433" s="14" t="n"/>
      <c r="AZ1433" s="12" t="n"/>
      <c r="BA1433" s="13" t="n"/>
      <c r="BB1433" s="14" t="n"/>
      <c r="BC1433" s="11">
        <f>IF(O1433="","",IF(J1433="GST 10%",ROUND(O1433*set_GSTRate,2),0))</f>
        <v/>
      </c>
      <c r="BD1433" s="11">
        <f>IF(O1433="","",O1433+BC1433)</f>
        <v/>
      </c>
      <c r="BE1433" s="15">
        <f>IF(O1433="","",COUNTA(S1433,V1433,Y1433,AB1433,AE1433,AH1433,AK1433,AN1433,AQ1433,AT1433,AW1433,AZ1433))</f>
        <v/>
      </c>
      <c r="BF1433" s="16">
        <f>IF(COUNT(T1433,W1433,Z1433,AC1433,AF1433,AI1433,AL1433,AO1433,AR1433,AU1433,AX1433,BA1433)=0,"",MAX(T1433,W1433,Z1433,AC1433,AF1433,AI1433,AL1433,AO1433,AR1433,AU1433,AX1433,BA1433))</f>
        <v/>
      </c>
      <c r="BG1433" s="10">
        <f>MID(IF(S1433="","",", "&amp;S1433)&amp;IF(V1433="","",", "&amp;V1433)&amp;IF(Y1433="","",", "&amp;Y1433)&amp;IF(AB1433="","",", "&amp;AB1433)&amp;IF(AE1433="","",", "&amp;AE1433)&amp;IF(AH1433="","",", "&amp;AH1433)&amp;IF(AK1433="","",", "&amp;AK1433)&amp;IF(AN1433="","",", "&amp;AN1433)&amp;IF(AQ1433="","",", "&amp;AQ1433)&amp;IF(AT1433="","",", "&amp;AT1433)&amp;IF(AW1433="","",", "&amp;AW1433)&amp;IF(AZ1433="","",", "&amp;AZ1433),3,500)</f>
        <v/>
      </c>
      <c r="BH1433" s="12" t="n"/>
      <c r="BI1433" s="15">
        <f>IFERROR(MATCH($A1433,IF($B1433="Onsite",tbl_Onsite[Row ID],IF($B1433="Production",tbl_Production[Row ID],tbl_Consulting[Row ID])),0),"")</f>
        <v/>
      </c>
    </row>
    <row r="1434">
      <c r="A1434" s="10" t="inlineStr">
        <is>
          <t>CON-0428</t>
        </is>
      </c>
      <c r="B1434" s="10" t="inlineStr">
        <is>
          <t>Consulting</t>
        </is>
      </c>
      <c r="C1434" s="10">
        <f>IF($BI1434="","",IF($B1434="Onsite",INDEX(tbl_Onsite[Job Number],$BI1434),IF($B1434="Production",INDEX(tbl_Production[Job Number],$BI1434),INDEX(tbl_Consulting[Job Number],$BI1434)))&amp;"")</f>
        <v/>
      </c>
      <c r="D1434" s="10">
        <f>IF($BI1434="","",IF($B1434="Onsite",INDEX(tbl_Onsite[Client],$BI1434),IF($B1434="Production",INDEX(tbl_Production[Client],$BI1434),INDEX(tbl_Consulting[Client],$BI1434)))&amp;"")</f>
        <v/>
      </c>
      <c r="E1434" s="10">
        <f>IF($C1434="","",IF(COUNTIF(lst_Jobs,$C1434)&gt;0,"OK","CHECK"))</f>
        <v/>
      </c>
      <c r="F1434" s="10">
        <f>IF($C1434="","",IFERROR(INDEX(lst_JobName,MATCH($C1434,lst_Jobs,0)),""))</f>
        <v/>
      </c>
      <c r="G1434" s="10">
        <f>IF($BI1434="","",IF($B1434="Onsite",INDEX(tbl_Onsite[Job Description],$BI1434),IF($B1434="Production",INDEX(tbl_Production[Job Description],$BI1434),INDEX(tbl_Consulting[Job Description],$BI1434)))&amp;"")</f>
        <v/>
      </c>
      <c r="H1434" s="10">
        <f>IF($BI1434="","",IF($B1434="Onsite",INDEX(tbl_Onsite[Cost Centre],$BI1434),IF($B1434="Production",INDEX(tbl_Production[Cost Centre],$BI1434),INDEX(tbl_Consulting[Cost Centre],$BI1434)))&amp;"")</f>
        <v/>
      </c>
      <c r="I1434" s="10">
        <f>IF($BI1434="","",IF($B1434="Onsite",INDEX(tbl_Onsite[Invoice Type],$BI1434),IF($B1434="Production",INDEX(tbl_Production[Invoice Type],$BI1434),INDEX(tbl_Consulting[Invoice Type],$BI1434)))&amp;"")</f>
        <v/>
      </c>
      <c r="J1434" s="10">
        <f>IF($BI1434="","",IF($B1434="Onsite",INDEX(tbl_Onsite[Tax Code],$BI1434),IF($B1434="Production",INDEX(tbl_Production[Tax Code],$BI1434),INDEX(tbl_Consulting[Tax Code],$BI1434)))&amp;"")</f>
        <v/>
      </c>
      <c r="K1434" s="10">
        <f>IF(H1434="","",IFERROR(INDEX(lst_CCtoGL,MATCH(H1434,lst_CCforGL,0)),""))</f>
        <v/>
      </c>
      <c r="L1434" s="10">
        <f>IF($BI1434="","",IF($B1434="Onsite",INDEX(tbl_Onsite[PO / Reference],$BI1434),IF($B1434="Production",INDEX(tbl_Production[Current RMS No],$BI1434),INDEX(tbl_Consulting[Qwilr Quote],$BI1434)))&amp;"")</f>
        <v/>
      </c>
      <c r="M1434" s="10">
        <f>IF($BI1434="","",IF($B1434="Onsite",INDEX(tbl_Onsite[Notes],$BI1434),IF($B1434="Production",INDEX(tbl_Production[Notes],$BI1434),INDEX(tbl_Consulting[Notes],$BI1434)))&amp;"")</f>
        <v/>
      </c>
      <c r="N1434" s="11">
        <f>IF($BI1434="","",IF(IF($B1434="Onsite",INDEX(tbl_Onsite[Expected Revenue Ex GST],$BI1434),IF($B1434="Production",INDEX(tbl_Production[Expected Revenue Ex GST],$BI1434),INDEX(tbl_Consulting[Expected Revenue Ex GST],$BI1434)))="","",IF($B1434="Onsite",INDEX(tbl_Onsite[Expected Revenue Ex GST],$BI1434),IF($B1434="Production",INDEX(tbl_Production[Expected Revenue Ex GST],$BI1434),INDEX(tbl_Consulting[Expected Revenue Ex GST],$BI1434)))))</f>
        <v/>
      </c>
      <c r="O1434" s="11">
        <f>IF(AND($C1434="",NOT(COUNTA($S1434:$BB1434)&gt;0)),"",SUM(U1434,X1434,AA1434,AD1434,AG1434,AJ1434,AM1434,AP1434,AS1434,AV1434,AY1434,BB1434))</f>
        <v/>
      </c>
      <c r="P1434" s="11">
        <f>IF(O1434="","",N(N1434)-O1434)</f>
        <v/>
      </c>
      <c r="Q1434" s="10">
        <f>IF(O1434="","",IF($C1434="","Invoice on empty job row",IF(N1434="",IF(ROUND(O1434,2)=0,"No dept value","Invoiced - no dept value"),IF(ROUND(O1434,2)=0,"Not invoiced - to invoice",IF(ROUND(P1434,2)=0,"Agrees",IF(P1434&gt;0,"Dept higher - to invoice","Xero higher - check dept"))))))</f>
        <v/>
      </c>
      <c r="R1434" s="10">
        <f>IF(AND($C1434="",NOT(COUNTA($S1434:$BB1434)&gt;0),$BI1434&lt;&gt;""),"",MID(IF($BI1434="","; Row ID not found on the department sheet - a row was deleted","")&amp;IF(AND($C1434="",COUNTA($S1434:$BB1434)&gt;0),"; Invoice entered but the department row has no job number","")&amp;IF(E1434="CHECK","; Job number not in the Xero job list","")&amp;IF(AND($C1434&lt;&gt;"",COUNTIF($C$7:$C$1506,$C1434)&gt;1),"; Job number on more than one row","")&amp;IF(AND($C1434&lt;&gt;"",H1434=""),"; Dept has not set a cost centre","")&amp;IF(AND($C1434&lt;&gt;"",J1434=""),"; Dept has not set a tax code","")&amp;IF(AND($C1434&lt;&gt;"",N1434=""),"; Dept has not entered an expected value","")&amp;IF((IF(OR(COUNTA(S1434:U1434)=0,AND(COUNTA(S1434:U1434)=3,ISNUMBER(U1434))),0,1)+IF(OR(COUNTA(V1434:X1434)=0,AND(COUNTA(V1434:X1434)=3,ISNUMBER(X1434))),0,1)+IF(OR(COUNTA(Y1434:AA1434)=0,AND(COUNTA(Y1434:AA1434)=3,ISNUMBER(AA1434))),0,1)+IF(OR(COUNTA(AB1434:AD1434)=0,AND(COUNTA(AB1434:AD1434)=3,ISNUMBER(AD1434))),0,1)+IF(OR(COUNTA(AE1434:AG1434)=0,AND(COUNTA(AE1434:AG1434)=3,ISNUMBER(AG1434))),0,1)+IF(OR(COUNTA(AH1434:AJ1434)=0,AND(COUNTA(AH1434:AJ1434)=3,ISNUMBER(AJ1434))),0,1)+IF(OR(COUNTA(AK1434:AM1434)=0,AND(COUNTA(AK1434:AM1434)=3,ISNUMBER(AM1434))),0,1)+IF(OR(COUNTA(AN1434:AP1434)=0,AND(COUNTA(AN1434:AP1434)=3,ISNUMBER(AP1434))),0,1)+IF(OR(COUNTA(AQ1434:AS1434)=0,AND(COUNTA(AQ1434:AS1434)=3,ISNUMBER(AS1434))),0,1)+IF(OR(COUNTA(AT1434:AV1434)=0,AND(COUNTA(AT1434:AV1434)=3,ISNUMBER(AV1434))),0,1)+IF(OR(COUNTA(AW1434:AY1434)=0,AND(COUNTA(AW1434:AY1434)=3,ISNUMBER(AY1434))),0,1)+IF(OR(COUNTA(AZ1434:BB1434)=0,AND(COUNTA(AZ1434:BB1434)=3,ISNUMBER(BB1434))),0,1))&gt;0,"; An invoice is incomplete (needs No, Date and a number in Ex GST)","")&amp;IF((IF(T1434="",0,IFERROR(--(EOMONTH(T1434,0)&lt;&gt;S$5),1))+IF(W1434="",0,IFERROR(--(EOMONTH(W1434,0)&lt;&gt;V$5),1))+IF(Z1434="",0,IFERROR(--(EOMONTH(Z1434,0)&lt;&gt;Y$5),1))+IF(AC1434="",0,IFERROR(--(EOMONTH(AC1434,0)&lt;&gt;AB$5),1))+IF(AF1434="",0,IFERROR(--(EOMONTH(AF1434,0)&lt;&gt;AE$5),1))+IF(AI1434="",0,IFERROR(--(EOMONTH(AI1434,0)&lt;&gt;AH$5),1))+IF(AL1434="",0,IFERROR(--(EOMONTH(AL1434,0)&lt;&gt;AK$5),1))+IF(AO1434="",0,IFERROR(--(EOMONTH(AO1434,0)&lt;&gt;AN$5),1))+IF(AR1434="",0,IFERROR(--(EOMONTH(AR1434,0)&lt;&gt;AQ$5),1))+IF(AU1434="",0,IFERROR(--(EOMONTH(AU1434,0)&lt;&gt;AT$5),1))+IF(AX1434="",0,IFERROR(--(EOMONTH(AX1434,0)&lt;&gt;AW$5),1))+IF(BA1434="",0,IFERROR(--(EOMONTH(BA1434,0)&lt;&gt;AZ$5),1)))&gt;0,"; An invoice date is not in the month it is typed under",""),3,500))</f>
        <v/>
      </c>
      <c r="S1434" s="12" t="n"/>
      <c r="T1434" s="13" t="n"/>
      <c r="U1434" s="14" t="n"/>
      <c r="V1434" s="12" t="n"/>
      <c r="W1434" s="13" t="n"/>
      <c r="X1434" s="14" t="n"/>
      <c r="Y1434" s="12" t="n"/>
      <c r="Z1434" s="13" t="n"/>
      <c r="AA1434" s="14" t="n"/>
      <c r="AB1434" s="12" t="n"/>
      <c r="AC1434" s="13" t="n"/>
      <c r="AD1434" s="14" t="n"/>
      <c r="AE1434" s="12" t="n"/>
      <c r="AF1434" s="13" t="n"/>
      <c r="AG1434" s="14" t="n"/>
      <c r="AH1434" s="12" t="n"/>
      <c r="AI1434" s="13" t="n"/>
      <c r="AJ1434" s="14" t="n"/>
      <c r="AK1434" s="12" t="n"/>
      <c r="AL1434" s="13" t="n"/>
      <c r="AM1434" s="14" t="n"/>
      <c r="AN1434" s="12" t="n"/>
      <c r="AO1434" s="13" t="n"/>
      <c r="AP1434" s="14" t="n"/>
      <c r="AQ1434" s="12" t="n"/>
      <c r="AR1434" s="13" t="n"/>
      <c r="AS1434" s="14" t="n"/>
      <c r="AT1434" s="12" t="n"/>
      <c r="AU1434" s="13" t="n"/>
      <c r="AV1434" s="14" t="n"/>
      <c r="AW1434" s="12" t="n"/>
      <c r="AX1434" s="13" t="n"/>
      <c r="AY1434" s="14" t="n"/>
      <c r="AZ1434" s="12" t="n"/>
      <c r="BA1434" s="13" t="n"/>
      <c r="BB1434" s="14" t="n"/>
      <c r="BC1434" s="11">
        <f>IF(O1434="","",IF(J1434="GST 10%",ROUND(O1434*set_GSTRate,2),0))</f>
        <v/>
      </c>
      <c r="BD1434" s="11">
        <f>IF(O1434="","",O1434+BC1434)</f>
        <v/>
      </c>
      <c r="BE1434" s="15">
        <f>IF(O1434="","",COUNTA(S1434,V1434,Y1434,AB1434,AE1434,AH1434,AK1434,AN1434,AQ1434,AT1434,AW1434,AZ1434))</f>
        <v/>
      </c>
      <c r="BF1434" s="16">
        <f>IF(COUNT(T1434,W1434,Z1434,AC1434,AF1434,AI1434,AL1434,AO1434,AR1434,AU1434,AX1434,BA1434)=0,"",MAX(T1434,W1434,Z1434,AC1434,AF1434,AI1434,AL1434,AO1434,AR1434,AU1434,AX1434,BA1434))</f>
        <v/>
      </c>
      <c r="BG1434" s="10">
        <f>MID(IF(S1434="","",", "&amp;S1434)&amp;IF(V1434="","",", "&amp;V1434)&amp;IF(Y1434="","",", "&amp;Y1434)&amp;IF(AB1434="","",", "&amp;AB1434)&amp;IF(AE1434="","",", "&amp;AE1434)&amp;IF(AH1434="","",", "&amp;AH1434)&amp;IF(AK1434="","",", "&amp;AK1434)&amp;IF(AN1434="","",", "&amp;AN1434)&amp;IF(AQ1434="","",", "&amp;AQ1434)&amp;IF(AT1434="","",", "&amp;AT1434)&amp;IF(AW1434="","",", "&amp;AW1434)&amp;IF(AZ1434="","",", "&amp;AZ1434),3,500)</f>
        <v/>
      </c>
      <c r="BH1434" s="12" t="n"/>
      <c r="BI1434" s="15">
        <f>IFERROR(MATCH($A1434,IF($B1434="Onsite",tbl_Onsite[Row ID],IF($B1434="Production",tbl_Production[Row ID],tbl_Consulting[Row ID])),0),"")</f>
        <v/>
      </c>
    </row>
    <row r="1435">
      <c r="A1435" s="10" t="inlineStr">
        <is>
          <t>CON-0429</t>
        </is>
      </c>
      <c r="B1435" s="10" t="inlineStr">
        <is>
          <t>Consulting</t>
        </is>
      </c>
      <c r="C1435" s="10">
        <f>IF($BI1435="","",IF($B1435="Onsite",INDEX(tbl_Onsite[Job Number],$BI1435),IF($B1435="Production",INDEX(tbl_Production[Job Number],$BI1435),INDEX(tbl_Consulting[Job Number],$BI1435)))&amp;"")</f>
        <v/>
      </c>
      <c r="D1435" s="10">
        <f>IF($BI1435="","",IF($B1435="Onsite",INDEX(tbl_Onsite[Client],$BI1435),IF($B1435="Production",INDEX(tbl_Production[Client],$BI1435),INDEX(tbl_Consulting[Client],$BI1435)))&amp;"")</f>
        <v/>
      </c>
      <c r="E1435" s="10">
        <f>IF($C1435="","",IF(COUNTIF(lst_Jobs,$C1435)&gt;0,"OK","CHECK"))</f>
        <v/>
      </c>
      <c r="F1435" s="10">
        <f>IF($C1435="","",IFERROR(INDEX(lst_JobName,MATCH($C1435,lst_Jobs,0)),""))</f>
        <v/>
      </c>
      <c r="G1435" s="10">
        <f>IF($BI1435="","",IF($B1435="Onsite",INDEX(tbl_Onsite[Job Description],$BI1435),IF($B1435="Production",INDEX(tbl_Production[Job Description],$BI1435),INDEX(tbl_Consulting[Job Description],$BI1435)))&amp;"")</f>
        <v/>
      </c>
      <c r="H1435" s="10">
        <f>IF($BI1435="","",IF($B1435="Onsite",INDEX(tbl_Onsite[Cost Centre],$BI1435),IF($B1435="Production",INDEX(tbl_Production[Cost Centre],$BI1435),INDEX(tbl_Consulting[Cost Centre],$BI1435)))&amp;"")</f>
        <v/>
      </c>
      <c r="I1435" s="10">
        <f>IF($BI1435="","",IF($B1435="Onsite",INDEX(tbl_Onsite[Invoice Type],$BI1435),IF($B1435="Production",INDEX(tbl_Production[Invoice Type],$BI1435),INDEX(tbl_Consulting[Invoice Type],$BI1435)))&amp;"")</f>
        <v/>
      </c>
      <c r="J1435" s="10">
        <f>IF($BI1435="","",IF($B1435="Onsite",INDEX(tbl_Onsite[Tax Code],$BI1435),IF($B1435="Production",INDEX(tbl_Production[Tax Code],$BI1435),INDEX(tbl_Consulting[Tax Code],$BI1435)))&amp;"")</f>
        <v/>
      </c>
      <c r="K1435" s="10">
        <f>IF(H1435="","",IFERROR(INDEX(lst_CCtoGL,MATCH(H1435,lst_CCforGL,0)),""))</f>
        <v/>
      </c>
      <c r="L1435" s="10">
        <f>IF($BI1435="","",IF($B1435="Onsite",INDEX(tbl_Onsite[PO / Reference],$BI1435),IF($B1435="Production",INDEX(tbl_Production[Current RMS No],$BI1435),INDEX(tbl_Consulting[Qwilr Quote],$BI1435)))&amp;"")</f>
        <v/>
      </c>
      <c r="M1435" s="10">
        <f>IF($BI1435="","",IF($B1435="Onsite",INDEX(tbl_Onsite[Notes],$BI1435),IF($B1435="Production",INDEX(tbl_Production[Notes],$BI1435),INDEX(tbl_Consulting[Notes],$BI1435)))&amp;"")</f>
        <v/>
      </c>
      <c r="N1435" s="11">
        <f>IF($BI1435="","",IF(IF($B1435="Onsite",INDEX(tbl_Onsite[Expected Revenue Ex GST],$BI1435),IF($B1435="Production",INDEX(tbl_Production[Expected Revenue Ex GST],$BI1435),INDEX(tbl_Consulting[Expected Revenue Ex GST],$BI1435)))="","",IF($B1435="Onsite",INDEX(tbl_Onsite[Expected Revenue Ex GST],$BI1435),IF($B1435="Production",INDEX(tbl_Production[Expected Revenue Ex GST],$BI1435),INDEX(tbl_Consulting[Expected Revenue Ex GST],$BI1435)))))</f>
        <v/>
      </c>
      <c r="O1435" s="11">
        <f>IF(AND($C1435="",NOT(COUNTA($S1435:$BB1435)&gt;0)),"",SUM(U1435,X1435,AA1435,AD1435,AG1435,AJ1435,AM1435,AP1435,AS1435,AV1435,AY1435,BB1435))</f>
        <v/>
      </c>
      <c r="P1435" s="11">
        <f>IF(O1435="","",N(N1435)-O1435)</f>
        <v/>
      </c>
      <c r="Q1435" s="10">
        <f>IF(O1435="","",IF($C1435="","Invoice on empty job row",IF(N1435="",IF(ROUND(O1435,2)=0,"No dept value","Invoiced - no dept value"),IF(ROUND(O1435,2)=0,"Not invoiced - to invoice",IF(ROUND(P1435,2)=0,"Agrees",IF(P1435&gt;0,"Dept higher - to invoice","Xero higher - check dept"))))))</f>
        <v/>
      </c>
      <c r="R1435" s="10">
        <f>IF(AND($C1435="",NOT(COUNTA($S1435:$BB1435)&gt;0),$BI1435&lt;&gt;""),"",MID(IF($BI1435="","; Row ID not found on the department sheet - a row was deleted","")&amp;IF(AND($C1435="",COUNTA($S1435:$BB1435)&gt;0),"; Invoice entered but the department row has no job number","")&amp;IF(E1435="CHECK","; Job number not in the Xero job list","")&amp;IF(AND($C1435&lt;&gt;"",COUNTIF($C$7:$C$1506,$C1435)&gt;1),"; Job number on more than one row","")&amp;IF(AND($C1435&lt;&gt;"",H1435=""),"; Dept has not set a cost centre","")&amp;IF(AND($C1435&lt;&gt;"",J1435=""),"; Dept has not set a tax code","")&amp;IF(AND($C1435&lt;&gt;"",N1435=""),"; Dept has not entered an expected value","")&amp;IF((IF(OR(COUNTA(S1435:U1435)=0,AND(COUNTA(S1435:U1435)=3,ISNUMBER(U1435))),0,1)+IF(OR(COUNTA(V1435:X1435)=0,AND(COUNTA(V1435:X1435)=3,ISNUMBER(X1435))),0,1)+IF(OR(COUNTA(Y1435:AA1435)=0,AND(COUNTA(Y1435:AA1435)=3,ISNUMBER(AA1435))),0,1)+IF(OR(COUNTA(AB1435:AD1435)=0,AND(COUNTA(AB1435:AD1435)=3,ISNUMBER(AD1435))),0,1)+IF(OR(COUNTA(AE1435:AG1435)=0,AND(COUNTA(AE1435:AG1435)=3,ISNUMBER(AG1435))),0,1)+IF(OR(COUNTA(AH1435:AJ1435)=0,AND(COUNTA(AH1435:AJ1435)=3,ISNUMBER(AJ1435))),0,1)+IF(OR(COUNTA(AK1435:AM1435)=0,AND(COUNTA(AK1435:AM1435)=3,ISNUMBER(AM1435))),0,1)+IF(OR(COUNTA(AN1435:AP1435)=0,AND(COUNTA(AN1435:AP1435)=3,ISNUMBER(AP1435))),0,1)+IF(OR(COUNTA(AQ1435:AS1435)=0,AND(COUNTA(AQ1435:AS1435)=3,ISNUMBER(AS1435))),0,1)+IF(OR(COUNTA(AT1435:AV1435)=0,AND(COUNTA(AT1435:AV1435)=3,ISNUMBER(AV1435))),0,1)+IF(OR(COUNTA(AW1435:AY1435)=0,AND(COUNTA(AW1435:AY1435)=3,ISNUMBER(AY1435))),0,1)+IF(OR(COUNTA(AZ1435:BB1435)=0,AND(COUNTA(AZ1435:BB1435)=3,ISNUMBER(BB1435))),0,1))&gt;0,"; An invoice is incomplete (needs No, Date and a number in Ex GST)","")&amp;IF((IF(T1435="",0,IFERROR(--(EOMONTH(T1435,0)&lt;&gt;S$5),1))+IF(W1435="",0,IFERROR(--(EOMONTH(W1435,0)&lt;&gt;V$5),1))+IF(Z1435="",0,IFERROR(--(EOMONTH(Z1435,0)&lt;&gt;Y$5),1))+IF(AC1435="",0,IFERROR(--(EOMONTH(AC1435,0)&lt;&gt;AB$5),1))+IF(AF1435="",0,IFERROR(--(EOMONTH(AF1435,0)&lt;&gt;AE$5),1))+IF(AI1435="",0,IFERROR(--(EOMONTH(AI1435,0)&lt;&gt;AH$5),1))+IF(AL1435="",0,IFERROR(--(EOMONTH(AL1435,0)&lt;&gt;AK$5),1))+IF(AO1435="",0,IFERROR(--(EOMONTH(AO1435,0)&lt;&gt;AN$5),1))+IF(AR1435="",0,IFERROR(--(EOMONTH(AR1435,0)&lt;&gt;AQ$5),1))+IF(AU1435="",0,IFERROR(--(EOMONTH(AU1435,0)&lt;&gt;AT$5),1))+IF(AX1435="",0,IFERROR(--(EOMONTH(AX1435,0)&lt;&gt;AW$5),1))+IF(BA1435="",0,IFERROR(--(EOMONTH(BA1435,0)&lt;&gt;AZ$5),1)))&gt;0,"; An invoice date is not in the month it is typed under",""),3,500))</f>
        <v/>
      </c>
      <c r="S1435" s="12" t="n"/>
      <c r="T1435" s="13" t="n"/>
      <c r="U1435" s="14" t="n"/>
      <c r="V1435" s="12" t="n"/>
      <c r="W1435" s="13" t="n"/>
      <c r="X1435" s="14" t="n"/>
      <c r="Y1435" s="12" t="n"/>
      <c r="Z1435" s="13" t="n"/>
      <c r="AA1435" s="14" t="n"/>
      <c r="AB1435" s="12" t="n"/>
      <c r="AC1435" s="13" t="n"/>
      <c r="AD1435" s="14" t="n"/>
      <c r="AE1435" s="12" t="n"/>
      <c r="AF1435" s="13" t="n"/>
      <c r="AG1435" s="14" t="n"/>
      <c r="AH1435" s="12" t="n"/>
      <c r="AI1435" s="13" t="n"/>
      <c r="AJ1435" s="14" t="n"/>
      <c r="AK1435" s="12" t="n"/>
      <c r="AL1435" s="13" t="n"/>
      <c r="AM1435" s="14" t="n"/>
      <c r="AN1435" s="12" t="n"/>
      <c r="AO1435" s="13" t="n"/>
      <c r="AP1435" s="14" t="n"/>
      <c r="AQ1435" s="12" t="n"/>
      <c r="AR1435" s="13" t="n"/>
      <c r="AS1435" s="14" t="n"/>
      <c r="AT1435" s="12" t="n"/>
      <c r="AU1435" s="13" t="n"/>
      <c r="AV1435" s="14" t="n"/>
      <c r="AW1435" s="12" t="n"/>
      <c r="AX1435" s="13" t="n"/>
      <c r="AY1435" s="14" t="n"/>
      <c r="AZ1435" s="12" t="n"/>
      <c r="BA1435" s="13" t="n"/>
      <c r="BB1435" s="14" t="n"/>
      <c r="BC1435" s="11">
        <f>IF(O1435="","",IF(J1435="GST 10%",ROUND(O1435*set_GSTRate,2),0))</f>
        <v/>
      </c>
      <c r="BD1435" s="11">
        <f>IF(O1435="","",O1435+BC1435)</f>
        <v/>
      </c>
      <c r="BE1435" s="15">
        <f>IF(O1435="","",COUNTA(S1435,V1435,Y1435,AB1435,AE1435,AH1435,AK1435,AN1435,AQ1435,AT1435,AW1435,AZ1435))</f>
        <v/>
      </c>
      <c r="BF1435" s="16">
        <f>IF(COUNT(T1435,W1435,Z1435,AC1435,AF1435,AI1435,AL1435,AO1435,AR1435,AU1435,AX1435,BA1435)=0,"",MAX(T1435,W1435,Z1435,AC1435,AF1435,AI1435,AL1435,AO1435,AR1435,AU1435,AX1435,BA1435))</f>
        <v/>
      </c>
      <c r="BG1435" s="10">
        <f>MID(IF(S1435="","",", "&amp;S1435)&amp;IF(V1435="","",", "&amp;V1435)&amp;IF(Y1435="","",", "&amp;Y1435)&amp;IF(AB1435="","",", "&amp;AB1435)&amp;IF(AE1435="","",", "&amp;AE1435)&amp;IF(AH1435="","",", "&amp;AH1435)&amp;IF(AK1435="","",", "&amp;AK1435)&amp;IF(AN1435="","",", "&amp;AN1435)&amp;IF(AQ1435="","",", "&amp;AQ1435)&amp;IF(AT1435="","",", "&amp;AT1435)&amp;IF(AW1435="","",", "&amp;AW1435)&amp;IF(AZ1435="","",", "&amp;AZ1435),3,500)</f>
        <v/>
      </c>
      <c r="BH1435" s="12" t="n"/>
      <c r="BI1435" s="15">
        <f>IFERROR(MATCH($A1435,IF($B1435="Onsite",tbl_Onsite[Row ID],IF($B1435="Production",tbl_Production[Row ID],tbl_Consulting[Row ID])),0),"")</f>
        <v/>
      </c>
    </row>
    <row r="1436">
      <c r="A1436" s="10" t="inlineStr">
        <is>
          <t>CON-0430</t>
        </is>
      </c>
      <c r="B1436" s="10" t="inlineStr">
        <is>
          <t>Consulting</t>
        </is>
      </c>
      <c r="C1436" s="10">
        <f>IF($BI1436="","",IF($B1436="Onsite",INDEX(tbl_Onsite[Job Number],$BI1436),IF($B1436="Production",INDEX(tbl_Production[Job Number],$BI1436),INDEX(tbl_Consulting[Job Number],$BI1436)))&amp;"")</f>
        <v/>
      </c>
      <c r="D1436" s="10">
        <f>IF($BI1436="","",IF($B1436="Onsite",INDEX(tbl_Onsite[Client],$BI1436),IF($B1436="Production",INDEX(tbl_Production[Client],$BI1436),INDEX(tbl_Consulting[Client],$BI1436)))&amp;"")</f>
        <v/>
      </c>
      <c r="E1436" s="10">
        <f>IF($C1436="","",IF(COUNTIF(lst_Jobs,$C1436)&gt;0,"OK","CHECK"))</f>
        <v/>
      </c>
      <c r="F1436" s="10">
        <f>IF($C1436="","",IFERROR(INDEX(lst_JobName,MATCH($C1436,lst_Jobs,0)),""))</f>
        <v/>
      </c>
      <c r="G1436" s="10">
        <f>IF($BI1436="","",IF($B1436="Onsite",INDEX(tbl_Onsite[Job Description],$BI1436),IF($B1436="Production",INDEX(tbl_Production[Job Description],$BI1436),INDEX(tbl_Consulting[Job Description],$BI1436)))&amp;"")</f>
        <v/>
      </c>
      <c r="H1436" s="10">
        <f>IF($BI1436="","",IF($B1436="Onsite",INDEX(tbl_Onsite[Cost Centre],$BI1436),IF($B1436="Production",INDEX(tbl_Production[Cost Centre],$BI1436),INDEX(tbl_Consulting[Cost Centre],$BI1436)))&amp;"")</f>
        <v/>
      </c>
      <c r="I1436" s="10">
        <f>IF($BI1436="","",IF($B1436="Onsite",INDEX(tbl_Onsite[Invoice Type],$BI1436),IF($B1436="Production",INDEX(tbl_Production[Invoice Type],$BI1436),INDEX(tbl_Consulting[Invoice Type],$BI1436)))&amp;"")</f>
        <v/>
      </c>
      <c r="J1436" s="10">
        <f>IF($BI1436="","",IF($B1436="Onsite",INDEX(tbl_Onsite[Tax Code],$BI1436),IF($B1436="Production",INDEX(tbl_Production[Tax Code],$BI1436),INDEX(tbl_Consulting[Tax Code],$BI1436)))&amp;"")</f>
        <v/>
      </c>
      <c r="K1436" s="10">
        <f>IF(H1436="","",IFERROR(INDEX(lst_CCtoGL,MATCH(H1436,lst_CCforGL,0)),""))</f>
        <v/>
      </c>
      <c r="L1436" s="10">
        <f>IF($BI1436="","",IF($B1436="Onsite",INDEX(tbl_Onsite[PO / Reference],$BI1436),IF($B1436="Production",INDEX(tbl_Production[Current RMS No],$BI1436),INDEX(tbl_Consulting[Qwilr Quote],$BI1436)))&amp;"")</f>
        <v/>
      </c>
      <c r="M1436" s="10">
        <f>IF($BI1436="","",IF($B1436="Onsite",INDEX(tbl_Onsite[Notes],$BI1436),IF($B1436="Production",INDEX(tbl_Production[Notes],$BI1436),INDEX(tbl_Consulting[Notes],$BI1436)))&amp;"")</f>
        <v/>
      </c>
      <c r="N1436" s="11">
        <f>IF($BI1436="","",IF(IF($B1436="Onsite",INDEX(tbl_Onsite[Expected Revenue Ex GST],$BI1436),IF($B1436="Production",INDEX(tbl_Production[Expected Revenue Ex GST],$BI1436),INDEX(tbl_Consulting[Expected Revenue Ex GST],$BI1436)))="","",IF($B1436="Onsite",INDEX(tbl_Onsite[Expected Revenue Ex GST],$BI1436),IF($B1436="Production",INDEX(tbl_Production[Expected Revenue Ex GST],$BI1436),INDEX(tbl_Consulting[Expected Revenue Ex GST],$BI1436)))))</f>
        <v/>
      </c>
      <c r="O1436" s="11">
        <f>IF(AND($C1436="",NOT(COUNTA($S1436:$BB1436)&gt;0)),"",SUM(U1436,X1436,AA1436,AD1436,AG1436,AJ1436,AM1436,AP1436,AS1436,AV1436,AY1436,BB1436))</f>
        <v/>
      </c>
      <c r="P1436" s="11">
        <f>IF(O1436="","",N(N1436)-O1436)</f>
        <v/>
      </c>
      <c r="Q1436" s="10">
        <f>IF(O1436="","",IF($C1436="","Invoice on empty job row",IF(N1436="",IF(ROUND(O1436,2)=0,"No dept value","Invoiced - no dept value"),IF(ROUND(O1436,2)=0,"Not invoiced - to invoice",IF(ROUND(P1436,2)=0,"Agrees",IF(P1436&gt;0,"Dept higher - to invoice","Xero higher - check dept"))))))</f>
        <v/>
      </c>
      <c r="R1436" s="10">
        <f>IF(AND($C1436="",NOT(COUNTA($S1436:$BB1436)&gt;0),$BI1436&lt;&gt;""),"",MID(IF($BI1436="","; Row ID not found on the department sheet - a row was deleted","")&amp;IF(AND($C1436="",COUNTA($S1436:$BB1436)&gt;0),"; Invoice entered but the department row has no job number","")&amp;IF(E1436="CHECK","; Job number not in the Xero job list","")&amp;IF(AND($C1436&lt;&gt;"",COUNTIF($C$7:$C$1506,$C1436)&gt;1),"; Job number on more than one row","")&amp;IF(AND($C1436&lt;&gt;"",H1436=""),"; Dept has not set a cost centre","")&amp;IF(AND($C1436&lt;&gt;"",J1436=""),"; Dept has not set a tax code","")&amp;IF(AND($C1436&lt;&gt;"",N1436=""),"; Dept has not entered an expected value","")&amp;IF((IF(OR(COUNTA(S1436:U1436)=0,AND(COUNTA(S1436:U1436)=3,ISNUMBER(U1436))),0,1)+IF(OR(COUNTA(V1436:X1436)=0,AND(COUNTA(V1436:X1436)=3,ISNUMBER(X1436))),0,1)+IF(OR(COUNTA(Y1436:AA1436)=0,AND(COUNTA(Y1436:AA1436)=3,ISNUMBER(AA1436))),0,1)+IF(OR(COUNTA(AB1436:AD1436)=0,AND(COUNTA(AB1436:AD1436)=3,ISNUMBER(AD1436))),0,1)+IF(OR(COUNTA(AE1436:AG1436)=0,AND(COUNTA(AE1436:AG1436)=3,ISNUMBER(AG1436))),0,1)+IF(OR(COUNTA(AH1436:AJ1436)=0,AND(COUNTA(AH1436:AJ1436)=3,ISNUMBER(AJ1436))),0,1)+IF(OR(COUNTA(AK1436:AM1436)=0,AND(COUNTA(AK1436:AM1436)=3,ISNUMBER(AM1436))),0,1)+IF(OR(COUNTA(AN1436:AP1436)=0,AND(COUNTA(AN1436:AP1436)=3,ISNUMBER(AP1436))),0,1)+IF(OR(COUNTA(AQ1436:AS1436)=0,AND(COUNTA(AQ1436:AS1436)=3,ISNUMBER(AS1436))),0,1)+IF(OR(COUNTA(AT1436:AV1436)=0,AND(COUNTA(AT1436:AV1436)=3,ISNUMBER(AV1436))),0,1)+IF(OR(COUNTA(AW1436:AY1436)=0,AND(COUNTA(AW1436:AY1436)=3,ISNUMBER(AY1436))),0,1)+IF(OR(COUNTA(AZ1436:BB1436)=0,AND(COUNTA(AZ1436:BB1436)=3,ISNUMBER(BB1436))),0,1))&gt;0,"; An invoice is incomplete (needs No, Date and a number in Ex GST)","")&amp;IF((IF(T1436="",0,IFERROR(--(EOMONTH(T1436,0)&lt;&gt;S$5),1))+IF(W1436="",0,IFERROR(--(EOMONTH(W1436,0)&lt;&gt;V$5),1))+IF(Z1436="",0,IFERROR(--(EOMONTH(Z1436,0)&lt;&gt;Y$5),1))+IF(AC1436="",0,IFERROR(--(EOMONTH(AC1436,0)&lt;&gt;AB$5),1))+IF(AF1436="",0,IFERROR(--(EOMONTH(AF1436,0)&lt;&gt;AE$5),1))+IF(AI1436="",0,IFERROR(--(EOMONTH(AI1436,0)&lt;&gt;AH$5),1))+IF(AL1436="",0,IFERROR(--(EOMONTH(AL1436,0)&lt;&gt;AK$5),1))+IF(AO1436="",0,IFERROR(--(EOMONTH(AO1436,0)&lt;&gt;AN$5),1))+IF(AR1436="",0,IFERROR(--(EOMONTH(AR1436,0)&lt;&gt;AQ$5),1))+IF(AU1436="",0,IFERROR(--(EOMONTH(AU1436,0)&lt;&gt;AT$5),1))+IF(AX1436="",0,IFERROR(--(EOMONTH(AX1436,0)&lt;&gt;AW$5),1))+IF(BA1436="",0,IFERROR(--(EOMONTH(BA1436,0)&lt;&gt;AZ$5),1)))&gt;0,"; An invoice date is not in the month it is typed under",""),3,500))</f>
        <v/>
      </c>
      <c r="S1436" s="12" t="n"/>
      <c r="T1436" s="13" t="n"/>
      <c r="U1436" s="14" t="n"/>
      <c r="V1436" s="12" t="n"/>
      <c r="W1436" s="13" t="n"/>
      <c r="X1436" s="14" t="n"/>
      <c r="Y1436" s="12" t="n"/>
      <c r="Z1436" s="13" t="n"/>
      <c r="AA1436" s="14" t="n"/>
      <c r="AB1436" s="12" t="n"/>
      <c r="AC1436" s="13" t="n"/>
      <c r="AD1436" s="14" t="n"/>
      <c r="AE1436" s="12" t="n"/>
      <c r="AF1436" s="13" t="n"/>
      <c r="AG1436" s="14" t="n"/>
      <c r="AH1436" s="12" t="n"/>
      <c r="AI1436" s="13" t="n"/>
      <c r="AJ1436" s="14" t="n"/>
      <c r="AK1436" s="12" t="n"/>
      <c r="AL1436" s="13" t="n"/>
      <c r="AM1436" s="14" t="n"/>
      <c r="AN1436" s="12" t="n"/>
      <c r="AO1436" s="13" t="n"/>
      <c r="AP1436" s="14" t="n"/>
      <c r="AQ1436" s="12" t="n"/>
      <c r="AR1436" s="13" t="n"/>
      <c r="AS1436" s="14" t="n"/>
      <c r="AT1436" s="12" t="n"/>
      <c r="AU1436" s="13" t="n"/>
      <c r="AV1436" s="14" t="n"/>
      <c r="AW1436" s="12" t="n"/>
      <c r="AX1436" s="13" t="n"/>
      <c r="AY1436" s="14" t="n"/>
      <c r="AZ1436" s="12" t="n"/>
      <c r="BA1436" s="13" t="n"/>
      <c r="BB1436" s="14" t="n"/>
      <c r="BC1436" s="11">
        <f>IF(O1436="","",IF(J1436="GST 10%",ROUND(O1436*set_GSTRate,2),0))</f>
        <v/>
      </c>
      <c r="BD1436" s="11">
        <f>IF(O1436="","",O1436+BC1436)</f>
        <v/>
      </c>
      <c r="BE1436" s="15">
        <f>IF(O1436="","",COUNTA(S1436,V1436,Y1436,AB1436,AE1436,AH1436,AK1436,AN1436,AQ1436,AT1436,AW1436,AZ1436))</f>
        <v/>
      </c>
      <c r="BF1436" s="16">
        <f>IF(COUNT(T1436,W1436,Z1436,AC1436,AF1436,AI1436,AL1436,AO1436,AR1436,AU1436,AX1436,BA1436)=0,"",MAX(T1436,W1436,Z1436,AC1436,AF1436,AI1436,AL1436,AO1436,AR1436,AU1436,AX1436,BA1436))</f>
        <v/>
      </c>
      <c r="BG1436" s="10">
        <f>MID(IF(S1436="","",", "&amp;S1436)&amp;IF(V1436="","",", "&amp;V1436)&amp;IF(Y1436="","",", "&amp;Y1436)&amp;IF(AB1436="","",", "&amp;AB1436)&amp;IF(AE1436="","",", "&amp;AE1436)&amp;IF(AH1436="","",", "&amp;AH1436)&amp;IF(AK1436="","",", "&amp;AK1436)&amp;IF(AN1436="","",", "&amp;AN1436)&amp;IF(AQ1436="","",", "&amp;AQ1436)&amp;IF(AT1436="","",", "&amp;AT1436)&amp;IF(AW1436="","",", "&amp;AW1436)&amp;IF(AZ1436="","",", "&amp;AZ1436),3,500)</f>
        <v/>
      </c>
      <c r="BH1436" s="12" t="n"/>
      <c r="BI1436" s="15">
        <f>IFERROR(MATCH($A1436,IF($B1436="Onsite",tbl_Onsite[Row ID],IF($B1436="Production",tbl_Production[Row ID],tbl_Consulting[Row ID])),0),"")</f>
        <v/>
      </c>
    </row>
    <row r="1437">
      <c r="A1437" s="10" t="inlineStr">
        <is>
          <t>CON-0431</t>
        </is>
      </c>
      <c r="B1437" s="10" t="inlineStr">
        <is>
          <t>Consulting</t>
        </is>
      </c>
      <c r="C1437" s="10">
        <f>IF($BI1437="","",IF($B1437="Onsite",INDEX(tbl_Onsite[Job Number],$BI1437),IF($B1437="Production",INDEX(tbl_Production[Job Number],$BI1437),INDEX(tbl_Consulting[Job Number],$BI1437)))&amp;"")</f>
        <v/>
      </c>
      <c r="D1437" s="10">
        <f>IF($BI1437="","",IF($B1437="Onsite",INDEX(tbl_Onsite[Client],$BI1437),IF($B1437="Production",INDEX(tbl_Production[Client],$BI1437),INDEX(tbl_Consulting[Client],$BI1437)))&amp;"")</f>
        <v/>
      </c>
      <c r="E1437" s="10">
        <f>IF($C1437="","",IF(COUNTIF(lst_Jobs,$C1437)&gt;0,"OK","CHECK"))</f>
        <v/>
      </c>
      <c r="F1437" s="10">
        <f>IF($C1437="","",IFERROR(INDEX(lst_JobName,MATCH($C1437,lst_Jobs,0)),""))</f>
        <v/>
      </c>
      <c r="G1437" s="10">
        <f>IF($BI1437="","",IF($B1437="Onsite",INDEX(tbl_Onsite[Job Description],$BI1437),IF($B1437="Production",INDEX(tbl_Production[Job Description],$BI1437),INDEX(tbl_Consulting[Job Description],$BI1437)))&amp;"")</f>
        <v/>
      </c>
      <c r="H1437" s="10">
        <f>IF($BI1437="","",IF($B1437="Onsite",INDEX(tbl_Onsite[Cost Centre],$BI1437),IF($B1437="Production",INDEX(tbl_Production[Cost Centre],$BI1437),INDEX(tbl_Consulting[Cost Centre],$BI1437)))&amp;"")</f>
        <v/>
      </c>
      <c r="I1437" s="10">
        <f>IF($BI1437="","",IF($B1437="Onsite",INDEX(tbl_Onsite[Invoice Type],$BI1437),IF($B1437="Production",INDEX(tbl_Production[Invoice Type],$BI1437),INDEX(tbl_Consulting[Invoice Type],$BI1437)))&amp;"")</f>
        <v/>
      </c>
      <c r="J1437" s="10">
        <f>IF($BI1437="","",IF($B1437="Onsite",INDEX(tbl_Onsite[Tax Code],$BI1437),IF($B1437="Production",INDEX(tbl_Production[Tax Code],$BI1437),INDEX(tbl_Consulting[Tax Code],$BI1437)))&amp;"")</f>
        <v/>
      </c>
      <c r="K1437" s="10">
        <f>IF(H1437="","",IFERROR(INDEX(lst_CCtoGL,MATCH(H1437,lst_CCforGL,0)),""))</f>
        <v/>
      </c>
      <c r="L1437" s="10">
        <f>IF($BI1437="","",IF($B1437="Onsite",INDEX(tbl_Onsite[PO / Reference],$BI1437),IF($B1437="Production",INDEX(tbl_Production[Current RMS No],$BI1437),INDEX(tbl_Consulting[Qwilr Quote],$BI1437)))&amp;"")</f>
        <v/>
      </c>
      <c r="M1437" s="10">
        <f>IF($BI1437="","",IF($B1437="Onsite",INDEX(tbl_Onsite[Notes],$BI1437),IF($B1437="Production",INDEX(tbl_Production[Notes],$BI1437),INDEX(tbl_Consulting[Notes],$BI1437)))&amp;"")</f>
        <v/>
      </c>
      <c r="N1437" s="11">
        <f>IF($BI1437="","",IF(IF($B1437="Onsite",INDEX(tbl_Onsite[Expected Revenue Ex GST],$BI1437),IF($B1437="Production",INDEX(tbl_Production[Expected Revenue Ex GST],$BI1437),INDEX(tbl_Consulting[Expected Revenue Ex GST],$BI1437)))="","",IF($B1437="Onsite",INDEX(tbl_Onsite[Expected Revenue Ex GST],$BI1437),IF($B1437="Production",INDEX(tbl_Production[Expected Revenue Ex GST],$BI1437),INDEX(tbl_Consulting[Expected Revenue Ex GST],$BI1437)))))</f>
        <v/>
      </c>
      <c r="O1437" s="11">
        <f>IF(AND($C1437="",NOT(COUNTA($S1437:$BB1437)&gt;0)),"",SUM(U1437,X1437,AA1437,AD1437,AG1437,AJ1437,AM1437,AP1437,AS1437,AV1437,AY1437,BB1437))</f>
        <v/>
      </c>
      <c r="P1437" s="11">
        <f>IF(O1437="","",N(N1437)-O1437)</f>
        <v/>
      </c>
      <c r="Q1437" s="10">
        <f>IF(O1437="","",IF($C1437="","Invoice on empty job row",IF(N1437="",IF(ROUND(O1437,2)=0,"No dept value","Invoiced - no dept value"),IF(ROUND(O1437,2)=0,"Not invoiced - to invoice",IF(ROUND(P1437,2)=0,"Agrees",IF(P1437&gt;0,"Dept higher - to invoice","Xero higher - check dept"))))))</f>
        <v/>
      </c>
      <c r="R1437" s="10">
        <f>IF(AND($C1437="",NOT(COUNTA($S1437:$BB1437)&gt;0),$BI1437&lt;&gt;""),"",MID(IF($BI1437="","; Row ID not found on the department sheet - a row was deleted","")&amp;IF(AND($C1437="",COUNTA($S1437:$BB1437)&gt;0),"; Invoice entered but the department row has no job number","")&amp;IF(E1437="CHECK","; Job number not in the Xero job list","")&amp;IF(AND($C1437&lt;&gt;"",COUNTIF($C$7:$C$1506,$C1437)&gt;1),"; Job number on more than one row","")&amp;IF(AND($C1437&lt;&gt;"",H1437=""),"; Dept has not set a cost centre","")&amp;IF(AND($C1437&lt;&gt;"",J1437=""),"; Dept has not set a tax code","")&amp;IF(AND($C1437&lt;&gt;"",N1437=""),"; Dept has not entered an expected value","")&amp;IF((IF(OR(COUNTA(S1437:U1437)=0,AND(COUNTA(S1437:U1437)=3,ISNUMBER(U1437))),0,1)+IF(OR(COUNTA(V1437:X1437)=0,AND(COUNTA(V1437:X1437)=3,ISNUMBER(X1437))),0,1)+IF(OR(COUNTA(Y1437:AA1437)=0,AND(COUNTA(Y1437:AA1437)=3,ISNUMBER(AA1437))),0,1)+IF(OR(COUNTA(AB1437:AD1437)=0,AND(COUNTA(AB1437:AD1437)=3,ISNUMBER(AD1437))),0,1)+IF(OR(COUNTA(AE1437:AG1437)=0,AND(COUNTA(AE1437:AG1437)=3,ISNUMBER(AG1437))),0,1)+IF(OR(COUNTA(AH1437:AJ1437)=0,AND(COUNTA(AH1437:AJ1437)=3,ISNUMBER(AJ1437))),0,1)+IF(OR(COUNTA(AK1437:AM1437)=0,AND(COUNTA(AK1437:AM1437)=3,ISNUMBER(AM1437))),0,1)+IF(OR(COUNTA(AN1437:AP1437)=0,AND(COUNTA(AN1437:AP1437)=3,ISNUMBER(AP1437))),0,1)+IF(OR(COUNTA(AQ1437:AS1437)=0,AND(COUNTA(AQ1437:AS1437)=3,ISNUMBER(AS1437))),0,1)+IF(OR(COUNTA(AT1437:AV1437)=0,AND(COUNTA(AT1437:AV1437)=3,ISNUMBER(AV1437))),0,1)+IF(OR(COUNTA(AW1437:AY1437)=0,AND(COUNTA(AW1437:AY1437)=3,ISNUMBER(AY1437))),0,1)+IF(OR(COUNTA(AZ1437:BB1437)=0,AND(COUNTA(AZ1437:BB1437)=3,ISNUMBER(BB1437))),0,1))&gt;0,"; An invoice is incomplete (needs No, Date and a number in Ex GST)","")&amp;IF((IF(T1437="",0,IFERROR(--(EOMONTH(T1437,0)&lt;&gt;S$5),1))+IF(W1437="",0,IFERROR(--(EOMONTH(W1437,0)&lt;&gt;V$5),1))+IF(Z1437="",0,IFERROR(--(EOMONTH(Z1437,0)&lt;&gt;Y$5),1))+IF(AC1437="",0,IFERROR(--(EOMONTH(AC1437,0)&lt;&gt;AB$5),1))+IF(AF1437="",0,IFERROR(--(EOMONTH(AF1437,0)&lt;&gt;AE$5),1))+IF(AI1437="",0,IFERROR(--(EOMONTH(AI1437,0)&lt;&gt;AH$5),1))+IF(AL1437="",0,IFERROR(--(EOMONTH(AL1437,0)&lt;&gt;AK$5),1))+IF(AO1437="",0,IFERROR(--(EOMONTH(AO1437,0)&lt;&gt;AN$5),1))+IF(AR1437="",0,IFERROR(--(EOMONTH(AR1437,0)&lt;&gt;AQ$5),1))+IF(AU1437="",0,IFERROR(--(EOMONTH(AU1437,0)&lt;&gt;AT$5),1))+IF(AX1437="",0,IFERROR(--(EOMONTH(AX1437,0)&lt;&gt;AW$5),1))+IF(BA1437="",0,IFERROR(--(EOMONTH(BA1437,0)&lt;&gt;AZ$5),1)))&gt;0,"; An invoice date is not in the month it is typed under",""),3,500))</f>
        <v/>
      </c>
      <c r="S1437" s="12" t="n"/>
      <c r="T1437" s="13" t="n"/>
      <c r="U1437" s="14" t="n"/>
      <c r="V1437" s="12" t="n"/>
      <c r="W1437" s="13" t="n"/>
      <c r="X1437" s="14" t="n"/>
      <c r="Y1437" s="12" t="n"/>
      <c r="Z1437" s="13" t="n"/>
      <c r="AA1437" s="14" t="n"/>
      <c r="AB1437" s="12" t="n"/>
      <c r="AC1437" s="13" t="n"/>
      <c r="AD1437" s="14" t="n"/>
      <c r="AE1437" s="12" t="n"/>
      <c r="AF1437" s="13" t="n"/>
      <c r="AG1437" s="14" t="n"/>
      <c r="AH1437" s="12" t="n"/>
      <c r="AI1437" s="13" t="n"/>
      <c r="AJ1437" s="14" t="n"/>
      <c r="AK1437" s="12" t="n"/>
      <c r="AL1437" s="13" t="n"/>
      <c r="AM1437" s="14" t="n"/>
      <c r="AN1437" s="12" t="n"/>
      <c r="AO1437" s="13" t="n"/>
      <c r="AP1437" s="14" t="n"/>
      <c r="AQ1437" s="12" t="n"/>
      <c r="AR1437" s="13" t="n"/>
      <c r="AS1437" s="14" t="n"/>
      <c r="AT1437" s="12" t="n"/>
      <c r="AU1437" s="13" t="n"/>
      <c r="AV1437" s="14" t="n"/>
      <c r="AW1437" s="12" t="n"/>
      <c r="AX1437" s="13" t="n"/>
      <c r="AY1437" s="14" t="n"/>
      <c r="AZ1437" s="12" t="n"/>
      <c r="BA1437" s="13" t="n"/>
      <c r="BB1437" s="14" t="n"/>
      <c r="BC1437" s="11">
        <f>IF(O1437="","",IF(J1437="GST 10%",ROUND(O1437*set_GSTRate,2),0))</f>
        <v/>
      </c>
      <c r="BD1437" s="11">
        <f>IF(O1437="","",O1437+BC1437)</f>
        <v/>
      </c>
      <c r="BE1437" s="15">
        <f>IF(O1437="","",COUNTA(S1437,V1437,Y1437,AB1437,AE1437,AH1437,AK1437,AN1437,AQ1437,AT1437,AW1437,AZ1437))</f>
        <v/>
      </c>
      <c r="BF1437" s="16">
        <f>IF(COUNT(T1437,W1437,Z1437,AC1437,AF1437,AI1437,AL1437,AO1437,AR1437,AU1437,AX1437,BA1437)=0,"",MAX(T1437,W1437,Z1437,AC1437,AF1437,AI1437,AL1437,AO1437,AR1437,AU1437,AX1437,BA1437))</f>
        <v/>
      </c>
      <c r="BG1437" s="10">
        <f>MID(IF(S1437="","",", "&amp;S1437)&amp;IF(V1437="","",", "&amp;V1437)&amp;IF(Y1437="","",", "&amp;Y1437)&amp;IF(AB1437="","",", "&amp;AB1437)&amp;IF(AE1437="","",", "&amp;AE1437)&amp;IF(AH1437="","",", "&amp;AH1437)&amp;IF(AK1437="","",", "&amp;AK1437)&amp;IF(AN1437="","",", "&amp;AN1437)&amp;IF(AQ1437="","",", "&amp;AQ1437)&amp;IF(AT1437="","",", "&amp;AT1437)&amp;IF(AW1437="","",", "&amp;AW1437)&amp;IF(AZ1437="","",", "&amp;AZ1437),3,500)</f>
        <v/>
      </c>
      <c r="BH1437" s="12" t="n"/>
      <c r="BI1437" s="15">
        <f>IFERROR(MATCH($A1437,IF($B1437="Onsite",tbl_Onsite[Row ID],IF($B1437="Production",tbl_Production[Row ID],tbl_Consulting[Row ID])),0),"")</f>
        <v/>
      </c>
    </row>
    <row r="1438">
      <c r="A1438" s="10" t="inlineStr">
        <is>
          <t>CON-0432</t>
        </is>
      </c>
      <c r="B1438" s="10" t="inlineStr">
        <is>
          <t>Consulting</t>
        </is>
      </c>
      <c r="C1438" s="10">
        <f>IF($BI1438="","",IF($B1438="Onsite",INDEX(tbl_Onsite[Job Number],$BI1438),IF($B1438="Production",INDEX(tbl_Production[Job Number],$BI1438),INDEX(tbl_Consulting[Job Number],$BI1438)))&amp;"")</f>
        <v/>
      </c>
      <c r="D1438" s="10">
        <f>IF($BI1438="","",IF($B1438="Onsite",INDEX(tbl_Onsite[Client],$BI1438),IF($B1438="Production",INDEX(tbl_Production[Client],$BI1438),INDEX(tbl_Consulting[Client],$BI1438)))&amp;"")</f>
        <v/>
      </c>
      <c r="E1438" s="10">
        <f>IF($C1438="","",IF(COUNTIF(lst_Jobs,$C1438)&gt;0,"OK","CHECK"))</f>
        <v/>
      </c>
      <c r="F1438" s="10">
        <f>IF($C1438="","",IFERROR(INDEX(lst_JobName,MATCH($C1438,lst_Jobs,0)),""))</f>
        <v/>
      </c>
      <c r="G1438" s="10">
        <f>IF($BI1438="","",IF($B1438="Onsite",INDEX(tbl_Onsite[Job Description],$BI1438),IF($B1438="Production",INDEX(tbl_Production[Job Description],$BI1438),INDEX(tbl_Consulting[Job Description],$BI1438)))&amp;"")</f>
        <v/>
      </c>
      <c r="H1438" s="10">
        <f>IF($BI1438="","",IF($B1438="Onsite",INDEX(tbl_Onsite[Cost Centre],$BI1438),IF($B1438="Production",INDEX(tbl_Production[Cost Centre],$BI1438),INDEX(tbl_Consulting[Cost Centre],$BI1438)))&amp;"")</f>
        <v/>
      </c>
      <c r="I1438" s="10">
        <f>IF($BI1438="","",IF($B1438="Onsite",INDEX(tbl_Onsite[Invoice Type],$BI1438),IF($B1438="Production",INDEX(tbl_Production[Invoice Type],$BI1438),INDEX(tbl_Consulting[Invoice Type],$BI1438)))&amp;"")</f>
        <v/>
      </c>
      <c r="J1438" s="10">
        <f>IF($BI1438="","",IF($B1438="Onsite",INDEX(tbl_Onsite[Tax Code],$BI1438),IF($B1438="Production",INDEX(tbl_Production[Tax Code],$BI1438),INDEX(tbl_Consulting[Tax Code],$BI1438)))&amp;"")</f>
        <v/>
      </c>
      <c r="K1438" s="10">
        <f>IF(H1438="","",IFERROR(INDEX(lst_CCtoGL,MATCH(H1438,lst_CCforGL,0)),""))</f>
        <v/>
      </c>
      <c r="L1438" s="10">
        <f>IF($BI1438="","",IF($B1438="Onsite",INDEX(tbl_Onsite[PO / Reference],$BI1438),IF($B1438="Production",INDEX(tbl_Production[Current RMS No],$BI1438),INDEX(tbl_Consulting[Qwilr Quote],$BI1438)))&amp;"")</f>
        <v/>
      </c>
      <c r="M1438" s="10">
        <f>IF($BI1438="","",IF($B1438="Onsite",INDEX(tbl_Onsite[Notes],$BI1438),IF($B1438="Production",INDEX(tbl_Production[Notes],$BI1438),INDEX(tbl_Consulting[Notes],$BI1438)))&amp;"")</f>
        <v/>
      </c>
      <c r="N1438" s="11">
        <f>IF($BI1438="","",IF(IF($B1438="Onsite",INDEX(tbl_Onsite[Expected Revenue Ex GST],$BI1438),IF($B1438="Production",INDEX(tbl_Production[Expected Revenue Ex GST],$BI1438),INDEX(tbl_Consulting[Expected Revenue Ex GST],$BI1438)))="","",IF($B1438="Onsite",INDEX(tbl_Onsite[Expected Revenue Ex GST],$BI1438),IF($B1438="Production",INDEX(tbl_Production[Expected Revenue Ex GST],$BI1438),INDEX(tbl_Consulting[Expected Revenue Ex GST],$BI1438)))))</f>
        <v/>
      </c>
      <c r="O1438" s="11">
        <f>IF(AND($C1438="",NOT(COUNTA($S1438:$BB1438)&gt;0)),"",SUM(U1438,X1438,AA1438,AD1438,AG1438,AJ1438,AM1438,AP1438,AS1438,AV1438,AY1438,BB1438))</f>
        <v/>
      </c>
      <c r="P1438" s="11">
        <f>IF(O1438="","",N(N1438)-O1438)</f>
        <v/>
      </c>
      <c r="Q1438" s="10">
        <f>IF(O1438="","",IF($C1438="","Invoice on empty job row",IF(N1438="",IF(ROUND(O1438,2)=0,"No dept value","Invoiced - no dept value"),IF(ROUND(O1438,2)=0,"Not invoiced - to invoice",IF(ROUND(P1438,2)=0,"Agrees",IF(P1438&gt;0,"Dept higher - to invoice","Xero higher - check dept"))))))</f>
        <v/>
      </c>
      <c r="R1438" s="10">
        <f>IF(AND($C1438="",NOT(COUNTA($S1438:$BB1438)&gt;0),$BI1438&lt;&gt;""),"",MID(IF($BI1438="","; Row ID not found on the department sheet - a row was deleted","")&amp;IF(AND($C1438="",COUNTA($S1438:$BB1438)&gt;0),"; Invoice entered but the department row has no job number","")&amp;IF(E1438="CHECK","; Job number not in the Xero job list","")&amp;IF(AND($C1438&lt;&gt;"",COUNTIF($C$7:$C$1506,$C1438)&gt;1),"; Job number on more than one row","")&amp;IF(AND($C1438&lt;&gt;"",H1438=""),"; Dept has not set a cost centre","")&amp;IF(AND($C1438&lt;&gt;"",J1438=""),"; Dept has not set a tax code","")&amp;IF(AND($C1438&lt;&gt;"",N1438=""),"; Dept has not entered an expected value","")&amp;IF((IF(OR(COUNTA(S1438:U1438)=0,AND(COUNTA(S1438:U1438)=3,ISNUMBER(U1438))),0,1)+IF(OR(COUNTA(V1438:X1438)=0,AND(COUNTA(V1438:X1438)=3,ISNUMBER(X1438))),0,1)+IF(OR(COUNTA(Y1438:AA1438)=0,AND(COUNTA(Y1438:AA1438)=3,ISNUMBER(AA1438))),0,1)+IF(OR(COUNTA(AB1438:AD1438)=0,AND(COUNTA(AB1438:AD1438)=3,ISNUMBER(AD1438))),0,1)+IF(OR(COUNTA(AE1438:AG1438)=0,AND(COUNTA(AE1438:AG1438)=3,ISNUMBER(AG1438))),0,1)+IF(OR(COUNTA(AH1438:AJ1438)=0,AND(COUNTA(AH1438:AJ1438)=3,ISNUMBER(AJ1438))),0,1)+IF(OR(COUNTA(AK1438:AM1438)=0,AND(COUNTA(AK1438:AM1438)=3,ISNUMBER(AM1438))),0,1)+IF(OR(COUNTA(AN1438:AP1438)=0,AND(COUNTA(AN1438:AP1438)=3,ISNUMBER(AP1438))),0,1)+IF(OR(COUNTA(AQ1438:AS1438)=0,AND(COUNTA(AQ1438:AS1438)=3,ISNUMBER(AS1438))),0,1)+IF(OR(COUNTA(AT1438:AV1438)=0,AND(COUNTA(AT1438:AV1438)=3,ISNUMBER(AV1438))),0,1)+IF(OR(COUNTA(AW1438:AY1438)=0,AND(COUNTA(AW1438:AY1438)=3,ISNUMBER(AY1438))),0,1)+IF(OR(COUNTA(AZ1438:BB1438)=0,AND(COUNTA(AZ1438:BB1438)=3,ISNUMBER(BB1438))),0,1))&gt;0,"; An invoice is incomplete (needs No, Date and a number in Ex GST)","")&amp;IF((IF(T1438="",0,IFERROR(--(EOMONTH(T1438,0)&lt;&gt;S$5),1))+IF(W1438="",0,IFERROR(--(EOMONTH(W1438,0)&lt;&gt;V$5),1))+IF(Z1438="",0,IFERROR(--(EOMONTH(Z1438,0)&lt;&gt;Y$5),1))+IF(AC1438="",0,IFERROR(--(EOMONTH(AC1438,0)&lt;&gt;AB$5),1))+IF(AF1438="",0,IFERROR(--(EOMONTH(AF1438,0)&lt;&gt;AE$5),1))+IF(AI1438="",0,IFERROR(--(EOMONTH(AI1438,0)&lt;&gt;AH$5),1))+IF(AL1438="",0,IFERROR(--(EOMONTH(AL1438,0)&lt;&gt;AK$5),1))+IF(AO1438="",0,IFERROR(--(EOMONTH(AO1438,0)&lt;&gt;AN$5),1))+IF(AR1438="",0,IFERROR(--(EOMONTH(AR1438,0)&lt;&gt;AQ$5),1))+IF(AU1438="",0,IFERROR(--(EOMONTH(AU1438,0)&lt;&gt;AT$5),1))+IF(AX1438="",0,IFERROR(--(EOMONTH(AX1438,0)&lt;&gt;AW$5),1))+IF(BA1438="",0,IFERROR(--(EOMONTH(BA1438,0)&lt;&gt;AZ$5),1)))&gt;0,"; An invoice date is not in the month it is typed under",""),3,500))</f>
        <v/>
      </c>
      <c r="S1438" s="12" t="n"/>
      <c r="T1438" s="13" t="n"/>
      <c r="U1438" s="14" t="n"/>
      <c r="V1438" s="12" t="n"/>
      <c r="W1438" s="13" t="n"/>
      <c r="X1438" s="14" t="n"/>
      <c r="Y1438" s="12" t="n"/>
      <c r="Z1438" s="13" t="n"/>
      <c r="AA1438" s="14" t="n"/>
      <c r="AB1438" s="12" t="n"/>
      <c r="AC1438" s="13" t="n"/>
      <c r="AD1438" s="14" t="n"/>
      <c r="AE1438" s="12" t="n"/>
      <c r="AF1438" s="13" t="n"/>
      <c r="AG1438" s="14" t="n"/>
      <c r="AH1438" s="12" t="n"/>
      <c r="AI1438" s="13" t="n"/>
      <c r="AJ1438" s="14" t="n"/>
      <c r="AK1438" s="12" t="n"/>
      <c r="AL1438" s="13" t="n"/>
      <c r="AM1438" s="14" t="n"/>
      <c r="AN1438" s="12" t="n"/>
      <c r="AO1438" s="13" t="n"/>
      <c r="AP1438" s="14" t="n"/>
      <c r="AQ1438" s="12" t="n"/>
      <c r="AR1438" s="13" t="n"/>
      <c r="AS1438" s="14" t="n"/>
      <c r="AT1438" s="12" t="n"/>
      <c r="AU1438" s="13" t="n"/>
      <c r="AV1438" s="14" t="n"/>
      <c r="AW1438" s="12" t="n"/>
      <c r="AX1438" s="13" t="n"/>
      <c r="AY1438" s="14" t="n"/>
      <c r="AZ1438" s="12" t="n"/>
      <c r="BA1438" s="13" t="n"/>
      <c r="BB1438" s="14" t="n"/>
      <c r="BC1438" s="11">
        <f>IF(O1438="","",IF(J1438="GST 10%",ROUND(O1438*set_GSTRate,2),0))</f>
        <v/>
      </c>
      <c r="BD1438" s="11">
        <f>IF(O1438="","",O1438+BC1438)</f>
        <v/>
      </c>
      <c r="BE1438" s="15">
        <f>IF(O1438="","",COUNTA(S1438,V1438,Y1438,AB1438,AE1438,AH1438,AK1438,AN1438,AQ1438,AT1438,AW1438,AZ1438))</f>
        <v/>
      </c>
      <c r="BF1438" s="16">
        <f>IF(COUNT(T1438,W1438,Z1438,AC1438,AF1438,AI1438,AL1438,AO1438,AR1438,AU1438,AX1438,BA1438)=0,"",MAX(T1438,W1438,Z1438,AC1438,AF1438,AI1438,AL1438,AO1438,AR1438,AU1438,AX1438,BA1438))</f>
        <v/>
      </c>
      <c r="BG1438" s="10">
        <f>MID(IF(S1438="","",", "&amp;S1438)&amp;IF(V1438="","",", "&amp;V1438)&amp;IF(Y1438="","",", "&amp;Y1438)&amp;IF(AB1438="","",", "&amp;AB1438)&amp;IF(AE1438="","",", "&amp;AE1438)&amp;IF(AH1438="","",", "&amp;AH1438)&amp;IF(AK1438="","",", "&amp;AK1438)&amp;IF(AN1438="","",", "&amp;AN1438)&amp;IF(AQ1438="","",", "&amp;AQ1438)&amp;IF(AT1438="","",", "&amp;AT1438)&amp;IF(AW1438="","",", "&amp;AW1438)&amp;IF(AZ1438="","",", "&amp;AZ1438),3,500)</f>
        <v/>
      </c>
      <c r="BH1438" s="12" t="n"/>
      <c r="BI1438" s="15">
        <f>IFERROR(MATCH($A1438,IF($B1438="Onsite",tbl_Onsite[Row ID],IF($B1438="Production",tbl_Production[Row ID],tbl_Consulting[Row ID])),0),"")</f>
        <v/>
      </c>
    </row>
    <row r="1439">
      <c r="A1439" s="10" t="inlineStr">
        <is>
          <t>CON-0433</t>
        </is>
      </c>
      <c r="B1439" s="10" t="inlineStr">
        <is>
          <t>Consulting</t>
        </is>
      </c>
      <c r="C1439" s="10">
        <f>IF($BI1439="","",IF($B1439="Onsite",INDEX(tbl_Onsite[Job Number],$BI1439),IF($B1439="Production",INDEX(tbl_Production[Job Number],$BI1439),INDEX(tbl_Consulting[Job Number],$BI1439)))&amp;"")</f>
        <v/>
      </c>
      <c r="D1439" s="10">
        <f>IF($BI1439="","",IF($B1439="Onsite",INDEX(tbl_Onsite[Client],$BI1439),IF($B1439="Production",INDEX(tbl_Production[Client],$BI1439),INDEX(tbl_Consulting[Client],$BI1439)))&amp;"")</f>
        <v/>
      </c>
      <c r="E1439" s="10">
        <f>IF($C1439="","",IF(COUNTIF(lst_Jobs,$C1439)&gt;0,"OK","CHECK"))</f>
        <v/>
      </c>
      <c r="F1439" s="10">
        <f>IF($C1439="","",IFERROR(INDEX(lst_JobName,MATCH($C1439,lst_Jobs,0)),""))</f>
        <v/>
      </c>
      <c r="G1439" s="10">
        <f>IF($BI1439="","",IF($B1439="Onsite",INDEX(tbl_Onsite[Job Description],$BI1439),IF($B1439="Production",INDEX(tbl_Production[Job Description],$BI1439),INDEX(tbl_Consulting[Job Description],$BI1439)))&amp;"")</f>
        <v/>
      </c>
      <c r="H1439" s="10">
        <f>IF($BI1439="","",IF($B1439="Onsite",INDEX(tbl_Onsite[Cost Centre],$BI1439),IF($B1439="Production",INDEX(tbl_Production[Cost Centre],$BI1439),INDEX(tbl_Consulting[Cost Centre],$BI1439)))&amp;"")</f>
        <v/>
      </c>
      <c r="I1439" s="10">
        <f>IF($BI1439="","",IF($B1439="Onsite",INDEX(tbl_Onsite[Invoice Type],$BI1439),IF($B1439="Production",INDEX(tbl_Production[Invoice Type],$BI1439),INDEX(tbl_Consulting[Invoice Type],$BI1439)))&amp;"")</f>
        <v/>
      </c>
      <c r="J1439" s="10">
        <f>IF($BI1439="","",IF($B1439="Onsite",INDEX(tbl_Onsite[Tax Code],$BI1439),IF($B1439="Production",INDEX(tbl_Production[Tax Code],$BI1439),INDEX(tbl_Consulting[Tax Code],$BI1439)))&amp;"")</f>
        <v/>
      </c>
      <c r="K1439" s="10">
        <f>IF(H1439="","",IFERROR(INDEX(lst_CCtoGL,MATCH(H1439,lst_CCforGL,0)),""))</f>
        <v/>
      </c>
      <c r="L1439" s="10">
        <f>IF($BI1439="","",IF($B1439="Onsite",INDEX(tbl_Onsite[PO / Reference],$BI1439),IF($B1439="Production",INDEX(tbl_Production[Current RMS No],$BI1439),INDEX(tbl_Consulting[Qwilr Quote],$BI1439)))&amp;"")</f>
        <v/>
      </c>
      <c r="M1439" s="10">
        <f>IF($BI1439="","",IF($B1439="Onsite",INDEX(tbl_Onsite[Notes],$BI1439),IF($B1439="Production",INDEX(tbl_Production[Notes],$BI1439),INDEX(tbl_Consulting[Notes],$BI1439)))&amp;"")</f>
        <v/>
      </c>
      <c r="N1439" s="11">
        <f>IF($BI1439="","",IF(IF($B1439="Onsite",INDEX(tbl_Onsite[Expected Revenue Ex GST],$BI1439),IF($B1439="Production",INDEX(tbl_Production[Expected Revenue Ex GST],$BI1439),INDEX(tbl_Consulting[Expected Revenue Ex GST],$BI1439)))="","",IF($B1439="Onsite",INDEX(tbl_Onsite[Expected Revenue Ex GST],$BI1439),IF($B1439="Production",INDEX(tbl_Production[Expected Revenue Ex GST],$BI1439),INDEX(tbl_Consulting[Expected Revenue Ex GST],$BI1439)))))</f>
        <v/>
      </c>
      <c r="O1439" s="11">
        <f>IF(AND($C1439="",NOT(COUNTA($S1439:$BB1439)&gt;0)),"",SUM(U1439,X1439,AA1439,AD1439,AG1439,AJ1439,AM1439,AP1439,AS1439,AV1439,AY1439,BB1439))</f>
        <v/>
      </c>
      <c r="P1439" s="11">
        <f>IF(O1439="","",N(N1439)-O1439)</f>
        <v/>
      </c>
      <c r="Q1439" s="10">
        <f>IF(O1439="","",IF($C1439="","Invoice on empty job row",IF(N1439="",IF(ROUND(O1439,2)=0,"No dept value","Invoiced - no dept value"),IF(ROUND(O1439,2)=0,"Not invoiced - to invoice",IF(ROUND(P1439,2)=0,"Agrees",IF(P1439&gt;0,"Dept higher - to invoice","Xero higher - check dept"))))))</f>
        <v/>
      </c>
      <c r="R1439" s="10">
        <f>IF(AND($C1439="",NOT(COUNTA($S1439:$BB1439)&gt;0),$BI1439&lt;&gt;""),"",MID(IF($BI1439="","; Row ID not found on the department sheet - a row was deleted","")&amp;IF(AND($C1439="",COUNTA($S1439:$BB1439)&gt;0),"; Invoice entered but the department row has no job number","")&amp;IF(E1439="CHECK","; Job number not in the Xero job list","")&amp;IF(AND($C1439&lt;&gt;"",COUNTIF($C$7:$C$1506,$C1439)&gt;1),"; Job number on more than one row","")&amp;IF(AND($C1439&lt;&gt;"",H1439=""),"; Dept has not set a cost centre","")&amp;IF(AND($C1439&lt;&gt;"",J1439=""),"; Dept has not set a tax code","")&amp;IF(AND($C1439&lt;&gt;"",N1439=""),"; Dept has not entered an expected value","")&amp;IF((IF(OR(COUNTA(S1439:U1439)=0,AND(COUNTA(S1439:U1439)=3,ISNUMBER(U1439))),0,1)+IF(OR(COUNTA(V1439:X1439)=0,AND(COUNTA(V1439:X1439)=3,ISNUMBER(X1439))),0,1)+IF(OR(COUNTA(Y1439:AA1439)=0,AND(COUNTA(Y1439:AA1439)=3,ISNUMBER(AA1439))),0,1)+IF(OR(COUNTA(AB1439:AD1439)=0,AND(COUNTA(AB1439:AD1439)=3,ISNUMBER(AD1439))),0,1)+IF(OR(COUNTA(AE1439:AG1439)=0,AND(COUNTA(AE1439:AG1439)=3,ISNUMBER(AG1439))),0,1)+IF(OR(COUNTA(AH1439:AJ1439)=0,AND(COUNTA(AH1439:AJ1439)=3,ISNUMBER(AJ1439))),0,1)+IF(OR(COUNTA(AK1439:AM1439)=0,AND(COUNTA(AK1439:AM1439)=3,ISNUMBER(AM1439))),0,1)+IF(OR(COUNTA(AN1439:AP1439)=0,AND(COUNTA(AN1439:AP1439)=3,ISNUMBER(AP1439))),0,1)+IF(OR(COUNTA(AQ1439:AS1439)=0,AND(COUNTA(AQ1439:AS1439)=3,ISNUMBER(AS1439))),0,1)+IF(OR(COUNTA(AT1439:AV1439)=0,AND(COUNTA(AT1439:AV1439)=3,ISNUMBER(AV1439))),0,1)+IF(OR(COUNTA(AW1439:AY1439)=0,AND(COUNTA(AW1439:AY1439)=3,ISNUMBER(AY1439))),0,1)+IF(OR(COUNTA(AZ1439:BB1439)=0,AND(COUNTA(AZ1439:BB1439)=3,ISNUMBER(BB1439))),0,1))&gt;0,"; An invoice is incomplete (needs No, Date and a number in Ex GST)","")&amp;IF((IF(T1439="",0,IFERROR(--(EOMONTH(T1439,0)&lt;&gt;S$5),1))+IF(W1439="",0,IFERROR(--(EOMONTH(W1439,0)&lt;&gt;V$5),1))+IF(Z1439="",0,IFERROR(--(EOMONTH(Z1439,0)&lt;&gt;Y$5),1))+IF(AC1439="",0,IFERROR(--(EOMONTH(AC1439,0)&lt;&gt;AB$5),1))+IF(AF1439="",0,IFERROR(--(EOMONTH(AF1439,0)&lt;&gt;AE$5),1))+IF(AI1439="",0,IFERROR(--(EOMONTH(AI1439,0)&lt;&gt;AH$5),1))+IF(AL1439="",0,IFERROR(--(EOMONTH(AL1439,0)&lt;&gt;AK$5),1))+IF(AO1439="",0,IFERROR(--(EOMONTH(AO1439,0)&lt;&gt;AN$5),1))+IF(AR1439="",0,IFERROR(--(EOMONTH(AR1439,0)&lt;&gt;AQ$5),1))+IF(AU1439="",0,IFERROR(--(EOMONTH(AU1439,0)&lt;&gt;AT$5),1))+IF(AX1439="",0,IFERROR(--(EOMONTH(AX1439,0)&lt;&gt;AW$5),1))+IF(BA1439="",0,IFERROR(--(EOMONTH(BA1439,0)&lt;&gt;AZ$5),1)))&gt;0,"; An invoice date is not in the month it is typed under",""),3,500))</f>
        <v/>
      </c>
      <c r="S1439" s="12" t="n"/>
      <c r="T1439" s="13" t="n"/>
      <c r="U1439" s="14" t="n"/>
      <c r="V1439" s="12" t="n"/>
      <c r="W1439" s="13" t="n"/>
      <c r="X1439" s="14" t="n"/>
      <c r="Y1439" s="12" t="n"/>
      <c r="Z1439" s="13" t="n"/>
      <c r="AA1439" s="14" t="n"/>
      <c r="AB1439" s="12" t="n"/>
      <c r="AC1439" s="13" t="n"/>
      <c r="AD1439" s="14" t="n"/>
      <c r="AE1439" s="12" t="n"/>
      <c r="AF1439" s="13" t="n"/>
      <c r="AG1439" s="14" t="n"/>
      <c r="AH1439" s="12" t="n"/>
      <c r="AI1439" s="13" t="n"/>
      <c r="AJ1439" s="14" t="n"/>
      <c r="AK1439" s="12" t="n"/>
      <c r="AL1439" s="13" t="n"/>
      <c r="AM1439" s="14" t="n"/>
      <c r="AN1439" s="12" t="n"/>
      <c r="AO1439" s="13" t="n"/>
      <c r="AP1439" s="14" t="n"/>
      <c r="AQ1439" s="12" t="n"/>
      <c r="AR1439" s="13" t="n"/>
      <c r="AS1439" s="14" t="n"/>
      <c r="AT1439" s="12" t="n"/>
      <c r="AU1439" s="13" t="n"/>
      <c r="AV1439" s="14" t="n"/>
      <c r="AW1439" s="12" t="n"/>
      <c r="AX1439" s="13" t="n"/>
      <c r="AY1439" s="14" t="n"/>
      <c r="AZ1439" s="12" t="n"/>
      <c r="BA1439" s="13" t="n"/>
      <c r="BB1439" s="14" t="n"/>
      <c r="BC1439" s="11">
        <f>IF(O1439="","",IF(J1439="GST 10%",ROUND(O1439*set_GSTRate,2),0))</f>
        <v/>
      </c>
      <c r="BD1439" s="11">
        <f>IF(O1439="","",O1439+BC1439)</f>
        <v/>
      </c>
      <c r="BE1439" s="15">
        <f>IF(O1439="","",COUNTA(S1439,V1439,Y1439,AB1439,AE1439,AH1439,AK1439,AN1439,AQ1439,AT1439,AW1439,AZ1439))</f>
        <v/>
      </c>
      <c r="BF1439" s="16">
        <f>IF(COUNT(T1439,W1439,Z1439,AC1439,AF1439,AI1439,AL1439,AO1439,AR1439,AU1439,AX1439,BA1439)=0,"",MAX(T1439,W1439,Z1439,AC1439,AF1439,AI1439,AL1439,AO1439,AR1439,AU1439,AX1439,BA1439))</f>
        <v/>
      </c>
      <c r="BG1439" s="10">
        <f>MID(IF(S1439="","",", "&amp;S1439)&amp;IF(V1439="","",", "&amp;V1439)&amp;IF(Y1439="","",", "&amp;Y1439)&amp;IF(AB1439="","",", "&amp;AB1439)&amp;IF(AE1439="","",", "&amp;AE1439)&amp;IF(AH1439="","",", "&amp;AH1439)&amp;IF(AK1439="","",", "&amp;AK1439)&amp;IF(AN1439="","",", "&amp;AN1439)&amp;IF(AQ1439="","",", "&amp;AQ1439)&amp;IF(AT1439="","",", "&amp;AT1439)&amp;IF(AW1439="","",", "&amp;AW1439)&amp;IF(AZ1439="","",", "&amp;AZ1439),3,500)</f>
        <v/>
      </c>
      <c r="BH1439" s="12" t="n"/>
      <c r="BI1439" s="15">
        <f>IFERROR(MATCH($A1439,IF($B1439="Onsite",tbl_Onsite[Row ID],IF($B1439="Production",tbl_Production[Row ID],tbl_Consulting[Row ID])),0),"")</f>
        <v/>
      </c>
    </row>
    <row r="1440">
      <c r="A1440" s="10" t="inlineStr">
        <is>
          <t>CON-0434</t>
        </is>
      </c>
      <c r="B1440" s="10" t="inlineStr">
        <is>
          <t>Consulting</t>
        </is>
      </c>
      <c r="C1440" s="10">
        <f>IF($BI1440="","",IF($B1440="Onsite",INDEX(tbl_Onsite[Job Number],$BI1440),IF($B1440="Production",INDEX(tbl_Production[Job Number],$BI1440),INDEX(tbl_Consulting[Job Number],$BI1440)))&amp;"")</f>
        <v/>
      </c>
      <c r="D1440" s="10">
        <f>IF($BI1440="","",IF($B1440="Onsite",INDEX(tbl_Onsite[Client],$BI1440),IF($B1440="Production",INDEX(tbl_Production[Client],$BI1440),INDEX(tbl_Consulting[Client],$BI1440)))&amp;"")</f>
        <v/>
      </c>
      <c r="E1440" s="10">
        <f>IF($C1440="","",IF(COUNTIF(lst_Jobs,$C1440)&gt;0,"OK","CHECK"))</f>
        <v/>
      </c>
      <c r="F1440" s="10">
        <f>IF($C1440="","",IFERROR(INDEX(lst_JobName,MATCH($C1440,lst_Jobs,0)),""))</f>
        <v/>
      </c>
      <c r="G1440" s="10">
        <f>IF($BI1440="","",IF($B1440="Onsite",INDEX(tbl_Onsite[Job Description],$BI1440),IF($B1440="Production",INDEX(tbl_Production[Job Description],$BI1440),INDEX(tbl_Consulting[Job Description],$BI1440)))&amp;"")</f>
        <v/>
      </c>
      <c r="H1440" s="10">
        <f>IF($BI1440="","",IF($B1440="Onsite",INDEX(tbl_Onsite[Cost Centre],$BI1440),IF($B1440="Production",INDEX(tbl_Production[Cost Centre],$BI1440),INDEX(tbl_Consulting[Cost Centre],$BI1440)))&amp;"")</f>
        <v/>
      </c>
      <c r="I1440" s="10">
        <f>IF($BI1440="","",IF($B1440="Onsite",INDEX(tbl_Onsite[Invoice Type],$BI1440),IF($B1440="Production",INDEX(tbl_Production[Invoice Type],$BI1440),INDEX(tbl_Consulting[Invoice Type],$BI1440)))&amp;"")</f>
        <v/>
      </c>
      <c r="J1440" s="10">
        <f>IF($BI1440="","",IF($B1440="Onsite",INDEX(tbl_Onsite[Tax Code],$BI1440),IF($B1440="Production",INDEX(tbl_Production[Tax Code],$BI1440),INDEX(tbl_Consulting[Tax Code],$BI1440)))&amp;"")</f>
        <v/>
      </c>
      <c r="K1440" s="10">
        <f>IF(H1440="","",IFERROR(INDEX(lst_CCtoGL,MATCH(H1440,lst_CCforGL,0)),""))</f>
        <v/>
      </c>
      <c r="L1440" s="10">
        <f>IF($BI1440="","",IF($B1440="Onsite",INDEX(tbl_Onsite[PO / Reference],$BI1440),IF($B1440="Production",INDEX(tbl_Production[Current RMS No],$BI1440),INDEX(tbl_Consulting[Qwilr Quote],$BI1440)))&amp;"")</f>
        <v/>
      </c>
      <c r="M1440" s="10">
        <f>IF($BI1440="","",IF($B1440="Onsite",INDEX(tbl_Onsite[Notes],$BI1440),IF($B1440="Production",INDEX(tbl_Production[Notes],$BI1440),INDEX(tbl_Consulting[Notes],$BI1440)))&amp;"")</f>
        <v/>
      </c>
      <c r="N1440" s="11">
        <f>IF($BI1440="","",IF(IF($B1440="Onsite",INDEX(tbl_Onsite[Expected Revenue Ex GST],$BI1440),IF($B1440="Production",INDEX(tbl_Production[Expected Revenue Ex GST],$BI1440),INDEX(tbl_Consulting[Expected Revenue Ex GST],$BI1440)))="","",IF($B1440="Onsite",INDEX(tbl_Onsite[Expected Revenue Ex GST],$BI1440),IF($B1440="Production",INDEX(tbl_Production[Expected Revenue Ex GST],$BI1440),INDEX(tbl_Consulting[Expected Revenue Ex GST],$BI1440)))))</f>
        <v/>
      </c>
      <c r="O1440" s="11">
        <f>IF(AND($C1440="",NOT(COUNTA($S1440:$BB1440)&gt;0)),"",SUM(U1440,X1440,AA1440,AD1440,AG1440,AJ1440,AM1440,AP1440,AS1440,AV1440,AY1440,BB1440))</f>
        <v/>
      </c>
      <c r="P1440" s="11">
        <f>IF(O1440="","",N(N1440)-O1440)</f>
        <v/>
      </c>
      <c r="Q1440" s="10">
        <f>IF(O1440="","",IF($C1440="","Invoice on empty job row",IF(N1440="",IF(ROUND(O1440,2)=0,"No dept value","Invoiced - no dept value"),IF(ROUND(O1440,2)=0,"Not invoiced - to invoice",IF(ROUND(P1440,2)=0,"Agrees",IF(P1440&gt;0,"Dept higher - to invoice","Xero higher - check dept"))))))</f>
        <v/>
      </c>
      <c r="R1440" s="10">
        <f>IF(AND($C1440="",NOT(COUNTA($S1440:$BB1440)&gt;0),$BI1440&lt;&gt;""),"",MID(IF($BI1440="","; Row ID not found on the department sheet - a row was deleted","")&amp;IF(AND($C1440="",COUNTA($S1440:$BB1440)&gt;0),"; Invoice entered but the department row has no job number","")&amp;IF(E1440="CHECK","; Job number not in the Xero job list","")&amp;IF(AND($C1440&lt;&gt;"",COUNTIF($C$7:$C$1506,$C1440)&gt;1),"; Job number on more than one row","")&amp;IF(AND($C1440&lt;&gt;"",H1440=""),"; Dept has not set a cost centre","")&amp;IF(AND($C1440&lt;&gt;"",J1440=""),"; Dept has not set a tax code","")&amp;IF(AND($C1440&lt;&gt;"",N1440=""),"; Dept has not entered an expected value","")&amp;IF((IF(OR(COUNTA(S1440:U1440)=0,AND(COUNTA(S1440:U1440)=3,ISNUMBER(U1440))),0,1)+IF(OR(COUNTA(V1440:X1440)=0,AND(COUNTA(V1440:X1440)=3,ISNUMBER(X1440))),0,1)+IF(OR(COUNTA(Y1440:AA1440)=0,AND(COUNTA(Y1440:AA1440)=3,ISNUMBER(AA1440))),0,1)+IF(OR(COUNTA(AB1440:AD1440)=0,AND(COUNTA(AB1440:AD1440)=3,ISNUMBER(AD1440))),0,1)+IF(OR(COUNTA(AE1440:AG1440)=0,AND(COUNTA(AE1440:AG1440)=3,ISNUMBER(AG1440))),0,1)+IF(OR(COUNTA(AH1440:AJ1440)=0,AND(COUNTA(AH1440:AJ1440)=3,ISNUMBER(AJ1440))),0,1)+IF(OR(COUNTA(AK1440:AM1440)=0,AND(COUNTA(AK1440:AM1440)=3,ISNUMBER(AM1440))),0,1)+IF(OR(COUNTA(AN1440:AP1440)=0,AND(COUNTA(AN1440:AP1440)=3,ISNUMBER(AP1440))),0,1)+IF(OR(COUNTA(AQ1440:AS1440)=0,AND(COUNTA(AQ1440:AS1440)=3,ISNUMBER(AS1440))),0,1)+IF(OR(COUNTA(AT1440:AV1440)=0,AND(COUNTA(AT1440:AV1440)=3,ISNUMBER(AV1440))),0,1)+IF(OR(COUNTA(AW1440:AY1440)=0,AND(COUNTA(AW1440:AY1440)=3,ISNUMBER(AY1440))),0,1)+IF(OR(COUNTA(AZ1440:BB1440)=0,AND(COUNTA(AZ1440:BB1440)=3,ISNUMBER(BB1440))),0,1))&gt;0,"; An invoice is incomplete (needs No, Date and a number in Ex GST)","")&amp;IF((IF(T1440="",0,IFERROR(--(EOMONTH(T1440,0)&lt;&gt;S$5),1))+IF(W1440="",0,IFERROR(--(EOMONTH(W1440,0)&lt;&gt;V$5),1))+IF(Z1440="",0,IFERROR(--(EOMONTH(Z1440,0)&lt;&gt;Y$5),1))+IF(AC1440="",0,IFERROR(--(EOMONTH(AC1440,0)&lt;&gt;AB$5),1))+IF(AF1440="",0,IFERROR(--(EOMONTH(AF1440,0)&lt;&gt;AE$5),1))+IF(AI1440="",0,IFERROR(--(EOMONTH(AI1440,0)&lt;&gt;AH$5),1))+IF(AL1440="",0,IFERROR(--(EOMONTH(AL1440,0)&lt;&gt;AK$5),1))+IF(AO1440="",0,IFERROR(--(EOMONTH(AO1440,0)&lt;&gt;AN$5),1))+IF(AR1440="",0,IFERROR(--(EOMONTH(AR1440,0)&lt;&gt;AQ$5),1))+IF(AU1440="",0,IFERROR(--(EOMONTH(AU1440,0)&lt;&gt;AT$5),1))+IF(AX1440="",0,IFERROR(--(EOMONTH(AX1440,0)&lt;&gt;AW$5),1))+IF(BA1440="",0,IFERROR(--(EOMONTH(BA1440,0)&lt;&gt;AZ$5),1)))&gt;0,"; An invoice date is not in the month it is typed under",""),3,500))</f>
        <v/>
      </c>
      <c r="S1440" s="12" t="n"/>
      <c r="T1440" s="13" t="n"/>
      <c r="U1440" s="14" t="n"/>
      <c r="V1440" s="12" t="n"/>
      <c r="W1440" s="13" t="n"/>
      <c r="X1440" s="14" t="n"/>
      <c r="Y1440" s="12" t="n"/>
      <c r="Z1440" s="13" t="n"/>
      <c r="AA1440" s="14" t="n"/>
      <c r="AB1440" s="12" t="n"/>
      <c r="AC1440" s="13" t="n"/>
      <c r="AD1440" s="14" t="n"/>
      <c r="AE1440" s="12" t="n"/>
      <c r="AF1440" s="13" t="n"/>
      <c r="AG1440" s="14" t="n"/>
      <c r="AH1440" s="12" t="n"/>
      <c r="AI1440" s="13" t="n"/>
      <c r="AJ1440" s="14" t="n"/>
      <c r="AK1440" s="12" t="n"/>
      <c r="AL1440" s="13" t="n"/>
      <c r="AM1440" s="14" t="n"/>
      <c r="AN1440" s="12" t="n"/>
      <c r="AO1440" s="13" t="n"/>
      <c r="AP1440" s="14" t="n"/>
      <c r="AQ1440" s="12" t="n"/>
      <c r="AR1440" s="13" t="n"/>
      <c r="AS1440" s="14" t="n"/>
      <c r="AT1440" s="12" t="n"/>
      <c r="AU1440" s="13" t="n"/>
      <c r="AV1440" s="14" t="n"/>
      <c r="AW1440" s="12" t="n"/>
      <c r="AX1440" s="13" t="n"/>
      <c r="AY1440" s="14" t="n"/>
      <c r="AZ1440" s="12" t="n"/>
      <c r="BA1440" s="13" t="n"/>
      <c r="BB1440" s="14" t="n"/>
      <c r="BC1440" s="11">
        <f>IF(O1440="","",IF(J1440="GST 10%",ROUND(O1440*set_GSTRate,2),0))</f>
        <v/>
      </c>
      <c r="BD1440" s="11">
        <f>IF(O1440="","",O1440+BC1440)</f>
        <v/>
      </c>
      <c r="BE1440" s="15">
        <f>IF(O1440="","",COUNTA(S1440,V1440,Y1440,AB1440,AE1440,AH1440,AK1440,AN1440,AQ1440,AT1440,AW1440,AZ1440))</f>
        <v/>
      </c>
      <c r="BF1440" s="16">
        <f>IF(COUNT(T1440,W1440,Z1440,AC1440,AF1440,AI1440,AL1440,AO1440,AR1440,AU1440,AX1440,BA1440)=0,"",MAX(T1440,W1440,Z1440,AC1440,AF1440,AI1440,AL1440,AO1440,AR1440,AU1440,AX1440,BA1440))</f>
        <v/>
      </c>
      <c r="BG1440" s="10">
        <f>MID(IF(S1440="","",", "&amp;S1440)&amp;IF(V1440="","",", "&amp;V1440)&amp;IF(Y1440="","",", "&amp;Y1440)&amp;IF(AB1440="","",", "&amp;AB1440)&amp;IF(AE1440="","",", "&amp;AE1440)&amp;IF(AH1440="","",", "&amp;AH1440)&amp;IF(AK1440="","",", "&amp;AK1440)&amp;IF(AN1440="","",", "&amp;AN1440)&amp;IF(AQ1440="","",", "&amp;AQ1440)&amp;IF(AT1440="","",", "&amp;AT1440)&amp;IF(AW1440="","",", "&amp;AW1440)&amp;IF(AZ1440="","",", "&amp;AZ1440),3,500)</f>
        <v/>
      </c>
      <c r="BH1440" s="12" t="n"/>
      <c r="BI1440" s="15">
        <f>IFERROR(MATCH($A1440,IF($B1440="Onsite",tbl_Onsite[Row ID],IF($B1440="Production",tbl_Production[Row ID],tbl_Consulting[Row ID])),0),"")</f>
        <v/>
      </c>
    </row>
    <row r="1441">
      <c r="A1441" s="10" t="inlineStr">
        <is>
          <t>CON-0435</t>
        </is>
      </c>
      <c r="B1441" s="10" t="inlineStr">
        <is>
          <t>Consulting</t>
        </is>
      </c>
      <c r="C1441" s="10">
        <f>IF($BI1441="","",IF($B1441="Onsite",INDEX(tbl_Onsite[Job Number],$BI1441),IF($B1441="Production",INDEX(tbl_Production[Job Number],$BI1441),INDEX(tbl_Consulting[Job Number],$BI1441)))&amp;"")</f>
        <v/>
      </c>
      <c r="D1441" s="10">
        <f>IF($BI1441="","",IF($B1441="Onsite",INDEX(tbl_Onsite[Client],$BI1441),IF($B1441="Production",INDEX(tbl_Production[Client],$BI1441),INDEX(tbl_Consulting[Client],$BI1441)))&amp;"")</f>
        <v/>
      </c>
      <c r="E1441" s="10">
        <f>IF($C1441="","",IF(COUNTIF(lst_Jobs,$C1441)&gt;0,"OK","CHECK"))</f>
        <v/>
      </c>
      <c r="F1441" s="10">
        <f>IF($C1441="","",IFERROR(INDEX(lst_JobName,MATCH($C1441,lst_Jobs,0)),""))</f>
        <v/>
      </c>
      <c r="G1441" s="10">
        <f>IF($BI1441="","",IF($B1441="Onsite",INDEX(tbl_Onsite[Job Description],$BI1441),IF($B1441="Production",INDEX(tbl_Production[Job Description],$BI1441),INDEX(tbl_Consulting[Job Description],$BI1441)))&amp;"")</f>
        <v/>
      </c>
      <c r="H1441" s="10">
        <f>IF($BI1441="","",IF($B1441="Onsite",INDEX(tbl_Onsite[Cost Centre],$BI1441),IF($B1441="Production",INDEX(tbl_Production[Cost Centre],$BI1441),INDEX(tbl_Consulting[Cost Centre],$BI1441)))&amp;"")</f>
        <v/>
      </c>
      <c r="I1441" s="10">
        <f>IF($BI1441="","",IF($B1441="Onsite",INDEX(tbl_Onsite[Invoice Type],$BI1441),IF($B1441="Production",INDEX(tbl_Production[Invoice Type],$BI1441),INDEX(tbl_Consulting[Invoice Type],$BI1441)))&amp;"")</f>
        <v/>
      </c>
      <c r="J1441" s="10">
        <f>IF($BI1441="","",IF($B1441="Onsite",INDEX(tbl_Onsite[Tax Code],$BI1441),IF($B1441="Production",INDEX(tbl_Production[Tax Code],$BI1441),INDEX(tbl_Consulting[Tax Code],$BI1441)))&amp;"")</f>
        <v/>
      </c>
      <c r="K1441" s="10">
        <f>IF(H1441="","",IFERROR(INDEX(lst_CCtoGL,MATCH(H1441,lst_CCforGL,0)),""))</f>
        <v/>
      </c>
      <c r="L1441" s="10">
        <f>IF($BI1441="","",IF($B1441="Onsite",INDEX(tbl_Onsite[PO / Reference],$BI1441),IF($B1441="Production",INDEX(tbl_Production[Current RMS No],$BI1441),INDEX(tbl_Consulting[Qwilr Quote],$BI1441)))&amp;"")</f>
        <v/>
      </c>
      <c r="M1441" s="10">
        <f>IF($BI1441="","",IF($B1441="Onsite",INDEX(tbl_Onsite[Notes],$BI1441),IF($B1441="Production",INDEX(tbl_Production[Notes],$BI1441),INDEX(tbl_Consulting[Notes],$BI1441)))&amp;"")</f>
        <v/>
      </c>
      <c r="N1441" s="11">
        <f>IF($BI1441="","",IF(IF($B1441="Onsite",INDEX(tbl_Onsite[Expected Revenue Ex GST],$BI1441),IF($B1441="Production",INDEX(tbl_Production[Expected Revenue Ex GST],$BI1441),INDEX(tbl_Consulting[Expected Revenue Ex GST],$BI1441)))="","",IF($B1441="Onsite",INDEX(tbl_Onsite[Expected Revenue Ex GST],$BI1441),IF($B1441="Production",INDEX(tbl_Production[Expected Revenue Ex GST],$BI1441),INDEX(tbl_Consulting[Expected Revenue Ex GST],$BI1441)))))</f>
        <v/>
      </c>
      <c r="O1441" s="11">
        <f>IF(AND($C1441="",NOT(COUNTA($S1441:$BB1441)&gt;0)),"",SUM(U1441,X1441,AA1441,AD1441,AG1441,AJ1441,AM1441,AP1441,AS1441,AV1441,AY1441,BB1441))</f>
        <v/>
      </c>
      <c r="P1441" s="11">
        <f>IF(O1441="","",N(N1441)-O1441)</f>
        <v/>
      </c>
      <c r="Q1441" s="10">
        <f>IF(O1441="","",IF($C1441="","Invoice on empty job row",IF(N1441="",IF(ROUND(O1441,2)=0,"No dept value","Invoiced - no dept value"),IF(ROUND(O1441,2)=0,"Not invoiced - to invoice",IF(ROUND(P1441,2)=0,"Agrees",IF(P1441&gt;0,"Dept higher - to invoice","Xero higher - check dept"))))))</f>
        <v/>
      </c>
      <c r="R1441" s="10">
        <f>IF(AND($C1441="",NOT(COUNTA($S1441:$BB1441)&gt;0),$BI1441&lt;&gt;""),"",MID(IF($BI1441="","; Row ID not found on the department sheet - a row was deleted","")&amp;IF(AND($C1441="",COUNTA($S1441:$BB1441)&gt;0),"; Invoice entered but the department row has no job number","")&amp;IF(E1441="CHECK","; Job number not in the Xero job list","")&amp;IF(AND($C1441&lt;&gt;"",COUNTIF($C$7:$C$1506,$C1441)&gt;1),"; Job number on more than one row","")&amp;IF(AND($C1441&lt;&gt;"",H1441=""),"; Dept has not set a cost centre","")&amp;IF(AND($C1441&lt;&gt;"",J1441=""),"; Dept has not set a tax code","")&amp;IF(AND($C1441&lt;&gt;"",N1441=""),"; Dept has not entered an expected value","")&amp;IF((IF(OR(COUNTA(S1441:U1441)=0,AND(COUNTA(S1441:U1441)=3,ISNUMBER(U1441))),0,1)+IF(OR(COUNTA(V1441:X1441)=0,AND(COUNTA(V1441:X1441)=3,ISNUMBER(X1441))),0,1)+IF(OR(COUNTA(Y1441:AA1441)=0,AND(COUNTA(Y1441:AA1441)=3,ISNUMBER(AA1441))),0,1)+IF(OR(COUNTA(AB1441:AD1441)=0,AND(COUNTA(AB1441:AD1441)=3,ISNUMBER(AD1441))),0,1)+IF(OR(COUNTA(AE1441:AG1441)=0,AND(COUNTA(AE1441:AG1441)=3,ISNUMBER(AG1441))),0,1)+IF(OR(COUNTA(AH1441:AJ1441)=0,AND(COUNTA(AH1441:AJ1441)=3,ISNUMBER(AJ1441))),0,1)+IF(OR(COUNTA(AK1441:AM1441)=0,AND(COUNTA(AK1441:AM1441)=3,ISNUMBER(AM1441))),0,1)+IF(OR(COUNTA(AN1441:AP1441)=0,AND(COUNTA(AN1441:AP1441)=3,ISNUMBER(AP1441))),0,1)+IF(OR(COUNTA(AQ1441:AS1441)=0,AND(COUNTA(AQ1441:AS1441)=3,ISNUMBER(AS1441))),0,1)+IF(OR(COUNTA(AT1441:AV1441)=0,AND(COUNTA(AT1441:AV1441)=3,ISNUMBER(AV1441))),0,1)+IF(OR(COUNTA(AW1441:AY1441)=0,AND(COUNTA(AW1441:AY1441)=3,ISNUMBER(AY1441))),0,1)+IF(OR(COUNTA(AZ1441:BB1441)=0,AND(COUNTA(AZ1441:BB1441)=3,ISNUMBER(BB1441))),0,1))&gt;0,"; An invoice is incomplete (needs No, Date and a number in Ex GST)","")&amp;IF((IF(T1441="",0,IFERROR(--(EOMONTH(T1441,0)&lt;&gt;S$5),1))+IF(W1441="",0,IFERROR(--(EOMONTH(W1441,0)&lt;&gt;V$5),1))+IF(Z1441="",0,IFERROR(--(EOMONTH(Z1441,0)&lt;&gt;Y$5),1))+IF(AC1441="",0,IFERROR(--(EOMONTH(AC1441,0)&lt;&gt;AB$5),1))+IF(AF1441="",0,IFERROR(--(EOMONTH(AF1441,0)&lt;&gt;AE$5),1))+IF(AI1441="",0,IFERROR(--(EOMONTH(AI1441,0)&lt;&gt;AH$5),1))+IF(AL1441="",0,IFERROR(--(EOMONTH(AL1441,0)&lt;&gt;AK$5),1))+IF(AO1441="",0,IFERROR(--(EOMONTH(AO1441,0)&lt;&gt;AN$5),1))+IF(AR1441="",0,IFERROR(--(EOMONTH(AR1441,0)&lt;&gt;AQ$5),1))+IF(AU1441="",0,IFERROR(--(EOMONTH(AU1441,0)&lt;&gt;AT$5),1))+IF(AX1441="",0,IFERROR(--(EOMONTH(AX1441,0)&lt;&gt;AW$5),1))+IF(BA1441="",0,IFERROR(--(EOMONTH(BA1441,0)&lt;&gt;AZ$5),1)))&gt;0,"; An invoice date is not in the month it is typed under",""),3,500))</f>
        <v/>
      </c>
      <c r="S1441" s="12" t="n"/>
      <c r="T1441" s="13" t="n"/>
      <c r="U1441" s="14" t="n"/>
      <c r="V1441" s="12" t="n"/>
      <c r="W1441" s="13" t="n"/>
      <c r="X1441" s="14" t="n"/>
      <c r="Y1441" s="12" t="n"/>
      <c r="Z1441" s="13" t="n"/>
      <c r="AA1441" s="14" t="n"/>
      <c r="AB1441" s="12" t="n"/>
      <c r="AC1441" s="13" t="n"/>
      <c r="AD1441" s="14" t="n"/>
      <c r="AE1441" s="12" t="n"/>
      <c r="AF1441" s="13" t="n"/>
      <c r="AG1441" s="14" t="n"/>
      <c r="AH1441" s="12" t="n"/>
      <c r="AI1441" s="13" t="n"/>
      <c r="AJ1441" s="14" t="n"/>
      <c r="AK1441" s="12" t="n"/>
      <c r="AL1441" s="13" t="n"/>
      <c r="AM1441" s="14" t="n"/>
      <c r="AN1441" s="12" t="n"/>
      <c r="AO1441" s="13" t="n"/>
      <c r="AP1441" s="14" t="n"/>
      <c r="AQ1441" s="12" t="n"/>
      <c r="AR1441" s="13" t="n"/>
      <c r="AS1441" s="14" t="n"/>
      <c r="AT1441" s="12" t="n"/>
      <c r="AU1441" s="13" t="n"/>
      <c r="AV1441" s="14" t="n"/>
      <c r="AW1441" s="12" t="n"/>
      <c r="AX1441" s="13" t="n"/>
      <c r="AY1441" s="14" t="n"/>
      <c r="AZ1441" s="12" t="n"/>
      <c r="BA1441" s="13" t="n"/>
      <c r="BB1441" s="14" t="n"/>
      <c r="BC1441" s="11">
        <f>IF(O1441="","",IF(J1441="GST 10%",ROUND(O1441*set_GSTRate,2),0))</f>
        <v/>
      </c>
      <c r="BD1441" s="11">
        <f>IF(O1441="","",O1441+BC1441)</f>
        <v/>
      </c>
      <c r="BE1441" s="15">
        <f>IF(O1441="","",COUNTA(S1441,V1441,Y1441,AB1441,AE1441,AH1441,AK1441,AN1441,AQ1441,AT1441,AW1441,AZ1441))</f>
        <v/>
      </c>
      <c r="BF1441" s="16">
        <f>IF(COUNT(T1441,W1441,Z1441,AC1441,AF1441,AI1441,AL1441,AO1441,AR1441,AU1441,AX1441,BA1441)=0,"",MAX(T1441,W1441,Z1441,AC1441,AF1441,AI1441,AL1441,AO1441,AR1441,AU1441,AX1441,BA1441))</f>
        <v/>
      </c>
      <c r="BG1441" s="10">
        <f>MID(IF(S1441="","",", "&amp;S1441)&amp;IF(V1441="","",", "&amp;V1441)&amp;IF(Y1441="","",", "&amp;Y1441)&amp;IF(AB1441="","",", "&amp;AB1441)&amp;IF(AE1441="","",", "&amp;AE1441)&amp;IF(AH1441="","",", "&amp;AH1441)&amp;IF(AK1441="","",", "&amp;AK1441)&amp;IF(AN1441="","",", "&amp;AN1441)&amp;IF(AQ1441="","",", "&amp;AQ1441)&amp;IF(AT1441="","",", "&amp;AT1441)&amp;IF(AW1441="","",", "&amp;AW1441)&amp;IF(AZ1441="","",", "&amp;AZ1441),3,500)</f>
        <v/>
      </c>
      <c r="BH1441" s="12" t="n"/>
      <c r="BI1441" s="15">
        <f>IFERROR(MATCH($A1441,IF($B1441="Onsite",tbl_Onsite[Row ID],IF($B1441="Production",tbl_Production[Row ID],tbl_Consulting[Row ID])),0),"")</f>
        <v/>
      </c>
    </row>
    <row r="1442">
      <c r="A1442" s="10" t="inlineStr">
        <is>
          <t>CON-0436</t>
        </is>
      </c>
      <c r="B1442" s="10" t="inlineStr">
        <is>
          <t>Consulting</t>
        </is>
      </c>
      <c r="C1442" s="10">
        <f>IF($BI1442="","",IF($B1442="Onsite",INDEX(tbl_Onsite[Job Number],$BI1442),IF($B1442="Production",INDEX(tbl_Production[Job Number],$BI1442),INDEX(tbl_Consulting[Job Number],$BI1442)))&amp;"")</f>
        <v/>
      </c>
      <c r="D1442" s="10">
        <f>IF($BI1442="","",IF($B1442="Onsite",INDEX(tbl_Onsite[Client],$BI1442),IF($B1442="Production",INDEX(tbl_Production[Client],$BI1442),INDEX(tbl_Consulting[Client],$BI1442)))&amp;"")</f>
        <v/>
      </c>
      <c r="E1442" s="10">
        <f>IF($C1442="","",IF(COUNTIF(lst_Jobs,$C1442)&gt;0,"OK","CHECK"))</f>
        <v/>
      </c>
      <c r="F1442" s="10">
        <f>IF($C1442="","",IFERROR(INDEX(lst_JobName,MATCH($C1442,lst_Jobs,0)),""))</f>
        <v/>
      </c>
      <c r="G1442" s="10">
        <f>IF($BI1442="","",IF($B1442="Onsite",INDEX(tbl_Onsite[Job Description],$BI1442),IF($B1442="Production",INDEX(tbl_Production[Job Description],$BI1442),INDEX(tbl_Consulting[Job Description],$BI1442)))&amp;"")</f>
        <v/>
      </c>
      <c r="H1442" s="10">
        <f>IF($BI1442="","",IF($B1442="Onsite",INDEX(tbl_Onsite[Cost Centre],$BI1442),IF($B1442="Production",INDEX(tbl_Production[Cost Centre],$BI1442),INDEX(tbl_Consulting[Cost Centre],$BI1442)))&amp;"")</f>
        <v/>
      </c>
      <c r="I1442" s="10">
        <f>IF($BI1442="","",IF($B1442="Onsite",INDEX(tbl_Onsite[Invoice Type],$BI1442),IF($B1442="Production",INDEX(tbl_Production[Invoice Type],$BI1442),INDEX(tbl_Consulting[Invoice Type],$BI1442)))&amp;"")</f>
        <v/>
      </c>
      <c r="J1442" s="10">
        <f>IF($BI1442="","",IF($B1442="Onsite",INDEX(tbl_Onsite[Tax Code],$BI1442),IF($B1442="Production",INDEX(tbl_Production[Tax Code],$BI1442),INDEX(tbl_Consulting[Tax Code],$BI1442)))&amp;"")</f>
        <v/>
      </c>
      <c r="K1442" s="10">
        <f>IF(H1442="","",IFERROR(INDEX(lst_CCtoGL,MATCH(H1442,lst_CCforGL,0)),""))</f>
        <v/>
      </c>
      <c r="L1442" s="10">
        <f>IF($BI1442="","",IF($B1442="Onsite",INDEX(tbl_Onsite[PO / Reference],$BI1442),IF($B1442="Production",INDEX(tbl_Production[Current RMS No],$BI1442),INDEX(tbl_Consulting[Qwilr Quote],$BI1442)))&amp;"")</f>
        <v/>
      </c>
      <c r="M1442" s="10">
        <f>IF($BI1442="","",IF($B1442="Onsite",INDEX(tbl_Onsite[Notes],$BI1442),IF($B1442="Production",INDEX(tbl_Production[Notes],$BI1442),INDEX(tbl_Consulting[Notes],$BI1442)))&amp;"")</f>
        <v/>
      </c>
      <c r="N1442" s="11">
        <f>IF($BI1442="","",IF(IF($B1442="Onsite",INDEX(tbl_Onsite[Expected Revenue Ex GST],$BI1442),IF($B1442="Production",INDEX(tbl_Production[Expected Revenue Ex GST],$BI1442),INDEX(tbl_Consulting[Expected Revenue Ex GST],$BI1442)))="","",IF($B1442="Onsite",INDEX(tbl_Onsite[Expected Revenue Ex GST],$BI1442),IF($B1442="Production",INDEX(tbl_Production[Expected Revenue Ex GST],$BI1442),INDEX(tbl_Consulting[Expected Revenue Ex GST],$BI1442)))))</f>
        <v/>
      </c>
      <c r="O1442" s="11">
        <f>IF(AND($C1442="",NOT(COUNTA($S1442:$BB1442)&gt;0)),"",SUM(U1442,X1442,AA1442,AD1442,AG1442,AJ1442,AM1442,AP1442,AS1442,AV1442,AY1442,BB1442))</f>
        <v/>
      </c>
      <c r="P1442" s="11">
        <f>IF(O1442="","",N(N1442)-O1442)</f>
        <v/>
      </c>
      <c r="Q1442" s="10">
        <f>IF(O1442="","",IF($C1442="","Invoice on empty job row",IF(N1442="",IF(ROUND(O1442,2)=0,"No dept value","Invoiced - no dept value"),IF(ROUND(O1442,2)=0,"Not invoiced - to invoice",IF(ROUND(P1442,2)=0,"Agrees",IF(P1442&gt;0,"Dept higher - to invoice","Xero higher - check dept"))))))</f>
        <v/>
      </c>
      <c r="R1442" s="10">
        <f>IF(AND($C1442="",NOT(COUNTA($S1442:$BB1442)&gt;0),$BI1442&lt;&gt;""),"",MID(IF($BI1442="","; Row ID not found on the department sheet - a row was deleted","")&amp;IF(AND($C1442="",COUNTA($S1442:$BB1442)&gt;0),"; Invoice entered but the department row has no job number","")&amp;IF(E1442="CHECK","; Job number not in the Xero job list","")&amp;IF(AND($C1442&lt;&gt;"",COUNTIF($C$7:$C$1506,$C1442)&gt;1),"; Job number on more than one row","")&amp;IF(AND($C1442&lt;&gt;"",H1442=""),"; Dept has not set a cost centre","")&amp;IF(AND($C1442&lt;&gt;"",J1442=""),"; Dept has not set a tax code","")&amp;IF(AND($C1442&lt;&gt;"",N1442=""),"; Dept has not entered an expected value","")&amp;IF((IF(OR(COUNTA(S1442:U1442)=0,AND(COUNTA(S1442:U1442)=3,ISNUMBER(U1442))),0,1)+IF(OR(COUNTA(V1442:X1442)=0,AND(COUNTA(V1442:X1442)=3,ISNUMBER(X1442))),0,1)+IF(OR(COUNTA(Y1442:AA1442)=0,AND(COUNTA(Y1442:AA1442)=3,ISNUMBER(AA1442))),0,1)+IF(OR(COUNTA(AB1442:AD1442)=0,AND(COUNTA(AB1442:AD1442)=3,ISNUMBER(AD1442))),0,1)+IF(OR(COUNTA(AE1442:AG1442)=0,AND(COUNTA(AE1442:AG1442)=3,ISNUMBER(AG1442))),0,1)+IF(OR(COUNTA(AH1442:AJ1442)=0,AND(COUNTA(AH1442:AJ1442)=3,ISNUMBER(AJ1442))),0,1)+IF(OR(COUNTA(AK1442:AM1442)=0,AND(COUNTA(AK1442:AM1442)=3,ISNUMBER(AM1442))),0,1)+IF(OR(COUNTA(AN1442:AP1442)=0,AND(COUNTA(AN1442:AP1442)=3,ISNUMBER(AP1442))),0,1)+IF(OR(COUNTA(AQ1442:AS1442)=0,AND(COUNTA(AQ1442:AS1442)=3,ISNUMBER(AS1442))),0,1)+IF(OR(COUNTA(AT1442:AV1442)=0,AND(COUNTA(AT1442:AV1442)=3,ISNUMBER(AV1442))),0,1)+IF(OR(COUNTA(AW1442:AY1442)=0,AND(COUNTA(AW1442:AY1442)=3,ISNUMBER(AY1442))),0,1)+IF(OR(COUNTA(AZ1442:BB1442)=0,AND(COUNTA(AZ1442:BB1442)=3,ISNUMBER(BB1442))),0,1))&gt;0,"; An invoice is incomplete (needs No, Date and a number in Ex GST)","")&amp;IF((IF(T1442="",0,IFERROR(--(EOMONTH(T1442,0)&lt;&gt;S$5),1))+IF(W1442="",0,IFERROR(--(EOMONTH(W1442,0)&lt;&gt;V$5),1))+IF(Z1442="",0,IFERROR(--(EOMONTH(Z1442,0)&lt;&gt;Y$5),1))+IF(AC1442="",0,IFERROR(--(EOMONTH(AC1442,0)&lt;&gt;AB$5),1))+IF(AF1442="",0,IFERROR(--(EOMONTH(AF1442,0)&lt;&gt;AE$5),1))+IF(AI1442="",0,IFERROR(--(EOMONTH(AI1442,0)&lt;&gt;AH$5),1))+IF(AL1442="",0,IFERROR(--(EOMONTH(AL1442,0)&lt;&gt;AK$5),1))+IF(AO1442="",0,IFERROR(--(EOMONTH(AO1442,0)&lt;&gt;AN$5),1))+IF(AR1442="",0,IFERROR(--(EOMONTH(AR1442,0)&lt;&gt;AQ$5),1))+IF(AU1442="",0,IFERROR(--(EOMONTH(AU1442,0)&lt;&gt;AT$5),1))+IF(AX1442="",0,IFERROR(--(EOMONTH(AX1442,0)&lt;&gt;AW$5),1))+IF(BA1442="",0,IFERROR(--(EOMONTH(BA1442,0)&lt;&gt;AZ$5),1)))&gt;0,"; An invoice date is not in the month it is typed under",""),3,500))</f>
        <v/>
      </c>
      <c r="S1442" s="12" t="n"/>
      <c r="T1442" s="13" t="n"/>
      <c r="U1442" s="14" t="n"/>
      <c r="V1442" s="12" t="n"/>
      <c r="W1442" s="13" t="n"/>
      <c r="X1442" s="14" t="n"/>
      <c r="Y1442" s="12" t="n"/>
      <c r="Z1442" s="13" t="n"/>
      <c r="AA1442" s="14" t="n"/>
      <c r="AB1442" s="12" t="n"/>
      <c r="AC1442" s="13" t="n"/>
      <c r="AD1442" s="14" t="n"/>
      <c r="AE1442" s="12" t="n"/>
      <c r="AF1442" s="13" t="n"/>
      <c r="AG1442" s="14" t="n"/>
      <c r="AH1442" s="12" t="n"/>
      <c r="AI1442" s="13" t="n"/>
      <c r="AJ1442" s="14" t="n"/>
      <c r="AK1442" s="12" t="n"/>
      <c r="AL1442" s="13" t="n"/>
      <c r="AM1442" s="14" t="n"/>
      <c r="AN1442" s="12" t="n"/>
      <c r="AO1442" s="13" t="n"/>
      <c r="AP1442" s="14" t="n"/>
      <c r="AQ1442" s="12" t="n"/>
      <c r="AR1442" s="13" t="n"/>
      <c r="AS1442" s="14" t="n"/>
      <c r="AT1442" s="12" t="n"/>
      <c r="AU1442" s="13" t="n"/>
      <c r="AV1442" s="14" t="n"/>
      <c r="AW1442" s="12" t="n"/>
      <c r="AX1442" s="13" t="n"/>
      <c r="AY1442" s="14" t="n"/>
      <c r="AZ1442" s="12" t="n"/>
      <c r="BA1442" s="13" t="n"/>
      <c r="BB1442" s="14" t="n"/>
      <c r="BC1442" s="11">
        <f>IF(O1442="","",IF(J1442="GST 10%",ROUND(O1442*set_GSTRate,2),0))</f>
        <v/>
      </c>
      <c r="BD1442" s="11">
        <f>IF(O1442="","",O1442+BC1442)</f>
        <v/>
      </c>
      <c r="BE1442" s="15">
        <f>IF(O1442="","",COUNTA(S1442,V1442,Y1442,AB1442,AE1442,AH1442,AK1442,AN1442,AQ1442,AT1442,AW1442,AZ1442))</f>
        <v/>
      </c>
      <c r="BF1442" s="16">
        <f>IF(COUNT(T1442,W1442,Z1442,AC1442,AF1442,AI1442,AL1442,AO1442,AR1442,AU1442,AX1442,BA1442)=0,"",MAX(T1442,W1442,Z1442,AC1442,AF1442,AI1442,AL1442,AO1442,AR1442,AU1442,AX1442,BA1442))</f>
        <v/>
      </c>
      <c r="BG1442" s="10">
        <f>MID(IF(S1442="","",", "&amp;S1442)&amp;IF(V1442="","",", "&amp;V1442)&amp;IF(Y1442="","",", "&amp;Y1442)&amp;IF(AB1442="","",", "&amp;AB1442)&amp;IF(AE1442="","",", "&amp;AE1442)&amp;IF(AH1442="","",", "&amp;AH1442)&amp;IF(AK1442="","",", "&amp;AK1442)&amp;IF(AN1442="","",", "&amp;AN1442)&amp;IF(AQ1442="","",", "&amp;AQ1442)&amp;IF(AT1442="","",", "&amp;AT1442)&amp;IF(AW1442="","",", "&amp;AW1442)&amp;IF(AZ1442="","",", "&amp;AZ1442),3,500)</f>
        <v/>
      </c>
      <c r="BH1442" s="12" t="n"/>
      <c r="BI1442" s="15">
        <f>IFERROR(MATCH($A1442,IF($B1442="Onsite",tbl_Onsite[Row ID],IF($B1442="Production",tbl_Production[Row ID],tbl_Consulting[Row ID])),0),"")</f>
        <v/>
      </c>
    </row>
    <row r="1443">
      <c r="A1443" s="10" t="inlineStr">
        <is>
          <t>CON-0437</t>
        </is>
      </c>
      <c r="B1443" s="10" t="inlineStr">
        <is>
          <t>Consulting</t>
        </is>
      </c>
      <c r="C1443" s="10">
        <f>IF($BI1443="","",IF($B1443="Onsite",INDEX(tbl_Onsite[Job Number],$BI1443),IF($B1443="Production",INDEX(tbl_Production[Job Number],$BI1443),INDEX(tbl_Consulting[Job Number],$BI1443)))&amp;"")</f>
        <v/>
      </c>
      <c r="D1443" s="10">
        <f>IF($BI1443="","",IF($B1443="Onsite",INDEX(tbl_Onsite[Client],$BI1443),IF($B1443="Production",INDEX(tbl_Production[Client],$BI1443),INDEX(tbl_Consulting[Client],$BI1443)))&amp;"")</f>
        <v/>
      </c>
      <c r="E1443" s="10">
        <f>IF($C1443="","",IF(COUNTIF(lst_Jobs,$C1443)&gt;0,"OK","CHECK"))</f>
        <v/>
      </c>
      <c r="F1443" s="10">
        <f>IF($C1443="","",IFERROR(INDEX(lst_JobName,MATCH($C1443,lst_Jobs,0)),""))</f>
        <v/>
      </c>
      <c r="G1443" s="10">
        <f>IF($BI1443="","",IF($B1443="Onsite",INDEX(tbl_Onsite[Job Description],$BI1443),IF($B1443="Production",INDEX(tbl_Production[Job Description],$BI1443),INDEX(tbl_Consulting[Job Description],$BI1443)))&amp;"")</f>
        <v/>
      </c>
      <c r="H1443" s="10">
        <f>IF($BI1443="","",IF($B1443="Onsite",INDEX(tbl_Onsite[Cost Centre],$BI1443),IF($B1443="Production",INDEX(tbl_Production[Cost Centre],$BI1443),INDEX(tbl_Consulting[Cost Centre],$BI1443)))&amp;"")</f>
        <v/>
      </c>
      <c r="I1443" s="10">
        <f>IF($BI1443="","",IF($B1443="Onsite",INDEX(tbl_Onsite[Invoice Type],$BI1443),IF($B1443="Production",INDEX(tbl_Production[Invoice Type],$BI1443),INDEX(tbl_Consulting[Invoice Type],$BI1443)))&amp;"")</f>
        <v/>
      </c>
      <c r="J1443" s="10">
        <f>IF($BI1443="","",IF($B1443="Onsite",INDEX(tbl_Onsite[Tax Code],$BI1443),IF($B1443="Production",INDEX(tbl_Production[Tax Code],$BI1443),INDEX(tbl_Consulting[Tax Code],$BI1443)))&amp;"")</f>
        <v/>
      </c>
      <c r="K1443" s="10">
        <f>IF(H1443="","",IFERROR(INDEX(lst_CCtoGL,MATCH(H1443,lst_CCforGL,0)),""))</f>
        <v/>
      </c>
      <c r="L1443" s="10">
        <f>IF($BI1443="","",IF($B1443="Onsite",INDEX(tbl_Onsite[PO / Reference],$BI1443),IF($B1443="Production",INDEX(tbl_Production[Current RMS No],$BI1443),INDEX(tbl_Consulting[Qwilr Quote],$BI1443)))&amp;"")</f>
        <v/>
      </c>
      <c r="M1443" s="10">
        <f>IF($BI1443="","",IF($B1443="Onsite",INDEX(tbl_Onsite[Notes],$BI1443),IF($B1443="Production",INDEX(tbl_Production[Notes],$BI1443),INDEX(tbl_Consulting[Notes],$BI1443)))&amp;"")</f>
        <v/>
      </c>
      <c r="N1443" s="11">
        <f>IF($BI1443="","",IF(IF($B1443="Onsite",INDEX(tbl_Onsite[Expected Revenue Ex GST],$BI1443),IF($B1443="Production",INDEX(tbl_Production[Expected Revenue Ex GST],$BI1443),INDEX(tbl_Consulting[Expected Revenue Ex GST],$BI1443)))="","",IF($B1443="Onsite",INDEX(tbl_Onsite[Expected Revenue Ex GST],$BI1443),IF($B1443="Production",INDEX(tbl_Production[Expected Revenue Ex GST],$BI1443),INDEX(tbl_Consulting[Expected Revenue Ex GST],$BI1443)))))</f>
        <v/>
      </c>
      <c r="O1443" s="11">
        <f>IF(AND($C1443="",NOT(COUNTA($S1443:$BB1443)&gt;0)),"",SUM(U1443,X1443,AA1443,AD1443,AG1443,AJ1443,AM1443,AP1443,AS1443,AV1443,AY1443,BB1443))</f>
        <v/>
      </c>
      <c r="P1443" s="11">
        <f>IF(O1443="","",N(N1443)-O1443)</f>
        <v/>
      </c>
      <c r="Q1443" s="10">
        <f>IF(O1443="","",IF($C1443="","Invoice on empty job row",IF(N1443="",IF(ROUND(O1443,2)=0,"No dept value","Invoiced - no dept value"),IF(ROUND(O1443,2)=0,"Not invoiced - to invoice",IF(ROUND(P1443,2)=0,"Agrees",IF(P1443&gt;0,"Dept higher - to invoice","Xero higher - check dept"))))))</f>
        <v/>
      </c>
      <c r="R1443" s="10">
        <f>IF(AND($C1443="",NOT(COUNTA($S1443:$BB1443)&gt;0),$BI1443&lt;&gt;""),"",MID(IF($BI1443="","; Row ID not found on the department sheet - a row was deleted","")&amp;IF(AND($C1443="",COUNTA($S1443:$BB1443)&gt;0),"; Invoice entered but the department row has no job number","")&amp;IF(E1443="CHECK","; Job number not in the Xero job list","")&amp;IF(AND($C1443&lt;&gt;"",COUNTIF($C$7:$C$1506,$C1443)&gt;1),"; Job number on more than one row","")&amp;IF(AND($C1443&lt;&gt;"",H1443=""),"; Dept has not set a cost centre","")&amp;IF(AND($C1443&lt;&gt;"",J1443=""),"; Dept has not set a tax code","")&amp;IF(AND($C1443&lt;&gt;"",N1443=""),"; Dept has not entered an expected value","")&amp;IF((IF(OR(COUNTA(S1443:U1443)=0,AND(COUNTA(S1443:U1443)=3,ISNUMBER(U1443))),0,1)+IF(OR(COUNTA(V1443:X1443)=0,AND(COUNTA(V1443:X1443)=3,ISNUMBER(X1443))),0,1)+IF(OR(COUNTA(Y1443:AA1443)=0,AND(COUNTA(Y1443:AA1443)=3,ISNUMBER(AA1443))),0,1)+IF(OR(COUNTA(AB1443:AD1443)=0,AND(COUNTA(AB1443:AD1443)=3,ISNUMBER(AD1443))),0,1)+IF(OR(COUNTA(AE1443:AG1443)=0,AND(COUNTA(AE1443:AG1443)=3,ISNUMBER(AG1443))),0,1)+IF(OR(COUNTA(AH1443:AJ1443)=0,AND(COUNTA(AH1443:AJ1443)=3,ISNUMBER(AJ1443))),0,1)+IF(OR(COUNTA(AK1443:AM1443)=0,AND(COUNTA(AK1443:AM1443)=3,ISNUMBER(AM1443))),0,1)+IF(OR(COUNTA(AN1443:AP1443)=0,AND(COUNTA(AN1443:AP1443)=3,ISNUMBER(AP1443))),0,1)+IF(OR(COUNTA(AQ1443:AS1443)=0,AND(COUNTA(AQ1443:AS1443)=3,ISNUMBER(AS1443))),0,1)+IF(OR(COUNTA(AT1443:AV1443)=0,AND(COUNTA(AT1443:AV1443)=3,ISNUMBER(AV1443))),0,1)+IF(OR(COUNTA(AW1443:AY1443)=0,AND(COUNTA(AW1443:AY1443)=3,ISNUMBER(AY1443))),0,1)+IF(OR(COUNTA(AZ1443:BB1443)=0,AND(COUNTA(AZ1443:BB1443)=3,ISNUMBER(BB1443))),0,1))&gt;0,"; An invoice is incomplete (needs No, Date and a number in Ex GST)","")&amp;IF((IF(T1443="",0,IFERROR(--(EOMONTH(T1443,0)&lt;&gt;S$5),1))+IF(W1443="",0,IFERROR(--(EOMONTH(W1443,0)&lt;&gt;V$5),1))+IF(Z1443="",0,IFERROR(--(EOMONTH(Z1443,0)&lt;&gt;Y$5),1))+IF(AC1443="",0,IFERROR(--(EOMONTH(AC1443,0)&lt;&gt;AB$5),1))+IF(AF1443="",0,IFERROR(--(EOMONTH(AF1443,0)&lt;&gt;AE$5),1))+IF(AI1443="",0,IFERROR(--(EOMONTH(AI1443,0)&lt;&gt;AH$5),1))+IF(AL1443="",0,IFERROR(--(EOMONTH(AL1443,0)&lt;&gt;AK$5),1))+IF(AO1443="",0,IFERROR(--(EOMONTH(AO1443,0)&lt;&gt;AN$5),1))+IF(AR1443="",0,IFERROR(--(EOMONTH(AR1443,0)&lt;&gt;AQ$5),1))+IF(AU1443="",0,IFERROR(--(EOMONTH(AU1443,0)&lt;&gt;AT$5),1))+IF(AX1443="",0,IFERROR(--(EOMONTH(AX1443,0)&lt;&gt;AW$5),1))+IF(BA1443="",0,IFERROR(--(EOMONTH(BA1443,0)&lt;&gt;AZ$5),1)))&gt;0,"; An invoice date is not in the month it is typed under",""),3,500))</f>
        <v/>
      </c>
      <c r="S1443" s="12" t="n"/>
      <c r="T1443" s="13" t="n"/>
      <c r="U1443" s="14" t="n"/>
      <c r="V1443" s="12" t="n"/>
      <c r="W1443" s="13" t="n"/>
      <c r="X1443" s="14" t="n"/>
      <c r="Y1443" s="12" t="n"/>
      <c r="Z1443" s="13" t="n"/>
      <c r="AA1443" s="14" t="n"/>
      <c r="AB1443" s="12" t="n"/>
      <c r="AC1443" s="13" t="n"/>
      <c r="AD1443" s="14" t="n"/>
      <c r="AE1443" s="12" t="n"/>
      <c r="AF1443" s="13" t="n"/>
      <c r="AG1443" s="14" t="n"/>
      <c r="AH1443" s="12" t="n"/>
      <c r="AI1443" s="13" t="n"/>
      <c r="AJ1443" s="14" t="n"/>
      <c r="AK1443" s="12" t="n"/>
      <c r="AL1443" s="13" t="n"/>
      <c r="AM1443" s="14" t="n"/>
      <c r="AN1443" s="12" t="n"/>
      <c r="AO1443" s="13" t="n"/>
      <c r="AP1443" s="14" t="n"/>
      <c r="AQ1443" s="12" t="n"/>
      <c r="AR1443" s="13" t="n"/>
      <c r="AS1443" s="14" t="n"/>
      <c r="AT1443" s="12" t="n"/>
      <c r="AU1443" s="13" t="n"/>
      <c r="AV1443" s="14" t="n"/>
      <c r="AW1443" s="12" t="n"/>
      <c r="AX1443" s="13" t="n"/>
      <c r="AY1443" s="14" t="n"/>
      <c r="AZ1443" s="12" t="n"/>
      <c r="BA1443" s="13" t="n"/>
      <c r="BB1443" s="14" t="n"/>
      <c r="BC1443" s="11">
        <f>IF(O1443="","",IF(J1443="GST 10%",ROUND(O1443*set_GSTRate,2),0))</f>
        <v/>
      </c>
      <c r="BD1443" s="11">
        <f>IF(O1443="","",O1443+BC1443)</f>
        <v/>
      </c>
      <c r="BE1443" s="15">
        <f>IF(O1443="","",COUNTA(S1443,V1443,Y1443,AB1443,AE1443,AH1443,AK1443,AN1443,AQ1443,AT1443,AW1443,AZ1443))</f>
        <v/>
      </c>
      <c r="BF1443" s="16">
        <f>IF(COUNT(T1443,W1443,Z1443,AC1443,AF1443,AI1443,AL1443,AO1443,AR1443,AU1443,AX1443,BA1443)=0,"",MAX(T1443,W1443,Z1443,AC1443,AF1443,AI1443,AL1443,AO1443,AR1443,AU1443,AX1443,BA1443))</f>
        <v/>
      </c>
      <c r="BG1443" s="10">
        <f>MID(IF(S1443="","",", "&amp;S1443)&amp;IF(V1443="","",", "&amp;V1443)&amp;IF(Y1443="","",", "&amp;Y1443)&amp;IF(AB1443="","",", "&amp;AB1443)&amp;IF(AE1443="","",", "&amp;AE1443)&amp;IF(AH1443="","",", "&amp;AH1443)&amp;IF(AK1443="","",", "&amp;AK1443)&amp;IF(AN1443="","",", "&amp;AN1443)&amp;IF(AQ1443="","",", "&amp;AQ1443)&amp;IF(AT1443="","",", "&amp;AT1443)&amp;IF(AW1443="","",", "&amp;AW1443)&amp;IF(AZ1443="","",", "&amp;AZ1443),3,500)</f>
        <v/>
      </c>
      <c r="BH1443" s="12" t="n"/>
      <c r="BI1443" s="15">
        <f>IFERROR(MATCH($A1443,IF($B1443="Onsite",tbl_Onsite[Row ID],IF($B1443="Production",tbl_Production[Row ID],tbl_Consulting[Row ID])),0),"")</f>
        <v/>
      </c>
    </row>
    <row r="1444">
      <c r="A1444" s="10" t="inlineStr">
        <is>
          <t>CON-0438</t>
        </is>
      </c>
      <c r="B1444" s="10" t="inlineStr">
        <is>
          <t>Consulting</t>
        </is>
      </c>
      <c r="C1444" s="10">
        <f>IF($BI1444="","",IF($B1444="Onsite",INDEX(tbl_Onsite[Job Number],$BI1444),IF($B1444="Production",INDEX(tbl_Production[Job Number],$BI1444),INDEX(tbl_Consulting[Job Number],$BI1444)))&amp;"")</f>
        <v/>
      </c>
      <c r="D1444" s="10">
        <f>IF($BI1444="","",IF($B1444="Onsite",INDEX(tbl_Onsite[Client],$BI1444),IF($B1444="Production",INDEX(tbl_Production[Client],$BI1444),INDEX(tbl_Consulting[Client],$BI1444)))&amp;"")</f>
        <v/>
      </c>
      <c r="E1444" s="10">
        <f>IF($C1444="","",IF(COUNTIF(lst_Jobs,$C1444)&gt;0,"OK","CHECK"))</f>
        <v/>
      </c>
      <c r="F1444" s="10">
        <f>IF($C1444="","",IFERROR(INDEX(lst_JobName,MATCH($C1444,lst_Jobs,0)),""))</f>
        <v/>
      </c>
      <c r="G1444" s="10">
        <f>IF($BI1444="","",IF($B1444="Onsite",INDEX(tbl_Onsite[Job Description],$BI1444),IF($B1444="Production",INDEX(tbl_Production[Job Description],$BI1444),INDEX(tbl_Consulting[Job Description],$BI1444)))&amp;"")</f>
        <v/>
      </c>
      <c r="H1444" s="10">
        <f>IF($BI1444="","",IF($B1444="Onsite",INDEX(tbl_Onsite[Cost Centre],$BI1444),IF($B1444="Production",INDEX(tbl_Production[Cost Centre],$BI1444),INDEX(tbl_Consulting[Cost Centre],$BI1444)))&amp;"")</f>
        <v/>
      </c>
      <c r="I1444" s="10">
        <f>IF($BI1444="","",IF($B1444="Onsite",INDEX(tbl_Onsite[Invoice Type],$BI1444),IF($B1444="Production",INDEX(tbl_Production[Invoice Type],$BI1444),INDEX(tbl_Consulting[Invoice Type],$BI1444)))&amp;"")</f>
        <v/>
      </c>
      <c r="J1444" s="10">
        <f>IF($BI1444="","",IF($B1444="Onsite",INDEX(tbl_Onsite[Tax Code],$BI1444),IF($B1444="Production",INDEX(tbl_Production[Tax Code],$BI1444),INDEX(tbl_Consulting[Tax Code],$BI1444)))&amp;"")</f>
        <v/>
      </c>
      <c r="K1444" s="10">
        <f>IF(H1444="","",IFERROR(INDEX(lst_CCtoGL,MATCH(H1444,lst_CCforGL,0)),""))</f>
        <v/>
      </c>
      <c r="L1444" s="10">
        <f>IF($BI1444="","",IF($B1444="Onsite",INDEX(tbl_Onsite[PO / Reference],$BI1444),IF($B1444="Production",INDEX(tbl_Production[Current RMS No],$BI1444),INDEX(tbl_Consulting[Qwilr Quote],$BI1444)))&amp;"")</f>
        <v/>
      </c>
      <c r="M1444" s="10">
        <f>IF($BI1444="","",IF($B1444="Onsite",INDEX(tbl_Onsite[Notes],$BI1444),IF($B1444="Production",INDEX(tbl_Production[Notes],$BI1444),INDEX(tbl_Consulting[Notes],$BI1444)))&amp;"")</f>
        <v/>
      </c>
      <c r="N1444" s="11">
        <f>IF($BI1444="","",IF(IF($B1444="Onsite",INDEX(tbl_Onsite[Expected Revenue Ex GST],$BI1444),IF($B1444="Production",INDEX(tbl_Production[Expected Revenue Ex GST],$BI1444),INDEX(tbl_Consulting[Expected Revenue Ex GST],$BI1444)))="","",IF($B1444="Onsite",INDEX(tbl_Onsite[Expected Revenue Ex GST],$BI1444),IF($B1444="Production",INDEX(tbl_Production[Expected Revenue Ex GST],$BI1444),INDEX(tbl_Consulting[Expected Revenue Ex GST],$BI1444)))))</f>
        <v/>
      </c>
      <c r="O1444" s="11">
        <f>IF(AND($C1444="",NOT(COUNTA($S1444:$BB1444)&gt;0)),"",SUM(U1444,X1444,AA1444,AD1444,AG1444,AJ1444,AM1444,AP1444,AS1444,AV1444,AY1444,BB1444))</f>
        <v/>
      </c>
      <c r="P1444" s="11">
        <f>IF(O1444="","",N(N1444)-O1444)</f>
        <v/>
      </c>
      <c r="Q1444" s="10">
        <f>IF(O1444="","",IF($C1444="","Invoice on empty job row",IF(N1444="",IF(ROUND(O1444,2)=0,"No dept value","Invoiced - no dept value"),IF(ROUND(O1444,2)=0,"Not invoiced - to invoice",IF(ROUND(P1444,2)=0,"Agrees",IF(P1444&gt;0,"Dept higher - to invoice","Xero higher - check dept"))))))</f>
        <v/>
      </c>
      <c r="R1444" s="10">
        <f>IF(AND($C1444="",NOT(COUNTA($S1444:$BB1444)&gt;0),$BI1444&lt;&gt;""),"",MID(IF($BI1444="","; Row ID not found on the department sheet - a row was deleted","")&amp;IF(AND($C1444="",COUNTA($S1444:$BB1444)&gt;0),"; Invoice entered but the department row has no job number","")&amp;IF(E1444="CHECK","; Job number not in the Xero job list","")&amp;IF(AND($C1444&lt;&gt;"",COUNTIF($C$7:$C$1506,$C1444)&gt;1),"; Job number on more than one row","")&amp;IF(AND($C1444&lt;&gt;"",H1444=""),"; Dept has not set a cost centre","")&amp;IF(AND($C1444&lt;&gt;"",J1444=""),"; Dept has not set a tax code","")&amp;IF(AND($C1444&lt;&gt;"",N1444=""),"; Dept has not entered an expected value","")&amp;IF((IF(OR(COUNTA(S1444:U1444)=0,AND(COUNTA(S1444:U1444)=3,ISNUMBER(U1444))),0,1)+IF(OR(COUNTA(V1444:X1444)=0,AND(COUNTA(V1444:X1444)=3,ISNUMBER(X1444))),0,1)+IF(OR(COUNTA(Y1444:AA1444)=0,AND(COUNTA(Y1444:AA1444)=3,ISNUMBER(AA1444))),0,1)+IF(OR(COUNTA(AB1444:AD1444)=0,AND(COUNTA(AB1444:AD1444)=3,ISNUMBER(AD1444))),0,1)+IF(OR(COUNTA(AE1444:AG1444)=0,AND(COUNTA(AE1444:AG1444)=3,ISNUMBER(AG1444))),0,1)+IF(OR(COUNTA(AH1444:AJ1444)=0,AND(COUNTA(AH1444:AJ1444)=3,ISNUMBER(AJ1444))),0,1)+IF(OR(COUNTA(AK1444:AM1444)=0,AND(COUNTA(AK1444:AM1444)=3,ISNUMBER(AM1444))),0,1)+IF(OR(COUNTA(AN1444:AP1444)=0,AND(COUNTA(AN1444:AP1444)=3,ISNUMBER(AP1444))),0,1)+IF(OR(COUNTA(AQ1444:AS1444)=0,AND(COUNTA(AQ1444:AS1444)=3,ISNUMBER(AS1444))),0,1)+IF(OR(COUNTA(AT1444:AV1444)=0,AND(COUNTA(AT1444:AV1444)=3,ISNUMBER(AV1444))),0,1)+IF(OR(COUNTA(AW1444:AY1444)=0,AND(COUNTA(AW1444:AY1444)=3,ISNUMBER(AY1444))),0,1)+IF(OR(COUNTA(AZ1444:BB1444)=0,AND(COUNTA(AZ1444:BB1444)=3,ISNUMBER(BB1444))),0,1))&gt;0,"; An invoice is incomplete (needs No, Date and a number in Ex GST)","")&amp;IF((IF(T1444="",0,IFERROR(--(EOMONTH(T1444,0)&lt;&gt;S$5),1))+IF(W1444="",0,IFERROR(--(EOMONTH(W1444,0)&lt;&gt;V$5),1))+IF(Z1444="",0,IFERROR(--(EOMONTH(Z1444,0)&lt;&gt;Y$5),1))+IF(AC1444="",0,IFERROR(--(EOMONTH(AC1444,0)&lt;&gt;AB$5),1))+IF(AF1444="",0,IFERROR(--(EOMONTH(AF1444,0)&lt;&gt;AE$5),1))+IF(AI1444="",0,IFERROR(--(EOMONTH(AI1444,0)&lt;&gt;AH$5),1))+IF(AL1444="",0,IFERROR(--(EOMONTH(AL1444,0)&lt;&gt;AK$5),1))+IF(AO1444="",0,IFERROR(--(EOMONTH(AO1444,0)&lt;&gt;AN$5),1))+IF(AR1444="",0,IFERROR(--(EOMONTH(AR1444,0)&lt;&gt;AQ$5),1))+IF(AU1444="",0,IFERROR(--(EOMONTH(AU1444,0)&lt;&gt;AT$5),1))+IF(AX1444="",0,IFERROR(--(EOMONTH(AX1444,0)&lt;&gt;AW$5),1))+IF(BA1444="",0,IFERROR(--(EOMONTH(BA1444,0)&lt;&gt;AZ$5),1)))&gt;0,"; An invoice date is not in the month it is typed under",""),3,500))</f>
        <v/>
      </c>
      <c r="S1444" s="12" t="n"/>
      <c r="T1444" s="13" t="n"/>
      <c r="U1444" s="14" t="n"/>
      <c r="V1444" s="12" t="n"/>
      <c r="W1444" s="13" t="n"/>
      <c r="X1444" s="14" t="n"/>
      <c r="Y1444" s="12" t="n"/>
      <c r="Z1444" s="13" t="n"/>
      <c r="AA1444" s="14" t="n"/>
      <c r="AB1444" s="12" t="n"/>
      <c r="AC1444" s="13" t="n"/>
      <c r="AD1444" s="14" t="n"/>
      <c r="AE1444" s="12" t="n"/>
      <c r="AF1444" s="13" t="n"/>
      <c r="AG1444" s="14" t="n"/>
      <c r="AH1444" s="12" t="n"/>
      <c r="AI1444" s="13" t="n"/>
      <c r="AJ1444" s="14" t="n"/>
      <c r="AK1444" s="12" t="n"/>
      <c r="AL1444" s="13" t="n"/>
      <c r="AM1444" s="14" t="n"/>
      <c r="AN1444" s="12" t="n"/>
      <c r="AO1444" s="13" t="n"/>
      <c r="AP1444" s="14" t="n"/>
      <c r="AQ1444" s="12" t="n"/>
      <c r="AR1444" s="13" t="n"/>
      <c r="AS1444" s="14" t="n"/>
      <c r="AT1444" s="12" t="n"/>
      <c r="AU1444" s="13" t="n"/>
      <c r="AV1444" s="14" t="n"/>
      <c r="AW1444" s="12" t="n"/>
      <c r="AX1444" s="13" t="n"/>
      <c r="AY1444" s="14" t="n"/>
      <c r="AZ1444" s="12" t="n"/>
      <c r="BA1444" s="13" t="n"/>
      <c r="BB1444" s="14" t="n"/>
      <c r="BC1444" s="11">
        <f>IF(O1444="","",IF(J1444="GST 10%",ROUND(O1444*set_GSTRate,2),0))</f>
        <v/>
      </c>
      <c r="BD1444" s="11">
        <f>IF(O1444="","",O1444+BC1444)</f>
        <v/>
      </c>
      <c r="BE1444" s="15">
        <f>IF(O1444="","",COUNTA(S1444,V1444,Y1444,AB1444,AE1444,AH1444,AK1444,AN1444,AQ1444,AT1444,AW1444,AZ1444))</f>
        <v/>
      </c>
      <c r="BF1444" s="16">
        <f>IF(COUNT(T1444,W1444,Z1444,AC1444,AF1444,AI1444,AL1444,AO1444,AR1444,AU1444,AX1444,BA1444)=0,"",MAX(T1444,W1444,Z1444,AC1444,AF1444,AI1444,AL1444,AO1444,AR1444,AU1444,AX1444,BA1444))</f>
        <v/>
      </c>
      <c r="BG1444" s="10">
        <f>MID(IF(S1444="","",", "&amp;S1444)&amp;IF(V1444="","",", "&amp;V1444)&amp;IF(Y1444="","",", "&amp;Y1444)&amp;IF(AB1444="","",", "&amp;AB1444)&amp;IF(AE1444="","",", "&amp;AE1444)&amp;IF(AH1444="","",", "&amp;AH1444)&amp;IF(AK1444="","",", "&amp;AK1444)&amp;IF(AN1444="","",", "&amp;AN1444)&amp;IF(AQ1444="","",", "&amp;AQ1444)&amp;IF(AT1444="","",", "&amp;AT1444)&amp;IF(AW1444="","",", "&amp;AW1444)&amp;IF(AZ1444="","",", "&amp;AZ1444),3,500)</f>
        <v/>
      </c>
      <c r="BH1444" s="12" t="n"/>
      <c r="BI1444" s="15">
        <f>IFERROR(MATCH($A1444,IF($B1444="Onsite",tbl_Onsite[Row ID],IF($B1444="Production",tbl_Production[Row ID],tbl_Consulting[Row ID])),0),"")</f>
        <v/>
      </c>
    </row>
    <row r="1445">
      <c r="A1445" s="10" t="inlineStr">
        <is>
          <t>CON-0439</t>
        </is>
      </c>
      <c r="B1445" s="10" t="inlineStr">
        <is>
          <t>Consulting</t>
        </is>
      </c>
      <c r="C1445" s="10">
        <f>IF($BI1445="","",IF($B1445="Onsite",INDEX(tbl_Onsite[Job Number],$BI1445),IF($B1445="Production",INDEX(tbl_Production[Job Number],$BI1445),INDEX(tbl_Consulting[Job Number],$BI1445)))&amp;"")</f>
        <v/>
      </c>
      <c r="D1445" s="10">
        <f>IF($BI1445="","",IF($B1445="Onsite",INDEX(tbl_Onsite[Client],$BI1445),IF($B1445="Production",INDEX(tbl_Production[Client],$BI1445),INDEX(tbl_Consulting[Client],$BI1445)))&amp;"")</f>
        <v/>
      </c>
      <c r="E1445" s="10">
        <f>IF($C1445="","",IF(COUNTIF(lst_Jobs,$C1445)&gt;0,"OK","CHECK"))</f>
        <v/>
      </c>
      <c r="F1445" s="10">
        <f>IF($C1445="","",IFERROR(INDEX(lst_JobName,MATCH($C1445,lst_Jobs,0)),""))</f>
        <v/>
      </c>
      <c r="G1445" s="10">
        <f>IF($BI1445="","",IF($B1445="Onsite",INDEX(tbl_Onsite[Job Description],$BI1445),IF($B1445="Production",INDEX(tbl_Production[Job Description],$BI1445),INDEX(tbl_Consulting[Job Description],$BI1445)))&amp;"")</f>
        <v/>
      </c>
      <c r="H1445" s="10">
        <f>IF($BI1445="","",IF($B1445="Onsite",INDEX(tbl_Onsite[Cost Centre],$BI1445),IF($B1445="Production",INDEX(tbl_Production[Cost Centre],$BI1445),INDEX(tbl_Consulting[Cost Centre],$BI1445)))&amp;"")</f>
        <v/>
      </c>
      <c r="I1445" s="10">
        <f>IF($BI1445="","",IF($B1445="Onsite",INDEX(tbl_Onsite[Invoice Type],$BI1445),IF($B1445="Production",INDEX(tbl_Production[Invoice Type],$BI1445),INDEX(tbl_Consulting[Invoice Type],$BI1445)))&amp;"")</f>
        <v/>
      </c>
      <c r="J1445" s="10">
        <f>IF($BI1445="","",IF($B1445="Onsite",INDEX(tbl_Onsite[Tax Code],$BI1445),IF($B1445="Production",INDEX(tbl_Production[Tax Code],$BI1445),INDEX(tbl_Consulting[Tax Code],$BI1445)))&amp;"")</f>
        <v/>
      </c>
      <c r="K1445" s="10">
        <f>IF(H1445="","",IFERROR(INDEX(lst_CCtoGL,MATCH(H1445,lst_CCforGL,0)),""))</f>
        <v/>
      </c>
      <c r="L1445" s="10">
        <f>IF($BI1445="","",IF($B1445="Onsite",INDEX(tbl_Onsite[PO / Reference],$BI1445),IF($B1445="Production",INDEX(tbl_Production[Current RMS No],$BI1445),INDEX(tbl_Consulting[Qwilr Quote],$BI1445)))&amp;"")</f>
        <v/>
      </c>
      <c r="M1445" s="10">
        <f>IF($BI1445="","",IF($B1445="Onsite",INDEX(tbl_Onsite[Notes],$BI1445),IF($B1445="Production",INDEX(tbl_Production[Notes],$BI1445),INDEX(tbl_Consulting[Notes],$BI1445)))&amp;"")</f>
        <v/>
      </c>
      <c r="N1445" s="11">
        <f>IF($BI1445="","",IF(IF($B1445="Onsite",INDEX(tbl_Onsite[Expected Revenue Ex GST],$BI1445),IF($B1445="Production",INDEX(tbl_Production[Expected Revenue Ex GST],$BI1445),INDEX(tbl_Consulting[Expected Revenue Ex GST],$BI1445)))="","",IF($B1445="Onsite",INDEX(tbl_Onsite[Expected Revenue Ex GST],$BI1445),IF($B1445="Production",INDEX(tbl_Production[Expected Revenue Ex GST],$BI1445),INDEX(tbl_Consulting[Expected Revenue Ex GST],$BI1445)))))</f>
        <v/>
      </c>
      <c r="O1445" s="11">
        <f>IF(AND($C1445="",NOT(COUNTA($S1445:$BB1445)&gt;0)),"",SUM(U1445,X1445,AA1445,AD1445,AG1445,AJ1445,AM1445,AP1445,AS1445,AV1445,AY1445,BB1445))</f>
        <v/>
      </c>
      <c r="P1445" s="11">
        <f>IF(O1445="","",N(N1445)-O1445)</f>
        <v/>
      </c>
      <c r="Q1445" s="10">
        <f>IF(O1445="","",IF($C1445="","Invoice on empty job row",IF(N1445="",IF(ROUND(O1445,2)=0,"No dept value","Invoiced - no dept value"),IF(ROUND(O1445,2)=0,"Not invoiced - to invoice",IF(ROUND(P1445,2)=0,"Agrees",IF(P1445&gt;0,"Dept higher - to invoice","Xero higher - check dept"))))))</f>
        <v/>
      </c>
      <c r="R1445" s="10">
        <f>IF(AND($C1445="",NOT(COUNTA($S1445:$BB1445)&gt;0),$BI1445&lt;&gt;""),"",MID(IF($BI1445="","; Row ID not found on the department sheet - a row was deleted","")&amp;IF(AND($C1445="",COUNTA($S1445:$BB1445)&gt;0),"; Invoice entered but the department row has no job number","")&amp;IF(E1445="CHECK","; Job number not in the Xero job list","")&amp;IF(AND($C1445&lt;&gt;"",COUNTIF($C$7:$C$1506,$C1445)&gt;1),"; Job number on more than one row","")&amp;IF(AND($C1445&lt;&gt;"",H1445=""),"; Dept has not set a cost centre","")&amp;IF(AND($C1445&lt;&gt;"",J1445=""),"; Dept has not set a tax code","")&amp;IF(AND($C1445&lt;&gt;"",N1445=""),"; Dept has not entered an expected value","")&amp;IF((IF(OR(COUNTA(S1445:U1445)=0,AND(COUNTA(S1445:U1445)=3,ISNUMBER(U1445))),0,1)+IF(OR(COUNTA(V1445:X1445)=0,AND(COUNTA(V1445:X1445)=3,ISNUMBER(X1445))),0,1)+IF(OR(COUNTA(Y1445:AA1445)=0,AND(COUNTA(Y1445:AA1445)=3,ISNUMBER(AA1445))),0,1)+IF(OR(COUNTA(AB1445:AD1445)=0,AND(COUNTA(AB1445:AD1445)=3,ISNUMBER(AD1445))),0,1)+IF(OR(COUNTA(AE1445:AG1445)=0,AND(COUNTA(AE1445:AG1445)=3,ISNUMBER(AG1445))),0,1)+IF(OR(COUNTA(AH1445:AJ1445)=0,AND(COUNTA(AH1445:AJ1445)=3,ISNUMBER(AJ1445))),0,1)+IF(OR(COUNTA(AK1445:AM1445)=0,AND(COUNTA(AK1445:AM1445)=3,ISNUMBER(AM1445))),0,1)+IF(OR(COUNTA(AN1445:AP1445)=0,AND(COUNTA(AN1445:AP1445)=3,ISNUMBER(AP1445))),0,1)+IF(OR(COUNTA(AQ1445:AS1445)=0,AND(COUNTA(AQ1445:AS1445)=3,ISNUMBER(AS1445))),0,1)+IF(OR(COUNTA(AT1445:AV1445)=0,AND(COUNTA(AT1445:AV1445)=3,ISNUMBER(AV1445))),0,1)+IF(OR(COUNTA(AW1445:AY1445)=0,AND(COUNTA(AW1445:AY1445)=3,ISNUMBER(AY1445))),0,1)+IF(OR(COUNTA(AZ1445:BB1445)=0,AND(COUNTA(AZ1445:BB1445)=3,ISNUMBER(BB1445))),0,1))&gt;0,"; An invoice is incomplete (needs No, Date and a number in Ex GST)","")&amp;IF((IF(T1445="",0,IFERROR(--(EOMONTH(T1445,0)&lt;&gt;S$5),1))+IF(W1445="",0,IFERROR(--(EOMONTH(W1445,0)&lt;&gt;V$5),1))+IF(Z1445="",0,IFERROR(--(EOMONTH(Z1445,0)&lt;&gt;Y$5),1))+IF(AC1445="",0,IFERROR(--(EOMONTH(AC1445,0)&lt;&gt;AB$5),1))+IF(AF1445="",0,IFERROR(--(EOMONTH(AF1445,0)&lt;&gt;AE$5),1))+IF(AI1445="",0,IFERROR(--(EOMONTH(AI1445,0)&lt;&gt;AH$5),1))+IF(AL1445="",0,IFERROR(--(EOMONTH(AL1445,0)&lt;&gt;AK$5),1))+IF(AO1445="",0,IFERROR(--(EOMONTH(AO1445,0)&lt;&gt;AN$5),1))+IF(AR1445="",0,IFERROR(--(EOMONTH(AR1445,0)&lt;&gt;AQ$5),1))+IF(AU1445="",0,IFERROR(--(EOMONTH(AU1445,0)&lt;&gt;AT$5),1))+IF(AX1445="",0,IFERROR(--(EOMONTH(AX1445,0)&lt;&gt;AW$5),1))+IF(BA1445="",0,IFERROR(--(EOMONTH(BA1445,0)&lt;&gt;AZ$5),1)))&gt;0,"; An invoice date is not in the month it is typed under",""),3,500))</f>
        <v/>
      </c>
      <c r="S1445" s="12" t="n"/>
      <c r="T1445" s="13" t="n"/>
      <c r="U1445" s="14" t="n"/>
      <c r="V1445" s="12" t="n"/>
      <c r="W1445" s="13" t="n"/>
      <c r="X1445" s="14" t="n"/>
      <c r="Y1445" s="12" t="n"/>
      <c r="Z1445" s="13" t="n"/>
      <c r="AA1445" s="14" t="n"/>
      <c r="AB1445" s="12" t="n"/>
      <c r="AC1445" s="13" t="n"/>
      <c r="AD1445" s="14" t="n"/>
      <c r="AE1445" s="12" t="n"/>
      <c r="AF1445" s="13" t="n"/>
      <c r="AG1445" s="14" t="n"/>
      <c r="AH1445" s="12" t="n"/>
      <c r="AI1445" s="13" t="n"/>
      <c r="AJ1445" s="14" t="n"/>
      <c r="AK1445" s="12" t="n"/>
      <c r="AL1445" s="13" t="n"/>
      <c r="AM1445" s="14" t="n"/>
      <c r="AN1445" s="12" t="n"/>
      <c r="AO1445" s="13" t="n"/>
      <c r="AP1445" s="14" t="n"/>
      <c r="AQ1445" s="12" t="n"/>
      <c r="AR1445" s="13" t="n"/>
      <c r="AS1445" s="14" t="n"/>
      <c r="AT1445" s="12" t="n"/>
      <c r="AU1445" s="13" t="n"/>
      <c r="AV1445" s="14" t="n"/>
      <c r="AW1445" s="12" t="n"/>
      <c r="AX1445" s="13" t="n"/>
      <c r="AY1445" s="14" t="n"/>
      <c r="AZ1445" s="12" t="n"/>
      <c r="BA1445" s="13" t="n"/>
      <c r="BB1445" s="14" t="n"/>
      <c r="BC1445" s="11">
        <f>IF(O1445="","",IF(J1445="GST 10%",ROUND(O1445*set_GSTRate,2),0))</f>
        <v/>
      </c>
      <c r="BD1445" s="11">
        <f>IF(O1445="","",O1445+BC1445)</f>
        <v/>
      </c>
      <c r="BE1445" s="15">
        <f>IF(O1445="","",COUNTA(S1445,V1445,Y1445,AB1445,AE1445,AH1445,AK1445,AN1445,AQ1445,AT1445,AW1445,AZ1445))</f>
        <v/>
      </c>
      <c r="BF1445" s="16">
        <f>IF(COUNT(T1445,W1445,Z1445,AC1445,AF1445,AI1445,AL1445,AO1445,AR1445,AU1445,AX1445,BA1445)=0,"",MAX(T1445,W1445,Z1445,AC1445,AF1445,AI1445,AL1445,AO1445,AR1445,AU1445,AX1445,BA1445))</f>
        <v/>
      </c>
      <c r="BG1445" s="10">
        <f>MID(IF(S1445="","",", "&amp;S1445)&amp;IF(V1445="","",", "&amp;V1445)&amp;IF(Y1445="","",", "&amp;Y1445)&amp;IF(AB1445="","",", "&amp;AB1445)&amp;IF(AE1445="","",", "&amp;AE1445)&amp;IF(AH1445="","",", "&amp;AH1445)&amp;IF(AK1445="","",", "&amp;AK1445)&amp;IF(AN1445="","",", "&amp;AN1445)&amp;IF(AQ1445="","",", "&amp;AQ1445)&amp;IF(AT1445="","",", "&amp;AT1445)&amp;IF(AW1445="","",", "&amp;AW1445)&amp;IF(AZ1445="","",", "&amp;AZ1445),3,500)</f>
        <v/>
      </c>
      <c r="BH1445" s="12" t="n"/>
      <c r="BI1445" s="15">
        <f>IFERROR(MATCH($A1445,IF($B1445="Onsite",tbl_Onsite[Row ID],IF($B1445="Production",tbl_Production[Row ID],tbl_Consulting[Row ID])),0),"")</f>
        <v/>
      </c>
    </row>
    <row r="1446">
      <c r="A1446" s="10" t="inlineStr">
        <is>
          <t>CON-0440</t>
        </is>
      </c>
      <c r="B1446" s="10" t="inlineStr">
        <is>
          <t>Consulting</t>
        </is>
      </c>
      <c r="C1446" s="10">
        <f>IF($BI1446="","",IF($B1446="Onsite",INDEX(tbl_Onsite[Job Number],$BI1446),IF($B1446="Production",INDEX(tbl_Production[Job Number],$BI1446),INDEX(tbl_Consulting[Job Number],$BI1446)))&amp;"")</f>
        <v/>
      </c>
      <c r="D1446" s="10">
        <f>IF($BI1446="","",IF($B1446="Onsite",INDEX(tbl_Onsite[Client],$BI1446),IF($B1446="Production",INDEX(tbl_Production[Client],$BI1446),INDEX(tbl_Consulting[Client],$BI1446)))&amp;"")</f>
        <v/>
      </c>
      <c r="E1446" s="10">
        <f>IF($C1446="","",IF(COUNTIF(lst_Jobs,$C1446)&gt;0,"OK","CHECK"))</f>
        <v/>
      </c>
      <c r="F1446" s="10">
        <f>IF($C1446="","",IFERROR(INDEX(lst_JobName,MATCH($C1446,lst_Jobs,0)),""))</f>
        <v/>
      </c>
      <c r="G1446" s="10">
        <f>IF($BI1446="","",IF($B1446="Onsite",INDEX(tbl_Onsite[Job Description],$BI1446),IF($B1446="Production",INDEX(tbl_Production[Job Description],$BI1446),INDEX(tbl_Consulting[Job Description],$BI1446)))&amp;"")</f>
        <v/>
      </c>
      <c r="H1446" s="10">
        <f>IF($BI1446="","",IF($B1446="Onsite",INDEX(tbl_Onsite[Cost Centre],$BI1446),IF($B1446="Production",INDEX(tbl_Production[Cost Centre],$BI1446),INDEX(tbl_Consulting[Cost Centre],$BI1446)))&amp;"")</f>
        <v/>
      </c>
      <c r="I1446" s="10">
        <f>IF($BI1446="","",IF($B1446="Onsite",INDEX(tbl_Onsite[Invoice Type],$BI1446),IF($B1446="Production",INDEX(tbl_Production[Invoice Type],$BI1446),INDEX(tbl_Consulting[Invoice Type],$BI1446)))&amp;"")</f>
        <v/>
      </c>
      <c r="J1446" s="10">
        <f>IF($BI1446="","",IF($B1446="Onsite",INDEX(tbl_Onsite[Tax Code],$BI1446),IF($B1446="Production",INDEX(tbl_Production[Tax Code],$BI1446),INDEX(tbl_Consulting[Tax Code],$BI1446)))&amp;"")</f>
        <v/>
      </c>
      <c r="K1446" s="10">
        <f>IF(H1446="","",IFERROR(INDEX(lst_CCtoGL,MATCH(H1446,lst_CCforGL,0)),""))</f>
        <v/>
      </c>
      <c r="L1446" s="10">
        <f>IF($BI1446="","",IF($B1446="Onsite",INDEX(tbl_Onsite[PO / Reference],$BI1446),IF($B1446="Production",INDEX(tbl_Production[Current RMS No],$BI1446),INDEX(tbl_Consulting[Qwilr Quote],$BI1446)))&amp;"")</f>
        <v/>
      </c>
      <c r="M1446" s="10">
        <f>IF($BI1446="","",IF($B1446="Onsite",INDEX(tbl_Onsite[Notes],$BI1446),IF($B1446="Production",INDEX(tbl_Production[Notes],$BI1446),INDEX(tbl_Consulting[Notes],$BI1446)))&amp;"")</f>
        <v/>
      </c>
      <c r="N1446" s="11">
        <f>IF($BI1446="","",IF(IF($B1446="Onsite",INDEX(tbl_Onsite[Expected Revenue Ex GST],$BI1446),IF($B1446="Production",INDEX(tbl_Production[Expected Revenue Ex GST],$BI1446),INDEX(tbl_Consulting[Expected Revenue Ex GST],$BI1446)))="","",IF($B1446="Onsite",INDEX(tbl_Onsite[Expected Revenue Ex GST],$BI1446),IF($B1446="Production",INDEX(tbl_Production[Expected Revenue Ex GST],$BI1446),INDEX(tbl_Consulting[Expected Revenue Ex GST],$BI1446)))))</f>
        <v/>
      </c>
      <c r="O1446" s="11">
        <f>IF(AND($C1446="",NOT(COUNTA($S1446:$BB1446)&gt;0)),"",SUM(U1446,X1446,AA1446,AD1446,AG1446,AJ1446,AM1446,AP1446,AS1446,AV1446,AY1446,BB1446))</f>
        <v/>
      </c>
      <c r="P1446" s="11">
        <f>IF(O1446="","",N(N1446)-O1446)</f>
        <v/>
      </c>
      <c r="Q1446" s="10">
        <f>IF(O1446="","",IF($C1446="","Invoice on empty job row",IF(N1446="",IF(ROUND(O1446,2)=0,"No dept value","Invoiced - no dept value"),IF(ROUND(O1446,2)=0,"Not invoiced - to invoice",IF(ROUND(P1446,2)=0,"Agrees",IF(P1446&gt;0,"Dept higher - to invoice","Xero higher - check dept"))))))</f>
        <v/>
      </c>
      <c r="R1446" s="10">
        <f>IF(AND($C1446="",NOT(COUNTA($S1446:$BB1446)&gt;0),$BI1446&lt;&gt;""),"",MID(IF($BI1446="","; Row ID not found on the department sheet - a row was deleted","")&amp;IF(AND($C1446="",COUNTA($S1446:$BB1446)&gt;0),"; Invoice entered but the department row has no job number","")&amp;IF(E1446="CHECK","; Job number not in the Xero job list","")&amp;IF(AND($C1446&lt;&gt;"",COUNTIF($C$7:$C$1506,$C1446)&gt;1),"; Job number on more than one row","")&amp;IF(AND($C1446&lt;&gt;"",H1446=""),"; Dept has not set a cost centre","")&amp;IF(AND($C1446&lt;&gt;"",J1446=""),"; Dept has not set a tax code","")&amp;IF(AND($C1446&lt;&gt;"",N1446=""),"; Dept has not entered an expected value","")&amp;IF((IF(OR(COUNTA(S1446:U1446)=0,AND(COUNTA(S1446:U1446)=3,ISNUMBER(U1446))),0,1)+IF(OR(COUNTA(V1446:X1446)=0,AND(COUNTA(V1446:X1446)=3,ISNUMBER(X1446))),0,1)+IF(OR(COUNTA(Y1446:AA1446)=0,AND(COUNTA(Y1446:AA1446)=3,ISNUMBER(AA1446))),0,1)+IF(OR(COUNTA(AB1446:AD1446)=0,AND(COUNTA(AB1446:AD1446)=3,ISNUMBER(AD1446))),0,1)+IF(OR(COUNTA(AE1446:AG1446)=0,AND(COUNTA(AE1446:AG1446)=3,ISNUMBER(AG1446))),0,1)+IF(OR(COUNTA(AH1446:AJ1446)=0,AND(COUNTA(AH1446:AJ1446)=3,ISNUMBER(AJ1446))),0,1)+IF(OR(COUNTA(AK1446:AM1446)=0,AND(COUNTA(AK1446:AM1446)=3,ISNUMBER(AM1446))),0,1)+IF(OR(COUNTA(AN1446:AP1446)=0,AND(COUNTA(AN1446:AP1446)=3,ISNUMBER(AP1446))),0,1)+IF(OR(COUNTA(AQ1446:AS1446)=0,AND(COUNTA(AQ1446:AS1446)=3,ISNUMBER(AS1446))),0,1)+IF(OR(COUNTA(AT1446:AV1446)=0,AND(COUNTA(AT1446:AV1446)=3,ISNUMBER(AV1446))),0,1)+IF(OR(COUNTA(AW1446:AY1446)=0,AND(COUNTA(AW1446:AY1446)=3,ISNUMBER(AY1446))),0,1)+IF(OR(COUNTA(AZ1446:BB1446)=0,AND(COUNTA(AZ1446:BB1446)=3,ISNUMBER(BB1446))),0,1))&gt;0,"; An invoice is incomplete (needs No, Date and a number in Ex GST)","")&amp;IF((IF(T1446="",0,IFERROR(--(EOMONTH(T1446,0)&lt;&gt;S$5),1))+IF(W1446="",0,IFERROR(--(EOMONTH(W1446,0)&lt;&gt;V$5),1))+IF(Z1446="",0,IFERROR(--(EOMONTH(Z1446,0)&lt;&gt;Y$5),1))+IF(AC1446="",0,IFERROR(--(EOMONTH(AC1446,0)&lt;&gt;AB$5),1))+IF(AF1446="",0,IFERROR(--(EOMONTH(AF1446,0)&lt;&gt;AE$5),1))+IF(AI1446="",0,IFERROR(--(EOMONTH(AI1446,0)&lt;&gt;AH$5),1))+IF(AL1446="",0,IFERROR(--(EOMONTH(AL1446,0)&lt;&gt;AK$5),1))+IF(AO1446="",0,IFERROR(--(EOMONTH(AO1446,0)&lt;&gt;AN$5),1))+IF(AR1446="",0,IFERROR(--(EOMONTH(AR1446,0)&lt;&gt;AQ$5),1))+IF(AU1446="",0,IFERROR(--(EOMONTH(AU1446,0)&lt;&gt;AT$5),1))+IF(AX1446="",0,IFERROR(--(EOMONTH(AX1446,0)&lt;&gt;AW$5),1))+IF(BA1446="",0,IFERROR(--(EOMONTH(BA1446,0)&lt;&gt;AZ$5),1)))&gt;0,"; An invoice date is not in the month it is typed under",""),3,500))</f>
        <v/>
      </c>
      <c r="S1446" s="12" t="n"/>
      <c r="T1446" s="13" t="n"/>
      <c r="U1446" s="14" t="n"/>
      <c r="V1446" s="12" t="n"/>
      <c r="W1446" s="13" t="n"/>
      <c r="X1446" s="14" t="n"/>
      <c r="Y1446" s="12" t="n"/>
      <c r="Z1446" s="13" t="n"/>
      <c r="AA1446" s="14" t="n"/>
      <c r="AB1446" s="12" t="n"/>
      <c r="AC1446" s="13" t="n"/>
      <c r="AD1446" s="14" t="n"/>
      <c r="AE1446" s="12" t="n"/>
      <c r="AF1446" s="13" t="n"/>
      <c r="AG1446" s="14" t="n"/>
      <c r="AH1446" s="12" t="n"/>
      <c r="AI1446" s="13" t="n"/>
      <c r="AJ1446" s="14" t="n"/>
      <c r="AK1446" s="12" t="n"/>
      <c r="AL1446" s="13" t="n"/>
      <c r="AM1446" s="14" t="n"/>
      <c r="AN1446" s="12" t="n"/>
      <c r="AO1446" s="13" t="n"/>
      <c r="AP1446" s="14" t="n"/>
      <c r="AQ1446" s="12" t="n"/>
      <c r="AR1446" s="13" t="n"/>
      <c r="AS1446" s="14" t="n"/>
      <c r="AT1446" s="12" t="n"/>
      <c r="AU1446" s="13" t="n"/>
      <c r="AV1446" s="14" t="n"/>
      <c r="AW1446" s="12" t="n"/>
      <c r="AX1446" s="13" t="n"/>
      <c r="AY1446" s="14" t="n"/>
      <c r="AZ1446" s="12" t="n"/>
      <c r="BA1446" s="13" t="n"/>
      <c r="BB1446" s="14" t="n"/>
      <c r="BC1446" s="11">
        <f>IF(O1446="","",IF(J1446="GST 10%",ROUND(O1446*set_GSTRate,2),0))</f>
        <v/>
      </c>
      <c r="BD1446" s="11">
        <f>IF(O1446="","",O1446+BC1446)</f>
        <v/>
      </c>
      <c r="BE1446" s="15">
        <f>IF(O1446="","",COUNTA(S1446,V1446,Y1446,AB1446,AE1446,AH1446,AK1446,AN1446,AQ1446,AT1446,AW1446,AZ1446))</f>
        <v/>
      </c>
      <c r="BF1446" s="16">
        <f>IF(COUNT(T1446,W1446,Z1446,AC1446,AF1446,AI1446,AL1446,AO1446,AR1446,AU1446,AX1446,BA1446)=0,"",MAX(T1446,W1446,Z1446,AC1446,AF1446,AI1446,AL1446,AO1446,AR1446,AU1446,AX1446,BA1446))</f>
        <v/>
      </c>
      <c r="BG1446" s="10">
        <f>MID(IF(S1446="","",", "&amp;S1446)&amp;IF(V1446="","",", "&amp;V1446)&amp;IF(Y1446="","",", "&amp;Y1446)&amp;IF(AB1446="","",", "&amp;AB1446)&amp;IF(AE1446="","",", "&amp;AE1446)&amp;IF(AH1446="","",", "&amp;AH1446)&amp;IF(AK1446="","",", "&amp;AK1446)&amp;IF(AN1446="","",", "&amp;AN1446)&amp;IF(AQ1446="","",", "&amp;AQ1446)&amp;IF(AT1446="","",", "&amp;AT1446)&amp;IF(AW1446="","",", "&amp;AW1446)&amp;IF(AZ1446="","",", "&amp;AZ1446),3,500)</f>
        <v/>
      </c>
      <c r="BH1446" s="12" t="n"/>
      <c r="BI1446" s="15">
        <f>IFERROR(MATCH($A1446,IF($B1446="Onsite",tbl_Onsite[Row ID],IF($B1446="Production",tbl_Production[Row ID],tbl_Consulting[Row ID])),0),"")</f>
        <v/>
      </c>
    </row>
    <row r="1447">
      <c r="A1447" s="10" t="inlineStr">
        <is>
          <t>CON-0441</t>
        </is>
      </c>
      <c r="B1447" s="10" t="inlineStr">
        <is>
          <t>Consulting</t>
        </is>
      </c>
      <c r="C1447" s="10">
        <f>IF($BI1447="","",IF($B1447="Onsite",INDEX(tbl_Onsite[Job Number],$BI1447),IF($B1447="Production",INDEX(tbl_Production[Job Number],$BI1447),INDEX(tbl_Consulting[Job Number],$BI1447)))&amp;"")</f>
        <v/>
      </c>
      <c r="D1447" s="10">
        <f>IF($BI1447="","",IF($B1447="Onsite",INDEX(tbl_Onsite[Client],$BI1447),IF($B1447="Production",INDEX(tbl_Production[Client],$BI1447),INDEX(tbl_Consulting[Client],$BI1447)))&amp;"")</f>
        <v/>
      </c>
      <c r="E1447" s="10">
        <f>IF($C1447="","",IF(COUNTIF(lst_Jobs,$C1447)&gt;0,"OK","CHECK"))</f>
        <v/>
      </c>
      <c r="F1447" s="10">
        <f>IF($C1447="","",IFERROR(INDEX(lst_JobName,MATCH($C1447,lst_Jobs,0)),""))</f>
        <v/>
      </c>
      <c r="G1447" s="10">
        <f>IF($BI1447="","",IF($B1447="Onsite",INDEX(tbl_Onsite[Job Description],$BI1447),IF($B1447="Production",INDEX(tbl_Production[Job Description],$BI1447),INDEX(tbl_Consulting[Job Description],$BI1447)))&amp;"")</f>
        <v/>
      </c>
      <c r="H1447" s="10">
        <f>IF($BI1447="","",IF($B1447="Onsite",INDEX(tbl_Onsite[Cost Centre],$BI1447),IF($B1447="Production",INDEX(tbl_Production[Cost Centre],$BI1447),INDEX(tbl_Consulting[Cost Centre],$BI1447)))&amp;"")</f>
        <v/>
      </c>
      <c r="I1447" s="10">
        <f>IF($BI1447="","",IF($B1447="Onsite",INDEX(tbl_Onsite[Invoice Type],$BI1447),IF($B1447="Production",INDEX(tbl_Production[Invoice Type],$BI1447),INDEX(tbl_Consulting[Invoice Type],$BI1447)))&amp;"")</f>
        <v/>
      </c>
      <c r="J1447" s="10">
        <f>IF($BI1447="","",IF($B1447="Onsite",INDEX(tbl_Onsite[Tax Code],$BI1447),IF($B1447="Production",INDEX(tbl_Production[Tax Code],$BI1447),INDEX(tbl_Consulting[Tax Code],$BI1447)))&amp;"")</f>
        <v/>
      </c>
      <c r="K1447" s="10">
        <f>IF(H1447="","",IFERROR(INDEX(lst_CCtoGL,MATCH(H1447,lst_CCforGL,0)),""))</f>
        <v/>
      </c>
      <c r="L1447" s="10">
        <f>IF($BI1447="","",IF($B1447="Onsite",INDEX(tbl_Onsite[PO / Reference],$BI1447),IF($B1447="Production",INDEX(tbl_Production[Current RMS No],$BI1447),INDEX(tbl_Consulting[Qwilr Quote],$BI1447)))&amp;"")</f>
        <v/>
      </c>
      <c r="M1447" s="10">
        <f>IF($BI1447="","",IF($B1447="Onsite",INDEX(tbl_Onsite[Notes],$BI1447),IF($B1447="Production",INDEX(tbl_Production[Notes],$BI1447),INDEX(tbl_Consulting[Notes],$BI1447)))&amp;"")</f>
        <v/>
      </c>
      <c r="N1447" s="11">
        <f>IF($BI1447="","",IF(IF($B1447="Onsite",INDEX(tbl_Onsite[Expected Revenue Ex GST],$BI1447),IF($B1447="Production",INDEX(tbl_Production[Expected Revenue Ex GST],$BI1447),INDEX(tbl_Consulting[Expected Revenue Ex GST],$BI1447)))="","",IF($B1447="Onsite",INDEX(tbl_Onsite[Expected Revenue Ex GST],$BI1447),IF($B1447="Production",INDEX(tbl_Production[Expected Revenue Ex GST],$BI1447),INDEX(tbl_Consulting[Expected Revenue Ex GST],$BI1447)))))</f>
        <v/>
      </c>
      <c r="O1447" s="11">
        <f>IF(AND($C1447="",NOT(COUNTA($S1447:$BB1447)&gt;0)),"",SUM(U1447,X1447,AA1447,AD1447,AG1447,AJ1447,AM1447,AP1447,AS1447,AV1447,AY1447,BB1447))</f>
        <v/>
      </c>
      <c r="P1447" s="11">
        <f>IF(O1447="","",N(N1447)-O1447)</f>
        <v/>
      </c>
      <c r="Q1447" s="10">
        <f>IF(O1447="","",IF($C1447="","Invoice on empty job row",IF(N1447="",IF(ROUND(O1447,2)=0,"No dept value","Invoiced - no dept value"),IF(ROUND(O1447,2)=0,"Not invoiced - to invoice",IF(ROUND(P1447,2)=0,"Agrees",IF(P1447&gt;0,"Dept higher - to invoice","Xero higher - check dept"))))))</f>
        <v/>
      </c>
      <c r="R1447" s="10">
        <f>IF(AND($C1447="",NOT(COUNTA($S1447:$BB1447)&gt;0),$BI1447&lt;&gt;""),"",MID(IF($BI1447="","; Row ID not found on the department sheet - a row was deleted","")&amp;IF(AND($C1447="",COUNTA($S1447:$BB1447)&gt;0),"; Invoice entered but the department row has no job number","")&amp;IF(E1447="CHECK","; Job number not in the Xero job list","")&amp;IF(AND($C1447&lt;&gt;"",COUNTIF($C$7:$C$1506,$C1447)&gt;1),"; Job number on more than one row","")&amp;IF(AND($C1447&lt;&gt;"",H1447=""),"; Dept has not set a cost centre","")&amp;IF(AND($C1447&lt;&gt;"",J1447=""),"; Dept has not set a tax code","")&amp;IF(AND($C1447&lt;&gt;"",N1447=""),"; Dept has not entered an expected value","")&amp;IF((IF(OR(COUNTA(S1447:U1447)=0,AND(COUNTA(S1447:U1447)=3,ISNUMBER(U1447))),0,1)+IF(OR(COUNTA(V1447:X1447)=0,AND(COUNTA(V1447:X1447)=3,ISNUMBER(X1447))),0,1)+IF(OR(COUNTA(Y1447:AA1447)=0,AND(COUNTA(Y1447:AA1447)=3,ISNUMBER(AA1447))),0,1)+IF(OR(COUNTA(AB1447:AD1447)=0,AND(COUNTA(AB1447:AD1447)=3,ISNUMBER(AD1447))),0,1)+IF(OR(COUNTA(AE1447:AG1447)=0,AND(COUNTA(AE1447:AG1447)=3,ISNUMBER(AG1447))),0,1)+IF(OR(COUNTA(AH1447:AJ1447)=0,AND(COUNTA(AH1447:AJ1447)=3,ISNUMBER(AJ1447))),0,1)+IF(OR(COUNTA(AK1447:AM1447)=0,AND(COUNTA(AK1447:AM1447)=3,ISNUMBER(AM1447))),0,1)+IF(OR(COUNTA(AN1447:AP1447)=0,AND(COUNTA(AN1447:AP1447)=3,ISNUMBER(AP1447))),0,1)+IF(OR(COUNTA(AQ1447:AS1447)=0,AND(COUNTA(AQ1447:AS1447)=3,ISNUMBER(AS1447))),0,1)+IF(OR(COUNTA(AT1447:AV1447)=0,AND(COUNTA(AT1447:AV1447)=3,ISNUMBER(AV1447))),0,1)+IF(OR(COUNTA(AW1447:AY1447)=0,AND(COUNTA(AW1447:AY1447)=3,ISNUMBER(AY1447))),0,1)+IF(OR(COUNTA(AZ1447:BB1447)=0,AND(COUNTA(AZ1447:BB1447)=3,ISNUMBER(BB1447))),0,1))&gt;0,"; An invoice is incomplete (needs No, Date and a number in Ex GST)","")&amp;IF((IF(T1447="",0,IFERROR(--(EOMONTH(T1447,0)&lt;&gt;S$5),1))+IF(W1447="",0,IFERROR(--(EOMONTH(W1447,0)&lt;&gt;V$5),1))+IF(Z1447="",0,IFERROR(--(EOMONTH(Z1447,0)&lt;&gt;Y$5),1))+IF(AC1447="",0,IFERROR(--(EOMONTH(AC1447,0)&lt;&gt;AB$5),1))+IF(AF1447="",0,IFERROR(--(EOMONTH(AF1447,0)&lt;&gt;AE$5),1))+IF(AI1447="",0,IFERROR(--(EOMONTH(AI1447,0)&lt;&gt;AH$5),1))+IF(AL1447="",0,IFERROR(--(EOMONTH(AL1447,0)&lt;&gt;AK$5),1))+IF(AO1447="",0,IFERROR(--(EOMONTH(AO1447,0)&lt;&gt;AN$5),1))+IF(AR1447="",0,IFERROR(--(EOMONTH(AR1447,0)&lt;&gt;AQ$5),1))+IF(AU1447="",0,IFERROR(--(EOMONTH(AU1447,0)&lt;&gt;AT$5),1))+IF(AX1447="",0,IFERROR(--(EOMONTH(AX1447,0)&lt;&gt;AW$5),1))+IF(BA1447="",0,IFERROR(--(EOMONTH(BA1447,0)&lt;&gt;AZ$5),1)))&gt;0,"; An invoice date is not in the month it is typed under",""),3,500))</f>
        <v/>
      </c>
      <c r="S1447" s="12" t="n"/>
      <c r="T1447" s="13" t="n"/>
      <c r="U1447" s="14" t="n"/>
      <c r="V1447" s="12" t="n"/>
      <c r="W1447" s="13" t="n"/>
      <c r="X1447" s="14" t="n"/>
      <c r="Y1447" s="12" t="n"/>
      <c r="Z1447" s="13" t="n"/>
      <c r="AA1447" s="14" t="n"/>
      <c r="AB1447" s="12" t="n"/>
      <c r="AC1447" s="13" t="n"/>
      <c r="AD1447" s="14" t="n"/>
      <c r="AE1447" s="12" t="n"/>
      <c r="AF1447" s="13" t="n"/>
      <c r="AG1447" s="14" t="n"/>
      <c r="AH1447" s="12" t="n"/>
      <c r="AI1447" s="13" t="n"/>
      <c r="AJ1447" s="14" t="n"/>
      <c r="AK1447" s="12" t="n"/>
      <c r="AL1447" s="13" t="n"/>
      <c r="AM1447" s="14" t="n"/>
      <c r="AN1447" s="12" t="n"/>
      <c r="AO1447" s="13" t="n"/>
      <c r="AP1447" s="14" t="n"/>
      <c r="AQ1447" s="12" t="n"/>
      <c r="AR1447" s="13" t="n"/>
      <c r="AS1447" s="14" t="n"/>
      <c r="AT1447" s="12" t="n"/>
      <c r="AU1447" s="13" t="n"/>
      <c r="AV1447" s="14" t="n"/>
      <c r="AW1447" s="12" t="n"/>
      <c r="AX1447" s="13" t="n"/>
      <c r="AY1447" s="14" t="n"/>
      <c r="AZ1447" s="12" t="n"/>
      <c r="BA1447" s="13" t="n"/>
      <c r="BB1447" s="14" t="n"/>
      <c r="BC1447" s="11">
        <f>IF(O1447="","",IF(J1447="GST 10%",ROUND(O1447*set_GSTRate,2),0))</f>
        <v/>
      </c>
      <c r="BD1447" s="11">
        <f>IF(O1447="","",O1447+BC1447)</f>
        <v/>
      </c>
      <c r="BE1447" s="15">
        <f>IF(O1447="","",COUNTA(S1447,V1447,Y1447,AB1447,AE1447,AH1447,AK1447,AN1447,AQ1447,AT1447,AW1447,AZ1447))</f>
        <v/>
      </c>
      <c r="BF1447" s="16">
        <f>IF(COUNT(T1447,W1447,Z1447,AC1447,AF1447,AI1447,AL1447,AO1447,AR1447,AU1447,AX1447,BA1447)=0,"",MAX(T1447,W1447,Z1447,AC1447,AF1447,AI1447,AL1447,AO1447,AR1447,AU1447,AX1447,BA1447))</f>
        <v/>
      </c>
      <c r="BG1447" s="10">
        <f>MID(IF(S1447="","",", "&amp;S1447)&amp;IF(V1447="","",", "&amp;V1447)&amp;IF(Y1447="","",", "&amp;Y1447)&amp;IF(AB1447="","",", "&amp;AB1447)&amp;IF(AE1447="","",", "&amp;AE1447)&amp;IF(AH1447="","",", "&amp;AH1447)&amp;IF(AK1447="","",", "&amp;AK1447)&amp;IF(AN1447="","",", "&amp;AN1447)&amp;IF(AQ1447="","",", "&amp;AQ1447)&amp;IF(AT1447="","",", "&amp;AT1447)&amp;IF(AW1447="","",", "&amp;AW1447)&amp;IF(AZ1447="","",", "&amp;AZ1447),3,500)</f>
        <v/>
      </c>
      <c r="BH1447" s="12" t="n"/>
      <c r="BI1447" s="15">
        <f>IFERROR(MATCH($A1447,IF($B1447="Onsite",tbl_Onsite[Row ID],IF($B1447="Production",tbl_Production[Row ID],tbl_Consulting[Row ID])),0),"")</f>
        <v/>
      </c>
    </row>
    <row r="1448">
      <c r="A1448" s="10" t="inlineStr">
        <is>
          <t>CON-0442</t>
        </is>
      </c>
      <c r="B1448" s="10" t="inlineStr">
        <is>
          <t>Consulting</t>
        </is>
      </c>
      <c r="C1448" s="10">
        <f>IF($BI1448="","",IF($B1448="Onsite",INDEX(tbl_Onsite[Job Number],$BI1448),IF($B1448="Production",INDEX(tbl_Production[Job Number],$BI1448),INDEX(tbl_Consulting[Job Number],$BI1448)))&amp;"")</f>
        <v/>
      </c>
      <c r="D1448" s="10">
        <f>IF($BI1448="","",IF($B1448="Onsite",INDEX(tbl_Onsite[Client],$BI1448),IF($B1448="Production",INDEX(tbl_Production[Client],$BI1448),INDEX(tbl_Consulting[Client],$BI1448)))&amp;"")</f>
        <v/>
      </c>
      <c r="E1448" s="10">
        <f>IF($C1448="","",IF(COUNTIF(lst_Jobs,$C1448)&gt;0,"OK","CHECK"))</f>
        <v/>
      </c>
      <c r="F1448" s="10">
        <f>IF($C1448="","",IFERROR(INDEX(lst_JobName,MATCH($C1448,lst_Jobs,0)),""))</f>
        <v/>
      </c>
      <c r="G1448" s="10">
        <f>IF($BI1448="","",IF($B1448="Onsite",INDEX(tbl_Onsite[Job Description],$BI1448),IF($B1448="Production",INDEX(tbl_Production[Job Description],$BI1448),INDEX(tbl_Consulting[Job Description],$BI1448)))&amp;"")</f>
        <v/>
      </c>
      <c r="H1448" s="10">
        <f>IF($BI1448="","",IF($B1448="Onsite",INDEX(tbl_Onsite[Cost Centre],$BI1448),IF($B1448="Production",INDEX(tbl_Production[Cost Centre],$BI1448),INDEX(tbl_Consulting[Cost Centre],$BI1448)))&amp;"")</f>
        <v/>
      </c>
      <c r="I1448" s="10">
        <f>IF($BI1448="","",IF($B1448="Onsite",INDEX(tbl_Onsite[Invoice Type],$BI1448),IF($B1448="Production",INDEX(tbl_Production[Invoice Type],$BI1448),INDEX(tbl_Consulting[Invoice Type],$BI1448)))&amp;"")</f>
        <v/>
      </c>
      <c r="J1448" s="10">
        <f>IF($BI1448="","",IF($B1448="Onsite",INDEX(tbl_Onsite[Tax Code],$BI1448),IF($B1448="Production",INDEX(tbl_Production[Tax Code],$BI1448),INDEX(tbl_Consulting[Tax Code],$BI1448)))&amp;"")</f>
        <v/>
      </c>
      <c r="K1448" s="10">
        <f>IF(H1448="","",IFERROR(INDEX(lst_CCtoGL,MATCH(H1448,lst_CCforGL,0)),""))</f>
        <v/>
      </c>
      <c r="L1448" s="10">
        <f>IF($BI1448="","",IF($B1448="Onsite",INDEX(tbl_Onsite[PO / Reference],$BI1448),IF($B1448="Production",INDEX(tbl_Production[Current RMS No],$BI1448),INDEX(tbl_Consulting[Qwilr Quote],$BI1448)))&amp;"")</f>
        <v/>
      </c>
      <c r="M1448" s="10">
        <f>IF($BI1448="","",IF($B1448="Onsite",INDEX(tbl_Onsite[Notes],$BI1448),IF($B1448="Production",INDEX(tbl_Production[Notes],$BI1448),INDEX(tbl_Consulting[Notes],$BI1448)))&amp;"")</f>
        <v/>
      </c>
      <c r="N1448" s="11">
        <f>IF($BI1448="","",IF(IF($B1448="Onsite",INDEX(tbl_Onsite[Expected Revenue Ex GST],$BI1448),IF($B1448="Production",INDEX(tbl_Production[Expected Revenue Ex GST],$BI1448),INDEX(tbl_Consulting[Expected Revenue Ex GST],$BI1448)))="","",IF($B1448="Onsite",INDEX(tbl_Onsite[Expected Revenue Ex GST],$BI1448),IF($B1448="Production",INDEX(tbl_Production[Expected Revenue Ex GST],$BI1448),INDEX(tbl_Consulting[Expected Revenue Ex GST],$BI1448)))))</f>
        <v/>
      </c>
      <c r="O1448" s="11">
        <f>IF(AND($C1448="",NOT(COUNTA($S1448:$BB1448)&gt;0)),"",SUM(U1448,X1448,AA1448,AD1448,AG1448,AJ1448,AM1448,AP1448,AS1448,AV1448,AY1448,BB1448))</f>
        <v/>
      </c>
      <c r="P1448" s="11">
        <f>IF(O1448="","",N(N1448)-O1448)</f>
        <v/>
      </c>
      <c r="Q1448" s="10">
        <f>IF(O1448="","",IF($C1448="","Invoice on empty job row",IF(N1448="",IF(ROUND(O1448,2)=0,"No dept value","Invoiced - no dept value"),IF(ROUND(O1448,2)=0,"Not invoiced - to invoice",IF(ROUND(P1448,2)=0,"Agrees",IF(P1448&gt;0,"Dept higher - to invoice","Xero higher - check dept"))))))</f>
        <v/>
      </c>
      <c r="R1448" s="10">
        <f>IF(AND($C1448="",NOT(COUNTA($S1448:$BB1448)&gt;0),$BI1448&lt;&gt;""),"",MID(IF($BI1448="","; Row ID not found on the department sheet - a row was deleted","")&amp;IF(AND($C1448="",COUNTA($S1448:$BB1448)&gt;0),"; Invoice entered but the department row has no job number","")&amp;IF(E1448="CHECK","; Job number not in the Xero job list","")&amp;IF(AND($C1448&lt;&gt;"",COUNTIF($C$7:$C$1506,$C1448)&gt;1),"; Job number on more than one row","")&amp;IF(AND($C1448&lt;&gt;"",H1448=""),"; Dept has not set a cost centre","")&amp;IF(AND($C1448&lt;&gt;"",J1448=""),"; Dept has not set a tax code","")&amp;IF(AND($C1448&lt;&gt;"",N1448=""),"; Dept has not entered an expected value","")&amp;IF((IF(OR(COUNTA(S1448:U1448)=0,AND(COUNTA(S1448:U1448)=3,ISNUMBER(U1448))),0,1)+IF(OR(COUNTA(V1448:X1448)=0,AND(COUNTA(V1448:X1448)=3,ISNUMBER(X1448))),0,1)+IF(OR(COUNTA(Y1448:AA1448)=0,AND(COUNTA(Y1448:AA1448)=3,ISNUMBER(AA1448))),0,1)+IF(OR(COUNTA(AB1448:AD1448)=0,AND(COUNTA(AB1448:AD1448)=3,ISNUMBER(AD1448))),0,1)+IF(OR(COUNTA(AE1448:AG1448)=0,AND(COUNTA(AE1448:AG1448)=3,ISNUMBER(AG1448))),0,1)+IF(OR(COUNTA(AH1448:AJ1448)=0,AND(COUNTA(AH1448:AJ1448)=3,ISNUMBER(AJ1448))),0,1)+IF(OR(COUNTA(AK1448:AM1448)=0,AND(COUNTA(AK1448:AM1448)=3,ISNUMBER(AM1448))),0,1)+IF(OR(COUNTA(AN1448:AP1448)=0,AND(COUNTA(AN1448:AP1448)=3,ISNUMBER(AP1448))),0,1)+IF(OR(COUNTA(AQ1448:AS1448)=0,AND(COUNTA(AQ1448:AS1448)=3,ISNUMBER(AS1448))),0,1)+IF(OR(COUNTA(AT1448:AV1448)=0,AND(COUNTA(AT1448:AV1448)=3,ISNUMBER(AV1448))),0,1)+IF(OR(COUNTA(AW1448:AY1448)=0,AND(COUNTA(AW1448:AY1448)=3,ISNUMBER(AY1448))),0,1)+IF(OR(COUNTA(AZ1448:BB1448)=0,AND(COUNTA(AZ1448:BB1448)=3,ISNUMBER(BB1448))),0,1))&gt;0,"; An invoice is incomplete (needs No, Date and a number in Ex GST)","")&amp;IF((IF(T1448="",0,IFERROR(--(EOMONTH(T1448,0)&lt;&gt;S$5),1))+IF(W1448="",0,IFERROR(--(EOMONTH(W1448,0)&lt;&gt;V$5),1))+IF(Z1448="",0,IFERROR(--(EOMONTH(Z1448,0)&lt;&gt;Y$5),1))+IF(AC1448="",0,IFERROR(--(EOMONTH(AC1448,0)&lt;&gt;AB$5),1))+IF(AF1448="",0,IFERROR(--(EOMONTH(AF1448,0)&lt;&gt;AE$5),1))+IF(AI1448="",0,IFERROR(--(EOMONTH(AI1448,0)&lt;&gt;AH$5),1))+IF(AL1448="",0,IFERROR(--(EOMONTH(AL1448,0)&lt;&gt;AK$5),1))+IF(AO1448="",0,IFERROR(--(EOMONTH(AO1448,0)&lt;&gt;AN$5),1))+IF(AR1448="",0,IFERROR(--(EOMONTH(AR1448,0)&lt;&gt;AQ$5),1))+IF(AU1448="",0,IFERROR(--(EOMONTH(AU1448,0)&lt;&gt;AT$5),1))+IF(AX1448="",0,IFERROR(--(EOMONTH(AX1448,0)&lt;&gt;AW$5),1))+IF(BA1448="",0,IFERROR(--(EOMONTH(BA1448,0)&lt;&gt;AZ$5),1)))&gt;0,"; An invoice date is not in the month it is typed under",""),3,500))</f>
        <v/>
      </c>
      <c r="S1448" s="12" t="n"/>
      <c r="T1448" s="13" t="n"/>
      <c r="U1448" s="14" t="n"/>
      <c r="V1448" s="12" t="n"/>
      <c r="W1448" s="13" t="n"/>
      <c r="X1448" s="14" t="n"/>
      <c r="Y1448" s="12" t="n"/>
      <c r="Z1448" s="13" t="n"/>
      <c r="AA1448" s="14" t="n"/>
      <c r="AB1448" s="12" t="n"/>
      <c r="AC1448" s="13" t="n"/>
      <c r="AD1448" s="14" t="n"/>
      <c r="AE1448" s="12" t="n"/>
      <c r="AF1448" s="13" t="n"/>
      <c r="AG1448" s="14" t="n"/>
      <c r="AH1448" s="12" t="n"/>
      <c r="AI1448" s="13" t="n"/>
      <c r="AJ1448" s="14" t="n"/>
      <c r="AK1448" s="12" t="n"/>
      <c r="AL1448" s="13" t="n"/>
      <c r="AM1448" s="14" t="n"/>
      <c r="AN1448" s="12" t="n"/>
      <c r="AO1448" s="13" t="n"/>
      <c r="AP1448" s="14" t="n"/>
      <c r="AQ1448" s="12" t="n"/>
      <c r="AR1448" s="13" t="n"/>
      <c r="AS1448" s="14" t="n"/>
      <c r="AT1448" s="12" t="n"/>
      <c r="AU1448" s="13" t="n"/>
      <c r="AV1448" s="14" t="n"/>
      <c r="AW1448" s="12" t="n"/>
      <c r="AX1448" s="13" t="n"/>
      <c r="AY1448" s="14" t="n"/>
      <c r="AZ1448" s="12" t="n"/>
      <c r="BA1448" s="13" t="n"/>
      <c r="BB1448" s="14" t="n"/>
      <c r="BC1448" s="11">
        <f>IF(O1448="","",IF(J1448="GST 10%",ROUND(O1448*set_GSTRate,2),0))</f>
        <v/>
      </c>
      <c r="BD1448" s="11">
        <f>IF(O1448="","",O1448+BC1448)</f>
        <v/>
      </c>
      <c r="BE1448" s="15">
        <f>IF(O1448="","",COUNTA(S1448,V1448,Y1448,AB1448,AE1448,AH1448,AK1448,AN1448,AQ1448,AT1448,AW1448,AZ1448))</f>
        <v/>
      </c>
      <c r="BF1448" s="16">
        <f>IF(COUNT(T1448,W1448,Z1448,AC1448,AF1448,AI1448,AL1448,AO1448,AR1448,AU1448,AX1448,BA1448)=0,"",MAX(T1448,W1448,Z1448,AC1448,AF1448,AI1448,AL1448,AO1448,AR1448,AU1448,AX1448,BA1448))</f>
        <v/>
      </c>
      <c r="BG1448" s="10">
        <f>MID(IF(S1448="","",", "&amp;S1448)&amp;IF(V1448="","",", "&amp;V1448)&amp;IF(Y1448="","",", "&amp;Y1448)&amp;IF(AB1448="","",", "&amp;AB1448)&amp;IF(AE1448="","",", "&amp;AE1448)&amp;IF(AH1448="","",", "&amp;AH1448)&amp;IF(AK1448="","",", "&amp;AK1448)&amp;IF(AN1448="","",", "&amp;AN1448)&amp;IF(AQ1448="","",", "&amp;AQ1448)&amp;IF(AT1448="","",", "&amp;AT1448)&amp;IF(AW1448="","",", "&amp;AW1448)&amp;IF(AZ1448="","",", "&amp;AZ1448),3,500)</f>
        <v/>
      </c>
      <c r="BH1448" s="12" t="n"/>
      <c r="BI1448" s="15">
        <f>IFERROR(MATCH($A1448,IF($B1448="Onsite",tbl_Onsite[Row ID],IF($B1448="Production",tbl_Production[Row ID],tbl_Consulting[Row ID])),0),"")</f>
        <v/>
      </c>
    </row>
    <row r="1449">
      <c r="A1449" s="10" t="inlineStr">
        <is>
          <t>CON-0443</t>
        </is>
      </c>
      <c r="B1449" s="10" t="inlineStr">
        <is>
          <t>Consulting</t>
        </is>
      </c>
      <c r="C1449" s="10">
        <f>IF($BI1449="","",IF($B1449="Onsite",INDEX(tbl_Onsite[Job Number],$BI1449),IF($B1449="Production",INDEX(tbl_Production[Job Number],$BI1449),INDEX(tbl_Consulting[Job Number],$BI1449)))&amp;"")</f>
        <v/>
      </c>
      <c r="D1449" s="10">
        <f>IF($BI1449="","",IF($B1449="Onsite",INDEX(tbl_Onsite[Client],$BI1449),IF($B1449="Production",INDEX(tbl_Production[Client],$BI1449),INDEX(tbl_Consulting[Client],$BI1449)))&amp;"")</f>
        <v/>
      </c>
      <c r="E1449" s="10">
        <f>IF($C1449="","",IF(COUNTIF(lst_Jobs,$C1449)&gt;0,"OK","CHECK"))</f>
        <v/>
      </c>
      <c r="F1449" s="10">
        <f>IF($C1449="","",IFERROR(INDEX(lst_JobName,MATCH($C1449,lst_Jobs,0)),""))</f>
        <v/>
      </c>
      <c r="G1449" s="10">
        <f>IF($BI1449="","",IF($B1449="Onsite",INDEX(tbl_Onsite[Job Description],$BI1449),IF($B1449="Production",INDEX(tbl_Production[Job Description],$BI1449),INDEX(tbl_Consulting[Job Description],$BI1449)))&amp;"")</f>
        <v/>
      </c>
      <c r="H1449" s="10">
        <f>IF($BI1449="","",IF($B1449="Onsite",INDEX(tbl_Onsite[Cost Centre],$BI1449),IF($B1449="Production",INDEX(tbl_Production[Cost Centre],$BI1449),INDEX(tbl_Consulting[Cost Centre],$BI1449)))&amp;"")</f>
        <v/>
      </c>
      <c r="I1449" s="10">
        <f>IF($BI1449="","",IF($B1449="Onsite",INDEX(tbl_Onsite[Invoice Type],$BI1449),IF($B1449="Production",INDEX(tbl_Production[Invoice Type],$BI1449),INDEX(tbl_Consulting[Invoice Type],$BI1449)))&amp;"")</f>
        <v/>
      </c>
      <c r="J1449" s="10">
        <f>IF($BI1449="","",IF($B1449="Onsite",INDEX(tbl_Onsite[Tax Code],$BI1449),IF($B1449="Production",INDEX(tbl_Production[Tax Code],$BI1449),INDEX(tbl_Consulting[Tax Code],$BI1449)))&amp;"")</f>
        <v/>
      </c>
      <c r="K1449" s="10">
        <f>IF(H1449="","",IFERROR(INDEX(lst_CCtoGL,MATCH(H1449,lst_CCforGL,0)),""))</f>
        <v/>
      </c>
      <c r="L1449" s="10">
        <f>IF($BI1449="","",IF($B1449="Onsite",INDEX(tbl_Onsite[PO / Reference],$BI1449),IF($B1449="Production",INDEX(tbl_Production[Current RMS No],$BI1449),INDEX(tbl_Consulting[Qwilr Quote],$BI1449)))&amp;"")</f>
        <v/>
      </c>
      <c r="M1449" s="10">
        <f>IF($BI1449="","",IF($B1449="Onsite",INDEX(tbl_Onsite[Notes],$BI1449),IF($B1449="Production",INDEX(tbl_Production[Notes],$BI1449),INDEX(tbl_Consulting[Notes],$BI1449)))&amp;"")</f>
        <v/>
      </c>
      <c r="N1449" s="11">
        <f>IF($BI1449="","",IF(IF($B1449="Onsite",INDEX(tbl_Onsite[Expected Revenue Ex GST],$BI1449),IF($B1449="Production",INDEX(tbl_Production[Expected Revenue Ex GST],$BI1449),INDEX(tbl_Consulting[Expected Revenue Ex GST],$BI1449)))="","",IF($B1449="Onsite",INDEX(tbl_Onsite[Expected Revenue Ex GST],$BI1449),IF($B1449="Production",INDEX(tbl_Production[Expected Revenue Ex GST],$BI1449),INDEX(tbl_Consulting[Expected Revenue Ex GST],$BI1449)))))</f>
        <v/>
      </c>
      <c r="O1449" s="11">
        <f>IF(AND($C1449="",NOT(COUNTA($S1449:$BB1449)&gt;0)),"",SUM(U1449,X1449,AA1449,AD1449,AG1449,AJ1449,AM1449,AP1449,AS1449,AV1449,AY1449,BB1449))</f>
        <v/>
      </c>
      <c r="P1449" s="11">
        <f>IF(O1449="","",N(N1449)-O1449)</f>
        <v/>
      </c>
      <c r="Q1449" s="10">
        <f>IF(O1449="","",IF($C1449="","Invoice on empty job row",IF(N1449="",IF(ROUND(O1449,2)=0,"No dept value","Invoiced - no dept value"),IF(ROUND(O1449,2)=0,"Not invoiced - to invoice",IF(ROUND(P1449,2)=0,"Agrees",IF(P1449&gt;0,"Dept higher - to invoice","Xero higher - check dept"))))))</f>
        <v/>
      </c>
      <c r="R1449" s="10">
        <f>IF(AND($C1449="",NOT(COUNTA($S1449:$BB1449)&gt;0),$BI1449&lt;&gt;""),"",MID(IF($BI1449="","; Row ID not found on the department sheet - a row was deleted","")&amp;IF(AND($C1449="",COUNTA($S1449:$BB1449)&gt;0),"; Invoice entered but the department row has no job number","")&amp;IF(E1449="CHECK","; Job number not in the Xero job list","")&amp;IF(AND($C1449&lt;&gt;"",COUNTIF($C$7:$C$1506,$C1449)&gt;1),"; Job number on more than one row","")&amp;IF(AND($C1449&lt;&gt;"",H1449=""),"; Dept has not set a cost centre","")&amp;IF(AND($C1449&lt;&gt;"",J1449=""),"; Dept has not set a tax code","")&amp;IF(AND($C1449&lt;&gt;"",N1449=""),"; Dept has not entered an expected value","")&amp;IF((IF(OR(COUNTA(S1449:U1449)=0,AND(COUNTA(S1449:U1449)=3,ISNUMBER(U1449))),0,1)+IF(OR(COUNTA(V1449:X1449)=0,AND(COUNTA(V1449:X1449)=3,ISNUMBER(X1449))),0,1)+IF(OR(COUNTA(Y1449:AA1449)=0,AND(COUNTA(Y1449:AA1449)=3,ISNUMBER(AA1449))),0,1)+IF(OR(COUNTA(AB1449:AD1449)=0,AND(COUNTA(AB1449:AD1449)=3,ISNUMBER(AD1449))),0,1)+IF(OR(COUNTA(AE1449:AG1449)=0,AND(COUNTA(AE1449:AG1449)=3,ISNUMBER(AG1449))),0,1)+IF(OR(COUNTA(AH1449:AJ1449)=0,AND(COUNTA(AH1449:AJ1449)=3,ISNUMBER(AJ1449))),0,1)+IF(OR(COUNTA(AK1449:AM1449)=0,AND(COUNTA(AK1449:AM1449)=3,ISNUMBER(AM1449))),0,1)+IF(OR(COUNTA(AN1449:AP1449)=0,AND(COUNTA(AN1449:AP1449)=3,ISNUMBER(AP1449))),0,1)+IF(OR(COUNTA(AQ1449:AS1449)=0,AND(COUNTA(AQ1449:AS1449)=3,ISNUMBER(AS1449))),0,1)+IF(OR(COUNTA(AT1449:AV1449)=0,AND(COUNTA(AT1449:AV1449)=3,ISNUMBER(AV1449))),0,1)+IF(OR(COUNTA(AW1449:AY1449)=0,AND(COUNTA(AW1449:AY1449)=3,ISNUMBER(AY1449))),0,1)+IF(OR(COUNTA(AZ1449:BB1449)=0,AND(COUNTA(AZ1449:BB1449)=3,ISNUMBER(BB1449))),0,1))&gt;0,"; An invoice is incomplete (needs No, Date and a number in Ex GST)","")&amp;IF((IF(T1449="",0,IFERROR(--(EOMONTH(T1449,0)&lt;&gt;S$5),1))+IF(W1449="",0,IFERROR(--(EOMONTH(W1449,0)&lt;&gt;V$5),1))+IF(Z1449="",0,IFERROR(--(EOMONTH(Z1449,0)&lt;&gt;Y$5),1))+IF(AC1449="",0,IFERROR(--(EOMONTH(AC1449,0)&lt;&gt;AB$5),1))+IF(AF1449="",0,IFERROR(--(EOMONTH(AF1449,0)&lt;&gt;AE$5),1))+IF(AI1449="",0,IFERROR(--(EOMONTH(AI1449,0)&lt;&gt;AH$5),1))+IF(AL1449="",0,IFERROR(--(EOMONTH(AL1449,0)&lt;&gt;AK$5),1))+IF(AO1449="",0,IFERROR(--(EOMONTH(AO1449,0)&lt;&gt;AN$5),1))+IF(AR1449="",0,IFERROR(--(EOMONTH(AR1449,0)&lt;&gt;AQ$5),1))+IF(AU1449="",0,IFERROR(--(EOMONTH(AU1449,0)&lt;&gt;AT$5),1))+IF(AX1449="",0,IFERROR(--(EOMONTH(AX1449,0)&lt;&gt;AW$5),1))+IF(BA1449="",0,IFERROR(--(EOMONTH(BA1449,0)&lt;&gt;AZ$5),1)))&gt;0,"; An invoice date is not in the month it is typed under",""),3,500))</f>
        <v/>
      </c>
      <c r="S1449" s="12" t="n"/>
      <c r="T1449" s="13" t="n"/>
      <c r="U1449" s="14" t="n"/>
      <c r="V1449" s="12" t="n"/>
      <c r="W1449" s="13" t="n"/>
      <c r="X1449" s="14" t="n"/>
      <c r="Y1449" s="12" t="n"/>
      <c r="Z1449" s="13" t="n"/>
      <c r="AA1449" s="14" t="n"/>
      <c r="AB1449" s="12" t="n"/>
      <c r="AC1449" s="13" t="n"/>
      <c r="AD1449" s="14" t="n"/>
      <c r="AE1449" s="12" t="n"/>
      <c r="AF1449" s="13" t="n"/>
      <c r="AG1449" s="14" t="n"/>
      <c r="AH1449" s="12" t="n"/>
      <c r="AI1449" s="13" t="n"/>
      <c r="AJ1449" s="14" t="n"/>
      <c r="AK1449" s="12" t="n"/>
      <c r="AL1449" s="13" t="n"/>
      <c r="AM1449" s="14" t="n"/>
      <c r="AN1449" s="12" t="n"/>
      <c r="AO1449" s="13" t="n"/>
      <c r="AP1449" s="14" t="n"/>
      <c r="AQ1449" s="12" t="n"/>
      <c r="AR1449" s="13" t="n"/>
      <c r="AS1449" s="14" t="n"/>
      <c r="AT1449" s="12" t="n"/>
      <c r="AU1449" s="13" t="n"/>
      <c r="AV1449" s="14" t="n"/>
      <c r="AW1449" s="12" t="n"/>
      <c r="AX1449" s="13" t="n"/>
      <c r="AY1449" s="14" t="n"/>
      <c r="AZ1449" s="12" t="n"/>
      <c r="BA1449" s="13" t="n"/>
      <c r="BB1449" s="14" t="n"/>
      <c r="BC1449" s="11">
        <f>IF(O1449="","",IF(J1449="GST 10%",ROUND(O1449*set_GSTRate,2),0))</f>
        <v/>
      </c>
      <c r="BD1449" s="11">
        <f>IF(O1449="","",O1449+BC1449)</f>
        <v/>
      </c>
      <c r="BE1449" s="15">
        <f>IF(O1449="","",COUNTA(S1449,V1449,Y1449,AB1449,AE1449,AH1449,AK1449,AN1449,AQ1449,AT1449,AW1449,AZ1449))</f>
        <v/>
      </c>
      <c r="BF1449" s="16">
        <f>IF(COUNT(T1449,W1449,Z1449,AC1449,AF1449,AI1449,AL1449,AO1449,AR1449,AU1449,AX1449,BA1449)=0,"",MAX(T1449,W1449,Z1449,AC1449,AF1449,AI1449,AL1449,AO1449,AR1449,AU1449,AX1449,BA1449))</f>
        <v/>
      </c>
      <c r="BG1449" s="10">
        <f>MID(IF(S1449="","",", "&amp;S1449)&amp;IF(V1449="","",", "&amp;V1449)&amp;IF(Y1449="","",", "&amp;Y1449)&amp;IF(AB1449="","",", "&amp;AB1449)&amp;IF(AE1449="","",", "&amp;AE1449)&amp;IF(AH1449="","",", "&amp;AH1449)&amp;IF(AK1449="","",", "&amp;AK1449)&amp;IF(AN1449="","",", "&amp;AN1449)&amp;IF(AQ1449="","",", "&amp;AQ1449)&amp;IF(AT1449="","",", "&amp;AT1449)&amp;IF(AW1449="","",", "&amp;AW1449)&amp;IF(AZ1449="","",", "&amp;AZ1449),3,500)</f>
        <v/>
      </c>
      <c r="BH1449" s="12" t="n"/>
      <c r="BI1449" s="15">
        <f>IFERROR(MATCH($A1449,IF($B1449="Onsite",tbl_Onsite[Row ID],IF($B1449="Production",tbl_Production[Row ID],tbl_Consulting[Row ID])),0),"")</f>
        <v/>
      </c>
    </row>
    <row r="1450">
      <c r="A1450" s="10" t="inlineStr">
        <is>
          <t>CON-0444</t>
        </is>
      </c>
      <c r="B1450" s="10" t="inlineStr">
        <is>
          <t>Consulting</t>
        </is>
      </c>
      <c r="C1450" s="10">
        <f>IF($BI1450="","",IF($B1450="Onsite",INDEX(tbl_Onsite[Job Number],$BI1450),IF($B1450="Production",INDEX(tbl_Production[Job Number],$BI1450),INDEX(tbl_Consulting[Job Number],$BI1450)))&amp;"")</f>
        <v/>
      </c>
      <c r="D1450" s="10">
        <f>IF($BI1450="","",IF($B1450="Onsite",INDEX(tbl_Onsite[Client],$BI1450),IF($B1450="Production",INDEX(tbl_Production[Client],$BI1450),INDEX(tbl_Consulting[Client],$BI1450)))&amp;"")</f>
        <v/>
      </c>
      <c r="E1450" s="10">
        <f>IF($C1450="","",IF(COUNTIF(lst_Jobs,$C1450)&gt;0,"OK","CHECK"))</f>
        <v/>
      </c>
      <c r="F1450" s="10">
        <f>IF($C1450="","",IFERROR(INDEX(lst_JobName,MATCH($C1450,lst_Jobs,0)),""))</f>
        <v/>
      </c>
      <c r="G1450" s="10">
        <f>IF($BI1450="","",IF($B1450="Onsite",INDEX(tbl_Onsite[Job Description],$BI1450),IF($B1450="Production",INDEX(tbl_Production[Job Description],$BI1450),INDEX(tbl_Consulting[Job Description],$BI1450)))&amp;"")</f>
        <v/>
      </c>
      <c r="H1450" s="10">
        <f>IF($BI1450="","",IF($B1450="Onsite",INDEX(tbl_Onsite[Cost Centre],$BI1450),IF($B1450="Production",INDEX(tbl_Production[Cost Centre],$BI1450),INDEX(tbl_Consulting[Cost Centre],$BI1450)))&amp;"")</f>
        <v/>
      </c>
      <c r="I1450" s="10">
        <f>IF($BI1450="","",IF($B1450="Onsite",INDEX(tbl_Onsite[Invoice Type],$BI1450),IF($B1450="Production",INDEX(tbl_Production[Invoice Type],$BI1450),INDEX(tbl_Consulting[Invoice Type],$BI1450)))&amp;"")</f>
        <v/>
      </c>
      <c r="J1450" s="10">
        <f>IF($BI1450="","",IF($B1450="Onsite",INDEX(tbl_Onsite[Tax Code],$BI1450),IF($B1450="Production",INDEX(tbl_Production[Tax Code],$BI1450),INDEX(tbl_Consulting[Tax Code],$BI1450)))&amp;"")</f>
        <v/>
      </c>
      <c r="K1450" s="10">
        <f>IF(H1450="","",IFERROR(INDEX(lst_CCtoGL,MATCH(H1450,lst_CCforGL,0)),""))</f>
        <v/>
      </c>
      <c r="L1450" s="10">
        <f>IF($BI1450="","",IF($B1450="Onsite",INDEX(tbl_Onsite[PO / Reference],$BI1450),IF($B1450="Production",INDEX(tbl_Production[Current RMS No],$BI1450),INDEX(tbl_Consulting[Qwilr Quote],$BI1450)))&amp;"")</f>
        <v/>
      </c>
      <c r="M1450" s="10">
        <f>IF($BI1450="","",IF($B1450="Onsite",INDEX(tbl_Onsite[Notes],$BI1450),IF($B1450="Production",INDEX(tbl_Production[Notes],$BI1450),INDEX(tbl_Consulting[Notes],$BI1450)))&amp;"")</f>
        <v/>
      </c>
      <c r="N1450" s="11">
        <f>IF($BI1450="","",IF(IF($B1450="Onsite",INDEX(tbl_Onsite[Expected Revenue Ex GST],$BI1450),IF($B1450="Production",INDEX(tbl_Production[Expected Revenue Ex GST],$BI1450),INDEX(tbl_Consulting[Expected Revenue Ex GST],$BI1450)))="","",IF($B1450="Onsite",INDEX(tbl_Onsite[Expected Revenue Ex GST],$BI1450),IF($B1450="Production",INDEX(tbl_Production[Expected Revenue Ex GST],$BI1450),INDEX(tbl_Consulting[Expected Revenue Ex GST],$BI1450)))))</f>
        <v/>
      </c>
      <c r="O1450" s="11">
        <f>IF(AND($C1450="",NOT(COUNTA($S1450:$BB1450)&gt;0)),"",SUM(U1450,X1450,AA1450,AD1450,AG1450,AJ1450,AM1450,AP1450,AS1450,AV1450,AY1450,BB1450))</f>
        <v/>
      </c>
      <c r="P1450" s="11">
        <f>IF(O1450="","",N(N1450)-O1450)</f>
        <v/>
      </c>
      <c r="Q1450" s="10">
        <f>IF(O1450="","",IF($C1450="","Invoice on empty job row",IF(N1450="",IF(ROUND(O1450,2)=0,"No dept value","Invoiced - no dept value"),IF(ROUND(O1450,2)=0,"Not invoiced - to invoice",IF(ROUND(P1450,2)=0,"Agrees",IF(P1450&gt;0,"Dept higher - to invoice","Xero higher - check dept"))))))</f>
        <v/>
      </c>
      <c r="R1450" s="10">
        <f>IF(AND($C1450="",NOT(COUNTA($S1450:$BB1450)&gt;0),$BI1450&lt;&gt;""),"",MID(IF($BI1450="","; Row ID not found on the department sheet - a row was deleted","")&amp;IF(AND($C1450="",COUNTA($S1450:$BB1450)&gt;0),"; Invoice entered but the department row has no job number","")&amp;IF(E1450="CHECK","; Job number not in the Xero job list","")&amp;IF(AND($C1450&lt;&gt;"",COUNTIF($C$7:$C$1506,$C1450)&gt;1),"; Job number on more than one row","")&amp;IF(AND($C1450&lt;&gt;"",H1450=""),"; Dept has not set a cost centre","")&amp;IF(AND($C1450&lt;&gt;"",J1450=""),"; Dept has not set a tax code","")&amp;IF(AND($C1450&lt;&gt;"",N1450=""),"; Dept has not entered an expected value","")&amp;IF((IF(OR(COUNTA(S1450:U1450)=0,AND(COUNTA(S1450:U1450)=3,ISNUMBER(U1450))),0,1)+IF(OR(COUNTA(V1450:X1450)=0,AND(COUNTA(V1450:X1450)=3,ISNUMBER(X1450))),0,1)+IF(OR(COUNTA(Y1450:AA1450)=0,AND(COUNTA(Y1450:AA1450)=3,ISNUMBER(AA1450))),0,1)+IF(OR(COUNTA(AB1450:AD1450)=0,AND(COUNTA(AB1450:AD1450)=3,ISNUMBER(AD1450))),0,1)+IF(OR(COUNTA(AE1450:AG1450)=0,AND(COUNTA(AE1450:AG1450)=3,ISNUMBER(AG1450))),0,1)+IF(OR(COUNTA(AH1450:AJ1450)=0,AND(COUNTA(AH1450:AJ1450)=3,ISNUMBER(AJ1450))),0,1)+IF(OR(COUNTA(AK1450:AM1450)=0,AND(COUNTA(AK1450:AM1450)=3,ISNUMBER(AM1450))),0,1)+IF(OR(COUNTA(AN1450:AP1450)=0,AND(COUNTA(AN1450:AP1450)=3,ISNUMBER(AP1450))),0,1)+IF(OR(COUNTA(AQ1450:AS1450)=0,AND(COUNTA(AQ1450:AS1450)=3,ISNUMBER(AS1450))),0,1)+IF(OR(COUNTA(AT1450:AV1450)=0,AND(COUNTA(AT1450:AV1450)=3,ISNUMBER(AV1450))),0,1)+IF(OR(COUNTA(AW1450:AY1450)=0,AND(COUNTA(AW1450:AY1450)=3,ISNUMBER(AY1450))),0,1)+IF(OR(COUNTA(AZ1450:BB1450)=0,AND(COUNTA(AZ1450:BB1450)=3,ISNUMBER(BB1450))),0,1))&gt;0,"; An invoice is incomplete (needs No, Date and a number in Ex GST)","")&amp;IF((IF(T1450="",0,IFERROR(--(EOMONTH(T1450,0)&lt;&gt;S$5),1))+IF(W1450="",0,IFERROR(--(EOMONTH(W1450,0)&lt;&gt;V$5),1))+IF(Z1450="",0,IFERROR(--(EOMONTH(Z1450,0)&lt;&gt;Y$5),1))+IF(AC1450="",0,IFERROR(--(EOMONTH(AC1450,0)&lt;&gt;AB$5),1))+IF(AF1450="",0,IFERROR(--(EOMONTH(AF1450,0)&lt;&gt;AE$5),1))+IF(AI1450="",0,IFERROR(--(EOMONTH(AI1450,0)&lt;&gt;AH$5),1))+IF(AL1450="",0,IFERROR(--(EOMONTH(AL1450,0)&lt;&gt;AK$5),1))+IF(AO1450="",0,IFERROR(--(EOMONTH(AO1450,0)&lt;&gt;AN$5),1))+IF(AR1450="",0,IFERROR(--(EOMONTH(AR1450,0)&lt;&gt;AQ$5),1))+IF(AU1450="",0,IFERROR(--(EOMONTH(AU1450,0)&lt;&gt;AT$5),1))+IF(AX1450="",0,IFERROR(--(EOMONTH(AX1450,0)&lt;&gt;AW$5),1))+IF(BA1450="",0,IFERROR(--(EOMONTH(BA1450,0)&lt;&gt;AZ$5),1)))&gt;0,"; An invoice date is not in the month it is typed under",""),3,500))</f>
        <v/>
      </c>
      <c r="S1450" s="12" t="n"/>
      <c r="T1450" s="13" t="n"/>
      <c r="U1450" s="14" t="n"/>
      <c r="V1450" s="12" t="n"/>
      <c r="W1450" s="13" t="n"/>
      <c r="X1450" s="14" t="n"/>
      <c r="Y1450" s="12" t="n"/>
      <c r="Z1450" s="13" t="n"/>
      <c r="AA1450" s="14" t="n"/>
      <c r="AB1450" s="12" t="n"/>
      <c r="AC1450" s="13" t="n"/>
      <c r="AD1450" s="14" t="n"/>
      <c r="AE1450" s="12" t="n"/>
      <c r="AF1450" s="13" t="n"/>
      <c r="AG1450" s="14" t="n"/>
      <c r="AH1450" s="12" t="n"/>
      <c r="AI1450" s="13" t="n"/>
      <c r="AJ1450" s="14" t="n"/>
      <c r="AK1450" s="12" t="n"/>
      <c r="AL1450" s="13" t="n"/>
      <c r="AM1450" s="14" t="n"/>
      <c r="AN1450" s="12" t="n"/>
      <c r="AO1450" s="13" t="n"/>
      <c r="AP1450" s="14" t="n"/>
      <c r="AQ1450" s="12" t="n"/>
      <c r="AR1450" s="13" t="n"/>
      <c r="AS1450" s="14" t="n"/>
      <c r="AT1450" s="12" t="n"/>
      <c r="AU1450" s="13" t="n"/>
      <c r="AV1450" s="14" t="n"/>
      <c r="AW1450" s="12" t="n"/>
      <c r="AX1450" s="13" t="n"/>
      <c r="AY1450" s="14" t="n"/>
      <c r="AZ1450" s="12" t="n"/>
      <c r="BA1450" s="13" t="n"/>
      <c r="BB1450" s="14" t="n"/>
      <c r="BC1450" s="11">
        <f>IF(O1450="","",IF(J1450="GST 10%",ROUND(O1450*set_GSTRate,2),0))</f>
        <v/>
      </c>
      <c r="BD1450" s="11">
        <f>IF(O1450="","",O1450+BC1450)</f>
        <v/>
      </c>
      <c r="BE1450" s="15">
        <f>IF(O1450="","",COUNTA(S1450,V1450,Y1450,AB1450,AE1450,AH1450,AK1450,AN1450,AQ1450,AT1450,AW1450,AZ1450))</f>
        <v/>
      </c>
      <c r="BF1450" s="16">
        <f>IF(COUNT(T1450,W1450,Z1450,AC1450,AF1450,AI1450,AL1450,AO1450,AR1450,AU1450,AX1450,BA1450)=0,"",MAX(T1450,W1450,Z1450,AC1450,AF1450,AI1450,AL1450,AO1450,AR1450,AU1450,AX1450,BA1450))</f>
        <v/>
      </c>
      <c r="BG1450" s="10">
        <f>MID(IF(S1450="","",", "&amp;S1450)&amp;IF(V1450="","",", "&amp;V1450)&amp;IF(Y1450="","",", "&amp;Y1450)&amp;IF(AB1450="","",", "&amp;AB1450)&amp;IF(AE1450="","",", "&amp;AE1450)&amp;IF(AH1450="","",", "&amp;AH1450)&amp;IF(AK1450="","",", "&amp;AK1450)&amp;IF(AN1450="","",", "&amp;AN1450)&amp;IF(AQ1450="","",", "&amp;AQ1450)&amp;IF(AT1450="","",", "&amp;AT1450)&amp;IF(AW1450="","",", "&amp;AW1450)&amp;IF(AZ1450="","",", "&amp;AZ1450),3,500)</f>
        <v/>
      </c>
      <c r="BH1450" s="12" t="n"/>
      <c r="BI1450" s="15">
        <f>IFERROR(MATCH($A1450,IF($B1450="Onsite",tbl_Onsite[Row ID],IF($B1450="Production",tbl_Production[Row ID],tbl_Consulting[Row ID])),0),"")</f>
        <v/>
      </c>
    </row>
    <row r="1451">
      <c r="A1451" s="10" t="inlineStr">
        <is>
          <t>CON-0445</t>
        </is>
      </c>
      <c r="B1451" s="10" t="inlineStr">
        <is>
          <t>Consulting</t>
        </is>
      </c>
      <c r="C1451" s="10">
        <f>IF($BI1451="","",IF($B1451="Onsite",INDEX(tbl_Onsite[Job Number],$BI1451),IF($B1451="Production",INDEX(tbl_Production[Job Number],$BI1451),INDEX(tbl_Consulting[Job Number],$BI1451)))&amp;"")</f>
        <v/>
      </c>
      <c r="D1451" s="10">
        <f>IF($BI1451="","",IF($B1451="Onsite",INDEX(tbl_Onsite[Client],$BI1451),IF($B1451="Production",INDEX(tbl_Production[Client],$BI1451),INDEX(tbl_Consulting[Client],$BI1451)))&amp;"")</f>
        <v/>
      </c>
      <c r="E1451" s="10">
        <f>IF($C1451="","",IF(COUNTIF(lst_Jobs,$C1451)&gt;0,"OK","CHECK"))</f>
        <v/>
      </c>
      <c r="F1451" s="10">
        <f>IF($C1451="","",IFERROR(INDEX(lst_JobName,MATCH($C1451,lst_Jobs,0)),""))</f>
        <v/>
      </c>
      <c r="G1451" s="10">
        <f>IF($BI1451="","",IF($B1451="Onsite",INDEX(tbl_Onsite[Job Description],$BI1451),IF($B1451="Production",INDEX(tbl_Production[Job Description],$BI1451),INDEX(tbl_Consulting[Job Description],$BI1451)))&amp;"")</f>
        <v/>
      </c>
      <c r="H1451" s="10">
        <f>IF($BI1451="","",IF($B1451="Onsite",INDEX(tbl_Onsite[Cost Centre],$BI1451),IF($B1451="Production",INDEX(tbl_Production[Cost Centre],$BI1451),INDEX(tbl_Consulting[Cost Centre],$BI1451)))&amp;"")</f>
        <v/>
      </c>
      <c r="I1451" s="10">
        <f>IF($BI1451="","",IF($B1451="Onsite",INDEX(tbl_Onsite[Invoice Type],$BI1451),IF($B1451="Production",INDEX(tbl_Production[Invoice Type],$BI1451),INDEX(tbl_Consulting[Invoice Type],$BI1451)))&amp;"")</f>
        <v/>
      </c>
      <c r="J1451" s="10">
        <f>IF($BI1451="","",IF($B1451="Onsite",INDEX(tbl_Onsite[Tax Code],$BI1451),IF($B1451="Production",INDEX(tbl_Production[Tax Code],$BI1451),INDEX(tbl_Consulting[Tax Code],$BI1451)))&amp;"")</f>
        <v/>
      </c>
      <c r="K1451" s="10">
        <f>IF(H1451="","",IFERROR(INDEX(lst_CCtoGL,MATCH(H1451,lst_CCforGL,0)),""))</f>
        <v/>
      </c>
      <c r="L1451" s="10">
        <f>IF($BI1451="","",IF($B1451="Onsite",INDEX(tbl_Onsite[PO / Reference],$BI1451),IF($B1451="Production",INDEX(tbl_Production[Current RMS No],$BI1451),INDEX(tbl_Consulting[Qwilr Quote],$BI1451)))&amp;"")</f>
        <v/>
      </c>
      <c r="M1451" s="10">
        <f>IF($BI1451="","",IF($B1451="Onsite",INDEX(tbl_Onsite[Notes],$BI1451),IF($B1451="Production",INDEX(tbl_Production[Notes],$BI1451),INDEX(tbl_Consulting[Notes],$BI1451)))&amp;"")</f>
        <v/>
      </c>
      <c r="N1451" s="11">
        <f>IF($BI1451="","",IF(IF($B1451="Onsite",INDEX(tbl_Onsite[Expected Revenue Ex GST],$BI1451),IF($B1451="Production",INDEX(tbl_Production[Expected Revenue Ex GST],$BI1451),INDEX(tbl_Consulting[Expected Revenue Ex GST],$BI1451)))="","",IF($B1451="Onsite",INDEX(tbl_Onsite[Expected Revenue Ex GST],$BI1451),IF($B1451="Production",INDEX(tbl_Production[Expected Revenue Ex GST],$BI1451),INDEX(tbl_Consulting[Expected Revenue Ex GST],$BI1451)))))</f>
        <v/>
      </c>
      <c r="O1451" s="11">
        <f>IF(AND($C1451="",NOT(COUNTA($S1451:$BB1451)&gt;0)),"",SUM(U1451,X1451,AA1451,AD1451,AG1451,AJ1451,AM1451,AP1451,AS1451,AV1451,AY1451,BB1451))</f>
        <v/>
      </c>
      <c r="P1451" s="11">
        <f>IF(O1451="","",N(N1451)-O1451)</f>
        <v/>
      </c>
      <c r="Q1451" s="10">
        <f>IF(O1451="","",IF($C1451="","Invoice on empty job row",IF(N1451="",IF(ROUND(O1451,2)=0,"No dept value","Invoiced - no dept value"),IF(ROUND(O1451,2)=0,"Not invoiced - to invoice",IF(ROUND(P1451,2)=0,"Agrees",IF(P1451&gt;0,"Dept higher - to invoice","Xero higher - check dept"))))))</f>
        <v/>
      </c>
      <c r="R1451" s="10">
        <f>IF(AND($C1451="",NOT(COUNTA($S1451:$BB1451)&gt;0),$BI1451&lt;&gt;""),"",MID(IF($BI1451="","; Row ID not found on the department sheet - a row was deleted","")&amp;IF(AND($C1451="",COUNTA($S1451:$BB1451)&gt;0),"; Invoice entered but the department row has no job number","")&amp;IF(E1451="CHECK","; Job number not in the Xero job list","")&amp;IF(AND($C1451&lt;&gt;"",COUNTIF($C$7:$C$1506,$C1451)&gt;1),"; Job number on more than one row","")&amp;IF(AND($C1451&lt;&gt;"",H1451=""),"; Dept has not set a cost centre","")&amp;IF(AND($C1451&lt;&gt;"",J1451=""),"; Dept has not set a tax code","")&amp;IF(AND($C1451&lt;&gt;"",N1451=""),"; Dept has not entered an expected value","")&amp;IF((IF(OR(COUNTA(S1451:U1451)=0,AND(COUNTA(S1451:U1451)=3,ISNUMBER(U1451))),0,1)+IF(OR(COUNTA(V1451:X1451)=0,AND(COUNTA(V1451:X1451)=3,ISNUMBER(X1451))),0,1)+IF(OR(COUNTA(Y1451:AA1451)=0,AND(COUNTA(Y1451:AA1451)=3,ISNUMBER(AA1451))),0,1)+IF(OR(COUNTA(AB1451:AD1451)=0,AND(COUNTA(AB1451:AD1451)=3,ISNUMBER(AD1451))),0,1)+IF(OR(COUNTA(AE1451:AG1451)=0,AND(COUNTA(AE1451:AG1451)=3,ISNUMBER(AG1451))),0,1)+IF(OR(COUNTA(AH1451:AJ1451)=0,AND(COUNTA(AH1451:AJ1451)=3,ISNUMBER(AJ1451))),0,1)+IF(OR(COUNTA(AK1451:AM1451)=0,AND(COUNTA(AK1451:AM1451)=3,ISNUMBER(AM1451))),0,1)+IF(OR(COUNTA(AN1451:AP1451)=0,AND(COUNTA(AN1451:AP1451)=3,ISNUMBER(AP1451))),0,1)+IF(OR(COUNTA(AQ1451:AS1451)=0,AND(COUNTA(AQ1451:AS1451)=3,ISNUMBER(AS1451))),0,1)+IF(OR(COUNTA(AT1451:AV1451)=0,AND(COUNTA(AT1451:AV1451)=3,ISNUMBER(AV1451))),0,1)+IF(OR(COUNTA(AW1451:AY1451)=0,AND(COUNTA(AW1451:AY1451)=3,ISNUMBER(AY1451))),0,1)+IF(OR(COUNTA(AZ1451:BB1451)=0,AND(COUNTA(AZ1451:BB1451)=3,ISNUMBER(BB1451))),0,1))&gt;0,"; An invoice is incomplete (needs No, Date and a number in Ex GST)","")&amp;IF((IF(T1451="",0,IFERROR(--(EOMONTH(T1451,0)&lt;&gt;S$5),1))+IF(W1451="",0,IFERROR(--(EOMONTH(W1451,0)&lt;&gt;V$5),1))+IF(Z1451="",0,IFERROR(--(EOMONTH(Z1451,0)&lt;&gt;Y$5),1))+IF(AC1451="",0,IFERROR(--(EOMONTH(AC1451,0)&lt;&gt;AB$5),1))+IF(AF1451="",0,IFERROR(--(EOMONTH(AF1451,0)&lt;&gt;AE$5),1))+IF(AI1451="",0,IFERROR(--(EOMONTH(AI1451,0)&lt;&gt;AH$5),1))+IF(AL1451="",0,IFERROR(--(EOMONTH(AL1451,0)&lt;&gt;AK$5),1))+IF(AO1451="",0,IFERROR(--(EOMONTH(AO1451,0)&lt;&gt;AN$5),1))+IF(AR1451="",0,IFERROR(--(EOMONTH(AR1451,0)&lt;&gt;AQ$5),1))+IF(AU1451="",0,IFERROR(--(EOMONTH(AU1451,0)&lt;&gt;AT$5),1))+IF(AX1451="",0,IFERROR(--(EOMONTH(AX1451,0)&lt;&gt;AW$5),1))+IF(BA1451="",0,IFERROR(--(EOMONTH(BA1451,0)&lt;&gt;AZ$5),1)))&gt;0,"; An invoice date is not in the month it is typed under",""),3,500))</f>
        <v/>
      </c>
      <c r="S1451" s="12" t="n"/>
      <c r="T1451" s="13" t="n"/>
      <c r="U1451" s="14" t="n"/>
      <c r="V1451" s="12" t="n"/>
      <c r="W1451" s="13" t="n"/>
      <c r="X1451" s="14" t="n"/>
      <c r="Y1451" s="12" t="n"/>
      <c r="Z1451" s="13" t="n"/>
      <c r="AA1451" s="14" t="n"/>
      <c r="AB1451" s="12" t="n"/>
      <c r="AC1451" s="13" t="n"/>
      <c r="AD1451" s="14" t="n"/>
      <c r="AE1451" s="12" t="n"/>
      <c r="AF1451" s="13" t="n"/>
      <c r="AG1451" s="14" t="n"/>
      <c r="AH1451" s="12" t="n"/>
      <c r="AI1451" s="13" t="n"/>
      <c r="AJ1451" s="14" t="n"/>
      <c r="AK1451" s="12" t="n"/>
      <c r="AL1451" s="13" t="n"/>
      <c r="AM1451" s="14" t="n"/>
      <c r="AN1451" s="12" t="n"/>
      <c r="AO1451" s="13" t="n"/>
      <c r="AP1451" s="14" t="n"/>
      <c r="AQ1451" s="12" t="n"/>
      <c r="AR1451" s="13" t="n"/>
      <c r="AS1451" s="14" t="n"/>
      <c r="AT1451" s="12" t="n"/>
      <c r="AU1451" s="13" t="n"/>
      <c r="AV1451" s="14" t="n"/>
      <c r="AW1451" s="12" t="n"/>
      <c r="AX1451" s="13" t="n"/>
      <c r="AY1451" s="14" t="n"/>
      <c r="AZ1451" s="12" t="n"/>
      <c r="BA1451" s="13" t="n"/>
      <c r="BB1451" s="14" t="n"/>
      <c r="BC1451" s="11">
        <f>IF(O1451="","",IF(J1451="GST 10%",ROUND(O1451*set_GSTRate,2),0))</f>
        <v/>
      </c>
      <c r="BD1451" s="11">
        <f>IF(O1451="","",O1451+BC1451)</f>
        <v/>
      </c>
      <c r="BE1451" s="15">
        <f>IF(O1451="","",COUNTA(S1451,V1451,Y1451,AB1451,AE1451,AH1451,AK1451,AN1451,AQ1451,AT1451,AW1451,AZ1451))</f>
        <v/>
      </c>
      <c r="BF1451" s="16">
        <f>IF(COUNT(T1451,W1451,Z1451,AC1451,AF1451,AI1451,AL1451,AO1451,AR1451,AU1451,AX1451,BA1451)=0,"",MAX(T1451,W1451,Z1451,AC1451,AF1451,AI1451,AL1451,AO1451,AR1451,AU1451,AX1451,BA1451))</f>
        <v/>
      </c>
      <c r="BG1451" s="10">
        <f>MID(IF(S1451="","",", "&amp;S1451)&amp;IF(V1451="","",", "&amp;V1451)&amp;IF(Y1451="","",", "&amp;Y1451)&amp;IF(AB1451="","",", "&amp;AB1451)&amp;IF(AE1451="","",", "&amp;AE1451)&amp;IF(AH1451="","",", "&amp;AH1451)&amp;IF(AK1451="","",", "&amp;AK1451)&amp;IF(AN1451="","",", "&amp;AN1451)&amp;IF(AQ1451="","",", "&amp;AQ1451)&amp;IF(AT1451="","",", "&amp;AT1451)&amp;IF(AW1451="","",", "&amp;AW1451)&amp;IF(AZ1451="","",", "&amp;AZ1451),3,500)</f>
        <v/>
      </c>
      <c r="BH1451" s="12" t="n"/>
      <c r="BI1451" s="15">
        <f>IFERROR(MATCH($A1451,IF($B1451="Onsite",tbl_Onsite[Row ID],IF($B1451="Production",tbl_Production[Row ID],tbl_Consulting[Row ID])),0),"")</f>
        <v/>
      </c>
    </row>
    <row r="1452">
      <c r="A1452" s="10" t="inlineStr">
        <is>
          <t>CON-0446</t>
        </is>
      </c>
      <c r="B1452" s="10" t="inlineStr">
        <is>
          <t>Consulting</t>
        </is>
      </c>
      <c r="C1452" s="10">
        <f>IF($BI1452="","",IF($B1452="Onsite",INDEX(tbl_Onsite[Job Number],$BI1452),IF($B1452="Production",INDEX(tbl_Production[Job Number],$BI1452),INDEX(tbl_Consulting[Job Number],$BI1452)))&amp;"")</f>
        <v/>
      </c>
      <c r="D1452" s="10">
        <f>IF($BI1452="","",IF($B1452="Onsite",INDEX(tbl_Onsite[Client],$BI1452),IF($B1452="Production",INDEX(tbl_Production[Client],$BI1452),INDEX(tbl_Consulting[Client],$BI1452)))&amp;"")</f>
        <v/>
      </c>
      <c r="E1452" s="10">
        <f>IF($C1452="","",IF(COUNTIF(lst_Jobs,$C1452)&gt;0,"OK","CHECK"))</f>
        <v/>
      </c>
      <c r="F1452" s="10">
        <f>IF($C1452="","",IFERROR(INDEX(lst_JobName,MATCH($C1452,lst_Jobs,0)),""))</f>
        <v/>
      </c>
      <c r="G1452" s="10">
        <f>IF($BI1452="","",IF($B1452="Onsite",INDEX(tbl_Onsite[Job Description],$BI1452),IF($B1452="Production",INDEX(tbl_Production[Job Description],$BI1452),INDEX(tbl_Consulting[Job Description],$BI1452)))&amp;"")</f>
        <v/>
      </c>
      <c r="H1452" s="10">
        <f>IF($BI1452="","",IF($B1452="Onsite",INDEX(tbl_Onsite[Cost Centre],$BI1452),IF($B1452="Production",INDEX(tbl_Production[Cost Centre],$BI1452),INDEX(tbl_Consulting[Cost Centre],$BI1452)))&amp;"")</f>
        <v/>
      </c>
      <c r="I1452" s="10">
        <f>IF($BI1452="","",IF($B1452="Onsite",INDEX(tbl_Onsite[Invoice Type],$BI1452),IF($B1452="Production",INDEX(tbl_Production[Invoice Type],$BI1452),INDEX(tbl_Consulting[Invoice Type],$BI1452)))&amp;"")</f>
        <v/>
      </c>
      <c r="J1452" s="10">
        <f>IF($BI1452="","",IF($B1452="Onsite",INDEX(tbl_Onsite[Tax Code],$BI1452),IF($B1452="Production",INDEX(tbl_Production[Tax Code],$BI1452),INDEX(tbl_Consulting[Tax Code],$BI1452)))&amp;"")</f>
        <v/>
      </c>
      <c r="K1452" s="10">
        <f>IF(H1452="","",IFERROR(INDEX(lst_CCtoGL,MATCH(H1452,lst_CCforGL,0)),""))</f>
        <v/>
      </c>
      <c r="L1452" s="10">
        <f>IF($BI1452="","",IF($B1452="Onsite",INDEX(tbl_Onsite[PO / Reference],$BI1452),IF($B1452="Production",INDEX(tbl_Production[Current RMS No],$BI1452),INDEX(tbl_Consulting[Qwilr Quote],$BI1452)))&amp;"")</f>
        <v/>
      </c>
      <c r="M1452" s="10">
        <f>IF($BI1452="","",IF($B1452="Onsite",INDEX(tbl_Onsite[Notes],$BI1452),IF($B1452="Production",INDEX(tbl_Production[Notes],$BI1452),INDEX(tbl_Consulting[Notes],$BI1452)))&amp;"")</f>
        <v/>
      </c>
      <c r="N1452" s="11">
        <f>IF($BI1452="","",IF(IF($B1452="Onsite",INDEX(tbl_Onsite[Expected Revenue Ex GST],$BI1452),IF($B1452="Production",INDEX(tbl_Production[Expected Revenue Ex GST],$BI1452),INDEX(tbl_Consulting[Expected Revenue Ex GST],$BI1452)))="","",IF($B1452="Onsite",INDEX(tbl_Onsite[Expected Revenue Ex GST],$BI1452),IF($B1452="Production",INDEX(tbl_Production[Expected Revenue Ex GST],$BI1452),INDEX(tbl_Consulting[Expected Revenue Ex GST],$BI1452)))))</f>
        <v/>
      </c>
      <c r="O1452" s="11">
        <f>IF(AND($C1452="",NOT(COUNTA($S1452:$BB1452)&gt;0)),"",SUM(U1452,X1452,AA1452,AD1452,AG1452,AJ1452,AM1452,AP1452,AS1452,AV1452,AY1452,BB1452))</f>
        <v/>
      </c>
      <c r="P1452" s="11">
        <f>IF(O1452="","",N(N1452)-O1452)</f>
        <v/>
      </c>
      <c r="Q1452" s="10">
        <f>IF(O1452="","",IF($C1452="","Invoice on empty job row",IF(N1452="",IF(ROUND(O1452,2)=0,"No dept value","Invoiced - no dept value"),IF(ROUND(O1452,2)=0,"Not invoiced - to invoice",IF(ROUND(P1452,2)=0,"Agrees",IF(P1452&gt;0,"Dept higher - to invoice","Xero higher - check dept"))))))</f>
        <v/>
      </c>
      <c r="R1452" s="10">
        <f>IF(AND($C1452="",NOT(COUNTA($S1452:$BB1452)&gt;0),$BI1452&lt;&gt;""),"",MID(IF($BI1452="","; Row ID not found on the department sheet - a row was deleted","")&amp;IF(AND($C1452="",COUNTA($S1452:$BB1452)&gt;0),"; Invoice entered but the department row has no job number","")&amp;IF(E1452="CHECK","; Job number not in the Xero job list","")&amp;IF(AND($C1452&lt;&gt;"",COUNTIF($C$7:$C$1506,$C1452)&gt;1),"; Job number on more than one row","")&amp;IF(AND($C1452&lt;&gt;"",H1452=""),"; Dept has not set a cost centre","")&amp;IF(AND($C1452&lt;&gt;"",J1452=""),"; Dept has not set a tax code","")&amp;IF(AND($C1452&lt;&gt;"",N1452=""),"; Dept has not entered an expected value","")&amp;IF((IF(OR(COUNTA(S1452:U1452)=0,AND(COUNTA(S1452:U1452)=3,ISNUMBER(U1452))),0,1)+IF(OR(COUNTA(V1452:X1452)=0,AND(COUNTA(V1452:X1452)=3,ISNUMBER(X1452))),0,1)+IF(OR(COUNTA(Y1452:AA1452)=0,AND(COUNTA(Y1452:AA1452)=3,ISNUMBER(AA1452))),0,1)+IF(OR(COUNTA(AB1452:AD1452)=0,AND(COUNTA(AB1452:AD1452)=3,ISNUMBER(AD1452))),0,1)+IF(OR(COUNTA(AE1452:AG1452)=0,AND(COUNTA(AE1452:AG1452)=3,ISNUMBER(AG1452))),0,1)+IF(OR(COUNTA(AH1452:AJ1452)=0,AND(COUNTA(AH1452:AJ1452)=3,ISNUMBER(AJ1452))),0,1)+IF(OR(COUNTA(AK1452:AM1452)=0,AND(COUNTA(AK1452:AM1452)=3,ISNUMBER(AM1452))),0,1)+IF(OR(COUNTA(AN1452:AP1452)=0,AND(COUNTA(AN1452:AP1452)=3,ISNUMBER(AP1452))),0,1)+IF(OR(COUNTA(AQ1452:AS1452)=0,AND(COUNTA(AQ1452:AS1452)=3,ISNUMBER(AS1452))),0,1)+IF(OR(COUNTA(AT1452:AV1452)=0,AND(COUNTA(AT1452:AV1452)=3,ISNUMBER(AV1452))),0,1)+IF(OR(COUNTA(AW1452:AY1452)=0,AND(COUNTA(AW1452:AY1452)=3,ISNUMBER(AY1452))),0,1)+IF(OR(COUNTA(AZ1452:BB1452)=0,AND(COUNTA(AZ1452:BB1452)=3,ISNUMBER(BB1452))),0,1))&gt;0,"; An invoice is incomplete (needs No, Date and a number in Ex GST)","")&amp;IF((IF(T1452="",0,IFERROR(--(EOMONTH(T1452,0)&lt;&gt;S$5),1))+IF(W1452="",0,IFERROR(--(EOMONTH(W1452,0)&lt;&gt;V$5),1))+IF(Z1452="",0,IFERROR(--(EOMONTH(Z1452,0)&lt;&gt;Y$5),1))+IF(AC1452="",0,IFERROR(--(EOMONTH(AC1452,0)&lt;&gt;AB$5),1))+IF(AF1452="",0,IFERROR(--(EOMONTH(AF1452,0)&lt;&gt;AE$5),1))+IF(AI1452="",0,IFERROR(--(EOMONTH(AI1452,0)&lt;&gt;AH$5),1))+IF(AL1452="",0,IFERROR(--(EOMONTH(AL1452,0)&lt;&gt;AK$5),1))+IF(AO1452="",0,IFERROR(--(EOMONTH(AO1452,0)&lt;&gt;AN$5),1))+IF(AR1452="",0,IFERROR(--(EOMONTH(AR1452,0)&lt;&gt;AQ$5),1))+IF(AU1452="",0,IFERROR(--(EOMONTH(AU1452,0)&lt;&gt;AT$5),1))+IF(AX1452="",0,IFERROR(--(EOMONTH(AX1452,0)&lt;&gt;AW$5),1))+IF(BA1452="",0,IFERROR(--(EOMONTH(BA1452,0)&lt;&gt;AZ$5),1)))&gt;0,"; An invoice date is not in the month it is typed under",""),3,500))</f>
        <v/>
      </c>
      <c r="S1452" s="12" t="n"/>
      <c r="T1452" s="13" t="n"/>
      <c r="U1452" s="14" t="n"/>
      <c r="V1452" s="12" t="n"/>
      <c r="W1452" s="13" t="n"/>
      <c r="X1452" s="14" t="n"/>
      <c r="Y1452" s="12" t="n"/>
      <c r="Z1452" s="13" t="n"/>
      <c r="AA1452" s="14" t="n"/>
      <c r="AB1452" s="12" t="n"/>
      <c r="AC1452" s="13" t="n"/>
      <c r="AD1452" s="14" t="n"/>
      <c r="AE1452" s="12" t="n"/>
      <c r="AF1452" s="13" t="n"/>
      <c r="AG1452" s="14" t="n"/>
      <c r="AH1452" s="12" t="n"/>
      <c r="AI1452" s="13" t="n"/>
      <c r="AJ1452" s="14" t="n"/>
      <c r="AK1452" s="12" t="n"/>
      <c r="AL1452" s="13" t="n"/>
      <c r="AM1452" s="14" t="n"/>
      <c r="AN1452" s="12" t="n"/>
      <c r="AO1452" s="13" t="n"/>
      <c r="AP1452" s="14" t="n"/>
      <c r="AQ1452" s="12" t="n"/>
      <c r="AR1452" s="13" t="n"/>
      <c r="AS1452" s="14" t="n"/>
      <c r="AT1452" s="12" t="n"/>
      <c r="AU1452" s="13" t="n"/>
      <c r="AV1452" s="14" t="n"/>
      <c r="AW1452" s="12" t="n"/>
      <c r="AX1452" s="13" t="n"/>
      <c r="AY1452" s="14" t="n"/>
      <c r="AZ1452" s="12" t="n"/>
      <c r="BA1452" s="13" t="n"/>
      <c r="BB1452" s="14" t="n"/>
      <c r="BC1452" s="11">
        <f>IF(O1452="","",IF(J1452="GST 10%",ROUND(O1452*set_GSTRate,2),0))</f>
        <v/>
      </c>
      <c r="BD1452" s="11">
        <f>IF(O1452="","",O1452+BC1452)</f>
        <v/>
      </c>
      <c r="BE1452" s="15">
        <f>IF(O1452="","",COUNTA(S1452,V1452,Y1452,AB1452,AE1452,AH1452,AK1452,AN1452,AQ1452,AT1452,AW1452,AZ1452))</f>
        <v/>
      </c>
      <c r="BF1452" s="16">
        <f>IF(COUNT(T1452,W1452,Z1452,AC1452,AF1452,AI1452,AL1452,AO1452,AR1452,AU1452,AX1452,BA1452)=0,"",MAX(T1452,W1452,Z1452,AC1452,AF1452,AI1452,AL1452,AO1452,AR1452,AU1452,AX1452,BA1452))</f>
        <v/>
      </c>
      <c r="BG1452" s="10">
        <f>MID(IF(S1452="","",", "&amp;S1452)&amp;IF(V1452="","",", "&amp;V1452)&amp;IF(Y1452="","",", "&amp;Y1452)&amp;IF(AB1452="","",", "&amp;AB1452)&amp;IF(AE1452="","",", "&amp;AE1452)&amp;IF(AH1452="","",", "&amp;AH1452)&amp;IF(AK1452="","",", "&amp;AK1452)&amp;IF(AN1452="","",", "&amp;AN1452)&amp;IF(AQ1452="","",", "&amp;AQ1452)&amp;IF(AT1452="","",", "&amp;AT1452)&amp;IF(AW1452="","",", "&amp;AW1452)&amp;IF(AZ1452="","",", "&amp;AZ1452),3,500)</f>
        <v/>
      </c>
      <c r="BH1452" s="12" t="n"/>
      <c r="BI1452" s="15">
        <f>IFERROR(MATCH($A1452,IF($B1452="Onsite",tbl_Onsite[Row ID],IF($B1452="Production",tbl_Production[Row ID],tbl_Consulting[Row ID])),0),"")</f>
        <v/>
      </c>
    </row>
    <row r="1453">
      <c r="A1453" s="10" t="inlineStr">
        <is>
          <t>CON-0447</t>
        </is>
      </c>
      <c r="B1453" s="10" t="inlineStr">
        <is>
          <t>Consulting</t>
        </is>
      </c>
      <c r="C1453" s="10">
        <f>IF($BI1453="","",IF($B1453="Onsite",INDEX(tbl_Onsite[Job Number],$BI1453),IF($B1453="Production",INDEX(tbl_Production[Job Number],$BI1453),INDEX(tbl_Consulting[Job Number],$BI1453)))&amp;"")</f>
        <v/>
      </c>
      <c r="D1453" s="10">
        <f>IF($BI1453="","",IF($B1453="Onsite",INDEX(tbl_Onsite[Client],$BI1453),IF($B1453="Production",INDEX(tbl_Production[Client],$BI1453),INDEX(tbl_Consulting[Client],$BI1453)))&amp;"")</f>
        <v/>
      </c>
      <c r="E1453" s="10">
        <f>IF($C1453="","",IF(COUNTIF(lst_Jobs,$C1453)&gt;0,"OK","CHECK"))</f>
        <v/>
      </c>
      <c r="F1453" s="10">
        <f>IF($C1453="","",IFERROR(INDEX(lst_JobName,MATCH($C1453,lst_Jobs,0)),""))</f>
        <v/>
      </c>
      <c r="G1453" s="10">
        <f>IF($BI1453="","",IF($B1453="Onsite",INDEX(tbl_Onsite[Job Description],$BI1453),IF($B1453="Production",INDEX(tbl_Production[Job Description],$BI1453),INDEX(tbl_Consulting[Job Description],$BI1453)))&amp;"")</f>
        <v/>
      </c>
      <c r="H1453" s="10">
        <f>IF($BI1453="","",IF($B1453="Onsite",INDEX(tbl_Onsite[Cost Centre],$BI1453),IF($B1453="Production",INDEX(tbl_Production[Cost Centre],$BI1453),INDEX(tbl_Consulting[Cost Centre],$BI1453)))&amp;"")</f>
        <v/>
      </c>
      <c r="I1453" s="10">
        <f>IF($BI1453="","",IF($B1453="Onsite",INDEX(tbl_Onsite[Invoice Type],$BI1453),IF($B1453="Production",INDEX(tbl_Production[Invoice Type],$BI1453),INDEX(tbl_Consulting[Invoice Type],$BI1453)))&amp;"")</f>
        <v/>
      </c>
      <c r="J1453" s="10">
        <f>IF($BI1453="","",IF($B1453="Onsite",INDEX(tbl_Onsite[Tax Code],$BI1453),IF($B1453="Production",INDEX(tbl_Production[Tax Code],$BI1453),INDEX(tbl_Consulting[Tax Code],$BI1453)))&amp;"")</f>
        <v/>
      </c>
      <c r="K1453" s="10">
        <f>IF(H1453="","",IFERROR(INDEX(lst_CCtoGL,MATCH(H1453,lst_CCforGL,0)),""))</f>
        <v/>
      </c>
      <c r="L1453" s="10">
        <f>IF($BI1453="","",IF($B1453="Onsite",INDEX(tbl_Onsite[PO / Reference],$BI1453),IF($B1453="Production",INDEX(tbl_Production[Current RMS No],$BI1453),INDEX(tbl_Consulting[Qwilr Quote],$BI1453)))&amp;"")</f>
        <v/>
      </c>
      <c r="M1453" s="10">
        <f>IF($BI1453="","",IF($B1453="Onsite",INDEX(tbl_Onsite[Notes],$BI1453),IF($B1453="Production",INDEX(tbl_Production[Notes],$BI1453),INDEX(tbl_Consulting[Notes],$BI1453)))&amp;"")</f>
        <v/>
      </c>
      <c r="N1453" s="11">
        <f>IF($BI1453="","",IF(IF($B1453="Onsite",INDEX(tbl_Onsite[Expected Revenue Ex GST],$BI1453),IF($B1453="Production",INDEX(tbl_Production[Expected Revenue Ex GST],$BI1453),INDEX(tbl_Consulting[Expected Revenue Ex GST],$BI1453)))="","",IF($B1453="Onsite",INDEX(tbl_Onsite[Expected Revenue Ex GST],$BI1453),IF($B1453="Production",INDEX(tbl_Production[Expected Revenue Ex GST],$BI1453),INDEX(tbl_Consulting[Expected Revenue Ex GST],$BI1453)))))</f>
        <v/>
      </c>
      <c r="O1453" s="11">
        <f>IF(AND($C1453="",NOT(COUNTA($S1453:$BB1453)&gt;0)),"",SUM(U1453,X1453,AA1453,AD1453,AG1453,AJ1453,AM1453,AP1453,AS1453,AV1453,AY1453,BB1453))</f>
        <v/>
      </c>
      <c r="P1453" s="11">
        <f>IF(O1453="","",N(N1453)-O1453)</f>
        <v/>
      </c>
      <c r="Q1453" s="10">
        <f>IF(O1453="","",IF($C1453="","Invoice on empty job row",IF(N1453="",IF(ROUND(O1453,2)=0,"No dept value","Invoiced - no dept value"),IF(ROUND(O1453,2)=0,"Not invoiced - to invoice",IF(ROUND(P1453,2)=0,"Agrees",IF(P1453&gt;0,"Dept higher - to invoice","Xero higher - check dept"))))))</f>
        <v/>
      </c>
      <c r="R1453" s="10">
        <f>IF(AND($C1453="",NOT(COUNTA($S1453:$BB1453)&gt;0),$BI1453&lt;&gt;""),"",MID(IF($BI1453="","; Row ID not found on the department sheet - a row was deleted","")&amp;IF(AND($C1453="",COUNTA($S1453:$BB1453)&gt;0),"; Invoice entered but the department row has no job number","")&amp;IF(E1453="CHECK","; Job number not in the Xero job list","")&amp;IF(AND($C1453&lt;&gt;"",COUNTIF($C$7:$C$1506,$C1453)&gt;1),"; Job number on more than one row","")&amp;IF(AND($C1453&lt;&gt;"",H1453=""),"; Dept has not set a cost centre","")&amp;IF(AND($C1453&lt;&gt;"",J1453=""),"; Dept has not set a tax code","")&amp;IF(AND($C1453&lt;&gt;"",N1453=""),"; Dept has not entered an expected value","")&amp;IF((IF(OR(COUNTA(S1453:U1453)=0,AND(COUNTA(S1453:U1453)=3,ISNUMBER(U1453))),0,1)+IF(OR(COUNTA(V1453:X1453)=0,AND(COUNTA(V1453:X1453)=3,ISNUMBER(X1453))),0,1)+IF(OR(COUNTA(Y1453:AA1453)=0,AND(COUNTA(Y1453:AA1453)=3,ISNUMBER(AA1453))),0,1)+IF(OR(COUNTA(AB1453:AD1453)=0,AND(COUNTA(AB1453:AD1453)=3,ISNUMBER(AD1453))),0,1)+IF(OR(COUNTA(AE1453:AG1453)=0,AND(COUNTA(AE1453:AG1453)=3,ISNUMBER(AG1453))),0,1)+IF(OR(COUNTA(AH1453:AJ1453)=0,AND(COUNTA(AH1453:AJ1453)=3,ISNUMBER(AJ1453))),0,1)+IF(OR(COUNTA(AK1453:AM1453)=0,AND(COUNTA(AK1453:AM1453)=3,ISNUMBER(AM1453))),0,1)+IF(OR(COUNTA(AN1453:AP1453)=0,AND(COUNTA(AN1453:AP1453)=3,ISNUMBER(AP1453))),0,1)+IF(OR(COUNTA(AQ1453:AS1453)=0,AND(COUNTA(AQ1453:AS1453)=3,ISNUMBER(AS1453))),0,1)+IF(OR(COUNTA(AT1453:AV1453)=0,AND(COUNTA(AT1453:AV1453)=3,ISNUMBER(AV1453))),0,1)+IF(OR(COUNTA(AW1453:AY1453)=0,AND(COUNTA(AW1453:AY1453)=3,ISNUMBER(AY1453))),0,1)+IF(OR(COUNTA(AZ1453:BB1453)=0,AND(COUNTA(AZ1453:BB1453)=3,ISNUMBER(BB1453))),0,1))&gt;0,"; An invoice is incomplete (needs No, Date and a number in Ex GST)","")&amp;IF((IF(T1453="",0,IFERROR(--(EOMONTH(T1453,0)&lt;&gt;S$5),1))+IF(W1453="",0,IFERROR(--(EOMONTH(W1453,0)&lt;&gt;V$5),1))+IF(Z1453="",0,IFERROR(--(EOMONTH(Z1453,0)&lt;&gt;Y$5),1))+IF(AC1453="",0,IFERROR(--(EOMONTH(AC1453,0)&lt;&gt;AB$5),1))+IF(AF1453="",0,IFERROR(--(EOMONTH(AF1453,0)&lt;&gt;AE$5),1))+IF(AI1453="",0,IFERROR(--(EOMONTH(AI1453,0)&lt;&gt;AH$5),1))+IF(AL1453="",0,IFERROR(--(EOMONTH(AL1453,0)&lt;&gt;AK$5),1))+IF(AO1453="",0,IFERROR(--(EOMONTH(AO1453,0)&lt;&gt;AN$5),1))+IF(AR1453="",0,IFERROR(--(EOMONTH(AR1453,0)&lt;&gt;AQ$5),1))+IF(AU1453="",0,IFERROR(--(EOMONTH(AU1453,0)&lt;&gt;AT$5),1))+IF(AX1453="",0,IFERROR(--(EOMONTH(AX1453,0)&lt;&gt;AW$5),1))+IF(BA1453="",0,IFERROR(--(EOMONTH(BA1453,0)&lt;&gt;AZ$5),1)))&gt;0,"; An invoice date is not in the month it is typed under",""),3,500))</f>
        <v/>
      </c>
      <c r="S1453" s="12" t="n"/>
      <c r="T1453" s="13" t="n"/>
      <c r="U1453" s="14" t="n"/>
      <c r="V1453" s="12" t="n"/>
      <c r="W1453" s="13" t="n"/>
      <c r="X1453" s="14" t="n"/>
      <c r="Y1453" s="12" t="n"/>
      <c r="Z1453" s="13" t="n"/>
      <c r="AA1453" s="14" t="n"/>
      <c r="AB1453" s="12" t="n"/>
      <c r="AC1453" s="13" t="n"/>
      <c r="AD1453" s="14" t="n"/>
      <c r="AE1453" s="12" t="n"/>
      <c r="AF1453" s="13" t="n"/>
      <c r="AG1453" s="14" t="n"/>
      <c r="AH1453" s="12" t="n"/>
      <c r="AI1453" s="13" t="n"/>
      <c r="AJ1453" s="14" t="n"/>
      <c r="AK1453" s="12" t="n"/>
      <c r="AL1453" s="13" t="n"/>
      <c r="AM1453" s="14" t="n"/>
      <c r="AN1453" s="12" t="n"/>
      <c r="AO1453" s="13" t="n"/>
      <c r="AP1453" s="14" t="n"/>
      <c r="AQ1453" s="12" t="n"/>
      <c r="AR1453" s="13" t="n"/>
      <c r="AS1453" s="14" t="n"/>
      <c r="AT1453" s="12" t="n"/>
      <c r="AU1453" s="13" t="n"/>
      <c r="AV1453" s="14" t="n"/>
      <c r="AW1453" s="12" t="n"/>
      <c r="AX1453" s="13" t="n"/>
      <c r="AY1453" s="14" t="n"/>
      <c r="AZ1453" s="12" t="n"/>
      <c r="BA1453" s="13" t="n"/>
      <c r="BB1453" s="14" t="n"/>
      <c r="BC1453" s="11">
        <f>IF(O1453="","",IF(J1453="GST 10%",ROUND(O1453*set_GSTRate,2),0))</f>
        <v/>
      </c>
      <c r="BD1453" s="11">
        <f>IF(O1453="","",O1453+BC1453)</f>
        <v/>
      </c>
      <c r="BE1453" s="15">
        <f>IF(O1453="","",COUNTA(S1453,V1453,Y1453,AB1453,AE1453,AH1453,AK1453,AN1453,AQ1453,AT1453,AW1453,AZ1453))</f>
        <v/>
      </c>
      <c r="BF1453" s="16">
        <f>IF(COUNT(T1453,W1453,Z1453,AC1453,AF1453,AI1453,AL1453,AO1453,AR1453,AU1453,AX1453,BA1453)=0,"",MAX(T1453,W1453,Z1453,AC1453,AF1453,AI1453,AL1453,AO1453,AR1453,AU1453,AX1453,BA1453))</f>
        <v/>
      </c>
      <c r="BG1453" s="10">
        <f>MID(IF(S1453="","",", "&amp;S1453)&amp;IF(V1453="","",", "&amp;V1453)&amp;IF(Y1453="","",", "&amp;Y1453)&amp;IF(AB1453="","",", "&amp;AB1453)&amp;IF(AE1453="","",", "&amp;AE1453)&amp;IF(AH1453="","",", "&amp;AH1453)&amp;IF(AK1453="","",", "&amp;AK1453)&amp;IF(AN1453="","",", "&amp;AN1453)&amp;IF(AQ1453="","",", "&amp;AQ1453)&amp;IF(AT1453="","",", "&amp;AT1453)&amp;IF(AW1453="","",", "&amp;AW1453)&amp;IF(AZ1453="","",", "&amp;AZ1453),3,500)</f>
        <v/>
      </c>
      <c r="BH1453" s="12" t="n"/>
      <c r="BI1453" s="15">
        <f>IFERROR(MATCH($A1453,IF($B1453="Onsite",tbl_Onsite[Row ID],IF($B1453="Production",tbl_Production[Row ID],tbl_Consulting[Row ID])),0),"")</f>
        <v/>
      </c>
    </row>
    <row r="1454">
      <c r="A1454" s="10" t="inlineStr">
        <is>
          <t>CON-0448</t>
        </is>
      </c>
      <c r="B1454" s="10" t="inlineStr">
        <is>
          <t>Consulting</t>
        </is>
      </c>
      <c r="C1454" s="10">
        <f>IF($BI1454="","",IF($B1454="Onsite",INDEX(tbl_Onsite[Job Number],$BI1454),IF($B1454="Production",INDEX(tbl_Production[Job Number],$BI1454),INDEX(tbl_Consulting[Job Number],$BI1454)))&amp;"")</f>
        <v/>
      </c>
      <c r="D1454" s="10">
        <f>IF($BI1454="","",IF($B1454="Onsite",INDEX(tbl_Onsite[Client],$BI1454),IF($B1454="Production",INDEX(tbl_Production[Client],$BI1454),INDEX(tbl_Consulting[Client],$BI1454)))&amp;"")</f>
        <v/>
      </c>
      <c r="E1454" s="10">
        <f>IF($C1454="","",IF(COUNTIF(lst_Jobs,$C1454)&gt;0,"OK","CHECK"))</f>
        <v/>
      </c>
      <c r="F1454" s="10">
        <f>IF($C1454="","",IFERROR(INDEX(lst_JobName,MATCH($C1454,lst_Jobs,0)),""))</f>
        <v/>
      </c>
      <c r="G1454" s="10">
        <f>IF($BI1454="","",IF($B1454="Onsite",INDEX(tbl_Onsite[Job Description],$BI1454),IF($B1454="Production",INDEX(tbl_Production[Job Description],$BI1454),INDEX(tbl_Consulting[Job Description],$BI1454)))&amp;"")</f>
        <v/>
      </c>
      <c r="H1454" s="10">
        <f>IF($BI1454="","",IF($B1454="Onsite",INDEX(tbl_Onsite[Cost Centre],$BI1454),IF($B1454="Production",INDEX(tbl_Production[Cost Centre],$BI1454),INDEX(tbl_Consulting[Cost Centre],$BI1454)))&amp;"")</f>
        <v/>
      </c>
      <c r="I1454" s="10">
        <f>IF($BI1454="","",IF($B1454="Onsite",INDEX(tbl_Onsite[Invoice Type],$BI1454),IF($B1454="Production",INDEX(tbl_Production[Invoice Type],$BI1454),INDEX(tbl_Consulting[Invoice Type],$BI1454)))&amp;"")</f>
        <v/>
      </c>
      <c r="J1454" s="10">
        <f>IF($BI1454="","",IF($B1454="Onsite",INDEX(tbl_Onsite[Tax Code],$BI1454),IF($B1454="Production",INDEX(tbl_Production[Tax Code],$BI1454),INDEX(tbl_Consulting[Tax Code],$BI1454)))&amp;"")</f>
        <v/>
      </c>
      <c r="K1454" s="10">
        <f>IF(H1454="","",IFERROR(INDEX(lst_CCtoGL,MATCH(H1454,lst_CCforGL,0)),""))</f>
        <v/>
      </c>
      <c r="L1454" s="10">
        <f>IF($BI1454="","",IF($B1454="Onsite",INDEX(tbl_Onsite[PO / Reference],$BI1454),IF($B1454="Production",INDEX(tbl_Production[Current RMS No],$BI1454),INDEX(tbl_Consulting[Qwilr Quote],$BI1454)))&amp;"")</f>
        <v/>
      </c>
      <c r="M1454" s="10">
        <f>IF($BI1454="","",IF($B1454="Onsite",INDEX(tbl_Onsite[Notes],$BI1454),IF($B1454="Production",INDEX(tbl_Production[Notes],$BI1454),INDEX(tbl_Consulting[Notes],$BI1454)))&amp;"")</f>
        <v/>
      </c>
      <c r="N1454" s="11">
        <f>IF($BI1454="","",IF(IF($B1454="Onsite",INDEX(tbl_Onsite[Expected Revenue Ex GST],$BI1454),IF($B1454="Production",INDEX(tbl_Production[Expected Revenue Ex GST],$BI1454),INDEX(tbl_Consulting[Expected Revenue Ex GST],$BI1454)))="","",IF($B1454="Onsite",INDEX(tbl_Onsite[Expected Revenue Ex GST],$BI1454),IF($B1454="Production",INDEX(tbl_Production[Expected Revenue Ex GST],$BI1454),INDEX(tbl_Consulting[Expected Revenue Ex GST],$BI1454)))))</f>
        <v/>
      </c>
      <c r="O1454" s="11">
        <f>IF(AND($C1454="",NOT(COUNTA($S1454:$BB1454)&gt;0)),"",SUM(U1454,X1454,AA1454,AD1454,AG1454,AJ1454,AM1454,AP1454,AS1454,AV1454,AY1454,BB1454))</f>
        <v/>
      </c>
      <c r="P1454" s="11">
        <f>IF(O1454="","",N(N1454)-O1454)</f>
        <v/>
      </c>
      <c r="Q1454" s="10">
        <f>IF(O1454="","",IF($C1454="","Invoice on empty job row",IF(N1454="",IF(ROUND(O1454,2)=0,"No dept value","Invoiced - no dept value"),IF(ROUND(O1454,2)=0,"Not invoiced - to invoice",IF(ROUND(P1454,2)=0,"Agrees",IF(P1454&gt;0,"Dept higher - to invoice","Xero higher - check dept"))))))</f>
        <v/>
      </c>
      <c r="R1454" s="10">
        <f>IF(AND($C1454="",NOT(COUNTA($S1454:$BB1454)&gt;0),$BI1454&lt;&gt;""),"",MID(IF($BI1454="","; Row ID not found on the department sheet - a row was deleted","")&amp;IF(AND($C1454="",COUNTA($S1454:$BB1454)&gt;0),"; Invoice entered but the department row has no job number","")&amp;IF(E1454="CHECK","; Job number not in the Xero job list","")&amp;IF(AND($C1454&lt;&gt;"",COUNTIF($C$7:$C$1506,$C1454)&gt;1),"; Job number on more than one row","")&amp;IF(AND($C1454&lt;&gt;"",H1454=""),"; Dept has not set a cost centre","")&amp;IF(AND($C1454&lt;&gt;"",J1454=""),"; Dept has not set a tax code","")&amp;IF(AND($C1454&lt;&gt;"",N1454=""),"; Dept has not entered an expected value","")&amp;IF((IF(OR(COUNTA(S1454:U1454)=0,AND(COUNTA(S1454:U1454)=3,ISNUMBER(U1454))),0,1)+IF(OR(COUNTA(V1454:X1454)=0,AND(COUNTA(V1454:X1454)=3,ISNUMBER(X1454))),0,1)+IF(OR(COUNTA(Y1454:AA1454)=0,AND(COUNTA(Y1454:AA1454)=3,ISNUMBER(AA1454))),0,1)+IF(OR(COUNTA(AB1454:AD1454)=0,AND(COUNTA(AB1454:AD1454)=3,ISNUMBER(AD1454))),0,1)+IF(OR(COUNTA(AE1454:AG1454)=0,AND(COUNTA(AE1454:AG1454)=3,ISNUMBER(AG1454))),0,1)+IF(OR(COUNTA(AH1454:AJ1454)=0,AND(COUNTA(AH1454:AJ1454)=3,ISNUMBER(AJ1454))),0,1)+IF(OR(COUNTA(AK1454:AM1454)=0,AND(COUNTA(AK1454:AM1454)=3,ISNUMBER(AM1454))),0,1)+IF(OR(COUNTA(AN1454:AP1454)=0,AND(COUNTA(AN1454:AP1454)=3,ISNUMBER(AP1454))),0,1)+IF(OR(COUNTA(AQ1454:AS1454)=0,AND(COUNTA(AQ1454:AS1454)=3,ISNUMBER(AS1454))),0,1)+IF(OR(COUNTA(AT1454:AV1454)=0,AND(COUNTA(AT1454:AV1454)=3,ISNUMBER(AV1454))),0,1)+IF(OR(COUNTA(AW1454:AY1454)=0,AND(COUNTA(AW1454:AY1454)=3,ISNUMBER(AY1454))),0,1)+IF(OR(COUNTA(AZ1454:BB1454)=0,AND(COUNTA(AZ1454:BB1454)=3,ISNUMBER(BB1454))),0,1))&gt;0,"; An invoice is incomplete (needs No, Date and a number in Ex GST)","")&amp;IF((IF(T1454="",0,IFERROR(--(EOMONTH(T1454,0)&lt;&gt;S$5),1))+IF(W1454="",0,IFERROR(--(EOMONTH(W1454,0)&lt;&gt;V$5),1))+IF(Z1454="",0,IFERROR(--(EOMONTH(Z1454,0)&lt;&gt;Y$5),1))+IF(AC1454="",0,IFERROR(--(EOMONTH(AC1454,0)&lt;&gt;AB$5),1))+IF(AF1454="",0,IFERROR(--(EOMONTH(AF1454,0)&lt;&gt;AE$5),1))+IF(AI1454="",0,IFERROR(--(EOMONTH(AI1454,0)&lt;&gt;AH$5),1))+IF(AL1454="",0,IFERROR(--(EOMONTH(AL1454,0)&lt;&gt;AK$5),1))+IF(AO1454="",0,IFERROR(--(EOMONTH(AO1454,0)&lt;&gt;AN$5),1))+IF(AR1454="",0,IFERROR(--(EOMONTH(AR1454,0)&lt;&gt;AQ$5),1))+IF(AU1454="",0,IFERROR(--(EOMONTH(AU1454,0)&lt;&gt;AT$5),1))+IF(AX1454="",0,IFERROR(--(EOMONTH(AX1454,0)&lt;&gt;AW$5),1))+IF(BA1454="",0,IFERROR(--(EOMONTH(BA1454,0)&lt;&gt;AZ$5),1)))&gt;0,"; An invoice date is not in the month it is typed under",""),3,500))</f>
        <v/>
      </c>
      <c r="S1454" s="12" t="n"/>
      <c r="T1454" s="13" t="n"/>
      <c r="U1454" s="14" t="n"/>
      <c r="V1454" s="12" t="n"/>
      <c r="W1454" s="13" t="n"/>
      <c r="X1454" s="14" t="n"/>
      <c r="Y1454" s="12" t="n"/>
      <c r="Z1454" s="13" t="n"/>
      <c r="AA1454" s="14" t="n"/>
      <c r="AB1454" s="12" t="n"/>
      <c r="AC1454" s="13" t="n"/>
      <c r="AD1454" s="14" t="n"/>
      <c r="AE1454" s="12" t="n"/>
      <c r="AF1454" s="13" t="n"/>
      <c r="AG1454" s="14" t="n"/>
      <c r="AH1454" s="12" t="n"/>
      <c r="AI1454" s="13" t="n"/>
      <c r="AJ1454" s="14" t="n"/>
      <c r="AK1454" s="12" t="n"/>
      <c r="AL1454" s="13" t="n"/>
      <c r="AM1454" s="14" t="n"/>
      <c r="AN1454" s="12" t="n"/>
      <c r="AO1454" s="13" t="n"/>
      <c r="AP1454" s="14" t="n"/>
      <c r="AQ1454" s="12" t="n"/>
      <c r="AR1454" s="13" t="n"/>
      <c r="AS1454" s="14" t="n"/>
      <c r="AT1454" s="12" t="n"/>
      <c r="AU1454" s="13" t="n"/>
      <c r="AV1454" s="14" t="n"/>
      <c r="AW1454" s="12" t="n"/>
      <c r="AX1454" s="13" t="n"/>
      <c r="AY1454" s="14" t="n"/>
      <c r="AZ1454" s="12" t="n"/>
      <c r="BA1454" s="13" t="n"/>
      <c r="BB1454" s="14" t="n"/>
      <c r="BC1454" s="11">
        <f>IF(O1454="","",IF(J1454="GST 10%",ROUND(O1454*set_GSTRate,2),0))</f>
        <v/>
      </c>
      <c r="BD1454" s="11">
        <f>IF(O1454="","",O1454+BC1454)</f>
        <v/>
      </c>
      <c r="BE1454" s="15">
        <f>IF(O1454="","",COUNTA(S1454,V1454,Y1454,AB1454,AE1454,AH1454,AK1454,AN1454,AQ1454,AT1454,AW1454,AZ1454))</f>
        <v/>
      </c>
      <c r="BF1454" s="16">
        <f>IF(COUNT(T1454,W1454,Z1454,AC1454,AF1454,AI1454,AL1454,AO1454,AR1454,AU1454,AX1454,BA1454)=0,"",MAX(T1454,W1454,Z1454,AC1454,AF1454,AI1454,AL1454,AO1454,AR1454,AU1454,AX1454,BA1454))</f>
        <v/>
      </c>
      <c r="BG1454" s="10">
        <f>MID(IF(S1454="","",", "&amp;S1454)&amp;IF(V1454="","",", "&amp;V1454)&amp;IF(Y1454="","",", "&amp;Y1454)&amp;IF(AB1454="","",", "&amp;AB1454)&amp;IF(AE1454="","",", "&amp;AE1454)&amp;IF(AH1454="","",", "&amp;AH1454)&amp;IF(AK1454="","",", "&amp;AK1454)&amp;IF(AN1454="","",", "&amp;AN1454)&amp;IF(AQ1454="","",", "&amp;AQ1454)&amp;IF(AT1454="","",", "&amp;AT1454)&amp;IF(AW1454="","",", "&amp;AW1454)&amp;IF(AZ1454="","",", "&amp;AZ1454),3,500)</f>
        <v/>
      </c>
      <c r="BH1454" s="12" t="n"/>
      <c r="BI1454" s="15">
        <f>IFERROR(MATCH($A1454,IF($B1454="Onsite",tbl_Onsite[Row ID],IF($B1454="Production",tbl_Production[Row ID],tbl_Consulting[Row ID])),0),"")</f>
        <v/>
      </c>
    </row>
    <row r="1455">
      <c r="A1455" s="10" t="inlineStr">
        <is>
          <t>CON-0449</t>
        </is>
      </c>
      <c r="B1455" s="10" t="inlineStr">
        <is>
          <t>Consulting</t>
        </is>
      </c>
      <c r="C1455" s="10">
        <f>IF($BI1455="","",IF($B1455="Onsite",INDEX(tbl_Onsite[Job Number],$BI1455),IF($B1455="Production",INDEX(tbl_Production[Job Number],$BI1455),INDEX(tbl_Consulting[Job Number],$BI1455)))&amp;"")</f>
        <v/>
      </c>
      <c r="D1455" s="10">
        <f>IF($BI1455="","",IF($B1455="Onsite",INDEX(tbl_Onsite[Client],$BI1455),IF($B1455="Production",INDEX(tbl_Production[Client],$BI1455),INDEX(tbl_Consulting[Client],$BI1455)))&amp;"")</f>
        <v/>
      </c>
      <c r="E1455" s="10">
        <f>IF($C1455="","",IF(COUNTIF(lst_Jobs,$C1455)&gt;0,"OK","CHECK"))</f>
        <v/>
      </c>
      <c r="F1455" s="10">
        <f>IF($C1455="","",IFERROR(INDEX(lst_JobName,MATCH($C1455,lst_Jobs,0)),""))</f>
        <v/>
      </c>
      <c r="G1455" s="10">
        <f>IF($BI1455="","",IF($B1455="Onsite",INDEX(tbl_Onsite[Job Description],$BI1455),IF($B1455="Production",INDEX(tbl_Production[Job Description],$BI1455),INDEX(tbl_Consulting[Job Description],$BI1455)))&amp;"")</f>
        <v/>
      </c>
      <c r="H1455" s="10">
        <f>IF($BI1455="","",IF($B1455="Onsite",INDEX(tbl_Onsite[Cost Centre],$BI1455),IF($B1455="Production",INDEX(tbl_Production[Cost Centre],$BI1455),INDEX(tbl_Consulting[Cost Centre],$BI1455)))&amp;"")</f>
        <v/>
      </c>
      <c r="I1455" s="10">
        <f>IF($BI1455="","",IF($B1455="Onsite",INDEX(tbl_Onsite[Invoice Type],$BI1455),IF($B1455="Production",INDEX(tbl_Production[Invoice Type],$BI1455),INDEX(tbl_Consulting[Invoice Type],$BI1455)))&amp;"")</f>
        <v/>
      </c>
      <c r="J1455" s="10">
        <f>IF($BI1455="","",IF($B1455="Onsite",INDEX(tbl_Onsite[Tax Code],$BI1455),IF($B1455="Production",INDEX(tbl_Production[Tax Code],$BI1455),INDEX(tbl_Consulting[Tax Code],$BI1455)))&amp;"")</f>
        <v/>
      </c>
      <c r="K1455" s="10">
        <f>IF(H1455="","",IFERROR(INDEX(lst_CCtoGL,MATCH(H1455,lst_CCforGL,0)),""))</f>
        <v/>
      </c>
      <c r="L1455" s="10">
        <f>IF($BI1455="","",IF($B1455="Onsite",INDEX(tbl_Onsite[PO / Reference],$BI1455),IF($B1455="Production",INDEX(tbl_Production[Current RMS No],$BI1455),INDEX(tbl_Consulting[Qwilr Quote],$BI1455)))&amp;"")</f>
        <v/>
      </c>
      <c r="M1455" s="10">
        <f>IF($BI1455="","",IF($B1455="Onsite",INDEX(tbl_Onsite[Notes],$BI1455),IF($B1455="Production",INDEX(tbl_Production[Notes],$BI1455),INDEX(tbl_Consulting[Notes],$BI1455)))&amp;"")</f>
        <v/>
      </c>
      <c r="N1455" s="11">
        <f>IF($BI1455="","",IF(IF($B1455="Onsite",INDEX(tbl_Onsite[Expected Revenue Ex GST],$BI1455),IF($B1455="Production",INDEX(tbl_Production[Expected Revenue Ex GST],$BI1455),INDEX(tbl_Consulting[Expected Revenue Ex GST],$BI1455)))="","",IF($B1455="Onsite",INDEX(tbl_Onsite[Expected Revenue Ex GST],$BI1455),IF($B1455="Production",INDEX(tbl_Production[Expected Revenue Ex GST],$BI1455),INDEX(tbl_Consulting[Expected Revenue Ex GST],$BI1455)))))</f>
        <v/>
      </c>
      <c r="O1455" s="11">
        <f>IF(AND($C1455="",NOT(COUNTA($S1455:$BB1455)&gt;0)),"",SUM(U1455,X1455,AA1455,AD1455,AG1455,AJ1455,AM1455,AP1455,AS1455,AV1455,AY1455,BB1455))</f>
        <v/>
      </c>
      <c r="P1455" s="11">
        <f>IF(O1455="","",N(N1455)-O1455)</f>
        <v/>
      </c>
      <c r="Q1455" s="10">
        <f>IF(O1455="","",IF($C1455="","Invoice on empty job row",IF(N1455="",IF(ROUND(O1455,2)=0,"No dept value","Invoiced - no dept value"),IF(ROUND(O1455,2)=0,"Not invoiced - to invoice",IF(ROUND(P1455,2)=0,"Agrees",IF(P1455&gt;0,"Dept higher - to invoice","Xero higher - check dept"))))))</f>
        <v/>
      </c>
      <c r="R1455" s="10">
        <f>IF(AND($C1455="",NOT(COUNTA($S1455:$BB1455)&gt;0),$BI1455&lt;&gt;""),"",MID(IF($BI1455="","; Row ID not found on the department sheet - a row was deleted","")&amp;IF(AND($C1455="",COUNTA($S1455:$BB1455)&gt;0),"; Invoice entered but the department row has no job number","")&amp;IF(E1455="CHECK","; Job number not in the Xero job list","")&amp;IF(AND($C1455&lt;&gt;"",COUNTIF($C$7:$C$1506,$C1455)&gt;1),"; Job number on more than one row","")&amp;IF(AND($C1455&lt;&gt;"",H1455=""),"; Dept has not set a cost centre","")&amp;IF(AND($C1455&lt;&gt;"",J1455=""),"; Dept has not set a tax code","")&amp;IF(AND($C1455&lt;&gt;"",N1455=""),"; Dept has not entered an expected value","")&amp;IF((IF(OR(COUNTA(S1455:U1455)=0,AND(COUNTA(S1455:U1455)=3,ISNUMBER(U1455))),0,1)+IF(OR(COUNTA(V1455:X1455)=0,AND(COUNTA(V1455:X1455)=3,ISNUMBER(X1455))),0,1)+IF(OR(COUNTA(Y1455:AA1455)=0,AND(COUNTA(Y1455:AA1455)=3,ISNUMBER(AA1455))),0,1)+IF(OR(COUNTA(AB1455:AD1455)=0,AND(COUNTA(AB1455:AD1455)=3,ISNUMBER(AD1455))),0,1)+IF(OR(COUNTA(AE1455:AG1455)=0,AND(COUNTA(AE1455:AG1455)=3,ISNUMBER(AG1455))),0,1)+IF(OR(COUNTA(AH1455:AJ1455)=0,AND(COUNTA(AH1455:AJ1455)=3,ISNUMBER(AJ1455))),0,1)+IF(OR(COUNTA(AK1455:AM1455)=0,AND(COUNTA(AK1455:AM1455)=3,ISNUMBER(AM1455))),0,1)+IF(OR(COUNTA(AN1455:AP1455)=0,AND(COUNTA(AN1455:AP1455)=3,ISNUMBER(AP1455))),0,1)+IF(OR(COUNTA(AQ1455:AS1455)=0,AND(COUNTA(AQ1455:AS1455)=3,ISNUMBER(AS1455))),0,1)+IF(OR(COUNTA(AT1455:AV1455)=0,AND(COUNTA(AT1455:AV1455)=3,ISNUMBER(AV1455))),0,1)+IF(OR(COUNTA(AW1455:AY1455)=0,AND(COUNTA(AW1455:AY1455)=3,ISNUMBER(AY1455))),0,1)+IF(OR(COUNTA(AZ1455:BB1455)=0,AND(COUNTA(AZ1455:BB1455)=3,ISNUMBER(BB1455))),0,1))&gt;0,"; An invoice is incomplete (needs No, Date and a number in Ex GST)","")&amp;IF((IF(T1455="",0,IFERROR(--(EOMONTH(T1455,0)&lt;&gt;S$5),1))+IF(W1455="",0,IFERROR(--(EOMONTH(W1455,0)&lt;&gt;V$5),1))+IF(Z1455="",0,IFERROR(--(EOMONTH(Z1455,0)&lt;&gt;Y$5),1))+IF(AC1455="",0,IFERROR(--(EOMONTH(AC1455,0)&lt;&gt;AB$5),1))+IF(AF1455="",0,IFERROR(--(EOMONTH(AF1455,0)&lt;&gt;AE$5),1))+IF(AI1455="",0,IFERROR(--(EOMONTH(AI1455,0)&lt;&gt;AH$5),1))+IF(AL1455="",0,IFERROR(--(EOMONTH(AL1455,0)&lt;&gt;AK$5),1))+IF(AO1455="",0,IFERROR(--(EOMONTH(AO1455,0)&lt;&gt;AN$5),1))+IF(AR1455="",0,IFERROR(--(EOMONTH(AR1455,0)&lt;&gt;AQ$5),1))+IF(AU1455="",0,IFERROR(--(EOMONTH(AU1455,0)&lt;&gt;AT$5),1))+IF(AX1455="",0,IFERROR(--(EOMONTH(AX1455,0)&lt;&gt;AW$5),1))+IF(BA1455="",0,IFERROR(--(EOMONTH(BA1455,0)&lt;&gt;AZ$5),1)))&gt;0,"; An invoice date is not in the month it is typed under",""),3,500))</f>
        <v/>
      </c>
      <c r="S1455" s="12" t="n"/>
      <c r="T1455" s="13" t="n"/>
      <c r="U1455" s="14" t="n"/>
      <c r="V1455" s="12" t="n"/>
      <c r="W1455" s="13" t="n"/>
      <c r="X1455" s="14" t="n"/>
      <c r="Y1455" s="12" t="n"/>
      <c r="Z1455" s="13" t="n"/>
      <c r="AA1455" s="14" t="n"/>
      <c r="AB1455" s="12" t="n"/>
      <c r="AC1455" s="13" t="n"/>
      <c r="AD1455" s="14" t="n"/>
      <c r="AE1455" s="12" t="n"/>
      <c r="AF1455" s="13" t="n"/>
      <c r="AG1455" s="14" t="n"/>
      <c r="AH1455" s="12" t="n"/>
      <c r="AI1455" s="13" t="n"/>
      <c r="AJ1455" s="14" t="n"/>
      <c r="AK1455" s="12" t="n"/>
      <c r="AL1455" s="13" t="n"/>
      <c r="AM1455" s="14" t="n"/>
      <c r="AN1455" s="12" t="n"/>
      <c r="AO1455" s="13" t="n"/>
      <c r="AP1455" s="14" t="n"/>
      <c r="AQ1455" s="12" t="n"/>
      <c r="AR1455" s="13" t="n"/>
      <c r="AS1455" s="14" t="n"/>
      <c r="AT1455" s="12" t="n"/>
      <c r="AU1455" s="13" t="n"/>
      <c r="AV1455" s="14" t="n"/>
      <c r="AW1455" s="12" t="n"/>
      <c r="AX1455" s="13" t="n"/>
      <c r="AY1455" s="14" t="n"/>
      <c r="AZ1455" s="12" t="n"/>
      <c r="BA1455" s="13" t="n"/>
      <c r="BB1455" s="14" t="n"/>
      <c r="BC1455" s="11">
        <f>IF(O1455="","",IF(J1455="GST 10%",ROUND(O1455*set_GSTRate,2),0))</f>
        <v/>
      </c>
      <c r="BD1455" s="11">
        <f>IF(O1455="","",O1455+BC1455)</f>
        <v/>
      </c>
      <c r="BE1455" s="15">
        <f>IF(O1455="","",COUNTA(S1455,V1455,Y1455,AB1455,AE1455,AH1455,AK1455,AN1455,AQ1455,AT1455,AW1455,AZ1455))</f>
        <v/>
      </c>
      <c r="BF1455" s="16">
        <f>IF(COUNT(T1455,W1455,Z1455,AC1455,AF1455,AI1455,AL1455,AO1455,AR1455,AU1455,AX1455,BA1455)=0,"",MAX(T1455,W1455,Z1455,AC1455,AF1455,AI1455,AL1455,AO1455,AR1455,AU1455,AX1455,BA1455))</f>
        <v/>
      </c>
      <c r="BG1455" s="10">
        <f>MID(IF(S1455="","",", "&amp;S1455)&amp;IF(V1455="","",", "&amp;V1455)&amp;IF(Y1455="","",", "&amp;Y1455)&amp;IF(AB1455="","",", "&amp;AB1455)&amp;IF(AE1455="","",", "&amp;AE1455)&amp;IF(AH1455="","",", "&amp;AH1455)&amp;IF(AK1455="","",", "&amp;AK1455)&amp;IF(AN1455="","",", "&amp;AN1455)&amp;IF(AQ1455="","",", "&amp;AQ1455)&amp;IF(AT1455="","",", "&amp;AT1455)&amp;IF(AW1455="","",", "&amp;AW1455)&amp;IF(AZ1455="","",", "&amp;AZ1455),3,500)</f>
        <v/>
      </c>
      <c r="BH1455" s="12" t="n"/>
      <c r="BI1455" s="15">
        <f>IFERROR(MATCH($A1455,IF($B1455="Onsite",tbl_Onsite[Row ID],IF($B1455="Production",tbl_Production[Row ID],tbl_Consulting[Row ID])),0),"")</f>
        <v/>
      </c>
    </row>
    <row r="1456">
      <c r="A1456" s="10" t="inlineStr">
        <is>
          <t>CON-0450</t>
        </is>
      </c>
      <c r="B1456" s="10" t="inlineStr">
        <is>
          <t>Consulting</t>
        </is>
      </c>
      <c r="C1456" s="10">
        <f>IF($BI1456="","",IF($B1456="Onsite",INDEX(tbl_Onsite[Job Number],$BI1456),IF($B1456="Production",INDEX(tbl_Production[Job Number],$BI1456),INDEX(tbl_Consulting[Job Number],$BI1456)))&amp;"")</f>
        <v/>
      </c>
      <c r="D1456" s="10">
        <f>IF($BI1456="","",IF($B1456="Onsite",INDEX(tbl_Onsite[Client],$BI1456),IF($B1456="Production",INDEX(tbl_Production[Client],$BI1456),INDEX(tbl_Consulting[Client],$BI1456)))&amp;"")</f>
        <v/>
      </c>
      <c r="E1456" s="10">
        <f>IF($C1456="","",IF(COUNTIF(lst_Jobs,$C1456)&gt;0,"OK","CHECK"))</f>
        <v/>
      </c>
      <c r="F1456" s="10">
        <f>IF($C1456="","",IFERROR(INDEX(lst_JobName,MATCH($C1456,lst_Jobs,0)),""))</f>
        <v/>
      </c>
      <c r="G1456" s="10">
        <f>IF($BI1456="","",IF($B1456="Onsite",INDEX(tbl_Onsite[Job Description],$BI1456),IF($B1456="Production",INDEX(tbl_Production[Job Description],$BI1456),INDEX(tbl_Consulting[Job Description],$BI1456)))&amp;"")</f>
        <v/>
      </c>
      <c r="H1456" s="10">
        <f>IF($BI1456="","",IF($B1456="Onsite",INDEX(tbl_Onsite[Cost Centre],$BI1456),IF($B1456="Production",INDEX(tbl_Production[Cost Centre],$BI1456),INDEX(tbl_Consulting[Cost Centre],$BI1456)))&amp;"")</f>
        <v/>
      </c>
      <c r="I1456" s="10">
        <f>IF($BI1456="","",IF($B1456="Onsite",INDEX(tbl_Onsite[Invoice Type],$BI1456),IF($B1456="Production",INDEX(tbl_Production[Invoice Type],$BI1456),INDEX(tbl_Consulting[Invoice Type],$BI1456)))&amp;"")</f>
        <v/>
      </c>
      <c r="J1456" s="10">
        <f>IF($BI1456="","",IF($B1456="Onsite",INDEX(tbl_Onsite[Tax Code],$BI1456),IF($B1456="Production",INDEX(tbl_Production[Tax Code],$BI1456),INDEX(tbl_Consulting[Tax Code],$BI1456)))&amp;"")</f>
        <v/>
      </c>
      <c r="K1456" s="10">
        <f>IF(H1456="","",IFERROR(INDEX(lst_CCtoGL,MATCH(H1456,lst_CCforGL,0)),""))</f>
        <v/>
      </c>
      <c r="L1456" s="10">
        <f>IF($BI1456="","",IF($B1456="Onsite",INDEX(tbl_Onsite[PO / Reference],$BI1456),IF($B1456="Production",INDEX(tbl_Production[Current RMS No],$BI1456),INDEX(tbl_Consulting[Qwilr Quote],$BI1456)))&amp;"")</f>
        <v/>
      </c>
      <c r="M1456" s="10">
        <f>IF($BI1456="","",IF($B1456="Onsite",INDEX(tbl_Onsite[Notes],$BI1456),IF($B1456="Production",INDEX(tbl_Production[Notes],$BI1456),INDEX(tbl_Consulting[Notes],$BI1456)))&amp;"")</f>
        <v/>
      </c>
      <c r="N1456" s="11">
        <f>IF($BI1456="","",IF(IF($B1456="Onsite",INDEX(tbl_Onsite[Expected Revenue Ex GST],$BI1456),IF($B1456="Production",INDEX(tbl_Production[Expected Revenue Ex GST],$BI1456),INDEX(tbl_Consulting[Expected Revenue Ex GST],$BI1456)))="","",IF($B1456="Onsite",INDEX(tbl_Onsite[Expected Revenue Ex GST],$BI1456),IF($B1456="Production",INDEX(tbl_Production[Expected Revenue Ex GST],$BI1456),INDEX(tbl_Consulting[Expected Revenue Ex GST],$BI1456)))))</f>
        <v/>
      </c>
      <c r="O1456" s="11">
        <f>IF(AND($C1456="",NOT(COUNTA($S1456:$BB1456)&gt;0)),"",SUM(U1456,X1456,AA1456,AD1456,AG1456,AJ1456,AM1456,AP1456,AS1456,AV1456,AY1456,BB1456))</f>
        <v/>
      </c>
      <c r="P1456" s="11">
        <f>IF(O1456="","",N(N1456)-O1456)</f>
        <v/>
      </c>
      <c r="Q1456" s="10">
        <f>IF(O1456="","",IF($C1456="","Invoice on empty job row",IF(N1456="",IF(ROUND(O1456,2)=0,"No dept value","Invoiced - no dept value"),IF(ROUND(O1456,2)=0,"Not invoiced - to invoice",IF(ROUND(P1456,2)=0,"Agrees",IF(P1456&gt;0,"Dept higher - to invoice","Xero higher - check dept"))))))</f>
        <v/>
      </c>
      <c r="R1456" s="10">
        <f>IF(AND($C1456="",NOT(COUNTA($S1456:$BB1456)&gt;0),$BI1456&lt;&gt;""),"",MID(IF($BI1456="","; Row ID not found on the department sheet - a row was deleted","")&amp;IF(AND($C1456="",COUNTA($S1456:$BB1456)&gt;0),"; Invoice entered but the department row has no job number","")&amp;IF(E1456="CHECK","; Job number not in the Xero job list","")&amp;IF(AND($C1456&lt;&gt;"",COUNTIF($C$7:$C$1506,$C1456)&gt;1),"; Job number on more than one row","")&amp;IF(AND($C1456&lt;&gt;"",H1456=""),"; Dept has not set a cost centre","")&amp;IF(AND($C1456&lt;&gt;"",J1456=""),"; Dept has not set a tax code","")&amp;IF(AND($C1456&lt;&gt;"",N1456=""),"; Dept has not entered an expected value","")&amp;IF((IF(OR(COUNTA(S1456:U1456)=0,AND(COUNTA(S1456:U1456)=3,ISNUMBER(U1456))),0,1)+IF(OR(COUNTA(V1456:X1456)=0,AND(COUNTA(V1456:X1456)=3,ISNUMBER(X1456))),0,1)+IF(OR(COUNTA(Y1456:AA1456)=0,AND(COUNTA(Y1456:AA1456)=3,ISNUMBER(AA1456))),0,1)+IF(OR(COUNTA(AB1456:AD1456)=0,AND(COUNTA(AB1456:AD1456)=3,ISNUMBER(AD1456))),0,1)+IF(OR(COUNTA(AE1456:AG1456)=0,AND(COUNTA(AE1456:AG1456)=3,ISNUMBER(AG1456))),0,1)+IF(OR(COUNTA(AH1456:AJ1456)=0,AND(COUNTA(AH1456:AJ1456)=3,ISNUMBER(AJ1456))),0,1)+IF(OR(COUNTA(AK1456:AM1456)=0,AND(COUNTA(AK1456:AM1456)=3,ISNUMBER(AM1456))),0,1)+IF(OR(COUNTA(AN1456:AP1456)=0,AND(COUNTA(AN1456:AP1456)=3,ISNUMBER(AP1456))),0,1)+IF(OR(COUNTA(AQ1456:AS1456)=0,AND(COUNTA(AQ1456:AS1456)=3,ISNUMBER(AS1456))),0,1)+IF(OR(COUNTA(AT1456:AV1456)=0,AND(COUNTA(AT1456:AV1456)=3,ISNUMBER(AV1456))),0,1)+IF(OR(COUNTA(AW1456:AY1456)=0,AND(COUNTA(AW1456:AY1456)=3,ISNUMBER(AY1456))),0,1)+IF(OR(COUNTA(AZ1456:BB1456)=0,AND(COUNTA(AZ1456:BB1456)=3,ISNUMBER(BB1456))),0,1))&gt;0,"; An invoice is incomplete (needs No, Date and a number in Ex GST)","")&amp;IF((IF(T1456="",0,IFERROR(--(EOMONTH(T1456,0)&lt;&gt;S$5),1))+IF(W1456="",0,IFERROR(--(EOMONTH(W1456,0)&lt;&gt;V$5),1))+IF(Z1456="",0,IFERROR(--(EOMONTH(Z1456,0)&lt;&gt;Y$5),1))+IF(AC1456="",0,IFERROR(--(EOMONTH(AC1456,0)&lt;&gt;AB$5),1))+IF(AF1456="",0,IFERROR(--(EOMONTH(AF1456,0)&lt;&gt;AE$5),1))+IF(AI1456="",0,IFERROR(--(EOMONTH(AI1456,0)&lt;&gt;AH$5),1))+IF(AL1456="",0,IFERROR(--(EOMONTH(AL1456,0)&lt;&gt;AK$5),1))+IF(AO1456="",0,IFERROR(--(EOMONTH(AO1456,0)&lt;&gt;AN$5),1))+IF(AR1456="",0,IFERROR(--(EOMONTH(AR1456,0)&lt;&gt;AQ$5),1))+IF(AU1456="",0,IFERROR(--(EOMONTH(AU1456,0)&lt;&gt;AT$5),1))+IF(AX1456="",0,IFERROR(--(EOMONTH(AX1456,0)&lt;&gt;AW$5),1))+IF(BA1456="",0,IFERROR(--(EOMONTH(BA1456,0)&lt;&gt;AZ$5),1)))&gt;0,"; An invoice date is not in the month it is typed under",""),3,500))</f>
        <v/>
      </c>
      <c r="S1456" s="12" t="n"/>
      <c r="T1456" s="13" t="n"/>
      <c r="U1456" s="14" t="n"/>
      <c r="V1456" s="12" t="n"/>
      <c r="W1456" s="13" t="n"/>
      <c r="X1456" s="14" t="n"/>
      <c r="Y1456" s="12" t="n"/>
      <c r="Z1456" s="13" t="n"/>
      <c r="AA1456" s="14" t="n"/>
      <c r="AB1456" s="12" t="n"/>
      <c r="AC1456" s="13" t="n"/>
      <c r="AD1456" s="14" t="n"/>
      <c r="AE1456" s="12" t="n"/>
      <c r="AF1456" s="13" t="n"/>
      <c r="AG1456" s="14" t="n"/>
      <c r="AH1456" s="12" t="n"/>
      <c r="AI1456" s="13" t="n"/>
      <c r="AJ1456" s="14" t="n"/>
      <c r="AK1456" s="12" t="n"/>
      <c r="AL1456" s="13" t="n"/>
      <c r="AM1456" s="14" t="n"/>
      <c r="AN1456" s="12" t="n"/>
      <c r="AO1456" s="13" t="n"/>
      <c r="AP1456" s="14" t="n"/>
      <c r="AQ1456" s="12" t="n"/>
      <c r="AR1456" s="13" t="n"/>
      <c r="AS1456" s="14" t="n"/>
      <c r="AT1456" s="12" t="n"/>
      <c r="AU1456" s="13" t="n"/>
      <c r="AV1456" s="14" t="n"/>
      <c r="AW1456" s="12" t="n"/>
      <c r="AX1456" s="13" t="n"/>
      <c r="AY1456" s="14" t="n"/>
      <c r="AZ1456" s="12" t="n"/>
      <c r="BA1456" s="13" t="n"/>
      <c r="BB1456" s="14" t="n"/>
      <c r="BC1456" s="11">
        <f>IF(O1456="","",IF(J1456="GST 10%",ROUND(O1456*set_GSTRate,2),0))</f>
        <v/>
      </c>
      <c r="BD1456" s="11">
        <f>IF(O1456="","",O1456+BC1456)</f>
        <v/>
      </c>
      <c r="BE1456" s="15">
        <f>IF(O1456="","",COUNTA(S1456,V1456,Y1456,AB1456,AE1456,AH1456,AK1456,AN1456,AQ1456,AT1456,AW1456,AZ1456))</f>
        <v/>
      </c>
      <c r="BF1456" s="16">
        <f>IF(COUNT(T1456,W1456,Z1456,AC1456,AF1456,AI1456,AL1456,AO1456,AR1456,AU1456,AX1456,BA1456)=0,"",MAX(T1456,W1456,Z1456,AC1456,AF1456,AI1456,AL1456,AO1456,AR1456,AU1456,AX1456,BA1456))</f>
        <v/>
      </c>
      <c r="BG1456" s="10">
        <f>MID(IF(S1456="","",", "&amp;S1456)&amp;IF(V1456="","",", "&amp;V1456)&amp;IF(Y1456="","",", "&amp;Y1456)&amp;IF(AB1456="","",", "&amp;AB1456)&amp;IF(AE1456="","",", "&amp;AE1456)&amp;IF(AH1456="","",", "&amp;AH1456)&amp;IF(AK1456="","",", "&amp;AK1456)&amp;IF(AN1456="","",", "&amp;AN1456)&amp;IF(AQ1456="","",", "&amp;AQ1456)&amp;IF(AT1456="","",", "&amp;AT1456)&amp;IF(AW1456="","",", "&amp;AW1456)&amp;IF(AZ1456="","",", "&amp;AZ1456),3,500)</f>
        <v/>
      </c>
      <c r="BH1456" s="12" t="n"/>
      <c r="BI1456" s="15">
        <f>IFERROR(MATCH($A1456,IF($B1456="Onsite",tbl_Onsite[Row ID],IF($B1456="Production",tbl_Production[Row ID],tbl_Consulting[Row ID])),0),"")</f>
        <v/>
      </c>
    </row>
    <row r="1457">
      <c r="A1457" s="10" t="inlineStr">
        <is>
          <t>CON-0451</t>
        </is>
      </c>
      <c r="B1457" s="10" t="inlineStr">
        <is>
          <t>Consulting</t>
        </is>
      </c>
      <c r="C1457" s="10">
        <f>IF($BI1457="","",IF($B1457="Onsite",INDEX(tbl_Onsite[Job Number],$BI1457),IF($B1457="Production",INDEX(tbl_Production[Job Number],$BI1457),INDEX(tbl_Consulting[Job Number],$BI1457)))&amp;"")</f>
        <v/>
      </c>
      <c r="D1457" s="10">
        <f>IF($BI1457="","",IF($B1457="Onsite",INDEX(tbl_Onsite[Client],$BI1457),IF($B1457="Production",INDEX(tbl_Production[Client],$BI1457),INDEX(tbl_Consulting[Client],$BI1457)))&amp;"")</f>
        <v/>
      </c>
      <c r="E1457" s="10">
        <f>IF($C1457="","",IF(COUNTIF(lst_Jobs,$C1457)&gt;0,"OK","CHECK"))</f>
        <v/>
      </c>
      <c r="F1457" s="10">
        <f>IF($C1457="","",IFERROR(INDEX(lst_JobName,MATCH($C1457,lst_Jobs,0)),""))</f>
        <v/>
      </c>
      <c r="G1457" s="10">
        <f>IF($BI1457="","",IF($B1457="Onsite",INDEX(tbl_Onsite[Job Description],$BI1457),IF($B1457="Production",INDEX(tbl_Production[Job Description],$BI1457),INDEX(tbl_Consulting[Job Description],$BI1457)))&amp;"")</f>
        <v/>
      </c>
      <c r="H1457" s="10">
        <f>IF($BI1457="","",IF($B1457="Onsite",INDEX(tbl_Onsite[Cost Centre],$BI1457),IF($B1457="Production",INDEX(tbl_Production[Cost Centre],$BI1457),INDEX(tbl_Consulting[Cost Centre],$BI1457)))&amp;"")</f>
        <v/>
      </c>
      <c r="I1457" s="10">
        <f>IF($BI1457="","",IF($B1457="Onsite",INDEX(tbl_Onsite[Invoice Type],$BI1457),IF($B1457="Production",INDEX(tbl_Production[Invoice Type],$BI1457),INDEX(tbl_Consulting[Invoice Type],$BI1457)))&amp;"")</f>
        <v/>
      </c>
      <c r="J1457" s="10">
        <f>IF($BI1457="","",IF($B1457="Onsite",INDEX(tbl_Onsite[Tax Code],$BI1457),IF($B1457="Production",INDEX(tbl_Production[Tax Code],$BI1457),INDEX(tbl_Consulting[Tax Code],$BI1457)))&amp;"")</f>
        <v/>
      </c>
      <c r="K1457" s="10">
        <f>IF(H1457="","",IFERROR(INDEX(lst_CCtoGL,MATCH(H1457,lst_CCforGL,0)),""))</f>
        <v/>
      </c>
      <c r="L1457" s="10">
        <f>IF($BI1457="","",IF($B1457="Onsite",INDEX(tbl_Onsite[PO / Reference],$BI1457),IF($B1457="Production",INDEX(tbl_Production[Current RMS No],$BI1457),INDEX(tbl_Consulting[Qwilr Quote],$BI1457)))&amp;"")</f>
        <v/>
      </c>
      <c r="M1457" s="10">
        <f>IF($BI1457="","",IF($B1457="Onsite",INDEX(tbl_Onsite[Notes],$BI1457),IF($B1457="Production",INDEX(tbl_Production[Notes],$BI1457),INDEX(tbl_Consulting[Notes],$BI1457)))&amp;"")</f>
        <v/>
      </c>
      <c r="N1457" s="11">
        <f>IF($BI1457="","",IF(IF($B1457="Onsite",INDEX(tbl_Onsite[Expected Revenue Ex GST],$BI1457),IF($B1457="Production",INDEX(tbl_Production[Expected Revenue Ex GST],$BI1457),INDEX(tbl_Consulting[Expected Revenue Ex GST],$BI1457)))="","",IF($B1457="Onsite",INDEX(tbl_Onsite[Expected Revenue Ex GST],$BI1457),IF($B1457="Production",INDEX(tbl_Production[Expected Revenue Ex GST],$BI1457),INDEX(tbl_Consulting[Expected Revenue Ex GST],$BI1457)))))</f>
        <v/>
      </c>
      <c r="O1457" s="11">
        <f>IF(AND($C1457="",NOT(COUNTA($S1457:$BB1457)&gt;0)),"",SUM(U1457,X1457,AA1457,AD1457,AG1457,AJ1457,AM1457,AP1457,AS1457,AV1457,AY1457,BB1457))</f>
        <v/>
      </c>
      <c r="P1457" s="11">
        <f>IF(O1457="","",N(N1457)-O1457)</f>
        <v/>
      </c>
      <c r="Q1457" s="10">
        <f>IF(O1457="","",IF($C1457="","Invoice on empty job row",IF(N1457="",IF(ROUND(O1457,2)=0,"No dept value","Invoiced - no dept value"),IF(ROUND(O1457,2)=0,"Not invoiced - to invoice",IF(ROUND(P1457,2)=0,"Agrees",IF(P1457&gt;0,"Dept higher - to invoice","Xero higher - check dept"))))))</f>
        <v/>
      </c>
      <c r="R1457" s="10">
        <f>IF(AND($C1457="",NOT(COUNTA($S1457:$BB1457)&gt;0),$BI1457&lt;&gt;""),"",MID(IF($BI1457="","; Row ID not found on the department sheet - a row was deleted","")&amp;IF(AND($C1457="",COUNTA($S1457:$BB1457)&gt;0),"; Invoice entered but the department row has no job number","")&amp;IF(E1457="CHECK","; Job number not in the Xero job list","")&amp;IF(AND($C1457&lt;&gt;"",COUNTIF($C$7:$C$1506,$C1457)&gt;1),"; Job number on more than one row","")&amp;IF(AND($C1457&lt;&gt;"",H1457=""),"; Dept has not set a cost centre","")&amp;IF(AND($C1457&lt;&gt;"",J1457=""),"; Dept has not set a tax code","")&amp;IF(AND($C1457&lt;&gt;"",N1457=""),"; Dept has not entered an expected value","")&amp;IF((IF(OR(COUNTA(S1457:U1457)=0,AND(COUNTA(S1457:U1457)=3,ISNUMBER(U1457))),0,1)+IF(OR(COUNTA(V1457:X1457)=0,AND(COUNTA(V1457:X1457)=3,ISNUMBER(X1457))),0,1)+IF(OR(COUNTA(Y1457:AA1457)=0,AND(COUNTA(Y1457:AA1457)=3,ISNUMBER(AA1457))),0,1)+IF(OR(COUNTA(AB1457:AD1457)=0,AND(COUNTA(AB1457:AD1457)=3,ISNUMBER(AD1457))),0,1)+IF(OR(COUNTA(AE1457:AG1457)=0,AND(COUNTA(AE1457:AG1457)=3,ISNUMBER(AG1457))),0,1)+IF(OR(COUNTA(AH1457:AJ1457)=0,AND(COUNTA(AH1457:AJ1457)=3,ISNUMBER(AJ1457))),0,1)+IF(OR(COUNTA(AK1457:AM1457)=0,AND(COUNTA(AK1457:AM1457)=3,ISNUMBER(AM1457))),0,1)+IF(OR(COUNTA(AN1457:AP1457)=0,AND(COUNTA(AN1457:AP1457)=3,ISNUMBER(AP1457))),0,1)+IF(OR(COUNTA(AQ1457:AS1457)=0,AND(COUNTA(AQ1457:AS1457)=3,ISNUMBER(AS1457))),0,1)+IF(OR(COUNTA(AT1457:AV1457)=0,AND(COUNTA(AT1457:AV1457)=3,ISNUMBER(AV1457))),0,1)+IF(OR(COUNTA(AW1457:AY1457)=0,AND(COUNTA(AW1457:AY1457)=3,ISNUMBER(AY1457))),0,1)+IF(OR(COUNTA(AZ1457:BB1457)=0,AND(COUNTA(AZ1457:BB1457)=3,ISNUMBER(BB1457))),0,1))&gt;0,"; An invoice is incomplete (needs No, Date and a number in Ex GST)","")&amp;IF((IF(T1457="",0,IFERROR(--(EOMONTH(T1457,0)&lt;&gt;S$5),1))+IF(W1457="",0,IFERROR(--(EOMONTH(W1457,0)&lt;&gt;V$5),1))+IF(Z1457="",0,IFERROR(--(EOMONTH(Z1457,0)&lt;&gt;Y$5),1))+IF(AC1457="",0,IFERROR(--(EOMONTH(AC1457,0)&lt;&gt;AB$5),1))+IF(AF1457="",0,IFERROR(--(EOMONTH(AF1457,0)&lt;&gt;AE$5),1))+IF(AI1457="",0,IFERROR(--(EOMONTH(AI1457,0)&lt;&gt;AH$5),1))+IF(AL1457="",0,IFERROR(--(EOMONTH(AL1457,0)&lt;&gt;AK$5),1))+IF(AO1457="",0,IFERROR(--(EOMONTH(AO1457,0)&lt;&gt;AN$5),1))+IF(AR1457="",0,IFERROR(--(EOMONTH(AR1457,0)&lt;&gt;AQ$5),1))+IF(AU1457="",0,IFERROR(--(EOMONTH(AU1457,0)&lt;&gt;AT$5),1))+IF(AX1457="",0,IFERROR(--(EOMONTH(AX1457,0)&lt;&gt;AW$5),1))+IF(BA1457="",0,IFERROR(--(EOMONTH(BA1457,0)&lt;&gt;AZ$5),1)))&gt;0,"; An invoice date is not in the month it is typed under",""),3,500))</f>
        <v/>
      </c>
      <c r="S1457" s="12" t="n"/>
      <c r="T1457" s="13" t="n"/>
      <c r="U1457" s="14" t="n"/>
      <c r="V1457" s="12" t="n"/>
      <c r="W1457" s="13" t="n"/>
      <c r="X1457" s="14" t="n"/>
      <c r="Y1457" s="12" t="n"/>
      <c r="Z1457" s="13" t="n"/>
      <c r="AA1457" s="14" t="n"/>
      <c r="AB1457" s="12" t="n"/>
      <c r="AC1457" s="13" t="n"/>
      <c r="AD1457" s="14" t="n"/>
      <c r="AE1457" s="12" t="n"/>
      <c r="AF1457" s="13" t="n"/>
      <c r="AG1457" s="14" t="n"/>
      <c r="AH1457" s="12" t="n"/>
      <c r="AI1457" s="13" t="n"/>
      <c r="AJ1457" s="14" t="n"/>
      <c r="AK1457" s="12" t="n"/>
      <c r="AL1457" s="13" t="n"/>
      <c r="AM1457" s="14" t="n"/>
      <c r="AN1457" s="12" t="n"/>
      <c r="AO1457" s="13" t="n"/>
      <c r="AP1457" s="14" t="n"/>
      <c r="AQ1457" s="12" t="n"/>
      <c r="AR1457" s="13" t="n"/>
      <c r="AS1457" s="14" t="n"/>
      <c r="AT1457" s="12" t="n"/>
      <c r="AU1457" s="13" t="n"/>
      <c r="AV1457" s="14" t="n"/>
      <c r="AW1457" s="12" t="n"/>
      <c r="AX1457" s="13" t="n"/>
      <c r="AY1457" s="14" t="n"/>
      <c r="AZ1457" s="12" t="n"/>
      <c r="BA1457" s="13" t="n"/>
      <c r="BB1457" s="14" t="n"/>
      <c r="BC1457" s="11">
        <f>IF(O1457="","",IF(J1457="GST 10%",ROUND(O1457*set_GSTRate,2),0))</f>
        <v/>
      </c>
      <c r="BD1457" s="11">
        <f>IF(O1457="","",O1457+BC1457)</f>
        <v/>
      </c>
      <c r="BE1457" s="15">
        <f>IF(O1457="","",COUNTA(S1457,V1457,Y1457,AB1457,AE1457,AH1457,AK1457,AN1457,AQ1457,AT1457,AW1457,AZ1457))</f>
        <v/>
      </c>
      <c r="BF1457" s="16">
        <f>IF(COUNT(T1457,W1457,Z1457,AC1457,AF1457,AI1457,AL1457,AO1457,AR1457,AU1457,AX1457,BA1457)=0,"",MAX(T1457,W1457,Z1457,AC1457,AF1457,AI1457,AL1457,AO1457,AR1457,AU1457,AX1457,BA1457))</f>
        <v/>
      </c>
      <c r="BG1457" s="10">
        <f>MID(IF(S1457="","",", "&amp;S1457)&amp;IF(V1457="","",", "&amp;V1457)&amp;IF(Y1457="","",", "&amp;Y1457)&amp;IF(AB1457="","",", "&amp;AB1457)&amp;IF(AE1457="","",", "&amp;AE1457)&amp;IF(AH1457="","",", "&amp;AH1457)&amp;IF(AK1457="","",", "&amp;AK1457)&amp;IF(AN1457="","",", "&amp;AN1457)&amp;IF(AQ1457="","",", "&amp;AQ1457)&amp;IF(AT1457="","",", "&amp;AT1457)&amp;IF(AW1457="","",", "&amp;AW1457)&amp;IF(AZ1457="","",", "&amp;AZ1457),3,500)</f>
        <v/>
      </c>
      <c r="BH1457" s="12" t="n"/>
      <c r="BI1457" s="15">
        <f>IFERROR(MATCH($A1457,IF($B1457="Onsite",tbl_Onsite[Row ID],IF($B1457="Production",tbl_Production[Row ID],tbl_Consulting[Row ID])),0),"")</f>
        <v/>
      </c>
    </row>
    <row r="1458">
      <c r="A1458" s="10" t="inlineStr">
        <is>
          <t>CON-0452</t>
        </is>
      </c>
      <c r="B1458" s="10" t="inlineStr">
        <is>
          <t>Consulting</t>
        </is>
      </c>
      <c r="C1458" s="10">
        <f>IF($BI1458="","",IF($B1458="Onsite",INDEX(tbl_Onsite[Job Number],$BI1458),IF($B1458="Production",INDEX(tbl_Production[Job Number],$BI1458),INDEX(tbl_Consulting[Job Number],$BI1458)))&amp;"")</f>
        <v/>
      </c>
      <c r="D1458" s="10">
        <f>IF($BI1458="","",IF($B1458="Onsite",INDEX(tbl_Onsite[Client],$BI1458),IF($B1458="Production",INDEX(tbl_Production[Client],$BI1458),INDEX(tbl_Consulting[Client],$BI1458)))&amp;"")</f>
        <v/>
      </c>
      <c r="E1458" s="10">
        <f>IF($C1458="","",IF(COUNTIF(lst_Jobs,$C1458)&gt;0,"OK","CHECK"))</f>
        <v/>
      </c>
      <c r="F1458" s="10">
        <f>IF($C1458="","",IFERROR(INDEX(lst_JobName,MATCH($C1458,lst_Jobs,0)),""))</f>
        <v/>
      </c>
      <c r="G1458" s="10">
        <f>IF($BI1458="","",IF($B1458="Onsite",INDEX(tbl_Onsite[Job Description],$BI1458),IF($B1458="Production",INDEX(tbl_Production[Job Description],$BI1458),INDEX(tbl_Consulting[Job Description],$BI1458)))&amp;"")</f>
        <v/>
      </c>
      <c r="H1458" s="10">
        <f>IF($BI1458="","",IF($B1458="Onsite",INDEX(tbl_Onsite[Cost Centre],$BI1458),IF($B1458="Production",INDEX(tbl_Production[Cost Centre],$BI1458),INDEX(tbl_Consulting[Cost Centre],$BI1458)))&amp;"")</f>
        <v/>
      </c>
      <c r="I1458" s="10">
        <f>IF($BI1458="","",IF($B1458="Onsite",INDEX(tbl_Onsite[Invoice Type],$BI1458),IF($B1458="Production",INDEX(tbl_Production[Invoice Type],$BI1458),INDEX(tbl_Consulting[Invoice Type],$BI1458)))&amp;"")</f>
        <v/>
      </c>
      <c r="J1458" s="10">
        <f>IF($BI1458="","",IF($B1458="Onsite",INDEX(tbl_Onsite[Tax Code],$BI1458),IF($B1458="Production",INDEX(tbl_Production[Tax Code],$BI1458),INDEX(tbl_Consulting[Tax Code],$BI1458)))&amp;"")</f>
        <v/>
      </c>
      <c r="K1458" s="10">
        <f>IF(H1458="","",IFERROR(INDEX(lst_CCtoGL,MATCH(H1458,lst_CCforGL,0)),""))</f>
        <v/>
      </c>
      <c r="L1458" s="10">
        <f>IF($BI1458="","",IF($B1458="Onsite",INDEX(tbl_Onsite[PO / Reference],$BI1458),IF($B1458="Production",INDEX(tbl_Production[Current RMS No],$BI1458),INDEX(tbl_Consulting[Qwilr Quote],$BI1458)))&amp;"")</f>
        <v/>
      </c>
      <c r="M1458" s="10">
        <f>IF($BI1458="","",IF($B1458="Onsite",INDEX(tbl_Onsite[Notes],$BI1458),IF($B1458="Production",INDEX(tbl_Production[Notes],$BI1458),INDEX(tbl_Consulting[Notes],$BI1458)))&amp;"")</f>
        <v/>
      </c>
      <c r="N1458" s="11">
        <f>IF($BI1458="","",IF(IF($B1458="Onsite",INDEX(tbl_Onsite[Expected Revenue Ex GST],$BI1458),IF($B1458="Production",INDEX(tbl_Production[Expected Revenue Ex GST],$BI1458),INDEX(tbl_Consulting[Expected Revenue Ex GST],$BI1458)))="","",IF($B1458="Onsite",INDEX(tbl_Onsite[Expected Revenue Ex GST],$BI1458),IF($B1458="Production",INDEX(tbl_Production[Expected Revenue Ex GST],$BI1458),INDEX(tbl_Consulting[Expected Revenue Ex GST],$BI1458)))))</f>
        <v/>
      </c>
      <c r="O1458" s="11">
        <f>IF(AND($C1458="",NOT(COUNTA($S1458:$BB1458)&gt;0)),"",SUM(U1458,X1458,AA1458,AD1458,AG1458,AJ1458,AM1458,AP1458,AS1458,AV1458,AY1458,BB1458))</f>
        <v/>
      </c>
      <c r="P1458" s="11">
        <f>IF(O1458="","",N(N1458)-O1458)</f>
        <v/>
      </c>
      <c r="Q1458" s="10">
        <f>IF(O1458="","",IF($C1458="","Invoice on empty job row",IF(N1458="",IF(ROUND(O1458,2)=0,"No dept value","Invoiced - no dept value"),IF(ROUND(O1458,2)=0,"Not invoiced - to invoice",IF(ROUND(P1458,2)=0,"Agrees",IF(P1458&gt;0,"Dept higher - to invoice","Xero higher - check dept"))))))</f>
        <v/>
      </c>
      <c r="R1458" s="10">
        <f>IF(AND($C1458="",NOT(COUNTA($S1458:$BB1458)&gt;0),$BI1458&lt;&gt;""),"",MID(IF($BI1458="","; Row ID not found on the department sheet - a row was deleted","")&amp;IF(AND($C1458="",COUNTA($S1458:$BB1458)&gt;0),"; Invoice entered but the department row has no job number","")&amp;IF(E1458="CHECK","; Job number not in the Xero job list","")&amp;IF(AND($C1458&lt;&gt;"",COUNTIF($C$7:$C$1506,$C1458)&gt;1),"; Job number on more than one row","")&amp;IF(AND($C1458&lt;&gt;"",H1458=""),"; Dept has not set a cost centre","")&amp;IF(AND($C1458&lt;&gt;"",J1458=""),"; Dept has not set a tax code","")&amp;IF(AND($C1458&lt;&gt;"",N1458=""),"; Dept has not entered an expected value","")&amp;IF((IF(OR(COUNTA(S1458:U1458)=0,AND(COUNTA(S1458:U1458)=3,ISNUMBER(U1458))),0,1)+IF(OR(COUNTA(V1458:X1458)=0,AND(COUNTA(V1458:X1458)=3,ISNUMBER(X1458))),0,1)+IF(OR(COUNTA(Y1458:AA1458)=0,AND(COUNTA(Y1458:AA1458)=3,ISNUMBER(AA1458))),0,1)+IF(OR(COUNTA(AB1458:AD1458)=0,AND(COUNTA(AB1458:AD1458)=3,ISNUMBER(AD1458))),0,1)+IF(OR(COUNTA(AE1458:AG1458)=0,AND(COUNTA(AE1458:AG1458)=3,ISNUMBER(AG1458))),0,1)+IF(OR(COUNTA(AH1458:AJ1458)=0,AND(COUNTA(AH1458:AJ1458)=3,ISNUMBER(AJ1458))),0,1)+IF(OR(COUNTA(AK1458:AM1458)=0,AND(COUNTA(AK1458:AM1458)=3,ISNUMBER(AM1458))),0,1)+IF(OR(COUNTA(AN1458:AP1458)=0,AND(COUNTA(AN1458:AP1458)=3,ISNUMBER(AP1458))),0,1)+IF(OR(COUNTA(AQ1458:AS1458)=0,AND(COUNTA(AQ1458:AS1458)=3,ISNUMBER(AS1458))),0,1)+IF(OR(COUNTA(AT1458:AV1458)=0,AND(COUNTA(AT1458:AV1458)=3,ISNUMBER(AV1458))),0,1)+IF(OR(COUNTA(AW1458:AY1458)=0,AND(COUNTA(AW1458:AY1458)=3,ISNUMBER(AY1458))),0,1)+IF(OR(COUNTA(AZ1458:BB1458)=0,AND(COUNTA(AZ1458:BB1458)=3,ISNUMBER(BB1458))),0,1))&gt;0,"; An invoice is incomplete (needs No, Date and a number in Ex GST)","")&amp;IF((IF(T1458="",0,IFERROR(--(EOMONTH(T1458,0)&lt;&gt;S$5),1))+IF(W1458="",0,IFERROR(--(EOMONTH(W1458,0)&lt;&gt;V$5),1))+IF(Z1458="",0,IFERROR(--(EOMONTH(Z1458,0)&lt;&gt;Y$5),1))+IF(AC1458="",0,IFERROR(--(EOMONTH(AC1458,0)&lt;&gt;AB$5),1))+IF(AF1458="",0,IFERROR(--(EOMONTH(AF1458,0)&lt;&gt;AE$5),1))+IF(AI1458="",0,IFERROR(--(EOMONTH(AI1458,0)&lt;&gt;AH$5),1))+IF(AL1458="",0,IFERROR(--(EOMONTH(AL1458,0)&lt;&gt;AK$5),1))+IF(AO1458="",0,IFERROR(--(EOMONTH(AO1458,0)&lt;&gt;AN$5),1))+IF(AR1458="",0,IFERROR(--(EOMONTH(AR1458,0)&lt;&gt;AQ$5),1))+IF(AU1458="",0,IFERROR(--(EOMONTH(AU1458,0)&lt;&gt;AT$5),1))+IF(AX1458="",0,IFERROR(--(EOMONTH(AX1458,0)&lt;&gt;AW$5),1))+IF(BA1458="",0,IFERROR(--(EOMONTH(BA1458,0)&lt;&gt;AZ$5),1)))&gt;0,"; An invoice date is not in the month it is typed under",""),3,500))</f>
        <v/>
      </c>
      <c r="S1458" s="12" t="n"/>
      <c r="T1458" s="13" t="n"/>
      <c r="U1458" s="14" t="n"/>
      <c r="V1458" s="12" t="n"/>
      <c r="W1458" s="13" t="n"/>
      <c r="X1458" s="14" t="n"/>
      <c r="Y1458" s="12" t="n"/>
      <c r="Z1458" s="13" t="n"/>
      <c r="AA1458" s="14" t="n"/>
      <c r="AB1458" s="12" t="n"/>
      <c r="AC1458" s="13" t="n"/>
      <c r="AD1458" s="14" t="n"/>
      <c r="AE1458" s="12" t="n"/>
      <c r="AF1458" s="13" t="n"/>
      <c r="AG1458" s="14" t="n"/>
      <c r="AH1458" s="12" t="n"/>
      <c r="AI1458" s="13" t="n"/>
      <c r="AJ1458" s="14" t="n"/>
      <c r="AK1458" s="12" t="n"/>
      <c r="AL1458" s="13" t="n"/>
      <c r="AM1458" s="14" t="n"/>
      <c r="AN1458" s="12" t="n"/>
      <c r="AO1458" s="13" t="n"/>
      <c r="AP1458" s="14" t="n"/>
      <c r="AQ1458" s="12" t="n"/>
      <c r="AR1458" s="13" t="n"/>
      <c r="AS1458" s="14" t="n"/>
      <c r="AT1458" s="12" t="n"/>
      <c r="AU1458" s="13" t="n"/>
      <c r="AV1458" s="14" t="n"/>
      <c r="AW1458" s="12" t="n"/>
      <c r="AX1458" s="13" t="n"/>
      <c r="AY1458" s="14" t="n"/>
      <c r="AZ1458" s="12" t="n"/>
      <c r="BA1458" s="13" t="n"/>
      <c r="BB1458" s="14" t="n"/>
      <c r="BC1458" s="11">
        <f>IF(O1458="","",IF(J1458="GST 10%",ROUND(O1458*set_GSTRate,2),0))</f>
        <v/>
      </c>
      <c r="BD1458" s="11">
        <f>IF(O1458="","",O1458+BC1458)</f>
        <v/>
      </c>
      <c r="BE1458" s="15">
        <f>IF(O1458="","",COUNTA(S1458,V1458,Y1458,AB1458,AE1458,AH1458,AK1458,AN1458,AQ1458,AT1458,AW1458,AZ1458))</f>
        <v/>
      </c>
      <c r="BF1458" s="16">
        <f>IF(COUNT(T1458,W1458,Z1458,AC1458,AF1458,AI1458,AL1458,AO1458,AR1458,AU1458,AX1458,BA1458)=0,"",MAX(T1458,W1458,Z1458,AC1458,AF1458,AI1458,AL1458,AO1458,AR1458,AU1458,AX1458,BA1458))</f>
        <v/>
      </c>
      <c r="BG1458" s="10">
        <f>MID(IF(S1458="","",", "&amp;S1458)&amp;IF(V1458="","",", "&amp;V1458)&amp;IF(Y1458="","",", "&amp;Y1458)&amp;IF(AB1458="","",", "&amp;AB1458)&amp;IF(AE1458="","",", "&amp;AE1458)&amp;IF(AH1458="","",", "&amp;AH1458)&amp;IF(AK1458="","",", "&amp;AK1458)&amp;IF(AN1458="","",", "&amp;AN1458)&amp;IF(AQ1458="","",", "&amp;AQ1458)&amp;IF(AT1458="","",", "&amp;AT1458)&amp;IF(AW1458="","",", "&amp;AW1458)&amp;IF(AZ1458="","",", "&amp;AZ1458),3,500)</f>
        <v/>
      </c>
      <c r="BH1458" s="12" t="n"/>
      <c r="BI1458" s="15">
        <f>IFERROR(MATCH($A1458,IF($B1458="Onsite",tbl_Onsite[Row ID],IF($B1458="Production",tbl_Production[Row ID],tbl_Consulting[Row ID])),0),"")</f>
        <v/>
      </c>
    </row>
    <row r="1459">
      <c r="A1459" s="10" t="inlineStr">
        <is>
          <t>CON-0453</t>
        </is>
      </c>
      <c r="B1459" s="10" t="inlineStr">
        <is>
          <t>Consulting</t>
        </is>
      </c>
      <c r="C1459" s="10">
        <f>IF($BI1459="","",IF($B1459="Onsite",INDEX(tbl_Onsite[Job Number],$BI1459),IF($B1459="Production",INDEX(tbl_Production[Job Number],$BI1459),INDEX(tbl_Consulting[Job Number],$BI1459)))&amp;"")</f>
        <v/>
      </c>
      <c r="D1459" s="10">
        <f>IF($BI1459="","",IF($B1459="Onsite",INDEX(tbl_Onsite[Client],$BI1459),IF($B1459="Production",INDEX(tbl_Production[Client],$BI1459),INDEX(tbl_Consulting[Client],$BI1459)))&amp;"")</f>
        <v/>
      </c>
      <c r="E1459" s="10">
        <f>IF($C1459="","",IF(COUNTIF(lst_Jobs,$C1459)&gt;0,"OK","CHECK"))</f>
        <v/>
      </c>
      <c r="F1459" s="10">
        <f>IF($C1459="","",IFERROR(INDEX(lst_JobName,MATCH($C1459,lst_Jobs,0)),""))</f>
        <v/>
      </c>
      <c r="G1459" s="10">
        <f>IF($BI1459="","",IF($B1459="Onsite",INDEX(tbl_Onsite[Job Description],$BI1459),IF($B1459="Production",INDEX(tbl_Production[Job Description],$BI1459),INDEX(tbl_Consulting[Job Description],$BI1459)))&amp;"")</f>
        <v/>
      </c>
      <c r="H1459" s="10">
        <f>IF($BI1459="","",IF($B1459="Onsite",INDEX(tbl_Onsite[Cost Centre],$BI1459),IF($B1459="Production",INDEX(tbl_Production[Cost Centre],$BI1459),INDEX(tbl_Consulting[Cost Centre],$BI1459)))&amp;"")</f>
        <v/>
      </c>
      <c r="I1459" s="10">
        <f>IF($BI1459="","",IF($B1459="Onsite",INDEX(tbl_Onsite[Invoice Type],$BI1459),IF($B1459="Production",INDEX(tbl_Production[Invoice Type],$BI1459),INDEX(tbl_Consulting[Invoice Type],$BI1459)))&amp;"")</f>
        <v/>
      </c>
      <c r="J1459" s="10">
        <f>IF($BI1459="","",IF($B1459="Onsite",INDEX(tbl_Onsite[Tax Code],$BI1459),IF($B1459="Production",INDEX(tbl_Production[Tax Code],$BI1459),INDEX(tbl_Consulting[Tax Code],$BI1459)))&amp;"")</f>
        <v/>
      </c>
      <c r="K1459" s="10">
        <f>IF(H1459="","",IFERROR(INDEX(lst_CCtoGL,MATCH(H1459,lst_CCforGL,0)),""))</f>
        <v/>
      </c>
      <c r="L1459" s="10">
        <f>IF($BI1459="","",IF($B1459="Onsite",INDEX(tbl_Onsite[PO / Reference],$BI1459),IF($B1459="Production",INDEX(tbl_Production[Current RMS No],$BI1459),INDEX(tbl_Consulting[Qwilr Quote],$BI1459)))&amp;"")</f>
        <v/>
      </c>
      <c r="M1459" s="10">
        <f>IF($BI1459="","",IF($B1459="Onsite",INDEX(tbl_Onsite[Notes],$BI1459),IF($B1459="Production",INDEX(tbl_Production[Notes],$BI1459),INDEX(tbl_Consulting[Notes],$BI1459)))&amp;"")</f>
        <v/>
      </c>
      <c r="N1459" s="11">
        <f>IF($BI1459="","",IF(IF($B1459="Onsite",INDEX(tbl_Onsite[Expected Revenue Ex GST],$BI1459),IF($B1459="Production",INDEX(tbl_Production[Expected Revenue Ex GST],$BI1459),INDEX(tbl_Consulting[Expected Revenue Ex GST],$BI1459)))="","",IF($B1459="Onsite",INDEX(tbl_Onsite[Expected Revenue Ex GST],$BI1459),IF($B1459="Production",INDEX(tbl_Production[Expected Revenue Ex GST],$BI1459),INDEX(tbl_Consulting[Expected Revenue Ex GST],$BI1459)))))</f>
        <v/>
      </c>
      <c r="O1459" s="11">
        <f>IF(AND($C1459="",NOT(COUNTA($S1459:$BB1459)&gt;0)),"",SUM(U1459,X1459,AA1459,AD1459,AG1459,AJ1459,AM1459,AP1459,AS1459,AV1459,AY1459,BB1459))</f>
        <v/>
      </c>
      <c r="P1459" s="11">
        <f>IF(O1459="","",N(N1459)-O1459)</f>
        <v/>
      </c>
      <c r="Q1459" s="10">
        <f>IF(O1459="","",IF($C1459="","Invoice on empty job row",IF(N1459="",IF(ROUND(O1459,2)=0,"No dept value","Invoiced - no dept value"),IF(ROUND(O1459,2)=0,"Not invoiced - to invoice",IF(ROUND(P1459,2)=0,"Agrees",IF(P1459&gt;0,"Dept higher - to invoice","Xero higher - check dept"))))))</f>
        <v/>
      </c>
      <c r="R1459" s="10">
        <f>IF(AND($C1459="",NOT(COUNTA($S1459:$BB1459)&gt;0),$BI1459&lt;&gt;""),"",MID(IF($BI1459="","; Row ID not found on the department sheet - a row was deleted","")&amp;IF(AND($C1459="",COUNTA($S1459:$BB1459)&gt;0),"; Invoice entered but the department row has no job number","")&amp;IF(E1459="CHECK","; Job number not in the Xero job list","")&amp;IF(AND($C1459&lt;&gt;"",COUNTIF($C$7:$C$1506,$C1459)&gt;1),"; Job number on more than one row","")&amp;IF(AND($C1459&lt;&gt;"",H1459=""),"; Dept has not set a cost centre","")&amp;IF(AND($C1459&lt;&gt;"",J1459=""),"; Dept has not set a tax code","")&amp;IF(AND($C1459&lt;&gt;"",N1459=""),"; Dept has not entered an expected value","")&amp;IF((IF(OR(COUNTA(S1459:U1459)=0,AND(COUNTA(S1459:U1459)=3,ISNUMBER(U1459))),0,1)+IF(OR(COUNTA(V1459:X1459)=0,AND(COUNTA(V1459:X1459)=3,ISNUMBER(X1459))),0,1)+IF(OR(COUNTA(Y1459:AA1459)=0,AND(COUNTA(Y1459:AA1459)=3,ISNUMBER(AA1459))),0,1)+IF(OR(COUNTA(AB1459:AD1459)=0,AND(COUNTA(AB1459:AD1459)=3,ISNUMBER(AD1459))),0,1)+IF(OR(COUNTA(AE1459:AG1459)=0,AND(COUNTA(AE1459:AG1459)=3,ISNUMBER(AG1459))),0,1)+IF(OR(COUNTA(AH1459:AJ1459)=0,AND(COUNTA(AH1459:AJ1459)=3,ISNUMBER(AJ1459))),0,1)+IF(OR(COUNTA(AK1459:AM1459)=0,AND(COUNTA(AK1459:AM1459)=3,ISNUMBER(AM1459))),0,1)+IF(OR(COUNTA(AN1459:AP1459)=0,AND(COUNTA(AN1459:AP1459)=3,ISNUMBER(AP1459))),0,1)+IF(OR(COUNTA(AQ1459:AS1459)=0,AND(COUNTA(AQ1459:AS1459)=3,ISNUMBER(AS1459))),0,1)+IF(OR(COUNTA(AT1459:AV1459)=0,AND(COUNTA(AT1459:AV1459)=3,ISNUMBER(AV1459))),0,1)+IF(OR(COUNTA(AW1459:AY1459)=0,AND(COUNTA(AW1459:AY1459)=3,ISNUMBER(AY1459))),0,1)+IF(OR(COUNTA(AZ1459:BB1459)=0,AND(COUNTA(AZ1459:BB1459)=3,ISNUMBER(BB1459))),0,1))&gt;0,"; An invoice is incomplete (needs No, Date and a number in Ex GST)","")&amp;IF((IF(T1459="",0,IFERROR(--(EOMONTH(T1459,0)&lt;&gt;S$5),1))+IF(W1459="",0,IFERROR(--(EOMONTH(W1459,0)&lt;&gt;V$5),1))+IF(Z1459="",0,IFERROR(--(EOMONTH(Z1459,0)&lt;&gt;Y$5),1))+IF(AC1459="",0,IFERROR(--(EOMONTH(AC1459,0)&lt;&gt;AB$5),1))+IF(AF1459="",0,IFERROR(--(EOMONTH(AF1459,0)&lt;&gt;AE$5),1))+IF(AI1459="",0,IFERROR(--(EOMONTH(AI1459,0)&lt;&gt;AH$5),1))+IF(AL1459="",0,IFERROR(--(EOMONTH(AL1459,0)&lt;&gt;AK$5),1))+IF(AO1459="",0,IFERROR(--(EOMONTH(AO1459,0)&lt;&gt;AN$5),1))+IF(AR1459="",0,IFERROR(--(EOMONTH(AR1459,0)&lt;&gt;AQ$5),1))+IF(AU1459="",0,IFERROR(--(EOMONTH(AU1459,0)&lt;&gt;AT$5),1))+IF(AX1459="",0,IFERROR(--(EOMONTH(AX1459,0)&lt;&gt;AW$5),1))+IF(BA1459="",0,IFERROR(--(EOMONTH(BA1459,0)&lt;&gt;AZ$5),1)))&gt;0,"; An invoice date is not in the month it is typed under",""),3,500))</f>
        <v/>
      </c>
      <c r="S1459" s="12" t="n"/>
      <c r="T1459" s="13" t="n"/>
      <c r="U1459" s="14" t="n"/>
      <c r="V1459" s="12" t="n"/>
      <c r="W1459" s="13" t="n"/>
      <c r="X1459" s="14" t="n"/>
      <c r="Y1459" s="12" t="n"/>
      <c r="Z1459" s="13" t="n"/>
      <c r="AA1459" s="14" t="n"/>
      <c r="AB1459" s="12" t="n"/>
      <c r="AC1459" s="13" t="n"/>
      <c r="AD1459" s="14" t="n"/>
      <c r="AE1459" s="12" t="n"/>
      <c r="AF1459" s="13" t="n"/>
      <c r="AG1459" s="14" t="n"/>
      <c r="AH1459" s="12" t="n"/>
      <c r="AI1459" s="13" t="n"/>
      <c r="AJ1459" s="14" t="n"/>
      <c r="AK1459" s="12" t="n"/>
      <c r="AL1459" s="13" t="n"/>
      <c r="AM1459" s="14" t="n"/>
      <c r="AN1459" s="12" t="n"/>
      <c r="AO1459" s="13" t="n"/>
      <c r="AP1459" s="14" t="n"/>
      <c r="AQ1459" s="12" t="n"/>
      <c r="AR1459" s="13" t="n"/>
      <c r="AS1459" s="14" t="n"/>
      <c r="AT1459" s="12" t="n"/>
      <c r="AU1459" s="13" t="n"/>
      <c r="AV1459" s="14" t="n"/>
      <c r="AW1459" s="12" t="n"/>
      <c r="AX1459" s="13" t="n"/>
      <c r="AY1459" s="14" t="n"/>
      <c r="AZ1459" s="12" t="n"/>
      <c r="BA1459" s="13" t="n"/>
      <c r="BB1459" s="14" t="n"/>
      <c r="BC1459" s="11">
        <f>IF(O1459="","",IF(J1459="GST 10%",ROUND(O1459*set_GSTRate,2),0))</f>
        <v/>
      </c>
      <c r="BD1459" s="11">
        <f>IF(O1459="","",O1459+BC1459)</f>
        <v/>
      </c>
      <c r="BE1459" s="15">
        <f>IF(O1459="","",COUNTA(S1459,V1459,Y1459,AB1459,AE1459,AH1459,AK1459,AN1459,AQ1459,AT1459,AW1459,AZ1459))</f>
        <v/>
      </c>
      <c r="BF1459" s="16">
        <f>IF(COUNT(T1459,W1459,Z1459,AC1459,AF1459,AI1459,AL1459,AO1459,AR1459,AU1459,AX1459,BA1459)=0,"",MAX(T1459,W1459,Z1459,AC1459,AF1459,AI1459,AL1459,AO1459,AR1459,AU1459,AX1459,BA1459))</f>
        <v/>
      </c>
      <c r="BG1459" s="10">
        <f>MID(IF(S1459="","",", "&amp;S1459)&amp;IF(V1459="","",", "&amp;V1459)&amp;IF(Y1459="","",", "&amp;Y1459)&amp;IF(AB1459="","",", "&amp;AB1459)&amp;IF(AE1459="","",", "&amp;AE1459)&amp;IF(AH1459="","",", "&amp;AH1459)&amp;IF(AK1459="","",", "&amp;AK1459)&amp;IF(AN1459="","",", "&amp;AN1459)&amp;IF(AQ1459="","",", "&amp;AQ1459)&amp;IF(AT1459="","",", "&amp;AT1459)&amp;IF(AW1459="","",", "&amp;AW1459)&amp;IF(AZ1459="","",", "&amp;AZ1459),3,500)</f>
        <v/>
      </c>
      <c r="BH1459" s="12" t="n"/>
      <c r="BI1459" s="15">
        <f>IFERROR(MATCH($A1459,IF($B1459="Onsite",tbl_Onsite[Row ID],IF($B1459="Production",tbl_Production[Row ID],tbl_Consulting[Row ID])),0),"")</f>
        <v/>
      </c>
    </row>
    <row r="1460">
      <c r="A1460" s="10" t="inlineStr">
        <is>
          <t>CON-0454</t>
        </is>
      </c>
      <c r="B1460" s="10" t="inlineStr">
        <is>
          <t>Consulting</t>
        </is>
      </c>
      <c r="C1460" s="10">
        <f>IF($BI1460="","",IF($B1460="Onsite",INDEX(tbl_Onsite[Job Number],$BI1460),IF($B1460="Production",INDEX(tbl_Production[Job Number],$BI1460),INDEX(tbl_Consulting[Job Number],$BI1460)))&amp;"")</f>
        <v/>
      </c>
      <c r="D1460" s="10">
        <f>IF($BI1460="","",IF($B1460="Onsite",INDEX(tbl_Onsite[Client],$BI1460),IF($B1460="Production",INDEX(tbl_Production[Client],$BI1460),INDEX(tbl_Consulting[Client],$BI1460)))&amp;"")</f>
        <v/>
      </c>
      <c r="E1460" s="10">
        <f>IF($C1460="","",IF(COUNTIF(lst_Jobs,$C1460)&gt;0,"OK","CHECK"))</f>
        <v/>
      </c>
      <c r="F1460" s="10">
        <f>IF($C1460="","",IFERROR(INDEX(lst_JobName,MATCH($C1460,lst_Jobs,0)),""))</f>
        <v/>
      </c>
      <c r="G1460" s="10">
        <f>IF($BI1460="","",IF($B1460="Onsite",INDEX(tbl_Onsite[Job Description],$BI1460),IF($B1460="Production",INDEX(tbl_Production[Job Description],$BI1460),INDEX(tbl_Consulting[Job Description],$BI1460)))&amp;"")</f>
        <v/>
      </c>
      <c r="H1460" s="10">
        <f>IF($BI1460="","",IF($B1460="Onsite",INDEX(tbl_Onsite[Cost Centre],$BI1460),IF($B1460="Production",INDEX(tbl_Production[Cost Centre],$BI1460),INDEX(tbl_Consulting[Cost Centre],$BI1460)))&amp;"")</f>
        <v/>
      </c>
      <c r="I1460" s="10">
        <f>IF($BI1460="","",IF($B1460="Onsite",INDEX(tbl_Onsite[Invoice Type],$BI1460),IF($B1460="Production",INDEX(tbl_Production[Invoice Type],$BI1460),INDEX(tbl_Consulting[Invoice Type],$BI1460)))&amp;"")</f>
        <v/>
      </c>
      <c r="J1460" s="10">
        <f>IF($BI1460="","",IF($B1460="Onsite",INDEX(tbl_Onsite[Tax Code],$BI1460),IF($B1460="Production",INDEX(tbl_Production[Tax Code],$BI1460),INDEX(tbl_Consulting[Tax Code],$BI1460)))&amp;"")</f>
        <v/>
      </c>
      <c r="K1460" s="10">
        <f>IF(H1460="","",IFERROR(INDEX(lst_CCtoGL,MATCH(H1460,lst_CCforGL,0)),""))</f>
        <v/>
      </c>
      <c r="L1460" s="10">
        <f>IF($BI1460="","",IF($B1460="Onsite",INDEX(tbl_Onsite[PO / Reference],$BI1460),IF($B1460="Production",INDEX(tbl_Production[Current RMS No],$BI1460),INDEX(tbl_Consulting[Qwilr Quote],$BI1460)))&amp;"")</f>
        <v/>
      </c>
      <c r="M1460" s="10">
        <f>IF($BI1460="","",IF($B1460="Onsite",INDEX(tbl_Onsite[Notes],$BI1460),IF($B1460="Production",INDEX(tbl_Production[Notes],$BI1460),INDEX(tbl_Consulting[Notes],$BI1460)))&amp;"")</f>
        <v/>
      </c>
      <c r="N1460" s="11">
        <f>IF($BI1460="","",IF(IF($B1460="Onsite",INDEX(tbl_Onsite[Expected Revenue Ex GST],$BI1460),IF($B1460="Production",INDEX(tbl_Production[Expected Revenue Ex GST],$BI1460),INDEX(tbl_Consulting[Expected Revenue Ex GST],$BI1460)))="","",IF($B1460="Onsite",INDEX(tbl_Onsite[Expected Revenue Ex GST],$BI1460),IF($B1460="Production",INDEX(tbl_Production[Expected Revenue Ex GST],$BI1460),INDEX(tbl_Consulting[Expected Revenue Ex GST],$BI1460)))))</f>
        <v/>
      </c>
      <c r="O1460" s="11">
        <f>IF(AND($C1460="",NOT(COUNTA($S1460:$BB1460)&gt;0)),"",SUM(U1460,X1460,AA1460,AD1460,AG1460,AJ1460,AM1460,AP1460,AS1460,AV1460,AY1460,BB1460))</f>
        <v/>
      </c>
      <c r="P1460" s="11">
        <f>IF(O1460="","",N(N1460)-O1460)</f>
        <v/>
      </c>
      <c r="Q1460" s="10">
        <f>IF(O1460="","",IF($C1460="","Invoice on empty job row",IF(N1460="",IF(ROUND(O1460,2)=0,"No dept value","Invoiced - no dept value"),IF(ROUND(O1460,2)=0,"Not invoiced - to invoice",IF(ROUND(P1460,2)=0,"Agrees",IF(P1460&gt;0,"Dept higher - to invoice","Xero higher - check dept"))))))</f>
        <v/>
      </c>
      <c r="R1460" s="10">
        <f>IF(AND($C1460="",NOT(COUNTA($S1460:$BB1460)&gt;0),$BI1460&lt;&gt;""),"",MID(IF($BI1460="","; Row ID not found on the department sheet - a row was deleted","")&amp;IF(AND($C1460="",COUNTA($S1460:$BB1460)&gt;0),"; Invoice entered but the department row has no job number","")&amp;IF(E1460="CHECK","; Job number not in the Xero job list","")&amp;IF(AND($C1460&lt;&gt;"",COUNTIF($C$7:$C$1506,$C1460)&gt;1),"; Job number on more than one row","")&amp;IF(AND($C1460&lt;&gt;"",H1460=""),"; Dept has not set a cost centre","")&amp;IF(AND($C1460&lt;&gt;"",J1460=""),"; Dept has not set a tax code","")&amp;IF(AND($C1460&lt;&gt;"",N1460=""),"; Dept has not entered an expected value","")&amp;IF((IF(OR(COUNTA(S1460:U1460)=0,AND(COUNTA(S1460:U1460)=3,ISNUMBER(U1460))),0,1)+IF(OR(COUNTA(V1460:X1460)=0,AND(COUNTA(V1460:X1460)=3,ISNUMBER(X1460))),0,1)+IF(OR(COUNTA(Y1460:AA1460)=0,AND(COUNTA(Y1460:AA1460)=3,ISNUMBER(AA1460))),0,1)+IF(OR(COUNTA(AB1460:AD1460)=0,AND(COUNTA(AB1460:AD1460)=3,ISNUMBER(AD1460))),0,1)+IF(OR(COUNTA(AE1460:AG1460)=0,AND(COUNTA(AE1460:AG1460)=3,ISNUMBER(AG1460))),0,1)+IF(OR(COUNTA(AH1460:AJ1460)=0,AND(COUNTA(AH1460:AJ1460)=3,ISNUMBER(AJ1460))),0,1)+IF(OR(COUNTA(AK1460:AM1460)=0,AND(COUNTA(AK1460:AM1460)=3,ISNUMBER(AM1460))),0,1)+IF(OR(COUNTA(AN1460:AP1460)=0,AND(COUNTA(AN1460:AP1460)=3,ISNUMBER(AP1460))),0,1)+IF(OR(COUNTA(AQ1460:AS1460)=0,AND(COUNTA(AQ1460:AS1460)=3,ISNUMBER(AS1460))),0,1)+IF(OR(COUNTA(AT1460:AV1460)=0,AND(COUNTA(AT1460:AV1460)=3,ISNUMBER(AV1460))),0,1)+IF(OR(COUNTA(AW1460:AY1460)=0,AND(COUNTA(AW1460:AY1460)=3,ISNUMBER(AY1460))),0,1)+IF(OR(COUNTA(AZ1460:BB1460)=0,AND(COUNTA(AZ1460:BB1460)=3,ISNUMBER(BB1460))),0,1))&gt;0,"; An invoice is incomplete (needs No, Date and a number in Ex GST)","")&amp;IF((IF(T1460="",0,IFERROR(--(EOMONTH(T1460,0)&lt;&gt;S$5),1))+IF(W1460="",0,IFERROR(--(EOMONTH(W1460,0)&lt;&gt;V$5),1))+IF(Z1460="",0,IFERROR(--(EOMONTH(Z1460,0)&lt;&gt;Y$5),1))+IF(AC1460="",0,IFERROR(--(EOMONTH(AC1460,0)&lt;&gt;AB$5),1))+IF(AF1460="",0,IFERROR(--(EOMONTH(AF1460,0)&lt;&gt;AE$5),1))+IF(AI1460="",0,IFERROR(--(EOMONTH(AI1460,0)&lt;&gt;AH$5),1))+IF(AL1460="",0,IFERROR(--(EOMONTH(AL1460,0)&lt;&gt;AK$5),1))+IF(AO1460="",0,IFERROR(--(EOMONTH(AO1460,0)&lt;&gt;AN$5),1))+IF(AR1460="",0,IFERROR(--(EOMONTH(AR1460,0)&lt;&gt;AQ$5),1))+IF(AU1460="",0,IFERROR(--(EOMONTH(AU1460,0)&lt;&gt;AT$5),1))+IF(AX1460="",0,IFERROR(--(EOMONTH(AX1460,0)&lt;&gt;AW$5),1))+IF(BA1460="",0,IFERROR(--(EOMONTH(BA1460,0)&lt;&gt;AZ$5),1)))&gt;0,"; An invoice date is not in the month it is typed under",""),3,500))</f>
        <v/>
      </c>
      <c r="S1460" s="12" t="n"/>
      <c r="T1460" s="13" t="n"/>
      <c r="U1460" s="14" t="n"/>
      <c r="V1460" s="12" t="n"/>
      <c r="W1460" s="13" t="n"/>
      <c r="X1460" s="14" t="n"/>
      <c r="Y1460" s="12" t="n"/>
      <c r="Z1460" s="13" t="n"/>
      <c r="AA1460" s="14" t="n"/>
      <c r="AB1460" s="12" t="n"/>
      <c r="AC1460" s="13" t="n"/>
      <c r="AD1460" s="14" t="n"/>
      <c r="AE1460" s="12" t="n"/>
      <c r="AF1460" s="13" t="n"/>
      <c r="AG1460" s="14" t="n"/>
      <c r="AH1460" s="12" t="n"/>
      <c r="AI1460" s="13" t="n"/>
      <c r="AJ1460" s="14" t="n"/>
      <c r="AK1460" s="12" t="n"/>
      <c r="AL1460" s="13" t="n"/>
      <c r="AM1460" s="14" t="n"/>
      <c r="AN1460" s="12" t="n"/>
      <c r="AO1460" s="13" t="n"/>
      <c r="AP1460" s="14" t="n"/>
      <c r="AQ1460" s="12" t="n"/>
      <c r="AR1460" s="13" t="n"/>
      <c r="AS1460" s="14" t="n"/>
      <c r="AT1460" s="12" t="n"/>
      <c r="AU1460" s="13" t="n"/>
      <c r="AV1460" s="14" t="n"/>
      <c r="AW1460" s="12" t="n"/>
      <c r="AX1460" s="13" t="n"/>
      <c r="AY1460" s="14" t="n"/>
      <c r="AZ1460" s="12" t="n"/>
      <c r="BA1460" s="13" t="n"/>
      <c r="BB1460" s="14" t="n"/>
      <c r="BC1460" s="11">
        <f>IF(O1460="","",IF(J1460="GST 10%",ROUND(O1460*set_GSTRate,2),0))</f>
        <v/>
      </c>
      <c r="BD1460" s="11">
        <f>IF(O1460="","",O1460+BC1460)</f>
        <v/>
      </c>
      <c r="BE1460" s="15">
        <f>IF(O1460="","",COUNTA(S1460,V1460,Y1460,AB1460,AE1460,AH1460,AK1460,AN1460,AQ1460,AT1460,AW1460,AZ1460))</f>
        <v/>
      </c>
      <c r="BF1460" s="16">
        <f>IF(COUNT(T1460,W1460,Z1460,AC1460,AF1460,AI1460,AL1460,AO1460,AR1460,AU1460,AX1460,BA1460)=0,"",MAX(T1460,W1460,Z1460,AC1460,AF1460,AI1460,AL1460,AO1460,AR1460,AU1460,AX1460,BA1460))</f>
        <v/>
      </c>
      <c r="BG1460" s="10">
        <f>MID(IF(S1460="","",", "&amp;S1460)&amp;IF(V1460="","",", "&amp;V1460)&amp;IF(Y1460="","",", "&amp;Y1460)&amp;IF(AB1460="","",", "&amp;AB1460)&amp;IF(AE1460="","",", "&amp;AE1460)&amp;IF(AH1460="","",", "&amp;AH1460)&amp;IF(AK1460="","",", "&amp;AK1460)&amp;IF(AN1460="","",", "&amp;AN1460)&amp;IF(AQ1460="","",", "&amp;AQ1460)&amp;IF(AT1460="","",", "&amp;AT1460)&amp;IF(AW1460="","",", "&amp;AW1460)&amp;IF(AZ1460="","",", "&amp;AZ1460),3,500)</f>
        <v/>
      </c>
      <c r="BH1460" s="12" t="n"/>
      <c r="BI1460" s="15">
        <f>IFERROR(MATCH($A1460,IF($B1460="Onsite",tbl_Onsite[Row ID],IF($B1460="Production",tbl_Production[Row ID],tbl_Consulting[Row ID])),0),"")</f>
        <v/>
      </c>
    </row>
    <row r="1461">
      <c r="A1461" s="10" t="inlineStr">
        <is>
          <t>CON-0455</t>
        </is>
      </c>
      <c r="B1461" s="10" t="inlineStr">
        <is>
          <t>Consulting</t>
        </is>
      </c>
      <c r="C1461" s="10">
        <f>IF($BI1461="","",IF($B1461="Onsite",INDEX(tbl_Onsite[Job Number],$BI1461),IF($B1461="Production",INDEX(tbl_Production[Job Number],$BI1461),INDEX(tbl_Consulting[Job Number],$BI1461)))&amp;"")</f>
        <v/>
      </c>
      <c r="D1461" s="10">
        <f>IF($BI1461="","",IF($B1461="Onsite",INDEX(tbl_Onsite[Client],$BI1461),IF($B1461="Production",INDEX(tbl_Production[Client],$BI1461),INDEX(tbl_Consulting[Client],$BI1461)))&amp;"")</f>
        <v/>
      </c>
      <c r="E1461" s="10">
        <f>IF($C1461="","",IF(COUNTIF(lst_Jobs,$C1461)&gt;0,"OK","CHECK"))</f>
        <v/>
      </c>
      <c r="F1461" s="10">
        <f>IF($C1461="","",IFERROR(INDEX(lst_JobName,MATCH($C1461,lst_Jobs,0)),""))</f>
        <v/>
      </c>
      <c r="G1461" s="10">
        <f>IF($BI1461="","",IF($B1461="Onsite",INDEX(tbl_Onsite[Job Description],$BI1461),IF($B1461="Production",INDEX(tbl_Production[Job Description],$BI1461),INDEX(tbl_Consulting[Job Description],$BI1461)))&amp;"")</f>
        <v/>
      </c>
      <c r="H1461" s="10">
        <f>IF($BI1461="","",IF($B1461="Onsite",INDEX(tbl_Onsite[Cost Centre],$BI1461),IF($B1461="Production",INDEX(tbl_Production[Cost Centre],$BI1461),INDEX(tbl_Consulting[Cost Centre],$BI1461)))&amp;"")</f>
        <v/>
      </c>
      <c r="I1461" s="10">
        <f>IF($BI1461="","",IF($B1461="Onsite",INDEX(tbl_Onsite[Invoice Type],$BI1461),IF($B1461="Production",INDEX(tbl_Production[Invoice Type],$BI1461),INDEX(tbl_Consulting[Invoice Type],$BI1461)))&amp;"")</f>
        <v/>
      </c>
      <c r="J1461" s="10">
        <f>IF($BI1461="","",IF($B1461="Onsite",INDEX(tbl_Onsite[Tax Code],$BI1461),IF($B1461="Production",INDEX(tbl_Production[Tax Code],$BI1461),INDEX(tbl_Consulting[Tax Code],$BI1461)))&amp;"")</f>
        <v/>
      </c>
      <c r="K1461" s="10">
        <f>IF(H1461="","",IFERROR(INDEX(lst_CCtoGL,MATCH(H1461,lst_CCforGL,0)),""))</f>
        <v/>
      </c>
      <c r="L1461" s="10">
        <f>IF($BI1461="","",IF($B1461="Onsite",INDEX(tbl_Onsite[PO / Reference],$BI1461),IF($B1461="Production",INDEX(tbl_Production[Current RMS No],$BI1461),INDEX(tbl_Consulting[Qwilr Quote],$BI1461)))&amp;"")</f>
        <v/>
      </c>
      <c r="M1461" s="10">
        <f>IF($BI1461="","",IF($B1461="Onsite",INDEX(tbl_Onsite[Notes],$BI1461),IF($B1461="Production",INDEX(tbl_Production[Notes],$BI1461),INDEX(tbl_Consulting[Notes],$BI1461)))&amp;"")</f>
        <v/>
      </c>
      <c r="N1461" s="11">
        <f>IF($BI1461="","",IF(IF($B1461="Onsite",INDEX(tbl_Onsite[Expected Revenue Ex GST],$BI1461),IF($B1461="Production",INDEX(tbl_Production[Expected Revenue Ex GST],$BI1461),INDEX(tbl_Consulting[Expected Revenue Ex GST],$BI1461)))="","",IF($B1461="Onsite",INDEX(tbl_Onsite[Expected Revenue Ex GST],$BI1461),IF($B1461="Production",INDEX(tbl_Production[Expected Revenue Ex GST],$BI1461),INDEX(tbl_Consulting[Expected Revenue Ex GST],$BI1461)))))</f>
        <v/>
      </c>
      <c r="O1461" s="11">
        <f>IF(AND($C1461="",NOT(COUNTA($S1461:$BB1461)&gt;0)),"",SUM(U1461,X1461,AA1461,AD1461,AG1461,AJ1461,AM1461,AP1461,AS1461,AV1461,AY1461,BB1461))</f>
        <v/>
      </c>
      <c r="P1461" s="11">
        <f>IF(O1461="","",N(N1461)-O1461)</f>
        <v/>
      </c>
      <c r="Q1461" s="10">
        <f>IF(O1461="","",IF($C1461="","Invoice on empty job row",IF(N1461="",IF(ROUND(O1461,2)=0,"No dept value","Invoiced - no dept value"),IF(ROUND(O1461,2)=0,"Not invoiced - to invoice",IF(ROUND(P1461,2)=0,"Agrees",IF(P1461&gt;0,"Dept higher - to invoice","Xero higher - check dept"))))))</f>
        <v/>
      </c>
      <c r="R1461" s="10">
        <f>IF(AND($C1461="",NOT(COUNTA($S1461:$BB1461)&gt;0),$BI1461&lt;&gt;""),"",MID(IF($BI1461="","; Row ID not found on the department sheet - a row was deleted","")&amp;IF(AND($C1461="",COUNTA($S1461:$BB1461)&gt;0),"; Invoice entered but the department row has no job number","")&amp;IF(E1461="CHECK","; Job number not in the Xero job list","")&amp;IF(AND($C1461&lt;&gt;"",COUNTIF($C$7:$C$1506,$C1461)&gt;1),"; Job number on more than one row","")&amp;IF(AND($C1461&lt;&gt;"",H1461=""),"; Dept has not set a cost centre","")&amp;IF(AND($C1461&lt;&gt;"",J1461=""),"; Dept has not set a tax code","")&amp;IF(AND($C1461&lt;&gt;"",N1461=""),"; Dept has not entered an expected value","")&amp;IF((IF(OR(COUNTA(S1461:U1461)=0,AND(COUNTA(S1461:U1461)=3,ISNUMBER(U1461))),0,1)+IF(OR(COUNTA(V1461:X1461)=0,AND(COUNTA(V1461:X1461)=3,ISNUMBER(X1461))),0,1)+IF(OR(COUNTA(Y1461:AA1461)=0,AND(COUNTA(Y1461:AA1461)=3,ISNUMBER(AA1461))),0,1)+IF(OR(COUNTA(AB1461:AD1461)=0,AND(COUNTA(AB1461:AD1461)=3,ISNUMBER(AD1461))),0,1)+IF(OR(COUNTA(AE1461:AG1461)=0,AND(COUNTA(AE1461:AG1461)=3,ISNUMBER(AG1461))),0,1)+IF(OR(COUNTA(AH1461:AJ1461)=0,AND(COUNTA(AH1461:AJ1461)=3,ISNUMBER(AJ1461))),0,1)+IF(OR(COUNTA(AK1461:AM1461)=0,AND(COUNTA(AK1461:AM1461)=3,ISNUMBER(AM1461))),0,1)+IF(OR(COUNTA(AN1461:AP1461)=0,AND(COUNTA(AN1461:AP1461)=3,ISNUMBER(AP1461))),0,1)+IF(OR(COUNTA(AQ1461:AS1461)=0,AND(COUNTA(AQ1461:AS1461)=3,ISNUMBER(AS1461))),0,1)+IF(OR(COUNTA(AT1461:AV1461)=0,AND(COUNTA(AT1461:AV1461)=3,ISNUMBER(AV1461))),0,1)+IF(OR(COUNTA(AW1461:AY1461)=0,AND(COUNTA(AW1461:AY1461)=3,ISNUMBER(AY1461))),0,1)+IF(OR(COUNTA(AZ1461:BB1461)=0,AND(COUNTA(AZ1461:BB1461)=3,ISNUMBER(BB1461))),0,1))&gt;0,"; An invoice is incomplete (needs No, Date and a number in Ex GST)","")&amp;IF((IF(T1461="",0,IFERROR(--(EOMONTH(T1461,0)&lt;&gt;S$5),1))+IF(W1461="",0,IFERROR(--(EOMONTH(W1461,0)&lt;&gt;V$5),1))+IF(Z1461="",0,IFERROR(--(EOMONTH(Z1461,0)&lt;&gt;Y$5),1))+IF(AC1461="",0,IFERROR(--(EOMONTH(AC1461,0)&lt;&gt;AB$5),1))+IF(AF1461="",0,IFERROR(--(EOMONTH(AF1461,0)&lt;&gt;AE$5),1))+IF(AI1461="",0,IFERROR(--(EOMONTH(AI1461,0)&lt;&gt;AH$5),1))+IF(AL1461="",0,IFERROR(--(EOMONTH(AL1461,0)&lt;&gt;AK$5),1))+IF(AO1461="",0,IFERROR(--(EOMONTH(AO1461,0)&lt;&gt;AN$5),1))+IF(AR1461="",0,IFERROR(--(EOMONTH(AR1461,0)&lt;&gt;AQ$5),1))+IF(AU1461="",0,IFERROR(--(EOMONTH(AU1461,0)&lt;&gt;AT$5),1))+IF(AX1461="",0,IFERROR(--(EOMONTH(AX1461,0)&lt;&gt;AW$5),1))+IF(BA1461="",0,IFERROR(--(EOMONTH(BA1461,0)&lt;&gt;AZ$5),1)))&gt;0,"; An invoice date is not in the month it is typed under",""),3,500))</f>
        <v/>
      </c>
      <c r="S1461" s="12" t="n"/>
      <c r="T1461" s="13" t="n"/>
      <c r="U1461" s="14" t="n"/>
      <c r="V1461" s="12" t="n"/>
      <c r="W1461" s="13" t="n"/>
      <c r="X1461" s="14" t="n"/>
      <c r="Y1461" s="12" t="n"/>
      <c r="Z1461" s="13" t="n"/>
      <c r="AA1461" s="14" t="n"/>
      <c r="AB1461" s="12" t="n"/>
      <c r="AC1461" s="13" t="n"/>
      <c r="AD1461" s="14" t="n"/>
      <c r="AE1461" s="12" t="n"/>
      <c r="AF1461" s="13" t="n"/>
      <c r="AG1461" s="14" t="n"/>
      <c r="AH1461" s="12" t="n"/>
      <c r="AI1461" s="13" t="n"/>
      <c r="AJ1461" s="14" t="n"/>
      <c r="AK1461" s="12" t="n"/>
      <c r="AL1461" s="13" t="n"/>
      <c r="AM1461" s="14" t="n"/>
      <c r="AN1461" s="12" t="n"/>
      <c r="AO1461" s="13" t="n"/>
      <c r="AP1461" s="14" t="n"/>
      <c r="AQ1461" s="12" t="n"/>
      <c r="AR1461" s="13" t="n"/>
      <c r="AS1461" s="14" t="n"/>
      <c r="AT1461" s="12" t="n"/>
      <c r="AU1461" s="13" t="n"/>
      <c r="AV1461" s="14" t="n"/>
      <c r="AW1461" s="12" t="n"/>
      <c r="AX1461" s="13" t="n"/>
      <c r="AY1461" s="14" t="n"/>
      <c r="AZ1461" s="12" t="n"/>
      <c r="BA1461" s="13" t="n"/>
      <c r="BB1461" s="14" t="n"/>
      <c r="BC1461" s="11">
        <f>IF(O1461="","",IF(J1461="GST 10%",ROUND(O1461*set_GSTRate,2),0))</f>
        <v/>
      </c>
      <c r="BD1461" s="11">
        <f>IF(O1461="","",O1461+BC1461)</f>
        <v/>
      </c>
      <c r="BE1461" s="15">
        <f>IF(O1461="","",COUNTA(S1461,V1461,Y1461,AB1461,AE1461,AH1461,AK1461,AN1461,AQ1461,AT1461,AW1461,AZ1461))</f>
        <v/>
      </c>
      <c r="BF1461" s="16">
        <f>IF(COUNT(T1461,W1461,Z1461,AC1461,AF1461,AI1461,AL1461,AO1461,AR1461,AU1461,AX1461,BA1461)=0,"",MAX(T1461,W1461,Z1461,AC1461,AF1461,AI1461,AL1461,AO1461,AR1461,AU1461,AX1461,BA1461))</f>
        <v/>
      </c>
      <c r="BG1461" s="10">
        <f>MID(IF(S1461="","",", "&amp;S1461)&amp;IF(V1461="","",", "&amp;V1461)&amp;IF(Y1461="","",", "&amp;Y1461)&amp;IF(AB1461="","",", "&amp;AB1461)&amp;IF(AE1461="","",", "&amp;AE1461)&amp;IF(AH1461="","",", "&amp;AH1461)&amp;IF(AK1461="","",", "&amp;AK1461)&amp;IF(AN1461="","",", "&amp;AN1461)&amp;IF(AQ1461="","",", "&amp;AQ1461)&amp;IF(AT1461="","",", "&amp;AT1461)&amp;IF(AW1461="","",", "&amp;AW1461)&amp;IF(AZ1461="","",", "&amp;AZ1461),3,500)</f>
        <v/>
      </c>
      <c r="BH1461" s="12" t="n"/>
      <c r="BI1461" s="15">
        <f>IFERROR(MATCH($A1461,IF($B1461="Onsite",tbl_Onsite[Row ID],IF($B1461="Production",tbl_Production[Row ID],tbl_Consulting[Row ID])),0),"")</f>
        <v/>
      </c>
    </row>
    <row r="1462">
      <c r="A1462" s="10" t="inlineStr">
        <is>
          <t>CON-0456</t>
        </is>
      </c>
      <c r="B1462" s="10" t="inlineStr">
        <is>
          <t>Consulting</t>
        </is>
      </c>
      <c r="C1462" s="10">
        <f>IF($BI1462="","",IF($B1462="Onsite",INDEX(tbl_Onsite[Job Number],$BI1462),IF($B1462="Production",INDEX(tbl_Production[Job Number],$BI1462),INDEX(tbl_Consulting[Job Number],$BI1462)))&amp;"")</f>
        <v/>
      </c>
      <c r="D1462" s="10">
        <f>IF($BI1462="","",IF($B1462="Onsite",INDEX(tbl_Onsite[Client],$BI1462),IF($B1462="Production",INDEX(tbl_Production[Client],$BI1462),INDEX(tbl_Consulting[Client],$BI1462)))&amp;"")</f>
        <v/>
      </c>
      <c r="E1462" s="10">
        <f>IF($C1462="","",IF(COUNTIF(lst_Jobs,$C1462)&gt;0,"OK","CHECK"))</f>
        <v/>
      </c>
      <c r="F1462" s="10">
        <f>IF($C1462="","",IFERROR(INDEX(lst_JobName,MATCH($C1462,lst_Jobs,0)),""))</f>
        <v/>
      </c>
      <c r="G1462" s="10">
        <f>IF($BI1462="","",IF($B1462="Onsite",INDEX(tbl_Onsite[Job Description],$BI1462),IF($B1462="Production",INDEX(tbl_Production[Job Description],$BI1462),INDEX(tbl_Consulting[Job Description],$BI1462)))&amp;"")</f>
        <v/>
      </c>
      <c r="H1462" s="10">
        <f>IF($BI1462="","",IF($B1462="Onsite",INDEX(tbl_Onsite[Cost Centre],$BI1462),IF($B1462="Production",INDEX(tbl_Production[Cost Centre],$BI1462),INDEX(tbl_Consulting[Cost Centre],$BI1462)))&amp;"")</f>
        <v/>
      </c>
      <c r="I1462" s="10">
        <f>IF($BI1462="","",IF($B1462="Onsite",INDEX(tbl_Onsite[Invoice Type],$BI1462),IF($B1462="Production",INDEX(tbl_Production[Invoice Type],$BI1462),INDEX(tbl_Consulting[Invoice Type],$BI1462)))&amp;"")</f>
        <v/>
      </c>
      <c r="J1462" s="10">
        <f>IF($BI1462="","",IF($B1462="Onsite",INDEX(tbl_Onsite[Tax Code],$BI1462),IF($B1462="Production",INDEX(tbl_Production[Tax Code],$BI1462),INDEX(tbl_Consulting[Tax Code],$BI1462)))&amp;"")</f>
        <v/>
      </c>
      <c r="K1462" s="10">
        <f>IF(H1462="","",IFERROR(INDEX(lst_CCtoGL,MATCH(H1462,lst_CCforGL,0)),""))</f>
        <v/>
      </c>
      <c r="L1462" s="10">
        <f>IF($BI1462="","",IF($B1462="Onsite",INDEX(tbl_Onsite[PO / Reference],$BI1462),IF($B1462="Production",INDEX(tbl_Production[Current RMS No],$BI1462),INDEX(tbl_Consulting[Qwilr Quote],$BI1462)))&amp;"")</f>
        <v/>
      </c>
      <c r="M1462" s="10">
        <f>IF($BI1462="","",IF($B1462="Onsite",INDEX(tbl_Onsite[Notes],$BI1462),IF($B1462="Production",INDEX(tbl_Production[Notes],$BI1462),INDEX(tbl_Consulting[Notes],$BI1462)))&amp;"")</f>
        <v/>
      </c>
      <c r="N1462" s="11">
        <f>IF($BI1462="","",IF(IF($B1462="Onsite",INDEX(tbl_Onsite[Expected Revenue Ex GST],$BI1462),IF($B1462="Production",INDEX(tbl_Production[Expected Revenue Ex GST],$BI1462),INDEX(tbl_Consulting[Expected Revenue Ex GST],$BI1462)))="","",IF($B1462="Onsite",INDEX(tbl_Onsite[Expected Revenue Ex GST],$BI1462),IF($B1462="Production",INDEX(tbl_Production[Expected Revenue Ex GST],$BI1462),INDEX(tbl_Consulting[Expected Revenue Ex GST],$BI1462)))))</f>
        <v/>
      </c>
      <c r="O1462" s="11">
        <f>IF(AND($C1462="",NOT(COUNTA($S1462:$BB1462)&gt;0)),"",SUM(U1462,X1462,AA1462,AD1462,AG1462,AJ1462,AM1462,AP1462,AS1462,AV1462,AY1462,BB1462))</f>
        <v/>
      </c>
      <c r="P1462" s="11">
        <f>IF(O1462="","",N(N1462)-O1462)</f>
        <v/>
      </c>
      <c r="Q1462" s="10">
        <f>IF(O1462="","",IF($C1462="","Invoice on empty job row",IF(N1462="",IF(ROUND(O1462,2)=0,"No dept value","Invoiced - no dept value"),IF(ROUND(O1462,2)=0,"Not invoiced - to invoice",IF(ROUND(P1462,2)=0,"Agrees",IF(P1462&gt;0,"Dept higher - to invoice","Xero higher - check dept"))))))</f>
        <v/>
      </c>
      <c r="R1462" s="10">
        <f>IF(AND($C1462="",NOT(COUNTA($S1462:$BB1462)&gt;0),$BI1462&lt;&gt;""),"",MID(IF($BI1462="","; Row ID not found on the department sheet - a row was deleted","")&amp;IF(AND($C1462="",COUNTA($S1462:$BB1462)&gt;0),"; Invoice entered but the department row has no job number","")&amp;IF(E1462="CHECK","; Job number not in the Xero job list","")&amp;IF(AND($C1462&lt;&gt;"",COUNTIF($C$7:$C$1506,$C1462)&gt;1),"; Job number on more than one row","")&amp;IF(AND($C1462&lt;&gt;"",H1462=""),"; Dept has not set a cost centre","")&amp;IF(AND($C1462&lt;&gt;"",J1462=""),"; Dept has not set a tax code","")&amp;IF(AND($C1462&lt;&gt;"",N1462=""),"; Dept has not entered an expected value","")&amp;IF((IF(OR(COUNTA(S1462:U1462)=0,AND(COUNTA(S1462:U1462)=3,ISNUMBER(U1462))),0,1)+IF(OR(COUNTA(V1462:X1462)=0,AND(COUNTA(V1462:X1462)=3,ISNUMBER(X1462))),0,1)+IF(OR(COUNTA(Y1462:AA1462)=0,AND(COUNTA(Y1462:AA1462)=3,ISNUMBER(AA1462))),0,1)+IF(OR(COUNTA(AB1462:AD1462)=0,AND(COUNTA(AB1462:AD1462)=3,ISNUMBER(AD1462))),0,1)+IF(OR(COUNTA(AE1462:AG1462)=0,AND(COUNTA(AE1462:AG1462)=3,ISNUMBER(AG1462))),0,1)+IF(OR(COUNTA(AH1462:AJ1462)=0,AND(COUNTA(AH1462:AJ1462)=3,ISNUMBER(AJ1462))),0,1)+IF(OR(COUNTA(AK1462:AM1462)=0,AND(COUNTA(AK1462:AM1462)=3,ISNUMBER(AM1462))),0,1)+IF(OR(COUNTA(AN1462:AP1462)=0,AND(COUNTA(AN1462:AP1462)=3,ISNUMBER(AP1462))),0,1)+IF(OR(COUNTA(AQ1462:AS1462)=0,AND(COUNTA(AQ1462:AS1462)=3,ISNUMBER(AS1462))),0,1)+IF(OR(COUNTA(AT1462:AV1462)=0,AND(COUNTA(AT1462:AV1462)=3,ISNUMBER(AV1462))),0,1)+IF(OR(COUNTA(AW1462:AY1462)=0,AND(COUNTA(AW1462:AY1462)=3,ISNUMBER(AY1462))),0,1)+IF(OR(COUNTA(AZ1462:BB1462)=0,AND(COUNTA(AZ1462:BB1462)=3,ISNUMBER(BB1462))),0,1))&gt;0,"; An invoice is incomplete (needs No, Date and a number in Ex GST)","")&amp;IF((IF(T1462="",0,IFERROR(--(EOMONTH(T1462,0)&lt;&gt;S$5),1))+IF(W1462="",0,IFERROR(--(EOMONTH(W1462,0)&lt;&gt;V$5),1))+IF(Z1462="",0,IFERROR(--(EOMONTH(Z1462,0)&lt;&gt;Y$5),1))+IF(AC1462="",0,IFERROR(--(EOMONTH(AC1462,0)&lt;&gt;AB$5),1))+IF(AF1462="",0,IFERROR(--(EOMONTH(AF1462,0)&lt;&gt;AE$5),1))+IF(AI1462="",0,IFERROR(--(EOMONTH(AI1462,0)&lt;&gt;AH$5),1))+IF(AL1462="",0,IFERROR(--(EOMONTH(AL1462,0)&lt;&gt;AK$5),1))+IF(AO1462="",0,IFERROR(--(EOMONTH(AO1462,0)&lt;&gt;AN$5),1))+IF(AR1462="",0,IFERROR(--(EOMONTH(AR1462,0)&lt;&gt;AQ$5),1))+IF(AU1462="",0,IFERROR(--(EOMONTH(AU1462,0)&lt;&gt;AT$5),1))+IF(AX1462="",0,IFERROR(--(EOMONTH(AX1462,0)&lt;&gt;AW$5),1))+IF(BA1462="",0,IFERROR(--(EOMONTH(BA1462,0)&lt;&gt;AZ$5),1)))&gt;0,"; An invoice date is not in the month it is typed under",""),3,500))</f>
        <v/>
      </c>
      <c r="S1462" s="12" t="n"/>
      <c r="T1462" s="13" t="n"/>
      <c r="U1462" s="14" t="n"/>
      <c r="V1462" s="12" t="n"/>
      <c r="W1462" s="13" t="n"/>
      <c r="X1462" s="14" t="n"/>
      <c r="Y1462" s="12" t="n"/>
      <c r="Z1462" s="13" t="n"/>
      <c r="AA1462" s="14" t="n"/>
      <c r="AB1462" s="12" t="n"/>
      <c r="AC1462" s="13" t="n"/>
      <c r="AD1462" s="14" t="n"/>
      <c r="AE1462" s="12" t="n"/>
      <c r="AF1462" s="13" t="n"/>
      <c r="AG1462" s="14" t="n"/>
      <c r="AH1462" s="12" t="n"/>
      <c r="AI1462" s="13" t="n"/>
      <c r="AJ1462" s="14" t="n"/>
      <c r="AK1462" s="12" t="n"/>
      <c r="AL1462" s="13" t="n"/>
      <c r="AM1462" s="14" t="n"/>
      <c r="AN1462" s="12" t="n"/>
      <c r="AO1462" s="13" t="n"/>
      <c r="AP1462" s="14" t="n"/>
      <c r="AQ1462" s="12" t="n"/>
      <c r="AR1462" s="13" t="n"/>
      <c r="AS1462" s="14" t="n"/>
      <c r="AT1462" s="12" t="n"/>
      <c r="AU1462" s="13" t="n"/>
      <c r="AV1462" s="14" t="n"/>
      <c r="AW1462" s="12" t="n"/>
      <c r="AX1462" s="13" t="n"/>
      <c r="AY1462" s="14" t="n"/>
      <c r="AZ1462" s="12" t="n"/>
      <c r="BA1462" s="13" t="n"/>
      <c r="BB1462" s="14" t="n"/>
      <c r="BC1462" s="11">
        <f>IF(O1462="","",IF(J1462="GST 10%",ROUND(O1462*set_GSTRate,2),0))</f>
        <v/>
      </c>
      <c r="BD1462" s="11">
        <f>IF(O1462="","",O1462+BC1462)</f>
        <v/>
      </c>
      <c r="BE1462" s="15">
        <f>IF(O1462="","",COUNTA(S1462,V1462,Y1462,AB1462,AE1462,AH1462,AK1462,AN1462,AQ1462,AT1462,AW1462,AZ1462))</f>
        <v/>
      </c>
      <c r="BF1462" s="16">
        <f>IF(COUNT(T1462,W1462,Z1462,AC1462,AF1462,AI1462,AL1462,AO1462,AR1462,AU1462,AX1462,BA1462)=0,"",MAX(T1462,W1462,Z1462,AC1462,AF1462,AI1462,AL1462,AO1462,AR1462,AU1462,AX1462,BA1462))</f>
        <v/>
      </c>
      <c r="BG1462" s="10">
        <f>MID(IF(S1462="","",", "&amp;S1462)&amp;IF(V1462="","",", "&amp;V1462)&amp;IF(Y1462="","",", "&amp;Y1462)&amp;IF(AB1462="","",", "&amp;AB1462)&amp;IF(AE1462="","",", "&amp;AE1462)&amp;IF(AH1462="","",", "&amp;AH1462)&amp;IF(AK1462="","",", "&amp;AK1462)&amp;IF(AN1462="","",", "&amp;AN1462)&amp;IF(AQ1462="","",", "&amp;AQ1462)&amp;IF(AT1462="","",", "&amp;AT1462)&amp;IF(AW1462="","",", "&amp;AW1462)&amp;IF(AZ1462="","",", "&amp;AZ1462),3,500)</f>
        <v/>
      </c>
      <c r="BH1462" s="12" t="n"/>
      <c r="BI1462" s="15">
        <f>IFERROR(MATCH($A1462,IF($B1462="Onsite",tbl_Onsite[Row ID],IF($B1462="Production",tbl_Production[Row ID],tbl_Consulting[Row ID])),0),"")</f>
        <v/>
      </c>
    </row>
    <row r="1463">
      <c r="A1463" s="10" t="inlineStr">
        <is>
          <t>CON-0457</t>
        </is>
      </c>
      <c r="B1463" s="10" t="inlineStr">
        <is>
          <t>Consulting</t>
        </is>
      </c>
      <c r="C1463" s="10">
        <f>IF($BI1463="","",IF($B1463="Onsite",INDEX(tbl_Onsite[Job Number],$BI1463),IF($B1463="Production",INDEX(tbl_Production[Job Number],$BI1463),INDEX(tbl_Consulting[Job Number],$BI1463)))&amp;"")</f>
        <v/>
      </c>
      <c r="D1463" s="10">
        <f>IF($BI1463="","",IF($B1463="Onsite",INDEX(tbl_Onsite[Client],$BI1463),IF($B1463="Production",INDEX(tbl_Production[Client],$BI1463),INDEX(tbl_Consulting[Client],$BI1463)))&amp;"")</f>
        <v/>
      </c>
      <c r="E1463" s="10">
        <f>IF($C1463="","",IF(COUNTIF(lst_Jobs,$C1463)&gt;0,"OK","CHECK"))</f>
        <v/>
      </c>
      <c r="F1463" s="10">
        <f>IF($C1463="","",IFERROR(INDEX(lst_JobName,MATCH($C1463,lst_Jobs,0)),""))</f>
        <v/>
      </c>
      <c r="G1463" s="10">
        <f>IF($BI1463="","",IF($B1463="Onsite",INDEX(tbl_Onsite[Job Description],$BI1463),IF($B1463="Production",INDEX(tbl_Production[Job Description],$BI1463),INDEX(tbl_Consulting[Job Description],$BI1463)))&amp;"")</f>
        <v/>
      </c>
      <c r="H1463" s="10">
        <f>IF($BI1463="","",IF($B1463="Onsite",INDEX(tbl_Onsite[Cost Centre],$BI1463),IF($B1463="Production",INDEX(tbl_Production[Cost Centre],$BI1463),INDEX(tbl_Consulting[Cost Centre],$BI1463)))&amp;"")</f>
        <v/>
      </c>
      <c r="I1463" s="10">
        <f>IF($BI1463="","",IF($B1463="Onsite",INDEX(tbl_Onsite[Invoice Type],$BI1463),IF($B1463="Production",INDEX(tbl_Production[Invoice Type],$BI1463),INDEX(tbl_Consulting[Invoice Type],$BI1463)))&amp;"")</f>
        <v/>
      </c>
      <c r="J1463" s="10">
        <f>IF($BI1463="","",IF($B1463="Onsite",INDEX(tbl_Onsite[Tax Code],$BI1463),IF($B1463="Production",INDEX(tbl_Production[Tax Code],$BI1463),INDEX(tbl_Consulting[Tax Code],$BI1463)))&amp;"")</f>
        <v/>
      </c>
      <c r="K1463" s="10">
        <f>IF(H1463="","",IFERROR(INDEX(lst_CCtoGL,MATCH(H1463,lst_CCforGL,0)),""))</f>
        <v/>
      </c>
      <c r="L1463" s="10">
        <f>IF($BI1463="","",IF($B1463="Onsite",INDEX(tbl_Onsite[PO / Reference],$BI1463),IF($B1463="Production",INDEX(tbl_Production[Current RMS No],$BI1463),INDEX(tbl_Consulting[Qwilr Quote],$BI1463)))&amp;"")</f>
        <v/>
      </c>
      <c r="M1463" s="10">
        <f>IF($BI1463="","",IF($B1463="Onsite",INDEX(tbl_Onsite[Notes],$BI1463),IF($B1463="Production",INDEX(tbl_Production[Notes],$BI1463),INDEX(tbl_Consulting[Notes],$BI1463)))&amp;"")</f>
        <v/>
      </c>
      <c r="N1463" s="11">
        <f>IF($BI1463="","",IF(IF($B1463="Onsite",INDEX(tbl_Onsite[Expected Revenue Ex GST],$BI1463),IF($B1463="Production",INDEX(tbl_Production[Expected Revenue Ex GST],$BI1463),INDEX(tbl_Consulting[Expected Revenue Ex GST],$BI1463)))="","",IF($B1463="Onsite",INDEX(tbl_Onsite[Expected Revenue Ex GST],$BI1463),IF($B1463="Production",INDEX(tbl_Production[Expected Revenue Ex GST],$BI1463),INDEX(tbl_Consulting[Expected Revenue Ex GST],$BI1463)))))</f>
        <v/>
      </c>
      <c r="O1463" s="11">
        <f>IF(AND($C1463="",NOT(COUNTA($S1463:$BB1463)&gt;0)),"",SUM(U1463,X1463,AA1463,AD1463,AG1463,AJ1463,AM1463,AP1463,AS1463,AV1463,AY1463,BB1463))</f>
        <v/>
      </c>
      <c r="P1463" s="11">
        <f>IF(O1463="","",N(N1463)-O1463)</f>
        <v/>
      </c>
      <c r="Q1463" s="10">
        <f>IF(O1463="","",IF($C1463="","Invoice on empty job row",IF(N1463="",IF(ROUND(O1463,2)=0,"No dept value","Invoiced - no dept value"),IF(ROUND(O1463,2)=0,"Not invoiced - to invoice",IF(ROUND(P1463,2)=0,"Agrees",IF(P1463&gt;0,"Dept higher - to invoice","Xero higher - check dept"))))))</f>
        <v/>
      </c>
      <c r="R1463" s="10">
        <f>IF(AND($C1463="",NOT(COUNTA($S1463:$BB1463)&gt;0),$BI1463&lt;&gt;""),"",MID(IF($BI1463="","; Row ID not found on the department sheet - a row was deleted","")&amp;IF(AND($C1463="",COUNTA($S1463:$BB1463)&gt;0),"; Invoice entered but the department row has no job number","")&amp;IF(E1463="CHECK","; Job number not in the Xero job list","")&amp;IF(AND($C1463&lt;&gt;"",COUNTIF($C$7:$C$1506,$C1463)&gt;1),"; Job number on more than one row","")&amp;IF(AND($C1463&lt;&gt;"",H1463=""),"; Dept has not set a cost centre","")&amp;IF(AND($C1463&lt;&gt;"",J1463=""),"; Dept has not set a tax code","")&amp;IF(AND($C1463&lt;&gt;"",N1463=""),"; Dept has not entered an expected value","")&amp;IF((IF(OR(COUNTA(S1463:U1463)=0,AND(COUNTA(S1463:U1463)=3,ISNUMBER(U1463))),0,1)+IF(OR(COUNTA(V1463:X1463)=0,AND(COUNTA(V1463:X1463)=3,ISNUMBER(X1463))),0,1)+IF(OR(COUNTA(Y1463:AA1463)=0,AND(COUNTA(Y1463:AA1463)=3,ISNUMBER(AA1463))),0,1)+IF(OR(COUNTA(AB1463:AD1463)=0,AND(COUNTA(AB1463:AD1463)=3,ISNUMBER(AD1463))),0,1)+IF(OR(COUNTA(AE1463:AG1463)=0,AND(COUNTA(AE1463:AG1463)=3,ISNUMBER(AG1463))),0,1)+IF(OR(COUNTA(AH1463:AJ1463)=0,AND(COUNTA(AH1463:AJ1463)=3,ISNUMBER(AJ1463))),0,1)+IF(OR(COUNTA(AK1463:AM1463)=0,AND(COUNTA(AK1463:AM1463)=3,ISNUMBER(AM1463))),0,1)+IF(OR(COUNTA(AN1463:AP1463)=0,AND(COUNTA(AN1463:AP1463)=3,ISNUMBER(AP1463))),0,1)+IF(OR(COUNTA(AQ1463:AS1463)=0,AND(COUNTA(AQ1463:AS1463)=3,ISNUMBER(AS1463))),0,1)+IF(OR(COUNTA(AT1463:AV1463)=0,AND(COUNTA(AT1463:AV1463)=3,ISNUMBER(AV1463))),0,1)+IF(OR(COUNTA(AW1463:AY1463)=0,AND(COUNTA(AW1463:AY1463)=3,ISNUMBER(AY1463))),0,1)+IF(OR(COUNTA(AZ1463:BB1463)=0,AND(COUNTA(AZ1463:BB1463)=3,ISNUMBER(BB1463))),0,1))&gt;0,"; An invoice is incomplete (needs No, Date and a number in Ex GST)","")&amp;IF((IF(T1463="",0,IFERROR(--(EOMONTH(T1463,0)&lt;&gt;S$5),1))+IF(W1463="",0,IFERROR(--(EOMONTH(W1463,0)&lt;&gt;V$5),1))+IF(Z1463="",0,IFERROR(--(EOMONTH(Z1463,0)&lt;&gt;Y$5),1))+IF(AC1463="",0,IFERROR(--(EOMONTH(AC1463,0)&lt;&gt;AB$5),1))+IF(AF1463="",0,IFERROR(--(EOMONTH(AF1463,0)&lt;&gt;AE$5),1))+IF(AI1463="",0,IFERROR(--(EOMONTH(AI1463,0)&lt;&gt;AH$5),1))+IF(AL1463="",0,IFERROR(--(EOMONTH(AL1463,0)&lt;&gt;AK$5),1))+IF(AO1463="",0,IFERROR(--(EOMONTH(AO1463,0)&lt;&gt;AN$5),1))+IF(AR1463="",0,IFERROR(--(EOMONTH(AR1463,0)&lt;&gt;AQ$5),1))+IF(AU1463="",0,IFERROR(--(EOMONTH(AU1463,0)&lt;&gt;AT$5),1))+IF(AX1463="",0,IFERROR(--(EOMONTH(AX1463,0)&lt;&gt;AW$5),1))+IF(BA1463="",0,IFERROR(--(EOMONTH(BA1463,0)&lt;&gt;AZ$5),1)))&gt;0,"; An invoice date is not in the month it is typed under",""),3,500))</f>
        <v/>
      </c>
      <c r="S1463" s="12" t="n"/>
      <c r="T1463" s="13" t="n"/>
      <c r="U1463" s="14" t="n"/>
      <c r="V1463" s="12" t="n"/>
      <c r="W1463" s="13" t="n"/>
      <c r="X1463" s="14" t="n"/>
      <c r="Y1463" s="12" t="n"/>
      <c r="Z1463" s="13" t="n"/>
      <c r="AA1463" s="14" t="n"/>
      <c r="AB1463" s="12" t="n"/>
      <c r="AC1463" s="13" t="n"/>
      <c r="AD1463" s="14" t="n"/>
      <c r="AE1463" s="12" t="n"/>
      <c r="AF1463" s="13" t="n"/>
      <c r="AG1463" s="14" t="n"/>
      <c r="AH1463" s="12" t="n"/>
      <c r="AI1463" s="13" t="n"/>
      <c r="AJ1463" s="14" t="n"/>
      <c r="AK1463" s="12" t="n"/>
      <c r="AL1463" s="13" t="n"/>
      <c r="AM1463" s="14" t="n"/>
      <c r="AN1463" s="12" t="n"/>
      <c r="AO1463" s="13" t="n"/>
      <c r="AP1463" s="14" t="n"/>
      <c r="AQ1463" s="12" t="n"/>
      <c r="AR1463" s="13" t="n"/>
      <c r="AS1463" s="14" t="n"/>
      <c r="AT1463" s="12" t="n"/>
      <c r="AU1463" s="13" t="n"/>
      <c r="AV1463" s="14" t="n"/>
      <c r="AW1463" s="12" t="n"/>
      <c r="AX1463" s="13" t="n"/>
      <c r="AY1463" s="14" t="n"/>
      <c r="AZ1463" s="12" t="n"/>
      <c r="BA1463" s="13" t="n"/>
      <c r="BB1463" s="14" t="n"/>
      <c r="BC1463" s="11">
        <f>IF(O1463="","",IF(J1463="GST 10%",ROUND(O1463*set_GSTRate,2),0))</f>
        <v/>
      </c>
      <c r="BD1463" s="11">
        <f>IF(O1463="","",O1463+BC1463)</f>
        <v/>
      </c>
      <c r="BE1463" s="15">
        <f>IF(O1463="","",COUNTA(S1463,V1463,Y1463,AB1463,AE1463,AH1463,AK1463,AN1463,AQ1463,AT1463,AW1463,AZ1463))</f>
        <v/>
      </c>
      <c r="BF1463" s="16">
        <f>IF(COUNT(T1463,W1463,Z1463,AC1463,AF1463,AI1463,AL1463,AO1463,AR1463,AU1463,AX1463,BA1463)=0,"",MAX(T1463,W1463,Z1463,AC1463,AF1463,AI1463,AL1463,AO1463,AR1463,AU1463,AX1463,BA1463))</f>
        <v/>
      </c>
      <c r="BG1463" s="10">
        <f>MID(IF(S1463="","",", "&amp;S1463)&amp;IF(V1463="","",", "&amp;V1463)&amp;IF(Y1463="","",", "&amp;Y1463)&amp;IF(AB1463="","",", "&amp;AB1463)&amp;IF(AE1463="","",", "&amp;AE1463)&amp;IF(AH1463="","",", "&amp;AH1463)&amp;IF(AK1463="","",", "&amp;AK1463)&amp;IF(AN1463="","",", "&amp;AN1463)&amp;IF(AQ1463="","",", "&amp;AQ1463)&amp;IF(AT1463="","",", "&amp;AT1463)&amp;IF(AW1463="","",", "&amp;AW1463)&amp;IF(AZ1463="","",", "&amp;AZ1463),3,500)</f>
        <v/>
      </c>
      <c r="BH1463" s="12" t="n"/>
      <c r="BI1463" s="15">
        <f>IFERROR(MATCH($A1463,IF($B1463="Onsite",tbl_Onsite[Row ID],IF($B1463="Production",tbl_Production[Row ID],tbl_Consulting[Row ID])),0),"")</f>
        <v/>
      </c>
    </row>
    <row r="1464">
      <c r="A1464" s="10" t="inlineStr">
        <is>
          <t>CON-0458</t>
        </is>
      </c>
      <c r="B1464" s="10" t="inlineStr">
        <is>
          <t>Consulting</t>
        </is>
      </c>
      <c r="C1464" s="10">
        <f>IF($BI1464="","",IF($B1464="Onsite",INDEX(tbl_Onsite[Job Number],$BI1464),IF($B1464="Production",INDEX(tbl_Production[Job Number],$BI1464),INDEX(tbl_Consulting[Job Number],$BI1464)))&amp;"")</f>
        <v/>
      </c>
      <c r="D1464" s="10">
        <f>IF($BI1464="","",IF($B1464="Onsite",INDEX(tbl_Onsite[Client],$BI1464),IF($B1464="Production",INDEX(tbl_Production[Client],$BI1464),INDEX(tbl_Consulting[Client],$BI1464)))&amp;"")</f>
        <v/>
      </c>
      <c r="E1464" s="10">
        <f>IF($C1464="","",IF(COUNTIF(lst_Jobs,$C1464)&gt;0,"OK","CHECK"))</f>
        <v/>
      </c>
      <c r="F1464" s="10">
        <f>IF($C1464="","",IFERROR(INDEX(lst_JobName,MATCH($C1464,lst_Jobs,0)),""))</f>
        <v/>
      </c>
      <c r="G1464" s="10">
        <f>IF($BI1464="","",IF($B1464="Onsite",INDEX(tbl_Onsite[Job Description],$BI1464),IF($B1464="Production",INDEX(tbl_Production[Job Description],$BI1464),INDEX(tbl_Consulting[Job Description],$BI1464)))&amp;"")</f>
        <v/>
      </c>
      <c r="H1464" s="10">
        <f>IF($BI1464="","",IF($B1464="Onsite",INDEX(tbl_Onsite[Cost Centre],$BI1464),IF($B1464="Production",INDEX(tbl_Production[Cost Centre],$BI1464),INDEX(tbl_Consulting[Cost Centre],$BI1464)))&amp;"")</f>
        <v/>
      </c>
      <c r="I1464" s="10">
        <f>IF($BI1464="","",IF($B1464="Onsite",INDEX(tbl_Onsite[Invoice Type],$BI1464),IF($B1464="Production",INDEX(tbl_Production[Invoice Type],$BI1464),INDEX(tbl_Consulting[Invoice Type],$BI1464)))&amp;"")</f>
        <v/>
      </c>
      <c r="J1464" s="10">
        <f>IF($BI1464="","",IF($B1464="Onsite",INDEX(tbl_Onsite[Tax Code],$BI1464),IF($B1464="Production",INDEX(tbl_Production[Tax Code],$BI1464),INDEX(tbl_Consulting[Tax Code],$BI1464)))&amp;"")</f>
        <v/>
      </c>
      <c r="K1464" s="10">
        <f>IF(H1464="","",IFERROR(INDEX(lst_CCtoGL,MATCH(H1464,lst_CCforGL,0)),""))</f>
        <v/>
      </c>
      <c r="L1464" s="10">
        <f>IF($BI1464="","",IF($B1464="Onsite",INDEX(tbl_Onsite[PO / Reference],$BI1464),IF($B1464="Production",INDEX(tbl_Production[Current RMS No],$BI1464),INDEX(tbl_Consulting[Qwilr Quote],$BI1464)))&amp;"")</f>
        <v/>
      </c>
      <c r="M1464" s="10">
        <f>IF($BI1464="","",IF($B1464="Onsite",INDEX(tbl_Onsite[Notes],$BI1464),IF($B1464="Production",INDEX(tbl_Production[Notes],$BI1464),INDEX(tbl_Consulting[Notes],$BI1464)))&amp;"")</f>
        <v/>
      </c>
      <c r="N1464" s="11">
        <f>IF($BI1464="","",IF(IF($B1464="Onsite",INDEX(tbl_Onsite[Expected Revenue Ex GST],$BI1464),IF($B1464="Production",INDEX(tbl_Production[Expected Revenue Ex GST],$BI1464),INDEX(tbl_Consulting[Expected Revenue Ex GST],$BI1464)))="","",IF($B1464="Onsite",INDEX(tbl_Onsite[Expected Revenue Ex GST],$BI1464),IF($B1464="Production",INDEX(tbl_Production[Expected Revenue Ex GST],$BI1464),INDEX(tbl_Consulting[Expected Revenue Ex GST],$BI1464)))))</f>
        <v/>
      </c>
      <c r="O1464" s="11">
        <f>IF(AND($C1464="",NOT(COUNTA($S1464:$BB1464)&gt;0)),"",SUM(U1464,X1464,AA1464,AD1464,AG1464,AJ1464,AM1464,AP1464,AS1464,AV1464,AY1464,BB1464))</f>
        <v/>
      </c>
      <c r="P1464" s="11">
        <f>IF(O1464="","",N(N1464)-O1464)</f>
        <v/>
      </c>
      <c r="Q1464" s="10">
        <f>IF(O1464="","",IF($C1464="","Invoice on empty job row",IF(N1464="",IF(ROUND(O1464,2)=0,"No dept value","Invoiced - no dept value"),IF(ROUND(O1464,2)=0,"Not invoiced - to invoice",IF(ROUND(P1464,2)=0,"Agrees",IF(P1464&gt;0,"Dept higher - to invoice","Xero higher - check dept"))))))</f>
        <v/>
      </c>
      <c r="R1464" s="10">
        <f>IF(AND($C1464="",NOT(COUNTA($S1464:$BB1464)&gt;0),$BI1464&lt;&gt;""),"",MID(IF($BI1464="","; Row ID not found on the department sheet - a row was deleted","")&amp;IF(AND($C1464="",COUNTA($S1464:$BB1464)&gt;0),"; Invoice entered but the department row has no job number","")&amp;IF(E1464="CHECK","; Job number not in the Xero job list","")&amp;IF(AND($C1464&lt;&gt;"",COUNTIF($C$7:$C$1506,$C1464)&gt;1),"; Job number on more than one row","")&amp;IF(AND($C1464&lt;&gt;"",H1464=""),"; Dept has not set a cost centre","")&amp;IF(AND($C1464&lt;&gt;"",J1464=""),"; Dept has not set a tax code","")&amp;IF(AND($C1464&lt;&gt;"",N1464=""),"; Dept has not entered an expected value","")&amp;IF((IF(OR(COUNTA(S1464:U1464)=0,AND(COUNTA(S1464:U1464)=3,ISNUMBER(U1464))),0,1)+IF(OR(COUNTA(V1464:X1464)=0,AND(COUNTA(V1464:X1464)=3,ISNUMBER(X1464))),0,1)+IF(OR(COUNTA(Y1464:AA1464)=0,AND(COUNTA(Y1464:AA1464)=3,ISNUMBER(AA1464))),0,1)+IF(OR(COUNTA(AB1464:AD1464)=0,AND(COUNTA(AB1464:AD1464)=3,ISNUMBER(AD1464))),0,1)+IF(OR(COUNTA(AE1464:AG1464)=0,AND(COUNTA(AE1464:AG1464)=3,ISNUMBER(AG1464))),0,1)+IF(OR(COUNTA(AH1464:AJ1464)=0,AND(COUNTA(AH1464:AJ1464)=3,ISNUMBER(AJ1464))),0,1)+IF(OR(COUNTA(AK1464:AM1464)=0,AND(COUNTA(AK1464:AM1464)=3,ISNUMBER(AM1464))),0,1)+IF(OR(COUNTA(AN1464:AP1464)=0,AND(COUNTA(AN1464:AP1464)=3,ISNUMBER(AP1464))),0,1)+IF(OR(COUNTA(AQ1464:AS1464)=0,AND(COUNTA(AQ1464:AS1464)=3,ISNUMBER(AS1464))),0,1)+IF(OR(COUNTA(AT1464:AV1464)=0,AND(COUNTA(AT1464:AV1464)=3,ISNUMBER(AV1464))),0,1)+IF(OR(COUNTA(AW1464:AY1464)=0,AND(COUNTA(AW1464:AY1464)=3,ISNUMBER(AY1464))),0,1)+IF(OR(COUNTA(AZ1464:BB1464)=0,AND(COUNTA(AZ1464:BB1464)=3,ISNUMBER(BB1464))),0,1))&gt;0,"; An invoice is incomplete (needs No, Date and a number in Ex GST)","")&amp;IF((IF(T1464="",0,IFERROR(--(EOMONTH(T1464,0)&lt;&gt;S$5),1))+IF(W1464="",0,IFERROR(--(EOMONTH(W1464,0)&lt;&gt;V$5),1))+IF(Z1464="",0,IFERROR(--(EOMONTH(Z1464,0)&lt;&gt;Y$5),1))+IF(AC1464="",0,IFERROR(--(EOMONTH(AC1464,0)&lt;&gt;AB$5),1))+IF(AF1464="",0,IFERROR(--(EOMONTH(AF1464,0)&lt;&gt;AE$5),1))+IF(AI1464="",0,IFERROR(--(EOMONTH(AI1464,0)&lt;&gt;AH$5),1))+IF(AL1464="",0,IFERROR(--(EOMONTH(AL1464,0)&lt;&gt;AK$5),1))+IF(AO1464="",0,IFERROR(--(EOMONTH(AO1464,0)&lt;&gt;AN$5),1))+IF(AR1464="",0,IFERROR(--(EOMONTH(AR1464,0)&lt;&gt;AQ$5),1))+IF(AU1464="",0,IFERROR(--(EOMONTH(AU1464,0)&lt;&gt;AT$5),1))+IF(AX1464="",0,IFERROR(--(EOMONTH(AX1464,0)&lt;&gt;AW$5),1))+IF(BA1464="",0,IFERROR(--(EOMONTH(BA1464,0)&lt;&gt;AZ$5),1)))&gt;0,"; An invoice date is not in the month it is typed under",""),3,500))</f>
        <v/>
      </c>
      <c r="S1464" s="12" t="n"/>
      <c r="T1464" s="13" t="n"/>
      <c r="U1464" s="14" t="n"/>
      <c r="V1464" s="12" t="n"/>
      <c r="W1464" s="13" t="n"/>
      <c r="X1464" s="14" t="n"/>
      <c r="Y1464" s="12" t="n"/>
      <c r="Z1464" s="13" t="n"/>
      <c r="AA1464" s="14" t="n"/>
      <c r="AB1464" s="12" t="n"/>
      <c r="AC1464" s="13" t="n"/>
      <c r="AD1464" s="14" t="n"/>
      <c r="AE1464" s="12" t="n"/>
      <c r="AF1464" s="13" t="n"/>
      <c r="AG1464" s="14" t="n"/>
      <c r="AH1464" s="12" t="n"/>
      <c r="AI1464" s="13" t="n"/>
      <c r="AJ1464" s="14" t="n"/>
      <c r="AK1464" s="12" t="n"/>
      <c r="AL1464" s="13" t="n"/>
      <c r="AM1464" s="14" t="n"/>
      <c r="AN1464" s="12" t="n"/>
      <c r="AO1464" s="13" t="n"/>
      <c r="AP1464" s="14" t="n"/>
      <c r="AQ1464" s="12" t="n"/>
      <c r="AR1464" s="13" t="n"/>
      <c r="AS1464" s="14" t="n"/>
      <c r="AT1464" s="12" t="n"/>
      <c r="AU1464" s="13" t="n"/>
      <c r="AV1464" s="14" t="n"/>
      <c r="AW1464" s="12" t="n"/>
      <c r="AX1464" s="13" t="n"/>
      <c r="AY1464" s="14" t="n"/>
      <c r="AZ1464" s="12" t="n"/>
      <c r="BA1464" s="13" t="n"/>
      <c r="BB1464" s="14" t="n"/>
      <c r="BC1464" s="11">
        <f>IF(O1464="","",IF(J1464="GST 10%",ROUND(O1464*set_GSTRate,2),0))</f>
        <v/>
      </c>
      <c r="BD1464" s="11">
        <f>IF(O1464="","",O1464+BC1464)</f>
        <v/>
      </c>
      <c r="BE1464" s="15">
        <f>IF(O1464="","",COUNTA(S1464,V1464,Y1464,AB1464,AE1464,AH1464,AK1464,AN1464,AQ1464,AT1464,AW1464,AZ1464))</f>
        <v/>
      </c>
      <c r="BF1464" s="16">
        <f>IF(COUNT(T1464,W1464,Z1464,AC1464,AF1464,AI1464,AL1464,AO1464,AR1464,AU1464,AX1464,BA1464)=0,"",MAX(T1464,W1464,Z1464,AC1464,AF1464,AI1464,AL1464,AO1464,AR1464,AU1464,AX1464,BA1464))</f>
        <v/>
      </c>
      <c r="BG1464" s="10">
        <f>MID(IF(S1464="","",", "&amp;S1464)&amp;IF(V1464="","",", "&amp;V1464)&amp;IF(Y1464="","",", "&amp;Y1464)&amp;IF(AB1464="","",", "&amp;AB1464)&amp;IF(AE1464="","",", "&amp;AE1464)&amp;IF(AH1464="","",", "&amp;AH1464)&amp;IF(AK1464="","",", "&amp;AK1464)&amp;IF(AN1464="","",", "&amp;AN1464)&amp;IF(AQ1464="","",", "&amp;AQ1464)&amp;IF(AT1464="","",", "&amp;AT1464)&amp;IF(AW1464="","",", "&amp;AW1464)&amp;IF(AZ1464="","",", "&amp;AZ1464),3,500)</f>
        <v/>
      </c>
      <c r="BH1464" s="12" t="n"/>
      <c r="BI1464" s="15">
        <f>IFERROR(MATCH($A1464,IF($B1464="Onsite",tbl_Onsite[Row ID],IF($B1464="Production",tbl_Production[Row ID],tbl_Consulting[Row ID])),0),"")</f>
        <v/>
      </c>
    </row>
    <row r="1465">
      <c r="A1465" s="10" t="inlineStr">
        <is>
          <t>CON-0459</t>
        </is>
      </c>
      <c r="B1465" s="10" t="inlineStr">
        <is>
          <t>Consulting</t>
        </is>
      </c>
      <c r="C1465" s="10">
        <f>IF($BI1465="","",IF($B1465="Onsite",INDEX(tbl_Onsite[Job Number],$BI1465),IF($B1465="Production",INDEX(tbl_Production[Job Number],$BI1465),INDEX(tbl_Consulting[Job Number],$BI1465)))&amp;"")</f>
        <v/>
      </c>
      <c r="D1465" s="10">
        <f>IF($BI1465="","",IF($B1465="Onsite",INDEX(tbl_Onsite[Client],$BI1465),IF($B1465="Production",INDEX(tbl_Production[Client],$BI1465),INDEX(tbl_Consulting[Client],$BI1465)))&amp;"")</f>
        <v/>
      </c>
      <c r="E1465" s="10">
        <f>IF($C1465="","",IF(COUNTIF(lst_Jobs,$C1465)&gt;0,"OK","CHECK"))</f>
        <v/>
      </c>
      <c r="F1465" s="10">
        <f>IF($C1465="","",IFERROR(INDEX(lst_JobName,MATCH($C1465,lst_Jobs,0)),""))</f>
        <v/>
      </c>
      <c r="G1465" s="10">
        <f>IF($BI1465="","",IF($B1465="Onsite",INDEX(tbl_Onsite[Job Description],$BI1465),IF($B1465="Production",INDEX(tbl_Production[Job Description],$BI1465),INDEX(tbl_Consulting[Job Description],$BI1465)))&amp;"")</f>
        <v/>
      </c>
      <c r="H1465" s="10">
        <f>IF($BI1465="","",IF($B1465="Onsite",INDEX(tbl_Onsite[Cost Centre],$BI1465),IF($B1465="Production",INDEX(tbl_Production[Cost Centre],$BI1465),INDEX(tbl_Consulting[Cost Centre],$BI1465)))&amp;"")</f>
        <v/>
      </c>
      <c r="I1465" s="10">
        <f>IF($BI1465="","",IF($B1465="Onsite",INDEX(tbl_Onsite[Invoice Type],$BI1465),IF($B1465="Production",INDEX(tbl_Production[Invoice Type],$BI1465),INDEX(tbl_Consulting[Invoice Type],$BI1465)))&amp;"")</f>
        <v/>
      </c>
      <c r="J1465" s="10">
        <f>IF($BI1465="","",IF($B1465="Onsite",INDEX(tbl_Onsite[Tax Code],$BI1465),IF($B1465="Production",INDEX(tbl_Production[Tax Code],$BI1465),INDEX(tbl_Consulting[Tax Code],$BI1465)))&amp;"")</f>
        <v/>
      </c>
      <c r="K1465" s="10">
        <f>IF(H1465="","",IFERROR(INDEX(lst_CCtoGL,MATCH(H1465,lst_CCforGL,0)),""))</f>
        <v/>
      </c>
      <c r="L1465" s="10">
        <f>IF($BI1465="","",IF($B1465="Onsite",INDEX(tbl_Onsite[PO / Reference],$BI1465),IF($B1465="Production",INDEX(tbl_Production[Current RMS No],$BI1465),INDEX(tbl_Consulting[Qwilr Quote],$BI1465)))&amp;"")</f>
        <v/>
      </c>
      <c r="M1465" s="10">
        <f>IF($BI1465="","",IF($B1465="Onsite",INDEX(tbl_Onsite[Notes],$BI1465),IF($B1465="Production",INDEX(tbl_Production[Notes],$BI1465),INDEX(tbl_Consulting[Notes],$BI1465)))&amp;"")</f>
        <v/>
      </c>
      <c r="N1465" s="11">
        <f>IF($BI1465="","",IF(IF($B1465="Onsite",INDEX(tbl_Onsite[Expected Revenue Ex GST],$BI1465),IF($B1465="Production",INDEX(tbl_Production[Expected Revenue Ex GST],$BI1465),INDEX(tbl_Consulting[Expected Revenue Ex GST],$BI1465)))="","",IF($B1465="Onsite",INDEX(tbl_Onsite[Expected Revenue Ex GST],$BI1465),IF($B1465="Production",INDEX(tbl_Production[Expected Revenue Ex GST],$BI1465),INDEX(tbl_Consulting[Expected Revenue Ex GST],$BI1465)))))</f>
        <v/>
      </c>
      <c r="O1465" s="11">
        <f>IF(AND($C1465="",NOT(COUNTA($S1465:$BB1465)&gt;0)),"",SUM(U1465,X1465,AA1465,AD1465,AG1465,AJ1465,AM1465,AP1465,AS1465,AV1465,AY1465,BB1465))</f>
        <v/>
      </c>
      <c r="P1465" s="11">
        <f>IF(O1465="","",N(N1465)-O1465)</f>
        <v/>
      </c>
      <c r="Q1465" s="10">
        <f>IF(O1465="","",IF($C1465="","Invoice on empty job row",IF(N1465="",IF(ROUND(O1465,2)=0,"No dept value","Invoiced - no dept value"),IF(ROUND(O1465,2)=0,"Not invoiced - to invoice",IF(ROUND(P1465,2)=0,"Agrees",IF(P1465&gt;0,"Dept higher - to invoice","Xero higher - check dept"))))))</f>
        <v/>
      </c>
      <c r="R1465" s="10">
        <f>IF(AND($C1465="",NOT(COUNTA($S1465:$BB1465)&gt;0),$BI1465&lt;&gt;""),"",MID(IF($BI1465="","; Row ID not found on the department sheet - a row was deleted","")&amp;IF(AND($C1465="",COUNTA($S1465:$BB1465)&gt;0),"; Invoice entered but the department row has no job number","")&amp;IF(E1465="CHECK","; Job number not in the Xero job list","")&amp;IF(AND($C1465&lt;&gt;"",COUNTIF($C$7:$C$1506,$C1465)&gt;1),"; Job number on more than one row","")&amp;IF(AND($C1465&lt;&gt;"",H1465=""),"; Dept has not set a cost centre","")&amp;IF(AND($C1465&lt;&gt;"",J1465=""),"; Dept has not set a tax code","")&amp;IF(AND($C1465&lt;&gt;"",N1465=""),"; Dept has not entered an expected value","")&amp;IF((IF(OR(COUNTA(S1465:U1465)=0,AND(COUNTA(S1465:U1465)=3,ISNUMBER(U1465))),0,1)+IF(OR(COUNTA(V1465:X1465)=0,AND(COUNTA(V1465:X1465)=3,ISNUMBER(X1465))),0,1)+IF(OR(COUNTA(Y1465:AA1465)=0,AND(COUNTA(Y1465:AA1465)=3,ISNUMBER(AA1465))),0,1)+IF(OR(COUNTA(AB1465:AD1465)=0,AND(COUNTA(AB1465:AD1465)=3,ISNUMBER(AD1465))),0,1)+IF(OR(COUNTA(AE1465:AG1465)=0,AND(COUNTA(AE1465:AG1465)=3,ISNUMBER(AG1465))),0,1)+IF(OR(COUNTA(AH1465:AJ1465)=0,AND(COUNTA(AH1465:AJ1465)=3,ISNUMBER(AJ1465))),0,1)+IF(OR(COUNTA(AK1465:AM1465)=0,AND(COUNTA(AK1465:AM1465)=3,ISNUMBER(AM1465))),0,1)+IF(OR(COUNTA(AN1465:AP1465)=0,AND(COUNTA(AN1465:AP1465)=3,ISNUMBER(AP1465))),0,1)+IF(OR(COUNTA(AQ1465:AS1465)=0,AND(COUNTA(AQ1465:AS1465)=3,ISNUMBER(AS1465))),0,1)+IF(OR(COUNTA(AT1465:AV1465)=0,AND(COUNTA(AT1465:AV1465)=3,ISNUMBER(AV1465))),0,1)+IF(OR(COUNTA(AW1465:AY1465)=0,AND(COUNTA(AW1465:AY1465)=3,ISNUMBER(AY1465))),0,1)+IF(OR(COUNTA(AZ1465:BB1465)=0,AND(COUNTA(AZ1465:BB1465)=3,ISNUMBER(BB1465))),0,1))&gt;0,"; An invoice is incomplete (needs No, Date and a number in Ex GST)","")&amp;IF((IF(T1465="",0,IFERROR(--(EOMONTH(T1465,0)&lt;&gt;S$5),1))+IF(W1465="",0,IFERROR(--(EOMONTH(W1465,0)&lt;&gt;V$5),1))+IF(Z1465="",0,IFERROR(--(EOMONTH(Z1465,0)&lt;&gt;Y$5),1))+IF(AC1465="",0,IFERROR(--(EOMONTH(AC1465,0)&lt;&gt;AB$5),1))+IF(AF1465="",0,IFERROR(--(EOMONTH(AF1465,0)&lt;&gt;AE$5),1))+IF(AI1465="",0,IFERROR(--(EOMONTH(AI1465,0)&lt;&gt;AH$5),1))+IF(AL1465="",0,IFERROR(--(EOMONTH(AL1465,0)&lt;&gt;AK$5),1))+IF(AO1465="",0,IFERROR(--(EOMONTH(AO1465,0)&lt;&gt;AN$5),1))+IF(AR1465="",0,IFERROR(--(EOMONTH(AR1465,0)&lt;&gt;AQ$5),1))+IF(AU1465="",0,IFERROR(--(EOMONTH(AU1465,0)&lt;&gt;AT$5),1))+IF(AX1465="",0,IFERROR(--(EOMONTH(AX1465,0)&lt;&gt;AW$5),1))+IF(BA1465="",0,IFERROR(--(EOMONTH(BA1465,0)&lt;&gt;AZ$5),1)))&gt;0,"; An invoice date is not in the month it is typed under",""),3,500))</f>
        <v/>
      </c>
      <c r="S1465" s="12" t="n"/>
      <c r="T1465" s="13" t="n"/>
      <c r="U1465" s="14" t="n"/>
      <c r="V1465" s="12" t="n"/>
      <c r="W1465" s="13" t="n"/>
      <c r="X1465" s="14" t="n"/>
      <c r="Y1465" s="12" t="n"/>
      <c r="Z1465" s="13" t="n"/>
      <c r="AA1465" s="14" t="n"/>
      <c r="AB1465" s="12" t="n"/>
      <c r="AC1465" s="13" t="n"/>
      <c r="AD1465" s="14" t="n"/>
      <c r="AE1465" s="12" t="n"/>
      <c r="AF1465" s="13" t="n"/>
      <c r="AG1465" s="14" t="n"/>
      <c r="AH1465" s="12" t="n"/>
      <c r="AI1465" s="13" t="n"/>
      <c r="AJ1465" s="14" t="n"/>
      <c r="AK1465" s="12" t="n"/>
      <c r="AL1465" s="13" t="n"/>
      <c r="AM1465" s="14" t="n"/>
      <c r="AN1465" s="12" t="n"/>
      <c r="AO1465" s="13" t="n"/>
      <c r="AP1465" s="14" t="n"/>
      <c r="AQ1465" s="12" t="n"/>
      <c r="AR1465" s="13" t="n"/>
      <c r="AS1465" s="14" t="n"/>
      <c r="AT1465" s="12" t="n"/>
      <c r="AU1465" s="13" t="n"/>
      <c r="AV1465" s="14" t="n"/>
      <c r="AW1465" s="12" t="n"/>
      <c r="AX1465" s="13" t="n"/>
      <c r="AY1465" s="14" t="n"/>
      <c r="AZ1465" s="12" t="n"/>
      <c r="BA1465" s="13" t="n"/>
      <c r="BB1465" s="14" t="n"/>
      <c r="BC1465" s="11">
        <f>IF(O1465="","",IF(J1465="GST 10%",ROUND(O1465*set_GSTRate,2),0))</f>
        <v/>
      </c>
      <c r="BD1465" s="11">
        <f>IF(O1465="","",O1465+BC1465)</f>
        <v/>
      </c>
      <c r="BE1465" s="15">
        <f>IF(O1465="","",COUNTA(S1465,V1465,Y1465,AB1465,AE1465,AH1465,AK1465,AN1465,AQ1465,AT1465,AW1465,AZ1465))</f>
        <v/>
      </c>
      <c r="BF1465" s="16">
        <f>IF(COUNT(T1465,W1465,Z1465,AC1465,AF1465,AI1465,AL1465,AO1465,AR1465,AU1465,AX1465,BA1465)=0,"",MAX(T1465,W1465,Z1465,AC1465,AF1465,AI1465,AL1465,AO1465,AR1465,AU1465,AX1465,BA1465))</f>
        <v/>
      </c>
      <c r="BG1465" s="10">
        <f>MID(IF(S1465="","",", "&amp;S1465)&amp;IF(V1465="","",", "&amp;V1465)&amp;IF(Y1465="","",", "&amp;Y1465)&amp;IF(AB1465="","",", "&amp;AB1465)&amp;IF(AE1465="","",", "&amp;AE1465)&amp;IF(AH1465="","",", "&amp;AH1465)&amp;IF(AK1465="","",", "&amp;AK1465)&amp;IF(AN1465="","",", "&amp;AN1465)&amp;IF(AQ1465="","",", "&amp;AQ1465)&amp;IF(AT1465="","",", "&amp;AT1465)&amp;IF(AW1465="","",", "&amp;AW1465)&amp;IF(AZ1465="","",", "&amp;AZ1465),3,500)</f>
        <v/>
      </c>
      <c r="BH1465" s="12" t="n"/>
      <c r="BI1465" s="15">
        <f>IFERROR(MATCH($A1465,IF($B1465="Onsite",tbl_Onsite[Row ID],IF($B1465="Production",tbl_Production[Row ID],tbl_Consulting[Row ID])),0),"")</f>
        <v/>
      </c>
    </row>
    <row r="1466">
      <c r="A1466" s="10" t="inlineStr">
        <is>
          <t>CON-0460</t>
        </is>
      </c>
      <c r="B1466" s="10" t="inlineStr">
        <is>
          <t>Consulting</t>
        </is>
      </c>
      <c r="C1466" s="10">
        <f>IF($BI1466="","",IF($B1466="Onsite",INDEX(tbl_Onsite[Job Number],$BI1466),IF($B1466="Production",INDEX(tbl_Production[Job Number],$BI1466),INDEX(tbl_Consulting[Job Number],$BI1466)))&amp;"")</f>
        <v/>
      </c>
      <c r="D1466" s="10">
        <f>IF($BI1466="","",IF($B1466="Onsite",INDEX(tbl_Onsite[Client],$BI1466),IF($B1466="Production",INDEX(tbl_Production[Client],$BI1466),INDEX(tbl_Consulting[Client],$BI1466)))&amp;"")</f>
        <v/>
      </c>
      <c r="E1466" s="10">
        <f>IF($C1466="","",IF(COUNTIF(lst_Jobs,$C1466)&gt;0,"OK","CHECK"))</f>
        <v/>
      </c>
      <c r="F1466" s="10">
        <f>IF($C1466="","",IFERROR(INDEX(lst_JobName,MATCH($C1466,lst_Jobs,0)),""))</f>
        <v/>
      </c>
      <c r="G1466" s="10">
        <f>IF($BI1466="","",IF($B1466="Onsite",INDEX(tbl_Onsite[Job Description],$BI1466),IF($B1466="Production",INDEX(tbl_Production[Job Description],$BI1466),INDEX(tbl_Consulting[Job Description],$BI1466)))&amp;"")</f>
        <v/>
      </c>
      <c r="H1466" s="10">
        <f>IF($BI1466="","",IF($B1466="Onsite",INDEX(tbl_Onsite[Cost Centre],$BI1466),IF($B1466="Production",INDEX(tbl_Production[Cost Centre],$BI1466),INDEX(tbl_Consulting[Cost Centre],$BI1466)))&amp;"")</f>
        <v/>
      </c>
      <c r="I1466" s="10">
        <f>IF($BI1466="","",IF($B1466="Onsite",INDEX(tbl_Onsite[Invoice Type],$BI1466),IF($B1466="Production",INDEX(tbl_Production[Invoice Type],$BI1466),INDEX(tbl_Consulting[Invoice Type],$BI1466)))&amp;"")</f>
        <v/>
      </c>
      <c r="J1466" s="10">
        <f>IF($BI1466="","",IF($B1466="Onsite",INDEX(tbl_Onsite[Tax Code],$BI1466),IF($B1466="Production",INDEX(tbl_Production[Tax Code],$BI1466),INDEX(tbl_Consulting[Tax Code],$BI1466)))&amp;"")</f>
        <v/>
      </c>
      <c r="K1466" s="10">
        <f>IF(H1466="","",IFERROR(INDEX(lst_CCtoGL,MATCH(H1466,lst_CCforGL,0)),""))</f>
        <v/>
      </c>
      <c r="L1466" s="10">
        <f>IF($BI1466="","",IF($B1466="Onsite",INDEX(tbl_Onsite[PO / Reference],$BI1466),IF($B1466="Production",INDEX(tbl_Production[Current RMS No],$BI1466),INDEX(tbl_Consulting[Qwilr Quote],$BI1466)))&amp;"")</f>
        <v/>
      </c>
      <c r="M1466" s="10">
        <f>IF($BI1466="","",IF($B1466="Onsite",INDEX(tbl_Onsite[Notes],$BI1466),IF($B1466="Production",INDEX(tbl_Production[Notes],$BI1466),INDEX(tbl_Consulting[Notes],$BI1466)))&amp;"")</f>
        <v/>
      </c>
      <c r="N1466" s="11">
        <f>IF($BI1466="","",IF(IF($B1466="Onsite",INDEX(tbl_Onsite[Expected Revenue Ex GST],$BI1466),IF($B1466="Production",INDEX(tbl_Production[Expected Revenue Ex GST],$BI1466),INDEX(tbl_Consulting[Expected Revenue Ex GST],$BI1466)))="","",IF($B1466="Onsite",INDEX(tbl_Onsite[Expected Revenue Ex GST],$BI1466),IF($B1466="Production",INDEX(tbl_Production[Expected Revenue Ex GST],$BI1466),INDEX(tbl_Consulting[Expected Revenue Ex GST],$BI1466)))))</f>
        <v/>
      </c>
      <c r="O1466" s="11">
        <f>IF(AND($C1466="",NOT(COUNTA($S1466:$BB1466)&gt;0)),"",SUM(U1466,X1466,AA1466,AD1466,AG1466,AJ1466,AM1466,AP1466,AS1466,AV1466,AY1466,BB1466))</f>
        <v/>
      </c>
      <c r="P1466" s="11">
        <f>IF(O1466="","",N(N1466)-O1466)</f>
        <v/>
      </c>
      <c r="Q1466" s="10">
        <f>IF(O1466="","",IF($C1466="","Invoice on empty job row",IF(N1466="",IF(ROUND(O1466,2)=0,"No dept value","Invoiced - no dept value"),IF(ROUND(O1466,2)=0,"Not invoiced - to invoice",IF(ROUND(P1466,2)=0,"Agrees",IF(P1466&gt;0,"Dept higher - to invoice","Xero higher - check dept"))))))</f>
        <v/>
      </c>
      <c r="R1466" s="10">
        <f>IF(AND($C1466="",NOT(COUNTA($S1466:$BB1466)&gt;0),$BI1466&lt;&gt;""),"",MID(IF($BI1466="","; Row ID not found on the department sheet - a row was deleted","")&amp;IF(AND($C1466="",COUNTA($S1466:$BB1466)&gt;0),"; Invoice entered but the department row has no job number","")&amp;IF(E1466="CHECK","; Job number not in the Xero job list","")&amp;IF(AND($C1466&lt;&gt;"",COUNTIF($C$7:$C$1506,$C1466)&gt;1),"; Job number on more than one row","")&amp;IF(AND($C1466&lt;&gt;"",H1466=""),"; Dept has not set a cost centre","")&amp;IF(AND($C1466&lt;&gt;"",J1466=""),"; Dept has not set a tax code","")&amp;IF(AND($C1466&lt;&gt;"",N1466=""),"; Dept has not entered an expected value","")&amp;IF((IF(OR(COUNTA(S1466:U1466)=0,AND(COUNTA(S1466:U1466)=3,ISNUMBER(U1466))),0,1)+IF(OR(COUNTA(V1466:X1466)=0,AND(COUNTA(V1466:X1466)=3,ISNUMBER(X1466))),0,1)+IF(OR(COUNTA(Y1466:AA1466)=0,AND(COUNTA(Y1466:AA1466)=3,ISNUMBER(AA1466))),0,1)+IF(OR(COUNTA(AB1466:AD1466)=0,AND(COUNTA(AB1466:AD1466)=3,ISNUMBER(AD1466))),0,1)+IF(OR(COUNTA(AE1466:AG1466)=0,AND(COUNTA(AE1466:AG1466)=3,ISNUMBER(AG1466))),0,1)+IF(OR(COUNTA(AH1466:AJ1466)=0,AND(COUNTA(AH1466:AJ1466)=3,ISNUMBER(AJ1466))),0,1)+IF(OR(COUNTA(AK1466:AM1466)=0,AND(COUNTA(AK1466:AM1466)=3,ISNUMBER(AM1466))),0,1)+IF(OR(COUNTA(AN1466:AP1466)=0,AND(COUNTA(AN1466:AP1466)=3,ISNUMBER(AP1466))),0,1)+IF(OR(COUNTA(AQ1466:AS1466)=0,AND(COUNTA(AQ1466:AS1466)=3,ISNUMBER(AS1466))),0,1)+IF(OR(COUNTA(AT1466:AV1466)=0,AND(COUNTA(AT1466:AV1466)=3,ISNUMBER(AV1466))),0,1)+IF(OR(COUNTA(AW1466:AY1466)=0,AND(COUNTA(AW1466:AY1466)=3,ISNUMBER(AY1466))),0,1)+IF(OR(COUNTA(AZ1466:BB1466)=0,AND(COUNTA(AZ1466:BB1466)=3,ISNUMBER(BB1466))),0,1))&gt;0,"; An invoice is incomplete (needs No, Date and a number in Ex GST)","")&amp;IF((IF(T1466="",0,IFERROR(--(EOMONTH(T1466,0)&lt;&gt;S$5),1))+IF(W1466="",0,IFERROR(--(EOMONTH(W1466,0)&lt;&gt;V$5),1))+IF(Z1466="",0,IFERROR(--(EOMONTH(Z1466,0)&lt;&gt;Y$5),1))+IF(AC1466="",0,IFERROR(--(EOMONTH(AC1466,0)&lt;&gt;AB$5),1))+IF(AF1466="",0,IFERROR(--(EOMONTH(AF1466,0)&lt;&gt;AE$5),1))+IF(AI1466="",0,IFERROR(--(EOMONTH(AI1466,0)&lt;&gt;AH$5),1))+IF(AL1466="",0,IFERROR(--(EOMONTH(AL1466,0)&lt;&gt;AK$5),1))+IF(AO1466="",0,IFERROR(--(EOMONTH(AO1466,0)&lt;&gt;AN$5),1))+IF(AR1466="",0,IFERROR(--(EOMONTH(AR1466,0)&lt;&gt;AQ$5),1))+IF(AU1466="",0,IFERROR(--(EOMONTH(AU1466,0)&lt;&gt;AT$5),1))+IF(AX1466="",0,IFERROR(--(EOMONTH(AX1466,0)&lt;&gt;AW$5),1))+IF(BA1466="",0,IFERROR(--(EOMONTH(BA1466,0)&lt;&gt;AZ$5),1)))&gt;0,"; An invoice date is not in the month it is typed under",""),3,500))</f>
        <v/>
      </c>
      <c r="S1466" s="12" t="n"/>
      <c r="T1466" s="13" t="n"/>
      <c r="U1466" s="14" t="n"/>
      <c r="V1466" s="12" t="n"/>
      <c r="W1466" s="13" t="n"/>
      <c r="X1466" s="14" t="n"/>
      <c r="Y1466" s="12" t="n"/>
      <c r="Z1466" s="13" t="n"/>
      <c r="AA1466" s="14" t="n"/>
      <c r="AB1466" s="12" t="n"/>
      <c r="AC1466" s="13" t="n"/>
      <c r="AD1466" s="14" t="n"/>
      <c r="AE1466" s="12" t="n"/>
      <c r="AF1466" s="13" t="n"/>
      <c r="AG1466" s="14" t="n"/>
      <c r="AH1466" s="12" t="n"/>
      <c r="AI1466" s="13" t="n"/>
      <c r="AJ1466" s="14" t="n"/>
      <c r="AK1466" s="12" t="n"/>
      <c r="AL1466" s="13" t="n"/>
      <c r="AM1466" s="14" t="n"/>
      <c r="AN1466" s="12" t="n"/>
      <c r="AO1466" s="13" t="n"/>
      <c r="AP1466" s="14" t="n"/>
      <c r="AQ1466" s="12" t="n"/>
      <c r="AR1466" s="13" t="n"/>
      <c r="AS1466" s="14" t="n"/>
      <c r="AT1466" s="12" t="n"/>
      <c r="AU1466" s="13" t="n"/>
      <c r="AV1466" s="14" t="n"/>
      <c r="AW1466" s="12" t="n"/>
      <c r="AX1466" s="13" t="n"/>
      <c r="AY1466" s="14" t="n"/>
      <c r="AZ1466" s="12" t="n"/>
      <c r="BA1466" s="13" t="n"/>
      <c r="BB1466" s="14" t="n"/>
      <c r="BC1466" s="11">
        <f>IF(O1466="","",IF(J1466="GST 10%",ROUND(O1466*set_GSTRate,2),0))</f>
        <v/>
      </c>
      <c r="BD1466" s="11">
        <f>IF(O1466="","",O1466+BC1466)</f>
        <v/>
      </c>
      <c r="BE1466" s="15">
        <f>IF(O1466="","",COUNTA(S1466,V1466,Y1466,AB1466,AE1466,AH1466,AK1466,AN1466,AQ1466,AT1466,AW1466,AZ1466))</f>
        <v/>
      </c>
      <c r="BF1466" s="16">
        <f>IF(COUNT(T1466,W1466,Z1466,AC1466,AF1466,AI1466,AL1466,AO1466,AR1466,AU1466,AX1466,BA1466)=0,"",MAX(T1466,W1466,Z1466,AC1466,AF1466,AI1466,AL1466,AO1466,AR1466,AU1466,AX1466,BA1466))</f>
        <v/>
      </c>
      <c r="BG1466" s="10">
        <f>MID(IF(S1466="","",", "&amp;S1466)&amp;IF(V1466="","",", "&amp;V1466)&amp;IF(Y1466="","",", "&amp;Y1466)&amp;IF(AB1466="","",", "&amp;AB1466)&amp;IF(AE1466="","",", "&amp;AE1466)&amp;IF(AH1466="","",", "&amp;AH1466)&amp;IF(AK1466="","",", "&amp;AK1466)&amp;IF(AN1466="","",", "&amp;AN1466)&amp;IF(AQ1466="","",", "&amp;AQ1466)&amp;IF(AT1466="","",", "&amp;AT1466)&amp;IF(AW1466="","",", "&amp;AW1466)&amp;IF(AZ1466="","",", "&amp;AZ1466),3,500)</f>
        <v/>
      </c>
      <c r="BH1466" s="12" t="n"/>
      <c r="BI1466" s="15">
        <f>IFERROR(MATCH($A1466,IF($B1466="Onsite",tbl_Onsite[Row ID],IF($B1466="Production",tbl_Production[Row ID],tbl_Consulting[Row ID])),0),"")</f>
        <v/>
      </c>
    </row>
    <row r="1467">
      <c r="A1467" s="10" t="inlineStr">
        <is>
          <t>CON-0461</t>
        </is>
      </c>
      <c r="B1467" s="10" t="inlineStr">
        <is>
          <t>Consulting</t>
        </is>
      </c>
      <c r="C1467" s="10">
        <f>IF($BI1467="","",IF($B1467="Onsite",INDEX(tbl_Onsite[Job Number],$BI1467),IF($B1467="Production",INDEX(tbl_Production[Job Number],$BI1467),INDEX(tbl_Consulting[Job Number],$BI1467)))&amp;"")</f>
        <v/>
      </c>
      <c r="D1467" s="10">
        <f>IF($BI1467="","",IF($B1467="Onsite",INDEX(tbl_Onsite[Client],$BI1467),IF($B1467="Production",INDEX(tbl_Production[Client],$BI1467),INDEX(tbl_Consulting[Client],$BI1467)))&amp;"")</f>
        <v/>
      </c>
      <c r="E1467" s="10">
        <f>IF($C1467="","",IF(COUNTIF(lst_Jobs,$C1467)&gt;0,"OK","CHECK"))</f>
        <v/>
      </c>
      <c r="F1467" s="10">
        <f>IF($C1467="","",IFERROR(INDEX(lst_JobName,MATCH($C1467,lst_Jobs,0)),""))</f>
        <v/>
      </c>
      <c r="G1467" s="10">
        <f>IF($BI1467="","",IF($B1467="Onsite",INDEX(tbl_Onsite[Job Description],$BI1467),IF($B1467="Production",INDEX(tbl_Production[Job Description],$BI1467),INDEX(tbl_Consulting[Job Description],$BI1467)))&amp;"")</f>
        <v/>
      </c>
      <c r="H1467" s="10">
        <f>IF($BI1467="","",IF($B1467="Onsite",INDEX(tbl_Onsite[Cost Centre],$BI1467),IF($B1467="Production",INDEX(tbl_Production[Cost Centre],$BI1467),INDEX(tbl_Consulting[Cost Centre],$BI1467)))&amp;"")</f>
        <v/>
      </c>
      <c r="I1467" s="10">
        <f>IF($BI1467="","",IF($B1467="Onsite",INDEX(tbl_Onsite[Invoice Type],$BI1467),IF($B1467="Production",INDEX(tbl_Production[Invoice Type],$BI1467),INDEX(tbl_Consulting[Invoice Type],$BI1467)))&amp;"")</f>
        <v/>
      </c>
      <c r="J1467" s="10">
        <f>IF($BI1467="","",IF($B1467="Onsite",INDEX(tbl_Onsite[Tax Code],$BI1467),IF($B1467="Production",INDEX(tbl_Production[Tax Code],$BI1467),INDEX(tbl_Consulting[Tax Code],$BI1467)))&amp;"")</f>
        <v/>
      </c>
      <c r="K1467" s="10">
        <f>IF(H1467="","",IFERROR(INDEX(lst_CCtoGL,MATCH(H1467,lst_CCforGL,0)),""))</f>
        <v/>
      </c>
      <c r="L1467" s="10">
        <f>IF($BI1467="","",IF($B1467="Onsite",INDEX(tbl_Onsite[PO / Reference],$BI1467),IF($B1467="Production",INDEX(tbl_Production[Current RMS No],$BI1467),INDEX(tbl_Consulting[Qwilr Quote],$BI1467)))&amp;"")</f>
        <v/>
      </c>
      <c r="M1467" s="10">
        <f>IF($BI1467="","",IF($B1467="Onsite",INDEX(tbl_Onsite[Notes],$BI1467),IF($B1467="Production",INDEX(tbl_Production[Notes],$BI1467),INDEX(tbl_Consulting[Notes],$BI1467)))&amp;"")</f>
        <v/>
      </c>
      <c r="N1467" s="11">
        <f>IF($BI1467="","",IF(IF($B1467="Onsite",INDEX(tbl_Onsite[Expected Revenue Ex GST],$BI1467),IF($B1467="Production",INDEX(tbl_Production[Expected Revenue Ex GST],$BI1467),INDEX(tbl_Consulting[Expected Revenue Ex GST],$BI1467)))="","",IF($B1467="Onsite",INDEX(tbl_Onsite[Expected Revenue Ex GST],$BI1467),IF($B1467="Production",INDEX(tbl_Production[Expected Revenue Ex GST],$BI1467),INDEX(tbl_Consulting[Expected Revenue Ex GST],$BI1467)))))</f>
        <v/>
      </c>
      <c r="O1467" s="11">
        <f>IF(AND($C1467="",NOT(COUNTA($S1467:$BB1467)&gt;0)),"",SUM(U1467,X1467,AA1467,AD1467,AG1467,AJ1467,AM1467,AP1467,AS1467,AV1467,AY1467,BB1467))</f>
        <v/>
      </c>
      <c r="P1467" s="11">
        <f>IF(O1467="","",N(N1467)-O1467)</f>
        <v/>
      </c>
      <c r="Q1467" s="10">
        <f>IF(O1467="","",IF($C1467="","Invoice on empty job row",IF(N1467="",IF(ROUND(O1467,2)=0,"No dept value","Invoiced - no dept value"),IF(ROUND(O1467,2)=0,"Not invoiced - to invoice",IF(ROUND(P1467,2)=0,"Agrees",IF(P1467&gt;0,"Dept higher - to invoice","Xero higher - check dept"))))))</f>
        <v/>
      </c>
      <c r="R1467" s="10">
        <f>IF(AND($C1467="",NOT(COUNTA($S1467:$BB1467)&gt;0),$BI1467&lt;&gt;""),"",MID(IF($BI1467="","; Row ID not found on the department sheet - a row was deleted","")&amp;IF(AND($C1467="",COUNTA($S1467:$BB1467)&gt;0),"; Invoice entered but the department row has no job number","")&amp;IF(E1467="CHECK","; Job number not in the Xero job list","")&amp;IF(AND($C1467&lt;&gt;"",COUNTIF($C$7:$C$1506,$C1467)&gt;1),"; Job number on more than one row","")&amp;IF(AND($C1467&lt;&gt;"",H1467=""),"; Dept has not set a cost centre","")&amp;IF(AND($C1467&lt;&gt;"",J1467=""),"; Dept has not set a tax code","")&amp;IF(AND($C1467&lt;&gt;"",N1467=""),"; Dept has not entered an expected value","")&amp;IF((IF(OR(COUNTA(S1467:U1467)=0,AND(COUNTA(S1467:U1467)=3,ISNUMBER(U1467))),0,1)+IF(OR(COUNTA(V1467:X1467)=0,AND(COUNTA(V1467:X1467)=3,ISNUMBER(X1467))),0,1)+IF(OR(COUNTA(Y1467:AA1467)=0,AND(COUNTA(Y1467:AA1467)=3,ISNUMBER(AA1467))),0,1)+IF(OR(COUNTA(AB1467:AD1467)=0,AND(COUNTA(AB1467:AD1467)=3,ISNUMBER(AD1467))),0,1)+IF(OR(COUNTA(AE1467:AG1467)=0,AND(COUNTA(AE1467:AG1467)=3,ISNUMBER(AG1467))),0,1)+IF(OR(COUNTA(AH1467:AJ1467)=0,AND(COUNTA(AH1467:AJ1467)=3,ISNUMBER(AJ1467))),0,1)+IF(OR(COUNTA(AK1467:AM1467)=0,AND(COUNTA(AK1467:AM1467)=3,ISNUMBER(AM1467))),0,1)+IF(OR(COUNTA(AN1467:AP1467)=0,AND(COUNTA(AN1467:AP1467)=3,ISNUMBER(AP1467))),0,1)+IF(OR(COUNTA(AQ1467:AS1467)=0,AND(COUNTA(AQ1467:AS1467)=3,ISNUMBER(AS1467))),0,1)+IF(OR(COUNTA(AT1467:AV1467)=0,AND(COUNTA(AT1467:AV1467)=3,ISNUMBER(AV1467))),0,1)+IF(OR(COUNTA(AW1467:AY1467)=0,AND(COUNTA(AW1467:AY1467)=3,ISNUMBER(AY1467))),0,1)+IF(OR(COUNTA(AZ1467:BB1467)=0,AND(COUNTA(AZ1467:BB1467)=3,ISNUMBER(BB1467))),0,1))&gt;0,"; An invoice is incomplete (needs No, Date and a number in Ex GST)","")&amp;IF((IF(T1467="",0,IFERROR(--(EOMONTH(T1467,0)&lt;&gt;S$5),1))+IF(W1467="",0,IFERROR(--(EOMONTH(W1467,0)&lt;&gt;V$5),1))+IF(Z1467="",0,IFERROR(--(EOMONTH(Z1467,0)&lt;&gt;Y$5),1))+IF(AC1467="",0,IFERROR(--(EOMONTH(AC1467,0)&lt;&gt;AB$5),1))+IF(AF1467="",0,IFERROR(--(EOMONTH(AF1467,0)&lt;&gt;AE$5),1))+IF(AI1467="",0,IFERROR(--(EOMONTH(AI1467,0)&lt;&gt;AH$5),1))+IF(AL1467="",0,IFERROR(--(EOMONTH(AL1467,0)&lt;&gt;AK$5),1))+IF(AO1467="",0,IFERROR(--(EOMONTH(AO1467,0)&lt;&gt;AN$5),1))+IF(AR1467="",0,IFERROR(--(EOMONTH(AR1467,0)&lt;&gt;AQ$5),1))+IF(AU1467="",0,IFERROR(--(EOMONTH(AU1467,0)&lt;&gt;AT$5),1))+IF(AX1467="",0,IFERROR(--(EOMONTH(AX1467,0)&lt;&gt;AW$5),1))+IF(BA1467="",0,IFERROR(--(EOMONTH(BA1467,0)&lt;&gt;AZ$5),1)))&gt;0,"; An invoice date is not in the month it is typed under",""),3,500))</f>
        <v/>
      </c>
      <c r="S1467" s="12" t="n"/>
      <c r="T1467" s="13" t="n"/>
      <c r="U1467" s="14" t="n"/>
      <c r="V1467" s="12" t="n"/>
      <c r="W1467" s="13" t="n"/>
      <c r="X1467" s="14" t="n"/>
      <c r="Y1467" s="12" t="n"/>
      <c r="Z1467" s="13" t="n"/>
      <c r="AA1467" s="14" t="n"/>
      <c r="AB1467" s="12" t="n"/>
      <c r="AC1467" s="13" t="n"/>
      <c r="AD1467" s="14" t="n"/>
      <c r="AE1467" s="12" t="n"/>
      <c r="AF1467" s="13" t="n"/>
      <c r="AG1467" s="14" t="n"/>
      <c r="AH1467" s="12" t="n"/>
      <c r="AI1467" s="13" t="n"/>
      <c r="AJ1467" s="14" t="n"/>
      <c r="AK1467" s="12" t="n"/>
      <c r="AL1467" s="13" t="n"/>
      <c r="AM1467" s="14" t="n"/>
      <c r="AN1467" s="12" t="n"/>
      <c r="AO1467" s="13" t="n"/>
      <c r="AP1467" s="14" t="n"/>
      <c r="AQ1467" s="12" t="n"/>
      <c r="AR1467" s="13" t="n"/>
      <c r="AS1467" s="14" t="n"/>
      <c r="AT1467" s="12" t="n"/>
      <c r="AU1467" s="13" t="n"/>
      <c r="AV1467" s="14" t="n"/>
      <c r="AW1467" s="12" t="n"/>
      <c r="AX1467" s="13" t="n"/>
      <c r="AY1467" s="14" t="n"/>
      <c r="AZ1467" s="12" t="n"/>
      <c r="BA1467" s="13" t="n"/>
      <c r="BB1467" s="14" t="n"/>
      <c r="BC1467" s="11">
        <f>IF(O1467="","",IF(J1467="GST 10%",ROUND(O1467*set_GSTRate,2),0))</f>
        <v/>
      </c>
      <c r="BD1467" s="11">
        <f>IF(O1467="","",O1467+BC1467)</f>
        <v/>
      </c>
      <c r="BE1467" s="15">
        <f>IF(O1467="","",COUNTA(S1467,V1467,Y1467,AB1467,AE1467,AH1467,AK1467,AN1467,AQ1467,AT1467,AW1467,AZ1467))</f>
        <v/>
      </c>
      <c r="BF1467" s="16">
        <f>IF(COUNT(T1467,W1467,Z1467,AC1467,AF1467,AI1467,AL1467,AO1467,AR1467,AU1467,AX1467,BA1467)=0,"",MAX(T1467,W1467,Z1467,AC1467,AF1467,AI1467,AL1467,AO1467,AR1467,AU1467,AX1467,BA1467))</f>
        <v/>
      </c>
      <c r="BG1467" s="10">
        <f>MID(IF(S1467="","",", "&amp;S1467)&amp;IF(V1467="","",", "&amp;V1467)&amp;IF(Y1467="","",", "&amp;Y1467)&amp;IF(AB1467="","",", "&amp;AB1467)&amp;IF(AE1467="","",", "&amp;AE1467)&amp;IF(AH1467="","",", "&amp;AH1467)&amp;IF(AK1467="","",", "&amp;AK1467)&amp;IF(AN1467="","",", "&amp;AN1467)&amp;IF(AQ1467="","",", "&amp;AQ1467)&amp;IF(AT1467="","",", "&amp;AT1467)&amp;IF(AW1467="","",", "&amp;AW1467)&amp;IF(AZ1467="","",", "&amp;AZ1467),3,500)</f>
        <v/>
      </c>
      <c r="BH1467" s="12" t="n"/>
      <c r="BI1467" s="15">
        <f>IFERROR(MATCH($A1467,IF($B1467="Onsite",tbl_Onsite[Row ID],IF($B1467="Production",tbl_Production[Row ID],tbl_Consulting[Row ID])),0),"")</f>
        <v/>
      </c>
    </row>
    <row r="1468">
      <c r="A1468" s="10" t="inlineStr">
        <is>
          <t>CON-0462</t>
        </is>
      </c>
      <c r="B1468" s="10" t="inlineStr">
        <is>
          <t>Consulting</t>
        </is>
      </c>
      <c r="C1468" s="10">
        <f>IF($BI1468="","",IF($B1468="Onsite",INDEX(tbl_Onsite[Job Number],$BI1468),IF($B1468="Production",INDEX(tbl_Production[Job Number],$BI1468),INDEX(tbl_Consulting[Job Number],$BI1468)))&amp;"")</f>
        <v/>
      </c>
      <c r="D1468" s="10">
        <f>IF($BI1468="","",IF($B1468="Onsite",INDEX(tbl_Onsite[Client],$BI1468),IF($B1468="Production",INDEX(tbl_Production[Client],$BI1468),INDEX(tbl_Consulting[Client],$BI1468)))&amp;"")</f>
        <v/>
      </c>
      <c r="E1468" s="10">
        <f>IF($C1468="","",IF(COUNTIF(lst_Jobs,$C1468)&gt;0,"OK","CHECK"))</f>
        <v/>
      </c>
      <c r="F1468" s="10">
        <f>IF($C1468="","",IFERROR(INDEX(lst_JobName,MATCH($C1468,lst_Jobs,0)),""))</f>
        <v/>
      </c>
      <c r="G1468" s="10">
        <f>IF($BI1468="","",IF($B1468="Onsite",INDEX(tbl_Onsite[Job Description],$BI1468),IF($B1468="Production",INDEX(tbl_Production[Job Description],$BI1468),INDEX(tbl_Consulting[Job Description],$BI1468)))&amp;"")</f>
        <v/>
      </c>
      <c r="H1468" s="10">
        <f>IF($BI1468="","",IF($B1468="Onsite",INDEX(tbl_Onsite[Cost Centre],$BI1468),IF($B1468="Production",INDEX(tbl_Production[Cost Centre],$BI1468),INDEX(tbl_Consulting[Cost Centre],$BI1468)))&amp;"")</f>
        <v/>
      </c>
      <c r="I1468" s="10">
        <f>IF($BI1468="","",IF($B1468="Onsite",INDEX(tbl_Onsite[Invoice Type],$BI1468),IF($B1468="Production",INDEX(tbl_Production[Invoice Type],$BI1468),INDEX(tbl_Consulting[Invoice Type],$BI1468)))&amp;"")</f>
        <v/>
      </c>
      <c r="J1468" s="10">
        <f>IF($BI1468="","",IF($B1468="Onsite",INDEX(tbl_Onsite[Tax Code],$BI1468),IF($B1468="Production",INDEX(tbl_Production[Tax Code],$BI1468),INDEX(tbl_Consulting[Tax Code],$BI1468)))&amp;"")</f>
        <v/>
      </c>
      <c r="K1468" s="10">
        <f>IF(H1468="","",IFERROR(INDEX(lst_CCtoGL,MATCH(H1468,lst_CCforGL,0)),""))</f>
        <v/>
      </c>
      <c r="L1468" s="10">
        <f>IF($BI1468="","",IF($B1468="Onsite",INDEX(tbl_Onsite[PO / Reference],$BI1468),IF($B1468="Production",INDEX(tbl_Production[Current RMS No],$BI1468),INDEX(tbl_Consulting[Qwilr Quote],$BI1468)))&amp;"")</f>
        <v/>
      </c>
      <c r="M1468" s="10">
        <f>IF($BI1468="","",IF($B1468="Onsite",INDEX(tbl_Onsite[Notes],$BI1468),IF($B1468="Production",INDEX(tbl_Production[Notes],$BI1468),INDEX(tbl_Consulting[Notes],$BI1468)))&amp;"")</f>
        <v/>
      </c>
      <c r="N1468" s="11">
        <f>IF($BI1468="","",IF(IF($B1468="Onsite",INDEX(tbl_Onsite[Expected Revenue Ex GST],$BI1468),IF($B1468="Production",INDEX(tbl_Production[Expected Revenue Ex GST],$BI1468),INDEX(tbl_Consulting[Expected Revenue Ex GST],$BI1468)))="","",IF($B1468="Onsite",INDEX(tbl_Onsite[Expected Revenue Ex GST],$BI1468),IF($B1468="Production",INDEX(tbl_Production[Expected Revenue Ex GST],$BI1468),INDEX(tbl_Consulting[Expected Revenue Ex GST],$BI1468)))))</f>
        <v/>
      </c>
      <c r="O1468" s="11">
        <f>IF(AND($C1468="",NOT(COUNTA($S1468:$BB1468)&gt;0)),"",SUM(U1468,X1468,AA1468,AD1468,AG1468,AJ1468,AM1468,AP1468,AS1468,AV1468,AY1468,BB1468))</f>
        <v/>
      </c>
      <c r="P1468" s="11">
        <f>IF(O1468="","",N(N1468)-O1468)</f>
        <v/>
      </c>
      <c r="Q1468" s="10">
        <f>IF(O1468="","",IF($C1468="","Invoice on empty job row",IF(N1468="",IF(ROUND(O1468,2)=0,"No dept value","Invoiced - no dept value"),IF(ROUND(O1468,2)=0,"Not invoiced - to invoice",IF(ROUND(P1468,2)=0,"Agrees",IF(P1468&gt;0,"Dept higher - to invoice","Xero higher - check dept"))))))</f>
        <v/>
      </c>
      <c r="R1468" s="10">
        <f>IF(AND($C1468="",NOT(COUNTA($S1468:$BB1468)&gt;0),$BI1468&lt;&gt;""),"",MID(IF($BI1468="","; Row ID not found on the department sheet - a row was deleted","")&amp;IF(AND($C1468="",COUNTA($S1468:$BB1468)&gt;0),"; Invoice entered but the department row has no job number","")&amp;IF(E1468="CHECK","; Job number not in the Xero job list","")&amp;IF(AND($C1468&lt;&gt;"",COUNTIF($C$7:$C$1506,$C1468)&gt;1),"; Job number on more than one row","")&amp;IF(AND($C1468&lt;&gt;"",H1468=""),"; Dept has not set a cost centre","")&amp;IF(AND($C1468&lt;&gt;"",J1468=""),"; Dept has not set a tax code","")&amp;IF(AND($C1468&lt;&gt;"",N1468=""),"; Dept has not entered an expected value","")&amp;IF((IF(OR(COUNTA(S1468:U1468)=0,AND(COUNTA(S1468:U1468)=3,ISNUMBER(U1468))),0,1)+IF(OR(COUNTA(V1468:X1468)=0,AND(COUNTA(V1468:X1468)=3,ISNUMBER(X1468))),0,1)+IF(OR(COUNTA(Y1468:AA1468)=0,AND(COUNTA(Y1468:AA1468)=3,ISNUMBER(AA1468))),0,1)+IF(OR(COUNTA(AB1468:AD1468)=0,AND(COUNTA(AB1468:AD1468)=3,ISNUMBER(AD1468))),0,1)+IF(OR(COUNTA(AE1468:AG1468)=0,AND(COUNTA(AE1468:AG1468)=3,ISNUMBER(AG1468))),0,1)+IF(OR(COUNTA(AH1468:AJ1468)=0,AND(COUNTA(AH1468:AJ1468)=3,ISNUMBER(AJ1468))),0,1)+IF(OR(COUNTA(AK1468:AM1468)=0,AND(COUNTA(AK1468:AM1468)=3,ISNUMBER(AM1468))),0,1)+IF(OR(COUNTA(AN1468:AP1468)=0,AND(COUNTA(AN1468:AP1468)=3,ISNUMBER(AP1468))),0,1)+IF(OR(COUNTA(AQ1468:AS1468)=0,AND(COUNTA(AQ1468:AS1468)=3,ISNUMBER(AS1468))),0,1)+IF(OR(COUNTA(AT1468:AV1468)=0,AND(COUNTA(AT1468:AV1468)=3,ISNUMBER(AV1468))),0,1)+IF(OR(COUNTA(AW1468:AY1468)=0,AND(COUNTA(AW1468:AY1468)=3,ISNUMBER(AY1468))),0,1)+IF(OR(COUNTA(AZ1468:BB1468)=0,AND(COUNTA(AZ1468:BB1468)=3,ISNUMBER(BB1468))),0,1))&gt;0,"; An invoice is incomplete (needs No, Date and a number in Ex GST)","")&amp;IF((IF(T1468="",0,IFERROR(--(EOMONTH(T1468,0)&lt;&gt;S$5),1))+IF(W1468="",0,IFERROR(--(EOMONTH(W1468,0)&lt;&gt;V$5),1))+IF(Z1468="",0,IFERROR(--(EOMONTH(Z1468,0)&lt;&gt;Y$5),1))+IF(AC1468="",0,IFERROR(--(EOMONTH(AC1468,0)&lt;&gt;AB$5),1))+IF(AF1468="",0,IFERROR(--(EOMONTH(AF1468,0)&lt;&gt;AE$5),1))+IF(AI1468="",0,IFERROR(--(EOMONTH(AI1468,0)&lt;&gt;AH$5),1))+IF(AL1468="",0,IFERROR(--(EOMONTH(AL1468,0)&lt;&gt;AK$5),1))+IF(AO1468="",0,IFERROR(--(EOMONTH(AO1468,0)&lt;&gt;AN$5),1))+IF(AR1468="",0,IFERROR(--(EOMONTH(AR1468,0)&lt;&gt;AQ$5),1))+IF(AU1468="",0,IFERROR(--(EOMONTH(AU1468,0)&lt;&gt;AT$5),1))+IF(AX1468="",0,IFERROR(--(EOMONTH(AX1468,0)&lt;&gt;AW$5),1))+IF(BA1468="",0,IFERROR(--(EOMONTH(BA1468,0)&lt;&gt;AZ$5),1)))&gt;0,"; An invoice date is not in the month it is typed under",""),3,500))</f>
        <v/>
      </c>
      <c r="S1468" s="12" t="n"/>
      <c r="T1468" s="13" t="n"/>
      <c r="U1468" s="14" t="n"/>
      <c r="V1468" s="12" t="n"/>
      <c r="W1468" s="13" t="n"/>
      <c r="X1468" s="14" t="n"/>
      <c r="Y1468" s="12" t="n"/>
      <c r="Z1468" s="13" t="n"/>
      <c r="AA1468" s="14" t="n"/>
      <c r="AB1468" s="12" t="n"/>
      <c r="AC1468" s="13" t="n"/>
      <c r="AD1468" s="14" t="n"/>
      <c r="AE1468" s="12" t="n"/>
      <c r="AF1468" s="13" t="n"/>
      <c r="AG1468" s="14" t="n"/>
      <c r="AH1468" s="12" t="n"/>
      <c r="AI1468" s="13" t="n"/>
      <c r="AJ1468" s="14" t="n"/>
      <c r="AK1468" s="12" t="n"/>
      <c r="AL1468" s="13" t="n"/>
      <c r="AM1468" s="14" t="n"/>
      <c r="AN1468" s="12" t="n"/>
      <c r="AO1468" s="13" t="n"/>
      <c r="AP1468" s="14" t="n"/>
      <c r="AQ1468" s="12" t="n"/>
      <c r="AR1468" s="13" t="n"/>
      <c r="AS1468" s="14" t="n"/>
      <c r="AT1468" s="12" t="n"/>
      <c r="AU1468" s="13" t="n"/>
      <c r="AV1468" s="14" t="n"/>
      <c r="AW1468" s="12" t="n"/>
      <c r="AX1468" s="13" t="n"/>
      <c r="AY1468" s="14" t="n"/>
      <c r="AZ1468" s="12" t="n"/>
      <c r="BA1468" s="13" t="n"/>
      <c r="BB1468" s="14" t="n"/>
      <c r="BC1468" s="11">
        <f>IF(O1468="","",IF(J1468="GST 10%",ROUND(O1468*set_GSTRate,2),0))</f>
        <v/>
      </c>
      <c r="BD1468" s="11">
        <f>IF(O1468="","",O1468+BC1468)</f>
        <v/>
      </c>
      <c r="BE1468" s="15">
        <f>IF(O1468="","",COUNTA(S1468,V1468,Y1468,AB1468,AE1468,AH1468,AK1468,AN1468,AQ1468,AT1468,AW1468,AZ1468))</f>
        <v/>
      </c>
      <c r="BF1468" s="16">
        <f>IF(COUNT(T1468,W1468,Z1468,AC1468,AF1468,AI1468,AL1468,AO1468,AR1468,AU1468,AX1468,BA1468)=0,"",MAX(T1468,W1468,Z1468,AC1468,AF1468,AI1468,AL1468,AO1468,AR1468,AU1468,AX1468,BA1468))</f>
        <v/>
      </c>
      <c r="BG1468" s="10">
        <f>MID(IF(S1468="","",", "&amp;S1468)&amp;IF(V1468="","",", "&amp;V1468)&amp;IF(Y1468="","",", "&amp;Y1468)&amp;IF(AB1468="","",", "&amp;AB1468)&amp;IF(AE1468="","",", "&amp;AE1468)&amp;IF(AH1468="","",", "&amp;AH1468)&amp;IF(AK1468="","",", "&amp;AK1468)&amp;IF(AN1468="","",", "&amp;AN1468)&amp;IF(AQ1468="","",", "&amp;AQ1468)&amp;IF(AT1468="","",", "&amp;AT1468)&amp;IF(AW1468="","",", "&amp;AW1468)&amp;IF(AZ1468="","",", "&amp;AZ1468),3,500)</f>
        <v/>
      </c>
      <c r="BH1468" s="12" t="n"/>
      <c r="BI1468" s="15">
        <f>IFERROR(MATCH($A1468,IF($B1468="Onsite",tbl_Onsite[Row ID],IF($B1468="Production",tbl_Production[Row ID],tbl_Consulting[Row ID])),0),"")</f>
        <v/>
      </c>
    </row>
    <row r="1469">
      <c r="A1469" s="10" t="inlineStr">
        <is>
          <t>CON-0463</t>
        </is>
      </c>
      <c r="B1469" s="10" t="inlineStr">
        <is>
          <t>Consulting</t>
        </is>
      </c>
      <c r="C1469" s="10">
        <f>IF($BI1469="","",IF($B1469="Onsite",INDEX(tbl_Onsite[Job Number],$BI1469),IF($B1469="Production",INDEX(tbl_Production[Job Number],$BI1469),INDEX(tbl_Consulting[Job Number],$BI1469)))&amp;"")</f>
        <v/>
      </c>
      <c r="D1469" s="10">
        <f>IF($BI1469="","",IF($B1469="Onsite",INDEX(tbl_Onsite[Client],$BI1469),IF($B1469="Production",INDEX(tbl_Production[Client],$BI1469),INDEX(tbl_Consulting[Client],$BI1469)))&amp;"")</f>
        <v/>
      </c>
      <c r="E1469" s="10">
        <f>IF($C1469="","",IF(COUNTIF(lst_Jobs,$C1469)&gt;0,"OK","CHECK"))</f>
        <v/>
      </c>
      <c r="F1469" s="10">
        <f>IF($C1469="","",IFERROR(INDEX(lst_JobName,MATCH($C1469,lst_Jobs,0)),""))</f>
        <v/>
      </c>
      <c r="G1469" s="10">
        <f>IF($BI1469="","",IF($B1469="Onsite",INDEX(tbl_Onsite[Job Description],$BI1469),IF($B1469="Production",INDEX(tbl_Production[Job Description],$BI1469),INDEX(tbl_Consulting[Job Description],$BI1469)))&amp;"")</f>
        <v/>
      </c>
      <c r="H1469" s="10">
        <f>IF($BI1469="","",IF($B1469="Onsite",INDEX(tbl_Onsite[Cost Centre],$BI1469),IF($B1469="Production",INDEX(tbl_Production[Cost Centre],$BI1469),INDEX(tbl_Consulting[Cost Centre],$BI1469)))&amp;"")</f>
        <v/>
      </c>
      <c r="I1469" s="10">
        <f>IF($BI1469="","",IF($B1469="Onsite",INDEX(tbl_Onsite[Invoice Type],$BI1469),IF($B1469="Production",INDEX(tbl_Production[Invoice Type],$BI1469),INDEX(tbl_Consulting[Invoice Type],$BI1469)))&amp;"")</f>
        <v/>
      </c>
      <c r="J1469" s="10">
        <f>IF($BI1469="","",IF($B1469="Onsite",INDEX(tbl_Onsite[Tax Code],$BI1469),IF($B1469="Production",INDEX(tbl_Production[Tax Code],$BI1469),INDEX(tbl_Consulting[Tax Code],$BI1469)))&amp;"")</f>
        <v/>
      </c>
      <c r="K1469" s="10">
        <f>IF(H1469="","",IFERROR(INDEX(lst_CCtoGL,MATCH(H1469,lst_CCforGL,0)),""))</f>
        <v/>
      </c>
      <c r="L1469" s="10">
        <f>IF($BI1469="","",IF($B1469="Onsite",INDEX(tbl_Onsite[PO / Reference],$BI1469),IF($B1469="Production",INDEX(tbl_Production[Current RMS No],$BI1469),INDEX(tbl_Consulting[Qwilr Quote],$BI1469)))&amp;"")</f>
        <v/>
      </c>
      <c r="M1469" s="10">
        <f>IF($BI1469="","",IF($B1469="Onsite",INDEX(tbl_Onsite[Notes],$BI1469),IF($B1469="Production",INDEX(tbl_Production[Notes],$BI1469),INDEX(tbl_Consulting[Notes],$BI1469)))&amp;"")</f>
        <v/>
      </c>
      <c r="N1469" s="11">
        <f>IF($BI1469="","",IF(IF($B1469="Onsite",INDEX(tbl_Onsite[Expected Revenue Ex GST],$BI1469),IF($B1469="Production",INDEX(tbl_Production[Expected Revenue Ex GST],$BI1469),INDEX(tbl_Consulting[Expected Revenue Ex GST],$BI1469)))="","",IF($B1469="Onsite",INDEX(tbl_Onsite[Expected Revenue Ex GST],$BI1469),IF($B1469="Production",INDEX(tbl_Production[Expected Revenue Ex GST],$BI1469),INDEX(tbl_Consulting[Expected Revenue Ex GST],$BI1469)))))</f>
        <v/>
      </c>
      <c r="O1469" s="11">
        <f>IF(AND($C1469="",NOT(COUNTA($S1469:$BB1469)&gt;0)),"",SUM(U1469,X1469,AA1469,AD1469,AG1469,AJ1469,AM1469,AP1469,AS1469,AV1469,AY1469,BB1469))</f>
        <v/>
      </c>
      <c r="P1469" s="11">
        <f>IF(O1469="","",N(N1469)-O1469)</f>
        <v/>
      </c>
      <c r="Q1469" s="10">
        <f>IF(O1469="","",IF($C1469="","Invoice on empty job row",IF(N1469="",IF(ROUND(O1469,2)=0,"No dept value","Invoiced - no dept value"),IF(ROUND(O1469,2)=0,"Not invoiced - to invoice",IF(ROUND(P1469,2)=0,"Agrees",IF(P1469&gt;0,"Dept higher - to invoice","Xero higher - check dept"))))))</f>
        <v/>
      </c>
      <c r="R1469" s="10">
        <f>IF(AND($C1469="",NOT(COUNTA($S1469:$BB1469)&gt;0),$BI1469&lt;&gt;""),"",MID(IF($BI1469="","; Row ID not found on the department sheet - a row was deleted","")&amp;IF(AND($C1469="",COUNTA($S1469:$BB1469)&gt;0),"; Invoice entered but the department row has no job number","")&amp;IF(E1469="CHECK","; Job number not in the Xero job list","")&amp;IF(AND($C1469&lt;&gt;"",COUNTIF($C$7:$C$1506,$C1469)&gt;1),"; Job number on more than one row","")&amp;IF(AND($C1469&lt;&gt;"",H1469=""),"; Dept has not set a cost centre","")&amp;IF(AND($C1469&lt;&gt;"",J1469=""),"; Dept has not set a tax code","")&amp;IF(AND($C1469&lt;&gt;"",N1469=""),"; Dept has not entered an expected value","")&amp;IF((IF(OR(COUNTA(S1469:U1469)=0,AND(COUNTA(S1469:U1469)=3,ISNUMBER(U1469))),0,1)+IF(OR(COUNTA(V1469:X1469)=0,AND(COUNTA(V1469:X1469)=3,ISNUMBER(X1469))),0,1)+IF(OR(COUNTA(Y1469:AA1469)=0,AND(COUNTA(Y1469:AA1469)=3,ISNUMBER(AA1469))),0,1)+IF(OR(COUNTA(AB1469:AD1469)=0,AND(COUNTA(AB1469:AD1469)=3,ISNUMBER(AD1469))),0,1)+IF(OR(COUNTA(AE1469:AG1469)=0,AND(COUNTA(AE1469:AG1469)=3,ISNUMBER(AG1469))),0,1)+IF(OR(COUNTA(AH1469:AJ1469)=0,AND(COUNTA(AH1469:AJ1469)=3,ISNUMBER(AJ1469))),0,1)+IF(OR(COUNTA(AK1469:AM1469)=0,AND(COUNTA(AK1469:AM1469)=3,ISNUMBER(AM1469))),0,1)+IF(OR(COUNTA(AN1469:AP1469)=0,AND(COUNTA(AN1469:AP1469)=3,ISNUMBER(AP1469))),0,1)+IF(OR(COUNTA(AQ1469:AS1469)=0,AND(COUNTA(AQ1469:AS1469)=3,ISNUMBER(AS1469))),0,1)+IF(OR(COUNTA(AT1469:AV1469)=0,AND(COUNTA(AT1469:AV1469)=3,ISNUMBER(AV1469))),0,1)+IF(OR(COUNTA(AW1469:AY1469)=0,AND(COUNTA(AW1469:AY1469)=3,ISNUMBER(AY1469))),0,1)+IF(OR(COUNTA(AZ1469:BB1469)=0,AND(COUNTA(AZ1469:BB1469)=3,ISNUMBER(BB1469))),0,1))&gt;0,"; An invoice is incomplete (needs No, Date and a number in Ex GST)","")&amp;IF((IF(T1469="",0,IFERROR(--(EOMONTH(T1469,0)&lt;&gt;S$5),1))+IF(W1469="",0,IFERROR(--(EOMONTH(W1469,0)&lt;&gt;V$5),1))+IF(Z1469="",0,IFERROR(--(EOMONTH(Z1469,0)&lt;&gt;Y$5),1))+IF(AC1469="",0,IFERROR(--(EOMONTH(AC1469,0)&lt;&gt;AB$5),1))+IF(AF1469="",0,IFERROR(--(EOMONTH(AF1469,0)&lt;&gt;AE$5),1))+IF(AI1469="",0,IFERROR(--(EOMONTH(AI1469,0)&lt;&gt;AH$5),1))+IF(AL1469="",0,IFERROR(--(EOMONTH(AL1469,0)&lt;&gt;AK$5),1))+IF(AO1469="",0,IFERROR(--(EOMONTH(AO1469,0)&lt;&gt;AN$5),1))+IF(AR1469="",0,IFERROR(--(EOMONTH(AR1469,0)&lt;&gt;AQ$5),1))+IF(AU1469="",0,IFERROR(--(EOMONTH(AU1469,0)&lt;&gt;AT$5),1))+IF(AX1469="",0,IFERROR(--(EOMONTH(AX1469,0)&lt;&gt;AW$5),1))+IF(BA1469="",0,IFERROR(--(EOMONTH(BA1469,0)&lt;&gt;AZ$5),1)))&gt;0,"; An invoice date is not in the month it is typed under",""),3,500))</f>
        <v/>
      </c>
      <c r="S1469" s="12" t="n"/>
      <c r="T1469" s="13" t="n"/>
      <c r="U1469" s="14" t="n"/>
      <c r="V1469" s="12" t="n"/>
      <c r="W1469" s="13" t="n"/>
      <c r="X1469" s="14" t="n"/>
      <c r="Y1469" s="12" t="n"/>
      <c r="Z1469" s="13" t="n"/>
      <c r="AA1469" s="14" t="n"/>
      <c r="AB1469" s="12" t="n"/>
      <c r="AC1469" s="13" t="n"/>
      <c r="AD1469" s="14" t="n"/>
      <c r="AE1469" s="12" t="n"/>
      <c r="AF1469" s="13" t="n"/>
      <c r="AG1469" s="14" t="n"/>
      <c r="AH1469" s="12" t="n"/>
      <c r="AI1469" s="13" t="n"/>
      <c r="AJ1469" s="14" t="n"/>
      <c r="AK1469" s="12" t="n"/>
      <c r="AL1469" s="13" t="n"/>
      <c r="AM1469" s="14" t="n"/>
      <c r="AN1469" s="12" t="n"/>
      <c r="AO1469" s="13" t="n"/>
      <c r="AP1469" s="14" t="n"/>
      <c r="AQ1469" s="12" t="n"/>
      <c r="AR1469" s="13" t="n"/>
      <c r="AS1469" s="14" t="n"/>
      <c r="AT1469" s="12" t="n"/>
      <c r="AU1469" s="13" t="n"/>
      <c r="AV1469" s="14" t="n"/>
      <c r="AW1469" s="12" t="n"/>
      <c r="AX1469" s="13" t="n"/>
      <c r="AY1469" s="14" t="n"/>
      <c r="AZ1469" s="12" t="n"/>
      <c r="BA1469" s="13" t="n"/>
      <c r="BB1469" s="14" t="n"/>
      <c r="BC1469" s="11">
        <f>IF(O1469="","",IF(J1469="GST 10%",ROUND(O1469*set_GSTRate,2),0))</f>
        <v/>
      </c>
      <c r="BD1469" s="11">
        <f>IF(O1469="","",O1469+BC1469)</f>
        <v/>
      </c>
      <c r="BE1469" s="15">
        <f>IF(O1469="","",COUNTA(S1469,V1469,Y1469,AB1469,AE1469,AH1469,AK1469,AN1469,AQ1469,AT1469,AW1469,AZ1469))</f>
        <v/>
      </c>
      <c r="BF1469" s="16">
        <f>IF(COUNT(T1469,W1469,Z1469,AC1469,AF1469,AI1469,AL1469,AO1469,AR1469,AU1469,AX1469,BA1469)=0,"",MAX(T1469,W1469,Z1469,AC1469,AF1469,AI1469,AL1469,AO1469,AR1469,AU1469,AX1469,BA1469))</f>
        <v/>
      </c>
      <c r="BG1469" s="10">
        <f>MID(IF(S1469="","",", "&amp;S1469)&amp;IF(V1469="","",", "&amp;V1469)&amp;IF(Y1469="","",", "&amp;Y1469)&amp;IF(AB1469="","",", "&amp;AB1469)&amp;IF(AE1469="","",", "&amp;AE1469)&amp;IF(AH1469="","",", "&amp;AH1469)&amp;IF(AK1469="","",", "&amp;AK1469)&amp;IF(AN1469="","",", "&amp;AN1469)&amp;IF(AQ1469="","",", "&amp;AQ1469)&amp;IF(AT1469="","",", "&amp;AT1469)&amp;IF(AW1469="","",", "&amp;AW1469)&amp;IF(AZ1469="","",", "&amp;AZ1469),3,500)</f>
        <v/>
      </c>
      <c r="BH1469" s="12" t="n"/>
      <c r="BI1469" s="15">
        <f>IFERROR(MATCH($A1469,IF($B1469="Onsite",tbl_Onsite[Row ID],IF($B1469="Production",tbl_Production[Row ID],tbl_Consulting[Row ID])),0),"")</f>
        <v/>
      </c>
    </row>
    <row r="1470">
      <c r="A1470" s="10" t="inlineStr">
        <is>
          <t>CON-0464</t>
        </is>
      </c>
      <c r="B1470" s="10" t="inlineStr">
        <is>
          <t>Consulting</t>
        </is>
      </c>
      <c r="C1470" s="10">
        <f>IF($BI1470="","",IF($B1470="Onsite",INDEX(tbl_Onsite[Job Number],$BI1470),IF($B1470="Production",INDEX(tbl_Production[Job Number],$BI1470),INDEX(tbl_Consulting[Job Number],$BI1470)))&amp;"")</f>
        <v/>
      </c>
      <c r="D1470" s="10">
        <f>IF($BI1470="","",IF($B1470="Onsite",INDEX(tbl_Onsite[Client],$BI1470),IF($B1470="Production",INDEX(tbl_Production[Client],$BI1470),INDEX(tbl_Consulting[Client],$BI1470)))&amp;"")</f>
        <v/>
      </c>
      <c r="E1470" s="10">
        <f>IF($C1470="","",IF(COUNTIF(lst_Jobs,$C1470)&gt;0,"OK","CHECK"))</f>
        <v/>
      </c>
      <c r="F1470" s="10">
        <f>IF($C1470="","",IFERROR(INDEX(lst_JobName,MATCH($C1470,lst_Jobs,0)),""))</f>
        <v/>
      </c>
      <c r="G1470" s="10">
        <f>IF($BI1470="","",IF($B1470="Onsite",INDEX(tbl_Onsite[Job Description],$BI1470),IF($B1470="Production",INDEX(tbl_Production[Job Description],$BI1470),INDEX(tbl_Consulting[Job Description],$BI1470)))&amp;"")</f>
        <v/>
      </c>
      <c r="H1470" s="10">
        <f>IF($BI1470="","",IF($B1470="Onsite",INDEX(tbl_Onsite[Cost Centre],$BI1470),IF($B1470="Production",INDEX(tbl_Production[Cost Centre],$BI1470),INDEX(tbl_Consulting[Cost Centre],$BI1470)))&amp;"")</f>
        <v/>
      </c>
      <c r="I1470" s="10">
        <f>IF($BI1470="","",IF($B1470="Onsite",INDEX(tbl_Onsite[Invoice Type],$BI1470),IF($B1470="Production",INDEX(tbl_Production[Invoice Type],$BI1470),INDEX(tbl_Consulting[Invoice Type],$BI1470)))&amp;"")</f>
        <v/>
      </c>
      <c r="J1470" s="10">
        <f>IF($BI1470="","",IF($B1470="Onsite",INDEX(tbl_Onsite[Tax Code],$BI1470),IF($B1470="Production",INDEX(tbl_Production[Tax Code],$BI1470),INDEX(tbl_Consulting[Tax Code],$BI1470)))&amp;"")</f>
        <v/>
      </c>
      <c r="K1470" s="10">
        <f>IF(H1470="","",IFERROR(INDEX(lst_CCtoGL,MATCH(H1470,lst_CCforGL,0)),""))</f>
        <v/>
      </c>
      <c r="L1470" s="10">
        <f>IF($BI1470="","",IF($B1470="Onsite",INDEX(tbl_Onsite[PO / Reference],$BI1470),IF($B1470="Production",INDEX(tbl_Production[Current RMS No],$BI1470),INDEX(tbl_Consulting[Qwilr Quote],$BI1470)))&amp;"")</f>
        <v/>
      </c>
      <c r="M1470" s="10">
        <f>IF($BI1470="","",IF($B1470="Onsite",INDEX(tbl_Onsite[Notes],$BI1470),IF($B1470="Production",INDEX(tbl_Production[Notes],$BI1470),INDEX(tbl_Consulting[Notes],$BI1470)))&amp;"")</f>
        <v/>
      </c>
      <c r="N1470" s="11">
        <f>IF($BI1470="","",IF(IF($B1470="Onsite",INDEX(tbl_Onsite[Expected Revenue Ex GST],$BI1470),IF($B1470="Production",INDEX(tbl_Production[Expected Revenue Ex GST],$BI1470),INDEX(tbl_Consulting[Expected Revenue Ex GST],$BI1470)))="","",IF($B1470="Onsite",INDEX(tbl_Onsite[Expected Revenue Ex GST],$BI1470),IF($B1470="Production",INDEX(tbl_Production[Expected Revenue Ex GST],$BI1470),INDEX(tbl_Consulting[Expected Revenue Ex GST],$BI1470)))))</f>
        <v/>
      </c>
      <c r="O1470" s="11">
        <f>IF(AND($C1470="",NOT(COUNTA($S1470:$BB1470)&gt;0)),"",SUM(U1470,X1470,AA1470,AD1470,AG1470,AJ1470,AM1470,AP1470,AS1470,AV1470,AY1470,BB1470))</f>
        <v/>
      </c>
      <c r="P1470" s="11">
        <f>IF(O1470="","",N(N1470)-O1470)</f>
        <v/>
      </c>
      <c r="Q1470" s="10">
        <f>IF(O1470="","",IF($C1470="","Invoice on empty job row",IF(N1470="",IF(ROUND(O1470,2)=0,"No dept value","Invoiced - no dept value"),IF(ROUND(O1470,2)=0,"Not invoiced - to invoice",IF(ROUND(P1470,2)=0,"Agrees",IF(P1470&gt;0,"Dept higher - to invoice","Xero higher - check dept"))))))</f>
        <v/>
      </c>
      <c r="R1470" s="10">
        <f>IF(AND($C1470="",NOT(COUNTA($S1470:$BB1470)&gt;0),$BI1470&lt;&gt;""),"",MID(IF($BI1470="","; Row ID not found on the department sheet - a row was deleted","")&amp;IF(AND($C1470="",COUNTA($S1470:$BB1470)&gt;0),"; Invoice entered but the department row has no job number","")&amp;IF(E1470="CHECK","; Job number not in the Xero job list","")&amp;IF(AND($C1470&lt;&gt;"",COUNTIF($C$7:$C$1506,$C1470)&gt;1),"; Job number on more than one row","")&amp;IF(AND($C1470&lt;&gt;"",H1470=""),"; Dept has not set a cost centre","")&amp;IF(AND($C1470&lt;&gt;"",J1470=""),"; Dept has not set a tax code","")&amp;IF(AND($C1470&lt;&gt;"",N1470=""),"; Dept has not entered an expected value","")&amp;IF((IF(OR(COUNTA(S1470:U1470)=0,AND(COUNTA(S1470:U1470)=3,ISNUMBER(U1470))),0,1)+IF(OR(COUNTA(V1470:X1470)=0,AND(COUNTA(V1470:X1470)=3,ISNUMBER(X1470))),0,1)+IF(OR(COUNTA(Y1470:AA1470)=0,AND(COUNTA(Y1470:AA1470)=3,ISNUMBER(AA1470))),0,1)+IF(OR(COUNTA(AB1470:AD1470)=0,AND(COUNTA(AB1470:AD1470)=3,ISNUMBER(AD1470))),0,1)+IF(OR(COUNTA(AE1470:AG1470)=0,AND(COUNTA(AE1470:AG1470)=3,ISNUMBER(AG1470))),0,1)+IF(OR(COUNTA(AH1470:AJ1470)=0,AND(COUNTA(AH1470:AJ1470)=3,ISNUMBER(AJ1470))),0,1)+IF(OR(COUNTA(AK1470:AM1470)=0,AND(COUNTA(AK1470:AM1470)=3,ISNUMBER(AM1470))),0,1)+IF(OR(COUNTA(AN1470:AP1470)=0,AND(COUNTA(AN1470:AP1470)=3,ISNUMBER(AP1470))),0,1)+IF(OR(COUNTA(AQ1470:AS1470)=0,AND(COUNTA(AQ1470:AS1470)=3,ISNUMBER(AS1470))),0,1)+IF(OR(COUNTA(AT1470:AV1470)=0,AND(COUNTA(AT1470:AV1470)=3,ISNUMBER(AV1470))),0,1)+IF(OR(COUNTA(AW1470:AY1470)=0,AND(COUNTA(AW1470:AY1470)=3,ISNUMBER(AY1470))),0,1)+IF(OR(COUNTA(AZ1470:BB1470)=0,AND(COUNTA(AZ1470:BB1470)=3,ISNUMBER(BB1470))),0,1))&gt;0,"; An invoice is incomplete (needs No, Date and a number in Ex GST)","")&amp;IF((IF(T1470="",0,IFERROR(--(EOMONTH(T1470,0)&lt;&gt;S$5),1))+IF(W1470="",0,IFERROR(--(EOMONTH(W1470,0)&lt;&gt;V$5),1))+IF(Z1470="",0,IFERROR(--(EOMONTH(Z1470,0)&lt;&gt;Y$5),1))+IF(AC1470="",0,IFERROR(--(EOMONTH(AC1470,0)&lt;&gt;AB$5),1))+IF(AF1470="",0,IFERROR(--(EOMONTH(AF1470,0)&lt;&gt;AE$5),1))+IF(AI1470="",0,IFERROR(--(EOMONTH(AI1470,0)&lt;&gt;AH$5),1))+IF(AL1470="",0,IFERROR(--(EOMONTH(AL1470,0)&lt;&gt;AK$5),1))+IF(AO1470="",0,IFERROR(--(EOMONTH(AO1470,0)&lt;&gt;AN$5),1))+IF(AR1470="",0,IFERROR(--(EOMONTH(AR1470,0)&lt;&gt;AQ$5),1))+IF(AU1470="",0,IFERROR(--(EOMONTH(AU1470,0)&lt;&gt;AT$5),1))+IF(AX1470="",0,IFERROR(--(EOMONTH(AX1470,0)&lt;&gt;AW$5),1))+IF(BA1470="",0,IFERROR(--(EOMONTH(BA1470,0)&lt;&gt;AZ$5),1)))&gt;0,"; An invoice date is not in the month it is typed under",""),3,500))</f>
        <v/>
      </c>
      <c r="S1470" s="12" t="n"/>
      <c r="T1470" s="13" t="n"/>
      <c r="U1470" s="14" t="n"/>
      <c r="V1470" s="12" t="n"/>
      <c r="W1470" s="13" t="n"/>
      <c r="X1470" s="14" t="n"/>
      <c r="Y1470" s="12" t="n"/>
      <c r="Z1470" s="13" t="n"/>
      <c r="AA1470" s="14" t="n"/>
      <c r="AB1470" s="12" t="n"/>
      <c r="AC1470" s="13" t="n"/>
      <c r="AD1470" s="14" t="n"/>
      <c r="AE1470" s="12" t="n"/>
      <c r="AF1470" s="13" t="n"/>
      <c r="AG1470" s="14" t="n"/>
      <c r="AH1470" s="12" t="n"/>
      <c r="AI1470" s="13" t="n"/>
      <c r="AJ1470" s="14" t="n"/>
      <c r="AK1470" s="12" t="n"/>
      <c r="AL1470" s="13" t="n"/>
      <c r="AM1470" s="14" t="n"/>
      <c r="AN1470" s="12" t="n"/>
      <c r="AO1470" s="13" t="n"/>
      <c r="AP1470" s="14" t="n"/>
      <c r="AQ1470" s="12" t="n"/>
      <c r="AR1470" s="13" t="n"/>
      <c r="AS1470" s="14" t="n"/>
      <c r="AT1470" s="12" t="n"/>
      <c r="AU1470" s="13" t="n"/>
      <c r="AV1470" s="14" t="n"/>
      <c r="AW1470" s="12" t="n"/>
      <c r="AX1470" s="13" t="n"/>
      <c r="AY1470" s="14" t="n"/>
      <c r="AZ1470" s="12" t="n"/>
      <c r="BA1470" s="13" t="n"/>
      <c r="BB1470" s="14" t="n"/>
      <c r="BC1470" s="11">
        <f>IF(O1470="","",IF(J1470="GST 10%",ROUND(O1470*set_GSTRate,2),0))</f>
        <v/>
      </c>
      <c r="BD1470" s="11">
        <f>IF(O1470="","",O1470+BC1470)</f>
        <v/>
      </c>
      <c r="BE1470" s="15">
        <f>IF(O1470="","",COUNTA(S1470,V1470,Y1470,AB1470,AE1470,AH1470,AK1470,AN1470,AQ1470,AT1470,AW1470,AZ1470))</f>
        <v/>
      </c>
      <c r="BF1470" s="16">
        <f>IF(COUNT(T1470,W1470,Z1470,AC1470,AF1470,AI1470,AL1470,AO1470,AR1470,AU1470,AX1470,BA1470)=0,"",MAX(T1470,W1470,Z1470,AC1470,AF1470,AI1470,AL1470,AO1470,AR1470,AU1470,AX1470,BA1470))</f>
        <v/>
      </c>
      <c r="BG1470" s="10">
        <f>MID(IF(S1470="","",", "&amp;S1470)&amp;IF(V1470="","",", "&amp;V1470)&amp;IF(Y1470="","",", "&amp;Y1470)&amp;IF(AB1470="","",", "&amp;AB1470)&amp;IF(AE1470="","",", "&amp;AE1470)&amp;IF(AH1470="","",", "&amp;AH1470)&amp;IF(AK1470="","",", "&amp;AK1470)&amp;IF(AN1470="","",", "&amp;AN1470)&amp;IF(AQ1470="","",", "&amp;AQ1470)&amp;IF(AT1470="","",", "&amp;AT1470)&amp;IF(AW1470="","",", "&amp;AW1470)&amp;IF(AZ1470="","",", "&amp;AZ1470),3,500)</f>
        <v/>
      </c>
      <c r="BH1470" s="12" t="n"/>
      <c r="BI1470" s="15">
        <f>IFERROR(MATCH($A1470,IF($B1470="Onsite",tbl_Onsite[Row ID],IF($B1470="Production",tbl_Production[Row ID],tbl_Consulting[Row ID])),0),"")</f>
        <v/>
      </c>
    </row>
    <row r="1471">
      <c r="A1471" s="10" t="inlineStr">
        <is>
          <t>CON-0465</t>
        </is>
      </c>
      <c r="B1471" s="10" t="inlineStr">
        <is>
          <t>Consulting</t>
        </is>
      </c>
      <c r="C1471" s="10">
        <f>IF($BI1471="","",IF($B1471="Onsite",INDEX(tbl_Onsite[Job Number],$BI1471),IF($B1471="Production",INDEX(tbl_Production[Job Number],$BI1471),INDEX(tbl_Consulting[Job Number],$BI1471)))&amp;"")</f>
        <v/>
      </c>
      <c r="D1471" s="10">
        <f>IF($BI1471="","",IF($B1471="Onsite",INDEX(tbl_Onsite[Client],$BI1471),IF($B1471="Production",INDEX(tbl_Production[Client],$BI1471),INDEX(tbl_Consulting[Client],$BI1471)))&amp;"")</f>
        <v/>
      </c>
      <c r="E1471" s="10">
        <f>IF($C1471="","",IF(COUNTIF(lst_Jobs,$C1471)&gt;0,"OK","CHECK"))</f>
        <v/>
      </c>
      <c r="F1471" s="10">
        <f>IF($C1471="","",IFERROR(INDEX(lst_JobName,MATCH($C1471,lst_Jobs,0)),""))</f>
        <v/>
      </c>
      <c r="G1471" s="10">
        <f>IF($BI1471="","",IF($B1471="Onsite",INDEX(tbl_Onsite[Job Description],$BI1471),IF($B1471="Production",INDEX(tbl_Production[Job Description],$BI1471),INDEX(tbl_Consulting[Job Description],$BI1471)))&amp;"")</f>
        <v/>
      </c>
      <c r="H1471" s="10">
        <f>IF($BI1471="","",IF($B1471="Onsite",INDEX(tbl_Onsite[Cost Centre],$BI1471),IF($B1471="Production",INDEX(tbl_Production[Cost Centre],$BI1471),INDEX(tbl_Consulting[Cost Centre],$BI1471)))&amp;"")</f>
        <v/>
      </c>
      <c r="I1471" s="10">
        <f>IF($BI1471="","",IF($B1471="Onsite",INDEX(tbl_Onsite[Invoice Type],$BI1471),IF($B1471="Production",INDEX(tbl_Production[Invoice Type],$BI1471),INDEX(tbl_Consulting[Invoice Type],$BI1471)))&amp;"")</f>
        <v/>
      </c>
      <c r="J1471" s="10">
        <f>IF($BI1471="","",IF($B1471="Onsite",INDEX(tbl_Onsite[Tax Code],$BI1471),IF($B1471="Production",INDEX(tbl_Production[Tax Code],$BI1471),INDEX(tbl_Consulting[Tax Code],$BI1471)))&amp;"")</f>
        <v/>
      </c>
      <c r="K1471" s="10">
        <f>IF(H1471="","",IFERROR(INDEX(lst_CCtoGL,MATCH(H1471,lst_CCforGL,0)),""))</f>
        <v/>
      </c>
      <c r="L1471" s="10">
        <f>IF($BI1471="","",IF($B1471="Onsite",INDEX(tbl_Onsite[PO / Reference],$BI1471),IF($B1471="Production",INDEX(tbl_Production[Current RMS No],$BI1471),INDEX(tbl_Consulting[Qwilr Quote],$BI1471)))&amp;"")</f>
        <v/>
      </c>
      <c r="M1471" s="10">
        <f>IF($BI1471="","",IF($B1471="Onsite",INDEX(tbl_Onsite[Notes],$BI1471),IF($B1471="Production",INDEX(tbl_Production[Notes],$BI1471),INDEX(tbl_Consulting[Notes],$BI1471)))&amp;"")</f>
        <v/>
      </c>
      <c r="N1471" s="11">
        <f>IF($BI1471="","",IF(IF($B1471="Onsite",INDEX(tbl_Onsite[Expected Revenue Ex GST],$BI1471),IF($B1471="Production",INDEX(tbl_Production[Expected Revenue Ex GST],$BI1471),INDEX(tbl_Consulting[Expected Revenue Ex GST],$BI1471)))="","",IF($B1471="Onsite",INDEX(tbl_Onsite[Expected Revenue Ex GST],$BI1471),IF($B1471="Production",INDEX(tbl_Production[Expected Revenue Ex GST],$BI1471),INDEX(tbl_Consulting[Expected Revenue Ex GST],$BI1471)))))</f>
        <v/>
      </c>
      <c r="O1471" s="11">
        <f>IF(AND($C1471="",NOT(COUNTA($S1471:$BB1471)&gt;0)),"",SUM(U1471,X1471,AA1471,AD1471,AG1471,AJ1471,AM1471,AP1471,AS1471,AV1471,AY1471,BB1471))</f>
        <v/>
      </c>
      <c r="P1471" s="11">
        <f>IF(O1471="","",N(N1471)-O1471)</f>
        <v/>
      </c>
      <c r="Q1471" s="10">
        <f>IF(O1471="","",IF($C1471="","Invoice on empty job row",IF(N1471="",IF(ROUND(O1471,2)=0,"No dept value","Invoiced - no dept value"),IF(ROUND(O1471,2)=0,"Not invoiced - to invoice",IF(ROUND(P1471,2)=0,"Agrees",IF(P1471&gt;0,"Dept higher - to invoice","Xero higher - check dept"))))))</f>
        <v/>
      </c>
      <c r="R1471" s="10">
        <f>IF(AND($C1471="",NOT(COUNTA($S1471:$BB1471)&gt;0),$BI1471&lt;&gt;""),"",MID(IF($BI1471="","; Row ID not found on the department sheet - a row was deleted","")&amp;IF(AND($C1471="",COUNTA($S1471:$BB1471)&gt;0),"; Invoice entered but the department row has no job number","")&amp;IF(E1471="CHECK","; Job number not in the Xero job list","")&amp;IF(AND($C1471&lt;&gt;"",COUNTIF($C$7:$C$1506,$C1471)&gt;1),"; Job number on more than one row","")&amp;IF(AND($C1471&lt;&gt;"",H1471=""),"; Dept has not set a cost centre","")&amp;IF(AND($C1471&lt;&gt;"",J1471=""),"; Dept has not set a tax code","")&amp;IF(AND($C1471&lt;&gt;"",N1471=""),"; Dept has not entered an expected value","")&amp;IF((IF(OR(COUNTA(S1471:U1471)=0,AND(COUNTA(S1471:U1471)=3,ISNUMBER(U1471))),0,1)+IF(OR(COUNTA(V1471:X1471)=0,AND(COUNTA(V1471:X1471)=3,ISNUMBER(X1471))),0,1)+IF(OR(COUNTA(Y1471:AA1471)=0,AND(COUNTA(Y1471:AA1471)=3,ISNUMBER(AA1471))),0,1)+IF(OR(COUNTA(AB1471:AD1471)=0,AND(COUNTA(AB1471:AD1471)=3,ISNUMBER(AD1471))),0,1)+IF(OR(COUNTA(AE1471:AG1471)=0,AND(COUNTA(AE1471:AG1471)=3,ISNUMBER(AG1471))),0,1)+IF(OR(COUNTA(AH1471:AJ1471)=0,AND(COUNTA(AH1471:AJ1471)=3,ISNUMBER(AJ1471))),0,1)+IF(OR(COUNTA(AK1471:AM1471)=0,AND(COUNTA(AK1471:AM1471)=3,ISNUMBER(AM1471))),0,1)+IF(OR(COUNTA(AN1471:AP1471)=0,AND(COUNTA(AN1471:AP1471)=3,ISNUMBER(AP1471))),0,1)+IF(OR(COUNTA(AQ1471:AS1471)=0,AND(COUNTA(AQ1471:AS1471)=3,ISNUMBER(AS1471))),0,1)+IF(OR(COUNTA(AT1471:AV1471)=0,AND(COUNTA(AT1471:AV1471)=3,ISNUMBER(AV1471))),0,1)+IF(OR(COUNTA(AW1471:AY1471)=0,AND(COUNTA(AW1471:AY1471)=3,ISNUMBER(AY1471))),0,1)+IF(OR(COUNTA(AZ1471:BB1471)=0,AND(COUNTA(AZ1471:BB1471)=3,ISNUMBER(BB1471))),0,1))&gt;0,"; An invoice is incomplete (needs No, Date and a number in Ex GST)","")&amp;IF((IF(T1471="",0,IFERROR(--(EOMONTH(T1471,0)&lt;&gt;S$5),1))+IF(W1471="",0,IFERROR(--(EOMONTH(W1471,0)&lt;&gt;V$5),1))+IF(Z1471="",0,IFERROR(--(EOMONTH(Z1471,0)&lt;&gt;Y$5),1))+IF(AC1471="",0,IFERROR(--(EOMONTH(AC1471,0)&lt;&gt;AB$5),1))+IF(AF1471="",0,IFERROR(--(EOMONTH(AF1471,0)&lt;&gt;AE$5),1))+IF(AI1471="",0,IFERROR(--(EOMONTH(AI1471,0)&lt;&gt;AH$5),1))+IF(AL1471="",0,IFERROR(--(EOMONTH(AL1471,0)&lt;&gt;AK$5),1))+IF(AO1471="",0,IFERROR(--(EOMONTH(AO1471,0)&lt;&gt;AN$5),1))+IF(AR1471="",0,IFERROR(--(EOMONTH(AR1471,0)&lt;&gt;AQ$5),1))+IF(AU1471="",0,IFERROR(--(EOMONTH(AU1471,0)&lt;&gt;AT$5),1))+IF(AX1471="",0,IFERROR(--(EOMONTH(AX1471,0)&lt;&gt;AW$5),1))+IF(BA1471="",0,IFERROR(--(EOMONTH(BA1471,0)&lt;&gt;AZ$5),1)))&gt;0,"; An invoice date is not in the month it is typed under",""),3,500))</f>
        <v/>
      </c>
      <c r="S1471" s="12" t="n"/>
      <c r="T1471" s="13" t="n"/>
      <c r="U1471" s="14" t="n"/>
      <c r="V1471" s="12" t="n"/>
      <c r="W1471" s="13" t="n"/>
      <c r="X1471" s="14" t="n"/>
      <c r="Y1471" s="12" t="n"/>
      <c r="Z1471" s="13" t="n"/>
      <c r="AA1471" s="14" t="n"/>
      <c r="AB1471" s="12" t="n"/>
      <c r="AC1471" s="13" t="n"/>
      <c r="AD1471" s="14" t="n"/>
      <c r="AE1471" s="12" t="n"/>
      <c r="AF1471" s="13" t="n"/>
      <c r="AG1471" s="14" t="n"/>
      <c r="AH1471" s="12" t="n"/>
      <c r="AI1471" s="13" t="n"/>
      <c r="AJ1471" s="14" t="n"/>
      <c r="AK1471" s="12" t="n"/>
      <c r="AL1471" s="13" t="n"/>
      <c r="AM1471" s="14" t="n"/>
      <c r="AN1471" s="12" t="n"/>
      <c r="AO1471" s="13" t="n"/>
      <c r="AP1471" s="14" t="n"/>
      <c r="AQ1471" s="12" t="n"/>
      <c r="AR1471" s="13" t="n"/>
      <c r="AS1471" s="14" t="n"/>
      <c r="AT1471" s="12" t="n"/>
      <c r="AU1471" s="13" t="n"/>
      <c r="AV1471" s="14" t="n"/>
      <c r="AW1471" s="12" t="n"/>
      <c r="AX1471" s="13" t="n"/>
      <c r="AY1471" s="14" t="n"/>
      <c r="AZ1471" s="12" t="n"/>
      <c r="BA1471" s="13" t="n"/>
      <c r="BB1471" s="14" t="n"/>
      <c r="BC1471" s="11">
        <f>IF(O1471="","",IF(J1471="GST 10%",ROUND(O1471*set_GSTRate,2),0))</f>
        <v/>
      </c>
      <c r="BD1471" s="11">
        <f>IF(O1471="","",O1471+BC1471)</f>
        <v/>
      </c>
      <c r="BE1471" s="15">
        <f>IF(O1471="","",COUNTA(S1471,V1471,Y1471,AB1471,AE1471,AH1471,AK1471,AN1471,AQ1471,AT1471,AW1471,AZ1471))</f>
        <v/>
      </c>
      <c r="BF1471" s="16">
        <f>IF(COUNT(T1471,W1471,Z1471,AC1471,AF1471,AI1471,AL1471,AO1471,AR1471,AU1471,AX1471,BA1471)=0,"",MAX(T1471,W1471,Z1471,AC1471,AF1471,AI1471,AL1471,AO1471,AR1471,AU1471,AX1471,BA1471))</f>
        <v/>
      </c>
      <c r="BG1471" s="10">
        <f>MID(IF(S1471="","",", "&amp;S1471)&amp;IF(V1471="","",", "&amp;V1471)&amp;IF(Y1471="","",", "&amp;Y1471)&amp;IF(AB1471="","",", "&amp;AB1471)&amp;IF(AE1471="","",", "&amp;AE1471)&amp;IF(AH1471="","",", "&amp;AH1471)&amp;IF(AK1471="","",", "&amp;AK1471)&amp;IF(AN1471="","",", "&amp;AN1471)&amp;IF(AQ1471="","",", "&amp;AQ1471)&amp;IF(AT1471="","",", "&amp;AT1471)&amp;IF(AW1471="","",", "&amp;AW1471)&amp;IF(AZ1471="","",", "&amp;AZ1471),3,500)</f>
        <v/>
      </c>
      <c r="BH1471" s="12" t="n"/>
      <c r="BI1471" s="15">
        <f>IFERROR(MATCH($A1471,IF($B1471="Onsite",tbl_Onsite[Row ID],IF($B1471="Production",tbl_Production[Row ID],tbl_Consulting[Row ID])),0),"")</f>
        <v/>
      </c>
    </row>
    <row r="1472">
      <c r="A1472" s="10" t="inlineStr">
        <is>
          <t>CON-0466</t>
        </is>
      </c>
      <c r="B1472" s="10" t="inlineStr">
        <is>
          <t>Consulting</t>
        </is>
      </c>
      <c r="C1472" s="10">
        <f>IF($BI1472="","",IF($B1472="Onsite",INDEX(tbl_Onsite[Job Number],$BI1472),IF($B1472="Production",INDEX(tbl_Production[Job Number],$BI1472),INDEX(tbl_Consulting[Job Number],$BI1472)))&amp;"")</f>
        <v/>
      </c>
      <c r="D1472" s="10">
        <f>IF($BI1472="","",IF($B1472="Onsite",INDEX(tbl_Onsite[Client],$BI1472),IF($B1472="Production",INDEX(tbl_Production[Client],$BI1472),INDEX(tbl_Consulting[Client],$BI1472)))&amp;"")</f>
        <v/>
      </c>
      <c r="E1472" s="10">
        <f>IF($C1472="","",IF(COUNTIF(lst_Jobs,$C1472)&gt;0,"OK","CHECK"))</f>
        <v/>
      </c>
      <c r="F1472" s="10">
        <f>IF($C1472="","",IFERROR(INDEX(lst_JobName,MATCH($C1472,lst_Jobs,0)),""))</f>
        <v/>
      </c>
      <c r="G1472" s="10">
        <f>IF($BI1472="","",IF($B1472="Onsite",INDEX(tbl_Onsite[Job Description],$BI1472),IF($B1472="Production",INDEX(tbl_Production[Job Description],$BI1472),INDEX(tbl_Consulting[Job Description],$BI1472)))&amp;"")</f>
        <v/>
      </c>
      <c r="H1472" s="10">
        <f>IF($BI1472="","",IF($B1472="Onsite",INDEX(tbl_Onsite[Cost Centre],$BI1472),IF($B1472="Production",INDEX(tbl_Production[Cost Centre],$BI1472),INDEX(tbl_Consulting[Cost Centre],$BI1472)))&amp;"")</f>
        <v/>
      </c>
      <c r="I1472" s="10">
        <f>IF($BI1472="","",IF($B1472="Onsite",INDEX(tbl_Onsite[Invoice Type],$BI1472),IF($B1472="Production",INDEX(tbl_Production[Invoice Type],$BI1472),INDEX(tbl_Consulting[Invoice Type],$BI1472)))&amp;"")</f>
        <v/>
      </c>
      <c r="J1472" s="10">
        <f>IF($BI1472="","",IF($B1472="Onsite",INDEX(tbl_Onsite[Tax Code],$BI1472),IF($B1472="Production",INDEX(tbl_Production[Tax Code],$BI1472),INDEX(tbl_Consulting[Tax Code],$BI1472)))&amp;"")</f>
        <v/>
      </c>
      <c r="K1472" s="10">
        <f>IF(H1472="","",IFERROR(INDEX(lst_CCtoGL,MATCH(H1472,lst_CCforGL,0)),""))</f>
        <v/>
      </c>
      <c r="L1472" s="10">
        <f>IF($BI1472="","",IF($B1472="Onsite",INDEX(tbl_Onsite[PO / Reference],$BI1472),IF($B1472="Production",INDEX(tbl_Production[Current RMS No],$BI1472),INDEX(tbl_Consulting[Qwilr Quote],$BI1472)))&amp;"")</f>
        <v/>
      </c>
      <c r="M1472" s="10">
        <f>IF($BI1472="","",IF($B1472="Onsite",INDEX(tbl_Onsite[Notes],$BI1472),IF($B1472="Production",INDEX(tbl_Production[Notes],$BI1472),INDEX(tbl_Consulting[Notes],$BI1472)))&amp;"")</f>
        <v/>
      </c>
      <c r="N1472" s="11">
        <f>IF($BI1472="","",IF(IF($B1472="Onsite",INDEX(tbl_Onsite[Expected Revenue Ex GST],$BI1472),IF($B1472="Production",INDEX(tbl_Production[Expected Revenue Ex GST],$BI1472),INDEX(tbl_Consulting[Expected Revenue Ex GST],$BI1472)))="","",IF($B1472="Onsite",INDEX(tbl_Onsite[Expected Revenue Ex GST],$BI1472),IF($B1472="Production",INDEX(tbl_Production[Expected Revenue Ex GST],$BI1472),INDEX(tbl_Consulting[Expected Revenue Ex GST],$BI1472)))))</f>
        <v/>
      </c>
      <c r="O1472" s="11">
        <f>IF(AND($C1472="",NOT(COUNTA($S1472:$BB1472)&gt;0)),"",SUM(U1472,X1472,AA1472,AD1472,AG1472,AJ1472,AM1472,AP1472,AS1472,AV1472,AY1472,BB1472))</f>
        <v/>
      </c>
      <c r="P1472" s="11">
        <f>IF(O1472="","",N(N1472)-O1472)</f>
        <v/>
      </c>
      <c r="Q1472" s="10">
        <f>IF(O1472="","",IF($C1472="","Invoice on empty job row",IF(N1472="",IF(ROUND(O1472,2)=0,"No dept value","Invoiced - no dept value"),IF(ROUND(O1472,2)=0,"Not invoiced - to invoice",IF(ROUND(P1472,2)=0,"Agrees",IF(P1472&gt;0,"Dept higher - to invoice","Xero higher - check dept"))))))</f>
        <v/>
      </c>
      <c r="R1472" s="10">
        <f>IF(AND($C1472="",NOT(COUNTA($S1472:$BB1472)&gt;0),$BI1472&lt;&gt;""),"",MID(IF($BI1472="","; Row ID not found on the department sheet - a row was deleted","")&amp;IF(AND($C1472="",COUNTA($S1472:$BB1472)&gt;0),"; Invoice entered but the department row has no job number","")&amp;IF(E1472="CHECK","; Job number not in the Xero job list","")&amp;IF(AND($C1472&lt;&gt;"",COUNTIF($C$7:$C$1506,$C1472)&gt;1),"; Job number on more than one row","")&amp;IF(AND($C1472&lt;&gt;"",H1472=""),"; Dept has not set a cost centre","")&amp;IF(AND($C1472&lt;&gt;"",J1472=""),"; Dept has not set a tax code","")&amp;IF(AND($C1472&lt;&gt;"",N1472=""),"; Dept has not entered an expected value","")&amp;IF((IF(OR(COUNTA(S1472:U1472)=0,AND(COUNTA(S1472:U1472)=3,ISNUMBER(U1472))),0,1)+IF(OR(COUNTA(V1472:X1472)=0,AND(COUNTA(V1472:X1472)=3,ISNUMBER(X1472))),0,1)+IF(OR(COUNTA(Y1472:AA1472)=0,AND(COUNTA(Y1472:AA1472)=3,ISNUMBER(AA1472))),0,1)+IF(OR(COUNTA(AB1472:AD1472)=0,AND(COUNTA(AB1472:AD1472)=3,ISNUMBER(AD1472))),0,1)+IF(OR(COUNTA(AE1472:AG1472)=0,AND(COUNTA(AE1472:AG1472)=3,ISNUMBER(AG1472))),0,1)+IF(OR(COUNTA(AH1472:AJ1472)=0,AND(COUNTA(AH1472:AJ1472)=3,ISNUMBER(AJ1472))),0,1)+IF(OR(COUNTA(AK1472:AM1472)=0,AND(COUNTA(AK1472:AM1472)=3,ISNUMBER(AM1472))),0,1)+IF(OR(COUNTA(AN1472:AP1472)=0,AND(COUNTA(AN1472:AP1472)=3,ISNUMBER(AP1472))),0,1)+IF(OR(COUNTA(AQ1472:AS1472)=0,AND(COUNTA(AQ1472:AS1472)=3,ISNUMBER(AS1472))),0,1)+IF(OR(COUNTA(AT1472:AV1472)=0,AND(COUNTA(AT1472:AV1472)=3,ISNUMBER(AV1472))),0,1)+IF(OR(COUNTA(AW1472:AY1472)=0,AND(COUNTA(AW1472:AY1472)=3,ISNUMBER(AY1472))),0,1)+IF(OR(COUNTA(AZ1472:BB1472)=0,AND(COUNTA(AZ1472:BB1472)=3,ISNUMBER(BB1472))),0,1))&gt;0,"; An invoice is incomplete (needs No, Date and a number in Ex GST)","")&amp;IF((IF(T1472="",0,IFERROR(--(EOMONTH(T1472,0)&lt;&gt;S$5),1))+IF(W1472="",0,IFERROR(--(EOMONTH(W1472,0)&lt;&gt;V$5),1))+IF(Z1472="",0,IFERROR(--(EOMONTH(Z1472,0)&lt;&gt;Y$5),1))+IF(AC1472="",0,IFERROR(--(EOMONTH(AC1472,0)&lt;&gt;AB$5),1))+IF(AF1472="",0,IFERROR(--(EOMONTH(AF1472,0)&lt;&gt;AE$5),1))+IF(AI1472="",0,IFERROR(--(EOMONTH(AI1472,0)&lt;&gt;AH$5),1))+IF(AL1472="",0,IFERROR(--(EOMONTH(AL1472,0)&lt;&gt;AK$5),1))+IF(AO1472="",0,IFERROR(--(EOMONTH(AO1472,0)&lt;&gt;AN$5),1))+IF(AR1472="",0,IFERROR(--(EOMONTH(AR1472,0)&lt;&gt;AQ$5),1))+IF(AU1472="",0,IFERROR(--(EOMONTH(AU1472,0)&lt;&gt;AT$5),1))+IF(AX1472="",0,IFERROR(--(EOMONTH(AX1472,0)&lt;&gt;AW$5),1))+IF(BA1472="",0,IFERROR(--(EOMONTH(BA1472,0)&lt;&gt;AZ$5),1)))&gt;0,"; An invoice date is not in the month it is typed under",""),3,500))</f>
        <v/>
      </c>
      <c r="S1472" s="12" t="n"/>
      <c r="T1472" s="13" t="n"/>
      <c r="U1472" s="14" t="n"/>
      <c r="V1472" s="12" t="n"/>
      <c r="W1472" s="13" t="n"/>
      <c r="X1472" s="14" t="n"/>
      <c r="Y1472" s="12" t="n"/>
      <c r="Z1472" s="13" t="n"/>
      <c r="AA1472" s="14" t="n"/>
      <c r="AB1472" s="12" t="n"/>
      <c r="AC1472" s="13" t="n"/>
      <c r="AD1472" s="14" t="n"/>
      <c r="AE1472" s="12" t="n"/>
      <c r="AF1472" s="13" t="n"/>
      <c r="AG1472" s="14" t="n"/>
      <c r="AH1472" s="12" t="n"/>
      <c r="AI1472" s="13" t="n"/>
      <c r="AJ1472" s="14" t="n"/>
      <c r="AK1472" s="12" t="n"/>
      <c r="AL1472" s="13" t="n"/>
      <c r="AM1472" s="14" t="n"/>
      <c r="AN1472" s="12" t="n"/>
      <c r="AO1472" s="13" t="n"/>
      <c r="AP1472" s="14" t="n"/>
      <c r="AQ1472" s="12" t="n"/>
      <c r="AR1472" s="13" t="n"/>
      <c r="AS1472" s="14" t="n"/>
      <c r="AT1472" s="12" t="n"/>
      <c r="AU1472" s="13" t="n"/>
      <c r="AV1472" s="14" t="n"/>
      <c r="AW1472" s="12" t="n"/>
      <c r="AX1472" s="13" t="n"/>
      <c r="AY1472" s="14" t="n"/>
      <c r="AZ1472" s="12" t="n"/>
      <c r="BA1472" s="13" t="n"/>
      <c r="BB1472" s="14" t="n"/>
      <c r="BC1472" s="11">
        <f>IF(O1472="","",IF(J1472="GST 10%",ROUND(O1472*set_GSTRate,2),0))</f>
        <v/>
      </c>
      <c r="BD1472" s="11">
        <f>IF(O1472="","",O1472+BC1472)</f>
        <v/>
      </c>
      <c r="BE1472" s="15">
        <f>IF(O1472="","",COUNTA(S1472,V1472,Y1472,AB1472,AE1472,AH1472,AK1472,AN1472,AQ1472,AT1472,AW1472,AZ1472))</f>
        <v/>
      </c>
      <c r="BF1472" s="16">
        <f>IF(COUNT(T1472,W1472,Z1472,AC1472,AF1472,AI1472,AL1472,AO1472,AR1472,AU1472,AX1472,BA1472)=0,"",MAX(T1472,W1472,Z1472,AC1472,AF1472,AI1472,AL1472,AO1472,AR1472,AU1472,AX1472,BA1472))</f>
        <v/>
      </c>
      <c r="BG1472" s="10">
        <f>MID(IF(S1472="","",", "&amp;S1472)&amp;IF(V1472="","",", "&amp;V1472)&amp;IF(Y1472="","",", "&amp;Y1472)&amp;IF(AB1472="","",", "&amp;AB1472)&amp;IF(AE1472="","",", "&amp;AE1472)&amp;IF(AH1472="","",", "&amp;AH1472)&amp;IF(AK1472="","",", "&amp;AK1472)&amp;IF(AN1472="","",", "&amp;AN1472)&amp;IF(AQ1472="","",", "&amp;AQ1472)&amp;IF(AT1472="","",", "&amp;AT1472)&amp;IF(AW1472="","",", "&amp;AW1472)&amp;IF(AZ1472="","",", "&amp;AZ1472),3,500)</f>
        <v/>
      </c>
      <c r="BH1472" s="12" t="n"/>
      <c r="BI1472" s="15">
        <f>IFERROR(MATCH($A1472,IF($B1472="Onsite",tbl_Onsite[Row ID],IF($B1472="Production",tbl_Production[Row ID],tbl_Consulting[Row ID])),0),"")</f>
        <v/>
      </c>
    </row>
    <row r="1473">
      <c r="A1473" s="10" t="inlineStr">
        <is>
          <t>CON-0467</t>
        </is>
      </c>
      <c r="B1473" s="10" t="inlineStr">
        <is>
          <t>Consulting</t>
        </is>
      </c>
      <c r="C1473" s="10">
        <f>IF($BI1473="","",IF($B1473="Onsite",INDEX(tbl_Onsite[Job Number],$BI1473),IF($B1473="Production",INDEX(tbl_Production[Job Number],$BI1473),INDEX(tbl_Consulting[Job Number],$BI1473)))&amp;"")</f>
        <v/>
      </c>
      <c r="D1473" s="10">
        <f>IF($BI1473="","",IF($B1473="Onsite",INDEX(tbl_Onsite[Client],$BI1473),IF($B1473="Production",INDEX(tbl_Production[Client],$BI1473),INDEX(tbl_Consulting[Client],$BI1473)))&amp;"")</f>
        <v/>
      </c>
      <c r="E1473" s="10">
        <f>IF($C1473="","",IF(COUNTIF(lst_Jobs,$C1473)&gt;0,"OK","CHECK"))</f>
        <v/>
      </c>
      <c r="F1473" s="10">
        <f>IF($C1473="","",IFERROR(INDEX(lst_JobName,MATCH($C1473,lst_Jobs,0)),""))</f>
        <v/>
      </c>
      <c r="G1473" s="10">
        <f>IF($BI1473="","",IF($B1473="Onsite",INDEX(tbl_Onsite[Job Description],$BI1473),IF($B1473="Production",INDEX(tbl_Production[Job Description],$BI1473),INDEX(tbl_Consulting[Job Description],$BI1473)))&amp;"")</f>
        <v/>
      </c>
      <c r="H1473" s="10">
        <f>IF($BI1473="","",IF($B1473="Onsite",INDEX(tbl_Onsite[Cost Centre],$BI1473),IF($B1473="Production",INDEX(tbl_Production[Cost Centre],$BI1473),INDEX(tbl_Consulting[Cost Centre],$BI1473)))&amp;"")</f>
        <v/>
      </c>
      <c r="I1473" s="10">
        <f>IF($BI1473="","",IF($B1473="Onsite",INDEX(tbl_Onsite[Invoice Type],$BI1473),IF($B1473="Production",INDEX(tbl_Production[Invoice Type],$BI1473),INDEX(tbl_Consulting[Invoice Type],$BI1473)))&amp;"")</f>
        <v/>
      </c>
      <c r="J1473" s="10">
        <f>IF($BI1473="","",IF($B1473="Onsite",INDEX(tbl_Onsite[Tax Code],$BI1473),IF($B1473="Production",INDEX(tbl_Production[Tax Code],$BI1473),INDEX(tbl_Consulting[Tax Code],$BI1473)))&amp;"")</f>
        <v/>
      </c>
      <c r="K1473" s="10">
        <f>IF(H1473="","",IFERROR(INDEX(lst_CCtoGL,MATCH(H1473,lst_CCforGL,0)),""))</f>
        <v/>
      </c>
      <c r="L1473" s="10">
        <f>IF($BI1473="","",IF($B1473="Onsite",INDEX(tbl_Onsite[PO / Reference],$BI1473),IF($B1473="Production",INDEX(tbl_Production[Current RMS No],$BI1473),INDEX(tbl_Consulting[Qwilr Quote],$BI1473)))&amp;"")</f>
        <v/>
      </c>
      <c r="M1473" s="10">
        <f>IF($BI1473="","",IF($B1473="Onsite",INDEX(tbl_Onsite[Notes],$BI1473),IF($B1473="Production",INDEX(tbl_Production[Notes],$BI1473),INDEX(tbl_Consulting[Notes],$BI1473)))&amp;"")</f>
        <v/>
      </c>
      <c r="N1473" s="11">
        <f>IF($BI1473="","",IF(IF($B1473="Onsite",INDEX(tbl_Onsite[Expected Revenue Ex GST],$BI1473),IF($B1473="Production",INDEX(tbl_Production[Expected Revenue Ex GST],$BI1473),INDEX(tbl_Consulting[Expected Revenue Ex GST],$BI1473)))="","",IF($B1473="Onsite",INDEX(tbl_Onsite[Expected Revenue Ex GST],$BI1473),IF($B1473="Production",INDEX(tbl_Production[Expected Revenue Ex GST],$BI1473),INDEX(tbl_Consulting[Expected Revenue Ex GST],$BI1473)))))</f>
        <v/>
      </c>
      <c r="O1473" s="11">
        <f>IF(AND($C1473="",NOT(COUNTA($S1473:$BB1473)&gt;0)),"",SUM(U1473,X1473,AA1473,AD1473,AG1473,AJ1473,AM1473,AP1473,AS1473,AV1473,AY1473,BB1473))</f>
        <v/>
      </c>
      <c r="P1473" s="11">
        <f>IF(O1473="","",N(N1473)-O1473)</f>
        <v/>
      </c>
      <c r="Q1473" s="10">
        <f>IF(O1473="","",IF($C1473="","Invoice on empty job row",IF(N1473="",IF(ROUND(O1473,2)=0,"No dept value","Invoiced - no dept value"),IF(ROUND(O1473,2)=0,"Not invoiced - to invoice",IF(ROUND(P1473,2)=0,"Agrees",IF(P1473&gt;0,"Dept higher - to invoice","Xero higher - check dept"))))))</f>
        <v/>
      </c>
      <c r="R1473" s="10">
        <f>IF(AND($C1473="",NOT(COUNTA($S1473:$BB1473)&gt;0),$BI1473&lt;&gt;""),"",MID(IF($BI1473="","; Row ID not found on the department sheet - a row was deleted","")&amp;IF(AND($C1473="",COUNTA($S1473:$BB1473)&gt;0),"; Invoice entered but the department row has no job number","")&amp;IF(E1473="CHECK","; Job number not in the Xero job list","")&amp;IF(AND($C1473&lt;&gt;"",COUNTIF($C$7:$C$1506,$C1473)&gt;1),"; Job number on more than one row","")&amp;IF(AND($C1473&lt;&gt;"",H1473=""),"; Dept has not set a cost centre","")&amp;IF(AND($C1473&lt;&gt;"",J1473=""),"; Dept has not set a tax code","")&amp;IF(AND($C1473&lt;&gt;"",N1473=""),"; Dept has not entered an expected value","")&amp;IF((IF(OR(COUNTA(S1473:U1473)=0,AND(COUNTA(S1473:U1473)=3,ISNUMBER(U1473))),0,1)+IF(OR(COUNTA(V1473:X1473)=0,AND(COUNTA(V1473:X1473)=3,ISNUMBER(X1473))),0,1)+IF(OR(COUNTA(Y1473:AA1473)=0,AND(COUNTA(Y1473:AA1473)=3,ISNUMBER(AA1473))),0,1)+IF(OR(COUNTA(AB1473:AD1473)=0,AND(COUNTA(AB1473:AD1473)=3,ISNUMBER(AD1473))),0,1)+IF(OR(COUNTA(AE1473:AG1473)=0,AND(COUNTA(AE1473:AG1473)=3,ISNUMBER(AG1473))),0,1)+IF(OR(COUNTA(AH1473:AJ1473)=0,AND(COUNTA(AH1473:AJ1473)=3,ISNUMBER(AJ1473))),0,1)+IF(OR(COUNTA(AK1473:AM1473)=0,AND(COUNTA(AK1473:AM1473)=3,ISNUMBER(AM1473))),0,1)+IF(OR(COUNTA(AN1473:AP1473)=0,AND(COUNTA(AN1473:AP1473)=3,ISNUMBER(AP1473))),0,1)+IF(OR(COUNTA(AQ1473:AS1473)=0,AND(COUNTA(AQ1473:AS1473)=3,ISNUMBER(AS1473))),0,1)+IF(OR(COUNTA(AT1473:AV1473)=0,AND(COUNTA(AT1473:AV1473)=3,ISNUMBER(AV1473))),0,1)+IF(OR(COUNTA(AW1473:AY1473)=0,AND(COUNTA(AW1473:AY1473)=3,ISNUMBER(AY1473))),0,1)+IF(OR(COUNTA(AZ1473:BB1473)=0,AND(COUNTA(AZ1473:BB1473)=3,ISNUMBER(BB1473))),0,1))&gt;0,"; An invoice is incomplete (needs No, Date and a number in Ex GST)","")&amp;IF((IF(T1473="",0,IFERROR(--(EOMONTH(T1473,0)&lt;&gt;S$5),1))+IF(W1473="",0,IFERROR(--(EOMONTH(W1473,0)&lt;&gt;V$5),1))+IF(Z1473="",0,IFERROR(--(EOMONTH(Z1473,0)&lt;&gt;Y$5),1))+IF(AC1473="",0,IFERROR(--(EOMONTH(AC1473,0)&lt;&gt;AB$5),1))+IF(AF1473="",0,IFERROR(--(EOMONTH(AF1473,0)&lt;&gt;AE$5),1))+IF(AI1473="",0,IFERROR(--(EOMONTH(AI1473,0)&lt;&gt;AH$5),1))+IF(AL1473="",0,IFERROR(--(EOMONTH(AL1473,0)&lt;&gt;AK$5),1))+IF(AO1473="",0,IFERROR(--(EOMONTH(AO1473,0)&lt;&gt;AN$5),1))+IF(AR1473="",0,IFERROR(--(EOMONTH(AR1473,0)&lt;&gt;AQ$5),1))+IF(AU1473="",0,IFERROR(--(EOMONTH(AU1473,0)&lt;&gt;AT$5),1))+IF(AX1473="",0,IFERROR(--(EOMONTH(AX1473,0)&lt;&gt;AW$5),1))+IF(BA1473="",0,IFERROR(--(EOMONTH(BA1473,0)&lt;&gt;AZ$5),1)))&gt;0,"; An invoice date is not in the month it is typed under",""),3,500))</f>
        <v/>
      </c>
      <c r="S1473" s="12" t="n"/>
      <c r="T1473" s="13" t="n"/>
      <c r="U1473" s="14" t="n"/>
      <c r="V1473" s="12" t="n"/>
      <c r="W1473" s="13" t="n"/>
      <c r="X1473" s="14" t="n"/>
      <c r="Y1473" s="12" t="n"/>
      <c r="Z1473" s="13" t="n"/>
      <c r="AA1473" s="14" t="n"/>
      <c r="AB1473" s="12" t="n"/>
      <c r="AC1473" s="13" t="n"/>
      <c r="AD1473" s="14" t="n"/>
      <c r="AE1473" s="12" t="n"/>
      <c r="AF1473" s="13" t="n"/>
      <c r="AG1473" s="14" t="n"/>
      <c r="AH1473" s="12" t="n"/>
      <c r="AI1473" s="13" t="n"/>
      <c r="AJ1473" s="14" t="n"/>
      <c r="AK1473" s="12" t="n"/>
      <c r="AL1473" s="13" t="n"/>
      <c r="AM1473" s="14" t="n"/>
      <c r="AN1473" s="12" t="n"/>
      <c r="AO1473" s="13" t="n"/>
      <c r="AP1473" s="14" t="n"/>
      <c r="AQ1473" s="12" t="n"/>
      <c r="AR1473" s="13" t="n"/>
      <c r="AS1473" s="14" t="n"/>
      <c r="AT1473" s="12" t="n"/>
      <c r="AU1473" s="13" t="n"/>
      <c r="AV1473" s="14" t="n"/>
      <c r="AW1473" s="12" t="n"/>
      <c r="AX1473" s="13" t="n"/>
      <c r="AY1473" s="14" t="n"/>
      <c r="AZ1473" s="12" t="n"/>
      <c r="BA1473" s="13" t="n"/>
      <c r="BB1473" s="14" t="n"/>
      <c r="BC1473" s="11">
        <f>IF(O1473="","",IF(J1473="GST 10%",ROUND(O1473*set_GSTRate,2),0))</f>
        <v/>
      </c>
      <c r="BD1473" s="11">
        <f>IF(O1473="","",O1473+BC1473)</f>
        <v/>
      </c>
      <c r="BE1473" s="15">
        <f>IF(O1473="","",COUNTA(S1473,V1473,Y1473,AB1473,AE1473,AH1473,AK1473,AN1473,AQ1473,AT1473,AW1473,AZ1473))</f>
        <v/>
      </c>
      <c r="BF1473" s="16">
        <f>IF(COUNT(T1473,W1473,Z1473,AC1473,AF1473,AI1473,AL1473,AO1473,AR1473,AU1473,AX1473,BA1473)=0,"",MAX(T1473,W1473,Z1473,AC1473,AF1473,AI1473,AL1473,AO1473,AR1473,AU1473,AX1473,BA1473))</f>
        <v/>
      </c>
      <c r="BG1473" s="10">
        <f>MID(IF(S1473="","",", "&amp;S1473)&amp;IF(V1473="","",", "&amp;V1473)&amp;IF(Y1473="","",", "&amp;Y1473)&amp;IF(AB1473="","",", "&amp;AB1473)&amp;IF(AE1473="","",", "&amp;AE1473)&amp;IF(AH1473="","",", "&amp;AH1473)&amp;IF(AK1473="","",", "&amp;AK1473)&amp;IF(AN1473="","",", "&amp;AN1473)&amp;IF(AQ1473="","",", "&amp;AQ1473)&amp;IF(AT1473="","",", "&amp;AT1473)&amp;IF(AW1473="","",", "&amp;AW1473)&amp;IF(AZ1473="","",", "&amp;AZ1473),3,500)</f>
        <v/>
      </c>
      <c r="BH1473" s="12" t="n"/>
      <c r="BI1473" s="15">
        <f>IFERROR(MATCH($A1473,IF($B1473="Onsite",tbl_Onsite[Row ID],IF($B1473="Production",tbl_Production[Row ID],tbl_Consulting[Row ID])),0),"")</f>
        <v/>
      </c>
    </row>
    <row r="1474">
      <c r="A1474" s="10" t="inlineStr">
        <is>
          <t>CON-0468</t>
        </is>
      </c>
      <c r="B1474" s="10" t="inlineStr">
        <is>
          <t>Consulting</t>
        </is>
      </c>
      <c r="C1474" s="10">
        <f>IF($BI1474="","",IF($B1474="Onsite",INDEX(tbl_Onsite[Job Number],$BI1474),IF($B1474="Production",INDEX(tbl_Production[Job Number],$BI1474),INDEX(tbl_Consulting[Job Number],$BI1474)))&amp;"")</f>
        <v/>
      </c>
      <c r="D1474" s="10">
        <f>IF($BI1474="","",IF($B1474="Onsite",INDEX(tbl_Onsite[Client],$BI1474),IF($B1474="Production",INDEX(tbl_Production[Client],$BI1474),INDEX(tbl_Consulting[Client],$BI1474)))&amp;"")</f>
        <v/>
      </c>
      <c r="E1474" s="10">
        <f>IF($C1474="","",IF(COUNTIF(lst_Jobs,$C1474)&gt;0,"OK","CHECK"))</f>
        <v/>
      </c>
      <c r="F1474" s="10">
        <f>IF($C1474="","",IFERROR(INDEX(lst_JobName,MATCH($C1474,lst_Jobs,0)),""))</f>
        <v/>
      </c>
      <c r="G1474" s="10">
        <f>IF($BI1474="","",IF($B1474="Onsite",INDEX(tbl_Onsite[Job Description],$BI1474),IF($B1474="Production",INDEX(tbl_Production[Job Description],$BI1474),INDEX(tbl_Consulting[Job Description],$BI1474)))&amp;"")</f>
        <v/>
      </c>
      <c r="H1474" s="10">
        <f>IF($BI1474="","",IF($B1474="Onsite",INDEX(tbl_Onsite[Cost Centre],$BI1474),IF($B1474="Production",INDEX(tbl_Production[Cost Centre],$BI1474),INDEX(tbl_Consulting[Cost Centre],$BI1474)))&amp;"")</f>
        <v/>
      </c>
      <c r="I1474" s="10">
        <f>IF($BI1474="","",IF($B1474="Onsite",INDEX(tbl_Onsite[Invoice Type],$BI1474),IF($B1474="Production",INDEX(tbl_Production[Invoice Type],$BI1474),INDEX(tbl_Consulting[Invoice Type],$BI1474)))&amp;"")</f>
        <v/>
      </c>
      <c r="J1474" s="10">
        <f>IF($BI1474="","",IF($B1474="Onsite",INDEX(tbl_Onsite[Tax Code],$BI1474),IF($B1474="Production",INDEX(tbl_Production[Tax Code],$BI1474),INDEX(tbl_Consulting[Tax Code],$BI1474)))&amp;"")</f>
        <v/>
      </c>
      <c r="K1474" s="10">
        <f>IF(H1474="","",IFERROR(INDEX(lst_CCtoGL,MATCH(H1474,lst_CCforGL,0)),""))</f>
        <v/>
      </c>
      <c r="L1474" s="10">
        <f>IF($BI1474="","",IF($B1474="Onsite",INDEX(tbl_Onsite[PO / Reference],$BI1474),IF($B1474="Production",INDEX(tbl_Production[Current RMS No],$BI1474),INDEX(tbl_Consulting[Qwilr Quote],$BI1474)))&amp;"")</f>
        <v/>
      </c>
      <c r="M1474" s="10">
        <f>IF($BI1474="","",IF($B1474="Onsite",INDEX(tbl_Onsite[Notes],$BI1474),IF($B1474="Production",INDEX(tbl_Production[Notes],$BI1474),INDEX(tbl_Consulting[Notes],$BI1474)))&amp;"")</f>
        <v/>
      </c>
      <c r="N1474" s="11">
        <f>IF($BI1474="","",IF(IF($B1474="Onsite",INDEX(tbl_Onsite[Expected Revenue Ex GST],$BI1474),IF($B1474="Production",INDEX(tbl_Production[Expected Revenue Ex GST],$BI1474),INDEX(tbl_Consulting[Expected Revenue Ex GST],$BI1474)))="","",IF($B1474="Onsite",INDEX(tbl_Onsite[Expected Revenue Ex GST],$BI1474),IF($B1474="Production",INDEX(tbl_Production[Expected Revenue Ex GST],$BI1474),INDEX(tbl_Consulting[Expected Revenue Ex GST],$BI1474)))))</f>
        <v/>
      </c>
      <c r="O1474" s="11">
        <f>IF(AND($C1474="",NOT(COUNTA($S1474:$BB1474)&gt;0)),"",SUM(U1474,X1474,AA1474,AD1474,AG1474,AJ1474,AM1474,AP1474,AS1474,AV1474,AY1474,BB1474))</f>
        <v/>
      </c>
      <c r="P1474" s="11">
        <f>IF(O1474="","",N(N1474)-O1474)</f>
        <v/>
      </c>
      <c r="Q1474" s="10">
        <f>IF(O1474="","",IF($C1474="","Invoice on empty job row",IF(N1474="",IF(ROUND(O1474,2)=0,"No dept value","Invoiced - no dept value"),IF(ROUND(O1474,2)=0,"Not invoiced - to invoice",IF(ROUND(P1474,2)=0,"Agrees",IF(P1474&gt;0,"Dept higher - to invoice","Xero higher - check dept"))))))</f>
        <v/>
      </c>
      <c r="R1474" s="10">
        <f>IF(AND($C1474="",NOT(COUNTA($S1474:$BB1474)&gt;0),$BI1474&lt;&gt;""),"",MID(IF($BI1474="","; Row ID not found on the department sheet - a row was deleted","")&amp;IF(AND($C1474="",COUNTA($S1474:$BB1474)&gt;0),"; Invoice entered but the department row has no job number","")&amp;IF(E1474="CHECK","; Job number not in the Xero job list","")&amp;IF(AND($C1474&lt;&gt;"",COUNTIF($C$7:$C$1506,$C1474)&gt;1),"; Job number on more than one row","")&amp;IF(AND($C1474&lt;&gt;"",H1474=""),"; Dept has not set a cost centre","")&amp;IF(AND($C1474&lt;&gt;"",J1474=""),"; Dept has not set a tax code","")&amp;IF(AND($C1474&lt;&gt;"",N1474=""),"; Dept has not entered an expected value","")&amp;IF((IF(OR(COUNTA(S1474:U1474)=0,AND(COUNTA(S1474:U1474)=3,ISNUMBER(U1474))),0,1)+IF(OR(COUNTA(V1474:X1474)=0,AND(COUNTA(V1474:X1474)=3,ISNUMBER(X1474))),0,1)+IF(OR(COUNTA(Y1474:AA1474)=0,AND(COUNTA(Y1474:AA1474)=3,ISNUMBER(AA1474))),0,1)+IF(OR(COUNTA(AB1474:AD1474)=0,AND(COUNTA(AB1474:AD1474)=3,ISNUMBER(AD1474))),0,1)+IF(OR(COUNTA(AE1474:AG1474)=0,AND(COUNTA(AE1474:AG1474)=3,ISNUMBER(AG1474))),0,1)+IF(OR(COUNTA(AH1474:AJ1474)=0,AND(COUNTA(AH1474:AJ1474)=3,ISNUMBER(AJ1474))),0,1)+IF(OR(COUNTA(AK1474:AM1474)=0,AND(COUNTA(AK1474:AM1474)=3,ISNUMBER(AM1474))),0,1)+IF(OR(COUNTA(AN1474:AP1474)=0,AND(COUNTA(AN1474:AP1474)=3,ISNUMBER(AP1474))),0,1)+IF(OR(COUNTA(AQ1474:AS1474)=0,AND(COUNTA(AQ1474:AS1474)=3,ISNUMBER(AS1474))),0,1)+IF(OR(COUNTA(AT1474:AV1474)=0,AND(COUNTA(AT1474:AV1474)=3,ISNUMBER(AV1474))),0,1)+IF(OR(COUNTA(AW1474:AY1474)=0,AND(COUNTA(AW1474:AY1474)=3,ISNUMBER(AY1474))),0,1)+IF(OR(COUNTA(AZ1474:BB1474)=0,AND(COUNTA(AZ1474:BB1474)=3,ISNUMBER(BB1474))),0,1))&gt;0,"; An invoice is incomplete (needs No, Date and a number in Ex GST)","")&amp;IF((IF(T1474="",0,IFERROR(--(EOMONTH(T1474,0)&lt;&gt;S$5),1))+IF(W1474="",0,IFERROR(--(EOMONTH(W1474,0)&lt;&gt;V$5),1))+IF(Z1474="",0,IFERROR(--(EOMONTH(Z1474,0)&lt;&gt;Y$5),1))+IF(AC1474="",0,IFERROR(--(EOMONTH(AC1474,0)&lt;&gt;AB$5),1))+IF(AF1474="",0,IFERROR(--(EOMONTH(AF1474,0)&lt;&gt;AE$5),1))+IF(AI1474="",0,IFERROR(--(EOMONTH(AI1474,0)&lt;&gt;AH$5),1))+IF(AL1474="",0,IFERROR(--(EOMONTH(AL1474,0)&lt;&gt;AK$5),1))+IF(AO1474="",0,IFERROR(--(EOMONTH(AO1474,0)&lt;&gt;AN$5),1))+IF(AR1474="",0,IFERROR(--(EOMONTH(AR1474,0)&lt;&gt;AQ$5),1))+IF(AU1474="",0,IFERROR(--(EOMONTH(AU1474,0)&lt;&gt;AT$5),1))+IF(AX1474="",0,IFERROR(--(EOMONTH(AX1474,0)&lt;&gt;AW$5),1))+IF(BA1474="",0,IFERROR(--(EOMONTH(BA1474,0)&lt;&gt;AZ$5),1)))&gt;0,"; An invoice date is not in the month it is typed under",""),3,500))</f>
        <v/>
      </c>
      <c r="S1474" s="12" t="n"/>
      <c r="T1474" s="13" t="n"/>
      <c r="U1474" s="14" t="n"/>
      <c r="V1474" s="12" t="n"/>
      <c r="W1474" s="13" t="n"/>
      <c r="X1474" s="14" t="n"/>
      <c r="Y1474" s="12" t="n"/>
      <c r="Z1474" s="13" t="n"/>
      <c r="AA1474" s="14" t="n"/>
      <c r="AB1474" s="12" t="n"/>
      <c r="AC1474" s="13" t="n"/>
      <c r="AD1474" s="14" t="n"/>
      <c r="AE1474" s="12" t="n"/>
      <c r="AF1474" s="13" t="n"/>
      <c r="AG1474" s="14" t="n"/>
      <c r="AH1474" s="12" t="n"/>
      <c r="AI1474" s="13" t="n"/>
      <c r="AJ1474" s="14" t="n"/>
      <c r="AK1474" s="12" t="n"/>
      <c r="AL1474" s="13" t="n"/>
      <c r="AM1474" s="14" t="n"/>
      <c r="AN1474" s="12" t="n"/>
      <c r="AO1474" s="13" t="n"/>
      <c r="AP1474" s="14" t="n"/>
      <c r="AQ1474" s="12" t="n"/>
      <c r="AR1474" s="13" t="n"/>
      <c r="AS1474" s="14" t="n"/>
      <c r="AT1474" s="12" t="n"/>
      <c r="AU1474" s="13" t="n"/>
      <c r="AV1474" s="14" t="n"/>
      <c r="AW1474" s="12" t="n"/>
      <c r="AX1474" s="13" t="n"/>
      <c r="AY1474" s="14" t="n"/>
      <c r="AZ1474" s="12" t="n"/>
      <c r="BA1474" s="13" t="n"/>
      <c r="BB1474" s="14" t="n"/>
      <c r="BC1474" s="11">
        <f>IF(O1474="","",IF(J1474="GST 10%",ROUND(O1474*set_GSTRate,2),0))</f>
        <v/>
      </c>
      <c r="BD1474" s="11">
        <f>IF(O1474="","",O1474+BC1474)</f>
        <v/>
      </c>
      <c r="BE1474" s="15">
        <f>IF(O1474="","",COUNTA(S1474,V1474,Y1474,AB1474,AE1474,AH1474,AK1474,AN1474,AQ1474,AT1474,AW1474,AZ1474))</f>
        <v/>
      </c>
      <c r="BF1474" s="16">
        <f>IF(COUNT(T1474,W1474,Z1474,AC1474,AF1474,AI1474,AL1474,AO1474,AR1474,AU1474,AX1474,BA1474)=0,"",MAX(T1474,W1474,Z1474,AC1474,AF1474,AI1474,AL1474,AO1474,AR1474,AU1474,AX1474,BA1474))</f>
        <v/>
      </c>
      <c r="BG1474" s="10">
        <f>MID(IF(S1474="","",", "&amp;S1474)&amp;IF(V1474="","",", "&amp;V1474)&amp;IF(Y1474="","",", "&amp;Y1474)&amp;IF(AB1474="","",", "&amp;AB1474)&amp;IF(AE1474="","",", "&amp;AE1474)&amp;IF(AH1474="","",", "&amp;AH1474)&amp;IF(AK1474="","",", "&amp;AK1474)&amp;IF(AN1474="","",", "&amp;AN1474)&amp;IF(AQ1474="","",", "&amp;AQ1474)&amp;IF(AT1474="","",", "&amp;AT1474)&amp;IF(AW1474="","",", "&amp;AW1474)&amp;IF(AZ1474="","",", "&amp;AZ1474),3,500)</f>
        <v/>
      </c>
      <c r="BH1474" s="12" t="n"/>
      <c r="BI1474" s="15">
        <f>IFERROR(MATCH($A1474,IF($B1474="Onsite",tbl_Onsite[Row ID],IF($B1474="Production",tbl_Production[Row ID],tbl_Consulting[Row ID])),0),"")</f>
        <v/>
      </c>
    </row>
    <row r="1475">
      <c r="A1475" s="10" t="inlineStr">
        <is>
          <t>CON-0469</t>
        </is>
      </c>
      <c r="B1475" s="10" t="inlineStr">
        <is>
          <t>Consulting</t>
        </is>
      </c>
      <c r="C1475" s="10">
        <f>IF($BI1475="","",IF($B1475="Onsite",INDEX(tbl_Onsite[Job Number],$BI1475),IF($B1475="Production",INDEX(tbl_Production[Job Number],$BI1475),INDEX(tbl_Consulting[Job Number],$BI1475)))&amp;"")</f>
        <v/>
      </c>
      <c r="D1475" s="10">
        <f>IF($BI1475="","",IF($B1475="Onsite",INDEX(tbl_Onsite[Client],$BI1475),IF($B1475="Production",INDEX(tbl_Production[Client],$BI1475),INDEX(tbl_Consulting[Client],$BI1475)))&amp;"")</f>
        <v/>
      </c>
      <c r="E1475" s="10">
        <f>IF($C1475="","",IF(COUNTIF(lst_Jobs,$C1475)&gt;0,"OK","CHECK"))</f>
        <v/>
      </c>
      <c r="F1475" s="10">
        <f>IF($C1475="","",IFERROR(INDEX(lst_JobName,MATCH($C1475,lst_Jobs,0)),""))</f>
        <v/>
      </c>
      <c r="G1475" s="10">
        <f>IF($BI1475="","",IF($B1475="Onsite",INDEX(tbl_Onsite[Job Description],$BI1475),IF($B1475="Production",INDEX(tbl_Production[Job Description],$BI1475),INDEX(tbl_Consulting[Job Description],$BI1475)))&amp;"")</f>
        <v/>
      </c>
      <c r="H1475" s="10">
        <f>IF($BI1475="","",IF($B1475="Onsite",INDEX(tbl_Onsite[Cost Centre],$BI1475),IF($B1475="Production",INDEX(tbl_Production[Cost Centre],$BI1475),INDEX(tbl_Consulting[Cost Centre],$BI1475)))&amp;"")</f>
        <v/>
      </c>
      <c r="I1475" s="10">
        <f>IF($BI1475="","",IF($B1475="Onsite",INDEX(tbl_Onsite[Invoice Type],$BI1475),IF($B1475="Production",INDEX(tbl_Production[Invoice Type],$BI1475),INDEX(tbl_Consulting[Invoice Type],$BI1475)))&amp;"")</f>
        <v/>
      </c>
      <c r="J1475" s="10">
        <f>IF($BI1475="","",IF($B1475="Onsite",INDEX(tbl_Onsite[Tax Code],$BI1475),IF($B1475="Production",INDEX(tbl_Production[Tax Code],$BI1475),INDEX(tbl_Consulting[Tax Code],$BI1475)))&amp;"")</f>
        <v/>
      </c>
      <c r="K1475" s="10">
        <f>IF(H1475="","",IFERROR(INDEX(lst_CCtoGL,MATCH(H1475,lst_CCforGL,0)),""))</f>
        <v/>
      </c>
      <c r="L1475" s="10">
        <f>IF($BI1475="","",IF($B1475="Onsite",INDEX(tbl_Onsite[PO / Reference],$BI1475),IF($B1475="Production",INDEX(tbl_Production[Current RMS No],$BI1475),INDEX(tbl_Consulting[Qwilr Quote],$BI1475)))&amp;"")</f>
        <v/>
      </c>
      <c r="M1475" s="10">
        <f>IF($BI1475="","",IF($B1475="Onsite",INDEX(tbl_Onsite[Notes],$BI1475),IF($B1475="Production",INDEX(tbl_Production[Notes],$BI1475),INDEX(tbl_Consulting[Notes],$BI1475)))&amp;"")</f>
        <v/>
      </c>
      <c r="N1475" s="11">
        <f>IF($BI1475="","",IF(IF($B1475="Onsite",INDEX(tbl_Onsite[Expected Revenue Ex GST],$BI1475),IF($B1475="Production",INDEX(tbl_Production[Expected Revenue Ex GST],$BI1475),INDEX(tbl_Consulting[Expected Revenue Ex GST],$BI1475)))="","",IF($B1475="Onsite",INDEX(tbl_Onsite[Expected Revenue Ex GST],$BI1475),IF($B1475="Production",INDEX(tbl_Production[Expected Revenue Ex GST],$BI1475),INDEX(tbl_Consulting[Expected Revenue Ex GST],$BI1475)))))</f>
        <v/>
      </c>
      <c r="O1475" s="11">
        <f>IF(AND($C1475="",NOT(COUNTA($S1475:$BB1475)&gt;0)),"",SUM(U1475,X1475,AA1475,AD1475,AG1475,AJ1475,AM1475,AP1475,AS1475,AV1475,AY1475,BB1475))</f>
        <v/>
      </c>
      <c r="P1475" s="11">
        <f>IF(O1475="","",N(N1475)-O1475)</f>
        <v/>
      </c>
      <c r="Q1475" s="10">
        <f>IF(O1475="","",IF($C1475="","Invoice on empty job row",IF(N1475="",IF(ROUND(O1475,2)=0,"No dept value","Invoiced - no dept value"),IF(ROUND(O1475,2)=0,"Not invoiced - to invoice",IF(ROUND(P1475,2)=0,"Agrees",IF(P1475&gt;0,"Dept higher - to invoice","Xero higher - check dept"))))))</f>
        <v/>
      </c>
      <c r="R1475" s="10">
        <f>IF(AND($C1475="",NOT(COUNTA($S1475:$BB1475)&gt;0),$BI1475&lt;&gt;""),"",MID(IF($BI1475="","; Row ID not found on the department sheet - a row was deleted","")&amp;IF(AND($C1475="",COUNTA($S1475:$BB1475)&gt;0),"; Invoice entered but the department row has no job number","")&amp;IF(E1475="CHECK","; Job number not in the Xero job list","")&amp;IF(AND($C1475&lt;&gt;"",COUNTIF($C$7:$C$1506,$C1475)&gt;1),"; Job number on more than one row","")&amp;IF(AND($C1475&lt;&gt;"",H1475=""),"; Dept has not set a cost centre","")&amp;IF(AND($C1475&lt;&gt;"",J1475=""),"; Dept has not set a tax code","")&amp;IF(AND($C1475&lt;&gt;"",N1475=""),"; Dept has not entered an expected value","")&amp;IF((IF(OR(COUNTA(S1475:U1475)=0,AND(COUNTA(S1475:U1475)=3,ISNUMBER(U1475))),0,1)+IF(OR(COUNTA(V1475:X1475)=0,AND(COUNTA(V1475:X1475)=3,ISNUMBER(X1475))),0,1)+IF(OR(COUNTA(Y1475:AA1475)=0,AND(COUNTA(Y1475:AA1475)=3,ISNUMBER(AA1475))),0,1)+IF(OR(COUNTA(AB1475:AD1475)=0,AND(COUNTA(AB1475:AD1475)=3,ISNUMBER(AD1475))),0,1)+IF(OR(COUNTA(AE1475:AG1475)=0,AND(COUNTA(AE1475:AG1475)=3,ISNUMBER(AG1475))),0,1)+IF(OR(COUNTA(AH1475:AJ1475)=0,AND(COUNTA(AH1475:AJ1475)=3,ISNUMBER(AJ1475))),0,1)+IF(OR(COUNTA(AK1475:AM1475)=0,AND(COUNTA(AK1475:AM1475)=3,ISNUMBER(AM1475))),0,1)+IF(OR(COUNTA(AN1475:AP1475)=0,AND(COUNTA(AN1475:AP1475)=3,ISNUMBER(AP1475))),0,1)+IF(OR(COUNTA(AQ1475:AS1475)=0,AND(COUNTA(AQ1475:AS1475)=3,ISNUMBER(AS1475))),0,1)+IF(OR(COUNTA(AT1475:AV1475)=0,AND(COUNTA(AT1475:AV1475)=3,ISNUMBER(AV1475))),0,1)+IF(OR(COUNTA(AW1475:AY1475)=0,AND(COUNTA(AW1475:AY1475)=3,ISNUMBER(AY1475))),0,1)+IF(OR(COUNTA(AZ1475:BB1475)=0,AND(COUNTA(AZ1475:BB1475)=3,ISNUMBER(BB1475))),0,1))&gt;0,"; An invoice is incomplete (needs No, Date and a number in Ex GST)","")&amp;IF((IF(T1475="",0,IFERROR(--(EOMONTH(T1475,0)&lt;&gt;S$5),1))+IF(W1475="",0,IFERROR(--(EOMONTH(W1475,0)&lt;&gt;V$5),1))+IF(Z1475="",0,IFERROR(--(EOMONTH(Z1475,0)&lt;&gt;Y$5),1))+IF(AC1475="",0,IFERROR(--(EOMONTH(AC1475,0)&lt;&gt;AB$5),1))+IF(AF1475="",0,IFERROR(--(EOMONTH(AF1475,0)&lt;&gt;AE$5),1))+IF(AI1475="",0,IFERROR(--(EOMONTH(AI1475,0)&lt;&gt;AH$5),1))+IF(AL1475="",0,IFERROR(--(EOMONTH(AL1475,0)&lt;&gt;AK$5),1))+IF(AO1475="",0,IFERROR(--(EOMONTH(AO1475,0)&lt;&gt;AN$5),1))+IF(AR1475="",0,IFERROR(--(EOMONTH(AR1475,0)&lt;&gt;AQ$5),1))+IF(AU1475="",0,IFERROR(--(EOMONTH(AU1475,0)&lt;&gt;AT$5),1))+IF(AX1475="",0,IFERROR(--(EOMONTH(AX1475,0)&lt;&gt;AW$5),1))+IF(BA1475="",0,IFERROR(--(EOMONTH(BA1475,0)&lt;&gt;AZ$5),1)))&gt;0,"; An invoice date is not in the month it is typed under",""),3,500))</f>
        <v/>
      </c>
      <c r="S1475" s="12" t="n"/>
      <c r="T1475" s="13" t="n"/>
      <c r="U1475" s="14" t="n"/>
      <c r="V1475" s="12" t="n"/>
      <c r="W1475" s="13" t="n"/>
      <c r="X1475" s="14" t="n"/>
      <c r="Y1475" s="12" t="n"/>
      <c r="Z1475" s="13" t="n"/>
      <c r="AA1475" s="14" t="n"/>
      <c r="AB1475" s="12" t="n"/>
      <c r="AC1475" s="13" t="n"/>
      <c r="AD1475" s="14" t="n"/>
      <c r="AE1475" s="12" t="n"/>
      <c r="AF1475" s="13" t="n"/>
      <c r="AG1475" s="14" t="n"/>
      <c r="AH1475" s="12" t="n"/>
      <c r="AI1475" s="13" t="n"/>
      <c r="AJ1475" s="14" t="n"/>
      <c r="AK1475" s="12" t="n"/>
      <c r="AL1475" s="13" t="n"/>
      <c r="AM1475" s="14" t="n"/>
      <c r="AN1475" s="12" t="n"/>
      <c r="AO1475" s="13" t="n"/>
      <c r="AP1475" s="14" t="n"/>
      <c r="AQ1475" s="12" t="n"/>
      <c r="AR1475" s="13" t="n"/>
      <c r="AS1475" s="14" t="n"/>
      <c r="AT1475" s="12" t="n"/>
      <c r="AU1475" s="13" t="n"/>
      <c r="AV1475" s="14" t="n"/>
      <c r="AW1475" s="12" t="n"/>
      <c r="AX1475" s="13" t="n"/>
      <c r="AY1475" s="14" t="n"/>
      <c r="AZ1475" s="12" t="n"/>
      <c r="BA1475" s="13" t="n"/>
      <c r="BB1475" s="14" t="n"/>
      <c r="BC1475" s="11">
        <f>IF(O1475="","",IF(J1475="GST 10%",ROUND(O1475*set_GSTRate,2),0))</f>
        <v/>
      </c>
      <c r="BD1475" s="11">
        <f>IF(O1475="","",O1475+BC1475)</f>
        <v/>
      </c>
      <c r="BE1475" s="15">
        <f>IF(O1475="","",COUNTA(S1475,V1475,Y1475,AB1475,AE1475,AH1475,AK1475,AN1475,AQ1475,AT1475,AW1475,AZ1475))</f>
        <v/>
      </c>
      <c r="BF1475" s="16">
        <f>IF(COUNT(T1475,W1475,Z1475,AC1475,AF1475,AI1475,AL1475,AO1475,AR1475,AU1475,AX1475,BA1475)=0,"",MAX(T1475,W1475,Z1475,AC1475,AF1475,AI1475,AL1475,AO1475,AR1475,AU1475,AX1475,BA1475))</f>
        <v/>
      </c>
      <c r="BG1475" s="10">
        <f>MID(IF(S1475="","",", "&amp;S1475)&amp;IF(V1475="","",", "&amp;V1475)&amp;IF(Y1475="","",", "&amp;Y1475)&amp;IF(AB1475="","",", "&amp;AB1475)&amp;IF(AE1475="","",", "&amp;AE1475)&amp;IF(AH1475="","",", "&amp;AH1475)&amp;IF(AK1475="","",", "&amp;AK1475)&amp;IF(AN1475="","",", "&amp;AN1475)&amp;IF(AQ1475="","",", "&amp;AQ1475)&amp;IF(AT1475="","",", "&amp;AT1475)&amp;IF(AW1475="","",", "&amp;AW1475)&amp;IF(AZ1475="","",", "&amp;AZ1475),3,500)</f>
        <v/>
      </c>
      <c r="BH1475" s="12" t="n"/>
      <c r="BI1475" s="15">
        <f>IFERROR(MATCH($A1475,IF($B1475="Onsite",tbl_Onsite[Row ID],IF($B1475="Production",tbl_Production[Row ID],tbl_Consulting[Row ID])),0),"")</f>
        <v/>
      </c>
    </row>
    <row r="1476">
      <c r="A1476" s="10" t="inlineStr">
        <is>
          <t>CON-0470</t>
        </is>
      </c>
      <c r="B1476" s="10" t="inlineStr">
        <is>
          <t>Consulting</t>
        </is>
      </c>
      <c r="C1476" s="10">
        <f>IF($BI1476="","",IF($B1476="Onsite",INDEX(tbl_Onsite[Job Number],$BI1476),IF($B1476="Production",INDEX(tbl_Production[Job Number],$BI1476),INDEX(tbl_Consulting[Job Number],$BI1476)))&amp;"")</f>
        <v/>
      </c>
      <c r="D1476" s="10">
        <f>IF($BI1476="","",IF($B1476="Onsite",INDEX(tbl_Onsite[Client],$BI1476),IF($B1476="Production",INDEX(tbl_Production[Client],$BI1476),INDEX(tbl_Consulting[Client],$BI1476)))&amp;"")</f>
        <v/>
      </c>
      <c r="E1476" s="10">
        <f>IF($C1476="","",IF(COUNTIF(lst_Jobs,$C1476)&gt;0,"OK","CHECK"))</f>
        <v/>
      </c>
      <c r="F1476" s="10">
        <f>IF($C1476="","",IFERROR(INDEX(lst_JobName,MATCH($C1476,lst_Jobs,0)),""))</f>
        <v/>
      </c>
      <c r="G1476" s="10">
        <f>IF($BI1476="","",IF($B1476="Onsite",INDEX(tbl_Onsite[Job Description],$BI1476),IF($B1476="Production",INDEX(tbl_Production[Job Description],$BI1476),INDEX(tbl_Consulting[Job Description],$BI1476)))&amp;"")</f>
        <v/>
      </c>
      <c r="H1476" s="10">
        <f>IF($BI1476="","",IF($B1476="Onsite",INDEX(tbl_Onsite[Cost Centre],$BI1476),IF($B1476="Production",INDEX(tbl_Production[Cost Centre],$BI1476),INDEX(tbl_Consulting[Cost Centre],$BI1476)))&amp;"")</f>
        <v/>
      </c>
      <c r="I1476" s="10">
        <f>IF($BI1476="","",IF($B1476="Onsite",INDEX(tbl_Onsite[Invoice Type],$BI1476),IF($B1476="Production",INDEX(tbl_Production[Invoice Type],$BI1476),INDEX(tbl_Consulting[Invoice Type],$BI1476)))&amp;"")</f>
        <v/>
      </c>
      <c r="J1476" s="10">
        <f>IF($BI1476="","",IF($B1476="Onsite",INDEX(tbl_Onsite[Tax Code],$BI1476),IF($B1476="Production",INDEX(tbl_Production[Tax Code],$BI1476),INDEX(tbl_Consulting[Tax Code],$BI1476)))&amp;"")</f>
        <v/>
      </c>
      <c r="K1476" s="10">
        <f>IF(H1476="","",IFERROR(INDEX(lst_CCtoGL,MATCH(H1476,lst_CCforGL,0)),""))</f>
        <v/>
      </c>
      <c r="L1476" s="10">
        <f>IF($BI1476="","",IF($B1476="Onsite",INDEX(tbl_Onsite[PO / Reference],$BI1476),IF($B1476="Production",INDEX(tbl_Production[Current RMS No],$BI1476),INDEX(tbl_Consulting[Qwilr Quote],$BI1476)))&amp;"")</f>
        <v/>
      </c>
      <c r="M1476" s="10">
        <f>IF($BI1476="","",IF($B1476="Onsite",INDEX(tbl_Onsite[Notes],$BI1476),IF($B1476="Production",INDEX(tbl_Production[Notes],$BI1476),INDEX(tbl_Consulting[Notes],$BI1476)))&amp;"")</f>
        <v/>
      </c>
      <c r="N1476" s="11">
        <f>IF($BI1476="","",IF(IF($B1476="Onsite",INDEX(tbl_Onsite[Expected Revenue Ex GST],$BI1476),IF($B1476="Production",INDEX(tbl_Production[Expected Revenue Ex GST],$BI1476),INDEX(tbl_Consulting[Expected Revenue Ex GST],$BI1476)))="","",IF($B1476="Onsite",INDEX(tbl_Onsite[Expected Revenue Ex GST],$BI1476),IF($B1476="Production",INDEX(tbl_Production[Expected Revenue Ex GST],$BI1476),INDEX(tbl_Consulting[Expected Revenue Ex GST],$BI1476)))))</f>
        <v/>
      </c>
      <c r="O1476" s="11">
        <f>IF(AND($C1476="",NOT(COUNTA($S1476:$BB1476)&gt;0)),"",SUM(U1476,X1476,AA1476,AD1476,AG1476,AJ1476,AM1476,AP1476,AS1476,AV1476,AY1476,BB1476))</f>
        <v/>
      </c>
      <c r="P1476" s="11">
        <f>IF(O1476="","",N(N1476)-O1476)</f>
        <v/>
      </c>
      <c r="Q1476" s="10">
        <f>IF(O1476="","",IF($C1476="","Invoice on empty job row",IF(N1476="",IF(ROUND(O1476,2)=0,"No dept value","Invoiced - no dept value"),IF(ROUND(O1476,2)=0,"Not invoiced - to invoice",IF(ROUND(P1476,2)=0,"Agrees",IF(P1476&gt;0,"Dept higher - to invoice","Xero higher - check dept"))))))</f>
        <v/>
      </c>
      <c r="R1476" s="10">
        <f>IF(AND($C1476="",NOT(COUNTA($S1476:$BB1476)&gt;0),$BI1476&lt;&gt;""),"",MID(IF($BI1476="","; Row ID not found on the department sheet - a row was deleted","")&amp;IF(AND($C1476="",COUNTA($S1476:$BB1476)&gt;0),"; Invoice entered but the department row has no job number","")&amp;IF(E1476="CHECK","; Job number not in the Xero job list","")&amp;IF(AND($C1476&lt;&gt;"",COUNTIF($C$7:$C$1506,$C1476)&gt;1),"; Job number on more than one row","")&amp;IF(AND($C1476&lt;&gt;"",H1476=""),"; Dept has not set a cost centre","")&amp;IF(AND($C1476&lt;&gt;"",J1476=""),"; Dept has not set a tax code","")&amp;IF(AND($C1476&lt;&gt;"",N1476=""),"; Dept has not entered an expected value","")&amp;IF((IF(OR(COUNTA(S1476:U1476)=0,AND(COUNTA(S1476:U1476)=3,ISNUMBER(U1476))),0,1)+IF(OR(COUNTA(V1476:X1476)=0,AND(COUNTA(V1476:X1476)=3,ISNUMBER(X1476))),0,1)+IF(OR(COUNTA(Y1476:AA1476)=0,AND(COUNTA(Y1476:AA1476)=3,ISNUMBER(AA1476))),0,1)+IF(OR(COUNTA(AB1476:AD1476)=0,AND(COUNTA(AB1476:AD1476)=3,ISNUMBER(AD1476))),0,1)+IF(OR(COUNTA(AE1476:AG1476)=0,AND(COUNTA(AE1476:AG1476)=3,ISNUMBER(AG1476))),0,1)+IF(OR(COUNTA(AH1476:AJ1476)=0,AND(COUNTA(AH1476:AJ1476)=3,ISNUMBER(AJ1476))),0,1)+IF(OR(COUNTA(AK1476:AM1476)=0,AND(COUNTA(AK1476:AM1476)=3,ISNUMBER(AM1476))),0,1)+IF(OR(COUNTA(AN1476:AP1476)=0,AND(COUNTA(AN1476:AP1476)=3,ISNUMBER(AP1476))),0,1)+IF(OR(COUNTA(AQ1476:AS1476)=0,AND(COUNTA(AQ1476:AS1476)=3,ISNUMBER(AS1476))),0,1)+IF(OR(COUNTA(AT1476:AV1476)=0,AND(COUNTA(AT1476:AV1476)=3,ISNUMBER(AV1476))),0,1)+IF(OR(COUNTA(AW1476:AY1476)=0,AND(COUNTA(AW1476:AY1476)=3,ISNUMBER(AY1476))),0,1)+IF(OR(COUNTA(AZ1476:BB1476)=0,AND(COUNTA(AZ1476:BB1476)=3,ISNUMBER(BB1476))),0,1))&gt;0,"; An invoice is incomplete (needs No, Date and a number in Ex GST)","")&amp;IF((IF(T1476="",0,IFERROR(--(EOMONTH(T1476,0)&lt;&gt;S$5),1))+IF(W1476="",0,IFERROR(--(EOMONTH(W1476,0)&lt;&gt;V$5),1))+IF(Z1476="",0,IFERROR(--(EOMONTH(Z1476,0)&lt;&gt;Y$5),1))+IF(AC1476="",0,IFERROR(--(EOMONTH(AC1476,0)&lt;&gt;AB$5),1))+IF(AF1476="",0,IFERROR(--(EOMONTH(AF1476,0)&lt;&gt;AE$5),1))+IF(AI1476="",0,IFERROR(--(EOMONTH(AI1476,0)&lt;&gt;AH$5),1))+IF(AL1476="",0,IFERROR(--(EOMONTH(AL1476,0)&lt;&gt;AK$5),1))+IF(AO1476="",0,IFERROR(--(EOMONTH(AO1476,0)&lt;&gt;AN$5),1))+IF(AR1476="",0,IFERROR(--(EOMONTH(AR1476,0)&lt;&gt;AQ$5),1))+IF(AU1476="",0,IFERROR(--(EOMONTH(AU1476,0)&lt;&gt;AT$5),1))+IF(AX1476="",0,IFERROR(--(EOMONTH(AX1476,0)&lt;&gt;AW$5),1))+IF(BA1476="",0,IFERROR(--(EOMONTH(BA1476,0)&lt;&gt;AZ$5),1)))&gt;0,"; An invoice date is not in the month it is typed under",""),3,500))</f>
        <v/>
      </c>
      <c r="S1476" s="12" t="n"/>
      <c r="T1476" s="13" t="n"/>
      <c r="U1476" s="14" t="n"/>
      <c r="V1476" s="12" t="n"/>
      <c r="W1476" s="13" t="n"/>
      <c r="X1476" s="14" t="n"/>
      <c r="Y1476" s="12" t="n"/>
      <c r="Z1476" s="13" t="n"/>
      <c r="AA1476" s="14" t="n"/>
      <c r="AB1476" s="12" t="n"/>
      <c r="AC1476" s="13" t="n"/>
      <c r="AD1476" s="14" t="n"/>
      <c r="AE1476" s="12" t="n"/>
      <c r="AF1476" s="13" t="n"/>
      <c r="AG1476" s="14" t="n"/>
      <c r="AH1476" s="12" t="n"/>
      <c r="AI1476" s="13" t="n"/>
      <c r="AJ1476" s="14" t="n"/>
      <c r="AK1476" s="12" t="n"/>
      <c r="AL1476" s="13" t="n"/>
      <c r="AM1476" s="14" t="n"/>
      <c r="AN1476" s="12" t="n"/>
      <c r="AO1476" s="13" t="n"/>
      <c r="AP1476" s="14" t="n"/>
      <c r="AQ1476" s="12" t="n"/>
      <c r="AR1476" s="13" t="n"/>
      <c r="AS1476" s="14" t="n"/>
      <c r="AT1476" s="12" t="n"/>
      <c r="AU1476" s="13" t="n"/>
      <c r="AV1476" s="14" t="n"/>
      <c r="AW1476" s="12" t="n"/>
      <c r="AX1476" s="13" t="n"/>
      <c r="AY1476" s="14" t="n"/>
      <c r="AZ1476" s="12" t="n"/>
      <c r="BA1476" s="13" t="n"/>
      <c r="BB1476" s="14" t="n"/>
      <c r="BC1476" s="11">
        <f>IF(O1476="","",IF(J1476="GST 10%",ROUND(O1476*set_GSTRate,2),0))</f>
        <v/>
      </c>
      <c r="BD1476" s="11">
        <f>IF(O1476="","",O1476+BC1476)</f>
        <v/>
      </c>
      <c r="BE1476" s="15">
        <f>IF(O1476="","",COUNTA(S1476,V1476,Y1476,AB1476,AE1476,AH1476,AK1476,AN1476,AQ1476,AT1476,AW1476,AZ1476))</f>
        <v/>
      </c>
      <c r="BF1476" s="16">
        <f>IF(COUNT(T1476,W1476,Z1476,AC1476,AF1476,AI1476,AL1476,AO1476,AR1476,AU1476,AX1476,BA1476)=0,"",MAX(T1476,W1476,Z1476,AC1476,AF1476,AI1476,AL1476,AO1476,AR1476,AU1476,AX1476,BA1476))</f>
        <v/>
      </c>
      <c r="BG1476" s="10">
        <f>MID(IF(S1476="","",", "&amp;S1476)&amp;IF(V1476="","",", "&amp;V1476)&amp;IF(Y1476="","",", "&amp;Y1476)&amp;IF(AB1476="","",", "&amp;AB1476)&amp;IF(AE1476="","",", "&amp;AE1476)&amp;IF(AH1476="","",", "&amp;AH1476)&amp;IF(AK1476="","",", "&amp;AK1476)&amp;IF(AN1476="","",", "&amp;AN1476)&amp;IF(AQ1476="","",", "&amp;AQ1476)&amp;IF(AT1476="","",", "&amp;AT1476)&amp;IF(AW1476="","",", "&amp;AW1476)&amp;IF(AZ1476="","",", "&amp;AZ1476),3,500)</f>
        <v/>
      </c>
      <c r="BH1476" s="12" t="n"/>
      <c r="BI1476" s="15">
        <f>IFERROR(MATCH($A1476,IF($B1476="Onsite",tbl_Onsite[Row ID],IF($B1476="Production",tbl_Production[Row ID],tbl_Consulting[Row ID])),0),"")</f>
        <v/>
      </c>
    </row>
    <row r="1477">
      <c r="A1477" s="10" t="inlineStr">
        <is>
          <t>CON-0471</t>
        </is>
      </c>
      <c r="B1477" s="10" t="inlineStr">
        <is>
          <t>Consulting</t>
        </is>
      </c>
      <c r="C1477" s="10">
        <f>IF($BI1477="","",IF($B1477="Onsite",INDEX(tbl_Onsite[Job Number],$BI1477),IF($B1477="Production",INDEX(tbl_Production[Job Number],$BI1477),INDEX(tbl_Consulting[Job Number],$BI1477)))&amp;"")</f>
        <v/>
      </c>
      <c r="D1477" s="10">
        <f>IF($BI1477="","",IF($B1477="Onsite",INDEX(tbl_Onsite[Client],$BI1477),IF($B1477="Production",INDEX(tbl_Production[Client],$BI1477),INDEX(tbl_Consulting[Client],$BI1477)))&amp;"")</f>
        <v/>
      </c>
      <c r="E1477" s="10">
        <f>IF($C1477="","",IF(COUNTIF(lst_Jobs,$C1477)&gt;0,"OK","CHECK"))</f>
        <v/>
      </c>
      <c r="F1477" s="10">
        <f>IF($C1477="","",IFERROR(INDEX(lst_JobName,MATCH($C1477,lst_Jobs,0)),""))</f>
        <v/>
      </c>
      <c r="G1477" s="10">
        <f>IF($BI1477="","",IF($B1477="Onsite",INDEX(tbl_Onsite[Job Description],$BI1477),IF($B1477="Production",INDEX(tbl_Production[Job Description],$BI1477),INDEX(tbl_Consulting[Job Description],$BI1477)))&amp;"")</f>
        <v/>
      </c>
      <c r="H1477" s="10">
        <f>IF($BI1477="","",IF($B1477="Onsite",INDEX(tbl_Onsite[Cost Centre],$BI1477),IF($B1477="Production",INDEX(tbl_Production[Cost Centre],$BI1477),INDEX(tbl_Consulting[Cost Centre],$BI1477)))&amp;"")</f>
        <v/>
      </c>
      <c r="I1477" s="10">
        <f>IF($BI1477="","",IF($B1477="Onsite",INDEX(tbl_Onsite[Invoice Type],$BI1477),IF($B1477="Production",INDEX(tbl_Production[Invoice Type],$BI1477),INDEX(tbl_Consulting[Invoice Type],$BI1477)))&amp;"")</f>
        <v/>
      </c>
      <c r="J1477" s="10">
        <f>IF($BI1477="","",IF($B1477="Onsite",INDEX(tbl_Onsite[Tax Code],$BI1477),IF($B1477="Production",INDEX(tbl_Production[Tax Code],$BI1477),INDEX(tbl_Consulting[Tax Code],$BI1477)))&amp;"")</f>
        <v/>
      </c>
      <c r="K1477" s="10">
        <f>IF(H1477="","",IFERROR(INDEX(lst_CCtoGL,MATCH(H1477,lst_CCforGL,0)),""))</f>
        <v/>
      </c>
      <c r="L1477" s="10">
        <f>IF($BI1477="","",IF($B1477="Onsite",INDEX(tbl_Onsite[PO / Reference],$BI1477),IF($B1477="Production",INDEX(tbl_Production[Current RMS No],$BI1477),INDEX(tbl_Consulting[Qwilr Quote],$BI1477)))&amp;"")</f>
        <v/>
      </c>
      <c r="M1477" s="10">
        <f>IF($BI1477="","",IF($B1477="Onsite",INDEX(tbl_Onsite[Notes],$BI1477),IF($B1477="Production",INDEX(tbl_Production[Notes],$BI1477),INDEX(tbl_Consulting[Notes],$BI1477)))&amp;"")</f>
        <v/>
      </c>
      <c r="N1477" s="11">
        <f>IF($BI1477="","",IF(IF($B1477="Onsite",INDEX(tbl_Onsite[Expected Revenue Ex GST],$BI1477),IF($B1477="Production",INDEX(tbl_Production[Expected Revenue Ex GST],$BI1477),INDEX(tbl_Consulting[Expected Revenue Ex GST],$BI1477)))="","",IF($B1477="Onsite",INDEX(tbl_Onsite[Expected Revenue Ex GST],$BI1477),IF($B1477="Production",INDEX(tbl_Production[Expected Revenue Ex GST],$BI1477),INDEX(tbl_Consulting[Expected Revenue Ex GST],$BI1477)))))</f>
        <v/>
      </c>
      <c r="O1477" s="11">
        <f>IF(AND($C1477="",NOT(COUNTA($S1477:$BB1477)&gt;0)),"",SUM(U1477,X1477,AA1477,AD1477,AG1477,AJ1477,AM1477,AP1477,AS1477,AV1477,AY1477,BB1477))</f>
        <v/>
      </c>
      <c r="P1477" s="11">
        <f>IF(O1477="","",N(N1477)-O1477)</f>
        <v/>
      </c>
      <c r="Q1477" s="10">
        <f>IF(O1477="","",IF($C1477="","Invoice on empty job row",IF(N1477="",IF(ROUND(O1477,2)=0,"No dept value","Invoiced - no dept value"),IF(ROUND(O1477,2)=0,"Not invoiced - to invoice",IF(ROUND(P1477,2)=0,"Agrees",IF(P1477&gt;0,"Dept higher - to invoice","Xero higher - check dept"))))))</f>
        <v/>
      </c>
      <c r="R1477" s="10">
        <f>IF(AND($C1477="",NOT(COUNTA($S1477:$BB1477)&gt;0),$BI1477&lt;&gt;""),"",MID(IF($BI1477="","; Row ID not found on the department sheet - a row was deleted","")&amp;IF(AND($C1477="",COUNTA($S1477:$BB1477)&gt;0),"; Invoice entered but the department row has no job number","")&amp;IF(E1477="CHECK","; Job number not in the Xero job list","")&amp;IF(AND($C1477&lt;&gt;"",COUNTIF($C$7:$C$1506,$C1477)&gt;1),"; Job number on more than one row","")&amp;IF(AND($C1477&lt;&gt;"",H1477=""),"; Dept has not set a cost centre","")&amp;IF(AND($C1477&lt;&gt;"",J1477=""),"; Dept has not set a tax code","")&amp;IF(AND($C1477&lt;&gt;"",N1477=""),"; Dept has not entered an expected value","")&amp;IF((IF(OR(COUNTA(S1477:U1477)=0,AND(COUNTA(S1477:U1477)=3,ISNUMBER(U1477))),0,1)+IF(OR(COUNTA(V1477:X1477)=0,AND(COUNTA(V1477:X1477)=3,ISNUMBER(X1477))),0,1)+IF(OR(COUNTA(Y1477:AA1477)=0,AND(COUNTA(Y1477:AA1477)=3,ISNUMBER(AA1477))),0,1)+IF(OR(COUNTA(AB1477:AD1477)=0,AND(COUNTA(AB1477:AD1477)=3,ISNUMBER(AD1477))),0,1)+IF(OR(COUNTA(AE1477:AG1477)=0,AND(COUNTA(AE1477:AG1477)=3,ISNUMBER(AG1477))),0,1)+IF(OR(COUNTA(AH1477:AJ1477)=0,AND(COUNTA(AH1477:AJ1477)=3,ISNUMBER(AJ1477))),0,1)+IF(OR(COUNTA(AK1477:AM1477)=0,AND(COUNTA(AK1477:AM1477)=3,ISNUMBER(AM1477))),0,1)+IF(OR(COUNTA(AN1477:AP1477)=0,AND(COUNTA(AN1477:AP1477)=3,ISNUMBER(AP1477))),0,1)+IF(OR(COUNTA(AQ1477:AS1477)=0,AND(COUNTA(AQ1477:AS1477)=3,ISNUMBER(AS1477))),0,1)+IF(OR(COUNTA(AT1477:AV1477)=0,AND(COUNTA(AT1477:AV1477)=3,ISNUMBER(AV1477))),0,1)+IF(OR(COUNTA(AW1477:AY1477)=0,AND(COUNTA(AW1477:AY1477)=3,ISNUMBER(AY1477))),0,1)+IF(OR(COUNTA(AZ1477:BB1477)=0,AND(COUNTA(AZ1477:BB1477)=3,ISNUMBER(BB1477))),0,1))&gt;0,"; An invoice is incomplete (needs No, Date and a number in Ex GST)","")&amp;IF((IF(T1477="",0,IFERROR(--(EOMONTH(T1477,0)&lt;&gt;S$5),1))+IF(W1477="",0,IFERROR(--(EOMONTH(W1477,0)&lt;&gt;V$5),1))+IF(Z1477="",0,IFERROR(--(EOMONTH(Z1477,0)&lt;&gt;Y$5),1))+IF(AC1477="",0,IFERROR(--(EOMONTH(AC1477,0)&lt;&gt;AB$5),1))+IF(AF1477="",0,IFERROR(--(EOMONTH(AF1477,0)&lt;&gt;AE$5),1))+IF(AI1477="",0,IFERROR(--(EOMONTH(AI1477,0)&lt;&gt;AH$5),1))+IF(AL1477="",0,IFERROR(--(EOMONTH(AL1477,0)&lt;&gt;AK$5),1))+IF(AO1477="",0,IFERROR(--(EOMONTH(AO1477,0)&lt;&gt;AN$5),1))+IF(AR1477="",0,IFERROR(--(EOMONTH(AR1477,0)&lt;&gt;AQ$5),1))+IF(AU1477="",0,IFERROR(--(EOMONTH(AU1477,0)&lt;&gt;AT$5),1))+IF(AX1477="",0,IFERROR(--(EOMONTH(AX1477,0)&lt;&gt;AW$5),1))+IF(BA1477="",0,IFERROR(--(EOMONTH(BA1477,0)&lt;&gt;AZ$5),1)))&gt;0,"; An invoice date is not in the month it is typed under",""),3,500))</f>
        <v/>
      </c>
      <c r="S1477" s="12" t="n"/>
      <c r="T1477" s="13" t="n"/>
      <c r="U1477" s="14" t="n"/>
      <c r="V1477" s="12" t="n"/>
      <c r="W1477" s="13" t="n"/>
      <c r="X1477" s="14" t="n"/>
      <c r="Y1477" s="12" t="n"/>
      <c r="Z1477" s="13" t="n"/>
      <c r="AA1477" s="14" t="n"/>
      <c r="AB1477" s="12" t="n"/>
      <c r="AC1477" s="13" t="n"/>
      <c r="AD1477" s="14" t="n"/>
      <c r="AE1477" s="12" t="n"/>
      <c r="AF1477" s="13" t="n"/>
      <c r="AG1477" s="14" t="n"/>
      <c r="AH1477" s="12" t="n"/>
      <c r="AI1477" s="13" t="n"/>
      <c r="AJ1477" s="14" t="n"/>
      <c r="AK1477" s="12" t="n"/>
      <c r="AL1477" s="13" t="n"/>
      <c r="AM1477" s="14" t="n"/>
      <c r="AN1477" s="12" t="n"/>
      <c r="AO1477" s="13" t="n"/>
      <c r="AP1477" s="14" t="n"/>
      <c r="AQ1477" s="12" t="n"/>
      <c r="AR1477" s="13" t="n"/>
      <c r="AS1477" s="14" t="n"/>
      <c r="AT1477" s="12" t="n"/>
      <c r="AU1477" s="13" t="n"/>
      <c r="AV1477" s="14" t="n"/>
      <c r="AW1477" s="12" t="n"/>
      <c r="AX1477" s="13" t="n"/>
      <c r="AY1477" s="14" t="n"/>
      <c r="AZ1477" s="12" t="n"/>
      <c r="BA1477" s="13" t="n"/>
      <c r="BB1477" s="14" t="n"/>
      <c r="BC1477" s="11">
        <f>IF(O1477="","",IF(J1477="GST 10%",ROUND(O1477*set_GSTRate,2),0))</f>
        <v/>
      </c>
      <c r="BD1477" s="11">
        <f>IF(O1477="","",O1477+BC1477)</f>
        <v/>
      </c>
      <c r="BE1477" s="15">
        <f>IF(O1477="","",COUNTA(S1477,V1477,Y1477,AB1477,AE1477,AH1477,AK1477,AN1477,AQ1477,AT1477,AW1477,AZ1477))</f>
        <v/>
      </c>
      <c r="BF1477" s="16">
        <f>IF(COUNT(T1477,W1477,Z1477,AC1477,AF1477,AI1477,AL1477,AO1477,AR1477,AU1477,AX1477,BA1477)=0,"",MAX(T1477,W1477,Z1477,AC1477,AF1477,AI1477,AL1477,AO1477,AR1477,AU1477,AX1477,BA1477))</f>
        <v/>
      </c>
      <c r="BG1477" s="10">
        <f>MID(IF(S1477="","",", "&amp;S1477)&amp;IF(V1477="","",", "&amp;V1477)&amp;IF(Y1477="","",", "&amp;Y1477)&amp;IF(AB1477="","",", "&amp;AB1477)&amp;IF(AE1477="","",", "&amp;AE1477)&amp;IF(AH1477="","",", "&amp;AH1477)&amp;IF(AK1477="","",", "&amp;AK1477)&amp;IF(AN1477="","",", "&amp;AN1477)&amp;IF(AQ1477="","",", "&amp;AQ1477)&amp;IF(AT1477="","",", "&amp;AT1477)&amp;IF(AW1477="","",", "&amp;AW1477)&amp;IF(AZ1477="","",", "&amp;AZ1477),3,500)</f>
        <v/>
      </c>
      <c r="BH1477" s="12" t="n"/>
      <c r="BI1477" s="15">
        <f>IFERROR(MATCH($A1477,IF($B1477="Onsite",tbl_Onsite[Row ID],IF($B1477="Production",tbl_Production[Row ID],tbl_Consulting[Row ID])),0),"")</f>
        <v/>
      </c>
    </row>
    <row r="1478">
      <c r="A1478" s="10" t="inlineStr">
        <is>
          <t>CON-0472</t>
        </is>
      </c>
      <c r="B1478" s="10" t="inlineStr">
        <is>
          <t>Consulting</t>
        </is>
      </c>
      <c r="C1478" s="10">
        <f>IF($BI1478="","",IF($B1478="Onsite",INDEX(tbl_Onsite[Job Number],$BI1478),IF($B1478="Production",INDEX(tbl_Production[Job Number],$BI1478),INDEX(tbl_Consulting[Job Number],$BI1478)))&amp;"")</f>
        <v/>
      </c>
      <c r="D1478" s="10">
        <f>IF($BI1478="","",IF($B1478="Onsite",INDEX(tbl_Onsite[Client],$BI1478),IF($B1478="Production",INDEX(tbl_Production[Client],$BI1478),INDEX(tbl_Consulting[Client],$BI1478)))&amp;"")</f>
        <v/>
      </c>
      <c r="E1478" s="10">
        <f>IF($C1478="","",IF(COUNTIF(lst_Jobs,$C1478)&gt;0,"OK","CHECK"))</f>
        <v/>
      </c>
      <c r="F1478" s="10">
        <f>IF($C1478="","",IFERROR(INDEX(lst_JobName,MATCH($C1478,lst_Jobs,0)),""))</f>
        <v/>
      </c>
      <c r="G1478" s="10">
        <f>IF($BI1478="","",IF($B1478="Onsite",INDEX(tbl_Onsite[Job Description],$BI1478),IF($B1478="Production",INDEX(tbl_Production[Job Description],$BI1478),INDEX(tbl_Consulting[Job Description],$BI1478)))&amp;"")</f>
        <v/>
      </c>
      <c r="H1478" s="10">
        <f>IF($BI1478="","",IF($B1478="Onsite",INDEX(tbl_Onsite[Cost Centre],$BI1478),IF($B1478="Production",INDEX(tbl_Production[Cost Centre],$BI1478),INDEX(tbl_Consulting[Cost Centre],$BI1478)))&amp;"")</f>
        <v/>
      </c>
      <c r="I1478" s="10">
        <f>IF($BI1478="","",IF($B1478="Onsite",INDEX(tbl_Onsite[Invoice Type],$BI1478),IF($B1478="Production",INDEX(tbl_Production[Invoice Type],$BI1478),INDEX(tbl_Consulting[Invoice Type],$BI1478)))&amp;"")</f>
        <v/>
      </c>
      <c r="J1478" s="10">
        <f>IF($BI1478="","",IF($B1478="Onsite",INDEX(tbl_Onsite[Tax Code],$BI1478),IF($B1478="Production",INDEX(tbl_Production[Tax Code],$BI1478),INDEX(tbl_Consulting[Tax Code],$BI1478)))&amp;"")</f>
        <v/>
      </c>
      <c r="K1478" s="10">
        <f>IF(H1478="","",IFERROR(INDEX(lst_CCtoGL,MATCH(H1478,lst_CCforGL,0)),""))</f>
        <v/>
      </c>
      <c r="L1478" s="10">
        <f>IF($BI1478="","",IF($B1478="Onsite",INDEX(tbl_Onsite[PO / Reference],$BI1478),IF($B1478="Production",INDEX(tbl_Production[Current RMS No],$BI1478),INDEX(tbl_Consulting[Qwilr Quote],$BI1478)))&amp;"")</f>
        <v/>
      </c>
      <c r="M1478" s="10">
        <f>IF($BI1478="","",IF($B1478="Onsite",INDEX(tbl_Onsite[Notes],$BI1478),IF($B1478="Production",INDEX(tbl_Production[Notes],$BI1478),INDEX(tbl_Consulting[Notes],$BI1478)))&amp;"")</f>
        <v/>
      </c>
      <c r="N1478" s="11">
        <f>IF($BI1478="","",IF(IF($B1478="Onsite",INDEX(tbl_Onsite[Expected Revenue Ex GST],$BI1478),IF($B1478="Production",INDEX(tbl_Production[Expected Revenue Ex GST],$BI1478),INDEX(tbl_Consulting[Expected Revenue Ex GST],$BI1478)))="","",IF($B1478="Onsite",INDEX(tbl_Onsite[Expected Revenue Ex GST],$BI1478),IF($B1478="Production",INDEX(tbl_Production[Expected Revenue Ex GST],$BI1478),INDEX(tbl_Consulting[Expected Revenue Ex GST],$BI1478)))))</f>
        <v/>
      </c>
      <c r="O1478" s="11">
        <f>IF(AND($C1478="",NOT(COUNTA($S1478:$BB1478)&gt;0)),"",SUM(U1478,X1478,AA1478,AD1478,AG1478,AJ1478,AM1478,AP1478,AS1478,AV1478,AY1478,BB1478))</f>
        <v/>
      </c>
      <c r="P1478" s="11">
        <f>IF(O1478="","",N(N1478)-O1478)</f>
        <v/>
      </c>
      <c r="Q1478" s="10">
        <f>IF(O1478="","",IF($C1478="","Invoice on empty job row",IF(N1478="",IF(ROUND(O1478,2)=0,"No dept value","Invoiced - no dept value"),IF(ROUND(O1478,2)=0,"Not invoiced - to invoice",IF(ROUND(P1478,2)=0,"Agrees",IF(P1478&gt;0,"Dept higher - to invoice","Xero higher - check dept"))))))</f>
        <v/>
      </c>
      <c r="R1478" s="10">
        <f>IF(AND($C1478="",NOT(COUNTA($S1478:$BB1478)&gt;0),$BI1478&lt;&gt;""),"",MID(IF($BI1478="","; Row ID not found on the department sheet - a row was deleted","")&amp;IF(AND($C1478="",COUNTA($S1478:$BB1478)&gt;0),"; Invoice entered but the department row has no job number","")&amp;IF(E1478="CHECK","; Job number not in the Xero job list","")&amp;IF(AND($C1478&lt;&gt;"",COUNTIF($C$7:$C$1506,$C1478)&gt;1),"; Job number on more than one row","")&amp;IF(AND($C1478&lt;&gt;"",H1478=""),"; Dept has not set a cost centre","")&amp;IF(AND($C1478&lt;&gt;"",J1478=""),"; Dept has not set a tax code","")&amp;IF(AND($C1478&lt;&gt;"",N1478=""),"; Dept has not entered an expected value","")&amp;IF((IF(OR(COUNTA(S1478:U1478)=0,AND(COUNTA(S1478:U1478)=3,ISNUMBER(U1478))),0,1)+IF(OR(COUNTA(V1478:X1478)=0,AND(COUNTA(V1478:X1478)=3,ISNUMBER(X1478))),0,1)+IF(OR(COUNTA(Y1478:AA1478)=0,AND(COUNTA(Y1478:AA1478)=3,ISNUMBER(AA1478))),0,1)+IF(OR(COUNTA(AB1478:AD1478)=0,AND(COUNTA(AB1478:AD1478)=3,ISNUMBER(AD1478))),0,1)+IF(OR(COUNTA(AE1478:AG1478)=0,AND(COUNTA(AE1478:AG1478)=3,ISNUMBER(AG1478))),0,1)+IF(OR(COUNTA(AH1478:AJ1478)=0,AND(COUNTA(AH1478:AJ1478)=3,ISNUMBER(AJ1478))),0,1)+IF(OR(COUNTA(AK1478:AM1478)=0,AND(COUNTA(AK1478:AM1478)=3,ISNUMBER(AM1478))),0,1)+IF(OR(COUNTA(AN1478:AP1478)=0,AND(COUNTA(AN1478:AP1478)=3,ISNUMBER(AP1478))),0,1)+IF(OR(COUNTA(AQ1478:AS1478)=0,AND(COUNTA(AQ1478:AS1478)=3,ISNUMBER(AS1478))),0,1)+IF(OR(COUNTA(AT1478:AV1478)=0,AND(COUNTA(AT1478:AV1478)=3,ISNUMBER(AV1478))),0,1)+IF(OR(COUNTA(AW1478:AY1478)=0,AND(COUNTA(AW1478:AY1478)=3,ISNUMBER(AY1478))),0,1)+IF(OR(COUNTA(AZ1478:BB1478)=0,AND(COUNTA(AZ1478:BB1478)=3,ISNUMBER(BB1478))),0,1))&gt;0,"; An invoice is incomplete (needs No, Date and a number in Ex GST)","")&amp;IF((IF(T1478="",0,IFERROR(--(EOMONTH(T1478,0)&lt;&gt;S$5),1))+IF(W1478="",0,IFERROR(--(EOMONTH(W1478,0)&lt;&gt;V$5),1))+IF(Z1478="",0,IFERROR(--(EOMONTH(Z1478,0)&lt;&gt;Y$5),1))+IF(AC1478="",0,IFERROR(--(EOMONTH(AC1478,0)&lt;&gt;AB$5),1))+IF(AF1478="",0,IFERROR(--(EOMONTH(AF1478,0)&lt;&gt;AE$5),1))+IF(AI1478="",0,IFERROR(--(EOMONTH(AI1478,0)&lt;&gt;AH$5),1))+IF(AL1478="",0,IFERROR(--(EOMONTH(AL1478,0)&lt;&gt;AK$5),1))+IF(AO1478="",0,IFERROR(--(EOMONTH(AO1478,0)&lt;&gt;AN$5),1))+IF(AR1478="",0,IFERROR(--(EOMONTH(AR1478,0)&lt;&gt;AQ$5),1))+IF(AU1478="",0,IFERROR(--(EOMONTH(AU1478,0)&lt;&gt;AT$5),1))+IF(AX1478="",0,IFERROR(--(EOMONTH(AX1478,0)&lt;&gt;AW$5),1))+IF(BA1478="",0,IFERROR(--(EOMONTH(BA1478,0)&lt;&gt;AZ$5),1)))&gt;0,"; An invoice date is not in the month it is typed under",""),3,500))</f>
        <v/>
      </c>
      <c r="S1478" s="12" t="n"/>
      <c r="T1478" s="13" t="n"/>
      <c r="U1478" s="14" t="n"/>
      <c r="V1478" s="12" t="n"/>
      <c r="W1478" s="13" t="n"/>
      <c r="X1478" s="14" t="n"/>
      <c r="Y1478" s="12" t="n"/>
      <c r="Z1478" s="13" t="n"/>
      <c r="AA1478" s="14" t="n"/>
      <c r="AB1478" s="12" t="n"/>
      <c r="AC1478" s="13" t="n"/>
      <c r="AD1478" s="14" t="n"/>
      <c r="AE1478" s="12" t="n"/>
      <c r="AF1478" s="13" t="n"/>
      <c r="AG1478" s="14" t="n"/>
      <c r="AH1478" s="12" t="n"/>
      <c r="AI1478" s="13" t="n"/>
      <c r="AJ1478" s="14" t="n"/>
      <c r="AK1478" s="12" t="n"/>
      <c r="AL1478" s="13" t="n"/>
      <c r="AM1478" s="14" t="n"/>
      <c r="AN1478" s="12" t="n"/>
      <c r="AO1478" s="13" t="n"/>
      <c r="AP1478" s="14" t="n"/>
      <c r="AQ1478" s="12" t="n"/>
      <c r="AR1478" s="13" t="n"/>
      <c r="AS1478" s="14" t="n"/>
      <c r="AT1478" s="12" t="n"/>
      <c r="AU1478" s="13" t="n"/>
      <c r="AV1478" s="14" t="n"/>
      <c r="AW1478" s="12" t="n"/>
      <c r="AX1478" s="13" t="n"/>
      <c r="AY1478" s="14" t="n"/>
      <c r="AZ1478" s="12" t="n"/>
      <c r="BA1478" s="13" t="n"/>
      <c r="BB1478" s="14" t="n"/>
      <c r="BC1478" s="11">
        <f>IF(O1478="","",IF(J1478="GST 10%",ROUND(O1478*set_GSTRate,2),0))</f>
        <v/>
      </c>
      <c r="BD1478" s="11">
        <f>IF(O1478="","",O1478+BC1478)</f>
        <v/>
      </c>
      <c r="BE1478" s="15">
        <f>IF(O1478="","",COUNTA(S1478,V1478,Y1478,AB1478,AE1478,AH1478,AK1478,AN1478,AQ1478,AT1478,AW1478,AZ1478))</f>
        <v/>
      </c>
      <c r="BF1478" s="16">
        <f>IF(COUNT(T1478,W1478,Z1478,AC1478,AF1478,AI1478,AL1478,AO1478,AR1478,AU1478,AX1478,BA1478)=0,"",MAX(T1478,W1478,Z1478,AC1478,AF1478,AI1478,AL1478,AO1478,AR1478,AU1478,AX1478,BA1478))</f>
        <v/>
      </c>
      <c r="BG1478" s="10">
        <f>MID(IF(S1478="","",", "&amp;S1478)&amp;IF(V1478="","",", "&amp;V1478)&amp;IF(Y1478="","",", "&amp;Y1478)&amp;IF(AB1478="","",", "&amp;AB1478)&amp;IF(AE1478="","",", "&amp;AE1478)&amp;IF(AH1478="","",", "&amp;AH1478)&amp;IF(AK1478="","",", "&amp;AK1478)&amp;IF(AN1478="","",", "&amp;AN1478)&amp;IF(AQ1478="","",", "&amp;AQ1478)&amp;IF(AT1478="","",", "&amp;AT1478)&amp;IF(AW1478="","",", "&amp;AW1478)&amp;IF(AZ1478="","",", "&amp;AZ1478),3,500)</f>
        <v/>
      </c>
      <c r="BH1478" s="12" t="n"/>
      <c r="BI1478" s="15">
        <f>IFERROR(MATCH($A1478,IF($B1478="Onsite",tbl_Onsite[Row ID],IF($B1478="Production",tbl_Production[Row ID],tbl_Consulting[Row ID])),0),"")</f>
        <v/>
      </c>
    </row>
    <row r="1479">
      <c r="A1479" s="10" t="inlineStr">
        <is>
          <t>CON-0473</t>
        </is>
      </c>
      <c r="B1479" s="10" t="inlineStr">
        <is>
          <t>Consulting</t>
        </is>
      </c>
      <c r="C1479" s="10">
        <f>IF($BI1479="","",IF($B1479="Onsite",INDEX(tbl_Onsite[Job Number],$BI1479),IF($B1479="Production",INDEX(tbl_Production[Job Number],$BI1479),INDEX(tbl_Consulting[Job Number],$BI1479)))&amp;"")</f>
        <v/>
      </c>
      <c r="D1479" s="10">
        <f>IF($BI1479="","",IF($B1479="Onsite",INDEX(tbl_Onsite[Client],$BI1479),IF($B1479="Production",INDEX(tbl_Production[Client],$BI1479),INDEX(tbl_Consulting[Client],$BI1479)))&amp;"")</f>
        <v/>
      </c>
      <c r="E1479" s="10">
        <f>IF($C1479="","",IF(COUNTIF(lst_Jobs,$C1479)&gt;0,"OK","CHECK"))</f>
        <v/>
      </c>
      <c r="F1479" s="10">
        <f>IF($C1479="","",IFERROR(INDEX(lst_JobName,MATCH($C1479,lst_Jobs,0)),""))</f>
        <v/>
      </c>
      <c r="G1479" s="10">
        <f>IF($BI1479="","",IF($B1479="Onsite",INDEX(tbl_Onsite[Job Description],$BI1479),IF($B1479="Production",INDEX(tbl_Production[Job Description],$BI1479),INDEX(tbl_Consulting[Job Description],$BI1479)))&amp;"")</f>
        <v/>
      </c>
      <c r="H1479" s="10">
        <f>IF($BI1479="","",IF($B1479="Onsite",INDEX(tbl_Onsite[Cost Centre],$BI1479),IF($B1479="Production",INDEX(tbl_Production[Cost Centre],$BI1479),INDEX(tbl_Consulting[Cost Centre],$BI1479)))&amp;"")</f>
        <v/>
      </c>
      <c r="I1479" s="10">
        <f>IF($BI1479="","",IF($B1479="Onsite",INDEX(tbl_Onsite[Invoice Type],$BI1479),IF($B1479="Production",INDEX(tbl_Production[Invoice Type],$BI1479),INDEX(tbl_Consulting[Invoice Type],$BI1479)))&amp;"")</f>
        <v/>
      </c>
      <c r="J1479" s="10">
        <f>IF($BI1479="","",IF($B1479="Onsite",INDEX(tbl_Onsite[Tax Code],$BI1479),IF($B1479="Production",INDEX(tbl_Production[Tax Code],$BI1479),INDEX(tbl_Consulting[Tax Code],$BI1479)))&amp;"")</f>
        <v/>
      </c>
      <c r="K1479" s="10">
        <f>IF(H1479="","",IFERROR(INDEX(lst_CCtoGL,MATCH(H1479,lst_CCforGL,0)),""))</f>
        <v/>
      </c>
      <c r="L1479" s="10">
        <f>IF($BI1479="","",IF($B1479="Onsite",INDEX(tbl_Onsite[PO / Reference],$BI1479),IF($B1479="Production",INDEX(tbl_Production[Current RMS No],$BI1479),INDEX(tbl_Consulting[Qwilr Quote],$BI1479)))&amp;"")</f>
        <v/>
      </c>
      <c r="M1479" s="10">
        <f>IF($BI1479="","",IF($B1479="Onsite",INDEX(tbl_Onsite[Notes],$BI1479),IF($B1479="Production",INDEX(tbl_Production[Notes],$BI1479),INDEX(tbl_Consulting[Notes],$BI1479)))&amp;"")</f>
        <v/>
      </c>
      <c r="N1479" s="11">
        <f>IF($BI1479="","",IF(IF($B1479="Onsite",INDEX(tbl_Onsite[Expected Revenue Ex GST],$BI1479),IF($B1479="Production",INDEX(tbl_Production[Expected Revenue Ex GST],$BI1479),INDEX(tbl_Consulting[Expected Revenue Ex GST],$BI1479)))="","",IF($B1479="Onsite",INDEX(tbl_Onsite[Expected Revenue Ex GST],$BI1479),IF($B1479="Production",INDEX(tbl_Production[Expected Revenue Ex GST],$BI1479),INDEX(tbl_Consulting[Expected Revenue Ex GST],$BI1479)))))</f>
        <v/>
      </c>
      <c r="O1479" s="11">
        <f>IF(AND($C1479="",NOT(COUNTA($S1479:$BB1479)&gt;0)),"",SUM(U1479,X1479,AA1479,AD1479,AG1479,AJ1479,AM1479,AP1479,AS1479,AV1479,AY1479,BB1479))</f>
        <v/>
      </c>
      <c r="P1479" s="11">
        <f>IF(O1479="","",N(N1479)-O1479)</f>
        <v/>
      </c>
      <c r="Q1479" s="10">
        <f>IF(O1479="","",IF($C1479="","Invoice on empty job row",IF(N1479="",IF(ROUND(O1479,2)=0,"No dept value","Invoiced - no dept value"),IF(ROUND(O1479,2)=0,"Not invoiced - to invoice",IF(ROUND(P1479,2)=0,"Agrees",IF(P1479&gt;0,"Dept higher - to invoice","Xero higher - check dept"))))))</f>
        <v/>
      </c>
      <c r="R1479" s="10">
        <f>IF(AND($C1479="",NOT(COUNTA($S1479:$BB1479)&gt;0),$BI1479&lt;&gt;""),"",MID(IF($BI1479="","; Row ID not found on the department sheet - a row was deleted","")&amp;IF(AND($C1479="",COUNTA($S1479:$BB1479)&gt;0),"; Invoice entered but the department row has no job number","")&amp;IF(E1479="CHECK","; Job number not in the Xero job list","")&amp;IF(AND($C1479&lt;&gt;"",COUNTIF($C$7:$C$1506,$C1479)&gt;1),"; Job number on more than one row","")&amp;IF(AND($C1479&lt;&gt;"",H1479=""),"; Dept has not set a cost centre","")&amp;IF(AND($C1479&lt;&gt;"",J1479=""),"; Dept has not set a tax code","")&amp;IF(AND($C1479&lt;&gt;"",N1479=""),"; Dept has not entered an expected value","")&amp;IF((IF(OR(COUNTA(S1479:U1479)=0,AND(COUNTA(S1479:U1479)=3,ISNUMBER(U1479))),0,1)+IF(OR(COUNTA(V1479:X1479)=0,AND(COUNTA(V1479:X1479)=3,ISNUMBER(X1479))),0,1)+IF(OR(COUNTA(Y1479:AA1479)=0,AND(COUNTA(Y1479:AA1479)=3,ISNUMBER(AA1479))),0,1)+IF(OR(COUNTA(AB1479:AD1479)=0,AND(COUNTA(AB1479:AD1479)=3,ISNUMBER(AD1479))),0,1)+IF(OR(COUNTA(AE1479:AG1479)=0,AND(COUNTA(AE1479:AG1479)=3,ISNUMBER(AG1479))),0,1)+IF(OR(COUNTA(AH1479:AJ1479)=0,AND(COUNTA(AH1479:AJ1479)=3,ISNUMBER(AJ1479))),0,1)+IF(OR(COUNTA(AK1479:AM1479)=0,AND(COUNTA(AK1479:AM1479)=3,ISNUMBER(AM1479))),0,1)+IF(OR(COUNTA(AN1479:AP1479)=0,AND(COUNTA(AN1479:AP1479)=3,ISNUMBER(AP1479))),0,1)+IF(OR(COUNTA(AQ1479:AS1479)=0,AND(COUNTA(AQ1479:AS1479)=3,ISNUMBER(AS1479))),0,1)+IF(OR(COUNTA(AT1479:AV1479)=0,AND(COUNTA(AT1479:AV1479)=3,ISNUMBER(AV1479))),0,1)+IF(OR(COUNTA(AW1479:AY1479)=0,AND(COUNTA(AW1479:AY1479)=3,ISNUMBER(AY1479))),0,1)+IF(OR(COUNTA(AZ1479:BB1479)=0,AND(COUNTA(AZ1479:BB1479)=3,ISNUMBER(BB1479))),0,1))&gt;0,"; An invoice is incomplete (needs No, Date and a number in Ex GST)","")&amp;IF((IF(T1479="",0,IFERROR(--(EOMONTH(T1479,0)&lt;&gt;S$5),1))+IF(W1479="",0,IFERROR(--(EOMONTH(W1479,0)&lt;&gt;V$5),1))+IF(Z1479="",0,IFERROR(--(EOMONTH(Z1479,0)&lt;&gt;Y$5),1))+IF(AC1479="",0,IFERROR(--(EOMONTH(AC1479,0)&lt;&gt;AB$5),1))+IF(AF1479="",0,IFERROR(--(EOMONTH(AF1479,0)&lt;&gt;AE$5),1))+IF(AI1479="",0,IFERROR(--(EOMONTH(AI1479,0)&lt;&gt;AH$5),1))+IF(AL1479="",0,IFERROR(--(EOMONTH(AL1479,0)&lt;&gt;AK$5),1))+IF(AO1479="",0,IFERROR(--(EOMONTH(AO1479,0)&lt;&gt;AN$5),1))+IF(AR1479="",0,IFERROR(--(EOMONTH(AR1479,0)&lt;&gt;AQ$5),1))+IF(AU1479="",0,IFERROR(--(EOMONTH(AU1479,0)&lt;&gt;AT$5),1))+IF(AX1479="",0,IFERROR(--(EOMONTH(AX1479,0)&lt;&gt;AW$5),1))+IF(BA1479="",0,IFERROR(--(EOMONTH(BA1479,0)&lt;&gt;AZ$5),1)))&gt;0,"; An invoice date is not in the month it is typed under",""),3,500))</f>
        <v/>
      </c>
      <c r="S1479" s="12" t="n"/>
      <c r="T1479" s="13" t="n"/>
      <c r="U1479" s="14" t="n"/>
      <c r="V1479" s="12" t="n"/>
      <c r="W1479" s="13" t="n"/>
      <c r="X1479" s="14" t="n"/>
      <c r="Y1479" s="12" t="n"/>
      <c r="Z1479" s="13" t="n"/>
      <c r="AA1479" s="14" t="n"/>
      <c r="AB1479" s="12" t="n"/>
      <c r="AC1479" s="13" t="n"/>
      <c r="AD1479" s="14" t="n"/>
      <c r="AE1479" s="12" t="n"/>
      <c r="AF1479" s="13" t="n"/>
      <c r="AG1479" s="14" t="n"/>
      <c r="AH1479" s="12" t="n"/>
      <c r="AI1479" s="13" t="n"/>
      <c r="AJ1479" s="14" t="n"/>
      <c r="AK1479" s="12" t="n"/>
      <c r="AL1479" s="13" t="n"/>
      <c r="AM1479" s="14" t="n"/>
      <c r="AN1479" s="12" t="n"/>
      <c r="AO1479" s="13" t="n"/>
      <c r="AP1479" s="14" t="n"/>
      <c r="AQ1479" s="12" t="n"/>
      <c r="AR1479" s="13" t="n"/>
      <c r="AS1479" s="14" t="n"/>
      <c r="AT1479" s="12" t="n"/>
      <c r="AU1479" s="13" t="n"/>
      <c r="AV1479" s="14" t="n"/>
      <c r="AW1479" s="12" t="n"/>
      <c r="AX1479" s="13" t="n"/>
      <c r="AY1479" s="14" t="n"/>
      <c r="AZ1479" s="12" t="n"/>
      <c r="BA1479" s="13" t="n"/>
      <c r="BB1479" s="14" t="n"/>
      <c r="BC1479" s="11">
        <f>IF(O1479="","",IF(J1479="GST 10%",ROUND(O1479*set_GSTRate,2),0))</f>
        <v/>
      </c>
      <c r="BD1479" s="11">
        <f>IF(O1479="","",O1479+BC1479)</f>
        <v/>
      </c>
      <c r="BE1479" s="15">
        <f>IF(O1479="","",COUNTA(S1479,V1479,Y1479,AB1479,AE1479,AH1479,AK1479,AN1479,AQ1479,AT1479,AW1479,AZ1479))</f>
        <v/>
      </c>
      <c r="BF1479" s="16">
        <f>IF(COUNT(T1479,W1479,Z1479,AC1479,AF1479,AI1479,AL1479,AO1479,AR1479,AU1479,AX1479,BA1479)=0,"",MAX(T1479,W1479,Z1479,AC1479,AF1479,AI1479,AL1479,AO1479,AR1479,AU1479,AX1479,BA1479))</f>
        <v/>
      </c>
      <c r="BG1479" s="10">
        <f>MID(IF(S1479="","",", "&amp;S1479)&amp;IF(V1479="","",", "&amp;V1479)&amp;IF(Y1479="","",", "&amp;Y1479)&amp;IF(AB1479="","",", "&amp;AB1479)&amp;IF(AE1479="","",", "&amp;AE1479)&amp;IF(AH1479="","",", "&amp;AH1479)&amp;IF(AK1479="","",", "&amp;AK1479)&amp;IF(AN1479="","",", "&amp;AN1479)&amp;IF(AQ1479="","",", "&amp;AQ1479)&amp;IF(AT1479="","",", "&amp;AT1479)&amp;IF(AW1479="","",", "&amp;AW1479)&amp;IF(AZ1479="","",", "&amp;AZ1479),3,500)</f>
        <v/>
      </c>
      <c r="BH1479" s="12" t="n"/>
      <c r="BI1479" s="15">
        <f>IFERROR(MATCH($A1479,IF($B1479="Onsite",tbl_Onsite[Row ID],IF($B1479="Production",tbl_Production[Row ID],tbl_Consulting[Row ID])),0),"")</f>
        <v/>
      </c>
    </row>
    <row r="1480">
      <c r="A1480" s="10" t="inlineStr">
        <is>
          <t>CON-0474</t>
        </is>
      </c>
      <c r="B1480" s="10" t="inlineStr">
        <is>
          <t>Consulting</t>
        </is>
      </c>
      <c r="C1480" s="10">
        <f>IF($BI1480="","",IF($B1480="Onsite",INDEX(tbl_Onsite[Job Number],$BI1480),IF($B1480="Production",INDEX(tbl_Production[Job Number],$BI1480),INDEX(tbl_Consulting[Job Number],$BI1480)))&amp;"")</f>
        <v/>
      </c>
      <c r="D1480" s="10">
        <f>IF($BI1480="","",IF($B1480="Onsite",INDEX(tbl_Onsite[Client],$BI1480),IF($B1480="Production",INDEX(tbl_Production[Client],$BI1480),INDEX(tbl_Consulting[Client],$BI1480)))&amp;"")</f>
        <v/>
      </c>
      <c r="E1480" s="10">
        <f>IF($C1480="","",IF(COUNTIF(lst_Jobs,$C1480)&gt;0,"OK","CHECK"))</f>
        <v/>
      </c>
      <c r="F1480" s="10">
        <f>IF($C1480="","",IFERROR(INDEX(lst_JobName,MATCH($C1480,lst_Jobs,0)),""))</f>
        <v/>
      </c>
      <c r="G1480" s="10">
        <f>IF($BI1480="","",IF($B1480="Onsite",INDEX(tbl_Onsite[Job Description],$BI1480),IF($B1480="Production",INDEX(tbl_Production[Job Description],$BI1480),INDEX(tbl_Consulting[Job Description],$BI1480)))&amp;"")</f>
        <v/>
      </c>
      <c r="H1480" s="10">
        <f>IF($BI1480="","",IF($B1480="Onsite",INDEX(tbl_Onsite[Cost Centre],$BI1480),IF($B1480="Production",INDEX(tbl_Production[Cost Centre],$BI1480),INDEX(tbl_Consulting[Cost Centre],$BI1480)))&amp;"")</f>
        <v/>
      </c>
      <c r="I1480" s="10">
        <f>IF($BI1480="","",IF($B1480="Onsite",INDEX(tbl_Onsite[Invoice Type],$BI1480),IF($B1480="Production",INDEX(tbl_Production[Invoice Type],$BI1480),INDEX(tbl_Consulting[Invoice Type],$BI1480)))&amp;"")</f>
        <v/>
      </c>
      <c r="J1480" s="10">
        <f>IF($BI1480="","",IF($B1480="Onsite",INDEX(tbl_Onsite[Tax Code],$BI1480),IF($B1480="Production",INDEX(tbl_Production[Tax Code],$BI1480),INDEX(tbl_Consulting[Tax Code],$BI1480)))&amp;"")</f>
        <v/>
      </c>
      <c r="K1480" s="10">
        <f>IF(H1480="","",IFERROR(INDEX(lst_CCtoGL,MATCH(H1480,lst_CCforGL,0)),""))</f>
        <v/>
      </c>
      <c r="L1480" s="10">
        <f>IF($BI1480="","",IF($B1480="Onsite",INDEX(tbl_Onsite[PO / Reference],$BI1480),IF($B1480="Production",INDEX(tbl_Production[Current RMS No],$BI1480),INDEX(tbl_Consulting[Qwilr Quote],$BI1480)))&amp;"")</f>
        <v/>
      </c>
      <c r="M1480" s="10">
        <f>IF($BI1480="","",IF($B1480="Onsite",INDEX(tbl_Onsite[Notes],$BI1480),IF($B1480="Production",INDEX(tbl_Production[Notes],$BI1480),INDEX(tbl_Consulting[Notes],$BI1480)))&amp;"")</f>
        <v/>
      </c>
      <c r="N1480" s="11">
        <f>IF($BI1480="","",IF(IF($B1480="Onsite",INDEX(tbl_Onsite[Expected Revenue Ex GST],$BI1480),IF($B1480="Production",INDEX(tbl_Production[Expected Revenue Ex GST],$BI1480),INDEX(tbl_Consulting[Expected Revenue Ex GST],$BI1480)))="","",IF($B1480="Onsite",INDEX(tbl_Onsite[Expected Revenue Ex GST],$BI1480),IF($B1480="Production",INDEX(tbl_Production[Expected Revenue Ex GST],$BI1480),INDEX(tbl_Consulting[Expected Revenue Ex GST],$BI1480)))))</f>
        <v/>
      </c>
      <c r="O1480" s="11">
        <f>IF(AND($C1480="",NOT(COUNTA($S1480:$BB1480)&gt;0)),"",SUM(U1480,X1480,AA1480,AD1480,AG1480,AJ1480,AM1480,AP1480,AS1480,AV1480,AY1480,BB1480))</f>
        <v/>
      </c>
      <c r="P1480" s="11">
        <f>IF(O1480="","",N(N1480)-O1480)</f>
        <v/>
      </c>
      <c r="Q1480" s="10">
        <f>IF(O1480="","",IF($C1480="","Invoice on empty job row",IF(N1480="",IF(ROUND(O1480,2)=0,"No dept value","Invoiced - no dept value"),IF(ROUND(O1480,2)=0,"Not invoiced - to invoice",IF(ROUND(P1480,2)=0,"Agrees",IF(P1480&gt;0,"Dept higher - to invoice","Xero higher - check dept"))))))</f>
        <v/>
      </c>
      <c r="R1480" s="10">
        <f>IF(AND($C1480="",NOT(COUNTA($S1480:$BB1480)&gt;0),$BI1480&lt;&gt;""),"",MID(IF($BI1480="","; Row ID not found on the department sheet - a row was deleted","")&amp;IF(AND($C1480="",COUNTA($S1480:$BB1480)&gt;0),"; Invoice entered but the department row has no job number","")&amp;IF(E1480="CHECK","; Job number not in the Xero job list","")&amp;IF(AND($C1480&lt;&gt;"",COUNTIF($C$7:$C$1506,$C1480)&gt;1),"; Job number on more than one row","")&amp;IF(AND($C1480&lt;&gt;"",H1480=""),"; Dept has not set a cost centre","")&amp;IF(AND($C1480&lt;&gt;"",J1480=""),"; Dept has not set a tax code","")&amp;IF(AND($C1480&lt;&gt;"",N1480=""),"; Dept has not entered an expected value","")&amp;IF((IF(OR(COUNTA(S1480:U1480)=0,AND(COUNTA(S1480:U1480)=3,ISNUMBER(U1480))),0,1)+IF(OR(COUNTA(V1480:X1480)=0,AND(COUNTA(V1480:X1480)=3,ISNUMBER(X1480))),0,1)+IF(OR(COUNTA(Y1480:AA1480)=0,AND(COUNTA(Y1480:AA1480)=3,ISNUMBER(AA1480))),0,1)+IF(OR(COUNTA(AB1480:AD1480)=0,AND(COUNTA(AB1480:AD1480)=3,ISNUMBER(AD1480))),0,1)+IF(OR(COUNTA(AE1480:AG1480)=0,AND(COUNTA(AE1480:AG1480)=3,ISNUMBER(AG1480))),0,1)+IF(OR(COUNTA(AH1480:AJ1480)=0,AND(COUNTA(AH1480:AJ1480)=3,ISNUMBER(AJ1480))),0,1)+IF(OR(COUNTA(AK1480:AM1480)=0,AND(COUNTA(AK1480:AM1480)=3,ISNUMBER(AM1480))),0,1)+IF(OR(COUNTA(AN1480:AP1480)=0,AND(COUNTA(AN1480:AP1480)=3,ISNUMBER(AP1480))),0,1)+IF(OR(COUNTA(AQ1480:AS1480)=0,AND(COUNTA(AQ1480:AS1480)=3,ISNUMBER(AS1480))),0,1)+IF(OR(COUNTA(AT1480:AV1480)=0,AND(COUNTA(AT1480:AV1480)=3,ISNUMBER(AV1480))),0,1)+IF(OR(COUNTA(AW1480:AY1480)=0,AND(COUNTA(AW1480:AY1480)=3,ISNUMBER(AY1480))),0,1)+IF(OR(COUNTA(AZ1480:BB1480)=0,AND(COUNTA(AZ1480:BB1480)=3,ISNUMBER(BB1480))),0,1))&gt;0,"; An invoice is incomplete (needs No, Date and a number in Ex GST)","")&amp;IF((IF(T1480="",0,IFERROR(--(EOMONTH(T1480,0)&lt;&gt;S$5),1))+IF(W1480="",0,IFERROR(--(EOMONTH(W1480,0)&lt;&gt;V$5),1))+IF(Z1480="",0,IFERROR(--(EOMONTH(Z1480,0)&lt;&gt;Y$5),1))+IF(AC1480="",0,IFERROR(--(EOMONTH(AC1480,0)&lt;&gt;AB$5),1))+IF(AF1480="",0,IFERROR(--(EOMONTH(AF1480,0)&lt;&gt;AE$5),1))+IF(AI1480="",0,IFERROR(--(EOMONTH(AI1480,0)&lt;&gt;AH$5),1))+IF(AL1480="",0,IFERROR(--(EOMONTH(AL1480,0)&lt;&gt;AK$5),1))+IF(AO1480="",0,IFERROR(--(EOMONTH(AO1480,0)&lt;&gt;AN$5),1))+IF(AR1480="",0,IFERROR(--(EOMONTH(AR1480,0)&lt;&gt;AQ$5),1))+IF(AU1480="",0,IFERROR(--(EOMONTH(AU1480,0)&lt;&gt;AT$5),1))+IF(AX1480="",0,IFERROR(--(EOMONTH(AX1480,0)&lt;&gt;AW$5),1))+IF(BA1480="",0,IFERROR(--(EOMONTH(BA1480,0)&lt;&gt;AZ$5),1)))&gt;0,"; An invoice date is not in the month it is typed under",""),3,500))</f>
        <v/>
      </c>
      <c r="S1480" s="12" t="n"/>
      <c r="T1480" s="13" t="n"/>
      <c r="U1480" s="14" t="n"/>
      <c r="V1480" s="12" t="n"/>
      <c r="W1480" s="13" t="n"/>
      <c r="X1480" s="14" t="n"/>
      <c r="Y1480" s="12" t="n"/>
      <c r="Z1480" s="13" t="n"/>
      <c r="AA1480" s="14" t="n"/>
      <c r="AB1480" s="12" t="n"/>
      <c r="AC1480" s="13" t="n"/>
      <c r="AD1480" s="14" t="n"/>
      <c r="AE1480" s="12" t="n"/>
      <c r="AF1480" s="13" t="n"/>
      <c r="AG1480" s="14" t="n"/>
      <c r="AH1480" s="12" t="n"/>
      <c r="AI1480" s="13" t="n"/>
      <c r="AJ1480" s="14" t="n"/>
      <c r="AK1480" s="12" t="n"/>
      <c r="AL1480" s="13" t="n"/>
      <c r="AM1480" s="14" t="n"/>
      <c r="AN1480" s="12" t="n"/>
      <c r="AO1480" s="13" t="n"/>
      <c r="AP1480" s="14" t="n"/>
      <c r="AQ1480" s="12" t="n"/>
      <c r="AR1480" s="13" t="n"/>
      <c r="AS1480" s="14" t="n"/>
      <c r="AT1480" s="12" t="n"/>
      <c r="AU1480" s="13" t="n"/>
      <c r="AV1480" s="14" t="n"/>
      <c r="AW1480" s="12" t="n"/>
      <c r="AX1480" s="13" t="n"/>
      <c r="AY1480" s="14" t="n"/>
      <c r="AZ1480" s="12" t="n"/>
      <c r="BA1480" s="13" t="n"/>
      <c r="BB1480" s="14" t="n"/>
      <c r="BC1480" s="11">
        <f>IF(O1480="","",IF(J1480="GST 10%",ROUND(O1480*set_GSTRate,2),0))</f>
        <v/>
      </c>
      <c r="BD1480" s="11">
        <f>IF(O1480="","",O1480+BC1480)</f>
        <v/>
      </c>
      <c r="BE1480" s="15">
        <f>IF(O1480="","",COUNTA(S1480,V1480,Y1480,AB1480,AE1480,AH1480,AK1480,AN1480,AQ1480,AT1480,AW1480,AZ1480))</f>
        <v/>
      </c>
      <c r="BF1480" s="16">
        <f>IF(COUNT(T1480,W1480,Z1480,AC1480,AF1480,AI1480,AL1480,AO1480,AR1480,AU1480,AX1480,BA1480)=0,"",MAX(T1480,W1480,Z1480,AC1480,AF1480,AI1480,AL1480,AO1480,AR1480,AU1480,AX1480,BA1480))</f>
        <v/>
      </c>
      <c r="BG1480" s="10">
        <f>MID(IF(S1480="","",", "&amp;S1480)&amp;IF(V1480="","",", "&amp;V1480)&amp;IF(Y1480="","",", "&amp;Y1480)&amp;IF(AB1480="","",", "&amp;AB1480)&amp;IF(AE1480="","",", "&amp;AE1480)&amp;IF(AH1480="","",", "&amp;AH1480)&amp;IF(AK1480="","",", "&amp;AK1480)&amp;IF(AN1480="","",", "&amp;AN1480)&amp;IF(AQ1480="","",", "&amp;AQ1480)&amp;IF(AT1480="","",", "&amp;AT1480)&amp;IF(AW1480="","",", "&amp;AW1480)&amp;IF(AZ1480="","",", "&amp;AZ1480),3,500)</f>
        <v/>
      </c>
      <c r="BH1480" s="12" t="n"/>
      <c r="BI1480" s="15">
        <f>IFERROR(MATCH($A1480,IF($B1480="Onsite",tbl_Onsite[Row ID],IF($B1480="Production",tbl_Production[Row ID],tbl_Consulting[Row ID])),0),"")</f>
        <v/>
      </c>
    </row>
    <row r="1481">
      <c r="A1481" s="10" t="inlineStr">
        <is>
          <t>CON-0475</t>
        </is>
      </c>
      <c r="B1481" s="10" t="inlineStr">
        <is>
          <t>Consulting</t>
        </is>
      </c>
      <c r="C1481" s="10">
        <f>IF($BI1481="","",IF($B1481="Onsite",INDEX(tbl_Onsite[Job Number],$BI1481),IF($B1481="Production",INDEX(tbl_Production[Job Number],$BI1481),INDEX(tbl_Consulting[Job Number],$BI1481)))&amp;"")</f>
        <v/>
      </c>
      <c r="D1481" s="10">
        <f>IF($BI1481="","",IF($B1481="Onsite",INDEX(tbl_Onsite[Client],$BI1481),IF($B1481="Production",INDEX(tbl_Production[Client],$BI1481),INDEX(tbl_Consulting[Client],$BI1481)))&amp;"")</f>
        <v/>
      </c>
      <c r="E1481" s="10">
        <f>IF($C1481="","",IF(COUNTIF(lst_Jobs,$C1481)&gt;0,"OK","CHECK"))</f>
        <v/>
      </c>
      <c r="F1481" s="10">
        <f>IF($C1481="","",IFERROR(INDEX(lst_JobName,MATCH($C1481,lst_Jobs,0)),""))</f>
        <v/>
      </c>
      <c r="G1481" s="10">
        <f>IF($BI1481="","",IF($B1481="Onsite",INDEX(tbl_Onsite[Job Description],$BI1481),IF($B1481="Production",INDEX(tbl_Production[Job Description],$BI1481),INDEX(tbl_Consulting[Job Description],$BI1481)))&amp;"")</f>
        <v/>
      </c>
      <c r="H1481" s="10">
        <f>IF($BI1481="","",IF($B1481="Onsite",INDEX(tbl_Onsite[Cost Centre],$BI1481),IF($B1481="Production",INDEX(tbl_Production[Cost Centre],$BI1481),INDEX(tbl_Consulting[Cost Centre],$BI1481)))&amp;"")</f>
        <v/>
      </c>
      <c r="I1481" s="10">
        <f>IF($BI1481="","",IF($B1481="Onsite",INDEX(tbl_Onsite[Invoice Type],$BI1481),IF($B1481="Production",INDEX(tbl_Production[Invoice Type],$BI1481),INDEX(tbl_Consulting[Invoice Type],$BI1481)))&amp;"")</f>
        <v/>
      </c>
      <c r="J1481" s="10">
        <f>IF($BI1481="","",IF($B1481="Onsite",INDEX(tbl_Onsite[Tax Code],$BI1481),IF($B1481="Production",INDEX(tbl_Production[Tax Code],$BI1481),INDEX(tbl_Consulting[Tax Code],$BI1481)))&amp;"")</f>
        <v/>
      </c>
      <c r="K1481" s="10">
        <f>IF(H1481="","",IFERROR(INDEX(lst_CCtoGL,MATCH(H1481,lst_CCforGL,0)),""))</f>
        <v/>
      </c>
      <c r="L1481" s="10">
        <f>IF($BI1481="","",IF($B1481="Onsite",INDEX(tbl_Onsite[PO / Reference],$BI1481),IF($B1481="Production",INDEX(tbl_Production[Current RMS No],$BI1481),INDEX(tbl_Consulting[Qwilr Quote],$BI1481)))&amp;"")</f>
        <v/>
      </c>
      <c r="M1481" s="10">
        <f>IF($BI1481="","",IF($B1481="Onsite",INDEX(tbl_Onsite[Notes],$BI1481),IF($B1481="Production",INDEX(tbl_Production[Notes],$BI1481),INDEX(tbl_Consulting[Notes],$BI1481)))&amp;"")</f>
        <v/>
      </c>
      <c r="N1481" s="11">
        <f>IF($BI1481="","",IF(IF($B1481="Onsite",INDEX(tbl_Onsite[Expected Revenue Ex GST],$BI1481),IF($B1481="Production",INDEX(tbl_Production[Expected Revenue Ex GST],$BI1481),INDEX(tbl_Consulting[Expected Revenue Ex GST],$BI1481)))="","",IF($B1481="Onsite",INDEX(tbl_Onsite[Expected Revenue Ex GST],$BI1481),IF($B1481="Production",INDEX(tbl_Production[Expected Revenue Ex GST],$BI1481),INDEX(tbl_Consulting[Expected Revenue Ex GST],$BI1481)))))</f>
        <v/>
      </c>
      <c r="O1481" s="11">
        <f>IF(AND($C1481="",NOT(COUNTA($S1481:$BB1481)&gt;0)),"",SUM(U1481,X1481,AA1481,AD1481,AG1481,AJ1481,AM1481,AP1481,AS1481,AV1481,AY1481,BB1481))</f>
        <v/>
      </c>
      <c r="P1481" s="11">
        <f>IF(O1481="","",N(N1481)-O1481)</f>
        <v/>
      </c>
      <c r="Q1481" s="10">
        <f>IF(O1481="","",IF($C1481="","Invoice on empty job row",IF(N1481="",IF(ROUND(O1481,2)=0,"No dept value","Invoiced - no dept value"),IF(ROUND(O1481,2)=0,"Not invoiced - to invoice",IF(ROUND(P1481,2)=0,"Agrees",IF(P1481&gt;0,"Dept higher - to invoice","Xero higher - check dept"))))))</f>
        <v/>
      </c>
      <c r="R1481" s="10">
        <f>IF(AND($C1481="",NOT(COUNTA($S1481:$BB1481)&gt;0),$BI1481&lt;&gt;""),"",MID(IF($BI1481="","; Row ID not found on the department sheet - a row was deleted","")&amp;IF(AND($C1481="",COUNTA($S1481:$BB1481)&gt;0),"; Invoice entered but the department row has no job number","")&amp;IF(E1481="CHECK","; Job number not in the Xero job list","")&amp;IF(AND($C1481&lt;&gt;"",COUNTIF($C$7:$C$1506,$C1481)&gt;1),"; Job number on more than one row","")&amp;IF(AND($C1481&lt;&gt;"",H1481=""),"; Dept has not set a cost centre","")&amp;IF(AND($C1481&lt;&gt;"",J1481=""),"; Dept has not set a tax code","")&amp;IF(AND($C1481&lt;&gt;"",N1481=""),"; Dept has not entered an expected value","")&amp;IF((IF(OR(COUNTA(S1481:U1481)=0,AND(COUNTA(S1481:U1481)=3,ISNUMBER(U1481))),0,1)+IF(OR(COUNTA(V1481:X1481)=0,AND(COUNTA(V1481:X1481)=3,ISNUMBER(X1481))),0,1)+IF(OR(COUNTA(Y1481:AA1481)=0,AND(COUNTA(Y1481:AA1481)=3,ISNUMBER(AA1481))),0,1)+IF(OR(COUNTA(AB1481:AD1481)=0,AND(COUNTA(AB1481:AD1481)=3,ISNUMBER(AD1481))),0,1)+IF(OR(COUNTA(AE1481:AG1481)=0,AND(COUNTA(AE1481:AG1481)=3,ISNUMBER(AG1481))),0,1)+IF(OR(COUNTA(AH1481:AJ1481)=0,AND(COUNTA(AH1481:AJ1481)=3,ISNUMBER(AJ1481))),0,1)+IF(OR(COUNTA(AK1481:AM1481)=0,AND(COUNTA(AK1481:AM1481)=3,ISNUMBER(AM1481))),0,1)+IF(OR(COUNTA(AN1481:AP1481)=0,AND(COUNTA(AN1481:AP1481)=3,ISNUMBER(AP1481))),0,1)+IF(OR(COUNTA(AQ1481:AS1481)=0,AND(COUNTA(AQ1481:AS1481)=3,ISNUMBER(AS1481))),0,1)+IF(OR(COUNTA(AT1481:AV1481)=0,AND(COUNTA(AT1481:AV1481)=3,ISNUMBER(AV1481))),0,1)+IF(OR(COUNTA(AW1481:AY1481)=0,AND(COUNTA(AW1481:AY1481)=3,ISNUMBER(AY1481))),0,1)+IF(OR(COUNTA(AZ1481:BB1481)=0,AND(COUNTA(AZ1481:BB1481)=3,ISNUMBER(BB1481))),0,1))&gt;0,"; An invoice is incomplete (needs No, Date and a number in Ex GST)","")&amp;IF((IF(T1481="",0,IFERROR(--(EOMONTH(T1481,0)&lt;&gt;S$5),1))+IF(W1481="",0,IFERROR(--(EOMONTH(W1481,0)&lt;&gt;V$5),1))+IF(Z1481="",0,IFERROR(--(EOMONTH(Z1481,0)&lt;&gt;Y$5),1))+IF(AC1481="",0,IFERROR(--(EOMONTH(AC1481,0)&lt;&gt;AB$5),1))+IF(AF1481="",0,IFERROR(--(EOMONTH(AF1481,0)&lt;&gt;AE$5),1))+IF(AI1481="",0,IFERROR(--(EOMONTH(AI1481,0)&lt;&gt;AH$5),1))+IF(AL1481="",0,IFERROR(--(EOMONTH(AL1481,0)&lt;&gt;AK$5),1))+IF(AO1481="",0,IFERROR(--(EOMONTH(AO1481,0)&lt;&gt;AN$5),1))+IF(AR1481="",0,IFERROR(--(EOMONTH(AR1481,0)&lt;&gt;AQ$5),1))+IF(AU1481="",0,IFERROR(--(EOMONTH(AU1481,0)&lt;&gt;AT$5),1))+IF(AX1481="",0,IFERROR(--(EOMONTH(AX1481,0)&lt;&gt;AW$5),1))+IF(BA1481="",0,IFERROR(--(EOMONTH(BA1481,0)&lt;&gt;AZ$5),1)))&gt;0,"; An invoice date is not in the month it is typed under",""),3,500))</f>
        <v/>
      </c>
      <c r="S1481" s="12" t="n"/>
      <c r="T1481" s="13" t="n"/>
      <c r="U1481" s="14" t="n"/>
      <c r="V1481" s="12" t="n"/>
      <c r="W1481" s="13" t="n"/>
      <c r="X1481" s="14" t="n"/>
      <c r="Y1481" s="12" t="n"/>
      <c r="Z1481" s="13" t="n"/>
      <c r="AA1481" s="14" t="n"/>
      <c r="AB1481" s="12" t="n"/>
      <c r="AC1481" s="13" t="n"/>
      <c r="AD1481" s="14" t="n"/>
      <c r="AE1481" s="12" t="n"/>
      <c r="AF1481" s="13" t="n"/>
      <c r="AG1481" s="14" t="n"/>
      <c r="AH1481" s="12" t="n"/>
      <c r="AI1481" s="13" t="n"/>
      <c r="AJ1481" s="14" t="n"/>
      <c r="AK1481" s="12" t="n"/>
      <c r="AL1481" s="13" t="n"/>
      <c r="AM1481" s="14" t="n"/>
      <c r="AN1481" s="12" t="n"/>
      <c r="AO1481" s="13" t="n"/>
      <c r="AP1481" s="14" t="n"/>
      <c r="AQ1481" s="12" t="n"/>
      <c r="AR1481" s="13" t="n"/>
      <c r="AS1481" s="14" t="n"/>
      <c r="AT1481" s="12" t="n"/>
      <c r="AU1481" s="13" t="n"/>
      <c r="AV1481" s="14" t="n"/>
      <c r="AW1481" s="12" t="n"/>
      <c r="AX1481" s="13" t="n"/>
      <c r="AY1481" s="14" t="n"/>
      <c r="AZ1481" s="12" t="n"/>
      <c r="BA1481" s="13" t="n"/>
      <c r="BB1481" s="14" t="n"/>
      <c r="BC1481" s="11">
        <f>IF(O1481="","",IF(J1481="GST 10%",ROUND(O1481*set_GSTRate,2),0))</f>
        <v/>
      </c>
      <c r="BD1481" s="11">
        <f>IF(O1481="","",O1481+BC1481)</f>
        <v/>
      </c>
      <c r="BE1481" s="15">
        <f>IF(O1481="","",COUNTA(S1481,V1481,Y1481,AB1481,AE1481,AH1481,AK1481,AN1481,AQ1481,AT1481,AW1481,AZ1481))</f>
        <v/>
      </c>
      <c r="BF1481" s="16">
        <f>IF(COUNT(T1481,W1481,Z1481,AC1481,AF1481,AI1481,AL1481,AO1481,AR1481,AU1481,AX1481,BA1481)=0,"",MAX(T1481,W1481,Z1481,AC1481,AF1481,AI1481,AL1481,AO1481,AR1481,AU1481,AX1481,BA1481))</f>
        <v/>
      </c>
      <c r="BG1481" s="10">
        <f>MID(IF(S1481="","",", "&amp;S1481)&amp;IF(V1481="","",", "&amp;V1481)&amp;IF(Y1481="","",", "&amp;Y1481)&amp;IF(AB1481="","",", "&amp;AB1481)&amp;IF(AE1481="","",", "&amp;AE1481)&amp;IF(AH1481="","",", "&amp;AH1481)&amp;IF(AK1481="","",", "&amp;AK1481)&amp;IF(AN1481="","",", "&amp;AN1481)&amp;IF(AQ1481="","",", "&amp;AQ1481)&amp;IF(AT1481="","",", "&amp;AT1481)&amp;IF(AW1481="","",", "&amp;AW1481)&amp;IF(AZ1481="","",", "&amp;AZ1481),3,500)</f>
        <v/>
      </c>
      <c r="BH1481" s="12" t="n"/>
      <c r="BI1481" s="15">
        <f>IFERROR(MATCH($A1481,IF($B1481="Onsite",tbl_Onsite[Row ID],IF($B1481="Production",tbl_Production[Row ID],tbl_Consulting[Row ID])),0),"")</f>
        <v/>
      </c>
    </row>
    <row r="1482">
      <c r="A1482" s="10" t="inlineStr">
        <is>
          <t>CON-0476</t>
        </is>
      </c>
      <c r="B1482" s="10" t="inlineStr">
        <is>
          <t>Consulting</t>
        </is>
      </c>
      <c r="C1482" s="10">
        <f>IF($BI1482="","",IF($B1482="Onsite",INDEX(tbl_Onsite[Job Number],$BI1482),IF($B1482="Production",INDEX(tbl_Production[Job Number],$BI1482),INDEX(tbl_Consulting[Job Number],$BI1482)))&amp;"")</f>
        <v/>
      </c>
      <c r="D1482" s="10">
        <f>IF($BI1482="","",IF($B1482="Onsite",INDEX(tbl_Onsite[Client],$BI1482),IF($B1482="Production",INDEX(tbl_Production[Client],$BI1482),INDEX(tbl_Consulting[Client],$BI1482)))&amp;"")</f>
        <v/>
      </c>
      <c r="E1482" s="10">
        <f>IF($C1482="","",IF(COUNTIF(lst_Jobs,$C1482)&gt;0,"OK","CHECK"))</f>
        <v/>
      </c>
      <c r="F1482" s="10">
        <f>IF($C1482="","",IFERROR(INDEX(lst_JobName,MATCH($C1482,lst_Jobs,0)),""))</f>
        <v/>
      </c>
      <c r="G1482" s="10">
        <f>IF($BI1482="","",IF($B1482="Onsite",INDEX(tbl_Onsite[Job Description],$BI1482),IF($B1482="Production",INDEX(tbl_Production[Job Description],$BI1482),INDEX(tbl_Consulting[Job Description],$BI1482)))&amp;"")</f>
        <v/>
      </c>
      <c r="H1482" s="10">
        <f>IF($BI1482="","",IF($B1482="Onsite",INDEX(tbl_Onsite[Cost Centre],$BI1482),IF($B1482="Production",INDEX(tbl_Production[Cost Centre],$BI1482),INDEX(tbl_Consulting[Cost Centre],$BI1482)))&amp;"")</f>
        <v/>
      </c>
      <c r="I1482" s="10">
        <f>IF($BI1482="","",IF($B1482="Onsite",INDEX(tbl_Onsite[Invoice Type],$BI1482),IF($B1482="Production",INDEX(tbl_Production[Invoice Type],$BI1482),INDEX(tbl_Consulting[Invoice Type],$BI1482)))&amp;"")</f>
        <v/>
      </c>
      <c r="J1482" s="10">
        <f>IF($BI1482="","",IF($B1482="Onsite",INDEX(tbl_Onsite[Tax Code],$BI1482),IF($B1482="Production",INDEX(tbl_Production[Tax Code],$BI1482),INDEX(tbl_Consulting[Tax Code],$BI1482)))&amp;"")</f>
        <v/>
      </c>
      <c r="K1482" s="10">
        <f>IF(H1482="","",IFERROR(INDEX(lst_CCtoGL,MATCH(H1482,lst_CCforGL,0)),""))</f>
        <v/>
      </c>
      <c r="L1482" s="10">
        <f>IF($BI1482="","",IF($B1482="Onsite",INDEX(tbl_Onsite[PO / Reference],$BI1482),IF($B1482="Production",INDEX(tbl_Production[Current RMS No],$BI1482),INDEX(tbl_Consulting[Qwilr Quote],$BI1482)))&amp;"")</f>
        <v/>
      </c>
      <c r="M1482" s="10">
        <f>IF($BI1482="","",IF($B1482="Onsite",INDEX(tbl_Onsite[Notes],$BI1482),IF($B1482="Production",INDEX(tbl_Production[Notes],$BI1482),INDEX(tbl_Consulting[Notes],$BI1482)))&amp;"")</f>
        <v/>
      </c>
      <c r="N1482" s="11">
        <f>IF($BI1482="","",IF(IF($B1482="Onsite",INDEX(tbl_Onsite[Expected Revenue Ex GST],$BI1482),IF($B1482="Production",INDEX(tbl_Production[Expected Revenue Ex GST],$BI1482),INDEX(tbl_Consulting[Expected Revenue Ex GST],$BI1482)))="","",IF($B1482="Onsite",INDEX(tbl_Onsite[Expected Revenue Ex GST],$BI1482),IF($B1482="Production",INDEX(tbl_Production[Expected Revenue Ex GST],$BI1482),INDEX(tbl_Consulting[Expected Revenue Ex GST],$BI1482)))))</f>
        <v/>
      </c>
      <c r="O1482" s="11">
        <f>IF(AND($C1482="",NOT(COUNTA($S1482:$BB1482)&gt;0)),"",SUM(U1482,X1482,AA1482,AD1482,AG1482,AJ1482,AM1482,AP1482,AS1482,AV1482,AY1482,BB1482))</f>
        <v/>
      </c>
      <c r="P1482" s="11">
        <f>IF(O1482="","",N(N1482)-O1482)</f>
        <v/>
      </c>
      <c r="Q1482" s="10">
        <f>IF(O1482="","",IF($C1482="","Invoice on empty job row",IF(N1482="",IF(ROUND(O1482,2)=0,"No dept value","Invoiced - no dept value"),IF(ROUND(O1482,2)=0,"Not invoiced - to invoice",IF(ROUND(P1482,2)=0,"Agrees",IF(P1482&gt;0,"Dept higher - to invoice","Xero higher - check dept"))))))</f>
        <v/>
      </c>
      <c r="R1482" s="10">
        <f>IF(AND($C1482="",NOT(COUNTA($S1482:$BB1482)&gt;0),$BI1482&lt;&gt;""),"",MID(IF($BI1482="","; Row ID not found on the department sheet - a row was deleted","")&amp;IF(AND($C1482="",COUNTA($S1482:$BB1482)&gt;0),"; Invoice entered but the department row has no job number","")&amp;IF(E1482="CHECK","; Job number not in the Xero job list","")&amp;IF(AND($C1482&lt;&gt;"",COUNTIF($C$7:$C$1506,$C1482)&gt;1),"; Job number on more than one row","")&amp;IF(AND($C1482&lt;&gt;"",H1482=""),"; Dept has not set a cost centre","")&amp;IF(AND($C1482&lt;&gt;"",J1482=""),"; Dept has not set a tax code","")&amp;IF(AND($C1482&lt;&gt;"",N1482=""),"; Dept has not entered an expected value","")&amp;IF((IF(OR(COUNTA(S1482:U1482)=0,AND(COUNTA(S1482:U1482)=3,ISNUMBER(U1482))),0,1)+IF(OR(COUNTA(V1482:X1482)=0,AND(COUNTA(V1482:X1482)=3,ISNUMBER(X1482))),0,1)+IF(OR(COUNTA(Y1482:AA1482)=0,AND(COUNTA(Y1482:AA1482)=3,ISNUMBER(AA1482))),0,1)+IF(OR(COUNTA(AB1482:AD1482)=0,AND(COUNTA(AB1482:AD1482)=3,ISNUMBER(AD1482))),0,1)+IF(OR(COUNTA(AE1482:AG1482)=0,AND(COUNTA(AE1482:AG1482)=3,ISNUMBER(AG1482))),0,1)+IF(OR(COUNTA(AH1482:AJ1482)=0,AND(COUNTA(AH1482:AJ1482)=3,ISNUMBER(AJ1482))),0,1)+IF(OR(COUNTA(AK1482:AM1482)=0,AND(COUNTA(AK1482:AM1482)=3,ISNUMBER(AM1482))),0,1)+IF(OR(COUNTA(AN1482:AP1482)=0,AND(COUNTA(AN1482:AP1482)=3,ISNUMBER(AP1482))),0,1)+IF(OR(COUNTA(AQ1482:AS1482)=0,AND(COUNTA(AQ1482:AS1482)=3,ISNUMBER(AS1482))),0,1)+IF(OR(COUNTA(AT1482:AV1482)=0,AND(COUNTA(AT1482:AV1482)=3,ISNUMBER(AV1482))),0,1)+IF(OR(COUNTA(AW1482:AY1482)=0,AND(COUNTA(AW1482:AY1482)=3,ISNUMBER(AY1482))),0,1)+IF(OR(COUNTA(AZ1482:BB1482)=0,AND(COUNTA(AZ1482:BB1482)=3,ISNUMBER(BB1482))),0,1))&gt;0,"; An invoice is incomplete (needs No, Date and a number in Ex GST)","")&amp;IF((IF(T1482="",0,IFERROR(--(EOMONTH(T1482,0)&lt;&gt;S$5),1))+IF(W1482="",0,IFERROR(--(EOMONTH(W1482,0)&lt;&gt;V$5),1))+IF(Z1482="",0,IFERROR(--(EOMONTH(Z1482,0)&lt;&gt;Y$5),1))+IF(AC1482="",0,IFERROR(--(EOMONTH(AC1482,0)&lt;&gt;AB$5),1))+IF(AF1482="",0,IFERROR(--(EOMONTH(AF1482,0)&lt;&gt;AE$5),1))+IF(AI1482="",0,IFERROR(--(EOMONTH(AI1482,0)&lt;&gt;AH$5),1))+IF(AL1482="",0,IFERROR(--(EOMONTH(AL1482,0)&lt;&gt;AK$5),1))+IF(AO1482="",0,IFERROR(--(EOMONTH(AO1482,0)&lt;&gt;AN$5),1))+IF(AR1482="",0,IFERROR(--(EOMONTH(AR1482,0)&lt;&gt;AQ$5),1))+IF(AU1482="",0,IFERROR(--(EOMONTH(AU1482,0)&lt;&gt;AT$5),1))+IF(AX1482="",0,IFERROR(--(EOMONTH(AX1482,0)&lt;&gt;AW$5),1))+IF(BA1482="",0,IFERROR(--(EOMONTH(BA1482,0)&lt;&gt;AZ$5),1)))&gt;0,"; An invoice date is not in the month it is typed under",""),3,500))</f>
        <v/>
      </c>
      <c r="S1482" s="12" t="n"/>
      <c r="T1482" s="13" t="n"/>
      <c r="U1482" s="14" t="n"/>
      <c r="V1482" s="12" t="n"/>
      <c r="W1482" s="13" t="n"/>
      <c r="X1482" s="14" t="n"/>
      <c r="Y1482" s="12" t="n"/>
      <c r="Z1482" s="13" t="n"/>
      <c r="AA1482" s="14" t="n"/>
      <c r="AB1482" s="12" t="n"/>
      <c r="AC1482" s="13" t="n"/>
      <c r="AD1482" s="14" t="n"/>
      <c r="AE1482" s="12" t="n"/>
      <c r="AF1482" s="13" t="n"/>
      <c r="AG1482" s="14" t="n"/>
      <c r="AH1482" s="12" t="n"/>
      <c r="AI1482" s="13" t="n"/>
      <c r="AJ1482" s="14" t="n"/>
      <c r="AK1482" s="12" t="n"/>
      <c r="AL1482" s="13" t="n"/>
      <c r="AM1482" s="14" t="n"/>
      <c r="AN1482" s="12" t="n"/>
      <c r="AO1482" s="13" t="n"/>
      <c r="AP1482" s="14" t="n"/>
      <c r="AQ1482" s="12" t="n"/>
      <c r="AR1482" s="13" t="n"/>
      <c r="AS1482" s="14" t="n"/>
      <c r="AT1482" s="12" t="n"/>
      <c r="AU1482" s="13" t="n"/>
      <c r="AV1482" s="14" t="n"/>
      <c r="AW1482" s="12" t="n"/>
      <c r="AX1482" s="13" t="n"/>
      <c r="AY1482" s="14" t="n"/>
      <c r="AZ1482" s="12" t="n"/>
      <c r="BA1482" s="13" t="n"/>
      <c r="BB1482" s="14" t="n"/>
      <c r="BC1482" s="11">
        <f>IF(O1482="","",IF(J1482="GST 10%",ROUND(O1482*set_GSTRate,2),0))</f>
        <v/>
      </c>
      <c r="BD1482" s="11">
        <f>IF(O1482="","",O1482+BC1482)</f>
        <v/>
      </c>
      <c r="BE1482" s="15">
        <f>IF(O1482="","",COUNTA(S1482,V1482,Y1482,AB1482,AE1482,AH1482,AK1482,AN1482,AQ1482,AT1482,AW1482,AZ1482))</f>
        <v/>
      </c>
      <c r="BF1482" s="16">
        <f>IF(COUNT(T1482,W1482,Z1482,AC1482,AF1482,AI1482,AL1482,AO1482,AR1482,AU1482,AX1482,BA1482)=0,"",MAX(T1482,W1482,Z1482,AC1482,AF1482,AI1482,AL1482,AO1482,AR1482,AU1482,AX1482,BA1482))</f>
        <v/>
      </c>
      <c r="BG1482" s="10">
        <f>MID(IF(S1482="","",", "&amp;S1482)&amp;IF(V1482="","",", "&amp;V1482)&amp;IF(Y1482="","",", "&amp;Y1482)&amp;IF(AB1482="","",", "&amp;AB1482)&amp;IF(AE1482="","",", "&amp;AE1482)&amp;IF(AH1482="","",", "&amp;AH1482)&amp;IF(AK1482="","",", "&amp;AK1482)&amp;IF(AN1482="","",", "&amp;AN1482)&amp;IF(AQ1482="","",", "&amp;AQ1482)&amp;IF(AT1482="","",", "&amp;AT1482)&amp;IF(AW1482="","",", "&amp;AW1482)&amp;IF(AZ1482="","",", "&amp;AZ1482),3,500)</f>
        <v/>
      </c>
      <c r="BH1482" s="12" t="n"/>
      <c r="BI1482" s="15">
        <f>IFERROR(MATCH($A1482,IF($B1482="Onsite",tbl_Onsite[Row ID],IF($B1482="Production",tbl_Production[Row ID],tbl_Consulting[Row ID])),0),"")</f>
        <v/>
      </c>
    </row>
    <row r="1483">
      <c r="A1483" s="10" t="inlineStr">
        <is>
          <t>CON-0477</t>
        </is>
      </c>
      <c r="B1483" s="10" t="inlineStr">
        <is>
          <t>Consulting</t>
        </is>
      </c>
      <c r="C1483" s="10">
        <f>IF($BI1483="","",IF($B1483="Onsite",INDEX(tbl_Onsite[Job Number],$BI1483),IF($B1483="Production",INDEX(tbl_Production[Job Number],$BI1483),INDEX(tbl_Consulting[Job Number],$BI1483)))&amp;"")</f>
        <v/>
      </c>
      <c r="D1483" s="10">
        <f>IF($BI1483="","",IF($B1483="Onsite",INDEX(tbl_Onsite[Client],$BI1483),IF($B1483="Production",INDEX(tbl_Production[Client],$BI1483),INDEX(tbl_Consulting[Client],$BI1483)))&amp;"")</f>
        <v/>
      </c>
      <c r="E1483" s="10">
        <f>IF($C1483="","",IF(COUNTIF(lst_Jobs,$C1483)&gt;0,"OK","CHECK"))</f>
        <v/>
      </c>
      <c r="F1483" s="10">
        <f>IF($C1483="","",IFERROR(INDEX(lst_JobName,MATCH($C1483,lst_Jobs,0)),""))</f>
        <v/>
      </c>
      <c r="G1483" s="10">
        <f>IF($BI1483="","",IF($B1483="Onsite",INDEX(tbl_Onsite[Job Description],$BI1483),IF($B1483="Production",INDEX(tbl_Production[Job Description],$BI1483),INDEX(tbl_Consulting[Job Description],$BI1483)))&amp;"")</f>
        <v/>
      </c>
      <c r="H1483" s="10">
        <f>IF($BI1483="","",IF($B1483="Onsite",INDEX(tbl_Onsite[Cost Centre],$BI1483),IF($B1483="Production",INDEX(tbl_Production[Cost Centre],$BI1483),INDEX(tbl_Consulting[Cost Centre],$BI1483)))&amp;"")</f>
        <v/>
      </c>
      <c r="I1483" s="10">
        <f>IF($BI1483="","",IF($B1483="Onsite",INDEX(tbl_Onsite[Invoice Type],$BI1483),IF($B1483="Production",INDEX(tbl_Production[Invoice Type],$BI1483),INDEX(tbl_Consulting[Invoice Type],$BI1483)))&amp;"")</f>
        <v/>
      </c>
      <c r="J1483" s="10">
        <f>IF($BI1483="","",IF($B1483="Onsite",INDEX(tbl_Onsite[Tax Code],$BI1483),IF($B1483="Production",INDEX(tbl_Production[Tax Code],$BI1483),INDEX(tbl_Consulting[Tax Code],$BI1483)))&amp;"")</f>
        <v/>
      </c>
      <c r="K1483" s="10">
        <f>IF(H1483="","",IFERROR(INDEX(lst_CCtoGL,MATCH(H1483,lst_CCforGL,0)),""))</f>
        <v/>
      </c>
      <c r="L1483" s="10">
        <f>IF($BI1483="","",IF($B1483="Onsite",INDEX(tbl_Onsite[PO / Reference],$BI1483),IF($B1483="Production",INDEX(tbl_Production[Current RMS No],$BI1483),INDEX(tbl_Consulting[Qwilr Quote],$BI1483)))&amp;"")</f>
        <v/>
      </c>
      <c r="M1483" s="10">
        <f>IF($BI1483="","",IF($B1483="Onsite",INDEX(tbl_Onsite[Notes],$BI1483),IF($B1483="Production",INDEX(tbl_Production[Notes],$BI1483),INDEX(tbl_Consulting[Notes],$BI1483)))&amp;"")</f>
        <v/>
      </c>
      <c r="N1483" s="11">
        <f>IF($BI1483="","",IF(IF($B1483="Onsite",INDEX(tbl_Onsite[Expected Revenue Ex GST],$BI1483),IF($B1483="Production",INDEX(tbl_Production[Expected Revenue Ex GST],$BI1483),INDEX(tbl_Consulting[Expected Revenue Ex GST],$BI1483)))="","",IF($B1483="Onsite",INDEX(tbl_Onsite[Expected Revenue Ex GST],$BI1483),IF($B1483="Production",INDEX(tbl_Production[Expected Revenue Ex GST],$BI1483),INDEX(tbl_Consulting[Expected Revenue Ex GST],$BI1483)))))</f>
        <v/>
      </c>
      <c r="O1483" s="11">
        <f>IF(AND($C1483="",NOT(COUNTA($S1483:$BB1483)&gt;0)),"",SUM(U1483,X1483,AA1483,AD1483,AG1483,AJ1483,AM1483,AP1483,AS1483,AV1483,AY1483,BB1483))</f>
        <v/>
      </c>
      <c r="P1483" s="11">
        <f>IF(O1483="","",N(N1483)-O1483)</f>
        <v/>
      </c>
      <c r="Q1483" s="10">
        <f>IF(O1483="","",IF($C1483="","Invoice on empty job row",IF(N1483="",IF(ROUND(O1483,2)=0,"No dept value","Invoiced - no dept value"),IF(ROUND(O1483,2)=0,"Not invoiced - to invoice",IF(ROUND(P1483,2)=0,"Agrees",IF(P1483&gt;0,"Dept higher - to invoice","Xero higher - check dept"))))))</f>
        <v/>
      </c>
      <c r="R1483" s="10">
        <f>IF(AND($C1483="",NOT(COUNTA($S1483:$BB1483)&gt;0),$BI1483&lt;&gt;""),"",MID(IF($BI1483="","; Row ID not found on the department sheet - a row was deleted","")&amp;IF(AND($C1483="",COUNTA($S1483:$BB1483)&gt;0),"; Invoice entered but the department row has no job number","")&amp;IF(E1483="CHECK","; Job number not in the Xero job list","")&amp;IF(AND($C1483&lt;&gt;"",COUNTIF($C$7:$C$1506,$C1483)&gt;1),"; Job number on more than one row","")&amp;IF(AND($C1483&lt;&gt;"",H1483=""),"; Dept has not set a cost centre","")&amp;IF(AND($C1483&lt;&gt;"",J1483=""),"; Dept has not set a tax code","")&amp;IF(AND($C1483&lt;&gt;"",N1483=""),"; Dept has not entered an expected value","")&amp;IF((IF(OR(COUNTA(S1483:U1483)=0,AND(COUNTA(S1483:U1483)=3,ISNUMBER(U1483))),0,1)+IF(OR(COUNTA(V1483:X1483)=0,AND(COUNTA(V1483:X1483)=3,ISNUMBER(X1483))),0,1)+IF(OR(COUNTA(Y1483:AA1483)=0,AND(COUNTA(Y1483:AA1483)=3,ISNUMBER(AA1483))),0,1)+IF(OR(COUNTA(AB1483:AD1483)=0,AND(COUNTA(AB1483:AD1483)=3,ISNUMBER(AD1483))),0,1)+IF(OR(COUNTA(AE1483:AG1483)=0,AND(COUNTA(AE1483:AG1483)=3,ISNUMBER(AG1483))),0,1)+IF(OR(COUNTA(AH1483:AJ1483)=0,AND(COUNTA(AH1483:AJ1483)=3,ISNUMBER(AJ1483))),0,1)+IF(OR(COUNTA(AK1483:AM1483)=0,AND(COUNTA(AK1483:AM1483)=3,ISNUMBER(AM1483))),0,1)+IF(OR(COUNTA(AN1483:AP1483)=0,AND(COUNTA(AN1483:AP1483)=3,ISNUMBER(AP1483))),0,1)+IF(OR(COUNTA(AQ1483:AS1483)=0,AND(COUNTA(AQ1483:AS1483)=3,ISNUMBER(AS1483))),0,1)+IF(OR(COUNTA(AT1483:AV1483)=0,AND(COUNTA(AT1483:AV1483)=3,ISNUMBER(AV1483))),0,1)+IF(OR(COUNTA(AW1483:AY1483)=0,AND(COUNTA(AW1483:AY1483)=3,ISNUMBER(AY1483))),0,1)+IF(OR(COUNTA(AZ1483:BB1483)=0,AND(COUNTA(AZ1483:BB1483)=3,ISNUMBER(BB1483))),0,1))&gt;0,"; An invoice is incomplete (needs No, Date and a number in Ex GST)","")&amp;IF((IF(T1483="",0,IFERROR(--(EOMONTH(T1483,0)&lt;&gt;S$5),1))+IF(W1483="",0,IFERROR(--(EOMONTH(W1483,0)&lt;&gt;V$5),1))+IF(Z1483="",0,IFERROR(--(EOMONTH(Z1483,0)&lt;&gt;Y$5),1))+IF(AC1483="",0,IFERROR(--(EOMONTH(AC1483,0)&lt;&gt;AB$5),1))+IF(AF1483="",0,IFERROR(--(EOMONTH(AF1483,0)&lt;&gt;AE$5),1))+IF(AI1483="",0,IFERROR(--(EOMONTH(AI1483,0)&lt;&gt;AH$5),1))+IF(AL1483="",0,IFERROR(--(EOMONTH(AL1483,0)&lt;&gt;AK$5),1))+IF(AO1483="",0,IFERROR(--(EOMONTH(AO1483,0)&lt;&gt;AN$5),1))+IF(AR1483="",0,IFERROR(--(EOMONTH(AR1483,0)&lt;&gt;AQ$5),1))+IF(AU1483="",0,IFERROR(--(EOMONTH(AU1483,0)&lt;&gt;AT$5),1))+IF(AX1483="",0,IFERROR(--(EOMONTH(AX1483,0)&lt;&gt;AW$5),1))+IF(BA1483="",0,IFERROR(--(EOMONTH(BA1483,0)&lt;&gt;AZ$5),1)))&gt;0,"; An invoice date is not in the month it is typed under",""),3,500))</f>
        <v/>
      </c>
      <c r="S1483" s="12" t="n"/>
      <c r="T1483" s="13" t="n"/>
      <c r="U1483" s="14" t="n"/>
      <c r="V1483" s="12" t="n"/>
      <c r="W1483" s="13" t="n"/>
      <c r="X1483" s="14" t="n"/>
      <c r="Y1483" s="12" t="n"/>
      <c r="Z1483" s="13" t="n"/>
      <c r="AA1483" s="14" t="n"/>
      <c r="AB1483" s="12" t="n"/>
      <c r="AC1483" s="13" t="n"/>
      <c r="AD1483" s="14" t="n"/>
      <c r="AE1483" s="12" t="n"/>
      <c r="AF1483" s="13" t="n"/>
      <c r="AG1483" s="14" t="n"/>
      <c r="AH1483" s="12" t="n"/>
      <c r="AI1483" s="13" t="n"/>
      <c r="AJ1483" s="14" t="n"/>
      <c r="AK1483" s="12" t="n"/>
      <c r="AL1483" s="13" t="n"/>
      <c r="AM1483" s="14" t="n"/>
      <c r="AN1483" s="12" t="n"/>
      <c r="AO1483" s="13" t="n"/>
      <c r="AP1483" s="14" t="n"/>
      <c r="AQ1483" s="12" t="n"/>
      <c r="AR1483" s="13" t="n"/>
      <c r="AS1483" s="14" t="n"/>
      <c r="AT1483" s="12" t="n"/>
      <c r="AU1483" s="13" t="n"/>
      <c r="AV1483" s="14" t="n"/>
      <c r="AW1483" s="12" t="n"/>
      <c r="AX1483" s="13" t="n"/>
      <c r="AY1483" s="14" t="n"/>
      <c r="AZ1483" s="12" t="n"/>
      <c r="BA1483" s="13" t="n"/>
      <c r="BB1483" s="14" t="n"/>
      <c r="BC1483" s="11">
        <f>IF(O1483="","",IF(J1483="GST 10%",ROUND(O1483*set_GSTRate,2),0))</f>
        <v/>
      </c>
      <c r="BD1483" s="11">
        <f>IF(O1483="","",O1483+BC1483)</f>
        <v/>
      </c>
      <c r="BE1483" s="15">
        <f>IF(O1483="","",COUNTA(S1483,V1483,Y1483,AB1483,AE1483,AH1483,AK1483,AN1483,AQ1483,AT1483,AW1483,AZ1483))</f>
        <v/>
      </c>
      <c r="BF1483" s="16">
        <f>IF(COUNT(T1483,W1483,Z1483,AC1483,AF1483,AI1483,AL1483,AO1483,AR1483,AU1483,AX1483,BA1483)=0,"",MAX(T1483,W1483,Z1483,AC1483,AF1483,AI1483,AL1483,AO1483,AR1483,AU1483,AX1483,BA1483))</f>
        <v/>
      </c>
      <c r="BG1483" s="10">
        <f>MID(IF(S1483="","",", "&amp;S1483)&amp;IF(V1483="","",", "&amp;V1483)&amp;IF(Y1483="","",", "&amp;Y1483)&amp;IF(AB1483="","",", "&amp;AB1483)&amp;IF(AE1483="","",", "&amp;AE1483)&amp;IF(AH1483="","",", "&amp;AH1483)&amp;IF(AK1483="","",", "&amp;AK1483)&amp;IF(AN1483="","",", "&amp;AN1483)&amp;IF(AQ1483="","",", "&amp;AQ1483)&amp;IF(AT1483="","",", "&amp;AT1483)&amp;IF(AW1483="","",", "&amp;AW1483)&amp;IF(AZ1483="","",", "&amp;AZ1483),3,500)</f>
        <v/>
      </c>
      <c r="BH1483" s="12" t="n"/>
      <c r="BI1483" s="15">
        <f>IFERROR(MATCH($A1483,IF($B1483="Onsite",tbl_Onsite[Row ID],IF($B1483="Production",tbl_Production[Row ID],tbl_Consulting[Row ID])),0),"")</f>
        <v/>
      </c>
    </row>
    <row r="1484">
      <c r="A1484" s="10" t="inlineStr">
        <is>
          <t>CON-0478</t>
        </is>
      </c>
      <c r="B1484" s="10" t="inlineStr">
        <is>
          <t>Consulting</t>
        </is>
      </c>
      <c r="C1484" s="10">
        <f>IF($BI1484="","",IF($B1484="Onsite",INDEX(tbl_Onsite[Job Number],$BI1484),IF($B1484="Production",INDEX(tbl_Production[Job Number],$BI1484),INDEX(tbl_Consulting[Job Number],$BI1484)))&amp;"")</f>
        <v/>
      </c>
      <c r="D1484" s="10">
        <f>IF($BI1484="","",IF($B1484="Onsite",INDEX(tbl_Onsite[Client],$BI1484),IF($B1484="Production",INDEX(tbl_Production[Client],$BI1484),INDEX(tbl_Consulting[Client],$BI1484)))&amp;"")</f>
        <v/>
      </c>
      <c r="E1484" s="10">
        <f>IF($C1484="","",IF(COUNTIF(lst_Jobs,$C1484)&gt;0,"OK","CHECK"))</f>
        <v/>
      </c>
      <c r="F1484" s="10">
        <f>IF($C1484="","",IFERROR(INDEX(lst_JobName,MATCH($C1484,lst_Jobs,0)),""))</f>
        <v/>
      </c>
      <c r="G1484" s="10">
        <f>IF($BI1484="","",IF($B1484="Onsite",INDEX(tbl_Onsite[Job Description],$BI1484),IF($B1484="Production",INDEX(tbl_Production[Job Description],$BI1484),INDEX(tbl_Consulting[Job Description],$BI1484)))&amp;"")</f>
        <v/>
      </c>
      <c r="H1484" s="10">
        <f>IF($BI1484="","",IF($B1484="Onsite",INDEX(tbl_Onsite[Cost Centre],$BI1484),IF($B1484="Production",INDEX(tbl_Production[Cost Centre],$BI1484),INDEX(tbl_Consulting[Cost Centre],$BI1484)))&amp;"")</f>
        <v/>
      </c>
      <c r="I1484" s="10">
        <f>IF($BI1484="","",IF($B1484="Onsite",INDEX(tbl_Onsite[Invoice Type],$BI1484),IF($B1484="Production",INDEX(tbl_Production[Invoice Type],$BI1484),INDEX(tbl_Consulting[Invoice Type],$BI1484)))&amp;"")</f>
        <v/>
      </c>
      <c r="J1484" s="10">
        <f>IF($BI1484="","",IF($B1484="Onsite",INDEX(tbl_Onsite[Tax Code],$BI1484),IF($B1484="Production",INDEX(tbl_Production[Tax Code],$BI1484),INDEX(tbl_Consulting[Tax Code],$BI1484)))&amp;"")</f>
        <v/>
      </c>
      <c r="K1484" s="10">
        <f>IF(H1484="","",IFERROR(INDEX(lst_CCtoGL,MATCH(H1484,lst_CCforGL,0)),""))</f>
        <v/>
      </c>
      <c r="L1484" s="10">
        <f>IF($BI1484="","",IF($B1484="Onsite",INDEX(tbl_Onsite[PO / Reference],$BI1484),IF($B1484="Production",INDEX(tbl_Production[Current RMS No],$BI1484),INDEX(tbl_Consulting[Qwilr Quote],$BI1484)))&amp;"")</f>
        <v/>
      </c>
      <c r="M1484" s="10">
        <f>IF($BI1484="","",IF($B1484="Onsite",INDEX(tbl_Onsite[Notes],$BI1484),IF($B1484="Production",INDEX(tbl_Production[Notes],$BI1484),INDEX(tbl_Consulting[Notes],$BI1484)))&amp;"")</f>
        <v/>
      </c>
      <c r="N1484" s="11">
        <f>IF($BI1484="","",IF(IF($B1484="Onsite",INDEX(tbl_Onsite[Expected Revenue Ex GST],$BI1484),IF($B1484="Production",INDEX(tbl_Production[Expected Revenue Ex GST],$BI1484),INDEX(tbl_Consulting[Expected Revenue Ex GST],$BI1484)))="","",IF($B1484="Onsite",INDEX(tbl_Onsite[Expected Revenue Ex GST],$BI1484),IF($B1484="Production",INDEX(tbl_Production[Expected Revenue Ex GST],$BI1484),INDEX(tbl_Consulting[Expected Revenue Ex GST],$BI1484)))))</f>
        <v/>
      </c>
      <c r="O1484" s="11">
        <f>IF(AND($C1484="",NOT(COUNTA($S1484:$BB1484)&gt;0)),"",SUM(U1484,X1484,AA1484,AD1484,AG1484,AJ1484,AM1484,AP1484,AS1484,AV1484,AY1484,BB1484))</f>
        <v/>
      </c>
      <c r="P1484" s="11">
        <f>IF(O1484="","",N(N1484)-O1484)</f>
        <v/>
      </c>
      <c r="Q1484" s="10">
        <f>IF(O1484="","",IF($C1484="","Invoice on empty job row",IF(N1484="",IF(ROUND(O1484,2)=0,"No dept value","Invoiced - no dept value"),IF(ROUND(O1484,2)=0,"Not invoiced - to invoice",IF(ROUND(P1484,2)=0,"Agrees",IF(P1484&gt;0,"Dept higher - to invoice","Xero higher - check dept"))))))</f>
        <v/>
      </c>
      <c r="R1484" s="10">
        <f>IF(AND($C1484="",NOT(COUNTA($S1484:$BB1484)&gt;0),$BI1484&lt;&gt;""),"",MID(IF($BI1484="","; Row ID not found on the department sheet - a row was deleted","")&amp;IF(AND($C1484="",COUNTA($S1484:$BB1484)&gt;0),"; Invoice entered but the department row has no job number","")&amp;IF(E1484="CHECK","; Job number not in the Xero job list","")&amp;IF(AND($C1484&lt;&gt;"",COUNTIF($C$7:$C$1506,$C1484)&gt;1),"; Job number on more than one row","")&amp;IF(AND($C1484&lt;&gt;"",H1484=""),"; Dept has not set a cost centre","")&amp;IF(AND($C1484&lt;&gt;"",J1484=""),"; Dept has not set a tax code","")&amp;IF(AND($C1484&lt;&gt;"",N1484=""),"; Dept has not entered an expected value","")&amp;IF((IF(OR(COUNTA(S1484:U1484)=0,AND(COUNTA(S1484:U1484)=3,ISNUMBER(U1484))),0,1)+IF(OR(COUNTA(V1484:X1484)=0,AND(COUNTA(V1484:X1484)=3,ISNUMBER(X1484))),0,1)+IF(OR(COUNTA(Y1484:AA1484)=0,AND(COUNTA(Y1484:AA1484)=3,ISNUMBER(AA1484))),0,1)+IF(OR(COUNTA(AB1484:AD1484)=0,AND(COUNTA(AB1484:AD1484)=3,ISNUMBER(AD1484))),0,1)+IF(OR(COUNTA(AE1484:AG1484)=0,AND(COUNTA(AE1484:AG1484)=3,ISNUMBER(AG1484))),0,1)+IF(OR(COUNTA(AH1484:AJ1484)=0,AND(COUNTA(AH1484:AJ1484)=3,ISNUMBER(AJ1484))),0,1)+IF(OR(COUNTA(AK1484:AM1484)=0,AND(COUNTA(AK1484:AM1484)=3,ISNUMBER(AM1484))),0,1)+IF(OR(COUNTA(AN1484:AP1484)=0,AND(COUNTA(AN1484:AP1484)=3,ISNUMBER(AP1484))),0,1)+IF(OR(COUNTA(AQ1484:AS1484)=0,AND(COUNTA(AQ1484:AS1484)=3,ISNUMBER(AS1484))),0,1)+IF(OR(COUNTA(AT1484:AV1484)=0,AND(COUNTA(AT1484:AV1484)=3,ISNUMBER(AV1484))),0,1)+IF(OR(COUNTA(AW1484:AY1484)=0,AND(COUNTA(AW1484:AY1484)=3,ISNUMBER(AY1484))),0,1)+IF(OR(COUNTA(AZ1484:BB1484)=0,AND(COUNTA(AZ1484:BB1484)=3,ISNUMBER(BB1484))),0,1))&gt;0,"; An invoice is incomplete (needs No, Date and a number in Ex GST)","")&amp;IF((IF(T1484="",0,IFERROR(--(EOMONTH(T1484,0)&lt;&gt;S$5),1))+IF(W1484="",0,IFERROR(--(EOMONTH(W1484,0)&lt;&gt;V$5),1))+IF(Z1484="",0,IFERROR(--(EOMONTH(Z1484,0)&lt;&gt;Y$5),1))+IF(AC1484="",0,IFERROR(--(EOMONTH(AC1484,0)&lt;&gt;AB$5),1))+IF(AF1484="",0,IFERROR(--(EOMONTH(AF1484,0)&lt;&gt;AE$5),1))+IF(AI1484="",0,IFERROR(--(EOMONTH(AI1484,0)&lt;&gt;AH$5),1))+IF(AL1484="",0,IFERROR(--(EOMONTH(AL1484,0)&lt;&gt;AK$5),1))+IF(AO1484="",0,IFERROR(--(EOMONTH(AO1484,0)&lt;&gt;AN$5),1))+IF(AR1484="",0,IFERROR(--(EOMONTH(AR1484,0)&lt;&gt;AQ$5),1))+IF(AU1484="",0,IFERROR(--(EOMONTH(AU1484,0)&lt;&gt;AT$5),1))+IF(AX1484="",0,IFERROR(--(EOMONTH(AX1484,0)&lt;&gt;AW$5),1))+IF(BA1484="",0,IFERROR(--(EOMONTH(BA1484,0)&lt;&gt;AZ$5),1)))&gt;0,"; An invoice date is not in the month it is typed under",""),3,500))</f>
        <v/>
      </c>
      <c r="S1484" s="12" t="n"/>
      <c r="T1484" s="13" t="n"/>
      <c r="U1484" s="14" t="n"/>
      <c r="V1484" s="12" t="n"/>
      <c r="W1484" s="13" t="n"/>
      <c r="X1484" s="14" t="n"/>
      <c r="Y1484" s="12" t="n"/>
      <c r="Z1484" s="13" t="n"/>
      <c r="AA1484" s="14" t="n"/>
      <c r="AB1484" s="12" t="n"/>
      <c r="AC1484" s="13" t="n"/>
      <c r="AD1484" s="14" t="n"/>
      <c r="AE1484" s="12" t="n"/>
      <c r="AF1484" s="13" t="n"/>
      <c r="AG1484" s="14" t="n"/>
      <c r="AH1484" s="12" t="n"/>
      <c r="AI1484" s="13" t="n"/>
      <c r="AJ1484" s="14" t="n"/>
      <c r="AK1484" s="12" t="n"/>
      <c r="AL1484" s="13" t="n"/>
      <c r="AM1484" s="14" t="n"/>
      <c r="AN1484" s="12" t="n"/>
      <c r="AO1484" s="13" t="n"/>
      <c r="AP1484" s="14" t="n"/>
      <c r="AQ1484" s="12" t="n"/>
      <c r="AR1484" s="13" t="n"/>
      <c r="AS1484" s="14" t="n"/>
      <c r="AT1484" s="12" t="n"/>
      <c r="AU1484" s="13" t="n"/>
      <c r="AV1484" s="14" t="n"/>
      <c r="AW1484" s="12" t="n"/>
      <c r="AX1484" s="13" t="n"/>
      <c r="AY1484" s="14" t="n"/>
      <c r="AZ1484" s="12" t="n"/>
      <c r="BA1484" s="13" t="n"/>
      <c r="BB1484" s="14" t="n"/>
      <c r="BC1484" s="11">
        <f>IF(O1484="","",IF(J1484="GST 10%",ROUND(O1484*set_GSTRate,2),0))</f>
        <v/>
      </c>
      <c r="BD1484" s="11">
        <f>IF(O1484="","",O1484+BC1484)</f>
        <v/>
      </c>
      <c r="BE1484" s="15">
        <f>IF(O1484="","",COUNTA(S1484,V1484,Y1484,AB1484,AE1484,AH1484,AK1484,AN1484,AQ1484,AT1484,AW1484,AZ1484))</f>
        <v/>
      </c>
      <c r="BF1484" s="16">
        <f>IF(COUNT(T1484,W1484,Z1484,AC1484,AF1484,AI1484,AL1484,AO1484,AR1484,AU1484,AX1484,BA1484)=0,"",MAX(T1484,W1484,Z1484,AC1484,AF1484,AI1484,AL1484,AO1484,AR1484,AU1484,AX1484,BA1484))</f>
        <v/>
      </c>
      <c r="BG1484" s="10">
        <f>MID(IF(S1484="","",", "&amp;S1484)&amp;IF(V1484="","",", "&amp;V1484)&amp;IF(Y1484="","",", "&amp;Y1484)&amp;IF(AB1484="","",", "&amp;AB1484)&amp;IF(AE1484="","",", "&amp;AE1484)&amp;IF(AH1484="","",", "&amp;AH1484)&amp;IF(AK1484="","",", "&amp;AK1484)&amp;IF(AN1484="","",", "&amp;AN1484)&amp;IF(AQ1484="","",", "&amp;AQ1484)&amp;IF(AT1484="","",", "&amp;AT1484)&amp;IF(AW1484="","",", "&amp;AW1484)&amp;IF(AZ1484="","",", "&amp;AZ1484),3,500)</f>
        <v/>
      </c>
      <c r="BH1484" s="12" t="n"/>
      <c r="BI1484" s="15">
        <f>IFERROR(MATCH($A1484,IF($B1484="Onsite",tbl_Onsite[Row ID],IF($B1484="Production",tbl_Production[Row ID],tbl_Consulting[Row ID])),0),"")</f>
        <v/>
      </c>
    </row>
    <row r="1485">
      <c r="A1485" s="10" t="inlineStr">
        <is>
          <t>CON-0479</t>
        </is>
      </c>
      <c r="B1485" s="10" t="inlineStr">
        <is>
          <t>Consulting</t>
        </is>
      </c>
      <c r="C1485" s="10">
        <f>IF($BI1485="","",IF($B1485="Onsite",INDEX(tbl_Onsite[Job Number],$BI1485),IF($B1485="Production",INDEX(tbl_Production[Job Number],$BI1485),INDEX(tbl_Consulting[Job Number],$BI1485)))&amp;"")</f>
        <v/>
      </c>
      <c r="D1485" s="10">
        <f>IF($BI1485="","",IF($B1485="Onsite",INDEX(tbl_Onsite[Client],$BI1485),IF($B1485="Production",INDEX(tbl_Production[Client],$BI1485),INDEX(tbl_Consulting[Client],$BI1485)))&amp;"")</f>
        <v/>
      </c>
      <c r="E1485" s="10">
        <f>IF($C1485="","",IF(COUNTIF(lst_Jobs,$C1485)&gt;0,"OK","CHECK"))</f>
        <v/>
      </c>
      <c r="F1485" s="10">
        <f>IF($C1485="","",IFERROR(INDEX(lst_JobName,MATCH($C1485,lst_Jobs,0)),""))</f>
        <v/>
      </c>
      <c r="G1485" s="10">
        <f>IF($BI1485="","",IF($B1485="Onsite",INDEX(tbl_Onsite[Job Description],$BI1485),IF($B1485="Production",INDEX(tbl_Production[Job Description],$BI1485),INDEX(tbl_Consulting[Job Description],$BI1485)))&amp;"")</f>
        <v/>
      </c>
      <c r="H1485" s="10">
        <f>IF($BI1485="","",IF($B1485="Onsite",INDEX(tbl_Onsite[Cost Centre],$BI1485),IF($B1485="Production",INDEX(tbl_Production[Cost Centre],$BI1485),INDEX(tbl_Consulting[Cost Centre],$BI1485)))&amp;"")</f>
        <v/>
      </c>
      <c r="I1485" s="10">
        <f>IF($BI1485="","",IF($B1485="Onsite",INDEX(tbl_Onsite[Invoice Type],$BI1485),IF($B1485="Production",INDEX(tbl_Production[Invoice Type],$BI1485),INDEX(tbl_Consulting[Invoice Type],$BI1485)))&amp;"")</f>
        <v/>
      </c>
      <c r="J1485" s="10">
        <f>IF($BI1485="","",IF($B1485="Onsite",INDEX(tbl_Onsite[Tax Code],$BI1485),IF($B1485="Production",INDEX(tbl_Production[Tax Code],$BI1485),INDEX(tbl_Consulting[Tax Code],$BI1485)))&amp;"")</f>
        <v/>
      </c>
      <c r="K1485" s="10">
        <f>IF(H1485="","",IFERROR(INDEX(lst_CCtoGL,MATCH(H1485,lst_CCforGL,0)),""))</f>
        <v/>
      </c>
      <c r="L1485" s="10">
        <f>IF($BI1485="","",IF($B1485="Onsite",INDEX(tbl_Onsite[PO / Reference],$BI1485),IF($B1485="Production",INDEX(tbl_Production[Current RMS No],$BI1485),INDEX(tbl_Consulting[Qwilr Quote],$BI1485)))&amp;"")</f>
        <v/>
      </c>
      <c r="M1485" s="10">
        <f>IF($BI1485="","",IF($B1485="Onsite",INDEX(tbl_Onsite[Notes],$BI1485),IF($B1485="Production",INDEX(tbl_Production[Notes],$BI1485),INDEX(tbl_Consulting[Notes],$BI1485)))&amp;"")</f>
        <v/>
      </c>
      <c r="N1485" s="11">
        <f>IF($BI1485="","",IF(IF($B1485="Onsite",INDEX(tbl_Onsite[Expected Revenue Ex GST],$BI1485),IF($B1485="Production",INDEX(tbl_Production[Expected Revenue Ex GST],$BI1485),INDEX(tbl_Consulting[Expected Revenue Ex GST],$BI1485)))="","",IF($B1485="Onsite",INDEX(tbl_Onsite[Expected Revenue Ex GST],$BI1485),IF($B1485="Production",INDEX(tbl_Production[Expected Revenue Ex GST],$BI1485),INDEX(tbl_Consulting[Expected Revenue Ex GST],$BI1485)))))</f>
        <v/>
      </c>
      <c r="O1485" s="11">
        <f>IF(AND($C1485="",NOT(COUNTA($S1485:$BB1485)&gt;0)),"",SUM(U1485,X1485,AA1485,AD1485,AG1485,AJ1485,AM1485,AP1485,AS1485,AV1485,AY1485,BB1485))</f>
        <v/>
      </c>
      <c r="P1485" s="11">
        <f>IF(O1485="","",N(N1485)-O1485)</f>
        <v/>
      </c>
      <c r="Q1485" s="10">
        <f>IF(O1485="","",IF($C1485="","Invoice on empty job row",IF(N1485="",IF(ROUND(O1485,2)=0,"No dept value","Invoiced - no dept value"),IF(ROUND(O1485,2)=0,"Not invoiced - to invoice",IF(ROUND(P1485,2)=0,"Agrees",IF(P1485&gt;0,"Dept higher - to invoice","Xero higher - check dept"))))))</f>
        <v/>
      </c>
      <c r="R1485" s="10">
        <f>IF(AND($C1485="",NOT(COUNTA($S1485:$BB1485)&gt;0),$BI1485&lt;&gt;""),"",MID(IF($BI1485="","; Row ID not found on the department sheet - a row was deleted","")&amp;IF(AND($C1485="",COUNTA($S1485:$BB1485)&gt;0),"; Invoice entered but the department row has no job number","")&amp;IF(E1485="CHECK","; Job number not in the Xero job list","")&amp;IF(AND($C1485&lt;&gt;"",COUNTIF($C$7:$C$1506,$C1485)&gt;1),"; Job number on more than one row","")&amp;IF(AND($C1485&lt;&gt;"",H1485=""),"; Dept has not set a cost centre","")&amp;IF(AND($C1485&lt;&gt;"",J1485=""),"; Dept has not set a tax code","")&amp;IF(AND($C1485&lt;&gt;"",N1485=""),"; Dept has not entered an expected value","")&amp;IF((IF(OR(COUNTA(S1485:U1485)=0,AND(COUNTA(S1485:U1485)=3,ISNUMBER(U1485))),0,1)+IF(OR(COUNTA(V1485:X1485)=0,AND(COUNTA(V1485:X1485)=3,ISNUMBER(X1485))),0,1)+IF(OR(COUNTA(Y1485:AA1485)=0,AND(COUNTA(Y1485:AA1485)=3,ISNUMBER(AA1485))),0,1)+IF(OR(COUNTA(AB1485:AD1485)=0,AND(COUNTA(AB1485:AD1485)=3,ISNUMBER(AD1485))),0,1)+IF(OR(COUNTA(AE1485:AG1485)=0,AND(COUNTA(AE1485:AG1485)=3,ISNUMBER(AG1485))),0,1)+IF(OR(COUNTA(AH1485:AJ1485)=0,AND(COUNTA(AH1485:AJ1485)=3,ISNUMBER(AJ1485))),0,1)+IF(OR(COUNTA(AK1485:AM1485)=0,AND(COUNTA(AK1485:AM1485)=3,ISNUMBER(AM1485))),0,1)+IF(OR(COUNTA(AN1485:AP1485)=0,AND(COUNTA(AN1485:AP1485)=3,ISNUMBER(AP1485))),0,1)+IF(OR(COUNTA(AQ1485:AS1485)=0,AND(COUNTA(AQ1485:AS1485)=3,ISNUMBER(AS1485))),0,1)+IF(OR(COUNTA(AT1485:AV1485)=0,AND(COUNTA(AT1485:AV1485)=3,ISNUMBER(AV1485))),0,1)+IF(OR(COUNTA(AW1485:AY1485)=0,AND(COUNTA(AW1485:AY1485)=3,ISNUMBER(AY1485))),0,1)+IF(OR(COUNTA(AZ1485:BB1485)=0,AND(COUNTA(AZ1485:BB1485)=3,ISNUMBER(BB1485))),0,1))&gt;0,"; An invoice is incomplete (needs No, Date and a number in Ex GST)","")&amp;IF((IF(T1485="",0,IFERROR(--(EOMONTH(T1485,0)&lt;&gt;S$5),1))+IF(W1485="",0,IFERROR(--(EOMONTH(W1485,0)&lt;&gt;V$5),1))+IF(Z1485="",0,IFERROR(--(EOMONTH(Z1485,0)&lt;&gt;Y$5),1))+IF(AC1485="",0,IFERROR(--(EOMONTH(AC1485,0)&lt;&gt;AB$5),1))+IF(AF1485="",0,IFERROR(--(EOMONTH(AF1485,0)&lt;&gt;AE$5),1))+IF(AI1485="",0,IFERROR(--(EOMONTH(AI1485,0)&lt;&gt;AH$5),1))+IF(AL1485="",0,IFERROR(--(EOMONTH(AL1485,0)&lt;&gt;AK$5),1))+IF(AO1485="",0,IFERROR(--(EOMONTH(AO1485,0)&lt;&gt;AN$5),1))+IF(AR1485="",0,IFERROR(--(EOMONTH(AR1485,0)&lt;&gt;AQ$5),1))+IF(AU1485="",0,IFERROR(--(EOMONTH(AU1485,0)&lt;&gt;AT$5),1))+IF(AX1485="",0,IFERROR(--(EOMONTH(AX1485,0)&lt;&gt;AW$5),1))+IF(BA1485="",0,IFERROR(--(EOMONTH(BA1485,0)&lt;&gt;AZ$5),1)))&gt;0,"; An invoice date is not in the month it is typed under",""),3,500))</f>
        <v/>
      </c>
      <c r="S1485" s="12" t="n"/>
      <c r="T1485" s="13" t="n"/>
      <c r="U1485" s="14" t="n"/>
      <c r="V1485" s="12" t="n"/>
      <c r="W1485" s="13" t="n"/>
      <c r="X1485" s="14" t="n"/>
      <c r="Y1485" s="12" t="n"/>
      <c r="Z1485" s="13" t="n"/>
      <c r="AA1485" s="14" t="n"/>
      <c r="AB1485" s="12" t="n"/>
      <c r="AC1485" s="13" t="n"/>
      <c r="AD1485" s="14" t="n"/>
      <c r="AE1485" s="12" t="n"/>
      <c r="AF1485" s="13" t="n"/>
      <c r="AG1485" s="14" t="n"/>
      <c r="AH1485" s="12" t="n"/>
      <c r="AI1485" s="13" t="n"/>
      <c r="AJ1485" s="14" t="n"/>
      <c r="AK1485" s="12" t="n"/>
      <c r="AL1485" s="13" t="n"/>
      <c r="AM1485" s="14" t="n"/>
      <c r="AN1485" s="12" t="n"/>
      <c r="AO1485" s="13" t="n"/>
      <c r="AP1485" s="14" t="n"/>
      <c r="AQ1485" s="12" t="n"/>
      <c r="AR1485" s="13" t="n"/>
      <c r="AS1485" s="14" t="n"/>
      <c r="AT1485" s="12" t="n"/>
      <c r="AU1485" s="13" t="n"/>
      <c r="AV1485" s="14" t="n"/>
      <c r="AW1485" s="12" t="n"/>
      <c r="AX1485" s="13" t="n"/>
      <c r="AY1485" s="14" t="n"/>
      <c r="AZ1485" s="12" t="n"/>
      <c r="BA1485" s="13" t="n"/>
      <c r="BB1485" s="14" t="n"/>
      <c r="BC1485" s="11">
        <f>IF(O1485="","",IF(J1485="GST 10%",ROUND(O1485*set_GSTRate,2),0))</f>
        <v/>
      </c>
      <c r="BD1485" s="11">
        <f>IF(O1485="","",O1485+BC1485)</f>
        <v/>
      </c>
      <c r="BE1485" s="15">
        <f>IF(O1485="","",COUNTA(S1485,V1485,Y1485,AB1485,AE1485,AH1485,AK1485,AN1485,AQ1485,AT1485,AW1485,AZ1485))</f>
        <v/>
      </c>
      <c r="BF1485" s="16">
        <f>IF(COUNT(T1485,W1485,Z1485,AC1485,AF1485,AI1485,AL1485,AO1485,AR1485,AU1485,AX1485,BA1485)=0,"",MAX(T1485,W1485,Z1485,AC1485,AF1485,AI1485,AL1485,AO1485,AR1485,AU1485,AX1485,BA1485))</f>
        <v/>
      </c>
      <c r="BG1485" s="10">
        <f>MID(IF(S1485="","",", "&amp;S1485)&amp;IF(V1485="","",", "&amp;V1485)&amp;IF(Y1485="","",", "&amp;Y1485)&amp;IF(AB1485="","",", "&amp;AB1485)&amp;IF(AE1485="","",", "&amp;AE1485)&amp;IF(AH1485="","",", "&amp;AH1485)&amp;IF(AK1485="","",", "&amp;AK1485)&amp;IF(AN1485="","",", "&amp;AN1485)&amp;IF(AQ1485="","",", "&amp;AQ1485)&amp;IF(AT1485="","",", "&amp;AT1485)&amp;IF(AW1485="","",", "&amp;AW1485)&amp;IF(AZ1485="","",", "&amp;AZ1485),3,500)</f>
        <v/>
      </c>
      <c r="BH1485" s="12" t="n"/>
      <c r="BI1485" s="15">
        <f>IFERROR(MATCH($A1485,IF($B1485="Onsite",tbl_Onsite[Row ID],IF($B1485="Production",tbl_Production[Row ID],tbl_Consulting[Row ID])),0),"")</f>
        <v/>
      </c>
    </row>
    <row r="1486">
      <c r="A1486" s="10" t="inlineStr">
        <is>
          <t>CON-0480</t>
        </is>
      </c>
      <c r="B1486" s="10" t="inlineStr">
        <is>
          <t>Consulting</t>
        </is>
      </c>
      <c r="C1486" s="10">
        <f>IF($BI1486="","",IF($B1486="Onsite",INDEX(tbl_Onsite[Job Number],$BI1486),IF($B1486="Production",INDEX(tbl_Production[Job Number],$BI1486),INDEX(tbl_Consulting[Job Number],$BI1486)))&amp;"")</f>
        <v/>
      </c>
      <c r="D1486" s="10">
        <f>IF($BI1486="","",IF($B1486="Onsite",INDEX(tbl_Onsite[Client],$BI1486),IF($B1486="Production",INDEX(tbl_Production[Client],$BI1486),INDEX(tbl_Consulting[Client],$BI1486)))&amp;"")</f>
        <v/>
      </c>
      <c r="E1486" s="10">
        <f>IF($C1486="","",IF(COUNTIF(lst_Jobs,$C1486)&gt;0,"OK","CHECK"))</f>
        <v/>
      </c>
      <c r="F1486" s="10">
        <f>IF($C1486="","",IFERROR(INDEX(lst_JobName,MATCH($C1486,lst_Jobs,0)),""))</f>
        <v/>
      </c>
      <c r="G1486" s="10">
        <f>IF($BI1486="","",IF($B1486="Onsite",INDEX(tbl_Onsite[Job Description],$BI1486),IF($B1486="Production",INDEX(tbl_Production[Job Description],$BI1486),INDEX(tbl_Consulting[Job Description],$BI1486)))&amp;"")</f>
        <v/>
      </c>
      <c r="H1486" s="10">
        <f>IF($BI1486="","",IF($B1486="Onsite",INDEX(tbl_Onsite[Cost Centre],$BI1486),IF($B1486="Production",INDEX(tbl_Production[Cost Centre],$BI1486),INDEX(tbl_Consulting[Cost Centre],$BI1486)))&amp;"")</f>
        <v/>
      </c>
      <c r="I1486" s="10">
        <f>IF($BI1486="","",IF($B1486="Onsite",INDEX(tbl_Onsite[Invoice Type],$BI1486),IF($B1486="Production",INDEX(tbl_Production[Invoice Type],$BI1486),INDEX(tbl_Consulting[Invoice Type],$BI1486)))&amp;"")</f>
        <v/>
      </c>
      <c r="J1486" s="10">
        <f>IF($BI1486="","",IF($B1486="Onsite",INDEX(tbl_Onsite[Tax Code],$BI1486),IF($B1486="Production",INDEX(tbl_Production[Tax Code],$BI1486),INDEX(tbl_Consulting[Tax Code],$BI1486)))&amp;"")</f>
        <v/>
      </c>
      <c r="K1486" s="10">
        <f>IF(H1486="","",IFERROR(INDEX(lst_CCtoGL,MATCH(H1486,lst_CCforGL,0)),""))</f>
        <v/>
      </c>
      <c r="L1486" s="10">
        <f>IF($BI1486="","",IF($B1486="Onsite",INDEX(tbl_Onsite[PO / Reference],$BI1486),IF($B1486="Production",INDEX(tbl_Production[Current RMS No],$BI1486),INDEX(tbl_Consulting[Qwilr Quote],$BI1486)))&amp;"")</f>
        <v/>
      </c>
      <c r="M1486" s="10">
        <f>IF($BI1486="","",IF($B1486="Onsite",INDEX(tbl_Onsite[Notes],$BI1486),IF($B1486="Production",INDEX(tbl_Production[Notes],$BI1486),INDEX(tbl_Consulting[Notes],$BI1486)))&amp;"")</f>
        <v/>
      </c>
      <c r="N1486" s="11">
        <f>IF($BI1486="","",IF(IF($B1486="Onsite",INDEX(tbl_Onsite[Expected Revenue Ex GST],$BI1486),IF($B1486="Production",INDEX(tbl_Production[Expected Revenue Ex GST],$BI1486),INDEX(tbl_Consulting[Expected Revenue Ex GST],$BI1486)))="","",IF($B1486="Onsite",INDEX(tbl_Onsite[Expected Revenue Ex GST],$BI1486),IF($B1486="Production",INDEX(tbl_Production[Expected Revenue Ex GST],$BI1486),INDEX(tbl_Consulting[Expected Revenue Ex GST],$BI1486)))))</f>
        <v/>
      </c>
      <c r="O1486" s="11">
        <f>IF(AND($C1486="",NOT(COUNTA($S1486:$BB1486)&gt;0)),"",SUM(U1486,X1486,AA1486,AD1486,AG1486,AJ1486,AM1486,AP1486,AS1486,AV1486,AY1486,BB1486))</f>
        <v/>
      </c>
      <c r="P1486" s="11">
        <f>IF(O1486="","",N(N1486)-O1486)</f>
        <v/>
      </c>
      <c r="Q1486" s="10">
        <f>IF(O1486="","",IF($C1486="","Invoice on empty job row",IF(N1486="",IF(ROUND(O1486,2)=0,"No dept value","Invoiced - no dept value"),IF(ROUND(O1486,2)=0,"Not invoiced - to invoice",IF(ROUND(P1486,2)=0,"Agrees",IF(P1486&gt;0,"Dept higher - to invoice","Xero higher - check dept"))))))</f>
        <v/>
      </c>
      <c r="R1486" s="10">
        <f>IF(AND($C1486="",NOT(COUNTA($S1486:$BB1486)&gt;0),$BI1486&lt;&gt;""),"",MID(IF($BI1486="","; Row ID not found on the department sheet - a row was deleted","")&amp;IF(AND($C1486="",COUNTA($S1486:$BB1486)&gt;0),"; Invoice entered but the department row has no job number","")&amp;IF(E1486="CHECK","; Job number not in the Xero job list","")&amp;IF(AND($C1486&lt;&gt;"",COUNTIF($C$7:$C$1506,$C1486)&gt;1),"; Job number on more than one row","")&amp;IF(AND($C1486&lt;&gt;"",H1486=""),"; Dept has not set a cost centre","")&amp;IF(AND($C1486&lt;&gt;"",J1486=""),"; Dept has not set a tax code","")&amp;IF(AND($C1486&lt;&gt;"",N1486=""),"; Dept has not entered an expected value","")&amp;IF((IF(OR(COUNTA(S1486:U1486)=0,AND(COUNTA(S1486:U1486)=3,ISNUMBER(U1486))),0,1)+IF(OR(COUNTA(V1486:X1486)=0,AND(COUNTA(V1486:X1486)=3,ISNUMBER(X1486))),0,1)+IF(OR(COUNTA(Y1486:AA1486)=0,AND(COUNTA(Y1486:AA1486)=3,ISNUMBER(AA1486))),0,1)+IF(OR(COUNTA(AB1486:AD1486)=0,AND(COUNTA(AB1486:AD1486)=3,ISNUMBER(AD1486))),0,1)+IF(OR(COUNTA(AE1486:AG1486)=0,AND(COUNTA(AE1486:AG1486)=3,ISNUMBER(AG1486))),0,1)+IF(OR(COUNTA(AH1486:AJ1486)=0,AND(COUNTA(AH1486:AJ1486)=3,ISNUMBER(AJ1486))),0,1)+IF(OR(COUNTA(AK1486:AM1486)=0,AND(COUNTA(AK1486:AM1486)=3,ISNUMBER(AM1486))),0,1)+IF(OR(COUNTA(AN1486:AP1486)=0,AND(COUNTA(AN1486:AP1486)=3,ISNUMBER(AP1486))),0,1)+IF(OR(COUNTA(AQ1486:AS1486)=0,AND(COUNTA(AQ1486:AS1486)=3,ISNUMBER(AS1486))),0,1)+IF(OR(COUNTA(AT1486:AV1486)=0,AND(COUNTA(AT1486:AV1486)=3,ISNUMBER(AV1486))),0,1)+IF(OR(COUNTA(AW1486:AY1486)=0,AND(COUNTA(AW1486:AY1486)=3,ISNUMBER(AY1486))),0,1)+IF(OR(COUNTA(AZ1486:BB1486)=0,AND(COUNTA(AZ1486:BB1486)=3,ISNUMBER(BB1486))),0,1))&gt;0,"; An invoice is incomplete (needs No, Date and a number in Ex GST)","")&amp;IF((IF(T1486="",0,IFERROR(--(EOMONTH(T1486,0)&lt;&gt;S$5),1))+IF(W1486="",0,IFERROR(--(EOMONTH(W1486,0)&lt;&gt;V$5),1))+IF(Z1486="",0,IFERROR(--(EOMONTH(Z1486,0)&lt;&gt;Y$5),1))+IF(AC1486="",0,IFERROR(--(EOMONTH(AC1486,0)&lt;&gt;AB$5),1))+IF(AF1486="",0,IFERROR(--(EOMONTH(AF1486,0)&lt;&gt;AE$5),1))+IF(AI1486="",0,IFERROR(--(EOMONTH(AI1486,0)&lt;&gt;AH$5),1))+IF(AL1486="",0,IFERROR(--(EOMONTH(AL1486,0)&lt;&gt;AK$5),1))+IF(AO1486="",0,IFERROR(--(EOMONTH(AO1486,0)&lt;&gt;AN$5),1))+IF(AR1486="",0,IFERROR(--(EOMONTH(AR1486,0)&lt;&gt;AQ$5),1))+IF(AU1486="",0,IFERROR(--(EOMONTH(AU1486,0)&lt;&gt;AT$5),1))+IF(AX1486="",0,IFERROR(--(EOMONTH(AX1486,0)&lt;&gt;AW$5),1))+IF(BA1486="",0,IFERROR(--(EOMONTH(BA1486,0)&lt;&gt;AZ$5),1)))&gt;0,"; An invoice date is not in the month it is typed under",""),3,500))</f>
        <v/>
      </c>
      <c r="S1486" s="12" t="n"/>
      <c r="T1486" s="13" t="n"/>
      <c r="U1486" s="14" t="n"/>
      <c r="V1486" s="12" t="n"/>
      <c r="W1486" s="13" t="n"/>
      <c r="X1486" s="14" t="n"/>
      <c r="Y1486" s="12" t="n"/>
      <c r="Z1486" s="13" t="n"/>
      <c r="AA1486" s="14" t="n"/>
      <c r="AB1486" s="12" t="n"/>
      <c r="AC1486" s="13" t="n"/>
      <c r="AD1486" s="14" t="n"/>
      <c r="AE1486" s="12" t="n"/>
      <c r="AF1486" s="13" t="n"/>
      <c r="AG1486" s="14" t="n"/>
      <c r="AH1486" s="12" t="n"/>
      <c r="AI1486" s="13" t="n"/>
      <c r="AJ1486" s="14" t="n"/>
      <c r="AK1486" s="12" t="n"/>
      <c r="AL1486" s="13" t="n"/>
      <c r="AM1486" s="14" t="n"/>
      <c r="AN1486" s="12" t="n"/>
      <c r="AO1486" s="13" t="n"/>
      <c r="AP1486" s="14" t="n"/>
      <c r="AQ1486" s="12" t="n"/>
      <c r="AR1486" s="13" t="n"/>
      <c r="AS1486" s="14" t="n"/>
      <c r="AT1486" s="12" t="n"/>
      <c r="AU1486" s="13" t="n"/>
      <c r="AV1486" s="14" t="n"/>
      <c r="AW1486" s="12" t="n"/>
      <c r="AX1486" s="13" t="n"/>
      <c r="AY1486" s="14" t="n"/>
      <c r="AZ1486" s="12" t="n"/>
      <c r="BA1486" s="13" t="n"/>
      <c r="BB1486" s="14" t="n"/>
      <c r="BC1486" s="11">
        <f>IF(O1486="","",IF(J1486="GST 10%",ROUND(O1486*set_GSTRate,2),0))</f>
        <v/>
      </c>
      <c r="BD1486" s="11">
        <f>IF(O1486="","",O1486+BC1486)</f>
        <v/>
      </c>
      <c r="BE1486" s="15">
        <f>IF(O1486="","",COUNTA(S1486,V1486,Y1486,AB1486,AE1486,AH1486,AK1486,AN1486,AQ1486,AT1486,AW1486,AZ1486))</f>
        <v/>
      </c>
      <c r="BF1486" s="16">
        <f>IF(COUNT(T1486,W1486,Z1486,AC1486,AF1486,AI1486,AL1486,AO1486,AR1486,AU1486,AX1486,BA1486)=0,"",MAX(T1486,W1486,Z1486,AC1486,AF1486,AI1486,AL1486,AO1486,AR1486,AU1486,AX1486,BA1486))</f>
        <v/>
      </c>
      <c r="BG1486" s="10">
        <f>MID(IF(S1486="","",", "&amp;S1486)&amp;IF(V1486="","",", "&amp;V1486)&amp;IF(Y1486="","",", "&amp;Y1486)&amp;IF(AB1486="","",", "&amp;AB1486)&amp;IF(AE1486="","",", "&amp;AE1486)&amp;IF(AH1486="","",", "&amp;AH1486)&amp;IF(AK1486="","",", "&amp;AK1486)&amp;IF(AN1486="","",", "&amp;AN1486)&amp;IF(AQ1486="","",", "&amp;AQ1486)&amp;IF(AT1486="","",", "&amp;AT1486)&amp;IF(AW1486="","",", "&amp;AW1486)&amp;IF(AZ1486="","",", "&amp;AZ1486),3,500)</f>
        <v/>
      </c>
      <c r="BH1486" s="12" t="n"/>
      <c r="BI1486" s="15">
        <f>IFERROR(MATCH($A1486,IF($B1486="Onsite",tbl_Onsite[Row ID],IF($B1486="Production",tbl_Production[Row ID],tbl_Consulting[Row ID])),0),"")</f>
        <v/>
      </c>
    </row>
    <row r="1487">
      <c r="A1487" s="10" t="inlineStr">
        <is>
          <t>CON-0481</t>
        </is>
      </c>
      <c r="B1487" s="10" t="inlineStr">
        <is>
          <t>Consulting</t>
        </is>
      </c>
      <c r="C1487" s="10">
        <f>IF($BI1487="","",IF($B1487="Onsite",INDEX(tbl_Onsite[Job Number],$BI1487),IF($B1487="Production",INDEX(tbl_Production[Job Number],$BI1487),INDEX(tbl_Consulting[Job Number],$BI1487)))&amp;"")</f>
        <v/>
      </c>
      <c r="D1487" s="10">
        <f>IF($BI1487="","",IF($B1487="Onsite",INDEX(tbl_Onsite[Client],$BI1487),IF($B1487="Production",INDEX(tbl_Production[Client],$BI1487),INDEX(tbl_Consulting[Client],$BI1487)))&amp;"")</f>
        <v/>
      </c>
      <c r="E1487" s="10">
        <f>IF($C1487="","",IF(COUNTIF(lst_Jobs,$C1487)&gt;0,"OK","CHECK"))</f>
        <v/>
      </c>
      <c r="F1487" s="10">
        <f>IF($C1487="","",IFERROR(INDEX(lst_JobName,MATCH($C1487,lst_Jobs,0)),""))</f>
        <v/>
      </c>
      <c r="G1487" s="10">
        <f>IF($BI1487="","",IF($B1487="Onsite",INDEX(tbl_Onsite[Job Description],$BI1487),IF($B1487="Production",INDEX(tbl_Production[Job Description],$BI1487),INDEX(tbl_Consulting[Job Description],$BI1487)))&amp;"")</f>
        <v/>
      </c>
      <c r="H1487" s="10">
        <f>IF($BI1487="","",IF($B1487="Onsite",INDEX(tbl_Onsite[Cost Centre],$BI1487),IF($B1487="Production",INDEX(tbl_Production[Cost Centre],$BI1487),INDEX(tbl_Consulting[Cost Centre],$BI1487)))&amp;"")</f>
        <v/>
      </c>
      <c r="I1487" s="10">
        <f>IF($BI1487="","",IF($B1487="Onsite",INDEX(tbl_Onsite[Invoice Type],$BI1487),IF($B1487="Production",INDEX(tbl_Production[Invoice Type],$BI1487),INDEX(tbl_Consulting[Invoice Type],$BI1487)))&amp;"")</f>
        <v/>
      </c>
      <c r="J1487" s="10">
        <f>IF($BI1487="","",IF($B1487="Onsite",INDEX(tbl_Onsite[Tax Code],$BI1487),IF($B1487="Production",INDEX(tbl_Production[Tax Code],$BI1487),INDEX(tbl_Consulting[Tax Code],$BI1487)))&amp;"")</f>
        <v/>
      </c>
      <c r="K1487" s="10">
        <f>IF(H1487="","",IFERROR(INDEX(lst_CCtoGL,MATCH(H1487,lst_CCforGL,0)),""))</f>
        <v/>
      </c>
      <c r="L1487" s="10">
        <f>IF($BI1487="","",IF($B1487="Onsite",INDEX(tbl_Onsite[PO / Reference],$BI1487),IF($B1487="Production",INDEX(tbl_Production[Current RMS No],$BI1487),INDEX(tbl_Consulting[Qwilr Quote],$BI1487)))&amp;"")</f>
        <v/>
      </c>
      <c r="M1487" s="10">
        <f>IF($BI1487="","",IF($B1487="Onsite",INDEX(tbl_Onsite[Notes],$BI1487),IF($B1487="Production",INDEX(tbl_Production[Notes],$BI1487),INDEX(tbl_Consulting[Notes],$BI1487)))&amp;"")</f>
        <v/>
      </c>
      <c r="N1487" s="11">
        <f>IF($BI1487="","",IF(IF($B1487="Onsite",INDEX(tbl_Onsite[Expected Revenue Ex GST],$BI1487),IF($B1487="Production",INDEX(tbl_Production[Expected Revenue Ex GST],$BI1487),INDEX(tbl_Consulting[Expected Revenue Ex GST],$BI1487)))="","",IF($B1487="Onsite",INDEX(tbl_Onsite[Expected Revenue Ex GST],$BI1487),IF($B1487="Production",INDEX(tbl_Production[Expected Revenue Ex GST],$BI1487),INDEX(tbl_Consulting[Expected Revenue Ex GST],$BI1487)))))</f>
        <v/>
      </c>
      <c r="O1487" s="11">
        <f>IF(AND($C1487="",NOT(COUNTA($S1487:$BB1487)&gt;0)),"",SUM(U1487,X1487,AA1487,AD1487,AG1487,AJ1487,AM1487,AP1487,AS1487,AV1487,AY1487,BB1487))</f>
        <v/>
      </c>
      <c r="P1487" s="11">
        <f>IF(O1487="","",N(N1487)-O1487)</f>
        <v/>
      </c>
      <c r="Q1487" s="10">
        <f>IF(O1487="","",IF($C1487="","Invoice on empty job row",IF(N1487="",IF(ROUND(O1487,2)=0,"No dept value","Invoiced - no dept value"),IF(ROUND(O1487,2)=0,"Not invoiced - to invoice",IF(ROUND(P1487,2)=0,"Agrees",IF(P1487&gt;0,"Dept higher - to invoice","Xero higher - check dept"))))))</f>
        <v/>
      </c>
      <c r="R1487" s="10">
        <f>IF(AND($C1487="",NOT(COUNTA($S1487:$BB1487)&gt;0),$BI1487&lt;&gt;""),"",MID(IF($BI1487="","; Row ID not found on the department sheet - a row was deleted","")&amp;IF(AND($C1487="",COUNTA($S1487:$BB1487)&gt;0),"; Invoice entered but the department row has no job number","")&amp;IF(E1487="CHECK","; Job number not in the Xero job list","")&amp;IF(AND($C1487&lt;&gt;"",COUNTIF($C$7:$C$1506,$C1487)&gt;1),"; Job number on more than one row","")&amp;IF(AND($C1487&lt;&gt;"",H1487=""),"; Dept has not set a cost centre","")&amp;IF(AND($C1487&lt;&gt;"",J1487=""),"; Dept has not set a tax code","")&amp;IF(AND($C1487&lt;&gt;"",N1487=""),"; Dept has not entered an expected value","")&amp;IF((IF(OR(COUNTA(S1487:U1487)=0,AND(COUNTA(S1487:U1487)=3,ISNUMBER(U1487))),0,1)+IF(OR(COUNTA(V1487:X1487)=0,AND(COUNTA(V1487:X1487)=3,ISNUMBER(X1487))),0,1)+IF(OR(COUNTA(Y1487:AA1487)=0,AND(COUNTA(Y1487:AA1487)=3,ISNUMBER(AA1487))),0,1)+IF(OR(COUNTA(AB1487:AD1487)=0,AND(COUNTA(AB1487:AD1487)=3,ISNUMBER(AD1487))),0,1)+IF(OR(COUNTA(AE1487:AG1487)=0,AND(COUNTA(AE1487:AG1487)=3,ISNUMBER(AG1487))),0,1)+IF(OR(COUNTA(AH1487:AJ1487)=0,AND(COUNTA(AH1487:AJ1487)=3,ISNUMBER(AJ1487))),0,1)+IF(OR(COUNTA(AK1487:AM1487)=0,AND(COUNTA(AK1487:AM1487)=3,ISNUMBER(AM1487))),0,1)+IF(OR(COUNTA(AN1487:AP1487)=0,AND(COUNTA(AN1487:AP1487)=3,ISNUMBER(AP1487))),0,1)+IF(OR(COUNTA(AQ1487:AS1487)=0,AND(COUNTA(AQ1487:AS1487)=3,ISNUMBER(AS1487))),0,1)+IF(OR(COUNTA(AT1487:AV1487)=0,AND(COUNTA(AT1487:AV1487)=3,ISNUMBER(AV1487))),0,1)+IF(OR(COUNTA(AW1487:AY1487)=0,AND(COUNTA(AW1487:AY1487)=3,ISNUMBER(AY1487))),0,1)+IF(OR(COUNTA(AZ1487:BB1487)=0,AND(COUNTA(AZ1487:BB1487)=3,ISNUMBER(BB1487))),0,1))&gt;0,"; An invoice is incomplete (needs No, Date and a number in Ex GST)","")&amp;IF((IF(T1487="",0,IFERROR(--(EOMONTH(T1487,0)&lt;&gt;S$5),1))+IF(W1487="",0,IFERROR(--(EOMONTH(W1487,0)&lt;&gt;V$5),1))+IF(Z1487="",0,IFERROR(--(EOMONTH(Z1487,0)&lt;&gt;Y$5),1))+IF(AC1487="",0,IFERROR(--(EOMONTH(AC1487,0)&lt;&gt;AB$5),1))+IF(AF1487="",0,IFERROR(--(EOMONTH(AF1487,0)&lt;&gt;AE$5),1))+IF(AI1487="",0,IFERROR(--(EOMONTH(AI1487,0)&lt;&gt;AH$5),1))+IF(AL1487="",0,IFERROR(--(EOMONTH(AL1487,0)&lt;&gt;AK$5),1))+IF(AO1487="",0,IFERROR(--(EOMONTH(AO1487,0)&lt;&gt;AN$5),1))+IF(AR1487="",0,IFERROR(--(EOMONTH(AR1487,0)&lt;&gt;AQ$5),1))+IF(AU1487="",0,IFERROR(--(EOMONTH(AU1487,0)&lt;&gt;AT$5),1))+IF(AX1487="",0,IFERROR(--(EOMONTH(AX1487,0)&lt;&gt;AW$5),1))+IF(BA1487="",0,IFERROR(--(EOMONTH(BA1487,0)&lt;&gt;AZ$5),1)))&gt;0,"; An invoice date is not in the month it is typed under",""),3,500))</f>
        <v/>
      </c>
      <c r="S1487" s="12" t="n"/>
      <c r="T1487" s="13" t="n"/>
      <c r="U1487" s="14" t="n"/>
      <c r="V1487" s="12" t="n"/>
      <c r="W1487" s="13" t="n"/>
      <c r="X1487" s="14" t="n"/>
      <c r="Y1487" s="12" t="n"/>
      <c r="Z1487" s="13" t="n"/>
      <c r="AA1487" s="14" t="n"/>
      <c r="AB1487" s="12" t="n"/>
      <c r="AC1487" s="13" t="n"/>
      <c r="AD1487" s="14" t="n"/>
      <c r="AE1487" s="12" t="n"/>
      <c r="AF1487" s="13" t="n"/>
      <c r="AG1487" s="14" t="n"/>
      <c r="AH1487" s="12" t="n"/>
      <c r="AI1487" s="13" t="n"/>
      <c r="AJ1487" s="14" t="n"/>
      <c r="AK1487" s="12" t="n"/>
      <c r="AL1487" s="13" t="n"/>
      <c r="AM1487" s="14" t="n"/>
      <c r="AN1487" s="12" t="n"/>
      <c r="AO1487" s="13" t="n"/>
      <c r="AP1487" s="14" t="n"/>
      <c r="AQ1487" s="12" t="n"/>
      <c r="AR1487" s="13" t="n"/>
      <c r="AS1487" s="14" t="n"/>
      <c r="AT1487" s="12" t="n"/>
      <c r="AU1487" s="13" t="n"/>
      <c r="AV1487" s="14" t="n"/>
      <c r="AW1487" s="12" t="n"/>
      <c r="AX1487" s="13" t="n"/>
      <c r="AY1487" s="14" t="n"/>
      <c r="AZ1487" s="12" t="n"/>
      <c r="BA1487" s="13" t="n"/>
      <c r="BB1487" s="14" t="n"/>
      <c r="BC1487" s="11">
        <f>IF(O1487="","",IF(J1487="GST 10%",ROUND(O1487*set_GSTRate,2),0))</f>
        <v/>
      </c>
      <c r="BD1487" s="11">
        <f>IF(O1487="","",O1487+BC1487)</f>
        <v/>
      </c>
      <c r="BE1487" s="15">
        <f>IF(O1487="","",COUNTA(S1487,V1487,Y1487,AB1487,AE1487,AH1487,AK1487,AN1487,AQ1487,AT1487,AW1487,AZ1487))</f>
        <v/>
      </c>
      <c r="BF1487" s="16">
        <f>IF(COUNT(T1487,W1487,Z1487,AC1487,AF1487,AI1487,AL1487,AO1487,AR1487,AU1487,AX1487,BA1487)=0,"",MAX(T1487,W1487,Z1487,AC1487,AF1487,AI1487,AL1487,AO1487,AR1487,AU1487,AX1487,BA1487))</f>
        <v/>
      </c>
      <c r="BG1487" s="10">
        <f>MID(IF(S1487="","",", "&amp;S1487)&amp;IF(V1487="","",", "&amp;V1487)&amp;IF(Y1487="","",", "&amp;Y1487)&amp;IF(AB1487="","",", "&amp;AB1487)&amp;IF(AE1487="","",", "&amp;AE1487)&amp;IF(AH1487="","",", "&amp;AH1487)&amp;IF(AK1487="","",", "&amp;AK1487)&amp;IF(AN1487="","",", "&amp;AN1487)&amp;IF(AQ1487="","",", "&amp;AQ1487)&amp;IF(AT1487="","",", "&amp;AT1487)&amp;IF(AW1487="","",", "&amp;AW1487)&amp;IF(AZ1487="","",", "&amp;AZ1487),3,500)</f>
        <v/>
      </c>
      <c r="BH1487" s="12" t="n"/>
      <c r="BI1487" s="15">
        <f>IFERROR(MATCH($A1487,IF($B1487="Onsite",tbl_Onsite[Row ID],IF($B1487="Production",tbl_Production[Row ID],tbl_Consulting[Row ID])),0),"")</f>
        <v/>
      </c>
    </row>
    <row r="1488">
      <c r="A1488" s="10" t="inlineStr">
        <is>
          <t>CON-0482</t>
        </is>
      </c>
      <c r="B1488" s="10" t="inlineStr">
        <is>
          <t>Consulting</t>
        </is>
      </c>
      <c r="C1488" s="10">
        <f>IF($BI1488="","",IF($B1488="Onsite",INDEX(tbl_Onsite[Job Number],$BI1488),IF($B1488="Production",INDEX(tbl_Production[Job Number],$BI1488),INDEX(tbl_Consulting[Job Number],$BI1488)))&amp;"")</f>
        <v/>
      </c>
      <c r="D1488" s="10">
        <f>IF($BI1488="","",IF($B1488="Onsite",INDEX(tbl_Onsite[Client],$BI1488),IF($B1488="Production",INDEX(tbl_Production[Client],$BI1488),INDEX(tbl_Consulting[Client],$BI1488)))&amp;"")</f>
        <v/>
      </c>
      <c r="E1488" s="10">
        <f>IF($C1488="","",IF(COUNTIF(lst_Jobs,$C1488)&gt;0,"OK","CHECK"))</f>
        <v/>
      </c>
      <c r="F1488" s="10">
        <f>IF($C1488="","",IFERROR(INDEX(lst_JobName,MATCH($C1488,lst_Jobs,0)),""))</f>
        <v/>
      </c>
      <c r="G1488" s="10">
        <f>IF($BI1488="","",IF($B1488="Onsite",INDEX(tbl_Onsite[Job Description],$BI1488),IF($B1488="Production",INDEX(tbl_Production[Job Description],$BI1488),INDEX(tbl_Consulting[Job Description],$BI1488)))&amp;"")</f>
        <v/>
      </c>
      <c r="H1488" s="10">
        <f>IF($BI1488="","",IF($B1488="Onsite",INDEX(tbl_Onsite[Cost Centre],$BI1488),IF($B1488="Production",INDEX(tbl_Production[Cost Centre],$BI1488),INDEX(tbl_Consulting[Cost Centre],$BI1488)))&amp;"")</f>
        <v/>
      </c>
      <c r="I1488" s="10">
        <f>IF($BI1488="","",IF($B1488="Onsite",INDEX(tbl_Onsite[Invoice Type],$BI1488),IF($B1488="Production",INDEX(tbl_Production[Invoice Type],$BI1488),INDEX(tbl_Consulting[Invoice Type],$BI1488)))&amp;"")</f>
        <v/>
      </c>
      <c r="J1488" s="10">
        <f>IF($BI1488="","",IF($B1488="Onsite",INDEX(tbl_Onsite[Tax Code],$BI1488),IF($B1488="Production",INDEX(tbl_Production[Tax Code],$BI1488),INDEX(tbl_Consulting[Tax Code],$BI1488)))&amp;"")</f>
        <v/>
      </c>
      <c r="K1488" s="10">
        <f>IF(H1488="","",IFERROR(INDEX(lst_CCtoGL,MATCH(H1488,lst_CCforGL,0)),""))</f>
        <v/>
      </c>
      <c r="L1488" s="10">
        <f>IF($BI1488="","",IF($B1488="Onsite",INDEX(tbl_Onsite[PO / Reference],$BI1488),IF($B1488="Production",INDEX(tbl_Production[Current RMS No],$BI1488),INDEX(tbl_Consulting[Qwilr Quote],$BI1488)))&amp;"")</f>
        <v/>
      </c>
      <c r="M1488" s="10">
        <f>IF($BI1488="","",IF($B1488="Onsite",INDEX(tbl_Onsite[Notes],$BI1488),IF($B1488="Production",INDEX(tbl_Production[Notes],$BI1488),INDEX(tbl_Consulting[Notes],$BI1488)))&amp;"")</f>
        <v/>
      </c>
      <c r="N1488" s="11">
        <f>IF($BI1488="","",IF(IF($B1488="Onsite",INDEX(tbl_Onsite[Expected Revenue Ex GST],$BI1488),IF($B1488="Production",INDEX(tbl_Production[Expected Revenue Ex GST],$BI1488),INDEX(tbl_Consulting[Expected Revenue Ex GST],$BI1488)))="","",IF($B1488="Onsite",INDEX(tbl_Onsite[Expected Revenue Ex GST],$BI1488),IF($B1488="Production",INDEX(tbl_Production[Expected Revenue Ex GST],$BI1488),INDEX(tbl_Consulting[Expected Revenue Ex GST],$BI1488)))))</f>
        <v/>
      </c>
      <c r="O1488" s="11">
        <f>IF(AND($C1488="",NOT(COUNTA($S1488:$BB1488)&gt;0)),"",SUM(U1488,X1488,AA1488,AD1488,AG1488,AJ1488,AM1488,AP1488,AS1488,AV1488,AY1488,BB1488))</f>
        <v/>
      </c>
      <c r="P1488" s="11">
        <f>IF(O1488="","",N(N1488)-O1488)</f>
        <v/>
      </c>
      <c r="Q1488" s="10">
        <f>IF(O1488="","",IF($C1488="","Invoice on empty job row",IF(N1488="",IF(ROUND(O1488,2)=0,"No dept value","Invoiced - no dept value"),IF(ROUND(O1488,2)=0,"Not invoiced - to invoice",IF(ROUND(P1488,2)=0,"Agrees",IF(P1488&gt;0,"Dept higher - to invoice","Xero higher - check dept"))))))</f>
        <v/>
      </c>
      <c r="R1488" s="10">
        <f>IF(AND($C1488="",NOT(COUNTA($S1488:$BB1488)&gt;0),$BI1488&lt;&gt;""),"",MID(IF($BI1488="","; Row ID not found on the department sheet - a row was deleted","")&amp;IF(AND($C1488="",COUNTA($S1488:$BB1488)&gt;0),"; Invoice entered but the department row has no job number","")&amp;IF(E1488="CHECK","; Job number not in the Xero job list","")&amp;IF(AND($C1488&lt;&gt;"",COUNTIF($C$7:$C$1506,$C1488)&gt;1),"; Job number on more than one row","")&amp;IF(AND($C1488&lt;&gt;"",H1488=""),"; Dept has not set a cost centre","")&amp;IF(AND($C1488&lt;&gt;"",J1488=""),"; Dept has not set a tax code","")&amp;IF(AND($C1488&lt;&gt;"",N1488=""),"; Dept has not entered an expected value","")&amp;IF((IF(OR(COUNTA(S1488:U1488)=0,AND(COUNTA(S1488:U1488)=3,ISNUMBER(U1488))),0,1)+IF(OR(COUNTA(V1488:X1488)=0,AND(COUNTA(V1488:X1488)=3,ISNUMBER(X1488))),0,1)+IF(OR(COUNTA(Y1488:AA1488)=0,AND(COUNTA(Y1488:AA1488)=3,ISNUMBER(AA1488))),0,1)+IF(OR(COUNTA(AB1488:AD1488)=0,AND(COUNTA(AB1488:AD1488)=3,ISNUMBER(AD1488))),0,1)+IF(OR(COUNTA(AE1488:AG1488)=0,AND(COUNTA(AE1488:AG1488)=3,ISNUMBER(AG1488))),0,1)+IF(OR(COUNTA(AH1488:AJ1488)=0,AND(COUNTA(AH1488:AJ1488)=3,ISNUMBER(AJ1488))),0,1)+IF(OR(COUNTA(AK1488:AM1488)=0,AND(COUNTA(AK1488:AM1488)=3,ISNUMBER(AM1488))),0,1)+IF(OR(COUNTA(AN1488:AP1488)=0,AND(COUNTA(AN1488:AP1488)=3,ISNUMBER(AP1488))),0,1)+IF(OR(COUNTA(AQ1488:AS1488)=0,AND(COUNTA(AQ1488:AS1488)=3,ISNUMBER(AS1488))),0,1)+IF(OR(COUNTA(AT1488:AV1488)=0,AND(COUNTA(AT1488:AV1488)=3,ISNUMBER(AV1488))),0,1)+IF(OR(COUNTA(AW1488:AY1488)=0,AND(COUNTA(AW1488:AY1488)=3,ISNUMBER(AY1488))),0,1)+IF(OR(COUNTA(AZ1488:BB1488)=0,AND(COUNTA(AZ1488:BB1488)=3,ISNUMBER(BB1488))),0,1))&gt;0,"; An invoice is incomplete (needs No, Date and a number in Ex GST)","")&amp;IF((IF(T1488="",0,IFERROR(--(EOMONTH(T1488,0)&lt;&gt;S$5),1))+IF(W1488="",0,IFERROR(--(EOMONTH(W1488,0)&lt;&gt;V$5),1))+IF(Z1488="",0,IFERROR(--(EOMONTH(Z1488,0)&lt;&gt;Y$5),1))+IF(AC1488="",0,IFERROR(--(EOMONTH(AC1488,0)&lt;&gt;AB$5),1))+IF(AF1488="",0,IFERROR(--(EOMONTH(AF1488,0)&lt;&gt;AE$5),1))+IF(AI1488="",0,IFERROR(--(EOMONTH(AI1488,0)&lt;&gt;AH$5),1))+IF(AL1488="",0,IFERROR(--(EOMONTH(AL1488,0)&lt;&gt;AK$5),1))+IF(AO1488="",0,IFERROR(--(EOMONTH(AO1488,0)&lt;&gt;AN$5),1))+IF(AR1488="",0,IFERROR(--(EOMONTH(AR1488,0)&lt;&gt;AQ$5),1))+IF(AU1488="",0,IFERROR(--(EOMONTH(AU1488,0)&lt;&gt;AT$5),1))+IF(AX1488="",0,IFERROR(--(EOMONTH(AX1488,0)&lt;&gt;AW$5),1))+IF(BA1488="",0,IFERROR(--(EOMONTH(BA1488,0)&lt;&gt;AZ$5),1)))&gt;0,"; An invoice date is not in the month it is typed under",""),3,500))</f>
        <v/>
      </c>
      <c r="S1488" s="12" t="n"/>
      <c r="T1488" s="13" t="n"/>
      <c r="U1488" s="14" t="n"/>
      <c r="V1488" s="12" t="n"/>
      <c r="W1488" s="13" t="n"/>
      <c r="X1488" s="14" t="n"/>
      <c r="Y1488" s="12" t="n"/>
      <c r="Z1488" s="13" t="n"/>
      <c r="AA1488" s="14" t="n"/>
      <c r="AB1488" s="12" t="n"/>
      <c r="AC1488" s="13" t="n"/>
      <c r="AD1488" s="14" t="n"/>
      <c r="AE1488" s="12" t="n"/>
      <c r="AF1488" s="13" t="n"/>
      <c r="AG1488" s="14" t="n"/>
      <c r="AH1488" s="12" t="n"/>
      <c r="AI1488" s="13" t="n"/>
      <c r="AJ1488" s="14" t="n"/>
      <c r="AK1488" s="12" t="n"/>
      <c r="AL1488" s="13" t="n"/>
      <c r="AM1488" s="14" t="n"/>
      <c r="AN1488" s="12" t="n"/>
      <c r="AO1488" s="13" t="n"/>
      <c r="AP1488" s="14" t="n"/>
      <c r="AQ1488" s="12" t="n"/>
      <c r="AR1488" s="13" t="n"/>
      <c r="AS1488" s="14" t="n"/>
      <c r="AT1488" s="12" t="n"/>
      <c r="AU1488" s="13" t="n"/>
      <c r="AV1488" s="14" t="n"/>
      <c r="AW1488" s="12" t="n"/>
      <c r="AX1488" s="13" t="n"/>
      <c r="AY1488" s="14" t="n"/>
      <c r="AZ1488" s="12" t="n"/>
      <c r="BA1488" s="13" t="n"/>
      <c r="BB1488" s="14" t="n"/>
      <c r="BC1488" s="11">
        <f>IF(O1488="","",IF(J1488="GST 10%",ROUND(O1488*set_GSTRate,2),0))</f>
        <v/>
      </c>
      <c r="BD1488" s="11">
        <f>IF(O1488="","",O1488+BC1488)</f>
        <v/>
      </c>
      <c r="BE1488" s="15">
        <f>IF(O1488="","",COUNTA(S1488,V1488,Y1488,AB1488,AE1488,AH1488,AK1488,AN1488,AQ1488,AT1488,AW1488,AZ1488))</f>
        <v/>
      </c>
      <c r="BF1488" s="16">
        <f>IF(COUNT(T1488,W1488,Z1488,AC1488,AF1488,AI1488,AL1488,AO1488,AR1488,AU1488,AX1488,BA1488)=0,"",MAX(T1488,W1488,Z1488,AC1488,AF1488,AI1488,AL1488,AO1488,AR1488,AU1488,AX1488,BA1488))</f>
        <v/>
      </c>
      <c r="BG1488" s="10">
        <f>MID(IF(S1488="","",", "&amp;S1488)&amp;IF(V1488="","",", "&amp;V1488)&amp;IF(Y1488="","",", "&amp;Y1488)&amp;IF(AB1488="","",", "&amp;AB1488)&amp;IF(AE1488="","",", "&amp;AE1488)&amp;IF(AH1488="","",", "&amp;AH1488)&amp;IF(AK1488="","",", "&amp;AK1488)&amp;IF(AN1488="","",", "&amp;AN1488)&amp;IF(AQ1488="","",", "&amp;AQ1488)&amp;IF(AT1488="","",", "&amp;AT1488)&amp;IF(AW1488="","",", "&amp;AW1488)&amp;IF(AZ1488="","",", "&amp;AZ1488),3,500)</f>
        <v/>
      </c>
      <c r="BH1488" s="12" t="n"/>
      <c r="BI1488" s="15">
        <f>IFERROR(MATCH($A1488,IF($B1488="Onsite",tbl_Onsite[Row ID],IF($B1488="Production",tbl_Production[Row ID],tbl_Consulting[Row ID])),0),"")</f>
        <v/>
      </c>
    </row>
    <row r="1489">
      <c r="A1489" s="10" t="inlineStr">
        <is>
          <t>CON-0483</t>
        </is>
      </c>
      <c r="B1489" s="10" t="inlineStr">
        <is>
          <t>Consulting</t>
        </is>
      </c>
      <c r="C1489" s="10">
        <f>IF($BI1489="","",IF($B1489="Onsite",INDEX(tbl_Onsite[Job Number],$BI1489),IF($B1489="Production",INDEX(tbl_Production[Job Number],$BI1489),INDEX(tbl_Consulting[Job Number],$BI1489)))&amp;"")</f>
        <v/>
      </c>
      <c r="D1489" s="10">
        <f>IF($BI1489="","",IF($B1489="Onsite",INDEX(tbl_Onsite[Client],$BI1489),IF($B1489="Production",INDEX(tbl_Production[Client],$BI1489),INDEX(tbl_Consulting[Client],$BI1489)))&amp;"")</f>
        <v/>
      </c>
      <c r="E1489" s="10">
        <f>IF($C1489="","",IF(COUNTIF(lst_Jobs,$C1489)&gt;0,"OK","CHECK"))</f>
        <v/>
      </c>
      <c r="F1489" s="10">
        <f>IF($C1489="","",IFERROR(INDEX(lst_JobName,MATCH($C1489,lst_Jobs,0)),""))</f>
        <v/>
      </c>
      <c r="G1489" s="10">
        <f>IF($BI1489="","",IF($B1489="Onsite",INDEX(tbl_Onsite[Job Description],$BI1489),IF($B1489="Production",INDEX(tbl_Production[Job Description],$BI1489),INDEX(tbl_Consulting[Job Description],$BI1489)))&amp;"")</f>
        <v/>
      </c>
      <c r="H1489" s="10">
        <f>IF($BI1489="","",IF($B1489="Onsite",INDEX(tbl_Onsite[Cost Centre],$BI1489),IF($B1489="Production",INDEX(tbl_Production[Cost Centre],$BI1489),INDEX(tbl_Consulting[Cost Centre],$BI1489)))&amp;"")</f>
        <v/>
      </c>
      <c r="I1489" s="10">
        <f>IF($BI1489="","",IF($B1489="Onsite",INDEX(tbl_Onsite[Invoice Type],$BI1489),IF($B1489="Production",INDEX(tbl_Production[Invoice Type],$BI1489),INDEX(tbl_Consulting[Invoice Type],$BI1489)))&amp;"")</f>
        <v/>
      </c>
      <c r="J1489" s="10">
        <f>IF($BI1489="","",IF($B1489="Onsite",INDEX(tbl_Onsite[Tax Code],$BI1489),IF($B1489="Production",INDEX(tbl_Production[Tax Code],$BI1489),INDEX(tbl_Consulting[Tax Code],$BI1489)))&amp;"")</f>
        <v/>
      </c>
      <c r="K1489" s="10">
        <f>IF(H1489="","",IFERROR(INDEX(lst_CCtoGL,MATCH(H1489,lst_CCforGL,0)),""))</f>
        <v/>
      </c>
      <c r="L1489" s="10">
        <f>IF($BI1489="","",IF($B1489="Onsite",INDEX(tbl_Onsite[PO / Reference],$BI1489),IF($B1489="Production",INDEX(tbl_Production[Current RMS No],$BI1489),INDEX(tbl_Consulting[Qwilr Quote],$BI1489)))&amp;"")</f>
        <v/>
      </c>
      <c r="M1489" s="10">
        <f>IF($BI1489="","",IF($B1489="Onsite",INDEX(tbl_Onsite[Notes],$BI1489),IF($B1489="Production",INDEX(tbl_Production[Notes],$BI1489),INDEX(tbl_Consulting[Notes],$BI1489)))&amp;"")</f>
        <v/>
      </c>
      <c r="N1489" s="11">
        <f>IF($BI1489="","",IF(IF($B1489="Onsite",INDEX(tbl_Onsite[Expected Revenue Ex GST],$BI1489),IF($B1489="Production",INDEX(tbl_Production[Expected Revenue Ex GST],$BI1489),INDEX(tbl_Consulting[Expected Revenue Ex GST],$BI1489)))="","",IF($B1489="Onsite",INDEX(tbl_Onsite[Expected Revenue Ex GST],$BI1489),IF($B1489="Production",INDEX(tbl_Production[Expected Revenue Ex GST],$BI1489),INDEX(tbl_Consulting[Expected Revenue Ex GST],$BI1489)))))</f>
        <v/>
      </c>
      <c r="O1489" s="11">
        <f>IF(AND($C1489="",NOT(COUNTA($S1489:$BB1489)&gt;0)),"",SUM(U1489,X1489,AA1489,AD1489,AG1489,AJ1489,AM1489,AP1489,AS1489,AV1489,AY1489,BB1489))</f>
        <v/>
      </c>
      <c r="P1489" s="11">
        <f>IF(O1489="","",N(N1489)-O1489)</f>
        <v/>
      </c>
      <c r="Q1489" s="10">
        <f>IF(O1489="","",IF($C1489="","Invoice on empty job row",IF(N1489="",IF(ROUND(O1489,2)=0,"No dept value","Invoiced - no dept value"),IF(ROUND(O1489,2)=0,"Not invoiced - to invoice",IF(ROUND(P1489,2)=0,"Agrees",IF(P1489&gt;0,"Dept higher - to invoice","Xero higher - check dept"))))))</f>
        <v/>
      </c>
      <c r="R1489" s="10">
        <f>IF(AND($C1489="",NOT(COUNTA($S1489:$BB1489)&gt;0),$BI1489&lt;&gt;""),"",MID(IF($BI1489="","; Row ID not found on the department sheet - a row was deleted","")&amp;IF(AND($C1489="",COUNTA($S1489:$BB1489)&gt;0),"; Invoice entered but the department row has no job number","")&amp;IF(E1489="CHECK","; Job number not in the Xero job list","")&amp;IF(AND($C1489&lt;&gt;"",COUNTIF($C$7:$C$1506,$C1489)&gt;1),"; Job number on more than one row","")&amp;IF(AND($C1489&lt;&gt;"",H1489=""),"; Dept has not set a cost centre","")&amp;IF(AND($C1489&lt;&gt;"",J1489=""),"; Dept has not set a tax code","")&amp;IF(AND($C1489&lt;&gt;"",N1489=""),"; Dept has not entered an expected value","")&amp;IF((IF(OR(COUNTA(S1489:U1489)=0,AND(COUNTA(S1489:U1489)=3,ISNUMBER(U1489))),0,1)+IF(OR(COUNTA(V1489:X1489)=0,AND(COUNTA(V1489:X1489)=3,ISNUMBER(X1489))),0,1)+IF(OR(COUNTA(Y1489:AA1489)=0,AND(COUNTA(Y1489:AA1489)=3,ISNUMBER(AA1489))),0,1)+IF(OR(COUNTA(AB1489:AD1489)=0,AND(COUNTA(AB1489:AD1489)=3,ISNUMBER(AD1489))),0,1)+IF(OR(COUNTA(AE1489:AG1489)=0,AND(COUNTA(AE1489:AG1489)=3,ISNUMBER(AG1489))),0,1)+IF(OR(COUNTA(AH1489:AJ1489)=0,AND(COUNTA(AH1489:AJ1489)=3,ISNUMBER(AJ1489))),0,1)+IF(OR(COUNTA(AK1489:AM1489)=0,AND(COUNTA(AK1489:AM1489)=3,ISNUMBER(AM1489))),0,1)+IF(OR(COUNTA(AN1489:AP1489)=0,AND(COUNTA(AN1489:AP1489)=3,ISNUMBER(AP1489))),0,1)+IF(OR(COUNTA(AQ1489:AS1489)=0,AND(COUNTA(AQ1489:AS1489)=3,ISNUMBER(AS1489))),0,1)+IF(OR(COUNTA(AT1489:AV1489)=0,AND(COUNTA(AT1489:AV1489)=3,ISNUMBER(AV1489))),0,1)+IF(OR(COUNTA(AW1489:AY1489)=0,AND(COUNTA(AW1489:AY1489)=3,ISNUMBER(AY1489))),0,1)+IF(OR(COUNTA(AZ1489:BB1489)=0,AND(COUNTA(AZ1489:BB1489)=3,ISNUMBER(BB1489))),0,1))&gt;0,"; An invoice is incomplete (needs No, Date and a number in Ex GST)","")&amp;IF((IF(T1489="",0,IFERROR(--(EOMONTH(T1489,0)&lt;&gt;S$5),1))+IF(W1489="",0,IFERROR(--(EOMONTH(W1489,0)&lt;&gt;V$5),1))+IF(Z1489="",0,IFERROR(--(EOMONTH(Z1489,0)&lt;&gt;Y$5),1))+IF(AC1489="",0,IFERROR(--(EOMONTH(AC1489,0)&lt;&gt;AB$5),1))+IF(AF1489="",0,IFERROR(--(EOMONTH(AF1489,0)&lt;&gt;AE$5),1))+IF(AI1489="",0,IFERROR(--(EOMONTH(AI1489,0)&lt;&gt;AH$5),1))+IF(AL1489="",0,IFERROR(--(EOMONTH(AL1489,0)&lt;&gt;AK$5),1))+IF(AO1489="",0,IFERROR(--(EOMONTH(AO1489,0)&lt;&gt;AN$5),1))+IF(AR1489="",0,IFERROR(--(EOMONTH(AR1489,0)&lt;&gt;AQ$5),1))+IF(AU1489="",0,IFERROR(--(EOMONTH(AU1489,0)&lt;&gt;AT$5),1))+IF(AX1489="",0,IFERROR(--(EOMONTH(AX1489,0)&lt;&gt;AW$5),1))+IF(BA1489="",0,IFERROR(--(EOMONTH(BA1489,0)&lt;&gt;AZ$5),1)))&gt;0,"; An invoice date is not in the month it is typed under",""),3,500))</f>
        <v/>
      </c>
      <c r="S1489" s="12" t="n"/>
      <c r="T1489" s="13" t="n"/>
      <c r="U1489" s="14" t="n"/>
      <c r="V1489" s="12" t="n"/>
      <c r="W1489" s="13" t="n"/>
      <c r="X1489" s="14" t="n"/>
      <c r="Y1489" s="12" t="n"/>
      <c r="Z1489" s="13" t="n"/>
      <c r="AA1489" s="14" t="n"/>
      <c r="AB1489" s="12" t="n"/>
      <c r="AC1489" s="13" t="n"/>
      <c r="AD1489" s="14" t="n"/>
      <c r="AE1489" s="12" t="n"/>
      <c r="AF1489" s="13" t="n"/>
      <c r="AG1489" s="14" t="n"/>
      <c r="AH1489" s="12" t="n"/>
      <c r="AI1489" s="13" t="n"/>
      <c r="AJ1489" s="14" t="n"/>
      <c r="AK1489" s="12" t="n"/>
      <c r="AL1489" s="13" t="n"/>
      <c r="AM1489" s="14" t="n"/>
      <c r="AN1489" s="12" t="n"/>
      <c r="AO1489" s="13" t="n"/>
      <c r="AP1489" s="14" t="n"/>
      <c r="AQ1489" s="12" t="n"/>
      <c r="AR1489" s="13" t="n"/>
      <c r="AS1489" s="14" t="n"/>
      <c r="AT1489" s="12" t="n"/>
      <c r="AU1489" s="13" t="n"/>
      <c r="AV1489" s="14" t="n"/>
      <c r="AW1489" s="12" t="n"/>
      <c r="AX1489" s="13" t="n"/>
      <c r="AY1489" s="14" t="n"/>
      <c r="AZ1489" s="12" t="n"/>
      <c r="BA1489" s="13" t="n"/>
      <c r="BB1489" s="14" t="n"/>
      <c r="BC1489" s="11">
        <f>IF(O1489="","",IF(J1489="GST 10%",ROUND(O1489*set_GSTRate,2),0))</f>
        <v/>
      </c>
      <c r="BD1489" s="11">
        <f>IF(O1489="","",O1489+BC1489)</f>
        <v/>
      </c>
      <c r="BE1489" s="15">
        <f>IF(O1489="","",COUNTA(S1489,V1489,Y1489,AB1489,AE1489,AH1489,AK1489,AN1489,AQ1489,AT1489,AW1489,AZ1489))</f>
        <v/>
      </c>
      <c r="BF1489" s="16">
        <f>IF(COUNT(T1489,W1489,Z1489,AC1489,AF1489,AI1489,AL1489,AO1489,AR1489,AU1489,AX1489,BA1489)=0,"",MAX(T1489,W1489,Z1489,AC1489,AF1489,AI1489,AL1489,AO1489,AR1489,AU1489,AX1489,BA1489))</f>
        <v/>
      </c>
      <c r="BG1489" s="10">
        <f>MID(IF(S1489="","",", "&amp;S1489)&amp;IF(V1489="","",", "&amp;V1489)&amp;IF(Y1489="","",", "&amp;Y1489)&amp;IF(AB1489="","",", "&amp;AB1489)&amp;IF(AE1489="","",", "&amp;AE1489)&amp;IF(AH1489="","",", "&amp;AH1489)&amp;IF(AK1489="","",", "&amp;AK1489)&amp;IF(AN1489="","",", "&amp;AN1489)&amp;IF(AQ1489="","",", "&amp;AQ1489)&amp;IF(AT1489="","",", "&amp;AT1489)&amp;IF(AW1489="","",", "&amp;AW1489)&amp;IF(AZ1489="","",", "&amp;AZ1489),3,500)</f>
        <v/>
      </c>
      <c r="BH1489" s="12" t="n"/>
      <c r="BI1489" s="15">
        <f>IFERROR(MATCH($A1489,IF($B1489="Onsite",tbl_Onsite[Row ID],IF($B1489="Production",tbl_Production[Row ID],tbl_Consulting[Row ID])),0),"")</f>
        <v/>
      </c>
    </row>
    <row r="1490">
      <c r="A1490" s="10" t="inlineStr">
        <is>
          <t>CON-0484</t>
        </is>
      </c>
      <c r="B1490" s="10" t="inlineStr">
        <is>
          <t>Consulting</t>
        </is>
      </c>
      <c r="C1490" s="10">
        <f>IF($BI1490="","",IF($B1490="Onsite",INDEX(tbl_Onsite[Job Number],$BI1490),IF($B1490="Production",INDEX(tbl_Production[Job Number],$BI1490),INDEX(tbl_Consulting[Job Number],$BI1490)))&amp;"")</f>
        <v/>
      </c>
      <c r="D1490" s="10">
        <f>IF($BI1490="","",IF($B1490="Onsite",INDEX(tbl_Onsite[Client],$BI1490),IF($B1490="Production",INDEX(tbl_Production[Client],$BI1490),INDEX(tbl_Consulting[Client],$BI1490)))&amp;"")</f>
        <v/>
      </c>
      <c r="E1490" s="10">
        <f>IF($C1490="","",IF(COUNTIF(lst_Jobs,$C1490)&gt;0,"OK","CHECK"))</f>
        <v/>
      </c>
      <c r="F1490" s="10">
        <f>IF($C1490="","",IFERROR(INDEX(lst_JobName,MATCH($C1490,lst_Jobs,0)),""))</f>
        <v/>
      </c>
      <c r="G1490" s="10">
        <f>IF($BI1490="","",IF($B1490="Onsite",INDEX(tbl_Onsite[Job Description],$BI1490),IF($B1490="Production",INDEX(tbl_Production[Job Description],$BI1490),INDEX(tbl_Consulting[Job Description],$BI1490)))&amp;"")</f>
        <v/>
      </c>
      <c r="H1490" s="10">
        <f>IF($BI1490="","",IF($B1490="Onsite",INDEX(tbl_Onsite[Cost Centre],$BI1490),IF($B1490="Production",INDEX(tbl_Production[Cost Centre],$BI1490),INDEX(tbl_Consulting[Cost Centre],$BI1490)))&amp;"")</f>
        <v/>
      </c>
      <c r="I1490" s="10">
        <f>IF($BI1490="","",IF($B1490="Onsite",INDEX(tbl_Onsite[Invoice Type],$BI1490),IF($B1490="Production",INDEX(tbl_Production[Invoice Type],$BI1490),INDEX(tbl_Consulting[Invoice Type],$BI1490)))&amp;"")</f>
        <v/>
      </c>
      <c r="J1490" s="10">
        <f>IF($BI1490="","",IF($B1490="Onsite",INDEX(tbl_Onsite[Tax Code],$BI1490),IF($B1490="Production",INDEX(tbl_Production[Tax Code],$BI1490),INDEX(tbl_Consulting[Tax Code],$BI1490)))&amp;"")</f>
        <v/>
      </c>
      <c r="K1490" s="10">
        <f>IF(H1490="","",IFERROR(INDEX(lst_CCtoGL,MATCH(H1490,lst_CCforGL,0)),""))</f>
        <v/>
      </c>
      <c r="L1490" s="10">
        <f>IF($BI1490="","",IF($B1490="Onsite",INDEX(tbl_Onsite[PO / Reference],$BI1490),IF($B1490="Production",INDEX(tbl_Production[Current RMS No],$BI1490),INDEX(tbl_Consulting[Qwilr Quote],$BI1490)))&amp;"")</f>
        <v/>
      </c>
      <c r="M1490" s="10">
        <f>IF($BI1490="","",IF($B1490="Onsite",INDEX(tbl_Onsite[Notes],$BI1490),IF($B1490="Production",INDEX(tbl_Production[Notes],$BI1490),INDEX(tbl_Consulting[Notes],$BI1490)))&amp;"")</f>
        <v/>
      </c>
      <c r="N1490" s="11">
        <f>IF($BI1490="","",IF(IF($B1490="Onsite",INDEX(tbl_Onsite[Expected Revenue Ex GST],$BI1490),IF($B1490="Production",INDEX(tbl_Production[Expected Revenue Ex GST],$BI1490),INDEX(tbl_Consulting[Expected Revenue Ex GST],$BI1490)))="","",IF($B1490="Onsite",INDEX(tbl_Onsite[Expected Revenue Ex GST],$BI1490),IF($B1490="Production",INDEX(tbl_Production[Expected Revenue Ex GST],$BI1490),INDEX(tbl_Consulting[Expected Revenue Ex GST],$BI1490)))))</f>
        <v/>
      </c>
      <c r="O1490" s="11">
        <f>IF(AND($C1490="",NOT(COUNTA($S1490:$BB1490)&gt;0)),"",SUM(U1490,X1490,AA1490,AD1490,AG1490,AJ1490,AM1490,AP1490,AS1490,AV1490,AY1490,BB1490))</f>
        <v/>
      </c>
      <c r="P1490" s="11">
        <f>IF(O1490="","",N(N1490)-O1490)</f>
        <v/>
      </c>
      <c r="Q1490" s="10">
        <f>IF(O1490="","",IF($C1490="","Invoice on empty job row",IF(N1490="",IF(ROUND(O1490,2)=0,"No dept value","Invoiced - no dept value"),IF(ROUND(O1490,2)=0,"Not invoiced - to invoice",IF(ROUND(P1490,2)=0,"Agrees",IF(P1490&gt;0,"Dept higher - to invoice","Xero higher - check dept"))))))</f>
        <v/>
      </c>
      <c r="R1490" s="10">
        <f>IF(AND($C1490="",NOT(COUNTA($S1490:$BB1490)&gt;0),$BI1490&lt;&gt;""),"",MID(IF($BI1490="","; Row ID not found on the department sheet - a row was deleted","")&amp;IF(AND($C1490="",COUNTA($S1490:$BB1490)&gt;0),"; Invoice entered but the department row has no job number","")&amp;IF(E1490="CHECK","; Job number not in the Xero job list","")&amp;IF(AND($C1490&lt;&gt;"",COUNTIF($C$7:$C$1506,$C1490)&gt;1),"; Job number on more than one row","")&amp;IF(AND($C1490&lt;&gt;"",H1490=""),"; Dept has not set a cost centre","")&amp;IF(AND($C1490&lt;&gt;"",J1490=""),"; Dept has not set a tax code","")&amp;IF(AND($C1490&lt;&gt;"",N1490=""),"; Dept has not entered an expected value","")&amp;IF((IF(OR(COUNTA(S1490:U1490)=0,AND(COUNTA(S1490:U1490)=3,ISNUMBER(U1490))),0,1)+IF(OR(COUNTA(V1490:X1490)=0,AND(COUNTA(V1490:X1490)=3,ISNUMBER(X1490))),0,1)+IF(OR(COUNTA(Y1490:AA1490)=0,AND(COUNTA(Y1490:AA1490)=3,ISNUMBER(AA1490))),0,1)+IF(OR(COUNTA(AB1490:AD1490)=0,AND(COUNTA(AB1490:AD1490)=3,ISNUMBER(AD1490))),0,1)+IF(OR(COUNTA(AE1490:AG1490)=0,AND(COUNTA(AE1490:AG1490)=3,ISNUMBER(AG1490))),0,1)+IF(OR(COUNTA(AH1490:AJ1490)=0,AND(COUNTA(AH1490:AJ1490)=3,ISNUMBER(AJ1490))),0,1)+IF(OR(COUNTA(AK1490:AM1490)=0,AND(COUNTA(AK1490:AM1490)=3,ISNUMBER(AM1490))),0,1)+IF(OR(COUNTA(AN1490:AP1490)=0,AND(COUNTA(AN1490:AP1490)=3,ISNUMBER(AP1490))),0,1)+IF(OR(COUNTA(AQ1490:AS1490)=0,AND(COUNTA(AQ1490:AS1490)=3,ISNUMBER(AS1490))),0,1)+IF(OR(COUNTA(AT1490:AV1490)=0,AND(COUNTA(AT1490:AV1490)=3,ISNUMBER(AV1490))),0,1)+IF(OR(COUNTA(AW1490:AY1490)=0,AND(COUNTA(AW1490:AY1490)=3,ISNUMBER(AY1490))),0,1)+IF(OR(COUNTA(AZ1490:BB1490)=0,AND(COUNTA(AZ1490:BB1490)=3,ISNUMBER(BB1490))),0,1))&gt;0,"; An invoice is incomplete (needs No, Date and a number in Ex GST)","")&amp;IF((IF(T1490="",0,IFERROR(--(EOMONTH(T1490,0)&lt;&gt;S$5),1))+IF(W1490="",0,IFERROR(--(EOMONTH(W1490,0)&lt;&gt;V$5),1))+IF(Z1490="",0,IFERROR(--(EOMONTH(Z1490,0)&lt;&gt;Y$5),1))+IF(AC1490="",0,IFERROR(--(EOMONTH(AC1490,0)&lt;&gt;AB$5),1))+IF(AF1490="",0,IFERROR(--(EOMONTH(AF1490,0)&lt;&gt;AE$5),1))+IF(AI1490="",0,IFERROR(--(EOMONTH(AI1490,0)&lt;&gt;AH$5),1))+IF(AL1490="",0,IFERROR(--(EOMONTH(AL1490,0)&lt;&gt;AK$5),1))+IF(AO1490="",0,IFERROR(--(EOMONTH(AO1490,0)&lt;&gt;AN$5),1))+IF(AR1490="",0,IFERROR(--(EOMONTH(AR1490,0)&lt;&gt;AQ$5),1))+IF(AU1490="",0,IFERROR(--(EOMONTH(AU1490,0)&lt;&gt;AT$5),1))+IF(AX1490="",0,IFERROR(--(EOMONTH(AX1490,0)&lt;&gt;AW$5),1))+IF(BA1490="",0,IFERROR(--(EOMONTH(BA1490,0)&lt;&gt;AZ$5),1)))&gt;0,"; An invoice date is not in the month it is typed under",""),3,500))</f>
        <v/>
      </c>
      <c r="S1490" s="12" t="n"/>
      <c r="T1490" s="13" t="n"/>
      <c r="U1490" s="14" t="n"/>
      <c r="V1490" s="12" t="n"/>
      <c r="W1490" s="13" t="n"/>
      <c r="X1490" s="14" t="n"/>
      <c r="Y1490" s="12" t="n"/>
      <c r="Z1490" s="13" t="n"/>
      <c r="AA1490" s="14" t="n"/>
      <c r="AB1490" s="12" t="n"/>
      <c r="AC1490" s="13" t="n"/>
      <c r="AD1490" s="14" t="n"/>
      <c r="AE1490" s="12" t="n"/>
      <c r="AF1490" s="13" t="n"/>
      <c r="AG1490" s="14" t="n"/>
      <c r="AH1490" s="12" t="n"/>
      <c r="AI1490" s="13" t="n"/>
      <c r="AJ1490" s="14" t="n"/>
      <c r="AK1490" s="12" t="n"/>
      <c r="AL1490" s="13" t="n"/>
      <c r="AM1490" s="14" t="n"/>
      <c r="AN1490" s="12" t="n"/>
      <c r="AO1490" s="13" t="n"/>
      <c r="AP1490" s="14" t="n"/>
      <c r="AQ1490" s="12" t="n"/>
      <c r="AR1490" s="13" t="n"/>
      <c r="AS1490" s="14" t="n"/>
      <c r="AT1490" s="12" t="n"/>
      <c r="AU1490" s="13" t="n"/>
      <c r="AV1490" s="14" t="n"/>
      <c r="AW1490" s="12" t="n"/>
      <c r="AX1490" s="13" t="n"/>
      <c r="AY1490" s="14" t="n"/>
      <c r="AZ1490" s="12" t="n"/>
      <c r="BA1490" s="13" t="n"/>
      <c r="BB1490" s="14" t="n"/>
      <c r="BC1490" s="11">
        <f>IF(O1490="","",IF(J1490="GST 10%",ROUND(O1490*set_GSTRate,2),0))</f>
        <v/>
      </c>
      <c r="BD1490" s="11">
        <f>IF(O1490="","",O1490+BC1490)</f>
        <v/>
      </c>
      <c r="BE1490" s="15">
        <f>IF(O1490="","",COUNTA(S1490,V1490,Y1490,AB1490,AE1490,AH1490,AK1490,AN1490,AQ1490,AT1490,AW1490,AZ1490))</f>
        <v/>
      </c>
      <c r="BF1490" s="16">
        <f>IF(COUNT(T1490,W1490,Z1490,AC1490,AF1490,AI1490,AL1490,AO1490,AR1490,AU1490,AX1490,BA1490)=0,"",MAX(T1490,W1490,Z1490,AC1490,AF1490,AI1490,AL1490,AO1490,AR1490,AU1490,AX1490,BA1490))</f>
        <v/>
      </c>
      <c r="BG1490" s="10">
        <f>MID(IF(S1490="","",", "&amp;S1490)&amp;IF(V1490="","",", "&amp;V1490)&amp;IF(Y1490="","",", "&amp;Y1490)&amp;IF(AB1490="","",", "&amp;AB1490)&amp;IF(AE1490="","",", "&amp;AE1490)&amp;IF(AH1490="","",", "&amp;AH1490)&amp;IF(AK1490="","",", "&amp;AK1490)&amp;IF(AN1490="","",", "&amp;AN1490)&amp;IF(AQ1490="","",", "&amp;AQ1490)&amp;IF(AT1490="","",", "&amp;AT1490)&amp;IF(AW1490="","",", "&amp;AW1490)&amp;IF(AZ1490="","",", "&amp;AZ1490),3,500)</f>
        <v/>
      </c>
      <c r="BH1490" s="12" t="n"/>
      <c r="BI1490" s="15">
        <f>IFERROR(MATCH($A1490,IF($B1490="Onsite",tbl_Onsite[Row ID],IF($B1490="Production",tbl_Production[Row ID],tbl_Consulting[Row ID])),0),"")</f>
        <v/>
      </c>
    </row>
    <row r="1491">
      <c r="A1491" s="10" t="inlineStr">
        <is>
          <t>CON-0485</t>
        </is>
      </c>
      <c r="B1491" s="10" t="inlineStr">
        <is>
          <t>Consulting</t>
        </is>
      </c>
      <c r="C1491" s="10">
        <f>IF($BI1491="","",IF($B1491="Onsite",INDEX(tbl_Onsite[Job Number],$BI1491),IF($B1491="Production",INDEX(tbl_Production[Job Number],$BI1491),INDEX(tbl_Consulting[Job Number],$BI1491)))&amp;"")</f>
        <v/>
      </c>
      <c r="D1491" s="10">
        <f>IF($BI1491="","",IF($B1491="Onsite",INDEX(tbl_Onsite[Client],$BI1491),IF($B1491="Production",INDEX(tbl_Production[Client],$BI1491),INDEX(tbl_Consulting[Client],$BI1491)))&amp;"")</f>
        <v/>
      </c>
      <c r="E1491" s="10">
        <f>IF($C1491="","",IF(COUNTIF(lst_Jobs,$C1491)&gt;0,"OK","CHECK"))</f>
        <v/>
      </c>
      <c r="F1491" s="10">
        <f>IF($C1491="","",IFERROR(INDEX(lst_JobName,MATCH($C1491,lst_Jobs,0)),""))</f>
        <v/>
      </c>
      <c r="G1491" s="10">
        <f>IF($BI1491="","",IF($B1491="Onsite",INDEX(tbl_Onsite[Job Description],$BI1491),IF($B1491="Production",INDEX(tbl_Production[Job Description],$BI1491),INDEX(tbl_Consulting[Job Description],$BI1491)))&amp;"")</f>
        <v/>
      </c>
      <c r="H1491" s="10">
        <f>IF($BI1491="","",IF($B1491="Onsite",INDEX(tbl_Onsite[Cost Centre],$BI1491),IF($B1491="Production",INDEX(tbl_Production[Cost Centre],$BI1491),INDEX(tbl_Consulting[Cost Centre],$BI1491)))&amp;"")</f>
        <v/>
      </c>
      <c r="I1491" s="10">
        <f>IF($BI1491="","",IF($B1491="Onsite",INDEX(tbl_Onsite[Invoice Type],$BI1491),IF($B1491="Production",INDEX(tbl_Production[Invoice Type],$BI1491),INDEX(tbl_Consulting[Invoice Type],$BI1491)))&amp;"")</f>
        <v/>
      </c>
      <c r="J1491" s="10">
        <f>IF($BI1491="","",IF($B1491="Onsite",INDEX(tbl_Onsite[Tax Code],$BI1491),IF($B1491="Production",INDEX(tbl_Production[Tax Code],$BI1491),INDEX(tbl_Consulting[Tax Code],$BI1491)))&amp;"")</f>
        <v/>
      </c>
      <c r="K1491" s="10">
        <f>IF(H1491="","",IFERROR(INDEX(lst_CCtoGL,MATCH(H1491,lst_CCforGL,0)),""))</f>
        <v/>
      </c>
      <c r="L1491" s="10">
        <f>IF($BI1491="","",IF($B1491="Onsite",INDEX(tbl_Onsite[PO / Reference],$BI1491),IF($B1491="Production",INDEX(tbl_Production[Current RMS No],$BI1491),INDEX(tbl_Consulting[Qwilr Quote],$BI1491)))&amp;"")</f>
        <v/>
      </c>
      <c r="M1491" s="10">
        <f>IF($BI1491="","",IF($B1491="Onsite",INDEX(tbl_Onsite[Notes],$BI1491),IF($B1491="Production",INDEX(tbl_Production[Notes],$BI1491),INDEX(tbl_Consulting[Notes],$BI1491)))&amp;"")</f>
        <v/>
      </c>
      <c r="N1491" s="11">
        <f>IF($BI1491="","",IF(IF($B1491="Onsite",INDEX(tbl_Onsite[Expected Revenue Ex GST],$BI1491),IF($B1491="Production",INDEX(tbl_Production[Expected Revenue Ex GST],$BI1491),INDEX(tbl_Consulting[Expected Revenue Ex GST],$BI1491)))="","",IF($B1491="Onsite",INDEX(tbl_Onsite[Expected Revenue Ex GST],$BI1491),IF($B1491="Production",INDEX(tbl_Production[Expected Revenue Ex GST],$BI1491),INDEX(tbl_Consulting[Expected Revenue Ex GST],$BI1491)))))</f>
        <v/>
      </c>
      <c r="O1491" s="11">
        <f>IF(AND($C1491="",NOT(COUNTA($S1491:$BB1491)&gt;0)),"",SUM(U1491,X1491,AA1491,AD1491,AG1491,AJ1491,AM1491,AP1491,AS1491,AV1491,AY1491,BB1491))</f>
        <v/>
      </c>
      <c r="P1491" s="11">
        <f>IF(O1491="","",N(N1491)-O1491)</f>
        <v/>
      </c>
      <c r="Q1491" s="10">
        <f>IF(O1491="","",IF($C1491="","Invoice on empty job row",IF(N1491="",IF(ROUND(O1491,2)=0,"No dept value","Invoiced - no dept value"),IF(ROUND(O1491,2)=0,"Not invoiced - to invoice",IF(ROUND(P1491,2)=0,"Agrees",IF(P1491&gt;0,"Dept higher - to invoice","Xero higher - check dept"))))))</f>
        <v/>
      </c>
      <c r="R1491" s="10">
        <f>IF(AND($C1491="",NOT(COUNTA($S1491:$BB1491)&gt;0),$BI1491&lt;&gt;""),"",MID(IF($BI1491="","; Row ID not found on the department sheet - a row was deleted","")&amp;IF(AND($C1491="",COUNTA($S1491:$BB1491)&gt;0),"; Invoice entered but the department row has no job number","")&amp;IF(E1491="CHECK","; Job number not in the Xero job list","")&amp;IF(AND($C1491&lt;&gt;"",COUNTIF($C$7:$C$1506,$C1491)&gt;1),"; Job number on more than one row","")&amp;IF(AND($C1491&lt;&gt;"",H1491=""),"; Dept has not set a cost centre","")&amp;IF(AND($C1491&lt;&gt;"",J1491=""),"; Dept has not set a tax code","")&amp;IF(AND($C1491&lt;&gt;"",N1491=""),"; Dept has not entered an expected value","")&amp;IF((IF(OR(COUNTA(S1491:U1491)=0,AND(COUNTA(S1491:U1491)=3,ISNUMBER(U1491))),0,1)+IF(OR(COUNTA(V1491:X1491)=0,AND(COUNTA(V1491:X1491)=3,ISNUMBER(X1491))),0,1)+IF(OR(COUNTA(Y1491:AA1491)=0,AND(COUNTA(Y1491:AA1491)=3,ISNUMBER(AA1491))),0,1)+IF(OR(COUNTA(AB1491:AD1491)=0,AND(COUNTA(AB1491:AD1491)=3,ISNUMBER(AD1491))),0,1)+IF(OR(COUNTA(AE1491:AG1491)=0,AND(COUNTA(AE1491:AG1491)=3,ISNUMBER(AG1491))),0,1)+IF(OR(COUNTA(AH1491:AJ1491)=0,AND(COUNTA(AH1491:AJ1491)=3,ISNUMBER(AJ1491))),0,1)+IF(OR(COUNTA(AK1491:AM1491)=0,AND(COUNTA(AK1491:AM1491)=3,ISNUMBER(AM1491))),0,1)+IF(OR(COUNTA(AN1491:AP1491)=0,AND(COUNTA(AN1491:AP1491)=3,ISNUMBER(AP1491))),0,1)+IF(OR(COUNTA(AQ1491:AS1491)=0,AND(COUNTA(AQ1491:AS1491)=3,ISNUMBER(AS1491))),0,1)+IF(OR(COUNTA(AT1491:AV1491)=0,AND(COUNTA(AT1491:AV1491)=3,ISNUMBER(AV1491))),0,1)+IF(OR(COUNTA(AW1491:AY1491)=0,AND(COUNTA(AW1491:AY1491)=3,ISNUMBER(AY1491))),0,1)+IF(OR(COUNTA(AZ1491:BB1491)=0,AND(COUNTA(AZ1491:BB1491)=3,ISNUMBER(BB1491))),0,1))&gt;0,"; An invoice is incomplete (needs No, Date and a number in Ex GST)","")&amp;IF((IF(T1491="",0,IFERROR(--(EOMONTH(T1491,0)&lt;&gt;S$5),1))+IF(W1491="",0,IFERROR(--(EOMONTH(W1491,0)&lt;&gt;V$5),1))+IF(Z1491="",0,IFERROR(--(EOMONTH(Z1491,0)&lt;&gt;Y$5),1))+IF(AC1491="",0,IFERROR(--(EOMONTH(AC1491,0)&lt;&gt;AB$5),1))+IF(AF1491="",0,IFERROR(--(EOMONTH(AF1491,0)&lt;&gt;AE$5),1))+IF(AI1491="",0,IFERROR(--(EOMONTH(AI1491,0)&lt;&gt;AH$5),1))+IF(AL1491="",0,IFERROR(--(EOMONTH(AL1491,0)&lt;&gt;AK$5),1))+IF(AO1491="",0,IFERROR(--(EOMONTH(AO1491,0)&lt;&gt;AN$5),1))+IF(AR1491="",0,IFERROR(--(EOMONTH(AR1491,0)&lt;&gt;AQ$5),1))+IF(AU1491="",0,IFERROR(--(EOMONTH(AU1491,0)&lt;&gt;AT$5),1))+IF(AX1491="",0,IFERROR(--(EOMONTH(AX1491,0)&lt;&gt;AW$5),1))+IF(BA1491="",0,IFERROR(--(EOMONTH(BA1491,0)&lt;&gt;AZ$5),1)))&gt;0,"; An invoice date is not in the month it is typed under",""),3,500))</f>
        <v/>
      </c>
      <c r="S1491" s="12" t="n"/>
      <c r="T1491" s="13" t="n"/>
      <c r="U1491" s="14" t="n"/>
      <c r="V1491" s="12" t="n"/>
      <c r="W1491" s="13" t="n"/>
      <c r="X1491" s="14" t="n"/>
      <c r="Y1491" s="12" t="n"/>
      <c r="Z1491" s="13" t="n"/>
      <c r="AA1491" s="14" t="n"/>
      <c r="AB1491" s="12" t="n"/>
      <c r="AC1491" s="13" t="n"/>
      <c r="AD1491" s="14" t="n"/>
      <c r="AE1491" s="12" t="n"/>
      <c r="AF1491" s="13" t="n"/>
      <c r="AG1491" s="14" t="n"/>
      <c r="AH1491" s="12" t="n"/>
      <c r="AI1491" s="13" t="n"/>
      <c r="AJ1491" s="14" t="n"/>
      <c r="AK1491" s="12" t="n"/>
      <c r="AL1491" s="13" t="n"/>
      <c r="AM1491" s="14" t="n"/>
      <c r="AN1491" s="12" t="n"/>
      <c r="AO1491" s="13" t="n"/>
      <c r="AP1491" s="14" t="n"/>
      <c r="AQ1491" s="12" t="n"/>
      <c r="AR1491" s="13" t="n"/>
      <c r="AS1491" s="14" t="n"/>
      <c r="AT1491" s="12" t="n"/>
      <c r="AU1491" s="13" t="n"/>
      <c r="AV1491" s="14" t="n"/>
      <c r="AW1491" s="12" t="n"/>
      <c r="AX1491" s="13" t="n"/>
      <c r="AY1491" s="14" t="n"/>
      <c r="AZ1491" s="12" t="n"/>
      <c r="BA1491" s="13" t="n"/>
      <c r="BB1491" s="14" t="n"/>
      <c r="BC1491" s="11">
        <f>IF(O1491="","",IF(J1491="GST 10%",ROUND(O1491*set_GSTRate,2),0))</f>
        <v/>
      </c>
      <c r="BD1491" s="11">
        <f>IF(O1491="","",O1491+BC1491)</f>
        <v/>
      </c>
      <c r="BE1491" s="15">
        <f>IF(O1491="","",COUNTA(S1491,V1491,Y1491,AB1491,AE1491,AH1491,AK1491,AN1491,AQ1491,AT1491,AW1491,AZ1491))</f>
        <v/>
      </c>
      <c r="BF1491" s="16">
        <f>IF(COUNT(T1491,W1491,Z1491,AC1491,AF1491,AI1491,AL1491,AO1491,AR1491,AU1491,AX1491,BA1491)=0,"",MAX(T1491,W1491,Z1491,AC1491,AF1491,AI1491,AL1491,AO1491,AR1491,AU1491,AX1491,BA1491))</f>
        <v/>
      </c>
      <c r="BG1491" s="10">
        <f>MID(IF(S1491="","",", "&amp;S1491)&amp;IF(V1491="","",", "&amp;V1491)&amp;IF(Y1491="","",", "&amp;Y1491)&amp;IF(AB1491="","",", "&amp;AB1491)&amp;IF(AE1491="","",", "&amp;AE1491)&amp;IF(AH1491="","",", "&amp;AH1491)&amp;IF(AK1491="","",", "&amp;AK1491)&amp;IF(AN1491="","",", "&amp;AN1491)&amp;IF(AQ1491="","",", "&amp;AQ1491)&amp;IF(AT1491="","",", "&amp;AT1491)&amp;IF(AW1491="","",", "&amp;AW1491)&amp;IF(AZ1491="","",", "&amp;AZ1491),3,500)</f>
        <v/>
      </c>
      <c r="BH1491" s="12" t="n"/>
      <c r="BI1491" s="15">
        <f>IFERROR(MATCH($A1491,IF($B1491="Onsite",tbl_Onsite[Row ID],IF($B1491="Production",tbl_Production[Row ID],tbl_Consulting[Row ID])),0),"")</f>
        <v/>
      </c>
    </row>
    <row r="1492">
      <c r="A1492" s="10" t="inlineStr">
        <is>
          <t>CON-0486</t>
        </is>
      </c>
      <c r="B1492" s="10" t="inlineStr">
        <is>
          <t>Consulting</t>
        </is>
      </c>
      <c r="C1492" s="10">
        <f>IF($BI1492="","",IF($B1492="Onsite",INDEX(tbl_Onsite[Job Number],$BI1492),IF($B1492="Production",INDEX(tbl_Production[Job Number],$BI1492),INDEX(tbl_Consulting[Job Number],$BI1492)))&amp;"")</f>
        <v/>
      </c>
      <c r="D1492" s="10">
        <f>IF($BI1492="","",IF($B1492="Onsite",INDEX(tbl_Onsite[Client],$BI1492),IF($B1492="Production",INDEX(tbl_Production[Client],$BI1492),INDEX(tbl_Consulting[Client],$BI1492)))&amp;"")</f>
        <v/>
      </c>
      <c r="E1492" s="10">
        <f>IF($C1492="","",IF(COUNTIF(lst_Jobs,$C1492)&gt;0,"OK","CHECK"))</f>
        <v/>
      </c>
      <c r="F1492" s="10">
        <f>IF($C1492="","",IFERROR(INDEX(lst_JobName,MATCH($C1492,lst_Jobs,0)),""))</f>
        <v/>
      </c>
      <c r="G1492" s="10">
        <f>IF($BI1492="","",IF($B1492="Onsite",INDEX(tbl_Onsite[Job Description],$BI1492),IF($B1492="Production",INDEX(tbl_Production[Job Description],$BI1492),INDEX(tbl_Consulting[Job Description],$BI1492)))&amp;"")</f>
        <v/>
      </c>
      <c r="H1492" s="10">
        <f>IF($BI1492="","",IF($B1492="Onsite",INDEX(tbl_Onsite[Cost Centre],$BI1492),IF($B1492="Production",INDEX(tbl_Production[Cost Centre],$BI1492),INDEX(tbl_Consulting[Cost Centre],$BI1492)))&amp;"")</f>
        <v/>
      </c>
      <c r="I1492" s="10">
        <f>IF($BI1492="","",IF($B1492="Onsite",INDEX(tbl_Onsite[Invoice Type],$BI1492),IF($B1492="Production",INDEX(tbl_Production[Invoice Type],$BI1492),INDEX(tbl_Consulting[Invoice Type],$BI1492)))&amp;"")</f>
        <v/>
      </c>
      <c r="J1492" s="10">
        <f>IF($BI1492="","",IF($B1492="Onsite",INDEX(tbl_Onsite[Tax Code],$BI1492),IF($B1492="Production",INDEX(tbl_Production[Tax Code],$BI1492),INDEX(tbl_Consulting[Tax Code],$BI1492)))&amp;"")</f>
        <v/>
      </c>
      <c r="K1492" s="10">
        <f>IF(H1492="","",IFERROR(INDEX(lst_CCtoGL,MATCH(H1492,lst_CCforGL,0)),""))</f>
        <v/>
      </c>
      <c r="L1492" s="10">
        <f>IF($BI1492="","",IF($B1492="Onsite",INDEX(tbl_Onsite[PO / Reference],$BI1492),IF($B1492="Production",INDEX(tbl_Production[Current RMS No],$BI1492),INDEX(tbl_Consulting[Qwilr Quote],$BI1492)))&amp;"")</f>
        <v/>
      </c>
      <c r="M1492" s="10">
        <f>IF($BI1492="","",IF($B1492="Onsite",INDEX(tbl_Onsite[Notes],$BI1492),IF($B1492="Production",INDEX(tbl_Production[Notes],$BI1492),INDEX(tbl_Consulting[Notes],$BI1492)))&amp;"")</f>
        <v/>
      </c>
      <c r="N1492" s="11">
        <f>IF($BI1492="","",IF(IF($B1492="Onsite",INDEX(tbl_Onsite[Expected Revenue Ex GST],$BI1492),IF($B1492="Production",INDEX(tbl_Production[Expected Revenue Ex GST],$BI1492),INDEX(tbl_Consulting[Expected Revenue Ex GST],$BI1492)))="","",IF($B1492="Onsite",INDEX(tbl_Onsite[Expected Revenue Ex GST],$BI1492),IF($B1492="Production",INDEX(tbl_Production[Expected Revenue Ex GST],$BI1492),INDEX(tbl_Consulting[Expected Revenue Ex GST],$BI1492)))))</f>
        <v/>
      </c>
      <c r="O1492" s="11">
        <f>IF(AND($C1492="",NOT(COUNTA($S1492:$BB1492)&gt;0)),"",SUM(U1492,X1492,AA1492,AD1492,AG1492,AJ1492,AM1492,AP1492,AS1492,AV1492,AY1492,BB1492))</f>
        <v/>
      </c>
      <c r="P1492" s="11">
        <f>IF(O1492="","",N(N1492)-O1492)</f>
        <v/>
      </c>
      <c r="Q1492" s="10">
        <f>IF(O1492="","",IF($C1492="","Invoice on empty job row",IF(N1492="",IF(ROUND(O1492,2)=0,"No dept value","Invoiced - no dept value"),IF(ROUND(O1492,2)=0,"Not invoiced - to invoice",IF(ROUND(P1492,2)=0,"Agrees",IF(P1492&gt;0,"Dept higher - to invoice","Xero higher - check dept"))))))</f>
        <v/>
      </c>
      <c r="R1492" s="10">
        <f>IF(AND($C1492="",NOT(COUNTA($S1492:$BB1492)&gt;0),$BI1492&lt;&gt;""),"",MID(IF($BI1492="","; Row ID not found on the department sheet - a row was deleted","")&amp;IF(AND($C1492="",COUNTA($S1492:$BB1492)&gt;0),"; Invoice entered but the department row has no job number","")&amp;IF(E1492="CHECK","; Job number not in the Xero job list","")&amp;IF(AND($C1492&lt;&gt;"",COUNTIF($C$7:$C$1506,$C1492)&gt;1),"; Job number on more than one row","")&amp;IF(AND($C1492&lt;&gt;"",H1492=""),"; Dept has not set a cost centre","")&amp;IF(AND($C1492&lt;&gt;"",J1492=""),"; Dept has not set a tax code","")&amp;IF(AND($C1492&lt;&gt;"",N1492=""),"; Dept has not entered an expected value","")&amp;IF((IF(OR(COUNTA(S1492:U1492)=0,AND(COUNTA(S1492:U1492)=3,ISNUMBER(U1492))),0,1)+IF(OR(COUNTA(V1492:X1492)=0,AND(COUNTA(V1492:X1492)=3,ISNUMBER(X1492))),0,1)+IF(OR(COUNTA(Y1492:AA1492)=0,AND(COUNTA(Y1492:AA1492)=3,ISNUMBER(AA1492))),0,1)+IF(OR(COUNTA(AB1492:AD1492)=0,AND(COUNTA(AB1492:AD1492)=3,ISNUMBER(AD1492))),0,1)+IF(OR(COUNTA(AE1492:AG1492)=0,AND(COUNTA(AE1492:AG1492)=3,ISNUMBER(AG1492))),0,1)+IF(OR(COUNTA(AH1492:AJ1492)=0,AND(COUNTA(AH1492:AJ1492)=3,ISNUMBER(AJ1492))),0,1)+IF(OR(COUNTA(AK1492:AM1492)=0,AND(COUNTA(AK1492:AM1492)=3,ISNUMBER(AM1492))),0,1)+IF(OR(COUNTA(AN1492:AP1492)=0,AND(COUNTA(AN1492:AP1492)=3,ISNUMBER(AP1492))),0,1)+IF(OR(COUNTA(AQ1492:AS1492)=0,AND(COUNTA(AQ1492:AS1492)=3,ISNUMBER(AS1492))),0,1)+IF(OR(COUNTA(AT1492:AV1492)=0,AND(COUNTA(AT1492:AV1492)=3,ISNUMBER(AV1492))),0,1)+IF(OR(COUNTA(AW1492:AY1492)=0,AND(COUNTA(AW1492:AY1492)=3,ISNUMBER(AY1492))),0,1)+IF(OR(COUNTA(AZ1492:BB1492)=0,AND(COUNTA(AZ1492:BB1492)=3,ISNUMBER(BB1492))),0,1))&gt;0,"; An invoice is incomplete (needs No, Date and a number in Ex GST)","")&amp;IF((IF(T1492="",0,IFERROR(--(EOMONTH(T1492,0)&lt;&gt;S$5),1))+IF(W1492="",0,IFERROR(--(EOMONTH(W1492,0)&lt;&gt;V$5),1))+IF(Z1492="",0,IFERROR(--(EOMONTH(Z1492,0)&lt;&gt;Y$5),1))+IF(AC1492="",0,IFERROR(--(EOMONTH(AC1492,0)&lt;&gt;AB$5),1))+IF(AF1492="",0,IFERROR(--(EOMONTH(AF1492,0)&lt;&gt;AE$5),1))+IF(AI1492="",0,IFERROR(--(EOMONTH(AI1492,0)&lt;&gt;AH$5),1))+IF(AL1492="",0,IFERROR(--(EOMONTH(AL1492,0)&lt;&gt;AK$5),1))+IF(AO1492="",0,IFERROR(--(EOMONTH(AO1492,0)&lt;&gt;AN$5),1))+IF(AR1492="",0,IFERROR(--(EOMONTH(AR1492,0)&lt;&gt;AQ$5),1))+IF(AU1492="",0,IFERROR(--(EOMONTH(AU1492,0)&lt;&gt;AT$5),1))+IF(AX1492="",0,IFERROR(--(EOMONTH(AX1492,0)&lt;&gt;AW$5),1))+IF(BA1492="",0,IFERROR(--(EOMONTH(BA1492,0)&lt;&gt;AZ$5),1)))&gt;0,"; An invoice date is not in the month it is typed under",""),3,500))</f>
        <v/>
      </c>
      <c r="S1492" s="12" t="n"/>
      <c r="T1492" s="13" t="n"/>
      <c r="U1492" s="14" t="n"/>
      <c r="V1492" s="12" t="n"/>
      <c r="W1492" s="13" t="n"/>
      <c r="X1492" s="14" t="n"/>
      <c r="Y1492" s="12" t="n"/>
      <c r="Z1492" s="13" t="n"/>
      <c r="AA1492" s="14" t="n"/>
      <c r="AB1492" s="12" t="n"/>
      <c r="AC1492" s="13" t="n"/>
      <c r="AD1492" s="14" t="n"/>
      <c r="AE1492" s="12" t="n"/>
      <c r="AF1492" s="13" t="n"/>
      <c r="AG1492" s="14" t="n"/>
      <c r="AH1492" s="12" t="n"/>
      <c r="AI1492" s="13" t="n"/>
      <c r="AJ1492" s="14" t="n"/>
      <c r="AK1492" s="12" t="n"/>
      <c r="AL1492" s="13" t="n"/>
      <c r="AM1492" s="14" t="n"/>
      <c r="AN1492" s="12" t="n"/>
      <c r="AO1492" s="13" t="n"/>
      <c r="AP1492" s="14" t="n"/>
      <c r="AQ1492" s="12" t="n"/>
      <c r="AR1492" s="13" t="n"/>
      <c r="AS1492" s="14" t="n"/>
      <c r="AT1492" s="12" t="n"/>
      <c r="AU1492" s="13" t="n"/>
      <c r="AV1492" s="14" t="n"/>
      <c r="AW1492" s="12" t="n"/>
      <c r="AX1492" s="13" t="n"/>
      <c r="AY1492" s="14" t="n"/>
      <c r="AZ1492" s="12" t="n"/>
      <c r="BA1492" s="13" t="n"/>
      <c r="BB1492" s="14" t="n"/>
      <c r="BC1492" s="11">
        <f>IF(O1492="","",IF(J1492="GST 10%",ROUND(O1492*set_GSTRate,2),0))</f>
        <v/>
      </c>
      <c r="BD1492" s="11">
        <f>IF(O1492="","",O1492+BC1492)</f>
        <v/>
      </c>
      <c r="BE1492" s="15">
        <f>IF(O1492="","",COUNTA(S1492,V1492,Y1492,AB1492,AE1492,AH1492,AK1492,AN1492,AQ1492,AT1492,AW1492,AZ1492))</f>
        <v/>
      </c>
      <c r="BF1492" s="16">
        <f>IF(COUNT(T1492,W1492,Z1492,AC1492,AF1492,AI1492,AL1492,AO1492,AR1492,AU1492,AX1492,BA1492)=0,"",MAX(T1492,W1492,Z1492,AC1492,AF1492,AI1492,AL1492,AO1492,AR1492,AU1492,AX1492,BA1492))</f>
        <v/>
      </c>
      <c r="BG1492" s="10">
        <f>MID(IF(S1492="","",", "&amp;S1492)&amp;IF(V1492="","",", "&amp;V1492)&amp;IF(Y1492="","",", "&amp;Y1492)&amp;IF(AB1492="","",", "&amp;AB1492)&amp;IF(AE1492="","",", "&amp;AE1492)&amp;IF(AH1492="","",", "&amp;AH1492)&amp;IF(AK1492="","",", "&amp;AK1492)&amp;IF(AN1492="","",", "&amp;AN1492)&amp;IF(AQ1492="","",", "&amp;AQ1492)&amp;IF(AT1492="","",", "&amp;AT1492)&amp;IF(AW1492="","",", "&amp;AW1492)&amp;IF(AZ1492="","",", "&amp;AZ1492),3,500)</f>
        <v/>
      </c>
      <c r="BH1492" s="12" t="n"/>
      <c r="BI1492" s="15">
        <f>IFERROR(MATCH($A1492,IF($B1492="Onsite",tbl_Onsite[Row ID],IF($B1492="Production",tbl_Production[Row ID],tbl_Consulting[Row ID])),0),"")</f>
        <v/>
      </c>
    </row>
    <row r="1493">
      <c r="A1493" s="10" t="inlineStr">
        <is>
          <t>CON-0487</t>
        </is>
      </c>
      <c r="B1493" s="10" t="inlineStr">
        <is>
          <t>Consulting</t>
        </is>
      </c>
      <c r="C1493" s="10">
        <f>IF($BI1493="","",IF($B1493="Onsite",INDEX(tbl_Onsite[Job Number],$BI1493),IF($B1493="Production",INDEX(tbl_Production[Job Number],$BI1493),INDEX(tbl_Consulting[Job Number],$BI1493)))&amp;"")</f>
        <v/>
      </c>
      <c r="D1493" s="10">
        <f>IF($BI1493="","",IF($B1493="Onsite",INDEX(tbl_Onsite[Client],$BI1493),IF($B1493="Production",INDEX(tbl_Production[Client],$BI1493),INDEX(tbl_Consulting[Client],$BI1493)))&amp;"")</f>
        <v/>
      </c>
      <c r="E1493" s="10">
        <f>IF($C1493="","",IF(COUNTIF(lst_Jobs,$C1493)&gt;0,"OK","CHECK"))</f>
        <v/>
      </c>
      <c r="F1493" s="10">
        <f>IF($C1493="","",IFERROR(INDEX(lst_JobName,MATCH($C1493,lst_Jobs,0)),""))</f>
        <v/>
      </c>
      <c r="G1493" s="10">
        <f>IF($BI1493="","",IF($B1493="Onsite",INDEX(tbl_Onsite[Job Description],$BI1493),IF($B1493="Production",INDEX(tbl_Production[Job Description],$BI1493),INDEX(tbl_Consulting[Job Description],$BI1493)))&amp;"")</f>
        <v/>
      </c>
      <c r="H1493" s="10">
        <f>IF($BI1493="","",IF($B1493="Onsite",INDEX(tbl_Onsite[Cost Centre],$BI1493),IF($B1493="Production",INDEX(tbl_Production[Cost Centre],$BI1493),INDEX(tbl_Consulting[Cost Centre],$BI1493)))&amp;"")</f>
        <v/>
      </c>
      <c r="I1493" s="10">
        <f>IF($BI1493="","",IF($B1493="Onsite",INDEX(tbl_Onsite[Invoice Type],$BI1493),IF($B1493="Production",INDEX(tbl_Production[Invoice Type],$BI1493),INDEX(tbl_Consulting[Invoice Type],$BI1493)))&amp;"")</f>
        <v/>
      </c>
      <c r="J1493" s="10">
        <f>IF($BI1493="","",IF($B1493="Onsite",INDEX(tbl_Onsite[Tax Code],$BI1493),IF($B1493="Production",INDEX(tbl_Production[Tax Code],$BI1493),INDEX(tbl_Consulting[Tax Code],$BI1493)))&amp;"")</f>
        <v/>
      </c>
      <c r="K1493" s="10">
        <f>IF(H1493="","",IFERROR(INDEX(lst_CCtoGL,MATCH(H1493,lst_CCforGL,0)),""))</f>
        <v/>
      </c>
      <c r="L1493" s="10">
        <f>IF($BI1493="","",IF($B1493="Onsite",INDEX(tbl_Onsite[PO / Reference],$BI1493),IF($B1493="Production",INDEX(tbl_Production[Current RMS No],$BI1493),INDEX(tbl_Consulting[Qwilr Quote],$BI1493)))&amp;"")</f>
        <v/>
      </c>
      <c r="M1493" s="10">
        <f>IF($BI1493="","",IF($B1493="Onsite",INDEX(tbl_Onsite[Notes],$BI1493),IF($B1493="Production",INDEX(tbl_Production[Notes],$BI1493),INDEX(tbl_Consulting[Notes],$BI1493)))&amp;"")</f>
        <v/>
      </c>
      <c r="N1493" s="11">
        <f>IF($BI1493="","",IF(IF($B1493="Onsite",INDEX(tbl_Onsite[Expected Revenue Ex GST],$BI1493),IF($B1493="Production",INDEX(tbl_Production[Expected Revenue Ex GST],$BI1493),INDEX(tbl_Consulting[Expected Revenue Ex GST],$BI1493)))="","",IF($B1493="Onsite",INDEX(tbl_Onsite[Expected Revenue Ex GST],$BI1493),IF($B1493="Production",INDEX(tbl_Production[Expected Revenue Ex GST],$BI1493),INDEX(tbl_Consulting[Expected Revenue Ex GST],$BI1493)))))</f>
        <v/>
      </c>
      <c r="O1493" s="11">
        <f>IF(AND($C1493="",NOT(COUNTA($S1493:$BB1493)&gt;0)),"",SUM(U1493,X1493,AA1493,AD1493,AG1493,AJ1493,AM1493,AP1493,AS1493,AV1493,AY1493,BB1493))</f>
        <v/>
      </c>
      <c r="P1493" s="11">
        <f>IF(O1493="","",N(N1493)-O1493)</f>
        <v/>
      </c>
      <c r="Q1493" s="10">
        <f>IF(O1493="","",IF($C1493="","Invoice on empty job row",IF(N1493="",IF(ROUND(O1493,2)=0,"No dept value","Invoiced - no dept value"),IF(ROUND(O1493,2)=0,"Not invoiced - to invoice",IF(ROUND(P1493,2)=0,"Agrees",IF(P1493&gt;0,"Dept higher - to invoice","Xero higher - check dept"))))))</f>
        <v/>
      </c>
      <c r="R1493" s="10">
        <f>IF(AND($C1493="",NOT(COUNTA($S1493:$BB1493)&gt;0),$BI1493&lt;&gt;""),"",MID(IF($BI1493="","; Row ID not found on the department sheet - a row was deleted","")&amp;IF(AND($C1493="",COUNTA($S1493:$BB1493)&gt;0),"; Invoice entered but the department row has no job number","")&amp;IF(E1493="CHECK","; Job number not in the Xero job list","")&amp;IF(AND($C1493&lt;&gt;"",COUNTIF($C$7:$C$1506,$C1493)&gt;1),"; Job number on more than one row","")&amp;IF(AND($C1493&lt;&gt;"",H1493=""),"; Dept has not set a cost centre","")&amp;IF(AND($C1493&lt;&gt;"",J1493=""),"; Dept has not set a tax code","")&amp;IF(AND($C1493&lt;&gt;"",N1493=""),"; Dept has not entered an expected value","")&amp;IF((IF(OR(COUNTA(S1493:U1493)=0,AND(COUNTA(S1493:U1493)=3,ISNUMBER(U1493))),0,1)+IF(OR(COUNTA(V1493:X1493)=0,AND(COUNTA(V1493:X1493)=3,ISNUMBER(X1493))),0,1)+IF(OR(COUNTA(Y1493:AA1493)=0,AND(COUNTA(Y1493:AA1493)=3,ISNUMBER(AA1493))),0,1)+IF(OR(COUNTA(AB1493:AD1493)=0,AND(COUNTA(AB1493:AD1493)=3,ISNUMBER(AD1493))),0,1)+IF(OR(COUNTA(AE1493:AG1493)=0,AND(COUNTA(AE1493:AG1493)=3,ISNUMBER(AG1493))),0,1)+IF(OR(COUNTA(AH1493:AJ1493)=0,AND(COUNTA(AH1493:AJ1493)=3,ISNUMBER(AJ1493))),0,1)+IF(OR(COUNTA(AK1493:AM1493)=0,AND(COUNTA(AK1493:AM1493)=3,ISNUMBER(AM1493))),0,1)+IF(OR(COUNTA(AN1493:AP1493)=0,AND(COUNTA(AN1493:AP1493)=3,ISNUMBER(AP1493))),0,1)+IF(OR(COUNTA(AQ1493:AS1493)=0,AND(COUNTA(AQ1493:AS1493)=3,ISNUMBER(AS1493))),0,1)+IF(OR(COUNTA(AT1493:AV1493)=0,AND(COUNTA(AT1493:AV1493)=3,ISNUMBER(AV1493))),0,1)+IF(OR(COUNTA(AW1493:AY1493)=0,AND(COUNTA(AW1493:AY1493)=3,ISNUMBER(AY1493))),0,1)+IF(OR(COUNTA(AZ1493:BB1493)=0,AND(COUNTA(AZ1493:BB1493)=3,ISNUMBER(BB1493))),0,1))&gt;0,"; An invoice is incomplete (needs No, Date and a number in Ex GST)","")&amp;IF((IF(T1493="",0,IFERROR(--(EOMONTH(T1493,0)&lt;&gt;S$5),1))+IF(W1493="",0,IFERROR(--(EOMONTH(W1493,0)&lt;&gt;V$5),1))+IF(Z1493="",0,IFERROR(--(EOMONTH(Z1493,0)&lt;&gt;Y$5),1))+IF(AC1493="",0,IFERROR(--(EOMONTH(AC1493,0)&lt;&gt;AB$5),1))+IF(AF1493="",0,IFERROR(--(EOMONTH(AF1493,0)&lt;&gt;AE$5),1))+IF(AI1493="",0,IFERROR(--(EOMONTH(AI1493,0)&lt;&gt;AH$5),1))+IF(AL1493="",0,IFERROR(--(EOMONTH(AL1493,0)&lt;&gt;AK$5),1))+IF(AO1493="",0,IFERROR(--(EOMONTH(AO1493,0)&lt;&gt;AN$5),1))+IF(AR1493="",0,IFERROR(--(EOMONTH(AR1493,0)&lt;&gt;AQ$5),1))+IF(AU1493="",0,IFERROR(--(EOMONTH(AU1493,0)&lt;&gt;AT$5),1))+IF(AX1493="",0,IFERROR(--(EOMONTH(AX1493,0)&lt;&gt;AW$5),1))+IF(BA1493="",0,IFERROR(--(EOMONTH(BA1493,0)&lt;&gt;AZ$5),1)))&gt;0,"; An invoice date is not in the month it is typed under",""),3,500))</f>
        <v/>
      </c>
      <c r="S1493" s="12" t="n"/>
      <c r="T1493" s="13" t="n"/>
      <c r="U1493" s="14" t="n"/>
      <c r="V1493" s="12" t="n"/>
      <c r="W1493" s="13" t="n"/>
      <c r="X1493" s="14" t="n"/>
      <c r="Y1493" s="12" t="n"/>
      <c r="Z1493" s="13" t="n"/>
      <c r="AA1493" s="14" t="n"/>
      <c r="AB1493" s="12" t="n"/>
      <c r="AC1493" s="13" t="n"/>
      <c r="AD1493" s="14" t="n"/>
      <c r="AE1493" s="12" t="n"/>
      <c r="AF1493" s="13" t="n"/>
      <c r="AG1493" s="14" t="n"/>
      <c r="AH1493" s="12" t="n"/>
      <c r="AI1493" s="13" t="n"/>
      <c r="AJ1493" s="14" t="n"/>
      <c r="AK1493" s="12" t="n"/>
      <c r="AL1493" s="13" t="n"/>
      <c r="AM1493" s="14" t="n"/>
      <c r="AN1493" s="12" t="n"/>
      <c r="AO1493" s="13" t="n"/>
      <c r="AP1493" s="14" t="n"/>
      <c r="AQ1493" s="12" t="n"/>
      <c r="AR1493" s="13" t="n"/>
      <c r="AS1493" s="14" t="n"/>
      <c r="AT1493" s="12" t="n"/>
      <c r="AU1493" s="13" t="n"/>
      <c r="AV1493" s="14" t="n"/>
      <c r="AW1493" s="12" t="n"/>
      <c r="AX1493" s="13" t="n"/>
      <c r="AY1493" s="14" t="n"/>
      <c r="AZ1493" s="12" t="n"/>
      <c r="BA1493" s="13" t="n"/>
      <c r="BB1493" s="14" t="n"/>
      <c r="BC1493" s="11">
        <f>IF(O1493="","",IF(J1493="GST 10%",ROUND(O1493*set_GSTRate,2),0))</f>
        <v/>
      </c>
      <c r="BD1493" s="11">
        <f>IF(O1493="","",O1493+BC1493)</f>
        <v/>
      </c>
      <c r="BE1493" s="15">
        <f>IF(O1493="","",COUNTA(S1493,V1493,Y1493,AB1493,AE1493,AH1493,AK1493,AN1493,AQ1493,AT1493,AW1493,AZ1493))</f>
        <v/>
      </c>
      <c r="BF1493" s="16">
        <f>IF(COUNT(T1493,W1493,Z1493,AC1493,AF1493,AI1493,AL1493,AO1493,AR1493,AU1493,AX1493,BA1493)=0,"",MAX(T1493,W1493,Z1493,AC1493,AF1493,AI1493,AL1493,AO1493,AR1493,AU1493,AX1493,BA1493))</f>
        <v/>
      </c>
      <c r="BG1493" s="10">
        <f>MID(IF(S1493="","",", "&amp;S1493)&amp;IF(V1493="","",", "&amp;V1493)&amp;IF(Y1493="","",", "&amp;Y1493)&amp;IF(AB1493="","",", "&amp;AB1493)&amp;IF(AE1493="","",", "&amp;AE1493)&amp;IF(AH1493="","",", "&amp;AH1493)&amp;IF(AK1493="","",", "&amp;AK1493)&amp;IF(AN1493="","",", "&amp;AN1493)&amp;IF(AQ1493="","",", "&amp;AQ1493)&amp;IF(AT1493="","",", "&amp;AT1493)&amp;IF(AW1493="","",", "&amp;AW1493)&amp;IF(AZ1493="","",", "&amp;AZ1493),3,500)</f>
        <v/>
      </c>
      <c r="BH1493" s="12" t="n"/>
      <c r="BI1493" s="15">
        <f>IFERROR(MATCH($A1493,IF($B1493="Onsite",tbl_Onsite[Row ID],IF($B1493="Production",tbl_Production[Row ID],tbl_Consulting[Row ID])),0),"")</f>
        <v/>
      </c>
    </row>
    <row r="1494">
      <c r="A1494" s="10" t="inlineStr">
        <is>
          <t>CON-0488</t>
        </is>
      </c>
      <c r="B1494" s="10" t="inlineStr">
        <is>
          <t>Consulting</t>
        </is>
      </c>
      <c r="C1494" s="10">
        <f>IF($BI1494="","",IF($B1494="Onsite",INDEX(tbl_Onsite[Job Number],$BI1494),IF($B1494="Production",INDEX(tbl_Production[Job Number],$BI1494),INDEX(tbl_Consulting[Job Number],$BI1494)))&amp;"")</f>
        <v/>
      </c>
      <c r="D1494" s="10">
        <f>IF($BI1494="","",IF($B1494="Onsite",INDEX(tbl_Onsite[Client],$BI1494),IF($B1494="Production",INDEX(tbl_Production[Client],$BI1494),INDEX(tbl_Consulting[Client],$BI1494)))&amp;"")</f>
        <v/>
      </c>
      <c r="E1494" s="10">
        <f>IF($C1494="","",IF(COUNTIF(lst_Jobs,$C1494)&gt;0,"OK","CHECK"))</f>
        <v/>
      </c>
      <c r="F1494" s="10">
        <f>IF($C1494="","",IFERROR(INDEX(lst_JobName,MATCH($C1494,lst_Jobs,0)),""))</f>
        <v/>
      </c>
      <c r="G1494" s="10">
        <f>IF($BI1494="","",IF($B1494="Onsite",INDEX(tbl_Onsite[Job Description],$BI1494),IF($B1494="Production",INDEX(tbl_Production[Job Description],$BI1494),INDEX(tbl_Consulting[Job Description],$BI1494)))&amp;"")</f>
        <v/>
      </c>
      <c r="H1494" s="10">
        <f>IF($BI1494="","",IF($B1494="Onsite",INDEX(tbl_Onsite[Cost Centre],$BI1494),IF($B1494="Production",INDEX(tbl_Production[Cost Centre],$BI1494),INDEX(tbl_Consulting[Cost Centre],$BI1494)))&amp;"")</f>
        <v/>
      </c>
      <c r="I1494" s="10">
        <f>IF($BI1494="","",IF($B1494="Onsite",INDEX(tbl_Onsite[Invoice Type],$BI1494),IF($B1494="Production",INDEX(tbl_Production[Invoice Type],$BI1494),INDEX(tbl_Consulting[Invoice Type],$BI1494)))&amp;"")</f>
        <v/>
      </c>
      <c r="J1494" s="10">
        <f>IF($BI1494="","",IF($B1494="Onsite",INDEX(tbl_Onsite[Tax Code],$BI1494),IF($B1494="Production",INDEX(tbl_Production[Tax Code],$BI1494),INDEX(tbl_Consulting[Tax Code],$BI1494)))&amp;"")</f>
        <v/>
      </c>
      <c r="K1494" s="10">
        <f>IF(H1494="","",IFERROR(INDEX(lst_CCtoGL,MATCH(H1494,lst_CCforGL,0)),""))</f>
        <v/>
      </c>
      <c r="L1494" s="10">
        <f>IF($BI1494="","",IF($B1494="Onsite",INDEX(tbl_Onsite[PO / Reference],$BI1494),IF($B1494="Production",INDEX(tbl_Production[Current RMS No],$BI1494),INDEX(tbl_Consulting[Qwilr Quote],$BI1494)))&amp;"")</f>
        <v/>
      </c>
      <c r="M1494" s="10">
        <f>IF($BI1494="","",IF($B1494="Onsite",INDEX(tbl_Onsite[Notes],$BI1494),IF($B1494="Production",INDEX(tbl_Production[Notes],$BI1494),INDEX(tbl_Consulting[Notes],$BI1494)))&amp;"")</f>
        <v/>
      </c>
      <c r="N1494" s="11">
        <f>IF($BI1494="","",IF(IF($B1494="Onsite",INDEX(tbl_Onsite[Expected Revenue Ex GST],$BI1494),IF($B1494="Production",INDEX(tbl_Production[Expected Revenue Ex GST],$BI1494),INDEX(tbl_Consulting[Expected Revenue Ex GST],$BI1494)))="","",IF($B1494="Onsite",INDEX(tbl_Onsite[Expected Revenue Ex GST],$BI1494),IF($B1494="Production",INDEX(tbl_Production[Expected Revenue Ex GST],$BI1494),INDEX(tbl_Consulting[Expected Revenue Ex GST],$BI1494)))))</f>
        <v/>
      </c>
      <c r="O1494" s="11">
        <f>IF(AND($C1494="",NOT(COUNTA($S1494:$BB1494)&gt;0)),"",SUM(U1494,X1494,AA1494,AD1494,AG1494,AJ1494,AM1494,AP1494,AS1494,AV1494,AY1494,BB1494))</f>
        <v/>
      </c>
      <c r="P1494" s="11">
        <f>IF(O1494="","",N(N1494)-O1494)</f>
        <v/>
      </c>
      <c r="Q1494" s="10">
        <f>IF(O1494="","",IF($C1494="","Invoice on empty job row",IF(N1494="",IF(ROUND(O1494,2)=0,"No dept value","Invoiced - no dept value"),IF(ROUND(O1494,2)=0,"Not invoiced - to invoice",IF(ROUND(P1494,2)=0,"Agrees",IF(P1494&gt;0,"Dept higher - to invoice","Xero higher - check dept"))))))</f>
        <v/>
      </c>
      <c r="R1494" s="10">
        <f>IF(AND($C1494="",NOT(COUNTA($S1494:$BB1494)&gt;0),$BI1494&lt;&gt;""),"",MID(IF($BI1494="","; Row ID not found on the department sheet - a row was deleted","")&amp;IF(AND($C1494="",COUNTA($S1494:$BB1494)&gt;0),"; Invoice entered but the department row has no job number","")&amp;IF(E1494="CHECK","; Job number not in the Xero job list","")&amp;IF(AND($C1494&lt;&gt;"",COUNTIF($C$7:$C$1506,$C1494)&gt;1),"; Job number on more than one row","")&amp;IF(AND($C1494&lt;&gt;"",H1494=""),"; Dept has not set a cost centre","")&amp;IF(AND($C1494&lt;&gt;"",J1494=""),"; Dept has not set a tax code","")&amp;IF(AND($C1494&lt;&gt;"",N1494=""),"; Dept has not entered an expected value","")&amp;IF((IF(OR(COUNTA(S1494:U1494)=0,AND(COUNTA(S1494:U1494)=3,ISNUMBER(U1494))),0,1)+IF(OR(COUNTA(V1494:X1494)=0,AND(COUNTA(V1494:X1494)=3,ISNUMBER(X1494))),0,1)+IF(OR(COUNTA(Y1494:AA1494)=0,AND(COUNTA(Y1494:AA1494)=3,ISNUMBER(AA1494))),0,1)+IF(OR(COUNTA(AB1494:AD1494)=0,AND(COUNTA(AB1494:AD1494)=3,ISNUMBER(AD1494))),0,1)+IF(OR(COUNTA(AE1494:AG1494)=0,AND(COUNTA(AE1494:AG1494)=3,ISNUMBER(AG1494))),0,1)+IF(OR(COUNTA(AH1494:AJ1494)=0,AND(COUNTA(AH1494:AJ1494)=3,ISNUMBER(AJ1494))),0,1)+IF(OR(COUNTA(AK1494:AM1494)=0,AND(COUNTA(AK1494:AM1494)=3,ISNUMBER(AM1494))),0,1)+IF(OR(COUNTA(AN1494:AP1494)=0,AND(COUNTA(AN1494:AP1494)=3,ISNUMBER(AP1494))),0,1)+IF(OR(COUNTA(AQ1494:AS1494)=0,AND(COUNTA(AQ1494:AS1494)=3,ISNUMBER(AS1494))),0,1)+IF(OR(COUNTA(AT1494:AV1494)=0,AND(COUNTA(AT1494:AV1494)=3,ISNUMBER(AV1494))),0,1)+IF(OR(COUNTA(AW1494:AY1494)=0,AND(COUNTA(AW1494:AY1494)=3,ISNUMBER(AY1494))),0,1)+IF(OR(COUNTA(AZ1494:BB1494)=0,AND(COUNTA(AZ1494:BB1494)=3,ISNUMBER(BB1494))),0,1))&gt;0,"; An invoice is incomplete (needs No, Date and a number in Ex GST)","")&amp;IF((IF(T1494="",0,IFERROR(--(EOMONTH(T1494,0)&lt;&gt;S$5),1))+IF(W1494="",0,IFERROR(--(EOMONTH(W1494,0)&lt;&gt;V$5),1))+IF(Z1494="",0,IFERROR(--(EOMONTH(Z1494,0)&lt;&gt;Y$5),1))+IF(AC1494="",0,IFERROR(--(EOMONTH(AC1494,0)&lt;&gt;AB$5),1))+IF(AF1494="",0,IFERROR(--(EOMONTH(AF1494,0)&lt;&gt;AE$5),1))+IF(AI1494="",0,IFERROR(--(EOMONTH(AI1494,0)&lt;&gt;AH$5),1))+IF(AL1494="",0,IFERROR(--(EOMONTH(AL1494,0)&lt;&gt;AK$5),1))+IF(AO1494="",0,IFERROR(--(EOMONTH(AO1494,0)&lt;&gt;AN$5),1))+IF(AR1494="",0,IFERROR(--(EOMONTH(AR1494,0)&lt;&gt;AQ$5),1))+IF(AU1494="",0,IFERROR(--(EOMONTH(AU1494,0)&lt;&gt;AT$5),1))+IF(AX1494="",0,IFERROR(--(EOMONTH(AX1494,0)&lt;&gt;AW$5),1))+IF(BA1494="",0,IFERROR(--(EOMONTH(BA1494,0)&lt;&gt;AZ$5),1)))&gt;0,"; An invoice date is not in the month it is typed under",""),3,500))</f>
        <v/>
      </c>
      <c r="S1494" s="12" t="n"/>
      <c r="T1494" s="13" t="n"/>
      <c r="U1494" s="14" t="n"/>
      <c r="V1494" s="12" t="n"/>
      <c r="W1494" s="13" t="n"/>
      <c r="X1494" s="14" t="n"/>
      <c r="Y1494" s="12" t="n"/>
      <c r="Z1494" s="13" t="n"/>
      <c r="AA1494" s="14" t="n"/>
      <c r="AB1494" s="12" t="n"/>
      <c r="AC1494" s="13" t="n"/>
      <c r="AD1494" s="14" t="n"/>
      <c r="AE1494" s="12" t="n"/>
      <c r="AF1494" s="13" t="n"/>
      <c r="AG1494" s="14" t="n"/>
      <c r="AH1494" s="12" t="n"/>
      <c r="AI1494" s="13" t="n"/>
      <c r="AJ1494" s="14" t="n"/>
      <c r="AK1494" s="12" t="n"/>
      <c r="AL1494" s="13" t="n"/>
      <c r="AM1494" s="14" t="n"/>
      <c r="AN1494" s="12" t="n"/>
      <c r="AO1494" s="13" t="n"/>
      <c r="AP1494" s="14" t="n"/>
      <c r="AQ1494" s="12" t="n"/>
      <c r="AR1494" s="13" t="n"/>
      <c r="AS1494" s="14" t="n"/>
      <c r="AT1494" s="12" t="n"/>
      <c r="AU1494" s="13" t="n"/>
      <c r="AV1494" s="14" t="n"/>
      <c r="AW1494" s="12" t="n"/>
      <c r="AX1494" s="13" t="n"/>
      <c r="AY1494" s="14" t="n"/>
      <c r="AZ1494" s="12" t="n"/>
      <c r="BA1494" s="13" t="n"/>
      <c r="BB1494" s="14" t="n"/>
      <c r="BC1494" s="11">
        <f>IF(O1494="","",IF(J1494="GST 10%",ROUND(O1494*set_GSTRate,2),0))</f>
        <v/>
      </c>
      <c r="BD1494" s="11">
        <f>IF(O1494="","",O1494+BC1494)</f>
        <v/>
      </c>
      <c r="BE1494" s="15">
        <f>IF(O1494="","",COUNTA(S1494,V1494,Y1494,AB1494,AE1494,AH1494,AK1494,AN1494,AQ1494,AT1494,AW1494,AZ1494))</f>
        <v/>
      </c>
      <c r="BF1494" s="16">
        <f>IF(COUNT(T1494,W1494,Z1494,AC1494,AF1494,AI1494,AL1494,AO1494,AR1494,AU1494,AX1494,BA1494)=0,"",MAX(T1494,W1494,Z1494,AC1494,AF1494,AI1494,AL1494,AO1494,AR1494,AU1494,AX1494,BA1494))</f>
        <v/>
      </c>
      <c r="BG1494" s="10">
        <f>MID(IF(S1494="","",", "&amp;S1494)&amp;IF(V1494="","",", "&amp;V1494)&amp;IF(Y1494="","",", "&amp;Y1494)&amp;IF(AB1494="","",", "&amp;AB1494)&amp;IF(AE1494="","",", "&amp;AE1494)&amp;IF(AH1494="","",", "&amp;AH1494)&amp;IF(AK1494="","",", "&amp;AK1494)&amp;IF(AN1494="","",", "&amp;AN1494)&amp;IF(AQ1494="","",", "&amp;AQ1494)&amp;IF(AT1494="","",", "&amp;AT1494)&amp;IF(AW1494="","",", "&amp;AW1494)&amp;IF(AZ1494="","",", "&amp;AZ1494),3,500)</f>
        <v/>
      </c>
      <c r="BH1494" s="12" t="n"/>
      <c r="BI1494" s="15">
        <f>IFERROR(MATCH($A1494,IF($B1494="Onsite",tbl_Onsite[Row ID],IF($B1494="Production",tbl_Production[Row ID],tbl_Consulting[Row ID])),0),"")</f>
        <v/>
      </c>
    </row>
    <row r="1495">
      <c r="A1495" s="10" t="inlineStr">
        <is>
          <t>CON-0489</t>
        </is>
      </c>
      <c r="B1495" s="10" t="inlineStr">
        <is>
          <t>Consulting</t>
        </is>
      </c>
      <c r="C1495" s="10">
        <f>IF($BI1495="","",IF($B1495="Onsite",INDEX(tbl_Onsite[Job Number],$BI1495),IF($B1495="Production",INDEX(tbl_Production[Job Number],$BI1495),INDEX(tbl_Consulting[Job Number],$BI1495)))&amp;"")</f>
        <v/>
      </c>
      <c r="D1495" s="10">
        <f>IF($BI1495="","",IF($B1495="Onsite",INDEX(tbl_Onsite[Client],$BI1495),IF($B1495="Production",INDEX(tbl_Production[Client],$BI1495),INDEX(tbl_Consulting[Client],$BI1495)))&amp;"")</f>
        <v/>
      </c>
      <c r="E1495" s="10">
        <f>IF($C1495="","",IF(COUNTIF(lst_Jobs,$C1495)&gt;0,"OK","CHECK"))</f>
        <v/>
      </c>
      <c r="F1495" s="10">
        <f>IF($C1495="","",IFERROR(INDEX(lst_JobName,MATCH($C1495,lst_Jobs,0)),""))</f>
        <v/>
      </c>
      <c r="G1495" s="10">
        <f>IF($BI1495="","",IF($B1495="Onsite",INDEX(tbl_Onsite[Job Description],$BI1495),IF($B1495="Production",INDEX(tbl_Production[Job Description],$BI1495),INDEX(tbl_Consulting[Job Description],$BI1495)))&amp;"")</f>
        <v/>
      </c>
      <c r="H1495" s="10">
        <f>IF($BI1495="","",IF($B1495="Onsite",INDEX(tbl_Onsite[Cost Centre],$BI1495),IF($B1495="Production",INDEX(tbl_Production[Cost Centre],$BI1495),INDEX(tbl_Consulting[Cost Centre],$BI1495)))&amp;"")</f>
        <v/>
      </c>
      <c r="I1495" s="10">
        <f>IF($BI1495="","",IF($B1495="Onsite",INDEX(tbl_Onsite[Invoice Type],$BI1495),IF($B1495="Production",INDEX(tbl_Production[Invoice Type],$BI1495),INDEX(tbl_Consulting[Invoice Type],$BI1495)))&amp;"")</f>
        <v/>
      </c>
      <c r="J1495" s="10">
        <f>IF($BI1495="","",IF($B1495="Onsite",INDEX(tbl_Onsite[Tax Code],$BI1495),IF($B1495="Production",INDEX(tbl_Production[Tax Code],$BI1495),INDEX(tbl_Consulting[Tax Code],$BI1495)))&amp;"")</f>
        <v/>
      </c>
      <c r="K1495" s="10">
        <f>IF(H1495="","",IFERROR(INDEX(lst_CCtoGL,MATCH(H1495,lst_CCforGL,0)),""))</f>
        <v/>
      </c>
      <c r="L1495" s="10">
        <f>IF($BI1495="","",IF($B1495="Onsite",INDEX(tbl_Onsite[PO / Reference],$BI1495),IF($B1495="Production",INDEX(tbl_Production[Current RMS No],$BI1495),INDEX(tbl_Consulting[Qwilr Quote],$BI1495)))&amp;"")</f>
        <v/>
      </c>
      <c r="M1495" s="10">
        <f>IF($BI1495="","",IF($B1495="Onsite",INDEX(tbl_Onsite[Notes],$BI1495),IF($B1495="Production",INDEX(tbl_Production[Notes],$BI1495),INDEX(tbl_Consulting[Notes],$BI1495)))&amp;"")</f>
        <v/>
      </c>
      <c r="N1495" s="11">
        <f>IF($BI1495="","",IF(IF($B1495="Onsite",INDEX(tbl_Onsite[Expected Revenue Ex GST],$BI1495),IF($B1495="Production",INDEX(tbl_Production[Expected Revenue Ex GST],$BI1495),INDEX(tbl_Consulting[Expected Revenue Ex GST],$BI1495)))="","",IF($B1495="Onsite",INDEX(tbl_Onsite[Expected Revenue Ex GST],$BI1495),IF($B1495="Production",INDEX(tbl_Production[Expected Revenue Ex GST],$BI1495),INDEX(tbl_Consulting[Expected Revenue Ex GST],$BI1495)))))</f>
        <v/>
      </c>
      <c r="O1495" s="11">
        <f>IF(AND($C1495="",NOT(COUNTA($S1495:$BB1495)&gt;0)),"",SUM(U1495,X1495,AA1495,AD1495,AG1495,AJ1495,AM1495,AP1495,AS1495,AV1495,AY1495,BB1495))</f>
        <v/>
      </c>
      <c r="P1495" s="11">
        <f>IF(O1495="","",N(N1495)-O1495)</f>
        <v/>
      </c>
      <c r="Q1495" s="10">
        <f>IF(O1495="","",IF($C1495="","Invoice on empty job row",IF(N1495="",IF(ROUND(O1495,2)=0,"No dept value","Invoiced - no dept value"),IF(ROUND(O1495,2)=0,"Not invoiced - to invoice",IF(ROUND(P1495,2)=0,"Agrees",IF(P1495&gt;0,"Dept higher - to invoice","Xero higher - check dept"))))))</f>
        <v/>
      </c>
      <c r="R1495" s="10">
        <f>IF(AND($C1495="",NOT(COUNTA($S1495:$BB1495)&gt;0),$BI1495&lt;&gt;""),"",MID(IF($BI1495="","; Row ID not found on the department sheet - a row was deleted","")&amp;IF(AND($C1495="",COUNTA($S1495:$BB1495)&gt;0),"; Invoice entered but the department row has no job number","")&amp;IF(E1495="CHECK","; Job number not in the Xero job list","")&amp;IF(AND($C1495&lt;&gt;"",COUNTIF($C$7:$C$1506,$C1495)&gt;1),"; Job number on more than one row","")&amp;IF(AND($C1495&lt;&gt;"",H1495=""),"; Dept has not set a cost centre","")&amp;IF(AND($C1495&lt;&gt;"",J1495=""),"; Dept has not set a tax code","")&amp;IF(AND($C1495&lt;&gt;"",N1495=""),"; Dept has not entered an expected value","")&amp;IF((IF(OR(COUNTA(S1495:U1495)=0,AND(COUNTA(S1495:U1495)=3,ISNUMBER(U1495))),0,1)+IF(OR(COUNTA(V1495:X1495)=0,AND(COUNTA(V1495:X1495)=3,ISNUMBER(X1495))),0,1)+IF(OR(COUNTA(Y1495:AA1495)=0,AND(COUNTA(Y1495:AA1495)=3,ISNUMBER(AA1495))),0,1)+IF(OR(COUNTA(AB1495:AD1495)=0,AND(COUNTA(AB1495:AD1495)=3,ISNUMBER(AD1495))),0,1)+IF(OR(COUNTA(AE1495:AG1495)=0,AND(COUNTA(AE1495:AG1495)=3,ISNUMBER(AG1495))),0,1)+IF(OR(COUNTA(AH1495:AJ1495)=0,AND(COUNTA(AH1495:AJ1495)=3,ISNUMBER(AJ1495))),0,1)+IF(OR(COUNTA(AK1495:AM1495)=0,AND(COUNTA(AK1495:AM1495)=3,ISNUMBER(AM1495))),0,1)+IF(OR(COUNTA(AN1495:AP1495)=0,AND(COUNTA(AN1495:AP1495)=3,ISNUMBER(AP1495))),0,1)+IF(OR(COUNTA(AQ1495:AS1495)=0,AND(COUNTA(AQ1495:AS1495)=3,ISNUMBER(AS1495))),0,1)+IF(OR(COUNTA(AT1495:AV1495)=0,AND(COUNTA(AT1495:AV1495)=3,ISNUMBER(AV1495))),0,1)+IF(OR(COUNTA(AW1495:AY1495)=0,AND(COUNTA(AW1495:AY1495)=3,ISNUMBER(AY1495))),0,1)+IF(OR(COUNTA(AZ1495:BB1495)=0,AND(COUNTA(AZ1495:BB1495)=3,ISNUMBER(BB1495))),0,1))&gt;0,"; An invoice is incomplete (needs No, Date and a number in Ex GST)","")&amp;IF((IF(T1495="",0,IFERROR(--(EOMONTH(T1495,0)&lt;&gt;S$5),1))+IF(W1495="",0,IFERROR(--(EOMONTH(W1495,0)&lt;&gt;V$5),1))+IF(Z1495="",0,IFERROR(--(EOMONTH(Z1495,0)&lt;&gt;Y$5),1))+IF(AC1495="",0,IFERROR(--(EOMONTH(AC1495,0)&lt;&gt;AB$5),1))+IF(AF1495="",0,IFERROR(--(EOMONTH(AF1495,0)&lt;&gt;AE$5),1))+IF(AI1495="",0,IFERROR(--(EOMONTH(AI1495,0)&lt;&gt;AH$5),1))+IF(AL1495="",0,IFERROR(--(EOMONTH(AL1495,0)&lt;&gt;AK$5),1))+IF(AO1495="",0,IFERROR(--(EOMONTH(AO1495,0)&lt;&gt;AN$5),1))+IF(AR1495="",0,IFERROR(--(EOMONTH(AR1495,0)&lt;&gt;AQ$5),1))+IF(AU1495="",0,IFERROR(--(EOMONTH(AU1495,0)&lt;&gt;AT$5),1))+IF(AX1495="",0,IFERROR(--(EOMONTH(AX1495,0)&lt;&gt;AW$5),1))+IF(BA1495="",0,IFERROR(--(EOMONTH(BA1495,0)&lt;&gt;AZ$5),1)))&gt;0,"; An invoice date is not in the month it is typed under",""),3,500))</f>
        <v/>
      </c>
      <c r="S1495" s="12" t="n"/>
      <c r="T1495" s="13" t="n"/>
      <c r="U1495" s="14" t="n"/>
      <c r="V1495" s="12" t="n"/>
      <c r="W1495" s="13" t="n"/>
      <c r="X1495" s="14" t="n"/>
      <c r="Y1495" s="12" t="n"/>
      <c r="Z1495" s="13" t="n"/>
      <c r="AA1495" s="14" t="n"/>
      <c r="AB1495" s="12" t="n"/>
      <c r="AC1495" s="13" t="n"/>
      <c r="AD1495" s="14" t="n"/>
      <c r="AE1495" s="12" t="n"/>
      <c r="AF1495" s="13" t="n"/>
      <c r="AG1495" s="14" t="n"/>
      <c r="AH1495" s="12" t="n"/>
      <c r="AI1495" s="13" t="n"/>
      <c r="AJ1495" s="14" t="n"/>
      <c r="AK1495" s="12" t="n"/>
      <c r="AL1495" s="13" t="n"/>
      <c r="AM1495" s="14" t="n"/>
      <c r="AN1495" s="12" t="n"/>
      <c r="AO1495" s="13" t="n"/>
      <c r="AP1495" s="14" t="n"/>
      <c r="AQ1495" s="12" t="n"/>
      <c r="AR1495" s="13" t="n"/>
      <c r="AS1495" s="14" t="n"/>
      <c r="AT1495" s="12" t="n"/>
      <c r="AU1495" s="13" t="n"/>
      <c r="AV1495" s="14" t="n"/>
      <c r="AW1495" s="12" t="n"/>
      <c r="AX1495" s="13" t="n"/>
      <c r="AY1495" s="14" t="n"/>
      <c r="AZ1495" s="12" t="n"/>
      <c r="BA1495" s="13" t="n"/>
      <c r="BB1495" s="14" t="n"/>
      <c r="BC1495" s="11">
        <f>IF(O1495="","",IF(J1495="GST 10%",ROUND(O1495*set_GSTRate,2),0))</f>
        <v/>
      </c>
      <c r="BD1495" s="11">
        <f>IF(O1495="","",O1495+BC1495)</f>
        <v/>
      </c>
      <c r="BE1495" s="15">
        <f>IF(O1495="","",COUNTA(S1495,V1495,Y1495,AB1495,AE1495,AH1495,AK1495,AN1495,AQ1495,AT1495,AW1495,AZ1495))</f>
        <v/>
      </c>
      <c r="BF1495" s="16">
        <f>IF(COUNT(T1495,W1495,Z1495,AC1495,AF1495,AI1495,AL1495,AO1495,AR1495,AU1495,AX1495,BA1495)=0,"",MAX(T1495,W1495,Z1495,AC1495,AF1495,AI1495,AL1495,AO1495,AR1495,AU1495,AX1495,BA1495))</f>
        <v/>
      </c>
      <c r="BG1495" s="10">
        <f>MID(IF(S1495="","",", "&amp;S1495)&amp;IF(V1495="","",", "&amp;V1495)&amp;IF(Y1495="","",", "&amp;Y1495)&amp;IF(AB1495="","",", "&amp;AB1495)&amp;IF(AE1495="","",", "&amp;AE1495)&amp;IF(AH1495="","",", "&amp;AH1495)&amp;IF(AK1495="","",", "&amp;AK1495)&amp;IF(AN1495="","",", "&amp;AN1495)&amp;IF(AQ1495="","",", "&amp;AQ1495)&amp;IF(AT1495="","",", "&amp;AT1495)&amp;IF(AW1495="","",", "&amp;AW1495)&amp;IF(AZ1495="","",", "&amp;AZ1495),3,500)</f>
        <v/>
      </c>
      <c r="BH1495" s="12" t="n"/>
      <c r="BI1495" s="15">
        <f>IFERROR(MATCH($A1495,IF($B1495="Onsite",tbl_Onsite[Row ID],IF($B1495="Production",tbl_Production[Row ID],tbl_Consulting[Row ID])),0),"")</f>
        <v/>
      </c>
    </row>
    <row r="1496">
      <c r="A1496" s="10" t="inlineStr">
        <is>
          <t>CON-0490</t>
        </is>
      </c>
      <c r="B1496" s="10" t="inlineStr">
        <is>
          <t>Consulting</t>
        </is>
      </c>
      <c r="C1496" s="10">
        <f>IF($BI1496="","",IF($B1496="Onsite",INDEX(tbl_Onsite[Job Number],$BI1496),IF($B1496="Production",INDEX(tbl_Production[Job Number],$BI1496),INDEX(tbl_Consulting[Job Number],$BI1496)))&amp;"")</f>
        <v/>
      </c>
      <c r="D1496" s="10">
        <f>IF($BI1496="","",IF($B1496="Onsite",INDEX(tbl_Onsite[Client],$BI1496),IF($B1496="Production",INDEX(tbl_Production[Client],$BI1496),INDEX(tbl_Consulting[Client],$BI1496)))&amp;"")</f>
        <v/>
      </c>
      <c r="E1496" s="10">
        <f>IF($C1496="","",IF(COUNTIF(lst_Jobs,$C1496)&gt;0,"OK","CHECK"))</f>
        <v/>
      </c>
      <c r="F1496" s="10">
        <f>IF($C1496="","",IFERROR(INDEX(lst_JobName,MATCH($C1496,lst_Jobs,0)),""))</f>
        <v/>
      </c>
      <c r="G1496" s="10">
        <f>IF($BI1496="","",IF($B1496="Onsite",INDEX(tbl_Onsite[Job Description],$BI1496),IF($B1496="Production",INDEX(tbl_Production[Job Description],$BI1496),INDEX(tbl_Consulting[Job Description],$BI1496)))&amp;"")</f>
        <v/>
      </c>
      <c r="H1496" s="10">
        <f>IF($BI1496="","",IF($B1496="Onsite",INDEX(tbl_Onsite[Cost Centre],$BI1496),IF($B1496="Production",INDEX(tbl_Production[Cost Centre],$BI1496),INDEX(tbl_Consulting[Cost Centre],$BI1496)))&amp;"")</f>
        <v/>
      </c>
      <c r="I1496" s="10">
        <f>IF($BI1496="","",IF($B1496="Onsite",INDEX(tbl_Onsite[Invoice Type],$BI1496),IF($B1496="Production",INDEX(tbl_Production[Invoice Type],$BI1496),INDEX(tbl_Consulting[Invoice Type],$BI1496)))&amp;"")</f>
        <v/>
      </c>
      <c r="J1496" s="10">
        <f>IF($BI1496="","",IF($B1496="Onsite",INDEX(tbl_Onsite[Tax Code],$BI1496),IF($B1496="Production",INDEX(tbl_Production[Tax Code],$BI1496),INDEX(tbl_Consulting[Tax Code],$BI1496)))&amp;"")</f>
        <v/>
      </c>
      <c r="K1496" s="10">
        <f>IF(H1496="","",IFERROR(INDEX(lst_CCtoGL,MATCH(H1496,lst_CCforGL,0)),""))</f>
        <v/>
      </c>
      <c r="L1496" s="10">
        <f>IF($BI1496="","",IF($B1496="Onsite",INDEX(tbl_Onsite[PO / Reference],$BI1496),IF($B1496="Production",INDEX(tbl_Production[Current RMS No],$BI1496),INDEX(tbl_Consulting[Qwilr Quote],$BI1496)))&amp;"")</f>
        <v/>
      </c>
      <c r="M1496" s="10">
        <f>IF($BI1496="","",IF($B1496="Onsite",INDEX(tbl_Onsite[Notes],$BI1496),IF($B1496="Production",INDEX(tbl_Production[Notes],$BI1496),INDEX(tbl_Consulting[Notes],$BI1496)))&amp;"")</f>
        <v/>
      </c>
      <c r="N1496" s="11">
        <f>IF($BI1496="","",IF(IF($B1496="Onsite",INDEX(tbl_Onsite[Expected Revenue Ex GST],$BI1496),IF($B1496="Production",INDEX(tbl_Production[Expected Revenue Ex GST],$BI1496),INDEX(tbl_Consulting[Expected Revenue Ex GST],$BI1496)))="","",IF($B1496="Onsite",INDEX(tbl_Onsite[Expected Revenue Ex GST],$BI1496),IF($B1496="Production",INDEX(tbl_Production[Expected Revenue Ex GST],$BI1496),INDEX(tbl_Consulting[Expected Revenue Ex GST],$BI1496)))))</f>
        <v/>
      </c>
      <c r="O1496" s="11">
        <f>IF(AND($C1496="",NOT(COUNTA($S1496:$BB1496)&gt;0)),"",SUM(U1496,X1496,AA1496,AD1496,AG1496,AJ1496,AM1496,AP1496,AS1496,AV1496,AY1496,BB1496))</f>
        <v/>
      </c>
      <c r="P1496" s="11">
        <f>IF(O1496="","",N(N1496)-O1496)</f>
        <v/>
      </c>
      <c r="Q1496" s="10">
        <f>IF(O1496="","",IF($C1496="","Invoice on empty job row",IF(N1496="",IF(ROUND(O1496,2)=0,"No dept value","Invoiced - no dept value"),IF(ROUND(O1496,2)=0,"Not invoiced - to invoice",IF(ROUND(P1496,2)=0,"Agrees",IF(P1496&gt;0,"Dept higher - to invoice","Xero higher - check dept"))))))</f>
        <v/>
      </c>
      <c r="R1496" s="10">
        <f>IF(AND($C1496="",NOT(COUNTA($S1496:$BB1496)&gt;0),$BI1496&lt;&gt;""),"",MID(IF($BI1496="","; Row ID not found on the department sheet - a row was deleted","")&amp;IF(AND($C1496="",COUNTA($S1496:$BB1496)&gt;0),"; Invoice entered but the department row has no job number","")&amp;IF(E1496="CHECK","; Job number not in the Xero job list","")&amp;IF(AND($C1496&lt;&gt;"",COUNTIF($C$7:$C$1506,$C1496)&gt;1),"; Job number on more than one row","")&amp;IF(AND($C1496&lt;&gt;"",H1496=""),"; Dept has not set a cost centre","")&amp;IF(AND($C1496&lt;&gt;"",J1496=""),"; Dept has not set a tax code","")&amp;IF(AND($C1496&lt;&gt;"",N1496=""),"; Dept has not entered an expected value","")&amp;IF((IF(OR(COUNTA(S1496:U1496)=0,AND(COUNTA(S1496:U1496)=3,ISNUMBER(U1496))),0,1)+IF(OR(COUNTA(V1496:X1496)=0,AND(COUNTA(V1496:X1496)=3,ISNUMBER(X1496))),0,1)+IF(OR(COUNTA(Y1496:AA1496)=0,AND(COUNTA(Y1496:AA1496)=3,ISNUMBER(AA1496))),0,1)+IF(OR(COUNTA(AB1496:AD1496)=0,AND(COUNTA(AB1496:AD1496)=3,ISNUMBER(AD1496))),0,1)+IF(OR(COUNTA(AE1496:AG1496)=0,AND(COUNTA(AE1496:AG1496)=3,ISNUMBER(AG1496))),0,1)+IF(OR(COUNTA(AH1496:AJ1496)=0,AND(COUNTA(AH1496:AJ1496)=3,ISNUMBER(AJ1496))),0,1)+IF(OR(COUNTA(AK1496:AM1496)=0,AND(COUNTA(AK1496:AM1496)=3,ISNUMBER(AM1496))),0,1)+IF(OR(COUNTA(AN1496:AP1496)=0,AND(COUNTA(AN1496:AP1496)=3,ISNUMBER(AP1496))),0,1)+IF(OR(COUNTA(AQ1496:AS1496)=0,AND(COUNTA(AQ1496:AS1496)=3,ISNUMBER(AS1496))),0,1)+IF(OR(COUNTA(AT1496:AV1496)=0,AND(COUNTA(AT1496:AV1496)=3,ISNUMBER(AV1496))),0,1)+IF(OR(COUNTA(AW1496:AY1496)=0,AND(COUNTA(AW1496:AY1496)=3,ISNUMBER(AY1496))),0,1)+IF(OR(COUNTA(AZ1496:BB1496)=0,AND(COUNTA(AZ1496:BB1496)=3,ISNUMBER(BB1496))),0,1))&gt;0,"; An invoice is incomplete (needs No, Date and a number in Ex GST)","")&amp;IF((IF(T1496="",0,IFERROR(--(EOMONTH(T1496,0)&lt;&gt;S$5),1))+IF(W1496="",0,IFERROR(--(EOMONTH(W1496,0)&lt;&gt;V$5),1))+IF(Z1496="",0,IFERROR(--(EOMONTH(Z1496,0)&lt;&gt;Y$5),1))+IF(AC1496="",0,IFERROR(--(EOMONTH(AC1496,0)&lt;&gt;AB$5),1))+IF(AF1496="",0,IFERROR(--(EOMONTH(AF1496,0)&lt;&gt;AE$5),1))+IF(AI1496="",0,IFERROR(--(EOMONTH(AI1496,0)&lt;&gt;AH$5),1))+IF(AL1496="",0,IFERROR(--(EOMONTH(AL1496,0)&lt;&gt;AK$5),1))+IF(AO1496="",0,IFERROR(--(EOMONTH(AO1496,0)&lt;&gt;AN$5),1))+IF(AR1496="",0,IFERROR(--(EOMONTH(AR1496,0)&lt;&gt;AQ$5),1))+IF(AU1496="",0,IFERROR(--(EOMONTH(AU1496,0)&lt;&gt;AT$5),1))+IF(AX1496="",0,IFERROR(--(EOMONTH(AX1496,0)&lt;&gt;AW$5),1))+IF(BA1496="",0,IFERROR(--(EOMONTH(BA1496,0)&lt;&gt;AZ$5),1)))&gt;0,"; An invoice date is not in the month it is typed under",""),3,500))</f>
        <v/>
      </c>
      <c r="S1496" s="12" t="n"/>
      <c r="T1496" s="13" t="n"/>
      <c r="U1496" s="14" t="n"/>
      <c r="V1496" s="12" t="n"/>
      <c r="W1496" s="13" t="n"/>
      <c r="X1496" s="14" t="n"/>
      <c r="Y1496" s="12" t="n"/>
      <c r="Z1496" s="13" t="n"/>
      <c r="AA1496" s="14" t="n"/>
      <c r="AB1496" s="12" t="n"/>
      <c r="AC1496" s="13" t="n"/>
      <c r="AD1496" s="14" t="n"/>
      <c r="AE1496" s="12" t="n"/>
      <c r="AF1496" s="13" t="n"/>
      <c r="AG1496" s="14" t="n"/>
      <c r="AH1496" s="12" t="n"/>
      <c r="AI1496" s="13" t="n"/>
      <c r="AJ1496" s="14" t="n"/>
      <c r="AK1496" s="12" t="n"/>
      <c r="AL1496" s="13" t="n"/>
      <c r="AM1496" s="14" t="n"/>
      <c r="AN1496" s="12" t="n"/>
      <c r="AO1496" s="13" t="n"/>
      <c r="AP1496" s="14" t="n"/>
      <c r="AQ1496" s="12" t="n"/>
      <c r="AR1496" s="13" t="n"/>
      <c r="AS1496" s="14" t="n"/>
      <c r="AT1496" s="12" t="n"/>
      <c r="AU1496" s="13" t="n"/>
      <c r="AV1496" s="14" t="n"/>
      <c r="AW1496" s="12" t="n"/>
      <c r="AX1496" s="13" t="n"/>
      <c r="AY1496" s="14" t="n"/>
      <c r="AZ1496" s="12" t="n"/>
      <c r="BA1496" s="13" t="n"/>
      <c r="BB1496" s="14" t="n"/>
      <c r="BC1496" s="11">
        <f>IF(O1496="","",IF(J1496="GST 10%",ROUND(O1496*set_GSTRate,2),0))</f>
        <v/>
      </c>
      <c r="BD1496" s="11">
        <f>IF(O1496="","",O1496+BC1496)</f>
        <v/>
      </c>
      <c r="BE1496" s="15">
        <f>IF(O1496="","",COUNTA(S1496,V1496,Y1496,AB1496,AE1496,AH1496,AK1496,AN1496,AQ1496,AT1496,AW1496,AZ1496))</f>
        <v/>
      </c>
      <c r="BF1496" s="16">
        <f>IF(COUNT(T1496,W1496,Z1496,AC1496,AF1496,AI1496,AL1496,AO1496,AR1496,AU1496,AX1496,BA1496)=0,"",MAX(T1496,W1496,Z1496,AC1496,AF1496,AI1496,AL1496,AO1496,AR1496,AU1496,AX1496,BA1496))</f>
        <v/>
      </c>
      <c r="BG1496" s="10">
        <f>MID(IF(S1496="","",", "&amp;S1496)&amp;IF(V1496="","",", "&amp;V1496)&amp;IF(Y1496="","",", "&amp;Y1496)&amp;IF(AB1496="","",", "&amp;AB1496)&amp;IF(AE1496="","",", "&amp;AE1496)&amp;IF(AH1496="","",", "&amp;AH1496)&amp;IF(AK1496="","",", "&amp;AK1496)&amp;IF(AN1496="","",", "&amp;AN1496)&amp;IF(AQ1496="","",", "&amp;AQ1496)&amp;IF(AT1496="","",", "&amp;AT1496)&amp;IF(AW1496="","",", "&amp;AW1496)&amp;IF(AZ1496="","",", "&amp;AZ1496),3,500)</f>
        <v/>
      </c>
      <c r="BH1496" s="12" t="n"/>
      <c r="BI1496" s="15">
        <f>IFERROR(MATCH($A1496,IF($B1496="Onsite",tbl_Onsite[Row ID],IF($B1496="Production",tbl_Production[Row ID],tbl_Consulting[Row ID])),0),"")</f>
        <v/>
      </c>
    </row>
    <row r="1497">
      <c r="A1497" s="10" t="inlineStr">
        <is>
          <t>CON-0491</t>
        </is>
      </c>
      <c r="B1497" s="10" t="inlineStr">
        <is>
          <t>Consulting</t>
        </is>
      </c>
      <c r="C1497" s="10">
        <f>IF($BI1497="","",IF($B1497="Onsite",INDEX(tbl_Onsite[Job Number],$BI1497),IF($B1497="Production",INDEX(tbl_Production[Job Number],$BI1497),INDEX(tbl_Consulting[Job Number],$BI1497)))&amp;"")</f>
        <v/>
      </c>
      <c r="D1497" s="10">
        <f>IF($BI1497="","",IF($B1497="Onsite",INDEX(tbl_Onsite[Client],$BI1497),IF($B1497="Production",INDEX(tbl_Production[Client],$BI1497),INDEX(tbl_Consulting[Client],$BI1497)))&amp;"")</f>
        <v/>
      </c>
      <c r="E1497" s="10">
        <f>IF($C1497="","",IF(COUNTIF(lst_Jobs,$C1497)&gt;0,"OK","CHECK"))</f>
        <v/>
      </c>
      <c r="F1497" s="10">
        <f>IF($C1497="","",IFERROR(INDEX(lst_JobName,MATCH($C1497,lst_Jobs,0)),""))</f>
        <v/>
      </c>
      <c r="G1497" s="10">
        <f>IF($BI1497="","",IF($B1497="Onsite",INDEX(tbl_Onsite[Job Description],$BI1497),IF($B1497="Production",INDEX(tbl_Production[Job Description],$BI1497),INDEX(tbl_Consulting[Job Description],$BI1497)))&amp;"")</f>
        <v/>
      </c>
      <c r="H1497" s="10">
        <f>IF($BI1497="","",IF($B1497="Onsite",INDEX(tbl_Onsite[Cost Centre],$BI1497),IF($B1497="Production",INDEX(tbl_Production[Cost Centre],$BI1497),INDEX(tbl_Consulting[Cost Centre],$BI1497)))&amp;"")</f>
        <v/>
      </c>
      <c r="I1497" s="10">
        <f>IF($BI1497="","",IF($B1497="Onsite",INDEX(tbl_Onsite[Invoice Type],$BI1497),IF($B1497="Production",INDEX(tbl_Production[Invoice Type],$BI1497),INDEX(tbl_Consulting[Invoice Type],$BI1497)))&amp;"")</f>
        <v/>
      </c>
      <c r="J1497" s="10">
        <f>IF($BI1497="","",IF($B1497="Onsite",INDEX(tbl_Onsite[Tax Code],$BI1497),IF($B1497="Production",INDEX(tbl_Production[Tax Code],$BI1497),INDEX(tbl_Consulting[Tax Code],$BI1497)))&amp;"")</f>
        <v/>
      </c>
      <c r="K1497" s="10">
        <f>IF(H1497="","",IFERROR(INDEX(lst_CCtoGL,MATCH(H1497,lst_CCforGL,0)),""))</f>
        <v/>
      </c>
      <c r="L1497" s="10">
        <f>IF($BI1497="","",IF($B1497="Onsite",INDEX(tbl_Onsite[PO / Reference],$BI1497),IF($B1497="Production",INDEX(tbl_Production[Current RMS No],$BI1497),INDEX(tbl_Consulting[Qwilr Quote],$BI1497)))&amp;"")</f>
        <v/>
      </c>
      <c r="M1497" s="10">
        <f>IF($BI1497="","",IF($B1497="Onsite",INDEX(tbl_Onsite[Notes],$BI1497),IF($B1497="Production",INDEX(tbl_Production[Notes],$BI1497),INDEX(tbl_Consulting[Notes],$BI1497)))&amp;"")</f>
        <v/>
      </c>
      <c r="N1497" s="11">
        <f>IF($BI1497="","",IF(IF($B1497="Onsite",INDEX(tbl_Onsite[Expected Revenue Ex GST],$BI1497),IF($B1497="Production",INDEX(tbl_Production[Expected Revenue Ex GST],$BI1497),INDEX(tbl_Consulting[Expected Revenue Ex GST],$BI1497)))="","",IF($B1497="Onsite",INDEX(tbl_Onsite[Expected Revenue Ex GST],$BI1497),IF($B1497="Production",INDEX(tbl_Production[Expected Revenue Ex GST],$BI1497),INDEX(tbl_Consulting[Expected Revenue Ex GST],$BI1497)))))</f>
        <v/>
      </c>
      <c r="O1497" s="11">
        <f>IF(AND($C1497="",NOT(COUNTA($S1497:$BB1497)&gt;0)),"",SUM(U1497,X1497,AA1497,AD1497,AG1497,AJ1497,AM1497,AP1497,AS1497,AV1497,AY1497,BB1497))</f>
        <v/>
      </c>
      <c r="P1497" s="11">
        <f>IF(O1497="","",N(N1497)-O1497)</f>
        <v/>
      </c>
      <c r="Q1497" s="10">
        <f>IF(O1497="","",IF($C1497="","Invoice on empty job row",IF(N1497="",IF(ROUND(O1497,2)=0,"No dept value","Invoiced - no dept value"),IF(ROUND(O1497,2)=0,"Not invoiced - to invoice",IF(ROUND(P1497,2)=0,"Agrees",IF(P1497&gt;0,"Dept higher - to invoice","Xero higher - check dept"))))))</f>
        <v/>
      </c>
      <c r="R1497" s="10">
        <f>IF(AND($C1497="",NOT(COUNTA($S1497:$BB1497)&gt;0),$BI1497&lt;&gt;""),"",MID(IF($BI1497="","; Row ID not found on the department sheet - a row was deleted","")&amp;IF(AND($C1497="",COUNTA($S1497:$BB1497)&gt;0),"; Invoice entered but the department row has no job number","")&amp;IF(E1497="CHECK","; Job number not in the Xero job list","")&amp;IF(AND($C1497&lt;&gt;"",COUNTIF($C$7:$C$1506,$C1497)&gt;1),"; Job number on more than one row","")&amp;IF(AND($C1497&lt;&gt;"",H1497=""),"; Dept has not set a cost centre","")&amp;IF(AND($C1497&lt;&gt;"",J1497=""),"; Dept has not set a tax code","")&amp;IF(AND($C1497&lt;&gt;"",N1497=""),"; Dept has not entered an expected value","")&amp;IF((IF(OR(COUNTA(S1497:U1497)=0,AND(COUNTA(S1497:U1497)=3,ISNUMBER(U1497))),0,1)+IF(OR(COUNTA(V1497:X1497)=0,AND(COUNTA(V1497:X1497)=3,ISNUMBER(X1497))),0,1)+IF(OR(COUNTA(Y1497:AA1497)=0,AND(COUNTA(Y1497:AA1497)=3,ISNUMBER(AA1497))),0,1)+IF(OR(COUNTA(AB1497:AD1497)=0,AND(COUNTA(AB1497:AD1497)=3,ISNUMBER(AD1497))),0,1)+IF(OR(COUNTA(AE1497:AG1497)=0,AND(COUNTA(AE1497:AG1497)=3,ISNUMBER(AG1497))),0,1)+IF(OR(COUNTA(AH1497:AJ1497)=0,AND(COUNTA(AH1497:AJ1497)=3,ISNUMBER(AJ1497))),0,1)+IF(OR(COUNTA(AK1497:AM1497)=0,AND(COUNTA(AK1497:AM1497)=3,ISNUMBER(AM1497))),0,1)+IF(OR(COUNTA(AN1497:AP1497)=0,AND(COUNTA(AN1497:AP1497)=3,ISNUMBER(AP1497))),0,1)+IF(OR(COUNTA(AQ1497:AS1497)=0,AND(COUNTA(AQ1497:AS1497)=3,ISNUMBER(AS1497))),0,1)+IF(OR(COUNTA(AT1497:AV1497)=0,AND(COUNTA(AT1497:AV1497)=3,ISNUMBER(AV1497))),0,1)+IF(OR(COUNTA(AW1497:AY1497)=0,AND(COUNTA(AW1497:AY1497)=3,ISNUMBER(AY1497))),0,1)+IF(OR(COUNTA(AZ1497:BB1497)=0,AND(COUNTA(AZ1497:BB1497)=3,ISNUMBER(BB1497))),0,1))&gt;0,"; An invoice is incomplete (needs No, Date and a number in Ex GST)","")&amp;IF((IF(T1497="",0,IFERROR(--(EOMONTH(T1497,0)&lt;&gt;S$5),1))+IF(W1497="",0,IFERROR(--(EOMONTH(W1497,0)&lt;&gt;V$5),1))+IF(Z1497="",0,IFERROR(--(EOMONTH(Z1497,0)&lt;&gt;Y$5),1))+IF(AC1497="",0,IFERROR(--(EOMONTH(AC1497,0)&lt;&gt;AB$5),1))+IF(AF1497="",0,IFERROR(--(EOMONTH(AF1497,0)&lt;&gt;AE$5),1))+IF(AI1497="",0,IFERROR(--(EOMONTH(AI1497,0)&lt;&gt;AH$5),1))+IF(AL1497="",0,IFERROR(--(EOMONTH(AL1497,0)&lt;&gt;AK$5),1))+IF(AO1497="",0,IFERROR(--(EOMONTH(AO1497,0)&lt;&gt;AN$5),1))+IF(AR1497="",0,IFERROR(--(EOMONTH(AR1497,0)&lt;&gt;AQ$5),1))+IF(AU1497="",0,IFERROR(--(EOMONTH(AU1497,0)&lt;&gt;AT$5),1))+IF(AX1497="",0,IFERROR(--(EOMONTH(AX1497,0)&lt;&gt;AW$5),1))+IF(BA1497="",0,IFERROR(--(EOMONTH(BA1497,0)&lt;&gt;AZ$5),1)))&gt;0,"; An invoice date is not in the month it is typed under",""),3,500))</f>
        <v/>
      </c>
      <c r="S1497" s="12" t="n"/>
      <c r="T1497" s="13" t="n"/>
      <c r="U1497" s="14" t="n"/>
      <c r="V1497" s="12" t="n"/>
      <c r="W1497" s="13" t="n"/>
      <c r="X1497" s="14" t="n"/>
      <c r="Y1497" s="12" t="n"/>
      <c r="Z1497" s="13" t="n"/>
      <c r="AA1497" s="14" t="n"/>
      <c r="AB1497" s="12" t="n"/>
      <c r="AC1497" s="13" t="n"/>
      <c r="AD1497" s="14" t="n"/>
      <c r="AE1497" s="12" t="n"/>
      <c r="AF1497" s="13" t="n"/>
      <c r="AG1497" s="14" t="n"/>
      <c r="AH1497" s="12" t="n"/>
      <c r="AI1497" s="13" t="n"/>
      <c r="AJ1497" s="14" t="n"/>
      <c r="AK1497" s="12" t="n"/>
      <c r="AL1497" s="13" t="n"/>
      <c r="AM1497" s="14" t="n"/>
      <c r="AN1497" s="12" t="n"/>
      <c r="AO1497" s="13" t="n"/>
      <c r="AP1497" s="14" t="n"/>
      <c r="AQ1497" s="12" t="n"/>
      <c r="AR1497" s="13" t="n"/>
      <c r="AS1497" s="14" t="n"/>
      <c r="AT1497" s="12" t="n"/>
      <c r="AU1497" s="13" t="n"/>
      <c r="AV1497" s="14" t="n"/>
      <c r="AW1497" s="12" t="n"/>
      <c r="AX1497" s="13" t="n"/>
      <c r="AY1497" s="14" t="n"/>
      <c r="AZ1497" s="12" t="n"/>
      <c r="BA1497" s="13" t="n"/>
      <c r="BB1497" s="14" t="n"/>
      <c r="BC1497" s="11">
        <f>IF(O1497="","",IF(J1497="GST 10%",ROUND(O1497*set_GSTRate,2),0))</f>
        <v/>
      </c>
      <c r="BD1497" s="11">
        <f>IF(O1497="","",O1497+BC1497)</f>
        <v/>
      </c>
      <c r="BE1497" s="15">
        <f>IF(O1497="","",COUNTA(S1497,V1497,Y1497,AB1497,AE1497,AH1497,AK1497,AN1497,AQ1497,AT1497,AW1497,AZ1497))</f>
        <v/>
      </c>
      <c r="BF1497" s="16">
        <f>IF(COUNT(T1497,W1497,Z1497,AC1497,AF1497,AI1497,AL1497,AO1497,AR1497,AU1497,AX1497,BA1497)=0,"",MAX(T1497,W1497,Z1497,AC1497,AF1497,AI1497,AL1497,AO1497,AR1497,AU1497,AX1497,BA1497))</f>
        <v/>
      </c>
      <c r="BG1497" s="10">
        <f>MID(IF(S1497="","",", "&amp;S1497)&amp;IF(V1497="","",", "&amp;V1497)&amp;IF(Y1497="","",", "&amp;Y1497)&amp;IF(AB1497="","",", "&amp;AB1497)&amp;IF(AE1497="","",", "&amp;AE1497)&amp;IF(AH1497="","",", "&amp;AH1497)&amp;IF(AK1497="","",", "&amp;AK1497)&amp;IF(AN1497="","",", "&amp;AN1497)&amp;IF(AQ1497="","",", "&amp;AQ1497)&amp;IF(AT1497="","",", "&amp;AT1497)&amp;IF(AW1497="","",", "&amp;AW1497)&amp;IF(AZ1497="","",", "&amp;AZ1497),3,500)</f>
        <v/>
      </c>
      <c r="BH1497" s="12" t="n"/>
      <c r="BI1497" s="15">
        <f>IFERROR(MATCH($A1497,IF($B1497="Onsite",tbl_Onsite[Row ID],IF($B1497="Production",tbl_Production[Row ID],tbl_Consulting[Row ID])),0),"")</f>
        <v/>
      </c>
    </row>
    <row r="1498">
      <c r="A1498" s="10" t="inlineStr">
        <is>
          <t>CON-0492</t>
        </is>
      </c>
      <c r="B1498" s="10" t="inlineStr">
        <is>
          <t>Consulting</t>
        </is>
      </c>
      <c r="C1498" s="10">
        <f>IF($BI1498="","",IF($B1498="Onsite",INDEX(tbl_Onsite[Job Number],$BI1498),IF($B1498="Production",INDEX(tbl_Production[Job Number],$BI1498),INDEX(tbl_Consulting[Job Number],$BI1498)))&amp;"")</f>
        <v/>
      </c>
      <c r="D1498" s="10">
        <f>IF($BI1498="","",IF($B1498="Onsite",INDEX(tbl_Onsite[Client],$BI1498),IF($B1498="Production",INDEX(tbl_Production[Client],$BI1498),INDEX(tbl_Consulting[Client],$BI1498)))&amp;"")</f>
        <v/>
      </c>
      <c r="E1498" s="10">
        <f>IF($C1498="","",IF(COUNTIF(lst_Jobs,$C1498)&gt;0,"OK","CHECK"))</f>
        <v/>
      </c>
      <c r="F1498" s="10">
        <f>IF($C1498="","",IFERROR(INDEX(lst_JobName,MATCH($C1498,lst_Jobs,0)),""))</f>
        <v/>
      </c>
      <c r="G1498" s="10">
        <f>IF($BI1498="","",IF($B1498="Onsite",INDEX(tbl_Onsite[Job Description],$BI1498),IF($B1498="Production",INDEX(tbl_Production[Job Description],$BI1498),INDEX(tbl_Consulting[Job Description],$BI1498)))&amp;"")</f>
        <v/>
      </c>
      <c r="H1498" s="10">
        <f>IF($BI1498="","",IF($B1498="Onsite",INDEX(tbl_Onsite[Cost Centre],$BI1498),IF($B1498="Production",INDEX(tbl_Production[Cost Centre],$BI1498),INDEX(tbl_Consulting[Cost Centre],$BI1498)))&amp;"")</f>
        <v/>
      </c>
      <c r="I1498" s="10">
        <f>IF($BI1498="","",IF($B1498="Onsite",INDEX(tbl_Onsite[Invoice Type],$BI1498),IF($B1498="Production",INDEX(tbl_Production[Invoice Type],$BI1498),INDEX(tbl_Consulting[Invoice Type],$BI1498)))&amp;"")</f>
        <v/>
      </c>
      <c r="J1498" s="10">
        <f>IF($BI1498="","",IF($B1498="Onsite",INDEX(tbl_Onsite[Tax Code],$BI1498),IF($B1498="Production",INDEX(tbl_Production[Tax Code],$BI1498),INDEX(tbl_Consulting[Tax Code],$BI1498)))&amp;"")</f>
        <v/>
      </c>
      <c r="K1498" s="10">
        <f>IF(H1498="","",IFERROR(INDEX(lst_CCtoGL,MATCH(H1498,lst_CCforGL,0)),""))</f>
        <v/>
      </c>
      <c r="L1498" s="10">
        <f>IF($BI1498="","",IF($B1498="Onsite",INDEX(tbl_Onsite[PO / Reference],$BI1498),IF($B1498="Production",INDEX(tbl_Production[Current RMS No],$BI1498),INDEX(tbl_Consulting[Qwilr Quote],$BI1498)))&amp;"")</f>
        <v/>
      </c>
      <c r="M1498" s="10">
        <f>IF($BI1498="","",IF($B1498="Onsite",INDEX(tbl_Onsite[Notes],$BI1498),IF($B1498="Production",INDEX(tbl_Production[Notes],$BI1498),INDEX(tbl_Consulting[Notes],$BI1498)))&amp;"")</f>
        <v/>
      </c>
      <c r="N1498" s="11">
        <f>IF($BI1498="","",IF(IF($B1498="Onsite",INDEX(tbl_Onsite[Expected Revenue Ex GST],$BI1498),IF($B1498="Production",INDEX(tbl_Production[Expected Revenue Ex GST],$BI1498),INDEX(tbl_Consulting[Expected Revenue Ex GST],$BI1498)))="","",IF($B1498="Onsite",INDEX(tbl_Onsite[Expected Revenue Ex GST],$BI1498),IF($B1498="Production",INDEX(tbl_Production[Expected Revenue Ex GST],$BI1498),INDEX(tbl_Consulting[Expected Revenue Ex GST],$BI1498)))))</f>
        <v/>
      </c>
      <c r="O1498" s="11">
        <f>IF(AND($C1498="",NOT(COUNTA($S1498:$BB1498)&gt;0)),"",SUM(U1498,X1498,AA1498,AD1498,AG1498,AJ1498,AM1498,AP1498,AS1498,AV1498,AY1498,BB1498))</f>
        <v/>
      </c>
      <c r="P1498" s="11">
        <f>IF(O1498="","",N(N1498)-O1498)</f>
        <v/>
      </c>
      <c r="Q1498" s="10">
        <f>IF(O1498="","",IF($C1498="","Invoice on empty job row",IF(N1498="",IF(ROUND(O1498,2)=0,"No dept value","Invoiced - no dept value"),IF(ROUND(O1498,2)=0,"Not invoiced - to invoice",IF(ROUND(P1498,2)=0,"Agrees",IF(P1498&gt;0,"Dept higher - to invoice","Xero higher - check dept"))))))</f>
        <v/>
      </c>
      <c r="R1498" s="10">
        <f>IF(AND($C1498="",NOT(COUNTA($S1498:$BB1498)&gt;0),$BI1498&lt;&gt;""),"",MID(IF($BI1498="","; Row ID not found on the department sheet - a row was deleted","")&amp;IF(AND($C1498="",COUNTA($S1498:$BB1498)&gt;0),"; Invoice entered but the department row has no job number","")&amp;IF(E1498="CHECK","; Job number not in the Xero job list","")&amp;IF(AND($C1498&lt;&gt;"",COUNTIF($C$7:$C$1506,$C1498)&gt;1),"; Job number on more than one row","")&amp;IF(AND($C1498&lt;&gt;"",H1498=""),"; Dept has not set a cost centre","")&amp;IF(AND($C1498&lt;&gt;"",J1498=""),"; Dept has not set a tax code","")&amp;IF(AND($C1498&lt;&gt;"",N1498=""),"; Dept has not entered an expected value","")&amp;IF((IF(OR(COUNTA(S1498:U1498)=0,AND(COUNTA(S1498:U1498)=3,ISNUMBER(U1498))),0,1)+IF(OR(COUNTA(V1498:X1498)=0,AND(COUNTA(V1498:X1498)=3,ISNUMBER(X1498))),0,1)+IF(OR(COUNTA(Y1498:AA1498)=0,AND(COUNTA(Y1498:AA1498)=3,ISNUMBER(AA1498))),0,1)+IF(OR(COUNTA(AB1498:AD1498)=0,AND(COUNTA(AB1498:AD1498)=3,ISNUMBER(AD1498))),0,1)+IF(OR(COUNTA(AE1498:AG1498)=0,AND(COUNTA(AE1498:AG1498)=3,ISNUMBER(AG1498))),0,1)+IF(OR(COUNTA(AH1498:AJ1498)=0,AND(COUNTA(AH1498:AJ1498)=3,ISNUMBER(AJ1498))),0,1)+IF(OR(COUNTA(AK1498:AM1498)=0,AND(COUNTA(AK1498:AM1498)=3,ISNUMBER(AM1498))),0,1)+IF(OR(COUNTA(AN1498:AP1498)=0,AND(COUNTA(AN1498:AP1498)=3,ISNUMBER(AP1498))),0,1)+IF(OR(COUNTA(AQ1498:AS1498)=0,AND(COUNTA(AQ1498:AS1498)=3,ISNUMBER(AS1498))),0,1)+IF(OR(COUNTA(AT1498:AV1498)=0,AND(COUNTA(AT1498:AV1498)=3,ISNUMBER(AV1498))),0,1)+IF(OR(COUNTA(AW1498:AY1498)=0,AND(COUNTA(AW1498:AY1498)=3,ISNUMBER(AY1498))),0,1)+IF(OR(COUNTA(AZ1498:BB1498)=0,AND(COUNTA(AZ1498:BB1498)=3,ISNUMBER(BB1498))),0,1))&gt;0,"; An invoice is incomplete (needs No, Date and a number in Ex GST)","")&amp;IF((IF(T1498="",0,IFERROR(--(EOMONTH(T1498,0)&lt;&gt;S$5),1))+IF(W1498="",0,IFERROR(--(EOMONTH(W1498,0)&lt;&gt;V$5),1))+IF(Z1498="",0,IFERROR(--(EOMONTH(Z1498,0)&lt;&gt;Y$5),1))+IF(AC1498="",0,IFERROR(--(EOMONTH(AC1498,0)&lt;&gt;AB$5),1))+IF(AF1498="",0,IFERROR(--(EOMONTH(AF1498,0)&lt;&gt;AE$5),1))+IF(AI1498="",0,IFERROR(--(EOMONTH(AI1498,0)&lt;&gt;AH$5),1))+IF(AL1498="",0,IFERROR(--(EOMONTH(AL1498,0)&lt;&gt;AK$5),1))+IF(AO1498="",0,IFERROR(--(EOMONTH(AO1498,0)&lt;&gt;AN$5),1))+IF(AR1498="",0,IFERROR(--(EOMONTH(AR1498,0)&lt;&gt;AQ$5),1))+IF(AU1498="",0,IFERROR(--(EOMONTH(AU1498,0)&lt;&gt;AT$5),1))+IF(AX1498="",0,IFERROR(--(EOMONTH(AX1498,0)&lt;&gt;AW$5),1))+IF(BA1498="",0,IFERROR(--(EOMONTH(BA1498,0)&lt;&gt;AZ$5),1)))&gt;0,"; An invoice date is not in the month it is typed under",""),3,500))</f>
        <v/>
      </c>
      <c r="S1498" s="12" t="n"/>
      <c r="T1498" s="13" t="n"/>
      <c r="U1498" s="14" t="n"/>
      <c r="V1498" s="12" t="n"/>
      <c r="W1498" s="13" t="n"/>
      <c r="X1498" s="14" t="n"/>
      <c r="Y1498" s="12" t="n"/>
      <c r="Z1498" s="13" t="n"/>
      <c r="AA1498" s="14" t="n"/>
      <c r="AB1498" s="12" t="n"/>
      <c r="AC1498" s="13" t="n"/>
      <c r="AD1498" s="14" t="n"/>
      <c r="AE1498" s="12" t="n"/>
      <c r="AF1498" s="13" t="n"/>
      <c r="AG1498" s="14" t="n"/>
      <c r="AH1498" s="12" t="n"/>
      <c r="AI1498" s="13" t="n"/>
      <c r="AJ1498" s="14" t="n"/>
      <c r="AK1498" s="12" t="n"/>
      <c r="AL1498" s="13" t="n"/>
      <c r="AM1498" s="14" t="n"/>
      <c r="AN1498" s="12" t="n"/>
      <c r="AO1498" s="13" t="n"/>
      <c r="AP1498" s="14" t="n"/>
      <c r="AQ1498" s="12" t="n"/>
      <c r="AR1498" s="13" t="n"/>
      <c r="AS1498" s="14" t="n"/>
      <c r="AT1498" s="12" t="n"/>
      <c r="AU1498" s="13" t="n"/>
      <c r="AV1498" s="14" t="n"/>
      <c r="AW1498" s="12" t="n"/>
      <c r="AX1498" s="13" t="n"/>
      <c r="AY1498" s="14" t="n"/>
      <c r="AZ1498" s="12" t="n"/>
      <c r="BA1498" s="13" t="n"/>
      <c r="BB1498" s="14" t="n"/>
      <c r="BC1498" s="11">
        <f>IF(O1498="","",IF(J1498="GST 10%",ROUND(O1498*set_GSTRate,2),0))</f>
        <v/>
      </c>
      <c r="BD1498" s="11">
        <f>IF(O1498="","",O1498+BC1498)</f>
        <v/>
      </c>
      <c r="BE1498" s="15">
        <f>IF(O1498="","",COUNTA(S1498,V1498,Y1498,AB1498,AE1498,AH1498,AK1498,AN1498,AQ1498,AT1498,AW1498,AZ1498))</f>
        <v/>
      </c>
      <c r="BF1498" s="16">
        <f>IF(COUNT(T1498,W1498,Z1498,AC1498,AF1498,AI1498,AL1498,AO1498,AR1498,AU1498,AX1498,BA1498)=0,"",MAX(T1498,W1498,Z1498,AC1498,AF1498,AI1498,AL1498,AO1498,AR1498,AU1498,AX1498,BA1498))</f>
        <v/>
      </c>
      <c r="BG1498" s="10">
        <f>MID(IF(S1498="","",", "&amp;S1498)&amp;IF(V1498="","",", "&amp;V1498)&amp;IF(Y1498="","",", "&amp;Y1498)&amp;IF(AB1498="","",", "&amp;AB1498)&amp;IF(AE1498="","",", "&amp;AE1498)&amp;IF(AH1498="","",", "&amp;AH1498)&amp;IF(AK1498="","",", "&amp;AK1498)&amp;IF(AN1498="","",", "&amp;AN1498)&amp;IF(AQ1498="","",", "&amp;AQ1498)&amp;IF(AT1498="","",", "&amp;AT1498)&amp;IF(AW1498="","",", "&amp;AW1498)&amp;IF(AZ1498="","",", "&amp;AZ1498),3,500)</f>
        <v/>
      </c>
      <c r="BH1498" s="12" t="n"/>
      <c r="BI1498" s="15">
        <f>IFERROR(MATCH($A1498,IF($B1498="Onsite",tbl_Onsite[Row ID],IF($B1498="Production",tbl_Production[Row ID],tbl_Consulting[Row ID])),0),"")</f>
        <v/>
      </c>
    </row>
    <row r="1499">
      <c r="A1499" s="10" t="inlineStr">
        <is>
          <t>CON-0493</t>
        </is>
      </c>
      <c r="B1499" s="10" t="inlineStr">
        <is>
          <t>Consulting</t>
        </is>
      </c>
      <c r="C1499" s="10">
        <f>IF($BI1499="","",IF($B1499="Onsite",INDEX(tbl_Onsite[Job Number],$BI1499),IF($B1499="Production",INDEX(tbl_Production[Job Number],$BI1499),INDEX(tbl_Consulting[Job Number],$BI1499)))&amp;"")</f>
        <v/>
      </c>
      <c r="D1499" s="10">
        <f>IF($BI1499="","",IF($B1499="Onsite",INDEX(tbl_Onsite[Client],$BI1499),IF($B1499="Production",INDEX(tbl_Production[Client],$BI1499),INDEX(tbl_Consulting[Client],$BI1499)))&amp;"")</f>
        <v/>
      </c>
      <c r="E1499" s="10">
        <f>IF($C1499="","",IF(COUNTIF(lst_Jobs,$C1499)&gt;0,"OK","CHECK"))</f>
        <v/>
      </c>
      <c r="F1499" s="10">
        <f>IF($C1499="","",IFERROR(INDEX(lst_JobName,MATCH($C1499,lst_Jobs,0)),""))</f>
        <v/>
      </c>
      <c r="G1499" s="10">
        <f>IF($BI1499="","",IF($B1499="Onsite",INDEX(tbl_Onsite[Job Description],$BI1499),IF($B1499="Production",INDEX(tbl_Production[Job Description],$BI1499),INDEX(tbl_Consulting[Job Description],$BI1499)))&amp;"")</f>
        <v/>
      </c>
      <c r="H1499" s="10">
        <f>IF($BI1499="","",IF($B1499="Onsite",INDEX(tbl_Onsite[Cost Centre],$BI1499),IF($B1499="Production",INDEX(tbl_Production[Cost Centre],$BI1499),INDEX(tbl_Consulting[Cost Centre],$BI1499)))&amp;"")</f>
        <v/>
      </c>
      <c r="I1499" s="10">
        <f>IF($BI1499="","",IF($B1499="Onsite",INDEX(tbl_Onsite[Invoice Type],$BI1499),IF($B1499="Production",INDEX(tbl_Production[Invoice Type],$BI1499),INDEX(tbl_Consulting[Invoice Type],$BI1499)))&amp;"")</f>
        <v/>
      </c>
      <c r="J1499" s="10">
        <f>IF($BI1499="","",IF($B1499="Onsite",INDEX(tbl_Onsite[Tax Code],$BI1499),IF($B1499="Production",INDEX(tbl_Production[Tax Code],$BI1499),INDEX(tbl_Consulting[Tax Code],$BI1499)))&amp;"")</f>
        <v/>
      </c>
      <c r="K1499" s="10">
        <f>IF(H1499="","",IFERROR(INDEX(lst_CCtoGL,MATCH(H1499,lst_CCforGL,0)),""))</f>
        <v/>
      </c>
      <c r="L1499" s="10">
        <f>IF($BI1499="","",IF($B1499="Onsite",INDEX(tbl_Onsite[PO / Reference],$BI1499),IF($B1499="Production",INDEX(tbl_Production[Current RMS No],$BI1499),INDEX(tbl_Consulting[Qwilr Quote],$BI1499)))&amp;"")</f>
        <v/>
      </c>
      <c r="M1499" s="10">
        <f>IF($BI1499="","",IF($B1499="Onsite",INDEX(tbl_Onsite[Notes],$BI1499),IF($B1499="Production",INDEX(tbl_Production[Notes],$BI1499),INDEX(tbl_Consulting[Notes],$BI1499)))&amp;"")</f>
        <v/>
      </c>
      <c r="N1499" s="11">
        <f>IF($BI1499="","",IF(IF($B1499="Onsite",INDEX(tbl_Onsite[Expected Revenue Ex GST],$BI1499),IF($B1499="Production",INDEX(tbl_Production[Expected Revenue Ex GST],$BI1499),INDEX(tbl_Consulting[Expected Revenue Ex GST],$BI1499)))="","",IF($B1499="Onsite",INDEX(tbl_Onsite[Expected Revenue Ex GST],$BI1499),IF($B1499="Production",INDEX(tbl_Production[Expected Revenue Ex GST],$BI1499),INDEX(tbl_Consulting[Expected Revenue Ex GST],$BI1499)))))</f>
        <v/>
      </c>
      <c r="O1499" s="11">
        <f>IF(AND($C1499="",NOT(COUNTA($S1499:$BB1499)&gt;0)),"",SUM(U1499,X1499,AA1499,AD1499,AG1499,AJ1499,AM1499,AP1499,AS1499,AV1499,AY1499,BB1499))</f>
        <v/>
      </c>
      <c r="P1499" s="11">
        <f>IF(O1499="","",N(N1499)-O1499)</f>
        <v/>
      </c>
      <c r="Q1499" s="10">
        <f>IF(O1499="","",IF($C1499="","Invoice on empty job row",IF(N1499="",IF(ROUND(O1499,2)=0,"No dept value","Invoiced - no dept value"),IF(ROUND(O1499,2)=0,"Not invoiced - to invoice",IF(ROUND(P1499,2)=0,"Agrees",IF(P1499&gt;0,"Dept higher - to invoice","Xero higher - check dept"))))))</f>
        <v/>
      </c>
      <c r="R1499" s="10">
        <f>IF(AND($C1499="",NOT(COUNTA($S1499:$BB1499)&gt;0),$BI1499&lt;&gt;""),"",MID(IF($BI1499="","; Row ID not found on the department sheet - a row was deleted","")&amp;IF(AND($C1499="",COUNTA($S1499:$BB1499)&gt;0),"; Invoice entered but the department row has no job number","")&amp;IF(E1499="CHECK","; Job number not in the Xero job list","")&amp;IF(AND($C1499&lt;&gt;"",COUNTIF($C$7:$C$1506,$C1499)&gt;1),"; Job number on more than one row","")&amp;IF(AND($C1499&lt;&gt;"",H1499=""),"; Dept has not set a cost centre","")&amp;IF(AND($C1499&lt;&gt;"",J1499=""),"; Dept has not set a tax code","")&amp;IF(AND($C1499&lt;&gt;"",N1499=""),"; Dept has not entered an expected value","")&amp;IF((IF(OR(COUNTA(S1499:U1499)=0,AND(COUNTA(S1499:U1499)=3,ISNUMBER(U1499))),0,1)+IF(OR(COUNTA(V1499:X1499)=0,AND(COUNTA(V1499:X1499)=3,ISNUMBER(X1499))),0,1)+IF(OR(COUNTA(Y1499:AA1499)=0,AND(COUNTA(Y1499:AA1499)=3,ISNUMBER(AA1499))),0,1)+IF(OR(COUNTA(AB1499:AD1499)=0,AND(COUNTA(AB1499:AD1499)=3,ISNUMBER(AD1499))),0,1)+IF(OR(COUNTA(AE1499:AG1499)=0,AND(COUNTA(AE1499:AG1499)=3,ISNUMBER(AG1499))),0,1)+IF(OR(COUNTA(AH1499:AJ1499)=0,AND(COUNTA(AH1499:AJ1499)=3,ISNUMBER(AJ1499))),0,1)+IF(OR(COUNTA(AK1499:AM1499)=0,AND(COUNTA(AK1499:AM1499)=3,ISNUMBER(AM1499))),0,1)+IF(OR(COUNTA(AN1499:AP1499)=0,AND(COUNTA(AN1499:AP1499)=3,ISNUMBER(AP1499))),0,1)+IF(OR(COUNTA(AQ1499:AS1499)=0,AND(COUNTA(AQ1499:AS1499)=3,ISNUMBER(AS1499))),0,1)+IF(OR(COUNTA(AT1499:AV1499)=0,AND(COUNTA(AT1499:AV1499)=3,ISNUMBER(AV1499))),0,1)+IF(OR(COUNTA(AW1499:AY1499)=0,AND(COUNTA(AW1499:AY1499)=3,ISNUMBER(AY1499))),0,1)+IF(OR(COUNTA(AZ1499:BB1499)=0,AND(COUNTA(AZ1499:BB1499)=3,ISNUMBER(BB1499))),0,1))&gt;0,"; An invoice is incomplete (needs No, Date and a number in Ex GST)","")&amp;IF((IF(T1499="",0,IFERROR(--(EOMONTH(T1499,0)&lt;&gt;S$5),1))+IF(W1499="",0,IFERROR(--(EOMONTH(W1499,0)&lt;&gt;V$5),1))+IF(Z1499="",0,IFERROR(--(EOMONTH(Z1499,0)&lt;&gt;Y$5),1))+IF(AC1499="",0,IFERROR(--(EOMONTH(AC1499,0)&lt;&gt;AB$5),1))+IF(AF1499="",0,IFERROR(--(EOMONTH(AF1499,0)&lt;&gt;AE$5),1))+IF(AI1499="",0,IFERROR(--(EOMONTH(AI1499,0)&lt;&gt;AH$5),1))+IF(AL1499="",0,IFERROR(--(EOMONTH(AL1499,0)&lt;&gt;AK$5),1))+IF(AO1499="",0,IFERROR(--(EOMONTH(AO1499,0)&lt;&gt;AN$5),1))+IF(AR1499="",0,IFERROR(--(EOMONTH(AR1499,0)&lt;&gt;AQ$5),1))+IF(AU1499="",0,IFERROR(--(EOMONTH(AU1499,0)&lt;&gt;AT$5),1))+IF(AX1499="",0,IFERROR(--(EOMONTH(AX1499,0)&lt;&gt;AW$5),1))+IF(BA1499="",0,IFERROR(--(EOMONTH(BA1499,0)&lt;&gt;AZ$5),1)))&gt;0,"; An invoice date is not in the month it is typed under",""),3,500))</f>
        <v/>
      </c>
      <c r="S1499" s="12" t="n"/>
      <c r="T1499" s="13" t="n"/>
      <c r="U1499" s="14" t="n"/>
      <c r="V1499" s="12" t="n"/>
      <c r="W1499" s="13" t="n"/>
      <c r="X1499" s="14" t="n"/>
      <c r="Y1499" s="12" t="n"/>
      <c r="Z1499" s="13" t="n"/>
      <c r="AA1499" s="14" t="n"/>
      <c r="AB1499" s="12" t="n"/>
      <c r="AC1499" s="13" t="n"/>
      <c r="AD1499" s="14" t="n"/>
      <c r="AE1499" s="12" t="n"/>
      <c r="AF1499" s="13" t="n"/>
      <c r="AG1499" s="14" t="n"/>
      <c r="AH1499" s="12" t="n"/>
      <c r="AI1499" s="13" t="n"/>
      <c r="AJ1499" s="14" t="n"/>
      <c r="AK1499" s="12" t="n"/>
      <c r="AL1499" s="13" t="n"/>
      <c r="AM1499" s="14" t="n"/>
      <c r="AN1499" s="12" t="n"/>
      <c r="AO1499" s="13" t="n"/>
      <c r="AP1499" s="14" t="n"/>
      <c r="AQ1499" s="12" t="n"/>
      <c r="AR1499" s="13" t="n"/>
      <c r="AS1499" s="14" t="n"/>
      <c r="AT1499" s="12" t="n"/>
      <c r="AU1499" s="13" t="n"/>
      <c r="AV1499" s="14" t="n"/>
      <c r="AW1499" s="12" t="n"/>
      <c r="AX1499" s="13" t="n"/>
      <c r="AY1499" s="14" t="n"/>
      <c r="AZ1499" s="12" t="n"/>
      <c r="BA1499" s="13" t="n"/>
      <c r="BB1499" s="14" t="n"/>
      <c r="BC1499" s="11">
        <f>IF(O1499="","",IF(J1499="GST 10%",ROUND(O1499*set_GSTRate,2),0))</f>
        <v/>
      </c>
      <c r="BD1499" s="11">
        <f>IF(O1499="","",O1499+BC1499)</f>
        <v/>
      </c>
      <c r="BE1499" s="15">
        <f>IF(O1499="","",COUNTA(S1499,V1499,Y1499,AB1499,AE1499,AH1499,AK1499,AN1499,AQ1499,AT1499,AW1499,AZ1499))</f>
        <v/>
      </c>
      <c r="BF1499" s="16">
        <f>IF(COUNT(T1499,W1499,Z1499,AC1499,AF1499,AI1499,AL1499,AO1499,AR1499,AU1499,AX1499,BA1499)=0,"",MAX(T1499,W1499,Z1499,AC1499,AF1499,AI1499,AL1499,AO1499,AR1499,AU1499,AX1499,BA1499))</f>
        <v/>
      </c>
      <c r="BG1499" s="10">
        <f>MID(IF(S1499="","",", "&amp;S1499)&amp;IF(V1499="","",", "&amp;V1499)&amp;IF(Y1499="","",", "&amp;Y1499)&amp;IF(AB1499="","",", "&amp;AB1499)&amp;IF(AE1499="","",", "&amp;AE1499)&amp;IF(AH1499="","",", "&amp;AH1499)&amp;IF(AK1499="","",", "&amp;AK1499)&amp;IF(AN1499="","",", "&amp;AN1499)&amp;IF(AQ1499="","",", "&amp;AQ1499)&amp;IF(AT1499="","",", "&amp;AT1499)&amp;IF(AW1499="","",", "&amp;AW1499)&amp;IF(AZ1499="","",", "&amp;AZ1499),3,500)</f>
        <v/>
      </c>
      <c r="BH1499" s="12" t="n"/>
      <c r="BI1499" s="15">
        <f>IFERROR(MATCH($A1499,IF($B1499="Onsite",tbl_Onsite[Row ID],IF($B1499="Production",tbl_Production[Row ID],tbl_Consulting[Row ID])),0),"")</f>
        <v/>
      </c>
    </row>
    <row r="1500">
      <c r="A1500" s="10" t="inlineStr">
        <is>
          <t>CON-0494</t>
        </is>
      </c>
      <c r="B1500" s="10" t="inlineStr">
        <is>
          <t>Consulting</t>
        </is>
      </c>
      <c r="C1500" s="10">
        <f>IF($BI1500="","",IF($B1500="Onsite",INDEX(tbl_Onsite[Job Number],$BI1500),IF($B1500="Production",INDEX(tbl_Production[Job Number],$BI1500),INDEX(tbl_Consulting[Job Number],$BI1500)))&amp;"")</f>
        <v/>
      </c>
      <c r="D1500" s="10">
        <f>IF($BI1500="","",IF($B1500="Onsite",INDEX(tbl_Onsite[Client],$BI1500),IF($B1500="Production",INDEX(tbl_Production[Client],$BI1500),INDEX(tbl_Consulting[Client],$BI1500)))&amp;"")</f>
        <v/>
      </c>
      <c r="E1500" s="10">
        <f>IF($C1500="","",IF(COUNTIF(lst_Jobs,$C1500)&gt;0,"OK","CHECK"))</f>
        <v/>
      </c>
      <c r="F1500" s="10">
        <f>IF($C1500="","",IFERROR(INDEX(lst_JobName,MATCH($C1500,lst_Jobs,0)),""))</f>
        <v/>
      </c>
      <c r="G1500" s="10">
        <f>IF($BI1500="","",IF($B1500="Onsite",INDEX(tbl_Onsite[Job Description],$BI1500),IF($B1500="Production",INDEX(tbl_Production[Job Description],$BI1500),INDEX(tbl_Consulting[Job Description],$BI1500)))&amp;"")</f>
        <v/>
      </c>
      <c r="H1500" s="10">
        <f>IF($BI1500="","",IF($B1500="Onsite",INDEX(tbl_Onsite[Cost Centre],$BI1500),IF($B1500="Production",INDEX(tbl_Production[Cost Centre],$BI1500),INDEX(tbl_Consulting[Cost Centre],$BI1500)))&amp;"")</f>
        <v/>
      </c>
      <c r="I1500" s="10">
        <f>IF($BI1500="","",IF($B1500="Onsite",INDEX(tbl_Onsite[Invoice Type],$BI1500),IF($B1500="Production",INDEX(tbl_Production[Invoice Type],$BI1500),INDEX(tbl_Consulting[Invoice Type],$BI1500)))&amp;"")</f>
        <v/>
      </c>
      <c r="J1500" s="10">
        <f>IF($BI1500="","",IF($B1500="Onsite",INDEX(tbl_Onsite[Tax Code],$BI1500),IF($B1500="Production",INDEX(tbl_Production[Tax Code],$BI1500),INDEX(tbl_Consulting[Tax Code],$BI1500)))&amp;"")</f>
        <v/>
      </c>
      <c r="K1500" s="10">
        <f>IF(H1500="","",IFERROR(INDEX(lst_CCtoGL,MATCH(H1500,lst_CCforGL,0)),""))</f>
        <v/>
      </c>
      <c r="L1500" s="10">
        <f>IF($BI1500="","",IF($B1500="Onsite",INDEX(tbl_Onsite[PO / Reference],$BI1500),IF($B1500="Production",INDEX(tbl_Production[Current RMS No],$BI1500),INDEX(tbl_Consulting[Qwilr Quote],$BI1500)))&amp;"")</f>
        <v/>
      </c>
      <c r="M1500" s="10">
        <f>IF($BI1500="","",IF($B1500="Onsite",INDEX(tbl_Onsite[Notes],$BI1500),IF($B1500="Production",INDEX(tbl_Production[Notes],$BI1500),INDEX(tbl_Consulting[Notes],$BI1500)))&amp;"")</f>
        <v/>
      </c>
      <c r="N1500" s="11">
        <f>IF($BI1500="","",IF(IF($B1500="Onsite",INDEX(tbl_Onsite[Expected Revenue Ex GST],$BI1500),IF($B1500="Production",INDEX(tbl_Production[Expected Revenue Ex GST],$BI1500),INDEX(tbl_Consulting[Expected Revenue Ex GST],$BI1500)))="","",IF($B1500="Onsite",INDEX(tbl_Onsite[Expected Revenue Ex GST],$BI1500),IF($B1500="Production",INDEX(tbl_Production[Expected Revenue Ex GST],$BI1500),INDEX(tbl_Consulting[Expected Revenue Ex GST],$BI1500)))))</f>
        <v/>
      </c>
      <c r="O1500" s="11">
        <f>IF(AND($C1500="",NOT(COUNTA($S1500:$BB1500)&gt;0)),"",SUM(U1500,X1500,AA1500,AD1500,AG1500,AJ1500,AM1500,AP1500,AS1500,AV1500,AY1500,BB1500))</f>
        <v/>
      </c>
      <c r="P1500" s="11">
        <f>IF(O1500="","",N(N1500)-O1500)</f>
        <v/>
      </c>
      <c r="Q1500" s="10">
        <f>IF(O1500="","",IF($C1500="","Invoice on empty job row",IF(N1500="",IF(ROUND(O1500,2)=0,"No dept value","Invoiced - no dept value"),IF(ROUND(O1500,2)=0,"Not invoiced - to invoice",IF(ROUND(P1500,2)=0,"Agrees",IF(P1500&gt;0,"Dept higher - to invoice","Xero higher - check dept"))))))</f>
        <v/>
      </c>
      <c r="R1500" s="10">
        <f>IF(AND($C1500="",NOT(COUNTA($S1500:$BB1500)&gt;0),$BI1500&lt;&gt;""),"",MID(IF($BI1500="","; Row ID not found on the department sheet - a row was deleted","")&amp;IF(AND($C1500="",COUNTA($S1500:$BB1500)&gt;0),"; Invoice entered but the department row has no job number","")&amp;IF(E1500="CHECK","; Job number not in the Xero job list","")&amp;IF(AND($C1500&lt;&gt;"",COUNTIF($C$7:$C$1506,$C1500)&gt;1),"; Job number on more than one row","")&amp;IF(AND($C1500&lt;&gt;"",H1500=""),"; Dept has not set a cost centre","")&amp;IF(AND($C1500&lt;&gt;"",J1500=""),"; Dept has not set a tax code","")&amp;IF(AND($C1500&lt;&gt;"",N1500=""),"; Dept has not entered an expected value","")&amp;IF((IF(OR(COUNTA(S1500:U1500)=0,AND(COUNTA(S1500:U1500)=3,ISNUMBER(U1500))),0,1)+IF(OR(COUNTA(V1500:X1500)=0,AND(COUNTA(V1500:X1500)=3,ISNUMBER(X1500))),0,1)+IF(OR(COUNTA(Y1500:AA1500)=0,AND(COUNTA(Y1500:AA1500)=3,ISNUMBER(AA1500))),0,1)+IF(OR(COUNTA(AB1500:AD1500)=0,AND(COUNTA(AB1500:AD1500)=3,ISNUMBER(AD1500))),0,1)+IF(OR(COUNTA(AE1500:AG1500)=0,AND(COUNTA(AE1500:AG1500)=3,ISNUMBER(AG1500))),0,1)+IF(OR(COUNTA(AH1500:AJ1500)=0,AND(COUNTA(AH1500:AJ1500)=3,ISNUMBER(AJ1500))),0,1)+IF(OR(COUNTA(AK1500:AM1500)=0,AND(COUNTA(AK1500:AM1500)=3,ISNUMBER(AM1500))),0,1)+IF(OR(COUNTA(AN1500:AP1500)=0,AND(COUNTA(AN1500:AP1500)=3,ISNUMBER(AP1500))),0,1)+IF(OR(COUNTA(AQ1500:AS1500)=0,AND(COUNTA(AQ1500:AS1500)=3,ISNUMBER(AS1500))),0,1)+IF(OR(COUNTA(AT1500:AV1500)=0,AND(COUNTA(AT1500:AV1500)=3,ISNUMBER(AV1500))),0,1)+IF(OR(COUNTA(AW1500:AY1500)=0,AND(COUNTA(AW1500:AY1500)=3,ISNUMBER(AY1500))),0,1)+IF(OR(COUNTA(AZ1500:BB1500)=0,AND(COUNTA(AZ1500:BB1500)=3,ISNUMBER(BB1500))),0,1))&gt;0,"; An invoice is incomplete (needs No, Date and a number in Ex GST)","")&amp;IF((IF(T1500="",0,IFERROR(--(EOMONTH(T1500,0)&lt;&gt;S$5),1))+IF(W1500="",0,IFERROR(--(EOMONTH(W1500,0)&lt;&gt;V$5),1))+IF(Z1500="",0,IFERROR(--(EOMONTH(Z1500,0)&lt;&gt;Y$5),1))+IF(AC1500="",0,IFERROR(--(EOMONTH(AC1500,0)&lt;&gt;AB$5),1))+IF(AF1500="",0,IFERROR(--(EOMONTH(AF1500,0)&lt;&gt;AE$5),1))+IF(AI1500="",0,IFERROR(--(EOMONTH(AI1500,0)&lt;&gt;AH$5),1))+IF(AL1500="",0,IFERROR(--(EOMONTH(AL1500,0)&lt;&gt;AK$5),1))+IF(AO1500="",0,IFERROR(--(EOMONTH(AO1500,0)&lt;&gt;AN$5),1))+IF(AR1500="",0,IFERROR(--(EOMONTH(AR1500,0)&lt;&gt;AQ$5),1))+IF(AU1500="",0,IFERROR(--(EOMONTH(AU1500,0)&lt;&gt;AT$5),1))+IF(AX1500="",0,IFERROR(--(EOMONTH(AX1500,0)&lt;&gt;AW$5),1))+IF(BA1500="",0,IFERROR(--(EOMONTH(BA1500,0)&lt;&gt;AZ$5),1)))&gt;0,"; An invoice date is not in the month it is typed under",""),3,500))</f>
        <v/>
      </c>
      <c r="S1500" s="12" t="n"/>
      <c r="T1500" s="13" t="n"/>
      <c r="U1500" s="14" t="n"/>
      <c r="V1500" s="12" t="n"/>
      <c r="W1500" s="13" t="n"/>
      <c r="X1500" s="14" t="n"/>
      <c r="Y1500" s="12" t="n"/>
      <c r="Z1500" s="13" t="n"/>
      <c r="AA1500" s="14" t="n"/>
      <c r="AB1500" s="12" t="n"/>
      <c r="AC1500" s="13" t="n"/>
      <c r="AD1500" s="14" t="n"/>
      <c r="AE1500" s="12" t="n"/>
      <c r="AF1500" s="13" t="n"/>
      <c r="AG1500" s="14" t="n"/>
      <c r="AH1500" s="12" t="n"/>
      <c r="AI1500" s="13" t="n"/>
      <c r="AJ1500" s="14" t="n"/>
      <c r="AK1500" s="12" t="n"/>
      <c r="AL1500" s="13" t="n"/>
      <c r="AM1500" s="14" t="n"/>
      <c r="AN1500" s="12" t="n"/>
      <c r="AO1500" s="13" t="n"/>
      <c r="AP1500" s="14" t="n"/>
      <c r="AQ1500" s="12" t="n"/>
      <c r="AR1500" s="13" t="n"/>
      <c r="AS1500" s="14" t="n"/>
      <c r="AT1500" s="12" t="n"/>
      <c r="AU1500" s="13" t="n"/>
      <c r="AV1500" s="14" t="n"/>
      <c r="AW1500" s="12" t="n"/>
      <c r="AX1500" s="13" t="n"/>
      <c r="AY1500" s="14" t="n"/>
      <c r="AZ1500" s="12" t="n"/>
      <c r="BA1500" s="13" t="n"/>
      <c r="BB1500" s="14" t="n"/>
      <c r="BC1500" s="11">
        <f>IF(O1500="","",IF(J1500="GST 10%",ROUND(O1500*set_GSTRate,2),0))</f>
        <v/>
      </c>
      <c r="BD1500" s="11">
        <f>IF(O1500="","",O1500+BC1500)</f>
        <v/>
      </c>
      <c r="BE1500" s="15">
        <f>IF(O1500="","",COUNTA(S1500,V1500,Y1500,AB1500,AE1500,AH1500,AK1500,AN1500,AQ1500,AT1500,AW1500,AZ1500))</f>
        <v/>
      </c>
      <c r="BF1500" s="16">
        <f>IF(COUNT(T1500,W1500,Z1500,AC1500,AF1500,AI1500,AL1500,AO1500,AR1500,AU1500,AX1500,BA1500)=0,"",MAX(T1500,W1500,Z1500,AC1500,AF1500,AI1500,AL1500,AO1500,AR1500,AU1500,AX1500,BA1500))</f>
        <v/>
      </c>
      <c r="BG1500" s="10">
        <f>MID(IF(S1500="","",", "&amp;S1500)&amp;IF(V1500="","",", "&amp;V1500)&amp;IF(Y1500="","",", "&amp;Y1500)&amp;IF(AB1500="","",", "&amp;AB1500)&amp;IF(AE1500="","",", "&amp;AE1500)&amp;IF(AH1500="","",", "&amp;AH1500)&amp;IF(AK1500="","",", "&amp;AK1500)&amp;IF(AN1500="","",", "&amp;AN1500)&amp;IF(AQ1500="","",", "&amp;AQ1500)&amp;IF(AT1500="","",", "&amp;AT1500)&amp;IF(AW1500="","",", "&amp;AW1500)&amp;IF(AZ1500="","",", "&amp;AZ1500),3,500)</f>
        <v/>
      </c>
      <c r="BH1500" s="12" t="n"/>
      <c r="BI1500" s="15">
        <f>IFERROR(MATCH($A1500,IF($B1500="Onsite",tbl_Onsite[Row ID],IF($B1500="Production",tbl_Production[Row ID],tbl_Consulting[Row ID])),0),"")</f>
        <v/>
      </c>
    </row>
    <row r="1501">
      <c r="A1501" s="10" t="inlineStr">
        <is>
          <t>CON-0495</t>
        </is>
      </c>
      <c r="B1501" s="10" t="inlineStr">
        <is>
          <t>Consulting</t>
        </is>
      </c>
      <c r="C1501" s="10">
        <f>IF($BI1501="","",IF($B1501="Onsite",INDEX(tbl_Onsite[Job Number],$BI1501),IF($B1501="Production",INDEX(tbl_Production[Job Number],$BI1501),INDEX(tbl_Consulting[Job Number],$BI1501)))&amp;"")</f>
        <v/>
      </c>
      <c r="D1501" s="10">
        <f>IF($BI1501="","",IF($B1501="Onsite",INDEX(tbl_Onsite[Client],$BI1501),IF($B1501="Production",INDEX(tbl_Production[Client],$BI1501),INDEX(tbl_Consulting[Client],$BI1501)))&amp;"")</f>
        <v/>
      </c>
      <c r="E1501" s="10">
        <f>IF($C1501="","",IF(COUNTIF(lst_Jobs,$C1501)&gt;0,"OK","CHECK"))</f>
        <v/>
      </c>
      <c r="F1501" s="10">
        <f>IF($C1501="","",IFERROR(INDEX(lst_JobName,MATCH($C1501,lst_Jobs,0)),""))</f>
        <v/>
      </c>
      <c r="G1501" s="10">
        <f>IF($BI1501="","",IF($B1501="Onsite",INDEX(tbl_Onsite[Job Description],$BI1501),IF($B1501="Production",INDEX(tbl_Production[Job Description],$BI1501),INDEX(tbl_Consulting[Job Description],$BI1501)))&amp;"")</f>
        <v/>
      </c>
      <c r="H1501" s="10">
        <f>IF($BI1501="","",IF($B1501="Onsite",INDEX(tbl_Onsite[Cost Centre],$BI1501),IF($B1501="Production",INDEX(tbl_Production[Cost Centre],$BI1501),INDEX(tbl_Consulting[Cost Centre],$BI1501)))&amp;"")</f>
        <v/>
      </c>
      <c r="I1501" s="10">
        <f>IF($BI1501="","",IF($B1501="Onsite",INDEX(tbl_Onsite[Invoice Type],$BI1501),IF($B1501="Production",INDEX(tbl_Production[Invoice Type],$BI1501),INDEX(tbl_Consulting[Invoice Type],$BI1501)))&amp;"")</f>
        <v/>
      </c>
      <c r="J1501" s="10">
        <f>IF($BI1501="","",IF($B1501="Onsite",INDEX(tbl_Onsite[Tax Code],$BI1501),IF($B1501="Production",INDEX(tbl_Production[Tax Code],$BI1501),INDEX(tbl_Consulting[Tax Code],$BI1501)))&amp;"")</f>
        <v/>
      </c>
      <c r="K1501" s="10">
        <f>IF(H1501="","",IFERROR(INDEX(lst_CCtoGL,MATCH(H1501,lst_CCforGL,0)),""))</f>
        <v/>
      </c>
      <c r="L1501" s="10">
        <f>IF($BI1501="","",IF($B1501="Onsite",INDEX(tbl_Onsite[PO / Reference],$BI1501),IF($B1501="Production",INDEX(tbl_Production[Current RMS No],$BI1501),INDEX(tbl_Consulting[Qwilr Quote],$BI1501)))&amp;"")</f>
        <v/>
      </c>
      <c r="M1501" s="10">
        <f>IF($BI1501="","",IF($B1501="Onsite",INDEX(tbl_Onsite[Notes],$BI1501),IF($B1501="Production",INDEX(tbl_Production[Notes],$BI1501),INDEX(tbl_Consulting[Notes],$BI1501)))&amp;"")</f>
        <v/>
      </c>
      <c r="N1501" s="11">
        <f>IF($BI1501="","",IF(IF($B1501="Onsite",INDEX(tbl_Onsite[Expected Revenue Ex GST],$BI1501),IF($B1501="Production",INDEX(tbl_Production[Expected Revenue Ex GST],$BI1501),INDEX(tbl_Consulting[Expected Revenue Ex GST],$BI1501)))="","",IF($B1501="Onsite",INDEX(tbl_Onsite[Expected Revenue Ex GST],$BI1501),IF($B1501="Production",INDEX(tbl_Production[Expected Revenue Ex GST],$BI1501),INDEX(tbl_Consulting[Expected Revenue Ex GST],$BI1501)))))</f>
        <v/>
      </c>
      <c r="O1501" s="11">
        <f>IF(AND($C1501="",NOT(COUNTA($S1501:$BB1501)&gt;0)),"",SUM(U1501,X1501,AA1501,AD1501,AG1501,AJ1501,AM1501,AP1501,AS1501,AV1501,AY1501,BB1501))</f>
        <v/>
      </c>
      <c r="P1501" s="11">
        <f>IF(O1501="","",N(N1501)-O1501)</f>
        <v/>
      </c>
      <c r="Q1501" s="10">
        <f>IF(O1501="","",IF($C1501="","Invoice on empty job row",IF(N1501="",IF(ROUND(O1501,2)=0,"No dept value","Invoiced - no dept value"),IF(ROUND(O1501,2)=0,"Not invoiced - to invoice",IF(ROUND(P1501,2)=0,"Agrees",IF(P1501&gt;0,"Dept higher - to invoice","Xero higher - check dept"))))))</f>
        <v/>
      </c>
      <c r="R1501" s="10">
        <f>IF(AND($C1501="",NOT(COUNTA($S1501:$BB1501)&gt;0),$BI1501&lt;&gt;""),"",MID(IF($BI1501="","; Row ID not found on the department sheet - a row was deleted","")&amp;IF(AND($C1501="",COUNTA($S1501:$BB1501)&gt;0),"; Invoice entered but the department row has no job number","")&amp;IF(E1501="CHECK","; Job number not in the Xero job list","")&amp;IF(AND($C1501&lt;&gt;"",COUNTIF($C$7:$C$1506,$C1501)&gt;1),"; Job number on more than one row","")&amp;IF(AND($C1501&lt;&gt;"",H1501=""),"; Dept has not set a cost centre","")&amp;IF(AND($C1501&lt;&gt;"",J1501=""),"; Dept has not set a tax code","")&amp;IF(AND($C1501&lt;&gt;"",N1501=""),"; Dept has not entered an expected value","")&amp;IF((IF(OR(COUNTA(S1501:U1501)=0,AND(COUNTA(S1501:U1501)=3,ISNUMBER(U1501))),0,1)+IF(OR(COUNTA(V1501:X1501)=0,AND(COUNTA(V1501:X1501)=3,ISNUMBER(X1501))),0,1)+IF(OR(COUNTA(Y1501:AA1501)=0,AND(COUNTA(Y1501:AA1501)=3,ISNUMBER(AA1501))),0,1)+IF(OR(COUNTA(AB1501:AD1501)=0,AND(COUNTA(AB1501:AD1501)=3,ISNUMBER(AD1501))),0,1)+IF(OR(COUNTA(AE1501:AG1501)=0,AND(COUNTA(AE1501:AG1501)=3,ISNUMBER(AG1501))),0,1)+IF(OR(COUNTA(AH1501:AJ1501)=0,AND(COUNTA(AH1501:AJ1501)=3,ISNUMBER(AJ1501))),0,1)+IF(OR(COUNTA(AK1501:AM1501)=0,AND(COUNTA(AK1501:AM1501)=3,ISNUMBER(AM1501))),0,1)+IF(OR(COUNTA(AN1501:AP1501)=0,AND(COUNTA(AN1501:AP1501)=3,ISNUMBER(AP1501))),0,1)+IF(OR(COUNTA(AQ1501:AS1501)=0,AND(COUNTA(AQ1501:AS1501)=3,ISNUMBER(AS1501))),0,1)+IF(OR(COUNTA(AT1501:AV1501)=0,AND(COUNTA(AT1501:AV1501)=3,ISNUMBER(AV1501))),0,1)+IF(OR(COUNTA(AW1501:AY1501)=0,AND(COUNTA(AW1501:AY1501)=3,ISNUMBER(AY1501))),0,1)+IF(OR(COUNTA(AZ1501:BB1501)=0,AND(COUNTA(AZ1501:BB1501)=3,ISNUMBER(BB1501))),0,1))&gt;0,"; An invoice is incomplete (needs No, Date and a number in Ex GST)","")&amp;IF((IF(T1501="",0,IFERROR(--(EOMONTH(T1501,0)&lt;&gt;S$5),1))+IF(W1501="",0,IFERROR(--(EOMONTH(W1501,0)&lt;&gt;V$5),1))+IF(Z1501="",0,IFERROR(--(EOMONTH(Z1501,0)&lt;&gt;Y$5),1))+IF(AC1501="",0,IFERROR(--(EOMONTH(AC1501,0)&lt;&gt;AB$5),1))+IF(AF1501="",0,IFERROR(--(EOMONTH(AF1501,0)&lt;&gt;AE$5),1))+IF(AI1501="",0,IFERROR(--(EOMONTH(AI1501,0)&lt;&gt;AH$5),1))+IF(AL1501="",0,IFERROR(--(EOMONTH(AL1501,0)&lt;&gt;AK$5),1))+IF(AO1501="",0,IFERROR(--(EOMONTH(AO1501,0)&lt;&gt;AN$5),1))+IF(AR1501="",0,IFERROR(--(EOMONTH(AR1501,0)&lt;&gt;AQ$5),1))+IF(AU1501="",0,IFERROR(--(EOMONTH(AU1501,0)&lt;&gt;AT$5),1))+IF(AX1501="",0,IFERROR(--(EOMONTH(AX1501,0)&lt;&gt;AW$5),1))+IF(BA1501="",0,IFERROR(--(EOMONTH(BA1501,0)&lt;&gt;AZ$5),1)))&gt;0,"; An invoice date is not in the month it is typed under",""),3,500))</f>
        <v/>
      </c>
      <c r="S1501" s="12" t="n"/>
      <c r="T1501" s="13" t="n"/>
      <c r="U1501" s="14" t="n"/>
      <c r="V1501" s="12" t="n"/>
      <c r="W1501" s="13" t="n"/>
      <c r="X1501" s="14" t="n"/>
      <c r="Y1501" s="12" t="n"/>
      <c r="Z1501" s="13" t="n"/>
      <c r="AA1501" s="14" t="n"/>
      <c r="AB1501" s="12" t="n"/>
      <c r="AC1501" s="13" t="n"/>
      <c r="AD1501" s="14" t="n"/>
      <c r="AE1501" s="12" t="n"/>
      <c r="AF1501" s="13" t="n"/>
      <c r="AG1501" s="14" t="n"/>
      <c r="AH1501" s="12" t="n"/>
      <c r="AI1501" s="13" t="n"/>
      <c r="AJ1501" s="14" t="n"/>
      <c r="AK1501" s="12" t="n"/>
      <c r="AL1501" s="13" t="n"/>
      <c r="AM1501" s="14" t="n"/>
      <c r="AN1501" s="12" t="n"/>
      <c r="AO1501" s="13" t="n"/>
      <c r="AP1501" s="14" t="n"/>
      <c r="AQ1501" s="12" t="n"/>
      <c r="AR1501" s="13" t="n"/>
      <c r="AS1501" s="14" t="n"/>
      <c r="AT1501" s="12" t="n"/>
      <c r="AU1501" s="13" t="n"/>
      <c r="AV1501" s="14" t="n"/>
      <c r="AW1501" s="12" t="n"/>
      <c r="AX1501" s="13" t="n"/>
      <c r="AY1501" s="14" t="n"/>
      <c r="AZ1501" s="12" t="n"/>
      <c r="BA1501" s="13" t="n"/>
      <c r="BB1501" s="14" t="n"/>
      <c r="BC1501" s="11">
        <f>IF(O1501="","",IF(J1501="GST 10%",ROUND(O1501*set_GSTRate,2),0))</f>
        <v/>
      </c>
      <c r="BD1501" s="11">
        <f>IF(O1501="","",O1501+BC1501)</f>
        <v/>
      </c>
      <c r="BE1501" s="15">
        <f>IF(O1501="","",COUNTA(S1501,V1501,Y1501,AB1501,AE1501,AH1501,AK1501,AN1501,AQ1501,AT1501,AW1501,AZ1501))</f>
        <v/>
      </c>
      <c r="BF1501" s="16">
        <f>IF(COUNT(T1501,W1501,Z1501,AC1501,AF1501,AI1501,AL1501,AO1501,AR1501,AU1501,AX1501,BA1501)=0,"",MAX(T1501,W1501,Z1501,AC1501,AF1501,AI1501,AL1501,AO1501,AR1501,AU1501,AX1501,BA1501))</f>
        <v/>
      </c>
      <c r="BG1501" s="10">
        <f>MID(IF(S1501="","",", "&amp;S1501)&amp;IF(V1501="","",", "&amp;V1501)&amp;IF(Y1501="","",", "&amp;Y1501)&amp;IF(AB1501="","",", "&amp;AB1501)&amp;IF(AE1501="","",", "&amp;AE1501)&amp;IF(AH1501="","",", "&amp;AH1501)&amp;IF(AK1501="","",", "&amp;AK1501)&amp;IF(AN1501="","",", "&amp;AN1501)&amp;IF(AQ1501="","",", "&amp;AQ1501)&amp;IF(AT1501="","",", "&amp;AT1501)&amp;IF(AW1501="","",", "&amp;AW1501)&amp;IF(AZ1501="","",", "&amp;AZ1501),3,500)</f>
        <v/>
      </c>
      <c r="BH1501" s="12" t="n"/>
      <c r="BI1501" s="15">
        <f>IFERROR(MATCH($A1501,IF($B1501="Onsite",tbl_Onsite[Row ID],IF($B1501="Production",tbl_Production[Row ID],tbl_Consulting[Row ID])),0),"")</f>
        <v/>
      </c>
    </row>
    <row r="1502">
      <c r="A1502" s="10" t="inlineStr">
        <is>
          <t>CON-0496</t>
        </is>
      </c>
      <c r="B1502" s="10" t="inlineStr">
        <is>
          <t>Consulting</t>
        </is>
      </c>
      <c r="C1502" s="10">
        <f>IF($BI1502="","",IF($B1502="Onsite",INDEX(tbl_Onsite[Job Number],$BI1502),IF($B1502="Production",INDEX(tbl_Production[Job Number],$BI1502),INDEX(tbl_Consulting[Job Number],$BI1502)))&amp;"")</f>
        <v/>
      </c>
      <c r="D1502" s="10">
        <f>IF($BI1502="","",IF($B1502="Onsite",INDEX(tbl_Onsite[Client],$BI1502),IF($B1502="Production",INDEX(tbl_Production[Client],$BI1502),INDEX(tbl_Consulting[Client],$BI1502)))&amp;"")</f>
        <v/>
      </c>
      <c r="E1502" s="10">
        <f>IF($C1502="","",IF(COUNTIF(lst_Jobs,$C1502)&gt;0,"OK","CHECK"))</f>
        <v/>
      </c>
      <c r="F1502" s="10">
        <f>IF($C1502="","",IFERROR(INDEX(lst_JobName,MATCH($C1502,lst_Jobs,0)),""))</f>
        <v/>
      </c>
      <c r="G1502" s="10">
        <f>IF($BI1502="","",IF($B1502="Onsite",INDEX(tbl_Onsite[Job Description],$BI1502),IF($B1502="Production",INDEX(tbl_Production[Job Description],$BI1502),INDEX(tbl_Consulting[Job Description],$BI1502)))&amp;"")</f>
        <v/>
      </c>
      <c r="H1502" s="10">
        <f>IF($BI1502="","",IF($B1502="Onsite",INDEX(tbl_Onsite[Cost Centre],$BI1502),IF($B1502="Production",INDEX(tbl_Production[Cost Centre],$BI1502),INDEX(tbl_Consulting[Cost Centre],$BI1502)))&amp;"")</f>
        <v/>
      </c>
      <c r="I1502" s="10">
        <f>IF($BI1502="","",IF($B1502="Onsite",INDEX(tbl_Onsite[Invoice Type],$BI1502),IF($B1502="Production",INDEX(tbl_Production[Invoice Type],$BI1502),INDEX(tbl_Consulting[Invoice Type],$BI1502)))&amp;"")</f>
        <v/>
      </c>
      <c r="J1502" s="10">
        <f>IF($BI1502="","",IF($B1502="Onsite",INDEX(tbl_Onsite[Tax Code],$BI1502),IF($B1502="Production",INDEX(tbl_Production[Tax Code],$BI1502),INDEX(tbl_Consulting[Tax Code],$BI1502)))&amp;"")</f>
        <v/>
      </c>
      <c r="K1502" s="10">
        <f>IF(H1502="","",IFERROR(INDEX(lst_CCtoGL,MATCH(H1502,lst_CCforGL,0)),""))</f>
        <v/>
      </c>
      <c r="L1502" s="10">
        <f>IF($BI1502="","",IF($B1502="Onsite",INDEX(tbl_Onsite[PO / Reference],$BI1502),IF($B1502="Production",INDEX(tbl_Production[Current RMS No],$BI1502),INDEX(tbl_Consulting[Qwilr Quote],$BI1502)))&amp;"")</f>
        <v/>
      </c>
      <c r="M1502" s="10">
        <f>IF($BI1502="","",IF($B1502="Onsite",INDEX(tbl_Onsite[Notes],$BI1502),IF($B1502="Production",INDEX(tbl_Production[Notes],$BI1502),INDEX(tbl_Consulting[Notes],$BI1502)))&amp;"")</f>
        <v/>
      </c>
      <c r="N1502" s="11">
        <f>IF($BI1502="","",IF(IF($B1502="Onsite",INDEX(tbl_Onsite[Expected Revenue Ex GST],$BI1502),IF($B1502="Production",INDEX(tbl_Production[Expected Revenue Ex GST],$BI1502),INDEX(tbl_Consulting[Expected Revenue Ex GST],$BI1502)))="","",IF($B1502="Onsite",INDEX(tbl_Onsite[Expected Revenue Ex GST],$BI1502),IF($B1502="Production",INDEX(tbl_Production[Expected Revenue Ex GST],$BI1502),INDEX(tbl_Consulting[Expected Revenue Ex GST],$BI1502)))))</f>
        <v/>
      </c>
      <c r="O1502" s="11">
        <f>IF(AND($C1502="",NOT(COUNTA($S1502:$BB1502)&gt;0)),"",SUM(U1502,X1502,AA1502,AD1502,AG1502,AJ1502,AM1502,AP1502,AS1502,AV1502,AY1502,BB1502))</f>
        <v/>
      </c>
      <c r="P1502" s="11">
        <f>IF(O1502="","",N(N1502)-O1502)</f>
        <v/>
      </c>
      <c r="Q1502" s="10">
        <f>IF(O1502="","",IF($C1502="","Invoice on empty job row",IF(N1502="",IF(ROUND(O1502,2)=0,"No dept value","Invoiced - no dept value"),IF(ROUND(O1502,2)=0,"Not invoiced - to invoice",IF(ROUND(P1502,2)=0,"Agrees",IF(P1502&gt;0,"Dept higher - to invoice","Xero higher - check dept"))))))</f>
        <v/>
      </c>
      <c r="R1502" s="10">
        <f>IF(AND($C1502="",NOT(COUNTA($S1502:$BB1502)&gt;0),$BI1502&lt;&gt;""),"",MID(IF($BI1502="","; Row ID not found on the department sheet - a row was deleted","")&amp;IF(AND($C1502="",COUNTA($S1502:$BB1502)&gt;0),"; Invoice entered but the department row has no job number","")&amp;IF(E1502="CHECK","; Job number not in the Xero job list","")&amp;IF(AND($C1502&lt;&gt;"",COUNTIF($C$7:$C$1506,$C1502)&gt;1),"; Job number on more than one row","")&amp;IF(AND($C1502&lt;&gt;"",H1502=""),"; Dept has not set a cost centre","")&amp;IF(AND($C1502&lt;&gt;"",J1502=""),"; Dept has not set a tax code","")&amp;IF(AND($C1502&lt;&gt;"",N1502=""),"; Dept has not entered an expected value","")&amp;IF((IF(OR(COUNTA(S1502:U1502)=0,AND(COUNTA(S1502:U1502)=3,ISNUMBER(U1502))),0,1)+IF(OR(COUNTA(V1502:X1502)=0,AND(COUNTA(V1502:X1502)=3,ISNUMBER(X1502))),0,1)+IF(OR(COUNTA(Y1502:AA1502)=0,AND(COUNTA(Y1502:AA1502)=3,ISNUMBER(AA1502))),0,1)+IF(OR(COUNTA(AB1502:AD1502)=0,AND(COUNTA(AB1502:AD1502)=3,ISNUMBER(AD1502))),0,1)+IF(OR(COUNTA(AE1502:AG1502)=0,AND(COUNTA(AE1502:AG1502)=3,ISNUMBER(AG1502))),0,1)+IF(OR(COUNTA(AH1502:AJ1502)=0,AND(COUNTA(AH1502:AJ1502)=3,ISNUMBER(AJ1502))),0,1)+IF(OR(COUNTA(AK1502:AM1502)=0,AND(COUNTA(AK1502:AM1502)=3,ISNUMBER(AM1502))),0,1)+IF(OR(COUNTA(AN1502:AP1502)=0,AND(COUNTA(AN1502:AP1502)=3,ISNUMBER(AP1502))),0,1)+IF(OR(COUNTA(AQ1502:AS1502)=0,AND(COUNTA(AQ1502:AS1502)=3,ISNUMBER(AS1502))),0,1)+IF(OR(COUNTA(AT1502:AV1502)=0,AND(COUNTA(AT1502:AV1502)=3,ISNUMBER(AV1502))),0,1)+IF(OR(COUNTA(AW1502:AY1502)=0,AND(COUNTA(AW1502:AY1502)=3,ISNUMBER(AY1502))),0,1)+IF(OR(COUNTA(AZ1502:BB1502)=0,AND(COUNTA(AZ1502:BB1502)=3,ISNUMBER(BB1502))),0,1))&gt;0,"; An invoice is incomplete (needs No, Date and a number in Ex GST)","")&amp;IF((IF(T1502="",0,IFERROR(--(EOMONTH(T1502,0)&lt;&gt;S$5),1))+IF(W1502="",0,IFERROR(--(EOMONTH(W1502,0)&lt;&gt;V$5),1))+IF(Z1502="",0,IFERROR(--(EOMONTH(Z1502,0)&lt;&gt;Y$5),1))+IF(AC1502="",0,IFERROR(--(EOMONTH(AC1502,0)&lt;&gt;AB$5),1))+IF(AF1502="",0,IFERROR(--(EOMONTH(AF1502,0)&lt;&gt;AE$5),1))+IF(AI1502="",0,IFERROR(--(EOMONTH(AI1502,0)&lt;&gt;AH$5),1))+IF(AL1502="",0,IFERROR(--(EOMONTH(AL1502,0)&lt;&gt;AK$5),1))+IF(AO1502="",0,IFERROR(--(EOMONTH(AO1502,0)&lt;&gt;AN$5),1))+IF(AR1502="",0,IFERROR(--(EOMONTH(AR1502,0)&lt;&gt;AQ$5),1))+IF(AU1502="",0,IFERROR(--(EOMONTH(AU1502,0)&lt;&gt;AT$5),1))+IF(AX1502="",0,IFERROR(--(EOMONTH(AX1502,0)&lt;&gt;AW$5),1))+IF(BA1502="",0,IFERROR(--(EOMONTH(BA1502,0)&lt;&gt;AZ$5),1)))&gt;0,"; An invoice date is not in the month it is typed under",""),3,500))</f>
        <v/>
      </c>
      <c r="S1502" s="12" t="n"/>
      <c r="T1502" s="13" t="n"/>
      <c r="U1502" s="14" t="n"/>
      <c r="V1502" s="12" t="n"/>
      <c r="W1502" s="13" t="n"/>
      <c r="X1502" s="14" t="n"/>
      <c r="Y1502" s="12" t="n"/>
      <c r="Z1502" s="13" t="n"/>
      <c r="AA1502" s="14" t="n"/>
      <c r="AB1502" s="12" t="n"/>
      <c r="AC1502" s="13" t="n"/>
      <c r="AD1502" s="14" t="n"/>
      <c r="AE1502" s="12" t="n"/>
      <c r="AF1502" s="13" t="n"/>
      <c r="AG1502" s="14" t="n"/>
      <c r="AH1502" s="12" t="n"/>
      <c r="AI1502" s="13" t="n"/>
      <c r="AJ1502" s="14" t="n"/>
      <c r="AK1502" s="12" t="n"/>
      <c r="AL1502" s="13" t="n"/>
      <c r="AM1502" s="14" t="n"/>
      <c r="AN1502" s="12" t="n"/>
      <c r="AO1502" s="13" t="n"/>
      <c r="AP1502" s="14" t="n"/>
      <c r="AQ1502" s="12" t="n"/>
      <c r="AR1502" s="13" t="n"/>
      <c r="AS1502" s="14" t="n"/>
      <c r="AT1502" s="12" t="n"/>
      <c r="AU1502" s="13" t="n"/>
      <c r="AV1502" s="14" t="n"/>
      <c r="AW1502" s="12" t="n"/>
      <c r="AX1502" s="13" t="n"/>
      <c r="AY1502" s="14" t="n"/>
      <c r="AZ1502" s="12" t="n"/>
      <c r="BA1502" s="13" t="n"/>
      <c r="BB1502" s="14" t="n"/>
      <c r="BC1502" s="11">
        <f>IF(O1502="","",IF(J1502="GST 10%",ROUND(O1502*set_GSTRate,2),0))</f>
        <v/>
      </c>
      <c r="BD1502" s="11">
        <f>IF(O1502="","",O1502+BC1502)</f>
        <v/>
      </c>
      <c r="BE1502" s="15">
        <f>IF(O1502="","",COUNTA(S1502,V1502,Y1502,AB1502,AE1502,AH1502,AK1502,AN1502,AQ1502,AT1502,AW1502,AZ1502))</f>
        <v/>
      </c>
      <c r="BF1502" s="16">
        <f>IF(COUNT(T1502,W1502,Z1502,AC1502,AF1502,AI1502,AL1502,AO1502,AR1502,AU1502,AX1502,BA1502)=0,"",MAX(T1502,W1502,Z1502,AC1502,AF1502,AI1502,AL1502,AO1502,AR1502,AU1502,AX1502,BA1502))</f>
        <v/>
      </c>
      <c r="BG1502" s="10">
        <f>MID(IF(S1502="","",", "&amp;S1502)&amp;IF(V1502="","",", "&amp;V1502)&amp;IF(Y1502="","",", "&amp;Y1502)&amp;IF(AB1502="","",", "&amp;AB1502)&amp;IF(AE1502="","",", "&amp;AE1502)&amp;IF(AH1502="","",", "&amp;AH1502)&amp;IF(AK1502="","",", "&amp;AK1502)&amp;IF(AN1502="","",", "&amp;AN1502)&amp;IF(AQ1502="","",", "&amp;AQ1502)&amp;IF(AT1502="","",", "&amp;AT1502)&amp;IF(AW1502="","",", "&amp;AW1502)&amp;IF(AZ1502="","",", "&amp;AZ1502),3,500)</f>
        <v/>
      </c>
      <c r="BH1502" s="12" t="n"/>
      <c r="BI1502" s="15">
        <f>IFERROR(MATCH($A1502,IF($B1502="Onsite",tbl_Onsite[Row ID],IF($B1502="Production",tbl_Production[Row ID],tbl_Consulting[Row ID])),0),"")</f>
        <v/>
      </c>
    </row>
    <row r="1503">
      <c r="A1503" s="10" t="inlineStr">
        <is>
          <t>CON-0497</t>
        </is>
      </c>
      <c r="B1503" s="10" t="inlineStr">
        <is>
          <t>Consulting</t>
        </is>
      </c>
      <c r="C1503" s="10">
        <f>IF($BI1503="","",IF($B1503="Onsite",INDEX(tbl_Onsite[Job Number],$BI1503),IF($B1503="Production",INDEX(tbl_Production[Job Number],$BI1503),INDEX(tbl_Consulting[Job Number],$BI1503)))&amp;"")</f>
        <v/>
      </c>
      <c r="D1503" s="10">
        <f>IF($BI1503="","",IF($B1503="Onsite",INDEX(tbl_Onsite[Client],$BI1503),IF($B1503="Production",INDEX(tbl_Production[Client],$BI1503),INDEX(tbl_Consulting[Client],$BI1503)))&amp;"")</f>
        <v/>
      </c>
      <c r="E1503" s="10">
        <f>IF($C1503="","",IF(COUNTIF(lst_Jobs,$C1503)&gt;0,"OK","CHECK"))</f>
        <v/>
      </c>
      <c r="F1503" s="10">
        <f>IF($C1503="","",IFERROR(INDEX(lst_JobName,MATCH($C1503,lst_Jobs,0)),""))</f>
        <v/>
      </c>
      <c r="G1503" s="10">
        <f>IF($BI1503="","",IF($B1503="Onsite",INDEX(tbl_Onsite[Job Description],$BI1503),IF($B1503="Production",INDEX(tbl_Production[Job Description],$BI1503),INDEX(tbl_Consulting[Job Description],$BI1503)))&amp;"")</f>
        <v/>
      </c>
      <c r="H1503" s="10">
        <f>IF($BI1503="","",IF($B1503="Onsite",INDEX(tbl_Onsite[Cost Centre],$BI1503),IF($B1503="Production",INDEX(tbl_Production[Cost Centre],$BI1503),INDEX(tbl_Consulting[Cost Centre],$BI1503)))&amp;"")</f>
        <v/>
      </c>
      <c r="I1503" s="10">
        <f>IF($BI1503="","",IF($B1503="Onsite",INDEX(tbl_Onsite[Invoice Type],$BI1503),IF($B1503="Production",INDEX(tbl_Production[Invoice Type],$BI1503),INDEX(tbl_Consulting[Invoice Type],$BI1503)))&amp;"")</f>
        <v/>
      </c>
      <c r="J1503" s="10">
        <f>IF($BI1503="","",IF($B1503="Onsite",INDEX(tbl_Onsite[Tax Code],$BI1503),IF($B1503="Production",INDEX(tbl_Production[Tax Code],$BI1503),INDEX(tbl_Consulting[Tax Code],$BI1503)))&amp;"")</f>
        <v/>
      </c>
      <c r="K1503" s="10">
        <f>IF(H1503="","",IFERROR(INDEX(lst_CCtoGL,MATCH(H1503,lst_CCforGL,0)),""))</f>
        <v/>
      </c>
      <c r="L1503" s="10">
        <f>IF($BI1503="","",IF($B1503="Onsite",INDEX(tbl_Onsite[PO / Reference],$BI1503),IF($B1503="Production",INDEX(tbl_Production[Current RMS No],$BI1503),INDEX(tbl_Consulting[Qwilr Quote],$BI1503)))&amp;"")</f>
        <v/>
      </c>
      <c r="M1503" s="10">
        <f>IF($BI1503="","",IF($B1503="Onsite",INDEX(tbl_Onsite[Notes],$BI1503),IF($B1503="Production",INDEX(tbl_Production[Notes],$BI1503),INDEX(tbl_Consulting[Notes],$BI1503)))&amp;"")</f>
        <v/>
      </c>
      <c r="N1503" s="11">
        <f>IF($BI1503="","",IF(IF($B1503="Onsite",INDEX(tbl_Onsite[Expected Revenue Ex GST],$BI1503),IF($B1503="Production",INDEX(tbl_Production[Expected Revenue Ex GST],$BI1503),INDEX(tbl_Consulting[Expected Revenue Ex GST],$BI1503)))="","",IF($B1503="Onsite",INDEX(tbl_Onsite[Expected Revenue Ex GST],$BI1503),IF($B1503="Production",INDEX(tbl_Production[Expected Revenue Ex GST],$BI1503),INDEX(tbl_Consulting[Expected Revenue Ex GST],$BI1503)))))</f>
        <v/>
      </c>
      <c r="O1503" s="11">
        <f>IF(AND($C1503="",NOT(COUNTA($S1503:$BB1503)&gt;0)),"",SUM(U1503,X1503,AA1503,AD1503,AG1503,AJ1503,AM1503,AP1503,AS1503,AV1503,AY1503,BB1503))</f>
        <v/>
      </c>
      <c r="P1503" s="11">
        <f>IF(O1503="","",N(N1503)-O1503)</f>
        <v/>
      </c>
      <c r="Q1503" s="10">
        <f>IF(O1503="","",IF($C1503="","Invoice on empty job row",IF(N1503="",IF(ROUND(O1503,2)=0,"No dept value","Invoiced - no dept value"),IF(ROUND(O1503,2)=0,"Not invoiced - to invoice",IF(ROUND(P1503,2)=0,"Agrees",IF(P1503&gt;0,"Dept higher - to invoice","Xero higher - check dept"))))))</f>
        <v/>
      </c>
      <c r="R1503" s="10">
        <f>IF(AND($C1503="",NOT(COUNTA($S1503:$BB1503)&gt;0),$BI1503&lt;&gt;""),"",MID(IF($BI1503="","; Row ID not found on the department sheet - a row was deleted","")&amp;IF(AND($C1503="",COUNTA($S1503:$BB1503)&gt;0),"; Invoice entered but the department row has no job number","")&amp;IF(E1503="CHECK","; Job number not in the Xero job list","")&amp;IF(AND($C1503&lt;&gt;"",COUNTIF($C$7:$C$1506,$C1503)&gt;1),"; Job number on more than one row","")&amp;IF(AND($C1503&lt;&gt;"",H1503=""),"; Dept has not set a cost centre","")&amp;IF(AND($C1503&lt;&gt;"",J1503=""),"; Dept has not set a tax code","")&amp;IF(AND($C1503&lt;&gt;"",N1503=""),"; Dept has not entered an expected value","")&amp;IF((IF(OR(COUNTA(S1503:U1503)=0,AND(COUNTA(S1503:U1503)=3,ISNUMBER(U1503))),0,1)+IF(OR(COUNTA(V1503:X1503)=0,AND(COUNTA(V1503:X1503)=3,ISNUMBER(X1503))),0,1)+IF(OR(COUNTA(Y1503:AA1503)=0,AND(COUNTA(Y1503:AA1503)=3,ISNUMBER(AA1503))),0,1)+IF(OR(COUNTA(AB1503:AD1503)=0,AND(COUNTA(AB1503:AD1503)=3,ISNUMBER(AD1503))),0,1)+IF(OR(COUNTA(AE1503:AG1503)=0,AND(COUNTA(AE1503:AG1503)=3,ISNUMBER(AG1503))),0,1)+IF(OR(COUNTA(AH1503:AJ1503)=0,AND(COUNTA(AH1503:AJ1503)=3,ISNUMBER(AJ1503))),0,1)+IF(OR(COUNTA(AK1503:AM1503)=0,AND(COUNTA(AK1503:AM1503)=3,ISNUMBER(AM1503))),0,1)+IF(OR(COUNTA(AN1503:AP1503)=0,AND(COUNTA(AN1503:AP1503)=3,ISNUMBER(AP1503))),0,1)+IF(OR(COUNTA(AQ1503:AS1503)=0,AND(COUNTA(AQ1503:AS1503)=3,ISNUMBER(AS1503))),0,1)+IF(OR(COUNTA(AT1503:AV1503)=0,AND(COUNTA(AT1503:AV1503)=3,ISNUMBER(AV1503))),0,1)+IF(OR(COUNTA(AW1503:AY1503)=0,AND(COUNTA(AW1503:AY1503)=3,ISNUMBER(AY1503))),0,1)+IF(OR(COUNTA(AZ1503:BB1503)=0,AND(COUNTA(AZ1503:BB1503)=3,ISNUMBER(BB1503))),0,1))&gt;0,"; An invoice is incomplete (needs No, Date and a number in Ex GST)","")&amp;IF((IF(T1503="",0,IFERROR(--(EOMONTH(T1503,0)&lt;&gt;S$5),1))+IF(W1503="",0,IFERROR(--(EOMONTH(W1503,0)&lt;&gt;V$5),1))+IF(Z1503="",0,IFERROR(--(EOMONTH(Z1503,0)&lt;&gt;Y$5),1))+IF(AC1503="",0,IFERROR(--(EOMONTH(AC1503,0)&lt;&gt;AB$5),1))+IF(AF1503="",0,IFERROR(--(EOMONTH(AF1503,0)&lt;&gt;AE$5),1))+IF(AI1503="",0,IFERROR(--(EOMONTH(AI1503,0)&lt;&gt;AH$5),1))+IF(AL1503="",0,IFERROR(--(EOMONTH(AL1503,0)&lt;&gt;AK$5),1))+IF(AO1503="",0,IFERROR(--(EOMONTH(AO1503,0)&lt;&gt;AN$5),1))+IF(AR1503="",0,IFERROR(--(EOMONTH(AR1503,0)&lt;&gt;AQ$5),1))+IF(AU1503="",0,IFERROR(--(EOMONTH(AU1503,0)&lt;&gt;AT$5),1))+IF(AX1503="",0,IFERROR(--(EOMONTH(AX1503,0)&lt;&gt;AW$5),1))+IF(BA1503="",0,IFERROR(--(EOMONTH(BA1503,0)&lt;&gt;AZ$5),1)))&gt;0,"; An invoice date is not in the month it is typed under",""),3,500))</f>
        <v/>
      </c>
      <c r="S1503" s="12" t="n"/>
      <c r="T1503" s="13" t="n"/>
      <c r="U1503" s="14" t="n"/>
      <c r="V1503" s="12" t="n"/>
      <c r="W1503" s="13" t="n"/>
      <c r="X1503" s="14" t="n"/>
      <c r="Y1503" s="12" t="n"/>
      <c r="Z1503" s="13" t="n"/>
      <c r="AA1503" s="14" t="n"/>
      <c r="AB1503" s="12" t="n"/>
      <c r="AC1503" s="13" t="n"/>
      <c r="AD1503" s="14" t="n"/>
      <c r="AE1503" s="12" t="n"/>
      <c r="AF1503" s="13" t="n"/>
      <c r="AG1503" s="14" t="n"/>
      <c r="AH1503" s="12" t="n"/>
      <c r="AI1503" s="13" t="n"/>
      <c r="AJ1503" s="14" t="n"/>
      <c r="AK1503" s="12" t="n"/>
      <c r="AL1503" s="13" t="n"/>
      <c r="AM1503" s="14" t="n"/>
      <c r="AN1503" s="12" t="n"/>
      <c r="AO1503" s="13" t="n"/>
      <c r="AP1503" s="14" t="n"/>
      <c r="AQ1503" s="12" t="n"/>
      <c r="AR1503" s="13" t="n"/>
      <c r="AS1503" s="14" t="n"/>
      <c r="AT1503" s="12" t="n"/>
      <c r="AU1503" s="13" t="n"/>
      <c r="AV1503" s="14" t="n"/>
      <c r="AW1503" s="12" t="n"/>
      <c r="AX1503" s="13" t="n"/>
      <c r="AY1503" s="14" t="n"/>
      <c r="AZ1503" s="12" t="n"/>
      <c r="BA1503" s="13" t="n"/>
      <c r="BB1503" s="14" t="n"/>
      <c r="BC1503" s="11">
        <f>IF(O1503="","",IF(J1503="GST 10%",ROUND(O1503*set_GSTRate,2),0))</f>
        <v/>
      </c>
      <c r="BD1503" s="11">
        <f>IF(O1503="","",O1503+BC1503)</f>
        <v/>
      </c>
      <c r="BE1503" s="15">
        <f>IF(O1503="","",COUNTA(S1503,V1503,Y1503,AB1503,AE1503,AH1503,AK1503,AN1503,AQ1503,AT1503,AW1503,AZ1503))</f>
        <v/>
      </c>
      <c r="BF1503" s="16">
        <f>IF(COUNT(T1503,W1503,Z1503,AC1503,AF1503,AI1503,AL1503,AO1503,AR1503,AU1503,AX1503,BA1503)=0,"",MAX(T1503,W1503,Z1503,AC1503,AF1503,AI1503,AL1503,AO1503,AR1503,AU1503,AX1503,BA1503))</f>
        <v/>
      </c>
      <c r="BG1503" s="10">
        <f>MID(IF(S1503="","",", "&amp;S1503)&amp;IF(V1503="","",", "&amp;V1503)&amp;IF(Y1503="","",", "&amp;Y1503)&amp;IF(AB1503="","",", "&amp;AB1503)&amp;IF(AE1503="","",", "&amp;AE1503)&amp;IF(AH1503="","",", "&amp;AH1503)&amp;IF(AK1503="","",", "&amp;AK1503)&amp;IF(AN1503="","",", "&amp;AN1503)&amp;IF(AQ1503="","",", "&amp;AQ1503)&amp;IF(AT1503="","",", "&amp;AT1503)&amp;IF(AW1503="","",", "&amp;AW1503)&amp;IF(AZ1503="","",", "&amp;AZ1503),3,500)</f>
        <v/>
      </c>
      <c r="BH1503" s="12" t="n"/>
      <c r="BI1503" s="15">
        <f>IFERROR(MATCH($A1503,IF($B1503="Onsite",tbl_Onsite[Row ID],IF($B1503="Production",tbl_Production[Row ID],tbl_Consulting[Row ID])),0),"")</f>
        <v/>
      </c>
    </row>
    <row r="1504">
      <c r="A1504" s="10" t="inlineStr">
        <is>
          <t>CON-0498</t>
        </is>
      </c>
      <c r="B1504" s="10" t="inlineStr">
        <is>
          <t>Consulting</t>
        </is>
      </c>
      <c r="C1504" s="10">
        <f>IF($BI1504="","",IF($B1504="Onsite",INDEX(tbl_Onsite[Job Number],$BI1504),IF($B1504="Production",INDEX(tbl_Production[Job Number],$BI1504),INDEX(tbl_Consulting[Job Number],$BI1504)))&amp;"")</f>
        <v/>
      </c>
      <c r="D1504" s="10">
        <f>IF($BI1504="","",IF($B1504="Onsite",INDEX(tbl_Onsite[Client],$BI1504),IF($B1504="Production",INDEX(tbl_Production[Client],$BI1504),INDEX(tbl_Consulting[Client],$BI1504)))&amp;"")</f>
        <v/>
      </c>
      <c r="E1504" s="10">
        <f>IF($C1504="","",IF(COUNTIF(lst_Jobs,$C1504)&gt;0,"OK","CHECK"))</f>
        <v/>
      </c>
      <c r="F1504" s="10">
        <f>IF($C1504="","",IFERROR(INDEX(lst_JobName,MATCH($C1504,lst_Jobs,0)),""))</f>
        <v/>
      </c>
      <c r="G1504" s="10">
        <f>IF($BI1504="","",IF($B1504="Onsite",INDEX(tbl_Onsite[Job Description],$BI1504),IF($B1504="Production",INDEX(tbl_Production[Job Description],$BI1504),INDEX(tbl_Consulting[Job Description],$BI1504)))&amp;"")</f>
        <v/>
      </c>
      <c r="H1504" s="10">
        <f>IF($BI1504="","",IF($B1504="Onsite",INDEX(tbl_Onsite[Cost Centre],$BI1504),IF($B1504="Production",INDEX(tbl_Production[Cost Centre],$BI1504),INDEX(tbl_Consulting[Cost Centre],$BI1504)))&amp;"")</f>
        <v/>
      </c>
      <c r="I1504" s="10">
        <f>IF($BI1504="","",IF($B1504="Onsite",INDEX(tbl_Onsite[Invoice Type],$BI1504),IF($B1504="Production",INDEX(tbl_Production[Invoice Type],$BI1504),INDEX(tbl_Consulting[Invoice Type],$BI1504)))&amp;"")</f>
        <v/>
      </c>
      <c r="J1504" s="10">
        <f>IF($BI1504="","",IF($B1504="Onsite",INDEX(tbl_Onsite[Tax Code],$BI1504),IF($B1504="Production",INDEX(tbl_Production[Tax Code],$BI1504),INDEX(tbl_Consulting[Tax Code],$BI1504)))&amp;"")</f>
        <v/>
      </c>
      <c r="K1504" s="10">
        <f>IF(H1504="","",IFERROR(INDEX(lst_CCtoGL,MATCH(H1504,lst_CCforGL,0)),""))</f>
        <v/>
      </c>
      <c r="L1504" s="10">
        <f>IF($BI1504="","",IF($B1504="Onsite",INDEX(tbl_Onsite[PO / Reference],$BI1504),IF($B1504="Production",INDEX(tbl_Production[Current RMS No],$BI1504),INDEX(tbl_Consulting[Qwilr Quote],$BI1504)))&amp;"")</f>
        <v/>
      </c>
      <c r="M1504" s="10">
        <f>IF($BI1504="","",IF($B1504="Onsite",INDEX(tbl_Onsite[Notes],$BI1504),IF($B1504="Production",INDEX(tbl_Production[Notes],$BI1504),INDEX(tbl_Consulting[Notes],$BI1504)))&amp;"")</f>
        <v/>
      </c>
      <c r="N1504" s="11">
        <f>IF($BI1504="","",IF(IF($B1504="Onsite",INDEX(tbl_Onsite[Expected Revenue Ex GST],$BI1504),IF($B1504="Production",INDEX(tbl_Production[Expected Revenue Ex GST],$BI1504),INDEX(tbl_Consulting[Expected Revenue Ex GST],$BI1504)))="","",IF($B1504="Onsite",INDEX(tbl_Onsite[Expected Revenue Ex GST],$BI1504),IF($B1504="Production",INDEX(tbl_Production[Expected Revenue Ex GST],$BI1504),INDEX(tbl_Consulting[Expected Revenue Ex GST],$BI1504)))))</f>
        <v/>
      </c>
      <c r="O1504" s="11">
        <f>IF(AND($C1504="",NOT(COUNTA($S1504:$BB1504)&gt;0)),"",SUM(U1504,X1504,AA1504,AD1504,AG1504,AJ1504,AM1504,AP1504,AS1504,AV1504,AY1504,BB1504))</f>
        <v/>
      </c>
      <c r="P1504" s="11">
        <f>IF(O1504="","",N(N1504)-O1504)</f>
        <v/>
      </c>
      <c r="Q1504" s="10">
        <f>IF(O1504="","",IF($C1504="","Invoice on empty job row",IF(N1504="",IF(ROUND(O1504,2)=0,"No dept value","Invoiced - no dept value"),IF(ROUND(O1504,2)=0,"Not invoiced - to invoice",IF(ROUND(P1504,2)=0,"Agrees",IF(P1504&gt;0,"Dept higher - to invoice","Xero higher - check dept"))))))</f>
        <v/>
      </c>
      <c r="R1504" s="10">
        <f>IF(AND($C1504="",NOT(COUNTA($S1504:$BB1504)&gt;0),$BI1504&lt;&gt;""),"",MID(IF($BI1504="","; Row ID not found on the department sheet - a row was deleted","")&amp;IF(AND($C1504="",COUNTA($S1504:$BB1504)&gt;0),"; Invoice entered but the department row has no job number","")&amp;IF(E1504="CHECK","; Job number not in the Xero job list","")&amp;IF(AND($C1504&lt;&gt;"",COUNTIF($C$7:$C$1506,$C1504)&gt;1),"; Job number on more than one row","")&amp;IF(AND($C1504&lt;&gt;"",H1504=""),"; Dept has not set a cost centre","")&amp;IF(AND($C1504&lt;&gt;"",J1504=""),"; Dept has not set a tax code","")&amp;IF(AND($C1504&lt;&gt;"",N1504=""),"; Dept has not entered an expected value","")&amp;IF((IF(OR(COUNTA(S1504:U1504)=0,AND(COUNTA(S1504:U1504)=3,ISNUMBER(U1504))),0,1)+IF(OR(COUNTA(V1504:X1504)=0,AND(COUNTA(V1504:X1504)=3,ISNUMBER(X1504))),0,1)+IF(OR(COUNTA(Y1504:AA1504)=0,AND(COUNTA(Y1504:AA1504)=3,ISNUMBER(AA1504))),0,1)+IF(OR(COUNTA(AB1504:AD1504)=0,AND(COUNTA(AB1504:AD1504)=3,ISNUMBER(AD1504))),0,1)+IF(OR(COUNTA(AE1504:AG1504)=0,AND(COUNTA(AE1504:AG1504)=3,ISNUMBER(AG1504))),0,1)+IF(OR(COUNTA(AH1504:AJ1504)=0,AND(COUNTA(AH1504:AJ1504)=3,ISNUMBER(AJ1504))),0,1)+IF(OR(COUNTA(AK1504:AM1504)=0,AND(COUNTA(AK1504:AM1504)=3,ISNUMBER(AM1504))),0,1)+IF(OR(COUNTA(AN1504:AP1504)=0,AND(COUNTA(AN1504:AP1504)=3,ISNUMBER(AP1504))),0,1)+IF(OR(COUNTA(AQ1504:AS1504)=0,AND(COUNTA(AQ1504:AS1504)=3,ISNUMBER(AS1504))),0,1)+IF(OR(COUNTA(AT1504:AV1504)=0,AND(COUNTA(AT1504:AV1504)=3,ISNUMBER(AV1504))),0,1)+IF(OR(COUNTA(AW1504:AY1504)=0,AND(COUNTA(AW1504:AY1504)=3,ISNUMBER(AY1504))),0,1)+IF(OR(COUNTA(AZ1504:BB1504)=0,AND(COUNTA(AZ1504:BB1504)=3,ISNUMBER(BB1504))),0,1))&gt;0,"; An invoice is incomplete (needs No, Date and a number in Ex GST)","")&amp;IF((IF(T1504="",0,IFERROR(--(EOMONTH(T1504,0)&lt;&gt;S$5),1))+IF(W1504="",0,IFERROR(--(EOMONTH(W1504,0)&lt;&gt;V$5),1))+IF(Z1504="",0,IFERROR(--(EOMONTH(Z1504,0)&lt;&gt;Y$5),1))+IF(AC1504="",0,IFERROR(--(EOMONTH(AC1504,0)&lt;&gt;AB$5),1))+IF(AF1504="",0,IFERROR(--(EOMONTH(AF1504,0)&lt;&gt;AE$5),1))+IF(AI1504="",0,IFERROR(--(EOMONTH(AI1504,0)&lt;&gt;AH$5),1))+IF(AL1504="",0,IFERROR(--(EOMONTH(AL1504,0)&lt;&gt;AK$5),1))+IF(AO1504="",0,IFERROR(--(EOMONTH(AO1504,0)&lt;&gt;AN$5),1))+IF(AR1504="",0,IFERROR(--(EOMONTH(AR1504,0)&lt;&gt;AQ$5),1))+IF(AU1504="",0,IFERROR(--(EOMONTH(AU1504,0)&lt;&gt;AT$5),1))+IF(AX1504="",0,IFERROR(--(EOMONTH(AX1504,0)&lt;&gt;AW$5),1))+IF(BA1504="",0,IFERROR(--(EOMONTH(BA1504,0)&lt;&gt;AZ$5),1)))&gt;0,"; An invoice date is not in the month it is typed under",""),3,500))</f>
        <v/>
      </c>
      <c r="S1504" s="12" t="n"/>
      <c r="T1504" s="13" t="n"/>
      <c r="U1504" s="14" t="n"/>
      <c r="V1504" s="12" t="n"/>
      <c r="W1504" s="13" t="n"/>
      <c r="X1504" s="14" t="n"/>
      <c r="Y1504" s="12" t="n"/>
      <c r="Z1504" s="13" t="n"/>
      <c r="AA1504" s="14" t="n"/>
      <c r="AB1504" s="12" t="n"/>
      <c r="AC1504" s="13" t="n"/>
      <c r="AD1504" s="14" t="n"/>
      <c r="AE1504" s="12" t="n"/>
      <c r="AF1504" s="13" t="n"/>
      <c r="AG1504" s="14" t="n"/>
      <c r="AH1504" s="12" t="n"/>
      <c r="AI1504" s="13" t="n"/>
      <c r="AJ1504" s="14" t="n"/>
      <c r="AK1504" s="12" t="n"/>
      <c r="AL1504" s="13" t="n"/>
      <c r="AM1504" s="14" t="n"/>
      <c r="AN1504" s="12" t="n"/>
      <c r="AO1504" s="13" t="n"/>
      <c r="AP1504" s="14" t="n"/>
      <c r="AQ1504" s="12" t="n"/>
      <c r="AR1504" s="13" t="n"/>
      <c r="AS1504" s="14" t="n"/>
      <c r="AT1504" s="12" t="n"/>
      <c r="AU1504" s="13" t="n"/>
      <c r="AV1504" s="14" t="n"/>
      <c r="AW1504" s="12" t="n"/>
      <c r="AX1504" s="13" t="n"/>
      <c r="AY1504" s="14" t="n"/>
      <c r="AZ1504" s="12" t="n"/>
      <c r="BA1504" s="13" t="n"/>
      <c r="BB1504" s="14" t="n"/>
      <c r="BC1504" s="11">
        <f>IF(O1504="","",IF(J1504="GST 10%",ROUND(O1504*set_GSTRate,2),0))</f>
        <v/>
      </c>
      <c r="BD1504" s="11">
        <f>IF(O1504="","",O1504+BC1504)</f>
        <v/>
      </c>
      <c r="BE1504" s="15">
        <f>IF(O1504="","",COUNTA(S1504,V1504,Y1504,AB1504,AE1504,AH1504,AK1504,AN1504,AQ1504,AT1504,AW1504,AZ1504))</f>
        <v/>
      </c>
      <c r="BF1504" s="16">
        <f>IF(COUNT(T1504,W1504,Z1504,AC1504,AF1504,AI1504,AL1504,AO1504,AR1504,AU1504,AX1504,BA1504)=0,"",MAX(T1504,W1504,Z1504,AC1504,AF1504,AI1504,AL1504,AO1504,AR1504,AU1504,AX1504,BA1504))</f>
        <v/>
      </c>
      <c r="BG1504" s="10">
        <f>MID(IF(S1504="","",", "&amp;S1504)&amp;IF(V1504="","",", "&amp;V1504)&amp;IF(Y1504="","",", "&amp;Y1504)&amp;IF(AB1504="","",", "&amp;AB1504)&amp;IF(AE1504="","",", "&amp;AE1504)&amp;IF(AH1504="","",", "&amp;AH1504)&amp;IF(AK1504="","",", "&amp;AK1504)&amp;IF(AN1504="","",", "&amp;AN1504)&amp;IF(AQ1504="","",", "&amp;AQ1504)&amp;IF(AT1504="","",", "&amp;AT1504)&amp;IF(AW1504="","",", "&amp;AW1504)&amp;IF(AZ1504="","",", "&amp;AZ1504),3,500)</f>
        <v/>
      </c>
      <c r="BH1504" s="12" t="n"/>
      <c r="BI1504" s="15">
        <f>IFERROR(MATCH($A1504,IF($B1504="Onsite",tbl_Onsite[Row ID],IF($B1504="Production",tbl_Production[Row ID],tbl_Consulting[Row ID])),0),"")</f>
        <v/>
      </c>
    </row>
    <row r="1505">
      <c r="A1505" s="10" t="inlineStr">
        <is>
          <t>CON-0499</t>
        </is>
      </c>
      <c r="B1505" s="10" t="inlineStr">
        <is>
          <t>Consulting</t>
        </is>
      </c>
      <c r="C1505" s="10">
        <f>IF($BI1505="","",IF($B1505="Onsite",INDEX(tbl_Onsite[Job Number],$BI1505),IF($B1505="Production",INDEX(tbl_Production[Job Number],$BI1505),INDEX(tbl_Consulting[Job Number],$BI1505)))&amp;"")</f>
        <v/>
      </c>
      <c r="D1505" s="10">
        <f>IF($BI1505="","",IF($B1505="Onsite",INDEX(tbl_Onsite[Client],$BI1505),IF($B1505="Production",INDEX(tbl_Production[Client],$BI1505),INDEX(tbl_Consulting[Client],$BI1505)))&amp;"")</f>
        <v/>
      </c>
      <c r="E1505" s="10">
        <f>IF($C1505="","",IF(COUNTIF(lst_Jobs,$C1505)&gt;0,"OK","CHECK"))</f>
        <v/>
      </c>
      <c r="F1505" s="10">
        <f>IF($C1505="","",IFERROR(INDEX(lst_JobName,MATCH($C1505,lst_Jobs,0)),""))</f>
        <v/>
      </c>
      <c r="G1505" s="10">
        <f>IF($BI1505="","",IF($B1505="Onsite",INDEX(tbl_Onsite[Job Description],$BI1505),IF($B1505="Production",INDEX(tbl_Production[Job Description],$BI1505),INDEX(tbl_Consulting[Job Description],$BI1505)))&amp;"")</f>
        <v/>
      </c>
      <c r="H1505" s="10">
        <f>IF($BI1505="","",IF($B1505="Onsite",INDEX(tbl_Onsite[Cost Centre],$BI1505),IF($B1505="Production",INDEX(tbl_Production[Cost Centre],$BI1505),INDEX(tbl_Consulting[Cost Centre],$BI1505)))&amp;"")</f>
        <v/>
      </c>
      <c r="I1505" s="10">
        <f>IF($BI1505="","",IF($B1505="Onsite",INDEX(tbl_Onsite[Invoice Type],$BI1505),IF($B1505="Production",INDEX(tbl_Production[Invoice Type],$BI1505),INDEX(tbl_Consulting[Invoice Type],$BI1505)))&amp;"")</f>
        <v/>
      </c>
      <c r="J1505" s="10">
        <f>IF($BI1505="","",IF($B1505="Onsite",INDEX(tbl_Onsite[Tax Code],$BI1505),IF($B1505="Production",INDEX(tbl_Production[Tax Code],$BI1505),INDEX(tbl_Consulting[Tax Code],$BI1505)))&amp;"")</f>
        <v/>
      </c>
      <c r="K1505" s="10">
        <f>IF(H1505="","",IFERROR(INDEX(lst_CCtoGL,MATCH(H1505,lst_CCforGL,0)),""))</f>
        <v/>
      </c>
      <c r="L1505" s="10">
        <f>IF($BI1505="","",IF($B1505="Onsite",INDEX(tbl_Onsite[PO / Reference],$BI1505),IF($B1505="Production",INDEX(tbl_Production[Current RMS No],$BI1505),INDEX(tbl_Consulting[Qwilr Quote],$BI1505)))&amp;"")</f>
        <v/>
      </c>
      <c r="M1505" s="10">
        <f>IF($BI1505="","",IF($B1505="Onsite",INDEX(tbl_Onsite[Notes],$BI1505),IF($B1505="Production",INDEX(tbl_Production[Notes],$BI1505),INDEX(tbl_Consulting[Notes],$BI1505)))&amp;"")</f>
        <v/>
      </c>
      <c r="N1505" s="11">
        <f>IF($BI1505="","",IF(IF($B1505="Onsite",INDEX(tbl_Onsite[Expected Revenue Ex GST],$BI1505),IF($B1505="Production",INDEX(tbl_Production[Expected Revenue Ex GST],$BI1505),INDEX(tbl_Consulting[Expected Revenue Ex GST],$BI1505)))="","",IF($B1505="Onsite",INDEX(tbl_Onsite[Expected Revenue Ex GST],$BI1505),IF($B1505="Production",INDEX(tbl_Production[Expected Revenue Ex GST],$BI1505),INDEX(tbl_Consulting[Expected Revenue Ex GST],$BI1505)))))</f>
        <v/>
      </c>
      <c r="O1505" s="11">
        <f>IF(AND($C1505="",NOT(COUNTA($S1505:$BB1505)&gt;0)),"",SUM(U1505,X1505,AA1505,AD1505,AG1505,AJ1505,AM1505,AP1505,AS1505,AV1505,AY1505,BB1505))</f>
        <v/>
      </c>
      <c r="P1505" s="11">
        <f>IF(O1505="","",N(N1505)-O1505)</f>
        <v/>
      </c>
      <c r="Q1505" s="10">
        <f>IF(O1505="","",IF($C1505="","Invoice on empty job row",IF(N1505="",IF(ROUND(O1505,2)=0,"No dept value","Invoiced - no dept value"),IF(ROUND(O1505,2)=0,"Not invoiced - to invoice",IF(ROUND(P1505,2)=0,"Agrees",IF(P1505&gt;0,"Dept higher - to invoice","Xero higher - check dept"))))))</f>
        <v/>
      </c>
      <c r="R1505" s="10">
        <f>IF(AND($C1505="",NOT(COUNTA($S1505:$BB1505)&gt;0),$BI1505&lt;&gt;""),"",MID(IF($BI1505="","; Row ID not found on the department sheet - a row was deleted","")&amp;IF(AND($C1505="",COUNTA($S1505:$BB1505)&gt;0),"; Invoice entered but the department row has no job number","")&amp;IF(E1505="CHECK","; Job number not in the Xero job list","")&amp;IF(AND($C1505&lt;&gt;"",COUNTIF($C$7:$C$1506,$C1505)&gt;1),"; Job number on more than one row","")&amp;IF(AND($C1505&lt;&gt;"",H1505=""),"; Dept has not set a cost centre","")&amp;IF(AND($C1505&lt;&gt;"",J1505=""),"; Dept has not set a tax code","")&amp;IF(AND($C1505&lt;&gt;"",N1505=""),"; Dept has not entered an expected value","")&amp;IF((IF(OR(COUNTA(S1505:U1505)=0,AND(COUNTA(S1505:U1505)=3,ISNUMBER(U1505))),0,1)+IF(OR(COUNTA(V1505:X1505)=0,AND(COUNTA(V1505:X1505)=3,ISNUMBER(X1505))),0,1)+IF(OR(COUNTA(Y1505:AA1505)=0,AND(COUNTA(Y1505:AA1505)=3,ISNUMBER(AA1505))),0,1)+IF(OR(COUNTA(AB1505:AD1505)=0,AND(COUNTA(AB1505:AD1505)=3,ISNUMBER(AD1505))),0,1)+IF(OR(COUNTA(AE1505:AG1505)=0,AND(COUNTA(AE1505:AG1505)=3,ISNUMBER(AG1505))),0,1)+IF(OR(COUNTA(AH1505:AJ1505)=0,AND(COUNTA(AH1505:AJ1505)=3,ISNUMBER(AJ1505))),0,1)+IF(OR(COUNTA(AK1505:AM1505)=0,AND(COUNTA(AK1505:AM1505)=3,ISNUMBER(AM1505))),0,1)+IF(OR(COUNTA(AN1505:AP1505)=0,AND(COUNTA(AN1505:AP1505)=3,ISNUMBER(AP1505))),0,1)+IF(OR(COUNTA(AQ1505:AS1505)=0,AND(COUNTA(AQ1505:AS1505)=3,ISNUMBER(AS1505))),0,1)+IF(OR(COUNTA(AT1505:AV1505)=0,AND(COUNTA(AT1505:AV1505)=3,ISNUMBER(AV1505))),0,1)+IF(OR(COUNTA(AW1505:AY1505)=0,AND(COUNTA(AW1505:AY1505)=3,ISNUMBER(AY1505))),0,1)+IF(OR(COUNTA(AZ1505:BB1505)=0,AND(COUNTA(AZ1505:BB1505)=3,ISNUMBER(BB1505))),0,1))&gt;0,"; An invoice is incomplete (needs No, Date and a number in Ex GST)","")&amp;IF((IF(T1505="",0,IFERROR(--(EOMONTH(T1505,0)&lt;&gt;S$5),1))+IF(W1505="",0,IFERROR(--(EOMONTH(W1505,0)&lt;&gt;V$5),1))+IF(Z1505="",0,IFERROR(--(EOMONTH(Z1505,0)&lt;&gt;Y$5),1))+IF(AC1505="",0,IFERROR(--(EOMONTH(AC1505,0)&lt;&gt;AB$5),1))+IF(AF1505="",0,IFERROR(--(EOMONTH(AF1505,0)&lt;&gt;AE$5),1))+IF(AI1505="",0,IFERROR(--(EOMONTH(AI1505,0)&lt;&gt;AH$5),1))+IF(AL1505="",0,IFERROR(--(EOMONTH(AL1505,0)&lt;&gt;AK$5),1))+IF(AO1505="",0,IFERROR(--(EOMONTH(AO1505,0)&lt;&gt;AN$5),1))+IF(AR1505="",0,IFERROR(--(EOMONTH(AR1505,0)&lt;&gt;AQ$5),1))+IF(AU1505="",0,IFERROR(--(EOMONTH(AU1505,0)&lt;&gt;AT$5),1))+IF(AX1505="",0,IFERROR(--(EOMONTH(AX1505,0)&lt;&gt;AW$5),1))+IF(BA1505="",0,IFERROR(--(EOMONTH(BA1505,0)&lt;&gt;AZ$5),1)))&gt;0,"; An invoice date is not in the month it is typed under",""),3,500))</f>
        <v/>
      </c>
      <c r="S1505" s="12" t="n"/>
      <c r="T1505" s="13" t="n"/>
      <c r="U1505" s="14" t="n"/>
      <c r="V1505" s="12" t="n"/>
      <c r="W1505" s="13" t="n"/>
      <c r="X1505" s="14" t="n"/>
      <c r="Y1505" s="12" t="n"/>
      <c r="Z1505" s="13" t="n"/>
      <c r="AA1505" s="14" t="n"/>
      <c r="AB1505" s="12" t="n"/>
      <c r="AC1505" s="13" t="n"/>
      <c r="AD1505" s="14" t="n"/>
      <c r="AE1505" s="12" t="n"/>
      <c r="AF1505" s="13" t="n"/>
      <c r="AG1505" s="14" t="n"/>
      <c r="AH1505" s="12" t="n"/>
      <c r="AI1505" s="13" t="n"/>
      <c r="AJ1505" s="14" t="n"/>
      <c r="AK1505" s="12" t="n"/>
      <c r="AL1505" s="13" t="n"/>
      <c r="AM1505" s="14" t="n"/>
      <c r="AN1505" s="12" t="n"/>
      <c r="AO1505" s="13" t="n"/>
      <c r="AP1505" s="14" t="n"/>
      <c r="AQ1505" s="12" t="n"/>
      <c r="AR1505" s="13" t="n"/>
      <c r="AS1505" s="14" t="n"/>
      <c r="AT1505" s="12" t="n"/>
      <c r="AU1505" s="13" t="n"/>
      <c r="AV1505" s="14" t="n"/>
      <c r="AW1505" s="12" t="n"/>
      <c r="AX1505" s="13" t="n"/>
      <c r="AY1505" s="14" t="n"/>
      <c r="AZ1505" s="12" t="n"/>
      <c r="BA1505" s="13" t="n"/>
      <c r="BB1505" s="14" t="n"/>
      <c r="BC1505" s="11">
        <f>IF(O1505="","",IF(J1505="GST 10%",ROUND(O1505*set_GSTRate,2),0))</f>
        <v/>
      </c>
      <c r="BD1505" s="11">
        <f>IF(O1505="","",O1505+BC1505)</f>
        <v/>
      </c>
      <c r="BE1505" s="15">
        <f>IF(O1505="","",COUNTA(S1505,V1505,Y1505,AB1505,AE1505,AH1505,AK1505,AN1505,AQ1505,AT1505,AW1505,AZ1505))</f>
        <v/>
      </c>
      <c r="BF1505" s="16">
        <f>IF(COUNT(T1505,W1505,Z1505,AC1505,AF1505,AI1505,AL1505,AO1505,AR1505,AU1505,AX1505,BA1505)=0,"",MAX(T1505,W1505,Z1505,AC1505,AF1505,AI1505,AL1505,AO1505,AR1505,AU1505,AX1505,BA1505))</f>
        <v/>
      </c>
      <c r="BG1505" s="10">
        <f>MID(IF(S1505="","",", "&amp;S1505)&amp;IF(V1505="","",", "&amp;V1505)&amp;IF(Y1505="","",", "&amp;Y1505)&amp;IF(AB1505="","",", "&amp;AB1505)&amp;IF(AE1505="","",", "&amp;AE1505)&amp;IF(AH1505="","",", "&amp;AH1505)&amp;IF(AK1505="","",", "&amp;AK1505)&amp;IF(AN1505="","",", "&amp;AN1505)&amp;IF(AQ1505="","",", "&amp;AQ1505)&amp;IF(AT1505="","",", "&amp;AT1505)&amp;IF(AW1505="","",", "&amp;AW1505)&amp;IF(AZ1505="","",", "&amp;AZ1505),3,500)</f>
        <v/>
      </c>
      <c r="BH1505" s="12" t="n"/>
      <c r="BI1505" s="15">
        <f>IFERROR(MATCH($A1505,IF($B1505="Onsite",tbl_Onsite[Row ID],IF($B1505="Production",tbl_Production[Row ID],tbl_Consulting[Row ID])),0),"")</f>
        <v/>
      </c>
    </row>
    <row r="1506">
      <c r="A1506" s="10" t="inlineStr">
        <is>
          <t>CON-0500</t>
        </is>
      </c>
      <c r="B1506" s="10" t="inlineStr">
        <is>
          <t>Consulting</t>
        </is>
      </c>
      <c r="C1506" s="10">
        <f>IF($BI1506="","",IF($B1506="Onsite",INDEX(tbl_Onsite[Job Number],$BI1506),IF($B1506="Production",INDEX(tbl_Production[Job Number],$BI1506),INDEX(tbl_Consulting[Job Number],$BI1506)))&amp;"")</f>
        <v/>
      </c>
      <c r="D1506" s="10">
        <f>IF($BI1506="","",IF($B1506="Onsite",INDEX(tbl_Onsite[Client],$BI1506),IF($B1506="Production",INDEX(tbl_Production[Client],$BI1506),INDEX(tbl_Consulting[Client],$BI1506)))&amp;"")</f>
        <v/>
      </c>
      <c r="E1506" s="10">
        <f>IF($C1506="","",IF(COUNTIF(lst_Jobs,$C1506)&gt;0,"OK","CHECK"))</f>
        <v/>
      </c>
      <c r="F1506" s="10">
        <f>IF($C1506="","",IFERROR(INDEX(lst_JobName,MATCH($C1506,lst_Jobs,0)),""))</f>
        <v/>
      </c>
      <c r="G1506" s="10">
        <f>IF($BI1506="","",IF($B1506="Onsite",INDEX(tbl_Onsite[Job Description],$BI1506),IF($B1506="Production",INDEX(tbl_Production[Job Description],$BI1506),INDEX(tbl_Consulting[Job Description],$BI1506)))&amp;"")</f>
        <v/>
      </c>
      <c r="H1506" s="10">
        <f>IF($BI1506="","",IF($B1506="Onsite",INDEX(tbl_Onsite[Cost Centre],$BI1506),IF($B1506="Production",INDEX(tbl_Production[Cost Centre],$BI1506),INDEX(tbl_Consulting[Cost Centre],$BI1506)))&amp;"")</f>
        <v/>
      </c>
      <c r="I1506" s="10">
        <f>IF($BI1506="","",IF($B1506="Onsite",INDEX(tbl_Onsite[Invoice Type],$BI1506),IF($B1506="Production",INDEX(tbl_Production[Invoice Type],$BI1506),INDEX(tbl_Consulting[Invoice Type],$BI1506)))&amp;"")</f>
        <v/>
      </c>
      <c r="J1506" s="10">
        <f>IF($BI1506="","",IF($B1506="Onsite",INDEX(tbl_Onsite[Tax Code],$BI1506),IF($B1506="Production",INDEX(tbl_Production[Tax Code],$BI1506),INDEX(tbl_Consulting[Tax Code],$BI1506)))&amp;"")</f>
        <v/>
      </c>
      <c r="K1506" s="10">
        <f>IF(H1506="","",IFERROR(INDEX(lst_CCtoGL,MATCH(H1506,lst_CCforGL,0)),""))</f>
        <v/>
      </c>
      <c r="L1506" s="10">
        <f>IF($BI1506="","",IF($B1506="Onsite",INDEX(tbl_Onsite[PO / Reference],$BI1506),IF($B1506="Production",INDEX(tbl_Production[Current RMS No],$BI1506),INDEX(tbl_Consulting[Qwilr Quote],$BI1506)))&amp;"")</f>
        <v/>
      </c>
      <c r="M1506" s="10">
        <f>IF($BI1506="","",IF($B1506="Onsite",INDEX(tbl_Onsite[Notes],$BI1506),IF($B1506="Production",INDEX(tbl_Production[Notes],$BI1506),INDEX(tbl_Consulting[Notes],$BI1506)))&amp;"")</f>
        <v/>
      </c>
      <c r="N1506" s="11">
        <f>IF($BI1506="","",IF(IF($B1506="Onsite",INDEX(tbl_Onsite[Expected Revenue Ex GST],$BI1506),IF($B1506="Production",INDEX(tbl_Production[Expected Revenue Ex GST],$BI1506),INDEX(tbl_Consulting[Expected Revenue Ex GST],$BI1506)))="","",IF($B1506="Onsite",INDEX(tbl_Onsite[Expected Revenue Ex GST],$BI1506),IF($B1506="Production",INDEX(tbl_Production[Expected Revenue Ex GST],$BI1506),INDEX(tbl_Consulting[Expected Revenue Ex GST],$BI1506)))))</f>
        <v/>
      </c>
      <c r="O1506" s="11">
        <f>IF(AND($C1506="",NOT(COUNTA($S1506:$BB1506)&gt;0)),"",SUM(U1506,X1506,AA1506,AD1506,AG1506,AJ1506,AM1506,AP1506,AS1506,AV1506,AY1506,BB1506))</f>
        <v/>
      </c>
      <c r="P1506" s="11">
        <f>IF(O1506="","",N(N1506)-O1506)</f>
        <v/>
      </c>
      <c r="Q1506" s="10">
        <f>IF(O1506="","",IF($C1506="","Invoice on empty job row",IF(N1506="",IF(ROUND(O1506,2)=0,"No dept value","Invoiced - no dept value"),IF(ROUND(O1506,2)=0,"Not invoiced - to invoice",IF(ROUND(P1506,2)=0,"Agrees",IF(P1506&gt;0,"Dept higher - to invoice","Xero higher - check dept"))))))</f>
        <v/>
      </c>
      <c r="R1506" s="10">
        <f>IF(AND($C1506="",NOT(COUNTA($S1506:$BB1506)&gt;0),$BI1506&lt;&gt;""),"",MID(IF($BI1506="","; Row ID not found on the department sheet - a row was deleted","")&amp;IF(AND($C1506="",COUNTA($S1506:$BB1506)&gt;0),"; Invoice entered but the department row has no job number","")&amp;IF(E1506="CHECK","; Job number not in the Xero job list","")&amp;IF(AND($C1506&lt;&gt;"",COUNTIF($C$7:$C$1506,$C1506)&gt;1),"; Job number on more than one row","")&amp;IF(AND($C1506&lt;&gt;"",H1506=""),"; Dept has not set a cost centre","")&amp;IF(AND($C1506&lt;&gt;"",J1506=""),"; Dept has not set a tax code","")&amp;IF(AND($C1506&lt;&gt;"",N1506=""),"; Dept has not entered an expected value","")&amp;IF((IF(OR(COUNTA(S1506:U1506)=0,AND(COUNTA(S1506:U1506)=3,ISNUMBER(U1506))),0,1)+IF(OR(COUNTA(V1506:X1506)=0,AND(COUNTA(V1506:X1506)=3,ISNUMBER(X1506))),0,1)+IF(OR(COUNTA(Y1506:AA1506)=0,AND(COUNTA(Y1506:AA1506)=3,ISNUMBER(AA1506))),0,1)+IF(OR(COUNTA(AB1506:AD1506)=0,AND(COUNTA(AB1506:AD1506)=3,ISNUMBER(AD1506))),0,1)+IF(OR(COUNTA(AE1506:AG1506)=0,AND(COUNTA(AE1506:AG1506)=3,ISNUMBER(AG1506))),0,1)+IF(OR(COUNTA(AH1506:AJ1506)=0,AND(COUNTA(AH1506:AJ1506)=3,ISNUMBER(AJ1506))),0,1)+IF(OR(COUNTA(AK1506:AM1506)=0,AND(COUNTA(AK1506:AM1506)=3,ISNUMBER(AM1506))),0,1)+IF(OR(COUNTA(AN1506:AP1506)=0,AND(COUNTA(AN1506:AP1506)=3,ISNUMBER(AP1506))),0,1)+IF(OR(COUNTA(AQ1506:AS1506)=0,AND(COUNTA(AQ1506:AS1506)=3,ISNUMBER(AS1506))),0,1)+IF(OR(COUNTA(AT1506:AV1506)=0,AND(COUNTA(AT1506:AV1506)=3,ISNUMBER(AV1506))),0,1)+IF(OR(COUNTA(AW1506:AY1506)=0,AND(COUNTA(AW1506:AY1506)=3,ISNUMBER(AY1506))),0,1)+IF(OR(COUNTA(AZ1506:BB1506)=0,AND(COUNTA(AZ1506:BB1506)=3,ISNUMBER(BB1506))),0,1))&gt;0,"; An invoice is incomplete (needs No, Date and a number in Ex GST)","")&amp;IF((IF(T1506="",0,IFERROR(--(EOMONTH(T1506,0)&lt;&gt;S$5),1))+IF(W1506="",0,IFERROR(--(EOMONTH(W1506,0)&lt;&gt;V$5),1))+IF(Z1506="",0,IFERROR(--(EOMONTH(Z1506,0)&lt;&gt;Y$5),1))+IF(AC1506="",0,IFERROR(--(EOMONTH(AC1506,0)&lt;&gt;AB$5),1))+IF(AF1506="",0,IFERROR(--(EOMONTH(AF1506,0)&lt;&gt;AE$5),1))+IF(AI1506="",0,IFERROR(--(EOMONTH(AI1506,0)&lt;&gt;AH$5),1))+IF(AL1506="",0,IFERROR(--(EOMONTH(AL1506,0)&lt;&gt;AK$5),1))+IF(AO1506="",0,IFERROR(--(EOMONTH(AO1506,0)&lt;&gt;AN$5),1))+IF(AR1506="",0,IFERROR(--(EOMONTH(AR1506,0)&lt;&gt;AQ$5),1))+IF(AU1506="",0,IFERROR(--(EOMONTH(AU1506,0)&lt;&gt;AT$5),1))+IF(AX1506="",0,IFERROR(--(EOMONTH(AX1506,0)&lt;&gt;AW$5),1))+IF(BA1506="",0,IFERROR(--(EOMONTH(BA1506,0)&lt;&gt;AZ$5),1)))&gt;0,"; An invoice date is not in the month it is typed under",""),3,500))</f>
        <v/>
      </c>
      <c r="S1506" s="12" t="n"/>
      <c r="T1506" s="13" t="n"/>
      <c r="U1506" s="14" t="n"/>
      <c r="V1506" s="12" t="n"/>
      <c r="W1506" s="13" t="n"/>
      <c r="X1506" s="14" t="n"/>
      <c r="Y1506" s="12" t="n"/>
      <c r="Z1506" s="13" t="n"/>
      <c r="AA1506" s="14" t="n"/>
      <c r="AB1506" s="12" t="n"/>
      <c r="AC1506" s="13" t="n"/>
      <c r="AD1506" s="14" t="n"/>
      <c r="AE1506" s="12" t="n"/>
      <c r="AF1506" s="13" t="n"/>
      <c r="AG1506" s="14" t="n"/>
      <c r="AH1506" s="12" t="n"/>
      <c r="AI1506" s="13" t="n"/>
      <c r="AJ1506" s="14" t="n"/>
      <c r="AK1506" s="12" t="n"/>
      <c r="AL1506" s="13" t="n"/>
      <c r="AM1506" s="14" t="n"/>
      <c r="AN1506" s="12" t="n"/>
      <c r="AO1506" s="13" t="n"/>
      <c r="AP1506" s="14" t="n"/>
      <c r="AQ1506" s="12" t="n"/>
      <c r="AR1506" s="13" t="n"/>
      <c r="AS1506" s="14" t="n"/>
      <c r="AT1506" s="12" t="n"/>
      <c r="AU1506" s="13" t="n"/>
      <c r="AV1506" s="14" t="n"/>
      <c r="AW1506" s="12" t="n"/>
      <c r="AX1506" s="13" t="n"/>
      <c r="AY1506" s="14" t="n"/>
      <c r="AZ1506" s="12" t="n"/>
      <c r="BA1506" s="13" t="n"/>
      <c r="BB1506" s="14" t="n"/>
      <c r="BC1506" s="11">
        <f>IF(O1506="","",IF(J1506="GST 10%",ROUND(O1506*set_GSTRate,2),0))</f>
        <v/>
      </c>
      <c r="BD1506" s="11">
        <f>IF(O1506="","",O1506+BC1506)</f>
        <v/>
      </c>
      <c r="BE1506" s="15">
        <f>IF(O1506="","",COUNTA(S1506,V1506,Y1506,AB1506,AE1506,AH1506,AK1506,AN1506,AQ1506,AT1506,AW1506,AZ1506))</f>
        <v/>
      </c>
      <c r="BF1506" s="16">
        <f>IF(COUNT(T1506,W1506,Z1506,AC1506,AF1506,AI1506,AL1506,AO1506,AR1506,AU1506,AX1506,BA1506)=0,"",MAX(T1506,W1506,Z1506,AC1506,AF1506,AI1506,AL1506,AO1506,AR1506,AU1506,AX1506,BA1506))</f>
        <v/>
      </c>
      <c r="BG1506" s="10">
        <f>MID(IF(S1506="","",", "&amp;S1506)&amp;IF(V1506="","",", "&amp;V1506)&amp;IF(Y1506="","",", "&amp;Y1506)&amp;IF(AB1506="","",", "&amp;AB1506)&amp;IF(AE1506="","",", "&amp;AE1506)&amp;IF(AH1506="","",", "&amp;AH1506)&amp;IF(AK1506="","",", "&amp;AK1506)&amp;IF(AN1506="","",", "&amp;AN1506)&amp;IF(AQ1506="","",", "&amp;AQ1506)&amp;IF(AT1506="","",", "&amp;AT1506)&amp;IF(AW1506="","",", "&amp;AW1506)&amp;IF(AZ1506="","",", "&amp;AZ1506),3,500)</f>
        <v/>
      </c>
      <c r="BH1506" s="12" t="n"/>
      <c r="BI1506" s="15">
        <f>IFERROR(MATCH($A1506,IF($B1506="Onsite",tbl_Onsite[Row ID],IF($B1506="Production",tbl_Production[Row ID],tbl_Consulting[Row ID])),0),"")</f>
        <v/>
      </c>
    </row>
  </sheetData>
  <sheetProtection selectLockedCells="0" selectUnlockedCells="0" sheet="1" objects="0" insertRows="1" insertHyperlinks="1" autoFilter="0" scenarios="0" formatColumns="0" deleteColumns="1" insertColumns="1" pivotTables="1" deleteRows="1" formatCells="1" formatRows="0" sort="1" password="DE92"/>
  <mergeCells count="13">
    <mergeCell ref="A3:R3"/>
    <mergeCell ref="Y5:AA5"/>
    <mergeCell ref="S5:U5"/>
    <mergeCell ref="AB5:AD5"/>
    <mergeCell ref="AE5:AG5"/>
    <mergeCell ref="AQ5:AS5"/>
    <mergeCell ref="AT5:AV5"/>
    <mergeCell ref="AZ5:BB5"/>
    <mergeCell ref="V5:X5"/>
    <mergeCell ref="AK5:AM5"/>
    <mergeCell ref="AH5:AJ5"/>
    <mergeCell ref="AN5:AP5"/>
    <mergeCell ref="AW5:AY5"/>
  </mergeCells>
  <conditionalFormatting sqref="Q7:Q1506">
    <cfRule type="expression" priority="1" dxfId="0">
      <formula>Q7="Agrees"</formula>
    </cfRule>
    <cfRule type="expression" priority="2" dxfId="1">
      <formula>OR(LEFT(Q7,4)="Xero",LEFT(Q7,7)="Invoice")</formula>
    </cfRule>
    <cfRule type="expression" priority="3" dxfId="2">
      <formula>OR(LEFT(Q7,4)="Dept",LEFT(Q7,3)="Not")</formula>
    </cfRule>
  </conditionalFormatting>
  <conditionalFormatting sqref="R7:R1506">
    <cfRule type="expression" priority="4" dxfId="1">
      <formula>R7&lt;&gt;""</formula>
    </cfRule>
  </conditionalFormatting>
  <conditionalFormatting sqref="E7:E1506">
    <cfRule type="expression" priority="5" dxfId="1">
      <formula>E7="CHECK"</formula>
    </cfRule>
  </conditionalFormatting>
  <conditionalFormatting sqref="P7:P1506">
    <cfRule type="expression" priority="6" dxfId="3">
      <formula>AND(ISNUMBER(P7),ROUND(P7,2)&lt;&gt;0)</formula>
    </cfRule>
  </conditionalFormatting>
  <dataValidations count="24">
    <dataValidation sqref="T7:T1506" showDropDown="0" showInputMessage="0" showErrorMessage="1" allowBlank="1" errorTitle="Wrong month" error="This date is not in the month this column is for. Type the invoice under the month it is dated." type="date" operator="between">
      <formula1>EOMONTH($S$5,-1)+1</formula1>
      <formula2>$S$5</formula2>
    </dataValidation>
    <dataValidation sqref="U7:U1506" showDropDown="0" showInputMessage="0" showErrorMessage="1" allowBlank="1" error="Ex GST must be a number." type="decimal" operator="between">
      <formula1>-99999999</formula1>
      <formula2>99999999</formula2>
    </dataValidation>
    <dataValidation sqref="W7:W1506" showDropDown="0" showInputMessage="0" showErrorMessage="1" allowBlank="1" errorTitle="Wrong month" error="This date is not in the month this column is for. Type the invoice under the month it is dated." type="date" operator="between">
      <formula1>EOMONTH($V$5,-1)+1</formula1>
      <formula2>$V$5</formula2>
    </dataValidation>
    <dataValidation sqref="X7:X1506" showDropDown="0" showInputMessage="0" showErrorMessage="1" allowBlank="1" error="Ex GST must be a number." type="decimal" operator="between">
      <formula1>-99999999</formula1>
      <formula2>99999999</formula2>
    </dataValidation>
    <dataValidation sqref="Z7:Z1506" showDropDown="0" showInputMessage="0" showErrorMessage="1" allowBlank="1" errorTitle="Wrong month" error="This date is not in the month this column is for. Type the invoice under the month it is dated." type="date" operator="between">
      <formula1>EOMONTH($Y$5,-1)+1</formula1>
      <formula2>$Y$5</formula2>
    </dataValidation>
    <dataValidation sqref="AA7:AA1506" showDropDown="0" showInputMessage="0" showErrorMessage="1" allowBlank="1" error="Ex GST must be a number." type="decimal" operator="between">
      <formula1>-99999999</formula1>
      <formula2>99999999</formula2>
    </dataValidation>
    <dataValidation sqref="AC7:AC1506" showDropDown="0" showInputMessage="0" showErrorMessage="1" allowBlank="1" errorTitle="Wrong month" error="This date is not in the month this column is for. Type the invoice under the month it is dated." type="date" operator="between">
      <formula1>EOMONTH($AB$5,-1)+1</formula1>
      <formula2>$AB$5</formula2>
    </dataValidation>
    <dataValidation sqref="AD7:AD1506" showDropDown="0" showInputMessage="0" showErrorMessage="1" allowBlank="1" error="Ex GST must be a number." type="decimal" operator="between">
      <formula1>-99999999</formula1>
      <formula2>99999999</formula2>
    </dataValidation>
    <dataValidation sqref="AF7:AF1506" showDropDown="0" showInputMessage="0" showErrorMessage="1" allowBlank="1" errorTitle="Wrong month" error="This date is not in the month this column is for. Type the invoice under the month it is dated." type="date" operator="between">
      <formula1>EOMONTH($AE$5,-1)+1</formula1>
      <formula2>$AE$5</formula2>
    </dataValidation>
    <dataValidation sqref="AG7:AG1506" showDropDown="0" showInputMessage="0" showErrorMessage="1" allowBlank="1" error="Ex GST must be a number." type="decimal" operator="between">
      <formula1>-99999999</formula1>
      <formula2>99999999</formula2>
    </dataValidation>
    <dataValidation sqref="AI7:AI1506" showDropDown="0" showInputMessage="0" showErrorMessage="1" allowBlank="1" errorTitle="Wrong month" error="This date is not in the month this column is for. Type the invoice under the month it is dated." type="date" operator="between">
      <formula1>EOMONTH($AH$5,-1)+1</formula1>
      <formula2>$AH$5</formula2>
    </dataValidation>
    <dataValidation sqref="AJ7:AJ1506" showDropDown="0" showInputMessage="0" showErrorMessage="1" allowBlank="1" error="Ex GST must be a number." type="decimal" operator="between">
      <formula1>-99999999</formula1>
      <formula2>99999999</formula2>
    </dataValidation>
    <dataValidation sqref="AL7:AL1506" showDropDown="0" showInputMessage="0" showErrorMessage="1" allowBlank="1" errorTitle="Wrong month" error="This date is not in the month this column is for. Type the invoice under the month it is dated." type="date" operator="between">
      <formula1>EOMONTH($AK$5,-1)+1</formula1>
      <formula2>$AK$5</formula2>
    </dataValidation>
    <dataValidation sqref="AM7:AM1506" showDropDown="0" showInputMessage="0" showErrorMessage="1" allowBlank="1" error="Ex GST must be a number." type="decimal" operator="between">
      <formula1>-99999999</formula1>
      <formula2>99999999</formula2>
    </dataValidation>
    <dataValidation sqref="AO7:AO1506" showDropDown="0" showInputMessage="0" showErrorMessage="1" allowBlank="1" errorTitle="Wrong month" error="This date is not in the month this column is for. Type the invoice under the month it is dated." type="date" operator="between">
      <formula1>EOMONTH($AN$5,-1)+1</formula1>
      <formula2>$AN$5</formula2>
    </dataValidation>
    <dataValidation sqref="AP7:AP1506" showDropDown="0" showInputMessage="0" showErrorMessage="1" allowBlank="1" error="Ex GST must be a number." type="decimal" operator="between">
      <formula1>-99999999</formula1>
      <formula2>99999999</formula2>
    </dataValidation>
    <dataValidation sqref="AR7:AR1506" showDropDown="0" showInputMessage="0" showErrorMessage="1" allowBlank="1" errorTitle="Wrong month" error="This date is not in the month this column is for. Type the invoice under the month it is dated." type="date" operator="between">
      <formula1>EOMONTH($AQ$5,-1)+1</formula1>
      <formula2>$AQ$5</formula2>
    </dataValidation>
    <dataValidation sqref="AS7:AS1506" showDropDown="0" showInputMessage="0" showErrorMessage="1" allowBlank="1" error="Ex GST must be a number." type="decimal" operator="between">
      <formula1>-99999999</formula1>
      <formula2>99999999</formula2>
    </dataValidation>
    <dataValidation sqref="AU7:AU1506" showDropDown="0" showInputMessage="0" showErrorMessage="1" allowBlank="1" errorTitle="Wrong month" error="This date is not in the month this column is for. Type the invoice under the month it is dated." type="date" operator="between">
      <formula1>EOMONTH($AT$5,-1)+1</formula1>
      <formula2>$AT$5</formula2>
    </dataValidation>
    <dataValidation sqref="AV7:AV1506" showDropDown="0" showInputMessage="0" showErrorMessage="1" allowBlank="1" error="Ex GST must be a number." type="decimal" operator="between">
      <formula1>-99999999</formula1>
      <formula2>99999999</formula2>
    </dataValidation>
    <dataValidation sqref="AX7:AX1506" showDropDown="0" showInputMessage="0" showErrorMessage="1" allowBlank="1" errorTitle="Wrong month" error="This date is not in the month this column is for. Type the invoice under the month it is dated." type="date" operator="between">
      <formula1>EOMONTH($AW$5,-1)+1</formula1>
      <formula2>$AW$5</formula2>
    </dataValidation>
    <dataValidation sqref="AY7:AY1506" showDropDown="0" showInputMessage="0" showErrorMessage="1" allowBlank="1" error="Ex GST must be a number." type="decimal" operator="between">
      <formula1>-99999999</formula1>
      <formula2>99999999</formula2>
    </dataValidation>
    <dataValidation sqref="BA7:BA1506" showDropDown="0" showInputMessage="0" showErrorMessage="1" allowBlank="1" errorTitle="Wrong month" error="This date is not in the month this column is for. Type the invoice under the month it is dated." type="date" operator="between">
      <formula1>EOMONTH($AZ$5,-1)+1</formula1>
      <formula2>$AZ$5</formula2>
    </dataValidation>
    <dataValidation sqref="BB7:BB1506" showDropDown="0" showInputMessage="0" showErrorMessage="1" allowBlank="1" error="Ex GST must be a number." type="decimal" operator="between">
      <formula1>-99999999</formula1>
      <formula2>99999999</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84"/>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4" customWidth="1" min="3" max="3"/>
    <col width="15" customWidth="1" min="4" max="4"/>
    <col width="16" customWidth="1" min="5" max="5"/>
    <col width="18" customWidth="1" min="6" max="6"/>
    <col width="18" customWidth="1" min="7" max="7"/>
    <col width="15" customWidth="1" min="8" max="8"/>
    <col width="22" customWidth="1" min="9" max="9"/>
  </cols>
  <sheetData>
    <row r="1">
      <c r="A1" s="1" t="inlineStr">
        <is>
          <t>Month-End Revenue Close</t>
        </is>
      </c>
    </row>
    <row r="2" ht="30" customHeight="1">
      <c r="A2" s="4" t="inlineStr">
        <is>
          <t>Pick the month, type the Xero figures into the yellow cells, and work down. Everything else calculates.</t>
        </is>
      </c>
    </row>
    <row r="4">
      <c r="A4" s="17" t="inlineStr">
        <is>
          <t>Month being closed</t>
        </is>
      </c>
      <c r="C4" s="18" t="n">
        <v>46265</v>
      </c>
      <c r="D4" t="inlineStr">
        <is>
          <t>&lt;- pick a FY27 month end</t>
        </is>
      </c>
      <c r="E4" s="19">
        <f>IF(ISNUMBER(MATCH($C$4,lst_FY27Months,0)),"","CHECK - pick a month inside FY27")</f>
        <v/>
      </c>
    </row>
    <row r="6">
      <c r="A6" s="3" t="inlineStr">
        <is>
          <t>1.  REVENUE BY COST CENTRE  -  tracker vs Xero P&amp;L</t>
        </is>
      </c>
    </row>
    <row r="7">
      <c r="A7" s="8" t="inlineStr">
        <is>
          <t>Cost Centre</t>
        </is>
      </c>
      <c r="B7" s="8" t="inlineStr">
        <is>
          <t>Invoiced Ex GST</t>
        </is>
      </c>
      <c r="C7" s="8" t="inlineStr">
        <is>
          <t>GST</t>
        </is>
      </c>
      <c r="D7" s="8" t="inlineStr">
        <is>
          <t>Inc GST</t>
        </is>
      </c>
      <c r="E7" s="8" t="inlineStr">
        <is>
          <t>WIP Movement</t>
        </is>
      </c>
      <c r="F7" s="8" t="inlineStr">
        <is>
          <t>Revenue Recognised</t>
        </is>
      </c>
      <c r="G7" s="9" t="inlineStr">
        <is>
          <t>Xero Revenue (type in)</t>
        </is>
      </c>
      <c r="H7" s="8" t="inlineStr">
        <is>
          <t>Variance</t>
        </is>
      </c>
      <c r="I7" s="8" t="inlineStr">
        <is>
          <t>Check</t>
        </is>
      </c>
    </row>
    <row r="8">
      <c r="A8" s="20">
        <f>INDEX(lst_CostCentre,1)</f>
        <v/>
      </c>
      <c r="B8" s="21">
        <f>IFERROR(INDEX('FY Summary'!$B$6:$M$6,MATCH($C$4,lst_FY27Months,0)),0)</f>
        <v/>
      </c>
      <c r="C8" s="21">
        <f>IFERROR(ROUND((SUMIFS(tbl_Finance[Jul Ex GST],tbl_Finance[Cost Centre],$A8,tbl_Finance[Tax Code],"GST 10%")*(MATCH($C$4,lst_FY27Months,0)=1)+SUMIFS(tbl_Finance[Aug Ex GST],tbl_Finance[Cost Centre],$A8,tbl_Finance[Tax Code],"GST 10%")*(MATCH($C$4,lst_FY27Months,0)=2)+SUMIFS(tbl_Finance[Sep Ex GST],tbl_Finance[Cost Centre],$A8,tbl_Finance[Tax Code],"GST 10%")*(MATCH($C$4,lst_FY27Months,0)=3)+SUMIFS(tbl_Finance[Oct Ex GST],tbl_Finance[Cost Centre],$A8,tbl_Finance[Tax Code],"GST 10%")*(MATCH($C$4,lst_FY27Months,0)=4)+SUMIFS(tbl_Finance[Nov Ex GST],tbl_Finance[Cost Centre],$A8,tbl_Finance[Tax Code],"GST 10%")*(MATCH($C$4,lst_FY27Months,0)=5)+SUMIFS(tbl_Finance[Dec Ex GST],tbl_Finance[Cost Centre],$A8,tbl_Finance[Tax Code],"GST 10%")*(MATCH($C$4,lst_FY27Months,0)=6)+SUMIFS(tbl_Finance[Jan Ex GST],tbl_Finance[Cost Centre],$A8,tbl_Finance[Tax Code],"GST 10%")*(MATCH($C$4,lst_FY27Months,0)=7)+SUMIFS(tbl_Finance[Feb Ex GST],tbl_Finance[Cost Centre],$A8,tbl_Finance[Tax Code],"GST 10%")*(MATCH($C$4,lst_FY27Months,0)=8)+SUMIFS(tbl_Finance[Mar Ex GST],tbl_Finance[Cost Centre],$A8,tbl_Finance[Tax Code],"GST 10%")*(MATCH($C$4,lst_FY27Months,0)=9)+SUMIFS(tbl_Finance[Apr Ex GST],tbl_Finance[Cost Centre],$A8,tbl_Finance[Tax Code],"GST 10%")*(MATCH($C$4,lst_FY27Months,0)=10)+SUMIFS(tbl_Finance[May Ex GST],tbl_Finance[Cost Centre],$A8,tbl_Finance[Tax Code],"GST 10%")*(MATCH($C$4,lst_FY27Months,0)=11)+SUMIFS(tbl_Finance[Jun Ex GST],tbl_Finance[Cost Centre],$A8,tbl_Finance[Tax Code],"GST 10%")*(MATCH($C$4,lst_FY27Months,0)=12))*set_GSTRate,2),0)</f>
        <v/>
      </c>
      <c r="D8" s="21">
        <f>B8+C8</f>
        <v/>
      </c>
      <c r="E8" s="21">
        <f>SUMIFS(tbl_WIP[Amount],tbl_WIP[Month],$C$4,tbl_WIP[Cost Centre],$A8,tbl_WIP[Revenue or Cost],"&lt;&gt;Cost")</f>
        <v/>
      </c>
      <c r="F8" s="21">
        <f>B8+E8</f>
        <v/>
      </c>
      <c r="G8" s="22" t="n"/>
      <c r="H8" s="21">
        <f>IF($G8="","",$F8-$G8)</f>
        <v/>
      </c>
      <c r="I8" s="20">
        <f>IF($G8="",IF(ROUND(F8,2)=0,"","Enter Xero figure"),IF(ROUND($H8,2)=0,"Reconciled","CHECK - "&amp;TEXT($H8,"$#,##0.00")))</f>
        <v/>
      </c>
    </row>
    <row r="9">
      <c r="A9" s="20">
        <f>INDEX(lst_CostCentre,2)</f>
        <v/>
      </c>
      <c r="B9" s="21">
        <f>IFERROR(INDEX('FY Summary'!$B$7:$M$7,MATCH($C$4,lst_FY27Months,0)),0)</f>
        <v/>
      </c>
      <c r="C9" s="21">
        <f>IFERROR(ROUND((SUMIFS(tbl_Finance[Jul Ex GST],tbl_Finance[Cost Centre],$A9,tbl_Finance[Tax Code],"GST 10%")*(MATCH($C$4,lst_FY27Months,0)=1)+SUMIFS(tbl_Finance[Aug Ex GST],tbl_Finance[Cost Centre],$A9,tbl_Finance[Tax Code],"GST 10%")*(MATCH($C$4,lst_FY27Months,0)=2)+SUMIFS(tbl_Finance[Sep Ex GST],tbl_Finance[Cost Centre],$A9,tbl_Finance[Tax Code],"GST 10%")*(MATCH($C$4,lst_FY27Months,0)=3)+SUMIFS(tbl_Finance[Oct Ex GST],tbl_Finance[Cost Centre],$A9,tbl_Finance[Tax Code],"GST 10%")*(MATCH($C$4,lst_FY27Months,0)=4)+SUMIFS(tbl_Finance[Nov Ex GST],tbl_Finance[Cost Centre],$A9,tbl_Finance[Tax Code],"GST 10%")*(MATCH($C$4,lst_FY27Months,0)=5)+SUMIFS(tbl_Finance[Dec Ex GST],tbl_Finance[Cost Centre],$A9,tbl_Finance[Tax Code],"GST 10%")*(MATCH($C$4,lst_FY27Months,0)=6)+SUMIFS(tbl_Finance[Jan Ex GST],tbl_Finance[Cost Centre],$A9,tbl_Finance[Tax Code],"GST 10%")*(MATCH($C$4,lst_FY27Months,0)=7)+SUMIFS(tbl_Finance[Feb Ex GST],tbl_Finance[Cost Centre],$A9,tbl_Finance[Tax Code],"GST 10%")*(MATCH($C$4,lst_FY27Months,0)=8)+SUMIFS(tbl_Finance[Mar Ex GST],tbl_Finance[Cost Centre],$A9,tbl_Finance[Tax Code],"GST 10%")*(MATCH($C$4,lst_FY27Months,0)=9)+SUMIFS(tbl_Finance[Apr Ex GST],tbl_Finance[Cost Centre],$A9,tbl_Finance[Tax Code],"GST 10%")*(MATCH($C$4,lst_FY27Months,0)=10)+SUMIFS(tbl_Finance[May Ex GST],tbl_Finance[Cost Centre],$A9,tbl_Finance[Tax Code],"GST 10%")*(MATCH($C$4,lst_FY27Months,0)=11)+SUMIFS(tbl_Finance[Jun Ex GST],tbl_Finance[Cost Centre],$A9,tbl_Finance[Tax Code],"GST 10%")*(MATCH($C$4,lst_FY27Months,0)=12))*set_GSTRate,2),0)</f>
        <v/>
      </c>
      <c r="D9" s="21">
        <f>B9+C9</f>
        <v/>
      </c>
      <c r="E9" s="21">
        <f>SUMIFS(tbl_WIP[Amount],tbl_WIP[Month],$C$4,tbl_WIP[Cost Centre],$A9,tbl_WIP[Revenue or Cost],"&lt;&gt;Cost")</f>
        <v/>
      </c>
      <c r="F9" s="21">
        <f>B9+E9</f>
        <v/>
      </c>
      <c r="G9" s="22" t="n"/>
      <c r="H9" s="21">
        <f>IF($G9="","",$F9-$G9)</f>
        <v/>
      </c>
      <c r="I9" s="20">
        <f>IF($G9="",IF(ROUND(F9,2)=0,"","Enter Xero figure"),IF(ROUND($H9,2)=0,"Reconciled","CHECK - "&amp;TEXT($H9,"$#,##0.00")))</f>
        <v/>
      </c>
    </row>
    <row r="10">
      <c r="A10" s="20">
        <f>INDEX(lst_CostCentre,3)</f>
        <v/>
      </c>
      <c r="B10" s="21">
        <f>IFERROR(INDEX('FY Summary'!$B$8:$M$8,MATCH($C$4,lst_FY27Months,0)),0)</f>
        <v/>
      </c>
      <c r="C10" s="21">
        <f>IFERROR(ROUND((SUMIFS(tbl_Finance[Jul Ex GST],tbl_Finance[Cost Centre],$A10,tbl_Finance[Tax Code],"GST 10%")*(MATCH($C$4,lst_FY27Months,0)=1)+SUMIFS(tbl_Finance[Aug Ex GST],tbl_Finance[Cost Centre],$A10,tbl_Finance[Tax Code],"GST 10%")*(MATCH($C$4,lst_FY27Months,0)=2)+SUMIFS(tbl_Finance[Sep Ex GST],tbl_Finance[Cost Centre],$A10,tbl_Finance[Tax Code],"GST 10%")*(MATCH($C$4,lst_FY27Months,0)=3)+SUMIFS(tbl_Finance[Oct Ex GST],tbl_Finance[Cost Centre],$A10,tbl_Finance[Tax Code],"GST 10%")*(MATCH($C$4,lst_FY27Months,0)=4)+SUMIFS(tbl_Finance[Nov Ex GST],tbl_Finance[Cost Centre],$A10,tbl_Finance[Tax Code],"GST 10%")*(MATCH($C$4,lst_FY27Months,0)=5)+SUMIFS(tbl_Finance[Dec Ex GST],tbl_Finance[Cost Centre],$A10,tbl_Finance[Tax Code],"GST 10%")*(MATCH($C$4,lst_FY27Months,0)=6)+SUMIFS(tbl_Finance[Jan Ex GST],tbl_Finance[Cost Centre],$A10,tbl_Finance[Tax Code],"GST 10%")*(MATCH($C$4,lst_FY27Months,0)=7)+SUMIFS(tbl_Finance[Feb Ex GST],tbl_Finance[Cost Centre],$A10,tbl_Finance[Tax Code],"GST 10%")*(MATCH($C$4,lst_FY27Months,0)=8)+SUMIFS(tbl_Finance[Mar Ex GST],tbl_Finance[Cost Centre],$A10,tbl_Finance[Tax Code],"GST 10%")*(MATCH($C$4,lst_FY27Months,0)=9)+SUMIFS(tbl_Finance[Apr Ex GST],tbl_Finance[Cost Centre],$A10,tbl_Finance[Tax Code],"GST 10%")*(MATCH($C$4,lst_FY27Months,0)=10)+SUMIFS(tbl_Finance[May Ex GST],tbl_Finance[Cost Centre],$A10,tbl_Finance[Tax Code],"GST 10%")*(MATCH($C$4,lst_FY27Months,0)=11)+SUMIFS(tbl_Finance[Jun Ex GST],tbl_Finance[Cost Centre],$A10,tbl_Finance[Tax Code],"GST 10%")*(MATCH($C$4,lst_FY27Months,0)=12))*set_GSTRate,2),0)</f>
        <v/>
      </c>
      <c r="D10" s="21">
        <f>B10+C10</f>
        <v/>
      </c>
      <c r="E10" s="21">
        <f>SUMIFS(tbl_WIP[Amount],tbl_WIP[Month],$C$4,tbl_WIP[Cost Centre],$A10,tbl_WIP[Revenue or Cost],"&lt;&gt;Cost")</f>
        <v/>
      </c>
      <c r="F10" s="21">
        <f>B10+E10</f>
        <v/>
      </c>
      <c r="G10" s="22" t="n"/>
      <c r="H10" s="21">
        <f>IF($G10="","",$F10-$G10)</f>
        <v/>
      </c>
      <c r="I10" s="20">
        <f>IF($G10="",IF(ROUND(F10,2)=0,"","Enter Xero figure"),IF(ROUND($H10,2)=0,"Reconciled","CHECK - "&amp;TEXT($H10,"$#,##0.00")))</f>
        <v/>
      </c>
    </row>
    <row r="11">
      <c r="A11" s="20">
        <f>INDEX(lst_CostCentre,4)</f>
        <v/>
      </c>
      <c r="B11" s="21">
        <f>IFERROR(INDEX('FY Summary'!$B$9:$M$9,MATCH($C$4,lst_FY27Months,0)),0)</f>
        <v/>
      </c>
      <c r="C11" s="21">
        <f>IFERROR(ROUND((SUMIFS(tbl_Finance[Jul Ex GST],tbl_Finance[Cost Centre],$A11,tbl_Finance[Tax Code],"GST 10%")*(MATCH($C$4,lst_FY27Months,0)=1)+SUMIFS(tbl_Finance[Aug Ex GST],tbl_Finance[Cost Centre],$A11,tbl_Finance[Tax Code],"GST 10%")*(MATCH($C$4,lst_FY27Months,0)=2)+SUMIFS(tbl_Finance[Sep Ex GST],tbl_Finance[Cost Centre],$A11,tbl_Finance[Tax Code],"GST 10%")*(MATCH($C$4,lst_FY27Months,0)=3)+SUMIFS(tbl_Finance[Oct Ex GST],tbl_Finance[Cost Centre],$A11,tbl_Finance[Tax Code],"GST 10%")*(MATCH($C$4,lst_FY27Months,0)=4)+SUMIFS(tbl_Finance[Nov Ex GST],tbl_Finance[Cost Centre],$A11,tbl_Finance[Tax Code],"GST 10%")*(MATCH($C$4,lst_FY27Months,0)=5)+SUMIFS(tbl_Finance[Dec Ex GST],tbl_Finance[Cost Centre],$A11,tbl_Finance[Tax Code],"GST 10%")*(MATCH($C$4,lst_FY27Months,0)=6)+SUMIFS(tbl_Finance[Jan Ex GST],tbl_Finance[Cost Centre],$A11,tbl_Finance[Tax Code],"GST 10%")*(MATCH($C$4,lst_FY27Months,0)=7)+SUMIFS(tbl_Finance[Feb Ex GST],tbl_Finance[Cost Centre],$A11,tbl_Finance[Tax Code],"GST 10%")*(MATCH($C$4,lst_FY27Months,0)=8)+SUMIFS(tbl_Finance[Mar Ex GST],tbl_Finance[Cost Centre],$A11,tbl_Finance[Tax Code],"GST 10%")*(MATCH($C$4,lst_FY27Months,0)=9)+SUMIFS(tbl_Finance[Apr Ex GST],tbl_Finance[Cost Centre],$A11,tbl_Finance[Tax Code],"GST 10%")*(MATCH($C$4,lst_FY27Months,0)=10)+SUMIFS(tbl_Finance[May Ex GST],tbl_Finance[Cost Centre],$A11,tbl_Finance[Tax Code],"GST 10%")*(MATCH($C$4,lst_FY27Months,0)=11)+SUMIFS(tbl_Finance[Jun Ex GST],tbl_Finance[Cost Centre],$A11,tbl_Finance[Tax Code],"GST 10%")*(MATCH($C$4,lst_FY27Months,0)=12))*set_GSTRate,2),0)</f>
        <v/>
      </c>
      <c r="D11" s="21">
        <f>B11+C11</f>
        <v/>
      </c>
      <c r="E11" s="21">
        <f>SUMIFS(tbl_WIP[Amount],tbl_WIP[Month],$C$4,tbl_WIP[Cost Centre],$A11,tbl_WIP[Revenue or Cost],"&lt;&gt;Cost")</f>
        <v/>
      </c>
      <c r="F11" s="21">
        <f>B11+E11</f>
        <v/>
      </c>
      <c r="G11" s="22" t="n"/>
      <c r="H11" s="21">
        <f>IF($G11="","",$F11-$G11)</f>
        <v/>
      </c>
      <c r="I11" s="20">
        <f>IF($G11="",IF(ROUND(F11,2)=0,"","Enter Xero figure"),IF(ROUND($H11,2)=0,"Reconciled","CHECK - "&amp;TEXT($H11,"$#,##0.00")))</f>
        <v/>
      </c>
    </row>
    <row r="12">
      <c r="A12" s="20">
        <f>INDEX(lst_CostCentre,5)</f>
        <v/>
      </c>
      <c r="B12" s="21">
        <f>IFERROR(INDEX('FY Summary'!$B$10:$M$10,MATCH($C$4,lst_FY27Months,0)),0)</f>
        <v/>
      </c>
      <c r="C12" s="21">
        <f>IFERROR(ROUND((SUMIFS(tbl_Finance[Jul Ex GST],tbl_Finance[Cost Centre],$A12,tbl_Finance[Tax Code],"GST 10%")*(MATCH($C$4,lst_FY27Months,0)=1)+SUMIFS(tbl_Finance[Aug Ex GST],tbl_Finance[Cost Centre],$A12,tbl_Finance[Tax Code],"GST 10%")*(MATCH($C$4,lst_FY27Months,0)=2)+SUMIFS(tbl_Finance[Sep Ex GST],tbl_Finance[Cost Centre],$A12,tbl_Finance[Tax Code],"GST 10%")*(MATCH($C$4,lst_FY27Months,0)=3)+SUMIFS(tbl_Finance[Oct Ex GST],tbl_Finance[Cost Centre],$A12,tbl_Finance[Tax Code],"GST 10%")*(MATCH($C$4,lst_FY27Months,0)=4)+SUMIFS(tbl_Finance[Nov Ex GST],tbl_Finance[Cost Centre],$A12,tbl_Finance[Tax Code],"GST 10%")*(MATCH($C$4,lst_FY27Months,0)=5)+SUMIFS(tbl_Finance[Dec Ex GST],tbl_Finance[Cost Centre],$A12,tbl_Finance[Tax Code],"GST 10%")*(MATCH($C$4,lst_FY27Months,0)=6)+SUMIFS(tbl_Finance[Jan Ex GST],tbl_Finance[Cost Centre],$A12,tbl_Finance[Tax Code],"GST 10%")*(MATCH($C$4,lst_FY27Months,0)=7)+SUMIFS(tbl_Finance[Feb Ex GST],tbl_Finance[Cost Centre],$A12,tbl_Finance[Tax Code],"GST 10%")*(MATCH($C$4,lst_FY27Months,0)=8)+SUMIFS(tbl_Finance[Mar Ex GST],tbl_Finance[Cost Centre],$A12,tbl_Finance[Tax Code],"GST 10%")*(MATCH($C$4,lst_FY27Months,0)=9)+SUMIFS(tbl_Finance[Apr Ex GST],tbl_Finance[Cost Centre],$A12,tbl_Finance[Tax Code],"GST 10%")*(MATCH($C$4,lst_FY27Months,0)=10)+SUMIFS(tbl_Finance[May Ex GST],tbl_Finance[Cost Centre],$A12,tbl_Finance[Tax Code],"GST 10%")*(MATCH($C$4,lst_FY27Months,0)=11)+SUMIFS(tbl_Finance[Jun Ex GST],tbl_Finance[Cost Centre],$A12,tbl_Finance[Tax Code],"GST 10%")*(MATCH($C$4,lst_FY27Months,0)=12))*set_GSTRate,2),0)</f>
        <v/>
      </c>
      <c r="D12" s="21">
        <f>B12+C12</f>
        <v/>
      </c>
      <c r="E12" s="21">
        <f>SUMIFS(tbl_WIP[Amount],tbl_WIP[Month],$C$4,tbl_WIP[Cost Centre],$A12,tbl_WIP[Revenue or Cost],"&lt;&gt;Cost")</f>
        <v/>
      </c>
      <c r="F12" s="21">
        <f>B12+E12</f>
        <v/>
      </c>
      <c r="G12" s="22" t="n"/>
      <c r="H12" s="21">
        <f>IF($G12="","",$F12-$G12)</f>
        <v/>
      </c>
      <c r="I12" s="20">
        <f>IF($G12="",IF(ROUND(F12,2)=0,"","Enter Xero figure"),IF(ROUND($H12,2)=0,"Reconciled","CHECK - "&amp;TEXT($H12,"$#,##0.00")))</f>
        <v/>
      </c>
    </row>
    <row r="13">
      <c r="A13" s="20">
        <f>INDEX(lst_CostCentre,6)</f>
        <v/>
      </c>
      <c r="B13" s="21">
        <f>IFERROR(INDEX('FY Summary'!$B$11:$M$11,MATCH($C$4,lst_FY27Months,0)),0)</f>
        <v/>
      </c>
      <c r="C13" s="21">
        <f>IFERROR(ROUND((SUMIFS(tbl_Finance[Jul Ex GST],tbl_Finance[Cost Centre],$A13,tbl_Finance[Tax Code],"GST 10%")*(MATCH($C$4,lst_FY27Months,0)=1)+SUMIFS(tbl_Finance[Aug Ex GST],tbl_Finance[Cost Centre],$A13,tbl_Finance[Tax Code],"GST 10%")*(MATCH($C$4,lst_FY27Months,0)=2)+SUMIFS(tbl_Finance[Sep Ex GST],tbl_Finance[Cost Centre],$A13,tbl_Finance[Tax Code],"GST 10%")*(MATCH($C$4,lst_FY27Months,0)=3)+SUMIFS(tbl_Finance[Oct Ex GST],tbl_Finance[Cost Centre],$A13,tbl_Finance[Tax Code],"GST 10%")*(MATCH($C$4,lst_FY27Months,0)=4)+SUMIFS(tbl_Finance[Nov Ex GST],tbl_Finance[Cost Centre],$A13,tbl_Finance[Tax Code],"GST 10%")*(MATCH($C$4,lst_FY27Months,0)=5)+SUMIFS(tbl_Finance[Dec Ex GST],tbl_Finance[Cost Centre],$A13,tbl_Finance[Tax Code],"GST 10%")*(MATCH($C$4,lst_FY27Months,0)=6)+SUMIFS(tbl_Finance[Jan Ex GST],tbl_Finance[Cost Centre],$A13,tbl_Finance[Tax Code],"GST 10%")*(MATCH($C$4,lst_FY27Months,0)=7)+SUMIFS(tbl_Finance[Feb Ex GST],tbl_Finance[Cost Centre],$A13,tbl_Finance[Tax Code],"GST 10%")*(MATCH($C$4,lst_FY27Months,0)=8)+SUMIFS(tbl_Finance[Mar Ex GST],tbl_Finance[Cost Centre],$A13,tbl_Finance[Tax Code],"GST 10%")*(MATCH($C$4,lst_FY27Months,0)=9)+SUMIFS(tbl_Finance[Apr Ex GST],tbl_Finance[Cost Centre],$A13,tbl_Finance[Tax Code],"GST 10%")*(MATCH($C$4,lst_FY27Months,0)=10)+SUMIFS(tbl_Finance[May Ex GST],tbl_Finance[Cost Centre],$A13,tbl_Finance[Tax Code],"GST 10%")*(MATCH($C$4,lst_FY27Months,0)=11)+SUMIFS(tbl_Finance[Jun Ex GST],tbl_Finance[Cost Centre],$A13,tbl_Finance[Tax Code],"GST 10%")*(MATCH($C$4,lst_FY27Months,0)=12))*set_GSTRate,2),0)</f>
        <v/>
      </c>
      <c r="D13" s="21">
        <f>B13+C13</f>
        <v/>
      </c>
      <c r="E13" s="21">
        <f>SUMIFS(tbl_WIP[Amount],tbl_WIP[Month],$C$4,tbl_WIP[Cost Centre],$A13,tbl_WIP[Revenue or Cost],"&lt;&gt;Cost")</f>
        <v/>
      </c>
      <c r="F13" s="21">
        <f>B13+E13</f>
        <v/>
      </c>
      <c r="G13" s="22" t="n"/>
      <c r="H13" s="21">
        <f>IF($G13="","",$F13-$G13)</f>
        <v/>
      </c>
      <c r="I13" s="20">
        <f>IF($G13="",IF(ROUND(F13,2)=0,"","Enter Xero figure"),IF(ROUND($H13,2)=0,"Reconciled","CHECK - "&amp;TEXT($H13,"$#,##0.00")))</f>
        <v/>
      </c>
    </row>
    <row r="14">
      <c r="A14" s="20" t="inlineStr">
        <is>
          <t>No cost centre set</t>
        </is>
      </c>
      <c r="B14" s="21">
        <f>IFERROR(INDEX('FY Summary'!$B$12:$M$12,MATCH($C$4,lst_FY27Months,0)),0)</f>
        <v/>
      </c>
      <c r="C14" s="21" t="n">
        <v>0</v>
      </c>
      <c r="D14" s="21">
        <f>B14+C14</f>
        <v/>
      </c>
      <c r="E14" s="21">
        <f>SUMIFS(tbl_WIP[Amount],tbl_WIP[Month],$C$4,tbl_WIP[Revenue or Cost],"&lt;&gt;Cost")-SUM(E8:E13)</f>
        <v/>
      </c>
      <c r="F14" s="21">
        <f>B14+E14</f>
        <v/>
      </c>
      <c r="G14" s="22" t="n"/>
      <c r="H14" s="21">
        <f>IF($G14="","",$F14-$G14)</f>
        <v/>
      </c>
      <c r="I14" s="20">
        <f>IF($G14="",IF(ROUND(F14,2)=0,"","Enter Xero figure"),IF(ROUND($H14,2)=0,"Reconciled","CHECK - "&amp;TEXT($H14,"$#,##0.00")))</f>
        <v/>
      </c>
    </row>
    <row r="15">
      <c r="A15" s="17" t="inlineStr">
        <is>
          <t>TOTAL</t>
        </is>
      </c>
      <c r="B15" s="23">
        <f>SUM(B8:B14)</f>
        <v/>
      </c>
      <c r="C15" s="23">
        <f>SUM(C8:C14)</f>
        <v/>
      </c>
      <c r="D15" s="23">
        <f>SUM(D8:D14)</f>
        <v/>
      </c>
      <c r="E15" s="23">
        <f>SUM(E8:E14)</f>
        <v/>
      </c>
      <c r="F15" s="23">
        <f>SUM(F8:F14)</f>
        <v/>
      </c>
      <c r="G15" s="23">
        <f>SUM(G8:G14)</f>
        <v/>
      </c>
      <c r="H15" s="23">
        <f>SUM(H8:H14)</f>
        <v/>
      </c>
      <c r="I15" s="17">
        <f>IF(COUNT($G8:$G14)=0,"Enter Xero figures",IF(ROUND($H15,2)=0,"Reconciled","CHECK - "&amp;TEXT($H15,"$#,##0.00")))</f>
        <v/>
      </c>
    </row>
    <row r="16">
      <c r="A16" s="6" t="inlineStr">
        <is>
          <t>Invoiced Ex GST reads the month's column on the Finance sheet (via FY Summary). GST is worked on the month total, so it can differ from Xero by a few cents of rounding.</t>
        </is>
      </c>
      <c r="B16" s="20" t="n"/>
      <c r="C16" s="20" t="n"/>
      <c r="D16" s="20" t="n"/>
      <c r="E16" s="20" t="n"/>
      <c r="F16" s="20" t="n"/>
      <c r="G16" s="20" t="n"/>
      <c r="H16" s="20" t="n"/>
      <c r="I16" s="20" t="n"/>
    </row>
    <row r="17">
      <c r="A17" s="20" t="n"/>
      <c r="B17" s="20" t="n"/>
      <c r="C17" s="20" t="n"/>
      <c r="D17" s="20" t="n"/>
      <c r="E17" s="20" t="n"/>
      <c r="F17" s="20" t="n"/>
      <c r="G17" s="20" t="n"/>
      <c r="H17" s="20" t="n"/>
      <c r="I17" s="20" t="n"/>
    </row>
    <row r="18">
      <c r="A18" s="3" t="inlineStr">
        <is>
          <t>2.  WORK IN PROGRESS  -  GL 11300</t>
        </is>
      </c>
      <c r="B18" s="20" t="n"/>
      <c r="C18" s="20" t="n"/>
      <c r="D18" s="20" t="n"/>
      <c r="E18" s="20" t="n"/>
      <c r="F18" s="20" t="n"/>
      <c r="G18" s="20" t="n"/>
      <c r="H18" s="20" t="n"/>
      <c r="I18" s="20" t="n"/>
    </row>
    <row r="19">
      <c r="A19" s="20" t="n"/>
      <c r="B19" s="8" t="inlineStr">
        <is>
          <t>Total</t>
        </is>
      </c>
      <c r="C19" s="8" t="inlineStr">
        <is>
          <t>Revenue</t>
        </is>
      </c>
      <c r="D19" s="8" t="inlineStr">
        <is>
          <t>Cost</t>
        </is>
      </c>
      <c r="E19" s="20" t="n"/>
      <c r="F19" s="20" t="n"/>
      <c r="G19" s="20" t="n"/>
      <c r="H19" s="20" t="n"/>
      <c r="I19" s="8" t="inlineStr">
        <is>
          <t>Check</t>
        </is>
      </c>
    </row>
    <row r="20">
      <c r="A20" s="20" t="inlineStr">
        <is>
          <t>Opening WIP balance (all months before this one)</t>
        </is>
      </c>
      <c r="B20" s="21">
        <f>C20+D20</f>
        <v/>
      </c>
      <c r="C20" s="21">
        <f>SUMIFS(tbl_WIP[Amount],tbl_WIP[Month],"&lt;"&amp;$C$4,tbl_WIP[Revenue or Cost],"&lt;&gt;Cost")</f>
        <v/>
      </c>
      <c r="D20" s="21">
        <f>SUMIFS(tbl_WIP[Amount],tbl_WIP[Month],"&lt;"&amp;$C$4,tbl_WIP[Revenue or Cost],"Cost")</f>
        <v/>
      </c>
      <c r="E20" s="20" t="n"/>
      <c r="F20" s="20" t="n"/>
      <c r="G20" s="20" t="n"/>
      <c r="H20" s="20" t="n"/>
      <c r="I20" s="20" t="n"/>
    </row>
    <row r="21">
      <c r="A21" s="20" t="inlineStr">
        <is>
          <t>Movement this month</t>
        </is>
      </c>
      <c r="B21" s="21">
        <f>C21+D21</f>
        <v/>
      </c>
      <c r="C21" s="21">
        <f>SUMIFS(tbl_WIP[Amount],tbl_WIP[Month],$C$4,tbl_WIP[Revenue or Cost],"&lt;&gt;Cost")</f>
        <v/>
      </c>
      <c r="D21" s="21">
        <f>SUMIFS(tbl_WIP[Amount],tbl_WIP[Month],$C$4,tbl_WIP[Revenue or Cost],"Cost")</f>
        <v/>
      </c>
      <c r="E21" s="20" t="n"/>
      <c r="F21" s="20" t="n"/>
      <c r="G21" s="20" t="n"/>
      <c r="H21" s="20" t="n"/>
      <c r="I21" s="20" t="n"/>
    </row>
    <row r="22">
      <c r="A22" s="20" t="inlineStr">
        <is>
          <t>Closing WIP balance per this tracker</t>
        </is>
      </c>
      <c r="B22" s="21">
        <f>B20+B21</f>
        <v/>
      </c>
      <c r="C22" s="21">
        <f>C20+C21</f>
        <v/>
      </c>
      <c r="D22" s="21">
        <f>D20+D21</f>
        <v/>
      </c>
      <c r="E22" s="20" t="n"/>
      <c r="F22" s="20" t="n"/>
      <c r="G22" s="20" t="n"/>
      <c r="H22" s="20" t="n"/>
      <c r="I22" s="20" t="n"/>
    </row>
    <row r="23">
      <c r="A23" s="20" t="inlineStr">
        <is>
          <t>Closing balance per the WIP Schedule file (type in)</t>
        </is>
      </c>
      <c r="B23" s="22" t="n"/>
      <c r="C23" s="20" t="n"/>
      <c r="D23" s="20" t="n"/>
      <c r="E23" s="20" t="n"/>
      <c r="F23" s="20" t="n"/>
      <c r="G23" s="20" t="n"/>
      <c r="H23" s="20" t="n"/>
      <c r="I23" s="20" t="n"/>
    </row>
    <row r="24">
      <c r="A24" s="20" t="inlineStr">
        <is>
          <t>Variance - tracker vs WIP Schedule</t>
        </is>
      </c>
      <c r="B24" s="21">
        <f>IF(B23="","",B22-B23)</f>
        <v/>
      </c>
      <c r="C24" s="20" t="n"/>
      <c r="D24" s="20" t="n"/>
      <c r="E24" s="20" t="n"/>
      <c r="F24" s="20" t="n"/>
      <c r="G24" s="20" t="n"/>
      <c r="H24" s="20" t="n"/>
      <c r="I24" s="20">
        <f>IF(B23="","Enter WIP Schedule figure",IF(ROUND(B24,2)=0,"Reconciled","CHECK"))</f>
        <v/>
      </c>
    </row>
    <row r="25">
      <c r="A25" s="20" t="inlineStr">
        <is>
          <t>Closing balance per Xero GL 11300 (type in)</t>
        </is>
      </c>
      <c r="B25" s="22" t="n"/>
      <c r="C25" s="20" t="n"/>
      <c r="D25" s="20" t="n"/>
      <c r="E25" s="20" t="n"/>
      <c r="F25" s="20" t="n"/>
      <c r="G25" s="20" t="n"/>
      <c r="H25" s="20" t="n"/>
      <c r="I25" s="20" t="n"/>
    </row>
    <row r="26">
      <c r="A26" s="20" t="inlineStr">
        <is>
          <t>Variance - tracker vs Xero</t>
        </is>
      </c>
      <c r="B26" s="21">
        <f>IF(B25="","",B22-B25)</f>
        <v/>
      </c>
      <c r="C26" s="20" t="n"/>
      <c r="D26" s="20" t="n"/>
      <c r="E26" s="20" t="n"/>
      <c r="F26" s="20" t="n"/>
      <c r="G26" s="20" t="n"/>
      <c r="H26" s="20" t="n"/>
      <c r="I26" s="20">
        <f>IF(B25="","Enter Xero 11300 balance",IF(ROUND(B26,2)=0,"Reconciled","CHECK"))</f>
        <v/>
      </c>
    </row>
    <row r="27">
      <c r="A27" s="20" t="n"/>
      <c r="B27" s="20" t="n"/>
      <c r="C27" s="20" t="n"/>
      <c r="D27" s="20" t="n"/>
      <c r="E27" s="20" t="n"/>
      <c r="F27" s="20" t="n"/>
      <c r="G27" s="20" t="n"/>
      <c r="H27" s="20" t="n"/>
      <c r="I27" s="20" t="n"/>
    </row>
    <row r="28">
      <c r="A28" s="3" t="inlineStr">
        <is>
          <t>3.  MISSED REVENUE CHECK  -  department expected vs Xero (whole FY to date)</t>
        </is>
      </c>
      <c r="B28" s="20" t="n"/>
      <c r="C28" s="20" t="n"/>
      <c r="D28" s="20" t="n"/>
      <c r="E28" s="20" t="n"/>
      <c r="F28" s="20" t="n"/>
      <c r="G28" s="20" t="n"/>
      <c r="H28" s="20" t="n"/>
      <c r="I28" s="20" t="n"/>
    </row>
    <row r="29">
      <c r="A29" s="8" t="inlineStr">
        <is>
          <t>Item</t>
        </is>
      </c>
      <c r="B29" s="8" t="inlineStr">
        <is>
          <t>Jobs</t>
        </is>
      </c>
      <c r="C29" s="8" t="inlineStr">
        <is>
          <t>Ex GST</t>
        </is>
      </c>
      <c r="D29" s="20" t="n"/>
      <c r="E29" s="20" t="n"/>
      <c r="F29" s="20" t="n"/>
      <c r="G29" s="20" t="n"/>
      <c r="H29" s="20" t="n"/>
      <c r="I29" s="8" t="inlineStr">
        <is>
          <t>Status</t>
        </is>
      </c>
    </row>
    <row r="30">
      <c r="A30" s="20" t="inlineStr">
        <is>
          <t>Jobs set up but not invoiced at all</t>
        </is>
      </c>
      <c r="B30" s="20">
        <f>COUNTIF(tbl_Finance[Compare],"Not invoiced*")</f>
        <v/>
      </c>
      <c r="C30" s="21">
        <f>SUMIFS(tbl_Finance[Dept Expected Ex GST],tbl_Finance[Compare],"Not invoiced*")</f>
        <v/>
      </c>
      <c r="D30" s="20" t="n"/>
      <c r="E30" s="20" t="n"/>
      <c r="F30" s="20" t="n"/>
      <c r="G30" s="20" t="n"/>
      <c r="H30" s="20" t="n"/>
      <c r="I30" s="20">
        <f>IF(B30=0,"Clear","REVIEW")</f>
        <v/>
      </c>
    </row>
    <row r="31">
      <c r="A31" s="20" t="inlineStr">
        <is>
          <t>Jobs part invoiced - department expects more</t>
        </is>
      </c>
      <c r="B31" s="20">
        <f>COUNTIF(tbl_Finance[Compare],"Dept higher*")</f>
        <v/>
      </c>
      <c r="C31" s="21">
        <f>SUMIFS(tbl_Finance[Variance Dept vs Xero],tbl_Finance[Compare],"Dept higher*")</f>
        <v/>
      </c>
      <c r="D31" s="20" t="n"/>
      <c r="E31" s="20" t="n"/>
      <c r="F31" s="20" t="n"/>
      <c r="G31" s="20" t="n"/>
      <c r="H31" s="20" t="n"/>
      <c r="I31" s="20">
        <f>IF(B31=0,"Clear","REVIEW")</f>
        <v/>
      </c>
    </row>
    <row r="32">
      <c r="A32" s="20" t="inlineStr">
        <is>
          <t>Jobs where Xero is higher than the department expected</t>
        </is>
      </c>
      <c r="B32" s="20">
        <f>COUNTIF(tbl_Finance[Compare],"Xero higher*")</f>
        <v/>
      </c>
      <c r="C32" s="21">
        <f>SUMIFS(tbl_Finance[Variance Dept vs Xero],tbl_Finance[Compare],"Xero higher*")</f>
        <v/>
      </c>
      <c r="D32" s="20" t="n"/>
      <c r="E32" s="20" t="n"/>
      <c r="F32" s="20" t="n"/>
      <c r="G32" s="20" t="n"/>
      <c r="H32" s="20" t="n"/>
      <c r="I32" s="20">
        <f>IF(B32=0,"Clear","REVIEW")</f>
        <v/>
      </c>
    </row>
    <row r="33">
      <c r="A33" s="20" t="inlineStr">
        <is>
          <t>Invoiced but the department has no expected value</t>
        </is>
      </c>
      <c r="B33" s="20">
        <f>COUNTIF(tbl_Finance[Compare],"Invoiced - no dept value")</f>
        <v/>
      </c>
      <c r="C33" s="21">
        <f>SUMIFS(tbl_Finance[Xero Invoiced Ex GST],tbl_Finance[Compare],"Invoiced - no dept value")</f>
        <v/>
      </c>
      <c r="D33" s="20" t="n"/>
      <c r="E33" s="20" t="n"/>
      <c r="F33" s="20" t="n"/>
      <c r="G33" s="20" t="n"/>
      <c r="H33" s="20" t="n"/>
      <c r="I33" s="20">
        <f>IF(B33=0,"Clear","REVIEW")</f>
        <v/>
      </c>
    </row>
    <row r="34">
      <c r="A34" s="20" t="inlineStr">
        <is>
          <t>Invoice typed on a row with no job</t>
        </is>
      </c>
      <c r="B34" s="20">
        <f>COUNTIF(tbl_Finance[Compare],"Invoice on empty job row")</f>
        <v/>
      </c>
      <c r="C34" s="21">
        <f>SUMIFS(tbl_Finance[Xero Invoiced Ex GST],tbl_Finance[Compare],"Invoice on empty job row")</f>
        <v/>
      </c>
      <c r="D34" s="20" t="n"/>
      <c r="E34" s="20" t="n"/>
      <c r="F34" s="20" t="n"/>
      <c r="G34" s="20" t="n"/>
      <c r="H34" s="20" t="n"/>
      <c r="I34" s="20">
        <f>IF(B34=0,"Clear","REVIEW")</f>
        <v/>
      </c>
    </row>
    <row r="35">
      <c r="A35" s="20" t="inlineStr">
        <is>
          <t>Revenue still to invoice (first two lines)</t>
        </is>
      </c>
      <c r="B35" s="20" t="n"/>
      <c r="C35" s="21">
        <f>C30+C31</f>
        <v/>
      </c>
      <c r="D35" s="20" t="n"/>
      <c r="E35" s="20" t="n"/>
      <c r="F35" s="20" t="n"/>
      <c r="G35" s="20" t="n"/>
      <c r="H35" s="20" t="n"/>
      <c r="I35" s="20" t="n"/>
    </row>
    <row r="36">
      <c r="A36" s="6" t="inlineStr">
        <is>
          <t>Filter Compare on the Finance sheet to see each job. Not invoiced and Dept higher are revenue at risk of being missed. Chase the department or raise the invoice.</t>
        </is>
      </c>
      <c r="B36" s="20" t="n"/>
      <c r="C36" s="20" t="n"/>
      <c r="D36" s="20" t="n"/>
      <c r="E36" s="20" t="n"/>
      <c r="F36" s="20" t="n"/>
      <c r="G36" s="20" t="n"/>
      <c r="H36" s="20" t="n"/>
      <c r="I36" s="20" t="n"/>
    </row>
    <row r="37">
      <c r="A37" s="20" t="n"/>
      <c r="B37" s="20" t="n"/>
      <c r="C37" s="20" t="n"/>
      <c r="D37" s="20" t="n"/>
      <c r="E37" s="20" t="n"/>
      <c r="F37" s="20" t="n"/>
      <c r="G37" s="20" t="n"/>
      <c r="H37" s="20" t="n"/>
      <c r="I37" s="20" t="n"/>
    </row>
    <row r="38">
      <c r="A38" s="3" t="inlineStr">
        <is>
          <t>4.  DATA CHECKS  -  every count should be zero before you close</t>
        </is>
      </c>
      <c r="B38" s="20" t="n"/>
      <c r="C38" s="20" t="n"/>
      <c r="D38" s="20" t="n"/>
      <c r="E38" s="20" t="n"/>
      <c r="F38" s="20" t="n"/>
      <c r="G38" s="20" t="n"/>
      <c r="H38" s="20" t="n"/>
      <c r="I38" s="20" t="n"/>
    </row>
    <row r="39">
      <c r="A39" s="8" t="inlineStr">
        <is>
          <t>Check</t>
        </is>
      </c>
      <c r="B39" s="8" t="inlineStr">
        <is>
          <t>Count</t>
        </is>
      </c>
      <c r="C39" s="20" t="n"/>
      <c r="D39" s="20" t="n"/>
      <c r="E39" s="20" t="n"/>
      <c r="F39" s="20" t="n"/>
      <c r="G39" s="20" t="n"/>
      <c r="H39" s="20" t="n"/>
      <c r="I39" s="8" t="inlineStr">
        <is>
          <t>Status</t>
        </is>
      </c>
    </row>
    <row r="40">
      <c r="A40" s="20" t="inlineStr">
        <is>
          <t>Finance rows with anything in the Issue column</t>
        </is>
      </c>
      <c r="B40" s="20">
        <f>COUNTIF(tbl_Finance[Issue],"?*")</f>
        <v/>
      </c>
      <c r="C40" s="20" t="n"/>
      <c r="D40" s="20" t="n"/>
      <c r="E40" s="20" t="n"/>
      <c r="F40" s="20" t="n"/>
      <c r="G40" s="20" t="n"/>
      <c r="H40" s="20" t="n"/>
      <c r="I40" s="20">
        <f>IF(B40=0,"Clear","REVIEW")</f>
        <v/>
      </c>
    </row>
    <row r="41">
      <c r="A41" s="20" t="inlineStr">
        <is>
          <t>Job numbers not found in the Xero job list</t>
        </is>
      </c>
      <c r="B41" s="20">
        <f>COUNTIF(tbl_Finance[Job in Xero?],"CHECK")</f>
        <v/>
      </c>
      <c r="C41" s="20" t="n"/>
      <c r="D41" s="20" t="n"/>
      <c r="E41" s="20" t="n"/>
      <c r="F41" s="20" t="n"/>
      <c r="G41" s="20" t="n"/>
      <c r="H41" s="20" t="n"/>
      <c r="I41" s="20">
        <f>IF(B41=0,"Clear","REVIEW")</f>
        <v/>
      </c>
    </row>
    <row r="42">
      <c r="A42" s="20" t="inlineStr">
        <is>
          <t>Job numbers used on more than one row (any department)</t>
        </is>
      </c>
      <c r="B42" s="20">
        <f>SUMPRODUCT((Finance!$C$7:$C$1506&lt;&gt;"")*(COUNTIF(Finance!$C$7:$C$1506,Finance!$C$7:$C$1506)&gt;1))</f>
        <v/>
      </c>
      <c r="C42" s="20" t="n"/>
      <c r="D42" s="20" t="n"/>
      <c r="E42" s="20" t="n"/>
      <c r="F42" s="20" t="n"/>
      <c r="G42" s="20" t="n"/>
      <c r="H42" s="20" t="n"/>
      <c r="I42" s="20">
        <f>IF(B42=0,"Clear","REVIEW")</f>
        <v/>
      </c>
    </row>
    <row r="43">
      <c r="A43" s="20" t="inlineStr">
        <is>
          <t>Department rows missing information Finance needs</t>
        </is>
      </c>
      <c r="B43" s="20">
        <f>COUNTIF(tbl_Onsite[Not Yet on Finance],"Fix:*")+COUNTIF(tbl_Production[Not Yet on Finance],"Fix:*")+COUNTIF(tbl_Consulting[Not Yet on Finance],"Fix:*")</f>
        <v/>
      </c>
      <c r="C43" s="20" t="n"/>
      <c r="D43" s="20" t="n"/>
      <c r="E43" s="20" t="n"/>
      <c r="F43" s="20" t="n"/>
      <c r="G43" s="20" t="n"/>
      <c r="H43" s="20" t="n"/>
      <c r="I43" s="20">
        <f>IF(B43=0,"Clear","REVIEW")</f>
        <v/>
      </c>
    </row>
    <row r="44">
      <c r="A44" s="20" t="inlineStr">
        <is>
          <t>Incomplete invoices (No, Date or Ex GST missing)</t>
        </is>
      </c>
      <c r="B44" s="20">
        <f>COUNTIF(tbl_Finance[Issue],"*incomplete*")</f>
        <v/>
      </c>
      <c r="C44" s="20" t="n"/>
      <c r="D44" s="20" t="n"/>
      <c r="E44" s="20" t="n"/>
      <c r="F44" s="20" t="n"/>
      <c r="G44" s="20" t="n"/>
      <c r="H44" s="20" t="n"/>
      <c r="I44" s="20">
        <f>IF(B44=0,"Clear","REVIEW")</f>
        <v/>
      </c>
    </row>
    <row r="45">
      <c r="A45" s="20" t="inlineStr">
        <is>
          <t>Invoice dates typed under the wrong month</t>
        </is>
      </c>
      <c r="B45" s="20">
        <f>COUNTIF(tbl_Finance[Issue],"*not in the month*")</f>
        <v/>
      </c>
      <c r="C45" s="20" t="n"/>
      <c r="D45" s="20" t="n"/>
      <c r="E45" s="20" t="n"/>
      <c r="F45" s="20" t="n"/>
      <c r="G45" s="20" t="n"/>
      <c r="H45" s="20" t="n"/>
      <c r="I45" s="20">
        <f>IF(B45=0,"Clear","REVIEW")</f>
        <v/>
      </c>
    </row>
    <row r="46">
      <c r="A46" s="20" t="inlineStr">
        <is>
          <t>Department rows deleted (Row ID missing)</t>
        </is>
      </c>
      <c r="B46" s="20">
        <f>COUNTIF(tbl_Finance[Issue],"*Row ID not found*")</f>
        <v/>
      </c>
      <c r="C46" s="20" t="n"/>
      <c r="D46" s="20" t="n"/>
      <c r="E46" s="20" t="n"/>
      <c r="F46" s="20" t="n"/>
      <c r="G46" s="20" t="n"/>
      <c r="H46" s="20" t="n"/>
      <c r="I46" s="20">
        <f>IF(B46=0,"Clear","REVIEW")</f>
        <v/>
      </c>
    </row>
    <row r="47">
      <c r="A47" s="20" t="inlineStr">
        <is>
          <t>Consulting revenue split does not equal the job value</t>
        </is>
      </c>
      <c r="B47" s="20">
        <f>COUNTIF(tbl_Consulting[Revenue Split Check],"MISMATCH")</f>
        <v/>
      </c>
      <c r="C47" s="20" t="n"/>
      <c r="D47" s="20" t="n"/>
      <c r="E47" s="20" t="n"/>
      <c r="F47" s="20" t="n"/>
      <c r="G47" s="20" t="n"/>
      <c r="H47" s="20" t="n"/>
      <c r="I47" s="20">
        <f>IF(B47=0,"Clear","REVIEW")</f>
        <v/>
      </c>
    </row>
    <row r="48">
      <c r="A48" s="20" t="inlineStr">
        <is>
          <t>WIP movements with an amount but no month or no job</t>
        </is>
      </c>
      <c r="B48" s="20">
        <f>COUNTIFS(tbl_WIP[Month],"",tbl_WIP[Amount],"&lt;&gt;")+COUNTIFS(tbl_WIP[Job Number],"",tbl_WIP[Amount],"&lt;&gt;")</f>
        <v/>
      </c>
      <c r="C48" s="20" t="n"/>
      <c r="D48" s="20" t="n"/>
      <c r="E48" s="20" t="n"/>
      <c r="F48" s="20" t="n"/>
      <c r="G48" s="20" t="n"/>
      <c r="H48" s="20" t="n"/>
      <c r="I48" s="20">
        <f>IF(B48=0,"Clear","REVIEW")</f>
        <v/>
      </c>
    </row>
    <row r="49">
      <c r="A49" s="20" t="inlineStr">
        <is>
          <t>WIP job numbers not found in the Xero job list</t>
        </is>
      </c>
      <c r="B49" s="20">
        <f>COUNTIF(tbl_WIP[Job in Xero?],"CHECK")</f>
        <v/>
      </c>
      <c r="C49" s="20" t="n"/>
      <c r="D49" s="20" t="n"/>
      <c r="E49" s="20" t="n"/>
      <c r="F49" s="20" t="n"/>
      <c r="G49" s="20" t="n"/>
      <c r="H49" s="20" t="n"/>
      <c r="I49" s="20">
        <f>IF(B49=0,"Clear","REVIEW")</f>
        <v/>
      </c>
    </row>
    <row r="50">
      <c r="A50" s="20" t="inlineStr">
        <is>
          <t>WIP rows with an amount but Revenue or Cost not set</t>
        </is>
      </c>
      <c r="B50" s="20">
        <f>COUNTIFS(tbl_WIP[Amount],"&lt;&gt;",tbl_WIP[Revenue or Cost],"")</f>
        <v/>
      </c>
      <c r="C50" s="20" t="n"/>
      <c r="D50" s="20" t="n"/>
      <c r="E50" s="20" t="n"/>
      <c r="F50" s="20" t="n"/>
      <c r="G50" s="20" t="n"/>
      <c r="H50" s="20" t="n"/>
      <c r="I50" s="20">
        <f>IF(B50=0,"Clear","REVIEW")</f>
        <v/>
      </c>
    </row>
    <row r="51">
      <c r="A51" s="20" t="inlineStr">
        <is>
          <t>WIP cost rows with no P&amp;L Account</t>
        </is>
      </c>
      <c r="B51" s="20">
        <f>COUNTIFS(tbl_WIP[Revenue or Cost],"Cost",tbl_WIP[P&amp;L Account],"",tbl_WIP[Amount],"&lt;&gt;")</f>
        <v/>
      </c>
      <c r="C51" s="20" t="n"/>
      <c r="D51" s="20" t="n"/>
      <c r="E51" s="20" t="n"/>
      <c r="F51" s="20" t="n"/>
      <c r="G51" s="20" t="n"/>
      <c r="H51" s="20" t="n"/>
      <c r="I51" s="20">
        <f>IF(B51=0,"Clear","REVIEW")</f>
        <v/>
      </c>
    </row>
    <row r="52">
      <c r="A52" s="20" t="inlineStr">
        <is>
          <t>WIP rows this month not posted to Xero</t>
        </is>
      </c>
      <c r="B52" s="20">
        <f>COUNTIFS(tbl_WIP[Month],$C$4,tbl_WIP[Amount],"&lt;&gt;",tbl_WIP[Posted to Xero],"&lt;&gt;Y")</f>
        <v/>
      </c>
      <c r="C52" s="20" t="n"/>
      <c r="D52" s="20" t="n"/>
      <c r="E52" s="20" t="n"/>
      <c r="F52" s="20" t="n"/>
      <c r="G52" s="20" t="n"/>
      <c r="H52" s="20" t="n"/>
      <c r="I52" s="20">
        <f>IF(B52=0,"Clear","REVIEW")</f>
        <v/>
      </c>
    </row>
    <row r="53">
      <c r="A53" s="20" t="n"/>
      <c r="B53" s="20" t="n"/>
      <c r="C53" s="20" t="n"/>
      <c r="D53" s="20" t="n"/>
      <c r="E53" s="20" t="n"/>
      <c r="F53" s="20" t="n"/>
      <c r="G53" s="20" t="n"/>
      <c r="H53" s="20" t="n"/>
      <c r="I53" s="20" t="n"/>
    </row>
    <row r="54">
      <c r="A54" s="3" t="inlineStr">
        <is>
          <t>5.  WIP JOURNAL FOR THE MONTH  -  post this one journal in Xero</t>
        </is>
      </c>
      <c r="B54" s="20" t="n"/>
      <c r="C54" s="20" t="n"/>
      <c r="D54" s="20" t="n"/>
      <c r="E54" s="20" t="n"/>
      <c r="F54" s="20" t="n"/>
      <c r="G54" s="20" t="n"/>
      <c r="H54" s="20" t="n"/>
      <c r="I54" s="20" t="n"/>
    </row>
    <row r="55">
      <c r="A55" s="8" t="inlineStr">
        <is>
          <t>Account</t>
        </is>
      </c>
      <c r="B55" s="8" t="inlineStr">
        <is>
          <t>Cost Centre</t>
        </is>
      </c>
      <c r="C55" s="8" t="inlineStr">
        <is>
          <t>Debit</t>
        </is>
      </c>
      <c r="D55" s="8" t="inlineStr">
        <is>
          <t>Credit</t>
        </is>
      </c>
      <c r="E55" s="20" t="n"/>
      <c r="F55" s="20" t="n"/>
      <c r="G55" s="20" t="n"/>
      <c r="H55" s="20" t="n"/>
      <c r="I55" s="20" t="n"/>
    </row>
    <row r="56">
      <c r="A56" s="20">
        <f>set_WIPAsset</f>
        <v/>
      </c>
      <c r="B56" s="21">
        <f>"(no tracking)"</f>
        <v/>
      </c>
      <c r="C56" s="21">
        <f>IF(ROUND(C21,2)&gt;0,C21,"")</f>
        <v/>
      </c>
      <c r="D56" s="21">
        <f>IF(ROUND(C21,2)&lt;0,-C21,"")</f>
        <v/>
      </c>
      <c r="E56" s="20" t="n"/>
      <c r="F56" s="20" t="n"/>
      <c r="G56" s="20" t="n"/>
      <c r="H56" s="20" t="n"/>
      <c r="I56" s="20" t="n"/>
    </row>
    <row r="57">
      <c r="A57" s="20">
        <f>set_WIPIncome</f>
        <v/>
      </c>
      <c r="B57" s="21">
        <f>$A$8</f>
        <v/>
      </c>
      <c r="C57" s="21">
        <f>IF(ROUND($E$8,2)&lt;0,-$E$8,"")</f>
        <v/>
      </c>
      <c r="D57" s="21">
        <f>IF(ROUND($E$8,2)&gt;0,$E$8,"")</f>
        <v/>
      </c>
      <c r="E57" s="20" t="n"/>
      <c r="F57" s="20" t="n"/>
      <c r="G57" s="20" t="n"/>
      <c r="H57" s="20" t="n"/>
      <c r="I57" s="20" t="n"/>
    </row>
    <row r="58">
      <c r="A58" s="20">
        <f>set_WIPIncome</f>
        <v/>
      </c>
      <c r="B58" s="21">
        <f>$A$9</f>
        <v/>
      </c>
      <c r="C58" s="21">
        <f>IF(ROUND($E$9,2)&lt;0,-$E$9,"")</f>
        <v/>
      </c>
      <c r="D58" s="21">
        <f>IF(ROUND($E$9,2)&gt;0,$E$9,"")</f>
        <v/>
      </c>
      <c r="E58" s="20" t="n"/>
      <c r="F58" s="20" t="n"/>
      <c r="G58" s="20" t="n"/>
      <c r="H58" s="20" t="n"/>
      <c r="I58" s="20" t="n"/>
    </row>
    <row r="59">
      <c r="A59" s="20">
        <f>set_WIPIncome</f>
        <v/>
      </c>
      <c r="B59" s="21">
        <f>$A$10</f>
        <v/>
      </c>
      <c r="C59" s="21">
        <f>IF(ROUND($E$10,2)&lt;0,-$E$10,"")</f>
        <v/>
      </c>
      <c r="D59" s="21">
        <f>IF(ROUND($E$10,2)&gt;0,$E$10,"")</f>
        <v/>
      </c>
      <c r="E59" s="20" t="n"/>
      <c r="F59" s="20" t="n"/>
      <c r="G59" s="20" t="n"/>
      <c r="H59" s="20" t="n"/>
      <c r="I59" s="20" t="n"/>
    </row>
    <row r="60">
      <c r="A60" s="20">
        <f>set_WIPIncome</f>
        <v/>
      </c>
      <c r="B60" s="21">
        <f>$A$11</f>
        <v/>
      </c>
      <c r="C60" s="21">
        <f>IF(ROUND($E$11,2)&lt;0,-$E$11,"")</f>
        <v/>
      </c>
      <c r="D60" s="21">
        <f>IF(ROUND($E$11,2)&gt;0,$E$11,"")</f>
        <v/>
      </c>
      <c r="E60" s="20" t="n"/>
      <c r="F60" s="20" t="n"/>
      <c r="G60" s="20" t="n"/>
      <c r="H60" s="20" t="n"/>
      <c r="I60" s="20" t="n"/>
    </row>
    <row r="61">
      <c r="A61" s="20">
        <f>set_WIPIncome</f>
        <v/>
      </c>
      <c r="B61" s="21">
        <f>$A$12</f>
        <v/>
      </c>
      <c r="C61" s="21">
        <f>IF(ROUND($E$12,2)&lt;0,-$E$12,"")</f>
        <v/>
      </c>
      <c r="D61" s="21">
        <f>IF(ROUND($E$12,2)&gt;0,$E$12,"")</f>
        <v/>
      </c>
      <c r="E61" s="20" t="n"/>
      <c r="F61" s="20" t="n"/>
      <c r="G61" s="20" t="n"/>
      <c r="H61" s="20" t="n"/>
      <c r="I61" s="20" t="n"/>
    </row>
    <row r="62">
      <c r="A62" s="20">
        <f>set_WIPIncome</f>
        <v/>
      </c>
      <c r="B62" s="21">
        <f>$A$13</f>
        <v/>
      </c>
      <c r="C62" s="21">
        <f>IF(ROUND($E$13,2)&lt;0,-$E$13,"")</f>
        <v/>
      </c>
      <c r="D62" s="21">
        <f>IF(ROUND($E$13,2)&gt;0,$E$13,"")</f>
        <v/>
      </c>
      <c r="E62" s="20" t="n"/>
      <c r="F62" s="20" t="n"/>
      <c r="G62" s="20" t="n"/>
      <c r="H62" s="20" t="n"/>
      <c r="I62" s="20" t="n"/>
    </row>
    <row r="63">
      <c r="A63" s="20">
        <f>set_WIPIncome</f>
        <v/>
      </c>
      <c r="B63" s="21">
        <f>$A$14</f>
        <v/>
      </c>
      <c r="C63" s="21">
        <f>IF(ROUND($E$14,2)&lt;0,-$E$14,"")</f>
        <v/>
      </c>
      <c r="D63" s="21">
        <f>IF(ROUND($E$14,2)&gt;0,$E$14,"")</f>
        <v/>
      </c>
      <c r="E63" s="20" t="n"/>
      <c r="F63" s="20" t="n"/>
      <c r="G63" s="20" t="n"/>
      <c r="H63" s="20" t="n"/>
      <c r="I63" s="20" t="n"/>
    </row>
    <row r="64">
      <c r="A64" s="17" t="inlineStr">
        <is>
          <t>TOTAL</t>
        </is>
      </c>
      <c r="B64" s="17" t="n"/>
      <c r="C64" s="23">
        <f>SUM(C56:C63)</f>
        <v/>
      </c>
      <c r="D64" s="23">
        <f>SUM(D56:D63)</f>
        <v/>
      </c>
      <c r="E64" s="23">
        <f>IF(ROUND(C64,2)=ROUND(D64,2),"Balanced","CHECK - does not balance")</f>
        <v/>
      </c>
      <c r="F64" s="17" t="n"/>
      <c r="G64" s="17" t="n"/>
      <c r="H64" s="17" t="n"/>
      <c r="I64" s="17" t="n"/>
    </row>
    <row r="65">
      <c r="A65" s="20" t="inlineStr">
        <is>
          <t>Narration to use</t>
        </is>
      </c>
      <c r="B65" s="20" t="n"/>
      <c r="C65" s="21">
        <f>"WIP movement "&amp;TEXT($C$4,"mmmm yyyy")</f>
        <v/>
      </c>
      <c r="D65" s="20" t="n"/>
      <c r="E65" s="20" t="n"/>
      <c r="F65" s="20" t="n"/>
      <c r="G65" s="20" t="n"/>
      <c r="H65" s="20" t="n"/>
      <c r="I65" s="20" t="n"/>
    </row>
    <row r="66">
      <c r="A66" s="6" t="inlineStr">
        <is>
          <t>Revenue rows only. Deferred / accrued cost rows (column D in section 2) post line by line from WIP Movements.</t>
        </is>
      </c>
      <c r="B66" s="20" t="n"/>
      <c r="C66" s="20" t="n"/>
      <c r="D66" s="20" t="n"/>
      <c r="E66" s="20" t="n"/>
      <c r="F66" s="20" t="n"/>
      <c r="G66" s="20" t="n"/>
      <c r="H66" s="20" t="n"/>
      <c r="I66" s="20" t="n"/>
    </row>
    <row r="67">
      <c r="A67" s="20" t="n"/>
      <c r="B67" s="20" t="n"/>
      <c r="C67" s="20" t="n"/>
      <c r="D67" s="20" t="n"/>
      <c r="E67" s="20" t="n"/>
      <c r="F67" s="20" t="n"/>
      <c r="G67" s="20" t="n"/>
      <c r="H67" s="20" t="n"/>
      <c r="I67" s="20" t="n"/>
    </row>
    <row r="68">
      <c r="A68" s="3" t="inlineStr">
        <is>
          <t>6.  WORK WON  -  ZOHO / Current RMS / Qwilr vs what was invoiced</t>
        </is>
      </c>
      <c r="B68" s="20" t="n"/>
      <c r="C68" s="20" t="n"/>
      <c r="D68" s="20" t="n"/>
      <c r="E68" s="20" t="n"/>
      <c r="F68" s="20" t="n"/>
      <c r="G68" s="20" t="n"/>
      <c r="H68" s="20" t="n"/>
      <c r="I68" s="20" t="n"/>
    </row>
    <row r="69">
      <c r="A69" s="8" t="inlineStr">
        <is>
          <t>Source</t>
        </is>
      </c>
      <c r="B69" s="8" t="inlineStr">
        <is>
          <t>Opportunities</t>
        </is>
      </c>
      <c r="C69" s="8" t="inlineStr">
        <is>
          <t>Value Ex GST</t>
        </is>
      </c>
      <c r="D69" s="20" t="n"/>
      <c r="E69" s="20" t="n"/>
      <c r="F69" s="20" t="n"/>
      <c r="G69" s="20" t="n"/>
      <c r="H69" s="20" t="n"/>
      <c r="I69" s="8" t="inlineStr">
        <is>
          <t>Check</t>
        </is>
      </c>
    </row>
    <row r="70">
      <c r="A70" s="20">
        <f>INDEX(lst_WonSource,1)</f>
        <v/>
      </c>
      <c r="B70" s="21">
        <f>COUNTIFS(tbl_Won[Month],$C$4,tbl_Won[Source],$A70,tbl_Won[Status],"Won")</f>
        <v/>
      </c>
      <c r="C70" s="21">
        <f>SUMIFS(tbl_Won[Value Ex GST],tbl_Won[Month],$C$4,tbl_Won[Source],$A70,tbl_Won[Status],"Won")</f>
        <v/>
      </c>
      <c r="D70" s="20" t="n"/>
      <c r="E70" s="20" t="n"/>
      <c r="F70" s="20" t="n"/>
      <c r="G70" s="20" t="n"/>
      <c r="H70" s="20" t="n"/>
      <c r="I70" s="20" t="n"/>
    </row>
    <row r="71">
      <c r="A71" s="20">
        <f>INDEX(lst_WonSource,2)</f>
        <v/>
      </c>
      <c r="B71" s="21">
        <f>COUNTIFS(tbl_Won[Month],$C$4,tbl_Won[Source],$A71,tbl_Won[Status],"Won")</f>
        <v/>
      </c>
      <c r="C71" s="21">
        <f>SUMIFS(tbl_Won[Value Ex GST],tbl_Won[Month],$C$4,tbl_Won[Source],$A71,tbl_Won[Status],"Won")</f>
        <v/>
      </c>
      <c r="D71" s="20" t="n"/>
      <c r="E71" s="20" t="n"/>
      <c r="F71" s="20" t="n"/>
      <c r="G71" s="20" t="n"/>
      <c r="H71" s="20" t="n"/>
      <c r="I71" s="20" t="n"/>
    </row>
    <row r="72">
      <c r="A72" s="20">
        <f>INDEX(lst_WonSource,3)</f>
        <v/>
      </c>
      <c r="B72" s="21">
        <f>COUNTIFS(tbl_Won[Month],$C$4,tbl_Won[Source],$A72,tbl_Won[Status],"Won")</f>
        <v/>
      </c>
      <c r="C72" s="21">
        <f>SUMIFS(tbl_Won[Value Ex GST],tbl_Won[Month],$C$4,tbl_Won[Source],$A72,tbl_Won[Status],"Won")</f>
        <v/>
      </c>
      <c r="D72" s="20" t="n"/>
      <c r="E72" s="20" t="n"/>
      <c r="F72" s="20" t="n"/>
      <c r="G72" s="20" t="n"/>
      <c r="H72" s="20" t="n"/>
      <c r="I72" s="20" t="n"/>
    </row>
    <row r="73">
      <c r="A73" s="20">
        <f>INDEX(lst_WonSource,4)</f>
        <v/>
      </c>
      <c r="B73" s="21">
        <f>COUNTIFS(tbl_Won[Month],$C$4,tbl_Won[Source],$A73,tbl_Won[Status],"Won")</f>
        <v/>
      </c>
      <c r="C73" s="21">
        <f>SUMIFS(tbl_Won[Value Ex GST],tbl_Won[Month],$C$4,tbl_Won[Source],$A73,tbl_Won[Status],"Won")</f>
        <v/>
      </c>
      <c r="D73" s="20" t="n"/>
      <c r="E73" s="20" t="n"/>
      <c r="F73" s="20" t="n"/>
      <c r="G73" s="20" t="n"/>
      <c r="H73" s="20" t="n"/>
      <c r="I73" s="20" t="n"/>
    </row>
    <row r="74">
      <c r="A74" s="17" t="inlineStr">
        <is>
          <t>TOTAL WON THIS MONTH</t>
        </is>
      </c>
      <c r="B74" s="23">
        <f>SUM(B70:B73)</f>
        <v/>
      </c>
      <c r="C74" s="23">
        <f>SUM(C70:C73)</f>
        <v/>
      </c>
      <c r="D74" s="17" t="n"/>
      <c r="E74" s="17" t="n"/>
      <c r="F74" s="17" t="n"/>
      <c r="G74" s="17" t="n"/>
      <c r="H74" s="17" t="n"/>
      <c r="I74" s="17" t="n"/>
    </row>
    <row r="75">
      <c r="A75" s="20" t="inlineStr">
        <is>
          <t>Invoiced this month (Finance, Ex GST)</t>
        </is>
      </c>
      <c r="B75" s="20" t="n"/>
      <c r="C75" s="21">
        <f>$B$15</f>
        <v/>
      </c>
      <c r="D75" s="20" t="n"/>
      <c r="E75" s="20" t="n"/>
      <c r="F75" s="20" t="n"/>
      <c r="G75" s="20" t="n"/>
      <c r="H75" s="20" t="n"/>
      <c r="I75" s="20" t="n"/>
    </row>
    <row r="76">
      <c r="A76" s="20" t="inlineStr">
        <is>
          <t>Won less invoiced</t>
        </is>
      </c>
      <c r="B76" s="20" t="n"/>
      <c r="C76" s="21">
        <f>C74-C75</f>
        <v/>
      </c>
      <c r="D76" s="20" t="n"/>
      <c r="E76" s="20" t="n"/>
      <c r="F76" s="20" t="n"/>
      <c r="G76" s="20" t="n"/>
      <c r="H76" s="20" t="n"/>
      <c r="I76" s="20" t="n"/>
    </row>
    <row r="77">
      <c r="A77" s="20" t="inlineStr">
        <is>
          <t>Won this month, still not invoiced against the job</t>
        </is>
      </c>
      <c r="B77" s="20" t="n"/>
      <c r="C77" s="21">
        <f>SUMIFS(tbl_Won[Still to Invoice],tbl_Won[Month],$C$4,tbl_Won[Status],"Won")</f>
        <v/>
      </c>
      <c r="D77" s="20" t="n"/>
      <c r="E77" s="20" t="n"/>
      <c r="F77" s="20" t="n"/>
      <c r="G77" s="20" t="n"/>
      <c r="H77" s="20" t="n"/>
      <c r="I77" s="20" t="n"/>
    </row>
    <row r="78">
      <c r="A78" s="20" t="inlineStr">
        <is>
          <t>Won with a job number Xero does not have (count)</t>
        </is>
      </c>
      <c r="B78" s="20" t="n"/>
      <c r="C78" s="21">
        <f>COUNTIFS(tbl_Won[Month],$C$4,tbl_Won[Status],"Won",tbl_Won[Job in Xero?],"CHECK")</f>
        <v/>
      </c>
      <c r="D78" s="20" t="n"/>
      <c r="E78" s="20" t="n"/>
      <c r="F78" s="20" t="n"/>
      <c r="G78" s="20" t="n"/>
      <c r="H78" s="20" t="n"/>
      <c r="I78" s="20" t="n"/>
    </row>
    <row r="79">
      <c r="A79" s="20" t="n"/>
      <c r="B79" s="20" t="n"/>
      <c r="C79" s="20" t="n"/>
      <c r="D79" s="20" t="n"/>
      <c r="E79" s="20" t="n"/>
      <c r="F79" s="20" t="n"/>
      <c r="G79" s="20" t="n"/>
      <c r="H79" s="20" t="n"/>
      <c r="I79" s="20" t="n"/>
    </row>
    <row r="80">
      <c r="A80" s="3" t="inlineStr">
        <is>
          <t>7.  SIGN-OFF</t>
        </is>
      </c>
      <c r="B80" s="20" t="n"/>
      <c r="C80" s="20" t="n"/>
      <c r="D80" s="20" t="n"/>
      <c r="E80" s="20" t="n"/>
      <c r="F80" s="20" t="n"/>
      <c r="G80" s="20" t="n"/>
      <c r="H80" s="20" t="n"/>
      <c r="I80" s="20" t="n"/>
    </row>
    <row r="81">
      <c r="A81" s="20" t="inlineStr">
        <is>
          <t>Prepared by</t>
        </is>
      </c>
      <c r="B81" s="24" t="n"/>
      <c r="C81" s="20" t="n"/>
      <c r="D81" s="20" t="n"/>
      <c r="E81" s="21" t="inlineStr">
        <is>
          <t>Accounts Assistant</t>
        </is>
      </c>
      <c r="F81" s="20" t="n"/>
      <c r="G81" s="20" t="n"/>
      <c r="H81" s="20" t="n"/>
      <c r="I81" s="20" t="n"/>
    </row>
    <row r="82">
      <c r="A82" s="20" t="inlineStr">
        <is>
          <t>Reviewed by</t>
        </is>
      </c>
      <c r="B82" s="24" t="n"/>
      <c r="C82" s="20" t="n"/>
      <c r="D82" s="20" t="n"/>
      <c r="E82" s="21" t="inlineStr">
        <is>
          <t>Finance Operations Manager</t>
        </is>
      </c>
      <c r="F82" s="20" t="n"/>
      <c r="G82" s="20" t="n"/>
      <c r="H82" s="20" t="n"/>
      <c r="I82" s="20" t="n"/>
    </row>
    <row r="83">
      <c r="A83" s="20" t="inlineStr">
        <is>
          <t>Date closed</t>
        </is>
      </c>
      <c r="B83" s="25" t="n"/>
      <c r="C83" s="20" t="n"/>
      <c r="D83" s="20" t="n"/>
      <c r="E83" s="21" t="inlineStr"/>
      <c r="F83" s="20" t="n"/>
      <c r="G83" s="20" t="n"/>
      <c r="H83" s="20" t="n"/>
      <c r="I83" s="20" t="n"/>
    </row>
    <row r="84">
      <c r="A84" s="20" t="inlineStr">
        <is>
          <t>Notes / carried forward items</t>
        </is>
      </c>
      <c r="B84" s="24" t="n"/>
      <c r="C84" s="20" t="n"/>
      <c r="D84" s="20" t="n"/>
      <c r="E84" s="21" t="inlineStr"/>
      <c r="F84" s="20" t="n"/>
      <c r="G84" s="20" t="n"/>
      <c r="H84" s="20" t="n"/>
      <c r="I84" s="20" t="n"/>
    </row>
  </sheetData>
  <sheetProtection selectLockedCells="0" selectUnlockedCells="0" sheet="1" objects="0" insertRows="1" insertHyperlinks="1" autoFilter="0" scenarios="0" formatColumns="0" deleteColumns="1" insertColumns="1" pivotTables="1" deleteRows="1" formatCells="1" formatRows="0" sort="1" password="DE92"/>
  <mergeCells count="11">
    <mergeCell ref="A68:I68"/>
    <mergeCell ref="B81:D81"/>
    <mergeCell ref="A28:I28"/>
    <mergeCell ref="B84:D84"/>
    <mergeCell ref="A80:I80"/>
    <mergeCell ref="A18:I18"/>
    <mergeCell ref="B82:D82"/>
    <mergeCell ref="A6:I6"/>
    <mergeCell ref="B83:D83"/>
    <mergeCell ref="A38:I38"/>
    <mergeCell ref="A54:I54"/>
  </mergeCells>
  <conditionalFormatting sqref="I8:I15">
    <cfRule type="expression" priority="1" dxfId="1">
      <formula>LEFT(I8,5)="CHECK"</formula>
    </cfRule>
    <cfRule type="expression" priority="4" dxfId="0">
      <formula>I8="Reconciled"</formula>
    </cfRule>
  </conditionalFormatting>
  <conditionalFormatting sqref="I24:I26">
    <cfRule type="expression" priority="2" dxfId="1">
      <formula>I24="CHECK"</formula>
    </cfRule>
    <cfRule type="expression" priority="5" dxfId="0">
      <formula>I24="Reconciled"</formula>
    </cfRule>
  </conditionalFormatting>
  <conditionalFormatting sqref="I30:I52">
    <cfRule type="expression" priority="3" dxfId="1">
      <formula>I30="REVIEW"</formula>
    </cfRule>
    <cfRule type="expression" priority="6" dxfId="0">
      <formula>I30="Clear"</formula>
    </cfRule>
  </conditionalFormatting>
  <conditionalFormatting sqref="E64">
    <cfRule type="expression" priority="7" dxfId="1">
      <formula>LEFT(E64,5)="CHECK"</formula>
    </cfRule>
  </conditionalFormatting>
  <dataValidations count="1">
    <dataValidation sqref="C4" showDropDown="0" showInputMessage="0" showErrorMessage="0" allowBlank="0" type="list">
      <formula1>lst_FY27Months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FY27 Revenue Summary</t>
        </is>
      </c>
    </row>
    <row r="2" ht="30" customHeight="1">
      <c r="A2" s="4" t="inlineStr">
        <is>
          <t>Invoiced revenue (ex GST) by month, straight off the Finance sheet. Nothing is typed here.</t>
        </is>
      </c>
    </row>
    <row r="4">
      <c r="A4" s="3" t="inlineStr">
        <is>
          <t>1.  INVOICED EX GST BY COST CENTRE</t>
        </is>
      </c>
      <c r="B4" s="26" t="n"/>
      <c r="C4" s="26" t="n"/>
      <c r="D4" s="26" t="n"/>
      <c r="E4" s="26" t="n"/>
      <c r="F4" s="26" t="n"/>
      <c r="G4" s="26" t="n"/>
      <c r="H4" s="26" t="n"/>
      <c r="I4" s="26" t="n"/>
      <c r="J4" s="26" t="n"/>
      <c r="K4" s="26" t="n"/>
      <c r="L4" s="26" t="n"/>
      <c r="M4" s="26" t="n"/>
      <c r="N4" s="26" t="n"/>
    </row>
    <row r="5">
      <c r="A5" s="8" t="inlineStr">
        <is>
          <t>Cost Centre</t>
        </is>
      </c>
      <c r="B5" s="27">
        <f>INDEX(lst_FY27Months,1)</f>
        <v/>
      </c>
      <c r="C5" s="27">
        <f>INDEX(lst_FY27Months,2)</f>
        <v/>
      </c>
      <c r="D5" s="27">
        <f>INDEX(lst_FY27Months,3)</f>
        <v/>
      </c>
      <c r="E5" s="27">
        <f>INDEX(lst_FY27Months,4)</f>
        <v/>
      </c>
      <c r="F5" s="27">
        <f>INDEX(lst_FY27Months,5)</f>
        <v/>
      </c>
      <c r="G5" s="27">
        <f>INDEX(lst_FY27Months,6)</f>
        <v/>
      </c>
      <c r="H5" s="27">
        <f>INDEX(lst_FY27Months,7)</f>
        <v/>
      </c>
      <c r="I5" s="27">
        <f>INDEX(lst_FY27Months,8)</f>
        <v/>
      </c>
      <c r="J5" s="27">
        <f>INDEX(lst_FY27Months,9)</f>
        <v/>
      </c>
      <c r="K5" s="27">
        <f>INDEX(lst_FY27Months,10)</f>
        <v/>
      </c>
      <c r="L5" s="27">
        <f>INDEX(lst_FY27Months,11)</f>
        <v/>
      </c>
      <c r="M5" s="27">
        <f>INDEX(lst_FY27Months,12)</f>
        <v/>
      </c>
      <c r="N5" s="8" t="inlineStr">
        <is>
          <t>FY Total</t>
        </is>
      </c>
    </row>
    <row r="6">
      <c r="A6" s="28">
        <f>INDEX(lst_CostCentre,1)</f>
        <v/>
      </c>
      <c r="B6" s="29">
        <f>SUMIFS(tbl_Finance[Jul Ex GST],tbl_Finance[Cost Centre],$A6)</f>
        <v/>
      </c>
      <c r="C6" s="29">
        <f>SUMIFS(tbl_Finance[Aug Ex GST],tbl_Finance[Cost Centre],$A6)</f>
        <v/>
      </c>
      <c r="D6" s="29">
        <f>SUMIFS(tbl_Finance[Sep Ex GST],tbl_Finance[Cost Centre],$A6)</f>
        <v/>
      </c>
      <c r="E6" s="29">
        <f>SUMIFS(tbl_Finance[Oct Ex GST],tbl_Finance[Cost Centre],$A6)</f>
        <v/>
      </c>
      <c r="F6" s="29">
        <f>SUMIFS(tbl_Finance[Nov Ex GST],tbl_Finance[Cost Centre],$A6)</f>
        <v/>
      </c>
      <c r="G6" s="29">
        <f>SUMIFS(tbl_Finance[Dec Ex GST],tbl_Finance[Cost Centre],$A6)</f>
        <v/>
      </c>
      <c r="H6" s="29">
        <f>SUMIFS(tbl_Finance[Jan Ex GST],tbl_Finance[Cost Centre],$A6)</f>
        <v/>
      </c>
      <c r="I6" s="29">
        <f>SUMIFS(tbl_Finance[Feb Ex GST],tbl_Finance[Cost Centre],$A6)</f>
        <v/>
      </c>
      <c r="J6" s="29">
        <f>SUMIFS(tbl_Finance[Mar Ex GST],tbl_Finance[Cost Centre],$A6)</f>
        <v/>
      </c>
      <c r="K6" s="29">
        <f>SUMIFS(tbl_Finance[Apr Ex GST],tbl_Finance[Cost Centre],$A6)</f>
        <v/>
      </c>
      <c r="L6" s="29">
        <f>SUMIFS(tbl_Finance[May Ex GST],tbl_Finance[Cost Centre],$A6)</f>
        <v/>
      </c>
      <c r="M6" s="29">
        <f>SUMIFS(tbl_Finance[Jun Ex GST],tbl_Finance[Cost Centre],$A6)</f>
        <v/>
      </c>
      <c r="N6" s="29">
        <f>SUM(B6:M6)</f>
        <v/>
      </c>
    </row>
    <row r="7">
      <c r="A7" s="28">
        <f>INDEX(lst_CostCentre,2)</f>
        <v/>
      </c>
      <c r="B7" s="29">
        <f>SUMIFS(tbl_Finance[Jul Ex GST],tbl_Finance[Cost Centre],$A7)</f>
        <v/>
      </c>
      <c r="C7" s="29">
        <f>SUMIFS(tbl_Finance[Aug Ex GST],tbl_Finance[Cost Centre],$A7)</f>
        <v/>
      </c>
      <c r="D7" s="29">
        <f>SUMIFS(tbl_Finance[Sep Ex GST],tbl_Finance[Cost Centre],$A7)</f>
        <v/>
      </c>
      <c r="E7" s="29">
        <f>SUMIFS(tbl_Finance[Oct Ex GST],tbl_Finance[Cost Centre],$A7)</f>
        <v/>
      </c>
      <c r="F7" s="29">
        <f>SUMIFS(tbl_Finance[Nov Ex GST],tbl_Finance[Cost Centre],$A7)</f>
        <v/>
      </c>
      <c r="G7" s="29">
        <f>SUMIFS(tbl_Finance[Dec Ex GST],tbl_Finance[Cost Centre],$A7)</f>
        <v/>
      </c>
      <c r="H7" s="29">
        <f>SUMIFS(tbl_Finance[Jan Ex GST],tbl_Finance[Cost Centre],$A7)</f>
        <v/>
      </c>
      <c r="I7" s="29">
        <f>SUMIFS(tbl_Finance[Feb Ex GST],tbl_Finance[Cost Centre],$A7)</f>
        <v/>
      </c>
      <c r="J7" s="29">
        <f>SUMIFS(tbl_Finance[Mar Ex GST],tbl_Finance[Cost Centre],$A7)</f>
        <v/>
      </c>
      <c r="K7" s="29">
        <f>SUMIFS(tbl_Finance[Apr Ex GST],tbl_Finance[Cost Centre],$A7)</f>
        <v/>
      </c>
      <c r="L7" s="29">
        <f>SUMIFS(tbl_Finance[May Ex GST],tbl_Finance[Cost Centre],$A7)</f>
        <v/>
      </c>
      <c r="M7" s="29">
        <f>SUMIFS(tbl_Finance[Jun Ex GST],tbl_Finance[Cost Centre],$A7)</f>
        <v/>
      </c>
      <c r="N7" s="29">
        <f>SUM(B7:M7)</f>
        <v/>
      </c>
    </row>
    <row r="8">
      <c r="A8" s="28">
        <f>INDEX(lst_CostCentre,3)</f>
        <v/>
      </c>
      <c r="B8" s="29">
        <f>SUMIFS(tbl_Finance[Jul Ex GST],tbl_Finance[Cost Centre],$A8)</f>
        <v/>
      </c>
      <c r="C8" s="29">
        <f>SUMIFS(tbl_Finance[Aug Ex GST],tbl_Finance[Cost Centre],$A8)</f>
        <v/>
      </c>
      <c r="D8" s="29">
        <f>SUMIFS(tbl_Finance[Sep Ex GST],tbl_Finance[Cost Centre],$A8)</f>
        <v/>
      </c>
      <c r="E8" s="29">
        <f>SUMIFS(tbl_Finance[Oct Ex GST],tbl_Finance[Cost Centre],$A8)</f>
        <v/>
      </c>
      <c r="F8" s="29">
        <f>SUMIFS(tbl_Finance[Nov Ex GST],tbl_Finance[Cost Centre],$A8)</f>
        <v/>
      </c>
      <c r="G8" s="29">
        <f>SUMIFS(tbl_Finance[Dec Ex GST],tbl_Finance[Cost Centre],$A8)</f>
        <v/>
      </c>
      <c r="H8" s="29">
        <f>SUMIFS(tbl_Finance[Jan Ex GST],tbl_Finance[Cost Centre],$A8)</f>
        <v/>
      </c>
      <c r="I8" s="29">
        <f>SUMIFS(tbl_Finance[Feb Ex GST],tbl_Finance[Cost Centre],$A8)</f>
        <v/>
      </c>
      <c r="J8" s="29">
        <f>SUMIFS(tbl_Finance[Mar Ex GST],tbl_Finance[Cost Centre],$A8)</f>
        <v/>
      </c>
      <c r="K8" s="29">
        <f>SUMIFS(tbl_Finance[Apr Ex GST],tbl_Finance[Cost Centre],$A8)</f>
        <v/>
      </c>
      <c r="L8" s="29">
        <f>SUMIFS(tbl_Finance[May Ex GST],tbl_Finance[Cost Centre],$A8)</f>
        <v/>
      </c>
      <c r="M8" s="29">
        <f>SUMIFS(tbl_Finance[Jun Ex GST],tbl_Finance[Cost Centre],$A8)</f>
        <v/>
      </c>
      <c r="N8" s="29">
        <f>SUM(B8:M8)</f>
        <v/>
      </c>
    </row>
    <row r="9">
      <c r="A9" s="28">
        <f>INDEX(lst_CostCentre,4)</f>
        <v/>
      </c>
      <c r="B9" s="29">
        <f>SUMIFS(tbl_Finance[Jul Ex GST],tbl_Finance[Cost Centre],$A9)</f>
        <v/>
      </c>
      <c r="C9" s="29">
        <f>SUMIFS(tbl_Finance[Aug Ex GST],tbl_Finance[Cost Centre],$A9)</f>
        <v/>
      </c>
      <c r="D9" s="29">
        <f>SUMIFS(tbl_Finance[Sep Ex GST],tbl_Finance[Cost Centre],$A9)</f>
        <v/>
      </c>
      <c r="E9" s="29">
        <f>SUMIFS(tbl_Finance[Oct Ex GST],tbl_Finance[Cost Centre],$A9)</f>
        <v/>
      </c>
      <c r="F9" s="29">
        <f>SUMIFS(tbl_Finance[Nov Ex GST],tbl_Finance[Cost Centre],$A9)</f>
        <v/>
      </c>
      <c r="G9" s="29">
        <f>SUMIFS(tbl_Finance[Dec Ex GST],tbl_Finance[Cost Centre],$A9)</f>
        <v/>
      </c>
      <c r="H9" s="29">
        <f>SUMIFS(tbl_Finance[Jan Ex GST],tbl_Finance[Cost Centre],$A9)</f>
        <v/>
      </c>
      <c r="I9" s="29">
        <f>SUMIFS(tbl_Finance[Feb Ex GST],tbl_Finance[Cost Centre],$A9)</f>
        <v/>
      </c>
      <c r="J9" s="29">
        <f>SUMIFS(tbl_Finance[Mar Ex GST],tbl_Finance[Cost Centre],$A9)</f>
        <v/>
      </c>
      <c r="K9" s="29">
        <f>SUMIFS(tbl_Finance[Apr Ex GST],tbl_Finance[Cost Centre],$A9)</f>
        <v/>
      </c>
      <c r="L9" s="29">
        <f>SUMIFS(tbl_Finance[May Ex GST],tbl_Finance[Cost Centre],$A9)</f>
        <v/>
      </c>
      <c r="M9" s="29">
        <f>SUMIFS(tbl_Finance[Jun Ex GST],tbl_Finance[Cost Centre],$A9)</f>
        <v/>
      </c>
      <c r="N9" s="29">
        <f>SUM(B9:M9)</f>
        <v/>
      </c>
    </row>
    <row r="10">
      <c r="A10" s="28">
        <f>INDEX(lst_CostCentre,5)</f>
        <v/>
      </c>
      <c r="B10" s="29">
        <f>SUMIFS(tbl_Finance[Jul Ex GST],tbl_Finance[Cost Centre],$A10)</f>
        <v/>
      </c>
      <c r="C10" s="29">
        <f>SUMIFS(tbl_Finance[Aug Ex GST],tbl_Finance[Cost Centre],$A10)</f>
        <v/>
      </c>
      <c r="D10" s="29">
        <f>SUMIFS(tbl_Finance[Sep Ex GST],tbl_Finance[Cost Centre],$A10)</f>
        <v/>
      </c>
      <c r="E10" s="29">
        <f>SUMIFS(tbl_Finance[Oct Ex GST],tbl_Finance[Cost Centre],$A10)</f>
        <v/>
      </c>
      <c r="F10" s="29">
        <f>SUMIFS(tbl_Finance[Nov Ex GST],tbl_Finance[Cost Centre],$A10)</f>
        <v/>
      </c>
      <c r="G10" s="29">
        <f>SUMIFS(tbl_Finance[Dec Ex GST],tbl_Finance[Cost Centre],$A10)</f>
        <v/>
      </c>
      <c r="H10" s="29">
        <f>SUMIFS(tbl_Finance[Jan Ex GST],tbl_Finance[Cost Centre],$A10)</f>
        <v/>
      </c>
      <c r="I10" s="29">
        <f>SUMIFS(tbl_Finance[Feb Ex GST],tbl_Finance[Cost Centre],$A10)</f>
        <v/>
      </c>
      <c r="J10" s="29">
        <f>SUMIFS(tbl_Finance[Mar Ex GST],tbl_Finance[Cost Centre],$A10)</f>
        <v/>
      </c>
      <c r="K10" s="29">
        <f>SUMIFS(tbl_Finance[Apr Ex GST],tbl_Finance[Cost Centre],$A10)</f>
        <v/>
      </c>
      <c r="L10" s="29">
        <f>SUMIFS(tbl_Finance[May Ex GST],tbl_Finance[Cost Centre],$A10)</f>
        <v/>
      </c>
      <c r="M10" s="29">
        <f>SUMIFS(tbl_Finance[Jun Ex GST],tbl_Finance[Cost Centre],$A10)</f>
        <v/>
      </c>
      <c r="N10" s="29">
        <f>SUM(B10:M10)</f>
        <v/>
      </c>
    </row>
    <row r="11">
      <c r="A11" s="28">
        <f>INDEX(lst_CostCentre,6)</f>
        <v/>
      </c>
      <c r="B11" s="29">
        <f>SUMIFS(tbl_Finance[Jul Ex GST],tbl_Finance[Cost Centre],$A11)</f>
        <v/>
      </c>
      <c r="C11" s="29">
        <f>SUMIFS(tbl_Finance[Aug Ex GST],tbl_Finance[Cost Centre],$A11)</f>
        <v/>
      </c>
      <c r="D11" s="29">
        <f>SUMIFS(tbl_Finance[Sep Ex GST],tbl_Finance[Cost Centre],$A11)</f>
        <v/>
      </c>
      <c r="E11" s="29">
        <f>SUMIFS(tbl_Finance[Oct Ex GST],tbl_Finance[Cost Centre],$A11)</f>
        <v/>
      </c>
      <c r="F11" s="29">
        <f>SUMIFS(tbl_Finance[Nov Ex GST],tbl_Finance[Cost Centre],$A11)</f>
        <v/>
      </c>
      <c r="G11" s="29">
        <f>SUMIFS(tbl_Finance[Dec Ex GST],tbl_Finance[Cost Centre],$A11)</f>
        <v/>
      </c>
      <c r="H11" s="29">
        <f>SUMIFS(tbl_Finance[Jan Ex GST],tbl_Finance[Cost Centre],$A11)</f>
        <v/>
      </c>
      <c r="I11" s="29">
        <f>SUMIFS(tbl_Finance[Feb Ex GST],tbl_Finance[Cost Centre],$A11)</f>
        <v/>
      </c>
      <c r="J11" s="29">
        <f>SUMIFS(tbl_Finance[Mar Ex GST],tbl_Finance[Cost Centre],$A11)</f>
        <v/>
      </c>
      <c r="K11" s="29">
        <f>SUMIFS(tbl_Finance[Apr Ex GST],tbl_Finance[Cost Centre],$A11)</f>
        <v/>
      </c>
      <c r="L11" s="29">
        <f>SUMIFS(tbl_Finance[May Ex GST],tbl_Finance[Cost Centre],$A11)</f>
        <v/>
      </c>
      <c r="M11" s="29">
        <f>SUMIFS(tbl_Finance[Jun Ex GST],tbl_Finance[Cost Centre],$A11)</f>
        <v/>
      </c>
      <c r="N11" s="29">
        <f>SUM(B11:M11)</f>
        <v/>
      </c>
    </row>
    <row r="12">
      <c r="A12" s="28" t="inlineStr">
        <is>
          <t>No cost centre set (fix on dept sheet)</t>
        </is>
      </c>
      <c r="B12" s="29">
        <f>SUM(tbl_Finance[Jul Ex GST])-SUM(B6:B11)</f>
        <v/>
      </c>
      <c r="C12" s="29">
        <f>SUM(tbl_Finance[Aug Ex GST])-SUM(C6:C11)</f>
        <v/>
      </c>
      <c r="D12" s="29">
        <f>SUM(tbl_Finance[Sep Ex GST])-SUM(D6:D11)</f>
        <v/>
      </c>
      <c r="E12" s="29">
        <f>SUM(tbl_Finance[Oct Ex GST])-SUM(E6:E11)</f>
        <v/>
      </c>
      <c r="F12" s="29">
        <f>SUM(tbl_Finance[Nov Ex GST])-SUM(F6:F11)</f>
        <v/>
      </c>
      <c r="G12" s="29">
        <f>SUM(tbl_Finance[Dec Ex GST])-SUM(G6:G11)</f>
        <v/>
      </c>
      <c r="H12" s="29">
        <f>SUM(tbl_Finance[Jan Ex GST])-SUM(H6:H11)</f>
        <v/>
      </c>
      <c r="I12" s="29">
        <f>SUM(tbl_Finance[Feb Ex GST])-SUM(I6:I11)</f>
        <v/>
      </c>
      <c r="J12" s="29">
        <f>SUM(tbl_Finance[Mar Ex GST])-SUM(J6:J11)</f>
        <v/>
      </c>
      <c r="K12" s="29">
        <f>SUM(tbl_Finance[Apr Ex GST])-SUM(K6:K11)</f>
        <v/>
      </c>
      <c r="L12" s="29">
        <f>SUM(tbl_Finance[May Ex GST])-SUM(L6:L11)</f>
        <v/>
      </c>
      <c r="M12" s="29">
        <f>SUM(tbl_Finance[Jun Ex GST])-SUM(M6:M11)</f>
        <v/>
      </c>
      <c r="N12" s="29">
        <f>SUM(B12:M12)</f>
        <v/>
      </c>
    </row>
    <row r="13">
      <c r="A13" s="30" t="inlineStr">
        <is>
          <t>TOTAL</t>
        </is>
      </c>
      <c r="B13" s="31">
        <f>SUM(B6:B12)</f>
        <v/>
      </c>
      <c r="C13" s="31">
        <f>SUM(C6:C12)</f>
        <v/>
      </c>
      <c r="D13" s="31">
        <f>SUM(D6:D12)</f>
        <v/>
      </c>
      <c r="E13" s="31">
        <f>SUM(E6:E12)</f>
        <v/>
      </c>
      <c r="F13" s="31">
        <f>SUM(F6:F12)</f>
        <v/>
      </c>
      <c r="G13" s="31">
        <f>SUM(G6:G12)</f>
        <v/>
      </c>
      <c r="H13" s="31">
        <f>SUM(H6:H12)</f>
        <v/>
      </c>
      <c r="I13" s="31">
        <f>SUM(I6:I12)</f>
        <v/>
      </c>
      <c r="J13" s="31">
        <f>SUM(J6:J12)</f>
        <v/>
      </c>
      <c r="K13" s="31">
        <f>SUM(K6:K12)</f>
        <v/>
      </c>
      <c r="L13" s="31">
        <f>SUM(L6:L12)</f>
        <v/>
      </c>
      <c r="M13" s="31">
        <f>SUM(M6:M12)</f>
        <v/>
      </c>
      <c r="N13" s="31">
        <f>SUM(B13:M13)</f>
        <v/>
      </c>
    </row>
    <row r="14"/>
    <row r="15">
      <c r="A15" s="3" t="inlineStr">
        <is>
          <t>2.  INVOICED EX GST BY DEPARTMENT</t>
        </is>
      </c>
      <c r="B15" s="26" t="n"/>
      <c r="C15" s="26" t="n"/>
      <c r="D15" s="26" t="n"/>
      <c r="E15" s="26" t="n"/>
      <c r="F15" s="26" t="n"/>
      <c r="G15" s="26" t="n"/>
      <c r="H15" s="26" t="n"/>
      <c r="I15" s="26" t="n"/>
      <c r="J15" s="26" t="n"/>
      <c r="K15" s="26" t="n"/>
      <c r="L15" s="26" t="n"/>
      <c r="M15" s="26" t="n"/>
      <c r="N15" s="26" t="n"/>
    </row>
    <row r="16">
      <c r="A16" s="8" t="inlineStr">
        <is>
          <t>Department</t>
        </is>
      </c>
      <c r="B16" s="27">
        <f>INDEX(lst_FY27Months,1)</f>
        <v/>
      </c>
      <c r="C16" s="27">
        <f>INDEX(lst_FY27Months,2)</f>
        <v/>
      </c>
      <c r="D16" s="27">
        <f>INDEX(lst_FY27Months,3)</f>
        <v/>
      </c>
      <c r="E16" s="27">
        <f>INDEX(lst_FY27Months,4)</f>
        <v/>
      </c>
      <c r="F16" s="27">
        <f>INDEX(lst_FY27Months,5)</f>
        <v/>
      </c>
      <c r="G16" s="27">
        <f>INDEX(lst_FY27Months,6)</f>
        <v/>
      </c>
      <c r="H16" s="27">
        <f>INDEX(lst_FY27Months,7)</f>
        <v/>
      </c>
      <c r="I16" s="27">
        <f>INDEX(lst_FY27Months,8)</f>
        <v/>
      </c>
      <c r="J16" s="27">
        <f>INDEX(lst_FY27Months,9)</f>
        <v/>
      </c>
      <c r="K16" s="27">
        <f>INDEX(lst_FY27Months,10)</f>
        <v/>
      </c>
      <c r="L16" s="27">
        <f>INDEX(lst_FY27Months,11)</f>
        <v/>
      </c>
      <c r="M16" s="27">
        <f>INDEX(lst_FY27Months,12)</f>
        <v/>
      </c>
      <c r="N16" s="8" t="inlineStr">
        <is>
          <t>FY Total</t>
        </is>
      </c>
    </row>
    <row r="17">
      <c r="A17" s="28" t="inlineStr">
        <is>
          <t>Onsite</t>
        </is>
      </c>
      <c r="B17" s="29">
        <f>SUMIFS(tbl_Finance[Jul Ex GST],tbl_Finance[Department],$A17)</f>
        <v/>
      </c>
      <c r="C17" s="29">
        <f>SUMIFS(tbl_Finance[Aug Ex GST],tbl_Finance[Department],$A17)</f>
        <v/>
      </c>
      <c r="D17" s="29">
        <f>SUMIFS(tbl_Finance[Sep Ex GST],tbl_Finance[Department],$A17)</f>
        <v/>
      </c>
      <c r="E17" s="29">
        <f>SUMIFS(tbl_Finance[Oct Ex GST],tbl_Finance[Department],$A17)</f>
        <v/>
      </c>
      <c r="F17" s="29">
        <f>SUMIFS(tbl_Finance[Nov Ex GST],tbl_Finance[Department],$A17)</f>
        <v/>
      </c>
      <c r="G17" s="29">
        <f>SUMIFS(tbl_Finance[Dec Ex GST],tbl_Finance[Department],$A17)</f>
        <v/>
      </c>
      <c r="H17" s="29">
        <f>SUMIFS(tbl_Finance[Jan Ex GST],tbl_Finance[Department],$A17)</f>
        <v/>
      </c>
      <c r="I17" s="29">
        <f>SUMIFS(tbl_Finance[Feb Ex GST],tbl_Finance[Department],$A17)</f>
        <v/>
      </c>
      <c r="J17" s="29">
        <f>SUMIFS(tbl_Finance[Mar Ex GST],tbl_Finance[Department],$A17)</f>
        <v/>
      </c>
      <c r="K17" s="29">
        <f>SUMIFS(tbl_Finance[Apr Ex GST],tbl_Finance[Department],$A17)</f>
        <v/>
      </c>
      <c r="L17" s="29">
        <f>SUMIFS(tbl_Finance[May Ex GST],tbl_Finance[Department],$A17)</f>
        <v/>
      </c>
      <c r="M17" s="29">
        <f>SUMIFS(tbl_Finance[Jun Ex GST],tbl_Finance[Department],$A17)</f>
        <v/>
      </c>
      <c r="N17" s="29">
        <f>SUM(B17:M17)</f>
        <v/>
      </c>
    </row>
    <row r="18">
      <c r="A18" s="28" t="inlineStr">
        <is>
          <t>Production</t>
        </is>
      </c>
      <c r="B18" s="29">
        <f>SUMIFS(tbl_Finance[Jul Ex GST],tbl_Finance[Department],$A18)</f>
        <v/>
      </c>
      <c r="C18" s="29">
        <f>SUMIFS(tbl_Finance[Aug Ex GST],tbl_Finance[Department],$A18)</f>
        <v/>
      </c>
      <c r="D18" s="29">
        <f>SUMIFS(tbl_Finance[Sep Ex GST],tbl_Finance[Department],$A18)</f>
        <v/>
      </c>
      <c r="E18" s="29">
        <f>SUMIFS(tbl_Finance[Oct Ex GST],tbl_Finance[Department],$A18)</f>
        <v/>
      </c>
      <c r="F18" s="29">
        <f>SUMIFS(tbl_Finance[Nov Ex GST],tbl_Finance[Department],$A18)</f>
        <v/>
      </c>
      <c r="G18" s="29">
        <f>SUMIFS(tbl_Finance[Dec Ex GST],tbl_Finance[Department],$A18)</f>
        <v/>
      </c>
      <c r="H18" s="29">
        <f>SUMIFS(tbl_Finance[Jan Ex GST],tbl_Finance[Department],$A18)</f>
        <v/>
      </c>
      <c r="I18" s="29">
        <f>SUMIFS(tbl_Finance[Feb Ex GST],tbl_Finance[Department],$A18)</f>
        <v/>
      </c>
      <c r="J18" s="29">
        <f>SUMIFS(tbl_Finance[Mar Ex GST],tbl_Finance[Department],$A18)</f>
        <v/>
      </c>
      <c r="K18" s="29">
        <f>SUMIFS(tbl_Finance[Apr Ex GST],tbl_Finance[Department],$A18)</f>
        <v/>
      </c>
      <c r="L18" s="29">
        <f>SUMIFS(tbl_Finance[May Ex GST],tbl_Finance[Department],$A18)</f>
        <v/>
      </c>
      <c r="M18" s="29">
        <f>SUMIFS(tbl_Finance[Jun Ex GST],tbl_Finance[Department],$A18)</f>
        <v/>
      </c>
      <c r="N18" s="29">
        <f>SUM(B18:M18)</f>
        <v/>
      </c>
    </row>
    <row r="19">
      <c r="A19" s="28" t="inlineStr">
        <is>
          <t>Consulting</t>
        </is>
      </c>
      <c r="B19" s="29">
        <f>SUMIFS(tbl_Finance[Jul Ex GST],tbl_Finance[Department],$A19)</f>
        <v/>
      </c>
      <c r="C19" s="29">
        <f>SUMIFS(tbl_Finance[Aug Ex GST],tbl_Finance[Department],$A19)</f>
        <v/>
      </c>
      <c r="D19" s="29">
        <f>SUMIFS(tbl_Finance[Sep Ex GST],tbl_Finance[Department],$A19)</f>
        <v/>
      </c>
      <c r="E19" s="29">
        <f>SUMIFS(tbl_Finance[Oct Ex GST],tbl_Finance[Department],$A19)</f>
        <v/>
      </c>
      <c r="F19" s="29">
        <f>SUMIFS(tbl_Finance[Nov Ex GST],tbl_Finance[Department],$A19)</f>
        <v/>
      </c>
      <c r="G19" s="29">
        <f>SUMIFS(tbl_Finance[Dec Ex GST],tbl_Finance[Department],$A19)</f>
        <v/>
      </c>
      <c r="H19" s="29">
        <f>SUMIFS(tbl_Finance[Jan Ex GST],tbl_Finance[Department],$A19)</f>
        <v/>
      </c>
      <c r="I19" s="29">
        <f>SUMIFS(tbl_Finance[Feb Ex GST],tbl_Finance[Department],$A19)</f>
        <v/>
      </c>
      <c r="J19" s="29">
        <f>SUMIFS(tbl_Finance[Mar Ex GST],tbl_Finance[Department],$A19)</f>
        <v/>
      </c>
      <c r="K19" s="29">
        <f>SUMIFS(tbl_Finance[Apr Ex GST],tbl_Finance[Department],$A19)</f>
        <v/>
      </c>
      <c r="L19" s="29">
        <f>SUMIFS(tbl_Finance[May Ex GST],tbl_Finance[Department],$A19)</f>
        <v/>
      </c>
      <c r="M19" s="29">
        <f>SUMIFS(tbl_Finance[Jun Ex GST],tbl_Finance[Department],$A19)</f>
        <v/>
      </c>
      <c r="N19" s="29">
        <f>SUM(B19:M19)</f>
        <v/>
      </c>
    </row>
    <row r="20">
      <c r="A20" s="30" t="inlineStr">
        <is>
          <t>TOTAL</t>
        </is>
      </c>
      <c r="B20" s="31">
        <f>SUM(B17:B19)</f>
        <v/>
      </c>
      <c r="C20" s="31">
        <f>SUM(C17:C19)</f>
        <v/>
      </c>
      <c r="D20" s="31">
        <f>SUM(D17:D19)</f>
        <v/>
      </c>
      <c r="E20" s="31">
        <f>SUM(E17:E19)</f>
        <v/>
      </c>
      <c r="F20" s="31">
        <f>SUM(F17:F19)</f>
        <v/>
      </c>
      <c r="G20" s="31">
        <f>SUM(G17:G19)</f>
        <v/>
      </c>
      <c r="H20" s="31">
        <f>SUM(H17:H19)</f>
        <v/>
      </c>
      <c r="I20" s="31">
        <f>SUM(I17:I19)</f>
        <v/>
      </c>
      <c r="J20" s="31">
        <f>SUM(J17:J19)</f>
        <v/>
      </c>
      <c r="K20" s="31">
        <f>SUM(K17:K19)</f>
        <v/>
      </c>
      <c r="L20" s="31">
        <f>SUM(L17:L19)</f>
        <v/>
      </c>
      <c r="M20" s="31">
        <f>SUM(M17:M19)</f>
        <v/>
      </c>
      <c r="N20" s="31">
        <f>SUM(B20:M20)</f>
        <v/>
      </c>
    </row>
    <row r="21">
      <c r="A21" s="32" t="inlineStr">
        <is>
          <t>Check - department total = cost centre total</t>
        </is>
      </c>
      <c r="N21" s="29">
        <f>IF(ROUND(N20-N13,2)=0,"Agrees","CHECK")</f>
        <v/>
      </c>
    </row>
    <row r="22"/>
    <row r="23">
      <c r="A23" s="3" t="inlineStr">
        <is>
          <t>3.  JOBS  -  DEPARTMENT EXPECTED vs XERO INVOICED (whole of FY27)</t>
        </is>
      </c>
      <c r="B23" s="26" t="n"/>
      <c r="C23" s="26" t="n"/>
      <c r="D23" s="26" t="n"/>
      <c r="E23" s="26" t="n"/>
      <c r="F23" s="26" t="n"/>
      <c r="G23" s="26" t="n"/>
      <c r="H23" s="26" t="n"/>
      <c r="I23" s="26" t="n"/>
      <c r="J23" s="26" t="n"/>
      <c r="K23" s="26" t="n"/>
      <c r="L23" s="26" t="n"/>
      <c r="M23" s="26" t="n"/>
      <c r="N23" s="26" t="n"/>
    </row>
    <row r="24" ht="40" customHeight="1">
      <c r="A24" s="8" t="inlineStr">
        <is>
          <t>Department</t>
        </is>
      </c>
      <c r="B24" s="8" t="inlineStr">
        <is>
          <t>Live jobs</t>
        </is>
      </c>
      <c r="C24" s="8" t="inlineStr">
        <is>
          <t>Dept Expected Ex GST</t>
        </is>
      </c>
      <c r="D24" s="8" t="inlineStr">
        <is>
          <t>Xero Invoiced Ex GST</t>
        </is>
      </c>
      <c r="E24" s="8" t="inlineStr">
        <is>
          <t>Variance Dept vs Xero</t>
        </is>
      </c>
      <c r="F24" s="8" t="inlineStr">
        <is>
          <t>Not invoiced (count)</t>
        </is>
      </c>
      <c r="G24" s="8" t="inlineStr">
        <is>
          <t>Not invoiced ($ expected)</t>
        </is>
      </c>
      <c r="H24" s="8" t="inlineStr">
        <is>
          <t>Part invoiced (count)</t>
        </is>
      </c>
      <c r="I24" s="8" t="inlineStr">
        <is>
          <t>Part invoiced ($ to go)</t>
        </is>
      </c>
      <c r="J24" s="8" t="inlineStr">
        <is>
          <t>Xero higher (count)</t>
        </is>
      </c>
      <c r="K24" s="8" t="inlineStr">
        <is>
          <t>Xero higher ($)</t>
        </is>
      </c>
      <c r="L24" s="8" t="inlineStr">
        <is>
          <t>Rows with an issue</t>
        </is>
      </c>
    </row>
    <row r="25">
      <c r="A25" s="28" t="inlineStr">
        <is>
          <t>Onsite</t>
        </is>
      </c>
      <c r="B25" s="33">
        <f>COUNTIFS(tbl_Finance[Department],$A25,tbl_Finance[Job Number],"?*")</f>
        <v/>
      </c>
      <c r="C25" s="29">
        <f>SUMIFS(tbl_Finance[Dept Expected Ex GST],tbl_Finance[Department],$A25)</f>
        <v/>
      </c>
      <c r="D25" s="29">
        <f>SUMIFS(tbl_Finance[Xero Invoiced Ex GST],tbl_Finance[Department],$A25)</f>
        <v/>
      </c>
      <c r="E25" s="29">
        <f>C25-D25</f>
        <v/>
      </c>
      <c r="F25" s="33">
        <f>COUNTIFS(tbl_Finance[Department],$A25,tbl_Finance[Compare],"Not invoiced*")</f>
        <v/>
      </c>
      <c r="G25" s="29">
        <f>SUMIFS(tbl_Finance[Dept Expected Ex GST],tbl_Finance[Department],$A25,tbl_Finance[Compare],"Not invoiced*")</f>
        <v/>
      </c>
      <c r="H25" s="33">
        <f>COUNTIFS(tbl_Finance[Department],$A25,tbl_Finance[Compare],"Dept higher*")</f>
        <v/>
      </c>
      <c r="I25" s="29">
        <f>SUMIFS(tbl_Finance[Variance Dept vs Xero],tbl_Finance[Department],$A25,tbl_Finance[Compare],"Dept higher*")</f>
        <v/>
      </c>
      <c r="J25" s="33">
        <f>COUNTIFS(tbl_Finance[Department],$A25,tbl_Finance[Compare],"Xero higher*")</f>
        <v/>
      </c>
      <c r="K25" s="29">
        <f>SUMIFS(tbl_Finance[Variance Dept vs Xero],tbl_Finance[Department],$A25,tbl_Finance[Compare],"Xero higher*")</f>
        <v/>
      </c>
      <c r="L25" s="33">
        <f>COUNTIFS(tbl_Finance[Department],$A25,tbl_Finance[Issue],"?*")</f>
        <v/>
      </c>
    </row>
    <row r="26">
      <c r="A26" s="28" t="inlineStr">
        <is>
          <t>Production</t>
        </is>
      </c>
      <c r="B26" s="33">
        <f>COUNTIFS(tbl_Finance[Department],$A26,tbl_Finance[Job Number],"?*")</f>
        <v/>
      </c>
      <c r="C26" s="29">
        <f>SUMIFS(tbl_Finance[Dept Expected Ex GST],tbl_Finance[Department],$A26)</f>
        <v/>
      </c>
      <c r="D26" s="29">
        <f>SUMIFS(tbl_Finance[Xero Invoiced Ex GST],tbl_Finance[Department],$A26)</f>
        <v/>
      </c>
      <c r="E26" s="29">
        <f>C26-D26</f>
        <v/>
      </c>
      <c r="F26" s="33">
        <f>COUNTIFS(tbl_Finance[Department],$A26,tbl_Finance[Compare],"Not invoiced*")</f>
        <v/>
      </c>
      <c r="G26" s="29">
        <f>SUMIFS(tbl_Finance[Dept Expected Ex GST],tbl_Finance[Department],$A26,tbl_Finance[Compare],"Not invoiced*")</f>
        <v/>
      </c>
      <c r="H26" s="33">
        <f>COUNTIFS(tbl_Finance[Department],$A26,tbl_Finance[Compare],"Dept higher*")</f>
        <v/>
      </c>
      <c r="I26" s="29">
        <f>SUMIFS(tbl_Finance[Variance Dept vs Xero],tbl_Finance[Department],$A26,tbl_Finance[Compare],"Dept higher*")</f>
        <v/>
      </c>
      <c r="J26" s="33">
        <f>COUNTIFS(tbl_Finance[Department],$A26,tbl_Finance[Compare],"Xero higher*")</f>
        <v/>
      </c>
      <c r="K26" s="29">
        <f>SUMIFS(tbl_Finance[Variance Dept vs Xero],tbl_Finance[Department],$A26,tbl_Finance[Compare],"Xero higher*")</f>
        <v/>
      </c>
      <c r="L26" s="33">
        <f>COUNTIFS(tbl_Finance[Department],$A26,tbl_Finance[Issue],"?*")</f>
        <v/>
      </c>
    </row>
    <row r="27">
      <c r="A27" s="28" t="inlineStr">
        <is>
          <t>Consulting</t>
        </is>
      </c>
      <c r="B27" s="33">
        <f>COUNTIFS(tbl_Finance[Department],$A27,tbl_Finance[Job Number],"?*")</f>
        <v/>
      </c>
      <c r="C27" s="29">
        <f>SUMIFS(tbl_Finance[Dept Expected Ex GST],tbl_Finance[Department],$A27)</f>
        <v/>
      </c>
      <c r="D27" s="29">
        <f>SUMIFS(tbl_Finance[Xero Invoiced Ex GST],tbl_Finance[Department],$A27)</f>
        <v/>
      </c>
      <c r="E27" s="29">
        <f>C27-D27</f>
        <v/>
      </c>
      <c r="F27" s="33">
        <f>COUNTIFS(tbl_Finance[Department],$A27,tbl_Finance[Compare],"Not invoiced*")</f>
        <v/>
      </c>
      <c r="G27" s="29">
        <f>SUMIFS(tbl_Finance[Dept Expected Ex GST],tbl_Finance[Department],$A27,tbl_Finance[Compare],"Not invoiced*")</f>
        <v/>
      </c>
      <c r="H27" s="33">
        <f>COUNTIFS(tbl_Finance[Department],$A27,tbl_Finance[Compare],"Dept higher*")</f>
        <v/>
      </c>
      <c r="I27" s="29">
        <f>SUMIFS(tbl_Finance[Variance Dept vs Xero],tbl_Finance[Department],$A27,tbl_Finance[Compare],"Dept higher*")</f>
        <v/>
      </c>
      <c r="J27" s="33">
        <f>COUNTIFS(tbl_Finance[Department],$A27,tbl_Finance[Compare],"Xero higher*")</f>
        <v/>
      </c>
      <c r="K27" s="29">
        <f>SUMIFS(tbl_Finance[Variance Dept vs Xero],tbl_Finance[Department],$A27,tbl_Finance[Compare],"Xero higher*")</f>
        <v/>
      </c>
      <c r="L27" s="33">
        <f>COUNTIFS(tbl_Finance[Department],$A27,tbl_Finance[Issue],"?*")</f>
        <v/>
      </c>
    </row>
    <row r="28">
      <c r="A28" s="30" t="inlineStr">
        <is>
          <t>TOTAL</t>
        </is>
      </c>
      <c r="B28" s="34">
        <f>SUM(B25:B27)</f>
        <v/>
      </c>
      <c r="C28" s="31">
        <f>SUM(C25:C27)</f>
        <v/>
      </c>
      <c r="D28" s="31">
        <f>SUM(D25:D27)</f>
        <v/>
      </c>
      <c r="E28" s="31">
        <f>SUM(E25:E27)</f>
        <v/>
      </c>
      <c r="F28" s="34">
        <f>SUM(F25:F27)</f>
        <v/>
      </c>
      <c r="G28" s="31">
        <f>SUM(G25:G27)</f>
        <v/>
      </c>
      <c r="H28" s="34">
        <f>SUM(H25:H27)</f>
        <v/>
      </c>
      <c r="I28" s="31">
        <f>SUM(I25:I27)</f>
        <v/>
      </c>
      <c r="J28" s="34">
        <f>SUM(J25:J27)</f>
        <v/>
      </c>
      <c r="K28" s="31">
        <f>SUM(K25:K27)</f>
        <v/>
      </c>
      <c r="L28" s="34">
        <f>SUM(L25:L27)</f>
        <v/>
      </c>
    </row>
    <row r="29">
      <c r="A29" s="32" t="inlineStr">
        <is>
          <t>Revenue still to invoice (Not invoiced $ + Part invoiced $)</t>
        </is>
      </c>
      <c r="E29" s="35">
        <f>G28+I28</f>
        <v/>
      </c>
    </row>
  </sheetData>
  <sheetProtection selectLockedCells="0" selectUnlockedCells="0" sheet="1" objects="0" insertRows="1" insertHyperlinks="1" autoFilter="0" scenarios="0" formatColumns="0" deleteColumns="1" insertColumns="1" pivotTables="1" deleteRows="1" formatCells="1" formatRows="0" sort="1" password="DE9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5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6" customWidth="1" min="6" max="6"/>
    <col width="44" customWidth="1" min="7" max="7"/>
    <col width="14" customWidth="1" min="8" max="8"/>
    <col width="15" customWidth="1" min="9" max="9"/>
    <col width="12" customWidth="1" min="10" max="10"/>
    <col width="11" customWidth="1" min="11" max="11"/>
    <col width="16" customWidth="1" min="12" max="12"/>
    <col width="24" customWidth="1" min="13" max="13"/>
    <col width="14" customWidth="1" min="14" max="14"/>
    <col width="21" customWidth="1" min="15" max="15"/>
    <col width="30" customWidth="1" min="16" max="16"/>
    <col width="20" customWidth="1" min="17" max="17"/>
    <col width="18" customWidth="1" min="18" max="18"/>
    <col width="40" customWidth="1" min="19" max="19"/>
    <col width="14" customWidth="1" min="20" max="20"/>
    <col width="13" customWidth="1" min="21" max="21"/>
    <col width="16" customWidth="1" min="22" max="22"/>
    <col width="38" customWidth="1" min="23" max="23"/>
    <col width="10" customWidth="1" min="24" max="24"/>
  </cols>
  <sheetData>
    <row r="1">
      <c r="A1" s="1" t="inlineStr">
        <is>
          <t>Onsite - Job Detail</t>
        </is>
      </c>
    </row>
    <row r="2" ht="30" customHeight="1">
      <c r="A2" s="4" t="inlineStr">
        <is>
          <t>Onsite / Support jobs. One row per job number. Fill in every white cell. Invoice Date, Invoice No, Revenue Ex GST and Invoiced come back from the Finance sheet once Finance enters the Xero invoice.</t>
        </is>
      </c>
    </row>
    <row r="3">
      <c r="A3" s="5">
        <f>"Expected Ex GST  "&amp;TEXT(SUBTOTAL(109,tbl_Onsite[Expected Revenue Ex GST]),"$#,##0.00")&amp;"      Invoiced in Xero  "&amp;TEXT(SUBTOTAL(109,tbl_Onsite[Revenue Ex GST]),"$#,##0.00")&amp;"      Still to invoice  "&amp;TEXT(SUBTOTAL(109,tbl_Onsite[To Invoice]),"$#,##0.00")</f>
        <v/>
      </c>
    </row>
    <row r="4" ht="34" customHeight="1">
      <c r="A4" s="8" t="inlineStr">
        <is>
          <t>Invoice Date</t>
        </is>
      </c>
      <c r="B4" s="8" t="inlineStr">
        <is>
          <t>Invoice No</t>
        </is>
      </c>
      <c r="C4" s="36" t="inlineStr">
        <is>
          <t>Job Number</t>
        </is>
      </c>
      <c r="D4" s="8" t="inlineStr">
        <is>
          <t>Job in Xero?</t>
        </is>
      </c>
      <c r="E4" s="8" t="inlineStr">
        <is>
          <t>Job Name (Xero)</t>
        </is>
      </c>
      <c r="F4" s="36" t="inlineStr">
        <is>
          <t>Client</t>
        </is>
      </c>
      <c r="G4" s="36" t="inlineStr">
        <is>
          <t>Job Description</t>
        </is>
      </c>
      <c r="H4" s="36" t="inlineStr">
        <is>
          <t>Cost Centre</t>
        </is>
      </c>
      <c r="I4" s="36" t="inlineStr">
        <is>
          <t>Invoice Type</t>
        </is>
      </c>
      <c r="J4" s="36" t="inlineStr">
        <is>
          <t>Tax Code</t>
        </is>
      </c>
      <c r="K4" s="8" t="inlineStr">
        <is>
          <t>Lines on Job</t>
        </is>
      </c>
      <c r="L4" s="8" t="inlineStr">
        <is>
          <t>Revenue Ex GST</t>
        </is>
      </c>
      <c r="M4" s="8" t="inlineStr">
        <is>
          <t>Invoiced</t>
        </is>
      </c>
      <c r="N4" s="8" t="inlineStr">
        <is>
          <t>To Invoice</t>
        </is>
      </c>
      <c r="O4" s="36" t="inlineStr">
        <is>
          <t>Expected Revenue Ex GST</t>
        </is>
      </c>
      <c r="P4" s="8" t="inlineStr">
        <is>
          <t>Not Yet on Finance</t>
        </is>
      </c>
      <c r="Q4" s="8" t="inlineStr">
        <is>
          <t>Cost Centres</t>
        </is>
      </c>
      <c r="R4" s="36" t="inlineStr">
        <is>
          <t>PO / Reference</t>
        </is>
      </c>
      <c r="S4" s="36" t="inlineStr">
        <is>
          <t>Qwilr Quote</t>
        </is>
      </c>
      <c r="T4" s="8" t="inlineStr">
        <is>
          <t>Open Qwilr</t>
        </is>
      </c>
      <c r="U4" s="36" t="inlineStr">
        <is>
          <t>Billable Hours</t>
        </is>
      </c>
      <c r="V4" s="36" t="inlineStr">
        <is>
          <t>Approved By</t>
        </is>
      </c>
      <c r="W4" s="36" t="inlineStr">
        <is>
          <t>Notes</t>
        </is>
      </c>
      <c r="X4" s="8" t="inlineStr">
        <is>
          <t>Row ID</t>
        </is>
      </c>
    </row>
    <row r="5">
      <c r="A5" s="16">
        <f>IF($C5="","",IFERROR(IF(INDEX(tbl_Finance[Latest Invoice Date],MATCH($X5,tbl_Finance[Row ID],0))="","",INDEX(tbl_Finance[Latest Invoice Date],MATCH($X5,tbl_Finance[Row ID],0))),""))</f>
        <v/>
      </c>
      <c r="B5" s="10">
        <f>IF($C5="","",IFERROR(INDEX(tbl_Finance[Invoice Numbers],MATCH($X5,tbl_Finance[Row ID],0))&amp;"",""))</f>
        <v/>
      </c>
      <c r="C5" s="37" t="n"/>
      <c r="D5" s="10">
        <f>IF($C5="","",IF(COUNTIF(lst_Jobs,$C5&amp;"")&gt;0,"OK","CHECK"))</f>
        <v/>
      </c>
      <c r="E5" s="10">
        <f>IF($C5="","",IFERROR(INDEX(lst_JobName,MATCH($C5&amp;"",lst_Jobs,0)),""))</f>
        <v/>
      </c>
      <c r="F5" s="37" t="n"/>
      <c r="G5" s="37" t="n"/>
      <c r="H5" s="37" t="n"/>
      <c r="I5" s="37" t="n"/>
      <c r="J5" s="37" t="n"/>
      <c r="K5" s="38">
        <f>IF($C5="","",IFERROR(N(INDEX(tbl_Finance[Invoice Count],MATCH($X5,tbl_Finance[Row ID],0))),""))</f>
        <v/>
      </c>
      <c r="L5" s="11">
        <f>IF($C5="","",IFERROR(N(INDEX(tbl_Finance[Xero Invoiced Ex GST],MATCH($X5,tbl_Finance[Row ID],0))),""))</f>
        <v/>
      </c>
      <c r="M5" s="10">
        <f>IF($C5="","",IFERROR(INDEX(tbl_Finance[Compare],MATCH($X5,tbl_Finance[Row ID],0))&amp;"",""))</f>
        <v/>
      </c>
      <c r="N5" s="11">
        <f>IF($C5="","",MAX(0,N(O5)-N(L5)))</f>
        <v/>
      </c>
      <c r="O5" s="39" t="n"/>
      <c r="P5" s="40">
        <f>IF($C5="","",IF((IF(F5="",", Client","")&amp;IF(G5="",", Description","")&amp;IF(H5="",", Cost Centre","")&amp;IF(I5="",", Invoice Type","")&amp;IF(J5="",", Tax Code","")&amp;IF(O5="",", Expected Revenue","")&amp;IF(COUNTIF(tbl_Finance[Job Number],$C5&amp;"")&gt;1,", Job number used twice",""))="","Complete","Fix: "&amp;MID(IF(F5="",", Client","")&amp;IF(G5="",", Description","")&amp;IF(H5="",", Cost Centre","")&amp;IF(I5="",", Invoice Type","")&amp;IF(J5="",", Tax Code","")&amp;IF(O5="",", Expected Revenue","")&amp;IF(COUNTIF(tbl_Finance[Job Number],$C5&amp;"")&gt;1,", Job number used twice",""),3,300)))</f>
        <v/>
      </c>
      <c r="Q5" s="10">
        <f>IF($C5="","",IF(H5="","(no cost centre)",H5&amp;" - GL "&amp;IFERROR(INDEX(lst_CCtoGL,MATCH(H5,lst_CCforGL,0)),"?")))</f>
        <v/>
      </c>
      <c r="R5" s="37" t="n"/>
      <c r="S5" s="37" t="n"/>
      <c r="T5" s="10">
        <f>IF(S5="","",HYPERLINK(IF(LEFT(S5,4)="http",S5,set_QwilrBase&amp;S5),"Open quote"))</f>
        <v/>
      </c>
      <c r="U5" s="41" t="n"/>
      <c r="V5" s="37" t="n"/>
      <c r="W5" s="37" t="n"/>
      <c r="X5" s="10" t="inlineStr">
        <is>
          <t>ONS-0001</t>
        </is>
      </c>
    </row>
    <row r="6">
      <c r="A6" s="16">
        <f>IF($C6="","",IFERROR(IF(INDEX(tbl_Finance[Latest Invoice Date],MATCH($X6,tbl_Finance[Row ID],0))="","",INDEX(tbl_Finance[Latest Invoice Date],MATCH($X6,tbl_Finance[Row ID],0))),""))</f>
        <v/>
      </c>
      <c r="B6" s="10">
        <f>IF($C6="","",IFERROR(INDEX(tbl_Finance[Invoice Numbers],MATCH($X6,tbl_Finance[Row ID],0))&amp;"",""))</f>
        <v/>
      </c>
      <c r="C6" s="37" t="n"/>
      <c r="D6" s="10">
        <f>IF($C6="","",IF(COUNTIF(lst_Jobs,$C6&amp;"")&gt;0,"OK","CHECK"))</f>
        <v/>
      </c>
      <c r="E6" s="10">
        <f>IF($C6="","",IFERROR(INDEX(lst_JobName,MATCH($C6&amp;"",lst_Jobs,0)),""))</f>
        <v/>
      </c>
      <c r="F6" s="37" t="n"/>
      <c r="G6" s="37" t="n"/>
      <c r="H6" s="37" t="n"/>
      <c r="I6" s="37" t="n"/>
      <c r="J6" s="37" t="n"/>
      <c r="K6" s="38">
        <f>IF($C6="","",IFERROR(N(INDEX(tbl_Finance[Invoice Count],MATCH($X6,tbl_Finance[Row ID],0))),""))</f>
        <v/>
      </c>
      <c r="L6" s="11">
        <f>IF($C6="","",IFERROR(N(INDEX(tbl_Finance[Xero Invoiced Ex GST],MATCH($X6,tbl_Finance[Row ID],0))),""))</f>
        <v/>
      </c>
      <c r="M6" s="10">
        <f>IF($C6="","",IFERROR(INDEX(tbl_Finance[Compare],MATCH($X6,tbl_Finance[Row ID],0))&amp;"",""))</f>
        <v/>
      </c>
      <c r="N6" s="11">
        <f>IF($C6="","",MAX(0,N(O6)-N(L6)))</f>
        <v/>
      </c>
      <c r="O6" s="39" t="n"/>
      <c r="P6" s="40">
        <f>IF($C6="","",IF((IF(F6="",", Client","")&amp;IF(G6="",", Description","")&amp;IF(H6="",", Cost Centre","")&amp;IF(I6="",", Invoice Type","")&amp;IF(J6="",", Tax Code","")&amp;IF(O6="",", Expected Revenue","")&amp;IF(COUNTIF(tbl_Finance[Job Number],$C6&amp;"")&gt;1,", Job number used twice",""))="","Complete","Fix: "&amp;MID(IF(F6="",", Client","")&amp;IF(G6="",", Description","")&amp;IF(H6="",", Cost Centre","")&amp;IF(I6="",", Invoice Type","")&amp;IF(J6="",", Tax Code","")&amp;IF(O6="",", Expected Revenue","")&amp;IF(COUNTIF(tbl_Finance[Job Number],$C6&amp;"")&gt;1,", Job number used twice",""),3,300)))</f>
        <v/>
      </c>
      <c r="Q6" s="10">
        <f>IF($C6="","",IF(H6="","(no cost centre)",H6&amp;" - GL "&amp;IFERROR(INDEX(lst_CCtoGL,MATCH(H6,lst_CCforGL,0)),"?")))</f>
        <v/>
      </c>
      <c r="R6" s="37" t="n"/>
      <c r="S6" s="37" t="n"/>
      <c r="T6" s="10">
        <f>IF(S6="","",HYPERLINK(IF(LEFT(S6,4)="http",S6,set_QwilrBase&amp;S6),"Open quote"))</f>
        <v/>
      </c>
      <c r="U6" s="41" t="n"/>
      <c r="V6" s="37" t="n"/>
      <c r="W6" s="37" t="n"/>
      <c r="X6" s="10" t="inlineStr">
        <is>
          <t>ONS-0002</t>
        </is>
      </c>
    </row>
    <row r="7">
      <c r="A7" s="16">
        <f>IF($C7="","",IFERROR(IF(INDEX(tbl_Finance[Latest Invoice Date],MATCH($X7,tbl_Finance[Row ID],0))="","",INDEX(tbl_Finance[Latest Invoice Date],MATCH($X7,tbl_Finance[Row ID],0))),""))</f>
        <v/>
      </c>
      <c r="B7" s="10">
        <f>IF($C7="","",IFERROR(INDEX(tbl_Finance[Invoice Numbers],MATCH($X7,tbl_Finance[Row ID],0))&amp;"",""))</f>
        <v/>
      </c>
      <c r="C7" s="37" t="n"/>
      <c r="D7" s="10">
        <f>IF($C7="","",IF(COUNTIF(lst_Jobs,$C7&amp;"")&gt;0,"OK","CHECK"))</f>
        <v/>
      </c>
      <c r="E7" s="10">
        <f>IF($C7="","",IFERROR(INDEX(lst_JobName,MATCH($C7&amp;"",lst_Jobs,0)),""))</f>
        <v/>
      </c>
      <c r="F7" s="37" t="n"/>
      <c r="G7" s="37" t="n"/>
      <c r="H7" s="37" t="n"/>
      <c r="I7" s="37" t="n"/>
      <c r="J7" s="37" t="n"/>
      <c r="K7" s="38">
        <f>IF($C7="","",IFERROR(N(INDEX(tbl_Finance[Invoice Count],MATCH($X7,tbl_Finance[Row ID],0))),""))</f>
        <v/>
      </c>
      <c r="L7" s="11">
        <f>IF($C7="","",IFERROR(N(INDEX(tbl_Finance[Xero Invoiced Ex GST],MATCH($X7,tbl_Finance[Row ID],0))),""))</f>
        <v/>
      </c>
      <c r="M7" s="10">
        <f>IF($C7="","",IFERROR(INDEX(tbl_Finance[Compare],MATCH($X7,tbl_Finance[Row ID],0))&amp;"",""))</f>
        <v/>
      </c>
      <c r="N7" s="11">
        <f>IF($C7="","",MAX(0,N(O7)-N(L7)))</f>
        <v/>
      </c>
      <c r="O7" s="39" t="n"/>
      <c r="P7" s="40">
        <f>IF($C7="","",IF((IF(F7="",", Client","")&amp;IF(G7="",", Description","")&amp;IF(H7="",", Cost Centre","")&amp;IF(I7="",", Invoice Type","")&amp;IF(J7="",", Tax Code","")&amp;IF(O7="",", Expected Revenue","")&amp;IF(COUNTIF(tbl_Finance[Job Number],$C7&amp;"")&gt;1,", Job number used twice",""))="","Complete","Fix: "&amp;MID(IF(F7="",", Client","")&amp;IF(G7="",", Description","")&amp;IF(H7="",", Cost Centre","")&amp;IF(I7="",", Invoice Type","")&amp;IF(J7="",", Tax Code","")&amp;IF(O7="",", Expected Revenue","")&amp;IF(COUNTIF(tbl_Finance[Job Number],$C7&amp;"")&gt;1,", Job number used twice",""),3,300)))</f>
        <v/>
      </c>
      <c r="Q7" s="10">
        <f>IF($C7="","",IF(H7="","(no cost centre)",H7&amp;" - GL "&amp;IFERROR(INDEX(lst_CCtoGL,MATCH(H7,lst_CCforGL,0)),"?")))</f>
        <v/>
      </c>
      <c r="R7" s="37" t="n"/>
      <c r="S7" s="37" t="n"/>
      <c r="T7" s="10">
        <f>IF(S7="","",HYPERLINK(IF(LEFT(S7,4)="http",S7,set_QwilrBase&amp;S7),"Open quote"))</f>
        <v/>
      </c>
      <c r="U7" s="41" t="n"/>
      <c r="V7" s="37" t="n"/>
      <c r="W7" s="37" t="n"/>
      <c r="X7" s="10" t="inlineStr">
        <is>
          <t>ONS-0003</t>
        </is>
      </c>
    </row>
    <row r="8">
      <c r="A8" s="16">
        <f>IF($C8="","",IFERROR(IF(INDEX(tbl_Finance[Latest Invoice Date],MATCH($X8,tbl_Finance[Row ID],0))="","",INDEX(tbl_Finance[Latest Invoice Date],MATCH($X8,tbl_Finance[Row ID],0))),""))</f>
        <v/>
      </c>
      <c r="B8" s="10">
        <f>IF($C8="","",IFERROR(INDEX(tbl_Finance[Invoice Numbers],MATCH($X8,tbl_Finance[Row ID],0))&amp;"",""))</f>
        <v/>
      </c>
      <c r="C8" s="37" t="n"/>
      <c r="D8" s="10">
        <f>IF($C8="","",IF(COUNTIF(lst_Jobs,$C8&amp;"")&gt;0,"OK","CHECK"))</f>
        <v/>
      </c>
      <c r="E8" s="10">
        <f>IF($C8="","",IFERROR(INDEX(lst_JobName,MATCH($C8&amp;"",lst_Jobs,0)),""))</f>
        <v/>
      </c>
      <c r="F8" s="37" t="n"/>
      <c r="G8" s="37" t="n"/>
      <c r="H8" s="37" t="n"/>
      <c r="I8" s="37" t="n"/>
      <c r="J8" s="37" t="n"/>
      <c r="K8" s="38">
        <f>IF($C8="","",IFERROR(N(INDEX(tbl_Finance[Invoice Count],MATCH($X8,tbl_Finance[Row ID],0))),""))</f>
        <v/>
      </c>
      <c r="L8" s="11">
        <f>IF($C8="","",IFERROR(N(INDEX(tbl_Finance[Xero Invoiced Ex GST],MATCH($X8,tbl_Finance[Row ID],0))),""))</f>
        <v/>
      </c>
      <c r="M8" s="10">
        <f>IF($C8="","",IFERROR(INDEX(tbl_Finance[Compare],MATCH($X8,tbl_Finance[Row ID],0))&amp;"",""))</f>
        <v/>
      </c>
      <c r="N8" s="11">
        <f>IF($C8="","",MAX(0,N(O8)-N(L8)))</f>
        <v/>
      </c>
      <c r="O8" s="39" t="n"/>
      <c r="P8" s="40">
        <f>IF($C8="","",IF((IF(F8="",", Client","")&amp;IF(G8="",", Description","")&amp;IF(H8="",", Cost Centre","")&amp;IF(I8="",", Invoice Type","")&amp;IF(J8="",", Tax Code","")&amp;IF(O8="",", Expected Revenue","")&amp;IF(COUNTIF(tbl_Finance[Job Number],$C8&amp;"")&gt;1,", Job number used twice",""))="","Complete","Fix: "&amp;MID(IF(F8="",", Client","")&amp;IF(G8="",", Description","")&amp;IF(H8="",", Cost Centre","")&amp;IF(I8="",", Invoice Type","")&amp;IF(J8="",", Tax Code","")&amp;IF(O8="",", Expected Revenue","")&amp;IF(COUNTIF(tbl_Finance[Job Number],$C8&amp;"")&gt;1,", Job number used twice",""),3,300)))</f>
        <v/>
      </c>
      <c r="Q8" s="10">
        <f>IF($C8="","",IF(H8="","(no cost centre)",H8&amp;" - GL "&amp;IFERROR(INDEX(lst_CCtoGL,MATCH(H8,lst_CCforGL,0)),"?")))</f>
        <v/>
      </c>
      <c r="R8" s="37" t="n"/>
      <c r="S8" s="37" t="n"/>
      <c r="T8" s="10">
        <f>IF(S8="","",HYPERLINK(IF(LEFT(S8,4)="http",S8,set_QwilrBase&amp;S8),"Open quote"))</f>
        <v/>
      </c>
      <c r="U8" s="41" t="n"/>
      <c r="V8" s="37" t="n"/>
      <c r="W8" s="37" t="n"/>
      <c r="X8" s="10" t="inlineStr">
        <is>
          <t>ONS-0004</t>
        </is>
      </c>
    </row>
    <row r="9">
      <c r="A9" s="16">
        <f>IF($C9="","",IFERROR(IF(INDEX(tbl_Finance[Latest Invoice Date],MATCH($X9,tbl_Finance[Row ID],0))="","",INDEX(tbl_Finance[Latest Invoice Date],MATCH($X9,tbl_Finance[Row ID],0))),""))</f>
        <v/>
      </c>
      <c r="B9" s="10">
        <f>IF($C9="","",IFERROR(INDEX(tbl_Finance[Invoice Numbers],MATCH($X9,tbl_Finance[Row ID],0))&amp;"",""))</f>
        <v/>
      </c>
      <c r="C9" s="37" t="n"/>
      <c r="D9" s="10">
        <f>IF($C9="","",IF(COUNTIF(lst_Jobs,$C9&amp;"")&gt;0,"OK","CHECK"))</f>
        <v/>
      </c>
      <c r="E9" s="10">
        <f>IF($C9="","",IFERROR(INDEX(lst_JobName,MATCH($C9&amp;"",lst_Jobs,0)),""))</f>
        <v/>
      </c>
      <c r="F9" s="37" t="n"/>
      <c r="G9" s="37" t="n"/>
      <c r="H9" s="37" t="n"/>
      <c r="I9" s="37" t="n"/>
      <c r="J9" s="37" t="n"/>
      <c r="K9" s="38">
        <f>IF($C9="","",IFERROR(N(INDEX(tbl_Finance[Invoice Count],MATCH($X9,tbl_Finance[Row ID],0))),""))</f>
        <v/>
      </c>
      <c r="L9" s="11">
        <f>IF($C9="","",IFERROR(N(INDEX(tbl_Finance[Xero Invoiced Ex GST],MATCH($X9,tbl_Finance[Row ID],0))),""))</f>
        <v/>
      </c>
      <c r="M9" s="10">
        <f>IF($C9="","",IFERROR(INDEX(tbl_Finance[Compare],MATCH($X9,tbl_Finance[Row ID],0))&amp;"",""))</f>
        <v/>
      </c>
      <c r="N9" s="11">
        <f>IF($C9="","",MAX(0,N(O9)-N(L9)))</f>
        <v/>
      </c>
      <c r="O9" s="39" t="n"/>
      <c r="P9" s="40">
        <f>IF($C9="","",IF((IF(F9="",", Client","")&amp;IF(G9="",", Description","")&amp;IF(H9="",", Cost Centre","")&amp;IF(I9="",", Invoice Type","")&amp;IF(J9="",", Tax Code","")&amp;IF(O9="",", Expected Revenue","")&amp;IF(COUNTIF(tbl_Finance[Job Number],$C9&amp;"")&gt;1,", Job number used twice",""))="","Complete","Fix: "&amp;MID(IF(F9="",", Client","")&amp;IF(G9="",", Description","")&amp;IF(H9="",", Cost Centre","")&amp;IF(I9="",", Invoice Type","")&amp;IF(J9="",", Tax Code","")&amp;IF(O9="",", Expected Revenue","")&amp;IF(COUNTIF(tbl_Finance[Job Number],$C9&amp;"")&gt;1,", Job number used twice",""),3,300)))</f>
        <v/>
      </c>
      <c r="Q9" s="10">
        <f>IF($C9="","",IF(H9="","(no cost centre)",H9&amp;" - GL "&amp;IFERROR(INDEX(lst_CCtoGL,MATCH(H9,lst_CCforGL,0)),"?")))</f>
        <v/>
      </c>
      <c r="R9" s="37" t="n"/>
      <c r="S9" s="37" t="n"/>
      <c r="T9" s="10">
        <f>IF(S9="","",HYPERLINK(IF(LEFT(S9,4)="http",S9,set_QwilrBase&amp;S9),"Open quote"))</f>
        <v/>
      </c>
      <c r="U9" s="41" t="n"/>
      <c r="V9" s="37" t="n"/>
      <c r="W9" s="37" t="n"/>
      <c r="X9" s="10" t="inlineStr">
        <is>
          <t>ONS-0005</t>
        </is>
      </c>
    </row>
    <row r="10">
      <c r="A10" s="16">
        <f>IF($C10="","",IFERROR(IF(INDEX(tbl_Finance[Latest Invoice Date],MATCH($X10,tbl_Finance[Row ID],0))="","",INDEX(tbl_Finance[Latest Invoice Date],MATCH($X10,tbl_Finance[Row ID],0))),""))</f>
        <v/>
      </c>
      <c r="B10" s="10">
        <f>IF($C10="","",IFERROR(INDEX(tbl_Finance[Invoice Numbers],MATCH($X10,tbl_Finance[Row ID],0))&amp;"",""))</f>
        <v/>
      </c>
      <c r="C10" s="37" t="n"/>
      <c r="D10" s="10">
        <f>IF($C10="","",IF(COUNTIF(lst_Jobs,$C10&amp;"")&gt;0,"OK","CHECK"))</f>
        <v/>
      </c>
      <c r="E10" s="10">
        <f>IF($C10="","",IFERROR(INDEX(lst_JobName,MATCH($C10&amp;"",lst_Jobs,0)),""))</f>
        <v/>
      </c>
      <c r="F10" s="37" t="n"/>
      <c r="G10" s="37" t="n"/>
      <c r="H10" s="37" t="n"/>
      <c r="I10" s="37" t="n"/>
      <c r="J10" s="37" t="n"/>
      <c r="K10" s="38">
        <f>IF($C10="","",IFERROR(N(INDEX(tbl_Finance[Invoice Count],MATCH($X10,tbl_Finance[Row ID],0))),""))</f>
        <v/>
      </c>
      <c r="L10" s="11">
        <f>IF($C10="","",IFERROR(N(INDEX(tbl_Finance[Xero Invoiced Ex GST],MATCH($X10,tbl_Finance[Row ID],0))),""))</f>
        <v/>
      </c>
      <c r="M10" s="10">
        <f>IF($C10="","",IFERROR(INDEX(tbl_Finance[Compare],MATCH($X10,tbl_Finance[Row ID],0))&amp;"",""))</f>
        <v/>
      </c>
      <c r="N10" s="11">
        <f>IF($C10="","",MAX(0,N(O10)-N(L10)))</f>
        <v/>
      </c>
      <c r="O10" s="39" t="n"/>
      <c r="P10" s="40">
        <f>IF($C10="","",IF((IF(F10="",", Client","")&amp;IF(G10="",", Description","")&amp;IF(H10="",", Cost Centre","")&amp;IF(I10="",", Invoice Type","")&amp;IF(J10="",", Tax Code","")&amp;IF(O10="",", Expected Revenue","")&amp;IF(COUNTIF(tbl_Finance[Job Number],$C10&amp;"")&gt;1,", Job number used twice",""))="","Complete","Fix: "&amp;MID(IF(F10="",", Client","")&amp;IF(G10="",", Description","")&amp;IF(H10="",", Cost Centre","")&amp;IF(I10="",", Invoice Type","")&amp;IF(J10="",", Tax Code","")&amp;IF(O10="",", Expected Revenue","")&amp;IF(COUNTIF(tbl_Finance[Job Number],$C10&amp;"")&gt;1,", Job number used twice",""),3,300)))</f>
        <v/>
      </c>
      <c r="Q10" s="10">
        <f>IF($C10="","",IF(H10="","(no cost centre)",H10&amp;" - GL "&amp;IFERROR(INDEX(lst_CCtoGL,MATCH(H10,lst_CCforGL,0)),"?")))</f>
        <v/>
      </c>
      <c r="R10" s="37" t="n"/>
      <c r="S10" s="37" t="n"/>
      <c r="T10" s="10">
        <f>IF(S10="","",HYPERLINK(IF(LEFT(S10,4)="http",S10,set_QwilrBase&amp;S10),"Open quote"))</f>
        <v/>
      </c>
      <c r="U10" s="41" t="n"/>
      <c r="V10" s="37" t="n"/>
      <c r="W10" s="37" t="n"/>
      <c r="X10" s="10" t="inlineStr">
        <is>
          <t>ONS-0006</t>
        </is>
      </c>
    </row>
    <row r="11">
      <c r="A11" s="16">
        <f>IF($C11="","",IFERROR(IF(INDEX(tbl_Finance[Latest Invoice Date],MATCH($X11,tbl_Finance[Row ID],0))="","",INDEX(tbl_Finance[Latest Invoice Date],MATCH($X11,tbl_Finance[Row ID],0))),""))</f>
        <v/>
      </c>
      <c r="B11" s="10">
        <f>IF($C11="","",IFERROR(INDEX(tbl_Finance[Invoice Numbers],MATCH($X11,tbl_Finance[Row ID],0))&amp;"",""))</f>
        <v/>
      </c>
      <c r="C11" s="37" t="n"/>
      <c r="D11" s="10">
        <f>IF($C11="","",IF(COUNTIF(lst_Jobs,$C11&amp;"")&gt;0,"OK","CHECK"))</f>
        <v/>
      </c>
      <c r="E11" s="10">
        <f>IF($C11="","",IFERROR(INDEX(lst_JobName,MATCH($C11&amp;"",lst_Jobs,0)),""))</f>
        <v/>
      </c>
      <c r="F11" s="37" t="n"/>
      <c r="G11" s="37" t="n"/>
      <c r="H11" s="37" t="n"/>
      <c r="I11" s="37" t="n"/>
      <c r="J11" s="37" t="n"/>
      <c r="K11" s="38">
        <f>IF($C11="","",IFERROR(N(INDEX(tbl_Finance[Invoice Count],MATCH($X11,tbl_Finance[Row ID],0))),""))</f>
        <v/>
      </c>
      <c r="L11" s="11">
        <f>IF($C11="","",IFERROR(N(INDEX(tbl_Finance[Xero Invoiced Ex GST],MATCH($X11,tbl_Finance[Row ID],0))),""))</f>
        <v/>
      </c>
      <c r="M11" s="10">
        <f>IF($C11="","",IFERROR(INDEX(tbl_Finance[Compare],MATCH($X11,tbl_Finance[Row ID],0))&amp;"",""))</f>
        <v/>
      </c>
      <c r="N11" s="11">
        <f>IF($C11="","",MAX(0,N(O11)-N(L11)))</f>
        <v/>
      </c>
      <c r="O11" s="39" t="n"/>
      <c r="P11" s="40">
        <f>IF($C11="","",IF((IF(F11="",", Client","")&amp;IF(G11="",", Description","")&amp;IF(H11="",", Cost Centre","")&amp;IF(I11="",", Invoice Type","")&amp;IF(J11="",", Tax Code","")&amp;IF(O11="",", Expected Revenue","")&amp;IF(COUNTIF(tbl_Finance[Job Number],$C11&amp;"")&gt;1,", Job number used twice",""))="","Complete","Fix: "&amp;MID(IF(F11="",", Client","")&amp;IF(G11="",", Description","")&amp;IF(H11="",", Cost Centre","")&amp;IF(I11="",", Invoice Type","")&amp;IF(J11="",", Tax Code","")&amp;IF(O11="",", Expected Revenue","")&amp;IF(COUNTIF(tbl_Finance[Job Number],$C11&amp;"")&gt;1,", Job number used twice",""),3,300)))</f>
        <v/>
      </c>
      <c r="Q11" s="10">
        <f>IF($C11="","",IF(H11="","(no cost centre)",H11&amp;" - GL "&amp;IFERROR(INDEX(lst_CCtoGL,MATCH(H11,lst_CCforGL,0)),"?")))</f>
        <v/>
      </c>
      <c r="R11" s="37" t="n"/>
      <c r="S11" s="37" t="n"/>
      <c r="T11" s="10">
        <f>IF(S11="","",HYPERLINK(IF(LEFT(S11,4)="http",S11,set_QwilrBase&amp;S11),"Open quote"))</f>
        <v/>
      </c>
      <c r="U11" s="41" t="n"/>
      <c r="V11" s="37" t="n"/>
      <c r="W11" s="37" t="n"/>
      <c r="X11" s="10" t="inlineStr">
        <is>
          <t>ONS-0007</t>
        </is>
      </c>
    </row>
    <row r="12">
      <c r="A12" s="16">
        <f>IF($C12="","",IFERROR(IF(INDEX(tbl_Finance[Latest Invoice Date],MATCH($X12,tbl_Finance[Row ID],0))="","",INDEX(tbl_Finance[Latest Invoice Date],MATCH($X12,tbl_Finance[Row ID],0))),""))</f>
        <v/>
      </c>
      <c r="B12" s="10">
        <f>IF($C12="","",IFERROR(INDEX(tbl_Finance[Invoice Numbers],MATCH($X12,tbl_Finance[Row ID],0))&amp;"",""))</f>
        <v/>
      </c>
      <c r="C12" s="37" t="n"/>
      <c r="D12" s="10">
        <f>IF($C12="","",IF(COUNTIF(lst_Jobs,$C12&amp;"")&gt;0,"OK","CHECK"))</f>
        <v/>
      </c>
      <c r="E12" s="10">
        <f>IF($C12="","",IFERROR(INDEX(lst_JobName,MATCH($C12&amp;"",lst_Jobs,0)),""))</f>
        <v/>
      </c>
      <c r="F12" s="37" t="n"/>
      <c r="G12" s="37" t="n"/>
      <c r="H12" s="37" t="n"/>
      <c r="I12" s="37" t="n"/>
      <c r="J12" s="37" t="n"/>
      <c r="K12" s="38">
        <f>IF($C12="","",IFERROR(N(INDEX(tbl_Finance[Invoice Count],MATCH($X12,tbl_Finance[Row ID],0))),""))</f>
        <v/>
      </c>
      <c r="L12" s="11">
        <f>IF($C12="","",IFERROR(N(INDEX(tbl_Finance[Xero Invoiced Ex GST],MATCH($X12,tbl_Finance[Row ID],0))),""))</f>
        <v/>
      </c>
      <c r="M12" s="10">
        <f>IF($C12="","",IFERROR(INDEX(tbl_Finance[Compare],MATCH($X12,tbl_Finance[Row ID],0))&amp;"",""))</f>
        <v/>
      </c>
      <c r="N12" s="11">
        <f>IF($C12="","",MAX(0,N(O12)-N(L12)))</f>
        <v/>
      </c>
      <c r="O12" s="39" t="n"/>
      <c r="P12" s="40">
        <f>IF($C12="","",IF((IF(F12="",", Client","")&amp;IF(G12="",", Description","")&amp;IF(H12="",", Cost Centre","")&amp;IF(I12="",", Invoice Type","")&amp;IF(J12="",", Tax Code","")&amp;IF(O12="",", Expected Revenue","")&amp;IF(COUNTIF(tbl_Finance[Job Number],$C12&amp;"")&gt;1,", Job number used twice",""))="","Complete","Fix: "&amp;MID(IF(F12="",", Client","")&amp;IF(G12="",", Description","")&amp;IF(H12="",", Cost Centre","")&amp;IF(I12="",", Invoice Type","")&amp;IF(J12="",", Tax Code","")&amp;IF(O12="",", Expected Revenue","")&amp;IF(COUNTIF(tbl_Finance[Job Number],$C12&amp;"")&gt;1,", Job number used twice",""),3,300)))</f>
        <v/>
      </c>
      <c r="Q12" s="10">
        <f>IF($C12="","",IF(H12="","(no cost centre)",H12&amp;" - GL "&amp;IFERROR(INDEX(lst_CCtoGL,MATCH(H12,lst_CCforGL,0)),"?")))</f>
        <v/>
      </c>
      <c r="R12" s="37" t="n"/>
      <c r="S12" s="37" t="n"/>
      <c r="T12" s="10">
        <f>IF(S12="","",HYPERLINK(IF(LEFT(S12,4)="http",S12,set_QwilrBase&amp;S12),"Open quote"))</f>
        <v/>
      </c>
      <c r="U12" s="41" t="n"/>
      <c r="V12" s="37" t="n"/>
      <c r="W12" s="37" t="n"/>
      <c r="X12" s="10" t="inlineStr">
        <is>
          <t>ONS-0008</t>
        </is>
      </c>
    </row>
    <row r="13">
      <c r="A13" s="16">
        <f>IF($C13="","",IFERROR(IF(INDEX(tbl_Finance[Latest Invoice Date],MATCH($X13,tbl_Finance[Row ID],0))="","",INDEX(tbl_Finance[Latest Invoice Date],MATCH($X13,tbl_Finance[Row ID],0))),""))</f>
        <v/>
      </c>
      <c r="B13" s="10">
        <f>IF($C13="","",IFERROR(INDEX(tbl_Finance[Invoice Numbers],MATCH($X13,tbl_Finance[Row ID],0))&amp;"",""))</f>
        <v/>
      </c>
      <c r="C13" s="37" t="n"/>
      <c r="D13" s="10">
        <f>IF($C13="","",IF(COUNTIF(lst_Jobs,$C13&amp;"")&gt;0,"OK","CHECK"))</f>
        <v/>
      </c>
      <c r="E13" s="10">
        <f>IF($C13="","",IFERROR(INDEX(lst_JobName,MATCH($C13&amp;"",lst_Jobs,0)),""))</f>
        <v/>
      </c>
      <c r="F13" s="37" t="n"/>
      <c r="G13" s="37" t="n"/>
      <c r="H13" s="37" t="n"/>
      <c r="I13" s="37" t="n"/>
      <c r="J13" s="37" t="n"/>
      <c r="K13" s="38">
        <f>IF($C13="","",IFERROR(N(INDEX(tbl_Finance[Invoice Count],MATCH($X13,tbl_Finance[Row ID],0))),""))</f>
        <v/>
      </c>
      <c r="L13" s="11">
        <f>IF($C13="","",IFERROR(N(INDEX(tbl_Finance[Xero Invoiced Ex GST],MATCH($X13,tbl_Finance[Row ID],0))),""))</f>
        <v/>
      </c>
      <c r="M13" s="10">
        <f>IF($C13="","",IFERROR(INDEX(tbl_Finance[Compare],MATCH($X13,tbl_Finance[Row ID],0))&amp;"",""))</f>
        <v/>
      </c>
      <c r="N13" s="11">
        <f>IF($C13="","",MAX(0,N(O13)-N(L13)))</f>
        <v/>
      </c>
      <c r="O13" s="39" t="n"/>
      <c r="P13" s="40">
        <f>IF($C13="","",IF((IF(F13="",", Client","")&amp;IF(G13="",", Description","")&amp;IF(H13="",", Cost Centre","")&amp;IF(I13="",", Invoice Type","")&amp;IF(J13="",", Tax Code","")&amp;IF(O13="",", Expected Revenue","")&amp;IF(COUNTIF(tbl_Finance[Job Number],$C13&amp;"")&gt;1,", Job number used twice",""))="","Complete","Fix: "&amp;MID(IF(F13="",", Client","")&amp;IF(G13="",", Description","")&amp;IF(H13="",", Cost Centre","")&amp;IF(I13="",", Invoice Type","")&amp;IF(J13="",", Tax Code","")&amp;IF(O13="",", Expected Revenue","")&amp;IF(COUNTIF(tbl_Finance[Job Number],$C13&amp;"")&gt;1,", Job number used twice",""),3,300)))</f>
        <v/>
      </c>
      <c r="Q13" s="10">
        <f>IF($C13="","",IF(H13="","(no cost centre)",H13&amp;" - GL "&amp;IFERROR(INDEX(lst_CCtoGL,MATCH(H13,lst_CCforGL,0)),"?")))</f>
        <v/>
      </c>
      <c r="R13" s="37" t="n"/>
      <c r="S13" s="37" t="n"/>
      <c r="T13" s="10">
        <f>IF(S13="","",HYPERLINK(IF(LEFT(S13,4)="http",S13,set_QwilrBase&amp;S13),"Open quote"))</f>
        <v/>
      </c>
      <c r="U13" s="41" t="n"/>
      <c r="V13" s="37" t="n"/>
      <c r="W13" s="37" t="n"/>
      <c r="X13" s="10" t="inlineStr">
        <is>
          <t>ONS-0009</t>
        </is>
      </c>
    </row>
    <row r="14">
      <c r="A14" s="16">
        <f>IF($C14="","",IFERROR(IF(INDEX(tbl_Finance[Latest Invoice Date],MATCH($X14,tbl_Finance[Row ID],0))="","",INDEX(tbl_Finance[Latest Invoice Date],MATCH($X14,tbl_Finance[Row ID],0))),""))</f>
        <v/>
      </c>
      <c r="B14" s="10">
        <f>IF($C14="","",IFERROR(INDEX(tbl_Finance[Invoice Numbers],MATCH($X14,tbl_Finance[Row ID],0))&amp;"",""))</f>
        <v/>
      </c>
      <c r="C14" s="37" t="n"/>
      <c r="D14" s="10">
        <f>IF($C14="","",IF(COUNTIF(lst_Jobs,$C14&amp;"")&gt;0,"OK","CHECK"))</f>
        <v/>
      </c>
      <c r="E14" s="10">
        <f>IF($C14="","",IFERROR(INDEX(lst_JobName,MATCH($C14&amp;"",lst_Jobs,0)),""))</f>
        <v/>
      </c>
      <c r="F14" s="37" t="n"/>
      <c r="G14" s="37" t="n"/>
      <c r="H14" s="37" t="n"/>
      <c r="I14" s="37" t="n"/>
      <c r="J14" s="37" t="n"/>
      <c r="K14" s="38">
        <f>IF($C14="","",IFERROR(N(INDEX(tbl_Finance[Invoice Count],MATCH($X14,tbl_Finance[Row ID],0))),""))</f>
        <v/>
      </c>
      <c r="L14" s="11">
        <f>IF($C14="","",IFERROR(N(INDEX(tbl_Finance[Xero Invoiced Ex GST],MATCH($X14,tbl_Finance[Row ID],0))),""))</f>
        <v/>
      </c>
      <c r="M14" s="10">
        <f>IF($C14="","",IFERROR(INDEX(tbl_Finance[Compare],MATCH($X14,tbl_Finance[Row ID],0))&amp;"",""))</f>
        <v/>
      </c>
      <c r="N14" s="11">
        <f>IF($C14="","",MAX(0,N(O14)-N(L14)))</f>
        <v/>
      </c>
      <c r="O14" s="39" t="n"/>
      <c r="P14" s="40">
        <f>IF($C14="","",IF((IF(F14="",", Client","")&amp;IF(G14="",", Description","")&amp;IF(H14="",", Cost Centre","")&amp;IF(I14="",", Invoice Type","")&amp;IF(J14="",", Tax Code","")&amp;IF(O14="",", Expected Revenue","")&amp;IF(COUNTIF(tbl_Finance[Job Number],$C14&amp;"")&gt;1,", Job number used twice",""))="","Complete","Fix: "&amp;MID(IF(F14="",", Client","")&amp;IF(G14="",", Description","")&amp;IF(H14="",", Cost Centre","")&amp;IF(I14="",", Invoice Type","")&amp;IF(J14="",", Tax Code","")&amp;IF(O14="",", Expected Revenue","")&amp;IF(COUNTIF(tbl_Finance[Job Number],$C14&amp;"")&gt;1,", Job number used twice",""),3,300)))</f>
        <v/>
      </c>
      <c r="Q14" s="10">
        <f>IF($C14="","",IF(H14="","(no cost centre)",H14&amp;" - GL "&amp;IFERROR(INDEX(lst_CCtoGL,MATCH(H14,lst_CCforGL,0)),"?")))</f>
        <v/>
      </c>
      <c r="R14" s="37" t="n"/>
      <c r="S14" s="37" t="n"/>
      <c r="T14" s="10">
        <f>IF(S14="","",HYPERLINK(IF(LEFT(S14,4)="http",S14,set_QwilrBase&amp;S14),"Open quote"))</f>
        <v/>
      </c>
      <c r="U14" s="41" t="n"/>
      <c r="V14" s="37" t="n"/>
      <c r="W14" s="37" t="n"/>
      <c r="X14" s="10" t="inlineStr">
        <is>
          <t>ONS-0010</t>
        </is>
      </c>
    </row>
    <row r="15">
      <c r="A15" s="16">
        <f>IF($C15="","",IFERROR(IF(INDEX(tbl_Finance[Latest Invoice Date],MATCH($X15,tbl_Finance[Row ID],0))="","",INDEX(tbl_Finance[Latest Invoice Date],MATCH($X15,tbl_Finance[Row ID],0))),""))</f>
        <v/>
      </c>
      <c r="B15" s="10">
        <f>IF($C15="","",IFERROR(INDEX(tbl_Finance[Invoice Numbers],MATCH($X15,tbl_Finance[Row ID],0))&amp;"",""))</f>
        <v/>
      </c>
      <c r="C15" s="37" t="n"/>
      <c r="D15" s="10">
        <f>IF($C15="","",IF(COUNTIF(lst_Jobs,$C15&amp;"")&gt;0,"OK","CHECK"))</f>
        <v/>
      </c>
      <c r="E15" s="10">
        <f>IF($C15="","",IFERROR(INDEX(lst_JobName,MATCH($C15&amp;"",lst_Jobs,0)),""))</f>
        <v/>
      </c>
      <c r="F15" s="37" t="n"/>
      <c r="G15" s="37" t="n"/>
      <c r="H15" s="37" t="n"/>
      <c r="I15" s="37" t="n"/>
      <c r="J15" s="37" t="n"/>
      <c r="K15" s="38">
        <f>IF($C15="","",IFERROR(N(INDEX(tbl_Finance[Invoice Count],MATCH($X15,tbl_Finance[Row ID],0))),""))</f>
        <v/>
      </c>
      <c r="L15" s="11">
        <f>IF($C15="","",IFERROR(N(INDEX(tbl_Finance[Xero Invoiced Ex GST],MATCH($X15,tbl_Finance[Row ID],0))),""))</f>
        <v/>
      </c>
      <c r="M15" s="10">
        <f>IF($C15="","",IFERROR(INDEX(tbl_Finance[Compare],MATCH($X15,tbl_Finance[Row ID],0))&amp;"",""))</f>
        <v/>
      </c>
      <c r="N15" s="11">
        <f>IF($C15="","",MAX(0,N(O15)-N(L15)))</f>
        <v/>
      </c>
      <c r="O15" s="39" t="n"/>
      <c r="P15" s="40">
        <f>IF($C15="","",IF((IF(F15="",", Client","")&amp;IF(G15="",", Description","")&amp;IF(H15="",", Cost Centre","")&amp;IF(I15="",", Invoice Type","")&amp;IF(J15="",", Tax Code","")&amp;IF(O15="",", Expected Revenue","")&amp;IF(COUNTIF(tbl_Finance[Job Number],$C15&amp;"")&gt;1,", Job number used twice",""))="","Complete","Fix: "&amp;MID(IF(F15="",", Client","")&amp;IF(G15="",", Description","")&amp;IF(H15="",", Cost Centre","")&amp;IF(I15="",", Invoice Type","")&amp;IF(J15="",", Tax Code","")&amp;IF(O15="",", Expected Revenue","")&amp;IF(COUNTIF(tbl_Finance[Job Number],$C15&amp;"")&gt;1,", Job number used twice",""),3,300)))</f>
        <v/>
      </c>
      <c r="Q15" s="10">
        <f>IF($C15="","",IF(H15="","(no cost centre)",H15&amp;" - GL "&amp;IFERROR(INDEX(lst_CCtoGL,MATCH(H15,lst_CCforGL,0)),"?")))</f>
        <v/>
      </c>
      <c r="R15" s="37" t="n"/>
      <c r="S15" s="37" t="n"/>
      <c r="T15" s="10">
        <f>IF(S15="","",HYPERLINK(IF(LEFT(S15,4)="http",S15,set_QwilrBase&amp;S15),"Open quote"))</f>
        <v/>
      </c>
      <c r="U15" s="41" t="n"/>
      <c r="V15" s="37" t="n"/>
      <c r="W15" s="37" t="n"/>
      <c r="X15" s="10" t="inlineStr">
        <is>
          <t>ONS-0011</t>
        </is>
      </c>
    </row>
    <row r="16">
      <c r="A16" s="16">
        <f>IF($C16="","",IFERROR(IF(INDEX(tbl_Finance[Latest Invoice Date],MATCH($X16,tbl_Finance[Row ID],0))="","",INDEX(tbl_Finance[Latest Invoice Date],MATCH($X16,tbl_Finance[Row ID],0))),""))</f>
        <v/>
      </c>
      <c r="B16" s="10">
        <f>IF($C16="","",IFERROR(INDEX(tbl_Finance[Invoice Numbers],MATCH($X16,tbl_Finance[Row ID],0))&amp;"",""))</f>
        <v/>
      </c>
      <c r="C16" s="37" t="n"/>
      <c r="D16" s="10">
        <f>IF($C16="","",IF(COUNTIF(lst_Jobs,$C16&amp;"")&gt;0,"OK","CHECK"))</f>
        <v/>
      </c>
      <c r="E16" s="10">
        <f>IF($C16="","",IFERROR(INDEX(lst_JobName,MATCH($C16&amp;"",lst_Jobs,0)),""))</f>
        <v/>
      </c>
      <c r="F16" s="37" t="n"/>
      <c r="G16" s="37" t="n"/>
      <c r="H16" s="37" t="n"/>
      <c r="I16" s="37" t="n"/>
      <c r="J16" s="37" t="n"/>
      <c r="K16" s="38">
        <f>IF($C16="","",IFERROR(N(INDEX(tbl_Finance[Invoice Count],MATCH($X16,tbl_Finance[Row ID],0))),""))</f>
        <v/>
      </c>
      <c r="L16" s="11">
        <f>IF($C16="","",IFERROR(N(INDEX(tbl_Finance[Xero Invoiced Ex GST],MATCH($X16,tbl_Finance[Row ID],0))),""))</f>
        <v/>
      </c>
      <c r="M16" s="10">
        <f>IF($C16="","",IFERROR(INDEX(tbl_Finance[Compare],MATCH($X16,tbl_Finance[Row ID],0))&amp;"",""))</f>
        <v/>
      </c>
      <c r="N16" s="11">
        <f>IF($C16="","",MAX(0,N(O16)-N(L16)))</f>
        <v/>
      </c>
      <c r="O16" s="39" t="n"/>
      <c r="P16" s="40">
        <f>IF($C16="","",IF((IF(F16="",", Client","")&amp;IF(G16="",", Description","")&amp;IF(H16="",", Cost Centre","")&amp;IF(I16="",", Invoice Type","")&amp;IF(J16="",", Tax Code","")&amp;IF(O16="",", Expected Revenue","")&amp;IF(COUNTIF(tbl_Finance[Job Number],$C16&amp;"")&gt;1,", Job number used twice",""))="","Complete","Fix: "&amp;MID(IF(F16="",", Client","")&amp;IF(G16="",", Description","")&amp;IF(H16="",", Cost Centre","")&amp;IF(I16="",", Invoice Type","")&amp;IF(J16="",", Tax Code","")&amp;IF(O16="",", Expected Revenue","")&amp;IF(COUNTIF(tbl_Finance[Job Number],$C16&amp;"")&gt;1,", Job number used twice",""),3,300)))</f>
        <v/>
      </c>
      <c r="Q16" s="10">
        <f>IF($C16="","",IF(H16="","(no cost centre)",H16&amp;" - GL "&amp;IFERROR(INDEX(lst_CCtoGL,MATCH(H16,lst_CCforGL,0)),"?")))</f>
        <v/>
      </c>
      <c r="R16" s="37" t="n"/>
      <c r="S16" s="37" t="n"/>
      <c r="T16" s="10">
        <f>IF(S16="","",HYPERLINK(IF(LEFT(S16,4)="http",S16,set_QwilrBase&amp;S16),"Open quote"))</f>
        <v/>
      </c>
      <c r="U16" s="41" t="n"/>
      <c r="V16" s="37" t="n"/>
      <c r="W16" s="37" t="n"/>
      <c r="X16" s="10" t="inlineStr">
        <is>
          <t>ONS-0012</t>
        </is>
      </c>
    </row>
    <row r="17">
      <c r="A17" s="16">
        <f>IF($C17="","",IFERROR(IF(INDEX(tbl_Finance[Latest Invoice Date],MATCH($X17,tbl_Finance[Row ID],0))="","",INDEX(tbl_Finance[Latest Invoice Date],MATCH($X17,tbl_Finance[Row ID],0))),""))</f>
        <v/>
      </c>
      <c r="B17" s="10">
        <f>IF($C17="","",IFERROR(INDEX(tbl_Finance[Invoice Numbers],MATCH($X17,tbl_Finance[Row ID],0))&amp;"",""))</f>
        <v/>
      </c>
      <c r="C17" s="37" t="n"/>
      <c r="D17" s="10">
        <f>IF($C17="","",IF(COUNTIF(lst_Jobs,$C17&amp;"")&gt;0,"OK","CHECK"))</f>
        <v/>
      </c>
      <c r="E17" s="10">
        <f>IF($C17="","",IFERROR(INDEX(lst_JobName,MATCH($C17&amp;"",lst_Jobs,0)),""))</f>
        <v/>
      </c>
      <c r="F17" s="37" t="n"/>
      <c r="G17" s="37" t="n"/>
      <c r="H17" s="37" t="n"/>
      <c r="I17" s="37" t="n"/>
      <c r="J17" s="37" t="n"/>
      <c r="K17" s="38">
        <f>IF($C17="","",IFERROR(N(INDEX(tbl_Finance[Invoice Count],MATCH($X17,tbl_Finance[Row ID],0))),""))</f>
        <v/>
      </c>
      <c r="L17" s="11">
        <f>IF($C17="","",IFERROR(N(INDEX(tbl_Finance[Xero Invoiced Ex GST],MATCH($X17,tbl_Finance[Row ID],0))),""))</f>
        <v/>
      </c>
      <c r="M17" s="10">
        <f>IF($C17="","",IFERROR(INDEX(tbl_Finance[Compare],MATCH($X17,tbl_Finance[Row ID],0))&amp;"",""))</f>
        <v/>
      </c>
      <c r="N17" s="11">
        <f>IF($C17="","",MAX(0,N(O17)-N(L17)))</f>
        <v/>
      </c>
      <c r="O17" s="39" t="n"/>
      <c r="P17" s="40">
        <f>IF($C17="","",IF((IF(F17="",", Client","")&amp;IF(G17="",", Description","")&amp;IF(H17="",", Cost Centre","")&amp;IF(I17="",", Invoice Type","")&amp;IF(J17="",", Tax Code","")&amp;IF(O17="",", Expected Revenue","")&amp;IF(COUNTIF(tbl_Finance[Job Number],$C17&amp;"")&gt;1,", Job number used twice",""))="","Complete","Fix: "&amp;MID(IF(F17="",", Client","")&amp;IF(G17="",", Description","")&amp;IF(H17="",", Cost Centre","")&amp;IF(I17="",", Invoice Type","")&amp;IF(J17="",", Tax Code","")&amp;IF(O17="",", Expected Revenue","")&amp;IF(COUNTIF(tbl_Finance[Job Number],$C17&amp;"")&gt;1,", Job number used twice",""),3,300)))</f>
        <v/>
      </c>
      <c r="Q17" s="10">
        <f>IF($C17="","",IF(H17="","(no cost centre)",H17&amp;" - GL "&amp;IFERROR(INDEX(lst_CCtoGL,MATCH(H17,lst_CCforGL,0)),"?")))</f>
        <v/>
      </c>
      <c r="R17" s="37" t="n"/>
      <c r="S17" s="37" t="n"/>
      <c r="T17" s="10">
        <f>IF(S17="","",HYPERLINK(IF(LEFT(S17,4)="http",S17,set_QwilrBase&amp;S17),"Open quote"))</f>
        <v/>
      </c>
      <c r="U17" s="41" t="n"/>
      <c r="V17" s="37" t="n"/>
      <c r="W17" s="37" t="n"/>
      <c r="X17" s="10" t="inlineStr">
        <is>
          <t>ONS-0013</t>
        </is>
      </c>
    </row>
    <row r="18">
      <c r="A18" s="16">
        <f>IF($C18="","",IFERROR(IF(INDEX(tbl_Finance[Latest Invoice Date],MATCH($X18,tbl_Finance[Row ID],0))="","",INDEX(tbl_Finance[Latest Invoice Date],MATCH($X18,tbl_Finance[Row ID],0))),""))</f>
        <v/>
      </c>
      <c r="B18" s="10">
        <f>IF($C18="","",IFERROR(INDEX(tbl_Finance[Invoice Numbers],MATCH($X18,tbl_Finance[Row ID],0))&amp;"",""))</f>
        <v/>
      </c>
      <c r="C18" s="37" t="n"/>
      <c r="D18" s="10">
        <f>IF($C18="","",IF(COUNTIF(lst_Jobs,$C18&amp;"")&gt;0,"OK","CHECK"))</f>
        <v/>
      </c>
      <c r="E18" s="10">
        <f>IF($C18="","",IFERROR(INDEX(lst_JobName,MATCH($C18&amp;"",lst_Jobs,0)),""))</f>
        <v/>
      </c>
      <c r="F18" s="37" t="n"/>
      <c r="G18" s="37" t="n"/>
      <c r="H18" s="37" t="n"/>
      <c r="I18" s="37" t="n"/>
      <c r="J18" s="37" t="n"/>
      <c r="K18" s="38">
        <f>IF($C18="","",IFERROR(N(INDEX(tbl_Finance[Invoice Count],MATCH($X18,tbl_Finance[Row ID],0))),""))</f>
        <v/>
      </c>
      <c r="L18" s="11">
        <f>IF($C18="","",IFERROR(N(INDEX(tbl_Finance[Xero Invoiced Ex GST],MATCH($X18,tbl_Finance[Row ID],0))),""))</f>
        <v/>
      </c>
      <c r="M18" s="10">
        <f>IF($C18="","",IFERROR(INDEX(tbl_Finance[Compare],MATCH($X18,tbl_Finance[Row ID],0))&amp;"",""))</f>
        <v/>
      </c>
      <c r="N18" s="11">
        <f>IF($C18="","",MAX(0,N(O18)-N(L18)))</f>
        <v/>
      </c>
      <c r="O18" s="39" t="n"/>
      <c r="P18" s="40">
        <f>IF($C18="","",IF((IF(F18="",", Client","")&amp;IF(G18="",", Description","")&amp;IF(H18="",", Cost Centre","")&amp;IF(I18="",", Invoice Type","")&amp;IF(J18="",", Tax Code","")&amp;IF(O18="",", Expected Revenue","")&amp;IF(COUNTIF(tbl_Finance[Job Number],$C18&amp;"")&gt;1,", Job number used twice",""))="","Complete","Fix: "&amp;MID(IF(F18="",", Client","")&amp;IF(G18="",", Description","")&amp;IF(H18="",", Cost Centre","")&amp;IF(I18="",", Invoice Type","")&amp;IF(J18="",", Tax Code","")&amp;IF(O18="",", Expected Revenue","")&amp;IF(COUNTIF(tbl_Finance[Job Number],$C18&amp;"")&gt;1,", Job number used twice",""),3,300)))</f>
        <v/>
      </c>
      <c r="Q18" s="10">
        <f>IF($C18="","",IF(H18="","(no cost centre)",H18&amp;" - GL "&amp;IFERROR(INDEX(lst_CCtoGL,MATCH(H18,lst_CCforGL,0)),"?")))</f>
        <v/>
      </c>
      <c r="R18" s="37" t="n"/>
      <c r="S18" s="37" t="n"/>
      <c r="T18" s="10">
        <f>IF(S18="","",HYPERLINK(IF(LEFT(S18,4)="http",S18,set_QwilrBase&amp;S18),"Open quote"))</f>
        <v/>
      </c>
      <c r="U18" s="41" t="n"/>
      <c r="V18" s="37" t="n"/>
      <c r="W18" s="37" t="n"/>
      <c r="X18" s="10" t="inlineStr">
        <is>
          <t>ONS-0014</t>
        </is>
      </c>
    </row>
    <row r="19">
      <c r="A19" s="16">
        <f>IF($C19="","",IFERROR(IF(INDEX(tbl_Finance[Latest Invoice Date],MATCH($X19,tbl_Finance[Row ID],0))="","",INDEX(tbl_Finance[Latest Invoice Date],MATCH($X19,tbl_Finance[Row ID],0))),""))</f>
        <v/>
      </c>
      <c r="B19" s="10">
        <f>IF($C19="","",IFERROR(INDEX(tbl_Finance[Invoice Numbers],MATCH($X19,tbl_Finance[Row ID],0))&amp;"",""))</f>
        <v/>
      </c>
      <c r="C19" s="37" t="n"/>
      <c r="D19" s="10">
        <f>IF($C19="","",IF(COUNTIF(lst_Jobs,$C19&amp;"")&gt;0,"OK","CHECK"))</f>
        <v/>
      </c>
      <c r="E19" s="10">
        <f>IF($C19="","",IFERROR(INDEX(lst_JobName,MATCH($C19&amp;"",lst_Jobs,0)),""))</f>
        <v/>
      </c>
      <c r="F19" s="37" t="n"/>
      <c r="G19" s="37" t="n"/>
      <c r="H19" s="37" t="n"/>
      <c r="I19" s="37" t="n"/>
      <c r="J19" s="37" t="n"/>
      <c r="K19" s="38">
        <f>IF($C19="","",IFERROR(N(INDEX(tbl_Finance[Invoice Count],MATCH($X19,tbl_Finance[Row ID],0))),""))</f>
        <v/>
      </c>
      <c r="L19" s="11">
        <f>IF($C19="","",IFERROR(N(INDEX(tbl_Finance[Xero Invoiced Ex GST],MATCH($X19,tbl_Finance[Row ID],0))),""))</f>
        <v/>
      </c>
      <c r="M19" s="10">
        <f>IF($C19="","",IFERROR(INDEX(tbl_Finance[Compare],MATCH($X19,tbl_Finance[Row ID],0))&amp;"",""))</f>
        <v/>
      </c>
      <c r="N19" s="11">
        <f>IF($C19="","",MAX(0,N(O19)-N(L19)))</f>
        <v/>
      </c>
      <c r="O19" s="39" t="n"/>
      <c r="P19" s="40">
        <f>IF($C19="","",IF((IF(F19="",", Client","")&amp;IF(G19="",", Description","")&amp;IF(H19="",", Cost Centre","")&amp;IF(I19="",", Invoice Type","")&amp;IF(J19="",", Tax Code","")&amp;IF(O19="",", Expected Revenue","")&amp;IF(COUNTIF(tbl_Finance[Job Number],$C19&amp;"")&gt;1,", Job number used twice",""))="","Complete","Fix: "&amp;MID(IF(F19="",", Client","")&amp;IF(G19="",", Description","")&amp;IF(H19="",", Cost Centre","")&amp;IF(I19="",", Invoice Type","")&amp;IF(J19="",", Tax Code","")&amp;IF(O19="",", Expected Revenue","")&amp;IF(COUNTIF(tbl_Finance[Job Number],$C19&amp;"")&gt;1,", Job number used twice",""),3,300)))</f>
        <v/>
      </c>
      <c r="Q19" s="10">
        <f>IF($C19="","",IF(H19="","(no cost centre)",H19&amp;" - GL "&amp;IFERROR(INDEX(lst_CCtoGL,MATCH(H19,lst_CCforGL,0)),"?")))</f>
        <v/>
      </c>
      <c r="R19" s="37" t="n"/>
      <c r="S19" s="37" t="n"/>
      <c r="T19" s="10">
        <f>IF(S19="","",HYPERLINK(IF(LEFT(S19,4)="http",S19,set_QwilrBase&amp;S19),"Open quote"))</f>
        <v/>
      </c>
      <c r="U19" s="41" t="n"/>
      <c r="V19" s="37" t="n"/>
      <c r="W19" s="37" t="n"/>
      <c r="X19" s="10" t="inlineStr">
        <is>
          <t>ONS-0015</t>
        </is>
      </c>
    </row>
    <row r="20">
      <c r="A20" s="16">
        <f>IF($C20="","",IFERROR(IF(INDEX(tbl_Finance[Latest Invoice Date],MATCH($X20,tbl_Finance[Row ID],0))="","",INDEX(tbl_Finance[Latest Invoice Date],MATCH($X20,tbl_Finance[Row ID],0))),""))</f>
        <v/>
      </c>
      <c r="B20" s="10">
        <f>IF($C20="","",IFERROR(INDEX(tbl_Finance[Invoice Numbers],MATCH($X20,tbl_Finance[Row ID],0))&amp;"",""))</f>
        <v/>
      </c>
      <c r="C20" s="37" t="n"/>
      <c r="D20" s="10">
        <f>IF($C20="","",IF(COUNTIF(lst_Jobs,$C20&amp;"")&gt;0,"OK","CHECK"))</f>
        <v/>
      </c>
      <c r="E20" s="10">
        <f>IF($C20="","",IFERROR(INDEX(lst_JobName,MATCH($C20&amp;"",lst_Jobs,0)),""))</f>
        <v/>
      </c>
      <c r="F20" s="37" t="n"/>
      <c r="G20" s="37" t="n"/>
      <c r="H20" s="37" t="n"/>
      <c r="I20" s="37" t="n"/>
      <c r="J20" s="37" t="n"/>
      <c r="K20" s="38">
        <f>IF($C20="","",IFERROR(N(INDEX(tbl_Finance[Invoice Count],MATCH($X20,tbl_Finance[Row ID],0))),""))</f>
        <v/>
      </c>
      <c r="L20" s="11">
        <f>IF($C20="","",IFERROR(N(INDEX(tbl_Finance[Xero Invoiced Ex GST],MATCH($X20,tbl_Finance[Row ID],0))),""))</f>
        <v/>
      </c>
      <c r="M20" s="10">
        <f>IF($C20="","",IFERROR(INDEX(tbl_Finance[Compare],MATCH($X20,tbl_Finance[Row ID],0))&amp;"",""))</f>
        <v/>
      </c>
      <c r="N20" s="11">
        <f>IF($C20="","",MAX(0,N(O20)-N(L20)))</f>
        <v/>
      </c>
      <c r="O20" s="39" t="n"/>
      <c r="P20" s="40">
        <f>IF($C20="","",IF((IF(F20="",", Client","")&amp;IF(G20="",", Description","")&amp;IF(H20="",", Cost Centre","")&amp;IF(I20="",", Invoice Type","")&amp;IF(J20="",", Tax Code","")&amp;IF(O20="",", Expected Revenue","")&amp;IF(COUNTIF(tbl_Finance[Job Number],$C20&amp;"")&gt;1,", Job number used twice",""))="","Complete","Fix: "&amp;MID(IF(F20="",", Client","")&amp;IF(G20="",", Description","")&amp;IF(H20="",", Cost Centre","")&amp;IF(I20="",", Invoice Type","")&amp;IF(J20="",", Tax Code","")&amp;IF(O20="",", Expected Revenue","")&amp;IF(COUNTIF(tbl_Finance[Job Number],$C20&amp;"")&gt;1,", Job number used twice",""),3,300)))</f>
        <v/>
      </c>
      <c r="Q20" s="10">
        <f>IF($C20="","",IF(H20="","(no cost centre)",H20&amp;" - GL "&amp;IFERROR(INDEX(lst_CCtoGL,MATCH(H20,lst_CCforGL,0)),"?")))</f>
        <v/>
      </c>
      <c r="R20" s="37" t="n"/>
      <c r="S20" s="37" t="n"/>
      <c r="T20" s="10">
        <f>IF(S20="","",HYPERLINK(IF(LEFT(S20,4)="http",S20,set_QwilrBase&amp;S20),"Open quote"))</f>
        <v/>
      </c>
      <c r="U20" s="41" t="n"/>
      <c r="V20" s="37" t="n"/>
      <c r="W20" s="37" t="n"/>
      <c r="X20" s="10" t="inlineStr">
        <is>
          <t>ONS-0016</t>
        </is>
      </c>
    </row>
    <row r="21">
      <c r="A21" s="16">
        <f>IF($C21="","",IFERROR(IF(INDEX(tbl_Finance[Latest Invoice Date],MATCH($X21,tbl_Finance[Row ID],0))="","",INDEX(tbl_Finance[Latest Invoice Date],MATCH($X21,tbl_Finance[Row ID],0))),""))</f>
        <v/>
      </c>
      <c r="B21" s="10">
        <f>IF($C21="","",IFERROR(INDEX(tbl_Finance[Invoice Numbers],MATCH($X21,tbl_Finance[Row ID],0))&amp;"",""))</f>
        <v/>
      </c>
      <c r="C21" s="37" t="n"/>
      <c r="D21" s="10">
        <f>IF($C21="","",IF(COUNTIF(lst_Jobs,$C21&amp;"")&gt;0,"OK","CHECK"))</f>
        <v/>
      </c>
      <c r="E21" s="10">
        <f>IF($C21="","",IFERROR(INDEX(lst_JobName,MATCH($C21&amp;"",lst_Jobs,0)),""))</f>
        <v/>
      </c>
      <c r="F21" s="37" t="n"/>
      <c r="G21" s="37" t="n"/>
      <c r="H21" s="37" t="n"/>
      <c r="I21" s="37" t="n"/>
      <c r="J21" s="37" t="n"/>
      <c r="K21" s="38">
        <f>IF($C21="","",IFERROR(N(INDEX(tbl_Finance[Invoice Count],MATCH($X21,tbl_Finance[Row ID],0))),""))</f>
        <v/>
      </c>
      <c r="L21" s="11">
        <f>IF($C21="","",IFERROR(N(INDEX(tbl_Finance[Xero Invoiced Ex GST],MATCH($X21,tbl_Finance[Row ID],0))),""))</f>
        <v/>
      </c>
      <c r="M21" s="10">
        <f>IF($C21="","",IFERROR(INDEX(tbl_Finance[Compare],MATCH($X21,tbl_Finance[Row ID],0))&amp;"",""))</f>
        <v/>
      </c>
      <c r="N21" s="11">
        <f>IF($C21="","",MAX(0,N(O21)-N(L21)))</f>
        <v/>
      </c>
      <c r="O21" s="39" t="n"/>
      <c r="P21" s="40">
        <f>IF($C21="","",IF((IF(F21="",", Client","")&amp;IF(G21="",", Description","")&amp;IF(H21="",", Cost Centre","")&amp;IF(I21="",", Invoice Type","")&amp;IF(J21="",", Tax Code","")&amp;IF(O21="",", Expected Revenue","")&amp;IF(COUNTIF(tbl_Finance[Job Number],$C21&amp;"")&gt;1,", Job number used twice",""))="","Complete","Fix: "&amp;MID(IF(F21="",", Client","")&amp;IF(G21="",", Description","")&amp;IF(H21="",", Cost Centre","")&amp;IF(I21="",", Invoice Type","")&amp;IF(J21="",", Tax Code","")&amp;IF(O21="",", Expected Revenue","")&amp;IF(COUNTIF(tbl_Finance[Job Number],$C21&amp;"")&gt;1,", Job number used twice",""),3,300)))</f>
        <v/>
      </c>
      <c r="Q21" s="10">
        <f>IF($C21="","",IF(H21="","(no cost centre)",H21&amp;" - GL "&amp;IFERROR(INDEX(lst_CCtoGL,MATCH(H21,lst_CCforGL,0)),"?")))</f>
        <v/>
      </c>
      <c r="R21" s="37" t="n"/>
      <c r="S21" s="37" t="n"/>
      <c r="T21" s="10">
        <f>IF(S21="","",HYPERLINK(IF(LEFT(S21,4)="http",S21,set_QwilrBase&amp;S21),"Open quote"))</f>
        <v/>
      </c>
      <c r="U21" s="41" t="n"/>
      <c r="V21" s="37" t="n"/>
      <c r="W21" s="37" t="n"/>
      <c r="X21" s="10" t="inlineStr">
        <is>
          <t>ONS-0017</t>
        </is>
      </c>
    </row>
    <row r="22">
      <c r="A22" s="16">
        <f>IF($C22="","",IFERROR(IF(INDEX(tbl_Finance[Latest Invoice Date],MATCH($X22,tbl_Finance[Row ID],0))="","",INDEX(tbl_Finance[Latest Invoice Date],MATCH($X22,tbl_Finance[Row ID],0))),""))</f>
        <v/>
      </c>
      <c r="B22" s="10">
        <f>IF($C22="","",IFERROR(INDEX(tbl_Finance[Invoice Numbers],MATCH($X22,tbl_Finance[Row ID],0))&amp;"",""))</f>
        <v/>
      </c>
      <c r="C22" s="37" t="n"/>
      <c r="D22" s="10">
        <f>IF($C22="","",IF(COUNTIF(lst_Jobs,$C22&amp;"")&gt;0,"OK","CHECK"))</f>
        <v/>
      </c>
      <c r="E22" s="10">
        <f>IF($C22="","",IFERROR(INDEX(lst_JobName,MATCH($C22&amp;"",lst_Jobs,0)),""))</f>
        <v/>
      </c>
      <c r="F22" s="37" t="n"/>
      <c r="G22" s="37" t="n"/>
      <c r="H22" s="37" t="n"/>
      <c r="I22" s="37" t="n"/>
      <c r="J22" s="37" t="n"/>
      <c r="K22" s="38">
        <f>IF($C22="","",IFERROR(N(INDEX(tbl_Finance[Invoice Count],MATCH($X22,tbl_Finance[Row ID],0))),""))</f>
        <v/>
      </c>
      <c r="L22" s="11">
        <f>IF($C22="","",IFERROR(N(INDEX(tbl_Finance[Xero Invoiced Ex GST],MATCH($X22,tbl_Finance[Row ID],0))),""))</f>
        <v/>
      </c>
      <c r="M22" s="10">
        <f>IF($C22="","",IFERROR(INDEX(tbl_Finance[Compare],MATCH($X22,tbl_Finance[Row ID],0))&amp;"",""))</f>
        <v/>
      </c>
      <c r="N22" s="11">
        <f>IF($C22="","",MAX(0,N(O22)-N(L22)))</f>
        <v/>
      </c>
      <c r="O22" s="39" t="n"/>
      <c r="P22" s="40">
        <f>IF($C22="","",IF((IF(F22="",", Client","")&amp;IF(G22="",", Description","")&amp;IF(H22="",", Cost Centre","")&amp;IF(I22="",", Invoice Type","")&amp;IF(J22="",", Tax Code","")&amp;IF(O22="",", Expected Revenue","")&amp;IF(COUNTIF(tbl_Finance[Job Number],$C22&amp;"")&gt;1,", Job number used twice",""))="","Complete","Fix: "&amp;MID(IF(F22="",", Client","")&amp;IF(G22="",", Description","")&amp;IF(H22="",", Cost Centre","")&amp;IF(I22="",", Invoice Type","")&amp;IF(J22="",", Tax Code","")&amp;IF(O22="",", Expected Revenue","")&amp;IF(COUNTIF(tbl_Finance[Job Number],$C22&amp;"")&gt;1,", Job number used twice",""),3,300)))</f>
        <v/>
      </c>
      <c r="Q22" s="10">
        <f>IF($C22="","",IF(H22="","(no cost centre)",H22&amp;" - GL "&amp;IFERROR(INDEX(lst_CCtoGL,MATCH(H22,lst_CCforGL,0)),"?")))</f>
        <v/>
      </c>
      <c r="R22" s="37" t="n"/>
      <c r="S22" s="37" t="n"/>
      <c r="T22" s="10">
        <f>IF(S22="","",HYPERLINK(IF(LEFT(S22,4)="http",S22,set_QwilrBase&amp;S22),"Open quote"))</f>
        <v/>
      </c>
      <c r="U22" s="41" t="n"/>
      <c r="V22" s="37" t="n"/>
      <c r="W22" s="37" t="n"/>
      <c r="X22" s="10" t="inlineStr">
        <is>
          <t>ONS-0018</t>
        </is>
      </c>
    </row>
    <row r="23">
      <c r="A23" s="16">
        <f>IF($C23="","",IFERROR(IF(INDEX(tbl_Finance[Latest Invoice Date],MATCH($X23,tbl_Finance[Row ID],0))="","",INDEX(tbl_Finance[Latest Invoice Date],MATCH($X23,tbl_Finance[Row ID],0))),""))</f>
        <v/>
      </c>
      <c r="B23" s="10">
        <f>IF($C23="","",IFERROR(INDEX(tbl_Finance[Invoice Numbers],MATCH($X23,tbl_Finance[Row ID],0))&amp;"",""))</f>
        <v/>
      </c>
      <c r="C23" s="37" t="n"/>
      <c r="D23" s="10">
        <f>IF($C23="","",IF(COUNTIF(lst_Jobs,$C23&amp;"")&gt;0,"OK","CHECK"))</f>
        <v/>
      </c>
      <c r="E23" s="10">
        <f>IF($C23="","",IFERROR(INDEX(lst_JobName,MATCH($C23&amp;"",lst_Jobs,0)),""))</f>
        <v/>
      </c>
      <c r="F23" s="37" t="n"/>
      <c r="G23" s="37" t="n"/>
      <c r="H23" s="37" t="n"/>
      <c r="I23" s="37" t="n"/>
      <c r="J23" s="37" t="n"/>
      <c r="K23" s="38">
        <f>IF($C23="","",IFERROR(N(INDEX(tbl_Finance[Invoice Count],MATCH($X23,tbl_Finance[Row ID],0))),""))</f>
        <v/>
      </c>
      <c r="L23" s="11">
        <f>IF($C23="","",IFERROR(N(INDEX(tbl_Finance[Xero Invoiced Ex GST],MATCH($X23,tbl_Finance[Row ID],0))),""))</f>
        <v/>
      </c>
      <c r="M23" s="10">
        <f>IF($C23="","",IFERROR(INDEX(tbl_Finance[Compare],MATCH($X23,tbl_Finance[Row ID],0))&amp;"",""))</f>
        <v/>
      </c>
      <c r="N23" s="11">
        <f>IF($C23="","",MAX(0,N(O23)-N(L23)))</f>
        <v/>
      </c>
      <c r="O23" s="39" t="n"/>
      <c r="P23" s="40">
        <f>IF($C23="","",IF((IF(F23="",", Client","")&amp;IF(G23="",", Description","")&amp;IF(H23="",", Cost Centre","")&amp;IF(I23="",", Invoice Type","")&amp;IF(J23="",", Tax Code","")&amp;IF(O23="",", Expected Revenue","")&amp;IF(COUNTIF(tbl_Finance[Job Number],$C23&amp;"")&gt;1,", Job number used twice",""))="","Complete","Fix: "&amp;MID(IF(F23="",", Client","")&amp;IF(G23="",", Description","")&amp;IF(H23="",", Cost Centre","")&amp;IF(I23="",", Invoice Type","")&amp;IF(J23="",", Tax Code","")&amp;IF(O23="",", Expected Revenue","")&amp;IF(COUNTIF(tbl_Finance[Job Number],$C23&amp;"")&gt;1,", Job number used twice",""),3,300)))</f>
        <v/>
      </c>
      <c r="Q23" s="10">
        <f>IF($C23="","",IF(H23="","(no cost centre)",H23&amp;" - GL "&amp;IFERROR(INDEX(lst_CCtoGL,MATCH(H23,lst_CCforGL,0)),"?")))</f>
        <v/>
      </c>
      <c r="R23" s="37" t="n"/>
      <c r="S23" s="37" t="n"/>
      <c r="T23" s="10">
        <f>IF(S23="","",HYPERLINK(IF(LEFT(S23,4)="http",S23,set_QwilrBase&amp;S23),"Open quote"))</f>
        <v/>
      </c>
      <c r="U23" s="41" t="n"/>
      <c r="V23" s="37" t="n"/>
      <c r="W23" s="37" t="n"/>
      <c r="X23" s="10" t="inlineStr">
        <is>
          <t>ONS-0019</t>
        </is>
      </c>
    </row>
    <row r="24">
      <c r="A24" s="16">
        <f>IF($C24="","",IFERROR(IF(INDEX(tbl_Finance[Latest Invoice Date],MATCH($X24,tbl_Finance[Row ID],0))="","",INDEX(tbl_Finance[Latest Invoice Date],MATCH($X24,tbl_Finance[Row ID],0))),""))</f>
        <v/>
      </c>
      <c r="B24" s="10">
        <f>IF($C24="","",IFERROR(INDEX(tbl_Finance[Invoice Numbers],MATCH($X24,tbl_Finance[Row ID],0))&amp;"",""))</f>
        <v/>
      </c>
      <c r="C24" s="37" t="n"/>
      <c r="D24" s="10">
        <f>IF($C24="","",IF(COUNTIF(lst_Jobs,$C24&amp;"")&gt;0,"OK","CHECK"))</f>
        <v/>
      </c>
      <c r="E24" s="10">
        <f>IF($C24="","",IFERROR(INDEX(lst_JobName,MATCH($C24&amp;"",lst_Jobs,0)),""))</f>
        <v/>
      </c>
      <c r="F24" s="37" t="n"/>
      <c r="G24" s="37" t="n"/>
      <c r="H24" s="37" t="n"/>
      <c r="I24" s="37" t="n"/>
      <c r="J24" s="37" t="n"/>
      <c r="K24" s="38">
        <f>IF($C24="","",IFERROR(N(INDEX(tbl_Finance[Invoice Count],MATCH($X24,tbl_Finance[Row ID],0))),""))</f>
        <v/>
      </c>
      <c r="L24" s="11">
        <f>IF($C24="","",IFERROR(N(INDEX(tbl_Finance[Xero Invoiced Ex GST],MATCH($X24,tbl_Finance[Row ID],0))),""))</f>
        <v/>
      </c>
      <c r="M24" s="10">
        <f>IF($C24="","",IFERROR(INDEX(tbl_Finance[Compare],MATCH($X24,tbl_Finance[Row ID],0))&amp;"",""))</f>
        <v/>
      </c>
      <c r="N24" s="11">
        <f>IF($C24="","",MAX(0,N(O24)-N(L24)))</f>
        <v/>
      </c>
      <c r="O24" s="39" t="n"/>
      <c r="P24" s="40">
        <f>IF($C24="","",IF((IF(F24="",", Client","")&amp;IF(G24="",", Description","")&amp;IF(H24="",", Cost Centre","")&amp;IF(I24="",", Invoice Type","")&amp;IF(J24="",", Tax Code","")&amp;IF(O24="",", Expected Revenue","")&amp;IF(COUNTIF(tbl_Finance[Job Number],$C24&amp;"")&gt;1,", Job number used twice",""))="","Complete","Fix: "&amp;MID(IF(F24="",", Client","")&amp;IF(G24="",", Description","")&amp;IF(H24="",", Cost Centre","")&amp;IF(I24="",", Invoice Type","")&amp;IF(J24="",", Tax Code","")&amp;IF(O24="",", Expected Revenue","")&amp;IF(COUNTIF(tbl_Finance[Job Number],$C24&amp;"")&gt;1,", Job number used twice",""),3,300)))</f>
        <v/>
      </c>
      <c r="Q24" s="10">
        <f>IF($C24="","",IF(H24="","(no cost centre)",H24&amp;" - GL "&amp;IFERROR(INDEX(lst_CCtoGL,MATCH(H24,lst_CCforGL,0)),"?")))</f>
        <v/>
      </c>
      <c r="R24" s="37" t="n"/>
      <c r="S24" s="37" t="n"/>
      <c r="T24" s="10">
        <f>IF(S24="","",HYPERLINK(IF(LEFT(S24,4)="http",S24,set_QwilrBase&amp;S24),"Open quote"))</f>
        <v/>
      </c>
      <c r="U24" s="41" t="n"/>
      <c r="V24" s="37" t="n"/>
      <c r="W24" s="37" t="n"/>
      <c r="X24" s="10" t="inlineStr">
        <is>
          <t>ONS-0020</t>
        </is>
      </c>
    </row>
    <row r="25">
      <c r="A25" s="16">
        <f>IF($C25="","",IFERROR(IF(INDEX(tbl_Finance[Latest Invoice Date],MATCH($X25,tbl_Finance[Row ID],0))="","",INDEX(tbl_Finance[Latest Invoice Date],MATCH($X25,tbl_Finance[Row ID],0))),""))</f>
        <v/>
      </c>
      <c r="B25" s="10">
        <f>IF($C25="","",IFERROR(INDEX(tbl_Finance[Invoice Numbers],MATCH($X25,tbl_Finance[Row ID],0))&amp;"",""))</f>
        <v/>
      </c>
      <c r="C25" s="37" t="n"/>
      <c r="D25" s="10">
        <f>IF($C25="","",IF(COUNTIF(lst_Jobs,$C25&amp;"")&gt;0,"OK","CHECK"))</f>
        <v/>
      </c>
      <c r="E25" s="10">
        <f>IF($C25="","",IFERROR(INDEX(lst_JobName,MATCH($C25&amp;"",lst_Jobs,0)),""))</f>
        <v/>
      </c>
      <c r="F25" s="37" t="n"/>
      <c r="G25" s="37" t="n"/>
      <c r="H25" s="37" t="n"/>
      <c r="I25" s="37" t="n"/>
      <c r="J25" s="37" t="n"/>
      <c r="K25" s="38">
        <f>IF($C25="","",IFERROR(N(INDEX(tbl_Finance[Invoice Count],MATCH($X25,tbl_Finance[Row ID],0))),""))</f>
        <v/>
      </c>
      <c r="L25" s="11">
        <f>IF($C25="","",IFERROR(N(INDEX(tbl_Finance[Xero Invoiced Ex GST],MATCH($X25,tbl_Finance[Row ID],0))),""))</f>
        <v/>
      </c>
      <c r="M25" s="10">
        <f>IF($C25="","",IFERROR(INDEX(tbl_Finance[Compare],MATCH($X25,tbl_Finance[Row ID],0))&amp;"",""))</f>
        <v/>
      </c>
      <c r="N25" s="11">
        <f>IF($C25="","",MAX(0,N(O25)-N(L25)))</f>
        <v/>
      </c>
      <c r="O25" s="39" t="n"/>
      <c r="P25" s="40">
        <f>IF($C25="","",IF((IF(F25="",", Client","")&amp;IF(G25="",", Description","")&amp;IF(H25="",", Cost Centre","")&amp;IF(I25="",", Invoice Type","")&amp;IF(J25="",", Tax Code","")&amp;IF(O25="",", Expected Revenue","")&amp;IF(COUNTIF(tbl_Finance[Job Number],$C25&amp;"")&gt;1,", Job number used twice",""))="","Complete","Fix: "&amp;MID(IF(F25="",", Client","")&amp;IF(G25="",", Description","")&amp;IF(H25="",", Cost Centre","")&amp;IF(I25="",", Invoice Type","")&amp;IF(J25="",", Tax Code","")&amp;IF(O25="",", Expected Revenue","")&amp;IF(COUNTIF(tbl_Finance[Job Number],$C25&amp;"")&gt;1,", Job number used twice",""),3,300)))</f>
        <v/>
      </c>
      <c r="Q25" s="10">
        <f>IF($C25="","",IF(H25="","(no cost centre)",H25&amp;" - GL "&amp;IFERROR(INDEX(lst_CCtoGL,MATCH(H25,lst_CCforGL,0)),"?")))</f>
        <v/>
      </c>
      <c r="R25" s="37" t="n"/>
      <c r="S25" s="37" t="n"/>
      <c r="T25" s="10">
        <f>IF(S25="","",HYPERLINK(IF(LEFT(S25,4)="http",S25,set_QwilrBase&amp;S25),"Open quote"))</f>
        <v/>
      </c>
      <c r="U25" s="41" t="n"/>
      <c r="V25" s="37" t="n"/>
      <c r="W25" s="37" t="n"/>
      <c r="X25" s="10" t="inlineStr">
        <is>
          <t>ONS-0021</t>
        </is>
      </c>
    </row>
    <row r="26">
      <c r="A26" s="16">
        <f>IF($C26="","",IFERROR(IF(INDEX(tbl_Finance[Latest Invoice Date],MATCH($X26,tbl_Finance[Row ID],0))="","",INDEX(tbl_Finance[Latest Invoice Date],MATCH($X26,tbl_Finance[Row ID],0))),""))</f>
        <v/>
      </c>
      <c r="B26" s="10">
        <f>IF($C26="","",IFERROR(INDEX(tbl_Finance[Invoice Numbers],MATCH($X26,tbl_Finance[Row ID],0))&amp;"",""))</f>
        <v/>
      </c>
      <c r="C26" s="37" t="n"/>
      <c r="D26" s="10">
        <f>IF($C26="","",IF(COUNTIF(lst_Jobs,$C26&amp;"")&gt;0,"OK","CHECK"))</f>
        <v/>
      </c>
      <c r="E26" s="10">
        <f>IF($C26="","",IFERROR(INDEX(lst_JobName,MATCH($C26&amp;"",lst_Jobs,0)),""))</f>
        <v/>
      </c>
      <c r="F26" s="37" t="n"/>
      <c r="G26" s="37" t="n"/>
      <c r="H26" s="37" t="n"/>
      <c r="I26" s="37" t="n"/>
      <c r="J26" s="37" t="n"/>
      <c r="K26" s="38">
        <f>IF($C26="","",IFERROR(N(INDEX(tbl_Finance[Invoice Count],MATCH($X26,tbl_Finance[Row ID],0))),""))</f>
        <v/>
      </c>
      <c r="L26" s="11">
        <f>IF($C26="","",IFERROR(N(INDEX(tbl_Finance[Xero Invoiced Ex GST],MATCH($X26,tbl_Finance[Row ID],0))),""))</f>
        <v/>
      </c>
      <c r="M26" s="10">
        <f>IF($C26="","",IFERROR(INDEX(tbl_Finance[Compare],MATCH($X26,tbl_Finance[Row ID],0))&amp;"",""))</f>
        <v/>
      </c>
      <c r="N26" s="11">
        <f>IF($C26="","",MAX(0,N(O26)-N(L26)))</f>
        <v/>
      </c>
      <c r="O26" s="39" t="n"/>
      <c r="P26" s="40">
        <f>IF($C26="","",IF((IF(F26="",", Client","")&amp;IF(G26="",", Description","")&amp;IF(H26="",", Cost Centre","")&amp;IF(I26="",", Invoice Type","")&amp;IF(J26="",", Tax Code","")&amp;IF(O26="",", Expected Revenue","")&amp;IF(COUNTIF(tbl_Finance[Job Number],$C26&amp;"")&gt;1,", Job number used twice",""))="","Complete","Fix: "&amp;MID(IF(F26="",", Client","")&amp;IF(G26="",", Description","")&amp;IF(H26="",", Cost Centre","")&amp;IF(I26="",", Invoice Type","")&amp;IF(J26="",", Tax Code","")&amp;IF(O26="",", Expected Revenue","")&amp;IF(COUNTIF(tbl_Finance[Job Number],$C26&amp;"")&gt;1,", Job number used twice",""),3,300)))</f>
        <v/>
      </c>
      <c r="Q26" s="10">
        <f>IF($C26="","",IF(H26="","(no cost centre)",H26&amp;" - GL "&amp;IFERROR(INDEX(lst_CCtoGL,MATCH(H26,lst_CCforGL,0)),"?")))</f>
        <v/>
      </c>
      <c r="R26" s="37" t="n"/>
      <c r="S26" s="37" t="n"/>
      <c r="T26" s="10">
        <f>IF(S26="","",HYPERLINK(IF(LEFT(S26,4)="http",S26,set_QwilrBase&amp;S26),"Open quote"))</f>
        <v/>
      </c>
      <c r="U26" s="41" t="n"/>
      <c r="V26" s="37" t="n"/>
      <c r="W26" s="37" t="n"/>
      <c r="X26" s="10" t="inlineStr">
        <is>
          <t>ONS-0022</t>
        </is>
      </c>
    </row>
    <row r="27">
      <c r="A27" s="16">
        <f>IF($C27="","",IFERROR(IF(INDEX(tbl_Finance[Latest Invoice Date],MATCH($X27,tbl_Finance[Row ID],0))="","",INDEX(tbl_Finance[Latest Invoice Date],MATCH($X27,tbl_Finance[Row ID],0))),""))</f>
        <v/>
      </c>
      <c r="B27" s="10">
        <f>IF($C27="","",IFERROR(INDEX(tbl_Finance[Invoice Numbers],MATCH($X27,tbl_Finance[Row ID],0))&amp;"",""))</f>
        <v/>
      </c>
      <c r="C27" s="37" t="n"/>
      <c r="D27" s="10">
        <f>IF($C27="","",IF(COUNTIF(lst_Jobs,$C27&amp;"")&gt;0,"OK","CHECK"))</f>
        <v/>
      </c>
      <c r="E27" s="10">
        <f>IF($C27="","",IFERROR(INDEX(lst_JobName,MATCH($C27&amp;"",lst_Jobs,0)),""))</f>
        <v/>
      </c>
      <c r="F27" s="37" t="n"/>
      <c r="G27" s="37" t="n"/>
      <c r="H27" s="37" t="n"/>
      <c r="I27" s="37" t="n"/>
      <c r="J27" s="37" t="n"/>
      <c r="K27" s="38">
        <f>IF($C27="","",IFERROR(N(INDEX(tbl_Finance[Invoice Count],MATCH($X27,tbl_Finance[Row ID],0))),""))</f>
        <v/>
      </c>
      <c r="L27" s="11">
        <f>IF($C27="","",IFERROR(N(INDEX(tbl_Finance[Xero Invoiced Ex GST],MATCH($X27,tbl_Finance[Row ID],0))),""))</f>
        <v/>
      </c>
      <c r="M27" s="10">
        <f>IF($C27="","",IFERROR(INDEX(tbl_Finance[Compare],MATCH($X27,tbl_Finance[Row ID],0))&amp;"",""))</f>
        <v/>
      </c>
      <c r="N27" s="11">
        <f>IF($C27="","",MAX(0,N(O27)-N(L27)))</f>
        <v/>
      </c>
      <c r="O27" s="39" t="n"/>
      <c r="P27" s="40">
        <f>IF($C27="","",IF((IF(F27="",", Client","")&amp;IF(G27="",", Description","")&amp;IF(H27="",", Cost Centre","")&amp;IF(I27="",", Invoice Type","")&amp;IF(J27="",", Tax Code","")&amp;IF(O27="",", Expected Revenue","")&amp;IF(COUNTIF(tbl_Finance[Job Number],$C27&amp;"")&gt;1,", Job number used twice",""))="","Complete","Fix: "&amp;MID(IF(F27="",", Client","")&amp;IF(G27="",", Description","")&amp;IF(H27="",", Cost Centre","")&amp;IF(I27="",", Invoice Type","")&amp;IF(J27="",", Tax Code","")&amp;IF(O27="",", Expected Revenue","")&amp;IF(COUNTIF(tbl_Finance[Job Number],$C27&amp;"")&gt;1,", Job number used twice",""),3,300)))</f>
        <v/>
      </c>
      <c r="Q27" s="10">
        <f>IF($C27="","",IF(H27="","(no cost centre)",H27&amp;" - GL "&amp;IFERROR(INDEX(lst_CCtoGL,MATCH(H27,lst_CCforGL,0)),"?")))</f>
        <v/>
      </c>
      <c r="R27" s="37" t="n"/>
      <c r="S27" s="37" t="n"/>
      <c r="T27" s="10">
        <f>IF(S27="","",HYPERLINK(IF(LEFT(S27,4)="http",S27,set_QwilrBase&amp;S27),"Open quote"))</f>
        <v/>
      </c>
      <c r="U27" s="41" t="n"/>
      <c r="V27" s="37" t="n"/>
      <c r="W27" s="37" t="n"/>
      <c r="X27" s="10" t="inlineStr">
        <is>
          <t>ONS-0023</t>
        </is>
      </c>
    </row>
    <row r="28">
      <c r="A28" s="16">
        <f>IF($C28="","",IFERROR(IF(INDEX(tbl_Finance[Latest Invoice Date],MATCH($X28,tbl_Finance[Row ID],0))="","",INDEX(tbl_Finance[Latest Invoice Date],MATCH($X28,tbl_Finance[Row ID],0))),""))</f>
        <v/>
      </c>
      <c r="B28" s="10">
        <f>IF($C28="","",IFERROR(INDEX(tbl_Finance[Invoice Numbers],MATCH($X28,tbl_Finance[Row ID],0))&amp;"",""))</f>
        <v/>
      </c>
      <c r="C28" s="37" t="n"/>
      <c r="D28" s="10">
        <f>IF($C28="","",IF(COUNTIF(lst_Jobs,$C28&amp;"")&gt;0,"OK","CHECK"))</f>
        <v/>
      </c>
      <c r="E28" s="10">
        <f>IF($C28="","",IFERROR(INDEX(lst_JobName,MATCH($C28&amp;"",lst_Jobs,0)),""))</f>
        <v/>
      </c>
      <c r="F28" s="37" t="n"/>
      <c r="G28" s="37" t="n"/>
      <c r="H28" s="37" t="n"/>
      <c r="I28" s="37" t="n"/>
      <c r="J28" s="37" t="n"/>
      <c r="K28" s="38">
        <f>IF($C28="","",IFERROR(N(INDEX(tbl_Finance[Invoice Count],MATCH($X28,tbl_Finance[Row ID],0))),""))</f>
        <v/>
      </c>
      <c r="L28" s="11">
        <f>IF($C28="","",IFERROR(N(INDEX(tbl_Finance[Xero Invoiced Ex GST],MATCH($X28,tbl_Finance[Row ID],0))),""))</f>
        <v/>
      </c>
      <c r="M28" s="10">
        <f>IF($C28="","",IFERROR(INDEX(tbl_Finance[Compare],MATCH($X28,tbl_Finance[Row ID],0))&amp;"",""))</f>
        <v/>
      </c>
      <c r="N28" s="11">
        <f>IF($C28="","",MAX(0,N(O28)-N(L28)))</f>
        <v/>
      </c>
      <c r="O28" s="39" t="n"/>
      <c r="P28" s="40">
        <f>IF($C28="","",IF((IF(F28="",", Client","")&amp;IF(G28="",", Description","")&amp;IF(H28="",", Cost Centre","")&amp;IF(I28="",", Invoice Type","")&amp;IF(J28="",", Tax Code","")&amp;IF(O28="",", Expected Revenue","")&amp;IF(COUNTIF(tbl_Finance[Job Number],$C28&amp;"")&gt;1,", Job number used twice",""))="","Complete","Fix: "&amp;MID(IF(F28="",", Client","")&amp;IF(G28="",", Description","")&amp;IF(H28="",", Cost Centre","")&amp;IF(I28="",", Invoice Type","")&amp;IF(J28="",", Tax Code","")&amp;IF(O28="",", Expected Revenue","")&amp;IF(COUNTIF(tbl_Finance[Job Number],$C28&amp;"")&gt;1,", Job number used twice",""),3,300)))</f>
        <v/>
      </c>
      <c r="Q28" s="10">
        <f>IF($C28="","",IF(H28="","(no cost centre)",H28&amp;" - GL "&amp;IFERROR(INDEX(lst_CCtoGL,MATCH(H28,lst_CCforGL,0)),"?")))</f>
        <v/>
      </c>
      <c r="R28" s="37" t="n"/>
      <c r="S28" s="37" t="n"/>
      <c r="T28" s="10">
        <f>IF(S28="","",HYPERLINK(IF(LEFT(S28,4)="http",S28,set_QwilrBase&amp;S28),"Open quote"))</f>
        <v/>
      </c>
      <c r="U28" s="41" t="n"/>
      <c r="V28" s="37" t="n"/>
      <c r="W28" s="37" t="n"/>
      <c r="X28" s="10" t="inlineStr">
        <is>
          <t>ONS-0024</t>
        </is>
      </c>
    </row>
    <row r="29">
      <c r="A29" s="16">
        <f>IF($C29="","",IFERROR(IF(INDEX(tbl_Finance[Latest Invoice Date],MATCH($X29,tbl_Finance[Row ID],0))="","",INDEX(tbl_Finance[Latest Invoice Date],MATCH($X29,tbl_Finance[Row ID],0))),""))</f>
        <v/>
      </c>
      <c r="B29" s="10">
        <f>IF($C29="","",IFERROR(INDEX(tbl_Finance[Invoice Numbers],MATCH($X29,tbl_Finance[Row ID],0))&amp;"",""))</f>
        <v/>
      </c>
      <c r="C29" s="37" t="n"/>
      <c r="D29" s="10">
        <f>IF($C29="","",IF(COUNTIF(lst_Jobs,$C29&amp;"")&gt;0,"OK","CHECK"))</f>
        <v/>
      </c>
      <c r="E29" s="10">
        <f>IF($C29="","",IFERROR(INDEX(lst_JobName,MATCH($C29&amp;"",lst_Jobs,0)),""))</f>
        <v/>
      </c>
      <c r="F29" s="37" t="n"/>
      <c r="G29" s="37" t="n"/>
      <c r="H29" s="37" t="n"/>
      <c r="I29" s="37" t="n"/>
      <c r="J29" s="37" t="n"/>
      <c r="K29" s="38">
        <f>IF($C29="","",IFERROR(N(INDEX(tbl_Finance[Invoice Count],MATCH($X29,tbl_Finance[Row ID],0))),""))</f>
        <v/>
      </c>
      <c r="L29" s="11">
        <f>IF($C29="","",IFERROR(N(INDEX(tbl_Finance[Xero Invoiced Ex GST],MATCH($X29,tbl_Finance[Row ID],0))),""))</f>
        <v/>
      </c>
      <c r="M29" s="10">
        <f>IF($C29="","",IFERROR(INDEX(tbl_Finance[Compare],MATCH($X29,tbl_Finance[Row ID],0))&amp;"",""))</f>
        <v/>
      </c>
      <c r="N29" s="11">
        <f>IF($C29="","",MAX(0,N(O29)-N(L29)))</f>
        <v/>
      </c>
      <c r="O29" s="39" t="n"/>
      <c r="P29" s="40">
        <f>IF($C29="","",IF((IF(F29="",", Client","")&amp;IF(G29="",", Description","")&amp;IF(H29="",", Cost Centre","")&amp;IF(I29="",", Invoice Type","")&amp;IF(J29="",", Tax Code","")&amp;IF(O29="",", Expected Revenue","")&amp;IF(COUNTIF(tbl_Finance[Job Number],$C29&amp;"")&gt;1,", Job number used twice",""))="","Complete","Fix: "&amp;MID(IF(F29="",", Client","")&amp;IF(G29="",", Description","")&amp;IF(H29="",", Cost Centre","")&amp;IF(I29="",", Invoice Type","")&amp;IF(J29="",", Tax Code","")&amp;IF(O29="",", Expected Revenue","")&amp;IF(COUNTIF(tbl_Finance[Job Number],$C29&amp;"")&gt;1,", Job number used twice",""),3,300)))</f>
        <v/>
      </c>
      <c r="Q29" s="10">
        <f>IF($C29="","",IF(H29="","(no cost centre)",H29&amp;" - GL "&amp;IFERROR(INDEX(lst_CCtoGL,MATCH(H29,lst_CCforGL,0)),"?")))</f>
        <v/>
      </c>
      <c r="R29" s="37" t="n"/>
      <c r="S29" s="37" t="n"/>
      <c r="T29" s="10">
        <f>IF(S29="","",HYPERLINK(IF(LEFT(S29,4)="http",S29,set_QwilrBase&amp;S29),"Open quote"))</f>
        <v/>
      </c>
      <c r="U29" s="41" t="n"/>
      <c r="V29" s="37" t="n"/>
      <c r="W29" s="37" t="n"/>
      <c r="X29" s="10" t="inlineStr">
        <is>
          <t>ONS-0025</t>
        </is>
      </c>
    </row>
    <row r="30">
      <c r="A30" s="16">
        <f>IF($C30="","",IFERROR(IF(INDEX(tbl_Finance[Latest Invoice Date],MATCH($X30,tbl_Finance[Row ID],0))="","",INDEX(tbl_Finance[Latest Invoice Date],MATCH($X30,tbl_Finance[Row ID],0))),""))</f>
        <v/>
      </c>
      <c r="B30" s="10">
        <f>IF($C30="","",IFERROR(INDEX(tbl_Finance[Invoice Numbers],MATCH($X30,tbl_Finance[Row ID],0))&amp;"",""))</f>
        <v/>
      </c>
      <c r="C30" s="37" t="n"/>
      <c r="D30" s="10">
        <f>IF($C30="","",IF(COUNTIF(lst_Jobs,$C30&amp;"")&gt;0,"OK","CHECK"))</f>
        <v/>
      </c>
      <c r="E30" s="10">
        <f>IF($C30="","",IFERROR(INDEX(lst_JobName,MATCH($C30&amp;"",lst_Jobs,0)),""))</f>
        <v/>
      </c>
      <c r="F30" s="37" t="n"/>
      <c r="G30" s="37" t="n"/>
      <c r="H30" s="37" t="n"/>
      <c r="I30" s="37" t="n"/>
      <c r="J30" s="37" t="n"/>
      <c r="K30" s="38">
        <f>IF($C30="","",IFERROR(N(INDEX(tbl_Finance[Invoice Count],MATCH($X30,tbl_Finance[Row ID],0))),""))</f>
        <v/>
      </c>
      <c r="L30" s="11">
        <f>IF($C30="","",IFERROR(N(INDEX(tbl_Finance[Xero Invoiced Ex GST],MATCH($X30,tbl_Finance[Row ID],0))),""))</f>
        <v/>
      </c>
      <c r="M30" s="10">
        <f>IF($C30="","",IFERROR(INDEX(tbl_Finance[Compare],MATCH($X30,tbl_Finance[Row ID],0))&amp;"",""))</f>
        <v/>
      </c>
      <c r="N30" s="11">
        <f>IF($C30="","",MAX(0,N(O30)-N(L30)))</f>
        <v/>
      </c>
      <c r="O30" s="39" t="n"/>
      <c r="P30" s="40">
        <f>IF($C30="","",IF((IF(F30="",", Client","")&amp;IF(G30="",", Description","")&amp;IF(H30="",", Cost Centre","")&amp;IF(I30="",", Invoice Type","")&amp;IF(J30="",", Tax Code","")&amp;IF(O30="",", Expected Revenue","")&amp;IF(COUNTIF(tbl_Finance[Job Number],$C30&amp;"")&gt;1,", Job number used twice",""))="","Complete","Fix: "&amp;MID(IF(F30="",", Client","")&amp;IF(G30="",", Description","")&amp;IF(H30="",", Cost Centre","")&amp;IF(I30="",", Invoice Type","")&amp;IF(J30="",", Tax Code","")&amp;IF(O30="",", Expected Revenue","")&amp;IF(COUNTIF(tbl_Finance[Job Number],$C30&amp;"")&gt;1,", Job number used twice",""),3,300)))</f>
        <v/>
      </c>
      <c r="Q30" s="10">
        <f>IF($C30="","",IF(H30="","(no cost centre)",H30&amp;" - GL "&amp;IFERROR(INDEX(lst_CCtoGL,MATCH(H30,lst_CCforGL,0)),"?")))</f>
        <v/>
      </c>
      <c r="R30" s="37" t="n"/>
      <c r="S30" s="37" t="n"/>
      <c r="T30" s="10">
        <f>IF(S30="","",HYPERLINK(IF(LEFT(S30,4)="http",S30,set_QwilrBase&amp;S30),"Open quote"))</f>
        <v/>
      </c>
      <c r="U30" s="41" t="n"/>
      <c r="V30" s="37" t="n"/>
      <c r="W30" s="37" t="n"/>
      <c r="X30" s="10" t="inlineStr">
        <is>
          <t>ONS-0026</t>
        </is>
      </c>
    </row>
    <row r="31">
      <c r="A31" s="16">
        <f>IF($C31="","",IFERROR(IF(INDEX(tbl_Finance[Latest Invoice Date],MATCH($X31,tbl_Finance[Row ID],0))="","",INDEX(tbl_Finance[Latest Invoice Date],MATCH($X31,tbl_Finance[Row ID],0))),""))</f>
        <v/>
      </c>
      <c r="B31" s="10">
        <f>IF($C31="","",IFERROR(INDEX(tbl_Finance[Invoice Numbers],MATCH($X31,tbl_Finance[Row ID],0))&amp;"",""))</f>
        <v/>
      </c>
      <c r="C31" s="37" t="n"/>
      <c r="D31" s="10">
        <f>IF($C31="","",IF(COUNTIF(lst_Jobs,$C31&amp;"")&gt;0,"OK","CHECK"))</f>
        <v/>
      </c>
      <c r="E31" s="10">
        <f>IF($C31="","",IFERROR(INDEX(lst_JobName,MATCH($C31&amp;"",lst_Jobs,0)),""))</f>
        <v/>
      </c>
      <c r="F31" s="37" t="n"/>
      <c r="G31" s="37" t="n"/>
      <c r="H31" s="37" t="n"/>
      <c r="I31" s="37" t="n"/>
      <c r="J31" s="37" t="n"/>
      <c r="K31" s="38">
        <f>IF($C31="","",IFERROR(N(INDEX(tbl_Finance[Invoice Count],MATCH($X31,tbl_Finance[Row ID],0))),""))</f>
        <v/>
      </c>
      <c r="L31" s="11">
        <f>IF($C31="","",IFERROR(N(INDEX(tbl_Finance[Xero Invoiced Ex GST],MATCH($X31,tbl_Finance[Row ID],0))),""))</f>
        <v/>
      </c>
      <c r="M31" s="10">
        <f>IF($C31="","",IFERROR(INDEX(tbl_Finance[Compare],MATCH($X31,tbl_Finance[Row ID],0))&amp;"",""))</f>
        <v/>
      </c>
      <c r="N31" s="11">
        <f>IF($C31="","",MAX(0,N(O31)-N(L31)))</f>
        <v/>
      </c>
      <c r="O31" s="39" t="n"/>
      <c r="P31" s="40">
        <f>IF($C31="","",IF((IF(F31="",", Client","")&amp;IF(G31="",", Description","")&amp;IF(H31="",", Cost Centre","")&amp;IF(I31="",", Invoice Type","")&amp;IF(J31="",", Tax Code","")&amp;IF(O31="",", Expected Revenue","")&amp;IF(COUNTIF(tbl_Finance[Job Number],$C31&amp;"")&gt;1,", Job number used twice",""))="","Complete","Fix: "&amp;MID(IF(F31="",", Client","")&amp;IF(G31="",", Description","")&amp;IF(H31="",", Cost Centre","")&amp;IF(I31="",", Invoice Type","")&amp;IF(J31="",", Tax Code","")&amp;IF(O31="",", Expected Revenue","")&amp;IF(COUNTIF(tbl_Finance[Job Number],$C31&amp;"")&gt;1,", Job number used twice",""),3,300)))</f>
        <v/>
      </c>
      <c r="Q31" s="10">
        <f>IF($C31="","",IF(H31="","(no cost centre)",H31&amp;" - GL "&amp;IFERROR(INDEX(lst_CCtoGL,MATCH(H31,lst_CCforGL,0)),"?")))</f>
        <v/>
      </c>
      <c r="R31" s="37" t="n"/>
      <c r="S31" s="37" t="n"/>
      <c r="T31" s="10">
        <f>IF(S31="","",HYPERLINK(IF(LEFT(S31,4)="http",S31,set_QwilrBase&amp;S31),"Open quote"))</f>
        <v/>
      </c>
      <c r="U31" s="41" t="n"/>
      <c r="V31" s="37" t="n"/>
      <c r="W31" s="37" t="n"/>
      <c r="X31" s="10" t="inlineStr">
        <is>
          <t>ONS-0027</t>
        </is>
      </c>
    </row>
    <row r="32">
      <c r="A32" s="16">
        <f>IF($C32="","",IFERROR(IF(INDEX(tbl_Finance[Latest Invoice Date],MATCH($X32,tbl_Finance[Row ID],0))="","",INDEX(tbl_Finance[Latest Invoice Date],MATCH($X32,tbl_Finance[Row ID],0))),""))</f>
        <v/>
      </c>
      <c r="B32" s="10">
        <f>IF($C32="","",IFERROR(INDEX(tbl_Finance[Invoice Numbers],MATCH($X32,tbl_Finance[Row ID],0))&amp;"",""))</f>
        <v/>
      </c>
      <c r="C32" s="37" t="n"/>
      <c r="D32" s="10">
        <f>IF($C32="","",IF(COUNTIF(lst_Jobs,$C32&amp;"")&gt;0,"OK","CHECK"))</f>
        <v/>
      </c>
      <c r="E32" s="10">
        <f>IF($C32="","",IFERROR(INDEX(lst_JobName,MATCH($C32&amp;"",lst_Jobs,0)),""))</f>
        <v/>
      </c>
      <c r="F32" s="37" t="n"/>
      <c r="G32" s="37" t="n"/>
      <c r="H32" s="37" t="n"/>
      <c r="I32" s="37" t="n"/>
      <c r="J32" s="37" t="n"/>
      <c r="K32" s="38">
        <f>IF($C32="","",IFERROR(N(INDEX(tbl_Finance[Invoice Count],MATCH($X32,tbl_Finance[Row ID],0))),""))</f>
        <v/>
      </c>
      <c r="L32" s="11">
        <f>IF($C32="","",IFERROR(N(INDEX(tbl_Finance[Xero Invoiced Ex GST],MATCH($X32,tbl_Finance[Row ID],0))),""))</f>
        <v/>
      </c>
      <c r="M32" s="10">
        <f>IF($C32="","",IFERROR(INDEX(tbl_Finance[Compare],MATCH($X32,tbl_Finance[Row ID],0))&amp;"",""))</f>
        <v/>
      </c>
      <c r="N32" s="11">
        <f>IF($C32="","",MAX(0,N(O32)-N(L32)))</f>
        <v/>
      </c>
      <c r="O32" s="39" t="n"/>
      <c r="P32" s="40">
        <f>IF($C32="","",IF((IF(F32="",", Client","")&amp;IF(G32="",", Description","")&amp;IF(H32="",", Cost Centre","")&amp;IF(I32="",", Invoice Type","")&amp;IF(J32="",", Tax Code","")&amp;IF(O32="",", Expected Revenue","")&amp;IF(COUNTIF(tbl_Finance[Job Number],$C32&amp;"")&gt;1,", Job number used twice",""))="","Complete","Fix: "&amp;MID(IF(F32="",", Client","")&amp;IF(G32="",", Description","")&amp;IF(H32="",", Cost Centre","")&amp;IF(I32="",", Invoice Type","")&amp;IF(J32="",", Tax Code","")&amp;IF(O32="",", Expected Revenue","")&amp;IF(COUNTIF(tbl_Finance[Job Number],$C32&amp;"")&gt;1,", Job number used twice",""),3,300)))</f>
        <v/>
      </c>
      <c r="Q32" s="10">
        <f>IF($C32="","",IF(H32="","(no cost centre)",H32&amp;" - GL "&amp;IFERROR(INDEX(lst_CCtoGL,MATCH(H32,lst_CCforGL,0)),"?")))</f>
        <v/>
      </c>
      <c r="R32" s="37" t="n"/>
      <c r="S32" s="37" t="n"/>
      <c r="T32" s="10">
        <f>IF(S32="","",HYPERLINK(IF(LEFT(S32,4)="http",S32,set_QwilrBase&amp;S32),"Open quote"))</f>
        <v/>
      </c>
      <c r="U32" s="41" t="n"/>
      <c r="V32" s="37" t="n"/>
      <c r="W32" s="37" t="n"/>
      <c r="X32" s="10" t="inlineStr">
        <is>
          <t>ONS-0028</t>
        </is>
      </c>
    </row>
    <row r="33">
      <c r="A33" s="16">
        <f>IF($C33="","",IFERROR(IF(INDEX(tbl_Finance[Latest Invoice Date],MATCH($X33,tbl_Finance[Row ID],0))="","",INDEX(tbl_Finance[Latest Invoice Date],MATCH($X33,tbl_Finance[Row ID],0))),""))</f>
        <v/>
      </c>
      <c r="B33" s="10">
        <f>IF($C33="","",IFERROR(INDEX(tbl_Finance[Invoice Numbers],MATCH($X33,tbl_Finance[Row ID],0))&amp;"",""))</f>
        <v/>
      </c>
      <c r="C33" s="37" t="n"/>
      <c r="D33" s="10">
        <f>IF($C33="","",IF(COUNTIF(lst_Jobs,$C33&amp;"")&gt;0,"OK","CHECK"))</f>
        <v/>
      </c>
      <c r="E33" s="10">
        <f>IF($C33="","",IFERROR(INDEX(lst_JobName,MATCH($C33&amp;"",lst_Jobs,0)),""))</f>
        <v/>
      </c>
      <c r="F33" s="37" t="n"/>
      <c r="G33" s="37" t="n"/>
      <c r="H33" s="37" t="n"/>
      <c r="I33" s="37" t="n"/>
      <c r="J33" s="37" t="n"/>
      <c r="K33" s="38">
        <f>IF($C33="","",IFERROR(N(INDEX(tbl_Finance[Invoice Count],MATCH($X33,tbl_Finance[Row ID],0))),""))</f>
        <v/>
      </c>
      <c r="L33" s="11">
        <f>IF($C33="","",IFERROR(N(INDEX(tbl_Finance[Xero Invoiced Ex GST],MATCH($X33,tbl_Finance[Row ID],0))),""))</f>
        <v/>
      </c>
      <c r="M33" s="10">
        <f>IF($C33="","",IFERROR(INDEX(tbl_Finance[Compare],MATCH($X33,tbl_Finance[Row ID],0))&amp;"",""))</f>
        <v/>
      </c>
      <c r="N33" s="11">
        <f>IF($C33="","",MAX(0,N(O33)-N(L33)))</f>
        <v/>
      </c>
      <c r="O33" s="39" t="n"/>
      <c r="P33" s="40">
        <f>IF($C33="","",IF((IF(F33="",", Client","")&amp;IF(G33="",", Description","")&amp;IF(H33="",", Cost Centre","")&amp;IF(I33="",", Invoice Type","")&amp;IF(J33="",", Tax Code","")&amp;IF(O33="",", Expected Revenue","")&amp;IF(COUNTIF(tbl_Finance[Job Number],$C33&amp;"")&gt;1,", Job number used twice",""))="","Complete","Fix: "&amp;MID(IF(F33="",", Client","")&amp;IF(G33="",", Description","")&amp;IF(H33="",", Cost Centre","")&amp;IF(I33="",", Invoice Type","")&amp;IF(J33="",", Tax Code","")&amp;IF(O33="",", Expected Revenue","")&amp;IF(COUNTIF(tbl_Finance[Job Number],$C33&amp;"")&gt;1,", Job number used twice",""),3,300)))</f>
        <v/>
      </c>
      <c r="Q33" s="10">
        <f>IF($C33="","",IF(H33="","(no cost centre)",H33&amp;" - GL "&amp;IFERROR(INDEX(lst_CCtoGL,MATCH(H33,lst_CCforGL,0)),"?")))</f>
        <v/>
      </c>
      <c r="R33" s="37" t="n"/>
      <c r="S33" s="37" t="n"/>
      <c r="T33" s="10">
        <f>IF(S33="","",HYPERLINK(IF(LEFT(S33,4)="http",S33,set_QwilrBase&amp;S33),"Open quote"))</f>
        <v/>
      </c>
      <c r="U33" s="41" t="n"/>
      <c r="V33" s="37" t="n"/>
      <c r="W33" s="37" t="n"/>
      <c r="X33" s="10" t="inlineStr">
        <is>
          <t>ONS-0029</t>
        </is>
      </c>
    </row>
    <row r="34">
      <c r="A34" s="16">
        <f>IF($C34="","",IFERROR(IF(INDEX(tbl_Finance[Latest Invoice Date],MATCH($X34,tbl_Finance[Row ID],0))="","",INDEX(tbl_Finance[Latest Invoice Date],MATCH($X34,tbl_Finance[Row ID],0))),""))</f>
        <v/>
      </c>
      <c r="B34" s="10">
        <f>IF($C34="","",IFERROR(INDEX(tbl_Finance[Invoice Numbers],MATCH($X34,tbl_Finance[Row ID],0))&amp;"",""))</f>
        <v/>
      </c>
      <c r="C34" s="37" t="n"/>
      <c r="D34" s="10">
        <f>IF($C34="","",IF(COUNTIF(lst_Jobs,$C34&amp;"")&gt;0,"OK","CHECK"))</f>
        <v/>
      </c>
      <c r="E34" s="10">
        <f>IF($C34="","",IFERROR(INDEX(lst_JobName,MATCH($C34&amp;"",lst_Jobs,0)),""))</f>
        <v/>
      </c>
      <c r="F34" s="37" t="n"/>
      <c r="G34" s="37" t="n"/>
      <c r="H34" s="37" t="n"/>
      <c r="I34" s="37" t="n"/>
      <c r="J34" s="37" t="n"/>
      <c r="K34" s="38">
        <f>IF($C34="","",IFERROR(N(INDEX(tbl_Finance[Invoice Count],MATCH($X34,tbl_Finance[Row ID],0))),""))</f>
        <v/>
      </c>
      <c r="L34" s="11">
        <f>IF($C34="","",IFERROR(N(INDEX(tbl_Finance[Xero Invoiced Ex GST],MATCH($X34,tbl_Finance[Row ID],0))),""))</f>
        <v/>
      </c>
      <c r="M34" s="10">
        <f>IF($C34="","",IFERROR(INDEX(tbl_Finance[Compare],MATCH($X34,tbl_Finance[Row ID],0))&amp;"",""))</f>
        <v/>
      </c>
      <c r="N34" s="11">
        <f>IF($C34="","",MAX(0,N(O34)-N(L34)))</f>
        <v/>
      </c>
      <c r="O34" s="39" t="n"/>
      <c r="P34" s="40">
        <f>IF($C34="","",IF((IF(F34="",", Client","")&amp;IF(G34="",", Description","")&amp;IF(H34="",", Cost Centre","")&amp;IF(I34="",", Invoice Type","")&amp;IF(J34="",", Tax Code","")&amp;IF(O34="",", Expected Revenue","")&amp;IF(COUNTIF(tbl_Finance[Job Number],$C34&amp;"")&gt;1,", Job number used twice",""))="","Complete","Fix: "&amp;MID(IF(F34="",", Client","")&amp;IF(G34="",", Description","")&amp;IF(H34="",", Cost Centre","")&amp;IF(I34="",", Invoice Type","")&amp;IF(J34="",", Tax Code","")&amp;IF(O34="",", Expected Revenue","")&amp;IF(COUNTIF(tbl_Finance[Job Number],$C34&amp;"")&gt;1,", Job number used twice",""),3,300)))</f>
        <v/>
      </c>
      <c r="Q34" s="10">
        <f>IF($C34="","",IF(H34="","(no cost centre)",H34&amp;" - GL "&amp;IFERROR(INDEX(lst_CCtoGL,MATCH(H34,lst_CCforGL,0)),"?")))</f>
        <v/>
      </c>
      <c r="R34" s="37" t="n"/>
      <c r="S34" s="37" t="n"/>
      <c r="T34" s="10">
        <f>IF(S34="","",HYPERLINK(IF(LEFT(S34,4)="http",S34,set_QwilrBase&amp;S34),"Open quote"))</f>
        <v/>
      </c>
      <c r="U34" s="41" t="n"/>
      <c r="V34" s="37" t="n"/>
      <c r="W34" s="37" t="n"/>
      <c r="X34" s="10" t="inlineStr">
        <is>
          <t>ONS-0030</t>
        </is>
      </c>
    </row>
    <row r="35">
      <c r="A35" s="16">
        <f>IF($C35="","",IFERROR(IF(INDEX(tbl_Finance[Latest Invoice Date],MATCH($X35,tbl_Finance[Row ID],0))="","",INDEX(tbl_Finance[Latest Invoice Date],MATCH($X35,tbl_Finance[Row ID],0))),""))</f>
        <v/>
      </c>
      <c r="B35" s="10">
        <f>IF($C35="","",IFERROR(INDEX(tbl_Finance[Invoice Numbers],MATCH($X35,tbl_Finance[Row ID],0))&amp;"",""))</f>
        <v/>
      </c>
      <c r="C35" s="37" t="n"/>
      <c r="D35" s="10">
        <f>IF($C35="","",IF(COUNTIF(lst_Jobs,$C35&amp;"")&gt;0,"OK","CHECK"))</f>
        <v/>
      </c>
      <c r="E35" s="10">
        <f>IF($C35="","",IFERROR(INDEX(lst_JobName,MATCH($C35&amp;"",lst_Jobs,0)),""))</f>
        <v/>
      </c>
      <c r="F35" s="37" t="n"/>
      <c r="G35" s="37" t="n"/>
      <c r="H35" s="37" t="n"/>
      <c r="I35" s="37" t="n"/>
      <c r="J35" s="37" t="n"/>
      <c r="K35" s="38">
        <f>IF($C35="","",IFERROR(N(INDEX(tbl_Finance[Invoice Count],MATCH($X35,tbl_Finance[Row ID],0))),""))</f>
        <v/>
      </c>
      <c r="L35" s="11">
        <f>IF($C35="","",IFERROR(N(INDEX(tbl_Finance[Xero Invoiced Ex GST],MATCH($X35,tbl_Finance[Row ID],0))),""))</f>
        <v/>
      </c>
      <c r="M35" s="10">
        <f>IF($C35="","",IFERROR(INDEX(tbl_Finance[Compare],MATCH($X35,tbl_Finance[Row ID],0))&amp;"",""))</f>
        <v/>
      </c>
      <c r="N35" s="11">
        <f>IF($C35="","",MAX(0,N(O35)-N(L35)))</f>
        <v/>
      </c>
      <c r="O35" s="39" t="n"/>
      <c r="P35" s="40">
        <f>IF($C35="","",IF((IF(F35="",", Client","")&amp;IF(G35="",", Description","")&amp;IF(H35="",", Cost Centre","")&amp;IF(I35="",", Invoice Type","")&amp;IF(J35="",", Tax Code","")&amp;IF(O35="",", Expected Revenue","")&amp;IF(COUNTIF(tbl_Finance[Job Number],$C35&amp;"")&gt;1,", Job number used twice",""))="","Complete","Fix: "&amp;MID(IF(F35="",", Client","")&amp;IF(G35="",", Description","")&amp;IF(H35="",", Cost Centre","")&amp;IF(I35="",", Invoice Type","")&amp;IF(J35="",", Tax Code","")&amp;IF(O35="",", Expected Revenue","")&amp;IF(COUNTIF(tbl_Finance[Job Number],$C35&amp;"")&gt;1,", Job number used twice",""),3,300)))</f>
        <v/>
      </c>
      <c r="Q35" s="10">
        <f>IF($C35="","",IF(H35="","(no cost centre)",H35&amp;" - GL "&amp;IFERROR(INDEX(lst_CCtoGL,MATCH(H35,lst_CCforGL,0)),"?")))</f>
        <v/>
      </c>
      <c r="R35" s="37" t="n"/>
      <c r="S35" s="37" t="n"/>
      <c r="T35" s="10">
        <f>IF(S35="","",HYPERLINK(IF(LEFT(S35,4)="http",S35,set_QwilrBase&amp;S35),"Open quote"))</f>
        <v/>
      </c>
      <c r="U35" s="41" t="n"/>
      <c r="V35" s="37" t="n"/>
      <c r="W35" s="37" t="n"/>
      <c r="X35" s="10" t="inlineStr">
        <is>
          <t>ONS-0031</t>
        </is>
      </c>
    </row>
    <row r="36">
      <c r="A36" s="16">
        <f>IF($C36="","",IFERROR(IF(INDEX(tbl_Finance[Latest Invoice Date],MATCH($X36,tbl_Finance[Row ID],0))="","",INDEX(tbl_Finance[Latest Invoice Date],MATCH($X36,tbl_Finance[Row ID],0))),""))</f>
        <v/>
      </c>
      <c r="B36" s="10">
        <f>IF($C36="","",IFERROR(INDEX(tbl_Finance[Invoice Numbers],MATCH($X36,tbl_Finance[Row ID],0))&amp;"",""))</f>
        <v/>
      </c>
      <c r="C36" s="37" t="n"/>
      <c r="D36" s="10">
        <f>IF($C36="","",IF(COUNTIF(lst_Jobs,$C36&amp;"")&gt;0,"OK","CHECK"))</f>
        <v/>
      </c>
      <c r="E36" s="10">
        <f>IF($C36="","",IFERROR(INDEX(lst_JobName,MATCH($C36&amp;"",lst_Jobs,0)),""))</f>
        <v/>
      </c>
      <c r="F36" s="37" t="n"/>
      <c r="G36" s="37" t="n"/>
      <c r="H36" s="37" t="n"/>
      <c r="I36" s="37" t="n"/>
      <c r="J36" s="37" t="n"/>
      <c r="K36" s="38">
        <f>IF($C36="","",IFERROR(N(INDEX(tbl_Finance[Invoice Count],MATCH($X36,tbl_Finance[Row ID],0))),""))</f>
        <v/>
      </c>
      <c r="L36" s="11">
        <f>IF($C36="","",IFERROR(N(INDEX(tbl_Finance[Xero Invoiced Ex GST],MATCH($X36,tbl_Finance[Row ID],0))),""))</f>
        <v/>
      </c>
      <c r="M36" s="10">
        <f>IF($C36="","",IFERROR(INDEX(tbl_Finance[Compare],MATCH($X36,tbl_Finance[Row ID],0))&amp;"",""))</f>
        <v/>
      </c>
      <c r="N36" s="11">
        <f>IF($C36="","",MAX(0,N(O36)-N(L36)))</f>
        <v/>
      </c>
      <c r="O36" s="39" t="n"/>
      <c r="P36" s="40">
        <f>IF($C36="","",IF((IF(F36="",", Client","")&amp;IF(G36="",", Description","")&amp;IF(H36="",", Cost Centre","")&amp;IF(I36="",", Invoice Type","")&amp;IF(J36="",", Tax Code","")&amp;IF(O36="",", Expected Revenue","")&amp;IF(COUNTIF(tbl_Finance[Job Number],$C36&amp;"")&gt;1,", Job number used twice",""))="","Complete","Fix: "&amp;MID(IF(F36="",", Client","")&amp;IF(G36="",", Description","")&amp;IF(H36="",", Cost Centre","")&amp;IF(I36="",", Invoice Type","")&amp;IF(J36="",", Tax Code","")&amp;IF(O36="",", Expected Revenue","")&amp;IF(COUNTIF(tbl_Finance[Job Number],$C36&amp;"")&gt;1,", Job number used twice",""),3,300)))</f>
        <v/>
      </c>
      <c r="Q36" s="10">
        <f>IF($C36="","",IF(H36="","(no cost centre)",H36&amp;" - GL "&amp;IFERROR(INDEX(lst_CCtoGL,MATCH(H36,lst_CCforGL,0)),"?")))</f>
        <v/>
      </c>
      <c r="R36" s="37" t="n"/>
      <c r="S36" s="37" t="n"/>
      <c r="T36" s="10">
        <f>IF(S36="","",HYPERLINK(IF(LEFT(S36,4)="http",S36,set_QwilrBase&amp;S36),"Open quote"))</f>
        <v/>
      </c>
      <c r="U36" s="41" t="n"/>
      <c r="V36" s="37" t="n"/>
      <c r="W36" s="37" t="n"/>
      <c r="X36" s="10" t="inlineStr">
        <is>
          <t>ONS-0032</t>
        </is>
      </c>
    </row>
    <row r="37">
      <c r="A37" s="16">
        <f>IF($C37="","",IFERROR(IF(INDEX(tbl_Finance[Latest Invoice Date],MATCH($X37,tbl_Finance[Row ID],0))="","",INDEX(tbl_Finance[Latest Invoice Date],MATCH($X37,tbl_Finance[Row ID],0))),""))</f>
        <v/>
      </c>
      <c r="B37" s="10">
        <f>IF($C37="","",IFERROR(INDEX(tbl_Finance[Invoice Numbers],MATCH($X37,tbl_Finance[Row ID],0))&amp;"",""))</f>
        <v/>
      </c>
      <c r="C37" s="37" t="n"/>
      <c r="D37" s="10">
        <f>IF($C37="","",IF(COUNTIF(lst_Jobs,$C37&amp;"")&gt;0,"OK","CHECK"))</f>
        <v/>
      </c>
      <c r="E37" s="10">
        <f>IF($C37="","",IFERROR(INDEX(lst_JobName,MATCH($C37&amp;"",lst_Jobs,0)),""))</f>
        <v/>
      </c>
      <c r="F37" s="37" t="n"/>
      <c r="G37" s="37" t="n"/>
      <c r="H37" s="37" t="n"/>
      <c r="I37" s="37" t="n"/>
      <c r="J37" s="37" t="n"/>
      <c r="K37" s="38">
        <f>IF($C37="","",IFERROR(N(INDEX(tbl_Finance[Invoice Count],MATCH($X37,tbl_Finance[Row ID],0))),""))</f>
        <v/>
      </c>
      <c r="L37" s="11">
        <f>IF($C37="","",IFERROR(N(INDEX(tbl_Finance[Xero Invoiced Ex GST],MATCH($X37,tbl_Finance[Row ID],0))),""))</f>
        <v/>
      </c>
      <c r="M37" s="10">
        <f>IF($C37="","",IFERROR(INDEX(tbl_Finance[Compare],MATCH($X37,tbl_Finance[Row ID],0))&amp;"",""))</f>
        <v/>
      </c>
      <c r="N37" s="11">
        <f>IF($C37="","",MAX(0,N(O37)-N(L37)))</f>
        <v/>
      </c>
      <c r="O37" s="39" t="n"/>
      <c r="P37" s="40">
        <f>IF($C37="","",IF((IF(F37="",", Client","")&amp;IF(G37="",", Description","")&amp;IF(H37="",", Cost Centre","")&amp;IF(I37="",", Invoice Type","")&amp;IF(J37="",", Tax Code","")&amp;IF(O37="",", Expected Revenue","")&amp;IF(COUNTIF(tbl_Finance[Job Number],$C37&amp;"")&gt;1,", Job number used twice",""))="","Complete","Fix: "&amp;MID(IF(F37="",", Client","")&amp;IF(G37="",", Description","")&amp;IF(H37="",", Cost Centre","")&amp;IF(I37="",", Invoice Type","")&amp;IF(J37="",", Tax Code","")&amp;IF(O37="",", Expected Revenue","")&amp;IF(COUNTIF(tbl_Finance[Job Number],$C37&amp;"")&gt;1,", Job number used twice",""),3,300)))</f>
        <v/>
      </c>
      <c r="Q37" s="10">
        <f>IF($C37="","",IF(H37="","(no cost centre)",H37&amp;" - GL "&amp;IFERROR(INDEX(lst_CCtoGL,MATCH(H37,lst_CCforGL,0)),"?")))</f>
        <v/>
      </c>
      <c r="R37" s="37" t="n"/>
      <c r="S37" s="37" t="n"/>
      <c r="T37" s="10">
        <f>IF(S37="","",HYPERLINK(IF(LEFT(S37,4)="http",S37,set_QwilrBase&amp;S37),"Open quote"))</f>
        <v/>
      </c>
      <c r="U37" s="41" t="n"/>
      <c r="V37" s="37" t="n"/>
      <c r="W37" s="37" t="n"/>
      <c r="X37" s="10" t="inlineStr">
        <is>
          <t>ONS-0033</t>
        </is>
      </c>
    </row>
    <row r="38">
      <c r="A38" s="16">
        <f>IF($C38="","",IFERROR(IF(INDEX(tbl_Finance[Latest Invoice Date],MATCH($X38,tbl_Finance[Row ID],0))="","",INDEX(tbl_Finance[Latest Invoice Date],MATCH($X38,tbl_Finance[Row ID],0))),""))</f>
        <v/>
      </c>
      <c r="B38" s="10">
        <f>IF($C38="","",IFERROR(INDEX(tbl_Finance[Invoice Numbers],MATCH($X38,tbl_Finance[Row ID],0))&amp;"",""))</f>
        <v/>
      </c>
      <c r="C38" s="37" t="n"/>
      <c r="D38" s="10">
        <f>IF($C38="","",IF(COUNTIF(lst_Jobs,$C38&amp;"")&gt;0,"OK","CHECK"))</f>
        <v/>
      </c>
      <c r="E38" s="10">
        <f>IF($C38="","",IFERROR(INDEX(lst_JobName,MATCH($C38&amp;"",lst_Jobs,0)),""))</f>
        <v/>
      </c>
      <c r="F38" s="37" t="n"/>
      <c r="G38" s="37" t="n"/>
      <c r="H38" s="37" t="n"/>
      <c r="I38" s="37" t="n"/>
      <c r="J38" s="37" t="n"/>
      <c r="K38" s="38">
        <f>IF($C38="","",IFERROR(N(INDEX(tbl_Finance[Invoice Count],MATCH($X38,tbl_Finance[Row ID],0))),""))</f>
        <v/>
      </c>
      <c r="L38" s="11">
        <f>IF($C38="","",IFERROR(N(INDEX(tbl_Finance[Xero Invoiced Ex GST],MATCH($X38,tbl_Finance[Row ID],0))),""))</f>
        <v/>
      </c>
      <c r="M38" s="10">
        <f>IF($C38="","",IFERROR(INDEX(tbl_Finance[Compare],MATCH($X38,tbl_Finance[Row ID],0))&amp;"",""))</f>
        <v/>
      </c>
      <c r="N38" s="11">
        <f>IF($C38="","",MAX(0,N(O38)-N(L38)))</f>
        <v/>
      </c>
      <c r="O38" s="39" t="n"/>
      <c r="P38" s="40">
        <f>IF($C38="","",IF((IF(F38="",", Client","")&amp;IF(G38="",", Description","")&amp;IF(H38="",", Cost Centre","")&amp;IF(I38="",", Invoice Type","")&amp;IF(J38="",", Tax Code","")&amp;IF(O38="",", Expected Revenue","")&amp;IF(COUNTIF(tbl_Finance[Job Number],$C38&amp;"")&gt;1,", Job number used twice",""))="","Complete","Fix: "&amp;MID(IF(F38="",", Client","")&amp;IF(G38="",", Description","")&amp;IF(H38="",", Cost Centre","")&amp;IF(I38="",", Invoice Type","")&amp;IF(J38="",", Tax Code","")&amp;IF(O38="",", Expected Revenue","")&amp;IF(COUNTIF(tbl_Finance[Job Number],$C38&amp;"")&gt;1,", Job number used twice",""),3,300)))</f>
        <v/>
      </c>
      <c r="Q38" s="10">
        <f>IF($C38="","",IF(H38="","(no cost centre)",H38&amp;" - GL "&amp;IFERROR(INDEX(lst_CCtoGL,MATCH(H38,lst_CCforGL,0)),"?")))</f>
        <v/>
      </c>
      <c r="R38" s="37" t="n"/>
      <c r="S38" s="37" t="n"/>
      <c r="T38" s="10">
        <f>IF(S38="","",HYPERLINK(IF(LEFT(S38,4)="http",S38,set_QwilrBase&amp;S38),"Open quote"))</f>
        <v/>
      </c>
      <c r="U38" s="41" t="n"/>
      <c r="V38" s="37" t="n"/>
      <c r="W38" s="37" t="n"/>
      <c r="X38" s="10" t="inlineStr">
        <is>
          <t>ONS-0034</t>
        </is>
      </c>
    </row>
    <row r="39">
      <c r="A39" s="16">
        <f>IF($C39="","",IFERROR(IF(INDEX(tbl_Finance[Latest Invoice Date],MATCH($X39,tbl_Finance[Row ID],0))="","",INDEX(tbl_Finance[Latest Invoice Date],MATCH($X39,tbl_Finance[Row ID],0))),""))</f>
        <v/>
      </c>
      <c r="B39" s="10">
        <f>IF($C39="","",IFERROR(INDEX(tbl_Finance[Invoice Numbers],MATCH($X39,tbl_Finance[Row ID],0))&amp;"",""))</f>
        <v/>
      </c>
      <c r="C39" s="37" t="n"/>
      <c r="D39" s="10">
        <f>IF($C39="","",IF(COUNTIF(lst_Jobs,$C39&amp;"")&gt;0,"OK","CHECK"))</f>
        <v/>
      </c>
      <c r="E39" s="10">
        <f>IF($C39="","",IFERROR(INDEX(lst_JobName,MATCH($C39&amp;"",lst_Jobs,0)),""))</f>
        <v/>
      </c>
      <c r="F39" s="37" t="n"/>
      <c r="G39" s="37" t="n"/>
      <c r="H39" s="37" t="n"/>
      <c r="I39" s="37" t="n"/>
      <c r="J39" s="37" t="n"/>
      <c r="K39" s="38">
        <f>IF($C39="","",IFERROR(N(INDEX(tbl_Finance[Invoice Count],MATCH($X39,tbl_Finance[Row ID],0))),""))</f>
        <v/>
      </c>
      <c r="L39" s="11">
        <f>IF($C39="","",IFERROR(N(INDEX(tbl_Finance[Xero Invoiced Ex GST],MATCH($X39,tbl_Finance[Row ID],0))),""))</f>
        <v/>
      </c>
      <c r="M39" s="10">
        <f>IF($C39="","",IFERROR(INDEX(tbl_Finance[Compare],MATCH($X39,tbl_Finance[Row ID],0))&amp;"",""))</f>
        <v/>
      </c>
      <c r="N39" s="11">
        <f>IF($C39="","",MAX(0,N(O39)-N(L39)))</f>
        <v/>
      </c>
      <c r="O39" s="39" t="n"/>
      <c r="P39" s="40">
        <f>IF($C39="","",IF((IF(F39="",", Client","")&amp;IF(G39="",", Description","")&amp;IF(H39="",", Cost Centre","")&amp;IF(I39="",", Invoice Type","")&amp;IF(J39="",", Tax Code","")&amp;IF(O39="",", Expected Revenue","")&amp;IF(COUNTIF(tbl_Finance[Job Number],$C39&amp;"")&gt;1,", Job number used twice",""))="","Complete","Fix: "&amp;MID(IF(F39="",", Client","")&amp;IF(G39="",", Description","")&amp;IF(H39="",", Cost Centre","")&amp;IF(I39="",", Invoice Type","")&amp;IF(J39="",", Tax Code","")&amp;IF(O39="",", Expected Revenue","")&amp;IF(COUNTIF(tbl_Finance[Job Number],$C39&amp;"")&gt;1,", Job number used twice",""),3,300)))</f>
        <v/>
      </c>
      <c r="Q39" s="10">
        <f>IF($C39="","",IF(H39="","(no cost centre)",H39&amp;" - GL "&amp;IFERROR(INDEX(lst_CCtoGL,MATCH(H39,lst_CCforGL,0)),"?")))</f>
        <v/>
      </c>
      <c r="R39" s="37" t="n"/>
      <c r="S39" s="37" t="n"/>
      <c r="T39" s="10">
        <f>IF(S39="","",HYPERLINK(IF(LEFT(S39,4)="http",S39,set_QwilrBase&amp;S39),"Open quote"))</f>
        <v/>
      </c>
      <c r="U39" s="41" t="n"/>
      <c r="V39" s="37" t="n"/>
      <c r="W39" s="37" t="n"/>
      <c r="X39" s="10" t="inlineStr">
        <is>
          <t>ONS-0035</t>
        </is>
      </c>
    </row>
    <row r="40">
      <c r="A40" s="16">
        <f>IF($C40="","",IFERROR(IF(INDEX(tbl_Finance[Latest Invoice Date],MATCH($X40,tbl_Finance[Row ID],0))="","",INDEX(tbl_Finance[Latest Invoice Date],MATCH($X40,tbl_Finance[Row ID],0))),""))</f>
        <v/>
      </c>
      <c r="B40" s="10">
        <f>IF($C40="","",IFERROR(INDEX(tbl_Finance[Invoice Numbers],MATCH($X40,tbl_Finance[Row ID],0))&amp;"",""))</f>
        <v/>
      </c>
      <c r="C40" s="37" t="n"/>
      <c r="D40" s="10">
        <f>IF($C40="","",IF(COUNTIF(lst_Jobs,$C40&amp;"")&gt;0,"OK","CHECK"))</f>
        <v/>
      </c>
      <c r="E40" s="10">
        <f>IF($C40="","",IFERROR(INDEX(lst_JobName,MATCH($C40&amp;"",lst_Jobs,0)),""))</f>
        <v/>
      </c>
      <c r="F40" s="37" t="n"/>
      <c r="G40" s="37" t="n"/>
      <c r="H40" s="37" t="n"/>
      <c r="I40" s="37" t="n"/>
      <c r="J40" s="37" t="n"/>
      <c r="K40" s="38">
        <f>IF($C40="","",IFERROR(N(INDEX(tbl_Finance[Invoice Count],MATCH($X40,tbl_Finance[Row ID],0))),""))</f>
        <v/>
      </c>
      <c r="L40" s="11">
        <f>IF($C40="","",IFERROR(N(INDEX(tbl_Finance[Xero Invoiced Ex GST],MATCH($X40,tbl_Finance[Row ID],0))),""))</f>
        <v/>
      </c>
      <c r="M40" s="10">
        <f>IF($C40="","",IFERROR(INDEX(tbl_Finance[Compare],MATCH($X40,tbl_Finance[Row ID],0))&amp;"",""))</f>
        <v/>
      </c>
      <c r="N40" s="11">
        <f>IF($C40="","",MAX(0,N(O40)-N(L40)))</f>
        <v/>
      </c>
      <c r="O40" s="39" t="n"/>
      <c r="P40" s="40">
        <f>IF($C40="","",IF((IF(F40="",", Client","")&amp;IF(G40="",", Description","")&amp;IF(H40="",", Cost Centre","")&amp;IF(I40="",", Invoice Type","")&amp;IF(J40="",", Tax Code","")&amp;IF(O40="",", Expected Revenue","")&amp;IF(COUNTIF(tbl_Finance[Job Number],$C40&amp;"")&gt;1,", Job number used twice",""))="","Complete","Fix: "&amp;MID(IF(F40="",", Client","")&amp;IF(G40="",", Description","")&amp;IF(H40="",", Cost Centre","")&amp;IF(I40="",", Invoice Type","")&amp;IF(J40="",", Tax Code","")&amp;IF(O40="",", Expected Revenue","")&amp;IF(COUNTIF(tbl_Finance[Job Number],$C40&amp;"")&gt;1,", Job number used twice",""),3,300)))</f>
        <v/>
      </c>
      <c r="Q40" s="10">
        <f>IF($C40="","",IF(H40="","(no cost centre)",H40&amp;" - GL "&amp;IFERROR(INDEX(lst_CCtoGL,MATCH(H40,lst_CCforGL,0)),"?")))</f>
        <v/>
      </c>
      <c r="R40" s="37" t="n"/>
      <c r="S40" s="37" t="n"/>
      <c r="T40" s="10">
        <f>IF(S40="","",HYPERLINK(IF(LEFT(S40,4)="http",S40,set_QwilrBase&amp;S40),"Open quote"))</f>
        <v/>
      </c>
      <c r="U40" s="41" t="n"/>
      <c r="V40" s="37" t="n"/>
      <c r="W40" s="37" t="n"/>
      <c r="X40" s="10" t="inlineStr">
        <is>
          <t>ONS-0036</t>
        </is>
      </c>
    </row>
    <row r="41">
      <c r="A41" s="16">
        <f>IF($C41="","",IFERROR(IF(INDEX(tbl_Finance[Latest Invoice Date],MATCH($X41,tbl_Finance[Row ID],0))="","",INDEX(tbl_Finance[Latest Invoice Date],MATCH($X41,tbl_Finance[Row ID],0))),""))</f>
        <v/>
      </c>
      <c r="B41" s="10">
        <f>IF($C41="","",IFERROR(INDEX(tbl_Finance[Invoice Numbers],MATCH($X41,tbl_Finance[Row ID],0))&amp;"",""))</f>
        <v/>
      </c>
      <c r="C41" s="37" t="n"/>
      <c r="D41" s="10">
        <f>IF($C41="","",IF(COUNTIF(lst_Jobs,$C41&amp;"")&gt;0,"OK","CHECK"))</f>
        <v/>
      </c>
      <c r="E41" s="10">
        <f>IF($C41="","",IFERROR(INDEX(lst_JobName,MATCH($C41&amp;"",lst_Jobs,0)),""))</f>
        <v/>
      </c>
      <c r="F41" s="37" t="n"/>
      <c r="G41" s="37" t="n"/>
      <c r="H41" s="37" t="n"/>
      <c r="I41" s="37" t="n"/>
      <c r="J41" s="37" t="n"/>
      <c r="K41" s="38">
        <f>IF($C41="","",IFERROR(N(INDEX(tbl_Finance[Invoice Count],MATCH($X41,tbl_Finance[Row ID],0))),""))</f>
        <v/>
      </c>
      <c r="L41" s="11">
        <f>IF($C41="","",IFERROR(N(INDEX(tbl_Finance[Xero Invoiced Ex GST],MATCH($X41,tbl_Finance[Row ID],0))),""))</f>
        <v/>
      </c>
      <c r="M41" s="10">
        <f>IF($C41="","",IFERROR(INDEX(tbl_Finance[Compare],MATCH($X41,tbl_Finance[Row ID],0))&amp;"",""))</f>
        <v/>
      </c>
      <c r="N41" s="11">
        <f>IF($C41="","",MAX(0,N(O41)-N(L41)))</f>
        <v/>
      </c>
      <c r="O41" s="39" t="n"/>
      <c r="P41" s="40">
        <f>IF($C41="","",IF((IF(F41="",", Client","")&amp;IF(G41="",", Description","")&amp;IF(H41="",", Cost Centre","")&amp;IF(I41="",", Invoice Type","")&amp;IF(J41="",", Tax Code","")&amp;IF(O41="",", Expected Revenue","")&amp;IF(COUNTIF(tbl_Finance[Job Number],$C41&amp;"")&gt;1,", Job number used twice",""))="","Complete","Fix: "&amp;MID(IF(F41="",", Client","")&amp;IF(G41="",", Description","")&amp;IF(H41="",", Cost Centre","")&amp;IF(I41="",", Invoice Type","")&amp;IF(J41="",", Tax Code","")&amp;IF(O41="",", Expected Revenue","")&amp;IF(COUNTIF(tbl_Finance[Job Number],$C41&amp;"")&gt;1,", Job number used twice",""),3,300)))</f>
        <v/>
      </c>
      <c r="Q41" s="10">
        <f>IF($C41="","",IF(H41="","(no cost centre)",H41&amp;" - GL "&amp;IFERROR(INDEX(lst_CCtoGL,MATCH(H41,lst_CCforGL,0)),"?")))</f>
        <v/>
      </c>
      <c r="R41" s="37" t="n"/>
      <c r="S41" s="37" t="n"/>
      <c r="T41" s="10">
        <f>IF(S41="","",HYPERLINK(IF(LEFT(S41,4)="http",S41,set_QwilrBase&amp;S41),"Open quote"))</f>
        <v/>
      </c>
      <c r="U41" s="41" t="n"/>
      <c r="V41" s="37" t="n"/>
      <c r="W41" s="37" t="n"/>
      <c r="X41" s="10" t="inlineStr">
        <is>
          <t>ONS-0037</t>
        </is>
      </c>
    </row>
    <row r="42">
      <c r="A42" s="16">
        <f>IF($C42="","",IFERROR(IF(INDEX(tbl_Finance[Latest Invoice Date],MATCH($X42,tbl_Finance[Row ID],0))="","",INDEX(tbl_Finance[Latest Invoice Date],MATCH($X42,tbl_Finance[Row ID],0))),""))</f>
        <v/>
      </c>
      <c r="B42" s="10">
        <f>IF($C42="","",IFERROR(INDEX(tbl_Finance[Invoice Numbers],MATCH($X42,tbl_Finance[Row ID],0))&amp;"",""))</f>
        <v/>
      </c>
      <c r="C42" s="37" t="n"/>
      <c r="D42" s="10">
        <f>IF($C42="","",IF(COUNTIF(lst_Jobs,$C42&amp;"")&gt;0,"OK","CHECK"))</f>
        <v/>
      </c>
      <c r="E42" s="10">
        <f>IF($C42="","",IFERROR(INDEX(lst_JobName,MATCH($C42&amp;"",lst_Jobs,0)),""))</f>
        <v/>
      </c>
      <c r="F42" s="37" t="n"/>
      <c r="G42" s="37" t="n"/>
      <c r="H42" s="37" t="n"/>
      <c r="I42" s="37" t="n"/>
      <c r="J42" s="37" t="n"/>
      <c r="K42" s="38">
        <f>IF($C42="","",IFERROR(N(INDEX(tbl_Finance[Invoice Count],MATCH($X42,tbl_Finance[Row ID],0))),""))</f>
        <v/>
      </c>
      <c r="L42" s="11">
        <f>IF($C42="","",IFERROR(N(INDEX(tbl_Finance[Xero Invoiced Ex GST],MATCH($X42,tbl_Finance[Row ID],0))),""))</f>
        <v/>
      </c>
      <c r="M42" s="10">
        <f>IF($C42="","",IFERROR(INDEX(tbl_Finance[Compare],MATCH($X42,tbl_Finance[Row ID],0))&amp;"",""))</f>
        <v/>
      </c>
      <c r="N42" s="11">
        <f>IF($C42="","",MAX(0,N(O42)-N(L42)))</f>
        <v/>
      </c>
      <c r="O42" s="39" t="n"/>
      <c r="P42" s="40">
        <f>IF($C42="","",IF((IF(F42="",", Client","")&amp;IF(G42="",", Description","")&amp;IF(H42="",", Cost Centre","")&amp;IF(I42="",", Invoice Type","")&amp;IF(J42="",", Tax Code","")&amp;IF(O42="",", Expected Revenue","")&amp;IF(COUNTIF(tbl_Finance[Job Number],$C42&amp;"")&gt;1,", Job number used twice",""))="","Complete","Fix: "&amp;MID(IF(F42="",", Client","")&amp;IF(G42="",", Description","")&amp;IF(H42="",", Cost Centre","")&amp;IF(I42="",", Invoice Type","")&amp;IF(J42="",", Tax Code","")&amp;IF(O42="",", Expected Revenue","")&amp;IF(COUNTIF(tbl_Finance[Job Number],$C42&amp;"")&gt;1,", Job number used twice",""),3,300)))</f>
        <v/>
      </c>
      <c r="Q42" s="10">
        <f>IF($C42="","",IF(H42="","(no cost centre)",H42&amp;" - GL "&amp;IFERROR(INDEX(lst_CCtoGL,MATCH(H42,lst_CCforGL,0)),"?")))</f>
        <v/>
      </c>
      <c r="R42" s="37" t="n"/>
      <c r="S42" s="37" t="n"/>
      <c r="T42" s="10">
        <f>IF(S42="","",HYPERLINK(IF(LEFT(S42,4)="http",S42,set_QwilrBase&amp;S42),"Open quote"))</f>
        <v/>
      </c>
      <c r="U42" s="41" t="n"/>
      <c r="V42" s="37" t="n"/>
      <c r="W42" s="37" t="n"/>
      <c r="X42" s="10" t="inlineStr">
        <is>
          <t>ONS-0038</t>
        </is>
      </c>
    </row>
    <row r="43">
      <c r="A43" s="16">
        <f>IF($C43="","",IFERROR(IF(INDEX(tbl_Finance[Latest Invoice Date],MATCH($X43,tbl_Finance[Row ID],0))="","",INDEX(tbl_Finance[Latest Invoice Date],MATCH($X43,tbl_Finance[Row ID],0))),""))</f>
        <v/>
      </c>
      <c r="B43" s="10">
        <f>IF($C43="","",IFERROR(INDEX(tbl_Finance[Invoice Numbers],MATCH($X43,tbl_Finance[Row ID],0))&amp;"",""))</f>
        <v/>
      </c>
      <c r="C43" s="37" t="n"/>
      <c r="D43" s="10">
        <f>IF($C43="","",IF(COUNTIF(lst_Jobs,$C43&amp;"")&gt;0,"OK","CHECK"))</f>
        <v/>
      </c>
      <c r="E43" s="10">
        <f>IF($C43="","",IFERROR(INDEX(lst_JobName,MATCH($C43&amp;"",lst_Jobs,0)),""))</f>
        <v/>
      </c>
      <c r="F43" s="37" t="n"/>
      <c r="G43" s="37" t="n"/>
      <c r="H43" s="37" t="n"/>
      <c r="I43" s="37" t="n"/>
      <c r="J43" s="37" t="n"/>
      <c r="K43" s="38">
        <f>IF($C43="","",IFERROR(N(INDEX(tbl_Finance[Invoice Count],MATCH($X43,tbl_Finance[Row ID],0))),""))</f>
        <v/>
      </c>
      <c r="L43" s="11">
        <f>IF($C43="","",IFERROR(N(INDEX(tbl_Finance[Xero Invoiced Ex GST],MATCH($X43,tbl_Finance[Row ID],0))),""))</f>
        <v/>
      </c>
      <c r="M43" s="10">
        <f>IF($C43="","",IFERROR(INDEX(tbl_Finance[Compare],MATCH($X43,tbl_Finance[Row ID],0))&amp;"",""))</f>
        <v/>
      </c>
      <c r="N43" s="11">
        <f>IF($C43="","",MAX(0,N(O43)-N(L43)))</f>
        <v/>
      </c>
      <c r="O43" s="39" t="n"/>
      <c r="P43" s="40">
        <f>IF($C43="","",IF((IF(F43="",", Client","")&amp;IF(G43="",", Description","")&amp;IF(H43="",", Cost Centre","")&amp;IF(I43="",", Invoice Type","")&amp;IF(J43="",", Tax Code","")&amp;IF(O43="",", Expected Revenue","")&amp;IF(COUNTIF(tbl_Finance[Job Number],$C43&amp;"")&gt;1,", Job number used twice",""))="","Complete","Fix: "&amp;MID(IF(F43="",", Client","")&amp;IF(G43="",", Description","")&amp;IF(H43="",", Cost Centre","")&amp;IF(I43="",", Invoice Type","")&amp;IF(J43="",", Tax Code","")&amp;IF(O43="",", Expected Revenue","")&amp;IF(COUNTIF(tbl_Finance[Job Number],$C43&amp;"")&gt;1,", Job number used twice",""),3,300)))</f>
        <v/>
      </c>
      <c r="Q43" s="10">
        <f>IF($C43="","",IF(H43="","(no cost centre)",H43&amp;" - GL "&amp;IFERROR(INDEX(lst_CCtoGL,MATCH(H43,lst_CCforGL,0)),"?")))</f>
        <v/>
      </c>
      <c r="R43" s="37" t="n"/>
      <c r="S43" s="37" t="n"/>
      <c r="T43" s="10">
        <f>IF(S43="","",HYPERLINK(IF(LEFT(S43,4)="http",S43,set_QwilrBase&amp;S43),"Open quote"))</f>
        <v/>
      </c>
      <c r="U43" s="41" t="n"/>
      <c r="V43" s="37" t="n"/>
      <c r="W43" s="37" t="n"/>
      <c r="X43" s="10" t="inlineStr">
        <is>
          <t>ONS-0039</t>
        </is>
      </c>
    </row>
    <row r="44">
      <c r="A44" s="16">
        <f>IF($C44="","",IFERROR(IF(INDEX(tbl_Finance[Latest Invoice Date],MATCH($X44,tbl_Finance[Row ID],0))="","",INDEX(tbl_Finance[Latest Invoice Date],MATCH($X44,tbl_Finance[Row ID],0))),""))</f>
        <v/>
      </c>
      <c r="B44" s="10">
        <f>IF($C44="","",IFERROR(INDEX(tbl_Finance[Invoice Numbers],MATCH($X44,tbl_Finance[Row ID],0))&amp;"",""))</f>
        <v/>
      </c>
      <c r="C44" s="37" t="n"/>
      <c r="D44" s="10">
        <f>IF($C44="","",IF(COUNTIF(lst_Jobs,$C44&amp;"")&gt;0,"OK","CHECK"))</f>
        <v/>
      </c>
      <c r="E44" s="10">
        <f>IF($C44="","",IFERROR(INDEX(lst_JobName,MATCH($C44&amp;"",lst_Jobs,0)),""))</f>
        <v/>
      </c>
      <c r="F44" s="37" t="n"/>
      <c r="G44" s="37" t="n"/>
      <c r="H44" s="37" t="n"/>
      <c r="I44" s="37" t="n"/>
      <c r="J44" s="37" t="n"/>
      <c r="K44" s="38">
        <f>IF($C44="","",IFERROR(N(INDEX(tbl_Finance[Invoice Count],MATCH($X44,tbl_Finance[Row ID],0))),""))</f>
        <v/>
      </c>
      <c r="L44" s="11">
        <f>IF($C44="","",IFERROR(N(INDEX(tbl_Finance[Xero Invoiced Ex GST],MATCH($X44,tbl_Finance[Row ID],0))),""))</f>
        <v/>
      </c>
      <c r="M44" s="10">
        <f>IF($C44="","",IFERROR(INDEX(tbl_Finance[Compare],MATCH($X44,tbl_Finance[Row ID],0))&amp;"",""))</f>
        <v/>
      </c>
      <c r="N44" s="11">
        <f>IF($C44="","",MAX(0,N(O44)-N(L44)))</f>
        <v/>
      </c>
      <c r="O44" s="39" t="n"/>
      <c r="P44" s="40">
        <f>IF($C44="","",IF((IF(F44="",", Client","")&amp;IF(G44="",", Description","")&amp;IF(H44="",", Cost Centre","")&amp;IF(I44="",", Invoice Type","")&amp;IF(J44="",", Tax Code","")&amp;IF(O44="",", Expected Revenue","")&amp;IF(COUNTIF(tbl_Finance[Job Number],$C44&amp;"")&gt;1,", Job number used twice",""))="","Complete","Fix: "&amp;MID(IF(F44="",", Client","")&amp;IF(G44="",", Description","")&amp;IF(H44="",", Cost Centre","")&amp;IF(I44="",", Invoice Type","")&amp;IF(J44="",", Tax Code","")&amp;IF(O44="",", Expected Revenue","")&amp;IF(COUNTIF(tbl_Finance[Job Number],$C44&amp;"")&gt;1,", Job number used twice",""),3,300)))</f>
        <v/>
      </c>
      <c r="Q44" s="10">
        <f>IF($C44="","",IF(H44="","(no cost centre)",H44&amp;" - GL "&amp;IFERROR(INDEX(lst_CCtoGL,MATCH(H44,lst_CCforGL,0)),"?")))</f>
        <v/>
      </c>
      <c r="R44" s="37" t="n"/>
      <c r="S44" s="37" t="n"/>
      <c r="T44" s="10">
        <f>IF(S44="","",HYPERLINK(IF(LEFT(S44,4)="http",S44,set_QwilrBase&amp;S44),"Open quote"))</f>
        <v/>
      </c>
      <c r="U44" s="41" t="n"/>
      <c r="V44" s="37" t="n"/>
      <c r="W44" s="37" t="n"/>
      <c r="X44" s="10" t="inlineStr">
        <is>
          <t>ONS-0040</t>
        </is>
      </c>
    </row>
    <row r="45">
      <c r="A45" s="16">
        <f>IF($C45="","",IFERROR(IF(INDEX(tbl_Finance[Latest Invoice Date],MATCH($X45,tbl_Finance[Row ID],0))="","",INDEX(tbl_Finance[Latest Invoice Date],MATCH($X45,tbl_Finance[Row ID],0))),""))</f>
        <v/>
      </c>
      <c r="B45" s="10">
        <f>IF($C45="","",IFERROR(INDEX(tbl_Finance[Invoice Numbers],MATCH($X45,tbl_Finance[Row ID],0))&amp;"",""))</f>
        <v/>
      </c>
      <c r="C45" s="37" t="n"/>
      <c r="D45" s="10">
        <f>IF($C45="","",IF(COUNTIF(lst_Jobs,$C45&amp;"")&gt;0,"OK","CHECK"))</f>
        <v/>
      </c>
      <c r="E45" s="10">
        <f>IF($C45="","",IFERROR(INDEX(lst_JobName,MATCH($C45&amp;"",lst_Jobs,0)),""))</f>
        <v/>
      </c>
      <c r="F45" s="37" t="n"/>
      <c r="G45" s="37" t="n"/>
      <c r="H45" s="37" t="n"/>
      <c r="I45" s="37" t="n"/>
      <c r="J45" s="37" t="n"/>
      <c r="K45" s="38">
        <f>IF($C45="","",IFERROR(N(INDEX(tbl_Finance[Invoice Count],MATCH($X45,tbl_Finance[Row ID],0))),""))</f>
        <v/>
      </c>
      <c r="L45" s="11">
        <f>IF($C45="","",IFERROR(N(INDEX(tbl_Finance[Xero Invoiced Ex GST],MATCH($X45,tbl_Finance[Row ID],0))),""))</f>
        <v/>
      </c>
      <c r="M45" s="10">
        <f>IF($C45="","",IFERROR(INDEX(tbl_Finance[Compare],MATCH($X45,tbl_Finance[Row ID],0))&amp;"",""))</f>
        <v/>
      </c>
      <c r="N45" s="11">
        <f>IF($C45="","",MAX(0,N(O45)-N(L45)))</f>
        <v/>
      </c>
      <c r="O45" s="39" t="n"/>
      <c r="P45" s="40">
        <f>IF($C45="","",IF((IF(F45="",", Client","")&amp;IF(G45="",", Description","")&amp;IF(H45="",", Cost Centre","")&amp;IF(I45="",", Invoice Type","")&amp;IF(J45="",", Tax Code","")&amp;IF(O45="",", Expected Revenue","")&amp;IF(COUNTIF(tbl_Finance[Job Number],$C45&amp;"")&gt;1,", Job number used twice",""))="","Complete","Fix: "&amp;MID(IF(F45="",", Client","")&amp;IF(G45="",", Description","")&amp;IF(H45="",", Cost Centre","")&amp;IF(I45="",", Invoice Type","")&amp;IF(J45="",", Tax Code","")&amp;IF(O45="",", Expected Revenue","")&amp;IF(COUNTIF(tbl_Finance[Job Number],$C45&amp;"")&gt;1,", Job number used twice",""),3,300)))</f>
        <v/>
      </c>
      <c r="Q45" s="10">
        <f>IF($C45="","",IF(H45="","(no cost centre)",H45&amp;" - GL "&amp;IFERROR(INDEX(lst_CCtoGL,MATCH(H45,lst_CCforGL,0)),"?")))</f>
        <v/>
      </c>
      <c r="R45" s="37" t="n"/>
      <c r="S45" s="37" t="n"/>
      <c r="T45" s="10">
        <f>IF(S45="","",HYPERLINK(IF(LEFT(S45,4)="http",S45,set_QwilrBase&amp;S45),"Open quote"))</f>
        <v/>
      </c>
      <c r="U45" s="41" t="n"/>
      <c r="V45" s="37" t="n"/>
      <c r="W45" s="37" t="n"/>
      <c r="X45" s="10" t="inlineStr">
        <is>
          <t>ONS-0041</t>
        </is>
      </c>
    </row>
    <row r="46">
      <c r="A46" s="16">
        <f>IF($C46="","",IFERROR(IF(INDEX(tbl_Finance[Latest Invoice Date],MATCH($X46,tbl_Finance[Row ID],0))="","",INDEX(tbl_Finance[Latest Invoice Date],MATCH($X46,tbl_Finance[Row ID],0))),""))</f>
        <v/>
      </c>
      <c r="B46" s="10">
        <f>IF($C46="","",IFERROR(INDEX(tbl_Finance[Invoice Numbers],MATCH($X46,tbl_Finance[Row ID],0))&amp;"",""))</f>
        <v/>
      </c>
      <c r="C46" s="37" t="n"/>
      <c r="D46" s="10">
        <f>IF($C46="","",IF(COUNTIF(lst_Jobs,$C46&amp;"")&gt;0,"OK","CHECK"))</f>
        <v/>
      </c>
      <c r="E46" s="10">
        <f>IF($C46="","",IFERROR(INDEX(lst_JobName,MATCH($C46&amp;"",lst_Jobs,0)),""))</f>
        <v/>
      </c>
      <c r="F46" s="37" t="n"/>
      <c r="G46" s="37" t="n"/>
      <c r="H46" s="37" t="n"/>
      <c r="I46" s="37" t="n"/>
      <c r="J46" s="37" t="n"/>
      <c r="K46" s="38">
        <f>IF($C46="","",IFERROR(N(INDEX(tbl_Finance[Invoice Count],MATCH($X46,tbl_Finance[Row ID],0))),""))</f>
        <v/>
      </c>
      <c r="L46" s="11">
        <f>IF($C46="","",IFERROR(N(INDEX(tbl_Finance[Xero Invoiced Ex GST],MATCH($X46,tbl_Finance[Row ID],0))),""))</f>
        <v/>
      </c>
      <c r="M46" s="10">
        <f>IF($C46="","",IFERROR(INDEX(tbl_Finance[Compare],MATCH($X46,tbl_Finance[Row ID],0))&amp;"",""))</f>
        <v/>
      </c>
      <c r="N46" s="11">
        <f>IF($C46="","",MAX(0,N(O46)-N(L46)))</f>
        <v/>
      </c>
      <c r="O46" s="39" t="n"/>
      <c r="P46" s="40">
        <f>IF($C46="","",IF((IF(F46="",", Client","")&amp;IF(G46="",", Description","")&amp;IF(H46="",", Cost Centre","")&amp;IF(I46="",", Invoice Type","")&amp;IF(J46="",", Tax Code","")&amp;IF(O46="",", Expected Revenue","")&amp;IF(COUNTIF(tbl_Finance[Job Number],$C46&amp;"")&gt;1,", Job number used twice",""))="","Complete","Fix: "&amp;MID(IF(F46="",", Client","")&amp;IF(G46="",", Description","")&amp;IF(H46="",", Cost Centre","")&amp;IF(I46="",", Invoice Type","")&amp;IF(J46="",", Tax Code","")&amp;IF(O46="",", Expected Revenue","")&amp;IF(COUNTIF(tbl_Finance[Job Number],$C46&amp;"")&gt;1,", Job number used twice",""),3,300)))</f>
        <v/>
      </c>
      <c r="Q46" s="10">
        <f>IF($C46="","",IF(H46="","(no cost centre)",H46&amp;" - GL "&amp;IFERROR(INDEX(lst_CCtoGL,MATCH(H46,lst_CCforGL,0)),"?")))</f>
        <v/>
      </c>
      <c r="R46" s="37" t="n"/>
      <c r="S46" s="37" t="n"/>
      <c r="T46" s="10">
        <f>IF(S46="","",HYPERLINK(IF(LEFT(S46,4)="http",S46,set_QwilrBase&amp;S46),"Open quote"))</f>
        <v/>
      </c>
      <c r="U46" s="41" t="n"/>
      <c r="V46" s="37" t="n"/>
      <c r="W46" s="37" t="n"/>
      <c r="X46" s="10" t="inlineStr">
        <is>
          <t>ONS-0042</t>
        </is>
      </c>
    </row>
    <row r="47">
      <c r="A47" s="16">
        <f>IF($C47="","",IFERROR(IF(INDEX(tbl_Finance[Latest Invoice Date],MATCH($X47,tbl_Finance[Row ID],0))="","",INDEX(tbl_Finance[Latest Invoice Date],MATCH($X47,tbl_Finance[Row ID],0))),""))</f>
        <v/>
      </c>
      <c r="B47" s="10">
        <f>IF($C47="","",IFERROR(INDEX(tbl_Finance[Invoice Numbers],MATCH($X47,tbl_Finance[Row ID],0))&amp;"",""))</f>
        <v/>
      </c>
      <c r="C47" s="37" t="n"/>
      <c r="D47" s="10">
        <f>IF($C47="","",IF(COUNTIF(lst_Jobs,$C47&amp;"")&gt;0,"OK","CHECK"))</f>
        <v/>
      </c>
      <c r="E47" s="10">
        <f>IF($C47="","",IFERROR(INDEX(lst_JobName,MATCH($C47&amp;"",lst_Jobs,0)),""))</f>
        <v/>
      </c>
      <c r="F47" s="37" t="n"/>
      <c r="G47" s="37" t="n"/>
      <c r="H47" s="37" t="n"/>
      <c r="I47" s="37" t="n"/>
      <c r="J47" s="37" t="n"/>
      <c r="K47" s="38">
        <f>IF($C47="","",IFERROR(N(INDEX(tbl_Finance[Invoice Count],MATCH($X47,tbl_Finance[Row ID],0))),""))</f>
        <v/>
      </c>
      <c r="L47" s="11">
        <f>IF($C47="","",IFERROR(N(INDEX(tbl_Finance[Xero Invoiced Ex GST],MATCH($X47,tbl_Finance[Row ID],0))),""))</f>
        <v/>
      </c>
      <c r="M47" s="10">
        <f>IF($C47="","",IFERROR(INDEX(tbl_Finance[Compare],MATCH($X47,tbl_Finance[Row ID],0))&amp;"",""))</f>
        <v/>
      </c>
      <c r="N47" s="11">
        <f>IF($C47="","",MAX(0,N(O47)-N(L47)))</f>
        <v/>
      </c>
      <c r="O47" s="39" t="n"/>
      <c r="P47" s="40">
        <f>IF($C47="","",IF((IF(F47="",", Client","")&amp;IF(G47="",", Description","")&amp;IF(H47="",", Cost Centre","")&amp;IF(I47="",", Invoice Type","")&amp;IF(J47="",", Tax Code","")&amp;IF(O47="",", Expected Revenue","")&amp;IF(COUNTIF(tbl_Finance[Job Number],$C47&amp;"")&gt;1,", Job number used twice",""))="","Complete","Fix: "&amp;MID(IF(F47="",", Client","")&amp;IF(G47="",", Description","")&amp;IF(H47="",", Cost Centre","")&amp;IF(I47="",", Invoice Type","")&amp;IF(J47="",", Tax Code","")&amp;IF(O47="",", Expected Revenue","")&amp;IF(COUNTIF(tbl_Finance[Job Number],$C47&amp;"")&gt;1,", Job number used twice",""),3,300)))</f>
        <v/>
      </c>
      <c r="Q47" s="10">
        <f>IF($C47="","",IF(H47="","(no cost centre)",H47&amp;" - GL "&amp;IFERROR(INDEX(lst_CCtoGL,MATCH(H47,lst_CCforGL,0)),"?")))</f>
        <v/>
      </c>
      <c r="R47" s="37" t="n"/>
      <c r="S47" s="37" t="n"/>
      <c r="T47" s="10">
        <f>IF(S47="","",HYPERLINK(IF(LEFT(S47,4)="http",S47,set_QwilrBase&amp;S47),"Open quote"))</f>
        <v/>
      </c>
      <c r="U47" s="41" t="n"/>
      <c r="V47" s="37" t="n"/>
      <c r="W47" s="37" t="n"/>
      <c r="X47" s="10" t="inlineStr">
        <is>
          <t>ONS-0043</t>
        </is>
      </c>
    </row>
    <row r="48">
      <c r="A48" s="16">
        <f>IF($C48="","",IFERROR(IF(INDEX(tbl_Finance[Latest Invoice Date],MATCH($X48,tbl_Finance[Row ID],0))="","",INDEX(tbl_Finance[Latest Invoice Date],MATCH($X48,tbl_Finance[Row ID],0))),""))</f>
        <v/>
      </c>
      <c r="B48" s="10">
        <f>IF($C48="","",IFERROR(INDEX(tbl_Finance[Invoice Numbers],MATCH($X48,tbl_Finance[Row ID],0))&amp;"",""))</f>
        <v/>
      </c>
      <c r="C48" s="37" t="n"/>
      <c r="D48" s="10">
        <f>IF($C48="","",IF(COUNTIF(lst_Jobs,$C48&amp;"")&gt;0,"OK","CHECK"))</f>
        <v/>
      </c>
      <c r="E48" s="10">
        <f>IF($C48="","",IFERROR(INDEX(lst_JobName,MATCH($C48&amp;"",lst_Jobs,0)),""))</f>
        <v/>
      </c>
      <c r="F48" s="37" t="n"/>
      <c r="G48" s="37" t="n"/>
      <c r="H48" s="37" t="n"/>
      <c r="I48" s="37" t="n"/>
      <c r="J48" s="37" t="n"/>
      <c r="K48" s="38">
        <f>IF($C48="","",IFERROR(N(INDEX(tbl_Finance[Invoice Count],MATCH($X48,tbl_Finance[Row ID],0))),""))</f>
        <v/>
      </c>
      <c r="L48" s="11">
        <f>IF($C48="","",IFERROR(N(INDEX(tbl_Finance[Xero Invoiced Ex GST],MATCH($X48,tbl_Finance[Row ID],0))),""))</f>
        <v/>
      </c>
      <c r="M48" s="10">
        <f>IF($C48="","",IFERROR(INDEX(tbl_Finance[Compare],MATCH($X48,tbl_Finance[Row ID],0))&amp;"",""))</f>
        <v/>
      </c>
      <c r="N48" s="11">
        <f>IF($C48="","",MAX(0,N(O48)-N(L48)))</f>
        <v/>
      </c>
      <c r="O48" s="39" t="n"/>
      <c r="P48" s="40">
        <f>IF($C48="","",IF((IF(F48="",", Client","")&amp;IF(G48="",", Description","")&amp;IF(H48="",", Cost Centre","")&amp;IF(I48="",", Invoice Type","")&amp;IF(J48="",", Tax Code","")&amp;IF(O48="",", Expected Revenue","")&amp;IF(COUNTIF(tbl_Finance[Job Number],$C48&amp;"")&gt;1,", Job number used twice",""))="","Complete","Fix: "&amp;MID(IF(F48="",", Client","")&amp;IF(G48="",", Description","")&amp;IF(H48="",", Cost Centre","")&amp;IF(I48="",", Invoice Type","")&amp;IF(J48="",", Tax Code","")&amp;IF(O48="",", Expected Revenue","")&amp;IF(COUNTIF(tbl_Finance[Job Number],$C48&amp;"")&gt;1,", Job number used twice",""),3,300)))</f>
        <v/>
      </c>
      <c r="Q48" s="10">
        <f>IF($C48="","",IF(H48="","(no cost centre)",H48&amp;" - GL "&amp;IFERROR(INDEX(lst_CCtoGL,MATCH(H48,lst_CCforGL,0)),"?")))</f>
        <v/>
      </c>
      <c r="R48" s="37" t="n"/>
      <c r="S48" s="37" t="n"/>
      <c r="T48" s="10">
        <f>IF(S48="","",HYPERLINK(IF(LEFT(S48,4)="http",S48,set_QwilrBase&amp;S48),"Open quote"))</f>
        <v/>
      </c>
      <c r="U48" s="41" t="n"/>
      <c r="V48" s="37" t="n"/>
      <c r="W48" s="37" t="n"/>
      <c r="X48" s="10" t="inlineStr">
        <is>
          <t>ONS-0044</t>
        </is>
      </c>
    </row>
    <row r="49">
      <c r="A49" s="16">
        <f>IF($C49="","",IFERROR(IF(INDEX(tbl_Finance[Latest Invoice Date],MATCH($X49,tbl_Finance[Row ID],0))="","",INDEX(tbl_Finance[Latest Invoice Date],MATCH($X49,tbl_Finance[Row ID],0))),""))</f>
        <v/>
      </c>
      <c r="B49" s="10">
        <f>IF($C49="","",IFERROR(INDEX(tbl_Finance[Invoice Numbers],MATCH($X49,tbl_Finance[Row ID],0))&amp;"",""))</f>
        <v/>
      </c>
      <c r="C49" s="37" t="n"/>
      <c r="D49" s="10">
        <f>IF($C49="","",IF(COUNTIF(lst_Jobs,$C49&amp;"")&gt;0,"OK","CHECK"))</f>
        <v/>
      </c>
      <c r="E49" s="10">
        <f>IF($C49="","",IFERROR(INDEX(lst_JobName,MATCH($C49&amp;"",lst_Jobs,0)),""))</f>
        <v/>
      </c>
      <c r="F49" s="37" t="n"/>
      <c r="G49" s="37" t="n"/>
      <c r="H49" s="37" t="n"/>
      <c r="I49" s="37" t="n"/>
      <c r="J49" s="37" t="n"/>
      <c r="K49" s="38">
        <f>IF($C49="","",IFERROR(N(INDEX(tbl_Finance[Invoice Count],MATCH($X49,tbl_Finance[Row ID],0))),""))</f>
        <v/>
      </c>
      <c r="L49" s="11">
        <f>IF($C49="","",IFERROR(N(INDEX(tbl_Finance[Xero Invoiced Ex GST],MATCH($X49,tbl_Finance[Row ID],0))),""))</f>
        <v/>
      </c>
      <c r="M49" s="10">
        <f>IF($C49="","",IFERROR(INDEX(tbl_Finance[Compare],MATCH($X49,tbl_Finance[Row ID],0))&amp;"",""))</f>
        <v/>
      </c>
      <c r="N49" s="11">
        <f>IF($C49="","",MAX(0,N(O49)-N(L49)))</f>
        <v/>
      </c>
      <c r="O49" s="39" t="n"/>
      <c r="P49" s="40">
        <f>IF($C49="","",IF((IF(F49="",", Client","")&amp;IF(G49="",", Description","")&amp;IF(H49="",", Cost Centre","")&amp;IF(I49="",", Invoice Type","")&amp;IF(J49="",", Tax Code","")&amp;IF(O49="",", Expected Revenue","")&amp;IF(COUNTIF(tbl_Finance[Job Number],$C49&amp;"")&gt;1,", Job number used twice",""))="","Complete","Fix: "&amp;MID(IF(F49="",", Client","")&amp;IF(G49="",", Description","")&amp;IF(H49="",", Cost Centre","")&amp;IF(I49="",", Invoice Type","")&amp;IF(J49="",", Tax Code","")&amp;IF(O49="",", Expected Revenue","")&amp;IF(COUNTIF(tbl_Finance[Job Number],$C49&amp;"")&gt;1,", Job number used twice",""),3,300)))</f>
        <v/>
      </c>
      <c r="Q49" s="10">
        <f>IF($C49="","",IF(H49="","(no cost centre)",H49&amp;" - GL "&amp;IFERROR(INDEX(lst_CCtoGL,MATCH(H49,lst_CCforGL,0)),"?")))</f>
        <v/>
      </c>
      <c r="R49" s="37" t="n"/>
      <c r="S49" s="37" t="n"/>
      <c r="T49" s="10">
        <f>IF(S49="","",HYPERLINK(IF(LEFT(S49,4)="http",S49,set_QwilrBase&amp;S49),"Open quote"))</f>
        <v/>
      </c>
      <c r="U49" s="41" t="n"/>
      <c r="V49" s="37" t="n"/>
      <c r="W49" s="37" t="n"/>
      <c r="X49" s="10" t="inlineStr">
        <is>
          <t>ONS-0045</t>
        </is>
      </c>
    </row>
    <row r="50">
      <c r="A50" s="16">
        <f>IF($C50="","",IFERROR(IF(INDEX(tbl_Finance[Latest Invoice Date],MATCH($X50,tbl_Finance[Row ID],0))="","",INDEX(tbl_Finance[Latest Invoice Date],MATCH($X50,tbl_Finance[Row ID],0))),""))</f>
        <v/>
      </c>
      <c r="B50" s="10">
        <f>IF($C50="","",IFERROR(INDEX(tbl_Finance[Invoice Numbers],MATCH($X50,tbl_Finance[Row ID],0))&amp;"",""))</f>
        <v/>
      </c>
      <c r="C50" s="37" t="n"/>
      <c r="D50" s="10">
        <f>IF($C50="","",IF(COUNTIF(lst_Jobs,$C50&amp;"")&gt;0,"OK","CHECK"))</f>
        <v/>
      </c>
      <c r="E50" s="10">
        <f>IF($C50="","",IFERROR(INDEX(lst_JobName,MATCH($C50&amp;"",lst_Jobs,0)),""))</f>
        <v/>
      </c>
      <c r="F50" s="37" t="n"/>
      <c r="G50" s="37" t="n"/>
      <c r="H50" s="37" t="n"/>
      <c r="I50" s="37" t="n"/>
      <c r="J50" s="37" t="n"/>
      <c r="K50" s="38">
        <f>IF($C50="","",IFERROR(N(INDEX(tbl_Finance[Invoice Count],MATCH($X50,tbl_Finance[Row ID],0))),""))</f>
        <v/>
      </c>
      <c r="L50" s="11">
        <f>IF($C50="","",IFERROR(N(INDEX(tbl_Finance[Xero Invoiced Ex GST],MATCH($X50,tbl_Finance[Row ID],0))),""))</f>
        <v/>
      </c>
      <c r="M50" s="10">
        <f>IF($C50="","",IFERROR(INDEX(tbl_Finance[Compare],MATCH($X50,tbl_Finance[Row ID],0))&amp;"",""))</f>
        <v/>
      </c>
      <c r="N50" s="11">
        <f>IF($C50="","",MAX(0,N(O50)-N(L50)))</f>
        <v/>
      </c>
      <c r="O50" s="39" t="n"/>
      <c r="P50" s="40">
        <f>IF($C50="","",IF((IF(F50="",", Client","")&amp;IF(G50="",", Description","")&amp;IF(H50="",", Cost Centre","")&amp;IF(I50="",", Invoice Type","")&amp;IF(J50="",", Tax Code","")&amp;IF(O50="",", Expected Revenue","")&amp;IF(COUNTIF(tbl_Finance[Job Number],$C50&amp;"")&gt;1,", Job number used twice",""))="","Complete","Fix: "&amp;MID(IF(F50="",", Client","")&amp;IF(G50="",", Description","")&amp;IF(H50="",", Cost Centre","")&amp;IF(I50="",", Invoice Type","")&amp;IF(J50="",", Tax Code","")&amp;IF(O50="",", Expected Revenue","")&amp;IF(COUNTIF(tbl_Finance[Job Number],$C50&amp;"")&gt;1,", Job number used twice",""),3,300)))</f>
        <v/>
      </c>
      <c r="Q50" s="10">
        <f>IF($C50="","",IF(H50="","(no cost centre)",H50&amp;" - GL "&amp;IFERROR(INDEX(lst_CCtoGL,MATCH(H50,lst_CCforGL,0)),"?")))</f>
        <v/>
      </c>
      <c r="R50" s="37" t="n"/>
      <c r="S50" s="37" t="n"/>
      <c r="T50" s="10">
        <f>IF(S50="","",HYPERLINK(IF(LEFT(S50,4)="http",S50,set_QwilrBase&amp;S50),"Open quote"))</f>
        <v/>
      </c>
      <c r="U50" s="41" t="n"/>
      <c r="V50" s="37" t="n"/>
      <c r="W50" s="37" t="n"/>
      <c r="X50" s="10" t="inlineStr">
        <is>
          <t>ONS-0046</t>
        </is>
      </c>
    </row>
    <row r="51">
      <c r="A51" s="16">
        <f>IF($C51="","",IFERROR(IF(INDEX(tbl_Finance[Latest Invoice Date],MATCH($X51,tbl_Finance[Row ID],0))="","",INDEX(tbl_Finance[Latest Invoice Date],MATCH($X51,tbl_Finance[Row ID],0))),""))</f>
        <v/>
      </c>
      <c r="B51" s="10">
        <f>IF($C51="","",IFERROR(INDEX(tbl_Finance[Invoice Numbers],MATCH($X51,tbl_Finance[Row ID],0))&amp;"",""))</f>
        <v/>
      </c>
      <c r="C51" s="37" t="n"/>
      <c r="D51" s="10">
        <f>IF($C51="","",IF(COUNTIF(lst_Jobs,$C51&amp;"")&gt;0,"OK","CHECK"))</f>
        <v/>
      </c>
      <c r="E51" s="10">
        <f>IF($C51="","",IFERROR(INDEX(lst_JobName,MATCH($C51&amp;"",lst_Jobs,0)),""))</f>
        <v/>
      </c>
      <c r="F51" s="37" t="n"/>
      <c r="G51" s="37" t="n"/>
      <c r="H51" s="37" t="n"/>
      <c r="I51" s="37" t="n"/>
      <c r="J51" s="37" t="n"/>
      <c r="K51" s="38">
        <f>IF($C51="","",IFERROR(N(INDEX(tbl_Finance[Invoice Count],MATCH($X51,tbl_Finance[Row ID],0))),""))</f>
        <v/>
      </c>
      <c r="L51" s="11">
        <f>IF($C51="","",IFERROR(N(INDEX(tbl_Finance[Xero Invoiced Ex GST],MATCH($X51,tbl_Finance[Row ID],0))),""))</f>
        <v/>
      </c>
      <c r="M51" s="10">
        <f>IF($C51="","",IFERROR(INDEX(tbl_Finance[Compare],MATCH($X51,tbl_Finance[Row ID],0))&amp;"",""))</f>
        <v/>
      </c>
      <c r="N51" s="11">
        <f>IF($C51="","",MAX(0,N(O51)-N(L51)))</f>
        <v/>
      </c>
      <c r="O51" s="39" t="n"/>
      <c r="P51" s="40">
        <f>IF($C51="","",IF((IF(F51="",", Client","")&amp;IF(G51="",", Description","")&amp;IF(H51="",", Cost Centre","")&amp;IF(I51="",", Invoice Type","")&amp;IF(J51="",", Tax Code","")&amp;IF(O51="",", Expected Revenue","")&amp;IF(COUNTIF(tbl_Finance[Job Number],$C51&amp;"")&gt;1,", Job number used twice",""))="","Complete","Fix: "&amp;MID(IF(F51="",", Client","")&amp;IF(G51="",", Description","")&amp;IF(H51="",", Cost Centre","")&amp;IF(I51="",", Invoice Type","")&amp;IF(J51="",", Tax Code","")&amp;IF(O51="",", Expected Revenue","")&amp;IF(COUNTIF(tbl_Finance[Job Number],$C51&amp;"")&gt;1,", Job number used twice",""),3,300)))</f>
        <v/>
      </c>
      <c r="Q51" s="10">
        <f>IF($C51="","",IF(H51="","(no cost centre)",H51&amp;" - GL "&amp;IFERROR(INDEX(lst_CCtoGL,MATCH(H51,lst_CCforGL,0)),"?")))</f>
        <v/>
      </c>
      <c r="R51" s="37" t="n"/>
      <c r="S51" s="37" t="n"/>
      <c r="T51" s="10">
        <f>IF(S51="","",HYPERLINK(IF(LEFT(S51,4)="http",S51,set_QwilrBase&amp;S51),"Open quote"))</f>
        <v/>
      </c>
      <c r="U51" s="41" t="n"/>
      <c r="V51" s="37" t="n"/>
      <c r="W51" s="37" t="n"/>
      <c r="X51" s="10" t="inlineStr">
        <is>
          <t>ONS-0047</t>
        </is>
      </c>
    </row>
    <row r="52">
      <c r="A52" s="16">
        <f>IF($C52="","",IFERROR(IF(INDEX(tbl_Finance[Latest Invoice Date],MATCH($X52,tbl_Finance[Row ID],0))="","",INDEX(tbl_Finance[Latest Invoice Date],MATCH($X52,tbl_Finance[Row ID],0))),""))</f>
        <v/>
      </c>
      <c r="B52" s="10">
        <f>IF($C52="","",IFERROR(INDEX(tbl_Finance[Invoice Numbers],MATCH($X52,tbl_Finance[Row ID],0))&amp;"",""))</f>
        <v/>
      </c>
      <c r="C52" s="37" t="n"/>
      <c r="D52" s="10">
        <f>IF($C52="","",IF(COUNTIF(lst_Jobs,$C52&amp;"")&gt;0,"OK","CHECK"))</f>
        <v/>
      </c>
      <c r="E52" s="10">
        <f>IF($C52="","",IFERROR(INDEX(lst_JobName,MATCH($C52&amp;"",lst_Jobs,0)),""))</f>
        <v/>
      </c>
      <c r="F52" s="37" t="n"/>
      <c r="G52" s="37" t="n"/>
      <c r="H52" s="37" t="n"/>
      <c r="I52" s="37" t="n"/>
      <c r="J52" s="37" t="n"/>
      <c r="K52" s="38">
        <f>IF($C52="","",IFERROR(N(INDEX(tbl_Finance[Invoice Count],MATCH($X52,tbl_Finance[Row ID],0))),""))</f>
        <v/>
      </c>
      <c r="L52" s="11">
        <f>IF($C52="","",IFERROR(N(INDEX(tbl_Finance[Xero Invoiced Ex GST],MATCH($X52,tbl_Finance[Row ID],0))),""))</f>
        <v/>
      </c>
      <c r="M52" s="10">
        <f>IF($C52="","",IFERROR(INDEX(tbl_Finance[Compare],MATCH($X52,tbl_Finance[Row ID],0))&amp;"",""))</f>
        <v/>
      </c>
      <c r="N52" s="11">
        <f>IF($C52="","",MAX(0,N(O52)-N(L52)))</f>
        <v/>
      </c>
      <c r="O52" s="39" t="n"/>
      <c r="P52" s="40">
        <f>IF($C52="","",IF((IF(F52="",", Client","")&amp;IF(G52="",", Description","")&amp;IF(H52="",", Cost Centre","")&amp;IF(I52="",", Invoice Type","")&amp;IF(J52="",", Tax Code","")&amp;IF(O52="",", Expected Revenue","")&amp;IF(COUNTIF(tbl_Finance[Job Number],$C52&amp;"")&gt;1,", Job number used twice",""))="","Complete","Fix: "&amp;MID(IF(F52="",", Client","")&amp;IF(G52="",", Description","")&amp;IF(H52="",", Cost Centre","")&amp;IF(I52="",", Invoice Type","")&amp;IF(J52="",", Tax Code","")&amp;IF(O52="",", Expected Revenue","")&amp;IF(COUNTIF(tbl_Finance[Job Number],$C52&amp;"")&gt;1,", Job number used twice",""),3,300)))</f>
        <v/>
      </c>
      <c r="Q52" s="10">
        <f>IF($C52="","",IF(H52="","(no cost centre)",H52&amp;" - GL "&amp;IFERROR(INDEX(lst_CCtoGL,MATCH(H52,lst_CCforGL,0)),"?")))</f>
        <v/>
      </c>
      <c r="R52" s="37" t="n"/>
      <c r="S52" s="37" t="n"/>
      <c r="T52" s="10">
        <f>IF(S52="","",HYPERLINK(IF(LEFT(S52,4)="http",S52,set_QwilrBase&amp;S52),"Open quote"))</f>
        <v/>
      </c>
      <c r="U52" s="41" t="n"/>
      <c r="V52" s="37" t="n"/>
      <c r="W52" s="37" t="n"/>
      <c r="X52" s="10" t="inlineStr">
        <is>
          <t>ONS-0048</t>
        </is>
      </c>
    </row>
    <row r="53">
      <c r="A53" s="16">
        <f>IF($C53="","",IFERROR(IF(INDEX(tbl_Finance[Latest Invoice Date],MATCH($X53,tbl_Finance[Row ID],0))="","",INDEX(tbl_Finance[Latest Invoice Date],MATCH($X53,tbl_Finance[Row ID],0))),""))</f>
        <v/>
      </c>
      <c r="B53" s="10">
        <f>IF($C53="","",IFERROR(INDEX(tbl_Finance[Invoice Numbers],MATCH($X53,tbl_Finance[Row ID],0))&amp;"",""))</f>
        <v/>
      </c>
      <c r="C53" s="37" t="n"/>
      <c r="D53" s="10">
        <f>IF($C53="","",IF(COUNTIF(lst_Jobs,$C53&amp;"")&gt;0,"OK","CHECK"))</f>
        <v/>
      </c>
      <c r="E53" s="10">
        <f>IF($C53="","",IFERROR(INDEX(lst_JobName,MATCH($C53&amp;"",lst_Jobs,0)),""))</f>
        <v/>
      </c>
      <c r="F53" s="37" t="n"/>
      <c r="G53" s="37" t="n"/>
      <c r="H53" s="37" t="n"/>
      <c r="I53" s="37" t="n"/>
      <c r="J53" s="37" t="n"/>
      <c r="K53" s="38">
        <f>IF($C53="","",IFERROR(N(INDEX(tbl_Finance[Invoice Count],MATCH($X53,tbl_Finance[Row ID],0))),""))</f>
        <v/>
      </c>
      <c r="L53" s="11">
        <f>IF($C53="","",IFERROR(N(INDEX(tbl_Finance[Xero Invoiced Ex GST],MATCH($X53,tbl_Finance[Row ID],0))),""))</f>
        <v/>
      </c>
      <c r="M53" s="10">
        <f>IF($C53="","",IFERROR(INDEX(tbl_Finance[Compare],MATCH($X53,tbl_Finance[Row ID],0))&amp;"",""))</f>
        <v/>
      </c>
      <c r="N53" s="11">
        <f>IF($C53="","",MAX(0,N(O53)-N(L53)))</f>
        <v/>
      </c>
      <c r="O53" s="39" t="n"/>
      <c r="P53" s="40">
        <f>IF($C53="","",IF((IF(F53="",", Client","")&amp;IF(G53="",", Description","")&amp;IF(H53="",", Cost Centre","")&amp;IF(I53="",", Invoice Type","")&amp;IF(J53="",", Tax Code","")&amp;IF(O53="",", Expected Revenue","")&amp;IF(COUNTIF(tbl_Finance[Job Number],$C53&amp;"")&gt;1,", Job number used twice",""))="","Complete","Fix: "&amp;MID(IF(F53="",", Client","")&amp;IF(G53="",", Description","")&amp;IF(H53="",", Cost Centre","")&amp;IF(I53="",", Invoice Type","")&amp;IF(J53="",", Tax Code","")&amp;IF(O53="",", Expected Revenue","")&amp;IF(COUNTIF(tbl_Finance[Job Number],$C53&amp;"")&gt;1,", Job number used twice",""),3,300)))</f>
        <v/>
      </c>
      <c r="Q53" s="10">
        <f>IF($C53="","",IF(H53="","(no cost centre)",H53&amp;" - GL "&amp;IFERROR(INDEX(lst_CCtoGL,MATCH(H53,lst_CCforGL,0)),"?")))</f>
        <v/>
      </c>
      <c r="R53" s="37" t="n"/>
      <c r="S53" s="37" t="n"/>
      <c r="T53" s="10">
        <f>IF(S53="","",HYPERLINK(IF(LEFT(S53,4)="http",S53,set_QwilrBase&amp;S53),"Open quote"))</f>
        <v/>
      </c>
      <c r="U53" s="41" t="n"/>
      <c r="V53" s="37" t="n"/>
      <c r="W53" s="37" t="n"/>
      <c r="X53" s="10" t="inlineStr">
        <is>
          <t>ONS-0049</t>
        </is>
      </c>
    </row>
    <row r="54">
      <c r="A54" s="16">
        <f>IF($C54="","",IFERROR(IF(INDEX(tbl_Finance[Latest Invoice Date],MATCH($X54,tbl_Finance[Row ID],0))="","",INDEX(tbl_Finance[Latest Invoice Date],MATCH($X54,tbl_Finance[Row ID],0))),""))</f>
        <v/>
      </c>
      <c r="B54" s="10">
        <f>IF($C54="","",IFERROR(INDEX(tbl_Finance[Invoice Numbers],MATCH($X54,tbl_Finance[Row ID],0))&amp;"",""))</f>
        <v/>
      </c>
      <c r="C54" s="37" t="n"/>
      <c r="D54" s="10">
        <f>IF($C54="","",IF(COUNTIF(lst_Jobs,$C54&amp;"")&gt;0,"OK","CHECK"))</f>
        <v/>
      </c>
      <c r="E54" s="10">
        <f>IF($C54="","",IFERROR(INDEX(lst_JobName,MATCH($C54&amp;"",lst_Jobs,0)),""))</f>
        <v/>
      </c>
      <c r="F54" s="37" t="n"/>
      <c r="G54" s="37" t="n"/>
      <c r="H54" s="37" t="n"/>
      <c r="I54" s="37" t="n"/>
      <c r="J54" s="37" t="n"/>
      <c r="K54" s="38">
        <f>IF($C54="","",IFERROR(N(INDEX(tbl_Finance[Invoice Count],MATCH($X54,tbl_Finance[Row ID],0))),""))</f>
        <v/>
      </c>
      <c r="L54" s="11">
        <f>IF($C54="","",IFERROR(N(INDEX(tbl_Finance[Xero Invoiced Ex GST],MATCH($X54,tbl_Finance[Row ID],0))),""))</f>
        <v/>
      </c>
      <c r="M54" s="10">
        <f>IF($C54="","",IFERROR(INDEX(tbl_Finance[Compare],MATCH($X54,tbl_Finance[Row ID],0))&amp;"",""))</f>
        <v/>
      </c>
      <c r="N54" s="11">
        <f>IF($C54="","",MAX(0,N(O54)-N(L54)))</f>
        <v/>
      </c>
      <c r="O54" s="39" t="n"/>
      <c r="P54" s="40">
        <f>IF($C54="","",IF((IF(F54="",", Client","")&amp;IF(G54="",", Description","")&amp;IF(H54="",", Cost Centre","")&amp;IF(I54="",", Invoice Type","")&amp;IF(J54="",", Tax Code","")&amp;IF(O54="",", Expected Revenue","")&amp;IF(COUNTIF(tbl_Finance[Job Number],$C54&amp;"")&gt;1,", Job number used twice",""))="","Complete","Fix: "&amp;MID(IF(F54="",", Client","")&amp;IF(G54="",", Description","")&amp;IF(H54="",", Cost Centre","")&amp;IF(I54="",", Invoice Type","")&amp;IF(J54="",", Tax Code","")&amp;IF(O54="",", Expected Revenue","")&amp;IF(COUNTIF(tbl_Finance[Job Number],$C54&amp;"")&gt;1,", Job number used twice",""),3,300)))</f>
        <v/>
      </c>
      <c r="Q54" s="10">
        <f>IF($C54="","",IF(H54="","(no cost centre)",H54&amp;" - GL "&amp;IFERROR(INDEX(lst_CCtoGL,MATCH(H54,lst_CCforGL,0)),"?")))</f>
        <v/>
      </c>
      <c r="R54" s="37" t="n"/>
      <c r="S54" s="37" t="n"/>
      <c r="T54" s="10">
        <f>IF(S54="","",HYPERLINK(IF(LEFT(S54,4)="http",S54,set_QwilrBase&amp;S54),"Open quote"))</f>
        <v/>
      </c>
      <c r="U54" s="41" t="n"/>
      <c r="V54" s="37" t="n"/>
      <c r="W54" s="37" t="n"/>
      <c r="X54" s="10" t="inlineStr">
        <is>
          <t>ONS-0050</t>
        </is>
      </c>
    </row>
    <row r="55">
      <c r="A55" s="16">
        <f>IF($C55="","",IFERROR(IF(INDEX(tbl_Finance[Latest Invoice Date],MATCH($X55,tbl_Finance[Row ID],0))="","",INDEX(tbl_Finance[Latest Invoice Date],MATCH($X55,tbl_Finance[Row ID],0))),""))</f>
        <v/>
      </c>
      <c r="B55" s="10">
        <f>IF($C55="","",IFERROR(INDEX(tbl_Finance[Invoice Numbers],MATCH($X55,tbl_Finance[Row ID],0))&amp;"",""))</f>
        <v/>
      </c>
      <c r="C55" s="37" t="n"/>
      <c r="D55" s="10">
        <f>IF($C55="","",IF(COUNTIF(lst_Jobs,$C55&amp;"")&gt;0,"OK","CHECK"))</f>
        <v/>
      </c>
      <c r="E55" s="10">
        <f>IF($C55="","",IFERROR(INDEX(lst_JobName,MATCH($C55&amp;"",lst_Jobs,0)),""))</f>
        <v/>
      </c>
      <c r="F55" s="37" t="n"/>
      <c r="G55" s="37" t="n"/>
      <c r="H55" s="37" t="n"/>
      <c r="I55" s="37" t="n"/>
      <c r="J55" s="37" t="n"/>
      <c r="K55" s="38">
        <f>IF($C55="","",IFERROR(N(INDEX(tbl_Finance[Invoice Count],MATCH($X55,tbl_Finance[Row ID],0))),""))</f>
        <v/>
      </c>
      <c r="L55" s="11">
        <f>IF($C55="","",IFERROR(N(INDEX(tbl_Finance[Xero Invoiced Ex GST],MATCH($X55,tbl_Finance[Row ID],0))),""))</f>
        <v/>
      </c>
      <c r="M55" s="10">
        <f>IF($C55="","",IFERROR(INDEX(tbl_Finance[Compare],MATCH($X55,tbl_Finance[Row ID],0))&amp;"",""))</f>
        <v/>
      </c>
      <c r="N55" s="11">
        <f>IF($C55="","",MAX(0,N(O55)-N(L55)))</f>
        <v/>
      </c>
      <c r="O55" s="39" t="n"/>
      <c r="P55" s="40">
        <f>IF($C55="","",IF((IF(F55="",", Client","")&amp;IF(G55="",", Description","")&amp;IF(H55="",", Cost Centre","")&amp;IF(I55="",", Invoice Type","")&amp;IF(J55="",", Tax Code","")&amp;IF(O55="",", Expected Revenue","")&amp;IF(COUNTIF(tbl_Finance[Job Number],$C55&amp;"")&gt;1,", Job number used twice",""))="","Complete","Fix: "&amp;MID(IF(F55="",", Client","")&amp;IF(G55="",", Description","")&amp;IF(H55="",", Cost Centre","")&amp;IF(I55="",", Invoice Type","")&amp;IF(J55="",", Tax Code","")&amp;IF(O55="",", Expected Revenue","")&amp;IF(COUNTIF(tbl_Finance[Job Number],$C55&amp;"")&gt;1,", Job number used twice",""),3,300)))</f>
        <v/>
      </c>
      <c r="Q55" s="10">
        <f>IF($C55="","",IF(H55="","(no cost centre)",H55&amp;" - GL "&amp;IFERROR(INDEX(lst_CCtoGL,MATCH(H55,lst_CCforGL,0)),"?")))</f>
        <v/>
      </c>
      <c r="R55" s="37" t="n"/>
      <c r="S55" s="37" t="n"/>
      <c r="T55" s="10">
        <f>IF(S55="","",HYPERLINK(IF(LEFT(S55,4)="http",S55,set_QwilrBase&amp;S55),"Open quote"))</f>
        <v/>
      </c>
      <c r="U55" s="41" t="n"/>
      <c r="V55" s="37" t="n"/>
      <c r="W55" s="37" t="n"/>
      <c r="X55" s="10" t="inlineStr">
        <is>
          <t>ONS-0051</t>
        </is>
      </c>
    </row>
    <row r="56">
      <c r="A56" s="16">
        <f>IF($C56="","",IFERROR(IF(INDEX(tbl_Finance[Latest Invoice Date],MATCH($X56,tbl_Finance[Row ID],0))="","",INDEX(tbl_Finance[Latest Invoice Date],MATCH($X56,tbl_Finance[Row ID],0))),""))</f>
        <v/>
      </c>
      <c r="B56" s="10">
        <f>IF($C56="","",IFERROR(INDEX(tbl_Finance[Invoice Numbers],MATCH($X56,tbl_Finance[Row ID],0))&amp;"",""))</f>
        <v/>
      </c>
      <c r="C56" s="37" t="n"/>
      <c r="D56" s="10">
        <f>IF($C56="","",IF(COUNTIF(lst_Jobs,$C56&amp;"")&gt;0,"OK","CHECK"))</f>
        <v/>
      </c>
      <c r="E56" s="10">
        <f>IF($C56="","",IFERROR(INDEX(lst_JobName,MATCH($C56&amp;"",lst_Jobs,0)),""))</f>
        <v/>
      </c>
      <c r="F56" s="37" t="n"/>
      <c r="G56" s="37" t="n"/>
      <c r="H56" s="37" t="n"/>
      <c r="I56" s="37" t="n"/>
      <c r="J56" s="37" t="n"/>
      <c r="K56" s="38">
        <f>IF($C56="","",IFERROR(N(INDEX(tbl_Finance[Invoice Count],MATCH($X56,tbl_Finance[Row ID],0))),""))</f>
        <v/>
      </c>
      <c r="L56" s="11">
        <f>IF($C56="","",IFERROR(N(INDEX(tbl_Finance[Xero Invoiced Ex GST],MATCH($X56,tbl_Finance[Row ID],0))),""))</f>
        <v/>
      </c>
      <c r="M56" s="10">
        <f>IF($C56="","",IFERROR(INDEX(tbl_Finance[Compare],MATCH($X56,tbl_Finance[Row ID],0))&amp;"",""))</f>
        <v/>
      </c>
      <c r="N56" s="11">
        <f>IF($C56="","",MAX(0,N(O56)-N(L56)))</f>
        <v/>
      </c>
      <c r="O56" s="39" t="n"/>
      <c r="P56" s="40">
        <f>IF($C56="","",IF((IF(F56="",", Client","")&amp;IF(G56="",", Description","")&amp;IF(H56="",", Cost Centre","")&amp;IF(I56="",", Invoice Type","")&amp;IF(J56="",", Tax Code","")&amp;IF(O56="",", Expected Revenue","")&amp;IF(COUNTIF(tbl_Finance[Job Number],$C56&amp;"")&gt;1,", Job number used twice",""))="","Complete","Fix: "&amp;MID(IF(F56="",", Client","")&amp;IF(G56="",", Description","")&amp;IF(H56="",", Cost Centre","")&amp;IF(I56="",", Invoice Type","")&amp;IF(J56="",", Tax Code","")&amp;IF(O56="",", Expected Revenue","")&amp;IF(COUNTIF(tbl_Finance[Job Number],$C56&amp;"")&gt;1,", Job number used twice",""),3,300)))</f>
        <v/>
      </c>
      <c r="Q56" s="10">
        <f>IF($C56="","",IF(H56="","(no cost centre)",H56&amp;" - GL "&amp;IFERROR(INDEX(lst_CCtoGL,MATCH(H56,lst_CCforGL,0)),"?")))</f>
        <v/>
      </c>
      <c r="R56" s="37" t="n"/>
      <c r="S56" s="37" t="n"/>
      <c r="T56" s="10">
        <f>IF(S56="","",HYPERLINK(IF(LEFT(S56,4)="http",S56,set_QwilrBase&amp;S56),"Open quote"))</f>
        <v/>
      </c>
      <c r="U56" s="41" t="n"/>
      <c r="V56" s="37" t="n"/>
      <c r="W56" s="37" t="n"/>
      <c r="X56" s="10" t="inlineStr">
        <is>
          <t>ONS-0052</t>
        </is>
      </c>
    </row>
    <row r="57">
      <c r="A57" s="16">
        <f>IF($C57="","",IFERROR(IF(INDEX(tbl_Finance[Latest Invoice Date],MATCH($X57,tbl_Finance[Row ID],0))="","",INDEX(tbl_Finance[Latest Invoice Date],MATCH($X57,tbl_Finance[Row ID],0))),""))</f>
        <v/>
      </c>
      <c r="B57" s="10">
        <f>IF($C57="","",IFERROR(INDEX(tbl_Finance[Invoice Numbers],MATCH($X57,tbl_Finance[Row ID],0))&amp;"",""))</f>
        <v/>
      </c>
      <c r="C57" s="37" t="n"/>
      <c r="D57" s="10">
        <f>IF($C57="","",IF(COUNTIF(lst_Jobs,$C57&amp;"")&gt;0,"OK","CHECK"))</f>
        <v/>
      </c>
      <c r="E57" s="10">
        <f>IF($C57="","",IFERROR(INDEX(lst_JobName,MATCH($C57&amp;"",lst_Jobs,0)),""))</f>
        <v/>
      </c>
      <c r="F57" s="37" t="n"/>
      <c r="G57" s="37" t="n"/>
      <c r="H57" s="37" t="n"/>
      <c r="I57" s="37" t="n"/>
      <c r="J57" s="37" t="n"/>
      <c r="K57" s="38">
        <f>IF($C57="","",IFERROR(N(INDEX(tbl_Finance[Invoice Count],MATCH($X57,tbl_Finance[Row ID],0))),""))</f>
        <v/>
      </c>
      <c r="L57" s="11">
        <f>IF($C57="","",IFERROR(N(INDEX(tbl_Finance[Xero Invoiced Ex GST],MATCH($X57,tbl_Finance[Row ID],0))),""))</f>
        <v/>
      </c>
      <c r="M57" s="10">
        <f>IF($C57="","",IFERROR(INDEX(tbl_Finance[Compare],MATCH($X57,tbl_Finance[Row ID],0))&amp;"",""))</f>
        <v/>
      </c>
      <c r="N57" s="11">
        <f>IF($C57="","",MAX(0,N(O57)-N(L57)))</f>
        <v/>
      </c>
      <c r="O57" s="39" t="n"/>
      <c r="P57" s="40">
        <f>IF($C57="","",IF((IF(F57="",", Client","")&amp;IF(G57="",", Description","")&amp;IF(H57="",", Cost Centre","")&amp;IF(I57="",", Invoice Type","")&amp;IF(J57="",", Tax Code","")&amp;IF(O57="",", Expected Revenue","")&amp;IF(COUNTIF(tbl_Finance[Job Number],$C57&amp;"")&gt;1,", Job number used twice",""))="","Complete","Fix: "&amp;MID(IF(F57="",", Client","")&amp;IF(G57="",", Description","")&amp;IF(H57="",", Cost Centre","")&amp;IF(I57="",", Invoice Type","")&amp;IF(J57="",", Tax Code","")&amp;IF(O57="",", Expected Revenue","")&amp;IF(COUNTIF(tbl_Finance[Job Number],$C57&amp;"")&gt;1,", Job number used twice",""),3,300)))</f>
        <v/>
      </c>
      <c r="Q57" s="10">
        <f>IF($C57="","",IF(H57="","(no cost centre)",H57&amp;" - GL "&amp;IFERROR(INDEX(lst_CCtoGL,MATCH(H57,lst_CCforGL,0)),"?")))</f>
        <v/>
      </c>
      <c r="R57" s="37" t="n"/>
      <c r="S57" s="37" t="n"/>
      <c r="T57" s="10">
        <f>IF(S57="","",HYPERLINK(IF(LEFT(S57,4)="http",S57,set_QwilrBase&amp;S57),"Open quote"))</f>
        <v/>
      </c>
      <c r="U57" s="41" t="n"/>
      <c r="V57" s="37" t="n"/>
      <c r="W57" s="37" t="n"/>
      <c r="X57" s="10" t="inlineStr">
        <is>
          <t>ONS-0053</t>
        </is>
      </c>
    </row>
    <row r="58">
      <c r="A58" s="16">
        <f>IF($C58="","",IFERROR(IF(INDEX(tbl_Finance[Latest Invoice Date],MATCH($X58,tbl_Finance[Row ID],0))="","",INDEX(tbl_Finance[Latest Invoice Date],MATCH($X58,tbl_Finance[Row ID],0))),""))</f>
        <v/>
      </c>
      <c r="B58" s="10">
        <f>IF($C58="","",IFERROR(INDEX(tbl_Finance[Invoice Numbers],MATCH($X58,tbl_Finance[Row ID],0))&amp;"",""))</f>
        <v/>
      </c>
      <c r="C58" s="37" t="n"/>
      <c r="D58" s="10">
        <f>IF($C58="","",IF(COUNTIF(lst_Jobs,$C58&amp;"")&gt;0,"OK","CHECK"))</f>
        <v/>
      </c>
      <c r="E58" s="10">
        <f>IF($C58="","",IFERROR(INDEX(lst_JobName,MATCH($C58&amp;"",lst_Jobs,0)),""))</f>
        <v/>
      </c>
      <c r="F58" s="37" t="n"/>
      <c r="G58" s="37" t="n"/>
      <c r="H58" s="37" t="n"/>
      <c r="I58" s="37" t="n"/>
      <c r="J58" s="37" t="n"/>
      <c r="K58" s="38">
        <f>IF($C58="","",IFERROR(N(INDEX(tbl_Finance[Invoice Count],MATCH($X58,tbl_Finance[Row ID],0))),""))</f>
        <v/>
      </c>
      <c r="L58" s="11">
        <f>IF($C58="","",IFERROR(N(INDEX(tbl_Finance[Xero Invoiced Ex GST],MATCH($X58,tbl_Finance[Row ID],0))),""))</f>
        <v/>
      </c>
      <c r="M58" s="10">
        <f>IF($C58="","",IFERROR(INDEX(tbl_Finance[Compare],MATCH($X58,tbl_Finance[Row ID],0))&amp;"",""))</f>
        <v/>
      </c>
      <c r="N58" s="11">
        <f>IF($C58="","",MAX(0,N(O58)-N(L58)))</f>
        <v/>
      </c>
      <c r="O58" s="39" t="n"/>
      <c r="P58" s="40">
        <f>IF($C58="","",IF((IF(F58="",", Client","")&amp;IF(G58="",", Description","")&amp;IF(H58="",", Cost Centre","")&amp;IF(I58="",", Invoice Type","")&amp;IF(J58="",", Tax Code","")&amp;IF(O58="",", Expected Revenue","")&amp;IF(COUNTIF(tbl_Finance[Job Number],$C58&amp;"")&gt;1,", Job number used twice",""))="","Complete","Fix: "&amp;MID(IF(F58="",", Client","")&amp;IF(G58="",", Description","")&amp;IF(H58="",", Cost Centre","")&amp;IF(I58="",", Invoice Type","")&amp;IF(J58="",", Tax Code","")&amp;IF(O58="",", Expected Revenue","")&amp;IF(COUNTIF(tbl_Finance[Job Number],$C58&amp;"")&gt;1,", Job number used twice",""),3,300)))</f>
        <v/>
      </c>
      <c r="Q58" s="10">
        <f>IF($C58="","",IF(H58="","(no cost centre)",H58&amp;" - GL "&amp;IFERROR(INDEX(lst_CCtoGL,MATCH(H58,lst_CCforGL,0)),"?")))</f>
        <v/>
      </c>
      <c r="R58" s="37" t="n"/>
      <c r="S58" s="37" t="n"/>
      <c r="T58" s="10">
        <f>IF(S58="","",HYPERLINK(IF(LEFT(S58,4)="http",S58,set_QwilrBase&amp;S58),"Open quote"))</f>
        <v/>
      </c>
      <c r="U58" s="41" t="n"/>
      <c r="V58" s="37" t="n"/>
      <c r="W58" s="37" t="n"/>
      <c r="X58" s="10" t="inlineStr">
        <is>
          <t>ONS-0054</t>
        </is>
      </c>
    </row>
    <row r="59">
      <c r="A59" s="16">
        <f>IF($C59="","",IFERROR(IF(INDEX(tbl_Finance[Latest Invoice Date],MATCH($X59,tbl_Finance[Row ID],0))="","",INDEX(tbl_Finance[Latest Invoice Date],MATCH($X59,tbl_Finance[Row ID],0))),""))</f>
        <v/>
      </c>
      <c r="B59" s="10">
        <f>IF($C59="","",IFERROR(INDEX(tbl_Finance[Invoice Numbers],MATCH($X59,tbl_Finance[Row ID],0))&amp;"",""))</f>
        <v/>
      </c>
      <c r="C59" s="37" t="n"/>
      <c r="D59" s="10">
        <f>IF($C59="","",IF(COUNTIF(lst_Jobs,$C59&amp;"")&gt;0,"OK","CHECK"))</f>
        <v/>
      </c>
      <c r="E59" s="10">
        <f>IF($C59="","",IFERROR(INDEX(lst_JobName,MATCH($C59&amp;"",lst_Jobs,0)),""))</f>
        <v/>
      </c>
      <c r="F59" s="37" t="n"/>
      <c r="G59" s="37" t="n"/>
      <c r="H59" s="37" t="n"/>
      <c r="I59" s="37" t="n"/>
      <c r="J59" s="37" t="n"/>
      <c r="K59" s="38">
        <f>IF($C59="","",IFERROR(N(INDEX(tbl_Finance[Invoice Count],MATCH($X59,tbl_Finance[Row ID],0))),""))</f>
        <v/>
      </c>
      <c r="L59" s="11">
        <f>IF($C59="","",IFERROR(N(INDEX(tbl_Finance[Xero Invoiced Ex GST],MATCH($X59,tbl_Finance[Row ID],0))),""))</f>
        <v/>
      </c>
      <c r="M59" s="10">
        <f>IF($C59="","",IFERROR(INDEX(tbl_Finance[Compare],MATCH($X59,tbl_Finance[Row ID],0))&amp;"",""))</f>
        <v/>
      </c>
      <c r="N59" s="11">
        <f>IF($C59="","",MAX(0,N(O59)-N(L59)))</f>
        <v/>
      </c>
      <c r="O59" s="39" t="n"/>
      <c r="P59" s="40">
        <f>IF($C59="","",IF((IF(F59="",", Client","")&amp;IF(G59="",", Description","")&amp;IF(H59="",", Cost Centre","")&amp;IF(I59="",", Invoice Type","")&amp;IF(J59="",", Tax Code","")&amp;IF(O59="",", Expected Revenue","")&amp;IF(COUNTIF(tbl_Finance[Job Number],$C59&amp;"")&gt;1,", Job number used twice",""))="","Complete","Fix: "&amp;MID(IF(F59="",", Client","")&amp;IF(G59="",", Description","")&amp;IF(H59="",", Cost Centre","")&amp;IF(I59="",", Invoice Type","")&amp;IF(J59="",", Tax Code","")&amp;IF(O59="",", Expected Revenue","")&amp;IF(COUNTIF(tbl_Finance[Job Number],$C59&amp;"")&gt;1,", Job number used twice",""),3,300)))</f>
        <v/>
      </c>
      <c r="Q59" s="10">
        <f>IF($C59="","",IF(H59="","(no cost centre)",H59&amp;" - GL "&amp;IFERROR(INDEX(lst_CCtoGL,MATCH(H59,lst_CCforGL,0)),"?")))</f>
        <v/>
      </c>
      <c r="R59" s="37" t="n"/>
      <c r="S59" s="37" t="n"/>
      <c r="T59" s="10">
        <f>IF(S59="","",HYPERLINK(IF(LEFT(S59,4)="http",S59,set_QwilrBase&amp;S59),"Open quote"))</f>
        <v/>
      </c>
      <c r="U59" s="41" t="n"/>
      <c r="V59" s="37" t="n"/>
      <c r="W59" s="37" t="n"/>
      <c r="X59" s="10" t="inlineStr">
        <is>
          <t>ONS-0055</t>
        </is>
      </c>
    </row>
    <row r="60">
      <c r="A60" s="16">
        <f>IF($C60="","",IFERROR(IF(INDEX(tbl_Finance[Latest Invoice Date],MATCH($X60,tbl_Finance[Row ID],0))="","",INDEX(tbl_Finance[Latest Invoice Date],MATCH($X60,tbl_Finance[Row ID],0))),""))</f>
        <v/>
      </c>
      <c r="B60" s="10">
        <f>IF($C60="","",IFERROR(INDEX(tbl_Finance[Invoice Numbers],MATCH($X60,tbl_Finance[Row ID],0))&amp;"",""))</f>
        <v/>
      </c>
      <c r="C60" s="37" t="n"/>
      <c r="D60" s="10">
        <f>IF($C60="","",IF(COUNTIF(lst_Jobs,$C60&amp;"")&gt;0,"OK","CHECK"))</f>
        <v/>
      </c>
      <c r="E60" s="10">
        <f>IF($C60="","",IFERROR(INDEX(lst_JobName,MATCH($C60&amp;"",lst_Jobs,0)),""))</f>
        <v/>
      </c>
      <c r="F60" s="37" t="n"/>
      <c r="G60" s="37" t="n"/>
      <c r="H60" s="37" t="n"/>
      <c r="I60" s="37" t="n"/>
      <c r="J60" s="37" t="n"/>
      <c r="K60" s="38">
        <f>IF($C60="","",IFERROR(N(INDEX(tbl_Finance[Invoice Count],MATCH($X60,tbl_Finance[Row ID],0))),""))</f>
        <v/>
      </c>
      <c r="L60" s="11">
        <f>IF($C60="","",IFERROR(N(INDEX(tbl_Finance[Xero Invoiced Ex GST],MATCH($X60,tbl_Finance[Row ID],0))),""))</f>
        <v/>
      </c>
      <c r="M60" s="10">
        <f>IF($C60="","",IFERROR(INDEX(tbl_Finance[Compare],MATCH($X60,tbl_Finance[Row ID],0))&amp;"",""))</f>
        <v/>
      </c>
      <c r="N60" s="11">
        <f>IF($C60="","",MAX(0,N(O60)-N(L60)))</f>
        <v/>
      </c>
      <c r="O60" s="39" t="n"/>
      <c r="P60" s="40">
        <f>IF($C60="","",IF((IF(F60="",", Client","")&amp;IF(G60="",", Description","")&amp;IF(H60="",", Cost Centre","")&amp;IF(I60="",", Invoice Type","")&amp;IF(J60="",", Tax Code","")&amp;IF(O60="",", Expected Revenue","")&amp;IF(COUNTIF(tbl_Finance[Job Number],$C60&amp;"")&gt;1,", Job number used twice",""))="","Complete","Fix: "&amp;MID(IF(F60="",", Client","")&amp;IF(G60="",", Description","")&amp;IF(H60="",", Cost Centre","")&amp;IF(I60="",", Invoice Type","")&amp;IF(J60="",", Tax Code","")&amp;IF(O60="",", Expected Revenue","")&amp;IF(COUNTIF(tbl_Finance[Job Number],$C60&amp;"")&gt;1,", Job number used twice",""),3,300)))</f>
        <v/>
      </c>
      <c r="Q60" s="10">
        <f>IF($C60="","",IF(H60="","(no cost centre)",H60&amp;" - GL "&amp;IFERROR(INDEX(lst_CCtoGL,MATCH(H60,lst_CCforGL,0)),"?")))</f>
        <v/>
      </c>
      <c r="R60" s="37" t="n"/>
      <c r="S60" s="37" t="n"/>
      <c r="T60" s="10">
        <f>IF(S60="","",HYPERLINK(IF(LEFT(S60,4)="http",S60,set_QwilrBase&amp;S60),"Open quote"))</f>
        <v/>
      </c>
      <c r="U60" s="41" t="n"/>
      <c r="V60" s="37" t="n"/>
      <c r="W60" s="37" t="n"/>
      <c r="X60" s="10" t="inlineStr">
        <is>
          <t>ONS-0056</t>
        </is>
      </c>
    </row>
    <row r="61">
      <c r="A61" s="16">
        <f>IF($C61="","",IFERROR(IF(INDEX(tbl_Finance[Latest Invoice Date],MATCH($X61,tbl_Finance[Row ID],0))="","",INDEX(tbl_Finance[Latest Invoice Date],MATCH($X61,tbl_Finance[Row ID],0))),""))</f>
        <v/>
      </c>
      <c r="B61" s="10">
        <f>IF($C61="","",IFERROR(INDEX(tbl_Finance[Invoice Numbers],MATCH($X61,tbl_Finance[Row ID],0))&amp;"",""))</f>
        <v/>
      </c>
      <c r="C61" s="37" t="n"/>
      <c r="D61" s="10">
        <f>IF($C61="","",IF(COUNTIF(lst_Jobs,$C61&amp;"")&gt;0,"OK","CHECK"))</f>
        <v/>
      </c>
      <c r="E61" s="10">
        <f>IF($C61="","",IFERROR(INDEX(lst_JobName,MATCH($C61&amp;"",lst_Jobs,0)),""))</f>
        <v/>
      </c>
      <c r="F61" s="37" t="n"/>
      <c r="G61" s="37" t="n"/>
      <c r="H61" s="37" t="n"/>
      <c r="I61" s="37" t="n"/>
      <c r="J61" s="37" t="n"/>
      <c r="K61" s="38">
        <f>IF($C61="","",IFERROR(N(INDEX(tbl_Finance[Invoice Count],MATCH($X61,tbl_Finance[Row ID],0))),""))</f>
        <v/>
      </c>
      <c r="L61" s="11">
        <f>IF($C61="","",IFERROR(N(INDEX(tbl_Finance[Xero Invoiced Ex GST],MATCH($X61,tbl_Finance[Row ID],0))),""))</f>
        <v/>
      </c>
      <c r="M61" s="10">
        <f>IF($C61="","",IFERROR(INDEX(tbl_Finance[Compare],MATCH($X61,tbl_Finance[Row ID],0))&amp;"",""))</f>
        <v/>
      </c>
      <c r="N61" s="11">
        <f>IF($C61="","",MAX(0,N(O61)-N(L61)))</f>
        <v/>
      </c>
      <c r="O61" s="39" t="n"/>
      <c r="P61" s="40">
        <f>IF($C61="","",IF((IF(F61="",", Client","")&amp;IF(G61="",", Description","")&amp;IF(H61="",", Cost Centre","")&amp;IF(I61="",", Invoice Type","")&amp;IF(J61="",", Tax Code","")&amp;IF(O61="",", Expected Revenue","")&amp;IF(COUNTIF(tbl_Finance[Job Number],$C61&amp;"")&gt;1,", Job number used twice",""))="","Complete","Fix: "&amp;MID(IF(F61="",", Client","")&amp;IF(G61="",", Description","")&amp;IF(H61="",", Cost Centre","")&amp;IF(I61="",", Invoice Type","")&amp;IF(J61="",", Tax Code","")&amp;IF(O61="",", Expected Revenue","")&amp;IF(COUNTIF(tbl_Finance[Job Number],$C61&amp;"")&gt;1,", Job number used twice",""),3,300)))</f>
        <v/>
      </c>
      <c r="Q61" s="10">
        <f>IF($C61="","",IF(H61="","(no cost centre)",H61&amp;" - GL "&amp;IFERROR(INDEX(lst_CCtoGL,MATCH(H61,lst_CCforGL,0)),"?")))</f>
        <v/>
      </c>
      <c r="R61" s="37" t="n"/>
      <c r="S61" s="37" t="n"/>
      <c r="T61" s="10">
        <f>IF(S61="","",HYPERLINK(IF(LEFT(S61,4)="http",S61,set_QwilrBase&amp;S61),"Open quote"))</f>
        <v/>
      </c>
      <c r="U61" s="41" t="n"/>
      <c r="V61" s="37" t="n"/>
      <c r="W61" s="37" t="n"/>
      <c r="X61" s="10" t="inlineStr">
        <is>
          <t>ONS-0057</t>
        </is>
      </c>
    </row>
    <row r="62">
      <c r="A62" s="16">
        <f>IF($C62="","",IFERROR(IF(INDEX(tbl_Finance[Latest Invoice Date],MATCH($X62,tbl_Finance[Row ID],0))="","",INDEX(tbl_Finance[Latest Invoice Date],MATCH($X62,tbl_Finance[Row ID],0))),""))</f>
        <v/>
      </c>
      <c r="B62" s="10">
        <f>IF($C62="","",IFERROR(INDEX(tbl_Finance[Invoice Numbers],MATCH($X62,tbl_Finance[Row ID],0))&amp;"",""))</f>
        <v/>
      </c>
      <c r="C62" s="37" t="n"/>
      <c r="D62" s="10">
        <f>IF($C62="","",IF(COUNTIF(lst_Jobs,$C62&amp;"")&gt;0,"OK","CHECK"))</f>
        <v/>
      </c>
      <c r="E62" s="10">
        <f>IF($C62="","",IFERROR(INDEX(lst_JobName,MATCH($C62&amp;"",lst_Jobs,0)),""))</f>
        <v/>
      </c>
      <c r="F62" s="37" t="n"/>
      <c r="G62" s="37" t="n"/>
      <c r="H62" s="37" t="n"/>
      <c r="I62" s="37" t="n"/>
      <c r="J62" s="37" t="n"/>
      <c r="K62" s="38">
        <f>IF($C62="","",IFERROR(N(INDEX(tbl_Finance[Invoice Count],MATCH($X62,tbl_Finance[Row ID],0))),""))</f>
        <v/>
      </c>
      <c r="L62" s="11">
        <f>IF($C62="","",IFERROR(N(INDEX(tbl_Finance[Xero Invoiced Ex GST],MATCH($X62,tbl_Finance[Row ID],0))),""))</f>
        <v/>
      </c>
      <c r="M62" s="10">
        <f>IF($C62="","",IFERROR(INDEX(tbl_Finance[Compare],MATCH($X62,tbl_Finance[Row ID],0))&amp;"",""))</f>
        <v/>
      </c>
      <c r="N62" s="11">
        <f>IF($C62="","",MAX(0,N(O62)-N(L62)))</f>
        <v/>
      </c>
      <c r="O62" s="39" t="n"/>
      <c r="P62" s="40">
        <f>IF($C62="","",IF((IF(F62="",", Client","")&amp;IF(G62="",", Description","")&amp;IF(H62="",", Cost Centre","")&amp;IF(I62="",", Invoice Type","")&amp;IF(J62="",", Tax Code","")&amp;IF(O62="",", Expected Revenue","")&amp;IF(COUNTIF(tbl_Finance[Job Number],$C62&amp;"")&gt;1,", Job number used twice",""))="","Complete","Fix: "&amp;MID(IF(F62="",", Client","")&amp;IF(G62="",", Description","")&amp;IF(H62="",", Cost Centre","")&amp;IF(I62="",", Invoice Type","")&amp;IF(J62="",", Tax Code","")&amp;IF(O62="",", Expected Revenue","")&amp;IF(COUNTIF(tbl_Finance[Job Number],$C62&amp;"")&gt;1,", Job number used twice",""),3,300)))</f>
        <v/>
      </c>
      <c r="Q62" s="10">
        <f>IF($C62="","",IF(H62="","(no cost centre)",H62&amp;" - GL "&amp;IFERROR(INDEX(lst_CCtoGL,MATCH(H62,lst_CCforGL,0)),"?")))</f>
        <v/>
      </c>
      <c r="R62" s="37" t="n"/>
      <c r="S62" s="37" t="n"/>
      <c r="T62" s="10">
        <f>IF(S62="","",HYPERLINK(IF(LEFT(S62,4)="http",S62,set_QwilrBase&amp;S62),"Open quote"))</f>
        <v/>
      </c>
      <c r="U62" s="41" t="n"/>
      <c r="V62" s="37" t="n"/>
      <c r="W62" s="37" t="n"/>
      <c r="X62" s="10" t="inlineStr">
        <is>
          <t>ONS-0058</t>
        </is>
      </c>
    </row>
    <row r="63">
      <c r="A63" s="16">
        <f>IF($C63="","",IFERROR(IF(INDEX(tbl_Finance[Latest Invoice Date],MATCH($X63,tbl_Finance[Row ID],0))="","",INDEX(tbl_Finance[Latest Invoice Date],MATCH($X63,tbl_Finance[Row ID],0))),""))</f>
        <v/>
      </c>
      <c r="B63" s="10">
        <f>IF($C63="","",IFERROR(INDEX(tbl_Finance[Invoice Numbers],MATCH($X63,tbl_Finance[Row ID],0))&amp;"",""))</f>
        <v/>
      </c>
      <c r="C63" s="37" t="n"/>
      <c r="D63" s="10">
        <f>IF($C63="","",IF(COUNTIF(lst_Jobs,$C63&amp;"")&gt;0,"OK","CHECK"))</f>
        <v/>
      </c>
      <c r="E63" s="10">
        <f>IF($C63="","",IFERROR(INDEX(lst_JobName,MATCH($C63&amp;"",lst_Jobs,0)),""))</f>
        <v/>
      </c>
      <c r="F63" s="37" t="n"/>
      <c r="G63" s="37" t="n"/>
      <c r="H63" s="37" t="n"/>
      <c r="I63" s="37" t="n"/>
      <c r="J63" s="37" t="n"/>
      <c r="K63" s="38">
        <f>IF($C63="","",IFERROR(N(INDEX(tbl_Finance[Invoice Count],MATCH($X63,tbl_Finance[Row ID],0))),""))</f>
        <v/>
      </c>
      <c r="L63" s="11">
        <f>IF($C63="","",IFERROR(N(INDEX(tbl_Finance[Xero Invoiced Ex GST],MATCH($X63,tbl_Finance[Row ID],0))),""))</f>
        <v/>
      </c>
      <c r="M63" s="10">
        <f>IF($C63="","",IFERROR(INDEX(tbl_Finance[Compare],MATCH($X63,tbl_Finance[Row ID],0))&amp;"",""))</f>
        <v/>
      </c>
      <c r="N63" s="11">
        <f>IF($C63="","",MAX(0,N(O63)-N(L63)))</f>
        <v/>
      </c>
      <c r="O63" s="39" t="n"/>
      <c r="P63" s="40">
        <f>IF($C63="","",IF((IF(F63="",", Client","")&amp;IF(G63="",", Description","")&amp;IF(H63="",", Cost Centre","")&amp;IF(I63="",", Invoice Type","")&amp;IF(J63="",", Tax Code","")&amp;IF(O63="",", Expected Revenue","")&amp;IF(COUNTIF(tbl_Finance[Job Number],$C63&amp;"")&gt;1,", Job number used twice",""))="","Complete","Fix: "&amp;MID(IF(F63="",", Client","")&amp;IF(G63="",", Description","")&amp;IF(H63="",", Cost Centre","")&amp;IF(I63="",", Invoice Type","")&amp;IF(J63="",", Tax Code","")&amp;IF(O63="",", Expected Revenue","")&amp;IF(COUNTIF(tbl_Finance[Job Number],$C63&amp;"")&gt;1,", Job number used twice",""),3,300)))</f>
        <v/>
      </c>
      <c r="Q63" s="10">
        <f>IF($C63="","",IF(H63="","(no cost centre)",H63&amp;" - GL "&amp;IFERROR(INDEX(lst_CCtoGL,MATCH(H63,lst_CCforGL,0)),"?")))</f>
        <v/>
      </c>
      <c r="R63" s="37" t="n"/>
      <c r="S63" s="37" t="n"/>
      <c r="T63" s="10">
        <f>IF(S63="","",HYPERLINK(IF(LEFT(S63,4)="http",S63,set_QwilrBase&amp;S63),"Open quote"))</f>
        <v/>
      </c>
      <c r="U63" s="41" t="n"/>
      <c r="V63" s="37" t="n"/>
      <c r="W63" s="37" t="n"/>
      <c r="X63" s="10" t="inlineStr">
        <is>
          <t>ONS-0059</t>
        </is>
      </c>
    </row>
    <row r="64">
      <c r="A64" s="16">
        <f>IF($C64="","",IFERROR(IF(INDEX(tbl_Finance[Latest Invoice Date],MATCH($X64,tbl_Finance[Row ID],0))="","",INDEX(tbl_Finance[Latest Invoice Date],MATCH($X64,tbl_Finance[Row ID],0))),""))</f>
        <v/>
      </c>
      <c r="B64" s="10">
        <f>IF($C64="","",IFERROR(INDEX(tbl_Finance[Invoice Numbers],MATCH($X64,tbl_Finance[Row ID],0))&amp;"",""))</f>
        <v/>
      </c>
      <c r="C64" s="37" t="n"/>
      <c r="D64" s="10">
        <f>IF($C64="","",IF(COUNTIF(lst_Jobs,$C64&amp;"")&gt;0,"OK","CHECK"))</f>
        <v/>
      </c>
      <c r="E64" s="10">
        <f>IF($C64="","",IFERROR(INDEX(lst_JobName,MATCH($C64&amp;"",lst_Jobs,0)),""))</f>
        <v/>
      </c>
      <c r="F64" s="37" t="n"/>
      <c r="G64" s="37" t="n"/>
      <c r="H64" s="37" t="n"/>
      <c r="I64" s="37" t="n"/>
      <c r="J64" s="37" t="n"/>
      <c r="K64" s="38">
        <f>IF($C64="","",IFERROR(N(INDEX(tbl_Finance[Invoice Count],MATCH($X64,tbl_Finance[Row ID],0))),""))</f>
        <v/>
      </c>
      <c r="L64" s="11">
        <f>IF($C64="","",IFERROR(N(INDEX(tbl_Finance[Xero Invoiced Ex GST],MATCH($X64,tbl_Finance[Row ID],0))),""))</f>
        <v/>
      </c>
      <c r="M64" s="10">
        <f>IF($C64="","",IFERROR(INDEX(tbl_Finance[Compare],MATCH($X64,tbl_Finance[Row ID],0))&amp;"",""))</f>
        <v/>
      </c>
      <c r="N64" s="11">
        <f>IF($C64="","",MAX(0,N(O64)-N(L64)))</f>
        <v/>
      </c>
      <c r="O64" s="39" t="n"/>
      <c r="P64" s="40">
        <f>IF($C64="","",IF((IF(F64="",", Client","")&amp;IF(G64="",", Description","")&amp;IF(H64="",", Cost Centre","")&amp;IF(I64="",", Invoice Type","")&amp;IF(J64="",", Tax Code","")&amp;IF(O64="",", Expected Revenue","")&amp;IF(COUNTIF(tbl_Finance[Job Number],$C64&amp;"")&gt;1,", Job number used twice",""))="","Complete","Fix: "&amp;MID(IF(F64="",", Client","")&amp;IF(G64="",", Description","")&amp;IF(H64="",", Cost Centre","")&amp;IF(I64="",", Invoice Type","")&amp;IF(J64="",", Tax Code","")&amp;IF(O64="",", Expected Revenue","")&amp;IF(COUNTIF(tbl_Finance[Job Number],$C64&amp;"")&gt;1,", Job number used twice",""),3,300)))</f>
        <v/>
      </c>
      <c r="Q64" s="10">
        <f>IF($C64="","",IF(H64="","(no cost centre)",H64&amp;" - GL "&amp;IFERROR(INDEX(lst_CCtoGL,MATCH(H64,lst_CCforGL,0)),"?")))</f>
        <v/>
      </c>
      <c r="R64" s="37" t="n"/>
      <c r="S64" s="37" t="n"/>
      <c r="T64" s="10">
        <f>IF(S64="","",HYPERLINK(IF(LEFT(S64,4)="http",S64,set_QwilrBase&amp;S64),"Open quote"))</f>
        <v/>
      </c>
      <c r="U64" s="41" t="n"/>
      <c r="V64" s="37" t="n"/>
      <c r="W64" s="37" t="n"/>
      <c r="X64" s="10" t="inlineStr">
        <is>
          <t>ONS-0060</t>
        </is>
      </c>
    </row>
    <row r="65">
      <c r="A65" s="16">
        <f>IF($C65="","",IFERROR(IF(INDEX(tbl_Finance[Latest Invoice Date],MATCH($X65,tbl_Finance[Row ID],0))="","",INDEX(tbl_Finance[Latest Invoice Date],MATCH($X65,tbl_Finance[Row ID],0))),""))</f>
        <v/>
      </c>
      <c r="B65" s="10">
        <f>IF($C65="","",IFERROR(INDEX(tbl_Finance[Invoice Numbers],MATCH($X65,tbl_Finance[Row ID],0))&amp;"",""))</f>
        <v/>
      </c>
      <c r="C65" s="37" t="n"/>
      <c r="D65" s="10">
        <f>IF($C65="","",IF(COUNTIF(lst_Jobs,$C65&amp;"")&gt;0,"OK","CHECK"))</f>
        <v/>
      </c>
      <c r="E65" s="10">
        <f>IF($C65="","",IFERROR(INDEX(lst_JobName,MATCH($C65&amp;"",lst_Jobs,0)),""))</f>
        <v/>
      </c>
      <c r="F65" s="37" t="n"/>
      <c r="G65" s="37" t="n"/>
      <c r="H65" s="37" t="n"/>
      <c r="I65" s="37" t="n"/>
      <c r="J65" s="37" t="n"/>
      <c r="K65" s="38">
        <f>IF($C65="","",IFERROR(N(INDEX(tbl_Finance[Invoice Count],MATCH($X65,tbl_Finance[Row ID],0))),""))</f>
        <v/>
      </c>
      <c r="L65" s="11">
        <f>IF($C65="","",IFERROR(N(INDEX(tbl_Finance[Xero Invoiced Ex GST],MATCH($X65,tbl_Finance[Row ID],0))),""))</f>
        <v/>
      </c>
      <c r="M65" s="10">
        <f>IF($C65="","",IFERROR(INDEX(tbl_Finance[Compare],MATCH($X65,tbl_Finance[Row ID],0))&amp;"",""))</f>
        <v/>
      </c>
      <c r="N65" s="11">
        <f>IF($C65="","",MAX(0,N(O65)-N(L65)))</f>
        <v/>
      </c>
      <c r="O65" s="39" t="n"/>
      <c r="P65" s="40">
        <f>IF($C65="","",IF((IF(F65="",", Client","")&amp;IF(G65="",", Description","")&amp;IF(H65="",", Cost Centre","")&amp;IF(I65="",", Invoice Type","")&amp;IF(J65="",", Tax Code","")&amp;IF(O65="",", Expected Revenue","")&amp;IF(COUNTIF(tbl_Finance[Job Number],$C65&amp;"")&gt;1,", Job number used twice",""))="","Complete","Fix: "&amp;MID(IF(F65="",", Client","")&amp;IF(G65="",", Description","")&amp;IF(H65="",", Cost Centre","")&amp;IF(I65="",", Invoice Type","")&amp;IF(J65="",", Tax Code","")&amp;IF(O65="",", Expected Revenue","")&amp;IF(COUNTIF(tbl_Finance[Job Number],$C65&amp;"")&gt;1,", Job number used twice",""),3,300)))</f>
        <v/>
      </c>
      <c r="Q65" s="10">
        <f>IF($C65="","",IF(H65="","(no cost centre)",H65&amp;" - GL "&amp;IFERROR(INDEX(lst_CCtoGL,MATCH(H65,lst_CCforGL,0)),"?")))</f>
        <v/>
      </c>
      <c r="R65" s="37" t="n"/>
      <c r="S65" s="37" t="n"/>
      <c r="T65" s="10">
        <f>IF(S65="","",HYPERLINK(IF(LEFT(S65,4)="http",S65,set_QwilrBase&amp;S65),"Open quote"))</f>
        <v/>
      </c>
      <c r="U65" s="41" t="n"/>
      <c r="V65" s="37" t="n"/>
      <c r="W65" s="37" t="n"/>
      <c r="X65" s="10" t="inlineStr">
        <is>
          <t>ONS-0061</t>
        </is>
      </c>
    </row>
    <row r="66">
      <c r="A66" s="16">
        <f>IF($C66="","",IFERROR(IF(INDEX(tbl_Finance[Latest Invoice Date],MATCH($X66,tbl_Finance[Row ID],0))="","",INDEX(tbl_Finance[Latest Invoice Date],MATCH($X66,tbl_Finance[Row ID],0))),""))</f>
        <v/>
      </c>
      <c r="B66" s="10">
        <f>IF($C66="","",IFERROR(INDEX(tbl_Finance[Invoice Numbers],MATCH($X66,tbl_Finance[Row ID],0))&amp;"",""))</f>
        <v/>
      </c>
      <c r="C66" s="37" t="n"/>
      <c r="D66" s="10">
        <f>IF($C66="","",IF(COUNTIF(lst_Jobs,$C66&amp;"")&gt;0,"OK","CHECK"))</f>
        <v/>
      </c>
      <c r="E66" s="10">
        <f>IF($C66="","",IFERROR(INDEX(lst_JobName,MATCH($C66&amp;"",lst_Jobs,0)),""))</f>
        <v/>
      </c>
      <c r="F66" s="37" t="n"/>
      <c r="G66" s="37" t="n"/>
      <c r="H66" s="37" t="n"/>
      <c r="I66" s="37" t="n"/>
      <c r="J66" s="37" t="n"/>
      <c r="K66" s="38">
        <f>IF($C66="","",IFERROR(N(INDEX(tbl_Finance[Invoice Count],MATCH($X66,tbl_Finance[Row ID],0))),""))</f>
        <v/>
      </c>
      <c r="L66" s="11">
        <f>IF($C66="","",IFERROR(N(INDEX(tbl_Finance[Xero Invoiced Ex GST],MATCH($X66,tbl_Finance[Row ID],0))),""))</f>
        <v/>
      </c>
      <c r="M66" s="10">
        <f>IF($C66="","",IFERROR(INDEX(tbl_Finance[Compare],MATCH($X66,tbl_Finance[Row ID],0))&amp;"",""))</f>
        <v/>
      </c>
      <c r="N66" s="11">
        <f>IF($C66="","",MAX(0,N(O66)-N(L66)))</f>
        <v/>
      </c>
      <c r="O66" s="39" t="n"/>
      <c r="P66" s="40">
        <f>IF($C66="","",IF((IF(F66="",", Client","")&amp;IF(G66="",", Description","")&amp;IF(H66="",", Cost Centre","")&amp;IF(I66="",", Invoice Type","")&amp;IF(J66="",", Tax Code","")&amp;IF(O66="",", Expected Revenue","")&amp;IF(COUNTIF(tbl_Finance[Job Number],$C66&amp;"")&gt;1,", Job number used twice",""))="","Complete","Fix: "&amp;MID(IF(F66="",", Client","")&amp;IF(G66="",", Description","")&amp;IF(H66="",", Cost Centre","")&amp;IF(I66="",", Invoice Type","")&amp;IF(J66="",", Tax Code","")&amp;IF(O66="",", Expected Revenue","")&amp;IF(COUNTIF(tbl_Finance[Job Number],$C66&amp;"")&gt;1,", Job number used twice",""),3,300)))</f>
        <v/>
      </c>
      <c r="Q66" s="10">
        <f>IF($C66="","",IF(H66="","(no cost centre)",H66&amp;" - GL "&amp;IFERROR(INDEX(lst_CCtoGL,MATCH(H66,lst_CCforGL,0)),"?")))</f>
        <v/>
      </c>
      <c r="R66" s="37" t="n"/>
      <c r="S66" s="37" t="n"/>
      <c r="T66" s="10">
        <f>IF(S66="","",HYPERLINK(IF(LEFT(S66,4)="http",S66,set_QwilrBase&amp;S66),"Open quote"))</f>
        <v/>
      </c>
      <c r="U66" s="41" t="n"/>
      <c r="V66" s="37" t="n"/>
      <c r="W66" s="37" t="n"/>
      <c r="X66" s="10" t="inlineStr">
        <is>
          <t>ONS-0062</t>
        </is>
      </c>
    </row>
    <row r="67">
      <c r="A67" s="16">
        <f>IF($C67="","",IFERROR(IF(INDEX(tbl_Finance[Latest Invoice Date],MATCH($X67,tbl_Finance[Row ID],0))="","",INDEX(tbl_Finance[Latest Invoice Date],MATCH($X67,tbl_Finance[Row ID],0))),""))</f>
        <v/>
      </c>
      <c r="B67" s="10">
        <f>IF($C67="","",IFERROR(INDEX(tbl_Finance[Invoice Numbers],MATCH($X67,tbl_Finance[Row ID],0))&amp;"",""))</f>
        <v/>
      </c>
      <c r="C67" s="37" t="n"/>
      <c r="D67" s="10">
        <f>IF($C67="","",IF(COUNTIF(lst_Jobs,$C67&amp;"")&gt;0,"OK","CHECK"))</f>
        <v/>
      </c>
      <c r="E67" s="10">
        <f>IF($C67="","",IFERROR(INDEX(lst_JobName,MATCH($C67&amp;"",lst_Jobs,0)),""))</f>
        <v/>
      </c>
      <c r="F67" s="37" t="n"/>
      <c r="G67" s="37" t="n"/>
      <c r="H67" s="37" t="n"/>
      <c r="I67" s="37" t="n"/>
      <c r="J67" s="37" t="n"/>
      <c r="K67" s="38">
        <f>IF($C67="","",IFERROR(N(INDEX(tbl_Finance[Invoice Count],MATCH($X67,tbl_Finance[Row ID],0))),""))</f>
        <v/>
      </c>
      <c r="L67" s="11">
        <f>IF($C67="","",IFERROR(N(INDEX(tbl_Finance[Xero Invoiced Ex GST],MATCH($X67,tbl_Finance[Row ID],0))),""))</f>
        <v/>
      </c>
      <c r="M67" s="10">
        <f>IF($C67="","",IFERROR(INDEX(tbl_Finance[Compare],MATCH($X67,tbl_Finance[Row ID],0))&amp;"",""))</f>
        <v/>
      </c>
      <c r="N67" s="11">
        <f>IF($C67="","",MAX(0,N(O67)-N(L67)))</f>
        <v/>
      </c>
      <c r="O67" s="39" t="n"/>
      <c r="P67" s="40">
        <f>IF($C67="","",IF((IF(F67="",", Client","")&amp;IF(G67="",", Description","")&amp;IF(H67="",", Cost Centre","")&amp;IF(I67="",", Invoice Type","")&amp;IF(J67="",", Tax Code","")&amp;IF(O67="",", Expected Revenue","")&amp;IF(COUNTIF(tbl_Finance[Job Number],$C67&amp;"")&gt;1,", Job number used twice",""))="","Complete","Fix: "&amp;MID(IF(F67="",", Client","")&amp;IF(G67="",", Description","")&amp;IF(H67="",", Cost Centre","")&amp;IF(I67="",", Invoice Type","")&amp;IF(J67="",", Tax Code","")&amp;IF(O67="",", Expected Revenue","")&amp;IF(COUNTIF(tbl_Finance[Job Number],$C67&amp;"")&gt;1,", Job number used twice",""),3,300)))</f>
        <v/>
      </c>
      <c r="Q67" s="10">
        <f>IF($C67="","",IF(H67="","(no cost centre)",H67&amp;" - GL "&amp;IFERROR(INDEX(lst_CCtoGL,MATCH(H67,lst_CCforGL,0)),"?")))</f>
        <v/>
      </c>
      <c r="R67" s="37" t="n"/>
      <c r="S67" s="37" t="n"/>
      <c r="T67" s="10">
        <f>IF(S67="","",HYPERLINK(IF(LEFT(S67,4)="http",S67,set_QwilrBase&amp;S67),"Open quote"))</f>
        <v/>
      </c>
      <c r="U67" s="41" t="n"/>
      <c r="V67" s="37" t="n"/>
      <c r="W67" s="37" t="n"/>
      <c r="X67" s="10" t="inlineStr">
        <is>
          <t>ONS-0063</t>
        </is>
      </c>
    </row>
    <row r="68">
      <c r="A68" s="16">
        <f>IF($C68="","",IFERROR(IF(INDEX(tbl_Finance[Latest Invoice Date],MATCH($X68,tbl_Finance[Row ID],0))="","",INDEX(tbl_Finance[Latest Invoice Date],MATCH($X68,tbl_Finance[Row ID],0))),""))</f>
        <v/>
      </c>
      <c r="B68" s="10">
        <f>IF($C68="","",IFERROR(INDEX(tbl_Finance[Invoice Numbers],MATCH($X68,tbl_Finance[Row ID],0))&amp;"",""))</f>
        <v/>
      </c>
      <c r="C68" s="37" t="n"/>
      <c r="D68" s="10">
        <f>IF($C68="","",IF(COUNTIF(lst_Jobs,$C68&amp;"")&gt;0,"OK","CHECK"))</f>
        <v/>
      </c>
      <c r="E68" s="10">
        <f>IF($C68="","",IFERROR(INDEX(lst_JobName,MATCH($C68&amp;"",lst_Jobs,0)),""))</f>
        <v/>
      </c>
      <c r="F68" s="37" t="n"/>
      <c r="G68" s="37" t="n"/>
      <c r="H68" s="37" t="n"/>
      <c r="I68" s="37" t="n"/>
      <c r="J68" s="37" t="n"/>
      <c r="K68" s="38">
        <f>IF($C68="","",IFERROR(N(INDEX(tbl_Finance[Invoice Count],MATCH($X68,tbl_Finance[Row ID],0))),""))</f>
        <v/>
      </c>
      <c r="L68" s="11">
        <f>IF($C68="","",IFERROR(N(INDEX(tbl_Finance[Xero Invoiced Ex GST],MATCH($X68,tbl_Finance[Row ID],0))),""))</f>
        <v/>
      </c>
      <c r="M68" s="10">
        <f>IF($C68="","",IFERROR(INDEX(tbl_Finance[Compare],MATCH($X68,tbl_Finance[Row ID],0))&amp;"",""))</f>
        <v/>
      </c>
      <c r="N68" s="11">
        <f>IF($C68="","",MAX(0,N(O68)-N(L68)))</f>
        <v/>
      </c>
      <c r="O68" s="39" t="n"/>
      <c r="P68" s="40">
        <f>IF($C68="","",IF((IF(F68="",", Client","")&amp;IF(G68="",", Description","")&amp;IF(H68="",", Cost Centre","")&amp;IF(I68="",", Invoice Type","")&amp;IF(J68="",", Tax Code","")&amp;IF(O68="",", Expected Revenue","")&amp;IF(COUNTIF(tbl_Finance[Job Number],$C68&amp;"")&gt;1,", Job number used twice",""))="","Complete","Fix: "&amp;MID(IF(F68="",", Client","")&amp;IF(G68="",", Description","")&amp;IF(H68="",", Cost Centre","")&amp;IF(I68="",", Invoice Type","")&amp;IF(J68="",", Tax Code","")&amp;IF(O68="",", Expected Revenue","")&amp;IF(COUNTIF(tbl_Finance[Job Number],$C68&amp;"")&gt;1,", Job number used twice",""),3,300)))</f>
        <v/>
      </c>
      <c r="Q68" s="10">
        <f>IF($C68="","",IF(H68="","(no cost centre)",H68&amp;" - GL "&amp;IFERROR(INDEX(lst_CCtoGL,MATCH(H68,lst_CCforGL,0)),"?")))</f>
        <v/>
      </c>
      <c r="R68" s="37" t="n"/>
      <c r="S68" s="37" t="n"/>
      <c r="T68" s="10">
        <f>IF(S68="","",HYPERLINK(IF(LEFT(S68,4)="http",S68,set_QwilrBase&amp;S68),"Open quote"))</f>
        <v/>
      </c>
      <c r="U68" s="41" t="n"/>
      <c r="V68" s="37" t="n"/>
      <c r="W68" s="37" t="n"/>
      <c r="X68" s="10" t="inlineStr">
        <is>
          <t>ONS-0064</t>
        </is>
      </c>
    </row>
    <row r="69">
      <c r="A69" s="16">
        <f>IF($C69="","",IFERROR(IF(INDEX(tbl_Finance[Latest Invoice Date],MATCH($X69,tbl_Finance[Row ID],0))="","",INDEX(tbl_Finance[Latest Invoice Date],MATCH($X69,tbl_Finance[Row ID],0))),""))</f>
        <v/>
      </c>
      <c r="B69" s="10">
        <f>IF($C69="","",IFERROR(INDEX(tbl_Finance[Invoice Numbers],MATCH($X69,tbl_Finance[Row ID],0))&amp;"",""))</f>
        <v/>
      </c>
      <c r="C69" s="37" t="n"/>
      <c r="D69" s="10">
        <f>IF($C69="","",IF(COUNTIF(lst_Jobs,$C69&amp;"")&gt;0,"OK","CHECK"))</f>
        <v/>
      </c>
      <c r="E69" s="10">
        <f>IF($C69="","",IFERROR(INDEX(lst_JobName,MATCH($C69&amp;"",lst_Jobs,0)),""))</f>
        <v/>
      </c>
      <c r="F69" s="37" t="n"/>
      <c r="G69" s="37" t="n"/>
      <c r="H69" s="37" t="n"/>
      <c r="I69" s="37" t="n"/>
      <c r="J69" s="37" t="n"/>
      <c r="K69" s="38">
        <f>IF($C69="","",IFERROR(N(INDEX(tbl_Finance[Invoice Count],MATCH($X69,tbl_Finance[Row ID],0))),""))</f>
        <v/>
      </c>
      <c r="L69" s="11">
        <f>IF($C69="","",IFERROR(N(INDEX(tbl_Finance[Xero Invoiced Ex GST],MATCH($X69,tbl_Finance[Row ID],0))),""))</f>
        <v/>
      </c>
      <c r="M69" s="10">
        <f>IF($C69="","",IFERROR(INDEX(tbl_Finance[Compare],MATCH($X69,tbl_Finance[Row ID],0))&amp;"",""))</f>
        <v/>
      </c>
      <c r="N69" s="11">
        <f>IF($C69="","",MAX(0,N(O69)-N(L69)))</f>
        <v/>
      </c>
      <c r="O69" s="39" t="n"/>
      <c r="P69" s="40">
        <f>IF($C69="","",IF((IF(F69="",", Client","")&amp;IF(G69="",", Description","")&amp;IF(H69="",", Cost Centre","")&amp;IF(I69="",", Invoice Type","")&amp;IF(J69="",", Tax Code","")&amp;IF(O69="",", Expected Revenue","")&amp;IF(COUNTIF(tbl_Finance[Job Number],$C69&amp;"")&gt;1,", Job number used twice",""))="","Complete","Fix: "&amp;MID(IF(F69="",", Client","")&amp;IF(G69="",", Description","")&amp;IF(H69="",", Cost Centre","")&amp;IF(I69="",", Invoice Type","")&amp;IF(J69="",", Tax Code","")&amp;IF(O69="",", Expected Revenue","")&amp;IF(COUNTIF(tbl_Finance[Job Number],$C69&amp;"")&gt;1,", Job number used twice",""),3,300)))</f>
        <v/>
      </c>
      <c r="Q69" s="10">
        <f>IF($C69="","",IF(H69="","(no cost centre)",H69&amp;" - GL "&amp;IFERROR(INDEX(lst_CCtoGL,MATCH(H69,lst_CCforGL,0)),"?")))</f>
        <v/>
      </c>
      <c r="R69" s="37" t="n"/>
      <c r="S69" s="37" t="n"/>
      <c r="T69" s="10">
        <f>IF(S69="","",HYPERLINK(IF(LEFT(S69,4)="http",S69,set_QwilrBase&amp;S69),"Open quote"))</f>
        <v/>
      </c>
      <c r="U69" s="41" t="n"/>
      <c r="V69" s="37" t="n"/>
      <c r="W69" s="37" t="n"/>
      <c r="X69" s="10" t="inlineStr">
        <is>
          <t>ONS-0065</t>
        </is>
      </c>
    </row>
    <row r="70">
      <c r="A70" s="16">
        <f>IF($C70="","",IFERROR(IF(INDEX(tbl_Finance[Latest Invoice Date],MATCH($X70,tbl_Finance[Row ID],0))="","",INDEX(tbl_Finance[Latest Invoice Date],MATCH($X70,tbl_Finance[Row ID],0))),""))</f>
        <v/>
      </c>
      <c r="B70" s="10">
        <f>IF($C70="","",IFERROR(INDEX(tbl_Finance[Invoice Numbers],MATCH($X70,tbl_Finance[Row ID],0))&amp;"",""))</f>
        <v/>
      </c>
      <c r="C70" s="37" t="n"/>
      <c r="D70" s="10">
        <f>IF($C70="","",IF(COUNTIF(lst_Jobs,$C70&amp;"")&gt;0,"OK","CHECK"))</f>
        <v/>
      </c>
      <c r="E70" s="10">
        <f>IF($C70="","",IFERROR(INDEX(lst_JobName,MATCH($C70&amp;"",lst_Jobs,0)),""))</f>
        <v/>
      </c>
      <c r="F70" s="37" t="n"/>
      <c r="G70" s="37" t="n"/>
      <c r="H70" s="37" t="n"/>
      <c r="I70" s="37" t="n"/>
      <c r="J70" s="37" t="n"/>
      <c r="K70" s="38">
        <f>IF($C70="","",IFERROR(N(INDEX(tbl_Finance[Invoice Count],MATCH($X70,tbl_Finance[Row ID],0))),""))</f>
        <v/>
      </c>
      <c r="L70" s="11">
        <f>IF($C70="","",IFERROR(N(INDEX(tbl_Finance[Xero Invoiced Ex GST],MATCH($X70,tbl_Finance[Row ID],0))),""))</f>
        <v/>
      </c>
      <c r="M70" s="10">
        <f>IF($C70="","",IFERROR(INDEX(tbl_Finance[Compare],MATCH($X70,tbl_Finance[Row ID],0))&amp;"",""))</f>
        <v/>
      </c>
      <c r="N70" s="11">
        <f>IF($C70="","",MAX(0,N(O70)-N(L70)))</f>
        <v/>
      </c>
      <c r="O70" s="39" t="n"/>
      <c r="P70" s="40">
        <f>IF($C70="","",IF((IF(F70="",", Client","")&amp;IF(G70="",", Description","")&amp;IF(H70="",", Cost Centre","")&amp;IF(I70="",", Invoice Type","")&amp;IF(J70="",", Tax Code","")&amp;IF(O70="",", Expected Revenue","")&amp;IF(COUNTIF(tbl_Finance[Job Number],$C70&amp;"")&gt;1,", Job number used twice",""))="","Complete","Fix: "&amp;MID(IF(F70="",", Client","")&amp;IF(G70="",", Description","")&amp;IF(H70="",", Cost Centre","")&amp;IF(I70="",", Invoice Type","")&amp;IF(J70="",", Tax Code","")&amp;IF(O70="",", Expected Revenue","")&amp;IF(COUNTIF(tbl_Finance[Job Number],$C70&amp;"")&gt;1,", Job number used twice",""),3,300)))</f>
        <v/>
      </c>
      <c r="Q70" s="10">
        <f>IF($C70="","",IF(H70="","(no cost centre)",H70&amp;" - GL "&amp;IFERROR(INDEX(lst_CCtoGL,MATCH(H70,lst_CCforGL,0)),"?")))</f>
        <v/>
      </c>
      <c r="R70" s="37" t="n"/>
      <c r="S70" s="37" t="n"/>
      <c r="T70" s="10">
        <f>IF(S70="","",HYPERLINK(IF(LEFT(S70,4)="http",S70,set_QwilrBase&amp;S70),"Open quote"))</f>
        <v/>
      </c>
      <c r="U70" s="41" t="n"/>
      <c r="V70" s="37" t="n"/>
      <c r="W70" s="37" t="n"/>
      <c r="X70" s="10" t="inlineStr">
        <is>
          <t>ONS-0066</t>
        </is>
      </c>
    </row>
    <row r="71">
      <c r="A71" s="16">
        <f>IF($C71="","",IFERROR(IF(INDEX(tbl_Finance[Latest Invoice Date],MATCH($X71,tbl_Finance[Row ID],0))="","",INDEX(tbl_Finance[Latest Invoice Date],MATCH($X71,tbl_Finance[Row ID],0))),""))</f>
        <v/>
      </c>
      <c r="B71" s="10">
        <f>IF($C71="","",IFERROR(INDEX(tbl_Finance[Invoice Numbers],MATCH($X71,tbl_Finance[Row ID],0))&amp;"",""))</f>
        <v/>
      </c>
      <c r="C71" s="37" t="n"/>
      <c r="D71" s="10">
        <f>IF($C71="","",IF(COUNTIF(lst_Jobs,$C71&amp;"")&gt;0,"OK","CHECK"))</f>
        <v/>
      </c>
      <c r="E71" s="10">
        <f>IF($C71="","",IFERROR(INDEX(lst_JobName,MATCH($C71&amp;"",lst_Jobs,0)),""))</f>
        <v/>
      </c>
      <c r="F71" s="37" t="n"/>
      <c r="G71" s="37" t="n"/>
      <c r="H71" s="37" t="n"/>
      <c r="I71" s="37" t="n"/>
      <c r="J71" s="37" t="n"/>
      <c r="K71" s="38">
        <f>IF($C71="","",IFERROR(N(INDEX(tbl_Finance[Invoice Count],MATCH($X71,tbl_Finance[Row ID],0))),""))</f>
        <v/>
      </c>
      <c r="L71" s="11">
        <f>IF($C71="","",IFERROR(N(INDEX(tbl_Finance[Xero Invoiced Ex GST],MATCH($X71,tbl_Finance[Row ID],0))),""))</f>
        <v/>
      </c>
      <c r="M71" s="10">
        <f>IF($C71="","",IFERROR(INDEX(tbl_Finance[Compare],MATCH($X71,tbl_Finance[Row ID],0))&amp;"",""))</f>
        <v/>
      </c>
      <c r="N71" s="11">
        <f>IF($C71="","",MAX(0,N(O71)-N(L71)))</f>
        <v/>
      </c>
      <c r="O71" s="39" t="n"/>
      <c r="P71" s="40">
        <f>IF($C71="","",IF((IF(F71="",", Client","")&amp;IF(G71="",", Description","")&amp;IF(H71="",", Cost Centre","")&amp;IF(I71="",", Invoice Type","")&amp;IF(J71="",", Tax Code","")&amp;IF(O71="",", Expected Revenue","")&amp;IF(COUNTIF(tbl_Finance[Job Number],$C71&amp;"")&gt;1,", Job number used twice",""))="","Complete","Fix: "&amp;MID(IF(F71="",", Client","")&amp;IF(G71="",", Description","")&amp;IF(H71="",", Cost Centre","")&amp;IF(I71="",", Invoice Type","")&amp;IF(J71="",", Tax Code","")&amp;IF(O71="",", Expected Revenue","")&amp;IF(COUNTIF(tbl_Finance[Job Number],$C71&amp;"")&gt;1,", Job number used twice",""),3,300)))</f>
        <v/>
      </c>
      <c r="Q71" s="10">
        <f>IF($C71="","",IF(H71="","(no cost centre)",H71&amp;" - GL "&amp;IFERROR(INDEX(lst_CCtoGL,MATCH(H71,lst_CCforGL,0)),"?")))</f>
        <v/>
      </c>
      <c r="R71" s="37" t="n"/>
      <c r="S71" s="37" t="n"/>
      <c r="T71" s="10">
        <f>IF(S71="","",HYPERLINK(IF(LEFT(S71,4)="http",S71,set_QwilrBase&amp;S71),"Open quote"))</f>
        <v/>
      </c>
      <c r="U71" s="41" t="n"/>
      <c r="V71" s="37" t="n"/>
      <c r="W71" s="37" t="n"/>
      <c r="X71" s="10" t="inlineStr">
        <is>
          <t>ONS-0067</t>
        </is>
      </c>
    </row>
    <row r="72">
      <c r="A72" s="16">
        <f>IF($C72="","",IFERROR(IF(INDEX(tbl_Finance[Latest Invoice Date],MATCH($X72,tbl_Finance[Row ID],0))="","",INDEX(tbl_Finance[Latest Invoice Date],MATCH($X72,tbl_Finance[Row ID],0))),""))</f>
        <v/>
      </c>
      <c r="B72" s="10">
        <f>IF($C72="","",IFERROR(INDEX(tbl_Finance[Invoice Numbers],MATCH($X72,tbl_Finance[Row ID],0))&amp;"",""))</f>
        <v/>
      </c>
      <c r="C72" s="37" t="n"/>
      <c r="D72" s="10">
        <f>IF($C72="","",IF(COUNTIF(lst_Jobs,$C72&amp;"")&gt;0,"OK","CHECK"))</f>
        <v/>
      </c>
      <c r="E72" s="10">
        <f>IF($C72="","",IFERROR(INDEX(lst_JobName,MATCH($C72&amp;"",lst_Jobs,0)),""))</f>
        <v/>
      </c>
      <c r="F72" s="37" t="n"/>
      <c r="G72" s="37" t="n"/>
      <c r="H72" s="37" t="n"/>
      <c r="I72" s="37" t="n"/>
      <c r="J72" s="37" t="n"/>
      <c r="K72" s="38">
        <f>IF($C72="","",IFERROR(N(INDEX(tbl_Finance[Invoice Count],MATCH($X72,tbl_Finance[Row ID],0))),""))</f>
        <v/>
      </c>
      <c r="L72" s="11">
        <f>IF($C72="","",IFERROR(N(INDEX(tbl_Finance[Xero Invoiced Ex GST],MATCH($X72,tbl_Finance[Row ID],0))),""))</f>
        <v/>
      </c>
      <c r="M72" s="10">
        <f>IF($C72="","",IFERROR(INDEX(tbl_Finance[Compare],MATCH($X72,tbl_Finance[Row ID],0))&amp;"",""))</f>
        <v/>
      </c>
      <c r="N72" s="11">
        <f>IF($C72="","",MAX(0,N(O72)-N(L72)))</f>
        <v/>
      </c>
      <c r="O72" s="39" t="n"/>
      <c r="P72" s="40">
        <f>IF($C72="","",IF((IF(F72="",", Client","")&amp;IF(G72="",", Description","")&amp;IF(H72="",", Cost Centre","")&amp;IF(I72="",", Invoice Type","")&amp;IF(J72="",", Tax Code","")&amp;IF(O72="",", Expected Revenue","")&amp;IF(COUNTIF(tbl_Finance[Job Number],$C72&amp;"")&gt;1,", Job number used twice",""))="","Complete","Fix: "&amp;MID(IF(F72="",", Client","")&amp;IF(G72="",", Description","")&amp;IF(H72="",", Cost Centre","")&amp;IF(I72="",", Invoice Type","")&amp;IF(J72="",", Tax Code","")&amp;IF(O72="",", Expected Revenue","")&amp;IF(COUNTIF(tbl_Finance[Job Number],$C72&amp;"")&gt;1,", Job number used twice",""),3,300)))</f>
        <v/>
      </c>
      <c r="Q72" s="10">
        <f>IF($C72="","",IF(H72="","(no cost centre)",H72&amp;" - GL "&amp;IFERROR(INDEX(lst_CCtoGL,MATCH(H72,lst_CCforGL,0)),"?")))</f>
        <v/>
      </c>
      <c r="R72" s="37" t="n"/>
      <c r="S72" s="37" t="n"/>
      <c r="T72" s="10">
        <f>IF(S72="","",HYPERLINK(IF(LEFT(S72,4)="http",S72,set_QwilrBase&amp;S72),"Open quote"))</f>
        <v/>
      </c>
      <c r="U72" s="41" t="n"/>
      <c r="V72" s="37" t="n"/>
      <c r="W72" s="37" t="n"/>
      <c r="X72" s="10" t="inlineStr">
        <is>
          <t>ONS-0068</t>
        </is>
      </c>
    </row>
    <row r="73">
      <c r="A73" s="16">
        <f>IF($C73="","",IFERROR(IF(INDEX(tbl_Finance[Latest Invoice Date],MATCH($X73,tbl_Finance[Row ID],0))="","",INDEX(tbl_Finance[Latest Invoice Date],MATCH($X73,tbl_Finance[Row ID],0))),""))</f>
        <v/>
      </c>
      <c r="B73" s="10">
        <f>IF($C73="","",IFERROR(INDEX(tbl_Finance[Invoice Numbers],MATCH($X73,tbl_Finance[Row ID],0))&amp;"",""))</f>
        <v/>
      </c>
      <c r="C73" s="37" t="n"/>
      <c r="D73" s="10">
        <f>IF($C73="","",IF(COUNTIF(lst_Jobs,$C73&amp;"")&gt;0,"OK","CHECK"))</f>
        <v/>
      </c>
      <c r="E73" s="10">
        <f>IF($C73="","",IFERROR(INDEX(lst_JobName,MATCH($C73&amp;"",lst_Jobs,0)),""))</f>
        <v/>
      </c>
      <c r="F73" s="37" t="n"/>
      <c r="G73" s="37" t="n"/>
      <c r="H73" s="37" t="n"/>
      <c r="I73" s="37" t="n"/>
      <c r="J73" s="37" t="n"/>
      <c r="K73" s="38">
        <f>IF($C73="","",IFERROR(N(INDEX(tbl_Finance[Invoice Count],MATCH($X73,tbl_Finance[Row ID],0))),""))</f>
        <v/>
      </c>
      <c r="L73" s="11">
        <f>IF($C73="","",IFERROR(N(INDEX(tbl_Finance[Xero Invoiced Ex GST],MATCH($X73,tbl_Finance[Row ID],0))),""))</f>
        <v/>
      </c>
      <c r="M73" s="10">
        <f>IF($C73="","",IFERROR(INDEX(tbl_Finance[Compare],MATCH($X73,tbl_Finance[Row ID],0))&amp;"",""))</f>
        <v/>
      </c>
      <c r="N73" s="11">
        <f>IF($C73="","",MAX(0,N(O73)-N(L73)))</f>
        <v/>
      </c>
      <c r="O73" s="39" t="n"/>
      <c r="P73" s="40">
        <f>IF($C73="","",IF((IF(F73="",", Client","")&amp;IF(G73="",", Description","")&amp;IF(H73="",", Cost Centre","")&amp;IF(I73="",", Invoice Type","")&amp;IF(J73="",", Tax Code","")&amp;IF(O73="",", Expected Revenue","")&amp;IF(COUNTIF(tbl_Finance[Job Number],$C73&amp;"")&gt;1,", Job number used twice",""))="","Complete","Fix: "&amp;MID(IF(F73="",", Client","")&amp;IF(G73="",", Description","")&amp;IF(H73="",", Cost Centre","")&amp;IF(I73="",", Invoice Type","")&amp;IF(J73="",", Tax Code","")&amp;IF(O73="",", Expected Revenue","")&amp;IF(COUNTIF(tbl_Finance[Job Number],$C73&amp;"")&gt;1,", Job number used twice",""),3,300)))</f>
        <v/>
      </c>
      <c r="Q73" s="10">
        <f>IF($C73="","",IF(H73="","(no cost centre)",H73&amp;" - GL "&amp;IFERROR(INDEX(lst_CCtoGL,MATCH(H73,lst_CCforGL,0)),"?")))</f>
        <v/>
      </c>
      <c r="R73" s="37" t="n"/>
      <c r="S73" s="37" t="n"/>
      <c r="T73" s="10">
        <f>IF(S73="","",HYPERLINK(IF(LEFT(S73,4)="http",S73,set_QwilrBase&amp;S73),"Open quote"))</f>
        <v/>
      </c>
      <c r="U73" s="41" t="n"/>
      <c r="V73" s="37" t="n"/>
      <c r="W73" s="37" t="n"/>
      <c r="X73" s="10" t="inlineStr">
        <is>
          <t>ONS-0069</t>
        </is>
      </c>
    </row>
    <row r="74">
      <c r="A74" s="16">
        <f>IF($C74="","",IFERROR(IF(INDEX(tbl_Finance[Latest Invoice Date],MATCH($X74,tbl_Finance[Row ID],0))="","",INDEX(tbl_Finance[Latest Invoice Date],MATCH($X74,tbl_Finance[Row ID],0))),""))</f>
        <v/>
      </c>
      <c r="B74" s="10">
        <f>IF($C74="","",IFERROR(INDEX(tbl_Finance[Invoice Numbers],MATCH($X74,tbl_Finance[Row ID],0))&amp;"",""))</f>
        <v/>
      </c>
      <c r="C74" s="37" t="n"/>
      <c r="D74" s="10">
        <f>IF($C74="","",IF(COUNTIF(lst_Jobs,$C74&amp;"")&gt;0,"OK","CHECK"))</f>
        <v/>
      </c>
      <c r="E74" s="10">
        <f>IF($C74="","",IFERROR(INDEX(lst_JobName,MATCH($C74&amp;"",lst_Jobs,0)),""))</f>
        <v/>
      </c>
      <c r="F74" s="37" t="n"/>
      <c r="G74" s="37" t="n"/>
      <c r="H74" s="37" t="n"/>
      <c r="I74" s="37" t="n"/>
      <c r="J74" s="37" t="n"/>
      <c r="K74" s="38">
        <f>IF($C74="","",IFERROR(N(INDEX(tbl_Finance[Invoice Count],MATCH($X74,tbl_Finance[Row ID],0))),""))</f>
        <v/>
      </c>
      <c r="L74" s="11">
        <f>IF($C74="","",IFERROR(N(INDEX(tbl_Finance[Xero Invoiced Ex GST],MATCH($X74,tbl_Finance[Row ID],0))),""))</f>
        <v/>
      </c>
      <c r="M74" s="10">
        <f>IF($C74="","",IFERROR(INDEX(tbl_Finance[Compare],MATCH($X74,tbl_Finance[Row ID],0))&amp;"",""))</f>
        <v/>
      </c>
      <c r="N74" s="11">
        <f>IF($C74="","",MAX(0,N(O74)-N(L74)))</f>
        <v/>
      </c>
      <c r="O74" s="39" t="n"/>
      <c r="P74" s="40">
        <f>IF($C74="","",IF((IF(F74="",", Client","")&amp;IF(G74="",", Description","")&amp;IF(H74="",", Cost Centre","")&amp;IF(I74="",", Invoice Type","")&amp;IF(J74="",", Tax Code","")&amp;IF(O74="",", Expected Revenue","")&amp;IF(COUNTIF(tbl_Finance[Job Number],$C74&amp;"")&gt;1,", Job number used twice",""))="","Complete","Fix: "&amp;MID(IF(F74="",", Client","")&amp;IF(G74="",", Description","")&amp;IF(H74="",", Cost Centre","")&amp;IF(I74="",", Invoice Type","")&amp;IF(J74="",", Tax Code","")&amp;IF(O74="",", Expected Revenue","")&amp;IF(COUNTIF(tbl_Finance[Job Number],$C74&amp;"")&gt;1,", Job number used twice",""),3,300)))</f>
        <v/>
      </c>
      <c r="Q74" s="10">
        <f>IF($C74="","",IF(H74="","(no cost centre)",H74&amp;" - GL "&amp;IFERROR(INDEX(lst_CCtoGL,MATCH(H74,lst_CCforGL,0)),"?")))</f>
        <v/>
      </c>
      <c r="R74" s="37" t="n"/>
      <c r="S74" s="37" t="n"/>
      <c r="T74" s="10">
        <f>IF(S74="","",HYPERLINK(IF(LEFT(S74,4)="http",S74,set_QwilrBase&amp;S74),"Open quote"))</f>
        <v/>
      </c>
      <c r="U74" s="41" t="n"/>
      <c r="V74" s="37" t="n"/>
      <c r="W74" s="37" t="n"/>
      <c r="X74" s="10" t="inlineStr">
        <is>
          <t>ONS-0070</t>
        </is>
      </c>
    </row>
    <row r="75">
      <c r="A75" s="16">
        <f>IF($C75="","",IFERROR(IF(INDEX(tbl_Finance[Latest Invoice Date],MATCH($X75,tbl_Finance[Row ID],0))="","",INDEX(tbl_Finance[Latest Invoice Date],MATCH($X75,tbl_Finance[Row ID],0))),""))</f>
        <v/>
      </c>
      <c r="B75" s="10">
        <f>IF($C75="","",IFERROR(INDEX(tbl_Finance[Invoice Numbers],MATCH($X75,tbl_Finance[Row ID],0))&amp;"",""))</f>
        <v/>
      </c>
      <c r="C75" s="37" t="n"/>
      <c r="D75" s="10">
        <f>IF($C75="","",IF(COUNTIF(lst_Jobs,$C75&amp;"")&gt;0,"OK","CHECK"))</f>
        <v/>
      </c>
      <c r="E75" s="10">
        <f>IF($C75="","",IFERROR(INDEX(lst_JobName,MATCH($C75&amp;"",lst_Jobs,0)),""))</f>
        <v/>
      </c>
      <c r="F75" s="37" t="n"/>
      <c r="G75" s="37" t="n"/>
      <c r="H75" s="37" t="n"/>
      <c r="I75" s="37" t="n"/>
      <c r="J75" s="37" t="n"/>
      <c r="K75" s="38">
        <f>IF($C75="","",IFERROR(N(INDEX(tbl_Finance[Invoice Count],MATCH($X75,tbl_Finance[Row ID],0))),""))</f>
        <v/>
      </c>
      <c r="L75" s="11">
        <f>IF($C75="","",IFERROR(N(INDEX(tbl_Finance[Xero Invoiced Ex GST],MATCH($X75,tbl_Finance[Row ID],0))),""))</f>
        <v/>
      </c>
      <c r="M75" s="10">
        <f>IF($C75="","",IFERROR(INDEX(tbl_Finance[Compare],MATCH($X75,tbl_Finance[Row ID],0))&amp;"",""))</f>
        <v/>
      </c>
      <c r="N75" s="11">
        <f>IF($C75="","",MAX(0,N(O75)-N(L75)))</f>
        <v/>
      </c>
      <c r="O75" s="39" t="n"/>
      <c r="P75" s="40">
        <f>IF($C75="","",IF((IF(F75="",", Client","")&amp;IF(G75="",", Description","")&amp;IF(H75="",", Cost Centre","")&amp;IF(I75="",", Invoice Type","")&amp;IF(J75="",", Tax Code","")&amp;IF(O75="",", Expected Revenue","")&amp;IF(COUNTIF(tbl_Finance[Job Number],$C75&amp;"")&gt;1,", Job number used twice",""))="","Complete","Fix: "&amp;MID(IF(F75="",", Client","")&amp;IF(G75="",", Description","")&amp;IF(H75="",", Cost Centre","")&amp;IF(I75="",", Invoice Type","")&amp;IF(J75="",", Tax Code","")&amp;IF(O75="",", Expected Revenue","")&amp;IF(COUNTIF(tbl_Finance[Job Number],$C75&amp;"")&gt;1,", Job number used twice",""),3,300)))</f>
        <v/>
      </c>
      <c r="Q75" s="10">
        <f>IF($C75="","",IF(H75="","(no cost centre)",H75&amp;" - GL "&amp;IFERROR(INDEX(lst_CCtoGL,MATCH(H75,lst_CCforGL,0)),"?")))</f>
        <v/>
      </c>
      <c r="R75" s="37" t="n"/>
      <c r="S75" s="37" t="n"/>
      <c r="T75" s="10">
        <f>IF(S75="","",HYPERLINK(IF(LEFT(S75,4)="http",S75,set_QwilrBase&amp;S75),"Open quote"))</f>
        <v/>
      </c>
      <c r="U75" s="41" t="n"/>
      <c r="V75" s="37" t="n"/>
      <c r="W75" s="37" t="n"/>
      <c r="X75" s="10" t="inlineStr">
        <is>
          <t>ONS-0071</t>
        </is>
      </c>
    </row>
    <row r="76">
      <c r="A76" s="16">
        <f>IF($C76="","",IFERROR(IF(INDEX(tbl_Finance[Latest Invoice Date],MATCH($X76,tbl_Finance[Row ID],0))="","",INDEX(tbl_Finance[Latest Invoice Date],MATCH($X76,tbl_Finance[Row ID],0))),""))</f>
        <v/>
      </c>
      <c r="B76" s="10">
        <f>IF($C76="","",IFERROR(INDEX(tbl_Finance[Invoice Numbers],MATCH($X76,tbl_Finance[Row ID],0))&amp;"",""))</f>
        <v/>
      </c>
      <c r="C76" s="37" t="n"/>
      <c r="D76" s="10">
        <f>IF($C76="","",IF(COUNTIF(lst_Jobs,$C76&amp;"")&gt;0,"OK","CHECK"))</f>
        <v/>
      </c>
      <c r="E76" s="10">
        <f>IF($C76="","",IFERROR(INDEX(lst_JobName,MATCH($C76&amp;"",lst_Jobs,0)),""))</f>
        <v/>
      </c>
      <c r="F76" s="37" t="n"/>
      <c r="G76" s="37" t="n"/>
      <c r="H76" s="37" t="n"/>
      <c r="I76" s="37" t="n"/>
      <c r="J76" s="37" t="n"/>
      <c r="K76" s="38">
        <f>IF($C76="","",IFERROR(N(INDEX(tbl_Finance[Invoice Count],MATCH($X76,tbl_Finance[Row ID],0))),""))</f>
        <v/>
      </c>
      <c r="L76" s="11">
        <f>IF($C76="","",IFERROR(N(INDEX(tbl_Finance[Xero Invoiced Ex GST],MATCH($X76,tbl_Finance[Row ID],0))),""))</f>
        <v/>
      </c>
      <c r="M76" s="10">
        <f>IF($C76="","",IFERROR(INDEX(tbl_Finance[Compare],MATCH($X76,tbl_Finance[Row ID],0))&amp;"",""))</f>
        <v/>
      </c>
      <c r="N76" s="11">
        <f>IF($C76="","",MAX(0,N(O76)-N(L76)))</f>
        <v/>
      </c>
      <c r="O76" s="39" t="n"/>
      <c r="P76" s="40">
        <f>IF($C76="","",IF((IF(F76="",", Client","")&amp;IF(G76="",", Description","")&amp;IF(H76="",", Cost Centre","")&amp;IF(I76="",", Invoice Type","")&amp;IF(J76="",", Tax Code","")&amp;IF(O76="",", Expected Revenue","")&amp;IF(COUNTIF(tbl_Finance[Job Number],$C76&amp;"")&gt;1,", Job number used twice",""))="","Complete","Fix: "&amp;MID(IF(F76="",", Client","")&amp;IF(G76="",", Description","")&amp;IF(H76="",", Cost Centre","")&amp;IF(I76="",", Invoice Type","")&amp;IF(J76="",", Tax Code","")&amp;IF(O76="",", Expected Revenue","")&amp;IF(COUNTIF(tbl_Finance[Job Number],$C76&amp;"")&gt;1,", Job number used twice",""),3,300)))</f>
        <v/>
      </c>
      <c r="Q76" s="10">
        <f>IF($C76="","",IF(H76="","(no cost centre)",H76&amp;" - GL "&amp;IFERROR(INDEX(lst_CCtoGL,MATCH(H76,lst_CCforGL,0)),"?")))</f>
        <v/>
      </c>
      <c r="R76" s="37" t="n"/>
      <c r="S76" s="37" t="n"/>
      <c r="T76" s="10">
        <f>IF(S76="","",HYPERLINK(IF(LEFT(S76,4)="http",S76,set_QwilrBase&amp;S76),"Open quote"))</f>
        <v/>
      </c>
      <c r="U76" s="41" t="n"/>
      <c r="V76" s="37" t="n"/>
      <c r="W76" s="37" t="n"/>
      <c r="X76" s="10" t="inlineStr">
        <is>
          <t>ONS-0072</t>
        </is>
      </c>
    </row>
    <row r="77">
      <c r="A77" s="16">
        <f>IF($C77="","",IFERROR(IF(INDEX(tbl_Finance[Latest Invoice Date],MATCH($X77,tbl_Finance[Row ID],0))="","",INDEX(tbl_Finance[Latest Invoice Date],MATCH($X77,tbl_Finance[Row ID],0))),""))</f>
        <v/>
      </c>
      <c r="B77" s="10">
        <f>IF($C77="","",IFERROR(INDEX(tbl_Finance[Invoice Numbers],MATCH($X77,tbl_Finance[Row ID],0))&amp;"",""))</f>
        <v/>
      </c>
      <c r="C77" s="37" t="n"/>
      <c r="D77" s="10">
        <f>IF($C77="","",IF(COUNTIF(lst_Jobs,$C77&amp;"")&gt;0,"OK","CHECK"))</f>
        <v/>
      </c>
      <c r="E77" s="10">
        <f>IF($C77="","",IFERROR(INDEX(lst_JobName,MATCH($C77&amp;"",lst_Jobs,0)),""))</f>
        <v/>
      </c>
      <c r="F77" s="37" t="n"/>
      <c r="G77" s="37" t="n"/>
      <c r="H77" s="37" t="n"/>
      <c r="I77" s="37" t="n"/>
      <c r="J77" s="37" t="n"/>
      <c r="K77" s="38">
        <f>IF($C77="","",IFERROR(N(INDEX(tbl_Finance[Invoice Count],MATCH($X77,tbl_Finance[Row ID],0))),""))</f>
        <v/>
      </c>
      <c r="L77" s="11">
        <f>IF($C77="","",IFERROR(N(INDEX(tbl_Finance[Xero Invoiced Ex GST],MATCH($X77,tbl_Finance[Row ID],0))),""))</f>
        <v/>
      </c>
      <c r="M77" s="10">
        <f>IF($C77="","",IFERROR(INDEX(tbl_Finance[Compare],MATCH($X77,tbl_Finance[Row ID],0))&amp;"",""))</f>
        <v/>
      </c>
      <c r="N77" s="11">
        <f>IF($C77="","",MAX(0,N(O77)-N(L77)))</f>
        <v/>
      </c>
      <c r="O77" s="39" t="n"/>
      <c r="P77" s="40">
        <f>IF($C77="","",IF((IF(F77="",", Client","")&amp;IF(G77="",", Description","")&amp;IF(H77="",", Cost Centre","")&amp;IF(I77="",", Invoice Type","")&amp;IF(J77="",", Tax Code","")&amp;IF(O77="",", Expected Revenue","")&amp;IF(COUNTIF(tbl_Finance[Job Number],$C77&amp;"")&gt;1,", Job number used twice",""))="","Complete","Fix: "&amp;MID(IF(F77="",", Client","")&amp;IF(G77="",", Description","")&amp;IF(H77="",", Cost Centre","")&amp;IF(I77="",", Invoice Type","")&amp;IF(J77="",", Tax Code","")&amp;IF(O77="",", Expected Revenue","")&amp;IF(COUNTIF(tbl_Finance[Job Number],$C77&amp;"")&gt;1,", Job number used twice",""),3,300)))</f>
        <v/>
      </c>
      <c r="Q77" s="10">
        <f>IF($C77="","",IF(H77="","(no cost centre)",H77&amp;" - GL "&amp;IFERROR(INDEX(lst_CCtoGL,MATCH(H77,lst_CCforGL,0)),"?")))</f>
        <v/>
      </c>
      <c r="R77" s="37" t="n"/>
      <c r="S77" s="37" t="n"/>
      <c r="T77" s="10">
        <f>IF(S77="","",HYPERLINK(IF(LEFT(S77,4)="http",S77,set_QwilrBase&amp;S77),"Open quote"))</f>
        <v/>
      </c>
      <c r="U77" s="41" t="n"/>
      <c r="V77" s="37" t="n"/>
      <c r="W77" s="37" t="n"/>
      <c r="X77" s="10" t="inlineStr">
        <is>
          <t>ONS-0073</t>
        </is>
      </c>
    </row>
    <row r="78">
      <c r="A78" s="16">
        <f>IF($C78="","",IFERROR(IF(INDEX(tbl_Finance[Latest Invoice Date],MATCH($X78,tbl_Finance[Row ID],0))="","",INDEX(tbl_Finance[Latest Invoice Date],MATCH($X78,tbl_Finance[Row ID],0))),""))</f>
        <v/>
      </c>
      <c r="B78" s="10">
        <f>IF($C78="","",IFERROR(INDEX(tbl_Finance[Invoice Numbers],MATCH($X78,tbl_Finance[Row ID],0))&amp;"",""))</f>
        <v/>
      </c>
      <c r="C78" s="37" t="n"/>
      <c r="D78" s="10">
        <f>IF($C78="","",IF(COUNTIF(lst_Jobs,$C78&amp;"")&gt;0,"OK","CHECK"))</f>
        <v/>
      </c>
      <c r="E78" s="10">
        <f>IF($C78="","",IFERROR(INDEX(lst_JobName,MATCH($C78&amp;"",lst_Jobs,0)),""))</f>
        <v/>
      </c>
      <c r="F78" s="37" t="n"/>
      <c r="G78" s="37" t="n"/>
      <c r="H78" s="37" t="n"/>
      <c r="I78" s="37" t="n"/>
      <c r="J78" s="37" t="n"/>
      <c r="K78" s="38">
        <f>IF($C78="","",IFERROR(N(INDEX(tbl_Finance[Invoice Count],MATCH($X78,tbl_Finance[Row ID],0))),""))</f>
        <v/>
      </c>
      <c r="L78" s="11">
        <f>IF($C78="","",IFERROR(N(INDEX(tbl_Finance[Xero Invoiced Ex GST],MATCH($X78,tbl_Finance[Row ID],0))),""))</f>
        <v/>
      </c>
      <c r="M78" s="10">
        <f>IF($C78="","",IFERROR(INDEX(tbl_Finance[Compare],MATCH($X78,tbl_Finance[Row ID],0))&amp;"",""))</f>
        <v/>
      </c>
      <c r="N78" s="11">
        <f>IF($C78="","",MAX(0,N(O78)-N(L78)))</f>
        <v/>
      </c>
      <c r="O78" s="39" t="n"/>
      <c r="P78" s="40">
        <f>IF($C78="","",IF((IF(F78="",", Client","")&amp;IF(G78="",", Description","")&amp;IF(H78="",", Cost Centre","")&amp;IF(I78="",", Invoice Type","")&amp;IF(J78="",", Tax Code","")&amp;IF(O78="",", Expected Revenue","")&amp;IF(COUNTIF(tbl_Finance[Job Number],$C78&amp;"")&gt;1,", Job number used twice",""))="","Complete","Fix: "&amp;MID(IF(F78="",", Client","")&amp;IF(G78="",", Description","")&amp;IF(H78="",", Cost Centre","")&amp;IF(I78="",", Invoice Type","")&amp;IF(J78="",", Tax Code","")&amp;IF(O78="",", Expected Revenue","")&amp;IF(COUNTIF(tbl_Finance[Job Number],$C78&amp;"")&gt;1,", Job number used twice",""),3,300)))</f>
        <v/>
      </c>
      <c r="Q78" s="10">
        <f>IF($C78="","",IF(H78="","(no cost centre)",H78&amp;" - GL "&amp;IFERROR(INDEX(lst_CCtoGL,MATCH(H78,lst_CCforGL,0)),"?")))</f>
        <v/>
      </c>
      <c r="R78" s="37" t="n"/>
      <c r="S78" s="37" t="n"/>
      <c r="T78" s="10">
        <f>IF(S78="","",HYPERLINK(IF(LEFT(S78,4)="http",S78,set_QwilrBase&amp;S78),"Open quote"))</f>
        <v/>
      </c>
      <c r="U78" s="41" t="n"/>
      <c r="V78" s="37" t="n"/>
      <c r="W78" s="37" t="n"/>
      <c r="X78" s="10" t="inlineStr">
        <is>
          <t>ONS-0074</t>
        </is>
      </c>
    </row>
    <row r="79">
      <c r="A79" s="16">
        <f>IF($C79="","",IFERROR(IF(INDEX(tbl_Finance[Latest Invoice Date],MATCH($X79,tbl_Finance[Row ID],0))="","",INDEX(tbl_Finance[Latest Invoice Date],MATCH($X79,tbl_Finance[Row ID],0))),""))</f>
        <v/>
      </c>
      <c r="B79" s="10">
        <f>IF($C79="","",IFERROR(INDEX(tbl_Finance[Invoice Numbers],MATCH($X79,tbl_Finance[Row ID],0))&amp;"",""))</f>
        <v/>
      </c>
      <c r="C79" s="37" t="n"/>
      <c r="D79" s="10">
        <f>IF($C79="","",IF(COUNTIF(lst_Jobs,$C79&amp;"")&gt;0,"OK","CHECK"))</f>
        <v/>
      </c>
      <c r="E79" s="10">
        <f>IF($C79="","",IFERROR(INDEX(lst_JobName,MATCH($C79&amp;"",lst_Jobs,0)),""))</f>
        <v/>
      </c>
      <c r="F79" s="37" t="n"/>
      <c r="G79" s="37" t="n"/>
      <c r="H79" s="37" t="n"/>
      <c r="I79" s="37" t="n"/>
      <c r="J79" s="37" t="n"/>
      <c r="K79" s="38">
        <f>IF($C79="","",IFERROR(N(INDEX(tbl_Finance[Invoice Count],MATCH($X79,tbl_Finance[Row ID],0))),""))</f>
        <v/>
      </c>
      <c r="L79" s="11">
        <f>IF($C79="","",IFERROR(N(INDEX(tbl_Finance[Xero Invoiced Ex GST],MATCH($X79,tbl_Finance[Row ID],0))),""))</f>
        <v/>
      </c>
      <c r="M79" s="10">
        <f>IF($C79="","",IFERROR(INDEX(tbl_Finance[Compare],MATCH($X79,tbl_Finance[Row ID],0))&amp;"",""))</f>
        <v/>
      </c>
      <c r="N79" s="11">
        <f>IF($C79="","",MAX(0,N(O79)-N(L79)))</f>
        <v/>
      </c>
      <c r="O79" s="39" t="n"/>
      <c r="P79" s="40">
        <f>IF($C79="","",IF((IF(F79="",", Client","")&amp;IF(G79="",", Description","")&amp;IF(H79="",", Cost Centre","")&amp;IF(I79="",", Invoice Type","")&amp;IF(J79="",", Tax Code","")&amp;IF(O79="",", Expected Revenue","")&amp;IF(COUNTIF(tbl_Finance[Job Number],$C79&amp;"")&gt;1,", Job number used twice",""))="","Complete","Fix: "&amp;MID(IF(F79="",", Client","")&amp;IF(G79="",", Description","")&amp;IF(H79="",", Cost Centre","")&amp;IF(I79="",", Invoice Type","")&amp;IF(J79="",", Tax Code","")&amp;IF(O79="",", Expected Revenue","")&amp;IF(COUNTIF(tbl_Finance[Job Number],$C79&amp;"")&gt;1,", Job number used twice",""),3,300)))</f>
        <v/>
      </c>
      <c r="Q79" s="10">
        <f>IF($C79="","",IF(H79="","(no cost centre)",H79&amp;" - GL "&amp;IFERROR(INDEX(lst_CCtoGL,MATCH(H79,lst_CCforGL,0)),"?")))</f>
        <v/>
      </c>
      <c r="R79" s="37" t="n"/>
      <c r="S79" s="37" t="n"/>
      <c r="T79" s="10">
        <f>IF(S79="","",HYPERLINK(IF(LEFT(S79,4)="http",S79,set_QwilrBase&amp;S79),"Open quote"))</f>
        <v/>
      </c>
      <c r="U79" s="41" t="n"/>
      <c r="V79" s="37" t="n"/>
      <c r="W79" s="37" t="n"/>
      <c r="X79" s="10" t="inlineStr">
        <is>
          <t>ONS-0075</t>
        </is>
      </c>
    </row>
    <row r="80">
      <c r="A80" s="16">
        <f>IF($C80="","",IFERROR(IF(INDEX(tbl_Finance[Latest Invoice Date],MATCH($X80,tbl_Finance[Row ID],0))="","",INDEX(tbl_Finance[Latest Invoice Date],MATCH($X80,tbl_Finance[Row ID],0))),""))</f>
        <v/>
      </c>
      <c r="B80" s="10">
        <f>IF($C80="","",IFERROR(INDEX(tbl_Finance[Invoice Numbers],MATCH($X80,tbl_Finance[Row ID],0))&amp;"",""))</f>
        <v/>
      </c>
      <c r="C80" s="37" t="n"/>
      <c r="D80" s="10">
        <f>IF($C80="","",IF(COUNTIF(lst_Jobs,$C80&amp;"")&gt;0,"OK","CHECK"))</f>
        <v/>
      </c>
      <c r="E80" s="10">
        <f>IF($C80="","",IFERROR(INDEX(lst_JobName,MATCH($C80&amp;"",lst_Jobs,0)),""))</f>
        <v/>
      </c>
      <c r="F80" s="37" t="n"/>
      <c r="G80" s="37" t="n"/>
      <c r="H80" s="37" t="n"/>
      <c r="I80" s="37" t="n"/>
      <c r="J80" s="37" t="n"/>
      <c r="K80" s="38">
        <f>IF($C80="","",IFERROR(N(INDEX(tbl_Finance[Invoice Count],MATCH($X80,tbl_Finance[Row ID],0))),""))</f>
        <v/>
      </c>
      <c r="L80" s="11">
        <f>IF($C80="","",IFERROR(N(INDEX(tbl_Finance[Xero Invoiced Ex GST],MATCH($X80,tbl_Finance[Row ID],0))),""))</f>
        <v/>
      </c>
      <c r="M80" s="10">
        <f>IF($C80="","",IFERROR(INDEX(tbl_Finance[Compare],MATCH($X80,tbl_Finance[Row ID],0))&amp;"",""))</f>
        <v/>
      </c>
      <c r="N80" s="11">
        <f>IF($C80="","",MAX(0,N(O80)-N(L80)))</f>
        <v/>
      </c>
      <c r="O80" s="39" t="n"/>
      <c r="P80" s="40">
        <f>IF($C80="","",IF((IF(F80="",", Client","")&amp;IF(G80="",", Description","")&amp;IF(H80="",", Cost Centre","")&amp;IF(I80="",", Invoice Type","")&amp;IF(J80="",", Tax Code","")&amp;IF(O80="",", Expected Revenue","")&amp;IF(COUNTIF(tbl_Finance[Job Number],$C80&amp;"")&gt;1,", Job number used twice",""))="","Complete","Fix: "&amp;MID(IF(F80="",", Client","")&amp;IF(G80="",", Description","")&amp;IF(H80="",", Cost Centre","")&amp;IF(I80="",", Invoice Type","")&amp;IF(J80="",", Tax Code","")&amp;IF(O80="",", Expected Revenue","")&amp;IF(COUNTIF(tbl_Finance[Job Number],$C80&amp;"")&gt;1,", Job number used twice",""),3,300)))</f>
        <v/>
      </c>
      <c r="Q80" s="10">
        <f>IF($C80="","",IF(H80="","(no cost centre)",H80&amp;" - GL "&amp;IFERROR(INDEX(lst_CCtoGL,MATCH(H80,lst_CCforGL,0)),"?")))</f>
        <v/>
      </c>
      <c r="R80" s="37" t="n"/>
      <c r="S80" s="37" t="n"/>
      <c r="T80" s="10">
        <f>IF(S80="","",HYPERLINK(IF(LEFT(S80,4)="http",S80,set_QwilrBase&amp;S80),"Open quote"))</f>
        <v/>
      </c>
      <c r="U80" s="41" t="n"/>
      <c r="V80" s="37" t="n"/>
      <c r="W80" s="37" t="n"/>
      <c r="X80" s="10" t="inlineStr">
        <is>
          <t>ONS-0076</t>
        </is>
      </c>
    </row>
    <row r="81">
      <c r="A81" s="16">
        <f>IF($C81="","",IFERROR(IF(INDEX(tbl_Finance[Latest Invoice Date],MATCH($X81,tbl_Finance[Row ID],0))="","",INDEX(tbl_Finance[Latest Invoice Date],MATCH($X81,tbl_Finance[Row ID],0))),""))</f>
        <v/>
      </c>
      <c r="B81" s="10">
        <f>IF($C81="","",IFERROR(INDEX(tbl_Finance[Invoice Numbers],MATCH($X81,tbl_Finance[Row ID],0))&amp;"",""))</f>
        <v/>
      </c>
      <c r="C81" s="37" t="n"/>
      <c r="D81" s="10">
        <f>IF($C81="","",IF(COUNTIF(lst_Jobs,$C81&amp;"")&gt;0,"OK","CHECK"))</f>
        <v/>
      </c>
      <c r="E81" s="10">
        <f>IF($C81="","",IFERROR(INDEX(lst_JobName,MATCH($C81&amp;"",lst_Jobs,0)),""))</f>
        <v/>
      </c>
      <c r="F81" s="37" t="n"/>
      <c r="G81" s="37" t="n"/>
      <c r="H81" s="37" t="n"/>
      <c r="I81" s="37" t="n"/>
      <c r="J81" s="37" t="n"/>
      <c r="K81" s="38">
        <f>IF($C81="","",IFERROR(N(INDEX(tbl_Finance[Invoice Count],MATCH($X81,tbl_Finance[Row ID],0))),""))</f>
        <v/>
      </c>
      <c r="L81" s="11">
        <f>IF($C81="","",IFERROR(N(INDEX(tbl_Finance[Xero Invoiced Ex GST],MATCH($X81,tbl_Finance[Row ID],0))),""))</f>
        <v/>
      </c>
      <c r="M81" s="10">
        <f>IF($C81="","",IFERROR(INDEX(tbl_Finance[Compare],MATCH($X81,tbl_Finance[Row ID],0))&amp;"",""))</f>
        <v/>
      </c>
      <c r="N81" s="11">
        <f>IF($C81="","",MAX(0,N(O81)-N(L81)))</f>
        <v/>
      </c>
      <c r="O81" s="39" t="n"/>
      <c r="P81" s="40">
        <f>IF($C81="","",IF((IF(F81="",", Client","")&amp;IF(G81="",", Description","")&amp;IF(H81="",", Cost Centre","")&amp;IF(I81="",", Invoice Type","")&amp;IF(J81="",", Tax Code","")&amp;IF(O81="",", Expected Revenue","")&amp;IF(COUNTIF(tbl_Finance[Job Number],$C81&amp;"")&gt;1,", Job number used twice",""))="","Complete","Fix: "&amp;MID(IF(F81="",", Client","")&amp;IF(G81="",", Description","")&amp;IF(H81="",", Cost Centre","")&amp;IF(I81="",", Invoice Type","")&amp;IF(J81="",", Tax Code","")&amp;IF(O81="",", Expected Revenue","")&amp;IF(COUNTIF(tbl_Finance[Job Number],$C81&amp;"")&gt;1,", Job number used twice",""),3,300)))</f>
        <v/>
      </c>
      <c r="Q81" s="10">
        <f>IF($C81="","",IF(H81="","(no cost centre)",H81&amp;" - GL "&amp;IFERROR(INDEX(lst_CCtoGL,MATCH(H81,lst_CCforGL,0)),"?")))</f>
        <v/>
      </c>
      <c r="R81" s="37" t="n"/>
      <c r="S81" s="37" t="n"/>
      <c r="T81" s="10">
        <f>IF(S81="","",HYPERLINK(IF(LEFT(S81,4)="http",S81,set_QwilrBase&amp;S81),"Open quote"))</f>
        <v/>
      </c>
      <c r="U81" s="41" t="n"/>
      <c r="V81" s="37" t="n"/>
      <c r="W81" s="37" t="n"/>
      <c r="X81" s="10" t="inlineStr">
        <is>
          <t>ONS-0077</t>
        </is>
      </c>
    </row>
    <row r="82">
      <c r="A82" s="16">
        <f>IF($C82="","",IFERROR(IF(INDEX(tbl_Finance[Latest Invoice Date],MATCH($X82,tbl_Finance[Row ID],0))="","",INDEX(tbl_Finance[Latest Invoice Date],MATCH($X82,tbl_Finance[Row ID],0))),""))</f>
        <v/>
      </c>
      <c r="B82" s="10">
        <f>IF($C82="","",IFERROR(INDEX(tbl_Finance[Invoice Numbers],MATCH($X82,tbl_Finance[Row ID],0))&amp;"",""))</f>
        <v/>
      </c>
      <c r="C82" s="37" t="n"/>
      <c r="D82" s="10">
        <f>IF($C82="","",IF(COUNTIF(lst_Jobs,$C82&amp;"")&gt;0,"OK","CHECK"))</f>
        <v/>
      </c>
      <c r="E82" s="10">
        <f>IF($C82="","",IFERROR(INDEX(lst_JobName,MATCH($C82&amp;"",lst_Jobs,0)),""))</f>
        <v/>
      </c>
      <c r="F82" s="37" t="n"/>
      <c r="G82" s="37" t="n"/>
      <c r="H82" s="37" t="n"/>
      <c r="I82" s="37" t="n"/>
      <c r="J82" s="37" t="n"/>
      <c r="K82" s="38">
        <f>IF($C82="","",IFERROR(N(INDEX(tbl_Finance[Invoice Count],MATCH($X82,tbl_Finance[Row ID],0))),""))</f>
        <v/>
      </c>
      <c r="L82" s="11">
        <f>IF($C82="","",IFERROR(N(INDEX(tbl_Finance[Xero Invoiced Ex GST],MATCH($X82,tbl_Finance[Row ID],0))),""))</f>
        <v/>
      </c>
      <c r="M82" s="10">
        <f>IF($C82="","",IFERROR(INDEX(tbl_Finance[Compare],MATCH($X82,tbl_Finance[Row ID],0))&amp;"",""))</f>
        <v/>
      </c>
      <c r="N82" s="11">
        <f>IF($C82="","",MAX(0,N(O82)-N(L82)))</f>
        <v/>
      </c>
      <c r="O82" s="39" t="n"/>
      <c r="P82" s="40">
        <f>IF($C82="","",IF((IF(F82="",", Client","")&amp;IF(G82="",", Description","")&amp;IF(H82="",", Cost Centre","")&amp;IF(I82="",", Invoice Type","")&amp;IF(J82="",", Tax Code","")&amp;IF(O82="",", Expected Revenue","")&amp;IF(COUNTIF(tbl_Finance[Job Number],$C82&amp;"")&gt;1,", Job number used twice",""))="","Complete","Fix: "&amp;MID(IF(F82="",", Client","")&amp;IF(G82="",", Description","")&amp;IF(H82="",", Cost Centre","")&amp;IF(I82="",", Invoice Type","")&amp;IF(J82="",", Tax Code","")&amp;IF(O82="",", Expected Revenue","")&amp;IF(COUNTIF(tbl_Finance[Job Number],$C82&amp;"")&gt;1,", Job number used twice",""),3,300)))</f>
        <v/>
      </c>
      <c r="Q82" s="10">
        <f>IF($C82="","",IF(H82="","(no cost centre)",H82&amp;" - GL "&amp;IFERROR(INDEX(lst_CCtoGL,MATCH(H82,lst_CCforGL,0)),"?")))</f>
        <v/>
      </c>
      <c r="R82" s="37" t="n"/>
      <c r="S82" s="37" t="n"/>
      <c r="T82" s="10">
        <f>IF(S82="","",HYPERLINK(IF(LEFT(S82,4)="http",S82,set_QwilrBase&amp;S82),"Open quote"))</f>
        <v/>
      </c>
      <c r="U82" s="41" t="n"/>
      <c r="V82" s="37" t="n"/>
      <c r="W82" s="37" t="n"/>
      <c r="X82" s="10" t="inlineStr">
        <is>
          <t>ONS-0078</t>
        </is>
      </c>
    </row>
    <row r="83">
      <c r="A83" s="16">
        <f>IF($C83="","",IFERROR(IF(INDEX(tbl_Finance[Latest Invoice Date],MATCH($X83,tbl_Finance[Row ID],0))="","",INDEX(tbl_Finance[Latest Invoice Date],MATCH($X83,tbl_Finance[Row ID],0))),""))</f>
        <v/>
      </c>
      <c r="B83" s="10">
        <f>IF($C83="","",IFERROR(INDEX(tbl_Finance[Invoice Numbers],MATCH($X83,tbl_Finance[Row ID],0))&amp;"",""))</f>
        <v/>
      </c>
      <c r="C83" s="37" t="n"/>
      <c r="D83" s="10">
        <f>IF($C83="","",IF(COUNTIF(lst_Jobs,$C83&amp;"")&gt;0,"OK","CHECK"))</f>
        <v/>
      </c>
      <c r="E83" s="10">
        <f>IF($C83="","",IFERROR(INDEX(lst_JobName,MATCH($C83&amp;"",lst_Jobs,0)),""))</f>
        <v/>
      </c>
      <c r="F83" s="37" t="n"/>
      <c r="G83" s="37" t="n"/>
      <c r="H83" s="37" t="n"/>
      <c r="I83" s="37" t="n"/>
      <c r="J83" s="37" t="n"/>
      <c r="K83" s="38">
        <f>IF($C83="","",IFERROR(N(INDEX(tbl_Finance[Invoice Count],MATCH($X83,tbl_Finance[Row ID],0))),""))</f>
        <v/>
      </c>
      <c r="L83" s="11">
        <f>IF($C83="","",IFERROR(N(INDEX(tbl_Finance[Xero Invoiced Ex GST],MATCH($X83,tbl_Finance[Row ID],0))),""))</f>
        <v/>
      </c>
      <c r="M83" s="10">
        <f>IF($C83="","",IFERROR(INDEX(tbl_Finance[Compare],MATCH($X83,tbl_Finance[Row ID],0))&amp;"",""))</f>
        <v/>
      </c>
      <c r="N83" s="11">
        <f>IF($C83="","",MAX(0,N(O83)-N(L83)))</f>
        <v/>
      </c>
      <c r="O83" s="39" t="n"/>
      <c r="P83" s="40">
        <f>IF($C83="","",IF((IF(F83="",", Client","")&amp;IF(G83="",", Description","")&amp;IF(H83="",", Cost Centre","")&amp;IF(I83="",", Invoice Type","")&amp;IF(J83="",", Tax Code","")&amp;IF(O83="",", Expected Revenue","")&amp;IF(COUNTIF(tbl_Finance[Job Number],$C83&amp;"")&gt;1,", Job number used twice",""))="","Complete","Fix: "&amp;MID(IF(F83="",", Client","")&amp;IF(G83="",", Description","")&amp;IF(H83="",", Cost Centre","")&amp;IF(I83="",", Invoice Type","")&amp;IF(J83="",", Tax Code","")&amp;IF(O83="",", Expected Revenue","")&amp;IF(COUNTIF(tbl_Finance[Job Number],$C83&amp;"")&gt;1,", Job number used twice",""),3,300)))</f>
        <v/>
      </c>
      <c r="Q83" s="10">
        <f>IF($C83="","",IF(H83="","(no cost centre)",H83&amp;" - GL "&amp;IFERROR(INDEX(lst_CCtoGL,MATCH(H83,lst_CCforGL,0)),"?")))</f>
        <v/>
      </c>
      <c r="R83" s="37" t="n"/>
      <c r="S83" s="37" t="n"/>
      <c r="T83" s="10">
        <f>IF(S83="","",HYPERLINK(IF(LEFT(S83,4)="http",S83,set_QwilrBase&amp;S83),"Open quote"))</f>
        <v/>
      </c>
      <c r="U83" s="41" t="n"/>
      <c r="V83" s="37" t="n"/>
      <c r="W83" s="37" t="n"/>
      <c r="X83" s="10" t="inlineStr">
        <is>
          <t>ONS-0079</t>
        </is>
      </c>
    </row>
    <row r="84">
      <c r="A84" s="16">
        <f>IF($C84="","",IFERROR(IF(INDEX(tbl_Finance[Latest Invoice Date],MATCH($X84,tbl_Finance[Row ID],0))="","",INDEX(tbl_Finance[Latest Invoice Date],MATCH($X84,tbl_Finance[Row ID],0))),""))</f>
        <v/>
      </c>
      <c r="B84" s="10">
        <f>IF($C84="","",IFERROR(INDEX(tbl_Finance[Invoice Numbers],MATCH($X84,tbl_Finance[Row ID],0))&amp;"",""))</f>
        <v/>
      </c>
      <c r="C84" s="37" t="n"/>
      <c r="D84" s="10">
        <f>IF($C84="","",IF(COUNTIF(lst_Jobs,$C84&amp;"")&gt;0,"OK","CHECK"))</f>
        <v/>
      </c>
      <c r="E84" s="10">
        <f>IF($C84="","",IFERROR(INDEX(lst_JobName,MATCH($C84&amp;"",lst_Jobs,0)),""))</f>
        <v/>
      </c>
      <c r="F84" s="37" t="n"/>
      <c r="G84" s="37" t="n"/>
      <c r="H84" s="37" t="n"/>
      <c r="I84" s="37" t="n"/>
      <c r="J84" s="37" t="n"/>
      <c r="K84" s="38">
        <f>IF($C84="","",IFERROR(N(INDEX(tbl_Finance[Invoice Count],MATCH($X84,tbl_Finance[Row ID],0))),""))</f>
        <v/>
      </c>
      <c r="L84" s="11">
        <f>IF($C84="","",IFERROR(N(INDEX(tbl_Finance[Xero Invoiced Ex GST],MATCH($X84,tbl_Finance[Row ID],0))),""))</f>
        <v/>
      </c>
      <c r="M84" s="10">
        <f>IF($C84="","",IFERROR(INDEX(tbl_Finance[Compare],MATCH($X84,tbl_Finance[Row ID],0))&amp;"",""))</f>
        <v/>
      </c>
      <c r="N84" s="11">
        <f>IF($C84="","",MAX(0,N(O84)-N(L84)))</f>
        <v/>
      </c>
      <c r="O84" s="39" t="n"/>
      <c r="P84" s="40">
        <f>IF($C84="","",IF((IF(F84="",", Client","")&amp;IF(G84="",", Description","")&amp;IF(H84="",", Cost Centre","")&amp;IF(I84="",", Invoice Type","")&amp;IF(J84="",", Tax Code","")&amp;IF(O84="",", Expected Revenue","")&amp;IF(COUNTIF(tbl_Finance[Job Number],$C84&amp;"")&gt;1,", Job number used twice",""))="","Complete","Fix: "&amp;MID(IF(F84="",", Client","")&amp;IF(G84="",", Description","")&amp;IF(H84="",", Cost Centre","")&amp;IF(I84="",", Invoice Type","")&amp;IF(J84="",", Tax Code","")&amp;IF(O84="",", Expected Revenue","")&amp;IF(COUNTIF(tbl_Finance[Job Number],$C84&amp;"")&gt;1,", Job number used twice",""),3,300)))</f>
        <v/>
      </c>
      <c r="Q84" s="10">
        <f>IF($C84="","",IF(H84="","(no cost centre)",H84&amp;" - GL "&amp;IFERROR(INDEX(lst_CCtoGL,MATCH(H84,lst_CCforGL,0)),"?")))</f>
        <v/>
      </c>
      <c r="R84" s="37" t="n"/>
      <c r="S84" s="37" t="n"/>
      <c r="T84" s="10">
        <f>IF(S84="","",HYPERLINK(IF(LEFT(S84,4)="http",S84,set_QwilrBase&amp;S84),"Open quote"))</f>
        <v/>
      </c>
      <c r="U84" s="41" t="n"/>
      <c r="V84" s="37" t="n"/>
      <c r="W84" s="37" t="n"/>
      <c r="X84" s="10" t="inlineStr">
        <is>
          <t>ONS-0080</t>
        </is>
      </c>
    </row>
    <row r="85">
      <c r="A85" s="16">
        <f>IF($C85="","",IFERROR(IF(INDEX(tbl_Finance[Latest Invoice Date],MATCH($X85,tbl_Finance[Row ID],0))="","",INDEX(tbl_Finance[Latest Invoice Date],MATCH($X85,tbl_Finance[Row ID],0))),""))</f>
        <v/>
      </c>
      <c r="B85" s="10">
        <f>IF($C85="","",IFERROR(INDEX(tbl_Finance[Invoice Numbers],MATCH($X85,tbl_Finance[Row ID],0))&amp;"",""))</f>
        <v/>
      </c>
      <c r="C85" s="37" t="n"/>
      <c r="D85" s="10">
        <f>IF($C85="","",IF(COUNTIF(lst_Jobs,$C85&amp;"")&gt;0,"OK","CHECK"))</f>
        <v/>
      </c>
      <c r="E85" s="10">
        <f>IF($C85="","",IFERROR(INDEX(lst_JobName,MATCH($C85&amp;"",lst_Jobs,0)),""))</f>
        <v/>
      </c>
      <c r="F85" s="37" t="n"/>
      <c r="G85" s="37" t="n"/>
      <c r="H85" s="37" t="n"/>
      <c r="I85" s="37" t="n"/>
      <c r="J85" s="37" t="n"/>
      <c r="K85" s="38">
        <f>IF($C85="","",IFERROR(N(INDEX(tbl_Finance[Invoice Count],MATCH($X85,tbl_Finance[Row ID],0))),""))</f>
        <v/>
      </c>
      <c r="L85" s="11">
        <f>IF($C85="","",IFERROR(N(INDEX(tbl_Finance[Xero Invoiced Ex GST],MATCH($X85,tbl_Finance[Row ID],0))),""))</f>
        <v/>
      </c>
      <c r="M85" s="10">
        <f>IF($C85="","",IFERROR(INDEX(tbl_Finance[Compare],MATCH($X85,tbl_Finance[Row ID],0))&amp;"",""))</f>
        <v/>
      </c>
      <c r="N85" s="11">
        <f>IF($C85="","",MAX(0,N(O85)-N(L85)))</f>
        <v/>
      </c>
      <c r="O85" s="39" t="n"/>
      <c r="P85" s="40">
        <f>IF($C85="","",IF((IF(F85="",", Client","")&amp;IF(G85="",", Description","")&amp;IF(H85="",", Cost Centre","")&amp;IF(I85="",", Invoice Type","")&amp;IF(J85="",", Tax Code","")&amp;IF(O85="",", Expected Revenue","")&amp;IF(COUNTIF(tbl_Finance[Job Number],$C85&amp;"")&gt;1,", Job number used twice",""))="","Complete","Fix: "&amp;MID(IF(F85="",", Client","")&amp;IF(G85="",", Description","")&amp;IF(H85="",", Cost Centre","")&amp;IF(I85="",", Invoice Type","")&amp;IF(J85="",", Tax Code","")&amp;IF(O85="",", Expected Revenue","")&amp;IF(COUNTIF(tbl_Finance[Job Number],$C85&amp;"")&gt;1,", Job number used twice",""),3,300)))</f>
        <v/>
      </c>
      <c r="Q85" s="10">
        <f>IF($C85="","",IF(H85="","(no cost centre)",H85&amp;" - GL "&amp;IFERROR(INDEX(lst_CCtoGL,MATCH(H85,lst_CCforGL,0)),"?")))</f>
        <v/>
      </c>
      <c r="R85" s="37" t="n"/>
      <c r="S85" s="37" t="n"/>
      <c r="T85" s="10">
        <f>IF(S85="","",HYPERLINK(IF(LEFT(S85,4)="http",S85,set_QwilrBase&amp;S85),"Open quote"))</f>
        <v/>
      </c>
      <c r="U85" s="41" t="n"/>
      <c r="V85" s="37" t="n"/>
      <c r="W85" s="37" t="n"/>
      <c r="X85" s="10" t="inlineStr">
        <is>
          <t>ONS-0081</t>
        </is>
      </c>
    </row>
    <row r="86">
      <c r="A86" s="16">
        <f>IF($C86="","",IFERROR(IF(INDEX(tbl_Finance[Latest Invoice Date],MATCH($X86,tbl_Finance[Row ID],0))="","",INDEX(tbl_Finance[Latest Invoice Date],MATCH($X86,tbl_Finance[Row ID],0))),""))</f>
        <v/>
      </c>
      <c r="B86" s="10">
        <f>IF($C86="","",IFERROR(INDEX(tbl_Finance[Invoice Numbers],MATCH($X86,tbl_Finance[Row ID],0))&amp;"",""))</f>
        <v/>
      </c>
      <c r="C86" s="37" t="n"/>
      <c r="D86" s="10">
        <f>IF($C86="","",IF(COUNTIF(lst_Jobs,$C86&amp;"")&gt;0,"OK","CHECK"))</f>
        <v/>
      </c>
      <c r="E86" s="10">
        <f>IF($C86="","",IFERROR(INDEX(lst_JobName,MATCH($C86&amp;"",lst_Jobs,0)),""))</f>
        <v/>
      </c>
      <c r="F86" s="37" t="n"/>
      <c r="G86" s="37" t="n"/>
      <c r="H86" s="37" t="n"/>
      <c r="I86" s="37" t="n"/>
      <c r="J86" s="37" t="n"/>
      <c r="K86" s="38">
        <f>IF($C86="","",IFERROR(N(INDEX(tbl_Finance[Invoice Count],MATCH($X86,tbl_Finance[Row ID],0))),""))</f>
        <v/>
      </c>
      <c r="L86" s="11">
        <f>IF($C86="","",IFERROR(N(INDEX(tbl_Finance[Xero Invoiced Ex GST],MATCH($X86,tbl_Finance[Row ID],0))),""))</f>
        <v/>
      </c>
      <c r="M86" s="10">
        <f>IF($C86="","",IFERROR(INDEX(tbl_Finance[Compare],MATCH($X86,tbl_Finance[Row ID],0))&amp;"",""))</f>
        <v/>
      </c>
      <c r="N86" s="11">
        <f>IF($C86="","",MAX(0,N(O86)-N(L86)))</f>
        <v/>
      </c>
      <c r="O86" s="39" t="n"/>
      <c r="P86" s="40">
        <f>IF($C86="","",IF((IF(F86="",", Client","")&amp;IF(G86="",", Description","")&amp;IF(H86="",", Cost Centre","")&amp;IF(I86="",", Invoice Type","")&amp;IF(J86="",", Tax Code","")&amp;IF(O86="",", Expected Revenue","")&amp;IF(COUNTIF(tbl_Finance[Job Number],$C86&amp;"")&gt;1,", Job number used twice",""))="","Complete","Fix: "&amp;MID(IF(F86="",", Client","")&amp;IF(G86="",", Description","")&amp;IF(H86="",", Cost Centre","")&amp;IF(I86="",", Invoice Type","")&amp;IF(J86="",", Tax Code","")&amp;IF(O86="",", Expected Revenue","")&amp;IF(COUNTIF(tbl_Finance[Job Number],$C86&amp;"")&gt;1,", Job number used twice",""),3,300)))</f>
        <v/>
      </c>
      <c r="Q86" s="10">
        <f>IF($C86="","",IF(H86="","(no cost centre)",H86&amp;" - GL "&amp;IFERROR(INDEX(lst_CCtoGL,MATCH(H86,lst_CCforGL,0)),"?")))</f>
        <v/>
      </c>
      <c r="R86" s="37" t="n"/>
      <c r="S86" s="37" t="n"/>
      <c r="T86" s="10">
        <f>IF(S86="","",HYPERLINK(IF(LEFT(S86,4)="http",S86,set_QwilrBase&amp;S86),"Open quote"))</f>
        <v/>
      </c>
      <c r="U86" s="41" t="n"/>
      <c r="V86" s="37" t="n"/>
      <c r="W86" s="37" t="n"/>
      <c r="X86" s="10" t="inlineStr">
        <is>
          <t>ONS-0082</t>
        </is>
      </c>
    </row>
    <row r="87">
      <c r="A87" s="16">
        <f>IF($C87="","",IFERROR(IF(INDEX(tbl_Finance[Latest Invoice Date],MATCH($X87,tbl_Finance[Row ID],0))="","",INDEX(tbl_Finance[Latest Invoice Date],MATCH($X87,tbl_Finance[Row ID],0))),""))</f>
        <v/>
      </c>
      <c r="B87" s="10">
        <f>IF($C87="","",IFERROR(INDEX(tbl_Finance[Invoice Numbers],MATCH($X87,tbl_Finance[Row ID],0))&amp;"",""))</f>
        <v/>
      </c>
      <c r="C87" s="37" t="n"/>
      <c r="D87" s="10">
        <f>IF($C87="","",IF(COUNTIF(lst_Jobs,$C87&amp;"")&gt;0,"OK","CHECK"))</f>
        <v/>
      </c>
      <c r="E87" s="10">
        <f>IF($C87="","",IFERROR(INDEX(lst_JobName,MATCH($C87&amp;"",lst_Jobs,0)),""))</f>
        <v/>
      </c>
      <c r="F87" s="37" t="n"/>
      <c r="G87" s="37" t="n"/>
      <c r="H87" s="37" t="n"/>
      <c r="I87" s="37" t="n"/>
      <c r="J87" s="37" t="n"/>
      <c r="K87" s="38">
        <f>IF($C87="","",IFERROR(N(INDEX(tbl_Finance[Invoice Count],MATCH($X87,tbl_Finance[Row ID],0))),""))</f>
        <v/>
      </c>
      <c r="L87" s="11">
        <f>IF($C87="","",IFERROR(N(INDEX(tbl_Finance[Xero Invoiced Ex GST],MATCH($X87,tbl_Finance[Row ID],0))),""))</f>
        <v/>
      </c>
      <c r="M87" s="10">
        <f>IF($C87="","",IFERROR(INDEX(tbl_Finance[Compare],MATCH($X87,tbl_Finance[Row ID],0))&amp;"",""))</f>
        <v/>
      </c>
      <c r="N87" s="11">
        <f>IF($C87="","",MAX(0,N(O87)-N(L87)))</f>
        <v/>
      </c>
      <c r="O87" s="39" t="n"/>
      <c r="P87" s="40">
        <f>IF($C87="","",IF((IF(F87="",", Client","")&amp;IF(G87="",", Description","")&amp;IF(H87="",", Cost Centre","")&amp;IF(I87="",", Invoice Type","")&amp;IF(J87="",", Tax Code","")&amp;IF(O87="",", Expected Revenue","")&amp;IF(COUNTIF(tbl_Finance[Job Number],$C87&amp;"")&gt;1,", Job number used twice",""))="","Complete","Fix: "&amp;MID(IF(F87="",", Client","")&amp;IF(G87="",", Description","")&amp;IF(H87="",", Cost Centre","")&amp;IF(I87="",", Invoice Type","")&amp;IF(J87="",", Tax Code","")&amp;IF(O87="",", Expected Revenue","")&amp;IF(COUNTIF(tbl_Finance[Job Number],$C87&amp;"")&gt;1,", Job number used twice",""),3,300)))</f>
        <v/>
      </c>
      <c r="Q87" s="10">
        <f>IF($C87="","",IF(H87="","(no cost centre)",H87&amp;" - GL "&amp;IFERROR(INDEX(lst_CCtoGL,MATCH(H87,lst_CCforGL,0)),"?")))</f>
        <v/>
      </c>
      <c r="R87" s="37" t="n"/>
      <c r="S87" s="37" t="n"/>
      <c r="T87" s="10">
        <f>IF(S87="","",HYPERLINK(IF(LEFT(S87,4)="http",S87,set_QwilrBase&amp;S87),"Open quote"))</f>
        <v/>
      </c>
      <c r="U87" s="41" t="n"/>
      <c r="V87" s="37" t="n"/>
      <c r="W87" s="37" t="n"/>
      <c r="X87" s="10" t="inlineStr">
        <is>
          <t>ONS-0083</t>
        </is>
      </c>
    </row>
    <row r="88">
      <c r="A88" s="16">
        <f>IF($C88="","",IFERROR(IF(INDEX(tbl_Finance[Latest Invoice Date],MATCH($X88,tbl_Finance[Row ID],0))="","",INDEX(tbl_Finance[Latest Invoice Date],MATCH($X88,tbl_Finance[Row ID],0))),""))</f>
        <v/>
      </c>
      <c r="B88" s="10">
        <f>IF($C88="","",IFERROR(INDEX(tbl_Finance[Invoice Numbers],MATCH($X88,tbl_Finance[Row ID],0))&amp;"",""))</f>
        <v/>
      </c>
      <c r="C88" s="37" t="n"/>
      <c r="D88" s="10">
        <f>IF($C88="","",IF(COUNTIF(lst_Jobs,$C88&amp;"")&gt;0,"OK","CHECK"))</f>
        <v/>
      </c>
      <c r="E88" s="10">
        <f>IF($C88="","",IFERROR(INDEX(lst_JobName,MATCH($C88&amp;"",lst_Jobs,0)),""))</f>
        <v/>
      </c>
      <c r="F88" s="37" t="n"/>
      <c r="G88" s="37" t="n"/>
      <c r="H88" s="37" t="n"/>
      <c r="I88" s="37" t="n"/>
      <c r="J88" s="37" t="n"/>
      <c r="K88" s="38">
        <f>IF($C88="","",IFERROR(N(INDEX(tbl_Finance[Invoice Count],MATCH($X88,tbl_Finance[Row ID],0))),""))</f>
        <v/>
      </c>
      <c r="L88" s="11">
        <f>IF($C88="","",IFERROR(N(INDEX(tbl_Finance[Xero Invoiced Ex GST],MATCH($X88,tbl_Finance[Row ID],0))),""))</f>
        <v/>
      </c>
      <c r="M88" s="10">
        <f>IF($C88="","",IFERROR(INDEX(tbl_Finance[Compare],MATCH($X88,tbl_Finance[Row ID],0))&amp;"",""))</f>
        <v/>
      </c>
      <c r="N88" s="11">
        <f>IF($C88="","",MAX(0,N(O88)-N(L88)))</f>
        <v/>
      </c>
      <c r="O88" s="39" t="n"/>
      <c r="P88" s="40">
        <f>IF($C88="","",IF((IF(F88="",", Client","")&amp;IF(G88="",", Description","")&amp;IF(H88="",", Cost Centre","")&amp;IF(I88="",", Invoice Type","")&amp;IF(J88="",", Tax Code","")&amp;IF(O88="",", Expected Revenue","")&amp;IF(COUNTIF(tbl_Finance[Job Number],$C88&amp;"")&gt;1,", Job number used twice",""))="","Complete","Fix: "&amp;MID(IF(F88="",", Client","")&amp;IF(G88="",", Description","")&amp;IF(H88="",", Cost Centre","")&amp;IF(I88="",", Invoice Type","")&amp;IF(J88="",", Tax Code","")&amp;IF(O88="",", Expected Revenue","")&amp;IF(COUNTIF(tbl_Finance[Job Number],$C88&amp;"")&gt;1,", Job number used twice",""),3,300)))</f>
        <v/>
      </c>
      <c r="Q88" s="10">
        <f>IF($C88="","",IF(H88="","(no cost centre)",H88&amp;" - GL "&amp;IFERROR(INDEX(lst_CCtoGL,MATCH(H88,lst_CCforGL,0)),"?")))</f>
        <v/>
      </c>
      <c r="R88" s="37" t="n"/>
      <c r="S88" s="37" t="n"/>
      <c r="T88" s="10">
        <f>IF(S88="","",HYPERLINK(IF(LEFT(S88,4)="http",S88,set_QwilrBase&amp;S88),"Open quote"))</f>
        <v/>
      </c>
      <c r="U88" s="41" t="n"/>
      <c r="V88" s="37" t="n"/>
      <c r="W88" s="37" t="n"/>
      <c r="X88" s="10" t="inlineStr">
        <is>
          <t>ONS-0084</t>
        </is>
      </c>
    </row>
    <row r="89">
      <c r="A89" s="16">
        <f>IF($C89="","",IFERROR(IF(INDEX(tbl_Finance[Latest Invoice Date],MATCH($X89,tbl_Finance[Row ID],0))="","",INDEX(tbl_Finance[Latest Invoice Date],MATCH($X89,tbl_Finance[Row ID],0))),""))</f>
        <v/>
      </c>
      <c r="B89" s="10">
        <f>IF($C89="","",IFERROR(INDEX(tbl_Finance[Invoice Numbers],MATCH($X89,tbl_Finance[Row ID],0))&amp;"",""))</f>
        <v/>
      </c>
      <c r="C89" s="37" t="n"/>
      <c r="D89" s="10">
        <f>IF($C89="","",IF(COUNTIF(lst_Jobs,$C89&amp;"")&gt;0,"OK","CHECK"))</f>
        <v/>
      </c>
      <c r="E89" s="10">
        <f>IF($C89="","",IFERROR(INDEX(lst_JobName,MATCH($C89&amp;"",lst_Jobs,0)),""))</f>
        <v/>
      </c>
      <c r="F89" s="37" t="n"/>
      <c r="G89" s="37" t="n"/>
      <c r="H89" s="37" t="n"/>
      <c r="I89" s="37" t="n"/>
      <c r="J89" s="37" t="n"/>
      <c r="K89" s="38">
        <f>IF($C89="","",IFERROR(N(INDEX(tbl_Finance[Invoice Count],MATCH($X89,tbl_Finance[Row ID],0))),""))</f>
        <v/>
      </c>
      <c r="L89" s="11">
        <f>IF($C89="","",IFERROR(N(INDEX(tbl_Finance[Xero Invoiced Ex GST],MATCH($X89,tbl_Finance[Row ID],0))),""))</f>
        <v/>
      </c>
      <c r="M89" s="10">
        <f>IF($C89="","",IFERROR(INDEX(tbl_Finance[Compare],MATCH($X89,tbl_Finance[Row ID],0))&amp;"",""))</f>
        <v/>
      </c>
      <c r="N89" s="11">
        <f>IF($C89="","",MAX(0,N(O89)-N(L89)))</f>
        <v/>
      </c>
      <c r="O89" s="39" t="n"/>
      <c r="P89" s="40">
        <f>IF($C89="","",IF((IF(F89="",", Client","")&amp;IF(G89="",", Description","")&amp;IF(H89="",", Cost Centre","")&amp;IF(I89="",", Invoice Type","")&amp;IF(J89="",", Tax Code","")&amp;IF(O89="",", Expected Revenue","")&amp;IF(COUNTIF(tbl_Finance[Job Number],$C89&amp;"")&gt;1,", Job number used twice",""))="","Complete","Fix: "&amp;MID(IF(F89="",", Client","")&amp;IF(G89="",", Description","")&amp;IF(H89="",", Cost Centre","")&amp;IF(I89="",", Invoice Type","")&amp;IF(J89="",", Tax Code","")&amp;IF(O89="",", Expected Revenue","")&amp;IF(COUNTIF(tbl_Finance[Job Number],$C89&amp;"")&gt;1,", Job number used twice",""),3,300)))</f>
        <v/>
      </c>
      <c r="Q89" s="10">
        <f>IF($C89="","",IF(H89="","(no cost centre)",H89&amp;" - GL "&amp;IFERROR(INDEX(lst_CCtoGL,MATCH(H89,lst_CCforGL,0)),"?")))</f>
        <v/>
      </c>
      <c r="R89" s="37" t="n"/>
      <c r="S89" s="37" t="n"/>
      <c r="T89" s="10">
        <f>IF(S89="","",HYPERLINK(IF(LEFT(S89,4)="http",S89,set_QwilrBase&amp;S89),"Open quote"))</f>
        <v/>
      </c>
      <c r="U89" s="41" t="n"/>
      <c r="V89" s="37" t="n"/>
      <c r="W89" s="37" t="n"/>
      <c r="X89" s="10" t="inlineStr">
        <is>
          <t>ONS-0085</t>
        </is>
      </c>
    </row>
    <row r="90">
      <c r="A90" s="16">
        <f>IF($C90="","",IFERROR(IF(INDEX(tbl_Finance[Latest Invoice Date],MATCH($X90,tbl_Finance[Row ID],0))="","",INDEX(tbl_Finance[Latest Invoice Date],MATCH($X90,tbl_Finance[Row ID],0))),""))</f>
        <v/>
      </c>
      <c r="B90" s="10">
        <f>IF($C90="","",IFERROR(INDEX(tbl_Finance[Invoice Numbers],MATCH($X90,tbl_Finance[Row ID],0))&amp;"",""))</f>
        <v/>
      </c>
      <c r="C90" s="37" t="n"/>
      <c r="D90" s="10">
        <f>IF($C90="","",IF(COUNTIF(lst_Jobs,$C90&amp;"")&gt;0,"OK","CHECK"))</f>
        <v/>
      </c>
      <c r="E90" s="10">
        <f>IF($C90="","",IFERROR(INDEX(lst_JobName,MATCH($C90&amp;"",lst_Jobs,0)),""))</f>
        <v/>
      </c>
      <c r="F90" s="37" t="n"/>
      <c r="G90" s="37" t="n"/>
      <c r="H90" s="37" t="n"/>
      <c r="I90" s="37" t="n"/>
      <c r="J90" s="37" t="n"/>
      <c r="K90" s="38">
        <f>IF($C90="","",IFERROR(N(INDEX(tbl_Finance[Invoice Count],MATCH($X90,tbl_Finance[Row ID],0))),""))</f>
        <v/>
      </c>
      <c r="L90" s="11">
        <f>IF($C90="","",IFERROR(N(INDEX(tbl_Finance[Xero Invoiced Ex GST],MATCH($X90,tbl_Finance[Row ID],0))),""))</f>
        <v/>
      </c>
      <c r="M90" s="10">
        <f>IF($C90="","",IFERROR(INDEX(tbl_Finance[Compare],MATCH($X90,tbl_Finance[Row ID],0))&amp;"",""))</f>
        <v/>
      </c>
      <c r="N90" s="11">
        <f>IF($C90="","",MAX(0,N(O90)-N(L90)))</f>
        <v/>
      </c>
      <c r="O90" s="39" t="n"/>
      <c r="P90" s="40">
        <f>IF($C90="","",IF((IF(F90="",", Client","")&amp;IF(G90="",", Description","")&amp;IF(H90="",", Cost Centre","")&amp;IF(I90="",", Invoice Type","")&amp;IF(J90="",", Tax Code","")&amp;IF(O90="",", Expected Revenue","")&amp;IF(COUNTIF(tbl_Finance[Job Number],$C90&amp;"")&gt;1,", Job number used twice",""))="","Complete","Fix: "&amp;MID(IF(F90="",", Client","")&amp;IF(G90="",", Description","")&amp;IF(H90="",", Cost Centre","")&amp;IF(I90="",", Invoice Type","")&amp;IF(J90="",", Tax Code","")&amp;IF(O90="",", Expected Revenue","")&amp;IF(COUNTIF(tbl_Finance[Job Number],$C90&amp;"")&gt;1,", Job number used twice",""),3,300)))</f>
        <v/>
      </c>
      <c r="Q90" s="10">
        <f>IF($C90="","",IF(H90="","(no cost centre)",H90&amp;" - GL "&amp;IFERROR(INDEX(lst_CCtoGL,MATCH(H90,lst_CCforGL,0)),"?")))</f>
        <v/>
      </c>
      <c r="R90" s="37" t="n"/>
      <c r="S90" s="37" t="n"/>
      <c r="T90" s="10">
        <f>IF(S90="","",HYPERLINK(IF(LEFT(S90,4)="http",S90,set_QwilrBase&amp;S90),"Open quote"))</f>
        <v/>
      </c>
      <c r="U90" s="41" t="n"/>
      <c r="V90" s="37" t="n"/>
      <c r="W90" s="37" t="n"/>
      <c r="X90" s="10" t="inlineStr">
        <is>
          <t>ONS-0086</t>
        </is>
      </c>
    </row>
    <row r="91">
      <c r="A91" s="16">
        <f>IF($C91="","",IFERROR(IF(INDEX(tbl_Finance[Latest Invoice Date],MATCH($X91,tbl_Finance[Row ID],0))="","",INDEX(tbl_Finance[Latest Invoice Date],MATCH($X91,tbl_Finance[Row ID],0))),""))</f>
        <v/>
      </c>
      <c r="B91" s="10">
        <f>IF($C91="","",IFERROR(INDEX(tbl_Finance[Invoice Numbers],MATCH($X91,tbl_Finance[Row ID],0))&amp;"",""))</f>
        <v/>
      </c>
      <c r="C91" s="37" t="n"/>
      <c r="D91" s="10">
        <f>IF($C91="","",IF(COUNTIF(lst_Jobs,$C91&amp;"")&gt;0,"OK","CHECK"))</f>
        <v/>
      </c>
      <c r="E91" s="10">
        <f>IF($C91="","",IFERROR(INDEX(lst_JobName,MATCH($C91&amp;"",lst_Jobs,0)),""))</f>
        <v/>
      </c>
      <c r="F91" s="37" t="n"/>
      <c r="G91" s="37" t="n"/>
      <c r="H91" s="37" t="n"/>
      <c r="I91" s="37" t="n"/>
      <c r="J91" s="37" t="n"/>
      <c r="K91" s="38">
        <f>IF($C91="","",IFERROR(N(INDEX(tbl_Finance[Invoice Count],MATCH($X91,tbl_Finance[Row ID],0))),""))</f>
        <v/>
      </c>
      <c r="L91" s="11">
        <f>IF($C91="","",IFERROR(N(INDEX(tbl_Finance[Xero Invoiced Ex GST],MATCH($X91,tbl_Finance[Row ID],0))),""))</f>
        <v/>
      </c>
      <c r="M91" s="10">
        <f>IF($C91="","",IFERROR(INDEX(tbl_Finance[Compare],MATCH($X91,tbl_Finance[Row ID],0))&amp;"",""))</f>
        <v/>
      </c>
      <c r="N91" s="11">
        <f>IF($C91="","",MAX(0,N(O91)-N(L91)))</f>
        <v/>
      </c>
      <c r="O91" s="39" t="n"/>
      <c r="P91" s="40">
        <f>IF($C91="","",IF((IF(F91="",", Client","")&amp;IF(G91="",", Description","")&amp;IF(H91="",", Cost Centre","")&amp;IF(I91="",", Invoice Type","")&amp;IF(J91="",", Tax Code","")&amp;IF(O91="",", Expected Revenue","")&amp;IF(COUNTIF(tbl_Finance[Job Number],$C91&amp;"")&gt;1,", Job number used twice",""))="","Complete","Fix: "&amp;MID(IF(F91="",", Client","")&amp;IF(G91="",", Description","")&amp;IF(H91="",", Cost Centre","")&amp;IF(I91="",", Invoice Type","")&amp;IF(J91="",", Tax Code","")&amp;IF(O91="",", Expected Revenue","")&amp;IF(COUNTIF(tbl_Finance[Job Number],$C91&amp;"")&gt;1,", Job number used twice",""),3,300)))</f>
        <v/>
      </c>
      <c r="Q91" s="10">
        <f>IF($C91="","",IF(H91="","(no cost centre)",H91&amp;" - GL "&amp;IFERROR(INDEX(lst_CCtoGL,MATCH(H91,lst_CCforGL,0)),"?")))</f>
        <v/>
      </c>
      <c r="R91" s="37" t="n"/>
      <c r="S91" s="37" t="n"/>
      <c r="T91" s="10">
        <f>IF(S91="","",HYPERLINK(IF(LEFT(S91,4)="http",S91,set_QwilrBase&amp;S91),"Open quote"))</f>
        <v/>
      </c>
      <c r="U91" s="41" t="n"/>
      <c r="V91" s="37" t="n"/>
      <c r="W91" s="37" t="n"/>
      <c r="X91" s="10" t="inlineStr">
        <is>
          <t>ONS-0087</t>
        </is>
      </c>
    </row>
    <row r="92">
      <c r="A92" s="16">
        <f>IF($C92="","",IFERROR(IF(INDEX(tbl_Finance[Latest Invoice Date],MATCH($X92,tbl_Finance[Row ID],0))="","",INDEX(tbl_Finance[Latest Invoice Date],MATCH($X92,tbl_Finance[Row ID],0))),""))</f>
        <v/>
      </c>
      <c r="B92" s="10">
        <f>IF($C92="","",IFERROR(INDEX(tbl_Finance[Invoice Numbers],MATCH($X92,tbl_Finance[Row ID],0))&amp;"",""))</f>
        <v/>
      </c>
      <c r="C92" s="37" t="n"/>
      <c r="D92" s="10">
        <f>IF($C92="","",IF(COUNTIF(lst_Jobs,$C92&amp;"")&gt;0,"OK","CHECK"))</f>
        <v/>
      </c>
      <c r="E92" s="10">
        <f>IF($C92="","",IFERROR(INDEX(lst_JobName,MATCH($C92&amp;"",lst_Jobs,0)),""))</f>
        <v/>
      </c>
      <c r="F92" s="37" t="n"/>
      <c r="G92" s="37" t="n"/>
      <c r="H92" s="37" t="n"/>
      <c r="I92" s="37" t="n"/>
      <c r="J92" s="37" t="n"/>
      <c r="K92" s="38">
        <f>IF($C92="","",IFERROR(N(INDEX(tbl_Finance[Invoice Count],MATCH($X92,tbl_Finance[Row ID],0))),""))</f>
        <v/>
      </c>
      <c r="L92" s="11">
        <f>IF($C92="","",IFERROR(N(INDEX(tbl_Finance[Xero Invoiced Ex GST],MATCH($X92,tbl_Finance[Row ID],0))),""))</f>
        <v/>
      </c>
      <c r="M92" s="10">
        <f>IF($C92="","",IFERROR(INDEX(tbl_Finance[Compare],MATCH($X92,tbl_Finance[Row ID],0))&amp;"",""))</f>
        <v/>
      </c>
      <c r="N92" s="11">
        <f>IF($C92="","",MAX(0,N(O92)-N(L92)))</f>
        <v/>
      </c>
      <c r="O92" s="39" t="n"/>
      <c r="P92" s="40">
        <f>IF($C92="","",IF((IF(F92="",", Client","")&amp;IF(G92="",", Description","")&amp;IF(H92="",", Cost Centre","")&amp;IF(I92="",", Invoice Type","")&amp;IF(J92="",", Tax Code","")&amp;IF(O92="",", Expected Revenue","")&amp;IF(COUNTIF(tbl_Finance[Job Number],$C92&amp;"")&gt;1,", Job number used twice",""))="","Complete","Fix: "&amp;MID(IF(F92="",", Client","")&amp;IF(G92="",", Description","")&amp;IF(H92="",", Cost Centre","")&amp;IF(I92="",", Invoice Type","")&amp;IF(J92="",", Tax Code","")&amp;IF(O92="",", Expected Revenue","")&amp;IF(COUNTIF(tbl_Finance[Job Number],$C92&amp;"")&gt;1,", Job number used twice",""),3,300)))</f>
        <v/>
      </c>
      <c r="Q92" s="10">
        <f>IF($C92="","",IF(H92="","(no cost centre)",H92&amp;" - GL "&amp;IFERROR(INDEX(lst_CCtoGL,MATCH(H92,lst_CCforGL,0)),"?")))</f>
        <v/>
      </c>
      <c r="R92" s="37" t="n"/>
      <c r="S92" s="37" t="n"/>
      <c r="T92" s="10">
        <f>IF(S92="","",HYPERLINK(IF(LEFT(S92,4)="http",S92,set_QwilrBase&amp;S92),"Open quote"))</f>
        <v/>
      </c>
      <c r="U92" s="41" t="n"/>
      <c r="V92" s="37" t="n"/>
      <c r="W92" s="37" t="n"/>
      <c r="X92" s="10" t="inlineStr">
        <is>
          <t>ONS-0088</t>
        </is>
      </c>
    </row>
    <row r="93">
      <c r="A93" s="16">
        <f>IF($C93="","",IFERROR(IF(INDEX(tbl_Finance[Latest Invoice Date],MATCH($X93,tbl_Finance[Row ID],0))="","",INDEX(tbl_Finance[Latest Invoice Date],MATCH($X93,tbl_Finance[Row ID],0))),""))</f>
        <v/>
      </c>
      <c r="B93" s="10">
        <f>IF($C93="","",IFERROR(INDEX(tbl_Finance[Invoice Numbers],MATCH($X93,tbl_Finance[Row ID],0))&amp;"",""))</f>
        <v/>
      </c>
      <c r="C93" s="37" t="n"/>
      <c r="D93" s="10">
        <f>IF($C93="","",IF(COUNTIF(lst_Jobs,$C93&amp;"")&gt;0,"OK","CHECK"))</f>
        <v/>
      </c>
      <c r="E93" s="10">
        <f>IF($C93="","",IFERROR(INDEX(lst_JobName,MATCH($C93&amp;"",lst_Jobs,0)),""))</f>
        <v/>
      </c>
      <c r="F93" s="37" t="n"/>
      <c r="G93" s="37" t="n"/>
      <c r="H93" s="37" t="n"/>
      <c r="I93" s="37" t="n"/>
      <c r="J93" s="37" t="n"/>
      <c r="K93" s="38">
        <f>IF($C93="","",IFERROR(N(INDEX(tbl_Finance[Invoice Count],MATCH($X93,tbl_Finance[Row ID],0))),""))</f>
        <v/>
      </c>
      <c r="L93" s="11">
        <f>IF($C93="","",IFERROR(N(INDEX(tbl_Finance[Xero Invoiced Ex GST],MATCH($X93,tbl_Finance[Row ID],0))),""))</f>
        <v/>
      </c>
      <c r="M93" s="10">
        <f>IF($C93="","",IFERROR(INDEX(tbl_Finance[Compare],MATCH($X93,tbl_Finance[Row ID],0))&amp;"",""))</f>
        <v/>
      </c>
      <c r="N93" s="11">
        <f>IF($C93="","",MAX(0,N(O93)-N(L93)))</f>
        <v/>
      </c>
      <c r="O93" s="39" t="n"/>
      <c r="P93" s="40">
        <f>IF($C93="","",IF((IF(F93="",", Client","")&amp;IF(G93="",", Description","")&amp;IF(H93="",", Cost Centre","")&amp;IF(I93="",", Invoice Type","")&amp;IF(J93="",", Tax Code","")&amp;IF(O93="",", Expected Revenue","")&amp;IF(COUNTIF(tbl_Finance[Job Number],$C93&amp;"")&gt;1,", Job number used twice",""))="","Complete","Fix: "&amp;MID(IF(F93="",", Client","")&amp;IF(G93="",", Description","")&amp;IF(H93="",", Cost Centre","")&amp;IF(I93="",", Invoice Type","")&amp;IF(J93="",", Tax Code","")&amp;IF(O93="",", Expected Revenue","")&amp;IF(COUNTIF(tbl_Finance[Job Number],$C93&amp;"")&gt;1,", Job number used twice",""),3,300)))</f>
        <v/>
      </c>
      <c r="Q93" s="10">
        <f>IF($C93="","",IF(H93="","(no cost centre)",H93&amp;" - GL "&amp;IFERROR(INDEX(lst_CCtoGL,MATCH(H93,lst_CCforGL,0)),"?")))</f>
        <v/>
      </c>
      <c r="R93" s="37" t="n"/>
      <c r="S93" s="37" t="n"/>
      <c r="T93" s="10">
        <f>IF(S93="","",HYPERLINK(IF(LEFT(S93,4)="http",S93,set_QwilrBase&amp;S93),"Open quote"))</f>
        <v/>
      </c>
      <c r="U93" s="41" t="n"/>
      <c r="V93" s="37" t="n"/>
      <c r="W93" s="37" t="n"/>
      <c r="X93" s="10" t="inlineStr">
        <is>
          <t>ONS-0089</t>
        </is>
      </c>
    </row>
    <row r="94">
      <c r="A94" s="16">
        <f>IF($C94="","",IFERROR(IF(INDEX(tbl_Finance[Latest Invoice Date],MATCH($X94,tbl_Finance[Row ID],0))="","",INDEX(tbl_Finance[Latest Invoice Date],MATCH($X94,tbl_Finance[Row ID],0))),""))</f>
        <v/>
      </c>
      <c r="B94" s="10">
        <f>IF($C94="","",IFERROR(INDEX(tbl_Finance[Invoice Numbers],MATCH($X94,tbl_Finance[Row ID],0))&amp;"",""))</f>
        <v/>
      </c>
      <c r="C94" s="37" t="n"/>
      <c r="D94" s="10">
        <f>IF($C94="","",IF(COUNTIF(lst_Jobs,$C94&amp;"")&gt;0,"OK","CHECK"))</f>
        <v/>
      </c>
      <c r="E94" s="10">
        <f>IF($C94="","",IFERROR(INDEX(lst_JobName,MATCH($C94&amp;"",lst_Jobs,0)),""))</f>
        <v/>
      </c>
      <c r="F94" s="37" t="n"/>
      <c r="G94" s="37" t="n"/>
      <c r="H94" s="37" t="n"/>
      <c r="I94" s="37" t="n"/>
      <c r="J94" s="37" t="n"/>
      <c r="K94" s="38">
        <f>IF($C94="","",IFERROR(N(INDEX(tbl_Finance[Invoice Count],MATCH($X94,tbl_Finance[Row ID],0))),""))</f>
        <v/>
      </c>
      <c r="L94" s="11">
        <f>IF($C94="","",IFERROR(N(INDEX(tbl_Finance[Xero Invoiced Ex GST],MATCH($X94,tbl_Finance[Row ID],0))),""))</f>
        <v/>
      </c>
      <c r="M94" s="10">
        <f>IF($C94="","",IFERROR(INDEX(tbl_Finance[Compare],MATCH($X94,tbl_Finance[Row ID],0))&amp;"",""))</f>
        <v/>
      </c>
      <c r="N94" s="11">
        <f>IF($C94="","",MAX(0,N(O94)-N(L94)))</f>
        <v/>
      </c>
      <c r="O94" s="39" t="n"/>
      <c r="P94" s="40">
        <f>IF($C94="","",IF((IF(F94="",", Client","")&amp;IF(G94="",", Description","")&amp;IF(H94="",", Cost Centre","")&amp;IF(I94="",", Invoice Type","")&amp;IF(J94="",", Tax Code","")&amp;IF(O94="",", Expected Revenue","")&amp;IF(COUNTIF(tbl_Finance[Job Number],$C94&amp;"")&gt;1,", Job number used twice",""))="","Complete","Fix: "&amp;MID(IF(F94="",", Client","")&amp;IF(G94="",", Description","")&amp;IF(H94="",", Cost Centre","")&amp;IF(I94="",", Invoice Type","")&amp;IF(J94="",", Tax Code","")&amp;IF(O94="",", Expected Revenue","")&amp;IF(COUNTIF(tbl_Finance[Job Number],$C94&amp;"")&gt;1,", Job number used twice",""),3,300)))</f>
        <v/>
      </c>
      <c r="Q94" s="10">
        <f>IF($C94="","",IF(H94="","(no cost centre)",H94&amp;" - GL "&amp;IFERROR(INDEX(lst_CCtoGL,MATCH(H94,lst_CCforGL,0)),"?")))</f>
        <v/>
      </c>
      <c r="R94" s="37" t="n"/>
      <c r="S94" s="37" t="n"/>
      <c r="T94" s="10">
        <f>IF(S94="","",HYPERLINK(IF(LEFT(S94,4)="http",S94,set_QwilrBase&amp;S94),"Open quote"))</f>
        <v/>
      </c>
      <c r="U94" s="41" t="n"/>
      <c r="V94" s="37" t="n"/>
      <c r="W94" s="37" t="n"/>
      <c r="X94" s="10" t="inlineStr">
        <is>
          <t>ONS-0090</t>
        </is>
      </c>
    </row>
    <row r="95">
      <c r="A95" s="16">
        <f>IF($C95="","",IFERROR(IF(INDEX(tbl_Finance[Latest Invoice Date],MATCH($X95,tbl_Finance[Row ID],0))="","",INDEX(tbl_Finance[Latest Invoice Date],MATCH($X95,tbl_Finance[Row ID],0))),""))</f>
        <v/>
      </c>
      <c r="B95" s="10">
        <f>IF($C95="","",IFERROR(INDEX(tbl_Finance[Invoice Numbers],MATCH($X95,tbl_Finance[Row ID],0))&amp;"",""))</f>
        <v/>
      </c>
      <c r="C95" s="37" t="n"/>
      <c r="D95" s="10">
        <f>IF($C95="","",IF(COUNTIF(lst_Jobs,$C95&amp;"")&gt;0,"OK","CHECK"))</f>
        <v/>
      </c>
      <c r="E95" s="10">
        <f>IF($C95="","",IFERROR(INDEX(lst_JobName,MATCH($C95&amp;"",lst_Jobs,0)),""))</f>
        <v/>
      </c>
      <c r="F95" s="37" t="n"/>
      <c r="G95" s="37" t="n"/>
      <c r="H95" s="37" t="n"/>
      <c r="I95" s="37" t="n"/>
      <c r="J95" s="37" t="n"/>
      <c r="K95" s="38">
        <f>IF($C95="","",IFERROR(N(INDEX(tbl_Finance[Invoice Count],MATCH($X95,tbl_Finance[Row ID],0))),""))</f>
        <v/>
      </c>
      <c r="L95" s="11">
        <f>IF($C95="","",IFERROR(N(INDEX(tbl_Finance[Xero Invoiced Ex GST],MATCH($X95,tbl_Finance[Row ID],0))),""))</f>
        <v/>
      </c>
      <c r="M95" s="10">
        <f>IF($C95="","",IFERROR(INDEX(tbl_Finance[Compare],MATCH($X95,tbl_Finance[Row ID],0))&amp;"",""))</f>
        <v/>
      </c>
      <c r="N95" s="11">
        <f>IF($C95="","",MAX(0,N(O95)-N(L95)))</f>
        <v/>
      </c>
      <c r="O95" s="39" t="n"/>
      <c r="P95" s="40">
        <f>IF($C95="","",IF((IF(F95="",", Client","")&amp;IF(G95="",", Description","")&amp;IF(H95="",", Cost Centre","")&amp;IF(I95="",", Invoice Type","")&amp;IF(J95="",", Tax Code","")&amp;IF(O95="",", Expected Revenue","")&amp;IF(COUNTIF(tbl_Finance[Job Number],$C95&amp;"")&gt;1,", Job number used twice",""))="","Complete","Fix: "&amp;MID(IF(F95="",", Client","")&amp;IF(G95="",", Description","")&amp;IF(H95="",", Cost Centre","")&amp;IF(I95="",", Invoice Type","")&amp;IF(J95="",", Tax Code","")&amp;IF(O95="",", Expected Revenue","")&amp;IF(COUNTIF(tbl_Finance[Job Number],$C95&amp;"")&gt;1,", Job number used twice",""),3,300)))</f>
        <v/>
      </c>
      <c r="Q95" s="10">
        <f>IF($C95="","",IF(H95="","(no cost centre)",H95&amp;" - GL "&amp;IFERROR(INDEX(lst_CCtoGL,MATCH(H95,lst_CCforGL,0)),"?")))</f>
        <v/>
      </c>
      <c r="R95" s="37" t="n"/>
      <c r="S95" s="37" t="n"/>
      <c r="T95" s="10">
        <f>IF(S95="","",HYPERLINK(IF(LEFT(S95,4)="http",S95,set_QwilrBase&amp;S95),"Open quote"))</f>
        <v/>
      </c>
      <c r="U95" s="41" t="n"/>
      <c r="V95" s="37" t="n"/>
      <c r="W95" s="37" t="n"/>
      <c r="X95" s="10" t="inlineStr">
        <is>
          <t>ONS-0091</t>
        </is>
      </c>
    </row>
    <row r="96">
      <c r="A96" s="16">
        <f>IF($C96="","",IFERROR(IF(INDEX(tbl_Finance[Latest Invoice Date],MATCH($X96,tbl_Finance[Row ID],0))="","",INDEX(tbl_Finance[Latest Invoice Date],MATCH($X96,tbl_Finance[Row ID],0))),""))</f>
        <v/>
      </c>
      <c r="B96" s="10">
        <f>IF($C96="","",IFERROR(INDEX(tbl_Finance[Invoice Numbers],MATCH($X96,tbl_Finance[Row ID],0))&amp;"",""))</f>
        <v/>
      </c>
      <c r="C96" s="37" t="n"/>
      <c r="D96" s="10">
        <f>IF($C96="","",IF(COUNTIF(lst_Jobs,$C96&amp;"")&gt;0,"OK","CHECK"))</f>
        <v/>
      </c>
      <c r="E96" s="10">
        <f>IF($C96="","",IFERROR(INDEX(lst_JobName,MATCH($C96&amp;"",lst_Jobs,0)),""))</f>
        <v/>
      </c>
      <c r="F96" s="37" t="n"/>
      <c r="G96" s="37" t="n"/>
      <c r="H96" s="37" t="n"/>
      <c r="I96" s="37" t="n"/>
      <c r="J96" s="37" t="n"/>
      <c r="K96" s="38">
        <f>IF($C96="","",IFERROR(N(INDEX(tbl_Finance[Invoice Count],MATCH($X96,tbl_Finance[Row ID],0))),""))</f>
        <v/>
      </c>
      <c r="L96" s="11">
        <f>IF($C96="","",IFERROR(N(INDEX(tbl_Finance[Xero Invoiced Ex GST],MATCH($X96,tbl_Finance[Row ID],0))),""))</f>
        <v/>
      </c>
      <c r="M96" s="10">
        <f>IF($C96="","",IFERROR(INDEX(tbl_Finance[Compare],MATCH($X96,tbl_Finance[Row ID],0))&amp;"",""))</f>
        <v/>
      </c>
      <c r="N96" s="11">
        <f>IF($C96="","",MAX(0,N(O96)-N(L96)))</f>
        <v/>
      </c>
      <c r="O96" s="39" t="n"/>
      <c r="P96" s="40">
        <f>IF($C96="","",IF((IF(F96="",", Client","")&amp;IF(G96="",", Description","")&amp;IF(H96="",", Cost Centre","")&amp;IF(I96="",", Invoice Type","")&amp;IF(J96="",", Tax Code","")&amp;IF(O96="",", Expected Revenue","")&amp;IF(COUNTIF(tbl_Finance[Job Number],$C96&amp;"")&gt;1,", Job number used twice",""))="","Complete","Fix: "&amp;MID(IF(F96="",", Client","")&amp;IF(G96="",", Description","")&amp;IF(H96="",", Cost Centre","")&amp;IF(I96="",", Invoice Type","")&amp;IF(J96="",", Tax Code","")&amp;IF(O96="",", Expected Revenue","")&amp;IF(COUNTIF(tbl_Finance[Job Number],$C96&amp;"")&gt;1,", Job number used twice",""),3,300)))</f>
        <v/>
      </c>
      <c r="Q96" s="10">
        <f>IF($C96="","",IF(H96="","(no cost centre)",H96&amp;" - GL "&amp;IFERROR(INDEX(lst_CCtoGL,MATCH(H96,lst_CCforGL,0)),"?")))</f>
        <v/>
      </c>
      <c r="R96" s="37" t="n"/>
      <c r="S96" s="37" t="n"/>
      <c r="T96" s="10">
        <f>IF(S96="","",HYPERLINK(IF(LEFT(S96,4)="http",S96,set_QwilrBase&amp;S96),"Open quote"))</f>
        <v/>
      </c>
      <c r="U96" s="41" t="n"/>
      <c r="V96" s="37" t="n"/>
      <c r="W96" s="37" t="n"/>
      <c r="X96" s="10" t="inlineStr">
        <is>
          <t>ONS-0092</t>
        </is>
      </c>
    </row>
    <row r="97">
      <c r="A97" s="16">
        <f>IF($C97="","",IFERROR(IF(INDEX(tbl_Finance[Latest Invoice Date],MATCH($X97,tbl_Finance[Row ID],0))="","",INDEX(tbl_Finance[Latest Invoice Date],MATCH($X97,tbl_Finance[Row ID],0))),""))</f>
        <v/>
      </c>
      <c r="B97" s="10">
        <f>IF($C97="","",IFERROR(INDEX(tbl_Finance[Invoice Numbers],MATCH($X97,tbl_Finance[Row ID],0))&amp;"",""))</f>
        <v/>
      </c>
      <c r="C97" s="37" t="n"/>
      <c r="D97" s="10">
        <f>IF($C97="","",IF(COUNTIF(lst_Jobs,$C97&amp;"")&gt;0,"OK","CHECK"))</f>
        <v/>
      </c>
      <c r="E97" s="10">
        <f>IF($C97="","",IFERROR(INDEX(lst_JobName,MATCH($C97&amp;"",lst_Jobs,0)),""))</f>
        <v/>
      </c>
      <c r="F97" s="37" t="n"/>
      <c r="G97" s="37" t="n"/>
      <c r="H97" s="37" t="n"/>
      <c r="I97" s="37" t="n"/>
      <c r="J97" s="37" t="n"/>
      <c r="K97" s="38">
        <f>IF($C97="","",IFERROR(N(INDEX(tbl_Finance[Invoice Count],MATCH($X97,tbl_Finance[Row ID],0))),""))</f>
        <v/>
      </c>
      <c r="L97" s="11">
        <f>IF($C97="","",IFERROR(N(INDEX(tbl_Finance[Xero Invoiced Ex GST],MATCH($X97,tbl_Finance[Row ID],0))),""))</f>
        <v/>
      </c>
      <c r="M97" s="10">
        <f>IF($C97="","",IFERROR(INDEX(tbl_Finance[Compare],MATCH($X97,tbl_Finance[Row ID],0))&amp;"",""))</f>
        <v/>
      </c>
      <c r="N97" s="11">
        <f>IF($C97="","",MAX(0,N(O97)-N(L97)))</f>
        <v/>
      </c>
      <c r="O97" s="39" t="n"/>
      <c r="P97" s="40">
        <f>IF($C97="","",IF((IF(F97="",", Client","")&amp;IF(G97="",", Description","")&amp;IF(H97="",", Cost Centre","")&amp;IF(I97="",", Invoice Type","")&amp;IF(J97="",", Tax Code","")&amp;IF(O97="",", Expected Revenue","")&amp;IF(COUNTIF(tbl_Finance[Job Number],$C97&amp;"")&gt;1,", Job number used twice",""))="","Complete","Fix: "&amp;MID(IF(F97="",", Client","")&amp;IF(G97="",", Description","")&amp;IF(H97="",", Cost Centre","")&amp;IF(I97="",", Invoice Type","")&amp;IF(J97="",", Tax Code","")&amp;IF(O97="",", Expected Revenue","")&amp;IF(COUNTIF(tbl_Finance[Job Number],$C97&amp;"")&gt;1,", Job number used twice",""),3,300)))</f>
        <v/>
      </c>
      <c r="Q97" s="10">
        <f>IF($C97="","",IF(H97="","(no cost centre)",H97&amp;" - GL "&amp;IFERROR(INDEX(lst_CCtoGL,MATCH(H97,lst_CCforGL,0)),"?")))</f>
        <v/>
      </c>
      <c r="R97" s="37" t="n"/>
      <c r="S97" s="37" t="n"/>
      <c r="T97" s="10">
        <f>IF(S97="","",HYPERLINK(IF(LEFT(S97,4)="http",S97,set_QwilrBase&amp;S97),"Open quote"))</f>
        <v/>
      </c>
      <c r="U97" s="41" t="n"/>
      <c r="V97" s="37" t="n"/>
      <c r="W97" s="37" t="n"/>
      <c r="X97" s="10" t="inlineStr">
        <is>
          <t>ONS-0093</t>
        </is>
      </c>
    </row>
    <row r="98">
      <c r="A98" s="16">
        <f>IF($C98="","",IFERROR(IF(INDEX(tbl_Finance[Latest Invoice Date],MATCH($X98,tbl_Finance[Row ID],0))="","",INDEX(tbl_Finance[Latest Invoice Date],MATCH($X98,tbl_Finance[Row ID],0))),""))</f>
        <v/>
      </c>
      <c r="B98" s="10">
        <f>IF($C98="","",IFERROR(INDEX(tbl_Finance[Invoice Numbers],MATCH($X98,tbl_Finance[Row ID],0))&amp;"",""))</f>
        <v/>
      </c>
      <c r="C98" s="37" t="n"/>
      <c r="D98" s="10">
        <f>IF($C98="","",IF(COUNTIF(lst_Jobs,$C98&amp;"")&gt;0,"OK","CHECK"))</f>
        <v/>
      </c>
      <c r="E98" s="10">
        <f>IF($C98="","",IFERROR(INDEX(lst_JobName,MATCH($C98&amp;"",lst_Jobs,0)),""))</f>
        <v/>
      </c>
      <c r="F98" s="37" t="n"/>
      <c r="G98" s="37" t="n"/>
      <c r="H98" s="37" t="n"/>
      <c r="I98" s="37" t="n"/>
      <c r="J98" s="37" t="n"/>
      <c r="K98" s="38">
        <f>IF($C98="","",IFERROR(N(INDEX(tbl_Finance[Invoice Count],MATCH($X98,tbl_Finance[Row ID],0))),""))</f>
        <v/>
      </c>
      <c r="L98" s="11">
        <f>IF($C98="","",IFERROR(N(INDEX(tbl_Finance[Xero Invoiced Ex GST],MATCH($X98,tbl_Finance[Row ID],0))),""))</f>
        <v/>
      </c>
      <c r="M98" s="10">
        <f>IF($C98="","",IFERROR(INDEX(tbl_Finance[Compare],MATCH($X98,tbl_Finance[Row ID],0))&amp;"",""))</f>
        <v/>
      </c>
      <c r="N98" s="11">
        <f>IF($C98="","",MAX(0,N(O98)-N(L98)))</f>
        <v/>
      </c>
      <c r="O98" s="39" t="n"/>
      <c r="P98" s="40">
        <f>IF($C98="","",IF((IF(F98="",", Client","")&amp;IF(G98="",", Description","")&amp;IF(H98="",", Cost Centre","")&amp;IF(I98="",", Invoice Type","")&amp;IF(J98="",", Tax Code","")&amp;IF(O98="",", Expected Revenue","")&amp;IF(COUNTIF(tbl_Finance[Job Number],$C98&amp;"")&gt;1,", Job number used twice",""))="","Complete","Fix: "&amp;MID(IF(F98="",", Client","")&amp;IF(G98="",", Description","")&amp;IF(H98="",", Cost Centre","")&amp;IF(I98="",", Invoice Type","")&amp;IF(J98="",", Tax Code","")&amp;IF(O98="",", Expected Revenue","")&amp;IF(COUNTIF(tbl_Finance[Job Number],$C98&amp;"")&gt;1,", Job number used twice",""),3,300)))</f>
        <v/>
      </c>
      <c r="Q98" s="10">
        <f>IF($C98="","",IF(H98="","(no cost centre)",H98&amp;" - GL "&amp;IFERROR(INDEX(lst_CCtoGL,MATCH(H98,lst_CCforGL,0)),"?")))</f>
        <v/>
      </c>
      <c r="R98" s="37" t="n"/>
      <c r="S98" s="37" t="n"/>
      <c r="T98" s="10">
        <f>IF(S98="","",HYPERLINK(IF(LEFT(S98,4)="http",S98,set_QwilrBase&amp;S98),"Open quote"))</f>
        <v/>
      </c>
      <c r="U98" s="41" t="n"/>
      <c r="V98" s="37" t="n"/>
      <c r="W98" s="37" t="n"/>
      <c r="X98" s="10" t="inlineStr">
        <is>
          <t>ONS-0094</t>
        </is>
      </c>
    </row>
    <row r="99">
      <c r="A99" s="16">
        <f>IF($C99="","",IFERROR(IF(INDEX(tbl_Finance[Latest Invoice Date],MATCH($X99,tbl_Finance[Row ID],0))="","",INDEX(tbl_Finance[Latest Invoice Date],MATCH($X99,tbl_Finance[Row ID],0))),""))</f>
        <v/>
      </c>
      <c r="B99" s="10">
        <f>IF($C99="","",IFERROR(INDEX(tbl_Finance[Invoice Numbers],MATCH($X99,tbl_Finance[Row ID],0))&amp;"",""))</f>
        <v/>
      </c>
      <c r="C99" s="37" t="n"/>
      <c r="D99" s="10">
        <f>IF($C99="","",IF(COUNTIF(lst_Jobs,$C99&amp;"")&gt;0,"OK","CHECK"))</f>
        <v/>
      </c>
      <c r="E99" s="10">
        <f>IF($C99="","",IFERROR(INDEX(lst_JobName,MATCH($C99&amp;"",lst_Jobs,0)),""))</f>
        <v/>
      </c>
      <c r="F99" s="37" t="n"/>
      <c r="G99" s="37" t="n"/>
      <c r="H99" s="37" t="n"/>
      <c r="I99" s="37" t="n"/>
      <c r="J99" s="37" t="n"/>
      <c r="K99" s="38">
        <f>IF($C99="","",IFERROR(N(INDEX(tbl_Finance[Invoice Count],MATCH($X99,tbl_Finance[Row ID],0))),""))</f>
        <v/>
      </c>
      <c r="L99" s="11">
        <f>IF($C99="","",IFERROR(N(INDEX(tbl_Finance[Xero Invoiced Ex GST],MATCH($X99,tbl_Finance[Row ID],0))),""))</f>
        <v/>
      </c>
      <c r="M99" s="10">
        <f>IF($C99="","",IFERROR(INDEX(tbl_Finance[Compare],MATCH($X99,tbl_Finance[Row ID],0))&amp;"",""))</f>
        <v/>
      </c>
      <c r="N99" s="11">
        <f>IF($C99="","",MAX(0,N(O99)-N(L99)))</f>
        <v/>
      </c>
      <c r="O99" s="39" t="n"/>
      <c r="P99" s="40">
        <f>IF($C99="","",IF((IF(F99="",", Client","")&amp;IF(G99="",", Description","")&amp;IF(H99="",", Cost Centre","")&amp;IF(I99="",", Invoice Type","")&amp;IF(J99="",", Tax Code","")&amp;IF(O99="",", Expected Revenue","")&amp;IF(COUNTIF(tbl_Finance[Job Number],$C99&amp;"")&gt;1,", Job number used twice",""))="","Complete","Fix: "&amp;MID(IF(F99="",", Client","")&amp;IF(G99="",", Description","")&amp;IF(H99="",", Cost Centre","")&amp;IF(I99="",", Invoice Type","")&amp;IF(J99="",", Tax Code","")&amp;IF(O99="",", Expected Revenue","")&amp;IF(COUNTIF(tbl_Finance[Job Number],$C99&amp;"")&gt;1,", Job number used twice",""),3,300)))</f>
        <v/>
      </c>
      <c r="Q99" s="10">
        <f>IF($C99="","",IF(H99="","(no cost centre)",H99&amp;" - GL "&amp;IFERROR(INDEX(lst_CCtoGL,MATCH(H99,lst_CCforGL,0)),"?")))</f>
        <v/>
      </c>
      <c r="R99" s="37" t="n"/>
      <c r="S99" s="37" t="n"/>
      <c r="T99" s="10">
        <f>IF(S99="","",HYPERLINK(IF(LEFT(S99,4)="http",S99,set_QwilrBase&amp;S99),"Open quote"))</f>
        <v/>
      </c>
      <c r="U99" s="41" t="n"/>
      <c r="V99" s="37" t="n"/>
      <c r="W99" s="37" t="n"/>
      <c r="X99" s="10" t="inlineStr">
        <is>
          <t>ONS-0095</t>
        </is>
      </c>
    </row>
    <row r="100">
      <c r="A100" s="16">
        <f>IF($C100="","",IFERROR(IF(INDEX(tbl_Finance[Latest Invoice Date],MATCH($X100,tbl_Finance[Row ID],0))="","",INDEX(tbl_Finance[Latest Invoice Date],MATCH($X100,tbl_Finance[Row ID],0))),""))</f>
        <v/>
      </c>
      <c r="B100" s="10">
        <f>IF($C100="","",IFERROR(INDEX(tbl_Finance[Invoice Numbers],MATCH($X100,tbl_Finance[Row ID],0))&amp;"",""))</f>
        <v/>
      </c>
      <c r="C100" s="37" t="n"/>
      <c r="D100" s="10">
        <f>IF($C100="","",IF(COUNTIF(lst_Jobs,$C100&amp;"")&gt;0,"OK","CHECK"))</f>
        <v/>
      </c>
      <c r="E100" s="10">
        <f>IF($C100="","",IFERROR(INDEX(lst_JobName,MATCH($C100&amp;"",lst_Jobs,0)),""))</f>
        <v/>
      </c>
      <c r="F100" s="37" t="n"/>
      <c r="G100" s="37" t="n"/>
      <c r="H100" s="37" t="n"/>
      <c r="I100" s="37" t="n"/>
      <c r="J100" s="37" t="n"/>
      <c r="K100" s="38">
        <f>IF($C100="","",IFERROR(N(INDEX(tbl_Finance[Invoice Count],MATCH($X100,tbl_Finance[Row ID],0))),""))</f>
        <v/>
      </c>
      <c r="L100" s="11">
        <f>IF($C100="","",IFERROR(N(INDEX(tbl_Finance[Xero Invoiced Ex GST],MATCH($X100,tbl_Finance[Row ID],0))),""))</f>
        <v/>
      </c>
      <c r="M100" s="10">
        <f>IF($C100="","",IFERROR(INDEX(tbl_Finance[Compare],MATCH($X100,tbl_Finance[Row ID],0))&amp;"",""))</f>
        <v/>
      </c>
      <c r="N100" s="11">
        <f>IF($C100="","",MAX(0,N(O100)-N(L100)))</f>
        <v/>
      </c>
      <c r="O100" s="39" t="n"/>
      <c r="P100" s="40">
        <f>IF($C100="","",IF((IF(F100="",", Client","")&amp;IF(G100="",", Description","")&amp;IF(H100="",", Cost Centre","")&amp;IF(I100="",", Invoice Type","")&amp;IF(J100="",", Tax Code","")&amp;IF(O100="",", Expected Revenue","")&amp;IF(COUNTIF(tbl_Finance[Job Number],$C100&amp;"")&gt;1,", Job number used twice",""))="","Complete","Fix: "&amp;MID(IF(F100="",", Client","")&amp;IF(G100="",", Description","")&amp;IF(H100="",", Cost Centre","")&amp;IF(I100="",", Invoice Type","")&amp;IF(J100="",", Tax Code","")&amp;IF(O100="",", Expected Revenue","")&amp;IF(COUNTIF(tbl_Finance[Job Number],$C100&amp;"")&gt;1,", Job number used twice",""),3,300)))</f>
        <v/>
      </c>
      <c r="Q100" s="10">
        <f>IF($C100="","",IF(H100="","(no cost centre)",H100&amp;" - GL "&amp;IFERROR(INDEX(lst_CCtoGL,MATCH(H100,lst_CCforGL,0)),"?")))</f>
        <v/>
      </c>
      <c r="R100" s="37" t="n"/>
      <c r="S100" s="37" t="n"/>
      <c r="T100" s="10">
        <f>IF(S100="","",HYPERLINK(IF(LEFT(S100,4)="http",S100,set_QwilrBase&amp;S100),"Open quote"))</f>
        <v/>
      </c>
      <c r="U100" s="41" t="n"/>
      <c r="V100" s="37" t="n"/>
      <c r="W100" s="37" t="n"/>
      <c r="X100" s="10" t="inlineStr">
        <is>
          <t>ONS-0096</t>
        </is>
      </c>
    </row>
    <row r="101">
      <c r="A101" s="16">
        <f>IF($C101="","",IFERROR(IF(INDEX(tbl_Finance[Latest Invoice Date],MATCH($X101,tbl_Finance[Row ID],0))="","",INDEX(tbl_Finance[Latest Invoice Date],MATCH($X101,tbl_Finance[Row ID],0))),""))</f>
        <v/>
      </c>
      <c r="B101" s="10">
        <f>IF($C101="","",IFERROR(INDEX(tbl_Finance[Invoice Numbers],MATCH($X101,tbl_Finance[Row ID],0))&amp;"",""))</f>
        <v/>
      </c>
      <c r="C101" s="37" t="n"/>
      <c r="D101" s="10">
        <f>IF($C101="","",IF(COUNTIF(lst_Jobs,$C101&amp;"")&gt;0,"OK","CHECK"))</f>
        <v/>
      </c>
      <c r="E101" s="10">
        <f>IF($C101="","",IFERROR(INDEX(lst_JobName,MATCH($C101&amp;"",lst_Jobs,0)),""))</f>
        <v/>
      </c>
      <c r="F101" s="37" t="n"/>
      <c r="G101" s="37" t="n"/>
      <c r="H101" s="37" t="n"/>
      <c r="I101" s="37" t="n"/>
      <c r="J101" s="37" t="n"/>
      <c r="K101" s="38">
        <f>IF($C101="","",IFERROR(N(INDEX(tbl_Finance[Invoice Count],MATCH($X101,tbl_Finance[Row ID],0))),""))</f>
        <v/>
      </c>
      <c r="L101" s="11">
        <f>IF($C101="","",IFERROR(N(INDEX(tbl_Finance[Xero Invoiced Ex GST],MATCH($X101,tbl_Finance[Row ID],0))),""))</f>
        <v/>
      </c>
      <c r="M101" s="10">
        <f>IF($C101="","",IFERROR(INDEX(tbl_Finance[Compare],MATCH($X101,tbl_Finance[Row ID],0))&amp;"",""))</f>
        <v/>
      </c>
      <c r="N101" s="11">
        <f>IF($C101="","",MAX(0,N(O101)-N(L101)))</f>
        <v/>
      </c>
      <c r="O101" s="39" t="n"/>
      <c r="P101" s="40">
        <f>IF($C101="","",IF((IF(F101="",", Client","")&amp;IF(G101="",", Description","")&amp;IF(H101="",", Cost Centre","")&amp;IF(I101="",", Invoice Type","")&amp;IF(J101="",", Tax Code","")&amp;IF(O101="",", Expected Revenue","")&amp;IF(COUNTIF(tbl_Finance[Job Number],$C101&amp;"")&gt;1,", Job number used twice",""))="","Complete","Fix: "&amp;MID(IF(F101="",", Client","")&amp;IF(G101="",", Description","")&amp;IF(H101="",", Cost Centre","")&amp;IF(I101="",", Invoice Type","")&amp;IF(J101="",", Tax Code","")&amp;IF(O101="",", Expected Revenue","")&amp;IF(COUNTIF(tbl_Finance[Job Number],$C101&amp;"")&gt;1,", Job number used twice",""),3,300)))</f>
        <v/>
      </c>
      <c r="Q101" s="10">
        <f>IF($C101="","",IF(H101="","(no cost centre)",H101&amp;" - GL "&amp;IFERROR(INDEX(lst_CCtoGL,MATCH(H101,lst_CCforGL,0)),"?")))</f>
        <v/>
      </c>
      <c r="R101" s="37" t="n"/>
      <c r="S101" s="37" t="n"/>
      <c r="T101" s="10">
        <f>IF(S101="","",HYPERLINK(IF(LEFT(S101,4)="http",S101,set_QwilrBase&amp;S101),"Open quote"))</f>
        <v/>
      </c>
      <c r="U101" s="41" t="n"/>
      <c r="V101" s="37" t="n"/>
      <c r="W101" s="37" t="n"/>
      <c r="X101" s="10" t="inlineStr">
        <is>
          <t>ONS-0097</t>
        </is>
      </c>
    </row>
    <row r="102">
      <c r="A102" s="16">
        <f>IF($C102="","",IFERROR(IF(INDEX(tbl_Finance[Latest Invoice Date],MATCH($X102,tbl_Finance[Row ID],0))="","",INDEX(tbl_Finance[Latest Invoice Date],MATCH($X102,tbl_Finance[Row ID],0))),""))</f>
        <v/>
      </c>
      <c r="B102" s="10">
        <f>IF($C102="","",IFERROR(INDEX(tbl_Finance[Invoice Numbers],MATCH($X102,tbl_Finance[Row ID],0))&amp;"",""))</f>
        <v/>
      </c>
      <c r="C102" s="37" t="n"/>
      <c r="D102" s="10">
        <f>IF($C102="","",IF(COUNTIF(lst_Jobs,$C102&amp;"")&gt;0,"OK","CHECK"))</f>
        <v/>
      </c>
      <c r="E102" s="10">
        <f>IF($C102="","",IFERROR(INDEX(lst_JobName,MATCH($C102&amp;"",lst_Jobs,0)),""))</f>
        <v/>
      </c>
      <c r="F102" s="37" t="n"/>
      <c r="G102" s="37" t="n"/>
      <c r="H102" s="37" t="n"/>
      <c r="I102" s="37" t="n"/>
      <c r="J102" s="37" t="n"/>
      <c r="K102" s="38">
        <f>IF($C102="","",IFERROR(N(INDEX(tbl_Finance[Invoice Count],MATCH($X102,tbl_Finance[Row ID],0))),""))</f>
        <v/>
      </c>
      <c r="L102" s="11">
        <f>IF($C102="","",IFERROR(N(INDEX(tbl_Finance[Xero Invoiced Ex GST],MATCH($X102,tbl_Finance[Row ID],0))),""))</f>
        <v/>
      </c>
      <c r="M102" s="10">
        <f>IF($C102="","",IFERROR(INDEX(tbl_Finance[Compare],MATCH($X102,tbl_Finance[Row ID],0))&amp;"",""))</f>
        <v/>
      </c>
      <c r="N102" s="11">
        <f>IF($C102="","",MAX(0,N(O102)-N(L102)))</f>
        <v/>
      </c>
      <c r="O102" s="39" t="n"/>
      <c r="P102" s="40">
        <f>IF($C102="","",IF((IF(F102="",", Client","")&amp;IF(G102="",", Description","")&amp;IF(H102="",", Cost Centre","")&amp;IF(I102="",", Invoice Type","")&amp;IF(J102="",", Tax Code","")&amp;IF(O102="",", Expected Revenue","")&amp;IF(COUNTIF(tbl_Finance[Job Number],$C102&amp;"")&gt;1,", Job number used twice",""))="","Complete","Fix: "&amp;MID(IF(F102="",", Client","")&amp;IF(G102="",", Description","")&amp;IF(H102="",", Cost Centre","")&amp;IF(I102="",", Invoice Type","")&amp;IF(J102="",", Tax Code","")&amp;IF(O102="",", Expected Revenue","")&amp;IF(COUNTIF(tbl_Finance[Job Number],$C102&amp;"")&gt;1,", Job number used twice",""),3,300)))</f>
        <v/>
      </c>
      <c r="Q102" s="10">
        <f>IF($C102="","",IF(H102="","(no cost centre)",H102&amp;" - GL "&amp;IFERROR(INDEX(lst_CCtoGL,MATCH(H102,lst_CCforGL,0)),"?")))</f>
        <v/>
      </c>
      <c r="R102" s="37" t="n"/>
      <c r="S102" s="37" t="n"/>
      <c r="T102" s="10">
        <f>IF(S102="","",HYPERLINK(IF(LEFT(S102,4)="http",S102,set_QwilrBase&amp;S102),"Open quote"))</f>
        <v/>
      </c>
      <c r="U102" s="41" t="n"/>
      <c r="V102" s="37" t="n"/>
      <c r="W102" s="37" t="n"/>
      <c r="X102" s="10" t="inlineStr">
        <is>
          <t>ONS-0098</t>
        </is>
      </c>
    </row>
    <row r="103">
      <c r="A103" s="16">
        <f>IF($C103="","",IFERROR(IF(INDEX(tbl_Finance[Latest Invoice Date],MATCH($X103,tbl_Finance[Row ID],0))="","",INDEX(tbl_Finance[Latest Invoice Date],MATCH($X103,tbl_Finance[Row ID],0))),""))</f>
        <v/>
      </c>
      <c r="B103" s="10">
        <f>IF($C103="","",IFERROR(INDEX(tbl_Finance[Invoice Numbers],MATCH($X103,tbl_Finance[Row ID],0))&amp;"",""))</f>
        <v/>
      </c>
      <c r="C103" s="37" t="n"/>
      <c r="D103" s="10">
        <f>IF($C103="","",IF(COUNTIF(lst_Jobs,$C103&amp;"")&gt;0,"OK","CHECK"))</f>
        <v/>
      </c>
      <c r="E103" s="10">
        <f>IF($C103="","",IFERROR(INDEX(lst_JobName,MATCH($C103&amp;"",lst_Jobs,0)),""))</f>
        <v/>
      </c>
      <c r="F103" s="37" t="n"/>
      <c r="G103" s="37" t="n"/>
      <c r="H103" s="37" t="n"/>
      <c r="I103" s="37" t="n"/>
      <c r="J103" s="37" t="n"/>
      <c r="K103" s="38">
        <f>IF($C103="","",IFERROR(N(INDEX(tbl_Finance[Invoice Count],MATCH($X103,tbl_Finance[Row ID],0))),""))</f>
        <v/>
      </c>
      <c r="L103" s="11">
        <f>IF($C103="","",IFERROR(N(INDEX(tbl_Finance[Xero Invoiced Ex GST],MATCH($X103,tbl_Finance[Row ID],0))),""))</f>
        <v/>
      </c>
      <c r="M103" s="10">
        <f>IF($C103="","",IFERROR(INDEX(tbl_Finance[Compare],MATCH($X103,tbl_Finance[Row ID],0))&amp;"",""))</f>
        <v/>
      </c>
      <c r="N103" s="11">
        <f>IF($C103="","",MAX(0,N(O103)-N(L103)))</f>
        <v/>
      </c>
      <c r="O103" s="39" t="n"/>
      <c r="P103" s="40">
        <f>IF($C103="","",IF((IF(F103="",", Client","")&amp;IF(G103="",", Description","")&amp;IF(H103="",", Cost Centre","")&amp;IF(I103="",", Invoice Type","")&amp;IF(J103="",", Tax Code","")&amp;IF(O103="",", Expected Revenue","")&amp;IF(COUNTIF(tbl_Finance[Job Number],$C103&amp;"")&gt;1,", Job number used twice",""))="","Complete","Fix: "&amp;MID(IF(F103="",", Client","")&amp;IF(G103="",", Description","")&amp;IF(H103="",", Cost Centre","")&amp;IF(I103="",", Invoice Type","")&amp;IF(J103="",", Tax Code","")&amp;IF(O103="",", Expected Revenue","")&amp;IF(COUNTIF(tbl_Finance[Job Number],$C103&amp;"")&gt;1,", Job number used twice",""),3,300)))</f>
        <v/>
      </c>
      <c r="Q103" s="10">
        <f>IF($C103="","",IF(H103="","(no cost centre)",H103&amp;" - GL "&amp;IFERROR(INDEX(lst_CCtoGL,MATCH(H103,lst_CCforGL,0)),"?")))</f>
        <v/>
      </c>
      <c r="R103" s="37" t="n"/>
      <c r="S103" s="37" t="n"/>
      <c r="T103" s="10">
        <f>IF(S103="","",HYPERLINK(IF(LEFT(S103,4)="http",S103,set_QwilrBase&amp;S103),"Open quote"))</f>
        <v/>
      </c>
      <c r="U103" s="41" t="n"/>
      <c r="V103" s="37" t="n"/>
      <c r="W103" s="37" t="n"/>
      <c r="X103" s="10" t="inlineStr">
        <is>
          <t>ONS-0099</t>
        </is>
      </c>
    </row>
    <row r="104">
      <c r="A104" s="16">
        <f>IF($C104="","",IFERROR(IF(INDEX(tbl_Finance[Latest Invoice Date],MATCH($X104,tbl_Finance[Row ID],0))="","",INDEX(tbl_Finance[Latest Invoice Date],MATCH($X104,tbl_Finance[Row ID],0))),""))</f>
        <v/>
      </c>
      <c r="B104" s="10">
        <f>IF($C104="","",IFERROR(INDEX(tbl_Finance[Invoice Numbers],MATCH($X104,tbl_Finance[Row ID],0))&amp;"",""))</f>
        <v/>
      </c>
      <c r="C104" s="37" t="n"/>
      <c r="D104" s="10">
        <f>IF($C104="","",IF(COUNTIF(lst_Jobs,$C104&amp;"")&gt;0,"OK","CHECK"))</f>
        <v/>
      </c>
      <c r="E104" s="10">
        <f>IF($C104="","",IFERROR(INDEX(lst_JobName,MATCH($C104&amp;"",lst_Jobs,0)),""))</f>
        <v/>
      </c>
      <c r="F104" s="37" t="n"/>
      <c r="G104" s="37" t="n"/>
      <c r="H104" s="37" t="n"/>
      <c r="I104" s="37" t="n"/>
      <c r="J104" s="37" t="n"/>
      <c r="K104" s="38">
        <f>IF($C104="","",IFERROR(N(INDEX(tbl_Finance[Invoice Count],MATCH($X104,tbl_Finance[Row ID],0))),""))</f>
        <v/>
      </c>
      <c r="L104" s="11">
        <f>IF($C104="","",IFERROR(N(INDEX(tbl_Finance[Xero Invoiced Ex GST],MATCH($X104,tbl_Finance[Row ID],0))),""))</f>
        <v/>
      </c>
      <c r="M104" s="10">
        <f>IF($C104="","",IFERROR(INDEX(tbl_Finance[Compare],MATCH($X104,tbl_Finance[Row ID],0))&amp;"",""))</f>
        <v/>
      </c>
      <c r="N104" s="11">
        <f>IF($C104="","",MAX(0,N(O104)-N(L104)))</f>
        <v/>
      </c>
      <c r="O104" s="39" t="n"/>
      <c r="P104" s="40">
        <f>IF($C104="","",IF((IF(F104="",", Client","")&amp;IF(G104="",", Description","")&amp;IF(H104="",", Cost Centre","")&amp;IF(I104="",", Invoice Type","")&amp;IF(J104="",", Tax Code","")&amp;IF(O104="",", Expected Revenue","")&amp;IF(COUNTIF(tbl_Finance[Job Number],$C104&amp;"")&gt;1,", Job number used twice",""))="","Complete","Fix: "&amp;MID(IF(F104="",", Client","")&amp;IF(G104="",", Description","")&amp;IF(H104="",", Cost Centre","")&amp;IF(I104="",", Invoice Type","")&amp;IF(J104="",", Tax Code","")&amp;IF(O104="",", Expected Revenue","")&amp;IF(COUNTIF(tbl_Finance[Job Number],$C104&amp;"")&gt;1,", Job number used twice",""),3,300)))</f>
        <v/>
      </c>
      <c r="Q104" s="10">
        <f>IF($C104="","",IF(H104="","(no cost centre)",H104&amp;" - GL "&amp;IFERROR(INDEX(lst_CCtoGL,MATCH(H104,lst_CCforGL,0)),"?")))</f>
        <v/>
      </c>
      <c r="R104" s="37" t="n"/>
      <c r="S104" s="37" t="n"/>
      <c r="T104" s="10">
        <f>IF(S104="","",HYPERLINK(IF(LEFT(S104,4)="http",S104,set_QwilrBase&amp;S104),"Open quote"))</f>
        <v/>
      </c>
      <c r="U104" s="41" t="n"/>
      <c r="V104" s="37" t="n"/>
      <c r="W104" s="37" t="n"/>
      <c r="X104" s="10" t="inlineStr">
        <is>
          <t>ONS-0100</t>
        </is>
      </c>
    </row>
    <row r="105">
      <c r="A105" s="16">
        <f>IF($C105="","",IFERROR(IF(INDEX(tbl_Finance[Latest Invoice Date],MATCH($X105,tbl_Finance[Row ID],0))="","",INDEX(tbl_Finance[Latest Invoice Date],MATCH($X105,tbl_Finance[Row ID],0))),""))</f>
        <v/>
      </c>
      <c r="B105" s="10">
        <f>IF($C105="","",IFERROR(INDEX(tbl_Finance[Invoice Numbers],MATCH($X105,tbl_Finance[Row ID],0))&amp;"",""))</f>
        <v/>
      </c>
      <c r="C105" s="37" t="n"/>
      <c r="D105" s="10">
        <f>IF($C105="","",IF(COUNTIF(lst_Jobs,$C105&amp;"")&gt;0,"OK","CHECK"))</f>
        <v/>
      </c>
      <c r="E105" s="10">
        <f>IF($C105="","",IFERROR(INDEX(lst_JobName,MATCH($C105&amp;"",lst_Jobs,0)),""))</f>
        <v/>
      </c>
      <c r="F105" s="37" t="n"/>
      <c r="G105" s="37" t="n"/>
      <c r="H105" s="37" t="n"/>
      <c r="I105" s="37" t="n"/>
      <c r="J105" s="37" t="n"/>
      <c r="K105" s="38">
        <f>IF($C105="","",IFERROR(N(INDEX(tbl_Finance[Invoice Count],MATCH($X105,tbl_Finance[Row ID],0))),""))</f>
        <v/>
      </c>
      <c r="L105" s="11">
        <f>IF($C105="","",IFERROR(N(INDEX(tbl_Finance[Xero Invoiced Ex GST],MATCH($X105,tbl_Finance[Row ID],0))),""))</f>
        <v/>
      </c>
      <c r="M105" s="10">
        <f>IF($C105="","",IFERROR(INDEX(tbl_Finance[Compare],MATCH($X105,tbl_Finance[Row ID],0))&amp;"",""))</f>
        <v/>
      </c>
      <c r="N105" s="11">
        <f>IF($C105="","",MAX(0,N(O105)-N(L105)))</f>
        <v/>
      </c>
      <c r="O105" s="39" t="n"/>
      <c r="P105" s="40">
        <f>IF($C105="","",IF((IF(F105="",", Client","")&amp;IF(G105="",", Description","")&amp;IF(H105="",", Cost Centre","")&amp;IF(I105="",", Invoice Type","")&amp;IF(J105="",", Tax Code","")&amp;IF(O105="",", Expected Revenue","")&amp;IF(COUNTIF(tbl_Finance[Job Number],$C105&amp;"")&gt;1,", Job number used twice",""))="","Complete","Fix: "&amp;MID(IF(F105="",", Client","")&amp;IF(G105="",", Description","")&amp;IF(H105="",", Cost Centre","")&amp;IF(I105="",", Invoice Type","")&amp;IF(J105="",", Tax Code","")&amp;IF(O105="",", Expected Revenue","")&amp;IF(COUNTIF(tbl_Finance[Job Number],$C105&amp;"")&gt;1,", Job number used twice",""),3,300)))</f>
        <v/>
      </c>
      <c r="Q105" s="10">
        <f>IF($C105="","",IF(H105="","(no cost centre)",H105&amp;" - GL "&amp;IFERROR(INDEX(lst_CCtoGL,MATCH(H105,lst_CCforGL,0)),"?")))</f>
        <v/>
      </c>
      <c r="R105" s="37" t="n"/>
      <c r="S105" s="37" t="n"/>
      <c r="T105" s="10">
        <f>IF(S105="","",HYPERLINK(IF(LEFT(S105,4)="http",S105,set_QwilrBase&amp;S105),"Open quote"))</f>
        <v/>
      </c>
      <c r="U105" s="41" t="n"/>
      <c r="V105" s="37" t="n"/>
      <c r="W105" s="37" t="n"/>
      <c r="X105" s="10" t="inlineStr">
        <is>
          <t>ONS-0101</t>
        </is>
      </c>
    </row>
    <row r="106">
      <c r="A106" s="16">
        <f>IF($C106="","",IFERROR(IF(INDEX(tbl_Finance[Latest Invoice Date],MATCH($X106,tbl_Finance[Row ID],0))="","",INDEX(tbl_Finance[Latest Invoice Date],MATCH($X106,tbl_Finance[Row ID],0))),""))</f>
        <v/>
      </c>
      <c r="B106" s="10">
        <f>IF($C106="","",IFERROR(INDEX(tbl_Finance[Invoice Numbers],MATCH($X106,tbl_Finance[Row ID],0))&amp;"",""))</f>
        <v/>
      </c>
      <c r="C106" s="37" t="n"/>
      <c r="D106" s="10">
        <f>IF($C106="","",IF(COUNTIF(lst_Jobs,$C106&amp;"")&gt;0,"OK","CHECK"))</f>
        <v/>
      </c>
      <c r="E106" s="10">
        <f>IF($C106="","",IFERROR(INDEX(lst_JobName,MATCH($C106&amp;"",lst_Jobs,0)),""))</f>
        <v/>
      </c>
      <c r="F106" s="37" t="n"/>
      <c r="G106" s="37" t="n"/>
      <c r="H106" s="37" t="n"/>
      <c r="I106" s="37" t="n"/>
      <c r="J106" s="37" t="n"/>
      <c r="K106" s="38">
        <f>IF($C106="","",IFERROR(N(INDEX(tbl_Finance[Invoice Count],MATCH($X106,tbl_Finance[Row ID],0))),""))</f>
        <v/>
      </c>
      <c r="L106" s="11">
        <f>IF($C106="","",IFERROR(N(INDEX(tbl_Finance[Xero Invoiced Ex GST],MATCH($X106,tbl_Finance[Row ID],0))),""))</f>
        <v/>
      </c>
      <c r="M106" s="10">
        <f>IF($C106="","",IFERROR(INDEX(tbl_Finance[Compare],MATCH($X106,tbl_Finance[Row ID],0))&amp;"",""))</f>
        <v/>
      </c>
      <c r="N106" s="11">
        <f>IF($C106="","",MAX(0,N(O106)-N(L106)))</f>
        <v/>
      </c>
      <c r="O106" s="39" t="n"/>
      <c r="P106" s="40">
        <f>IF($C106="","",IF((IF(F106="",", Client","")&amp;IF(G106="",", Description","")&amp;IF(H106="",", Cost Centre","")&amp;IF(I106="",", Invoice Type","")&amp;IF(J106="",", Tax Code","")&amp;IF(O106="",", Expected Revenue","")&amp;IF(COUNTIF(tbl_Finance[Job Number],$C106&amp;"")&gt;1,", Job number used twice",""))="","Complete","Fix: "&amp;MID(IF(F106="",", Client","")&amp;IF(G106="",", Description","")&amp;IF(H106="",", Cost Centre","")&amp;IF(I106="",", Invoice Type","")&amp;IF(J106="",", Tax Code","")&amp;IF(O106="",", Expected Revenue","")&amp;IF(COUNTIF(tbl_Finance[Job Number],$C106&amp;"")&gt;1,", Job number used twice",""),3,300)))</f>
        <v/>
      </c>
      <c r="Q106" s="10">
        <f>IF($C106="","",IF(H106="","(no cost centre)",H106&amp;" - GL "&amp;IFERROR(INDEX(lst_CCtoGL,MATCH(H106,lst_CCforGL,0)),"?")))</f>
        <v/>
      </c>
      <c r="R106" s="37" t="n"/>
      <c r="S106" s="37" t="n"/>
      <c r="T106" s="10">
        <f>IF(S106="","",HYPERLINK(IF(LEFT(S106,4)="http",S106,set_QwilrBase&amp;S106),"Open quote"))</f>
        <v/>
      </c>
      <c r="U106" s="41" t="n"/>
      <c r="V106" s="37" t="n"/>
      <c r="W106" s="37" t="n"/>
      <c r="X106" s="10" t="inlineStr">
        <is>
          <t>ONS-0102</t>
        </is>
      </c>
    </row>
    <row r="107">
      <c r="A107" s="16">
        <f>IF($C107="","",IFERROR(IF(INDEX(tbl_Finance[Latest Invoice Date],MATCH($X107,tbl_Finance[Row ID],0))="","",INDEX(tbl_Finance[Latest Invoice Date],MATCH($X107,tbl_Finance[Row ID],0))),""))</f>
        <v/>
      </c>
      <c r="B107" s="10">
        <f>IF($C107="","",IFERROR(INDEX(tbl_Finance[Invoice Numbers],MATCH($X107,tbl_Finance[Row ID],0))&amp;"",""))</f>
        <v/>
      </c>
      <c r="C107" s="37" t="n"/>
      <c r="D107" s="10">
        <f>IF($C107="","",IF(COUNTIF(lst_Jobs,$C107&amp;"")&gt;0,"OK","CHECK"))</f>
        <v/>
      </c>
      <c r="E107" s="10">
        <f>IF($C107="","",IFERROR(INDEX(lst_JobName,MATCH($C107&amp;"",lst_Jobs,0)),""))</f>
        <v/>
      </c>
      <c r="F107" s="37" t="n"/>
      <c r="G107" s="37" t="n"/>
      <c r="H107" s="37" t="n"/>
      <c r="I107" s="37" t="n"/>
      <c r="J107" s="37" t="n"/>
      <c r="K107" s="38">
        <f>IF($C107="","",IFERROR(N(INDEX(tbl_Finance[Invoice Count],MATCH($X107,tbl_Finance[Row ID],0))),""))</f>
        <v/>
      </c>
      <c r="L107" s="11">
        <f>IF($C107="","",IFERROR(N(INDEX(tbl_Finance[Xero Invoiced Ex GST],MATCH($X107,tbl_Finance[Row ID],0))),""))</f>
        <v/>
      </c>
      <c r="M107" s="10">
        <f>IF($C107="","",IFERROR(INDEX(tbl_Finance[Compare],MATCH($X107,tbl_Finance[Row ID],0))&amp;"",""))</f>
        <v/>
      </c>
      <c r="N107" s="11">
        <f>IF($C107="","",MAX(0,N(O107)-N(L107)))</f>
        <v/>
      </c>
      <c r="O107" s="39" t="n"/>
      <c r="P107" s="40">
        <f>IF($C107="","",IF((IF(F107="",", Client","")&amp;IF(G107="",", Description","")&amp;IF(H107="",", Cost Centre","")&amp;IF(I107="",", Invoice Type","")&amp;IF(J107="",", Tax Code","")&amp;IF(O107="",", Expected Revenue","")&amp;IF(COUNTIF(tbl_Finance[Job Number],$C107&amp;"")&gt;1,", Job number used twice",""))="","Complete","Fix: "&amp;MID(IF(F107="",", Client","")&amp;IF(G107="",", Description","")&amp;IF(H107="",", Cost Centre","")&amp;IF(I107="",", Invoice Type","")&amp;IF(J107="",", Tax Code","")&amp;IF(O107="",", Expected Revenue","")&amp;IF(COUNTIF(tbl_Finance[Job Number],$C107&amp;"")&gt;1,", Job number used twice",""),3,300)))</f>
        <v/>
      </c>
      <c r="Q107" s="10">
        <f>IF($C107="","",IF(H107="","(no cost centre)",H107&amp;" - GL "&amp;IFERROR(INDEX(lst_CCtoGL,MATCH(H107,lst_CCforGL,0)),"?")))</f>
        <v/>
      </c>
      <c r="R107" s="37" t="n"/>
      <c r="S107" s="37" t="n"/>
      <c r="T107" s="10">
        <f>IF(S107="","",HYPERLINK(IF(LEFT(S107,4)="http",S107,set_QwilrBase&amp;S107),"Open quote"))</f>
        <v/>
      </c>
      <c r="U107" s="41" t="n"/>
      <c r="V107" s="37" t="n"/>
      <c r="W107" s="37" t="n"/>
      <c r="X107" s="10" t="inlineStr">
        <is>
          <t>ONS-0103</t>
        </is>
      </c>
    </row>
    <row r="108">
      <c r="A108" s="16">
        <f>IF($C108="","",IFERROR(IF(INDEX(tbl_Finance[Latest Invoice Date],MATCH($X108,tbl_Finance[Row ID],0))="","",INDEX(tbl_Finance[Latest Invoice Date],MATCH($X108,tbl_Finance[Row ID],0))),""))</f>
        <v/>
      </c>
      <c r="B108" s="10">
        <f>IF($C108="","",IFERROR(INDEX(tbl_Finance[Invoice Numbers],MATCH($X108,tbl_Finance[Row ID],0))&amp;"",""))</f>
        <v/>
      </c>
      <c r="C108" s="37" t="n"/>
      <c r="D108" s="10">
        <f>IF($C108="","",IF(COUNTIF(lst_Jobs,$C108&amp;"")&gt;0,"OK","CHECK"))</f>
        <v/>
      </c>
      <c r="E108" s="10">
        <f>IF($C108="","",IFERROR(INDEX(lst_JobName,MATCH($C108&amp;"",lst_Jobs,0)),""))</f>
        <v/>
      </c>
      <c r="F108" s="37" t="n"/>
      <c r="G108" s="37" t="n"/>
      <c r="H108" s="37" t="n"/>
      <c r="I108" s="37" t="n"/>
      <c r="J108" s="37" t="n"/>
      <c r="K108" s="38">
        <f>IF($C108="","",IFERROR(N(INDEX(tbl_Finance[Invoice Count],MATCH($X108,tbl_Finance[Row ID],0))),""))</f>
        <v/>
      </c>
      <c r="L108" s="11">
        <f>IF($C108="","",IFERROR(N(INDEX(tbl_Finance[Xero Invoiced Ex GST],MATCH($X108,tbl_Finance[Row ID],0))),""))</f>
        <v/>
      </c>
      <c r="M108" s="10">
        <f>IF($C108="","",IFERROR(INDEX(tbl_Finance[Compare],MATCH($X108,tbl_Finance[Row ID],0))&amp;"",""))</f>
        <v/>
      </c>
      <c r="N108" s="11">
        <f>IF($C108="","",MAX(0,N(O108)-N(L108)))</f>
        <v/>
      </c>
      <c r="O108" s="39" t="n"/>
      <c r="P108" s="40">
        <f>IF($C108="","",IF((IF(F108="",", Client","")&amp;IF(G108="",", Description","")&amp;IF(H108="",", Cost Centre","")&amp;IF(I108="",", Invoice Type","")&amp;IF(J108="",", Tax Code","")&amp;IF(O108="",", Expected Revenue","")&amp;IF(COUNTIF(tbl_Finance[Job Number],$C108&amp;"")&gt;1,", Job number used twice",""))="","Complete","Fix: "&amp;MID(IF(F108="",", Client","")&amp;IF(G108="",", Description","")&amp;IF(H108="",", Cost Centre","")&amp;IF(I108="",", Invoice Type","")&amp;IF(J108="",", Tax Code","")&amp;IF(O108="",", Expected Revenue","")&amp;IF(COUNTIF(tbl_Finance[Job Number],$C108&amp;"")&gt;1,", Job number used twice",""),3,300)))</f>
        <v/>
      </c>
      <c r="Q108" s="10">
        <f>IF($C108="","",IF(H108="","(no cost centre)",H108&amp;" - GL "&amp;IFERROR(INDEX(lst_CCtoGL,MATCH(H108,lst_CCforGL,0)),"?")))</f>
        <v/>
      </c>
      <c r="R108" s="37" t="n"/>
      <c r="S108" s="37" t="n"/>
      <c r="T108" s="10">
        <f>IF(S108="","",HYPERLINK(IF(LEFT(S108,4)="http",S108,set_QwilrBase&amp;S108),"Open quote"))</f>
        <v/>
      </c>
      <c r="U108" s="41" t="n"/>
      <c r="V108" s="37" t="n"/>
      <c r="W108" s="37" t="n"/>
      <c r="X108" s="10" t="inlineStr">
        <is>
          <t>ONS-0104</t>
        </is>
      </c>
    </row>
    <row r="109">
      <c r="A109" s="16">
        <f>IF($C109="","",IFERROR(IF(INDEX(tbl_Finance[Latest Invoice Date],MATCH($X109,tbl_Finance[Row ID],0))="","",INDEX(tbl_Finance[Latest Invoice Date],MATCH($X109,tbl_Finance[Row ID],0))),""))</f>
        <v/>
      </c>
      <c r="B109" s="10">
        <f>IF($C109="","",IFERROR(INDEX(tbl_Finance[Invoice Numbers],MATCH($X109,tbl_Finance[Row ID],0))&amp;"",""))</f>
        <v/>
      </c>
      <c r="C109" s="37" t="n"/>
      <c r="D109" s="10">
        <f>IF($C109="","",IF(COUNTIF(lst_Jobs,$C109&amp;"")&gt;0,"OK","CHECK"))</f>
        <v/>
      </c>
      <c r="E109" s="10">
        <f>IF($C109="","",IFERROR(INDEX(lst_JobName,MATCH($C109&amp;"",lst_Jobs,0)),""))</f>
        <v/>
      </c>
      <c r="F109" s="37" t="n"/>
      <c r="G109" s="37" t="n"/>
      <c r="H109" s="37" t="n"/>
      <c r="I109" s="37" t="n"/>
      <c r="J109" s="37" t="n"/>
      <c r="K109" s="38">
        <f>IF($C109="","",IFERROR(N(INDEX(tbl_Finance[Invoice Count],MATCH($X109,tbl_Finance[Row ID],0))),""))</f>
        <v/>
      </c>
      <c r="L109" s="11">
        <f>IF($C109="","",IFERROR(N(INDEX(tbl_Finance[Xero Invoiced Ex GST],MATCH($X109,tbl_Finance[Row ID],0))),""))</f>
        <v/>
      </c>
      <c r="M109" s="10">
        <f>IF($C109="","",IFERROR(INDEX(tbl_Finance[Compare],MATCH($X109,tbl_Finance[Row ID],0))&amp;"",""))</f>
        <v/>
      </c>
      <c r="N109" s="11">
        <f>IF($C109="","",MAX(0,N(O109)-N(L109)))</f>
        <v/>
      </c>
      <c r="O109" s="39" t="n"/>
      <c r="P109" s="40">
        <f>IF($C109="","",IF((IF(F109="",", Client","")&amp;IF(G109="",", Description","")&amp;IF(H109="",", Cost Centre","")&amp;IF(I109="",", Invoice Type","")&amp;IF(J109="",", Tax Code","")&amp;IF(O109="",", Expected Revenue","")&amp;IF(COUNTIF(tbl_Finance[Job Number],$C109&amp;"")&gt;1,", Job number used twice",""))="","Complete","Fix: "&amp;MID(IF(F109="",", Client","")&amp;IF(G109="",", Description","")&amp;IF(H109="",", Cost Centre","")&amp;IF(I109="",", Invoice Type","")&amp;IF(J109="",", Tax Code","")&amp;IF(O109="",", Expected Revenue","")&amp;IF(COUNTIF(tbl_Finance[Job Number],$C109&amp;"")&gt;1,", Job number used twice",""),3,300)))</f>
        <v/>
      </c>
      <c r="Q109" s="10">
        <f>IF($C109="","",IF(H109="","(no cost centre)",H109&amp;" - GL "&amp;IFERROR(INDEX(lst_CCtoGL,MATCH(H109,lst_CCforGL,0)),"?")))</f>
        <v/>
      </c>
      <c r="R109" s="37" t="n"/>
      <c r="S109" s="37" t="n"/>
      <c r="T109" s="10">
        <f>IF(S109="","",HYPERLINK(IF(LEFT(S109,4)="http",S109,set_QwilrBase&amp;S109),"Open quote"))</f>
        <v/>
      </c>
      <c r="U109" s="41" t="n"/>
      <c r="V109" s="37" t="n"/>
      <c r="W109" s="37" t="n"/>
      <c r="X109" s="10" t="inlineStr">
        <is>
          <t>ONS-0105</t>
        </is>
      </c>
    </row>
    <row r="110">
      <c r="A110" s="16">
        <f>IF($C110="","",IFERROR(IF(INDEX(tbl_Finance[Latest Invoice Date],MATCH($X110,tbl_Finance[Row ID],0))="","",INDEX(tbl_Finance[Latest Invoice Date],MATCH($X110,tbl_Finance[Row ID],0))),""))</f>
        <v/>
      </c>
      <c r="B110" s="10">
        <f>IF($C110="","",IFERROR(INDEX(tbl_Finance[Invoice Numbers],MATCH($X110,tbl_Finance[Row ID],0))&amp;"",""))</f>
        <v/>
      </c>
      <c r="C110" s="37" t="n"/>
      <c r="D110" s="10">
        <f>IF($C110="","",IF(COUNTIF(lst_Jobs,$C110&amp;"")&gt;0,"OK","CHECK"))</f>
        <v/>
      </c>
      <c r="E110" s="10">
        <f>IF($C110="","",IFERROR(INDEX(lst_JobName,MATCH($C110&amp;"",lst_Jobs,0)),""))</f>
        <v/>
      </c>
      <c r="F110" s="37" t="n"/>
      <c r="G110" s="37" t="n"/>
      <c r="H110" s="37" t="n"/>
      <c r="I110" s="37" t="n"/>
      <c r="J110" s="37" t="n"/>
      <c r="K110" s="38">
        <f>IF($C110="","",IFERROR(N(INDEX(tbl_Finance[Invoice Count],MATCH($X110,tbl_Finance[Row ID],0))),""))</f>
        <v/>
      </c>
      <c r="L110" s="11">
        <f>IF($C110="","",IFERROR(N(INDEX(tbl_Finance[Xero Invoiced Ex GST],MATCH($X110,tbl_Finance[Row ID],0))),""))</f>
        <v/>
      </c>
      <c r="M110" s="10">
        <f>IF($C110="","",IFERROR(INDEX(tbl_Finance[Compare],MATCH($X110,tbl_Finance[Row ID],0))&amp;"",""))</f>
        <v/>
      </c>
      <c r="N110" s="11">
        <f>IF($C110="","",MAX(0,N(O110)-N(L110)))</f>
        <v/>
      </c>
      <c r="O110" s="39" t="n"/>
      <c r="P110" s="40">
        <f>IF($C110="","",IF((IF(F110="",", Client","")&amp;IF(G110="",", Description","")&amp;IF(H110="",", Cost Centre","")&amp;IF(I110="",", Invoice Type","")&amp;IF(J110="",", Tax Code","")&amp;IF(O110="",", Expected Revenue","")&amp;IF(COUNTIF(tbl_Finance[Job Number],$C110&amp;"")&gt;1,", Job number used twice",""))="","Complete","Fix: "&amp;MID(IF(F110="",", Client","")&amp;IF(G110="",", Description","")&amp;IF(H110="",", Cost Centre","")&amp;IF(I110="",", Invoice Type","")&amp;IF(J110="",", Tax Code","")&amp;IF(O110="",", Expected Revenue","")&amp;IF(COUNTIF(tbl_Finance[Job Number],$C110&amp;"")&gt;1,", Job number used twice",""),3,300)))</f>
        <v/>
      </c>
      <c r="Q110" s="10">
        <f>IF($C110="","",IF(H110="","(no cost centre)",H110&amp;" - GL "&amp;IFERROR(INDEX(lst_CCtoGL,MATCH(H110,lst_CCforGL,0)),"?")))</f>
        <v/>
      </c>
      <c r="R110" s="37" t="n"/>
      <c r="S110" s="37" t="n"/>
      <c r="T110" s="10">
        <f>IF(S110="","",HYPERLINK(IF(LEFT(S110,4)="http",S110,set_QwilrBase&amp;S110),"Open quote"))</f>
        <v/>
      </c>
      <c r="U110" s="41" t="n"/>
      <c r="V110" s="37" t="n"/>
      <c r="W110" s="37" t="n"/>
      <c r="X110" s="10" t="inlineStr">
        <is>
          <t>ONS-0106</t>
        </is>
      </c>
    </row>
    <row r="111">
      <c r="A111" s="16">
        <f>IF($C111="","",IFERROR(IF(INDEX(tbl_Finance[Latest Invoice Date],MATCH($X111,tbl_Finance[Row ID],0))="","",INDEX(tbl_Finance[Latest Invoice Date],MATCH($X111,tbl_Finance[Row ID],0))),""))</f>
        <v/>
      </c>
      <c r="B111" s="10">
        <f>IF($C111="","",IFERROR(INDEX(tbl_Finance[Invoice Numbers],MATCH($X111,tbl_Finance[Row ID],0))&amp;"",""))</f>
        <v/>
      </c>
      <c r="C111" s="37" t="n"/>
      <c r="D111" s="10">
        <f>IF($C111="","",IF(COUNTIF(lst_Jobs,$C111&amp;"")&gt;0,"OK","CHECK"))</f>
        <v/>
      </c>
      <c r="E111" s="10">
        <f>IF($C111="","",IFERROR(INDEX(lst_JobName,MATCH($C111&amp;"",lst_Jobs,0)),""))</f>
        <v/>
      </c>
      <c r="F111" s="37" t="n"/>
      <c r="G111" s="37" t="n"/>
      <c r="H111" s="37" t="n"/>
      <c r="I111" s="37" t="n"/>
      <c r="J111" s="37" t="n"/>
      <c r="K111" s="38">
        <f>IF($C111="","",IFERROR(N(INDEX(tbl_Finance[Invoice Count],MATCH($X111,tbl_Finance[Row ID],0))),""))</f>
        <v/>
      </c>
      <c r="L111" s="11">
        <f>IF($C111="","",IFERROR(N(INDEX(tbl_Finance[Xero Invoiced Ex GST],MATCH($X111,tbl_Finance[Row ID],0))),""))</f>
        <v/>
      </c>
      <c r="M111" s="10">
        <f>IF($C111="","",IFERROR(INDEX(tbl_Finance[Compare],MATCH($X111,tbl_Finance[Row ID],0))&amp;"",""))</f>
        <v/>
      </c>
      <c r="N111" s="11">
        <f>IF($C111="","",MAX(0,N(O111)-N(L111)))</f>
        <v/>
      </c>
      <c r="O111" s="39" t="n"/>
      <c r="P111" s="40">
        <f>IF($C111="","",IF((IF(F111="",", Client","")&amp;IF(G111="",", Description","")&amp;IF(H111="",", Cost Centre","")&amp;IF(I111="",", Invoice Type","")&amp;IF(J111="",", Tax Code","")&amp;IF(O111="",", Expected Revenue","")&amp;IF(COUNTIF(tbl_Finance[Job Number],$C111&amp;"")&gt;1,", Job number used twice",""))="","Complete","Fix: "&amp;MID(IF(F111="",", Client","")&amp;IF(G111="",", Description","")&amp;IF(H111="",", Cost Centre","")&amp;IF(I111="",", Invoice Type","")&amp;IF(J111="",", Tax Code","")&amp;IF(O111="",", Expected Revenue","")&amp;IF(COUNTIF(tbl_Finance[Job Number],$C111&amp;"")&gt;1,", Job number used twice",""),3,300)))</f>
        <v/>
      </c>
      <c r="Q111" s="10">
        <f>IF($C111="","",IF(H111="","(no cost centre)",H111&amp;" - GL "&amp;IFERROR(INDEX(lst_CCtoGL,MATCH(H111,lst_CCforGL,0)),"?")))</f>
        <v/>
      </c>
      <c r="R111" s="37" t="n"/>
      <c r="S111" s="37" t="n"/>
      <c r="T111" s="10">
        <f>IF(S111="","",HYPERLINK(IF(LEFT(S111,4)="http",S111,set_QwilrBase&amp;S111),"Open quote"))</f>
        <v/>
      </c>
      <c r="U111" s="41" t="n"/>
      <c r="V111" s="37" t="n"/>
      <c r="W111" s="37" t="n"/>
      <c r="X111" s="10" t="inlineStr">
        <is>
          <t>ONS-0107</t>
        </is>
      </c>
    </row>
    <row r="112">
      <c r="A112" s="16">
        <f>IF($C112="","",IFERROR(IF(INDEX(tbl_Finance[Latest Invoice Date],MATCH($X112,tbl_Finance[Row ID],0))="","",INDEX(tbl_Finance[Latest Invoice Date],MATCH($X112,tbl_Finance[Row ID],0))),""))</f>
        <v/>
      </c>
      <c r="B112" s="10">
        <f>IF($C112="","",IFERROR(INDEX(tbl_Finance[Invoice Numbers],MATCH($X112,tbl_Finance[Row ID],0))&amp;"",""))</f>
        <v/>
      </c>
      <c r="C112" s="37" t="n"/>
      <c r="D112" s="10">
        <f>IF($C112="","",IF(COUNTIF(lst_Jobs,$C112&amp;"")&gt;0,"OK","CHECK"))</f>
        <v/>
      </c>
      <c r="E112" s="10">
        <f>IF($C112="","",IFERROR(INDEX(lst_JobName,MATCH($C112&amp;"",lst_Jobs,0)),""))</f>
        <v/>
      </c>
      <c r="F112" s="37" t="n"/>
      <c r="G112" s="37" t="n"/>
      <c r="H112" s="37" t="n"/>
      <c r="I112" s="37" t="n"/>
      <c r="J112" s="37" t="n"/>
      <c r="K112" s="38">
        <f>IF($C112="","",IFERROR(N(INDEX(tbl_Finance[Invoice Count],MATCH($X112,tbl_Finance[Row ID],0))),""))</f>
        <v/>
      </c>
      <c r="L112" s="11">
        <f>IF($C112="","",IFERROR(N(INDEX(tbl_Finance[Xero Invoiced Ex GST],MATCH($X112,tbl_Finance[Row ID],0))),""))</f>
        <v/>
      </c>
      <c r="M112" s="10">
        <f>IF($C112="","",IFERROR(INDEX(tbl_Finance[Compare],MATCH($X112,tbl_Finance[Row ID],0))&amp;"",""))</f>
        <v/>
      </c>
      <c r="N112" s="11">
        <f>IF($C112="","",MAX(0,N(O112)-N(L112)))</f>
        <v/>
      </c>
      <c r="O112" s="39" t="n"/>
      <c r="P112" s="40">
        <f>IF($C112="","",IF((IF(F112="",", Client","")&amp;IF(G112="",", Description","")&amp;IF(H112="",", Cost Centre","")&amp;IF(I112="",", Invoice Type","")&amp;IF(J112="",", Tax Code","")&amp;IF(O112="",", Expected Revenue","")&amp;IF(COUNTIF(tbl_Finance[Job Number],$C112&amp;"")&gt;1,", Job number used twice",""))="","Complete","Fix: "&amp;MID(IF(F112="",", Client","")&amp;IF(G112="",", Description","")&amp;IF(H112="",", Cost Centre","")&amp;IF(I112="",", Invoice Type","")&amp;IF(J112="",", Tax Code","")&amp;IF(O112="",", Expected Revenue","")&amp;IF(COUNTIF(tbl_Finance[Job Number],$C112&amp;"")&gt;1,", Job number used twice",""),3,300)))</f>
        <v/>
      </c>
      <c r="Q112" s="10">
        <f>IF($C112="","",IF(H112="","(no cost centre)",H112&amp;" - GL "&amp;IFERROR(INDEX(lst_CCtoGL,MATCH(H112,lst_CCforGL,0)),"?")))</f>
        <v/>
      </c>
      <c r="R112" s="37" t="n"/>
      <c r="S112" s="37" t="n"/>
      <c r="T112" s="10">
        <f>IF(S112="","",HYPERLINK(IF(LEFT(S112,4)="http",S112,set_QwilrBase&amp;S112),"Open quote"))</f>
        <v/>
      </c>
      <c r="U112" s="41" t="n"/>
      <c r="V112" s="37" t="n"/>
      <c r="W112" s="37" t="n"/>
      <c r="X112" s="10" t="inlineStr">
        <is>
          <t>ONS-0108</t>
        </is>
      </c>
    </row>
    <row r="113">
      <c r="A113" s="16">
        <f>IF($C113="","",IFERROR(IF(INDEX(tbl_Finance[Latest Invoice Date],MATCH($X113,tbl_Finance[Row ID],0))="","",INDEX(tbl_Finance[Latest Invoice Date],MATCH($X113,tbl_Finance[Row ID],0))),""))</f>
        <v/>
      </c>
      <c r="B113" s="10">
        <f>IF($C113="","",IFERROR(INDEX(tbl_Finance[Invoice Numbers],MATCH($X113,tbl_Finance[Row ID],0))&amp;"",""))</f>
        <v/>
      </c>
      <c r="C113" s="37" t="n"/>
      <c r="D113" s="10">
        <f>IF($C113="","",IF(COUNTIF(lst_Jobs,$C113&amp;"")&gt;0,"OK","CHECK"))</f>
        <v/>
      </c>
      <c r="E113" s="10">
        <f>IF($C113="","",IFERROR(INDEX(lst_JobName,MATCH($C113&amp;"",lst_Jobs,0)),""))</f>
        <v/>
      </c>
      <c r="F113" s="37" t="n"/>
      <c r="G113" s="37" t="n"/>
      <c r="H113" s="37" t="n"/>
      <c r="I113" s="37" t="n"/>
      <c r="J113" s="37" t="n"/>
      <c r="K113" s="38">
        <f>IF($C113="","",IFERROR(N(INDEX(tbl_Finance[Invoice Count],MATCH($X113,tbl_Finance[Row ID],0))),""))</f>
        <v/>
      </c>
      <c r="L113" s="11">
        <f>IF($C113="","",IFERROR(N(INDEX(tbl_Finance[Xero Invoiced Ex GST],MATCH($X113,tbl_Finance[Row ID],0))),""))</f>
        <v/>
      </c>
      <c r="M113" s="10">
        <f>IF($C113="","",IFERROR(INDEX(tbl_Finance[Compare],MATCH($X113,tbl_Finance[Row ID],0))&amp;"",""))</f>
        <v/>
      </c>
      <c r="N113" s="11">
        <f>IF($C113="","",MAX(0,N(O113)-N(L113)))</f>
        <v/>
      </c>
      <c r="O113" s="39" t="n"/>
      <c r="P113" s="40">
        <f>IF($C113="","",IF((IF(F113="",", Client","")&amp;IF(G113="",", Description","")&amp;IF(H113="",", Cost Centre","")&amp;IF(I113="",", Invoice Type","")&amp;IF(J113="",", Tax Code","")&amp;IF(O113="",", Expected Revenue","")&amp;IF(COUNTIF(tbl_Finance[Job Number],$C113&amp;"")&gt;1,", Job number used twice",""))="","Complete","Fix: "&amp;MID(IF(F113="",", Client","")&amp;IF(G113="",", Description","")&amp;IF(H113="",", Cost Centre","")&amp;IF(I113="",", Invoice Type","")&amp;IF(J113="",", Tax Code","")&amp;IF(O113="",", Expected Revenue","")&amp;IF(COUNTIF(tbl_Finance[Job Number],$C113&amp;"")&gt;1,", Job number used twice",""),3,300)))</f>
        <v/>
      </c>
      <c r="Q113" s="10">
        <f>IF($C113="","",IF(H113="","(no cost centre)",H113&amp;" - GL "&amp;IFERROR(INDEX(lst_CCtoGL,MATCH(H113,lst_CCforGL,0)),"?")))</f>
        <v/>
      </c>
      <c r="R113" s="37" t="n"/>
      <c r="S113" s="37" t="n"/>
      <c r="T113" s="10">
        <f>IF(S113="","",HYPERLINK(IF(LEFT(S113,4)="http",S113,set_QwilrBase&amp;S113),"Open quote"))</f>
        <v/>
      </c>
      <c r="U113" s="41" t="n"/>
      <c r="V113" s="37" t="n"/>
      <c r="W113" s="37" t="n"/>
      <c r="X113" s="10" t="inlineStr">
        <is>
          <t>ONS-0109</t>
        </is>
      </c>
    </row>
    <row r="114">
      <c r="A114" s="16">
        <f>IF($C114="","",IFERROR(IF(INDEX(tbl_Finance[Latest Invoice Date],MATCH($X114,tbl_Finance[Row ID],0))="","",INDEX(tbl_Finance[Latest Invoice Date],MATCH($X114,tbl_Finance[Row ID],0))),""))</f>
        <v/>
      </c>
      <c r="B114" s="10">
        <f>IF($C114="","",IFERROR(INDEX(tbl_Finance[Invoice Numbers],MATCH($X114,tbl_Finance[Row ID],0))&amp;"",""))</f>
        <v/>
      </c>
      <c r="C114" s="37" t="n"/>
      <c r="D114" s="10">
        <f>IF($C114="","",IF(COUNTIF(lst_Jobs,$C114&amp;"")&gt;0,"OK","CHECK"))</f>
        <v/>
      </c>
      <c r="E114" s="10">
        <f>IF($C114="","",IFERROR(INDEX(lst_JobName,MATCH($C114&amp;"",lst_Jobs,0)),""))</f>
        <v/>
      </c>
      <c r="F114" s="37" t="n"/>
      <c r="G114" s="37" t="n"/>
      <c r="H114" s="37" t="n"/>
      <c r="I114" s="37" t="n"/>
      <c r="J114" s="37" t="n"/>
      <c r="K114" s="38">
        <f>IF($C114="","",IFERROR(N(INDEX(tbl_Finance[Invoice Count],MATCH($X114,tbl_Finance[Row ID],0))),""))</f>
        <v/>
      </c>
      <c r="L114" s="11">
        <f>IF($C114="","",IFERROR(N(INDEX(tbl_Finance[Xero Invoiced Ex GST],MATCH($X114,tbl_Finance[Row ID],0))),""))</f>
        <v/>
      </c>
      <c r="M114" s="10">
        <f>IF($C114="","",IFERROR(INDEX(tbl_Finance[Compare],MATCH($X114,tbl_Finance[Row ID],0))&amp;"",""))</f>
        <v/>
      </c>
      <c r="N114" s="11">
        <f>IF($C114="","",MAX(0,N(O114)-N(L114)))</f>
        <v/>
      </c>
      <c r="O114" s="39" t="n"/>
      <c r="P114" s="40">
        <f>IF($C114="","",IF((IF(F114="",", Client","")&amp;IF(G114="",", Description","")&amp;IF(H114="",", Cost Centre","")&amp;IF(I114="",", Invoice Type","")&amp;IF(J114="",", Tax Code","")&amp;IF(O114="",", Expected Revenue","")&amp;IF(COUNTIF(tbl_Finance[Job Number],$C114&amp;"")&gt;1,", Job number used twice",""))="","Complete","Fix: "&amp;MID(IF(F114="",", Client","")&amp;IF(G114="",", Description","")&amp;IF(H114="",", Cost Centre","")&amp;IF(I114="",", Invoice Type","")&amp;IF(J114="",", Tax Code","")&amp;IF(O114="",", Expected Revenue","")&amp;IF(COUNTIF(tbl_Finance[Job Number],$C114&amp;"")&gt;1,", Job number used twice",""),3,300)))</f>
        <v/>
      </c>
      <c r="Q114" s="10">
        <f>IF($C114="","",IF(H114="","(no cost centre)",H114&amp;" - GL "&amp;IFERROR(INDEX(lst_CCtoGL,MATCH(H114,lst_CCforGL,0)),"?")))</f>
        <v/>
      </c>
      <c r="R114" s="37" t="n"/>
      <c r="S114" s="37" t="n"/>
      <c r="T114" s="10">
        <f>IF(S114="","",HYPERLINK(IF(LEFT(S114,4)="http",S114,set_QwilrBase&amp;S114),"Open quote"))</f>
        <v/>
      </c>
      <c r="U114" s="41" t="n"/>
      <c r="V114" s="37" t="n"/>
      <c r="W114" s="37" t="n"/>
      <c r="X114" s="10" t="inlineStr">
        <is>
          <t>ONS-0110</t>
        </is>
      </c>
    </row>
    <row r="115">
      <c r="A115" s="16">
        <f>IF($C115="","",IFERROR(IF(INDEX(tbl_Finance[Latest Invoice Date],MATCH($X115,tbl_Finance[Row ID],0))="","",INDEX(tbl_Finance[Latest Invoice Date],MATCH($X115,tbl_Finance[Row ID],0))),""))</f>
        <v/>
      </c>
      <c r="B115" s="10">
        <f>IF($C115="","",IFERROR(INDEX(tbl_Finance[Invoice Numbers],MATCH($X115,tbl_Finance[Row ID],0))&amp;"",""))</f>
        <v/>
      </c>
      <c r="C115" s="37" t="n"/>
      <c r="D115" s="10">
        <f>IF($C115="","",IF(COUNTIF(lst_Jobs,$C115&amp;"")&gt;0,"OK","CHECK"))</f>
        <v/>
      </c>
      <c r="E115" s="10">
        <f>IF($C115="","",IFERROR(INDEX(lst_JobName,MATCH($C115&amp;"",lst_Jobs,0)),""))</f>
        <v/>
      </c>
      <c r="F115" s="37" t="n"/>
      <c r="G115" s="37" t="n"/>
      <c r="H115" s="37" t="n"/>
      <c r="I115" s="37" t="n"/>
      <c r="J115" s="37" t="n"/>
      <c r="K115" s="38">
        <f>IF($C115="","",IFERROR(N(INDEX(tbl_Finance[Invoice Count],MATCH($X115,tbl_Finance[Row ID],0))),""))</f>
        <v/>
      </c>
      <c r="L115" s="11">
        <f>IF($C115="","",IFERROR(N(INDEX(tbl_Finance[Xero Invoiced Ex GST],MATCH($X115,tbl_Finance[Row ID],0))),""))</f>
        <v/>
      </c>
      <c r="M115" s="10">
        <f>IF($C115="","",IFERROR(INDEX(tbl_Finance[Compare],MATCH($X115,tbl_Finance[Row ID],0))&amp;"",""))</f>
        <v/>
      </c>
      <c r="N115" s="11">
        <f>IF($C115="","",MAX(0,N(O115)-N(L115)))</f>
        <v/>
      </c>
      <c r="O115" s="39" t="n"/>
      <c r="P115" s="40">
        <f>IF($C115="","",IF((IF(F115="",", Client","")&amp;IF(G115="",", Description","")&amp;IF(H115="",", Cost Centre","")&amp;IF(I115="",", Invoice Type","")&amp;IF(J115="",", Tax Code","")&amp;IF(O115="",", Expected Revenue","")&amp;IF(COUNTIF(tbl_Finance[Job Number],$C115&amp;"")&gt;1,", Job number used twice",""))="","Complete","Fix: "&amp;MID(IF(F115="",", Client","")&amp;IF(G115="",", Description","")&amp;IF(H115="",", Cost Centre","")&amp;IF(I115="",", Invoice Type","")&amp;IF(J115="",", Tax Code","")&amp;IF(O115="",", Expected Revenue","")&amp;IF(COUNTIF(tbl_Finance[Job Number],$C115&amp;"")&gt;1,", Job number used twice",""),3,300)))</f>
        <v/>
      </c>
      <c r="Q115" s="10">
        <f>IF($C115="","",IF(H115="","(no cost centre)",H115&amp;" - GL "&amp;IFERROR(INDEX(lst_CCtoGL,MATCH(H115,lst_CCforGL,0)),"?")))</f>
        <v/>
      </c>
      <c r="R115" s="37" t="n"/>
      <c r="S115" s="37" t="n"/>
      <c r="T115" s="10">
        <f>IF(S115="","",HYPERLINK(IF(LEFT(S115,4)="http",S115,set_QwilrBase&amp;S115),"Open quote"))</f>
        <v/>
      </c>
      <c r="U115" s="41" t="n"/>
      <c r="V115" s="37" t="n"/>
      <c r="W115" s="37" t="n"/>
      <c r="X115" s="10" t="inlineStr">
        <is>
          <t>ONS-0111</t>
        </is>
      </c>
    </row>
    <row r="116">
      <c r="A116" s="16">
        <f>IF($C116="","",IFERROR(IF(INDEX(tbl_Finance[Latest Invoice Date],MATCH($X116,tbl_Finance[Row ID],0))="","",INDEX(tbl_Finance[Latest Invoice Date],MATCH($X116,tbl_Finance[Row ID],0))),""))</f>
        <v/>
      </c>
      <c r="B116" s="10">
        <f>IF($C116="","",IFERROR(INDEX(tbl_Finance[Invoice Numbers],MATCH($X116,tbl_Finance[Row ID],0))&amp;"",""))</f>
        <v/>
      </c>
      <c r="C116" s="37" t="n"/>
      <c r="D116" s="10">
        <f>IF($C116="","",IF(COUNTIF(lst_Jobs,$C116&amp;"")&gt;0,"OK","CHECK"))</f>
        <v/>
      </c>
      <c r="E116" s="10">
        <f>IF($C116="","",IFERROR(INDEX(lst_JobName,MATCH($C116&amp;"",lst_Jobs,0)),""))</f>
        <v/>
      </c>
      <c r="F116" s="37" t="n"/>
      <c r="G116" s="37" t="n"/>
      <c r="H116" s="37" t="n"/>
      <c r="I116" s="37" t="n"/>
      <c r="J116" s="37" t="n"/>
      <c r="K116" s="38">
        <f>IF($C116="","",IFERROR(N(INDEX(tbl_Finance[Invoice Count],MATCH($X116,tbl_Finance[Row ID],0))),""))</f>
        <v/>
      </c>
      <c r="L116" s="11">
        <f>IF($C116="","",IFERROR(N(INDEX(tbl_Finance[Xero Invoiced Ex GST],MATCH($X116,tbl_Finance[Row ID],0))),""))</f>
        <v/>
      </c>
      <c r="M116" s="10">
        <f>IF($C116="","",IFERROR(INDEX(tbl_Finance[Compare],MATCH($X116,tbl_Finance[Row ID],0))&amp;"",""))</f>
        <v/>
      </c>
      <c r="N116" s="11">
        <f>IF($C116="","",MAX(0,N(O116)-N(L116)))</f>
        <v/>
      </c>
      <c r="O116" s="39" t="n"/>
      <c r="P116" s="40">
        <f>IF($C116="","",IF((IF(F116="",", Client","")&amp;IF(G116="",", Description","")&amp;IF(H116="",", Cost Centre","")&amp;IF(I116="",", Invoice Type","")&amp;IF(J116="",", Tax Code","")&amp;IF(O116="",", Expected Revenue","")&amp;IF(COUNTIF(tbl_Finance[Job Number],$C116&amp;"")&gt;1,", Job number used twice",""))="","Complete","Fix: "&amp;MID(IF(F116="",", Client","")&amp;IF(G116="",", Description","")&amp;IF(H116="",", Cost Centre","")&amp;IF(I116="",", Invoice Type","")&amp;IF(J116="",", Tax Code","")&amp;IF(O116="",", Expected Revenue","")&amp;IF(COUNTIF(tbl_Finance[Job Number],$C116&amp;"")&gt;1,", Job number used twice",""),3,300)))</f>
        <v/>
      </c>
      <c r="Q116" s="10">
        <f>IF($C116="","",IF(H116="","(no cost centre)",H116&amp;" - GL "&amp;IFERROR(INDEX(lst_CCtoGL,MATCH(H116,lst_CCforGL,0)),"?")))</f>
        <v/>
      </c>
      <c r="R116" s="37" t="n"/>
      <c r="S116" s="37" t="n"/>
      <c r="T116" s="10">
        <f>IF(S116="","",HYPERLINK(IF(LEFT(S116,4)="http",S116,set_QwilrBase&amp;S116),"Open quote"))</f>
        <v/>
      </c>
      <c r="U116" s="41" t="n"/>
      <c r="V116" s="37" t="n"/>
      <c r="W116" s="37" t="n"/>
      <c r="X116" s="10" t="inlineStr">
        <is>
          <t>ONS-0112</t>
        </is>
      </c>
    </row>
    <row r="117">
      <c r="A117" s="16">
        <f>IF($C117="","",IFERROR(IF(INDEX(tbl_Finance[Latest Invoice Date],MATCH($X117,tbl_Finance[Row ID],0))="","",INDEX(tbl_Finance[Latest Invoice Date],MATCH($X117,tbl_Finance[Row ID],0))),""))</f>
        <v/>
      </c>
      <c r="B117" s="10">
        <f>IF($C117="","",IFERROR(INDEX(tbl_Finance[Invoice Numbers],MATCH($X117,tbl_Finance[Row ID],0))&amp;"",""))</f>
        <v/>
      </c>
      <c r="C117" s="37" t="n"/>
      <c r="D117" s="10">
        <f>IF($C117="","",IF(COUNTIF(lst_Jobs,$C117&amp;"")&gt;0,"OK","CHECK"))</f>
        <v/>
      </c>
      <c r="E117" s="10">
        <f>IF($C117="","",IFERROR(INDEX(lst_JobName,MATCH($C117&amp;"",lst_Jobs,0)),""))</f>
        <v/>
      </c>
      <c r="F117" s="37" t="n"/>
      <c r="G117" s="37" t="n"/>
      <c r="H117" s="37" t="n"/>
      <c r="I117" s="37" t="n"/>
      <c r="J117" s="37" t="n"/>
      <c r="K117" s="38">
        <f>IF($C117="","",IFERROR(N(INDEX(tbl_Finance[Invoice Count],MATCH($X117,tbl_Finance[Row ID],0))),""))</f>
        <v/>
      </c>
      <c r="L117" s="11">
        <f>IF($C117="","",IFERROR(N(INDEX(tbl_Finance[Xero Invoiced Ex GST],MATCH($X117,tbl_Finance[Row ID],0))),""))</f>
        <v/>
      </c>
      <c r="M117" s="10">
        <f>IF($C117="","",IFERROR(INDEX(tbl_Finance[Compare],MATCH($X117,tbl_Finance[Row ID],0))&amp;"",""))</f>
        <v/>
      </c>
      <c r="N117" s="11">
        <f>IF($C117="","",MAX(0,N(O117)-N(L117)))</f>
        <v/>
      </c>
      <c r="O117" s="39" t="n"/>
      <c r="P117" s="40">
        <f>IF($C117="","",IF((IF(F117="",", Client","")&amp;IF(G117="",", Description","")&amp;IF(H117="",", Cost Centre","")&amp;IF(I117="",", Invoice Type","")&amp;IF(J117="",", Tax Code","")&amp;IF(O117="",", Expected Revenue","")&amp;IF(COUNTIF(tbl_Finance[Job Number],$C117&amp;"")&gt;1,", Job number used twice",""))="","Complete","Fix: "&amp;MID(IF(F117="",", Client","")&amp;IF(G117="",", Description","")&amp;IF(H117="",", Cost Centre","")&amp;IF(I117="",", Invoice Type","")&amp;IF(J117="",", Tax Code","")&amp;IF(O117="",", Expected Revenue","")&amp;IF(COUNTIF(tbl_Finance[Job Number],$C117&amp;"")&gt;1,", Job number used twice",""),3,300)))</f>
        <v/>
      </c>
      <c r="Q117" s="10">
        <f>IF($C117="","",IF(H117="","(no cost centre)",H117&amp;" - GL "&amp;IFERROR(INDEX(lst_CCtoGL,MATCH(H117,lst_CCforGL,0)),"?")))</f>
        <v/>
      </c>
      <c r="R117" s="37" t="n"/>
      <c r="S117" s="37" t="n"/>
      <c r="T117" s="10">
        <f>IF(S117="","",HYPERLINK(IF(LEFT(S117,4)="http",S117,set_QwilrBase&amp;S117),"Open quote"))</f>
        <v/>
      </c>
      <c r="U117" s="41" t="n"/>
      <c r="V117" s="37" t="n"/>
      <c r="W117" s="37" t="n"/>
      <c r="X117" s="10" t="inlineStr">
        <is>
          <t>ONS-0113</t>
        </is>
      </c>
    </row>
    <row r="118">
      <c r="A118" s="16">
        <f>IF($C118="","",IFERROR(IF(INDEX(tbl_Finance[Latest Invoice Date],MATCH($X118,tbl_Finance[Row ID],0))="","",INDEX(tbl_Finance[Latest Invoice Date],MATCH($X118,tbl_Finance[Row ID],0))),""))</f>
        <v/>
      </c>
      <c r="B118" s="10">
        <f>IF($C118="","",IFERROR(INDEX(tbl_Finance[Invoice Numbers],MATCH($X118,tbl_Finance[Row ID],0))&amp;"",""))</f>
        <v/>
      </c>
      <c r="C118" s="37" t="n"/>
      <c r="D118" s="10">
        <f>IF($C118="","",IF(COUNTIF(lst_Jobs,$C118&amp;"")&gt;0,"OK","CHECK"))</f>
        <v/>
      </c>
      <c r="E118" s="10">
        <f>IF($C118="","",IFERROR(INDEX(lst_JobName,MATCH($C118&amp;"",lst_Jobs,0)),""))</f>
        <v/>
      </c>
      <c r="F118" s="37" t="n"/>
      <c r="G118" s="37" t="n"/>
      <c r="H118" s="37" t="n"/>
      <c r="I118" s="37" t="n"/>
      <c r="J118" s="37" t="n"/>
      <c r="K118" s="38">
        <f>IF($C118="","",IFERROR(N(INDEX(tbl_Finance[Invoice Count],MATCH($X118,tbl_Finance[Row ID],0))),""))</f>
        <v/>
      </c>
      <c r="L118" s="11">
        <f>IF($C118="","",IFERROR(N(INDEX(tbl_Finance[Xero Invoiced Ex GST],MATCH($X118,tbl_Finance[Row ID],0))),""))</f>
        <v/>
      </c>
      <c r="M118" s="10">
        <f>IF($C118="","",IFERROR(INDEX(tbl_Finance[Compare],MATCH($X118,tbl_Finance[Row ID],0))&amp;"",""))</f>
        <v/>
      </c>
      <c r="N118" s="11">
        <f>IF($C118="","",MAX(0,N(O118)-N(L118)))</f>
        <v/>
      </c>
      <c r="O118" s="39" t="n"/>
      <c r="P118" s="40">
        <f>IF($C118="","",IF((IF(F118="",", Client","")&amp;IF(G118="",", Description","")&amp;IF(H118="",", Cost Centre","")&amp;IF(I118="",", Invoice Type","")&amp;IF(J118="",", Tax Code","")&amp;IF(O118="",", Expected Revenue","")&amp;IF(COUNTIF(tbl_Finance[Job Number],$C118&amp;"")&gt;1,", Job number used twice",""))="","Complete","Fix: "&amp;MID(IF(F118="",", Client","")&amp;IF(G118="",", Description","")&amp;IF(H118="",", Cost Centre","")&amp;IF(I118="",", Invoice Type","")&amp;IF(J118="",", Tax Code","")&amp;IF(O118="",", Expected Revenue","")&amp;IF(COUNTIF(tbl_Finance[Job Number],$C118&amp;"")&gt;1,", Job number used twice",""),3,300)))</f>
        <v/>
      </c>
      <c r="Q118" s="10">
        <f>IF($C118="","",IF(H118="","(no cost centre)",H118&amp;" - GL "&amp;IFERROR(INDEX(lst_CCtoGL,MATCH(H118,lst_CCforGL,0)),"?")))</f>
        <v/>
      </c>
      <c r="R118" s="37" t="n"/>
      <c r="S118" s="37" t="n"/>
      <c r="T118" s="10">
        <f>IF(S118="","",HYPERLINK(IF(LEFT(S118,4)="http",S118,set_QwilrBase&amp;S118),"Open quote"))</f>
        <v/>
      </c>
      <c r="U118" s="41" t="n"/>
      <c r="V118" s="37" t="n"/>
      <c r="W118" s="37" t="n"/>
      <c r="X118" s="10" t="inlineStr">
        <is>
          <t>ONS-0114</t>
        </is>
      </c>
    </row>
    <row r="119">
      <c r="A119" s="16">
        <f>IF($C119="","",IFERROR(IF(INDEX(tbl_Finance[Latest Invoice Date],MATCH($X119,tbl_Finance[Row ID],0))="","",INDEX(tbl_Finance[Latest Invoice Date],MATCH($X119,tbl_Finance[Row ID],0))),""))</f>
        <v/>
      </c>
      <c r="B119" s="10">
        <f>IF($C119="","",IFERROR(INDEX(tbl_Finance[Invoice Numbers],MATCH($X119,tbl_Finance[Row ID],0))&amp;"",""))</f>
        <v/>
      </c>
      <c r="C119" s="37" t="n"/>
      <c r="D119" s="10">
        <f>IF($C119="","",IF(COUNTIF(lst_Jobs,$C119&amp;"")&gt;0,"OK","CHECK"))</f>
        <v/>
      </c>
      <c r="E119" s="10">
        <f>IF($C119="","",IFERROR(INDEX(lst_JobName,MATCH($C119&amp;"",lst_Jobs,0)),""))</f>
        <v/>
      </c>
      <c r="F119" s="37" t="n"/>
      <c r="G119" s="37" t="n"/>
      <c r="H119" s="37" t="n"/>
      <c r="I119" s="37" t="n"/>
      <c r="J119" s="37" t="n"/>
      <c r="K119" s="38">
        <f>IF($C119="","",IFERROR(N(INDEX(tbl_Finance[Invoice Count],MATCH($X119,tbl_Finance[Row ID],0))),""))</f>
        <v/>
      </c>
      <c r="L119" s="11">
        <f>IF($C119="","",IFERROR(N(INDEX(tbl_Finance[Xero Invoiced Ex GST],MATCH($X119,tbl_Finance[Row ID],0))),""))</f>
        <v/>
      </c>
      <c r="M119" s="10">
        <f>IF($C119="","",IFERROR(INDEX(tbl_Finance[Compare],MATCH($X119,tbl_Finance[Row ID],0))&amp;"",""))</f>
        <v/>
      </c>
      <c r="N119" s="11">
        <f>IF($C119="","",MAX(0,N(O119)-N(L119)))</f>
        <v/>
      </c>
      <c r="O119" s="39" t="n"/>
      <c r="P119" s="40">
        <f>IF($C119="","",IF((IF(F119="",", Client","")&amp;IF(G119="",", Description","")&amp;IF(H119="",", Cost Centre","")&amp;IF(I119="",", Invoice Type","")&amp;IF(J119="",", Tax Code","")&amp;IF(O119="",", Expected Revenue","")&amp;IF(COUNTIF(tbl_Finance[Job Number],$C119&amp;"")&gt;1,", Job number used twice",""))="","Complete","Fix: "&amp;MID(IF(F119="",", Client","")&amp;IF(G119="",", Description","")&amp;IF(H119="",", Cost Centre","")&amp;IF(I119="",", Invoice Type","")&amp;IF(J119="",", Tax Code","")&amp;IF(O119="",", Expected Revenue","")&amp;IF(COUNTIF(tbl_Finance[Job Number],$C119&amp;"")&gt;1,", Job number used twice",""),3,300)))</f>
        <v/>
      </c>
      <c r="Q119" s="10">
        <f>IF($C119="","",IF(H119="","(no cost centre)",H119&amp;" - GL "&amp;IFERROR(INDEX(lst_CCtoGL,MATCH(H119,lst_CCforGL,0)),"?")))</f>
        <v/>
      </c>
      <c r="R119" s="37" t="n"/>
      <c r="S119" s="37" t="n"/>
      <c r="T119" s="10">
        <f>IF(S119="","",HYPERLINK(IF(LEFT(S119,4)="http",S119,set_QwilrBase&amp;S119),"Open quote"))</f>
        <v/>
      </c>
      <c r="U119" s="41" t="n"/>
      <c r="V119" s="37" t="n"/>
      <c r="W119" s="37" t="n"/>
      <c r="X119" s="10" t="inlineStr">
        <is>
          <t>ONS-0115</t>
        </is>
      </c>
    </row>
    <row r="120">
      <c r="A120" s="16">
        <f>IF($C120="","",IFERROR(IF(INDEX(tbl_Finance[Latest Invoice Date],MATCH($X120,tbl_Finance[Row ID],0))="","",INDEX(tbl_Finance[Latest Invoice Date],MATCH($X120,tbl_Finance[Row ID],0))),""))</f>
        <v/>
      </c>
      <c r="B120" s="10">
        <f>IF($C120="","",IFERROR(INDEX(tbl_Finance[Invoice Numbers],MATCH($X120,tbl_Finance[Row ID],0))&amp;"",""))</f>
        <v/>
      </c>
      <c r="C120" s="37" t="n"/>
      <c r="D120" s="10">
        <f>IF($C120="","",IF(COUNTIF(lst_Jobs,$C120&amp;"")&gt;0,"OK","CHECK"))</f>
        <v/>
      </c>
      <c r="E120" s="10">
        <f>IF($C120="","",IFERROR(INDEX(lst_JobName,MATCH($C120&amp;"",lst_Jobs,0)),""))</f>
        <v/>
      </c>
      <c r="F120" s="37" t="n"/>
      <c r="G120" s="37" t="n"/>
      <c r="H120" s="37" t="n"/>
      <c r="I120" s="37" t="n"/>
      <c r="J120" s="37" t="n"/>
      <c r="K120" s="38">
        <f>IF($C120="","",IFERROR(N(INDEX(tbl_Finance[Invoice Count],MATCH($X120,tbl_Finance[Row ID],0))),""))</f>
        <v/>
      </c>
      <c r="L120" s="11">
        <f>IF($C120="","",IFERROR(N(INDEX(tbl_Finance[Xero Invoiced Ex GST],MATCH($X120,tbl_Finance[Row ID],0))),""))</f>
        <v/>
      </c>
      <c r="M120" s="10">
        <f>IF($C120="","",IFERROR(INDEX(tbl_Finance[Compare],MATCH($X120,tbl_Finance[Row ID],0))&amp;"",""))</f>
        <v/>
      </c>
      <c r="N120" s="11">
        <f>IF($C120="","",MAX(0,N(O120)-N(L120)))</f>
        <v/>
      </c>
      <c r="O120" s="39" t="n"/>
      <c r="P120" s="40">
        <f>IF($C120="","",IF((IF(F120="",", Client","")&amp;IF(G120="",", Description","")&amp;IF(H120="",", Cost Centre","")&amp;IF(I120="",", Invoice Type","")&amp;IF(J120="",", Tax Code","")&amp;IF(O120="",", Expected Revenue","")&amp;IF(COUNTIF(tbl_Finance[Job Number],$C120&amp;"")&gt;1,", Job number used twice",""))="","Complete","Fix: "&amp;MID(IF(F120="",", Client","")&amp;IF(G120="",", Description","")&amp;IF(H120="",", Cost Centre","")&amp;IF(I120="",", Invoice Type","")&amp;IF(J120="",", Tax Code","")&amp;IF(O120="",", Expected Revenue","")&amp;IF(COUNTIF(tbl_Finance[Job Number],$C120&amp;"")&gt;1,", Job number used twice",""),3,300)))</f>
        <v/>
      </c>
      <c r="Q120" s="10">
        <f>IF($C120="","",IF(H120="","(no cost centre)",H120&amp;" - GL "&amp;IFERROR(INDEX(lst_CCtoGL,MATCH(H120,lst_CCforGL,0)),"?")))</f>
        <v/>
      </c>
      <c r="R120" s="37" t="n"/>
      <c r="S120" s="37" t="n"/>
      <c r="T120" s="10">
        <f>IF(S120="","",HYPERLINK(IF(LEFT(S120,4)="http",S120,set_QwilrBase&amp;S120),"Open quote"))</f>
        <v/>
      </c>
      <c r="U120" s="41" t="n"/>
      <c r="V120" s="37" t="n"/>
      <c r="W120" s="37" t="n"/>
      <c r="X120" s="10" t="inlineStr">
        <is>
          <t>ONS-0116</t>
        </is>
      </c>
    </row>
    <row r="121">
      <c r="A121" s="16">
        <f>IF($C121="","",IFERROR(IF(INDEX(tbl_Finance[Latest Invoice Date],MATCH($X121,tbl_Finance[Row ID],0))="","",INDEX(tbl_Finance[Latest Invoice Date],MATCH($X121,tbl_Finance[Row ID],0))),""))</f>
        <v/>
      </c>
      <c r="B121" s="10">
        <f>IF($C121="","",IFERROR(INDEX(tbl_Finance[Invoice Numbers],MATCH($X121,tbl_Finance[Row ID],0))&amp;"",""))</f>
        <v/>
      </c>
      <c r="C121" s="37" t="n"/>
      <c r="D121" s="10">
        <f>IF($C121="","",IF(COUNTIF(lst_Jobs,$C121&amp;"")&gt;0,"OK","CHECK"))</f>
        <v/>
      </c>
      <c r="E121" s="10">
        <f>IF($C121="","",IFERROR(INDEX(lst_JobName,MATCH($C121&amp;"",lst_Jobs,0)),""))</f>
        <v/>
      </c>
      <c r="F121" s="37" t="n"/>
      <c r="G121" s="37" t="n"/>
      <c r="H121" s="37" t="n"/>
      <c r="I121" s="37" t="n"/>
      <c r="J121" s="37" t="n"/>
      <c r="K121" s="38">
        <f>IF($C121="","",IFERROR(N(INDEX(tbl_Finance[Invoice Count],MATCH($X121,tbl_Finance[Row ID],0))),""))</f>
        <v/>
      </c>
      <c r="L121" s="11">
        <f>IF($C121="","",IFERROR(N(INDEX(tbl_Finance[Xero Invoiced Ex GST],MATCH($X121,tbl_Finance[Row ID],0))),""))</f>
        <v/>
      </c>
      <c r="M121" s="10">
        <f>IF($C121="","",IFERROR(INDEX(tbl_Finance[Compare],MATCH($X121,tbl_Finance[Row ID],0))&amp;"",""))</f>
        <v/>
      </c>
      <c r="N121" s="11">
        <f>IF($C121="","",MAX(0,N(O121)-N(L121)))</f>
        <v/>
      </c>
      <c r="O121" s="39" t="n"/>
      <c r="P121" s="40">
        <f>IF($C121="","",IF((IF(F121="",", Client","")&amp;IF(G121="",", Description","")&amp;IF(H121="",", Cost Centre","")&amp;IF(I121="",", Invoice Type","")&amp;IF(J121="",", Tax Code","")&amp;IF(O121="",", Expected Revenue","")&amp;IF(COUNTIF(tbl_Finance[Job Number],$C121&amp;"")&gt;1,", Job number used twice",""))="","Complete","Fix: "&amp;MID(IF(F121="",", Client","")&amp;IF(G121="",", Description","")&amp;IF(H121="",", Cost Centre","")&amp;IF(I121="",", Invoice Type","")&amp;IF(J121="",", Tax Code","")&amp;IF(O121="",", Expected Revenue","")&amp;IF(COUNTIF(tbl_Finance[Job Number],$C121&amp;"")&gt;1,", Job number used twice",""),3,300)))</f>
        <v/>
      </c>
      <c r="Q121" s="10">
        <f>IF($C121="","",IF(H121="","(no cost centre)",H121&amp;" - GL "&amp;IFERROR(INDEX(lst_CCtoGL,MATCH(H121,lst_CCforGL,0)),"?")))</f>
        <v/>
      </c>
      <c r="R121" s="37" t="n"/>
      <c r="S121" s="37" t="n"/>
      <c r="T121" s="10">
        <f>IF(S121="","",HYPERLINK(IF(LEFT(S121,4)="http",S121,set_QwilrBase&amp;S121),"Open quote"))</f>
        <v/>
      </c>
      <c r="U121" s="41" t="n"/>
      <c r="V121" s="37" t="n"/>
      <c r="W121" s="37" t="n"/>
      <c r="X121" s="10" t="inlineStr">
        <is>
          <t>ONS-0117</t>
        </is>
      </c>
    </row>
    <row r="122">
      <c r="A122" s="16">
        <f>IF($C122="","",IFERROR(IF(INDEX(tbl_Finance[Latest Invoice Date],MATCH($X122,tbl_Finance[Row ID],0))="","",INDEX(tbl_Finance[Latest Invoice Date],MATCH($X122,tbl_Finance[Row ID],0))),""))</f>
        <v/>
      </c>
      <c r="B122" s="10">
        <f>IF($C122="","",IFERROR(INDEX(tbl_Finance[Invoice Numbers],MATCH($X122,tbl_Finance[Row ID],0))&amp;"",""))</f>
        <v/>
      </c>
      <c r="C122" s="37" t="n"/>
      <c r="D122" s="10">
        <f>IF($C122="","",IF(COUNTIF(lst_Jobs,$C122&amp;"")&gt;0,"OK","CHECK"))</f>
        <v/>
      </c>
      <c r="E122" s="10">
        <f>IF($C122="","",IFERROR(INDEX(lst_JobName,MATCH($C122&amp;"",lst_Jobs,0)),""))</f>
        <v/>
      </c>
      <c r="F122" s="37" t="n"/>
      <c r="G122" s="37" t="n"/>
      <c r="H122" s="37" t="n"/>
      <c r="I122" s="37" t="n"/>
      <c r="J122" s="37" t="n"/>
      <c r="K122" s="38">
        <f>IF($C122="","",IFERROR(N(INDEX(tbl_Finance[Invoice Count],MATCH($X122,tbl_Finance[Row ID],0))),""))</f>
        <v/>
      </c>
      <c r="L122" s="11">
        <f>IF($C122="","",IFERROR(N(INDEX(tbl_Finance[Xero Invoiced Ex GST],MATCH($X122,tbl_Finance[Row ID],0))),""))</f>
        <v/>
      </c>
      <c r="M122" s="10">
        <f>IF($C122="","",IFERROR(INDEX(tbl_Finance[Compare],MATCH($X122,tbl_Finance[Row ID],0))&amp;"",""))</f>
        <v/>
      </c>
      <c r="N122" s="11">
        <f>IF($C122="","",MAX(0,N(O122)-N(L122)))</f>
        <v/>
      </c>
      <c r="O122" s="39" t="n"/>
      <c r="P122" s="40">
        <f>IF($C122="","",IF((IF(F122="",", Client","")&amp;IF(G122="",", Description","")&amp;IF(H122="",", Cost Centre","")&amp;IF(I122="",", Invoice Type","")&amp;IF(J122="",", Tax Code","")&amp;IF(O122="",", Expected Revenue","")&amp;IF(COUNTIF(tbl_Finance[Job Number],$C122&amp;"")&gt;1,", Job number used twice",""))="","Complete","Fix: "&amp;MID(IF(F122="",", Client","")&amp;IF(G122="",", Description","")&amp;IF(H122="",", Cost Centre","")&amp;IF(I122="",", Invoice Type","")&amp;IF(J122="",", Tax Code","")&amp;IF(O122="",", Expected Revenue","")&amp;IF(COUNTIF(tbl_Finance[Job Number],$C122&amp;"")&gt;1,", Job number used twice",""),3,300)))</f>
        <v/>
      </c>
      <c r="Q122" s="10">
        <f>IF($C122="","",IF(H122="","(no cost centre)",H122&amp;" - GL "&amp;IFERROR(INDEX(lst_CCtoGL,MATCH(H122,lst_CCforGL,0)),"?")))</f>
        <v/>
      </c>
      <c r="R122" s="37" t="n"/>
      <c r="S122" s="37" t="n"/>
      <c r="T122" s="10">
        <f>IF(S122="","",HYPERLINK(IF(LEFT(S122,4)="http",S122,set_QwilrBase&amp;S122),"Open quote"))</f>
        <v/>
      </c>
      <c r="U122" s="41" t="n"/>
      <c r="V122" s="37" t="n"/>
      <c r="W122" s="37" t="n"/>
      <c r="X122" s="10" t="inlineStr">
        <is>
          <t>ONS-0118</t>
        </is>
      </c>
    </row>
    <row r="123">
      <c r="A123" s="16">
        <f>IF($C123="","",IFERROR(IF(INDEX(tbl_Finance[Latest Invoice Date],MATCH($X123,tbl_Finance[Row ID],0))="","",INDEX(tbl_Finance[Latest Invoice Date],MATCH($X123,tbl_Finance[Row ID],0))),""))</f>
        <v/>
      </c>
      <c r="B123" s="10">
        <f>IF($C123="","",IFERROR(INDEX(tbl_Finance[Invoice Numbers],MATCH($X123,tbl_Finance[Row ID],0))&amp;"",""))</f>
        <v/>
      </c>
      <c r="C123" s="37" t="n"/>
      <c r="D123" s="10">
        <f>IF($C123="","",IF(COUNTIF(lst_Jobs,$C123&amp;"")&gt;0,"OK","CHECK"))</f>
        <v/>
      </c>
      <c r="E123" s="10">
        <f>IF($C123="","",IFERROR(INDEX(lst_JobName,MATCH($C123&amp;"",lst_Jobs,0)),""))</f>
        <v/>
      </c>
      <c r="F123" s="37" t="n"/>
      <c r="G123" s="37" t="n"/>
      <c r="H123" s="37" t="n"/>
      <c r="I123" s="37" t="n"/>
      <c r="J123" s="37" t="n"/>
      <c r="K123" s="38">
        <f>IF($C123="","",IFERROR(N(INDEX(tbl_Finance[Invoice Count],MATCH($X123,tbl_Finance[Row ID],0))),""))</f>
        <v/>
      </c>
      <c r="L123" s="11">
        <f>IF($C123="","",IFERROR(N(INDEX(tbl_Finance[Xero Invoiced Ex GST],MATCH($X123,tbl_Finance[Row ID],0))),""))</f>
        <v/>
      </c>
      <c r="M123" s="10">
        <f>IF($C123="","",IFERROR(INDEX(tbl_Finance[Compare],MATCH($X123,tbl_Finance[Row ID],0))&amp;"",""))</f>
        <v/>
      </c>
      <c r="N123" s="11">
        <f>IF($C123="","",MAX(0,N(O123)-N(L123)))</f>
        <v/>
      </c>
      <c r="O123" s="39" t="n"/>
      <c r="P123" s="40">
        <f>IF($C123="","",IF((IF(F123="",", Client","")&amp;IF(G123="",", Description","")&amp;IF(H123="",", Cost Centre","")&amp;IF(I123="",", Invoice Type","")&amp;IF(J123="",", Tax Code","")&amp;IF(O123="",", Expected Revenue","")&amp;IF(COUNTIF(tbl_Finance[Job Number],$C123&amp;"")&gt;1,", Job number used twice",""))="","Complete","Fix: "&amp;MID(IF(F123="",", Client","")&amp;IF(G123="",", Description","")&amp;IF(H123="",", Cost Centre","")&amp;IF(I123="",", Invoice Type","")&amp;IF(J123="",", Tax Code","")&amp;IF(O123="",", Expected Revenue","")&amp;IF(COUNTIF(tbl_Finance[Job Number],$C123&amp;"")&gt;1,", Job number used twice",""),3,300)))</f>
        <v/>
      </c>
      <c r="Q123" s="10">
        <f>IF($C123="","",IF(H123="","(no cost centre)",H123&amp;" - GL "&amp;IFERROR(INDEX(lst_CCtoGL,MATCH(H123,lst_CCforGL,0)),"?")))</f>
        <v/>
      </c>
      <c r="R123" s="37" t="n"/>
      <c r="S123" s="37" t="n"/>
      <c r="T123" s="10">
        <f>IF(S123="","",HYPERLINK(IF(LEFT(S123,4)="http",S123,set_QwilrBase&amp;S123),"Open quote"))</f>
        <v/>
      </c>
      <c r="U123" s="41" t="n"/>
      <c r="V123" s="37" t="n"/>
      <c r="W123" s="37" t="n"/>
      <c r="X123" s="10" t="inlineStr">
        <is>
          <t>ONS-0119</t>
        </is>
      </c>
    </row>
    <row r="124">
      <c r="A124" s="16">
        <f>IF($C124="","",IFERROR(IF(INDEX(tbl_Finance[Latest Invoice Date],MATCH($X124,tbl_Finance[Row ID],0))="","",INDEX(tbl_Finance[Latest Invoice Date],MATCH($X124,tbl_Finance[Row ID],0))),""))</f>
        <v/>
      </c>
      <c r="B124" s="10">
        <f>IF($C124="","",IFERROR(INDEX(tbl_Finance[Invoice Numbers],MATCH($X124,tbl_Finance[Row ID],0))&amp;"",""))</f>
        <v/>
      </c>
      <c r="C124" s="37" t="n"/>
      <c r="D124" s="10">
        <f>IF($C124="","",IF(COUNTIF(lst_Jobs,$C124&amp;"")&gt;0,"OK","CHECK"))</f>
        <v/>
      </c>
      <c r="E124" s="10">
        <f>IF($C124="","",IFERROR(INDEX(lst_JobName,MATCH($C124&amp;"",lst_Jobs,0)),""))</f>
        <v/>
      </c>
      <c r="F124" s="37" t="n"/>
      <c r="G124" s="37" t="n"/>
      <c r="H124" s="37" t="n"/>
      <c r="I124" s="37" t="n"/>
      <c r="J124" s="37" t="n"/>
      <c r="K124" s="38">
        <f>IF($C124="","",IFERROR(N(INDEX(tbl_Finance[Invoice Count],MATCH($X124,tbl_Finance[Row ID],0))),""))</f>
        <v/>
      </c>
      <c r="L124" s="11">
        <f>IF($C124="","",IFERROR(N(INDEX(tbl_Finance[Xero Invoiced Ex GST],MATCH($X124,tbl_Finance[Row ID],0))),""))</f>
        <v/>
      </c>
      <c r="M124" s="10">
        <f>IF($C124="","",IFERROR(INDEX(tbl_Finance[Compare],MATCH($X124,tbl_Finance[Row ID],0))&amp;"",""))</f>
        <v/>
      </c>
      <c r="N124" s="11">
        <f>IF($C124="","",MAX(0,N(O124)-N(L124)))</f>
        <v/>
      </c>
      <c r="O124" s="39" t="n"/>
      <c r="P124" s="40">
        <f>IF($C124="","",IF((IF(F124="",", Client","")&amp;IF(G124="",", Description","")&amp;IF(H124="",", Cost Centre","")&amp;IF(I124="",", Invoice Type","")&amp;IF(J124="",", Tax Code","")&amp;IF(O124="",", Expected Revenue","")&amp;IF(COUNTIF(tbl_Finance[Job Number],$C124&amp;"")&gt;1,", Job number used twice",""))="","Complete","Fix: "&amp;MID(IF(F124="",", Client","")&amp;IF(G124="",", Description","")&amp;IF(H124="",", Cost Centre","")&amp;IF(I124="",", Invoice Type","")&amp;IF(J124="",", Tax Code","")&amp;IF(O124="",", Expected Revenue","")&amp;IF(COUNTIF(tbl_Finance[Job Number],$C124&amp;"")&gt;1,", Job number used twice",""),3,300)))</f>
        <v/>
      </c>
      <c r="Q124" s="10">
        <f>IF($C124="","",IF(H124="","(no cost centre)",H124&amp;" - GL "&amp;IFERROR(INDEX(lst_CCtoGL,MATCH(H124,lst_CCforGL,0)),"?")))</f>
        <v/>
      </c>
      <c r="R124" s="37" t="n"/>
      <c r="S124" s="37" t="n"/>
      <c r="T124" s="10">
        <f>IF(S124="","",HYPERLINK(IF(LEFT(S124,4)="http",S124,set_QwilrBase&amp;S124),"Open quote"))</f>
        <v/>
      </c>
      <c r="U124" s="41" t="n"/>
      <c r="V124" s="37" t="n"/>
      <c r="W124" s="37" t="n"/>
      <c r="X124" s="10" t="inlineStr">
        <is>
          <t>ONS-0120</t>
        </is>
      </c>
    </row>
    <row r="125">
      <c r="A125" s="16">
        <f>IF($C125="","",IFERROR(IF(INDEX(tbl_Finance[Latest Invoice Date],MATCH($X125,tbl_Finance[Row ID],0))="","",INDEX(tbl_Finance[Latest Invoice Date],MATCH($X125,tbl_Finance[Row ID],0))),""))</f>
        <v/>
      </c>
      <c r="B125" s="10">
        <f>IF($C125="","",IFERROR(INDEX(tbl_Finance[Invoice Numbers],MATCH($X125,tbl_Finance[Row ID],0))&amp;"",""))</f>
        <v/>
      </c>
      <c r="C125" s="37" t="n"/>
      <c r="D125" s="10">
        <f>IF($C125="","",IF(COUNTIF(lst_Jobs,$C125&amp;"")&gt;0,"OK","CHECK"))</f>
        <v/>
      </c>
      <c r="E125" s="10">
        <f>IF($C125="","",IFERROR(INDEX(lst_JobName,MATCH($C125&amp;"",lst_Jobs,0)),""))</f>
        <v/>
      </c>
      <c r="F125" s="37" t="n"/>
      <c r="G125" s="37" t="n"/>
      <c r="H125" s="37" t="n"/>
      <c r="I125" s="37" t="n"/>
      <c r="J125" s="37" t="n"/>
      <c r="K125" s="38">
        <f>IF($C125="","",IFERROR(N(INDEX(tbl_Finance[Invoice Count],MATCH($X125,tbl_Finance[Row ID],0))),""))</f>
        <v/>
      </c>
      <c r="L125" s="11">
        <f>IF($C125="","",IFERROR(N(INDEX(tbl_Finance[Xero Invoiced Ex GST],MATCH($X125,tbl_Finance[Row ID],0))),""))</f>
        <v/>
      </c>
      <c r="M125" s="10">
        <f>IF($C125="","",IFERROR(INDEX(tbl_Finance[Compare],MATCH($X125,tbl_Finance[Row ID],0))&amp;"",""))</f>
        <v/>
      </c>
      <c r="N125" s="11">
        <f>IF($C125="","",MAX(0,N(O125)-N(L125)))</f>
        <v/>
      </c>
      <c r="O125" s="39" t="n"/>
      <c r="P125" s="40">
        <f>IF($C125="","",IF((IF(F125="",", Client","")&amp;IF(G125="",", Description","")&amp;IF(H125="",", Cost Centre","")&amp;IF(I125="",", Invoice Type","")&amp;IF(J125="",", Tax Code","")&amp;IF(O125="",", Expected Revenue","")&amp;IF(COUNTIF(tbl_Finance[Job Number],$C125&amp;"")&gt;1,", Job number used twice",""))="","Complete","Fix: "&amp;MID(IF(F125="",", Client","")&amp;IF(G125="",", Description","")&amp;IF(H125="",", Cost Centre","")&amp;IF(I125="",", Invoice Type","")&amp;IF(J125="",", Tax Code","")&amp;IF(O125="",", Expected Revenue","")&amp;IF(COUNTIF(tbl_Finance[Job Number],$C125&amp;"")&gt;1,", Job number used twice",""),3,300)))</f>
        <v/>
      </c>
      <c r="Q125" s="10">
        <f>IF($C125="","",IF(H125="","(no cost centre)",H125&amp;" - GL "&amp;IFERROR(INDEX(lst_CCtoGL,MATCH(H125,lst_CCforGL,0)),"?")))</f>
        <v/>
      </c>
      <c r="R125" s="37" t="n"/>
      <c r="S125" s="37" t="n"/>
      <c r="T125" s="10">
        <f>IF(S125="","",HYPERLINK(IF(LEFT(S125,4)="http",S125,set_QwilrBase&amp;S125),"Open quote"))</f>
        <v/>
      </c>
      <c r="U125" s="41" t="n"/>
      <c r="V125" s="37" t="n"/>
      <c r="W125" s="37" t="n"/>
      <c r="X125" s="10" t="inlineStr">
        <is>
          <t>ONS-0121</t>
        </is>
      </c>
    </row>
    <row r="126">
      <c r="A126" s="16">
        <f>IF($C126="","",IFERROR(IF(INDEX(tbl_Finance[Latest Invoice Date],MATCH($X126,tbl_Finance[Row ID],0))="","",INDEX(tbl_Finance[Latest Invoice Date],MATCH($X126,tbl_Finance[Row ID],0))),""))</f>
        <v/>
      </c>
      <c r="B126" s="10">
        <f>IF($C126="","",IFERROR(INDEX(tbl_Finance[Invoice Numbers],MATCH($X126,tbl_Finance[Row ID],0))&amp;"",""))</f>
        <v/>
      </c>
      <c r="C126" s="37" t="n"/>
      <c r="D126" s="10">
        <f>IF($C126="","",IF(COUNTIF(lst_Jobs,$C126&amp;"")&gt;0,"OK","CHECK"))</f>
        <v/>
      </c>
      <c r="E126" s="10">
        <f>IF($C126="","",IFERROR(INDEX(lst_JobName,MATCH($C126&amp;"",lst_Jobs,0)),""))</f>
        <v/>
      </c>
      <c r="F126" s="37" t="n"/>
      <c r="G126" s="37" t="n"/>
      <c r="H126" s="37" t="n"/>
      <c r="I126" s="37" t="n"/>
      <c r="J126" s="37" t="n"/>
      <c r="K126" s="38">
        <f>IF($C126="","",IFERROR(N(INDEX(tbl_Finance[Invoice Count],MATCH($X126,tbl_Finance[Row ID],0))),""))</f>
        <v/>
      </c>
      <c r="L126" s="11">
        <f>IF($C126="","",IFERROR(N(INDEX(tbl_Finance[Xero Invoiced Ex GST],MATCH($X126,tbl_Finance[Row ID],0))),""))</f>
        <v/>
      </c>
      <c r="M126" s="10">
        <f>IF($C126="","",IFERROR(INDEX(tbl_Finance[Compare],MATCH($X126,tbl_Finance[Row ID],0))&amp;"",""))</f>
        <v/>
      </c>
      <c r="N126" s="11">
        <f>IF($C126="","",MAX(0,N(O126)-N(L126)))</f>
        <v/>
      </c>
      <c r="O126" s="39" t="n"/>
      <c r="P126" s="40">
        <f>IF($C126="","",IF((IF(F126="",", Client","")&amp;IF(G126="",", Description","")&amp;IF(H126="",", Cost Centre","")&amp;IF(I126="",", Invoice Type","")&amp;IF(J126="",", Tax Code","")&amp;IF(O126="",", Expected Revenue","")&amp;IF(COUNTIF(tbl_Finance[Job Number],$C126&amp;"")&gt;1,", Job number used twice",""))="","Complete","Fix: "&amp;MID(IF(F126="",", Client","")&amp;IF(G126="",", Description","")&amp;IF(H126="",", Cost Centre","")&amp;IF(I126="",", Invoice Type","")&amp;IF(J126="",", Tax Code","")&amp;IF(O126="",", Expected Revenue","")&amp;IF(COUNTIF(tbl_Finance[Job Number],$C126&amp;"")&gt;1,", Job number used twice",""),3,300)))</f>
        <v/>
      </c>
      <c r="Q126" s="10">
        <f>IF($C126="","",IF(H126="","(no cost centre)",H126&amp;" - GL "&amp;IFERROR(INDEX(lst_CCtoGL,MATCH(H126,lst_CCforGL,0)),"?")))</f>
        <v/>
      </c>
      <c r="R126" s="37" t="n"/>
      <c r="S126" s="37" t="n"/>
      <c r="T126" s="10">
        <f>IF(S126="","",HYPERLINK(IF(LEFT(S126,4)="http",S126,set_QwilrBase&amp;S126),"Open quote"))</f>
        <v/>
      </c>
      <c r="U126" s="41" t="n"/>
      <c r="V126" s="37" t="n"/>
      <c r="W126" s="37" t="n"/>
      <c r="X126" s="10" t="inlineStr">
        <is>
          <t>ONS-0122</t>
        </is>
      </c>
    </row>
    <row r="127">
      <c r="A127" s="16">
        <f>IF($C127="","",IFERROR(IF(INDEX(tbl_Finance[Latest Invoice Date],MATCH($X127,tbl_Finance[Row ID],0))="","",INDEX(tbl_Finance[Latest Invoice Date],MATCH($X127,tbl_Finance[Row ID],0))),""))</f>
        <v/>
      </c>
      <c r="B127" s="10">
        <f>IF($C127="","",IFERROR(INDEX(tbl_Finance[Invoice Numbers],MATCH($X127,tbl_Finance[Row ID],0))&amp;"",""))</f>
        <v/>
      </c>
      <c r="C127" s="37" t="n"/>
      <c r="D127" s="10">
        <f>IF($C127="","",IF(COUNTIF(lst_Jobs,$C127&amp;"")&gt;0,"OK","CHECK"))</f>
        <v/>
      </c>
      <c r="E127" s="10">
        <f>IF($C127="","",IFERROR(INDEX(lst_JobName,MATCH($C127&amp;"",lst_Jobs,0)),""))</f>
        <v/>
      </c>
      <c r="F127" s="37" t="n"/>
      <c r="G127" s="37" t="n"/>
      <c r="H127" s="37" t="n"/>
      <c r="I127" s="37" t="n"/>
      <c r="J127" s="37" t="n"/>
      <c r="K127" s="38">
        <f>IF($C127="","",IFERROR(N(INDEX(tbl_Finance[Invoice Count],MATCH($X127,tbl_Finance[Row ID],0))),""))</f>
        <v/>
      </c>
      <c r="L127" s="11">
        <f>IF($C127="","",IFERROR(N(INDEX(tbl_Finance[Xero Invoiced Ex GST],MATCH($X127,tbl_Finance[Row ID],0))),""))</f>
        <v/>
      </c>
      <c r="M127" s="10">
        <f>IF($C127="","",IFERROR(INDEX(tbl_Finance[Compare],MATCH($X127,tbl_Finance[Row ID],0))&amp;"",""))</f>
        <v/>
      </c>
      <c r="N127" s="11">
        <f>IF($C127="","",MAX(0,N(O127)-N(L127)))</f>
        <v/>
      </c>
      <c r="O127" s="39" t="n"/>
      <c r="P127" s="40">
        <f>IF($C127="","",IF((IF(F127="",", Client","")&amp;IF(G127="",", Description","")&amp;IF(H127="",", Cost Centre","")&amp;IF(I127="",", Invoice Type","")&amp;IF(J127="",", Tax Code","")&amp;IF(O127="",", Expected Revenue","")&amp;IF(COUNTIF(tbl_Finance[Job Number],$C127&amp;"")&gt;1,", Job number used twice",""))="","Complete","Fix: "&amp;MID(IF(F127="",", Client","")&amp;IF(G127="",", Description","")&amp;IF(H127="",", Cost Centre","")&amp;IF(I127="",", Invoice Type","")&amp;IF(J127="",", Tax Code","")&amp;IF(O127="",", Expected Revenue","")&amp;IF(COUNTIF(tbl_Finance[Job Number],$C127&amp;"")&gt;1,", Job number used twice",""),3,300)))</f>
        <v/>
      </c>
      <c r="Q127" s="10">
        <f>IF($C127="","",IF(H127="","(no cost centre)",H127&amp;" - GL "&amp;IFERROR(INDEX(lst_CCtoGL,MATCH(H127,lst_CCforGL,0)),"?")))</f>
        <v/>
      </c>
      <c r="R127" s="37" t="n"/>
      <c r="S127" s="37" t="n"/>
      <c r="T127" s="10">
        <f>IF(S127="","",HYPERLINK(IF(LEFT(S127,4)="http",S127,set_QwilrBase&amp;S127),"Open quote"))</f>
        <v/>
      </c>
      <c r="U127" s="41" t="n"/>
      <c r="V127" s="37" t="n"/>
      <c r="W127" s="37" t="n"/>
      <c r="X127" s="10" t="inlineStr">
        <is>
          <t>ONS-0123</t>
        </is>
      </c>
    </row>
    <row r="128">
      <c r="A128" s="16">
        <f>IF($C128="","",IFERROR(IF(INDEX(tbl_Finance[Latest Invoice Date],MATCH($X128,tbl_Finance[Row ID],0))="","",INDEX(tbl_Finance[Latest Invoice Date],MATCH($X128,tbl_Finance[Row ID],0))),""))</f>
        <v/>
      </c>
      <c r="B128" s="10">
        <f>IF($C128="","",IFERROR(INDEX(tbl_Finance[Invoice Numbers],MATCH($X128,tbl_Finance[Row ID],0))&amp;"",""))</f>
        <v/>
      </c>
      <c r="C128" s="37" t="n"/>
      <c r="D128" s="10">
        <f>IF($C128="","",IF(COUNTIF(lst_Jobs,$C128&amp;"")&gt;0,"OK","CHECK"))</f>
        <v/>
      </c>
      <c r="E128" s="10">
        <f>IF($C128="","",IFERROR(INDEX(lst_JobName,MATCH($C128&amp;"",lst_Jobs,0)),""))</f>
        <v/>
      </c>
      <c r="F128" s="37" t="n"/>
      <c r="G128" s="37" t="n"/>
      <c r="H128" s="37" t="n"/>
      <c r="I128" s="37" t="n"/>
      <c r="J128" s="37" t="n"/>
      <c r="K128" s="38">
        <f>IF($C128="","",IFERROR(N(INDEX(tbl_Finance[Invoice Count],MATCH($X128,tbl_Finance[Row ID],0))),""))</f>
        <v/>
      </c>
      <c r="L128" s="11">
        <f>IF($C128="","",IFERROR(N(INDEX(tbl_Finance[Xero Invoiced Ex GST],MATCH($X128,tbl_Finance[Row ID],0))),""))</f>
        <v/>
      </c>
      <c r="M128" s="10">
        <f>IF($C128="","",IFERROR(INDEX(tbl_Finance[Compare],MATCH($X128,tbl_Finance[Row ID],0))&amp;"",""))</f>
        <v/>
      </c>
      <c r="N128" s="11">
        <f>IF($C128="","",MAX(0,N(O128)-N(L128)))</f>
        <v/>
      </c>
      <c r="O128" s="39" t="n"/>
      <c r="P128" s="40">
        <f>IF($C128="","",IF((IF(F128="",", Client","")&amp;IF(G128="",", Description","")&amp;IF(H128="",", Cost Centre","")&amp;IF(I128="",", Invoice Type","")&amp;IF(J128="",", Tax Code","")&amp;IF(O128="",", Expected Revenue","")&amp;IF(COUNTIF(tbl_Finance[Job Number],$C128&amp;"")&gt;1,", Job number used twice",""))="","Complete","Fix: "&amp;MID(IF(F128="",", Client","")&amp;IF(G128="",", Description","")&amp;IF(H128="",", Cost Centre","")&amp;IF(I128="",", Invoice Type","")&amp;IF(J128="",", Tax Code","")&amp;IF(O128="",", Expected Revenue","")&amp;IF(COUNTIF(tbl_Finance[Job Number],$C128&amp;"")&gt;1,", Job number used twice",""),3,300)))</f>
        <v/>
      </c>
      <c r="Q128" s="10">
        <f>IF($C128="","",IF(H128="","(no cost centre)",H128&amp;" - GL "&amp;IFERROR(INDEX(lst_CCtoGL,MATCH(H128,lst_CCforGL,0)),"?")))</f>
        <v/>
      </c>
      <c r="R128" s="37" t="n"/>
      <c r="S128" s="37" t="n"/>
      <c r="T128" s="10">
        <f>IF(S128="","",HYPERLINK(IF(LEFT(S128,4)="http",S128,set_QwilrBase&amp;S128),"Open quote"))</f>
        <v/>
      </c>
      <c r="U128" s="41" t="n"/>
      <c r="V128" s="37" t="n"/>
      <c r="W128" s="37" t="n"/>
      <c r="X128" s="10" t="inlineStr">
        <is>
          <t>ONS-0124</t>
        </is>
      </c>
    </row>
    <row r="129">
      <c r="A129" s="16">
        <f>IF($C129="","",IFERROR(IF(INDEX(tbl_Finance[Latest Invoice Date],MATCH($X129,tbl_Finance[Row ID],0))="","",INDEX(tbl_Finance[Latest Invoice Date],MATCH($X129,tbl_Finance[Row ID],0))),""))</f>
        <v/>
      </c>
      <c r="B129" s="10">
        <f>IF($C129="","",IFERROR(INDEX(tbl_Finance[Invoice Numbers],MATCH($X129,tbl_Finance[Row ID],0))&amp;"",""))</f>
        <v/>
      </c>
      <c r="C129" s="37" t="n"/>
      <c r="D129" s="10">
        <f>IF($C129="","",IF(COUNTIF(lst_Jobs,$C129&amp;"")&gt;0,"OK","CHECK"))</f>
        <v/>
      </c>
      <c r="E129" s="10">
        <f>IF($C129="","",IFERROR(INDEX(lst_JobName,MATCH($C129&amp;"",lst_Jobs,0)),""))</f>
        <v/>
      </c>
      <c r="F129" s="37" t="n"/>
      <c r="G129" s="37" t="n"/>
      <c r="H129" s="37" t="n"/>
      <c r="I129" s="37" t="n"/>
      <c r="J129" s="37" t="n"/>
      <c r="K129" s="38">
        <f>IF($C129="","",IFERROR(N(INDEX(tbl_Finance[Invoice Count],MATCH($X129,tbl_Finance[Row ID],0))),""))</f>
        <v/>
      </c>
      <c r="L129" s="11">
        <f>IF($C129="","",IFERROR(N(INDEX(tbl_Finance[Xero Invoiced Ex GST],MATCH($X129,tbl_Finance[Row ID],0))),""))</f>
        <v/>
      </c>
      <c r="M129" s="10">
        <f>IF($C129="","",IFERROR(INDEX(tbl_Finance[Compare],MATCH($X129,tbl_Finance[Row ID],0))&amp;"",""))</f>
        <v/>
      </c>
      <c r="N129" s="11">
        <f>IF($C129="","",MAX(0,N(O129)-N(L129)))</f>
        <v/>
      </c>
      <c r="O129" s="39" t="n"/>
      <c r="P129" s="40">
        <f>IF($C129="","",IF((IF(F129="",", Client","")&amp;IF(G129="",", Description","")&amp;IF(H129="",", Cost Centre","")&amp;IF(I129="",", Invoice Type","")&amp;IF(J129="",", Tax Code","")&amp;IF(O129="",", Expected Revenue","")&amp;IF(COUNTIF(tbl_Finance[Job Number],$C129&amp;"")&gt;1,", Job number used twice",""))="","Complete","Fix: "&amp;MID(IF(F129="",", Client","")&amp;IF(G129="",", Description","")&amp;IF(H129="",", Cost Centre","")&amp;IF(I129="",", Invoice Type","")&amp;IF(J129="",", Tax Code","")&amp;IF(O129="",", Expected Revenue","")&amp;IF(COUNTIF(tbl_Finance[Job Number],$C129&amp;"")&gt;1,", Job number used twice",""),3,300)))</f>
        <v/>
      </c>
      <c r="Q129" s="10">
        <f>IF($C129="","",IF(H129="","(no cost centre)",H129&amp;" - GL "&amp;IFERROR(INDEX(lst_CCtoGL,MATCH(H129,lst_CCforGL,0)),"?")))</f>
        <v/>
      </c>
      <c r="R129" s="37" t="n"/>
      <c r="S129" s="37" t="n"/>
      <c r="T129" s="10">
        <f>IF(S129="","",HYPERLINK(IF(LEFT(S129,4)="http",S129,set_QwilrBase&amp;S129),"Open quote"))</f>
        <v/>
      </c>
      <c r="U129" s="41" t="n"/>
      <c r="V129" s="37" t="n"/>
      <c r="W129" s="37" t="n"/>
      <c r="X129" s="10" t="inlineStr">
        <is>
          <t>ONS-0125</t>
        </is>
      </c>
    </row>
    <row r="130">
      <c r="A130" s="16">
        <f>IF($C130="","",IFERROR(IF(INDEX(tbl_Finance[Latest Invoice Date],MATCH($X130,tbl_Finance[Row ID],0))="","",INDEX(tbl_Finance[Latest Invoice Date],MATCH($X130,tbl_Finance[Row ID],0))),""))</f>
        <v/>
      </c>
      <c r="B130" s="10">
        <f>IF($C130="","",IFERROR(INDEX(tbl_Finance[Invoice Numbers],MATCH($X130,tbl_Finance[Row ID],0))&amp;"",""))</f>
        <v/>
      </c>
      <c r="C130" s="37" t="n"/>
      <c r="D130" s="10">
        <f>IF($C130="","",IF(COUNTIF(lst_Jobs,$C130&amp;"")&gt;0,"OK","CHECK"))</f>
        <v/>
      </c>
      <c r="E130" s="10">
        <f>IF($C130="","",IFERROR(INDEX(lst_JobName,MATCH($C130&amp;"",lst_Jobs,0)),""))</f>
        <v/>
      </c>
      <c r="F130" s="37" t="n"/>
      <c r="G130" s="37" t="n"/>
      <c r="H130" s="37" t="n"/>
      <c r="I130" s="37" t="n"/>
      <c r="J130" s="37" t="n"/>
      <c r="K130" s="38">
        <f>IF($C130="","",IFERROR(N(INDEX(tbl_Finance[Invoice Count],MATCH($X130,tbl_Finance[Row ID],0))),""))</f>
        <v/>
      </c>
      <c r="L130" s="11">
        <f>IF($C130="","",IFERROR(N(INDEX(tbl_Finance[Xero Invoiced Ex GST],MATCH($X130,tbl_Finance[Row ID],0))),""))</f>
        <v/>
      </c>
      <c r="M130" s="10">
        <f>IF($C130="","",IFERROR(INDEX(tbl_Finance[Compare],MATCH($X130,tbl_Finance[Row ID],0))&amp;"",""))</f>
        <v/>
      </c>
      <c r="N130" s="11">
        <f>IF($C130="","",MAX(0,N(O130)-N(L130)))</f>
        <v/>
      </c>
      <c r="O130" s="39" t="n"/>
      <c r="P130" s="40">
        <f>IF($C130="","",IF((IF(F130="",", Client","")&amp;IF(G130="",", Description","")&amp;IF(H130="",", Cost Centre","")&amp;IF(I130="",", Invoice Type","")&amp;IF(J130="",", Tax Code","")&amp;IF(O130="",", Expected Revenue","")&amp;IF(COUNTIF(tbl_Finance[Job Number],$C130&amp;"")&gt;1,", Job number used twice",""))="","Complete","Fix: "&amp;MID(IF(F130="",", Client","")&amp;IF(G130="",", Description","")&amp;IF(H130="",", Cost Centre","")&amp;IF(I130="",", Invoice Type","")&amp;IF(J130="",", Tax Code","")&amp;IF(O130="",", Expected Revenue","")&amp;IF(COUNTIF(tbl_Finance[Job Number],$C130&amp;"")&gt;1,", Job number used twice",""),3,300)))</f>
        <v/>
      </c>
      <c r="Q130" s="10">
        <f>IF($C130="","",IF(H130="","(no cost centre)",H130&amp;" - GL "&amp;IFERROR(INDEX(lst_CCtoGL,MATCH(H130,lst_CCforGL,0)),"?")))</f>
        <v/>
      </c>
      <c r="R130" s="37" t="n"/>
      <c r="S130" s="37" t="n"/>
      <c r="T130" s="10">
        <f>IF(S130="","",HYPERLINK(IF(LEFT(S130,4)="http",S130,set_QwilrBase&amp;S130),"Open quote"))</f>
        <v/>
      </c>
      <c r="U130" s="41" t="n"/>
      <c r="V130" s="37" t="n"/>
      <c r="W130" s="37" t="n"/>
      <c r="X130" s="10" t="inlineStr">
        <is>
          <t>ONS-0126</t>
        </is>
      </c>
    </row>
    <row r="131">
      <c r="A131" s="16">
        <f>IF($C131="","",IFERROR(IF(INDEX(tbl_Finance[Latest Invoice Date],MATCH($X131,tbl_Finance[Row ID],0))="","",INDEX(tbl_Finance[Latest Invoice Date],MATCH($X131,tbl_Finance[Row ID],0))),""))</f>
        <v/>
      </c>
      <c r="B131" s="10">
        <f>IF($C131="","",IFERROR(INDEX(tbl_Finance[Invoice Numbers],MATCH($X131,tbl_Finance[Row ID],0))&amp;"",""))</f>
        <v/>
      </c>
      <c r="C131" s="37" t="n"/>
      <c r="D131" s="10">
        <f>IF($C131="","",IF(COUNTIF(lst_Jobs,$C131&amp;"")&gt;0,"OK","CHECK"))</f>
        <v/>
      </c>
      <c r="E131" s="10">
        <f>IF($C131="","",IFERROR(INDEX(lst_JobName,MATCH($C131&amp;"",lst_Jobs,0)),""))</f>
        <v/>
      </c>
      <c r="F131" s="37" t="n"/>
      <c r="G131" s="37" t="n"/>
      <c r="H131" s="37" t="n"/>
      <c r="I131" s="37" t="n"/>
      <c r="J131" s="37" t="n"/>
      <c r="K131" s="38">
        <f>IF($C131="","",IFERROR(N(INDEX(tbl_Finance[Invoice Count],MATCH($X131,tbl_Finance[Row ID],0))),""))</f>
        <v/>
      </c>
      <c r="L131" s="11">
        <f>IF($C131="","",IFERROR(N(INDEX(tbl_Finance[Xero Invoiced Ex GST],MATCH($X131,tbl_Finance[Row ID],0))),""))</f>
        <v/>
      </c>
      <c r="M131" s="10">
        <f>IF($C131="","",IFERROR(INDEX(tbl_Finance[Compare],MATCH($X131,tbl_Finance[Row ID],0))&amp;"",""))</f>
        <v/>
      </c>
      <c r="N131" s="11">
        <f>IF($C131="","",MAX(0,N(O131)-N(L131)))</f>
        <v/>
      </c>
      <c r="O131" s="39" t="n"/>
      <c r="P131" s="40">
        <f>IF($C131="","",IF((IF(F131="",", Client","")&amp;IF(G131="",", Description","")&amp;IF(H131="",", Cost Centre","")&amp;IF(I131="",", Invoice Type","")&amp;IF(J131="",", Tax Code","")&amp;IF(O131="",", Expected Revenue","")&amp;IF(COUNTIF(tbl_Finance[Job Number],$C131&amp;"")&gt;1,", Job number used twice",""))="","Complete","Fix: "&amp;MID(IF(F131="",", Client","")&amp;IF(G131="",", Description","")&amp;IF(H131="",", Cost Centre","")&amp;IF(I131="",", Invoice Type","")&amp;IF(J131="",", Tax Code","")&amp;IF(O131="",", Expected Revenue","")&amp;IF(COUNTIF(tbl_Finance[Job Number],$C131&amp;"")&gt;1,", Job number used twice",""),3,300)))</f>
        <v/>
      </c>
      <c r="Q131" s="10">
        <f>IF($C131="","",IF(H131="","(no cost centre)",H131&amp;" - GL "&amp;IFERROR(INDEX(lst_CCtoGL,MATCH(H131,lst_CCforGL,0)),"?")))</f>
        <v/>
      </c>
      <c r="R131" s="37" t="n"/>
      <c r="S131" s="37" t="n"/>
      <c r="T131" s="10">
        <f>IF(S131="","",HYPERLINK(IF(LEFT(S131,4)="http",S131,set_QwilrBase&amp;S131),"Open quote"))</f>
        <v/>
      </c>
      <c r="U131" s="41" t="n"/>
      <c r="V131" s="37" t="n"/>
      <c r="W131" s="37" t="n"/>
      <c r="X131" s="10" t="inlineStr">
        <is>
          <t>ONS-0127</t>
        </is>
      </c>
    </row>
    <row r="132">
      <c r="A132" s="16">
        <f>IF($C132="","",IFERROR(IF(INDEX(tbl_Finance[Latest Invoice Date],MATCH($X132,tbl_Finance[Row ID],0))="","",INDEX(tbl_Finance[Latest Invoice Date],MATCH($X132,tbl_Finance[Row ID],0))),""))</f>
        <v/>
      </c>
      <c r="B132" s="10">
        <f>IF($C132="","",IFERROR(INDEX(tbl_Finance[Invoice Numbers],MATCH($X132,tbl_Finance[Row ID],0))&amp;"",""))</f>
        <v/>
      </c>
      <c r="C132" s="37" t="n"/>
      <c r="D132" s="10">
        <f>IF($C132="","",IF(COUNTIF(lst_Jobs,$C132&amp;"")&gt;0,"OK","CHECK"))</f>
        <v/>
      </c>
      <c r="E132" s="10">
        <f>IF($C132="","",IFERROR(INDEX(lst_JobName,MATCH($C132&amp;"",lst_Jobs,0)),""))</f>
        <v/>
      </c>
      <c r="F132" s="37" t="n"/>
      <c r="G132" s="37" t="n"/>
      <c r="H132" s="37" t="n"/>
      <c r="I132" s="37" t="n"/>
      <c r="J132" s="37" t="n"/>
      <c r="K132" s="38">
        <f>IF($C132="","",IFERROR(N(INDEX(tbl_Finance[Invoice Count],MATCH($X132,tbl_Finance[Row ID],0))),""))</f>
        <v/>
      </c>
      <c r="L132" s="11">
        <f>IF($C132="","",IFERROR(N(INDEX(tbl_Finance[Xero Invoiced Ex GST],MATCH($X132,tbl_Finance[Row ID],0))),""))</f>
        <v/>
      </c>
      <c r="M132" s="10">
        <f>IF($C132="","",IFERROR(INDEX(tbl_Finance[Compare],MATCH($X132,tbl_Finance[Row ID],0))&amp;"",""))</f>
        <v/>
      </c>
      <c r="N132" s="11">
        <f>IF($C132="","",MAX(0,N(O132)-N(L132)))</f>
        <v/>
      </c>
      <c r="O132" s="39" t="n"/>
      <c r="P132" s="40">
        <f>IF($C132="","",IF((IF(F132="",", Client","")&amp;IF(G132="",", Description","")&amp;IF(H132="",", Cost Centre","")&amp;IF(I132="",", Invoice Type","")&amp;IF(J132="",", Tax Code","")&amp;IF(O132="",", Expected Revenue","")&amp;IF(COUNTIF(tbl_Finance[Job Number],$C132&amp;"")&gt;1,", Job number used twice",""))="","Complete","Fix: "&amp;MID(IF(F132="",", Client","")&amp;IF(G132="",", Description","")&amp;IF(H132="",", Cost Centre","")&amp;IF(I132="",", Invoice Type","")&amp;IF(J132="",", Tax Code","")&amp;IF(O132="",", Expected Revenue","")&amp;IF(COUNTIF(tbl_Finance[Job Number],$C132&amp;"")&gt;1,", Job number used twice",""),3,300)))</f>
        <v/>
      </c>
      <c r="Q132" s="10">
        <f>IF($C132="","",IF(H132="","(no cost centre)",H132&amp;" - GL "&amp;IFERROR(INDEX(lst_CCtoGL,MATCH(H132,lst_CCforGL,0)),"?")))</f>
        <v/>
      </c>
      <c r="R132" s="37" t="n"/>
      <c r="S132" s="37" t="n"/>
      <c r="T132" s="10">
        <f>IF(S132="","",HYPERLINK(IF(LEFT(S132,4)="http",S132,set_QwilrBase&amp;S132),"Open quote"))</f>
        <v/>
      </c>
      <c r="U132" s="41" t="n"/>
      <c r="V132" s="37" t="n"/>
      <c r="W132" s="37" t="n"/>
      <c r="X132" s="10" t="inlineStr">
        <is>
          <t>ONS-0128</t>
        </is>
      </c>
    </row>
    <row r="133">
      <c r="A133" s="16">
        <f>IF($C133="","",IFERROR(IF(INDEX(tbl_Finance[Latest Invoice Date],MATCH($X133,tbl_Finance[Row ID],0))="","",INDEX(tbl_Finance[Latest Invoice Date],MATCH($X133,tbl_Finance[Row ID],0))),""))</f>
        <v/>
      </c>
      <c r="B133" s="10">
        <f>IF($C133="","",IFERROR(INDEX(tbl_Finance[Invoice Numbers],MATCH($X133,tbl_Finance[Row ID],0))&amp;"",""))</f>
        <v/>
      </c>
      <c r="C133" s="37" t="n"/>
      <c r="D133" s="10">
        <f>IF($C133="","",IF(COUNTIF(lst_Jobs,$C133&amp;"")&gt;0,"OK","CHECK"))</f>
        <v/>
      </c>
      <c r="E133" s="10">
        <f>IF($C133="","",IFERROR(INDEX(lst_JobName,MATCH($C133&amp;"",lst_Jobs,0)),""))</f>
        <v/>
      </c>
      <c r="F133" s="37" t="n"/>
      <c r="G133" s="37" t="n"/>
      <c r="H133" s="37" t="n"/>
      <c r="I133" s="37" t="n"/>
      <c r="J133" s="37" t="n"/>
      <c r="K133" s="38">
        <f>IF($C133="","",IFERROR(N(INDEX(tbl_Finance[Invoice Count],MATCH($X133,tbl_Finance[Row ID],0))),""))</f>
        <v/>
      </c>
      <c r="L133" s="11">
        <f>IF($C133="","",IFERROR(N(INDEX(tbl_Finance[Xero Invoiced Ex GST],MATCH($X133,tbl_Finance[Row ID],0))),""))</f>
        <v/>
      </c>
      <c r="M133" s="10">
        <f>IF($C133="","",IFERROR(INDEX(tbl_Finance[Compare],MATCH($X133,tbl_Finance[Row ID],0))&amp;"",""))</f>
        <v/>
      </c>
      <c r="N133" s="11">
        <f>IF($C133="","",MAX(0,N(O133)-N(L133)))</f>
        <v/>
      </c>
      <c r="O133" s="39" t="n"/>
      <c r="P133" s="40">
        <f>IF($C133="","",IF((IF(F133="",", Client","")&amp;IF(G133="",", Description","")&amp;IF(H133="",", Cost Centre","")&amp;IF(I133="",", Invoice Type","")&amp;IF(J133="",", Tax Code","")&amp;IF(O133="",", Expected Revenue","")&amp;IF(COUNTIF(tbl_Finance[Job Number],$C133&amp;"")&gt;1,", Job number used twice",""))="","Complete","Fix: "&amp;MID(IF(F133="",", Client","")&amp;IF(G133="",", Description","")&amp;IF(H133="",", Cost Centre","")&amp;IF(I133="",", Invoice Type","")&amp;IF(J133="",", Tax Code","")&amp;IF(O133="",", Expected Revenue","")&amp;IF(COUNTIF(tbl_Finance[Job Number],$C133&amp;"")&gt;1,", Job number used twice",""),3,300)))</f>
        <v/>
      </c>
      <c r="Q133" s="10">
        <f>IF($C133="","",IF(H133="","(no cost centre)",H133&amp;" - GL "&amp;IFERROR(INDEX(lst_CCtoGL,MATCH(H133,lst_CCforGL,0)),"?")))</f>
        <v/>
      </c>
      <c r="R133" s="37" t="n"/>
      <c r="S133" s="37" t="n"/>
      <c r="T133" s="10">
        <f>IF(S133="","",HYPERLINK(IF(LEFT(S133,4)="http",S133,set_QwilrBase&amp;S133),"Open quote"))</f>
        <v/>
      </c>
      <c r="U133" s="41" t="n"/>
      <c r="V133" s="37" t="n"/>
      <c r="W133" s="37" t="n"/>
      <c r="X133" s="10" t="inlineStr">
        <is>
          <t>ONS-0129</t>
        </is>
      </c>
    </row>
    <row r="134">
      <c r="A134" s="16">
        <f>IF($C134="","",IFERROR(IF(INDEX(tbl_Finance[Latest Invoice Date],MATCH($X134,tbl_Finance[Row ID],0))="","",INDEX(tbl_Finance[Latest Invoice Date],MATCH($X134,tbl_Finance[Row ID],0))),""))</f>
        <v/>
      </c>
      <c r="B134" s="10">
        <f>IF($C134="","",IFERROR(INDEX(tbl_Finance[Invoice Numbers],MATCH($X134,tbl_Finance[Row ID],0))&amp;"",""))</f>
        <v/>
      </c>
      <c r="C134" s="37" t="n"/>
      <c r="D134" s="10">
        <f>IF($C134="","",IF(COUNTIF(lst_Jobs,$C134&amp;"")&gt;0,"OK","CHECK"))</f>
        <v/>
      </c>
      <c r="E134" s="10">
        <f>IF($C134="","",IFERROR(INDEX(lst_JobName,MATCH($C134&amp;"",lst_Jobs,0)),""))</f>
        <v/>
      </c>
      <c r="F134" s="37" t="n"/>
      <c r="G134" s="37" t="n"/>
      <c r="H134" s="37" t="n"/>
      <c r="I134" s="37" t="n"/>
      <c r="J134" s="37" t="n"/>
      <c r="K134" s="38">
        <f>IF($C134="","",IFERROR(N(INDEX(tbl_Finance[Invoice Count],MATCH($X134,tbl_Finance[Row ID],0))),""))</f>
        <v/>
      </c>
      <c r="L134" s="11">
        <f>IF($C134="","",IFERROR(N(INDEX(tbl_Finance[Xero Invoiced Ex GST],MATCH($X134,tbl_Finance[Row ID],0))),""))</f>
        <v/>
      </c>
      <c r="M134" s="10">
        <f>IF($C134="","",IFERROR(INDEX(tbl_Finance[Compare],MATCH($X134,tbl_Finance[Row ID],0))&amp;"",""))</f>
        <v/>
      </c>
      <c r="N134" s="11">
        <f>IF($C134="","",MAX(0,N(O134)-N(L134)))</f>
        <v/>
      </c>
      <c r="O134" s="39" t="n"/>
      <c r="P134" s="40">
        <f>IF($C134="","",IF((IF(F134="",", Client","")&amp;IF(G134="",", Description","")&amp;IF(H134="",", Cost Centre","")&amp;IF(I134="",", Invoice Type","")&amp;IF(J134="",", Tax Code","")&amp;IF(O134="",", Expected Revenue","")&amp;IF(COUNTIF(tbl_Finance[Job Number],$C134&amp;"")&gt;1,", Job number used twice",""))="","Complete","Fix: "&amp;MID(IF(F134="",", Client","")&amp;IF(G134="",", Description","")&amp;IF(H134="",", Cost Centre","")&amp;IF(I134="",", Invoice Type","")&amp;IF(J134="",", Tax Code","")&amp;IF(O134="",", Expected Revenue","")&amp;IF(COUNTIF(tbl_Finance[Job Number],$C134&amp;"")&gt;1,", Job number used twice",""),3,300)))</f>
        <v/>
      </c>
      <c r="Q134" s="10">
        <f>IF($C134="","",IF(H134="","(no cost centre)",H134&amp;" - GL "&amp;IFERROR(INDEX(lst_CCtoGL,MATCH(H134,lst_CCforGL,0)),"?")))</f>
        <v/>
      </c>
      <c r="R134" s="37" t="n"/>
      <c r="S134" s="37" t="n"/>
      <c r="T134" s="10">
        <f>IF(S134="","",HYPERLINK(IF(LEFT(S134,4)="http",S134,set_QwilrBase&amp;S134),"Open quote"))</f>
        <v/>
      </c>
      <c r="U134" s="41" t="n"/>
      <c r="V134" s="37" t="n"/>
      <c r="W134" s="37" t="n"/>
      <c r="X134" s="10" t="inlineStr">
        <is>
          <t>ONS-0130</t>
        </is>
      </c>
    </row>
    <row r="135">
      <c r="A135" s="16">
        <f>IF($C135="","",IFERROR(IF(INDEX(tbl_Finance[Latest Invoice Date],MATCH($X135,tbl_Finance[Row ID],0))="","",INDEX(tbl_Finance[Latest Invoice Date],MATCH($X135,tbl_Finance[Row ID],0))),""))</f>
        <v/>
      </c>
      <c r="B135" s="10">
        <f>IF($C135="","",IFERROR(INDEX(tbl_Finance[Invoice Numbers],MATCH($X135,tbl_Finance[Row ID],0))&amp;"",""))</f>
        <v/>
      </c>
      <c r="C135" s="37" t="n"/>
      <c r="D135" s="10">
        <f>IF($C135="","",IF(COUNTIF(lst_Jobs,$C135&amp;"")&gt;0,"OK","CHECK"))</f>
        <v/>
      </c>
      <c r="E135" s="10">
        <f>IF($C135="","",IFERROR(INDEX(lst_JobName,MATCH($C135&amp;"",lst_Jobs,0)),""))</f>
        <v/>
      </c>
      <c r="F135" s="37" t="n"/>
      <c r="G135" s="37" t="n"/>
      <c r="H135" s="37" t="n"/>
      <c r="I135" s="37" t="n"/>
      <c r="J135" s="37" t="n"/>
      <c r="K135" s="38">
        <f>IF($C135="","",IFERROR(N(INDEX(tbl_Finance[Invoice Count],MATCH($X135,tbl_Finance[Row ID],0))),""))</f>
        <v/>
      </c>
      <c r="L135" s="11">
        <f>IF($C135="","",IFERROR(N(INDEX(tbl_Finance[Xero Invoiced Ex GST],MATCH($X135,tbl_Finance[Row ID],0))),""))</f>
        <v/>
      </c>
      <c r="M135" s="10">
        <f>IF($C135="","",IFERROR(INDEX(tbl_Finance[Compare],MATCH($X135,tbl_Finance[Row ID],0))&amp;"",""))</f>
        <v/>
      </c>
      <c r="N135" s="11">
        <f>IF($C135="","",MAX(0,N(O135)-N(L135)))</f>
        <v/>
      </c>
      <c r="O135" s="39" t="n"/>
      <c r="P135" s="40">
        <f>IF($C135="","",IF((IF(F135="",", Client","")&amp;IF(G135="",", Description","")&amp;IF(H135="",", Cost Centre","")&amp;IF(I135="",", Invoice Type","")&amp;IF(J135="",", Tax Code","")&amp;IF(O135="",", Expected Revenue","")&amp;IF(COUNTIF(tbl_Finance[Job Number],$C135&amp;"")&gt;1,", Job number used twice",""))="","Complete","Fix: "&amp;MID(IF(F135="",", Client","")&amp;IF(G135="",", Description","")&amp;IF(H135="",", Cost Centre","")&amp;IF(I135="",", Invoice Type","")&amp;IF(J135="",", Tax Code","")&amp;IF(O135="",", Expected Revenue","")&amp;IF(COUNTIF(tbl_Finance[Job Number],$C135&amp;"")&gt;1,", Job number used twice",""),3,300)))</f>
        <v/>
      </c>
      <c r="Q135" s="10">
        <f>IF($C135="","",IF(H135="","(no cost centre)",H135&amp;" - GL "&amp;IFERROR(INDEX(lst_CCtoGL,MATCH(H135,lst_CCforGL,0)),"?")))</f>
        <v/>
      </c>
      <c r="R135" s="37" t="n"/>
      <c r="S135" s="37" t="n"/>
      <c r="T135" s="10">
        <f>IF(S135="","",HYPERLINK(IF(LEFT(S135,4)="http",S135,set_QwilrBase&amp;S135),"Open quote"))</f>
        <v/>
      </c>
      <c r="U135" s="41" t="n"/>
      <c r="V135" s="37" t="n"/>
      <c r="W135" s="37" t="n"/>
      <c r="X135" s="10" t="inlineStr">
        <is>
          <t>ONS-0131</t>
        </is>
      </c>
    </row>
    <row r="136">
      <c r="A136" s="16">
        <f>IF($C136="","",IFERROR(IF(INDEX(tbl_Finance[Latest Invoice Date],MATCH($X136,tbl_Finance[Row ID],0))="","",INDEX(tbl_Finance[Latest Invoice Date],MATCH($X136,tbl_Finance[Row ID],0))),""))</f>
        <v/>
      </c>
      <c r="B136" s="10">
        <f>IF($C136="","",IFERROR(INDEX(tbl_Finance[Invoice Numbers],MATCH($X136,tbl_Finance[Row ID],0))&amp;"",""))</f>
        <v/>
      </c>
      <c r="C136" s="37" t="n"/>
      <c r="D136" s="10">
        <f>IF($C136="","",IF(COUNTIF(lst_Jobs,$C136&amp;"")&gt;0,"OK","CHECK"))</f>
        <v/>
      </c>
      <c r="E136" s="10">
        <f>IF($C136="","",IFERROR(INDEX(lst_JobName,MATCH($C136&amp;"",lst_Jobs,0)),""))</f>
        <v/>
      </c>
      <c r="F136" s="37" t="n"/>
      <c r="G136" s="37" t="n"/>
      <c r="H136" s="37" t="n"/>
      <c r="I136" s="37" t="n"/>
      <c r="J136" s="37" t="n"/>
      <c r="K136" s="38">
        <f>IF($C136="","",IFERROR(N(INDEX(tbl_Finance[Invoice Count],MATCH($X136,tbl_Finance[Row ID],0))),""))</f>
        <v/>
      </c>
      <c r="L136" s="11">
        <f>IF($C136="","",IFERROR(N(INDEX(tbl_Finance[Xero Invoiced Ex GST],MATCH($X136,tbl_Finance[Row ID],0))),""))</f>
        <v/>
      </c>
      <c r="M136" s="10">
        <f>IF($C136="","",IFERROR(INDEX(tbl_Finance[Compare],MATCH($X136,tbl_Finance[Row ID],0))&amp;"",""))</f>
        <v/>
      </c>
      <c r="N136" s="11">
        <f>IF($C136="","",MAX(0,N(O136)-N(L136)))</f>
        <v/>
      </c>
      <c r="O136" s="39" t="n"/>
      <c r="P136" s="40">
        <f>IF($C136="","",IF((IF(F136="",", Client","")&amp;IF(G136="",", Description","")&amp;IF(H136="",", Cost Centre","")&amp;IF(I136="",", Invoice Type","")&amp;IF(J136="",", Tax Code","")&amp;IF(O136="",", Expected Revenue","")&amp;IF(COUNTIF(tbl_Finance[Job Number],$C136&amp;"")&gt;1,", Job number used twice",""))="","Complete","Fix: "&amp;MID(IF(F136="",", Client","")&amp;IF(G136="",", Description","")&amp;IF(H136="",", Cost Centre","")&amp;IF(I136="",", Invoice Type","")&amp;IF(J136="",", Tax Code","")&amp;IF(O136="",", Expected Revenue","")&amp;IF(COUNTIF(tbl_Finance[Job Number],$C136&amp;"")&gt;1,", Job number used twice",""),3,300)))</f>
        <v/>
      </c>
      <c r="Q136" s="10">
        <f>IF($C136="","",IF(H136="","(no cost centre)",H136&amp;" - GL "&amp;IFERROR(INDEX(lst_CCtoGL,MATCH(H136,lst_CCforGL,0)),"?")))</f>
        <v/>
      </c>
      <c r="R136" s="37" t="n"/>
      <c r="S136" s="37" t="n"/>
      <c r="T136" s="10">
        <f>IF(S136="","",HYPERLINK(IF(LEFT(S136,4)="http",S136,set_QwilrBase&amp;S136),"Open quote"))</f>
        <v/>
      </c>
      <c r="U136" s="41" t="n"/>
      <c r="V136" s="37" t="n"/>
      <c r="W136" s="37" t="n"/>
      <c r="X136" s="10" t="inlineStr">
        <is>
          <t>ONS-0132</t>
        </is>
      </c>
    </row>
    <row r="137">
      <c r="A137" s="16">
        <f>IF($C137="","",IFERROR(IF(INDEX(tbl_Finance[Latest Invoice Date],MATCH($X137,tbl_Finance[Row ID],0))="","",INDEX(tbl_Finance[Latest Invoice Date],MATCH($X137,tbl_Finance[Row ID],0))),""))</f>
        <v/>
      </c>
      <c r="B137" s="10">
        <f>IF($C137="","",IFERROR(INDEX(tbl_Finance[Invoice Numbers],MATCH($X137,tbl_Finance[Row ID],0))&amp;"",""))</f>
        <v/>
      </c>
      <c r="C137" s="37" t="n"/>
      <c r="D137" s="10">
        <f>IF($C137="","",IF(COUNTIF(lst_Jobs,$C137&amp;"")&gt;0,"OK","CHECK"))</f>
        <v/>
      </c>
      <c r="E137" s="10">
        <f>IF($C137="","",IFERROR(INDEX(lst_JobName,MATCH($C137&amp;"",lst_Jobs,0)),""))</f>
        <v/>
      </c>
      <c r="F137" s="37" t="n"/>
      <c r="G137" s="37" t="n"/>
      <c r="H137" s="37" t="n"/>
      <c r="I137" s="37" t="n"/>
      <c r="J137" s="37" t="n"/>
      <c r="K137" s="38">
        <f>IF($C137="","",IFERROR(N(INDEX(tbl_Finance[Invoice Count],MATCH($X137,tbl_Finance[Row ID],0))),""))</f>
        <v/>
      </c>
      <c r="L137" s="11">
        <f>IF($C137="","",IFERROR(N(INDEX(tbl_Finance[Xero Invoiced Ex GST],MATCH($X137,tbl_Finance[Row ID],0))),""))</f>
        <v/>
      </c>
      <c r="M137" s="10">
        <f>IF($C137="","",IFERROR(INDEX(tbl_Finance[Compare],MATCH($X137,tbl_Finance[Row ID],0))&amp;"",""))</f>
        <v/>
      </c>
      <c r="N137" s="11">
        <f>IF($C137="","",MAX(0,N(O137)-N(L137)))</f>
        <v/>
      </c>
      <c r="O137" s="39" t="n"/>
      <c r="P137" s="40">
        <f>IF($C137="","",IF((IF(F137="",", Client","")&amp;IF(G137="",", Description","")&amp;IF(H137="",", Cost Centre","")&amp;IF(I137="",", Invoice Type","")&amp;IF(J137="",", Tax Code","")&amp;IF(O137="",", Expected Revenue","")&amp;IF(COUNTIF(tbl_Finance[Job Number],$C137&amp;"")&gt;1,", Job number used twice",""))="","Complete","Fix: "&amp;MID(IF(F137="",", Client","")&amp;IF(G137="",", Description","")&amp;IF(H137="",", Cost Centre","")&amp;IF(I137="",", Invoice Type","")&amp;IF(J137="",", Tax Code","")&amp;IF(O137="",", Expected Revenue","")&amp;IF(COUNTIF(tbl_Finance[Job Number],$C137&amp;"")&gt;1,", Job number used twice",""),3,300)))</f>
        <v/>
      </c>
      <c r="Q137" s="10">
        <f>IF($C137="","",IF(H137="","(no cost centre)",H137&amp;" - GL "&amp;IFERROR(INDEX(lst_CCtoGL,MATCH(H137,lst_CCforGL,0)),"?")))</f>
        <v/>
      </c>
      <c r="R137" s="37" t="n"/>
      <c r="S137" s="37" t="n"/>
      <c r="T137" s="10">
        <f>IF(S137="","",HYPERLINK(IF(LEFT(S137,4)="http",S137,set_QwilrBase&amp;S137),"Open quote"))</f>
        <v/>
      </c>
      <c r="U137" s="41" t="n"/>
      <c r="V137" s="37" t="n"/>
      <c r="W137" s="37" t="n"/>
      <c r="X137" s="10" t="inlineStr">
        <is>
          <t>ONS-0133</t>
        </is>
      </c>
    </row>
    <row r="138">
      <c r="A138" s="16">
        <f>IF($C138="","",IFERROR(IF(INDEX(tbl_Finance[Latest Invoice Date],MATCH($X138,tbl_Finance[Row ID],0))="","",INDEX(tbl_Finance[Latest Invoice Date],MATCH($X138,tbl_Finance[Row ID],0))),""))</f>
        <v/>
      </c>
      <c r="B138" s="10">
        <f>IF($C138="","",IFERROR(INDEX(tbl_Finance[Invoice Numbers],MATCH($X138,tbl_Finance[Row ID],0))&amp;"",""))</f>
        <v/>
      </c>
      <c r="C138" s="37" t="n"/>
      <c r="D138" s="10">
        <f>IF($C138="","",IF(COUNTIF(lst_Jobs,$C138&amp;"")&gt;0,"OK","CHECK"))</f>
        <v/>
      </c>
      <c r="E138" s="10">
        <f>IF($C138="","",IFERROR(INDEX(lst_JobName,MATCH($C138&amp;"",lst_Jobs,0)),""))</f>
        <v/>
      </c>
      <c r="F138" s="37" t="n"/>
      <c r="G138" s="37" t="n"/>
      <c r="H138" s="37" t="n"/>
      <c r="I138" s="37" t="n"/>
      <c r="J138" s="37" t="n"/>
      <c r="K138" s="38">
        <f>IF($C138="","",IFERROR(N(INDEX(tbl_Finance[Invoice Count],MATCH($X138,tbl_Finance[Row ID],0))),""))</f>
        <v/>
      </c>
      <c r="L138" s="11">
        <f>IF($C138="","",IFERROR(N(INDEX(tbl_Finance[Xero Invoiced Ex GST],MATCH($X138,tbl_Finance[Row ID],0))),""))</f>
        <v/>
      </c>
      <c r="M138" s="10">
        <f>IF($C138="","",IFERROR(INDEX(tbl_Finance[Compare],MATCH($X138,tbl_Finance[Row ID],0))&amp;"",""))</f>
        <v/>
      </c>
      <c r="N138" s="11">
        <f>IF($C138="","",MAX(0,N(O138)-N(L138)))</f>
        <v/>
      </c>
      <c r="O138" s="39" t="n"/>
      <c r="P138" s="40">
        <f>IF($C138="","",IF((IF(F138="",", Client","")&amp;IF(G138="",", Description","")&amp;IF(H138="",", Cost Centre","")&amp;IF(I138="",", Invoice Type","")&amp;IF(J138="",", Tax Code","")&amp;IF(O138="",", Expected Revenue","")&amp;IF(COUNTIF(tbl_Finance[Job Number],$C138&amp;"")&gt;1,", Job number used twice",""))="","Complete","Fix: "&amp;MID(IF(F138="",", Client","")&amp;IF(G138="",", Description","")&amp;IF(H138="",", Cost Centre","")&amp;IF(I138="",", Invoice Type","")&amp;IF(J138="",", Tax Code","")&amp;IF(O138="",", Expected Revenue","")&amp;IF(COUNTIF(tbl_Finance[Job Number],$C138&amp;"")&gt;1,", Job number used twice",""),3,300)))</f>
        <v/>
      </c>
      <c r="Q138" s="10">
        <f>IF($C138="","",IF(H138="","(no cost centre)",H138&amp;" - GL "&amp;IFERROR(INDEX(lst_CCtoGL,MATCH(H138,lst_CCforGL,0)),"?")))</f>
        <v/>
      </c>
      <c r="R138" s="37" t="n"/>
      <c r="S138" s="37" t="n"/>
      <c r="T138" s="10">
        <f>IF(S138="","",HYPERLINK(IF(LEFT(S138,4)="http",S138,set_QwilrBase&amp;S138),"Open quote"))</f>
        <v/>
      </c>
      <c r="U138" s="41" t="n"/>
      <c r="V138" s="37" t="n"/>
      <c r="W138" s="37" t="n"/>
      <c r="X138" s="10" t="inlineStr">
        <is>
          <t>ONS-0134</t>
        </is>
      </c>
    </row>
    <row r="139">
      <c r="A139" s="16">
        <f>IF($C139="","",IFERROR(IF(INDEX(tbl_Finance[Latest Invoice Date],MATCH($X139,tbl_Finance[Row ID],0))="","",INDEX(tbl_Finance[Latest Invoice Date],MATCH($X139,tbl_Finance[Row ID],0))),""))</f>
        <v/>
      </c>
      <c r="B139" s="10">
        <f>IF($C139="","",IFERROR(INDEX(tbl_Finance[Invoice Numbers],MATCH($X139,tbl_Finance[Row ID],0))&amp;"",""))</f>
        <v/>
      </c>
      <c r="C139" s="37" t="n"/>
      <c r="D139" s="10">
        <f>IF($C139="","",IF(COUNTIF(lst_Jobs,$C139&amp;"")&gt;0,"OK","CHECK"))</f>
        <v/>
      </c>
      <c r="E139" s="10">
        <f>IF($C139="","",IFERROR(INDEX(lst_JobName,MATCH($C139&amp;"",lst_Jobs,0)),""))</f>
        <v/>
      </c>
      <c r="F139" s="37" t="n"/>
      <c r="G139" s="37" t="n"/>
      <c r="H139" s="37" t="n"/>
      <c r="I139" s="37" t="n"/>
      <c r="J139" s="37" t="n"/>
      <c r="K139" s="38">
        <f>IF($C139="","",IFERROR(N(INDEX(tbl_Finance[Invoice Count],MATCH($X139,tbl_Finance[Row ID],0))),""))</f>
        <v/>
      </c>
      <c r="L139" s="11">
        <f>IF($C139="","",IFERROR(N(INDEX(tbl_Finance[Xero Invoiced Ex GST],MATCH($X139,tbl_Finance[Row ID],0))),""))</f>
        <v/>
      </c>
      <c r="M139" s="10">
        <f>IF($C139="","",IFERROR(INDEX(tbl_Finance[Compare],MATCH($X139,tbl_Finance[Row ID],0))&amp;"",""))</f>
        <v/>
      </c>
      <c r="N139" s="11">
        <f>IF($C139="","",MAX(0,N(O139)-N(L139)))</f>
        <v/>
      </c>
      <c r="O139" s="39" t="n"/>
      <c r="P139" s="40">
        <f>IF($C139="","",IF((IF(F139="",", Client","")&amp;IF(G139="",", Description","")&amp;IF(H139="",", Cost Centre","")&amp;IF(I139="",", Invoice Type","")&amp;IF(J139="",", Tax Code","")&amp;IF(O139="",", Expected Revenue","")&amp;IF(COUNTIF(tbl_Finance[Job Number],$C139&amp;"")&gt;1,", Job number used twice",""))="","Complete","Fix: "&amp;MID(IF(F139="",", Client","")&amp;IF(G139="",", Description","")&amp;IF(H139="",", Cost Centre","")&amp;IF(I139="",", Invoice Type","")&amp;IF(J139="",", Tax Code","")&amp;IF(O139="",", Expected Revenue","")&amp;IF(COUNTIF(tbl_Finance[Job Number],$C139&amp;"")&gt;1,", Job number used twice",""),3,300)))</f>
        <v/>
      </c>
      <c r="Q139" s="10">
        <f>IF($C139="","",IF(H139="","(no cost centre)",H139&amp;" - GL "&amp;IFERROR(INDEX(lst_CCtoGL,MATCH(H139,lst_CCforGL,0)),"?")))</f>
        <v/>
      </c>
      <c r="R139" s="37" t="n"/>
      <c r="S139" s="37" t="n"/>
      <c r="T139" s="10">
        <f>IF(S139="","",HYPERLINK(IF(LEFT(S139,4)="http",S139,set_QwilrBase&amp;S139),"Open quote"))</f>
        <v/>
      </c>
      <c r="U139" s="41" t="n"/>
      <c r="V139" s="37" t="n"/>
      <c r="W139" s="37" t="n"/>
      <c r="X139" s="10" t="inlineStr">
        <is>
          <t>ONS-0135</t>
        </is>
      </c>
    </row>
    <row r="140">
      <c r="A140" s="16">
        <f>IF($C140="","",IFERROR(IF(INDEX(tbl_Finance[Latest Invoice Date],MATCH($X140,tbl_Finance[Row ID],0))="","",INDEX(tbl_Finance[Latest Invoice Date],MATCH($X140,tbl_Finance[Row ID],0))),""))</f>
        <v/>
      </c>
      <c r="B140" s="10">
        <f>IF($C140="","",IFERROR(INDEX(tbl_Finance[Invoice Numbers],MATCH($X140,tbl_Finance[Row ID],0))&amp;"",""))</f>
        <v/>
      </c>
      <c r="C140" s="37" t="n"/>
      <c r="D140" s="10">
        <f>IF($C140="","",IF(COUNTIF(lst_Jobs,$C140&amp;"")&gt;0,"OK","CHECK"))</f>
        <v/>
      </c>
      <c r="E140" s="10">
        <f>IF($C140="","",IFERROR(INDEX(lst_JobName,MATCH($C140&amp;"",lst_Jobs,0)),""))</f>
        <v/>
      </c>
      <c r="F140" s="37" t="n"/>
      <c r="G140" s="37" t="n"/>
      <c r="H140" s="37" t="n"/>
      <c r="I140" s="37" t="n"/>
      <c r="J140" s="37" t="n"/>
      <c r="K140" s="38">
        <f>IF($C140="","",IFERROR(N(INDEX(tbl_Finance[Invoice Count],MATCH($X140,tbl_Finance[Row ID],0))),""))</f>
        <v/>
      </c>
      <c r="L140" s="11">
        <f>IF($C140="","",IFERROR(N(INDEX(tbl_Finance[Xero Invoiced Ex GST],MATCH($X140,tbl_Finance[Row ID],0))),""))</f>
        <v/>
      </c>
      <c r="M140" s="10">
        <f>IF($C140="","",IFERROR(INDEX(tbl_Finance[Compare],MATCH($X140,tbl_Finance[Row ID],0))&amp;"",""))</f>
        <v/>
      </c>
      <c r="N140" s="11">
        <f>IF($C140="","",MAX(0,N(O140)-N(L140)))</f>
        <v/>
      </c>
      <c r="O140" s="39" t="n"/>
      <c r="P140" s="40">
        <f>IF($C140="","",IF((IF(F140="",", Client","")&amp;IF(G140="",", Description","")&amp;IF(H140="",", Cost Centre","")&amp;IF(I140="",", Invoice Type","")&amp;IF(J140="",", Tax Code","")&amp;IF(O140="",", Expected Revenue","")&amp;IF(COUNTIF(tbl_Finance[Job Number],$C140&amp;"")&gt;1,", Job number used twice",""))="","Complete","Fix: "&amp;MID(IF(F140="",", Client","")&amp;IF(G140="",", Description","")&amp;IF(H140="",", Cost Centre","")&amp;IF(I140="",", Invoice Type","")&amp;IF(J140="",", Tax Code","")&amp;IF(O140="",", Expected Revenue","")&amp;IF(COUNTIF(tbl_Finance[Job Number],$C140&amp;"")&gt;1,", Job number used twice",""),3,300)))</f>
        <v/>
      </c>
      <c r="Q140" s="10">
        <f>IF($C140="","",IF(H140="","(no cost centre)",H140&amp;" - GL "&amp;IFERROR(INDEX(lst_CCtoGL,MATCH(H140,lst_CCforGL,0)),"?")))</f>
        <v/>
      </c>
      <c r="R140" s="37" t="n"/>
      <c r="S140" s="37" t="n"/>
      <c r="T140" s="10">
        <f>IF(S140="","",HYPERLINK(IF(LEFT(S140,4)="http",S140,set_QwilrBase&amp;S140),"Open quote"))</f>
        <v/>
      </c>
      <c r="U140" s="41" t="n"/>
      <c r="V140" s="37" t="n"/>
      <c r="W140" s="37" t="n"/>
      <c r="X140" s="10" t="inlineStr">
        <is>
          <t>ONS-0136</t>
        </is>
      </c>
    </row>
    <row r="141">
      <c r="A141" s="16">
        <f>IF($C141="","",IFERROR(IF(INDEX(tbl_Finance[Latest Invoice Date],MATCH($X141,tbl_Finance[Row ID],0))="","",INDEX(tbl_Finance[Latest Invoice Date],MATCH($X141,tbl_Finance[Row ID],0))),""))</f>
        <v/>
      </c>
      <c r="B141" s="10">
        <f>IF($C141="","",IFERROR(INDEX(tbl_Finance[Invoice Numbers],MATCH($X141,tbl_Finance[Row ID],0))&amp;"",""))</f>
        <v/>
      </c>
      <c r="C141" s="37" t="n"/>
      <c r="D141" s="10">
        <f>IF($C141="","",IF(COUNTIF(lst_Jobs,$C141&amp;"")&gt;0,"OK","CHECK"))</f>
        <v/>
      </c>
      <c r="E141" s="10">
        <f>IF($C141="","",IFERROR(INDEX(lst_JobName,MATCH($C141&amp;"",lst_Jobs,0)),""))</f>
        <v/>
      </c>
      <c r="F141" s="37" t="n"/>
      <c r="G141" s="37" t="n"/>
      <c r="H141" s="37" t="n"/>
      <c r="I141" s="37" t="n"/>
      <c r="J141" s="37" t="n"/>
      <c r="K141" s="38">
        <f>IF($C141="","",IFERROR(N(INDEX(tbl_Finance[Invoice Count],MATCH($X141,tbl_Finance[Row ID],0))),""))</f>
        <v/>
      </c>
      <c r="L141" s="11">
        <f>IF($C141="","",IFERROR(N(INDEX(tbl_Finance[Xero Invoiced Ex GST],MATCH($X141,tbl_Finance[Row ID],0))),""))</f>
        <v/>
      </c>
      <c r="M141" s="10">
        <f>IF($C141="","",IFERROR(INDEX(tbl_Finance[Compare],MATCH($X141,tbl_Finance[Row ID],0))&amp;"",""))</f>
        <v/>
      </c>
      <c r="N141" s="11">
        <f>IF($C141="","",MAX(0,N(O141)-N(L141)))</f>
        <v/>
      </c>
      <c r="O141" s="39" t="n"/>
      <c r="P141" s="40">
        <f>IF($C141="","",IF((IF(F141="",", Client","")&amp;IF(G141="",", Description","")&amp;IF(H141="",", Cost Centre","")&amp;IF(I141="",", Invoice Type","")&amp;IF(J141="",", Tax Code","")&amp;IF(O141="",", Expected Revenue","")&amp;IF(COUNTIF(tbl_Finance[Job Number],$C141&amp;"")&gt;1,", Job number used twice",""))="","Complete","Fix: "&amp;MID(IF(F141="",", Client","")&amp;IF(G141="",", Description","")&amp;IF(H141="",", Cost Centre","")&amp;IF(I141="",", Invoice Type","")&amp;IF(J141="",", Tax Code","")&amp;IF(O141="",", Expected Revenue","")&amp;IF(COUNTIF(tbl_Finance[Job Number],$C141&amp;"")&gt;1,", Job number used twice",""),3,300)))</f>
        <v/>
      </c>
      <c r="Q141" s="10">
        <f>IF($C141="","",IF(H141="","(no cost centre)",H141&amp;" - GL "&amp;IFERROR(INDEX(lst_CCtoGL,MATCH(H141,lst_CCforGL,0)),"?")))</f>
        <v/>
      </c>
      <c r="R141" s="37" t="n"/>
      <c r="S141" s="37" t="n"/>
      <c r="T141" s="10">
        <f>IF(S141="","",HYPERLINK(IF(LEFT(S141,4)="http",S141,set_QwilrBase&amp;S141),"Open quote"))</f>
        <v/>
      </c>
      <c r="U141" s="41" t="n"/>
      <c r="V141" s="37" t="n"/>
      <c r="W141" s="37" t="n"/>
      <c r="X141" s="10" t="inlineStr">
        <is>
          <t>ONS-0137</t>
        </is>
      </c>
    </row>
    <row r="142">
      <c r="A142" s="16">
        <f>IF($C142="","",IFERROR(IF(INDEX(tbl_Finance[Latest Invoice Date],MATCH($X142,tbl_Finance[Row ID],0))="","",INDEX(tbl_Finance[Latest Invoice Date],MATCH($X142,tbl_Finance[Row ID],0))),""))</f>
        <v/>
      </c>
      <c r="B142" s="10">
        <f>IF($C142="","",IFERROR(INDEX(tbl_Finance[Invoice Numbers],MATCH($X142,tbl_Finance[Row ID],0))&amp;"",""))</f>
        <v/>
      </c>
      <c r="C142" s="37" t="n"/>
      <c r="D142" s="10">
        <f>IF($C142="","",IF(COUNTIF(lst_Jobs,$C142&amp;"")&gt;0,"OK","CHECK"))</f>
        <v/>
      </c>
      <c r="E142" s="10">
        <f>IF($C142="","",IFERROR(INDEX(lst_JobName,MATCH($C142&amp;"",lst_Jobs,0)),""))</f>
        <v/>
      </c>
      <c r="F142" s="37" t="n"/>
      <c r="G142" s="37" t="n"/>
      <c r="H142" s="37" t="n"/>
      <c r="I142" s="37" t="n"/>
      <c r="J142" s="37" t="n"/>
      <c r="K142" s="38">
        <f>IF($C142="","",IFERROR(N(INDEX(tbl_Finance[Invoice Count],MATCH($X142,tbl_Finance[Row ID],0))),""))</f>
        <v/>
      </c>
      <c r="L142" s="11">
        <f>IF($C142="","",IFERROR(N(INDEX(tbl_Finance[Xero Invoiced Ex GST],MATCH($X142,tbl_Finance[Row ID],0))),""))</f>
        <v/>
      </c>
      <c r="M142" s="10">
        <f>IF($C142="","",IFERROR(INDEX(tbl_Finance[Compare],MATCH($X142,tbl_Finance[Row ID],0))&amp;"",""))</f>
        <v/>
      </c>
      <c r="N142" s="11">
        <f>IF($C142="","",MAX(0,N(O142)-N(L142)))</f>
        <v/>
      </c>
      <c r="O142" s="39" t="n"/>
      <c r="P142" s="40">
        <f>IF($C142="","",IF((IF(F142="",", Client","")&amp;IF(G142="",", Description","")&amp;IF(H142="",", Cost Centre","")&amp;IF(I142="",", Invoice Type","")&amp;IF(J142="",", Tax Code","")&amp;IF(O142="",", Expected Revenue","")&amp;IF(COUNTIF(tbl_Finance[Job Number],$C142&amp;"")&gt;1,", Job number used twice",""))="","Complete","Fix: "&amp;MID(IF(F142="",", Client","")&amp;IF(G142="",", Description","")&amp;IF(H142="",", Cost Centre","")&amp;IF(I142="",", Invoice Type","")&amp;IF(J142="",", Tax Code","")&amp;IF(O142="",", Expected Revenue","")&amp;IF(COUNTIF(tbl_Finance[Job Number],$C142&amp;"")&gt;1,", Job number used twice",""),3,300)))</f>
        <v/>
      </c>
      <c r="Q142" s="10">
        <f>IF($C142="","",IF(H142="","(no cost centre)",H142&amp;" - GL "&amp;IFERROR(INDEX(lst_CCtoGL,MATCH(H142,lst_CCforGL,0)),"?")))</f>
        <v/>
      </c>
      <c r="R142" s="37" t="n"/>
      <c r="S142" s="37" t="n"/>
      <c r="T142" s="10">
        <f>IF(S142="","",HYPERLINK(IF(LEFT(S142,4)="http",S142,set_QwilrBase&amp;S142),"Open quote"))</f>
        <v/>
      </c>
      <c r="U142" s="41" t="n"/>
      <c r="V142" s="37" t="n"/>
      <c r="W142" s="37" t="n"/>
      <c r="X142" s="10" t="inlineStr">
        <is>
          <t>ONS-0138</t>
        </is>
      </c>
    </row>
    <row r="143">
      <c r="A143" s="16">
        <f>IF($C143="","",IFERROR(IF(INDEX(tbl_Finance[Latest Invoice Date],MATCH($X143,tbl_Finance[Row ID],0))="","",INDEX(tbl_Finance[Latest Invoice Date],MATCH($X143,tbl_Finance[Row ID],0))),""))</f>
        <v/>
      </c>
      <c r="B143" s="10">
        <f>IF($C143="","",IFERROR(INDEX(tbl_Finance[Invoice Numbers],MATCH($X143,tbl_Finance[Row ID],0))&amp;"",""))</f>
        <v/>
      </c>
      <c r="C143" s="37" t="n"/>
      <c r="D143" s="10">
        <f>IF($C143="","",IF(COUNTIF(lst_Jobs,$C143&amp;"")&gt;0,"OK","CHECK"))</f>
        <v/>
      </c>
      <c r="E143" s="10">
        <f>IF($C143="","",IFERROR(INDEX(lst_JobName,MATCH($C143&amp;"",lst_Jobs,0)),""))</f>
        <v/>
      </c>
      <c r="F143" s="37" t="n"/>
      <c r="G143" s="37" t="n"/>
      <c r="H143" s="37" t="n"/>
      <c r="I143" s="37" t="n"/>
      <c r="J143" s="37" t="n"/>
      <c r="K143" s="38">
        <f>IF($C143="","",IFERROR(N(INDEX(tbl_Finance[Invoice Count],MATCH($X143,tbl_Finance[Row ID],0))),""))</f>
        <v/>
      </c>
      <c r="L143" s="11">
        <f>IF($C143="","",IFERROR(N(INDEX(tbl_Finance[Xero Invoiced Ex GST],MATCH($X143,tbl_Finance[Row ID],0))),""))</f>
        <v/>
      </c>
      <c r="M143" s="10">
        <f>IF($C143="","",IFERROR(INDEX(tbl_Finance[Compare],MATCH($X143,tbl_Finance[Row ID],0))&amp;"",""))</f>
        <v/>
      </c>
      <c r="N143" s="11">
        <f>IF($C143="","",MAX(0,N(O143)-N(L143)))</f>
        <v/>
      </c>
      <c r="O143" s="39" t="n"/>
      <c r="P143" s="40">
        <f>IF($C143="","",IF((IF(F143="",", Client","")&amp;IF(G143="",", Description","")&amp;IF(H143="",", Cost Centre","")&amp;IF(I143="",", Invoice Type","")&amp;IF(J143="",", Tax Code","")&amp;IF(O143="",", Expected Revenue","")&amp;IF(COUNTIF(tbl_Finance[Job Number],$C143&amp;"")&gt;1,", Job number used twice",""))="","Complete","Fix: "&amp;MID(IF(F143="",", Client","")&amp;IF(G143="",", Description","")&amp;IF(H143="",", Cost Centre","")&amp;IF(I143="",", Invoice Type","")&amp;IF(J143="",", Tax Code","")&amp;IF(O143="",", Expected Revenue","")&amp;IF(COUNTIF(tbl_Finance[Job Number],$C143&amp;"")&gt;1,", Job number used twice",""),3,300)))</f>
        <v/>
      </c>
      <c r="Q143" s="10">
        <f>IF($C143="","",IF(H143="","(no cost centre)",H143&amp;" - GL "&amp;IFERROR(INDEX(lst_CCtoGL,MATCH(H143,lst_CCforGL,0)),"?")))</f>
        <v/>
      </c>
      <c r="R143" s="37" t="n"/>
      <c r="S143" s="37" t="n"/>
      <c r="T143" s="10">
        <f>IF(S143="","",HYPERLINK(IF(LEFT(S143,4)="http",S143,set_QwilrBase&amp;S143),"Open quote"))</f>
        <v/>
      </c>
      <c r="U143" s="41" t="n"/>
      <c r="V143" s="37" t="n"/>
      <c r="W143" s="37" t="n"/>
      <c r="X143" s="10" t="inlineStr">
        <is>
          <t>ONS-0139</t>
        </is>
      </c>
    </row>
    <row r="144">
      <c r="A144" s="16">
        <f>IF($C144="","",IFERROR(IF(INDEX(tbl_Finance[Latest Invoice Date],MATCH($X144,tbl_Finance[Row ID],0))="","",INDEX(tbl_Finance[Latest Invoice Date],MATCH($X144,tbl_Finance[Row ID],0))),""))</f>
        <v/>
      </c>
      <c r="B144" s="10">
        <f>IF($C144="","",IFERROR(INDEX(tbl_Finance[Invoice Numbers],MATCH($X144,tbl_Finance[Row ID],0))&amp;"",""))</f>
        <v/>
      </c>
      <c r="C144" s="37" t="n"/>
      <c r="D144" s="10">
        <f>IF($C144="","",IF(COUNTIF(lst_Jobs,$C144&amp;"")&gt;0,"OK","CHECK"))</f>
        <v/>
      </c>
      <c r="E144" s="10">
        <f>IF($C144="","",IFERROR(INDEX(lst_JobName,MATCH($C144&amp;"",lst_Jobs,0)),""))</f>
        <v/>
      </c>
      <c r="F144" s="37" t="n"/>
      <c r="G144" s="37" t="n"/>
      <c r="H144" s="37" t="n"/>
      <c r="I144" s="37" t="n"/>
      <c r="J144" s="37" t="n"/>
      <c r="K144" s="38">
        <f>IF($C144="","",IFERROR(N(INDEX(tbl_Finance[Invoice Count],MATCH($X144,tbl_Finance[Row ID],0))),""))</f>
        <v/>
      </c>
      <c r="L144" s="11">
        <f>IF($C144="","",IFERROR(N(INDEX(tbl_Finance[Xero Invoiced Ex GST],MATCH($X144,tbl_Finance[Row ID],0))),""))</f>
        <v/>
      </c>
      <c r="M144" s="10">
        <f>IF($C144="","",IFERROR(INDEX(tbl_Finance[Compare],MATCH($X144,tbl_Finance[Row ID],0))&amp;"",""))</f>
        <v/>
      </c>
      <c r="N144" s="11">
        <f>IF($C144="","",MAX(0,N(O144)-N(L144)))</f>
        <v/>
      </c>
      <c r="O144" s="39" t="n"/>
      <c r="P144" s="40">
        <f>IF($C144="","",IF((IF(F144="",", Client","")&amp;IF(G144="",", Description","")&amp;IF(H144="",", Cost Centre","")&amp;IF(I144="",", Invoice Type","")&amp;IF(J144="",", Tax Code","")&amp;IF(O144="",", Expected Revenue","")&amp;IF(COUNTIF(tbl_Finance[Job Number],$C144&amp;"")&gt;1,", Job number used twice",""))="","Complete","Fix: "&amp;MID(IF(F144="",", Client","")&amp;IF(G144="",", Description","")&amp;IF(H144="",", Cost Centre","")&amp;IF(I144="",", Invoice Type","")&amp;IF(J144="",", Tax Code","")&amp;IF(O144="",", Expected Revenue","")&amp;IF(COUNTIF(tbl_Finance[Job Number],$C144&amp;"")&gt;1,", Job number used twice",""),3,300)))</f>
        <v/>
      </c>
      <c r="Q144" s="10">
        <f>IF($C144="","",IF(H144="","(no cost centre)",H144&amp;" - GL "&amp;IFERROR(INDEX(lst_CCtoGL,MATCH(H144,lst_CCforGL,0)),"?")))</f>
        <v/>
      </c>
      <c r="R144" s="37" t="n"/>
      <c r="S144" s="37" t="n"/>
      <c r="T144" s="10">
        <f>IF(S144="","",HYPERLINK(IF(LEFT(S144,4)="http",S144,set_QwilrBase&amp;S144),"Open quote"))</f>
        <v/>
      </c>
      <c r="U144" s="41" t="n"/>
      <c r="V144" s="37" t="n"/>
      <c r="W144" s="37" t="n"/>
      <c r="X144" s="10" t="inlineStr">
        <is>
          <t>ONS-0140</t>
        </is>
      </c>
    </row>
    <row r="145">
      <c r="A145" s="16">
        <f>IF($C145="","",IFERROR(IF(INDEX(tbl_Finance[Latest Invoice Date],MATCH($X145,tbl_Finance[Row ID],0))="","",INDEX(tbl_Finance[Latest Invoice Date],MATCH($X145,tbl_Finance[Row ID],0))),""))</f>
        <v/>
      </c>
      <c r="B145" s="10">
        <f>IF($C145="","",IFERROR(INDEX(tbl_Finance[Invoice Numbers],MATCH($X145,tbl_Finance[Row ID],0))&amp;"",""))</f>
        <v/>
      </c>
      <c r="C145" s="37" t="n"/>
      <c r="D145" s="10">
        <f>IF($C145="","",IF(COUNTIF(lst_Jobs,$C145&amp;"")&gt;0,"OK","CHECK"))</f>
        <v/>
      </c>
      <c r="E145" s="10">
        <f>IF($C145="","",IFERROR(INDEX(lst_JobName,MATCH($C145&amp;"",lst_Jobs,0)),""))</f>
        <v/>
      </c>
      <c r="F145" s="37" t="n"/>
      <c r="G145" s="37" t="n"/>
      <c r="H145" s="37" t="n"/>
      <c r="I145" s="37" t="n"/>
      <c r="J145" s="37" t="n"/>
      <c r="K145" s="38">
        <f>IF($C145="","",IFERROR(N(INDEX(tbl_Finance[Invoice Count],MATCH($X145,tbl_Finance[Row ID],0))),""))</f>
        <v/>
      </c>
      <c r="L145" s="11">
        <f>IF($C145="","",IFERROR(N(INDEX(tbl_Finance[Xero Invoiced Ex GST],MATCH($X145,tbl_Finance[Row ID],0))),""))</f>
        <v/>
      </c>
      <c r="M145" s="10">
        <f>IF($C145="","",IFERROR(INDEX(tbl_Finance[Compare],MATCH($X145,tbl_Finance[Row ID],0))&amp;"",""))</f>
        <v/>
      </c>
      <c r="N145" s="11">
        <f>IF($C145="","",MAX(0,N(O145)-N(L145)))</f>
        <v/>
      </c>
      <c r="O145" s="39" t="n"/>
      <c r="P145" s="40">
        <f>IF($C145="","",IF((IF(F145="",", Client","")&amp;IF(G145="",", Description","")&amp;IF(H145="",", Cost Centre","")&amp;IF(I145="",", Invoice Type","")&amp;IF(J145="",", Tax Code","")&amp;IF(O145="",", Expected Revenue","")&amp;IF(COUNTIF(tbl_Finance[Job Number],$C145&amp;"")&gt;1,", Job number used twice",""))="","Complete","Fix: "&amp;MID(IF(F145="",", Client","")&amp;IF(G145="",", Description","")&amp;IF(H145="",", Cost Centre","")&amp;IF(I145="",", Invoice Type","")&amp;IF(J145="",", Tax Code","")&amp;IF(O145="",", Expected Revenue","")&amp;IF(COUNTIF(tbl_Finance[Job Number],$C145&amp;"")&gt;1,", Job number used twice",""),3,300)))</f>
        <v/>
      </c>
      <c r="Q145" s="10">
        <f>IF($C145="","",IF(H145="","(no cost centre)",H145&amp;" - GL "&amp;IFERROR(INDEX(lst_CCtoGL,MATCH(H145,lst_CCforGL,0)),"?")))</f>
        <v/>
      </c>
      <c r="R145" s="37" t="n"/>
      <c r="S145" s="37" t="n"/>
      <c r="T145" s="10">
        <f>IF(S145="","",HYPERLINK(IF(LEFT(S145,4)="http",S145,set_QwilrBase&amp;S145),"Open quote"))</f>
        <v/>
      </c>
      <c r="U145" s="41" t="n"/>
      <c r="V145" s="37" t="n"/>
      <c r="W145" s="37" t="n"/>
      <c r="X145" s="10" t="inlineStr">
        <is>
          <t>ONS-0141</t>
        </is>
      </c>
    </row>
    <row r="146">
      <c r="A146" s="16">
        <f>IF($C146="","",IFERROR(IF(INDEX(tbl_Finance[Latest Invoice Date],MATCH($X146,tbl_Finance[Row ID],0))="","",INDEX(tbl_Finance[Latest Invoice Date],MATCH($X146,tbl_Finance[Row ID],0))),""))</f>
        <v/>
      </c>
      <c r="B146" s="10">
        <f>IF($C146="","",IFERROR(INDEX(tbl_Finance[Invoice Numbers],MATCH($X146,tbl_Finance[Row ID],0))&amp;"",""))</f>
        <v/>
      </c>
      <c r="C146" s="37" t="n"/>
      <c r="D146" s="10">
        <f>IF($C146="","",IF(COUNTIF(lst_Jobs,$C146&amp;"")&gt;0,"OK","CHECK"))</f>
        <v/>
      </c>
      <c r="E146" s="10">
        <f>IF($C146="","",IFERROR(INDEX(lst_JobName,MATCH($C146&amp;"",lst_Jobs,0)),""))</f>
        <v/>
      </c>
      <c r="F146" s="37" t="n"/>
      <c r="G146" s="37" t="n"/>
      <c r="H146" s="37" t="n"/>
      <c r="I146" s="37" t="n"/>
      <c r="J146" s="37" t="n"/>
      <c r="K146" s="38">
        <f>IF($C146="","",IFERROR(N(INDEX(tbl_Finance[Invoice Count],MATCH($X146,tbl_Finance[Row ID],0))),""))</f>
        <v/>
      </c>
      <c r="L146" s="11">
        <f>IF($C146="","",IFERROR(N(INDEX(tbl_Finance[Xero Invoiced Ex GST],MATCH($X146,tbl_Finance[Row ID],0))),""))</f>
        <v/>
      </c>
      <c r="M146" s="10">
        <f>IF($C146="","",IFERROR(INDEX(tbl_Finance[Compare],MATCH($X146,tbl_Finance[Row ID],0))&amp;"",""))</f>
        <v/>
      </c>
      <c r="N146" s="11">
        <f>IF($C146="","",MAX(0,N(O146)-N(L146)))</f>
        <v/>
      </c>
      <c r="O146" s="39" t="n"/>
      <c r="P146" s="40">
        <f>IF($C146="","",IF((IF(F146="",", Client","")&amp;IF(G146="",", Description","")&amp;IF(H146="",", Cost Centre","")&amp;IF(I146="",", Invoice Type","")&amp;IF(J146="",", Tax Code","")&amp;IF(O146="",", Expected Revenue","")&amp;IF(COUNTIF(tbl_Finance[Job Number],$C146&amp;"")&gt;1,", Job number used twice",""))="","Complete","Fix: "&amp;MID(IF(F146="",", Client","")&amp;IF(G146="",", Description","")&amp;IF(H146="",", Cost Centre","")&amp;IF(I146="",", Invoice Type","")&amp;IF(J146="",", Tax Code","")&amp;IF(O146="",", Expected Revenue","")&amp;IF(COUNTIF(tbl_Finance[Job Number],$C146&amp;"")&gt;1,", Job number used twice",""),3,300)))</f>
        <v/>
      </c>
      <c r="Q146" s="10">
        <f>IF($C146="","",IF(H146="","(no cost centre)",H146&amp;" - GL "&amp;IFERROR(INDEX(lst_CCtoGL,MATCH(H146,lst_CCforGL,0)),"?")))</f>
        <v/>
      </c>
      <c r="R146" s="37" t="n"/>
      <c r="S146" s="37" t="n"/>
      <c r="T146" s="10">
        <f>IF(S146="","",HYPERLINK(IF(LEFT(S146,4)="http",S146,set_QwilrBase&amp;S146),"Open quote"))</f>
        <v/>
      </c>
      <c r="U146" s="41" t="n"/>
      <c r="V146" s="37" t="n"/>
      <c r="W146" s="37" t="n"/>
      <c r="X146" s="10" t="inlineStr">
        <is>
          <t>ONS-0142</t>
        </is>
      </c>
    </row>
    <row r="147">
      <c r="A147" s="16">
        <f>IF($C147="","",IFERROR(IF(INDEX(tbl_Finance[Latest Invoice Date],MATCH($X147,tbl_Finance[Row ID],0))="","",INDEX(tbl_Finance[Latest Invoice Date],MATCH($X147,tbl_Finance[Row ID],0))),""))</f>
        <v/>
      </c>
      <c r="B147" s="10">
        <f>IF($C147="","",IFERROR(INDEX(tbl_Finance[Invoice Numbers],MATCH($X147,tbl_Finance[Row ID],0))&amp;"",""))</f>
        <v/>
      </c>
      <c r="C147" s="37" t="n"/>
      <c r="D147" s="10">
        <f>IF($C147="","",IF(COUNTIF(lst_Jobs,$C147&amp;"")&gt;0,"OK","CHECK"))</f>
        <v/>
      </c>
      <c r="E147" s="10">
        <f>IF($C147="","",IFERROR(INDEX(lst_JobName,MATCH($C147&amp;"",lst_Jobs,0)),""))</f>
        <v/>
      </c>
      <c r="F147" s="37" t="n"/>
      <c r="G147" s="37" t="n"/>
      <c r="H147" s="37" t="n"/>
      <c r="I147" s="37" t="n"/>
      <c r="J147" s="37" t="n"/>
      <c r="K147" s="38">
        <f>IF($C147="","",IFERROR(N(INDEX(tbl_Finance[Invoice Count],MATCH($X147,tbl_Finance[Row ID],0))),""))</f>
        <v/>
      </c>
      <c r="L147" s="11">
        <f>IF($C147="","",IFERROR(N(INDEX(tbl_Finance[Xero Invoiced Ex GST],MATCH($X147,tbl_Finance[Row ID],0))),""))</f>
        <v/>
      </c>
      <c r="M147" s="10">
        <f>IF($C147="","",IFERROR(INDEX(tbl_Finance[Compare],MATCH($X147,tbl_Finance[Row ID],0))&amp;"",""))</f>
        <v/>
      </c>
      <c r="N147" s="11">
        <f>IF($C147="","",MAX(0,N(O147)-N(L147)))</f>
        <v/>
      </c>
      <c r="O147" s="39" t="n"/>
      <c r="P147" s="40">
        <f>IF($C147="","",IF((IF(F147="",", Client","")&amp;IF(G147="",", Description","")&amp;IF(H147="",", Cost Centre","")&amp;IF(I147="",", Invoice Type","")&amp;IF(J147="",", Tax Code","")&amp;IF(O147="",", Expected Revenue","")&amp;IF(COUNTIF(tbl_Finance[Job Number],$C147&amp;"")&gt;1,", Job number used twice",""))="","Complete","Fix: "&amp;MID(IF(F147="",", Client","")&amp;IF(G147="",", Description","")&amp;IF(H147="",", Cost Centre","")&amp;IF(I147="",", Invoice Type","")&amp;IF(J147="",", Tax Code","")&amp;IF(O147="",", Expected Revenue","")&amp;IF(COUNTIF(tbl_Finance[Job Number],$C147&amp;"")&gt;1,", Job number used twice",""),3,300)))</f>
        <v/>
      </c>
      <c r="Q147" s="10">
        <f>IF($C147="","",IF(H147="","(no cost centre)",H147&amp;" - GL "&amp;IFERROR(INDEX(lst_CCtoGL,MATCH(H147,lst_CCforGL,0)),"?")))</f>
        <v/>
      </c>
      <c r="R147" s="37" t="n"/>
      <c r="S147" s="37" t="n"/>
      <c r="T147" s="10">
        <f>IF(S147="","",HYPERLINK(IF(LEFT(S147,4)="http",S147,set_QwilrBase&amp;S147),"Open quote"))</f>
        <v/>
      </c>
      <c r="U147" s="41" t="n"/>
      <c r="V147" s="37" t="n"/>
      <c r="W147" s="37" t="n"/>
      <c r="X147" s="10" t="inlineStr">
        <is>
          <t>ONS-0143</t>
        </is>
      </c>
    </row>
    <row r="148">
      <c r="A148" s="16">
        <f>IF($C148="","",IFERROR(IF(INDEX(tbl_Finance[Latest Invoice Date],MATCH($X148,tbl_Finance[Row ID],0))="","",INDEX(tbl_Finance[Latest Invoice Date],MATCH($X148,tbl_Finance[Row ID],0))),""))</f>
        <v/>
      </c>
      <c r="B148" s="10">
        <f>IF($C148="","",IFERROR(INDEX(tbl_Finance[Invoice Numbers],MATCH($X148,tbl_Finance[Row ID],0))&amp;"",""))</f>
        <v/>
      </c>
      <c r="C148" s="37" t="n"/>
      <c r="D148" s="10">
        <f>IF($C148="","",IF(COUNTIF(lst_Jobs,$C148&amp;"")&gt;0,"OK","CHECK"))</f>
        <v/>
      </c>
      <c r="E148" s="10">
        <f>IF($C148="","",IFERROR(INDEX(lst_JobName,MATCH($C148&amp;"",lst_Jobs,0)),""))</f>
        <v/>
      </c>
      <c r="F148" s="37" t="n"/>
      <c r="G148" s="37" t="n"/>
      <c r="H148" s="37" t="n"/>
      <c r="I148" s="37" t="n"/>
      <c r="J148" s="37" t="n"/>
      <c r="K148" s="38">
        <f>IF($C148="","",IFERROR(N(INDEX(tbl_Finance[Invoice Count],MATCH($X148,tbl_Finance[Row ID],0))),""))</f>
        <v/>
      </c>
      <c r="L148" s="11">
        <f>IF($C148="","",IFERROR(N(INDEX(tbl_Finance[Xero Invoiced Ex GST],MATCH($X148,tbl_Finance[Row ID],0))),""))</f>
        <v/>
      </c>
      <c r="M148" s="10">
        <f>IF($C148="","",IFERROR(INDEX(tbl_Finance[Compare],MATCH($X148,tbl_Finance[Row ID],0))&amp;"",""))</f>
        <v/>
      </c>
      <c r="N148" s="11">
        <f>IF($C148="","",MAX(0,N(O148)-N(L148)))</f>
        <v/>
      </c>
      <c r="O148" s="39" t="n"/>
      <c r="P148" s="40">
        <f>IF($C148="","",IF((IF(F148="",", Client","")&amp;IF(G148="",", Description","")&amp;IF(H148="",", Cost Centre","")&amp;IF(I148="",", Invoice Type","")&amp;IF(J148="",", Tax Code","")&amp;IF(O148="",", Expected Revenue","")&amp;IF(COUNTIF(tbl_Finance[Job Number],$C148&amp;"")&gt;1,", Job number used twice",""))="","Complete","Fix: "&amp;MID(IF(F148="",", Client","")&amp;IF(G148="",", Description","")&amp;IF(H148="",", Cost Centre","")&amp;IF(I148="",", Invoice Type","")&amp;IF(J148="",", Tax Code","")&amp;IF(O148="",", Expected Revenue","")&amp;IF(COUNTIF(tbl_Finance[Job Number],$C148&amp;"")&gt;1,", Job number used twice",""),3,300)))</f>
        <v/>
      </c>
      <c r="Q148" s="10">
        <f>IF($C148="","",IF(H148="","(no cost centre)",H148&amp;" - GL "&amp;IFERROR(INDEX(lst_CCtoGL,MATCH(H148,lst_CCforGL,0)),"?")))</f>
        <v/>
      </c>
      <c r="R148" s="37" t="n"/>
      <c r="S148" s="37" t="n"/>
      <c r="T148" s="10">
        <f>IF(S148="","",HYPERLINK(IF(LEFT(S148,4)="http",S148,set_QwilrBase&amp;S148),"Open quote"))</f>
        <v/>
      </c>
      <c r="U148" s="41" t="n"/>
      <c r="V148" s="37" t="n"/>
      <c r="W148" s="37" t="n"/>
      <c r="X148" s="10" t="inlineStr">
        <is>
          <t>ONS-0144</t>
        </is>
      </c>
    </row>
    <row r="149">
      <c r="A149" s="16">
        <f>IF($C149="","",IFERROR(IF(INDEX(tbl_Finance[Latest Invoice Date],MATCH($X149,tbl_Finance[Row ID],0))="","",INDEX(tbl_Finance[Latest Invoice Date],MATCH($X149,tbl_Finance[Row ID],0))),""))</f>
        <v/>
      </c>
      <c r="B149" s="10">
        <f>IF($C149="","",IFERROR(INDEX(tbl_Finance[Invoice Numbers],MATCH($X149,tbl_Finance[Row ID],0))&amp;"",""))</f>
        <v/>
      </c>
      <c r="C149" s="37" t="n"/>
      <c r="D149" s="10">
        <f>IF($C149="","",IF(COUNTIF(lst_Jobs,$C149&amp;"")&gt;0,"OK","CHECK"))</f>
        <v/>
      </c>
      <c r="E149" s="10">
        <f>IF($C149="","",IFERROR(INDEX(lst_JobName,MATCH($C149&amp;"",lst_Jobs,0)),""))</f>
        <v/>
      </c>
      <c r="F149" s="37" t="n"/>
      <c r="G149" s="37" t="n"/>
      <c r="H149" s="37" t="n"/>
      <c r="I149" s="37" t="n"/>
      <c r="J149" s="37" t="n"/>
      <c r="K149" s="38">
        <f>IF($C149="","",IFERROR(N(INDEX(tbl_Finance[Invoice Count],MATCH($X149,tbl_Finance[Row ID],0))),""))</f>
        <v/>
      </c>
      <c r="L149" s="11">
        <f>IF($C149="","",IFERROR(N(INDEX(tbl_Finance[Xero Invoiced Ex GST],MATCH($X149,tbl_Finance[Row ID],0))),""))</f>
        <v/>
      </c>
      <c r="M149" s="10">
        <f>IF($C149="","",IFERROR(INDEX(tbl_Finance[Compare],MATCH($X149,tbl_Finance[Row ID],0))&amp;"",""))</f>
        <v/>
      </c>
      <c r="N149" s="11">
        <f>IF($C149="","",MAX(0,N(O149)-N(L149)))</f>
        <v/>
      </c>
      <c r="O149" s="39" t="n"/>
      <c r="P149" s="40">
        <f>IF($C149="","",IF((IF(F149="",", Client","")&amp;IF(G149="",", Description","")&amp;IF(H149="",", Cost Centre","")&amp;IF(I149="",", Invoice Type","")&amp;IF(J149="",", Tax Code","")&amp;IF(O149="",", Expected Revenue","")&amp;IF(COUNTIF(tbl_Finance[Job Number],$C149&amp;"")&gt;1,", Job number used twice",""))="","Complete","Fix: "&amp;MID(IF(F149="",", Client","")&amp;IF(G149="",", Description","")&amp;IF(H149="",", Cost Centre","")&amp;IF(I149="",", Invoice Type","")&amp;IF(J149="",", Tax Code","")&amp;IF(O149="",", Expected Revenue","")&amp;IF(COUNTIF(tbl_Finance[Job Number],$C149&amp;"")&gt;1,", Job number used twice",""),3,300)))</f>
        <v/>
      </c>
      <c r="Q149" s="10">
        <f>IF($C149="","",IF(H149="","(no cost centre)",H149&amp;" - GL "&amp;IFERROR(INDEX(lst_CCtoGL,MATCH(H149,lst_CCforGL,0)),"?")))</f>
        <v/>
      </c>
      <c r="R149" s="37" t="n"/>
      <c r="S149" s="37" t="n"/>
      <c r="T149" s="10">
        <f>IF(S149="","",HYPERLINK(IF(LEFT(S149,4)="http",S149,set_QwilrBase&amp;S149),"Open quote"))</f>
        <v/>
      </c>
      <c r="U149" s="41" t="n"/>
      <c r="V149" s="37" t="n"/>
      <c r="W149" s="37" t="n"/>
      <c r="X149" s="10" t="inlineStr">
        <is>
          <t>ONS-0145</t>
        </is>
      </c>
    </row>
    <row r="150">
      <c r="A150" s="16">
        <f>IF($C150="","",IFERROR(IF(INDEX(tbl_Finance[Latest Invoice Date],MATCH($X150,tbl_Finance[Row ID],0))="","",INDEX(tbl_Finance[Latest Invoice Date],MATCH($X150,tbl_Finance[Row ID],0))),""))</f>
        <v/>
      </c>
      <c r="B150" s="10">
        <f>IF($C150="","",IFERROR(INDEX(tbl_Finance[Invoice Numbers],MATCH($X150,tbl_Finance[Row ID],0))&amp;"",""))</f>
        <v/>
      </c>
      <c r="C150" s="37" t="n"/>
      <c r="D150" s="10">
        <f>IF($C150="","",IF(COUNTIF(lst_Jobs,$C150&amp;"")&gt;0,"OK","CHECK"))</f>
        <v/>
      </c>
      <c r="E150" s="10">
        <f>IF($C150="","",IFERROR(INDEX(lst_JobName,MATCH($C150&amp;"",lst_Jobs,0)),""))</f>
        <v/>
      </c>
      <c r="F150" s="37" t="n"/>
      <c r="G150" s="37" t="n"/>
      <c r="H150" s="37" t="n"/>
      <c r="I150" s="37" t="n"/>
      <c r="J150" s="37" t="n"/>
      <c r="K150" s="38">
        <f>IF($C150="","",IFERROR(N(INDEX(tbl_Finance[Invoice Count],MATCH($X150,tbl_Finance[Row ID],0))),""))</f>
        <v/>
      </c>
      <c r="L150" s="11">
        <f>IF($C150="","",IFERROR(N(INDEX(tbl_Finance[Xero Invoiced Ex GST],MATCH($X150,tbl_Finance[Row ID],0))),""))</f>
        <v/>
      </c>
      <c r="M150" s="10">
        <f>IF($C150="","",IFERROR(INDEX(tbl_Finance[Compare],MATCH($X150,tbl_Finance[Row ID],0))&amp;"",""))</f>
        <v/>
      </c>
      <c r="N150" s="11">
        <f>IF($C150="","",MAX(0,N(O150)-N(L150)))</f>
        <v/>
      </c>
      <c r="O150" s="39" t="n"/>
      <c r="P150" s="40">
        <f>IF($C150="","",IF((IF(F150="",", Client","")&amp;IF(G150="",", Description","")&amp;IF(H150="",", Cost Centre","")&amp;IF(I150="",", Invoice Type","")&amp;IF(J150="",", Tax Code","")&amp;IF(O150="",", Expected Revenue","")&amp;IF(COUNTIF(tbl_Finance[Job Number],$C150&amp;"")&gt;1,", Job number used twice",""))="","Complete","Fix: "&amp;MID(IF(F150="",", Client","")&amp;IF(G150="",", Description","")&amp;IF(H150="",", Cost Centre","")&amp;IF(I150="",", Invoice Type","")&amp;IF(J150="",", Tax Code","")&amp;IF(O150="",", Expected Revenue","")&amp;IF(COUNTIF(tbl_Finance[Job Number],$C150&amp;"")&gt;1,", Job number used twice",""),3,300)))</f>
        <v/>
      </c>
      <c r="Q150" s="10">
        <f>IF($C150="","",IF(H150="","(no cost centre)",H150&amp;" - GL "&amp;IFERROR(INDEX(lst_CCtoGL,MATCH(H150,lst_CCforGL,0)),"?")))</f>
        <v/>
      </c>
      <c r="R150" s="37" t="n"/>
      <c r="S150" s="37" t="n"/>
      <c r="T150" s="10">
        <f>IF(S150="","",HYPERLINK(IF(LEFT(S150,4)="http",S150,set_QwilrBase&amp;S150),"Open quote"))</f>
        <v/>
      </c>
      <c r="U150" s="41" t="n"/>
      <c r="V150" s="37" t="n"/>
      <c r="W150" s="37" t="n"/>
      <c r="X150" s="10" t="inlineStr">
        <is>
          <t>ONS-0146</t>
        </is>
      </c>
    </row>
    <row r="151">
      <c r="A151" s="16">
        <f>IF($C151="","",IFERROR(IF(INDEX(tbl_Finance[Latest Invoice Date],MATCH($X151,tbl_Finance[Row ID],0))="","",INDEX(tbl_Finance[Latest Invoice Date],MATCH($X151,tbl_Finance[Row ID],0))),""))</f>
        <v/>
      </c>
      <c r="B151" s="10">
        <f>IF($C151="","",IFERROR(INDEX(tbl_Finance[Invoice Numbers],MATCH($X151,tbl_Finance[Row ID],0))&amp;"",""))</f>
        <v/>
      </c>
      <c r="C151" s="37" t="n"/>
      <c r="D151" s="10">
        <f>IF($C151="","",IF(COUNTIF(lst_Jobs,$C151&amp;"")&gt;0,"OK","CHECK"))</f>
        <v/>
      </c>
      <c r="E151" s="10">
        <f>IF($C151="","",IFERROR(INDEX(lst_JobName,MATCH($C151&amp;"",lst_Jobs,0)),""))</f>
        <v/>
      </c>
      <c r="F151" s="37" t="n"/>
      <c r="G151" s="37" t="n"/>
      <c r="H151" s="37" t="n"/>
      <c r="I151" s="37" t="n"/>
      <c r="J151" s="37" t="n"/>
      <c r="K151" s="38">
        <f>IF($C151="","",IFERROR(N(INDEX(tbl_Finance[Invoice Count],MATCH($X151,tbl_Finance[Row ID],0))),""))</f>
        <v/>
      </c>
      <c r="L151" s="11">
        <f>IF($C151="","",IFERROR(N(INDEX(tbl_Finance[Xero Invoiced Ex GST],MATCH($X151,tbl_Finance[Row ID],0))),""))</f>
        <v/>
      </c>
      <c r="M151" s="10">
        <f>IF($C151="","",IFERROR(INDEX(tbl_Finance[Compare],MATCH($X151,tbl_Finance[Row ID],0))&amp;"",""))</f>
        <v/>
      </c>
      <c r="N151" s="11">
        <f>IF($C151="","",MAX(0,N(O151)-N(L151)))</f>
        <v/>
      </c>
      <c r="O151" s="39" t="n"/>
      <c r="P151" s="40">
        <f>IF($C151="","",IF((IF(F151="",", Client","")&amp;IF(G151="",", Description","")&amp;IF(H151="",", Cost Centre","")&amp;IF(I151="",", Invoice Type","")&amp;IF(J151="",", Tax Code","")&amp;IF(O151="",", Expected Revenue","")&amp;IF(COUNTIF(tbl_Finance[Job Number],$C151&amp;"")&gt;1,", Job number used twice",""))="","Complete","Fix: "&amp;MID(IF(F151="",", Client","")&amp;IF(G151="",", Description","")&amp;IF(H151="",", Cost Centre","")&amp;IF(I151="",", Invoice Type","")&amp;IF(J151="",", Tax Code","")&amp;IF(O151="",", Expected Revenue","")&amp;IF(COUNTIF(tbl_Finance[Job Number],$C151&amp;"")&gt;1,", Job number used twice",""),3,300)))</f>
        <v/>
      </c>
      <c r="Q151" s="10">
        <f>IF($C151="","",IF(H151="","(no cost centre)",H151&amp;" - GL "&amp;IFERROR(INDEX(lst_CCtoGL,MATCH(H151,lst_CCforGL,0)),"?")))</f>
        <v/>
      </c>
      <c r="R151" s="37" t="n"/>
      <c r="S151" s="37" t="n"/>
      <c r="T151" s="10">
        <f>IF(S151="","",HYPERLINK(IF(LEFT(S151,4)="http",S151,set_QwilrBase&amp;S151),"Open quote"))</f>
        <v/>
      </c>
      <c r="U151" s="41" t="n"/>
      <c r="V151" s="37" t="n"/>
      <c r="W151" s="37" t="n"/>
      <c r="X151" s="10" t="inlineStr">
        <is>
          <t>ONS-0147</t>
        </is>
      </c>
    </row>
    <row r="152">
      <c r="A152" s="16">
        <f>IF($C152="","",IFERROR(IF(INDEX(tbl_Finance[Latest Invoice Date],MATCH($X152,tbl_Finance[Row ID],0))="","",INDEX(tbl_Finance[Latest Invoice Date],MATCH($X152,tbl_Finance[Row ID],0))),""))</f>
        <v/>
      </c>
      <c r="B152" s="10">
        <f>IF($C152="","",IFERROR(INDEX(tbl_Finance[Invoice Numbers],MATCH($X152,tbl_Finance[Row ID],0))&amp;"",""))</f>
        <v/>
      </c>
      <c r="C152" s="37" t="n"/>
      <c r="D152" s="10">
        <f>IF($C152="","",IF(COUNTIF(lst_Jobs,$C152&amp;"")&gt;0,"OK","CHECK"))</f>
        <v/>
      </c>
      <c r="E152" s="10">
        <f>IF($C152="","",IFERROR(INDEX(lst_JobName,MATCH($C152&amp;"",lst_Jobs,0)),""))</f>
        <v/>
      </c>
      <c r="F152" s="37" t="n"/>
      <c r="G152" s="37" t="n"/>
      <c r="H152" s="37" t="n"/>
      <c r="I152" s="37" t="n"/>
      <c r="J152" s="37" t="n"/>
      <c r="K152" s="38">
        <f>IF($C152="","",IFERROR(N(INDEX(tbl_Finance[Invoice Count],MATCH($X152,tbl_Finance[Row ID],0))),""))</f>
        <v/>
      </c>
      <c r="L152" s="11">
        <f>IF($C152="","",IFERROR(N(INDEX(tbl_Finance[Xero Invoiced Ex GST],MATCH($X152,tbl_Finance[Row ID],0))),""))</f>
        <v/>
      </c>
      <c r="M152" s="10">
        <f>IF($C152="","",IFERROR(INDEX(tbl_Finance[Compare],MATCH($X152,tbl_Finance[Row ID],0))&amp;"",""))</f>
        <v/>
      </c>
      <c r="N152" s="11">
        <f>IF($C152="","",MAX(0,N(O152)-N(L152)))</f>
        <v/>
      </c>
      <c r="O152" s="39" t="n"/>
      <c r="P152" s="40">
        <f>IF($C152="","",IF((IF(F152="",", Client","")&amp;IF(G152="",", Description","")&amp;IF(H152="",", Cost Centre","")&amp;IF(I152="",", Invoice Type","")&amp;IF(J152="",", Tax Code","")&amp;IF(O152="",", Expected Revenue","")&amp;IF(COUNTIF(tbl_Finance[Job Number],$C152&amp;"")&gt;1,", Job number used twice",""))="","Complete","Fix: "&amp;MID(IF(F152="",", Client","")&amp;IF(G152="",", Description","")&amp;IF(H152="",", Cost Centre","")&amp;IF(I152="",", Invoice Type","")&amp;IF(J152="",", Tax Code","")&amp;IF(O152="",", Expected Revenue","")&amp;IF(COUNTIF(tbl_Finance[Job Number],$C152&amp;"")&gt;1,", Job number used twice",""),3,300)))</f>
        <v/>
      </c>
      <c r="Q152" s="10">
        <f>IF($C152="","",IF(H152="","(no cost centre)",H152&amp;" - GL "&amp;IFERROR(INDEX(lst_CCtoGL,MATCH(H152,lst_CCforGL,0)),"?")))</f>
        <v/>
      </c>
      <c r="R152" s="37" t="n"/>
      <c r="S152" s="37" t="n"/>
      <c r="T152" s="10">
        <f>IF(S152="","",HYPERLINK(IF(LEFT(S152,4)="http",S152,set_QwilrBase&amp;S152),"Open quote"))</f>
        <v/>
      </c>
      <c r="U152" s="41" t="n"/>
      <c r="V152" s="37" t="n"/>
      <c r="W152" s="37" t="n"/>
      <c r="X152" s="10" t="inlineStr">
        <is>
          <t>ONS-0148</t>
        </is>
      </c>
    </row>
    <row r="153">
      <c r="A153" s="16">
        <f>IF($C153="","",IFERROR(IF(INDEX(tbl_Finance[Latest Invoice Date],MATCH($X153,tbl_Finance[Row ID],0))="","",INDEX(tbl_Finance[Latest Invoice Date],MATCH($X153,tbl_Finance[Row ID],0))),""))</f>
        <v/>
      </c>
      <c r="B153" s="10">
        <f>IF($C153="","",IFERROR(INDEX(tbl_Finance[Invoice Numbers],MATCH($X153,tbl_Finance[Row ID],0))&amp;"",""))</f>
        <v/>
      </c>
      <c r="C153" s="37" t="n"/>
      <c r="D153" s="10">
        <f>IF($C153="","",IF(COUNTIF(lst_Jobs,$C153&amp;"")&gt;0,"OK","CHECK"))</f>
        <v/>
      </c>
      <c r="E153" s="10">
        <f>IF($C153="","",IFERROR(INDEX(lst_JobName,MATCH($C153&amp;"",lst_Jobs,0)),""))</f>
        <v/>
      </c>
      <c r="F153" s="37" t="n"/>
      <c r="G153" s="37" t="n"/>
      <c r="H153" s="37" t="n"/>
      <c r="I153" s="37" t="n"/>
      <c r="J153" s="37" t="n"/>
      <c r="K153" s="38">
        <f>IF($C153="","",IFERROR(N(INDEX(tbl_Finance[Invoice Count],MATCH($X153,tbl_Finance[Row ID],0))),""))</f>
        <v/>
      </c>
      <c r="L153" s="11">
        <f>IF($C153="","",IFERROR(N(INDEX(tbl_Finance[Xero Invoiced Ex GST],MATCH($X153,tbl_Finance[Row ID],0))),""))</f>
        <v/>
      </c>
      <c r="M153" s="10">
        <f>IF($C153="","",IFERROR(INDEX(tbl_Finance[Compare],MATCH($X153,tbl_Finance[Row ID],0))&amp;"",""))</f>
        <v/>
      </c>
      <c r="N153" s="11">
        <f>IF($C153="","",MAX(0,N(O153)-N(L153)))</f>
        <v/>
      </c>
      <c r="O153" s="39" t="n"/>
      <c r="P153" s="40">
        <f>IF($C153="","",IF((IF(F153="",", Client","")&amp;IF(G153="",", Description","")&amp;IF(H153="",", Cost Centre","")&amp;IF(I153="",", Invoice Type","")&amp;IF(J153="",", Tax Code","")&amp;IF(O153="",", Expected Revenue","")&amp;IF(COUNTIF(tbl_Finance[Job Number],$C153&amp;"")&gt;1,", Job number used twice",""))="","Complete","Fix: "&amp;MID(IF(F153="",", Client","")&amp;IF(G153="",", Description","")&amp;IF(H153="",", Cost Centre","")&amp;IF(I153="",", Invoice Type","")&amp;IF(J153="",", Tax Code","")&amp;IF(O153="",", Expected Revenue","")&amp;IF(COUNTIF(tbl_Finance[Job Number],$C153&amp;"")&gt;1,", Job number used twice",""),3,300)))</f>
        <v/>
      </c>
      <c r="Q153" s="10">
        <f>IF($C153="","",IF(H153="","(no cost centre)",H153&amp;" - GL "&amp;IFERROR(INDEX(lst_CCtoGL,MATCH(H153,lst_CCforGL,0)),"?")))</f>
        <v/>
      </c>
      <c r="R153" s="37" t="n"/>
      <c r="S153" s="37" t="n"/>
      <c r="T153" s="10">
        <f>IF(S153="","",HYPERLINK(IF(LEFT(S153,4)="http",S153,set_QwilrBase&amp;S153),"Open quote"))</f>
        <v/>
      </c>
      <c r="U153" s="41" t="n"/>
      <c r="V153" s="37" t="n"/>
      <c r="W153" s="37" t="n"/>
      <c r="X153" s="10" t="inlineStr">
        <is>
          <t>ONS-0149</t>
        </is>
      </c>
    </row>
    <row r="154">
      <c r="A154" s="16">
        <f>IF($C154="","",IFERROR(IF(INDEX(tbl_Finance[Latest Invoice Date],MATCH($X154,tbl_Finance[Row ID],0))="","",INDEX(tbl_Finance[Latest Invoice Date],MATCH($X154,tbl_Finance[Row ID],0))),""))</f>
        <v/>
      </c>
      <c r="B154" s="10">
        <f>IF($C154="","",IFERROR(INDEX(tbl_Finance[Invoice Numbers],MATCH($X154,tbl_Finance[Row ID],0))&amp;"",""))</f>
        <v/>
      </c>
      <c r="C154" s="37" t="n"/>
      <c r="D154" s="10">
        <f>IF($C154="","",IF(COUNTIF(lst_Jobs,$C154&amp;"")&gt;0,"OK","CHECK"))</f>
        <v/>
      </c>
      <c r="E154" s="10">
        <f>IF($C154="","",IFERROR(INDEX(lst_JobName,MATCH($C154&amp;"",lst_Jobs,0)),""))</f>
        <v/>
      </c>
      <c r="F154" s="37" t="n"/>
      <c r="G154" s="37" t="n"/>
      <c r="H154" s="37" t="n"/>
      <c r="I154" s="37" t="n"/>
      <c r="J154" s="37" t="n"/>
      <c r="K154" s="38">
        <f>IF($C154="","",IFERROR(N(INDEX(tbl_Finance[Invoice Count],MATCH($X154,tbl_Finance[Row ID],0))),""))</f>
        <v/>
      </c>
      <c r="L154" s="11">
        <f>IF($C154="","",IFERROR(N(INDEX(tbl_Finance[Xero Invoiced Ex GST],MATCH($X154,tbl_Finance[Row ID],0))),""))</f>
        <v/>
      </c>
      <c r="M154" s="10">
        <f>IF($C154="","",IFERROR(INDEX(tbl_Finance[Compare],MATCH($X154,tbl_Finance[Row ID],0))&amp;"",""))</f>
        <v/>
      </c>
      <c r="N154" s="11">
        <f>IF($C154="","",MAX(0,N(O154)-N(L154)))</f>
        <v/>
      </c>
      <c r="O154" s="39" t="n"/>
      <c r="P154" s="40">
        <f>IF($C154="","",IF((IF(F154="",", Client","")&amp;IF(G154="",", Description","")&amp;IF(H154="",", Cost Centre","")&amp;IF(I154="",", Invoice Type","")&amp;IF(J154="",", Tax Code","")&amp;IF(O154="",", Expected Revenue","")&amp;IF(COUNTIF(tbl_Finance[Job Number],$C154&amp;"")&gt;1,", Job number used twice",""))="","Complete","Fix: "&amp;MID(IF(F154="",", Client","")&amp;IF(G154="",", Description","")&amp;IF(H154="",", Cost Centre","")&amp;IF(I154="",", Invoice Type","")&amp;IF(J154="",", Tax Code","")&amp;IF(O154="",", Expected Revenue","")&amp;IF(COUNTIF(tbl_Finance[Job Number],$C154&amp;"")&gt;1,", Job number used twice",""),3,300)))</f>
        <v/>
      </c>
      <c r="Q154" s="10">
        <f>IF($C154="","",IF(H154="","(no cost centre)",H154&amp;" - GL "&amp;IFERROR(INDEX(lst_CCtoGL,MATCH(H154,lst_CCforGL,0)),"?")))</f>
        <v/>
      </c>
      <c r="R154" s="37" t="n"/>
      <c r="S154" s="37" t="n"/>
      <c r="T154" s="10">
        <f>IF(S154="","",HYPERLINK(IF(LEFT(S154,4)="http",S154,set_QwilrBase&amp;S154),"Open quote"))</f>
        <v/>
      </c>
      <c r="U154" s="41" t="n"/>
      <c r="V154" s="37" t="n"/>
      <c r="W154" s="37" t="n"/>
      <c r="X154" s="10" t="inlineStr">
        <is>
          <t>ONS-0150</t>
        </is>
      </c>
    </row>
    <row r="155">
      <c r="A155" s="16">
        <f>IF($C155="","",IFERROR(IF(INDEX(tbl_Finance[Latest Invoice Date],MATCH($X155,tbl_Finance[Row ID],0))="","",INDEX(tbl_Finance[Latest Invoice Date],MATCH($X155,tbl_Finance[Row ID],0))),""))</f>
        <v/>
      </c>
      <c r="B155" s="10">
        <f>IF($C155="","",IFERROR(INDEX(tbl_Finance[Invoice Numbers],MATCH($X155,tbl_Finance[Row ID],0))&amp;"",""))</f>
        <v/>
      </c>
      <c r="C155" s="37" t="n"/>
      <c r="D155" s="10">
        <f>IF($C155="","",IF(COUNTIF(lst_Jobs,$C155&amp;"")&gt;0,"OK","CHECK"))</f>
        <v/>
      </c>
      <c r="E155" s="10">
        <f>IF($C155="","",IFERROR(INDEX(lst_JobName,MATCH($C155&amp;"",lst_Jobs,0)),""))</f>
        <v/>
      </c>
      <c r="F155" s="37" t="n"/>
      <c r="G155" s="37" t="n"/>
      <c r="H155" s="37" t="n"/>
      <c r="I155" s="37" t="n"/>
      <c r="J155" s="37" t="n"/>
      <c r="K155" s="38">
        <f>IF($C155="","",IFERROR(N(INDEX(tbl_Finance[Invoice Count],MATCH($X155,tbl_Finance[Row ID],0))),""))</f>
        <v/>
      </c>
      <c r="L155" s="11">
        <f>IF($C155="","",IFERROR(N(INDEX(tbl_Finance[Xero Invoiced Ex GST],MATCH($X155,tbl_Finance[Row ID],0))),""))</f>
        <v/>
      </c>
      <c r="M155" s="10">
        <f>IF($C155="","",IFERROR(INDEX(tbl_Finance[Compare],MATCH($X155,tbl_Finance[Row ID],0))&amp;"",""))</f>
        <v/>
      </c>
      <c r="N155" s="11">
        <f>IF($C155="","",MAX(0,N(O155)-N(L155)))</f>
        <v/>
      </c>
      <c r="O155" s="39" t="n"/>
      <c r="P155" s="40">
        <f>IF($C155="","",IF((IF(F155="",", Client","")&amp;IF(G155="",", Description","")&amp;IF(H155="",", Cost Centre","")&amp;IF(I155="",", Invoice Type","")&amp;IF(J155="",", Tax Code","")&amp;IF(O155="",", Expected Revenue","")&amp;IF(COUNTIF(tbl_Finance[Job Number],$C155&amp;"")&gt;1,", Job number used twice",""))="","Complete","Fix: "&amp;MID(IF(F155="",", Client","")&amp;IF(G155="",", Description","")&amp;IF(H155="",", Cost Centre","")&amp;IF(I155="",", Invoice Type","")&amp;IF(J155="",", Tax Code","")&amp;IF(O155="",", Expected Revenue","")&amp;IF(COUNTIF(tbl_Finance[Job Number],$C155&amp;"")&gt;1,", Job number used twice",""),3,300)))</f>
        <v/>
      </c>
      <c r="Q155" s="10">
        <f>IF($C155="","",IF(H155="","(no cost centre)",H155&amp;" - GL "&amp;IFERROR(INDEX(lst_CCtoGL,MATCH(H155,lst_CCforGL,0)),"?")))</f>
        <v/>
      </c>
      <c r="R155" s="37" t="n"/>
      <c r="S155" s="37" t="n"/>
      <c r="T155" s="10">
        <f>IF(S155="","",HYPERLINK(IF(LEFT(S155,4)="http",S155,set_QwilrBase&amp;S155),"Open quote"))</f>
        <v/>
      </c>
      <c r="U155" s="41" t="n"/>
      <c r="V155" s="37" t="n"/>
      <c r="W155" s="37" t="n"/>
      <c r="X155" s="10" t="inlineStr">
        <is>
          <t>ONS-0151</t>
        </is>
      </c>
    </row>
    <row r="156">
      <c r="A156" s="16">
        <f>IF($C156="","",IFERROR(IF(INDEX(tbl_Finance[Latest Invoice Date],MATCH($X156,tbl_Finance[Row ID],0))="","",INDEX(tbl_Finance[Latest Invoice Date],MATCH($X156,tbl_Finance[Row ID],0))),""))</f>
        <v/>
      </c>
      <c r="B156" s="10">
        <f>IF($C156="","",IFERROR(INDEX(tbl_Finance[Invoice Numbers],MATCH($X156,tbl_Finance[Row ID],0))&amp;"",""))</f>
        <v/>
      </c>
      <c r="C156" s="37" t="n"/>
      <c r="D156" s="10">
        <f>IF($C156="","",IF(COUNTIF(lst_Jobs,$C156&amp;"")&gt;0,"OK","CHECK"))</f>
        <v/>
      </c>
      <c r="E156" s="10">
        <f>IF($C156="","",IFERROR(INDEX(lst_JobName,MATCH($C156&amp;"",lst_Jobs,0)),""))</f>
        <v/>
      </c>
      <c r="F156" s="37" t="n"/>
      <c r="G156" s="37" t="n"/>
      <c r="H156" s="37" t="n"/>
      <c r="I156" s="37" t="n"/>
      <c r="J156" s="37" t="n"/>
      <c r="K156" s="38">
        <f>IF($C156="","",IFERROR(N(INDEX(tbl_Finance[Invoice Count],MATCH($X156,tbl_Finance[Row ID],0))),""))</f>
        <v/>
      </c>
      <c r="L156" s="11">
        <f>IF($C156="","",IFERROR(N(INDEX(tbl_Finance[Xero Invoiced Ex GST],MATCH($X156,tbl_Finance[Row ID],0))),""))</f>
        <v/>
      </c>
      <c r="M156" s="10">
        <f>IF($C156="","",IFERROR(INDEX(tbl_Finance[Compare],MATCH($X156,tbl_Finance[Row ID],0))&amp;"",""))</f>
        <v/>
      </c>
      <c r="N156" s="11">
        <f>IF($C156="","",MAX(0,N(O156)-N(L156)))</f>
        <v/>
      </c>
      <c r="O156" s="39" t="n"/>
      <c r="P156" s="40">
        <f>IF($C156="","",IF((IF(F156="",", Client","")&amp;IF(G156="",", Description","")&amp;IF(H156="",", Cost Centre","")&amp;IF(I156="",", Invoice Type","")&amp;IF(J156="",", Tax Code","")&amp;IF(O156="",", Expected Revenue","")&amp;IF(COUNTIF(tbl_Finance[Job Number],$C156&amp;"")&gt;1,", Job number used twice",""))="","Complete","Fix: "&amp;MID(IF(F156="",", Client","")&amp;IF(G156="",", Description","")&amp;IF(H156="",", Cost Centre","")&amp;IF(I156="",", Invoice Type","")&amp;IF(J156="",", Tax Code","")&amp;IF(O156="",", Expected Revenue","")&amp;IF(COUNTIF(tbl_Finance[Job Number],$C156&amp;"")&gt;1,", Job number used twice",""),3,300)))</f>
        <v/>
      </c>
      <c r="Q156" s="10">
        <f>IF($C156="","",IF(H156="","(no cost centre)",H156&amp;" - GL "&amp;IFERROR(INDEX(lst_CCtoGL,MATCH(H156,lst_CCforGL,0)),"?")))</f>
        <v/>
      </c>
      <c r="R156" s="37" t="n"/>
      <c r="S156" s="37" t="n"/>
      <c r="T156" s="10">
        <f>IF(S156="","",HYPERLINK(IF(LEFT(S156,4)="http",S156,set_QwilrBase&amp;S156),"Open quote"))</f>
        <v/>
      </c>
      <c r="U156" s="41" t="n"/>
      <c r="V156" s="37" t="n"/>
      <c r="W156" s="37" t="n"/>
      <c r="X156" s="10" t="inlineStr">
        <is>
          <t>ONS-0152</t>
        </is>
      </c>
    </row>
    <row r="157">
      <c r="A157" s="16">
        <f>IF($C157="","",IFERROR(IF(INDEX(tbl_Finance[Latest Invoice Date],MATCH($X157,tbl_Finance[Row ID],0))="","",INDEX(tbl_Finance[Latest Invoice Date],MATCH($X157,tbl_Finance[Row ID],0))),""))</f>
        <v/>
      </c>
      <c r="B157" s="10">
        <f>IF($C157="","",IFERROR(INDEX(tbl_Finance[Invoice Numbers],MATCH($X157,tbl_Finance[Row ID],0))&amp;"",""))</f>
        <v/>
      </c>
      <c r="C157" s="37" t="n"/>
      <c r="D157" s="10">
        <f>IF($C157="","",IF(COUNTIF(lst_Jobs,$C157&amp;"")&gt;0,"OK","CHECK"))</f>
        <v/>
      </c>
      <c r="E157" s="10">
        <f>IF($C157="","",IFERROR(INDEX(lst_JobName,MATCH($C157&amp;"",lst_Jobs,0)),""))</f>
        <v/>
      </c>
      <c r="F157" s="37" t="n"/>
      <c r="G157" s="37" t="n"/>
      <c r="H157" s="37" t="n"/>
      <c r="I157" s="37" t="n"/>
      <c r="J157" s="37" t="n"/>
      <c r="K157" s="38">
        <f>IF($C157="","",IFERROR(N(INDEX(tbl_Finance[Invoice Count],MATCH($X157,tbl_Finance[Row ID],0))),""))</f>
        <v/>
      </c>
      <c r="L157" s="11">
        <f>IF($C157="","",IFERROR(N(INDEX(tbl_Finance[Xero Invoiced Ex GST],MATCH($X157,tbl_Finance[Row ID],0))),""))</f>
        <v/>
      </c>
      <c r="M157" s="10">
        <f>IF($C157="","",IFERROR(INDEX(tbl_Finance[Compare],MATCH($X157,tbl_Finance[Row ID],0))&amp;"",""))</f>
        <v/>
      </c>
      <c r="N157" s="11">
        <f>IF($C157="","",MAX(0,N(O157)-N(L157)))</f>
        <v/>
      </c>
      <c r="O157" s="39" t="n"/>
      <c r="P157" s="40">
        <f>IF($C157="","",IF((IF(F157="",", Client","")&amp;IF(G157="",", Description","")&amp;IF(H157="",", Cost Centre","")&amp;IF(I157="",", Invoice Type","")&amp;IF(J157="",", Tax Code","")&amp;IF(O157="",", Expected Revenue","")&amp;IF(COUNTIF(tbl_Finance[Job Number],$C157&amp;"")&gt;1,", Job number used twice",""))="","Complete","Fix: "&amp;MID(IF(F157="",", Client","")&amp;IF(G157="",", Description","")&amp;IF(H157="",", Cost Centre","")&amp;IF(I157="",", Invoice Type","")&amp;IF(J157="",", Tax Code","")&amp;IF(O157="",", Expected Revenue","")&amp;IF(COUNTIF(tbl_Finance[Job Number],$C157&amp;"")&gt;1,", Job number used twice",""),3,300)))</f>
        <v/>
      </c>
      <c r="Q157" s="10">
        <f>IF($C157="","",IF(H157="","(no cost centre)",H157&amp;" - GL "&amp;IFERROR(INDEX(lst_CCtoGL,MATCH(H157,lst_CCforGL,0)),"?")))</f>
        <v/>
      </c>
      <c r="R157" s="37" t="n"/>
      <c r="S157" s="37" t="n"/>
      <c r="T157" s="10">
        <f>IF(S157="","",HYPERLINK(IF(LEFT(S157,4)="http",S157,set_QwilrBase&amp;S157),"Open quote"))</f>
        <v/>
      </c>
      <c r="U157" s="41" t="n"/>
      <c r="V157" s="37" t="n"/>
      <c r="W157" s="37" t="n"/>
      <c r="X157" s="10" t="inlineStr">
        <is>
          <t>ONS-0153</t>
        </is>
      </c>
    </row>
    <row r="158">
      <c r="A158" s="16">
        <f>IF($C158="","",IFERROR(IF(INDEX(tbl_Finance[Latest Invoice Date],MATCH($X158,tbl_Finance[Row ID],0))="","",INDEX(tbl_Finance[Latest Invoice Date],MATCH($X158,tbl_Finance[Row ID],0))),""))</f>
        <v/>
      </c>
      <c r="B158" s="10">
        <f>IF($C158="","",IFERROR(INDEX(tbl_Finance[Invoice Numbers],MATCH($X158,tbl_Finance[Row ID],0))&amp;"",""))</f>
        <v/>
      </c>
      <c r="C158" s="37" t="n"/>
      <c r="D158" s="10">
        <f>IF($C158="","",IF(COUNTIF(lst_Jobs,$C158&amp;"")&gt;0,"OK","CHECK"))</f>
        <v/>
      </c>
      <c r="E158" s="10">
        <f>IF($C158="","",IFERROR(INDEX(lst_JobName,MATCH($C158&amp;"",lst_Jobs,0)),""))</f>
        <v/>
      </c>
      <c r="F158" s="37" t="n"/>
      <c r="G158" s="37" t="n"/>
      <c r="H158" s="37" t="n"/>
      <c r="I158" s="37" t="n"/>
      <c r="J158" s="37" t="n"/>
      <c r="K158" s="38">
        <f>IF($C158="","",IFERROR(N(INDEX(tbl_Finance[Invoice Count],MATCH($X158,tbl_Finance[Row ID],0))),""))</f>
        <v/>
      </c>
      <c r="L158" s="11">
        <f>IF($C158="","",IFERROR(N(INDEX(tbl_Finance[Xero Invoiced Ex GST],MATCH($X158,tbl_Finance[Row ID],0))),""))</f>
        <v/>
      </c>
      <c r="M158" s="10">
        <f>IF($C158="","",IFERROR(INDEX(tbl_Finance[Compare],MATCH($X158,tbl_Finance[Row ID],0))&amp;"",""))</f>
        <v/>
      </c>
      <c r="N158" s="11">
        <f>IF($C158="","",MAX(0,N(O158)-N(L158)))</f>
        <v/>
      </c>
      <c r="O158" s="39" t="n"/>
      <c r="P158" s="40">
        <f>IF($C158="","",IF((IF(F158="",", Client","")&amp;IF(G158="",", Description","")&amp;IF(H158="",", Cost Centre","")&amp;IF(I158="",", Invoice Type","")&amp;IF(J158="",", Tax Code","")&amp;IF(O158="",", Expected Revenue","")&amp;IF(COUNTIF(tbl_Finance[Job Number],$C158&amp;"")&gt;1,", Job number used twice",""))="","Complete","Fix: "&amp;MID(IF(F158="",", Client","")&amp;IF(G158="",", Description","")&amp;IF(H158="",", Cost Centre","")&amp;IF(I158="",", Invoice Type","")&amp;IF(J158="",", Tax Code","")&amp;IF(O158="",", Expected Revenue","")&amp;IF(COUNTIF(tbl_Finance[Job Number],$C158&amp;"")&gt;1,", Job number used twice",""),3,300)))</f>
        <v/>
      </c>
      <c r="Q158" s="10">
        <f>IF($C158="","",IF(H158="","(no cost centre)",H158&amp;" - GL "&amp;IFERROR(INDEX(lst_CCtoGL,MATCH(H158,lst_CCforGL,0)),"?")))</f>
        <v/>
      </c>
      <c r="R158" s="37" t="n"/>
      <c r="S158" s="37" t="n"/>
      <c r="T158" s="10">
        <f>IF(S158="","",HYPERLINK(IF(LEFT(S158,4)="http",S158,set_QwilrBase&amp;S158),"Open quote"))</f>
        <v/>
      </c>
      <c r="U158" s="41" t="n"/>
      <c r="V158" s="37" t="n"/>
      <c r="W158" s="37" t="n"/>
      <c r="X158" s="10" t="inlineStr">
        <is>
          <t>ONS-0154</t>
        </is>
      </c>
    </row>
    <row r="159">
      <c r="A159" s="16">
        <f>IF($C159="","",IFERROR(IF(INDEX(tbl_Finance[Latest Invoice Date],MATCH($X159,tbl_Finance[Row ID],0))="","",INDEX(tbl_Finance[Latest Invoice Date],MATCH($X159,tbl_Finance[Row ID],0))),""))</f>
        <v/>
      </c>
      <c r="B159" s="10">
        <f>IF($C159="","",IFERROR(INDEX(tbl_Finance[Invoice Numbers],MATCH($X159,tbl_Finance[Row ID],0))&amp;"",""))</f>
        <v/>
      </c>
      <c r="C159" s="37" t="n"/>
      <c r="D159" s="10">
        <f>IF($C159="","",IF(COUNTIF(lst_Jobs,$C159&amp;"")&gt;0,"OK","CHECK"))</f>
        <v/>
      </c>
      <c r="E159" s="10">
        <f>IF($C159="","",IFERROR(INDEX(lst_JobName,MATCH($C159&amp;"",lst_Jobs,0)),""))</f>
        <v/>
      </c>
      <c r="F159" s="37" t="n"/>
      <c r="G159" s="37" t="n"/>
      <c r="H159" s="37" t="n"/>
      <c r="I159" s="37" t="n"/>
      <c r="J159" s="37" t="n"/>
      <c r="K159" s="38">
        <f>IF($C159="","",IFERROR(N(INDEX(tbl_Finance[Invoice Count],MATCH($X159,tbl_Finance[Row ID],0))),""))</f>
        <v/>
      </c>
      <c r="L159" s="11">
        <f>IF($C159="","",IFERROR(N(INDEX(tbl_Finance[Xero Invoiced Ex GST],MATCH($X159,tbl_Finance[Row ID],0))),""))</f>
        <v/>
      </c>
      <c r="M159" s="10">
        <f>IF($C159="","",IFERROR(INDEX(tbl_Finance[Compare],MATCH($X159,tbl_Finance[Row ID],0))&amp;"",""))</f>
        <v/>
      </c>
      <c r="N159" s="11">
        <f>IF($C159="","",MAX(0,N(O159)-N(L159)))</f>
        <v/>
      </c>
      <c r="O159" s="39" t="n"/>
      <c r="P159" s="40">
        <f>IF($C159="","",IF((IF(F159="",", Client","")&amp;IF(G159="",", Description","")&amp;IF(H159="",", Cost Centre","")&amp;IF(I159="",", Invoice Type","")&amp;IF(J159="",", Tax Code","")&amp;IF(O159="",", Expected Revenue","")&amp;IF(COUNTIF(tbl_Finance[Job Number],$C159&amp;"")&gt;1,", Job number used twice",""))="","Complete","Fix: "&amp;MID(IF(F159="",", Client","")&amp;IF(G159="",", Description","")&amp;IF(H159="",", Cost Centre","")&amp;IF(I159="",", Invoice Type","")&amp;IF(J159="",", Tax Code","")&amp;IF(O159="",", Expected Revenue","")&amp;IF(COUNTIF(tbl_Finance[Job Number],$C159&amp;"")&gt;1,", Job number used twice",""),3,300)))</f>
        <v/>
      </c>
      <c r="Q159" s="10">
        <f>IF($C159="","",IF(H159="","(no cost centre)",H159&amp;" - GL "&amp;IFERROR(INDEX(lst_CCtoGL,MATCH(H159,lst_CCforGL,0)),"?")))</f>
        <v/>
      </c>
      <c r="R159" s="37" t="n"/>
      <c r="S159" s="37" t="n"/>
      <c r="T159" s="10">
        <f>IF(S159="","",HYPERLINK(IF(LEFT(S159,4)="http",S159,set_QwilrBase&amp;S159),"Open quote"))</f>
        <v/>
      </c>
      <c r="U159" s="41" t="n"/>
      <c r="V159" s="37" t="n"/>
      <c r="W159" s="37" t="n"/>
      <c r="X159" s="10" t="inlineStr">
        <is>
          <t>ONS-0155</t>
        </is>
      </c>
    </row>
    <row r="160">
      <c r="A160" s="16">
        <f>IF($C160="","",IFERROR(IF(INDEX(tbl_Finance[Latest Invoice Date],MATCH($X160,tbl_Finance[Row ID],0))="","",INDEX(tbl_Finance[Latest Invoice Date],MATCH($X160,tbl_Finance[Row ID],0))),""))</f>
        <v/>
      </c>
      <c r="B160" s="10">
        <f>IF($C160="","",IFERROR(INDEX(tbl_Finance[Invoice Numbers],MATCH($X160,tbl_Finance[Row ID],0))&amp;"",""))</f>
        <v/>
      </c>
      <c r="C160" s="37" t="n"/>
      <c r="D160" s="10">
        <f>IF($C160="","",IF(COUNTIF(lst_Jobs,$C160&amp;"")&gt;0,"OK","CHECK"))</f>
        <v/>
      </c>
      <c r="E160" s="10">
        <f>IF($C160="","",IFERROR(INDEX(lst_JobName,MATCH($C160&amp;"",lst_Jobs,0)),""))</f>
        <v/>
      </c>
      <c r="F160" s="37" t="n"/>
      <c r="G160" s="37" t="n"/>
      <c r="H160" s="37" t="n"/>
      <c r="I160" s="37" t="n"/>
      <c r="J160" s="37" t="n"/>
      <c r="K160" s="38">
        <f>IF($C160="","",IFERROR(N(INDEX(tbl_Finance[Invoice Count],MATCH($X160,tbl_Finance[Row ID],0))),""))</f>
        <v/>
      </c>
      <c r="L160" s="11">
        <f>IF($C160="","",IFERROR(N(INDEX(tbl_Finance[Xero Invoiced Ex GST],MATCH($X160,tbl_Finance[Row ID],0))),""))</f>
        <v/>
      </c>
      <c r="M160" s="10">
        <f>IF($C160="","",IFERROR(INDEX(tbl_Finance[Compare],MATCH($X160,tbl_Finance[Row ID],0))&amp;"",""))</f>
        <v/>
      </c>
      <c r="N160" s="11">
        <f>IF($C160="","",MAX(0,N(O160)-N(L160)))</f>
        <v/>
      </c>
      <c r="O160" s="39" t="n"/>
      <c r="P160" s="40">
        <f>IF($C160="","",IF((IF(F160="",", Client","")&amp;IF(G160="",", Description","")&amp;IF(H160="",", Cost Centre","")&amp;IF(I160="",", Invoice Type","")&amp;IF(J160="",", Tax Code","")&amp;IF(O160="",", Expected Revenue","")&amp;IF(COUNTIF(tbl_Finance[Job Number],$C160&amp;"")&gt;1,", Job number used twice",""))="","Complete","Fix: "&amp;MID(IF(F160="",", Client","")&amp;IF(G160="",", Description","")&amp;IF(H160="",", Cost Centre","")&amp;IF(I160="",", Invoice Type","")&amp;IF(J160="",", Tax Code","")&amp;IF(O160="",", Expected Revenue","")&amp;IF(COUNTIF(tbl_Finance[Job Number],$C160&amp;"")&gt;1,", Job number used twice",""),3,300)))</f>
        <v/>
      </c>
      <c r="Q160" s="10">
        <f>IF($C160="","",IF(H160="","(no cost centre)",H160&amp;" - GL "&amp;IFERROR(INDEX(lst_CCtoGL,MATCH(H160,lst_CCforGL,0)),"?")))</f>
        <v/>
      </c>
      <c r="R160" s="37" t="n"/>
      <c r="S160" s="37" t="n"/>
      <c r="T160" s="10">
        <f>IF(S160="","",HYPERLINK(IF(LEFT(S160,4)="http",S160,set_QwilrBase&amp;S160),"Open quote"))</f>
        <v/>
      </c>
      <c r="U160" s="41" t="n"/>
      <c r="V160" s="37" t="n"/>
      <c r="W160" s="37" t="n"/>
      <c r="X160" s="10" t="inlineStr">
        <is>
          <t>ONS-0156</t>
        </is>
      </c>
    </row>
    <row r="161">
      <c r="A161" s="16">
        <f>IF($C161="","",IFERROR(IF(INDEX(tbl_Finance[Latest Invoice Date],MATCH($X161,tbl_Finance[Row ID],0))="","",INDEX(tbl_Finance[Latest Invoice Date],MATCH($X161,tbl_Finance[Row ID],0))),""))</f>
        <v/>
      </c>
      <c r="B161" s="10">
        <f>IF($C161="","",IFERROR(INDEX(tbl_Finance[Invoice Numbers],MATCH($X161,tbl_Finance[Row ID],0))&amp;"",""))</f>
        <v/>
      </c>
      <c r="C161" s="37" t="n"/>
      <c r="D161" s="10">
        <f>IF($C161="","",IF(COUNTIF(lst_Jobs,$C161&amp;"")&gt;0,"OK","CHECK"))</f>
        <v/>
      </c>
      <c r="E161" s="10">
        <f>IF($C161="","",IFERROR(INDEX(lst_JobName,MATCH($C161&amp;"",lst_Jobs,0)),""))</f>
        <v/>
      </c>
      <c r="F161" s="37" t="n"/>
      <c r="G161" s="37" t="n"/>
      <c r="H161" s="37" t="n"/>
      <c r="I161" s="37" t="n"/>
      <c r="J161" s="37" t="n"/>
      <c r="K161" s="38">
        <f>IF($C161="","",IFERROR(N(INDEX(tbl_Finance[Invoice Count],MATCH($X161,tbl_Finance[Row ID],0))),""))</f>
        <v/>
      </c>
      <c r="L161" s="11">
        <f>IF($C161="","",IFERROR(N(INDEX(tbl_Finance[Xero Invoiced Ex GST],MATCH($X161,tbl_Finance[Row ID],0))),""))</f>
        <v/>
      </c>
      <c r="M161" s="10">
        <f>IF($C161="","",IFERROR(INDEX(tbl_Finance[Compare],MATCH($X161,tbl_Finance[Row ID],0))&amp;"",""))</f>
        <v/>
      </c>
      <c r="N161" s="11">
        <f>IF($C161="","",MAX(0,N(O161)-N(L161)))</f>
        <v/>
      </c>
      <c r="O161" s="39" t="n"/>
      <c r="P161" s="40">
        <f>IF($C161="","",IF((IF(F161="",", Client","")&amp;IF(G161="",", Description","")&amp;IF(H161="",", Cost Centre","")&amp;IF(I161="",", Invoice Type","")&amp;IF(J161="",", Tax Code","")&amp;IF(O161="",", Expected Revenue","")&amp;IF(COUNTIF(tbl_Finance[Job Number],$C161&amp;"")&gt;1,", Job number used twice",""))="","Complete","Fix: "&amp;MID(IF(F161="",", Client","")&amp;IF(G161="",", Description","")&amp;IF(H161="",", Cost Centre","")&amp;IF(I161="",", Invoice Type","")&amp;IF(J161="",", Tax Code","")&amp;IF(O161="",", Expected Revenue","")&amp;IF(COUNTIF(tbl_Finance[Job Number],$C161&amp;"")&gt;1,", Job number used twice",""),3,300)))</f>
        <v/>
      </c>
      <c r="Q161" s="10">
        <f>IF($C161="","",IF(H161="","(no cost centre)",H161&amp;" - GL "&amp;IFERROR(INDEX(lst_CCtoGL,MATCH(H161,lst_CCforGL,0)),"?")))</f>
        <v/>
      </c>
      <c r="R161" s="37" t="n"/>
      <c r="S161" s="37" t="n"/>
      <c r="T161" s="10">
        <f>IF(S161="","",HYPERLINK(IF(LEFT(S161,4)="http",S161,set_QwilrBase&amp;S161),"Open quote"))</f>
        <v/>
      </c>
      <c r="U161" s="41" t="n"/>
      <c r="V161" s="37" t="n"/>
      <c r="W161" s="37" t="n"/>
      <c r="X161" s="10" t="inlineStr">
        <is>
          <t>ONS-0157</t>
        </is>
      </c>
    </row>
    <row r="162">
      <c r="A162" s="16">
        <f>IF($C162="","",IFERROR(IF(INDEX(tbl_Finance[Latest Invoice Date],MATCH($X162,tbl_Finance[Row ID],0))="","",INDEX(tbl_Finance[Latest Invoice Date],MATCH($X162,tbl_Finance[Row ID],0))),""))</f>
        <v/>
      </c>
      <c r="B162" s="10">
        <f>IF($C162="","",IFERROR(INDEX(tbl_Finance[Invoice Numbers],MATCH($X162,tbl_Finance[Row ID],0))&amp;"",""))</f>
        <v/>
      </c>
      <c r="C162" s="37" t="n"/>
      <c r="D162" s="10">
        <f>IF($C162="","",IF(COUNTIF(lst_Jobs,$C162&amp;"")&gt;0,"OK","CHECK"))</f>
        <v/>
      </c>
      <c r="E162" s="10">
        <f>IF($C162="","",IFERROR(INDEX(lst_JobName,MATCH($C162&amp;"",lst_Jobs,0)),""))</f>
        <v/>
      </c>
      <c r="F162" s="37" t="n"/>
      <c r="G162" s="37" t="n"/>
      <c r="H162" s="37" t="n"/>
      <c r="I162" s="37" t="n"/>
      <c r="J162" s="37" t="n"/>
      <c r="K162" s="38">
        <f>IF($C162="","",IFERROR(N(INDEX(tbl_Finance[Invoice Count],MATCH($X162,tbl_Finance[Row ID],0))),""))</f>
        <v/>
      </c>
      <c r="L162" s="11">
        <f>IF($C162="","",IFERROR(N(INDEX(tbl_Finance[Xero Invoiced Ex GST],MATCH($X162,tbl_Finance[Row ID],0))),""))</f>
        <v/>
      </c>
      <c r="M162" s="10">
        <f>IF($C162="","",IFERROR(INDEX(tbl_Finance[Compare],MATCH($X162,tbl_Finance[Row ID],0))&amp;"",""))</f>
        <v/>
      </c>
      <c r="N162" s="11">
        <f>IF($C162="","",MAX(0,N(O162)-N(L162)))</f>
        <v/>
      </c>
      <c r="O162" s="39" t="n"/>
      <c r="P162" s="40">
        <f>IF($C162="","",IF((IF(F162="",", Client","")&amp;IF(G162="",", Description","")&amp;IF(H162="",", Cost Centre","")&amp;IF(I162="",", Invoice Type","")&amp;IF(J162="",", Tax Code","")&amp;IF(O162="",", Expected Revenue","")&amp;IF(COUNTIF(tbl_Finance[Job Number],$C162&amp;"")&gt;1,", Job number used twice",""))="","Complete","Fix: "&amp;MID(IF(F162="",", Client","")&amp;IF(G162="",", Description","")&amp;IF(H162="",", Cost Centre","")&amp;IF(I162="",", Invoice Type","")&amp;IF(J162="",", Tax Code","")&amp;IF(O162="",", Expected Revenue","")&amp;IF(COUNTIF(tbl_Finance[Job Number],$C162&amp;"")&gt;1,", Job number used twice",""),3,300)))</f>
        <v/>
      </c>
      <c r="Q162" s="10">
        <f>IF($C162="","",IF(H162="","(no cost centre)",H162&amp;" - GL "&amp;IFERROR(INDEX(lst_CCtoGL,MATCH(H162,lst_CCforGL,0)),"?")))</f>
        <v/>
      </c>
      <c r="R162" s="37" t="n"/>
      <c r="S162" s="37" t="n"/>
      <c r="T162" s="10">
        <f>IF(S162="","",HYPERLINK(IF(LEFT(S162,4)="http",S162,set_QwilrBase&amp;S162),"Open quote"))</f>
        <v/>
      </c>
      <c r="U162" s="41" t="n"/>
      <c r="V162" s="37" t="n"/>
      <c r="W162" s="37" t="n"/>
      <c r="X162" s="10" t="inlineStr">
        <is>
          <t>ONS-0158</t>
        </is>
      </c>
    </row>
    <row r="163">
      <c r="A163" s="16">
        <f>IF($C163="","",IFERROR(IF(INDEX(tbl_Finance[Latest Invoice Date],MATCH($X163,tbl_Finance[Row ID],0))="","",INDEX(tbl_Finance[Latest Invoice Date],MATCH($X163,tbl_Finance[Row ID],0))),""))</f>
        <v/>
      </c>
      <c r="B163" s="10">
        <f>IF($C163="","",IFERROR(INDEX(tbl_Finance[Invoice Numbers],MATCH($X163,tbl_Finance[Row ID],0))&amp;"",""))</f>
        <v/>
      </c>
      <c r="C163" s="37" t="n"/>
      <c r="D163" s="10">
        <f>IF($C163="","",IF(COUNTIF(lst_Jobs,$C163&amp;"")&gt;0,"OK","CHECK"))</f>
        <v/>
      </c>
      <c r="E163" s="10">
        <f>IF($C163="","",IFERROR(INDEX(lst_JobName,MATCH($C163&amp;"",lst_Jobs,0)),""))</f>
        <v/>
      </c>
      <c r="F163" s="37" t="n"/>
      <c r="G163" s="37" t="n"/>
      <c r="H163" s="37" t="n"/>
      <c r="I163" s="37" t="n"/>
      <c r="J163" s="37" t="n"/>
      <c r="K163" s="38">
        <f>IF($C163="","",IFERROR(N(INDEX(tbl_Finance[Invoice Count],MATCH($X163,tbl_Finance[Row ID],0))),""))</f>
        <v/>
      </c>
      <c r="L163" s="11">
        <f>IF($C163="","",IFERROR(N(INDEX(tbl_Finance[Xero Invoiced Ex GST],MATCH($X163,tbl_Finance[Row ID],0))),""))</f>
        <v/>
      </c>
      <c r="M163" s="10">
        <f>IF($C163="","",IFERROR(INDEX(tbl_Finance[Compare],MATCH($X163,tbl_Finance[Row ID],0))&amp;"",""))</f>
        <v/>
      </c>
      <c r="N163" s="11">
        <f>IF($C163="","",MAX(0,N(O163)-N(L163)))</f>
        <v/>
      </c>
      <c r="O163" s="39" t="n"/>
      <c r="P163" s="40">
        <f>IF($C163="","",IF((IF(F163="",", Client","")&amp;IF(G163="",", Description","")&amp;IF(H163="",", Cost Centre","")&amp;IF(I163="",", Invoice Type","")&amp;IF(J163="",", Tax Code","")&amp;IF(O163="",", Expected Revenue","")&amp;IF(COUNTIF(tbl_Finance[Job Number],$C163&amp;"")&gt;1,", Job number used twice",""))="","Complete","Fix: "&amp;MID(IF(F163="",", Client","")&amp;IF(G163="",", Description","")&amp;IF(H163="",", Cost Centre","")&amp;IF(I163="",", Invoice Type","")&amp;IF(J163="",", Tax Code","")&amp;IF(O163="",", Expected Revenue","")&amp;IF(COUNTIF(tbl_Finance[Job Number],$C163&amp;"")&gt;1,", Job number used twice",""),3,300)))</f>
        <v/>
      </c>
      <c r="Q163" s="10">
        <f>IF($C163="","",IF(H163="","(no cost centre)",H163&amp;" - GL "&amp;IFERROR(INDEX(lst_CCtoGL,MATCH(H163,lst_CCforGL,0)),"?")))</f>
        <v/>
      </c>
      <c r="R163" s="37" t="n"/>
      <c r="S163" s="37" t="n"/>
      <c r="T163" s="10">
        <f>IF(S163="","",HYPERLINK(IF(LEFT(S163,4)="http",S163,set_QwilrBase&amp;S163),"Open quote"))</f>
        <v/>
      </c>
      <c r="U163" s="41" t="n"/>
      <c r="V163" s="37" t="n"/>
      <c r="W163" s="37" t="n"/>
      <c r="X163" s="10" t="inlineStr">
        <is>
          <t>ONS-0159</t>
        </is>
      </c>
    </row>
    <row r="164">
      <c r="A164" s="16">
        <f>IF($C164="","",IFERROR(IF(INDEX(tbl_Finance[Latest Invoice Date],MATCH($X164,tbl_Finance[Row ID],0))="","",INDEX(tbl_Finance[Latest Invoice Date],MATCH($X164,tbl_Finance[Row ID],0))),""))</f>
        <v/>
      </c>
      <c r="B164" s="10">
        <f>IF($C164="","",IFERROR(INDEX(tbl_Finance[Invoice Numbers],MATCH($X164,tbl_Finance[Row ID],0))&amp;"",""))</f>
        <v/>
      </c>
      <c r="C164" s="37" t="n"/>
      <c r="D164" s="10">
        <f>IF($C164="","",IF(COUNTIF(lst_Jobs,$C164&amp;"")&gt;0,"OK","CHECK"))</f>
        <v/>
      </c>
      <c r="E164" s="10">
        <f>IF($C164="","",IFERROR(INDEX(lst_JobName,MATCH($C164&amp;"",lst_Jobs,0)),""))</f>
        <v/>
      </c>
      <c r="F164" s="37" t="n"/>
      <c r="G164" s="37" t="n"/>
      <c r="H164" s="37" t="n"/>
      <c r="I164" s="37" t="n"/>
      <c r="J164" s="37" t="n"/>
      <c r="K164" s="38">
        <f>IF($C164="","",IFERROR(N(INDEX(tbl_Finance[Invoice Count],MATCH($X164,tbl_Finance[Row ID],0))),""))</f>
        <v/>
      </c>
      <c r="L164" s="11">
        <f>IF($C164="","",IFERROR(N(INDEX(tbl_Finance[Xero Invoiced Ex GST],MATCH($X164,tbl_Finance[Row ID],0))),""))</f>
        <v/>
      </c>
      <c r="M164" s="10">
        <f>IF($C164="","",IFERROR(INDEX(tbl_Finance[Compare],MATCH($X164,tbl_Finance[Row ID],0))&amp;"",""))</f>
        <v/>
      </c>
      <c r="N164" s="11">
        <f>IF($C164="","",MAX(0,N(O164)-N(L164)))</f>
        <v/>
      </c>
      <c r="O164" s="39" t="n"/>
      <c r="P164" s="40">
        <f>IF($C164="","",IF((IF(F164="",", Client","")&amp;IF(G164="",", Description","")&amp;IF(H164="",", Cost Centre","")&amp;IF(I164="",", Invoice Type","")&amp;IF(J164="",", Tax Code","")&amp;IF(O164="",", Expected Revenue","")&amp;IF(COUNTIF(tbl_Finance[Job Number],$C164&amp;"")&gt;1,", Job number used twice",""))="","Complete","Fix: "&amp;MID(IF(F164="",", Client","")&amp;IF(G164="",", Description","")&amp;IF(H164="",", Cost Centre","")&amp;IF(I164="",", Invoice Type","")&amp;IF(J164="",", Tax Code","")&amp;IF(O164="",", Expected Revenue","")&amp;IF(COUNTIF(tbl_Finance[Job Number],$C164&amp;"")&gt;1,", Job number used twice",""),3,300)))</f>
        <v/>
      </c>
      <c r="Q164" s="10">
        <f>IF($C164="","",IF(H164="","(no cost centre)",H164&amp;" - GL "&amp;IFERROR(INDEX(lst_CCtoGL,MATCH(H164,lst_CCforGL,0)),"?")))</f>
        <v/>
      </c>
      <c r="R164" s="37" t="n"/>
      <c r="S164" s="37" t="n"/>
      <c r="T164" s="10">
        <f>IF(S164="","",HYPERLINK(IF(LEFT(S164,4)="http",S164,set_QwilrBase&amp;S164),"Open quote"))</f>
        <v/>
      </c>
      <c r="U164" s="41" t="n"/>
      <c r="V164" s="37" t="n"/>
      <c r="W164" s="37" t="n"/>
      <c r="X164" s="10" t="inlineStr">
        <is>
          <t>ONS-0160</t>
        </is>
      </c>
    </row>
    <row r="165">
      <c r="A165" s="16">
        <f>IF($C165="","",IFERROR(IF(INDEX(tbl_Finance[Latest Invoice Date],MATCH($X165,tbl_Finance[Row ID],0))="","",INDEX(tbl_Finance[Latest Invoice Date],MATCH($X165,tbl_Finance[Row ID],0))),""))</f>
        <v/>
      </c>
      <c r="B165" s="10">
        <f>IF($C165="","",IFERROR(INDEX(tbl_Finance[Invoice Numbers],MATCH($X165,tbl_Finance[Row ID],0))&amp;"",""))</f>
        <v/>
      </c>
      <c r="C165" s="37" t="n"/>
      <c r="D165" s="10">
        <f>IF($C165="","",IF(COUNTIF(lst_Jobs,$C165&amp;"")&gt;0,"OK","CHECK"))</f>
        <v/>
      </c>
      <c r="E165" s="10">
        <f>IF($C165="","",IFERROR(INDEX(lst_JobName,MATCH($C165&amp;"",lst_Jobs,0)),""))</f>
        <v/>
      </c>
      <c r="F165" s="37" t="n"/>
      <c r="G165" s="37" t="n"/>
      <c r="H165" s="37" t="n"/>
      <c r="I165" s="37" t="n"/>
      <c r="J165" s="37" t="n"/>
      <c r="K165" s="38">
        <f>IF($C165="","",IFERROR(N(INDEX(tbl_Finance[Invoice Count],MATCH($X165,tbl_Finance[Row ID],0))),""))</f>
        <v/>
      </c>
      <c r="L165" s="11">
        <f>IF($C165="","",IFERROR(N(INDEX(tbl_Finance[Xero Invoiced Ex GST],MATCH($X165,tbl_Finance[Row ID],0))),""))</f>
        <v/>
      </c>
      <c r="M165" s="10">
        <f>IF($C165="","",IFERROR(INDEX(tbl_Finance[Compare],MATCH($X165,tbl_Finance[Row ID],0))&amp;"",""))</f>
        <v/>
      </c>
      <c r="N165" s="11">
        <f>IF($C165="","",MAX(0,N(O165)-N(L165)))</f>
        <v/>
      </c>
      <c r="O165" s="39" t="n"/>
      <c r="P165" s="40">
        <f>IF($C165="","",IF((IF(F165="",", Client","")&amp;IF(G165="",", Description","")&amp;IF(H165="",", Cost Centre","")&amp;IF(I165="",", Invoice Type","")&amp;IF(J165="",", Tax Code","")&amp;IF(O165="",", Expected Revenue","")&amp;IF(COUNTIF(tbl_Finance[Job Number],$C165&amp;"")&gt;1,", Job number used twice",""))="","Complete","Fix: "&amp;MID(IF(F165="",", Client","")&amp;IF(G165="",", Description","")&amp;IF(H165="",", Cost Centre","")&amp;IF(I165="",", Invoice Type","")&amp;IF(J165="",", Tax Code","")&amp;IF(O165="",", Expected Revenue","")&amp;IF(COUNTIF(tbl_Finance[Job Number],$C165&amp;"")&gt;1,", Job number used twice",""),3,300)))</f>
        <v/>
      </c>
      <c r="Q165" s="10">
        <f>IF($C165="","",IF(H165="","(no cost centre)",H165&amp;" - GL "&amp;IFERROR(INDEX(lst_CCtoGL,MATCH(H165,lst_CCforGL,0)),"?")))</f>
        <v/>
      </c>
      <c r="R165" s="37" t="n"/>
      <c r="S165" s="37" t="n"/>
      <c r="T165" s="10">
        <f>IF(S165="","",HYPERLINK(IF(LEFT(S165,4)="http",S165,set_QwilrBase&amp;S165),"Open quote"))</f>
        <v/>
      </c>
      <c r="U165" s="41" t="n"/>
      <c r="V165" s="37" t="n"/>
      <c r="W165" s="37" t="n"/>
      <c r="X165" s="10" t="inlineStr">
        <is>
          <t>ONS-0161</t>
        </is>
      </c>
    </row>
    <row r="166">
      <c r="A166" s="16">
        <f>IF($C166="","",IFERROR(IF(INDEX(tbl_Finance[Latest Invoice Date],MATCH($X166,tbl_Finance[Row ID],0))="","",INDEX(tbl_Finance[Latest Invoice Date],MATCH($X166,tbl_Finance[Row ID],0))),""))</f>
        <v/>
      </c>
      <c r="B166" s="10">
        <f>IF($C166="","",IFERROR(INDEX(tbl_Finance[Invoice Numbers],MATCH($X166,tbl_Finance[Row ID],0))&amp;"",""))</f>
        <v/>
      </c>
      <c r="C166" s="37" t="n"/>
      <c r="D166" s="10">
        <f>IF($C166="","",IF(COUNTIF(lst_Jobs,$C166&amp;"")&gt;0,"OK","CHECK"))</f>
        <v/>
      </c>
      <c r="E166" s="10">
        <f>IF($C166="","",IFERROR(INDEX(lst_JobName,MATCH($C166&amp;"",lst_Jobs,0)),""))</f>
        <v/>
      </c>
      <c r="F166" s="37" t="n"/>
      <c r="G166" s="37" t="n"/>
      <c r="H166" s="37" t="n"/>
      <c r="I166" s="37" t="n"/>
      <c r="J166" s="37" t="n"/>
      <c r="K166" s="38">
        <f>IF($C166="","",IFERROR(N(INDEX(tbl_Finance[Invoice Count],MATCH($X166,tbl_Finance[Row ID],0))),""))</f>
        <v/>
      </c>
      <c r="L166" s="11">
        <f>IF($C166="","",IFERROR(N(INDEX(tbl_Finance[Xero Invoiced Ex GST],MATCH($X166,tbl_Finance[Row ID],0))),""))</f>
        <v/>
      </c>
      <c r="M166" s="10">
        <f>IF($C166="","",IFERROR(INDEX(tbl_Finance[Compare],MATCH($X166,tbl_Finance[Row ID],0))&amp;"",""))</f>
        <v/>
      </c>
      <c r="N166" s="11">
        <f>IF($C166="","",MAX(0,N(O166)-N(L166)))</f>
        <v/>
      </c>
      <c r="O166" s="39" t="n"/>
      <c r="P166" s="40">
        <f>IF($C166="","",IF((IF(F166="",", Client","")&amp;IF(G166="",", Description","")&amp;IF(H166="",", Cost Centre","")&amp;IF(I166="",", Invoice Type","")&amp;IF(J166="",", Tax Code","")&amp;IF(O166="",", Expected Revenue","")&amp;IF(COUNTIF(tbl_Finance[Job Number],$C166&amp;"")&gt;1,", Job number used twice",""))="","Complete","Fix: "&amp;MID(IF(F166="",", Client","")&amp;IF(G166="",", Description","")&amp;IF(H166="",", Cost Centre","")&amp;IF(I166="",", Invoice Type","")&amp;IF(J166="",", Tax Code","")&amp;IF(O166="",", Expected Revenue","")&amp;IF(COUNTIF(tbl_Finance[Job Number],$C166&amp;"")&gt;1,", Job number used twice",""),3,300)))</f>
        <v/>
      </c>
      <c r="Q166" s="10">
        <f>IF($C166="","",IF(H166="","(no cost centre)",H166&amp;" - GL "&amp;IFERROR(INDEX(lst_CCtoGL,MATCH(H166,lst_CCforGL,0)),"?")))</f>
        <v/>
      </c>
      <c r="R166" s="37" t="n"/>
      <c r="S166" s="37" t="n"/>
      <c r="T166" s="10">
        <f>IF(S166="","",HYPERLINK(IF(LEFT(S166,4)="http",S166,set_QwilrBase&amp;S166),"Open quote"))</f>
        <v/>
      </c>
      <c r="U166" s="41" t="n"/>
      <c r="V166" s="37" t="n"/>
      <c r="W166" s="37" t="n"/>
      <c r="X166" s="10" t="inlineStr">
        <is>
          <t>ONS-0162</t>
        </is>
      </c>
    </row>
    <row r="167">
      <c r="A167" s="16">
        <f>IF($C167="","",IFERROR(IF(INDEX(tbl_Finance[Latest Invoice Date],MATCH($X167,tbl_Finance[Row ID],0))="","",INDEX(tbl_Finance[Latest Invoice Date],MATCH($X167,tbl_Finance[Row ID],0))),""))</f>
        <v/>
      </c>
      <c r="B167" s="10">
        <f>IF($C167="","",IFERROR(INDEX(tbl_Finance[Invoice Numbers],MATCH($X167,tbl_Finance[Row ID],0))&amp;"",""))</f>
        <v/>
      </c>
      <c r="C167" s="37" t="n"/>
      <c r="D167" s="10">
        <f>IF($C167="","",IF(COUNTIF(lst_Jobs,$C167&amp;"")&gt;0,"OK","CHECK"))</f>
        <v/>
      </c>
      <c r="E167" s="10">
        <f>IF($C167="","",IFERROR(INDEX(lst_JobName,MATCH($C167&amp;"",lst_Jobs,0)),""))</f>
        <v/>
      </c>
      <c r="F167" s="37" t="n"/>
      <c r="G167" s="37" t="n"/>
      <c r="H167" s="37" t="n"/>
      <c r="I167" s="37" t="n"/>
      <c r="J167" s="37" t="n"/>
      <c r="K167" s="38">
        <f>IF($C167="","",IFERROR(N(INDEX(tbl_Finance[Invoice Count],MATCH($X167,tbl_Finance[Row ID],0))),""))</f>
        <v/>
      </c>
      <c r="L167" s="11">
        <f>IF($C167="","",IFERROR(N(INDEX(tbl_Finance[Xero Invoiced Ex GST],MATCH($X167,tbl_Finance[Row ID],0))),""))</f>
        <v/>
      </c>
      <c r="M167" s="10">
        <f>IF($C167="","",IFERROR(INDEX(tbl_Finance[Compare],MATCH($X167,tbl_Finance[Row ID],0))&amp;"",""))</f>
        <v/>
      </c>
      <c r="N167" s="11">
        <f>IF($C167="","",MAX(0,N(O167)-N(L167)))</f>
        <v/>
      </c>
      <c r="O167" s="39" t="n"/>
      <c r="P167" s="40">
        <f>IF($C167="","",IF((IF(F167="",", Client","")&amp;IF(G167="",", Description","")&amp;IF(H167="",", Cost Centre","")&amp;IF(I167="",", Invoice Type","")&amp;IF(J167="",", Tax Code","")&amp;IF(O167="",", Expected Revenue","")&amp;IF(COUNTIF(tbl_Finance[Job Number],$C167&amp;"")&gt;1,", Job number used twice",""))="","Complete","Fix: "&amp;MID(IF(F167="",", Client","")&amp;IF(G167="",", Description","")&amp;IF(H167="",", Cost Centre","")&amp;IF(I167="",", Invoice Type","")&amp;IF(J167="",", Tax Code","")&amp;IF(O167="",", Expected Revenue","")&amp;IF(COUNTIF(tbl_Finance[Job Number],$C167&amp;"")&gt;1,", Job number used twice",""),3,300)))</f>
        <v/>
      </c>
      <c r="Q167" s="10">
        <f>IF($C167="","",IF(H167="","(no cost centre)",H167&amp;" - GL "&amp;IFERROR(INDEX(lst_CCtoGL,MATCH(H167,lst_CCforGL,0)),"?")))</f>
        <v/>
      </c>
      <c r="R167" s="37" t="n"/>
      <c r="S167" s="37" t="n"/>
      <c r="T167" s="10">
        <f>IF(S167="","",HYPERLINK(IF(LEFT(S167,4)="http",S167,set_QwilrBase&amp;S167),"Open quote"))</f>
        <v/>
      </c>
      <c r="U167" s="41" t="n"/>
      <c r="V167" s="37" t="n"/>
      <c r="W167" s="37" t="n"/>
      <c r="X167" s="10" t="inlineStr">
        <is>
          <t>ONS-0163</t>
        </is>
      </c>
    </row>
    <row r="168">
      <c r="A168" s="16">
        <f>IF($C168="","",IFERROR(IF(INDEX(tbl_Finance[Latest Invoice Date],MATCH($X168,tbl_Finance[Row ID],0))="","",INDEX(tbl_Finance[Latest Invoice Date],MATCH($X168,tbl_Finance[Row ID],0))),""))</f>
        <v/>
      </c>
      <c r="B168" s="10">
        <f>IF($C168="","",IFERROR(INDEX(tbl_Finance[Invoice Numbers],MATCH($X168,tbl_Finance[Row ID],0))&amp;"",""))</f>
        <v/>
      </c>
      <c r="C168" s="37" t="n"/>
      <c r="D168" s="10">
        <f>IF($C168="","",IF(COUNTIF(lst_Jobs,$C168&amp;"")&gt;0,"OK","CHECK"))</f>
        <v/>
      </c>
      <c r="E168" s="10">
        <f>IF($C168="","",IFERROR(INDEX(lst_JobName,MATCH($C168&amp;"",lst_Jobs,0)),""))</f>
        <v/>
      </c>
      <c r="F168" s="37" t="n"/>
      <c r="G168" s="37" t="n"/>
      <c r="H168" s="37" t="n"/>
      <c r="I168" s="37" t="n"/>
      <c r="J168" s="37" t="n"/>
      <c r="K168" s="38">
        <f>IF($C168="","",IFERROR(N(INDEX(tbl_Finance[Invoice Count],MATCH($X168,tbl_Finance[Row ID],0))),""))</f>
        <v/>
      </c>
      <c r="L168" s="11">
        <f>IF($C168="","",IFERROR(N(INDEX(tbl_Finance[Xero Invoiced Ex GST],MATCH($X168,tbl_Finance[Row ID],0))),""))</f>
        <v/>
      </c>
      <c r="M168" s="10">
        <f>IF($C168="","",IFERROR(INDEX(tbl_Finance[Compare],MATCH($X168,tbl_Finance[Row ID],0))&amp;"",""))</f>
        <v/>
      </c>
      <c r="N168" s="11">
        <f>IF($C168="","",MAX(0,N(O168)-N(L168)))</f>
        <v/>
      </c>
      <c r="O168" s="39" t="n"/>
      <c r="P168" s="40">
        <f>IF($C168="","",IF((IF(F168="",", Client","")&amp;IF(G168="",", Description","")&amp;IF(H168="",", Cost Centre","")&amp;IF(I168="",", Invoice Type","")&amp;IF(J168="",", Tax Code","")&amp;IF(O168="",", Expected Revenue","")&amp;IF(COUNTIF(tbl_Finance[Job Number],$C168&amp;"")&gt;1,", Job number used twice",""))="","Complete","Fix: "&amp;MID(IF(F168="",", Client","")&amp;IF(G168="",", Description","")&amp;IF(H168="",", Cost Centre","")&amp;IF(I168="",", Invoice Type","")&amp;IF(J168="",", Tax Code","")&amp;IF(O168="",", Expected Revenue","")&amp;IF(COUNTIF(tbl_Finance[Job Number],$C168&amp;"")&gt;1,", Job number used twice",""),3,300)))</f>
        <v/>
      </c>
      <c r="Q168" s="10">
        <f>IF($C168="","",IF(H168="","(no cost centre)",H168&amp;" - GL "&amp;IFERROR(INDEX(lst_CCtoGL,MATCH(H168,lst_CCforGL,0)),"?")))</f>
        <v/>
      </c>
      <c r="R168" s="37" t="n"/>
      <c r="S168" s="37" t="n"/>
      <c r="T168" s="10">
        <f>IF(S168="","",HYPERLINK(IF(LEFT(S168,4)="http",S168,set_QwilrBase&amp;S168),"Open quote"))</f>
        <v/>
      </c>
      <c r="U168" s="41" t="n"/>
      <c r="V168" s="37" t="n"/>
      <c r="W168" s="37" t="n"/>
      <c r="X168" s="10" t="inlineStr">
        <is>
          <t>ONS-0164</t>
        </is>
      </c>
    </row>
    <row r="169">
      <c r="A169" s="16">
        <f>IF($C169="","",IFERROR(IF(INDEX(tbl_Finance[Latest Invoice Date],MATCH($X169,tbl_Finance[Row ID],0))="","",INDEX(tbl_Finance[Latest Invoice Date],MATCH($X169,tbl_Finance[Row ID],0))),""))</f>
        <v/>
      </c>
      <c r="B169" s="10">
        <f>IF($C169="","",IFERROR(INDEX(tbl_Finance[Invoice Numbers],MATCH($X169,tbl_Finance[Row ID],0))&amp;"",""))</f>
        <v/>
      </c>
      <c r="C169" s="37" t="n"/>
      <c r="D169" s="10">
        <f>IF($C169="","",IF(COUNTIF(lst_Jobs,$C169&amp;"")&gt;0,"OK","CHECK"))</f>
        <v/>
      </c>
      <c r="E169" s="10">
        <f>IF($C169="","",IFERROR(INDEX(lst_JobName,MATCH($C169&amp;"",lst_Jobs,0)),""))</f>
        <v/>
      </c>
      <c r="F169" s="37" t="n"/>
      <c r="G169" s="37" t="n"/>
      <c r="H169" s="37" t="n"/>
      <c r="I169" s="37" t="n"/>
      <c r="J169" s="37" t="n"/>
      <c r="K169" s="38">
        <f>IF($C169="","",IFERROR(N(INDEX(tbl_Finance[Invoice Count],MATCH($X169,tbl_Finance[Row ID],0))),""))</f>
        <v/>
      </c>
      <c r="L169" s="11">
        <f>IF($C169="","",IFERROR(N(INDEX(tbl_Finance[Xero Invoiced Ex GST],MATCH($X169,tbl_Finance[Row ID],0))),""))</f>
        <v/>
      </c>
      <c r="M169" s="10">
        <f>IF($C169="","",IFERROR(INDEX(tbl_Finance[Compare],MATCH($X169,tbl_Finance[Row ID],0))&amp;"",""))</f>
        <v/>
      </c>
      <c r="N169" s="11">
        <f>IF($C169="","",MAX(0,N(O169)-N(L169)))</f>
        <v/>
      </c>
      <c r="O169" s="39" t="n"/>
      <c r="P169" s="40">
        <f>IF($C169="","",IF((IF(F169="",", Client","")&amp;IF(G169="",", Description","")&amp;IF(H169="",", Cost Centre","")&amp;IF(I169="",", Invoice Type","")&amp;IF(J169="",", Tax Code","")&amp;IF(O169="",", Expected Revenue","")&amp;IF(COUNTIF(tbl_Finance[Job Number],$C169&amp;"")&gt;1,", Job number used twice",""))="","Complete","Fix: "&amp;MID(IF(F169="",", Client","")&amp;IF(G169="",", Description","")&amp;IF(H169="",", Cost Centre","")&amp;IF(I169="",", Invoice Type","")&amp;IF(J169="",", Tax Code","")&amp;IF(O169="",", Expected Revenue","")&amp;IF(COUNTIF(tbl_Finance[Job Number],$C169&amp;"")&gt;1,", Job number used twice",""),3,300)))</f>
        <v/>
      </c>
      <c r="Q169" s="10">
        <f>IF($C169="","",IF(H169="","(no cost centre)",H169&amp;" - GL "&amp;IFERROR(INDEX(lst_CCtoGL,MATCH(H169,lst_CCforGL,0)),"?")))</f>
        <v/>
      </c>
      <c r="R169" s="37" t="n"/>
      <c r="S169" s="37" t="n"/>
      <c r="T169" s="10">
        <f>IF(S169="","",HYPERLINK(IF(LEFT(S169,4)="http",S169,set_QwilrBase&amp;S169),"Open quote"))</f>
        <v/>
      </c>
      <c r="U169" s="41" t="n"/>
      <c r="V169" s="37" t="n"/>
      <c r="W169" s="37" t="n"/>
      <c r="X169" s="10" t="inlineStr">
        <is>
          <t>ONS-0165</t>
        </is>
      </c>
    </row>
    <row r="170">
      <c r="A170" s="16">
        <f>IF($C170="","",IFERROR(IF(INDEX(tbl_Finance[Latest Invoice Date],MATCH($X170,tbl_Finance[Row ID],0))="","",INDEX(tbl_Finance[Latest Invoice Date],MATCH($X170,tbl_Finance[Row ID],0))),""))</f>
        <v/>
      </c>
      <c r="B170" s="10">
        <f>IF($C170="","",IFERROR(INDEX(tbl_Finance[Invoice Numbers],MATCH($X170,tbl_Finance[Row ID],0))&amp;"",""))</f>
        <v/>
      </c>
      <c r="C170" s="37" t="n"/>
      <c r="D170" s="10">
        <f>IF($C170="","",IF(COUNTIF(lst_Jobs,$C170&amp;"")&gt;0,"OK","CHECK"))</f>
        <v/>
      </c>
      <c r="E170" s="10">
        <f>IF($C170="","",IFERROR(INDEX(lst_JobName,MATCH($C170&amp;"",lst_Jobs,0)),""))</f>
        <v/>
      </c>
      <c r="F170" s="37" t="n"/>
      <c r="G170" s="37" t="n"/>
      <c r="H170" s="37" t="n"/>
      <c r="I170" s="37" t="n"/>
      <c r="J170" s="37" t="n"/>
      <c r="K170" s="38">
        <f>IF($C170="","",IFERROR(N(INDEX(tbl_Finance[Invoice Count],MATCH($X170,tbl_Finance[Row ID],0))),""))</f>
        <v/>
      </c>
      <c r="L170" s="11">
        <f>IF($C170="","",IFERROR(N(INDEX(tbl_Finance[Xero Invoiced Ex GST],MATCH($X170,tbl_Finance[Row ID],0))),""))</f>
        <v/>
      </c>
      <c r="M170" s="10">
        <f>IF($C170="","",IFERROR(INDEX(tbl_Finance[Compare],MATCH($X170,tbl_Finance[Row ID],0))&amp;"",""))</f>
        <v/>
      </c>
      <c r="N170" s="11">
        <f>IF($C170="","",MAX(0,N(O170)-N(L170)))</f>
        <v/>
      </c>
      <c r="O170" s="39" t="n"/>
      <c r="P170" s="40">
        <f>IF($C170="","",IF((IF(F170="",", Client","")&amp;IF(G170="",", Description","")&amp;IF(H170="",", Cost Centre","")&amp;IF(I170="",", Invoice Type","")&amp;IF(J170="",", Tax Code","")&amp;IF(O170="",", Expected Revenue","")&amp;IF(COUNTIF(tbl_Finance[Job Number],$C170&amp;"")&gt;1,", Job number used twice",""))="","Complete","Fix: "&amp;MID(IF(F170="",", Client","")&amp;IF(G170="",", Description","")&amp;IF(H170="",", Cost Centre","")&amp;IF(I170="",", Invoice Type","")&amp;IF(J170="",", Tax Code","")&amp;IF(O170="",", Expected Revenue","")&amp;IF(COUNTIF(tbl_Finance[Job Number],$C170&amp;"")&gt;1,", Job number used twice",""),3,300)))</f>
        <v/>
      </c>
      <c r="Q170" s="10">
        <f>IF($C170="","",IF(H170="","(no cost centre)",H170&amp;" - GL "&amp;IFERROR(INDEX(lst_CCtoGL,MATCH(H170,lst_CCforGL,0)),"?")))</f>
        <v/>
      </c>
      <c r="R170" s="37" t="n"/>
      <c r="S170" s="37" t="n"/>
      <c r="T170" s="10">
        <f>IF(S170="","",HYPERLINK(IF(LEFT(S170,4)="http",S170,set_QwilrBase&amp;S170),"Open quote"))</f>
        <v/>
      </c>
      <c r="U170" s="41" t="n"/>
      <c r="V170" s="37" t="n"/>
      <c r="W170" s="37" t="n"/>
      <c r="X170" s="10" t="inlineStr">
        <is>
          <t>ONS-0166</t>
        </is>
      </c>
    </row>
    <row r="171">
      <c r="A171" s="16">
        <f>IF($C171="","",IFERROR(IF(INDEX(tbl_Finance[Latest Invoice Date],MATCH($X171,tbl_Finance[Row ID],0))="","",INDEX(tbl_Finance[Latest Invoice Date],MATCH($X171,tbl_Finance[Row ID],0))),""))</f>
        <v/>
      </c>
      <c r="B171" s="10">
        <f>IF($C171="","",IFERROR(INDEX(tbl_Finance[Invoice Numbers],MATCH($X171,tbl_Finance[Row ID],0))&amp;"",""))</f>
        <v/>
      </c>
      <c r="C171" s="37" t="n"/>
      <c r="D171" s="10">
        <f>IF($C171="","",IF(COUNTIF(lst_Jobs,$C171&amp;"")&gt;0,"OK","CHECK"))</f>
        <v/>
      </c>
      <c r="E171" s="10">
        <f>IF($C171="","",IFERROR(INDEX(lst_JobName,MATCH($C171&amp;"",lst_Jobs,0)),""))</f>
        <v/>
      </c>
      <c r="F171" s="37" t="n"/>
      <c r="G171" s="37" t="n"/>
      <c r="H171" s="37" t="n"/>
      <c r="I171" s="37" t="n"/>
      <c r="J171" s="37" t="n"/>
      <c r="K171" s="38">
        <f>IF($C171="","",IFERROR(N(INDEX(tbl_Finance[Invoice Count],MATCH($X171,tbl_Finance[Row ID],0))),""))</f>
        <v/>
      </c>
      <c r="L171" s="11">
        <f>IF($C171="","",IFERROR(N(INDEX(tbl_Finance[Xero Invoiced Ex GST],MATCH($X171,tbl_Finance[Row ID],0))),""))</f>
        <v/>
      </c>
      <c r="M171" s="10">
        <f>IF($C171="","",IFERROR(INDEX(tbl_Finance[Compare],MATCH($X171,tbl_Finance[Row ID],0))&amp;"",""))</f>
        <v/>
      </c>
      <c r="N171" s="11">
        <f>IF($C171="","",MAX(0,N(O171)-N(L171)))</f>
        <v/>
      </c>
      <c r="O171" s="39" t="n"/>
      <c r="P171" s="40">
        <f>IF($C171="","",IF((IF(F171="",", Client","")&amp;IF(G171="",", Description","")&amp;IF(H171="",", Cost Centre","")&amp;IF(I171="",", Invoice Type","")&amp;IF(J171="",", Tax Code","")&amp;IF(O171="",", Expected Revenue","")&amp;IF(COUNTIF(tbl_Finance[Job Number],$C171&amp;"")&gt;1,", Job number used twice",""))="","Complete","Fix: "&amp;MID(IF(F171="",", Client","")&amp;IF(G171="",", Description","")&amp;IF(H171="",", Cost Centre","")&amp;IF(I171="",", Invoice Type","")&amp;IF(J171="",", Tax Code","")&amp;IF(O171="",", Expected Revenue","")&amp;IF(COUNTIF(tbl_Finance[Job Number],$C171&amp;"")&gt;1,", Job number used twice",""),3,300)))</f>
        <v/>
      </c>
      <c r="Q171" s="10">
        <f>IF($C171="","",IF(H171="","(no cost centre)",H171&amp;" - GL "&amp;IFERROR(INDEX(lst_CCtoGL,MATCH(H171,lst_CCforGL,0)),"?")))</f>
        <v/>
      </c>
      <c r="R171" s="37" t="n"/>
      <c r="S171" s="37" t="n"/>
      <c r="T171" s="10">
        <f>IF(S171="","",HYPERLINK(IF(LEFT(S171,4)="http",S171,set_QwilrBase&amp;S171),"Open quote"))</f>
        <v/>
      </c>
      <c r="U171" s="41" t="n"/>
      <c r="V171" s="37" t="n"/>
      <c r="W171" s="37" t="n"/>
      <c r="X171" s="10" t="inlineStr">
        <is>
          <t>ONS-0167</t>
        </is>
      </c>
    </row>
    <row r="172">
      <c r="A172" s="16">
        <f>IF($C172="","",IFERROR(IF(INDEX(tbl_Finance[Latest Invoice Date],MATCH($X172,tbl_Finance[Row ID],0))="","",INDEX(tbl_Finance[Latest Invoice Date],MATCH($X172,tbl_Finance[Row ID],0))),""))</f>
        <v/>
      </c>
      <c r="B172" s="10">
        <f>IF($C172="","",IFERROR(INDEX(tbl_Finance[Invoice Numbers],MATCH($X172,tbl_Finance[Row ID],0))&amp;"",""))</f>
        <v/>
      </c>
      <c r="C172" s="37" t="n"/>
      <c r="D172" s="10">
        <f>IF($C172="","",IF(COUNTIF(lst_Jobs,$C172&amp;"")&gt;0,"OK","CHECK"))</f>
        <v/>
      </c>
      <c r="E172" s="10">
        <f>IF($C172="","",IFERROR(INDEX(lst_JobName,MATCH($C172&amp;"",lst_Jobs,0)),""))</f>
        <v/>
      </c>
      <c r="F172" s="37" t="n"/>
      <c r="G172" s="37" t="n"/>
      <c r="H172" s="37" t="n"/>
      <c r="I172" s="37" t="n"/>
      <c r="J172" s="37" t="n"/>
      <c r="K172" s="38">
        <f>IF($C172="","",IFERROR(N(INDEX(tbl_Finance[Invoice Count],MATCH($X172,tbl_Finance[Row ID],0))),""))</f>
        <v/>
      </c>
      <c r="L172" s="11">
        <f>IF($C172="","",IFERROR(N(INDEX(tbl_Finance[Xero Invoiced Ex GST],MATCH($X172,tbl_Finance[Row ID],0))),""))</f>
        <v/>
      </c>
      <c r="M172" s="10">
        <f>IF($C172="","",IFERROR(INDEX(tbl_Finance[Compare],MATCH($X172,tbl_Finance[Row ID],0))&amp;"",""))</f>
        <v/>
      </c>
      <c r="N172" s="11">
        <f>IF($C172="","",MAX(0,N(O172)-N(L172)))</f>
        <v/>
      </c>
      <c r="O172" s="39" t="n"/>
      <c r="P172" s="40">
        <f>IF($C172="","",IF((IF(F172="",", Client","")&amp;IF(G172="",", Description","")&amp;IF(H172="",", Cost Centre","")&amp;IF(I172="",", Invoice Type","")&amp;IF(J172="",", Tax Code","")&amp;IF(O172="",", Expected Revenue","")&amp;IF(COUNTIF(tbl_Finance[Job Number],$C172&amp;"")&gt;1,", Job number used twice",""))="","Complete","Fix: "&amp;MID(IF(F172="",", Client","")&amp;IF(G172="",", Description","")&amp;IF(H172="",", Cost Centre","")&amp;IF(I172="",", Invoice Type","")&amp;IF(J172="",", Tax Code","")&amp;IF(O172="",", Expected Revenue","")&amp;IF(COUNTIF(tbl_Finance[Job Number],$C172&amp;"")&gt;1,", Job number used twice",""),3,300)))</f>
        <v/>
      </c>
      <c r="Q172" s="10">
        <f>IF($C172="","",IF(H172="","(no cost centre)",H172&amp;" - GL "&amp;IFERROR(INDEX(lst_CCtoGL,MATCH(H172,lst_CCforGL,0)),"?")))</f>
        <v/>
      </c>
      <c r="R172" s="37" t="n"/>
      <c r="S172" s="37" t="n"/>
      <c r="T172" s="10">
        <f>IF(S172="","",HYPERLINK(IF(LEFT(S172,4)="http",S172,set_QwilrBase&amp;S172),"Open quote"))</f>
        <v/>
      </c>
      <c r="U172" s="41" t="n"/>
      <c r="V172" s="37" t="n"/>
      <c r="W172" s="37" t="n"/>
      <c r="X172" s="10" t="inlineStr">
        <is>
          <t>ONS-0168</t>
        </is>
      </c>
    </row>
    <row r="173">
      <c r="A173" s="16">
        <f>IF($C173="","",IFERROR(IF(INDEX(tbl_Finance[Latest Invoice Date],MATCH($X173,tbl_Finance[Row ID],0))="","",INDEX(tbl_Finance[Latest Invoice Date],MATCH($X173,tbl_Finance[Row ID],0))),""))</f>
        <v/>
      </c>
      <c r="B173" s="10">
        <f>IF($C173="","",IFERROR(INDEX(tbl_Finance[Invoice Numbers],MATCH($X173,tbl_Finance[Row ID],0))&amp;"",""))</f>
        <v/>
      </c>
      <c r="C173" s="37" t="n"/>
      <c r="D173" s="10">
        <f>IF($C173="","",IF(COUNTIF(lst_Jobs,$C173&amp;"")&gt;0,"OK","CHECK"))</f>
        <v/>
      </c>
      <c r="E173" s="10">
        <f>IF($C173="","",IFERROR(INDEX(lst_JobName,MATCH($C173&amp;"",lst_Jobs,0)),""))</f>
        <v/>
      </c>
      <c r="F173" s="37" t="n"/>
      <c r="G173" s="37" t="n"/>
      <c r="H173" s="37" t="n"/>
      <c r="I173" s="37" t="n"/>
      <c r="J173" s="37" t="n"/>
      <c r="K173" s="38">
        <f>IF($C173="","",IFERROR(N(INDEX(tbl_Finance[Invoice Count],MATCH($X173,tbl_Finance[Row ID],0))),""))</f>
        <v/>
      </c>
      <c r="L173" s="11">
        <f>IF($C173="","",IFERROR(N(INDEX(tbl_Finance[Xero Invoiced Ex GST],MATCH($X173,tbl_Finance[Row ID],0))),""))</f>
        <v/>
      </c>
      <c r="M173" s="10">
        <f>IF($C173="","",IFERROR(INDEX(tbl_Finance[Compare],MATCH($X173,tbl_Finance[Row ID],0))&amp;"",""))</f>
        <v/>
      </c>
      <c r="N173" s="11">
        <f>IF($C173="","",MAX(0,N(O173)-N(L173)))</f>
        <v/>
      </c>
      <c r="O173" s="39" t="n"/>
      <c r="P173" s="40">
        <f>IF($C173="","",IF((IF(F173="",", Client","")&amp;IF(G173="",", Description","")&amp;IF(H173="",", Cost Centre","")&amp;IF(I173="",", Invoice Type","")&amp;IF(J173="",", Tax Code","")&amp;IF(O173="",", Expected Revenue","")&amp;IF(COUNTIF(tbl_Finance[Job Number],$C173&amp;"")&gt;1,", Job number used twice",""))="","Complete","Fix: "&amp;MID(IF(F173="",", Client","")&amp;IF(G173="",", Description","")&amp;IF(H173="",", Cost Centre","")&amp;IF(I173="",", Invoice Type","")&amp;IF(J173="",", Tax Code","")&amp;IF(O173="",", Expected Revenue","")&amp;IF(COUNTIF(tbl_Finance[Job Number],$C173&amp;"")&gt;1,", Job number used twice",""),3,300)))</f>
        <v/>
      </c>
      <c r="Q173" s="10">
        <f>IF($C173="","",IF(H173="","(no cost centre)",H173&amp;" - GL "&amp;IFERROR(INDEX(lst_CCtoGL,MATCH(H173,lst_CCforGL,0)),"?")))</f>
        <v/>
      </c>
      <c r="R173" s="37" t="n"/>
      <c r="S173" s="37" t="n"/>
      <c r="T173" s="10">
        <f>IF(S173="","",HYPERLINK(IF(LEFT(S173,4)="http",S173,set_QwilrBase&amp;S173),"Open quote"))</f>
        <v/>
      </c>
      <c r="U173" s="41" t="n"/>
      <c r="V173" s="37" t="n"/>
      <c r="W173" s="37" t="n"/>
      <c r="X173" s="10" t="inlineStr">
        <is>
          <t>ONS-0169</t>
        </is>
      </c>
    </row>
    <row r="174">
      <c r="A174" s="16">
        <f>IF($C174="","",IFERROR(IF(INDEX(tbl_Finance[Latest Invoice Date],MATCH($X174,tbl_Finance[Row ID],0))="","",INDEX(tbl_Finance[Latest Invoice Date],MATCH($X174,tbl_Finance[Row ID],0))),""))</f>
        <v/>
      </c>
      <c r="B174" s="10">
        <f>IF($C174="","",IFERROR(INDEX(tbl_Finance[Invoice Numbers],MATCH($X174,tbl_Finance[Row ID],0))&amp;"",""))</f>
        <v/>
      </c>
      <c r="C174" s="37" t="n"/>
      <c r="D174" s="10">
        <f>IF($C174="","",IF(COUNTIF(lst_Jobs,$C174&amp;"")&gt;0,"OK","CHECK"))</f>
        <v/>
      </c>
      <c r="E174" s="10">
        <f>IF($C174="","",IFERROR(INDEX(lst_JobName,MATCH($C174&amp;"",lst_Jobs,0)),""))</f>
        <v/>
      </c>
      <c r="F174" s="37" t="n"/>
      <c r="G174" s="37" t="n"/>
      <c r="H174" s="37" t="n"/>
      <c r="I174" s="37" t="n"/>
      <c r="J174" s="37" t="n"/>
      <c r="K174" s="38">
        <f>IF($C174="","",IFERROR(N(INDEX(tbl_Finance[Invoice Count],MATCH($X174,tbl_Finance[Row ID],0))),""))</f>
        <v/>
      </c>
      <c r="L174" s="11">
        <f>IF($C174="","",IFERROR(N(INDEX(tbl_Finance[Xero Invoiced Ex GST],MATCH($X174,tbl_Finance[Row ID],0))),""))</f>
        <v/>
      </c>
      <c r="M174" s="10">
        <f>IF($C174="","",IFERROR(INDEX(tbl_Finance[Compare],MATCH($X174,tbl_Finance[Row ID],0))&amp;"",""))</f>
        <v/>
      </c>
      <c r="N174" s="11">
        <f>IF($C174="","",MAX(0,N(O174)-N(L174)))</f>
        <v/>
      </c>
      <c r="O174" s="39" t="n"/>
      <c r="P174" s="40">
        <f>IF($C174="","",IF((IF(F174="",", Client","")&amp;IF(G174="",", Description","")&amp;IF(H174="",", Cost Centre","")&amp;IF(I174="",", Invoice Type","")&amp;IF(J174="",", Tax Code","")&amp;IF(O174="",", Expected Revenue","")&amp;IF(COUNTIF(tbl_Finance[Job Number],$C174&amp;"")&gt;1,", Job number used twice",""))="","Complete","Fix: "&amp;MID(IF(F174="",", Client","")&amp;IF(G174="",", Description","")&amp;IF(H174="",", Cost Centre","")&amp;IF(I174="",", Invoice Type","")&amp;IF(J174="",", Tax Code","")&amp;IF(O174="",", Expected Revenue","")&amp;IF(COUNTIF(tbl_Finance[Job Number],$C174&amp;"")&gt;1,", Job number used twice",""),3,300)))</f>
        <v/>
      </c>
      <c r="Q174" s="10">
        <f>IF($C174="","",IF(H174="","(no cost centre)",H174&amp;" - GL "&amp;IFERROR(INDEX(lst_CCtoGL,MATCH(H174,lst_CCforGL,0)),"?")))</f>
        <v/>
      </c>
      <c r="R174" s="37" t="n"/>
      <c r="S174" s="37" t="n"/>
      <c r="T174" s="10">
        <f>IF(S174="","",HYPERLINK(IF(LEFT(S174,4)="http",S174,set_QwilrBase&amp;S174),"Open quote"))</f>
        <v/>
      </c>
      <c r="U174" s="41" t="n"/>
      <c r="V174" s="37" t="n"/>
      <c r="W174" s="37" t="n"/>
      <c r="X174" s="10" t="inlineStr">
        <is>
          <t>ONS-0170</t>
        </is>
      </c>
    </row>
    <row r="175">
      <c r="A175" s="16">
        <f>IF($C175="","",IFERROR(IF(INDEX(tbl_Finance[Latest Invoice Date],MATCH($X175,tbl_Finance[Row ID],0))="","",INDEX(tbl_Finance[Latest Invoice Date],MATCH($X175,tbl_Finance[Row ID],0))),""))</f>
        <v/>
      </c>
      <c r="B175" s="10">
        <f>IF($C175="","",IFERROR(INDEX(tbl_Finance[Invoice Numbers],MATCH($X175,tbl_Finance[Row ID],0))&amp;"",""))</f>
        <v/>
      </c>
      <c r="C175" s="37" t="n"/>
      <c r="D175" s="10">
        <f>IF($C175="","",IF(COUNTIF(lst_Jobs,$C175&amp;"")&gt;0,"OK","CHECK"))</f>
        <v/>
      </c>
      <c r="E175" s="10">
        <f>IF($C175="","",IFERROR(INDEX(lst_JobName,MATCH($C175&amp;"",lst_Jobs,0)),""))</f>
        <v/>
      </c>
      <c r="F175" s="37" t="n"/>
      <c r="G175" s="37" t="n"/>
      <c r="H175" s="37" t="n"/>
      <c r="I175" s="37" t="n"/>
      <c r="J175" s="37" t="n"/>
      <c r="K175" s="38">
        <f>IF($C175="","",IFERROR(N(INDEX(tbl_Finance[Invoice Count],MATCH($X175,tbl_Finance[Row ID],0))),""))</f>
        <v/>
      </c>
      <c r="L175" s="11">
        <f>IF($C175="","",IFERROR(N(INDEX(tbl_Finance[Xero Invoiced Ex GST],MATCH($X175,tbl_Finance[Row ID],0))),""))</f>
        <v/>
      </c>
      <c r="M175" s="10">
        <f>IF($C175="","",IFERROR(INDEX(tbl_Finance[Compare],MATCH($X175,tbl_Finance[Row ID],0))&amp;"",""))</f>
        <v/>
      </c>
      <c r="N175" s="11">
        <f>IF($C175="","",MAX(0,N(O175)-N(L175)))</f>
        <v/>
      </c>
      <c r="O175" s="39" t="n"/>
      <c r="P175" s="40">
        <f>IF($C175="","",IF((IF(F175="",", Client","")&amp;IF(G175="",", Description","")&amp;IF(H175="",", Cost Centre","")&amp;IF(I175="",", Invoice Type","")&amp;IF(J175="",", Tax Code","")&amp;IF(O175="",", Expected Revenue","")&amp;IF(COUNTIF(tbl_Finance[Job Number],$C175&amp;"")&gt;1,", Job number used twice",""))="","Complete","Fix: "&amp;MID(IF(F175="",", Client","")&amp;IF(G175="",", Description","")&amp;IF(H175="",", Cost Centre","")&amp;IF(I175="",", Invoice Type","")&amp;IF(J175="",", Tax Code","")&amp;IF(O175="",", Expected Revenue","")&amp;IF(COUNTIF(tbl_Finance[Job Number],$C175&amp;"")&gt;1,", Job number used twice",""),3,300)))</f>
        <v/>
      </c>
      <c r="Q175" s="10">
        <f>IF($C175="","",IF(H175="","(no cost centre)",H175&amp;" - GL "&amp;IFERROR(INDEX(lst_CCtoGL,MATCH(H175,lst_CCforGL,0)),"?")))</f>
        <v/>
      </c>
      <c r="R175" s="37" t="n"/>
      <c r="S175" s="37" t="n"/>
      <c r="T175" s="10">
        <f>IF(S175="","",HYPERLINK(IF(LEFT(S175,4)="http",S175,set_QwilrBase&amp;S175),"Open quote"))</f>
        <v/>
      </c>
      <c r="U175" s="41" t="n"/>
      <c r="V175" s="37" t="n"/>
      <c r="W175" s="37" t="n"/>
      <c r="X175" s="10" t="inlineStr">
        <is>
          <t>ONS-0171</t>
        </is>
      </c>
    </row>
    <row r="176">
      <c r="A176" s="16">
        <f>IF($C176="","",IFERROR(IF(INDEX(tbl_Finance[Latest Invoice Date],MATCH($X176,tbl_Finance[Row ID],0))="","",INDEX(tbl_Finance[Latest Invoice Date],MATCH($X176,tbl_Finance[Row ID],0))),""))</f>
        <v/>
      </c>
      <c r="B176" s="10">
        <f>IF($C176="","",IFERROR(INDEX(tbl_Finance[Invoice Numbers],MATCH($X176,tbl_Finance[Row ID],0))&amp;"",""))</f>
        <v/>
      </c>
      <c r="C176" s="37" t="n"/>
      <c r="D176" s="10">
        <f>IF($C176="","",IF(COUNTIF(lst_Jobs,$C176&amp;"")&gt;0,"OK","CHECK"))</f>
        <v/>
      </c>
      <c r="E176" s="10">
        <f>IF($C176="","",IFERROR(INDEX(lst_JobName,MATCH($C176&amp;"",lst_Jobs,0)),""))</f>
        <v/>
      </c>
      <c r="F176" s="37" t="n"/>
      <c r="G176" s="37" t="n"/>
      <c r="H176" s="37" t="n"/>
      <c r="I176" s="37" t="n"/>
      <c r="J176" s="37" t="n"/>
      <c r="K176" s="38">
        <f>IF($C176="","",IFERROR(N(INDEX(tbl_Finance[Invoice Count],MATCH($X176,tbl_Finance[Row ID],0))),""))</f>
        <v/>
      </c>
      <c r="L176" s="11">
        <f>IF($C176="","",IFERROR(N(INDEX(tbl_Finance[Xero Invoiced Ex GST],MATCH($X176,tbl_Finance[Row ID],0))),""))</f>
        <v/>
      </c>
      <c r="M176" s="10">
        <f>IF($C176="","",IFERROR(INDEX(tbl_Finance[Compare],MATCH($X176,tbl_Finance[Row ID],0))&amp;"",""))</f>
        <v/>
      </c>
      <c r="N176" s="11">
        <f>IF($C176="","",MAX(0,N(O176)-N(L176)))</f>
        <v/>
      </c>
      <c r="O176" s="39" t="n"/>
      <c r="P176" s="40">
        <f>IF($C176="","",IF((IF(F176="",", Client","")&amp;IF(G176="",", Description","")&amp;IF(H176="",", Cost Centre","")&amp;IF(I176="",", Invoice Type","")&amp;IF(J176="",", Tax Code","")&amp;IF(O176="",", Expected Revenue","")&amp;IF(COUNTIF(tbl_Finance[Job Number],$C176&amp;"")&gt;1,", Job number used twice",""))="","Complete","Fix: "&amp;MID(IF(F176="",", Client","")&amp;IF(G176="",", Description","")&amp;IF(H176="",", Cost Centre","")&amp;IF(I176="",", Invoice Type","")&amp;IF(J176="",", Tax Code","")&amp;IF(O176="",", Expected Revenue","")&amp;IF(COUNTIF(tbl_Finance[Job Number],$C176&amp;"")&gt;1,", Job number used twice",""),3,300)))</f>
        <v/>
      </c>
      <c r="Q176" s="10">
        <f>IF($C176="","",IF(H176="","(no cost centre)",H176&amp;" - GL "&amp;IFERROR(INDEX(lst_CCtoGL,MATCH(H176,lst_CCforGL,0)),"?")))</f>
        <v/>
      </c>
      <c r="R176" s="37" t="n"/>
      <c r="S176" s="37" t="n"/>
      <c r="T176" s="10">
        <f>IF(S176="","",HYPERLINK(IF(LEFT(S176,4)="http",S176,set_QwilrBase&amp;S176),"Open quote"))</f>
        <v/>
      </c>
      <c r="U176" s="41" t="n"/>
      <c r="V176" s="37" t="n"/>
      <c r="W176" s="37" t="n"/>
      <c r="X176" s="10" t="inlineStr">
        <is>
          <t>ONS-0172</t>
        </is>
      </c>
    </row>
    <row r="177">
      <c r="A177" s="16">
        <f>IF($C177="","",IFERROR(IF(INDEX(tbl_Finance[Latest Invoice Date],MATCH($X177,tbl_Finance[Row ID],0))="","",INDEX(tbl_Finance[Latest Invoice Date],MATCH($X177,tbl_Finance[Row ID],0))),""))</f>
        <v/>
      </c>
      <c r="B177" s="10">
        <f>IF($C177="","",IFERROR(INDEX(tbl_Finance[Invoice Numbers],MATCH($X177,tbl_Finance[Row ID],0))&amp;"",""))</f>
        <v/>
      </c>
      <c r="C177" s="37" t="n"/>
      <c r="D177" s="10">
        <f>IF($C177="","",IF(COUNTIF(lst_Jobs,$C177&amp;"")&gt;0,"OK","CHECK"))</f>
        <v/>
      </c>
      <c r="E177" s="10">
        <f>IF($C177="","",IFERROR(INDEX(lst_JobName,MATCH($C177&amp;"",lst_Jobs,0)),""))</f>
        <v/>
      </c>
      <c r="F177" s="37" t="n"/>
      <c r="G177" s="37" t="n"/>
      <c r="H177" s="37" t="n"/>
      <c r="I177" s="37" t="n"/>
      <c r="J177" s="37" t="n"/>
      <c r="K177" s="38">
        <f>IF($C177="","",IFERROR(N(INDEX(tbl_Finance[Invoice Count],MATCH($X177,tbl_Finance[Row ID],0))),""))</f>
        <v/>
      </c>
      <c r="L177" s="11">
        <f>IF($C177="","",IFERROR(N(INDEX(tbl_Finance[Xero Invoiced Ex GST],MATCH($X177,tbl_Finance[Row ID],0))),""))</f>
        <v/>
      </c>
      <c r="M177" s="10">
        <f>IF($C177="","",IFERROR(INDEX(tbl_Finance[Compare],MATCH($X177,tbl_Finance[Row ID],0))&amp;"",""))</f>
        <v/>
      </c>
      <c r="N177" s="11">
        <f>IF($C177="","",MAX(0,N(O177)-N(L177)))</f>
        <v/>
      </c>
      <c r="O177" s="39" t="n"/>
      <c r="P177" s="40">
        <f>IF($C177="","",IF((IF(F177="",", Client","")&amp;IF(G177="",", Description","")&amp;IF(H177="",", Cost Centre","")&amp;IF(I177="",", Invoice Type","")&amp;IF(J177="",", Tax Code","")&amp;IF(O177="",", Expected Revenue","")&amp;IF(COUNTIF(tbl_Finance[Job Number],$C177&amp;"")&gt;1,", Job number used twice",""))="","Complete","Fix: "&amp;MID(IF(F177="",", Client","")&amp;IF(G177="",", Description","")&amp;IF(H177="",", Cost Centre","")&amp;IF(I177="",", Invoice Type","")&amp;IF(J177="",", Tax Code","")&amp;IF(O177="",", Expected Revenue","")&amp;IF(COUNTIF(tbl_Finance[Job Number],$C177&amp;"")&gt;1,", Job number used twice",""),3,300)))</f>
        <v/>
      </c>
      <c r="Q177" s="10">
        <f>IF($C177="","",IF(H177="","(no cost centre)",H177&amp;" - GL "&amp;IFERROR(INDEX(lst_CCtoGL,MATCH(H177,lst_CCforGL,0)),"?")))</f>
        <v/>
      </c>
      <c r="R177" s="37" t="n"/>
      <c r="S177" s="37" t="n"/>
      <c r="T177" s="10">
        <f>IF(S177="","",HYPERLINK(IF(LEFT(S177,4)="http",S177,set_QwilrBase&amp;S177),"Open quote"))</f>
        <v/>
      </c>
      <c r="U177" s="41" t="n"/>
      <c r="V177" s="37" t="n"/>
      <c r="W177" s="37" t="n"/>
      <c r="X177" s="10" t="inlineStr">
        <is>
          <t>ONS-0173</t>
        </is>
      </c>
    </row>
    <row r="178">
      <c r="A178" s="16">
        <f>IF($C178="","",IFERROR(IF(INDEX(tbl_Finance[Latest Invoice Date],MATCH($X178,tbl_Finance[Row ID],0))="","",INDEX(tbl_Finance[Latest Invoice Date],MATCH($X178,tbl_Finance[Row ID],0))),""))</f>
        <v/>
      </c>
      <c r="B178" s="10">
        <f>IF($C178="","",IFERROR(INDEX(tbl_Finance[Invoice Numbers],MATCH($X178,tbl_Finance[Row ID],0))&amp;"",""))</f>
        <v/>
      </c>
      <c r="C178" s="37" t="n"/>
      <c r="D178" s="10">
        <f>IF($C178="","",IF(COUNTIF(lst_Jobs,$C178&amp;"")&gt;0,"OK","CHECK"))</f>
        <v/>
      </c>
      <c r="E178" s="10">
        <f>IF($C178="","",IFERROR(INDEX(lst_JobName,MATCH($C178&amp;"",lst_Jobs,0)),""))</f>
        <v/>
      </c>
      <c r="F178" s="37" t="n"/>
      <c r="G178" s="37" t="n"/>
      <c r="H178" s="37" t="n"/>
      <c r="I178" s="37" t="n"/>
      <c r="J178" s="37" t="n"/>
      <c r="K178" s="38">
        <f>IF($C178="","",IFERROR(N(INDEX(tbl_Finance[Invoice Count],MATCH($X178,tbl_Finance[Row ID],0))),""))</f>
        <v/>
      </c>
      <c r="L178" s="11">
        <f>IF($C178="","",IFERROR(N(INDEX(tbl_Finance[Xero Invoiced Ex GST],MATCH($X178,tbl_Finance[Row ID],0))),""))</f>
        <v/>
      </c>
      <c r="M178" s="10">
        <f>IF($C178="","",IFERROR(INDEX(tbl_Finance[Compare],MATCH($X178,tbl_Finance[Row ID],0))&amp;"",""))</f>
        <v/>
      </c>
      <c r="N178" s="11">
        <f>IF($C178="","",MAX(0,N(O178)-N(L178)))</f>
        <v/>
      </c>
      <c r="O178" s="39" t="n"/>
      <c r="P178" s="40">
        <f>IF($C178="","",IF((IF(F178="",", Client","")&amp;IF(G178="",", Description","")&amp;IF(H178="",", Cost Centre","")&amp;IF(I178="",", Invoice Type","")&amp;IF(J178="",", Tax Code","")&amp;IF(O178="",", Expected Revenue","")&amp;IF(COUNTIF(tbl_Finance[Job Number],$C178&amp;"")&gt;1,", Job number used twice",""))="","Complete","Fix: "&amp;MID(IF(F178="",", Client","")&amp;IF(G178="",", Description","")&amp;IF(H178="",", Cost Centre","")&amp;IF(I178="",", Invoice Type","")&amp;IF(J178="",", Tax Code","")&amp;IF(O178="",", Expected Revenue","")&amp;IF(COUNTIF(tbl_Finance[Job Number],$C178&amp;"")&gt;1,", Job number used twice",""),3,300)))</f>
        <v/>
      </c>
      <c r="Q178" s="10">
        <f>IF($C178="","",IF(H178="","(no cost centre)",H178&amp;" - GL "&amp;IFERROR(INDEX(lst_CCtoGL,MATCH(H178,lst_CCforGL,0)),"?")))</f>
        <v/>
      </c>
      <c r="R178" s="37" t="n"/>
      <c r="S178" s="37" t="n"/>
      <c r="T178" s="10">
        <f>IF(S178="","",HYPERLINK(IF(LEFT(S178,4)="http",S178,set_QwilrBase&amp;S178),"Open quote"))</f>
        <v/>
      </c>
      <c r="U178" s="41" t="n"/>
      <c r="V178" s="37" t="n"/>
      <c r="W178" s="37" t="n"/>
      <c r="X178" s="10" t="inlineStr">
        <is>
          <t>ONS-0174</t>
        </is>
      </c>
    </row>
    <row r="179">
      <c r="A179" s="16">
        <f>IF($C179="","",IFERROR(IF(INDEX(tbl_Finance[Latest Invoice Date],MATCH($X179,tbl_Finance[Row ID],0))="","",INDEX(tbl_Finance[Latest Invoice Date],MATCH($X179,tbl_Finance[Row ID],0))),""))</f>
        <v/>
      </c>
      <c r="B179" s="10">
        <f>IF($C179="","",IFERROR(INDEX(tbl_Finance[Invoice Numbers],MATCH($X179,tbl_Finance[Row ID],0))&amp;"",""))</f>
        <v/>
      </c>
      <c r="C179" s="37" t="n"/>
      <c r="D179" s="10">
        <f>IF($C179="","",IF(COUNTIF(lst_Jobs,$C179&amp;"")&gt;0,"OK","CHECK"))</f>
        <v/>
      </c>
      <c r="E179" s="10">
        <f>IF($C179="","",IFERROR(INDEX(lst_JobName,MATCH($C179&amp;"",lst_Jobs,0)),""))</f>
        <v/>
      </c>
      <c r="F179" s="37" t="n"/>
      <c r="G179" s="37" t="n"/>
      <c r="H179" s="37" t="n"/>
      <c r="I179" s="37" t="n"/>
      <c r="J179" s="37" t="n"/>
      <c r="K179" s="38">
        <f>IF($C179="","",IFERROR(N(INDEX(tbl_Finance[Invoice Count],MATCH($X179,tbl_Finance[Row ID],0))),""))</f>
        <v/>
      </c>
      <c r="L179" s="11">
        <f>IF($C179="","",IFERROR(N(INDEX(tbl_Finance[Xero Invoiced Ex GST],MATCH($X179,tbl_Finance[Row ID],0))),""))</f>
        <v/>
      </c>
      <c r="M179" s="10">
        <f>IF($C179="","",IFERROR(INDEX(tbl_Finance[Compare],MATCH($X179,tbl_Finance[Row ID],0))&amp;"",""))</f>
        <v/>
      </c>
      <c r="N179" s="11">
        <f>IF($C179="","",MAX(0,N(O179)-N(L179)))</f>
        <v/>
      </c>
      <c r="O179" s="39" t="n"/>
      <c r="P179" s="40">
        <f>IF($C179="","",IF((IF(F179="",", Client","")&amp;IF(G179="",", Description","")&amp;IF(H179="",", Cost Centre","")&amp;IF(I179="",", Invoice Type","")&amp;IF(J179="",", Tax Code","")&amp;IF(O179="",", Expected Revenue","")&amp;IF(COUNTIF(tbl_Finance[Job Number],$C179&amp;"")&gt;1,", Job number used twice",""))="","Complete","Fix: "&amp;MID(IF(F179="",", Client","")&amp;IF(G179="",", Description","")&amp;IF(H179="",", Cost Centre","")&amp;IF(I179="",", Invoice Type","")&amp;IF(J179="",", Tax Code","")&amp;IF(O179="",", Expected Revenue","")&amp;IF(COUNTIF(tbl_Finance[Job Number],$C179&amp;"")&gt;1,", Job number used twice",""),3,300)))</f>
        <v/>
      </c>
      <c r="Q179" s="10">
        <f>IF($C179="","",IF(H179="","(no cost centre)",H179&amp;" - GL "&amp;IFERROR(INDEX(lst_CCtoGL,MATCH(H179,lst_CCforGL,0)),"?")))</f>
        <v/>
      </c>
      <c r="R179" s="37" t="n"/>
      <c r="S179" s="37" t="n"/>
      <c r="T179" s="10">
        <f>IF(S179="","",HYPERLINK(IF(LEFT(S179,4)="http",S179,set_QwilrBase&amp;S179),"Open quote"))</f>
        <v/>
      </c>
      <c r="U179" s="41" t="n"/>
      <c r="V179" s="37" t="n"/>
      <c r="W179" s="37" t="n"/>
      <c r="X179" s="10" t="inlineStr">
        <is>
          <t>ONS-0175</t>
        </is>
      </c>
    </row>
    <row r="180">
      <c r="A180" s="16">
        <f>IF($C180="","",IFERROR(IF(INDEX(tbl_Finance[Latest Invoice Date],MATCH($X180,tbl_Finance[Row ID],0))="","",INDEX(tbl_Finance[Latest Invoice Date],MATCH($X180,tbl_Finance[Row ID],0))),""))</f>
        <v/>
      </c>
      <c r="B180" s="10">
        <f>IF($C180="","",IFERROR(INDEX(tbl_Finance[Invoice Numbers],MATCH($X180,tbl_Finance[Row ID],0))&amp;"",""))</f>
        <v/>
      </c>
      <c r="C180" s="37" t="n"/>
      <c r="D180" s="10">
        <f>IF($C180="","",IF(COUNTIF(lst_Jobs,$C180&amp;"")&gt;0,"OK","CHECK"))</f>
        <v/>
      </c>
      <c r="E180" s="10">
        <f>IF($C180="","",IFERROR(INDEX(lst_JobName,MATCH($C180&amp;"",lst_Jobs,0)),""))</f>
        <v/>
      </c>
      <c r="F180" s="37" t="n"/>
      <c r="G180" s="37" t="n"/>
      <c r="H180" s="37" t="n"/>
      <c r="I180" s="37" t="n"/>
      <c r="J180" s="37" t="n"/>
      <c r="K180" s="38">
        <f>IF($C180="","",IFERROR(N(INDEX(tbl_Finance[Invoice Count],MATCH($X180,tbl_Finance[Row ID],0))),""))</f>
        <v/>
      </c>
      <c r="L180" s="11">
        <f>IF($C180="","",IFERROR(N(INDEX(tbl_Finance[Xero Invoiced Ex GST],MATCH($X180,tbl_Finance[Row ID],0))),""))</f>
        <v/>
      </c>
      <c r="M180" s="10">
        <f>IF($C180="","",IFERROR(INDEX(tbl_Finance[Compare],MATCH($X180,tbl_Finance[Row ID],0))&amp;"",""))</f>
        <v/>
      </c>
      <c r="N180" s="11">
        <f>IF($C180="","",MAX(0,N(O180)-N(L180)))</f>
        <v/>
      </c>
      <c r="O180" s="39" t="n"/>
      <c r="P180" s="40">
        <f>IF($C180="","",IF((IF(F180="",", Client","")&amp;IF(G180="",", Description","")&amp;IF(H180="",", Cost Centre","")&amp;IF(I180="",", Invoice Type","")&amp;IF(J180="",", Tax Code","")&amp;IF(O180="",", Expected Revenue","")&amp;IF(COUNTIF(tbl_Finance[Job Number],$C180&amp;"")&gt;1,", Job number used twice",""))="","Complete","Fix: "&amp;MID(IF(F180="",", Client","")&amp;IF(G180="",", Description","")&amp;IF(H180="",", Cost Centre","")&amp;IF(I180="",", Invoice Type","")&amp;IF(J180="",", Tax Code","")&amp;IF(O180="",", Expected Revenue","")&amp;IF(COUNTIF(tbl_Finance[Job Number],$C180&amp;"")&gt;1,", Job number used twice",""),3,300)))</f>
        <v/>
      </c>
      <c r="Q180" s="10">
        <f>IF($C180="","",IF(H180="","(no cost centre)",H180&amp;" - GL "&amp;IFERROR(INDEX(lst_CCtoGL,MATCH(H180,lst_CCforGL,0)),"?")))</f>
        <v/>
      </c>
      <c r="R180" s="37" t="n"/>
      <c r="S180" s="37" t="n"/>
      <c r="T180" s="10">
        <f>IF(S180="","",HYPERLINK(IF(LEFT(S180,4)="http",S180,set_QwilrBase&amp;S180),"Open quote"))</f>
        <v/>
      </c>
      <c r="U180" s="41" t="n"/>
      <c r="V180" s="37" t="n"/>
      <c r="W180" s="37" t="n"/>
      <c r="X180" s="10" t="inlineStr">
        <is>
          <t>ONS-0176</t>
        </is>
      </c>
    </row>
    <row r="181">
      <c r="A181" s="16">
        <f>IF($C181="","",IFERROR(IF(INDEX(tbl_Finance[Latest Invoice Date],MATCH($X181,tbl_Finance[Row ID],0))="","",INDEX(tbl_Finance[Latest Invoice Date],MATCH($X181,tbl_Finance[Row ID],0))),""))</f>
        <v/>
      </c>
      <c r="B181" s="10">
        <f>IF($C181="","",IFERROR(INDEX(tbl_Finance[Invoice Numbers],MATCH($X181,tbl_Finance[Row ID],0))&amp;"",""))</f>
        <v/>
      </c>
      <c r="C181" s="37" t="n"/>
      <c r="D181" s="10">
        <f>IF($C181="","",IF(COUNTIF(lst_Jobs,$C181&amp;"")&gt;0,"OK","CHECK"))</f>
        <v/>
      </c>
      <c r="E181" s="10">
        <f>IF($C181="","",IFERROR(INDEX(lst_JobName,MATCH($C181&amp;"",lst_Jobs,0)),""))</f>
        <v/>
      </c>
      <c r="F181" s="37" t="n"/>
      <c r="G181" s="37" t="n"/>
      <c r="H181" s="37" t="n"/>
      <c r="I181" s="37" t="n"/>
      <c r="J181" s="37" t="n"/>
      <c r="K181" s="38">
        <f>IF($C181="","",IFERROR(N(INDEX(tbl_Finance[Invoice Count],MATCH($X181,tbl_Finance[Row ID],0))),""))</f>
        <v/>
      </c>
      <c r="L181" s="11">
        <f>IF($C181="","",IFERROR(N(INDEX(tbl_Finance[Xero Invoiced Ex GST],MATCH($X181,tbl_Finance[Row ID],0))),""))</f>
        <v/>
      </c>
      <c r="M181" s="10">
        <f>IF($C181="","",IFERROR(INDEX(tbl_Finance[Compare],MATCH($X181,tbl_Finance[Row ID],0))&amp;"",""))</f>
        <v/>
      </c>
      <c r="N181" s="11">
        <f>IF($C181="","",MAX(0,N(O181)-N(L181)))</f>
        <v/>
      </c>
      <c r="O181" s="39" t="n"/>
      <c r="P181" s="40">
        <f>IF($C181="","",IF((IF(F181="",", Client","")&amp;IF(G181="",", Description","")&amp;IF(H181="",", Cost Centre","")&amp;IF(I181="",", Invoice Type","")&amp;IF(J181="",", Tax Code","")&amp;IF(O181="",", Expected Revenue","")&amp;IF(COUNTIF(tbl_Finance[Job Number],$C181&amp;"")&gt;1,", Job number used twice",""))="","Complete","Fix: "&amp;MID(IF(F181="",", Client","")&amp;IF(G181="",", Description","")&amp;IF(H181="",", Cost Centre","")&amp;IF(I181="",", Invoice Type","")&amp;IF(J181="",", Tax Code","")&amp;IF(O181="",", Expected Revenue","")&amp;IF(COUNTIF(tbl_Finance[Job Number],$C181&amp;"")&gt;1,", Job number used twice",""),3,300)))</f>
        <v/>
      </c>
      <c r="Q181" s="10">
        <f>IF($C181="","",IF(H181="","(no cost centre)",H181&amp;" - GL "&amp;IFERROR(INDEX(lst_CCtoGL,MATCH(H181,lst_CCforGL,0)),"?")))</f>
        <v/>
      </c>
      <c r="R181" s="37" t="n"/>
      <c r="S181" s="37" t="n"/>
      <c r="T181" s="10">
        <f>IF(S181="","",HYPERLINK(IF(LEFT(S181,4)="http",S181,set_QwilrBase&amp;S181),"Open quote"))</f>
        <v/>
      </c>
      <c r="U181" s="41" t="n"/>
      <c r="V181" s="37" t="n"/>
      <c r="W181" s="37" t="n"/>
      <c r="X181" s="10" t="inlineStr">
        <is>
          <t>ONS-0177</t>
        </is>
      </c>
    </row>
    <row r="182">
      <c r="A182" s="16">
        <f>IF($C182="","",IFERROR(IF(INDEX(tbl_Finance[Latest Invoice Date],MATCH($X182,tbl_Finance[Row ID],0))="","",INDEX(tbl_Finance[Latest Invoice Date],MATCH($X182,tbl_Finance[Row ID],0))),""))</f>
        <v/>
      </c>
      <c r="B182" s="10">
        <f>IF($C182="","",IFERROR(INDEX(tbl_Finance[Invoice Numbers],MATCH($X182,tbl_Finance[Row ID],0))&amp;"",""))</f>
        <v/>
      </c>
      <c r="C182" s="37" t="n"/>
      <c r="D182" s="10">
        <f>IF($C182="","",IF(COUNTIF(lst_Jobs,$C182&amp;"")&gt;0,"OK","CHECK"))</f>
        <v/>
      </c>
      <c r="E182" s="10">
        <f>IF($C182="","",IFERROR(INDEX(lst_JobName,MATCH($C182&amp;"",lst_Jobs,0)),""))</f>
        <v/>
      </c>
      <c r="F182" s="37" t="n"/>
      <c r="G182" s="37" t="n"/>
      <c r="H182" s="37" t="n"/>
      <c r="I182" s="37" t="n"/>
      <c r="J182" s="37" t="n"/>
      <c r="K182" s="38">
        <f>IF($C182="","",IFERROR(N(INDEX(tbl_Finance[Invoice Count],MATCH($X182,tbl_Finance[Row ID],0))),""))</f>
        <v/>
      </c>
      <c r="L182" s="11">
        <f>IF($C182="","",IFERROR(N(INDEX(tbl_Finance[Xero Invoiced Ex GST],MATCH($X182,tbl_Finance[Row ID],0))),""))</f>
        <v/>
      </c>
      <c r="M182" s="10">
        <f>IF($C182="","",IFERROR(INDEX(tbl_Finance[Compare],MATCH($X182,tbl_Finance[Row ID],0))&amp;"",""))</f>
        <v/>
      </c>
      <c r="N182" s="11">
        <f>IF($C182="","",MAX(0,N(O182)-N(L182)))</f>
        <v/>
      </c>
      <c r="O182" s="39" t="n"/>
      <c r="P182" s="40">
        <f>IF($C182="","",IF((IF(F182="",", Client","")&amp;IF(G182="",", Description","")&amp;IF(H182="",", Cost Centre","")&amp;IF(I182="",", Invoice Type","")&amp;IF(J182="",", Tax Code","")&amp;IF(O182="",", Expected Revenue","")&amp;IF(COUNTIF(tbl_Finance[Job Number],$C182&amp;"")&gt;1,", Job number used twice",""))="","Complete","Fix: "&amp;MID(IF(F182="",", Client","")&amp;IF(G182="",", Description","")&amp;IF(H182="",", Cost Centre","")&amp;IF(I182="",", Invoice Type","")&amp;IF(J182="",", Tax Code","")&amp;IF(O182="",", Expected Revenue","")&amp;IF(COUNTIF(tbl_Finance[Job Number],$C182&amp;"")&gt;1,", Job number used twice",""),3,300)))</f>
        <v/>
      </c>
      <c r="Q182" s="10">
        <f>IF($C182="","",IF(H182="","(no cost centre)",H182&amp;" - GL "&amp;IFERROR(INDEX(lst_CCtoGL,MATCH(H182,lst_CCforGL,0)),"?")))</f>
        <v/>
      </c>
      <c r="R182" s="37" t="n"/>
      <c r="S182" s="37" t="n"/>
      <c r="T182" s="10">
        <f>IF(S182="","",HYPERLINK(IF(LEFT(S182,4)="http",S182,set_QwilrBase&amp;S182),"Open quote"))</f>
        <v/>
      </c>
      <c r="U182" s="41" t="n"/>
      <c r="V182" s="37" t="n"/>
      <c r="W182" s="37" t="n"/>
      <c r="X182" s="10" t="inlineStr">
        <is>
          <t>ONS-0178</t>
        </is>
      </c>
    </row>
    <row r="183">
      <c r="A183" s="16">
        <f>IF($C183="","",IFERROR(IF(INDEX(tbl_Finance[Latest Invoice Date],MATCH($X183,tbl_Finance[Row ID],0))="","",INDEX(tbl_Finance[Latest Invoice Date],MATCH($X183,tbl_Finance[Row ID],0))),""))</f>
        <v/>
      </c>
      <c r="B183" s="10">
        <f>IF($C183="","",IFERROR(INDEX(tbl_Finance[Invoice Numbers],MATCH($X183,tbl_Finance[Row ID],0))&amp;"",""))</f>
        <v/>
      </c>
      <c r="C183" s="37" t="n"/>
      <c r="D183" s="10">
        <f>IF($C183="","",IF(COUNTIF(lst_Jobs,$C183&amp;"")&gt;0,"OK","CHECK"))</f>
        <v/>
      </c>
      <c r="E183" s="10">
        <f>IF($C183="","",IFERROR(INDEX(lst_JobName,MATCH($C183&amp;"",lst_Jobs,0)),""))</f>
        <v/>
      </c>
      <c r="F183" s="37" t="n"/>
      <c r="G183" s="37" t="n"/>
      <c r="H183" s="37" t="n"/>
      <c r="I183" s="37" t="n"/>
      <c r="J183" s="37" t="n"/>
      <c r="K183" s="38">
        <f>IF($C183="","",IFERROR(N(INDEX(tbl_Finance[Invoice Count],MATCH($X183,tbl_Finance[Row ID],0))),""))</f>
        <v/>
      </c>
      <c r="L183" s="11">
        <f>IF($C183="","",IFERROR(N(INDEX(tbl_Finance[Xero Invoiced Ex GST],MATCH($X183,tbl_Finance[Row ID],0))),""))</f>
        <v/>
      </c>
      <c r="M183" s="10">
        <f>IF($C183="","",IFERROR(INDEX(tbl_Finance[Compare],MATCH($X183,tbl_Finance[Row ID],0))&amp;"",""))</f>
        <v/>
      </c>
      <c r="N183" s="11">
        <f>IF($C183="","",MAX(0,N(O183)-N(L183)))</f>
        <v/>
      </c>
      <c r="O183" s="39" t="n"/>
      <c r="P183" s="40">
        <f>IF($C183="","",IF((IF(F183="",", Client","")&amp;IF(G183="",", Description","")&amp;IF(H183="",", Cost Centre","")&amp;IF(I183="",", Invoice Type","")&amp;IF(J183="",", Tax Code","")&amp;IF(O183="",", Expected Revenue","")&amp;IF(COUNTIF(tbl_Finance[Job Number],$C183&amp;"")&gt;1,", Job number used twice",""))="","Complete","Fix: "&amp;MID(IF(F183="",", Client","")&amp;IF(G183="",", Description","")&amp;IF(H183="",", Cost Centre","")&amp;IF(I183="",", Invoice Type","")&amp;IF(J183="",", Tax Code","")&amp;IF(O183="",", Expected Revenue","")&amp;IF(COUNTIF(tbl_Finance[Job Number],$C183&amp;"")&gt;1,", Job number used twice",""),3,300)))</f>
        <v/>
      </c>
      <c r="Q183" s="10">
        <f>IF($C183="","",IF(H183="","(no cost centre)",H183&amp;" - GL "&amp;IFERROR(INDEX(lst_CCtoGL,MATCH(H183,lst_CCforGL,0)),"?")))</f>
        <v/>
      </c>
      <c r="R183" s="37" t="n"/>
      <c r="S183" s="37" t="n"/>
      <c r="T183" s="10">
        <f>IF(S183="","",HYPERLINK(IF(LEFT(S183,4)="http",S183,set_QwilrBase&amp;S183),"Open quote"))</f>
        <v/>
      </c>
      <c r="U183" s="41" t="n"/>
      <c r="V183" s="37" t="n"/>
      <c r="W183" s="37" t="n"/>
      <c r="X183" s="10" t="inlineStr">
        <is>
          <t>ONS-0179</t>
        </is>
      </c>
    </row>
    <row r="184">
      <c r="A184" s="16">
        <f>IF($C184="","",IFERROR(IF(INDEX(tbl_Finance[Latest Invoice Date],MATCH($X184,tbl_Finance[Row ID],0))="","",INDEX(tbl_Finance[Latest Invoice Date],MATCH($X184,tbl_Finance[Row ID],0))),""))</f>
        <v/>
      </c>
      <c r="B184" s="10">
        <f>IF($C184="","",IFERROR(INDEX(tbl_Finance[Invoice Numbers],MATCH($X184,tbl_Finance[Row ID],0))&amp;"",""))</f>
        <v/>
      </c>
      <c r="C184" s="37" t="n"/>
      <c r="D184" s="10">
        <f>IF($C184="","",IF(COUNTIF(lst_Jobs,$C184&amp;"")&gt;0,"OK","CHECK"))</f>
        <v/>
      </c>
      <c r="E184" s="10">
        <f>IF($C184="","",IFERROR(INDEX(lst_JobName,MATCH($C184&amp;"",lst_Jobs,0)),""))</f>
        <v/>
      </c>
      <c r="F184" s="37" t="n"/>
      <c r="G184" s="37" t="n"/>
      <c r="H184" s="37" t="n"/>
      <c r="I184" s="37" t="n"/>
      <c r="J184" s="37" t="n"/>
      <c r="K184" s="38">
        <f>IF($C184="","",IFERROR(N(INDEX(tbl_Finance[Invoice Count],MATCH($X184,tbl_Finance[Row ID],0))),""))</f>
        <v/>
      </c>
      <c r="L184" s="11">
        <f>IF($C184="","",IFERROR(N(INDEX(tbl_Finance[Xero Invoiced Ex GST],MATCH($X184,tbl_Finance[Row ID],0))),""))</f>
        <v/>
      </c>
      <c r="M184" s="10">
        <f>IF($C184="","",IFERROR(INDEX(tbl_Finance[Compare],MATCH($X184,tbl_Finance[Row ID],0))&amp;"",""))</f>
        <v/>
      </c>
      <c r="N184" s="11">
        <f>IF($C184="","",MAX(0,N(O184)-N(L184)))</f>
        <v/>
      </c>
      <c r="O184" s="39" t="n"/>
      <c r="P184" s="40">
        <f>IF($C184="","",IF((IF(F184="",", Client","")&amp;IF(G184="",", Description","")&amp;IF(H184="",", Cost Centre","")&amp;IF(I184="",", Invoice Type","")&amp;IF(J184="",", Tax Code","")&amp;IF(O184="",", Expected Revenue","")&amp;IF(COUNTIF(tbl_Finance[Job Number],$C184&amp;"")&gt;1,", Job number used twice",""))="","Complete","Fix: "&amp;MID(IF(F184="",", Client","")&amp;IF(G184="",", Description","")&amp;IF(H184="",", Cost Centre","")&amp;IF(I184="",", Invoice Type","")&amp;IF(J184="",", Tax Code","")&amp;IF(O184="",", Expected Revenue","")&amp;IF(COUNTIF(tbl_Finance[Job Number],$C184&amp;"")&gt;1,", Job number used twice",""),3,300)))</f>
        <v/>
      </c>
      <c r="Q184" s="10">
        <f>IF($C184="","",IF(H184="","(no cost centre)",H184&amp;" - GL "&amp;IFERROR(INDEX(lst_CCtoGL,MATCH(H184,lst_CCforGL,0)),"?")))</f>
        <v/>
      </c>
      <c r="R184" s="37" t="n"/>
      <c r="S184" s="37" t="n"/>
      <c r="T184" s="10">
        <f>IF(S184="","",HYPERLINK(IF(LEFT(S184,4)="http",S184,set_QwilrBase&amp;S184),"Open quote"))</f>
        <v/>
      </c>
      <c r="U184" s="41" t="n"/>
      <c r="V184" s="37" t="n"/>
      <c r="W184" s="37" t="n"/>
      <c r="X184" s="10" t="inlineStr">
        <is>
          <t>ONS-0180</t>
        </is>
      </c>
    </row>
    <row r="185">
      <c r="A185" s="16">
        <f>IF($C185="","",IFERROR(IF(INDEX(tbl_Finance[Latest Invoice Date],MATCH($X185,tbl_Finance[Row ID],0))="","",INDEX(tbl_Finance[Latest Invoice Date],MATCH($X185,tbl_Finance[Row ID],0))),""))</f>
        <v/>
      </c>
      <c r="B185" s="10">
        <f>IF($C185="","",IFERROR(INDEX(tbl_Finance[Invoice Numbers],MATCH($X185,tbl_Finance[Row ID],0))&amp;"",""))</f>
        <v/>
      </c>
      <c r="C185" s="37" t="n"/>
      <c r="D185" s="10">
        <f>IF($C185="","",IF(COUNTIF(lst_Jobs,$C185&amp;"")&gt;0,"OK","CHECK"))</f>
        <v/>
      </c>
      <c r="E185" s="10">
        <f>IF($C185="","",IFERROR(INDEX(lst_JobName,MATCH($C185&amp;"",lst_Jobs,0)),""))</f>
        <v/>
      </c>
      <c r="F185" s="37" t="n"/>
      <c r="G185" s="37" t="n"/>
      <c r="H185" s="37" t="n"/>
      <c r="I185" s="37" t="n"/>
      <c r="J185" s="37" t="n"/>
      <c r="K185" s="38">
        <f>IF($C185="","",IFERROR(N(INDEX(tbl_Finance[Invoice Count],MATCH($X185,tbl_Finance[Row ID],0))),""))</f>
        <v/>
      </c>
      <c r="L185" s="11">
        <f>IF($C185="","",IFERROR(N(INDEX(tbl_Finance[Xero Invoiced Ex GST],MATCH($X185,tbl_Finance[Row ID],0))),""))</f>
        <v/>
      </c>
      <c r="M185" s="10">
        <f>IF($C185="","",IFERROR(INDEX(tbl_Finance[Compare],MATCH($X185,tbl_Finance[Row ID],0))&amp;"",""))</f>
        <v/>
      </c>
      <c r="N185" s="11">
        <f>IF($C185="","",MAX(0,N(O185)-N(L185)))</f>
        <v/>
      </c>
      <c r="O185" s="39" t="n"/>
      <c r="P185" s="40">
        <f>IF($C185="","",IF((IF(F185="",", Client","")&amp;IF(G185="",", Description","")&amp;IF(H185="",", Cost Centre","")&amp;IF(I185="",", Invoice Type","")&amp;IF(J185="",", Tax Code","")&amp;IF(O185="",", Expected Revenue","")&amp;IF(COUNTIF(tbl_Finance[Job Number],$C185&amp;"")&gt;1,", Job number used twice",""))="","Complete","Fix: "&amp;MID(IF(F185="",", Client","")&amp;IF(G185="",", Description","")&amp;IF(H185="",", Cost Centre","")&amp;IF(I185="",", Invoice Type","")&amp;IF(J185="",", Tax Code","")&amp;IF(O185="",", Expected Revenue","")&amp;IF(COUNTIF(tbl_Finance[Job Number],$C185&amp;"")&gt;1,", Job number used twice",""),3,300)))</f>
        <v/>
      </c>
      <c r="Q185" s="10">
        <f>IF($C185="","",IF(H185="","(no cost centre)",H185&amp;" - GL "&amp;IFERROR(INDEX(lst_CCtoGL,MATCH(H185,lst_CCforGL,0)),"?")))</f>
        <v/>
      </c>
      <c r="R185" s="37" t="n"/>
      <c r="S185" s="37" t="n"/>
      <c r="T185" s="10">
        <f>IF(S185="","",HYPERLINK(IF(LEFT(S185,4)="http",S185,set_QwilrBase&amp;S185),"Open quote"))</f>
        <v/>
      </c>
      <c r="U185" s="41" t="n"/>
      <c r="V185" s="37" t="n"/>
      <c r="W185" s="37" t="n"/>
      <c r="X185" s="10" t="inlineStr">
        <is>
          <t>ONS-0181</t>
        </is>
      </c>
    </row>
    <row r="186">
      <c r="A186" s="16">
        <f>IF($C186="","",IFERROR(IF(INDEX(tbl_Finance[Latest Invoice Date],MATCH($X186,tbl_Finance[Row ID],0))="","",INDEX(tbl_Finance[Latest Invoice Date],MATCH($X186,tbl_Finance[Row ID],0))),""))</f>
        <v/>
      </c>
      <c r="B186" s="10">
        <f>IF($C186="","",IFERROR(INDEX(tbl_Finance[Invoice Numbers],MATCH($X186,tbl_Finance[Row ID],0))&amp;"",""))</f>
        <v/>
      </c>
      <c r="C186" s="37" t="n"/>
      <c r="D186" s="10">
        <f>IF($C186="","",IF(COUNTIF(lst_Jobs,$C186&amp;"")&gt;0,"OK","CHECK"))</f>
        <v/>
      </c>
      <c r="E186" s="10">
        <f>IF($C186="","",IFERROR(INDEX(lst_JobName,MATCH($C186&amp;"",lst_Jobs,0)),""))</f>
        <v/>
      </c>
      <c r="F186" s="37" t="n"/>
      <c r="G186" s="37" t="n"/>
      <c r="H186" s="37" t="n"/>
      <c r="I186" s="37" t="n"/>
      <c r="J186" s="37" t="n"/>
      <c r="K186" s="38">
        <f>IF($C186="","",IFERROR(N(INDEX(tbl_Finance[Invoice Count],MATCH($X186,tbl_Finance[Row ID],0))),""))</f>
        <v/>
      </c>
      <c r="L186" s="11">
        <f>IF($C186="","",IFERROR(N(INDEX(tbl_Finance[Xero Invoiced Ex GST],MATCH($X186,tbl_Finance[Row ID],0))),""))</f>
        <v/>
      </c>
      <c r="M186" s="10">
        <f>IF($C186="","",IFERROR(INDEX(tbl_Finance[Compare],MATCH($X186,tbl_Finance[Row ID],0))&amp;"",""))</f>
        <v/>
      </c>
      <c r="N186" s="11">
        <f>IF($C186="","",MAX(0,N(O186)-N(L186)))</f>
        <v/>
      </c>
      <c r="O186" s="39" t="n"/>
      <c r="P186" s="40">
        <f>IF($C186="","",IF((IF(F186="",", Client","")&amp;IF(G186="",", Description","")&amp;IF(H186="",", Cost Centre","")&amp;IF(I186="",", Invoice Type","")&amp;IF(J186="",", Tax Code","")&amp;IF(O186="",", Expected Revenue","")&amp;IF(COUNTIF(tbl_Finance[Job Number],$C186&amp;"")&gt;1,", Job number used twice",""))="","Complete","Fix: "&amp;MID(IF(F186="",", Client","")&amp;IF(G186="",", Description","")&amp;IF(H186="",", Cost Centre","")&amp;IF(I186="",", Invoice Type","")&amp;IF(J186="",", Tax Code","")&amp;IF(O186="",", Expected Revenue","")&amp;IF(COUNTIF(tbl_Finance[Job Number],$C186&amp;"")&gt;1,", Job number used twice",""),3,300)))</f>
        <v/>
      </c>
      <c r="Q186" s="10">
        <f>IF($C186="","",IF(H186="","(no cost centre)",H186&amp;" - GL "&amp;IFERROR(INDEX(lst_CCtoGL,MATCH(H186,lst_CCforGL,0)),"?")))</f>
        <v/>
      </c>
      <c r="R186" s="37" t="n"/>
      <c r="S186" s="37" t="n"/>
      <c r="T186" s="10">
        <f>IF(S186="","",HYPERLINK(IF(LEFT(S186,4)="http",S186,set_QwilrBase&amp;S186),"Open quote"))</f>
        <v/>
      </c>
      <c r="U186" s="41" t="n"/>
      <c r="V186" s="37" t="n"/>
      <c r="W186" s="37" t="n"/>
      <c r="X186" s="10" t="inlineStr">
        <is>
          <t>ONS-0182</t>
        </is>
      </c>
    </row>
    <row r="187">
      <c r="A187" s="16">
        <f>IF($C187="","",IFERROR(IF(INDEX(tbl_Finance[Latest Invoice Date],MATCH($X187,tbl_Finance[Row ID],0))="","",INDEX(tbl_Finance[Latest Invoice Date],MATCH($X187,tbl_Finance[Row ID],0))),""))</f>
        <v/>
      </c>
      <c r="B187" s="10">
        <f>IF($C187="","",IFERROR(INDEX(tbl_Finance[Invoice Numbers],MATCH($X187,tbl_Finance[Row ID],0))&amp;"",""))</f>
        <v/>
      </c>
      <c r="C187" s="37" t="n"/>
      <c r="D187" s="10">
        <f>IF($C187="","",IF(COUNTIF(lst_Jobs,$C187&amp;"")&gt;0,"OK","CHECK"))</f>
        <v/>
      </c>
      <c r="E187" s="10">
        <f>IF($C187="","",IFERROR(INDEX(lst_JobName,MATCH($C187&amp;"",lst_Jobs,0)),""))</f>
        <v/>
      </c>
      <c r="F187" s="37" t="n"/>
      <c r="G187" s="37" t="n"/>
      <c r="H187" s="37" t="n"/>
      <c r="I187" s="37" t="n"/>
      <c r="J187" s="37" t="n"/>
      <c r="K187" s="38">
        <f>IF($C187="","",IFERROR(N(INDEX(tbl_Finance[Invoice Count],MATCH($X187,tbl_Finance[Row ID],0))),""))</f>
        <v/>
      </c>
      <c r="L187" s="11">
        <f>IF($C187="","",IFERROR(N(INDEX(tbl_Finance[Xero Invoiced Ex GST],MATCH($X187,tbl_Finance[Row ID],0))),""))</f>
        <v/>
      </c>
      <c r="M187" s="10">
        <f>IF($C187="","",IFERROR(INDEX(tbl_Finance[Compare],MATCH($X187,tbl_Finance[Row ID],0))&amp;"",""))</f>
        <v/>
      </c>
      <c r="N187" s="11">
        <f>IF($C187="","",MAX(0,N(O187)-N(L187)))</f>
        <v/>
      </c>
      <c r="O187" s="39" t="n"/>
      <c r="P187" s="40">
        <f>IF($C187="","",IF((IF(F187="",", Client","")&amp;IF(G187="",", Description","")&amp;IF(H187="",", Cost Centre","")&amp;IF(I187="",", Invoice Type","")&amp;IF(J187="",", Tax Code","")&amp;IF(O187="",", Expected Revenue","")&amp;IF(COUNTIF(tbl_Finance[Job Number],$C187&amp;"")&gt;1,", Job number used twice",""))="","Complete","Fix: "&amp;MID(IF(F187="",", Client","")&amp;IF(G187="",", Description","")&amp;IF(H187="",", Cost Centre","")&amp;IF(I187="",", Invoice Type","")&amp;IF(J187="",", Tax Code","")&amp;IF(O187="",", Expected Revenue","")&amp;IF(COUNTIF(tbl_Finance[Job Number],$C187&amp;"")&gt;1,", Job number used twice",""),3,300)))</f>
        <v/>
      </c>
      <c r="Q187" s="10">
        <f>IF($C187="","",IF(H187="","(no cost centre)",H187&amp;" - GL "&amp;IFERROR(INDEX(lst_CCtoGL,MATCH(H187,lst_CCforGL,0)),"?")))</f>
        <v/>
      </c>
      <c r="R187" s="37" t="n"/>
      <c r="S187" s="37" t="n"/>
      <c r="T187" s="10">
        <f>IF(S187="","",HYPERLINK(IF(LEFT(S187,4)="http",S187,set_QwilrBase&amp;S187),"Open quote"))</f>
        <v/>
      </c>
      <c r="U187" s="41" t="n"/>
      <c r="V187" s="37" t="n"/>
      <c r="W187" s="37" t="n"/>
      <c r="X187" s="10" t="inlineStr">
        <is>
          <t>ONS-0183</t>
        </is>
      </c>
    </row>
    <row r="188">
      <c r="A188" s="16">
        <f>IF($C188="","",IFERROR(IF(INDEX(tbl_Finance[Latest Invoice Date],MATCH($X188,tbl_Finance[Row ID],0))="","",INDEX(tbl_Finance[Latest Invoice Date],MATCH($X188,tbl_Finance[Row ID],0))),""))</f>
        <v/>
      </c>
      <c r="B188" s="10">
        <f>IF($C188="","",IFERROR(INDEX(tbl_Finance[Invoice Numbers],MATCH($X188,tbl_Finance[Row ID],0))&amp;"",""))</f>
        <v/>
      </c>
      <c r="C188" s="37" t="n"/>
      <c r="D188" s="10">
        <f>IF($C188="","",IF(COUNTIF(lst_Jobs,$C188&amp;"")&gt;0,"OK","CHECK"))</f>
        <v/>
      </c>
      <c r="E188" s="10">
        <f>IF($C188="","",IFERROR(INDEX(lst_JobName,MATCH($C188&amp;"",lst_Jobs,0)),""))</f>
        <v/>
      </c>
      <c r="F188" s="37" t="n"/>
      <c r="G188" s="37" t="n"/>
      <c r="H188" s="37" t="n"/>
      <c r="I188" s="37" t="n"/>
      <c r="J188" s="37" t="n"/>
      <c r="K188" s="38">
        <f>IF($C188="","",IFERROR(N(INDEX(tbl_Finance[Invoice Count],MATCH($X188,tbl_Finance[Row ID],0))),""))</f>
        <v/>
      </c>
      <c r="L188" s="11">
        <f>IF($C188="","",IFERROR(N(INDEX(tbl_Finance[Xero Invoiced Ex GST],MATCH($X188,tbl_Finance[Row ID],0))),""))</f>
        <v/>
      </c>
      <c r="M188" s="10">
        <f>IF($C188="","",IFERROR(INDEX(tbl_Finance[Compare],MATCH($X188,tbl_Finance[Row ID],0))&amp;"",""))</f>
        <v/>
      </c>
      <c r="N188" s="11">
        <f>IF($C188="","",MAX(0,N(O188)-N(L188)))</f>
        <v/>
      </c>
      <c r="O188" s="39" t="n"/>
      <c r="P188" s="40">
        <f>IF($C188="","",IF((IF(F188="",", Client","")&amp;IF(G188="",", Description","")&amp;IF(H188="",", Cost Centre","")&amp;IF(I188="",", Invoice Type","")&amp;IF(J188="",", Tax Code","")&amp;IF(O188="",", Expected Revenue","")&amp;IF(COUNTIF(tbl_Finance[Job Number],$C188&amp;"")&gt;1,", Job number used twice",""))="","Complete","Fix: "&amp;MID(IF(F188="",", Client","")&amp;IF(G188="",", Description","")&amp;IF(H188="",", Cost Centre","")&amp;IF(I188="",", Invoice Type","")&amp;IF(J188="",", Tax Code","")&amp;IF(O188="",", Expected Revenue","")&amp;IF(COUNTIF(tbl_Finance[Job Number],$C188&amp;"")&gt;1,", Job number used twice",""),3,300)))</f>
        <v/>
      </c>
      <c r="Q188" s="10">
        <f>IF($C188="","",IF(H188="","(no cost centre)",H188&amp;" - GL "&amp;IFERROR(INDEX(lst_CCtoGL,MATCH(H188,lst_CCforGL,0)),"?")))</f>
        <v/>
      </c>
      <c r="R188" s="37" t="n"/>
      <c r="S188" s="37" t="n"/>
      <c r="T188" s="10">
        <f>IF(S188="","",HYPERLINK(IF(LEFT(S188,4)="http",S188,set_QwilrBase&amp;S188),"Open quote"))</f>
        <v/>
      </c>
      <c r="U188" s="41" t="n"/>
      <c r="V188" s="37" t="n"/>
      <c r="W188" s="37" t="n"/>
      <c r="X188" s="10" t="inlineStr">
        <is>
          <t>ONS-0184</t>
        </is>
      </c>
    </row>
    <row r="189">
      <c r="A189" s="16">
        <f>IF($C189="","",IFERROR(IF(INDEX(tbl_Finance[Latest Invoice Date],MATCH($X189,tbl_Finance[Row ID],0))="","",INDEX(tbl_Finance[Latest Invoice Date],MATCH($X189,tbl_Finance[Row ID],0))),""))</f>
        <v/>
      </c>
      <c r="B189" s="10">
        <f>IF($C189="","",IFERROR(INDEX(tbl_Finance[Invoice Numbers],MATCH($X189,tbl_Finance[Row ID],0))&amp;"",""))</f>
        <v/>
      </c>
      <c r="C189" s="37" t="n"/>
      <c r="D189" s="10">
        <f>IF($C189="","",IF(COUNTIF(lst_Jobs,$C189&amp;"")&gt;0,"OK","CHECK"))</f>
        <v/>
      </c>
      <c r="E189" s="10">
        <f>IF($C189="","",IFERROR(INDEX(lst_JobName,MATCH($C189&amp;"",lst_Jobs,0)),""))</f>
        <v/>
      </c>
      <c r="F189" s="37" t="n"/>
      <c r="G189" s="37" t="n"/>
      <c r="H189" s="37" t="n"/>
      <c r="I189" s="37" t="n"/>
      <c r="J189" s="37" t="n"/>
      <c r="K189" s="38">
        <f>IF($C189="","",IFERROR(N(INDEX(tbl_Finance[Invoice Count],MATCH($X189,tbl_Finance[Row ID],0))),""))</f>
        <v/>
      </c>
      <c r="L189" s="11">
        <f>IF($C189="","",IFERROR(N(INDEX(tbl_Finance[Xero Invoiced Ex GST],MATCH($X189,tbl_Finance[Row ID],0))),""))</f>
        <v/>
      </c>
      <c r="M189" s="10">
        <f>IF($C189="","",IFERROR(INDEX(tbl_Finance[Compare],MATCH($X189,tbl_Finance[Row ID],0))&amp;"",""))</f>
        <v/>
      </c>
      <c r="N189" s="11">
        <f>IF($C189="","",MAX(0,N(O189)-N(L189)))</f>
        <v/>
      </c>
      <c r="O189" s="39" t="n"/>
      <c r="P189" s="40">
        <f>IF($C189="","",IF((IF(F189="",", Client","")&amp;IF(G189="",", Description","")&amp;IF(H189="",", Cost Centre","")&amp;IF(I189="",", Invoice Type","")&amp;IF(J189="",", Tax Code","")&amp;IF(O189="",", Expected Revenue","")&amp;IF(COUNTIF(tbl_Finance[Job Number],$C189&amp;"")&gt;1,", Job number used twice",""))="","Complete","Fix: "&amp;MID(IF(F189="",", Client","")&amp;IF(G189="",", Description","")&amp;IF(H189="",", Cost Centre","")&amp;IF(I189="",", Invoice Type","")&amp;IF(J189="",", Tax Code","")&amp;IF(O189="",", Expected Revenue","")&amp;IF(COUNTIF(tbl_Finance[Job Number],$C189&amp;"")&gt;1,", Job number used twice",""),3,300)))</f>
        <v/>
      </c>
      <c r="Q189" s="10">
        <f>IF($C189="","",IF(H189="","(no cost centre)",H189&amp;" - GL "&amp;IFERROR(INDEX(lst_CCtoGL,MATCH(H189,lst_CCforGL,0)),"?")))</f>
        <v/>
      </c>
      <c r="R189" s="37" t="n"/>
      <c r="S189" s="37" t="n"/>
      <c r="T189" s="10">
        <f>IF(S189="","",HYPERLINK(IF(LEFT(S189,4)="http",S189,set_QwilrBase&amp;S189),"Open quote"))</f>
        <v/>
      </c>
      <c r="U189" s="41" t="n"/>
      <c r="V189" s="37" t="n"/>
      <c r="W189" s="37" t="n"/>
      <c r="X189" s="10" t="inlineStr">
        <is>
          <t>ONS-0185</t>
        </is>
      </c>
    </row>
    <row r="190">
      <c r="A190" s="16">
        <f>IF($C190="","",IFERROR(IF(INDEX(tbl_Finance[Latest Invoice Date],MATCH($X190,tbl_Finance[Row ID],0))="","",INDEX(tbl_Finance[Latest Invoice Date],MATCH($X190,tbl_Finance[Row ID],0))),""))</f>
        <v/>
      </c>
      <c r="B190" s="10">
        <f>IF($C190="","",IFERROR(INDEX(tbl_Finance[Invoice Numbers],MATCH($X190,tbl_Finance[Row ID],0))&amp;"",""))</f>
        <v/>
      </c>
      <c r="C190" s="37" t="n"/>
      <c r="D190" s="10">
        <f>IF($C190="","",IF(COUNTIF(lst_Jobs,$C190&amp;"")&gt;0,"OK","CHECK"))</f>
        <v/>
      </c>
      <c r="E190" s="10">
        <f>IF($C190="","",IFERROR(INDEX(lst_JobName,MATCH($C190&amp;"",lst_Jobs,0)),""))</f>
        <v/>
      </c>
      <c r="F190" s="37" t="n"/>
      <c r="G190" s="37" t="n"/>
      <c r="H190" s="37" t="n"/>
      <c r="I190" s="37" t="n"/>
      <c r="J190" s="37" t="n"/>
      <c r="K190" s="38">
        <f>IF($C190="","",IFERROR(N(INDEX(tbl_Finance[Invoice Count],MATCH($X190,tbl_Finance[Row ID],0))),""))</f>
        <v/>
      </c>
      <c r="L190" s="11">
        <f>IF($C190="","",IFERROR(N(INDEX(tbl_Finance[Xero Invoiced Ex GST],MATCH($X190,tbl_Finance[Row ID],0))),""))</f>
        <v/>
      </c>
      <c r="M190" s="10">
        <f>IF($C190="","",IFERROR(INDEX(tbl_Finance[Compare],MATCH($X190,tbl_Finance[Row ID],0))&amp;"",""))</f>
        <v/>
      </c>
      <c r="N190" s="11">
        <f>IF($C190="","",MAX(0,N(O190)-N(L190)))</f>
        <v/>
      </c>
      <c r="O190" s="39" t="n"/>
      <c r="P190" s="40">
        <f>IF($C190="","",IF((IF(F190="",", Client","")&amp;IF(G190="",", Description","")&amp;IF(H190="",", Cost Centre","")&amp;IF(I190="",", Invoice Type","")&amp;IF(J190="",", Tax Code","")&amp;IF(O190="",", Expected Revenue","")&amp;IF(COUNTIF(tbl_Finance[Job Number],$C190&amp;"")&gt;1,", Job number used twice",""))="","Complete","Fix: "&amp;MID(IF(F190="",", Client","")&amp;IF(G190="",", Description","")&amp;IF(H190="",", Cost Centre","")&amp;IF(I190="",", Invoice Type","")&amp;IF(J190="",", Tax Code","")&amp;IF(O190="",", Expected Revenue","")&amp;IF(COUNTIF(tbl_Finance[Job Number],$C190&amp;"")&gt;1,", Job number used twice",""),3,300)))</f>
        <v/>
      </c>
      <c r="Q190" s="10">
        <f>IF($C190="","",IF(H190="","(no cost centre)",H190&amp;" - GL "&amp;IFERROR(INDEX(lst_CCtoGL,MATCH(H190,lst_CCforGL,0)),"?")))</f>
        <v/>
      </c>
      <c r="R190" s="37" t="n"/>
      <c r="S190" s="37" t="n"/>
      <c r="T190" s="10">
        <f>IF(S190="","",HYPERLINK(IF(LEFT(S190,4)="http",S190,set_QwilrBase&amp;S190),"Open quote"))</f>
        <v/>
      </c>
      <c r="U190" s="41" t="n"/>
      <c r="V190" s="37" t="n"/>
      <c r="W190" s="37" t="n"/>
      <c r="X190" s="10" t="inlineStr">
        <is>
          <t>ONS-0186</t>
        </is>
      </c>
    </row>
    <row r="191">
      <c r="A191" s="16">
        <f>IF($C191="","",IFERROR(IF(INDEX(tbl_Finance[Latest Invoice Date],MATCH($X191,tbl_Finance[Row ID],0))="","",INDEX(tbl_Finance[Latest Invoice Date],MATCH($X191,tbl_Finance[Row ID],0))),""))</f>
        <v/>
      </c>
      <c r="B191" s="10">
        <f>IF($C191="","",IFERROR(INDEX(tbl_Finance[Invoice Numbers],MATCH($X191,tbl_Finance[Row ID],0))&amp;"",""))</f>
        <v/>
      </c>
      <c r="C191" s="37" t="n"/>
      <c r="D191" s="10">
        <f>IF($C191="","",IF(COUNTIF(lst_Jobs,$C191&amp;"")&gt;0,"OK","CHECK"))</f>
        <v/>
      </c>
      <c r="E191" s="10">
        <f>IF($C191="","",IFERROR(INDEX(lst_JobName,MATCH($C191&amp;"",lst_Jobs,0)),""))</f>
        <v/>
      </c>
      <c r="F191" s="37" t="n"/>
      <c r="G191" s="37" t="n"/>
      <c r="H191" s="37" t="n"/>
      <c r="I191" s="37" t="n"/>
      <c r="J191" s="37" t="n"/>
      <c r="K191" s="38">
        <f>IF($C191="","",IFERROR(N(INDEX(tbl_Finance[Invoice Count],MATCH($X191,tbl_Finance[Row ID],0))),""))</f>
        <v/>
      </c>
      <c r="L191" s="11">
        <f>IF($C191="","",IFERROR(N(INDEX(tbl_Finance[Xero Invoiced Ex GST],MATCH($X191,tbl_Finance[Row ID],0))),""))</f>
        <v/>
      </c>
      <c r="M191" s="10">
        <f>IF($C191="","",IFERROR(INDEX(tbl_Finance[Compare],MATCH($X191,tbl_Finance[Row ID],0))&amp;"",""))</f>
        <v/>
      </c>
      <c r="N191" s="11">
        <f>IF($C191="","",MAX(0,N(O191)-N(L191)))</f>
        <v/>
      </c>
      <c r="O191" s="39" t="n"/>
      <c r="P191" s="40">
        <f>IF($C191="","",IF((IF(F191="",", Client","")&amp;IF(G191="",", Description","")&amp;IF(H191="",", Cost Centre","")&amp;IF(I191="",", Invoice Type","")&amp;IF(J191="",", Tax Code","")&amp;IF(O191="",", Expected Revenue","")&amp;IF(COUNTIF(tbl_Finance[Job Number],$C191&amp;"")&gt;1,", Job number used twice",""))="","Complete","Fix: "&amp;MID(IF(F191="",", Client","")&amp;IF(G191="",", Description","")&amp;IF(H191="",", Cost Centre","")&amp;IF(I191="",", Invoice Type","")&amp;IF(J191="",", Tax Code","")&amp;IF(O191="",", Expected Revenue","")&amp;IF(COUNTIF(tbl_Finance[Job Number],$C191&amp;"")&gt;1,", Job number used twice",""),3,300)))</f>
        <v/>
      </c>
      <c r="Q191" s="10">
        <f>IF($C191="","",IF(H191="","(no cost centre)",H191&amp;" - GL "&amp;IFERROR(INDEX(lst_CCtoGL,MATCH(H191,lst_CCforGL,0)),"?")))</f>
        <v/>
      </c>
      <c r="R191" s="37" t="n"/>
      <c r="S191" s="37" t="n"/>
      <c r="T191" s="10">
        <f>IF(S191="","",HYPERLINK(IF(LEFT(S191,4)="http",S191,set_QwilrBase&amp;S191),"Open quote"))</f>
        <v/>
      </c>
      <c r="U191" s="41" t="n"/>
      <c r="V191" s="37" t="n"/>
      <c r="W191" s="37" t="n"/>
      <c r="X191" s="10" t="inlineStr">
        <is>
          <t>ONS-0187</t>
        </is>
      </c>
    </row>
    <row r="192">
      <c r="A192" s="16">
        <f>IF($C192="","",IFERROR(IF(INDEX(tbl_Finance[Latest Invoice Date],MATCH($X192,tbl_Finance[Row ID],0))="","",INDEX(tbl_Finance[Latest Invoice Date],MATCH($X192,tbl_Finance[Row ID],0))),""))</f>
        <v/>
      </c>
      <c r="B192" s="10">
        <f>IF($C192="","",IFERROR(INDEX(tbl_Finance[Invoice Numbers],MATCH($X192,tbl_Finance[Row ID],0))&amp;"",""))</f>
        <v/>
      </c>
      <c r="C192" s="37" t="n"/>
      <c r="D192" s="10">
        <f>IF($C192="","",IF(COUNTIF(lst_Jobs,$C192&amp;"")&gt;0,"OK","CHECK"))</f>
        <v/>
      </c>
      <c r="E192" s="10">
        <f>IF($C192="","",IFERROR(INDEX(lst_JobName,MATCH($C192&amp;"",lst_Jobs,0)),""))</f>
        <v/>
      </c>
      <c r="F192" s="37" t="n"/>
      <c r="G192" s="37" t="n"/>
      <c r="H192" s="37" t="n"/>
      <c r="I192" s="37" t="n"/>
      <c r="J192" s="37" t="n"/>
      <c r="K192" s="38">
        <f>IF($C192="","",IFERROR(N(INDEX(tbl_Finance[Invoice Count],MATCH($X192,tbl_Finance[Row ID],0))),""))</f>
        <v/>
      </c>
      <c r="L192" s="11">
        <f>IF($C192="","",IFERROR(N(INDEX(tbl_Finance[Xero Invoiced Ex GST],MATCH($X192,tbl_Finance[Row ID],0))),""))</f>
        <v/>
      </c>
      <c r="M192" s="10">
        <f>IF($C192="","",IFERROR(INDEX(tbl_Finance[Compare],MATCH($X192,tbl_Finance[Row ID],0))&amp;"",""))</f>
        <v/>
      </c>
      <c r="N192" s="11">
        <f>IF($C192="","",MAX(0,N(O192)-N(L192)))</f>
        <v/>
      </c>
      <c r="O192" s="39" t="n"/>
      <c r="P192" s="40">
        <f>IF($C192="","",IF((IF(F192="",", Client","")&amp;IF(G192="",", Description","")&amp;IF(H192="",", Cost Centre","")&amp;IF(I192="",", Invoice Type","")&amp;IF(J192="",", Tax Code","")&amp;IF(O192="",", Expected Revenue","")&amp;IF(COUNTIF(tbl_Finance[Job Number],$C192&amp;"")&gt;1,", Job number used twice",""))="","Complete","Fix: "&amp;MID(IF(F192="",", Client","")&amp;IF(G192="",", Description","")&amp;IF(H192="",", Cost Centre","")&amp;IF(I192="",", Invoice Type","")&amp;IF(J192="",", Tax Code","")&amp;IF(O192="",", Expected Revenue","")&amp;IF(COUNTIF(tbl_Finance[Job Number],$C192&amp;"")&gt;1,", Job number used twice",""),3,300)))</f>
        <v/>
      </c>
      <c r="Q192" s="10">
        <f>IF($C192="","",IF(H192="","(no cost centre)",H192&amp;" - GL "&amp;IFERROR(INDEX(lst_CCtoGL,MATCH(H192,lst_CCforGL,0)),"?")))</f>
        <v/>
      </c>
      <c r="R192" s="37" t="n"/>
      <c r="S192" s="37" t="n"/>
      <c r="T192" s="10">
        <f>IF(S192="","",HYPERLINK(IF(LEFT(S192,4)="http",S192,set_QwilrBase&amp;S192),"Open quote"))</f>
        <v/>
      </c>
      <c r="U192" s="41" t="n"/>
      <c r="V192" s="37" t="n"/>
      <c r="W192" s="37" t="n"/>
      <c r="X192" s="10" t="inlineStr">
        <is>
          <t>ONS-0188</t>
        </is>
      </c>
    </row>
    <row r="193">
      <c r="A193" s="16">
        <f>IF($C193="","",IFERROR(IF(INDEX(tbl_Finance[Latest Invoice Date],MATCH($X193,tbl_Finance[Row ID],0))="","",INDEX(tbl_Finance[Latest Invoice Date],MATCH($X193,tbl_Finance[Row ID],0))),""))</f>
        <v/>
      </c>
      <c r="B193" s="10">
        <f>IF($C193="","",IFERROR(INDEX(tbl_Finance[Invoice Numbers],MATCH($X193,tbl_Finance[Row ID],0))&amp;"",""))</f>
        <v/>
      </c>
      <c r="C193" s="37" t="n"/>
      <c r="D193" s="10">
        <f>IF($C193="","",IF(COUNTIF(lst_Jobs,$C193&amp;"")&gt;0,"OK","CHECK"))</f>
        <v/>
      </c>
      <c r="E193" s="10">
        <f>IF($C193="","",IFERROR(INDEX(lst_JobName,MATCH($C193&amp;"",lst_Jobs,0)),""))</f>
        <v/>
      </c>
      <c r="F193" s="37" t="n"/>
      <c r="G193" s="37" t="n"/>
      <c r="H193" s="37" t="n"/>
      <c r="I193" s="37" t="n"/>
      <c r="J193" s="37" t="n"/>
      <c r="K193" s="38">
        <f>IF($C193="","",IFERROR(N(INDEX(tbl_Finance[Invoice Count],MATCH($X193,tbl_Finance[Row ID],0))),""))</f>
        <v/>
      </c>
      <c r="L193" s="11">
        <f>IF($C193="","",IFERROR(N(INDEX(tbl_Finance[Xero Invoiced Ex GST],MATCH($X193,tbl_Finance[Row ID],0))),""))</f>
        <v/>
      </c>
      <c r="M193" s="10">
        <f>IF($C193="","",IFERROR(INDEX(tbl_Finance[Compare],MATCH($X193,tbl_Finance[Row ID],0))&amp;"",""))</f>
        <v/>
      </c>
      <c r="N193" s="11">
        <f>IF($C193="","",MAX(0,N(O193)-N(L193)))</f>
        <v/>
      </c>
      <c r="O193" s="39" t="n"/>
      <c r="P193" s="40">
        <f>IF($C193="","",IF((IF(F193="",", Client","")&amp;IF(G193="",", Description","")&amp;IF(H193="",", Cost Centre","")&amp;IF(I193="",", Invoice Type","")&amp;IF(J193="",", Tax Code","")&amp;IF(O193="",", Expected Revenue","")&amp;IF(COUNTIF(tbl_Finance[Job Number],$C193&amp;"")&gt;1,", Job number used twice",""))="","Complete","Fix: "&amp;MID(IF(F193="",", Client","")&amp;IF(G193="",", Description","")&amp;IF(H193="",", Cost Centre","")&amp;IF(I193="",", Invoice Type","")&amp;IF(J193="",", Tax Code","")&amp;IF(O193="",", Expected Revenue","")&amp;IF(COUNTIF(tbl_Finance[Job Number],$C193&amp;"")&gt;1,", Job number used twice",""),3,300)))</f>
        <v/>
      </c>
      <c r="Q193" s="10">
        <f>IF($C193="","",IF(H193="","(no cost centre)",H193&amp;" - GL "&amp;IFERROR(INDEX(lst_CCtoGL,MATCH(H193,lst_CCforGL,0)),"?")))</f>
        <v/>
      </c>
      <c r="R193" s="37" t="n"/>
      <c r="S193" s="37" t="n"/>
      <c r="T193" s="10">
        <f>IF(S193="","",HYPERLINK(IF(LEFT(S193,4)="http",S193,set_QwilrBase&amp;S193),"Open quote"))</f>
        <v/>
      </c>
      <c r="U193" s="41" t="n"/>
      <c r="V193" s="37" t="n"/>
      <c r="W193" s="37" t="n"/>
      <c r="X193" s="10" t="inlineStr">
        <is>
          <t>ONS-0189</t>
        </is>
      </c>
    </row>
    <row r="194">
      <c r="A194" s="16">
        <f>IF($C194="","",IFERROR(IF(INDEX(tbl_Finance[Latest Invoice Date],MATCH($X194,tbl_Finance[Row ID],0))="","",INDEX(tbl_Finance[Latest Invoice Date],MATCH($X194,tbl_Finance[Row ID],0))),""))</f>
        <v/>
      </c>
      <c r="B194" s="10">
        <f>IF($C194="","",IFERROR(INDEX(tbl_Finance[Invoice Numbers],MATCH($X194,tbl_Finance[Row ID],0))&amp;"",""))</f>
        <v/>
      </c>
      <c r="C194" s="37" t="n"/>
      <c r="D194" s="10">
        <f>IF($C194="","",IF(COUNTIF(lst_Jobs,$C194&amp;"")&gt;0,"OK","CHECK"))</f>
        <v/>
      </c>
      <c r="E194" s="10">
        <f>IF($C194="","",IFERROR(INDEX(lst_JobName,MATCH($C194&amp;"",lst_Jobs,0)),""))</f>
        <v/>
      </c>
      <c r="F194" s="37" t="n"/>
      <c r="G194" s="37" t="n"/>
      <c r="H194" s="37" t="n"/>
      <c r="I194" s="37" t="n"/>
      <c r="J194" s="37" t="n"/>
      <c r="K194" s="38">
        <f>IF($C194="","",IFERROR(N(INDEX(tbl_Finance[Invoice Count],MATCH($X194,tbl_Finance[Row ID],0))),""))</f>
        <v/>
      </c>
      <c r="L194" s="11">
        <f>IF($C194="","",IFERROR(N(INDEX(tbl_Finance[Xero Invoiced Ex GST],MATCH($X194,tbl_Finance[Row ID],0))),""))</f>
        <v/>
      </c>
      <c r="M194" s="10">
        <f>IF($C194="","",IFERROR(INDEX(tbl_Finance[Compare],MATCH($X194,tbl_Finance[Row ID],0))&amp;"",""))</f>
        <v/>
      </c>
      <c r="N194" s="11">
        <f>IF($C194="","",MAX(0,N(O194)-N(L194)))</f>
        <v/>
      </c>
      <c r="O194" s="39" t="n"/>
      <c r="P194" s="40">
        <f>IF($C194="","",IF((IF(F194="",", Client","")&amp;IF(G194="",", Description","")&amp;IF(H194="",", Cost Centre","")&amp;IF(I194="",", Invoice Type","")&amp;IF(J194="",", Tax Code","")&amp;IF(O194="",", Expected Revenue","")&amp;IF(COUNTIF(tbl_Finance[Job Number],$C194&amp;"")&gt;1,", Job number used twice",""))="","Complete","Fix: "&amp;MID(IF(F194="",", Client","")&amp;IF(G194="",", Description","")&amp;IF(H194="",", Cost Centre","")&amp;IF(I194="",", Invoice Type","")&amp;IF(J194="",", Tax Code","")&amp;IF(O194="",", Expected Revenue","")&amp;IF(COUNTIF(tbl_Finance[Job Number],$C194&amp;"")&gt;1,", Job number used twice",""),3,300)))</f>
        <v/>
      </c>
      <c r="Q194" s="10">
        <f>IF($C194="","",IF(H194="","(no cost centre)",H194&amp;" - GL "&amp;IFERROR(INDEX(lst_CCtoGL,MATCH(H194,lst_CCforGL,0)),"?")))</f>
        <v/>
      </c>
      <c r="R194" s="37" t="n"/>
      <c r="S194" s="37" t="n"/>
      <c r="T194" s="10">
        <f>IF(S194="","",HYPERLINK(IF(LEFT(S194,4)="http",S194,set_QwilrBase&amp;S194),"Open quote"))</f>
        <v/>
      </c>
      <c r="U194" s="41" t="n"/>
      <c r="V194" s="37" t="n"/>
      <c r="W194" s="37" t="n"/>
      <c r="X194" s="10" t="inlineStr">
        <is>
          <t>ONS-0190</t>
        </is>
      </c>
    </row>
    <row r="195">
      <c r="A195" s="16">
        <f>IF($C195="","",IFERROR(IF(INDEX(tbl_Finance[Latest Invoice Date],MATCH($X195,tbl_Finance[Row ID],0))="","",INDEX(tbl_Finance[Latest Invoice Date],MATCH($X195,tbl_Finance[Row ID],0))),""))</f>
        <v/>
      </c>
      <c r="B195" s="10">
        <f>IF($C195="","",IFERROR(INDEX(tbl_Finance[Invoice Numbers],MATCH($X195,tbl_Finance[Row ID],0))&amp;"",""))</f>
        <v/>
      </c>
      <c r="C195" s="37" t="n"/>
      <c r="D195" s="10">
        <f>IF($C195="","",IF(COUNTIF(lst_Jobs,$C195&amp;"")&gt;0,"OK","CHECK"))</f>
        <v/>
      </c>
      <c r="E195" s="10">
        <f>IF($C195="","",IFERROR(INDEX(lst_JobName,MATCH($C195&amp;"",lst_Jobs,0)),""))</f>
        <v/>
      </c>
      <c r="F195" s="37" t="n"/>
      <c r="G195" s="37" t="n"/>
      <c r="H195" s="37" t="n"/>
      <c r="I195" s="37" t="n"/>
      <c r="J195" s="37" t="n"/>
      <c r="K195" s="38">
        <f>IF($C195="","",IFERROR(N(INDEX(tbl_Finance[Invoice Count],MATCH($X195,tbl_Finance[Row ID],0))),""))</f>
        <v/>
      </c>
      <c r="L195" s="11">
        <f>IF($C195="","",IFERROR(N(INDEX(tbl_Finance[Xero Invoiced Ex GST],MATCH($X195,tbl_Finance[Row ID],0))),""))</f>
        <v/>
      </c>
      <c r="M195" s="10">
        <f>IF($C195="","",IFERROR(INDEX(tbl_Finance[Compare],MATCH($X195,tbl_Finance[Row ID],0))&amp;"",""))</f>
        <v/>
      </c>
      <c r="N195" s="11">
        <f>IF($C195="","",MAX(0,N(O195)-N(L195)))</f>
        <v/>
      </c>
      <c r="O195" s="39" t="n"/>
      <c r="P195" s="40">
        <f>IF($C195="","",IF((IF(F195="",", Client","")&amp;IF(G195="",", Description","")&amp;IF(H195="",", Cost Centre","")&amp;IF(I195="",", Invoice Type","")&amp;IF(J195="",", Tax Code","")&amp;IF(O195="",", Expected Revenue","")&amp;IF(COUNTIF(tbl_Finance[Job Number],$C195&amp;"")&gt;1,", Job number used twice",""))="","Complete","Fix: "&amp;MID(IF(F195="",", Client","")&amp;IF(G195="",", Description","")&amp;IF(H195="",", Cost Centre","")&amp;IF(I195="",", Invoice Type","")&amp;IF(J195="",", Tax Code","")&amp;IF(O195="",", Expected Revenue","")&amp;IF(COUNTIF(tbl_Finance[Job Number],$C195&amp;"")&gt;1,", Job number used twice",""),3,300)))</f>
        <v/>
      </c>
      <c r="Q195" s="10">
        <f>IF($C195="","",IF(H195="","(no cost centre)",H195&amp;" - GL "&amp;IFERROR(INDEX(lst_CCtoGL,MATCH(H195,lst_CCforGL,0)),"?")))</f>
        <v/>
      </c>
      <c r="R195" s="37" t="n"/>
      <c r="S195" s="37" t="n"/>
      <c r="T195" s="10">
        <f>IF(S195="","",HYPERLINK(IF(LEFT(S195,4)="http",S195,set_QwilrBase&amp;S195),"Open quote"))</f>
        <v/>
      </c>
      <c r="U195" s="41" t="n"/>
      <c r="V195" s="37" t="n"/>
      <c r="W195" s="37" t="n"/>
      <c r="X195" s="10" t="inlineStr">
        <is>
          <t>ONS-0191</t>
        </is>
      </c>
    </row>
    <row r="196">
      <c r="A196" s="16">
        <f>IF($C196="","",IFERROR(IF(INDEX(tbl_Finance[Latest Invoice Date],MATCH($X196,tbl_Finance[Row ID],0))="","",INDEX(tbl_Finance[Latest Invoice Date],MATCH($X196,tbl_Finance[Row ID],0))),""))</f>
        <v/>
      </c>
      <c r="B196" s="10">
        <f>IF($C196="","",IFERROR(INDEX(tbl_Finance[Invoice Numbers],MATCH($X196,tbl_Finance[Row ID],0))&amp;"",""))</f>
        <v/>
      </c>
      <c r="C196" s="37" t="n"/>
      <c r="D196" s="10">
        <f>IF($C196="","",IF(COUNTIF(lst_Jobs,$C196&amp;"")&gt;0,"OK","CHECK"))</f>
        <v/>
      </c>
      <c r="E196" s="10">
        <f>IF($C196="","",IFERROR(INDEX(lst_JobName,MATCH($C196&amp;"",lst_Jobs,0)),""))</f>
        <v/>
      </c>
      <c r="F196" s="37" t="n"/>
      <c r="G196" s="37" t="n"/>
      <c r="H196" s="37" t="n"/>
      <c r="I196" s="37" t="n"/>
      <c r="J196" s="37" t="n"/>
      <c r="K196" s="38">
        <f>IF($C196="","",IFERROR(N(INDEX(tbl_Finance[Invoice Count],MATCH($X196,tbl_Finance[Row ID],0))),""))</f>
        <v/>
      </c>
      <c r="L196" s="11">
        <f>IF($C196="","",IFERROR(N(INDEX(tbl_Finance[Xero Invoiced Ex GST],MATCH($X196,tbl_Finance[Row ID],0))),""))</f>
        <v/>
      </c>
      <c r="M196" s="10">
        <f>IF($C196="","",IFERROR(INDEX(tbl_Finance[Compare],MATCH($X196,tbl_Finance[Row ID],0))&amp;"",""))</f>
        <v/>
      </c>
      <c r="N196" s="11">
        <f>IF($C196="","",MAX(0,N(O196)-N(L196)))</f>
        <v/>
      </c>
      <c r="O196" s="39" t="n"/>
      <c r="P196" s="40">
        <f>IF($C196="","",IF((IF(F196="",", Client","")&amp;IF(G196="",", Description","")&amp;IF(H196="",", Cost Centre","")&amp;IF(I196="",", Invoice Type","")&amp;IF(J196="",", Tax Code","")&amp;IF(O196="",", Expected Revenue","")&amp;IF(COUNTIF(tbl_Finance[Job Number],$C196&amp;"")&gt;1,", Job number used twice",""))="","Complete","Fix: "&amp;MID(IF(F196="",", Client","")&amp;IF(G196="",", Description","")&amp;IF(H196="",", Cost Centre","")&amp;IF(I196="",", Invoice Type","")&amp;IF(J196="",", Tax Code","")&amp;IF(O196="",", Expected Revenue","")&amp;IF(COUNTIF(tbl_Finance[Job Number],$C196&amp;"")&gt;1,", Job number used twice",""),3,300)))</f>
        <v/>
      </c>
      <c r="Q196" s="10">
        <f>IF($C196="","",IF(H196="","(no cost centre)",H196&amp;" - GL "&amp;IFERROR(INDEX(lst_CCtoGL,MATCH(H196,lst_CCforGL,0)),"?")))</f>
        <v/>
      </c>
      <c r="R196" s="37" t="n"/>
      <c r="S196" s="37" t="n"/>
      <c r="T196" s="10">
        <f>IF(S196="","",HYPERLINK(IF(LEFT(S196,4)="http",S196,set_QwilrBase&amp;S196),"Open quote"))</f>
        <v/>
      </c>
      <c r="U196" s="41" t="n"/>
      <c r="V196" s="37" t="n"/>
      <c r="W196" s="37" t="n"/>
      <c r="X196" s="10" t="inlineStr">
        <is>
          <t>ONS-0192</t>
        </is>
      </c>
    </row>
    <row r="197">
      <c r="A197" s="16">
        <f>IF($C197="","",IFERROR(IF(INDEX(tbl_Finance[Latest Invoice Date],MATCH($X197,tbl_Finance[Row ID],0))="","",INDEX(tbl_Finance[Latest Invoice Date],MATCH($X197,tbl_Finance[Row ID],0))),""))</f>
        <v/>
      </c>
      <c r="B197" s="10">
        <f>IF($C197="","",IFERROR(INDEX(tbl_Finance[Invoice Numbers],MATCH($X197,tbl_Finance[Row ID],0))&amp;"",""))</f>
        <v/>
      </c>
      <c r="C197" s="37" t="n"/>
      <c r="D197" s="10">
        <f>IF($C197="","",IF(COUNTIF(lst_Jobs,$C197&amp;"")&gt;0,"OK","CHECK"))</f>
        <v/>
      </c>
      <c r="E197" s="10">
        <f>IF($C197="","",IFERROR(INDEX(lst_JobName,MATCH($C197&amp;"",lst_Jobs,0)),""))</f>
        <v/>
      </c>
      <c r="F197" s="37" t="n"/>
      <c r="G197" s="37" t="n"/>
      <c r="H197" s="37" t="n"/>
      <c r="I197" s="37" t="n"/>
      <c r="J197" s="37" t="n"/>
      <c r="K197" s="38">
        <f>IF($C197="","",IFERROR(N(INDEX(tbl_Finance[Invoice Count],MATCH($X197,tbl_Finance[Row ID],0))),""))</f>
        <v/>
      </c>
      <c r="L197" s="11">
        <f>IF($C197="","",IFERROR(N(INDEX(tbl_Finance[Xero Invoiced Ex GST],MATCH($X197,tbl_Finance[Row ID],0))),""))</f>
        <v/>
      </c>
      <c r="M197" s="10">
        <f>IF($C197="","",IFERROR(INDEX(tbl_Finance[Compare],MATCH($X197,tbl_Finance[Row ID],0))&amp;"",""))</f>
        <v/>
      </c>
      <c r="N197" s="11">
        <f>IF($C197="","",MAX(0,N(O197)-N(L197)))</f>
        <v/>
      </c>
      <c r="O197" s="39" t="n"/>
      <c r="P197" s="40">
        <f>IF($C197="","",IF((IF(F197="",", Client","")&amp;IF(G197="",", Description","")&amp;IF(H197="",", Cost Centre","")&amp;IF(I197="",", Invoice Type","")&amp;IF(J197="",", Tax Code","")&amp;IF(O197="",", Expected Revenue","")&amp;IF(COUNTIF(tbl_Finance[Job Number],$C197&amp;"")&gt;1,", Job number used twice",""))="","Complete","Fix: "&amp;MID(IF(F197="",", Client","")&amp;IF(G197="",", Description","")&amp;IF(H197="",", Cost Centre","")&amp;IF(I197="",", Invoice Type","")&amp;IF(J197="",", Tax Code","")&amp;IF(O197="",", Expected Revenue","")&amp;IF(COUNTIF(tbl_Finance[Job Number],$C197&amp;"")&gt;1,", Job number used twice",""),3,300)))</f>
        <v/>
      </c>
      <c r="Q197" s="10">
        <f>IF($C197="","",IF(H197="","(no cost centre)",H197&amp;" - GL "&amp;IFERROR(INDEX(lst_CCtoGL,MATCH(H197,lst_CCforGL,0)),"?")))</f>
        <v/>
      </c>
      <c r="R197" s="37" t="n"/>
      <c r="S197" s="37" t="n"/>
      <c r="T197" s="10">
        <f>IF(S197="","",HYPERLINK(IF(LEFT(S197,4)="http",S197,set_QwilrBase&amp;S197),"Open quote"))</f>
        <v/>
      </c>
      <c r="U197" s="41" t="n"/>
      <c r="V197" s="37" t="n"/>
      <c r="W197" s="37" t="n"/>
      <c r="X197" s="10" t="inlineStr">
        <is>
          <t>ONS-0193</t>
        </is>
      </c>
    </row>
    <row r="198">
      <c r="A198" s="16">
        <f>IF($C198="","",IFERROR(IF(INDEX(tbl_Finance[Latest Invoice Date],MATCH($X198,tbl_Finance[Row ID],0))="","",INDEX(tbl_Finance[Latest Invoice Date],MATCH($X198,tbl_Finance[Row ID],0))),""))</f>
        <v/>
      </c>
      <c r="B198" s="10">
        <f>IF($C198="","",IFERROR(INDEX(tbl_Finance[Invoice Numbers],MATCH($X198,tbl_Finance[Row ID],0))&amp;"",""))</f>
        <v/>
      </c>
      <c r="C198" s="37" t="n"/>
      <c r="D198" s="10">
        <f>IF($C198="","",IF(COUNTIF(lst_Jobs,$C198&amp;"")&gt;0,"OK","CHECK"))</f>
        <v/>
      </c>
      <c r="E198" s="10">
        <f>IF($C198="","",IFERROR(INDEX(lst_JobName,MATCH($C198&amp;"",lst_Jobs,0)),""))</f>
        <v/>
      </c>
      <c r="F198" s="37" t="n"/>
      <c r="G198" s="37" t="n"/>
      <c r="H198" s="37" t="n"/>
      <c r="I198" s="37" t="n"/>
      <c r="J198" s="37" t="n"/>
      <c r="K198" s="38">
        <f>IF($C198="","",IFERROR(N(INDEX(tbl_Finance[Invoice Count],MATCH($X198,tbl_Finance[Row ID],0))),""))</f>
        <v/>
      </c>
      <c r="L198" s="11">
        <f>IF($C198="","",IFERROR(N(INDEX(tbl_Finance[Xero Invoiced Ex GST],MATCH($X198,tbl_Finance[Row ID],0))),""))</f>
        <v/>
      </c>
      <c r="M198" s="10">
        <f>IF($C198="","",IFERROR(INDEX(tbl_Finance[Compare],MATCH($X198,tbl_Finance[Row ID],0))&amp;"",""))</f>
        <v/>
      </c>
      <c r="N198" s="11">
        <f>IF($C198="","",MAX(0,N(O198)-N(L198)))</f>
        <v/>
      </c>
      <c r="O198" s="39" t="n"/>
      <c r="P198" s="40">
        <f>IF($C198="","",IF((IF(F198="",", Client","")&amp;IF(G198="",", Description","")&amp;IF(H198="",", Cost Centre","")&amp;IF(I198="",", Invoice Type","")&amp;IF(J198="",", Tax Code","")&amp;IF(O198="",", Expected Revenue","")&amp;IF(COUNTIF(tbl_Finance[Job Number],$C198&amp;"")&gt;1,", Job number used twice",""))="","Complete","Fix: "&amp;MID(IF(F198="",", Client","")&amp;IF(G198="",", Description","")&amp;IF(H198="",", Cost Centre","")&amp;IF(I198="",", Invoice Type","")&amp;IF(J198="",", Tax Code","")&amp;IF(O198="",", Expected Revenue","")&amp;IF(COUNTIF(tbl_Finance[Job Number],$C198&amp;"")&gt;1,", Job number used twice",""),3,300)))</f>
        <v/>
      </c>
      <c r="Q198" s="10">
        <f>IF($C198="","",IF(H198="","(no cost centre)",H198&amp;" - GL "&amp;IFERROR(INDEX(lst_CCtoGL,MATCH(H198,lst_CCforGL,0)),"?")))</f>
        <v/>
      </c>
      <c r="R198" s="37" t="n"/>
      <c r="S198" s="37" t="n"/>
      <c r="T198" s="10">
        <f>IF(S198="","",HYPERLINK(IF(LEFT(S198,4)="http",S198,set_QwilrBase&amp;S198),"Open quote"))</f>
        <v/>
      </c>
      <c r="U198" s="41" t="n"/>
      <c r="V198" s="37" t="n"/>
      <c r="W198" s="37" t="n"/>
      <c r="X198" s="10" t="inlineStr">
        <is>
          <t>ONS-0194</t>
        </is>
      </c>
    </row>
    <row r="199">
      <c r="A199" s="16">
        <f>IF($C199="","",IFERROR(IF(INDEX(tbl_Finance[Latest Invoice Date],MATCH($X199,tbl_Finance[Row ID],0))="","",INDEX(tbl_Finance[Latest Invoice Date],MATCH($X199,tbl_Finance[Row ID],0))),""))</f>
        <v/>
      </c>
      <c r="B199" s="10">
        <f>IF($C199="","",IFERROR(INDEX(tbl_Finance[Invoice Numbers],MATCH($X199,tbl_Finance[Row ID],0))&amp;"",""))</f>
        <v/>
      </c>
      <c r="C199" s="37" t="n"/>
      <c r="D199" s="10">
        <f>IF($C199="","",IF(COUNTIF(lst_Jobs,$C199&amp;"")&gt;0,"OK","CHECK"))</f>
        <v/>
      </c>
      <c r="E199" s="10">
        <f>IF($C199="","",IFERROR(INDEX(lst_JobName,MATCH($C199&amp;"",lst_Jobs,0)),""))</f>
        <v/>
      </c>
      <c r="F199" s="37" t="n"/>
      <c r="G199" s="37" t="n"/>
      <c r="H199" s="37" t="n"/>
      <c r="I199" s="37" t="n"/>
      <c r="J199" s="37" t="n"/>
      <c r="K199" s="38">
        <f>IF($C199="","",IFERROR(N(INDEX(tbl_Finance[Invoice Count],MATCH($X199,tbl_Finance[Row ID],0))),""))</f>
        <v/>
      </c>
      <c r="L199" s="11">
        <f>IF($C199="","",IFERROR(N(INDEX(tbl_Finance[Xero Invoiced Ex GST],MATCH($X199,tbl_Finance[Row ID],0))),""))</f>
        <v/>
      </c>
      <c r="M199" s="10">
        <f>IF($C199="","",IFERROR(INDEX(tbl_Finance[Compare],MATCH($X199,tbl_Finance[Row ID],0))&amp;"",""))</f>
        <v/>
      </c>
      <c r="N199" s="11">
        <f>IF($C199="","",MAX(0,N(O199)-N(L199)))</f>
        <v/>
      </c>
      <c r="O199" s="39" t="n"/>
      <c r="P199" s="40">
        <f>IF($C199="","",IF((IF(F199="",", Client","")&amp;IF(G199="",", Description","")&amp;IF(H199="",", Cost Centre","")&amp;IF(I199="",", Invoice Type","")&amp;IF(J199="",", Tax Code","")&amp;IF(O199="",", Expected Revenue","")&amp;IF(COUNTIF(tbl_Finance[Job Number],$C199&amp;"")&gt;1,", Job number used twice",""))="","Complete","Fix: "&amp;MID(IF(F199="",", Client","")&amp;IF(G199="",", Description","")&amp;IF(H199="",", Cost Centre","")&amp;IF(I199="",", Invoice Type","")&amp;IF(J199="",", Tax Code","")&amp;IF(O199="",", Expected Revenue","")&amp;IF(COUNTIF(tbl_Finance[Job Number],$C199&amp;"")&gt;1,", Job number used twice",""),3,300)))</f>
        <v/>
      </c>
      <c r="Q199" s="10">
        <f>IF($C199="","",IF(H199="","(no cost centre)",H199&amp;" - GL "&amp;IFERROR(INDEX(lst_CCtoGL,MATCH(H199,lst_CCforGL,0)),"?")))</f>
        <v/>
      </c>
      <c r="R199" s="37" t="n"/>
      <c r="S199" s="37" t="n"/>
      <c r="T199" s="10">
        <f>IF(S199="","",HYPERLINK(IF(LEFT(S199,4)="http",S199,set_QwilrBase&amp;S199),"Open quote"))</f>
        <v/>
      </c>
      <c r="U199" s="41" t="n"/>
      <c r="V199" s="37" t="n"/>
      <c r="W199" s="37" t="n"/>
      <c r="X199" s="10" t="inlineStr">
        <is>
          <t>ONS-0195</t>
        </is>
      </c>
    </row>
    <row r="200">
      <c r="A200" s="16">
        <f>IF($C200="","",IFERROR(IF(INDEX(tbl_Finance[Latest Invoice Date],MATCH($X200,tbl_Finance[Row ID],0))="","",INDEX(tbl_Finance[Latest Invoice Date],MATCH($X200,tbl_Finance[Row ID],0))),""))</f>
        <v/>
      </c>
      <c r="B200" s="10">
        <f>IF($C200="","",IFERROR(INDEX(tbl_Finance[Invoice Numbers],MATCH($X200,tbl_Finance[Row ID],0))&amp;"",""))</f>
        <v/>
      </c>
      <c r="C200" s="37" t="n"/>
      <c r="D200" s="10">
        <f>IF($C200="","",IF(COUNTIF(lst_Jobs,$C200&amp;"")&gt;0,"OK","CHECK"))</f>
        <v/>
      </c>
      <c r="E200" s="10">
        <f>IF($C200="","",IFERROR(INDEX(lst_JobName,MATCH($C200&amp;"",lst_Jobs,0)),""))</f>
        <v/>
      </c>
      <c r="F200" s="37" t="n"/>
      <c r="G200" s="37" t="n"/>
      <c r="H200" s="37" t="n"/>
      <c r="I200" s="37" t="n"/>
      <c r="J200" s="37" t="n"/>
      <c r="K200" s="38">
        <f>IF($C200="","",IFERROR(N(INDEX(tbl_Finance[Invoice Count],MATCH($X200,tbl_Finance[Row ID],0))),""))</f>
        <v/>
      </c>
      <c r="L200" s="11">
        <f>IF($C200="","",IFERROR(N(INDEX(tbl_Finance[Xero Invoiced Ex GST],MATCH($X200,tbl_Finance[Row ID],0))),""))</f>
        <v/>
      </c>
      <c r="M200" s="10">
        <f>IF($C200="","",IFERROR(INDEX(tbl_Finance[Compare],MATCH($X200,tbl_Finance[Row ID],0))&amp;"",""))</f>
        <v/>
      </c>
      <c r="N200" s="11">
        <f>IF($C200="","",MAX(0,N(O200)-N(L200)))</f>
        <v/>
      </c>
      <c r="O200" s="39" t="n"/>
      <c r="P200" s="40">
        <f>IF($C200="","",IF((IF(F200="",", Client","")&amp;IF(G200="",", Description","")&amp;IF(H200="",", Cost Centre","")&amp;IF(I200="",", Invoice Type","")&amp;IF(J200="",", Tax Code","")&amp;IF(O200="",", Expected Revenue","")&amp;IF(COUNTIF(tbl_Finance[Job Number],$C200&amp;"")&gt;1,", Job number used twice",""))="","Complete","Fix: "&amp;MID(IF(F200="",", Client","")&amp;IF(G200="",", Description","")&amp;IF(H200="",", Cost Centre","")&amp;IF(I200="",", Invoice Type","")&amp;IF(J200="",", Tax Code","")&amp;IF(O200="",", Expected Revenue","")&amp;IF(COUNTIF(tbl_Finance[Job Number],$C200&amp;"")&gt;1,", Job number used twice",""),3,300)))</f>
        <v/>
      </c>
      <c r="Q200" s="10">
        <f>IF($C200="","",IF(H200="","(no cost centre)",H200&amp;" - GL "&amp;IFERROR(INDEX(lst_CCtoGL,MATCH(H200,lst_CCforGL,0)),"?")))</f>
        <v/>
      </c>
      <c r="R200" s="37" t="n"/>
      <c r="S200" s="37" t="n"/>
      <c r="T200" s="10">
        <f>IF(S200="","",HYPERLINK(IF(LEFT(S200,4)="http",S200,set_QwilrBase&amp;S200),"Open quote"))</f>
        <v/>
      </c>
      <c r="U200" s="41" t="n"/>
      <c r="V200" s="37" t="n"/>
      <c r="W200" s="37" t="n"/>
      <c r="X200" s="10" t="inlineStr">
        <is>
          <t>ONS-0196</t>
        </is>
      </c>
    </row>
    <row r="201">
      <c r="A201" s="16">
        <f>IF($C201="","",IFERROR(IF(INDEX(tbl_Finance[Latest Invoice Date],MATCH($X201,tbl_Finance[Row ID],0))="","",INDEX(tbl_Finance[Latest Invoice Date],MATCH($X201,tbl_Finance[Row ID],0))),""))</f>
        <v/>
      </c>
      <c r="B201" s="10">
        <f>IF($C201="","",IFERROR(INDEX(tbl_Finance[Invoice Numbers],MATCH($X201,tbl_Finance[Row ID],0))&amp;"",""))</f>
        <v/>
      </c>
      <c r="C201" s="37" t="n"/>
      <c r="D201" s="10">
        <f>IF($C201="","",IF(COUNTIF(lst_Jobs,$C201&amp;"")&gt;0,"OK","CHECK"))</f>
        <v/>
      </c>
      <c r="E201" s="10">
        <f>IF($C201="","",IFERROR(INDEX(lst_JobName,MATCH($C201&amp;"",lst_Jobs,0)),""))</f>
        <v/>
      </c>
      <c r="F201" s="37" t="n"/>
      <c r="G201" s="37" t="n"/>
      <c r="H201" s="37" t="n"/>
      <c r="I201" s="37" t="n"/>
      <c r="J201" s="37" t="n"/>
      <c r="K201" s="38">
        <f>IF($C201="","",IFERROR(N(INDEX(tbl_Finance[Invoice Count],MATCH($X201,tbl_Finance[Row ID],0))),""))</f>
        <v/>
      </c>
      <c r="L201" s="11">
        <f>IF($C201="","",IFERROR(N(INDEX(tbl_Finance[Xero Invoiced Ex GST],MATCH($X201,tbl_Finance[Row ID],0))),""))</f>
        <v/>
      </c>
      <c r="M201" s="10">
        <f>IF($C201="","",IFERROR(INDEX(tbl_Finance[Compare],MATCH($X201,tbl_Finance[Row ID],0))&amp;"",""))</f>
        <v/>
      </c>
      <c r="N201" s="11">
        <f>IF($C201="","",MAX(0,N(O201)-N(L201)))</f>
        <v/>
      </c>
      <c r="O201" s="39" t="n"/>
      <c r="P201" s="40">
        <f>IF($C201="","",IF((IF(F201="",", Client","")&amp;IF(G201="",", Description","")&amp;IF(H201="",", Cost Centre","")&amp;IF(I201="",", Invoice Type","")&amp;IF(J201="",", Tax Code","")&amp;IF(O201="",", Expected Revenue","")&amp;IF(COUNTIF(tbl_Finance[Job Number],$C201&amp;"")&gt;1,", Job number used twice",""))="","Complete","Fix: "&amp;MID(IF(F201="",", Client","")&amp;IF(G201="",", Description","")&amp;IF(H201="",", Cost Centre","")&amp;IF(I201="",", Invoice Type","")&amp;IF(J201="",", Tax Code","")&amp;IF(O201="",", Expected Revenue","")&amp;IF(COUNTIF(tbl_Finance[Job Number],$C201&amp;"")&gt;1,", Job number used twice",""),3,300)))</f>
        <v/>
      </c>
      <c r="Q201" s="10">
        <f>IF($C201="","",IF(H201="","(no cost centre)",H201&amp;" - GL "&amp;IFERROR(INDEX(lst_CCtoGL,MATCH(H201,lst_CCforGL,0)),"?")))</f>
        <v/>
      </c>
      <c r="R201" s="37" t="n"/>
      <c r="S201" s="37" t="n"/>
      <c r="T201" s="10">
        <f>IF(S201="","",HYPERLINK(IF(LEFT(S201,4)="http",S201,set_QwilrBase&amp;S201),"Open quote"))</f>
        <v/>
      </c>
      <c r="U201" s="41" t="n"/>
      <c r="V201" s="37" t="n"/>
      <c r="W201" s="37" t="n"/>
      <c r="X201" s="10" t="inlineStr">
        <is>
          <t>ONS-0197</t>
        </is>
      </c>
    </row>
    <row r="202">
      <c r="A202" s="16">
        <f>IF($C202="","",IFERROR(IF(INDEX(tbl_Finance[Latest Invoice Date],MATCH($X202,tbl_Finance[Row ID],0))="","",INDEX(tbl_Finance[Latest Invoice Date],MATCH($X202,tbl_Finance[Row ID],0))),""))</f>
        <v/>
      </c>
      <c r="B202" s="10">
        <f>IF($C202="","",IFERROR(INDEX(tbl_Finance[Invoice Numbers],MATCH($X202,tbl_Finance[Row ID],0))&amp;"",""))</f>
        <v/>
      </c>
      <c r="C202" s="37" t="n"/>
      <c r="D202" s="10">
        <f>IF($C202="","",IF(COUNTIF(lst_Jobs,$C202&amp;"")&gt;0,"OK","CHECK"))</f>
        <v/>
      </c>
      <c r="E202" s="10">
        <f>IF($C202="","",IFERROR(INDEX(lst_JobName,MATCH($C202&amp;"",lst_Jobs,0)),""))</f>
        <v/>
      </c>
      <c r="F202" s="37" t="n"/>
      <c r="G202" s="37" t="n"/>
      <c r="H202" s="37" t="n"/>
      <c r="I202" s="37" t="n"/>
      <c r="J202" s="37" t="n"/>
      <c r="K202" s="38">
        <f>IF($C202="","",IFERROR(N(INDEX(tbl_Finance[Invoice Count],MATCH($X202,tbl_Finance[Row ID],0))),""))</f>
        <v/>
      </c>
      <c r="L202" s="11">
        <f>IF($C202="","",IFERROR(N(INDEX(tbl_Finance[Xero Invoiced Ex GST],MATCH($X202,tbl_Finance[Row ID],0))),""))</f>
        <v/>
      </c>
      <c r="M202" s="10">
        <f>IF($C202="","",IFERROR(INDEX(tbl_Finance[Compare],MATCH($X202,tbl_Finance[Row ID],0))&amp;"",""))</f>
        <v/>
      </c>
      <c r="N202" s="11">
        <f>IF($C202="","",MAX(0,N(O202)-N(L202)))</f>
        <v/>
      </c>
      <c r="O202" s="39" t="n"/>
      <c r="P202" s="40">
        <f>IF($C202="","",IF((IF(F202="",", Client","")&amp;IF(G202="",", Description","")&amp;IF(H202="",", Cost Centre","")&amp;IF(I202="",", Invoice Type","")&amp;IF(J202="",", Tax Code","")&amp;IF(O202="",", Expected Revenue","")&amp;IF(COUNTIF(tbl_Finance[Job Number],$C202&amp;"")&gt;1,", Job number used twice",""))="","Complete","Fix: "&amp;MID(IF(F202="",", Client","")&amp;IF(G202="",", Description","")&amp;IF(H202="",", Cost Centre","")&amp;IF(I202="",", Invoice Type","")&amp;IF(J202="",", Tax Code","")&amp;IF(O202="",", Expected Revenue","")&amp;IF(COUNTIF(tbl_Finance[Job Number],$C202&amp;"")&gt;1,", Job number used twice",""),3,300)))</f>
        <v/>
      </c>
      <c r="Q202" s="10">
        <f>IF($C202="","",IF(H202="","(no cost centre)",H202&amp;" - GL "&amp;IFERROR(INDEX(lst_CCtoGL,MATCH(H202,lst_CCforGL,0)),"?")))</f>
        <v/>
      </c>
      <c r="R202" s="37" t="n"/>
      <c r="S202" s="37" t="n"/>
      <c r="T202" s="10">
        <f>IF(S202="","",HYPERLINK(IF(LEFT(S202,4)="http",S202,set_QwilrBase&amp;S202),"Open quote"))</f>
        <v/>
      </c>
      <c r="U202" s="41" t="n"/>
      <c r="V202" s="37" t="n"/>
      <c r="W202" s="37" t="n"/>
      <c r="X202" s="10" t="inlineStr">
        <is>
          <t>ONS-0198</t>
        </is>
      </c>
    </row>
    <row r="203">
      <c r="A203" s="16">
        <f>IF($C203="","",IFERROR(IF(INDEX(tbl_Finance[Latest Invoice Date],MATCH($X203,tbl_Finance[Row ID],0))="","",INDEX(tbl_Finance[Latest Invoice Date],MATCH($X203,tbl_Finance[Row ID],0))),""))</f>
        <v/>
      </c>
      <c r="B203" s="10">
        <f>IF($C203="","",IFERROR(INDEX(tbl_Finance[Invoice Numbers],MATCH($X203,tbl_Finance[Row ID],0))&amp;"",""))</f>
        <v/>
      </c>
      <c r="C203" s="37" t="n"/>
      <c r="D203" s="10">
        <f>IF($C203="","",IF(COUNTIF(lst_Jobs,$C203&amp;"")&gt;0,"OK","CHECK"))</f>
        <v/>
      </c>
      <c r="E203" s="10">
        <f>IF($C203="","",IFERROR(INDEX(lst_JobName,MATCH($C203&amp;"",lst_Jobs,0)),""))</f>
        <v/>
      </c>
      <c r="F203" s="37" t="n"/>
      <c r="G203" s="37" t="n"/>
      <c r="H203" s="37" t="n"/>
      <c r="I203" s="37" t="n"/>
      <c r="J203" s="37" t="n"/>
      <c r="K203" s="38">
        <f>IF($C203="","",IFERROR(N(INDEX(tbl_Finance[Invoice Count],MATCH($X203,tbl_Finance[Row ID],0))),""))</f>
        <v/>
      </c>
      <c r="L203" s="11">
        <f>IF($C203="","",IFERROR(N(INDEX(tbl_Finance[Xero Invoiced Ex GST],MATCH($X203,tbl_Finance[Row ID],0))),""))</f>
        <v/>
      </c>
      <c r="M203" s="10">
        <f>IF($C203="","",IFERROR(INDEX(tbl_Finance[Compare],MATCH($X203,tbl_Finance[Row ID],0))&amp;"",""))</f>
        <v/>
      </c>
      <c r="N203" s="11">
        <f>IF($C203="","",MAX(0,N(O203)-N(L203)))</f>
        <v/>
      </c>
      <c r="O203" s="39" t="n"/>
      <c r="P203" s="40">
        <f>IF($C203="","",IF((IF(F203="",", Client","")&amp;IF(G203="",", Description","")&amp;IF(H203="",", Cost Centre","")&amp;IF(I203="",", Invoice Type","")&amp;IF(J203="",", Tax Code","")&amp;IF(O203="",", Expected Revenue","")&amp;IF(COUNTIF(tbl_Finance[Job Number],$C203&amp;"")&gt;1,", Job number used twice",""))="","Complete","Fix: "&amp;MID(IF(F203="",", Client","")&amp;IF(G203="",", Description","")&amp;IF(H203="",", Cost Centre","")&amp;IF(I203="",", Invoice Type","")&amp;IF(J203="",", Tax Code","")&amp;IF(O203="",", Expected Revenue","")&amp;IF(COUNTIF(tbl_Finance[Job Number],$C203&amp;"")&gt;1,", Job number used twice",""),3,300)))</f>
        <v/>
      </c>
      <c r="Q203" s="10">
        <f>IF($C203="","",IF(H203="","(no cost centre)",H203&amp;" - GL "&amp;IFERROR(INDEX(lst_CCtoGL,MATCH(H203,lst_CCforGL,0)),"?")))</f>
        <v/>
      </c>
      <c r="R203" s="37" t="n"/>
      <c r="S203" s="37" t="n"/>
      <c r="T203" s="10">
        <f>IF(S203="","",HYPERLINK(IF(LEFT(S203,4)="http",S203,set_QwilrBase&amp;S203),"Open quote"))</f>
        <v/>
      </c>
      <c r="U203" s="41" t="n"/>
      <c r="V203" s="37" t="n"/>
      <c r="W203" s="37" t="n"/>
      <c r="X203" s="10" t="inlineStr">
        <is>
          <t>ONS-0199</t>
        </is>
      </c>
    </row>
    <row r="204">
      <c r="A204" s="16">
        <f>IF($C204="","",IFERROR(IF(INDEX(tbl_Finance[Latest Invoice Date],MATCH($X204,tbl_Finance[Row ID],0))="","",INDEX(tbl_Finance[Latest Invoice Date],MATCH($X204,tbl_Finance[Row ID],0))),""))</f>
        <v/>
      </c>
      <c r="B204" s="10">
        <f>IF($C204="","",IFERROR(INDEX(tbl_Finance[Invoice Numbers],MATCH($X204,tbl_Finance[Row ID],0))&amp;"",""))</f>
        <v/>
      </c>
      <c r="C204" s="37" t="n"/>
      <c r="D204" s="10">
        <f>IF($C204="","",IF(COUNTIF(lst_Jobs,$C204&amp;"")&gt;0,"OK","CHECK"))</f>
        <v/>
      </c>
      <c r="E204" s="10">
        <f>IF($C204="","",IFERROR(INDEX(lst_JobName,MATCH($C204&amp;"",lst_Jobs,0)),""))</f>
        <v/>
      </c>
      <c r="F204" s="37" t="n"/>
      <c r="G204" s="37" t="n"/>
      <c r="H204" s="37" t="n"/>
      <c r="I204" s="37" t="n"/>
      <c r="J204" s="37" t="n"/>
      <c r="K204" s="38">
        <f>IF($C204="","",IFERROR(N(INDEX(tbl_Finance[Invoice Count],MATCH($X204,tbl_Finance[Row ID],0))),""))</f>
        <v/>
      </c>
      <c r="L204" s="11">
        <f>IF($C204="","",IFERROR(N(INDEX(tbl_Finance[Xero Invoiced Ex GST],MATCH($X204,tbl_Finance[Row ID],0))),""))</f>
        <v/>
      </c>
      <c r="M204" s="10">
        <f>IF($C204="","",IFERROR(INDEX(tbl_Finance[Compare],MATCH($X204,tbl_Finance[Row ID],0))&amp;"",""))</f>
        <v/>
      </c>
      <c r="N204" s="11">
        <f>IF($C204="","",MAX(0,N(O204)-N(L204)))</f>
        <v/>
      </c>
      <c r="O204" s="39" t="n"/>
      <c r="P204" s="40">
        <f>IF($C204="","",IF((IF(F204="",", Client","")&amp;IF(G204="",", Description","")&amp;IF(H204="",", Cost Centre","")&amp;IF(I204="",", Invoice Type","")&amp;IF(J204="",", Tax Code","")&amp;IF(O204="",", Expected Revenue","")&amp;IF(COUNTIF(tbl_Finance[Job Number],$C204&amp;"")&gt;1,", Job number used twice",""))="","Complete","Fix: "&amp;MID(IF(F204="",", Client","")&amp;IF(G204="",", Description","")&amp;IF(H204="",", Cost Centre","")&amp;IF(I204="",", Invoice Type","")&amp;IF(J204="",", Tax Code","")&amp;IF(O204="",", Expected Revenue","")&amp;IF(COUNTIF(tbl_Finance[Job Number],$C204&amp;"")&gt;1,", Job number used twice",""),3,300)))</f>
        <v/>
      </c>
      <c r="Q204" s="10">
        <f>IF($C204="","",IF(H204="","(no cost centre)",H204&amp;" - GL "&amp;IFERROR(INDEX(lst_CCtoGL,MATCH(H204,lst_CCforGL,0)),"?")))</f>
        <v/>
      </c>
      <c r="R204" s="37" t="n"/>
      <c r="S204" s="37" t="n"/>
      <c r="T204" s="10">
        <f>IF(S204="","",HYPERLINK(IF(LEFT(S204,4)="http",S204,set_QwilrBase&amp;S204),"Open quote"))</f>
        <v/>
      </c>
      <c r="U204" s="41" t="n"/>
      <c r="V204" s="37" t="n"/>
      <c r="W204" s="37" t="n"/>
      <c r="X204" s="10" t="inlineStr">
        <is>
          <t>ONS-0200</t>
        </is>
      </c>
    </row>
    <row r="205">
      <c r="A205" s="16">
        <f>IF($C205="","",IFERROR(IF(INDEX(tbl_Finance[Latest Invoice Date],MATCH($X205,tbl_Finance[Row ID],0))="","",INDEX(tbl_Finance[Latest Invoice Date],MATCH($X205,tbl_Finance[Row ID],0))),""))</f>
        <v/>
      </c>
      <c r="B205" s="10">
        <f>IF($C205="","",IFERROR(INDEX(tbl_Finance[Invoice Numbers],MATCH($X205,tbl_Finance[Row ID],0))&amp;"",""))</f>
        <v/>
      </c>
      <c r="C205" s="37" t="n"/>
      <c r="D205" s="10">
        <f>IF($C205="","",IF(COUNTIF(lst_Jobs,$C205&amp;"")&gt;0,"OK","CHECK"))</f>
        <v/>
      </c>
      <c r="E205" s="10">
        <f>IF($C205="","",IFERROR(INDEX(lst_JobName,MATCH($C205&amp;"",lst_Jobs,0)),""))</f>
        <v/>
      </c>
      <c r="F205" s="37" t="n"/>
      <c r="G205" s="37" t="n"/>
      <c r="H205" s="37" t="n"/>
      <c r="I205" s="37" t="n"/>
      <c r="J205" s="37" t="n"/>
      <c r="K205" s="38">
        <f>IF($C205="","",IFERROR(N(INDEX(tbl_Finance[Invoice Count],MATCH($X205,tbl_Finance[Row ID],0))),""))</f>
        <v/>
      </c>
      <c r="L205" s="11">
        <f>IF($C205="","",IFERROR(N(INDEX(tbl_Finance[Xero Invoiced Ex GST],MATCH($X205,tbl_Finance[Row ID],0))),""))</f>
        <v/>
      </c>
      <c r="M205" s="10">
        <f>IF($C205="","",IFERROR(INDEX(tbl_Finance[Compare],MATCH($X205,tbl_Finance[Row ID],0))&amp;"",""))</f>
        <v/>
      </c>
      <c r="N205" s="11">
        <f>IF($C205="","",MAX(0,N(O205)-N(L205)))</f>
        <v/>
      </c>
      <c r="O205" s="39" t="n"/>
      <c r="P205" s="40">
        <f>IF($C205="","",IF((IF(F205="",", Client","")&amp;IF(G205="",", Description","")&amp;IF(H205="",", Cost Centre","")&amp;IF(I205="",", Invoice Type","")&amp;IF(J205="",", Tax Code","")&amp;IF(O205="",", Expected Revenue","")&amp;IF(COUNTIF(tbl_Finance[Job Number],$C205&amp;"")&gt;1,", Job number used twice",""))="","Complete","Fix: "&amp;MID(IF(F205="",", Client","")&amp;IF(G205="",", Description","")&amp;IF(H205="",", Cost Centre","")&amp;IF(I205="",", Invoice Type","")&amp;IF(J205="",", Tax Code","")&amp;IF(O205="",", Expected Revenue","")&amp;IF(COUNTIF(tbl_Finance[Job Number],$C205&amp;"")&gt;1,", Job number used twice",""),3,300)))</f>
        <v/>
      </c>
      <c r="Q205" s="10">
        <f>IF($C205="","",IF(H205="","(no cost centre)",H205&amp;" - GL "&amp;IFERROR(INDEX(lst_CCtoGL,MATCH(H205,lst_CCforGL,0)),"?")))</f>
        <v/>
      </c>
      <c r="R205" s="37" t="n"/>
      <c r="S205" s="37" t="n"/>
      <c r="T205" s="10">
        <f>IF(S205="","",HYPERLINK(IF(LEFT(S205,4)="http",S205,set_QwilrBase&amp;S205),"Open quote"))</f>
        <v/>
      </c>
      <c r="U205" s="41" t="n"/>
      <c r="V205" s="37" t="n"/>
      <c r="W205" s="37" t="n"/>
      <c r="X205" s="10" t="inlineStr">
        <is>
          <t>ONS-0201</t>
        </is>
      </c>
    </row>
    <row r="206">
      <c r="A206" s="16">
        <f>IF($C206="","",IFERROR(IF(INDEX(tbl_Finance[Latest Invoice Date],MATCH($X206,tbl_Finance[Row ID],0))="","",INDEX(tbl_Finance[Latest Invoice Date],MATCH($X206,tbl_Finance[Row ID],0))),""))</f>
        <v/>
      </c>
      <c r="B206" s="10">
        <f>IF($C206="","",IFERROR(INDEX(tbl_Finance[Invoice Numbers],MATCH($X206,tbl_Finance[Row ID],0))&amp;"",""))</f>
        <v/>
      </c>
      <c r="C206" s="37" t="n"/>
      <c r="D206" s="10">
        <f>IF($C206="","",IF(COUNTIF(lst_Jobs,$C206&amp;"")&gt;0,"OK","CHECK"))</f>
        <v/>
      </c>
      <c r="E206" s="10">
        <f>IF($C206="","",IFERROR(INDEX(lst_JobName,MATCH($C206&amp;"",lst_Jobs,0)),""))</f>
        <v/>
      </c>
      <c r="F206" s="37" t="n"/>
      <c r="G206" s="37" t="n"/>
      <c r="H206" s="37" t="n"/>
      <c r="I206" s="37" t="n"/>
      <c r="J206" s="37" t="n"/>
      <c r="K206" s="38">
        <f>IF($C206="","",IFERROR(N(INDEX(tbl_Finance[Invoice Count],MATCH($X206,tbl_Finance[Row ID],0))),""))</f>
        <v/>
      </c>
      <c r="L206" s="11">
        <f>IF($C206="","",IFERROR(N(INDEX(tbl_Finance[Xero Invoiced Ex GST],MATCH($X206,tbl_Finance[Row ID],0))),""))</f>
        <v/>
      </c>
      <c r="M206" s="10">
        <f>IF($C206="","",IFERROR(INDEX(tbl_Finance[Compare],MATCH($X206,tbl_Finance[Row ID],0))&amp;"",""))</f>
        <v/>
      </c>
      <c r="N206" s="11">
        <f>IF($C206="","",MAX(0,N(O206)-N(L206)))</f>
        <v/>
      </c>
      <c r="O206" s="39" t="n"/>
      <c r="P206" s="40">
        <f>IF($C206="","",IF((IF(F206="",", Client","")&amp;IF(G206="",", Description","")&amp;IF(H206="",", Cost Centre","")&amp;IF(I206="",", Invoice Type","")&amp;IF(J206="",", Tax Code","")&amp;IF(O206="",", Expected Revenue","")&amp;IF(COUNTIF(tbl_Finance[Job Number],$C206&amp;"")&gt;1,", Job number used twice",""))="","Complete","Fix: "&amp;MID(IF(F206="",", Client","")&amp;IF(G206="",", Description","")&amp;IF(H206="",", Cost Centre","")&amp;IF(I206="",", Invoice Type","")&amp;IF(J206="",", Tax Code","")&amp;IF(O206="",", Expected Revenue","")&amp;IF(COUNTIF(tbl_Finance[Job Number],$C206&amp;"")&gt;1,", Job number used twice",""),3,300)))</f>
        <v/>
      </c>
      <c r="Q206" s="10">
        <f>IF($C206="","",IF(H206="","(no cost centre)",H206&amp;" - GL "&amp;IFERROR(INDEX(lst_CCtoGL,MATCH(H206,lst_CCforGL,0)),"?")))</f>
        <v/>
      </c>
      <c r="R206" s="37" t="n"/>
      <c r="S206" s="37" t="n"/>
      <c r="T206" s="10">
        <f>IF(S206="","",HYPERLINK(IF(LEFT(S206,4)="http",S206,set_QwilrBase&amp;S206),"Open quote"))</f>
        <v/>
      </c>
      <c r="U206" s="41" t="n"/>
      <c r="V206" s="37" t="n"/>
      <c r="W206" s="37" t="n"/>
      <c r="X206" s="10" t="inlineStr">
        <is>
          <t>ONS-0202</t>
        </is>
      </c>
    </row>
    <row r="207">
      <c r="A207" s="16">
        <f>IF($C207="","",IFERROR(IF(INDEX(tbl_Finance[Latest Invoice Date],MATCH($X207,tbl_Finance[Row ID],0))="","",INDEX(tbl_Finance[Latest Invoice Date],MATCH($X207,tbl_Finance[Row ID],0))),""))</f>
        <v/>
      </c>
      <c r="B207" s="10">
        <f>IF($C207="","",IFERROR(INDEX(tbl_Finance[Invoice Numbers],MATCH($X207,tbl_Finance[Row ID],0))&amp;"",""))</f>
        <v/>
      </c>
      <c r="C207" s="37" t="n"/>
      <c r="D207" s="10">
        <f>IF($C207="","",IF(COUNTIF(lst_Jobs,$C207&amp;"")&gt;0,"OK","CHECK"))</f>
        <v/>
      </c>
      <c r="E207" s="10">
        <f>IF($C207="","",IFERROR(INDEX(lst_JobName,MATCH($C207&amp;"",lst_Jobs,0)),""))</f>
        <v/>
      </c>
      <c r="F207" s="37" t="n"/>
      <c r="G207" s="37" t="n"/>
      <c r="H207" s="37" t="n"/>
      <c r="I207" s="37" t="n"/>
      <c r="J207" s="37" t="n"/>
      <c r="K207" s="38">
        <f>IF($C207="","",IFERROR(N(INDEX(tbl_Finance[Invoice Count],MATCH($X207,tbl_Finance[Row ID],0))),""))</f>
        <v/>
      </c>
      <c r="L207" s="11">
        <f>IF($C207="","",IFERROR(N(INDEX(tbl_Finance[Xero Invoiced Ex GST],MATCH($X207,tbl_Finance[Row ID],0))),""))</f>
        <v/>
      </c>
      <c r="M207" s="10">
        <f>IF($C207="","",IFERROR(INDEX(tbl_Finance[Compare],MATCH($X207,tbl_Finance[Row ID],0))&amp;"",""))</f>
        <v/>
      </c>
      <c r="N207" s="11">
        <f>IF($C207="","",MAX(0,N(O207)-N(L207)))</f>
        <v/>
      </c>
      <c r="O207" s="39" t="n"/>
      <c r="P207" s="40">
        <f>IF($C207="","",IF((IF(F207="",", Client","")&amp;IF(G207="",", Description","")&amp;IF(H207="",", Cost Centre","")&amp;IF(I207="",", Invoice Type","")&amp;IF(J207="",", Tax Code","")&amp;IF(O207="",", Expected Revenue","")&amp;IF(COUNTIF(tbl_Finance[Job Number],$C207&amp;"")&gt;1,", Job number used twice",""))="","Complete","Fix: "&amp;MID(IF(F207="",", Client","")&amp;IF(G207="",", Description","")&amp;IF(H207="",", Cost Centre","")&amp;IF(I207="",", Invoice Type","")&amp;IF(J207="",", Tax Code","")&amp;IF(O207="",", Expected Revenue","")&amp;IF(COUNTIF(tbl_Finance[Job Number],$C207&amp;"")&gt;1,", Job number used twice",""),3,300)))</f>
        <v/>
      </c>
      <c r="Q207" s="10">
        <f>IF($C207="","",IF(H207="","(no cost centre)",H207&amp;" - GL "&amp;IFERROR(INDEX(lst_CCtoGL,MATCH(H207,lst_CCforGL,0)),"?")))</f>
        <v/>
      </c>
      <c r="R207" s="37" t="n"/>
      <c r="S207" s="37" t="n"/>
      <c r="T207" s="10">
        <f>IF(S207="","",HYPERLINK(IF(LEFT(S207,4)="http",S207,set_QwilrBase&amp;S207),"Open quote"))</f>
        <v/>
      </c>
      <c r="U207" s="41" t="n"/>
      <c r="V207" s="37" t="n"/>
      <c r="W207" s="37" t="n"/>
      <c r="X207" s="10" t="inlineStr">
        <is>
          <t>ONS-0203</t>
        </is>
      </c>
    </row>
    <row r="208">
      <c r="A208" s="16">
        <f>IF($C208="","",IFERROR(IF(INDEX(tbl_Finance[Latest Invoice Date],MATCH($X208,tbl_Finance[Row ID],0))="","",INDEX(tbl_Finance[Latest Invoice Date],MATCH($X208,tbl_Finance[Row ID],0))),""))</f>
        <v/>
      </c>
      <c r="B208" s="10">
        <f>IF($C208="","",IFERROR(INDEX(tbl_Finance[Invoice Numbers],MATCH($X208,tbl_Finance[Row ID],0))&amp;"",""))</f>
        <v/>
      </c>
      <c r="C208" s="37" t="n"/>
      <c r="D208" s="10">
        <f>IF($C208="","",IF(COUNTIF(lst_Jobs,$C208&amp;"")&gt;0,"OK","CHECK"))</f>
        <v/>
      </c>
      <c r="E208" s="10">
        <f>IF($C208="","",IFERROR(INDEX(lst_JobName,MATCH($C208&amp;"",lst_Jobs,0)),""))</f>
        <v/>
      </c>
      <c r="F208" s="37" t="n"/>
      <c r="G208" s="37" t="n"/>
      <c r="H208" s="37" t="n"/>
      <c r="I208" s="37" t="n"/>
      <c r="J208" s="37" t="n"/>
      <c r="K208" s="38">
        <f>IF($C208="","",IFERROR(N(INDEX(tbl_Finance[Invoice Count],MATCH($X208,tbl_Finance[Row ID],0))),""))</f>
        <v/>
      </c>
      <c r="L208" s="11">
        <f>IF($C208="","",IFERROR(N(INDEX(tbl_Finance[Xero Invoiced Ex GST],MATCH($X208,tbl_Finance[Row ID],0))),""))</f>
        <v/>
      </c>
      <c r="M208" s="10">
        <f>IF($C208="","",IFERROR(INDEX(tbl_Finance[Compare],MATCH($X208,tbl_Finance[Row ID],0))&amp;"",""))</f>
        <v/>
      </c>
      <c r="N208" s="11">
        <f>IF($C208="","",MAX(0,N(O208)-N(L208)))</f>
        <v/>
      </c>
      <c r="O208" s="39" t="n"/>
      <c r="P208" s="40">
        <f>IF($C208="","",IF((IF(F208="",", Client","")&amp;IF(G208="",", Description","")&amp;IF(H208="",", Cost Centre","")&amp;IF(I208="",", Invoice Type","")&amp;IF(J208="",", Tax Code","")&amp;IF(O208="",", Expected Revenue","")&amp;IF(COUNTIF(tbl_Finance[Job Number],$C208&amp;"")&gt;1,", Job number used twice",""))="","Complete","Fix: "&amp;MID(IF(F208="",", Client","")&amp;IF(G208="",", Description","")&amp;IF(H208="",", Cost Centre","")&amp;IF(I208="",", Invoice Type","")&amp;IF(J208="",", Tax Code","")&amp;IF(O208="",", Expected Revenue","")&amp;IF(COUNTIF(tbl_Finance[Job Number],$C208&amp;"")&gt;1,", Job number used twice",""),3,300)))</f>
        <v/>
      </c>
      <c r="Q208" s="10">
        <f>IF($C208="","",IF(H208="","(no cost centre)",H208&amp;" - GL "&amp;IFERROR(INDEX(lst_CCtoGL,MATCH(H208,lst_CCforGL,0)),"?")))</f>
        <v/>
      </c>
      <c r="R208" s="37" t="n"/>
      <c r="S208" s="37" t="n"/>
      <c r="T208" s="10">
        <f>IF(S208="","",HYPERLINK(IF(LEFT(S208,4)="http",S208,set_QwilrBase&amp;S208),"Open quote"))</f>
        <v/>
      </c>
      <c r="U208" s="41" t="n"/>
      <c r="V208" s="37" t="n"/>
      <c r="W208" s="37" t="n"/>
      <c r="X208" s="10" t="inlineStr">
        <is>
          <t>ONS-0204</t>
        </is>
      </c>
    </row>
    <row r="209">
      <c r="A209" s="16">
        <f>IF($C209="","",IFERROR(IF(INDEX(tbl_Finance[Latest Invoice Date],MATCH($X209,tbl_Finance[Row ID],0))="","",INDEX(tbl_Finance[Latest Invoice Date],MATCH($X209,tbl_Finance[Row ID],0))),""))</f>
        <v/>
      </c>
      <c r="B209" s="10">
        <f>IF($C209="","",IFERROR(INDEX(tbl_Finance[Invoice Numbers],MATCH($X209,tbl_Finance[Row ID],0))&amp;"",""))</f>
        <v/>
      </c>
      <c r="C209" s="37" t="n"/>
      <c r="D209" s="10">
        <f>IF($C209="","",IF(COUNTIF(lst_Jobs,$C209&amp;"")&gt;0,"OK","CHECK"))</f>
        <v/>
      </c>
      <c r="E209" s="10">
        <f>IF($C209="","",IFERROR(INDEX(lst_JobName,MATCH($C209&amp;"",lst_Jobs,0)),""))</f>
        <v/>
      </c>
      <c r="F209" s="37" t="n"/>
      <c r="G209" s="37" t="n"/>
      <c r="H209" s="37" t="n"/>
      <c r="I209" s="37" t="n"/>
      <c r="J209" s="37" t="n"/>
      <c r="K209" s="38">
        <f>IF($C209="","",IFERROR(N(INDEX(tbl_Finance[Invoice Count],MATCH($X209,tbl_Finance[Row ID],0))),""))</f>
        <v/>
      </c>
      <c r="L209" s="11">
        <f>IF($C209="","",IFERROR(N(INDEX(tbl_Finance[Xero Invoiced Ex GST],MATCH($X209,tbl_Finance[Row ID],0))),""))</f>
        <v/>
      </c>
      <c r="M209" s="10">
        <f>IF($C209="","",IFERROR(INDEX(tbl_Finance[Compare],MATCH($X209,tbl_Finance[Row ID],0))&amp;"",""))</f>
        <v/>
      </c>
      <c r="N209" s="11">
        <f>IF($C209="","",MAX(0,N(O209)-N(L209)))</f>
        <v/>
      </c>
      <c r="O209" s="39" t="n"/>
      <c r="P209" s="40">
        <f>IF($C209="","",IF((IF(F209="",", Client","")&amp;IF(G209="",", Description","")&amp;IF(H209="",", Cost Centre","")&amp;IF(I209="",", Invoice Type","")&amp;IF(J209="",", Tax Code","")&amp;IF(O209="",", Expected Revenue","")&amp;IF(COUNTIF(tbl_Finance[Job Number],$C209&amp;"")&gt;1,", Job number used twice",""))="","Complete","Fix: "&amp;MID(IF(F209="",", Client","")&amp;IF(G209="",", Description","")&amp;IF(H209="",", Cost Centre","")&amp;IF(I209="",", Invoice Type","")&amp;IF(J209="",", Tax Code","")&amp;IF(O209="",", Expected Revenue","")&amp;IF(COUNTIF(tbl_Finance[Job Number],$C209&amp;"")&gt;1,", Job number used twice",""),3,300)))</f>
        <v/>
      </c>
      <c r="Q209" s="10">
        <f>IF($C209="","",IF(H209="","(no cost centre)",H209&amp;" - GL "&amp;IFERROR(INDEX(lst_CCtoGL,MATCH(H209,lst_CCforGL,0)),"?")))</f>
        <v/>
      </c>
      <c r="R209" s="37" t="n"/>
      <c r="S209" s="37" t="n"/>
      <c r="T209" s="10">
        <f>IF(S209="","",HYPERLINK(IF(LEFT(S209,4)="http",S209,set_QwilrBase&amp;S209),"Open quote"))</f>
        <v/>
      </c>
      <c r="U209" s="41" t="n"/>
      <c r="V209" s="37" t="n"/>
      <c r="W209" s="37" t="n"/>
      <c r="X209" s="10" t="inlineStr">
        <is>
          <t>ONS-0205</t>
        </is>
      </c>
    </row>
    <row r="210">
      <c r="A210" s="16">
        <f>IF($C210="","",IFERROR(IF(INDEX(tbl_Finance[Latest Invoice Date],MATCH($X210,tbl_Finance[Row ID],0))="","",INDEX(tbl_Finance[Latest Invoice Date],MATCH($X210,tbl_Finance[Row ID],0))),""))</f>
        <v/>
      </c>
      <c r="B210" s="10">
        <f>IF($C210="","",IFERROR(INDEX(tbl_Finance[Invoice Numbers],MATCH($X210,tbl_Finance[Row ID],0))&amp;"",""))</f>
        <v/>
      </c>
      <c r="C210" s="37" t="n"/>
      <c r="D210" s="10">
        <f>IF($C210="","",IF(COUNTIF(lst_Jobs,$C210&amp;"")&gt;0,"OK","CHECK"))</f>
        <v/>
      </c>
      <c r="E210" s="10">
        <f>IF($C210="","",IFERROR(INDEX(lst_JobName,MATCH($C210&amp;"",lst_Jobs,0)),""))</f>
        <v/>
      </c>
      <c r="F210" s="37" t="n"/>
      <c r="G210" s="37" t="n"/>
      <c r="H210" s="37" t="n"/>
      <c r="I210" s="37" t="n"/>
      <c r="J210" s="37" t="n"/>
      <c r="K210" s="38">
        <f>IF($C210="","",IFERROR(N(INDEX(tbl_Finance[Invoice Count],MATCH($X210,tbl_Finance[Row ID],0))),""))</f>
        <v/>
      </c>
      <c r="L210" s="11">
        <f>IF($C210="","",IFERROR(N(INDEX(tbl_Finance[Xero Invoiced Ex GST],MATCH($X210,tbl_Finance[Row ID],0))),""))</f>
        <v/>
      </c>
      <c r="M210" s="10">
        <f>IF($C210="","",IFERROR(INDEX(tbl_Finance[Compare],MATCH($X210,tbl_Finance[Row ID],0))&amp;"",""))</f>
        <v/>
      </c>
      <c r="N210" s="11">
        <f>IF($C210="","",MAX(0,N(O210)-N(L210)))</f>
        <v/>
      </c>
      <c r="O210" s="39" t="n"/>
      <c r="P210" s="40">
        <f>IF($C210="","",IF((IF(F210="",", Client","")&amp;IF(G210="",", Description","")&amp;IF(H210="",", Cost Centre","")&amp;IF(I210="",", Invoice Type","")&amp;IF(J210="",", Tax Code","")&amp;IF(O210="",", Expected Revenue","")&amp;IF(COUNTIF(tbl_Finance[Job Number],$C210&amp;"")&gt;1,", Job number used twice",""))="","Complete","Fix: "&amp;MID(IF(F210="",", Client","")&amp;IF(G210="",", Description","")&amp;IF(H210="",", Cost Centre","")&amp;IF(I210="",", Invoice Type","")&amp;IF(J210="",", Tax Code","")&amp;IF(O210="",", Expected Revenue","")&amp;IF(COUNTIF(tbl_Finance[Job Number],$C210&amp;"")&gt;1,", Job number used twice",""),3,300)))</f>
        <v/>
      </c>
      <c r="Q210" s="10">
        <f>IF($C210="","",IF(H210="","(no cost centre)",H210&amp;" - GL "&amp;IFERROR(INDEX(lst_CCtoGL,MATCH(H210,lst_CCforGL,0)),"?")))</f>
        <v/>
      </c>
      <c r="R210" s="37" t="n"/>
      <c r="S210" s="37" t="n"/>
      <c r="T210" s="10">
        <f>IF(S210="","",HYPERLINK(IF(LEFT(S210,4)="http",S210,set_QwilrBase&amp;S210),"Open quote"))</f>
        <v/>
      </c>
      <c r="U210" s="41" t="n"/>
      <c r="V210" s="37" t="n"/>
      <c r="W210" s="37" t="n"/>
      <c r="X210" s="10" t="inlineStr">
        <is>
          <t>ONS-0206</t>
        </is>
      </c>
    </row>
    <row r="211">
      <c r="A211" s="16">
        <f>IF($C211="","",IFERROR(IF(INDEX(tbl_Finance[Latest Invoice Date],MATCH($X211,tbl_Finance[Row ID],0))="","",INDEX(tbl_Finance[Latest Invoice Date],MATCH($X211,tbl_Finance[Row ID],0))),""))</f>
        <v/>
      </c>
      <c r="B211" s="10">
        <f>IF($C211="","",IFERROR(INDEX(tbl_Finance[Invoice Numbers],MATCH($X211,tbl_Finance[Row ID],0))&amp;"",""))</f>
        <v/>
      </c>
      <c r="C211" s="37" t="n"/>
      <c r="D211" s="10">
        <f>IF($C211="","",IF(COUNTIF(lst_Jobs,$C211&amp;"")&gt;0,"OK","CHECK"))</f>
        <v/>
      </c>
      <c r="E211" s="10">
        <f>IF($C211="","",IFERROR(INDEX(lst_JobName,MATCH($C211&amp;"",lst_Jobs,0)),""))</f>
        <v/>
      </c>
      <c r="F211" s="37" t="n"/>
      <c r="G211" s="37" t="n"/>
      <c r="H211" s="37" t="n"/>
      <c r="I211" s="37" t="n"/>
      <c r="J211" s="37" t="n"/>
      <c r="K211" s="38">
        <f>IF($C211="","",IFERROR(N(INDEX(tbl_Finance[Invoice Count],MATCH($X211,tbl_Finance[Row ID],0))),""))</f>
        <v/>
      </c>
      <c r="L211" s="11">
        <f>IF($C211="","",IFERROR(N(INDEX(tbl_Finance[Xero Invoiced Ex GST],MATCH($X211,tbl_Finance[Row ID],0))),""))</f>
        <v/>
      </c>
      <c r="M211" s="10">
        <f>IF($C211="","",IFERROR(INDEX(tbl_Finance[Compare],MATCH($X211,tbl_Finance[Row ID],0))&amp;"",""))</f>
        <v/>
      </c>
      <c r="N211" s="11">
        <f>IF($C211="","",MAX(0,N(O211)-N(L211)))</f>
        <v/>
      </c>
      <c r="O211" s="39" t="n"/>
      <c r="P211" s="40">
        <f>IF($C211="","",IF((IF(F211="",", Client","")&amp;IF(G211="",", Description","")&amp;IF(H211="",", Cost Centre","")&amp;IF(I211="",", Invoice Type","")&amp;IF(J211="",", Tax Code","")&amp;IF(O211="",", Expected Revenue","")&amp;IF(COUNTIF(tbl_Finance[Job Number],$C211&amp;"")&gt;1,", Job number used twice",""))="","Complete","Fix: "&amp;MID(IF(F211="",", Client","")&amp;IF(G211="",", Description","")&amp;IF(H211="",", Cost Centre","")&amp;IF(I211="",", Invoice Type","")&amp;IF(J211="",", Tax Code","")&amp;IF(O211="",", Expected Revenue","")&amp;IF(COUNTIF(tbl_Finance[Job Number],$C211&amp;"")&gt;1,", Job number used twice",""),3,300)))</f>
        <v/>
      </c>
      <c r="Q211" s="10">
        <f>IF($C211="","",IF(H211="","(no cost centre)",H211&amp;" - GL "&amp;IFERROR(INDEX(lst_CCtoGL,MATCH(H211,lst_CCforGL,0)),"?")))</f>
        <v/>
      </c>
      <c r="R211" s="37" t="n"/>
      <c r="S211" s="37" t="n"/>
      <c r="T211" s="10">
        <f>IF(S211="","",HYPERLINK(IF(LEFT(S211,4)="http",S211,set_QwilrBase&amp;S211),"Open quote"))</f>
        <v/>
      </c>
      <c r="U211" s="41" t="n"/>
      <c r="V211" s="37" t="n"/>
      <c r="W211" s="37" t="n"/>
      <c r="X211" s="10" t="inlineStr">
        <is>
          <t>ONS-0207</t>
        </is>
      </c>
    </row>
    <row r="212">
      <c r="A212" s="16">
        <f>IF($C212="","",IFERROR(IF(INDEX(tbl_Finance[Latest Invoice Date],MATCH($X212,tbl_Finance[Row ID],0))="","",INDEX(tbl_Finance[Latest Invoice Date],MATCH($X212,tbl_Finance[Row ID],0))),""))</f>
        <v/>
      </c>
      <c r="B212" s="10">
        <f>IF($C212="","",IFERROR(INDEX(tbl_Finance[Invoice Numbers],MATCH($X212,tbl_Finance[Row ID],0))&amp;"",""))</f>
        <v/>
      </c>
      <c r="C212" s="37" t="n"/>
      <c r="D212" s="10">
        <f>IF($C212="","",IF(COUNTIF(lst_Jobs,$C212&amp;"")&gt;0,"OK","CHECK"))</f>
        <v/>
      </c>
      <c r="E212" s="10">
        <f>IF($C212="","",IFERROR(INDEX(lst_JobName,MATCH($C212&amp;"",lst_Jobs,0)),""))</f>
        <v/>
      </c>
      <c r="F212" s="37" t="n"/>
      <c r="G212" s="37" t="n"/>
      <c r="H212" s="37" t="n"/>
      <c r="I212" s="37" t="n"/>
      <c r="J212" s="37" t="n"/>
      <c r="K212" s="38">
        <f>IF($C212="","",IFERROR(N(INDEX(tbl_Finance[Invoice Count],MATCH($X212,tbl_Finance[Row ID],0))),""))</f>
        <v/>
      </c>
      <c r="L212" s="11">
        <f>IF($C212="","",IFERROR(N(INDEX(tbl_Finance[Xero Invoiced Ex GST],MATCH($X212,tbl_Finance[Row ID],0))),""))</f>
        <v/>
      </c>
      <c r="M212" s="10">
        <f>IF($C212="","",IFERROR(INDEX(tbl_Finance[Compare],MATCH($X212,tbl_Finance[Row ID],0))&amp;"",""))</f>
        <v/>
      </c>
      <c r="N212" s="11">
        <f>IF($C212="","",MAX(0,N(O212)-N(L212)))</f>
        <v/>
      </c>
      <c r="O212" s="39" t="n"/>
      <c r="P212" s="40">
        <f>IF($C212="","",IF((IF(F212="",", Client","")&amp;IF(G212="",", Description","")&amp;IF(H212="",", Cost Centre","")&amp;IF(I212="",", Invoice Type","")&amp;IF(J212="",", Tax Code","")&amp;IF(O212="",", Expected Revenue","")&amp;IF(COUNTIF(tbl_Finance[Job Number],$C212&amp;"")&gt;1,", Job number used twice",""))="","Complete","Fix: "&amp;MID(IF(F212="",", Client","")&amp;IF(G212="",", Description","")&amp;IF(H212="",", Cost Centre","")&amp;IF(I212="",", Invoice Type","")&amp;IF(J212="",", Tax Code","")&amp;IF(O212="",", Expected Revenue","")&amp;IF(COUNTIF(tbl_Finance[Job Number],$C212&amp;"")&gt;1,", Job number used twice",""),3,300)))</f>
        <v/>
      </c>
      <c r="Q212" s="10">
        <f>IF($C212="","",IF(H212="","(no cost centre)",H212&amp;" - GL "&amp;IFERROR(INDEX(lst_CCtoGL,MATCH(H212,lst_CCforGL,0)),"?")))</f>
        <v/>
      </c>
      <c r="R212" s="37" t="n"/>
      <c r="S212" s="37" t="n"/>
      <c r="T212" s="10">
        <f>IF(S212="","",HYPERLINK(IF(LEFT(S212,4)="http",S212,set_QwilrBase&amp;S212),"Open quote"))</f>
        <v/>
      </c>
      <c r="U212" s="41" t="n"/>
      <c r="V212" s="37" t="n"/>
      <c r="W212" s="37" t="n"/>
      <c r="X212" s="10" t="inlineStr">
        <is>
          <t>ONS-0208</t>
        </is>
      </c>
    </row>
    <row r="213">
      <c r="A213" s="16">
        <f>IF($C213="","",IFERROR(IF(INDEX(tbl_Finance[Latest Invoice Date],MATCH($X213,tbl_Finance[Row ID],0))="","",INDEX(tbl_Finance[Latest Invoice Date],MATCH($X213,tbl_Finance[Row ID],0))),""))</f>
        <v/>
      </c>
      <c r="B213" s="10">
        <f>IF($C213="","",IFERROR(INDEX(tbl_Finance[Invoice Numbers],MATCH($X213,tbl_Finance[Row ID],0))&amp;"",""))</f>
        <v/>
      </c>
      <c r="C213" s="37" t="n"/>
      <c r="D213" s="10">
        <f>IF($C213="","",IF(COUNTIF(lst_Jobs,$C213&amp;"")&gt;0,"OK","CHECK"))</f>
        <v/>
      </c>
      <c r="E213" s="10">
        <f>IF($C213="","",IFERROR(INDEX(lst_JobName,MATCH($C213&amp;"",lst_Jobs,0)),""))</f>
        <v/>
      </c>
      <c r="F213" s="37" t="n"/>
      <c r="G213" s="37" t="n"/>
      <c r="H213" s="37" t="n"/>
      <c r="I213" s="37" t="n"/>
      <c r="J213" s="37" t="n"/>
      <c r="K213" s="38">
        <f>IF($C213="","",IFERROR(N(INDEX(tbl_Finance[Invoice Count],MATCH($X213,tbl_Finance[Row ID],0))),""))</f>
        <v/>
      </c>
      <c r="L213" s="11">
        <f>IF($C213="","",IFERROR(N(INDEX(tbl_Finance[Xero Invoiced Ex GST],MATCH($X213,tbl_Finance[Row ID],0))),""))</f>
        <v/>
      </c>
      <c r="M213" s="10">
        <f>IF($C213="","",IFERROR(INDEX(tbl_Finance[Compare],MATCH($X213,tbl_Finance[Row ID],0))&amp;"",""))</f>
        <v/>
      </c>
      <c r="N213" s="11">
        <f>IF($C213="","",MAX(0,N(O213)-N(L213)))</f>
        <v/>
      </c>
      <c r="O213" s="39" t="n"/>
      <c r="P213" s="40">
        <f>IF($C213="","",IF((IF(F213="",", Client","")&amp;IF(G213="",", Description","")&amp;IF(H213="",", Cost Centre","")&amp;IF(I213="",", Invoice Type","")&amp;IF(J213="",", Tax Code","")&amp;IF(O213="",", Expected Revenue","")&amp;IF(COUNTIF(tbl_Finance[Job Number],$C213&amp;"")&gt;1,", Job number used twice",""))="","Complete","Fix: "&amp;MID(IF(F213="",", Client","")&amp;IF(G213="",", Description","")&amp;IF(H213="",", Cost Centre","")&amp;IF(I213="",", Invoice Type","")&amp;IF(J213="",", Tax Code","")&amp;IF(O213="",", Expected Revenue","")&amp;IF(COUNTIF(tbl_Finance[Job Number],$C213&amp;"")&gt;1,", Job number used twice",""),3,300)))</f>
        <v/>
      </c>
      <c r="Q213" s="10">
        <f>IF($C213="","",IF(H213="","(no cost centre)",H213&amp;" - GL "&amp;IFERROR(INDEX(lst_CCtoGL,MATCH(H213,lst_CCforGL,0)),"?")))</f>
        <v/>
      </c>
      <c r="R213" s="37" t="n"/>
      <c r="S213" s="37" t="n"/>
      <c r="T213" s="10">
        <f>IF(S213="","",HYPERLINK(IF(LEFT(S213,4)="http",S213,set_QwilrBase&amp;S213),"Open quote"))</f>
        <v/>
      </c>
      <c r="U213" s="41" t="n"/>
      <c r="V213" s="37" t="n"/>
      <c r="W213" s="37" t="n"/>
      <c r="X213" s="10" t="inlineStr">
        <is>
          <t>ONS-0209</t>
        </is>
      </c>
    </row>
    <row r="214">
      <c r="A214" s="16">
        <f>IF($C214="","",IFERROR(IF(INDEX(tbl_Finance[Latest Invoice Date],MATCH($X214,tbl_Finance[Row ID],0))="","",INDEX(tbl_Finance[Latest Invoice Date],MATCH($X214,tbl_Finance[Row ID],0))),""))</f>
        <v/>
      </c>
      <c r="B214" s="10">
        <f>IF($C214="","",IFERROR(INDEX(tbl_Finance[Invoice Numbers],MATCH($X214,tbl_Finance[Row ID],0))&amp;"",""))</f>
        <v/>
      </c>
      <c r="C214" s="37" t="n"/>
      <c r="D214" s="10">
        <f>IF($C214="","",IF(COUNTIF(lst_Jobs,$C214&amp;"")&gt;0,"OK","CHECK"))</f>
        <v/>
      </c>
      <c r="E214" s="10">
        <f>IF($C214="","",IFERROR(INDEX(lst_JobName,MATCH($C214&amp;"",lst_Jobs,0)),""))</f>
        <v/>
      </c>
      <c r="F214" s="37" t="n"/>
      <c r="G214" s="37" t="n"/>
      <c r="H214" s="37" t="n"/>
      <c r="I214" s="37" t="n"/>
      <c r="J214" s="37" t="n"/>
      <c r="K214" s="38">
        <f>IF($C214="","",IFERROR(N(INDEX(tbl_Finance[Invoice Count],MATCH($X214,tbl_Finance[Row ID],0))),""))</f>
        <v/>
      </c>
      <c r="L214" s="11">
        <f>IF($C214="","",IFERROR(N(INDEX(tbl_Finance[Xero Invoiced Ex GST],MATCH($X214,tbl_Finance[Row ID],0))),""))</f>
        <v/>
      </c>
      <c r="M214" s="10">
        <f>IF($C214="","",IFERROR(INDEX(tbl_Finance[Compare],MATCH($X214,tbl_Finance[Row ID],0))&amp;"",""))</f>
        <v/>
      </c>
      <c r="N214" s="11">
        <f>IF($C214="","",MAX(0,N(O214)-N(L214)))</f>
        <v/>
      </c>
      <c r="O214" s="39" t="n"/>
      <c r="P214" s="40">
        <f>IF($C214="","",IF((IF(F214="",", Client","")&amp;IF(G214="",", Description","")&amp;IF(H214="",", Cost Centre","")&amp;IF(I214="",", Invoice Type","")&amp;IF(J214="",", Tax Code","")&amp;IF(O214="",", Expected Revenue","")&amp;IF(COUNTIF(tbl_Finance[Job Number],$C214&amp;"")&gt;1,", Job number used twice",""))="","Complete","Fix: "&amp;MID(IF(F214="",", Client","")&amp;IF(G214="",", Description","")&amp;IF(H214="",", Cost Centre","")&amp;IF(I214="",", Invoice Type","")&amp;IF(J214="",", Tax Code","")&amp;IF(O214="",", Expected Revenue","")&amp;IF(COUNTIF(tbl_Finance[Job Number],$C214&amp;"")&gt;1,", Job number used twice",""),3,300)))</f>
        <v/>
      </c>
      <c r="Q214" s="10">
        <f>IF($C214="","",IF(H214="","(no cost centre)",H214&amp;" - GL "&amp;IFERROR(INDEX(lst_CCtoGL,MATCH(H214,lst_CCforGL,0)),"?")))</f>
        <v/>
      </c>
      <c r="R214" s="37" t="n"/>
      <c r="S214" s="37" t="n"/>
      <c r="T214" s="10">
        <f>IF(S214="","",HYPERLINK(IF(LEFT(S214,4)="http",S214,set_QwilrBase&amp;S214),"Open quote"))</f>
        <v/>
      </c>
      <c r="U214" s="41" t="n"/>
      <c r="V214" s="37" t="n"/>
      <c r="W214" s="37" t="n"/>
      <c r="X214" s="10" t="inlineStr">
        <is>
          <t>ONS-0210</t>
        </is>
      </c>
    </row>
    <row r="215">
      <c r="A215" s="16">
        <f>IF($C215="","",IFERROR(IF(INDEX(tbl_Finance[Latest Invoice Date],MATCH($X215,tbl_Finance[Row ID],0))="","",INDEX(tbl_Finance[Latest Invoice Date],MATCH($X215,tbl_Finance[Row ID],0))),""))</f>
        <v/>
      </c>
      <c r="B215" s="10">
        <f>IF($C215="","",IFERROR(INDEX(tbl_Finance[Invoice Numbers],MATCH($X215,tbl_Finance[Row ID],0))&amp;"",""))</f>
        <v/>
      </c>
      <c r="C215" s="37" t="n"/>
      <c r="D215" s="10">
        <f>IF($C215="","",IF(COUNTIF(lst_Jobs,$C215&amp;"")&gt;0,"OK","CHECK"))</f>
        <v/>
      </c>
      <c r="E215" s="10">
        <f>IF($C215="","",IFERROR(INDEX(lst_JobName,MATCH($C215&amp;"",lst_Jobs,0)),""))</f>
        <v/>
      </c>
      <c r="F215" s="37" t="n"/>
      <c r="G215" s="37" t="n"/>
      <c r="H215" s="37" t="n"/>
      <c r="I215" s="37" t="n"/>
      <c r="J215" s="37" t="n"/>
      <c r="K215" s="38">
        <f>IF($C215="","",IFERROR(N(INDEX(tbl_Finance[Invoice Count],MATCH($X215,tbl_Finance[Row ID],0))),""))</f>
        <v/>
      </c>
      <c r="L215" s="11">
        <f>IF($C215="","",IFERROR(N(INDEX(tbl_Finance[Xero Invoiced Ex GST],MATCH($X215,tbl_Finance[Row ID],0))),""))</f>
        <v/>
      </c>
      <c r="M215" s="10">
        <f>IF($C215="","",IFERROR(INDEX(tbl_Finance[Compare],MATCH($X215,tbl_Finance[Row ID],0))&amp;"",""))</f>
        <v/>
      </c>
      <c r="N215" s="11">
        <f>IF($C215="","",MAX(0,N(O215)-N(L215)))</f>
        <v/>
      </c>
      <c r="O215" s="39" t="n"/>
      <c r="P215" s="40">
        <f>IF($C215="","",IF((IF(F215="",", Client","")&amp;IF(G215="",", Description","")&amp;IF(H215="",", Cost Centre","")&amp;IF(I215="",", Invoice Type","")&amp;IF(J215="",", Tax Code","")&amp;IF(O215="",", Expected Revenue","")&amp;IF(COUNTIF(tbl_Finance[Job Number],$C215&amp;"")&gt;1,", Job number used twice",""))="","Complete","Fix: "&amp;MID(IF(F215="",", Client","")&amp;IF(G215="",", Description","")&amp;IF(H215="",", Cost Centre","")&amp;IF(I215="",", Invoice Type","")&amp;IF(J215="",", Tax Code","")&amp;IF(O215="",", Expected Revenue","")&amp;IF(COUNTIF(tbl_Finance[Job Number],$C215&amp;"")&gt;1,", Job number used twice",""),3,300)))</f>
        <v/>
      </c>
      <c r="Q215" s="10">
        <f>IF($C215="","",IF(H215="","(no cost centre)",H215&amp;" - GL "&amp;IFERROR(INDEX(lst_CCtoGL,MATCH(H215,lst_CCforGL,0)),"?")))</f>
        <v/>
      </c>
      <c r="R215" s="37" t="n"/>
      <c r="S215" s="37" t="n"/>
      <c r="T215" s="10">
        <f>IF(S215="","",HYPERLINK(IF(LEFT(S215,4)="http",S215,set_QwilrBase&amp;S215),"Open quote"))</f>
        <v/>
      </c>
      <c r="U215" s="41" t="n"/>
      <c r="V215" s="37" t="n"/>
      <c r="W215" s="37" t="n"/>
      <c r="X215" s="10" t="inlineStr">
        <is>
          <t>ONS-0211</t>
        </is>
      </c>
    </row>
    <row r="216">
      <c r="A216" s="16">
        <f>IF($C216="","",IFERROR(IF(INDEX(tbl_Finance[Latest Invoice Date],MATCH($X216,tbl_Finance[Row ID],0))="","",INDEX(tbl_Finance[Latest Invoice Date],MATCH($X216,tbl_Finance[Row ID],0))),""))</f>
        <v/>
      </c>
      <c r="B216" s="10">
        <f>IF($C216="","",IFERROR(INDEX(tbl_Finance[Invoice Numbers],MATCH($X216,tbl_Finance[Row ID],0))&amp;"",""))</f>
        <v/>
      </c>
      <c r="C216" s="37" t="n"/>
      <c r="D216" s="10">
        <f>IF($C216="","",IF(COUNTIF(lst_Jobs,$C216&amp;"")&gt;0,"OK","CHECK"))</f>
        <v/>
      </c>
      <c r="E216" s="10">
        <f>IF($C216="","",IFERROR(INDEX(lst_JobName,MATCH($C216&amp;"",lst_Jobs,0)),""))</f>
        <v/>
      </c>
      <c r="F216" s="37" t="n"/>
      <c r="G216" s="37" t="n"/>
      <c r="H216" s="37" t="n"/>
      <c r="I216" s="37" t="n"/>
      <c r="J216" s="37" t="n"/>
      <c r="K216" s="38">
        <f>IF($C216="","",IFERROR(N(INDEX(tbl_Finance[Invoice Count],MATCH($X216,tbl_Finance[Row ID],0))),""))</f>
        <v/>
      </c>
      <c r="L216" s="11">
        <f>IF($C216="","",IFERROR(N(INDEX(tbl_Finance[Xero Invoiced Ex GST],MATCH($X216,tbl_Finance[Row ID],0))),""))</f>
        <v/>
      </c>
      <c r="M216" s="10">
        <f>IF($C216="","",IFERROR(INDEX(tbl_Finance[Compare],MATCH($X216,tbl_Finance[Row ID],0))&amp;"",""))</f>
        <v/>
      </c>
      <c r="N216" s="11">
        <f>IF($C216="","",MAX(0,N(O216)-N(L216)))</f>
        <v/>
      </c>
      <c r="O216" s="39" t="n"/>
      <c r="P216" s="40">
        <f>IF($C216="","",IF((IF(F216="",", Client","")&amp;IF(G216="",", Description","")&amp;IF(H216="",", Cost Centre","")&amp;IF(I216="",", Invoice Type","")&amp;IF(J216="",", Tax Code","")&amp;IF(O216="",", Expected Revenue","")&amp;IF(COUNTIF(tbl_Finance[Job Number],$C216&amp;"")&gt;1,", Job number used twice",""))="","Complete","Fix: "&amp;MID(IF(F216="",", Client","")&amp;IF(G216="",", Description","")&amp;IF(H216="",", Cost Centre","")&amp;IF(I216="",", Invoice Type","")&amp;IF(J216="",", Tax Code","")&amp;IF(O216="",", Expected Revenue","")&amp;IF(COUNTIF(tbl_Finance[Job Number],$C216&amp;"")&gt;1,", Job number used twice",""),3,300)))</f>
        <v/>
      </c>
      <c r="Q216" s="10">
        <f>IF($C216="","",IF(H216="","(no cost centre)",H216&amp;" - GL "&amp;IFERROR(INDEX(lst_CCtoGL,MATCH(H216,lst_CCforGL,0)),"?")))</f>
        <v/>
      </c>
      <c r="R216" s="37" t="n"/>
      <c r="S216" s="37" t="n"/>
      <c r="T216" s="10">
        <f>IF(S216="","",HYPERLINK(IF(LEFT(S216,4)="http",S216,set_QwilrBase&amp;S216),"Open quote"))</f>
        <v/>
      </c>
      <c r="U216" s="41" t="n"/>
      <c r="V216" s="37" t="n"/>
      <c r="W216" s="37" t="n"/>
      <c r="X216" s="10" t="inlineStr">
        <is>
          <t>ONS-0212</t>
        </is>
      </c>
    </row>
    <row r="217">
      <c r="A217" s="16">
        <f>IF($C217="","",IFERROR(IF(INDEX(tbl_Finance[Latest Invoice Date],MATCH($X217,tbl_Finance[Row ID],0))="","",INDEX(tbl_Finance[Latest Invoice Date],MATCH($X217,tbl_Finance[Row ID],0))),""))</f>
        <v/>
      </c>
      <c r="B217" s="10">
        <f>IF($C217="","",IFERROR(INDEX(tbl_Finance[Invoice Numbers],MATCH($X217,tbl_Finance[Row ID],0))&amp;"",""))</f>
        <v/>
      </c>
      <c r="C217" s="37" t="n"/>
      <c r="D217" s="10">
        <f>IF($C217="","",IF(COUNTIF(lst_Jobs,$C217&amp;"")&gt;0,"OK","CHECK"))</f>
        <v/>
      </c>
      <c r="E217" s="10">
        <f>IF($C217="","",IFERROR(INDEX(lst_JobName,MATCH($C217&amp;"",lst_Jobs,0)),""))</f>
        <v/>
      </c>
      <c r="F217" s="37" t="n"/>
      <c r="G217" s="37" t="n"/>
      <c r="H217" s="37" t="n"/>
      <c r="I217" s="37" t="n"/>
      <c r="J217" s="37" t="n"/>
      <c r="K217" s="38">
        <f>IF($C217="","",IFERROR(N(INDEX(tbl_Finance[Invoice Count],MATCH($X217,tbl_Finance[Row ID],0))),""))</f>
        <v/>
      </c>
      <c r="L217" s="11">
        <f>IF($C217="","",IFERROR(N(INDEX(tbl_Finance[Xero Invoiced Ex GST],MATCH($X217,tbl_Finance[Row ID],0))),""))</f>
        <v/>
      </c>
      <c r="M217" s="10">
        <f>IF($C217="","",IFERROR(INDEX(tbl_Finance[Compare],MATCH($X217,tbl_Finance[Row ID],0))&amp;"",""))</f>
        <v/>
      </c>
      <c r="N217" s="11">
        <f>IF($C217="","",MAX(0,N(O217)-N(L217)))</f>
        <v/>
      </c>
      <c r="O217" s="39" t="n"/>
      <c r="P217" s="40">
        <f>IF($C217="","",IF((IF(F217="",", Client","")&amp;IF(G217="",", Description","")&amp;IF(H217="",", Cost Centre","")&amp;IF(I217="",", Invoice Type","")&amp;IF(J217="",", Tax Code","")&amp;IF(O217="",", Expected Revenue","")&amp;IF(COUNTIF(tbl_Finance[Job Number],$C217&amp;"")&gt;1,", Job number used twice",""))="","Complete","Fix: "&amp;MID(IF(F217="",", Client","")&amp;IF(G217="",", Description","")&amp;IF(H217="",", Cost Centre","")&amp;IF(I217="",", Invoice Type","")&amp;IF(J217="",", Tax Code","")&amp;IF(O217="",", Expected Revenue","")&amp;IF(COUNTIF(tbl_Finance[Job Number],$C217&amp;"")&gt;1,", Job number used twice",""),3,300)))</f>
        <v/>
      </c>
      <c r="Q217" s="10">
        <f>IF($C217="","",IF(H217="","(no cost centre)",H217&amp;" - GL "&amp;IFERROR(INDEX(lst_CCtoGL,MATCH(H217,lst_CCforGL,0)),"?")))</f>
        <v/>
      </c>
      <c r="R217" s="37" t="n"/>
      <c r="S217" s="37" t="n"/>
      <c r="T217" s="10">
        <f>IF(S217="","",HYPERLINK(IF(LEFT(S217,4)="http",S217,set_QwilrBase&amp;S217),"Open quote"))</f>
        <v/>
      </c>
      <c r="U217" s="41" t="n"/>
      <c r="V217" s="37" t="n"/>
      <c r="W217" s="37" t="n"/>
      <c r="X217" s="10" t="inlineStr">
        <is>
          <t>ONS-0213</t>
        </is>
      </c>
    </row>
    <row r="218">
      <c r="A218" s="16">
        <f>IF($C218="","",IFERROR(IF(INDEX(tbl_Finance[Latest Invoice Date],MATCH($X218,tbl_Finance[Row ID],0))="","",INDEX(tbl_Finance[Latest Invoice Date],MATCH($X218,tbl_Finance[Row ID],0))),""))</f>
        <v/>
      </c>
      <c r="B218" s="10">
        <f>IF($C218="","",IFERROR(INDEX(tbl_Finance[Invoice Numbers],MATCH($X218,tbl_Finance[Row ID],0))&amp;"",""))</f>
        <v/>
      </c>
      <c r="C218" s="37" t="n"/>
      <c r="D218" s="10">
        <f>IF($C218="","",IF(COUNTIF(lst_Jobs,$C218&amp;"")&gt;0,"OK","CHECK"))</f>
        <v/>
      </c>
      <c r="E218" s="10">
        <f>IF($C218="","",IFERROR(INDEX(lst_JobName,MATCH($C218&amp;"",lst_Jobs,0)),""))</f>
        <v/>
      </c>
      <c r="F218" s="37" t="n"/>
      <c r="G218" s="37" t="n"/>
      <c r="H218" s="37" t="n"/>
      <c r="I218" s="37" t="n"/>
      <c r="J218" s="37" t="n"/>
      <c r="K218" s="38">
        <f>IF($C218="","",IFERROR(N(INDEX(tbl_Finance[Invoice Count],MATCH($X218,tbl_Finance[Row ID],0))),""))</f>
        <v/>
      </c>
      <c r="L218" s="11">
        <f>IF($C218="","",IFERROR(N(INDEX(tbl_Finance[Xero Invoiced Ex GST],MATCH($X218,tbl_Finance[Row ID],0))),""))</f>
        <v/>
      </c>
      <c r="M218" s="10">
        <f>IF($C218="","",IFERROR(INDEX(tbl_Finance[Compare],MATCH($X218,tbl_Finance[Row ID],0))&amp;"",""))</f>
        <v/>
      </c>
      <c r="N218" s="11">
        <f>IF($C218="","",MAX(0,N(O218)-N(L218)))</f>
        <v/>
      </c>
      <c r="O218" s="39" t="n"/>
      <c r="P218" s="40">
        <f>IF($C218="","",IF((IF(F218="",", Client","")&amp;IF(G218="",", Description","")&amp;IF(H218="",", Cost Centre","")&amp;IF(I218="",", Invoice Type","")&amp;IF(J218="",", Tax Code","")&amp;IF(O218="",", Expected Revenue","")&amp;IF(COUNTIF(tbl_Finance[Job Number],$C218&amp;"")&gt;1,", Job number used twice",""))="","Complete","Fix: "&amp;MID(IF(F218="",", Client","")&amp;IF(G218="",", Description","")&amp;IF(H218="",", Cost Centre","")&amp;IF(I218="",", Invoice Type","")&amp;IF(J218="",", Tax Code","")&amp;IF(O218="",", Expected Revenue","")&amp;IF(COUNTIF(tbl_Finance[Job Number],$C218&amp;"")&gt;1,", Job number used twice",""),3,300)))</f>
        <v/>
      </c>
      <c r="Q218" s="10">
        <f>IF($C218="","",IF(H218="","(no cost centre)",H218&amp;" - GL "&amp;IFERROR(INDEX(lst_CCtoGL,MATCH(H218,lst_CCforGL,0)),"?")))</f>
        <v/>
      </c>
      <c r="R218" s="37" t="n"/>
      <c r="S218" s="37" t="n"/>
      <c r="T218" s="10">
        <f>IF(S218="","",HYPERLINK(IF(LEFT(S218,4)="http",S218,set_QwilrBase&amp;S218),"Open quote"))</f>
        <v/>
      </c>
      <c r="U218" s="41" t="n"/>
      <c r="V218" s="37" t="n"/>
      <c r="W218" s="37" t="n"/>
      <c r="X218" s="10" t="inlineStr">
        <is>
          <t>ONS-0214</t>
        </is>
      </c>
    </row>
    <row r="219">
      <c r="A219" s="16">
        <f>IF($C219="","",IFERROR(IF(INDEX(tbl_Finance[Latest Invoice Date],MATCH($X219,tbl_Finance[Row ID],0))="","",INDEX(tbl_Finance[Latest Invoice Date],MATCH($X219,tbl_Finance[Row ID],0))),""))</f>
        <v/>
      </c>
      <c r="B219" s="10">
        <f>IF($C219="","",IFERROR(INDEX(tbl_Finance[Invoice Numbers],MATCH($X219,tbl_Finance[Row ID],0))&amp;"",""))</f>
        <v/>
      </c>
      <c r="C219" s="37" t="n"/>
      <c r="D219" s="10">
        <f>IF($C219="","",IF(COUNTIF(lst_Jobs,$C219&amp;"")&gt;0,"OK","CHECK"))</f>
        <v/>
      </c>
      <c r="E219" s="10">
        <f>IF($C219="","",IFERROR(INDEX(lst_JobName,MATCH($C219&amp;"",lst_Jobs,0)),""))</f>
        <v/>
      </c>
      <c r="F219" s="37" t="n"/>
      <c r="G219" s="37" t="n"/>
      <c r="H219" s="37" t="n"/>
      <c r="I219" s="37" t="n"/>
      <c r="J219" s="37" t="n"/>
      <c r="K219" s="38">
        <f>IF($C219="","",IFERROR(N(INDEX(tbl_Finance[Invoice Count],MATCH($X219,tbl_Finance[Row ID],0))),""))</f>
        <v/>
      </c>
      <c r="L219" s="11">
        <f>IF($C219="","",IFERROR(N(INDEX(tbl_Finance[Xero Invoiced Ex GST],MATCH($X219,tbl_Finance[Row ID],0))),""))</f>
        <v/>
      </c>
      <c r="M219" s="10">
        <f>IF($C219="","",IFERROR(INDEX(tbl_Finance[Compare],MATCH($X219,tbl_Finance[Row ID],0))&amp;"",""))</f>
        <v/>
      </c>
      <c r="N219" s="11">
        <f>IF($C219="","",MAX(0,N(O219)-N(L219)))</f>
        <v/>
      </c>
      <c r="O219" s="39" t="n"/>
      <c r="P219" s="40">
        <f>IF($C219="","",IF((IF(F219="",", Client","")&amp;IF(G219="",", Description","")&amp;IF(H219="",", Cost Centre","")&amp;IF(I219="",", Invoice Type","")&amp;IF(J219="",", Tax Code","")&amp;IF(O219="",", Expected Revenue","")&amp;IF(COUNTIF(tbl_Finance[Job Number],$C219&amp;"")&gt;1,", Job number used twice",""))="","Complete","Fix: "&amp;MID(IF(F219="",", Client","")&amp;IF(G219="",", Description","")&amp;IF(H219="",", Cost Centre","")&amp;IF(I219="",", Invoice Type","")&amp;IF(J219="",", Tax Code","")&amp;IF(O219="",", Expected Revenue","")&amp;IF(COUNTIF(tbl_Finance[Job Number],$C219&amp;"")&gt;1,", Job number used twice",""),3,300)))</f>
        <v/>
      </c>
      <c r="Q219" s="10">
        <f>IF($C219="","",IF(H219="","(no cost centre)",H219&amp;" - GL "&amp;IFERROR(INDEX(lst_CCtoGL,MATCH(H219,lst_CCforGL,0)),"?")))</f>
        <v/>
      </c>
      <c r="R219" s="37" t="n"/>
      <c r="S219" s="37" t="n"/>
      <c r="T219" s="10">
        <f>IF(S219="","",HYPERLINK(IF(LEFT(S219,4)="http",S219,set_QwilrBase&amp;S219),"Open quote"))</f>
        <v/>
      </c>
      <c r="U219" s="41" t="n"/>
      <c r="V219" s="37" t="n"/>
      <c r="W219" s="37" t="n"/>
      <c r="X219" s="10" t="inlineStr">
        <is>
          <t>ONS-0215</t>
        </is>
      </c>
    </row>
    <row r="220">
      <c r="A220" s="16">
        <f>IF($C220="","",IFERROR(IF(INDEX(tbl_Finance[Latest Invoice Date],MATCH($X220,tbl_Finance[Row ID],0))="","",INDEX(tbl_Finance[Latest Invoice Date],MATCH($X220,tbl_Finance[Row ID],0))),""))</f>
        <v/>
      </c>
      <c r="B220" s="10">
        <f>IF($C220="","",IFERROR(INDEX(tbl_Finance[Invoice Numbers],MATCH($X220,tbl_Finance[Row ID],0))&amp;"",""))</f>
        <v/>
      </c>
      <c r="C220" s="37" t="n"/>
      <c r="D220" s="10">
        <f>IF($C220="","",IF(COUNTIF(lst_Jobs,$C220&amp;"")&gt;0,"OK","CHECK"))</f>
        <v/>
      </c>
      <c r="E220" s="10">
        <f>IF($C220="","",IFERROR(INDEX(lst_JobName,MATCH($C220&amp;"",lst_Jobs,0)),""))</f>
        <v/>
      </c>
      <c r="F220" s="37" t="n"/>
      <c r="G220" s="37" t="n"/>
      <c r="H220" s="37" t="n"/>
      <c r="I220" s="37" t="n"/>
      <c r="J220" s="37" t="n"/>
      <c r="K220" s="38">
        <f>IF($C220="","",IFERROR(N(INDEX(tbl_Finance[Invoice Count],MATCH($X220,tbl_Finance[Row ID],0))),""))</f>
        <v/>
      </c>
      <c r="L220" s="11">
        <f>IF($C220="","",IFERROR(N(INDEX(tbl_Finance[Xero Invoiced Ex GST],MATCH($X220,tbl_Finance[Row ID],0))),""))</f>
        <v/>
      </c>
      <c r="M220" s="10">
        <f>IF($C220="","",IFERROR(INDEX(tbl_Finance[Compare],MATCH($X220,tbl_Finance[Row ID],0))&amp;"",""))</f>
        <v/>
      </c>
      <c r="N220" s="11">
        <f>IF($C220="","",MAX(0,N(O220)-N(L220)))</f>
        <v/>
      </c>
      <c r="O220" s="39" t="n"/>
      <c r="P220" s="40">
        <f>IF($C220="","",IF((IF(F220="",", Client","")&amp;IF(G220="",", Description","")&amp;IF(H220="",", Cost Centre","")&amp;IF(I220="",", Invoice Type","")&amp;IF(J220="",", Tax Code","")&amp;IF(O220="",", Expected Revenue","")&amp;IF(COUNTIF(tbl_Finance[Job Number],$C220&amp;"")&gt;1,", Job number used twice",""))="","Complete","Fix: "&amp;MID(IF(F220="",", Client","")&amp;IF(G220="",", Description","")&amp;IF(H220="",", Cost Centre","")&amp;IF(I220="",", Invoice Type","")&amp;IF(J220="",", Tax Code","")&amp;IF(O220="",", Expected Revenue","")&amp;IF(COUNTIF(tbl_Finance[Job Number],$C220&amp;"")&gt;1,", Job number used twice",""),3,300)))</f>
        <v/>
      </c>
      <c r="Q220" s="10">
        <f>IF($C220="","",IF(H220="","(no cost centre)",H220&amp;" - GL "&amp;IFERROR(INDEX(lst_CCtoGL,MATCH(H220,lst_CCforGL,0)),"?")))</f>
        <v/>
      </c>
      <c r="R220" s="37" t="n"/>
      <c r="S220" s="37" t="n"/>
      <c r="T220" s="10">
        <f>IF(S220="","",HYPERLINK(IF(LEFT(S220,4)="http",S220,set_QwilrBase&amp;S220),"Open quote"))</f>
        <v/>
      </c>
      <c r="U220" s="41" t="n"/>
      <c r="V220" s="37" t="n"/>
      <c r="W220" s="37" t="n"/>
      <c r="X220" s="10" t="inlineStr">
        <is>
          <t>ONS-0216</t>
        </is>
      </c>
    </row>
    <row r="221">
      <c r="A221" s="16">
        <f>IF($C221="","",IFERROR(IF(INDEX(tbl_Finance[Latest Invoice Date],MATCH($X221,tbl_Finance[Row ID],0))="","",INDEX(tbl_Finance[Latest Invoice Date],MATCH($X221,tbl_Finance[Row ID],0))),""))</f>
        <v/>
      </c>
      <c r="B221" s="10">
        <f>IF($C221="","",IFERROR(INDEX(tbl_Finance[Invoice Numbers],MATCH($X221,tbl_Finance[Row ID],0))&amp;"",""))</f>
        <v/>
      </c>
      <c r="C221" s="37" t="n"/>
      <c r="D221" s="10">
        <f>IF($C221="","",IF(COUNTIF(lst_Jobs,$C221&amp;"")&gt;0,"OK","CHECK"))</f>
        <v/>
      </c>
      <c r="E221" s="10">
        <f>IF($C221="","",IFERROR(INDEX(lst_JobName,MATCH($C221&amp;"",lst_Jobs,0)),""))</f>
        <v/>
      </c>
      <c r="F221" s="37" t="n"/>
      <c r="G221" s="37" t="n"/>
      <c r="H221" s="37" t="n"/>
      <c r="I221" s="37" t="n"/>
      <c r="J221" s="37" t="n"/>
      <c r="K221" s="38">
        <f>IF($C221="","",IFERROR(N(INDEX(tbl_Finance[Invoice Count],MATCH($X221,tbl_Finance[Row ID],0))),""))</f>
        <v/>
      </c>
      <c r="L221" s="11">
        <f>IF($C221="","",IFERROR(N(INDEX(tbl_Finance[Xero Invoiced Ex GST],MATCH($X221,tbl_Finance[Row ID],0))),""))</f>
        <v/>
      </c>
      <c r="M221" s="10">
        <f>IF($C221="","",IFERROR(INDEX(tbl_Finance[Compare],MATCH($X221,tbl_Finance[Row ID],0))&amp;"",""))</f>
        <v/>
      </c>
      <c r="N221" s="11">
        <f>IF($C221="","",MAX(0,N(O221)-N(L221)))</f>
        <v/>
      </c>
      <c r="O221" s="39" t="n"/>
      <c r="P221" s="40">
        <f>IF($C221="","",IF((IF(F221="",", Client","")&amp;IF(G221="",", Description","")&amp;IF(H221="",", Cost Centre","")&amp;IF(I221="",", Invoice Type","")&amp;IF(J221="",", Tax Code","")&amp;IF(O221="",", Expected Revenue","")&amp;IF(COUNTIF(tbl_Finance[Job Number],$C221&amp;"")&gt;1,", Job number used twice",""))="","Complete","Fix: "&amp;MID(IF(F221="",", Client","")&amp;IF(G221="",", Description","")&amp;IF(H221="",", Cost Centre","")&amp;IF(I221="",", Invoice Type","")&amp;IF(J221="",", Tax Code","")&amp;IF(O221="",", Expected Revenue","")&amp;IF(COUNTIF(tbl_Finance[Job Number],$C221&amp;"")&gt;1,", Job number used twice",""),3,300)))</f>
        <v/>
      </c>
      <c r="Q221" s="10">
        <f>IF($C221="","",IF(H221="","(no cost centre)",H221&amp;" - GL "&amp;IFERROR(INDEX(lst_CCtoGL,MATCH(H221,lst_CCforGL,0)),"?")))</f>
        <v/>
      </c>
      <c r="R221" s="37" t="n"/>
      <c r="S221" s="37" t="n"/>
      <c r="T221" s="10">
        <f>IF(S221="","",HYPERLINK(IF(LEFT(S221,4)="http",S221,set_QwilrBase&amp;S221),"Open quote"))</f>
        <v/>
      </c>
      <c r="U221" s="41" t="n"/>
      <c r="V221" s="37" t="n"/>
      <c r="W221" s="37" t="n"/>
      <c r="X221" s="10" t="inlineStr">
        <is>
          <t>ONS-0217</t>
        </is>
      </c>
    </row>
    <row r="222">
      <c r="A222" s="16">
        <f>IF($C222="","",IFERROR(IF(INDEX(tbl_Finance[Latest Invoice Date],MATCH($X222,tbl_Finance[Row ID],0))="","",INDEX(tbl_Finance[Latest Invoice Date],MATCH($X222,tbl_Finance[Row ID],0))),""))</f>
        <v/>
      </c>
      <c r="B222" s="10">
        <f>IF($C222="","",IFERROR(INDEX(tbl_Finance[Invoice Numbers],MATCH($X222,tbl_Finance[Row ID],0))&amp;"",""))</f>
        <v/>
      </c>
      <c r="C222" s="37" t="n"/>
      <c r="D222" s="10">
        <f>IF($C222="","",IF(COUNTIF(lst_Jobs,$C222&amp;"")&gt;0,"OK","CHECK"))</f>
        <v/>
      </c>
      <c r="E222" s="10">
        <f>IF($C222="","",IFERROR(INDEX(lst_JobName,MATCH($C222&amp;"",lst_Jobs,0)),""))</f>
        <v/>
      </c>
      <c r="F222" s="37" t="n"/>
      <c r="G222" s="37" t="n"/>
      <c r="H222" s="37" t="n"/>
      <c r="I222" s="37" t="n"/>
      <c r="J222" s="37" t="n"/>
      <c r="K222" s="38">
        <f>IF($C222="","",IFERROR(N(INDEX(tbl_Finance[Invoice Count],MATCH($X222,tbl_Finance[Row ID],0))),""))</f>
        <v/>
      </c>
      <c r="L222" s="11">
        <f>IF($C222="","",IFERROR(N(INDEX(tbl_Finance[Xero Invoiced Ex GST],MATCH($X222,tbl_Finance[Row ID],0))),""))</f>
        <v/>
      </c>
      <c r="M222" s="10">
        <f>IF($C222="","",IFERROR(INDEX(tbl_Finance[Compare],MATCH($X222,tbl_Finance[Row ID],0))&amp;"",""))</f>
        <v/>
      </c>
      <c r="N222" s="11">
        <f>IF($C222="","",MAX(0,N(O222)-N(L222)))</f>
        <v/>
      </c>
      <c r="O222" s="39" t="n"/>
      <c r="P222" s="40">
        <f>IF($C222="","",IF((IF(F222="",", Client","")&amp;IF(G222="",", Description","")&amp;IF(H222="",", Cost Centre","")&amp;IF(I222="",", Invoice Type","")&amp;IF(J222="",", Tax Code","")&amp;IF(O222="",", Expected Revenue","")&amp;IF(COUNTIF(tbl_Finance[Job Number],$C222&amp;"")&gt;1,", Job number used twice",""))="","Complete","Fix: "&amp;MID(IF(F222="",", Client","")&amp;IF(G222="",", Description","")&amp;IF(H222="",", Cost Centre","")&amp;IF(I222="",", Invoice Type","")&amp;IF(J222="",", Tax Code","")&amp;IF(O222="",", Expected Revenue","")&amp;IF(COUNTIF(tbl_Finance[Job Number],$C222&amp;"")&gt;1,", Job number used twice",""),3,300)))</f>
        <v/>
      </c>
      <c r="Q222" s="10">
        <f>IF($C222="","",IF(H222="","(no cost centre)",H222&amp;" - GL "&amp;IFERROR(INDEX(lst_CCtoGL,MATCH(H222,lst_CCforGL,0)),"?")))</f>
        <v/>
      </c>
      <c r="R222" s="37" t="n"/>
      <c r="S222" s="37" t="n"/>
      <c r="T222" s="10">
        <f>IF(S222="","",HYPERLINK(IF(LEFT(S222,4)="http",S222,set_QwilrBase&amp;S222),"Open quote"))</f>
        <v/>
      </c>
      <c r="U222" s="41" t="n"/>
      <c r="V222" s="37" t="n"/>
      <c r="W222" s="37" t="n"/>
      <c r="X222" s="10" t="inlineStr">
        <is>
          <t>ONS-0218</t>
        </is>
      </c>
    </row>
    <row r="223">
      <c r="A223" s="16">
        <f>IF($C223="","",IFERROR(IF(INDEX(tbl_Finance[Latest Invoice Date],MATCH($X223,tbl_Finance[Row ID],0))="","",INDEX(tbl_Finance[Latest Invoice Date],MATCH($X223,tbl_Finance[Row ID],0))),""))</f>
        <v/>
      </c>
      <c r="B223" s="10">
        <f>IF($C223="","",IFERROR(INDEX(tbl_Finance[Invoice Numbers],MATCH($X223,tbl_Finance[Row ID],0))&amp;"",""))</f>
        <v/>
      </c>
      <c r="C223" s="37" t="n"/>
      <c r="D223" s="10">
        <f>IF($C223="","",IF(COUNTIF(lst_Jobs,$C223&amp;"")&gt;0,"OK","CHECK"))</f>
        <v/>
      </c>
      <c r="E223" s="10">
        <f>IF($C223="","",IFERROR(INDEX(lst_JobName,MATCH($C223&amp;"",lst_Jobs,0)),""))</f>
        <v/>
      </c>
      <c r="F223" s="37" t="n"/>
      <c r="G223" s="37" t="n"/>
      <c r="H223" s="37" t="n"/>
      <c r="I223" s="37" t="n"/>
      <c r="J223" s="37" t="n"/>
      <c r="K223" s="38">
        <f>IF($C223="","",IFERROR(N(INDEX(tbl_Finance[Invoice Count],MATCH($X223,tbl_Finance[Row ID],0))),""))</f>
        <v/>
      </c>
      <c r="L223" s="11">
        <f>IF($C223="","",IFERROR(N(INDEX(tbl_Finance[Xero Invoiced Ex GST],MATCH($X223,tbl_Finance[Row ID],0))),""))</f>
        <v/>
      </c>
      <c r="M223" s="10">
        <f>IF($C223="","",IFERROR(INDEX(tbl_Finance[Compare],MATCH($X223,tbl_Finance[Row ID],0))&amp;"",""))</f>
        <v/>
      </c>
      <c r="N223" s="11">
        <f>IF($C223="","",MAX(0,N(O223)-N(L223)))</f>
        <v/>
      </c>
      <c r="O223" s="39" t="n"/>
      <c r="P223" s="40">
        <f>IF($C223="","",IF((IF(F223="",", Client","")&amp;IF(G223="",", Description","")&amp;IF(H223="",", Cost Centre","")&amp;IF(I223="",", Invoice Type","")&amp;IF(J223="",", Tax Code","")&amp;IF(O223="",", Expected Revenue","")&amp;IF(COUNTIF(tbl_Finance[Job Number],$C223&amp;"")&gt;1,", Job number used twice",""))="","Complete","Fix: "&amp;MID(IF(F223="",", Client","")&amp;IF(G223="",", Description","")&amp;IF(H223="",", Cost Centre","")&amp;IF(I223="",", Invoice Type","")&amp;IF(J223="",", Tax Code","")&amp;IF(O223="",", Expected Revenue","")&amp;IF(COUNTIF(tbl_Finance[Job Number],$C223&amp;"")&gt;1,", Job number used twice",""),3,300)))</f>
        <v/>
      </c>
      <c r="Q223" s="10">
        <f>IF($C223="","",IF(H223="","(no cost centre)",H223&amp;" - GL "&amp;IFERROR(INDEX(lst_CCtoGL,MATCH(H223,lst_CCforGL,0)),"?")))</f>
        <v/>
      </c>
      <c r="R223" s="37" t="n"/>
      <c r="S223" s="37" t="n"/>
      <c r="T223" s="10">
        <f>IF(S223="","",HYPERLINK(IF(LEFT(S223,4)="http",S223,set_QwilrBase&amp;S223),"Open quote"))</f>
        <v/>
      </c>
      <c r="U223" s="41" t="n"/>
      <c r="V223" s="37" t="n"/>
      <c r="W223" s="37" t="n"/>
      <c r="X223" s="10" t="inlineStr">
        <is>
          <t>ONS-0219</t>
        </is>
      </c>
    </row>
    <row r="224">
      <c r="A224" s="16">
        <f>IF($C224="","",IFERROR(IF(INDEX(tbl_Finance[Latest Invoice Date],MATCH($X224,tbl_Finance[Row ID],0))="","",INDEX(tbl_Finance[Latest Invoice Date],MATCH($X224,tbl_Finance[Row ID],0))),""))</f>
        <v/>
      </c>
      <c r="B224" s="10">
        <f>IF($C224="","",IFERROR(INDEX(tbl_Finance[Invoice Numbers],MATCH($X224,tbl_Finance[Row ID],0))&amp;"",""))</f>
        <v/>
      </c>
      <c r="C224" s="37" t="n"/>
      <c r="D224" s="10">
        <f>IF($C224="","",IF(COUNTIF(lst_Jobs,$C224&amp;"")&gt;0,"OK","CHECK"))</f>
        <v/>
      </c>
      <c r="E224" s="10">
        <f>IF($C224="","",IFERROR(INDEX(lst_JobName,MATCH($C224&amp;"",lst_Jobs,0)),""))</f>
        <v/>
      </c>
      <c r="F224" s="37" t="n"/>
      <c r="G224" s="37" t="n"/>
      <c r="H224" s="37" t="n"/>
      <c r="I224" s="37" t="n"/>
      <c r="J224" s="37" t="n"/>
      <c r="K224" s="38">
        <f>IF($C224="","",IFERROR(N(INDEX(tbl_Finance[Invoice Count],MATCH($X224,tbl_Finance[Row ID],0))),""))</f>
        <v/>
      </c>
      <c r="L224" s="11">
        <f>IF($C224="","",IFERROR(N(INDEX(tbl_Finance[Xero Invoiced Ex GST],MATCH($X224,tbl_Finance[Row ID],0))),""))</f>
        <v/>
      </c>
      <c r="M224" s="10">
        <f>IF($C224="","",IFERROR(INDEX(tbl_Finance[Compare],MATCH($X224,tbl_Finance[Row ID],0))&amp;"",""))</f>
        <v/>
      </c>
      <c r="N224" s="11">
        <f>IF($C224="","",MAX(0,N(O224)-N(L224)))</f>
        <v/>
      </c>
      <c r="O224" s="39" t="n"/>
      <c r="P224" s="40">
        <f>IF($C224="","",IF((IF(F224="",", Client","")&amp;IF(G224="",", Description","")&amp;IF(H224="",", Cost Centre","")&amp;IF(I224="",", Invoice Type","")&amp;IF(J224="",", Tax Code","")&amp;IF(O224="",", Expected Revenue","")&amp;IF(COUNTIF(tbl_Finance[Job Number],$C224&amp;"")&gt;1,", Job number used twice",""))="","Complete","Fix: "&amp;MID(IF(F224="",", Client","")&amp;IF(G224="",", Description","")&amp;IF(H224="",", Cost Centre","")&amp;IF(I224="",", Invoice Type","")&amp;IF(J224="",", Tax Code","")&amp;IF(O224="",", Expected Revenue","")&amp;IF(COUNTIF(tbl_Finance[Job Number],$C224&amp;"")&gt;1,", Job number used twice",""),3,300)))</f>
        <v/>
      </c>
      <c r="Q224" s="10">
        <f>IF($C224="","",IF(H224="","(no cost centre)",H224&amp;" - GL "&amp;IFERROR(INDEX(lst_CCtoGL,MATCH(H224,lst_CCforGL,0)),"?")))</f>
        <v/>
      </c>
      <c r="R224" s="37" t="n"/>
      <c r="S224" s="37" t="n"/>
      <c r="T224" s="10">
        <f>IF(S224="","",HYPERLINK(IF(LEFT(S224,4)="http",S224,set_QwilrBase&amp;S224),"Open quote"))</f>
        <v/>
      </c>
      <c r="U224" s="41" t="n"/>
      <c r="V224" s="37" t="n"/>
      <c r="W224" s="37" t="n"/>
      <c r="X224" s="10" t="inlineStr">
        <is>
          <t>ONS-0220</t>
        </is>
      </c>
    </row>
    <row r="225">
      <c r="A225" s="16">
        <f>IF($C225="","",IFERROR(IF(INDEX(tbl_Finance[Latest Invoice Date],MATCH($X225,tbl_Finance[Row ID],0))="","",INDEX(tbl_Finance[Latest Invoice Date],MATCH($X225,tbl_Finance[Row ID],0))),""))</f>
        <v/>
      </c>
      <c r="B225" s="10">
        <f>IF($C225="","",IFERROR(INDEX(tbl_Finance[Invoice Numbers],MATCH($X225,tbl_Finance[Row ID],0))&amp;"",""))</f>
        <v/>
      </c>
      <c r="C225" s="37" t="n"/>
      <c r="D225" s="10">
        <f>IF($C225="","",IF(COUNTIF(lst_Jobs,$C225&amp;"")&gt;0,"OK","CHECK"))</f>
        <v/>
      </c>
      <c r="E225" s="10">
        <f>IF($C225="","",IFERROR(INDEX(lst_JobName,MATCH($C225&amp;"",lst_Jobs,0)),""))</f>
        <v/>
      </c>
      <c r="F225" s="37" t="n"/>
      <c r="G225" s="37" t="n"/>
      <c r="H225" s="37" t="n"/>
      <c r="I225" s="37" t="n"/>
      <c r="J225" s="37" t="n"/>
      <c r="K225" s="38">
        <f>IF($C225="","",IFERROR(N(INDEX(tbl_Finance[Invoice Count],MATCH($X225,tbl_Finance[Row ID],0))),""))</f>
        <v/>
      </c>
      <c r="L225" s="11">
        <f>IF($C225="","",IFERROR(N(INDEX(tbl_Finance[Xero Invoiced Ex GST],MATCH($X225,tbl_Finance[Row ID],0))),""))</f>
        <v/>
      </c>
      <c r="M225" s="10">
        <f>IF($C225="","",IFERROR(INDEX(tbl_Finance[Compare],MATCH($X225,tbl_Finance[Row ID],0))&amp;"",""))</f>
        <v/>
      </c>
      <c r="N225" s="11">
        <f>IF($C225="","",MAX(0,N(O225)-N(L225)))</f>
        <v/>
      </c>
      <c r="O225" s="39" t="n"/>
      <c r="P225" s="40">
        <f>IF($C225="","",IF((IF(F225="",", Client","")&amp;IF(G225="",", Description","")&amp;IF(H225="",", Cost Centre","")&amp;IF(I225="",", Invoice Type","")&amp;IF(J225="",", Tax Code","")&amp;IF(O225="",", Expected Revenue","")&amp;IF(COUNTIF(tbl_Finance[Job Number],$C225&amp;"")&gt;1,", Job number used twice",""))="","Complete","Fix: "&amp;MID(IF(F225="",", Client","")&amp;IF(G225="",", Description","")&amp;IF(H225="",", Cost Centre","")&amp;IF(I225="",", Invoice Type","")&amp;IF(J225="",", Tax Code","")&amp;IF(O225="",", Expected Revenue","")&amp;IF(COUNTIF(tbl_Finance[Job Number],$C225&amp;"")&gt;1,", Job number used twice",""),3,300)))</f>
        <v/>
      </c>
      <c r="Q225" s="10">
        <f>IF($C225="","",IF(H225="","(no cost centre)",H225&amp;" - GL "&amp;IFERROR(INDEX(lst_CCtoGL,MATCH(H225,lst_CCforGL,0)),"?")))</f>
        <v/>
      </c>
      <c r="R225" s="37" t="n"/>
      <c r="S225" s="37" t="n"/>
      <c r="T225" s="10">
        <f>IF(S225="","",HYPERLINK(IF(LEFT(S225,4)="http",S225,set_QwilrBase&amp;S225),"Open quote"))</f>
        <v/>
      </c>
      <c r="U225" s="41" t="n"/>
      <c r="V225" s="37" t="n"/>
      <c r="W225" s="37" t="n"/>
      <c r="X225" s="10" t="inlineStr">
        <is>
          <t>ONS-0221</t>
        </is>
      </c>
    </row>
    <row r="226">
      <c r="A226" s="16">
        <f>IF($C226="","",IFERROR(IF(INDEX(tbl_Finance[Latest Invoice Date],MATCH($X226,tbl_Finance[Row ID],0))="","",INDEX(tbl_Finance[Latest Invoice Date],MATCH($X226,tbl_Finance[Row ID],0))),""))</f>
        <v/>
      </c>
      <c r="B226" s="10">
        <f>IF($C226="","",IFERROR(INDEX(tbl_Finance[Invoice Numbers],MATCH($X226,tbl_Finance[Row ID],0))&amp;"",""))</f>
        <v/>
      </c>
      <c r="C226" s="37" t="n"/>
      <c r="D226" s="10">
        <f>IF($C226="","",IF(COUNTIF(lst_Jobs,$C226&amp;"")&gt;0,"OK","CHECK"))</f>
        <v/>
      </c>
      <c r="E226" s="10">
        <f>IF($C226="","",IFERROR(INDEX(lst_JobName,MATCH($C226&amp;"",lst_Jobs,0)),""))</f>
        <v/>
      </c>
      <c r="F226" s="37" t="n"/>
      <c r="G226" s="37" t="n"/>
      <c r="H226" s="37" t="n"/>
      <c r="I226" s="37" t="n"/>
      <c r="J226" s="37" t="n"/>
      <c r="K226" s="38">
        <f>IF($C226="","",IFERROR(N(INDEX(tbl_Finance[Invoice Count],MATCH($X226,tbl_Finance[Row ID],0))),""))</f>
        <v/>
      </c>
      <c r="L226" s="11">
        <f>IF($C226="","",IFERROR(N(INDEX(tbl_Finance[Xero Invoiced Ex GST],MATCH($X226,tbl_Finance[Row ID],0))),""))</f>
        <v/>
      </c>
      <c r="M226" s="10">
        <f>IF($C226="","",IFERROR(INDEX(tbl_Finance[Compare],MATCH($X226,tbl_Finance[Row ID],0))&amp;"",""))</f>
        <v/>
      </c>
      <c r="N226" s="11">
        <f>IF($C226="","",MAX(0,N(O226)-N(L226)))</f>
        <v/>
      </c>
      <c r="O226" s="39" t="n"/>
      <c r="P226" s="40">
        <f>IF($C226="","",IF((IF(F226="",", Client","")&amp;IF(G226="",", Description","")&amp;IF(H226="",", Cost Centre","")&amp;IF(I226="",", Invoice Type","")&amp;IF(J226="",", Tax Code","")&amp;IF(O226="",", Expected Revenue","")&amp;IF(COUNTIF(tbl_Finance[Job Number],$C226&amp;"")&gt;1,", Job number used twice",""))="","Complete","Fix: "&amp;MID(IF(F226="",", Client","")&amp;IF(G226="",", Description","")&amp;IF(H226="",", Cost Centre","")&amp;IF(I226="",", Invoice Type","")&amp;IF(J226="",", Tax Code","")&amp;IF(O226="",", Expected Revenue","")&amp;IF(COUNTIF(tbl_Finance[Job Number],$C226&amp;"")&gt;1,", Job number used twice",""),3,300)))</f>
        <v/>
      </c>
      <c r="Q226" s="10">
        <f>IF($C226="","",IF(H226="","(no cost centre)",H226&amp;" - GL "&amp;IFERROR(INDEX(lst_CCtoGL,MATCH(H226,lst_CCforGL,0)),"?")))</f>
        <v/>
      </c>
      <c r="R226" s="37" t="n"/>
      <c r="S226" s="37" t="n"/>
      <c r="T226" s="10">
        <f>IF(S226="","",HYPERLINK(IF(LEFT(S226,4)="http",S226,set_QwilrBase&amp;S226),"Open quote"))</f>
        <v/>
      </c>
      <c r="U226" s="41" t="n"/>
      <c r="V226" s="37" t="n"/>
      <c r="W226" s="37" t="n"/>
      <c r="X226" s="10" t="inlineStr">
        <is>
          <t>ONS-0222</t>
        </is>
      </c>
    </row>
    <row r="227">
      <c r="A227" s="16">
        <f>IF($C227="","",IFERROR(IF(INDEX(tbl_Finance[Latest Invoice Date],MATCH($X227,tbl_Finance[Row ID],0))="","",INDEX(tbl_Finance[Latest Invoice Date],MATCH($X227,tbl_Finance[Row ID],0))),""))</f>
        <v/>
      </c>
      <c r="B227" s="10">
        <f>IF($C227="","",IFERROR(INDEX(tbl_Finance[Invoice Numbers],MATCH($X227,tbl_Finance[Row ID],0))&amp;"",""))</f>
        <v/>
      </c>
      <c r="C227" s="37" t="n"/>
      <c r="D227" s="10">
        <f>IF($C227="","",IF(COUNTIF(lst_Jobs,$C227&amp;"")&gt;0,"OK","CHECK"))</f>
        <v/>
      </c>
      <c r="E227" s="10">
        <f>IF($C227="","",IFERROR(INDEX(lst_JobName,MATCH($C227&amp;"",lst_Jobs,0)),""))</f>
        <v/>
      </c>
      <c r="F227" s="37" t="n"/>
      <c r="G227" s="37" t="n"/>
      <c r="H227" s="37" t="n"/>
      <c r="I227" s="37" t="n"/>
      <c r="J227" s="37" t="n"/>
      <c r="K227" s="38">
        <f>IF($C227="","",IFERROR(N(INDEX(tbl_Finance[Invoice Count],MATCH($X227,tbl_Finance[Row ID],0))),""))</f>
        <v/>
      </c>
      <c r="L227" s="11">
        <f>IF($C227="","",IFERROR(N(INDEX(tbl_Finance[Xero Invoiced Ex GST],MATCH($X227,tbl_Finance[Row ID],0))),""))</f>
        <v/>
      </c>
      <c r="M227" s="10">
        <f>IF($C227="","",IFERROR(INDEX(tbl_Finance[Compare],MATCH($X227,tbl_Finance[Row ID],0))&amp;"",""))</f>
        <v/>
      </c>
      <c r="N227" s="11">
        <f>IF($C227="","",MAX(0,N(O227)-N(L227)))</f>
        <v/>
      </c>
      <c r="O227" s="39" t="n"/>
      <c r="P227" s="40">
        <f>IF($C227="","",IF((IF(F227="",", Client","")&amp;IF(G227="",", Description","")&amp;IF(H227="",", Cost Centre","")&amp;IF(I227="",", Invoice Type","")&amp;IF(J227="",", Tax Code","")&amp;IF(O227="",", Expected Revenue","")&amp;IF(COUNTIF(tbl_Finance[Job Number],$C227&amp;"")&gt;1,", Job number used twice",""))="","Complete","Fix: "&amp;MID(IF(F227="",", Client","")&amp;IF(G227="",", Description","")&amp;IF(H227="",", Cost Centre","")&amp;IF(I227="",", Invoice Type","")&amp;IF(J227="",", Tax Code","")&amp;IF(O227="",", Expected Revenue","")&amp;IF(COUNTIF(tbl_Finance[Job Number],$C227&amp;"")&gt;1,", Job number used twice",""),3,300)))</f>
        <v/>
      </c>
      <c r="Q227" s="10">
        <f>IF($C227="","",IF(H227="","(no cost centre)",H227&amp;" - GL "&amp;IFERROR(INDEX(lst_CCtoGL,MATCH(H227,lst_CCforGL,0)),"?")))</f>
        <v/>
      </c>
      <c r="R227" s="37" t="n"/>
      <c r="S227" s="37" t="n"/>
      <c r="T227" s="10">
        <f>IF(S227="","",HYPERLINK(IF(LEFT(S227,4)="http",S227,set_QwilrBase&amp;S227),"Open quote"))</f>
        <v/>
      </c>
      <c r="U227" s="41" t="n"/>
      <c r="V227" s="37" t="n"/>
      <c r="W227" s="37" t="n"/>
      <c r="X227" s="10" t="inlineStr">
        <is>
          <t>ONS-0223</t>
        </is>
      </c>
    </row>
    <row r="228">
      <c r="A228" s="16">
        <f>IF($C228="","",IFERROR(IF(INDEX(tbl_Finance[Latest Invoice Date],MATCH($X228,tbl_Finance[Row ID],0))="","",INDEX(tbl_Finance[Latest Invoice Date],MATCH($X228,tbl_Finance[Row ID],0))),""))</f>
        <v/>
      </c>
      <c r="B228" s="10">
        <f>IF($C228="","",IFERROR(INDEX(tbl_Finance[Invoice Numbers],MATCH($X228,tbl_Finance[Row ID],0))&amp;"",""))</f>
        <v/>
      </c>
      <c r="C228" s="37" t="n"/>
      <c r="D228" s="10">
        <f>IF($C228="","",IF(COUNTIF(lst_Jobs,$C228&amp;"")&gt;0,"OK","CHECK"))</f>
        <v/>
      </c>
      <c r="E228" s="10">
        <f>IF($C228="","",IFERROR(INDEX(lst_JobName,MATCH($C228&amp;"",lst_Jobs,0)),""))</f>
        <v/>
      </c>
      <c r="F228" s="37" t="n"/>
      <c r="G228" s="37" t="n"/>
      <c r="H228" s="37" t="n"/>
      <c r="I228" s="37" t="n"/>
      <c r="J228" s="37" t="n"/>
      <c r="K228" s="38">
        <f>IF($C228="","",IFERROR(N(INDEX(tbl_Finance[Invoice Count],MATCH($X228,tbl_Finance[Row ID],0))),""))</f>
        <v/>
      </c>
      <c r="L228" s="11">
        <f>IF($C228="","",IFERROR(N(INDEX(tbl_Finance[Xero Invoiced Ex GST],MATCH($X228,tbl_Finance[Row ID],0))),""))</f>
        <v/>
      </c>
      <c r="M228" s="10">
        <f>IF($C228="","",IFERROR(INDEX(tbl_Finance[Compare],MATCH($X228,tbl_Finance[Row ID],0))&amp;"",""))</f>
        <v/>
      </c>
      <c r="N228" s="11">
        <f>IF($C228="","",MAX(0,N(O228)-N(L228)))</f>
        <v/>
      </c>
      <c r="O228" s="39" t="n"/>
      <c r="P228" s="40">
        <f>IF($C228="","",IF((IF(F228="",", Client","")&amp;IF(G228="",", Description","")&amp;IF(H228="",", Cost Centre","")&amp;IF(I228="",", Invoice Type","")&amp;IF(J228="",", Tax Code","")&amp;IF(O228="",", Expected Revenue","")&amp;IF(COUNTIF(tbl_Finance[Job Number],$C228&amp;"")&gt;1,", Job number used twice",""))="","Complete","Fix: "&amp;MID(IF(F228="",", Client","")&amp;IF(G228="",", Description","")&amp;IF(H228="",", Cost Centre","")&amp;IF(I228="",", Invoice Type","")&amp;IF(J228="",", Tax Code","")&amp;IF(O228="",", Expected Revenue","")&amp;IF(COUNTIF(tbl_Finance[Job Number],$C228&amp;"")&gt;1,", Job number used twice",""),3,300)))</f>
        <v/>
      </c>
      <c r="Q228" s="10">
        <f>IF($C228="","",IF(H228="","(no cost centre)",H228&amp;" - GL "&amp;IFERROR(INDEX(lst_CCtoGL,MATCH(H228,lst_CCforGL,0)),"?")))</f>
        <v/>
      </c>
      <c r="R228" s="37" t="n"/>
      <c r="S228" s="37" t="n"/>
      <c r="T228" s="10">
        <f>IF(S228="","",HYPERLINK(IF(LEFT(S228,4)="http",S228,set_QwilrBase&amp;S228),"Open quote"))</f>
        <v/>
      </c>
      <c r="U228" s="41" t="n"/>
      <c r="V228" s="37" t="n"/>
      <c r="W228" s="37" t="n"/>
      <c r="X228" s="10" t="inlineStr">
        <is>
          <t>ONS-0224</t>
        </is>
      </c>
    </row>
    <row r="229">
      <c r="A229" s="16">
        <f>IF($C229="","",IFERROR(IF(INDEX(tbl_Finance[Latest Invoice Date],MATCH($X229,tbl_Finance[Row ID],0))="","",INDEX(tbl_Finance[Latest Invoice Date],MATCH($X229,tbl_Finance[Row ID],0))),""))</f>
        <v/>
      </c>
      <c r="B229" s="10">
        <f>IF($C229="","",IFERROR(INDEX(tbl_Finance[Invoice Numbers],MATCH($X229,tbl_Finance[Row ID],0))&amp;"",""))</f>
        <v/>
      </c>
      <c r="C229" s="37" t="n"/>
      <c r="D229" s="10">
        <f>IF($C229="","",IF(COUNTIF(lst_Jobs,$C229&amp;"")&gt;0,"OK","CHECK"))</f>
        <v/>
      </c>
      <c r="E229" s="10">
        <f>IF($C229="","",IFERROR(INDEX(lst_JobName,MATCH($C229&amp;"",lst_Jobs,0)),""))</f>
        <v/>
      </c>
      <c r="F229" s="37" t="n"/>
      <c r="G229" s="37" t="n"/>
      <c r="H229" s="37" t="n"/>
      <c r="I229" s="37" t="n"/>
      <c r="J229" s="37" t="n"/>
      <c r="K229" s="38">
        <f>IF($C229="","",IFERROR(N(INDEX(tbl_Finance[Invoice Count],MATCH($X229,tbl_Finance[Row ID],0))),""))</f>
        <v/>
      </c>
      <c r="L229" s="11">
        <f>IF($C229="","",IFERROR(N(INDEX(tbl_Finance[Xero Invoiced Ex GST],MATCH($X229,tbl_Finance[Row ID],0))),""))</f>
        <v/>
      </c>
      <c r="M229" s="10">
        <f>IF($C229="","",IFERROR(INDEX(tbl_Finance[Compare],MATCH($X229,tbl_Finance[Row ID],0))&amp;"",""))</f>
        <v/>
      </c>
      <c r="N229" s="11">
        <f>IF($C229="","",MAX(0,N(O229)-N(L229)))</f>
        <v/>
      </c>
      <c r="O229" s="39" t="n"/>
      <c r="P229" s="40">
        <f>IF($C229="","",IF((IF(F229="",", Client","")&amp;IF(G229="",", Description","")&amp;IF(H229="",", Cost Centre","")&amp;IF(I229="",", Invoice Type","")&amp;IF(J229="",", Tax Code","")&amp;IF(O229="",", Expected Revenue","")&amp;IF(COUNTIF(tbl_Finance[Job Number],$C229&amp;"")&gt;1,", Job number used twice",""))="","Complete","Fix: "&amp;MID(IF(F229="",", Client","")&amp;IF(G229="",", Description","")&amp;IF(H229="",", Cost Centre","")&amp;IF(I229="",", Invoice Type","")&amp;IF(J229="",", Tax Code","")&amp;IF(O229="",", Expected Revenue","")&amp;IF(COUNTIF(tbl_Finance[Job Number],$C229&amp;"")&gt;1,", Job number used twice",""),3,300)))</f>
        <v/>
      </c>
      <c r="Q229" s="10">
        <f>IF($C229="","",IF(H229="","(no cost centre)",H229&amp;" - GL "&amp;IFERROR(INDEX(lst_CCtoGL,MATCH(H229,lst_CCforGL,0)),"?")))</f>
        <v/>
      </c>
      <c r="R229" s="37" t="n"/>
      <c r="S229" s="37" t="n"/>
      <c r="T229" s="10">
        <f>IF(S229="","",HYPERLINK(IF(LEFT(S229,4)="http",S229,set_QwilrBase&amp;S229),"Open quote"))</f>
        <v/>
      </c>
      <c r="U229" s="41" t="n"/>
      <c r="V229" s="37" t="n"/>
      <c r="W229" s="37" t="n"/>
      <c r="X229" s="10" t="inlineStr">
        <is>
          <t>ONS-0225</t>
        </is>
      </c>
    </row>
    <row r="230">
      <c r="A230" s="16">
        <f>IF($C230="","",IFERROR(IF(INDEX(tbl_Finance[Latest Invoice Date],MATCH($X230,tbl_Finance[Row ID],0))="","",INDEX(tbl_Finance[Latest Invoice Date],MATCH($X230,tbl_Finance[Row ID],0))),""))</f>
        <v/>
      </c>
      <c r="B230" s="10">
        <f>IF($C230="","",IFERROR(INDEX(tbl_Finance[Invoice Numbers],MATCH($X230,tbl_Finance[Row ID],0))&amp;"",""))</f>
        <v/>
      </c>
      <c r="C230" s="37" t="n"/>
      <c r="D230" s="10">
        <f>IF($C230="","",IF(COUNTIF(lst_Jobs,$C230&amp;"")&gt;0,"OK","CHECK"))</f>
        <v/>
      </c>
      <c r="E230" s="10">
        <f>IF($C230="","",IFERROR(INDEX(lst_JobName,MATCH($C230&amp;"",lst_Jobs,0)),""))</f>
        <v/>
      </c>
      <c r="F230" s="37" t="n"/>
      <c r="G230" s="37" t="n"/>
      <c r="H230" s="37" t="n"/>
      <c r="I230" s="37" t="n"/>
      <c r="J230" s="37" t="n"/>
      <c r="K230" s="38">
        <f>IF($C230="","",IFERROR(N(INDEX(tbl_Finance[Invoice Count],MATCH($X230,tbl_Finance[Row ID],0))),""))</f>
        <v/>
      </c>
      <c r="L230" s="11">
        <f>IF($C230="","",IFERROR(N(INDEX(tbl_Finance[Xero Invoiced Ex GST],MATCH($X230,tbl_Finance[Row ID],0))),""))</f>
        <v/>
      </c>
      <c r="M230" s="10">
        <f>IF($C230="","",IFERROR(INDEX(tbl_Finance[Compare],MATCH($X230,tbl_Finance[Row ID],0))&amp;"",""))</f>
        <v/>
      </c>
      <c r="N230" s="11">
        <f>IF($C230="","",MAX(0,N(O230)-N(L230)))</f>
        <v/>
      </c>
      <c r="O230" s="39" t="n"/>
      <c r="P230" s="40">
        <f>IF($C230="","",IF((IF(F230="",", Client","")&amp;IF(G230="",", Description","")&amp;IF(H230="",", Cost Centre","")&amp;IF(I230="",", Invoice Type","")&amp;IF(J230="",", Tax Code","")&amp;IF(O230="",", Expected Revenue","")&amp;IF(COUNTIF(tbl_Finance[Job Number],$C230&amp;"")&gt;1,", Job number used twice",""))="","Complete","Fix: "&amp;MID(IF(F230="",", Client","")&amp;IF(G230="",", Description","")&amp;IF(H230="",", Cost Centre","")&amp;IF(I230="",", Invoice Type","")&amp;IF(J230="",", Tax Code","")&amp;IF(O230="",", Expected Revenue","")&amp;IF(COUNTIF(tbl_Finance[Job Number],$C230&amp;"")&gt;1,", Job number used twice",""),3,300)))</f>
        <v/>
      </c>
      <c r="Q230" s="10">
        <f>IF($C230="","",IF(H230="","(no cost centre)",H230&amp;" - GL "&amp;IFERROR(INDEX(lst_CCtoGL,MATCH(H230,lst_CCforGL,0)),"?")))</f>
        <v/>
      </c>
      <c r="R230" s="37" t="n"/>
      <c r="S230" s="37" t="n"/>
      <c r="T230" s="10">
        <f>IF(S230="","",HYPERLINK(IF(LEFT(S230,4)="http",S230,set_QwilrBase&amp;S230),"Open quote"))</f>
        <v/>
      </c>
      <c r="U230" s="41" t="n"/>
      <c r="V230" s="37" t="n"/>
      <c r="W230" s="37" t="n"/>
      <c r="X230" s="10" t="inlineStr">
        <is>
          <t>ONS-0226</t>
        </is>
      </c>
    </row>
    <row r="231">
      <c r="A231" s="16">
        <f>IF($C231="","",IFERROR(IF(INDEX(tbl_Finance[Latest Invoice Date],MATCH($X231,tbl_Finance[Row ID],0))="","",INDEX(tbl_Finance[Latest Invoice Date],MATCH($X231,tbl_Finance[Row ID],0))),""))</f>
        <v/>
      </c>
      <c r="B231" s="10">
        <f>IF($C231="","",IFERROR(INDEX(tbl_Finance[Invoice Numbers],MATCH($X231,tbl_Finance[Row ID],0))&amp;"",""))</f>
        <v/>
      </c>
      <c r="C231" s="37" t="n"/>
      <c r="D231" s="10">
        <f>IF($C231="","",IF(COUNTIF(lst_Jobs,$C231&amp;"")&gt;0,"OK","CHECK"))</f>
        <v/>
      </c>
      <c r="E231" s="10">
        <f>IF($C231="","",IFERROR(INDEX(lst_JobName,MATCH($C231&amp;"",lst_Jobs,0)),""))</f>
        <v/>
      </c>
      <c r="F231" s="37" t="n"/>
      <c r="G231" s="37" t="n"/>
      <c r="H231" s="37" t="n"/>
      <c r="I231" s="37" t="n"/>
      <c r="J231" s="37" t="n"/>
      <c r="K231" s="38">
        <f>IF($C231="","",IFERROR(N(INDEX(tbl_Finance[Invoice Count],MATCH($X231,tbl_Finance[Row ID],0))),""))</f>
        <v/>
      </c>
      <c r="L231" s="11">
        <f>IF($C231="","",IFERROR(N(INDEX(tbl_Finance[Xero Invoiced Ex GST],MATCH($X231,tbl_Finance[Row ID],0))),""))</f>
        <v/>
      </c>
      <c r="M231" s="10">
        <f>IF($C231="","",IFERROR(INDEX(tbl_Finance[Compare],MATCH($X231,tbl_Finance[Row ID],0))&amp;"",""))</f>
        <v/>
      </c>
      <c r="N231" s="11">
        <f>IF($C231="","",MAX(0,N(O231)-N(L231)))</f>
        <v/>
      </c>
      <c r="O231" s="39" t="n"/>
      <c r="P231" s="40">
        <f>IF($C231="","",IF((IF(F231="",", Client","")&amp;IF(G231="",", Description","")&amp;IF(H231="",", Cost Centre","")&amp;IF(I231="",", Invoice Type","")&amp;IF(J231="",", Tax Code","")&amp;IF(O231="",", Expected Revenue","")&amp;IF(COUNTIF(tbl_Finance[Job Number],$C231&amp;"")&gt;1,", Job number used twice",""))="","Complete","Fix: "&amp;MID(IF(F231="",", Client","")&amp;IF(G231="",", Description","")&amp;IF(H231="",", Cost Centre","")&amp;IF(I231="",", Invoice Type","")&amp;IF(J231="",", Tax Code","")&amp;IF(O231="",", Expected Revenue","")&amp;IF(COUNTIF(tbl_Finance[Job Number],$C231&amp;"")&gt;1,", Job number used twice",""),3,300)))</f>
        <v/>
      </c>
      <c r="Q231" s="10">
        <f>IF($C231="","",IF(H231="","(no cost centre)",H231&amp;" - GL "&amp;IFERROR(INDEX(lst_CCtoGL,MATCH(H231,lst_CCforGL,0)),"?")))</f>
        <v/>
      </c>
      <c r="R231" s="37" t="n"/>
      <c r="S231" s="37" t="n"/>
      <c r="T231" s="10">
        <f>IF(S231="","",HYPERLINK(IF(LEFT(S231,4)="http",S231,set_QwilrBase&amp;S231),"Open quote"))</f>
        <v/>
      </c>
      <c r="U231" s="41" t="n"/>
      <c r="V231" s="37" t="n"/>
      <c r="W231" s="37" t="n"/>
      <c r="X231" s="10" t="inlineStr">
        <is>
          <t>ONS-0227</t>
        </is>
      </c>
    </row>
    <row r="232">
      <c r="A232" s="16">
        <f>IF($C232="","",IFERROR(IF(INDEX(tbl_Finance[Latest Invoice Date],MATCH($X232,tbl_Finance[Row ID],0))="","",INDEX(tbl_Finance[Latest Invoice Date],MATCH($X232,tbl_Finance[Row ID],0))),""))</f>
        <v/>
      </c>
      <c r="B232" s="10">
        <f>IF($C232="","",IFERROR(INDEX(tbl_Finance[Invoice Numbers],MATCH($X232,tbl_Finance[Row ID],0))&amp;"",""))</f>
        <v/>
      </c>
      <c r="C232" s="37" t="n"/>
      <c r="D232" s="10">
        <f>IF($C232="","",IF(COUNTIF(lst_Jobs,$C232&amp;"")&gt;0,"OK","CHECK"))</f>
        <v/>
      </c>
      <c r="E232" s="10">
        <f>IF($C232="","",IFERROR(INDEX(lst_JobName,MATCH($C232&amp;"",lst_Jobs,0)),""))</f>
        <v/>
      </c>
      <c r="F232" s="37" t="n"/>
      <c r="G232" s="37" t="n"/>
      <c r="H232" s="37" t="n"/>
      <c r="I232" s="37" t="n"/>
      <c r="J232" s="37" t="n"/>
      <c r="K232" s="38">
        <f>IF($C232="","",IFERROR(N(INDEX(tbl_Finance[Invoice Count],MATCH($X232,tbl_Finance[Row ID],0))),""))</f>
        <v/>
      </c>
      <c r="L232" s="11">
        <f>IF($C232="","",IFERROR(N(INDEX(tbl_Finance[Xero Invoiced Ex GST],MATCH($X232,tbl_Finance[Row ID],0))),""))</f>
        <v/>
      </c>
      <c r="M232" s="10">
        <f>IF($C232="","",IFERROR(INDEX(tbl_Finance[Compare],MATCH($X232,tbl_Finance[Row ID],0))&amp;"",""))</f>
        <v/>
      </c>
      <c r="N232" s="11">
        <f>IF($C232="","",MAX(0,N(O232)-N(L232)))</f>
        <v/>
      </c>
      <c r="O232" s="39" t="n"/>
      <c r="P232" s="40">
        <f>IF($C232="","",IF((IF(F232="",", Client","")&amp;IF(G232="",", Description","")&amp;IF(H232="",", Cost Centre","")&amp;IF(I232="",", Invoice Type","")&amp;IF(J232="",", Tax Code","")&amp;IF(O232="",", Expected Revenue","")&amp;IF(COUNTIF(tbl_Finance[Job Number],$C232&amp;"")&gt;1,", Job number used twice",""))="","Complete","Fix: "&amp;MID(IF(F232="",", Client","")&amp;IF(G232="",", Description","")&amp;IF(H232="",", Cost Centre","")&amp;IF(I232="",", Invoice Type","")&amp;IF(J232="",", Tax Code","")&amp;IF(O232="",", Expected Revenue","")&amp;IF(COUNTIF(tbl_Finance[Job Number],$C232&amp;"")&gt;1,", Job number used twice",""),3,300)))</f>
        <v/>
      </c>
      <c r="Q232" s="10">
        <f>IF($C232="","",IF(H232="","(no cost centre)",H232&amp;" - GL "&amp;IFERROR(INDEX(lst_CCtoGL,MATCH(H232,lst_CCforGL,0)),"?")))</f>
        <v/>
      </c>
      <c r="R232" s="37" t="n"/>
      <c r="S232" s="37" t="n"/>
      <c r="T232" s="10">
        <f>IF(S232="","",HYPERLINK(IF(LEFT(S232,4)="http",S232,set_QwilrBase&amp;S232),"Open quote"))</f>
        <v/>
      </c>
      <c r="U232" s="41" t="n"/>
      <c r="V232" s="37" t="n"/>
      <c r="W232" s="37" t="n"/>
      <c r="X232" s="10" t="inlineStr">
        <is>
          <t>ONS-0228</t>
        </is>
      </c>
    </row>
    <row r="233">
      <c r="A233" s="16">
        <f>IF($C233="","",IFERROR(IF(INDEX(tbl_Finance[Latest Invoice Date],MATCH($X233,tbl_Finance[Row ID],0))="","",INDEX(tbl_Finance[Latest Invoice Date],MATCH($X233,tbl_Finance[Row ID],0))),""))</f>
        <v/>
      </c>
      <c r="B233" s="10">
        <f>IF($C233="","",IFERROR(INDEX(tbl_Finance[Invoice Numbers],MATCH($X233,tbl_Finance[Row ID],0))&amp;"",""))</f>
        <v/>
      </c>
      <c r="C233" s="37" t="n"/>
      <c r="D233" s="10">
        <f>IF($C233="","",IF(COUNTIF(lst_Jobs,$C233&amp;"")&gt;0,"OK","CHECK"))</f>
        <v/>
      </c>
      <c r="E233" s="10">
        <f>IF($C233="","",IFERROR(INDEX(lst_JobName,MATCH($C233&amp;"",lst_Jobs,0)),""))</f>
        <v/>
      </c>
      <c r="F233" s="37" t="n"/>
      <c r="G233" s="37" t="n"/>
      <c r="H233" s="37" t="n"/>
      <c r="I233" s="37" t="n"/>
      <c r="J233" s="37" t="n"/>
      <c r="K233" s="38">
        <f>IF($C233="","",IFERROR(N(INDEX(tbl_Finance[Invoice Count],MATCH($X233,tbl_Finance[Row ID],0))),""))</f>
        <v/>
      </c>
      <c r="L233" s="11">
        <f>IF($C233="","",IFERROR(N(INDEX(tbl_Finance[Xero Invoiced Ex GST],MATCH($X233,tbl_Finance[Row ID],0))),""))</f>
        <v/>
      </c>
      <c r="M233" s="10">
        <f>IF($C233="","",IFERROR(INDEX(tbl_Finance[Compare],MATCH($X233,tbl_Finance[Row ID],0))&amp;"",""))</f>
        <v/>
      </c>
      <c r="N233" s="11">
        <f>IF($C233="","",MAX(0,N(O233)-N(L233)))</f>
        <v/>
      </c>
      <c r="O233" s="39" t="n"/>
      <c r="P233" s="40">
        <f>IF($C233="","",IF((IF(F233="",", Client","")&amp;IF(G233="",", Description","")&amp;IF(H233="",", Cost Centre","")&amp;IF(I233="",", Invoice Type","")&amp;IF(J233="",", Tax Code","")&amp;IF(O233="",", Expected Revenue","")&amp;IF(COUNTIF(tbl_Finance[Job Number],$C233&amp;"")&gt;1,", Job number used twice",""))="","Complete","Fix: "&amp;MID(IF(F233="",", Client","")&amp;IF(G233="",", Description","")&amp;IF(H233="",", Cost Centre","")&amp;IF(I233="",", Invoice Type","")&amp;IF(J233="",", Tax Code","")&amp;IF(O233="",", Expected Revenue","")&amp;IF(COUNTIF(tbl_Finance[Job Number],$C233&amp;"")&gt;1,", Job number used twice",""),3,300)))</f>
        <v/>
      </c>
      <c r="Q233" s="10">
        <f>IF($C233="","",IF(H233="","(no cost centre)",H233&amp;" - GL "&amp;IFERROR(INDEX(lst_CCtoGL,MATCH(H233,lst_CCforGL,0)),"?")))</f>
        <v/>
      </c>
      <c r="R233" s="37" t="n"/>
      <c r="S233" s="37" t="n"/>
      <c r="T233" s="10">
        <f>IF(S233="","",HYPERLINK(IF(LEFT(S233,4)="http",S233,set_QwilrBase&amp;S233),"Open quote"))</f>
        <v/>
      </c>
      <c r="U233" s="41" t="n"/>
      <c r="V233" s="37" t="n"/>
      <c r="W233" s="37" t="n"/>
      <c r="X233" s="10" t="inlineStr">
        <is>
          <t>ONS-0229</t>
        </is>
      </c>
    </row>
    <row r="234">
      <c r="A234" s="16">
        <f>IF($C234="","",IFERROR(IF(INDEX(tbl_Finance[Latest Invoice Date],MATCH($X234,tbl_Finance[Row ID],0))="","",INDEX(tbl_Finance[Latest Invoice Date],MATCH($X234,tbl_Finance[Row ID],0))),""))</f>
        <v/>
      </c>
      <c r="B234" s="10">
        <f>IF($C234="","",IFERROR(INDEX(tbl_Finance[Invoice Numbers],MATCH($X234,tbl_Finance[Row ID],0))&amp;"",""))</f>
        <v/>
      </c>
      <c r="C234" s="37" t="n"/>
      <c r="D234" s="10">
        <f>IF($C234="","",IF(COUNTIF(lst_Jobs,$C234&amp;"")&gt;0,"OK","CHECK"))</f>
        <v/>
      </c>
      <c r="E234" s="10">
        <f>IF($C234="","",IFERROR(INDEX(lst_JobName,MATCH($C234&amp;"",lst_Jobs,0)),""))</f>
        <v/>
      </c>
      <c r="F234" s="37" t="n"/>
      <c r="G234" s="37" t="n"/>
      <c r="H234" s="37" t="n"/>
      <c r="I234" s="37" t="n"/>
      <c r="J234" s="37" t="n"/>
      <c r="K234" s="38">
        <f>IF($C234="","",IFERROR(N(INDEX(tbl_Finance[Invoice Count],MATCH($X234,tbl_Finance[Row ID],0))),""))</f>
        <v/>
      </c>
      <c r="L234" s="11">
        <f>IF($C234="","",IFERROR(N(INDEX(tbl_Finance[Xero Invoiced Ex GST],MATCH($X234,tbl_Finance[Row ID],0))),""))</f>
        <v/>
      </c>
      <c r="M234" s="10">
        <f>IF($C234="","",IFERROR(INDEX(tbl_Finance[Compare],MATCH($X234,tbl_Finance[Row ID],0))&amp;"",""))</f>
        <v/>
      </c>
      <c r="N234" s="11">
        <f>IF($C234="","",MAX(0,N(O234)-N(L234)))</f>
        <v/>
      </c>
      <c r="O234" s="39" t="n"/>
      <c r="P234" s="40">
        <f>IF($C234="","",IF((IF(F234="",", Client","")&amp;IF(G234="",", Description","")&amp;IF(H234="",", Cost Centre","")&amp;IF(I234="",", Invoice Type","")&amp;IF(J234="",", Tax Code","")&amp;IF(O234="",", Expected Revenue","")&amp;IF(COUNTIF(tbl_Finance[Job Number],$C234&amp;"")&gt;1,", Job number used twice",""))="","Complete","Fix: "&amp;MID(IF(F234="",", Client","")&amp;IF(G234="",", Description","")&amp;IF(H234="",", Cost Centre","")&amp;IF(I234="",", Invoice Type","")&amp;IF(J234="",", Tax Code","")&amp;IF(O234="",", Expected Revenue","")&amp;IF(COUNTIF(tbl_Finance[Job Number],$C234&amp;"")&gt;1,", Job number used twice",""),3,300)))</f>
        <v/>
      </c>
      <c r="Q234" s="10">
        <f>IF($C234="","",IF(H234="","(no cost centre)",H234&amp;" - GL "&amp;IFERROR(INDEX(lst_CCtoGL,MATCH(H234,lst_CCforGL,0)),"?")))</f>
        <v/>
      </c>
      <c r="R234" s="37" t="n"/>
      <c r="S234" s="37" t="n"/>
      <c r="T234" s="10">
        <f>IF(S234="","",HYPERLINK(IF(LEFT(S234,4)="http",S234,set_QwilrBase&amp;S234),"Open quote"))</f>
        <v/>
      </c>
      <c r="U234" s="41" t="n"/>
      <c r="V234" s="37" t="n"/>
      <c r="W234" s="37" t="n"/>
      <c r="X234" s="10" t="inlineStr">
        <is>
          <t>ONS-0230</t>
        </is>
      </c>
    </row>
    <row r="235">
      <c r="A235" s="16">
        <f>IF($C235="","",IFERROR(IF(INDEX(tbl_Finance[Latest Invoice Date],MATCH($X235,tbl_Finance[Row ID],0))="","",INDEX(tbl_Finance[Latest Invoice Date],MATCH($X235,tbl_Finance[Row ID],0))),""))</f>
        <v/>
      </c>
      <c r="B235" s="10">
        <f>IF($C235="","",IFERROR(INDEX(tbl_Finance[Invoice Numbers],MATCH($X235,tbl_Finance[Row ID],0))&amp;"",""))</f>
        <v/>
      </c>
      <c r="C235" s="37" t="n"/>
      <c r="D235" s="10">
        <f>IF($C235="","",IF(COUNTIF(lst_Jobs,$C235&amp;"")&gt;0,"OK","CHECK"))</f>
        <v/>
      </c>
      <c r="E235" s="10">
        <f>IF($C235="","",IFERROR(INDEX(lst_JobName,MATCH($C235&amp;"",lst_Jobs,0)),""))</f>
        <v/>
      </c>
      <c r="F235" s="37" t="n"/>
      <c r="G235" s="37" t="n"/>
      <c r="H235" s="37" t="n"/>
      <c r="I235" s="37" t="n"/>
      <c r="J235" s="37" t="n"/>
      <c r="K235" s="38">
        <f>IF($C235="","",IFERROR(N(INDEX(tbl_Finance[Invoice Count],MATCH($X235,tbl_Finance[Row ID],0))),""))</f>
        <v/>
      </c>
      <c r="L235" s="11">
        <f>IF($C235="","",IFERROR(N(INDEX(tbl_Finance[Xero Invoiced Ex GST],MATCH($X235,tbl_Finance[Row ID],0))),""))</f>
        <v/>
      </c>
      <c r="M235" s="10">
        <f>IF($C235="","",IFERROR(INDEX(tbl_Finance[Compare],MATCH($X235,tbl_Finance[Row ID],0))&amp;"",""))</f>
        <v/>
      </c>
      <c r="N235" s="11">
        <f>IF($C235="","",MAX(0,N(O235)-N(L235)))</f>
        <v/>
      </c>
      <c r="O235" s="39" t="n"/>
      <c r="P235" s="40">
        <f>IF($C235="","",IF((IF(F235="",", Client","")&amp;IF(G235="",", Description","")&amp;IF(H235="",", Cost Centre","")&amp;IF(I235="",", Invoice Type","")&amp;IF(J235="",", Tax Code","")&amp;IF(O235="",", Expected Revenue","")&amp;IF(COUNTIF(tbl_Finance[Job Number],$C235&amp;"")&gt;1,", Job number used twice",""))="","Complete","Fix: "&amp;MID(IF(F235="",", Client","")&amp;IF(G235="",", Description","")&amp;IF(H235="",", Cost Centre","")&amp;IF(I235="",", Invoice Type","")&amp;IF(J235="",", Tax Code","")&amp;IF(O235="",", Expected Revenue","")&amp;IF(COUNTIF(tbl_Finance[Job Number],$C235&amp;"")&gt;1,", Job number used twice",""),3,300)))</f>
        <v/>
      </c>
      <c r="Q235" s="10">
        <f>IF($C235="","",IF(H235="","(no cost centre)",H235&amp;" - GL "&amp;IFERROR(INDEX(lst_CCtoGL,MATCH(H235,lst_CCforGL,0)),"?")))</f>
        <v/>
      </c>
      <c r="R235" s="37" t="n"/>
      <c r="S235" s="37" t="n"/>
      <c r="T235" s="10">
        <f>IF(S235="","",HYPERLINK(IF(LEFT(S235,4)="http",S235,set_QwilrBase&amp;S235),"Open quote"))</f>
        <v/>
      </c>
      <c r="U235" s="41" t="n"/>
      <c r="V235" s="37" t="n"/>
      <c r="W235" s="37" t="n"/>
      <c r="X235" s="10" t="inlineStr">
        <is>
          <t>ONS-0231</t>
        </is>
      </c>
    </row>
    <row r="236">
      <c r="A236" s="16">
        <f>IF($C236="","",IFERROR(IF(INDEX(tbl_Finance[Latest Invoice Date],MATCH($X236,tbl_Finance[Row ID],0))="","",INDEX(tbl_Finance[Latest Invoice Date],MATCH($X236,tbl_Finance[Row ID],0))),""))</f>
        <v/>
      </c>
      <c r="B236" s="10">
        <f>IF($C236="","",IFERROR(INDEX(tbl_Finance[Invoice Numbers],MATCH($X236,tbl_Finance[Row ID],0))&amp;"",""))</f>
        <v/>
      </c>
      <c r="C236" s="37" t="n"/>
      <c r="D236" s="10">
        <f>IF($C236="","",IF(COUNTIF(lst_Jobs,$C236&amp;"")&gt;0,"OK","CHECK"))</f>
        <v/>
      </c>
      <c r="E236" s="10">
        <f>IF($C236="","",IFERROR(INDEX(lst_JobName,MATCH($C236&amp;"",lst_Jobs,0)),""))</f>
        <v/>
      </c>
      <c r="F236" s="37" t="n"/>
      <c r="G236" s="37" t="n"/>
      <c r="H236" s="37" t="n"/>
      <c r="I236" s="37" t="n"/>
      <c r="J236" s="37" t="n"/>
      <c r="K236" s="38">
        <f>IF($C236="","",IFERROR(N(INDEX(tbl_Finance[Invoice Count],MATCH($X236,tbl_Finance[Row ID],0))),""))</f>
        <v/>
      </c>
      <c r="L236" s="11">
        <f>IF($C236="","",IFERROR(N(INDEX(tbl_Finance[Xero Invoiced Ex GST],MATCH($X236,tbl_Finance[Row ID],0))),""))</f>
        <v/>
      </c>
      <c r="M236" s="10">
        <f>IF($C236="","",IFERROR(INDEX(tbl_Finance[Compare],MATCH($X236,tbl_Finance[Row ID],0))&amp;"",""))</f>
        <v/>
      </c>
      <c r="N236" s="11">
        <f>IF($C236="","",MAX(0,N(O236)-N(L236)))</f>
        <v/>
      </c>
      <c r="O236" s="39" t="n"/>
      <c r="P236" s="40">
        <f>IF($C236="","",IF((IF(F236="",", Client","")&amp;IF(G236="",", Description","")&amp;IF(H236="",", Cost Centre","")&amp;IF(I236="",", Invoice Type","")&amp;IF(J236="",", Tax Code","")&amp;IF(O236="",", Expected Revenue","")&amp;IF(COUNTIF(tbl_Finance[Job Number],$C236&amp;"")&gt;1,", Job number used twice",""))="","Complete","Fix: "&amp;MID(IF(F236="",", Client","")&amp;IF(G236="",", Description","")&amp;IF(H236="",", Cost Centre","")&amp;IF(I236="",", Invoice Type","")&amp;IF(J236="",", Tax Code","")&amp;IF(O236="",", Expected Revenue","")&amp;IF(COUNTIF(tbl_Finance[Job Number],$C236&amp;"")&gt;1,", Job number used twice",""),3,300)))</f>
        <v/>
      </c>
      <c r="Q236" s="10">
        <f>IF($C236="","",IF(H236="","(no cost centre)",H236&amp;" - GL "&amp;IFERROR(INDEX(lst_CCtoGL,MATCH(H236,lst_CCforGL,0)),"?")))</f>
        <v/>
      </c>
      <c r="R236" s="37" t="n"/>
      <c r="S236" s="37" t="n"/>
      <c r="T236" s="10">
        <f>IF(S236="","",HYPERLINK(IF(LEFT(S236,4)="http",S236,set_QwilrBase&amp;S236),"Open quote"))</f>
        <v/>
      </c>
      <c r="U236" s="41" t="n"/>
      <c r="V236" s="37" t="n"/>
      <c r="W236" s="37" t="n"/>
      <c r="X236" s="10" t="inlineStr">
        <is>
          <t>ONS-0232</t>
        </is>
      </c>
    </row>
    <row r="237">
      <c r="A237" s="16">
        <f>IF($C237="","",IFERROR(IF(INDEX(tbl_Finance[Latest Invoice Date],MATCH($X237,tbl_Finance[Row ID],0))="","",INDEX(tbl_Finance[Latest Invoice Date],MATCH($X237,tbl_Finance[Row ID],0))),""))</f>
        <v/>
      </c>
      <c r="B237" s="10">
        <f>IF($C237="","",IFERROR(INDEX(tbl_Finance[Invoice Numbers],MATCH($X237,tbl_Finance[Row ID],0))&amp;"",""))</f>
        <v/>
      </c>
      <c r="C237" s="37" t="n"/>
      <c r="D237" s="10">
        <f>IF($C237="","",IF(COUNTIF(lst_Jobs,$C237&amp;"")&gt;0,"OK","CHECK"))</f>
        <v/>
      </c>
      <c r="E237" s="10">
        <f>IF($C237="","",IFERROR(INDEX(lst_JobName,MATCH($C237&amp;"",lst_Jobs,0)),""))</f>
        <v/>
      </c>
      <c r="F237" s="37" t="n"/>
      <c r="G237" s="37" t="n"/>
      <c r="H237" s="37" t="n"/>
      <c r="I237" s="37" t="n"/>
      <c r="J237" s="37" t="n"/>
      <c r="K237" s="38">
        <f>IF($C237="","",IFERROR(N(INDEX(tbl_Finance[Invoice Count],MATCH($X237,tbl_Finance[Row ID],0))),""))</f>
        <v/>
      </c>
      <c r="L237" s="11">
        <f>IF($C237="","",IFERROR(N(INDEX(tbl_Finance[Xero Invoiced Ex GST],MATCH($X237,tbl_Finance[Row ID],0))),""))</f>
        <v/>
      </c>
      <c r="M237" s="10">
        <f>IF($C237="","",IFERROR(INDEX(tbl_Finance[Compare],MATCH($X237,tbl_Finance[Row ID],0))&amp;"",""))</f>
        <v/>
      </c>
      <c r="N237" s="11">
        <f>IF($C237="","",MAX(0,N(O237)-N(L237)))</f>
        <v/>
      </c>
      <c r="O237" s="39" t="n"/>
      <c r="P237" s="40">
        <f>IF($C237="","",IF((IF(F237="",", Client","")&amp;IF(G237="",", Description","")&amp;IF(H237="",", Cost Centre","")&amp;IF(I237="",", Invoice Type","")&amp;IF(J237="",", Tax Code","")&amp;IF(O237="",", Expected Revenue","")&amp;IF(COUNTIF(tbl_Finance[Job Number],$C237&amp;"")&gt;1,", Job number used twice",""))="","Complete","Fix: "&amp;MID(IF(F237="",", Client","")&amp;IF(G237="",", Description","")&amp;IF(H237="",", Cost Centre","")&amp;IF(I237="",", Invoice Type","")&amp;IF(J237="",", Tax Code","")&amp;IF(O237="",", Expected Revenue","")&amp;IF(COUNTIF(tbl_Finance[Job Number],$C237&amp;"")&gt;1,", Job number used twice",""),3,300)))</f>
        <v/>
      </c>
      <c r="Q237" s="10">
        <f>IF($C237="","",IF(H237="","(no cost centre)",H237&amp;" - GL "&amp;IFERROR(INDEX(lst_CCtoGL,MATCH(H237,lst_CCforGL,0)),"?")))</f>
        <v/>
      </c>
      <c r="R237" s="37" t="n"/>
      <c r="S237" s="37" t="n"/>
      <c r="T237" s="10">
        <f>IF(S237="","",HYPERLINK(IF(LEFT(S237,4)="http",S237,set_QwilrBase&amp;S237),"Open quote"))</f>
        <v/>
      </c>
      <c r="U237" s="41" t="n"/>
      <c r="V237" s="37" t="n"/>
      <c r="W237" s="37" t="n"/>
      <c r="X237" s="10" t="inlineStr">
        <is>
          <t>ONS-0233</t>
        </is>
      </c>
    </row>
    <row r="238">
      <c r="A238" s="16">
        <f>IF($C238="","",IFERROR(IF(INDEX(tbl_Finance[Latest Invoice Date],MATCH($X238,tbl_Finance[Row ID],0))="","",INDEX(tbl_Finance[Latest Invoice Date],MATCH($X238,tbl_Finance[Row ID],0))),""))</f>
        <v/>
      </c>
      <c r="B238" s="10">
        <f>IF($C238="","",IFERROR(INDEX(tbl_Finance[Invoice Numbers],MATCH($X238,tbl_Finance[Row ID],0))&amp;"",""))</f>
        <v/>
      </c>
      <c r="C238" s="37" t="n"/>
      <c r="D238" s="10">
        <f>IF($C238="","",IF(COUNTIF(lst_Jobs,$C238&amp;"")&gt;0,"OK","CHECK"))</f>
        <v/>
      </c>
      <c r="E238" s="10">
        <f>IF($C238="","",IFERROR(INDEX(lst_JobName,MATCH($C238&amp;"",lst_Jobs,0)),""))</f>
        <v/>
      </c>
      <c r="F238" s="37" t="n"/>
      <c r="G238" s="37" t="n"/>
      <c r="H238" s="37" t="n"/>
      <c r="I238" s="37" t="n"/>
      <c r="J238" s="37" t="n"/>
      <c r="K238" s="38">
        <f>IF($C238="","",IFERROR(N(INDEX(tbl_Finance[Invoice Count],MATCH($X238,tbl_Finance[Row ID],0))),""))</f>
        <v/>
      </c>
      <c r="L238" s="11">
        <f>IF($C238="","",IFERROR(N(INDEX(tbl_Finance[Xero Invoiced Ex GST],MATCH($X238,tbl_Finance[Row ID],0))),""))</f>
        <v/>
      </c>
      <c r="M238" s="10">
        <f>IF($C238="","",IFERROR(INDEX(tbl_Finance[Compare],MATCH($X238,tbl_Finance[Row ID],0))&amp;"",""))</f>
        <v/>
      </c>
      <c r="N238" s="11">
        <f>IF($C238="","",MAX(0,N(O238)-N(L238)))</f>
        <v/>
      </c>
      <c r="O238" s="39" t="n"/>
      <c r="P238" s="40">
        <f>IF($C238="","",IF((IF(F238="",", Client","")&amp;IF(G238="",", Description","")&amp;IF(H238="",", Cost Centre","")&amp;IF(I238="",", Invoice Type","")&amp;IF(J238="",", Tax Code","")&amp;IF(O238="",", Expected Revenue","")&amp;IF(COUNTIF(tbl_Finance[Job Number],$C238&amp;"")&gt;1,", Job number used twice",""))="","Complete","Fix: "&amp;MID(IF(F238="",", Client","")&amp;IF(G238="",", Description","")&amp;IF(H238="",", Cost Centre","")&amp;IF(I238="",", Invoice Type","")&amp;IF(J238="",", Tax Code","")&amp;IF(O238="",", Expected Revenue","")&amp;IF(COUNTIF(tbl_Finance[Job Number],$C238&amp;"")&gt;1,", Job number used twice",""),3,300)))</f>
        <v/>
      </c>
      <c r="Q238" s="10">
        <f>IF($C238="","",IF(H238="","(no cost centre)",H238&amp;" - GL "&amp;IFERROR(INDEX(lst_CCtoGL,MATCH(H238,lst_CCforGL,0)),"?")))</f>
        <v/>
      </c>
      <c r="R238" s="37" t="n"/>
      <c r="S238" s="37" t="n"/>
      <c r="T238" s="10">
        <f>IF(S238="","",HYPERLINK(IF(LEFT(S238,4)="http",S238,set_QwilrBase&amp;S238),"Open quote"))</f>
        <v/>
      </c>
      <c r="U238" s="41" t="n"/>
      <c r="V238" s="37" t="n"/>
      <c r="W238" s="37" t="n"/>
      <c r="X238" s="10" t="inlineStr">
        <is>
          <t>ONS-0234</t>
        </is>
      </c>
    </row>
    <row r="239">
      <c r="A239" s="16">
        <f>IF($C239="","",IFERROR(IF(INDEX(tbl_Finance[Latest Invoice Date],MATCH($X239,tbl_Finance[Row ID],0))="","",INDEX(tbl_Finance[Latest Invoice Date],MATCH($X239,tbl_Finance[Row ID],0))),""))</f>
        <v/>
      </c>
      <c r="B239" s="10">
        <f>IF($C239="","",IFERROR(INDEX(tbl_Finance[Invoice Numbers],MATCH($X239,tbl_Finance[Row ID],0))&amp;"",""))</f>
        <v/>
      </c>
      <c r="C239" s="37" t="n"/>
      <c r="D239" s="10">
        <f>IF($C239="","",IF(COUNTIF(lst_Jobs,$C239&amp;"")&gt;0,"OK","CHECK"))</f>
        <v/>
      </c>
      <c r="E239" s="10">
        <f>IF($C239="","",IFERROR(INDEX(lst_JobName,MATCH($C239&amp;"",lst_Jobs,0)),""))</f>
        <v/>
      </c>
      <c r="F239" s="37" t="n"/>
      <c r="G239" s="37" t="n"/>
      <c r="H239" s="37" t="n"/>
      <c r="I239" s="37" t="n"/>
      <c r="J239" s="37" t="n"/>
      <c r="K239" s="38">
        <f>IF($C239="","",IFERROR(N(INDEX(tbl_Finance[Invoice Count],MATCH($X239,tbl_Finance[Row ID],0))),""))</f>
        <v/>
      </c>
      <c r="L239" s="11">
        <f>IF($C239="","",IFERROR(N(INDEX(tbl_Finance[Xero Invoiced Ex GST],MATCH($X239,tbl_Finance[Row ID],0))),""))</f>
        <v/>
      </c>
      <c r="M239" s="10">
        <f>IF($C239="","",IFERROR(INDEX(tbl_Finance[Compare],MATCH($X239,tbl_Finance[Row ID],0))&amp;"",""))</f>
        <v/>
      </c>
      <c r="N239" s="11">
        <f>IF($C239="","",MAX(0,N(O239)-N(L239)))</f>
        <v/>
      </c>
      <c r="O239" s="39" t="n"/>
      <c r="P239" s="40">
        <f>IF($C239="","",IF((IF(F239="",", Client","")&amp;IF(G239="",", Description","")&amp;IF(H239="",", Cost Centre","")&amp;IF(I239="",", Invoice Type","")&amp;IF(J239="",", Tax Code","")&amp;IF(O239="",", Expected Revenue","")&amp;IF(COUNTIF(tbl_Finance[Job Number],$C239&amp;"")&gt;1,", Job number used twice",""))="","Complete","Fix: "&amp;MID(IF(F239="",", Client","")&amp;IF(G239="",", Description","")&amp;IF(H239="",", Cost Centre","")&amp;IF(I239="",", Invoice Type","")&amp;IF(J239="",", Tax Code","")&amp;IF(O239="",", Expected Revenue","")&amp;IF(COUNTIF(tbl_Finance[Job Number],$C239&amp;"")&gt;1,", Job number used twice",""),3,300)))</f>
        <v/>
      </c>
      <c r="Q239" s="10">
        <f>IF($C239="","",IF(H239="","(no cost centre)",H239&amp;" - GL "&amp;IFERROR(INDEX(lst_CCtoGL,MATCH(H239,lst_CCforGL,0)),"?")))</f>
        <v/>
      </c>
      <c r="R239" s="37" t="n"/>
      <c r="S239" s="37" t="n"/>
      <c r="T239" s="10">
        <f>IF(S239="","",HYPERLINK(IF(LEFT(S239,4)="http",S239,set_QwilrBase&amp;S239),"Open quote"))</f>
        <v/>
      </c>
      <c r="U239" s="41" t="n"/>
      <c r="V239" s="37" t="n"/>
      <c r="W239" s="37" t="n"/>
      <c r="X239" s="10" t="inlineStr">
        <is>
          <t>ONS-0235</t>
        </is>
      </c>
    </row>
    <row r="240">
      <c r="A240" s="16">
        <f>IF($C240="","",IFERROR(IF(INDEX(tbl_Finance[Latest Invoice Date],MATCH($X240,tbl_Finance[Row ID],0))="","",INDEX(tbl_Finance[Latest Invoice Date],MATCH($X240,tbl_Finance[Row ID],0))),""))</f>
        <v/>
      </c>
      <c r="B240" s="10">
        <f>IF($C240="","",IFERROR(INDEX(tbl_Finance[Invoice Numbers],MATCH($X240,tbl_Finance[Row ID],0))&amp;"",""))</f>
        <v/>
      </c>
      <c r="C240" s="37" t="n"/>
      <c r="D240" s="10">
        <f>IF($C240="","",IF(COUNTIF(lst_Jobs,$C240&amp;"")&gt;0,"OK","CHECK"))</f>
        <v/>
      </c>
      <c r="E240" s="10">
        <f>IF($C240="","",IFERROR(INDEX(lst_JobName,MATCH($C240&amp;"",lst_Jobs,0)),""))</f>
        <v/>
      </c>
      <c r="F240" s="37" t="n"/>
      <c r="G240" s="37" t="n"/>
      <c r="H240" s="37" t="n"/>
      <c r="I240" s="37" t="n"/>
      <c r="J240" s="37" t="n"/>
      <c r="K240" s="38">
        <f>IF($C240="","",IFERROR(N(INDEX(tbl_Finance[Invoice Count],MATCH($X240,tbl_Finance[Row ID],0))),""))</f>
        <v/>
      </c>
      <c r="L240" s="11">
        <f>IF($C240="","",IFERROR(N(INDEX(tbl_Finance[Xero Invoiced Ex GST],MATCH($X240,tbl_Finance[Row ID],0))),""))</f>
        <v/>
      </c>
      <c r="M240" s="10">
        <f>IF($C240="","",IFERROR(INDEX(tbl_Finance[Compare],MATCH($X240,tbl_Finance[Row ID],0))&amp;"",""))</f>
        <v/>
      </c>
      <c r="N240" s="11">
        <f>IF($C240="","",MAX(0,N(O240)-N(L240)))</f>
        <v/>
      </c>
      <c r="O240" s="39" t="n"/>
      <c r="P240" s="40">
        <f>IF($C240="","",IF((IF(F240="",", Client","")&amp;IF(G240="",", Description","")&amp;IF(H240="",", Cost Centre","")&amp;IF(I240="",", Invoice Type","")&amp;IF(J240="",", Tax Code","")&amp;IF(O240="",", Expected Revenue","")&amp;IF(COUNTIF(tbl_Finance[Job Number],$C240&amp;"")&gt;1,", Job number used twice",""))="","Complete","Fix: "&amp;MID(IF(F240="",", Client","")&amp;IF(G240="",", Description","")&amp;IF(H240="",", Cost Centre","")&amp;IF(I240="",", Invoice Type","")&amp;IF(J240="",", Tax Code","")&amp;IF(O240="",", Expected Revenue","")&amp;IF(COUNTIF(tbl_Finance[Job Number],$C240&amp;"")&gt;1,", Job number used twice",""),3,300)))</f>
        <v/>
      </c>
      <c r="Q240" s="10">
        <f>IF($C240="","",IF(H240="","(no cost centre)",H240&amp;" - GL "&amp;IFERROR(INDEX(lst_CCtoGL,MATCH(H240,lst_CCforGL,0)),"?")))</f>
        <v/>
      </c>
      <c r="R240" s="37" t="n"/>
      <c r="S240" s="37" t="n"/>
      <c r="T240" s="10">
        <f>IF(S240="","",HYPERLINK(IF(LEFT(S240,4)="http",S240,set_QwilrBase&amp;S240),"Open quote"))</f>
        <v/>
      </c>
      <c r="U240" s="41" t="n"/>
      <c r="V240" s="37" t="n"/>
      <c r="W240" s="37" t="n"/>
      <c r="X240" s="10" t="inlineStr">
        <is>
          <t>ONS-0236</t>
        </is>
      </c>
    </row>
    <row r="241">
      <c r="A241" s="16">
        <f>IF($C241="","",IFERROR(IF(INDEX(tbl_Finance[Latest Invoice Date],MATCH($X241,tbl_Finance[Row ID],0))="","",INDEX(tbl_Finance[Latest Invoice Date],MATCH($X241,tbl_Finance[Row ID],0))),""))</f>
        <v/>
      </c>
      <c r="B241" s="10">
        <f>IF($C241="","",IFERROR(INDEX(tbl_Finance[Invoice Numbers],MATCH($X241,tbl_Finance[Row ID],0))&amp;"",""))</f>
        <v/>
      </c>
      <c r="C241" s="37" t="n"/>
      <c r="D241" s="10">
        <f>IF($C241="","",IF(COUNTIF(lst_Jobs,$C241&amp;"")&gt;0,"OK","CHECK"))</f>
        <v/>
      </c>
      <c r="E241" s="10">
        <f>IF($C241="","",IFERROR(INDEX(lst_JobName,MATCH($C241&amp;"",lst_Jobs,0)),""))</f>
        <v/>
      </c>
      <c r="F241" s="37" t="n"/>
      <c r="G241" s="37" t="n"/>
      <c r="H241" s="37" t="n"/>
      <c r="I241" s="37" t="n"/>
      <c r="J241" s="37" t="n"/>
      <c r="K241" s="38">
        <f>IF($C241="","",IFERROR(N(INDEX(tbl_Finance[Invoice Count],MATCH($X241,tbl_Finance[Row ID],0))),""))</f>
        <v/>
      </c>
      <c r="L241" s="11">
        <f>IF($C241="","",IFERROR(N(INDEX(tbl_Finance[Xero Invoiced Ex GST],MATCH($X241,tbl_Finance[Row ID],0))),""))</f>
        <v/>
      </c>
      <c r="M241" s="10">
        <f>IF($C241="","",IFERROR(INDEX(tbl_Finance[Compare],MATCH($X241,tbl_Finance[Row ID],0))&amp;"",""))</f>
        <v/>
      </c>
      <c r="N241" s="11">
        <f>IF($C241="","",MAX(0,N(O241)-N(L241)))</f>
        <v/>
      </c>
      <c r="O241" s="39" t="n"/>
      <c r="P241" s="40">
        <f>IF($C241="","",IF((IF(F241="",", Client","")&amp;IF(G241="",", Description","")&amp;IF(H241="",", Cost Centre","")&amp;IF(I241="",", Invoice Type","")&amp;IF(J241="",", Tax Code","")&amp;IF(O241="",", Expected Revenue","")&amp;IF(COUNTIF(tbl_Finance[Job Number],$C241&amp;"")&gt;1,", Job number used twice",""))="","Complete","Fix: "&amp;MID(IF(F241="",", Client","")&amp;IF(G241="",", Description","")&amp;IF(H241="",", Cost Centre","")&amp;IF(I241="",", Invoice Type","")&amp;IF(J241="",", Tax Code","")&amp;IF(O241="",", Expected Revenue","")&amp;IF(COUNTIF(tbl_Finance[Job Number],$C241&amp;"")&gt;1,", Job number used twice",""),3,300)))</f>
        <v/>
      </c>
      <c r="Q241" s="10">
        <f>IF($C241="","",IF(H241="","(no cost centre)",H241&amp;" - GL "&amp;IFERROR(INDEX(lst_CCtoGL,MATCH(H241,lst_CCforGL,0)),"?")))</f>
        <v/>
      </c>
      <c r="R241" s="37" t="n"/>
      <c r="S241" s="37" t="n"/>
      <c r="T241" s="10">
        <f>IF(S241="","",HYPERLINK(IF(LEFT(S241,4)="http",S241,set_QwilrBase&amp;S241),"Open quote"))</f>
        <v/>
      </c>
      <c r="U241" s="41" t="n"/>
      <c r="V241" s="37" t="n"/>
      <c r="W241" s="37" t="n"/>
      <c r="X241" s="10" t="inlineStr">
        <is>
          <t>ONS-0237</t>
        </is>
      </c>
    </row>
    <row r="242">
      <c r="A242" s="16">
        <f>IF($C242="","",IFERROR(IF(INDEX(tbl_Finance[Latest Invoice Date],MATCH($X242,tbl_Finance[Row ID],0))="","",INDEX(tbl_Finance[Latest Invoice Date],MATCH($X242,tbl_Finance[Row ID],0))),""))</f>
        <v/>
      </c>
      <c r="B242" s="10">
        <f>IF($C242="","",IFERROR(INDEX(tbl_Finance[Invoice Numbers],MATCH($X242,tbl_Finance[Row ID],0))&amp;"",""))</f>
        <v/>
      </c>
      <c r="C242" s="37" t="n"/>
      <c r="D242" s="10">
        <f>IF($C242="","",IF(COUNTIF(lst_Jobs,$C242&amp;"")&gt;0,"OK","CHECK"))</f>
        <v/>
      </c>
      <c r="E242" s="10">
        <f>IF($C242="","",IFERROR(INDEX(lst_JobName,MATCH($C242&amp;"",lst_Jobs,0)),""))</f>
        <v/>
      </c>
      <c r="F242" s="37" t="n"/>
      <c r="G242" s="37" t="n"/>
      <c r="H242" s="37" t="n"/>
      <c r="I242" s="37" t="n"/>
      <c r="J242" s="37" t="n"/>
      <c r="K242" s="38">
        <f>IF($C242="","",IFERROR(N(INDEX(tbl_Finance[Invoice Count],MATCH($X242,tbl_Finance[Row ID],0))),""))</f>
        <v/>
      </c>
      <c r="L242" s="11">
        <f>IF($C242="","",IFERROR(N(INDEX(tbl_Finance[Xero Invoiced Ex GST],MATCH($X242,tbl_Finance[Row ID],0))),""))</f>
        <v/>
      </c>
      <c r="M242" s="10">
        <f>IF($C242="","",IFERROR(INDEX(tbl_Finance[Compare],MATCH($X242,tbl_Finance[Row ID],0))&amp;"",""))</f>
        <v/>
      </c>
      <c r="N242" s="11">
        <f>IF($C242="","",MAX(0,N(O242)-N(L242)))</f>
        <v/>
      </c>
      <c r="O242" s="39" t="n"/>
      <c r="P242" s="40">
        <f>IF($C242="","",IF((IF(F242="",", Client","")&amp;IF(G242="",", Description","")&amp;IF(H242="",", Cost Centre","")&amp;IF(I242="",", Invoice Type","")&amp;IF(J242="",", Tax Code","")&amp;IF(O242="",", Expected Revenue","")&amp;IF(COUNTIF(tbl_Finance[Job Number],$C242&amp;"")&gt;1,", Job number used twice",""))="","Complete","Fix: "&amp;MID(IF(F242="",", Client","")&amp;IF(G242="",", Description","")&amp;IF(H242="",", Cost Centre","")&amp;IF(I242="",", Invoice Type","")&amp;IF(J242="",", Tax Code","")&amp;IF(O242="",", Expected Revenue","")&amp;IF(COUNTIF(tbl_Finance[Job Number],$C242&amp;"")&gt;1,", Job number used twice",""),3,300)))</f>
        <v/>
      </c>
      <c r="Q242" s="10">
        <f>IF($C242="","",IF(H242="","(no cost centre)",H242&amp;" - GL "&amp;IFERROR(INDEX(lst_CCtoGL,MATCH(H242,lst_CCforGL,0)),"?")))</f>
        <v/>
      </c>
      <c r="R242" s="37" t="n"/>
      <c r="S242" s="37" t="n"/>
      <c r="T242" s="10">
        <f>IF(S242="","",HYPERLINK(IF(LEFT(S242,4)="http",S242,set_QwilrBase&amp;S242),"Open quote"))</f>
        <v/>
      </c>
      <c r="U242" s="41" t="n"/>
      <c r="V242" s="37" t="n"/>
      <c r="W242" s="37" t="n"/>
      <c r="X242" s="10" t="inlineStr">
        <is>
          <t>ONS-0238</t>
        </is>
      </c>
    </row>
    <row r="243">
      <c r="A243" s="16">
        <f>IF($C243="","",IFERROR(IF(INDEX(tbl_Finance[Latest Invoice Date],MATCH($X243,tbl_Finance[Row ID],0))="","",INDEX(tbl_Finance[Latest Invoice Date],MATCH($X243,tbl_Finance[Row ID],0))),""))</f>
        <v/>
      </c>
      <c r="B243" s="10">
        <f>IF($C243="","",IFERROR(INDEX(tbl_Finance[Invoice Numbers],MATCH($X243,tbl_Finance[Row ID],0))&amp;"",""))</f>
        <v/>
      </c>
      <c r="C243" s="37" t="n"/>
      <c r="D243" s="10">
        <f>IF($C243="","",IF(COUNTIF(lst_Jobs,$C243&amp;"")&gt;0,"OK","CHECK"))</f>
        <v/>
      </c>
      <c r="E243" s="10">
        <f>IF($C243="","",IFERROR(INDEX(lst_JobName,MATCH($C243&amp;"",lst_Jobs,0)),""))</f>
        <v/>
      </c>
      <c r="F243" s="37" t="n"/>
      <c r="G243" s="37" t="n"/>
      <c r="H243" s="37" t="n"/>
      <c r="I243" s="37" t="n"/>
      <c r="J243" s="37" t="n"/>
      <c r="K243" s="38">
        <f>IF($C243="","",IFERROR(N(INDEX(tbl_Finance[Invoice Count],MATCH($X243,tbl_Finance[Row ID],0))),""))</f>
        <v/>
      </c>
      <c r="L243" s="11">
        <f>IF($C243="","",IFERROR(N(INDEX(tbl_Finance[Xero Invoiced Ex GST],MATCH($X243,tbl_Finance[Row ID],0))),""))</f>
        <v/>
      </c>
      <c r="M243" s="10">
        <f>IF($C243="","",IFERROR(INDEX(tbl_Finance[Compare],MATCH($X243,tbl_Finance[Row ID],0))&amp;"",""))</f>
        <v/>
      </c>
      <c r="N243" s="11">
        <f>IF($C243="","",MAX(0,N(O243)-N(L243)))</f>
        <v/>
      </c>
      <c r="O243" s="39" t="n"/>
      <c r="P243" s="40">
        <f>IF($C243="","",IF((IF(F243="",", Client","")&amp;IF(G243="",", Description","")&amp;IF(H243="",", Cost Centre","")&amp;IF(I243="",", Invoice Type","")&amp;IF(J243="",", Tax Code","")&amp;IF(O243="",", Expected Revenue","")&amp;IF(COUNTIF(tbl_Finance[Job Number],$C243&amp;"")&gt;1,", Job number used twice",""))="","Complete","Fix: "&amp;MID(IF(F243="",", Client","")&amp;IF(G243="",", Description","")&amp;IF(H243="",", Cost Centre","")&amp;IF(I243="",", Invoice Type","")&amp;IF(J243="",", Tax Code","")&amp;IF(O243="",", Expected Revenue","")&amp;IF(COUNTIF(tbl_Finance[Job Number],$C243&amp;"")&gt;1,", Job number used twice",""),3,300)))</f>
        <v/>
      </c>
      <c r="Q243" s="10">
        <f>IF($C243="","",IF(H243="","(no cost centre)",H243&amp;" - GL "&amp;IFERROR(INDEX(lst_CCtoGL,MATCH(H243,lst_CCforGL,0)),"?")))</f>
        <v/>
      </c>
      <c r="R243" s="37" t="n"/>
      <c r="S243" s="37" t="n"/>
      <c r="T243" s="10">
        <f>IF(S243="","",HYPERLINK(IF(LEFT(S243,4)="http",S243,set_QwilrBase&amp;S243),"Open quote"))</f>
        <v/>
      </c>
      <c r="U243" s="41" t="n"/>
      <c r="V243" s="37" t="n"/>
      <c r="W243" s="37" t="n"/>
      <c r="X243" s="10" t="inlineStr">
        <is>
          <t>ONS-0239</t>
        </is>
      </c>
    </row>
    <row r="244">
      <c r="A244" s="16">
        <f>IF($C244="","",IFERROR(IF(INDEX(tbl_Finance[Latest Invoice Date],MATCH($X244,tbl_Finance[Row ID],0))="","",INDEX(tbl_Finance[Latest Invoice Date],MATCH($X244,tbl_Finance[Row ID],0))),""))</f>
        <v/>
      </c>
      <c r="B244" s="10">
        <f>IF($C244="","",IFERROR(INDEX(tbl_Finance[Invoice Numbers],MATCH($X244,tbl_Finance[Row ID],0))&amp;"",""))</f>
        <v/>
      </c>
      <c r="C244" s="37" t="n"/>
      <c r="D244" s="10">
        <f>IF($C244="","",IF(COUNTIF(lst_Jobs,$C244&amp;"")&gt;0,"OK","CHECK"))</f>
        <v/>
      </c>
      <c r="E244" s="10">
        <f>IF($C244="","",IFERROR(INDEX(lst_JobName,MATCH($C244&amp;"",lst_Jobs,0)),""))</f>
        <v/>
      </c>
      <c r="F244" s="37" t="n"/>
      <c r="G244" s="37" t="n"/>
      <c r="H244" s="37" t="n"/>
      <c r="I244" s="37" t="n"/>
      <c r="J244" s="37" t="n"/>
      <c r="K244" s="38">
        <f>IF($C244="","",IFERROR(N(INDEX(tbl_Finance[Invoice Count],MATCH($X244,tbl_Finance[Row ID],0))),""))</f>
        <v/>
      </c>
      <c r="L244" s="11">
        <f>IF($C244="","",IFERROR(N(INDEX(tbl_Finance[Xero Invoiced Ex GST],MATCH($X244,tbl_Finance[Row ID],0))),""))</f>
        <v/>
      </c>
      <c r="M244" s="10">
        <f>IF($C244="","",IFERROR(INDEX(tbl_Finance[Compare],MATCH($X244,tbl_Finance[Row ID],0))&amp;"",""))</f>
        <v/>
      </c>
      <c r="N244" s="11">
        <f>IF($C244="","",MAX(0,N(O244)-N(L244)))</f>
        <v/>
      </c>
      <c r="O244" s="39" t="n"/>
      <c r="P244" s="40">
        <f>IF($C244="","",IF((IF(F244="",", Client","")&amp;IF(G244="",", Description","")&amp;IF(H244="",", Cost Centre","")&amp;IF(I244="",", Invoice Type","")&amp;IF(J244="",", Tax Code","")&amp;IF(O244="",", Expected Revenue","")&amp;IF(COUNTIF(tbl_Finance[Job Number],$C244&amp;"")&gt;1,", Job number used twice",""))="","Complete","Fix: "&amp;MID(IF(F244="",", Client","")&amp;IF(G244="",", Description","")&amp;IF(H244="",", Cost Centre","")&amp;IF(I244="",", Invoice Type","")&amp;IF(J244="",", Tax Code","")&amp;IF(O244="",", Expected Revenue","")&amp;IF(COUNTIF(tbl_Finance[Job Number],$C244&amp;"")&gt;1,", Job number used twice",""),3,300)))</f>
        <v/>
      </c>
      <c r="Q244" s="10">
        <f>IF($C244="","",IF(H244="","(no cost centre)",H244&amp;" - GL "&amp;IFERROR(INDEX(lst_CCtoGL,MATCH(H244,lst_CCforGL,0)),"?")))</f>
        <v/>
      </c>
      <c r="R244" s="37" t="n"/>
      <c r="S244" s="37" t="n"/>
      <c r="T244" s="10">
        <f>IF(S244="","",HYPERLINK(IF(LEFT(S244,4)="http",S244,set_QwilrBase&amp;S244),"Open quote"))</f>
        <v/>
      </c>
      <c r="U244" s="41" t="n"/>
      <c r="V244" s="37" t="n"/>
      <c r="W244" s="37" t="n"/>
      <c r="X244" s="10" t="inlineStr">
        <is>
          <t>ONS-0240</t>
        </is>
      </c>
    </row>
    <row r="245">
      <c r="A245" s="16">
        <f>IF($C245="","",IFERROR(IF(INDEX(tbl_Finance[Latest Invoice Date],MATCH($X245,tbl_Finance[Row ID],0))="","",INDEX(tbl_Finance[Latest Invoice Date],MATCH($X245,tbl_Finance[Row ID],0))),""))</f>
        <v/>
      </c>
      <c r="B245" s="10">
        <f>IF($C245="","",IFERROR(INDEX(tbl_Finance[Invoice Numbers],MATCH($X245,tbl_Finance[Row ID],0))&amp;"",""))</f>
        <v/>
      </c>
      <c r="C245" s="37" t="n"/>
      <c r="D245" s="10">
        <f>IF($C245="","",IF(COUNTIF(lst_Jobs,$C245&amp;"")&gt;0,"OK","CHECK"))</f>
        <v/>
      </c>
      <c r="E245" s="10">
        <f>IF($C245="","",IFERROR(INDEX(lst_JobName,MATCH($C245&amp;"",lst_Jobs,0)),""))</f>
        <v/>
      </c>
      <c r="F245" s="37" t="n"/>
      <c r="G245" s="37" t="n"/>
      <c r="H245" s="37" t="n"/>
      <c r="I245" s="37" t="n"/>
      <c r="J245" s="37" t="n"/>
      <c r="K245" s="38">
        <f>IF($C245="","",IFERROR(N(INDEX(tbl_Finance[Invoice Count],MATCH($X245,tbl_Finance[Row ID],0))),""))</f>
        <v/>
      </c>
      <c r="L245" s="11">
        <f>IF($C245="","",IFERROR(N(INDEX(tbl_Finance[Xero Invoiced Ex GST],MATCH($X245,tbl_Finance[Row ID],0))),""))</f>
        <v/>
      </c>
      <c r="M245" s="10">
        <f>IF($C245="","",IFERROR(INDEX(tbl_Finance[Compare],MATCH($X245,tbl_Finance[Row ID],0))&amp;"",""))</f>
        <v/>
      </c>
      <c r="N245" s="11">
        <f>IF($C245="","",MAX(0,N(O245)-N(L245)))</f>
        <v/>
      </c>
      <c r="O245" s="39" t="n"/>
      <c r="P245" s="40">
        <f>IF($C245="","",IF((IF(F245="",", Client","")&amp;IF(G245="",", Description","")&amp;IF(H245="",", Cost Centre","")&amp;IF(I245="",", Invoice Type","")&amp;IF(J245="",", Tax Code","")&amp;IF(O245="",", Expected Revenue","")&amp;IF(COUNTIF(tbl_Finance[Job Number],$C245&amp;"")&gt;1,", Job number used twice",""))="","Complete","Fix: "&amp;MID(IF(F245="",", Client","")&amp;IF(G245="",", Description","")&amp;IF(H245="",", Cost Centre","")&amp;IF(I245="",", Invoice Type","")&amp;IF(J245="",", Tax Code","")&amp;IF(O245="",", Expected Revenue","")&amp;IF(COUNTIF(tbl_Finance[Job Number],$C245&amp;"")&gt;1,", Job number used twice",""),3,300)))</f>
        <v/>
      </c>
      <c r="Q245" s="10">
        <f>IF($C245="","",IF(H245="","(no cost centre)",H245&amp;" - GL "&amp;IFERROR(INDEX(lst_CCtoGL,MATCH(H245,lst_CCforGL,0)),"?")))</f>
        <v/>
      </c>
      <c r="R245" s="37" t="n"/>
      <c r="S245" s="37" t="n"/>
      <c r="T245" s="10">
        <f>IF(S245="","",HYPERLINK(IF(LEFT(S245,4)="http",S245,set_QwilrBase&amp;S245),"Open quote"))</f>
        <v/>
      </c>
      <c r="U245" s="41" t="n"/>
      <c r="V245" s="37" t="n"/>
      <c r="W245" s="37" t="n"/>
      <c r="X245" s="10" t="inlineStr">
        <is>
          <t>ONS-0241</t>
        </is>
      </c>
    </row>
    <row r="246">
      <c r="A246" s="16">
        <f>IF($C246="","",IFERROR(IF(INDEX(tbl_Finance[Latest Invoice Date],MATCH($X246,tbl_Finance[Row ID],0))="","",INDEX(tbl_Finance[Latest Invoice Date],MATCH($X246,tbl_Finance[Row ID],0))),""))</f>
        <v/>
      </c>
      <c r="B246" s="10">
        <f>IF($C246="","",IFERROR(INDEX(tbl_Finance[Invoice Numbers],MATCH($X246,tbl_Finance[Row ID],0))&amp;"",""))</f>
        <v/>
      </c>
      <c r="C246" s="37" t="n"/>
      <c r="D246" s="10">
        <f>IF($C246="","",IF(COUNTIF(lst_Jobs,$C246&amp;"")&gt;0,"OK","CHECK"))</f>
        <v/>
      </c>
      <c r="E246" s="10">
        <f>IF($C246="","",IFERROR(INDEX(lst_JobName,MATCH($C246&amp;"",lst_Jobs,0)),""))</f>
        <v/>
      </c>
      <c r="F246" s="37" t="n"/>
      <c r="G246" s="37" t="n"/>
      <c r="H246" s="37" t="n"/>
      <c r="I246" s="37" t="n"/>
      <c r="J246" s="37" t="n"/>
      <c r="K246" s="38">
        <f>IF($C246="","",IFERROR(N(INDEX(tbl_Finance[Invoice Count],MATCH($X246,tbl_Finance[Row ID],0))),""))</f>
        <v/>
      </c>
      <c r="L246" s="11">
        <f>IF($C246="","",IFERROR(N(INDEX(tbl_Finance[Xero Invoiced Ex GST],MATCH($X246,tbl_Finance[Row ID],0))),""))</f>
        <v/>
      </c>
      <c r="M246" s="10">
        <f>IF($C246="","",IFERROR(INDEX(tbl_Finance[Compare],MATCH($X246,tbl_Finance[Row ID],0))&amp;"",""))</f>
        <v/>
      </c>
      <c r="N246" s="11">
        <f>IF($C246="","",MAX(0,N(O246)-N(L246)))</f>
        <v/>
      </c>
      <c r="O246" s="39" t="n"/>
      <c r="P246" s="40">
        <f>IF($C246="","",IF((IF(F246="",", Client","")&amp;IF(G246="",", Description","")&amp;IF(H246="",", Cost Centre","")&amp;IF(I246="",", Invoice Type","")&amp;IF(J246="",", Tax Code","")&amp;IF(O246="",", Expected Revenue","")&amp;IF(COUNTIF(tbl_Finance[Job Number],$C246&amp;"")&gt;1,", Job number used twice",""))="","Complete","Fix: "&amp;MID(IF(F246="",", Client","")&amp;IF(G246="",", Description","")&amp;IF(H246="",", Cost Centre","")&amp;IF(I246="",", Invoice Type","")&amp;IF(J246="",", Tax Code","")&amp;IF(O246="",", Expected Revenue","")&amp;IF(COUNTIF(tbl_Finance[Job Number],$C246&amp;"")&gt;1,", Job number used twice",""),3,300)))</f>
        <v/>
      </c>
      <c r="Q246" s="10">
        <f>IF($C246="","",IF(H246="","(no cost centre)",H246&amp;" - GL "&amp;IFERROR(INDEX(lst_CCtoGL,MATCH(H246,lst_CCforGL,0)),"?")))</f>
        <v/>
      </c>
      <c r="R246" s="37" t="n"/>
      <c r="S246" s="37" t="n"/>
      <c r="T246" s="10">
        <f>IF(S246="","",HYPERLINK(IF(LEFT(S246,4)="http",S246,set_QwilrBase&amp;S246),"Open quote"))</f>
        <v/>
      </c>
      <c r="U246" s="41" t="n"/>
      <c r="V246" s="37" t="n"/>
      <c r="W246" s="37" t="n"/>
      <c r="X246" s="10" t="inlineStr">
        <is>
          <t>ONS-0242</t>
        </is>
      </c>
    </row>
    <row r="247">
      <c r="A247" s="16">
        <f>IF($C247="","",IFERROR(IF(INDEX(tbl_Finance[Latest Invoice Date],MATCH($X247,tbl_Finance[Row ID],0))="","",INDEX(tbl_Finance[Latest Invoice Date],MATCH($X247,tbl_Finance[Row ID],0))),""))</f>
        <v/>
      </c>
      <c r="B247" s="10">
        <f>IF($C247="","",IFERROR(INDEX(tbl_Finance[Invoice Numbers],MATCH($X247,tbl_Finance[Row ID],0))&amp;"",""))</f>
        <v/>
      </c>
      <c r="C247" s="37" t="n"/>
      <c r="D247" s="10">
        <f>IF($C247="","",IF(COUNTIF(lst_Jobs,$C247&amp;"")&gt;0,"OK","CHECK"))</f>
        <v/>
      </c>
      <c r="E247" s="10">
        <f>IF($C247="","",IFERROR(INDEX(lst_JobName,MATCH($C247&amp;"",lst_Jobs,0)),""))</f>
        <v/>
      </c>
      <c r="F247" s="37" t="n"/>
      <c r="G247" s="37" t="n"/>
      <c r="H247" s="37" t="n"/>
      <c r="I247" s="37" t="n"/>
      <c r="J247" s="37" t="n"/>
      <c r="K247" s="38">
        <f>IF($C247="","",IFERROR(N(INDEX(tbl_Finance[Invoice Count],MATCH($X247,tbl_Finance[Row ID],0))),""))</f>
        <v/>
      </c>
      <c r="L247" s="11">
        <f>IF($C247="","",IFERROR(N(INDEX(tbl_Finance[Xero Invoiced Ex GST],MATCH($X247,tbl_Finance[Row ID],0))),""))</f>
        <v/>
      </c>
      <c r="M247" s="10">
        <f>IF($C247="","",IFERROR(INDEX(tbl_Finance[Compare],MATCH($X247,tbl_Finance[Row ID],0))&amp;"",""))</f>
        <v/>
      </c>
      <c r="N247" s="11">
        <f>IF($C247="","",MAX(0,N(O247)-N(L247)))</f>
        <v/>
      </c>
      <c r="O247" s="39" t="n"/>
      <c r="P247" s="40">
        <f>IF($C247="","",IF((IF(F247="",", Client","")&amp;IF(G247="",", Description","")&amp;IF(H247="",", Cost Centre","")&amp;IF(I247="",", Invoice Type","")&amp;IF(J247="",", Tax Code","")&amp;IF(O247="",", Expected Revenue","")&amp;IF(COUNTIF(tbl_Finance[Job Number],$C247&amp;"")&gt;1,", Job number used twice",""))="","Complete","Fix: "&amp;MID(IF(F247="",", Client","")&amp;IF(G247="",", Description","")&amp;IF(H247="",", Cost Centre","")&amp;IF(I247="",", Invoice Type","")&amp;IF(J247="",", Tax Code","")&amp;IF(O247="",", Expected Revenue","")&amp;IF(COUNTIF(tbl_Finance[Job Number],$C247&amp;"")&gt;1,", Job number used twice",""),3,300)))</f>
        <v/>
      </c>
      <c r="Q247" s="10">
        <f>IF($C247="","",IF(H247="","(no cost centre)",H247&amp;" - GL "&amp;IFERROR(INDEX(lst_CCtoGL,MATCH(H247,lst_CCforGL,0)),"?")))</f>
        <v/>
      </c>
      <c r="R247" s="37" t="n"/>
      <c r="S247" s="37" t="n"/>
      <c r="T247" s="10">
        <f>IF(S247="","",HYPERLINK(IF(LEFT(S247,4)="http",S247,set_QwilrBase&amp;S247),"Open quote"))</f>
        <v/>
      </c>
      <c r="U247" s="41" t="n"/>
      <c r="V247" s="37" t="n"/>
      <c r="W247" s="37" t="n"/>
      <c r="X247" s="10" t="inlineStr">
        <is>
          <t>ONS-0243</t>
        </is>
      </c>
    </row>
    <row r="248">
      <c r="A248" s="16">
        <f>IF($C248="","",IFERROR(IF(INDEX(tbl_Finance[Latest Invoice Date],MATCH($X248,tbl_Finance[Row ID],0))="","",INDEX(tbl_Finance[Latest Invoice Date],MATCH($X248,tbl_Finance[Row ID],0))),""))</f>
        <v/>
      </c>
      <c r="B248" s="10">
        <f>IF($C248="","",IFERROR(INDEX(tbl_Finance[Invoice Numbers],MATCH($X248,tbl_Finance[Row ID],0))&amp;"",""))</f>
        <v/>
      </c>
      <c r="C248" s="37" t="n"/>
      <c r="D248" s="10">
        <f>IF($C248="","",IF(COUNTIF(lst_Jobs,$C248&amp;"")&gt;0,"OK","CHECK"))</f>
        <v/>
      </c>
      <c r="E248" s="10">
        <f>IF($C248="","",IFERROR(INDEX(lst_JobName,MATCH($C248&amp;"",lst_Jobs,0)),""))</f>
        <v/>
      </c>
      <c r="F248" s="37" t="n"/>
      <c r="G248" s="37" t="n"/>
      <c r="H248" s="37" t="n"/>
      <c r="I248" s="37" t="n"/>
      <c r="J248" s="37" t="n"/>
      <c r="K248" s="38">
        <f>IF($C248="","",IFERROR(N(INDEX(tbl_Finance[Invoice Count],MATCH($X248,tbl_Finance[Row ID],0))),""))</f>
        <v/>
      </c>
      <c r="L248" s="11">
        <f>IF($C248="","",IFERROR(N(INDEX(tbl_Finance[Xero Invoiced Ex GST],MATCH($X248,tbl_Finance[Row ID],0))),""))</f>
        <v/>
      </c>
      <c r="M248" s="10">
        <f>IF($C248="","",IFERROR(INDEX(tbl_Finance[Compare],MATCH($X248,tbl_Finance[Row ID],0))&amp;"",""))</f>
        <v/>
      </c>
      <c r="N248" s="11">
        <f>IF($C248="","",MAX(0,N(O248)-N(L248)))</f>
        <v/>
      </c>
      <c r="O248" s="39" t="n"/>
      <c r="P248" s="40">
        <f>IF($C248="","",IF((IF(F248="",", Client","")&amp;IF(G248="",", Description","")&amp;IF(H248="",", Cost Centre","")&amp;IF(I248="",", Invoice Type","")&amp;IF(J248="",", Tax Code","")&amp;IF(O248="",", Expected Revenue","")&amp;IF(COUNTIF(tbl_Finance[Job Number],$C248&amp;"")&gt;1,", Job number used twice",""))="","Complete","Fix: "&amp;MID(IF(F248="",", Client","")&amp;IF(G248="",", Description","")&amp;IF(H248="",", Cost Centre","")&amp;IF(I248="",", Invoice Type","")&amp;IF(J248="",", Tax Code","")&amp;IF(O248="",", Expected Revenue","")&amp;IF(COUNTIF(tbl_Finance[Job Number],$C248&amp;"")&gt;1,", Job number used twice",""),3,300)))</f>
        <v/>
      </c>
      <c r="Q248" s="10">
        <f>IF($C248="","",IF(H248="","(no cost centre)",H248&amp;" - GL "&amp;IFERROR(INDEX(lst_CCtoGL,MATCH(H248,lst_CCforGL,0)),"?")))</f>
        <v/>
      </c>
      <c r="R248" s="37" t="n"/>
      <c r="S248" s="37" t="n"/>
      <c r="T248" s="10">
        <f>IF(S248="","",HYPERLINK(IF(LEFT(S248,4)="http",S248,set_QwilrBase&amp;S248),"Open quote"))</f>
        <v/>
      </c>
      <c r="U248" s="41" t="n"/>
      <c r="V248" s="37" t="n"/>
      <c r="W248" s="37" t="n"/>
      <c r="X248" s="10" t="inlineStr">
        <is>
          <t>ONS-0244</t>
        </is>
      </c>
    </row>
    <row r="249">
      <c r="A249" s="16">
        <f>IF($C249="","",IFERROR(IF(INDEX(tbl_Finance[Latest Invoice Date],MATCH($X249,tbl_Finance[Row ID],0))="","",INDEX(tbl_Finance[Latest Invoice Date],MATCH($X249,tbl_Finance[Row ID],0))),""))</f>
        <v/>
      </c>
      <c r="B249" s="10">
        <f>IF($C249="","",IFERROR(INDEX(tbl_Finance[Invoice Numbers],MATCH($X249,tbl_Finance[Row ID],0))&amp;"",""))</f>
        <v/>
      </c>
      <c r="C249" s="37" t="n"/>
      <c r="D249" s="10">
        <f>IF($C249="","",IF(COUNTIF(lst_Jobs,$C249&amp;"")&gt;0,"OK","CHECK"))</f>
        <v/>
      </c>
      <c r="E249" s="10">
        <f>IF($C249="","",IFERROR(INDEX(lst_JobName,MATCH($C249&amp;"",lst_Jobs,0)),""))</f>
        <v/>
      </c>
      <c r="F249" s="37" t="n"/>
      <c r="G249" s="37" t="n"/>
      <c r="H249" s="37" t="n"/>
      <c r="I249" s="37" t="n"/>
      <c r="J249" s="37" t="n"/>
      <c r="K249" s="38">
        <f>IF($C249="","",IFERROR(N(INDEX(tbl_Finance[Invoice Count],MATCH($X249,tbl_Finance[Row ID],0))),""))</f>
        <v/>
      </c>
      <c r="L249" s="11">
        <f>IF($C249="","",IFERROR(N(INDEX(tbl_Finance[Xero Invoiced Ex GST],MATCH($X249,tbl_Finance[Row ID],0))),""))</f>
        <v/>
      </c>
      <c r="M249" s="10">
        <f>IF($C249="","",IFERROR(INDEX(tbl_Finance[Compare],MATCH($X249,tbl_Finance[Row ID],0))&amp;"",""))</f>
        <v/>
      </c>
      <c r="N249" s="11">
        <f>IF($C249="","",MAX(0,N(O249)-N(L249)))</f>
        <v/>
      </c>
      <c r="O249" s="39" t="n"/>
      <c r="P249" s="40">
        <f>IF($C249="","",IF((IF(F249="",", Client","")&amp;IF(G249="",", Description","")&amp;IF(H249="",", Cost Centre","")&amp;IF(I249="",", Invoice Type","")&amp;IF(J249="",", Tax Code","")&amp;IF(O249="",", Expected Revenue","")&amp;IF(COUNTIF(tbl_Finance[Job Number],$C249&amp;"")&gt;1,", Job number used twice",""))="","Complete","Fix: "&amp;MID(IF(F249="",", Client","")&amp;IF(G249="",", Description","")&amp;IF(H249="",", Cost Centre","")&amp;IF(I249="",", Invoice Type","")&amp;IF(J249="",", Tax Code","")&amp;IF(O249="",", Expected Revenue","")&amp;IF(COUNTIF(tbl_Finance[Job Number],$C249&amp;"")&gt;1,", Job number used twice",""),3,300)))</f>
        <v/>
      </c>
      <c r="Q249" s="10">
        <f>IF($C249="","",IF(H249="","(no cost centre)",H249&amp;" - GL "&amp;IFERROR(INDEX(lst_CCtoGL,MATCH(H249,lst_CCforGL,0)),"?")))</f>
        <v/>
      </c>
      <c r="R249" s="37" t="n"/>
      <c r="S249" s="37" t="n"/>
      <c r="T249" s="10">
        <f>IF(S249="","",HYPERLINK(IF(LEFT(S249,4)="http",S249,set_QwilrBase&amp;S249),"Open quote"))</f>
        <v/>
      </c>
      <c r="U249" s="41" t="n"/>
      <c r="V249" s="37" t="n"/>
      <c r="W249" s="37" t="n"/>
      <c r="X249" s="10" t="inlineStr">
        <is>
          <t>ONS-0245</t>
        </is>
      </c>
    </row>
    <row r="250">
      <c r="A250" s="16">
        <f>IF($C250="","",IFERROR(IF(INDEX(tbl_Finance[Latest Invoice Date],MATCH($X250,tbl_Finance[Row ID],0))="","",INDEX(tbl_Finance[Latest Invoice Date],MATCH($X250,tbl_Finance[Row ID],0))),""))</f>
        <v/>
      </c>
      <c r="B250" s="10">
        <f>IF($C250="","",IFERROR(INDEX(tbl_Finance[Invoice Numbers],MATCH($X250,tbl_Finance[Row ID],0))&amp;"",""))</f>
        <v/>
      </c>
      <c r="C250" s="37" t="n"/>
      <c r="D250" s="10">
        <f>IF($C250="","",IF(COUNTIF(lst_Jobs,$C250&amp;"")&gt;0,"OK","CHECK"))</f>
        <v/>
      </c>
      <c r="E250" s="10">
        <f>IF($C250="","",IFERROR(INDEX(lst_JobName,MATCH($C250&amp;"",lst_Jobs,0)),""))</f>
        <v/>
      </c>
      <c r="F250" s="37" t="n"/>
      <c r="G250" s="37" t="n"/>
      <c r="H250" s="37" t="n"/>
      <c r="I250" s="37" t="n"/>
      <c r="J250" s="37" t="n"/>
      <c r="K250" s="38">
        <f>IF($C250="","",IFERROR(N(INDEX(tbl_Finance[Invoice Count],MATCH($X250,tbl_Finance[Row ID],0))),""))</f>
        <v/>
      </c>
      <c r="L250" s="11">
        <f>IF($C250="","",IFERROR(N(INDEX(tbl_Finance[Xero Invoiced Ex GST],MATCH($X250,tbl_Finance[Row ID],0))),""))</f>
        <v/>
      </c>
      <c r="M250" s="10">
        <f>IF($C250="","",IFERROR(INDEX(tbl_Finance[Compare],MATCH($X250,tbl_Finance[Row ID],0))&amp;"",""))</f>
        <v/>
      </c>
      <c r="N250" s="11">
        <f>IF($C250="","",MAX(0,N(O250)-N(L250)))</f>
        <v/>
      </c>
      <c r="O250" s="39" t="n"/>
      <c r="P250" s="40">
        <f>IF($C250="","",IF((IF(F250="",", Client","")&amp;IF(G250="",", Description","")&amp;IF(H250="",", Cost Centre","")&amp;IF(I250="",", Invoice Type","")&amp;IF(J250="",", Tax Code","")&amp;IF(O250="",", Expected Revenue","")&amp;IF(COUNTIF(tbl_Finance[Job Number],$C250&amp;"")&gt;1,", Job number used twice",""))="","Complete","Fix: "&amp;MID(IF(F250="",", Client","")&amp;IF(G250="",", Description","")&amp;IF(H250="",", Cost Centre","")&amp;IF(I250="",", Invoice Type","")&amp;IF(J250="",", Tax Code","")&amp;IF(O250="",", Expected Revenue","")&amp;IF(COUNTIF(tbl_Finance[Job Number],$C250&amp;"")&gt;1,", Job number used twice",""),3,300)))</f>
        <v/>
      </c>
      <c r="Q250" s="10">
        <f>IF($C250="","",IF(H250="","(no cost centre)",H250&amp;" - GL "&amp;IFERROR(INDEX(lst_CCtoGL,MATCH(H250,lst_CCforGL,0)),"?")))</f>
        <v/>
      </c>
      <c r="R250" s="37" t="n"/>
      <c r="S250" s="37" t="n"/>
      <c r="T250" s="10">
        <f>IF(S250="","",HYPERLINK(IF(LEFT(S250,4)="http",S250,set_QwilrBase&amp;S250),"Open quote"))</f>
        <v/>
      </c>
      <c r="U250" s="41" t="n"/>
      <c r="V250" s="37" t="n"/>
      <c r="W250" s="37" t="n"/>
      <c r="X250" s="10" t="inlineStr">
        <is>
          <t>ONS-0246</t>
        </is>
      </c>
    </row>
    <row r="251">
      <c r="A251" s="16">
        <f>IF($C251="","",IFERROR(IF(INDEX(tbl_Finance[Latest Invoice Date],MATCH($X251,tbl_Finance[Row ID],0))="","",INDEX(tbl_Finance[Latest Invoice Date],MATCH($X251,tbl_Finance[Row ID],0))),""))</f>
        <v/>
      </c>
      <c r="B251" s="10">
        <f>IF($C251="","",IFERROR(INDEX(tbl_Finance[Invoice Numbers],MATCH($X251,tbl_Finance[Row ID],0))&amp;"",""))</f>
        <v/>
      </c>
      <c r="C251" s="37" t="n"/>
      <c r="D251" s="10">
        <f>IF($C251="","",IF(COUNTIF(lst_Jobs,$C251&amp;"")&gt;0,"OK","CHECK"))</f>
        <v/>
      </c>
      <c r="E251" s="10">
        <f>IF($C251="","",IFERROR(INDEX(lst_JobName,MATCH($C251&amp;"",lst_Jobs,0)),""))</f>
        <v/>
      </c>
      <c r="F251" s="37" t="n"/>
      <c r="G251" s="37" t="n"/>
      <c r="H251" s="37" t="n"/>
      <c r="I251" s="37" t="n"/>
      <c r="J251" s="37" t="n"/>
      <c r="K251" s="38">
        <f>IF($C251="","",IFERROR(N(INDEX(tbl_Finance[Invoice Count],MATCH($X251,tbl_Finance[Row ID],0))),""))</f>
        <v/>
      </c>
      <c r="L251" s="11">
        <f>IF($C251="","",IFERROR(N(INDEX(tbl_Finance[Xero Invoiced Ex GST],MATCH($X251,tbl_Finance[Row ID],0))),""))</f>
        <v/>
      </c>
      <c r="M251" s="10">
        <f>IF($C251="","",IFERROR(INDEX(tbl_Finance[Compare],MATCH($X251,tbl_Finance[Row ID],0))&amp;"",""))</f>
        <v/>
      </c>
      <c r="N251" s="11">
        <f>IF($C251="","",MAX(0,N(O251)-N(L251)))</f>
        <v/>
      </c>
      <c r="O251" s="39" t="n"/>
      <c r="P251" s="40">
        <f>IF($C251="","",IF((IF(F251="",", Client","")&amp;IF(G251="",", Description","")&amp;IF(H251="",", Cost Centre","")&amp;IF(I251="",", Invoice Type","")&amp;IF(J251="",", Tax Code","")&amp;IF(O251="",", Expected Revenue","")&amp;IF(COUNTIF(tbl_Finance[Job Number],$C251&amp;"")&gt;1,", Job number used twice",""))="","Complete","Fix: "&amp;MID(IF(F251="",", Client","")&amp;IF(G251="",", Description","")&amp;IF(H251="",", Cost Centre","")&amp;IF(I251="",", Invoice Type","")&amp;IF(J251="",", Tax Code","")&amp;IF(O251="",", Expected Revenue","")&amp;IF(COUNTIF(tbl_Finance[Job Number],$C251&amp;"")&gt;1,", Job number used twice",""),3,300)))</f>
        <v/>
      </c>
      <c r="Q251" s="10">
        <f>IF($C251="","",IF(H251="","(no cost centre)",H251&amp;" - GL "&amp;IFERROR(INDEX(lst_CCtoGL,MATCH(H251,lst_CCforGL,0)),"?")))</f>
        <v/>
      </c>
      <c r="R251" s="37" t="n"/>
      <c r="S251" s="37" t="n"/>
      <c r="T251" s="10">
        <f>IF(S251="","",HYPERLINK(IF(LEFT(S251,4)="http",S251,set_QwilrBase&amp;S251),"Open quote"))</f>
        <v/>
      </c>
      <c r="U251" s="41" t="n"/>
      <c r="V251" s="37" t="n"/>
      <c r="W251" s="37" t="n"/>
      <c r="X251" s="10" t="inlineStr">
        <is>
          <t>ONS-0247</t>
        </is>
      </c>
    </row>
    <row r="252">
      <c r="A252" s="16">
        <f>IF($C252="","",IFERROR(IF(INDEX(tbl_Finance[Latest Invoice Date],MATCH($X252,tbl_Finance[Row ID],0))="","",INDEX(tbl_Finance[Latest Invoice Date],MATCH($X252,tbl_Finance[Row ID],0))),""))</f>
        <v/>
      </c>
      <c r="B252" s="10">
        <f>IF($C252="","",IFERROR(INDEX(tbl_Finance[Invoice Numbers],MATCH($X252,tbl_Finance[Row ID],0))&amp;"",""))</f>
        <v/>
      </c>
      <c r="C252" s="37" t="n"/>
      <c r="D252" s="10">
        <f>IF($C252="","",IF(COUNTIF(lst_Jobs,$C252&amp;"")&gt;0,"OK","CHECK"))</f>
        <v/>
      </c>
      <c r="E252" s="10">
        <f>IF($C252="","",IFERROR(INDEX(lst_JobName,MATCH($C252&amp;"",lst_Jobs,0)),""))</f>
        <v/>
      </c>
      <c r="F252" s="37" t="n"/>
      <c r="G252" s="37" t="n"/>
      <c r="H252" s="37" t="n"/>
      <c r="I252" s="37" t="n"/>
      <c r="J252" s="37" t="n"/>
      <c r="K252" s="38">
        <f>IF($C252="","",IFERROR(N(INDEX(tbl_Finance[Invoice Count],MATCH($X252,tbl_Finance[Row ID],0))),""))</f>
        <v/>
      </c>
      <c r="L252" s="11">
        <f>IF($C252="","",IFERROR(N(INDEX(tbl_Finance[Xero Invoiced Ex GST],MATCH($X252,tbl_Finance[Row ID],0))),""))</f>
        <v/>
      </c>
      <c r="M252" s="10">
        <f>IF($C252="","",IFERROR(INDEX(tbl_Finance[Compare],MATCH($X252,tbl_Finance[Row ID],0))&amp;"",""))</f>
        <v/>
      </c>
      <c r="N252" s="11">
        <f>IF($C252="","",MAX(0,N(O252)-N(L252)))</f>
        <v/>
      </c>
      <c r="O252" s="39" t="n"/>
      <c r="P252" s="40">
        <f>IF($C252="","",IF((IF(F252="",", Client","")&amp;IF(G252="",", Description","")&amp;IF(H252="",", Cost Centre","")&amp;IF(I252="",", Invoice Type","")&amp;IF(J252="",", Tax Code","")&amp;IF(O252="",", Expected Revenue","")&amp;IF(COUNTIF(tbl_Finance[Job Number],$C252&amp;"")&gt;1,", Job number used twice",""))="","Complete","Fix: "&amp;MID(IF(F252="",", Client","")&amp;IF(G252="",", Description","")&amp;IF(H252="",", Cost Centre","")&amp;IF(I252="",", Invoice Type","")&amp;IF(J252="",", Tax Code","")&amp;IF(O252="",", Expected Revenue","")&amp;IF(COUNTIF(tbl_Finance[Job Number],$C252&amp;"")&gt;1,", Job number used twice",""),3,300)))</f>
        <v/>
      </c>
      <c r="Q252" s="10">
        <f>IF($C252="","",IF(H252="","(no cost centre)",H252&amp;" - GL "&amp;IFERROR(INDEX(lst_CCtoGL,MATCH(H252,lst_CCforGL,0)),"?")))</f>
        <v/>
      </c>
      <c r="R252" s="37" t="n"/>
      <c r="S252" s="37" t="n"/>
      <c r="T252" s="10">
        <f>IF(S252="","",HYPERLINK(IF(LEFT(S252,4)="http",S252,set_QwilrBase&amp;S252),"Open quote"))</f>
        <v/>
      </c>
      <c r="U252" s="41" t="n"/>
      <c r="V252" s="37" t="n"/>
      <c r="W252" s="37" t="n"/>
      <c r="X252" s="10" t="inlineStr">
        <is>
          <t>ONS-0248</t>
        </is>
      </c>
    </row>
    <row r="253">
      <c r="A253" s="16">
        <f>IF($C253="","",IFERROR(IF(INDEX(tbl_Finance[Latest Invoice Date],MATCH($X253,tbl_Finance[Row ID],0))="","",INDEX(tbl_Finance[Latest Invoice Date],MATCH($X253,tbl_Finance[Row ID],0))),""))</f>
        <v/>
      </c>
      <c r="B253" s="10">
        <f>IF($C253="","",IFERROR(INDEX(tbl_Finance[Invoice Numbers],MATCH($X253,tbl_Finance[Row ID],0))&amp;"",""))</f>
        <v/>
      </c>
      <c r="C253" s="37" t="n"/>
      <c r="D253" s="10">
        <f>IF($C253="","",IF(COUNTIF(lst_Jobs,$C253&amp;"")&gt;0,"OK","CHECK"))</f>
        <v/>
      </c>
      <c r="E253" s="10">
        <f>IF($C253="","",IFERROR(INDEX(lst_JobName,MATCH($C253&amp;"",lst_Jobs,0)),""))</f>
        <v/>
      </c>
      <c r="F253" s="37" t="n"/>
      <c r="G253" s="37" t="n"/>
      <c r="H253" s="37" t="n"/>
      <c r="I253" s="37" t="n"/>
      <c r="J253" s="37" t="n"/>
      <c r="K253" s="38">
        <f>IF($C253="","",IFERROR(N(INDEX(tbl_Finance[Invoice Count],MATCH($X253,tbl_Finance[Row ID],0))),""))</f>
        <v/>
      </c>
      <c r="L253" s="11">
        <f>IF($C253="","",IFERROR(N(INDEX(tbl_Finance[Xero Invoiced Ex GST],MATCH($X253,tbl_Finance[Row ID],0))),""))</f>
        <v/>
      </c>
      <c r="M253" s="10">
        <f>IF($C253="","",IFERROR(INDEX(tbl_Finance[Compare],MATCH($X253,tbl_Finance[Row ID],0))&amp;"",""))</f>
        <v/>
      </c>
      <c r="N253" s="11">
        <f>IF($C253="","",MAX(0,N(O253)-N(L253)))</f>
        <v/>
      </c>
      <c r="O253" s="39" t="n"/>
      <c r="P253" s="40">
        <f>IF($C253="","",IF((IF(F253="",", Client","")&amp;IF(G253="",", Description","")&amp;IF(H253="",", Cost Centre","")&amp;IF(I253="",", Invoice Type","")&amp;IF(J253="",", Tax Code","")&amp;IF(O253="",", Expected Revenue","")&amp;IF(COUNTIF(tbl_Finance[Job Number],$C253&amp;"")&gt;1,", Job number used twice",""))="","Complete","Fix: "&amp;MID(IF(F253="",", Client","")&amp;IF(G253="",", Description","")&amp;IF(H253="",", Cost Centre","")&amp;IF(I253="",", Invoice Type","")&amp;IF(J253="",", Tax Code","")&amp;IF(O253="",", Expected Revenue","")&amp;IF(COUNTIF(tbl_Finance[Job Number],$C253&amp;"")&gt;1,", Job number used twice",""),3,300)))</f>
        <v/>
      </c>
      <c r="Q253" s="10">
        <f>IF($C253="","",IF(H253="","(no cost centre)",H253&amp;" - GL "&amp;IFERROR(INDEX(lst_CCtoGL,MATCH(H253,lst_CCforGL,0)),"?")))</f>
        <v/>
      </c>
      <c r="R253" s="37" t="n"/>
      <c r="S253" s="37" t="n"/>
      <c r="T253" s="10">
        <f>IF(S253="","",HYPERLINK(IF(LEFT(S253,4)="http",S253,set_QwilrBase&amp;S253),"Open quote"))</f>
        <v/>
      </c>
      <c r="U253" s="41" t="n"/>
      <c r="V253" s="37" t="n"/>
      <c r="W253" s="37" t="n"/>
      <c r="X253" s="10" t="inlineStr">
        <is>
          <t>ONS-0249</t>
        </is>
      </c>
    </row>
    <row r="254">
      <c r="A254" s="16">
        <f>IF($C254="","",IFERROR(IF(INDEX(tbl_Finance[Latest Invoice Date],MATCH($X254,tbl_Finance[Row ID],0))="","",INDEX(tbl_Finance[Latest Invoice Date],MATCH($X254,tbl_Finance[Row ID],0))),""))</f>
        <v/>
      </c>
      <c r="B254" s="10">
        <f>IF($C254="","",IFERROR(INDEX(tbl_Finance[Invoice Numbers],MATCH($X254,tbl_Finance[Row ID],0))&amp;"",""))</f>
        <v/>
      </c>
      <c r="C254" s="37" t="n"/>
      <c r="D254" s="10">
        <f>IF($C254="","",IF(COUNTIF(lst_Jobs,$C254&amp;"")&gt;0,"OK","CHECK"))</f>
        <v/>
      </c>
      <c r="E254" s="10">
        <f>IF($C254="","",IFERROR(INDEX(lst_JobName,MATCH($C254&amp;"",lst_Jobs,0)),""))</f>
        <v/>
      </c>
      <c r="F254" s="37" t="n"/>
      <c r="G254" s="37" t="n"/>
      <c r="H254" s="37" t="n"/>
      <c r="I254" s="37" t="n"/>
      <c r="J254" s="37" t="n"/>
      <c r="K254" s="38">
        <f>IF($C254="","",IFERROR(N(INDEX(tbl_Finance[Invoice Count],MATCH($X254,tbl_Finance[Row ID],0))),""))</f>
        <v/>
      </c>
      <c r="L254" s="11">
        <f>IF($C254="","",IFERROR(N(INDEX(tbl_Finance[Xero Invoiced Ex GST],MATCH($X254,tbl_Finance[Row ID],0))),""))</f>
        <v/>
      </c>
      <c r="M254" s="10">
        <f>IF($C254="","",IFERROR(INDEX(tbl_Finance[Compare],MATCH($X254,tbl_Finance[Row ID],0))&amp;"",""))</f>
        <v/>
      </c>
      <c r="N254" s="11">
        <f>IF($C254="","",MAX(0,N(O254)-N(L254)))</f>
        <v/>
      </c>
      <c r="O254" s="39" t="n"/>
      <c r="P254" s="40">
        <f>IF($C254="","",IF((IF(F254="",", Client","")&amp;IF(G254="",", Description","")&amp;IF(H254="",", Cost Centre","")&amp;IF(I254="",", Invoice Type","")&amp;IF(J254="",", Tax Code","")&amp;IF(O254="",", Expected Revenue","")&amp;IF(COUNTIF(tbl_Finance[Job Number],$C254&amp;"")&gt;1,", Job number used twice",""))="","Complete","Fix: "&amp;MID(IF(F254="",", Client","")&amp;IF(G254="",", Description","")&amp;IF(H254="",", Cost Centre","")&amp;IF(I254="",", Invoice Type","")&amp;IF(J254="",", Tax Code","")&amp;IF(O254="",", Expected Revenue","")&amp;IF(COUNTIF(tbl_Finance[Job Number],$C254&amp;"")&gt;1,", Job number used twice",""),3,300)))</f>
        <v/>
      </c>
      <c r="Q254" s="10">
        <f>IF($C254="","",IF(H254="","(no cost centre)",H254&amp;" - GL "&amp;IFERROR(INDEX(lst_CCtoGL,MATCH(H254,lst_CCforGL,0)),"?")))</f>
        <v/>
      </c>
      <c r="R254" s="37" t="n"/>
      <c r="S254" s="37" t="n"/>
      <c r="T254" s="10">
        <f>IF(S254="","",HYPERLINK(IF(LEFT(S254,4)="http",S254,set_QwilrBase&amp;S254),"Open quote"))</f>
        <v/>
      </c>
      <c r="U254" s="41" t="n"/>
      <c r="V254" s="37" t="n"/>
      <c r="W254" s="37" t="n"/>
      <c r="X254" s="10" t="inlineStr">
        <is>
          <t>ONS-0250</t>
        </is>
      </c>
    </row>
    <row r="255">
      <c r="A255" s="16">
        <f>IF($C255="","",IFERROR(IF(INDEX(tbl_Finance[Latest Invoice Date],MATCH($X255,tbl_Finance[Row ID],0))="","",INDEX(tbl_Finance[Latest Invoice Date],MATCH($X255,tbl_Finance[Row ID],0))),""))</f>
        <v/>
      </c>
      <c r="B255" s="10">
        <f>IF($C255="","",IFERROR(INDEX(tbl_Finance[Invoice Numbers],MATCH($X255,tbl_Finance[Row ID],0))&amp;"",""))</f>
        <v/>
      </c>
      <c r="C255" s="37" t="n"/>
      <c r="D255" s="10">
        <f>IF($C255="","",IF(COUNTIF(lst_Jobs,$C255&amp;"")&gt;0,"OK","CHECK"))</f>
        <v/>
      </c>
      <c r="E255" s="10">
        <f>IF($C255="","",IFERROR(INDEX(lst_JobName,MATCH($C255&amp;"",lst_Jobs,0)),""))</f>
        <v/>
      </c>
      <c r="F255" s="37" t="n"/>
      <c r="G255" s="37" t="n"/>
      <c r="H255" s="37" t="n"/>
      <c r="I255" s="37" t="n"/>
      <c r="J255" s="37" t="n"/>
      <c r="K255" s="38">
        <f>IF($C255="","",IFERROR(N(INDEX(tbl_Finance[Invoice Count],MATCH($X255,tbl_Finance[Row ID],0))),""))</f>
        <v/>
      </c>
      <c r="L255" s="11">
        <f>IF($C255="","",IFERROR(N(INDEX(tbl_Finance[Xero Invoiced Ex GST],MATCH($X255,tbl_Finance[Row ID],0))),""))</f>
        <v/>
      </c>
      <c r="M255" s="10">
        <f>IF($C255="","",IFERROR(INDEX(tbl_Finance[Compare],MATCH($X255,tbl_Finance[Row ID],0))&amp;"",""))</f>
        <v/>
      </c>
      <c r="N255" s="11">
        <f>IF($C255="","",MAX(0,N(O255)-N(L255)))</f>
        <v/>
      </c>
      <c r="O255" s="39" t="n"/>
      <c r="P255" s="40">
        <f>IF($C255="","",IF((IF(F255="",", Client","")&amp;IF(G255="",", Description","")&amp;IF(H255="",", Cost Centre","")&amp;IF(I255="",", Invoice Type","")&amp;IF(J255="",", Tax Code","")&amp;IF(O255="",", Expected Revenue","")&amp;IF(COUNTIF(tbl_Finance[Job Number],$C255&amp;"")&gt;1,", Job number used twice",""))="","Complete","Fix: "&amp;MID(IF(F255="",", Client","")&amp;IF(G255="",", Description","")&amp;IF(H255="",", Cost Centre","")&amp;IF(I255="",", Invoice Type","")&amp;IF(J255="",", Tax Code","")&amp;IF(O255="",", Expected Revenue","")&amp;IF(COUNTIF(tbl_Finance[Job Number],$C255&amp;"")&gt;1,", Job number used twice",""),3,300)))</f>
        <v/>
      </c>
      <c r="Q255" s="10">
        <f>IF($C255="","",IF(H255="","(no cost centre)",H255&amp;" - GL "&amp;IFERROR(INDEX(lst_CCtoGL,MATCH(H255,lst_CCforGL,0)),"?")))</f>
        <v/>
      </c>
      <c r="R255" s="37" t="n"/>
      <c r="S255" s="37" t="n"/>
      <c r="T255" s="10">
        <f>IF(S255="","",HYPERLINK(IF(LEFT(S255,4)="http",S255,set_QwilrBase&amp;S255),"Open quote"))</f>
        <v/>
      </c>
      <c r="U255" s="41" t="n"/>
      <c r="V255" s="37" t="n"/>
      <c r="W255" s="37" t="n"/>
      <c r="X255" s="10" t="inlineStr">
        <is>
          <t>ONS-0251</t>
        </is>
      </c>
    </row>
    <row r="256">
      <c r="A256" s="16">
        <f>IF($C256="","",IFERROR(IF(INDEX(tbl_Finance[Latest Invoice Date],MATCH($X256,tbl_Finance[Row ID],0))="","",INDEX(tbl_Finance[Latest Invoice Date],MATCH($X256,tbl_Finance[Row ID],0))),""))</f>
        <v/>
      </c>
      <c r="B256" s="10">
        <f>IF($C256="","",IFERROR(INDEX(tbl_Finance[Invoice Numbers],MATCH($X256,tbl_Finance[Row ID],0))&amp;"",""))</f>
        <v/>
      </c>
      <c r="C256" s="37" t="n"/>
      <c r="D256" s="10">
        <f>IF($C256="","",IF(COUNTIF(lst_Jobs,$C256&amp;"")&gt;0,"OK","CHECK"))</f>
        <v/>
      </c>
      <c r="E256" s="10">
        <f>IF($C256="","",IFERROR(INDEX(lst_JobName,MATCH($C256&amp;"",lst_Jobs,0)),""))</f>
        <v/>
      </c>
      <c r="F256" s="37" t="n"/>
      <c r="G256" s="37" t="n"/>
      <c r="H256" s="37" t="n"/>
      <c r="I256" s="37" t="n"/>
      <c r="J256" s="37" t="n"/>
      <c r="K256" s="38">
        <f>IF($C256="","",IFERROR(N(INDEX(tbl_Finance[Invoice Count],MATCH($X256,tbl_Finance[Row ID],0))),""))</f>
        <v/>
      </c>
      <c r="L256" s="11">
        <f>IF($C256="","",IFERROR(N(INDEX(tbl_Finance[Xero Invoiced Ex GST],MATCH($X256,tbl_Finance[Row ID],0))),""))</f>
        <v/>
      </c>
      <c r="M256" s="10">
        <f>IF($C256="","",IFERROR(INDEX(tbl_Finance[Compare],MATCH($X256,tbl_Finance[Row ID],0))&amp;"",""))</f>
        <v/>
      </c>
      <c r="N256" s="11">
        <f>IF($C256="","",MAX(0,N(O256)-N(L256)))</f>
        <v/>
      </c>
      <c r="O256" s="39" t="n"/>
      <c r="P256" s="40">
        <f>IF($C256="","",IF((IF(F256="",", Client","")&amp;IF(G256="",", Description","")&amp;IF(H256="",", Cost Centre","")&amp;IF(I256="",", Invoice Type","")&amp;IF(J256="",", Tax Code","")&amp;IF(O256="",", Expected Revenue","")&amp;IF(COUNTIF(tbl_Finance[Job Number],$C256&amp;"")&gt;1,", Job number used twice",""))="","Complete","Fix: "&amp;MID(IF(F256="",", Client","")&amp;IF(G256="",", Description","")&amp;IF(H256="",", Cost Centre","")&amp;IF(I256="",", Invoice Type","")&amp;IF(J256="",", Tax Code","")&amp;IF(O256="",", Expected Revenue","")&amp;IF(COUNTIF(tbl_Finance[Job Number],$C256&amp;"")&gt;1,", Job number used twice",""),3,300)))</f>
        <v/>
      </c>
      <c r="Q256" s="10">
        <f>IF($C256="","",IF(H256="","(no cost centre)",H256&amp;" - GL "&amp;IFERROR(INDEX(lst_CCtoGL,MATCH(H256,lst_CCforGL,0)),"?")))</f>
        <v/>
      </c>
      <c r="R256" s="37" t="n"/>
      <c r="S256" s="37" t="n"/>
      <c r="T256" s="10">
        <f>IF(S256="","",HYPERLINK(IF(LEFT(S256,4)="http",S256,set_QwilrBase&amp;S256),"Open quote"))</f>
        <v/>
      </c>
      <c r="U256" s="41" t="n"/>
      <c r="V256" s="37" t="n"/>
      <c r="W256" s="37" t="n"/>
      <c r="X256" s="10" t="inlineStr">
        <is>
          <t>ONS-0252</t>
        </is>
      </c>
    </row>
    <row r="257">
      <c r="A257" s="16">
        <f>IF($C257="","",IFERROR(IF(INDEX(tbl_Finance[Latest Invoice Date],MATCH($X257,tbl_Finance[Row ID],0))="","",INDEX(tbl_Finance[Latest Invoice Date],MATCH($X257,tbl_Finance[Row ID],0))),""))</f>
        <v/>
      </c>
      <c r="B257" s="10">
        <f>IF($C257="","",IFERROR(INDEX(tbl_Finance[Invoice Numbers],MATCH($X257,tbl_Finance[Row ID],0))&amp;"",""))</f>
        <v/>
      </c>
      <c r="C257" s="37" t="n"/>
      <c r="D257" s="10">
        <f>IF($C257="","",IF(COUNTIF(lst_Jobs,$C257&amp;"")&gt;0,"OK","CHECK"))</f>
        <v/>
      </c>
      <c r="E257" s="10">
        <f>IF($C257="","",IFERROR(INDEX(lst_JobName,MATCH($C257&amp;"",lst_Jobs,0)),""))</f>
        <v/>
      </c>
      <c r="F257" s="37" t="n"/>
      <c r="G257" s="37" t="n"/>
      <c r="H257" s="37" t="n"/>
      <c r="I257" s="37" t="n"/>
      <c r="J257" s="37" t="n"/>
      <c r="K257" s="38">
        <f>IF($C257="","",IFERROR(N(INDEX(tbl_Finance[Invoice Count],MATCH($X257,tbl_Finance[Row ID],0))),""))</f>
        <v/>
      </c>
      <c r="L257" s="11">
        <f>IF($C257="","",IFERROR(N(INDEX(tbl_Finance[Xero Invoiced Ex GST],MATCH($X257,tbl_Finance[Row ID],0))),""))</f>
        <v/>
      </c>
      <c r="M257" s="10">
        <f>IF($C257="","",IFERROR(INDEX(tbl_Finance[Compare],MATCH($X257,tbl_Finance[Row ID],0))&amp;"",""))</f>
        <v/>
      </c>
      <c r="N257" s="11">
        <f>IF($C257="","",MAX(0,N(O257)-N(L257)))</f>
        <v/>
      </c>
      <c r="O257" s="39" t="n"/>
      <c r="P257" s="40">
        <f>IF($C257="","",IF((IF(F257="",", Client","")&amp;IF(G257="",", Description","")&amp;IF(H257="",", Cost Centre","")&amp;IF(I257="",", Invoice Type","")&amp;IF(J257="",", Tax Code","")&amp;IF(O257="",", Expected Revenue","")&amp;IF(COUNTIF(tbl_Finance[Job Number],$C257&amp;"")&gt;1,", Job number used twice",""))="","Complete","Fix: "&amp;MID(IF(F257="",", Client","")&amp;IF(G257="",", Description","")&amp;IF(H257="",", Cost Centre","")&amp;IF(I257="",", Invoice Type","")&amp;IF(J257="",", Tax Code","")&amp;IF(O257="",", Expected Revenue","")&amp;IF(COUNTIF(tbl_Finance[Job Number],$C257&amp;"")&gt;1,", Job number used twice",""),3,300)))</f>
        <v/>
      </c>
      <c r="Q257" s="10">
        <f>IF($C257="","",IF(H257="","(no cost centre)",H257&amp;" - GL "&amp;IFERROR(INDEX(lst_CCtoGL,MATCH(H257,lst_CCforGL,0)),"?")))</f>
        <v/>
      </c>
      <c r="R257" s="37" t="n"/>
      <c r="S257" s="37" t="n"/>
      <c r="T257" s="10">
        <f>IF(S257="","",HYPERLINK(IF(LEFT(S257,4)="http",S257,set_QwilrBase&amp;S257),"Open quote"))</f>
        <v/>
      </c>
      <c r="U257" s="41" t="n"/>
      <c r="V257" s="37" t="n"/>
      <c r="W257" s="37" t="n"/>
      <c r="X257" s="10" t="inlineStr">
        <is>
          <t>ONS-0253</t>
        </is>
      </c>
    </row>
    <row r="258">
      <c r="A258" s="16">
        <f>IF($C258="","",IFERROR(IF(INDEX(tbl_Finance[Latest Invoice Date],MATCH($X258,tbl_Finance[Row ID],0))="","",INDEX(tbl_Finance[Latest Invoice Date],MATCH($X258,tbl_Finance[Row ID],0))),""))</f>
        <v/>
      </c>
      <c r="B258" s="10">
        <f>IF($C258="","",IFERROR(INDEX(tbl_Finance[Invoice Numbers],MATCH($X258,tbl_Finance[Row ID],0))&amp;"",""))</f>
        <v/>
      </c>
      <c r="C258" s="37" t="n"/>
      <c r="D258" s="10">
        <f>IF($C258="","",IF(COUNTIF(lst_Jobs,$C258&amp;"")&gt;0,"OK","CHECK"))</f>
        <v/>
      </c>
      <c r="E258" s="10">
        <f>IF($C258="","",IFERROR(INDEX(lst_JobName,MATCH($C258&amp;"",lst_Jobs,0)),""))</f>
        <v/>
      </c>
      <c r="F258" s="37" t="n"/>
      <c r="G258" s="37" t="n"/>
      <c r="H258" s="37" t="n"/>
      <c r="I258" s="37" t="n"/>
      <c r="J258" s="37" t="n"/>
      <c r="K258" s="38">
        <f>IF($C258="","",IFERROR(N(INDEX(tbl_Finance[Invoice Count],MATCH($X258,tbl_Finance[Row ID],0))),""))</f>
        <v/>
      </c>
      <c r="L258" s="11">
        <f>IF($C258="","",IFERROR(N(INDEX(tbl_Finance[Xero Invoiced Ex GST],MATCH($X258,tbl_Finance[Row ID],0))),""))</f>
        <v/>
      </c>
      <c r="M258" s="10">
        <f>IF($C258="","",IFERROR(INDEX(tbl_Finance[Compare],MATCH($X258,tbl_Finance[Row ID],0))&amp;"",""))</f>
        <v/>
      </c>
      <c r="N258" s="11">
        <f>IF($C258="","",MAX(0,N(O258)-N(L258)))</f>
        <v/>
      </c>
      <c r="O258" s="39" t="n"/>
      <c r="P258" s="40">
        <f>IF($C258="","",IF((IF(F258="",", Client","")&amp;IF(G258="",", Description","")&amp;IF(H258="",", Cost Centre","")&amp;IF(I258="",", Invoice Type","")&amp;IF(J258="",", Tax Code","")&amp;IF(O258="",", Expected Revenue","")&amp;IF(COUNTIF(tbl_Finance[Job Number],$C258&amp;"")&gt;1,", Job number used twice",""))="","Complete","Fix: "&amp;MID(IF(F258="",", Client","")&amp;IF(G258="",", Description","")&amp;IF(H258="",", Cost Centre","")&amp;IF(I258="",", Invoice Type","")&amp;IF(J258="",", Tax Code","")&amp;IF(O258="",", Expected Revenue","")&amp;IF(COUNTIF(tbl_Finance[Job Number],$C258&amp;"")&gt;1,", Job number used twice",""),3,300)))</f>
        <v/>
      </c>
      <c r="Q258" s="10">
        <f>IF($C258="","",IF(H258="","(no cost centre)",H258&amp;" - GL "&amp;IFERROR(INDEX(lst_CCtoGL,MATCH(H258,lst_CCforGL,0)),"?")))</f>
        <v/>
      </c>
      <c r="R258" s="37" t="n"/>
      <c r="S258" s="37" t="n"/>
      <c r="T258" s="10">
        <f>IF(S258="","",HYPERLINK(IF(LEFT(S258,4)="http",S258,set_QwilrBase&amp;S258),"Open quote"))</f>
        <v/>
      </c>
      <c r="U258" s="41" t="n"/>
      <c r="V258" s="37" t="n"/>
      <c r="W258" s="37" t="n"/>
      <c r="X258" s="10" t="inlineStr">
        <is>
          <t>ONS-0254</t>
        </is>
      </c>
    </row>
    <row r="259">
      <c r="A259" s="16">
        <f>IF($C259="","",IFERROR(IF(INDEX(tbl_Finance[Latest Invoice Date],MATCH($X259,tbl_Finance[Row ID],0))="","",INDEX(tbl_Finance[Latest Invoice Date],MATCH($X259,tbl_Finance[Row ID],0))),""))</f>
        <v/>
      </c>
      <c r="B259" s="10">
        <f>IF($C259="","",IFERROR(INDEX(tbl_Finance[Invoice Numbers],MATCH($X259,tbl_Finance[Row ID],0))&amp;"",""))</f>
        <v/>
      </c>
      <c r="C259" s="37" t="n"/>
      <c r="D259" s="10">
        <f>IF($C259="","",IF(COUNTIF(lst_Jobs,$C259&amp;"")&gt;0,"OK","CHECK"))</f>
        <v/>
      </c>
      <c r="E259" s="10">
        <f>IF($C259="","",IFERROR(INDEX(lst_JobName,MATCH($C259&amp;"",lst_Jobs,0)),""))</f>
        <v/>
      </c>
      <c r="F259" s="37" t="n"/>
      <c r="G259" s="37" t="n"/>
      <c r="H259" s="37" t="n"/>
      <c r="I259" s="37" t="n"/>
      <c r="J259" s="37" t="n"/>
      <c r="K259" s="38">
        <f>IF($C259="","",IFERROR(N(INDEX(tbl_Finance[Invoice Count],MATCH($X259,tbl_Finance[Row ID],0))),""))</f>
        <v/>
      </c>
      <c r="L259" s="11">
        <f>IF($C259="","",IFERROR(N(INDEX(tbl_Finance[Xero Invoiced Ex GST],MATCH($X259,tbl_Finance[Row ID],0))),""))</f>
        <v/>
      </c>
      <c r="M259" s="10">
        <f>IF($C259="","",IFERROR(INDEX(tbl_Finance[Compare],MATCH($X259,tbl_Finance[Row ID],0))&amp;"",""))</f>
        <v/>
      </c>
      <c r="N259" s="11">
        <f>IF($C259="","",MAX(0,N(O259)-N(L259)))</f>
        <v/>
      </c>
      <c r="O259" s="39" t="n"/>
      <c r="P259" s="40">
        <f>IF($C259="","",IF((IF(F259="",", Client","")&amp;IF(G259="",", Description","")&amp;IF(H259="",", Cost Centre","")&amp;IF(I259="",", Invoice Type","")&amp;IF(J259="",", Tax Code","")&amp;IF(O259="",", Expected Revenue","")&amp;IF(COUNTIF(tbl_Finance[Job Number],$C259&amp;"")&gt;1,", Job number used twice",""))="","Complete","Fix: "&amp;MID(IF(F259="",", Client","")&amp;IF(G259="",", Description","")&amp;IF(H259="",", Cost Centre","")&amp;IF(I259="",", Invoice Type","")&amp;IF(J259="",", Tax Code","")&amp;IF(O259="",", Expected Revenue","")&amp;IF(COUNTIF(tbl_Finance[Job Number],$C259&amp;"")&gt;1,", Job number used twice",""),3,300)))</f>
        <v/>
      </c>
      <c r="Q259" s="10">
        <f>IF($C259="","",IF(H259="","(no cost centre)",H259&amp;" - GL "&amp;IFERROR(INDEX(lst_CCtoGL,MATCH(H259,lst_CCforGL,0)),"?")))</f>
        <v/>
      </c>
      <c r="R259" s="37" t="n"/>
      <c r="S259" s="37" t="n"/>
      <c r="T259" s="10">
        <f>IF(S259="","",HYPERLINK(IF(LEFT(S259,4)="http",S259,set_QwilrBase&amp;S259),"Open quote"))</f>
        <v/>
      </c>
      <c r="U259" s="41" t="n"/>
      <c r="V259" s="37" t="n"/>
      <c r="W259" s="37" t="n"/>
      <c r="X259" s="10" t="inlineStr">
        <is>
          <t>ONS-0255</t>
        </is>
      </c>
    </row>
    <row r="260">
      <c r="A260" s="16">
        <f>IF($C260="","",IFERROR(IF(INDEX(tbl_Finance[Latest Invoice Date],MATCH($X260,tbl_Finance[Row ID],0))="","",INDEX(tbl_Finance[Latest Invoice Date],MATCH($X260,tbl_Finance[Row ID],0))),""))</f>
        <v/>
      </c>
      <c r="B260" s="10">
        <f>IF($C260="","",IFERROR(INDEX(tbl_Finance[Invoice Numbers],MATCH($X260,tbl_Finance[Row ID],0))&amp;"",""))</f>
        <v/>
      </c>
      <c r="C260" s="37" t="n"/>
      <c r="D260" s="10">
        <f>IF($C260="","",IF(COUNTIF(lst_Jobs,$C260&amp;"")&gt;0,"OK","CHECK"))</f>
        <v/>
      </c>
      <c r="E260" s="10">
        <f>IF($C260="","",IFERROR(INDEX(lst_JobName,MATCH($C260&amp;"",lst_Jobs,0)),""))</f>
        <v/>
      </c>
      <c r="F260" s="37" t="n"/>
      <c r="G260" s="37" t="n"/>
      <c r="H260" s="37" t="n"/>
      <c r="I260" s="37" t="n"/>
      <c r="J260" s="37" t="n"/>
      <c r="K260" s="38">
        <f>IF($C260="","",IFERROR(N(INDEX(tbl_Finance[Invoice Count],MATCH($X260,tbl_Finance[Row ID],0))),""))</f>
        <v/>
      </c>
      <c r="L260" s="11">
        <f>IF($C260="","",IFERROR(N(INDEX(tbl_Finance[Xero Invoiced Ex GST],MATCH($X260,tbl_Finance[Row ID],0))),""))</f>
        <v/>
      </c>
      <c r="M260" s="10">
        <f>IF($C260="","",IFERROR(INDEX(tbl_Finance[Compare],MATCH($X260,tbl_Finance[Row ID],0))&amp;"",""))</f>
        <v/>
      </c>
      <c r="N260" s="11">
        <f>IF($C260="","",MAX(0,N(O260)-N(L260)))</f>
        <v/>
      </c>
      <c r="O260" s="39" t="n"/>
      <c r="P260" s="40">
        <f>IF($C260="","",IF((IF(F260="",", Client","")&amp;IF(G260="",", Description","")&amp;IF(H260="",", Cost Centre","")&amp;IF(I260="",", Invoice Type","")&amp;IF(J260="",", Tax Code","")&amp;IF(O260="",", Expected Revenue","")&amp;IF(COUNTIF(tbl_Finance[Job Number],$C260&amp;"")&gt;1,", Job number used twice",""))="","Complete","Fix: "&amp;MID(IF(F260="",", Client","")&amp;IF(G260="",", Description","")&amp;IF(H260="",", Cost Centre","")&amp;IF(I260="",", Invoice Type","")&amp;IF(J260="",", Tax Code","")&amp;IF(O260="",", Expected Revenue","")&amp;IF(COUNTIF(tbl_Finance[Job Number],$C260&amp;"")&gt;1,", Job number used twice",""),3,300)))</f>
        <v/>
      </c>
      <c r="Q260" s="10">
        <f>IF($C260="","",IF(H260="","(no cost centre)",H260&amp;" - GL "&amp;IFERROR(INDEX(lst_CCtoGL,MATCH(H260,lst_CCforGL,0)),"?")))</f>
        <v/>
      </c>
      <c r="R260" s="37" t="n"/>
      <c r="S260" s="37" t="n"/>
      <c r="T260" s="10">
        <f>IF(S260="","",HYPERLINK(IF(LEFT(S260,4)="http",S260,set_QwilrBase&amp;S260),"Open quote"))</f>
        <v/>
      </c>
      <c r="U260" s="41" t="n"/>
      <c r="V260" s="37" t="n"/>
      <c r="W260" s="37" t="n"/>
      <c r="X260" s="10" t="inlineStr">
        <is>
          <t>ONS-0256</t>
        </is>
      </c>
    </row>
    <row r="261">
      <c r="A261" s="16">
        <f>IF($C261="","",IFERROR(IF(INDEX(tbl_Finance[Latest Invoice Date],MATCH($X261,tbl_Finance[Row ID],0))="","",INDEX(tbl_Finance[Latest Invoice Date],MATCH($X261,tbl_Finance[Row ID],0))),""))</f>
        <v/>
      </c>
      <c r="B261" s="10">
        <f>IF($C261="","",IFERROR(INDEX(tbl_Finance[Invoice Numbers],MATCH($X261,tbl_Finance[Row ID],0))&amp;"",""))</f>
        <v/>
      </c>
      <c r="C261" s="37" t="n"/>
      <c r="D261" s="10">
        <f>IF($C261="","",IF(COUNTIF(lst_Jobs,$C261&amp;"")&gt;0,"OK","CHECK"))</f>
        <v/>
      </c>
      <c r="E261" s="10">
        <f>IF($C261="","",IFERROR(INDEX(lst_JobName,MATCH($C261&amp;"",lst_Jobs,0)),""))</f>
        <v/>
      </c>
      <c r="F261" s="37" t="n"/>
      <c r="G261" s="37" t="n"/>
      <c r="H261" s="37" t="n"/>
      <c r="I261" s="37" t="n"/>
      <c r="J261" s="37" t="n"/>
      <c r="K261" s="38">
        <f>IF($C261="","",IFERROR(N(INDEX(tbl_Finance[Invoice Count],MATCH($X261,tbl_Finance[Row ID],0))),""))</f>
        <v/>
      </c>
      <c r="L261" s="11">
        <f>IF($C261="","",IFERROR(N(INDEX(tbl_Finance[Xero Invoiced Ex GST],MATCH($X261,tbl_Finance[Row ID],0))),""))</f>
        <v/>
      </c>
      <c r="M261" s="10">
        <f>IF($C261="","",IFERROR(INDEX(tbl_Finance[Compare],MATCH($X261,tbl_Finance[Row ID],0))&amp;"",""))</f>
        <v/>
      </c>
      <c r="N261" s="11">
        <f>IF($C261="","",MAX(0,N(O261)-N(L261)))</f>
        <v/>
      </c>
      <c r="O261" s="39" t="n"/>
      <c r="P261" s="40">
        <f>IF($C261="","",IF((IF(F261="",", Client","")&amp;IF(G261="",", Description","")&amp;IF(H261="",", Cost Centre","")&amp;IF(I261="",", Invoice Type","")&amp;IF(J261="",", Tax Code","")&amp;IF(O261="",", Expected Revenue","")&amp;IF(COUNTIF(tbl_Finance[Job Number],$C261&amp;"")&gt;1,", Job number used twice",""))="","Complete","Fix: "&amp;MID(IF(F261="",", Client","")&amp;IF(G261="",", Description","")&amp;IF(H261="",", Cost Centre","")&amp;IF(I261="",", Invoice Type","")&amp;IF(J261="",", Tax Code","")&amp;IF(O261="",", Expected Revenue","")&amp;IF(COUNTIF(tbl_Finance[Job Number],$C261&amp;"")&gt;1,", Job number used twice",""),3,300)))</f>
        <v/>
      </c>
      <c r="Q261" s="10">
        <f>IF($C261="","",IF(H261="","(no cost centre)",H261&amp;" - GL "&amp;IFERROR(INDEX(lst_CCtoGL,MATCH(H261,lst_CCforGL,0)),"?")))</f>
        <v/>
      </c>
      <c r="R261" s="37" t="n"/>
      <c r="S261" s="37" t="n"/>
      <c r="T261" s="10">
        <f>IF(S261="","",HYPERLINK(IF(LEFT(S261,4)="http",S261,set_QwilrBase&amp;S261),"Open quote"))</f>
        <v/>
      </c>
      <c r="U261" s="41" t="n"/>
      <c r="V261" s="37" t="n"/>
      <c r="W261" s="37" t="n"/>
      <c r="X261" s="10" t="inlineStr">
        <is>
          <t>ONS-0257</t>
        </is>
      </c>
    </row>
    <row r="262">
      <c r="A262" s="16">
        <f>IF($C262="","",IFERROR(IF(INDEX(tbl_Finance[Latest Invoice Date],MATCH($X262,tbl_Finance[Row ID],0))="","",INDEX(tbl_Finance[Latest Invoice Date],MATCH($X262,tbl_Finance[Row ID],0))),""))</f>
        <v/>
      </c>
      <c r="B262" s="10">
        <f>IF($C262="","",IFERROR(INDEX(tbl_Finance[Invoice Numbers],MATCH($X262,tbl_Finance[Row ID],0))&amp;"",""))</f>
        <v/>
      </c>
      <c r="C262" s="37" t="n"/>
      <c r="D262" s="10">
        <f>IF($C262="","",IF(COUNTIF(lst_Jobs,$C262&amp;"")&gt;0,"OK","CHECK"))</f>
        <v/>
      </c>
      <c r="E262" s="10">
        <f>IF($C262="","",IFERROR(INDEX(lst_JobName,MATCH($C262&amp;"",lst_Jobs,0)),""))</f>
        <v/>
      </c>
      <c r="F262" s="37" t="n"/>
      <c r="G262" s="37" t="n"/>
      <c r="H262" s="37" t="n"/>
      <c r="I262" s="37" t="n"/>
      <c r="J262" s="37" t="n"/>
      <c r="K262" s="38">
        <f>IF($C262="","",IFERROR(N(INDEX(tbl_Finance[Invoice Count],MATCH($X262,tbl_Finance[Row ID],0))),""))</f>
        <v/>
      </c>
      <c r="L262" s="11">
        <f>IF($C262="","",IFERROR(N(INDEX(tbl_Finance[Xero Invoiced Ex GST],MATCH($X262,tbl_Finance[Row ID],0))),""))</f>
        <v/>
      </c>
      <c r="M262" s="10">
        <f>IF($C262="","",IFERROR(INDEX(tbl_Finance[Compare],MATCH($X262,tbl_Finance[Row ID],0))&amp;"",""))</f>
        <v/>
      </c>
      <c r="N262" s="11">
        <f>IF($C262="","",MAX(0,N(O262)-N(L262)))</f>
        <v/>
      </c>
      <c r="O262" s="39" t="n"/>
      <c r="P262" s="40">
        <f>IF($C262="","",IF((IF(F262="",", Client","")&amp;IF(G262="",", Description","")&amp;IF(H262="",", Cost Centre","")&amp;IF(I262="",", Invoice Type","")&amp;IF(J262="",", Tax Code","")&amp;IF(O262="",", Expected Revenue","")&amp;IF(COUNTIF(tbl_Finance[Job Number],$C262&amp;"")&gt;1,", Job number used twice",""))="","Complete","Fix: "&amp;MID(IF(F262="",", Client","")&amp;IF(G262="",", Description","")&amp;IF(H262="",", Cost Centre","")&amp;IF(I262="",", Invoice Type","")&amp;IF(J262="",", Tax Code","")&amp;IF(O262="",", Expected Revenue","")&amp;IF(COUNTIF(tbl_Finance[Job Number],$C262&amp;"")&gt;1,", Job number used twice",""),3,300)))</f>
        <v/>
      </c>
      <c r="Q262" s="10">
        <f>IF($C262="","",IF(H262="","(no cost centre)",H262&amp;" - GL "&amp;IFERROR(INDEX(lst_CCtoGL,MATCH(H262,lst_CCforGL,0)),"?")))</f>
        <v/>
      </c>
      <c r="R262" s="37" t="n"/>
      <c r="S262" s="37" t="n"/>
      <c r="T262" s="10">
        <f>IF(S262="","",HYPERLINK(IF(LEFT(S262,4)="http",S262,set_QwilrBase&amp;S262),"Open quote"))</f>
        <v/>
      </c>
      <c r="U262" s="41" t="n"/>
      <c r="V262" s="37" t="n"/>
      <c r="W262" s="37" t="n"/>
      <c r="X262" s="10" t="inlineStr">
        <is>
          <t>ONS-0258</t>
        </is>
      </c>
    </row>
    <row r="263">
      <c r="A263" s="16">
        <f>IF($C263="","",IFERROR(IF(INDEX(tbl_Finance[Latest Invoice Date],MATCH($X263,tbl_Finance[Row ID],0))="","",INDEX(tbl_Finance[Latest Invoice Date],MATCH($X263,tbl_Finance[Row ID],0))),""))</f>
        <v/>
      </c>
      <c r="B263" s="10">
        <f>IF($C263="","",IFERROR(INDEX(tbl_Finance[Invoice Numbers],MATCH($X263,tbl_Finance[Row ID],0))&amp;"",""))</f>
        <v/>
      </c>
      <c r="C263" s="37" t="n"/>
      <c r="D263" s="10">
        <f>IF($C263="","",IF(COUNTIF(lst_Jobs,$C263&amp;"")&gt;0,"OK","CHECK"))</f>
        <v/>
      </c>
      <c r="E263" s="10">
        <f>IF($C263="","",IFERROR(INDEX(lst_JobName,MATCH($C263&amp;"",lst_Jobs,0)),""))</f>
        <v/>
      </c>
      <c r="F263" s="37" t="n"/>
      <c r="G263" s="37" t="n"/>
      <c r="H263" s="37" t="n"/>
      <c r="I263" s="37" t="n"/>
      <c r="J263" s="37" t="n"/>
      <c r="K263" s="38">
        <f>IF($C263="","",IFERROR(N(INDEX(tbl_Finance[Invoice Count],MATCH($X263,tbl_Finance[Row ID],0))),""))</f>
        <v/>
      </c>
      <c r="L263" s="11">
        <f>IF($C263="","",IFERROR(N(INDEX(tbl_Finance[Xero Invoiced Ex GST],MATCH($X263,tbl_Finance[Row ID],0))),""))</f>
        <v/>
      </c>
      <c r="M263" s="10">
        <f>IF($C263="","",IFERROR(INDEX(tbl_Finance[Compare],MATCH($X263,tbl_Finance[Row ID],0))&amp;"",""))</f>
        <v/>
      </c>
      <c r="N263" s="11">
        <f>IF($C263="","",MAX(0,N(O263)-N(L263)))</f>
        <v/>
      </c>
      <c r="O263" s="39" t="n"/>
      <c r="P263" s="40">
        <f>IF($C263="","",IF((IF(F263="",", Client","")&amp;IF(G263="",", Description","")&amp;IF(H263="",", Cost Centre","")&amp;IF(I263="",", Invoice Type","")&amp;IF(J263="",", Tax Code","")&amp;IF(O263="",", Expected Revenue","")&amp;IF(COUNTIF(tbl_Finance[Job Number],$C263&amp;"")&gt;1,", Job number used twice",""))="","Complete","Fix: "&amp;MID(IF(F263="",", Client","")&amp;IF(G263="",", Description","")&amp;IF(H263="",", Cost Centre","")&amp;IF(I263="",", Invoice Type","")&amp;IF(J263="",", Tax Code","")&amp;IF(O263="",", Expected Revenue","")&amp;IF(COUNTIF(tbl_Finance[Job Number],$C263&amp;"")&gt;1,", Job number used twice",""),3,300)))</f>
        <v/>
      </c>
      <c r="Q263" s="10">
        <f>IF($C263="","",IF(H263="","(no cost centre)",H263&amp;" - GL "&amp;IFERROR(INDEX(lst_CCtoGL,MATCH(H263,lst_CCforGL,0)),"?")))</f>
        <v/>
      </c>
      <c r="R263" s="37" t="n"/>
      <c r="S263" s="37" t="n"/>
      <c r="T263" s="10">
        <f>IF(S263="","",HYPERLINK(IF(LEFT(S263,4)="http",S263,set_QwilrBase&amp;S263),"Open quote"))</f>
        <v/>
      </c>
      <c r="U263" s="41" t="n"/>
      <c r="V263" s="37" t="n"/>
      <c r="W263" s="37" t="n"/>
      <c r="X263" s="10" t="inlineStr">
        <is>
          <t>ONS-0259</t>
        </is>
      </c>
    </row>
    <row r="264">
      <c r="A264" s="16">
        <f>IF($C264="","",IFERROR(IF(INDEX(tbl_Finance[Latest Invoice Date],MATCH($X264,tbl_Finance[Row ID],0))="","",INDEX(tbl_Finance[Latest Invoice Date],MATCH($X264,tbl_Finance[Row ID],0))),""))</f>
        <v/>
      </c>
      <c r="B264" s="10">
        <f>IF($C264="","",IFERROR(INDEX(tbl_Finance[Invoice Numbers],MATCH($X264,tbl_Finance[Row ID],0))&amp;"",""))</f>
        <v/>
      </c>
      <c r="C264" s="37" t="n"/>
      <c r="D264" s="10">
        <f>IF($C264="","",IF(COUNTIF(lst_Jobs,$C264&amp;"")&gt;0,"OK","CHECK"))</f>
        <v/>
      </c>
      <c r="E264" s="10">
        <f>IF($C264="","",IFERROR(INDEX(lst_JobName,MATCH($C264&amp;"",lst_Jobs,0)),""))</f>
        <v/>
      </c>
      <c r="F264" s="37" t="n"/>
      <c r="G264" s="37" t="n"/>
      <c r="H264" s="37" t="n"/>
      <c r="I264" s="37" t="n"/>
      <c r="J264" s="37" t="n"/>
      <c r="K264" s="38">
        <f>IF($C264="","",IFERROR(N(INDEX(tbl_Finance[Invoice Count],MATCH($X264,tbl_Finance[Row ID],0))),""))</f>
        <v/>
      </c>
      <c r="L264" s="11">
        <f>IF($C264="","",IFERROR(N(INDEX(tbl_Finance[Xero Invoiced Ex GST],MATCH($X264,tbl_Finance[Row ID],0))),""))</f>
        <v/>
      </c>
      <c r="M264" s="10">
        <f>IF($C264="","",IFERROR(INDEX(tbl_Finance[Compare],MATCH($X264,tbl_Finance[Row ID],0))&amp;"",""))</f>
        <v/>
      </c>
      <c r="N264" s="11">
        <f>IF($C264="","",MAX(0,N(O264)-N(L264)))</f>
        <v/>
      </c>
      <c r="O264" s="39" t="n"/>
      <c r="P264" s="40">
        <f>IF($C264="","",IF((IF(F264="",", Client","")&amp;IF(G264="",", Description","")&amp;IF(H264="",", Cost Centre","")&amp;IF(I264="",", Invoice Type","")&amp;IF(J264="",", Tax Code","")&amp;IF(O264="",", Expected Revenue","")&amp;IF(COUNTIF(tbl_Finance[Job Number],$C264&amp;"")&gt;1,", Job number used twice",""))="","Complete","Fix: "&amp;MID(IF(F264="",", Client","")&amp;IF(G264="",", Description","")&amp;IF(H264="",", Cost Centre","")&amp;IF(I264="",", Invoice Type","")&amp;IF(J264="",", Tax Code","")&amp;IF(O264="",", Expected Revenue","")&amp;IF(COUNTIF(tbl_Finance[Job Number],$C264&amp;"")&gt;1,", Job number used twice",""),3,300)))</f>
        <v/>
      </c>
      <c r="Q264" s="10">
        <f>IF($C264="","",IF(H264="","(no cost centre)",H264&amp;" - GL "&amp;IFERROR(INDEX(lst_CCtoGL,MATCH(H264,lst_CCforGL,0)),"?")))</f>
        <v/>
      </c>
      <c r="R264" s="37" t="n"/>
      <c r="S264" s="37" t="n"/>
      <c r="T264" s="10">
        <f>IF(S264="","",HYPERLINK(IF(LEFT(S264,4)="http",S264,set_QwilrBase&amp;S264),"Open quote"))</f>
        <v/>
      </c>
      <c r="U264" s="41" t="n"/>
      <c r="V264" s="37" t="n"/>
      <c r="W264" s="37" t="n"/>
      <c r="X264" s="10" t="inlineStr">
        <is>
          <t>ONS-0260</t>
        </is>
      </c>
    </row>
    <row r="265">
      <c r="A265" s="16">
        <f>IF($C265="","",IFERROR(IF(INDEX(tbl_Finance[Latest Invoice Date],MATCH($X265,tbl_Finance[Row ID],0))="","",INDEX(tbl_Finance[Latest Invoice Date],MATCH($X265,tbl_Finance[Row ID],0))),""))</f>
        <v/>
      </c>
      <c r="B265" s="10">
        <f>IF($C265="","",IFERROR(INDEX(tbl_Finance[Invoice Numbers],MATCH($X265,tbl_Finance[Row ID],0))&amp;"",""))</f>
        <v/>
      </c>
      <c r="C265" s="37" t="n"/>
      <c r="D265" s="10">
        <f>IF($C265="","",IF(COUNTIF(lst_Jobs,$C265&amp;"")&gt;0,"OK","CHECK"))</f>
        <v/>
      </c>
      <c r="E265" s="10">
        <f>IF($C265="","",IFERROR(INDEX(lst_JobName,MATCH($C265&amp;"",lst_Jobs,0)),""))</f>
        <v/>
      </c>
      <c r="F265" s="37" t="n"/>
      <c r="G265" s="37" t="n"/>
      <c r="H265" s="37" t="n"/>
      <c r="I265" s="37" t="n"/>
      <c r="J265" s="37" t="n"/>
      <c r="K265" s="38">
        <f>IF($C265="","",IFERROR(N(INDEX(tbl_Finance[Invoice Count],MATCH($X265,tbl_Finance[Row ID],0))),""))</f>
        <v/>
      </c>
      <c r="L265" s="11">
        <f>IF($C265="","",IFERROR(N(INDEX(tbl_Finance[Xero Invoiced Ex GST],MATCH($X265,tbl_Finance[Row ID],0))),""))</f>
        <v/>
      </c>
      <c r="M265" s="10">
        <f>IF($C265="","",IFERROR(INDEX(tbl_Finance[Compare],MATCH($X265,tbl_Finance[Row ID],0))&amp;"",""))</f>
        <v/>
      </c>
      <c r="N265" s="11">
        <f>IF($C265="","",MAX(0,N(O265)-N(L265)))</f>
        <v/>
      </c>
      <c r="O265" s="39" t="n"/>
      <c r="P265" s="40">
        <f>IF($C265="","",IF((IF(F265="",", Client","")&amp;IF(G265="",", Description","")&amp;IF(H265="",", Cost Centre","")&amp;IF(I265="",", Invoice Type","")&amp;IF(J265="",", Tax Code","")&amp;IF(O265="",", Expected Revenue","")&amp;IF(COUNTIF(tbl_Finance[Job Number],$C265&amp;"")&gt;1,", Job number used twice",""))="","Complete","Fix: "&amp;MID(IF(F265="",", Client","")&amp;IF(G265="",", Description","")&amp;IF(H265="",", Cost Centre","")&amp;IF(I265="",", Invoice Type","")&amp;IF(J265="",", Tax Code","")&amp;IF(O265="",", Expected Revenue","")&amp;IF(COUNTIF(tbl_Finance[Job Number],$C265&amp;"")&gt;1,", Job number used twice",""),3,300)))</f>
        <v/>
      </c>
      <c r="Q265" s="10">
        <f>IF($C265="","",IF(H265="","(no cost centre)",H265&amp;" - GL "&amp;IFERROR(INDEX(lst_CCtoGL,MATCH(H265,lst_CCforGL,0)),"?")))</f>
        <v/>
      </c>
      <c r="R265" s="37" t="n"/>
      <c r="S265" s="37" t="n"/>
      <c r="T265" s="10">
        <f>IF(S265="","",HYPERLINK(IF(LEFT(S265,4)="http",S265,set_QwilrBase&amp;S265),"Open quote"))</f>
        <v/>
      </c>
      <c r="U265" s="41" t="n"/>
      <c r="V265" s="37" t="n"/>
      <c r="W265" s="37" t="n"/>
      <c r="X265" s="10" t="inlineStr">
        <is>
          <t>ONS-0261</t>
        </is>
      </c>
    </row>
    <row r="266">
      <c r="A266" s="16">
        <f>IF($C266="","",IFERROR(IF(INDEX(tbl_Finance[Latest Invoice Date],MATCH($X266,tbl_Finance[Row ID],0))="","",INDEX(tbl_Finance[Latest Invoice Date],MATCH($X266,tbl_Finance[Row ID],0))),""))</f>
        <v/>
      </c>
      <c r="B266" s="10">
        <f>IF($C266="","",IFERROR(INDEX(tbl_Finance[Invoice Numbers],MATCH($X266,tbl_Finance[Row ID],0))&amp;"",""))</f>
        <v/>
      </c>
      <c r="C266" s="37" t="n"/>
      <c r="D266" s="10">
        <f>IF($C266="","",IF(COUNTIF(lst_Jobs,$C266&amp;"")&gt;0,"OK","CHECK"))</f>
        <v/>
      </c>
      <c r="E266" s="10">
        <f>IF($C266="","",IFERROR(INDEX(lst_JobName,MATCH($C266&amp;"",lst_Jobs,0)),""))</f>
        <v/>
      </c>
      <c r="F266" s="37" t="n"/>
      <c r="G266" s="37" t="n"/>
      <c r="H266" s="37" t="n"/>
      <c r="I266" s="37" t="n"/>
      <c r="J266" s="37" t="n"/>
      <c r="K266" s="38">
        <f>IF($C266="","",IFERROR(N(INDEX(tbl_Finance[Invoice Count],MATCH($X266,tbl_Finance[Row ID],0))),""))</f>
        <v/>
      </c>
      <c r="L266" s="11">
        <f>IF($C266="","",IFERROR(N(INDEX(tbl_Finance[Xero Invoiced Ex GST],MATCH($X266,tbl_Finance[Row ID],0))),""))</f>
        <v/>
      </c>
      <c r="M266" s="10">
        <f>IF($C266="","",IFERROR(INDEX(tbl_Finance[Compare],MATCH($X266,tbl_Finance[Row ID],0))&amp;"",""))</f>
        <v/>
      </c>
      <c r="N266" s="11">
        <f>IF($C266="","",MAX(0,N(O266)-N(L266)))</f>
        <v/>
      </c>
      <c r="O266" s="39" t="n"/>
      <c r="P266" s="40">
        <f>IF($C266="","",IF((IF(F266="",", Client","")&amp;IF(G266="",", Description","")&amp;IF(H266="",", Cost Centre","")&amp;IF(I266="",", Invoice Type","")&amp;IF(J266="",", Tax Code","")&amp;IF(O266="",", Expected Revenue","")&amp;IF(COUNTIF(tbl_Finance[Job Number],$C266&amp;"")&gt;1,", Job number used twice",""))="","Complete","Fix: "&amp;MID(IF(F266="",", Client","")&amp;IF(G266="",", Description","")&amp;IF(H266="",", Cost Centre","")&amp;IF(I266="",", Invoice Type","")&amp;IF(J266="",", Tax Code","")&amp;IF(O266="",", Expected Revenue","")&amp;IF(COUNTIF(tbl_Finance[Job Number],$C266&amp;"")&gt;1,", Job number used twice",""),3,300)))</f>
        <v/>
      </c>
      <c r="Q266" s="10">
        <f>IF($C266="","",IF(H266="","(no cost centre)",H266&amp;" - GL "&amp;IFERROR(INDEX(lst_CCtoGL,MATCH(H266,lst_CCforGL,0)),"?")))</f>
        <v/>
      </c>
      <c r="R266" s="37" t="n"/>
      <c r="S266" s="37" t="n"/>
      <c r="T266" s="10">
        <f>IF(S266="","",HYPERLINK(IF(LEFT(S266,4)="http",S266,set_QwilrBase&amp;S266),"Open quote"))</f>
        <v/>
      </c>
      <c r="U266" s="41" t="n"/>
      <c r="V266" s="37" t="n"/>
      <c r="W266" s="37" t="n"/>
      <c r="X266" s="10" t="inlineStr">
        <is>
          <t>ONS-0262</t>
        </is>
      </c>
    </row>
    <row r="267">
      <c r="A267" s="16">
        <f>IF($C267="","",IFERROR(IF(INDEX(tbl_Finance[Latest Invoice Date],MATCH($X267,tbl_Finance[Row ID],0))="","",INDEX(tbl_Finance[Latest Invoice Date],MATCH($X267,tbl_Finance[Row ID],0))),""))</f>
        <v/>
      </c>
      <c r="B267" s="10">
        <f>IF($C267="","",IFERROR(INDEX(tbl_Finance[Invoice Numbers],MATCH($X267,tbl_Finance[Row ID],0))&amp;"",""))</f>
        <v/>
      </c>
      <c r="C267" s="37" t="n"/>
      <c r="D267" s="10">
        <f>IF($C267="","",IF(COUNTIF(lst_Jobs,$C267&amp;"")&gt;0,"OK","CHECK"))</f>
        <v/>
      </c>
      <c r="E267" s="10">
        <f>IF($C267="","",IFERROR(INDEX(lst_JobName,MATCH($C267&amp;"",lst_Jobs,0)),""))</f>
        <v/>
      </c>
      <c r="F267" s="37" t="n"/>
      <c r="G267" s="37" t="n"/>
      <c r="H267" s="37" t="n"/>
      <c r="I267" s="37" t="n"/>
      <c r="J267" s="37" t="n"/>
      <c r="K267" s="38">
        <f>IF($C267="","",IFERROR(N(INDEX(tbl_Finance[Invoice Count],MATCH($X267,tbl_Finance[Row ID],0))),""))</f>
        <v/>
      </c>
      <c r="L267" s="11">
        <f>IF($C267="","",IFERROR(N(INDEX(tbl_Finance[Xero Invoiced Ex GST],MATCH($X267,tbl_Finance[Row ID],0))),""))</f>
        <v/>
      </c>
      <c r="M267" s="10">
        <f>IF($C267="","",IFERROR(INDEX(tbl_Finance[Compare],MATCH($X267,tbl_Finance[Row ID],0))&amp;"",""))</f>
        <v/>
      </c>
      <c r="N267" s="11">
        <f>IF($C267="","",MAX(0,N(O267)-N(L267)))</f>
        <v/>
      </c>
      <c r="O267" s="39" t="n"/>
      <c r="P267" s="40">
        <f>IF($C267="","",IF((IF(F267="",", Client","")&amp;IF(G267="",", Description","")&amp;IF(H267="",", Cost Centre","")&amp;IF(I267="",", Invoice Type","")&amp;IF(J267="",", Tax Code","")&amp;IF(O267="",", Expected Revenue","")&amp;IF(COUNTIF(tbl_Finance[Job Number],$C267&amp;"")&gt;1,", Job number used twice",""))="","Complete","Fix: "&amp;MID(IF(F267="",", Client","")&amp;IF(G267="",", Description","")&amp;IF(H267="",", Cost Centre","")&amp;IF(I267="",", Invoice Type","")&amp;IF(J267="",", Tax Code","")&amp;IF(O267="",", Expected Revenue","")&amp;IF(COUNTIF(tbl_Finance[Job Number],$C267&amp;"")&gt;1,", Job number used twice",""),3,300)))</f>
        <v/>
      </c>
      <c r="Q267" s="10">
        <f>IF($C267="","",IF(H267="","(no cost centre)",H267&amp;" - GL "&amp;IFERROR(INDEX(lst_CCtoGL,MATCH(H267,lst_CCforGL,0)),"?")))</f>
        <v/>
      </c>
      <c r="R267" s="37" t="n"/>
      <c r="S267" s="37" t="n"/>
      <c r="T267" s="10">
        <f>IF(S267="","",HYPERLINK(IF(LEFT(S267,4)="http",S267,set_QwilrBase&amp;S267),"Open quote"))</f>
        <v/>
      </c>
      <c r="U267" s="41" t="n"/>
      <c r="V267" s="37" t="n"/>
      <c r="W267" s="37" t="n"/>
      <c r="X267" s="10" t="inlineStr">
        <is>
          <t>ONS-0263</t>
        </is>
      </c>
    </row>
    <row r="268">
      <c r="A268" s="16">
        <f>IF($C268="","",IFERROR(IF(INDEX(tbl_Finance[Latest Invoice Date],MATCH($X268,tbl_Finance[Row ID],0))="","",INDEX(tbl_Finance[Latest Invoice Date],MATCH($X268,tbl_Finance[Row ID],0))),""))</f>
        <v/>
      </c>
      <c r="B268" s="10">
        <f>IF($C268="","",IFERROR(INDEX(tbl_Finance[Invoice Numbers],MATCH($X268,tbl_Finance[Row ID],0))&amp;"",""))</f>
        <v/>
      </c>
      <c r="C268" s="37" t="n"/>
      <c r="D268" s="10">
        <f>IF($C268="","",IF(COUNTIF(lst_Jobs,$C268&amp;"")&gt;0,"OK","CHECK"))</f>
        <v/>
      </c>
      <c r="E268" s="10">
        <f>IF($C268="","",IFERROR(INDEX(lst_JobName,MATCH($C268&amp;"",lst_Jobs,0)),""))</f>
        <v/>
      </c>
      <c r="F268" s="37" t="n"/>
      <c r="G268" s="37" t="n"/>
      <c r="H268" s="37" t="n"/>
      <c r="I268" s="37" t="n"/>
      <c r="J268" s="37" t="n"/>
      <c r="K268" s="38">
        <f>IF($C268="","",IFERROR(N(INDEX(tbl_Finance[Invoice Count],MATCH($X268,tbl_Finance[Row ID],0))),""))</f>
        <v/>
      </c>
      <c r="L268" s="11">
        <f>IF($C268="","",IFERROR(N(INDEX(tbl_Finance[Xero Invoiced Ex GST],MATCH($X268,tbl_Finance[Row ID],0))),""))</f>
        <v/>
      </c>
      <c r="M268" s="10">
        <f>IF($C268="","",IFERROR(INDEX(tbl_Finance[Compare],MATCH($X268,tbl_Finance[Row ID],0))&amp;"",""))</f>
        <v/>
      </c>
      <c r="N268" s="11">
        <f>IF($C268="","",MAX(0,N(O268)-N(L268)))</f>
        <v/>
      </c>
      <c r="O268" s="39" t="n"/>
      <c r="P268" s="40">
        <f>IF($C268="","",IF((IF(F268="",", Client","")&amp;IF(G268="",", Description","")&amp;IF(H268="",", Cost Centre","")&amp;IF(I268="",", Invoice Type","")&amp;IF(J268="",", Tax Code","")&amp;IF(O268="",", Expected Revenue","")&amp;IF(COUNTIF(tbl_Finance[Job Number],$C268&amp;"")&gt;1,", Job number used twice",""))="","Complete","Fix: "&amp;MID(IF(F268="",", Client","")&amp;IF(G268="",", Description","")&amp;IF(H268="",", Cost Centre","")&amp;IF(I268="",", Invoice Type","")&amp;IF(J268="",", Tax Code","")&amp;IF(O268="",", Expected Revenue","")&amp;IF(COUNTIF(tbl_Finance[Job Number],$C268&amp;"")&gt;1,", Job number used twice",""),3,300)))</f>
        <v/>
      </c>
      <c r="Q268" s="10">
        <f>IF($C268="","",IF(H268="","(no cost centre)",H268&amp;" - GL "&amp;IFERROR(INDEX(lst_CCtoGL,MATCH(H268,lst_CCforGL,0)),"?")))</f>
        <v/>
      </c>
      <c r="R268" s="37" t="n"/>
      <c r="S268" s="37" t="n"/>
      <c r="T268" s="10">
        <f>IF(S268="","",HYPERLINK(IF(LEFT(S268,4)="http",S268,set_QwilrBase&amp;S268),"Open quote"))</f>
        <v/>
      </c>
      <c r="U268" s="41" t="n"/>
      <c r="V268" s="37" t="n"/>
      <c r="W268" s="37" t="n"/>
      <c r="X268" s="10" t="inlineStr">
        <is>
          <t>ONS-0264</t>
        </is>
      </c>
    </row>
    <row r="269">
      <c r="A269" s="16">
        <f>IF($C269="","",IFERROR(IF(INDEX(tbl_Finance[Latest Invoice Date],MATCH($X269,tbl_Finance[Row ID],0))="","",INDEX(tbl_Finance[Latest Invoice Date],MATCH($X269,tbl_Finance[Row ID],0))),""))</f>
        <v/>
      </c>
      <c r="B269" s="10">
        <f>IF($C269="","",IFERROR(INDEX(tbl_Finance[Invoice Numbers],MATCH($X269,tbl_Finance[Row ID],0))&amp;"",""))</f>
        <v/>
      </c>
      <c r="C269" s="37" t="n"/>
      <c r="D269" s="10">
        <f>IF($C269="","",IF(COUNTIF(lst_Jobs,$C269&amp;"")&gt;0,"OK","CHECK"))</f>
        <v/>
      </c>
      <c r="E269" s="10">
        <f>IF($C269="","",IFERROR(INDEX(lst_JobName,MATCH($C269&amp;"",lst_Jobs,0)),""))</f>
        <v/>
      </c>
      <c r="F269" s="37" t="n"/>
      <c r="G269" s="37" t="n"/>
      <c r="H269" s="37" t="n"/>
      <c r="I269" s="37" t="n"/>
      <c r="J269" s="37" t="n"/>
      <c r="K269" s="38">
        <f>IF($C269="","",IFERROR(N(INDEX(tbl_Finance[Invoice Count],MATCH($X269,tbl_Finance[Row ID],0))),""))</f>
        <v/>
      </c>
      <c r="L269" s="11">
        <f>IF($C269="","",IFERROR(N(INDEX(tbl_Finance[Xero Invoiced Ex GST],MATCH($X269,tbl_Finance[Row ID],0))),""))</f>
        <v/>
      </c>
      <c r="M269" s="10">
        <f>IF($C269="","",IFERROR(INDEX(tbl_Finance[Compare],MATCH($X269,tbl_Finance[Row ID],0))&amp;"",""))</f>
        <v/>
      </c>
      <c r="N269" s="11">
        <f>IF($C269="","",MAX(0,N(O269)-N(L269)))</f>
        <v/>
      </c>
      <c r="O269" s="39" t="n"/>
      <c r="P269" s="40">
        <f>IF($C269="","",IF((IF(F269="",", Client","")&amp;IF(G269="",", Description","")&amp;IF(H269="",", Cost Centre","")&amp;IF(I269="",", Invoice Type","")&amp;IF(J269="",", Tax Code","")&amp;IF(O269="",", Expected Revenue","")&amp;IF(COUNTIF(tbl_Finance[Job Number],$C269&amp;"")&gt;1,", Job number used twice",""))="","Complete","Fix: "&amp;MID(IF(F269="",", Client","")&amp;IF(G269="",", Description","")&amp;IF(H269="",", Cost Centre","")&amp;IF(I269="",", Invoice Type","")&amp;IF(J269="",", Tax Code","")&amp;IF(O269="",", Expected Revenue","")&amp;IF(COUNTIF(tbl_Finance[Job Number],$C269&amp;"")&gt;1,", Job number used twice",""),3,300)))</f>
        <v/>
      </c>
      <c r="Q269" s="10">
        <f>IF($C269="","",IF(H269="","(no cost centre)",H269&amp;" - GL "&amp;IFERROR(INDEX(lst_CCtoGL,MATCH(H269,lst_CCforGL,0)),"?")))</f>
        <v/>
      </c>
      <c r="R269" s="37" t="n"/>
      <c r="S269" s="37" t="n"/>
      <c r="T269" s="10">
        <f>IF(S269="","",HYPERLINK(IF(LEFT(S269,4)="http",S269,set_QwilrBase&amp;S269),"Open quote"))</f>
        <v/>
      </c>
      <c r="U269" s="41" t="n"/>
      <c r="V269" s="37" t="n"/>
      <c r="W269" s="37" t="n"/>
      <c r="X269" s="10" t="inlineStr">
        <is>
          <t>ONS-0265</t>
        </is>
      </c>
    </row>
    <row r="270">
      <c r="A270" s="16">
        <f>IF($C270="","",IFERROR(IF(INDEX(tbl_Finance[Latest Invoice Date],MATCH($X270,tbl_Finance[Row ID],0))="","",INDEX(tbl_Finance[Latest Invoice Date],MATCH($X270,tbl_Finance[Row ID],0))),""))</f>
        <v/>
      </c>
      <c r="B270" s="10">
        <f>IF($C270="","",IFERROR(INDEX(tbl_Finance[Invoice Numbers],MATCH($X270,tbl_Finance[Row ID],0))&amp;"",""))</f>
        <v/>
      </c>
      <c r="C270" s="37" t="n"/>
      <c r="D270" s="10">
        <f>IF($C270="","",IF(COUNTIF(lst_Jobs,$C270&amp;"")&gt;0,"OK","CHECK"))</f>
        <v/>
      </c>
      <c r="E270" s="10">
        <f>IF($C270="","",IFERROR(INDEX(lst_JobName,MATCH($C270&amp;"",lst_Jobs,0)),""))</f>
        <v/>
      </c>
      <c r="F270" s="37" t="n"/>
      <c r="G270" s="37" t="n"/>
      <c r="H270" s="37" t="n"/>
      <c r="I270" s="37" t="n"/>
      <c r="J270" s="37" t="n"/>
      <c r="K270" s="38">
        <f>IF($C270="","",IFERROR(N(INDEX(tbl_Finance[Invoice Count],MATCH($X270,tbl_Finance[Row ID],0))),""))</f>
        <v/>
      </c>
      <c r="L270" s="11">
        <f>IF($C270="","",IFERROR(N(INDEX(tbl_Finance[Xero Invoiced Ex GST],MATCH($X270,tbl_Finance[Row ID],0))),""))</f>
        <v/>
      </c>
      <c r="M270" s="10">
        <f>IF($C270="","",IFERROR(INDEX(tbl_Finance[Compare],MATCH($X270,tbl_Finance[Row ID],0))&amp;"",""))</f>
        <v/>
      </c>
      <c r="N270" s="11">
        <f>IF($C270="","",MAX(0,N(O270)-N(L270)))</f>
        <v/>
      </c>
      <c r="O270" s="39" t="n"/>
      <c r="P270" s="40">
        <f>IF($C270="","",IF((IF(F270="",", Client","")&amp;IF(G270="",", Description","")&amp;IF(H270="",", Cost Centre","")&amp;IF(I270="",", Invoice Type","")&amp;IF(J270="",", Tax Code","")&amp;IF(O270="",", Expected Revenue","")&amp;IF(COUNTIF(tbl_Finance[Job Number],$C270&amp;"")&gt;1,", Job number used twice",""))="","Complete","Fix: "&amp;MID(IF(F270="",", Client","")&amp;IF(G270="",", Description","")&amp;IF(H270="",", Cost Centre","")&amp;IF(I270="",", Invoice Type","")&amp;IF(J270="",", Tax Code","")&amp;IF(O270="",", Expected Revenue","")&amp;IF(COUNTIF(tbl_Finance[Job Number],$C270&amp;"")&gt;1,", Job number used twice",""),3,300)))</f>
        <v/>
      </c>
      <c r="Q270" s="10">
        <f>IF($C270="","",IF(H270="","(no cost centre)",H270&amp;" - GL "&amp;IFERROR(INDEX(lst_CCtoGL,MATCH(H270,lst_CCforGL,0)),"?")))</f>
        <v/>
      </c>
      <c r="R270" s="37" t="n"/>
      <c r="S270" s="37" t="n"/>
      <c r="T270" s="10">
        <f>IF(S270="","",HYPERLINK(IF(LEFT(S270,4)="http",S270,set_QwilrBase&amp;S270),"Open quote"))</f>
        <v/>
      </c>
      <c r="U270" s="41" t="n"/>
      <c r="V270" s="37" t="n"/>
      <c r="W270" s="37" t="n"/>
      <c r="X270" s="10" t="inlineStr">
        <is>
          <t>ONS-0266</t>
        </is>
      </c>
    </row>
    <row r="271">
      <c r="A271" s="16">
        <f>IF($C271="","",IFERROR(IF(INDEX(tbl_Finance[Latest Invoice Date],MATCH($X271,tbl_Finance[Row ID],0))="","",INDEX(tbl_Finance[Latest Invoice Date],MATCH($X271,tbl_Finance[Row ID],0))),""))</f>
        <v/>
      </c>
      <c r="B271" s="10">
        <f>IF($C271="","",IFERROR(INDEX(tbl_Finance[Invoice Numbers],MATCH($X271,tbl_Finance[Row ID],0))&amp;"",""))</f>
        <v/>
      </c>
      <c r="C271" s="37" t="n"/>
      <c r="D271" s="10">
        <f>IF($C271="","",IF(COUNTIF(lst_Jobs,$C271&amp;"")&gt;0,"OK","CHECK"))</f>
        <v/>
      </c>
      <c r="E271" s="10">
        <f>IF($C271="","",IFERROR(INDEX(lst_JobName,MATCH($C271&amp;"",lst_Jobs,0)),""))</f>
        <v/>
      </c>
      <c r="F271" s="37" t="n"/>
      <c r="G271" s="37" t="n"/>
      <c r="H271" s="37" t="n"/>
      <c r="I271" s="37" t="n"/>
      <c r="J271" s="37" t="n"/>
      <c r="K271" s="38">
        <f>IF($C271="","",IFERROR(N(INDEX(tbl_Finance[Invoice Count],MATCH($X271,tbl_Finance[Row ID],0))),""))</f>
        <v/>
      </c>
      <c r="L271" s="11">
        <f>IF($C271="","",IFERROR(N(INDEX(tbl_Finance[Xero Invoiced Ex GST],MATCH($X271,tbl_Finance[Row ID],0))),""))</f>
        <v/>
      </c>
      <c r="M271" s="10">
        <f>IF($C271="","",IFERROR(INDEX(tbl_Finance[Compare],MATCH($X271,tbl_Finance[Row ID],0))&amp;"",""))</f>
        <v/>
      </c>
      <c r="N271" s="11">
        <f>IF($C271="","",MAX(0,N(O271)-N(L271)))</f>
        <v/>
      </c>
      <c r="O271" s="39" t="n"/>
      <c r="P271" s="40">
        <f>IF($C271="","",IF((IF(F271="",", Client","")&amp;IF(G271="",", Description","")&amp;IF(H271="",", Cost Centre","")&amp;IF(I271="",", Invoice Type","")&amp;IF(J271="",", Tax Code","")&amp;IF(O271="",", Expected Revenue","")&amp;IF(COUNTIF(tbl_Finance[Job Number],$C271&amp;"")&gt;1,", Job number used twice",""))="","Complete","Fix: "&amp;MID(IF(F271="",", Client","")&amp;IF(G271="",", Description","")&amp;IF(H271="",", Cost Centre","")&amp;IF(I271="",", Invoice Type","")&amp;IF(J271="",", Tax Code","")&amp;IF(O271="",", Expected Revenue","")&amp;IF(COUNTIF(tbl_Finance[Job Number],$C271&amp;"")&gt;1,", Job number used twice",""),3,300)))</f>
        <v/>
      </c>
      <c r="Q271" s="10">
        <f>IF($C271="","",IF(H271="","(no cost centre)",H271&amp;" - GL "&amp;IFERROR(INDEX(lst_CCtoGL,MATCH(H271,lst_CCforGL,0)),"?")))</f>
        <v/>
      </c>
      <c r="R271" s="37" t="n"/>
      <c r="S271" s="37" t="n"/>
      <c r="T271" s="10">
        <f>IF(S271="","",HYPERLINK(IF(LEFT(S271,4)="http",S271,set_QwilrBase&amp;S271),"Open quote"))</f>
        <v/>
      </c>
      <c r="U271" s="41" t="n"/>
      <c r="V271" s="37" t="n"/>
      <c r="W271" s="37" t="n"/>
      <c r="X271" s="10" t="inlineStr">
        <is>
          <t>ONS-0267</t>
        </is>
      </c>
    </row>
    <row r="272">
      <c r="A272" s="16">
        <f>IF($C272="","",IFERROR(IF(INDEX(tbl_Finance[Latest Invoice Date],MATCH($X272,tbl_Finance[Row ID],0))="","",INDEX(tbl_Finance[Latest Invoice Date],MATCH($X272,tbl_Finance[Row ID],0))),""))</f>
        <v/>
      </c>
      <c r="B272" s="10">
        <f>IF($C272="","",IFERROR(INDEX(tbl_Finance[Invoice Numbers],MATCH($X272,tbl_Finance[Row ID],0))&amp;"",""))</f>
        <v/>
      </c>
      <c r="C272" s="37" t="n"/>
      <c r="D272" s="10">
        <f>IF($C272="","",IF(COUNTIF(lst_Jobs,$C272&amp;"")&gt;0,"OK","CHECK"))</f>
        <v/>
      </c>
      <c r="E272" s="10">
        <f>IF($C272="","",IFERROR(INDEX(lst_JobName,MATCH($C272&amp;"",lst_Jobs,0)),""))</f>
        <v/>
      </c>
      <c r="F272" s="37" t="n"/>
      <c r="G272" s="37" t="n"/>
      <c r="H272" s="37" t="n"/>
      <c r="I272" s="37" t="n"/>
      <c r="J272" s="37" t="n"/>
      <c r="K272" s="38">
        <f>IF($C272="","",IFERROR(N(INDEX(tbl_Finance[Invoice Count],MATCH($X272,tbl_Finance[Row ID],0))),""))</f>
        <v/>
      </c>
      <c r="L272" s="11">
        <f>IF($C272="","",IFERROR(N(INDEX(tbl_Finance[Xero Invoiced Ex GST],MATCH($X272,tbl_Finance[Row ID],0))),""))</f>
        <v/>
      </c>
      <c r="M272" s="10">
        <f>IF($C272="","",IFERROR(INDEX(tbl_Finance[Compare],MATCH($X272,tbl_Finance[Row ID],0))&amp;"",""))</f>
        <v/>
      </c>
      <c r="N272" s="11">
        <f>IF($C272="","",MAX(0,N(O272)-N(L272)))</f>
        <v/>
      </c>
      <c r="O272" s="39" t="n"/>
      <c r="P272" s="40">
        <f>IF($C272="","",IF((IF(F272="",", Client","")&amp;IF(G272="",", Description","")&amp;IF(H272="",", Cost Centre","")&amp;IF(I272="",", Invoice Type","")&amp;IF(J272="",", Tax Code","")&amp;IF(O272="",", Expected Revenue","")&amp;IF(COUNTIF(tbl_Finance[Job Number],$C272&amp;"")&gt;1,", Job number used twice",""))="","Complete","Fix: "&amp;MID(IF(F272="",", Client","")&amp;IF(G272="",", Description","")&amp;IF(H272="",", Cost Centre","")&amp;IF(I272="",", Invoice Type","")&amp;IF(J272="",", Tax Code","")&amp;IF(O272="",", Expected Revenue","")&amp;IF(COUNTIF(tbl_Finance[Job Number],$C272&amp;"")&gt;1,", Job number used twice",""),3,300)))</f>
        <v/>
      </c>
      <c r="Q272" s="10">
        <f>IF($C272="","",IF(H272="","(no cost centre)",H272&amp;" - GL "&amp;IFERROR(INDEX(lst_CCtoGL,MATCH(H272,lst_CCforGL,0)),"?")))</f>
        <v/>
      </c>
      <c r="R272" s="37" t="n"/>
      <c r="S272" s="37" t="n"/>
      <c r="T272" s="10">
        <f>IF(S272="","",HYPERLINK(IF(LEFT(S272,4)="http",S272,set_QwilrBase&amp;S272),"Open quote"))</f>
        <v/>
      </c>
      <c r="U272" s="41" t="n"/>
      <c r="V272" s="37" t="n"/>
      <c r="W272" s="37" t="n"/>
      <c r="X272" s="10" t="inlineStr">
        <is>
          <t>ONS-0268</t>
        </is>
      </c>
    </row>
    <row r="273">
      <c r="A273" s="16">
        <f>IF($C273="","",IFERROR(IF(INDEX(tbl_Finance[Latest Invoice Date],MATCH($X273,tbl_Finance[Row ID],0))="","",INDEX(tbl_Finance[Latest Invoice Date],MATCH($X273,tbl_Finance[Row ID],0))),""))</f>
        <v/>
      </c>
      <c r="B273" s="10">
        <f>IF($C273="","",IFERROR(INDEX(tbl_Finance[Invoice Numbers],MATCH($X273,tbl_Finance[Row ID],0))&amp;"",""))</f>
        <v/>
      </c>
      <c r="C273" s="37" t="n"/>
      <c r="D273" s="10">
        <f>IF($C273="","",IF(COUNTIF(lst_Jobs,$C273&amp;"")&gt;0,"OK","CHECK"))</f>
        <v/>
      </c>
      <c r="E273" s="10">
        <f>IF($C273="","",IFERROR(INDEX(lst_JobName,MATCH($C273&amp;"",lst_Jobs,0)),""))</f>
        <v/>
      </c>
      <c r="F273" s="37" t="n"/>
      <c r="G273" s="37" t="n"/>
      <c r="H273" s="37" t="n"/>
      <c r="I273" s="37" t="n"/>
      <c r="J273" s="37" t="n"/>
      <c r="K273" s="38">
        <f>IF($C273="","",IFERROR(N(INDEX(tbl_Finance[Invoice Count],MATCH($X273,tbl_Finance[Row ID],0))),""))</f>
        <v/>
      </c>
      <c r="L273" s="11">
        <f>IF($C273="","",IFERROR(N(INDEX(tbl_Finance[Xero Invoiced Ex GST],MATCH($X273,tbl_Finance[Row ID],0))),""))</f>
        <v/>
      </c>
      <c r="M273" s="10">
        <f>IF($C273="","",IFERROR(INDEX(tbl_Finance[Compare],MATCH($X273,tbl_Finance[Row ID],0))&amp;"",""))</f>
        <v/>
      </c>
      <c r="N273" s="11">
        <f>IF($C273="","",MAX(0,N(O273)-N(L273)))</f>
        <v/>
      </c>
      <c r="O273" s="39" t="n"/>
      <c r="P273" s="40">
        <f>IF($C273="","",IF((IF(F273="",", Client","")&amp;IF(G273="",", Description","")&amp;IF(H273="",", Cost Centre","")&amp;IF(I273="",", Invoice Type","")&amp;IF(J273="",", Tax Code","")&amp;IF(O273="",", Expected Revenue","")&amp;IF(COUNTIF(tbl_Finance[Job Number],$C273&amp;"")&gt;1,", Job number used twice",""))="","Complete","Fix: "&amp;MID(IF(F273="",", Client","")&amp;IF(G273="",", Description","")&amp;IF(H273="",", Cost Centre","")&amp;IF(I273="",", Invoice Type","")&amp;IF(J273="",", Tax Code","")&amp;IF(O273="",", Expected Revenue","")&amp;IF(COUNTIF(tbl_Finance[Job Number],$C273&amp;"")&gt;1,", Job number used twice",""),3,300)))</f>
        <v/>
      </c>
      <c r="Q273" s="10">
        <f>IF($C273="","",IF(H273="","(no cost centre)",H273&amp;" - GL "&amp;IFERROR(INDEX(lst_CCtoGL,MATCH(H273,lst_CCforGL,0)),"?")))</f>
        <v/>
      </c>
      <c r="R273" s="37" t="n"/>
      <c r="S273" s="37" t="n"/>
      <c r="T273" s="10">
        <f>IF(S273="","",HYPERLINK(IF(LEFT(S273,4)="http",S273,set_QwilrBase&amp;S273),"Open quote"))</f>
        <v/>
      </c>
      <c r="U273" s="41" t="n"/>
      <c r="V273" s="37" t="n"/>
      <c r="W273" s="37" t="n"/>
      <c r="X273" s="10" t="inlineStr">
        <is>
          <t>ONS-0269</t>
        </is>
      </c>
    </row>
    <row r="274">
      <c r="A274" s="16">
        <f>IF($C274="","",IFERROR(IF(INDEX(tbl_Finance[Latest Invoice Date],MATCH($X274,tbl_Finance[Row ID],0))="","",INDEX(tbl_Finance[Latest Invoice Date],MATCH($X274,tbl_Finance[Row ID],0))),""))</f>
        <v/>
      </c>
      <c r="B274" s="10">
        <f>IF($C274="","",IFERROR(INDEX(tbl_Finance[Invoice Numbers],MATCH($X274,tbl_Finance[Row ID],0))&amp;"",""))</f>
        <v/>
      </c>
      <c r="C274" s="37" t="n"/>
      <c r="D274" s="10">
        <f>IF($C274="","",IF(COUNTIF(lst_Jobs,$C274&amp;"")&gt;0,"OK","CHECK"))</f>
        <v/>
      </c>
      <c r="E274" s="10">
        <f>IF($C274="","",IFERROR(INDEX(lst_JobName,MATCH($C274&amp;"",lst_Jobs,0)),""))</f>
        <v/>
      </c>
      <c r="F274" s="37" t="n"/>
      <c r="G274" s="37" t="n"/>
      <c r="H274" s="37" t="n"/>
      <c r="I274" s="37" t="n"/>
      <c r="J274" s="37" t="n"/>
      <c r="K274" s="38">
        <f>IF($C274="","",IFERROR(N(INDEX(tbl_Finance[Invoice Count],MATCH($X274,tbl_Finance[Row ID],0))),""))</f>
        <v/>
      </c>
      <c r="L274" s="11">
        <f>IF($C274="","",IFERROR(N(INDEX(tbl_Finance[Xero Invoiced Ex GST],MATCH($X274,tbl_Finance[Row ID],0))),""))</f>
        <v/>
      </c>
      <c r="M274" s="10">
        <f>IF($C274="","",IFERROR(INDEX(tbl_Finance[Compare],MATCH($X274,tbl_Finance[Row ID],0))&amp;"",""))</f>
        <v/>
      </c>
      <c r="N274" s="11">
        <f>IF($C274="","",MAX(0,N(O274)-N(L274)))</f>
        <v/>
      </c>
      <c r="O274" s="39" t="n"/>
      <c r="P274" s="40">
        <f>IF($C274="","",IF((IF(F274="",", Client","")&amp;IF(G274="",", Description","")&amp;IF(H274="",", Cost Centre","")&amp;IF(I274="",", Invoice Type","")&amp;IF(J274="",", Tax Code","")&amp;IF(O274="",", Expected Revenue","")&amp;IF(COUNTIF(tbl_Finance[Job Number],$C274&amp;"")&gt;1,", Job number used twice",""))="","Complete","Fix: "&amp;MID(IF(F274="",", Client","")&amp;IF(G274="",", Description","")&amp;IF(H274="",", Cost Centre","")&amp;IF(I274="",", Invoice Type","")&amp;IF(J274="",", Tax Code","")&amp;IF(O274="",", Expected Revenue","")&amp;IF(COUNTIF(tbl_Finance[Job Number],$C274&amp;"")&gt;1,", Job number used twice",""),3,300)))</f>
        <v/>
      </c>
      <c r="Q274" s="10">
        <f>IF($C274="","",IF(H274="","(no cost centre)",H274&amp;" - GL "&amp;IFERROR(INDEX(lst_CCtoGL,MATCH(H274,lst_CCforGL,0)),"?")))</f>
        <v/>
      </c>
      <c r="R274" s="37" t="n"/>
      <c r="S274" s="37" t="n"/>
      <c r="T274" s="10">
        <f>IF(S274="","",HYPERLINK(IF(LEFT(S274,4)="http",S274,set_QwilrBase&amp;S274),"Open quote"))</f>
        <v/>
      </c>
      <c r="U274" s="41" t="n"/>
      <c r="V274" s="37" t="n"/>
      <c r="W274" s="37" t="n"/>
      <c r="X274" s="10" t="inlineStr">
        <is>
          <t>ONS-0270</t>
        </is>
      </c>
    </row>
    <row r="275">
      <c r="A275" s="16">
        <f>IF($C275="","",IFERROR(IF(INDEX(tbl_Finance[Latest Invoice Date],MATCH($X275,tbl_Finance[Row ID],0))="","",INDEX(tbl_Finance[Latest Invoice Date],MATCH($X275,tbl_Finance[Row ID],0))),""))</f>
        <v/>
      </c>
      <c r="B275" s="10">
        <f>IF($C275="","",IFERROR(INDEX(tbl_Finance[Invoice Numbers],MATCH($X275,tbl_Finance[Row ID],0))&amp;"",""))</f>
        <v/>
      </c>
      <c r="C275" s="37" t="n"/>
      <c r="D275" s="10">
        <f>IF($C275="","",IF(COUNTIF(lst_Jobs,$C275&amp;"")&gt;0,"OK","CHECK"))</f>
        <v/>
      </c>
      <c r="E275" s="10">
        <f>IF($C275="","",IFERROR(INDEX(lst_JobName,MATCH($C275&amp;"",lst_Jobs,0)),""))</f>
        <v/>
      </c>
      <c r="F275" s="37" t="n"/>
      <c r="G275" s="37" t="n"/>
      <c r="H275" s="37" t="n"/>
      <c r="I275" s="37" t="n"/>
      <c r="J275" s="37" t="n"/>
      <c r="K275" s="38">
        <f>IF($C275="","",IFERROR(N(INDEX(tbl_Finance[Invoice Count],MATCH($X275,tbl_Finance[Row ID],0))),""))</f>
        <v/>
      </c>
      <c r="L275" s="11">
        <f>IF($C275="","",IFERROR(N(INDEX(tbl_Finance[Xero Invoiced Ex GST],MATCH($X275,tbl_Finance[Row ID],0))),""))</f>
        <v/>
      </c>
      <c r="M275" s="10">
        <f>IF($C275="","",IFERROR(INDEX(tbl_Finance[Compare],MATCH($X275,tbl_Finance[Row ID],0))&amp;"",""))</f>
        <v/>
      </c>
      <c r="N275" s="11">
        <f>IF($C275="","",MAX(0,N(O275)-N(L275)))</f>
        <v/>
      </c>
      <c r="O275" s="39" t="n"/>
      <c r="P275" s="40">
        <f>IF($C275="","",IF((IF(F275="",", Client","")&amp;IF(G275="",", Description","")&amp;IF(H275="",", Cost Centre","")&amp;IF(I275="",", Invoice Type","")&amp;IF(J275="",", Tax Code","")&amp;IF(O275="",", Expected Revenue","")&amp;IF(COUNTIF(tbl_Finance[Job Number],$C275&amp;"")&gt;1,", Job number used twice",""))="","Complete","Fix: "&amp;MID(IF(F275="",", Client","")&amp;IF(G275="",", Description","")&amp;IF(H275="",", Cost Centre","")&amp;IF(I275="",", Invoice Type","")&amp;IF(J275="",", Tax Code","")&amp;IF(O275="",", Expected Revenue","")&amp;IF(COUNTIF(tbl_Finance[Job Number],$C275&amp;"")&gt;1,", Job number used twice",""),3,300)))</f>
        <v/>
      </c>
      <c r="Q275" s="10">
        <f>IF($C275="","",IF(H275="","(no cost centre)",H275&amp;" - GL "&amp;IFERROR(INDEX(lst_CCtoGL,MATCH(H275,lst_CCforGL,0)),"?")))</f>
        <v/>
      </c>
      <c r="R275" s="37" t="n"/>
      <c r="S275" s="37" t="n"/>
      <c r="T275" s="10">
        <f>IF(S275="","",HYPERLINK(IF(LEFT(S275,4)="http",S275,set_QwilrBase&amp;S275),"Open quote"))</f>
        <v/>
      </c>
      <c r="U275" s="41" t="n"/>
      <c r="V275" s="37" t="n"/>
      <c r="W275" s="37" t="n"/>
      <c r="X275" s="10" t="inlineStr">
        <is>
          <t>ONS-0271</t>
        </is>
      </c>
    </row>
    <row r="276">
      <c r="A276" s="16">
        <f>IF($C276="","",IFERROR(IF(INDEX(tbl_Finance[Latest Invoice Date],MATCH($X276,tbl_Finance[Row ID],0))="","",INDEX(tbl_Finance[Latest Invoice Date],MATCH($X276,tbl_Finance[Row ID],0))),""))</f>
        <v/>
      </c>
      <c r="B276" s="10">
        <f>IF($C276="","",IFERROR(INDEX(tbl_Finance[Invoice Numbers],MATCH($X276,tbl_Finance[Row ID],0))&amp;"",""))</f>
        <v/>
      </c>
      <c r="C276" s="37" t="n"/>
      <c r="D276" s="10">
        <f>IF($C276="","",IF(COUNTIF(lst_Jobs,$C276&amp;"")&gt;0,"OK","CHECK"))</f>
        <v/>
      </c>
      <c r="E276" s="10">
        <f>IF($C276="","",IFERROR(INDEX(lst_JobName,MATCH($C276&amp;"",lst_Jobs,0)),""))</f>
        <v/>
      </c>
      <c r="F276" s="37" t="n"/>
      <c r="G276" s="37" t="n"/>
      <c r="H276" s="37" t="n"/>
      <c r="I276" s="37" t="n"/>
      <c r="J276" s="37" t="n"/>
      <c r="K276" s="38">
        <f>IF($C276="","",IFERROR(N(INDEX(tbl_Finance[Invoice Count],MATCH($X276,tbl_Finance[Row ID],0))),""))</f>
        <v/>
      </c>
      <c r="L276" s="11">
        <f>IF($C276="","",IFERROR(N(INDEX(tbl_Finance[Xero Invoiced Ex GST],MATCH($X276,tbl_Finance[Row ID],0))),""))</f>
        <v/>
      </c>
      <c r="M276" s="10">
        <f>IF($C276="","",IFERROR(INDEX(tbl_Finance[Compare],MATCH($X276,tbl_Finance[Row ID],0))&amp;"",""))</f>
        <v/>
      </c>
      <c r="N276" s="11">
        <f>IF($C276="","",MAX(0,N(O276)-N(L276)))</f>
        <v/>
      </c>
      <c r="O276" s="39" t="n"/>
      <c r="P276" s="40">
        <f>IF($C276="","",IF((IF(F276="",", Client","")&amp;IF(G276="",", Description","")&amp;IF(H276="",", Cost Centre","")&amp;IF(I276="",", Invoice Type","")&amp;IF(J276="",", Tax Code","")&amp;IF(O276="",", Expected Revenue","")&amp;IF(COUNTIF(tbl_Finance[Job Number],$C276&amp;"")&gt;1,", Job number used twice",""))="","Complete","Fix: "&amp;MID(IF(F276="",", Client","")&amp;IF(G276="",", Description","")&amp;IF(H276="",", Cost Centre","")&amp;IF(I276="",", Invoice Type","")&amp;IF(J276="",", Tax Code","")&amp;IF(O276="",", Expected Revenue","")&amp;IF(COUNTIF(tbl_Finance[Job Number],$C276&amp;"")&gt;1,", Job number used twice",""),3,300)))</f>
        <v/>
      </c>
      <c r="Q276" s="10">
        <f>IF($C276="","",IF(H276="","(no cost centre)",H276&amp;" - GL "&amp;IFERROR(INDEX(lst_CCtoGL,MATCH(H276,lst_CCforGL,0)),"?")))</f>
        <v/>
      </c>
      <c r="R276" s="37" t="n"/>
      <c r="S276" s="37" t="n"/>
      <c r="T276" s="10">
        <f>IF(S276="","",HYPERLINK(IF(LEFT(S276,4)="http",S276,set_QwilrBase&amp;S276),"Open quote"))</f>
        <v/>
      </c>
      <c r="U276" s="41" t="n"/>
      <c r="V276" s="37" t="n"/>
      <c r="W276" s="37" t="n"/>
      <c r="X276" s="10" t="inlineStr">
        <is>
          <t>ONS-0272</t>
        </is>
      </c>
    </row>
    <row r="277">
      <c r="A277" s="16">
        <f>IF($C277="","",IFERROR(IF(INDEX(tbl_Finance[Latest Invoice Date],MATCH($X277,tbl_Finance[Row ID],0))="","",INDEX(tbl_Finance[Latest Invoice Date],MATCH($X277,tbl_Finance[Row ID],0))),""))</f>
        <v/>
      </c>
      <c r="B277" s="10">
        <f>IF($C277="","",IFERROR(INDEX(tbl_Finance[Invoice Numbers],MATCH($X277,tbl_Finance[Row ID],0))&amp;"",""))</f>
        <v/>
      </c>
      <c r="C277" s="37" t="n"/>
      <c r="D277" s="10">
        <f>IF($C277="","",IF(COUNTIF(lst_Jobs,$C277&amp;"")&gt;0,"OK","CHECK"))</f>
        <v/>
      </c>
      <c r="E277" s="10">
        <f>IF($C277="","",IFERROR(INDEX(lst_JobName,MATCH($C277&amp;"",lst_Jobs,0)),""))</f>
        <v/>
      </c>
      <c r="F277" s="37" t="n"/>
      <c r="G277" s="37" t="n"/>
      <c r="H277" s="37" t="n"/>
      <c r="I277" s="37" t="n"/>
      <c r="J277" s="37" t="n"/>
      <c r="K277" s="38">
        <f>IF($C277="","",IFERROR(N(INDEX(tbl_Finance[Invoice Count],MATCH($X277,tbl_Finance[Row ID],0))),""))</f>
        <v/>
      </c>
      <c r="L277" s="11">
        <f>IF($C277="","",IFERROR(N(INDEX(tbl_Finance[Xero Invoiced Ex GST],MATCH($X277,tbl_Finance[Row ID],0))),""))</f>
        <v/>
      </c>
      <c r="M277" s="10">
        <f>IF($C277="","",IFERROR(INDEX(tbl_Finance[Compare],MATCH($X277,tbl_Finance[Row ID],0))&amp;"",""))</f>
        <v/>
      </c>
      <c r="N277" s="11">
        <f>IF($C277="","",MAX(0,N(O277)-N(L277)))</f>
        <v/>
      </c>
      <c r="O277" s="39" t="n"/>
      <c r="P277" s="40">
        <f>IF($C277="","",IF((IF(F277="",", Client","")&amp;IF(G277="",", Description","")&amp;IF(H277="",", Cost Centre","")&amp;IF(I277="",", Invoice Type","")&amp;IF(J277="",", Tax Code","")&amp;IF(O277="",", Expected Revenue","")&amp;IF(COUNTIF(tbl_Finance[Job Number],$C277&amp;"")&gt;1,", Job number used twice",""))="","Complete","Fix: "&amp;MID(IF(F277="",", Client","")&amp;IF(G277="",", Description","")&amp;IF(H277="",", Cost Centre","")&amp;IF(I277="",", Invoice Type","")&amp;IF(J277="",", Tax Code","")&amp;IF(O277="",", Expected Revenue","")&amp;IF(COUNTIF(tbl_Finance[Job Number],$C277&amp;"")&gt;1,", Job number used twice",""),3,300)))</f>
        <v/>
      </c>
      <c r="Q277" s="10">
        <f>IF($C277="","",IF(H277="","(no cost centre)",H277&amp;" - GL "&amp;IFERROR(INDEX(lst_CCtoGL,MATCH(H277,lst_CCforGL,0)),"?")))</f>
        <v/>
      </c>
      <c r="R277" s="37" t="n"/>
      <c r="S277" s="37" t="n"/>
      <c r="T277" s="10">
        <f>IF(S277="","",HYPERLINK(IF(LEFT(S277,4)="http",S277,set_QwilrBase&amp;S277),"Open quote"))</f>
        <v/>
      </c>
      <c r="U277" s="41" t="n"/>
      <c r="V277" s="37" t="n"/>
      <c r="W277" s="37" t="n"/>
      <c r="X277" s="10" t="inlineStr">
        <is>
          <t>ONS-0273</t>
        </is>
      </c>
    </row>
    <row r="278">
      <c r="A278" s="16">
        <f>IF($C278="","",IFERROR(IF(INDEX(tbl_Finance[Latest Invoice Date],MATCH($X278,tbl_Finance[Row ID],0))="","",INDEX(tbl_Finance[Latest Invoice Date],MATCH($X278,tbl_Finance[Row ID],0))),""))</f>
        <v/>
      </c>
      <c r="B278" s="10">
        <f>IF($C278="","",IFERROR(INDEX(tbl_Finance[Invoice Numbers],MATCH($X278,tbl_Finance[Row ID],0))&amp;"",""))</f>
        <v/>
      </c>
      <c r="C278" s="37" t="n"/>
      <c r="D278" s="10">
        <f>IF($C278="","",IF(COUNTIF(lst_Jobs,$C278&amp;"")&gt;0,"OK","CHECK"))</f>
        <v/>
      </c>
      <c r="E278" s="10">
        <f>IF($C278="","",IFERROR(INDEX(lst_JobName,MATCH($C278&amp;"",lst_Jobs,0)),""))</f>
        <v/>
      </c>
      <c r="F278" s="37" t="n"/>
      <c r="G278" s="37" t="n"/>
      <c r="H278" s="37" t="n"/>
      <c r="I278" s="37" t="n"/>
      <c r="J278" s="37" t="n"/>
      <c r="K278" s="38">
        <f>IF($C278="","",IFERROR(N(INDEX(tbl_Finance[Invoice Count],MATCH($X278,tbl_Finance[Row ID],0))),""))</f>
        <v/>
      </c>
      <c r="L278" s="11">
        <f>IF($C278="","",IFERROR(N(INDEX(tbl_Finance[Xero Invoiced Ex GST],MATCH($X278,tbl_Finance[Row ID],0))),""))</f>
        <v/>
      </c>
      <c r="M278" s="10">
        <f>IF($C278="","",IFERROR(INDEX(tbl_Finance[Compare],MATCH($X278,tbl_Finance[Row ID],0))&amp;"",""))</f>
        <v/>
      </c>
      <c r="N278" s="11">
        <f>IF($C278="","",MAX(0,N(O278)-N(L278)))</f>
        <v/>
      </c>
      <c r="O278" s="39" t="n"/>
      <c r="P278" s="40">
        <f>IF($C278="","",IF((IF(F278="",", Client","")&amp;IF(G278="",", Description","")&amp;IF(H278="",", Cost Centre","")&amp;IF(I278="",", Invoice Type","")&amp;IF(J278="",", Tax Code","")&amp;IF(O278="",", Expected Revenue","")&amp;IF(COUNTIF(tbl_Finance[Job Number],$C278&amp;"")&gt;1,", Job number used twice",""))="","Complete","Fix: "&amp;MID(IF(F278="",", Client","")&amp;IF(G278="",", Description","")&amp;IF(H278="",", Cost Centre","")&amp;IF(I278="",", Invoice Type","")&amp;IF(J278="",", Tax Code","")&amp;IF(O278="",", Expected Revenue","")&amp;IF(COUNTIF(tbl_Finance[Job Number],$C278&amp;"")&gt;1,", Job number used twice",""),3,300)))</f>
        <v/>
      </c>
      <c r="Q278" s="10">
        <f>IF($C278="","",IF(H278="","(no cost centre)",H278&amp;" - GL "&amp;IFERROR(INDEX(lst_CCtoGL,MATCH(H278,lst_CCforGL,0)),"?")))</f>
        <v/>
      </c>
      <c r="R278" s="37" t="n"/>
      <c r="S278" s="37" t="n"/>
      <c r="T278" s="10">
        <f>IF(S278="","",HYPERLINK(IF(LEFT(S278,4)="http",S278,set_QwilrBase&amp;S278),"Open quote"))</f>
        <v/>
      </c>
      <c r="U278" s="41" t="n"/>
      <c r="V278" s="37" t="n"/>
      <c r="W278" s="37" t="n"/>
      <c r="X278" s="10" t="inlineStr">
        <is>
          <t>ONS-0274</t>
        </is>
      </c>
    </row>
    <row r="279">
      <c r="A279" s="16">
        <f>IF($C279="","",IFERROR(IF(INDEX(tbl_Finance[Latest Invoice Date],MATCH($X279,tbl_Finance[Row ID],0))="","",INDEX(tbl_Finance[Latest Invoice Date],MATCH($X279,tbl_Finance[Row ID],0))),""))</f>
        <v/>
      </c>
      <c r="B279" s="10">
        <f>IF($C279="","",IFERROR(INDEX(tbl_Finance[Invoice Numbers],MATCH($X279,tbl_Finance[Row ID],0))&amp;"",""))</f>
        <v/>
      </c>
      <c r="C279" s="37" t="n"/>
      <c r="D279" s="10">
        <f>IF($C279="","",IF(COUNTIF(lst_Jobs,$C279&amp;"")&gt;0,"OK","CHECK"))</f>
        <v/>
      </c>
      <c r="E279" s="10">
        <f>IF($C279="","",IFERROR(INDEX(lst_JobName,MATCH($C279&amp;"",lst_Jobs,0)),""))</f>
        <v/>
      </c>
      <c r="F279" s="37" t="n"/>
      <c r="G279" s="37" t="n"/>
      <c r="H279" s="37" t="n"/>
      <c r="I279" s="37" t="n"/>
      <c r="J279" s="37" t="n"/>
      <c r="K279" s="38">
        <f>IF($C279="","",IFERROR(N(INDEX(tbl_Finance[Invoice Count],MATCH($X279,tbl_Finance[Row ID],0))),""))</f>
        <v/>
      </c>
      <c r="L279" s="11">
        <f>IF($C279="","",IFERROR(N(INDEX(tbl_Finance[Xero Invoiced Ex GST],MATCH($X279,tbl_Finance[Row ID],0))),""))</f>
        <v/>
      </c>
      <c r="M279" s="10">
        <f>IF($C279="","",IFERROR(INDEX(tbl_Finance[Compare],MATCH($X279,tbl_Finance[Row ID],0))&amp;"",""))</f>
        <v/>
      </c>
      <c r="N279" s="11">
        <f>IF($C279="","",MAX(0,N(O279)-N(L279)))</f>
        <v/>
      </c>
      <c r="O279" s="39" t="n"/>
      <c r="P279" s="40">
        <f>IF($C279="","",IF((IF(F279="",", Client","")&amp;IF(G279="",", Description","")&amp;IF(H279="",", Cost Centre","")&amp;IF(I279="",", Invoice Type","")&amp;IF(J279="",", Tax Code","")&amp;IF(O279="",", Expected Revenue","")&amp;IF(COUNTIF(tbl_Finance[Job Number],$C279&amp;"")&gt;1,", Job number used twice",""))="","Complete","Fix: "&amp;MID(IF(F279="",", Client","")&amp;IF(G279="",", Description","")&amp;IF(H279="",", Cost Centre","")&amp;IF(I279="",", Invoice Type","")&amp;IF(J279="",", Tax Code","")&amp;IF(O279="",", Expected Revenue","")&amp;IF(COUNTIF(tbl_Finance[Job Number],$C279&amp;"")&gt;1,", Job number used twice",""),3,300)))</f>
        <v/>
      </c>
      <c r="Q279" s="10">
        <f>IF($C279="","",IF(H279="","(no cost centre)",H279&amp;" - GL "&amp;IFERROR(INDEX(lst_CCtoGL,MATCH(H279,lst_CCforGL,0)),"?")))</f>
        <v/>
      </c>
      <c r="R279" s="37" t="n"/>
      <c r="S279" s="37" t="n"/>
      <c r="T279" s="10">
        <f>IF(S279="","",HYPERLINK(IF(LEFT(S279,4)="http",S279,set_QwilrBase&amp;S279),"Open quote"))</f>
        <v/>
      </c>
      <c r="U279" s="41" t="n"/>
      <c r="V279" s="37" t="n"/>
      <c r="W279" s="37" t="n"/>
      <c r="X279" s="10" t="inlineStr">
        <is>
          <t>ONS-0275</t>
        </is>
      </c>
    </row>
    <row r="280">
      <c r="A280" s="16">
        <f>IF($C280="","",IFERROR(IF(INDEX(tbl_Finance[Latest Invoice Date],MATCH($X280,tbl_Finance[Row ID],0))="","",INDEX(tbl_Finance[Latest Invoice Date],MATCH($X280,tbl_Finance[Row ID],0))),""))</f>
        <v/>
      </c>
      <c r="B280" s="10">
        <f>IF($C280="","",IFERROR(INDEX(tbl_Finance[Invoice Numbers],MATCH($X280,tbl_Finance[Row ID],0))&amp;"",""))</f>
        <v/>
      </c>
      <c r="C280" s="37" t="n"/>
      <c r="D280" s="10">
        <f>IF($C280="","",IF(COUNTIF(lst_Jobs,$C280&amp;"")&gt;0,"OK","CHECK"))</f>
        <v/>
      </c>
      <c r="E280" s="10">
        <f>IF($C280="","",IFERROR(INDEX(lst_JobName,MATCH($C280&amp;"",lst_Jobs,0)),""))</f>
        <v/>
      </c>
      <c r="F280" s="37" t="n"/>
      <c r="G280" s="37" t="n"/>
      <c r="H280" s="37" t="n"/>
      <c r="I280" s="37" t="n"/>
      <c r="J280" s="37" t="n"/>
      <c r="K280" s="38">
        <f>IF($C280="","",IFERROR(N(INDEX(tbl_Finance[Invoice Count],MATCH($X280,tbl_Finance[Row ID],0))),""))</f>
        <v/>
      </c>
      <c r="L280" s="11">
        <f>IF($C280="","",IFERROR(N(INDEX(tbl_Finance[Xero Invoiced Ex GST],MATCH($X280,tbl_Finance[Row ID],0))),""))</f>
        <v/>
      </c>
      <c r="M280" s="10">
        <f>IF($C280="","",IFERROR(INDEX(tbl_Finance[Compare],MATCH($X280,tbl_Finance[Row ID],0))&amp;"",""))</f>
        <v/>
      </c>
      <c r="N280" s="11">
        <f>IF($C280="","",MAX(0,N(O280)-N(L280)))</f>
        <v/>
      </c>
      <c r="O280" s="39" t="n"/>
      <c r="P280" s="40">
        <f>IF($C280="","",IF((IF(F280="",", Client","")&amp;IF(G280="",", Description","")&amp;IF(H280="",", Cost Centre","")&amp;IF(I280="",", Invoice Type","")&amp;IF(J280="",", Tax Code","")&amp;IF(O280="",", Expected Revenue","")&amp;IF(COUNTIF(tbl_Finance[Job Number],$C280&amp;"")&gt;1,", Job number used twice",""))="","Complete","Fix: "&amp;MID(IF(F280="",", Client","")&amp;IF(G280="",", Description","")&amp;IF(H280="",", Cost Centre","")&amp;IF(I280="",", Invoice Type","")&amp;IF(J280="",", Tax Code","")&amp;IF(O280="",", Expected Revenue","")&amp;IF(COUNTIF(tbl_Finance[Job Number],$C280&amp;"")&gt;1,", Job number used twice",""),3,300)))</f>
        <v/>
      </c>
      <c r="Q280" s="10">
        <f>IF($C280="","",IF(H280="","(no cost centre)",H280&amp;" - GL "&amp;IFERROR(INDEX(lst_CCtoGL,MATCH(H280,lst_CCforGL,0)),"?")))</f>
        <v/>
      </c>
      <c r="R280" s="37" t="n"/>
      <c r="S280" s="37" t="n"/>
      <c r="T280" s="10">
        <f>IF(S280="","",HYPERLINK(IF(LEFT(S280,4)="http",S280,set_QwilrBase&amp;S280),"Open quote"))</f>
        <v/>
      </c>
      <c r="U280" s="41" t="n"/>
      <c r="V280" s="37" t="n"/>
      <c r="W280" s="37" t="n"/>
      <c r="X280" s="10" t="inlineStr">
        <is>
          <t>ONS-0276</t>
        </is>
      </c>
    </row>
    <row r="281">
      <c r="A281" s="16">
        <f>IF($C281="","",IFERROR(IF(INDEX(tbl_Finance[Latest Invoice Date],MATCH($X281,tbl_Finance[Row ID],0))="","",INDEX(tbl_Finance[Latest Invoice Date],MATCH($X281,tbl_Finance[Row ID],0))),""))</f>
        <v/>
      </c>
      <c r="B281" s="10">
        <f>IF($C281="","",IFERROR(INDEX(tbl_Finance[Invoice Numbers],MATCH($X281,tbl_Finance[Row ID],0))&amp;"",""))</f>
        <v/>
      </c>
      <c r="C281" s="37" t="n"/>
      <c r="D281" s="10">
        <f>IF($C281="","",IF(COUNTIF(lst_Jobs,$C281&amp;"")&gt;0,"OK","CHECK"))</f>
        <v/>
      </c>
      <c r="E281" s="10">
        <f>IF($C281="","",IFERROR(INDEX(lst_JobName,MATCH($C281&amp;"",lst_Jobs,0)),""))</f>
        <v/>
      </c>
      <c r="F281" s="37" t="n"/>
      <c r="G281" s="37" t="n"/>
      <c r="H281" s="37" t="n"/>
      <c r="I281" s="37" t="n"/>
      <c r="J281" s="37" t="n"/>
      <c r="K281" s="38">
        <f>IF($C281="","",IFERROR(N(INDEX(tbl_Finance[Invoice Count],MATCH($X281,tbl_Finance[Row ID],0))),""))</f>
        <v/>
      </c>
      <c r="L281" s="11">
        <f>IF($C281="","",IFERROR(N(INDEX(tbl_Finance[Xero Invoiced Ex GST],MATCH($X281,tbl_Finance[Row ID],0))),""))</f>
        <v/>
      </c>
      <c r="M281" s="10">
        <f>IF($C281="","",IFERROR(INDEX(tbl_Finance[Compare],MATCH($X281,tbl_Finance[Row ID],0))&amp;"",""))</f>
        <v/>
      </c>
      <c r="N281" s="11">
        <f>IF($C281="","",MAX(0,N(O281)-N(L281)))</f>
        <v/>
      </c>
      <c r="O281" s="39" t="n"/>
      <c r="P281" s="40">
        <f>IF($C281="","",IF((IF(F281="",", Client","")&amp;IF(G281="",", Description","")&amp;IF(H281="",", Cost Centre","")&amp;IF(I281="",", Invoice Type","")&amp;IF(J281="",", Tax Code","")&amp;IF(O281="",", Expected Revenue","")&amp;IF(COUNTIF(tbl_Finance[Job Number],$C281&amp;"")&gt;1,", Job number used twice",""))="","Complete","Fix: "&amp;MID(IF(F281="",", Client","")&amp;IF(G281="",", Description","")&amp;IF(H281="",", Cost Centre","")&amp;IF(I281="",", Invoice Type","")&amp;IF(J281="",", Tax Code","")&amp;IF(O281="",", Expected Revenue","")&amp;IF(COUNTIF(tbl_Finance[Job Number],$C281&amp;"")&gt;1,", Job number used twice",""),3,300)))</f>
        <v/>
      </c>
      <c r="Q281" s="10">
        <f>IF($C281="","",IF(H281="","(no cost centre)",H281&amp;" - GL "&amp;IFERROR(INDEX(lst_CCtoGL,MATCH(H281,lst_CCforGL,0)),"?")))</f>
        <v/>
      </c>
      <c r="R281" s="37" t="n"/>
      <c r="S281" s="37" t="n"/>
      <c r="T281" s="10">
        <f>IF(S281="","",HYPERLINK(IF(LEFT(S281,4)="http",S281,set_QwilrBase&amp;S281),"Open quote"))</f>
        <v/>
      </c>
      <c r="U281" s="41" t="n"/>
      <c r="V281" s="37" t="n"/>
      <c r="W281" s="37" t="n"/>
      <c r="X281" s="10" t="inlineStr">
        <is>
          <t>ONS-0277</t>
        </is>
      </c>
    </row>
    <row r="282">
      <c r="A282" s="16">
        <f>IF($C282="","",IFERROR(IF(INDEX(tbl_Finance[Latest Invoice Date],MATCH($X282,tbl_Finance[Row ID],0))="","",INDEX(tbl_Finance[Latest Invoice Date],MATCH($X282,tbl_Finance[Row ID],0))),""))</f>
        <v/>
      </c>
      <c r="B282" s="10">
        <f>IF($C282="","",IFERROR(INDEX(tbl_Finance[Invoice Numbers],MATCH($X282,tbl_Finance[Row ID],0))&amp;"",""))</f>
        <v/>
      </c>
      <c r="C282" s="37" t="n"/>
      <c r="D282" s="10">
        <f>IF($C282="","",IF(COUNTIF(lst_Jobs,$C282&amp;"")&gt;0,"OK","CHECK"))</f>
        <v/>
      </c>
      <c r="E282" s="10">
        <f>IF($C282="","",IFERROR(INDEX(lst_JobName,MATCH($C282&amp;"",lst_Jobs,0)),""))</f>
        <v/>
      </c>
      <c r="F282" s="37" t="n"/>
      <c r="G282" s="37" t="n"/>
      <c r="H282" s="37" t="n"/>
      <c r="I282" s="37" t="n"/>
      <c r="J282" s="37" t="n"/>
      <c r="K282" s="38">
        <f>IF($C282="","",IFERROR(N(INDEX(tbl_Finance[Invoice Count],MATCH($X282,tbl_Finance[Row ID],0))),""))</f>
        <v/>
      </c>
      <c r="L282" s="11">
        <f>IF($C282="","",IFERROR(N(INDEX(tbl_Finance[Xero Invoiced Ex GST],MATCH($X282,tbl_Finance[Row ID],0))),""))</f>
        <v/>
      </c>
      <c r="M282" s="10">
        <f>IF($C282="","",IFERROR(INDEX(tbl_Finance[Compare],MATCH($X282,tbl_Finance[Row ID],0))&amp;"",""))</f>
        <v/>
      </c>
      <c r="N282" s="11">
        <f>IF($C282="","",MAX(0,N(O282)-N(L282)))</f>
        <v/>
      </c>
      <c r="O282" s="39" t="n"/>
      <c r="P282" s="40">
        <f>IF($C282="","",IF((IF(F282="",", Client","")&amp;IF(G282="",", Description","")&amp;IF(H282="",", Cost Centre","")&amp;IF(I282="",", Invoice Type","")&amp;IF(J282="",", Tax Code","")&amp;IF(O282="",", Expected Revenue","")&amp;IF(COUNTIF(tbl_Finance[Job Number],$C282&amp;"")&gt;1,", Job number used twice",""))="","Complete","Fix: "&amp;MID(IF(F282="",", Client","")&amp;IF(G282="",", Description","")&amp;IF(H282="",", Cost Centre","")&amp;IF(I282="",", Invoice Type","")&amp;IF(J282="",", Tax Code","")&amp;IF(O282="",", Expected Revenue","")&amp;IF(COUNTIF(tbl_Finance[Job Number],$C282&amp;"")&gt;1,", Job number used twice",""),3,300)))</f>
        <v/>
      </c>
      <c r="Q282" s="10">
        <f>IF($C282="","",IF(H282="","(no cost centre)",H282&amp;" - GL "&amp;IFERROR(INDEX(lst_CCtoGL,MATCH(H282,lst_CCforGL,0)),"?")))</f>
        <v/>
      </c>
      <c r="R282" s="37" t="n"/>
      <c r="S282" s="37" t="n"/>
      <c r="T282" s="10">
        <f>IF(S282="","",HYPERLINK(IF(LEFT(S282,4)="http",S282,set_QwilrBase&amp;S282),"Open quote"))</f>
        <v/>
      </c>
      <c r="U282" s="41" t="n"/>
      <c r="V282" s="37" t="n"/>
      <c r="W282" s="37" t="n"/>
      <c r="X282" s="10" t="inlineStr">
        <is>
          <t>ONS-0278</t>
        </is>
      </c>
    </row>
    <row r="283">
      <c r="A283" s="16">
        <f>IF($C283="","",IFERROR(IF(INDEX(tbl_Finance[Latest Invoice Date],MATCH($X283,tbl_Finance[Row ID],0))="","",INDEX(tbl_Finance[Latest Invoice Date],MATCH($X283,tbl_Finance[Row ID],0))),""))</f>
        <v/>
      </c>
      <c r="B283" s="10">
        <f>IF($C283="","",IFERROR(INDEX(tbl_Finance[Invoice Numbers],MATCH($X283,tbl_Finance[Row ID],0))&amp;"",""))</f>
        <v/>
      </c>
      <c r="C283" s="37" t="n"/>
      <c r="D283" s="10">
        <f>IF($C283="","",IF(COUNTIF(lst_Jobs,$C283&amp;"")&gt;0,"OK","CHECK"))</f>
        <v/>
      </c>
      <c r="E283" s="10">
        <f>IF($C283="","",IFERROR(INDEX(lst_JobName,MATCH($C283&amp;"",lst_Jobs,0)),""))</f>
        <v/>
      </c>
      <c r="F283" s="37" t="n"/>
      <c r="G283" s="37" t="n"/>
      <c r="H283" s="37" t="n"/>
      <c r="I283" s="37" t="n"/>
      <c r="J283" s="37" t="n"/>
      <c r="K283" s="38">
        <f>IF($C283="","",IFERROR(N(INDEX(tbl_Finance[Invoice Count],MATCH($X283,tbl_Finance[Row ID],0))),""))</f>
        <v/>
      </c>
      <c r="L283" s="11">
        <f>IF($C283="","",IFERROR(N(INDEX(tbl_Finance[Xero Invoiced Ex GST],MATCH($X283,tbl_Finance[Row ID],0))),""))</f>
        <v/>
      </c>
      <c r="M283" s="10">
        <f>IF($C283="","",IFERROR(INDEX(tbl_Finance[Compare],MATCH($X283,tbl_Finance[Row ID],0))&amp;"",""))</f>
        <v/>
      </c>
      <c r="N283" s="11">
        <f>IF($C283="","",MAX(0,N(O283)-N(L283)))</f>
        <v/>
      </c>
      <c r="O283" s="39" t="n"/>
      <c r="P283" s="40">
        <f>IF($C283="","",IF((IF(F283="",", Client","")&amp;IF(G283="",", Description","")&amp;IF(H283="",", Cost Centre","")&amp;IF(I283="",", Invoice Type","")&amp;IF(J283="",", Tax Code","")&amp;IF(O283="",", Expected Revenue","")&amp;IF(COUNTIF(tbl_Finance[Job Number],$C283&amp;"")&gt;1,", Job number used twice",""))="","Complete","Fix: "&amp;MID(IF(F283="",", Client","")&amp;IF(G283="",", Description","")&amp;IF(H283="",", Cost Centre","")&amp;IF(I283="",", Invoice Type","")&amp;IF(J283="",", Tax Code","")&amp;IF(O283="",", Expected Revenue","")&amp;IF(COUNTIF(tbl_Finance[Job Number],$C283&amp;"")&gt;1,", Job number used twice",""),3,300)))</f>
        <v/>
      </c>
      <c r="Q283" s="10">
        <f>IF($C283="","",IF(H283="","(no cost centre)",H283&amp;" - GL "&amp;IFERROR(INDEX(lst_CCtoGL,MATCH(H283,lst_CCforGL,0)),"?")))</f>
        <v/>
      </c>
      <c r="R283" s="37" t="n"/>
      <c r="S283" s="37" t="n"/>
      <c r="T283" s="10">
        <f>IF(S283="","",HYPERLINK(IF(LEFT(S283,4)="http",S283,set_QwilrBase&amp;S283),"Open quote"))</f>
        <v/>
      </c>
      <c r="U283" s="41" t="n"/>
      <c r="V283" s="37" t="n"/>
      <c r="W283" s="37" t="n"/>
      <c r="X283" s="10" t="inlineStr">
        <is>
          <t>ONS-0279</t>
        </is>
      </c>
    </row>
    <row r="284">
      <c r="A284" s="16">
        <f>IF($C284="","",IFERROR(IF(INDEX(tbl_Finance[Latest Invoice Date],MATCH($X284,tbl_Finance[Row ID],0))="","",INDEX(tbl_Finance[Latest Invoice Date],MATCH($X284,tbl_Finance[Row ID],0))),""))</f>
        <v/>
      </c>
      <c r="B284" s="10">
        <f>IF($C284="","",IFERROR(INDEX(tbl_Finance[Invoice Numbers],MATCH($X284,tbl_Finance[Row ID],0))&amp;"",""))</f>
        <v/>
      </c>
      <c r="C284" s="37" t="n"/>
      <c r="D284" s="10">
        <f>IF($C284="","",IF(COUNTIF(lst_Jobs,$C284&amp;"")&gt;0,"OK","CHECK"))</f>
        <v/>
      </c>
      <c r="E284" s="10">
        <f>IF($C284="","",IFERROR(INDEX(lst_JobName,MATCH($C284&amp;"",lst_Jobs,0)),""))</f>
        <v/>
      </c>
      <c r="F284" s="37" t="n"/>
      <c r="G284" s="37" t="n"/>
      <c r="H284" s="37" t="n"/>
      <c r="I284" s="37" t="n"/>
      <c r="J284" s="37" t="n"/>
      <c r="K284" s="38">
        <f>IF($C284="","",IFERROR(N(INDEX(tbl_Finance[Invoice Count],MATCH($X284,tbl_Finance[Row ID],0))),""))</f>
        <v/>
      </c>
      <c r="L284" s="11">
        <f>IF($C284="","",IFERROR(N(INDEX(tbl_Finance[Xero Invoiced Ex GST],MATCH($X284,tbl_Finance[Row ID],0))),""))</f>
        <v/>
      </c>
      <c r="M284" s="10">
        <f>IF($C284="","",IFERROR(INDEX(tbl_Finance[Compare],MATCH($X284,tbl_Finance[Row ID],0))&amp;"",""))</f>
        <v/>
      </c>
      <c r="N284" s="11">
        <f>IF($C284="","",MAX(0,N(O284)-N(L284)))</f>
        <v/>
      </c>
      <c r="O284" s="39" t="n"/>
      <c r="P284" s="40">
        <f>IF($C284="","",IF((IF(F284="",", Client","")&amp;IF(G284="",", Description","")&amp;IF(H284="",", Cost Centre","")&amp;IF(I284="",", Invoice Type","")&amp;IF(J284="",", Tax Code","")&amp;IF(O284="",", Expected Revenue","")&amp;IF(COUNTIF(tbl_Finance[Job Number],$C284&amp;"")&gt;1,", Job number used twice",""))="","Complete","Fix: "&amp;MID(IF(F284="",", Client","")&amp;IF(G284="",", Description","")&amp;IF(H284="",", Cost Centre","")&amp;IF(I284="",", Invoice Type","")&amp;IF(J284="",", Tax Code","")&amp;IF(O284="",", Expected Revenue","")&amp;IF(COUNTIF(tbl_Finance[Job Number],$C284&amp;"")&gt;1,", Job number used twice",""),3,300)))</f>
        <v/>
      </c>
      <c r="Q284" s="10">
        <f>IF($C284="","",IF(H284="","(no cost centre)",H284&amp;" - GL "&amp;IFERROR(INDEX(lst_CCtoGL,MATCH(H284,lst_CCforGL,0)),"?")))</f>
        <v/>
      </c>
      <c r="R284" s="37" t="n"/>
      <c r="S284" s="37" t="n"/>
      <c r="T284" s="10">
        <f>IF(S284="","",HYPERLINK(IF(LEFT(S284,4)="http",S284,set_QwilrBase&amp;S284),"Open quote"))</f>
        <v/>
      </c>
      <c r="U284" s="41" t="n"/>
      <c r="V284" s="37" t="n"/>
      <c r="W284" s="37" t="n"/>
      <c r="X284" s="10" t="inlineStr">
        <is>
          <t>ONS-0280</t>
        </is>
      </c>
    </row>
    <row r="285">
      <c r="A285" s="16">
        <f>IF($C285="","",IFERROR(IF(INDEX(tbl_Finance[Latest Invoice Date],MATCH($X285,tbl_Finance[Row ID],0))="","",INDEX(tbl_Finance[Latest Invoice Date],MATCH($X285,tbl_Finance[Row ID],0))),""))</f>
        <v/>
      </c>
      <c r="B285" s="10">
        <f>IF($C285="","",IFERROR(INDEX(tbl_Finance[Invoice Numbers],MATCH($X285,tbl_Finance[Row ID],0))&amp;"",""))</f>
        <v/>
      </c>
      <c r="C285" s="37" t="n"/>
      <c r="D285" s="10">
        <f>IF($C285="","",IF(COUNTIF(lst_Jobs,$C285&amp;"")&gt;0,"OK","CHECK"))</f>
        <v/>
      </c>
      <c r="E285" s="10">
        <f>IF($C285="","",IFERROR(INDEX(lst_JobName,MATCH($C285&amp;"",lst_Jobs,0)),""))</f>
        <v/>
      </c>
      <c r="F285" s="37" t="n"/>
      <c r="G285" s="37" t="n"/>
      <c r="H285" s="37" t="n"/>
      <c r="I285" s="37" t="n"/>
      <c r="J285" s="37" t="n"/>
      <c r="K285" s="38">
        <f>IF($C285="","",IFERROR(N(INDEX(tbl_Finance[Invoice Count],MATCH($X285,tbl_Finance[Row ID],0))),""))</f>
        <v/>
      </c>
      <c r="L285" s="11">
        <f>IF($C285="","",IFERROR(N(INDEX(tbl_Finance[Xero Invoiced Ex GST],MATCH($X285,tbl_Finance[Row ID],0))),""))</f>
        <v/>
      </c>
      <c r="M285" s="10">
        <f>IF($C285="","",IFERROR(INDEX(tbl_Finance[Compare],MATCH($X285,tbl_Finance[Row ID],0))&amp;"",""))</f>
        <v/>
      </c>
      <c r="N285" s="11">
        <f>IF($C285="","",MAX(0,N(O285)-N(L285)))</f>
        <v/>
      </c>
      <c r="O285" s="39" t="n"/>
      <c r="P285" s="40">
        <f>IF($C285="","",IF((IF(F285="",", Client","")&amp;IF(G285="",", Description","")&amp;IF(H285="",", Cost Centre","")&amp;IF(I285="",", Invoice Type","")&amp;IF(J285="",", Tax Code","")&amp;IF(O285="",", Expected Revenue","")&amp;IF(COUNTIF(tbl_Finance[Job Number],$C285&amp;"")&gt;1,", Job number used twice",""))="","Complete","Fix: "&amp;MID(IF(F285="",", Client","")&amp;IF(G285="",", Description","")&amp;IF(H285="",", Cost Centre","")&amp;IF(I285="",", Invoice Type","")&amp;IF(J285="",", Tax Code","")&amp;IF(O285="",", Expected Revenue","")&amp;IF(COUNTIF(tbl_Finance[Job Number],$C285&amp;"")&gt;1,", Job number used twice",""),3,300)))</f>
        <v/>
      </c>
      <c r="Q285" s="10">
        <f>IF($C285="","",IF(H285="","(no cost centre)",H285&amp;" - GL "&amp;IFERROR(INDEX(lst_CCtoGL,MATCH(H285,lst_CCforGL,0)),"?")))</f>
        <v/>
      </c>
      <c r="R285" s="37" t="n"/>
      <c r="S285" s="37" t="n"/>
      <c r="T285" s="10">
        <f>IF(S285="","",HYPERLINK(IF(LEFT(S285,4)="http",S285,set_QwilrBase&amp;S285),"Open quote"))</f>
        <v/>
      </c>
      <c r="U285" s="41" t="n"/>
      <c r="V285" s="37" t="n"/>
      <c r="W285" s="37" t="n"/>
      <c r="X285" s="10" t="inlineStr">
        <is>
          <t>ONS-0281</t>
        </is>
      </c>
    </row>
    <row r="286">
      <c r="A286" s="16">
        <f>IF($C286="","",IFERROR(IF(INDEX(tbl_Finance[Latest Invoice Date],MATCH($X286,tbl_Finance[Row ID],0))="","",INDEX(tbl_Finance[Latest Invoice Date],MATCH($X286,tbl_Finance[Row ID],0))),""))</f>
        <v/>
      </c>
      <c r="B286" s="10">
        <f>IF($C286="","",IFERROR(INDEX(tbl_Finance[Invoice Numbers],MATCH($X286,tbl_Finance[Row ID],0))&amp;"",""))</f>
        <v/>
      </c>
      <c r="C286" s="37" t="n"/>
      <c r="D286" s="10">
        <f>IF($C286="","",IF(COUNTIF(lst_Jobs,$C286&amp;"")&gt;0,"OK","CHECK"))</f>
        <v/>
      </c>
      <c r="E286" s="10">
        <f>IF($C286="","",IFERROR(INDEX(lst_JobName,MATCH($C286&amp;"",lst_Jobs,0)),""))</f>
        <v/>
      </c>
      <c r="F286" s="37" t="n"/>
      <c r="G286" s="37" t="n"/>
      <c r="H286" s="37" t="n"/>
      <c r="I286" s="37" t="n"/>
      <c r="J286" s="37" t="n"/>
      <c r="K286" s="38">
        <f>IF($C286="","",IFERROR(N(INDEX(tbl_Finance[Invoice Count],MATCH($X286,tbl_Finance[Row ID],0))),""))</f>
        <v/>
      </c>
      <c r="L286" s="11">
        <f>IF($C286="","",IFERROR(N(INDEX(tbl_Finance[Xero Invoiced Ex GST],MATCH($X286,tbl_Finance[Row ID],0))),""))</f>
        <v/>
      </c>
      <c r="M286" s="10">
        <f>IF($C286="","",IFERROR(INDEX(tbl_Finance[Compare],MATCH($X286,tbl_Finance[Row ID],0))&amp;"",""))</f>
        <v/>
      </c>
      <c r="N286" s="11">
        <f>IF($C286="","",MAX(0,N(O286)-N(L286)))</f>
        <v/>
      </c>
      <c r="O286" s="39" t="n"/>
      <c r="P286" s="40">
        <f>IF($C286="","",IF((IF(F286="",", Client","")&amp;IF(G286="",", Description","")&amp;IF(H286="",", Cost Centre","")&amp;IF(I286="",", Invoice Type","")&amp;IF(J286="",", Tax Code","")&amp;IF(O286="",", Expected Revenue","")&amp;IF(COUNTIF(tbl_Finance[Job Number],$C286&amp;"")&gt;1,", Job number used twice",""))="","Complete","Fix: "&amp;MID(IF(F286="",", Client","")&amp;IF(G286="",", Description","")&amp;IF(H286="",", Cost Centre","")&amp;IF(I286="",", Invoice Type","")&amp;IF(J286="",", Tax Code","")&amp;IF(O286="",", Expected Revenue","")&amp;IF(COUNTIF(tbl_Finance[Job Number],$C286&amp;"")&gt;1,", Job number used twice",""),3,300)))</f>
        <v/>
      </c>
      <c r="Q286" s="10">
        <f>IF($C286="","",IF(H286="","(no cost centre)",H286&amp;" - GL "&amp;IFERROR(INDEX(lst_CCtoGL,MATCH(H286,lst_CCforGL,0)),"?")))</f>
        <v/>
      </c>
      <c r="R286" s="37" t="n"/>
      <c r="S286" s="37" t="n"/>
      <c r="T286" s="10">
        <f>IF(S286="","",HYPERLINK(IF(LEFT(S286,4)="http",S286,set_QwilrBase&amp;S286),"Open quote"))</f>
        <v/>
      </c>
      <c r="U286" s="41" t="n"/>
      <c r="V286" s="37" t="n"/>
      <c r="W286" s="37" t="n"/>
      <c r="X286" s="10" t="inlineStr">
        <is>
          <t>ONS-0282</t>
        </is>
      </c>
    </row>
    <row r="287">
      <c r="A287" s="16">
        <f>IF($C287="","",IFERROR(IF(INDEX(tbl_Finance[Latest Invoice Date],MATCH($X287,tbl_Finance[Row ID],0))="","",INDEX(tbl_Finance[Latest Invoice Date],MATCH($X287,tbl_Finance[Row ID],0))),""))</f>
        <v/>
      </c>
      <c r="B287" s="10">
        <f>IF($C287="","",IFERROR(INDEX(tbl_Finance[Invoice Numbers],MATCH($X287,tbl_Finance[Row ID],0))&amp;"",""))</f>
        <v/>
      </c>
      <c r="C287" s="37" t="n"/>
      <c r="D287" s="10">
        <f>IF($C287="","",IF(COUNTIF(lst_Jobs,$C287&amp;"")&gt;0,"OK","CHECK"))</f>
        <v/>
      </c>
      <c r="E287" s="10">
        <f>IF($C287="","",IFERROR(INDEX(lst_JobName,MATCH($C287&amp;"",lst_Jobs,0)),""))</f>
        <v/>
      </c>
      <c r="F287" s="37" t="n"/>
      <c r="G287" s="37" t="n"/>
      <c r="H287" s="37" t="n"/>
      <c r="I287" s="37" t="n"/>
      <c r="J287" s="37" t="n"/>
      <c r="K287" s="38">
        <f>IF($C287="","",IFERROR(N(INDEX(tbl_Finance[Invoice Count],MATCH($X287,tbl_Finance[Row ID],0))),""))</f>
        <v/>
      </c>
      <c r="L287" s="11">
        <f>IF($C287="","",IFERROR(N(INDEX(tbl_Finance[Xero Invoiced Ex GST],MATCH($X287,tbl_Finance[Row ID],0))),""))</f>
        <v/>
      </c>
      <c r="M287" s="10">
        <f>IF($C287="","",IFERROR(INDEX(tbl_Finance[Compare],MATCH($X287,tbl_Finance[Row ID],0))&amp;"",""))</f>
        <v/>
      </c>
      <c r="N287" s="11">
        <f>IF($C287="","",MAX(0,N(O287)-N(L287)))</f>
        <v/>
      </c>
      <c r="O287" s="39" t="n"/>
      <c r="P287" s="40">
        <f>IF($C287="","",IF((IF(F287="",", Client","")&amp;IF(G287="",", Description","")&amp;IF(H287="",", Cost Centre","")&amp;IF(I287="",", Invoice Type","")&amp;IF(J287="",", Tax Code","")&amp;IF(O287="",", Expected Revenue","")&amp;IF(COUNTIF(tbl_Finance[Job Number],$C287&amp;"")&gt;1,", Job number used twice",""))="","Complete","Fix: "&amp;MID(IF(F287="",", Client","")&amp;IF(G287="",", Description","")&amp;IF(H287="",", Cost Centre","")&amp;IF(I287="",", Invoice Type","")&amp;IF(J287="",", Tax Code","")&amp;IF(O287="",", Expected Revenue","")&amp;IF(COUNTIF(tbl_Finance[Job Number],$C287&amp;"")&gt;1,", Job number used twice",""),3,300)))</f>
        <v/>
      </c>
      <c r="Q287" s="10">
        <f>IF($C287="","",IF(H287="","(no cost centre)",H287&amp;" - GL "&amp;IFERROR(INDEX(lst_CCtoGL,MATCH(H287,lst_CCforGL,0)),"?")))</f>
        <v/>
      </c>
      <c r="R287" s="37" t="n"/>
      <c r="S287" s="37" t="n"/>
      <c r="T287" s="10">
        <f>IF(S287="","",HYPERLINK(IF(LEFT(S287,4)="http",S287,set_QwilrBase&amp;S287),"Open quote"))</f>
        <v/>
      </c>
      <c r="U287" s="41" t="n"/>
      <c r="V287" s="37" t="n"/>
      <c r="W287" s="37" t="n"/>
      <c r="X287" s="10" t="inlineStr">
        <is>
          <t>ONS-0283</t>
        </is>
      </c>
    </row>
    <row r="288">
      <c r="A288" s="16">
        <f>IF($C288="","",IFERROR(IF(INDEX(tbl_Finance[Latest Invoice Date],MATCH($X288,tbl_Finance[Row ID],0))="","",INDEX(tbl_Finance[Latest Invoice Date],MATCH($X288,tbl_Finance[Row ID],0))),""))</f>
        <v/>
      </c>
      <c r="B288" s="10">
        <f>IF($C288="","",IFERROR(INDEX(tbl_Finance[Invoice Numbers],MATCH($X288,tbl_Finance[Row ID],0))&amp;"",""))</f>
        <v/>
      </c>
      <c r="C288" s="37" t="n"/>
      <c r="D288" s="10">
        <f>IF($C288="","",IF(COUNTIF(lst_Jobs,$C288&amp;"")&gt;0,"OK","CHECK"))</f>
        <v/>
      </c>
      <c r="E288" s="10">
        <f>IF($C288="","",IFERROR(INDEX(lst_JobName,MATCH($C288&amp;"",lst_Jobs,0)),""))</f>
        <v/>
      </c>
      <c r="F288" s="37" t="n"/>
      <c r="G288" s="37" t="n"/>
      <c r="H288" s="37" t="n"/>
      <c r="I288" s="37" t="n"/>
      <c r="J288" s="37" t="n"/>
      <c r="K288" s="38">
        <f>IF($C288="","",IFERROR(N(INDEX(tbl_Finance[Invoice Count],MATCH($X288,tbl_Finance[Row ID],0))),""))</f>
        <v/>
      </c>
      <c r="L288" s="11">
        <f>IF($C288="","",IFERROR(N(INDEX(tbl_Finance[Xero Invoiced Ex GST],MATCH($X288,tbl_Finance[Row ID],0))),""))</f>
        <v/>
      </c>
      <c r="M288" s="10">
        <f>IF($C288="","",IFERROR(INDEX(tbl_Finance[Compare],MATCH($X288,tbl_Finance[Row ID],0))&amp;"",""))</f>
        <v/>
      </c>
      <c r="N288" s="11">
        <f>IF($C288="","",MAX(0,N(O288)-N(L288)))</f>
        <v/>
      </c>
      <c r="O288" s="39" t="n"/>
      <c r="P288" s="40">
        <f>IF($C288="","",IF((IF(F288="",", Client","")&amp;IF(G288="",", Description","")&amp;IF(H288="",", Cost Centre","")&amp;IF(I288="",", Invoice Type","")&amp;IF(J288="",", Tax Code","")&amp;IF(O288="",", Expected Revenue","")&amp;IF(COUNTIF(tbl_Finance[Job Number],$C288&amp;"")&gt;1,", Job number used twice",""))="","Complete","Fix: "&amp;MID(IF(F288="",", Client","")&amp;IF(G288="",", Description","")&amp;IF(H288="",", Cost Centre","")&amp;IF(I288="",", Invoice Type","")&amp;IF(J288="",", Tax Code","")&amp;IF(O288="",", Expected Revenue","")&amp;IF(COUNTIF(tbl_Finance[Job Number],$C288&amp;"")&gt;1,", Job number used twice",""),3,300)))</f>
        <v/>
      </c>
      <c r="Q288" s="10">
        <f>IF($C288="","",IF(H288="","(no cost centre)",H288&amp;" - GL "&amp;IFERROR(INDEX(lst_CCtoGL,MATCH(H288,lst_CCforGL,0)),"?")))</f>
        <v/>
      </c>
      <c r="R288" s="37" t="n"/>
      <c r="S288" s="37" t="n"/>
      <c r="T288" s="10">
        <f>IF(S288="","",HYPERLINK(IF(LEFT(S288,4)="http",S288,set_QwilrBase&amp;S288),"Open quote"))</f>
        <v/>
      </c>
      <c r="U288" s="41" t="n"/>
      <c r="V288" s="37" t="n"/>
      <c r="W288" s="37" t="n"/>
      <c r="X288" s="10" t="inlineStr">
        <is>
          <t>ONS-0284</t>
        </is>
      </c>
    </row>
    <row r="289">
      <c r="A289" s="16">
        <f>IF($C289="","",IFERROR(IF(INDEX(tbl_Finance[Latest Invoice Date],MATCH($X289,tbl_Finance[Row ID],0))="","",INDEX(tbl_Finance[Latest Invoice Date],MATCH($X289,tbl_Finance[Row ID],0))),""))</f>
        <v/>
      </c>
      <c r="B289" s="10">
        <f>IF($C289="","",IFERROR(INDEX(tbl_Finance[Invoice Numbers],MATCH($X289,tbl_Finance[Row ID],0))&amp;"",""))</f>
        <v/>
      </c>
      <c r="C289" s="37" t="n"/>
      <c r="D289" s="10">
        <f>IF($C289="","",IF(COUNTIF(lst_Jobs,$C289&amp;"")&gt;0,"OK","CHECK"))</f>
        <v/>
      </c>
      <c r="E289" s="10">
        <f>IF($C289="","",IFERROR(INDEX(lst_JobName,MATCH($C289&amp;"",lst_Jobs,0)),""))</f>
        <v/>
      </c>
      <c r="F289" s="37" t="n"/>
      <c r="G289" s="37" t="n"/>
      <c r="H289" s="37" t="n"/>
      <c r="I289" s="37" t="n"/>
      <c r="J289" s="37" t="n"/>
      <c r="K289" s="38">
        <f>IF($C289="","",IFERROR(N(INDEX(tbl_Finance[Invoice Count],MATCH($X289,tbl_Finance[Row ID],0))),""))</f>
        <v/>
      </c>
      <c r="L289" s="11">
        <f>IF($C289="","",IFERROR(N(INDEX(tbl_Finance[Xero Invoiced Ex GST],MATCH($X289,tbl_Finance[Row ID],0))),""))</f>
        <v/>
      </c>
      <c r="M289" s="10">
        <f>IF($C289="","",IFERROR(INDEX(tbl_Finance[Compare],MATCH($X289,tbl_Finance[Row ID],0))&amp;"",""))</f>
        <v/>
      </c>
      <c r="N289" s="11">
        <f>IF($C289="","",MAX(0,N(O289)-N(L289)))</f>
        <v/>
      </c>
      <c r="O289" s="39" t="n"/>
      <c r="P289" s="40">
        <f>IF($C289="","",IF((IF(F289="",", Client","")&amp;IF(G289="",", Description","")&amp;IF(H289="",", Cost Centre","")&amp;IF(I289="",", Invoice Type","")&amp;IF(J289="",", Tax Code","")&amp;IF(O289="",", Expected Revenue","")&amp;IF(COUNTIF(tbl_Finance[Job Number],$C289&amp;"")&gt;1,", Job number used twice",""))="","Complete","Fix: "&amp;MID(IF(F289="",", Client","")&amp;IF(G289="",", Description","")&amp;IF(H289="",", Cost Centre","")&amp;IF(I289="",", Invoice Type","")&amp;IF(J289="",", Tax Code","")&amp;IF(O289="",", Expected Revenue","")&amp;IF(COUNTIF(tbl_Finance[Job Number],$C289&amp;"")&gt;1,", Job number used twice",""),3,300)))</f>
        <v/>
      </c>
      <c r="Q289" s="10">
        <f>IF($C289="","",IF(H289="","(no cost centre)",H289&amp;" - GL "&amp;IFERROR(INDEX(lst_CCtoGL,MATCH(H289,lst_CCforGL,0)),"?")))</f>
        <v/>
      </c>
      <c r="R289" s="37" t="n"/>
      <c r="S289" s="37" t="n"/>
      <c r="T289" s="10">
        <f>IF(S289="","",HYPERLINK(IF(LEFT(S289,4)="http",S289,set_QwilrBase&amp;S289),"Open quote"))</f>
        <v/>
      </c>
      <c r="U289" s="41" t="n"/>
      <c r="V289" s="37" t="n"/>
      <c r="W289" s="37" t="n"/>
      <c r="X289" s="10" t="inlineStr">
        <is>
          <t>ONS-0285</t>
        </is>
      </c>
    </row>
    <row r="290">
      <c r="A290" s="16">
        <f>IF($C290="","",IFERROR(IF(INDEX(tbl_Finance[Latest Invoice Date],MATCH($X290,tbl_Finance[Row ID],0))="","",INDEX(tbl_Finance[Latest Invoice Date],MATCH($X290,tbl_Finance[Row ID],0))),""))</f>
        <v/>
      </c>
      <c r="B290" s="10">
        <f>IF($C290="","",IFERROR(INDEX(tbl_Finance[Invoice Numbers],MATCH($X290,tbl_Finance[Row ID],0))&amp;"",""))</f>
        <v/>
      </c>
      <c r="C290" s="37" t="n"/>
      <c r="D290" s="10">
        <f>IF($C290="","",IF(COUNTIF(lst_Jobs,$C290&amp;"")&gt;0,"OK","CHECK"))</f>
        <v/>
      </c>
      <c r="E290" s="10">
        <f>IF($C290="","",IFERROR(INDEX(lst_JobName,MATCH($C290&amp;"",lst_Jobs,0)),""))</f>
        <v/>
      </c>
      <c r="F290" s="37" t="n"/>
      <c r="G290" s="37" t="n"/>
      <c r="H290" s="37" t="n"/>
      <c r="I290" s="37" t="n"/>
      <c r="J290" s="37" t="n"/>
      <c r="K290" s="38">
        <f>IF($C290="","",IFERROR(N(INDEX(tbl_Finance[Invoice Count],MATCH($X290,tbl_Finance[Row ID],0))),""))</f>
        <v/>
      </c>
      <c r="L290" s="11">
        <f>IF($C290="","",IFERROR(N(INDEX(tbl_Finance[Xero Invoiced Ex GST],MATCH($X290,tbl_Finance[Row ID],0))),""))</f>
        <v/>
      </c>
      <c r="M290" s="10">
        <f>IF($C290="","",IFERROR(INDEX(tbl_Finance[Compare],MATCH($X290,tbl_Finance[Row ID],0))&amp;"",""))</f>
        <v/>
      </c>
      <c r="N290" s="11">
        <f>IF($C290="","",MAX(0,N(O290)-N(L290)))</f>
        <v/>
      </c>
      <c r="O290" s="39" t="n"/>
      <c r="P290" s="40">
        <f>IF($C290="","",IF((IF(F290="",", Client","")&amp;IF(G290="",", Description","")&amp;IF(H290="",", Cost Centre","")&amp;IF(I290="",", Invoice Type","")&amp;IF(J290="",", Tax Code","")&amp;IF(O290="",", Expected Revenue","")&amp;IF(COUNTIF(tbl_Finance[Job Number],$C290&amp;"")&gt;1,", Job number used twice",""))="","Complete","Fix: "&amp;MID(IF(F290="",", Client","")&amp;IF(G290="",", Description","")&amp;IF(H290="",", Cost Centre","")&amp;IF(I290="",", Invoice Type","")&amp;IF(J290="",", Tax Code","")&amp;IF(O290="",", Expected Revenue","")&amp;IF(COUNTIF(tbl_Finance[Job Number],$C290&amp;"")&gt;1,", Job number used twice",""),3,300)))</f>
        <v/>
      </c>
      <c r="Q290" s="10">
        <f>IF($C290="","",IF(H290="","(no cost centre)",H290&amp;" - GL "&amp;IFERROR(INDEX(lst_CCtoGL,MATCH(H290,lst_CCforGL,0)),"?")))</f>
        <v/>
      </c>
      <c r="R290" s="37" t="n"/>
      <c r="S290" s="37" t="n"/>
      <c r="T290" s="10">
        <f>IF(S290="","",HYPERLINK(IF(LEFT(S290,4)="http",S290,set_QwilrBase&amp;S290),"Open quote"))</f>
        <v/>
      </c>
      <c r="U290" s="41" t="n"/>
      <c r="V290" s="37" t="n"/>
      <c r="W290" s="37" t="n"/>
      <c r="X290" s="10" t="inlineStr">
        <is>
          <t>ONS-0286</t>
        </is>
      </c>
    </row>
    <row r="291">
      <c r="A291" s="16">
        <f>IF($C291="","",IFERROR(IF(INDEX(tbl_Finance[Latest Invoice Date],MATCH($X291,tbl_Finance[Row ID],0))="","",INDEX(tbl_Finance[Latest Invoice Date],MATCH($X291,tbl_Finance[Row ID],0))),""))</f>
        <v/>
      </c>
      <c r="B291" s="10">
        <f>IF($C291="","",IFERROR(INDEX(tbl_Finance[Invoice Numbers],MATCH($X291,tbl_Finance[Row ID],0))&amp;"",""))</f>
        <v/>
      </c>
      <c r="C291" s="37" t="n"/>
      <c r="D291" s="10">
        <f>IF($C291="","",IF(COUNTIF(lst_Jobs,$C291&amp;"")&gt;0,"OK","CHECK"))</f>
        <v/>
      </c>
      <c r="E291" s="10">
        <f>IF($C291="","",IFERROR(INDEX(lst_JobName,MATCH($C291&amp;"",lst_Jobs,0)),""))</f>
        <v/>
      </c>
      <c r="F291" s="37" t="n"/>
      <c r="G291" s="37" t="n"/>
      <c r="H291" s="37" t="n"/>
      <c r="I291" s="37" t="n"/>
      <c r="J291" s="37" t="n"/>
      <c r="K291" s="38">
        <f>IF($C291="","",IFERROR(N(INDEX(tbl_Finance[Invoice Count],MATCH($X291,tbl_Finance[Row ID],0))),""))</f>
        <v/>
      </c>
      <c r="L291" s="11">
        <f>IF($C291="","",IFERROR(N(INDEX(tbl_Finance[Xero Invoiced Ex GST],MATCH($X291,tbl_Finance[Row ID],0))),""))</f>
        <v/>
      </c>
      <c r="M291" s="10">
        <f>IF($C291="","",IFERROR(INDEX(tbl_Finance[Compare],MATCH($X291,tbl_Finance[Row ID],0))&amp;"",""))</f>
        <v/>
      </c>
      <c r="N291" s="11">
        <f>IF($C291="","",MAX(0,N(O291)-N(L291)))</f>
        <v/>
      </c>
      <c r="O291" s="39" t="n"/>
      <c r="P291" s="40">
        <f>IF($C291="","",IF((IF(F291="",", Client","")&amp;IF(G291="",", Description","")&amp;IF(H291="",", Cost Centre","")&amp;IF(I291="",", Invoice Type","")&amp;IF(J291="",", Tax Code","")&amp;IF(O291="",", Expected Revenue","")&amp;IF(COUNTIF(tbl_Finance[Job Number],$C291&amp;"")&gt;1,", Job number used twice",""))="","Complete","Fix: "&amp;MID(IF(F291="",", Client","")&amp;IF(G291="",", Description","")&amp;IF(H291="",", Cost Centre","")&amp;IF(I291="",", Invoice Type","")&amp;IF(J291="",", Tax Code","")&amp;IF(O291="",", Expected Revenue","")&amp;IF(COUNTIF(tbl_Finance[Job Number],$C291&amp;"")&gt;1,", Job number used twice",""),3,300)))</f>
        <v/>
      </c>
      <c r="Q291" s="10">
        <f>IF($C291="","",IF(H291="","(no cost centre)",H291&amp;" - GL "&amp;IFERROR(INDEX(lst_CCtoGL,MATCH(H291,lst_CCforGL,0)),"?")))</f>
        <v/>
      </c>
      <c r="R291" s="37" t="n"/>
      <c r="S291" s="37" t="n"/>
      <c r="T291" s="10">
        <f>IF(S291="","",HYPERLINK(IF(LEFT(S291,4)="http",S291,set_QwilrBase&amp;S291),"Open quote"))</f>
        <v/>
      </c>
      <c r="U291" s="41" t="n"/>
      <c r="V291" s="37" t="n"/>
      <c r="W291" s="37" t="n"/>
      <c r="X291" s="10" t="inlineStr">
        <is>
          <t>ONS-0287</t>
        </is>
      </c>
    </row>
    <row r="292">
      <c r="A292" s="16">
        <f>IF($C292="","",IFERROR(IF(INDEX(tbl_Finance[Latest Invoice Date],MATCH($X292,tbl_Finance[Row ID],0))="","",INDEX(tbl_Finance[Latest Invoice Date],MATCH($X292,tbl_Finance[Row ID],0))),""))</f>
        <v/>
      </c>
      <c r="B292" s="10">
        <f>IF($C292="","",IFERROR(INDEX(tbl_Finance[Invoice Numbers],MATCH($X292,tbl_Finance[Row ID],0))&amp;"",""))</f>
        <v/>
      </c>
      <c r="C292" s="37" t="n"/>
      <c r="D292" s="10">
        <f>IF($C292="","",IF(COUNTIF(lst_Jobs,$C292&amp;"")&gt;0,"OK","CHECK"))</f>
        <v/>
      </c>
      <c r="E292" s="10">
        <f>IF($C292="","",IFERROR(INDEX(lst_JobName,MATCH($C292&amp;"",lst_Jobs,0)),""))</f>
        <v/>
      </c>
      <c r="F292" s="37" t="n"/>
      <c r="G292" s="37" t="n"/>
      <c r="H292" s="37" t="n"/>
      <c r="I292" s="37" t="n"/>
      <c r="J292" s="37" t="n"/>
      <c r="K292" s="38">
        <f>IF($C292="","",IFERROR(N(INDEX(tbl_Finance[Invoice Count],MATCH($X292,tbl_Finance[Row ID],0))),""))</f>
        <v/>
      </c>
      <c r="L292" s="11">
        <f>IF($C292="","",IFERROR(N(INDEX(tbl_Finance[Xero Invoiced Ex GST],MATCH($X292,tbl_Finance[Row ID],0))),""))</f>
        <v/>
      </c>
      <c r="M292" s="10">
        <f>IF($C292="","",IFERROR(INDEX(tbl_Finance[Compare],MATCH($X292,tbl_Finance[Row ID],0))&amp;"",""))</f>
        <v/>
      </c>
      <c r="N292" s="11">
        <f>IF($C292="","",MAX(0,N(O292)-N(L292)))</f>
        <v/>
      </c>
      <c r="O292" s="39" t="n"/>
      <c r="P292" s="40">
        <f>IF($C292="","",IF((IF(F292="",", Client","")&amp;IF(G292="",", Description","")&amp;IF(H292="",", Cost Centre","")&amp;IF(I292="",", Invoice Type","")&amp;IF(J292="",", Tax Code","")&amp;IF(O292="",", Expected Revenue","")&amp;IF(COUNTIF(tbl_Finance[Job Number],$C292&amp;"")&gt;1,", Job number used twice",""))="","Complete","Fix: "&amp;MID(IF(F292="",", Client","")&amp;IF(G292="",", Description","")&amp;IF(H292="",", Cost Centre","")&amp;IF(I292="",", Invoice Type","")&amp;IF(J292="",", Tax Code","")&amp;IF(O292="",", Expected Revenue","")&amp;IF(COUNTIF(tbl_Finance[Job Number],$C292&amp;"")&gt;1,", Job number used twice",""),3,300)))</f>
        <v/>
      </c>
      <c r="Q292" s="10">
        <f>IF($C292="","",IF(H292="","(no cost centre)",H292&amp;" - GL "&amp;IFERROR(INDEX(lst_CCtoGL,MATCH(H292,lst_CCforGL,0)),"?")))</f>
        <v/>
      </c>
      <c r="R292" s="37" t="n"/>
      <c r="S292" s="37" t="n"/>
      <c r="T292" s="10">
        <f>IF(S292="","",HYPERLINK(IF(LEFT(S292,4)="http",S292,set_QwilrBase&amp;S292),"Open quote"))</f>
        <v/>
      </c>
      <c r="U292" s="41" t="n"/>
      <c r="V292" s="37" t="n"/>
      <c r="W292" s="37" t="n"/>
      <c r="X292" s="10" t="inlineStr">
        <is>
          <t>ONS-0288</t>
        </is>
      </c>
    </row>
    <row r="293">
      <c r="A293" s="16">
        <f>IF($C293="","",IFERROR(IF(INDEX(tbl_Finance[Latest Invoice Date],MATCH($X293,tbl_Finance[Row ID],0))="","",INDEX(tbl_Finance[Latest Invoice Date],MATCH($X293,tbl_Finance[Row ID],0))),""))</f>
        <v/>
      </c>
      <c r="B293" s="10">
        <f>IF($C293="","",IFERROR(INDEX(tbl_Finance[Invoice Numbers],MATCH($X293,tbl_Finance[Row ID],0))&amp;"",""))</f>
        <v/>
      </c>
      <c r="C293" s="37" t="n"/>
      <c r="D293" s="10">
        <f>IF($C293="","",IF(COUNTIF(lst_Jobs,$C293&amp;"")&gt;0,"OK","CHECK"))</f>
        <v/>
      </c>
      <c r="E293" s="10">
        <f>IF($C293="","",IFERROR(INDEX(lst_JobName,MATCH($C293&amp;"",lst_Jobs,0)),""))</f>
        <v/>
      </c>
      <c r="F293" s="37" t="n"/>
      <c r="G293" s="37" t="n"/>
      <c r="H293" s="37" t="n"/>
      <c r="I293" s="37" t="n"/>
      <c r="J293" s="37" t="n"/>
      <c r="K293" s="38">
        <f>IF($C293="","",IFERROR(N(INDEX(tbl_Finance[Invoice Count],MATCH($X293,tbl_Finance[Row ID],0))),""))</f>
        <v/>
      </c>
      <c r="L293" s="11">
        <f>IF($C293="","",IFERROR(N(INDEX(tbl_Finance[Xero Invoiced Ex GST],MATCH($X293,tbl_Finance[Row ID],0))),""))</f>
        <v/>
      </c>
      <c r="M293" s="10">
        <f>IF($C293="","",IFERROR(INDEX(tbl_Finance[Compare],MATCH($X293,tbl_Finance[Row ID],0))&amp;"",""))</f>
        <v/>
      </c>
      <c r="N293" s="11">
        <f>IF($C293="","",MAX(0,N(O293)-N(L293)))</f>
        <v/>
      </c>
      <c r="O293" s="39" t="n"/>
      <c r="P293" s="40">
        <f>IF($C293="","",IF((IF(F293="",", Client","")&amp;IF(G293="",", Description","")&amp;IF(H293="",", Cost Centre","")&amp;IF(I293="",", Invoice Type","")&amp;IF(J293="",", Tax Code","")&amp;IF(O293="",", Expected Revenue","")&amp;IF(COUNTIF(tbl_Finance[Job Number],$C293&amp;"")&gt;1,", Job number used twice",""))="","Complete","Fix: "&amp;MID(IF(F293="",", Client","")&amp;IF(G293="",", Description","")&amp;IF(H293="",", Cost Centre","")&amp;IF(I293="",", Invoice Type","")&amp;IF(J293="",", Tax Code","")&amp;IF(O293="",", Expected Revenue","")&amp;IF(COUNTIF(tbl_Finance[Job Number],$C293&amp;"")&gt;1,", Job number used twice",""),3,300)))</f>
        <v/>
      </c>
      <c r="Q293" s="10">
        <f>IF($C293="","",IF(H293="","(no cost centre)",H293&amp;" - GL "&amp;IFERROR(INDEX(lst_CCtoGL,MATCH(H293,lst_CCforGL,0)),"?")))</f>
        <v/>
      </c>
      <c r="R293" s="37" t="n"/>
      <c r="S293" s="37" t="n"/>
      <c r="T293" s="10">
        <f>IF(S293="","",HYPERLINK(IF(LEFT(S293,4)="http",S293,set_QwilrBase&amp;S293),"Open quote"))</f>
        <v/>
      </c>
      <c r="U293" s="41" t="n"/>
      <c r="V293" s="37" t="n"/>
      <c r="W293" s="37" t="n"/>
      <c r="X293" s="10" t="inlineStr">
        <is>
          <t>ONS-0289</t>
        </is>
      </c>
    </row>
    <row r="294">
      <c r="A294" s="16">
        <f>IF($C294="","",IFERROR(IF(INDEX(tbl_Finance[Latest Invoice Date],MATCH($X294,tbl_Finance[Row ID],0))="","",INDEX(tbl_Finance[Latest Invoice Date],MATCH($X294,tbl_Finance[Row ID],0))),""))</f>
        <v/>
      </c>
      <c r="B294" s="10">
        <f>IF($C294="","",IFERROR(INDEX(tbl_Finance[Invoice Numbers],MATCH($X294,tbl_Finance[Row ID],0))&amp;"",""))</f>
        <v/>
      </c>
      <c r="C294" s="37" t="n"/>
      <c r="D294" s="10">
        <f>IF($C294="","",IF(COUNTIF(lst_Jobs,$C294&amp;"")&gt;0,"OK","CHECK"))</f>
        <v/>
      </c>
      <c r="E294" s="10">
        <f>IF($C294="","",IFERROR(INDEX(lst_JobName,MATCH($C294&amp;"",lst_Jobs,0)),""))</f>
        <v/>
      </c>
      <c r="F294" s="37" t="n"/>
      <c r="G294" s="37" t="n"/>
      <c r="H294" s="37" t="n"/>
      <c r="I294" s="37" t="n"/>
      <c r="J294" s="37" t="n"/>
      <c r="K294" s="38">
        <f>IF($C294="","",IFERROR(N(INDEX(tbl_Finance[Invoice Count],MATCH($X294,tbl_Finance[Row ID],0))),""))</f>
        <v/>
      </c>
      <c r="L294" s="11">
        <f>IF($C294="","",IFERROR(N(INDEX(tbl_Finance[Xero Invoiced Ex GST],MATCH($X294,tbl_Finance[Row ID],0))),""))</f>
        <v/>
      </c>
      <c r="M294" s="10">
        <f>IF($C294="","",IFERROR(INDEX(tbl_Finance[Compare],MATCH($X294,tbl_Finance[Row ID],0))&amp;"",""))</f>
        <v/>
      </c>
      <c r="N294" s="11">
        <f>IF($C294="","",MAX(0,N(O294)-N(L294)))</f>
        <v/>
      </c>
      <c r="O294" s="39" t="n"/>
      <c r="P294" s="40">
        <f>IF($C294="","",IF((IF(F294="",", Client","")&amp;IF(G294="",", Description","")&amp;IF(H294="",", Cost Centre","")&amp;IF(I294="",", Invoice Type","")&amp;IF(J294="",", Tax Code","")&amp;IF(O294="",", Expected Revenue","")&amp;IF(COUNTIF(tbl_Finance[Job Number],$C294&amp;"")&gt;1,", Job number used twice",""))="","Complete","Fix: "&amp;MID(IF(F294="",", Client","")&amp;IF(G294="",", Description","")&amp;IF(H294="",", Cost Centre","")&amp;IF(I294="",", Invoice Type","")&amp;IF(J294="",", Tax Code","")&amp;IF(O294="",", Expected Revenue","")&amp;IF(COUNTIF(tbl_Finance[Job Number],$C294&amp;"")&gt;1,", Job number used twice",""),3,300)))</f>
        <v/>
      </c>
      <c r="Q294" s="10">
        <f>IF($C294="","",IF(H294="","(no cost centre)",H294&amp;" - GL "&amp;IFERROR(INDEX(lst_CCtoGL,MATCH(H294,lst_CCforGL,0)),"?")))</f>
        <v/>
      </c>
      <c r="R294" s="37" t="n"/>
      <c r="S294" s="37" t="n"/>
      <c r="T294" s="10">
        <f>IF(S294="","",HYPERLINK(IF(LEFT(S294,4)="http",S294,set_QwilrBase&amp;S294),"Open quote"))</f>
        <v/>
      </c>
      <c r="U294" s="41" t="n"/>
      <c r="V294" s="37" t="n"/>
      <c r="W294" s="37" t="n"/>
      <c r="X294" s="10" t="inlineStr">
        <is>
          <t>ONS-0290</t>
        </is>
      </c>
    </row>
    <row r="295">
      <c r="A295" s="16">
        <f>IF($C295="","",IFERROR(IF(INDEX(tbl_Finance[Latest Invoice Date],MATCH($X295,tbl_Finance[Row ID],0))="","",INDEX(tbl_Finance[Latest Invoice Date],MATCH($X295,tbl_Finance[Row ID],0))),""))</f>
        <v/>
      </c>
      <c r="B295" s="10">
        <f>IF($C295="","",IFERROR(INDEX(tbl_Finance[Invoice Numbers],MATCH($X295,tbl_Finance[Row ID],0))&amp;"",""))</f>
        <v/>
      </c>
      <c r="C295" s="37" t="n"/>
      <c r="D295" s="10">
        <f>IF($C295="","",IF(COUNTIF(lst_Jobs,$C295&amp;"")&gt;0,"OK","CHECK"))</f>
        <v/>
      </c>
      <c r="E295" s="10">
        <f>IF($C295="","",IFERROR(INDEX(lst_JobName,MATCH($C295&amp;"",lst_Jobs,0)),""))</f>
        <v/>
      </c>
      <c r="F295" s="37" t="n"/>
      <c r="G295" s="37" t="n"/>
      <c r="H295" s="37" t="n"/>
      <c r="I295" s="37" t="n"/>
      <c r="J295" s="37" t="n"/>
      <c r="K295" s="38">
        <f>IF($C295="","",IFERROR(N(INDEX(tbl_Finance[Invoice Count],MATCH($X295,tbl_Finance[Row ID],0))),""))</f>
        <v/>
      </c>
      <c r="L295" s="11">
        <f>IF($C295="","",IFERROR(N(INDEX(tbl_Finance[Xero Invoiced Ex GST],MATCH($X295,tbl_Finance[Row ID],0))),""))</f>
        <v/>
      </c>
      <c r="M295" s="10">
        <f>IF($C295="","",IFERROR(INDEX(tbl_Finance[Compare],MATCH($X295,tbl_Finance[Row ID],0))&amp;"",""))</f>
        <v/>
      </c>
      <c r="N295" s="11">
        <f>IF($C295="","",MAX(0,N(O295)-N(L295)))</f>
        <v/>
      </c>
      <c r="O295" s="39" t="n"/>
      <c r="P295" s="40">
        <f>IF($C295="","",IF((IF(F295="",", Client","")&amp;IF(G295="",", Description","")&amp;IF(H295="",", Cost Centre","")&amp;IF(I295="",", Invoice Type","")&amp;IF(J295="",", Tax Code","")&amp;IF(O295="",", Expected Revenue","")&amp;IF(COUNTIF(tbl_Finance[Job Number],$C295&amp;"")&gt;1,", Job number used twice",""))="","Complete","Fix: "&amp;MID(IF(F295="",", Client","")&amp;IF(G295="",", Description","")&amp;IF(H295="",", Cost Centre","")&amp;IF(I295="",", Invoice Type","")&amp;IF(J295="",", Tax Code","")&amp;IF(O295="",", Expected Revenue","")&amp;IF(COUNTIF(tbl_Finance[Job Number],$C295&amp;"")&gt;1,", Job number used twice",""),3,300)))</f>
        <v/>
      </c>
      <c r="Q295" s="10">
        <f>IF($C295="","",IF(H295="","(no cost centre)",H295&amp;" - GL "&amp;IFERROR(INDEX(lst_CCtoGL,MATCH(H295,lst_CCforGL,0)),"?")))</f>
        <v/>
      </c>
      <c r="R295" s="37" t="n"/>
      <c r="S295" s="37" t="n"/>
      <c r="T295" s="10">
        <f>IF(S295="","",HYPERLINK(IF(LEFT(S295,4)="http",S295,set_QwilrBase&amp;S295),"Open quote"))</f>
        <v/>
      </c>
      <c r="U295" s="41" t="n"/>
      <c r="V295" s="37" t="n"/>
      <c r="W295" s="37" t="n"/>
      <c r="X295" s="10" t="inlineStr">
        <is>
          <t>ONS-0291</t>
        </is>
      </c>
    </row>
    <row r="296">
      <c r="A296" s="16">
        <f>IF($C296="","",IFERROR(IF(INDEX(tbl_Finance[Latest Invoice Date],MATCH($X296,tbl_Finance[Row ID],0))="","",INDEX(tbl_Finance[Latest Invoice Date],MATCH($X296,tbl_Finance[Row ID],0))),""))</f>
        <v/>
      </c>
      <c r="B296" s="10">
        <f>IF($C296="","",IFERROR(INDEX(tbl_Finance[Invoice Numbers],MATCH($X296,tbl_Finance[Row ID],0))&amp;"",""))</f>
        <v/>
      </c>
      <c r="C296" s="37" t="n"/>
      <c r="D296" s="10">
        <f>IF($C296="","",IF(COUNTIF(lst_Jobs,$C296&amp;"")&gt;0,"OK","CHECK"))</f>
        <v/>
      </c>
      <c r="E296" s="10">
        <f>IF($C296="","",IFERROR(INDEX(lst_JobName,MATCH($C296&amp;"",lst_Jobs,0)),""))</f>
        <v/>
      </c>
      <c r="F296" s="37" t="n"/>
      <c r="G296" s="37" t="n"/>
      <c r="H296" s="37" t="n"/>
      <c r="I296" s="37" t="n"/>
      <c r="J296" s="37" t="n"/>
      <c r="K296" s="38">
        <f>IF($C296="","",IFERROR(N(INDEX(tbl_Finance[Invoice Count],MATCH($X296,tbl_Finance[Row ID],0))),""))</f>
        <v/>
      </c>
      <c r="L296" s="11">
        <f>IF($C296="","",IFERROR(N(INDEX(tbl_Finance[Xero Invoiced Ex GST],MATCH($X296,tbl_Finance[Row ID],0))),""))</f>
        <v/>
      </c>
      <c r="M296" s="10">
        <f>IF($C296="","",IFERROR(INDEX(tbl_Finance[Compare],MATCH($X296,tbl_Finance[Row ID],0))&amp;"",""))</f>
        <v/>
      </c>
      <c r="N296" s="11">
        <f>IF($C296="","",MAX(0,N(O296)-N(L296)))</f>
        <v/>
      </c>
      <c r="O296" s="39" t="n"/>
      <c r="P296" s="40">
        <f>IF($C296="","",IF((IF(F296="",", Client","")&amp;IF(G296="",", Description","")&amp;IF(H296="",", Cost Centre","")&amp;IF(I296="",", Invoice Type","")&amp;IF(J296="",", Tax Code","")&amp;IF(O296="",", Expected Revenue","")&amp;IF(COUNTIF(tbl_Finance[Job Number],$C296&amp;"")&gt;1,", Job number used twice",""))="","Complete","Fix: "&amp;MID(IF(F296="",", Client","")&amp;IF(G296="",", Description","")&amp;IF(H296="",", Cost Centre","")&amp;IF(I296="",", Invoice Type","")&amp;IF(J296="",", Tax Code","")&amp;IF(O296="",", Expected Revenue","")&amp;IF(COUNTIF(tbl_Finance[Job Number],$C296&amp;"")&gt;1,", Job number used twice",""),3,300)))</f>
        <v/>
      </c>
      <c r="Q296" s="10">
        <f>IF($C296="","",IF(H296="","(no cost centre)",H296&amp;" - GL "&amp;IFERROR(INDEX(lst_CCtoGL,MATCH(H296,lst_CCforGL,0)),"?")))</f>
        <v/>
      </c>
      <c r="R296" s="37" t="n"/>
      <c r="S296" s="37" t="n"/>
      <c r="T296" s="10">
        <f>IF(S296="","",HYPERLINK(IF(LEFT(S296,4)="http",S296,set_QwilrBase&amp;S296),"Open quote"))</f>
        <v/>
      </c>
      <c r="U296" s="41" t="n"/>
      <c r="V296" s="37" t="n"/>
      <c r="W296" s="37" t="n"/>
      <c r="X296" s="10" t="inlineStr">
        <is>
          <t>ONS-0292</t>
        </is>
      </c>
    </row>
    <row r="297">
      <c r="A297" s="16">
        <f>IF($C297="","",IFERROR(IF(INDEX(tbl_Finance[Latest Invoice Date],MATCH($X297,tbl_Finance[Row ID],0))="","",INDEX(tbl_Finance[Latest Invoice Date],MATCH($X297,tbl_Finance[Row ID],0))),""))</f>
        <v/>
      </c>
      <c r="B297" s="10">
        <f>IF($C297="","",IFERROR(INDEX(tbl_Finance[Invoice Numbers],MATCH($X297,tbl_Finance[Row ID],0))&amp;"",""))</f>
        <v/>
      </c>
      <c r="C297" s="37" t="n"/>
      <c r="D297" s="10">
        <f>IF($C297="","",IF(COUNTIF(lst_Jobs,$C297&amp;"")&gt;0,"OK","CHECK"))</f>
        <v/>
      </c>
      <c r="E297" s="10">
        <f>IF($C297="","",IFERROR(INDEX(lst_JobName,MATCH($C297&amp;"",lst_Jobs,0)),""))</f>
        <v/>
      </c>
      <c r="F297" s="37" t="n"/>
      <c r="G297" s="37" t="n"/>
      <c r="H297" s="37" t="n"/>
      <c r="I297" s="37" t="n"/>
      <c r="J297" s="37" t="n"/>
      <c r="K297" s="38">
        <f>IF($C297="","",IFERROR(N(INDEX(tbl_Finance[Invoice Count],MATCH($X297,tbl_Finance[Row ID],0))),""))</f>
        <v/>
      </c>
      <c r="L297" s="11">
        <f>IF($C297="","",IFERROR(N(INDEX(tbl_Finance[Xero Invoiced Ex GST],MATCH($X297,tbl_Finance[Row ID],0))),""))</f>
        <v/>
      </c>
      <c r="M297" s="10">
        <f>IF($C297="","",IFERROR(INDEX(tbl_Finance[Compare],MATCH($X297,tbl_Finance[Row ID],0))&amp;"",""))</f>
        <v/>
      </c>
      <c r="N297" s="11">
        <f>IF($C297="","",MAX(0,N(O297)-N(L297)))</f>
        <v/>
      </c>
      <c r="O297" s="39" t="n"/>
      <c r="P297" s="40">
        <f>IF($C297="","",IF((IF(F297="",", Client","")&amp;IF(G297="",", Description","")&amp;IF(H297="",", Cost Centre","")&amp;IF(I297="",", Invoice Type","")&amp;IF(J297="",", Tax Code","")&amp;IF(O297="",", Expected Revenue","")&amp;IF(COUNTIF(tbl_Finance[Job Number],$C297&amp;"")&gt;1,", Job number used twice",""))="","Complete","Fix: "&amp;MID(IF(F297="",", Client","")&amp;IF(G297="",", Description","")&amp;IF(H297="",", Cost Centre","")&amp;IF(I297="",", Invoice Type","")&amp;IF(J297="",", Tax Code","")&amp;IF(O297="",", Expected Revenue","")&amp;IF(COUNTIF(tbl_Finance[Job Number],$C297&amp;"")&gt;1,", Job number used twice",""),3,300)))</f>
        <v/>
      </c>
      <c r="Q297" s="10">
        <f>IF($C297="","",IF(H297="","(no cost centre)",H297&amp;" - GL "&amp;IFERROR(INDEX(lst_CCtoGL,MATCH(H297,lst_CCforGL,0)),"?")))</f>
        <v/>
      </c>
      <c r="R297" s="37" t="n"/>
      <c r="S297" s="37" t="n"/>
      <c r="T297" s="10">
        <f>IF(S297="","",HYPERLINK(IF(LEFT(S297,4)="http",S297,set_QwilrBase&amp;S297),"Open quote"))</f>
        <v/>
      </c>
      <c r="U297" s="41" t="n"/>
      <c r="V297" s="37" t="n"/>
      <c r="W297" s="37" t="n"/>
      <c r="X297" s="10" t="inlineStr">
        <is>
          <t>ONS-0293</t>
        </is>
      </c>
    </row>
    <row r="298">
      <c r="A298" s="16">
        <f>IF($C298="","",IFERROR(IF(INDEX(tbl_Finance[Latest Invoice Date],MATCH($X298,tbl_Finance[Row ID],0))="","",INDEX(tbl_Finance[Latest Invoice Date],MATCH($X298,tbl_Finance[Row ID],0))),""))</f>
        <v/>
      </c>
      <c r="B298" s="10">
        <f>IF($C298="","",IFERROR(INDEX(tbl_Finance[Invoice Numbers],MATCH($X298,tbl_Finance[Row ID],0))&amp;"",""))</f>
        <v/>
      </c>
      <c r="C298" s="37" t="n"/>
      <c r="D298" s="10">
        <f>IF($C298="","",IF(COUNTIF(lst_Jobs,$C298&amp;"")&gt;0,"OK","CHECK"))</f>
        <v/>
      </c>
      <c r="E298" s="10">
        <f>IF($C298="","",IFERROR(INDEX(lst_JobName,MATCH($C298&amp;"",lst_Jobs,0)),""))</f>
        <v/>
      </c>
      <c r="F298" s="37" t="n"/>
      <c r="G298" s="37" t="n"/>
      <c r="H298" s="37" t="n"/>
      <c r="I298" s="37" t="n"/>
      <c r="J298" s="37" t="n"/>
      <c r="K298" s="38">
        <f>IF($C298="","",IFERROR(N(INDEX(tbl_Finance[Invoice Count],MATCH($X298,tbl_Finance[Row ID],0))),""))</f>
        <v/>
      </c>
      <c r="L298" s="11">
        <f>IF($C298="","",IFERROR(N(INDEX(tbl_Finance[Xero Invoiced Ex GST],MATCH($X298,tbl_Finance[Row ID],0))),""))</f>
        <v/>
      </c>
      <c r="M298" s="10">
        <f>IF($C298="","",IFERROR(INDEX(tbl_Finance[Compare],MATCH($X298,tbl_Finance[Row ID],0))&amp;"",""))</f>
        <v/>
      </c>
      <c r="N298" s="11">
        <f>IF($C298="","",MAX(0,N(O298)-N(L298)))</f>
        <v/>
      </c>
      <c r="O298" s="39" t="n"/>
      <c r="P298" s="40">
        <f>IF($C298="","",IF((IF(F298="",", Client","")&amp;IF(G298="",", Description","")&amp;IF(H298="",", Cost Centre","")&amp;IF(I298="",", Invoice Type","")&amp;IF(J298="",", Tax Code","")&amp;IF(O298="",", Expected Revenue","")&amp;IF(COUNTIF(tbl_Finance[Job Number],$C298&amp;"")&gt;1,", Job number used twice",""))="","Complete","Fix: "&amp;MID(IF(F298="",", Client","")&amp;IF(G298="",", Description","")&amp;IF(H298="",", Cost Centre","")&amp;IF(I298="",", Invoice Type","")&amp;IF(J298="",", Tax Code","")&amp;IF(O298="",", Expected Revenue","")&amp;IF(COUNTIF(tbl_Finance[Job Number],$C298&amp;"")&gt;1,", Job number used twice",""),3,300)))</f>
        <v/>
      </c>
      <c r="Q298" s="10">
        <f>IF($C298="","",IF(H298="","(no cost centre)",H298&amp;" - GL "&amp;IFERROR(INDEX(lst_CCtoGL,MATCH(H298,lst_CCforGL,0)),"?")))</f>
        <v/>
      </c>
      <c r="R298" s="37" t="n"/>
      <c r="S298" s="37" t="n"/>
      <c r="T298" s="10">
        <f>IF(S298="","",HYPERLINK(IF(LEFT(S298,4)="http",S298,set_QwilrBase&amp;S298),"Open quote"))</f>
        <v/>
      </c>
      <c r="U298" s="41" t="n"/>
      <c r="V298" s="37" t="n"/>
      <c r="W298" s="37" t="n"/>
      <c r="X298" s="10" t="inlineStr">
        <is>
          <t>ONS-0294</t>
        </is>
      </c>
    </row>
    <row r="299">
      <c r="A299" s="16">
        <f>IF($C299="","",IFERROR(IF(INDEX(tbl_Finance[Latest Invoice Date],MATCH($X299,tbl_Finance[Row ID],0))="","",INDEX(tbl_Finance[Latest Invoice Date],MATCH($X299,tbl_Finance[Row ID],0))),""))</f>
        <v/>
      </c>
      <c r="B299" s="10">
        <f>IF($C299="","",IFERROR(INDEX(tbl_Finance[Invoice Numbers],MATCH($X299,tbl_Finance[Row ID],0))&amp;"",""))</f>
        <v/>
      </c>
      <c r="C299" s="37" t="n"/>
      <c r="D299" s="10">
        <f>IF($C299="","",IF(COUNTIF(lst_Jobs,$C299&amp;"")&gt;0,"OK","CHECK"))</f>
        <v/>
      </c>
      <c r="E299" s="10">
        <f>IF($C299="","",IFERROR(INDEX(lst_JobName,MATCH($C299&amp;"",lst_Jobs,0)),""))</f>
        <v/>
      </c>
      <c r="F299" s="37" t="n"/>
      <c r="G299" s="37" t="n"/>
      <c r="H299" s="37" t="n"/>
      <c r="I299" s="37" t="n"/>
      <c r="J299" s="37" t="n"/>
      <c r="K299" s="38">
        <f>IF($C299="","",IFERROR(N(INDEX(tbl_Finance[Invoice Count],MATCH($X299,tbl_Finance[Row ID],0))),""))</f>
        <v/>
      </c>
      <c r="L299" s="11">
        <f>IF($C299="","",IFERROR(N(INDEX(tbl_Finance[Xero Invoiced Ex GST],MATCH($X299,tbl_Finance[Row ID],0))),""))</f>
        <v/>
      </c>
      <c r="M299" s="10">
        <f>IF($C299="","",IFERROR(INDEX(tbl_Finance[Compare],MATCH($X299,tbl_Finance[Row ID],0))&amp;"",""))</f>
        <v/>
      </c>
      <c r="N299" s="11">
        <f>IF($C299="","",MAX(0,N(O299)-N(L299)))</f>
        <v/>
      </c>
      <c r="O299" s="39" t="n"/>
      <c r="P299" s="40">
        <f>IF($C299="","",IF((IF(F299="",", Client","")&amp;IF(G299="",", Description","")&amp;IF(H299="",", Cost Centre","")&amp;IF(I299="",", Invoice Type","")&amp;IF(J299="",", Tax Code","")&amp;IF(O299="",", Expected Revenue","")&amp;IF(COUNTIF(tbl_Finance[Job Number],$C299&amp;"")&gt;1,", Job number used twice",""))="","Complete","Fix: "&amp;MID(IF(F299="",", Client","")&amp;IF(G299="",", Description","")&amp;IF(H299="",", Cost Centre","")&amp;IF(I299="",", Invoice Type","")&amp;IF(J299="",", Tax Code","")&amp;IF(O299="",", Expected Revenue","")&amp;IF(COUNTIF(tbl_Finance[Job Number],$C299&amp;"")&gt;1,", Job number used twice",""),3,300)))</f>
        <v/>
      </c>
      <c r="Q299" s="10">
        <f>IF($C299="","",IF(H299="","(no cost centre)",H299&amp;" - GL "&amp;IFERROR(INDEX(lst_CCtoGL,MATCH(H299,lst_CCforGL,0)),"?")))</f>
        <v/>
      </c>
      <c r="R299" s="37" t="n"/>
      <c r="S299" s="37" t="n"/>
      <c r="T299" s="10">
        <f>IF(S299="","",HYPERLINK(IF(LEFT(S299,4)="http",S299,set_QwilrBase&amp;S299),"Open quote"))</f>
        <v/>
      </c>
      <c r="U299" s="41" t="n"/>
      <c r="V299" s="37" t="n"/>
      <c r="W299" s="37" t="n"/>
      <c r="X299" s="10" t="inlineStr">
        <is>
          <t>ONS-0295</t>
        </is>
      </c>
    </row>
    <row r="300">
      <c r="A300" s="16">
        <f>IF($C300="","",IFERROR(IF(INDEX(tbl_Finance[Latest Invoice Date],MATCH($X300,tbl_Finance[Row ID],0))="","",INDEX(tbl_Finance[Latest Invoice Date],MATCH($X300,tbl_Finance[Row ID],0))),""))</f>
        <v/>
      </c>
      <c r="B300" s="10">
        <f>IF($C300="","",IFERROR(INDEX(tbl_Finance[Invoice Numbers],MATCH($X300,tbl_Finance[Row ID],0))&amp;"",""))</f>
        <v/>
      </c>
      <c r="C300" s="37" t="n"/>
      <c r="D300" s="10">
        <f>IF($C300="","",IF(COUNTIF(lst_Jobs,$C300&amp;"")&gt;0,"OK","CHECK"))</f>
        <v/>
      </c>
      <c r="E300" s="10">
        <f>IF($C300="","",IFERROR(INDEX(lst_JobName,MATCH($C300&amp;"",lst_Jobs,0)),""))</f>
        <v/>
      </c>
      <c r="F300" s="37" t="n"/>
      <c r="G300" s="37" t="n"/>
      <c r="H300" s="37" t="n"/>
      <c r="I300" s="37" t="n"/>
      <c r="J300" s="37" t="n"/>
      <c r="K300" s="38">
        <f>IF($C300="","",IFERROR(N(INDEX(tbl_Finance[Invoice Count],MATCH($X300,tbl_Finance[Row ID],0))),""))</f>
        <v/>
      </c>
      <c r="L300" s="11">
        <f>IF($C300="","",IFERROR(N(INDEX(tbl_Finance[Xero Invoiced Ex GST],MATCH($X300,tbl_Finance[Row ID],0))),""))</f>
        <v/>
      </c>
      <c r="M300" s="10">
        <f>IF($C300="","",IFERROR(INDEX(tbl_Finance[Compare],MATCH($X300,tbl_Finance[Row ID],0))&amp;"",""))</f>
        <v/>
      </c>
      <c r="N300" s="11">
        <f>IF($C300="","",MAX(0,N(O300)-N(L300)))</f>
        <v/>
      </c>
      <c r="O300" s="39" t="n"/>
      <c r="P300" s="40">
        <f>IF($C300="","",IF((IF(F300="",", Client","")&amp;IF(G300="",", Description","")&amp;IF(H300="",", Cost Centre","")&amp;IF(I300="",", Invoice Type","")&amp;IF(J300="",", Tax Code","")&amp;IF(O300="",", Expected Revenue","")&amp;IF(COUNTIF(tbl_Finance[Job Number],$C300&amp;"")&gt;1,", Job number used twice",""))="","Complete","Fix: "&amp;MID(IF(F300="",", Client","")&amp;IF(G300="",", Description","")&amp;IF(H300="",", Cost Centre","")&amp;IF(I300="",", Invoice Type","")&amp;IF(J300="",", Tax Code","")&amp;IF(O300="",", Expected Revenue","")&amp;IF(COUNTIF(tbl_Finance[Job Number],$C300&amp;"")&gt;1,", Job number used twice",""),3,300)))</f>
        <v/>
      </c>
      <c r="Q300" s="10">
        <f>IF($C300="","",IF(H300="","(no cost centre)",H300&amp;" - GL "&amp;IFERROR(INDEX(lst_CCtoGL,MATCH(H300,lst_CCforGL,0)),"?")))</f>
        <v/>
      </c>
      <c r="R300" s="37" t="n"/>
      <c r="S300" s="37" t="n"/>
      <c r="T300" s="10">
        <f>IF(S300="","",HYPERLINK(IF(LEFT(S300,4)="http",S300,set_QwilrBase&amp;S300),"Open quote"))</f>
        <v/>
      </c>
      <c r="U300" s="41" t="n"/>
      <c r="V300" s="37" t="n"/>
      <c r="W300" s="37" t="n"/>
      <c r="X300" s="10" t="inlineStr">
        <is>
          <t>ONS-0296</t>
        </is>
      </c>
    </row>
    <row r="301">
      <c r="A301" s="16">
        <f>IF($C301="","",IFERROR(IF(INDEX(tbl_Finance[Latest Invoice Date],MATCH($X301,tbl_Finance[Row ID],0))="","",INDEX(tbl_Finance[Latest Invoice Date],MATCH($X301,tbl_Finance[Row ID],0))),""))</f>
        <v/>
      </c>
      <c r="B301" s="10">
        <f>IF($C301="","",IFERROR(INDEX(tbl_Finance[Invoice Numbers],MATCH($X301,tbl_Finance[Row ID],0))&amp;"",""))</f>
        <v/>
      </c>
      <c r="C301" s="37" t="n"/>
      <c r="D301" s="10">
        <f>IF($C301="","",IF(COUNTIF(lst_Jobs,$C301&amp;"")&gt;0,"OK","CHECK"))</f>
        <v/>
      </c>
      <c r="E301" s="10">
        <f>IF($C301="","",IFERROR(INDEX(lst_JobName,MATCH($C301&amp;"",lst_Jobs,0)),""))</f>
        <v/>
      </c>
      <c r="F301" s="37" t="n"/>
      <c r="G301" s="37" t="n"/>
      <c r="H301" s="37" t="n"/>
      <c r="I301" s="37" t="n"/>
      <c r="J301" s="37" t="n"/>
      <c r="K301" s="38">
        <f>IF($C301="","",IFERROR(N(INDEX(tbl_Finance[Invoice Count],MATCH($X301,tbl_Finance[Row ID],0))),""))</f>
        <v/>
      </c>
      <c r="L301" s="11">
        <f>IF($C301="","",IFERROR(N(INDEX(tbl_Finance[Xero Invoiced Ex GST],MATCH($X301,tbl_Finance[Row ID],0))),""))</f>
        <v/>
      </c>
      <c r="M301" s="10">
        <f>IF($C301="","",IFERROR(INDEX(tbl_Finance[Compare],MATCH($X301,tbl_Finance[Row ID],0))&amp;"",""))</f>
        <v/>
      </c>
      <c r="N301" s="11">
        <f>IF($C301="","",MAX(0,N(O301)-N(L301)))</f>
        <v/>
      </c>
      <c r="O301" s="39" t="n"/>
      <c r="P301" s="40">
        <f>IF($C301="","",IF((IF(F301="",", Client","")&amp;IF(G301="",", Description","")&amp;IF(H301="",", Cost Centre","")&amp;IF(I301="",", Invoice Type","")&amp;IF(J301="",", Tax Code","")&amp;IF(O301="",", Expected Revenue","")&amp;IF(COUNTIF(tbl_Finance[Job Number],$C301&amp;"")&gt;1,", Job number used twice",""))="","Complete","Fix: "&amp;MID(IF(F301="",", Client","")&amp;IF(G301="",", Description","")&amp;IF(H301="",", Cost Centre","")&amp;IF(I301="",", Invoice Type","")&amp;IF(J301="",", Tax Code","")&amp;IF(O301="",", Expected Revenue","")&amp;IF(COUNTIF(tbl_Finance[Job Number],$C301&amp;"")&gt;1,", Job number used twice",""),3,300)))</f>
        <v/>
      </c>
      <c r="Q301" s="10">
        <f>IF($C301="","",IF(H301="","(no cost centre)",H301&amp;" - GL "&amp;IFERROR(INDEX(lst_CCtoGL,MATCH(H301,lst_CCforGL,0)),"?")))</f>
        <v/>
      </c>
      <c r="R301" s="37" t="n"/>
      <c r="S301" s="37" t="n"/>
      <c r="T301" s="10">
        <f>IF(S301="","",HYPERLINK(IF(LEFT(S301,4)="http",S301,set_QwilrBase&amp;S301),"Open quote"))</f>
        <v/>
      </c>
      <c r="U301" s="41" t="n"/>
      <c r="V301" s="37" t="n"/>
      <c r="W301" s="37" t="n"/>
      <c r="X301" s="10" t="inlineStr">
        <is>
          <t>ONS-0297</t>
        </is>
      </c>
    </row>
    <row r="302">
      <c r="A302" s="16">
        <f>IF($C302="","",IFERROR(IF(INDEX(tbl_Finance[Latest Invoice Date],MATCH($X302,tbl_Finance[Row ID],0))="","",INDEX(tbl_Finance[Latest Invoice Date],MATCH($X302,tbl_Finance[Row ID],0))),""))</f>
        <v/>
      </c>
      <c r="B302" s="10">
        <f>IF($C302="","",IFERROR(INDEX(tbl_Finance[Invoice Numbers],MATCH($X302,tbl_Finance[Row ID],0))&amp;"",""))</f>
        <v/>
      </c>
      <c r="C302" s="37" t="n"/>
      <c r="D302" s="10">
        <f>IF($C302="","",IF(COUNTIF(lst_Jobs,$C302&amp;"")&gt;0,"OK","CHECK"))</f>
        <v/>
      </c>
      <c r="E302" s="10">
        <f>IF($C302="","",IFERROR(INDEX(lst_JobName,MATCH($C302&amp;"",lst_Jobs,0)),""))</f>
        <v/>
      </c>
      <c r="F302" s="37" t="n"/>
      <c r="G302" s="37" t="n"/>
      <c r="H302" s="37" t="n"/>
      <c r="I302" s="37" t="n"/>
      <c r="J302" s="37" t="n"/>
      <c r="K302" s="38">
        <f>IF($C302="","",IFERROR(N(INDEX(tbl_Finance[Invoice Count],MATCH($X302,tbl_Finance[Row ID],0))),""))</f>
        <v/>
      </c>
      <c r="L302" s="11">
        <f>IF($C302="","",IFERROR(N(INDEX(tbl_Finance[Xero Invoiced Ex GST],MATCH($X302,tbl_Finance[Row ID],0))),""))</f>
        <v/>
      </c>
      <c r="M302" s="10">
        <f>IF($C302="","",IFERROR(INDEX(tbl_Finance[Compare],MATCH($X302,tbl_Finance[Row ID],0))&amp;"",""))</f>
        <v/>
      </c>
      <c r="N302" s="11">
        <f>IF($C302="","",MAX(0,N(O302)-N(L302)))</f>
        <v/>
      </c>
      <c r="O302" s="39" t="n"/>
      <c r="P302" s="40">
        <f>IF($C302="","",IF((IF(F302="",", Client","")&amp;IF(G302="",", Description","")&amp;IF(H302="",", Cost Centre","")&amp;IF(I302="",", Invoice Type","")&amp;IF(J302="",", Tax Code","")&amp;IF(O302="",", Expected Revenue","")&amp;IF(COUNTIF(tbl_Finance[Job Number],$C302&amp;"")&gt;1,", Job number used twice",""))="","Complete","Fix: "&amp;MID(IF(F302="",", Client","")&amp;IF(G302="",", Description","")&amp;IF(H302="",", Cost Centre","")&amp;IF(I302="",", Invoice Type","")&amp;IF(J302="",", Tax Code","")&amp;IF(O302="",", Expected Revenue","")&amp;IF(COUNTIF(tbl_Finance[Job Number],$C302&amp;"")&gt;1,", Job number used twice",""),3,300)))</f>
        <v/>
      </c>
      <c r="Q302" s="10">
        <f>IF($C302="","",IF(H302="","(no cost centre)",H302&amp;" - GL "&amp;IFERROR(INDEX(lst_CCtoGL,MATCH(H302,lst_CCforGL,0)),"?")))</f>
        <v/>
      </c>
      <c r="R302" s="37" t="n"/>
      <c r="S302" s="37" t="n"/>
      <c r="T302" s="10">
        <f>IF(S302="","",HYPERLINK(IF(LEFT(S302,4)="http",S302,set_QwilrBase&amp;S302),"Open quote"))</f>
        <v/>
      </c>
      <c r="U302" s="41" t="n"/>
      <c r="V302" s="37" t="n"/>
      <c r="W302" s="37" t="n"/>
      <c r="X302" s="10" t="inlineStr">
        <is>
          <t>ONS-0298</t>
        </is>
      </c>
    </row>
    <row r="303">
      <c r="A303" s="16">
        <f>IF($C303="","",IFERROR(IF(INDEX(tbl_Finance[Latest Invoice Date],MATCH($X303,tbl_Finance[Row ID],0))="","",INDEX(tbl_Finance[Latest Invoice Date],MATCH($X303,tbl_Finance[Row ID],0))),""))</f>
        <v/>
      </c>
      <c r="B303" s="10">
        <f>IF($C303="","",IFERROR(INDEX(tbl_Finance[Invoice Numbers],MATCH($X303,tbl_Finance[Row ID],0))&amp;"",""))</f>
        <v/>
      </c>
      <c r="C303" s="37" t="n"/>
      <c r="D303" s="10">
        <f>IF($C303="","",IF(COUNTIF(lst_Jobs,$C303&amp;"")&gt;0,"OK","CHECK"))</f>
        <v/>
      </c>
      <c r="E303" s="10">
        <f>IF($C303="","",IFERROR(INDEX(lst_JobName,MATCH($C303&amp;"",lst_Jobs,0)),""))</f>
        <v/>
      </c>
      <c r="F303" s="37" t="n"/>
      <c r="G303" s="37" t="n"/>
      <c r="H303" s="37" t="n"/>
      <c r="I303" s="37" t="n"/>
      <c r="J303" s="37" t="n"/>
      <c r="K303" s="38">
        <f>IF($C303="","",IFERROR(N(INDEX(tbl_Finance[Invoice Count],MATCH($X303,tbl_Finance[Row ID],0))),""))</f>
        <v/>
      </c>
      <c r="L303" s="11">
        <f>IF($C303="","",IFERROR(N(INDEX(tbl_Finance[Xero Invoiced Ex GST],MATCH($X303,tbl_Finance[Row ID],0))),""))</f>
        <v/>
      </c>
      <c r="M303" s="10">
        <f>IF($C303="","",IFERROR(INDEX(tbl_Finance[Compare],MATCH($X303,tbl_Finance[Row ID],0))&amp;"",""))</f>
        <v/>
      </c>
      <c r="N303" s="11">
        <f>IF($C303="","",MAX(0,N(O303)-N(L303)))</f>
        <v/>
      </c>
      <c r="O303" s="39" t="n"/>
      <c r="P303" s="40">
        <f>IF($C303="","",IF((IF(F303="",", Client","")&amp;IF(G303="",", Description","")&amp;IF(H303="",", Cost Centre","")&amp;IF(I303="",", Invoice Type","")&amp;IF(J303="",", Tax Code","")&amp;IF(O303="",", Expected Revenue","")&amp;IF(COUNTIF(tbl_Finance[Job Number],$C303&amp;"")&gt;1,", Job number used twice",""))="","Complete","Fix: "&amp;MID(IF(F303="",", Client","")&amp;IF(G303="",", Description","")&amp;IF(H303="",", Cost Centre","")&amp;IF(I303="",", Invoice Type","")&amp;IF(J303="",", Tax Code","")&amp;IF(O303="",", Expected Revenue","")&amp;IF(COUNTIF(tbl_Finance[Job Number],$C303&amp;"")&gt;1,", Job number used twice",""),3,300)))</f>
        <v/>
      </c>
      <c r="Q303" s="10">
        <f>IF($C303="","",IF(H303="","(no cost centre)",H303&amp;" - GL "&amp;IFERROR(INDEX(lst_CCtoGL,MATCH(H303,lst_CCforGL,0)),"?")))</f>
        <v/>
      </c>
      <c r="R303" s="37" t="n"/>
      <c r="S303" s="37" t="n"/>
      <c r="T303" s="10">
        <f>IF(S303="","",HYPERLINK(IF(LEFT(S303,4)="http",S303,set_QwilrBase&amp;S303),"Open quote"))</f>
        <v/>
      </c>
      <c r="U303" s="41" t="n"/>
      <c r="V303" s="37" t="n"/>
      <c r="W303" s="37" t="n"/>
      <c r="X303" s="10" t="inlineStr">
        <is>
          <t>ONS-0299</t>
        </is>
      </c>
    </row>
    <row r="304">
      <c r="A304" s="16">
        <f>IF($C304="","",IFERROR(IF(INDEX(tbl_Finance[Latest Invoice Date],MATCH($X304,tbl_Finance[Row ID],0))="","",INDEX(tbl_Finance[Latest Invoice Date],MATCH($X304,tbl_Finance[Row ID],0))),""))</f>
        <v/>
      </c>
      <c r="B304" s="10">
        <f>IF($C304="","",IFERROR(INDEX(tbl_Finance[Invoice Numbers],MATCH($X304,tbl_Finance[Row ID],0))&amp;"",""))</f>
        <v/>
      </c>
      <c r="C304" s="37" t="n"/>
      <c r="D304" s="10">
        <f>IF($C304="","",IF(COUNTIF(lst_Jobs,$C304&amp;"")&gt;0,"OK","CHECK"))</f>
        <v/>
      </c>
      <c r="E304" s="10">
        <f>IF($C304="","",IFERROR(INDEX(lst_JobName,MATCH($C304&amp;"",lst_Jobs,0)),""))</f>
        <v/>
      </c>
      <c r="F304" s="37" t="n"/>
      <c r="G304" s="37" t="n"/>
      <c r="H304" s="37" t="n"/>
      <c r="I304" s="37" t="n"/>
      <c r="J304" s="37" t="n"/>
      <c r="K304" s="38">
        <f>IF($C304="","",IFERROR(N(INDEX(tbl_Finance[Invoice Count],MATCH($X304,tbl_Finance[Row ID],0))),""))</f>
        <v/>
      </c>
      <c r="L304" s="11">
        <f>IF($C304="","",IFERROR(N(INDEX(tbl_Finance[Xero Invoiced Ex GST],MATCH($X304,tbl_Finance[Row ID],0))),""))</f>
        <v/>
      </c>
      <c r="M304" s="10">
        <f>IF($C304="","",IFERROR(INDEX(tbl_Finance[Compare],MATCH($X304,tbl_Finance[Row ID],0))&amp;"",""))</f>
        <v/>
      </c>
      <c r="N304" s="11">
        <f>IF($C304="","",MAX(0,N(O304)-N(L304)))</f>
        <v/>
      </c>
      <c r="O304" s="39" t="n"/>
      <c r="P304" s="40">
        <f>IF($C304="","",IF((IF(F304="",", Client","")&amp;IF(G304="",", Description","")&amp;IF(H304="",", Cost Centre","")&amp;IF(I304="",", Invoice Type","")&amp;IF(J304="",", Tax Code","")&amp;IF(O304="",", Expected Revenue","")&amp;IF(COUNTIF(tbl_Finance[Job Number],$C304&amp;"")&gt;1,", Job number used twice",""))="","Complete","Fix: "&amp;MID(IF(F304="",", Client","")&amp;IF(G304="",", Description","")&amp;IF(H304="",", Cost Centre","")&amp;IF(I304="",", Invoice Type","")&amp;IF(J304="",", Tax Code","")&amp;IF(O304="",", Expected Revenue","")&amp;IF(COUNTIF(tbl_Finance[Job Number],$C304&amp;"")&gt;1,", Job number used twice",""),3,300)))</f>
        <v/>
      </c>
      <c r="Q304" s="10">
        <f>IF($C304="","",IF(H304="","(no cost centre)",H304&amp;" - GL "&amp;IFERROR(INDEX(lst_CCtoGL,MATCH(H304,lst_CCforGL,0)),"?")))</f>
        <v/>
      </c>
      <c r="R304" s="37" t="n"/>
      <c r="S304" s="37" t="n"/>
      <c r="T304" s="10">
        <f>IF(S304="","",HYPERLINK(IF(LEFT(S304,4)="http",S304,set_QwilrBase&amp;S304),"Open quote"))</f>
        <v/>
      </c>
      <c r="U304" s="41" t="n"/>
      <c r="V304" s="37" t="n"/>
      <c r="W304" s="37" t="n"/>
      <c r="X304" s="10" t="inlineStr">
        <is>
          <t>ONS-0300</t>
        </is>
      </c>
    </row>
    <row r="305">
      <c r="A305" s="16">
        <f>IF($C305="","",IFERROR(IF(INDEX(tbl_Finance[Latest Invoice Date],MATCH($X305,tbl_Finance[Row ID],0))="","",INDEX(tbl_Finance[Latest Invoice Date],MATCH($X305,tbl_Finance[Row ID],0))),""))</f>
        <v/>
      </c>
      <c r="B305" s="10">
        <f>IF($C305="","",IFERROR(INDEX(tbl_Finance[Invoice Numbers],MATCH($X305,tbl_Finance[Row ID],0))&amp;"",""))</f>
        <v/>
      </c>
      <c r="C305" s="37" t="n"/>
      <c r="D305" s="10">
        <f>IF($C305="","",IF(COUNTIF(lst_Jobs,$C305&amp;"")&gt;0,"OK","CHECK"))</f>
        <v/>
      </c>
      <c r="E305" s="10">
        <f>IF($C305="","",IFERROR(INDEX(lst_JobName,MATCH($C305&amp;"",lst_Jobs,0)),""))</f>
        <v/>
      </c>
      <c r="F305" s="37" t="n"/>
      <c r="G305" s="37" t="n"/>
      <c r="H305" s="37" t="n"/>
      <c r="I305" s="37" t="n"/>
      <c r="J305" s="37" t="n"/>
      <c r="K305" s="38">
        <f>IF($C305="","",IFERROR(N(INDEX(tbl_Finance[Invoice Count],MATCH($X305,tbl_Finance[Row ID],0))),""))</f>
        <v/>
      </c>
      <c r="L305" s="11">
        <f>IF($C305="","",IFERROR(N(INDEX(tbl_Finance[Xero Invoiced Ex GST],MATCH($X305,tbl_Finance[Row ID],0))),""))</f>
        <v/>
      </c>
      <c r="M305" s="10">
        <f>IF($C305="","",IFERROR(INDEX(tbl_Finance[Compare],MATCH($X305,tbl_Finance[Row ID],0))&amp;"",""))</f>
        <v/>
      </c>
      <c r="N305" s="11">
        <f>IF($C305="","",MAX(0,N(O305)-N(L305)))</f>
        <v/>
      </c>
      <c r="O305" s="39" t="n"/>
      <c r="P305" s="40">
        <f>IF($C305="","",IF((IF(F305="",", Client","")&amp;IF(G305="",", Description","")&amp;IF(H305="",", Cost Centre","")&amp;IF(I305="",", Invoice Type","")&amp;IF(J305="",", Tax Code","")&amp;IF(O305="",", Expected Revenue","")&amp;IF(COUNTIF(tbl_Finance[Job Number],$C305&amp;"")&gt;1,", Job number used twice",""))="","Complete","Fix: "&amp;MID(IF(F305="",", Client","")&amp;IF(G305="",", Description","")&amp;IF(H305="",", Cost Centre","")&amp;IF(I305="",", Invoice Type","")&amp;IF(J305="",", Tax Code","")&amp;IF(O305="",", Expected Revenue","")&amp;IF(COUNTIF(tbl_Finance[Job Number],$C305&amp;"")&gt;1,", Job number used twice",""),3,300)))</f>
        <v/>
      </c>
      <c r="Q305" s="10">
        <f>IF($C305="","",IF(H305="","(no cost centre)",H305&amp;" - GL "&amp;IFERROR(INDEX(lst_CCtoGL,MATCH(H305,lst_CCforGL,0)),"?")))</f>
        <v/>
      </c>
      <c r="R305" s="37" t="n"/>
      <c r="S305" s="37" t="n"/>
      <c r="T305" s="10">
        <f>IF(S305="","",HYPERLINK(IF(LEFT(S305,4)="http",S305,set_QwilrBase&amp;S305),"Open quote"))</f>
        <v/>
      </c>
      <c r="U305" s="41" t="n"/>
      <c r="V305" s="37" t="n"/>
      <c r="W305" s="37" t="n"/>
      <c r="X305" s="10" t="inlineStr">
        <is>
          <t>ONS-0301</t>
        </is>
      </c>
    </row>
    <row r="306">
      <c r="A306" s="16">
        <f>IF($C306="","",IFERROR(IF(INDEX(tbl_Finance[Latest Invoice Date],MATCH($X306,tbl_Finance[Row ID],0))="","",INDEX(tbl_Finance[Latest Invoice Date],MATCH($X306,tbl_Finance[Row ID],0))),""))</f>
        <v/>
      </c>
      <c r="B306" s="10">
        <f>IF($C306="","",IFERROR(INDEX(tbl_Finance[Invoice Numbers],MATCH($X306,tbl_Finance[Row ID],0))&amp;"",""))</f>
        <v/>
      </c>
      <c r="C306" s="37" t="n"/>
      <c r="D306" s="10">
        <f>IF($C306="","",IF(COUNTIF(lst_Jobs,$C306&amp;"")&gt;0,"OK","CHECK"))</f>
        <v/>
      </c>
      <c r="E306" s="10">
        <f>IF($C306="","",IFERROR(INDEX(lst_JobName,MATCH($C306&amp;"",lst_Jobs,0)),""))</f>
        <v/>
      </c>
      <c r="F306" s="37" t="n"/>
      <c r="G306" s="37" t="n"/>
      <c r="H306" s="37" t="n"/>
      <c r="I306" s="37" t="n"/>
      <c r="J306" s="37" t="n"/>
      <c r="K306" s="38">
        <f>IF($C306="","",IFERROR(N(INDEX(tbl_Finance[Invoice Count],MATCH($X306,tbl_Finance[Row ID],0))),""))</f>
        <v/>
      </c>
      <c r="L306" s="11">
        <f>IF($C306="","",IFERROR(N(INDEX(tbl_Finance[Xero Invoiced Ex GST],MATCH($X306,tbl_Finance[Row ID],0))),""))</f>
        <v/>
      </c>
      <c r="M306" s="10">
        <f>IF($C306="","",IFERROR(INDEX(tbl_Finance[Compare],MATCH($X306,tbl_Finance[Row ID],0))&amp;"",""))</f>
        <v/>
      </c>
      <c r="N306" s="11">
        <f>IF($C306="","",MAX(0,N(O306)-N(L306)))</f>
        <v/>
      </c>
      <c r="O306" s="39" t="n"/>
      <c r="P306" s="40">
        <f>IF($C306="","",IF((IF(F306="",", Client","")&amp;IF(G306="",", Description","")&amp;IF(H306="",", Cost Centre","")&amp;IF(I306="",", Invoice Type","")&amp;IF(J306="",", Tax Code","")&amp;IF(O306="",", Expected Revenue","")&amp;IF(COUNTIF(tbl_Finance[Job Number],$C306&amp;"")&gt;1,", Job number used twice",""))="","Complete","Fix: "&amp;MID(IF(F306="",", Client","")&amp;IF(G306="",", Description","")&amp;IF(H306="",", Cost Centre","")&amp;IF(I306="",", Invoice Type","")&amp;IF(J306="",", Tax Code","")&amp;IF(O306="",", Expected Revenue","")&amp;IF(COUNTIF(tbl_Finance[Job Number],$C306&amp;"")&gt;1,", Job number used twice",""),3,300)))</f>
        <v/>
      </c>
      <c r="Q306" s="10">
        <f>IF($C306="","",IF(H306="","(no cost centre)",H306&amp;" - GL "&amp;IFERROR(INDEX(lst_CCtoGL,MATCH(H306,lst_CCforGL,0)),"?")))</f>
        <v/>
      </c>
      <c r="R306" s="37" t="n"/>
      <c r="S306" s="37" t="n"/>
      <c r="T306" s="10">
        <f>IF(S306="","",HYPERLINK(IF(LEFT(S306,4)="http",S306,set_QwilrBase&amp;S306),"Open quote"))</f>
        <v/>
      </c>
      <c r="U306" s="41" t="n"/>
      <c r="V306" s="37" t="n"/>
      <c r="W306" s="37" t="n"/>
      <c r="X306" s="10" t="inlineStr">
        <is>
          <t>ONS-0302</t>
        </is>
      </c>
    </row>
    <row r="307">
      <c r="A307" s="16">
        <f>IF($C307="","",IFERROR(IF(INDEX(tbl_Finance[Latest Invoice Date],MATCH($X307,tbl_Finance[Row ID],0))="","",INDEX(tbl_Finance[Latest Invoice Date],MATCH($X307,tbl_Finance[Row ID],0))),""))</f>
        <v/>
      </c>
      <c r="B307" s="10">
        <f>IF($C307="","",IFERROR(INDEX(tbl_Finance[Invoice Numbers],MATCH($X307,tbl_Finance[Row ID],0))&amp;"",""))</f>
        <v/>
      </c>
      <c r="C307" s="37" t="n"/>
      <c r="D307" s="10">
        <f>IF($C307="","",IF(COUNTIF(lst_Jobs,$C307&amp;"")&gt;0,"OK","CHECK"))</f>
        <v/>
      </c>
      <c r="E307" s="10">
        <f>IF($C307="","",IFERROR(INDEX(lst_JobName,MATCH($C307&amp;"",lst_Jobs,0)),""))</f>
        <v/>
      </c>
      <c r="F307" s="37" t="n"/>
      <c r="G307" s="37" t="n"/>
      <c r="H307" s="37" t="n"/>
      <c r="I307" s="37" t="n"/>
      <c r="J307" s="37" t="n"/>
      <c r="K307" s="38">
        <f>IF($C307="","",IFERROR(N(INDEX(tbl_Finance[Invoice Count],MATCH($X307,tbl_Finance[Row ID],0))),""))</f>
        <v/>
      </c>
      <c r="L307" s="11">
        <f>IF($C307="","",IFERROR(N(INDEX(tbl_Finance[Xero Invoiced Ex GST],MATCH($X307,tbl_Finance[Row ID],0))),""))</f>
        <v/>
      </c>
      <c r="M307" s="10">
        <f>IF($C307="","",IFERROR(INDEX(tbl_Finance[Compare],MATCH($X307,tbl_Finance[Row ID],0))&amp;"",""))</f>
        <v/>
      </c>
      <c r="N307" s="11">
        <f>IF($C307="","",MAX(0,N(O307)-N(L307)))</f>
        <v/>
      </c>
      <c r="O307" s="39" t="n"/>
      <c r="P307" s="40">
        <f>IF($C307="","",IF((IF(F307="",", Client","")&amp;IF(G307="",", Description","")&amp;IF(H307="",", Cost Centre","")&amp;IF(I307="",", Invoice Type","")&amp;IF(J307="",", Tax Code","")&amp;IF(O307="",", Expected Revenue","")&amp;IF(COUNTIF(tbl_Finance[Job Number],$C307&amp;"")&gt;1,", Job number used twice",""))="","Complete","Fix: "&amp;MID(IF(F307="",", Client","")&amp;IF(G307="",", Description","")&amp;IF(H307="",", Cost Centre","")&amp;IF(I307="",", Invoice Type","")&amp;IF(J307="",", Tax Code","")&amp;IF(O307="",", Expected Revenue","")&amp;IF(COUNTIF(tbl_Finance[Job Number],$C307&amp;"")&gt;1,", Job number used twice",""),3,300)))</f>
        <v/>
      </c>
      <c r="Q307" s="10">
        <f>IF($C307="","",IF(H307="","(no cost centre)",H307&amp;" - GL "&amp;IFERROR(INDEX(lst_CCtoGL,MATCH(H307,lst_CCforGL,0)),"?")))</f>
        <v/>
      </c>
      <c r="R307" s="37" t="n"/>
      <c r="S307" s="37" t="n"/>
      <c r="T307" s="10">
        <f>IF(S307="","",HYPERLINK(IF(LEFT(S307,4)="http",S307,set_QwilrBase&amp;S307),"Open quote"))</f>
        <v/>
      </c>
      <c r="U307" s="41" t="n"/>
      <c r="V307" s="37" t="n"/>
      <c r="W307" s="37" t="n"/>
      <c r="X307" s="10" t="inlineStr">
        <is>
          <t>ONS-0303</t>
        </is>
      </c>
    </row>
    <row r="308">
      <c r="A308" s="16">
        <f>IF($C308="","",IFERROR(IF(INDEX(tbl_Finance[Latest Invoice Date],MATCH($X308,tbl_Finance[Row ID],0))="","",INDEX(tbl_Finance[Latest Invoice Date],MATCH($X308,tbl_Finance[Row ID],0))),""))</f>
        <v/>
      </c>
      <c r="B308" s="10">
        <f>IF($C308="","",IFERROR(INDEX(tbl_Finance[Invoice Numbers],MATCH($X308,tbl_Finance[Row ID],0))&amp;"",""))</f>
        <v/>
      </c>
      <c r="C308" s="37" t="n"/>
      <c r="D308" s="10">
        <f>IF($C308="","",IF(COUNTIF(lst_Jobs,$C308&amp;"")&gt;0,"OK","CHECK"))</f>
        <v/>
      </c>
      <c r="E308" s="10">
        <f>IF($C308="","",IFERROR(INDEX(lst_JobName,MATCH($C308&amp;"",lst_Jobs,0)),""))</f>
        <v/>
      </c>
      <c r="F308" s="37" t="n"/>
      <c r="G308" s="37" t="n"/>
      <c r="H308" s="37" t="n"/>
      <c r="I308" s="37" t="n"/>
      <c r="J308" s="37" t="n"/>
      <c r="K308" s="38">
        <f>IF($C308="","",IFERROR(N(INDEX(tbl_Finance[Invoice Count],MATCH($X308,tbl_Finance[Row ID],0))),""))</f>
        <v/>
      </c>
      <c r="L308" s="11">
        <f>IF($C308="","",IFERROR(N(INDEX(tbl_Finance[Xero Invoiced Ex GST],MATCH($X308,tbl_Finance[Row ID],0))),""))</f>
        <v/>
      </c>
      <c r="M308" s="10">
        <f>IF($C308="","",IFERROR(INDEX(tbl_Finance[Compare],MATCH($X308,tbl_Finance[Row ID],0))&amp;"",""))</f>
        <v/>
      </c>
      <c r="N308" s="11">
        <f>IF($C308="","",MAX(0,N(O308)-N(L308)))</f>
        <v/>
      </c>
      <c r="O308" s="39" t="n"/>
      <c r="P308" s="40">
        <f>IF($C308="","",IF((IF(F308="",", Client","")&amp;IF(G308="",", Description","")&amp;IF(H308="",", Cost Centre","")&amp;IF(I308="",", Invoice Type","")&amp;IF(J308="",", Tax Code","")&amp;IF(O308="",", Expected Revenue","")&amp;IF(COUNTIF(tbl_Finance[Job Number],$C308&amp;"")&gt;1,", Job number used twice",""))="","Complete","Fix: "&amp;MID(IF(F308="",", Client","")&amp;IF(G308="",", Description","")&amp;IF(H308="",", Cost Centre","")&amp;IF(I308="",", Invoice Type","")&amp;IF(J308="",", Tax Code","")&amp;IF(O308="",", Expected Revenue","")&amp;IF(COUNTIF(tbl_Finance[Job Number],$C308&amp;"")&gt;1,", Job number used twice",""),3,300)))</f>
        <v/>
      </c>
      <c r="Q308" s="10">
        <f>IF($C308="","",IF(H308="","(no cost centre)",H308&amp;" - GL "&amp;IFERROR(INDEX(lst_CCtoGL,MATCH(H308,lst_CCforGL,0)),"?")))</f>
        <v/>
      </c>
      <c r="R308" s="37" t="n"/>
      <c r="S308" s="37" t="n"/>
      <c r="T308" s="10">
        <f>IF(S308="","",HYPERLINK(IF(LEFT(S308,4)="http",S308,set_QwilrBase&amp;S308),"Open quote"))</f>
        <v/>
      </c>
      <c r="U308" s="41" t="n"/>
      <c r="V308" s="37" t="n"/>
      <c r="W308" s="37" t="n"/>
      <c r="X308" s="10" t="inlineStr">
        <is>
          <t>ONS-0304</t>
        </is>
      </c>
    </row>
    <row r="309">
      <c r="A309" s="16">
        <f>IF($C309="","",IFERROR(IF(INDEX(tbl_Finance[Latest Invoice Date],MATCH($X309,tbl_Finance[Row ID],0))="","",INDEX(tbl_Finance[Latest Invoice Date],MATCH($X309,tbl_Finance[Row ID],0))),""))</f>
        <v/>
      </c>
      <c r="B309" s="10">
        <f>IF($C309="","",IFERROR(INDEX(tbl_Finance[Invoice Numbers],MATCH($X309,tbl_Finance[Row ID],0))&amp;"",""))</f>
        <v/>
      </c>
      <c r="C309" s="37" t="n"/>
      <c r="D309" s="10">
        <f>IF($C309="","",IF(COUNTIF(lst_Jobs,$C309&amp;"")&gt;0,"OK","CHECK"))</f>
        <v/>
      </c>
      <c r="E309" s="10">
        <f>IF($C309="","",IFERROR(INDEX(lst_JobName,MATCH($C309&amp;"",lst_Jobs,0)),""))</f>
        <v/>
      </c>
      <c r="F309" s="37" t="n"/>
      <c r="G309" s="37" t="n"/>
      <c r="H309" s="37" t="n"/>
      <c r="I309" s="37" t="n"/>
      <c r="J309" s="37" t="n"/>
      <c r="K309" s="38">
        <f>IF($C309="","",IFERROR(N(INDEX(tbl_Finance[Invoice Count],MATCH($X309,tbl_Finance[Row ID],0))),""))</f>
        <v/>
      </c>
      <c r="L309" s="11">
        <f>IF($C309="","",IFERROR(N(INDEX(tbl_Finance[Xero Invoiced Ex GST],MATCH($X309,tbl_Finance[Row ID],0))),""))</f>
        <v/>
      </c>
      <c r="M309" s="10">
        <f>IF($C309="","",IFERROR(INDEX(tbl_Finance[Compare],MATCH($X309,tbl_Finance[Row ID],0))&amp;"",""))</f>
        <v/>
      </c>
      <c r="N309" s="11">
        <f>IF($C309="","",MAX(0,N(O309)-N(L309)))</f>
        <v/>
      </c>
      <c r="O309" s="39" t="n"/>
      <c r="P309" s="40">
        <f>IF($C309="","",IF((IF(F309="",", Client","")&amp;IF(G309="",", Description","")&amp;IF(H309="",", Cost Centre","")&amp;IF(I309="",", Invoice Type","")&amp;IF(J309="",", Tax Code","")&amp;IF(O309="",", Expected Revenue","")&amp;IF(COUNTIF(tbl_Finance[Job Number],$C309&amp;"")&gt;1,", Job number used twice",""))="","Complete","Fix: "&amp;MID(IF(F309="",", Client","")&amp;IF(G309="",", Description","")&amp;IF(H309="",", Cost Centre","")&amp;IF(I309="",", Invoice Type","")&amp;IF(J309="",", Tax Code","")&amp;IF(O309="",", Expected Revenue","")&amp;IF(COUNTIF(tbl_Finance[Job Number],$C309&amp;"")&gt;1,", Job number used twice",""),3,300)))</f>
        <v/>
      </c>
      <c r="Q309" s="10">
        <f>IF($C309="","",IF(H309="","(no cost centre)",H309&amp;" - GL "&amp;IFERROR(INDEX(lst_CCtoGL,MATCH(H309,lst_CCforGL,0)),"?")))</f>
        <v/>
      </c>
      <c r="R309" s="37" t="n"/>
      <c r="S309" s="37" t="n"/>
      <c r="T309" s="10">
        <f>IF(S309="","",HYPERLINK(IF(LEFT(S309,4)="http",S309,set_QwilrBase&amp;S309),"Open quote"))</f>
        <v/>
      </c>
      <c r="U309" s="41" t="n"/>
      <c r="V309" s="37" t="n"/>
      <c r="W309" s="37" t="n"/>
      <c r="X309" s="10" t="inlineStr">
        <is>
          <t>ONS-0305</t>
        </is>
      </c>
    </row>
    <row r="310">
      <c r="A310" s="16">
        <f>IF($C310="","",IFERROR(IF(INDEX(tbl_Finance[Latest Invoice Date],MATCH($X310,tbl_Finance[Row ID],0))="","",INDEX(tbl_Finance[Latest Invoice Date],MATCH($X310,tbl_Finance[Row ID],0))),""))</f>
        <v/>
      </c>
      <c r="B310" s="10">
        <f>IF($C310="","",IFERROR(INDEX(tbl_Finance[Invoice Numbers],MATCH($X310,tbl_Finance[Row ID],0))&amp;"",""))</f>
        <v/>
      </c>
      <c r="C310" s="37" t="n"/>
      <c r="D310" s="10">
        <f>IF($C310="","",IF(COUNTIF(lst_Jobs,$C310&amp;"")&gt;0,"OK","CHECK"))</f>
        <v/>
      </c>
      <c r="E310" s="10">
        <f>IF($C310="","",IFERROR(INDEX(lst_JobName,MATCH($C310&amp;"",lst_Jobs,0)),""))</f>
        <v/>
      </c>
      <c r="F310" s="37" t="n"/>
      <c r="G310" s="37" t="n"/>
      <c r="H310" s="37" t="n"/>
      <c r="I310" s="37" t="n"/>
      <c r="J310" s="37" t="n"/>
      <c r="K310" s="38">
        <f>IF($C310="","",IFERROR(N(INDEX(tbl_Finance[Invoice Count],MATCH($X310,tbl_Finance[Row ID],0))),""))</f>
        <v/>
      </c>
      <c r="L310" s="11">
        <f>IF($C310="","",IFERROR(N(INDEX(tbl_Finance[Xero Invoiced Ex GST],MATCH($X310,tbl_Finance[Row ID],0))),""))</f>
        <v/>
      </c>
      <c r="M310" s="10">
        <f>IF($C310="","",IFERROR(INDEX(tbl_Finance[Compare],MATCH($X310,tbl_Finance[Row ID],0))&amp;"",""))</f>
        <v/>
      </c>
      <c r="N310" s="11">
        <f>IF($C310="","",MAX(0,N(O310)-N(L310)))</f>
        <v/>
      </c>
      <c r="O310" s="39" t="n"/>
      <c r="P310" s="40">
        <f>IF($C310="","",IF((IF(F310="",", Client","")&amp;IF(G310="",", Description","")&amp;IF(H310="",", Cost Centre","")&amp;IF(I310="",", Invoice Type","")&amp;IF(J310="",", Tax Code","")&amp;IF(O310="",", Expected Revenue","")&amp;IF(COUNTIF(tbl_Finance[Job Number],$C310&amp;"")&gt;1,", Job number used twice",""))="","Complete","Fix: "&amp;MID(IF(F310="",", Client","")&amp;IF(G310="",", Description","")&amp;IF(H310="",", Cost Centre","")&amp;IF(I310="",", Invoice Type","")&amp;IF(J310="",", Tax Code","")&amp;IF(O310="",", Expected Revenue","")&amp;IF(COUNTIF(tbl_Finance[Job Number],$C310&amp;"")&gt;1,", Job number used twice",""),3,300)))</f>
        <v/>
      </c>
      <c r="Q310" s="10">
        <f>IF($C310="","",IF(H310="","(no cost centre)",H310&amp;" - GL "&amp;IFERROR(INDEX(lst_CCtoGL,MATCH(H310,lst_CCforGL,0)),"?")))</f>
        <v/>
      </c>
      <c r="R310" s="37" t="n"/>
      <c r="S310" s="37" t="n"/>
      <c r="T310" s="10">
        <f>IF(S310="","",HYPERLINK(IF(LEFT(S310,4)="http",S310,set_QwilrBase&amp;S310),"Open quote"))</f>
        <v/>
      </c>
      <c r="U310" s="41" t="n"/>
      <c r="V310" s="37" t="n"/>
      <c r="W310" s="37" t="n"/>
      <c r="X310" s="10" t="inlineStr">
        <is>
          <t>ONS-0306</t>
        </is>
      </c>
    </row>
    <row r="311">
      <c r="A311" s="16">
        <f>IF($C311="","",IFERROR(IF(INDEX(tbl_Finance[Latest Invoice Date],MATCH($X311,tbl_Finance[Row ID],0))="","",INDEX(tbl_Finance[Latest Invoice Date],MATCH($X311,tbl_Finance[Row ID],0))),""))</f>
        <v/>
      </c>
      <c r="B311" s="10">
        <f>IF($C311="","",IFERROR(INDEX(tbl_Finance[Invoice Numbers],MATCH($X311,tbl_Finance[Row ID],0))&amp;"",""))</f>
        <v/>
      </c>
      <c r="C311" s="37" t="n"/>
      <c r="D311" s="10">
        <f>IF($C311="","",IF(COUNTIF(lst_Jobs,$C311&amp;"")&gt;0,"OK","CHECK"))</f>
        <v/>
      </c>
      <c r="E311" s="10">
        <f>IF($C311="","",IFERROR(INDEX(lst_JobName,MATCH($C311&amp;"",lst_Jobs,0)),""))</f>
        <v/>
      </c>
      <c r="F311" s="37" t="n"/>
      <c r="G311" s="37" t="n"/>
      <c r="H311" s="37" t="n"/>
      <c r="I311" s="37" t="n"/>
      <c r="J311" s="37" t="n"/>
      <c r="K311" s="38">
        <f>IF($C311="","",IFERROR(N(INDEX(tbl_Finance[Invoice Count],MATCH($X311,tbl_Finance[Row ID],0))),""))</f>
        <v/>
      </c>
      <c r="L311" s="11">
        <f>IF($C311="","",IFERROR(N(INDEX(tbl_Finance[Xero Invoiced Ex GST],MATCH($X311,tbl_Finance[Row ID],0))),""))</f>
        <v/>
      </c>
      <c r="M311" s="10">
        <f>IF($C311="","",IFERROR(INDEX(tbl_Finance[Compare],MATCH($X311,tbl_Finance[Row ID],0))&amp;"",""))</f>
        <v/>
      </c>
      <c r="N311" s="11">
        <f>IF($C311="","",MAX(0,N(O311)-N(L311)))</f>
        <v/>
      </c>
      <c r="O311" s="39" t="n"/>
      <c r="P311" s="40">
        <f>IF($C311="","",IF((IF(F311="",", Client","")&amp;IF(G311="",", Description","")&amp;IF(H311="",", Cost Centre","")&amp;IF(I311="",", Invoice Type","")&amp;IF(J311="",", Tax Code","")&amp;IF(O311="",", Expected Revenue","")&amp;IF(COUNTIF(tbl_Finance[Job Number],$C311&amp;"")&gt;1,", Job number used twice",""))="","Complete","Fix: "&amp;MID(IF(F311="",", Client","")&amp;IF(G311="",", Description","")&amp;IF(H311="",", Cost Centre","")&amp;IF(I311="",", Invoice Type","")&amp;IF(J311="",", Tax Code","")&amp;IF(O311="",", Expected Revenue","")&amp;IF(COUNTIF(tbl_Finance[Job Number],$C311&amp;"")&gt;1,", Job number used twice",""),3,300)))</f>
        <v/>
      </c>
      <c r="Q311" s="10">
        <f>IF($C311="","",IF(H311="","(no cost centre)",H311&amp;" - GL "&amp;IFERROR(INDEX(lst_CCtoGL,MATCH(H311,lst_CCforGL,0)),"?")))</f>
        <v/>
      </c>
      <c r="R311" s="37" t="n"/>
      <c r="S311" s="37" t="n"/>
      <c r="T311" s="10">
        <f>IF(S311="","",HYPERLINK(IF(LEFT(S311,4)="http",S311,set_QwilrBase&amp;S311),"Open quote"))</f>
        <v/>
      </c>
      <c r="U311" s="41" t="n"/>
      <c r="V311" s="37" t="n"/>
      <c r="W311" s="37" t="n"/>
      <c r="X311" s="10" t="inlineStr">
        <is>
          <t>ONS-0307</t>
        </is>
      </c>
    </row>
    <row r="312">
      <c r="A312" s="16">
        <f>IF($C312="","",IFERROR(IF(INDEX(tbl_Finance[Latest Invoice Date],MATCH($X312,tbl_Finance[Row ID],0))="","",INDEX(tbl_Finance[Latest Invoice Date],MATCH($X312,tbl_Finance[Row ID],0))),""))</f>
        <v/>
      </c>
      <c r="B312" s="10">
        <f>IF($C312="","",IFERROR(INDEX(tbl_Finance[Invoice Numbers],MATCH($X312,tbl_Finance[Row ID],0))&amp;"",""))</f>
        <v/>
      </c>
      <c r="C312" s="37" t="n"/>
      <c r="D312" s="10">
        <f>IF($C312="","",IF(COUNTIF(lst_Jobs,$C312&amp;"")&gt;0,"OK","CHECK"))</f>
        <v/>
      </c>
      <c r="E312" s="10">
        <f>IF($C312="","",IFERROR(INDEX(lst_JobName,MATCH($C312&amp;"",lst_Jobs,0)),""))</f>
        <v/>
      </c>
      <c r="F312" s="37" t="n"/>
      <c r="G312" s="37" t="n"/>
      <c r="H312" s="37" t="n"/>
      <c r="I312" s="37" t="n"/>
      <c r="J312" s="37" t="n"/>
      <c r="K312" s="38">
        <f>IF($C312="","",IFERROR(N(INDEX(tbl_Finance[Invoice Count],MATCH($X312,tbl_Finance[Row ID],0))),""))</f>
        <v/>
      </c>
      <c r="L312" s="11">
        <f>IF($C312="","",IFERROR(N(INDEX(tbl_Finance[Xero Invoiced Ex GST],MATCH($X312,tbl_Finance[Row ID],0))),""))</f>
        <v/>
      </c>
      <c r="M312" s="10">
        <f>IF($C312="","",IFERROR(INDEX(tbl_Finance[Compare],MATCH($X312,tbl_Finance[Row ID],0))&amp;"",""))</f>
        <v/>
      </c>
      <c r="N312" s="11">
        <f>IF($C312="","",MAX(0,N(O312)-N(L312)))</f>
        <v/>
      </c>
      <c r="O312" s="39" t="n"/>
      <c r="P312" s="40">
        <f>IF($C312="","",IF((IF(F312="",", Client","")&amp;IF(G312="",", Description","")&amp;IF(H312="",", Cost Centre","")&amp;IF(I312="",", Invoice Type","")&amp;IF(J312="",", Tax Code","")&amp;IF(O312="",", Expected Revenue","")&amp;IF(COUNTIF(tbl_Finance[Job Number],$C312&amp;"")&gt;1,", Job number used twice",""))="","Complete","Fix: "&amp;MID(IF(F312="",", Client","")&amp;IF(G312="",", Description","")&amp;IF(H312="",", Cost Centre","")&amp;IF(I312="",", Invoice Type","")&amp;IF(J312="",", Tax Code","")&amp;IF(O312="",", Expected Revenue","")&amp;IF(COUNTIF(tbl_Finance[Job Number],$C312&amp;"")&gt;1,", Job number used twice",""),3,300)))</f>
        <v/>
      </c>
      <c r="Q312" s="10">
        <f>IF($C312="","",IF(H312="","(no cost centre)",H312&amp;" - GL "&amp;IFERROR(INDEX(lst_CCtoGL,MATCH(H312,lst_CCforGL,0)),"?")))</f>
        <v/>
      </c>
      <c r="R312" s="37" t="n"/>
      <c r="S312" s="37" t="n"/>
      <c r="T312" s="10">
        <f>IF(S312="","",HYPERLINK(IF(LEFT(S312,4)="http",S312,set_QwilrBase&amp;S312),"Open quote"))</f>
        <v/>
      </c>
      <c r="U312" s="41" t="n"/>
      <c r="V312" s="37" t="n"/>
      <c r="W312" s="37" t="n"/>
      <c r="X312" s="10" t="inlineStr">
        <is>
          <t>ONS-0308</t>
        </is>
      </c>
    </row>
    <row r="313">
      <c r="A313" s="16">
        <f>IF($C313="","",IFERROR(IF(INDEX(tbl_Finance[Latest Invoice Date],MATCH($X313,tbl_Finance[Row ID],0))="","",INDEX(tbl_Finance[Latest Invoice Date],MATCH($X313,tbl_Finance[Row ID],0))),""))</f>
        <v/>
      </c>
      <c r="B313" s="10">
        <f>IF($C313="","",IFERROR(INDEX(tbl_Finance[Invoice Numbers],MATCH($X313,tbl_Finance[Row ID],0))&amp;"",""))</f>
        <v/>
      </c>
      <c r="C313" s="37" t="n"/>
      <c r="D313" s="10">
        <f>IF($C313="","",IF(COUNTIF(lst_Jobs,$C313&amp;"")&gt;0,"OK","CHECK"))</f>
        <v/>
      </c>
      <c r="E313" s="10">
        <f>IF($C313="","",IFERROR(INDEX(lst_JobName,MATCH($C313&amp;"",lst_Jobs,0)),""))</f>
        <v/>
      </c>
      <c r="F313" s="37" t="n"/>
      <c r="G313" s="37" t="n"/>
      <c r="H313" s="37" t="n"/>
      <c r="I313" s="37" t="n"/>
      <c r="J313" s="37" t="n"/>
      <c r="K313" s="38">
        <f>IF($C313="","",IFERROR(N(INDEX(tbl_Finance[Invoice Count],MATCH($X313,tbl_Finance[Row ID],0))),""))</f>
        <v/>
      </c>
      <c r="L313" s="11">
        <f>IF($C313="","",IFERROR(N(INDEX(tbl_Finance[Xero Invoiced Ex GST],MATCH($X313,tbl_Finance[Row ID],0))),""))</f>
        <v/>
      </c>
      <c r="M313" s="10">
        <f>IF($C313="","",IFERROR(INDEX(tbl_Finance[Compare],MATCH($X313,tbl_Finance[Row ID],0))&amp;"",""))</f>
        <v/>
      </c>
      <c r="N313" s="11">
        <f>IF($C313="","",MAX(0,N(O313)-N(L313)))</f>
        <v/>
      </c>
      <c r="O313" s="39" t="n"/>
      <c r="P313" s="40">
        <f>IF($C313="","",IF((IF(F313="",", Client","")&amp;IF(G313="",", Description","")&amp;IF(H313="",", Cost Centre","")&amp;IF(I313="",", Invoice Type","")&amp;IF(J313="",", Tax Code","")&amp;IF(O313="",", Expected Revenue","")&amp;IF(COUNTIF(tbl_Finance[Job Number],$C313&amp;"")&gt;1,", Job number used twice",""))="","Complete","Fix: "&amp;MID(IF(F313="",", Client","")&amp;IF(G313="",", Description","")&amp;IF(H313="",", Cost Centre","")&amp;IF(I313="",", Invoice Type","")&amp;IF(J313="",", Tax Code","")&amp;IF(O313="",", Expected Revenue","")&amp;IF(COUNTIF(tbl_Finance[Job Number],$C313&amp;"")&gt;1,", Job number used twice",""),3,300)))</f>
        <v/>
      </c>
      <c r="Q313" s="10">
        <f>IF($C313="","",IF(H313="","(no cost centre)",H313&amp;" - GL "&amp;IFERROR(INDEX(lst_CCtoGL,MATCH(H313,lst_CCforGL,0)),"?")))</f>
        <v/>
      </c>
      <c r="R313" s="37" t="n"/>
      <c r="S313" s="37" t="n"/>
      <c r="T313" s="10">
        <f>IF(S313="","",HYPERLINK(IF(LEFT(S313,4)="http",S313,set_QwilrBase&amp;S313),"Open quote"))</f>
        <v/>
      </c>
      <c r="U313" s="41" t="n"/>
      <c r="V313" s="37" t="n"/>
      <c r="W313" s="37" t="n"/>
      <c r="X313" s="10" t="inlineStr">
        <is>
          <t>ONS-0309</t>
        </is>
      </c>
    </row>
    <row r="314">
      <c r="A314" s="16">
        <f>IF($C314="","",IFERROR(IF(INDEX(tbl_Finance[Latest Invoice Date],MATCH($X314,tbl_Finance[Row ID],0))="","",INDEX(tbl_Finance[Latest Invoice Date],MATCH($X314,tbl_Finance[Row ID],0))),""))</f>
        <v/>
      </c>
      <c r="B314" s="10">
        <f>IF($C314="","",IFERROR(INDEX(tbl_Finance[Invoice Numbers],MATCH($X314,tbl_Finance[Row ID],0))&amp;"",""))</f>
        <v/>
      </c>
      <c r="C314" s="37" t="n"/>
      <c r="D314" s="10">
        <f>IF($C314="","",IF(COUNTIF(lst_Jobs,$C314&amp;"")&gt;0,"OK","CHECK"))</f>
        <v/>
      </c>
      <c r="E314" s="10">
        <f>IF($C314="","",IFERROR(INDEX(lst_JobName,MATCH($C314&amp;"",lst_Jobs,0)),""))</f>
        <v/>
      </c>
      <c r="F314" s="37" t="n"/>
      <c r="G314" s="37" t="n"/>
      <c r="H314" s="37" t="n"/>
      <c r="I314" s="37" t="n"/>
      <c r="J314" s="37" t="n"/>
      <c r="K314" s="38">
        <f>IF($C314="","",IFERROR(N(INDEX(tbl_Finance[Invoice Count],MATCH($X314,tbl_Finance[Row ID],0))),""))</f>
        <v/>
      </c>
      <c r="L314" s="11">
        <f>IF($C314="","",IFERROR(N(INDEX(tbl_Finance[Xero Invoiced Ex GST],MATCH($X314,tbl_Finance[Row ID],0))),""))</f>
        <v/>
      </c>
      <c r="M314" s="10">
        <f>IF($C314="","",IFERROR(INDEX(tbl_Finance[Compare],MATCH($X314,tbl_Finance[Row ID],0))&amp;"",""))</f>
        <v/>
      </c>
      <c r="N314" s="11">
        <f>IF($C314="","",MAX(0,N(O314)-N(L314)))</f>
        <v/>
      </c>
      <c r="O314" s="39" t="n"/>
      <c r="P314" s="40">
        <f>IF($C314="","",IF((IF(F314="",", Client","")&amp;IF(G314="",", Description","")&amp;IF(H314="",", Cost Centre","")&amp;IF(I314="",", Invoice Type","")&amp;IF(J314="",", Tax Code","")&amp;IF(O314="",", Expected Revenue","")&amp;IF(COUNTIF(tbl_Finance[Job Number],$C314&amp;"")&gt;1,", Job number used twice",""))="","Complete","Fix: "&amp;MID(IF(F314="",", Client","")&amp;IF(G314="",", Description","")&amp;IF(H314="",", Cost Centre","")&amp;IF(I314="",", Invoice Type","")&amp;IF(J314="",", Tax Code","")&amp;IF(O314="",", Expected Revenue","")&amp;IF(COUNTIF(tbl_Finance[Job Number],$C314&amp;"")&gt;1,", Job number used twice",""),3,300)))</f>
        <v/>
      </c>
      <c r="Q314" s="10">
        <f>IF($C314="","",IF(H314="","(no cost centre)",H314&amp;" - GL "&amp;IFERROR(INDEX(lst_CCtoGL,MATCH(H314,lst_CCforGL,0)),"?")))</f>
        <v/>
      </c>
      <c r="R314" s="37" t="n"/>
      <c r="S314" s="37" t="n"/>
      <c r="T314" s="10">
        <f>IF(S314="","",HYPERLINK(IF(LEFT(S314,4)="http",S314,set_QwilrBase&amp;S314),"Open quote"))</f>
        <v/>
      </c>
      <c r="U314" s="41" t="n"/>
      <c r="V314" s="37" t="n"/>
      <c r="W314" s="37" t="n"/>
      <c r="X314" s="10" t="inlineStr">
        <is>
          <t>ONS-0310</t>
        </is>
      </c>
    </row>
    <row r="315">
      <c r="A315" s="16">
        <f>IF($C315="","",IFERROR(IF(INDEX(tbl_Finance[Latest Invoice Date],MATCH($X315,tbl_Finance[Row ID],0))="","",INDEX(tbl_Finance[Latest Invoice Date],MATCH($X315,tbl_Finance[Row ID],0))),""))</f>
        <v/>
      </c>
      <c r="B315" s="10">
        <f>IF($C315="","",IFERROR(INDEX(tbl_Finance[Invoice Numbers],MATCH($X315,tbl_Finance[Row ID],0))&amp;"",""))</f>
        <v/>
      </c>
      <c r="C315" s="37" t="n"/>
      <c r="D315" s="10">
        <f>IF($C315="","",IF(COUNTIF(lst_Jobs,$C315&amp;"")&gt;0,"OK","CHECK"))</f>
        <v/>
      </c>
      <c r="E315" s="10">
        <f>IF($C315="","",IFERROR(INDEX(lst_JobName,MATCH($C315&amp;"",lst_Jobs,0)),""))</f>
        <v/>
      </c>
      <c r="F315" s="37" t="n"/>
      <c r="G315" s="37" t="n"/>
      <c r="H315" s="37" t="n"/>
      <c r="I315" s="37" t="n"/>
      <c r="J315" s="37" t="n"/>
      <c r="K315" s="38">
        <f>IF($C315="","",IFERROR(N(INDEX(tbl_Finance[Invoice Count],MATCH($X315,tbl_Finance[Row ID],0))),""))</f>
        <v/>
      </c>
      <c r="L315" s="11">
        <f>IF($C315="","",IFERROR(N(INDEX(tbl_Finance[Xero Invoiced Ex GST],MATCH($X315,tbl_Finance[Row ID],0))),""))</f>
        <v/>
      </c>
      <c r="M315" s="10">
        <f>IF($C315="","",IFERROR(INDEX(tbl_Finance[Compare],MATCH($X315,tbl_Finance[Row ID],0))&amp;"",""))</f>
        <v/>
      </c>
      <c r="N315" s="11">
        <f>IF($C315="","",MAX(0,N(O315)-N(L315)))</f>
        <v/>
      </c>
      <c r="O315" s="39" t="n"/>
      <c r="P315" s="40">
        <f>IF($C315="","",IF((IF(F315="",", Client","")&amp;IF(G315="",", Description","")&amp;IF(H315="",", Cost Centre","")&amp;IF(I315="",", Invoice Type","")&amp;IF(J315="",", Tax Code","")&amp;IF(O315="",", Expected Revenue","")&amp;IF(COUNTIF(tbl_Finance[Job Number],$C315&amp;"")&gt;1,", Job number used twice",""))="","Complete","Fix: "&amp;MID(IF(F315="",", Client","")&amp;IF(G315="",", Description","")&amp;IF(H315="",", Cost Centre","")&amp;IF(I315="",", Invoice Type","")&amp;IF(J315="",", Tax Code","")&amp;IF(O315="",", Expected Revenue","")&amp;IF(COUNTIF(tbl_Finance[Job Number],$C315&amp;"")&gt;1,", Job number used twice",""),3,300)))</f>
        <v/>
      </c>
      <c r="Q315" s="10">
        <f>IF($C315="","",IF(H315="","(no cost centre)",H315&amp;" - GL "&amp;IFERROR(INDEX(lst_CCtoGL,MATCH(H315,lst_CCforGL,0)),"?")))</f>
        <v/>
      </c>
      <c r="R315" s="37" t="n"/>
      <c r="S315" s="37" t="n"/>
      <c r="T315" s="10">
        <f>IF(S315="","",HYPERLINK(IF(LEFT(S315,4)="http",S315,set_QwilrBase&amp;S315),"Open quote"))</f>
        <v/>
      </c>
      <c r="U315" s="41" t="n"/>
      <c r="V315" s="37" t="n"/>
      <c r="W315" s="37" t="n"/>
      <c r="X315" s="10" t="inlineStr">
        <is>
          <t>ONS-0311</t>
        </is>
      </c>
    </row>
    <row r="316">
      <c r="A316" s="16">
        <f>IF($C316="","",IFERROR(IF(INDEX(tbl_Finance[Latest Invoice Date],MATCH($X316,tbl_Finance[Row ID],0))="","",INDEX(tbl_Finance[Latest Invoice Date],MATCH($X316,tbl_Finance[Row ID],0))),""))</f>
        <v/>
      </c>
      <c r="B316" s="10">
        <f>IF($C316="","",IFERROR(INDEX(tbl_Finance[Invoice Numbers],MATCH($X316,tbl_Finance[Row ID],0))&amp;"",""))</f>
        <v/>
      </c>
      <c r="C316" s="37" t="n"/>
      <c r="D316" s="10">
        <f>IF($C316="","",IF(COUNTIF(lst_Jobs,$C316&amp;"")&gt;0,"OK","CHECK"))</f>
        <v/>
      </c>
      <c r="E316" s="10">
        <f>IF($C316="","",IFERROR(INDEX(lst_JobName,MATCH($C316&amp;"",lst_Jobs,0)),""))</f>
        <v/>
      </c>
      <c r="F316" s="37" t="n"/>
      <c r="G316" s="37" t="n"/>
      <c r="H316" s="37" t="n"/>
      <c r="I316" s="37" t="n"/>
      <c r="J316" s="37" t="n"/>
      <c r="K316" s="38">
        <f>IF($C316="","",IFERROR(N(INDEX(tbl_Finance[Invoice Count],MATCH($X316,tbl_Finance[Row ID],0))),""))</f>
        <v/>
      </c>
      <c r="L316" s="11">
        <f>IF($C316="","",IFERROR(N(INDEX(tbl_Finance[Xero Invoiced Ex GST],MATCH($X316,tbl_Finance[Row ID],0))),""))</f>
        <v/>
      </c>
      <c r="M316" s="10">
        <f>IF($C316="","",IFERROR(INDEX(tbl_Finance[Compare],MATCH($X316,tbl_Finance[Row ID],0))&amp;"",""))</f>
        <v/>
      </c>
      <c r="N316" s="11">
        <f>IF($C316="","",MAX(0,N(O316)-N(L316)))</f>
        <v/>
      </c>
      <c r="O316" s="39" t="n"/>
      <c r="P316" s="40">
        <f>IF($C316="","",IF((IF(F316="",", Client","")&amp;IF(G316="",", Description","")&amp;IF(H316="",", Cost Centre","")&amp;IF(I316="",", Invoice Type","")&amp;IF(J316="",", Tax Code","")&amp;IF(O316="",", Expected Revenue","")&amp;IF(COUNTIF(tbl_Finance[Job Number],$C316&amp;"")&gt;1,", Job number used twice",""))="","Complete","Fix: "&amp;MID(IF(F316="",", Client","")&amp;IF(G316="",", Description","")&amp;IF(H316="",", Cost Centre","")&amp;IF(I316="",", Invoice Type","")&amp;IF(J316="",", Tax Code","")&amp;IF(O316="",", Expected Revenue","")&amp;IF(COUNTIF(tbl_Finance[Job Number],$C316&amp;"")&gt;1,", Job number used twice",""),3,300)))</f>
        <v/>
      </c>
      <c r="Q316" s="10">
        <f>IF($C316="","",IF(H316="","(no cost centre)",H316&amp;" - GL "&amp;IFERROR(INDEX(lst_CCtoGL,MATCH(H316,lst_CCforGL,0)),"?")))</f>
        <v/>
      </c>
      <c r="R316" s="37" t="n"/>
      <c r="S316" s="37" t="n"/>
      <c r="T316" s="10">
        <f>IF(S316="","",HYPERLINK(IF(LEFT(S316,4)="http",S316,set_QwilrBase&amp;S316),"Open quote"))</f>
        <v/>
      </c>
      <c r="U316" s="41" t="n"/>
      <c r="V316" s="37" t="n"/>
      <c r="W316" s="37" t="n"/>
      <c r="X316" s="10" t="inlineStr">
        <is>
          <t>ONS-0312</t>
        </is>
      </c>
    </row>
    <row r="317">
      <c r="A317" s="16">
        <f>IF($C317="","",IFERROR(IF(INDEX(tbl_Finance[Latest Invoice Date],MATCH($X317,tbl_Finance[Row ID],0))="","",INDEX(tbl_Finance[Latest Invoice Date],MATCH($X317,tbl_Finance[Row ID],0))),""))</f>
        <v/>
      </c>
      <c r="B317" s="10">
        <f>IF($C317="","",IFERROR(INDEX(tbl_Finance[Invoice Numbers],MATCH($X317,tbl_Finance[Row ID],0))&amp;"",""))</f>
        <v/>
      </c>
      <c r="C317" s="37" t="n"/>
      <c r="D317" s="10">
        <f>IF($C317="","",IF(COUNTIF(lst_Jobs,$C317&amp;"")&gt;0,"OK","CHECK"))</f>
        <v/>
      </c>
      <c r="E317" s="10">
        <f>IF($C317="","",IFERROR(INDEX(lst_JobName,MATCH($C317&amp;"",lst_Jobs,0)),""))</f>
        <v/>
      </c>
      <c r="F317" s="37" t="n"/>
      <c r="G317" s="37" t="n"/>
      <c r="H317" s="37" t="n"/>
      <c r="I317" s="37" t="n"/>
      <c r="J317" s="37" t="n"/>
      <c r="K317" s="38">
        <f>IF($C317="","",IFERROR(N(INDEX(tbl_Finance[Invoice Count],MATCH($X317,tbl_Finance[Row ID],0))),""))</f>
        <v/>
      </c>
      <c r="L317" s="11">
        <f>IF($C317="","",IFERROR(N(INDEX(tbl_Finance[Xero Invoiced Ex GST],MATCH($X317,tbl_Finance[Row ID],0))),""))</f>
        <v/>
      </c>
      <c r="M317" s="10">
        <f>IF($C317="","",IFERROR(INDEX(tbl_Finance[Compare],MATCH($X317,tbl_Finance[Row ID],0))&amp;"",""))</f>
        <v/>
      </c>
      <c r="N317" s="11">
        <f>IF($C317="","",MAX(0,N(O317)-N(L317)))</f>
        <v/>
      </c>
      <c r="O317" s="39" t="n"/>
      <c r="P317" s="40">
        <f>IF($C317="","",IF((IF(F317="",", Client","")&amp;IF(G317="",", Description","")&amp;IF(H317="",", Cost Centre","")&amp;IF(I317="",", Invoice Type","")&amp;IF(J317="",", Tax Code","")&amp;IF(O317="",", Expected Revenue","")&amp;IF(COUNTIF(tbl_Finance[Job Number],$C317&amp;"")&gt;1,", Job number used twice",""))="","Complete","Fix: "&amp;MID(IF(F317="",", Client","")&amp;IF(G317="",", Description","")&amp;IF(H317="",", Cost Centre","")&amp;IF(I317="",", Invoice Type","")&amp;IF(J317="",", Tax Code","")&amp;IF(O317="",", Expected Revenue","")&amp;IF(COUNTIF(tbl_Finance[Job Number],$C317&amp;"")&gt;1,", Job number used twice",""),3,300)))</f>
        <v/>
      </c>
      <c r="Q317" s="10">
        <f>IF($C317="","",IF(H317="","(no cost centre)",H317&amp;" - GL "&amp;IFERROR(INDEX(lst_CCtoGL,MATCH(H317,lst_CCforGL,0)),"?")))</f>
        <v/>
      </c>
      <c r="R317" s="37" t="n"/>
      <c r="S317" s="37" t="n"/>
      <c r="T317" s="10">
        <f>IF(S317="","",HYPERLINK(IF(LEFT(S317,4)="http",S317,set_QwilrBase&amp;S317),"Open quote"))</f>
        <v/>
      </c>
      <c r="U317" s="41" t="n"/>
      <c r="V317" s="37" t="n"/>
      <c r="W317" s="37" t="n"/>
      <c r="X317" s="10" t="inlineStr">
        <is>
          <t>ONS-0313</t>
        </is>
      </c>
    </row>
    <row r="318">
      <c r="A318" s="16">
        <f>IF($C318="","",IFERROR(IF(INDEX(tbl_Finance[Latest Invoice Date],MATCH($X318,tbl_Finance[Row ID],0))="","",INDEX(tbl_Finance[Latest Invoice Date],MATCH($X318,tbl_Finance[Row ID],0))),""))</f>
        <v/>
      </c>
      <c r="B318" s="10">
        <f>IF($C318="","",IFERROR(INDEX(tbl_Finance[Invoice Numbers],MATCH($X318,tbl_Finance[Row ID],0))&amp;"",""))</f>
        <v/>
      </c>
      <c r="C318" s="37" t="n"/>
      <c r="D318" s="10">
        <f>IF($C318="","",IF(COUNTIF(lst_Jobs,$C318&amp;"")&gt;0,"OK","CHECK"))</f>
        <v/>
      </c>
      <c r="E318" s="10">
        <f>IF($C318="","",IFERROR(INDEX(lst_JobName,MATCH($C318&amp;"",lst_Jobs,0)),""))</f>
        <v/>
      </c>
      <c r="F318" s="37" t="n"/>
      <c r="G318" s="37" t="n"/>
      <c r="H318" s="37" t="n"/>
      <c r="I318" s="37" t="n"/>
      <c r="J318" s="37" t="n"/>
      <c r="K318" s="38">
        <f>IF($C318="","",IFERROR(N(INDEX(tbl_Finance[Invoice Count],MATCH($X318,tbl_Finance[Row ID],0))),""))</f>
        <v/>
      </c>
      <c r="L318" s="11">
        <f>IF($C318="","",IFERROR(N(INDEX(tbl_Finance[Xero Invoiced Ex GST],MATCH($X318,tbl_Finance[Row ID],0))),""))</f>
        <v/>
      </c>
      <c r="M318" s="10">
        <f>IF($C318="","",IFERROR(INDEX(tbl_Finance[Compare],MATCH($X318,tbl_Finance[Row ID],0))&amp;"",""))</f>
        <v/>
      </c>
      <c r="N318" s="11">
        <f>IF($C318="","",MAX(0,N(O318)-N(L318)))</f>
        <v/>
      </c>
      <c r="O318" s="39" t="n"/>
      <c r="P318" s="40">
        <f>IF($C318="","",IF((IF(F318="",", Client","")&amp;IF(G318="",", Description","")&amp;IF(H318="",", Cost Centre","")&amp;IF(I318="",", Invoice Type","")&amp;IF(J318="",", Tax Code","")&amp;IF(O318="",", Expected Revenue","")&amp;IF(COUNTIF(tbl_Finance[Job Number],$C318&amp;"")&gt;1,", Job number used twice",""))="","Complete","Fix: "&amp;MID(IF(F318="",", Client","")&amp;IF(G318="",", Description","")&amp;IF(H318="",", Cost Centre","")&amp;IF(I318="",", Invoice Type","")&amp;IF(J318="",", Tax Code","")&amp;IF(O318="",", Expected Revenue","")&amp;IF(COUNTIF(tbl_Finance[Job Number],$C318&amp;"")&gt;1,", Job number used twice",""),3,300)))</f>
        <v/>
      </c>
      <c r="Q318" s="10">
        <f>IF($C318="","",IF(H318="","(no cost centre)",H318&amp;" - GL "&amp;IFERROR(INDEX(lst_CCtoGL,MATCH(H318,lst_CCforGL,0)),"?")))</f>
        <v/>
      </c>
      <c r="R318" s="37" t="n"/>
      <c r="S318" s="37" t="n"/>
      <c r="T318" s="10">
        <f>IF(S318="","",HYPERLINK(IF(LEFT(S318,4)="http",S318,set_QwilrBase&amp;S318),"Open quote"))</f>
        <v/>
      </c>
      <c r="U318" s="41" t="n"/>
      <c r="V318" s="37" t="n"/>
      <c r="W318" s="37" t="n"/>
      <c r="X318" s="10" t="inlineStr">
        <is>
          <t>ONS-0314</t>
        </is>
      </c>
    </row>
    <row r="319">
      <c r="A319" s="16">
        <f>IF($C319="","",IFERROR(IF(INDEX(tbl_Finance[Latest Invoice Date],MATCH($X319,tbl_Finance[Row ID],0))="","",INDEX(tbl_Finance[Latest Invoice Date],MATCH($X319,tbl_Finance[Row ID],0))),""))</f>
        <v/>
      </c>
      <c r="B319" s="10">
        <f>IF($C319="","",IFERROR(INDEX(tbl_Finance[Invoice Numbers],MATCH($X319,tbl_Finance[Row ID],0))&amp;"",""))</f>
        <v/>
      </c>
      <c r="C319" s="37" t="n"/>
      <c r="D319" s="10">
        <f>IF($C319="","",IF(COUNTIF(lst_Jobs,$C319&amp;"")&gt;0,"OK","CHECK"))</f>
        <v/>
      </c>
      <c r="E319" s="10">
        <f>IF($C319="","",IFERROR(INDEX(lst_JobName,MATCH($C319&amp;"",lst_Jobs,0)),""))</f>
        <v/>
      </c>
      <c r="F319" s="37" t="n"/>
      <c r="G319" s="37" t="n"/>
      <c r="H319" s="37" t="n"/>
      <c r="I319" s="37" t="n"/>
      <c r="J319" s="37" t="n"/>
      <c r="K319" s="38">
        <f>IF($C319="","",IFERROR(N(INDEX(tbl_Finance[Invoice Count],MATCH($X319,tbl_Finance[Row ID],0))),""))</f>
        <v/>
      </c>
      <c r="L319" s="11">
        <f>IF($C319="","",IFERROR(N(INDEX(tbl_Finance[Xero Invoiced Ex GST],MATCH($X319,tbl_Finance[Row ID],0))),""))</f>
        <v/>
      </c>
      <c r="M319" s="10">
        <f>IF($C319="","",IFERROR(INDEX(tbl_Finance[Compare],MATCH($X319,tbl_Finance[Row ID],0))&amp;"",""))</f>
        <v/>
      </c>
      <c r="N319" s="11">
        <f>IF($C319="","",MAX(0,N(O319)-N(L319)))</f>
        <v/>
      </c>
      <c r="O319" s="39" t="n"/>
      <c r="P319" s="40">
        <f>IF($C319="","",IF((IF(F319="",", Client","")&amp;IF(G319="",", Description","")&amp;IF(H319="",", Cost Centre","")&amp;IF(I319="",", Invoice Type","")&amp;IF(J319="",", Tax Code","")&amp;IF(O319="",", Expected Revenue","")&amp;IF(COUNTIF(tbl_Finance[Job Number],$C319&amp;"")&gt;1,", Job number used twice",""))="","Complete","Fix: "&amp;MID(IF(F319="",", Client","")&amp;IF(G319="",", Description","")&amp;IF(H319="",", Cost Centre","")&amp;IF(I319="",", Invoice Type","")&amp;IF(J319="",", Tax Code","")&amp;IF(O319="",", Expected Revenue","")&amp;IF(COUNTIF(tbl_Finance[Job Number],$C319&amp;"")&gt;1,", Job number used twice",""),3,300)))</f>
        <v/>
      </c>
      <c r="Q319" s="10">
        <f>IF($C319="","",IF(H319="","(no cost centre)",H319&amp;" - GL "&amp;IFERROR(INDEX(lst_CCtoGL,MATCH(H319,lst_CCforGL,0)),"?")))</f>
        <v/>
      </c>
      <c r="R319" s="37" t="n"/>
      <c r="S319" s="37" t="n"/>
      <c r="T319" s="10">
        <f>IF(S319="","",HYPERLINK(IF(LEFT(S319,4)="http",S319,set_QwilrBase&amp;S319),"Open quote"))</f>
        <v/>
      </c>
      <c r="U319" s="41" t="n"/>
      <c r="V319" s="37" t="n"/>
      <c r="W319" s="37" t="n"/>
      <c r="X319" s="10" t="inlineStr">
        <is>
          <t>ONS-0315</t>
        </is>
      </c>
    </row>
    <row r="320">
      <c r="A320" s="16">
        <f>IF($C320="","",IFERROR(IF(INDEX(tbl_Finance[Latest Invoice Date],MATCH($X320,tbl_Finance[Row ID],0))="","",INDEX(tbl_Finance[Latest Invoice Date],MATCH($X320,tbl_Finance[Row ID],0))),""))</f>
        <v/>
      </c>
      <c r="B320" s="10">
        <f>IF($C320="","",IFERROR(INDEX(tbl_Finance[Invoice Numbers],MATCH($X320,tbl_Finance[Row ID],0))&amp;"",""))</f>
        <v/>
      </c>
      <c r="C320" s="37" t="n"/>
      <c r="D320" s="10">
        <f>IF($C320="","",IF(COUNTIF(lst_Jobs,$C320&amp;"")&gt;0,"OK","CHECK"))</f>
        <v/>
      </c>
      <c r="E320" s="10">
        <f>IF($C320="","",IFERROR(INDEX(lst_JobName,MATCH($C320&amp;"",lst_Jobs,0)),""))</f>
        <v/>
      </c>
      <c r="F320" s="37" t="n"/>
      <c r="G320" s="37" t="n"/>
      <c r="H320" s="37" t="n"/>
      <c r="I320" s="37" t="n"/>
      <c r="J320" s="37" t="n"/>
      <c r="K320" s="38">
        <f>IF($C320="","",IFERROR(N(INDEX(tbl_Finance[Invoice Count],MATCH($X320,tbl_Finance[Row ID],0))),""))</f>
        <v/>
      </c>
      <c r="L320" s="11">
        <f>IF($C320="","",IFERROR(N(INDEX(tbl_Finance[Xero Invoiced Ex GST],MATCH($X320,tbl_Finance[Row ID],0))),""))</f>
        <v/>
      </c>
      <c r="M320" s="10">
        <f>IF($C320="","",IFERROR(INDEX(tbl_Finance[Compare],MATCH($X320,tbl_Finance[Row ID],0))&amp;"",""))</f>
        <v/>
      </c>
      <c r="N320" s="11">
        <f>IF($C320="","",MAX(0,N(O320)-N(L320)))</f>
        <v/>
      </c>
      <c r="O320" s="39" t="n"/>
      <c r="P320" s="40">
        <f>IF($C320="","",IF((IF(F320="",", Client","")&amp;IF(G320="",", Description","")&amp;IF(H320="",", Cost Centre","")&amp;IF(I320="",", Invoice Type","")&amp;IF(J320="",", Tax Code","")&amp;IF(O320="",", Expected Revenue","")&amp;IF(COUNTIF(tbl_Finance[Job Number],$C320&amp;"")&gt;1,", Job number used twice",""))="","Complete","Fix: "&amp;MID(IF(F320="",", Client","")&amp;IF(G320="",", Description","")&amp;IF(H320="",", Cost Centre","")&amp;IF(I320="",", Invoice Type","")&amp;IF(J320="",", Tax Code","")&amp;IF(O320="",", Expected Revenue","")&amp;IF(COUNTIF(tbl_Finance[Job Number],$C320&amp;"")&gt;1,", Job number used twice",""),3,300)))</f>
        <v/>
      </c>
      <c r="Q320" s="10">
        <f>IF($C320="","",IF(H320="","(no cost centre)",H320&amp;" - GL "&amp;IFERROR(INDEX(lst_CCtoGL,MATCH(H320,lst_CCforGL,0)),"?")))</f>
        <v/>
      </c>
      <c r="R320" s="37" t="n"/>
      <c r="S320" s="37" t="n"/>
      <c r="T320" s="10">
        <f>IF(S320="","",HYPERLINK(IF(LEFT(S320,4)="http",S320,set_QwilrBase&amp;S320),"Open quote"))</f>
        <v/>
      </c>
      <c r="U320" s="41" t="n"/>
      <c r="V320" s="37" t="n"/>
      <c r="W320" s="37" t="n"/>
      <c r="X320" s="10" t="inlineStr">
        <is>
          <t>ONS-0316</t>
        </is>
      </c>
    </row>
    <row r="321">
      <c r="A321" s="16">
        <f>IF($C321="","",IFERROR(IF(INDEX(tbl_Finance[Latest Invoice Date],MATCH($X321,tbl_Finance[Row ID],0))="","",INDEX(tbl_Finance[Latest Invoice Date],MATCH($X321,tbl_Finance[Row ID],0))),""))</f>
        <v/>
      </c>
      <c r="B321" s="10">
        <f>IF($C321="","",IFERROR(INDEX(tbl_Finance[Invoice Numbers],MATCH($X321,tbl_Finance[Row ID],0))&amp;"",""))</f>
        <v/>
      </c>
      <c r="C321" s="37" t="n"/>
      <c r="D321" s="10">
        <f>IF($C321="","",IF(COUNTIF(lst_Jobs,$C321&amp;"")&gt;0,"OK","CHECK"))</f>
        <v/>
      </c>
      <c r="E321" s="10">
        <f>IF($C321="","",IFERROR(INDEX(lst_JobName,MATCH($C321&amp;"",lst_Jobs,0)),""))</f>
        <v/>
      </c>
      <c r="F321" s="37" t="n"/>
      <c r="G321" s="37" t="n"/>
      <c r="H321" s="37" t="n"/>
      <c r="I321" s="37" t="n"/>
      <c r="J321" s="37" t="n"/>
      <c r="K321" s="38">
        <f>IF($C321="","",IFERROR(N(INDEX(tbl_Finance[Invoice Count],MATCH($X321,tbl_Finance[Row ID],0))),""))</f>
        <v/>
      </c>
      <c r="L321" s="11">
        <f>IF($C321="","",IFERROR(N(INDEX(tbl_Finance[Xero Invoiced Ex GST],MATCH($X321,tbl_Finance[Row ID],0))),""))</f>
        <v/>
      </c>
      <c r="M321" s="10">
        <f>IF($C321="","",IFERROR(INDEX(tbl_Finance[Compare],MATCH($X321,tbl_Finance[Row ID],0))&amp;"",""))</f>
        <v/>
      </c>
      <c r="N321" s="11">
        <f>IF($C321="","",MAX(0,N(O321)-N(L321)))</f>
        <v/>
      </c>
      <c r="O321" s="39" t="n"/>
      <c r="P321" s="40">
        <f>IF($C321="","",IF((IF(F321="",", Client","")&amp;IF(G321="",", Description","")&amp;IF(H321="",", Cost Centre","")&amp;IF(I321="",", Invoice Type","")&amp;IF(J321="",", Tax Code","")&amp;IF(O321="",", Expected Revenue","")&amp;IF(COUNTIF(tbl_Finance[Job Number],$C321&amp;"")&gt;1,", Job number used twice",""))="","Complete","Fix: "&amp;MID(IF(F321="",", Client","")&amp;IF(G321="",", Description","")&amp;IF(H321="",", Cost Centre","")&amp;IF(I321="",", Invoice Type","")&amp;IF(J321="",", Tax Code","")&amp;IF(O321="",", Expected Revenue","")&amp;IF(COUNTIF(tbl_Finance[Job Number],$C321&amp;"")&gt;1,", Job number used twice",""),3,300)))</f>
        <v/>
      </c>
      <c r="Q321" s="10">
        <f>IF($C321="","",IF(H321="","(no cost centre)",H321&amp;" - GL "&amp;IFERROR(INDEX(lst_CCtoGL,MATCH(H321,lst_CCforGL,0)),"?")))</f>
        <v/>
      </c>
      <c r="R321" s="37" t="n"/>
      <c r="S321" s="37" t="n"/>
      <c r="T321" s="10">
        <f>IF(S321="","",HYPERLINK(IF(LEFT(S321,4)="http",S321,set_QwilrBase&amp;S321),"Open quote"))</f>
        <v/>
      </c>
      <c r="U321" s="41" t="n"/>
      <c r="V321" s="37" t="n"/>
      <c r="W321" s="37" t="n"/>
      <c r="X321" s="10" t="inlineStr">
        <is>
          <t>ONS-0317</t>
        </is>
      </c>
    </row>
    <row r="322">
      <c r="A322" s="16">
        <f>IF($C322="","",IFERROR(IF(INDEX(tbl_Finance[Latest Invoice Date],MATCH($X322,tbl_Finance[Row ID],0))="","",INDEX(tbl_Finance[Latest Invoice Date],MATCH($X322,tbl_Finance[Row ID],0))),""))</f>
        <v/>
      </c>
      <c r="B322" s="10">
        <f>IF($C322="","",IFERROR(INDEX(tbl_Finance[Invoice Numbers],MATCH($X322,tbl_Finance[Row ID],0))&amp;"",""))</f>
        <v/>
      </c>
      <c r="C322" s="37" t="n"/>
      <c r="D322" s="10">
        <f>IF($C322="","",IF(COUNTIF(lst_Jobs,$C322&amp;"")&gt;0,"OK","CHECK"))</f>
        <v/>
      </c>
      <c r="E322" s="10">
        <f>IF($C322="","",IFERROR(INDEX(lst_JobName,MATCH($C322&amp;"",lst_Jobs,0)),""))</f>
        <v/>
      </c>
      <c r="F322" s="37" t="n"/>
      <c r="G322" s="37" t="n"/>
      <c r="H322" s="37" t="n"/>
      <c r="I322" s="37" t="n"/>
      <c r="J322" s="37" t="n"/>
      <c r="K322" s="38">
        <f>IF($C322="","",IFERROR(N(INDEX(tbl_Finance[Invoice Count],MATCH($X322,tbl_Finance[Row ID],0))),""))</f>
        <v/>
      </c>
      <c r="L322" s="11">
        <f>IF($C322="","",IFERROR(N(INDEX(tbl_Finance[Xero Invoiced Ex GST],MATCH($X322,tbl_Finance[Row ID],0))),""))</f>
        <v/>
      </c>
      <c r="M322" s="10">
        <f>IF($C322="","",IFERROR(INDEX(tbl_Finance[Compare],MATCH($X322,tbl_Finance[Row ID],0))&amp;"",""))</f>
        <v/>
      </c>
      <c r="N322" s="11">
        <f>IF($C322="","",MAX(0,N(O322)-N(L322)))</f>
        <v/>
      </c>
      <c r="O322" s="39" t="n"/>
      <c r="P322" s="40">
        <f>IF($C322="","",IF((IF(F322="",", Client","")&amp;IF(G322="",", Description","")&amp;IF(H322="",", Cost Centre","")&amp;IF(I322="",", Invoice Type","")&amp;IF(J322="",", Tax Code","")&amp;IF(O322="",", Expected Revenue","")&amp;IF(COUNTIF(tbl_Finance[Job Number],$C322&amp;"")&gt;1,", Job number used twice",""))="","Complete","Fix: "&amp;MID(IF(F322="",", Client","")&amp;IF(G322="",", Description","")&amp;IF(H322="",", Cost Centre","")&amp;IF(I322="",", Invoice Type","")&amp;IF(J322="",", Tax Code","")&amp;IF(O322="",", Expected Revenue","")&amp;IF(COUNTIF(tbl_Finance[Job Number],$C322&amp;"")&gt;1,", Job number used twice",""),3,300)))</f>
        <v/>
      </c>
      <c r="Q322" s="10">
        <f>IF($C322="","",IF(H322="","(no cost centre)",H322&amp;" - GL "&amp;IFERROR(INDEX(lst_CCtoGL,MATCH(H322,lst_CCforGL,0)),"?")))</f>
        <v/>
      </c>
      <c r="R322" s="37" t="n"/>
      <c r="S322" s="37" t="n"/>
      <c r="T322" s="10">
        <f>IF(S322="","",HYPERLINK(IF(LEFT(S322,4)="http",S322,set_QwilrBase&amp;S322),"Open quote"))</f>
        <v/>
      </c>
      <c r="U322" s="41" t="n"/>
      <c r="V322" s="37" t="n"/>
      <c r="W322" s="37" t="n"/>
      <c r="X322" s="10" t="inlineStr">
        <is>
          <t>ONS-0318</t>
        </is>
      </c>
    </row>
    <row r="323">
      <c r="A323" s="16">
        <f>IF($C323="","",IFERROR(IF(INDEX(tbl_Finance[Latest Invoice Date],MATCH($X323,tbl_Finance[Row ID],0))="","",INDEX(tbl_Finance[Latest Invoice Date],MATCH($X323,tbl_Finance[Row ID],0))),""))</f>
        <v/>
      </c>
      <c r="B323" s="10">
        <f>IF($C323="","",IFERROR(INDEX(tbl_Finance[Invoice Numbers],MATCH($X323,tbl_Finance[Row ID],0))&amp;"",""))</f>
        <v/>
      </c>
      <c r="C323" s="37" t="n"/>
      <c r="D323" s="10">
        <f>IF($C323="","",IF(COUNTIF(lst_Jobs,$C323&amp;"")&gt;0,"OK","CHECK"))</f>
        <v/>
      </c>
      <c r="E323" s="10">
        <f>IF($C323="","",IFERROR(INDEX(lst_JobName,MATCH($C323&amp;"",lst_Jobs,0)),""))</f>
        <v/>
      </c>
      <c r="F323" s="37" t="n"/>
      <c r="G323" s="37" t="n"/>
      <c r="H323" s="37" t="n"/>
      <c r="I323" s="37" t="n"/>
      <c r="J323" s="37" t="n"/>
      <c r="K323" s="38">
        <f>IF($C323="","",IFERROR(N(INDEX(tbl_Finance[Invoice Count],MATCH($X323,tbl_Finance[Row ID],0))),""))</f>
        <v/>
      </c>
      <c r="L323" s="11">
        <f>IF($C323="","",IFERROR(N(INDEX(tbl_Finance[Xero Invoiced Ex GST],MATCH($X323,tbl_Finance[Row ID],0))),""))</f>
        <v/>
      </c>
      <c r="M323" s="10">
        <f>IF($C323="","",IFERROR(INDEX(tbl_Finance[Compare],MATCH($X323,tbl_Finance[Row ID],0))&amp;"",""))</f>
        <v/>
      </c>
      <c r="N323" s="11">
        <f>IF($C323="","",MAX(0,N(O323)-N(L323)))</f>
        <v/>
      </c>
      <c r="O323" s="39" t="n"/>
      <c r="P323" s="40">
        <f>IF($C323="","",IF((IF(F323="",", Client","")&amp;IF(G323="",", Description","")&amp;IF(H323="",", Cost Centre","")&amp;IF(I323="",", Invoice Type","")&amp;IF(J323="",", Tax Code","")&amp;IF(O323="",", Expected Revenue","")&amp;IF(COUNTIF(tbl_Finance[Job Number],$C323&amp;"")&gt;1,", Job number used twice",""))="","Complete","Fix: "&amp;MID(IF(F323="",", Client","")&amp;IF(G323="",", Description","")&amp;IF(H323="",", Cost Centre","")&amp;IF(I323="",", Invoice Type","")&amp;IF(J323="",", Tax Code","")&amp;IF(O323="",", Expected Revenue","")&amp;IF(COUNTIF(tbl_Finance[Job Number],$C323&amp;"")&gt;1,", Job number used twice",""),3,300)))</f>
        <v/>
      </c>
      <c r="Q323" s="10">
        <f>IF($C323="","",IF(H323="","(no cost centre)",H323&amp;" - GL "&amp;IFERROR(INDEX(lst_CCtoGL,MATCH(H323,lst_CCforGL,0)),"?")))</f>
        <v/>
      </c>
      <c r="R323" s="37" t="n"/>
      <c r="S323" s="37" t="n"/>
      <c r="T323" s="10">
        <f>IF(S323="","",HYPERLINK(IF(LEFT(S323,4)="http",S323,set_QwilrBase&amp;S323),"Open quote"))</f>
        <v/>
      </c>
      <c r="U323" s="41" t="n"/>
      <c r="V323" s="37" t="n"/>
      <c r="W323" s="37" t="n"/>
      <c r="X323" s="10" t="inlineStr">
        <is>
          <t>ONS-0319</t>
        </is>
      </c>
    </row>
    <row r="324">
      <c r="A324" s="16">
        <f>IF($C324="","",IFERROR(IF(INDEX(tbl_Finance[Latest Invoice Date],MATCH($X324,tbl_Finance[Row ID],0))="","",INDEX(tbl_Finance[Latest Invoice Date],MATCH($X324,tbl_Finance[Row ID],0))),""))</f>
        <v/>
      </c>
      <c r="B324" s="10">
        <f>IF($C324="","",IFERROR(INDEX(tbl_Finance[Invoice Numbers],MATCH($X324,tbl_Finance[Row ID],0))&amp;"",""))</f>
        <v/>
      </c>
      <c r="C324" s="37" t="n"/>
      <c r="D324" s="10">
        <f>IF($C324="","",IF(COUNTIF(lst_Jobs,$C324&amp;"")&gt;0,"OK","CHECK"))</f>
        <v/>
      </c>
      <c r="E324" s="10">
        <f>IF($C324="","",IFERROR(INDEX(lst_JobName,MATCH($C324&amp;"",lst_Jobs,0)),""))</f>
        <v/>
      </c>
      <c r="F324" s="37" t="n"/>
      <c r="G324" s="37" t="n"/>
      <c r="H324" s="37" t="n"/>
      <c r="I324" s="37" t="n"/>
      <c r="J324" s="37" t="n"/>
      <c r="K324" s="38">
        <f>IF($C324="","",IFERROR(N(INDEX(tbl_Finance[Invoice Count],MATCH($X324,tbl_Finance[Row ID],0))),""))</f>
        <v/>
      </c>
      <c r="L324" s="11">
        <f>IF($C324="","",IFERROR(N(INDEX(tbl_Finance[Xero Invoiced Ex GST],MATCH($X324,tbl_Finance[Row ID],0))),""))</f>
        <v/>
      </c>
      <c r="M324" s="10">
        <f>IF($C324="","",IFERROR(INDEX(tbl_Finance[Compare],MATCH($X324,tbl_Finance[Row ID],0))&amp;"",""))</f>
        <v/>
      </c>
      <c r="N324" s="11">
        <f>IF($C324="","",MAX(0,N(O324)-N(L324)))</f>
        <v/>
      </c>
      <c r="O324" s="39" t="n"/>
      <c r="P324" s="40">
        <f>IF($C324="","",IF((IF(F324="",", Client","")&amp;IF(G324="",", Description","")&amp;IF(H324="",", Cost Centre","")&amp;IF(I324="",", Invoice Type","")&amp;IF(J324="",", Tax Code","")&amp;IF(O324="",", Expected Revenue","")&amp;IF(COUNTIF(tbl_Finance[Job Number],$C324&amp;"")&gt;1,", Job number used twice",""))="","Complete","Fix: "&amp;MID(IF(F324="",", Client","")&amp;IF(G324="",", Description","")&amp;IF(H324="",", Cost Centre","")&amp;IF(I324="",", Invoice Type","")&amp;IF(J324="",", Tax Code","")&amp;IF(O324="",", Expected Revenue","")&amp;IF(COUNTIF(tbl_Finance[Job Number],$C324&amp;"")&gt;1,", Job number used twice",""),3,300)))</f>
        <v/>
      </c>
      <c r="Q324" s="10">
        <f>IF($C324="","",IF(H324="","(no cost centre)",H324&amp;" - GL "&amp;IFERROR(INDEX(lst_CCtoGL,MATCH(H324,lst_CCforGL,0)),"?")))</f>
        <v/>
      </c>
      <c r="R324" s="37" t="n"/>
      <c r="S324" s="37" t="n"/>
      <c r="T324" s="10">
        <f>IF(S324="","",HYPERLINK(IF(LEFT(S324,4)="http",S324,set_QwilrBase&amp;S324),"Open quote"))</f>
        <v/>
      </c>
      <c r="U324" s="41" t="n"/>
      <c r="V324" s="37" t="n"/>
      <c r="W324" s="37" t="n"/>
      <c r="X324" s="10" t="inlineStr">
        <is>
          <t>ONS-0320</t>
        </is>
      </c>
    </row>
    <row r="325">
      <c r="A325" s="16">
        <f>IF($C325="","",IFERROR(IF(INDEX(tbl_Finance[Latest Invoice Date],MATCH($X325,tbl_Finance[Row ID],0))="","",INDEX(tbl_Finance[Latest Invoice Date],MATCH($X325,tbl_Finance[Row ID],0))),""))</f>
        <v/>
      </c>
      <c r="B325" s="10">
        <f>IF($C325="","",IFERROR(INDEX(tbl_Finance[Invoice Numbers],MATCH($X325,tbl_Finance[Row ID],0))&amp;"",""))</f>
        <v/>
      </c>
      <c r="C325" s="37" t="n"/>
      <c r="D325" s="10">
        <f>IF($C325="","",IF(COUNTIF(lst_Jobs,$C325&amp;"")&gt;0,"OK","CHECK"))</f>
        <v/>
      </c>
      <c r="E325" s="10">
        <f>IF($C325="","",IFERROR(INDEX(lst_JobName,MATCH($C325&amp;"",lst_Jobs,0)),""))</f>
        <v/>
      </c>
      <c r="F325" s="37" t="n"/>
      <c r="G325" s="37" t="n"/>
      <c r="H325" s="37" t="n"/>
      <c r="I325" s="37" t="n"/>
      <c r="J325" s="37" t="n"/>
      <c r="K325" s="38">
        <f>IF($C325="","",IFERROR(N(INDEX(tbl_Finance[Invoice Count],MATCH($X325,tbl_Finance[Row ID],0))),""))</f>
        <v/>
      </c>
      <c r="L325" s="11">
        <f>IF($C325="","",IFERROR(N(INDEX(tbl_Finance[Xero Invoiced Ex GST],MATCH($X325,tbl_Finance[Row ID],0))),""))</f>
        <v/>
      </c>
      <c r="M325" s="10">
        <f>IF($C325="","",IFERROR(INDEX(tbl_Finance[Compare],MATCH($X325,tbl_Finance[Row ID],0))&amp;"",""))</f>
        <v/>
      </c>
      <c r="N325" s="11">
        <f>IF($C325="","",MAX(0,N(O325)-N(L325)))</f>
        <v/>
      </c>
      <c r="O325" s="39" t="n"/>
      <c r="P325" s="40">
        <f>IF($C325="","",IF((IF(F325="",", Client","")&amp;IF(G325="",", Description","")&amp;IF(H325="",", Cost Centre","")&amp;IF(I325="",", Invoice Type","")&amp;IF(J325="",", Tax Code","")&amp;IF(O325="",", Expected Revenue","")&amp;IF(COUNTIF(tbl_Finance[Job Number],$C325&amp;"")&gt;1,", Job number used twice",""))="","Complete","Fix: "&amp;MID(IF(F325="",", Client","")&amp;IF(G325="",", Description","")&amp;IF(H325="",", Cost Centre","")&amp;IF(I325="",", Invoice Type","")&amp;IF(J325="",", Tax Code","")&amp;IF(O325="",", Expected Revenue","")&amp;IF(COUNTIF(tbl_Finance[Job Number],$C325&amp;"")&gt;1,", Job number used twice",""),3,300)))</f>
        <v/>
      </c>
      <c r="Q325" s="10">
        <f>IF($C325="","",IF(H325="","(no cost centre)",H325&amp;" - GL "&amp;IFERROR(INDEX(lst_CCtoGL,MATCH(H325,lst_CCforGL,0)),"?")))</f>
        <v/>
      </c>
      <c r="R325" s="37" t="n"/>
      <c r="S325" s="37" t="n"/>
      <c r="T325" s="10">
        <f>IF(S325="","",HYPERLINK(IF(LEFT(S325,4)="http",S325,set_QwilrBase&amp;S325),"Open quote"))</f>
        <v/>
      </c>
      <c r="U325" s="41" t="n"/>
      <c r="V325" s="37" t="n"/>
      <c r="W325" s="37" t="n"/>
      <c r="X325" s="10" t="inlineStr">
        <is>
          <t>ONS-0321</t>
        </is>
      </c>
    </row>
    <row r="326">
      <c r="A326" s="16">
        <f>IF($C326="","",IFERROR(IF(INDEX(tbl_Finance[Latest Invoice Date],MATCH($X326,tbl_Finance[Row ID],0))="","",INDEX(tbl_Finance[Latest Invoice Date],MATCH($X326,tbl_Finance[Row ID],0))),""))</f>
        <v/>
      </c>
      <c r="B326" s="10">
        <f>IF($C326="","",IFERROR(INDEX(tbl_Finance[Invoice Numbers],MATCH($X326,tbl_Finance[Row ID],0))&amp;"",""))</f>
        <v/>
      </c>
      <c r="C326" s="37" t="n"/>
      <c r="D326" s="10">
        <f>IF($C326="","",IF(COUNTIF(lst_Jobs,$C326&amp;"")&gt;0,"OK","CHECK"))</f>
        <v/>
      </c>
      <c r="E326" s="10">
        <f>IF($C326="","",IFERROR(INDEX(lst_JobName,MATCH($C326&amp;"",lst_Jobs,0)),""))</f>
        <v/>
      </c>
      <c r="F326" s="37" t="n"/>
      <c r="G326" s="37" t="n"/>
      <c r="H326" s="37" t="n"/>
      <c r="I326" s="37" t="n"/>
      <c r="J326" s="37" t="n"/>
      <c r="K326" s="38">
        <f>IF($C326="","",IFERROR(N(INDEX(tbl_Finance[Invoice Count],MATCH($X326,tbl_Finance[Row ID],0))),""))</f>
        <v/>
      </c>
      <c r="L326" s="11">
        <f>IF($C326="","",IFERROR(N(INDEX(tbl_Finance[Xero Invoiced Ex GST],MATCH($X326,tbl_Finance[Row ID],0))),""))</f>
        <v/>
      </c>
      <c r="M326" s="10">
        <f>IF($C326="","",IFERROR(INDEX(tbl_Finance[Compare],MATCH($X326,tbl_Finance[Row ID],0))&amp;"",""))</f>
        <v/>
      </c>
      <c r="N326" s="11">
        <f>IF($C326="","",MAX(0,N(O326)-N(L326)))</f>
        <v/>
      </c>
      <c r="O326" s="39" t="n"/>
      <c r="P326" s="40">
        <f>IF($C326="","",IF((IF(F326="",", Client","")&amp;IF(G326="",", Description","")&amp;IF(H326="",", Cost Centre","")&amp;IF(I326="",", Invoice Type","")&amp;IF(J326="",", Tax Code","")&amp;IF(O326="",", Expected Revenue","")&amp;IF(COUNTIF(tbl_Finance[Job Number],$C326&amp;"")&gt;1,", Job number used twice",""))="","Complete","Fix: "&amp;MID(IF(F326="",", Client","")&amp;IF(G326="",", Description","")&amp;IF(H326="",", Cost Centre","")&amp;IF(I326="",", Invoice Type","")&amp;IF(J326="",", Tax Code","")&amp;IF(O326="",", Expected Revenue","")&amp;IF(COUNTIF(tbl_Finance[Job Number],$C326&amp;"")&gt;1,", Job number used twice",""),3,300)))</f>
        <v/>
      </c>
      <c r="Q326" s="10">
        <f>IF($C326="","",IF(H326="","(no cost centre)",H326&amp;" - GL "&amp;IFERROR(INDEX(lst_CCtoGL,MATCH(H326,lst_CCforGL,0)),"?")))</f>
        <v/>
      </c>
      <c r="R326" s="37" t="n"/>
      <c r="S326" s="37" t="n"/>
      <c r="T326" s="10">
        <f>IF(S326="","",HYPERLINK(IF(LEFT(S326,4)="http",S326,set_QwilrBase&amp;S326),"Open quote"))</f>
        <v/>
      </c>
      <c r="U326" s="41" t="n"/>
      <c r="V326" s="37" t="n"/>
      <c r="W326" s="37" t="n"/>
      <c r="X326" s="10" t="inlineStr">
        <is>
          <t>ONS-0322</t>
        </is>
      </c>
    </row>
    <row r="327">
      <c r="A327" s="16">
        <f>IF($C327="","",IFERROR(IF(INDEX(tbl_Finance[Latest Invoice Date],MATCH($X327,tbl_Finance[Row ID],0))="","",INDEX(tbl_Finance[Latest Invoice Date],MATCH($X327,tbl_Finance[Row ID],0))),""))</f>
        <v/>
      </c>
      <c r="B327" s="10">
        <f>IF($C327="","",IFERROR(INDEX(tbl_Finance[Invoice Numbers],MATCH($X327,tbl_Finance[Row ID],0))&amp;"",""))</f>
        <v/>
      </c>
      <c r="C327" s="37" t="n"/>
      <c r="D327" s="10">
        <f>IF($C327="","",IF(COUNTIF(lst_Jobs,$C327&amp;"")&gt;0,"OK","CHECK"))</f>
        <v/>
      </c>
      <c r="E327" s="10">
        <f>IF($C327="","",IFERROR(INDEX(lst_JobName,MATCH($C327&amp;"",lst_Jobs,0)),""))</f>
        <v/>
      </c>
      <c r="F327" s="37" t="n"/>
      <c r="G327" s="37" t="n"/>
      <c r="H327" s="37" t="n"/>
      <c r="I327" s="37" t="n"/>
      <c r="J327" s="37" t="n"/>
      <c r="K327" s="38">
        <f>IF($C327="","",IFERROR(N(INDEX(tbl_Finance[Invoice Count],MATCH($X327,tbl_Finance[Row ID],0))),""))</f>
        <v/>
      </c>
      <c r="L327" s="11">
        <f>IF($C327="","",IFERROR(N(INDEX(tbl_Finance[Xero Invoiced Ex GST],MATCH($X327,tbl_Finance[Row ID],0))),""))</f>
        <v/>
      </c>
      <c r="M327" s="10">
        <f>IF($C327="","",IFERROR(INDEX(tbl_Finance[Compare],MATCH($X327,tbl_Finance[Row ID],0))&amp;"",""))</f>
        <v/>
      </c>
      <c r="N327" s="11">
        <f>IF($C327="","",MAX(0,N(O327)-N(L327)))</f>
        <v/>
      </c>
      <c r="O327" s="39" t="n"/>
      <c r="P327" s="40">
        <f>IF($C327="","",IF((IF(F327="",", Client","")&amp;IF(G327="",", Description","")&amp;IF(H327="",", Cost Centre","")&amp;IF(I327="",", Invoice Type","")&amp;IF(J327="",", Tax Code","")&amp;IF(O327="",", Expected Revenue","")&amp;IF(COUNTIF(tbl_Finance[Job Number],$C327&amp;"")&gt;1,", Job number used twice",""))="","Complete","Fix: "&amp;MID(IF(F327="",", Client","")&amp;IF(G327="",", Description","")&amp;IF(H327="",", Cost Centre","")&amp;IF(I327="",", Invoice Type","")&amp;IF(J327="",", Tax Code","")&amp;IF(O327="",", Expected Revenue","")&amp;IF(COUNTIF(tbl_Finance[Job Number],$C327&amp;"")&gt;1,", Job number used twice",""),3,300)))</f>
        <v/>
      </c>
      <c r="Q327" s="10">
        <f>IF($C327="","",IF(H327="","(no cost centre)",H327&amp;" - GL "&amp;IFERROR(INDEX(lst_CCtoGL,MATCH(H327,lst_CCforGL,0)),"?")))</f>
        <v/>
      </c>
      <c r="R327" s="37" t="n"/>
      <c r="S327" s="37" t="n"/>
      <c r="T327" s="10">
        <f>IF(S327="","",HYPERLINK(IF(LEFT(S327,4)="http",S327,set_QwilrBase&amp;S327),"Open quote"))</f>
        <v/>
      </c>
      <c r="U327" s="41" t="n"/>
      <c r="V327" s="37" t="n"/>
      <c r="W327" s="37" t="n"/>
      <c r="X327" s="10" t="inlineStr">
        <is>
          <t>ONS-0323</t>
        </is>
      </c>
    </row>
    <row r="328">
      <c r="A328" s="16">
        <f>IF($C328="","",IFERROR(IF(INDEX(tbl_Finance[Latest Invoice Date],MATCH($X328,tbl_Finance[Row ID],0))="","",INDEX(tbl_Finance[Latest Invoice Date],MATCH($X328,tbl_Finance[Row ID],0))),""))</f>
        <v/>
      </c>
      <c r="B328" s="10">
        <f>IF($C328="","",IFERROR(INDEX(tbl_Finance[Invoice Numbers],MATCH($X328,tbl_Finance[Row ID],0))&amp;"",""))</f>
        <v/>
      </c>
      <c r="C328" s="37" t="n"/>
      <c r="D328" s="10">
        <f>IF($C328="","",IF(COUNTIF(lst_Jobs,$C328&amp;"")&gt;0,"OK","CHECK"))</f>
        <v/>
      </c>
      <c r="E328" s="10">
        <f>IF($C328="","",IFERROR(INDEX(lst_JobName,MATCH($C328&amp;"",lst_Jobs,0)),""))</f>
        <v/>
      </c>
      <c r="F328" s="37" t="n"/>
      <c r="G328" s="37" t="n"/>
      <c r="H328" s="37" t="n"/>
      <c r="I328" s="37" t="n"/>
      <c r="J328" s="37" t="n"/>
      <c r="K328" s="38">
        <f>IF($C328="","",IFERROR(N(INDEX(tbl_Finance[Invoice Count],MATCH($X328,tbl_Finance[Row ID],0))),""))</f>
        <v/>
      </c>
      <c r="L328" s="11">
        <f>IF($C328="","",IFERROR(N(INDEX(tbl_Finance[Xero Invoiced Ex GST],MATCH($X328,tbl_Finance[Row ID],0))),""))</f>
        <v/>
      </c>
      <c r="M328" s="10">
        <f>IF($C328="","",IFERROR(INDEX(tbl_Finance[Compare],MATCH($X328,tbl_Finance[Row ID],0))&amp;"",""))</f>
        <v/>
      </c>
      <c r="N328" s="11">
        <f>IF($C328="","",MAX(0,N(O328)-N(L328)))</f>
        <v/>
      </c>
      <c r="O328" s="39" t="n"/>
      <c r="P328" s="40">
        <f>IF($C328="","",IF((IF(F328="",", Client","")&amp;IF(G328="",", Description","")&amp;IF(H328="",", Cost Centre","")&amp;IF(I328="",", Invoice Type","")&amp;IF(J328="",", Tax Code","")&amp;IF(O328="",", Expected Revenue","")&amp;IF(COUNTIF(tbl_Finance[Job Number],$C328&amp;"")&gt;1,", Job number used twice",""))="","Complete","Fix: "&amp;MID(IF(F328="",", Client","")&amp;IF(G328="",", Description","")&amp;IF(H328="",", Cost Centre","")&amp;IF(I328="",", Invoice Type","")&amp;IF(J328="",", Tax Code","")&amp;IF(O328="",", Expected Revenue","")&amp;IF(COUNTIF(tbl_Finance[Job Number],$C328&amp;"")&gt;1,", Job number used twice",""),3,300)))</f>
        <v/>
      </c>
      <c r="Q328" s="10">
        <f>IF($C328="","",IF(H328="","(no cost centre)",H328&amp;" - GL "&amp;IFERROR(INDEX(lst_CCtoGL,MATCH(H328,lst_CCforGL,0)),"?")))</f>
        <v/>
      </c>
      <c r="R328" s="37" t="n"/>
      <c r="S328" s="37" t="n"/>
      <c r="T328" s="10">
        <f>IF(S328="","",HYPERLINK(IF(LEFT(S328,4)="http",S328,set_QwilrBase&amp;S328),"Open quote"))</f>
        <v/>
      </c>
      <c r="U328" s="41" t="n"/>
      <c r="V328" s="37" t="n"/>
      <c r="W328" s="37" t="n"/>
      <c r="X328" s="10" t="inlineStr">
        <is>
          <t>ONS-0324</t>
        </is>
      </c>
    </row>
    <row r="329">
      <c r="A329" s="16">
        <f>IF($C329="","",IFERROR(IF(INDEX(tbl_Finance[Latest Invoice Date],MATCH($X329,tbl_Finance[Row ID],0))="","",INDEX(tbl_Finance[Latest Invoice Date],MATCH($X329,tbl_Finance[Row ID],0))),""))</f>
        <v/>
      </c>
      <c r="B329" s="10">
        <f>IF($C329="","",IFERROR(INDEX(tbl_Finance[Invoice Numbers],MATCH($X329,tbl_Finance[Row ID],0))&amp;"",""))</f>
        <v/>
      </c>
      <c r="C329" s="37" t="n"/>
      <c r="D329" s="10">
        <f>IF($C329="","",IF(COUNTIF(lst_Jobs,$C329&amp;"")&gt;0,"OK","CHECK"))</f>
        <v/>
      </c>
      <c r="E329" s="10">
        <f>IF($C329="","",IFERROR(INDEX(lst_JobName,MATCH($C329&amp;"",lst_Jobs,0)),""))</f>
        <v/>
      </c>
      <c r="F329" s="37" t="n"/>
      <c r="G329" s="37" t="n"/>
      <c r="H329" s="37" t="n"/>
      <c r="I329" s="37" t="n"/>
      <c r="J329" s="37" t="n"/>
      <c r="K329" s="38">
        <f>IF($C329="","",IFERROR(N(INDEX(tbl_Finance[Invoice Count],MATCH($X329,tbl_Finance[Row ID],0))),""))</f>
        <v/>
      </c>
      <c r="L329" s="11">
        <f>IF($C329="","",IFERROR(N(INDEX(tbl_Finance[Xero Invoiced Ex GST],MATCH($X329,tbl_Finance[Row ID],0))),""))</f>
        <v/>
      </c>
      <c r="M329" s="10">
        <f>IF($C329="","",IFERROR(INDEX(tbl_Finance[Compare],MATCH($X329,tbl_Finance[Row ID],0))&amp;"",""))</f>
        <v/>
      </c>
      <c r="N329" s="11">
        <f>IF($C329="","",MAX(0,N(O329)-N(L329)))</f>
        <v/>
      </c>
      <c r="O329" s="39" t="n"/>
      <c r="P329" s="40">
        <f>IF($C329="","",IF((IF(F329="",", Client","")&amp;IF(G329="",", Description","")&amp;IF(H329="",", Cost Centre","")&amp;IF(I329="",", Invoice Type","")&amp;IF(J329="",", Tax Code","")&amp;IF(O329="",", Expected Revenue","")&amp;IF(COUNTIF(tbl_Finance[Job Number],$C329&amp;"")&gt;1,", Job number used twice",""))="","Complete","Fix: "&amp;MID(IF(F329="",", Client","")&amp;IF(G329="",", Description","")&amp;IF(H329="",", Cost Centre","")&amp;IF(I329="",", Invoice Type","")&amp;IF(J329="",", Tax Code","")&amp;IF(O329="",", Expected Revenue","")&amp;IF(COUNTIF(tbl_Finance[Job Number],$C329&amp;"")&gt;1,", Job number used twice",""),3,300)))</f>
        <v/>
      </c>
      <c r="Q329" s="10">
        <f>IF($C329="","",IF(H329="","(no cost centre)",H329&amp;" - GL "&amp;IFERROR(INDEX(lst_CCtoGL,MATCH(H329,lst_CCforGL,0)),"?")))</f>
        <v/>
      </c>
      <c r="R329" s="37" t="n"/>
      <c r="S329" s="37" t="n"/>
      <c r="T329" s="10">
        <f>IF(S329="","",HYPERLINK(IF(LEFT(S329,4)="http",S329,set_QwilrBase&amp;S329),"Open quote"))</f>
        <v/>
      </c>
      <c r="U329" s="41" t="n"/>
      <c r="V329" s="37" t="n"/>
      <c r="W329" s="37" t="n"/>
      <c r="X329" s="10" t="inlineStr">
        <is>
          <t>ONS-0325</t>
        </is>
      </c>
    </row>
    <row r="330">
      <c r="A330" s="16">
        <f>IF($C330="","",IFERROR(IF(INDEX(tbl_Finance[Latest Invoice Date],MATCH($X330,tbl_Finance[Row ID],0))="","",INDEX(tbl_Finance[Latest Invoice Date],MATCH($X330,tbl_Finance[Row ID],0))),""))</f>
        <v/>
      </c>
      <c r="B330" s="10">
        <f>IF($C330="","",IFERROR(INDEX(tbl_Finance[Invoice Numbers],MATCH($X330,tbl_Finance[Row ID],0))&amp;"",""))</f>
        <v/>
      </c>
      <c r="C330" s="37" t="n"/>
      <c r="D330" s="10">
        <f>IF($C330="","",IF(COUNTIF(lst_Jobs,$C330&amp;"")&gt;0,"OK","CHECK"))</f>
        <v/>
      </c>
      <c r="E330" s="10">
        <f>IF($C330="","",IFERROR(INDEX(lst_JobName,MATCH($C330&amp;"",lst_Jobs,0)),""))</f>
        <v/>
      </c>
      <c r="F330" s="37" t="n"/>
      <c r="G330" s="37" t="n"/>
      <c r="H330" s="37" t="n"/>
      <c r="I330" s="37" t="n"/>
      <c r="J330" s="37" t="n"/>
      <c r="K330" s="38">
        <f>IF($C330="","",IFERROR(N(INDEX(tbl_Finance[Invoice Count],MATCH($X330,tbl_Finance[Row ID],0))),""))</f>
        <v/>
      </c>
      <c r="L330" s="11">
        <f>IF($C330="","",IFERROR(N(INDEX(tbl_Finance[Xero Invoiced Ex GST],MATCH($X330,tbl_Finance[Row ID],0))),""))</f>
        <v/>
      </c>
      <c r="M330" s="10">
        <f>IF($C330="","",IFERROR(INDEX(tbl_Finance[Compare],MATCH($X330,tbl_Finance[Row ID],0))&amp;"",""))</f>
        <v/>
      </c>
      <c r="N330" s="11">
        <f>IF($C330="","",MAX(0,N(O330)-N(L330)))</f>
        <v/>
      </c>
      <c r="O330" s="39" t="n"/>
      <c r="P330" s="40">
        <f>IF($C330="","",IF((IF(F330="",", Client","")&amp;IF(G330="",", Description","")&amp;IF(H330="",", Cost Centre","")&amp;IF(I330="",", Invoice Type","")&amp;IF(J330="",", Tax Code","")&amp;IF(O330="",", Expected Revenue","")&amp;IF(COUNTIF(tbl_Finance[Job Number],$C330&amp;"")&gt;1,", Job number used twice",""))="","Complete","Fix: "&amp;MID(IF(F330="",", Client","")&amp;IF(G330="",", Description","")&amp;IF(H330="",", Cost Centre","")&amp;IF(I330="",", Invoice Type","")&amp;IF(J330="",", Tax Code","")&amp;IF(O330="",", Expected Revenue","")&amp;IF(COUNTIF(tbl_Finance[Job Number],$C330&amp;"")&gt;1,", Job number used twice",""),3,300)))</f>
        <v/>
      </c>
      <c r="Q330" s="10">
        <f>IF($C330="","",IF(H330="","(no cost centre)",H330&amp;" - GL "&amp;IFERROR(INDEX(lst_CCtoGL,MATCH(H330,lst_CCforGL,0)),"?")))</f>
        <v/>
      </c>
      <c r="R330" s="37" t="n"/>
      <c r="S330" s="37" t="n"/>
      <c r="T330" s="10">
        <f>IF(S330="","",HYPERLINK(IF(LEFT(S330,4)="http",S330,set_QwilrBase&amp;S330),"Open quote"))</f>
        <v/>
      </c>
      <c r="U330" s="41" t="n"/>
      <c r="V330" s="37" t="n"/>
      <c r="W330" s="37" t="n"/>
      <c r="X330" s="10" t="inlineStr">
        <is>
          <t>ONS-0326</t>
        </is>
      </c>
    </row>
    <row r="331">
      <c r="A331" s="16">
        <f>IF($C331="","",IFERROR(IF(INDEX(tbl_Finance[Latest Invoice Date],MATCH($X331,tbl_Finance[Row ID],0))="","",INDEX(tbl_Finance[Latest Invoice Date],MATCH($X331,tbl_Finance[Row ID],0))),""))</f>
        <v/>
      </c>
      <c r="B331" s="10">
        <f>IF($C331="","",IFERROR(INDEX(tbl_Finance[Invoice Numbers],MATCH($X331,tbl_Finance[Row ID],0))&amp;"",""))</f>
        <v/>
      </c>
      <c r="C331" s="37" t="n"/>
      <c r="D331" s="10">
        <f>IF($C331="","",IF(COUNTIF(lst_Jobs,$C331&amp;"")&gt;0,"OK","CHECK"))</f>
        <v/>
      </c>
      <c r="E331" s="10">
        <f>IF($C331="","",IFERROR(INDEX(lst_JobName,MATCH($C331&amp;"",lst_Jobs,0)),""))</f>
        <v/>
      </c>
      <c r="F331" s="37" t="n"/>
      <c r="G331" s="37" t="n"/>
      <c r="H331" s="37" t="n"/>
      <c r="I331" s="37" t="n"/>
      <c r="J331" s="37" t="n"/>
      <c r="K331" s="38">
        <f>IF($C331="","",IFERROR(N(INDEX(tbl_Finance[Invoice Count],MATCH($X331,tbl_Finance[Row ID],0))),""))</f>
        <v/>
      </c>
      <c r="L331" s="11">
        <f>IF($C331="","",IFERROR(N(INDEX(tbl_Finance[Xero Invoiced Ex GST],MATCH($X331,tbl_Finance[Row ID],0))),""))</f>
        <v/>
      </c>
      <c r="M331" s="10">
        <f>IF($C331="","",IFERROR(INDEX(tbl_Finance[Compare],MATCH($X331,tbl_Finance[Row ID],0))&amp;"",""))</f>
        <v/>
      </c>
      <c r="N331" s="11">
        <f>IF($C331="","",MAX(0,N(O331)-N(L331)))</f>
        <v/>
      </c>
      <c r="O331" s="39" t="n"/>
      <c r="P331" s="40">
        <f>IF($C331="","",IF((IF(F331="",", Client","")&amp;IF(G331="",", Description","")&amp;IF(H331="",", Cost Centre","")&amp;IF(I331="",", Invoice Type","")&amp;IF(J331="",", Tax Code","")&amp;IF(O331="",", Expected Revenue","")&amp;IF(COUNTIF(tbl_Finance[Job Number],$C331&amp;"")&gt;1,", Job number used twice",""))="","Complete","Fix: "&amp;MID(IF(F331="",", Client","")&amp;IF(G331="",", Description","")&amp;IF(H331="",", Cost Centre","")&amp;IF(I331="",", Invoice Type","")&amp;IF(J331="",", Tax Code","")&amp;IF(O331="",", Expected Revenue","")&amp;IF(COUNTIF(tbl_Finance[Job Number],$C331&amp;"")&gt;1,", Job number used twice",""),3,300)))</f>
        <v/>
      </c>
      <c r="Q331" s="10">
        <f>IF($C331="","",IF(H331="","(no cost centre)",H331&amp;" - GL "&amp;IFERROR(INDEX(lst_CCtoGL,MATCH(H331,lst_CCforGL,0)),"?")))</f>
        <v/>
      </c>
      <c r="R331" s="37" t="n"/>
      <c r="S331" s="37" t="n"/>
      <c r="T331" s="10">
        <f>IF(S331="","",HYPERLINK(IF(LEFT(S331,4)="http",S331,set_QwilrBase&amp;S331),"Open quote"))</f>
        <v/>
      </c>
      <c r="U331" s="41" t="n"/>
      <c r="V331" s="37" t="n"/>
      <c r="W331" s="37" t="n"/>
      <c r="X331" s="10" t="inlineStr">
        <is>
          <t>ONS-0327</t>
        </is>
      </c>
    </row>
    <row r="332">
      <c r="A332" s="16">
        <f>IF($C332="","",IFERROR(IF(INDEX(tbl_Finance[Latest Invoice Date],MATCH($X332,tbl_Finance[Row ID],0))="","",INDEX(tbl_Finance[Latest Invoice Date],MATCH($X332,tbl_Finance[Row ID],0))),""))</f>
        <v/>
      </c>
      <c r="B332" s="10">
        <f>IF($C332="","",IFERROR(INDEX(tbl_Finance[Invoice Numbers],MATCH($X332,tbl_Finance[Row ID],0))&amp;"",""))</f>
        <v/>
      </c>
      <c r="C332" s="37" t="n"/>
      <c r="D332" s="10">
        <f>IF($C332="","",IF(COUNTIF(lst_Jobs,$C332&amp;"")&gt;0,"OK","CHECK"))</f>
        <v/>
      </c>
      <c r="E332" s="10">
        <f>IF($C332="","",IFERROR(INDEX(lst_JobName,MATCH($C332&amp;"",lst_Jobs,0)),""))</f>
        <v/>
      </c>
      <c r="F332" s="37" t="n"/>
      <c r="G332" s="37" t="n"/>
      <c r="H332" s="37" t="n"/>
      <c r="I332" s="37" t="n"/>
      <c r="J332" s="37" t="n"/>
      <c r="K332" s="38">
        <f>IF($C332="","",IFERROR(N(INDEX(tbl_Finance[Invoice Count],MATCH($X332,tbl_Finance[Row ID],0))),""))</f>
        <v/>
      </c>
      <c r="L332" s="11">
        <f>IF($C332="","",IFERROR(N(INDEX(tbl_Finance[Xero Invoiced Ex GST],MATCH($X332,tbl_Finance[Row ID],0))),""))</f>
        <v/>
      </c>
      <c r="M332" s="10">
        <f>IF($C332="","",IFERROR(INDEX(tbl_Finance[Compare],MATCH($X332,tbl_Finance[Row ID],0))&amp;"",""))</f>
        <v/>
      </c>
      <c r="N332" s="11">
        <f>IF($C332="","",MAX(0,N(O332)-N(L332)))</f>
        <v/>
      </c>
      <c r="O332" s="39" t="n"/>
      <c r="P332" s="40">
        <f>IF($C332="","",IF((IF(F332="",", Client","")&amp;IF(G332="",", Description","")&amp;IF(H332="",", Cost Centre","")&amp;IF(I332="",", Invoice Type","")&amp;IF(J332="",", Tax Code","")&amp;IF(O332="",", Expected Revenue","")&amp;IF(COUNTIF(tbl_Finance[Job Number],$C332&amp;"")&gt;1,", Job number used twice",""))="","Complete","Fix: "&amp;MID(IF(F332="",", Client","")&amp;IF(G332="",", Description","")&amp;IF(H332="",", Cost Centre","")&amp;IF(I332="",", Invoice Type","")&amp;IF(J332="",", Tax Code","")&amp;IF(O332="",", Expected Revenue","")&amp;IF(COUNTIF(tbl_Finance[Job Number],$C332&amp;"")&gt;1,", Job number used twice",""),3,300)))</f>
        <v/>
      </c>
      <c r="Q332" s="10">
        <f>IF($C332="","",IF(H332="","(no cost centre)",H332&amp;" - GL "&amp;IFERROR(INDEX(lst_CCtoGL,MATCH(H332,lst_CCforGL,0)),"?")))</f>
        <v/>
      </c>
      <c r="R332" s="37" t="n"/>
      <c r="S332" s="37" t="n"/>
      <c r="T332" s="10">
        <f>IF(S332="","",HYPERLINK(IF(LEFT(S332,4)="http",S332,set_QwilrBase&amp;S332),"Open quote"))</f>
        <v/>
      </c>
      <c r="U332" s="41" t="n"/>
      <c r="V332" s="37" t="n"/>
      <c r="W332" s="37" t="n"/>
      <c r="X332" s="10" t="inlineStr">
        <is>
          <t>ONS-0328</t>
        </is>
      </c>
    </row>
    <row r="333">
      <c r="A333" s="16">
        <f>IF($C333="","",IFERROR(IF(INDEX(tbl_Finance[Latest Invoice Date],MATCH($X333,tbl_Finance[Row ID],0))="","",INDEX(tbl_Finance[Latest Invoice Date],MATCH($X333,tbl_Finance[Row ID],0))),""))</f>
        <v/>
      </c>
      <c r="B333" s="10">
        <f>IF($C333="","",IFERROR(INDEX(tbl_Finance[Invoice Numbers],MATCH($X333,tbl_Finance[Row ID],0))&amp;"",""))</f>
        <v/>
      </c>
      <c r="C333" s="37" t="n"/>
      <c r="D333" s="10">
        <f>IF($C333="","",IF(COUNTIF(lst_Jobs,$C333&amp;"")&gt;0,"OK","CHECK"))</f>
        <v/>
      </c>
      <c r="E333" s="10">
        <f>IF($C333="","",IFERROR(INDEX(lst_JobName,MATCH($C333&amp;"",lst_Jobs,0)),""))</f>
        <v/>
      </c>
      <c r="F333" s="37" t="n"/>
      <c r="G333" s="37" t="n"/>
      <c r="H333" s="37" t="n"/>
      <c r="I333" s="37" t="n"/>
      <c r="J333" s="37" t="n"/>
      <c r="K333" s="38">
        <f>IF($C333="","",IFERROR(N(INDEX(tbl_Finance[Invoice Count],MATCH($X333,tbl_Finance[Row ID],0))),""))</f>
        <v/>
      </c>
      <c r="L333" s="11">
        <f>IF($C333="","",IFERROR(N(INDEX(tbl_Finance[Xero Invoiced Ex GST],MATCH($X333,tbl_Finance[Row ID],0))),""))</f>
        <v/>
      </c>
      <c r="M333" s="10">
        <f>IF($C333="","",IFERROR(INDEX(tbl_Finance[Compare],MATCH($X333,tbl_Finance[Row ID],0))&amp;"",""))</f>
        <v/>
      </c>
      <c r="N333" s="11">
        <f>IF($C333="","",MAX(0,N(O333)-N(L333)))</f>
        <v/>
      </c>
      <c r="O333" s="39" t="n"/>
      <c r="P333" s="40">
        <f>IF($C333="","",IF((IF(F333="",", Client","")&amp;IF(G333="",", Description","")&amp;IF(H333="",", Cost Centre","")&amp;IF(I333="",", Invoice Type","")&amp;IF(J333="",", Tax Code","")&amp;IF(O333="",", Expected Revenue","")&amp;IF(COUNTIF(tbl_Finance[Job Number],$C333&amp;"")&gt;1,", Job number used twice",""))="","Complete","Fix: "&amp;MID(IF(F333="",", Client","")&amp;IF(G333="",", Description","")&amp;IF(H333="",", Cost Centre","")&amp;IF(I333="",", Invoice Type","")&amp;IF(J333="",", Tax Code","")&amp;IF(O333="",", Expected Revenue","")&amp;IF(COUNTIF(tbl_Finance[Job Number],$C333&amp;"")&gt;1,", Job number used twice",""),3,300)))</f>
        <v/>
      </c>
      <c r="Q333" s="10">
        <f>IF($C333="","",IF(H333="","(no cost centre)",H333&amp;" - GL "&amp;IFERROR(INDEX(lst_CCtoGL,MATCH(H333,lst_CCforGL,0)),"?")))</f>
        <v/>
      </c>
      <c r="R333" s="37" t="n"/>
      <c r="S333" s="37" t="n"/>
      <c r="T333" s="10">
        <f>IF(S333="","",HYPERLINK(IF(LEFT(S333,4)="http",S333,set_QwilrBase&amp;S333),"Open quote"))</f>
        <v/>
      </c>
      <c r="U333" s="41" t="n"/>
      <c r="V333" s="37" t="n"/>
      <c r="W333" s="37" t="n"/>
      <c r="X333" s="10" t="inlineStr">
        <is>
          <t>ONS-0329</t>
        </is>
      </c>
    </row>
    <row r="334">
      <c r="A334" s="16">
        <f>IF($C334="","",IFERROR(IF(INDEX(tbl_Finance[Latest Invoice Date],MATCH($X334,tbl_Finance[Row ID],0))="","",INDEX(tbl_Finance[Latest Invoice Date],MATCH($X334,tbl_Finance[Row ID],0))),""))</f>
        <v/>
      </c>
      <c r="B334" s="10">
        <f>IF($C334="","",IFERROR(INDEX(tbl_Finance[Invoice Numbers],MATCH($X334,tbl_Finance[Row ID],0))&amp;"",""))</f>
        <v/>
      </c>
      <c r="C334" s="37" t="n"/>
      <c r="D334" s="10">
        <f>IF($C334="","",IF(COUNTIF(lst_Jobs,$C334&amp;"")&gt;0,"OK","CHECK"))</f>
        <v/>
      </c>
      <c r="E334" s="10">
        <f>IF($C334="","",IFERROR(INDEX(lst_JobName,MATCH($C334&amp;"",lst_Jobs,0)),""))</f>
        <v/>
      </c>
      <c r="F334" s="37" t="n"/>
      <c r="G334" s="37" t="n"/>
      <c r="H334" s="37" t="n"/>
      <c r="I334" s="37" t="n"/>
      <c r="J334" s="37" t="n"/>
      <c r="K334" s="38">
        <f>IF($C334="","",IFERROR(N(INDEX(tbl_Finance[Invoice Count],MATCH($X334,tbl_Finance[Row ID],0))),""))</f>
        <v/>
      </c>
      <c r="L334" s="11">
        <f>IF($C334="","",IFERROR(N(INDEX(tbl_Finance[Xero Invoiced Ex GST],MATCH($X334,tbl_Finance[Row ID],0))),""))</f>
        <v/>
      </c>
      <c r="M334" s="10">
        <f>IF($C334="","",IFERROR(INDEX(tbl_Finance[Compare],MATCH($X334,tbl_Finance[Row ID],0))&amp;"",""))</f>
        <v/>
      </c>
      <c r="N334" s="11">
        <f>IF($C334="","",MAX(0,N(O334)-N(L334)))</f>
        <v/>
      </c>
      <c r="O334" s="39" t="n"/>
      <c r="P334" s="40">
        <f>IF($C334="","",IF((IF(F334="",", Client","")&amp;IF(G334="",", Description","")&amp;IF(H334="",", Cost Centre","")&amp;IF(I334="",", Invoice Type","")&amp;IF(J334="",", Tax Code","")&amp;IF(O334="",", Expected Revenue","")&amp;IF(COUNTIF(tbl_Finance[Job Number],$C334&amp;"")&gt;1,", Job number used twice",""))="","Complete","Fix: "&amp;MID(IF(F334="",", Client","")&amp;IF(G334="",", Description","")&amp;IF(H334="",", Cost Centre","")&amp;IF(I334="",", Invoice Type","")&amp;IF(J334="",", Tax Code","")&amp;IF(O334="",", Expected Revenue","")&amp;IF(COUNTIF(tbl_Finance[Job Number],$C334&amp;"")&gt;1,", Job number used twice",""),3,300)))</f>
        <v/>
      </c>
      <c r="Q334" s="10">
        <f>IF($C334="","",IF(H334="","(no cost centre)",H334&amp;" - GL "&amp;IFERROR(INDEX(lst_CCtoGL,MATCH(H334,lst_CCforGL,0)),"?")))</f>
        <v/>
      </c>
      <c r="R334" s="37" t="n"/>
      <c r="S334" s="37" t="n"/>
      <c r="T334" s="10">
        <f>IF(S334="","",HYPERLINK(IF(LEFT(S334,4)="http",S334,set_QwilrBase&amp;S334),"Open quote"))</f>
        <v/>
      </c>
      <c r="U334" s="41" t="n"/>
      <c r="V334" s="37" t="n"/>
      <c r="W334" s="37" t="n"/>
      <c r="X334" s="10" t="inlineStr">
        <is>
          <t>ONS-0330</t>
        </is>
      </c>
    </row>
    <row r="335">
      <c r="A335" s="16">
        <f>IF($C335="","",IFERROR(IF(INDEX(tbl_Finance[Latest Invoice Date],MATCH($X335,tbl_Finance[Row ID],0))="","",INDEX(tbl_Finance[Latest Invoice Date],MATCH($X335,tbl_Finance[Row ID],0))),""))</f>
        <v/>
      </c>
      <c r="B335" s="10">
        <f>IF($C335="","",IFERROR(INDEX(tbl_Finance[Invoice Numbers],MATCH($X335,tbl_Finance[Row ID],0))&amp;"",""))</f>
        <v/>
      </c>
      <c r="C335" s="37" t="n"/>
      <c r="D335" s="10">
        <f>IF($C335="","",IF(COUNTIF(lst_Jobs,$C335&amp;"")&gt;0,"OK","CHECK"))</f>
        <v/>
      </c>
      <c r="E335" s="10">
        <f>IF($C335="","",IFERROR(INDEX(lst_JobName,MATCH($C335&amp;"",lst_Jobs,0)),""))</f>
        <v/>
      </c>
      <c r="F335" s="37" t="n"/>
      <c r="G335" s="37" t="n"/>
      <c r="H335" s="37" t="n"/>
      <c r="I335" s="37" t="n"/>
      <c r="J335" s="37" t="n"/>
      <c r="K335" s="38">
        <f>IF($C335="","",IFERROR(N(INDEX(tbl_Finance[Invoice Count],MATCH($X335,tbl_Finance[Row ID],0))),""))</f>
        <v/>
      </c>
      <c r="L335" s="11">
        <f>IF($C335="","",IFERROR(N(INDEX(tbl_Finance[Xero Invoiced Ex GST],MATCH($X335,tbl_Finance[Row ID],0))),""))</f>
        <v/>
      </c>
      <c r="M335" s="10">
        <f>IF($C335="","",IFERROR(INDEX(tbl_Finance[Compare],MATCH($X335,tbl_Finance[Row ID],0))&amp;"",""))</f>
        <v/>
      </c>
      <c r="N335" s="11">
        <f>IF($C335="","",MAX(0,N(O335)-N(L335)))</f>
        <v/>
      </c>
      <c r="O335" s="39" t="n"/>
      <c r="P335" s="40">
        <f>IF($C335="","",IF((IF(F335="",", Client","")&amp;IF(G335="",", Description","")&amp;IF(H335="",", Cost Centre","")&amp;IF(I335="",", Invoice Type","")&amp;IF(J335="",", Tax Code","")&amp;IF(O335="",", Expected Revenue","")&amp;IF(COUNTIF(tbl_Finance[Job Number],$C335&amp;"")&gt;1,", Job number used twice",""))="","Complete","Fix: "&amp;MID(IF(F335="",", Client","")&amp;IF(G335="",", Description","")&amp;IF(H335="",", Cost Centre","")&amp;IF(I335="",", Invoice Type","")&amp;IF(J335="",", Tax Code","")&amp;IF(O335="",", Expected Revenue","")&amp;IF(COUNTIF(tbl_Finance[Job Number],$C335&amp;"")&gt;1,", Job number used twice",""),3,300)))</f>
        <v/>
      </c>
      <c r="Q335" s="10">
        <f>IF($C335="","",IF(H335="","(no cost centre)",H335&amp;" - GL "&amp;IFERROR(INDEX(lst_CCtoGL,MATCH(H335,lst_CCforGL,0)),"?")))</f>
        <v/>
      </c>
      <c r="R335" s="37" t="n"/>
      <c r="S335" s="37" t="n"/>
      <c r="T335" s="10">
        <f>IF(S335="","",HYPERLINK(IF(LEFT(S335,4)="http",S335,set_QwilrBase&amp;S335),"Open quote"))</f>
        <v/>
      </c>
      <c r="U335" s="41" t="n"/>
      <c r="V335" s="37" t="n"/>
      <c r="W335" s="37" t="n"/>
      <c r="X335" s="10" t="inlineStr">
        <is>
          <t>ONS-0331</t>
        </is>
      </c>
    </row>
    <row r="336">
      <c r="A336" s="16">
        <f>IF($C336="","",IFERROR(IF(INDEX(tbl_Finance[Latest Invoice Date],MATCH($X336,tbl_Finance[Row ID],0))="","",INDEX(tbl_Finance[Latest Invoice Date],MATCH($X336,tbl_Finance[Row ID],0))),""))</f>
        <v/>
      </c>
      <c r="B336" s="10">
        <f>IF($C336="","",IFERROR(INDEX(tbl_Finance[Invoice Numbers],MATCH($X336,tbl_Finance[Row ID],0))&amp;"",""))</f>
        <v/>
      </c>
      <c r="C336" s="37" t="n"/>
      <c r="D336" s="10">
        <f>IF($C336="","",IF(COUNTIF(lst_Jobs,$C336&amp;"")&gt;0,"OK","CHECK"))</f>
        <v/>
      </c>
      <c r="E336" s="10">
        <f>IF($C336="","",IFERROR(INDEX(lst_JobName,MATCH($C336&amp;"",lst_Jobs,0)),""))</f>
        <v/>
      </c>
      <c r="F336" s="37" t="n"/>
      <c r="G336" s="37" t="n"/>
      <c r="H336" s="37" t="n"/>
      <c r="I336" s="37" t="n"/>
      <c r="J336" s="37" t="n"/>
      <c r="K336" s="38">
        <f>IF($C336="","",IFERROR(N(INDEX(tbl_Finance[Invoice Count],MATCH($X336,tbl_Finance[Row ID],0))),""))</f>
        <v/>
      </c>
      <c r="L336" s="11">
        <f>IF($C336="","",IFERROR(N(INDEX(tbl_Finance[Xero Invoiced Ex GST],MATCH($X336,tbl_Finance[Row ID],0))),""))</f>
        <v/>
      </c>
      <c r="M336" s="10">
        <f>IF($C336="","",IFERROR(INDEX(tbl_Finance[Compare],MATCH($X336,tbl_Finance[Row ID],0))&amp;"",""))</f>
        <v/>
      </c>
      <c r="N336" s="11">
        <f>IF($C336="","",MAX(0,N(O336)-N(L336)))</f>
        <v/>
      </c>
      <c r="O336" s="39" t="n"/>
      <c r="P336" s="40">
        <f>IF($C336="","",IF((IF(F336="",", Client","")&amp;IF(G336="",", Description","")&amp;IF(H336="",", Cost Centre","")&amp;IF(I336="",", Invoice Type","")&amp;IF(J336="",", Tax Code","")&amp;IF(O336="",", Expected Revenue","")&amp;IF(COUNTIF(tbl_Finance[Job Number],$C336&amp;"")&gt;1,", Job number used twice",""))="","Complete","Fix: "&amp;MID(IF(F336="",", Client","")&amp;IF(G336="",", Description","")&amp;IF(H336="",", Cost Centre","")&amp;IF(I336="",", Invoice Type","")&amp;IF(J336="",", Tax Code","")&amp;IF(O336="",", Expected Revenue","")&amp;IF(COUNTIF(tbl_Finance[Job Number],$C336&amp;"")&gt;1,", Job number used twice",""),3,300)))</f>
        <v/>
      </c>
      <c r="Q336" s="10">
        <f>IF($C336="","",IF(H336="","(no cost centre)",H336&amp;" - GL "&amp;IFERROR(INDEX(lst_CCtoGL,MATCH(H336,lst_CCforGL,0)),"?")))</f>
        <v/>
      </c>
      <c r="R336" s="37" t="n"/>
      <c r="S336" s="37" t="n"/>
      <c r="T336" s="10">
        <f>IF(S336="","",HYPERLINK(IF(LEFT(S336,4)="http",S336,set_QwilrBase&amp;S336),"Open quote"))</f>
        <v/>
      </c>
      <c r="U336" s="41" t="n"/>
      <c r="V336" s="37" t="n"/>
      <c r="W336" s="37" t="n"/>
      <c r="X336" s="10" t="inlineStr">
        <is>
          <t>ONS-0332</t>
        </is>
      </c>
    </row>
    <row r="337">
      <c r="A337" s="16">
        <f>IF($C337="","",IFERROR(IF(INDEX(tbl_Finance[Latest Invoice Date],MATCH($X337,tbl_Finance[Row ID],0))="","",INDEX(tbl_Finance[Latest Invoice Date],MATCH($X337,tbl_Finance[Row ID],0))),""))</f>
        <v/>
      </c>
      <c r="B337" s="10">
        <f>IF($C337="","",IFERROR(INDEX(tbl_Finance[Invoice Numbers],MATCH($X337,tbl_Finance[Row ID],0))&amp;"",""))</f>
        <v/>
      </c>
      <c r="C337" s="37" t="n"/>
      <c r="D337" s="10">
        <f>IF($C337="","",IF(COUNTIF(lst_Jobs,$C337&amp;"")&gt;0,"OK","CHECK"))</f>
        <v/>
      </c>
      <c r="E337" s="10">
        <f>IF($C337="","",IFERROR(INDEX(lst_JobName,MATCH($C337&amp;"",lst_Jobs,0)),""))</f>
        <v/>
      </c>
      <c r="F337" s="37" t="n"/>
      <c r="G337" s="37" t="n"/>
      <c r="H337" s="37" t="n"/>
      <c r="I337" s="37" t="n"/>
      <c r="J337" s="37" t="n"/>
      <c r="K337" s="38">
        <f>IF($C337="","",IFERROR(N(INDEX(tbl_Finance[Invoice Count],MATCH($X337,tbl_Finance[Row ID],0))),""))</f>
        <v/>
      </c>
      <c r="L337" s="11">
        <f>IF($C337="","",IFERROR(N(INDEX(tbl_Finance[Xero Invoiced Ex GST],MATCH($X337,tbl_Finance[Row ID],0))),""))</f>
        <v/>
      </c>
      <c r="M337" s="10">
        <f>IF($C337="","",IFERROR(INDEX(tbl_Finance[Compare],MATCH($X337,tbl_Finance[Row ID],0))&amp;"",""))</f>
        <v/>
      </c>
      <c r="N337" s="11">
        <f>IF($C337="","",MAX(0,N(O337)-N(L337)))</f>
        <v/>
      </c>
      <c r="O337" s="39" t="n"/>
      <c r="P337" s="40">
        <f>IF($C337="","",IF((IF(F337="",", Client","")&amp;IF(G337="",", Description","")&amp;IF(H337="",", Cost Centre","")&amp;IF(I337="",", Invoice Type","")&amp;IF(J337="",", Tax Code","")&amp;IF(O337="",", Expected Revenue","")&amp;IF(COUNTIF(tbl_Finance[Job Number],$C337&amp;"")&gt;1,", Job number used twice",""))="","Complete","Fix: "&amp;MID(IF(F337="",", Client","")&amp;IF(G337="",", Description","")&amp;IF(H337="",", Cost Centre","")&amp;IF(I337="",", Invoice Type","")&amp;IF(J337="",", Tax Code","")&amp;IF(O337="",", Expected Revenue","")&amp;IF(COUNTIF(tbl_Finance[Job Number],$C337&amp;"")&gt;1,", Job number used twice",""),3,300)))</f>
        <v/>
      </c>
      <c r="Q337" s="10">
        <f>IF($C337="","",IF(H337="","(no cost centre)",H337&amp;" - GL "&amp;IFERROR(INDEX(lst_CCtoGL,MATCH(H337,lst_CCforGL,0)),"?")))</f>
        <v/>
      </c>
      <c r="R337" s="37" t="n"/>
      <c r="S337" s="37" t="n"/>
      <c r="T337" s="10">
        <f>IF(S337="","",HYPERLINK(IF(LEFT(S337,4)="http",S337,set_QwilrBase&amp;S337),"Open quote"))</f>
        <v/>
      </c>
      <c r="U337" s="41" t="n"/>
      <c r="V337" s="37" t="n"/>
      <c r="W337" s="37" t="n"/>
      <c r="X337" s="10" t="inlineStr">
        <is>
          <t>ONS-0333</t>
        </is>
      </c>
    </row>
    <row r="338">
      <c r="A338" s="16">
        <f>IF($C338="","",IFERROR(IF(INDEX(tbl_Finance[Latest Invoice Date],MATCH($X338,tbl_Finance[Row ID],0))="","",INDEX(tbl_Finance[Latest Invoice Date],MATCH($X338,tbl_Finance[Row ID],0))),""))</f>
        <v/>
      </c>
      <c r="B338" s="10">
        <f>IF($C338="","",IFERROR(INDEX(tbl_Finance[Invoice Numbers],MATCH($X338,tbl_Finance[Row ID],0))&amp;"",""))</f>
        <v/>
      </c>
      <c r="C338" s="37" t="n"/>
      <c r="D338" s="10">
        <f>IF($C338="","",IF(COUNTIF(lst_Jobs,$C338&amp;"")&gt;0,"OK","CHECK"))</f>
        <v/>
      </c>
      <c r="E338" s="10">
        <f>IF($C338="","",IFERROR(INDEX(lst_JobName,MATCH($C338&amp;"",lst_Jobs,0)),""))</f>
        <v/>
      </c>
      <c r="F338" s="37" t="n"/>
      <c r="G338" s="37" t="n"/>
      <c r="H338" s="37" t="n"/>
      <c r="I338" s="37" t="n"/>
      <c r="J338" s="37" t="n"/>
      <c r="K338" s="38">
        <f>IF($C338="","",IFERROR(N(INDEX(tbl_Finance[Invoice Count],MATCH($X338,tbl_Finance[Row ID],0))),""))</f>
        <v/>
      </c>
      <c r="L338" s="11">
        <f>IF($C338="","",IFERROR(N(INDEX(tbl_Finance[Xero Invoiced Ex GST],MATCH($X338,tbl_Finance[Row ID],0))),""))</f>
        <v/>
      </c>
      <c r="M338" s="10">
        <f>IF($C338="","",IFERROR(INDEX(tbl_Finance[Compare],MATCH($X338,tbl_Finance[Row ID],0))&amp;"",""))</f>
        <v/>
      </c>
      <c r="N338" s="11">
        <f>IF($C338="","",MAX(0,N(O338)-N(L338)))</f>
        <v/>
      </c>
      <c r="O338" s="39" t="n"/>
      <c r="P338" s="40">
        <f>IF($C338="","",IF((IF(F338="",", Client","")&amp;IF(G338="",", Description","")&amp;IF(H338="",", Cost Centre","")&amp;IF(I338="",", Invoice Type","")&amp;IF(J338="",", Tax Code","")&amp;IF(O338="",", Expected Revenue","")&amp;IF(COUNTIF(tbl_Finance[Job Number],$C338&amp;"")&gt;1,", Job number used twice",""))="","Complete","Fix: "&amp;MID(IF(F338="",", Client","")&amp;IF(G338="",", Description","")&amp;IF(H338="",", Cost Centre","")&amp;IF(I338="",", Invoice Type","")&amp;IF(J338="",", Tax Code","")&amp;IF(O338="",", Expected Revenue","")&amp;IF(COUNTIF(tbl_Finance[Job Number],$C338&amp;"")&gt;1,", Job number used twice",""),3,300)))</f>
        <v/>
      </c>
      <c r="Q338" s="10">
        <f>IF($C338="","",IF(H338="","(no cost centre)",H338&amp;" - GL "&amp;IFERROR(INDEX(lst_CCtoGL,MATCH(H338,lst_CCforGL,0)),"?")))</f>
        <v/>
      </c>
      <c r="R338" s="37" t="n"/>
      <c r="S338" s="37" t="n"/>
      <c r="T338" s="10">
        <f>IF(S338="","",HYPERLINK(IF(LEFT(S338,4)="http",S338,set_QwilrBase&amp;S338),"Open quote"))</f>
        <v/>
      </c>
      <c r="U338" s="41" t="n"/>
      <c r="V338" s="37" t="n"/>
      <c r="W338" s="37" t="n"/>
      <c r="X338" s="10" t="inlineStr">
        <is>
          <t>ONS-0334</t>
        </is>
      </c>
    </row>
    <row r="339">
      <c r="A339" s="16">
        <f>IF($C339="","",IFERROR(IF(INDEX(tbl_Finance[Latest Invoice Date],MATCH($X339,tbl_Finance[Row ID],0))="","",INDEX(tbl_Finance[Latest Invoice Date],MATCH($X339,tbl_Finance[Row ID],0))),""))</f>
        <v/>
      </c>
      <c r="B339" s="10">
        <f>IF($C339="","",IFERROR(INDEX(tbl_Finance[Invoice Numbers],MATCH($X339,tbl_Finance[Row ID],0))&amp;"",""))</f>
        <v/>
      </c>
      <c r="C339" s="37" t="n"/>
      <c r="D339" s="10">
        <f>IF($C339="","",IF(COUNTIF(lst_Jobs,$C339&amp;"")&gt;0,"OK","CHECK"))</f>
        <v/>
      </c>
      <c r="E339" s="10">
        <f>IF($C339="","",IFERROR(INDEX(lst_JobName,MATCH($C339&amp;"",lst_Jobs,0)),""))</f>
        <v/>
      </c>
      <c r="F339" s="37" t="n"/>
      <c r="G339" s="37" t="n"/>
      <c r="H339" s="37" t="n"/>
      <c r="I339" s="37" t="n"/>
      <c r="J339" s="37" t="n"/>
      <c r="K339" s="38">
        <f>IF($C339="","",IFERROR(N(INDEX(tbl_Finance[Invoice Count],MATCH($X339,tbl_Finance[Row ID],0))),""))</f>
        <v/>
      </c>
      <c r="L339" s="11">
        <f>IF($C339="","",IFERROR(N(INDEX(tbl_Finance[Xero Invoiced Ex GST],MATCH($X339,tbl_Finance[Row ID],0))),""))</f>
        <v/>
      </c>
      <c r="M339" s="10">
        <f>IF($C339="","",IFERROR(INDEX(tbl_Finance[Compare],MATCH($X339,tbl_Finance[Row ID],0))&amp;"",""))</f>
        <v/>
      </c>
      <c r="N339" s="11">
        <f>IF($C339="","",MAX(0,N(O339)-N(L339)))</f>
        <v/>
      </c>
      <c r="O339" s="39" t="n"/>
      <c r="P339" s="40">
        <f>IF($C339="","",IF((IF(F339="",", Client","")&amp;IF(G339="",", Description","")&amp;IF(H339="",", Cost Centre","")&amp;IF(I339="",", Invoice Type","")&amp;IF(J339="",", Tax Code","")&amp;IF(O339="",", Expected Revenue","")&amp;IF(COUNTIF(tbl_Finance[Job Number],$C339&amp;"")&gt;1,", Job number used twice",""))="","Complete","Fix: "&amp;MID(IF(F339="",", Client","")&amp;IF(G339="",", Description","")&amp;IF(H339="",", Cost Centre","")&amp;IF(I339="",", Invoice Type","")&amp;IF(J339="",", Tax Code","")&amp;IF(O339="",", Expected Revenue","")&amp;IF(COUNTIF(tbl_Finance[Job Number],$C339&amp;"")&gt;1,", Job number used twice",""),3,300)))</f>
        <v/>
      </c>
      <c r="Q339" s="10">
        <f>IF($C339="","",IF(H339="","(no cost centre)",H339&amp;" - GL "&amp;IFERROR(INDEX(lst_CCtoGL,MATCH(H339,lst_CCforGL,0)),"?")))</f>
        <v/>
      </c>
      <c r="R339" s="37" t="n"/>
      <c r="S339" s="37" t="n"/>
      <c r="T339" s="10">
        <f>IF(S339="","",HYPERLINK(IF(LEFT(S339,4)="http",S339,set_QwilrBase&amp;S339),"Open quote"))</f>
        <v/>
      </c>
      <c r="U339" s="41" t="n"/>
      <c r="V339" s="37" t="n"/>
      <c r="W339" s="37" t="n"/>
      <c r="X339" s="10" t="inlineStr">
        <is>
          <t>ONS-0335</t>
        </is>
      </c>
    </row>
    <row r="340">
      <c r="A340" s="16">
        <f>IF($C340="","",IFERROR(IF(INDEX(tbl_Finance[Latest Invoice Date],MATCH($X340,tbl_Finance[Row ID],0))="","",INDEX(tbl_Finance[Latest Invoice Date],MATCH($X340,tbl_Finance[Row ID],0))),""))</f>
        <v/>
      </c>
      <c r="B340" s="10">
        <f>IF($C340="","",IFERROR(INDEX(tbl_Finance[Invoice Numbers],MATCH($X340,tbl_Finance[Row ID],0))&amp;"",""))</f>
        <v/>
      </c>
      <c r="C340" s="37" t="n"/>
      <c r="D340" s="10">
        <f>IF($C340="","",IF(COUNTIF(lst_Jobs,$C340&amp;"")&gt;0,"OK","CHECK"))</f>
        <v/>
      </c>
      <c r="E340" s="10">
        <f>IF($C340="","",IFERROR(INDEX(lst_JobName,MATCH($C340&amp;"",lst_Jobs,0)),""))</f>
        <v/>
      </c>
      <c r="F340" s="37" t="n"/>
      <c r="G340" s="37" t="n"/>
      <c r="H340" s="37" t="n"/>
      <c r="I340" s="37" t="n"/>
      <c r="J340" s="37" t="n"/>
      <c r="K340" s="38">
        <f>IF($C340="","",IFERROR(N(INDEX(tbl_Finance[Invoice Count],MATCH($X340,tbl_Finance[Row ID],0))),""))</f>
        <v/>
      </c>
      <c r="L340" s="11">
        <f>IF($C340="","",IFERROR(N(INDEX(tbl_Finance[Xero Invoiced Ex GST],MATCH($X340,tbl_Finance[Row ID],0))),""))</f>
        <v/>
      </c>
      <c r="M340" s="10">
        <f>IF($C340="","",IFERROR(INDEX(tbl_Finance[Compare],MATCH($X340,tbl_Finance[Row ID],0))&amp;"",""))</f>
        <v/>
      </c>
      <c r="N340" s="11">
        <f>IF($C340="","",MAX(0,N(O340)-N(L340)))</f>
        <v/>
      </c>
      <c r="O340" s="39" t="n"/>
      <c r="P340" s="40">
        <f>IF($C340="","",IF((IF(F340="",", Client","")&amp;IF(G340="",", Description","")&amp;IF(H340="",", Cost Centre","")&amp;IF(I340="",", Invoice Type","")&amp;IF(J340="",", Tax Code","")&amp;IF(O340="",", Expected Revenue","")&amp;IF(COUNTIF(tbl_Finance[Job Number],$C340&amp;"")&gt;1,", Job number used twice",""))="","Complete","Fix: "&amp;MID(IF(F340="",", Client","")&amp;IF(G340="",", Description","")&amp;IF(H340="",", Cost Centre","")&amp;IF(I340="",", Invoice Type","")&amp;IF(J340="",", Tax Code","")&amp;IF(O340="",", Expected Revenue","")&amp;IF(COUNTIF(tbl_Finance[Job Number],$C340&amp;"")&gt;1,", Job number used twice",""),3,300)))</f>
        <v/>
      </c>
      <c r="Q340" s="10">
        <f>IF($C340="","",IF(H340="","(no cost centre)",H340&amp;" - GL "&amp;IFERROR(INDEX(lst_CCtoGL,MATCH(H340,lst_CCforGL,0)),"?")))</f>
        <v/>
      </c>
      <c r="R340" s="37" t="n"/>
      <c r="S340" s="37" t="n"/>
      <c r="T340" s="10">
        <f>IF(S340="","",HYPERLINK(IF(LEFT(S340,4)="http",S340,set_QwilrBase&amp;S340),"Open quote"))</f>
        <v/>
      </c>
      <c r="U340" s="41" t="n"/>
      <c r="V340" s="37" t="n"/>
      <c r="W340" s="37" t="n"/>
      <c r="X340" s="10" t="inlineStr">
        <is>
          <t>ONS-0336</t>
        </is>
      </c>
    </row>
    <row r="341">
      <c r="A341" s="16">
        <f>IF($C341="","",IFERROR(IF(INDEX(tbl_Finance[Latest Invoice Date],MATCH($X341,tbl_Finance[Row ID],0))="","",INDEX(tbl_Finance[Latest Invoice Date],MATCH($X341,tbl_Finance[Row ID],0))),""))</f>
        <v/>
      </c>
      <c r="B341" s="10">
        <f>IF($C341="","",IFERROR(INDEX(tbl_Finance[Invoice Numbers],MATCH($X341,tbl_Finance[Row ID],0))&amp;"",""))</f>
        <v/>
      </c>
      <c r="C341" s="37" t="n"/>
      <c r="D341" s="10">
        <f>IF($C341="","",IF(COUNTIF(lst_Jobs,$C341&amp;"")&gt;0,"OK","CHECK"))</f>
        <v/>
      </c>
      <c r="E341" s="10">
        <f>IF($C341="","",IFERROR(INDEX(lst_JobName,MATCH($C341&amp;"",lst_Jobs,0)),""))</f>
        <v/>
      </c>
      <c r="F341" s="37" t="n"/>
      <c r="G341" s="37" t="n"/>
      <c r="H341" s="37" t="n"/>
      <c r="I341" s="37" t="n"/>
      <c r="J341" s="37" t="n"/>
      <c r="K341" s="38">
        <f>IF($C341="","",IFERROR(N(INDEX(tbl_Finance[Invoice Count],MATCH($X341,tbl_Finance[Row ID],0))),""))</f>
        <v/>
      </c>
      <c r="L341" s="11">
        <f>IF($C341="","",IFERROR(N(INDEX(tbl_Finance[Xero Invoiced Ex GST],MATCH($X341,tbl_Finance[Row ID],0))),""))</f>
        <v/>
      </c>
      <c r="M341" s="10">
        <f>IF($C341="","",IFERROR(INDEX(tbl_Finance[Compare],MATCH($X341,tbl_Finance[Row ID],0))&amp;"",""))</f>
        <v/>
      </c>
      <c r="N341" s="11">
        <f>IF($C341="","",MAX(0,N(O341)-N(L341)))</f>
        <v/>
      </c>
      <c r="O341" s="39" t="n"/>
      <c r="P341" s="40">
        <f>IF($C341="","",IF((IF(F341="",", Client","")&amp;IF(G341="",", Description","")&amp;IF(H341="",", Cost Centre","")&amp;IF(I341="",", Invoice Type","")&amp;IF(J341="",", Tax Code","")&amp;IF(O341="",", Expected Revenue","")&amp;IF(COUNTIF(tbl_Finance[Job Number],$C341&amp;"")&gt;1,", Job number used twice",""))="","Complete","Fix: "&amp;MID(IF(F341="",", Client","")&amp;IF(G341="",", Description","")&amp;IF(H341="",", Cost Centre","")&amp;IF(I341="",", Invoice Type","")&amp;IF(J341="",", Tax Code","")&amp;IF(O341="",", Expected Revenue","")&amp;IF(COUNTIF(tbl_Finance[Job Number],$C341&amp;"")&gt;1,", Job number used twice",""),3,300)))</f>
        <v/>
      </c>
      <c r="Q341" s="10">
        <f>IF($C341="","",IF(H341="","(no cost centre)",H341&amp;" - GL "&amp;IFERROR(INDEX(lst_CCtoGL,MATCH(H341,lst_CCforGL,0)),"?")))</f>
        <v/>
      </c>
      <c r="R341" s="37" t="n"/>
      <c r="S341" s="37" t="n"/>
      <c r="T341" s="10">
        <f>IF(S341="","",HYPERLINK(IF(LEFT(S341,4)="http",S341,set_QwilrBase&amp;S341),"Open quote"))</f>
        <v/>
      </c>
      <c r="U341" s="41" t="n"/>
      <c r="V341" s="37" t="n"/>
      <c r="W341" s="37" t="n"/>
      <c r="X341" s="10" t="inlineStr">
        <is>
          <t>ONS-0337</t>
        </is>
      </c>
    </row>
    <row r="342">
      <c r="A342" s="16">
        <f>IF($C342="","",IFERROR(IF(INDEX(tbl_Finance[Latest Invoice Date],MATCH($X342,tbl_Finance[Row ID],0))="","",INDEX(tbl_Finance[Latest Invoice Date],MATCH($X342,tbl_Finance[Row ID],0))),""))</f>
        <v/>
      </c>
      <c r="B342" s="10">
        <f>IF($C342="","",IFERROR(INDEX(tbl_Finance[Invoice Numbers],MATCH($X342,tbl_Finance[Row ID],0))&amp;"",""))</f>
        <v/>
      </c>
      <c r="C342" s="37" t="n"/>
      <c r="D342" s="10">
        <f>IF($C342="","",IF(COUNTIF(lst_Jobs,$C342&amp;"")&gt;0,"OK","CHECK"))</f>
        <v/>
      </c>
      <c r="E342" s="10">
        <f>IF($C342="","",IFERROR(INDEX(lst_JobName,MATCH($C342&amp;"",lst_Jobs,0)),""))</f>
        <v/>
      </c>
      <c r="F342" s="37" t="n"/>
      <c r="G342" s="37" t="n"/>
      <c r="H342" s="37" t="n"/>
      <c r="I342" s="37" t="n"/>
      <c r="J342" s="37" t="n"/>
      <c r="K342" s="38">
        <f>IF($C342="","",IFERROR(N(INDEX(tbl_Finance[Invoice Count],MATCH($X342,tbl_Finance[Row ID],0))),""))</f>
        <v/>
      </c>
      <c r="L342" s="11">
        <f>IF($C342="","",IFERROR(N(INDEX(tbl_Finance[Xero Invoiced Ex GST],MATCH($X342,tbl_Finance[Row ID],0))),""))</f>
        <v/>
      </c>
      <c r="M342" s="10">
        <f>IF($C342="","",IFERROR(INDEX(tbl_Finance[Compare],MATCH($X342,tbl_Finance[Row ID],0))&amp;"",""))</f>
        <v/>
      </c>
      <c r="N342" s="11">
        <f>IF($C342="","",MAX(0,N(O342)-N(L342)))</f>
        <v/>
      </c>
      <c r="O342" s="39" t="n"/>
      <c r="P342" s="40">
        <f>IF($C342="","",IF((IF(F342="",", Client","")&amp;IF(G342="",", Description","")&amp;IF(H342="",", Cost Centre","")&amp;IF(I342="",", Invoice Type","")&amp;IF(J342="",", Tax Code","")&amp;IF(O342="",", Expected Revenue","")&amp;IF(COUNTIF(tbl_Finance[Job Number],$C342&amp;"")&gt;1,", Job number used twice",""))="","Complete","Fix: "&amp;MID(IF(F342="",", Client","")&amp;IF(G342="",", Description","")&amp;IF(H342="",", Cost Centre","")&amp;IF(I342="",", Invoice Type","")&amp;IF(J342="",", Tax Code","")&amp;IF(O342="",", Expected Revenue","")&amp;IF(COUNTIF(tbl_Finance[Job Number],$C342&amp;"")&gt;1,", Job number used twice",""),3,300)))</f>
        <v/>
      </c>
      <c r="Q342" s="10">
        <f>IF($C342="","",IF(H342="","(no cost centre)",H342&amp;" - GL "&amp;IFERROR(INDEX(lst_CCtoGL,MATCH(H342,lst_CCforGL,0)),"?")))</f>
        <v/>
      </c>
      <c r="R342" s="37" t="n"/>
      <c r="S342" s="37" t="n"/>
      <c r="T342" s="10">
        <f>IF(S342="","",HYPERLINK(IF(LEFT(S342,4)="http",S342,set_QwilrBase&amp;S342),"Open quote"))</f>
        <v/>
      </c>
      <c r="U342" s="41" t="n"/>
      <c r="V342" s="37" t="n"/>
      <c r="W342" s="37" t="n"/>
      <c r="X342" s="10" t="inlineStr">
        <is>
          <t>ONS-0338</t>
        </is>
      </c>
    </row>
    <row r="343">
      <c r="A343" s="16">
        <f>IF($C343="","",IFERROR(IF(INDEX(tbl_Finance[Latest Invoice Date],MATCH($X343,tbl_Finance[Row ID],0))="","",INDEX(tbl_Finance[Latest Invoice Date],MATCH($X343,tbl_Finance[Row ID],0))),""))</f>
        <v/>
      </c>
      <c r="B343" s="10">
        <f>IF($C343="","",IFERROR(INDEX(tbl_Finance[Invoice Numbers],MATCH($X343,tbl_Finance[Row ID],0))&amp;"",""))</f>
        <v/>
      </c>
      <c r="C343" s="37" t="n"/>
      <c r="D343" s="10">
        <f>IF($C343="","",IF(COUNTIF(lst_Jobs,$C343&amp;"")&gt;0,"OK","CHECK"))</f>
        <v/>
      </c>
      <c r="E343" s="10">
        <f>IF($C343="","",IFERROR(INDEX(lst_JobName,MATCH($C343&amp;"",lst_Jobs,0)),""))</f>
        <v/>
      </c>
      <c r="F343" s="37" t="n"/>
      <c r="G343" s="37" t="n"/>
      <c r="H343" s="37" t="n"/>
      <c r="I343" s="37" t="n"/>
      <c r="J343" s="37" t="n"/>
      <c r="K343" s="38">
        <f>IF($C343="","",IFERROR(N(INDEX(tbl_Finance[Invoice Count],MATCH($X343,tbl_Finance[Row ID],0))),""))</f>
        <v/>
      </c>
      <c r="L343" s="11">
        <f>IF($C343="","",IFERROR(N(INDEX(tbl_Finance[Xero Invoiced Ex GST],MATCH($X343,tbl_Finance[Row ID],0))),""))</f>
        <v/>
      </c>
      <c r="M343" s="10">
        <f>IF($C343="","",IFERROR(INDEX(tbl_Finance[Compare],MATCH($X343,tbl_Finance[Row ID],0))&amp;"",""))</f>
        <v/>
      </c>
      <c r="N343" s="11">
        <f>IF($C343="","",MAX(0,N(O343)-N(L343)))</f>
        <v/>
      </c>
      <c r="O343" s="39" t="n"/>
      <c r="P343" s="40">
        <f>IF($C343="","",IF((IF(F343="",", Client","")&amp;IF(G343="",", Description","")&amp;IF(H343="",", Cost Centre","")&amp;IF(I343="",", Invoice Type","")&amp;IF(J343="",", Tax Code","")&amp;IF(O343="",", Expected Revenue","")&amp;IF(COUNTIF(tbl_Finance[Job Number],$C343&amp;"")&gt;1,", Job number used twice",""))="","Complete","Fix: "&amp;MID(IF(F343="",", Client","")&amp;IF(G343="",", Description","")&amp;IF(H343="",", Cost Centre","")&amp;IF(I343="",", Invoice Type","")&amp;IF(J343="",", Tax Code","")&amp;IF(O343="",", Expected Revenue","")&amp;IF(COUNTIF(tbl_Finance[Job Number],$C343&amp;"")&gt;1,", Job number used twice",""),3,300)))</f>
        <v/>
      </c>
      <c r="Q343" s="10">
        <f>IF($C343="","",IF(H343="","(no cost centre)",H343&amp;" - GL "&amp;IFERROR(INDEX(lst_CCtoGL,MATCH(H343,lst_CCforGL,0)),"?")))</f>
        <v/>
      </c>
      <c r="R343" s="37" t="n"/>
      <c r="S343" s="37" t="n"/>
      <c r="T343" s="10">
        <f>IF(S343="","",HYPERLINK(IF(LEFT(S343,4)="http",S343,set_QwilrBase&amp;S343),"Open quote"))</f>
        <v/>
      </c>
      <c r="U343" s="41" t="n"/>
      <c r="V343" s="37" t="n"/>
      <c r="W343" s="37" t="n"/>
      <c r="X343" s="10" t="inlineStr">
        <is>
          <t>ONS-0339</t>
        </is>
      </c>
    </row>
    <row r="344">
      <c r="A344" s="16">
        <f>IF($C344="","",IFERROR(IF(INDEX(tbl_Finance[Latest Invoice Date],MATCH($X344,tbl_Finance[Row ID],0))="","",INDEX(tbl_Finance[Latest Invoice Date],MATCH($X344,tbl_Finance[Row ID],0))),""))</f>
        <v/>
      </c>
      <c r="B344" s="10">
        <f>IF($C344="","",IFERROR(INDEX(tbl_Finance[Invoice Numbers],MATCH($X344,tbl_Finance[Row ID],0))&amp;"",""))</f>
        <v/>
      </c>
      <c r="C344" s="37" t="n"/>
      <c r="D344" s="10">
        <f>IF($C344="","",IF(COUNTIF(lst_Jobs,$C344&amp;"")&gt;0,"OK","CHECK"))</f>
        <v/>
      </c>
      <c r="E344" s="10">
        <f>IF($C344="","",IFERROR(INDEX(lst_JobName,MATCH($C344&amp;"",lst_Jobs,0)),""))</f>
        <v/>
      </c>
      <c r="F344" s="37" t="n"/>
      <c r="G344" s="37" t="n"/>
      <c r="H344" s="37" t="n"/>
      <c r="I344" s="37" t="n"/>
      <c r="J344" s="37" t="n"/>
      <c r="K344" s="38">
        <f>IF($C344="","",IFERROR(N(INDEX(tbl_Finance[Invoice Count],MATCH($X344,tbl_Finance[Row ID],0))),""))</f>
        <v/>
      </c>
      <c r="L344" s="11">
        <f>IF($C344="","",IFERROR(N(INDEX(tbl_Finance[Xero Invoiced Ex GST],MATCH($X344,tbl_Finance[Row ID],0))),""))</f>
        <v/>
      </c>
      <c r="M344" s="10">
        <f>IF($C344="","",IFERROR(INDEX(tbl_Finance[Compare],MATCH($X344,tbl_Finance[Row ID],0))&amp;"",""))</f>
        <v/>
      </c>
      <c r="N344" s="11">
        <f>IF($C344="","",MAX(0,N(O344)-N(L344)))</f>
        <v/>
      </c>
      <c r="O344" s="39" t="n"/>
      <c r="P344" s="40">
        <f>IF($C344="","",IF((IF(F344="",", Client","")&amp;IF(G344="",", Description","")&amp;IF(H344="",", Cost Centre","")&amp;IF(I344="",", Invoice Type","")&amp;IF(J344="",", Tax Code","")&amp;IF(O344="",", Expected Revenue","")&amp;IF(COUNTIF(tbl_Finance[Job Number],$C344&amp;"")&gt;1,", Job number used twice",""))="","Complete","Fix: "&amp;MID(IF(F344="",", Client","")&amp;IF(G344="",", Description","")&amp;IF(H344="",", Cost Centre","")&amp;IF(I344="",", Invoice Type","")&amp;IF(J344="",", Tax Code","")&amp;IF(O344="",", Expected Revenue","")&amp;IF(COUNTIF(tbl_Finance[Job Number],$C344&amp;"")&gt;1,", Job number used twice",""),3,300)))</f>
        <v/>
      </c>
      <c r="Q344" s="10">
        <f>IF($C344="","",IF(H344="","(no cost centre)",H344&amp;" - GL "&amp;IFERROR(INDEX(lst_CCtoGL,MATCH(H344,lst_CCforGL,0)),"?")))</f>
        <v/>
      </c>
      <c r="R344" s="37" t="n"/>
      <c r="S344" s="37" t="n"/>
      <c r="T344" s="10">
        <f>IF(S344="","",HYPERLINK(IF(LEFT(S344,4)="http",S344,set_QwilrBase&amp;S344),"Open quote"))</f>
        <v/>
      </c>
      <c r="U344" s="41" t="n"/>
      <c r="V344" s="37" t="n"/>
      <c r="W344" s="37" t="n"/>
      <c r="X344" s="10" t="inlineStr">
        <is>
          <t>ONS-0340</t>
        </is>
      </c>
    </row>
    <row r="345">
      <c r="A345" s="16">
        <f>IF($C345="","",IFERROR(IF(INDEX(tbl_Finance[Latest Invoice Date],MATCH($X345,tbl_Finance[Row ID],0))="","",INDEX(tbl_Finance[Latest Invoice Date],MATCH($X345,tbl_Finance[Row ID],0))),""))</f>
        <v/>
      </c>
      <c r="B345" s="10">
        <f>IF($C345="","",IFERROR(INDEX(tbl_Finance[Invoice Numbers],MATCH($X345,tbl_Finance[Row ID],0))&amp;"",""))</f>
        <v/>
      </c>
      <c r="C345" s="37" t="n"/>
      <c r="D345" s="10">
        <f>IF($C345="","",IF(COUNTIF(lst_Jobs,$C345&amp;"")&gt;0,"OK","CHECK"))</f>
        <v/>
      </c>
      <c r="E345" s="10">
        <f>IF($C345="","",IFERROR(INDEX(lst_JobName,MATCH($C345&amp;"",lst_Jobs,0)),""))</f>
        <v/>
      </c>
      <c r="F345" s="37" t="n"/>
      <c r="G345" s="37" t="n"/>
      <c r="H345" s="37" t="n"/>
      <c r="I345" s="37" t="n"/>
      <c r="J345" s="37" t="n"/>
      <c r="K345" s="38">
        <f>IF($C345="","",IFERROR(N(INDEX(tbl_Finance[Invoice Count],MATCH($X345,tbl_Finance[Row ID],0))),""))</f>
        <v/>
      </c>
      <c r="L345" s="11">
        <f>IF($C345="","",IFERROR(N(INDEX(tbl_Finance[Xero Invoiced Ex GST],MATCH($X345,tbl_Finance[Row ID],0))),""))</f>
        <v/>
      </c>
      <c r="M345" s="10">
        <f>IF($C345="","",IFERROR(INDEX(tbl_Finance[Compare],MATCH($X345,tbl_Finance[Row ID],0))&amp;"",""))</f>
        <v/>
      </c>
      <c r="N345" s="11">
        <f>IF($C345="","",MAX(0,N(O345)-N(L345)))</f>
        <v/>
      </c>
      <c r="O345" s="39" t="n"/>
      <c r="P345" s="40">
        <f>IF($C345="","",IF((IF(F345="",", Client","")&amp;IF(G345="",", Description","")&amp;IF(H345="",", Cost Centre","")&amp;IF(I345="",", Invoice Type","")&amp;IF(J345="",", Tax Code","")&amp;IF(O345="",", Expected Revenue","")&amp;IF(COUNTIF(tbl_Finance[Job Number],$C345&amp;"")&gt;1,", Job number used twice",""))="","Complete","Fix: "&amp;MID(IF(F345="",", Client","")&amp;IF(G345="",", Description","")&amp;IF(H345="",", Cost Centre","")&amp;IF(I345="",", Invoice Type","")&amp;IF(J345="",", Tax Code","")&amp;IF(O345="",", Expected Revenue","")&amp;IF(COUNTIF(tbl_Finance[Job Number],$C345&amp;"")&gt;1,", Job number used twice",""),3,300)))</f>
        <v/>
      </c>
      <c r="Q345" s="10">
        <f>IF($C345="","",IF(H345="","(no cost centre)",H345&amp;" - GL "&amp;IFERROR(INDEX(lst_CCtoGL,MATCH(H345,lst_CCforGL,0)),"?")))</f>
        <v/>
      </c>
      <c r="R345" s="37" t="n"/>
      <c r="S345" s="37" t="n"/>
      <c r="T345" s="10">
        <f>IF(S345="","",HYPERLINK(IF(LEFT(S345,4)="http",S345,set_QwilrBase&amp;S345),"Open quote"))</f>
        <v/>
      </c>
      <c r="U345" s="41" t="n"/>
      <c r="V345" s="37" t="n"/>
      <c r="W345" s="37" t="n"/>
      <c r="X345" s="10" t="inlineStr">
        <is>
          <t>ONS-0341</t>
        </is>
      </c>
    </row>
    <row r="346">
      <c r="A346" s="16">
        <f>IF($C346="","",IFERROR(IF(INDEX(tbl_Finance[Latest Invoice Date],MATCH($X346,tbl_Finance[Row ID],0))="","",INDEX(tbl_Finance[Latest Invoice Date],MATCH($X346,tbl_Finance[Row ID],0))),""))</f>
        <v/>
      </c>
      <c r="B346" s="10">
        <f>IF($C346="","",IFERROR(INDEX(tbl_Finance[Invoice Numbers],MATCH($X346,tbl_Finance[Row ID],0))&amp;"",""))</f>
        <v/>
      </c>
      <c r="C346" s="37" t="n"/>
      <c r="D346" s="10">
        <f>IF($C346="","",IF(COUNTIF(lst_Jobs,$C346&amp;"")&gt;0,"OK","CHECK"))</f>
        <v/>
      </c>
      <c r="E346" s="10">
        <f>IF($C346="","",IFERROR(INDEX(lst_JobName,MATCH($C346&amp;"",lst_Jobs,0)),""))</f>
        <v/>
      </c>
      <c r="F346" s="37" t="n"/>
      <c r="G346" s="37" t="n"/>
      <c r="H346" s="37" t="n"/>
      <c r="I346" s="37" t="n"/>
      <c r="J346" s="37" t="n"/>
      <c r="K346" s="38">
        <f>IF($C346="","",IFERROR(N(INDEX(tbl_Finance[Invoice Count],MATCH($X346,tbl_Finance[Row ID],0))),""))</f>
        <v/>
      </c>
      <c r="L346" s="11">
        <f>IF($C346="","",IFERROR(N(INDEX(tbl_Finance[Xero Invoiced Ex GST],MATCH($X346,tbl_Finance[Row ID],0))),""))</f>
        <v/>
      </c>
      <c r="M346" s="10">
        <f>IF($C346="","",IFERROR(INDEX(tbl_Finance[Compare],MATCH($X346,tbl_Finance[Row ID],0))&amp;"",""))</f>
        <v/>
      </c>
      <c r="N346" s="11">
        <f>IF($C346="","",MAX(0,N(O346)-N(L346)))</f>
        <v/>
      </c>
      <c r="O346" s="39" t="n"/>
      <c r="P346" s="40">
        <f>IF($C346="","",IF((IF(F346="",", Client","")&amp;IF(G346="",", Description","")&amp;IF(H346="",", Cost Centre","")&amp;IF(I346="",", Invoice Type","")&amp;IF(J346="",", Tax Code","")&amp;IF(O346="",", Expected Revenue","")&amp;IF(COUNTIF(tbl_Finance[Job Number],$C346&amp;"")&gt;1,", Job number used twice",""))="","Complete","Fix: "&amp;MID(IF(F346="",", Client","")&amp;IF(G346="",", Description","")&amp;IF(H346="",", Cost Centre","")&amp;IF(I346="",", Invoice Type","")&amp;IF(J346="",", Tax Code","")&amp;IF(O346="",", Expected Revenue","")&amp;IF(COUNTIF(tbl_Finance[Job Number],$C346&amp;"")&gt;1,", Job number used twice",""),3,300)))</f>
        <v/>
      </c>
      <c r="Q346" s="10">
        <f>IF($C346="","",IF(H346="","(no cost centre)",H346&amp;" - GL "&amp;IFERROR(INDEX(lst_CCtoGL,MATCH(H346,lst_CCforGL,0)),"?")))</f>
        <v/>
      </c>
      <c r="R346" s="37" t="n"/>
      <c r="S346" s="37" t="n"/>
      <c r="T346" s="10">
        <f>IF(S346="","",HYPERLINK(IF(LEFT(S346,4)="http",S346,set_QwilrBase&amp;S346),"Open quote"))</f>
        <v/>
      </c>
      <c r="U346" s="41" t="n"/>
      <c r="V346" s="37" t="n"/>
      <c r="W346" s="37" t="n"/>
      <c r="X346" s="10" t="inlineStr">
        <is>
          <t>ONS-0342</t>
        </is>
      </c>
    </row>
    <row r="347">
      <c r="A347" s="16">
        <f>IF($C347="","",IFERROR(IF(INDEX(tbl_Finance[Latest Invoice Date],MATCH($X347,tbl_Finance[Row ID],0))="","",INDEX(tbl_Finance[Latest Invoice Date],MATCH($X347,tbl_Finance[Row ID],0))),""))</f>
        <v/>
      </c>
      <c r="B347" s="10">
        <f>IF($C347="","",IFERROR(INDEX(tbl_Finance[Invoice Numbers],MATCH($X347,tbl_Finance[Row ID],0))&amp;"",""))</f>
        <v/>
      </c>
      <c r="C347" s="37" t="n"/>
      <c r="D347" s="10">
        <f>IF($C347="","",IF(COUNTIF(lst_Jobs,$C347&amp;"")&gt;0,"OK","CHECK"))</f>
        <v/>
      </c>
      <c r="E347" s="10">
        <f>IF($C347="","",IFERROR(INDEX(lst_JobName,MATCH($C347&amp;"",lst_Jobs,0)),""))</f>
        <v/>
      </c>
      <c r="F347" s="37" t="n"/>
      <c r="G347" s="37" t="n"/>
      <c r="H347" s="37" t="n"/>
      <c r="I347" s="37" t="n"/>
      <c r="J347" s="37" t="n"/>
      <c r="K347" s="38">
        <f>IF($C347="","",IFERROR(N(INDEX(tbl_Finance[Invoice Count],MATCH($X347,tbl_Finance[Row ID],0))),""))</f>
        <v/>
      </c>
      <c r="L347" s="11">
        <f>IF($C347="","",IFERROR(N(INDEX(tbl_Finance[Xero Invoiced Ex GST],MATCH($X347,tbl_Finance[Row ID],0))),""))</f>
        <v/>
      </c>
      <c r="M347" s="10">
        <f>IF($C347="","",IFERROR(INDEX(tbl_Finance[Compare],MATCH($X347,tbl_Finance[Row ID],0))&amp;"",""))</f>
        <v/>
      </c>
      <c r="N347" s="11">
        <f>IF($C347="","",MAX(0,N(O347)-N(L347)))</f>
        <v/>
      </c>
      <c r="O347" s="39" t="n"/>
      <c r="P347" s="40">
        <f>IF($C347="","",IF((IF(F347="",", Client","")&amp;IF(G347="",", Description","")&amp;IF(H347="",", Cost Centre","")&amp;IF(I347="",", Invoice Type","")&amp;IF(J347="",", Tax Code","")&amp;IF(O347="",", Expected Revenue","")&amp;IF(COUNTIF(tbl_Finance[Job Number],$C347&amp;"")&gt;1,", Job number used twice",""))="","Complete","Fix: "&amp;MID(IF(F347="",", Client","")&amp;IF(G347="",", Description","")&amp;IF(H347="",", Cost Centre","")&amp;IF(I347="",", Invoice Type","")&amp;IF(J347="",", Tax Code","")&amp;IF(O347="",", Expected Revenue","")&amp;IF(COUNTIF(tbl_Finance[Job Number],$C347&amp;"")&gt;1,", Job number used twice",""),3,300)))</f>
        <v/>
      </c>
      <c r="Q347" s="10">
        <f>IF($C347="","",IF(H347="","(no cost centre)",H347&amp;" - GL "&amp;IFERROR(INDEX(lst_CCtoGL,MATCH(H347,lst_CCforGL,0)),"?")))</f>
        <v/>
      </c>
      <c r="R347" s="37" t="n"/>
      <c r="S347" s="37" t="n"/>
      <c r="T347" s="10">
        <f>IF(S347="","",HYPERLINK(IF(LEFT(S347,4)="http",S347,set_QwilrBase&amp;S347),"Open quote"))</f>
        <v/>
      </c>
      <c r="U347" s="41" t="n"/>
      <c r="V347" s="37" t="n"/>
      <c r="W347" s="37" t="n"/>
      <c r="X347" s="10" t="inlineStr">
        <is>
          <t>ONS-0343</t>
        </is>
      </c>
    </row>
    <row r="348">
      <c r="A348" s="16">
        <f>IF($C348="","",IFERROR(IF(INDEX(tbl_Finance[Latest Invoice Date],MATCH($X348,tbl_Finance[Row ID],0))="","",INDEX(tbl_Finance[Latest Invoice Date],MATCH($X348,tbl_Finance[Row ID],0))),""))</f>
        <v/>
      </c>
      <c r="B348" s="10">
        <f>IF($C348="","",IFERROR(INDEX(tbl_Finance[Invoice Numbers],MATCH($X348,tbl_Finance[Row ID],0))&amp;"",""))</f>
        <v/>
      </c>
      <c r="C348" s="37" t="n"/>
      <c r="D348" s="10">
        <f>IF($C348="","",IF(COUNTIF(lst_Jobs,$C348&amp;"")&gt;0,"OK","CHECK"))</f>
        <v/>
      </c>
      <c r="E348" s="10">
        <f>IF($C348="","",IFERROR(INDEX(lst_JobName,MATCH($C348&amp;"",lst_Jobs,0)),""))</f>
        <v/>
      </c>
      <c r="F348" s="37" t="n"/>
      <c r="G348" s="37" t="n"/>
      <c r="H348" s="37" t="n"/>
      <c r="I348" s="37" t="n"/>
      <c r="J348" s="37" t="n"/>
      <c r="K348" s="38">
        <f>IF($C348="","",IFERROR(N(INDEX(tbl_Finance[Invoice Count],MATCH($X348,tbl_Finance[Row ID],0))),""))</f>
        <v/>
      </c>
      <c r="L348" s="11">
        <f>IF($C348="","",IFERROR(N(INDEX(tbl_Finance[Xero Invoiced Ex GST],MATCH($X348,tbl_Finance[Row ID],0))),""))</f>
        <v/>
      </c>
      <c r="M348" s="10">
        <f>IF($C348="","",IFERROR(INDEX(tbl_Finance[Compare],MATCH($X348,tbl_Finance[Row ID],0))&amp;"",""))</f>
        <v/>
      </c>
      <c r="N348" s="11">
        <f>IF($C348="","",MAX(0,N(O348)-N(L348)))</f>
        <v/>
      </c>
      <c r="O348" s="39" t="n"/>
      <c r="P348" s="40">
        <f>IF($C348="","",IF((IF(F348="",", Client","")&amp;IF(G348="",", Description","")&amp;IF(H348="",", Cost Centre","")&amp;IF(I348="",", Invoice Type","")&amp;IF(J348="",", Tax Code","")&amp;IF(O348="",", Expected Revenue","")&amp;IF(COUNTIF(tbl_Finance[Job Number],$C348&amp;"")&gt;1,", Job number used twice",""))="","Complete","Fix: "&amp;MID(IF(F348="",", Client","")&amp;IF(G348="",", Description","")&amp;IF(H348="",", Cost Centre","")&amp;IF(I348="",", Invoice Type","")&amp;IF(J348="",", Tax Code","")&amp;IF(O348="",", Expected Revenue","")&amp;IF(COUNTIF(tbl_Finance[Job Number],$C348&amp;"")&gt;1,", Job number used twice",""),3,300)))</f>
        <v/>
      </c>
      <c r="Q348" s="10">
        <f>IF($C348="","",IF(H348="","(no cost centre)",H348&amp;" - GL "&amp;IFERROR(INDEX(lst_CCtoGL,MATCH(H348,lst_CCforGL,0)),"?")))</f>
        <v/>
      </c>
      <c r="R348" s="37" t="n"/>
      <c r="S348" s="37" t="n"/>
      <c r="T348" s="10">
        <f>IF(S348="","",HYPERLINK(IF(LEFT(S348,4)="http",S348,set_QwilrBase&amp;S348),"Open quote"))</f>
        <v/>
      </c>
      <c r="U348" s="41" t="n"/>
      <c r="V348" s="37" t="n"/>
      <c r="W348" s="37" t="n"/>
      <c r="X348" s="10" t="inlineStr">
        <is>
          <t>ONS-0344</t>
        </is>
      </c>
    </row>
    <row r="349">
      <c r="A349" s="16">
        <f>IF($C349="","",IFERROR(IF(INDEX(tbl_Finance[Latest Invoice Date],MATCH($X349,tbl_Finance[Row ID],0))="","",INDEX(tbl_Finance[Latest Invoice Date],MATCH($X349,tbl_Finance[Row ID],0))),""))</f>
        <v/>
      </c>
      <c r="B349" s="10">
        <f>IF($C349="","",IFERROR(INDEX(tbl_Finance[Invoice Numbers],MATCH($X349,tbl_Finance[Row ID],0))&amp;"",""))</f>
        <v/>
      </c>
      <c r="C349" s="37" t="n"/>
      <c r="D349" s="10">
        <f>IF($C349="","",IF(COUNTIF(lst_Jobs,$C349&amp;"")&gt;0,"OK","CHECK"))</f>
        <v/>
      </c>
      <c r="E349" s="10">
        <f>IF($C349="","",IFERROR(INDEX(lst_JobName,MATCH($C349&amp;"",lst_Jobs,0)),""))</f>
        <v/>
      </c>
      <c r="F349" s="37" t="n"/>
      <c r="G349" s="37" t="n"/>
      <c r="H349" s="37" t="n"/>
      <c r="I349" s="37" t="n"/>
      <c r="J349" s="37" t="n"/>
      <c r="K349" s="38">
        <f>IF($C349="","",IFERROR(N(INDEX(tbl_Finance[Invoice Count],MATCH($X349,tbl_Finance[Row ID],0))),""))</f>
        <v/>
      </c>
      <c r="L349" s="11">
        <f>IF($C349="","",IFERROR(N(INDEX(tbl_Finance[Xero Invoiced Ex GST],MATCH($X349,tbl_Finance[Row ID],0))),""))</f>
        <v/>
      </c>
      <c r="M349" s="10">
        <f>IF($C349="","",IFERROR(INDEX(tbl_Finance[Compare],MATCH($X349,tbl_Finance[Row ID],0))&amp;"",""))</f>
        <v/>
      </c>
      <c r="N349" s="11">
        <f>IF($C349="","",MAX(0,N(O349)-N(L349)))</f>
        <v/>
      </c>
      <c r="O349" s="39" t="n"/>
      <c r="P349" s="40">
        <f>IF($C349="","",IF((IF(F349="",", Client","")&amp;IF(G349="",", Description","")&amp;IF(H349="",", Cost Centre","")&amp;IF(I349="",", Invoice Type","")&amp;IF(J349="",", Tax Code","")&amp;IF(O349="",", Expected Revenue","")&amp;IF(COUNTIF(tbl_Finance[Job Number],$C349&amp;"")&gt;1,", Job number used twice",""))="","Complete","Fix: "&amp;MID(IF(F349="",", Client","")&amp;IF(G349="",", Description","")&amp;IF(H349="",", Cost Centre","")&amp;IF(I349="",", Invoice Type","")&amp;IF(J349="",", Tax Code","")&amp;IF(O349="",", Expected Revenue","")&amp;IF(COUNTIF(tbl_Finance[Job Number],$C349&amp;"")&gt;1,", Job number used twice",""),3,300)))</f>
        <v/>
      </c>
      <c r="Q349" s="10">
        <f>IF($C349="","",IF(H349="","(no cost centre)",H349&amp;" - GL "&amp;IFERROR(INDEX(lst_CCtoGL,MATCH(H349,lst_CCforGL,0)),"?")))</f>
        <v/>
      </c>
      <c r="R349" s="37" t="n"/>
      <c r="S349" s="37" t="n"/>
      <c r="T349" s="10">
        <f>IF(S349="","",HYPERLINK(IF(LEFT(S349,4)="http",S349,set_QwilrBase&amp;S349),"Open quote"))</f>
        <v/>
      </c>
      <c r="U349" s="41" t="n"/>
      <c r="V349" s="37" t="n"/>
      <c r="W349" s="37" t="n"/>
      <c r="X349" s="10" t="inlineStr">
        <is>
          <t>ONS-0345</t>
        </is>
      </c>
    </row>
    <row r="350">
      <c r="A350" s="16">
        <f>IF($C350="","",IFERROR(IF(INDEX(tbl_Finance[Latest Invoice Date],MATCH($X350,tbl_Finance[Row ID],0))="","",INDEX(tbl_Finance[Latest Invoice Date],MATCH($X350,tbl_Finance[Row ID],0))),""))</f>
        <v/>
      </c>
      <c r="B350" s="10">
        <f>IF($C350="","",IFERROR(INDEX(tbl_Finance[Invoice Numbers],MATCH($X350,tbl_Finance[Row ID],0))&amp;"",""))</f>
        <v/>
      </c>
      <c r="C350" s="37" t="n"/>
      <c r="D350" s="10">
        <f>IF($C350="","",IF(COUNTIF(lst_Jobs,$C350&amp;"")&gt;0,"OK","CHECK"))</f>
        <v/>
      </c>
      <c r="E350" s="10">
        <f>IF($C350="","",IFERROR(INDEX(lst_JobName,MATCH($C350&amp;"",lst_Jobs,0)),""))</f>
        <v/>
      </c>
      <c r="F350" s="37" t="n"/>
      <c r="G350" s="37" t="n"/>
      <c r="H350" s="37" t="n"/>
      <c r="I350" s="37" t="n"/>
      <c r="J350" s="37" t="n"/>
      <c r="K350" s="38">
        <f>IF($C350="","",IFERROR(N(INDEX(tbl_Finance[Invoice Count],MATCH($X350,tbl_Finance[Row ID],0))),""))</f>
        <v/>
      </c>
      <c r="L350" s="11">
        <f>IF($C350="","",IFERROR(N(INDEX(tbl_Finance[Xero Invoiced Ex GST],MATCH($X350,tbl_Finance[Row ID],0))),""))</f>
        <v/>
      </c>
      <c r="M350" s="10">
        <f>IF($C350="","",IFERROR(INDEX(tbl_Finance[Compare],MATCH($X350,tbl_Finance[Row ID],0))&amp;"",""))</f>
        <v/>
      </c>
      <c r="N350" s="11">
        <f>IF($C350="","",MAX(0,N(O350)-N(L350)))</f>
        <v/>
      </c>
      <c r="O350" s="39" t="n"/>
      <c r="P350" s="40">
        <f>IF($C350="","",IF((IF(F350="",", Client","")&amp;IF(G350="",", Description","")&amp;IF(H350="",", Cost Centre","")&amp;IF(I350="",", Invoice Type","")&amp;IF(J350="",", Tax Code","")&amp;IF(O350="",", Expected Revenue","")&amp;IF(COUNTIF(tbl_Finance[Job Number],$C350&amp;"")&gt;1,", Job number used twice",""))="","Complete","Fix: "&amp;MID(IF(F350="",", Client","")&amp;IF(G350="",", Description","")&amp;IF(H350="",", Cost Centre","")&amp;IF(I350="",", Invoice Type","")&amp;IF(J350="",", Tax Code","")&amp;IF(O350="",", Expected Revenue","")&amp;IF(COUNTIF(tbl_Finance[Job Number],$C350&amp;"")&gt;1,", Job number used twice",""),3,300)))</f>
        <v/>
      </c>
      <c r="Q350" s="10">
        <f>IF($C350="","",IF(H350="","(no cost centre)",H350&amp;" - GL "&amp;IFERROR(INDEX(lst_CCtoGL,MATCH(H350,lst_CCforGL,0)),"?")))</f>
        <v/>
      </c>
      <c r="R350" s="37" t="n"/>
      <c r="S350" s="37" t="n"/>
      <c r="T350" s="10">
        <f>IF(S350="","",HYPERLINK(IF(LEFT(S350,4)="http",S350,set_QwilrBase&amp;S350),"Open quote"))</f>
        <v/>
      </c>
      <c r="U350" s="41" t="n"/>
      <c r="V350" s="37" t="n"/>
      <c r="W350" s="37" t="n"/>
      <c r="X350" s="10" t="inlineStr">
        <is>
          <t>ONS-0346</t>
        </is>
      </c>
    </row>
    <row r="351">
      <c r="A351" s="16">
        <f>IF($C351="","",IFERROR(IF(INDEX(tbl_Finance[Latest Invoice Date],MATCH($X351,tbl_Finance[Row ID],0))="","",INDEX(tbl_Finance[Latest Invoice Date],MATCH($X351,tbl_Finance[Row ID],0))),""))</f>
        <v/>
      </c>
      <c r="B351" s="10">
        <f>IF($C351="","",IFERROR(INDEX(tbl_Finance[Invoice Numbers],MATCH($X351,tbl_Finance[Row ID],0))&amp;"",""))</f>
        <v/>
      </c>
      <c r="C351" s="37" t="n"/>
      <c r="D351" s="10">
        <f>IF($C351="","",IF(COUNTIF(lst_Jobs,$C351&amp;"")&gt;0,"OK","CHECK"))</f>
        <v/>
      </c>
      <c r="E351" s="10">
        <f>IF($C351="","",IFERROR(INDEX(lst_JobName,MATCH($C351&amp;"",lst_Jobs,0)),""))</f>
        <v/>
      </c>
      <c r="F351" s="37" t="n"/>
      <c r="G351" s="37" t="n"/>
      <c r="H351" s="37" t="n"/>
      <c r="I351" s="37" t="n"/>
      <c r="J351" s="37" t="n"/>
      <c r="K351" s="38">
        <f>IF($C351="","",IFERROR(N(INDEX(tbl_Finance[Invoice Count],MATCH($X351,tbl_Finance[Row ID],0))),""))</f>
        <v/>
      </c>
      <c r="L351" s="11">
        <f>IF($C351="","",IFERROR(N(INDEX(tbl_Finance[Xero Invoiced Ex GST],MATCH($X351,tbl_Finance[Row ID],0))),""))</f>
        <v/>
      </c>
      <c r="M351" s="10">
        <f>IF($C351="","",IFERROR(INDEX(tbl_Finance[Compare],MATCH($X351,tbl_Finance[Row ID],0))&amp;"",""))</f>
        <v/>
      </c>
      <c r="N351" s="11">
        <f>IF($C351="","",MAX(0,N(O351)-N(L351)))</f>
        <v/>
      </c>
      <c r="O351" s="39" t="n"/>
      <c r="P351" s="40">
        <f>IF($C351="","",IF((IF(F351="",", Client","")&amp;IF(G351="",", Description","")&amp;IF(H351="",", Cost Centre","")&amp;IF(I351="",", Invoice Type","")&amp;IF(J351="",", Tax Code","")&amp;IF(O351="",", Expected Revenue","")&amp;IF(COUNTIF(tbl_Finance[Job Number],$C351&amp;"")&gt;1,", Job number used twice",""))="","Complete","Fix: "&amp;MID(IF(F351="",", Client","")&amp;IF(G351="",", Description","")&amp;IF(H351="",", Cost Centre","")&amp;IF(I351="",", Invoice Type","")&amp;IF(J351="",", Tax Code","")&amp;IF(O351="",", Expected Revenue","")&amp;IF(COUNTIF(tbl_Finance[Job Number],$C351&amp;"")&gt;1,", Job number used twice",""),3,300)))</f>
        <v/>
      </c>
      <c r="Q351" s="10">
        <f>IF($C351="","",IF(H351="","(no cost centre)",H351&amp;" - GL "&amp;IFERROR(INDEX(lst_CCtoGL,MATCH(H351,lst_CCforGL,0)),"?")))</f>
        <v/>
      </c>
      <c r="R351" s="37" t="n"/>
      <c r="S351" s="37" t="n"/>
      <c r="T351" s="10">
        <f>IF(S351="","",HYPERLINK(IF(LEFT(S351,4)="http",S351,set_QwilrBase&amp;S351),"Open quote"))</f>
        <v/>
      </c>
      <c r="U351" s="41" t="n"/>
      <c r="V351" s="37" t="n"/>
      <c r="W351" s="37" t="n"/>
      <c r="X351" s="10" t="inlineStr">
        <is>
          <t>ONS-0347</t>
        </is>
      </c>
    </row>
    <row r="352">
      <c r="A352" s="16">
        <f>IF($C352="","",IFERROR(IF(INDEX(tbl_Finance[Latest Invoice Date],MATCH($X352,tbl_Finance[Row ID],0))="","",INDEX(tbl_Finance[Latest Invoice Date],MATCH($X352,tbl_Finance[Row ID],0))),""))</f>
        <v/>
      </c>
      <c r="B352" s="10">
        <f>IF($C352="","",IFERROR(INDEX(tbl_Finance[Invoice Numbers],MATCH($X352,tbl_Finance[Row ID],0))&amp;"",""))</f>
        <v/>
      </c>
      <c r="C352" s="37" t="n"/>
      <c r="D352" s="10">
        <f>IF($C352="","",IF(COUNTIF(lst_Jobs,$C352&amp;"")&gt;0,"OK","CHECK"))</f>
        <v/>
      </c>
      <c r="E352" s="10">
        <f>IF($C352="","",IFERROR(INDEX(lst_JobName,MATCH($C352&amp;"",lst_Jobs,0)),""))</f>
        <v/>
      </c>
      <c r="F352" s="37" t="n"/>
      <c r="G352" s="37" t="n"/>
      <c r="H352" s="37" t="n"/>
      <c r="I352" s="37" t="n"/>
      <c r="J352" s="37" t="n"/>
      <c r="K352" s="38">
        <f>IF($C352="","",IFERROR(N(INDEX(tbl_Finance[Invoice Count],MATCH($X352,tbl_Finance[Row ID],0))),""))</f>
        <v/>
      </c>
      <c r="L352" s="11">
        <f>IF($C352="","",IFERROR(N(INDEX(tbl_Finance[Xero Invoiced Ex GST],MATCH($X352,tbl_Finance[Row ID],0))),""))</f>
        <v/>
      </c>
      <c r="M352" s="10">
        <f>IF($C352="","",IFERROR(INDEX(tbl_Finance[Compare],MATCH($X352,tbl_Finance[Row ID],0))&amp;"",""))</f>
        <v/>
      </c>
      <c r="N352" s="11">
        <f>IF($C352="","",MAX(0,N(O352)-N(L352)))</f>
        <v/>
      </c>
      <c r="O352" s="39" t="n"/>
      <c r="P352" s="40">
        <f>IF($C352="","",IF((IF(F352="",", Client","")&amp;IF(G352="",", Description","")&amp;IF(H352="",", Cost Centre","")&amp;IF(I352="",", Invoice Type","")&amp;IF(J352="",", Tax Code","")&amp;IF(O352="",", Expected Revenue","")&amp;IF(COUNTIF(tbl_Finance[Job Number],$C352&amp;"")&gt;1,", Job number used twice",""))="","Complete","Fix: "&amp;MID(IF(F352="",", Client","")&amp;IF(G352="",", Description","")&amp;IF(H352="",", Cost Centre","")&amp;IF(I352="",", Invoice Type","")&amp;IF(J352="",", Tax Code","")&amp;IF(O352="",", Expected Revenue","")&amp;IF(COUNTIF(tbl_Finance[Job Number],$C352&amp;"")&gt;1,", Job number used twice",""),3,300)))</f>
        <v/>
      </c>
      <c r="Q352" s="10">
        <f>IF($C352="","",IF(H352="","(no cost centre)",H352&amp;" - GL "&amp;IFERROR(INDEX(lst_CCtoGL,MATCH(H352,lst_CCforGL,0)),"?")))</f>
        <v/>
      </c>
      <c r="R352" s="37" t="n"/>
      <c r="S352" s="37" t="n"/>
      <c r="T352" s="10">
        <f>IF(S352="","",HYPERLINK(IF(LEFT(S352,4)="http",S352,set_QwilrBase&amp;S352),"Open quote"))</f>
        <v/>
      </c>
      <c r="U352" s="41" t="n"/>
      <c r="V352" s="37" t="n"/>
      <c r="W352" s="37" t="n"/>
      <c r="X352" s="10" t="inlineStr">
        <is>
          <t>ONS-0348</t>
        </is>
      </c>
    </row>
    <row r="353">
      <c r="A353" s="16">
        <f>IF($C353="","",IFERROR(IF(INDEX(tbl_Finance[Latest Invoice Date],MATCH($X353,tbl_Finance[Row ID],0))="","",INDEX(tbl_Finance[Latest Invoice Date],MATCH($X353,tbl_Finance[Row ID],0))),""))</f>
        <v/>
      </c>
      <c r="B353" s="10">
        <f>IF($C353="","",IFERROR(INDEX(tbl_Finance[Invoice Numbers],MATCH($X353,tbl_Finance[Row ID],0))&amp;"",""))</f>
        <v/>
      </c>
      <c r="C353" s="37" t="n"/>
      <c r="D353" s="10">
        <f>IF($C353="","",IF(COUNTIF(lst_Jobs,$C353&amp;"")&gt;0,"OK","CHECK"))</f>
        <v/>
      </c>
      <c r="E353" s="10">
        <f>IF($C353="","",IFERROR(INDEX(lst_JobName,MATCH($C353&amp;"",lst_Jobs,0)),""))</f>
        <v/>
      </c>
      <c r="F353" s="37" t="n"/>
      <c r="G353" s="37" t="n"/>
      <c r="H353" s="37" t="n"/>
      <c r="I353" s="37" t="n"/>
      <c r="J353" s="37" t="n"/>
      <c r="K353" s="38">
        <f>IF($C353="","",IFERROR(N(INDEX(tbl_Finance[Invoice Count],MATCH($X353,tbl_Finance[Row ID],0))),""))</f>
        <v/>
      </c>
      <c r="L353" s="11">
        <f>IF($C353="","",IFERROR(N(INDEX(tbl_Finance[Xero Invoiced Ex GST],MATCH($X353,tbl_Finance[Row ID],0))),""))</f>
        <v/>
      </c>
      <c r="M353" s="10">
        <f>IF($C353="","",IFERROR(INDEX(tbl_Finance[Compare],MATCH($X353,tbl_Finance[Row ID],0))&amp;"",""))</f>
        <v/>
      </c>
      <c r="N353" s="11">
        <f>IF($C353="","",MAX(0,N(O353)-N(L353)))</f>
        <v/>
      </c>
      <c r="O353" s="39" t="n"/>
      <c r="P353" s="40">
        <f>IF($C353="","",IF((IF(F353="",", Client","")&amp;IF(G353="",", Description","")&amp;IF(H353="",", Cost Centre","")&amp;IF(I353="",", Invoice Type","")&amp;IF(J353="",", Tax Code","")&amp;IF(O353="",", Expected Revenue","")&amp;IF(COUNTIF(tbl_Finance[Job Number],$C353&amp;"")&gt;1,", Job number used twice",""))="","Complete","Fix: "&amp;MID(IF(F353="",", Client","")&amp;IF(G353="",", Description","")&amp;IF(H353="",", Cost Centre","")&amp;IF(I353="",", Invoice Type","")&amp;IF(J353="",", Tax Code","")&amp;IF(O353="",", Expected Revenue","")&amp;IF(COUNTIF(tbl_Finance[Job Number],$C353&amp;"")&gt;1,", Job number used twice",""),3,300)))</f>
        <v/>
      </c>
      <c r="Q353" s="10">
        <f>IF($C353="","",IF(H353="","(no cost centre)",H353&amp;" - GL "&amp;IFERROR(INDEX(lst_CCtoGL,MATCH(H353,lst_CCforGL,0)),"?")))</f>
        <v/>
      </c>
      <c r="R353" s="37" t="n"/>
      <c r="S353" s="37" t="n"/>
      <c r="T353" s="10">
        <f>IF(S353="","",HYPERLINK(IF(LEFT(S353,4)="http",S353,set_QwilrBase&amp;S353),"Open quote"))</f>
        <v/>
      </c>
      <c r="U353" s="41" t="n"/>
      <c r="V353" s="37" t="n"/>
      <c r="W353" s="37" t="n"/>
      <c r="X353" s="10" t="inlineStr">
        <is>
          <t>ONS-0349</t>
        </is>
      </c>
    </row>
    <row r="354">
      <c r="A354" s="16">
        <f>IF($C354="","",IFERROR(IF(INDEX(tbl_Finance[Latest Invoice Date],MATCH($X354,tbl_Finance[Row ID],0))="","",INDEX(tbl_Finance[Latest Invoice Date],MATCH($X354,tbl_Finance[Row ID],0))),""))</f>
        <v/>
      </c>
      <c r="B354" s="10">
        <f>IF($C354="","",IFERROR(INDEX(tbl_Finance[Invoice Numbers],MATCH($X354,tbl_Finance[Row ID],0))&amp;"",""))</f>
        <v/>
      </c>
      <c r="C354" s="37" t="n"/>
      <c r="D354" s="10">
        <f>IF($C354="","",IF(COUNTIF(lst_Jobs,$C354&amp;"")&gt;0,"OK","CHECK"))</f>
        <v/>
      </c>
      <c r="E354" s="10">
        <f>IF($C354="","",IFERROR(INDEX(lst_JobName,MATCH($C354&amp;"",lst_Jobs,0)),""))</f>
        <v/>
      </c>
      <c r="F354" s="37" t="n"/>
      <c r="G354" s="37" t="n"/>
      <c r="H354" s="37" t="n"/>
      <c r="I354" s="37" t="n"/>
      <c r="J354" s="37" t="n"/>
      <c r="K354" s="38">
        <f>IF($C354="","",IFERROR(N(INDEX(tbl_Finance[Invoice Count],MATCH($X354,tbl_Finance[Row ID],0))),""))</f>
        <v/>
      </c>
      <c r="L354" s="11">
        <f>IF($C354="","",IFERROR(N(INDEX(tbl_Finance[Xero Invoiced Ex GST],MATCH($X354,tbl_Finance[Row ID],0))),""))</f>
        <v/>
      </c>
      <c r="M354" s="10">
        <f>IF($C354="","",IFERROR(INDEX(tbl_Finance[Compare],MATCH($X354,tbl_Finance[Row ID],0))&amp;"",""))</f>
        <v/>
      </c>
      <c r="N354" s="11">
        <f>IF($C354="","",MAX(0,N(O354)-N(L354)))</f>
        <v/>
      </c>
      <c r="O354" s="39" t="n"/>
      <c r="P354" s="40">
        <f>IF($C354="","",IF((IF(F354="",", Client","")&amp;IF(G354="",", Description","")&amp;IF(H354="",", Cost Centre","")&amp;IF(I354="",", Invoice Type","")&amp;IF(J354="",", Tax Code","")&amp;IF(O354="",", Expected Revenue","")&amp;IF(COUNTIF(tbl_Finance[Job Number],$C354&amp;"")&gt;1,", Job number used twice",""))="","Complete","Fix: "&amp;MID(IF(F354="",", Client","")&amp;IF(G354="",", Description","")&amp;IF(H354="",", Cost Centre","")&amp;IF(I354="",", Invoice Type","")&amp;IF(J354="",", Tax Code","")&amp;IF(O354="",", Expected Revenue","")&amp;IF(COUNTIF(tbl_Finance[Job Number],$C354&amp;"")&gt;1,", Job number used twice",""),3,300)))</f>
        <v/>
      </c>
      <c r="Q354" s="10">
        <f>IF($C354="","",IF(H354="","(no cost centre)",H354&amp;" - GL "&amp;IFERROR(INDEX(lst_CCtoGL,MATCH(H354,lst_CCforGL,0)),"?")))</f>
        <v/>
      </c>
      <c r="R354" s="37" t="n"/>
      <c r="S354" s="37" t="n"/>
      <c r="T354" s="10">
        <f>IF(S354="","",HYPERLINK(IF(LEFT(S354,4)="http",S354,set_QwilrBase&amp;S354),"Open quote"))</f>
        <v/>
      </c>
      <c r="U354" s="41" t="n"/>
      <c r="V354" s="37" t="n"/>
      <c r="W354" s="37" t="n"/>
      <c r="X354" s="10" t="inlineStr">
        <is>
          <t>ONS-0350</t>
        </is>
      </c>
    </row>
    <row r="355">
      <c r="A355" s="16">
        <f>IF($C355="","",IFERROR(IF(INDEX(tbl_Finance[Latest Invoice Date],MATCH($X355,tbl_Finance[Row ID],0))="","",INDEX(tbl_Finance[Latest Invoice Date],MATCH($X355,tbl_Finance[Row ID],0))),""))</f>
        <v/>
      </c>
      <c r="B355" s="10">
        <f>IF($C355="","",IFERROR(INDEX(tbl_Finance[Invoice Numbers],MATCH($X355,tbl_Finance[Row ID],0))&amp;"",""))</f>
        <v/>
      </c>
      <c r="C355" s="37" t="n"/>
      <c r="D355" s="10">
        <f>IF($C355="","",IF(COUNTIF(lst_Jobs,$C355&amp;"")&gt;0,"OK","CHECK"))</f>
        <v/>
      </c>
      <c r="E355" s="10">
        <f>IF($C355="","",IFERROR(INDEX(lst_JobName,MATCH($C355&amp;"",lst_Jobs,0)),""))</f>
        <v/>
      </c>
      <c r="F355" s="37" t="n"/>
      <c r="G355" s="37" t="n"/>
      <c r="H355" s="37" t="n"/>
      <c r="I355" s="37" t="n"/>
      <c r="J355" s="37" t="n"/>
      <c r="K355" s="38">
        <f>IF($C355="","",IFERROR(N(INDEX(tbl_Finance[Invoice Count],MATCH($X355,tbl_Finance[Row ID],0))),""))</f>
        <v/>
      </c>
      <c r="L355" s="11">
        <f>IF($C355="","",IFERROR(N(INDEX(tbl_Finance[Xero Invoiced Ex GST],MATCH($X355,tbl_Finance[Row ID],0))),""))</f>
        <v/>
      </c>
      <c r="M355" s="10">
        <f>IF($C355="","",IFERROR(INDEX(tbl_Finance[Compare],MATCH($X355,tbl_Finance[Row ID],0))&amp;"",""))</f>
        <v/>
      </c>
      <c r="N355" s="11">
        <f>IF($C355="","",MAX(0,N(O355)-N(L355)))</f>
        <v/>
      </c>
      <c r="O355" s="39" t="n"/>
      <c r="P355" s="40">
        <f>IF($C355="","",IF((IF(F355="",", Client","")&amp;IF(G355="",", Description","")&amp;IF(H355="",", Cost Centre","")&amp;IF(I355="",", Invoice Type","")&amp;IF(J355="",", Tax Code","")&amp;IF(O355="",", Expected Revenue","")&amp;IF(COUNTIF(tbl_Finance[Job Number],$C355&amp;"")&gt;1,", Job number used twice",""))="","Complete","Fix: "&amp;MID(IF(F355="",", Client","")&amp;IF(G355="",", Description","")&amp;IF(H355="",", Cost Centre","")&amp;IF(I355="",", Invoice Type","")&amp;IF(J355="",", Tax Code","")&amp;IF(O355="",", Expected Revenue","")&amp;IF(COUNTIF(tbl_Finance[Job Number],$C355&amp;"")&gt;1,", Job number used twice",""),3,300)))</f>
        <v/>
      </c>
      <c r="Q355" s="10">
        <f>IF($C355="","",IF(H355="","(no cost centre)",H355&amp;" - GL "&amp;IFERROR(INDEX(lst_CCtoGL,MATCH(H355,lst_CCforGL,0)),"?")))</f>
        <v/>
      </c>
      <c r="R355" s="37" t="n"/>
      <c r="S355" s="37" t="n"/>
      <c r="T355" s="10">
        <f>IF(S355="","",HYPERLINK(IF(LEFT(S355,4)="http",S355,set_QwilrBase&amp;S355),"Open quote"))</f>
        <v/>
      </c>
      <c r="U355" s="41" t="n"/>
      <c r="V355" s="37" t="n"/>
      <c r="W355" s="37" t="n"/>
      <c r="X355" s="10" t="inlineStr">
        <is>
          <t>ONS-0351</t>
        </is>
      </c>
    </row>
    <row r="356">
      <c r="A356" s="16">
        <f>IF($C356="","",IFERROR(IF(INDEX(tbl_Finance[Latest Invoice Date],MATCH($X356,tbl_Finance[Row ID],0))="","",INDEX(tbl_Finance[Latest Invoice Date],MATCH($X356,tbl_Finance[Row ID],0))),""))</f>
        <v/>
      </c>
      <c r="B356" s="10">
        <f>IF($C356="","",IFERROR(INDEX(tbl_Finance[Invoice Numbers],MATCH($X356,tbl_Finance[Row ID],0))&amp;"",""))</f>
        <v/>
      </c>
      <c r="C356" s="37" t="n"/>
      <c r="D356" s="10">
        <f>IF($C356="","",IF(COUNTIF(lst_Jobs,$C356&amp;"")&gt;0,"OK","CHECK"))</f>
        <v/>
      </c>
      <c r="E356" s="10">
        <f>IF($C356="","",IFERROR(INDEX(lst_JobName,MATCH($C356&amp;"",lst_Jobs,0)),""))</f>
        <v/>
      </c>
      <c r="F356" s="37" t="n"/>
      <c r="G356" s="37" t="n"/>
      <c r="H356" s="37" t="n"/>
      <c r="I356" s="37" t="n"/>
      <c r="J356" s="37" t="n"/>
      <c r="K356" s="38">
        <f>IF($C356="","",IFERROR(N(INDEX(tbl_Finance[Invoice Count],MATCH($X356,tbl_Finance[Row ID],0))),""))</f>
        <v/>
      </c>
      <c r="L356" s="11">
        <f>IF($C356="","",IFERROR(N(INDEX(tbl_Finance[Xero Invoiced Ex GST],MATCH($X356,tbl_Finance[Row ID],0))),""))</f>
        <v/>
      </c>
      <c r="M356" s="10">
        <f>IF($C356="","",IFERROR(INDEX(tbl_Finance[Compare],MATCH($X356,tbl_Finance[Row ID],0))&amp;"",""))</f>
        <v/>
      </c>
      <c r="N356" s="11">
        <f>IF($C356="","",MAX(0,N(O356)-N(L356)))</f>
        <v/>
      </c>
      <c r="O356" s="39" t="n"/>
      <c r="P356" s="40">
        <f>IF($C356="","",IF((IF(F356="",", Client","")&amp;IF(G356="",", Description","")&amp;IF(H356="",", Cost Centre","")&amp;IF(I356="",", Invoice Type","")&amp;IF(J356="",", Tax Code","")&amp;IF(O356="",", Expected Revenue","")&amp;IF(COUNTIF(tbl_Finance[Job Number],$C356&amp;"")&gt;1,", Job number used twice",""))="","Complete","Fix: "&amp;MID(IF(F356="",", Client","")&amp;IF(G356="",", Description","")&amp;IF(H356="",", Cost Centre","")&amp;IF(I356="",", Invoice Type","")&amp;IF(J356="",", Tax Code","")&amp;IF(O356="",", Expected Revenue","")&amp;IF(COUNTIF(tbl_Finance[Job Number],$C356&amp;"")&gt;1,", Job number used twice",""),3,300)))</f>
        <v/>
      </c>
      <c r="Q356" s="10">
        <f>IF($C356="","",IF(H356="","(no cost centre)",H356&amp;" - GL "&amp;IFERROR(INDEX(lst_CCtoGL,MATCH(H356,lst_CCforGL,0)),"?")))</f>
        <v/>
      </c>
      <c r="R356" s="37" t="n"/>
      <c r="S356" s="37" t="n"/>
      <c r="T356" s="10">
        <f>IF(S356="","",HYPERLINK(IF(LEFT(S356,4)="http",S356,set_QwilrBase&amp;S356),"Open quote"))</f>
        <v/>
      </c>
      <c r="U356" s="41" t="n"/>
      <c r="V356" s="37" t="n"/>
      <c r="W356" s="37" t="n"/>
      <c r="X356" s="10" t="inlineStr">
        <is>
          <t>ONS-0352</t>
        </is>
      </c>
    </row>
    <row r="357">
      <c r="A357" s="16">
        <f>IF($C357="","",IFERROR(IF(INDEX(tbl_Finance[Latest Invoice Date],MATCH($X357,tbl_Finance[Row ID],0))="","",INDEX(tbl_Finance[Latest Invoice Date],MATCH($X357,tbl_Finance[Row ID],0))),""))</f>
        <v/>
      </c>
      <c r="B357" s="10">
        <f>IF($C357="","",IFERROR(INDEX(tbl_Finance[Invoice Numbers],MATCH($X357,tbl_Finance[Row ID],0))&amp;"",""))</f>
        <v/>
      </c>
      <c r="C357" s="37" t="n"/>
      <c r="D357" s="10">
        <f>IF($C357="","",IF(COUNTIF(lst_Jobs,$C357&amp;"")&gt;0,"OK","CHECK"))</f>
        <v/>
      </c>
      <c r="E357" s="10">
        <f>IF($C357="","",IFERROR(INDEX(lst_JobName,MATCH($C357&amp;"",lst_Jobs,0)),""))</f>
        <v/>
      </c>
      <c r="F357" s="37" t="n"/>
      <c r="G357" s="37" t="n"/>
      <c r="H357" s="37" t="n"/>
      <c r="I357" s="37" t="n"/>
      <c r="J357" s="37" t="n"/>
      <c r="K357" s="38">
        <f>IF($C357="","",IFERROR(N(INDEX(tbl_Finance[Invoice Count],MATCH($X357,tbl_Finance[Row ID],0))),""))</f>
        <v/>
      </c>
      <c r="L357" s="11">
        <f>IF($C357="","",IFERROR(N(INDEX(tbl_Finance[Xero Invoiced Ex GST],MATCH($X357,tbl_Finance[Row ID],0))),""))</f>
        <v/>
      </c>
      <c r="M357" s="10">
        <f>IF($C357="","",IFERROR(INDEX(tbl_Finance[Compare],MATCH($X357,tbl_Finance[Row ID],0))&amp;"",""))</f>
        <v/>
      </c>
      <c r="N357" s="11">
        <f>IF($C357="","",MAX(0,N(O357)-N(L357)))</f>
        <v/>
      </c>
      <c r="O357" s="39" t="n"/>
      <c r="P357" s="40">
        <f>IF($C357="","",IF((IF(F357="",", Client","")&amp;IF(G357="",", Description","")&amp;IF(H357="",", Cost Centre","")&amp;IF(I357="",", Invoice Type","")&amp;IF(J357="",", Tax Code","")&amp;IF(O357="",", Expected Revenue","")&amp;IF(COUNTIF(tbl_Finance[Job Number],$C357&amp;"")&gt;1,", Job number used twice",""))="","Complete","Fix: "&amp;MID(IF(F357="",", Client","")&amp;IF(G357="",", Description","")&amp;IF(H357="",", Cost Centre","")&amp;IF(I357="",", Invoice Type","")&amp;IF(J357="",", Tax Code","")&amp;IF(O357="",", Expected Revenue","")&amp;IF(COUNTIF(tbl_Finance[Job Number],$C357&amp;"")&gt;1,", Job number used twice",""),3,300)))</f>
        <v/>
      </c>
      <c r="Q357" s="10">
        <f>IF($C357="","",IF(H357="","(no cost centre)",H357&amp;" - GL "&amp;IFERROR(INDEX(lst_CCtoGL,MATCH(H357,lst_CCforGL,0)),"?")))</f>
        <v/>
      </c>
      <c r="R357" s="37" t="n"/>
      <c r="S357" s="37" t="n"/>
      <c r="T357" s="10">
        <f>IF(S357="","",HYPERLINK(IF(LEFT(S357,4)="http",S357,set_QwilrBase&amp;S357),"Open quote"))</f>
        <v/>
      </c>
      <c r="U357" s="41" t="n"/>
      <c r="V357" s="37" t="n"/>
      <c r="W357" s="37" t="n"/>
      <c r="X357" s="10" t="inlineStr">
        <is>
          <t>ONS-0353</t>
        </is>
      </c>
    </row>
    <row r="358">
      <c r="A358" s="16">
        <f>IF($C358="","",IFERROR(IF(INDEX(tbl_Finance[Latest Invoice Date],MATCH($X358,tbl_Finance[Row ID],0))="","",INDEX(tbl_Finance[Latest Invoice Date],MATCH($X358,tbl_Finance[Row ID],0))),""))</f>
        <v/>
      </c>
      <c r="B358" s="10">
        <f>IF($C358="","",IFERROR(INDEX(tbl_Finance[Invoice Numbers],MATCH($X358,tbl_Finance[Row ID],0))&amp;"",""))</f>
        <v/>
      </c>
      <c r="C358" s="37" t="n"/>
      <c r="D358" s="10">
        <f>IF($C358="","",IF(COUNTIF(lst_Jobs,$C358&amp;"")&gt;0,"OK","CHECK"))</f>
        <v/>
      </c>
      <c r="E358" s="10">
        <f>IF($C358="","",IFERROR(INDEX(lst_JobName,MATCH($C358&amp;"",lst_Jobs,0)),""))</f>
        <v/>
      </c>
      <c r="F358" s="37" t="n"/>
      <c r="G358" s="37" t="n"/>
      <c r="H358" s="37" t="n"/>
      <c r="I358" s="37" t="n"/>
      <c r="J358" s="37" t="n"/>
      <c r="K358" s="38">
        <f>IF($C358="","",IFERROR(N(INDEX(tbl_Finance[Invoice Count],MATCH($X358,tbl_Finance[Row ID],0))),""))</f>
        <v/>
      </c>
      <c r="L358" s="11">
        <f>IF($C358="","",IFERROR(N(INDEX(tbl_Finance[Xero Invoiced Ex GST],MATCH($X358,tbl_Finance[Row ID],0))),""))</f>
        <v/>
      </c>
      <c r="M358" s="10">
        <f>IF($C358="","",IFERROR(INDEX(tbl_Finance[Compare],MATCH($X358,tbl_Finance[Row ID],0))&amp;"",""))</f>
        <v/>
      </c>
      <c r="N358" s="11">
        <f>IF($C358="","",MAX(0,N(O358)-N(L358)))</f>
        <v/>
      </c>
      <c r="O358" s="39" t="n"/>
      <c r="P358" s="40">
        <f>IF($C358="","",IF((IF(F358="",", Client","")&amp;IF(G358="",", Description","")&amp;IF(H358="",", Cost Centre","")&amp;IF(I358="",", Invoice Type","")&amp;IF(J358="",", Tax Code","")&amp;IF(O358="",", Expected Revenue","")&amp;IF(COUNTIF(tbl_Finance[Job Number],$C358&amp;"")&gt;1,", Job number used twice",""))="","Complete","Fix: "&amp;MID(IF(F358="",", Client","")&amp;IF(G358="",", Description","")&amp;IF(H358="",", Cost Centre","")&amp;IF(I358="",", Invoice Type","")&amp;IF(J358="",", Tax Code","")&amp;IF(O358="",", Expected Revenue","")&amp;IF(COUNTIF(tbl_Finance[Job Number],$C358&amp;"")&gt;1,", Job number used twice",""),3,300)))</f>
        <v/>
      </c>
      <c r="Q358" s="10">
        <f>IF($C358="","",IF(H358="","(no cost centre)",H358&amp;" - GL "&amp;IFERROR(INDEX(lst_CCtoGL,MATCH(H358,lst_CCforGL,0)),"?")))</f>
        <v/>
      </c>
      <c r="R358" s="37" t="n"/>
      <c r="S358" s="37" t="n"/>
      <c r="T358" s="10">
        <f>IF(S358="","",HYPERLINK(IF(LEFT(S358,4)="http",S358,set_QwilrBase&amp;S358),"Open quote"))</f>
        <v/>
      </c>
      <c r="U358" s="41" t="n"/>
      <c r="V358" s="37" t="n"/>
      <c r="W358" s="37" t="n"/>
      <c r="X358" s="10" t="inlineStr">
        <is>
          <t>ONS-0354</t>
        </is>
      </c>
    </row>
    <row r="359">
      <c r="A359" s="16">
        <f>IF($C359="","",IFERROR(IF(INDEX(tbl_Finance[Latest Invoice Date],MATCH($X359,tbl_Finance[Row ID],0))="","",INDEX(tbl_Finance[Latest Invoice Date],MATCH($X359,tbl_Finance[Row ID],0))),""))</f>
        <v/>
      </c>
      <c r="B359" s="10">
        <f>IF($C359="","",IFERROR(INDEX(tbl_Finance[Invoice Numbers],MATCH($X359,tbl_Finance[Row ID],0))&amp;"",""))</f>
        <v/>
      </c>
      <c r="C359" s="37" t="n"/>
      <c r="D359" s="10">
        <f>IF($C359="","",IF(COUNTIF(lst_Jobs,$C359&amp;"")&gt;0,"OK","CHECK"))</f>
        <v/>
      </c>
      <c r="E359" s="10">
        <f>IF($C359="","",IFERROR(INDEX(lst_JobName,MATCH($C359&amp;"",lst_Jobs,0)),""))</f>
        <v/>
      </c>
      <c r="F359" s="37" t="n"/>
      <c r="G359" s="37" t="n"/>
      <c r="H359" s="37" t="n"/>
      <c r="I359" s="37" t="n"/>
      <c r="J359" s="37" t="n"/>
      <c r="K359" s="38">
        <f>IF($C359="","",IFERROR(N(INDEX(tbl_Finance[Invoice Count],MATCH($X359,tbl_Finance[Row ID],0))),""))</f>
        <v/>
      </c>
      <c r="L359" s="11">
        <f>IF($C359="","",IFERROR(N(INDEX(tbl_Finance[Xero Invoiced Ex GST],MATCH($X359,tbl_Finance[Row ID],0))),""))</f>
        <v/>
      </c>
      <c r="M359" s="10">
        <f>IF($C359="","",IFERROR(INDEX(tbl_Finance[Compare],MATCH($X359,tbl_Finance[Row ID],0))&amp;"",""))</f>
        <v/>
      </c>
      <c r="N359" s="11">
        <f>IF($C359="","",MAX(0,N(O359)-N(L359)))</f>
        <v/>
      </c>
      <c r="O359" s="39" t="n"/>
      <c r="P359" s="40">
        <f>IF($C359="","",IF((IF(F359="",", Client","")&amp;IF(G359="",", Description","")&amp;IF(H359="",", Cost Centre","")&amp;IF(I359="",", Invoice Type","")&amp;IF(J359="",", Tax Code","")&amp;IF(O359="",", Expected Revenue","")&amp;IF(COUNTIF(tbl_Finance[Job Number],$C359&amp;"")&gt;1,", Job number used twice",""))="","Complete","Fix: "&amp;MID(IF(F359="",", Client","")&amp;IF(G359="",", Description","")&amp;IF(H359="",", Cost Centre","")&amp;IF(I359="",", Invoice Type","")&amp;IF(J359="",", Tax Code","")&amp;IF(O359="",", Expected Revenue","")&amp;IF(COUNTIF(tbl_Finance[Job Number],$C359&amp;"")&gt;1,", Job number used twice",""),3,300)))</f>
        <v/>
      </c>
      <c r="Q359" s="10">
        <f>IF($C359="","",IF(H359="","(no cost centre)",H359&amp;" - GL "&amp;IFERROR(INDEX(lst_CCtoGL,MATCH(H359,lst_CCforGL,0)),"?")))</f>
        <v/>
      </c>
      <c r="R359" s="37" t="n"/>
      <c r="S359" s="37" t="n"/>
      <c r="T359" s="10">
        <f>IF(S359="","",HYPERLINK(IF(LEFT(S359,4)="http",S359,set_QwilrBase&amp;S359),"Open quote"))</f>
        <v/>
      </c>
      <c r="U359" s="41" t="n"/>
      <c r="V359" s="37" t="n"/>
      <c r="W359" s="37" t="n"/>
      <c r="X359" s="10" t="inlineStr">
        <is>
          <t>ONS-0355</t>
        </is>
      </c>
    </row>
    <row r="360">
      <c r="A360" s="16">
        <f>IF($C360="","",IFERROR(IF(INDEX(tbl_Finance[Latest Invoice Date],MATCH($X360,tbl_Finance[Row ID],0))="","",INDEX(tbl_Finance[Latest Invoice Date],MATCH($X360,tbl_Finance[Row ID],0))),""))</f>
        <v/>
      </c>
      <c r="B360" s="10">
        <f>IF($C360="","",IFERROR(INDEX(tbl_Finance[Invoice Numbers],MATCH($X360,tbl_Finance[Row ID],0))&amp;"",""))</f>
        <v/>
      </c>
      <c r="C360" s="37" t="n"/>
      <c r="D360" s="10">
        <f>IF($C360="","",IF(COUNTIF(lst_Jobs,$C360&amp;"")&gt;0,"OK","CHECK"))</f>
        <v/>
      </c>
      <c r="E360" s="10">
        <f>IF($C360="","",IFERROR(INDEX(lst_JobName,MATCH($C360&amp;"",lst_Jobs,0)),""))</f>
        <v/>
      </c>
      <c r="F360" s="37" t="n"/>
      <c r="G360" s="37" t="n"/>
      <c r="H360" s="37" t="n"/>
      <c r="I360" s="37" t="n"/>
      <c r="J360" s="37" t="n"/>
      <c r="K360" s="38">
        <f>IF($C360="","",IFERROR(N(INDEX(tbl_Finance[Invoice Count],MATCH($X360,tbl_Finance[Row ID],0))),""))</f>
        <v/>
      </c>
      <c r="L360" s="11">
        <f>IF($C360="","",IFERROR(N(INDEX(tbl_Finance[Xero Invoiced Ex GST],MATCH($X360,tbl_Finance[Row ID],0))),""))</f>
        <v/>
      </c>
      <c r="M360" s="10">
        <f>IF($C360="","",IFERROR(INDEX(tbl_Finance[Compare],MATCH($X360,tbl_Finance[Row ID],0))&amp;"",""))</f>
        <v/>
      </c>
      <c r="N360" s="11">
        <f>IF($C360="","",MAX(0,N(O360)-N(L360)))</f>
        <v/>
      </c>
      <c r="O360" s="39" t="n"/>
      <c r="P360" s="40">
        <f>IF($C360="","",IF((IF(F360="",", Client","")&amp;IF(G360="",", Description","")&amp;IF(H360="",", Cost Centre","")&amp;IF(I360="",", Invoice Type","")&amp;IF(J360="",", Tax Code","")&amp;IF(O360="",", Expected Revenue","")&amp;IF(COUNTIF(tbl_Finance[Job Number],$C360&amp;"")&gt;1,", Job number used twice",""))="","Complete","Fix: "&amp;MID(IF(F360="",", Client","")&amp;IF(G360="",", Description","")&amp;IF(H360="",", Cost Centre","")&amp;IF(I360="",", Invoice Type","")&amp;IF(J360="",", Tax Code","")&amp;IF(O360="",", Expected Revenue","")&amp;IF(COUNTIF(tbl_Finance[Job Number],$C360&amp;"")&gt;1,", Job number used twice",""),3,300)))</f>
        <v/>
      </c>
      <c r="Q360" s="10">
        <f>IF($C360="","",IF(H360="","(no cost centre)",H360&amp;" - GL "&amp;IFERROR(INDEX(lst_CCtoGL,MATCH(H360,lst_CCforGL,0)),"?")))</f>
        <v/>
      </c>
      <c r="R360" s="37" t="n"/>
      <c r="S360" s="37" t="n"/>
      <c r="T360" s="10">
        <f>IF(S360="","",HYPERLINK(IF(LEFT(S360,4)="http",S360,set_QwilrBase&amp;S360),"Open quote"))</f>
        <v/>
      </c>
      <c r="U360" s="41" t="n"/>
      <c r="V360" s="37" t="n"/>
      <c r="W360" s="37" t="n"/>
      <c r="X360" s="10" t="inlineStr">
        <is>
          <t>ONS-0356</t>
        </is>
      </c>
    </row>
    <row r="361">
      <c r="A361" s="16">
        <f>IF($C361="","",IFERROR(IF(INDEX(tbl_Finance[Latest Invoice Date],MATCH($X361,tbl_Finance[Row ID],0))="","",INDEX(tbl_Finance[Latest Invoice Date],MATCH($X361,tbl_Finance[Row ID],0))),""))</f>
        <v/>
      </c>
      <c r="B361" s="10">
        <f>IF($C361="","",IFERROR(INDEX(tbl_Finance[Invoice Numbers],MATCH($X361,tbl_Finance[Row ID],0))&amp;"",""))</f>
        <v/>
      </c>
      <c r="C361" s="37" t="n"/>
      <c r="D361" s="10">
        <f>IF($C361="","",IF(COUNTIF(lst_Jobs,$C361&amp;"")&gt;0,"OK","CHECK"))</f>
        <v/>
      </c>
      <c r="E361" s="10">
        <f>IF($C361="","",IFERROR(INDEX(lst_JobName,MATCH($C361&amp;"",lst_Jobs,0)),""))</f>
        <v/>
      </c>
      <c r="F361" s="37" t="n"/>
      <c r="G361" s="37" t="n"/>
      <c r="H361" s="37" t="n"/>
      <c r="I361" s="37" t="n"/>
      <c r="J361" s="37" t="n"/>
      <c r="K361" s="38">
        <f>IF($C361="","",IFERROR(N(INDEX(tbl_Finance[Invoice Count],MATCH($X361,tbl_Finance[Row ID],0))),""))</f>
        <v/>
      </c>
      <c r="L361" s="11">
        <f>IF($C361="","",IFERROR(N(INDEX(tbl_Finance[Xero Invoiced Ex GST],MATCH($X361,tbl_Finance[Row ID],0))),""))</f>
        <v/>
      </c>
      <c r="M361" s="10">
        <f>IF($C361="","",IFERROR(INDEX(tbl_Finance[Compare],MATCH($X361,tbl_Finance[Row ID],0))&amp;"",""))</f>
        <v/>
      </c>
      <c r="N361" s="11">
        <f>IF($C361="","",MAX(0,N(O361)-N(L361)))</f>
        <v/>
      </c>
      <c r="O361" s="39" t="n"/>
      <c r="P361" s="40">
        <f>IF($C361="","",IF((IF(F361="",", Client","")&amp;IF(G361="",", Description","")&amp;IF(H361="",", Cost Centre","")&amp;IF(I361="",", Invoice Type","")&amp;IF(J361="",", Tax Code","")&amp;IF(O361="",", Expected Revenue","")&amp;IF(COUNTIF(tbl_Finance[Job Number],$C361&amp;"")&gt;1,", Job number used twice",""))="","Complete","Fix: "&amp;MID(IF(F361="",", Client","")&amp;IF(G361="",", Description","")&amp;IF(H361="",", Cost Centre","")&amp;IF(I361="",", Invoice Type","")&amp;IF(J361="",", Tax Code","")&amp;IF(O361="",", Expected Revenue","")&amp;IF(COUNTIF(tbl_Finance[Job Number],$C361&amp;"")&gt;1,", Job number used twice",""),3,300)))</f>
        <v/>
      </c>
      <c r="Q361" s="10">
        <f>IF($C361="","",IF(H361="","(no cost centre)",H361&amp;" - GL "&amp;IFERROR(INDEX(lst_CCtoGL,MATCH(H361,lst_CCforGL,0)),"?")))</f>
        <v/>
      </c>
      <c r="R361" s="37" t="n"/>
      <c r="S361" s="37" t="n"/>
      <c r="T361" s="10">
        <f>IF(S361="","",HYPERLINK(IF(LEFT(S361,4)="http",S361,set_QwilrBase&amp;S361),"Open quote"))</f>
        <v/>
      </c>
      <c r="U361" s="41" t="n"/>
      <c r="V361" s="37" t="n"/>
      <c r="W361" s="37" t="n"/>
      <c r="X361" s="10" t="inlineStr">
        <is>
          <t>ONS-0357</t>
        </is>
      </c>
    </row>
    <row r="362">
      <c r="A362" s="16">
        <f>IF($C362="","",IFERROR(IF(INDEX(tbl_Finance[Latest Invoice Date],MATCH($X362,tbl_Finance[Row ID],0))="","",INDEX(tbl_Finance[Latest Invoice Date],MATCH($X362,tbl_Finance[Row ID],0))),""))</f>
        <v/>
      </c>
      <c r="B362" s="10">
        <f>IF($C362="","",IFERROR(INDEX(tbl_Finance[Invoice Numbers],MATCH($X362,tbl_Finance[Row ID],0))&amp;"",""))</f>
        <v/>
      </c>
      <c r="C362" s="37" t="n"/>
      <c r="D362" s="10">
        <f>IF($C362="","",IF(COUNTIF(lst_Jobs,$C362&amp;"")&gt;0,"OK","CHECK"))</f>
        <v/>
      </c>
      <c r="E362" s="10">
        <f>IF($C362="","",IFERROR(INDEX(lst_JobName,MATCH($C362&amp;"",lst_Jobs,0)),""))</f>
        <v/>
      </c>
      <c r="F362" s="37" t="n"/>
      <c r="G362" s="37" t="n"/>
      <c r="H362" s="37" t="n"/>
      <c r="I362" s="37" t="n"/>
      <c r="J362" s="37" t="n"/>
      <c r="K362" s="38">
        <f>IF($C362="","",IFERROR(N(INDEX(tbl_Finance[Invoice Count],MATCH($X362,tbl_Finance[Row ID],0))),""))</f>
        <v/>
      </c>
      <c r="L362" s="11">
        <f>IF($C362="","",IFERROR(N(INDEX(tbl_Finance[Xero Invoiced Ex GST],MATCH($X362,tbl_Finance[Row ID],0))),""))</f>
        <v/>
      </c>
      <c r="M362" s="10">
        <f>IF($C362="","",IFERROR(INDEX(tbl_Finance[Compare],MATCH($X362,tbl_Finance[Row ID],0))&amp;"",""))</f>
        <v/>
      </c>
      <c r="N362" s="11">
        <f>IF($C362="","",MAX(0,N(O362)-N(L362)))</f>
        <v/>
      </c>
      <c r="O362" s="39" t="n"/>
      <c r="P362" s="40">
        <f>IF($C362="","",IF((IF(F362="",", Client","")&amp;IF(G362="",", Description","")&amp;IF(H362="",", Cost Centre","")&amp;IF(I362="",", Invoice Type","")&amp;IF(J362="",", Tax Code","")&amp;IF(O362="",", Expected Revenue","")&amp;IF(COUNTIF(tbl_Finance[Job Number],$C362&amp;"")&gt;1,", Job number used twice",""))="","Complete","Fix: "&amp;MID(IF(F362="",", Client","")&amp;IF(G362="",", Description","")&amp;IF(H362="",", Cost Centre","")&amp;IF(I362="",", Invoice Type","")&amp;IF(J362="",", Tax Code","")&amp;IF(O362="",", Expected Revenue","")&amp;IF(COUNTIF(tbl_Finance[Job Number],$C362&amp;"")&gt;1,", Job number used twice",""),3,300)))</f>
        <v/>
      </c>
      <c r="Q362" s="10">
        <f>IF($C362="","",IF(H362="","(no cost centre)",H362&amp;" - GL "&amp;IFERROR(INDEX(lst_CCtoGL,MATCH(H362,lst_CCforGL,0)),"?")))</f>
        <v/>
      </c>
      <c r="R362" s="37" t="n"/>
      <c r="S362" s="37" t="n"/>
      <c r="T362" s="10">
        <f>IF(S362="","",HYPERLINK(IF(LEFT(S362,4)="http",S362,set_QwilrBase&amp;S362),"Open quote"))</f>
        <v/>
      </c>
      <c r="U362" s="41" t="n"/>
      <c r="V362" s="37" t="n"/>
      <c r="W362" s="37" t="n"/>
      <c r="X362" s="10" t="inlineStr">
        <is>
          <t>ONS-0358</t>
        </is>
      </c>
    </row>
    <row r="363">
      <c r="A363" s="16">
        <f>IF($C363="","",IFERROR(IF(INDEX(tbl_Finance[Latest Invoice Date],MATCH($X363,tbl_Finance[Row ID],0))="","",INDEX(tbl_Finance[Latest Invoice Date],MATCH($X363,tbl_Finance[Row ID],0))),""))</f>
        <v/>
      </c>
      <c r="B363" s="10">
        <f>IF($C363="","",IFERROR(INDEX(tbl_Finance[Invoice Numbers],MATCH($X363,tbl_Finance[Row ID],0))&amp;"",""))</f>
        <v/>
      </c>
      <c r="C363" s="37" t="n"/>
      <c r="D363" s="10">
        <f>IF($C363="","",IF(COUNTIF(lst_Jobs,$C363&amp;"")&gt;0,"OK","CHECK"))</f>
        <v/>
      </c>
      <c r="E363" s="10">
        <f>IF($C363="","",IFERROR(INDEX(lst_JobName,MATCH($C363&amp;"",lst_Jobs,0)),""))</f>
        <v/>
      </c>
      <c r="F363" s="37" t="n"/>
      <c r="G363" s="37" t="n"/>
      <c r="H363" s="37" t="n"/>
      <c r="I363" s="37" t="n"/>
      <c r="J363" s="37" t="n"/>
      <c r="K363" s="38">
        <f>IF($C363="","",IFERROR(N(INDEX(tbl_Finance[Invoice Count],MATCH($X363,tbl_Finance[Row ID],0))),""))</f>
        <v/>
      </c>
      <c r="L363" s="11">
        <f>IF($C363="","",IFERROR(N(INDEX(tbl_Finance[Xero Invoiced Ex GST],MATCH($X363,tbl_Finance[Row ID],0))),""))</f>
        <v/>
      </c>
      <c r="M363" s="10">
        <f>IF($C363="","",IFERROR(INDEX(tbl_Finance[Compare],MATCH($X363,tbl_Finance[Row ID],0))&amp;"",""))</f>
        <v/>
      </c>
      <c r="N363" s="11">
        <f>IF($C363="","",MAX(0,N(O363)-N(L363)))</f>
        <v/>
      </c>
      <c r="O363" s="39" t="n"/>
      <c r="P363" s="40">
        <f>IF($C363="","",IF((IF(F363="",", Client","")&amp;IF(G363="",", Description","")&amp;IF(H363="",", Cost Centre","")&amp;IF(I363="",", Invoice Type","")&amp;IF(J363="",", Tax Code","")&amp;IF(O363="",", Expected Revenue","")&amp;IF(COUNTIF(tbl_Finance[Job Number],$C363&amp;"")&gt;1,", Job number used twice",""))="","Complete","Fix: "&amp;MID(IF(F363="",", Client","")&amp;IF(G363="",", Description","")&amp;IF(H363="",", Cost Centre","")&amp;IF(I363="",", Invoice Type","")&amp;IF(J363="",", Tax Code","")&amp;IF(O363="",", Expected Revenue","")&amp;IF(COUNTIF(tbl_Finance[Job Number],$C363&amp;"")&gt;1,", Job number used twice",""),3,300)))</f>
        <v/>
      </c>
      <c r="Q363" s="10">
        <f>IF($C363="","",IF(H363="","(no cost centre)",H363&amp;" - GL "&amp;IFERROR(INDEX(lst_CCtoGL,MATCH(H363,lst_CCforGL,0)),"?")))</f>
        <v/>
      </c>
      <c r="R363" s="37" t="n"/>
      <c r="S363" s="37" t="n"/>
      <c r="T363" s="10">
        <f>IF(S363="","",HYPERLINK(IF(LEFT(S363,4)="http",S363,set_QwilrBase&amp;S363),"Open quote"))</f>
        <v/>
      </c>
      <c r="U363" s="41" t="n"/>
      <c r="V363" s="37" t="n"/>
      <c r="W363" s="37" t="n"/>
      <c r="X363" s="10" t="inlineStr">
        <is>
          <t>ONS-0359</t>
        </is>
      </c>
    </row>
    <row r="364">
      <c r="A364" s="16">
        <f>IF($C364="","",IFERROR(IF(INDEX(tbl_Finance[Latest Invoice Date],MATCH($X364,tbl_Finance[Row ID],0))="","",INDEX(tbl_Finance[Latest Invoice Date],MATCH($X364,tbl_Finance[Row ID],0))),""))</f>
        <v/>
      </c>
      <c r="B364" s="10">
        <f>IF($C364="","",IFERROR(INDEX(tbl_Finance[Invoice Numbers],MATCH($X364,tbl_Finance[Row ID],0))&amp;"",""))</f>
        <v/>
      </c>
      <c r="C364" s="37" t="n"/>
      <c r="D364" s="10">
        <f>IF($C364="","",IF(COUNTIF(lst_Jobs,$C364&amp;"")&gt;0,"OK","CHECK"))</f>
        <v/>
      </c>
      <c r="E364" s="10">
        <f>IF($C364="","",IFERROR(INDEX(lst_JobName,MATCH($C364&amp;"",lst_Jobs,0)),""))</f>
        <v/>
      </c>
      <c r="F364" s="37" t="n"/>
      <c r="G364" s="37" t="n"/>
      <c r="H364" s="37" t="n"/>
      <c r="I364" s="37" t="n"/>
      <c r="J364" s="37" t="n"/>
      <c r="K364" s="38">
        <f>IF($C364="","",IFERROR(N(INDEX(tbl_Finance[Invoice Count],MATCH($X364,tbl_Finance[Row ID],0))),""))</f>
        <v/>
      </c>
      <c r="L364" s="11">
        <f>IF($C364="","",IFERROR(N(INDEX(tbl_Finance[Xero Invoiced Ex GST],MATCH($X364,tbl_Finance[Row ID],0))),""))</f>
        <v/>
      </c>
      <c r="M364" s="10">
        <f>IF($C364="","",IFERROR(INDEX(tbl_Finance[Compare],MATCH($X364,tbl_Finance[Row ID],0))&amp;"",""))</f>
        <v/>
      </c>
      <c r="N364" s="11">
        <f>IF($C364="","",MAX(0,N(O364)-N(L364)))</f>
        <v/>
      </c>
      <c r="O364" s="39" t="n"/>
      <c r="P364" s="40">
        <f>IF($C364="","",IF((IF(F364="",", Client","")&amp;IF(G364="",", Description","")&amp;IF(H364="",", Cost Centre","")&amp;IF(I364="",", Invoice Type","")&amp;IF(J364="",", Tax Code","")&amp;IF(O364="",", Expected Revenue","")&amp;IF(COUNTIF(tbl_Finance[Job Number],$C364&amp;"")&gt;1,", Job number used twice",""))="","Complete","Fix: "&amp;MID(IF(F364="",", Client","")&amp;IF(G364="",", Description","")&amp;IF(H364="",", Cost Centre","")&amp;IF(I364="",", Invoice Type","")&amp;IF(J364="",", Tax Code","")&amp;IF(O364="",", Expected Revenue","")&amp;IF(COUNTIF(tbl_Finance[Job Number],$C364&amp;"")&gt;1,", Job number used twice",""),3,300)))</f>
        <v/>
      </c>
      <c r="Q364" s="10">
        <f>IF($C364="","",IF(H364="","(no cost centre)",H364&amp;" - GL "&amp;IFERROR(INDEX(lst_CCtoGL,MATCH(H364,lst_CCforGL,0)),"?")))</f>
        <v/>
      </c>
      <c r="R364" s="37" t="n"/>
      <c r="S364" s="37" t="n"/>
      <c r="T364" s="10">
        <f>IF(S364="","",HYPERLINK(IF(LEFT(S364,4)="http",S364,set_QwilrBase&amp;S364),"Open quote"))</f>
        <v/>
      </c>
      <c r="U364" s="41" t="n"/>
      <c r="V364" s="37" t="n"/>
      <c r="W364" s="37" t="n"/>
      <c r="X364" s="10" t="inlineStr">
        <is>
          <t>ONS-0360</t>
        </is>
      </c>
    </row>
    <row r="365">
      <c r="A365" s="16">
        <f>IF($C365="","",IFERROR(IF(INDEX(tbl_Finance[Latest Invoice Date],MATCH($X365,tbl_Finance[Row ID],0))="","",INDEX(tbl_Finance[Latest Invoice Date],MATCH($X365,tbl_Finance[Row ID],0))),""))</f>
        <v/>
      </c>
      <c r="B365" s="10">
        <f>IF($C365="","",IFERROR(INDEX(tbl_Finance[Invoice Numbers],MATCH($X365,tbl_Finance[Row ID],0))&amp;"",""))</f>
        <v/>
      </c>
      <c r="C365" s="37" t="n"/>
      <c r="D365" s="10">
        <f>IF($C365="","",IF(COUNTIF(lst_Jobs,$C365&amp;"")&gt;0,"OK","CHECK"))</f>
        <v/>
      </c>
      <c r="E365" s="10">
        <f>IF($C365="","",IFERROR(INDEX(lst_JobName,MATCH($C365&amp;"",lst_Jobs,0)),""))</f>
        <v/>
      </c>
      <c r="F365" s="37" t="n"/>
      <c r="G365" s="37" t="n"/>
      <c r="H365" s="37" t="n"/>
      <c r="I365" s="37" t="n"/>
      <c r="J365" s="37" t="n"/>
      <c r="K365" s="38">
        <f>IF($C365="","",IFERROR(N(INDEX(tbl_Finance[Invoice Count],MATCH($X365,tbl_Finance[Row ID],0))),""))</f>
        <v/>
      </c>
      <c r="L365" s="11">
        <f>IF($C365="","",IFERROR(N(INDEX(tbl_Finance[Xero Invoiced Ex GST],MATCH($X365,tbl_Finance[Row ID],0))),""))</f>
        <v/>
      </c>
      <c r="M365" s="10">
        <f>IF($C365="","",IFERROR(INDEX(tbl_Finance[Compare],MATCH($X365,tbl_Finance[Row ID],0))&amp;"",""))</f>
        <v/>
      </c>
      <c r="N365" s="11">
        <f>IF($C365="","",MAX(0,N(O365)-N(L365)))</f>
        <v/>
      </c>
      <c r="O365" s="39" t="n"/>
      <c r="P365" s="40">
        <f>IF($C365="","",IF((IF(F365="",", Client","")&amp;IF(G365="",", Description","")&amp;IF(H365="",", Cost Centre","")&amp;IF(I365="",", Invoice Type","")&amp;IF(J365="",", Tax Code","")&amp;IF(O365="",", Expected Revenue","")&amp;IF(COUNTIF(tbl_Finance[Job Number],$C365&amp;"")&gt;1,", Job number used twice",""))="","Complete","Fix: "&amp;MID(IF(F365="",", Client","")&amp;IF(G365="",", Description","")&amp;IF(H365="",", Cost Centre","")&amp;IF(I365="",", Invoice Type","")&amp;IF(J365="",", Tax Code","")&amp;IF(O365="",", Expected Revenue","")&amp;IF(COUNTIF(tbl_Finance[Job Number],$C365&amp;"")&gt;1,", Job number used twice",""),3,300)))</f>
        <v/>
      </c>
      <c r="Q365" s="10">
        <f>IF($C365="","",IF(H365="","(no cost centre)",H365&amp;" - GL "&amp;IFERROR(INDEX(lst_CCtoGL,MATCH(H365,lst_CCforGL,0)),"?")))</f>
        <v/>
      </c>
      <c r="R365" s="37" t="n"/>
      <c r="S365" s="37" t="n"/>
      <c r="T365" s="10">
        <f>IF(S365="","",HYPERLINK(IF(LEFT(S365,4)="http",S365,set_QwilrBase&amp;S365),"Open quote"))</f>
        <v/>
      </c>
      <c r="U365" s="41" t="n"/>
      <c r="V365" s="37" t="n"/>
      <c r="W365" s="37" t="n"/>
      <c r="X365" s="10" t="inlineStr">
        <is>
          <t>ONS-0361</t>
        </is>
      </c>
    </row>
    <row r="366">
      <c r="A366" s="16">
        <f>IF($C366="","",IFERROR(IF(INDEX(tbl_Finance[Latest Invoice Date],MATCH($X366,tbl_Finance[Row ID],0))="","",INDEX(tbl_Finance[Latest Invoice Date],MATCH($X366,tbl_Finance[Row ID],0))),""))</f>
        <v/>
      </c>
      <c r="B366" s="10">
        <f>IF($C366="","",IFERROR(INDEX(tbl_Finance[Invoice Numbers],MATCH($X366,tbl_Finance[Row ID],0))&amp;"",""))</f>
        <v/>
      </c>
      <c r="C366" s="37" t="n"/>
      <c r="D366" s="10">
        <f>IF($C366="","",IF(COUNTIF(lst_Jobs,$C366&amp;"")&gt;0,"OK","CHECK"))</f>
        <v/>
      </c>
      <c r="E366" s="10">
        <f>IF($C366="","",IFERROR(INDEX(lst_JobName,MATCH($C366&amp;"",lst_Jobs,0)),""))</f>
        <v/>
      </c>
      <c r="F366" s="37" t="n"/>
      <c r="G366" s="37" t="n"/>
      <c r="H366" s="37" t="n"/>
      <c r="I366" s="37" t="n"/>
      <c r="J366" s="37" t="n"/>
      <c r="K366" s="38">
        <f>IF($C366="","",IFERROR(N(INDEX(tbl_Finance[Invoice Count],MATCH($X366,tbl_Finance[Row ID],0))),""))</f>
        <v/>
      </c>
      <c r="L366" s="11">
        <f>IF($C366="","",IFERROR(N(INDEX(tbl_Finance[Xero Invoiced Ex GST],MATCH($X366,tbl_Finance[Row ID],0))),""))</f>
        <v/>
      </c>
      <c r="M366" s="10">
        <f>IF($C366="","",IFERROR(INDEX(tbl_Finance[Compare],MATCH($X366,tbl_Finance[Row ID],0))&amp;"",""))</f>
        <v/>
      </c>
      <c r="N366" s="11">
        <f>IF($C366="","",MAX(0,N(O366)-N(L366)))</f>
        <v/>
      </c>
      <c r="O366" s="39" t="n"/>
      <c r="P366" s="40">
        <f>IF($C366="","",IF((IF(F366="",", Client","")&amp;IF(G366="",", Description","")&amp;IF(H366="",", Cost Centre","")&amp;IF(I366="",", Invoice Type","")&amp;IF(J366="",", Tax Code","")&amp;IF(O366="",", Expected Revenue","")&amp;IF(COUNTIF(tbl_Finance[Job Number],$C366&amp;"")&gt;1,", Job number used twice",""))="","Complete","Fix: "&amp;MID(IF(F366="",", Client","")&amp;IF(G366="",", Description","")&amp;IF(H366="",", Cost Centre","")&amp;IF(I366="",", Invoice Type","")&amp;IF(J366="",", Tax Code","")&amp;IF(O366="",", Expected Revenue","")&amp;IF(COUNTIF(tbl_Finance[Job Number],$C366&amp;"")&gt;1,", Job number used twice",""),3,300)))</f>
        <v/>
      </c>
      <c r="Q366" s="10">
        <f>IF($C366="","",IF(H366="","(no cost centre)",H366&amp;" - GL "&amp;IFERROR(INDEX(lst_CCtoGL,MATCH(H366,lst_CCforGL,0)),"?")))</f>
        <v/>
      </c>
      <c r="R366" s="37" t="n"/>
      <c r="S366" s="37" t="n"/>
      <c r="T366" s="10">
        <f>IF(S366="","",HYPERLINK(IF(LEFT(S366,4)="http",S366,set_QwilrBase&amp;S366),"Open quote"))</f>
        <v/>
      </c>
      <c r="U366" s="41" t="n"/>
      <c r="V366" s="37" t="n"/>
      <c r="W366" s="37" t="n"/>
      <c r="X366" s="10" t="inlineStr">
        <is>
          <t>ONS-0362</t>
        </is>
      </c>
    </row>
    <row r="367">
      <c r="A367" s="16">
        <f>IF($C367="","",IFERROR(IF(INDEX(tbl_Finance[Latest Invoice Date],MATCH($X367,tbl_Finance[Row ID],0))="","",INDEX(tbl_Finance[Latest Invoice Date],MATCH($X367,tbl_Finance[Row ID],0))),""))</f>
        <v/>
      </c>
      <c r="B367" s="10">
        <f>IF($C367="","",IFERROR(INDEX(tbl_Finance[Invoice Numbers],MATCH($X367,tbl_Finance[Row ID],0))&amp;"",""))</f>
        <v/>
      </c>
      <c r="C367" s="37" t="n"/>
      <c r="D367" s="10">
        <f>IF($C367="","",IF(COUNTIF(lst_Jobs,$C367&amp;"")&gt;0,"OK","CHECK"))</f>
        <v/>
      </c>
      <c r="E367" s="10">
        <f>IF($C367="","",IFERROR(INDEX(lst_JobName,MATCH($C367&amp;"",lst_Jobs,0)),""))</f>
        <v/>
      </c>
      <c r="F367" s="37" t="n"/>
      <c r="G367" s="37" t="n"/>
      <c r="H367" s="37" t="n"/>
      <c r="I367" s="37" t="n"/>
      <c r="J367" s="37" t="n"/>
      <c r="K367" s="38">
        <f>IF($C367="","",IFERROR(N(INDEX(tbl_Finance[Invoice Count],MATCH($X367,tbl_Finance[Row ID],0))),""))</f>
        <v/>
      </c>
      <c r="L367" s="11">
        <f>IF($C367="","",IFERROR(N(INDEX(tbl_Finance[Xero Invoiced Ex GST],MATCH($X367,tbl_Finance[Row ID],0))),""))</f>
        <v/>
      </c>
      <c r="M367" s="10">
        <f>IF($C367="","",IFERROR(INDEX(tbl_Finance[Compare],MATCH($X367,tbl_Finance[Row ID],0))&amp;"",""))</f>
        <v/>
      </c>
      <c r="N367" s="11">
        <f>IF($C367="","",MAX(0,N(O367)-N(L367)))</f>
        <v/>
      </c>
      <c r="O367" s="39" t="n"/>
      <c r="P367" s="40">
        <f>IF($C367="","",IF((IF(F367="",", Client","")&amp;IF(G367="",", Description","")&amp;IF(H367="",", Cost Centre","")&amp;IF(I367="",", Invoice Type","")&amp;IF(J367="",", Tax Code","")&amp;IF(O367="",", Expected Revenue","")&amp;IF(COUNTIF(tbl_Finance[Job Number],$C367&amp;"")&gt;1,", Job number used twice",""))="","Complete","Fix: "&amp;MID(IF(F367="",", Client","")&amp;IF(G367="",", Description","")&amp;IF(H367="",", Cost Centre","")&amp;IF(I367="",", Invoice Type","")&amp;IF(J367="",", Tax Code","")&amp;IF(O367="",", Expected Revenue","")&amp;IF(COUNTIF(tbl_Finance[Job Number],$C367&amp;"")&gt;1,", Job number used twice",""),3,300)))</f>
        <v/>
      </c>
      <c r="Q367" s="10">
        <f>IF($C367="","",IF(H367="","(no cost centre)",H367&amp;" - GL "&amp;IFERROR(INDEX(lst_CCtoGL,MATCH(H367,lst_CCforGL,0)),"?")))</f>
        <v/>
      </c>
      <c r="R367" s="37" t="n"/>
      <c r="S367" s="37" t="n"/>
      <c r="T367" s="10">
        <f>IF(S367="","",HYPERLINK(IF(LEFT(S367,4)="http",S367,set_QwilrBase&amp;S367),"Open quote"))</f>
        <v/>
      </c>
      <c r="U367" s="41" t="n"/>
      <c r="V367" s="37" t="n"/>
      <c r="W367" s="37" t="n"/>
      <c r="X367" s="10" t="inlineStr">
        <is>
          <t>ONS-0363</t>
        </is>
      </c>
    </row>
    <row r="368">
      <c r="A368" s="16">
        <f>IF($C368="","",IFERROR(IF(INDEX(tbl_Finance[Latest Invoice Date],MATCH($X368,tbl_Finance[Row ID],0))="","",INDEX(tbl_Finance[Latest Invoice Date],MATCH($X368,tbl_Finance[Row ID],0))),""))</f>
        <v/>
      </c>
      <c r="B368" s="10">
        <f>IF($C368="","",IFERROR(INDEX(tbl_Finance[Invoice Numbers],MATCH($X368,tbl_Finance[Row ID],0))&amp;"",""))</f>
        <v/>
      </c>
      <c r="C368" s="37" t="n"/>
      <c r="D368" s="10">
        <f>IF($C368="","",IF(COUNTIF(lst_Jobs,$C368&amp;"")&gt;0,"OK","CHECK"))</f>
        <v/>
      </c>
      <c r="E368" s="10">
        <f>IF($C368="","",IFERROR(INDEX(lst_JobName,MATCH($C368&amp;"",lst_Jobs,0)),""))</f>
        <v/>
      </c>
      <c r="F368" s="37" t="n"/>
      <c r="G368" s="37" t="n"/>
      <c r="H368" s="37" t="n"/>
      <c r="I368" s="37" t="n"/>
      <c r="J368" s="37" t="n"/>
      <c r="K368" s="38">
        <f>IF($C368="","",IFERROR(N(INDEX(tbl_Finance[Invoice Count],MATCH($X368,tbl_Finance[Row ID],0))),""))</f>
        <v/>
      </c>
      <c r="L368" s="11">
        <f>IF($C368="","",IFERROR(N(INDEX(tbl_Finance[Xero Invoiced Ex GST],MATCH($X368,tbl_Finance[Row ID],0))),""))</f>
        <v/>
      </c>
      <c r="M368" s="10">
        <f>IF($C368="","",IFERROR(INDEX(tbl_Finance[Compare],MATCH($X368,tbl_Finance[Row ID],0))&amp;"",""))</f>
        <v/>
      </c>
      <c r="N368" s="11">
        <f>IF($C368="","",MAX(0,N(O368)-N(L368)))</f>
        <v/>
      </c>
      <c r="O368" s="39" t="n"/>
      <c r="P368" s="40">
        <f>IF($C368="","",IF((IF(F368="",", Client","")&amp;IF(G368="",", Description","")&amp;IF(H368="",", Cost Centre","")&amp;IF(I368="",", Invoice Type","")&amp;IF(J368="",", Tax Code","")&amp;IF(O368="",", Expected Revenue","")&amp;IF(COUNTIF(tbl_Finance[Job Number],$C368&amp;"")&gt;1,", Job number used twice",""))="","Complete","Fix: "&amp;MID(IF(F368="",", Client","")&amp;IF(G368="",", Description","")&amp;IF(H368="",", Cost Centre","")&amp;IF(I368="",", Invoice Type","")&amp;IF(J368="",", Tax Code","")&amp;IF(O368="",", Expected Revenue","")&amp;IF(COUNTIF(tbl_Finance[Job Number],$C368&amp;"")&gt;1,", Job number used twice",""),3,300)))</f>
        <v/>
      </c>
      <c r="Q368" s="10">
        <f>IF($C368="","",IF(H368="","(no cost centre)",H368&amp;" - GL "&amp;IFERROR(INDEX(lst_CCtoGL,MATCH(H368,lst_CCforGL,0)),"?")))</f>
        <v/>
      </c>
      <c r="R368" s="37" t="n"/>
      <c r="S368" s="37" t="n"/>
      <c r="T368" s="10">
        <f>IF(S368="","",HYPERLINK(IF(LEFT(S368,4)="http",S368,set_QwilrBase&amp;S368),"Open quote"))</f>
        <v/>
      </c>
      <c r="U368" s="41" t="n"/>
      <c r="V368" s="37" t="n"/>
      <c r="W368" s="37" t="n"/>
      <c r="X368" s="10" t="inlineStr">
        <is>
          <t>ONS-0364</t>
        </is>
      </c>
    </row>
    <row r="369">
      <c r="A369" s="16">
        <f>IF($C369="","",IFERROR(IF(INDEX(tbl_Finance[Latest Invoice Date],MATCH($X369,tbl_Finance[Row ID],0))="","",INDEX(tbl_Finance[Latest Invoice Date],MATCH($X369,tbl_Finance[Row ID],0))),""))</f>
        <v/>
      </c>
      <c r="B369" s="10">
        <f>IF($C369="","",IFERROR(INDEX(tbl_Finance[Invoice Numbers],MATCH($X369,tbl_Finance[Row ID],0))&amp;"",""))</f>
        <v/>
      </c>
      <c r="C369" s="37" t="n"/>
      <c r="D369" s="10">
        <f>IF($C369="","",IF(COUNTIF(lst_Jobs,$C369&amp;"")&gt;0,"OK","CHECK"))</f>
        <v/>
      </c>
      <c r="E369" s="10">
        <f>IF($C369="","",IFERROR(INDEX(lst_JobName,MATCH($C369&amp;"",lst_Jobs,0)),""))</f>
        <v/>
      </c>
      <c r="F369" s="37" t="n"/>
      <c r="G369" s="37" t="n"/>
      <c r="H369" s="37" t="n"/>
      <c r="I369" s="37" t="n"/>
      <c r="J369" s="37" t="n"/>
      <c r="K369" s="38">
        <f>IF($C369="","",IFERROR(N(INDEX(tbl_Finance[Invoice Count],MATCH($X369,tbl_Finance[Row ID],0))),""))</f>
        <v/>
      </c>
      <c r="L369" s="11">
        <f>IF($C369="","",IFERROR(N(INDEX(tbl_Finance[Xero Invoiced Ex GST],MATCH($X369,tbl_Finance[Row ID],0))),""))</f>
        <v/>
      </c>
      <c r="M369" s="10">
        <f>IF($C369="","",IFERROR(INDEX(tbl_Finance[Compare],MATCH($X369,tbl_Finance[Row ID],0))&amp;"",""))</f>
        <v/>
      </c>
      <c r="N369" s="11">
        <f>IF($C369="","",MAX(0,N(O369)-N(L369)))</f>
        <v/>
      </c>
      <c r="O369" s="39" t="n"/>
      <c r="P369" s="40">
        <f>IF($C369="","",IF((IF(F369="",", Client","")&amp;IF(G369="",", Description","")&amp;IF(H369="",", Cost Centre","")&amp;IF(I369="",", Invoice Type","")&amp;IF(J369="",", Tax Code","")&amp;IF(O369="",", Expected Revenue","")&amp;IF(COUNTIF(tbl_Finance[Job Number],$C369&amp;"")&gt;1,", Job number used twice",""))="","Complete","Fix: "&amp;MID(IF(F369="",", Client","")&amp;IF(G369="",", Description","")&amp;IF(H369="",", Cost Centre","")&amp;IF(I369="",", Invoice Type","")&amp;IF(J369="",", Tax Code","")&amp;IF(O369="",", Expected Revenue","")&amp;IF(COUNTIF(tbl_Finance[Job Number],$C369&amp;"")&gt;1,", Job number used twice",""),3,300)))</f>
        <v/>
      </c>
      <c r="Q369" s="10">
        <f>IF($C369="","",IF(H369="","(no cost centre)",H369&amp;" - GL "&amp;IFERROR(INDEX(lst_CCtoGL,MATCH(H369,lst_CCforGL,0)),"?")))</f>
        <v/>
      </c>
      <c r="R369" s="37" t="n"/>
      <c r="S369" s="37" t="n"/>
      <c r="T369" s="10">
        <f>IF(S369="","",HYPERLINK(IF(LEFT(S369,4)="http",S369,set_QwilrBase&amp;S369),"Open quote"))</f>
        <v/>
      </c>
      <c r="U369" s="41" t="n"/>
      <c r="V369" s="37" t="n"/>
      <c r="W369" s="37" t="n"/>
      <c r="X369" s="10" t="inlineStr">
        <is>
          <t>ONS-0365</t>
        </is>
      </c>
    </row>
    <row r="370">
      <c r="A370" s="16">
        <f>IF($C370="","",IFERROR(IF(INDEX(tbl_Finance[Latest Invoice Date],MATCH($X370,tbl_Finance[Row ID],0))="","",INDEX(tbl_Finance[Latest Invoice Date],MATCH($X370,tbl_Finance[Row ID],0))),""))</f>
        <v/>
      </c>
      <c r="B370" s="10">
        <f>IF($C370="","",IFERROR(INDEX(tbl_Finance[Invoice Numbers],MATCH($X370,tbl_Finance[Row ID],0))&amp;"",""))</f>
        <v/>
      </c>
      <c r="C370" s="37" t="n"/>
      <c r="D370" s="10">
        <f>IF($C370="","",IF(COUNTIF(lst_Jobs,$C370&amp;"")&gt;0,"OK","CHECK"))</f>
        <v/>
      </c>
      <c r="E370" s="10">
        <f>IF($C370="","",IFERROR(INDEX(lst_JobName,MATCH($C370&amp;"",lst_Jobs,0)),""))</f>
        <v/>
      </c>
      <c r="F370" s="37" t="n"/>
      <c r="G370" s="37" t="n"/>
      <c r="H370" s="37" t="n"/>
      <c r="I370" s="37" t="n"/>
      <c r="J370" s="37" t="n"/>
      <c r="K370" s="38">
        <f>IF($C370="","",IFERROR(N(INDEX(tbl_Finance[Invoice Count],MATCH($X370,tbl_Finance[Row ID],0))),""))</f>
        <v/>
      </c>
      <c r="L370" s="11">
        <f>IF($C370="","",IFERROR(N(INDEX(tbl_Finance[Xero Invoiced Ex GST],MATCH($X370,tbl_Finance[Row ID],0))),""))</f>
        <v/>
      </c>
      <c r="M370" s="10">
        <f>IF($C370="","",IFERROR(INDEX(tbl_Finance[Compare],MATCH($X370,tbl_Finance[Row ID],0))&amp;"",""))</f>
        <v/>
      </c>
      <c r="N370" s="11">
        <f>IF($C370="","",MAX(0,N(O370)-N(L370)))</f>
        <v/>
      </c>
      <c r="O370" s="39" t="n"/>
      <c r="P370" s="40">
        <f>IF($C370="","",IF((IF(F370="",", Client","")&amp;IF(G370="",", Description","")&amp;IF(H370="",", Cost Centre","")&amp;IF(I370="",", Invoice Type","")&amp;IF(J370="",", Tax Code","")&amp;IF(O370="",", Expected Revenue","")&amp;IF(COUNTIF(tbl_Finance[Job Number],$C370&amp;"")&gt;1,", Job number used twice",""))="","Complete","Fix: "&amp;MID(IF(F370="",", Client","")&amp;IF(G370="",", Description","")&amp;IF(H370="",", Cost Centre","")&amp;IF(I370="",", Invoice Type","")&amp;IF(J370="",", Tax Code","")&amp;IF(O370="",", Expected Revenue","")&amp;IF(COUNTIF(tbl_Finance[Job Number],$C370&amp;"")&gt;1,", Job number used twice",""),3,300)))</f>
        <v/>
      </c>
      <c r="Q370" s="10">
        <f>IF($C370="","",IF(H370="","(no cost centre)",H370&amp;" - GL "&amp;IFERROR(INDEX(lst_CCtoGL,MATCH(H370,lst_CCforGL,0)),"?")))</f>
        <v/>
      </c>
      <c r="R370" s="37" t="n"/>
      <c r="S370" s="37" t="n"/>
      <c r="T370" s="10">
        <f>IF(S370="","",HYPERLINK(IF(LEFT(S370,4)="http",S370,set_QwilrBase&amp;S370),"Open quote"))</f>
        <v/>
      </c>
      <c r="U370" s="41" t="n"/>
      <c r="V370" s="37" t="n"/>
      <c r="W370" s="37" t="n"/>
      <c r="X370" s="10" t="inlineStr">
        <is>
          <t>ONS-0366</t>
        </is>
      </c>
    </row>
    <row r="371">
      <c r="A371" s="16">
        <f>IF($C371="","",IFERROR(IF(INDEX(tbl_Finance[Latest Invoice Date],MATCH($X371,tbl_Finance[Row ID],0))="","",INDEX(tbl_Finance[Latest Invoice Date],MATCH($X371,tbl_Finance[Row ID],0))),""))</f>
        <v/>
      </c>
      <c r="B371" s="10">
        <f>IF($C371="","",IFERROR(INDEX(tbl_Finance[Invoice Numbers],MATCH($X371,tbl_Finance[Row ID],0))&amp;"",""))</f>
        <v/>
      </c>
      <c r="C371" s="37" t="n"/>
      <c r="D371" s="10">
        <f>IF($C371="","",IF(COUNTIF(lst_Jobs,$C371&amp;"")&gt;0,"OK","CHECK"))</f>
        <v/>
      </c>
      <c r="E371" s="10">
        <f>IF($C371="","",IFERROR(INDEX(lst_JobName,MATCH($C371&amp;"",lst_Jobs,0)),""))</f>
        <v/>
      </c>
      <c r="F371" s="37" t="n"/>
      <c r="G371" s="37" t="n"/>
      <c r="H371" s="37" t="n"/>
      <c r="I371" s="37" t="n"/>
      <c r="J371" s="37" t="n"/>
      <c r="K371" s="38">
        <f>IF($C371="","",IFERROR(N(INDEX(tbl_Finance[Invoice Count],MATCH($X371,tbl_Finance[Row ID],0))),""))</f>
        <v/>
      </c>
      <c r="L371" s="11">
        <f>IF($C371="","",IFERROR(N(INDEX(tbl_Finance[Xero Invoiced Ex GST],MATCH($X371,tbl_Finance[Row ID],0))),""))</f>
        <v/>
      </c>
      <c r="M371" s="10">
        <f>IF($C371="","",IFERROR(INDEX(tbl_Finance[Compare],MATCH($X371,tbl_Finance[Row ID],0))&amp;"",""))</f>
        <v/>
      </c>
      <c r="N371" s="11">
        <f>IF($C371="","",MAX(0,N(O371)-N(L371)))</f>
        <v/>
      </c>
      <c r="O371" s="39" t="n"/>
      <c r="P371" s="40">
        <f>IF($C371="","",IF((IF(F371="",", Client","")&amp;IF(G371="",", Description","")&amp;IF(H371="",", Cost Centre","")&amp;IF(I371="",", Invoice Type","")&amp;IF(J371="",", Tax Code","")&amp;IF(O371="",", Expected Revenue","")&amp;IF(COUNTIF(tbl_Finance[Job Number],$C371&amp;"")&gt;1,", Job number used twice",""))="","Complete","Fix: "&amp;MID(IF(F371="",", Client","")&amp;IF(G371="",", Description","")&amp;IF(H371="",", Cost Centre","")&amp;IF(I371="",", Invoice Type","")&amp;IF(J371="",", Tax Code","")&amp;IF(O371="",", Expected Revenue","")&amp;IF(COUNTIF(tbl_Finance[Job Number],$C371&amp;"")&gt;1,", Job number used twice",""),3,300)))</f>
        <v/>
      </c>
      <c r="Q371" s="10">
        <f>IF($C371="","",IF(H371="","(no cost centre)",H371&amp;" - GL "&amp;IFERROR(INDEX(lst_CCtoGL,MATCH(H371,lst_CCforGL,0)),"?")))</f>
        <v/>
      </c>
      <c r="R371" s="37" t="n"/>
      <c r="S371" s="37" t="n"/>
      <c r="T371" s="10">
        <f>IF(S371="","",HYPERLINK(IF(LEFT(S371,4)="http",S371,set_QwilrBase&amp;S371),"Open quote"))</f>
        <v/>
      </c>
      <c r="U371" s="41" t="n"/>
      <c r="V371" s="37" t="n"/>
      <c r="W371" s="37" t="n"/>
      <c r="X371" s="10" t="inlineStr">
        <is>
          <t>ONS-0367</t>
        </is>
      </c>
    </row>
    <row r="372">
      <c r="A372" s="16">
        <f>IF($C372="","",IFERROR(IF(INDEX(tbl_Finance[Latest Invoice Date],MATCH($X372,tbl_Finance[Row ID],0))="","",INDEX(tbl_Finance[Latest Invoice Date],MATCH($X372,tbl_Finance[Row ID],0))),""))</f>
        <v/>
      </c>
      <c r="B372" s="10">
        <f>IF($C372="","",IFERROR(INDEX(tbl_Finance[Invoice Numbers],MATCH($X372,tbl_Finance[Row ID],0))&amp;"",""))</f>
        <v/>
      </c>
      <c r="C372" s="37" t="n"/>
      <c r="D372" s="10">
        <f>IF($C372="","",IF(COUNTIF(lst_Jobs,$C372&amp;"")&gt;0,"OK","CHECK"))</f>
        <v/>
      </c>
      <c r="E372" s="10">
        <f>IF($C372="","",IFERROR(INDEX(lst_JobName,MATCH($C372&amp;"",lst_Jobs,0)),""))</f>
        <v/>
      </c>
      <c r="F372" s="37" t="n"/>
      <c r="G372" s="37" t="n"/>
      <c r="H372" s="37" t="n"/>
      <c r="I372" s="37" t="n"/>
      <c r="J372" s="37" t="n"/>
      <c r="K372" s="38">
        <f>IF($C372="","",IFERROR(N(INDEX(tbl_Finance[Invoice Count],MATCH($X372,tbl_Finance[Row ID],0))),""))</f>
        <v/>
      </c>
      <c r="L372" s="11">
        <f>IF($C372="","",IFERROR(N(INDEX(tbl_Finance[Xero Invoiced Ex GST],MATCH($X372,tbl_Finance[Row ID],0))),""))</f>
        <v/>
      </c>
      <c r="M372" s="10">
        <f>IF($C372="","",IFERROR(INDEX(tbl_Finance[Compare],MATCH($X372,tbl_Finance[Row ID],0))&amp;"",""))</f>
        <v/>
      </c>
      <c r="N372" s="11">
        <f>IF($C372="","",MAX(0,N(O372)-N(L372)))</f>
        <v/>
      </c>
      <c r="O372" s="39" t="n"/>
      <c r="P372" s="40">
        <f>IF($C372="","",IF((IF(F372="",", Client","")&amp;IF(G372="",", Description","")&amp;IF(H372="",", Cost Centre","")&amp;IF(I372="",", Invoice Type","")&amp;IF(J372="",", Tax Code","")&amp;IF(O372="",", Expected Revenue","")&amp;IF(COUNTIF(tbl_Finance[Job Number],$C372&amp;"")&gt;1,", Job number used twice",""))="","Complete","Fix: "&amp;MID(IF(F372="",", Client","")&amp;IF(G372="",", Description","")&amp;IF(H372="",", Cost Centre","")&amp;IF(I372="",", Invoice Type","")&amp;IF(J372="",", Tax Code","")&amp;IF(O372="",", Expected Revenue","")&amp;IF(COUNTIF(tbl_Finance[Job Number],$C372&amp;"")&gt;1,", Job number used twice",""),3,300)))</f>
        <v/>
      </c>
      <c r="Q372" s="10">
        <f>IF($C372="","",IF(H372="","(no cost centre)",H372&amp;" - GL "&amp;IFERROR(INDEX(lst_CCtoGL,MATCH(H372,lst_CCforGL,0)),"?")))</f>
        <v/>
      </c>
      <c r="R372" s="37" t="n"/>
      <c r="S372" s="37" t="n"/>
      <c r="T372" s="10">
        <f>IF(S372="","",HYPERLINK(IF(LEFT(S372,4)="http",S372,set_QwilrBase&amp;S372),"Open quote"))</f>
        <v/>
      </c>
      <c r="U372" s="41" t="n"/>
      <c r="V372" s="37" t="n"/>
      <c r="W372" s="37" t="n"/>
      <c r="X372" s="10" t="inlineStr">
        <is>
          <t>ONS-0368</t>
        </is>
      </c>
    </row>
    <row r="373">
      <c r="A373" s="16">
        <f>IF($C373="","",IFERROR(IF(INDEX(tbl_Finance[Latest Invoice Date],MATCH($X373,tbl_Finance[Row ID],0))="","",INDEX(tbl_Finance[Latest Invoice Date],MATCH($X373,tbl_Finance[Row ID],0))),""))</f>
        <v/>
      </c>
      <c r="B373" s="10">
        <f>IF($C373="","",IFERROR(INDEX(tbl_Finance[Invoice Numbers],MATCH($X373,tbl_Finance[Row ID],0))&amp;"",""))</f>
        <v/>
      </c>
      <c r="C373" s="37" t="n"/>
      <c r="D373" s="10">
        <f>IF($C373="","",IF(COUNTIF(lst_Jobs,$C373&amp;"")&gt;0,"OK","CHECK"))</f>
        <v/>
      </c>
      <c r="E373" s="10">
        <f>IF($C373="","",IFERROR(INDEX(lst_JobName,MATCH($C373&amp;"",lst_Jobs,0)),""))</f>
        <v/>
      </c>
      <c r="F373" s="37" t="n"/>
      <c r="G373" s="37" t="n"/>
      <c r="H373" s="37" t="n"/>
      <c r="I373" s="37" t="n"/>
      <c r="J373" s="37" t="n"/>
      <c r="K373" s="38">
        <f>IF($C373="","",IFERROR(N(INDEX(tbl_Finance[Invoice Count],MATCH($X373,tbl_Finance[Row ID],0))),""))</f>
        <v/>
      </c>
      <c r="L373" s="11">
        <f>IF($C373="","",IFERROR(N(INDEX(tbl_Finance[Xero Invoiced Ex GST],MATCH($X373,tbl_Finance[Row ID],0))),""))</f>
        <v/>
      </c>
      <c r="M373" s="10">
        <f>IF($C373="","",IFERROR(INDEX(tbl_Finance[Compare],MATCH($X373,tbl_Finance[Row ID],0))&amp;"",""))</f>
        <v/>
      </c>
      <c r="N373" s="11">
        <f>IF($C373="","",MAX(0,N(O373)-N(L373)))</f>
        <v/>
      </c>
      <c r="O373" s="39" t="n"/>
      <c r="P373" s="40">
        <f>IF($C373="","",IF((IF(F373="",", Client","")&amp;IF(G373="",", Description","")&amp;IF(H373="",", Cost Centre","")&amp;IF(I373="",", Invoice Type","")&amp;IF(J373="",", Tax Code","")&amp;IF(O373="",", Expected Revenue","")&amp;IF(COUNTIF(tbl_Finance[Job Number],$C373&amp;"")&gt;1,", Job number used twice",""))="","Complete","Fix: "&amp;MID(IF(F373="",", Client","")&amp;IF(G373="",", Description","")&amp;IF(H373="",", Cost Centre","")&amp;IF(I373="",", Invoice Type","")&amp;IF(J373="",", Tax Code","")&amp;IF(O373="",", Expected Revenue","")&amp;IF(COUNTIF(tbl_Finance[Job Number],$C373&amp;"")&gt;1,", Job number used twice",""),3,300)))</f>
        <v/>
      </c>
      <c r="Q373" s="10">
        <f>IF($C373="","",IF(H373="","(no cost centre)",H373&amp;" - GL "&amp;IFERROR(INDEX(lst_CCtoGL,MATCH(H373,lst_CCforGL,0)),"?")))</f>
        <v/>
      </c>
      <c r="R373" s="37" t="n"/>
      <c r="S373" s="37" t="n"/>
      <c r="T373" s="10">
        <f>IF(S373="","",HYPERLINK(IF(LEFT(S373,4)="http",S373,set_QwilrBase&amp;S373),"Open quote"))</f>
        <v/>
      </c>
      <c r="U373" s="41" t="n"/>
      <c r="V373" s="37" t="n"/>
      <c r="W373" s="37" t="n"/>
      <c r="X373" s="10" t="inlineStr">
        <is>
          <t>ONS-0369</t>
        </is>
      </c>
    </row>
    <row r="374">
      <c r="A374" s="16">
        <f>IF($C374="","",IFERROR(IF(INDEX(tbl_Finance[Latest Invoice Date],MATCH($X374,tbl_Finance[Row ID],0))="","",INDEX(tbl_Finance[Latest Invoice Date],MATCH($X374,tbl_Finance[Row ID],0))),""))</f>
        <v/>
      </c>
      <c r="B374" s="10">
        <f>IF($C374="","",IFERROR(INDEX(tbl_Finance[Invoice Numbers],MATCH($X374,tbl_Finance[Row ID],0))&amp;"",""))</f>
        <v/>
      </c>
      <c r="C374" s="37" t="n"/>
      <c r="D374" s="10">
        <f>IF($C374="","",IF(COUNTIF(lst_Jobs,$C374&amp;"")&gt;0,"OK","CHECK"))</f>
        <v/>
      </c>
      <c r="E374" s="10">
        <f>IF($C374="","",IFERROR(INDEX(lst_JobName,MATCH($C374&amp;"",lst_Jobs,0)),""))</f>
        <v/>
      </c>
      <c r="F374" s="37" t="n"/>
      <c r="G374" s="37" t="n"/>
      <c r="H374" s="37" t="n"/>
      <c r="I374" s="37" t="n"/>
      <c r="J374" s="37" t="n"/>
      <c r="K374" s="38">
        <f>IF($C374="","",IFERROR(N(INDEX(tbl_Finance[Invoice Count],MATCH($X374,tbl_Finance[Row ID],0))),""))</f>
        <v/>
      </c>
      <c r="L374" s="11">
        <f>IF($C374="","",IFERROR(N(INDEX(tbl_Finance[Xero Invoiced Ex GST],MATCH($X374,tbl_Finance[Row ID],0))),""))</f>
        <v/>
      </c>
      <c r="M374" s="10">
        <f>IF($C374="","",IFERROR(INDEX(tbl_Finance[Compare],MATCH($X374,tbl_Finance[Row ID],0))&amp;"",""))</f>
        <v/>
      </c>
      <c r="N374" s="11">
        <f>IF($C374="","",MAX(0,N(O374)-N(L374)))</f>
        <v/>
      </c>
      <c r="O374" s="39" t="n"/>
      <c r="P374" s="40">
        <f>IF($C374="","",IF((IF(F374="",", Client","")&amp;IF(G374="",", Description","")&amp;IF(H374="",", Cost Centre","")&amp;IF(I374="",", Invoice Type","")&amp;IF(J374="",", Tax Code","")&amp;IF(O374="",", Expected Revenue","")&amp;IF(COUNTIF(tbl_Finance[Job Number],$C374&amp;"")&gt;1,", Job number used twice",""))="","Complete","Fix: "&amp;MID(IF(F374="",", Client","")&amp;IF(G374="",", Description","")&amp;IF(H374="",", Cost Centre","")&amp;IF(I374="",", Invoice Type","")&amp;IF(J374="",", Tax Code","")&amp;IF(O374="",", Expected Revenue","")&amp;IF(COUNTIF(tbl_Finance[Job Number],$C374&amp;"")&gt;1,", Job number used twice",""),3,300)))</f>
        <v/>
      </c>
      <c r="Q374" s="10">
        <f>IF($C374="","",IF(H374="","(no cost centre)",H374&amp;" - GL "&amp;IFERROR(INDEX(lst_CCtoGL,MATCH(H374,lst_CCforGL,0)),"?")))</f>
        <v/>
      </c>
      <c r="R374" s="37" t="n"/>
      <c r="S374" s="37" t="n"/>
      <c r="T374" s="10">
        <f>IF(S374="","",HYPERLINK(IF(LEFT(S374,4)="http",S374,set_QwilrBase&amp;S374),"Open quote"))</f>
        <v/>
      </c>
      <c r="U374" s="41" t="n"/>
      <c r="V374" s="37" t="n"/>
      <c r="W374" s="37" t="n"/>
      <c r="X374" s="10" t="inlineStr">
        <is>
          <t>ONS-0370</t>
        </is>
      </c>
    </row>
    <row r="375">
      <c r="A375" s="16">
        <f>IF($C375="","",IFERROR(IF(INDEX(tbl_Finance[Latest Invoice Date],MATCH($X375,tbl_Finance[Row ID],0))="","",INDEX(tbl_Finance[Latest Invoice Date],MATCH($X375,tbl_Finance[Row ID],0))),""))</f>
        <v/>
      </c>
      <c r="B375" s="10">
        <f>IF($C375="","",IFERROR(INDEX(tbl_Finance[Invoice Numbers],MATCH($X375,tbl_Finance[Row ID],0))&amp;"",""))</f>
        <v/>
      </c>
      <c r="C375" s="37" t="n"/>
      <c r="D375" s="10">
        <f>IF($C375="","",IF(COUNTIF(lst_Jobs,$C375&amp;"")&gt;0,"OK","CHECK"))</f>
        <v/>
      </c>
      <c r="E375" s="10">
        <f>IF($C375="","",IFERROR(INDEX(lst_JobName,MATCH($C375&amp;"",lst_Jobs,0)),""))</f>
        <v/>
      </c>
      <c r="F375" s="37" t="n"/>
      <c r="G375" s="37" t="n"/>
      <c r="H375" s="37" t="n"/>
      <c r="I375" s="37" t="n"/>
      <c r="J375" s="37" t="n"/>
      <c r="K375" s="38">
        <f>IF($C375="","",IFERROR(N(INDEX(tbl_Finance[Invoice Count],MATCH($X375,tbl_Finance[Row ID],0))),""))</f>
        <v/>
      </c>
      <c r="L375" s="11">
        <f>IF($C375="","",IFERROR(N(INDEX(tbl_Finance[Xero Invoiced Ex GST],MATCH($X375,tbl_Finance[Row ID],0))),""))</f>
        <v/>
      </c>
      <c r="M375" s="10">
        <f>IF($C375="","",IFERROR(INDEX(tbl_Finance[Compare],MATCH($X375,tbl_Finance[Row ID],0))&amp;"",""))</f>
        <v/>
      </c>
      <c r="N375" s="11">
        <f>IF($C375="","",MAX(0,N(O375)-N(L375)))</f>
        <v/>
      </c>
      <c r="O375" s="39" t="n"/>
      <c r="P375" s="40">
        <f>IF($C375="","",IF((IF(F375="",", Client","")&amp;IF(G375="",", Description","")&amp;IF(H375="",", Cost Centre","")&amp;IF(I375="",", Invoice Type","")&amp;IF(J375="",", Tax Code","")&amp;IF(O375="",", Expected Revenue","")&amp;IF(COUNTIF(tbl_Finance[Job Number],$C375&amp;"")&gt;1,", Job number used twice",""))="","Complete","Fix: "&amp;MID(IF(F375="",", Client","")&amp;IF(G375="",", Description","")&amp;IF(H375="",", Cost Centre","")&amp;IF(I375="",", Invoice Type","")&amp;IF(J375="",", Tax Code","")&amp;IF(O375="",", Expected Revenue","")&amp;IF(COUNTIF(tbl_Finance[Job Number],$C375&amp;"")&gt;1,", Job number used twice",""),3,300)))</f>
        <v/>
      </c>
      <c r="Q375" s="10">
        <f>IF($C375="","",IF(H375="","(no cost centre)",H375&amp;" - GL "&amp;IFERROR(INDEX(lst_CCtoGL,MATCH(H375,lst_CCforGL,0)),"?")))</f>
        <v/>
      </c>
      <c r="R375" s="37" t="n"/>
      <c r="S375" s="37" t="n"/>
      <c r="T375" s="10">
        <f>IF(S375="","",HYPERLINK(IF(LEFT(S375,4)="http",S375,set_QwilrBase&amp;S375),"Open quote"))</f>
        <v/>
      </c>
      <c r="U375" s="41" t="n"/>
      <c r="V375" s="37" t="n"/>
      <c r="W375" s="37" t="n"/>
      <c r="X375" s="10" t="inlineStr">
        <is>
          <t>ONS-0371</t>
        </is>
      </c>
    </row>
    <row r="376">
      <c r="A376" s="16">
        <f>IF($C376="","",IFERROR(IF(INDEX(tbl_Finance[Latest Invoice Date],MATCH($X376,tbl_Finance[Row ID],0))="","",INDEX(tbl_Finance[Latest Invoice Date],MATCH($X376,tbl_Finance[Row ID],0))),""))</f>
        <v/>
      </c>
      <c r="B376" s="10">
        <f>IF($C376="","",IFERROR(INDEX(tbl_Finance[Invoice Numbers],MATCH($X376,tbl_Finance[Row ID],0))&amp;"",""))</f>
        <v/>
      </c>
      <c r="C376" s="37" t="n"/>
      <c r="D376" s="10">
        <f>IF($C376="","",IF(COUNTIF(lst_Jobs,$C376&amp;"")&gt;0,"OK","CHECK"))</f>
        <v/>
      </c>
      <c r="E376" s="10">
        <f>IF($C376="","",IFERROR(INDEX(lst_JobName,MATCH($C376&amp;"",lst_Jobs,0)),""))</f>
        <v/>
      </c>
      <c r="F376" s="37" t="n"/>
      <c r="G376" s="37" t="n"/>
      <c r="H376" s="37" t="n"/>
      <c r="I376" s="37" t="n"/>
      <c r="J376" s="37" t="n"/>
      <c r="K376" s="38">
        <f>IF($C376="","",IFERROR(N(INDEX(tbl_Finance[Invoice Count],MATCH($X376,tbl_Finance[Row ID],0))),""))</f>
        <v/>
      </c>
      <c r="L376" s="11">
        <f>IF($C376="","",IFERROR(N(INDEX(tbl_Finance[Xero Invoiced Ex GST],MATCH($X376,tbl_Finance[Row ID],0))),""))</f>
        <v/>
      </c>
      <c r="M376" s="10">
        <f>IF($C376="","",IFERROR(INDEX(tbl_Finance[Compare],MATCH($X376,tbl_Finance[Row ID],0))&amp;"",""))</f>
        <v/>
      </c>
      <c r="N376" s="11">
        <f>IF($C376="","",MAX(0,N(O376)-N(L376)))</f>
        <v/>
      </c>
      <c r="O376" s="39" t="n"/>
      <c r="P376" s="40">
        <f>IF($C376="","",IF((IF(F376="",", Client","")&amp;IF(G376="",", Description","")&amp;IF(H376="",", Cost Centre","")&amp;IF(I376="",", Invoice Type","")&amp;IF(J376="",", Tax Code","")&amp;IF(O376="",", Expected Revenue","")&amp;IF(COUNTIF(tbl_Finance[Job Number],$C376&amp;"")&gt;1,", Job number used twice",""))="","Complete","Fix: "&amp;MID(IF(F376="",", Client","")&amp;IF(G376="",", Description","")&amp;IF(H376="",", Cost Centre","")&amp;IF(I376="",", Invoice Type","")&amp;IF(J376="",", Tax Code","")&amp;IF(O376="",", Expected Revenue","")&amp;IF(COUNTIF(tbl_Finance[Job Number],$C376&amp;"")&gt;1,", Job number used twice",""),3,300)))</f>
        <v/>
      </c>
      <c r="Q376" s="10">
        <f>IF($C376="","",IF(H376="","(no cost centre)",H376&amp;" - GL "&amp;IFERROR(INDEX(lst_CCtoGL,MATCH(H376,lst_CCforGL,0)),"?")))</f>
        <v/>
      </c>
      <c r="R376" s="37" t="n"/>
      <c r="S376" s="37" t="n"/>
      <c r="T376" s="10">
        <f>IF(S376="","",HYPERLINK(IF(LEFT(S376,4)="http",S376,set_QwilrBase&amp;S376),"Open quote"))</f>
        <v/>
      </c>
      <c r="U376" s="41" t="n"/>
      <c r="V376" s="37" t="n"/>
      <c r="W376" s="37" t="n"/>
      <c r="X376" s="10" t="inlineStr">
        <is>
          <t>ONS-0372</t>
        </is>
      </c>
    </row>
    <row r="377">
      <c r="A377" s="16">
        <f>IF($C377="","",IFERROR(IF(INDEX(tbl_Finance[Latest Invoice Date],MATCH($X377,tbl_Finance[Row ID],0))="","",INDEX(tbl_Finance[Latest Invoice Date],MATCH($X377,tbl_Finance[Row ID],0))),""))</f>
        <v/>
      </c>
      <c r="B377" s="10">
        <f>IF($C377="","",IFERROR(INDEX(tbl_Finance[Invoice Numbers],MATCH($X377,tbl_Finance[Row ID],0))&amp;"",""))</f>
        <v/>
      </c>
      <c r="C377" s="37" t="n"/>
      <c r="D377" s="10">
        <f>IF($C377="","",IF(COUNTIF(lst_Jobs,$C377&amp;"")&gt;0,"OK","CHECK"))</f>
        <v/>
      </c>
      <c r="E377" s="10">
        <f>IF($C377="","",IFERROR(INDEX(lst_JobName,MATCH($C377&amp;"",lst_Jobs,0)),""))</f>
        <v/>
      </c>
      <c r="F377" s="37" t="n"/>
      <c r="G377" s="37" t="n"/>
      <c r="H377" s="37" t="n"/>
      <c r="I377" s="37" t="n"/>
      <c r="J377" s="37" t="n"/>
      <c r="K377" s="38">
        <f>IF($C377="","",IFERROR(N(INDEX(tbl_Finance[Invoice Count],MATCH($X377,tbl_Finance[Row ID],0))),""))</f>
        <v/>
      </c>
      <c r="L377" s="11">
        <f>IF($C377="","",IFERROR(N(INDEX(tbl_Finance[Xero Invoiced Ex GST],MATCH($X377,tbl_Finance[Row ID],0))),""))</f>
        <v/>
      </c>
      <c r="M377" s="10">
        <f>IF($C377="","",IFERROR(INDEX(tbl_Finance[Compare],MATCH($X377,tbl_Finance[Row ID],0))&amp;"",""))</f>
        <v/>
      </c>
      <c r="N377" s="11">
        <f>IF($C377="","",MAX(0,N(O377)-N(L377)))</f>
        <v/>
      </c>
      <c r="O377" s="39" t="n"/>
      <c r="P377" s="40">
        <f>IF($C377="","",IF((IF(F377="",", Client","")&amp;IF(G377="",", Description","")&amp;IF(H377="",", Cost Centre","")&amp;IF(I377="",", Invoice Type","")&amp;IF(J377="",", Tax Code","")&amp;IF(O377="",", Expected Revenue","")&amp;IF(COUNTIF(tbl_Finance[Job Number],$C377&amp;"")&gt;1,", Job number used twice",""))="","Complete","Fix: "&amp;MID(IF(F377="",", Client","")&amp;IF(G377="",", Description","")&amp;IF(H377="",", Cost Centre","")&amp;IF(I377="",", Invoice Type","")&amp;IF(J377="",", Tax Code","")&amp;IF(O377="",", Expected Revenue","")&amp;IF(COUNTIF(tbl_Finance[Job Number],$C377&amp;"")&gt;1,", Job number used twice",""),3,300)))</f>
        <v/>
      </c>
      <c r="Q377" s="10">
        <f>IF($C377="","",IF(H377="","(no cost centre)",H377&amp;" - GL "&amp;IFERROR(INDEX(lst_CCtoGL,MATCH(H377,lst_CCforGL,0)),"?")))</f>
        <v/>
      </c>
      <c r="R377" s="37" t="n"/>
      <c r="S377" s="37" t="n"/>
      <c r="T377" s="10">
        <f>IF(S377="","",HYPERLINK(IF(LEFT(S377,4)="http",S377,set_QwilrBase&amp;S377),"Open quote"))</f>
        <v/>
      </c>
      <c r="U377" s="41" t="n"/>
      <c r="V377" s="37" t="n"/>
      <c r="W377" s="37" t="n"/>
      <c r="X377" s="10" t="inlineStr">
        <is>
          <t>ONS-0373</t>
        </is>
      </c>
    </row>
    <row r="378">
      <c r="A378" s="16">
        <f>IF($C378="","",IFERROR(IF(INDEX(tbl_Finance[Latest Invoice Date],MATCH($X378,tbl_Finance[Row ID],0))="","",INDEX(tbl_Finance[Latest Invoice Date],MATCH($X378,tbl_Finance[Row ID],0))),""))</f>
        <v/>
      </c>
      <c r="B378" s="10">
        <f>IF($C378="","",IFERROR(INDEX(tbl_Finance[Invoice Numbers],MATCH($X378,tbl_Finance[Row ID],0))&amp;"",""))</f>
        <v/>
      </c>
      <c r="C378" s="37" t="n"/>
      <c r="D378" s="10">
        <f>IF($C378="","",IF(COUNTIF(lst_Jobs,$C378&amp;"")&gt;0,"OK","CHECK"))</f>
        <v/>
      </c>
      <c r="E378" s="10">
        <f>IF($C378="","",IFERROR(INDEX(lst_JobName,MATCH($C378&amp;"",lst_Jobs,0)),""))</f>
        <v/>
      </c>
      <c r="F378" s="37" t="n"/>
      <c r="G378" s="37" t="n"/>
      <c r="H378" s="37" t="n"/>
      <c r="I378" s="37" t="n"/>
      <c r="J378" s="37" t="n"/>
      <c r="K378" s="38">
        <f>IF($C378="","",IFERROR(N(INDEX(tbl_Finance[Invoice Count],MATCH($X378,tbl_Finance[Row ID],0))),""))</f>
        <v/>
      </c>
      <c r="L378" s="11">
        <f>IF($C378="","",IFERROR(N(INDEX(tbl_Finance[Xero Invoiced Ex GST],MATCH($X378,tbl_Finance[Row ID],0))),""))</f>
        <v/>
      </c>
      <c r="M378" s="10">
        <f>IF($C378="","",IFERROR(INDEX(tbl_Finance[Compare],MATCH($X378,tbl_Finance[Row ID],0))&amp;"",""))</f>
        <v/>
      </c>
      <c r="N378" s="11">
        <f>IF($C378="","",MAX(0,N(O378)-N(L378)))</f>
        <v/>
      </c>
      <c r="O378" s="39" t="n"/>
      <c r="P378" s="40">
        <f>IF($C378="","",IF((IF(F378="",", Client","")&amp;IF(G378="",", Description","")&amp;IF(H378="",", Cost Centre","")&amp;IF(I378="",", Invoice Type","")&amp;IF(J378="",", Tax Code","")&amp;IF(O378="",", Expected Revenue","")&amp;IF(COUNTIF(tbl_Finance[Job Number],$C378&amp;"")&gt;1,", Job number used twice",""))="","Complete","Fix: "&amp;MID(IF(F378="",", Client","")&amp;IF(G378="",", Description","")&amp;IF(H378="",", Cost Centre","")&amp;IF(I378="",", Invoice Type","")&amp;IF(J378="",", Tax Code","")&amp;IF(O378="",", Expected Revenue","")&amp;IF(COUNTIF(tbl_Finance[Job Number],$C378&amp;"")&gt;1,", Job number used twice",""),3,300)))</f>
        <v/>
      </c>
      <c r="Q378" s="10">
        <f>IF($C378="","",IF(H378="","(no cost centre)",H378&amp;" - GL "&amp;IFERROR(INDEX(lst_CCtoGL,MATCH(H378,lst_CCforGL,0)),"?")))</f>
        <v/>
      </c>
      <c r="R378" s="37" t="n"/>
      <c r="S378" s="37" t="n"/>
      <c r="T378" s="10">
        <f>IF(S378="","",HYPERLINK(IF(LEFT(S378,4)="http",S378,set_QwilrBase&amp;S378),"Open quote"))</f>
        <v/>
      </c>
      <c r="U378" s="41" t="n"/>
      <c r="V378" s="37" t="n"/>
      <c r="W378" s="37" t="n"/>
      <c r="X378" s="10" t="inlineStr">
        <is>
          <t>ONS-0374</t>
        </is>
      </c>
    </row>
    <row r="379">
      <c r="A379" s="16">
        <f>IF($C379="","",IFERROR(IF(INDEX(tbl_Finance[Latest Invoice Date],MATCH($X379,tbl_Finance[Row ID],0))="","",INDEX(tbl_Finance[Latest Invoice Date],MATCH($X379,tbl_Finance[Row ID],0))),""))</f>
        <v/>
      </c>
      <c r="B379" s="10">
        <f>IF($C379="","",IFERROR(INDEX(tbl_Finance[Invoice Numbers],MATCH($X379,tbl_Finance[Row ID],0))&amp;"",""))</f>
        <v/>
      </c>
      <c r="C379" s="37" t="n"/>
      <c r="D379" s="10">
        <f>IF($C379="","",IF(COUNTIF(lst_Jobs,$C379&amp;"")&gt;0,"OK","CHECK"))</f>
        <v/>
      </c>
      <c r="E379" s="10">
        <f>IF($C379="","",IFERROR(INDEX(lst_JobName,MATCH($C379&amp;"",lst_Jobs,0)),""))</f>
        <v/>
      </c>
      <c r="F379" s="37" t="n"/>
      <c r="G379" s="37" t="n"/>
      <c r="H379" s="37" t="n"/>
      <c r="I379" s="37" t="n"/>
      <c r="J379" s="37" t="n"/>
      <c r="K379" s="38">
        <f>IF($C379="","",IFERROR(N(INDEX(tbl_Finance[Invoice Count],MATCH($X379,tbl_Finance[Row ID],0))),""))</f>
        <v/>
      </c>
      <c r="L379" s="11">
        <f>IF($C379="","",IFERROR(N(INDEX(tbl_Finance[Xero Invoiced Ex GST],MATCH($X379,tbl_Finance[Row ID],0))),""))</f>
        <v/>
      </c>
      <c r="M379" s="10">
        <f>IF($C379="","",IFERROR(INDEX(tbl_Finance[Compare],MATCH($X379,tbl_Finance[Row ID],0))&amp;"",""))</f>
        <v/>
      </c>
      <c r="N379" s="11">
        <f>IF($C379="","",MAX(0,N(O379)-N(L379)))</f>
        <v/>
      </c>
      <c r="O379" s="39" t="n"/>
      <c r="P379" s="40">
        <f>IF($C379="","",IF((IF(F379="",", Client","")&amp;IF(G379="",", Description","")&amp;IF(H379="",", Cost Centre","")&amp;IF(I379="",", Invoice Type","")&amp;IF(J379="",", Tax Code","")&amp;IF(O379="",", Expected Revenue","")&amp;IF(COUNTIF(tbl_Finance[Job Number],$C379&amp;"")&gt;1,", Job number used twice",""))="","Complete","Fix: "&amp;MID(IF(F379="",", Client","")&amp;IF(G379="",", Description","")&amp;IF(H379="",", Cost Centre","")&amp;IF(I379="",", Invoice Type","")&amp;IF(J379="",", Tax Code","")&amp;IF(O379="",", Expected Revenue","")&amp;IF(COUNTIF(tbl_Finance[Job Number],$C379&amp;"")&gt;1,", Job number used twice",""),3,300)))</f>
        <v/>
      </c>
      <c r="Q379" s="10">
        <f>IF($C379="","",IF(H379="","(no cost centre)",H379&amp;" - GL "&amp;IFERROR(INDEX(lst_CCtoGL,MATCH(H379,lst_CCforGL,0)),"?")))</f>
        <v/>
      </c>
      <c r="R379" s="37" t="n"/>
      <c r="S379" s="37" t="n"/>
      <c r="T379" s="10">
        <f>IF(S379="","",HYPERLINK(IF(LEFT(S379,4)="http",S379,set_QwilrBase&amp;S379),"Open quote"))</f>
        <v/>
      </c>
      <c r="U379" s="41" t="n"/>
      <c r="V379" s="37" t="n"/>
      <c r="W379" s="37" t="n"/>
      <c r="X379" s="10" t="inlineStr">
        <is>
          <t>ONS-0375</t>
        </is>
      </c>
    </row>
    <row r="380">
      <c r="A380" s="16">
        <f>IF($C380="","",IFERROR(IF(INDEX(tbl_Finance[Latest Invoice Date],MATCH($X380,tbl_Finance[Row ID],0))="","",INDEX(tbl_Finance[Latest Invoice Date],MATCH($X380,tbl_Finance[Row ID],0))),""))</f>
        <v/>
      </c>
      <c r="B380" s="10">
        <f>IF($C380="","",IFERROR(INDEX(tbl_Finance[Invoice Numbers],MATCH($X380,tbl_Finance[Row ID],0))&amp;"",""))</f>
        <v/>
      </c>
      <c r="C380" s="37" t="n"/>
      <c r="D380" s="10">
        <f>IF($C380="","",IF(COUNTIF(lst_Jobs,$C380&amp;"")&gt;0,"OK","CHECK"))</f>
        <v/>
      </c>
      <c r="E380" s="10">
        <f>IF($C380="","",IFERROR(INDEX(lst_JobName,MATCH($C380&amp;"",lst_Jobs,0)),""))</f>
        <v/>
      </c>
      <c r="F380" s="37" t="n"/>
      <c r="G380" s="37" t="n"/>
      <c r="H380" s="37" t="n"/>
      <c r="I380" s="37" t="n"/>
      <c r="J380" s="37" t="n"/>
      <c r="K380" s="38">
        <f>IF($C380="","",IFERROR(N(INDEX(tbl_Finance[Invoice Count],MATCH($X380,tbl_Finance[Row ID],0))),""))</f>
        <v/>
      </c>
      <c r="L380" s="11">
        <f>IF($C380="","",IFERROR(N(INDEX(tbl_Finance[Xero Invoiced Ex GST],MATCH($X380,tbl_Finance[Row ID],0))),""))</f>
        <v/>
      </c>
      <c r="M380" s="10">
        <f>IF($C380="","",IFERROR(INDEX(tbl_Finance[Compare],MATCH($X380,tbl_Finance[Row ID],0))&amp;"",""))</f>
        <v/>
      </c>
      <c r="N380" s="11">
        <f>IF($C380="","",MAX(0,N(O380)-N(L380)))</f>
        <v/>
      </c>
      <c r="O380" s="39" t="n"/>
      <c r="P380" s="40">
        <f>IF($C380="","",IF((IF(F380="",", Client","")&amp;IF(G380="",", Description","")&amp;IF(H380="",", Cost Centre","")&amp;IF(I380="",", Invoice Type","")&amp;IF(J380="",", Tax Code","")&amp;IF(O380="",", Expected Revenue","")&amp;IF(COUNTIF(tbl_Finance[Job Number],$C380&amp;"")&gt;1,", Job number used twice",""))="","Complete","Fix: "&amp;MID(IF(F380="",", Client","")&amp;IF(G380="",", Description","")&amp;IF(H380="",", Cost Centre","")&amp;IF(I380="",", Invoice Type","")&amp;IF(J380="",", Tax Code","")&amp;IF(O380="",", Expected Revenue","")&amp;IF(COUNTIF(tbl_Finance[Job Number],$C380&amp;"")&gt;1,", Job number used twice",""),3,300)))</f>
        <v/>
      </c>
      <c r="Q380" s="10">
        <f>IF($C380="","",IF(H380="","(no cost centre)",H380&amp;" - GL "&amp;IFERROR(INDEX(lst_CCtoGL,MATCH(H380,lst_CCforGL,0)),"?")))</f>
        <v/>
      </c>
      <c r="R380" s="37" t="n"/>
      <c r="S380" s="37" t="n"/>
      <c r="T380" s="10">
        <f>IF(S380="","",HYPERLINK(IF(LEFT(S380,4)="http",S380,set_QwilrBase&amp;S380),"Open quote"))</f>
        <v/>
      </c>
      <c r="U380" s="41" t="n"/>
      <c r="V380" s="37" t="n"/>
      <c r="W380" s="37" t="n"/>
      <c r="X380" s="10" t="inlineStr">
        <is>
          <t>ONS-0376</t>
        </is>
      </c>
    </row>
    <row r="381">
      <c r="A381" s="16">
        <f>IF($C381="","",IFERROR(IF(INDEX(tbl_Finance[Latest Invoice Date],MATCH($X381,tbl_Finance[Row ID],0))="","",INDEX(tbl_Finance[Latest Invoice Date],MATCH($X381,tbl_Finance[Row ID],0))),""))</f>
        <v/>
      </c>
      <c r="B381" s="10">
        <f>IF($C381="","",IFERROR(INDEX(tbl_Finance[Invoice Numbers],MATCH($X381,tbl_Finance[Row ID],0))&amp;"",""))</f>
        <v/>
      </c>
      <c r="C381" s="37" t="n"/>
      <c r="D381" s="10">
        <f>IF($C381="","",IF(COUNTIF(lst_Jobs,$C381&amp;"")&gt;0,"OK","CHECK"))</f>
        <v/>
      </c>
      <c r="E381" s="10">
        <f>IF($C381="","",IFERROR(INDEX(lst_JobName,MATCH($C381&amp;"",lst_Jobs,0)),""))</f>
        <v/>
      </c>
      <c r="F381" s="37" t="n"/>
      <c r="G381" s="37" t="n"/>
      <c r="H381" s="37" t="n"/>
      <c r="I381" s="37" t="n"/>
      <c r="J381" s="37" t="n"/>
      <c r="K381" s="38">
        <f>IF($C381="","",IFERROR(N(INDEX(tbl_Finance[Invoice Count],MATCH($X381,tbl_Finance[Row ID],0))),""))</f>
        <v/>
      </c>
      <c r="L381" s="11">
        <f>IF($C381="","",IFERROR(N(INDEX(tbl_Finance[Xero Invoiced Ex GST],MATCH($X381,tbl_Finance[Row ID],0))),""))</f>
        <v/>
      </c>
      <c r="M381" s="10">
        <f>IF($C381="","",IFERROR(INDEX(tbl_Finance[Compare],MATCH($X381,tbl_Finance[Row ID],0))&amp;"",""))</f>
        <v/>
      </c>
      <c r="N381" s="11">
        <f>IF($C381="","",MAX(0,N(O381)-N(L381)))</f>
        <v/>
      </c>
      <c r="O381" s="39" t="n"/>
      <c r="P381" s="40">
        <f>IF($C381="","",IF((IF(F381="",", Client","")&amp;IF(G381="",", Description","")&amp;IF(H381="",", Cost Centre","")&amp;IF(I381="",", Invoice Type","")&amp;IF(J381="",", Tax Code","")&amp;IF(O381="",", Expected Revenue","")&amp;IF(COUNTIF(tbl_Finance[Job Number],$C381&amp;"")&gt;1,", Job number used twice",""))="","Complete","Fix: "&amp;MID(IF(F381="",", Client","")&amp;IF(G381="",", Description","")&amp;IF(H381="",", Cost Centre","")&amp;IF(I381="",", Invoice Type","")&amp;IF(J381="",", Tax Code","")&amp;IF(O381="",", Expected Revenue","")&amp;IF(COUNTIF(tbl_Finance[Job Number],$C381&amp;"")&gt;1,", Job number used twice",""),3,300)))</f>
        <v/>
      </c>
      <c r="Q381" s="10">
        <f>IF($C381="","",IF(H381="","(no cost centre)",H381&amp;" - GL "&amp;IFERROR(INDEX(lst_CCtoGL,MATCH(H381,lst_CCforGL,0)),"?")))</f>
        <v/>
      </c>
      <c r="R381" s="37" t="n"/>
      <c r="S381" s="37" t="n"/>
      <c r="T381" s="10">
        <f>IF(S381="","",HYPERLINK(IF(LEFT(S381,4)="http",S381,set_QwilrBase&amp;S381),"Open quote"))</f>
        <v/>
      </c>
      <c r="U381" s="41" t="n"/>
      <c r="V381" s="37" t="n"/>
      <c r="W381" s="37" t="n"/>
      <c r="X381" s="10" t="inlineStr">
        <is>
          <t>ONS-0377</t>
        </is>
      </c>
    </row>
    <row r="382">
      <c r="A382" s="16">
        <f>IF($C382="","",IFERROR(IF(INDEX(tbl_Finance[Latest Invoice Date],MATCH($X382,tbl_Finance[Row ID],0))="","",INDEX(tbl_Finance[Latest Invoice Date],MATCH($X382,tbl_Finance[Row ID],0))),""))</f>
        <v/>
      </c>
      <c r="B382" s="10">
        <f>IF($C382="","",IFERROR(INDEX(tbl_Finance[Invoice Numbers],MATCH($X382,tbl_Finance[Row ID],0))&amp;"",""))</f>
        <v/>
      </c>
      <c r="C382" s="37" t="n"/>
      <c r="D382" s="10">
        <f>IF($C382="","",IF(COUNTIF(lst_Jobs,$C382&amp;"")&gt;0,"OK","CHECK"))</f>
        <v/>
      </c>
      <c r="E382" s="10">
        <f>IF($C382="","",IFERROR(INDEX(lst_JobName,MATCH($C382&amp;"",lst_Jobs,0)),""))</f>
        <v/>
      </c>
      <c r="F382" s="37" t="n"/>
      <c r="G382" s="37" t="n"/>
      <c r="H382" s="37" t="n"/>
      <c r="I382" s="37" t="n"/>
      <c r="J382" s="37" t="n"/>
      <c r="K382" s="38">
        <f>IF($C382="","",IFERROR(N(INDEX(tbl_Finance[Invoice Count],MATCH($X382,tbl_Finance[Row ID],0))),""))</f>
        <v/>
      </c>
      <c r="L382" s="11">
        <f>IF($C382="","",IFERROR(N(INDEX(tbl_Finance[Xero Invoiced Ex GST],MATCH($X382,tbl_Finance[Row ID],0))),""))</f>
        <v/>
      </c>
      <c r="M382" s="10">
        <f>IF($C382="","",IFERROR(INDEX(tbl_Finance[Compare],MATCH($X382,tbl_Finance[Row ID],0))&amp;"",""))</f>
        <v/>
      </c>
      <c r="N382" s="11">
        <f>IF($C382="","",MAX(0,N(O382)-N(L382)))</f>
        <v/>
      </c>
      <c r="O382" s="39" t="n"/>
      <c r="P382" s="40">
        <f>IF($C382="","",IF((IF(F382="",", Client","")&amp;IF(G382="",", Description","")&amp;IF(H382="",", Cost Centre","")&amp;IF(I382="",", Invoice Type","")&amp;IF(J382="",", Tax Code","")&amp;IF(O382="",", Expected Revenue","")&amp;IF(COUNTIF(tbl_Finance[Job Number],$C382&amp;"")&gt;1,", Job number used twice",""))="","Complete","Fix: "&amp;MID(IF(F382="",", Client","")&amp;IF(G382="",", Description","")&amp;IF(H382="",", Cost Centre","")&amp;IF(I382="",", Invoice Type","")&amp;IF(J382="",", Tax Code","")&amp;IF(O382="",", Expected Revenue","")&amp;IF(COUNTIF(tbl_Finance[Job Number],$C382&amp;"")&gt;1,", Job number used twice",""),3,300)))</f>
        <v/>
      </c>
      <c r="Q382" s="10">
        <f>IF($C382="","",IF(H382="","(no cost centre)",H382&amp;" - GL "&amp;IFERROR(INDEX(lst_CCtoGL,MATCH(H382,lst_CCforGL,0)),"?")))</f>
        <v/>
      </c>
      <c r="R382" s="37" t="n"/>
      <c r="S382" s="37" t="n"/>
      <c r="T382" s="10">
        <f>IF(S382="","",HYPERLINK(IF(LEFT(S382,4)="http",S382,set_QwilrBase&amp;S382),"Open quote"))</f>
        <v/>
      </c>
      <c r="U382" s="41" t="n"/>
      <c r="V382" s="37" t="n"/>
      <c r="W382" s="37" t="n"/>
      <c r="X382" s="10" t="inlineStr">
        <is>
          <t>ONS-0378</t>
        </is>
      </c>
    </row>
    <row r="383">
      <c r="A383" s="16">
        <f>IF($C383="","",IFERROR(IF(INDEX(tbl_Finance[Latest Invoice Date],MATCH($X383,tbl_Finance[Row ID],0))="","",INDEX(tbl_Finance[Latest Invoice Date],MATCH($X383,tbl_Finance[Row ID],0))),""))</f>
        <v/>
      </c>
      <c r="B383" s="10">
        <f>IF($C383="","",IFERROR(INDEX(tbl_Finance[Invoice Numbers],MATCH($X383,tbl_Finance[Row ID],0))&amp;"",""))</f>
        <v/>
      </c>
      <c r="C383" s="37" t="n"/>
      <c r="D383" s="10">
        <f>IF($C383="","",IF(COUNTIF(lst_Jobs,$C383&amp;"")&gt;0,"OK","CHECK"))</f>
        <v/>
      </c>
      <c r="E383" s="10">
        <f>IF($C383="","",IFERROR(INDEX(lst_JobName,MATCH($C383&amp;"",lst_Jobs,0)),""))</f>
        <v/>
      </c>
      <c r="F383" s="37" t="n"/>
      <c r="G383" s="37" t="n"/>
      <c r="H383" s="37" t="n"/>
      <c r="I383" s="37" t="n"/>
      <c r="J383" s="37" t="n"/>
      <c r="K383" s="38">
        <f>IF($C383="","",IFERROR(N(INDEX(tbl_Finance[Invoice Count],MATCH($X383,tbl_Finance[Row ID],0))),""))</f>
        <v/>
      </c>
      <c r="L383" s="11">
        <f>IF($C383="","",IFERROR(N(INDEX(tbl_Finance[Xero Invoiced Ex GST],MATCH($X383,tbl_Finance[Row ID],0))),""))</f>
        <v/>
      </c>
      <c r="M383" s="10">
        <f>IF($C383="","",IFERROR(INDEX(tbl_Finance[Compare],MATCH($X383,tbl_Finance[Row ID],0))&amp;"",""))</f>
        <v/>
      </c>
      <c r="N383" s="11">
        <f>IF($C383="","",MAX(0,N(O383)-N(L383)))</f>
        <v/>
      </c>
      <c r="O383" s="39" t="n"/>
      <c r="P383" s="40">
        <f>IF($C383="","",IF((IF(F383="",", Client","")&amp;IF(G383="",", Description","")&amp;IF(H383="",", Cost Centre","")&amp;IF(I383="",", Invoice Type","")&amp;IF(J383="",", Tax Code","")&amp;IF(O383="",", Expected Revenue","")&amp;IF(COUNTIF(tbl_Finance[Job Number],$C383&amp;"")&gt;1,", Job number used twice",""))="","Complete","Fix: "&amp;MID(IF(F383="",", Client","")&amp;IF(G383="",", Description","")&amp;IF(H383="",", Cost Centre","")&amp;IF(I383="",", Invoice Type","")&amp;IF(J383="",", Tax Code","")&amp;IF(O383="",", Expected Revenue","")&amp;IF(COUNTIF(tbl_Finance[Job Number],$C383&amp;"")&gt;1,", Job number used twice",""),3,300)))</f>
        <v/>
      </c>
      <c r="Q383" s="10">
        <f>IF($C383="","",IF(H383="","(no cost centre)",H383&amp;" - GL "&amp;IFERROR(INDEX(lst_CCtoGL,MATCH(H383,lst_CCforGL,0)),"?")))</f>
        <v/>
      </c>
      <c r="R383" s="37" t="n"/>
      <c r="S383" s="37" t="n"/>
      <c r="T383" s="10">
        <f>IF(S383="","",HYPERLINK(IF(LEFT(S383,4)="http",S383,set_QwilrBase&amp;S383),"Open quote"))</f>
        <v/>
      </c>
      <c r="U383" s="41" t="n"/>
      <c r="V383" s="37" t="n"/>
      <c r="W383" s="37" t="n"/>
      <c r="X383" s="10" t="inlineStr">
        <is>
          <t>ONS-0379</t>
        </is>
      </c>
    </row>
    <row r="384">
      <c r="A384" s="16">
        <f>IF($C384="","",IFERROR(IF(INDEX(tbl_Finance[Latest Invoice Date],MATCH($X384,tbl_Finance[Row ID],0))="","",INDEX(tbl_Finance[Latest Invoice Date],MATCH($X384,tbl_Finance[Row ID],0))),""))</f>
        <v/>
      </c>
      <c r="B384" s="10">
        <f>IF($C384="","",IFERROR(INDEX(tbl_Finance[Invoice Numbers],MATCH($X384,tbl_Finance[Row ID],0))&amp;"",""))</f>
        <v/>
      </c>
      <c r="C384" s="37" t="n"/>
      <c r="D384" s="10">
        <f>IF($C384="","",IF(COUNTIF(lst_Jobs,$C384&amp;"")&gt;0,"OK","CHECK"))</f>
        <v/>
      </c>
      <c r="E384" s="10">
        <f>IF($C384="","",IFERROR(INDEX(lst_JobName,MATCH($C384&amp;"",lst_Jobs,0)),""))</f>
        <v/>
      </c>
      <c r="F384" s="37" t="n"/>
      <c r="G384" s="37" t="n"/>
      <c r="H384" s="37" t="n"/>
      <c r="I384" s="37" t="n"/>
      <c r="J384" s="37" t="n"/>
      <c r="K384" s="38">
        <f>IF($C384="","",IFERROR(N(INDEX(tbl_Finance[Invoice Count],MATCH($X384,tbl_Finance[Row ID],0))),""))</f>
        <v/>
      </c>
      <c r="L384" s="11">
        <f>IF($C384="","",IFERROR(N(INDEX(tbl_Finance[Xero Invoiced Ex GST],MATCH($X384,tbl_Finance[Row ID],0))),""))</f>
        <v/>
      </c>
      <c r="M384" s="10">
        <f>IF($C384="","",IFERROR(INDEX(tbl_Finance[Compare],MATCH($X384,tbl_Finance[Row ID],0))&amp;"",""))</f>
        <v/>
      </c>
      <c r="N384" s="11">
        <f>IF($C384="","",MAX(0,N(O384)-N(L384)))</f>
        <v/>
      </c>
      <c r="O384" s="39" t="n"/>
      <c r="P384" s="40">
        <f>IF($C384="","",IF((IF(F384="",", Client","")&amp;IF(G384="",", Description","")&amp;IF(H384="",", Cost Centre","")&amp;IF(I384="",", Invoice Type","")&amp;IF(J384="",", Tax Code","")&amp;IF(O384="",", Expected Revenue","")&amp;IF(COUNTIF(tbl_Finance[Job Number],$C384&amp;"")&gt;1,", Job number used twice",""))="","Complete","Fix: "&amp;MID(IF(F384="",", Client","")&amp;IF(G384="",", Description","")&amp;IF(H384="",", Cost Centre","")&amp;IF(I384="",", Invoice Type","")&amp;IF(J384="",", Tax Code","")&amp;IF(O384="",", Expected Revenue","")&amp;IF(COUNTIF(tbl_Finance[Job Number],$C384&amp;"")&gt;1,", Job number used twice",""),3,300)))</f>
        <v/>
      </c>
      <c r="Q384" s="10">
        <f>IF($C384="","",IF(H384="","(no cost centre)",H384&amp;" - GL "&amp;IFERROR(INDEX(lst_CCtoGL,MATCH(H384,lst_CCforGL,0)),"?")))</f>
        <v/>
      </c>
      <c r="R384" s="37" t="n"/>
      <c r="S384" s="37" t="n"/>
      <c r="T384" s="10">
        <f>IF(S384="","",HYPERLINK(IF(LEFT(S384,4)="http",S384,set_QwilrBase&amp;S384),"Open quote"))</f>
        <v/>
      </c>
      <c r="U384" s="41" t="n"/>
      <c r="V384" s="37" t="n"/>
      <c r="W384" s="37" t="n"/>
      <c r="X384" s="10" t="inlineStr">
        <is>
          <t>ONS-0380</t>
        </is>
      </c>
    </row>
    <row r="385">
      <c r="A385" s="16">
        <f>IF($C385="","",IFERROR(IF(INDEX(tbl_Finance[Latest Invoice Date],MATCH($X385,tbl_Finance[Row ID],0))="","",INDEX(tbl_Finance[Latest Invoice Date],MATCH($X385,tbl_Finance[Row ID],0))),""))</f>
        <v/>
      </c>
      <c r="B385" s="10">
        <f>IF($C385="","",IFERROR(INDEX(tbl_Finance[Invoice Numbers],MATCH($X385,tbl_Finance[Row ID],0))&amp;"",""))</f>
        <v/>
      </c>
      <c r="C385" s="37" t="n"/>
      <c r="D385" s="10">
        <f>IF($C385="","",IF(COUNTIF(lst_Jobs,$C385&amp;"")&gt;0,"OK","CHECK"))</f>
        <v/>
      </c>
      <c r="E385" s="10">
        <f>IF($C385="","",IFERROR(INDEX(lst_JobName,MATCH($C385&amp;"",lst_Jobs,0)),""))</f>
        <v/>
      </c>
      <c r="F385" s="37" t="n"/>
      <c r="G385" s="37" t="n"/>
      <c r="H385" s="37" t="n"/>
      <c r="I385" s="37" t="n"/>
      <c r="J385" s="37" t="n"/>
      <c r="K385" s="38">
        <f>IF($C385="","",IFERROR(N(INDEX(tbl_Finance[Invoice Count],MATCH($X385,tbl_Finance[Row ID],0))),""))</f>
        <v/>
      </c>
      <c r="L385" s="11">
        <f>IF($C385="","",IFERROR(N(INDEX(tbl_Finance[Xero Invoiced Ex GST],MATCH($X385,tbl_Finance[Row ID],0))),""))</f>
        <v/>
      </c>
      <c r="M385" s="10">
        <f>IF($C385="","",IFERROR(INDEX(tbl_Finance[Compare],MATCH($X385,tbl_Finance[Row ID],0))&amp;"",""))</f>
        <v/>
      </c>
      <c r="N385" s="11">
        <f>IF($C385="","",MAX(0,N(O385)-N(L385)))</f>
        <v/>
      </c>
      <c r="O385" s="39" t="n"/>
      <c r="P385" s="40">
        <f>IF($C385="","",IF((IF(F385="",", Client","")&amp;IF(G385="",", Description","")&amp;IF(H385="",", Cost Centre","")&amp;IF(I385="",", Invoice Type","")&amp;IF(J385="",", Tax Code","")&amp;IF(O385="",", Expected Revenue","")&amp;IF(COUNTIF(tbl_Finance[Job Number],$C385&amp;"")&gt;1,", Job number used twice",""))="","Complete","Fix: "&amp;MID(IF(F385="",", Client","")&amp;IF(G385="",", Description","")&amp;IF(H385="",", Cost Centre","")&amp;IF(I385="",", Invoice Type","")&amp;IF(J385="",", Tax Code","")&amp;IF(O385="",", Expected Revenue","")&amp;IF(COUNTIF(tbl_Finance[Job Number],$C385&amp;"")&gt;1,", Job number used twice",""),3,300)))</f>
        <v/>
      </c>
      <c r="Q385" s="10">
        <f>IF($C385="","",IF(H385="","(no cost centre)",H385&amp;" - GL "&amp;IFERROR(INDEX(lst_CCtoGL,MATCH(H385,lst_CCforGL,0)),"?")))</f>
        <v/>
      </c>
      <c r="R385" s="37" t="n"/>
      <c r="S385" s="37" t="n"/>
      <c r="T385" s="10">
        <f>IF(S385="","",HYPERLINK(IF(LEFT(S385,4)="http",S385,set_QwilrBase&amp;S385),"Open quote"))</f>
        <v/>
      </c>
      <c r="U385" s="41" t="n"/>
      <c r="V385" s="37" t="n"/>
      <c r="W385" s="37" t="n"/>
      <c r="X385" s="10" t="inlineStr">
        <is>
          <t>ONS-0381</t>
        </is>
      </c>
    </row>
    <row r="386">
      <c r="A386" s="16">
        <f>IF($C386="","",IFERROR(IF(INDEX(tbl_Finance[Latest Invoice Date],MATCH($X386,tbl_Finance[Row ID],0))="","",INDEX(tbl_Finance[Latest Invoice Date],MATCH($X386,tbl_Finance[Row ID],0))),""))</f>
        <v/>
      </c>
      <c r="B386" s="10">
        <f>IF($C386="","",IFERROR(INDEX(tbl_Finance[Invoice Numbers],MATCH($X386,tbl_Finance[Row ID],0))&amp;"",""))</f>
        <v/>
      </c>
      <c r="C386" s="37" t="n"/>
      <c r="D386" s="10">
        <f>IF($C386="","",IF(COUNTIF(lst_Jobs,$C386&amp;"")&gt;0,"OK","CHECK"))</f>
        <v/>
      </c>
      <c r="E386" s="10">
        <f>IF($C386="","",IFERROR(INDEX(lst_JobName,MATCH($C386&amp;"",lst_Jobs,0)),""))</f>
        <v/>
      </c>
      <c r="F386" s="37" t="n"/>
      <c r="G386" s="37" t="n"/>
      <c r="H386" s="37" t="n"/>
      <c r="I386" s="37" t="n"/>
      <c r="J386" s="37" t="n"/>
      <c r="K386" s="38">
        <f>IF($C386="","",IFERROR(N(INDEX(tbl_Finance[Invoice Count],MATCH($X386,tbl_Finance[Row ID],0))),""))</f>
        <v/>
      </c>
      <c r="L386" s="11">
        <f>IF($C386="","",IFERROR(N(INDEX(tbl_Finance[Xero Invoiced Ex GST],MATCH($X386,tbl_Finance[Row ID],0))),""))</f>
        <v/>
      </c>
      <c r="M386" s="10">
        <f>IF($C386="","",IFERROR(INDEX(tbl_Finance[Compare],MATCH($X386,tbl_Finance[Row ID],0))&amp;"",""))</f>
        <v/>
      </c>
      <c r="N386" s="11">
        <f>IF($C386="","",MAX(0,N(O386)-N(L386)))</f>
        <v/>
      </c>
      <c r="O386" s="39" t="n"/>
      <c r="P386" s="40">
        <f>IF($C386="","",IF((IF(F386="",", Client","")&amp;IF(G386="",", Description","")&amp;IF(H386="",", Cost Centre","")&amp;IF(I386="",", Invoice Type","")&amp;IF(J386="",", Tax Code","")&amp;IF(O386="",", Expected Revenue","")&amp;IF(COUNTIF(tbl_Finance[Job Number],$C386&amp;"")&gt;1,", Job number used twice",""))="","Complete","Fix: "&amp;MID(IF(F386="",", Client","")&amp;IF(G386="",", Description","")&amp;IF(H386="",", Cost Centre","")&amp;IF(I386="",", Invoice Type","")&amp;IF(J386="",", Tax Code","")&amp;IF(O386="",", Expected Revenue","")&amp;IF(COUNTIF(tbl_Finance[Job Number],$C386&amp;"")&gt;1,", Job number used twice",""),3,300)))</f>
        <v/>
      </c>
      <c r="Q386" s="10">
        <f>IF($C386="","",IF(H386="","(no cost centre)",H386&amp;" - GL "&amp;IFERROR(INDEX(lst_CCtoGL,MATCH(H386,lst_CCforGL,0)),"?")))</f>
        <v/>
      </c>
      <c r="R386" s="37" t="n"/>
      <c r="S386" s="37" t="n"/>
      <c r="T386" s="10">
        <f>IF(S386="","",HYPERLINK(IF(LEFT(S386,4)="http",S386,set_QwilrBase&amp;S386),"Open quote"))</f>
        <v/>
      </c>
      <c r="U386" s="41" t="n"/>
      <c r="V386" s="37" t="n"/>
      <c r="W386" s="37" t="n"/>
      <c r="X386" s="10" t="inlineStr">
        <is>
          <t>ONS-0382</t>
        </is>
      </c>
    </row>
    <row r="387">
      <c r="A387" s="16">
        <f>IF($C387="","",IFERROR(IF(INDEX(tbl_Finance[Latest Invoice Date],MATCH($X387,tbl_Finance[Row ID],0))="","",INDEX(tbl_Finance[Latest Invoice Date],MATCH($X387,tbl_Finance[Row ID],0))),""))</f>
        <v/>
      </c>
      <c r="B387" s="10">
        <f>IF($C387="","",IFERROR(INDEX(tbl_Finance[Invoice Numbers],MATCH($X387,tbl_Finance[Row ID],0))&amp;"",""))</f>
        <v/>
      </c>
      <c r="C387" s="37" t="n"/>
      <c r="D387" s="10">
        <f>IF($C387="","",IF(COUNTIF(lst_Jobs,$C387&amp;"")&gt;0,"OK","CHECK"))</f>
        <v/>
      </c>
      <c r="E387" s="10">
        <f>IF($C387="","",IFERROR(INDEX(lst_JobName,MATCH($C387&amp;"",lst_Jobs,0)),""))</f>
        <v/>
      </c>
      <c r="F387" s="37" t="n"/>
      <c r="G387" s="37" t="n"/>
      <c r="H387" s="37" t="n"/>
      <c r="I387" s="37" t="n"/>
      <c r="J387" s="37" t="n"/>
      <c r="K387" s="38">
        <f>IF($C387="","",IFERROR(N(INDEX(tbl_Finance[Invoice Count],MATCH($X387,tbl_Finance[Row ID],0))),""))</f>
        <v/>
      </c>
      <c r="L387" s="11">
        <f>IF($C387="","",IFERROR(N(INDEX(tbl_Finance[Xero Invoiced Ex GST],MATCH($X387,tbl_Finance[Row ID],0))),""))</f>
        <v/>
      </c>
      <c r="M387" s="10">
        <f>IF($C387="","",IFERROR(INDEX(tbl_Finance[Compare],MATCH($X387,tbl_Finance[Row ID],0))&amp;"",""))</f>
        <v/>
      </c>
      <c r="N387" s="11">
        <f>IF($C387="","",MAX(0,N(O387)-N(L387)))</f>
        <v/>
      </c>
      <c r="O387" s="39" t="n"/>
      <c r="P387" s="40">
        <f>IF($C387="","",IF((IF(F387="",", Client","")&amp;IF(G387="",", Description","")&amp;IF(H387="",", Cost Centre","")&amp;IF(I387="",", Invoice Type","")&amp;IF(J387="",", Tax Code","")&amp;IF(O387="",", Expected Revenue","")&amp;IF(COUNTIF(tbl_Finance[Job Number],$C387&amp;"")&gt;1,", Job number used twice",""))="","Complete","Fix: "&amp;MID(IF(F387="",", Client","")&amp;IF(G387="",", Description","")&amp;IF(H387="",", Cost Centre","")&amp;IF(I387="",", Invoice Type","")&amp;IF(J387="",", Tax Code","")&amp;IF(O387="",", Expected Revenue","")&amp;IF(COUNTIF(tbl_Finance[Job Number],$C387&amp;"")&gt;1,", Job number used twice",""),3,300)))</f>
        <v/>
      </c>
      <c r="Q387" s="10">
        <f>IF($C387="","",IF(H387="","(no cost centre)",H387&amp;" - GL "&amp;IFERROR(INDEX(lst_CCtoGL,MATCH(H387,lst_CCforGL,0)),"?")))</f>
        <v/>
      </c>
      <c r="R387" s="37" t="n"/>
      <c r="S387" s="37" t="n"/>
      <c r="T387" s="10">
        <f>IF(S387="","",HYPERLINK(IF(LEFT(S387,4)="http",S387,set_QwilrBase&amp;S387),"Open quote"))</f>
        <v/>
      </c>
      <c r="U387" s="41" t="n"/>
      <c r="V387" s="37" t="n"/>
      <c r="W387" s="37" t="n"/>
      <c r="X387" s="10" t="inlineStr">
        <is>
          <t>ONS-0383</t>
        </is>
      </c>
    </row>
    <row r="388">
      <c r="A388" s="16">
        <f>IF($C388="","",IFERROR(IF(INDEX(tbl_Finance[Latest Invoice Date],MATCH($X388,tbl_Finance[Row ID],0))="","",INDEX(tbl_Finance[Latest Invoice Date],MATCH($X388,tbl_Finance[Row ID],0))),""))</f>
        <v/>
      </c>
      <c r="B388" s="10">
        <f>IF($C388="","",IFERROR(INDEX(tbl_Finance[Invoice Numbers],MATCH($X388,tbl_Finance[Row ID],0))&amp;"",""))</f>
        <v/>
      </c>
      <c r="C388" s="37" t="n"/>
      <c r="D388" s="10">
        <f>IF($C388="","",IF(COUNTIF(lst_Jobs,$C388&amp;"")&gt;0,"OK","CHECK"))</f>
        <v/>
      </c>
      <c r="E388" s="10">
        <f>IF($C388="","",IFERROR(INDEX(lst_JobName,MATCH($C388&amp;"",lst_Jobs,0)),""))</f>
        <v/>
      </c>
      <c r="F388" s="37" t="n"/>
      <c r="G388" s="37" t="n"/>
      <c r="H388" s="37" t="n"/>
      <c r="I388" s="37" t="n"/>
      <c r="J388" s="37" t="n"/>
      <c r="K388" s="38">
        <f>IF($C388="","",IFERROR(N(INDEX(tbl_Finance[Invoice Count],MATCH($X388,tbl_Finance[Row ID],0))),""))</f>
        <v/>
      </c>
      <c r="L388" s="11">
        <f>IF($C388="","",IFERROR(N(INDEX(tbl_Finance[Xero Invoiced Ex GST],MATCH($X388,tbl_Finance[Row ID],0))),""))</f>
        <v/>
      </c>
      <c r="M388" s="10">
        <f>IF($C388="","",IFERROR(INDEX(tbl_Finance[Compare],MATCH($X388,tbl_Finance[Row ID],0))&amp;"",""))</f>
        <v/>
      </c>
      <c r="N388" s="11">
        <f>IF($C388="","",MAX(0,N(O388)-N(L388)))</f>
        <v/>
      </c>
      <c r="O388" s="39" t="n"/>
      <c r="P388" s="40">
        <f>IF($C388="","",IF((IF(F388="",", Client","")&amp;IF(G388="",", Description","")&amp;IF(H388="",", Cost Centre","")&amp;IF(I388="",", Invoice Type","")&amp;IF(J388="",", Tax Code","")&amp;IF(O388="",", Expected Revenue","")&amp;IF(COUNTIF(tbl_Finance[Job Number],$C388&amp;"")&gt;1,", Job number used twice",""))="","Complete","Fix: "&amp;MID(IF(F388="",", Client","")&amp;IF(G388="",", Description","")&amp;IF(H388="",", Cost Centre","")&amp;IF(I388="",", Invoice Type","")&amp;IF(J388="",", Tax Code","")&amp;IF(O388="",", Expected Revenue","")&amp;IF(COUNTIF(tbl_Finance[Job Number],$C388&amp;"")&gt;1,", Job number used twice",""),3,300)))</f>
        <v/>
      </c>
      <c r="Q388" s="10">
        <f>IF($C388="","",IF(H388="","(no cost centre)",H388&amp;" - GL "&amp;IFERROR(INDEX(lst_CCtoGL,MATCH(H388,lst_CCforGL,0)),"?")))</f>
        <v/>
      </c>
      <c r="R388" s="37" t="n"/>
      <c r="S388" s="37" t="n"/>
      <c r="T388" s="10">
        <f>IF(S388="","",HYPERLINK(IF(LEFT(S388,4)="http",S388,set_QwilrBase&amp;S388),"Open quote"))</f>
        <v/>
      </c>
      <c r="U388" s="41" t="n"/>
      <c r="V388" s="37" t="n"/>
      <c r="W388" s="37" t="n"/>
      <c r="X388" s="10" t="inlineStr">
        <is>
          <t>ONS-0384</t>
        </is>
      </c>
    </row>
    <row r="389">
      <c r="A389" s="16">
        <f>IF($C389="","",IFERROR(IF(INDEX(tbl_Finance[Latest Invoice Date],MATCH($X389,tbl_Finance[Row ID],0))="","",INDEX(tbl_Finance[Latest Invoice Date],MATCH($X389,tbl_Finance[Row ID],0))),""))</f>
        <v/>
      </c>
      <c r="B389" s="10">
        <f>IF($C389="","",IFERROR(INDEX(tbl_Finance[Invoice Numbers],MATCH($X389,tbl_Finance[Row ID],0))&amp;"",""))</f>
        <v/>
      </c>
      <c r="C389" s="37" t="n"/>
      <c r="D389" s="10">
        <f>IF($C389="","",IF(COUNTIF(lst_Jobs,$C389&amp;"")&gt;0,"OK","CHECK"))</f>
        <v/>
      </c>
      <c r="E389" s="10">
        <f>IF($C389="","",IFERROR(INDEX(lst_JobName,MATCH($C389&amp;"",lst_Jobs,0)),""))</f>
        <v/>
      </c>
      <c r="F389" s="37" t="n"/>
      <c r="G389" s="37" t="n"/>
      <c r="H389" s="37" t="n"/>
      <c r="I389" s="37" t="n"/>
      <c r="J389" s="37" t="n"/>
      <c r="K389" s="38">
        <f>IF($C389="","",IFERROR(N(INDEX(tbl_Finance[Invoice Count],MATCH($X389,tbl_Finance[Row ID],0))),""))</f>
        <v/>
      </c>
      <c r="L389" s="11">
        <f>IF($C389="","",IFERROR(N(INDEX(tbl_Finance[Xero Invoiced Ex GST],MATCH($X389,tbl_Finance[Row ID],0))),""))</f>
        <v/>
      </c>
      <c r="M389" s="10">
        <f>IF($C389="","",IFERROR(INDEX(tbl_Finance[Compare],MATCH($X389,tbl_Finance[Row ID],0))&amp;"",""))</f>
        <v/>
      </c>
      <c r="N389" s="11">
        <f>IF($C389="","",MAX(0,N(O389)-N(L389)))</f>
        <v/>
      </c>
      <c r="O389" s="39" t="n"/>
      <c r="P389" s="40">
        <f>IF($C389="","",IF((IF(F389="",", Client","")&amp;IF(G389="",", Description","")&amp;IF(H389="",", Cost Centre","")&amp;IF(I389="",", Invoice Type","")&amp;IF(J389="",", Tax Code","")&amp;IF(O389="",", Expected Revenue","")&amp;IF(COUNTIF(tbl_Finance[Job Number],$C389&amp;"")&gt;1,", Job number used twice",""))="","Complete","Fix: "&amp;MID(IF(F389="",", Client","")&amp;IF(G389="",", Description","")&amp;IF(H389="",", Cost Centre","")&amp;IF(I389="",", Invoice Type","")&amp;IF(J389="",", Tax Code","")&amp;IF(O389="",", Expected Revenue","")&amp;IF(COUNTIF(tbl_Finance[Job Number],$C389&amp;"")&gt;1,", Job number used twice",""),3,300)))</f>
        <v/>
      </c>
      <c r="Q389" s="10">
        <f>IF($C389="","",IF(H389="","(no cost centre)",H389&amp;" - GL "&amp;IFERROR(INDEX(lst_CCtoGL,MATCH(H389,lst_CCforGL,0)),"?")))</f>
        <v/>
      </c>
      <c r="R389" s="37" t="n"/>
      <c r="S389" s="37" t="n"/>
      <c r="T389" s="10">
        <f>IF(S389="","",HYPERLINK(IF(LEFT(S389,4)="http",S389,set_QwilrBase&amp;S389),"Open quote"))</f>
        <v/>
      </c>
      <c r="U389" s="41" t="n"/>
      <c r="V389" s="37" t="n"/>
      <c r="W389" s="37" t="n"/>
      <c r="X389" s="10" t="inlineStr">
        <is>
          <t>ONS-0385</t>
        </is>
      </c>
    </row>
    <row r="390">
      <c r="A390" s="16">
        <f>IF($C390="","",IFERROR(IF(INDEX(tbl_Finance[Latest Invoice Date],MATCH($X390,tbl_Finance[Row ID],0))="","",INDEX(tbl_Finance[Latest Invoice Date],MATCH($X390,tbl_Finance[Row ID],0))),""))</f>
        <v/>
      </c>
      <c r="B390" s="10">
        <f>IF($C390="","",IFERROR(INDEX(tbl_Finance[Invoice Numbers],MATCH($X390,tbl_Finance[Row ID],0))&amp;"",""))</f>
        <v/>
      </c>
      <c r="C390" s="37" t="n"/>
      <c r="D390" s="10">
        <f>IF($C390="","",IF(COUNTIF(lst_Jobs,$C390&amp;"")&gt;0,"OK","CHECK"))</f>
        <v/>
      </c>
      <c r="E390" s="10">
        <f>IF($C390="","",IFERROR(INDEX(lst_JobName,MATCH($C390&amp;"",lst_Jobs,0)),""))</f>
        <v/>
      </c>
      <c r="F390" s="37" t="n"/>
      <c r="G390" s="37" t="n"/>
      <c r="H390" s="37" t="n"/>
      <c r="I390" s="37" t="n"/>
      <c r="J390" s="37" t="n"/>
      <c r="K390" s="38">
        <f>IF($C390="","",IFERROR(N(INDEX(tbl_Finance[Invoice Count],MATCH($X390,tbl_Finance[Row ID],0))),""))</f>
        <v/>
      </c>
      <c r="L390" s="11">
        <f>IF($C390="","",IFERROR(N(INDEX(tbl_Finance[Xero Invoiced Ex GST],MATCH($X390,tbl_Finance[Row ID],0))),""))</f>
        <v/>
      </c>
      <c r="M390" s="10">
        <f>IF($C390="","",IFERROR(INDEX(tbl_Finance[Compare],MATCH($X390,tbl_Finance[Row ID],0))&amp;"",""))</f>
        <v/>
      </c>
      <c r="N390" s="11">
        <f>IF($C390="","",MAX(0,N(O390)-N(L390)))</f>
        <v/>
      </c>
      <c r="O390" s="39" t="n"/>
      <c r="P390" s="40">
        <f>IF($C390="","",IF((IF(F390="",", Client","")&amp;IF(G390="",", Description","")&amp;IF(H390="",", Cost Centre","")&amp;IF(I390="",", Invoice Type","")&amp;IF(J390="",", Tax Code","")&amp;IF(O390="",", Expected Revenue","")&amp;IF(COUNTIF(tbl_Finance[Job Number],$C390&amp;"")&gt;1,", Job number used twice",""))="","Complete","Fix: "&amp;MID(IF(F390="",", Client","")&amp;IF(G390="",", Description","")&amp;IF(H390="",", Cost Centre","")&amp;IF(I390="",", Invoice Type","")&amp;IF(J390="",", Tax Code","")&amp;IF(O390="",", Expected Revenue","")&amp;IF(COUNTIF(tbl_Finance[Job Number],$C390&amp;"")&gt;1,", Job number used twice",""),3,300)))</f>
        <v/>
      </c>
      <c r="Q390" s="10">
        <f>IF($C390="","",IF(H390="","(no cost centre)",H390&amp;" - GL "&amp;IFERROR(INDEX(lst_CCtoGL,MATCH(H390,lst_CCforGL,0)),"?")))</f>
        <v/>
      </c>
      <c r="R390" s="37" t="n"/>
      <c r="S390" s="37" t="n"/>
      <c r="T390" s="10">
        <f>IF(S390="","",HYPERLINK(IF(LEFT(S390,4)="http",S390,set_QwilrBase&amp;S390),"Open quote"))</f>
        <v/>
      </c>
      <c r="U390" s="41" t="n"/>
      <c r="V390" s="37" t="n"/>
      <c r="W390" s="37" t="n"/>
      <c r="X390" s="10" t="inlineStr">
        <is>
          <t>ONS-0386</t>
        </is>
      </c>
    </row>
    <row r="391">
      <c r="A391" s="16">
        <f>IF($C391="","",IFERROR(IF(INDEX(tbl_Finance[Latest Invoice Date],MATCH($X391,tbl_Finance[Row ID],0))="","",INDEX(tbl_Finance[Latest Invoice Date],MATCH($X391,tbl_Finance[Row ID],0))),""))</f>
        <v/>
      </c>
      <c r="B391" s="10">
        <f>IF($C391="","",IFERROR(INDEX(tbl_Finance[Invoice Numbers],MATCH($X391,tbl_Finance[Row ID],0))&amp;"",""))</f>
        <v/>
      </c>
      <c r="C391" s="37" t="n"/>
      <c r="D391" s="10">
        <f>IF($C391="","",IF(COUNTIF(lst_Jobs,$C391&amp;"")&gt;0,"OK","CHECK"))</f>
        <v/>
      </c>
      <c r="E391" s="10">
        <f>IF($C391="","",IFERROR(INDEX(lst_JobName,MATCH($C391&amp;"",lst_Jobs,0)),""))</f>
        <v/>
      </c>
      <c r="F391" s="37" t="n"/>
      <c r="G391" s="37" t="n"/>
      <c r="H391" s="37" t="n"/>
      <c r="I391" s="37" t="n"/>
      <c r="J391" s="37" t="n"/>
      <c r="K391" s="38">
        <f>IF($C391="","",IFERROR(N(INDEX(tbl_Finance[Invoice Count],MATCH($X391,tbl_Finance[Row ID],0))),""))</f>
        <v/>
      </c>
      <c r="L391" s="11">
        <f>IF($C391="","",IFERROR(N(INDEX(tbl_Finance[Xero Invoiced Ex GST],MATCH($X391,tbl_Finance[Row ID],0))),""))</f>
        <v/>
      </c>
      <c r="M391" s="10">
        <f>IF($C391="","",IFERROR(INDEX(tbl_Finance[Compare],MATCH($X391,tbl_Finance[Row ID],0))&amp;"",""))</f>
        <v/>
      </c>
      <c r="N391" s="11">
        <f>IF($C391="","",MAX(0,N(O391)-N(L391)))</f>
        <v/>
      </c>
      <c r="O391" s="39" t="n"/>
      <c r="P391" s="40">
        <f>IF($C391="","",IF((IF(F391="",", Client","")&amp;IF(G391="",", Description","")&amp;IF(H391="",", Cost Centre","")&amp;IF(I391="",", Invoice Type","")&amp;IF(J391="",", Tax Code","")&amp;IF(O391="",", Expected Revenue","")&amp;IF(COUNTIF(tbl_Finance[Job Number],$C391&amp;"")&gt;1,", Job number used twice",""))="","Complete","Fix: "&amp;MID(IF(F391="",", Client","")&amp;IF(G391="",", Description","")&amp;IF(H391="",", Cost Centre","")&amp;IF(I391="",", Invoice Type","")&amp;IF(J391="",", Tax Code","")&amp;IF(O391="",", Expected Revenue","")&amp;IF(COUNTIF(tbl_Finance[Job Number],$C391&amp;"")&gt;1,", Job number used twice",""),3,300)))</f>
        <v/>
      </c>
      <c r="Q391" s="10">
        <f>IF($C391="","",IF(H391="","(no cost centre)",H391&amp;" - GL "&amp;IFERROR(INDEX(lst_CCtoGL,MATCH(H391,lst_CCforGL,0)),"?")))</f>
        <v/>
      </c>
      <c r="R391" s="37" t="n"/>
      <c r="S391" s="37" t="n"/>
      <c r="T391" s="10">
        <f>IF(S391="","",HYPERLINK(IF(LEFT(S391,4)="http",S391,set_QwilrBase&amp;S391),"Open quote"))</f>
        <v/>
      </c>
      <c r="U391" s="41" t="n"/>
      <c r="V391" s="37" t="n"/>
      <c r="W391" s="37" t="n"/>
      <c r="X391" s="10" t="inlineStr">
        <is>
          <t>ONS-0387</t>
        </is>
      </c>
    </row>
    <row r="392">
      <c r="A392" s="16">
        <f>IF($C392="","",IFERROR(IF(INDEX(tbl_Finance[Latest Invoice Date],MATCH($X392,tbl_Finance[Row ID],0))="","",INDEX(tbl_Finance[Latest Invoice Date],MATCH($X392,tbl_Finance[Row ID],0))),""))</f>
        <v/>
      </c>
      <c r="B392" s="10">
        <f>IF($C392="","",IFERROR(INDEX(tbl_Finance[Invoice Numbers],MATCH($X392,tbl_Finance[Row ID],0))&amp;"",""))</f>
        <v/>
      </c>
      <c r="C392" s="37" t="n"/>
      <c r="D392" s="10">
        <f>IF($C392="","",IF(COUNTIF(lst_Jobs,$C392&amp;"")&gt;0,"OK","CHECK"))</f>
        <v/>
      </c>
      <c r="E392" s="10">
        <f>IF($C392="","",IFERROR(INDEX(lst_JobName,MATCH($C392&amp;"",lst_Jobs,0)),""))</f>
        <v/>
      </c>
      <c r="F392" s="37" t="n"/>
      <c r="G392" s="37" t="n"/>
      <c r="H392" s="37" t="n"/>
      <c r="I392" s="37" t="n"/>
      <c r="J392" s="37" t="n"/>
      <c r="K392" s="38">
        <f>IF($C392="","",IFERROR(N(INDEX(tbl_Finance[Invoice Count],MATCH($X392,tbl_Finance[Row ID],0))),""))</f>
        <v/>
      </c>
      <c r="L392" s="11">
        <f>IF($C392="","",IFERROR(N(INDEX(tbl_Finance[Xero Invoiced Ex GST],MATCH($X392,tbl_Finance[Row ID],0))),""))</f>
        <v/>
      </c>
      <c r="M392" s="10">
        <f>IF($C392="","",IFERROR(INDEX(tbl_Finance[Compare],MATCH($X392,tbl_Finance[Row ID],0))&amp;"",""))</f>
        <v/>
      </c>
      <c r="N392" s="11">
        <f>IF($C392="","",MAX(0,N(O392)-N(L392)))</f>
        <v/>
      </c>
      <c r="O392" s="39" t="n"/>
      <c r="P392" s="40">
        <f>IF($C392="","",IF((IF(F392="",", Client","")&amp;IF(G392="",", Description","")&amp;IF(H392="",", Cost Centre","")&amp;IF(I392="",", Invoice Type","")&amp;IF(J392="",", Tax Code","")&amp;IF(O392="",", Expected Revenue","")&amp;IF(COUNTIF(tbl_Finance[Job Number],$C392&amp;"")&gt;1,", Job number used twice",""))="","Complete","Fix: "&amp;MID(IF(F392="",", Client","")&amp;IF(G392="",", Description","")&amp;IF(H392="",", Cost Centre","")&amp;IF(I392="",", Invoice Type","")&amp;IF(J392="",", Tax Code","")&amp;IF(O392="",", Expected Revenue","")&amp;IF(COUNTIF(tbl_Finance[Job Number],$C392&amp;"")&gt;1,", Job number used twice",""),3,300)))</f>
        <v/>
      </c>
      <c r="Q392" s="10">
        <f>IF($C392="","",IF(H392="","(no cost centre)",H392&amp;" - GL "&amp;IFERROR(INDEX(lst_CCtoGL,MATCH(H392,lst_CCforGL,0)),"?")))</f>
        <v/>
      </c>
      <c r="R392" s="37" t="n"/>
      <c r="S392" s="37" t="n"/>
      <c r="T392" s="10">
        <f>IF(S392="","",HYPERLINK(IF(LEFT(S392,4)="http",S392,set_QwilrBase&amp;S392),"Open quote"))</f>
        <v/>
      </c>
      <c r="U392" s="41" t="n"/>
      <c r="V392" s="37" t="n"/>
      <c r="W392" s="37" t="n"/>
      <c r="X392" s="10" t="inlineStr">
        <is>
          <t>ONS-0388</t>
        </is>
      </c>
    </row>
    <row r="393">
      <c r="A393" s="16">
        <f>IF($C393="","",IFERROR(IF(INDEX(tbl_Finance[Latest Invoice Date],MATCH($X393,tbl_Finance[Row ID],0))="","",INDEX(tbl_Finance[Latest Invoice Date],MATCH($X393,tbl_Finance[Row ID],0))),""))</f>
        <v/>
      </c>
      <c r="B393" s="10">
        <f>IF($C393="","",IFERROR(INDEX(tbl_Finance[Invoice Numbers],MATCH($X393,tbl_Finance[Row ID],0))&amp;"",""))</f>
        <v/>
      </c>
      <c r="C393" s="37" t="n"/>
      <c r="D393" s="10">
        <f>IF($C393="","",IF(COUNTIF(lst_Jobs,$C393&amp;"")&gt;0,"OK","CHECK"))</f>
        <v/>
      </c>
      <c r="E393" s="10">
        <f>IF($C393="","",IFERROR(INDEX(lst_JobName,MATCH($C393&amp;"",lst_Jobs,0)),""))</f>
        <v/>
      </c>
      <c r="F393" s="37" t="n"/>
      <c r="G393" s="37" t="n"/>
      <c r="H393" s="37" t="n"/>
      <c r="I393" s="37" t="n"/>
      <c r="J393" s="37" t="n"/>
      <c r="K393" s="38">
        <f>IF($C393="","",IFERROR(N(INDEX(tbl_Finance[Invoice Count],MATCH($X393,tbl_Finance[Row ID],0))),""))</f>
        <v/>
      </c>
      <c r="L393" s="11">
        <f>IF($C393="","",IFERROR(N(INDEX(tbl_Finance[Xero Invoiced Ex GST],MATCH($X393,tbl_Finance[Row ID],0))),""))</f>
        <v/>
      </c>
      <c r="M393" s="10">
        <f>IF($C393="","",IFERROR(INDEX(tbl_Finance[Compare],MATCH($X393,tbl_Finance[Row ID],0))&amp;"",""))</f>
        <v/>
      </c>
      <c r="N393" s="11">
        <f>IF($C393="","",MAX(0,N(O393)-N(L393)))</f>
        <v/>
      </c>
      <c r="O393" s="39" t="n"/>
      <c r="P393" s="40">
        <f>IF($C393="","",IF((IF(F393="",", Client","")&amp;IF(G393="",", Description","")&amp;IF(H393="",", Cost Centre","")&amp;IF(I393="",", Invoice Type","")&amp;IF(J393="",", Tax Code","")&amp;IF(O393="",", Expected Revenue","")&amp;IF(COUNTIF(tbl_Finance[Job Number],$C393&amp;"")&gt;1,", Job number used twice",""))="","Complete","Fix: "&amp;MID(IF(F393="",", Client","")&amp;IF(G393="",", Description","")&amp;IF(H393="",", Cost Centre","")&amp;IF(I393="",", Invoice Type","")&amp;IF(J393="",", Tax Code","")&amp;IF(O393="",", Expected Revenue","")&amp;IF(COUNTIF(tbl_Finance[Job Number],$C393&amp;"")&gt;1,", Job number used twice",""),3,300)))</f>
        <v/>
      </c>
      <c r="Q393" s="10">
        <f>IF($C393="","",IF(H393="","(no cost centre)",H393&amp;" - GL "&amp;IFERROR(INDEX(lst_CCtoGL,MATCH(H393,lst_CCforGL,0)),"?")))</f>
        <v/>
      </c>
      <c r="R393" s="37" t="n"/>
      <c r="S393" s="37" t="n"/>
      <c r="T393" s="10">
        <f>IF(S393="","",HYPERLINK(IF(LEFT(S393,4)="http",S393,set_QwilrBase&amp;S393),"Open quote"))</f>
        <v/>
      </c>
      <c r="U393" s="41" t="n"/>
      <c r="V393" s="37" t="n"/>
      <c r="W393" s="37" t="n"/>
      <c r="X393" s="10" t="inlineStr">
        <is>
          <t>ONS-0389</t>
        </is>
      </c>
    </row>
    <row r="394">
      <c r="A394" s="16">
        <f>IF($C394="","",IFERROR(IF(INDEX(tbl_Finance[Latest Invoice Date],MATCH($X394,tbl_Finance[Row ID],0))="","",INDEX(tbl_Finance[Latest Invoice Date],MATCH($X394,tbl_Finance[Row ID],0))),""))</f>
        <v/>
      </c>
      <c r="B394" s="10">
        <f>IF($C394="","",IFERROR(INDEX(tbl_Finance[Invoice Numbers],MATCH($X394,tbl_Finance[Row ID],0))&amp;"",""))</f>
        <v/>
      </c>
      <c r="C394" s="37" t="n"/>
      <c r="D394" s="10">
        <f>IF($C394="","",IF(COUNTIF(lst_Jobs,$C394&amp;"")&gt;0,"OK","CHECK"))</f>
        <v/>
      </c>
      <c r="E394" s="10">
        <f>IF($C394="","",IFERROR(INDEX(lst_JobName,MATCH($C394&amp;"",lst_Jobs,0)),""))</f>
        <v/>
      </c>
      <c r="F394" s="37" t="n"/>
      <c r="G394" s="37" t="n"/>
      <c r="H394" s="37" t="n"/>
      <c r="I394" s="37" t="n"/>
      <c r="J394" s="37" t="n"/>
      <c r="K394" s="38">
        <f>IF($C394="","",IFERROR(N(INDEX(tbl_Finance[Invoice Count],MATCH($X394,tbl_Finance[Row ID],0))),""))</f>
        <v/>
      </c>
      <c r="L394" s="11">
        <f>IF($C394="","",IFERROR(N(INDEX(tbl_Finance[Xero Invoiced Ex GST],MATCH($X394,tbl_Finance[Row ID],0))),""))</f>
        <v/>
      </c>
      <c r="M394" s="10">
        <f>IF($C394="","",IFERROR(INDEX(tbl_Finance[Compare],MATCH($X394,tbl_Finance[Row ID],0))&amp;"",""))</f>
        <v/>
      </c>
      <c r="N394" s="11">
        <f>IF($C394="","",MAX(0,N(O394)-N(L394)))</f>
        <v/>
      </c>
      <c r="O394" s="39" t="n"/>
      <c r="P394" s="40">
        <f>IF($C394="","",IF((IF(F394="",", Client","")&amp;IF(G394="",", Description","")&amp;IF(H394="",", Cost Centre","")&amp;IF(I394="",", Invoice Type","")&amp;IF(J394="",", Tax Code","")&amp;IF(O394="",", Expected Revenue","")&amp;IF(COUNTIF(tbl_Finance[Job Number],$C394&amp;"")&gt;1,", Job number used twice",""))="","Complete","Fix: "&amp;MID(IF(F394="",", Client","")&amp;IF(G394="",", Description","")&amp;IF(H394="",", Cost Centre","")&amp;IF(I394="",", Invoice Type","")&amp;IF(J394="",", Tax Code","")&amp;IF(O394="",", Expected Revenue","")&amp;IF(COUNTIF(tbl_Finance[Job Number],$C394&amp;"")&gt;1,", Job number used twice",""),3,300)))</f>
        <v/>
      </c>
      <c r="Q394" s="10">
        <f>IF($C394="","",IF(H394="","(no cost centre)",H394&amp;" - GL "&amp;IFERROR(INDEX(lst_CCtoGL,MATCH(H394,lst_CCforGL,0)),"?")))</f>
        <v/>
      </c>
      <c r="R394" s="37" t="n"/>
      <c r="S394" s="37" t="n"/>
      <c r="T394" s="10">
        <f>IF(S394="","",HYPERLINK(IF(LEFT(S394,4)="http",S394,set_QwilrBase&amp;S394),"Open quote"))</f>
        <v/>
      </c>
      <c r="U394" s="41" t="n"/>
      <c r="V394" s="37" t="n"/>
      <c r="W394" s="37" t="n"/>
      <c r="X394" s="10" t="inlineStr">
        <is>
          <t>ONS-0390</t>
        </is>
      </c>
    </row>
    <row r="395">
      <c r="A395" s="16">
        <f>IF($C395="","",IFERROR(IF(INDEX(tbl_Finance[Latest Invoice Date],MATCH($X395,tbl_Finance[Row ID],0))="","",INDEX(tbl_Finance[Latest Invoice Date],MATCH($X395,tbl_Finance[Row ID],0))),""))</f>
        <v/>
      </c>
      <c r="B395" s="10">
        <f>IF($C395="","",IFERROR(INDEX(tbl_Finance[Invoice Numbers],MATCH($X395,tbl_Finance[Row ID],0))&amp;"",""))</f>
        <v/>
      </c>
      <c r="C395" s="37" t="n"/>
      <c r="D395" s="10">
        <f>IF($C395="","",IF(COUNTIF(lst_Jobs,$C395&amp;"")&gt;0,"OK","CHECK"))</f>
        <v/>
      </c>
      <c r="E395" s="10">
        <f>IF($C395="","",IFERROR(INDEX(lst_JobName,MATCH($C395&amp;"",lst_Jobs,0)),""))</f>
        <v/>
      </c>
      <c r="F395" s="37" t="n"/>
      <c r="G395" s="37" t="n"/>
      <c r="H395" s="37" t="n"/>
      <c r="I395" s="37" t="n"/>
      <c r="J395" s="37" t="n"/>
      <c r="K395" s="38">
        <f>IF($C395="","",IFERROR(N(INDEX(tbl_Finance[Invoice Count],MATCH($X395,tbl_Finance[Row ID],0))),""))</f>
        <v/>
      </c>
      <c r="L395" s="11">
        <f>IF($C395="","",IFERROR(N(INDEX(tbl_Finance[Xero Invoiced Ex GST],MATCH($X395,tbl_Finance[Row ID],0))),""))</f>
        <v/>
      </c>
      <c r="M395" s="10">
        <f>IF($C395="","",IFERROR(INDEX(tbl_Finance[Compare],MATCH($X395,tbl_Finance[Row ID],0))&amp;"",""))</f>
        <v/>
      </c>
      <c r="N395" s="11">
        <f>IF($C395="","",MAX(0,N(O395)-N(L395)))</f>
        <v/>
      </c>
      <c r="O395" s="39" t="n"/>
      <c r="P395" s="40">
        <f>IF($C395="","",IF((IF(F395="",", Client","")&amp;IF(G395="",", Description","")&amp;IF(H395="",", Cost Centre","")&amp;IF(I395="",", Invoice Type","")&amp;IF(J395="",", Tax Code","")&amp;IF(O395="",", Expected Revenue","")&amp;IF(COUNTIF(tbl_Finance[Job Number],$C395&amp;"")&gt;1,", Job number used twice",""))="","Complete","Fix: "&amp;MID(IF(F395="",", Client","")&amp;IF(G395="",", Description","")&amp;IF(H395="",", Cost Centre","")&amp;IF(I395="",", Invoice Type","")&amp;IF(J395="",", Tax Code","")&amp;IF(O395="",", Expected Revenue","")&amp;IF(COUNTIF(tbl_Finance[Job Number],$C395&amp;"")&gt;1,", Job number used twice",""),3,300)))</f>
        <v/>
      </c>
      <c r="Q395" s="10">
        <f>IF($C395="","",IF(H395="","(no cost centre)",H395&amp;" - GL "&amp;IFERROR(INDEX(lst_CCtoGL,MATCH(H395,lst_CCforGL,0)),"?")))</f>
        <v/>
      </c>
      <c r="R395" s="37" t="n"/>
      <c r="S395" s="37" t="n"/>
      <c r="T395" s="10">
        <f>IF(S395="","",HYPERLINK(IF(LEFT(S395,4)="http",S395,set_QwilrBase&amp;S395),"Open quote"))</f>
        <v/>
      </c>
      <c r="U395" s="41" t="n"/>
      <c r="V395" s="37" t="n"/>
      <c r="W395" s="37" t="n"/>
      <c r="X395" s="10" t="inlineStr">
        <is>
          <t>ONS-0391</t>
        </is>
      </c>
    </row>
    <row r="396">
      <c r="A396" s="16">
        <f>IF($C396="","",IFERROR(IF(INDEX(tbl_Finance[Latest Invoice Date],MATCH($X396,tbl_Finance[Row ID],0))="","",INDEX(tbl_Finance[Latest Invoice Date],MATCH($X396,tbl_Finance[Row ID],0))),""))</f>
        <v/>
      </c>
      <c r="B396" s="10">
        <f>IF($C396="","",IFERROR(INDEX(tbl_Finance[Invoice Numbers],MATCH($X396,tbl_Finance[Row ID],0))&amp;"",""))</f>
        <v/>
      </c>
      <c r="C396" s="37" t="n"/>
      <c r="D396" s="10">
        <f>IF($C396="","",IF(COUNTIF(lst_Jobs,$C396&amp;"")&gt;0,"OK","CHECK"))</f>
        <v/>
      </c>
      <c r="E396" s="10">
        <f>IF($C396="","",IFERROR(INDEX(lst_JobName,MATCH($C396&amp;"",lst_Jobs,0)),""))</f>
        <v/>
      </c>
      <c r="F396" s="37" t="n"/>
      <c r="G396" s="37" t="n"/>
      <c r="H396" s="37" t="n"/>
      <c r="I396" s="37" t="n"/>
      <c r="J396" s="37" t="n"/>
      <c r="K396" s="38">
        <f>IF($C396="","",IFERROR(N(INDEX(tbl_Finance[Invoice Count],MATCH($X396,tbl_Finance[Row ID],0))),""))</f>
        <v/>
      </c>
      <c r="L396" s="11">
        <f>IF($C396="","",IFERROR(N(INDEX(tbl_Finance[Xero Invoiced Ex GST],MATCH($X396,tbl_Finance[Row ID],0))),""))</f>
        <v/>
      </c>
      <c r="M396" s="10">
        <f>IF($C396="","",IFERROR(INDEX(tbl_Finance[Compare],MATCH($X396,tbl_Finance[Row ID],0))&amp;"",""))</f>
        <v/>
      </c>
      <c r="N396" s="11">
        <f>IF($C396="","",MAX(0,N(O396)-N(L396)))</f>
        <v/>
      </c>
      <c r="O396" s="39" t="n"/>
      <c r="P396" s="40">
        <f>IF($C396="","",IF((IF(F396="",", Client","")&amp;IF(G396="",", Description","")&amp;IF(H396="",", Cost Centre","")&amp;IF(I396="",", Invoice Type","")&amp;IF(J396="",", Tax Code","")&amp;IF(O396="",", Expected Revenue","")&amp;IF(COUNTIF(tbl_Finance[Job Number],$C396&amp;"")&gt;1,", Job number used twice",""))="","Complete","Fix: "&amp;MID(IF(F396="",", Client","")&amp;IF(G396="",", Description","")&amp;IF(H396="",", Cost Centre","")&amp;IF(I396="",", Invoice Type","")&amp;IF(J396="",", Tax Code","")&amp;IF(O396="",", Expected Revenue","")&amp;IF(COUNTIF(tbl_Finance[Job Number],$C396&amp;"")&gt;1,", Job number used twice",""),3,300)))</f>
        <v/>
      </c>
      <c r="Q396" s="10">
        <f>IF($C396="","",IF(H396="","(no cost centre)",H396&amp;" - GL "&amp;IFERROR(INDEX(lst_CCtoGL,MATCH(H396,lst_CCforGL,0)),"?")))</f>
        <v/>
      </c>
      <c r="R396" s="37" t="n"/>
      <c r="S396" s="37" t="n"/>
      <c r="T396" s="10">
        <f>IF(S396="","",HYPERLINK(IF(LEFT(S396,4)="http",S396,set_QwilrBase&amp;S396),"Open quote"))</f>
        <v/>
      </c>
      <c r="U396" s="41" t="n"/>
      <c r="V396" s="37" t="n"/>
      <c r="W396" s="37" t="n"/>
      <c r="X396" s="10" t="inlineStr">
        <is>
          <t>ONS-0392</t>
        </is>
      </c>
    </row>
    <row r="397">
      <c r="A397" s="16">
        <f>IF($C397="","",IFERROR(IF(INDEX(tbl_Finance[Latest Invoice Date],MATCH($X397,tbl_Finance[Row ID],0))="","",INDEX(tbl_Finance[Latest Invoice Date],MATCH($X397,tbl_Finance[Row ID],0))),""))</f>
        <v/>
      </c>
      <c r="B397" s="10">
        <f>IF($C397="","",IFERROR(INDEX(tbl_Finance[Invoice Numbers],MATCH($X397,tbl_Finance[Row ID],0))&amp;"",""))</f>
        <v/>
      </c>
      <c r="C397" s="37" t="n"/>
      <c r="D397" s="10">
        <f>IF($C397="","",IF(COUNTIF(lst_Jobs,$C397&amp;"")&gt;0,"OK","CHECK"))</f>
        <v/>
      </c>
      <c r="E397" s="10">
        <f>IF($C397="","",IFERROR(INDEX(lst_JobName,MATCH($C397&amp;"",lst_Jobs,0)),""))</f>
        <v/>
      </c>
      <c r="F397" s="37" t="n"/>
      <c r="G397" s="37" t="n"/>
      <c r="H397" s="37" t="n"/>
      <c r="I397" s="37" t="n"/>
      <c r="J397" s="37" t="n"/>
      <c r="K397" s="38">
        <f>IF($C397="","",IFERROR(N(INDEX(tbl_Finance[Invoice Count],MATCH($X397,tbl_Finance[Row ID],0))),""))</f>
        <v/>
      </c>
      <c r="L397" s="11">
        <f>IF($C397="","",IFERROR(N(INDEX(tbl_Finance[Xero Invoiced Ex GST],MATCH($X397,tbl_Finance[Row ID],0))),""))</f>
        <v/>
      </c>
      <c r="M397" s="10">
        <f>IF($C397="","",IFERROR(INDEX(tbl_Finance[Compare],MATCH($X397,tbl_Finance[Row ID],0))&amp;"",""))</f>
        <v/>
      </c>
      <c r="N397" s="11">
        <f>IF($C397="","",MAX(0,N(O397)-N(L397)))</f>
        <v/>
      </c>
      <c r="O397" s="39" t="n"/>
      <c r="P397" s="40">
        <f>IF($C397="","",IF((IF(F397="",", Client","")&amp;IF(G397="",", Description","")&amp;IF(H397="",", Cost Centre","")&amp;IF(I397="",", Invoice Type","")&amp;IF(J397="",", Tax Code","")&amp;IF(O397="",", Expected Revenue","")&amp;IF(COUNTIF(tbl_Finance[Job Number],$C397&amp;"")&gt;1,", Job number used twice",""))="","Complete","Fix: "&amp;MID(IF(F397="",", Client","")&amp;IF(G397="",", Description","")&amp;IF(H397="",", Cost Centre","")&amp;IF(I397="",", Invoice Type","")&amp;IF(J397="",", Tax Code","")&amp;IF(O397="",", Expected Revenue","")&amp;IF(COUNTIF(tbl_Finance[Job Number],$C397&amp;"")&gt;1,", Job number used twice",""),3,300)))</f>
        <v/>
      </c>
      <c r="Q397" s="10">
        <f>IF($C397="","",IF(H397="","(no cost centre)",H397&amp;" - GL "&amp;IFERROR(INDEX(lst_CCtoGL,MATCH(H397,lst_CCforGL,0)),"?")))</f>
        <v/>
      </c>
      <c r="R397" s="37" t="n"/>
      <c r="S397" s="37" t="n"/>
      <c r="T397" s="10">
        <f>IF(S397="","",HYPERLINK(IF(LEFT(S397,4)="http",S397,set_QwilrBase&amp;S397),"Open quote"))</f>
        <v/>
      </c>
      <c r="U397" s="41" t="n"/>
      <c r="V397" s="37" t="n"/>
      <c r="W397" s="37" t="n"/>
      <c r="X397" s="10" t="inlineStr">
        <is>
          <t>ONS-0393</t>
        </is>
      </c>
    </row>
    <row r="398">
      <c r="A398" s="16">
        <f>IF($C398="","",IFERROR(IF(INDEX(tbl_Finance[Latest Invoice Date],MATCH($X398,tbl_Finance[Row ID],0))="","",INDEX(tbl_Finance[Latest Invoice Date],MATCH($X398,tbl_Finance[Row ID],0))),""))</f>
        <v/>
      </c>
      <c r="B398" s="10">
        <f>IF($C398="","",IFERROR(INDEX(tbl_Finance[Invoice Numbers],MATCH($X398,tbl_Finance[Row ID],0))&amp;"",""))</f>
        <v/>
      </c>
      <c r="C398" s="37" t="n"/>
      <c r="D398" s="10">
        <f>IF($C398="","",IF(COUNTIF(lst_Jobs,$C398&amp;"")&gt;0,"OK","CHECK"))</f>
        <v/>
      </c>
      <c r="E398" s="10">
        <f>IF($C398="","",IFERROR(INDEX(lst_JobName,MATCH($C398&amp;"",lst_Jobs,0)),""))</f>
        <v/>
      </c>
      <c r="F398" s="37" t="n"/>
      <c r="G398" s="37" t="n"/>
      <c r="H398" s="37" t="n"/>
      <c r="I398" s="37" t="n"/>
      <c r="J398" s="37" t="n"/>
      <c r="K398" s="38">
        <f>IF($C398="","",IFERROR(N(INDEX(tbl_Finance[Invoice Count],MATCH($X398,tbl_Finance[Row ID],0))),""))</f>
        <v/>
      </c>
      <c r="L398" s="11">
        <f>IF($C398="","",IFERROR(N(INDEX(tbl_Finance[Xero Invoiced Ex GST],MATCH($X398,tbl_Finance[Row ID],0))),""))</f>
        <v/>
      </c>
      <c r="M398" s="10">
        <f>IF($C398="","",IFERROR(INDEX(tbl_Finance[Compare],MATCH($X398,tbl_Finance[Row ID],0))&amp;"",""))</f>
        <v/>
      </c>
      <c r="N398" s="11">
        <f>IF($C398="","",MAX(0,N(O398)-N(L398)))</f>
        <v/>
      </c>
      <c r="O398" s="39" t="n"/>
      <c r="P398" s="40">
        <f>IF($C398="","",IF((IF(F398="",", Client","")&amp;IF(G398="",", Description","")&amp;IF(H398="",", Cost Centre","")&amp;IF(I398="",", Invoice Type","")&amp;IF(J398="",", Tax Code","")&amp;IF(O398="",", Expected Revenue","")&amp;IF(COUNTIF(tbl_Finance[Job Number],$C398&amp;"")&gt;1,", Job number used twice",""))="","Complete","Fix: "&amp;MID(IF(F398="",", Client","")&amp;IF(G398="",", Description","")&amp;IF(H398="",", Cost Centre","")&amp;IF(I398="",", Invoice Type","")&amp;IF(J398="",", Tax Code","")&amp;IF(O398="",", Expected Revenue","")&amp;IF(COUNTIF(tbl_Finance[Job Number],$C398&amp;"")&gt;1,", Job number used twice",""),3,300)))</f>
        <v/>
      </c>
      <c r="Q398" s="10">
        <f>IF($C398="","",IF(H398="","(no cost centre)",H398&amp;" - GL "&amp;IFERROR(INDEX(lst_CCtoGL,MATCH(H398,lst_CCforGL,0)),"?")))</f>
        <v/>
      </c>
      <c r="R398" s="37" t="n"/>
      <c r="S398" s="37" t="n"/>
      <c r="T398" s="10">
        <f>IF(S398="","",HYPERLINK(IF(LEFT(S398,4)="http",S398,set_QwilrBase&amp;S398),"Open quote"))</f>
        <v/>
      </c>
      <c r="U398" s="41" t="n"/>
      <c r="V398" s="37" t="n"/>
      <c r="W398" s="37" t="n"/>
      <c r="X398" s="10" t="inlineStr">
        <is>
          <t>ONS-0394</t>
        </is>
      </c>
    </row>
    <row r="399">
      <c r="A399" s="16">
        <f>IF($C399="","",IFERROR(IF(INDEX(tbl_Finance[Latest Invoice Date],MATCH($X399,tbl_Finance[Row ID],0))="","",INDEX(tbl_Finance[Latest Invoice Date],MATCH($X399,tbl_Finance[Row ID],0))),""))</f>
        <v/>
      </c>
      <c r="B399" s="10">
        <f>IF($C399="","",IFERROR(INDEX(tbl_Finance[Invoice Numbers],MATCH($X399,tbl_Finance[Row ID],0))&amp;"",""))</f>
        <v/>
      </c>
      <c r="C399" s="37" t="n"/>
      <c r="D399" s="10">
        <f>IF($C399="","",IF(COUNTIF(lst_Jobs,$C399&amp;"")&gt;0,"OK","CHECK"))</f>
        <v/>
      </c>
      <c r="E399" s="10">
        <f>IF($C399="","",IFERROR(INDEX(lst_JobName,MATCH($C399&amp;"",lst_Jobs,0)),""))</f>
        <v/>
      </c>
      <c r="F399" s="37" t="n"/>
      <c r="G399" s="37" t="n"/>
      <c r="H399" s="37" t="n"/>
      <c r="I399" s="37" t="n"/>
      <c r="J399" s="37" t="n"/>
      <c r="K399" s="38">
        <f>IF($C399="","",IFERROR(N(INDEX(tbl_Finance[Invoice Count],MATCH($X399,tbl_Finance[Row ID],0))),""))</f>
        <v/>
      </c>
      <c r="L399" s="11">
        <f>IF($C399="","",IFERROR(N(INDEX(tbl_Finance[Xero Invoiced Ex GST],MATCH($X399,tbl_Finance[Row ID],0))),""))</f>
        <v/>
      </c>
      <c r="M399" s="10">
        <f>IF($C399="","",IFERROR(INDEX(tbl_Finance[Compare],MATCH($X399,tbl_Finance[Row ID],0))&amp;"",""))</f>
        <v/>
      </c>
      <c r="N399" s="11">
        <f>IF($C399="","",MAX(0,N(O399)-N(L399)))</f>
        <v/>
      </c>
      <c r="O399" s="39" t="n"/>
      <c r="P399" s="40">
        <f>IF($C399="","",IF((IF(F399="",", Client","")&amp;IF(G399="",", Description","")&amp;IF(H399="",", Cost Centre","")&amp;IF(I399="",", Invoice Type","")&amp;IF(J399="",", Tax Code","")&amp;IF(O399="",", Expected Revenue","")&amp;IF(COUNTIF(tbl_Finance[Job Number],$C399&amp;"")&gt;1,", Job number used twice",""))="","Complete","Fix: "&amp;MID(IF(F399="",", Client","")&amp;IF(G399="",", Description","")&amp;IF(H399="",", Cost Centre","")&amp;IF(I399="",", Invoice Type","")&amp;IF(J399="",", Tax Code","")&amp;IF(O399="",", Expected Revenue","")&amp;IF(COUNTIF(tbl_Finance[Job Number],$C399&amp;"")&gt;1,", Job number used twice",""),3,300)))</f>
        <v/>
      </c>
      <c r="Q399" s="10">
        <f>IF($C399="","",IF(H399="","(no cost centre)",H399&amp;" - GL "&amp;IFERROR(INDEX(lst_CCtoGL,MATCH(H399,lst_CCforGL,0)),"?")))</f>
        <v/>
      </c>
      <c r="R399" s="37" t="n"/>
      <c r="S399" s="37" t="n"/>
      <c r="T399" s="10">
        <f>IF(S399="","",HYPERLINK(IF(LEFT(S399,4)="http",S399,set_QwilrBase&amp;S399),"Open quote"))</f>
        <v/>
      </c>
      <c r="U399" s="41" t="n"/>
      <c r="V399" s="37" t="n"/>
      <c r="W399" s="37" t="n"/>
      <c r="X399" s="10" t="inlineStr">
        <is>
          <t>ONS-0395</t>
        </is>
      </c>
    </row>
    <row r="400">
      <c r="A400" s="16">
        <f>IF($C400="","",IFERROR(IF(INDEX(tbl_Finance[Latest Invoice Date],MATCH($X400,tbl_Finance[Row ID],0))="","",INDEX(tbl_Finance[Latest Invoice Date],MATCH($X400,tbl_Finance[Row ID],0))),""))</f>
        <v/>
      </c>
      <c r="B400" s="10">
        <f>IF($C400="","",IFERROR(INDEX(tbl_Finance[Invoice Numbers],MATCH($X400,tbl_Finance[Row ID],0))&amp;"",""))</f>
        <v/>
      </c>
      <c r="C400" s="37" t="n"/>
      <c r="D400" s="10">
        <f>IF($C400="","",IF(COUNTIF(lst_Jobs,$C400&amp;"")&gt;0,"OK","CHECK"))</f>
        <v/>
      </c>
      <c r="E400" s="10">
        <f>IF($C400="","",IFERROR(INDEX(lst_JobName,MATCH($C400&amp;"",lst_Jobs,0)),""))</f>
        <v/>
      </c>
      <c r="F400" s="37" t="n"/>
      <c r="G400" s="37" t="n"/>
      <c r="H400" s="37" t="n"/>
      <c r="I400" s="37" t="n"/>
      <c r="J400" s="37" t="n"/>
      <c r="K400" s="38">
        <f>IF($C400="","",IFERROR(N(INDEX(tbl_Finance[Invoice Count],MATCH($X400,tbl_Finance[Row ID],0))),""))</f>
        <v/>
      </c>
      <c r="L400" s="11">
        <f>IF($C400="","",IFERROR(N(INDEX(tbl_Finance[Xero Invoiced Ex GST],MATCH($X400,tbl_Finance[Row ID],0))),""))</f>
        <v/>
      </c>
      <c r="M400" s="10">
        <f>IF($C400="","",IFERROR(INDEX(tbl_Finance[Compare],MATCH($X400,tbl_Finance[Row ID],0))&amp;"",""))</f>
        <v/>
      </c>
      <c r="N400" s="11">
        <f>IF($C400="","",MAX(0,N(O400)-N(L400)))</f>
        <v/>
      </c>
      <c r="O400" s="39" t="n"/>
      <c r="P400" s="40">
        <f>IF($C400="","",IF((IF(F400="",", Client","")&amp;IF(G400="",", Description","")&amp;IF(H400="",", Cost Centre","")&amp;IF(I400="",", Invoice Type","")&amp;IF(J400="",", Tax Code","")&amp;IF(O400="",", Expected Revenue","")&amp;IF(COUNTIF(tbl_Finance[Job Number],$C400&amp;"")&gt;1,", Job number used twice",""))="","Complete","Fix: "&amp;MID(IF(F400="",", Client","")&amp;IF(G400="",", Description","")&amp;IF(H400="",", Cost Centre","")&amp;IF(I400="",", Invoice Type","")&amp;IF(J400="",", Tax Code","")&amp;IF(O400="",", Expected Revenue","")&amp;IF(COUNTIF(tbl_Finance[Job Number],$C400&amp;"")&gt;1,", Job number used twice",""),3,300)))</f>
        <v/>
      </c>
      <c r="Q400" s="10">
        <f>IF($C400="","",IF(H400="","(no cost centre)",H400&amp;" - GL "&amp;IFERROR(INDEX(lst_CCtoGL,MATCH(H400,lst_CCforGL,0)),"?")))</f>
        <v/>
      </c>
      <c r="R400" s="37" t="n"/>
      <c r="S400" s="37" t="n"/>
      <c r="T400" s="10">
        <f>IF(S400="","",HYPERLINK(IF(LEFT(S400,4)="http",S400,set_QwilrBase&amp;S400),"Open quote"))</f>
        <v/>
      </c>
      <c r="U400" s="41" t="n"/>
      <c r="V400" s="37" t="n"/>
      <c r="W400" s="37" t="n"/>
      <c r="X400" s="10" t="inlineStr">
        <is>
          <t>ONS-0396</t>
        </is>
      </c>
    </row>
    <row r="401">
      <c r="A401" s="16">
        <f>IF($C401="","",IFERROR(IF(INDEX(tbl_Finance[Latest Invoice Date],MATCH($X401,tbl_Finance[Row ID],0))="","",INDEX(tbl_Finance[Latest Invoice Date],MATCH($X401,tbl_Finance[Row ID],0))),""))</f>
        <v/>
      </c>
      <c r="B401" s="10">
        <f>IF($C401="","",IFERROR(INDEX(tbl_Finance[Invoice Numbers],MATCH($X401,tbl_Finance[Row ID],0))&amp;"",""))</f>
        <v/>
      </c>
      <c r="C401" s="37" t="n"/>
      <c r="D401" s="10">
        <f>IF($C401="","",IF(COUNTIF(lst_Jobs,$C401&amp;"")&gt;0,"OK","CHECK"))</f>
        <v/>
      </c>
      <c r="E401" s="10">
        <f>IF($C401="","",IFERROR(INDEX(lst_JobName,MATCH($C401&amp;"",lst_Jobs,0)),""))</f>
        <v/>
      </c>
      <c r="F401" s="37" t="n"/>
      <c r="G401" s="37" t="n"/>
      <c r="H401" s="37" t="n"/>
      <c r="I401" s="37" t="n"/>
      <c r="J401" s="37" t="n"/>
      <c r="K401" s="38">
        <f>IF($C401="","",IFERROR(N(INDEX(tbl_Finance[Invoice Count],MATCH($X401,tbl_Finance[Row ID],0))),""))</f>
        <v/>
      </c>
      <c r="L401" s="11">
        <f>IF($C401="","",IFERROR(N(INDEX(tbl_Finance[Xero Invoiced Ex GST],MATCH($X401,tbl_Finance[Row ID],0))),""))</f>
        <v/>
      </c>
      <c r="M401" s="10">
        <f>IF($C401="","",IFERROR(INDEX(tbl_Finance[Compare],MATCH($X401,tbl_Finance[Row ID],0))&amp;"",""))</f>
        <v/>
      </c>
      <c r="N401" s="11">
        <f>IF($C401="","",MAX(0,N(O401)-N(L401)))</f>
        <v/>
      </c>
      <c r="O401" s="39" t="n"/>
      <c r="P401" s="40">
        <f>IF($C401="","",IF((IF(F401="",", Client","")&amp;IF(G401="",", Description","")&amp;IF(H401="",", Cost Centre","")&amp;IF(I401="",", Invoice Type","")&amp;IF(J401="",", Tax Code","")&amp;IF(O401="",", Expected Revenue","")&amp;IF(COUNTIF(tbl_Finance[Job Number],$C401&amp;"")&gt;1,", Job number used twice",""))="","Complete","Fix: "&amp;MID(IF(F401="",", Client","")&amp;IF(G401="",", Description","")&amp;IF(H401="",", Cost Centre","")&amp;IF(I401="",", Invoice Type","")&amp;IF(J401="",", Tax Code","")&amp;IF(O401="",", Expected Revenue","")&amp;IF(COUNTIF(tbl_Finance[Job Number],$C401&amp;"")&gt;1,", Job number used twice",""),3,300)))</f>
        <v/>
      </c>
      <c r="Q401" s="10">
        <f>IF($C401="","",IF(H401="","(no cost centre)",H401&amp;" - GL "&amp;IFERROR(INDEX(lst_CCtoGL,MATCH(H401,lst_CCforGL,0)),"?")))</f>
        <v/>
      </c>
      <c r="R401" s="37" t="n"/>
      <c r="S401" s="37" t="n"/>
      <c r="T401" s="10">
        <f>IF(S401="","",HYPERLINK(IF(LEFT(S401,4)="http",S401,set_QwilrBase&amp;S401),"Open quote"))</f>
        <v/>
      </c>
      <c r="U401" s="41" t="n"/>
      <c r="V401" s="37" t="n"/>
      <c r="W401" s="37" t="n"/>
      <c r="X401" s="10" t="inlineStr">
        <is>
          <t>ONS-0397</t>
        </is>
      </c>
    </row>
    <row r="402">
      <c r="A402" s="16">
        <f>IF($C402="","",IFERROR(IF(INDEX(tbl_Finance[Latest Invoice Date],MATCH($X402,tbl_Finance[Row ID],0))="","",INDEX(tbl_Finance[Latest Invoice Date],MATCH($X402,tbl_Finance[Row ID],0))),""))</f>
        <v/>
      </c>
      <c r="B402" s="10">
        <f>IF($C402="","",IFERROR(INDEX(tbl_Finance[Invoice Numbers],MATCH($X402,tbl_Finance[Row ID],0))&amp;"",""))</f>
        <v/>
      </c>
      <c r="C402" s="37" t="n"/>
      <c r="D402" s="10">
        <f>IF($C402="","",IF(COUNTIF(lst_Jobs,$C402&amp;"")&gt;0,"OK","CHECK"))</f>
        <v/>
      </c>
      <c r="E402" s="10">
        <f>IF($C402="","",IFERROR(INDEX(lst_JobName,MATCH($C402&amp;"",lst_Jobs,0)),""))</f>
        <v/>
      </c>
      <c r="F402" s="37" t="n"/>
      <c r="G402" s="37" t="n"/>
      <c r="H402" s="37" t="n"/>
      <c r="I402" s="37" t="n"/>
      <c r="J402" s="37" t="n"/>
      <c r="K402" s="38">
        <f>IF($C402="","",IFERROR(N(INDEX(tbl_Finance[Invoice Count],MATCH($X402,tbl_Finance[Row ID],0))),""))</f>
        <v/>
      </c>
      <c r="L402" s="11">
        <f>IF($C402="","",IFERROR(N(INDEX(tbl_Finance[Xero Invoiced Ex GST],MATCH($X402,tbl_Finance[Row ID],0))),""))</f>
        <v/>
      </c>
      <c r="M402" s="10">
        <f>IF($C402="","",IFERROR(INDEX(tbl_Finance[Compare],MATCH($X402,tbl_Finance[Row ID],0))&amp;"",""))</f>
        <v/>
      </c>
      <c r="N402" s="11">
        <f>IF($C402="","",MAX(0,N(O402)-N(L402)))</f>
        <v/>
      </c>
      <c r="O402" s="39" t="n"/>
      <c r="P402" s="40">
        <f>IF($C402="","",IF((IF(F402="",", Client","")&amp;IF(G402="",", Description","")&amp;IF(H402="",", Cost Centre","")&amp;IF(I402="",", Invoice Type","")&amp;IF(J402="",", Tax Code","")&amp;IF(O402="",", Expected Revenue","")&amp;IF(COUNTIF(tbl_Finance[Job Number],$C402&amp;"")&gt;1,", Job number used twice",""))="","Complete","Fix: "&amp;MID(IF(F402="",", Client","")&amp;IF(G402="",", Description","")&amp;IF(H402="",", Cost Centre","")&amp;IF(I402="",", Invoice Type","")&amp;IF(J402="",", Tax Code","")&amp;IF(O402="",", Expected Revenue","")&amp;IF(COUNTIF(tbl_Finance[Job Number],$C402&amp;"")&gt;1,", Job number used twice",""),3,300)))</f>
        <v/>
      </c>
      <c r="Q402" s="10">
        <f>IF($C402="","",IF(H402="","(no cost centre)",H402&amp;" - GL "&amp;IFERROR(INDEX(lst_CCtoGL,MATCH(H402,lst_CCforGL,0)),"?")))</f>
        <v/>
      </c>
      <c r="R402" s="37" t="n"/>
      <c r="S402" s="37" t="n"/>
      <c r="T402" s="10">
        <f>IF(S402="","",HYPERLINK(IF(LEFT(S402,4)="http",S402,set_QwilrBase&amp;S402),"Open quote"))</f>
        <v/>
      </c>
      <c r="U402" s="41" t="n"/>
      <c r="V402" s="37" t="n"/>
      <c r="W402" s="37" t="n"/>
      <c r="X402" s="10" t="inlineStr">
        <is>
          <t>ONS-0398</t>
        </is>
      </c>
    </row>
    <row r="403">
      <c r="A403" s="16">
        <f>IF($C403="","",IFERROR(IF(INDEX(tbl_Finance[Latest Invoice Date],MATCH($X403,tbl_Finance[Row ID],0))="","",INDEX(tbl_Finance[Latest Invoice Date],MATCH($X403,tbl_Finance[Row ID],0))),""))</f>
        <v/>
      </c>
      <c r="B403" s="10">
        <f>IF($C403="","",IFERROR(INDEX(tbl_Finance[Invoice Numbers],MATCH($X403,tbl_Finance[Row ID],0))&amp;"",""))</f>
        <v/>
      </c>
      <c r="C403" s="37" t="n"/>
      <c r="D403" s="10">
        <f>IF($C403="","",IF(COUNTIF(lst_Jobs,$C403&amp;"")&gt;0,"OK","CHECK"))</f>
        <v/>
      </c>
      <c r="E403" s="10">
        <f>IF($C403="","",IFERROR(INDEX(lst_JobName,MATCH($C403&amp;"",lst_Jobs,0)),""))</f>
        <v/>
      </c>
      <c r="F403" s="37" t="n"/>
      <c r="G403" s="37" t="n"/>
      <c r="H403" s="37" t="n"/>
      <c r="I403" s="37" t="n"/>
      <c r="J403" s="37" t="n"/>
      <c r="K403" s="38">
        <f>IF($C403="","",IFERROR(N(INDEX(tbl_Finance[Invoice Count],MATCH($X403,tbl_Finance[Row ID],0))),""))</f>
        <v/>
      </c>
      <c r="L403" s="11">
        <f>IF($C403="","",IFERROR(N(INDEX(tbl_Finance[Xero Invoiced Ex GST],MATCH($X403,tbl_Finance[Row ID],0))),""))</f>
        <v/>
      </c>
      <c r="M403" s="10">
        <f>IF($C403="","",IFERROR(INDEX(tbl_Finance[Compare],MATCH($X403,tbl_Finance[Row ID],0))&amp;"",""))</f>
        <v/>
      </c>
      <c r="N403" s="11">
        <f>IF($C403="","",MAX(0,N(O403)-N(L403)))</f>
        <v/>
      </c>
      <c r="O403" s="39" t="n"/>
      <c r="P403" s="40">
        <f>IF($C403="","",IF((IF(F403="",", Client","")&amp;IF(G403="",", Description","")&amp;IF(H403="",", Cost Centre","")&amp;IF(I403="",", Invoice Type","")&amp;IF(J403="",", Tax Code","")&amp;IF(O403="",", Expected Revenue","")&amp;IF(COUNTIF(tbl_Finance[Job Number],$C403&amp;"")&gt;1,", Job number used twice",""))="","Complete","Fix: "&amp;MID(IF(F403="",", Client","")&amp;IF(G403="",", Description","")&amp;IF(H403="",", Cost Centre","")&amp;IF(I403="",", Invoice Type","")&amp;IF(J403="",", Tax Code","")&amp;IF(O403="",", Expected Revenue","")&amp;IF(COUNTIF(tbl_Finance[Job Number],$C403&amp;"")&gt;1,", Job number used twice",""),3,300)))</f>
        <v/>
      </c>
      <c r="Q403" s="10">
        <f>IF($C403="","",IF(H403="","(no cost centre)",H403&amp;" - GL "&amp;IFERROR(INDEX(lst_CCtoGL,MATCH(H403,lst_CCforGL,0)),"?")))</f>
        <v/>
      </c>
      <c r="R403" s="37" t="n"/>
      <c r="S403" s="37" t="n"/>
      <c r="T403" s="10">
        <f>IF(S403="","",HYPERLINK(IF(LEFT(S403,4)="http",S403,set_QwilrBase&amp;S403),"Open quote"))</f>
        <v/>
      </c>
      <c r="U403" s="41" t="n"/>
      <c r="V403" s="37" t="n"/>
      <c r="W403" s="37" t="n"/>
      <c r="X403" s="10" t="inlineStr">
        <is>
          <t>ONS-0399</t>
        </is>
      </c>
    </row>
    <row r="404">
      <c r="A404" s="16">
        <f>IF($C404="","",IFERROR(IF(INDEX(tbl_Finance[Latest Invoice Date],MATCH($X404,tbl_Finance[Row ID],0))="","",INDEX(tbl_Finance[Latest Invoice Date],MATCH($X404,tbl_Finance[Row ID],0))),""))</f>
        <v/>
      </c>
      <c r="B404" s="10">
        <f>IF($C404="","",IFERROR(INDEX(tbl_Finance[Invoice Numbers],MATCH($X404,tbl_Finance[Row ID],0))&amp;"",""))</f>
        <v/>
      </c>
      <c r="C404" s="37" t="n"/>
      <c r="D404" s="10">
        <f>IF($C404="","",IF(COUNTIF(lst_Jobs,$C404&amp;"")&gt;0,"OK","CHECK"))</f>
        <v/>
      </c>
      <c r="E404" s="10">
        <f>IF($C404="","",IFERROR(INDEX(lst_JobName,MATCH($C404&amp;"",lst_Jobs,0)),""))</f>
        <v/>
      </c>
      <c r="F404" s="37" t="n"/>
      <c r="G404" s="37" t="n"/>
      <c r="H404" s="37" t="n"/>
      <c r="I404" s="37" t="n"/>
      <c r="J404" s="37" t="n"/>
      <c r="K404" s="38">
        <f>IF($C404="","",IFERROR(N(INDEX(tbl_Finance[Invoice Count],MATCH($X404,tbl_Finance[Row ID],0))),""))</f>
        <v/>
      </c>
      <c r="L404" s="11">
        <f>IF($C404="","",IFERROR(N(INDEX(tbl_Finance[Xero Invoiced Ex GST],MATCH($X404,tbl_Finance[Row ID],0))),""))</f>
        <v/>
      </c>
      <c r="M404" s="10">
        <f>IF($C404="","",IFERROR(INDEX(tbl_Finance[Compare],MATCH($X404,tbl_Finance[Row ID],0))&amp;"",""))</f>
        <v/>
      </c>
      <c r="N404" s="11">
        <f>IF($C404="","",MAX(0,N(O404)-N(L404)))</f>
        <v/>
      </c>
      <c r="O404" s="39" t="n"/>
      <c r="P404" s="40">
        <f>IF($C404="","",IF((IF(F404="",", Client","")&amp;IF(G404="",", Description","")&amp;IF(H404="",", Cost Centre","")&amp;IF(I404="",", Invoice Type","")&amp;IF(J404="",", Tax Code","")&amp;IF(O404="",", Expected Revenue","")&amp;IF(COUNTIF(tbl_Finance[Job Number],$C404&amp;"")&gt;1,", Job number used twice",""))="","Complete","Fix: "&amp;MID(IF(F404="",", Client","")&amp;IF(G404="",", Description","")&amp;IF(H404="",", Cost Centre","")&amp;IF(I404="",", Invoice Type","")&amp;IF(J404="",", Tax Code","")&amp;IF(O404="",", Expected Revenue","")&amp;IF(COUNTIF(tbl_Finance[Job Number],$C404&amp;"")&gt;1,", Job number used twice",""),3,300)))</f>
        <v/>
      </c>
      <c r="Q404" s="10">
        <f>IF($C404="","",IF(H404="","(no cost centre)",H404&amp;" - GL "&amp;IFERROR(INDEX(lst_CCtoGL,MATCH(H404,lst_CCforGL,0)),"?")))</f>
        <v/>
      </c>
      <c r="R404" s="37" t="n"/>
      <c r="S404" s="37" t="n"/>
      <c r="T404" s="10">
        <f>IF(S404="","",HYPERLINK(IF(LEFT(S404,4)="http",S404,set_QwilrBase&amp;S404),"Open quote"))</f>
        <v/>
      </c>
      <c r="U404" s="41" t="n"/>
      <c r="V404" s="37" t="n"/>
      <c r="W404" s="37" t="n"/>
      <c r="X404" s="10" t="inlineStr">
        <is>
          <t>ONS-0400</t>
        </is>
      </c>
    </row>
    <row r="405">
      <c r="A405" s="16">
        <f>IF($C405="","",IFERROR(IF(INDEX(tbl_Finance[Latest Invoice Date],MATCH($X405,tbl_Finance[Row ID],0))="","",INDEX(tbl_Finance[Latest Invoice Date],MATCH($X405,tbl_Finance[Row ID],0))),""))</f>
        <v/>
      </c>
      <c r="B405" s="10">
        <f>IF($C405="","",IFERROR(INDEX(tbl_Finance[Invoice Numbers],MATCH($X405,tbl_Finance[Row ID],0))&amp;"",""))</f>
        <v/>
      </c>
      <c r="C405" s="37" t="n"/>
      <c r="D405" s="10">
        <f>IF($C405="","",IF(COUNTIF(lst_Jobs,$C405&amp;"")&gt;0,"OK","CHECK"))</f>
        <v/>
      </c>
      <c r="E405" s="10">
        <f>IF($C405="","",IFERROR(INDEX(lst_JobName,MATCH($C405&amp;"",lst_Jobs,0)),""))</f>
        <v/>
      </c>
      <c r="F405" s="37" t="n"/>
      <c r="G405" s="37" t="n"/>
      <c r="H405" s="37" t="n"/>
      <c r="I405" s="37" t="n"/>
      <c r="J405" s="37" t="n"/>
      <c r="K405" s="38">
        <f>IF($C405="","",IFERROR(N(INDEX(tbl_Finance[Invoice Count],MATCH($X405,tbl_Finance[Row ID],0))),""))</f>
        <v/>
      </c>
      <c r="L405" s="11">
        <f>IF($C405="","",IFERROR(N(INDEX(tbl_Finance[Xero Invoiced Ex GST],MATCH($X405,tbl_Finance[Row ID],0))),""))</f>
        <v/>
      </c>
      <c r="M405" s="10">
        <f>IF($C405="","",IFERROR(INDEX(tbl_Finance[Compare],MATCH($X405,tbl_Finance[Row ID],0))&amp;"",""))</f>
        <v/>
      </c>
      <c r="N405" s="11">
        <f>IF($C405="","",MAX(0,N(O405)-N(L405)))</f>
        <v/>
      </c>
      <c r="O405" s="39" t="n"/>
      <c r="P405" s="40">
        <f>IF($C405="","",IF((IF(F405="",", Client","")&amp;IF(G405="",", Description","")&amp;IF(H405="",", Cost Centre","")&amp;IF(I405="",", Invoice Type","")&amp;IF(J405="",", Tax Code","")&amp;IF(O405="",", Expected Revenue","")&amp;IF(COUNTIF(tbl_Finance[Job Number],$C405&amp;"")&gt;1,", Job number used twice",""))="","Complete","Fix: "&amp;MID(IF(F405="",", Client","")&amp;IF(G405="",", Description","")&amp;IF(H405="",", Cost Centre","")&amp;IF(I405="",", Invoice Type","")&amp;IF(J405="",", Tax Code","")&amp;IF(O405="",", Expected Revenue","")&amp;IF(COUNTIF(tbl_Finance[Job Number],$C405&amp;"")&gt;1,", Job number used twice",""),3,300)))</f>
        <v/>
      </c>
      <c r="Q405" s="10">
        <f>IF($C405="","",IF(H405="","(no cost centre)",H405&amp;" - GL "&amp;IFERROR(INDEX(lst_CCtoGL,MATCH(H405,lst_CCforGL,0)),"?")))</f>
        <v/>
      </c>
      <c r="R405" s="37" t="n"/>
      <c r="S405" s="37" t="n"/>
      <c r="T405" s="10">
        <f>IF(S405="","",HYPERLINK(IF(LEFT(S405,4)="http",S405,set_QwilrBase&amp;S405),"Open quote"))</f>
        <v/>
      </c>
      <c r="U405" s="41" t="n"/>
      <c r="V405" s="37" t="n"/>
      <c r="W405" s="37" t="n"/>
      <c r="X405" s="10" t="inlineStr">
        <is>
          <t>ONS-0401</t>
        </is>
      </c>
    </row>
    <row r="406">
      <c r="A406" s="16">
        <f>IF($C406="","",IFERROR(IF(INDEX(tbl_Finance[Latest Invoice Date],MATCH($X406,tbl_Finance[Row ID],0))="","",INDEX(tbl_Finance[Latest Invoice Date],MATCH($X406,tbl_Finance[Row ID],0))),""))</f>
        <v/>
      </c>
      <c r="B406" s="10">
        <f>IF($C406="","",IFERROR(INDEX(tbl_Finance[Invoice Numbers],MATCH($X406,tbl_Finance[Row ID],0))&amp;"",""))</f>
        <v/>
      </c>
      <c r="C406" s="37" t="n"/>
      <c r="D406" s="10">
        <f>IF($C406="","",IF(COUNTIF(lst_Jobs,$C406&amp;"")&gt;0,"OK","CHECK"))</f>
        <v/>
      </c>
      <c r="E406" s="10">
        <f>IF($C406="","",IFERROR(INDEX(lst_JobName,MATCH($C406&amp;"",lst_Jobs,0)),""))</f>
        <v/>
      </c>
      <c r="F406" s="37" t="n"/>
      <c r="G406" s="37" t="n"/>
      <c r="H406" s="37" t="n"/>
      <c r="I406" s="37" t="n"/>
      <c r="J406" s="37" t="n"/>
      <c r="K406" s="38">
        <f>IF($C406="","",IFERROR(N(INDEX(tbl_Finance[Invoice Count],MATCH($X406,tbl_Finance[Row ID],0))),""))</f>
        <v/>
      </c>
      <c r="L406" s="11">
        <f>IF($C406="","",IFERROR(N(INDEX(tbl_Finance[Xero Invoiced Ex GST],MATCH($X406,tbl_Finance[Row ID],0))),""))</f>
        <v/>
      </c>
      <c r="M406" s="10">
        <f>IF($C406="","",IFERROR(INDEX(tbl_Finance[Compare],MATCH($X406,tbl_Finance[Row ID],0))&amp;"",""))</f>
        <v/>
      </c>
      <c r="N406" s="11">
        <f>IF($C406="","",MAX(0,N(O406)-N(L406)))</f>
        <v/>
      </c>
      <c r="O406" s="39" t="n"/>
      <c r="P406" s="40">
        <f>IF($C406="","",IF((IF(F406="",", Client","")&amp;IF(G406="",", Description","")&amp;IF(H406="",", Cost Centre","")&amp;IF(I406="",", Invoice Type","")&amp;IF(J406="",", Tax Code","")&amp;IF(O406="",", Expected Revenue","")&amp;IF(COUNTIF(tbl_Finance[Job Number],$C406&amp;"")&gt;1,", Job number used twice",""))="","Complete","Fix: "&amp;MID(IF(F406="",", Client","")&amp;IF(G406="",", Description","")&amp;IF(H406="",", Cost Centre","")&amp;IF(I406="",", Invoice Type","")&amp;IF(J406="",", Tax Code","")&amp;IF(O406="",", Expected Revenue","")&amp;IF(COUNTIF(tbl_Finance[Job Number],$C406&amp;"")&gt;1,", Job number used twice",""),3,300)))</f>
        <v/>
      </c>
      <c r="Q406" s="10">
        <f>IF($C406="","",IF(H406="","(no cost centre)",H406&amp;" - GL "&amp;IFERROR(INDEX(lst_CCtoGL,MATCH(H406,lst_CCforGL,0)),"?")))</f>
        <v/>
      </c>
      <c r="R406" s="37" t="n"/>
      <c r="S406" s="37" t="n"/>
      <c r="T406" s="10">
        <f>IF(S406="","",HYPERLINK(IF(LEFT(S406,4)="http",S406,set_QwilrBase&amp;S406),"Open quote"))</f>
        <v/>
      </c>
      <c r="U406" s="41" t="n"/>
      <c r="V406" s="37" t="n"/>
      <c r="W406" s="37" t="n"/>
      <c r="X406" s="10" t="inlineStr">
        <is>
          <t>ONS-0402</t>
        </is>
      </c>
    </row>
    <row r="407">
      <c r="A407" s="16">
        <f>IF($C407="","",IFERROR(IF(INDEX(tbl_Finance[Latest Invoice Date],MATCH($X407,tbl_Finance[Row ID],0))="","",INDEX(tbl_Finance[Latest Invoice Date],MATCH($X407,tbl_Finance[Row ID],0))),""))</f>
        <v/>
      </c>
      <c r="B407" s="10">
        <f>IF($C407="","",IFERROR(INDEX(tbl_Finance[Invoice Numbers],MATCH($X407,tbl_Finance[Row ID],0))&amp;"",""))</f>
        <v/>
      </c>
      <c r="C407" s="37" t="n"/>
      <c r="D407" s="10">
        <f>IF($C407="","",IF(COUNTIF(lst_Jobs,$C407&amp;"")&gt;0,"OK","CHECK"))</f>
        <v/>
      </c>
      <c r="E407" s="10">
        <f>IF($C407="","",IFERROR(INDEX(lst_JobName,MATCH($C407&amp;"",lst_Jobs,0)),""))</f>
        <v/>
      </c>
      <c r="F407" s="37" t="n"/>
      <c r="G407" s="37" t="n"/>
      <c r="H407" s="37" t="n"/>
      <c r="I407" s="37" t="n"/>
      <c r="J407" s="37" t="n"/>
      <c r="K407" s="38">
        <f>IF($C407="","",IFERROR(N(INDEX(tbl_Finance[Invoice Count],MATCH($X407,tbl_Finance[Row ID],0))),""))</f>
        <v/>
      </c>
      <c r="L407" s="11">
        <f>IF($C407="","",IFERROR(N(INDEX(tbl_Finance[Xero Invoiced Ex GST],MATCH($X407,tbl_Finance[Row ID],0))),""))</f>
        <v/>
      </c>
      <c r="M407" s="10">
        <f>IF($C407="","",IFERROR(INDEX(tbl_Finance[Compare],MATCH($X407,tbl_Finance[Row ID],0))&amp;"",""))</f>
        <v/>
      </c>
      <c r="N407" s="11">
        <f>IF($C407="","",MAX(0,N(O407)-N(L407)))</f>
        <v/>
      </c>
      <c r="O407" s="39" t="n"/>
      <c r="P407" s="40">
        <f>IF($C407="","",IF((IF(F407="",", Client","")&amp;IF(G407="",", Description","")&amp;IF(H407="",", Cost Centre","")&amp;IF(I407="",", Invoice Type","")&amp;IF(J407="",", Tax Code","")&amp;IF(O407="",", Expected Revenue","")&amp;IF(COUNTIF(tbl_Finance[Job Number],$C407&amp;"")&gt;1,", Job number used twice",""))="","Complete","Fix: "&amp;MID(IF(F407="",", Client","")&amp;IF(G407="",", Description","")&amp;IF(H407="",", Cost Centre","")&amp;IF(I407="",", Invoice Type","")&amp;IF(J407="",", Tax Code","")&amp;IF(O407="",", Expected Revenue","")&amp;IF(COUNTIF(tbl_Finance[Job Number],$C407&amp;"")&gt;1,", Job number used twice",""),3,300)))</f>
        <v/>
      </c>
      <c r="Q407" s="10">
        <f>IF($C407="","",IF(H407="","(no cost centre)",H407&amp;" - GL "&amp;IFERROR(INDEX(lst_CCtoGL,MATCH(H407,lst_CCforGL,0)),"?")))</f>
        <v/>
      </c>
      <c r="R407" s="37" t="n"/>
      <c r="S407" s="37" t="n"/>
      <c r="T407" s="10">
        <f>IF(S407="","",HYPERLINK(IF(LEFT(S407,4)="http",S407,set_QwilrBase&amp;S407),"Open quote"))</f>
        <v/>
      </c>
      <c r="U407" s="41" t="n"/>
      <c r="V407" s="37" t="n"/>
      <c r="W407" s="37" t="n"/>
      <c r="X407" s="10" t="inlineStr">
        <is>
          <t>ONS-0403</t>
        </is>
      </c>
    </row>
    <row r="408">
      <c r="A408" s="16">
        <f>IF($C408="","",IFERROR(IF(INDEX(tbl_Finance[Latest Invoice Date],MATCH($X408,tbl_Finance[Row ID],0))="","",INDEX(tbl_Finance[Latest Invoice Date],MATCH($X408,tbl_Finance[Row ID],0))),""))</f>
        <v/>
      </c>
      <c r="B408" s="10">
        <f>IF($C408="","",IFERROR(INDEX(tbl_Finance[Invoice Numbers],MATCH($X408,tbl_Finance[Row ID],0))&amp;"",""))</f>
        <v/>
      </c>
      <c r="C408" s="37" t="n"/>
      <c r="D408" s="10">
        <f>IF($C408="","",IF(COUNTIF(lst_Jobs,$C408&amp;"")&gt;0,"OK","CHECK"))</f>
        <v/>
      </c>
      <c r="E408" s="10">
        <f>IF($C408="","",IFERROR(INDEX(lst_JobName,MATCH($C408&amp;"",lst_Jobs,0)),""))</f>
        <v/>
      </c>
      <c r="F408" s="37" t="n"/>
      <c r="G408" s="37" t="n"/>
      <c r="H408" s="37" t="n"/>
      <c r="I408" s="37" t="n"/>
      <c r="J408" s="37" t="n"/>
      <c r="K408" s="38">
        <f>IF($C408="","",IFERROR(N(INDEX(tbl_Finance[Invoice Count],MATCH($X408,tbl_Finance[Row ID],0))),""))</f>
        <v/>
      </c>
      <c r="L408" s="11">
        <f>IF($C408="","",IFERROR(N(INDEX(tbl_Finance[Xero Invoiced Ex GST],MATCH($X408,tbl_Finance[Row ID],0))),""))</f>
        <v/>
      </c>
      <c r="M408" s="10">
        <f>IF($C408="","",IFERROR(INDEX(tbl_Finance[Compare],MATCH($X408,tbl_Finance[Row ID],0))&amp;"",""))</f>
        <v/>
      </c>
      <c r="N408" s="11">
        <f>IF($C408="","",MAX(0,N(O408)-N(L408)))</f>
        <v/>
      </c>
      <c r="O408" s="39" t="n"/>
      <c r="P408" s="40">
        <f>IF($C408="","",IF((IF(F408="",", Client","")&amp;IF(G408="",", Description","")&amp;IF(H408="",", Cost Centre","")&amp;IF(I408="",", Invoice Type","")&amp;IF(J408="",", Tax Code","")&amp;IF(O408="",", Expected Revenue","")&amp;IF(COUNTIF(tbl_Finance[Job Number],$C408&amp;"")&gt;1,", Job number used twice",""))="","Complete","Fix: "&amp;MID(IF(F408="",", Client","")&amp;IF(G408="",", Description","")&amp;IF(H408="",", Cost Centre","")&amp;IF(I408="",", Invoice Type","")&amp;IF(J408="",", Tax Code","")&amp;IF(O408="",", Expected Revenue","")&amp;IF(COUNTIF(tbl_Finance[Job Number],$C408&amp;"")&gt;1,", Job number used twice",""),3,300)))</f>
        <v/>
      </c>
      <c r="Q408" s="10">
        <f>IF($C408="","",IF(H408="","(no cost centre)",H408&amp;" - GL "&amp;IFERROR(INDEX(lst_CCtoGL,MATCH(H408,lst_CCforGL,0)),"?")))</f>
        <v/>
      </c>
      <c r="R408" s="37" t="n"/>
      <c r="S408" s="37" t="n"/>
      <c r="T408" s="10">
        <f>IF(S408="","",HYPERLINK(IF(LEFT(S408,4)="http",S408,set_QwilrBase&amp;S408),"Open quote"))</f>
        <v/>
      </c>
      <c r="U408" s="41" t="n"/>
      <c r="V408" s="37" t="n"/>
      <c r="W408" s="37" t="n"/>
      <c r="X408" s="10" t="inlineStr">
        <is>
          <t>ONS-0404</t>
        </is>
      </c>
    </row>
    <row r="409">
      <c r="A409" s="16">
        <f>IF($C409="","",IFERROR(IF(INDEX(tbl_Finance[Latest Invoice Date],MATCH($X409,tbl_Finance[Row ID],0))="","",INDEX(tbl_Finance[Latest Invoice Date],MATCH($X409,tbl_Finance[Row ID],0))),""))</f>
        <v/>
      </c>
      <c r="B409" s="10">
        <f>IF($C409="","",IFERROR(INDEX(tbl_Finance[Invoice Numbers],MATCH($X409,tbl_Finance[Row ID],0))&amp;"",""))</f>
        <v/>
      </c>
      <c r="C409" s="37" t="n"/>
      <c r="D409" s="10">
        <f>IF($C409="","",IF(COUNTIF(lst_Jobs,$C409&amp;"")&gt;0,"OK","CHECK"))</f>
        <v/>
      </c>
      <c r="E409" s="10">
        <f>IF($C409="","",IFERROR(INDEX(lst_JobName,MATCH($C409&amp;"",lst_Jobs,0)),""))</f>
        <v/>
      </c>
      <c r="F409" s="37" t="n"/>
      <c r="G409" s="37" t="n"/>
      <c r="H409" s="37" t="n"/>
      <c r="I409" s="37" t="n"/>
      <c r="J409" s="37" t="n"/>
      <c r="K409" s="38">
        <f>IF($C409="","",IFERROR(N(INDEX(tbl_Finance[Invoice Count],MATCH($X409,tbl_Finance[Row ID],0))),""))</f>
        <v/>
      </c>
      <c r="L409" s="11">
        <f>IF($C409="","",IFERROR(N(INDEX(tbl_Finance[Xero Invoiced Ex GST],MATCH($X409,tbl_Finance[Row ID],0))),""))</f>
        <v/>
      </c>
      <c r="M409" s="10">
        <f>IF($C409="","",IFERROR(INDEX(tbl_Finance[Compare],MATCH($X409,tbl_Finance[Row ID],0))&amp;"",""))</f>
        <v/>
      </c>
      <c r="N409" s="11">
        <f>IF($C409="","",MAX(0,N(O409)-N(L409)))</f>
        <v/>
      </c>
      <c r="O409" s="39" t="n"/>
      <c r="P409" s="40">
        <f>IF($C409="","",IF((IF(F409="",", Client","")&amp;IF(G409="",", Description","")&amp;IF(H409="",", Cost Centre","")&amp;IF(I409="",", Invoice Type","")&amp;IF(J409="",", Tax Code","")&amp;IF(O409="",", Expected Revenue","")&amp;IF(COUNTIF(tbl_Finance[Job Number],$C409&amp;"")&gt;1,", Job number used twice",""))="","Complete","Fix: "&amp;MID(IF(F409="",", Client","")&amp;IF(G409="",", Description","")&amp;IF(H409="",", Cost Centre","")&amp;IF(I409="",", Invoice Type","")&amp;IF(J409="",", Tax Code","")&amp;IF(O409="",", Expected Revenue","")&amp;IF(COUNTIF(tbl_Finance[Job Number],$C409&amp;"")&gt;1,", Job number used twice",""),3,300)))</f>
        <v/>
      </c>
      <c r="Q409" s="10">
        <f>IF($C409="","",IF(H409="","(no cost centre)",H409&amp;" - GL "&amp;IFERROR(INDEX(lst_CCtoGL,MATCH(H409,lst_CCforGL,0)),"?")))</f>
        <v/>
      </c>
      <c r="R409" s="37" t="n"/>
      <c r="S409" s="37" t="n"/>
      <c r="T409" s="10">
        <f>IF(S409="","",HYPERLINK(IF(LEFT(S409,4)="http",S409,set_QwilrBase&amp;S409),"Open quote"))</f>
        <v/>
      </c>
      <c r="U409" s="41" t="n"/>
      <c r="V409" s="37" t="n"/>
      <c r="W409" s="37" t="n"/>
      <c r="X409" s="10" t="inlineStr">
        <is>
          <t>ONS-0405</t>
        </is>
      </c>
    </row>
    <row r="410">
      <c r="A410" s="16">
        <f>IF($C410="","",IFERROR(IF(INDEX(tbl_Finance[Latest Invoice Date],MATCH($X410,tbl_Finance[Row ID],0))="","",INDEX(tbl_Finance[Latest Invoice Date],MATCH($X410,tbl_Finance[Row ID],0))),""))</f>
        <v/>
      </c>
      <c r="B410" s="10">
        <f>IF($C410="","",IFERROR(INDEX(tbl_Finance[Invoice Numbers],MATCH($X410,tbl_Finance[Row ID],0))&amp;"",""))</f>
        <v/>
      </c>
      <c r="C410" s="37" t="n"/>
      <c r="D410" s="10">
        <f>IF($C410="","",IF(COUNTIF(lst_Jobs,$C410&amp;"")&gt;0,"OK","CHECK"))</f>
        <v/>
      </c>
      <c r="E410" s="10">
        <f>IF($C410="","",IFERROR(INDEX(lst_JobName,MATCH($C410&amp;"",lst_Jobs,0)),""))</f>
        <v/>
      </c>
      <c r="F410" s="37" t="n"/>
      <c r="G410" s="37" t="n"/>
      <c r="H410" s="37" t="n"/>
      <c r="I410" s="37" t="n"/>
      <c r="J410" s="37" t="n"/>
      <c r="K410" s="38">
        <f>IF($C410="","",IFERROR(N(INDEX(tbl_Finance[Invoice Count],MATCH($X410,tbl_Finance[Row ID],0))),""))</f>
        <v/>
      </c>
      <c r="L410" s="11">
        <f>IF($C410="","",IFERROR(N(INDEX(tbl_Finance[Xero Invoiced Ex GST],MATCH($X410,tbl_Finance[Row ID],0))),""))</f>
        <v/>
      </c>
      <c r="M410" s="10">
        <f>IF($C410="","",IFERROR(INDEX(tbl_Finance[Compare],MATCH($X410,tbl_Finance[Row ID],0))&amp;"",""))</f>
        <v/>
      </c>
      <c r="N410" s="11">
        <f>IF($C410="","",MAX(0,N(O410)-N(L410)))</f>
        <v/>
      </c>
      <c r="O410" s="39" t="n"/>
      <c r="P410" s="40">
        <f>IF($C410="","",IF((IF(F410="",", Client","")&amp;IF(G410="",", Description","")&amp;IF(H410="",", Cost Centre","")&amp;IF(I410="",", Invoice Type","")&amp;IF(J410="",", Tax Code","")&amp;IF(O410="",", Expected Revenue","")&amp;IF(COUNTIF(tbl_Finance[Job Number],$C410&amp;"")&gt;1,", Job number used twice",""))="","Complete","Fix: "&amp;MID(IF(F410="",", Client","")&amp;IF(G410="",", Description","")&amp;IF(H410="",", Cost Centre","")&amp;IF(I410="",", Invoice Type","")&amp;IF(J410="",", Tax Code","")&amp;IF(O410="",", Expected Revenue","")&amp;IF(COUNTIF(tbl_Finance[Job Number],$C410&amp;"")&gt;1,", Job number used twice",""),3,300)))</f>
        <v/>
      </c>
      <c r="Q410" s="10">
        <f>IF($C410="","",IF(H410="","(no cost centre)",H410&amp;" - GL "&amp;IFERROR(INDEX(lst_CCtoGL,MATCH(H410,lst_CCforGL,0)),"?")))</f>
        <v/>
      </c>
      <c r="R410" s="37" t="n"/>
      <c r="S410" s="37" t="n"/>
      <c r="T410" s="10">
        <f>IF(S410="","",HYPERLINK(IF(LEFT(S410,4)="http",S410,set_QwilrBase&amp;S410),"Open quote"))</f>
        <v/>
      </c>
      <c r="U410" s="41" t="n"/>
      <c r="V410" s="37" t="n"/>
      <c r="W410" s="37" t="n"/>
      <c r="X410" s="10" t="inlineStr">
        <is>
          <t>ONS-0406</t>
        </is>
      </c>
    </row>
    <row r="411">
      <c r="A411" s="16">
        <f>IF($C411="","",IFERROR(IF(INDEX(tbl_Finance[Latest Invoice Date],MATCH($X411,tbl_Finance[Row ID],0))="","",INDEX(tbl_Finance[Latest Invoice Date],MATCH($X411,tbl_Finance[Row ID],0))),""))</f>
        <v/>
      </c>
      <c r="B411" s="10">
        <f>IF($C411="","",IFERROR(INDEX(tbl_Finance[Invoice Numbers],MATCH($X411,tbl_Finance[Row ID],0))&amp;"",""))</f>
        <v/>
      </c>
      <c r="C411" s="37" t="n"/>
      <c r="D411" s="10">
        <f>IF($C411="","",IF(COUNTIF(lst_Jobs,$C411&amp;"")&gt;0,"OK","CHECK"))</f>
        <v/>
      </c>
      <c r="E411" s="10">
        <f>IF($C411="","",IFERROR(INDEX(lst_JobName,MATCH($C411&amp;"",lst_Jobs,0)),""))</f>
        <v/>
      </c>
      <c r="F411" s="37" t="n"/>
      <c r="G411" s="37" t="n"/>
      <c r="H411" s="37" t="n"/>
      <c r="I411" s="37" t="n"/>
      <c r="J411" s="37" t="n"/>
      <c r="K411" s="38">
        <f>IF($C411="","",IFERROR(N(INDEX(tbl_Finance[Invoice Count],MATCH($X411,tbl_Finance[Row ID],0))),""))</f>
        <v/>
      </c>
      <c r="L411" s="11">
        <f>IF($C411="","",IFERROR(N(INDEX(tbl_Finance[Xero Invoiced Ex GST],MATCH($X411,tbl_Finance[Row ID],0))),""))</f>
        <v/>
      </c>
      <c r="M411" s="10">
        <f>IF($C411="","",IFERROR(INDEX(tbl_Finance[Compare],MATCH($X411,tbl_Finance[Row ID],0))&amp;"",""))</f>
        <v/>
      </c>
      <c r="N411" s="11">
        <f>IF($C411="","",MAX(0,N(O411)-N(L411)))</f>
        <v/>
      </c>
      <c r="O411" s="39" t="n"/>
      <c r="P411" s="40">
        <f>IF($C411="","",IF((IF(F411="",", Client","")&amp;IF(G411="",", Description","")&amp;IF(H411="",", Cost Centre","")&amp;IF(I411="",", Invoice Type","")&amp;IF(J411="",", Tax Code","")&amp;IF(O411="",", Expected Revenue","")&amp;IF(COUNTIF(tbl_Finance[Job Number],$C411&amp;"")&gt;1,", Job number used twice",""))="","Complete","Fix: "&amp;MID(IF(F411="",", Client","")&amp;IF(G411="",", Description","")&amp;IF(H411="",", Cost Centre","")&amp;IF(I411="",", Invoice Type","")&amp;IF(J411="",", Tax Code","")&amp;IF(O411="",", Expected Revenue","")&amp;IF(COUNTIF(tbl_Finance[Job Number],$C411&amp;"")&gt;1,", Job number used twice",""),3,300)))</f>
        <v/>
      </c>
      <c r="Q411" s="10">
        <f>IF($C411="","",IF(H411="","(no cost centre)",H411&amp;" - GL "&amp;IFERROR(INDEX(lst_CCtoGL,MATCH(H411,lst_CCforGL,0)),"?")))</f>
        <v/>
      </c>
      <c r="R411" s="37" t="n"/>
      <c r="S411" s="37" t="n"/>
      <c r="T411" s="10">
        <f>IF(S411="","",HYPERLINK(IF(LEFT(S411,4)="http",S411,set_QwilrBase&amp;S411),"Open quote"))</f>
        <v/>
      </c>
      <c r="U411" s="41" t="n"/>
      <c r="V411" s="37" t="n"/>
      <c r="W411" s="37" t="n"/>
      <c r="X411" s="10" t="inlineStr">
        <is>
          <t>ONS-0407</t>
        </is>
      </c>
    </row>
    <row r="412">
      <c r="A412" s="16">
        <f>IF($C412="","",IFERROR(IF(INDEX(tbl_Finance[Latest Invoice Date],MATCH($X412,tbl_Finance[Row ID],0))="","",INDEX(tbl_Finance[Latest Invoice Date],MATCH($X412,tbl_Finance[Row ID],0))),""))</f>
        <v/>
      </c>
      <c r="B412" s="10">
        <f>IF($C412="","",IFERROR(INDEX(tbl_Finance[Invoice Numbers],MATCH($X412,tbl_Finance[Row ID],0))&amp;"",""))</f>
        <v/>
      </c>
      <c r="C412" s="37" t="n"/>
      <c r="D412" s="10">
        <f>IF($C412="","",IF(COUNTIF(lst_Jobs,$C412&amp;"")&gt;0,"OK","CHECK"))</f>
        <v/>
      </c>
      <c r="E412" s="10">
        <f>IF($C412="","",IFERROR(INDEX(lst_JobName,MATCH($C412&amp;"",lst_Jobs,0)),""))</f>
        <v/>
      </c>
      <c r="F412" s="37" t="n"/>
      <c r="G412" s="37" t="n"/>
      <c r="H412" s="37" t="n"/>
      <c r="I412" s="37" t="n"/>
      <c r="J412" s="37" t="n"/>
      <c r="K412" s="38">
        <f>IF($C412="","",IFERROR(N(INDEX(tbl_Finance[Invoice Count],MATCH($X412,tbl_Finance[Row ID],0))),""))</f>
        <v/>
      </c>
      <c r="L412" s="11">
        <f>IF($C412="","",IFERROR(N(INDEX(tbl_Finance[Xero Invoiced Ex GST],MATCH($X412,tbl_Finance[Row ID],0))),""))</f>
        <v/>
      </c>
      <c r="M412" s="10">
        <f>IF($C412="","",IFERROR(INDEX(tbl_Finance[Compare],MATCH($X412,tbl_Finance[Row ID],0))&amp;"",""))</f>
        <v/>
      </c>
      <c r="N412" s="11">
        <f>IF($C412="","",MAX(0,N(O412)-N(L412)))</f>
        <v/>
      </c>
      <c r="O412" s="39" t="n"/>
      <c r="P412" s="40">
        <f>IF($C412="","",IF((IF(F412="",", Client","")&amp;IF(G412="",", Description","")&amp;IF(H412="",", Cost Centre","")&amp;IF(I412="",", Invoice Type","")&amp;IF(J412="",", Tax Code","")&amp;IF(O412="",", Expected Revenue","")&amp;IF(COUNTIF(tbl_Finance[Job Number],$C412&amp;"")&gt;1,", Job number used twice",""))="","Complete","Fix: "&amp;MID(IF(F412="",", Client","")&amp;IF(G412="",", Description","")&amp;IF(H412="",", Cost Centre","")&amp;IF(I412="",", Invoice Type","")&amp;IF(J412="",", Tax Code","")&amp;IF(O412="",", Expected Revenue","")&amp;IF(COUNTIF(tbl_Finance[Job Number],$C412&amp;"")&gt;1,", Job number used twice",""),3,300)))</f>
        <v/>
      </c>
      <c r="Q412" s="10">
        <f>IF($C412="","",IF(H412="","(no cost centre)",H412&amp;" - GL "&amp;IFERROR(INDEX(lst_CCtoGL,MATCH(H412,lst_CCforGL,0)),"?")))</f>
        <v/>
      </c>
      <c r="R412" s="37" t="n"/>
      <c r="S412" s="37" t="n"/>
      <c r="T412" s="10">
        <f>IF(S412="","",HYPERLINK(IF(LEFT(S412,4)="http",S412,set_QwilrBase&amp;S412),"Open quote"))</f>
        <v/>
      </c>
      <c r="U412" s="41" t="n"/>
      <c r="V412" s="37" t="n"/>
      <c r="W412" s="37" t="n"/>
      <c r="X412" s="10" t="inlineStr">
        <is>
          <t>ONS-0408</t>
        </is>
      </c>
    </row>
    <row r="413">
      <c r="A413" s="16">
        <f>IF($C413="","",IFERROR(IF(INDEX(tbl_Finance[Latest Invoice Date],MATCH($X413,tbl_Finance[Row ID],0))="","",INDEX(tbl_Finance[Latest Invoice Date],MATCH($X413,tbl_Finance[Row ID],0))),""))</f>
        <v/>
      </c>
      <c r="B413" s="10">
        <f>IF($C413="","",IFERROR(INDEX(tbl_Finance[Invoice Numbers],MATCH($X413,tbl_Finance[Row ID],0))&amp;"",""))</f>
        <v/>
      </c>
      <c r="C413" s="37" t="n"/>
      <c r="D413" s="10">
        <f>IF($C413="","",IF(COUNTIF(lst_Jobs,$C413&amp;"")&gt;0,"OK","CHECK"))</f>
        <v/>
      </c>
      <c r="E413" s="10">
        <f>IF($C413="","",IFERROR(INDEX(lst_JobName,MATCH($C413&amp;"",lst_Jobs,0)),""))</f>
        <v/>
      </c>
      <c r="F413" s="37" t="n"/>
      <c r="G413" s="37" t="n"/>
      <c r="H413" s="37" t="n"/>
      <c r="I413" s="37" t="n"/>
      <c r="J413" s="37" t="n"/>
      <c r="K413" s="38">
        <f>IF($C413="","",IFERROR(N(INDEX(tbl_Finance[Invoice Count],MATCH($X413,tbl_Finance[Row ID],0))),""))</f>
        <v/>
      </c>
      <c r="L413" s="11">
        <f>IF($C413="","",IFERROR(N(INDEX(tbl_Finance[Xero Invoiced Ex GST],MATCH($X413,tbl_Finance[Row ID],0))),""))</f>
        <v/>
      </c>
      <c r="M413" s="10">
        <f>IF($C413="","",IFERROR(INDEX(tbl_Finance[Compare],MATCH($X413,tbl_Finance[Row ID],0))&amp;"",""))</f>
        <v/>
      </c>
      <c r="N413" s="11">
        <f>IF($C413="","",MAX(0,N(O413)-N(L413)))</f>
        <v/>
      </c>
      <c r="O413" s="39" t="n"/>
      <c r="P413" s="40">
        <f>IF($C413="","",IF((IF(F413="",", Client","")&amp;IF(G413="",", Description","")&amp;IF(H413="",", Cost Centre","")&amp;IF(I413="",", Invoice Type","")&amp;IF(J413="",", Tax Code","")&amp;IF(O413="",", Expected Revenue","")&amp;IF(COUNTIF(tbl_Finance[Job Number],$C413&amp;"")&gt;1,", Job number used twice",""))="","Complete","Fix: "&amp;MID(IF(F413="",", Client","")&amp;IF(G413="",", Description","")&amp;IF(H413="",", Cost Centre","")&amp;IF(I413="",", Invoice Type","")&amp;IF(J413="",", Tax Code","")&amp;IF(O413="",", Expected Revenue","")&amp;IF(COUNTIF(tbl_Finance[Job Number],$C413&amp;"")&gt;1,", Job number used twice",""),3,300)))</f>
        <v/>
      </c>
      <c r="Q413" s="10">
        <f>IF($C413="","",IF(H413="","(no cost centre)",H413&amp;" - GL "&amp;IFERROR(INDEX(lst_CCtoGL,MATCH(H413,lst_CCforGL,0)),"?")))</f>
        <v/>
      </c>
      <c r="R413" s="37" t="n"/>
      <c r="S413" s="37" t="n"/>
      <c r="T413" s="10">
        <f>IF(S413="","",HYPERLINK(IF(LEFT(S413,4)="http",S413,set_QwilrBase&amp;S413),"Open quote"))</f>
        <v/>
      </c>
      <c r="U413" s="41" t="n"/>
      <c r="V413" s="37" t="n"/>
      <c r="W413" s="37" t="n"/>
      <c r="X413" s="10" t="inlineStr">
        <is>
          <t>ONS-0409</t>
        </is>
      </c>
    </row>
    <row r="414">
      <c r="A414" s="16">
        <f>IF($C414="","",IFERROR(IF(INDEX(tbl_Finance[Latest Invoice Date],MATCH($X414,tbl_Finance[Row ID],0))="","",INDEX(tbl_Finance[Latest Invoice Date],MATCH($X414,tbl_Finance[Row ID],0))),""))</f>
        <v/>
      </c>
      <c r="B414" s="10">
        <f>IF($C414="","",IFERROR(INDEX(tbl_Finance[Invoice Numbers],MATCH($X414,tbl_Finance[Row ID],0))&amp;"",""))</f>
        <v/>
      </c>
      <c r="C414" s="37" t="n"/>
      <c r="D414" s="10">
        <f>IF($C414="","",IF(COUNTIF(lst_Jobs,$C414&amp;"")&gt;0,"OK","CHECK"))</f>
        <v/>
      </c>
      <c r="E414" s="10">
        <f>IF($C414="","",IFERROR(INDEX(lst_JobName,MATCH($C414&amp;"",lst_Jobs,0)),""))</f>
        <v/>
      </c>
      <c r="F414" s="37" t="n"/>
      <c r="G414" s="37" t="n"/>
      <c r="H414" s="37" t="n"/>
      <c r="I414" s="37" t="n"/>
      <c r="J414" s="37" t="n"/>
      <c r="K414" s="38">
        <f>IF($C414="","",IFERROR(N(INDEX(tbl_Finance[Invoice Count],MATCH($X414,tbl_Finance[Row ID],0))),""))</f>
        <v/>
      </c>
      <c r="L414" s="11">
        <f>IF($C414="","",IFERROR(N(INDEX(tbl_Finance[Xero Invoiced Ex GST],MATCH($X414,tbl_Finance[Row ID],0))),""))</f>
        <v/>
      </c>
      <c r="M414" s="10">
        <f>IF($C414="","",IFERROR(INDEX(tbl_Finance[Compare],MATCH($X414,tbl_Finance[Row ID],0))&amp;"",""))</f>
        <v/>
      </c>
      <c r="N414" s="11">
        <f>IF($C414="","",MAX(0,N(O414)-N(L414)))</f>
        <v/>
      </c>
      <c r="O414" s="39" t="n"/>
      <c r="P414" s="40">
        <f>IF($C414="","",IF((IF(F414="",", Client","")&amp;IF(G414="",", Description","")&amp;IF(H414="",", Cost Centre","")&amp;IF(I414="",", Invoice Type","")&amp;IF(J414="",", Tax Code","")&amp;IF(O414="",", Expected Revenue","")&amp;IF(COUNTIF(tbl_Finance[Job Number],$C414&amp;"")&gt;1,", Job number used twice",""))="","Complete","Fix: "&amp;MID(IF(F414="",", Client","")&amp;IF(G414="",", Description","")&amp;IF(H414="",", Cost Centre","")&amp;IF(I414="",", Invoice Type","")&amp;IF(J414="",", Tax Code","")&amp;IF(O414="",", Expected Revenue","")&amp;IF(COUNTIF(tbl_Finance[Job Number],$C414&amp;"")&gt;1,", Job number used twice",""),3,300)))</f>
        <v/>
      </c>
      <c r="Q414" s="10">
        <f>IF($C414="","",IF(H414="","(no cost centre)",H414&amp;" - GL "&amp;IFERROR(INDEX(lst_CCtoGL,MATCH(H414,lst_CCforGL,0)),"?")))</f>
        <v/>
      </c>
      <c r="R414" s="37" t="n"/>
      <c r="S414" s="37" t="n"/>
      <c r="T414" s="10">
        <f>IF(S414="","",HYPERLINK(IF(LEFT(S414,4)="http",S414,set_QwilrBase&amp;S414),"Open quote"))</f>
        <v/>
      </c>
      <c r="U414" s="41" t="n"/>
      <c r="V414" s="37" t="n"/>
      <c r="W414" s="37" t="n"/>
      <c r="X414" s="10" t="inlineStr">
        <is>
          <t>ONS-0410</t>
        </is>
      </c>
    </row>
    <row r="415">
      <c r="A415" s="16">
        <f>IF($C415="","",IFERROR(IF(INDEX(tbl_Finance[Latest Invoice Date],MATCH($X415,tbl_Finance[Row ID],0))="","",INDEX(tbl_Finance[Latest Invoice Date],MATCH($X415,tbl_Finance[Row ID],0))),""))</f>
        <v/>
      </c>
      <c r="B415" s="10">
        <f>IF($C415="","",IFERROR(INDEX(tbl_Finance[Invoice Numbers],MATCH($X415,tbl_Finance[Row ID],0))&amp;"",""))</f>
        <v/>
      </c>
      <c r="C415" s="37" t="n"/>
      <c r="D415" s="10">
        <f>IF($C415="","",IF(COUNTIF(lst_Jobs,$C415&amp;"")&gt;0,"OK","CHECK"))</f>
        <v/>
      </c>
      <c r="E415" s="10">
        <f>IF($C415="","",IFERROR(INDEX(lst_JobName,MATCH($C415&amp;"",lst_Jobs,0)),""))</f>
        <v/>
      </c>
      <c r="F415" s="37" t="n"/>
      <c r="G415" s="37" t="n"/>
      <c r="H415" s="37" t="n"/>
      <c r="I415" s="37" t="n"/>
      <c r="J415" s="37" t="n"/>
      <c r="K415" s="38">
        <f>IF($C415="","",IFERROR(N(INDEX(tbl_Finance[Invoice Count],MATCH($X415,tbl_Finance[Row ID],0))),""))</f>
        <v/>
      </c>
      <c r="L415" s="11">
        <f>IF($C415="","",IFERROR(N(INDEX(tbl_Finance[Xero Invoiced Ex GST],MATCH($X415,tbl_Finance[Row ID],0))),""))</f>
        <v/>
      </c>
      <c r="M415" s="10">
        <f>IF($C415="","",IFERROR(INDEX(tbl_Finance[Compare],MATCH($X415,tbl_Finance[Row ID],0))&amp;"",""))</f>
        <v/>
      </c>
      <c r="N415" s="11">
        <f>IF($C415="","",MAX(0,N(O415)-N(L415)))</f>
        <v/>
      </c>
      <c r="O415" s="39" t="n"/>
      <c r="P415" s="40">
        <f>IF($C415="","",IF((IF(F415="",", Client","")&amp;IF(G415="",", Description","")&amp;IF(H415="",", Cost Centre","")&amp;IF(I415="",", Invoice Type","")&amp;IF(J415="",", Tax Code","")&amp;IF(O415="",", Expected Revenue","")&amp;IF(COUNTIF(tbl_Finance[Job Number],$C415&amp;"")&gt;1,", Job number used twice",""))="","Complete","Fix: "&amp;MID(IF(F415="",", Client","")&amp;IF(G415="",", Description","")&amp;IF(H415="",", Cost Centre","")&amp;IF(I415="",", Invoice Type","")&amp;IF(J415="",", Tax Code","")&amp;IF(O415="",", Expected Revenue","")&amp;IF(COUNTIF(tbl_Finance[Job Number],$C415&amp;"")&gt;1,", Job number used twice",""),3,300)))</f>
        <v/>
      </c>
      <c r="Q415" s="10">
        <f>IF($C415="","",IF(H415="","(no cost centre)",H415&amp;" - GL "&amp;IFERROR(INDEX(lst_CCtoGL,MATCH(H415,lst_CCforGL,0)),"?")))</f>
        <v/>
      </c>
      <c r="R415" s="37" t="n"/>
      <c r="S415" s="37" t="n"/>
      <c r="T415" s="10">
        <f>IF(S415="","",HYPERLINK(IF(LEFT(S415,4)="http",S415,set_QwilrBase&amp;S415),"Open quote"))</f>
        <v/>
      </c>
      <c r="U415" s="41" t="n"/>
      <c r="V415" s="37" t="n"/>
      <c r="W415" s="37" t="n"/>
      <c r="X415" s="10" t="inlineStr">
        <is>
          <t>ONS-0411</t>
        </is>
      </c>
    </row>
    <row r="416">
      <c r="A416" s="16">
        <f>IF($C416="","",IFERROR(IF(INDEX(tbl_Finance[Latest Invoice Date],MATCH($X416,tbl_Finance[Row ID],0))="","",INDEX(tbl_Finance[Latest Invoice Date],MATCH($X416,tbl_Finance[Row ID],0))),""))</f>
        <v/>
      </c>
      <c r="B416" s="10">
        <f>IF($C416="","",IFERROR(INDEX(tbl_Finance[Invoice Numbers],MATCH($X416,tbl_Finance[Row ID],0))&amp;"",""))</f>
        <v/>
      </c>
      <c r="C416" s="37" t="n"/>
      <c r="D416" s="10">
        <f>IF($C416="","",IF(COUNTIF(lst_Jobs,$C416&amp;"")&gt;0,"OK","CHECK"))</f>
        <v/>
      </c>
      <c r="E416" s="10">
        <f>IF($C416="","",IFERROR(INDEX(lst_JobName,MATCH($C416&amp;"",lst_Jobs,0)),""))</f>
        <v/>
      </c>
      <c r="F416" s="37" t="n"/>
      <c r="G416" s="37" t="n"/>
      <c r="H416" s="37" t="n"/>
      <c r="I416" s="37" t="n"/>
      <c r="J416" s="37" t="n"/>
      <c r="K416" s="38">
        <f>IF($C416="","",IFERROR(N(INDEX(tbl_Finance[Invoice Count],MATCH($X416,tbl_Finance[Row ID],0))),""))</f>
        <v/>
      </c>
      <c r="L416" s="11">
        <f>IF($C416="","",IFERROR(N(INDEX(tbl_Finance[Xero Invoiced Ex GST],MATCH($X416,tbl_Finance[Row ID],0))),""))</f>
        <v/>
      </c>
      <c r="M416" s="10">
        <f>IF($C416="","",IFERROR(INDEX(tbl_Finance[Compare],MATCH($X416,tbl_Finance[Row ID],0))&amp;"",""))</f>
        <v/>
      </c>
      <c r="N416" s="11">
        <f>IF($C416="","",MAX(0,N(O416)-N(L416)))</f>
        <v/>
      </c>
      <c r="O416" s="39" t="n"/>
      <c r="P416" s="40">
        <f>IF($C416="","",IF((IF(F416="",", Client","")&amp;IF(G416="",", Description","")&amp;IF(H416="",", Cost Centre","")&amp;IF(I416="",", Invoice Type","")&amp;IF(J416="",", Tax Code","")&amp;IF(O416="",", Expected Revenue","")&amp;IF(COUNTIF(tbl_Finance[Job Number],$C416&amp;"")&gt;1,", Job number used twice",""))="","Complete","Fix: "&amp;MID(IF(F416="",", Client","")&amp;IF(G416="",", Description","")&amp;IF(H416="",", Cost Centre","")&amp;IF(I416="",", Invoice Type","")&amp;IF(J416="",", Tax Code","")&amp;IF(O416="",", Expected Revenue","")&amp;IF(COUNTIF(tbl_Finance[Job Number],$C416&amp;"")&gt;1,", Job number used twice",""),3,300)))</f>
        <v/>
      </c>
      <c r="Q416" s="10">
        <f>IF($C416="","",IF(H416="","(no cost centre)",H416&amp;" - GL "&amp;IFERROR(INDEX(lst_CCtoGL,MATCH(H416,lst_CCforGL,0)),"?")))</f>
        <v/>
      </c>
      <c r="R416" s="37" t="n"/>
      <c r="S416" s="37" t="n"/>
      <c r="T416" s="10">
        <f>IF(S416="","",HYPERLINK(IF(LEFT(S416,4)="http",S416,set_QwilrBase&amp;S416),"Open quote"))</f>
        <v/>
      </c>
      <c r="U416" s="41" t="n"/>
      <c r="V416" s="37" t="n"/>
      <c r="W416" s="37" t="n"/>
      <c r="X416" s="10" t="inlineStr">
        <is>
          <t>ONS-0412</t>
        </is>
      </c>
    </row>
    <row r="417">
      <c r="A417" s="16">
        <f>IF($C417="","",IFERROR(IF(INDEX(tbl_Finance[Latest Invoice Date],MATCH($X417,tbl_Finance[Row ID],0))="","",INDEX(tbl_Finance[Latest Invoice Date],MATCH($X417,tbl_Finance[Row ID],0))),""))</f>
        <v/>
      </c>
      <c r="B417" s="10">
        <f>IF($C417="","",IFERROR(INDEX(tbl_Finance[Invoice Numbers],MATCH($X417,tbl_Finance[Row ID],0))&amp;"",""))</f>
        <v/>
      </c>
      <c r="C417" s="37" t="n"/>
      <c r="D417" s="10">
        <f>IF($C417="","",IF(COUNTIF(lst_Jobs,$C417&amp;"")&gt;0,"OK","CHECK"))</f>
        <v/>
      </c>
      <c r="E417" s="10">
        <f>IF($C417="","",IFERROR(INDEX(lst_JobName,MATCH($C417&amp;"",lst_Jobs,0)),""))</f>
        <v/>
      </c>
      <c r="F417" s="37" t="n"/>
      <c r="G417" s="37" t="n"/>
      <c r="H417" s="37" t="n"/>
      <c r="I417" s="37" t="n"/>
      <c r="J417" s="37" t="n"/>
      <c r="K417" s="38">
        <f>IF($C417="","",IFERROR(N(INDEX(tbl_Finance[Invoice Count],MATCH($X417,tbl_Finance[Row ID],0))),""))</f>
        <v/>
      </c>
      <c r="L417" s="11">
        <f>IF($C417="","",IFERROR(N(INDEX(tbl_Finance[Xero Invoiced Ex GST],MATCH($X417,tbl_Finance[Row ID],0))),""))</f>
        <v/>
      </c>
      <c r="M417" s="10">
        <f>IF($C417="","",IFERROR(INDEX(tbl_Finance[Compare],MATCH($X417,tbl_Finance[Row ID],0))&amp;"",""))</f>
        <v/>
      </c>
      <c r="N417" s="11">
        <f>IF($C417="","",MAX(0,N(O417)-N(L417)))</f>
        <v/>
      </c>
      <c r="O417" s="39" t="n"/>
      <c r="P417" s="40">
        <f>IF($C417="","",IF((IF(F417="",", Client","")&amp;IF(G417="",", Description","")&amp;IF(H417="",", Cost Centre","")&amp;IF(I417="",", Invoice Type","")&amp;IF(J417="",", Tax Code","")&amp;IF(O417="",", Expected Revenue","")&amp;IF(COUNTIF(tbl_Finance[Job Number],$C417&amp;"")&gt;1,", Job number used twice",""))="","Complete","Fix: "&amp;MID(IF(F417="",", Client","")&amp;IF(G417="",", Description","")&amp;IF(H417="",", Cost Centre","")&amp;IF(I417="",", Invoice Type","")&amp;IF(J417="",", Tax Code","")&amp;IF(O417="",", Expected Revenue","")&amp;IF(COUNTIF(tbl_Finance[Job Number],$C417&amp;"")&gt;1,", Job number used twice",""),3,300)))</f>
        <v/>
      </c>
      <c r="Q417" s="10">
        <f>IF($C417="","",IF(H417="","(no cost centre)",H417&amp;" - GL "&amp;IFERROR(INDEX(lst_CCtoGL,MATCH(H417,lst_CCforGL,0)),"?")))</f>
        <v/>
      </c>
      <c r="R417" s="37" t="n"/>
      <c r="S417" s="37" t="n"/>
      <c r="T417" s="10">
        <f>IF(S417="","",HYPERLINK(IF(LEFT(S417,4)="http",S417,set_QwilrBase&amp;S417),"Open quote"))</f>
        <v/>
      </c>
      <c r="U417" s="41" t="n"/>
      <c r="V417" s="37" t="n"/>
      <c r="W417" s="37" t="n"/>
      <c r="X417" s="10" t="inlineStr">
        <is>
          <t>ONS-0413</t>
        </is>
      </c>
    </row>
    <row r="418">
      <c r="A418" s="16">
        <f>IF($C418="","",IFERROR(IF(INDEX(tbl_Finance[Latest Invoice Date],MATCH($X418,tbl_Finance[Row ID],0))="","",INDEX(tbl_Finance[Latest Invoice Date],MATCH($X418,tbl_Finance[Row ID],0))),""))</f>
        <v/>
      </c>
      <c r="B418" s="10">
        <f>IF($C418="","",IFERROR(INDEX(tbl_Finance[Invoice Numbers],MATCH($X418,tbl_Finance[Row ID],0))&amp;"",""))</f>
        <v/>
      </c>
      <c r="C418" s="37" t="n"/>
      <c r="D418" s="10">
        <f>IF($C418="","",IF(COUNTIF(lst_Jobs,$C418&amp;"")&gt;0,"OK","CHECK"))</f>
        <v/>
      </c>
      <c r="E418" s="10">
        <f>IF($C418="","",IFERROR(INDEX(lst_JobName,MATCH($C418&amp;"",lst_Jobs,0)),""))</f>
        <v/>
      </c>
      <c r="F418" s="37" t="n"/>
      <c r="G418" s="37" t="n"/>
      <c r="H418" s="37" t="n"/>
      <c r="I418" s="37" t="n"/>
      <c r="J418" s="37" t="n"/>
      <c r="K418" s="38">
        <f>IF($C418="","",IFERROR(N(INDEX(tbl_Finance[Invoice Count],MATCH($X418,tbl_Finance[Row ID],0))),""))</f>
        <v/>
      </c>
      <c r="L418" s="11">
        <f>IF($C418="","",IFERROR(N(INDEX(tbl_Finance[Xero Invoiced Ex GST],MATCH($X418,tbl_Finance[Row ID],0))),""))</f>
        <v/>
      </c>
      <c r="M418" s="10">
        <f>IF($C418="","",IFERROR(INDEX(tbl_Finance[Compare],MATCH($X418,tbl_Finance[Row ID],0))&amp;"",""))</f>
        <v/>
      </c>
      <c r="N418" s="11">
        <f>IF($C418="","",MAX(0,N(O418)-N(L418)))</f>
        <v/>
      </c>
      <c r="O418" s="39" t="n"/>
      <c r="P418" s="40">
        <f>IF($C418="","",IF((IF(F418="",", Client","")&amp;IF(G418="",", Description","")&amp;IF(H418="",", Cost Centre","")&amp;IF(I418="",", Invoice Type","")&amp;IF(J418="",", Tax Code","")&amp;IF(O418="",", Expected Revenue","")&amp;IF(COUNTIF(tbl_Finance[Job Number],$C418&amp;"")&gt;1,", Job number used twice",""))="","Complete","Fix: "&amp;MID(IF(F418="",", Client","")&amp;IF(G418="",", Description","")&amp;IF(H418="",", Cost Centre","")&amp;IF(I418="",", Invoice Type","")&amp;IF(J418="",", Tax Code","")&amp;IF(O418="",", Expected Revenue","")&amp;IF(COUNTIF(tbl_Finance[Job Number],$C418&amp;"")&gt;1,", Job number used twice",""),3,300)))</f>
        <v/>
      </c>
      <c r="Q418" s="10">
        <f>IF($C418="","",IF(H418="","(no cost centre)",H418&amp;" - GL "&amp;IFERROR(INDEX(lst_CCtoGL,MATCH(H418,lst_CCforGL,0)),"?")))</f>
        <v/>
      </c>
      <c r="R418" s="37" t="n"/>
      <c r="S418" s="37" t="n"/>
      <c r="T418" s="10">
        <f>IF(S418="","",HYPERLINK(IF(LEFT(S418,4)="http",S418,set_QwilrBase&amp;S418),"Open quote"))</f>
        <v/>
      </c>
      <c r="U418" s="41" t="n"/>
      <c r="V418" s="37" t="n"/>
      <c r="W418" s="37" t="n"/>
      <c r="X418" s="10" t="inlineStr">
        <is>
          <t>ONS-0414</t>
        </is>
      </c>
    </row>
    <row r="419">
      <c r="A419" s="16">
        <f>IF($C419="","",IFERROR(IF(INDEX(tbl_Finance[Latest Invoice Date],MATCH($X419,tbl_Finance[Row ID],0))="","",INDEX(tbl_Finance[Latest Invoice Date],MATCH($X419,tbl_Finance[Row ID],0))),""))</f>
        <v/>
      </c>
      <c r="B419" s="10">
        <f>IF($C419="","",IFERROR(INDEX(tbl_Finance[Invoice Numbers],MATCH($X419,tbl_Finance[Row ID],0))&amp;"",""))</f>
        <v/>
      </c>
      <c r="C419" s="37" t="n"/>
      <c r="D419" s="10">
        <f>IF($C419="","",IF(COUNTIF(lst_Jobs,$C419&amp;"")&gt;0,"OK","CHECK"))</f>
        <v/>
      </c>
      <c r="E419" s="10">
        <f>IF($C419="","",IFERROR(INDEX(lst_JobName,MATCH($C419&amp;"",lst_Jobs,0)),""))</f>
        <v/>
      </c>
      <c r="F419" s="37" t="n"/>
      <c r="G419" s="37" t="n"/>
      <c r="H419" s="37" t="n"/>
      <c r="I419" s="37" t="n"/>
      <c r="J419" s="37" t="n"/>
      <c r="K419" s="38">
        <f>IF($C419="","",IFERROR(N(INDEX(tbl_Finance[Invoice Count],MATCH($X419,tbl_Finance[Row ID],0))),""))</f>
        <v/>
      </c>
      <c r="L419" s="11">
        <f>IF($C419="","",IFERROR(N(INDEX(tbl_Finance[Xero Invoiced Ex GST],MATCH($X419,tbl_Finance[Row ID],0))),""))</f>
        <v/>
      </c>
      <c r="M419" s="10">
        <f>IF($C419="","",IFERROR(INDEX(tbl_Finance[Compare],MATCH($X419,tbl_Finance[Row ID],0))&amp;"",""))</f>
        <v/>
      </c>
      <c r="N419" s="11">
        <f>IF($C419="","",MAX(0,N(O419)-N(L419)))</f>
        <v/>
      </c>
      <c r="O419" s="39" t="n"/>
      <c r="P419" s="40">
        <f>IF($C419="","",IF((IF(F419="",", Client","")&amp;IF(G419="",", Description","")&amp;IF(H419="",", Cost Centre","")&amp;IF(I419="",", Invoice Type","")&amp;IF(J419="",", Tax Code","")&amp;IF(O419="",", Expected Revenue","")&amp;IF(COUNTIF(tbl_Finance[Job Number],$C419&amp;"")&gt;1,", Job number used twice",""))="","Complete","Fix: "&amp;MID(IF(F419="",", Client","")&amp;IF(G419="",", Description","")&amp;IF(H419="",", Cost Centre","")&amp;IF(I419="",", Invoice Type","")&amp;IF(J419="",", Tax Code","")&amp;IF(O419="",", Expected Revenue","")&amp;IF(COUNTIF(tbl_Finance[Job Number],$C419&amp;"")&gt;1,", Job number used twice",""),3,300)))</f>
        <v/>
      </c>
      <c r="Q419" s="10">
        <f>IF($C419="","",IF(H419="","(no cost centre)",H419&amp;" - GL "&amp;IFERROR(INDEX(lst_CCtoGL,MATCH(H419,lst_CCforGL,0)),"?")))</f>
        <v/>
      </c>
      <c r="R419" s="37" t="n"/>
      <c r="S419" s="37" t="n"/>
      <c r="T419" s="10">
        <f>IF(S419="","",HYPERLINK(IF(LEFT(S419,4)="http",S419,set_QwilrBase&amp;S419),"Open quote"))</f>
        <v/>
      </c>
      <c r="U419" s="41" t="n"/>
      <c r="V419" s="37" t="n"/>
      <c r="W419" s="37" t="n"/>
      <c r="X419" s="10" t="inlineStr">
        <is>
          <t>ONS-0415</t>
        </is>
      </c>
    </row>
    <row r="420">
      <c r="A420" s="16">
        <f>IF($C420="","",IFERROR(IF(INDEX(tbl_Finance[Latest Invoice Date],MATCH($X420,tbl_Finance[Row ID],0))="","",INDEX(tbl_Finance[Latest Invoice Date],MATCH($X420,tbl_Finance[Row ID],0))),""))</f>
        <v/>
      </c>
      <c r="B420" s="10">
        <f>IF($C420="","",IFERROR(INDEX(tbl_Finance[Invoice Numbers],MATCH($X420,tbl_Finance[Row ID],0))&amp;"",""))</f>
        <v/>
      </c>
      <c r="C420" s="37" t="n"/>
      <c r="D420" s="10">
        <f>IF($C420="","",IF(COUNTIF(lst_Jobs,$C420&amp;"")&gt;0,"OK","CHECK"))</f>
        <v/>
      </c>
      <c r="E420" s="10">
        <f>IF($C420="","",IFERROR(INDEX(lst_JobName,MATCH($C420&amp;"",lst_Jobs,0)),""))</f>
        <v/>
      </c>
      <c r="F420" s="37" t="n"/>
      <c r="G420" s="37" t="n"/>
      <c r="H420" s="37" t="n"/>
      <c r="I420" s="37" t="n"/>
      <c r="J420" s="37" t="n"/>
      <c r="K420" s="38">
        <f>IF($C420="","",IFERROR(N(INDEX(tbl_Finance[Invoice Count],MATCH($X420,tbl_Finance[Row ID],0))),""))</f>
        <v/>
      </c>
      <c r="L420" s="11">
        <f>IF($C420="","",IFERROR(N(INDEX(tbl_Finance[Xero Invoiced Ex GST],MATCH($X420,tbl_Finance[Row ID],0))),""))</f>
        <v/>
      </c>
      <c r="M420" s="10">
        <f>IF($C420="","",IFERROR(INDEX(tbl_Finance[Compare],MATCH($X420,tbl_Finance[Row ID],0))&amp;"",""))</f>
        <v/>
      </c>
      <c r="N420" s="11">
        <f>IF($C420="","",MAX(0,N(O420)-N(L420)))</f>
        <v/>
      </c>
      <c r="O420" s="39" t="n"/>
      <c r="P420" s="40">
        <f>IF($C420="","",IF((IF(F420="",", Client","")&amp;IF(G420="",", Description","")&amp;IF(H420="",", Cost Centre","")&amp;IF(I420="",", Invoice Type","")&amp;IF(J420="",", Tax Code","")&amp;IF(O420="",", Expected Revenue","")&amp;IF(COUNTIF(tbl_Finance[Job Number],$C420&amp;"")&gt;1,", Job number used twice",""))="","Complete","Fix: "&amp;MID(IF(F420="",", Client","")&amp;IF(G420="",", Description","")&amp;IF(H420="",", Cost Centre","")&amp;IF(I420="",", Invoice Type","")&amp;IF(J420="",", Tax Code","")&amp;IF(O420="",", Expected Revenue","")&amp;IF(COUNTIF(tbl_Finance[Job Number],$C420&amp;"")&gt;1,", Job number used twice",""),3,300)))</f>
        <v/>
      </c>
      <c r="Q420" s="10">
        <f>IF($C420="","",IF(H420="","(no cost centre)",H420&amp;" - GL "&amp;IFERROR(INDEX(lst_CCtoGL,MATCH(H420,lst_CCforGL,0)),"?")))</f>
        <v/>
      </c>
      <c r="R420" s="37" t="n"/>
      <c r="S420" s="37" t="n"/>
      <c r="T420" s="10">
        <f>IF(S420="","",HYPERLINK(IF(LEFT(S420,4)="http",S420,set_QwilrBase&amp;S420),"Open quote"))</f>
        <v/>
      </c>
      <c r="U420" s="41" t="n"/>
      <c r="V420" s="37" t="n"/>
      <c r="W420" s="37" t="n"/>
      <c r="X420" s="10" t="inlineStr">
        <is>
          <t>ONS-0416</t>
        </is>
      </c>
    </row>
    <row r="421">
      <c r="A421" s="16">
        <f>IF($C421="","",IFERROR(IF(INDEX(tbl_Finance[Latest Invoice Date],MATCH($X421,tbl_Finance[Row ID],0))="","",INDEX(tbl_Finance[Latest Invoice Date],MATCH($X421,tbl_Finance[Row ID],0))),""))</f>
        <v/>
      </c>
      <c r="B421" s="10">
        <f>IF($C421="","",IFERROR(INDEX(tbl_Finance[Invoice Numbers],MATCH($X421,tbl_Finance[Row ID],0))&amp;"",""))</f>
        <v/>
      </c>
      <c r="C421" s="37" t="n"/>
      <c r="D421" s="10">
        <f>IF($C421="","",IF(COUNTIF(lst_Jobs,$C421&amp;"")&gt;0,"OK","CHECK"))</f>
        <v/>
      </c>
      <c r="E421" s="10">
        <f>IF($C421="","",IFERROR(INDEX(lst_JobName,MATCH($C421&amp;"",lst_Jobs,0)),""))</f>
        <v/>
      </c>
      <c r="F421" s="37" t="n"/>
      <c r="G421" s="37" t="n"/>
      <c r="H421" s="37" t="n"/>
      <c r="I421" s="37" t="n"/>
      <c r="J421" s="37" t="n"/>
      <c r="K421" s="38">
        <f>IF($C421="","",IFERROR(N(INDEX(tbl_Finance[Invoice Count],MATCH($X421,tbl_Finance[Row ID],0))),""))</f>
        <v/>
      </c>
      <c r="L421" s="11">
        <f>IF($C421="","",IFERROR(N(INDEX(tbl_Finance[Xero Invoiced Ex GST],MATCH($X421,tbl_Finance[Row ID],0))),""))</f>
        <v/>
      </c>
      <c r="M421" s="10">
        <f>IF($C421="","",IFERROR(INDEX(tbl_Finance[Compare],MATCH($X421,tbl_Finance[Row ID],0))&amp;"",""))</f>
        <v/>
      </c>
      <c r="N421" s="11">
        <f>IF($C421="","",MAX(0,N(O421)-N(L421)))</f>
        <v/>
      </c>
      <c r="O421" s="39" t="n"/>
      <c r="P421" s="40">
        <f>IF($C421="","",IF((IF(F421="",", Client","")&amp;IF(G421="",", Description","")&amp;IF(H421="",", Cost Centre","")&amp;IF(I421="",", Invoice Type","")&amp;IF(J421="",", Tax Code","")&amp;IF(O421="",", Expected Revenue","")&amp;IF(COUNTIF(tbl_Finance[Job Number],$C421&amp;"")&gt;1,", Job number used twice",""))="","Complete","Fix: "&amp;MID(IF(F421="",", Client","")&amp;IF(G421="",", Description","")&amp;IF(H421="",", Cost Centre","")&amp;IF(I421="",", Invoice Type","")&amp;IF(J421="",", Tax Code","")&amp;IF(O421="",", Expected Revenue","")&amp;IF(COUNTIF(tbl_Finance[Job Number],$C421&amp;"")&gt;1,", Job number used twice",""),3,300)))</f>
        <v/>
      </c>
      <c r="Q421" s="10">
        <f>IF($C421="","",IF(H421="","(no cost centre)",H421&amp;" - GL "&amp;IFERROR(INDEX(lst_CCtoGL,MATCH(H421,lst_CCforGL,0)),"?")))</f>
        <v/>
      </c>
      <c r="R421" s="37" t="n"/>
      <c r="S421" s="37" t="n"/>
      <c r="T421" s="10">
        <f>IF(S421="","",HYPERLINK(IF(LEFT(S421,4)="http",S421,set_QwilrBase&amp;S421),"Open quote"))</f>
        <v/>
      </c>
      <c r="U421" s="41" t="n"/>
      <c r="V421" s="37" t="n"/>
      <c r="W421" s="37" t="n"/>
      <c r="X421" s="10" t="inlineStr">
        <is>
          <t>ONS-0417</t>
        </is>
      </c>
    </row>
    <row r="422">
      <c r="A422" s="16">
        <f>IF($C422="","",IFERROR(IF(INDEX(tbl_Finance[Latest Invoice Date],MATCH($X422,tbl_Finance[Row ID],0))="","",INDEX(tbl_Finance[Latest Invoice Date],MATCH($X422,tbl_Finance[Row ID],0))),""))</f>
        <v/>
      </c>
      <c r="B422" s="10">
        <f>IF($C422="","",IFERROR(INDEX(tbl_Finance[Invoice Numbers],MATCH($X422,tbl_Finance[Row ID],0))&amp;"",""))</f>
        <v/>
      </c>
      <c r="C422" s="37" t="n"/>
      <c r="D422" s="10">
        <f>IF($C422="","",IF(COUNTIF(lst_Jobs,$C422&amp;"")&gt;0,"OK","CHECK"))</f>
        <v/>
      </c>
      <c r="E422" s="10">
        <f>IF($C422="","",IFERROR(INDEX(lst_JobName,MATCH($C422&amp;"",lst_Jobs,0)),""))</f>
        <v/>
      </c>
      <c r="F422" s="37" t="n"/>
      <c r="G422" s="37" t="n"/>
      <c r="H422" s="37" t="n"/>
      <c r="I422" s="37" t="n"/>
      <c r="J422" s="37" t="n"/>
      <c r="K422" s="38">
        <f>IF($C422="","",IFERROR(N(INDEX(tbl_Finance[Invoice Count],MATCH($X422,tbl_Finance[Row ID],0))),""))</f>
        <v/>
      </c>
      <c r="L422" s="11">
        <f>IF($C422="","",IFERROR(N(INDEX(tbl_Finance[Xero Invoiced Ex GST],MATCH($X422,tbl_Finance[Row ID],0))),""))</f>
        <v/>
      </c>
      <c r="M422" s="10">
        <f>IF($C422="","",IFERROR(INDEX(tbl_Finance[Compare],MATCH($X422,tbl_Finance[Row ID],0))&amp;"",""))</f>
        <v/>
      </c>
      <c r="N422" s="11">
        <f>IF($C422="","",MAX(0,N(O422)-N(L422)))</f>
        <v/>
      </c>
      <c r="O422" s="39" t="n"/>
      <c r="P422" s="40">
        <f>IF($C422="","",IF((IF(F422="",", Client","")&amp;IF(G422="",", Description","")&amp;IF(H422="",", Cost Centre","")&amp;IF(I422="",", Invoice Type","")&amp;IF(J422="",", Tax Code","")&amp;IF(O422="",", Expected Revenue","")&amp;IF(COUNTIF(tbl_Finance[Job Number],$C422&amp;"")&gt;1,", Job number used twice",""))="","Complete","Fix: "&amp;MID(IF(F422="",", Client","")&amp;IF(G422="",", Description","")&amp;IF(H422="",", Cost Centre","")&amp;IF(I422="",", Invoice Type","")&amp;IF(J422="",", Tax Code","")&amp;IF(O422="",", Expected Revenue","")&amp;IF(COUNTIF(tbl_Finance[Job Number],$C422&amp;"")&gt;1,", Job number used twice",""),3,300)))</f>
        <v/>
      </c>
      <c r="Q422" s="10">
        <f>IF($C422="","",IF(H422="","(no cost centre)",H422&amp;" - GL "&amp;IFERROR(INDEX(lst_CCtoGL,MATCH(H422,lst_CCforGL,0)),"?")))</f>
        <v/>
      </c>
      <c r="R422" s="37" t="n"/>
      <c r="S422" s="37" t="n"/>
      <c r="T422" s="10">
        <f>IF(S422="","",HYPERLINK(IF(LEFT(S422,4)="http",S422,set_QwilrBase&amp;S422),"Open quote"))</f>
        <v/>
      </c>
      <c r="U422" s="41" t="n"/>
      <c r="V422" s="37" t="n"/>
      <c r="W422" s="37" t="n"/>
      <c r="X422" s="10" t="inlineStr">
        <is>
          <t>ONS-0418</t>
        </is>
      </c>
    </row>
    <row r="423">
      <c r="A423" s="16">
        <f>IF($C423="","",IFERROR(IF(INDEX(tbl_Finance[Latest Invoice Date],MATCH($X423,tbl_Finance[Row ID],0))="","",INDEX(tbl_Finance[Latest Invoice Date],MATCH($X423,tbl_Finance[Row ID],0))),""))</f>
        <v/>
      </c>
      <c r="B423" s="10">
        <f>IF($C423="","",IFERROR(INDEX(tbl_Finance[Invoice Numbers],MATCH($X423,tbl_Finance[Row ID],0))&amp;"",""))</f>
        <v/>
      </c>
      <c r="C423" s="37" t="n"/>
      <c r="D423" s="10">
        <f>IF($C423="","",IF(COUNTIF(lst_Jobs,$C423&amp;"")&gt;0,"OK","CHECK"))</f>
        <v/>
      </c>
      <c r="E423" s="10">
        <f>IF($C423="","",IFERROR(INDEX(lst_JobName,MATCH($C423&amp;"",lst_Jobs,0)),""))</f>
        <v/>
      </c>
      <c r="F423" s="37" t="n"/>
      <c r="G423" s="37" t="n"/>
      <c r="H423" s="37" t="n"/>
      <c r="I423" s="37" t="n"/>
      <c r="J423" s="37" t="n"/>
      <c r="K423" s="38">
        <f>IF($C423="","",IFERROR(N(INDEX(tbl_Finance[Invoice Count],MATCH($X423,tbl_Finance[Row ID],0))),""))</f>
        <v/>
      </c>
      <c r="L423" s="11">
        <f>IF($C423="","",IFERROR(N(INDEX(tbl_Finance[Xero Invoiced Ex GST],MATCH($X423,tbl_Finance[Row ID],0))),""))</f>
        <v/>
      </c>
      <c r="M423" s="10">
        <f>IF($C423="","",IFERROR(INDEX(tbl_Finance[Compare],MATCH($X423,tbl_Finance[Row ID],0))&amp;"",""))</f>
        <v/>
      </c>
      <c r="N423" s="11">
        <f>IF($C423="","",MAX(0,N(O423)-N(L423)))</f>
        <v/>
      </c>
      <c r="O423" s="39" t="n"/>
      <c r="P423" s="40">
        <f>IF($C423="","",IF((IF(F423="",", Client","")&amp;IF(G423="",", Description","")&amp;IF(H423="",", Cost Centre","")&amp;IF(I423="",", Invoice Type","")&amp;IF(J423="",", Tax Code","")&amp;IF(O423="",", Expected Revenue","")&amp;IF(COUNTIF(tbl_Finance[Job Number],$C423&amp;"")&gt;1,", Job number used twice",""))="","Complete","Fix: "&amp;MID(IF(F423="",", Client","")&amp;IF(G423="",", Description","")&amp;IF(H423="",", Cost Centre","")&amp;IF(I423="",", Invoice Type","")&amp;IF(J423="",", Tax Code","")&amp;IF(O423="",", Expected Revenue","")&amp;IF(COUNTIF(tbl_Finance[Job Number],$C423&amp;"")&gt;1,", Job number used twice",""),3,300)))</f>
        <v/>
      </c>
      <c r="Q423" s="10">
        <f>IF($C423="","",IF(H423="","(no cost centre)",H423&amp;" - GL "&amp;IFERROR(INDEX(lst_CCtoGL,MATCH(H423,lst_CCforGL,0)),"?")))</f>
        <v/>
      </c>
      <c r="R423" s="37" t="n"/>
      <c r="S423" s="37" t="n"/>
      <c r="T423" s="10">
        <f>IF(S423="","",HYPERLINK(IF(LEFT(S423,4)="http",S423,set_QwilrBase&amp;S423),"Open quote"))</f>
        <v/>
      </c>
      <c r="U423" s="41" t="n"/>
      <c r="V423" s="37" t="n"/>
      <c r="W423" s="37" t="n"/>
      <c r="X423" s="10" t="inlineStr">
        <is>
          <t>ONS-0419</t>
        </is>
      </c>
    </row>
    <row r="424">
      <c r="A424" s="16">
        <f>IF($C424="","",IFERROR(IF(INDEX(tbl_Finance[Latest Invoice Date],MATCH($X424,tbl_Finance[Row ID],0))="","",INDEX(tbl_Finance[Latest Invoice Date],MATCH($X424,tbl_Finance[Row ID],0))),""))</f>
        <v/>
      </c>
      <c r="B424" s="10">
        <f>IF($C424="","",IFERROR(INDEX(tbl_Finance[Invoice Numbers],MATCH($X424,tbl_Finance[Row ID],0))&amp;"",""))</f>
        <v/>
      </c>
      <c r="C424" s="37" t="n"/>
      <c r="D424" s="10">
        <f>IF($C424="","",IF(COUNTIF(lst_Jobs,$C424&amp;"")&gt;0,"OK","CHECK"))</f>
        <v/>
      </c>
      <c r="E424" s="10">
        <f>IF($C424="","",IFERROR(INDEX(lst_JobName,MATCH($C424&amp;"",lst_Jobs,0)),""))</f>
        <v/>
      </c>
      <c r="F424" s="37" t="n"/>
      <c r="G424" s="37" t="n"/>
      <c r="H424" s="37" t="n"/>
      <c r="I424" s="37" t="n"/>
      <c r="J424" s="37" t="n"/>
      <c r="K424" s="38">
        <f>IF($C424="","",IFERROR(N(INDEX(tbl_Finance[Invoice Count],MATCH($X424,tbl_Finance[Row ID],0))),""))</f>
        <v/>
      </c>
      <c r="L424" s="11">
        <f>IF($C424="","",IFERROR(N(INDEX(tbl_Finance[Xero Invoiced Ex GST],MATCH($X424,tbl_Finance[Row ID],0))),""))</f>
        <v/>
      </c>
      <c r="M424" s="10">
        <f>IF($C424="","",IFERROR(INDEX(tbl_Finance[Compare],MATCH($X424,tbl_Finance[Row ID],0))&amp;"",""))</f>
        <v/>
      </c>
      <c r="N424" s="11">
        <f>IF($C424="","",MAX(0,N(O424)-N(L424)))</f>
        <v/>
      </c>
      <c r="O424" s="39" t="n"/>
      <c r="P424" s="40">
        <f>IF($C424="","",IF((IF(F424="",", Client","")&amp;IF(G424="",", Description","")&amp;IF(H424="",", Cost Centre","")&amp;IF(I424="",", Invoice Type","")&amp;IF(J424="",", Tax Code","")&amp;IF(O424="",", Expected Revenue","")&amp;IF(COUNTIF(tbl_Finance[Job Number],$C424&amp;"")&gt;1,", Job number used twice",""))="","Complete","Fix: "&amp;MID(IF(F424="",", Client","")&amp;IF(G424="",", Description","")&amp;IF(H424="",", Cost Centre","")&amp;IF(I424="",", Invoice Type","")&amp;IF(J424="",", Tax Code","")&amp;IF(O424="",", Expected Revenue","")&amp;IF(COUNTIF(tbl_Finance[Job Number],$C424&amp;"")&gt;1,", Job number used twice",""),3,300)))</f>
        <v/>
      </c>
      <c r="Q424" s="10">
        <f>IF($C424="","",IF(H424="","(no cost centre)",H424&amp;" - GL "&amp;IFERROR(INDEX(lst_CCtoGL,MATCH(H424,lst_CCforGL,0)),"?")))</f>
        <v/>
      </c>
      <c r="R424" s="37" t="n"/>
      <c r="S424" s="37" t="n"/>
      <c r="T424" s="10">
        <f>IF(S424="","",HYPERLINK(IF(LEFT(S424,4)="http",S424,set_QwilrBase&amp;S424),"Open quote"))</f>
        <v/>
      </c>
      <c r="U424" s="41" t="n"/>
      <c r="V424" s="37" t="n"/>
      <c r="W424" s="37" t="n"/>
      <c r="X424" s="10" t="inlineStr">
        <is>
          <t>ONS-0420</t>
        </is>
      </c>
    </row>
    <row r="425">
      <c r="A425" s="16">
        <f>IF($C425="","",IFERROR(IF(INDEX(tbl_Finance[Latest Invoice Date],MATCH($X425,tbl_Finance[Row ID],0))="","",INDEX(tbl_Finance[Latest Invoice Date],MATCH($X425,tbl_Finance[Row ID],0))),""))</f>
        <v/>
      </c>
      <c r="B425" s="10">
        <f>IF($C425="","",IFERROR(INDEX(tbl_Finance[Invoice Numbers],MATCH($X425,tbl_Finance[Row ID],0))&amp;"",""))</f>
        <v/>
      </c>
      <c r="C425" s="37" t="n"/>
      <c r="D425" s="10">
        <f>IF($C425="","",IF(COUNTIF(lst_Jobs,$C425&amp;"")&gt;0,"OK","CHECK"))</f>
        <v/>
      </c>
      <c r="E425" s="10">
        <f>IF($C425="","",IFERROR(INDEX(lst_JobName,MATCH($C425&amp;"",lst_Jobs,0)),""))</f>
        <v/>
      </c>
      <c r="F425" s="37" t="n"/>
      <c r="G425" s="37" t="n"/>
      <c r="H425" s="37" t="n"/>
      <c r="I425" s="37" t="n"/>
      <c r="J425" s="37" t="n"/>
      <c r="K425" s="38">
        <f>IF($C425="","",IFERROR(N(INDEX(tbl_Finance[Invoice Count],MATCH($X425,tbl_Finance[Row ID],0))),""))</f>
        <v/>
      </c>
      <c r="L425" s="11">
        <f>IF($C425="","",IFERROR(N(INDEX(tbl_Finance[Xero Invoiced Ex GST],MATCH($X425,tbl_Finance[Row ID],0))),""))</f>
        <v/>
      </c>
      <c r="M425" s="10">
        <f>IF($C425="","",IFERROR(INDEX(tbl_Finance[Compare],MATCH($X425,tbl_Finance[Row ID],0))&amp;"",""))</f>
        <v/>
      </c>
      <c r="N425" s="11">
        <f>IF($C425="","",MAX(0,N(O425)-N(L425)))</f>
        <v/>
      </c>
      <c r="O425" s="39" t="n"/>
      <c r="P425" s="40">
        <f>IF($C425="","",IF((IF(F425="",", Client","")&amp;IF(G425="",", Description","")&amp;IF(H425="",", Cost Centre","")&amp;IF(I425="",", Invoice Type","")&amp;IF(J425="",", Tax Code","")&amp;IF(O425="",", Expected Revenue","")&amp;IF(COUNTIF(tbl_Finance[Job Number],$C425&amp;"")&gt;1,", Job number used twice",""))="","Complete","Fix: "&amp;MID(IF(F425="",", Client","")&amp;IF(G425="",", Description","")&amp;IF(H425="",", Cost Centre","")&amp;IF(I425="",", Invoice Type","")&amp;IF(J425="",", Tax Code","")&amp;IF(O425="",", Expected Revenue","")&amp;IF(COUNTIF(tbl_Finance[Job Number],$C425&amp;"")&gt;1,", Job number used twice",""),3,300)))</f>
        <v/>
      </c>
      <c r="Q425" s="10">
        <f>IF($C425="","",IF(H425="","(no cost centre)",H425&amp;" - GL "&amp;IFERROR(INDEX(lst_CCtoGL,MATCH(H425,lst_CCforGL,0)),"?")))</f>
        <v/>
      </c>
      <c r="R425" s="37" t="n"/>
      <c r="S425" s="37" t="n"/>
      <c r="T425" s="10">
        <f>IF(S425="","",HYPERLINK(IF(LEFT(S425,4)="http",S425,set_QwilrBase&amp;S425),"Open quote"))</f>
        <v/>
      </c>
      <c r="U425" s="41" t="n"/>
      <c r="V425" s="37" t="n"/>
      <c r="W425" s="37" t="n"/>
      <c r="X425" s="10" t="inlineStr">
        <is>
          <t>ONS-0421</t>
        </is>
      </c>
    </row>
    <row r="426">
      <c r="A426" s="16">
        <f>IF($C426="","",IFERROR(IF(INDEX(tbl_Finance[Latest Invoice Date],MATCH($X426,tbl_Finance[Row ID],0))="","",INDEX(tbl_Finance[Latest Invoice Date],MATCH($X426,tbl_Finance[Row ID],0))),""))</f>
        <v/>
      </c>
      <c r="B426" s="10">
        <f>IF($C426="","",IFERROR(INDEX(tbl_Finance[Invoice Numbers],MATCH($X426,tbl_Finance[Row ID],0))&amp;"",""))</f>
        <v/>
      </c>
      <c r="C426" s="37" t="n"/>
      <c r="D426" s="10">
        <f>IF($C426="","",IF(COUNTIF(lst_Jobs,$C426&amp;"")&gt;0,"OK","CHECK"))</f>
        <v/>
      </c>
      <c r="E426" s="10">
        <f>IF($C426="","",IFERROR(INDEX(lst_JobName,MATCH($C426&amp;"",lst_Jobs,0)),""))</f>
        <v/>
      </c>
      <c r="F426" s="37" t="n"/>
      <c r="G426" s="37" t="n"/>
      <c r="H426" s="37" t="n"/>
      <c r="I426" s="37" t="n"/>
      <c r="J426" s="37" t="n"/>
      <c r="K426" s="38">
        <f>IF($C426="","",IFERROR(N(INDEX(tbl_Finance[Invoice Count],MATCH($X426,tbl_Finance[Row ID],0))),""))</f>
        <v/>
      </c>
      <c r="L426" s="11">
        <f>IF($C426="","",IFERROR(N(INDEX(tbl_Finance[Xero Invoiced Ex GST],MATCH($X426,tbl_Finance[Row ID],0))),""))</f>
        <v/>
      </c>
      <c r="M426" s="10">
        <f>IF($C426="","",IFERROR(INDEX(tbl_Finance[Compare],MATCH($X426,tbl_Finance[Row ID],0))&amp;"",""))</f>
        <v/>
      </c>
      <c r="N426" s="11">
        <f>IF($C426="","",MAX(0,N(O426)-N(L426)))</f>
        <v/>
      </c>
      <c r="O426" s="39" t="n"/>
      <c r="P426" s="40">
        <f>IF($C426="","",IF((IF(F426="",", Client","")&amp;IF(G426="",", Description","")&amp;IF(H426="",", Cost Centre","")&amp;IF(I426="",", Invoice Type","")&amp;IF(J426="",", Tax Code","")&amp;IF(O426="",", Expected Revenue","")&amp;IF(COUNTIF(tbl_Finance[Job Number],$C426&amp;"")&gt;1,", Job number used twice",""))="","Complete","Fix: "&amp;MID(IF(F426="",", Client","")&amp;IF(G426="",", Description","")&amp;IF(H426="",", Cost Centre","")&amp;IF(I426="",", Invoice Type","")&amp;IF(J426="",", Tax Code","")&amp;IF(O426="",", Expected Revenue","")&amp;IF(COUNTIF(tbl_Finance[Job Number],$C426&amp;"")&gt;1,", Job number used twice",""),3,300)))</f>
        <v/>
      </c>
      <c r="Q426" s="10">
        <f>IF($C426="","",IF(H426="","(no cost centre)",H426&amp;" - GL "&amp;IFERROR(INDEX(lst_CCtoGL,MATCH(H426,lst_CCforGL,0)),"?")))</f>
        <v/>
      </c>
      <c r="R426" s="37" t="n"/>
      <c r="S426" s="37" t="n"/>
      <c r="T426" s="10">
        <f>IF(S426="","",HYPERLINK(IF(LEFT(S426,4)="http",S426,set_QwilrBase&amp;S426),"Open quote"))</f>
        <v/>
      </c>
      <c r="U426" s="41" t="n"/>
      <c r="V426" s="37" t="n"/>
      <c r="W426" s="37" t="n"/>
      <c r="X426" s="10" t="inlineStr">
        <is>
          <t>ONS-0422</t>
        </is>
      </c>
    </row>
    <row r="427">
      <c r="A427" s="16">
        <f>IF($C427="","",IFERROR(IF(INDEX(tbl_Finance[Latest Invoice Date],MATCH($X427,tbl_Finance[Row ID],0))="","",INDEX(tbl_Finance[Latest Invoice Date],MATCH($X427,tbl_Finance[Row ID],0))),""))</f>
        <v/>
      </c>
      <c r="B427" s="10">
        <f>IF($C427="","",IFERROR(INDEX(tbl_Finance[Invoice Numbers],MATCH($X427,tbl_Finance[Row ID],0))&amp;"",""))</f>
        <v/>
      </c>
      <c r="C427" s="37" t="n"/>
      <c r="D427" s="10">
        <f>IF($C427="","",IF(COUNTIF(lst_Jobs,$C427&amp;"")&gt;0,"OK","CHECK"))</f>
        <v/>
      </c>
      <c r="E427" s="10">
        <f>IF($C427="","",IFERROR(INDEX(lst_JobName,MATCH($C427&amp;"",lst_Jobs,0)),""))</f>
        <v/>
      </c>
      <c r="F427" s="37" t="n"/>
      <c r="G427" s="37" t="n"/>
      <c r="H427" s="37" t="n"/>
      <c r="I427" s="37" t="n"/>
      <c r="J427" s="37" t="n"/>
      <c r="K427" s="38">
        <f>IF($C427="","",IFERROR(N(INDEX(tbl_Finance[Invoice Count],MATCH($X427,tbl_Finance[Row ID],0))),""))</f>
        <v/>
      </c>
      <c r="L427" s="11">
        <f>IF($C427="","",IFERROR(N(INDEX(tbl_Finance[Xero Invoiced Ex GST],MATCH($X427,tbl_Finance[Row ID],0))),""))</f>
        <v/>
      </c>
      <c r="M427" s="10">
        <f>IF($C427="","",IFERROR(INDEX(tbl_Finance[Compare],MATCH($X427,tbl_Finance[Row ID],0))&amp;"",""))</f>
        <v/>
      </c>
      <c r="N427" s="11">
        <f>IF($C427="","",MAX(0,N(O427)-N(L427)))</f>
        <v/>
      </c>
      <c r="O427" s="39" t="n"/>
      <c r="P427" s="40">
        <f>IF($C427="","",IF((IF(F427="",", Client","")&amp;IF(G427="",", Description","")&amp;IF(H427="",", Cost Centre","")&amp;IF(I427="",", Invoice Type","")&amp;IF(J427="",", Tax Code","")&amp;IF(O427="",", Expected Revenue","")&amp;IF(COUNTIF(tbl_Finance[Job Number],$C427&amp;"")&gt;1,", Job number used twice",""))="","Complete","Fix: "&amp;MID(IF(F427="",", Client","")&amp;IF(G427="",", Description","")&amp;IF(H427="",", Cost Centre","")&amp;IF(I427="",", Invoice Type","")&amp;IF(J427="",", Tax Code","")&amp;IF(O427="",", Expected Revenue","")&amp;IF(COUNTIF(tbl_Finance[Job Number],$C427&amp;"")&gt;1,", Job number used twice",""),3,300)))</f>
        <v/>
      </c>
      <c r="Q427" s="10">
        <f>IF($C427="","",IF(H427="","(no cost centre)",H427&amp;" - GL "&amp;IFERROR(INDEX(lst_CCtoGL,MATCH(H427,lst_CCforGL,0)),"?")))</f>
        <v/>
      </c>
      <c r="R427" s="37" t="n"/>
      <c r="S427" s="37" t="n"/>
      <c r="T427" s="10">
        <f>IF(S427="","",HYPERLINK(IF(LEFT(S427,4)="http",S427,set_QwilrBase&amp;S427),"Open quote"))</f>
        <v/>
      </c>
      <c r="U427" s="41" t="n"/>
      <c r="V427" s="37" t="n"/>
      <c r="W427" s="37" t="n"/>
      <c r="X427" s="10" t="inlineStr">
        <is>
          <t>ONS-0423</t>
        </is>
      </c>
    </row>
    <row r="428">
      <c r="A428" s="16">
        <f>IF($C428="","",IFERROR(IF(INDEX(tbl_Finance[Latest Invoice Date],MATCH($X428,tbl_Finance[Row ID],0))="","",INDEX(tbl_Finance[Latest Invoice Date],MATCH($X428,tbl_Finance[Row ID],0))),""))</f>
        <v/>
      </c>
      <c r="B428" s="10">
        <f>IF($C428="","",IFERROR(INDEX(tbl_Finance[Invoice Numbers],MATCH($X428,tbl_Finance[Row ID],0))&amp;"",""))</f>
        <v/>
      </c>
      <c r="C428" s="37" t="n"/>
      <c r="D428" s="10">
        <f>IF($C428="","",IF(COUNTIF(lst_Jobs,$C428&amp;"")&gt;0,"OK","CHECK"))</f>
        <v/>
      </c>
      <c r="E428" s="10">
        <f>IF($C428="","",IFERROR(INDEX(lst_JobName,MATCH($C428&amp;"",lst_Jobs,0)),""))</f>
        <v/>
      </c>
      <c r="F428" s="37" t="n"/>
      <c r="G428" s="37" t="n"/>
      <c r="H428" s="37" t="n"/>
      <c r="I428" s="37" t="n"/>
      <c r="J428" s="37" t="n"/>
      <c r="K428" s="38">
        <f>IF($C428="","",IFERROR(N(INDEX(tbl_Finance[Invoice Count],MATCH($X428,tbl_Finance[Row ID],0))),""))</f>
        <v/>
      </c>
      <c r="L428" s="11">
        <f>IF($C428="","",IFERROR(N(INDEX(tbl_Finance[Xero Invoiced Ex GST],MATCH($X428,tbl_Finance[Row ID],0))),""))</f>
        <v/>
      </c>
      <c r="M428" s="10">
        <f>IF($C428="","",IFERROR(INDEX(tbl_Finance[Compare],MATCH($X428,tbl_Finance[Row ID],0))&amp;"",""))</f>
        <v/>
      </c>
      <c r="N428" s="11">
        <f>IF($C428="","",MAX(0,N(O428)-N(L428)))</f>
        <v/>
      </c>
      <c r="O428" s="39" t="n"/>
      <c r="P428" s="40">
        <f>IF($C428="","",IF((IF(F428="",", Client","")&amp;IF(G428="",", Description","")&amp;IF(H428="",", Cost Centre","")&amp;IF(I428="",", Invoice Type","")&amp;IF(J428="",", Tax Code","")&amp;IF(O428="",", Expected Revenue","")&amp;IF(COUNTIF(tbl_Finance[Job Number],$C428&amp;"")&gt;1,", Job number used twice",""))="","Complete","Fix: "&amp;MID(IF(F428="",", Client","")&amp;IF(G428="",", Description","")&amp;IF(H428="",", Cost Centre","")&amp;IF(I428="",", Invoice Type","")&amp;IF(J428="",", Tax Code","")&amp;IF(O428="",", Expected Revenue","")&amp;IF(COUNTIF(tbl_Finance[Job Number],$C428&amp;"")&gt;1,", Job number used twice",""),3,300)))</f>
        <v/>
      </c>
      <c r="Q428" s="10">
        <f>IF($C428="","",IF(H428="","(no cost centre)",H428&amp;" - GL "&amp;IFERROR(INDEX(lst_CCtoGL,MATCH(H428,lst_CCforGL,0)),"?")))</f>
        <v/>
      </c>
      <c r="R428" s="37" t="n"/>
      <c r="S428" s="37" t="n"/>
      <c r="T428" s="10">
        <f>IF(S428="","",HYPERLINK(IF(LEFT(S428,4)="http",S428,set_QwilrBase&amp;S428),"Open quote"))</f>
        <v/>
      </c>
      <c r="U428" s="41" t="n"/>
      <c r="V428" s="37" t="n"/>
      <c r="W428" s="37" t="n"/>
      <c r="X428" s="10" t="inlineStr">
        <is>
          <t>ONS-0424</t>
        </is>
      </c>
    </row>
    <row r="429">
      <c r="A429" s="16">
        <f>IF($C429="","",IFERROR(IF(INDEX(tbl_Finance[Latest Invoice Date],MATCH($X429,tbl_Finance[Row ID],0))="","",INDEX(tbl_Finance[Latest Invoice Date],MATCH($X429,tbl_Finance[Row ID],0))),""))</f>
        <v/>
      </c>
      <c r="B429" s="10">
        <f>IF($C429="","",IFERROR(INDEX(tbl_Finance[Invoice Numbers],MATCH($X429,tbl_Finance[Row ID],0))&amp;"",""))</f>
        <v/>
      </c>
      <c r="C429" s="37" t="n"/>
      <c r="D429" s="10">
        <f>IF($C429="","",IF(COUNTIF(lst_Jobs,$C429&amp;"")&gt;0,"OK","CHECK"))</f>
        <v/>
      </c>
      <c r="E429" s="10">
        <f>IF($C429="","",IFERROR(INDEX(lst_JobName,MATCH($C429&amp;"",lst_Jobs,0)),""))</f>
        <v/>
      </c>
      <c r="F429" s="37" t="n"/>
      <c r="G429" s="37" t="n"/>
      <c r="H429" s="37" t="n"/>
      <c r="I429" s="37" t="n"/>
      <c r="J429" s="37" t="n"/>
      <c r="K429" s="38">
        <f>IF($C429="","",IFERROR(N(INDEX(tbl_Finance[Invoice Count],MATCH($X429,tbl_Finance[Row ID],0))),""))</f>
        <v/>
      </c>
      <c r="L429" s="11">
        <f>IF($C429="","",IFERROR(N(INDEX(tbl_Finance[Xero Invoiced Ex GST],MATCH($X429,tbl_Finance[Row ID],0))),""))</f>
        <v/>
      </c>
      <c r="M429" s="10">
        <f>IF($C429="","",IFERROR(INDEX(tbl_Finance[Compare],MATCH($X429,tbl_Finance[Row ID],0))&amp;"",""))</f>
        <v/>
      </c>
      <c r="N429" s="11">
        <f>IF($C429="","",MAX(0,N(O429)-N(L429)))</f>
        <v/>
      </c>
      <c r="O429" s="39" t="n"/>
      <c r="P429" s="40">
        <f>IF($C429="","",IF((IF(F429="",", Client","")&amp;IF(G429="",", Description","")&amp;IF(H429="",", Cost Centre","")&amp;IF(I429="",", Invoice Type","")&amp;IF(J429="",", Tax Code","")&amp;IF(O429="",", Expected Revenue","")&amp;IF(COUNTIF(tbl_Finance[Job Number],$C429&amp;"")&gt;1,", Job number used twice",""))="","Complete","Fix: "&amp;MID(IF(F429="",", Client","")&amp;IF(G429="",", Description","")&amp;IF(H429="",", Cost Centre","")&amp;IF(I429="",", Invoice Type","")&amp;IF(J429="",", Tax Code","")&amp;IF(O429="",", Expected Revenue","")&amp;IF(COUNTIF(tbl_Finance[Job Number],$C429&amp;"")&gt;1,", Job number used twice",""),3,300)))</f>
        <v/>
      </c>
      <c r="Q429" s="10">
        <f>IF($C429="","",IF(H429="","(no cost centre)",H429&amp;" - GL "&amp;IFERROR(INDEX(lst_CCtoGL,MATCH(H429,lst_CCforGL,0)),"?")))</f>
        <v/>
      </c>
      <c r="R429" s="37" t="n"/>
      <c r="S429" s="37" t="n"/>
      <c r="T429" s="10">
        <f>IF(S429="","",HYPERLINK(IF(LEFT(S429,4)="http",S429,set_QwilrBase&amp;S429),"Open quote"))</f>
        <v/>
      </c>
      <c r="U429" s="41" t="n"/>
      <c r="V429" s="37" t="n"/>
      <c r="W429" s="37" t="n"/>
      <c r="X429" s="10" t="inlineStr">
        <is>
          <t>ONS-0425</t>
        </is>
      </c>
    </row>
    <row r="430">
      <c r="A430" s="16">
        <f>IF($C430="","",IFERROR(IF(INDEX(tbl_Finance[Latest Invoice Date],MATCH($X430,tbl_Finance[Row ID],0))="","",INDEX(tbl_Finance[Latest Invoice Date],MATCH($X430,tbl_Finance[Row ID],0))),""))</f>
        <v/>
      </c>
      <c r="B430" s="10">
        <f>IF($C430="","",IFERROR(INDEX(tbl_Finance[Invoice Numbers],MATCH($X430,tbl_Finance[Row ID],0))&amp;"",""))</f>
        <v/>
      </c>
      <c r="C430" s="37" t="n"/>
      <c r="D430" s="10">
        <f>IF($C430="","",IF(COUNTIF(lst_Jobs,$C430&amp;"")&gt;0,"OK","CHECK"))</f>
        <v/>
      </c>
      <c r="E430" s="10">
        <f>IF($C430="","",IFERROR(INDEX(lst_JobName,MATCH($C430&amp;"",lst_Jobs,0)),""))</f>
        <v/>
      </c>
      <c r="F430" s="37" t="n"/>
      <c r="G430" s="37" t="n"/>
      <c r="H430" s="37" t="n"/>
      <c r="I430" s="37" t="n"/>
      <c r="J430" s="37" t="n"/>
      <c r="K430" s="38">
        <f>IF($C430="","",IFERROR(N(INDEX(tbl_Finance[Invoice Count],MATCH($X430,tbl_Finance[Row ID],0))),""))</f>
        <v/>
      </c>
      <c r="L430" s="11">
        <f>IF($C430="","",IFERROR(N(INDEX(tbl_Finance[Xero Invoiced Ex GST],MATCH($X430,tbl_Finance[Row ID],0))),""))</f>
        <v/>
      </c>
      <c r="M430" s="10">
        <f>IF($C430="","",IFERROR(INDEX(tbl_Finance[Compare],MATCH($X430,tbl_Finance[Row ID],0))&amp;"",""))</f>
        <v/>
      </c>
      <c r="N430" s="11">
        <f>IF($C430="","",MAX(0,N(O430)-N(L430)))</f>
        <v/>
      </c>
      <c r="O430" s="39" t="n"/>
      <c r="P430" s="40">
        <f>IF($C430="","",IF((IF(F430="",", Client","")&amp;IF(G430="",", Description","")&amp;IF(H430="",", Cost Centre","")&amp;IF(I430="",", Invoice Type","")&amp;IF(J430="",", Tax Code","")&amp;IF(O430="",", Expected Revenue","")&amp;IF(COUNTIF(tbl_Finance[Job Number],$C430&amp;"")&gt;1,", Job number used twice",""))="","Complete","Fix: "&amp;MID(IF(F430="",", Client","")&amp;IF(G430="",", Description","")&amp;IF(H430="",", Cost Centre","")&amp;IF(I430="",", Invoice Type","")&amp;IF(J430="",", Tax Code","")&amp;IF(O430="",", Expected Revenue","")&amp;IF(COUNTIF(tbl_Finance[Job Number],$C430&amp;"")&gt;1,", Job number used twice",""),3,300)))</f>
        <v/>
      </c>
      <c r="Q430" s="10">
        <f>IF($C430="","",IF(H430="","(no cost centre)",H430&amp;" - GL "&amp;IFERROR(INDEX(lst_CCtoGL,MATCH(H430,lst_CCforGL,0)),"?")))</f>
        <v/>
      </c>
      <c r="R430" s="37" t="n"/>
      <c r="S430" s="37" t="n"/>
      <c r="T430" s="10">
        <f>IF(S430="","",HYPERLINK(IF(LEFT(S430,4)="http",S430,set_QwilrBase&amp;S430),"Open quote"))</f>
        <v/>
      </c>
      <c r="U430" s="41" t="n"/>
      <c r="V430" s="37" t="n"/>
      <c r="W430" s="37" t="n"/>
      <c r="X430" s="10" t="inlineStr">
        <is>
          <t>ONS-0426</t>
        </is>
      </c>
    </row>
    <row r="431">
      <c r="A431" s="16">
        <f>IF($C431="","",IFERROR(IF(INDEX(tbl_Finance[Latest Invoice Date],MATCH($X431,tbl_Finance[Row ID],0))="","",INDEX(tbl_Finance[Latest Invoice Date],MATCH($X431,tbl_Finance[Row ID],0))),""))</f>
        <v/>
      </c>
      <c r="B431" s="10">
        <f>IF($C431="","",IFERROR(INDEX(tbl_Finance[Invoice Numbers],MATCH($X431,tbl_Finance[Row ID],0))&amp;"",""))</f>
        <v/>
      </c>
      <c r="C431" s="37" t="n"/>
      <c r="D431" s="10">
        <f>IF($C431="","",IF(COUNTIF(lst_Jobs,$C431&amp;"")&gt;0,"OK","CHECK"))</f>
        <v/>
      </c>
      <c r="E431" s="10">
        <f>IF($C431="","",IFERROR(INDEX(lst_JobName,MATCH($C431&amp;"",lst_Jobs,0)),""))</f>
        <v/>
      </c>
      <c r="F431" s="37" t="n"/>
      <c r="G431" s="37" t="n"/>
      <c r="H431" s="37" t="n"/>
      <c r="I431" s="37" t="n"/>
      <c r="J431" s="37" t="n"/>
      <c r="K431" s="38">
        <f>IF($C431="","",IFERROR(N(INDEX(tbl_Finance[Invoice Count],MATCH($X431,tbl_Finance[Row ID],0))),""))</f>
        <v/>
      </c>
      <c r="L431" s="11">
        <f>IF($C431="","",IFERROR(N(INDEX(tbl_Finance[Xero Invoiced Ex GST],MATCH($X431,tbl_Finance[Row ID],0))),""))</f>
        <v/>
      </c>
      <c r="M431" s="10">
        <f>IF($C431="","",IFERROR(INDEX(tbl_Finance[Compare],MATCH($X431,tbl_Finance[Row ID],0))&amp;"",""))</f>
        <v/>
      </c>
      <c r="N431" s="11">
        <f>IF($C431="","",MAX(0,N(O431)-N(L431)))</f>
        <v/>
      </c>
      <c r="O431" s="39" t="n"/>
      <c r="P431" s="40">
        <f>IF($C431="","",IF((IF(F431="",", Client","")&amp;IF(G431="",", Description","")&amp;IF(H431="",", Cost Centre","")&amp;IF(I431="",", Invoice Type","")&amp;IF(J431="",", Tax Code","")&amp;IF(O431="",", Expected Revenue","")&amp;IF(COUNTIF(tbl_Finance[Job Number],$C431&amp;"")&gt;1,", Job number used twice",""))="","Complete","Fix: "&amp;MID(IF(F431="",", Client","")&amp;IF(G431="",", Description","")&amp;IF(H431="",", Cost Centre","")&amp;IF(I431="",", Invoice Type","")&amp;IF(J431="",", Tax Code","")&amp;IF(O431="",", Expected Revenue","")&amp;IF(COUNTIF(tbl_Finance[Job Number],$C431&amp;"")&gt;1,", Job number used twice",""),3,300)))</f>
        <v/>
      </c>
      <c r="Q431" s="10">
        <f>IF($C431="","",IF(H431="","(no cost centre)",H431&amp;" - GL "&amp;IFERROR(INDEX(lst_CCtoGL,MATCH(H431,lst_CCforGL,0)),"?")))</f>
        <v/>
      </c>
      <c r="R431" s="37" t="n"/>
      <c r="S431" s="37" t="n"/>
      <c r="T431" s="10">
        <f>IF(S431="","",HYPERLINK(IF(LEFT(S431,4)="http",S431,set_QwilrBase&amp;S431),"Open quote"))</f>
        <v/>
      </c>
      <c r="U431" s="41" t="n"/>
      <c r="V431" s="37" t="n"/>
      <c r="W431" s="37" t="n"/>
      <c r="X431" s="10" t="inlineStr">
        <is>
          <t>ONS-0427</t>
        </is>
      </c>
    </row>
    <row r="432">
      <c r="A432" s="16">
        <f>IF($C432="","",IFERROR(IF(INDEX(tbl_Finance[Latest Invoice Date],MATCH($X432,tbl_Finance[Row ID],0))="","",INDEX(tbl_Finance[Latest Invoice Date],MATCH($X432,tbl_Finance[Row ID],0))),""))</f>
        <v/>
      </c>
      <c r="B432" s="10">
        <f>IF($C432="","",IFERROR(INDEX(tbl_Finance[Invoice Numbers],MATCH($X432,tbl_Finance[Row ID],0))&amp;"",""))</f>
        <v/>
      </c>
      <c r="C432" s="37" t="n"/>
      <c r="D432" s="10">
        <f>IF($C432="","",IF(COUNTIF(lst_Jobs,$C432&amp;"")&gt;0,"OK","CHECK"))</f>
        <v/>
      </c>
      <c r="E432" s="10">
        <f>IF($C432="","",IFERROR(INDEX(lst_JobName,MATCH($C432&amp;"",lst_Jobs,0)),""))</f>
        <v/>
      </c>
      <c r="F432" s="37" t="n"/>
      <c r="G432" s="37" t="n"/>
      <c r="H432" s="37" t="n"/>
      <c r="I432" s="37" t="n"/>
      <c r="J432" s="37" t="n"/>
      <c r="K432" s="38">
        <f>IF($C432="","",IFERROR(N(INDEX(tbl_Finance[Invoice Count],MATCH($X432,tbl_Finance[Row ID],0))),""))</f>
        <v/>
      </c>
      <c r="L432" s="11">
        <f>IF($C432="","",IFERROR(N(INDEX(tbl_Finance[Xero Invoiced Ex GST],MATCH($X432,tbl_Finance[Row ID],0))),""))</f>
        <v/>
      </c>
      <c r="M432" s="10">
        <f>IF($C432="","",IFERROR(INDEX(tbl_Finance[Compare],MATCH($X432,tbl_Finance[Row ID],0))&amp;"",""))</f>
        <v/>
      </c>
      <c r="N432" s="11">
        <f>IF($C432="","",MAX(0,N(O432)-N(L432)))</f>
        <v/>
      </c>
      <c r="O432" s="39" t="n"/>
      <c r="P432" s="40">
        <f>IF($C432="","",IF((IF(F432="",", Client","")&amp;IF(G432="",", Description","")&amp;IF(H432="",", Cost Centre","")&amp;IF(I432="",", Invoice Type","")&amp;IF(J432="",", Tax Code","")&amp;IF(O432="",", Expected Revenue","")&amp;IF(COUNTIF(tbl_Finance[Job Number],$C432&amp;"")&gt;1,", Job number used twice",""))="","Complete","Fix: "&amp;MID(IF(F432="",", Client","")&amp;IF(G432="",", Description","")&amp;IF(H432="",", Cost Centre","")&amp;IF(I432="",", Invoice Type","")&amp;IF(J432="",", Tax Code","")&amp;IF(O432="",", Expected Revenue","")&amp;IF(COUNTIF(tbl_Finance[Job Number],$C432&amp;"")&gt;1,", Job number used twice",""),3,300)))</f>
        <v/>
      </c>
      <c r="Q432" s="10">
        <f>IF($C432="","",IF(H432="","(no cost centre)",H432&amp;" - GL "&amp;IFERROR(INDEX(lst_CCtoGL,MATCH(H432,lst_CCforGL,0)),"?")))</f>
        <v/>
      </c>
      <c r="R432" s="37" t="n"/>
      <c r="S432" s="37" t="n"/>
      <c r="T432" s="10">
        <f>IF(S432="","",HYPERLINK(IF(LEFT(S432,4)="http",S432,set_QwilrBase&amp;S432),"Open quote"))</f>
        <v/>
      </c>
      <c r="U432" s="41" t="n"/>
      <c r="V432" s="37" t="n"/>
      <c r="W432" s="37" t="n"/>
      <c r="X432" s="10" t="inlineStr">
        <is>
          <t>ONS-0428</t>
        </is>
      </c>
    </row>
    <row r="433">
      <c r="A433" s="16">
        <f>IF($C433="","",IFERROR(IF(INDEX(tbl_Finance[Latest Invoice Date],MATCH($X433,tbl_Finance[Row ID],0))="","",INDEX(tbl_Finance[Latest Invoice Date],MATCH($X433,tbl_Finance[Row ID],0))),""))</f>
        <v/>
      </c>
      <c r="B433" s="10">
        <f>IF($C433="","",IFERROR(INDEX(tbl_Finance[Invoice Numbers],MATCH($X433,tbl_Finance[Row ID],0))&amp;"",""))</f>
        <v/>
      </c>
      <c r="C433" s="37" t="n"/>
      <c r="D433" s="10">
        <f>IF($C433="","",IF(COUNTIF(lst_Jobs,$C433&amp;"")&gt;0,"OK","CHECK"))</f>
        <v/>
      </c>
      <c r="E433" s="10">
        <f>IF($C433="","",IFERROR(INDEX(lst_JobName,MATCH($C433&amp;"",lst_Jobs,0)),""))</f>
        <v/>
      </c>
      <c r="F433" s="37" t="n"/>
      <c r="G433" s="37" t="n"/>
      <c r="H433" s="37" t="n"/>
      <c r="I433" s="37" t="n"/>
      <c r="J433" s="37" t="n"/>
      <c r="K433" s="38">
        <f>IF($C433="","",IFERROR(N(INDEX(tbl_Finance[Invoice Count],MATCH($X433,tbl_Finance[Row ID],0))),""))</f>
        <v/>
      </c>
      <c r="L433" s="11">
        <f>IF($C433="","",IFERROR(N(INDEX(tbl_Finance[Xero Invoiced Ex GST],MATCH($X433,tbl_Finance[Row ID],0))),""))</f>
        <v/>
      </c>
      <c r="M433" s="10">
        <f>IF($C433="","",IFERROR(INDEX(tbl_Finance[Compare],MATCH($X433,tbl_Finance[Row ID],0))&amp;"",""))</f>
        <v/>
      </c>
      <c r="N433" s="11">
        <f>IF($C433="","",MAX(0,N(O433)-N(L433)))</f>
        <v/>
      </c>
      <c r="O433" s="39" t="n"/>
      <c r="P433" s="40">
        <f>IF($C433="","",IF((IF(F433="",", Client","")&amp;IF(G433="",", Description","")&amp;IF(H433="",", Cost Centre","")&amp;IF(I433="",", Invoice Type","")&amp;IF(J433="",", Tax Code","")&amp;IF(O433="",", Expected Revenue","")&amp;IF(COUNTIF(tbl_Finance[Job Number],$C433&amp;"")&gt;1,", Job number used twice",""))="","Complete","Fix: "&amp;MID(IF(F433="",", Client","")&amp;IF(G433="",", Description","")&amp;IF(H433="",", Cost Centre","")&amp;IF(I433="",", Invoice Type","")&amp;IF(J433="",", Tax Code","")&amp;IF(O433="",", Expected Revenue","")&amp;IF(COUNTIF(tbl_Finance[Job Number],$C433&amp;"")&gt;1,", Job number used twice",""),3,300)))</f>
        <v/>
      </c>
      <c r="Q433" s="10">
        <f>IF($C433="","",IF(H433="","(no cost centre)",H433&amp;" - GL "&amp;IFERROR(INDEX(lst_CCtoGL,MATCH(H433,lst_CCforGL,0)),"?")))</f>
        <v/>
      </c>
      <c r="R433" s="37" t="n"/>
      <c r="S433" s="37" t="n"/>
      <c r="T433" s="10">
        <f>IF(S433="","",HYPERLINK(IF(LEFT(S433,4)="http",S433,set_QwilrBase&amp;S433),"Open quote"))</f>
        <v/>
      </c>
      <c r="U433" s="41" t="n"/>
      <c r="V433" s="37" t="n"/>
      <c r="W433" s="37" t="n"/>
      <c r="X433" s="10" t="inlineStr">
        <is>
          <t>ONS-0429</t>
        </is>
      </c>
    </row>
    <row r="434">
      <c r="A434" s="16">
        <f>IF($C434="","",IFERROR(IF(INDEX(tbl_Finance[Latest Invoice Date],MATCH($X434,tbl_Finance[Row ID],0))="","",INDEX(tbl_Finance[Latest Invoice Date],MATCH($X434,tbl_Finance[Row ID],0))),""))</f>
        <v/>
      </c>
      <c r="B434" s="10">
        <f>IF($C434="","",IFERROR(INDEX(tbl_Finance[Invoice Numbers],MATCH($X434,tbl_Finance[Row ID],0))&amp;"",""))</f>
        <v/>
      </c>
      <c r="C434" s="37" t="n"/>
      <c r="D434" s="10">
        <f>IF($C434="","",IF(COUNTIF(lst_Jobs,$C434&amp;"")&gt;0,"OK","CHECK"))</f>
        <v/>
      </c>
      <c r="E434" s="10">
        <f>IF($C434="","",IFERROR(INDEX(lst_JobName,MATCH($C434&amp;"",lst_Jobs,0)),""))</f>
        <v/>
      </c>
      <c r="F434" s="37" t="n"/>
      <c r="G434" s="37" t="n"/>
      <c r="H434" s="37" t="n"/>
      <c r="I434" s="37" t="n"/>
      <c r="J434" s="37" t="n"/>
      <c r="K434" s="38">
        <f>IF($C434="","",IFERROR(N(INDEX(tbl_Finance[Invoice Count],MATCH($X434,tbl_Finance[Row ID],0))),""))</f>
        <v/>
      </c>
      <c r="L434" s="11">
        <f>IF($C434="","",IFERROR(N(INDEX(tbl_Finance[Xero Invoiced Ex GST],MATCH($X434,tbl_Finance[Row ID],0))),""))</f>
        <v/>
      </c>
      <c r="M434" s="10">
        <f>IF($C434="","",IFERROR(INDEX(tbl_Finance[Compare],MATCH($X434,tbl_Finance[Row ID],0))&amp;"",""))</f>
        <v/>
      </c>
      <c r="N434" s="11">
        <f>IF($C434="","",MAX(0,N(O434)-N(L434)))</f>
        <v/>
      </c>
      <c r="O434" s="39" t="n"/>
      <c r="P434" s="40">
        <f>IF($C434="","",IF((IF(F434="",", Client","")&amp;IF(G434="",", Description","")&amp;IF(H434="",", Cost Centre","")&amp;IF(I434="",", Invoice Type","")&amp;IF(J434="",", Tax Code","")&amp;IF(O434="",", Expected Revenue","")&amp;IF(COUNTIF(tbl_Finance[Job Number],$C434&amp;"")&gt;1,", Job number used twice",""))="","Complete","Fix: "&amp;MID(IF(F434="",", Client","")&amp;IF(G434="",", Description","")&amp;IF(H434="",", Cost Centre","")&amp;IF(I434="",", Invoice Type","")&amp;IF(J434="",", Tax Code","")&amp;IF(O434="",", Expected Revenue","")&amp;IF(COUNTIF(tbl_Finance[Job Number],$C434&amp;"")&gt;1,", Job number used twice",""),3,300)))</f>
        <v/>
      </c>
      <c r="Q434" s="10">
        <f>IF($C434="","",IF(H434="","(no cost centre)",H434&amp;" - GL "&amp;IFERROR(INDEX(lst_CCtoGL,MATCH(H434,lst_CCforGL,0)),"?")))</f>
        <v/>
      </c>
      <c r="R434" s="37" t="n"/>
      <c r="S434" s="37" t="n"/>
      <c r="T434" s="10">
        <f>IF(S434="","",HYPERLINK(IF(LEFT(S434,4)="http",S434,set_QwilrBase&amp;S434),"Open quote"))</f>
        <v/>
      </c>
      <c r="U434" s="41" t="n"/>
      <c r="V434" s="37" t="n"/>
      <c r="W434" s="37" t="n"/>
      <c r="X434" s="10" t="inlineStr">
        <is>
          <t>ONS-0430</t>
        </is>
      </c>
    </row>
    <row r="435">
      <c r="A435" s="16">
        <f>IF($C435="","",IFERROR(IF(INDEX(tbl_Finance[Latest Invoice Date],MATCH($X435,tbl_Finance[Row ID],0))="","",INDEX(tbl_Finance[Latest Invoice Date],MATCH($X435,tbl_Finance[Row ID],0))),""))</f>
        <v/>
      </c>
      <c r="B435" s="10">
        <f>IF($C435="","",IFERROR(INDEX(tbl_Finance[Invoice Numbers],MATCH($X435,tbl_Finance[Row ID],0))&amp;"",""))</f>
        <v/>
      </c>
      <c r="C435" s="37" t="n"/>
      <c r="D435" s="10">
        <f>IF($C435="","",IF(COUNTIF(lst_Jobs,$C435&amp;"")&gt;0,"OK","CHECK"))</f>
        <v/>
      </c>
      <c r="E435" s="10">
        <f>IF($C435="","",IFERROR(INDEX(lst_JobName,MATCH($C435&amp;"",lst_Jobs,0)),""))</f>
        <v/>
      </c>
      <c r="F435" s="37" t="n"/>
      <c r="G435" s="37" t="n"/>
      <c r="H435" s="37" t="n"/>
      <c r="I435" s="37" t="n"/>
      <c r="J435" s="37" t="n"/>
      <c r="K435" s="38">
        <f>IF($C435="","",IFERROR(N(INDEX(tbl_Finance[Invoice Count],MATCH($X435,tbl_Finance[Row ID],0))),""))</f>
        <v/>
      </c>
      <c r="L435" s="11">
        <f>IF($C435="","",IFERROR(N(INDEX(tbl_Finance[Xero Invoiced Ex GST],MATCH($X435,tbl_Finance[Row ID],0))),""))</f>
        <v/>
      </c>
      <c r="M435" s="10">
        <f>IF($C435="","",IFERROR(INDEX(tbl_Finance[Compare],MATCH($X435,tbl_Finance[Row ID],0))&amp;"",""))</f>
        <v/>
      </c>
      <c r="N435" s="11">
        <f>IF($C435="","",MAX(0,N(O435)-N(L435)))</f>
        <v/>
      </c>
      <c r="O435" s="39" t="n"/>
      <c r="P435" s="40">
        <f>IF($C435="","",IF((IF(F435="",", Client","")&amp;IF(G435="",", Description","")&amp;IF(H435="",", Cost Centre","")&amp;IF(I435="",", Invoice Type","")&amp;IF(J435="",", Tax Code","")&amp;IF(O435="",", Expected Revenue","")&amp;IF(COUNTIF(tbl_Finance[Job Number],$C435&amp;"")&gt;1,", Job number used twice",""))="","Complete","Fix: "&amp;MID(IF(F435="",", Client","")&amp;IF(G435="",", Description","")&amp;IF(H435="",", Cost Centre","")&amp;IF(I435="",", Invoice Type","")&amp;IF(J435="",", Tax Code","")&amp;IF(O435="",", Expected Revenue","")&amp;IF(COUNTIF(tbl_Finance[Job Number],$C435&amp;"")&gt;1,", Job number used twice",""),3,300)))</f>
        <v/>
      </c>
      <c r="Q435" s="10">
        <f>IF($C435="","",IF(H435="","(no cost centre)",H435&amp;" - GL "&amp;IFERROR(INDEX(lst_CCtoGL,MATCH(H435,lst_CCforGL,0)),"?")))</f>
        <v/>
      </c>
      <c r="R435" s="37" t="n"/>
      <c r="S435" s="37" t="n"/>
      <c r="T435" s="10">
        <f>IF(S435="","",HYPERLINK(IF(LEFT(S435,4)="http",S435,set_QwilrBase&amp;S435),"Open quote"))</f>
        <v/>
      </c>
      <c r="U435" s="41" t="n"/>
      <c r="V435" s="37" t="n"/>
      <c r="W435" s="37" t="n"/>
      <c r="X435" s="10" t="inlineStr">
        <is>
          <t>ONS-0431</t>
        </is>
      </c>
    </row>
    <row r="436">
      <c r="A436" s="16">
        <f>IF($C436="","",IFERROR(IF(INDEX(tbl_Finance[Latest Invoice Date],MATCH($X436,tbl_Finance[Row ID],0))="","",INDEX(tbl_Finance[Latest Invoice Date],MATCH($X436,tbl_Finance[Row ID],0))),""))</f>
        <v/>
      </c>
      <c r="B436" s="10">
        <f>IF($C436="","",IFERROR(INDEX(tbl_Finance[Invoice Numbers],MATCH($X436,tbl_Finance[Row ID],0))&amp;"",""))</f>
        <v/>
      </c>
      <c r="C436" s="37" t="n"/>
      <c r="D436" s="10">
        <f>IF($C436="","",IF(COUNTIF(lst_Jobs,$C436&amp;"")&gt;0,"OK","CHECK"))</f>
        <v/>
      </c>
      <c r="E436" s="10">
        <f>IF($C436="","",IFERROR(INDEX(lst_JobName,MATCH($C436&amp;"",lst_Jobs,0)),""))</f>
        <v/>
      </c>
      <c r="F436" s="37" t="n"/>
      <c r="G436" s="37" t="n"/>
      <c r="H436" s="37" t="n"/>
      <c r="I436" s="37" t="n"/>
      <c r="J436" s="37" t="n"/>
      <c r="K436" s="38">
        <f>IF($C436="","",IFERROR(N(INDEX(tbl_Finance[Invoice Count],MATCH($X436,tbl_Finance[Row ID],0))),""))</f>
        <v/>
      </c>
      <c r="L436" s="11">
        <f>IF($C436="","",IFERROR(N(INDEX(tbl_Finance[Xero Invoiced Ex GST],MATCH($X436,tbl_Finance[Row ID],0))),""))</f>
        <v/>
      </c>
      <c r="M436" s="10">
        <f>IF($C436="","",IFERROR(INDEX(tbl_Finance[Compare],MATCH($X436,tbl_Finance[Row ID],0))&amp;"",""))</f>
        <v/>
      </c>
      <c r="N436" s="11">
        <f>IF($C436="","",MAX(0,N(O436)-N(L436)))</f>
        <v/>
      </c>
      <c r="O436" s="39" t="n"/>
      <c r="P436" s="40">
        <f>IF($C436="","",IF((IF(F436="",", Client","")&amp;IF(G436="",", Description","")&amp;IF(H436="",", Cost Centre","")&amp;IF(I436="",", Invoice Type","")&amp;IF(J436="",", Tax Code","")&amp;IF(O436="",", Expected Revenue","")&amp;IF(COUNTIF(tbl_Finance[Job Number],$C436&amp;"")&gt;1,", Job number used twice",""))="","Complete","Fix: "&amp;MID(IF(F436="",", Client","")&amp;IF(G436="",", Description","")&amp;IF(H436="",", Cost Centre","")&amp;IF(I436="",", Invoice Type","")&amp;IF(J436="",", Tax Code","")&amp;IF(O436="",", Expected Revenue","")&amp;IF(COUNTIF(tbl_Finance[Job Number],$C436&amp;"")&gt;1,", Job number used twice",""),3,300)))</f>
        <v/>
      </c>
      <c r="Q436" s="10">
        <f>IF($C436="","",IF(H436="","(no cost centre)",H436&amp;" - GL "&amp;IFERROR(INDEX(lst_CCtoGL,MATCH(H436,lst_CCforGL,0)),"?")))</f>
        <v/>
      </c>
      <c r="R436" s="37" t="n"/>
      <c r="S436" s="37" t="n"/>
      <c r="T436" s="10">
        <f>IF(S436="","",HYPERLINK(IF(LEFT(S436,4)="http",S436,set_QwilrBase&amp;S436),"Open quote"))</f>
        <v/>
      </c>
      <c r="U436" s="41" t="n"/>
      <c r="V436" s="37" t="n"/>
      <c r="W436" s="37" t="n"/>
      <c r="X436" s="10" t="inlineStr">
        <is>
          <t>ONS-0432</t>
        </is>
      </c>
    </row>
    <row r="437">
      <c r="A437" s="16">
        <f>IF($C437="","",IFERROR(IF(INDEX(tbl_Finance[Latest Invoice Date],MATCH($X437,tbl_Finance[Row ID],0))="","",INDEX(tbl_Finance[Latest Invoice Date],MATCH($X437,tbl_Finance[Row ID],0))),""))</f>
        <v/>
      </c>
      <c r="B437" s="10">
        <f>IF($C437="","",IFERROR(INDEX(tbl_Finance[Invoice Numbers],MATCH($X437,tbl_Finance[Row ID],0))&amp;"",""))</f>
        <v/>
      </c>
      <c r="C437" s="37" t="n"/>
      <c r="D437" s="10">
        <f>IF($C437="","",IF(COUNTIF(lst_Jobs,$C437&amp;"")&gt;0,"OK","CHECK"))</f>
        <v/>
      </c>
      <c r="E437" s="10">
        <f>IF($C437="","",IFERROR(INDEX(lst_JobName,MATCH($C437&amp;"",lst_Jobs,0)),""))</f>
        <v/>
      </c>
      <c r="F437" s="37" t="n"/>
      <c r="G437" s="37" t="n"/>
      <c r="H437" s="37" t="n"/>
      <c r="I437" s="37" t="n"/>
      <c r="J437" s="37" t="n"/>
      <c r="K437" s="38">
        <f>IF($C437="","",IFERROR(N(INDEX(tbl_Finance[Invoice Count],MATCH($X437,tbl_Finance[Row ID],0))),""))</f>
        <v/>
      </c>
      <c r="L437" s="11">
        <f>IF($C437="","",IFERROR(N(INDEX(tbl_Finance[Xero Invoiced Ex GST],MATCH($X437,tbl_Finance[Row ID],0))),""))</f>
        <v/>
      </c>
      <c r="M437" s="10">
        <f>IF($C437="","",IFERROR(INDEX(tbl_Finance[Compare],MATCH($X437,tbl_Finance[Row ID],0))&amp;"",""))</f>
        <v/>
      </c>
      <c r="N437" s="11">
        <f>IF($C437="","",MAX(0,N(O437)-N(L437)))</f>
        <v/>
      </c>
      <c r="O437" s="39" t="n"/>
      <c r="P437" s="40">
        <f>IF($C437="","",IF((IF(F437="",", Client","")&amp;IF(G437="",", Description","")&amp;IF(H437="",", Cost Centre","")&amp;IF(I437="",", Invoice Type","")&amp;IF(J437="",", Tax Code","")&amp;IF(O437="",", Expected Revenue","")&amp;IF(COUNTIF(tbl_Finance[Job Number],$C437&amp;"")&gt;1,", Job number used twice",""))="","Complete","Fix: "&amp;MID(IF(F437="",", Client","")&amp;IF(G437="",", Description","")&amp;IF(H437="",", Cost Centre","")&amp;IF(I437="",", Invoice Type","")&amp;IF(J437="",", Tax Code","")&amp;IF(O437="",", Expected Revenue","")&amp;IF(COUNTIF(tbl_Finance[Job Number],$C437&amp;"")&gt;1,", Job number used twice",""),3,300)))</f>
        <v/>
      </c>
      <c r="Q437" s="10">
        <f>IF($C437="","",IF(H437="","(no cost centre)",H437&amp;" - GL "&amp;IFERROR(INDEX(lst_CCtoGL,MATCH(H437,lst_CCforGL,0)),"?")))</f>
        <v/>
      </c>
      <c r="R437" s="37" t="n"/>
      <c r="S437" s="37" t="n"/>
      <c r="T437" s="10">
        <f>IF(S437="","",HYPERLINK(IF(LEFT(S437,4)="http",S437,set_QwilrBase&amp;S437),"Open quote"))</f>
        <v/>
      </c>
      <c r="U437" s="41" t="n"/>
      <c r="V437" s="37" t="n"/>
      <c r="W437" s="37" t="n"/>
      <c r="X437" s="10" t="inlineStr">
        <is>
          <t>ONS-0433</t>
        </is>
      </c>
    </row>
    <row r="438">
      <c r="A438" s="16">
        <f>IF($C438="","",IFERROR(IF(INDEX(tbl_Finance[Latest Invoice Date],MATCH($X438,tbl_Finance[Row ID],0))="","",INDEX(tbl_Finance[Latest Invoice Date],MATCH($X438,tbl_Finance[Row ID],0))),""))</f>
        <v/>
      </c>
      <c r="B438" s="10">
        <f>IF($C438="","",IFERROR(INDEX(tbl_Finance[Invoice Numbers],MATCH($X438,tbl_Finance[Row ID],0))&amp;"",""))</f>
        <v/>
      </c>
      <c r="C438" s="37" t="n"/>
      <c r="D438" s="10">
        <f>IF($C438="","",IF(COUNTIF(lst_Jobs,$C438&amp;"")&gt;0,"OK","CHECK"))</f>
        <v/>
      </c>
      <c r="E438" s="10">
        <f>IF($C438="","",IFERROR(INDEX(lst_JobName,MATCH($C438&amp;"",lst_Jobs,0)),""))</f>
        <v/>
      </c>
      <c r="F438" s="37" t="n"/>
      <c r="G438" s="37" t="n"/>
      <c r="H438" s="37" t="n"/>
      <c r="I438" s="37" t="n"/>
      <c r="J438" s="37" t="n"/>
      <c r="K438" s="38">
        <f>IF($C438="","",IFERROR(N(INDEX(tbl_Finance[Invoice Count],MATCH($X438,tbl_Finance[Row ID],0))),""))</f>
        <v/>
      </c>
      <c r="L438" s="11">
        <f>IF($C438="","",IFERROR(N(INDEX(tbl_Finance[Xero Invoiced Ex GST],MATCH($X438,tbl_Finance[Row ID],0))),""))</f>
        <v/>
      </c>
      <c r="M438" s="10">
        <f>IF($C438="","",IFERROR(INDEX(tbl_Finance[Compare],MATCH($X438,tbl_Finance[Row ID],0))&amp;"",""))</f>
        <v/>
      </c>
      <c r="N438" s="11">
        <f>IF($C438="","",MAX(0,N(O438)-N(L438)))</f>
        <v/>
      </c>
      <c r="O438" s="39" t="n"/>
      <c r="P438" s="40">
        <f>IF($C438="","",IF((IF(F438="",", Client","")&amp;IF(G438="",", Description","")&amp;IF(H438="",", Cost Centre","")&amp;IF(I438="",", Invoice Type","")&amp;IF(J438="",", Tax Code","")&amp;IF(O438="",", Expected Revenue","")&amp;IF(COUNTIF(tbl_Finance[Job Number],$C438&amp;"")&gt;1,", Job number used twice",""))="","Complete","Fix: "&amp;MID(IF(F438="",", Client","")&amp;IF(G438="",", Description","")&amp;IF(H438="",", Cost Centre","")&amp;IF(I438="",", Invoice Type","")&amp;IF(J438="",", Tax Code","")&amp;IF(O438="",", Expected Revenue","")&amp;IF(COUNTIF(tbl_Finance[Job Number],$C438&amp;"")&gt;1,", Job number used twice",""),3,300)))</f>
        <v/>
      </c>
      <c r="Q438" s="10">
        <f>IF($C438="","",IF(H438="","(no cost centre)",H438&amp;" - GL "&amp;IFERROR(INDEX(lst_CCtoGL,MATCH(H438,lst_CCforGL,0)),"?")))</f>
        <v/>
      </c>
      <c r="R438" s="37" t="n"/>
      <c r="S438" s="37" t="n"/>
      <c r="T438" s="10">
        <f>IF(S438="","",HYPERLINK(IF(LEFT(S438,4)="http",S438,set_QwilrBase&amp;S438),"Open quote"))</f>
        <v/>
      </c>
      <c r="U438" s="41" t="n"/>
      <c r="V438" s="37" t="n"/>
      <c r="W438" s="37" t="n"/>
      <c r="X438" s="10" t="inlineStr">
        <is>
          <t>ONS-0434</t>
        </is>
      </c>
    </row>
    <row r="439">
      <c r="A439" s="16">
        <f>IF($C439="","",IFERROR(IF(INDEX(tbl_Finance[Latest Invoice Date],MATCH($X439,tbl_Finance[Row ID],0))="","",INDEX(tbl_Finance[Latest Invoice Date],MATCH($X439,tbl_Finance[Row ID],0))),""))</f>
        <v/>
      </c>
      <c r="B439" s="10">
        <f>IF($C439="","",IFERROR(INDEX(tbl_Finance[Invoice Numbers],MATCH($X439,tbl_Finance[Row ID],0))&amp;"",""))</f>
        <v/>
      </c>
      <c r="C439" s="37" t="n"/>
      <c r="D439" s="10">
        <f>IF($C439="","",IF(COUNTIF(lst_Jobs,$C439&amp;"")&gt;0,"OK","CHECK"))</f>
        <v/>
      </c>
      <c r="E439" s="10">
        <f>IF($C439="","",IFERROR(INDEX(lst_JobName,MATCH($C439&amp;"",lst_Jobs,0)),""))</f>
        <v/>
      </c>
      <c r="F439" s="37" t="n"/>
      <c r="G439" s="37" t="n"/>
      <c r="H439" s="37" t="n"/>
      <c r="I439" s="37" t="n"/>
      <c r="J439" s="37" t="n"/>
      <c r="K439" s="38">
        <f>IF($C439="","",IFERROR(N(INDEX(tbl_Finance[Invoice Count],MATCH($X439,tbl_Finance[Row ID],0))),""))</f>
        <v/>
      </c>
      <c r="L439" s="11">
        <f>IF($C439="","",IFERROR(N(INDEX(tbl_Finance[Xero Invoiced Ex GST],MATCH($X439,tbl_Finance[Row ID],0))),""))</f>
        <v/>
      </c>
      <c r="M439" s="10">
        <f>IF($C439="","",IFERROR(INDEX(tbl_Finance[Compare],MATCH($X439,tbl_Finance[Row ID],0))&amp;"",""))</f>
        <v/>
      </c>
      <c r="N439" s="11">
        <f>IF($C439="","",MAX(0,N(O439)-N(L439)))</f>
        <v/>
      </c>
      <c r="O439" s="39" t="n"/>
      <c r="P439" s="40">
        <f>IF($C439="","",IF((IF(F439="",", Client","")&amp;IF(G439="",", Description","")&amp;IF(H439="",", Cost Centre","")&amp;IF(I439="",", Invoice Type","")&amp;IF(J439="",", Tax Code","")&amp;IF(O439="",", Expected Revenue","")&amp;IF(COUNTIF(tbl_Finance[Job Number],$C439&amp;"")&gt;1,", Job number used twice",""))="","Complete","Fix: "&amp;MID(IF(F439="",", Client","")&amp;IF(G439="",", Description","")&amp;IF(H439="",", Cost Centre","")&amp;IF(I439="",", Invoice Type","")&amp;IF(J439="",", Tax Code","")&amp;IF(O439="",", Expected Revenue","")&amp;IF(COUNTIF(tbl_Finance[Job Number],$C439&amp;"")&gt;1,", Job number used twice",""),3,300)))</f>
        <v/>
      </c>
      <c r="Q439" s="10">
        <f>IF($C439="","",IF(H439="","(no cost centre)",H439&amp;" - GL "&amp;IFERROR(INDEX(lst_CCtoGL,MATCH(H439,lst_CCforGL,0)),"?")))</f>
        <v/>
      </c>
      <c r="R439" s="37" t="n"/>
      <c r="S439" s="37" t="n"/>
      <c r="T439" s="10">
        <f>IF(S439="","",HYPERLINK(IF(LEFT(S439,4)="http",S439,set_QwilrBase&amp;S439),"Open quote"))</f>
        <v/>
      </c>
      <c r="U439" s="41" t="n"/>
      <c r="V439" s="37" t="n"/>
      <c r="W439" s="37" t="n"/>
      <c r="X439" s="10" t="inlineStr">
        <is>
          <t>ONS-0435</t>
        </is>
      </c>
    </row>
    <row r="440">
      <c r="A440" s="16">
        <f>IF($C440="","",IFERROR(IF(INDEX(tbl_Finance[Latest Invoice Date],MATCH($X440,tbl_Finance[Row ID],0))="","",INDEX(tbl_Finance[Latest Invoice Date],MATCH($X440,tbl_Finance[Row ID],0))),""))</f>
        <v/>
      </c>
      <c r="B440" s="10">
        <f>IF($C440="","",IFERROR(INDEX(tbl_Finance[Invoice Numbers],MATCH($X440,tbl_Finance[Row ID],0))&amp;"",""))</f>
        <v/>
      </c>
      <c r="C440" s="37" t="n"/>
      <c r="D440" s="10">
        <f>IF($C440="","",IF(COUNTIF(lst_Jobs,$C440&amp;"")&gt;0,"OK","CHECK"))</f>
        <v/>
      </c>
      <c r="E440" s="10">
        <f>IF($C440="","",IFERROR(INDEX(lst_JobName,MATCH($C440&amp;"",lst_Jobs,0)),""))</f>
        <v/>
      </c>
      <c r="F440" s="37" t="n"/>
      <c r="G440" s="37" t="n"/>
      <c r="H440" s="37" t="n"/>
      <c r="I440" s="37" t="n"/>
      <c r="J440" s="37" t="n"/>
      <c r="K440" s="38">
        <f>IF($C440="","",IFERROR(N(INDEX(tbl_Finance[Invoice Count],MATCH($X440,tbl_Finance[Row ID],0))),""))</f>
        <v/>
      </c>
      <c r="L440" s="11">
        <f>IF($C440="","",IFERROR(N(INDEX(tbl_Finance[Xero Invoiced Ex GST],MATCH($X440,tbl_Finance[Row ID],0))),""))</f>
        <v/>
      </c>
      <c r="M440" s="10">
        <f>IF($C440="","",IFERROR(INDEX(tbl_Finance[Compare],MATCH($X440,tbl_Finance[Row ID],0))&amp;"",""))</f>
        <v/>
      </c>
      <c r="N440" s="11">
        <f>IF($C440="","",MAX(0,N(O440)-N(L440)))</f>
        <v/>
      </c>
      <c r="O440" s="39" t="n"/>
      <c r="P440" s="40">
        <f>IF($C440="","",IF((IF(F440="",", Client","")&amp;IF(G440="",", Description","")&amp;IF(H440="",", Cost Centre","")&amp;IF(I440="",", Invoice Type","")&amp;IF(J440="",", Tax Code","")&amp;IF(O440="",", Expected Revenue","")&amp;IF(COUNTIF(tbl_Finance[Job Number],$C440&amp;"")&gt;1,", Job number used twice",""))="","Complete","Fix: "&amp;MID(IF(F440="",", Client","")&amp;IF(G440="",", Description","")&amp;IF(H440="",", Cost Centre","")&amp;IF(I440="",", Invoice Type","")&amp;IF(J440="",", Tax Code","")&amp;IF(O440="",", Expected Revenue","")&amp;IF(COUNTIF(tbl_Finance[Job Number],$C440&amp;"")&gt;1,", Job number used twice",""),3,300)))</f>
        <v/>
      </c>
      <c r="Q440" s="10">
        <f>IF($C440="","",IF(H440="","(no cost centre)",H440&amp;" - GL "&amp;IFERROR(INDEX(lst_CCtoGL,MATCH(H440,lst_CCforGL,0)),"?")))</f>
        <v/>
      </c>
      <c r="R440" s="37" t="n"/>
      <c r="S440" s="37" t="n"/>
      <c r="T440" s="10">
        <f>IF(S440="","",HYPERLINK(IF(LEFT(S440,4)="http",S440,set_QwilrBase&amp;S440),"Open quote"))</f>
        <v/>
      </c>
      <c r="U440" s="41" t="n"/>
      <c r="V440" s="37" t="n"/>
      <c r="W440" s="37" t="n"/>
      <c r="X440" s="10" t="inlineStr">
        <is>
          <t>ONS-0436</t>
        </is>
      </c>
    </row>
    <row r="441">
      <c r="A441" s="16">
        <f>IF($C441="","",IFERROR(IF(INDEX(tbl_Finance[Latest Invoice Date],MATCH($X441,tbl_Finance[Row ID],0))="","",INDEX(tbl_Finance[Latest Invoice Date],MATCH($X441,tbl_Finance[Row ID],0))),""))</f>
        <v/>
      </c>
      <c r="B441" s="10">
        <f>IF($C441="","",IFERROR(INDEX(tbl_Finance[Invoice Numbers],MATCH($X441,tbl_Finance[Row ID],0))&amp;"",""))</f>
        <v/>
      </c>
      <c r="C441" s="37" t="n"/>
      <c r="D441" s="10">
        <f>IF($C441="","",IF(COUNTIF(lst_Jobs,$C441&amp;"")&gt;0,"OK","CHECK"))</f>
        <v/>
      </c>
      <c r="E441" s="10">
        <f>IF($C441="","",IFERROR(INDEX(lst_JobName,MATCH($C441&amp;"",lst_Jobs,0)),""))</f>
        <v/>
      </c>
      <c r="F441" s="37" t="n"/>
      <c r="G441" s="37" t="n"/>
      <c r="H441" s="37" t="n"/>
      <c r="I441" s="37" t="n"/>
      <c r="J441" s="37" t="n"/>
      <c r="K441" s="38">
        <f>IF($C441="","",IFERROR(N(INDEX(tbl_Finance[Invoice Count],MATCH($X441,tbl_Finance[Row ID],0))),""))</f>
        <v/>
      </c>
      <c r="L441" s="11">
        <f>IF($C441="","",IFERROR(N(INDEX(tbl_Finance[Xero Invoiced Ex GST],MATCH($X441,tbl_Finance[Row ID],0))),""))</f>
        <v/>
      </c>
      <c r="M441" s="10">
        <f>IF($C441="","",IFERROR(INDEX(tbl_Finance[Compare],MATCH($X441,tbl_Finance[Row ID],0))&amp;"",""))</f>
        <v/>
      </c>
      <c r="N441" s="11">
        <f>IF($C441="","",MAX(0,N(O441)-N(L441)))</f>
        <v/>
      </c>
      <c r="O441" s="39" t="n"/>
      <c r="P441" s="40">
        <f>IF($C441="","",IF((IF(F441="",", Client","")&amp;IF(G441="",", Description","")&amp;IF(H441="",", Cost Centre","")&amp;IF(I441="",", Invoice Type","")&amp;IF(J441="",", Tax Code","")&amp;IF(O441="",", Expected Revenue","")&amp;IF(COUNTIF(tbl_Finance[Job Number],$C441&amp;"")&gt;1,", Job number used twice",""))="","Complete","Fix: "&amp;MID(IF(F441="",", Client","")&amp;IF(G441="",", Description","")&amp;IF(H441="",", Cost Centre","")&amp;IF(I441="",", Invoice Type","")&amp;IF(J441="",", Tax Code","")&amp;IF(O441="",", Expected Revenue","")&amp;IF(COUNTIF(tbl_Finance[Job Number],$C441&amp;"")&gt;1,", Job number used twice",""),3,300)))</f>
        <v/>
      </c>
      <c r="Q441" s="10">
        <f>IF($C441="","",IF(H441="","(no cost centre)",H441&amp;" - GL "&amp;IFERROR(INDEX(lst_CCtoGL,MATCH(H441,lst_CCforGL,0)),"?")))</f>
        <v/>
      </c>
      <c r="R441" s="37" t="n"/>
      <c r="S441" s="37" t="n"/>
      <c r="T441" s="10">
        <f>IF(S441="","",HYPERLINK(IF(LEFT(S441,4)="http",S441,set_QwilrBase&amp;S441),"Open quote"))</f>
        <v/>
      </c>
      <c r="U441" s="41" t="n"/>
      <c r="V441" s="37" t="n"/>
      <c r="W441" s="37" t="n"/>
      <c r="X441" s="10" t="inlineStr">
        <is>
          <t>ONS-0437</t>
        </is>
      </c>
    </row>
    <row r="442">
      <c r="A442" s="16">
        <f>IF($C442="","",IFERROR(IF(INDEX(tbl_Finance[Latest Invoice Date],MATCH($X442,tbl_Finance[Row ID],0))="","",INDEX(tbl_Finance[Latest Invoice Date],MATCH($X442,tbl_Finance[Row ID],0))),""))</f>
        <v/>
      </c>
      <c r="B442" s="10">
        <f>IF($C442="","",IFERROR(INDEX(tbl_Finance[Invoice Numbers],MATCH($X442,tbl_Finance[Row ID],0))&amp;"",""))</f>
        <v/>
      </c>
      <c r="C442" s="37" t="n"/>
      <c r="D442" s="10">
        <f>IF($C442="","",IF(COUNTIF(lst_Jobs,$C442&amp;"")&gt;0,"OK","CHECK"))</f>
        <v/>
      </c>
      <c r="E442" s="10">
        <f>IF($C442="","",IFERROR(INDEX(lst_JobName,MATCH($C442&amp;"",lst_Jobs,0)),""))</f>
        <v/>
      </c>
      <c r="F442" s="37" t="n"/>
      <c r="G442" s="37" t="n"/>
      <c r="H442" s="37" t="n"/>
      <c r="I442" s="37" t="n"/>
      <c r="J442" s="37" t="n"/>
      <c r="K442" s="38">
        <f>IF($C442="","",IFERROR(N(INDEX(tbl_Finance[Invoice Count],MATCH($X442,tbl_Finance[Row ID],0))),""))</f>
        <v/>
      </c>
      <c r="L442" s="11">
        <f>IF($C442="","",IFERROR(N(INDEX(tbl_Finance[Xero Invoiced Ex GST],MATCH($X442,tbl_Finance[Row ID],0))),""))</f>
        <v/>
      </c>
      <c r="M442" s="10">
        <f>IF($C442="","",IFERROR(INDEX(tbl_Finance[Compare],MATCH($X442,tbl_Finance[Row ID],0))&amp;"",""))</f>
        <v/>
      </c>
      <c r="N442" s="11">
        <f>IF($C442="","",MAX(0,N(O442)-N(L442)))</f>
        <v/>
      </c>
      <c r="O442" s="39" t="n"/>
      <c r="P442" s="40">
        <f>IF($C442="","",IF((IF(F442="",", Client","")&amp;IF(G442="",", Description","")&amp;IF(H442="",", Cost Centre","")&amp;IF(I442="",", Invoice Type","")&amp;IF(J442="",", Tax Code","")&amp;IF(O442="",", Expected Revenue","")&amp;IF(COUNTIF(tbl_Finance[Job Number],$C442&amp;"")&gt;1,", Job number used twice",""))="","Complete","Fix: "&amp;MID(IF(F442="",", Client","")&amp;IF(G442="",", Description","")&amp;IF(H442="",", Cost Centre","")&amp;IF(I442="",", Invoice Type","")&amp;IF(J442="",", Tax Code","")&amp;IF(O442="",", Expected Revenue","")&amp;IF(COUNTIF(tbl_Finance[Job Number],$C442&amp;"")&gt;1,", Job number used twice",""),3,300)))</f>
        <v/>
      </c>
      <c r="Q442" s="10">
        <f>IF($C442="","",IF(H442="","(no cost centre)",H442&amp;" - GL "&amp;IFERROR(INDEX(lst_CCtoGL,MATCH(H442,lst_CCforGL,0)),"?")))</f>
        <v/>
      </c>
      <c r="R442" s="37" t="n"/>
      <c r="S442" s="37" t="n"/>
      <c r="T442" s="10">
        <f>IF(S442="","",HYPERLINK(IF(LEFT(S442,4)="http",S442,set_QwilrBase&amp;S442),"Open quote"))</f>
        <v/>
      </c>
      <c r="U442" s="41" t="n"/>
      <c r="V442" s="37" t="n"/>
      <c r="W442" s="37" t="n"/>
      <c r="X442" s="10" t="inlineStr">
        <is>
          <t>ONS-0438</t>
        </is>
      </c>
    </row>
    <row r="443">
      <c r="A443" s="16">
        <f>IF($C443="","",IFERROR(IF(INDEX(tbl_Finance[Latest Invoice Date],MATCH($X443,tbl_Finance[Row ID],0))="","",INDEX(tbl_Finance[Latest Invoice Date],MATCH($X443,tbl_Finance[Row ID],0))),""))</f>
        <v/>
      </c>
      <c r="B443" s="10">
        <f>IF($C443="","",IFERROR(INDEX(tbl_Finance[Invoice Numbers],MATCH($X443,tbl_Finance[Row ID],0))&amp;"",""))</f>
        <v/>
      </c>
      <c r="C443" s="37" t="n"/>
      <c r="D443" s="10">
        <f>IF($C443="","",IF(COUNTIF(lst_Jobs,$C443&amp;"")&gt;0,"OK","CHECK"))</f>
        <v/>
      </c>
      <c r="E443" s="10">
        <f>IF($C443="","",IFERROR(INDEX(lst_JobName,MATCH($C443&amp;"",lst_Jobs,0)),""))</f>
        <v/>
      </c>
      <c r="F443" s="37" t="n"/>
      <c r="G443" s="37" t="n"/>
      <c r="H443" s="37" t="n"/>
      <c r="I443" s="37" t="n"/>
      <c r="J443" s="37" t="n"/>
      <c r="K443" s="38">
        <f>IF($C443="","",IFERROR(N(INDEX(tbl_Finance[Invoice Count],MATCH($X443,tbl_Finance[Row ID],0))),""))</f>
        <v/>
      </c>
      <c r="L443" s="11">
        <f>IF($C443="","",IFERROR(N(INDEX(tbl_Finance[Xero Invoiced Ex GST],MATCH($X443,tbl_Finance[Row ID],0))),""))</f>
        <v/>
      </c>
      <c r="M443" s="10">
        <f>IF($C443="","",IFERROR(INDEX(tbl_Finance[Compare],MATCH($X443,tbl_Finance[Row ID],0))&amp;"",""))</f>
        <v/>
      </c>
      <c r="N443" s="11">
        <f>IF($C443="","",MAX(0,N(O443)-N(L443)))</f>
        <v/>
      </c>
      <c r="O443" s="39" t="n"/>
      <c r="P443" s="40">
        <f>IF($C443="","",IF((IF(F443="",", Client","")&amp;IF(G443="",", Description","")&amp;IF(H443="",", Cost Centre","")&amp;IF(I443="",", Invoice Type","")&amp;IF(J443="",", Tax Code","")&amp;IF(O443="",", Expected Revenue","")&amp;IF(COUNTIF(tbl_Finance[Job Number],$C443&amp;"")&gt;1,", Job number used twice",""))="","Complete","Fix: "&amp;MID(IF(F443="",", Client","")&amp;IF(G443="",", Description","")&amp;IF(H443="",", Cost Centre","")&amp;IF(I443="",", Invoice Type","")&amp;IF(J443="",", Tax Code","")&amp;IF(O443="",", Expected Revenue","")&amp;IF(COUNTIF(tbl_Finance[Job Number],$C443&amp;"")&gt;1,", Job number used twice",""),3,300)))</f>
        <v/>
      </c>
      <c r="Q443" s="10">
        <f>IF($C443="","",IF(H443="","(no cost centre)",H443&amp;" - GL "&amp;IFERROR(INDEX(lst_CCtoGL,MATCH(H443,lst_CCforGL,0)),"?")))</f>
        <v/>
      </c>
      <c r="R443" s="37" t="n"/>
      <c r="S443" s="37" t="n"/>
      <c r="T443" s="10">
        <f>IF(S443="","",HYPERLINK(IF(LEFT(S443,4)="http",S443,set_QwilrBase&amp;S443),"Open quote"))</f>
        <v/>
      </c>
      <c r="U443" s="41" t="n"/>
      <c r="V443" s="37" t="n"/>
      <c r="W443" s="37" t="n"/>
      <c r="X443" s="10" t="inlineStr">
        <is>
          <t>ONS-0439</t>
        </is>
      </c>
    </row>
    <row r="444">
      <c r="A444" s="16">
        <f>IF($C444="","",IFERROR(IF(INDEX(tbl_Finance[Latest Invoice Date],MATCH($X444,tbl_Finance[Row ID],0))="","",INDEX(tbl_Finance[Latest Invoice Date],MATCH($X444,tbl_Finance[Row ID],0))),""))</f>
        <v/>
      </c>
      <c r="B444" s="10">
        <f>IF($C444="","",IFERROR(INDEX(tbl_Finance[Invoice Numbers],MATCH($X444,tbl_Finance[Row ID],0))&amp;"",""))</f>
        <v/>
      </c>
      <c r="C444" s="37" t="n"/>
      <c r="D444" s="10">
        <f>IF($C444="","",IF(COUNTIF(lst_Jobs,$C444&amp;"")&gt;0,"OK","CHECK"))</f>
        <v/>
      </c>
      <c r="E444" s="10">
        <f>IF($C444="","",IFERROR(INDEX(lst_JobName,MATCH($C444&amp;"",lst_Jobs,0)),""))</f>
        <v/>
      </c>
      <c r="F444" s="37" t="n"/>
      <c r="G444" s="37" t="n"/>
      <c r="H444" s="37" t="n"/>
      <c r="I444" s="37" t="n"/>
      <c r="J444" s="37" t="n"/>
      <c r="K444" s="38">
        <f>IF($C444="","",IFERROR(N(INDEX(tbl_Finance[Invoice Count],MATCH($X444,tbl_Finance[Row ID],0))),""))</f>
        <v/>
      </c>
      <c r="L444" s="11">
        <f>IF($C444="","",IFERROR(N(INDEX(tbl_Finance[Xero Invoiced Ex GST],MATCH($X444,tbl_Finance[Row ID],0))),""))</f>
        <v/>
      </c>
      <c r="M444" s="10">
        <f>IF($C444="","",IFERROR(INDEX(tbl_Finance[Compare],MATCH($X444,tbl_Finance[Row ID],0))&amp;"",""))</f>
        <v/>
      </c>
      <c r="N444" s="11">
        <f>IF($C444="","",MAX(0,N(O444)-N(L444)))</f>
        <v/>
      </c>
      <c r="O444" s="39" t="n"/>
      <c r="P444" s="40">
        <f>IF($C444="","",IF((IF(F444="",", Client","")&amp;IF(G444="",", Description","")&amp;IF(H444="",", Cost Centre","")&amp;IF(I444="",", Invoice Type","")&amp;IF(J444="",", Tax Code","")&amp;IF(O444="",", Expected Revenue","")&amp;IF(COUNTIF(tbl_Finance[Job Number],$C444&amp;"")&gt;1,", Job number used twice",""))="","Complete","Fix: "&amp;MID(IF(F444="",", Client","")&amp;IF(G444="",", Description","")&amp;IF(H444="",", Cost Centre","")&amp;IF(I444="",", Invoice Type","")&amp;IF(J444="",", Tax Code","")&amp;IF(O444="",", Expected Revenue","")&amp;IF(COUNTIF(tbl_Finance[Job Number],$C444&amp;"")&gt;1,", Job number used twice",""),3,300)))</f>
        <v/>
      </c>
      <c r="Q444" s="10">
        <f>IF($C444="","",IF(H444="","(no cost centre)",H444&amp;" - GL "&amp;IFERROR(INDEX(lst_CCtoGL,MATCH(H444,lst_CCforGL,0)),"?")))</f>
        <v/>
      </c>
      <c r="R444" s="37" t="n"/>
      <c r="S444" s="37" t="n"/>
      <c r="T444" s="10">
        <f>IF(S444="","",HYPERLINK(IF(LEFT(S444,4)="http",S444,set_QwilrBase&amp;S444),"Open quote"))</f>
        <v/>
      </c>
      <c r="U444" s="41" t="n"/>
      <c r="V444" s="37" t="n"/>
      <c r="W444" s="37" t="n"/>
      <c r="X444" s="10" t="inlineStr">
        <is>
          <t>ONS-0440</t>
        </is>
      </c>
    </row>
    <row r="445">
      <c r="A445" s="16">
        <f>IF($C445="","",IFERROR(IF(INDEX(tbl_Finance[Latest Invoice Date],MATCH($X445,tbl_Finance[Row ID],0))="","",INDEX(tbl_Finance[Latest Invoice Date],MATCH($X445,tbl_Finance[Row ID],0))),""))</f>
        <v/>
      </c>
      <c r="B445" s="10">
        <f>IF($C445="","",IFERROR(INDEX(tbl_Finance[Invoice Numbers],MATCH($X445,tbl_Finance[Row ID],0))&amp;"",""))</f>
        <v/>
      </c>
      <c r="C445" s="37" t="n"/>
      <c r="D445" s="10">
        <f>IF($C445="","",IF(COUNTIF(lst_Jobs,$C445&amp;"")&gt;0,"OK","CHECK"))</f>
        <v/>
      </c>
      <c r="E445" s="10">
        <f>IF($C445="","",IFERROR(INDEX(lst_JobName,MATCH($C445&amp;"",lst_Jobs,0)),""))</f>
        <v/>
      </c>
      <c r="F445" s="37" t="n"/>
      <c r="G445" s="37" t="n"/>
      <c r="H445" s="37" t="n"/>
      <c r="I445" s="37" t="n"/>
      <c r="J445" s="37" t="n"/>
      <c r="K445" s="38">
        <f>IF($C445="","",IFERROR(N(INDEX(tbl_Finance[Invoice Count],MATCH($X445,tbl_Finance[Row ID],0))),""))</f>
        <v/>
      </c>
      <c r="L445" s="11">
        <f>IF($C445="","",IFERROR(N(INDEX(tbl_Finance[Xero Invoiced Ex GST],MATCH($X445,tbl_Finance[Row ID],0))),""))</f>
        <v/>
      </c>
      <c r="M445" s="10">
        <f>IF($C445="","",IFERROR(INDEX(tbl_Finance[Compare],MATCH($X445,tbl_Finance[Row ID],0))&amp;"",""))</f>
        <v/>
      </c>
      <c r="N445" s="11">
        <f>IF($C445="","",MAX(0,N(O445)-N(L445)))</f>
        <v/>
      </c>
      <c r="O445" s="39" t="n"/>
      <c r="P445" s="40">
        <f>IF($C445="","",IF((IF(F445="",", Client","")&amp;IF(G445="",", Description","")&amp;IF(H445="",", Cost Centre","")&amp;IF(I445="",", Invoice Type","")&amp;IF(J445="",", Tax Code","")&amp;IF(O445="",", Expected Revenue","")&amp;IF(COUNTIF(tbl_Finance[Job Number],$C445&amp;"")&gt;1,", Job number used twice",""))="","Complete","Fix: "&amp;MID(IF(F445="",", Client","")&amp;IF(G445="",", Description","")&amp;IF(H445="",", Cost Centre","")&amp;IF(I445="",", Invoice Type","")&amp;IF(J445="",", Tax Code","")&amp;IF(O445="",", Expected Revenue","")&amp;IF(COUNTIF(tbl_Finance[Job Number],$C445&amp;"")&gt;1,", Job number used twice",""),3,300)))</f>
        <v/>
      </c>
      <c r="Q445" s="10">
        <f>IF($C445="","",IF(H445="","(no cost centre)",H445&amp;" - GL "&amp;IFERROR(INDEX(lst_CCtoGL,MATCH(H445,lst_CCforGL,0)),"?")))</f>
        <v/>
      </c>
      <c r="R445" s="37" t="n"/>
      <c r="S445" s="37" t="n"/>
      <c r="T445" s="10">
        <f>IF(S445="","",HYPERLINK(IF(LEFT(S445,4)="http",S445,set_QwilrBase&amp;S445),"Open quote"))</f>
        <v/>
      </c>
      <c r="U445" s="41" t="n"/>
      <c r="V445" s="37" t="n"/>
      <c r="W445" s="37" t="n"/>
      <c r="X445" s="10" t="inlineStr">
        <is>
          <t>ONS-0441</t>
        </is>
      </c>
    </row>
    <row r="446">
      <c r="A446" s="16">
        <f>IF($C446="","",IFERROR(IF(INDEX(tbl_Finance[Latest Invoice Date],MATCH($X446,tbl_Finance[Row ID],0))="","",INDEX(tbl_Finance[Latest Invoice Date],MATCH($X446,tbl_Finance[Row ID],0))),""))</f>
        <v/>
      </c>
      <c r="B446" s="10">
        <f>IF($C446="","",IFERROR(INDEX(tbl_Finance[Invoice Numbers],MATCH($X446,tbl_Finance[Row ID],0))&amp;"",""))</f>
        <v/>
      </c>
      <c r="C446" s="37" t="n"/>
      <c r="D446" s="10">
        <f>IF($C446="","",IF(COUNTIF(lst_Jobs,$C446&amp;"")&gt;0,"OK","CHECK"))</f>
        <v/>
      </c>
      <c r="E446" s="10">
        <f>IF($C446="","",IFERROR(INDEX(lst_JobName,MATCH($C446&amp;"",lst_Jobs,0)),""))</f>
        <v/>
      </c>
      <c r="F446" s="37" t="n"/>
      <c r="G446" s="37" t="n"/>
      <c r="H446" s="37" t="n"/>
      <c r="I446" s="37" t="n"/>
      <c r="J446" s="37" t="n"/>
      <c r="K446" s="38">
        <f>IF($C446="","",IFERROR(N(INDEX(tbl_Finance[Invoice Count],MATCH($X446,tbl_Finance[Row ID],0))),""))</f>
        <v/>
      </c>
      <c r="L446" s="11">
        <f>IF($C446="","",IFERROR(N(INDEX(tbl_Finance[Xero Invoiced Ex GST],MATCH($X446,tbl_Finance[Row ID],0))),""))</f>
        <v/>
      </c>
      <c r="M446" s="10">
        <f>IF($C446="","",IFERROR(INDEX(tbl_Finance[Compare],MATCH($X446,tbl_Finance[Row ID],0))&amp;"",""))</f>
        <v/>
      </c>
      <c r="N446" s="11">
        <f>IF($C446="","",MAX(0,N(O446)-N(L446)))</f>
        <v/>
      </c>
      <c r="O446" s="39" t="n"/>
      <c r="P446" s="40">
        <f>IF($C446="","",IF((IF(F446="",", Client","")&amp;IF(G446="",", Description","")&amp;IF(H446="",", Cost Centre","")&amp;IF(I446="",", Invoice Type","")&amp;IF(J446="",", Tax Code","")&amp;IF(O446="",", Expected Revenue","")&amp;IF(COUNTIF(tbl_Finance[Job Number],$C446&amp;"")&gt;1,", Job number used twice",""))="","Complete","Fix: "&amp;MID(IF(F446="",", Client","")&amp;IF(G446="",", Description","")&amp;IF(H446="",", Cost Centre","")&amp;IF(I446="",", Invoice Type","")&amp;IF(J446="",", Tax Code","")&amp;IF(O446="",", Expected Revenue","")&amp;IF(COUNTIF(tbl_Finance[Job Number],$C446&amp;"")&gt;1,", Job number used twice",""),3,300)))</f>
        <v/>
      </c>
      <c r="Q446" s="10">
        <f>IF($C446="","",IF(H446="","(no cost centre)",H446&amp;" - GL "&amp;IFERROR(INDEX(lst_CCtoGL,MATCH(H446,lst_CCforGL,0)),"?")))</f>
        <v/>
      </c>
      <c r="R446" s="37" t="n"/>
      <c r="S446" s="37" t="n"/>
      <c r="T446" s="10">
        <f>IF(S446="","",HYPERLINK(IF(LEFT(S446,4)="http",S446,set_QwilrBase&amp;S446),"Open quote"))</f>
        <v/>
      </c>
      <c r="U446" s="41" t="n"/>
      <c r="V446" s="37" t="n"/>
      <c r="W446" s="37" t="n"/>
      <c r="X446" s="10" t="inlineStr">
        <is>
          <t>ONS-0442</t>
        </is>
      </c>
    </row>
    <row r="447">
      <c r="A447" s="16">
        <f>IF($C447="","",IFERROR(IF(INDEX(tbl_Finance[Latest Invoice Date],MATCH($X447,tbl_Finance[Row ID],0))="","",INDEX(tbl_Finance[Latest Invoice Date],MATCH($X447,tbl_Finance[Row ID],0))),""))</f>
        <v/>
      </c>
      <c r="B447" s="10">
        <f>IF($C447="","",IFERROR(INDEX(tbl_Finance[Invoice Numbers],MATCH($X447,tbl_Finance[Row ID],0))&amp;"",""))</f>
        <v/>
      </c>
      <c r="C447" s="37" t="n"/>
      <c r="D447" s="10">
        <f>IF($C447="","",IF(COUNTIF(lst_Jobs,$C447&amp;"")&gt;0,"OK","CHECK"))</f>
        <v/>
      </c>
      <c r="E447" s="10">
        <f>IF($C447="","",IFERROR(INDEX(lst_JobName,MATCH($C447&amp;"",lst_Jobs,0)),""))</f>
        <v/>
      </c>
      <c r="F447" s="37" t="n"/>
      <c r="G447" s="37" t="n"/>
      <c r="H447" s="37" t="n"/>
      <c r="I447" s="37" t="n"/>
      <c r="J447" s="37" t="n"/>
      <c r="K447" s="38">
        <f>IF($C447="","",IFERROR(N(INDEX(tbl_Finance[Invoice Count],MATCH($X447,tbl_Finance[Row ID],0))),""))</f>
        <v/>
      </c>
      <c r="L447" s="11">
        <f>IF($C447="","",IFERROR(N(INDEX(tbl_Finance[Xero Invoiced Ex GST],MATCH($X447,tbl_Finance[Row ID],0))),""))</f>
        <v/>
      </c>
      <c r="M447" s="10">
        <f>IF($C447="","",IFERROR(INDEX(tbl_Finance[Compare],MATCH($X447,tbl_Finance[Row ID],0))&amp;"",""))</f>
        <v/>
      </c>
      <c r="N447" s="11">
        <f>IF($C447="","",MAX(0,N(O447)-N(L447)))</f>
        <v/>
      </c>
      <c r="O447" s="39" t="n"/>
      <c r="P447" s="40">
        <f>IF($C447="","",IF((IF(F447="",", Client","")&amp;IF(G447="",", Description","")&amp;IF(H447="",", Cost Centre","")&amp;IF(I447="",", Invoice Type","")&amp;IF(J447="",", Tax Code","")&amp;IF(O447="",", Expected Revenue","")&amp;IF(COUNTIF(tbl_Finance[Job Number],$C447&amp;"")&gt;1,", Job number used twice",""))="","Complete","Fix: "&amp;MID(IF(F447="",", Client","")&amp;IF(G447="",", Description","")&amp;IF(H447="",", Cost Centre","")&amp;IF(I447="",", Invoice Type","")&amp;IF(J447="",", Tax Code","")&amp;IF(O447="",", Expected Revenue","")&amp;IF(COUNTIF(tbl_Finance[Job Number],$C447&amp;"")&gt;1,", Job number used twice",""),3,300)))</f>
        <v/>
      </c>
      <c r="Q447" s="10">
        <f>IF($C447="","",IF(H447="","(no cost centre)",H447&amp;" - GL "&amp;IFERROR(INDEX(lst_CCtoGL,MATCH(H447,lst_CCforGL,0)),"?")))</f>
        <v/>
      </c>
      <c r="R447" s="37" t="n"/>
      <c r="S447" s="37" t="n"/>
      <c r="T447" s="10">
        <f>IF(S447="","",HYPERLINK(IF(LEFT(S447,4)="http",S447,set_QwilrBase&amp;S447),"Open quote"))</f>
        <v/>
      </c>
      <c r="U447" s="41" t="n"/>
      <c r="V447" s="37" t="n"/>
      <c r="W447" s="37" t="n"/>
      <c r="X447" s="10" t="inlineStr">
        <is>
          <t>ONS-0443</t>
        </is>
      </c>
    </row>
    <row r="448">
      <c r="A448" s="16">
        <f>IF($C448="","",IFERROR(IF(INDEX(tbl_Finance[Latest Invoice Date],MATCH($X448,tbl_Finance[Row ID],0))="","",INDEX(tbl_Finance[Latest Invoice Date],MATCH($X448,tbl_Finance[Row ID],0))),""))</f>
        <v/>
      </c>
      <c r="B448" s="10">
        <f>IF($C448="","",IFERROR(INDEX(tbl_Finance[Invoice Numbers],MATCH($X448,tbl_Finance[Row ID],0))&amp;"",""))</f>
        <v/>
      </c>
      <c r="C448" s="37" t="n"/>
      <c r="D448" s="10">
        <f>IF($C448="","",IF(COUNTIF(lst_Jobs,$C448&amp;"")&gt;0,"OK","CHECK"))</f>
        <v/>
      </c>
      <c r="E448" s="10">
        <f>IF($C448="","",IFERROR(INDEX(lst_JobName,MATCH($C448&amp;"",lst_Jobs,0)),""))</f>
        <v/>
      </c>
      <c r="F448" s="37" t="n"/>
      <c r="G448" s="37" t="n"/>
      <c r="H448" s="37" t="n"/>
      <c r="I448" s="37" t="n"/>
      <c r="J448" s="37" t="n"/>
      <c r="K448" s="38">
        <f>IF($C448="","",IFERROR(N(INDEX(tbl_Finance[Invoice Count],MATCH($X448,tbl_Finance[Row ID],0))),""))</f>
        <v/>
      </c>
      <c r="L448" s="11">
        <f>IF($C448="","",IFERROR(N(INDEX(tbl_Finance[Xero Invoiced Ex GST],MATCH($X448,tbl_Finance[Row ID],0))),""))</f>
        <v/>
      </c>
      <c r="M448" s="10">
        <f>IF($C448="","",IFERROR(INDEX(tbl_Finance[Compare],MATCH($X448,tbl_Finance[Row ID],0))&amp;"",""))</f>
        <v/>
      </c>
      <c r="N448" s="11">
        <f>IF($C448="","",MAX(0,N(O448)-N(L448)))</f>
        <v/>
      </c>
      <c r="O448" s="39" t="n"/>
      <c r="P448" s="40">
        <f>IF($C448="","",IF((IF(F448="",", Client","")&amp;IF(G448="",", Description","")&amp;IF(H448="",", Cost Centre","")&amp;IF(I448="",", Invoice Type","")&amp;IF(J448="",", Tax Code","")&amp;IF(O448="",", Expected Revenue","")&amp;IF(COUNTIF(tbl_Finance[Job Number],$C448&amp;"")&gt;1,", Job number used twice",""))="","Complete","Fix: "&amp;MID(IF(F448="",", Client","")&amp;IF(G448="",", Description","")&amp;IF(H448="",", Cost Centre","")&amp;IF(I448="",", Invoice Type","")&amp;IF(J448="",", Tax Code","")&amp;IF(O448="",", Expected Revenue","")&amp;IF(COUNTIF(tbl_Finance[Job Number],$C448&amp;"")&gt;1,", Job number used twice",""),3,300)))</f>
        <v/>
      </c>
      <c r="Q448" s="10">
        <f>IF($C448="","",IF(H448="","(no cost centre)",H448&amp;" - GL "&amp;IFERROR(INDEX(lst_CCtoGL,MATCH(H448,lst_CCforGL,0)),"?")))</f>
        <v/>
      </c>
      <c r="R448" s="37" t="n"/>
      <c r="S448" s="37" t="n"/>
      <c r="T448" s="10">
        <f>IF(S448="","",HYPERLINK(IF(LEFT(S448,4)="http",S448,set_QwilrBase&amp;S448),"Open quote"))</f>
        <v/>
      </c>
      <c r="U448" s="41" t="n"/>
      <c r="V448" s="37" t="n"/>
      <c r="W448" s="37" t="n"/>
      <c r="X448" s="10" t="inlineStr">
        <is>
          <t>ONS-0444</t>
        </is>
      </c>
    </row>
    <row r="449">
      <c r="A449" s="16">
        <f>IF($C449="","",IFERROR(IF(INDEX(tbl_Finance[Latest Invoice Date],MATCH($X449,tbl_Finance[Row ID],0))="","",INDEX(tbl_Finance[Latest Invoice Date],MATCH($X449,tbl_Finance[Row ID],0))),""))</f>
        <v/>
      </c>
      <c r="B449" s="10">
        <f>IF($C449="","",IFERROR(INDEX(tbl_Finance[Invoice Numbers],MATCH($X449,tbl_Finance[Row ID],0))&amp;"",""))</f>
        <v/>
      </c>
      <c r="C449" s="37" t="n"/>
      <c r="D449" s="10">
        <f>IF($C449="","",IF(COUNTIF(lst_Jobs,$C449&amp;"")&gt;0,"OK","CHECK"))</f>
        <v/>
      </c>
      <c r="E449" s="10">
        <f>IF($C449="","",IFERROR(INDEX(lst_JobName,MATCH($C449&amp;"",lst_Jobs,0)),""))</f>
        <v/>
      </c>
      <c r="F449" s="37" t="n"/>
      <c r="G449" s="37" t="n"/>
      <c r="H449" s="37" t="n"/>
      <c r="I449" s="37" t="n"/>
      <c r="J449" s="37" t="n"/>
      <c r="K449" s="38">
        <f>IF($C449="","",IFERROR(N(INDEX(tbl_Finance[Invoice Count],MATCH($X449,tbl_Finance[Row ID],0))),""))</f>
        <v/>
      </c>
      <c r="L449" s="11">
        <f>IF($C449="","",IFERROR(N(INDEX(tbl_Finance[Xero Invoiced Ex GST],MATCH($X449,tbl_Finance[Row ID],0))),""))</f>
        <v/>
      </c>
      <c r="M449" s="10">
        <f>IF($C449="","",IFERROR(INDEX(tbl_Finance[Compare],MATCH($X449,tbl_Finance[Row ID],0))&amp;"",""))</f>
        <v/>
      </c>
      <c r="N449" s="11">
        <f>IF($C449="","",MAX(0,N(O449)-N(L449)))</f>
        <v/>
      </c>
      <c r="O449" s="39" t="n"/>
      <c r="P449" s="40">
        <f>IF($C449="","",IF((IF(F449="",", Client","")&amp;IF(G449="",", Description","")&amp;IF(H449="",", Cost Centre","")&amp;IF(I449="",", Invoice Type","")&amp;IF(J449="",", Tax Code","")&amp;IF(O449="",", Expected Revenue","")&amp;IF(COUNTIF(tbl_Finance[Job Number],$C449&amp;"")&gt;1,", Job number used twice",""))="","Complete","Fix: "&amp;MID(IF(F449="",", Client","")&amp;IF(G449="",", Description","")&amp;IF(H449="",", Cost Centre","")&amp;IF(I449="",", Invoice Type","")&amp;IF(J449="",", Tax Code","")&amp;IF(O449="",", Expected Revenue","")&amp;IF(COUNTIF(tbl_Finance[Job Number],$C449&amp;"")&gt;1,", Job number used twice",""),3,300)))</f>
        <v/>
      </c>
      <c r="Q449" s="10">
        <f>IF($C449="","",IF(H449="","(no cost centre)",H449&amp;" - GL "&amp;IFERROR(INDEX(lst_CCtoGL,MATCH(H449,lst_CCforGL,0)),"?")))</f>
        <v/>
      </c>
      <c r="R449" s="37" t="n"/>
      <c r="S449" s="37" t="n"/>
      <c r="T449" s="10">
        <f>IF(S449="","",HYPERLINK(IF(LEFT(S449,4)="http",S449,set_QwilrBase&amp;S449),"Open quote"))</f>
        <v/>
      </c>
      <c r="U449" s="41" t="n"/>
      <c r="V449" s="37" t="n"/>
      <c r="W449" s="37" t="n"/>
      <c r="X449" s="10" t="inlineStr">
        <is>
          <t>ONS-0445</t>
        </is>
      </c>
    </row>
    <row r="450">
      <c r="A450" s="16">
        <f>IF($C450="","",IFERROR(IF(INDEX(tbl_Finance[Latest Invoice Date],MATCH($X450,tbl_Finance[Row ID],0))="","",INDEX(tbl_Finance[Latest Invoice Date],MATCH($X450,tbl_Finance[Row ID],0))),""))</f>
        <v/>
      </c>
      <c r="B450" s="10">
        <f>IF($C450="","",IFERROR(INDEX(tbl_Finance[Invoice Numbers],MATCH($X450,tbl_Finance[Row ID],0))&amp;"",""))</f>
        <v/>
      </c>
      <c r="C450" s="37" t="n"/>
      <c r="D450" s="10">
        <f>IF($C450="","",IF(COUNTIF(lst_Jobs,$C450&amp;"")&gt;0,"OK","CHECK"))</f>
        <v/>
      </c>
      <c r="E450" s="10">
        <f>IF($C450="","",IFERROR(INDEX(lst_JobName,MATCH($C450&amp;"",lst_Jobs,0)),""))</f>
        <v/>
      </c>
      <c r="F450" s="37" t="n"/>
      <c r="G450" s="37" t="n"/>
      <c r="H450" s="37" t="n"/>
      <c r="I450" s="37" t="n"/>
      <c r="J450" s="37" t="n"/>
      <c r="K450" s="38">
        <f>IF($C450="","",IFERROR(N(INDEX(tbl_Finance[Invoice Count],MATCH($X450,tbl_Finance[Row ID],0))),""))</f>
        <v/>
      </c>
      <c r="L450" s="11">
        <f>IF($C450="","",IFERROR(N(INDEX(tbl_Finance[Xero Invoiced Ex GST],MATCH($X450,tbl_Finance[Row ID],0))),""))</f>
        <v/>
      </c>
      <c r="M450" s="10">
        <f>IF($C450="","",IFERROR(INDEX(tbl_Finance[Compare],MATCH($X450,tbl_Finance[Row ID],0))&amp;"",""))</f>
        <v/>
      </c>
      <c r="N450" s="11">
        <f>IF($C450="","",MAX(0,N(O450)-N(L450)))</f>
        <v/>
      </c>
      <c r="O450" s="39" t="n"/>
      <c r="P450" s="40">
        <f>IF($C450="","",IF((IF(F450="",", Client","")&amp;IF(G450="",", Description","")&amp;IF(H450="",", Cost Centre","")&amp;IF(I450="",", Invoice Type","")&amp;IF(J450="",", Tax Code","")&amp;IF(O450="",", Expected Revenue","")&amp;IF(COUNTIF(tbl_Finance[Job Number],$C450&amp;"")&gt;1,", Job number used twice",""))="","Complete","Fix: "&amp;MID(IF(F450="",", Client","")&amp;IF(G450="",", Description","")&amp;IF(H450="",", Cost Centre","")&amp;IF(I450="",", Invoice Type","")&amp;IF(J450="",", Tax Code","")&amp;IF(O450="",", Expected Revenue","")&amp;IF(COUNTIF(tbl_Finance[Job Number],$C450&amp;"")&gt;1,", Job number used twice",""),3,300)))</f>
        <v/>
      </c>
      <c r="Q450" s="10">
        <f>IF($C450="","",IF(H450="","(no cost centre)",H450&amp;" - GL "&amp;IFERROR(INDEX(lst_CCtoGL,MATCH(H450,lst_CCforGL,0)),"?")))</f>
        <v/>
      </c>
      <c r="R450" s="37" t="n"/>
      <c r="S450" s="37" t="n"/>
      <c r="T450" s="10">
        <f>IF(S450="","",HYPERLINK(IF(LEFT(S450,4)="http",S450,set_QwilrBase&amp;S450),"Open quote"))</f>
        <v/>
      </c>
      <c r="U450" s="41" t="n"/>
      <c r="V450" s="37" t="n"/>
      <c r="W450" s="37" t="n"/>
      <c r="X450" s="10" t="inlineStr">
        <is>
          <t>ONS-0446</t>
        </is>
      </c>
    </row>
    <row r="451">
      <c r="A451" s="16">
        <f>IF($C451="","",IFERROR(IF(INDEX(tbl_Finance[Latest Invoice Date],MATCH($X451,tbl_Finance[Row ID],0))="","",INDEX(tbl_Finance[Latest Invoice Date],MATCH($X451,tbl_Finance[Row ID],0))),""))</f>
        <v/>
      </c>
      <c r="B451" s="10">
        <f>IF($C451="","",IFERROR(INDEX(tbl_Finance[Invoice Numbers],MATCH($X451,tbl_Finance[Row ID],0))&amp;"",""))</f>
        <v/>
      </c>
      <c r="C451" s="37" t="n"/>
      <c r="D451" s="10">
        <f>IF($C451="","",IF(COUNTIF(lst_Jobs,$C451&amp;"")&gt;0,"OK","CHECK"))</f>
        <v/>
      </c>
      <c r="E451" s="10">
        <f>IF($C451="","",IFERROR(INDEX(lst_JobName,MATCH($C451&amp;"",lst_Jobs,0)),""))</f>
        <v/>
      </c>
      <c r="F451" s="37" t="n"/>
      <c r="G451" s="37" t="n"/>
      <c r="H451" s="37" t="n"/>
      <c r="I451" s="37" t="n"/>
      <c r="J451" s="37" t="n"/>
      <c r="K451" s="38">
        <f>IF($C451="","",IFERROR(N(INDEX(tbl_Finance[Invoice Count],MATCH($X451,tbl_Finance[Row ID],0))),""))</f>
        <v/>
      </c>
      <c r="L451" s="11">
        <f>IF($C451="","",IFERROR(N(INDEX(tbl_Finance[Xero Invoiced Ex GST],MATCH($X451,tbl_Finance[Row ID],0))),""))</f>
        <v/>
      </c>
      <c r="M451" s="10">
        <f>IF($C451="","",IFERROR(INDEX(tbl_Finance[Compare],MATCH($X451,tbl_Finance[Row ID],0))&amp;"",""))</f>
        <v/>
      </c>
      <c r="N451" s="11">
        <f>IF($C451="","",MAX(0,N(O451)-N(L451)))</f>
        <v/>
      </c>
      <c r="O451" s="39" t="n"/>
      <c r="P451" s="40">
        <f>IF($C451="","",IF((IF(F451="",", Client","")&amp;IF(G451="",", Description","")&amp;IF(H451="",", Cost Centre","")&amp;IF(I451="",", Invoice Type","")&amp;IF(J451="",", Tax Code","")&amp;IF(O451="",", Expected Revenue","")&amp;IF(COUNTIF(tbl_Finance[Job Number],$C451&amp;"")&gt;1,", Job number used twice",""))="","Complete","Fix: "&amp;MID(IF(F451="",", Client","")&amp;IF(G451="",", Description","")&amp;IF(H451="",", Cost Centre","")&amp;IF(I451="",", Invoice Type","")&amp;IF(J451="",", Tax Code","")&amp;IF(O451="",", Expected Revenue","")&amp;IF(COUNTIF(tbl_Finance[Job Number],$C451&amp;"")&gt;1,", Job number used twice",""),3,300)))</f>
        <v/>
      </c>
      <c r="Q451" s="10">
        <f>IF($C451="","",IF(H451="","(no cost centre)",H451&amp;" - GL "&amp;IFERROR(INDEX(lst_CCtoGL,MATCH(H451,lst_CCforGL,0)),"?")))</f>
        <v/>
      </c>
      <c r="R451" s="37" t="n"/>
      <c r="S451" s="37" t="n"/>
      <c r="T451" s="10">
        <f>IF(S451="","",HYPERLINK(IF(LEFT(S451,4)="http",S451,set_QwilrBase&amp;S451),"Open quote"))</f>
        <v/>
      </c>
      <c r="U451" s="41" t="n"/>
      <c r="V451" s="37" t="n"/>
      <c r="W451" s="37" t="n"/>
      <c r="X451" s="10" t="inlineStr">
        <is>
          <t>ONS-0447</t>
        </is>
      </c>
    </row>
    <row r="452">
      <c r="A452" s="16">
        <f>IF($C452="","",IFERROR(IF(INDEX(tbl_Finance[Latest Invoice Date],MATCH($X452,tbl_Finance[Row ID],0))="","",INDEX(tbl_Finance[Latest Invoice Date],MATCH($X452,tbl_Finance[Row ID],0))),""))</f>
        <v/>
      </c>
      <c r="B452" s="10">
        <f>IF($C452="","",IFERROR(INDEX(tbl_Finance[Invoice Numbers],MATCH($X452,tbl_Finance[Row ID],0))&amp;"",""))</f>
        <v/>
      </c>
      <c r="C452" s="37" t="n"/>
      <c r="D452" s="10">
        <f>IF($C452="","",IF(COUNTIF(lst_Jobs,$C452&amp;"")&gt;0,"OK","CHECK"))</f>
        <v/>
      </c>
      <c r="E452" s="10">
        <f>IF($C452="","",IFERROR(INDEX(lst_JobName,MATCH($C452&amp;"",lst_Jobs,0)),""))</f>
        <v/>
      </c>
      <c r="F452" s="37" t="n"/>
      <c r="G452" s="37" t="n"/>
      <c r="H452" s="37" t="n"/>
      <c r="I452" s="37" t="n"/>
      <c r="J452" s="37" t="n"/>
      <c r="K452" s="38">
        <f>IF($C452="","",IFERROR(N(INDEX(tbl_Finance[Invoice Count],MATCH($X452,tbl_Finance[Row ID],0))),""))</f>
        <v/>
      </c>
      <c r="L452" s="11">
        <f>IF($C452="","",IFERROR(N(INDEX(tbl_Finance[Xero Invoiced Ex GST],MATCH($X452,tbl_Finance[Row ID],0))),""))</f>
        <v/>
      </c>
      <c r="M452" s="10">
        <f>IF($C452="","",IFERROR(INDEX(tbl_Finance[Compare],MATCH($X452,tbl_Finance[Row ID],0))&amp;"",""))</f>
        <v/>
      </c>
      <c r="N452" s="11">
        <f>IF($C452="","",MAX(0,N(O452)-N(L452)))</f>
        <v/>
      </c>
      <c r="O452" s="39" t="n"/>
      <c r="P452" s="40">
        <f>IF($C452="","",IF((IF(F452="",", Client","")&amp;IF(G452="",", Description","")&amp;IF(H452="",", Cost Centre","")&amp;IF(I452="",", Invoice Type","")&amp;IF(J452="",", Tax Code","")&amp;IF(O452="",", Expected Revenue","")&amp;IF(COUNTIF(tbl_Finance[Job Number],$C452&amp;"")&gt;1,", Job number used twice",""))="","Complete","Fix: "&amp;MID(IF(F452="",", Client","")&amp;IF(G452="",", Description","")&amp;IF(H452="",", Cost Centre","")&amp;IF(I452="",", Invoice Type","")&amp;IF(J452="",", Tax Code","")&amp;IF(O452="",", Expected Revenue","")&amp;IF(COUNTIF(tbl_Finance[Job Number],$C452&amp;"")&gt;1,", Job number used twice",""),3,300)))</f>
        <v/>
      </c>
      <c r="Q452" s="10">
        <f>IF($C452="","",IF(H452="","(no cost centre)",H452&amp;" - GL "&amp;IFERROR(INDEX(lst_CCtoGL,MATCH(H452,lst_CCforGL,0)),"?")))</f>
        <v/>
      </c>
      <c r="R452" s="37" t="n"/>
      <c r="S452" s="37" t="n"/>
      <c r="T452" s="10">
        <f>IF(S452="","",HYPERLINK(IF(LEFT(S452,4)="http",S452,set_QwilrBase&amp;S452),"Open quote"))</f>
        <v/>
      </c>
      <c r="U452" s="41" t="n"/>
      <c r="V452" s="37" t="n"/>
      <c r="W452" s="37" t="n"/>
      <c r="X452" s="10" t="inlineStr">
        <is>
          <t>ONS-0448</t>
        </is>
      </c>
    </row>
    <row r="453">
      <c r="A453" s="16">
        <f>IF($C453="","",IFERROR(IF(INDEX(tbl_Finance[Latest Invoice Date],MATCH($X453,tbl_Finance[Row ID],0))="","",INDEX(tbl_Finance[Latest Invoice Date],MATCH($X453,tbl_Finance[Row ID],0))),""))</f>
        <v/>
      </c>
      <c r="B453" s="10">
        <f>IF($C453="","",IFERROR(INDEX(tbl_Finance[Invoice Numbers],MATCH($X453,tbl_Finance[Row ID],0))&amp;"",""))</f>
        <v/>
      </c>
      <c r="C453" s="37" t="n"/>
      <c r="D453" s="10">
        <f>IF($C453="","",IF(COUNTIF(lst_Jobs,$C453&amp;"")&gt;0,"OK","CHECK"))</f>
        <v/>
      </c>
      <c r="E453" s="10">
        <f>IF($C453="","",IFERROR(INDEX(lst_JobName,MATCH($C453&amp;"",lst_Jobs,0)),""))</f>
        <v/>
      </c>
      <c r="F453" s="37" t="n"/>
      <c r="G453" s="37" t="n"/>
      <c r="H453" s="37" t="n"/>
      <c r="I453" s="37" t="n"/>
      <c r="J453" s="37" t="n"/>
      <c r="K453" s="38">
        <f>IF($C453="","",IFERROR(N(INDEX(tbl_Finance[Invoice Count],MATCH($X453,tbl_Finance[Row ID],0))),""))</f>
        <v/>
      </c>
      <c r="L453" s="11">
        <f>IF($C453="","",IFERROR(N(INDEX(tbl_Finance[Xero Invoiced Ex GST],MATCH($X453,tbl_Finance[Row ID],0))),""))</f>
        <v/>
      </c>
      <c r="M453" s="10">
        <f>IF($C453="","",IFERROR(INDEX(tbl_Finance[Compare],MATCH($X453,tbl_Finance[Row ID],0))&amp;"",""))</f>
        <v/>
      </c>
      <c r="N453" s="11">
        <f>IF($C453="","",MAX(0,N(O453)-N(L453)))</f>
        <v/>
      </c>
      <c r="O453" s="39" t="n"/>
      <c r="P453" s="40">
        <f>IF($C453="","",IF((IF(F453="",", Client","")&amp;IF(G453="",", Description","")&amp;IF(H453="",", Cost Centre","")&amp;IF(I453="",", Invoice Type","")&amp;IF(J453="",", Tax Code","")&amp;IF(O453="",", Expected Revenue","")&amp;IF(COUNTIF(tbl_Finance[Job Number],$C453&amp;"")&gt;1,", Job number used twice",""))="","Complete","Fix: "&amp;MID(IF(F453="",", Client","")&amp;IF(G453="",", Description","")&amp;IF(H453="",", Cost Centre","")&amp;IF(I453="",", Invoice Type","")&amp;IF(J453="",", Tax Code","")&amp;IF(O453="",", Expected Revenue","")&amp;IF(COUNTIF(tbl_Finance[Job Number],$C453&amp;"")&gt;1,", Job number used twice",""),3,300)))</f>
        <v/>
      </c>
      <c r="Q453" s="10">
        <f>IF($C453="","",IF(H453="","(no cost centre)",H453&amp;" - GL "&amp;IFERROR(INDEX(lst_CCtoGL,MATCH(H453,lst_CCforGL,0)),"?")))</f>
        <v/>
      </c>
      <c r="R453" s="37" t="n"/>
      <c r="S453" s="37" t="n"/>
      <c r="T453" s="10">
        <f>IF(S453="","",HYPERLINK(IF(LEFT(S453,4)="http",S453,set_QwilrBase&amp;S453),"Open quote"))</f>
        <v/>
      </c>
      <c r="U453" s="41" t="n"/>
      <c r="V453" s="37" t="n"/>
      <c r="W453" s="37" t="n"/>
      <c r="X453" s="10" t="inlineStr">
        <is>
          <t>ONS-0449</t>
        </is>
      </c>
    </row>
    <row r="454">
      <c r="A454" s="16">
        <f>IF($C454="","",IFERROR(IF(INDEX(tbl_Finance[Latest Invoice Date],MATCH($X454,tbl_Finance[Row ID],0))="","",INDEX(tbl_Finance[Latest Invoice Date],MATCH($X454,tbl_Finance[Row ID],0))),""))</f>
        <v/>
      </c>
      <c r="B454" s="10">
        <f>IF($C454="","",IFERROR(INDEX(tbl_Finance[Invoice Numbers],MATCH($X454,tbl_Finance[Row ID],0))&amp;"",""))</f>
        <v/>
      </c>
      <c r="C454" s="37" t="n"/>
      <c r="D454" s="10">
        <f>IF($C454="","",IF(COUNTIF(lst_Jobs,$C454&amp;"")&gt;0,"OK","CHECK"))</f>
        <v/>
      </c>
      <c r="E454" s="10">
        <f>IF($C454="","",IFERROR(INDEX(lst_JobName,MATCH($C454&amp;"",lst_Jobs,0)),""))</f>
        <v/>
      </c>
      <c r="F454" s="37" t="n"/>
      <c r="G454" s="37" t="n"/>
      <c r="H454" s="37" t="n"/>
      <c r="I454" s="37" t="n"/>
      <c r="J454" s="37" t="n"/>
      <c r="K454" s="38">
        <f>IF($C454="","",IFERROR(N(INDEX(tbl_Finance[Invoice Count],MATCH($X454,tbl_Finance[Row ID],0))),""))</f>
        <v/>
      </c>
      <c r="L454" s="11">
        <f>IF($C454="","",IFERROR(N(INDEX(tbl_Finance[Xero Invoiced Ex GST],MATCH($X454,tbl_Finance[Row ID],0))),""))</f>
        <v/>
      </c>
      <c r="M454" s="10">
        <f>IF($C454="","",IFERROR(INDEX(tbl_Finance[Compare],MATCH($X454,tbl_Finance[Row ID],0))&amp;"",""))</f>
        <v/>
      </c>
      <c r="N454" s="11">
        <f>IF($C454="","",MAX(0,N(O454)-N(L454)))</f>
        <v/>
      </c>
      <c r="O454" s="39" t="n"/>
      <c r="P454" s="40">
        <f>IF($C454="","",IF((IF(F454="",", Client","")&amp;IF(G454="",", Description","")&amp;IF(H454="",", Cost Centre","")&amp;IF(I454="",", Invoice Type","")&amp;IF(J454="",", Tax Code","")&amp;IF(O454="",", Expected Revenue","")&amp;IF(COUNTIF(tbl_Finance[Job Number],$C454&amp;"")&gt;1,", Job number used twice",""))="","Complete","Fix: "&amp;MID(IF(F454="",", Client","")&amp;IF(G454="",", Description","")&amp;IF(H454="",", Cost Centre","")&amp;IF(I454="",", Invoice Type","")&amp;IF(J454="",", Tax Code","")&amp;IF(O454="",", Expected Revenue","")&amp;IF(COUNTIF(tbl_Finance[Job Number],$C454&amp;"")&gt;1,", Job number used twice",""),3,300)))</f>
        <v/>
      </c>
      <c r="Q454" s="10">
        <f>IF($C454="","",IF(H454="","(no cost centre)",H454&amp;" - GL "&amp;IFERROR(INDEX(lst_CCtoGL,MATCH(H454,lst_CCforGL,0)),"?")))</f>
        <v/>
      </c>
      <c r="R454" s="37" t="n"/>
      <c r="S454" s="37" t="n"/>
      <c r="T454" s="10">
        <f>IF(S454="","",HYPERLINK(IF(LEFT(S454,4)="http",S454,set_QwilrBase&amp;S454),"Open quote"))</f>
        <v/>
      </c>
      <c r="U454" s="41" t="n"/>
      <c r="V454" s="37" t="n"/>
      <c r="W454" s="37" t="n"/>
      <c r="X454" s="10" t="inlineStr">
        <is>
          <t>ONS-0450</t>
        </is>
      </c>
    </row>
    <row r="455">
      <c r="A455" s="16">
        <f>IF($C455="","",IFERROR(IF(INDEX(tbl_Finance[Latest Invoice Date],MATCH($X455,tbl_Finance[Row ID],0))="","",INDEX(tbl_Finance[Latest Invoice Date],MATCH($X455,tbl_Finance[Row ID],0))),""))</f>
        <v/>
      </c>
      <c r="B455" s="10">
        <f>IF($C455="","",IFERROR(INDEX(tbl_Finance[Invoice Numbers],MATCH($X455,tbl_Finance[Row ID],0))&amp;"",""))</f>
        <v/>
      </c>
      <c r="C455" s="37" t="n"/>
      <c r="D455" s="10">
        <f>IF($C455="","",IF(COUNTIF(lst_Jobs,$C455&amp;"")&gt;0,"OK","CHECK"))</f>
        <v/>
      </c>
      <c r="E455" s="10">
        <f>IF($C455="","",IFERROR(INDEX(lst_JobName,MATCH($C455&amp;"",lst_Jobs,0)),""))</f>
        <v/>
      </c>
      <c r="F455" s="37" t="n"/>
      <c r="G455" s="37" t="n"/>
      <c r="H455" s="37" t="n"/>
      <c r="I455" s="37" t="n"/>
      <c r="J455" s="37" t="n"/>
      <c r="K455" s="38">
        <f>IF($C455="","",IFERROR(N(INDEX(tbl_Finance[Invoice Count],MATCH($X455,tbl_Finance[Row ID],0))),""))</f>
        <v/>
      </c>
      <c r="L455" s="11">
        <f>IF($C455="","",IFERROR(N(INDEX(tbl_Finance[Xero Invoiced Ex GST],MATCH($X455,tbl_Finance[Row ID],0))),""))</f>
        <v/>
      </c>
      <c r="M455" s="10">
        <f>IF($C455="","",IFERROR(INDEX(tbl_Finance[Compare],MATCH($X455,tbl_Finance[Row ID],0))&amp;"",""))</f>
        <v/>
      </c>
      <c r="N455" s="11">
        <f>IF($C455="","",MAX(0,N(O455)-N(L455)))</f>
        <v/>
      </c>
      <c r="O455" s="39" t="n"/>
      <c r="P455" s="40">
        <f>IF($C455="","",IF((IF(F455="",", Client","")&amp;IF(G455="",", Description","")&amp;IF(H455="",", Cost Centre","")&amp;IF(I455="",", Invoice Type","")&amp;IF(J455="",", Tax Code","")&amp;IF(O455="",", Expected Revenue","")&amp;IF(COUNTIF(tbl_Finance[Job Number],$C455&amp;"")&gt;1,", Job number used twice",""))="","Complete","Fix: "&amp;MID(IF(F455="",", Client","")&amp;IF(G455="",", Description","")&amp;IF(H455="",", Cost Centre","")&amp;IF(I455="",", Invoice Type","")&amp;IF(J455="",", Tax Code","")&amp;IF(O455="",", Expected Revenue","")&amp;IF(COUNTIF(tbl_Finance[Job Number],$C455&amp;"")&gt;1,", Job number used twice",""),3,300)))</f>
        <v/>
      </c>
      <c r="Q455" s="10">
        <f>IF($C455="","",IF(H455="","(no cost centre)",H455&amp;" - GL "&amp;IFERROR(INDEX(lst_CCtoGL,MATCH(H455,lst_CCforGL,0)),"?")))</f>
        <v/>
      </c>
      <c r="R455" s="37" t="n"/>
      <c r="S455" s="37" t="n"/>
      <c r="T455" s="10">
        <f>IF(S455="","",HYPERLINK(IF(LEFT(S455,4)="http",S455,set_QwilrBase&amp;S455),"Open quote"))</f>
        <v/>
      </c>
      <c r="U455" s="41" t="n"/>
      <c r="V455" s="37" t="n"/>
      <c r="W455" s="37" t="n"/>
      <c r="X455" s="10" t="inlineStr">
        <is>
          <t>ONS-0451</t>
        </is>
      </c>
    </row>
    <row r="456">
      <c r="A456" s="16">
        <f>IF($C456="","",IFERROR(IF(INDEX(tbl_Finance[Latest Invoice Date],MATCH($X456,tbl_Finance[Row ID],0))="","",INDEX(tbl_Finance[Latest Invoice Date],MATCH($X456,tbl_Finance[Row ID],0))),""))</f>
        <v/>
      </c>
      <c r="B456" s="10">
        <f>IF($C456="","",IFERROR(INDEX(tbl_Finance[Invoice Numbers],MATCH($X456,tbl_Finance[Row ID],0))&amp;"",""))</f>
        <v/>
      </c>
      <c r="C456" s="37" t="n"/>
      <c r="D456" s="10">
        <f>IF($C456="","",IF(COUNTIF(lst_Jobs,$C456&amp;"")&gt;0,"OK","CHECK"))</f>
        <v/>
      </c>
      <c r="E456" s="10">
        <f>IF($C456="","",IFERROR(INDEX(lst_JobName,MATCH($C456&amp;"",lst_Jobs,0)),""))</f>
        <v/>
      </c>
      <c r="F456" s="37" t="n"/>
      <c r="G456" s="37" t="n"/>
      <c r="H456" s="37" t="n"/>
      <c r="I456" s="37" t="n"/>
      <c r="J456" s="37" t="n"/>
      <c r="K456" s="38">
        <f>IF($C456="","",IFERROR(N(INDEX(tbl_Finance[Invoice Count],MATCH($X456,tbl_Finance[Row ID],0))),""))</f>
        <v/>
      </c>
      <c r="L456" s="11">
        <f>IF($C456="","",IFERROR(N(INDEX(tbl_Finance[Xero Invoiced Ex GST],MATCH($X456,tbl_Finance[Row ID],0))),""))</f>
        <v/>
      </c>
      <c r="M456" s="10">
        <f>IF($C456="","",IFERROR(INDEX(tbl_Finance[Compare],MATCH($X456,tbl_Finance[Row ID],0))&amp;"",""))</f>
        <v/>
      </c>
      <c r="N456" s="11">
        <f>IF($C456="","",MAX(0,N(O456)-N(L456)))</f>
        <v/>
      </c>
      <c r="O456" s="39" t="n"/>
      <c r="P456" s="40">
        <f>IF($C456="","",IF((IF(F456="",", Client","")&amp;IF(G456="",", Description","")&amp;IF(H456="",", Cost Centre","")&amp;IF(I456="",", Invoice Type","")&amp;IF(J456="",", Tax Code","")&amp;IF(O456="",", Expected Revenue","")&amp;IF(COUNTIF(tbl_Finance[Job Number],$C456&amp;"")&gt;1,", Job number used twice",""))="","Complete","Fix: "&amp;MID(IF(F456="",", Client","")&amp;IF(G456="",", Description","")&amp;IF(H456="",", Cost Centre","")&amp;IF(I456="",", Invoice Type","")&amp;IF(J456="",", Tax Code","")&amp;IF(O456="",", Expected Revenue","")&amp;IF(COUNTIF(tbl_Finance[Job Number],$C456&amp;"")&gt;1,", Job number used twice",""),3,300)))</f>
        <v/>
      </c>
      <c r="Q456" s="10">
        <f>IF($C456="","",IF(H456="","(no cost centre)",H456&amp;" - GL "&amp;IFERROR(INDEX(lst_CCtoGL,MATCH(H456,lst_CCforGL,0)),"?")))</f>
        <v/>
      </c>
      <c r="R456" s="37" t="n"/>
      <c r="S456" s="37" t="n"/>
      <c r="T456" s="10">
        <f>IF(S456="","",HYPERLINK(IF(LEFT(S456,4)="http",S456,set_QwilrBase&amp;S456),"Open quote"))</f>
        <v/>
      </c>
      <c r="U456" s="41" t="n"/>
      <c r="V456" s="37" t="n"/>
      <c r="W456" s="37" t="n"/>
      <c r="X456" s="10" t="inlineStr">
        <is>
          <t>ONS-0452</t>
        </is>
      </c>
    </row>
    <row r="457">
      <c r="A457" s="16">
        <f>IF($C457="","",IFERROR(IF(INDEX(tbl_Finance[Latest Invoice Date],MATCH($X457,tbl_Finance[Row ID],0))="","",INDEX(tbl_Finance[Latest Invoice Date],MATCH($X457,tbl_Finance[Row ID],0))),""))</f>
        <v/>
      </c>
      <c r="B457" s="10">
        <f>IF($C457="","",IFERROR(INDEX(tbl_Finance[Invoice Numbers],MATCH($X457,tbl_Finance[Row ID],0))&amp;"",""))</f>
        <v/>
      </c>
      <c r="C457" s="37" t="n"/>
      <c r="D457" s="10">
        <f>IF($C457="","",IF(COUNTIF(lst_Jobs,$C457&amp;"")&gt;0,"OK","CHECK"))</f>
        <v/>
      </c>
      <c r="E457" s="10">
        <f>IF($C457="","",IFERROR(INDEX(lst_JobName,MATCH($C457&amp;"",lst_Jobs,0)),""))</f>
        <v/>
      </c>
      <c r="F457" s="37" t="n"/>
      <c r="G457" s="37" t="n"/>
      <c r="H457" s="37" t="n"/>
      <c r="I457" s="37" t="n"/>
      <c r="J457" s="37" t="n"/>
      <c r="K457" s="38">
        <f>IF($C457="","",IFERROR(N(INDEX(tbl_Finance[Invoice Count],MATCH($X457,tbl_Finance[Row ID],0))),""))</f>
        <v/>
      </c>
      <c r="L457" s="11">
        <f>IF($C457="","",IFERROR(N(INDEX(tbl_Finance[Xero Invoiced Ex GST],MATCH($X457,tbl_Finance[Row ID],0))),""))</f>
        <v/>
      </c>
      <c r="M457" s="10">
        <f>IF($C457="","",IFERROR(INDEX(tbl_Finance[Compare],MATCH($X457,tbl_Finance[Row ID],0))&amp;"",""))</f>
        <v/>
      </c>
      <c r="N457" s="11">
        <f>IF($C457="","",MAX(0,N(O457)-N(L457)))</f>
        <v/>
      </c>
      <c r="O457" s="39" t="n"/>
      <c r="P457" s="40">
        <f>IF($C457="","",IF((IF(F457="",", Client","")&amp;IF(G457="",", Description","")&amp;IF(H457="",", Cost Centre","")&amp;IF(I457="",", Invoice Type","")&amp;IF(J457="",", Tax Code","")&amp;IF(O457="",", Expected Revenue","")&amp;IF(COUNTIF(tbl_Finance[Job Number],$C457&amp;"")&gt;1,", Job number used twice",""))="","Complete","Fix: "&amp;MID(IF(F457="",", Client","")&amp;IF(G457="",", Description","")&amp;IF(H457="",", Cost Centre","")&amp;IF(I457="",", Invoice Type","")&amp;IF(J457="",", Tax Code","")&amp;IF(O457="",", Expected Revenue","")&amp;IF(COUNTIF(tbl_Finance[Job Number],$C457&amp;"")&gt;1,", Job number used twice",""),3,300)))</f>
        <v/>
      </c>
      <c r="Q457" s="10">
        <f>IF($C457="","",IF(H457="","(no cost centre)",H457&amp;" - GL "&amp;IFERROR(INDEX(lst_CCtoGL,MATCH(H457,lst_CCforGL,0)),"?")))</f>
        <v/>
      </c>
      <c r="R457" s="37" t="n"/>
      <c r="S457" s="37" t="n"/>
      <c r="T457" s="10">
        <f>IF(S457="","",HYPERLINK(IF(LEFT(S457,4)="http",S457,set_QwilrBase&amp;S457),"Open quote"))</f>
        <v/>
      </c>
      <c r="U457" s="41" t="n"/>
      <c r="V457" s="37" t="n"/>
      <c r="W457" s="37" t="n"/>
      <c r="X457" s="10" t="inlineStr">
        <is>
          <t>ONS-0453</t>
        </is>
      </c>
    </row>
    <row r="458">
      <c r="A458" s="16">
        <f>IF($C458="","",IFERROR(IF(INDEX(tbl_Finance[Latest Invoice Date],MATCH($X458,tbl_Finance[Row ID],0))="","",INDEX(tbl_Finance[Latest Invoice Date],MATCH($X458,tbl_Finance[Row ID],0))),""))</f>
        <v/>
      </c>
      <c r="B458" s="10">
        <f>IF($C458="","",IFERROR(INDEX(tbl_Finance[Invoice Numbers],MATCH($X458,tbl_Finance[Row ID],0))&amp;"",""))</f>
        <v/>
      </c>
      <c r="C458" s="37" t="n"/>
      <c r="D458" s="10">
        <f>IF($C458="","",IF(COUNTIF(lst_Jobs,$C458&amp;"")&gt;0,"OK","CHECK"))</f>
        <v/>
      </c>
      <c r="E458" s="10">
        <f>IF($C458="","",IFERROR(INDEX(lst_JobName,MATCH($C458&amp;"",lst_Jobs,0)),""))</f>
        <v/>
      </c>
      <c r="F458" s="37" t="n"/>
      <c r="G458" s="37" t="n"/>
      <c r="H458" s="37" t="n"/>
      <c r="I458" s="37" t="n"/>
      <c r="J458" s="37" t="n"/>
      <c r="K458" s="38">
        <f>IF($C458="","",IFERROR(N(INDEX(tbl_Finance[Invoice Count],MATCH($X458,tbl_Finance[Row ID],0))),""))</f>
        <v/>
      </c>
      <c r="L458" s="11">
        <f>IF($C458="","",IFERROR(N(INDEX(tbl_Finance[Xero Invoiced Ex GST],MATCH($X458,tbl_Finance[Row ID],0))),""))</f>
        <v/>
      </c>
      <c r="M458" s="10">
        <f>IF($C458="","",IFERROR(INDEX(tbl_Finance[Compare],MATCH($X458,tbl_Finance[Row ID],0))&amp;"",""))</f>
        <v/>
      </c>
      <c r="N458" s="11">
        <f>IF($C458="","",MAX(0,N(O458)-N(L458)))</f>
        <v/>
      </c>
      <c r="O458" s="39" t="n"/>
      <c r="P458" s="40">
        <f>IF($C458="","",IF((IF(F458="",", Client","")&amp;IF(G458="",", Description","")&amp;IF(H458="",", Cost Centre","")&amp;IF(I458="",", Invoice Type","")&amp;IF(J458="",", Tax Code","")&amp;IF(O458="",", Expected Revenue","")&amp;IF(COUNTIF(tbl_Finance[Job Number],$C458&amp;"")&gt;1,", Job number used twice",""))="","Complete","Fix: "&amp;MID(IF(F458="",", Client","")&amp;IF(G458="",", Description","")&amp;IF(H458="",", Cost Centre","")&amp;IF(I458="",", Invoice Type","")&amp;IF(J458="",", Tax Code","")&amp;IF(O458="",", Expected Revenue","")&amp;IF(COUNTIF(tbl_Finance[Job Number],$C458&amp;"")&gt;1,", Job number used twice",""),3,300)))</f>
        <v/>
      </c>
      <c r="Q458" s="10">
        <f>IF($C458="","",IF(H458="","(no cost centre)",H458&amp;" - GL "&amp;IFERROR(INDEX(lst_CCtoGL,MATCH(H458,lst_CCforGL,0)),"?")))</f>
        <v/>
      </c>
      <c r="R458" s="37" t="n"/>
      <c r="S458" s="37" t="n"/>
      <c r="T458" s="10">
        <f>IF(S458="","",HYPERLINK(IF(LEFT(S458,4)="http",S458,set_QwilrBase&amp;S458),"Open quote"))</f>
        <v/>
      </c>
      <c r="U458" s="41" t="n"/>
      <c r="V458" s="37" t="n"/>
      <c r="W458" s="37" t="n"/>
      <c r="X458" s="10" t="inlineStr">
        <is>
          <t>ONS-0454</t>
        </is>
      </c>
    </row>
    <row r="459">
      <c r="A459" s="16">
        <f>IF($C459="","",IFERROR(IF(INDEX(tbl_Finance[Latest Invoice Date],MATCH($X459,tbl_Finance[Row ID],0))="","",INDEX(tbl_Finance[Latest Invoice Date],MATCH($X459,tbl_Finance[Row ID],0))),""))</f>
        <v/>
      </c>
      <c r="B459" s="10">
        <f>IF($C459="","",IFERROR(INDEX(tbl_Finance[Invoice Numbers],MATCH($X459,tbl_Finance[Row ID],0))&amp;"",""))</f>
        <v/>
      </c>
      <c r="C459" s="37" t="n"/>
      <c r="D459" s="10">
        <f>IF($C459="","",IF(COUNTIF(lst_Jobs,$C459&amp;"")&gt;0,"OK","CHECK"))</f>
        <v/>
      </c>
      <c r="E459" s="10">
        <f>IF($C459="","",IFERROR(INDEX(lst_JobName,MATCH($C459&amp;"",lst_Jobs,0)),""))</f>
        <v/>
      </c>
      <c r="F459" s="37" t="n"/>
      <c r="G459" s="37" t="n"/>
      <c r="H459" s="37" t="n"/>
      <c r="I459" s="37" t="n"/>
      <c r="J459" s="37" t="n"/>
      <c r="K459" s="38">
        <f>IF($C459="","",IFERROR(N(INDEX(tbl_Finance[Invoice Count],MATCH($X459,tbl_Finance[Row ID],0))),""))</f>
        <v/>
      </c>
      <c r="L459" s="11">
        <f>IF($C459="","",IFERROR(N(INDEX(tbl_Finance[Xero Invoiced Ex GST],MATCH($X459,tbl_Finance[Row ID],0))),""))</f>
        <v/>
      </c>
      <c r="M459" s="10">
        <f>IF($C459="","",IFERROR(INDEX(tbl_Finance[Compare],MATCH($X459,tbl_Finance[Row ID],0))&amp;"",""))</f>
        <v/>
      </c>
      <c r="N459" s="11">
        <f>IF($C459="","",MAX(0,N(O459)-N(L459)))</f>
        <v/>
      </c>
      <c r="O459" s="39" t="n"/>
      <c r="P459" s="40">
        <f>IF($C459="","",IF((IF(F459="",", Client","")&amp;IF(G459="",", Description","")&amp;IF(H459="",", Cost Centre","")&amp;IF(I459="",", Invoice Type","")&amp;IF(J459="",", Tax Code","")&amp;IF(O459="",", Expected Revenue","")&amp;IF(COUNTIF(tbl_Finance[Job Number],$C459&amp;"")&gt;1,", Job number used twice",""))="","Complete","Fix: "&amp;MID(IF(F459="",", Client","")&amp;IF(G459="",", Description","")&amp;IF(H459="",", Cost Centre","")&amp;IF(I459="",", Invoice Type","")&amp;IF(J459="",", Tax Code","")&amp;IF(O459="",", Expected Revenue","")&amp;IF(COUNTIF(tbl_Finance[Job Number],$C459&amp;"")&gt;1,", Job number used twice",""),3,300)))</f>
        <v/>
      </c>
      <c r="Q459" s="10">
        <f>IF($C459="","",IF(H459="","(no cost centre)",H459&amp;" - GL "&amp;IFERROR(INDEX(lst_CCtoGL,MATCH(H459,lst_CCforGL,0)),"?")))</f>
        <v/>
      </c>
      <c r="R459" s="37" t="n"/>
      <c r="S459" s="37" t="n"/>
      <c r="T459" s="10">
        <f>IF(S459="","",HYPERLINK(IF(LEFT(S459,4)="http",S459,set_QwilrBase&amp;S459),"Open quote"))</f>
        <v/>
      </c>
      <c r="U459" s="41" t="n"/>
      <c r="V459" s="37" t="n"/>
      <c r="W459" s="37" t="n"/>
      <c r="X459" s="10" t="inlineStr">
        <is>
          <t>ONS-0455</t>
        </is>
      </c>
    </row>
    <row r="460">
      <c r="A460" s="16">
        <f>IF($C460="","",IFERROR(IF(INDEX(tbl_Finance[Latest Invoice Date],MATCH($X460,tbl_Finance[Row ID],0))="","",INDEX(tbl_Finance[Latest Invoice Date],MATCH($X460,tbl_Finance[Row ID],0))),""))</f>
        <v/>
      </c>
      <c r="B460" s="10">
        <f>IF($C460="","",IFERROR(INDEX(tbl_Finance[Invoice Numbers],MATCH($X460,tbl_Finance[Row ID],0))&amp;"",""))</f>
        <v/>
      </c>
      <c r="C460" s="37" t="n"/>
      <c r="D460" s="10">
        <f>IF($C460="","",IF(COUNTIF(lst_Jobs,$C460&amp;"")&gt;0,"OK","CHECK"))</f>
        <v/>
      </c>
      <c r="E460" s="10">
        <f>IF($C460="","",IFERROR(INDEX(lst_JobName,MATCH($C460&amp;"",lst_Jobs,0)),""))</f>
        <v/>
      </c>
      <c r="F460" s="37" t="n"/>
      <c r="G460" s="37" t="n"/>
      <c r="H460" s="37" t="n"/>
      <c r="I460" s="37" t="n"/>
      <c r="J460" s="37" t="n"/>
      <c r="K460" s="38">
        <f>IF($C460="","",IFERROR(N(INDEX(tbl_Finance[Invoice Count],MATCH($X460,tbl_Finance[Row ID],0))),""))</f>
        <v/>
      </c>
      <c r="L460" s="11">
        <f>IF($C460="","",IFERROR(N(INDEX(tbl_Finance[Xero Invoiced Ex GST],MATCH($X460,tbl_Finance[Row ID],0))),""))</f>
        <v/>
      </c>
      <c r="M460" s="10">
        <f>IF($C460="","",IFERROR(INDEX(tbl_Finance[Compare],MATCH($X460,tbl_Finance[Row ID],0))&amp;"",""))</f>
        <v/>
      </c>
      <c r="N460" s="11">
        <f>IF($C460="","",MAX(0,N(O460)-N(L460)))</f>
        <v/>
      </c>
      <c r="O460" s="39" t="n"/>
      <c r="P460" s="40">
        <f>IF($C460="","",IF((IF(F460="",", Client","")&amp;IF(G460="",", Description","")&amp;IF(H460="",", Cost Centre","")&amp;IF(I460="",", Invoice Type","")&amp;IF(J460="",", Tax Code","")&amp;IF(O460="",", Expected Revenue","")&amp;IF(COUNTIF(tbl_Finance[Job Number],$C460&amp;"")&gt;1,", Job number used twice",""))="","Complete","Fix: "&amp;MID(IF(F460="",", Client","")&amp;IF(G460="",", Description","")&amp;IF(H460="",", Cost Centre","")&amp;IF(I460="",", Invoice Type","")&amp;IF(J460="",", Tax Code","")&amp;IF(O460="",", Expected Revenue","")&amp;IF(COUNTIF(tbl_Finance[Job Number],$C460&amp;"")&gt;1,", Job number used twice",""),3,300)))</f>
        <v/>
      </c>
      <c r="Q460" s="10">
        <f>IF($C460="","",IF(H460="","(no cost centre)",H460&amp;" - GL "&amp;IFERROR(INDEX(lst_CCtoGL,MATCH(H460,lst_CCforGL,0)),"?")))</f>
        <v/>
      </c>
      <c r="R460" s="37" t="n"/>
      <c r="S460" s="37" t="n"/>
      <c r="T460" s="10">
        <f>IF(S460="","",HYPERLINK(IF(LEFT(S460,4)="http",S460,set_QwilrBase&amp;S460),"Open quote"))</f>
        <v/>
      </c>
      <c r="U460" s="41" t="n"/>
      <c r="V460" s="37" t="n"/>
      <c r="W460" s="37" t="n"/>
      <c r="X460" s="10" t="inlineStr">
        <is>
          <t>ONS-0456</t>
        </is>
      </c>
    </row>
    <row r="461">
      <c r="A461" s="16">
        <f>IF($C461="","",IFERROR(IF(INDEX(tbl_Finance[Latest Invoice Date],MATCH($X461,tbl_Finance[Row ID],0))="","",INDEX(tbl_Finance[Latest Invoice Date],MATCH($X461,tbl_Finance[Row ID],0))),""))</f>
        <v/>
      </c>
      <c r="B461" s="10">
        <f>IF($C461="","",IFERROR(INDEX(tbl_Finance[Invoice Numbers],MATCH($X461,tbl_Finance[Row ID],0))&amp;"",""))</f>
        <v/>
      </c>
      <c r="C461" s="37" t="n"/>
      <c r="D461" s="10">
        <f>IF($C461="","",IF(COUNTIF(lst_Jobs,$C461&amp;"")&gt;0,"OK","CHECK"))</f>
        <v/>
      </c>
      <c r="E461" s="10">
        <f>IF($C461="","",IFERROR(INDEX(lst_JobName,MATCH($C461&amp;"",lst_Jobs,0)),""))</f>
        <v/>
      </c>
      <c r="F461" s="37" t="n"/>
      <c r="G461" s="37" t="n"/>
      <c r="H461" s="37" t="n"/>
      <c r="I461" s="37" t="n"/>
      <c r="J461" s="37" t="n"/>
      <c r="K461" s="38">
        <f>IF($C461="","",IFERROR(N(INDEX(tbl_Finance[Invoice Count],MATCH($X461,tbl_Finance[Row ID],0))),""))</f>
        <v/>
      </c>
      <c r="L461" s="11">
        <f>IF($C461="","",IFERROR(N(INDEX(tbl_Finance[Xero Invoiced Ex GST],MATCH($X461,tbl_Finance[Row ID],0))),""))</f>
        <v/>
      </c>
      <c r="M461" s="10">
        <f>IF($C461="","",IFERROR(INDEX(tbl_Finance[Compare],MATCH($X461,tbl_Finance[Row ID],0))&amp;"",""))</f>
        <v/>
      </c>
      <c r="N461" s="11">
        <f>IF($C461="","",MAX(0,N(O461)-N(L461)))</f>
        <v/>
      </c>
      <c r="O461" s="39" t="n"/>
      <c r="P461" s="40">
        <f>IF($C461="","",IF((IF(F461="",", Client","")&amp;IF(G461="",", Description","")&amp;IF(H461="",", Cost Centre","")&amp;IF(I461="",", Invoice Type","")&amp;IF(J461="",", Tax Code","")&amp;IF(O461="",", Expected Revenue","")&amp;IF(COUNTIF(tbl_Finance[Job Number],$C461&amp;"")&gt;1,", Job number used twice",""))="","Complete","Fix: "&amp;MID(IF(F461="",", Client","")&amp;IF(G461="",", Description","")&amp;IF(H461="",", Cost Centre","")&amp;IF(I461="",", Invoice Type","")&amp;IF(J461="",", Tax Code","")&amp;IF(O461="",", Expected Revenue","")&amp;IF(COUNTIF(tbl_Finance[Job Number],$C461&amp;"")&gt;1,", Job number used twice",""),3,300)))</f>
        <v/>
      </c>
      <c r="Q461" s="10">
        <f>IF($C461="","",IF(H461="","(no cost centre)",H461&amp;" - GL "&amp;IFERROR(INDEX(lst_CCtoGL,MATCH(H461,lst_CCforGL,0)),"?")))</f>
        <v/>
      </c>
      <c r="R461" s="37" t="n"/>
      <c r="S461" s="37" t="n"/>
      <c r="T461" s="10">
        <f>IF(S461="","",HYPERLINK(IF(LEFT(S461,4)="http",S461,set_QwilrBase&amp;S461),"Open quote"))</f>
        <v/>
      </c>
      <c r="U461" s="41" t="n"/>
      <c r="V461" s="37" t="n"/>
      <c r="W461" s="37" t="n"/>
      <c r="X461" s="10" t="inlineStr">
        <is>
          <t>ONS-0457</t>
        </is>
      </c>
    </row>
    <row r="462">
      <c r="A462" s="16">
        <f>IF($C462="","",IFERROR(IF(INDEX(tbl_Finance[Latest Invoice Date],MATCH($X462,tbl_Finance[Row ID],0))="","",INDEX(tbl_Finance[Latest Invoice Date],MATCH($X462,tbl_Finance[Row ID],0))),""))</f>
        <v/>
      </c>
      <c r="B462" s="10">
        <f>IF($C462="","",IFERROR(INDEX(tbl_Finance[Invoice Numbers],MATCH($X462,tbl_Finance[Row ID],0))&amp;"",""))</f>
        <v/>
      </c>
      <c r="C462" s="37" t="n"/>
      <c r="D462" s="10">
        <f>IF($C462="","",IF(COUNTIF(lst_Jobs,$C462&amp;"")&gt;0,"OK","CHECK"))</f>
        <v/>
      </c>
      <c r="E462" s="10">
        <f>IF($C462="","",IFERROR(INDEX(lst_JobName,MATCH($C462&amp;"",lst_Jobs,0)),""))</f>
        <v/>
      </c>
      <c r="F462" s="37" t="n"/>
      <c r="G462" s="37" t="n"/>
      <c r="H462" s="37" t="n"/>
      <c r="I462" s="37" t="n"/>
      <c r="J462" s="37" t="n"/>
      <c r="K462" s="38">
        <f>IF($C462="","",IFERROR(N(INDEX(tbl_Finance[Invoice Count],MATCH($X462,tbl_Finance[Row ID],0))),""))</f>
        <v/>
      </c>
      <c r="L462" s="11">
        <f>IF($C462="","",IFERROR(N(INDEX(tbl_Finance[Xero Invoiced Ex GST],MATCH($X462,tbl_Finance[Row ID],0))),""))</f>
        <v/>
      </c>
      <c r="M462" s="10">
        <f>IF($C462="","",IFERROR(INDEX(tbl_Finance[Compare],MATCH($X462,tbl_Finance[Row ID],0))&amp;"",""))</f>
        <v/>
      </c>
      <c r="N462" s="11">
        <f>IF($C462="","",MAX(0,N(O462)-N(L462)))</f>
        <v/>
      </c>
      <c r="O462" s="39" t="n"/>
      <c r="P462" s="40">
        <f>IF($C462="","",IF((IF(F462="",", Client","")&amp;IF(G462="",", Description","")&amp;IF(H462="",", Cost Centre","")&amp;IF(I462="",", Invoice Type","")&amp;IF(J462="",", Tax Code","")&amp;IF(O462="",", Expected Revenue","")&amp;IF(COUNTIF(tbl_Finance[Job Number],$C462&amp;"")&gt;1,", Job number used twice",""))="","Complete","Fix: "&amp;MID(IF(F462="",", Client","")&amp;IF(G462="",", Description","")&amp;IF(H462="",", Cost Centre","")&amp;IF(I462="",", Invoice Type","")&amp;IF(J462="",", Tax Code","")&amp;IF(O462="",", Expected Revenue","")&amp;IF(COUNTIF(tbl_Finance[Job Number],$C462&amp;"")&gt;1,", Job number used twice",""),3,300)))</f>
        <v/>
      </c>
      <c r="Q462" s="10">
        <f>IF($C462="","",IF(H462="","(no cost centre)",H462&amp;" - GL "&amp;IFERROR(INDEX(lst_CCtoGL,MATCH(H462,lst_CCforGL,0)),"?")))</f>
        <v/>
      </c>
      <c r="R462" s="37" t="n"/>
      <c r="S462" s="37" t="n"/>
      <c r="T462" s="10">
        <f>IF(S462="","",HYPERLINK(IF(LEFT(S462,4)="http",S462,set_QwilrBase&amp;S462),"Open quote"))</f>
        <v/>
      </c>
      <c r="U462" s="41" t="n"/>
      <c r="V462" s="37" t="n"/>
      <c r="W462" s="37" t="n"/>
      <c r="X462" s="10" t="inlineStr">
        <is>
          <t>ONS-0458</t>
        </is>
      </c>
    </row>
    <row r="463">
      <c r="A463" s="16">
        <f>IF($C463="","",IFERROR(IF(INDEX(tbl_Finance[Latest Invoice Date],MATCH($X463,tbl_Finance[Row ID],0))="","",INDEX(tbl_Finance[Latest Invoice Date],MATCH($X463,tbl_Finance[Row ID],0))),""))</f>
        <v/>
      </c>
      <c r="B463" s="10">
        <f>IF($C463="","",IFERROR(INDEX(tbl_Finance[Invoice Numbers],MATCH($X463,tbl_Finance[Row ID],0))&amp;"",""))</f>
        <v/>
      </c>
      <c r="C463" s="37" t="n"/>
      <c r="D463" s="10">
        <f>IF($C463="","",IF(COUNTIF(lst_Jobs,$C463&amp;"")&gt;0,"OK","CHECK"))</f>
        <v/>
      </c>
      <c r="E463" s="10">
        <f>IF($C463="","",IFERROR(INDEX(lst_JobName,MATCH($C463&amp;"",lst_Jobs,0)),""))</f>
        <v/>
      </c>
      <c r="F463" s="37" t="n"/>
      <c r="G463" s="37" t="n"/>
      <c r="H463" s="37" t="n"/>
      <c r="I463" s="37" t="n"/>
      <c r="J463" s="37" t="n"/>
      <c r="K463" s="38">
        <f>IF($C463="","",IFERROR(N(INDEX(tbl_Finance[Invoice Count],MATCH($X463,tbl_Finance[Row ID],0))),""))</f>
        <v/>
      </c>
      <c r="L463" s="11">
        <f>IF($C463="","",IFERROR(N(INDEX(tbl_Finance[Xero Invoiced Ex GST],MATCH($X463,tbl_Finance[Row ID],0))),""))</f>
        <v/>
      </c>
      <c r="M463" s="10">
        <f>IF($C463="","",IFERROR(INDEX(tbl_Finance[Compare],MATCH($X463,tbl_Finance[Row ID],0))&amp;"",""))</f>
        <v/>
      </c>
      <c r="N463" s="11">
        <f>IF($C463="","",MAX(0,N(O463)-N(L463)))</f>
        <v/>
      </c>
      <c r="O463" s="39" t="n"/>
      <c r="P463" s="40">
        <f>IF($C463="","",IF((IF(F463="",", Client","")&amp;IF(G463="",", Description","")&amp;IF(H463="",", Cost Centre","")&amp;IF(I463="",", Invoice Type","")&amp;IF(J463="",", Tax Code","")&amp;IF(O463="",", Expected Revenue","")&amp;IF(COUNTIF(tbl_Finance[Job Number],$C463&amp;"")&gt;1,", Job number used twice",""))="","Complete","Fix: "&amp;MID(IF(F463="",", Client","")&amp;IF(G463="",", Description","")&amp;IF(H463="",", Cost Centre","")&amp;IF(I463="",", Invoice Type","")&amp;IF(J463="",", Tax Code","")&amp;IF(O463="",", Expected Revenue","")&amp;IF(COUNTIF(tbl_Finance[Job Number],$C463&amp;"")&gt;1,", Job number used twice",""),3,300)))</f>
        <v/>
      </c>
      <c r="Q463" s="10">
        <f>IF($C463="","",IF(H463="","(no cost centre)",H463&amp;" - GL "&amp;IFERROR(INDEX(lst_CCtoGL,MATCH(H463,lst_CCforGL,0)),"?")))</f>
        <v/>
      </c>
      <c r="R463" s="37" t="n"/>
      <c r="S463" s="37" t="n"/>
      <c r="T463" s="10">
        <f>IF(S463="","",HYPERLINK(IF(LEFT(S463,4)="http",S463,set_QwilrBase&amp;S463),"Open quote"))</f>
        <v/>
      </c>
      <c r="U463" s="41" t="n"/>
      <c r="V463" s="37" t="n"/>
      <c r="W463" s="37" t="n"/>
      <c r="X463" s="10" t="inlineStr">
        <is>
          <t>ONS-0459</t>
        </is>
      </c>
    </row>
    <row r="464">
      <c r="A464" s="16">
        <f>IF($C464="","",IFERROR(IF(INDEX(tbl_Finance[Latest Invoice Date],MATCH($X464,tbl_Finance[Row ID],0))="","",INDEX(tbl_Finance[Latest Invoice Date],MATCH($X464,tbl_Finance[Row ID],0))),""))</f>
        <v/>
      </c>
      <c r="B464" s="10">
        <f>IF($C464="","",IFERROR(INDEX(tbl_Finance[Invoice Numbers],MATCH($X464,tbl_Finance[Row ID],0))&amp;"",""))</f>
        <v/>
      </c>
      <c r="C464" s="37" t="n"/>
      <c r="D464" s="10">
        <f>IF($C464="","",IF(COUNTIF(lst_Jobs,$C464&amp;"")&gt;0,"OK","CHECK"))</f>
        <v/>
      </c>
      <c r="E464" s="10">
        <f>IF($C464="","",IFERROR(INDEX(lst_JobName,MATCH($C464&amp;"",lst_Jobs,0)),""))</f>
        <v/>
      </c>
      <c r="F464" s="37" t="n"/>
      <c r="G464" s="37" t="n"/>
      <c r="H464" s="37" t="n"/>
      <c r="I464" s="37" t="n"/>
      <c r="J464" s="37" t="n"/>
      <c r="K464" s="38">
        <f>IF($C464="","",IFERROR(N(INDEX(tbl_Finance[Invoice Count],MATCH($X464,tbl_Finance[Row ID],0))),""))</f>
        <v/>
      </c>
      <c r="L464" s="11">
        <f>IF($C464="","",IFERROR(N(INDEX(tbl_Finance[Xero Invoiced Ex GST],MATCH($X464,tbl_Finance[Row ID],0))),""))</f>
        <v/>
      </c>
      <c r="M464" s="10">
        <f>IF($C464="","",IFERROR(INDEX(tbl_Finance[Compare],MATCH($X464,tbl_Finance[Row ID],0))&amp;"",""))</f>
        <v/>
      </c>
      <c r="N464" s="11">
        <f>IF($C464="","",MAX(0,N(O464)-N(L464)))</f>
        <v/>
      </c>
      <c r="O464" s="39" t="n"/>
      <c r="P464" s="40">
        <f>IF($C464="","",IF((IF(F464="",", Client","")&amp;IF(G464="",", Description","")&amp;IF(H464="",", Cost Centre","")&amp;IF(I464="",", Invoice Type","")&amp;IF(J464="",", Tax Code","")&amp;IF(O464="",", Expected Revenue","")&amp;IF(COUNTIF(tbl_Finance[Job Number],$C464&amp;"")&gt;1,", Job number used twice",""))="","Complete","Fix: "&amp;MID(IF(F464="",", Client","")&amp;IF(G464="",", Description","")&amp;IF(H464="",", Cost Centre","")&amp;IF(I464="",", Invoice Type","")&amp;IF(J464="",", Tax Code","")&amp;IF(O464="",", Expected Revenue","")&amp;IF(COUNTIF(tbl_Finance[Job Number],$C464&amp;"")&gt;1,", Job number used twice",""),3,300)))</f>
        <v/>
      </c>
      <c r="Q464" s="10">
        <f>IF($C464="","",IF(H464="","(no cost centre)",H464&amp;" - GL "&amp;IFERROR(INDEX(lst_CCtoGL,MATCH(H464,lst_CCforGL,0)),"?")))</f>
        <v/>
      </c>
      <c r="R464" s="37" t="n"/>
      <c r="S464" s="37" t="n"/>
      <c r="T464" s="10">
        <f>IF(S464="","",HYPERLINK(IF(LEFT(S464,4)="http",S464,set_QwilrBase&amp;S464),"Open quote"))</f>
        <v/>
      </c>
      <c r="U464" s="41" t="n"/>
      <c r="V464" s="37" t="n"/>
      <c r="W464" s="37" t="n"/>
      <c r="X464" s="10" t="inlineStr">
        <is>
          <t>ONS-0460</t>
        </is>
      </c>
    </row>
    <row r="465">
      <c r="A465" s="16">
        <f>IF($C465="","",IFERROR(IF(INDEX(tbl_Finance[Latest Invoice Date],MATCH($X465,tbl_Finance[Row ID],0))="","",INDEX(tbl_Finance[Latest Invoice Date],MATCH($X465,tbl_Finance[Row ID],0))),""))</f>
        <v/>
      </c>
      <c r="B465" s="10">
        <f>IF($C465="","",IFERROR(INDEX(tbl_Finance[Invoice Numbers],MATCH($X465,tbl_Finance[Row ID],0))&amp;"",""))</f>
        <v/>
      </c>
      <c r="C465" s="37" t="n"/>
      <c r="D465" s="10">
        <f>IF($C465="","",IF(COUNTIF(lst_Jobs,$C465&amp;"")&gt;0,"OK","CHECK"))</f>
        <v/>
      </c>
      <c r="E465" s="10">
        <f>IF($C465="","",IFERROR(INDEX(lst_JobName,MATCH($C465&amp;"",lst_Jobs,0)),""))</f>
        <v/>
      </c>
      <c r="F465" s="37" t="n"/>
      <c r="G465" s="37" t="n"/>
      <c r="H465" s="37" t="n"/>
      <c r="I465" s="37" t="n"/>
      <c r="J465" s="37" t="n"/>
      <c r="K465" s="38">
        <f>IF($C465="","",IFERROR(N(INDEX(tbl_Finance[Invoice Count],MATCH($X465,tbl_Finance[Row ID],0))),""))</f>
        <v/>
      </c>
      <c r="L465" s="11">
        <f>IF($C465="","",IFERROR(N(INDEX(tbl_Finance[Xero Invoiced Ex GST],MATCH($X465,tbl_Finance[Row ID],0))),""))</f>
        <v/>
      </c>
      <c r="M465" s="10">
        <f>IF($C465="","",IFERROR(INDEX(tbl_Finance[Compare],MATCH($X465,tbl_Finance[Row ID],0))&amp;"",""))</f>
        <v/>
      </c>
      <c r="N465" s="11">
        <f>IF($C465="","",MAX(0,N(O465)-N(L465)))</f>
        <v/>
      </c>
      <c r="O465" s="39" t="n"/>
      <c r="P465" s="40">
        <f>IF($C465="","",IF((IF(F465="",", Client","")&amp;IF(G465="",", Description","")&amp;IF(H465="",", Cost Centre","")&amp;IF(I465="",", Invoice Type","")&amp;IF(J465="",", Tax Code","")&amp;IF(O465="",", Expected Revenue","")&amp;IF(COUNTIF(tbl_Finance[Job Number],$C465&amp;"")&gt;1,", Job number used twice",""))="","Complete","Fix: "&amp;MID(IF(F465="",", Client","")&amp;IF(G465="",", Description","")&amp;IF(H465="",", Cost Centre","")&amp;IF(I465="",", Invoice Type","")&amp;IF(J465="",", Tax Code","")&amp;IF(O465="",", Expected Revenue","")&amp;IF(COUNTIF(tbl_Finance[Job Number],$C465&amp;"")&gt;1,", Job number used twice",""),3,300)))</f>
        <v/>
      </c>
      <c r="Q465" s="10">
        <f>IF($C465="","",IF(H465="","(no cost centre)",H465&amp;" - GL "&amp;IFERROR(INDEX(lst_CCtoGL,MATCH(H465,lst_CCforGL,0)),"?")))</f>
        <v/>
      </c>
      <c r="R465" s="37" t="n"/>
      <c r="S465" s="37" t="n"/>
      <c r="T465" s="10">
        <f>IF(S465="","",HYPERLINK(IF(LEFT(S465,4)="http",S465,set_QwilrBase&amp;S465),"Open quote"))</f>
        <v/>
      </c>
      <c r="U465" s="41" t="n"/>
      <c r="V465" s="37" t="n"/>
      <c r="W465" s="37" t="n"/>
      <c r="X465" s="10" t="inlineStr">
        <is>
          <t>ONS-0461</t>
        </is>
      </c>
    </row>
    <row r="466">
      <c r="A466" s="16">
        <f>IF($C466="","",IFERROR(IF(INDEX(tbl_Finance[Latest Invoice Date],MATCH($X466,tbl_Finance[Row ID],0))="","",INDEX(tbl_Finance[Latest Invoice Date],MATCH($X466,tbl_Finance[Row ID],0))),""))</f>
        <v/>
      </c>
      <c r="B466" s="10">
        <f>IF($C466="","",IFERROR(INDEX(tbl_Finance[Invoice Numbers],MATCH($X466,tbl_Finance[Row ID],0))&amp;"",""))</f>
        <v/>
      </c>
      <c r="C466" s="37" t="n"/>
      <c r="D466" s="10">
        <f>IF($C466="","",IF(COUNTIF(lst_Jobs,$C466&amp;"")&gt;0,"OK","CHECK"))</f>
        <v/>
      </c>
      <c r="E466" s="10">
        <f>IF($C466="","",IFERROR(INDEX(lst_JobName,MATCH($C466&amp;"",lst_Jobs,0)),""))</f>
        <v/>
      </c>
      <c r="F466" s="37" t="n"/>
      <c r="G466" s="37" t="n"/>
      <c r="H466" s="37" t="n"/>
      <c r="I466" s="37" t="n"/>
      <c r="J466" s="37" t="n"/>
      <c r="K466" s="38">
        <f>IF($C466="","",IFERROR(N(INDEX(tbl_Finance[Invoice Count],MATCH($X466,tbl_Finance[Row ID],0))),""))</f>
        <v/>
      </c>
      <c r="L466" s="11">
        <f>IF($C466="","",IFERROR(N(INDEX(tbl_Finance[Xero Invoiced Ex GST],MATCH($X466,tbl_Finance[Row ID],0))),""))</f>
        <v/>
      </c>
      <c r="M466" s="10">
        <f>IF($C466="","",IFERROR(INDEX(tbl_Finance[Compare],MATCH($X466,tbl_Finance[Row ID],0))&amp;"",""))</f>
        <v/>
      </c>
      <c r="N466" s="11">
        <f>IF($C466="","",MAX(0,N(O466)-N(L466)))</f>
        <v/>
      </c>
      <c r="O466" s="39" t="n"/>
      <c r="P466" s="40">
        <f>IF($C466="","",IF((IF(F466="",", Client","")&amp;IF(G466="",", Description","")&amp;IF(H466="",", Cost Centre","")&amp;IF(I466="",", Invoice Type","")&amp;IF(J466="",", Tax Code","")&amp;IF(O466="",", Expected Revenue","")&amp;IF(COUNTIF(tbl_Finance[Job Number],$C466&amp;"")&gt;1,", Job number used twice",""))="","Complete","Fix: "&amp;MID(IF(F466="",", Client","")&amp;IF(G466="",", Description","")&amp;IF(H466="",", Cost Centre","")&amp;IF(I466="",", Invoice Type","")&amp;IF(J466="",", Tax Code","")&amp;IF(O466="",", Expected Revenue","")&amp;IF(COUNTIF(tbl_Finance[Job Number],$C466&amp;"")&gt;1,", Job number used twice",""),3,300)))</f>
        <v/>
      </c>
      <c r="Q466" s="10">
        <f>IF($C466="","",IF(H466="","(no cost centre)",H466&amp;" - GL "&amp;IFERROR(INDEX(lst_CCtoGL,MATCH(H466,lst_CCforGL,0)),"?")))</f>
        <v/>
      </c>
      <c r="R466" s="37" t="n"/>
      <c r="S466" s="37" t="n"/>
      <c r="T466" s="10">
        <f>IF(S466="","",HYPERLINK(IF(LEFT(S466,4)="http",S466,set_QwilrBase&amp;S466),"Open quote"))</f>
        <v/>
      </c>
      <c r="U466" s="41" t="n"/>
      <c r="V466" s="37" t="n"/>
      <c r="W466" s="37" t="n"/>
      <c r="X466" s="10" t="inlineStr">
        <is>
          <t>ONS-0462</t>
        </is>
      </c>
    </row>
    <row r="467">
      <c r="A467" s="16">
        <f>IF($C467="","",IFERROR(IF(INDEX(tbl_Finance[Latest Invoice Date],MATCH($X467,tbl_Finance[Row ID],0))="","",INDEX(tbl_Finance[Latest Invoice Date],MATCH($X467,tbl_Finance[Row ID],0))),""))</f>
        <v/>
      </c>
      <c r="B467" s="10">
        <f>IF($C467="","",IFERROR(INDEX(tbl_Finance[Invoice Numbers],MATCH($X467,tbl_Finance[Row ID],0))&amp;"",""))</f>
        <v/>
      </c>
      <c r="C467" s="37" t="n"/>
      <c r="D467" s="10">
        <f>IF($C467="","",IF(COUNTIF(lst_Jobs,$C467&amp;"")&gt;0,"OK","CHECK"))</f>
        <v/>
      </c>
      <c r="E467" s="10">
        <f>IF($C467="","",IFERROR(INDEX(lst_JobName,MATCH($C467&amp;"",lst_Jobs,0)),""))</f>
        <v/>
      </c>
      <c r="F467" s="37" t="n"/>
      <c r="G467" s="37" t="n"/>
      <c r="H467" s="37" t="n"/>
      <c r="I467" s="37" t="n"/>
      <c r="J467" s="37" t="n"/>
      <c r="K467" s="38">
        <f>IF($C467="","",IFERROR(N(INDEX(tbl_Finance[Invoice Count],MATCH($X467,tbl_Finance[Row ID],0))),""))</f>
        <v/>
      </c>
      <c r="L467" s="11">
        <f>IF($C467="","",IFERROR(N(INDEX(tbl_Finance[Xero Invoiced Ex GST],MATCH($X467,tbl_Finance[Row ID],0))),""))</f>
        <v/>
      </c>
      <c r="M467" s="10">
        <f>IF($C467="","",IFERROR(INDEX(tbl_Finance[Compare],MATCH($X467,tbl_Finance[Row ID],0))&amp;"",""))</f>
        <v/>
      </c>
      <c r="N467" s="11">
        <f>IF($C467="","",MAX(0,N(O467)-N(L467)))</f>
        <v/>
      </c>
      <c r="O467" s="39" t="n"/>
      <c r="P467" s="40">
        <f>IF($C467="","",IF((IF(F467="",", Client","")&amp;IF(G467="",", Description","")&amp;IF(H467="",", Cost Centre","")&amp;IF(I467="",", Invoice Type","")&amp;IF(J467="",", Tax Code","")&amp;IF(O467="",", Expected Revenue","")&amp;IF(COUNTIF(tbl_Finance[Job Number],$C467&amp;"")&gt;1,", Job number used twice",""))="","Complete","Fix: "&amp;MID(IF(F467="",", Client","")&amp;IF(G467="",", Description","")&amp;IF(H467="",", Cost Centre","")&amp;IF(I467="",", Invoice Type","")&amp;IF(J467="",", Tax Code","")&amp;IF(O467="",", Expected Revenue","")&amp;IF(COUNTIF(tbl_Finance[Job Number],$C467&amp;"")&gt;1,", Job number used twice",""),3,300)))</f>
        <v/>
      </c>
      <c r="Q467" s="10">
        <f>IF($C467="","",IF(H467="","(no cost centre)",H467&amp;" - GL "&amp;IFERROR(INDEX(lst_CCtoGL,MATCH(H467,lst_CCforGL,0)),"?")))</f>
        <v/>
      </c>
      <c r="R467" s="37" t="n"/>
      <c r="S467" s="37" t="n"/>
      <c r="T467" s="10">
        <f>IF(S467="","",HYPERLINK(IF(LEFT(S467,4)="http",S467,set_QwilrBase&amp;S467),"Open quote"))</f>
        <v/>
      </c>
      <c r="U467" s="41" t="n"/>
      <c r="V467" s="37" t="n"/>
      <c r="W467" s="37" t="n"/>
      <c r="X467" s="10" t="inlineStr">
        <is>
          <t>ONS-0463</t>
        </is>
      </c>
    </row>
    <row r="468">
      <c r="A468" s="16">
        <f>IF($C468="","",IFERROR(IF(INDEX(tbl_Finance[Latest Invoice Date],MATCH($X468,tbl_Finance[Row ID],0))="","",INDEX(tbl_Finance[Latest Invoice Date],MATCH($X468,tbl_Finance[Row ID],0))),""))</f>
        <v/>
      </c>
      <c r="B468" s="10">
        <f>IF($C468="","",IFERROR(INDEX(tbl_Finance[Invoice Numbers],MATCH($X468,tbl_Finance[Row ID],0))&amp;"",""))</f>
        <v/>
      </c>
      <c r="C468" s="37" t="n"/>
      <c r="D468" s="10">
        <f>IF($C468="","",IF(COUNTIF(lst_Jobs,$C468&amp;"")&gt;0,"OK","CHECK"))</f>
        <v/>
      </c>
      <c r="E468" s="10">
        <f>IF($C468="","",IFERROR(INDEX(lst_JobName,MATCH($C468&amp;"",lst_Jobs,0)),""))</f>
        <v/>
      </c>
      <c r="F468" s="37" t="n"/>
      <c r="G468" s="37" t="n"/>
      <c r="H468" s="37" t="n"/>
      <c r="I468" s="37" t="n"/>
      <c r="J468" s="37" t="n"/>
      <c r="K468" s="38">
        <f>IF($C468="","",IFERROR(N(INDEX(tbl_Finance[Invoice Count],MATCH($X468,tbl_Finance[Row ID],0))),""))</f>
        <v/>
      </c>
      <c r="L468" s="11">
        <f>IF($C468="","",IFERROR(N(INDEX(tbl_Finance[Xero Invoiced Ex GST],MATCH($X468,tbl_Finance[Row ID],0))),""))</f>
        <v/>
      </c>
      <c r="M468" s="10">
        <f>IF($C468="","",IFERROR(INDEX(tbl_Finance[Compare],MATCH($X468,tbl_Finance[Row ID],0))&amp;"",""))</f>
        <v/>
      </c>
      <c r="N468" s="11">
        <f>IF($C468="","",MAX(0,N(O468)-N(L468)))</f>
        <v/>
      </c>
      <c r="O468" s="39" t="n"/>
      <c r="P468" s="40">
        <f>IF($C468="","",IF((IF(F468="",", Client","")&amp;IF(G468="",", Description","")&amp;IF(H468="",", Cost Centre","")&amp;IF(I468="",", Invoice Type","")&amp;IF(J468="",", Tax Code","")&amp;IF(O468="",", Expected Revenue","")&amp;IF(COUNTIF(tbl_Finance[Job Number],$C468&amp;"")&gt;1,", Job number used twice",""))="","Complete","Fix: "&amp;MID(IF(F468="",", Client","")&amp;IF(G468="",", Description","")&amp;IF(H468="",", Cost Centre","")&amp;IF(I468="",", Invoice Type","")&amp;IF(J468="",", Tax Code","")&amp;IF(O468="",", Expected Revenue","")&amp;IF(COUNTIF(tbl_Finance[Job Number],$C468&amp;"")&gt;1,", Job number used twice",""),3,300)))</f>
        <v/>
      </c>
      <c r="Q468" s="10">
        <f>IF($C468="","",IF(H468="","(no cost centre)",H468&amp;" - GL "&amp;IFERROR(INDEX(lst_CCtoGL,MATCH(H468,lst_CCforGL,0)),"?")))</f>
        <v/>
      </c>
      <c r="R468" s="37" t="n"/>
      <c r="S468" s="37" t="n"/>
      <c r="T468" s="10">
        <f>IF(S468="","",HYPERLINK(IF(LEFT(S468,4)="http",S468,set_QwilrBase&amp;S468),"Open quote"))</f>
        <v/>
      </c>
      <c r="U468" s="41" t="n"/>
      <c r="V468" s="37" t="n"/>
      <c r="W468" s="37" t="n"/>
      <c r="X468" s="10" t="inlineStr">
        <is>
          <t>ONS-0464</t>
        </is>
      </c>
    </row>
    <row r="469">
      <c r="A469" s="16">
        <f>IF($C469="","",IFERROR(IF(INDEX(tbl_Finance[Latest Invoice Date],MATCH($X469,tbl_Finance[Row ID],0))="","",INDEX(tbl_Finance[Latest Invoice Date],MATCH($X469,tbl_Finance[Row ID],0))),""))</f>
        <v/>
      </c>
      <c r="B469" s="10">
        <f>IF($C469="","",IFERROR(INDEX(tbl_Finance[Invoice Numbers],MATCH($X469,tbl_Finance[Row ID],0))&amp;"",""))</f>
        <v/>
      </c>
      <c r="C469" s="37" t="n"/>
      <c r="D469" s="10">
        <f>IF($C469="","",IF(COUNTIF(lst_Jobs,$C469&amp;"")&gt;0,"OK","CHECK"))</f>
        <v/>
      </c>
      <c r="E469" s="10">
        <f>IF($C469="","",IFERROR(INDEX(lst_JobName,MATCH($C469&amp;"",lst_Jobs,0)),""))</f>
        <v/>
      </c>
      <c r="F469" s="37" t="n"/>
      <c r="G469" s="37" t="n"/>
      <c r="H469" s="37" t="n"/>
      <c r="I469" s="37" t="n"/>
      <c r="J469" s="37" t="n"/>
      <c r="K469" s="38">
        <f>IF($C469="","",IFERROR(N(INDEX(tbl_Finance[Invoice Count],MATCH($X469,tbl_Finance[Row ID],0))),""))</f>
        <v/>
      </c>
      <c r="L469" s="11">
        <f>IF($C469="","",IFERROR(N(INDEX(tbl_Finance[Xero Invoiced Ex GST],MATCH($X469,tbl_Finance[Row ID],0))),""))</f>
        <v/>
      </c>
      <c r="M469" s="10">
        <f>IF($C469="","",IFERROR(INDEX(tbl_Finance[Compare],MATCH($X469,tbl_Finance[Row ID],0))&amp;"",""))</f>
        <v/>
      </c>
      <c r="N469" s="11">
        <f>IF($C469="","",MAX(0,N(O469)-N(L469)))</f>
        <v/>
      </c>
      <c r="O469" s="39" t="n"/>
      <c r="P469" s="40">
        <f>IF($C469="","",IF((IF(F469="",", Client","")&amp;IF(G469="",", Description","")&amp;IF(H469="",", Cost Centre","")&amp;IF(I469="",", Invoice Type","")&amp;IF(J469="",", Tax Code","")&amp;IF(O469="",", Expected Revenue","")&amp;IF(COUNTIF(tbl_Finance[Job Number],$C469&amp;"")&gt;1,", Job number used twice",""))="","Complete","Fix: "&amp;MID(IF(F469="",", Client","")&amp;IF(G469="",", Description","")&amp;IF(H469="",", Cost Centre","")&amp;IF(I469="",", Invoice Type","")&amp;IF(J469="",", Tax Code","")&amp;IF(O469="",", Expected Revenue","")&amp;IF(COUNTIF(tbl_Finance[Job Number],$C469&amp;"")&gt;1,", Job number used twice",""),3,300)))</f>
        <v/>
      </c>
      <c r="Q469" s="10">
        <f>IF($C469="","",IF(H469="","(no cost centre)",H469&amp;" - GL "&amp;IFERROR(INDEX(lst_CCtoGL,MATCH(H469,lst_CCforGL,0)),"?")))</f>
        <v/>
      </c>
      <c r="R469" s="37" t="n"/>
      <c r="S469" s="37" t="n"/>
      <c r="T469" s="10">
        <f>IF(S469="","",HYPERLINK(IF(LEFT(S469,4)="http",S469,set_QwilrBase&amp;S469),"Open quote"))</f>
        <v/>
      </c>
      <c r="U469" s="41" t="n"/>
      <c r="V469" s="37" t="n"/>
      <c r="W469" s="37" t="n"/>
      <c r="X469" s="10" t="inlineStr">
        <is>
          <t>ONS-0465</t>
        </is>
      </c>
    </row>
    <row r="470">
      <c r="A470" s="16">
        <f>IF($C470="","",IFERROR(IF(INDEX(tbl_Finance[Latest Invoice Date],MATCH($X470,tbl_Finance[Row ID],0))="","",INDEX(tbl_Finance[Latest Invoice Date],MATCH($X470,tbl_Finance[Row ID],0))),""))</f>
        <v/>
      </c>
      <c r="B470" s="10">
        <f>IF($C470="","",IFERROR(INDEX(tbl_Finance[Invoice Numbers],MATCH($X470,tbl_Finance[Row ID],0))&amp;"",""))</f>
        <v/>
      </c>
      <c r="C470" s="37" t="n"/>
      <c r="D470" s="10">
        <f>IF($C470="","",IF(COUNTIF(lst_Jobs,$C470&amp;"")&gt;0,"OK","CHECK"))</f>
        <v/>
      </c>
      <c r="E470" s="10">
        <f>IF($C470="","",IFERROR(INDEX(lst_JobName,MATCH($C470&amp;"",lst_Jobs,0)),""))</f>
        <v/>
      </c>
      <c r="F470" s="37" t="n"/>
      <c r="G470" s="37" t="n"/>
      <c r="H470" s="37" t="n"/>
      <c r="I470" s="37" t="n"/>
      <c r="J470" s="37" t="n"/>
      <c r="K470" s="38">
        <f>IF($C470="","",IFERROR(N(INDEX(tbl_Finance[Invoice Count],MATCH($X470,tbl_Finance[Row ID],0))),""))</f>
        <v/>
      </c>
      <c r="L470" s="11">
        <f>IF($C470="","",IFERROR(N(INDEX(tbl_Finance[Xero Invoiced Ex GST],MATCH($X470,tbl_Finance[Row ID],0))),""))</f>
        <v/>
      </c>
      <c r="M470" s="10">
        <f>IF($C470="","",IFERROR(INDEX(tbl_Finance[Compare],MATCH($X470,tbl_Finance[Row ID],0))&amp;"",""))</f>
        <v/>
      </c>
      <c r="N470" s="11">
        <f>IF($C470="","",MAX(0,N(O470)-N(L470)))</f>
        <v/>
      </c>
      <c r="O470" s="39" t="n"/>
      <c r="P470" s="40">
        <f>IF($C470="","",IF((IF(F470="",", Client","")&amp;IF(G470="",", Description","")&amp;IF(H470="",", Cost Centre","")&amp;IF(I470="",", Invoice Type","")&amp;IF(J470="",", Tax Code","")&amp;IF(O470="",", Expected Revenue","")&amp;IF(COUNTIF(tbl_Finance[Job Number],$C470&amp;"")&gt;1,", Job number used twice",""))="","Complete","Fix: "&amp;MID(IF(F470="",", Client","")&amp;IF(G470="",", Description","")&amp;IF(H470="",", Cost Centre","")&amp;IF(I470="",", Invoice Type","")&amp;IF(J470="",", Tax Code","")&amp;IF(O470="",", Expected Revenue","")&amp;IF(COUNTIF(tbl_Finance[Job Number],$C470&amp;"")&gt;1,", Job number used twice",""),3,300)))</f>
        <v/>
      </c>
      <c r="Q470" s="10">
        <f>IF($C470="","",IF(H470="","(no cost centre)",H470&amp;" - GL "&amp;IFERROR(INDEX(lst_CCtoGL,MATCH(H470,lst_CCforGL,0)),"?")))</f>
        <v/>
      </c>
      <c r="R470" s="37" t="n"/>
      <c r="S470" s="37" t="n"/>
      <c r="T470" s="10">
        <f>IF(S470="","",HYPERLINK(IF(LEFT(S470,4)="http",S470,set_QwilrBase&amp;S470),"Open quote"))</f>
        <v/>
      </c>
      <c r="U470" s="41" t="n"/>
      <c r="V470" s="37" t="n"/>
      <c r="W470" s="37" t="n"/>
      <c r="X470" s="10" t="inlineStr">
        <is>
          <t>ONS-0466</t>
        </is>
      </c>
    </row>
    <row r="471">
      <c r="A471" s="16">
        <f>IF($C471="","",IFERROR(IF(INDEX(tbl_Finance[Latest Invoice Date],MATCH($X471,tbl_Finance[Row ID],0))="","",INDEX(tbl_Finance[Latest Invoice Date],MATCH($X471,tbl_Finance[Row ID],0))),""))</f>
        <v/>
      </c>
      <c r="B471" s="10">
        <f>IF($C471="","",IFERROR(INDEX(tbl_Finance[Invoice Numbers],MATCH($X471,tbl_Finance[Row ID],0))&amp;"",""))</f>
        <v/>
      </c>
      <c r="C471" s="37" t="n"/>
      <c r="D471" s="10">
        <f>IF($C471="","",IF(COUNTIF(lst_Jobs,$C471&amp;"")&gt;0,"OK","CHECK"))</f>
        <v/>
      </c>
      <c r="E471" s="10">
        <f>IF($C471="","",IFERROR(INDEX(lst_JobName,MATCH($C471&amp;"",lst_Jobs,0)),""))</f>
        <v/>
      </c>
      <c r="F471" s="37" t="n"/>
      <c r="G471" s="37" t="n"/>
      <c r="H471" s="37" t="n"/>
      <c r="I471" s="37" t="n"/>
      <c r="J471" s="37" t="n"/>
      <c r="K471" s="38">
        <f>IF($C471="","",IFERROR(N(INDEX(tbl_Finance[Invoice Count],MATCH($X471,tbl_Finance[Row ID],0))),""))</f>
        <v/>
      </c>
      <c r="L471" s="11">
        <f>IF($C471="","",IFERROR(N(INDEX(tbl_Finance[Xero Invoiced Ex GST],MATCH($X471,tbl_Finance[Row ID],0))),""))</f>
        <v/>
      </c>
      <c r="M471" s="10">
        <f>IF($C471="","",IFERROR(INDEX(tbl_Finance[Compare],MATCH($X471,tbl_Finance[Row ID],0))&amp;"",""))</f>
        <v/>
      </c>
      <c r="N471" s="11">
        <f>IF($C471="","",MAX(0,N(O471)-N(L471)))</f>
        <v/>
      </c>
      <c r="O471" s="39" t="n"/>
      <c r="P471" s="40">
        <f>IF($C471="","",IF((IF(F471="",", Client","")&amp;IF(G471="",", Description","")&amp;IF(H471="",", Cost Centre","")&amp;IF(I471="",", Invoice Type","")&amp;IF(J471="",", Tax Code","")&amp;IF(O471="",", Expected Revenue","")&amp;IF(COUNTIF(tbl_Finance[Job Number],$C471&amp;"")&gt;1,", Job number used twice",""))="","Complete","Fix: "&amp;MID(IF(F471="",", Client","")&amp;IF(G471="",", Description","")&amp;IF(H471="",", Cost Centre","")&amp;IF(I471="",", Invoice Type","")&amp;IF(J471="",", Tax Code","")&amp;IF(O471="",", Expected Revenue","")&amp;IF(COUNTIF(tbl_Finance[Job Number],$C471&amp;"")&gt;1,", Job number used twice",""),3,300)))</f>
        <v/>
      </c>
      <c r="Q471" s="10">
        <f>IF($C471="","",IF(H471="","(no cost centre)",H471&amp;" - GL "&amp;IFERROR(INDEX(lst_CCtoGL,MATCH(H471,lst_CCforGL,0)),"?")))</f>
        <v/>
      </c>
      <c r="R471" s="37" t="n"/>
      <c r="S471" s="37" t="n"/>
      <c r="T471" s="10">
        <f>IF(S471="","",HYPERLINK(IF(LEFT(S471,4)="http",S471,set_QwilrBase&amp;S471),"Open quote"))</f>
        <v/>
      </c>
      <c r="U471" s="41" t="n"/>
      <c r="V471" s="37" t="n"/>
      <c r="W471" s="37" t="n"/>
      <c r="X471" s="10" t="inlineStr">
        <is>
          <t>ONS-0467</t>
        </is>
      </c>
    </row>
    <row r="472">
      <c r="A472" s="16">
        <f>IF($C472="","",IFERROR(IF(INDEX(tbl_Finance[Latest Invoice Date],MATCH($X472,tbl_Finance[Row ID],0))="","",INDEX(tbl_Finance[Latest Invoice Date],MATCH($X472,tbl_Finance[Row ID],0))),""))</f>
        <v/>
      </c>
      <c r="B472" s="10">
        <f>IF($C472="","",IFERROR(INDEX(tbl_Finance[Invoice Numbers],MATCH($X472,tbl_Finance[Row ID],0))&amp;"",""))</f>
        <v/>
      </c>
      <c r="C472" s="37" t="n"/>
      <c r="D472" s="10">
        <f>IF($C472="","",IF(COUNTIF(lst_Jobs,$C472&amp;"")&gt;0,"OK","CHECK"))</f>
        <v/>
      </c>
      <c r="E472" s="10">
        <f>IF($C472="","",IFERROR(INDEX(lst_JobName,MATCH($C472&amp;"",lst_Jobs,0)),""))</f>
        <v/>
      </c>
      <c r="F472" s="37" t="n"/>
      <c r="G472" s="37" t="n"/>
      <c r="H472" s="37" t="n"/>
      <c r="I472" s="37" t="n"/>
      <c r="J472" s="37" t="n"/>
      <c r="K472" s="38">
        <f>IF($C472="","",IFERROR(N(INDEX(tbl_Finance[Invoice Count],MATCH($X472,tbl_Finance[Row ID],0))),""))</f>
        <v/>
      </c>
      <c r="L472" s="11">
        <f>IF($C472="","",IFERROR(N(INDEX(tbl_Finance[Xero Invoiced Ex GST],MATCH($X472,tbl_Finance[Row ID],0))),""))</f>
        <v/>
      </c>
      <c r="M472" s="10">
        <f>IF($C472="","",IFERROR(INDEX(tbl_Finance[Compare],MATCH($X472,tbl_Finance[Row ID],0))&amp;"",""))</f>
        <v/>
      </c>
      <c r="N472" s="11">
        <f>IF($C472="","",MAX(0,N(O472)-N(L472)))</f>
        <v/>
      </c>
      <c r="O472" s="39" t="n"/>
      <c r="P472" s="40">
        <f>IF($C472="","",IF((IF(F472="",", Client","")&amp;IF(G472="",", Description","")&amp;IF(H472="",", Cost Centre","")&amp;IF(I472="",", Invoice Type","")&amp;IF(J472="",", Tax Code","")&amp;IF(O472="",", Expected Revenue","")&amp;IF(COUNTIF(tbl_Finance[Job Number],$C472&amp;"")&gt;1,", Job number used twice",""))="","Complete","Fix: "&amp;MID(IF(F472="",", Client","")&amp;IF(G472="",", Description","")&amp;IF(H472="",", Cost Centre","")&amp;IF(I472="",", Invoice Type","")&amp;IF(J472="",", Tax Code","")&amp;IF(O472="",", Expected Revenue","")&amp;IF(COUNTIF(tbl_Finance[Job Number],$C472&amp;"")&gt;1,", Job number used twice",""),3,300)))</f>
        <v/>
      </c>
      <c r="Q472" s="10">
        <f>IF($C472="","",IF(H472="","(no cost centre)",H472&amp;" - GL "&amp;IFERROR(INDEX(lst_CCtoGL,MATCH(H472,lst_CCforGL,0)),"?")))</f>
        <v/>
      </c>
      <c r="R472" s="37" t="n"/>
      <c r="S472" s="37" t="n"/>
      <c r="T472" s="10">
        <f>IF(S472="","",HYPERLINK(IF(LEFT(S472,4)="http",S472,set_QwilrBase&amp;S472),"Open quote"))</f>
        <v/>
      </c>
      <c r="U472" s="41" t="n"/>
      <c r="V472" s="37" t="n"/>
      <c r="W472" s="37" t="n"/>
      <c r="X472" s="10" t="inlineStr">
        <is>
          <t>ONS-0468</t>
        </is>
      </c>
    </row>
    <row r="473">
      <c r="A473" s="16">
        <f>IF($C473="","",IFERROR(IF(INDEX(tbl_Finance[Latest Invoice Date],MATCH($X473,tbl_Finance[Row ID],0))="","",INDEX(tbl_Finance[Latest Invoice Date],MATCH($X473,tbl_Finance[Row ID],0))),""))</f>
        <v/>
      </c>
      <c r="B473" s="10">
        <f>IF($C473="","",IFERROR(INDEX(tbl_Finance[Invoice Numbers],MATCH($X473,tbl_Finance[Row ID],0))&amp;"",""))</f>
        <v/>
      </c>
      <c r="C473" s="37" t="n"/>
      <c r="D473" s="10">
        <f>IF($C473="","",IF(COUNTIF(lst_Jobs,$C473&amp;"")&gt;0,"OK","CHECK"))</f>
        <v/>
      </c>
      <c r="E473" s="10">
        <f>IF($C473="","",IFERROR(INDEX(lst_JobName,MATCH($C473&amp;"",lst_Jobs,0)),""))</f>
        <v/>
      </c>
      <c r="F473" s="37" t="n"/>
      <c r="G473" s="37" t="n"/>
      <c r="H473" s="37" t="n"/>
      <c r="I473" s="37" t="n"/>
      <c r="J473" s="37" t="n"/>
      <c r="K473" s="38">
        <f>IF($C473="","",IFERROR(N(INDEX(tbl_Finance[Invoice Count],MATCH($X473,tbl_Finance[Row ID],0))),""))</f>
        <v/>
      </c>
      <c r="L473" s="11">
        <f>IF($C473="","",IFERROR(N(INDEX(tbl_Finance[Xero Invoiced Ex GST],MATCH($X473,tbl_Finance[Row ID],0))),""))</f>
        <v/>
      </c>
      <c r="M473" s="10">
        <f>IF($C473="","",IFERROR(INDEX(tbl_Finance[Compare],MATCH($X473,tbl_Finance[Row ID],0))&amp;"",""))</f>
        <v/>
      </c>
      <c r="N473" s="11">
        <f>IF($C473="","",MAX(0,N(O473)-N(L473)))</f>
        <v/>
      </c>
      <c r="O473" s="39" t="n"/>
      <c r="P473" s="40">
        <f>IF($C473="","",IF((IF(F473="",", Client","")&amp;IF(G473="",", Description","")&amp;IF(H473="",", Cost Centre","")&amp;IF(I473="",", Invoice Type","")&amp;IF(J473="",", Tax Code","")&amp;IF(O473="",", Expected Revenue","")&amp;IF(COUNTIF(tbl_Finance[Job Number],$C473&amp;"")&gt;1,", Job number used twice",""))="","Complete","Fix: "&amp;MID(IF(F473="",", Client","")&amp;IF(G473="",", Description","")&amp;IF(H473="",", Cost Centre","")&amp;IF(I473="",", Invoice Type","")&amp;IF(J473="",", Tax Code","")&amp;IF(O473="",", Expected Revenue","")&amp;IF(COUNTIF(tbl_Finance[Job Number],$C473&amp;"")&gt;1,", Job number used twice",""),3,300)))</f>
        <v/>
      </c>
      <c r="Q473" s="10">
        <f>IF($C473="","",IF(H473="","(no cost centre)",H473&amp;" - GL "&amp;IFERROR(INDEX(lst_CCtoGL,MATCH(H473,lst_CCforGL,0)),"?")))</f>
        <v/>
      </c>
      <c r="R473" s="37" t="n"/>
      <c r="S473" s="37" t="n"/>
      <c r="T473" s="10">
        <f>IF(S473="","",HYPERLINK(IF(LEFT(S473,4)="http",S473,set_QwilrBase&amp;S473),"Open quote"))</f>
        <v/>
      </c>
      <c r="U473" s="41" t="n"/>
      <c r="V473" s="37" t="n"/>
      <c r="W473" s="37" t="n"/>
      <c r="X473" s="10" t="inlineStr">
        <is>
          <t>ONS-0469</t>
        </is>
      </c>
    </row>
    <row r="474">
      <c r="A474" s="16">
        <f>IF($C474="","",IFERROR(IF(INDEX(tbl_Finance[Latest Invoice Date],MATCH($X474,tbl_Finance[Row ID],0))="","",INDEX(tbl_Finance[Latest Invoice Date],MATCH($X474,tbl_Finance[Row ID],0))),""))</f>
        <v/>
      </c>
      <c r="B474" s="10">
        <f>IF($C474="","",IFERROR(INDEX(tbl_Finance[Invoice Numbers],MATCH($X474,tbl_Finance[Row ID],0))&amp;"",""))</f>
        <v/>
      </c>
      <c r="C474" s="37" t="n"/>
      <c r="D474" s="10">
        <f>IF($C474="","",IF(COUNTIF(lst_Jobs,$C474&amp;"")&gt;0,"OK","CHECK"))</f>
        <v/>
      </c>
      <c r="E474" s="10">
        <f>IF($C474="","",IFERROR(INDEX(lst_JobName,MATCH($C474&amp;"",lst_Jobs,0)),""))</f>
        <v/>
      </c>
      <c r="F474" s="37" t="n"/>
      <c r="G474" s="37" t="n"/>
      <c r="H474" s="37" t="n"/>
      <c r="I474" s="37" t="n"/>
      <c r="J474" s="37" t="n"/>
      <c r="K474" s="38">
        <f>IF($C474="","",IFERROR(N(INDEX(tbl_Finance[Invoice Count],MATCH($X474,tbl_Finance[Row ID],0))),""))</f>
        <v/>
      </c>
      <c r="L474" s="11">
        <f>IF($C474="","",IFERROR(N(INDEX(tbl_Finance[Xero Invoiced Ex GST],MATCH($X474,tbl_Finance[Row ID],0))),""))</f>
        <v/>
      </c>
      <c r="M474" s="10">
        <f>IF($C474="","",IFERROR(INDEX(tbl_Finance[Compare],MATCH($X474,tbl_Finance[Row ID],0))&amp;"",""))</f>
        <v/>
      </c>
      <c r="N474" s="11">
        <f>IF($C474="","",MAX(0,N(O474)-N(L474)))</f>
        <v/>
      </c>
      <c r="O474" s="39" t="n"/>
      <c r="P474" s="40">
        <f>IF($C474="","",IF((IF(F474="",", Client","")&amp;IF(G474="",", Description","")&amp;IF(H474="",", Cost Centre","")&amp;IF(I474="",", Invoice Type","")&amp;IF(J474="",", Tax Code","")&amp;IF(O474="",", Expected Revenue","")&amp;IF(COUNTIF(tbl_Finance[Job Number],$C474&amp;"")&gt;1,", Job number used twice",""))="","Complete","Fix: "&amp;MID(IF(F474="",", Client","")&amp;IF(G474="",", Description","")&amp;IF(H474="",", Cost Centre","")&amp;IF(I474="",", Invoice Type","")&amp;IF(J474="",", Tax Code","")&amp;IF(O474="",", Expected Revenue","")&amp;IF(COUNTIF(tbl_Finance[Job Number],$C474&amp;"")&gt;1,", Job number used twice",""),3,300)))</f>
        <v/>
      </c>
      <c r="Q474" s="10">
        <f>IF($C474="","",IF(H474="","(no cost centre)",H474&amp;" - GL "&amp;IFERROR(INDEX(lst_CCtoGL,MATCH(H474,lst_CCforGL,0)),"?")))</f>
        <v/>
      </c>
      <c r="R474" s="37" t="n"/>
      <c r="S474" s="37" t="n"/>
      <c r="T474" s="10">
        <f>IF(S474="","",HYPERLINK(IF(LEFT(S474,4)="http",S474,set_QwilrBase&amp;S474),"Open quote"))</f>
        <v/>
      </c>
      <c r="U474" s="41" t="n"/>
      <c r="V474" s="37" t="n"/>
      <c r="W474" s="37" t="n"/>
      <c r="X474" s="10" t="inlineStr">
        <is>
          <t>ONS-0470</t>
        </is>
      </c>
    </row>
    <row r="475">
      <c r="A475" s="16">
        <f>IF($C475="","",IFERROR(IF(INDEX(tbl_Finance[Latest Invoice Date],MATCH($X475,tbl_Finance[Row ID],0))="","",INDEX(tbl_Finance[Latest Invoice Date],MATCH($X475,tbl_Finance[Row ID],0))),""))</f>
        <v/>
      </c>
      <c r="B475" s="10">
        <f>IF($C475="","",IFERROR(INDEX(tbl_Finance[Invoice Numbers],MATCH($X475,tbl_Finance[Row ID],0))&amp;"",""))</f>
        <v/>
      </c>
      <c r="C475" s="37" t="n"/>
      <c r="D475" s="10">
        <f>IF($C475="","",IF(COUNTIF(lst_Jobs,$C475&amp;"")&gt;0,"OK","CHECK"))</f>
        <v/>
      </c>
      <c r="E475" s="10">
        <f>IF($C475="","",IFERROR(INDEX(lst_JobName,MATCH($C475&amp;"",lst_Jobs,0)),""))</f>
        <v/>
      </c>
      <c r="F475" s="37" t="n"/>
      <c r="G475" s="37" t="n"/>
      <c r="H475" s="37" t="n"/>
      <c r="I475" s="37" t="n"/>
      <c r="J475" s="37" t="n"/>
      <c r="K475" s="38">
        <f>IF($C475="","",IFERROR(N(INDEX(tbl_Finance[Invoice Count],MATCH($X475,tbl_Finance[Row ID],0))),""))</f>
        <v/>
      </c>
      <c r="L475" s="11">
        <f>IF($C475="","",IFERROR(N(INDEX(tbl_Finance[Xero Invoiced Ex GST],MATCH($X475,tbl_Finance[Row ID],0))),""))</f>
        <v/>
      </c>
      <c r="M475" s="10">
        <f>IF($C475="","",IFERROR(INDEX(tbl_Finance[Compare],MATCH($X475,tbl_Finance[Row ID],0))&amp;"",""))</f>
        <v/>
      </c>
      <c r="N475" s="11">
        <f>IF($C475="","",MAX(0,N(O475)-N(L475)))</f>
        <v/>
      </c>
      <c r="O475" s="39" t="n"/>
      <c r="P475" s="40">
        <f>IF($C475="","",IF((IF(F475="",", Client","")&amp;IF(G475="",", Description","")&amp;IF(H475="",", Cost Centre","")&amp;IF(I475="",", Invoice Type","")&amp;IF(J475="",", Tax Code","")&amp;IF(O475="",", Expected Revenue","")&amp;IF(COUNTIF(tbl_Finance[Job Number],$C475&amp;"")&gt;1,", Job number used twice",""))="","Complete","Fix: "&amp;MID(IF(F475="",", Client","")&amp;IF(G475="",", Description","")&amp;IF(H475="",", Cost Centre","")&amp;IF(I475="",", Invoice Type","")&amp;IF(J475="",", Tax Code","")&amp;IF(O475="",", Expected Revenue","")&amp;IF(COUNTIF(tbl_Finance[Job Number],$C475&amp;"")&gt;1,", Job number used twice",""),3,300)))</f>
        <v/>
      </c>
      <c r="Q475" s="10">
        <f>IF($C475="","",IF(H475="","(no cost centre)",H475&amp;" - GL "&amp;IFERROR(INDEX(lst_CCtoGL,MATCH(H475,lst_CCforGL,0)),"?")))</f>
        <v/>
      </c>
      <c r="R475" s="37" t="n"/>
      <c r="S475" s="37" t="n"/>
      <c r="T475" s="10">
        <f>IF(S475="","",HYPERLINK(IF(LEFT(S475,4)="http",S475,set_QwilrBase&amp;S475),"Open quote"))</f>
        <v/>
      </c>
      <c r="U475" s="41" t="n"/>
      <c r="V475" s="37" t="n"/>
      <c r="W475" s="37" t="n"/>
      <c r="X475" s="10" t="inlineStr">
        <is>
          <t>ONS-0471</t>
        </is>
      </c>
    </row>
    <row r="476">
      <c r="A476" s="16">
        <f>IF($C476="","",IFERROR(IF(INDEX(tbl_Finance[Latest Invoice Date],MATCH($X476,tbl_Finance[Row ID],0))="","",INDEX(tbl_Finance[Latest Invoice Date],MATCH($X476,tbl_Finance[Row ID],0))),""))</f>
        <v/>
      </c>
      <c r="B476" s="10">
        <f>IF($C476="","",IFERROR(INDEX(tbl_Finance[Invoice Numbers],MATCH($X476,tbl_Finance[Row ID],0))&amp;"",""))</f>
        <v/>
      </c>
      <c r="C476" s="37" t="n"/>
      <c r="D476" s="10">
        <f>IF($C476="","",IF(COUNTIF(lst_Jobs,$C476&amp;"")&gt;0,"OK","CHECK"))</f>
        <v/>
      </c>
      <c r="E476" s="10">
        <f>IF($C476="","",IFERROR(INDEX(lst_JobName,MATCH($C476&amp;"",lst_Jobs,0)),""))</f>
        <v/>
      </c>
      <c r="F476" s="37" t="n"/>
      <c r="G476" s="37" t="n"/>
      <c r="H476" s="37" t="n"/>
      <c r="I476" s="37" t="n"/>
      <c r="J476" s="37" t="n"/>
      <c r="K476" s="38">
        <f>IF($C476="","",IFERROR(N(INDEX(tbl_Finance[Invoice Count],MATCH($X476,tbl_Finance[Row ID],0))),""))</f>
        <v/>
      </c>
      <c r="L476" s="11">
        <f>IF($C476="","",IFERROR(N(INDEX(tbl_Finance[Xero Invoiced Ex GST],MATCH($X476,tbl_Finance[Row ID],0))),""))</f>
        <v/>
      </c>
      <c r="M476" s="10">
        <f>IF($C476="","",IFERROR(INDEX(tbl_Finance[Compare],MATCH($X476,tbl_Finance[Row ID],0))&amp;"",""))</f>
        <v/>
      </c>
      <c r="N476" s="11">
        <f>IF($C476="","",MAX(0,N(O476)-N(L476)))</f>
        <v/>
      </c>
      <c r="O476" s="39" t="n"/>
      <c r="P476" s="40">
        <f>IF($C476="","",IF((IF(F476="",", Client","")&amp;IF(G476="",", Description","")&amp;IF(H476="",", Cost Centre","")&amp;IF(I476="",", Invoice Type","")&amp;IF(J476="",", Tax Code","")&amp;IF(O476="",", Expected Revenue","")&amp;IF(COUNTIF(tbl_Finance[Job Number],$C476&amp;"")&gt;1,", Job number used twice",""))="","Complete","Fix: "&amp;MID(IF(F476="",", Client","")&amp;IF(G476="",", Description","")&amp;IF(H476="",", Cost Centre","")&amp;IF(I476="",", Invoice Type","")&amp;IF(J476="",", Tax Code","")&amp;IF(O476="",", Expected Revenue","")&amp;IF(COUNTIF(tbl_Finance[Job Number],$C476&amp;"")&gt;1,", Job number used twice",""),3,300)))</f>
        <v/>
      </c>
      <c r="Q476" s="10">
        <f>IF($C476="","",IF(H476="","(no cost centre)",H476&amp;" - GL "&amp;IFERROR(INDEX(lst_CCtoGL,MATCH(H476,lst_CCforGL,0)),"?")))</f>
        <v/>
      </c>
      <c r="R476" s="37" t="n"/>
      <c r="S476" s="37" t="n"/>
      <c r="T476" s="10">
        <f>IF(S476="","",HYPERLINK(IF(LEFT(S476,4)="http",S476,set_QwilrBase&amp;S476),"Open quote"))</f>
        <v/>
      </c>
      <c r="U476" s="41" t="n"/>
      <c r="V476" s="37" t="n"/>
      <c r="W476" s="37" t="n"/>
      <c r="X476" s="10" t="inlineStr">
        <is>
          <t>ONS-0472</t>
        </is>
      </c>
    </row>
    <row r="477">
      <c r="A477" s="16">
        <f>IF($C477="","",IFERROR(IF(INDEX(tbl_Finance[Latest Invoice Date],MATCH($X477,tbl_Finance[Row ID],0))="","",INDEX(tbl_Finance[Latest Invoice Date],MATCH($X477,tbl_Finance[Row ID],0))),""))</f>
        <v/>
      </c>
      <c r="B477" s="10">
        <f>IF($C477="","",IFERROR(INDEX(tbl_Finance[Invoice Numbers],MATCH($X477,tbl_Finance[Row ID],0))&amp;"",""))</f>
        <v/>
      </c>
      <c r="C477" s="37" t="n"/>
      <c r="D477" s="10">
        <f>IF($C477="","",IF(COUNTIF(lst_Jobs,$C477&amp;"")&gt;0,"OK","CHECK"))</f>
        <v/>
      </c>
      <c r="E477" s="10">
        <f>IF($C477="","",IFERROR(INDEX(lst_JobName,MATCH($C477&amp;"",lst_Jobs,0)),""))</f>
        <v/>
      </c>
      <c r="F477" s="37" t="n"/>
      <c r="G477" s="37" t="n"/>
      <c r="H477" s="37" t="n"/>
      <c r="I477" s="37" t="n"/>
      <c r="J477" s="37" t="n"/>
      <c r="K477" s="38">
        <f>IF($C477="","",IFERROR(N(INDEX(tbl_Finance[Invoice Count],MATCH($X477,tbl_Finance[Row ID],0))),""))</f>
        <v/>
      </c>
      <c r="L477" s="11">
        <f>IF($C477="","",IFERROR(N(INDEX(tbl_Finance[Xero Invoiced Ex GST],MATCH($X477,tbl_Finance[Row ID],0))),""))</f>
        <v/>
      </c>
      <c r="M477" s="10">
        <f>IF($C477="","",IFERROR(INDEX(tbl_Finance[Compare],MATCH($X477,tbl_Finance[Row ID],0))&amp;"",""))</f>
        <v/>
      </c>
      <c r="N477" s="11">
        <f>IF($C477="","",MAX(0,N(O477)-N(L477)))</f>
        <v/>
      </c>
      <c r="O477" s="39" t="n"/>
      <c r="P477" s="40">
        <f>IF($C477="","",IF((IF(F477="",", Client","")&amp;IF(G477="",", Description","")&amp;IF(H477="",", Cost Centre","")&amp;IF(I477="",", Invoice Type","")&amp;IF(J477="",", Tax Code","")&amp;IF(O477="",", Expected Revenue","")&amp;IF(COUNTIF(tbl_Finance[Job Number],$C477&amp;"")&gt;1,", Job number used twice",""))="","Complete","Fix: "&amp;MID(IF(F477="",", Client","")&amp;IF(G477="",", Description","")&amp;IF(H477="",", Cost Centre","")&amp;IF(I477="",", Invoice Type","")&amp;IF(J477="",", Tax Code","")&amp;IF(O477="",", Expected Revenue","")&amp;IF(COUNTIF(tbl_Finance[Job Number],$C477&amp;"")&gt;1,", Job number used twice",""),3,300)))</f>
        <v/>
      </c>
      <c r="Q477" s="10">
        <f>IF($C477="","",IF(H477="","(no cost centre)",H477&amp;" - GL "&amp;IFERROR(INDEX(lst_CCtoGL,MATCH(H477,lst_CCforGL,0)),"?")))</f>
        <v/>
      </c>
      <c r="R477" s="37" t="n"/>
      <c r="S477" s="37" t="n"/>
      <c r="T477" s="10">
        <f>IF(S477="","",HYPERLINK(IF(LEFT(S477,4)="http",S477,set_QwilrBase&amp;S477),"Open quote"))</f>
        <v/>
      </c>
      <c r="U477" s="41" t="n"/>
      <c r="V477" s="37" t="n"/>
      <c r="W477" s="37" t="n"/>
      <c r="X477" s="10" t="inlineStr">
        <is>
          <t>ONS-0473</t>
        </is>
      </c>
    </row>
    <row r="478">
      <c r="A478" s="16">
        <f>IF($C478="","",IFERROR(IF(INDEX(tbl_Finance[Latest Invoice Date],MATCH($X478,tbl_Finance[Row ID],0))="","",INDEX(tbl_Finance[Latest Invoice Date],MATCH($X478,tbl_Finance[Row ID],0))),""))</f>
        <v/>
      </c>
      <c r="B478" s="10">
        <f>IF($C478="","",IFERROR(INDEX(tbl_Finance[Invoice Numbers],MATCH($X478,tbl_Finance[Row ID],0))&amp;"",""))</f>
        <v/>
      </c>
      <c r="C478" s="37" t="n"/>
      <c r="D478" s="10">
        <f>IF($C478="","",IF(COUNTIF(lst_Jobs,$C478&amp;"")&gt;0,"OK","CHECK"))</f>
        <v/>
      </c>
      <c r="E478" s="10">
        <f>IF($C478="","",IFERROR(INDEX(lst_JobName,MATCH($C478&amp;"",lst_Jobs,0)),""))</f>
        <v/>
      </c>
      <c r="F478" s="37" t="n"/>
      <c r="G478" s="37" t="n"/>
      <c r="H478" s="37" t="n"/>
      <c r="I478" s="37" t="n"/>
      <c r="J478" s="37" t="n"/>
      <c r="K478" s="38">
        <f>IF($C478="","",IFERROR(N(INDEX(tbl_Finance[Invoice Count],MATCH($X478,tbl_Finance[Row ID],0))),""))</f>
        <v/>
      </c>
      <c r="L478" s="11">
        <f>IF($C478="","",IFERROR(N(INDEX(tbl_Finance[Xero Invoiced Ex GST],MATCH($X478,tbl_Finance[Row ID],0))),""))</f>
        <v/>
      </c>
      <c r="M478" s="10">
        <f>IF($C478="","",IFERROR(INDEX(tbl_Finance[Compare],MATCH($X478,tbl_Finance[Row ID],0))&amp;"",""))</f>
        <v/>
      </c>
      <c r="N478" s="11">
        <f>IF($C478="","",MAX(0,N(O478)-N(L478)))</f>
        <v/>
      </c>
      <c r="O478" s="39" t="n"/>
      <c r="P478" s="40">
        <f>IF($C478="","",IF((IF(F478="",", Client","")&amp;IF(G478="",", Description","")&amp;IF(H478="",", Cost Centre","")&amp;IF(I478="",", Invoice Type","")&amp;IF(J478="",", Tax Code","")&amp;IF(O478="",", Expected Revenue","")&amp;IF(COUNTIF(tbl_Finance[Job Number],$C478&amp;"")&gt;1,", Job number used twice",""))="","Complete","Fix: "&amp;MID(IF(F478="",", Client","")&amp;IF(G478="",", Description","")&amp;IF(H478="",", Cost Centre","")&amp;IF(I478="",", Invoice Type","")&amp;IF(J478="",", Tax Code","")&amp;IF(O478="",", Expected Revenue","")&amp;IF(COUNTIF(tbl_Finance[Job Number],$C478&amp;"")&gt;1,", Job number used twice",""),3,300)))</f>
        <v/>
      </c>
      <c r="Q478" s="10">
        <f>IF($C478="","",IF(H478="","(no cost centre)",H478&amp;" - GL "&amp;IFERROR(INDEX(lst_CCtoGL,MATCH(H478,lst_CCforGL,0)),"?")))</f>
        <v/>
      </c>
      <c r="R478" s="37" t="n"/>
      <c r="S478" s="37" t="n"/>
      <c r="T478" s="10">
        <f>IF(S478="","",HYPERLINK(IF(LEFT(S478,4)="http",S478,set_QwilrBase&amp;S478),"Open quote"))</f>
        <v/>
      </c>
      <c r="U478" s="41" t="n"/>
      <c r="V478" s="37" t="n"/>
      <c r="W478" s="37" t="n"/>
      <c r="X478" s="10" t="inlineStr">
        <is>
          <t>ONS-0474</t>
        </is>
      </c>
    </row>
    <row r="479">
      <c r="A479" s="16">
        <f>IF($C479="","",IFERROR(IF(INDEX(tbl_Finance[Latest Invoice Date],MATCH($X479,tbl_Finance[Row ID],0))="","",INDEX(tbl_Finance[Latest Invoice Date],MATCH($X479,tbl_Finance[Row ID],0))),""))</f>
        <v/>
      </c>
      <c r="B479" s="10">
        <f>IF($C479="","",IFERROR(INDEX(tbl_Finance[Invoice Numbers],MATCH($X479,tbl_Finance[Row ID],0))&amp;"",""))</f>
        <v/>
      </c>
      <c r="C479" s="37" t="n"/>
      <c r="D479" s="10">
        <f>IF($C479="","",IF(COUNTIF(lst_Jobs,$C479&amp;"")&gt;0,"OK","CHECK"))</f>
        <v/>
      </c>
      <c r="E479" s="10">
        <f>IF($C479="","",IFERROR(INDEX(lst_JobName,MATCH($C479&amp;"",lst_Jobs,0)),""))</f>
        <v/>
      </c>
      <c r="F479" s="37" t="n"/>
      <c r="G479" s="37" t="n"/>
      <c r="H479" s="37" t="n"/>
      <c r="I479" s="37" t="n"/>
      <c r="J479" s="37" t="n"/>
      <c r="K479" s="38">
        <f>IF($C479="","",IFERROR(N(INDEX(tbl_Finance[Invoice Count],MATCH($X479,tbl_Finance[Row ID],0))),""))</f>
        <v/>
      </c>
      <c r="L479" s="11">
        <f>IF($C479="","",IFERROR(N(INDEX(tbl_Finance[Xero Invoiced Ex GST],MATCH($X479,tbl_Finance[Row ID],0))),""))</f>
        <v/>
      </c>
      <c r="M479" s="10">
        <f>IF($C479="","",IFERROR(INDEX(tbl_Finance[Compare],MATCH($X479,tbl_Finance[Row ID],0))&amp;"",""))</f>
        <v/>
      </c>
      <c r="N479" s="11">
        <f>IF($C479="","",MAX(0,N(O479)-N(L479)))</f>
        <v/>
      </c>
      <c r="O479" s="39" t="n"/>
      <c r="P479" s="40">
        <f>IF($C479="","",IF((IF(F479="",", Client","")&amp;IF(G479="",", Description","")&amp;IF(H479="",", Cost Centre","")&amp;IF(I479="",", Invoice Type","")&amp;IF(J479="",", Tax Code","")&amp;IF(O479="",", Expected Revenue","")&amp;IF(COUNTIF(tbl_Finance[Job Number],$C479&amp;"")&gt;1,", Job number used twice",""))="","Complete","Fix: "&amp;MID(IF(F479="",", Client","")&amp;IF(G479="",", Description","")&amp;IF(H479="",", Cost Centre","")&amp;IF(I479="",", Invoice Type","")&amp;IF(J479="",", Tax Code","")&amp;IF(O479="",", Expected Revenue","")&amp;IF(COUNTIF(tbl_Finance[Job Number],$C479&amp;"")&gt;1,", Job number used twice",""),3,300)))</f>
        <v/>
      </c>
      <c r="Q479" s="10">
        <f>IF($C479="","",IF(H479="","(no cost centre)",H479&amp;" - GL "&amp;IFERROR(INDEX(lst_CCtoGL,MATCH(H479,lst_CCforGL,0)),"?")))</f>
        <v/>
      </c>
      <c r="R479" s="37" t="n"/>
      <c r="S479" s="37" t="n"/>
      <c r="T479" s="10">
        <f>IF(S479="","",HYPERLINK(IF(LEFT(S479,4)="http",S479,set_QwilrBase&amp;S479),"Open quote"))</f>
        <v/>
      </c>
      <c r="U479" s="41" t="n"/>
      <c r="V479" s="37" t="n"/>
      <c r="W479" s="37" t="n"/>
      <c r="X479" s="10" t="inlineStr">
        <is>
          <t>ONS-0475</t>
        </is>
      </c>
    </row>
    <row r="480">
      <c r="A480" s="16">
        <f>IF($C480="","",IFERROR(IF(INDEX(tbl_Finance[Latest Invoice Date],MATCH($X480,tbl_Finance[Row ID],0))="","",INDEX(tbl_Finance[Latest Invoice Date],MATCH($X480,tbl_Finance[Row ID],0))),""))</f>
        <v/>
      </c>
      <c r="B480" s="10">
        <f>IF($C480="","",IFERROR(INDEX(tbl_Finance[Invoice Numbers],MATCH($X480,tbl_Finance[Row ID],0))&amp;"",""))</f>
        <v/>
      </c>
      <c r="C480" s="37" t="n"/>
      <c r="D480" s="10">
        <f>IF($C480="","",IF(COUNTIF(lst_Jobs,$C480&amp;"")&gt;0,"OK","CHECK"))</f>
        <v/>
      </c>
      <c r="E480" s="10">
        <f>IF($C480="","",IFERROR(INDEX(lst_JobName,MATCH($C480&amp;"",lst_Jobs,0)),""))</f>
        <v/>
      </c>
      <c r="F480" s="37" t="n"/>
      <c r="G480" s="37" t="n"/>
      <c r="H480" s="37" t="n"/>
      <c r="I480" s="37" t="n"/>
      <c r="J480" s="37" t="n"/>
      <c r="K480" s="38">
        <f>IF($C480="","",IFERROR(N(INDEX(tbl_Finance[Invoice Count],MATCH($X480,tbl_Finance[Row ID],0))),""))</f>
        <v/>
      </c>
      <c r="L480" s="11">
        <f>IF($C480="","",IFERROR(N(INDEX(tbl_Finance[Xero Invoiced Ex GST],MATCH($X480,tbl_Finance[Row ID],0))),""))</f>
        <v/>
      </c>
      <c r="M480" s="10">
        <f>IF($C480="","",IFERROR(INDEX(tbl_Finance[Compare],MATCH($X480,tbl_Finance[Row ID],0))&amp;"",""))</f>
        <v/>
      </c>
      <c r="N480" s="11">
        <f>IF($C480="","",MAX(0,N(O480)-N(L480)))</f>
        <v/>
      </c>
      <c r="O480" s="39" t="n"/>
      <c r="P480" s="40">
        <f>IF($C480="","",IF((IF(F480="",", Client","")&amp;IF(G480="",", Description","")&amp;IF(H480="",", Cost Centre","")&amp;IF(I480="",", Invoice Type","")&amp;IF(J480="",", Tax Code","")&amp;IF(O480="",", Expected Revenue","")&amp;IF(COUNTIF(tbl_Finance[Job Number],$C480&amp;"")&gt;1,", Job number used twice",""))="","Complete","Fix: "&amp;MID(IF(F480="",", Client","")&amp;IF(G480="",", Description","")&amp;IF(H480="",", Cost Centre","")&amp;IF(I480="",", Invoice Type","")&amp;IF(J480="",", Tax Code","")&amp;IF(O480="",", Expected Revenue","")&amp;IF(COUNTIF(tbl_Finance[Job Number],$C480&amp;"")&gt;1,", Job number used twice",""),3,300)))</f>
        <v/>
      </c>
      <c r="Q480" s="10">
        <f>IF($C480="","",IF(H480="","(no cost centre)",H480&amp;" - GL "&amp;IFERROR(INDEX(lst_CCtoGL,MATCH(H480,lst_CCforGL,0)),"?")))</f>
        <v/>
      </c>
      <c r="R480" s="37" t="n"/>
      <c r="S480" s="37" t="n"/>
      <c r="T480" s="10">
        <f>IF(S480="","",HYPERLINK(IF(LEFT(S480,4)="http",S480,set_QwilrBase&amp;S480),"Open quote"))</f>
        <v/>
      </c>
      <c r="U480" s="41" t="n"/>
      <c r="V480" s="37" t="n"/>
      <c r="W480" s="37" t="n"/>
      <c r="X480" s="10" t="inlineStr">
        <is>
          <t>ONS-0476</t>
        </is>
      </c>
    </row>
    <row r="481">
      <c r="A481" s="16">
        <f>IF($C481="","",IFERROR(IF(INDEX(tbl_Finance[Latest Invoice Date],MATCH($X481,tbl_Finance[Row ID],0))="","",INDEX(tbl_Finance[Latest Invoice Date],MATCH($X481,tbl_Finance[Row ID],0))),""))</f>
        <v/>
      </c>
      <c r="B481" s="10">
        <f>IF($C481="","",IFERROR(INDEX(tbl_Finance[Invoice Numbers],MATCH($X481,tbl_Finance[Row ID],0))&amp;"",""))</f>
        <v/>
      </c>
      <c r="C481" s="37" t="n"/>
      <c r="D481" s="10">
        <f>IF($C481="","",IF(COUNTIF(lst_Jobs,$C481&amp;"")&gt;0,"OK","CHECK"))</f>
        <v/>
      </c>
      <c r="E481" s="10">
        <f>IF($C481="","",IFERROR(INDEX(lst_JobName,MATCH($C481&amp;"",lst_Jobs,0)),""))</f>
        <v/>
      </c>
      <c r="F481" s="37" t="n"/>
      <c r="G481" s="37" t="n"/>
      <c r="H481" s="37" t="n"/>
      <c r="I481" s="37" t="n"/>
      <c r="J481" s="37" t="n"/>
      <c r="K481" s="38">
        <f>IF($C481="","",IFERROR(N(INDEX(tbl_Finance[Invoice Count],MATCH($X481,tbl_Finance[Row ID],0))),""))</f>
        <v/>
      </c>
      <c r="L481" s="11">
        <f>IF($C481="","",IFERROR(N(INDEX(tbl_Finance[Xero Invoiced Ex GST],MATCH($X481,tbl_Finance[Row ID],0))),""))</f>
        <v/>
      </c>
      <c r="M481" s="10">
        <f>IF($C481="","",IFERROR(INDEX(tbl_Finance[Compare],MATCH($X481,tbl_Finance[Row ID],0))&amp;"",""))</f>
        <v/>
      </c>
      <c r="N481" s="11">
        <f>IF($C481="","",MAX(0,N(O481)-N(L481)))</f>
        <v/>
      </c>
      <c r="O481" s="39" t="n"/>
      <c r="P481" s="40">
        <f>IF($C481="","",IF((IF(F481="",", Client","")&amp;IF(G481="",", Description","")&amp;IF(H481="",", Cost Centre","")&amp;IF(I481="",", Invoice Type","")&amp;IF(J481="",", Tax Code","")&amp;IF(O481="",", Expected Revenue","")&amp;IF(COUNTIF(tbl_Finance[Job Number],$C481&amp;"")&gt;1,", Job number used twice",""))="","Complete","Fix: "&amp;MID(IF(F481="",", Client","")&amp;IF(G481="",", Description","")&amp;IF(H481="",", Cost Centre","")&amp;IF(I481="",", Invoice Type","")&amp;IF(J481="",", Tax Code","")&amp;IF(O481="",", Expected Revenue","")&amp;IF(COUNTIF(tbl_Finance[Job Number],$C481&amp;"")&gt;1,", Job number used twice",""),3,300)))</f>
        <v/>
      </c>
      <c r="Q481" s="10">
        <f>IF($C481="","",IF(H481="","(no cost centre)",H481&amp;" - GL "&amp;IFERROR(INDEX(lst_CCtoGL,MATCH(H481,lst_CCforGL,0)),"?")))</f>
        <v/>
      </c>
      <c r="R481" s="37" t="n"/>
      <c r="S481" s="37" t="n"/>
      <c r="T481" s="10">
        <f>IF(S481="","",HYPERLINK(IF(LEFT(S481,4)="http",S481,set_QwilrBase&amp;S481),"Open quote"))</f>
        <v/>
      </c>
      <c r="U481" s="41" t="n"/>
      <c r="V481" s="37" t="n"/>
      <c r="W481" s="37" t="n"/>
      <c r="X481" s="10" t="inlineStr">
        <is>
          <t>ONS-0477</t>
        </is>
      </c>
    </row>
    <row r="482">
      <c r="A482" s="16">
        <f>IF($C482="","",IFERROR(IF(INDEX(tbl_Finance[Latest Invoice Date],MATCH($X482,tbl_Finance[Row ID],0))="","",INDEX(tbl_Finance[Latest Invoice Date],MATCH($X482,tbl_Finance[Row ID],0))),""))</f>
        <v/>
      </c>
      <c r="B482" s="10">
        <f>IF($C482="","",IFERROR(INDEX(tbl_Finance[Invoice Numbers],MATCH($X482,tbl_Finance[Row ID],0))&amp;"",""))</f>
        <v/>
      </c>
      <c r="C482" s="37" t="n"/>
      <c r="D482" s="10">
        <f>IF($C482="","",IF(COUNTIF(lst_Jobs,$C482&amp;"")&gt;0,"OK","CHECK"))</f>
        <v/>
      </c>
      <c r="E482" s="10">
        <f>IF($C482="","",IFERROR(INDEX(lst_JobName,MATCH($C482&amp;"",lst_Jobs,0)),""))</f>
        <v/>
      </c>
      <c r="F482" s="37" t="n"/>
      <c r="G482" s="37" t="n"/>
      <c r="H482" s="37" t="n"/>
      <c r="I482" s="37" t="n"/>
      <c r="J482" s="37" t="n"/>
      <c r="K482" s="38">
        <f>IF($C482="","",IFERROR(N(INDEX(tbl_Finance[Invoice Count],MATCH($X482,tbl_Finance[Row ID],0))),""))</f>
        <v/>
      </c>
      <c r="L482" s="11">
        <f>IF($C482="","",IFERROR(N(INDEX(tbl_Finance[Xero Invoiced Ex GST],MATCH($X482,tbl_Finance[Row ID],0))),""))</f>
        <v/>
      </c>
      <c r="M482" s="10">
        <f>IF($C482="","",IFERROR(INDEX(tbl_Finance[Compare],MATCH($X482,tbl_Finance[Row ID],0))&amp;"",""))</f>
        <v/>
      </c>
      <c r="N482" s="11">
        <f>IF($C482="","",MAX(0,N(O482)-N(L482)))</f>
        <v/>
      </c>
      <c r="O482" s="39" t="n"/>
      <c r="P482" s="40">
        <f>IF($C482="","",IF((IF(F482="",", Client","")&amp;IF(G482="",", Description","")&amp;IF(H482="",", Cost Centre","")&amp;IF(I482="",", Invoice Type","")&amp;IF(J482="",", Tax Code","")&amp;IF(O482="",", Expected Revenue","")&amp;IF(COUNTIF(tbl_Finance[Job Number],$C482&amp;"")&gt;1,", Job number used twice",""))="","Complete","Fix: "&amp;MID(IF(F482="",", Client","")&amp;IF(G482="",", Description","")&amp;IF(H482="",", Cost Centre","")&amp;IF(I482="",", Invoice Type","")&amp;IF(J482="",", Tax Code","")&amp;IF(O482="",", Expected Revenue","")&amp;IF(COUNTIF(tbl_Finance[Job Number],$C482&amp;"")&gt;1,", Job number used twice",""),3,300)))</f>
        <v/>
      </c>
      <c r="Q482" s="10">
        <f>IF($C482="","",IF(H482="","(no cost centre)",H482&amp;" - GL "&amp;IFERROR(INDEX(lst_CCtoGL,MATCH(H482,lst_CCforGL,0)),"?")))</f>
        <v/>
      </c>
      <c r="R482" s="37" t="n"/>
      <c r="S482" s="37" t="n"/>
      <c r="T482" s="10">
        <f>IF(S482="","",HYPERLINK(IF(LEFT(S482,4)="http",S482,set_QwilrBase&amp;S482),"Open quote"))</f>
        <v/>
      </c>
      <c r="U482" s="41" t="n"/>
      <c r="V482" s="37" t="n"/>
      <c r="W482" s="37" t="n"/>
      <c r="X482" s="10" t="inlineStr">
        <is>
          <t>ONS-0478</t>
        </is>
      </c>
    </row>
    <row r="483">
      <c r="A483" s="16">
        <f>IF($C483="","",IFERROR(IF(INDEX(tbl_Finance[Latest Invoice Date],MATCH($X483,tbl_Finance[Row ID],0))="","",INDEX(tbl_Finance[Latest Invoice Date],MATCH($X483,tbl_Finance[Row ID],0))),""))</f>
        <v/>
      </c>
      <c r="B483" s="10">
        <f>IF($C483="","",IFERROR(INDEX(tbl_Finance[Invoice Numbers],MATCH($X483,tbl_Finance[Row ID],0))&amp;"",""))</f>
        <v/>
      </c>
      <c r="C483" s="37" t="n"/>
      <c r="D483" s="10">
        <f>IF($C483="","",IF(COUNTIF(lst_Jobs,$C483&amp;"")&gt;0,"OK","CHECK"))</f>
        <v/>
      </c>
      <c r="E483" s="10">
        <f>IF($C483="","",IFERROR(INDEX(lst_JobName,MATCH($C483&amp;"",lst_Jobs,0)),""))</f>
        <v/>
      </c>
      <c r="F483" s="37" t="n"/>
      <c r="G483" s="37" t="n"/>
      <c r="H483" s="37" t="n"/>
      <c r="I483" s="37" t="n"/>
      <c r="J483" s="37" t="n"/>
      <c r="K483" s="38">
        <f>IF($C483="","",IFERROR(N(INDEX(tbl_Finance[Invoice Count],MATCH($X483,tbl_Finance[Row ID],0))),""))</f>
        <v/>
      </c>
      <c r="L483" s="11">
        <f>IF($C483="","",IFERROR(N(INDEX(tbl_Finance[Xero Invoiced Ex GST],MATCH($X483,tbl_Finance[Row ID],0))),""))</f>
        <v/>
      </c>
      <c r="M483" s="10">
        <f>IF($C483="","",IFERROR(INDEX(tbl_Finance[Compare],MATCH($X483,tbl_Finance[Row ID],0))&amp;"",""))</f>
        <v/>
      </c>
      <c r="N483" s="11">
        <f>IF($C483="","",MAX(0,N(O483)-N(L483)))</f>
        <v/>
      </c>
      <c r="O483" s="39" t="n"/>
      <c r="P483" s="40">
        <f>IF($C483="","",IF((IF(F483="",", Client","")&amp;IF(G483="",", Description","")&amp;IF(H483="",", Cost Centre","")&amp;IF(I483="",", Invoice Type","")&amp;IF(J483="",", Tax Code","")&amp;IF(O483="",", Expected Revenue","")&amp;IF(COUNTIF(tbl_Finance[Job Number],$C483&amp;"")&gt;1,", Job number used twice",""))="","Complete","Fix: "&amp;MID(IF(F483="",", Client","")&amp;IF(G483="",", Description","")&amp;IF(H483="",", Cost Centre","")&amp;IF(I483="",", Invoice Type","")&amp;IF(J483="",", Tax Code","")&amp;IF(O483="",", Expected Revenue","")&amp;IF(COUNTIF(tbl_Finance[Job Number],$C483&amp;"")&gt;1,", Job number used twice",""),3,300)))</f>
        <v/>
      </c>
      <c r="Q483" s="10">
        <f>IF($C483="","",IF(H483="","(no cost centre)",H483&amp;" - GL "&amp;IFERROR(INDEX(lst_CCtoGL,MATCH(H483,lst_CCforGL,0)),"?")))</f>
        <v/>
      </c>
      <c r="R483" s="37" t="n"/>
      <c r="S483" s="37" t="n"/>
      <c r="T483" s="10">
        <f>IF(S483="","",HYPERLINK(IF(LEFT(S483,4)="http",S483,set_QwilrBase&amp;S483),"Open quote"))</f>
        <v/>
      </c>
      <c r="U483" s="41" t="n"/>
      <c r="V483" s="37" t="n"/>
      <c r="W483" s="37" t="n"/>
      <c r="X483" s="10" t="inlineStr">
        <is>
          <t>ONS-0479</t>
        </is>
      </c>
    </row>
    <row r="484">
      <c r="A484" s="16">
        <f>IF($C484="","",IFERROR(IF(INDEX(tbl_Finance[Latest Invoice Date],MATCH($X484,tbl_Finance[Row ID],0))="","",INDEX(tbl_Finance[Latest Invoice Date],MATCH($X484,tbl_Finance[Row ID],0))),""))</f>
        <v/>
      </c>
      <c r="B484" s="10">
        <f>IF($C484="","",IFERROR(INDEX(tbl_Finance[Invoice Numbers],MATCH($X484,tbl_Finance[Row ID],0))&amp;"",""))</f>
        <v/>
      </c>
      <c r="C484" s="37" t="n"/>
      <c r="D484" s="10">
        <f>IF($C484="","",IF(COUNTIF(lst_Jobs,$C484&amp;"")&gt;0,"OK","CHECK"))</f>
        <v/>
      </c>
      <c r="E484" s="10">
        <f>IF($C484="","",IFERROR(INDEX(lst_JobName,MATCH($C484&amp;"",lst_Jobs,0)),""))</f>
        <v/>
      </c>
      <c r="F484" s="37" t="n"/>
      <c r="G484" s="37" t="n"/>
      <c r="H484" s="37" t="n"/>
      <c r="I484" s="37" t="n"/>
      <c r="J484" s="37" t="n"/>
      <c r="K484" s="38">
        <f>IF($C484="","",IFERROR(N(INDEX(tbl_Finance[Invoice Count],MATCH($X484,tbl_Finance[Row ID],0))),""))</f>
        <v/>
      </c>
      <c r="L484" s="11">
        <f>IF($C484="","",IFERROR(N(INDEX(tbl_Finance[Xero Invoiced Ex GST],MATCH($X484,tbl_Finance[Row ID],0))),""))</f>
        <v/>
      </c>
      <c r="M484" s="10">
        <f>IF($C484="","",IFERROR(INDEX(tbl_Finance[Compare],MATCH($X484,tbl_Finance[Row ID],0))&amp;"",""))</f>
        <v/>
      </c>
      <c r="N484" s="11">
        <f>IF($C484="","",MAX(0,N(O484)-N(L484)))</f>
        <v/>
      </c>
      <c r="O484" s="39" t="n"/>
      <c r="P484" s="40">
        <f>IF($C484="","",IF((IF(F484="",", Client","")&amp;IF(G484="",", Description","")&amp;IF(H484="",", Cost Centre","")&amp;IF(I484="",", Invoice Type","")&amp;IF(J484="",", Tax Code","")&amp;IF(O484="",", Expected Revenue","")&amp;IF(COUNTIF(tbl_Finance[Job Number],$C484&amp;"")&gt;1,", Job number used twice",""))="","Complete","Fix: "&amp;MID(IF(F484="",", Client","")&amp;IF(G484="",", Description","")&amp;IF(H484="",", Cost Centre","")&amp;IF(I484="",", Invoice Type","")&amp;IF(J484="",", Tax Code","")&amp;IF(O484="",", Expected Revenue","")&amp;IF(COUNTIF(tbl_Finance[Job Number],$C484&amp;"")&gt;1,", Job number used twice",""),3,300)))</f>
        <v/>
      </c>
      <c r="Q484" s="10">
        <f>IF($C484="","",IF(H484="","(no cost centre)",H484&amp;" - GL "&amp;IFERROR(INDEX(lst_CCtoGL,MATCH(H484,lst_CCforGL,0)),"?")))</f>
        <v/>
      </c>
      <c r="R484" s="37" t="n"/>
      <c r="S484" s="37" t="n"/>
      <c r="T484" s="10">
        <f>IF(S484="","",HYPERLINK(IF(LEFT(S484,4)="http",S484,set_QwilrBase&amp;S484),"Open quote"))</f>
        <v/>
      </c>
      <c r="U484" s="41" t="n"/>
      <c r="V484" s="37" t="n"/>
      <c r="W484" s="37" t="n"/>
      <c r="X484" s="10" t="inlineStr">
        <is>
          <t>ONS-0480</t>
        </is>
      </c>
    </row>
    <row r="485">
      <c r="A485" s="16">
        <f>IF($C485="","",IFERROR(IF(INDEX(tbl_Finance[Latest Invoice Date],MATCH($X485,tbl_Finance[Row ID],0))="","",INDEX(tbl_Finance[Latest Invoice Date],MATCH($X485,tbl_Finance[Row ID],0))),""))</f>
        <v/>
      </c>
      <c r="B485" s="10">
        <f>IF($C485="","",IFERROR(INDEX(tbl_Finance[Invoice Numbers],MATCH($X485,tbl_Finance[Row ID],0))&amp;"",""))</f>
        <v/>
      </c>
      <c r="C485" s="37" t="n"/>
      <c r="D485" s="10">
        <f>IF($C485="","",IF(COUNTIF(lst_Jobs,$C485&amp;"")&gt;0,"OK","CHECK"))</f>
        <v/>
      </c>
      <c r="E485" s="10">
        <f>IF($C485="","",IFERROR(INDEX(lst_JobName,MATCH($C485&amp;"",lst_Jobs,0)),""))</f>
        <v/>
      </c>
      <c r="F485" s="37" t="n"/>
      <c r="G485" s="37" t="n"/>
      <c r="H485" s="37" t="n"/>
      <c r="I485" s="37" t="n"/>
      <c r="J485" s="37" t="n"/>
      <c r="K485" s="38">
        <f>IF($C485="","",IFERROR(N(INDEX(tbl_Finance[Invoice Count],MATCH($X485,tbl_Finance[Row ID],0))),""))</f>
        <v/>
      </c>
      <c r="L485" s="11">
        <f>IF($C485="","",IFERROR(N(INDEX(tbl_Finance[Xero Invoiced Ex GST],MATCH($X485,tbl_Finance[Row ID],0))),""))</f>
        <v/>
      </c>
      <c r="M485" s="10">
        <f>IF($C485="","",IFERROR(INDEX(tbl_Finance[Compare],MATCH($X485,tbl_Finance[Row ID],0))&amp;"",""))</f>
        <v/>
      </c>
      <c r="N485" s="11">
        <f>IF($C485="","",MAX(0,N(O485)-N(L485)))</f>
        <v/>
      </c>
      <c r="O485" s="39" t="n"/>
      <c r="P485" s="40">
        <f>IF($C485="","",IF((IF(F485="",", Client","")&amp;IF(G485="",", Description","")&amp;IF(H485="",", Cost Centre","")&amp;IF(I485="",", Invoice Type","")&amp;IF(J485="",", Tax Code","")&amp;IF(O485="",", Expected Revenue","")&amp;IF(COUNTIF(tbl_Finance[Job Number],$C485&amp;"")&gt;1,", Job number used twice",""))="","Complete","Fix: "&amp;MID(IF(F485="",", Client","")&amp;IF(G485="",", Description","")&amp;IF(H485="",", Cost Centre","")&amp;IF(I485="",", Invoice Type","")&amp;IF(J485="",", Tax Code","")&amp;IF(O485="",", Expected Revenue","")&amp;IF(COUNTIF(tbl_Finance[Job Number],$C485&amp;"")&gt;1,", Job number used twice",""),3,300)))</f>
        <v/>
      </c>
      <c r="Q485" s="10">
        <f>IF($C485="","",IF(H485="","(no cost centre)",H485&amp;" - GL "&amp;IFERROR(INDEX(lst_CCtoGL,MATCH(H485,lst_CCforGL,0)),"?")))</f>
        <v/>
      </c>
      <c r="R485" s="37" t="n"/>
      <c r="S485" s="37" t="n"/>
      <c r="T485" s="10">
        <f>IF(S485="","",HYPERLINK(IF(LEFT(S485,4)="http",S485,set_QwilrBase&amp;S485),"Open quote"))</f>
        <v/>
      </c>
      <c r="U485" s="41" t="n"/>
      <c r="V485" s="37" t="n"/>
      <c r="W485" s="37" t="n"/>
      <c r="X485" s="10" t="inlineStr">
        <is>
          <t>ONS-0481</t>
        </is>
      </c>
    </row>
    <row r="486">
      <c r="A486" s="16">
        <f>IF($C486="","",IFERROR(IF(INDEX(tbl_Finance[Latest Invoice Date],MATCH($X486,tbl_Finance[Row ID],0))="","",INDEX(tbl_Finance[Latest Invoice Date],MATCH($X486,tbl_Finance[Row ID],0))),""))</f>
        <v/>
      </c>
      <c r="B486" s="10">
        <f>IF($C486="","",IFERROR(INDEX(tbl_Finance[Invoice Numbers],MATCH($X486,tbl_Finance[Row ID],0))&amp;"",""))</f>
        <v/>
      </c>
      <c r="C486" s="37" t="n"/>
      <c r="D486" s="10">
        <f>IF($C486="","",IF(COUNTIF(lst_Jobs,$C486&amp;"")&gt;0,"OK","CHECK"))</f>
        <v/>
      </c>
      <c r="E486" s="10">
        <f>IF($C486="","",IFERROR(INDEX(lst_JobName,MATCH($C486&amp;"",lst_Jobs,0)),""))</f>
        <v/>
      </c>
      <c r="F486" s="37" t="n"/>
      <c r="G486" s="37" t="n"/>
      <c r="H486" s="37" t="n"/>
      <c r="I486" s="37" t="n"/>
      <c r="J486" s="37" t="n"/>
      <c r="K486" s="38">
        <f>IF($C486="","",IFERROR(N(INDEX(tbl_Finance[Invoice Count],MATCH($X486,tbl_Finance[Row ID],0))),""))</f>
        <v/>
      </c>
      <c r="L486" s="11">
        <f>IF($C486="","",IFERROR(N(INDEX(tbl_Finance[Xero Invoiced Ex GST],MATCH($X486,tbl_Finance[Row ID],0))),""))</f>
        <v/>
      </c>
      <c r="M486" s="10">
        <f>IF($C486="","",IFERROR(INDEX(tbl_Finance[Compare],MATCH($X486,tbl_Finance[Row ID],0))&amp;"",""))</f>
        <v/>
      </c>
      <c r="N486" s="11">
        <f>IF($C486="","",MAX(0,N(O486)-N(L486)))</f>
        <v/>
      </c>
      <c r="O486" s="39" t="n"/>
      <c r="P486" s="40">
        <f>IF($C486="","",IF((IF(F486="",", Client","")&amp;IF(G486="",", Description","")&amp;IF(H486="",", Cost Centre","")&amp;IF(I486="",", Invoice Type","")&amp;IF(J486="",", Tax Code","")&amp;IF(O486="",", Expected Revenue","")&amp;IF(COUNTIF(tbl_Finance[Job Number],$C486&amp;"")&gt;1,", Job number used twice",""))="","Complete","Fix: "&amp;MID(IF(F486="",", Client","")&amp;IF(G486="",", Description","")&amp;IF(H486="",", Cost Centre","")&amp;IF(I486="",", Invoice Type","")&amp;IF(J486="",", Tax Code","")&amp;IF(O486="",", Expected Revenue","")&amp;IF(COUNTIF(tbl_Finance[Job Number],$C486&amp;"")&gt;1,", Job number used twice",""),3,300)))</f>
        <v/>
      </c>
      <c r="Q486" s="10">
        <f>IF($C486="","",IF(H486="","(no cost centre)",H486&amp;" - GL "&amp;IFERROR(INDEX(lst_CCtoGL,MATCH(H486,lst_CCforGL,0)),"?")))</f>
        <v/>
      </c>
      <c r="R486" s="37" t="n"/>
      <c r="S486" s="37" t="n"/>
      <c r="T486" s="10">
        <f>IF(S486="","",HYPERLINK(IF(LEFT(S486,4)="http",S486,set_QwilrBase&amp;S486),"Open quote"))</f>
        <v/>
      </c>
      <c r="U486" s="41" t="n"/>
      <c r="V486" s="37" t="n"/>
      <c r="W486" s="37" t="n"/>
      <c r="X486" s="10" t="inlineStr">
        <is>
          <t>ONS-0482</t>
        </is>
      </c>
    </row>
    <row r="487">
      <c r="A487" s="16">
        <f>IF($C487="","",IFERROR(IF(INDEX(tbl_Finance[Latest Invoice Date],MATCH($X487,tbl_Finance[Row ID],0))="","",INDEX(tbl_Finance[Latest Invoice Date],MATCH($X487,tbl_Finance[Row ID],0))),""))</f>
        <v/>
      </c>
      <c r="B487" s="10">
        <f>IF($C487="","",IFERROR(INDEX(tbl_Finance[Invoice Numbers],MATCH($X487,tbl_Finance[Row ID],0))&amp;"",""))</f>
        <v/>
      </c>
      <c r="C487" s="37" t="n"/>
      <c r="D487" s="10">
        <f>IF($C487="","",IF(COUNTIF(lst_Jobs,$C487&amp;"")&gt;0,"OK","CHECK"))</f>
        <v/>
      </c>
      <c r="E487" s="10">
        <f>IF($C487="","",IFERROR(INDEX(lst_JobName,MATCH($C487&amp;"",lst_Jobs,0)),""))</f>
        <v/>
      </c>
      <c r="F487" s="37" t="n"/>
      <c r="G487" s="37" t="n"/>
      <c r="H487" s="37" t="n"/>
      <c r="I487" s="37" t="n"/>
      <c r="J487" s="37" t="n"/>
      <c r="K487" s="38">
        <f>IF($C487="","",IFERROR(N(INDEX(tbl_Finance[Invoice Count],MATCH($X487,tbl_Finance[Row ID],0))),""))</f>
        <v/>
      </c>
      <c r="L487" s="11">
        <f>IF($C487="","",IFERROR(N(INDEX(tbl_Finance[Xero Invoiced Ex GST],MATCH($X487,tbl_Finance[Row ID],0))),""))</f>
        <v/>
      </c>
      <c r="M487" s="10">
        <f>IF($C487="","",IFERROR(INDEX(tbl_Finance[Compare],MATCH($X487,tbl_Finance[Row ID],0))&amp;"",""))</f>
        <v/>
      </c>
      <c r="N487" s="11">
        <f>IF($C487="","",MAX(0,N(O487)-N(L487)))</f>
        <v/>
      </c>
      <c r="O487" s="39" t="n"/>
      <c r="P487" s="40">
        <f>IF($C487="","",IF((IF(F487="",", Client","")&amp;IF(G487="",", Description","")&amp;IF(H487="",", Cost Centre","")&amp;IF(I487="",", Invoice Type","")&amp;IF(J487="",", Tax Code","")&amp;IF(O487="",", Expected Revenue","")&amp;IF(COUNTIF(tbl_Finance[Job Number],$C487&amp;"")&gt;1,", Job number used twice",""))="","Complete","Fix: "&amp;MID(IF(F487="",", Client","")&amp;IF(G487="",", Description","")&amp;IF(H487="",", Cost Centre","")&amp;IF(I487="",", Invoice Type","")&amp;IF(J487="",", Tax Code","")&amp;IF(O487="",", Expected Revenue","")&amp;IF(COUNTIF(tbl_Finance[Job Number],$C487&amp;"")&gt;1,", Job number used twice",""),3,300)))</f>
        <v/>
      </c>
      <c r="Q487" s="10">
        <f>IF($C487="","",IF(H487="","(no cost centre)",H487&amp;" - GL "&amp;IFERROR(INDEX(lst_CCtoGL,MATCH(H487,lst_CCforGL,0)),"?")))</f>
        <v/>
      </c>
      <c r="R487" s="37" t="n"/>
      <c r="S487" s="37" t="n"/>
      <c r="T487" s="10">
        <f>IF(S487="","",HYPERLINK(IF(LEFT(S487,4)="http",S487,set_QwilrBase&amp;S487),"Open quote"))</f>
        <v/>
      </c>
      <c r="U487" s="41" t="n"/>
      <c r="V487" s="37" t="n"/>
      <c r="W487" s="37" t="n"/>
      <c r="X487" s="10" t="inlineStr">
        <is>
          <t>ONS-0483</t>
        </is>
      </c>
    </row>
    <row r="488">
      <c r="A488" s="16">
        <f>IF($C488="","",IFERROR(IF(INDEX(tbl_Finance[Latest Invoice Date],MATCH($X488,tbl_Finance[Row ID],0))="","",INDEX(tbl_Finance[Latest Invoice Date],MATCH($X488,tbl_Finance[Row ID],0))),""))</f>
        <v/>
      </c>
      <c r="B488" s="10">
        <f>IF($C488="","",IFERROR(INDEX(tbl_Finance[Invoice Numbers],MATCH($X488,tbl_Finance[Row ID],0))&amp;"",""))</f>
        <v/>
      </c>
      <c r="C488" s="37" t="n"/>
      <c r="D488" s="10">
        <f>IF($C488="","",IF(COUNTIF(lst_Jobs,$C488&amp;"")&gt;0,"OK","CHECK"))</f>
        <v/>
      </c>
      <c r="E488" s="10">
        <f>IF($C488="","",IFERROR(INDEX(lst_JobName,MATCH($C488&amp;"",lst_Jobs,0)),""))</f>
        <v/>
      </c>
      <c r="F488" s="37" t="n"/>
      <c r="G488" s="37" t="n"/>
      <c r="H488" s="37" t="n"/>
      <c r="I488" s="37" t="n"/>
      <c r="J488" s="37" t="n"/>
      <c r="K488" s="38">
        <f>IF($C488="","",IFERROR(N(INDEX(tbl_Finance[Invoice Count],MATCH($X488,tbl_Finance[Row ID],0))),""))</f>
        <v/>
      </c>
      <c r="L488" s="11">
        <f>IF($C488="","",IFERROR(N(INDEX(tbl_Finance[Xero Invoiced Ex GST],MATCH($X488,tbl_Finance[Row ID],0))),""))</f>
        <v/>
      </c>
      <c r="M488" s="10">
        <f>IF($C488="","",IFERROR(INDEX(tbl_Finance[Compare],MATCH($X488,tbl_Finance[Row ID],0))&amp;"",""))</f>
        <v/>
      </c>
      <c r="N488" s="11">
        <f>IF($C488="","",MAX(0,N(O488)-N(L488)))</f>
        <v/>
      </c>
      <c r="O488" s="39" t="n"/>
      <c r="P488" s="40">
        <f>IF($C488="","",IF((IF(F488="",", Client","")&amp;IF(G488="",", Description","")&amp;IF(H488="",", Cost Centre","")&amp;IF(I488="",", Invoice Type","")&amp;IF(J488="",", Tax Code","")&amp;IF(O488="",", Expected Revenue","")&amp;IF(COUNTIF(tbl_Finance[Job Number],$C488&amp;"")&gt;1,", Job number used twice",""))="","Complete","Fix: "&amp;MID(IF(F488="",", Client","")&amp;IF(G488="",", Description","")&amp;IF(H488="",", Cost Centre","")&amp;IF(I488="",", Invoice Type","")&amp;IF(J488="",", Tax Code","")&amp;IF(O488="",", Expected Revenue","")&amp;IF(COUNTIF(tbl_Finance[Job Number],$C488&amp;"")&gt;1,", Job number used twice",""),3,300)))</f>
        <v/>
      </c>
      <c r="Q488" s="10">
        <f>IF($C488="","",IF(H488="","(no cost centre)",H488&amp;" - GL "&amp;IFERROR(INDEX(lst_CCtoGL,MATCH(H488,lst_CCforGL,0)),"?")))</f>
        <v/>
      </c>
      <c r="R488" s="37" t="n"/>
      <c r="S488" s="37" t="n"/>
      <c r="T488" s="10">
        <f>IF(S488="","",HYPERLINK(IF(LEFT(S488,4)="http",S488,set_QwilrBase&amp;S488),"Open quote"))</f>
        <v/>
      </c>
      <c r="U488" s="41" t="n"/>
      <c r="V488" s="37" t="n"/>
      <c r="W488" s="37" t="n"/>
      <c r="X488" s="10" t="inlineStr">
        <is>
          <t>ONS-0484</t>
        </is>
      </c>
    </row>
    <row r="489">
      <c r="A489" s="16">
        <f>IF($C489="","",IFERROR(IF(INDEX(tbl_Finance[Latest Invoice Date],MATCH($X489,tbl_Finance[Row ID],0))="","",INDEX(tbl_Finance[Latest Invoice Date],MATCH($X489,tbl_Finance[Row ID],0))),""))</f>
        <v/>
      </c>
      <c r="B489" s="10">
        <f>IF($C489="","",IFERROR(INDEX(tbl_Finance[Invoice Numbers],MATCH($X489,tbl_Finance[Row ID],0))&amp;"",""))</f>
        <v/>
      </c>
      <c r="C489" s="37" t="n"/>
      <c r="D489" s="10">
        <f>IF($C489="","",IF(COUNTIF(lst_Jobs,$C489&amp;"")&gt;0,"OK","CHECK"))</f>
        <v/>
      </c>
      <c r="E489" s="10">
        <f>IF($C489="","",IFERROR(INDEX(lst_JobName,MATCH($C489&amp;"",lst_Jobs,0)),""))</f>
        <v/>
      </c>
      <c r="F489" s="37" t="n"/>
      <c r="G489" s="37" t="n"/>
      <c r="H489" s="37" t="n"/>
      <c r="I489" s="37" t="n"/>
      <c r="J489" s="37" t="n"/>
      <c r="K489" s="38">
        <f>IF($C489="","",IFERROR(N(INDEX(tbl_Finance[Invoice Count],MATCH($X489,tbl_Finance[Row ID],0))),""))</f>
        <v/>
      </c>
      <c r="L489" s="11">
        <f>IF($C489="","",IFERROR(N(INDEX(tbl_Finance[Xero Invoiced Ex GST],MATCH($X489,tbl_Finance[Row ID],0))),""))</f>
        <v/>
      </c>
      <c r="M489" s="10">
        <f>IF($C489="","",IFERROR(INDEX(tbl_Finance[Compare],MATCH($X489,tbl_Finance[Row ID],0))&amp;"",""))</f>
        <v/>
      </c>
      <c r="N489" s="11">
        <f>IF($C489="","",MAX(0,N(O489)-N(L489)))</f>
        <v/>
      </c>
      <c r="O489" s="39" t="n"/>
      <c r="P489" s="40">
        <f>IF($C489="","",IF((IF(F489="",", Client","")&amp;IF(G489="",", Description","")&amp;IF(H489="",", Cost Centre","")&amp;IF(I489="",", Invoice Type","")&amp;IF(J489="",", Tax Code","")&amp;IF(O489="",", Expected Revenue","")&amp;IF(COUNTIF(tbl_Finance[Job Number],$C489&amp;"")&gt;1,", Job number used twice",""))="","Complete","Fix: "&amp;MID(IF(F489="",", Client","")&amp;IF(G489="",", Description","")&amp;IF(H489="",", Cost Centre","")&amp;IF(I489="",", Invoice Type","")&amp;IF(J489="",", Tax Code","")&amp;IF(O489="",", Expected Revenue","")&amp;IF(COUNTIF(tbl_Finance[Job Number],$C489&amp;"")&gt;1,", Job number used twice",""),3,300)))</f>
        <v/>
      </c>
      <c r="Q489" s="10">
        <f>IF($C489="","",IF(H489="","(no cost centre)",H489&amp;" - GL "&amp;IFERROR(INDEX(lst_CCtoGL,MATCH(H489,lst_CCforGL,0)),"?")))</f>
        <v/>
      </c>
      <c r="R489" s="37" t="n"/>
      <c r="S489" s="37" t="n"/>
      <c r="T489" s="10">
        <f>IF(S489="","",HYPERLINK(IF(LEFT(S489,4)="http",S489,set_QwilrBase&amp;S489),"Open quote"))</f>
        <v/>
      </c>
      <c r="U489" s="41" t="n"/>
      <c r="V489" s="37" t="n"/>
      <c r="W489" s="37" t="n"/>
      <c r="X489" s="10" t="inlineStr">
        <is>
          <t>ONS-0485</t>
        </is>
      </c>
    </row>
    <row r="490">
      <c r="A490" s="16">
        <f>IF($C490="","",IFERROR(IF(INDEX(tbl_Finance[Latest Invoice Date],MATCH($X490,tbl_Finance[Row ID],0))="","",INDEX(tbl_Finance[Latest Invoice Date],MATCH($X490,tbl_Finance[Row ID],0))),""))</f>
        <v/>
      </c>
      <c r="B490" s="10">
        <f>IF($C490="","",IFERROR(INDEX(tbl_Finance[Invoice Numbers],MATCH($X490,tbl_Finance[Row ID],0))&amp;"",""))</f>
        <v/>
      </c>
      <c r="C490" s="37" t="n"/>
      <c r="D490" s="10">
        <f>IF($C490="","",IF(COUNTIF(lst_Jobs,$C490&amp;"")&gt;0,"OK","CHECK"))</f>
        <v/>
      </c>
      <c r="E490" s="10">
        <f>IF($C490="","",IFERROR(INDEX(lst_JobName,MATCH($C490&amp;"",lst_Jobs,0)),""))</f>
        <v/>
      </c>
      <c r="F490" s="37" t="n"/>
      <c r="G490" s="37" t="n"/>
      <c r="H490" s="37" t="n"/>
      <c r="I490" s="37" t="n"/>
      <c r="J490" s="37" t="n"/>
      <c r="K490" s="38">
        <f>IF($C490="","",IFERROR(N(INDEX(tbl_Finance[Invoice Count],MATCH($X490,tbl_Finance[Row ID],0))),""))</f>
        <v/>
      </c>
      <c r="L490" s="11">
        <f>IF($C490="","",IFERROR(N(INDEX(tbl_Finance[Xero Invoiced Ex GST],MATCH($X490,tbl_Finance[Row ID],0))),""))</f>
        <v/>
      </c>
      <c r="M490" s="10">
        <f>IF($C490="","",IFERROR(INDEX(tbl_Finance[Compare],MATCH($X490,tbl_Finance[Row ID],0))&amp;"",""))</f>
        <v/>
      </c>
      <c r="N490" s="11">
        <f>IF($C490="","",MAX(0,N(O490)-N(L490)))</f>
        <v/>
      </c>
      <c r="O490" s="39" t="n"/>
      <c r="P490" s="40">
        <f>IF($C490="","",IF((IF(F490="",", Client","")&amp;IF(G490="",", Description","")&amp;IF(H490="",", Cost Centre","")&amp;IF(I490="",", Invoice Type","")&amp;IF(J490="",", Tax Code","")&amp;IF(O490="",", Expected Revenue","")&amp;IF(COUNTIF(tbl_Finance[Job Number],$C490&amp;"")&gt;1,", Job number used twice",""))="","Complete","Fix: "&amp;MID(IF(F490="",", Client","")&amp;IF(G490="",", Description","")&amp;IF(H490="",", Cost Centre","")&amp;IF(I490="",", Invoice Type","")&amp;IF(J490="",", Tax Code","")&amp;IF(O490="",", Expected Revenue","")&amp;IF(COUNTIF(tbl_Finance[Job Number],$C490&amp;"")&gt;1,", Job number used twice",""),3,300)))</f>
        <v/>
      </c>
      <c r="Q490" s="10">
        <f>IF($C490="","",IF(H490="","(no cost centre)",H490&amp;" - GL "&amp;IFERROR(INDEX(lst_CCtoGL,MATCH(H490,lst_CCforGL,0)),"?")))</f>
        <v/>
      </c>
      <c r="R490" s="37" t="n"/>
      <c r="S490" s="37" t="n"/>
      <c r="T490" s="10">
        <f>IF(S490="","",HYPERLINK(IF(LEFT(S490,4)="http",S490,set_QwilrBase&amp;S490),"Open quote"))</f>
        <v/>
      </c>
      <c r="U490" s="41" t="n"/>
      <c r="V490" s="37" t="n"/>
      <c r="W490" s="37" t="n"/>
      <c r="X490" s="10" t="inlineStr">
        <is>
          <t>ONS-0486</t>
        </is>
      </c>
    </row>
    <row r="491">
      <c r="A491" s="16">
        <f>IF($C491="","",IFERROR(IF(INDEX(tbl_Finance[Latest Invoice Date],MATCH($X491,tbl_Finance[Row ID],0))="","",INDEX(tbl_Finance[Latest Invoice Date],MATCH($X491,tbl_Finance[Row ID],0))),""))</f>
        <v/>
      </c>
      <c r="B491" s="10">
        <f>IF($C491="","",IFERROR(INDEX(tbl_Finance[Invoice Numbers],MATCH($X491,tbl_Finance[Row ID],0))&amp;"",""))</f>
        <v/>
      </c>
      <c r="C491" s="37" t="n"/>
      <c r="D491" s="10">
        <f>IF($C491="","",IF(COUNTIF(lst_Jobs,$C491&amp;"")&gt;0,"OK","CHECK"))</f>
        <v/>
      </c>
      <c r="E491" s="10">
        <f>IF($C491="","",IFERROR(INDEX(lst_JobName,MATCH($C491&amp;"",lst_Jobs,0)),""))</f>
        <v/>
      </c>
      <c r="F491" s="37" t="n"/>
      <c r="G491" s="37" t="n"/>
      <c r="H491" s="37" t="n"/>
      <c r="I491" s="37" t="n"/>
      <c r="J491" s="37" t="n"/>
      <c r="K491" s="38">
        <f>IF($C491="","",IFERROR(N(INDEX(tbl_Finance[Invoice Count],MATCH($X491,tbl_Finance[Row ID],0))),""))</f>
        <v/>
      </c>
      <c r="L491" s="11">
        <f>IF($C491="","",IFERROR(N(INDEX(tbl_Finance[Xero Invoiced Ex GST],MATCH($X491,tbl_Finance[Row ID],0))),""))</f>
        <v/>
      </c>
      <c r="M491" s="10">
        <f>IF($C491="","",IFERROR(INDEX(tbl_Finance[Compare],MATCH($X491,tbl_Finance[Row ID],0))&amp;"",""))</f>
        <v/>
      </c>
      <c r="N491" s="11">
        <f>IF($C491="","",MAX(0,N(O491)-N(L491)))</f>
        <v/>
      </c>
      <c r="O491" s="39" t="n"/>
      <c r="P491" s="40">
        <f>IF($C491="","",IF((IF(F491="",", Client","")&amp;IF(G491="",", Description","")&amp;IF(H491="",", Cost Centre","")&amp;IF(I491="",", Invoice Type","")&amp;IF(J491="",", Tax Code","")&amp;IF(O491="",", Expected Revenue","")&amp;IF(COUNTIF(tbl_Finance[Job Number],$C491&amp;"")&gt;1,", Job number used twice",""))="","Complete","Fix: "&amp;MID(IF(F491="",", Client","")&amp;IF(G491="",", Description","")&amp;IF(H491="",", Cost Centre","")&amp;IF(I491="",", Invoice Type","")&amp;IF(J491="",", Tax Code","")&amp;IF(O491="",", Expected Revenue","")&amp;IF(COUNTIF(tbl_Finance[Job Number],$C491&amp;"")&gt;1,", Job number used twice",""),3,300)))</f>
        <v/>
      </c>
      <c r="Q491" s="10">
        <f>IF($C491="","",IF(H491="","(no cost centre)",H491&amp;" - GL "&amp;IFERROR(INDEX(lst_CCtoGL,MATCH(H491,lst_CCforGL,0)),"?")))</f>
        <v/>
      </c>
      <c r="R491" s="37" t="n"/>
      <c r="S491" s="37" t="n"/>
      <c r="T491" s="10">
        <f>IF(S491="","",HYPERLINK(IF(LEFT(S491,4)="http",S491,set_QwilrBase&amp;S491),"Open quote"))</f>
        <v/>
      </c>
      <c r="U491" s="41" t="n"/>
      <c r="V491" s="37" t="n"/>
      <c r="W491" s="37" t="n"/>
      <c r="X491" s="10" t="inlineStr">
        <is>
          <t>ONS-0487</t>
        </is>
      </c>
    </row>
    <row r="492">
      <c r="A492" s="16">
        <f>IF($C492="","",IFERROR(IF(INDEX(tbl_Finance[Latest Invoice Date],MATCH($X492,tbl_Finance[Row ID],0))="","",INDEX(tbl_Finance[Latest Invoice Date],MATCH($X492,tbl_Finance[Row ID],0))),""))</f>
        <v/>
      </c>
      <c r="B492" s="10">
        <f>IF($C492="","",IFERROR(INDEX(tbl_Finance[Invoice Numbers],MATCH($X492,tbl_Finance[Row ID],0))&amp;"",""))</f>
        <v/>
      </c>
      <c r="C492" s="37" t="n"/>
      <c r="D492" s="10">
        <f>IF($C492="","",IF(COUNTIF(lst_Jobs,$C492&amp;"")&gt;0,"OK","CHECK"))</f>
        <v/>
      </c>
      <c r="E492" s="10">
        <f>IF($C492="","",IFERROR(INDEX(lst_JobName,MATCH($C492&amp;"",lst_Jobs,0)),""))</f>
        <v/>
      </c>
      <c r="F492" s="37" t="n"/>
      <c r="G492" s="37" t="n"/>
      <c r="H492" s="37" t="n"/>
      <c r="I492" s="37" t="n"/>
      <c r="J492" s="37" t="n"/>
      <c r="K492" s="38">
        <f>IF($C492="","",IFERROR(N(INDEX(tbl_Finance[Invoice Count],MATCH($X492,tbl_Finance[Row ID],0))),""))</f>
        <v/>
      </c>
      <c r="L492" s="11">
        <f>IF($C492="","",IFERROR(N(INDEX(tbl_Finance[Xero Invoiced Ex GST],MATCH($X492,tbl_Finance[Row ID],0))),""))</f>
        <v/>
      </c>
      <c r="M492" s="10">
        <f>IF($C492="","",IFERROR(INDEX(tbl_Finance[Compare],MATCH($X492,tbl_Finance[Row ID],0))&amp;"",""))</f>
        <v/>
      </c>
      <c r="N492" s="11">
        <f>IF($C492="","",MAX(0,N(O492)-N(L492)))</f>
        <v/>
      </c>
      <c r="O492" s="39" t="n"/>
      <c r="P492" s="40">
        <f>IF($C492="","",IF((IF(F492="",", Client","")&amp;IF(G492="",", Description","")&amp;IF(H492="",", Cost Centre","")&amp;IF(I492="",", Invoice Type","")&amp;IF(J492="",", Tax Code","")&amp;IF(O492="",", Expected Revenue","")&amp;IF(COUNTIF(tbl_Finance[Job Number],$C492&amp;"")&gt;1,", Job number used twice",""))="","Complete","Fix: "&amp;MID(IF(F492="",", Client","")&amp;IF(G492="",", Description","")&amp;IF(H492="",", Cost Centre","")&amp;IF(I492="",", Invoice Type","")&amp;IF(J492="",", Tax Code","")&amp;IF(O492="",", Expected Revenue","")&amp;IF(COUNTIF(tbl_Finance[Job Number],$C492&amp;"")&gt;1,", Job number used twice",""),3,300)))</f>
        <v/>
      </c>
      <c r="Q492" s="10">
        <f>IF($C492="","",IF(H492="","(no cost centre)",H492&amp;" - GL "&amp;IFERROR(INDEX(lst_CCtoGL,MATCH(H492,lst_CCforGL,0)),"?")))</f>
        <v/>
      </c>
      <c r="R492" s="37" t="n"/>
      <c r="S492" s="37" t="n"/>
      <c r="T492" s="10">
        <f>IF(S492="","",HYPERLINK(IF(LEFT(S492,4)="http",S492,set_QwilrBase&amp;S492),"Open quote"))</f>
        <v/>
      </c>
      <c r="U492" s="41" t="n"/>
      <c r="V492" s="37" t="n"/>
      <c r="W492" s="37" t="n"/>
      <c r="X492" s="10" t="inlineStr">
        <is>
          <t>ONS-0488</t>
        </is>
      </c>
    </row>
    <row r="493">
      <c r="A493" s="16">
        <f>IF($C493="","",IFERROR(IF(INDEX(tbl_Finance[Latest Invoice Date],MATCH($X493,tbl_Finance[Row ID],0))="","",INDEX(tbl_Finance[Latest Invoice Date],MATCH($X493,tbl_Finance[Row ID],0))),""))</f>
        <v/>
      </c>
      <c r="B493" s="10">
        <f>IF($C493="","",IFERROR(INDEX(tbl_Finance[Invoice Numbers],MATCH($X493,tbl_Finance[Row ID],0))&amp;"",""))</f>
        <v/>
      </c>
      <c r="C493" s="37" t="n"/>
      <c r="D493" s="10">
        <f>IF($C493="","",IF(COUNTIF(lst_Jobs,$C493&amp;"")&gt;0,"OK","CHECK"))</f>
        <v/>
      </c>
      <c r="E493" s="10">
        <f>IF($C493="","",IFERROR(INDEX(lst_JobName,MATCH($C493&amp;"",lst_Jobs,0)),""))</f>
        <v/>
      </c>
      <c r="F493" s="37" t="n"/>
      <c r="G493" s="37" t="n"/>
      <c r="H493" s="37" t="n"/>
      <c r="I493" s="37" t="n"/>
      <c r="J493" s="37" t="n"/>
      <c r="K493" s="38">
        <f>IF($C493="","",IFERROR(N(INDEX(tbl_Finance[Invoice Count],MATCH($X493,tbl_Finance[Row ID],0))),""))</f>
        <v/>
      </c>
      <c r="L493" s="11">
        <f>IF($C493="","",IFERROR(N(INDEX(tbl_Finance[Xero Invoiced Ex GST],MATCH($X493,tbl_Finance[Row ID],0))),""))</f>
        <v/>
      </c>
      <c r="M493" s="10">
        <f>IF($C493="","",IFERROR(INDEX(tbl_Finance[Compare],MATCH($X493,tbl_Finance[Row ID],0))&amp;"",""))</f>
        <v/>
      </c>
      <c r="N493" s="11">
        <f>IF($C493="","",MAX(0,N(O493)-N(L493)))</f>
        <v/>
      </c>
      <c r="O493" s="39" t="n"/>
      <c r="P493" s="40">
        <f>IF($C493="","",IF((IF(F493="",", Client","")&amp;IF(G493="",", Description","")&amp;IF(H493="",", Cost Centre","")&amp;IF(I493="",", Invoice Type","")&amp;IF(J493="",", Tax Code","")&amp;IF(O493="",", Expected Revenue","")&amp;IF(COUNTIF(tbl_Finance[Job Number],$C493&amp;"")&gt;1,", Job number used twice",""))="","Complete","Fix: "&amp;MID(IF(F493="",", Client","")&amp;IF(G493="",", Description","")&amp;IF(H493="",", Cost Centre","")&amp;IF(I493="",", Invoice Type","")&amp;IF(J493="",", Tax Code","")&amp;IF(O493="",", Expected Revenue","")&amp;IF(COUNTIF(tbl_Finance[Job Number],$C493&amp;"")&gt;1,", Job number used twice",""),3,300)))</f>
        <v/>
      </c>
      <c r="Q493" s="10">
        <f>IF($C493="","",IF(H493="","(no cost centre)",H493&amp;" - GL "&amp;IFERROR(INDEX(lst_CCtoGL,MATCH(H493,lst_CCforGL,0)),"?")))</f>
        <v/>
      </c>
      <c r="R493" s="37" t="n"/>
      <c r="S493" s="37" t="n"/>
      <c r="T493" s="10">
        <f>IF(S493="","",HYPERLINK(IF(LEFT(S493,4)="http",S493,set_QwilrBase&amp;S493),"Open quote"))</f>
        <v/>
      </c>
      <c r="U493" s="41" t="n"/>
      <c r="V493" s="37" t="n"/>
      <c r="W493" s="37" t="n"/>
      <c r="X493" s="10" t="inlineStr">
        <is>
          <t>ONS-0489</t>
        </is>
      </c>
    </row>
    <row r="494">
      <c r="A494" s="16">
        <f>IF($C494="","",IFERROR(IF(INDEX(tbl_Finance[Latest Invoice Date],MATCH($X494,tbl_Finance[Row ID],0))="","",INDEX(tbl_Finance[Latest Invoice Date],MATCH($X494,tbl_Finance[Row ID],0))),""))</f>
        <v/>
      </c>
      <c r="B494" s="10">
        <f>IF($C494="","",IFERROR(INDEX(tbl_Finance[Invoice Numbers],MATCH($X494,tbl_Finance[Row ID],0))&amp;"",""))</f>
        <v/>
      </c>
      <c r="C494" s="37" t="n"/>
      <c r="D494" s="10">
        <f>IF($C494="","",IF(COUNTIF(lst_Jobs,$C494&amp;"")&gt;0,"OK","CHECK"))</f>
        <v/>
      </c>
      <c r="E494" s="10">
        <f>IF($C494="","",IFERROR(INDEX(lst_JobName,MATCH($C494&amp;"",lst_Jobs,0)),""))</f>
        <v/>
      </c>
      <c r="F494" s="37" t="n"/>
      <c r="G494" s="37" t="n"/>
      <c r="H494" s="37" t="n"/>
      <c r="I494" s="37" t="n"/>
      <c r="J494" s="37" t="n"/>
      <c r="K494" s="38">
        <f>IF($C494="","",IFERROR(N(INDEX(tbl_Finance[Invoice Count],MATCH($X494,tbl_Finance[Row ID],0))),""))</f>
        <v/>
      </c>
      <c r="L494" s="11">
        <f>IF($C494="","",IFERROR(N(INDEX(tbl_Finance[Xero Invoiced Ex GST],MATCH($X494,tbl_Finance[Row ID],0))),""))</f>
        <v/>
      </c>
      <c r="M494" s="10">
        <f>IF($C494="","",IFERROR(INDEX(tbl_Finance[Compare],MATCH($X494,tbl_Finance[Row ID],0))&amp;"",""))</f>
        <v/>
      </c>
      <c r="N494" s="11">
        <f>IF($C494="","",MAX(0,N(O494)-N(L494)))</f>
        <v/>
      </c>
      <c r="O494" s="39" t="n"/>
      <c r="P494" s="40">
        <f>IF($C494="","",IF((IF(F494="",", Client","")&amp;IF(G494="",", Description","")&amp;IF(H494="",", Cost Centre","")&amp;IF(I494="",", Invoice Type","")&amp;IF(J494="",", Tax Code","")&amp;IF(O494="",", Expected Revenue","")&amp;IF(COUNTIF(tbl_Finance[Job Number],$C494&amp;"")&gt;1,", Job number used twice",""))="","Complete","Fix: "&amp;MID(IF(F494="",", Client","")&amp;IF(G494="",", Description","")&amp;IF(H494="",", Cost Centre","")&amp;IF(I494="",", Invoice Type","")&amp;IF(J494="",", Tax Code","")&amp;IF(O494="",", Expected Revenue","")&amp;IF(COUNTIF(tbl_Finance[Job Number],$C494&amp;"")&gt;1,", Job number used twice",""),3,300)))</f>
        <v/>
      </c>
      <c r="Q494" s="10">
        <f>IF($C494="","",IF(H494="","(no cost centre)",H494&amp;" - GL "&amp;IFERROR(INDEX(lst_CCtoGL,MATCH(H494,lst_CCforGL,0)),"?")))</f>
        <v/>
      </c>
      <c r="R494" s="37" t="n"/>
      <c r="S494" s="37" t="n"/>
      <c r="T494" s="10">
        <f>IF(S494="","",HYPERLINK(IF(LEFT(S494,4)="http",S494,set_QwilrBase&amp;S494),"Open quote"))</f>
        <v/>
      </c>
      <c r="U494" s="41" t="n"/>
      <c r="V494" s="37" t="n"/>
      <c r="W494" s="37" t="n"/>
      <c r="X494" s="10" t="inlineStr">
        <is>
          <t>ONS-0490</t>
        </is>
      </c>
    </row>
    <row r="495">
      <c r="A495" s="16">
        <f>IF($C495="","",IFERROR(IF(INDEX(tbl_Finance[Latest Invoice Date],MATCH($X495,tbl_Finance[Row ID],0))="","",INDEX(tbl_Finance[Latest Invoice Date],MATCH($X495,tbl_Finance[Row ID],0))),""))</f>
        <v/>
      </c>
      <c r="B495" s="10">
        <f>IF($C495="","",IFERROR(INDEX(tbl_Finance[Invoice Numbers],MATCH($X495,tbl_Finance[Row ID],0))&amp;"",""))</f>
        <v/>
      </c>
      <c r="C495" s="37" t="n"/>
      <c r="D495" s="10">
        <f>IF($C495="","",IF(COUNTIF(lst_Jobs,$C495&amp;"")&gt;0,"OK","CHECK"))</f>
        <v/>
      </c>
      <c r="E495" s="10">
        <f>IF($C495="","",IFERROR(INDEX(lst_JobName,MATCH($C495&amp;"",lst_Jobs,0)),""))</f>
        <v/>
      </c>
      <c r="F495" s="37" t="n"/>
      <c r="G495" s="37" t="n"/>
      <c r="H495" s="37" t="n"/>
      <c r="I495" s="37" t="n"/>
      <c r="J495" s="37" t="n"/>
      <c r="K495" s="38">
        <f>IF($C495="","",IFERROR(N(INDEX(tbl_Finance[Invoice Count],MATCH($X495,tbl_Finance[Row ID],0))),""))</f>
        <v/>
      </c>
      <c r="L495" s="11">
        <f>IF($C495="","",IFERROR(N(INDEX(tbl_Finance[Xero Invoiced Ex GST],MATCH($X495,tbl_Finance[Row ID],0))),""))</f>
        <v/>
      </c>
      <c r="M495" s="10">
        <f>IF($C495="","",IFERROR(INDEX(tbl_Finance[Compare],MATCH($X495,tbl_Finance[Row ID],0))&amp;"",""))</f>
        <v/>
      </c>
      <c r="N495" s="11">
        <f>IF($C495="","",MAX(0,N(O495)-N(L495)))</f>
        <v/>
      </c>
      <c r="O495" s="39" t="n"/>
      <c r="P495" s="40">
        <f>IF($C495="","",IF((IF(F495="",", Client","")&amp;IF(G495="",", Description","")&amp;IF(H495="",", Cost Centre","")&amp;IF(I495="",", Invoice Type","")&amp;IF(J495="",", Tax Code","")&amp;IF(O495="",", Expected Revenue","")&amp;IF(COUNTIF(tbl_Finance[Job Number],$C495&amp;"")&gt;1,", Job number used twice",""))="","Complete","Fix: "&amp;MID(IF(F495="",", Client","")&amp;IF(G495="",", Description","")&amp;IF(H495="",", Cost Centre","")&amp;IF(I495="",", Invoice Type","")&amp;IF(J495="",", Tax Code","")&amp;IF(O495="",", Expected Revenue","")&amp;IF(COUNTIF(tbl_Finance[Job Number],$C495&amp;"")&gt;1,", Job number used twice",""),3,300)))</f>
        <v/>
      </c>
      <c r="Q495" s="10">
        <f>IF($C495="","",IF(H495="","(no cost centre)",H495&amp;" - GL "&amp;IFERROR(INDEX(lst_CCtoGL,MATCH(H495,lst_CCforGL,0)),"?")))</f>
        <v/>
      </c>
      <c r="R495" s="37" t="n"/>
      <c r="S495" s="37" t="n"/>
      <c r="T495" s="10">
        <f>IF(S495="","",HYPERLINK(IF(LEFT(S495,4)="http",S495,set_QwilrBase&amp;S495),"Open quote"))</f>
        <v/>
      </c>
      <c r="U495" s="41" t="n"/>
      <c r="V495" s="37" t="n"/>
      <c r="W495" s="37" t="n"/>
      <c r="X495" s="10" t="inlineStr">
        <is>
          <t>ONS-0491</t>
        </is>
      </c>
    </row>
    <row r="496">
      <c r="A496" s="16">
        <f>IF($C496="","",IFERROR(IF(INDEX(tbl_Finance[Latest Invoice Date],MATCH($X496,tbl_Finance[Row ID],0))="","",INDEX(tbl_Finance[Latest Invoice Date],MATCH($X496,tbl_Finance[Row ID],0))),""))</f>
        <v/>
      </c>
      <c r="B496" s="10">
        <f>IF($C496="","",IFERROR(INDEX(tbl_Finance[Invoice Numbers],MATCH($X496,tbl_Finance[Row ID],0))&amp;"",""))</f>
        <v/>
      </c>
      <c r="C496" s="37" t="n"/>
      <c r="D496" s="10">
        <f>IF($C496="","",IF(COUNTIF(lst_Jobs,$C496&amp;"")&gt;0,"OK","CHECK"))</f>
        <v/>
      </c>
      <c r="E496" s="10">
        <f>IF($C496="","",IFERROR(INDEX(lst_JobName,MATCH($C496&amp;"",lst_Jobs,0)),""))</f>
        <v/>
      </c>
      <c r="F496" s="37" t="n"/>
      <c r="G496" s="37" t="n"/>
      <c r="H496" s="37" t="n"/>
      <c r="I496" s="37" t="n"/>
      <c r="J496" s="37" t="n"/>
      <c r="K496" s="38">
        <f>IF($C496="","",IFERROR(N(INDEX(tbl_Finance[Invoice Count],MATCH($X496,tbl_Finance[Row ID],0))),""))</f>
        <v/>
      </c>
      <c r="L496" s="11">
        <f>IF($C496="","",IFERROR(N(INDEX(tbl_Finance[Xero Invoiced Ex GST],MATCH($X496,tbl_Finance[Row ID],0))),""))</f>
        <v/>
      </c>
      <c r="M496" s="10">
        <f>IF($C496="","",IFERROR(INDEX(tbl_Finance[Compare],MATCH($X496,tbl_Finance[Row ID],0))&amp;"",""))</f>
        <v/>
      </c>
      <c r="N496" s="11">
        <f>IF($C496="","",MAX(0,N(O496)-N(L496)))</f>
        <v/>
      </c>
      <c r="O496" s="39" t="n"/>
      <c r="P496" s="40">
        <f>IF($C496="","",IF((IF(F496="",", Client","")&amp;IF(G496="",", Description","")&amp;IF(H496="",", Cost Centre","")&amp;IF(I496="",", Invoice Type","")&amp;IF(J496="",", Tax Code","")&amp;IF(O496="",", Expected Revenue","")&amp;IF(COUNTIF(tbl_Finance[Job Number],$C496&amp;"")&gt;1,", Job number used twice",""))="","Complete","Fix: "&amp;MID(IF(F496="",", Client","")&amp;IF(G496="",", Description","")&amp;IF(H496="",", Cost Centre","")&amp;IF(I496="",", Invoice Type","")&amp;IF(J496="",", Tax Code","")&amp;IF(O496="",", Expected Revenue","")&amp;IF(COUNTIF(tbl_Finance[Job Number],$C496&amp;"")&gt;1,", Job number used twice",""),3,300)))</f>
        <v/>
      </c>
      <c r="Q496" s="10">
        <f>IF($C496="","",IF(H496="","(no cost centre)",H496&amp;" - GL "&amp;IFERROR(INDEX(lst_CCtoGL,MATCH(H496,lst_CCforGL,0)),"?")))</f>
        <v/>
      </c>
      <c r="R496" s="37" t="n"/>
      <c r="S496" s="37" t="n"/>
      <c r="T496" s="10">
        <f>IF(S496="","",HYPERLINK(IF(LEFT(S496,4)="http",S496,set_QwilrBase&amp;S496),"Open quote"))</f>
        <v/>
      </c>
      <c r="U496" s="41" t="n"/>
      <c r="V496" s="37" t="n"/>
      <c r="W496" s="37" t="n"/>
      <c r="X496" s="10" t="inlineStr">
        <is>
          <t>ONS-0492</t>
        </is>
      </c>
    </row>
    <row r="497">
      <c r="A497" s="16">
        <f>IF($C497="","",IFERROR(IF(INDEX(tbl_Finance[Latest Invoice Date],MATCH($X497,tbl_Finance[Row ID],0))="","",INDEX(tbl_Finance[Latest Invoice Date],MATCH($X497,tbl_Finance[Row ID],0))),""))</f>
        <v/>
      </c>
      <c r="B497" s="10">
        <f>IF($C497="","",IFERROR(INDEX(tbl_Finance[Invoice Numbers],MATCH($X497,tbl_Finance[Row ID],0))&amp;"",""))</f>
        <v/>
      </c>
      <c r="C497" s="37" t="n"/>
      <c r="D497" s="10">
        <f>IF($C497="","",IF(COUNTIF(lst_Jobs,$C497&amp;"")&gt;0,"OK","CHECK"))</f>
        <v/>
      </c>
      <c r="E497" s="10">
        <f>IF($C497="","",IFERROR(INDEX(lst_JobName,MATCH($C497&amp;"",lst_Jobs,0)),""))</f>
        <v/>
      </c>
      <c r="F497" s="37" t="n"/>
      <c r="G497" s="37" t="n"/>
      <c r="H497" s="37" t="n"/>
      <c r="I497" s="37" t="n"/>
      <c r="J497" s="37" t="n"/>
      <c r="K497" s="38">
        <f>IF($C497="","",IFERROR(N(INDEX(tbl_Finance[Invoice Count],MATCH($X497,tbl_Finance[Row ID],0))),""))</f>
        <v/>
      </c>
      <c r="L497" s="11">
        <f>IF($C497="","",IFERROR(N(INDEX(tbl_Finance[Xero Invoiced Ex GST],MATCH($X497,tbl_Finance[Row ID],0))),""))</f>
        <v/>
      </c>
      <c r="M497" s="10">
        <f>IF($C497="","",IFERROR(INDEX(tbl_Finance[Compare],MATCH($X497,tbl_Finance[Row ID],0))&amp;"",""))</f>
        <v/>
      </c>
      <c r="N497" s="11">
        <f>IF($C497="","",MAX(0,N(O497)-N(L497)))</f>
        <v/>
      </c>
      <c r="O497" s="39" t="n"/>
      <c r="P497" s="40">
        <f>IF($C497="","",IF((IF(F497="",", Client","")&amp;IF(G497="",", Description","")&amp;IF(H497="",", Cost Centre","")&amp;IF(I497="",", Invoice Type","")&amp;IF(J497="",", Tax Code","")&amp;IF(O497="",", Expected Revenue","")&amp;IF(COUNTIF(tbl_Finance[Job Number],$C497&amp;"")&gt;1,", Job number used twice",""))="","Complete","Fix: "&amp;MID(IF(F497="",", Client","")&amp;IF(G497="",", Description","")&amp;IF(H497="",", Cost Centre","")&amp;IF(I497="",", Invoice Type","")&amp;IF(J497="",", Tax Code","")&amp;IF(O497="",", Expected Revenue","")&amp;IF(COUNTIF(tbl_Finance[Job Number],$C497&amp;"")&gt;1,", Job number used twice",""),3,300)))</f>
        <v/>
      </c>
      <c r="Q497" s="10">
        <f>IF($C497="","",IF(H497="","(no cost centre)",H497&amp;" - GL "&amp;IFERROR(INDEX(lst_CCtoGL,MATCH(H497,lst_CCforGL,0)),"?")))</f>
        <v/>
      </c>
      <c r="R497" s="37" t="n"/>
      <c r="S497" s="37" t="n"/>
      <c r="T497" s="10">
        <f>IF(S497="","",HYPERLINK(IF(LEFT(S497,4)="http",S497,set_QwilrBase&amp;S497),"Open quote"))</f>
        <v/>
      </c>
      <c r="U497" s="41" t="n"/>
      <c r="V497" s="37" t="n"/>
      <c r="W497" s="37" t="n"/>
      <c r="X497" s="10" t="inlineStr">
        <is>
          <t>ONS-0493</t>
        </is>
      </c>
    </row>
    <row r="498">
      <c r="A498" s="16">
        <f>IF($C498="","",IFERROR(IF(INDEX(tbl_Finance[Latest Invoice Date],MATCH($X498,tbl_Finance[Row ID],0))="","",INDEX(tbl_Finance[Latest Invoice Date],MATCH($X498,tbl_Finance[Row ID],0))),""))</f>
        <v/>
      </c>
      <c r="B498" s="10">
        <f>IF($C498="","",IFERROR(INDEX(tbl_Finance[Invoice Numbers],MATCH($X498,tbl_Finance[Row ID],0))&amp;"",""))</f>
        <v/>
      </c>
      <c r="C498" s="37" t="n"/>
      <c r="D498" s="10">
        <f>IF($C498="","",IF(COUNTIF(lst_Jobs,$C498&amp;"")&gt;0,"OK","CHECK"))</f>
        <v/>
      </c>
      <c r="E498" s="10">
        <f>IF($C498="","",IFERROR(INDEX(lst_JobName,MATCH($C498&amp;"",lst_Jobs,0)),""))</f>
        <v/>
      </c>
      <c r="F498" s="37" t="n"/>
      <c r="G498" s="37" t="n"/>
      <c r="H498" s="37" t="n"/>
      <c r="I498" s="37" t="n"/>
      <c r="J498" s="37" t="n"/>
      <c r="K498" s="38">
        <f>IF($C498="","",IFERROR(N(INDEX(tbl_Finance[Invoice Count],MATCH($X498,tbl_Finance[Row ID],0))),""))</f>
        <v/>
      </c>
      <c r="L498" s="11">
        <f>IF($C498="","",IFERROR(N(INDEX(tbl_Finance[Xero Invoiced Ex GST],MATCH($X498,tbl_Finance[Row ID],0))),""))</f>
        <v/>
      </c>
      <c r="M498" s="10">
        <f>IF($C498="","",IFERROR(INDEX(tbl_Finance[Compare],MATCH($X498,tbl_Finance[Row ID],0))&amp;"",""))</f>
        <v/>
      </c>
      <c r="N498" s="11">
        <f>IF($C498="","",MAX(0,N(O498)-N(L498)))</f>
        <v/>
      </c>
      <c r="O498" s="39" t="n"/>
      <c r="P498" s="40">
        <f>IF($C498="","",IF((IF(F498="",", Client","")&amp;IF(G498="",", Description","")&amp;IF(H498="",", Cost Centre","")&amp;IF(I498="",", Invoice Type","")&amp;IF(J498="",", Tax Code","")&amp;IF(O498="",", Expected Revenue","")&amp;IF(COUNTIF(tbl_Finance[Job Number],$C498&amp;"")&gt;1,", Job number used twice",""))="","Complete","Fix: "&amp;MID(IF(F498="",", Client","")&amp;IF(G498="",", Description","")&amp;IF(H498="",", Cost Centre","")&amp;IF(I498="",", Invoice Type","")&amp;IF(J498="",", Tax Code","")&amp;IF(O498="",", Expected Revenue","")&amp;IF(COUNTIF(tbl_Finance[Job Number],$C498&amp;"")&gt;1,", Job number used twice",""),3,300)))</f>
        <v/>
      </c>
      <c r="Q498" s="10">
        <f>IF($C498="","",IF(H498="","(no cost centre)",H498&amp;" - GL "&amp;IFERROR(INDEX(lst_CCtoGL,MATCH(H498,lst_CCforGL,0)),"?")))</f>
        <v/>
      </c>
      <c r="R498" s="37" t="n"/>
      <c r="S498" s="37" t="n"/>
      <c r="T498" s="10">
        <f>IF(S498="","",HYPERLINK(IF(LEFT(S498,4)="http",S498,set_QwilrBase&amp;S498),"Open quote"))</f>
        <v/>
      </c>
      <c r="U498" s="41" t="n"/>
      <c r="V498" s="37" t="n"/>
      <c r="W498" s="37" t="n"/>
      <c r="X498" s="10" t="inlineStr">
        <is>
          <t>ONS-0494</t>
        </is>
      </c>
    </row>
    <row r="499">
      <c r="A499" s="16">
        <f>IF($C499="","",IFERROR(IF(INDEX(tbl_Finance[Latest Invoice Date],MATCH($X499,tbl_Finance[Row ID],0))="","",INDEX(tbl_Finance[Latest Invoice Date],MATCH($X499,tbl_Finance[Row ID],0))),""))</f>
        <v/>
      </c>
      <c r="B499" s="10">
        <f>IF($C499="","",IFERROR(INDEX(tbl_Finance[Invoice Numbers],MATCH($X499,tbl_Finance[Row ID],0))&amp;"",""))</f>
        <v/>
      </c>
      <c r="C499" s="37" t="n"/>
      <c r="D499" s="10">
        <f>IF($C499="","",IF(COUNTIF(lst_Jobs,$C499&amp;"")&gt;0,"OK","CHECK"))</f>
        <v/>
      </c>
      <c r="E499" s="10">
        <f>IF($C499="","",IFERROR(INDEX(lst_JobName,MATCH($C499&amp;"",lst_Jobs,0)),""))</f>
        <v/>
      </c>
      <c r="F499" s="37" t="n"/>
      <c r="G499" s="37" t="n"/>
      <c r="H499" s="37" t="n"/>
      <c r="I499" s="37" t="n"/>
      <c r="J499" s="37" t="n"/>
      <c r="K499" s="38">
        <f>IF($C499="","",IFERROR(N(INDEX(tbl_Finance[Invoice Count],MATCH($X499,tbl_Finance[Row ID],0))),""))</f>
        <v/>
      </c>
      <c r="L499" s="11">
        <f>IF($C499="","",IFERROR(N(INDEX(tbl_Finance[Xero Invoiced Ex GST],MATCH($X499,tbl_Finance[Row ID],0))),""))</f>
        <v/>
      </c>
      <c r="M499" s="10">
        <f>IF($C499="","",IFERROR(INDEX(tbl_Finance[Compare],MATCH($X499,tbl_Finance[Row ID],0))&amp;"",""))</f>
        <v/>
      </c>
      <c r="N499" s="11">
        <f>IF($C499="","",MAX(0,N(O499)-N(L499)))</f>
        <v/>
      </c>
      <c r="O499" s="39" t="n"/>
      <c r="P499" s="40">
        <f>IF($C499="","",IF((IF(F499="",", Client","")&amp;IF(G499="",", Description","")&amp;IF(H499="",", Cost Centre","")&amp;IF(I499="",", Invoice Type","")&amp;IF(J499="",", Tax Code","")&amp;IF(O499="",", Expected Revenue","")&amp;IF(COUNTIF(tbl_Finance[Job Number],$C499&amp;"")&gt;1,", Job number used twice",""))="","Complete","Fix: "&amp;MID(IF(F499="",", Client","")&amp;IF(G499="",", Description","")&amp;IF(H499="",", Cost Centre","")&amp;IF(I499="",", Invoice Type","")&amp;IF(J499="",", Tax Code","")&amp;IF(O499="",", Expected Revenue","")&amp;IF(COUNTIF(tbl_Finance[Job Number],$C499&amp;"")&gt;1,", Job number used twice",""),3,300)))</f>
        <v/>
      </c>
      <c r="Q499" s="10">
        <f>IF($C499="","",IF(H499="","(no cost centre)",H499&amp;" - GL "&amp;IFERROR(INDEX(lst_CCtoGL,MATCH(H499,lst_CCforGL,0)),"?")))</f>
        <v/>
      </c>
      <c r="R499" s="37" t="n"/>
      <c r="S499" s="37" t="n"/>
      <c r="T499" s="10">
        <f>IF(S499="","",HYPERLINK(IF(LEFT(S499,4)="http",S499,set_QwilrBase&amp;S499),"Open quote"))</f>
        <v/>
      </c>
      <c r="U499" s="41" t="n"/>
      <c r="V499" s="37" t="n"/>
      <c r="W499" s="37" t="n"/>
      <c r="X499" s="10" t="inlineStr">
        <is>
          <t>ONS-0495</t>
        </is>
      </c>
    </row>
    <row r="500">
      <c r="A500" s="16">
        <f>IF($C500="","",IFERROR(IF(INDEX(tbl_Finance[Latest Invoice Date],MATCH($X500,tbl_Finance[Row ID],0))="","",INDEX(tbl_Finance[Latest Invoice Date],MATCH($X500,tbl_Finance[Row ID],0))),""))</f>
        <v/>
      </c>
      <c r="B500" s="10">
        <f>IF($C500="","",IFERROR(INDEX(tbl_Finance[Invoice Numbers],MATCH($X500,tbl_Finance[Row ID],0))&amp;"",""))</f>
        <v/>
      </c>
      <c r="C500" s="37" t="n"/>
      <c r="D500" s="10">
        <f>IF($C500="","",IF(COUNTIF(lst_Jobs,$C500&amp;"")&gt;0,"OK","CHECK"))</f>
        <v/>
      </c>
      <c r="E500" s="10">
        <f>IF($C500="","",IFERROR(INDEX(lst_JobName,MATCH($C500&amp;"",lst_Jobs,0)),""))</f>
        <v/>
      </c>
      <c r="F500" s="37" t="n"/>
      <c r="G500" s="37" t="n"/>
      <c r="H500" s="37" t="n"/>
      <c r="I500" s="37" t="n"/>
      <c r="J500" s="37" t="n"/>
      <c r="K500" s="38">
        <f>IF($C500="","",IFERROR(N(INDEX(tbl_Finance[Invoice Count],MATCH($X500,tbl_Finance[Row ID],0))),""))</f>
        <v/>
      </c>
      <c r="L500" s="11">
        <f>IF($C500="","",IFERROR(N(INDEX(tbl_Finance[Xero Invoiced Ex GST],MATCH($X500,tbl_Finance[Row ID],0))),""))</f>
        <v/>
      </c>
      <c r="M500" s="10">
        <f>IF($C500="","",IFERROR(INDEX(tbl_Finance[Compare],MATCH($X500,tbl_Finance[Row ID],0))&amp;"",""))</f>
        <v/>
      </c>
      <c r="N500" s="11">
        <f>IF($C500="","",MAX(0,N(O500)-N(L500)))</f>
        <v/>
      </c>
      <c r="O500" s="39" t="n"/>
      <c r="P500" s="40">
        <f>IF($C500="","",IF((IF(F500="",", Client","")&amp;IF(G500="",", Description","")&amp;IF(H500="",", Cost Centre","")&amp;IF(I500="",", Invoice Type","")&amp;IF(J500="",", Tax Code","")&amp;IF(O500="",", Expected Revenue","")&amp;IF(COUNTIF(tbl_Finance[Job Number],$C500&amp;"")&gt;1,", Job number used twice",""))="","Complete","Fix: "&amp;MID(IF(F500="",", Client","")&amp;IF(G500="",", Description","")&amp;IF(H500="",", Cost Centre","")&amp;IF(I500="",", Invoice Type","")&amp;IF(J500="",", Tax Code","")&amp;IF(O500="",", Expected Revenue","")&amp;IF(COUNTIF(tbl_Finance[Job Number],$C500&amp;"")&gt;1,", Job number used twice",""),3,300)))</f>
        <v/>
      </c>
      <c r="Q500" s="10">
        <f>IF($C500="","",IF(H500="","(no cost centre)",H500&amp;" - GL "&amp;IFERROR(INDEX(lst_CCtoGL,MATCH(H500,lst_CCforGL,0)),"?")))</f>
        <v/>
      </c>
      <c r="R500" s="37" t="n"/>
      <c r="S500" s="37" t="n"/>
      <c r="T500" s="10">
        <f>IF(S500="","",HYPERLINK(IF(LEFT(S500,4)="http",S500,set_QwilrBase&amp;S500),"Open quote"))</f>
        <v/>
      </c>
      <c r="U500" s="41" t="n"/>
      <c r="V500" s="37" t="n"/>
      <c r="W500" s="37" t="n"/>
      <c r="X500" s="10" t="inlineStr">
        <is>
          <t>ONS-0496</t>
        </is>
      </c>
    </row>
    <row r="501">
      <c r="A501" s="16">
        <f>IF($C501="","",IFERROR(IF(INDEX(tbl_Finance[Latest Invoice Date],MATCH($X501,tbl_Finance[Row ID],0))="","",INDEX(tbl_Finance[Latest Invoice Date],MATCH($X501,tbl_Finance[Row ID],0))),""))</f>
        <v/>
      </c>
      <c r="B501" s="10">
        <f>IF($C501="","",IFERROR(INDEX(tbl_Finance[Invoice Numbers],MATCH($X501,tbl_Finance[Row ID],0))&amp;"",""))</f>
        <v/>
      </c>
      <c r="C501" s="37" t="n"/>
      <c r="D501" s="10">
        <f>IF($C501="","",IF(COUNTIF(lst_Jobs,$C501&amp;"")&gt;0,"OK","CHECK"))</f>
        <v/>
      </c>
      <c r="E501" s="10">
        <f>IF($C501="","",IFERROR(INDEX(lst_JobName,MATCH($C501&amp;"",lst_Jobs,0)),""))</f>
        <v/>
      </c>
      <c r="F501" s="37" t="n"/>
      <c r="G501" s="37" t="n"/>
      <c r="H501" s="37" t="n"/>
      <c r="I501" s="37" t="n"/>
      <c r="J501" s="37" t="n"/>
      <c r="K501" s="38">
        <f>IF($C501="","",IFERROR(N(INDEX(tbl_Finance[Invoice Count],MATCH($X501,tbl_Finance[Row ID],0))),""))</f>
        <v/>
      </c>
      <c r="L501" s="11">
        <f>IF($C501="","",IFERROR(N(INDEX(tbl_Finance[Xero Invoiced Ex GST],MATCH($X501,tbl_Finance[Row ID],0))),""))</f>
        <v/>
      </c>
      <c r="M501" s="10">
        <f>IF($C501="","",IFERROR(INDEX(tbl_Finance[Compare],MATCH($X501,tbl_Finance[Row ID],0))&amp;"",""))</f>
        <v/>
      </c>
      <c r="N501" s="11">
        <f>IF($C501="","",MAX(0,N(O501)-N(L501)))</f>
        <v/>
      </c>
      <c r="O501" s="39" t="n"/>
      <c r="P501" s="40">
        <f>IF($C501="","",IF((IF(F501="",", Client","")&amp;IF(G501="",", Description","")&amp;IF(H501="",", Cost Centre","")&amp;IF(I501="",", Invoice Type","")&amp;IF(J501="",", Tax Code","")&amp;IF(O501="",", Expected Revenue","")&amp;IF(COUNTIF(tbl_Finance[Job Number],$C501&amp;"")&gt;1,", Job number used twice",""))="","Complete","Fix: "&amp;MID(IF(F501="",", Client","")&amp;IF(G501="",", Description","")&amp;IF(H501="",", Cost Centre","")&amp;IF(I501="",", Invoice Type","")&amp;IF(J501="",", Tax Code","")&amp;IF(O501="",", Expected Revenue","")&amp;IF(COUNTIF(tbl_Finance[Job Number],$C501&amp;"")&gt;1,", Job number used twice",""),3,300)))</f>
        <v/>
      </c>
      <c r="Q501" s="10">
        <f>IF($C501="","",IF(H501="","(no cost centre)",H501&amp;" - GL "&amp;IFERROR(INDEX(lst_CCtoGL,MATCH(H501,lst_CCforGL,0)),"?")))</f>
        <v/>
      </c>
      <c r="R501" s="37" t="n"/>
      <c r="S501" s="37" t="n"/>
      <c r="T501" s="10">
        <f>IF(S501="","",HYPERLINK(IF(LEFT(S501,4)="http",S501,set_QwilrBase&amp;S501),"Open quote"))</f>
        <v/>
      </c>
      <c r="U501" s="41" t="n"/>
      <c r="V501" s="37" t="n"/>
      <c r="W501" s="37" t="n"/>
      <c r="X501" s="10" t="inlineStr">
        <is>
          <t>ONS-0497</t>
        </is>
      </c>
    </row>
    <row r="502">
      <c r="A502" s="16">
        <f>IF($C502="","",IFERROR(IF(INDEX(tbl_Finance[Latest Invoice Date],MATCH($X502,tbl_Finance[Row ID],0))="","",INDEX(tbl_Finance[Latest Invoice Date],MATCH($X502,tbl_Finance[Row ID],0))),""))</f>
        <v/>
      </c>
      <c r="B502" s="10">
        <f>IF($C502="","",IFERROR(INDEX(tbl_Finance[Invoice Numbers],MATCH($X502,tbl_Finance[Row ID],0))&amp;"",""))</f>
        <v/>
      </c>
      <c r="C502" s="37" t="n"/>
      <c r="D502" s="10">
        <f>IF($C502="","",IF(COUNTIF(lst_Jobs,$C502&amp;"")&gt;0,"OK","CHECK"))</f>
        <v/>
      </c>
      <c r="E502" s="10">
        <f>IF($C502="","",IFERROR(INDEX(lst_JobName,MATCH($C502&amp;"",lst_Jobs,0)),""))</f>
        <v/>
      </c>
      <c r="F502" s="37" t="n"/>
      <c r="G502" s="37" t="n"/>
      <c r="H502" s="37" t="n"/>
      <c r="I502" s="37" t="n"/>
      <c r="J502" s="37" t="n"/>
      <c r="K502" s="38">
        <f>IF($C502="","",IFERROR(N(INDEX(tbl_Finance[Invoice Count],MATCH($X502,tbl_Finance[Row ID],0))),""))</f>
        <v/>
      </c>
      <c r="L502" s="11">
        <f>IF($C502="","",IFERROR(N(INDEX(tbl_Finance[Xero Invoiced Ex GST],MATCH($X502,tbl_Finance[Row ID],0))),""))</f>
        <v/>
      </c>
      <c r="M502" s="10">
        <f>IF($C502="","",IFERROR(INDEX(tbl_Finance[Compare],MATCH($X502,tbl_Finance[Row ID],0))&amp;"",""))</f>
        <v/>
      </c>
      <c r="N502" s="11">
        <f>IF($C502="","",MAX(0,N(O502)-N(L502)))</f>
        <v/>
      </c>
      <c r="O502" s="39" t="n"/>
      <c r="P502" s="40">
        <f>IF($C502="","",IF((IF(F502="",", Client","")&amp;IF(G502="",", Description","")&amp;IF(H502="",", Cost Centre","")&amp;IF(I502="",", Invoice Type","")&amp;IF(J502="",", Tax Code","")&amp;IF(O502="",", Expected Revenue","")&amp;IF(COUNTIF(tbl_Finance[Job Number],$C502&amp;"")&gt;1,", Job number used twice",""))="","Complete","Fix: "&amp;MID(IF(F502="",", Client","")&amp;IF(G502="",", Description","")&amp;IF(H502="",", Cost Centre","")&amp;IF(I502="",", Invoice Type","")&amp;IF(J502="",", Tax Code","")&amp;IF(O502="",", Expected Revenue","")&amp;IF(COUNTIF(tbl_Finance[Job Number],$C502&amp;"")&gt;1,", Job number used twice",""),3,300)))</f>
        <v/>
      </c>
      <c r="Q502" s="10">
        <f>IF($C502="","",IF(H502="","(no cost centre)",H502&amp;" - GL "&amp;IFERROR(INDEX(lst_CCtoGL,MATCH(H502,lst_CCforGL,0)),"?")))</f>
        <v/>
      </c>
      <c r="R502" s="37" t="n"/>
      <c r="S502" s="37" t="n"/>
      <c r="T502" s="10">
        <f>IF(S502="","",HYPERLINK(IF(LEFT(S502,4)="http",S502,set_QwilrBase&amp;S502),"Open quote"))</f>
        <v/>
      </c>
      <c r="U502" s="41" t="n"/>
      <c r="V502" s="37" t="n"/>
      <c r="W502" s="37" t="n"/>
      <c r="X502" s="10" t="inlineStr">
        <is>
          <t>ONS-0498</t>
        </is>
      </c>
    </row>
    <row r="503">
      <c r="A503" s="16">
        <f>IF($C503="","",IFERROR(IF(INDEX(tbl_Finance[Latest Invoice Date],MATCH($X503,tbl_Finance[Row ID],0))="","",INDEX(tbl_Finance[Latest Invoice Date],MATCH($X503,tbl_Finance[Row ID],0))),""))</f>
        <v/>
      </c>
      <c r="B503" s="10">
        <f>IF($C503="","",IFERROR(INDEX(tbl_Finance[Invoice Numbers],MATCH($X503,tbl_Finance[Row ID],0))&amp;"",""))</f>
        <v/>
      </c>
      <c r="C503" s="37" t="n"/>
      <c r="D503" s="10">
        <f>IF($C503="","",IF(COUNTIF(lst_Jobs,$C503&amp;"")&gt;0,"OK","CHECK"))</f>
        <v/>
      </c>
      <c r="E503" s="10">
        <f>IF($C503="","",IFERROR(INDEX(lst_JobName,MATCH($C503&amp;"",lst_Jobs,0)),""))</f>
        <v/>
      </c>
      <c r="F503" s="37" t="n"/>
      <c r="G503" s="37" t="n"/>
      <c r="H503" s="37" t="n"/>
      <c r="I503" s="37" t="n"/>
      <c r="J503" s="37" t="n"/>
      <c r="K503" s="38">
        <f>IF($C503="","",IFERROR(N(INDEX(tbl_Finance[Invoice Count],MATCH($X503,tbl_Finance[Row ID],0))),""))</f>
        <v/>
      </c>
      <c r="L503" s="11">
        <f>IF($C503="","",IFERROR(N(INDEX(tbl_Finance[Xero Invoiced Ex GST],MATCH($X503,tbl_Finance[Row ID],0))),""))</f>
        <v/>
      </c>
      <c r="M503" s="10">
        <f>IF($C503="","",IFERROR(INDEX(tbl_Finance[Compare],MATCH($X503,tbl_Finance[Row ID],0))&amp;"",""))</f>
        <v/>
      </c>
      <c r="N503" s="11">
        <f>IF($C503="","",MAX(0,N(O503)-N(L503)))</f>
        <v/>
      </c>
      <c r="O503" s="39" t="n"/>
      <c r="P503" s="40">
        <f>IF($C503="","",IF((IF(F503="",", Client","")&amp;IF(G503="",", Description","")&amp;IF(H503="",", Cost Centre","")&amp;IF(I503="",", Invoice Type","")&amp;IF(J503="",", Tax Code","")&amp;IF(O503="",", Expected Revenue","")&amp;IF(COUNTIF(tbl_Finance[Job Number],$C503&amp;"")&gt;1,", Job number used twice",""))="","Complete","Fix: "&amp;MID(IF(F503="",", Client","")&amp;IF(G503="",", Description","")&amp;IF(H503="",", Cost Centre","")&amp;IF(I503="",", Invoice Type","")&amp;IF(J503="",", Tax Code","")&amp;IF(O503="",", Expected Revenue","")&amp;IF(COUNTIF(tbl_Finance[Job Number],$C503&amp;"")&gt;1,", Job number used twice",""),3,300)))</f>
        <v/>
      </c>
      <c r="Q503" s="10">
        <f>IF($C503="","",IF(H503="","(no cost centre)",H503&amp;" - GL "&amp;IFERROR(INDEX(lst_CCtoGL,MATCH(H503,lst_CCforGL,0)),"?")))</f>
        <v/>
      </c>
      <c r="R503" s="37" t="n"/>
      <c r="S503" s="37" t="n"/>
      <c r="T503" s="10">
        <f>IF(S503="","",HYPERLINK(IF(LEFT(S503,4)="http",S503,set_QwilrBase&amp;S503),"Open quote"))</f>
        <v/>
      </c>
      <c r="U503" s="41" t="n"/>
      <c r="V503" s="37" t="n"/>
      <c r="W503" s="37" t="n"/>
      <c r="X503" s="10" t="inlineStr">
        <is>
          <t>ONS-0499</t>
        </is>
      </c>
    </row>
    <row r="504">
      <c r="A504" s="16">
        <f>IF($C504="","",IFERROR(IF(INDEX(tbl_Finance[Latest Invoice Date],MATCH($X504,tbl_Finance[Row ID],0))="","",INDEX(tbl_Finance[Latest Invoice Date],MATCH($X504,tbl_Finance[Row ID],0))),""))</f>
        <v/>
      </c>
      <c r="B504" s="10">
        <f>IF($C504="","",IFERROR(INDEX(tbl_Finance[Invoice Numbers],MATCH($X504,tbl_Finance[Row ID],0))&amp;"",""))</f>
        <v/>
      </c>
      <c r="C504" s="37" t="n"/>
      <c r="D504" s="10">
        <f>IF($C504="","",IF(COUNTIF(lst_Jobs,$C504&amp;"")&gt;0,"OK","CHECK"))</f>
        <v/>
      </c>
      <c r="E504" s="10">
        <f>IF($C504="","",IFERROR(INDEX(lst_JobName,MATCH($C504&amp;"",lst_Jobs,0)),""))</f>
        <v/>
      </c>
      <c r="F504" s="37" t="n"/>
      <c r="G504" s="37" t="n"/>
      <c r="H504" s="37" t="n"/>
      <c r="I504" s="37" t="n"/>
      <c r="J504" s="37" t="n"/>
      <c r="K504" s="38">
        <f>IF($C504="","",IFERROR(N(INDEX(tbl_Finance[Invoice Count],MATCH($X504,tbl_Finance[Row ID],0))),""))</f>
        <v/>
      </c>
      <c r="L504" s="11">
        <f>IF($C504="","",IFERROR(N(INDEX(tbl_Finance[Xero Invoiced Ex GST],MATCH($X504,tbl_Finance[Row ID],0))),""))</f>
        <v/>
      </c>
      <c r="M504" s="10">
        <f>IF($C504="","",IFERROR(INDEX(tbl_Finance[Compare],MATCH($X504,tbl_Finance[Row ID],0))&amp;"",""))</f>
        <v/>
      </c>
      <c r="N504" s="11">
        <f>IF($C504="","",MAX(0,N(O504)-N(L504)))</f>
        <v/>
      </c>
      <c r="O504" s="39" t="n"/>
      <c r="P504" s="40">
        <f>IF($C504="","",IF((IF(F504="",", Client","")&amp;IF(G504="",", Description","")&amp;IF(H504="",", Cost Centre","")&amp;IF(I504="",", Invoice Type","")&amp;IF(J504="",", Tax Code","")&amp;IF(O504="",", Expected Revenue","")&amp;IF(COUNTIF(tbl_Finance[Job Number],$C504&amp;"")&gt;1,", Job number used twice",""))="","Complete","Fix: "&amp;MID(IF(F504="",", Client","")&amp;IF(G504="",", Description","")&amp;IF(H504="",", Cost Centre","")&amp;IF(I504="",", Invoice Type","")&amp;IF(J504="",", Tax Code","")&amp;IF(O504="",", Expected Revenue","")&amp;IF(COUNTIF(tbl_Finance[Job Number],$C504&amp;"")&gt;1,", Job number used twice",""),3,300)))</f>
        <v/>
      </c>
      <c r="Q504" s="10">
        <f>IF($C504="","",IF(H504="","(no cost centre)",H504&amp;" - GL "&amp;IFERROR(INDEX(lst_CCtoGL,MATCH(H504,lst_CCforGL,0)),"?")))</f>
        <v/>
      </c>
      <c r="R504" s="37" t="n"/>
      <c r="S504" s="37" t="n"/>
      <c r="T504" s="10">
        <f>IF(S504="","",HYPERLINK(IF(LEFT(S504,4)="http",S504,set_QwilrBase&amp;S504),"Open quote"))</f>
        <v/>
      </c>
      <c r="U504" s="41" t="n"/>
      <c r="V504" s="37" t="n"/>
      <c r="W504" s="37" t="n"/>
      <c r="X504" s="10" t="inlineStr">
        <is>
          <t>ONS-0500</t>
        </is>
      </c>
    </row>
  </sheetData>
  <sheetProtection selectLockedCells="0" selectUnlockedCells="0" sheet="1" objects="0" insertRows="1" insertHyperlinks="1" autoFilter="0" scenarios="0" formatColumns="0" deleteColumns="1" insertColumns="1" pivotTables="1" deleteRows="1" formatCells="1" formatRows="0" sort="1" password="DE92"/>
  <mergeCells count="1">
    <mergeCell ref="A3:P3"/>
  </mergeCells>
  <conditionalFormatting sqref="D5:D504">
    <cfRule type="expression" priority="1" dxfId="1">
      <formula>D5="CHECK"</formula>
    </cfRule>
  </conditionalFormatting>
  <conditionalFormatting sqref="P5:P504">
    <cfRule type="expression" priority="2" dxfId="1">
      <formula>LEFT(P5,4)="Fix:"</formula>
    </cfRule>
  </conditionalFormatting>
  <conditionalFormatting sqref="M5:M504">
    <cfRule type="expression" priority="3" dxfId="0">
      <formula>M5="Agrees"</formula>
    </cfRule>
    <cfRule type="expression" priority="4" dxfId="1">
      <formula>LEFT(M5,4)="Xero"</formula>
    </cfRule>
    <cfRule type="expression" priority="5" dxfId="2">
      <formula>OR(LEFT(M5,4)="Dept",LEFT(M5,3)="Not")</formula>
    </cfRule>
  </conditionalFormatting>
  <dataValidations count="4">
    <dataValidation sqref="H5:H504" showDropDown="0" showInputMessage="0" showErrorMessage="0" allowBlank="1" type="list">
      <formula1>lst_CostCentre</formula1>
    </dataValidation>
    <dataValidation sqref="I5:I504" showDropDown="0" showInputMessage="0" showErrorMessage="0" allowBlank="1" type="list">
      <formula1>lst_InvoiceType</formula1>
    </dataValidation>
    <dataValidation sqref="J5:J504" showDropDown="0" showInputMessage="0" showErrorMessage="0" allowBlank="1" type="list">
      <formula1>lst_TaxCode</formula1>
    </dataValidation>
    <dataValidation sqref="O5:O504" showDropDown="0" showInputMessage="0" showErrorMessage="1" allowBlank="1" error="Expected Revenue Ex GST must be a number." type="decimal" operator="greaterThanOrEqual">
      <formula1>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U5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6" customWidth="1" min="6" max="6"/>
    <col width="44" customWidth="1" min="7" max="7"/>
    <col width="14" customWidth="1" min="8" max="8"/>
    <col width="15" customWidth="1" min="9" max="9"/>
    <col width="12" customWidth="1" min="10" max="10"/>
    <col width="11" customWidth="1" min="11" max="11"/>
    <col width="16" customWidth="1" min="12" max="12"/>
    <col width="24" customWidth="1" min="13" max="13"/>
    <col width="14" customWidth="1" min="14" max="14"/>
    <col width="21" customWidth="1" min="15" max="15"/>
    <col width="30" customWidth="1" min="16" max="16"/>
    <col width="20" customWidth="1" min="17" max="17"/>
    <col width="14" customWidth="1" min="18" max="18"/>
    <col width="18" customWidth="1" min="19" max="19"/>
    <col width="30" customWidth="1" min="20" max="20"/>
    <col width="20" customWidth="1" min="21" max="21"/>
    <col width="12" customWidth="1" min="22" max="22"/>
    <col width="14" customWidth="1" min="23" max="23"/>
    <col width="18" customWidth="1" min="24" max="24"/>
    <col width="40" customWidth="1" min="25" max="25"/>
    <col width="14" customWidth="1" min="26" max="26"/>
    <col width="14" customWidth="1" min="27" max="27"/>
    <col width="11" customWidth="1" min="28" max="28"/>
    <col width="16" customWidth="1" min="29" max="29"/>
    <col width="20" customWidth="1" min="30" max="30"/>
    <col width="11" customWidth="1" min="31" max="31"/>
    <col width="17" customWidth="1" min="32" max="32"/>
    <col width="15" customWidth="1" min="33" max="33"/>
    <col width="18" customWidth="1" min="34" max="34"/>
    <col width="22" customWidth="1" min="35" max="35"/>
    <col width="14" customWidth="1" min="36" max="36"/>
    <col width="16" customWidth="1" min="37" max="37"/>
    <col width="14" customWidth="1" min="38" max="38"/>
    <col width="14" customWidth="1" min="39" max="39"/>
    <col width="10" customWidth="1" min="40" max="40"/>
    <col width="15" customWidth="1" min="41" max="41"/>
    <col width="15" customWidth="1" min="42" max="42"/>
    <col width="15" customWidth="1" min="43" max="43"/>
    <col width="19" customWidth="1" min="44" max="44"/>
    <col width="18" customWidth="1" min="45" max="45"/>
    <col width="38" customWidth="1" min="46" max="46"/>
    <col width="10" customWidth="1" min="47" max="47"/>
  </cols>
  <sheetData>
    <row r="1">
      <c r="A1" s="1" t="inlineStr">
        <is>
          <t>Production - Job Detail</t>
        </is>
      </c>
    </row>
    <row r="2" ht="30" customHeight="1">
      <c r="A2" s="4" t="inlineStr">
        <is>
          <t>Production and Video jobs. One row per job number (a video part invoiced on its own V job number gets its own row, cost centre VIDEO). Fill in every white cell. Invoice details come back from Finance.</t>
        </is>
      </c>
    </row>
    <row r="3">
      <c r="A3" s="5">
        <f>"Expected Ex GST  "&amp;TEXT(SUBTOTAL(109,tbl_Production[Expected Revenue Ex GST]),"$#,##0.00")&amp;"      Invoiced in Xero  "&amp;TEXT(SUBTOTAL(109,tbl_Production[Revenue Ex GST]),"$#,##0.00")&amp;"      Still to invoice  "&amp;TEXT(SUBTOTAL(109,tbl_Production[To Invoice]),"$#,##0.00")</f>
        <v/>
      </c>
    </row>
    <row r="4" ht="34" customHeight="1">
      <c r="A4" s="8" t="inlineStr">
        <is>
          <t>Invoice Date</t>
        </is>
      </c>
      <c r="B4" s="8" t="inlineStr">
        <is>
          <t>Invoice No</t>
        </is>
      </c>
      <c r="C4" s="36" t="inlineStr">
        <is>
          <t>Job Number</t>
        </is>
      </c>
      <c r="D4" s="8" t="inlineStr">
        <is>
          <t>Job in Xero?</t>
        </is>
      </c>
      <c r="E4" s="8" t="inlineStr">
        <is>
          <t>Job Name (Xero)</t>
        </is>
      </c>
      <c r="F4" s="36" t="inlineStr">
        <is>
          <t>Client</t>
        </is>
      </c>
      <c r="G4" s="36" t="inlineStr">
        <is>
          <t>Job Description</t>
        </is>
      </c>
      <c r="H4" s="36" t="inlineStr">
        <is>
          <t>Cost Centre</t>
        </is>
      </c>
      <c r="I4" s="36" t="inlineStr">
        <is>
          <t>Invoice Type</t>
        </is>
      </c>
      <c r="J4" s="36" t="inlineStr">
        <is>
          <t>Tax Code</t>
        </is>
      </c>
      <c r="K4" s="8" t="inlineStr">
        <is>
          <t>Lines on Job</t>
        </is>
      </c>
      <c r="L4" s="8" t="inlineStr">
        <is>
          <t>Revenue Ex GST</t>
        </is>
      </c>
      <c r="M4" s="8" t="inlineStr">
        <is>
          <t>Invoiced</t>
        </is>
      </c>
      <c r="N4" s="8" t="inlineStr">
        <is>
          <t>To Invoice</t>
        </is>
      </c>
      <c r="O4" s="36" t="inlineStr">
        <is>
          <t>Expected Revenue Ex GST</t>
        </is>
      </c>
      <c r="P4" s="8" t="inlineStr">
        <is>
          <t>Not Yet on Finance</t>
        </is>
      </c>
      <c r="Q4" s="8" t="inlineStr">
        <is>
          <t>Cost Centres</t>
        </is>
      </c>
      <c r="R4" s="8" t="inlineStr">
        <is>
          <t>Total Inc GST</t>
        </is>
      </c>
      <c r="S4" s="36" t="inlineStr">
        <is>
          <t>Company</t>
        </is>
      </c>
      <c r="T4" s="36" t="inlineStr">
        <is>
          <t>Client Email</t>
        </is>
      </c>
      <c r="U4" s="36" t="inlineStr">
        <is>
          <t>Event Grouping</t>
        </is>
      </c>
      <c r="V4" s="36" t="inlineStr">
        <is>
          <t>Event Date</t>
        </is>
      </c>
      <c r="W4" s="36" t="inlineStr">
        <is>
          <t>Current RMS No</t>
        </is>
      </c>
      <c r="X4" s="8" t="inlineStr">
        <is>
          <t>Open in Current RMS</t>
        </is>
      </c>
      <c r="Y4" s="36" t="inlineStr">
        <is>
          <t>Qwilr Quote</t>
        </is>
      </c>
      <c r="Z4" s="8" t="inlineStr">
        <is>
          <t>Open Qwilr</t>
        </is>
      </c>
      <c r="AA4" s="8" t="inlineStr">
        <is>
          <t>Zoho Number</t>
        </is>
      </c>
      <c r="AB4" s="36" t="inlineStr">
        <is>
          <t>Job Closed</t>
        </is>
      </c>
      <c r="AC4" s="36" t="inlineStr">
        <is>
          <t>Discounts Given</t>
        </is>
      </c>
      <c r="AD4" s="8" t="inlineStr">
        <is>
          <t>Value Before Discount</t>
        </is>
      </c>
      <c r="AE4" s="8" t="inlineStr">
        <is>
          <t>Discount %</t>
        </is>
      </c>
      <c r="AF4" s="36" t="inlineStr">
        <is>
          <t>Cross Hire Expense</t>
        </is>
      </c>
      <c r="AG4" s="36" t="inlineStr">
        <is>
          <t>Conf. Call Costs</t>
        </is>
      </c>
      <c r="AH4" s="36" t="inlineStr">
        <is>
          <t>Transcription Costs</t>
        </is>
      </c>
      <c r="AI4" s="36" t="inlineStr">
        <is>
          <t>Labour Expense (Internal)</t>
        </is>
      </c>
      <c r="AJ4" s="8" t="inlineStr">
        <is>
          <t>Video Revenue</t>
        </is>
      </c>
      <c r="AK4" s="8" t="inlineStr">
        <is>
          <t>Video % of Revenue</t>
        </is>
      </c>
      <c r="AL4" s="8" t="inlineStr">
        <is>
          <t>Total Expense</t>
        </is>
      </c>
      <c r="AM4" s="8" t="inlineStr">
        <is>
          <t>Margin</t>
        </is>
      </c>
      <c r="AN4" s="8" t="inlineStr">
        <is>
          <t>Margin %</t>
        </is>
      </c>
      <c r="AO4" s="36" t="inlineStr">
        <is>
          <t>Video Filming Hrs</t>
        </is>
      </c>
      <c r="AP4" s="36" t="inlineStr">
        <is>
          <t>Video Editing Hrs</t>
        </is>
      </c>
      <c r="AQ4" s="36" t="inlineStr">
        <is>
          <t>Project Mgmt Hrs</t>
        </is>
      </c>
      <c r="AR4" s="36" t="inlineStr">
        <is>
          <t>Video Project Mgmt Hrs</t>
        </is>
      </c>
      <c r="AS4" s="36" t="inlineStr">
        <is>
          <t>Production Labour Hrs</t>
        </is>
      </c>
      <c r="AT4" s="36" t="inlineStr">
        <is>
          <t>Notes</t>
        </is>
      </c>
      <c r="AU4" s="8" t="inlineStr">
        <is>
          <t>Row ID</t>
        </is>
      </c>
    </row>
    <row r="5">
      <c r="A5" s="16">
        <f>IF($C5="","",IFERROR(IF(INDEX(tbl_Finance[Latest Invoice Date],MATCH($AU5,tbl_Finance[Row ID],0))="","",INDEX(tbl_Finance[Latest Invoice Date],MATCH($AU5,tbl_Finance[Row ID],0))),""))</f>
        <v/>
      </c>
      <c r="B5" s="10">
        <f>IF($C5="","",IFERROR(INDEX(tbl_Finance[Invoice Numbers],MATCH($AU5,tbl_Finance[Row ID],0))&amp;"",""))</f>
        <v/>
      </c>
      <c r="C5" s="37" t="n"/>
      <c r="D5" s="10">
        <f>IF($C5="","",IF(COUNTIF(lst_Jobs,$C5&amp;"")&gt;0,"OK","CHECK"))</f>
        <v/>
      </c>
      <c r="E5" s="10">
        <f>IF($C5="","",IFERROR(INDEX(lst_JobName,MATCH($C5&amp;"",lst_Jobs,0)),""))</f>
        <v/>
      </c>
      <c r="F5" s="37" t="n"/>
      <c r="G5" s="37" t="n"/>
      <c r="H5" s="37" t="n"/>
      <c r="I5" s="37" t="n"/>
      <c r="J5" s="37" t="n"/>
      <c r="K5" s="38">
        <f>IF($C5="","",IFERROR(N(INDEX(tbl_Finance[Invoice Count],MATCH($AU5,tbl_Finance[Row ID],0))),""))</f>
        <v/>
      </c>
      <c r="L5" s="11">
        <f>IF($C5="","",IFERROR(N(INDEX(tbl_Finance[Xero Invoiced Ex GST],MATCH($AU5,tbl_Finance[Row ID],0))),""))</f>
        <v/>
      </c>
      <c r="M5" s="10">
        <f>IF($C5="","",IFERROR(INDEX(tbl_Finance[Compare],MATCH($AU5,tbl_Finance[Row ID],0))&amp;"",""))</f>
        <v/>
      </c>
      <c r="N5" s="11">
        <f>IF($C5="","",MAX(0,N(O5)-N(L5)))</f>
        <v/>
      </c>
      <c r="O5" s="39" t="n"/>
      <c r="P5" s="40">
        <f>IF($C5="","",IF((IF(F5="",", Client","")&amp;IF(G5="",", Description","")&amp;IF(H5="",", Cost Centre","")&amp;IF(I5="",", Invoice Type","")&amp;IF(J5="",", Tax Code","")&amp;IF(O5="",", Expected Revenue","")&amp;IF(COUNTIF(tbl_Finance[Job Number],$C5&amp;"")&gt;1,", Job number used twice",""))="","Complete","Fix: "&amp;MID(IF(F5="",", Client","")&amp;IF(G5="",", Description","")&amp;IF(H5="",", Cost Centre","")&amp;IF(I5="",", Invoice Type","")&amp;IF(J5="",", Tax Code","")&amp;IF(O5="",", Expected Revenue","")&amp;IF(COUNTIF(tbl_Finance[Job Number],$C5&amp;"")&gt;1,", Job number used twice",""),3,300)))</f>
        <v/>
      </c>
      <c r="Q5" s="10">
        <f>IF($C5="","",IF(H5="","(no cost centre)",H5&amp;" - GL "&amp;IFERROR(INDEX(lst_CCtoGL,MATCH(H5,lst_CCforGL,0)),"?")))</f>
        <v/>
      </c>
      <c r="R5" s="11">
        <f>IF($C5="","",IFERROR(N(INDEX(tbl_Finance[Inc GST],MATCH($AU5,tbl_Finance[Row ID],0))),""))</f>
        <v/>
      </c>
      <c r="S5" s="37" t="n"/>
      <c r="T5" s="37" t="n"/>
      <c r="U5" s="37" t="n"/>
      <c r="V5" s="42" t="n"/>
      <c r="W5" s="37" t="n"/>
      <c r="X5" s="10">
        <f>IF(W5="","",IF(AND(LEFT(W5,4)&lt;&gt;"http",set_RMSBase=""),"",HYPERLINK(IF(LEFT(W5,4)="http",W5,set_RMSBase&amp;W5),"Open in RMS")))</f>
        <v/>
      </c>
      <c r="Y5" s="37" t="n"/>
      <c r="Z5" s="10">
        <f>IF(Y5="","",HYPERLINK(IF(LEFT(Y5,4)="http",Y5,set_QwilrBase&amp;Y5),"Open quote"))</f>
        <v/>
      </c>
      <c r="AA5" s="10">
        <f>IF(C5="","",C5)</f>
        <v/>
      </c>
      <c r="AB5" s="37" t="n"/>
      <c r="AC5" s="39" t="n"/>
      <c r="AD5" s="11">
        <f>IF(C5="","",N(L5)+N(AC5))</f>
        <v/>
      </c>
      <c r="AE5" s="43">
        <f>IFERROR(IF(N(AC5)=0,"",AC5/AD5),"")</f>
        <v/>
      </c>
      <c r="AF5" s="39" t="n"/>
      <c r="AG5" s="39" t="n"/>
      <c r="AH5" s="39" t="n"/>
      <c r="AI5" s="39" t="n"/>
      <c r="AJ5" s="11">
        <f>IF(C5="","",IF(H5="VIDEO",N(L5),0))</f>
        <v/>
      </c>
      <c r="AK5" s="43">
        <f>IFERROR(IF(N(L5)=0,"",AJ5/L5),"")</f>
        <v/>
      </c>
      <c r="AL5" s="11">
        <f>IF(C5="","",N(AF5)+N(AG5)+N(AH5)+N(AI5))</f>
        <v/>
      </c>
      <c r="AM5" s="11">
        <f>IF(C5="","",MAX(N(L5),N(O5))-N(AL5))</f>
        <v/>
      </c>
      <c r="AN5" s="43">
        <f>IFERROR(IF(MAX(N(L5),N(O5))=0,"",AM5/MAX(N(L5),N(O5))),"")</f>
        <v/>
      </c>
      <c r="AO5" s="41" t="n"/>
      <c r="AP5" s="41" t="n"/>
      <c r="AQ5" s="41" t="n"/>
      <c r="AR5" s="41" t="n"/>
      <c r="AS5" s="41" t="n"/>
      <c r="AT5" s="37" t="n"/>
      <c r="AU5" s="10" t="inlineStr">
        <is>
          <t>PRD-0001</t>
        </is>
      </c>
    </row>
    <row r="6">
      <c r="A6" s="16">
        <f>IF($C6="","",IFERROR(IF(INDEX(tbl_Finance[Latest Invoice Date],MATCH($AU6,tbl_Finance[Row ID],0))="","",INDEX(tbl_Finance[Latest Invoice Date],MATCH($AU6,tbl_Finance[Row ID],0))),""))</f>
        <v/>
      </c>
      <c r="B6" s="10">
        <f>IF($C6="","",IFERROR(INDEX(tbl_Finance[Invoice Numbers],MATCH($AU6,tbl_Finance[Row ID],0))&amp;"",""))</f>
        <v/>
      </c>
      <c r="C6" s="37" t="n"/>
      <c r="D6" s="10">
        <f>IF($C6="","",IF(COUNTIF(lst_Jobs,$C6&amp;"")&gt;0,"OK","CHECK"))</f>
        <v/>
      </c>
      <c r="E6" s="10">
        <f>IF($C6="","",IFERROR(INDEX(lst_JobName,MATCH($C6&amp;"",lst_Jobs,0)),""))</f>
        <v/>
      </c>
      <c r="F6" s="37" t="n"/>
      <c r="G6" s="37" t="n"/>
      <c r="H6" s="37" t="n"/>
      <c r="I6" s="37" t="n"/>
      <c r="J6" s="37" t="n"/>
      <c r="K6" s="38">
        <f>IF($C6="","",IFERROR(N(INDEX(tbl_Finance[Invoice Count],MATCH($AU6,tbl_Finance[Row ID],0))),""))</f>
        <v/>
      </c>
      <c r="L6" s="11">
        <f>IF($C6="","",IFERROR(N(INDEX(tbl_Finance[Xero Invoiced Ex GST],MATCH($AU6,tbl_Finance[Row ID],0))),""))</f>
        <v/>
      </c>
      <c r="M6" s="10">
        <f>IF($C6="","",IFERROR(INDEX(tbl_Finance[Compare],MATCH($AU6,tbl_Finance[Row ID],0))&amp;"",""))</f>
        <v/>
      </c>
      <c r="N6" s="11">
        <f>IF($C6="","",MAX(0,N(O6)-N(L6)))</f>
        <v/>
      </c>
      <c r="O6" s="39" t="n"/>
      <c r="P6" s="40">
        <f>IF($C6="","",IF((IF(F6="",", Client","")&amp;IF(G6="",", Description","")&amp;IF(H6="",", Cost Centre","")&amp;IF(I6="",", Invoice Type","")&amp;IF(J6="",", Tax Code","")&amp;IF(O6="",", Expected Revenue","")&amp;IF(COUNTIF(tbl_Finance[Job Number],$C6&amp;"")&gt;1,", Job number used twice",""))="","Complete","Fix: "&amp;MID(IF(F6="",", Client","")&amp;IF(G6="",", Description","")&amp;IF(H6="",", Cost Centre","")&amp;IF(I6="",", Invoice Type","")&amp;IF(J6="",", Tax Code","")&amp;IF(O6="",", Expected Revenue","")&amp;IF(COUNTIF(tbl_Finance[Job Number],$C6&amp;"")&gt;1,", Job number used twice",""),3,300)))</f>
        <v/>
      </c>
      <c r="Q6" s="10">
        <f>IF($C6="","",IF(H6="","(no cost centre)",H6&amp;" - GL "&amp;IFERROR(INDEX(lst_CCtoGL,MATCH(H6,lst_CCforGL,0)),"?")))</f>
        <v/>
      </c>
      <c r="R6" s="11">
        <f>IF($C6="","",IFERROR(N(INDEX(tbl_Finance[Inc GST],MATCH($AU6,tbl_Finance[Row ID],0))),""))</f>
        <v/>
      </c>
      <c r="S6" s="37" t="n"/>
      <c r="T6" s="37" t="n"/>
      <c r="U6" s="37" t="n"/>
      <c r="V6" s="42" t="n"/>
      <c r="W6" s="37" t="n"/>
      <c r="X6" s="10">
        <f>IF(W6="","",IF(AND(LEFT(W6,4)&lt;&gt;"http",set_RMSBase=""),"",HYPERLINK(IF(LEFT(W6,4)="http",W6,set_RMSBase&amp;W6),"Open in RMS")))</f>
        <v/>
      </c>
      <c r="Y6" s="37" t="n"/>
      <c r="Z6" s="10">
        <f>IF(Y6="","",HYPERLINK(IF(LEFT(Y6,4)="http",Y6,set_QwilrBase&amp;Y6),"Open quote"))</f>
        <v/>
      </c>
      <c r="AA6" s="10">
        <f>IF(C6="","",C6)</f>
        <v/>
      </c>
      <c r="AB6" s="37" t="n"/>
      <c r="AC6" s="39" t="n"/>
      <c r="AD6" s="11">
        <f>IF(C6="","",N(L6)+N(AC6))</f>
        <v/>
      </c>
      <c r="AE6" s="43">
        <f>IFERROR(IF(N(AC6)=0,"",AC6/AD6),"")</f>
        <v/>
      </c>
      <c r="AF6" s="39" t="n"/>
      <c r="AG6" s="39" t="n"/>
      <c r="AH6" s="39" t="n"/>
      <c r="AI6" s="39" t="n"/>
      <c r="AJ6" s="11">
        <f>IF(C6="","",IF(H6="VIDEO",N(L6),0))</f>
        <v/>
      </c>
      <c r="AK6" s="43">
        <f>IFERROR(IF(N(L6)=0,"",AJ6/L6),"")</f>
        <v/>
      </c>
      <c r="AL6" s="11">
        <f>IF(C6="","",N(AF6)+N(AG6)+N(AH6)+N(AI6))</f>
        <v/>
      </c>
      <c r="AM6" s="11">
        <f>IF(C6="","",MAX(N(L6),N(O6))-N(AL6))</f>
        <v/>
      </c>
      <c r="AN6" s="43">
        <f>IFERROR(IF(MAX(N(L6),N(O6))=0,"",AM6/MAX(N(L6),N(O6))),"")</f>
        <v/>
      </c>
      <c r="AO6" s="41" t="n"/>
      <c r="AP6" s="41" t="n"/>
      <c r="AQ6" s="41" t="n"/>
      <c r="AR6" s="41" t="n"/>
      <c r="AS6" s="41" t="n"/>
      <c r="AT6" s="37" t="n"/>
      <c r="AU6" s="10" t="inlineStr">
        <is>
          <t>PRD-0002</t>
        </is>
      </c>
    </row>
    <row r="7">
      <c r="A7" s="16">
        <f>IF($C7="","",IFERROR(IF(INDEX(tbl_Finance[Latest Invoice Date],MATCH($AU7,tbl_Finance[Row ID],0))="","",INDEX(tbl_Finance[Latest Invoice Date],MATCH($AU7,tbl_Finance[Row ID],0))),""))</f>
        <v/>
      </c>
      <c r="B7" s="10">
        <f>IF($C7="","",IFERROR(INDEX(tbl_Finance[Invoice Numbers],MATCH($AU7,tbl_Finance[Row ID],0))&amp;"",""))</f>
        <v/>
      </c>
      <c r="C7" s="37" t="n"/>
      <c r="D7" s="10">
        <f>IF($C7="","",IF(COUNTIF(lst_Jobs,$C7&amp;"")&gt;0,"OK","CHECK"))</f>
        <v/>
      </c>
      <c r="E7" s="10">
        <f>IF($C7="","",IFERROR(INDEX(lst_JobName,MATCH($C7&amp;"",lst_Jobs,0)),""))</f>
        <v/>
      </c>
      <c r="F7" s="37" t="n"/>
      <c r="G7" s="37" t="n"/>
      <c r="H7" s="37" t="n"/>
      <c r="I7" s="37" t="n"/>
      <c r="J7" s="37" t="n"/>
      <c r="K7" s="38">
        <f>IF($C7="","",IFERROR(N(INDEX(tbl_Finance[Invoice Count],MATCH($AU7,tbl_Finance[Row ID],0))),""))</f>
        <v/>
      </c>
      <c r="L7" s="11">
        <f>IF($C7="","",IFERROR(N(INDEX(tbl_Finance[Xero Invoiced Ex GST],MATCH($AU7,tbl_Finance[Row ID],0))),""))</f>
        <v/>
      </c>
      <c r="M7" s="10">
        <f>IF($C7="","",IFERROR(INDEX(tbl_Finance[Compare],MATCH($AU7,tbl_Finance[Row ID],0))&amp;"",""))</f>
        <v/>
      </c>
      <c r="N7" s="11">
        <f>IF($C7="","",MAX(0,N(O7)-N(L7)))</f>
        <v/>
      </c>
      <c r="O7" s="39" t="n"/>
      <c r="P7" s="40">
        <f>IF($C7="","",IF((IF(F7="",", Client","")&amp;IF(G7="",", Description","")&amp;IF(H7="",", Cost Centre","")&amp;IF(I7="",", Invoice Type","")&amp;IF(J7="",", Tax Code","")&amp;IF(O7="",", Expected Revenue","")&amp;IF(COUNTIF(tbl_Finance[Job Number],$C7&amp;"")&gt;1,", Job number used twice",""))="","Complete","Fix: "&amp;MID(IF(F7="",", Client","")&amp;IF(G7="",", Description","")&amp;IF(H7="",", Cost Centre","")&amp;IF(I7="",", Invoice Type","")&amp;IF(J7="",", Tax Code","")&amp;IF(O7="",", Expected Revenue","")&amp;IF(COUNTIF(tbl_Finance[Job Number],$C7&amp;"")&gt;1,", Job number used twice",""),3,300)))</f>
        <v/>
      </c>
      <c r="Q7" s="10">
        <f>IF($C7="","",IF(H7="","(no cost centre)",H7&amp;" - GL "&amp;IFERROR(INDEX(lst_CCtoGL,MATCH(H7,lst_CCforGL,0)),"?")))</f>
        <v/>
      </c>
      <c r="R7" s="11">
        <f>IF($C7="","",IFERROR(N(INDEX(tbl_Finance[Inc GST],MATCH($AU7,tbl_Finance[Row ID],0))),""))</f>
        <v/>
      </c>
      <c r="S7" s="37" t="n"/>
      <c r="T7" s="37" t="n"/>
      <c r="U7" s="37" t="n"/>
      <c r="V7" s="42" t="n"/>
      <c r="W7" s="37" t="n"/>
      <c r="X7" s="10">
        <f>IF(W7="","",IF(AND(LEFT(W7,4)&lt;&gt;"http",set_RMSBase=""),"",HYPERLINK(IF(LEFT(W7,4)="http",W7,set_RMSBase&amp;W7),"Open in RMS")))</f>
        <v/>
      </c>
      <c r="Y7" s="37" t="n"/>
      <c r="Z7" s="10">
        <f>IF(Y7="","",HYPERLINK(IF(LEFT(Y7,4)="http",Y7,set_QwilrBase&amp;Y7),"Open quote"))</f>
        <v/>
      </c>
      <c r="AA7" s="10">
        <f>IF(C7="","",C7)</f>
        <v/>
      </c>
      <c r="AB7" s="37" t="n"/>
      <c r="AC7" s="39" t="n"/>
      <c r="AD7" s="11">
        <f>IF(C7="","",N(L7)+N(AC7))</f>
        <v/>
      </c>
      <c r="AE7" s="43">
        <f>IFERROR(IF(N(AC7)=0,"",AC7/AD7),"")</f>
        <v/>
      </c>
      <c r="AF7" s="39" t="n"/>
      <c r="AG7" s="39" t="n"/>
      <c r="AH7" s="39" t="n"/>
      <c r="AI7" s="39" t="n"/>
      <c r="AJ7" s="11">
        <f>IF(C7="","",IF(H7="VIDEO",N(L7),0))</f>
        <v/>
      </c>
      <c r="AK7" s="43">
        <f>IFERROR(IF(N(L7)=0,"",AJ7/L7),"")</f>
        <v/>
      </c>
      <c r="AL7" s="11">
        <f>IF(C7="","",N(AF7)+N(AG7)+N(AH7)+N(AI7))</f>
        <v/>
      </c>
      <c r="AM7" s="11">
        <f>IF(C7="","",MAX(N(L7),N(O7))-N(AL7))</f>
        <v/>
      </c>
      <c r="AN7" s="43">
        <f>IFERROR(IF(MAX(N(L7),N(O7))=0,"",AM7/MAX(N(L7),N(O7))),"")</f>
        <v/>
      </c>
      <c r="AO7" s="41" t="n"/>
      <c r="AP7" s="41" t="n"/>
      <c r="AQ7" s="41" t="n"/>
      <c r="AR7" s="41" t="n"/>
      <c r="AS7" s="41" t="n"/>
      <c r="AT7" s="37" t="n"/>
      <c r="AU7" s="10" t="inlineStr">
        <is>
          <t>PRD-0003</t>
        </is>
      </c>
    </row>
    <row r="8">
      <c r="A8" s="16">
        <f>IF($C8="","",IFERROR(IF(INDEX(tbl_Finance[Latest Invoice Date],MATCH($AU8,tbl_Finance[Row ID],0))="","",INDEX(tbl_Finance[Latest Invoice Date],MATCH($AU8,tbl_Finance[Row ID],0))),""))</f>
        <v/>
      </c>
      <c r="B8" s="10">
        <f>IF($C8="","",IFERROR(INDEX(tbl_Finance[Invoice Numbers],MATCH($AU8,tbl_Finance[Row ID],0))&amp;"",""))</f>
        <v/>
      </c>
      <c r="C8" s="37" t="n"/>
      <c r="D8" s="10">
        <f>IF($C8="","",IF(COUNTIF(lst_Jobs,$C8&amp;"")&gt;0,"OK","CHECK"))</f>
        <v/>
      </c>
      <c r="E8" s="10">
        <f>IF($C8="","",IFERROR(INDEX(lst_JobName,MATCH($C8&amp;"",lst_Jobs,0)),""))</f>
        <v/>
      </c>
      <c r="F8" s="37" t="n"/>
      <c r="G8" s="37" t="n"/>
      <c r="H8" s="37" t="n"/>
      <c r="I8" s="37" t="n"/>
      <c r="J8" s="37" t="n"/>
      <c r="K8" s="38">
        <f>IF($C8="","",IFERROR(N(INDEX(tbl_Finance[Invoice Count],MATCH($AU8,tbl_Finance[Row ID],0))),""))</f>
        <v/>
      </c>
      <c r="L8" s="11">
        <f>IF($C8="","",IFERROR(N(INDEX(tbl_Finance[Xero Invoiced Ex GST],MATCH($AU8,tbl_Finance[Row ID],0))),""))</f>
        <v/>
      </c>
      <c r="M8" s="10">
        <f>IF($C8="","",IFERROR(INDEX(tbl_Finance[Compare],MATCH($AU8,tbl_Finance[Row ID],0))&amp;"",""))</f>
        <v/>
      </c>
      <c r="N8" s="11">
        <f>IF($C8="","",MAX(0,N(O8)-N(L8)))</f>
        <v/>
      </c>
      <c r="O8" s="39" t="n"/>
      <c r="P8" s="40">
        <f>IF($C8="","",IF((IF(F8="",", Client","")&amp;IF(G8="",", Description","")&amp;IF(H8="",", Cost Centre","")&amp;IF(I8="",", Invoice Type","")&amp;IF(J8="",", Tax Code","")&amp;IF(O8="",", Expected Revenue","")&amp;IF(COUNTIF(tbl_Finance[Job Number],$C8&amp;"")&gt;1,", Job number used twice",""))="","Complete","Fix: "&amp;MID(IF(F8="",", Client","")&amp;IF(G8="",", Description","")&amp;IF(H8="",", Cost Centre","")&amp;IF(I8="",", Invoice Type","")&amp;IF(J8="",", Tax Code","")&amp;IF(O8="",", Expected Revenue","")&amp;IF(COUNTIF(tbl_Finance[Job Number],$C8&amp;"")&gt;1,", Job number used twice",""),3,300)))</f>
        <v/>
      </c>
      <c r="Q8" s="10">
        <f>IF($C8="","",IF(H8="","(no cost centre)",H8&amp;" - GL "&amp;IFERROR(INDEX(lst_CCtoGL,MATCH(H8,lst_CCforGL,0)),"?")))</f>
        <v/>
      </c>
      <c r="R8" s="11">
        <f>IF($C8="","",IFERROR(N(INDEX(tbl_Finance[Inc GST],MATCH($AU8,tbl_Finance[Row ID],0))),""))</f>
        <v/>
      </c>
      <c r="S8" s="37" t="n"/>
      <c r="T8" s="37" t="n"/>
      <c r="U8" s="37" t="n"/>
      <c r="V8" s="42" t="n"/>
      <c r="W8" s="37" t="n"/>
      <c r="X8" s="10">
        <f>IF(W8="","",IF(AND(LEFT(W8,4)&lt;&gt;"http",set_RMSBase=""),"",HYPERLINK(IF(LEFT(W8,4)="http",W8,set_RMSBase&amp;W8),"Open in RMS")))</f>
        <v/>
      </c>
      <c r="Y8" s="37" t="n"/>
      <c r="Z8" s="10">
        <f>IF(Y8="","",HYPERLINK(IF(LEFT(Y8,4)="http",Y8,set_QwilrBase&amp;Y8),"Open quote"))</f>
        <v/>
      </c>
      <c r="AA8" s="10">
        <f>IF(C8="","",C8)</f>
        <v/>
      </c>
      <c r="AB8" s="37" t="n"/>
      <c r="AC8" s="39" t="n"/>
      <c r="AD8" s="11">
        <f>IF(C8="","",N(L8)+N(AC8))</f>
        <v/>
      </c>
      <c r="AE8" s="43">
        <f>IFERROR(IF(N(AC8)=0,"",AC8/AD8),"")</f>
        <v/>
      </c>
      <c r="AF8" s="39" t="n"/>
      <c r="AG8" s="39" t="n"/>
      <c r="AH8" s="39" t="n"/>
      <c r="AI8" s="39" t="n"/>
      <c r="AJ8" s="11">
        <f>IF(C8="","",IF(H8="VIDEO",N(L8),0))</f>
        <v/>
      </c>
      <c r="AK8" s="43">
        <f>IFERROR(IF(N(L8)=0,"",AJ8/L8),"")</f>
        <v/>
      </c>
      <c r="AL8" s="11">
        <f>IF(C8="","",N(AF8)+N(AG8)+N(AH8)+N(AI8))</f>
        <v/>
      </c>
      <c r="AM8" s="11">
        <f>IF(C8="","",MAX(N(L8),N(O8))-N(AL8))</f>
        <v/>
      </c>
      <c r="AN8" s="43">
        <f>IFERROR(IF(MAX(N(L8),N(O8))=0,"",AM8/MAX(N(L8),N(O8))),"")</f>
        <v/>
      </c>
      <c r="AO8" s="41" t="n"/>
      <c r="AP8" s="41" t="n"/>
      <c r="AQ8" s="41" t="n"/>
      <c r="AR8" s="41" t="n"/>
      <c r="AS8" s="41" t="n"/>
      <c r="AT8" s="37" t="n"/>
      <c r="AU8" s="10" t="inlineStr">
        <is>
          <t>PRD-0004</t>
        </is>
      </c>
    </row>
    <row r="9">
      <c r="A9" s="16">
        <f>IF($C9="","",IFERROR(IF(INDEX(tbl_Finance[Latest Invoice Date],MATCH($AU9,tbl_Finance[Row ID],0))="","",INDEX(tbl_Finance[Latest Invoice Date],MATCH($AU9,tbl_Finance[Row ID],0))),""))</f>
        <v/>
      </c>
      <c r="B9" s="10">
        <f>IF($C9="","",IFERROR(INDEX(tbl_Finance[Invoice Numbers],MATCH($AU9,tbl_Finance[Row ID],0))&amp;"",""))</f>
        <v/>
      </c>
      <c r="C9" s="37" t="n"/>
      <c r="D9" s="10">
        <f>IF($C9="","",IF(COUNTIF(lst_Jobs,$C9&amp;"")&gt;0,"OK","CHECK"))</f>
        <v/>
      </c>
      <c r="E9" s="10">
        <f>IF($C9="","",IFERROR(INDEX(lst_JobName,MATCH($C9&amp;"",lst_Jobs,0)),""))</f>
        <v/>
      </c>
      <c r="F9" s="37" t="n"/>
      <c r="G9" s="37" t="n"/>
      <c r="H9" s="37" t="n"/>
      <c r="I9" s="37" t="n"/>
      <c r="J9" s="37" t="n"/>
      <c r="K9" s="38">
        <f>IF($C9="","",IFERROR(N(INDEX(tbl_Finance[Invoice Count],MATCH($AU9,tbl_Finance[Row ID],0))),""))</f>
        <v/>
      </c>
      <c r="L9" s="11">
        <f>IF($C9="","",IFERROR(N(INDEX(tbl_Finance[Xero Invoiced Ex GST],MATCH($AU9,tbl_Finance[Row ID],0))),""))</f>
        <v/>
      </c>
      <c r="M9" s="10">
        <f>IF($C9="","",IFERROR(INDEX(tbl_Finance[Compare],MATCH($AU9,tbl_Finance[Row ID],0))&amp;"",""))</f>
        <v/>
      </c>
      <c r="N9" s="11">
        <f>IF($C9="","",MAX(0,N(O9)-N(L9)))</f>
        <v/>
      </c>
      <c r="O9" s="39" t="n"/>
      <c r="P9" s="40">
        <f>IF($C9="","",IF((IF(F9="",", Client","")&amp;IF(G9="",", Description","")&amp;IF(H9="",", Cost Centre","")&amp;IF(I9="",", Invoice Type","")&amp;IF(J9="",", Tax Code","")&amp;IF(O9="",", Expected Revenue","")&amp;IF(COUNTIF(tbl_Finance[Job Number],$C9&amp;"")&gt;1,", Job number used twice",""))="","Complete","Fix: "&amp;MID(IF(F9="",", Client","")&amp;IF(G9="",", Description","")&amp;IF(H9="",", Cost Centre","")&amp;IF(I9="",", Invoice Type","")&amp;IF(J9="",", Tax Code","")&amp;IF(O9="",", Expected Revenue","")&amp;IF(COUNTIF(tbl_Finance[Job Number],$C9&amp;"")&gt;1,", Job number used twice",""),3,300)))</f>
        <v/>
      </c>
      <c r="Q9" s="10">
        <f>IF($C9="","",IF(H9="","(no cost centre)",H9&amp;" - GL "&amp;IFERROR(INDEX(lst_CCtoGL,MATCH(H9,lst_CCforGL,0)),"?")))</f>
        <v/>
      </c>
      <c r="R9" s="11">
        <f>IF($C9="","",IFERROR(N(INDEX(tbl_Finance[Inc GST],MATCH($AU9,tbl_Finance[Row ID],0))),""))</f>
        <v/>
      </c>
      <c r="S9" s="37" t="n"/>
      <c r="T9" s="37" t="n"/>
      <c r="U9" s="37" t="n"/>
      <c r="V9" s="42" t="n"/>
      <c r="W9" s="37" t="n"/>
      <c r="X9" s="10">
        <f>IF(W9="","",IF(AND(LEFT(W9,4)&lt;&gt;"http",set_RMSBase=""),"",HYPERLINK(IF(LEFT(W9,4)="http",W9,set_RMSBase&amp;W9),"Open in RMS")))</f>
        <v/>
      </c>
      <c r="Y9" s="37" t="n"/>
      <c r="Z9" s="10">
        <f>IF(Y9="","",HYPERLINK(IF(LEFT(Y9,4)="http",Y9,set_QwilrBase&amp;Y9),"Open quote"))</f>
        <v/>
      </c>
      <c r="AA9" s="10">
        <f>IF(C9="","",C9)</f>
        <v/>
      </c>
      <c r="AB9" s="37" t="n"/>
      <c r="AC9" s="39" t="n"/>
      <c r="AD9" s="11">
        <f>IF(C9="","",N(L9)+N(AC9))</f>
        <v/>
      </c>
      <c r="AE9" s="43">
        <f>IFERROR(IF(N(AC9)=0,"",AC9/AD9),"")</f>
        <v/>
      </c>
      <c r="AF9" s="39" t="n"/>
      <c r="AG9" s="39" t="n"/>
      <c r="AH9" s="39" t="n"/>
      <c r="AI9" s="39" t="n"/>
      <c r="AJ9" s="11">
        <f>IF(C9="","",IF(H9="VIDEO",N(L9),0))</f>
        <v/>
      </c>
      <c r="AK9" s="43">
        <f>IFERROR(IF(N(L9)=0,"",AJ9/L9),"")</f>
        <v/>
      </c>
      <c r="AL9" s="11">
        <f>IF(C9="","",N(AF9)+N(AG9)+N(AH9)+N(AI9))</f>
        <v/>
      </c>
      <c r="AM9" s="11">
        <f>IF(C9="","",MAX(N(L9),N(O9))-N(AL9))</f>
        <v/>
      </c>
      <c r="AN9" s="43">
        <f>IFERROR(IF(MAX(N(L9),N(O9))=0,"",AM9/MAX(N(L9),N(O9))),"")</f>
        <v/>
      </c>
      <c r="AO9" s="41" t="n"/>
      <c r="AP9" s="41" t="n"/>
      <c r="AQ9" s="41" t="n"/>
      <c r="AR9" s="41" t="n"/>
      <c r="AS9" s="41" t="n"/>
      <c r="AT9" s="37" t="n"/>
      <c r="AU9" s="10" t="inlineStr">
        <is>
          <t>PRD-0005</t>
        </is>
      </c>
    </row>
    <row r="10">
      <c r="A10" s="16">
        <f>IF($C10="","",IFERROR(IF(INDEX(tbl_Finance[Latest Invoice Date],MATCH($AU10,tbl_Finance[Row ID],0))="","",INDEX(tbl_Finance[Latest Invoice Date],MATCH($AU10,tbl_Finance[Row ID],0))),""))</f>
        <v/>
      </c>
      <c r="B10" s="10">
        <f>IF($C10="","",IFERROR(INDEX(tbl_Finance[Invoice Numbers],MATCH($AU10,tbl_Finance[Row ID],0))&amp;"",""))</f>
        <v/>
      </c>
      <c r="C10" s="37" t="n"/>
      <c r="D10" s="10">
        <f>IF($C10="","",IF(COUNTIF(lst_Jobs,$C10&amp;"")&gt;0,"OK","CHECK"))</f>
        <v/>
      </c>
      <c r="E10" s="10">
        <f>IF($C10="","",IFERROR(INDEX(lst_JobName,MATCH($C10&amp;"",lst_Jobs,0)),""))</f>
        <v/>
      </c>
      <c r="F10" s="37" t="n"/>
      <c r="G10" s="37" t="n"/>
      <c r="H10" s="37" t="n"/>
      <c r="I10" s="37" t="n"/>
      <c r="J10" s="37" t="n"/>
      <c r="K10" s="38">
        <f>IF($C10="","",IFERROR(N(INDEX(tbl_Finance[Invoice Count],MATCH($AU10,tbl_Finance[Row ID],0))),""))</f>
        <v/>
      </c>
      <c r="L10" s="11">
        <f>IF($C10="","",IFERROR(N(INDEX(tbl_Finance[Xero Invoiced Ex GST],MATCH($AU10,tbl_Finance[Row ID],0))),""))</f>
        <v/>
      </c>
      <c r="M10" s="10">
        <f>IF($C10="","",IFERROR(INDEX(tbl_Finance[Compare],MATCH($AU10,tbl_Finance[Row ID],0))&amp;"",""))</f>
        <v/>
      </c>
      <c r="N10" s="11">
        <f>IF($C10="","",MAX(0,N(O10)-N(L10)))</f>
        <v/>
      </c>
      <c r="O10" s="39" t="n"/>
      <c r="P10" s="40">
        <f>IF($C10="","",IF((IF(F10="",", Client","")&amp;IF(G10="",", Description","")&amp;IF(H10="",", Cost Centre","")&amp;IF(I10="",", Invoice Type","")&amp;IF(J10="",", Tax Code","")&amp;IF(O10="",", Expected Revenue","")&amp;IF(COUNTIF(tbl_Finance[Job Number],$C10&amp;"")&gt;1,", Job number used twice",""))="","Complete","Fix: "&amp;MID(IF(F10="",", Client","")&amp;IF(G10="",", Description","")&amp;IF(H10="",", Cost Centre","")&amp;IF(I10="",", Invoice Type","")&amp;IF(J10="",", Tax Code","")&amp;IF(O10="",", Expected Revenue","")&amp;IF(COUNTIF(tbl_Finance[Job Number],$C10&amp;"")&gt;1,", Job number used twice",""),3,300)))</f>
        <v/>
      </c>
      <c r="Q10" s="10">
        <f>IF($C10="","",IF(H10="","(no cost centre)",H10&amp;" - GL "&amp;IFERROR(INDEX(lst_CCtoGL,MATCH(H10,lst_CCforGL,0)),"?")))</f>
        <v/>
      </c>
      <c r="R10" s="11">
        <f>IF($C10="","",IFERROR(N(INDEX(tbl_Finance[Inc GST],MATCH($AU10,tbl_Finance[Row ID],0))),""))</f>
        <v/>
      </c>
      <c r="S10" s="37" t="n"/>
      <c r="T10" s="37" t="n"/>
      <c r="U10" s="37" t="n"/>
      <c r="V10" s="42" t="n"/>
      <c r="W10" s="37" t="n"/>
      <c r="X10" s="10">
        <f>IF(W10="","",IF(AND(LEFT(W10,4)&lt;&gt;"http",set_RMSBase=""),"",HYPERLINK(IF(LEFT(W10,4)="http",W10,set_RMSBase&amp;W10),"Open in RMS")))</f>
        <v/>
      </c>
      <c r="Y10" s="37" t="n"/>
      <c r="Z10" s="10">
        <f>IF(Y10="","",HYPERLINK(IF(LEFT(Y10,4)="http",Y10,set_QwilrBase&amp;Y10),"Open quote"))</f>
        <v/>
      </c>
      <c r="AA10" s="10">
        <f>IF(C10="","",C10)</f>
        <v/>
      </c>
      <c r="AB10" s="37" t="n"/>
      <c r="AC10" s="39" t="n"/>
      <c r="AD10" s="11">
        <f>IF(C10="","",N(L10)+N(AC10))</f>
        <v/>
      </c>
      <c r="AE10" s="43">
        <f>IFERROR(IF(N(AC10)=0,"",AC10/AD10),"")</f>
        <v/>
      </c>
      <c r="AF10" s="39" t="n"/>
      <c r="AG10" s="39" t="n"/>
      <c r="AH10" s="39" t="n"/>
      <c r="AI10" s="39" t="n"/>
      <c r="AJ10" s="11">
        <f>IF(C10="","",IF(H10="VIDEO",N(L10),0))</f>
        <v/>
      </c>
      <c r="AK10" s="43">
        <f>IFERROR(IF(N(L10)=0,"",AJ10/L10),"")</f>
        <v/>
      </c>
      <c r="AL10" s="11">
        <f>IF(C10="","",N(AF10)+N(AG10)+N(AH10)+N(AI10))</f>
        <v/>
      </c>
      <c r="AM10" s="11">
        <f>IF(C10="","",MAX(N(L10),N(O10))-N(AL10))</f>
        <v/>
      </c>
      <c r="AN10" s="43">
        <f>IFERROR(IF(MAX(N(L10),N(O10))=0,"",AM10/MAX(N(L10),N(O10))),"")</f>
        <v/>
      </c>
      <c r="AO10" s="41" t="n"/>
      <c r="AP10" s="41" t="n"/>
      <c r="AQ10" s="41" t="n"/>
      <c r="AR10" s="41" t="n"/>
      <c r="AS10" s="41" t="n"/>
      <c r="AT10" s="37" t="n"/>
      <c r="AU10" s="10" t="inlineStr">
        <is>
          <t>PRD-0006</t>
        </is>
      </c>
    </row>
    <row r="11">
      <c r="A11" s="16">
        <f>IF($C11="","",IFERROR(IF(INDEX(tbl_Finance[Latest Invoice Date],MATCH($AU11,tbl_Finance[Row ID],0))="","",INDEX(tbl_Finance[Latest Invoice Date],MATCH($AU11,tbl_Finance[Row ID],0))),""))</f>
        <v/>
      </c>
      <c r="B11" s="10">
        <f>IF($C11="","",IFERROR(INDEX(tbl_Finance[Invoice Numbers],MATCH($AU11,tbl_Finance[Row ID],0))&amp;"",""))</f>
        <v/>
      </c>
      <c r="C11" s="37" t="n"/>
      <c r="D11" s="10">
        <f>IF($C11="","",IF(COUNTIF(lst_Jobs,$C11&amp;"")&gt;0,"OK","CHECK"))</f>
        <v/>
      </c>
      <c r="E11" s="10">
        <f>IF($C11="","",IFERROR(INDEX(lst_JobName,MATCH($C11&amp;"",lst_Jobs,0)),""))</f>
        <v/>
      </c>
      <c r="F11" s="37" t="n"/>
      <c r="G11" s="37" t="n"/>
      <c r="H11" s="37" t="n"/>
      <c r="I11" s="37" t="n"/>
      <c r="J11" s="37" t="n"/>
      <c r="K11" s="38">
        <f>IF($C11="","",IFERROR(N(INDEX(tbl_Finance[Invoice Count],MATCH($AU11,tbl_Finance[Row ID],0))),""))</f>
        <v/>
      </c>
      <c r="L11" s="11">
        <f>IF($C11="","",IFERROR(N(INDEX(tbl_Finance[Xero Invoiced Ex GST],MATCH($AU11,tbl_Finance[Row ID],0))),""))</f>
        <v/>
      </c>
      <c r="M11" s="10">
        <f>IF($C11="","",IFERROR(INDEX(tbl_Finance[Compare],MATCH($AU11,tbl_Finance[Row ID],0))&amp;"",""))</f>
        <v/>
      </c>
      <c r="N11" s="11">
        <f>IF($C11="","",MAX(0,N(O11)-N(L11)))</f>
        <v/>
      </c>
      <c r="O11" s="39" t="n"/>
      <c r="P11" s="40">
        <f>IF($C11="","",IF((IF(F11="",", Client","")&amp;IF(G11="",", Description","")&amp;IF(H11="",", Cost Centre","")&amp;IF(I11="",", Invoice Type","")&amp;IF(J11="",", Tax Code","")&amp;IF(O11="",", Expected Revenue","")&amp;IF(COUNTIF(tbl_Finance[Job Number],$C11&amp;"")&gt;1,", Job number used twice",""))="","Complete","Fix: "&amp;MID(IF(F11="",", Client","")&amp;IF(G11="",", Description","")&amp;IF(H11="",", Cost Centre","")&amp;IF(I11="",", Invoice Type","")&amp;IF(J11="",", Tax Code","")&amp;IF(O11="",", Expected Revenue","")&amp;IF(COUNTIF(tbl_Finance[Job Number],$C11&amp;"")&gt;1,", Job number used twice",""),3,300)))</f>
        <v/>
      </c>
      <c r="Q11" s="10">
        <f>IF($C11="","",IF(H11="","(no cost centre)",H11&amp;" - GL "&amp;IFERROR(INDEX(lst_CCtoGL,MATCH(H11,lst_CCforGL,0)),"?")))</f>
        <v/>
      </c>
      <c r="R11" s="11">
        <f>IF($C11="","",IFERROR(N(INDEX(tbl_Finance[Inc GST],MATCH($AU11,tbl_Finance[Row ID],0))),""))</f>
        <v/>
      </c>
      <c r="S11" s="37" t="n"/>
      <c r="T11" s="37" t="n"/>
      <c r="U11" s="37" t="n"/>
      <c r="V11" s="42" t="n"/>
      <c r="W11" s="37" t="n"/>
      <c r="X11" s="10">
        <f>IF(W11="","",IF(AND(LEFT(W11,4)&lt;&gt;"http",set_RMSBase=""),"",HYPERLINK(IF(LEFT(W11,4)="http",W11,set_RMSBase&amp;W11),"Open in RMS")))</f>
        <v/>
      </c>
      <c r="Y11" s="37" t="n"/>
      <c r="Z11" s="10">
        <f>IF(Y11="","",HYPERLINK(IF(LEFT(Y11,4)="http",Y11,set_QwilrBase&amp;Y11),"Open quote"))</f>
        <v/>
      </c>
      <c r="AA11" s="10">
        <f>IF(C11="","",C11)</f>
        <v/>
      </c>
      <c r="AB11" s="37" t="n"/>
      <c r="AC11" s="39" t="n"/>
      <c r="AD11" s="11">
        <f>IF(C11="","",N(L11)+N(AC11))</f>
        <v/>
      </c>
      <c r="AE11" s="43">
        <f>IFERROR(IF(N(AC11)=0,"",AC11/AD11),"")</f>
        <v/>
      </c>
      <c r="AF11" s="39" t="n"/>
      <c r="AG11" s="39" t="n"/>
      <c r="AH11" s="39" t="n"/>
      <c r="AI11" s="39" t="n"/>
      <c r="AJ11" s="11">
        <f>IF(C11="","",IF(H11="VIDEO",N(L11),0))</f>
        <v/>
      </c>
      <c r="AK11" s="43">
        <f>IFERROR(IF(N(L11)=0,"",AJ11/L11),"")</f>
        <v/>
      </c>
      <c r="AL11" s="11">
        <f>IF(C11="","",N(AF11)+N(AG11)+N(AH11)+N(AI11))</f>
        <v/>
      </c>
      <c r="AM11" s="11">
        <f>IF(C11="","",MAX(N(L11),N(O11))-N(AL11))</f>
        <v/>
      </c>
      <c r="AN11" s="43">
        <f>IFERROR(IF(MAX(N(L11),N(O11))=0,"",AM11/MAX(N(L11),N(O11))),"")</f>
        <v/>
      </c>
      <c r="AO11" s="41" t="n"/>
      <c r="AP11" s="41" t="n"/>
      <c r="AQ11" s="41" t="n"/>
      <c r="AR11" s="41" t="n"/>
      <c r="AS11" s="41" t="n"/>
      <c r="AT11" s="37" t="n"/>
      <c r="AU11" s="10" t="inlineStr">
        <is>
          <t>PRD-0007</t>
        </is>
      </c>
    </row>
    <row r="12">
      <c r="A12" s="16">
        <f>IF($C12="","",IFERROR(IF(INDEX(tbl_Finance[Latest Invoice Date],MATCH($AU12,tbl_Finance[Row ID],0))="","",INDEX(tbl_Finance[Latest Invoice Date],MATCH($AU12,tbl_Finance[Row ID],0))),""))</f>
        <v/>
      </c>
      <c r="B12" s="10">
        <f>IF($C12="","",IFERROR(INDEX(tbl_Finance[Invoice Numbers],MATCH($AU12,tbl_Finance[Row ID],0))&amp;"",""))</f>
        <v/>
      </c>
      <c r="C12" s="37" t="n"/>
      <c r="D12" s="10">
        <f>IF($C12="","",IF(COUNTIF(lst_Jobs,$C12&amp;"")&gt;0,"OK","CHECK"))</f>
        <v/>
      </c>
      <c r="E12" s="10">
        <f>IF($C12="","",IFERROR(INDEX(lst_JobName,MATCH($C12&amp;"",lst_Jobs,0)),""))</f>
        <v/>
      </c>
      <c r="F12" s="37" t="n"/>
      <c r="G12" s="37" t="n"/>
      <c r="H12" s="37" t="n"/>
      <c r="I12" s="37" t="n"/>
      <c r="J12" s="37" t="n"/>
      <c r="K12" s="38">
        <f>IF($C12="","",IFERROR(N(INDEX(tbl_Finance[Invoice Count],MATCH($AU12,tbl_Finance[Row ID],0))),""))</f>
        <v/>
      </c>
      <c r="L12" s="11">
        <f>IF($C12="","",IFERROR(N(INDEX(tbl_Finance[Xero Invoiced Ex GST],MATCH($AU12,tbl_Finance[Row ID],0))),""))</f>
        <v/>
      </c>
      <c r="M12" s="10">
        <f>IF($C12="","",IFERROR(INDEX(tbl_Finance[Compare],MATCH($AU12,tbl_Finance[Row ID],0))&amp;"",""))</f>
        <v/>
      </c>
      <c r="N12" s="11">
        <f>IF($C12="","",MAX(0,N(O12)-N(L12)))</f>
        <v/>
      </c>
      <c r="O12" s="39" t="n"/>
      <c r="P12" s="40">
        <f>IF($C12="","",IF((IF(F12="",", Client","")&amp;IF(G12="",", Description","")&amp;IF(H12="",", Cost Centre","")&amp;IF(I12="",", Invoice Type","")&amp;IF(J12="",", Tax Code","")&amp;IF(O12="",", Expected Revenue","")&amp;IF(COUNTIF(tbl_Finance[Job Number],$C12&amp;"")&gt;1,", Job number used twice",""))="","Complete","Fix: "&amp;MID(IF(F12="",", Client","")&amp;IF(G12="",", Description","")&amp;IF(H12="",", Cost Centre","")&amp;IF(I12="",", Invoice Type","")&amp;IF(J12="",", Tax Code","")&amp;IF(O12="",", Expected Revenue","")&amp;IF(COUNTIF(tbl_Finance[Job Number],$C12&amp;"")&gt;1,", Job number used twice",""),3,300)))</f>
        <v/>
      </c>
      <c r="Q12" s="10">
        <f>IF($C12="","",IF(H12="","(no cost centre)",H12&amp;" - GL "&amp;IFERROR(INDEX(lst_CCtoGL,MATCH(H12,lst_CCforGL,0)),"?")))</f>
        <v/>
      </c>
      <c r="R12" s="11">
        <f>IF($C12="","",IFERROR(N(INDEX(tbl_Finance[Inc GST],MATCH($AU12,tbl_Finance[Row ID],0))),""))</f>
        <v/>
      </c>
      <c r="S12" s="37" t="n"/>
      <c r="T12" s="37" t="n"/>
      <c r="U12" s="37" t="n"/>
      <c r="V12" s="42" t="n"/>
      <c r="W12" s="37" t="n"/>
      <c r="X12" s="10">
        <f>IF(W12="","",IF(AND(LEFT(W12,4)&lt;&gt;"http",set_RMSBase=""),"",HYPERLINK(IF(LEFT(W12,4)="http",W12,set_RMSBase&amp;W12),"Open in RMS")))</f>
        <v/>
      </c>
      <c r="Y12" s="37" t="n"/>
      <c r="Z12" s="10">
        <f>IF(Y12="","",HYPERLINK(IF(LEFT(Y12,4)="http",Y12,set_QwilrBase&amp;Y12),"Open quote"))</f>
        <v/>
      </c>
      <c r="AA12" s="10">
        <f>IF(C12="","",C12)</f>
        <v/>
      </c>
      <c r="AB12" s="37" t="n"/>
      <c r="AC12" s="39" t="n"/>
      <c r="AD12" s="11">
        <f>IF(C12="","",N(L12)+N(AC12))</f>
        <v/>
      </c>
      <c r="AE12" s="43">
        <f>IFERROR(IF(N(AC12)=0,"",AC12/AD12),"")</f>
        <v/>
      </c>
      <c r="AF12" s="39" t="n"/>
      <c r="AG12" s="39" t="n"/>
      <c r="AH12" s="39" t="n"/>
      <c r="AI12" s="39" t="n"/>
      <c r="AJ12" s="11">
        <f>IF(C12="","",IF(H12="VIDEO",N(L12),0))</f>
        <v/>
      </c>
      <c r="AK12" s="43">
        <f>IFERROR(IF(N(L12)=0,"",AJ12/L12),"")</f>
        <v/>
      </c>
      <c r="AL12" s="11">
        <f>IF(C12="","",N(AF12)+N(AG12)+N(AH12)+N(AI12))</f>
        <v/>
      </c>
      <c r="AM12" s="11">
        <f>IF(C12="","",MAX(N(L12),N(O12))-N(AL12))</f>
        <v/>
      </c>
      <c r="AN12" s="43">
        <f>IFERROR(IF(MAX(N(L12),N(O12))=0,"",AM12/MAX(N(L12),N(O12))),"")</f>
        <v/>
      </c>
      <c r="AO12" s="41" t="n"/>
      <c r="AP12" s="41" t="n"/>
      <c r="AQ12" s="41" t="n"/>
      <c r="AR12" s="41" t="n"/>
      <c r="AS12" s="41" t="n"/>
      <c r="AT12" s="37" t="n"/>
      <c r="AU12" s="10" t="inlineStr">
        <is>
          <t>PRD-0008</t>
        </is>
      </c>
    </row>
    <row r="13">
      <c r="A13" s="16">
        <f>IF($C13="","",IFERROR(IF(INDEX(tbl_Finance[Latest Invoice Date],MATCH($AU13,tbl_Finance[Row ID],0))="","",INDEX(tbl_Finance[Latest Invoice Date],MATCH($AU13,tbl_Finance[Row ID],0))),""))</f>
        <v/>
      </c>
      <c r="B13" s="10">
        <f>IF($C13="","",IFERROR(INDEX(tbl_Finance[Invoice Numbers],MATCH($AU13,tbl_Finance[Row ID],0))&amp;"",""))</f>
        <v/>
      </c>
      <c r="C13" s="37" t="n"/>
      <c r="D13" s="10">
        <f>IF($C13="","",IF(COUNTIF(lst_Jobs,$C13&amp;"")&gt;0,"OK","CHECK"))</f>
        <v/>
      </c>
      <c r="E13" s="10">
        <f>IF($C13="","",IFERROR(INDEX(lst_JobName,MATCH($C13&amp;"",lst_Jobs,0)),""))</f>
        <v/>
      </c>
      <c r="F13" s="37" t="n"/>
      <c r="G13" s="37" t="n"/>
      <c r="H13" s="37" t="n"/>
      <c r="I13" s="37" t="n"/>
      <c r="J13" s="37" t="n"/>
      <c r="K13" s="38">
        <f>IF($C13="","",IFERROR(N(INDEX(tbl_Finance[Invoice Count],MATCH($AU13,tbl_Finance[Row ID],0))),""))</f>
        <v/>
      </c>
      <c r="L13" s="11">
        <f>IF($C13="","",IFERROR(N(INDEX(tbl_Finance[Xero Invoiced Ex GST],MATCH($AU13,tbl_Finance[Row ID],0))),""))</f>
        <v/>
      </c>
      <c r="M13" s="10">
        <f>IF($C13="","",IFERROR(INDEX(tbl_Finance[Compare],MATCH($AU13,tbl_Finance[Row ID],0))&amp;"",""))</f>
        <v/>
      </c>
      <c r="N13" s="11">
        <f>IF($C13="","",MAX(0,N(O13)-N(L13)))</f>
        <v/>
      </c>
      <c r="O13" s="39" t="n"/>
      <c r="P13" s="40">
        <f>IF($C13="","",IF((IF(F13="",", Client","")&amp;IF(G13="",", Description","")&amp;IF(H13="",", Cost Centre","")&amp;IF(I13="",", Invoice Type","")&amp;IF(J13="",", Tax Code","")&amp;IF(O13="",", Expected Revenue","")&amp;IF(COUNTIF(tbl_Finance[Job Number],$C13&amp;"")&gt;1,", Job number used twice",""))="","Complete","Fix: "&amp;MID(IF(F13="",", Client","")&amp;IF(G13="",", Description","")&amp;IF(H13="",", Cost Centre","")&amp;IF(I13="",", Invoice Type","")&amp;IF(J13="",", Tax Code","")&amp;IF(O13="",", Expected Revenue","")&amp;IF(COUNTIF(tbl_Finance[Job Number],$C13&amp;"")&gt;1,", Job number used twice",""),3,300)))</f>
        <v/>
      </c>
      <c r="Q13" s="10">
        <f>IF($C13="","",IF(H13="","(no cost centre)",H13&amp;" - GL "&amp;IFERROR(INDEX(lst_CCtoGL,MATCH(H13,lst_CCforGL,0)),"?")))</f>
        <v/>
      </c>
      <c r="R13" s="11">
        <f>IF($C13="","",IFERROR(N(INDEX(tbl_Finance[Inc GST],MATCH($AU13,tbl_Finance[Row ID],0))),""))</f>
        <v/>
      </c>
      <c r="S13" s="37" t="n"/>
      <c r="T13" s="37" t="n"/>
      <c r="U13" s="37" t="n"/>
      <c r="V13" s="42" t="n"/>
      <c r="W13" s="37" t="n"/>
      <c r="X13" s="10">
        <f>IF(W13="","",IF(AND(LEFT(W13,4)&lt;&gt;"http",set_RMSBase=""),"",HYPERLINK(IF(LEFT(W13,4)="http",W13,set_RMSBase&amp;W13),"Open in RMS")))</f>
        <v/>
      </c>
      <c r="Y13" s="37" t="n"/>
      <c r="Z13" s="10">
        <f>IF(Y13="","",HYPERLINK(IF(LEFT(Y13,4)="http",Y13,set_QwilrBase&amp;Y13),"Open quote"))</f>
        <v/>
      </c>
      <c r="AA13" s="10">
        <f>IF(C13="","",C13)</f>
        <v/>
      </c>
      <c r="AB13" s="37" t="n"/>
      <c r="AC13" s="39" t="n"/>
      <c r="AD13" s="11">
        <f>IF(C13="","",N(L13)+N(AC13))</f>
        <v/>
      </c>
      <c r="AE13" s="43">
        <f>IFERROR(IF(N(AC13)=0,"",AC13/AD13),"")</f>
        <v/>
      </c>
      <c r="AF13" s="39" t="n"/>
      <c r="AG13" s="39" t="n"/>
      <c r="AH13" s="39" t="n"/>
      <c r="AI13" s="39" t="n"/>
      <c r="AJ13" s="11">
        <f>IF(C13="","",IF(H13="VIDEO",N(L13),0))</f>
        <v/>
      </c>
      <c r="AK13" s="43">
        <f>IFERROR(IF(N(L13)=0,"",AJ13/L13),"")</f>
        <v/>
      </c>
      <c r="AL13" s="11">
        <f>IF(C13="","",N(AF13)+N(AG13)+N(AH13)+N(AI13))</f>
        <v/>
      </c>
      <c r="AM13" s="11">
        <f>IF(C13="","",MAX(N(L13),N(O13))-N(AL13))</f>
        <v/>
      </c>
      <c r="AN13" s="43">
        <f>IFERROR(IF(MAX(N(L13),N(O13))=0,"",AM13/MAX(N(L13),N(O13))),"")</f>
        <v/>
      </c>
      <c r="AO13" s="41" t="n"/>
      <c r="AP13" s="41" t="n"/>
      <c r="AQ13" s="41" t="n"/>
      <c r="AR13" s="41" t="n"/>
      <c r="AS13" s="41" t="n"/>
      <c r="AT13" s="37" t="n"/>
      <c r="AU13" s="10" t="inlineStr">
        <is>
          <t>PRD-0009</t>
        </is>
      </c>
    </row>
    <row r="14">
      <c r="A14" s="16">
        <f>IF($C14="","",IFERROR(IF(INDEX(tbl_Finance[Latest Invoice Date],MATCH($AU14,tbl_Finance[Row ID],0))="","",INDEX(tbl_Finance[Latest Invoice Date],MATCH($AU14,tbl_Finance[Row ID],0))),""))</f>
        <v/>
      </c>
      <c r="B14" s="10">
        <f>IF($C14="","",IFERROR(INDEX(tbl_Finance[Invoice Numbers],MATCH($AU14,tbl_Finance[Row ID],0))&amp;"",""))</f>
        <v/>
      </c>
      <c r="C14" s="37" t="n"/>
      <c r="D14" s="10">
        <f>IF($C14="","",IF(COUNTIF(lst_Jobs,$C14&amp;"")&gt;0,"OK","CHECK"))</f>
        <v/>
      </c>
      <c r="E14" s="10">
        <f>IF($C14="","",IFERROR(INDEX(lst_JobName,MATCH($C14&amp;"",lst_Jobs,0)),""))</f>
        <v/>
      </c>
      <c r="F14" s="37" t="n"/>
      <c r="G14" s="37" t="n"/>
      <c r="H14" s="37" t="n"/>
      <c r="I14" s="37" t="n"/>
      <c r="J14" s="37" t="n"/>
      <c r="K14" s="38">
        <f>IF($C14="","",IFERROR(N(INDEX(tbl_Finance[Invoice Count],MATCH($AU14,tbl_Finance[Row ID],0))),""))</f>
        <v/>
      </c>
      <c r="L14" s="11">
        <f>IF($C14="","",IFERROR(N(INDEX(tbl_Finance[Xero Invoiced Ex GST],MATCH($AU14,tbl_Finance[Row ID],0))),""))</f>
        <v/>
      </c>
      <c r="M14" s="10">
        <f>IF($C14="","",IFERROR(INDEX(tbl_Finance[Compare],MATCH($AU14,tbl_Finance[Row ID],0))&amp;"",""))</f>
        <v/>
      </c>
      <c r="N14" s="11">
        <f>IF($C14="","",MAX(0,N(O14)-N(L14)))</f>
        <v/>
      </c>
      <c r="O14" s="39" t="n"/>
      <c r="P14" s="40">
        <f>IF($C14="","",IF((IF(F14="",", Client","")&amp;IF(G14="",", Description","")&amp;IF(H14="",", Cost Centre","")&amp;IF(I14="",", Invoice Type","")&amp;IF(J14="",", Tax Code","")&amp;IF(O14="",", Expected Revenue","")&amp;IF(COUNTIF(tbl_Finance[Job Number],$C14&amp;"")&gt;1,", Job number used twice",""))="","Complete","Fix: "&amp;MID(IF(F14="",", Client","")&amp;IF(G14="",", Description","")&amp;IF(H14="",", Cost Centre","")&amp;IF(I14="",", Invoice Type","")&amp;IF(J14="",", Tax Code","")&amp;IF(O14="",", Expected Revenue","")&amp;IF(COUNTIF(tbl_Finance[Job Number],$C14&amp;"")&gt;1,", Job number used twice",""),3,300)))</f>
        <v/>
      </c>
      <c r="Q14" s="10">
        <f>IF($C14="","",IF(H14="","(no cost centre)",H14&amp;" - GL "&amp;IFERROR(INDEX(lst_CCtoGL,MATCH(H14,lst_CCforGL,0)),"?")))</f>
        <v/>
      </c>
      <c r="R14" s="11">
        <f>IF($C14="","",IFERROR(N(INDEX(tbl_Finance[Inc GST],MATCH($AU14,tbl_Finance[Row ID],0))),""))</f>
        <v/>
      </c>
      <c r="S14" s="37" t="n"/>
      <c r="T14" s="37" t="n"/>
      <c r="U14" s="37" t="n"/>
      <c r="V14" s="42" t="n"/>
      <c r="W14" s="37" t="n"/>
      <c r="X14" s="10">
        <f>IF(W14="","",IF(AND(LEFT(W14,4)&lt;&gt;"http",set_RMSBase=""),"",HYPERLINK(IF(LEFT(W14,4)="http",W14,set_RMSBase&amp;W14),"Open in RMS")))</f>
        <v/>
      </c>
      <c r="Y14" s="37" t="n"/>
      <c r="Z14" s="10">
        <f>IF(Y14="","",HYPERLINK(IF(LEFT(Y14,4)="http",Y14,set_QwilrBase&amp;Y14),"Open quote"))</f>
        <v/>
      </c>
      <c r="AA14" s="10">
        <f>IF(C14="","",C14)</f>
        <v/>
      </c>
      <c r="AB14" s="37" t="n"/>
      <c r="AC14" s="39" t="n"/>
      <c r="AD14" s="11">
        <f>IF(C14="","",N(L14)+N(AC14))</f>
        <v/>
      </c>
      <c r="AE14" s="43">
        <f>IFERROR(IF(N(AC14)=0,"",AC14/AD14),"")</f>
        <v/>
      </c>
      <c r="AF14" s="39" t="n"/>
      <c r="AG14" s="39" t="n"/>
      <c r="AH14" s="39" t="n"/>
      <c r="AI14" s="39" t="n"/>
      <c r="AJ14" s="11">
        <f>IF(C14="","",IF(H14="VIDEO",N(L14),0))</f>
        <v/>
      </c>
      <c r="AK14" s="43">
        <f>IFERROR(IF(N(L14)=0,"",AJ14/L14),"")</f>
        <v/>
      </c>
      <c r="AL14" s="11">
        <f>IF(C14="","",N(AF14)+N(AG14)+N(AH14)+N(AI14))</f>
        <v/>
      </c>
      <c r="AM14" s="11">
        <f>IF(C14="","",MAX(N(L14),N(O14))-N(AL14))</f>
        <v/>
      </c>
      <c r="AN14" s="43">
        <f>IFERROR(IF(MAX(N(L14),N(O14))=0,"",AM14/MAX(N(L14),N(O14))),"")</f>
        <v/>
      </c>
      <c r="AO14" s="41" t="n"/>
      <c r="AP14" s="41" t="n"/>
      <c r="AQ14" s="41" t="n"/>
      <c r="AR14" s="41" t="n"/>
      <c r="AS14" s="41" t="n"/>
      <c r="AT14" s="37" t="n"/>
      <c r="AU14" s="10" t="inlineStr">
        <is>
          <t>PRD-0010</t>
        </is>
      </c>
    </row>
    <row r="15">
      <c r="A15" s="16">
        <f>IF($C15="","",IFERROR(IF(INDEX(tbl_Finance[Latest Invoice Date],MATCH($AU15,tbl_Finance[Row ID],0))="","",INDEX(tbl_Finance[Latest Invoice Date],MATCH($AU15,tbl_Finance[Row ID],0))),""))</f>
        <v/>
      </c>
      <c r="B15" s="10">
        <f>IF($C15="","",IFERROR(INDEX(tbl_Finance[Invoice Numbers],MATCH($AU15,tbl_Finance[Row ID],0))&amp;"",""))</f>
        <v/>
      </c>
      <c r="C15" s="37" t="n"/>
      <c r="D15" s="10">
        <f>IF($C15="","",IF(COUNTIF(lst_Jobs,$C15&amp;"")&gt;0,"OK","CHECK"))</f>
        <v/>
      </c>
      <c r="E15" s="10">
        <f>IF($C15="","",IFERROR(INDEX(lst_JobName,MATCH($C15&amp;"",lst_Jobs,0)),""))</f>
        <v/>
      </c>
      <c r="F15" s="37" t="n"/>
      <c r="G15" s="37" t="n"/>
      <c r="H15" s="37" t="n"/>
      <c r="I15" s="37" t="n"/>
      <c r="J15" s="37" t="n"/>
      <c r="K15" s="38">
        <f>IF($C15="","",IFERROR(N(INDEX(tbl_Finance[Invoice Count],MATCH($AU15,tbl_Finance[Row ID],0))),""))</f>
        <v/>
      </c>
      <c r="L15" s="11">
        <f>IF($C15="","",IFERROR(N(INDEX(tbl_Finance[Xero Invoiced Ex GST],MATCH($AU15,tbl_Finance[Row ID],0))),""))</f>
        <v/>
      </c>
      <c r="M15" s="10">
        <f>IF($C15="","",IFERROR(INDEX(tbl_Finance[Compare],MATCH($AU15,tbl_Finance[Row ID],0))&amp;"",""))</f>
        <v/>
      </c>
      <c r="N15" s="11">
        <f>IF($C15="","",MAX(0,N(O15)-N(L15)))</f>
        <v/>
      </c>
      <c r="O15" s="39" t="n"/>
      <c r="P15" s="40">
        <f>IF($C15="","",IF((IF(F15="",", Client","")&amp;IF(G15="",", Description","")&amp;IF(H15="",", Cost Centre","")&amp;IF(I15="",", Invoice Type","")&amp;IF(J15="",", Tax Code","")&amp;IF(O15="",", Expected Revenue","")&amp;IF(COUNTIF(tbl_Finance[Job Number],$C15&amp;"")&gt;1,", Job number used twice",""))="","Complete","Fix: "&amp;MID(IF(F15="",", Client","")&amp;IF(G15="",", Description","")&amp;IF(H15="",", Cost Centre","")&amp;IF(I15="",", Invoice Type","")&amp;IF(J15="",", Tax Code","")&amp;IF(O15="",", Expected Revenue","")&amp;IF(COUNTIF(tbl_Finance[Job Number],$C15&amp;"")&gt;1,", Job number used twice",""),3,300)))</f>
        <v/>
      </c>
      <c r="Q15" s="10">
        <f>IF($C15="","",IF(H15="","(no cost centre)",H15&amp;" - GL "&amp;IFERROR(INDEX(lst_CCtoGL,MATCH(H15,lst_CCforGL,0)),"?")))</f>
        <v/>
      </c>
      <c r="R15" s="11">
        <f>IF($C15="","",IFERROR(N(INDEX(tbl_Finance[Inc GST],MATCH($AU15,tbl_Finance[Row ID],0))),""))</f>
        <v/>
      </c>
      <c r="S15" s="37" t="n"/>
      <c r="T15" s="37" t="n"/>
      <c r="U15" s="37" t="n"/>
      <c r="V15" s="42" t="n"/>
      <c r="W15" s="37" t="n"/>
      <c r="X15" s="10">
        <f>IF(W15="","",IF(AND(LEFT(W15,4)&lt;&gt;"http",set_RMSBase=""),"",HYPERLINK(IF(LEFT(W15,4)="http",W15,set_RMSBase&amp;W15),"Open in RMS")))</f>
        <v/>
      </c>
      <c r="Y15" s="37" t="n"/>
      <c r="Z15" s="10">
        <f>IF(Y15="","",HYPERLINK(IF(LEFT(Y15,4)="http",Y15,set_QwilrBase&amp;Y15),"Open quote"))</f>
        <v/>
      </c>
      <c r="AA15" s="10">
        <f>IF(C15="","",C15)</f>
        <v/>
      </c>
      <c r="AB15" s="37" t="n"/>
      <c r="AC15" s="39" t="n"/>
      <c r="AD15" s="11">
        <f>IF(C15="","",N(L15)+N(AC15))</f>
        <v/>
      </c>
      <c r="AE15" s="43">
        <f>IFERROR(IF(N(AC15)=0,"",AC15/AD15),"")</f>
        <v/>
      </c>
      <c r="AF15" s="39" t="n"/>
      <c r="AG15" s="39" t="n"/>
      <c r="AH15" s="39" t="n"/>
      <c r="AI15" s="39" t="n"/>
      <c r="AJ15" s="11">
        <f>IF(C15="","",IF(H15="VIDEO",N(L15),0))</f>
        <v/>
      </c>
      <c r="AK15" s="43">
        <f>IFERROR(IF(N(L15)=0,"",AJ15/L15),"")</f>
        <v/>
      </c>
      <c r="AL15" s="11">
        <f>IF(C15="","",N(AF15)+N(AG15)+N(AH15)+N(AI15))</f>
        <v/>
      </c>
      <c r="AM15" s="11">
        <f>IF(C15="","",MAX(N(L15),N(O15))-N(AL15))</f>
        <v/>
      </c>
      <c r="AN15" s="43">
        <f>IFERROR(IF(MAX(N(L15),N(O15))=0,"",AM15/MAX(N(L15),N(O15))),"")</f>
        <v/>
      </c>
      <c r="AO15" s="41" t="n"/>
      <c r="AP15" s="41" t="n"/>
      <c r="AQ15" s="41" t="n"/>
      <c r="AR15" s="41" t="n"/>
      <c r="AS15" s="41" t="n"/>
      <c r="AT15" s="37" t="n"/>
      <c r="AU15" s="10" t="inlineStr">
        <is>
          <t>PRD-0011</t>
        </is>
      </c>
    </row>
    <row r="16">
      <c r="A16" s="16">
        <f>IF($C16="","",IFERROR(IF(INDEX(tbl_Finance[Latest Invoice Date],MATCH($AU16,tbl_Finance[Row ID],0))="","",INDEX(tbl_Finance[Latest Invoice Date],MATCH($AU16,tbl_Finance[Row ID],0))),""))</f>
        <v/>
      </c>
      <c r="B16" s="10">
        <f>IF($C16="","",IFERROR(INDEX(tbl_Finance[Invoice Numbers],MATCH($AU16,tbl_Finance[Row ID],0))&amp;"",""))</f>
        <v/>
      </c>
      <c r="C16" s="37" t="n"/>
      <c r="D16" s="10">
        <f>IF($C16="","",IF(COUNTIF(lst_Jobs,$C16&amp;"")&gt;0,"OK","CHECK"))</f>
        <v/>
      </c>
      <c r="E16" s="10">
        <f>IF($C16="","",IFERROR(INDEX(lst_JobName,MATCH($C16&amp;"",lst_Jobs,0)),""))</f>
        <v/>
      </c>
      <c r="F16" s="37" t="n"/>
      <c r="G16" s="37" t="n"/>
      <c r="H16" s="37" t="n"/>
      <c r="I16" s="37" t="n"/>
      <c r="J16" s="37" t="n"/>
      <c r="K16" s="38">
        <f>IF($C16="","",IFERROR(N(INDEX(tbl_Finance[Invoice Count],MATCH($AU16,tbl_Finance[Row ID],0))),""))</f>
        <v/>
      </c>
      <c r="L16" s="11">
        <f>IF($C16="","",IFERROR(N(INDEX(tbl_Finance[Xero Invoiced Ex GST],MATCH($AU16,tbl_Finance[Row ID],0))),""))</f>
        <v/>
      </c>
      <c r="M16" s="10">
        <f>IF($C16="","",IFERROR(INDEX(tbl_Finance[Compare],MATCH($AU16,tbl_Finance[Row ID],0))&amp;"",""))</f>
        <v/>
      </c>
      <c r="N16" s="11">
        <f>IF($C16="","",MAX(0,N(O16)-N(L16)))</f>
        <v/>
      </c>
      <c r="O16" s="39" t="n"/>
      <c r="P16" s="40">
        <f>IF($C16="","",IF((IF(F16="",", Client","")&amp;IF(G16="",", Description","")&amp;IF(H16="",", Cost Centre","")&amp;IF(I16="",", Invoice Type","")&amp;IF(J16="",", Tax Code","")&amp;IF(O16="",", Expected Revenue","")&amp;IF(COUNTIF(tbl_Finance[Job Number],$C16&amp;"")&gt;1,", Job number used twice",""))="","Complete","Fix: "&amp;MID(IF(F16="",", Client","")&amp;IF(G16="",", Description","")&amp;IF(H16="",", Cost Centre","")&amp;IF(I16="",", Invoice Type","")&amp;IF(J16="",", Tax Code","")&amp;IF(O16="",", Expected Revenue","")&amp;IF(COUNTIF(tbl_Finance[Job Number],$C16&amp;"")&gt;1,", Job number used twice",""),3,300)))</f>
        <v/>
      </c>
      <c r="Q16" s="10">
        <f>IF($C16="","",IF(H16="","(no cost centre)",H16&amp;" - GL "&amp;IFERROR(INDEX(lst_CCtoGL,MATCH(H16,lst_CCforGL,0)),"?")))</f>
        <v/>
      </c>
      <c r="R16" s="11">
        <f>IF($C16="","",IFERROR(N(INDEX(tbl_Finance[Inc GST],MATCH($AU16,tbl_Finance[Row ID],0))),""))</f>
        <v/>
      </c>
      <c r="S16" s="37" t="n"/>
      <c r="T16" s="37" t="n"/>
      <c r="U16" s="37" t="n"/>
      <c r="V16" s="42" t="n"/>
      <c r="W16" s="37" t="n"/>
      <c r="X16" s="10">
        <f>IF(W16="","",IF(AND(LEFT(W16,4)&lt;&gt;"http",set_RMSBase=""),"",HYPERLINK(IF(LEFT(W16,4)="http",W16,set_RMSBase&amp;W16),"Open in RMS")))</f>
        <v/>
      </c>
      <c r="Y16" s="37" t="n"/>
      <c r="Z16" s="10">
        <f>IF(Y16="","",HYPERLINK(IF(LEFT(Y16,4)="http",Y16,set_QwilrBase&amp;Y16),"Open quote"))</f>
        <v/>
      </c>
      <c r="AA16" s="10">
        <f>IF(C16="","",C16)</f>
        <v/>
      </c>
      <c r="AB16" s="37" t="n"/>
      <c r="AC16" s="39" t="n"/>
      <c r="AD16" s="11">
        <f>IF(C16="","",N(L16)+N(AC16))</f>
        <v/>
      </c>
      <c r="AE16" s="43">
        <f>IFERROR(IF(N(AC16)=0,"",AC16/AD16),"")</f>
        <v/>
      </c>
      <c r="AF16" s="39" t="n"/>
      <c r="AG16" s="39" t="n"/>
      <c r="AH16" s="39" t="n"/>
      <c r="AI16" s="39" t="n"/>
      <c r="AJ16" s="11">
        <f>IF(C16="","",IF(H16="VIDEO",N(L16),0))</f>
        <v/>
      </c>
      <c r="AK16" s="43">
        <f>IFERROR(IF(N(L16)=0,"",AJ16/L16),"")</f>
        <v/>
      </c>
      <c r="AL16" s="11">
        <f>IF(C16="","",N(AF16)+N(AG16)+N(AH16)+N(AI16))</f>
        <v/>
      </c>
      <c r="AM16" s="11">
        <f>IF(C16="","",MAX(N(L16),N(O16))-N(AL16))</f>
        <v/>
      </c>
      <c r="AN16" s="43">
        <f>IFERROR(IF(MAX(N(L16),N(O16))=0,"",AM16/MAX(N(L16),N(O16))),"")</f>
        <v/>
      </c>
      <c r="AO16" s="41" t="n"/>
      <c r="AP16" s="41" t="n"/>
      <c r="AQ16" s="41" t="n"/>
      <c r="AR16" s="41" t="n"/>
      <c r="AS16" s="41" t="n"/>
      <c r="AT16" s="37" t="n"/>
      <c r="AU16" s="10" t="inlineStr">
        <is>
          <t>PRD-0012</t>
        </is>
      </c>
    </row>
    <row r="17">
      <c r="A17" s="16">
        <f>IF($C17="","",IFERROR(IF(INDEX(tbl_Finance[Latest Invoice Date],MATCH($AU17,tbl_Finance[Row ID],0))="","",INDEX(tbl_Finance[Latest Invoice Date],MATCH($AU17,tbl_Finance[Row ID],0))),""))</f>
        <v/>
      </c>
      <c r="B17" s="10">
        <f>IF($C17="","",IFERROR(INDEX(tbl_Finance[Invoice Numbers],MATCH($AU17,tbl_Finance[Row ID],0))&amp;"",""))</f>
        <v/>
      </c>
      <c r="C17" s="37" t="n"/>
      <c r="D17" s="10">
        <f>IF($C17="","",IF(COUNTIF(lst_Jobs,$C17&amp;"")&gt;0,"OK","CHECK"))</f>
        <v/>
      </c>
      <c r="E17" s="10">
        <f>IF($C17="","",IFERROR(INDEX(lst_JobName,MATCH($C17&amp;"",lst_Jobs,0)),""))</f>
        <v/>
      </c>
      <c r="F17" s="37" t="n"/>
      <c r="G17" s="37" t="n"/>
      <c r="H17" s="37" t="n"/>
      <c r="I17" s="37" t="n"/>
      <c r="J17" s="37" t="n"/>
      <c r="K17" s="38">
        <f>IF($C17="","",IFERROR(N(INDEX(tbl_Finance[Invoice Count],MATCH($AU17,tbl_Finance[Row ID],0))),""))</f>
        <v/>
      </c>
      <c r="L17" s="11">
        <f>IF($C17="","",IFERROR(N(INDEX(tbl_Finance[Xero Invoiced Ex GST],MATCH($AU17,tbl_Finance[Row ID],0))),""))</f>
        <v/>
      </c>
      <c r="M17" s="10">
        <f>IF($C17="","",IFERROR(INDEX(tbl_Finance[Compare],MATCH($AU17,tbl_Finance[Row ID],0))&amp;"",""))</f>
        <v/>
      </c>
      <c r="N17" s="11">
        <f>IF($C17="","",MAX(0,N(O17)-N(L17)))</f>
        <v/>
      </c>
      <c r="O17" s="39" t="n"/>
      <c r="P17" s="40">
        <f>IF($C17="","",IF((IF(F17="",", Client","")&amp;IF(G17="",", Description","")&amp;IF(H17="",", Cost Centre","")&amp;IF(I17="",", Invoice Type","")&amp;IF(J17="",", Tax Code","")&amp;IF(O17="",", Expected Revenue","")&amp;IF(COUNTIF(tbl_Finance[Job Number],$C17&amp;"")&gt;1,", Job number used twice",""))="","Complete","Fix: "&amp;MID(IF(F17="",", Client","")&amp;IF(G17="",", Description","")&amp;IF(H17="",", Cost Centre","")&amp;IF(I17="",", Invoice Type","")&amp;IF(J17="",", Tax Code","")&amp;IF(O17="",", Expected Revenue","")&amp;IF(COUNTIF(tbl_Finance[Job Number],$C17&amp;"")&gt;1,", Job number used twice",""),3,300)))</f>
        <v/>
      </c>
      <c r="Q17" s="10">
        <f>IF($C17="","",IF(H17="","(no cost centre)",H17&amp;" - GL "&amp;IFERROR(INDEX(lst_CCtoGL,MATCH(H17,lst_CCforGL,0)),"?")))</f>
        <v/>
      </c>
      <c r="R17" s="11">
        <f>IF($C17="","",IFERROR(N(INDEX(tbl_Finance[Inc GST],MATCH($AU17,tbl_Finance[Row ID],0))),""))</f>
        <v/>
      </c>
      <c r="S17" s="37" t="n"/>
      <c r="T17" s="37" t="n"/>
      <c r="U17" s="37" t="n"/>
      <c r="V17" s="42" t="n"/>
      <c r="W17" s="37" t="n"/>
      <c r="X17" s="10">
        <f>IF(W17="","",IF(AND(LEFT(W17,4)&lt;&gt;"http",set_RMSBase=""),"",HYPERLINK(IF(LEFT(W17,4)="http",W17,set_RMSBase&amp;W17),"Open in RMS")))</f>
        <v/>
      </c>
      <c r="Y17" s="37" t="n"/>
      <c r="Z17" s="10">
        <f>IF(Y17="","",HYPERLINK(IF(LEFT(Y17,4)="http",Y17,set_QwilrBase&amp;Y17),"Open quote"))</f>
        <v/>
      </c>
      <c r="AA17" s="10">
        <f>IF(C17="","",C17)</f>
        <v/>
      </c>
      <c r="AB17" s="37" t="n"/>
      <c r="AC17" s="39" t="n"/>
      <c r="AD17" s="11">
        <f>IF(C17="","",N(L17)+N(AC17))</f>
        <v/>
      </c>
      <c r="AE17" s="43">
        <f>IFERROR(IF(N(AC17)=0,"",AC17/AD17),"")</f>
        <v/>
      </c>
      <c r="AF17" s="39" t="n"/>
      <c r="AG17" s="39" t="n"/>
      <c r="AH17" s="39" t="n"/>
      <c r="AI17" s="39" t="n"/>
      <c r="AJ17" s="11">
        <f>IF(C17="","",IF(H17="VIDEO",N(L17),0))</f>
        <v/>
      </c>
      <c r="AK17" s="43">
        <f>IFERROR(IF(N(L17)=0,"",AJ17/L17),"")</f>
        <v/>
      </c>
      <c r="AL17" s="11">
        <f>IF(C17="","",N(AF17)+N(AG17)+N(AH17)+N(AI17))</f>
        <v/>
      </c>
      <c r="AM17" s="11">
        <f>IF(C17="","",MAX(N(L17),N(O17))-N(AL17))</f>
        <v/>
      </c>
      <c r="AN17" s="43">
        <f>IFERROR(IF(MAX(N(L17),N(O17))=0,"",AM17/MAX(N(L17),N(O17))),"")</f>
        <v/>
      </c>
      <c r="AO17" s="41" t="n"/>
      <c r="AP17" s="41" t="n"/>
      <c r="AQ17" s="41" t="n"/>
      <c r="AR17" s="41" t="n"/>
      <c r="AS17" s="41" t="n"/>
      <c r="AT17" s="37" t="n"/>
      <c r="AU17" s="10" t="inlineStr">
        <is>
          <t>PRD-0013</t>
        </is>
      </c>
    </row>
    <row r="18">
      <c r="A18" s="16">
        <f>IF($C18="","",IFERROR(IF(INDEX(tbl_Finance[Latest Invoice Date],MATCH($AU18,tbl_Finance[Row ID],0))="","",INDEX(tbl_Finance[Latest Invoice Date],MATCH($AU18,tbl_Finance[Row ID],0))),""))</f>
        <v/>
      </c>
      <c r="B18" s="10">
        <f>IF($C18="","",IFERROR(INDEX(tbl_Finance[Invoice Numbers],MATCH($AU18,tbl_Finance[Row ID],0))&amp;"",""))</f>
        <v/>
      </c>
      <c r="C18" s="37" t="n"/>
      <c r="D18" s="10">
        <f>IF($C18="","",IF(COUNTIF(lst_Jobs,$C18&amp;"")&gt;0,"OK","CHECK"))</f>
        <v/>
      </c>
      <c r="E18" s="10">
        <f>IF($C18="","",IFERROR(INDEX(lst_JobName,MATCH($C18&amp;"",lst_Jobs,0)),""))</f>
        <v/>
      </c>
      <c r="F18" s="37" t="n"/>
      <c r="G18" s="37" t="n"/>
      <c r="H18" s="37" t="n"/>
      <c r="I18" s="37" t="n"/>
      <c r="J18" s="37" t="n"/>
      <c r="K18" s="38">
        <f>IF($C18="","",IFERROR(N(INDEX(tbl_Finance[Invoice Count],MATCH($AU18,tbl_Finance[Row ID],0))),""))</f>
        <v/>
      </c>
      <c r="L18" s="11">
        <f>IF($C18="","",IFERROR(N(INDEX(tbl_Finance[Xero Invoiced Ex GST],MATCH($AU18,tbl_Finance[Row ID],0))),""))</f>
        <v/>
      </c>
      <c r="M18" s="10">
        <f>IF($C18="","",IFERROR(INDEX(tbl_Finance[Compare],MATCH($AU18,tbl_Finance[Row ID],0))&amp;"",""))</f>
        <v/>
      </c>
      <c r="N18" s="11">
        <f>IF($C18="","",MAX(0,N(O18)-N(L18)))</f>
        <v/>
      </c>
      <c r="O18" s="39" t="n"/>
      <c r="P18" s="40">
        <f>IF($C18="","",IF((IF(F18="",", Client","")&amp;IF(G18="",", Description","")&amp;IF(H18="",", Cost Centre","")&amp;IF(I18="",", Invoice Type","")&amp;IF(J18="",", Tax Code","")&amp;IF(O18="",", Expected Revenue","")&amp;IF(COUNTIF(tbl_Finance[Job Number],$C18&amp;"")&gt;1,", Job number used twice",""))="","Complete","Fix: "&amp;MID(IF(F18="",", Client","")&amp;IF(G18="",", Description","")&amp;IF(H18="",", Cost Centre","")&amp;IF(I18="",", Invoice Type","")&amp;IF(J18="",", Tax Code","")&amp;IF(O18="",", Expected Revenue","")&amp;IF(COUNTIF(tbl_Finance[Job Number],$C18&amp;"")&gt;1,", Job number used twice",""),3,300)))</f>
        <v/>
      </c>
      <c r="Q18" s="10">
        <f>IF($C18="","",IF(H18="","(no cost centre)",H18&amp;" - GL "&amp;IFERROR(INDEX(lst_CCtoGL,MATCH(H18,lst_CCforGL,0)),"?")))</f>
        <v/>
      </c>
      <c r="R18" s="11">
        <f>IF($C18="","",IFERROR(N(INDEX(tbl_Finance[Inc GST],MATCH($AU18,tbl_Finance[Row ID],0))),""))</f>
        <v/>
      </c>
      <c r="S18" s="37" t="n"/>
      <c r="T18" s="37" t="n"/>
      <c r="U18" s="37" t="n"/>
      <c r="V18" s="42" t="n"/>
      <c r="W18" s="37" t="n"/>
      <c r="X18" s="10">
        <f>IF(W18="","",IF(AND(LEFT(W18,4)&lt;&gt;"http",set_RMSBase=""),"",HYPERLINK(IF(LEFT(W18,4)="http",W18,set_RMSBase&amp;W18),"Open in RMS")))</f>
        <v/>
      </c>
      <c r="Y18" s="37" t="n"/>
      <c r="Z18" s="10">
        <f>IF(Y18="","",HYPERLINK(IF(LEFT(Y18,4)="http",Y18,set_QwilrBase&amp;Y18),"Open quote"))</f>
        <v/>
      </c>
      <c r="AA18" s="10">
        <f>IF(C18="","",C18)</f>
        <v/>
      </c>
      <c r="AB18" s="37" t="n"/>
      <c r="AC18" s="39" t="n"/>
      <c r="AD18" s="11">
        <f>IF(C18="","",N(L18)+N(AC18))</f>
        <v/>
      </c>
      <c r="AE18" s="43">
        <f>IFERROR(IF(N(AC18)=0,"",AC18/AD18),"")</f>
        <v/>
      </c>
      <c r="AF18" s="39" t="n"/>
      <c r="AG18" s="39" t="n"/>
      <c r="AH18" s="39" t="n"/>
      <c r="AI18" s="39" t="n"/>
      <c r="AJ18" s="11">
        <f>IF(C18="","",IF(H18="VIDEO",N(L18),0))</f>
        <v/>
      </c>
      <c r="AK18" s="43">
        <f>IFERROR(IF(N(L18)=0,"",AJ18/L18),"")</f>
        <v/>
      </c>
      <c r="AL18" s="11">
        <f>IF(C18="","",N(AF18)+N(AG18)+N(AH18)+N(AI18))</f>
        <v/>
      </c>
      <c r="AM18" s="11">
        <f>IF(C18="","",MAX(N(L18),N(O18))-N(AL18))</f>
        <v/>
      </c>
      <c r="AN18" s="43">
        <f>IFERROR(IF(MAX(N(L18),N(O18))=0,"",AM18/MAX(N(L18),N(O18))),"")</f>
        <v/>
      </c>
      <c r="AO18" s="41" t="n"/>
      <c r="AP18" s="41" t="n"/>
      <c r="AQ18" s="41" t="n"/>
      <c r="AR18" s="41" t="n"/>
      <c r="AS18" s="41" t="n"/>
      <c r="AT18" s="37" t="n"/>
      <c r="AU18" s="10" t="inlineStr">
        <is>
          <t>PRD-0014</t>
        </is>
      </c>
    </row>
    <row r="19">
      <c r="A19" s="16">
        <f>IF($C19="","",IFERROR(IF(INDEX(tbl_Finance[Latest Invoice Date],MATCH($AU19,tbl_Finance[Row ID],0))="","",INDEX(tbl_Finance[Latest Invoice Date],MATCH($AU19,tbl_Finance[Row ID],0))),""))</f>
        <v/>
      </c>
      <c r="B19" s="10">
        <f>IF($C19="","",IFERROR(INDEX(tbl_Finance[Invoice Numbers],MATCH($AU19,tbl_Finance[Row ID],0))&amp;"",""))</f>
        <v/>
      </c>
      <c r="C19" s="37" t="n"/>
      <c r="D19" s="10">
        <f>IF($C19="","",IF(COUNTIF(lst_Jobs,$C19&amp;"")&gt;0,"OK","CHECK"))</f>
        <v/>
      </c>
      <c r="E19" s="10">
        <f>IF($C19="","",IFERROR(INDEX(lst_JobName,MATCH($C19&amp;"",lst_Jobs,0)),""))</f>
        <v/>
      </c>
      <c r="F19" s="37" t="n"/>
      <c r="G19" s="37" t="n"/>
      <c r="H19" s="37" t="n"/>
      <c r="I19" s="37" t="n"/>
      <c r="J19" s="37" t="n"/>
      <c r="K19" s="38">
        <f>IF($C19="","",IFERROR(N(INDEX(tbl_Finance[Invoice Count],MATCH($AU19,tbl_Finance[Row ID],0))),""))</f>
        <v/>
      </c>
      <c r="L19" s="11">
        <f>IF($C19="","",IFERROR(N(INDEX(tbl_Finance[Xero Invoiced Ex GST],MATCH($AU19,tbl_Finance[Row ID],0))),""))</f>
        <v/>
      </c>
      <c r="M19" s="10">
        <f>IF($C19="","",IFERROR(INDEX(tbl_Finance[Compare],MATCH($AU19,tbl_Finance[Row ID],0))&amp;"",""))</f>
        <v/>
      </c>
      <c r="N19" s="11">
        <f>IF($C19="","",MAX(0,N(O19)-N(L19)))</f>
        <v/>
      </c>
      <c r="O19" s="39" t="n"/>
      <c r="P19" s="40">
        <f>IF($C19="","",IF((IF(F19="",", Client","")&amp;IF(G19="",", Description","")&amp;IF(H19="",", Cost Centre","")&amp;IF(I19="",", Invoice Type","")&amp;IF(J19="",", Tax Code","")&amp;IF(O19="",", Expected Revenue","")&amp;IF(COUNTIF(tbl_Finance[Job Number],$C19&amp;"")&gt;1,", Job number used twice",""))="","Complete","Fix: "&amp;MID(IF(F19="",", Client","")&amp;IF(G19="",", Description","")&amp;IF(H19="",", Cost Centre","")&amp;IF(I19="",", Invoice Type","")&amp;IF(J19="",", Tax Code","")&amp;IF(O19="",", Expected Revenue","")&amp;IF(COUNTIF(tbl_Finance[Job Number],$C19&amp;"")&gt;1,", Job number used twice",""),3,300)))</f>
        <v/>
      </c>
      <c r="Q19" s="10">
        <f>IF($C19="","",IF(H19="","(no cost centre)",H19&amp;" - GL "&amp;IFERROR(INDEX(lst_CCtoGL,MATCH(H19,lst_CCforGL,0)),"?")))</f>
        <v/>
      </c>
      <c r="R19" s="11">
        <f>IF($C19="","",IFERROR(N(INDEX(tbl_Finance[Inc GST],MATCH($AU19,tbl_Finance[Row ID],0))),""))</f>
        <v/>
      </c>
      <c r="S19" s="37" t="n"/>
      <c r="T19" s="37" t="n"/>
      <c r="U19" s="37" t="n"/>
      <c r="V19" s="42" t="n"/>
      <c r="W19" s="37" t="n"/>
      <c r="X19" s="10">
        <f>IF(W19="","",IF(AND(LEFT(W19,4)&lt;&gt;"http",set_RMSBase=""),"",HYPERLINK(IF(LEFT(W19,4)="http",W19,set_RMSBase&amp;W19),"Open in RMS")))</f>
        <v/>
      </c>
      <c r="Y19" s="37" t="n"/>
      <c r="Z19" s="10">
        <f>IF(Y19="","",HYPERLINK(IF(LEFT(Y19,4)="http",Y19,set_QwilrBase&amp;Y19),"Open quote"))</f>
        <v/>
      </c>
      <c r="AA19" s="10">
        <f>IF(C19="","",C19)</f>
        <v/>
      </c>
      <c r="AB19" s="37" t="n"/>
      <c r="AC19" s="39" t="n"/>
      <c r="AD19" s="11">
        <f>IF(C19="","",N(L19)+N(AC19))</f>
        <v/>
      </c>
      <c r="AE19" s="43">
        <f>IFERROR(IF(N(AC19)=0,"",AC19/AD19),"")</f>
        <v/>
      </c>
      <c r="AF19" s="39" t="n"/>
      <c r="AG19" s="39" t="n"/>
      <c r="AH19" s="39" t="n"/>
      <c r="AI19" s="39" t="n"/>
      <c r="AJ19" s="11">
        <f>IF(C19="","",IF(H19="VIDEO",N(L19),0))</f>
        <v/>
      </c>
      <c r="AK19" s="43">
        <f>IFERROR(IF(N(L19)=0,"",AJ19/L19),"")</f>
        <v/>
      </c>
      <c r="AL19" s="11">
        <f>IF(C19="","",N(AF19)+N(AG19)+N(AH19)+N(AI19))</f>
        <v/>
      </c>
      <c r="AM19" s="11">
        <f>IF(C19="","",MAX(N(L19),N(O19))-N(AL19))</f>
        <v/>
      </c>
      <c r="AN19" s="43">
        <f>IFERROR(IF(MAX(N(L19),N(O19))=0,"",AM19/MAX(N(L19),N(O19))),"")</f>
        <v/>
      </c>
      <c r="AO19" s="41" t="n"/>
      <c r="AP19" s="41" t="n"/>
      <c r="AQ19" s="41" t="n"/>
      <c r="AR19" s="41" t="n"/>
      <c r="AS19" s="41" t="n"/>
      <c r="AT19" s="37" t="n"/>
      <c r="AU19" s="10" t="inlineStr">
        <is>
          <t>PRD-0015</t>
        </is>
      </c>
    </row>
    <row r="20">
      <c r="A20" s="16">
        <f>IF($C20="","",IFERROR(IF(INDEX(tbl_Finance[Latest Invoice Date],MATCH($AU20,tbl_Finance[Row ID],0))="","",INDEX(tbl_Finance[Latest Invoice Date],MATCH($AU20,tbl_Finance[Row ID],0))),""))</f>
        <v/>
      </c>
      <c r="B20" s="10">
        <f>IF($C20="","",IFERROR(INDEX(tbl_Finance[Invoice Numbers],MATCH($AU20,tbl_Finance[Row ID],0))&amp;"",""))</f>
        <v/>
      </c>
      <c r="C20" s="37" t="n"/>
      <c r="D20" s="10">
        <f>IF($C20="","",IF(COUNTIF(lst_Jobs,$C20&amp;"")&gt;0,"OK","CHECK"))</f>
        <v/>
      </c>
      <c r="E20" s="10">
        <f>IF($C20="","",IFERROR(INDEX(lst_JobName,MATCH($C20&amp;"",lst_Jobs,0)),""))</f>
        <v/>
      </c>
      <c r="F20" s="37" t="n"/>
      <c r="G20" s="37" t="n"/>
      <c r="H20" s="37" t="n"/>
      <c r="I20" s="37" t="n"/>
      <c r="J20" s="37" t="n"/>
      <c r="K20" s="38">
        <f>IF($C20="","",IFERROR(N(INDEX(tbl_Finance[Invoice Count],MATCH($AU20,tbl_Finance[Row ID],0))),""))</f>
        <v/>
      </c>
      <c r="L20" s="11">
        <f>IF($C20="","",IFERROR(N(INDEX(tbl_Finance[Xero Invoiced Ex GST],MATCH($AU20,tbl_Finance[Row ID],0))),""))</f>
        <v/>
      </c>
      <c r="M20" s="10">
        <f>IF($C20="","",IFERROR(INDEX(tbl_Finance[Compare],MATCH($AU20,tbl_Finance[Row ID],0))&amp;"",""))</f>
        <v/>
      </c>
      <c r="N20" s="11">
        <f>IF($C20="","",MAX(0,N(O20)-N(L20)))</f>
        <v/>
      </c>
      <c r="O20" s="39" t="n"/>
      <c r="P20" s="40">
        <f>IF($C20="","",IF((IF(F20="",", Client","")&amp;IF(G20="",", Description","")&amp;IF(H20="",", Cost Centre","")&amp;IF(I20="",", Invoice Type","")&amp;IF(J20="",", Tax Code","")&amp;IF(O20="",", Expected Revenue","")&amp;IF(COUNTIF(tbl_Finance[Job Number],$C20&amp;"")&gt;1,", Job number used twice",""))="","Complete","Fix: "&amp;MID(IF(F20="",", Client","")&amp;IF(G20="",", Description","")&amp;IF(H20="",", Cost Centre","")&amp;IF(I20="",", Invoice Type","")&amp;IF(J20="",", Tax Code","")&amp;IF(O20="",", Expected Revenue","")&amp;IF(COUNTIF(tbl_Finance[Job Number],$C20&amp;"")&gt;1,", Job number used twice",""),3,300)))</f>
        <v/>
      </c>
      <c r="Q20" s="10">
        <f>IF($C20="","",IF(H20="","(no cost centre)",H20&amp;" - GL "&amp;IFERROR(INDEX(lst_CCtoGL,MATCH(H20,lst_CCforGL,0)),"?")))</f>
        <v/>
      </c>
      <c r="R20" s="11">
        <f>IF($C20="","",IFERROR(N(INDEX(tbl_Finance[Inc GST],MATCH($AU20,tbl_Finance[Row ID],0))),""))</f>
        <v/>
      </c>
      <c r="S20" s="37" t="n"/>
      <c r="T20" s="37" t="n"/>
      <c r="U20" s="37" t="n"/>
      <c r="V20" s="42" t="n"/>
      <c r="W20" s="37" t="n"/>
      <c r="X20" s="10">
        <f>IF(W20="","",IF(AND(LEFT(W20,4)&lt;&gt;"http",set_RMSBase=""),"",HYPERLINK(IF(LEFT(W20,4)="http",W20,set_RMSBase&amp;W20),"Open in RMS")))</f>
        <v/>
      </c>
      <c r="Y20" s="37" t="n"/>
      <c r="Z20" s="10">
        <f>IF(Y20="","",HYPERLINK(IF(LEFT(Y20,4)="http",Y20,set_QwilrBase&amp;Y20),"Open quote"))</f>
        <v/>
      </c>
      <c r="AA20" s="10">
        <f>IF(C20="","",C20)</f>
        <v/>
      </c>
      <c r="AB20" s="37" t="n"/>
      <c r="AC20" s="39" t="n"/>
      <c r="AD20" s="11">
        <f>IF(C20="","",N(L20)+N(AC20))</f>
        <v/>
      </c>
      <c r="AE20" s="43">
        <f>IFERROR(IF(N(AC20)=0,"",AC20/AD20),"")</f>
        <v/>
      </c>
      <c r="AF20" s="39" t="n"/>
      <c r="AG20" s="39" t="n"/>
      <c r="AH20" s="39" t="n"/>
      <c r="AI20" s="39" t="n"/>
      <c r="AJ20" s="11">
        <f>IF(C20="","",IF(H20="VIDEO",N(L20),0))</f>
        <v/>
      </c>
      <c r="AK20" s="43">
        <f>IFERROR(IF(N(L20)=0,"",AJ20/L20),"")</f>
        <v/>
      </c>
      <c r="AL20" s="11">
        <f>IF(C20="","",N(AF20)+N(AG20)+N(AH20)+N(AI20))</f>
        <v/>
      </c>
      <c r="AM20" s="11">
        <f>IF(C20="","",MAX(N(L20),N(O20))-N(AL20))</f>
        <v/>
      </c>
      <c r="AN20" s="43">
        <f>IFERROR(IF(MAX(N(L20),N(O20))=0,"",AM20/MAX(N(L20),N(O20))),"")</f>
        <v/>
      </c>
      <c r="AO20" s="41" t="n"/>
      <c r="AP20" s="41" t="n"/>
      <c r="AQ20" s="41" t="n"/>
      <c r="AR20" s="41" t="n"/>
      <c r="AS20" s="41" t="n"/>
      <c r="AT20" s="37" t="n"/>
      <c r="AU20" s="10" t="inlineStr">
        <is>
          <t>PRD-0016</t>
        </is>
      </c>
    </row>
    <row r="21">
      <c r="A21" s="16">
        <f>IF($C21="","",IFERROR(IF(INDEX(tbl_Finance[Latest Invoice Date],MATCH($AU21,tbl_Finance[Row ID],0))="","",INDEX(tbl_Finance[Latest Invoice Date],MATCH($AU21,tbl_Finance[Row ID],0))),""))</f>
        <v/>
      </c>
      <c r="B21" s="10">
        <f>IF($C21="","",IFERROR(INDEX(tbl_Finance[Invoice Numbers],MATCH($AU21,tbl_Finance[Row ID],0))&amp;"",""))</f>
        <v/>
      </c>
      <c r="C21" s="37" t="n"/>
      <c r="D21" s="10">
        <f>IF($C21="","",IF(COUNTIF(lst_Jobs,$C21&amp;"")&gt;0,"OK","CHECK"))</f>
        <v/>
      </c>
      <c r="E21" s="10">
        <f>IF($C21="","",IFERROR(INDEX(lst_JobName,MATCH($C21&amp;"",lst_Jobs,0)),""))</f>
        <v/>
      </c>
      <c r="F21" s="37" t="n"/>
      <c r="G21" s="37" t="n"/>
      <c r="H21" s="37" t="n"/>
      <c r="I21" s="37" t="n"/>
      <c r="J21" s="37" t="n"/>
      <c r="K21" s="38">
        <f>IF($C21="","",IFERROR(N(INDEX(tbl_Finance[Invoice Count],MATCH($AU21,tbl_Finance[Row ID],0))),""))</f>
        <v/>
      </c>
      <c r="L21" s="11">
        <f>IF($C21="","",IFERROR(N(INDEX(tbl_Finance[Xero Invoiced Ex GST],MATCH($AU21,tbl_Finance[Row ID],0))),""))</f>
        <v/>
      </c>
      <c r="M21" s="10">
        <f>IF($C21="","",IFERROR(INDEX(tbl_Finance[Compare],MATCH($AU21,tbl_Finance[Row ID],0))&amp;"",""))</f>
        <v/>
      </c>
      <c r="N21" s="11">
        <f>IF($C21="","",MAX(0,N(O21)-N(L21)))</f>
        <v/>
      </c>
      <c r="O21" s="39" t="n"/>
      <c r="P21" s="40">
        <f>IF($C21="","",IF((IF(F21="",", Client","")&amp;IF(G21="",", Description","")&amp;IF(H21="",", Cost Centre","")&amp;IF(I21="",", Invoice Type","")&amp;IF(J21="",", Tax Code","")&amp;IF(O21="",", Expected Revenue","")&amp;IF(COUNTIF(tbl_Finance[Job Number],$C21&amp;"")&gt;1,", Job number used twice",""))="","Complete","Fix: "&amp;MID(IF(F21="",", Client","")&amp;IF(G21="",", Description","")&amp;IF(H21="",", Cost Centre","")&amp;IF(I21="",", Invoice Type","")&amp;IF(J21="",", Tax Code","")&amp;IF(O21="",", Expected Revenue","")&amp;IF(COUNTIF(tbl_Finance[Job Number],$C21&amp;"")&gt;1,", Job number used twice",""),3,300)))</f>
        <v/>
      </c>
      <c r="Q21" s="10">
        <f>IF($C21="","",IF(H21="","(no cost centre)",H21&amp;" - GL "&amp;IFERROR(INDEX(lst_CCtoGL,MATCH(H21,lst_CCforGL,0)),"?")))</f>
        <v/>
      </c>
      <c r="R21" s="11">
        <f>IF($C21="","",IFERROR(N(INDEX(tbl_Finance[Inc GST],MATCH($AU21,tbl_Finance[Row ID],0))),""))</f>
        <v/>
      </c>
      <c r="S21" s="37" t="n"/>
      <c r="T21" s="37" t="n"/>
      <c r="U21" s="37" t="n"/>
      <c r="V21" s="42" t="n"/>
      <c r="W21" s="37" t="n"/>
      <c r="X21" s="10">
        <f>IF(W21="","",IF(AND(LEFT(W21,4)&lt;&gt;"http",set_RMSBase=""),"",HYPERLINK(IF(LEFT(W21,4)="http",W21,set_RMSBase&amp;W21),"Open in RMS")))</f>
        <v/>
      </c>
      <c r="Y21" s="37" t="n"/>
      <c r="Z21" s="10">
        <f>IF(Y21="","",HYPERLINK(IF(LEFT(Y21,4)="http",Y21,set_QwilrBase&amp;Y21),"Open quote"))</f>
        <v/>
      </c>
      <c r="AA21" s="10">
        <f>IF(C21="","",C21)</f>
        <v/>
      </c>
      <c r="AB21" s="37" t="n"/>
      <c r="AC21" s="39" t="n"/>
      <c r="AD21" s="11">
        <f>IF(C21="","",N(L21)+N(AC21))</f>
        <v/>
      </c>
      <c r="AE21" s="43">
        <f>IFERROR(IF(N(AC21)=0,"",AC21/AD21),"")</f>
        <v/>
      </c>
      <c r="AF21" s="39" t="n"/>
      <c r="AG21" s="39" t="n"/>
      <c r="AH21" s="39" t="n"/>
      <c r="AI21" s="39" t="n"/>
      <c r="AJ21" s="11">
        <f>IF(C21="","",IF(H21="VIDEO",N(L21),0))</f>
        <v/>
      </c>
      <c r="AK21" s="43">
        <f>IFERROR(IF(N(L21)=0,"",AJ21/L21),"")</f>
        <v/>
      </c>
      <c r="AL21" s="11">
        <f>IF(C21="","",N(AF21)+N(AG21)+N(AH21)+N(AI21))</f>
        <v/>
      </c>
      <c r="AM21" s="11">
        <f>IF(C21="","",MAX(N(L21),N(O21))-N(AL21))</f>
        <v/>
      </c>
      <c r="AN21" s="43">
        <f>IFERROR(IF(MAX(N(L21),N(O21))=0,"",AM21/MAX(N(L21),N(O21))),"")</f>
        <v/>
      </c>
      <c r="AO21" s="41" t="n"/>
      <c r="AP21" s="41" t="n"/>
      <c r="AQ21" s="41" t="n"/>
      <c r="AR21" s="41" t="n"/>
      <c r="AS21" s="41" t="n"/>
      <c r="AT21" s="37" t="n"/>
      <c r="AU21" s="10" t="inlineStr">
        <is>
          <t>PRD-0017</t>
        </is>
      </c>
    </row>
    <row r="22">
      <c r="A22" s="16">
        <f>IF($C22="","",IFERROR(IF(INDEX(tbl_Finance[Latest Invoice Date],MATCH($AU22,tbl_Finance[Row ID],0))="","",INDEX(tbl_Finance[Latest Invoice Date],MATCH($AU22,tbl_Finance[Row ID],0))),""))</f>
        <v/>
      </c>
      <c r="B22" s="10">
        <f>IF($C22="","",IFERROR(INDEX(tbl_Finance[Invoice Numbers],MATCH($AU22,tbl_Finance[Row ID],0))&amp;"",""))</f>
        <v/>
      </c>
      <c r="C22" s="37" t="n"/>
      <c r="D22" s="10">
        <f>IF($C22="","",IF(COUNTIF(lst_Jobs,$C22&amp;"")&gt;0,"OK","CHECK"))</f>
        <v/>
      </c>
      <c r="E22" s="10">
        <f>IF($C22="","",IFERROR(INDEX(lst_JobName,MATCH($C22&amp;"",lst_Jobs,0)),""))</f>
        <v/>
      </c>
      <c r="F22" s="37" t="n"/>
      <c r="G22" s="37" t="n"/>
      <c r="H22" s="37" t="n"/>
      <c r="I22" s="37" t="n"/>
      <c r="J22" s="37" t="n"/>
      <c r="K22" s="38">
        <f>IF($C22="","",IFERROR(N(INDEX(tbl_Finance[Invoice Count],MATCH($AU22,tbl_Finance[Row ID],0))),""))</f>
        <v/>
      </c>
      <c r="L22" s="11">
        <f>IF($C22="","",IFERROR(N(INDEX(tbl_Finance[Xero Invoiced Ex GST],MATCH($AU22,tbl_Finance[Row ID],0))),""))</f>
        <v/>
      </c>
      <c r="M22" s="10">
        <f>IF($C22="","",IFERROR(INDEX(tbl_Finance[Compare],MATCH($AU22,tbl_Finance[Row ID],0))&amp;"",""))</f>
        <v/>
      </c>
      <c r="N22" s="11">
        <f>IF($C22="","",MAX(0,N(O22)-N(L22)))</f>
        <v/>
      </c>
      <c r="O22" s="39" t="n"/>
      <c r="P22" s="40">
        <f>IF($C22="","",IF((IF(F22="",", Client","")&amp;IF(G22="",", Description","")&amp;IF(H22="",", Cost Centre","")&amp;IF(I22="",", Invoice Type","")&amp;IF(J22="",", Tax Code","")&amp;IF(O22="",", Expected Revenue","")&amp;IF(COUNTIF(tbl_Finance[Job Number],$C22&amp;"")&gt;1,", Job number used twice",""))="","Complete","Fix: "&amp;MID(IF(F22="",", Client","")&amp;IF(G22="",", Description","")&amp;IF(H22="",", Cost Centre","")&amp;IF(I22="",", Invoice Type","")&amp;IF(J22="",", Tax Code","")&amp;IF(O22="",", Expected Revenue","")&amp;IF(COUNTIF(tbl_Finance[Job Number],$C22&amp;"")&gt;1,", Job number used twice",""),3,300)))</f>
        <v/>
      </c>
      <c r="Q22" s="10">
        <f>IF($C22="","",IF(H22="","(no cost centre)",H22&amp;" - GL "&amp;IFERROR(INDEX(lst_CCtoGL,MATCH(H22,lst_CCforGL,0)),"?")))</f>
        <v/>
      </c>
      <c r="R22" s="11">
        <f>IF($C22="","",IFERROR(N(INDEX(tbl_Finance[Inc GST],MATCH($AU22,tbl_Finance[Row ID],0))),""))</f>
        <v/>
      </c>
      <c r="S22" s="37" t="n"/>
      <c r="T22" s="37" t="n"/>
      <c r="U22" s="37" t="n"/>
      <c r="V22" s="42" t="n"/>
      <c r="W22" s="37" t="n"/>
      <c r="X22" s="10">
        <f>IF(W22="","",IF(AND(LEFT(W22,4)&lt;&gt;"http",set_RMSBase=""),"",HYPERLINK(IF(LEFT(W22,4)="http",W22,set_RMSBase&amp;W22),"Open in RMS")))</f>
        <v/>
      </c>
      <c r="Y22" s="37" t="n"/>
      <c r="Z22" s="10">
        <f>IF(Y22="","",HYPERLINK(IF(LEFT(Y22,4)="http",Y22,set_QwilrBase&amp;Y22),"Open quote"))</f>
        <v/>
      </c>
      <c r="AA22" s="10">
        <f>IF(C22="","",C22)</f>
        <v/>
      </c>
      <c r="AB22" s="37" t="n"/>
      <c r="AC22" s="39" t="n"/>
      <c r="AD22" s="11">
        <f>IF(C22="","",N(L22)+N(AC22))</f>
        <v/>
      </c>
      <c r="AE22" s="43">
        <f>IFERROR(IF(N(AC22)=0,"",AC22/AD22),"")</f>
        <v/>
      </c>
      <c r="AF22" s="39" t="n"/>
      <c r="AG22" s="39" t="n"/>
      <c r="AH22" s="39" t="n"/>
      <c r="AI22" s="39" t="n"/>
      <c r="AJ22" s="11">
        <f>IF(C22="","",IF(H22="VIDEO",N(L22),0))</f>
        <v/>
      </c>
      <c r="AK22" s="43">
        <f>IFERROR(IF(N(L22)=0,"",AJ22/L22),"")</f>
        <v/>
      </c>
      <c r="AL22" s="11">
        <f>IF(C22="","",N(AF22)+N(AG22)+N(AH22)+N(AI22))</f>
        <v/>
      </c>
      <c r="AM22" s="11">
        <f>IF(C22="","",MAX(N(L22),N(O22))-N(AL22))</f>
        <v/>
      </c>
      <c r="AN22" s="43">
        <f>IFERROR(IF(MAX(N(L22),N(O22))=0,"",AM22/MAX(N(L22),N(O22))),"")</f>
        <v/>
      </c>
      <c r="AO22" s="41" t="n"/>
      <c r="AP22" s="41" t="n"/>
      <c r="AQ22" s="41" t="n"/>
      <c r="AR22" s="41" t="n"/>
      <c r="AS22" s="41" t="n"/>
      <c r="AT22" s="37" t="n"/>
      <c r="AU22" s="10" t="inlineStr">
        <is>
          <t>PRD-0018</t>
        </is>
      </c>
    </row>
    <row r="23">
      <c r="A23" s="16">
        <f>IF($C23="","",IFERROR(IF(INDEX(tbl_Finance[Latest Invoice Date],MATCH($AU23,tbl_Finance[Row ID],0))="","",INDEX(tbl_Finance[Latest Invoice Date],MATCH($AU23,tbl_Finance[Row ID],0))),""))</f>
        <v/>
      </c>
      <c r="B23" s="10">
        <f>IF($C23="","",IFERROR(INDEX(tbl_Finance[Invoice Numbers],MATCH($AU23,tbl_Finance[Row ID],0))&amp;"",""))</f>
        <v/>
      </c>
      <c r="C23" s="37" t="n"/>
      <c r="D23" s="10">
        <f>IF($C23="","",IF(COUNTIF(lst_Jobs,$C23&amp;"")&gt;0,"OK","CHECK"))</f>
        <v/>
      </c>
      <c r="E23" s="10">
        <f>IF($C23="","",IFERROR(INDEX(lst_JobName,MATCH($C23&amp;"",lst_Jobs,0)),""))</f>
        <v/>
      </c>
      <c r="F23" s="37" t="n"/>
      <c r="G23" s="37" t="n"/>
      <c r="H23" s="37" t="n"/>
      <c r="I23" s="37" t="n"/>
      <c r="J23" s="37" t="n"/>
      <c r="K23" s="38">
        <f>IF($C23="","",IFERROR(N(INDEX(tbl_Finance[Invoice Count],MATCH($AU23,tbl_Finance[Row ID],0))),""))</f>
        <v/>
      </c>
      <c r="L23" s="11">
        <f>IF($C23="","",IFERROR(N(INDEX(tbl_Finance[Xero Invoiced Ex GST],MATCH($AU23,tbl_Finance[Row ID],0))),""))</f>
        <v/>
      </c>
      <c r="M23" s="10">
        <f>IF($C23="","",IFERROR(INDEX(tbl_Finance[Compare],MATCH($AU23,tbl_Finance[Row ID],0))&amp;"",""))</f>
        <v/>
      </c>
      <c r="N23" s="11">
        <f>IF($C23="","",MAX(0,N(O23)-N(L23)))</f>
        <v/>
      </c>
      <c r="O23" s="39" t="n"/>
      <c r="P23" s="40">
        <f>IF($C23="","",IF((IF(F23="",", Client","")&amp;IF(G23="",", Description","")&amp;IF(H23="",", Cost Centre","")&amp;IF(I23="",", Invoice Type","")&amp;IF(J23="",", Tax Code","")&amp;IF(O23="",", Expected Revenue","")&amp;IF(COUNTIF(tbl_Finance[Job Number],$C23&amp;"")&gt;1,", Job number used twice",""))="","Complete","Fix: "&amp;MID(IF(F23="",", Client","")&amp;IF(G23="",", Description","")&amp;IF(H23="",", Cost Centre","")&amp;IF(I23="",", Invoice Type","")&amp;IF(J23="",", Tax Code","")&amp;IF(O23="",", Expected Revenue","")&amp;IF(COUNTIF(tbl_Finance[Job Number],$C23&amp;"")&gt;1,", Job number used twice",""),3,300)))</f>
        <v/>
      </c>
      <c r="Q23" s="10">
        <f>IF($C23="","",IF(H23="","(no cost centre)",H23&amp;" - GL "&amp;IFERROR(INDEX(lst_CCtoGL,MATCH(H23,lst_CCforGL,0)),"?")))</f>
        <v/>
      </c>
      <c r="R23" s="11">
        <f>IF($C23="","",IFERROR(N(INDEX(tbl_Finance[Inc GST],MATCH($AU23,tbl_Finance[Row ID],0))),""))</f>
        <v/>
      </c>
      <c r="S23" s="37" t="n"/>
      <c r="T23" s="37" t="n"/>
      <c r="U23" s="37" t="n"/>
      <c r="V23" s="42" t="n"/>
      <c r="W23" s="37" t="n"/>
      <c r="X23" s="10">
        <f>IF(W23="","",IF(AND(LEFT(W23,4)&lt;&gt;"http",set_RMSBase=""),"",HYPERLINK(IF(LEFT(W23,4)="http",W23,set_RMSBase&amp;W23),"Open in RMS")))</f>
        <v/>
      </c>
      <c r="Y23" s="37" t="n"/>
      <c r="Z23" s="10">
        <f>IF(Y23="","",HYPERLINK(IF(LEFT(Y23,4)="http",Y23,set_QwilrBase&amp;Y23),"Open quote"))</f>
        <v/>
      </c>
      <c r="AA23" s="10">
        <f>IF(C23="","",C23)</f>
        <v/>
      </c>
      <c r="AB23" s="37" t="n"/>
      <c r="AC23" s="39" t="n"/>
      <c r="AD23" s="11">
        <f>IF(C23="","",N(L23)+N(AC23))</f>
        <v/>
      </c>
      <c r="AE23" s="43">
        <f>IFERROR(IF(N(AC23)=0,"",AC23/AD23),"")</f>
        <v/>
      </c>
      <c r="AF23" s="39" t="n"/>
      <c r="AG23" s="39" t="n"/>
      <c r="AH23" s="39" t="n"/>
      <c r="AI23" s="39" t="n"/>
      <c r="AJ23" s="11">
        <f>IF(C23="","",IF(H23="VIDEO",N(L23),0))</f>
        <v/>
      </c>
      <c r="AK23" s="43">
        <f>IFERROR(IF(N(L23)=0,"",AJ23/L23),"")</f>
        <v/>
      </c>
      <c r="AL23" s="11">
        <f>IF(C23="","",N(AF23)+N(AG23)+N(AH23)+N(AI23))</f>
        <v/>
      </c>
      <c r="AM23" s="11">
        <f>IF(C23="","",MAX(N(L23),N(O23))-N(AL23))</f>
        <v/>
      </c>
      <c r="AN23" s="43">
        <f>IFERROR(IF(MAX(N(L23),N(O23))=0,"",AM23/MAX(N(L23),N(O23))),"")</f>
        <v/>
      </c>
      <c r="AO23" s="41" t="n"/>
      <c r="AP23" s="41" t="n"/>
      <c r="AQ23" s="41" t="n"/>
      <c r="AR23" s="41" t="n"/>
      <c r="AS23" s="41" t="n"/>
      <c r="AT23" s="37" t="n"/>
      <c r="AU23" s="10" t="inlineStr">
        <is>
          <t>PRD-0019</t>
        </is>
      </c>
    </row>
    <row r="24">
      <c r="A24" s="16">
        <f>IF($C24="","",IFERROR(IF(INDEX(tbl_Finance[Latest Invoice Date],MATCH($AU24,tbl_Finance[Row ID],0))="","",INDEX(tbl_Finance[Latest Invoice Date],MATCH($AU24,tbl_Finance[Row ID],0))),""))</f>
        <v/>
      </c>
      <c r="B24" s="10">
        <f>IF($C24="","",IFERROR(INDEX(tbl_Finance[Invoice Numbers],MATCH($AU24,tbl_Finance[Row ID],0))&amp;"",""))</f>
        <v/>
      </c>
      <c r="C24" s="37" t="n"/>
      <c r="D24" s="10">
        <f>IF($C24="","",IF(COUNTIF(lst_Jobs,$C24&amp;"")&gt;0,"OK","CHECK"))</f>
        <v/>
      </c>
      <c r="E24" s="10">
        <f>IF($C24="","",IFERROR(INDEX(lst_JobName,MATCH($C24&amp;"",lst_Jobs,0)),""))</f>
        <v/>
      </c>
      <c r="F24" s="37" t="n"/>
      <c r="G24" s="37" t="n"/>
      <c r="H24" s="37" t="n"/>
      <c r="I24" s="37" t="n"/>
      <c r="J24" s="37" t="n"/>
      <c r="K24" s="38">
        <f>IF($C24="","",IFERROR(N(INDEX(tbl_Finance[Invoice Count],MATCH($AU24,tbl_Finance[Row ID],0))),""))</f>
        <v/>
      </c>
      <c r="L24" s="11">
        <f>IF($C24="","",IFERROR(N(INDEX(tbl_Finance[Xero Invoiced Ex GST],MATCH($AU24,tbl_Finance[Row ID],0))),""))</f>
        <v/>
      </c>
      <c r="M24" s="10">
        <f>IF($C24="","",IFERROR(INDEX(tbl_Finance[Compare],MATCH($AU24,tbl_Finance[Row ID],0))&amp;"",""))</f>
        <v/>
      </c>
      <c r="N24" s="11">
        <f>IF($C24="","",MAX(0,N(O24)-N(L24)))</f>
        <v/>
      </c>
      <c r="O24" s="39" t="n"/>
      <c r="P24" s="40">
        <f>IF($C24="","",IF((IF(F24="",", Client","")&amp;IF(G24="",", Description","")&amp;IF(H24="",", Cost Centre","")&amp;IF(I24="",", Invoice Type","")&amp;IF(J24="",", Tax Code","")&amp;IF(O24="",", Expected Revenue","")&amp;IF(COUNTIF(tbl_Finance[Job Number],$C24&amp;"")&gt;1,", Job number used twice",""))="","Complete","Fix: "&amp;MID(IF(F24="",", Client","")&amp;IF(G24="",", Description","")&amp;IF(H24="",", Cost Centre","")&amp;IF(I24="",", Invoice Type","")&amp;IF(J24="",", Tax Code","")&amp;IF(O24="",", Expected Revenue","")&amp;IF(COUNTIF(tbl_Finance[Job Number],$C24&amp;"")&gt;1,", Job number used twice",""),3,300)))</f>
        <v/>
      </c>
      <c r="Q24" s="10">
        <f>IF($C24="","",IF(H24="","(no cost centre)",H24&amp;" - GL "&amp;IFERROR(INDEX(lst_CCtoGL,MATCH(H24,lst_CCforGL,0)),"?")))</f>
        <v/>
      </c>
      <c r="R24" s="11">
        <f>IF($C24="","",IFERROR(N(INDEX(tbl_Finance[Inc GST],MATCH($AU24,tbl_Finance[Row ID],0))),""))</f>
        <v/>
      </c>
      <c r="S24" s="37" t="n"/>
      <c r="T24" s="37" t="n"/>
      <c r="U24" s="37" t="n"/>
      <c r="V24" s="42" t="n"/>
      <c r="W24" s="37" t="n"/>
      <c r="X24" s="10">
        <f>IF(W24="","",IF(AND(LEFT(W24,4)&lt;&gt;"http",set_RMSBase=""),"",HYPERLINK(IF(LEFT(W24,4)="http",W24,set_RMSBase&amp;W24),"Open in RMS")))</f>
        <v/>
      </c>
      <c r="Y24" s="37" t="n"/>
      <c r="Z24" s="10">
        <f>IF(Y24="","",HYPERLINK(IF(LEFT(Y24,4)="http",Y24,set_QwilrBase&amp;Y24),"Open quote"))</f>
        <v/>
      </c>
      <c r="AA24" s="10">
        <f>IF(C24="","",C24)</f>
        <v/>
      </c>
      <c r="AB24" s="37" t="n"/>
      <c r="AC24" s="39" t="n"/>
      <c r="AD24" s="11">
        <f>IF(C24="","",N(L24)+N(AC24))</f>
        <v/>
      </c>
      <c r="AE24" s="43">
        <f>IFERROR(IF(N(AC24)=0,"",AC24/AD24),"")</f>
        <v/>
      </c>
      <c r="AF24" s="39" t="n"/>
      <c r="AG24" s="39" t="n"/>
      <c r="AH24" s="39" t="n"/>
      <c r="AI24" s="39" t="n"/>
      <c r="AJ24" s="11">
        <f>IF(C24="","",IF(H24="VIDEO",N(L24),0))</f>
        <v/>
      </c>
      <c r="AK24" s="43">
        <f>IFERROR(IF(N(L24)=0,"",AJ24/L24),"")</f>
        <v/>
      </c>
      <c r="AL24" s="11">
        <f>IF(C24="","",N(AF24)+N(AG24)+N(AH24)+N(AI24))</f>
        <v/>
      </c>
      <c r="AM24" s="11">
        <f>IF(C24="","",MAX(N(L24),N(O24))-N(AL24))</f>
        <v/>
      </c>
      <c r="AN24" s="43">
        <f>IFERROR(IF(MAX(N(L24),N(O24))=0,"",AM24/MAX(N(L24),N(O24))),"")</f>
        <v/>
      </c>
      <c r="AO24" s="41" t="n"/>
      <c r="AP24" s="41" t="n"/>
      <c r="AQ24" s="41" t="n"/>
      <c r="AR24" s="41" t="n"/>
      <c r="AS24" s="41" t="n"/>
      <c r="AT24" s="37" t="n"/>
      <c r="AU24" s="10" t="inlineStr">
        <is>
          <t>PRD-0020</t>
        </is>
      </c>
    </row>
    <row r="25">
      <c r="A25" s="16">
        <f>IF($C25="","",IFERROR(IF(INDEX(tbl_Finance[Latest Invoice Date],MATCH($AU25,tbl_Finance[Row ID],0))="","",INDEX(tbl_Finance[Latest Invoice Date],MATCH($AU25,tbl_Finance[Row ID],0))),""))</f>
        <v/>
      </c>
      <c r="B25" s="10">
        <f>IF($C25="","",IFERROR(INDEX(tbl_Finance[Invoice Numbers],MATCH($AU25,tbl_Finance[Row ID],0))&amp;"",""))</f>
        <v/>
      </c>
      <c r="C25" s="37" t="n"/>
      <c r="D25" s="10">
        <f>IF($C25="","",IF(COUNTIF(lst_Jobs,$C25&amp;"")&gt;0,"OK","CHECK"))</f>
        <v/>
      </c>
      <c r="E25" s="10">
        <f>IF($C25="","",IFERROR(INDEX(lst_JobName,MATCH($C25&amp;"",lst_Jobs,0)),""))</f>
        <v/>
      </c>
      <c r="F25" s="37" t="n"/>
      <c r="G25" s="37" t="n"/>
      <c r="H25" s="37" t="n"/>
      <c r="I25" s="37" t="n"/>
      <c r="J25" s="37" t="n"/>
      <c r="K25" s="38">
        <f>IF($C25="","",IFERROR(N(INDEX(tbl_Finance[Invoice Count],MATCH($AU25,tbl_Finance[Row ID],0))),""))</f>
        <v/>
      </c>
      <c r="L25" s="11">
        <f>IF($C25="","",IFERROR(N(INDEX(tbl_Finance[Xero Invoiced Ex GST],MATCH($AU25,tbl_Finance[Row ID],0))),""))</f>
        <v/>
      </c>
      <c r="M25" s="10">
        <f>IF($C25="","",IFERROR(INDEX(tbl_Finance[Compare],MATCH($AU25,tbl_Finance[Row ID],0))&amp;"",""))</f>
        <v/>
      </c>
      <c r="N25" s="11">
        <f>IF($C25="","",MAX(0,N(O25)-N(L25)))</f>
        <v/>
      </c>
      <c r="O25" s="39" t="n"/>
      <c r="P25" s="40">
        <f>IF($C25="","",IF((IF(F25="",", Client","")&amp;IF(G25="",", Description","")&amp;IF(H25="",", Cost Centre","")&amp;IF(I25="",", Invoice Type","")&amp;IF(J25="",", Tax Code","")&amp;IF(O25="",", Expected Revenue","")&amp;IF(COUNTIF(tbl_Finance[Job Number],$C25&amp;"")&gt;1,", Job number used twice",""))="","Complete","Fix: "&amp;MID(IF(F25="",", Client","")&amp;IF(G25="",", Description","")&amp;IF(H25="",", Cost Centre","")&amp;IF(I25="",", Invoice Type","")&amp;IF(J25="",", Tax Code","")&amp;IF(O25="",", Expected Revenue","")&amp;IF(COUNTIF(tbl_Finance[Job Number],$C25&amp;"")&gt;1,", Job number used twice",""),3,300)))</f>
        <v/>
      </c>
      <c r="Q25" s="10">
        <f>IF($C25="","",IF(H25="","(no cost centre)",H25&amp;" - GL "&amp;IFERROR(INDEX(lst_CCtoGL,MATCH(H25,lst_CCforGL,0)),"?")))</f>
        <v/>
      </c>
      <c r="R25" s="11">
        <f>IF($C25="","",IFERROR(N(INDEX(tbl_Finance[Inc GST],MATCH($AU25,tbl_Finance[Row ID],0))),""))</f>
        <v/>
      </c>
      <c r="S25" s="37" t="n"/>
      <c r="T25" s="37" t="n"/>
      <c r="U25" s="37" t="n"/>
      <c r="V25" s="42" t="n"/>
      <c r="W25" s="37" t="n"/>
      <c r="X25" s="10">
        <f>IF(W25="","",IF(AND(LEFT(W25,4)&lt;&gt;"http",set_RMSBase=""),"",HYPERLINK(IF(LEFT(W25,4)="http",W25,set_RMSBase&amp;W25),"Open in RMS")))</f>
        <v/>
      </c>
      <c r="Y25" s="37" t="n"/>
      <c r="Z25" s="10">
        <f>IF(Y25="","",HYPERLINK(IF(LEFT(Y25,4)="http",Y25,set_QwilrBase&amp;Y25),"Open quote"))</f>
        <v/>
      </c>
      <c r="AA25" s="10">
        <f>IF(C25="","",C25)</f>
        <v/>
      </c>
      <c r="AB25" s="37" t="n"/>
      <c r="AC25" s="39" t="n"/>
      <c r="AD25" s="11">
        <f>IF(C25="","",N(L25)+N(AC25))</f>
        <v/>
      </c>
      <c r="AE25" s="43">
        <f>IFERROR(IF(N(AC25)=0,"",AC25/AD25),"")</f>
        <v/>
      </c>
      <c r="AF25" s="39" t="n"/>
      <c r="AG25" s="39" t="n"/>
      <c r="AH25" s="39" t="n"/>
      <c r="AI25" s="39" t="n"/>
      <c r="AJ25" s="11">
        <f>IF(C25="","",IF(H25="VIDEO",N(L25),0))</f>
        <v/>
      </c>
      <c r="AK25" s="43">
        <f>IFERROR(IF(N(L25)=0,"",AJ25/L25),"")</f>
        <v/>
      </c>
      <c r="AL25" s="11">
        <f>IF(C25="","",N(AF25)+N(AG25)+N(AH25)+N(AI25))</f>
        <v/>
      </c>
      <c r="AM25" s="11">
        <f>IF(C25="","",MAX(N(L25),N(O25))-N(AL25))</f>
        <v/>
      </c>
      <c r="AN25" s="43">
        <f>IFERROR(IF(MAX(N(L25),N(O25))=0,"",AM25/MAX(N(L25),N(O25))),"")</f>
        <v/>
      </c>
      <c r="AO25" s="41" t="n"/>
      <c r="AP25" s="41" t="n"/>
      <c r="AQ25" s="41" t="n"/>
      <c r="AR25" s="41" t="n"/>
      <c r="AS25" s="41" t="n"/>
      <c r="AT25" s="37" t="n"/>
      <c r="AU25" s="10" t="inlineStr">
        <is>
          <t>PRD-0021</t>
        </is>
      </c>
    </row>
    <row r="26">
      <c r="A26" s="16">
        <f>IF($C26="","",IFERROR(IF(INDEX(tbl_Finance[Latest Invoice Date],MATCH($AU26,tbl_Finance[Row ID],0))="","",INDEX(tbl_Finance[Latest Invoice Date],MATCH($AU26,tbl_Finance[Row ID],0))),""))</f>
        <v/>
      </c>
      <c r="B26" s="10">
        <f>IF($C26="","",IFERROR(INDEX(tbl_Finance[Invoice Numbers],MATCH($AU26,tbl_Finance[Row ID],0))&amp;"",""))</f>
        <v/>
      </c>
      <c r="C26" s="37" t="n"/>
      <c r="D26" s="10">
        <f>IF($C26="","",IF(COUNTIF(lst_Jobs,$C26&amp;"")&gt;0,"OK","CHECK"))</f>
        <v/>
      </c>
      <c r="E26" s="10">
        <f>IF($C26="","",IFERROR(INDEX(lst_JobName,MATCH($C26&amp;"",lst_Jobs,0)),""))</f>
        <v/>
      </c>
      <c r="F26" s="37" t="n"/>
      <c r="G26" s="37" t="n"/>
      <c r="H26" s="37" t="n"/>
      <c r="I26" s="37" t="n"/>
      <c r="J26" s="37" t="n"/>
      <c r="K26" s="38">
        <f>IF($C26="","",IFERROR(N(INDEX(tbl_Finance[Invoice Count],MATCH($AU26,tbl_Finance[Row ID],0))),""))</f>
        <v/>
      </c>
      <c r="L26" s="11">
        <f>IF($C26="","",IFERROR(N(INDEX(tbl_Finance[Xero Invoiced Ex GST],MATCH($AU26,tbl_Finance[Row ID],0))),""))</f>
        <v/>
      </c>
      <c r="M26" s="10">
        <f>IF($C26="","",IFERROR(INDEX(tbl_Finance[Compare],MATCH($AU26,tbl_Finance[Row ID],0))&amp;"",""))</f>
        <v/>
      </c>
      <c r="N26" s="11">
        <f>IF($C26="","",MAX(0,N(O26)-N(L26)))</f>
        <v/>
      </c>
      <c r="O26" s="39" t="n"/>
      <c r="P26" s="40">
        <f>IF($C26="","",IF((IF(F26="",", Client","")&amp;IF(G26="",", Description","")&amp;IF(H26="",", Cost Centre","")&amp;IF(I26="",", Invoice Type","")&amp;IF(J26="",", Tax Code","")&amp;IF(O26="",", Expected Revenue","")&amp;IF(COUNTIF(tbl_Finance[Job Number],$C26&amp;"")&gt;1,", Job number used twice",""))="","Complete","Fix: "&amp;MID(IF(F26="",", Client","")&amp;IF(G26="",", Description","")&amp;IF(H26="",", Cost Centre","")&amp;IF(I26="",", Invoice Type","")&amp;IF(J26="",", Tax Code","")&amp;IF(O26="",", Expected Revenue","")&amp;IF(COUNTIF(tbl_Finance[Job Number],$C26&amp;"")&gt;1,", Job number used twice",""),3,300)))</f>
        <v/>
      </c>
      <c r="Q26" s="10">
        <f>IF($C26="","",IF(H26="","(no cost centre)",H26&amp;" - GL "&amp;IFERROR(INDEX(lst_CCtoGL,MATCH(H26,lst_CCforGL,0)),"?")))</f>
        <v/>
      </c>
      <c r="R26" s="11">
        <f>IF($C26="","",IFERROR(N(INDEX(tbl_Finance[Inc GST],MATCH($AU26,tbl_Finance[Row ID],0))),""))</f>
        <v/>
      </c>
      <c r="S26" s="37" t="n"/>
      <c r="T26" s="37" t="n"/>
      <c r="U26" s="37" t="n"/>
      <c r="V26" s="42" t="n"/>
      <c r="W26" s="37" t="n"/>
      <c r="X26" s="10">
        <f>IF(W26="","",IF(AND(LEFT(W26,4)&lt;&gt;"http",set_RMSBase=""),"",HYPERLINK(IF(LEFT(W26,4)="http",W26,set_RMSBase&amp;W26),"Open in RMS")))</f>
        <v/>
      </c>
      <c r="Y26" s="37" t="n"/>
      <c r="Z26" s="10">
        <f>IF(Y26="","",HYPERLINK(IF(LEFT(Y26,4)="http",Y26,set_QwilrBase&amp;Y26),"Open quote"))</f>
        <v/>
      </c>
      <c r="AA26" s="10">
        <f>IF(C26="","",C26)</f>
        <v/>
      </c>
      <c r="AB26" s="37" t="n"/>
      <c r="AC26" s="39" t="n"/>
      <c r="AD26" s="11">
        <f>IF(C26="","",N(L26)+N(AC26))</f>
        <v/>
      </c>
      <c r="AE26" s="43">
        <f>IFERROR(IF(N(AC26)=0,"",AC26/AD26),"")</f>
        <v/>
      </c>
      <c r="AF26" s="39" t="n"/>
      <c r="AG26" s="39" t="n"/>
      <c r="AH26" s="39" t="n"/>
      <c r="AI26" s="39" t="n"/>
      <c r="AJ26" s="11">
        <f>IF(C26="","",IF(H26="VIDEO",N(L26),0))</f>
        <v/>
      </c>
      <c r="AK26" s="43">
        <f>IFERROR(IF(N(L26)=0,"",AJ26/L26),"")</f>
        <v/>
      </c>
      <c r="AL26" s="11">
        <f>IF(C26="","",N(AF26)+N(AG26)+N(AH26)+N(AI26))</f>
        <v/>
      </c>
      <c r="AM26" s="11">
        <f>IF(C26="","",MAX(N(L26),N(O26))-N(AL26))</f>
        <v/>
      </c>
      <c r="AN26" s="43">
        <f>IFERROR(IF(MAX(N(L26),N(O26))=0,"",AM26/MAX(N(L26),N(O26))),"")</f>
        <v/>
      </c>
      <c r="AO26" s="41" t="n"/>
      <c r="AP26" s="41" t="n"/>
      <c r="AQ26" s="41" t="n"/>
      <c r="AR26" s="41" t="n"/>
      <c r="AS26" s="41" t="n"/>
      <c r="AT26" s="37" t="n"/>
      <c r="AU26" s="10" t="inlineStr">
        <is>
          <t>PRD-0022</t>
        </is>
      </c>
    </row>
    <row r="27">
      <c r="A27" s="16">
        <f>IF($C27="","",IFERROR(IF(INDEX(tbl_Finance[Latest Invoice Date],MATCH($AU27,tbl_Finance[Row ID],0))="","",INDEX(tbl_Finance[Latest Invoice Date],MATCH($AU27,tbl_Finance[Row ID],0))),""))</f>
        <v/>
      </c>
      <c r="B27" s="10">
        <f>IF($C27="","",IFERROR(INDEX(tbl_Finance[Invoice Numbers],MATCH($AU27,tbl_Finance[Row ID],0))&amp;"",""))</f>
        <v/>
      </c>
      <c r="C27" s="37" t="n"/>
      <c r="D27" s="10">
        <f>IF($C27="","",IF(COUNTIF(lst_Jobs,$C27&amp;"")&gt;0,"OK","CHECK"))</f>
        <v/>
      </c>
      <c r="E27" s="10">
        <f>IF($C27="","",IFERROR(INDEX(lst_JobName,MATCH($C27&amp;"",lst_Jobs,0)),""))</f>
        <v/>
      </c>
      <c r="F27" s="37" t="n"/>
      <c r="G27" s="37" t="n"/>
      <c r="H27" s="37" t="n"/>
      <c r="I27" s="37" t="n"/>
      <c r="J27" s="37" t="n"/>
      <c r="K27" s="38">
        <f>IF($C27="","",IFERROR(N(INDEX(tbl_Finance[Invoice Count],MATCH($AU27,tbl_Finance[Row ID],0))),""))</f>
        <v/>
      </c>
      <c r="L27" s="11">
        <f>IF($C27="","",IFERROR(N(INDEX(tbl_Finance[Xero Invoiced Ex GST],MATCH($AU27,tbl_Finance[Row ID],0))),""))</f>
        <v/>
      </c>
      <c r="M27" s="10">
        <f>IF($C27="","",IFERROR(INDEX(tbl_Finance[Compare],MATCH($AU27,tbl_Finance[Row ID],0))&amp;"",""))</f>
        <v/>
      </c>
      <c r="N27" s="11">
        <f>IF($C27="","",MAX(0,N(O27)-N(L27)))</f>
        <v/>
      </c>
      <c r="O27" s="39" t="n"/>
      <c r="P27" s="40">
        <f>IF($C27="","",IF((IF(F27="",", Client","")&amp;IF(G27="",", Description","")&amp;IF(H27="",", Cost Centre","")&amp;IF(I27="",", Invoice Type","")&amp;IF(J27="",", Tax Code","")&amp;IF(O27="",", Expected Revenue","")&amp;IF(COUNTIF(tbl_Finance[Job Number],$C27&amp;"")&gt;1,", Job number used twice",""))="","Complete","Fix: "&amp;MID(IF(F27="",", Client","")&amp;IF(G27="",", Description","")&amp;IF(H27="",", Cost Centre","")&amp;IF(I27="",", Invoice Type","")&amp;IF(J27="",", Tax Code","")&amp;IF(O27="",", Expected Revenue","")&amp;IF(COUNTIF(tbl_Finance[Job Number],$C27&amp;"")&gt;1,", Job number used twice",""),3,300)))</f>
        <v/>
      </c>
      <c r="Q27" s="10">
        <f>IF($C27="","",IF(H27="","(no cost centre)",H27&amp;" - GL "&amp;IFERROR(INDEX(lst_CCtoGL,MATCH(H27,lst_CCforGL,0)),"?")))</f>
        <v/>
      </c>
      <c r="R27" s="11">
        <f>IF($C27="","",IFERROR(N(INDEX(tbl_Finance[Inc GST],MATCH($AU27,tbl_Finance[Row ID],0))),""))</f>
        <v/>
      </c>
      <c r="S27" s="37" t="n"/>
      <c r="T27" s="37" t="n"/>
      <c r="U27" s="37" t="n"/>
      <c r="V27" s="42" t="n"/>
      <c r="W27" s="37" t="n"/>
      <c r="X27" s="10">
        <f>IF(W27="","",IF(AND(LEFT(W27,4)&lt;&gt;"http",set_RMSBase=""),"",HYPERLINK(IF(LEFT(W27,4)="http",W27,set_RMSBase&amp;W27),"Open in RMS")))</f>
        <v/>
      </c>
      <c r="Y27" s="37" t="n"/>
      <c r="Z27" s="10">
        <f>IF(Y27="","",HYPERLINK(IF(LEFT(Y27,4)="http",Y27,set_QwilrBase&amp;Y27),"Open quote"))</f>
        <v/>
      </c>
      <c r="AA27" s="10">
        <f>IF(C27="","",C27)</f>
        <v/>
      </c>
      <c r="AB27" s="37" t="n"/>
      <c r="AC27" s="39" t="n"/>
      <c r="AD27" s="11">
        <f>IF(C27="","",N(L27)+N(AC27))</f>
        <v/>
      </c>
      <c r="AE27" s="43">
        <f>IFERROR(IF(N(AC27)=0,"",AC27/AD27),"")</f>
        <v/>
      </c>
      <c r="AF27" s="39" t="n"/>
      <c r="AG27" s="39" t="n"/>
      <c r="AH27" s="39" t="n"/>
      <c r="AI27" s="39" t="n"/>
      <c r="AJ27" s="11">
        <f>IF(C27="","",IF(H27="VIDEO",N(L27),0))</f>
        <v/>
      </c>
      <c r="AK27" s="43">
        <f>IFERROR(IF(N(L27)=0,"",AJ27/L27),"")</f>
        <v/>
      </c>
      <c r="AL27" s="11">
        <f>IF(C27="","",N(AF27)+N(AG27)+N(AH27)+N(AI27))</f>
        <v/>
      </c>
      <c r="AM27" s="11">
        <f>IF(C27="","",MAX(N(L27),N(O27))-N(AL27))</f>
        <v/>
      </c>
      <c r="AN27" s="43">
        <f>IFERROR(IF(MAX(N(L27),N(O27))=0,"",AM27/MAX(N(L27),N(O27))),"")</f>
        <v/>
      </c>
      <c r="AO27" s="41" t="n"/>
      <c r="AP27" s="41" t="n"/>
      <c r="AQ27" s="41" t="n"/>
      <c r="AR27" s="41" t="n"/>
      <c r="AS27" s="41" t="n"/>
      <c r="AT27" s="37" t="n"/>
      <c r="AU27" s="10" t="inlineStr">
        <is>
          <t>PRD-0023</t>
        </is>
      </c>
    </row>
    <row r="28">
      <c r="A28" s="16">
        <f>IF($C28="","",IFERROR(IF(INDEX(tbl_Finance[Latest Invoice Date],MATCH($AU28,tbl_Finance[Row ID],0))="","",INDEX(tbl_Finance[Latest Invoice Date],MATCH($AU28,tbl_Finance[Row ID],0))),""))</f>
        <v/>
      </c>
      <c r="B28" s="10">
        <f>IF($C28="","",IFERROR(INDEX(tbl_Finance[Invoice Numbers],MATCH($AU28,tbl_Finance[Row ID],0))&amp;"",""))</f>
        <v/>
      </c>
      <c r="C28" s="37" t="n"/>
      <c r="D28" s="10">
        <f>IF($C28="","",IF(COUNTIF(lst_Jobs,$C28&amp;"")&gt;0,"OK","CHECK"))</f>
        <v/>
      </c>
      <c r="E28" s="10">
        <f>IF($C28="","",IFERROR(INDEX(lst_JobName,MATCH($C28&amp;"",lst_Jobs,0)),""))</f>
        <v/>
      </c>
      <c r="F28" s="37" t="n"/>
      <c r="G28" s="37" t="n"/>
      <c r="H28" s="37" t="n"/>
      <c r="I28" s="37" t="n"/>
      <c r="J28" s="37" t="n"/>
      <c r="K28" s="38">
        <f>IF($C28="","",IFERROR(N(INDEX(tbl_Finance[Invoice Count],MATCH($AU28,tbl_Finance[Row ID],0))),""))</f>
        <v/>
      </c>
      <c r="L28" s="11">
        <f>IF($C28="","",IFERROR(N(INDEX(tbl_Finance[Xero Invoiced Ex GST],MATCH($AU28,tbl_Finance[Row ID],0))),""))</f>
        <v/>
      </c>
      <c r="M28" s="10">
        <f>IF($C28="","",IFERROR(INDEX(tbl_Finance[Compare],MATCH($AU28,tbl_Finance[Row ID],0))&amp;"",""))</f>
        <v/>
      </c>
      <c r="N28" s="11">
        <f>IF($C28="","",MAX(0,N(O28)-N(L28)))</f>
        <v/>
      </c>
      <c r="O28" s="39" t="n"/>
      <c r="P28" s="40">
        <f>IF($C28="","",IF((IF(F28="",", Client","")&amp;IF(G28="",", Description","")&amp;IF(H28="",", Cost Centre","")&amp;IF(I28="",", Invoice Type","")&amp;IF(J28="",", Tax Code","")&amp;IF(O28="",", Expected Revenue","")&amp;IF(COUNTIF(tbl_Finance[Job Number],$C28&amp;"")&gt;1,", Job number used twice",""))="","Complete","Fix: "&amp;MID(IF(F28="",", Client","")&amp;IF(G28="",", Description","")&amp;IF(H28="",", Cost Centre","")&amp;IF(I28="",", Invoice Type","")&amp;IF(J28="",", Tax Code","")&amp;IF(O28="",", Expected Revenue","")&amp;IF(COUNTIF(tbl_Finance[Job Number],$C28&amp;"")&gt;1,", Job number used twice",""),3,300)))</f>
        <v/>
      </c>
      <c r="Q28" s="10">
        <f>IF($C28="","",IF(H28="","(no cost centre)",H28&amp;" - GL "&amp;IFERROR(INDEX(lst_CCtoGL,MATCH(H28,lst_CCforGL,0)),"?")))</f>
        <v/>
      </c>
      <c r="R28" s="11">
        <f>IF($C28="","",IFERROR(N(INDEX(tbl_Finance[Inc GST],MATCH($AU28,tbl_Finance[Row ID],0))),""))</f>
        <v/>
      </c>
      <c r="S28" s="37" t="n"/>
      <c r="T28" s="37" t="n"/>
      <c r="U28" s="37" t="n"/>
      <c r="V28" s="42" t="n"/>
      <c r="W28" s="37" t="n"/>
      <c r="X28" s="10">
        <f>IF(W28="","",IF(AND(LEFT(W28,4)&lt;&gt;"http",set_RMSBase=""),"",HYPERLINK(IF(LEFT(W28,4)="http",W28,set_RMSBase&amp;W28),"Open in RMS")))</f>
        <v/>
      </c>
      <c r="Y28" s="37" t="n"/>
      <c r="Z28" s="10">
        <f>IF(Y28="","",HYPERLINK(IF(LEFT(Y28,4)="http",Y28,set_QwilrBase&amp;Y28),"Open quote"))</f>
        <v/>
      </c>
      <c r="AA28" s="10">
        <f>IF(C28="","",C28)</f>
        <v/>
      </c>
      <c r="AB28" s="37" t="n"/>
      <c r="AC28" s="39" t="n"/>
      <c r="AD28" s="11">
        <f>IF(C28="","",N(L28)+N(AC28))</f>
        <v/>
      </c>
      <c r="AE28" s="43">
        <f>IFERROR(IF(N(AC28)=0,"",AC28/AD28),"")</f>
        <v/>
      </c>
      <c r="AF28" s="39" t="n"/>
      <c r="AG28" s="39" t="n"/>
      <c r="AH28" s="39" t="n"/>
      <c r="AI28" s="39" t="n"/>
      <c r="AJ28" s="11">
        <f>IF(C28="","",IF(H28="VIDEO",N(L28),0))</f>
        <v/>
      </c>
      <c r="AK28" s="43">
        <f>IFERROR(IF(N(L28)=0,"",AJ28/L28),"")</f>
        <v/>
      </c>
      <c r="AL28" s="11">
        <f>IF(C28="","",N(AF28)+N(AG28)+N(AH28)+N(AI28))</f>
        <v/>
      </c>
      <c r="AM28" s="11">
        <f>IF(C28="","",MAX(N(L28),N(O28))-N(AL28))</f>
        <v/>
      </c>
      <c r="AN28" s="43">
        <f>IFERROR(IF(MAX(N(L28),N(O28))=0,"",AM28/MAX(N(L28),N(O28))),"")</f>
        <v/>
      </c>
      <c r="AO28" s="41" t="n"/>
      <c r="AP28" s="41" t="n"/>
      <c r="AQ28" s="41" t="n"/>
      <c r="AR28" s="41" t="n"/>
      <c r="AS28" s="41" t="n"/>
      <c r="AT28" s="37" t="n"/>
      <c r="AU28" s="10" t="inlineStr">
        <is>
          <t>PRD-0024</t>
        </is>
      </c>
    </row>
    <row r="29">
      <c r="A29" s="16">
        <f>IF($C29="","",IFERROR(IF(INDEX(tbl_Finance[Latest Invoice Date],MATCH($AU29,tbl_Finance[Row ID],0))="","",INDEX(tbl_Finance[Latest Invoice Date],MATCH($AU29,tbl_Finance[Row ID],0))),""))</f>
        <v/>
      </c>
      <c r="B29" s="10">
        <f>IF($C29="","",IFERROR(INDEX(tbl_Finance[Invoice Numbers],MATCH($AU29,tbl_Finance[Row ID],0))&amp;"",""))</f>
        <v/>
      </c>
      <c r="C29" s="37" t="n"/>
      <c r="D29" s="10">
        <f>IF($C29="","",IF(COUNTIF(lst_Jobs,$C29&amp;"")&gt;0,"OK","CHECK"))</f>
        <v/>
      </c>
      <c r="E29" s="10">
        <f>IF($C29="","",IFERROR(INDEX(lst_JobName,MATCH($C29&amp;"",lst_Jobs,0)),""))</f>
        <v/>
      </c>
      <c r="F29" s="37" t="n"/>
      <c r="G29" s="37" t="n"/>
      <c r="H29" s="37" t="n"/>
      <c r="I29" s="37" t="n"/>
      <c r="J29" s="37" t="n"/>
      <c r="K29" s="38">
        <f>IF($C29="","",IFERROR(N(INDEX(tbl_Finance[Invoice Count],MATCH($AU29,tbl_Finance[Row ID],0))),""))</f>
        <v/>
      </c>
      <c r="L29" s="11">
        <f>IF($C29="","",IFERROR(N(INDEX(tbl_Finance[Xero Invoiced Ex GST],MATCH($AU29,tbl_Finance[Row ID],0))),""))</f>
        <v/>
      </c>
      <c r="M29" s="10">
        <f>IF($C29="","",IFERROR(INDEX(tbl_Finance[Compare],MATCH($AU29,tbl_Finance[Row ID],0))&amp;"",""))</f>
        <v/>
      </c>
      <c r="N29" s="11">
        <f>IF($C29="","",MAX(0,N(O29)-N(L29)))</f>
        <v/>
      </c>
      <c r="O29" s="39" t="n"/>
      <c r="P29" s="40">
        <f>IF($C29="","",IF((IF(F29="",", Client","")&amp;IF(G29="",", Description","")&amp;IF(H29="",", Cost Centre","")&amp;IF(I29="",", Invoice Type","")&amp;IF(J29="",", Tax Code","")&amp;IF(O29="",", Expected Revenue","")&amp;IF(COUNTIF(tbl_Finance[Job Number],$C29&amp;"")&gt;1,", Job number used twice",""))="","Complete","Fix: "&amp;MID(IF(F29="",", Client","")&amp;IF(G29="",", Description","")&amp;IF(H29="",", Cost Centre","")&amp;IF(I29="",", Invoice Type","")&amp;IF(J29="",", Tax Code","")&amp;IF(O29="",", Expected Revenue","")&amp;IF(COUNTIF(tbl_Finance[Job Number],$C29&amp;"")&gt;1,", Job number used twice",""),3,300)))</f>
        <v/>
      </c>
      <c r="Q29" s="10">
        <f>IF($C29="","",IF(H29="","(no cost centre)",H29&amp;" - GL "&amp;IFERROR(INDEX(lst_CCtoGL,MATCH(H29,lst_CCforGL,0)),"?")))</f>
        <v/>
      </c>
      <c r="R29" s="11">
        <f>IF($C29="","",IFERROR(N(INDEX(tbl_Finance[Inc GST],MATCH($AU29,tbl_Finance[Row ID],0))),""))</f>
        <v/>
      </c>
      <c r="S29" s="37" t="n"/>
      <c r="T29" s="37" t="n"/>
      <c r="U29" s="37" t="n"/>
      <c r="V29" s="42" t="n"/>
      <c r="W29" s="37" t="n"/>
      <c r="X29" s="10">
        <f>IF(W29="","",IF(AND(LEFT(W29,4)&lt;&gt;"http",set_RMSBase=""),"",HYPERLINK(IF(LEFT(W29,4)="http",W29,set_RMSBase&amp;W29),"Open in RMS")))</f>
        <v/>
      </c>
      <c r="Y29" s="37" t="n"/>
      <c r="Z29" s="10">
        <f>IF(Y29="","",HYPERLINK(IF(LEFT(Y29,4)="http",Y29,set_QwilrBase&amp;Y29),"Open quote"))</f>
        <v/>
      </c>
      <c r="AA29" s="10">
        <f>IF(C29="","",C29)</f>
        <v/>
      </c>
      <c r="AB29" s="37" t="n"/>
      <c r="AC29" s="39" t="n"/>
      <c r="AD29" s="11">
        <f>IF(C29="","",N(L29)+N(AC29))</f>
        <v/>
      </c>
      <c r="AE29" s="43">
        <f>IFERROR(IF(N(AC29)=0,"",AC29/AD29),"")</f>
        <v/>
      </c>
      <c r="AF29" s="39" t="n"/>
      <c r="AG29" s="39" t="n"/>
      <c r="AH29" s="39" t="n"/>
      <c r="AI29" s="39" t="n"/>
      <c r="AJ29" s="11">
        <f>IF(C29="","",IF(H29="VIDEO",N(L29),0))</f>
        <v/>
      </c>
      <c r="AK29" s="43">
        <f>IFERROR(IF(N(L29)=0,"",AJ29/L29),"")</f>
        <v/>
      </c>
      <c r="AL29" s="11">
        <f>IF(C29="","",N(AF29)+N(AG29)+N(AH29)+N(AI29))</f>
        <v/>
      </c>
      <c r="AM29" s="11">
        <f>IF(C29="","",MAX(N(L29),N(O29))-N(AL29))</f>
        <v/>
      </c>
      <c r="AN29" s="43">
        <f>IFERROR(IF(MAX(N(L29),N(O29))=0,"",AM29/MAX(N(L29),N(O29))),"")</f>
        <v/>
      </c>
      <c r="AO29" s="41" t="n"/>
      <c r="AP29" s="41" t="n"/>
      <c r="AQ29" s="41" t="n"/>
      <c r="AR29" s="41" t="n"/>
      <c r="AS29" s="41" t="n"/>
      <c r="AT29" s="37" t="n"/>
      <c r="AU29" s="10" t="inlineStr">
        <is>
          <t>PRD-0025</t>
        </is>
      </c>
    </row>
    <row r="30">
      <c r="A30" s="16">
        <f>IF($C30="","",IFERROR(IF(INDEX(tbl_Finance[Latest Invoice Date],MATCH($AU30,tbl_Finance[Row ID],0))="","",INDEX(tbl_Finance[Latest Invoice Date],MATCH($AU30,tbl_Finance[Row ID],0))),""))</f>
        <v/>
      </c>
      <c r="B30" s="10">
        <f>IF($C30="","",IFERROR(INDEX(tbl_Finance[Invoice Numbers],MATCH($AU30,tbl_Finance[Row ID],0))&amp;"",""))</f>
        <v/>
      </c>
      <c r="C30" s="37" t="n"/>
      <c r="D30" s="10">
        <f>IF($C30="","",IF(COUNTIF(lst_Jobs,$C30&amp;"")&gt;0,"OK","CHECK"))</f>
        <v/>
      </c>
      <c r="E30" s="10">
        <f>IF($C30="","",IFERROR(INDEX(lst_JobName,MATCH($C30&amp;"",lst_Jobs,0)),""))</f>
        <v/>
      </c>
      <c r="F30" s="37" t="n"/>
      <c r="G30" s="37" t="n"/>
      <c r="H30" s="37" t="n"/>
      <c r="I30" s="37" t="n"/>
      <c r="J30" s="37" t="n"/>
      <c r="K30" s="38">
        <f>IF($C30="","",IFERROR(N(INDEX(tbl_Finance[Invoice Count],MATCH($AU30,tbl_Finance[Row ID],0))),""))</f>
        <v/>
      </c>
      <c r="L30" s="11">
        <f>IF($C30="","",IFERROR(N(INDEX(tbl_Finance[Xero Invoiced Ex GST],MATCH($AU30,tbl_Finance[Row ID],0))),""))</f>
        <v/>
      </c>
      <c r="M30" s="10">
        <f>IF($C30="","",IFERROR(INDEX(tbl_Finance[Compare],MATCH($AU30,tbl_Finance[Row ID],0))&amp;"",""))</f>
        <v/>
      </c>
      <c r="N30" s="11">
        <f>IF($C30="","",MAX(0,N(O30)-N(L30)))</f>
        <v/>
      </c>
      <c r="O30" s="39" t="n"/>
      <c r="P30" s="40">
        <f>IF($C30="","",IF((IF(F30="",", Client","")&amp;IF(G30="",", Description","")&amp;IF(H30="",", Cost Centre","")&amp;IF(I30="",", Invoice Type","")&amp;IF(J30="",", Tax Code","")&amp;IF(O30="",", Expected Revenue","")&amp;IF(COUNTIF(tbl_Finance[Job Number],$C30&amp;"")&gt;1,", Job number used twice",""))="","Complete","Fix: "&amp;MID(IF(F30="",", Client","")&amp;IF(G30="",", Description","")&amp;IF(H30="",", Cost Centre","")&amp;IF(I30="",", Invoice Type","")&amp;IF(J30="",", Tax Code","")&amp;IF(O30="",", Expected Revenue","")&amp;IF(COUNTIF(tbl_Finance[Job Number],$C30&amp;"")&gt;1,", Job number used twice",""),3,300)))</f>
        <v/>
      </c>
      <c r="Q30" s="10">
        <f>IF($C30="","",IF(H30="","(no cost centre)",H30&amp;" - GL "&amp;IFERROR(INDEX(lst_CCtoGL,MATCH(H30,lst_CCforGL,0)),"?")))</f>
        <v/>
      </c>
      <c r="R30" s="11">
        <f>IF($C30="","",IFERROR(N(INDEX(tbl_Finance[Inc GST],MATCH($AU30,tbl_Finance[Row ID],0))),""))</f>
        <v/>
      </c>
      <c r="S30" s="37" t="n"/>
      <c r="T30" s="37" t="n"/>
      <c r="U30" s="37" t="n"/>
      <c r="V30" s="42" t="n"/>
      <c r="W30" s="37" t="n"/>
      <c r="X30" s="10">
        <f>IF(W30="","",IF(AND(LEFT(W30,4)&lt;&gt;"http",set_RMSBase=""),"",HYPERLINK(IF(LEFT(W30,4)="http",W30,set_RMSBase&amp;W30),"Open in RMS")))</f>
        <v/>
      </c>
      <c r="Y30" s="37" t="n"/>
      <c r="Z30" s="10">
        <f>IF(Y30="","",HYPERLINK(IF(LEFT(Y30,4)="http",Y30,set_QwilrBase&amp;Y30),"Open quote"))</f>
        <v/>
      </c>
      <c r="AA30" s="10">
        <f>IF(C30="","",C30)</f>
        <v/>
      </c>
      <c r="AB30" s="37" t="n"/>
      <c r="AC30" s="39" t="n"/>
      <c r="AD30" s="11">
        <f>IF(C30="","",N(L30)+N(AC30))</f>
        <v/>
      </c>
      <c r="AE30" s="43">
        <f>IFERROR(IF(N(AC30)=0,"",AC30/AD30),"")</f>
        <v/>
      </c>
      <c r="AF30" s="39" t="n"/>
      <c r="AG30" s="39" t="n"/>
      <c r="AH30" s="39" t="n"/>
      <c r="AI30" s="39" t="n"/>
      <c r="AJ30" s="11">
        <f>IF(C30="","",IF(H30="VIDEO",N(L30),0))</f>
        <v/>
      </c>
      <c r="AK30" s="43">
        <f>IFERROR(IF(N(L30)=0,"",AJ30/L30),"")</f>
        <v/>
      </c>
      <c r="AL30" s="11">
        <f>IF(C30="","",N(AF30)+N(AG30)+N(AH30)+N(AI30))</f>
        <v/>
      </c>
      <c r="AM30" s="11">
        <f>IF(C30="","",MAX(N(L30),N(O30))-N(AL30))</f>
        <v/>
      </c>
      <c r="AN30" s="43">
        <f>IFERROR(IF(MAX(N(L30),N(O30))=0,"",AM30/MAX(N(L30),N(O30))),"")</f>
        <v/>
      </c>
      <c r="AO30" s="41" t="n"/>
      <c r="AP30" s="41" t="n"/>
      <c r="AQ30" s="41" t="n"/>
      <c r="AR30" s="41" t="n"/>
      <c r="AS30" s="41" t="n"/>
      <c r="AT30" s="37" t="n"/>
      <c r="AU30" s="10" t="inlineStr">
        <is>
          <t>PRD-0026</t>
        </is>
      </c>
    </row>
    <row r="31">
      <c r="A31" s="16">
        <f>IF($C31="","",IFERROR(IF(INDEX(tbl_Finance[Latest Invoice Date],MATCH($AU31,tbl_Finance[Row ID],0))="","",INDEX(tbl_Finance[Latest Invoice Date],MATCH($AU31,tbl_Finance[Row ID],0))),""))</f>
        <v/>
      </c>
      <c r="B31" s="10">
        <f>IF($C31="","",IFERROR(INDEX(tbl_Finance[Invoice Numbers],MATCH($AU31,tbl_Finance[Row ID],0))&amp;"",""))</f>
        <v/>
      </c>
      <c r="C31" s="37" t="n"/>
      <c r="D31" s="10">
        <f>IF($C31="","",IF(COUNTIF(lst_Jobs,$C31&amp;"")&gt;0,"OK","CHECK"))</f>
        <v/>
      </c>
      <c r="E31" s="10">
        <f>IF($C31="","",IFERROR(INDEX(lst_JobName,MATCH($C31&amp;"",lst_Jobs,0)),""))</f>
        <v/>
      </c>
      <c r="F31" s="37" t="n"/>
      <c r="G31" s="37" t="n"/>
      <c r="H31" s="37" t="n"/>
      <c r="I31" s="37" t="n"/>
      <c r="J31" s="37" t="n"/>
      <c r="K31" s="38">
        <f>IF($C31="","",IFERROR(N(INDEX(tbl_Finance[Invoice Count],MATCH($AU31,tbl_Finance[Row ID],0))),""))</f>
        <v/>
      </c>
      <c r="L31" s="11">
        <f>IF($C31="","",IFERROR(N(INDEX(tbl_Finance[Xero Invoiced Ex GST],MATCH($AU31,tbl_Finance[Row ID],0))),""))</f>
        <v/>
      </c>
      <c r="M31" s="10">
        <f>IF($C31="","",IFERROR(INDEX(tbl_Finance[Compare],MATCH($AU31,tbl_Finance[Row ID],0))&amp;"",""))</f>
        <v/>
      </c>
      <c r="N31" s="11">
        <f>IF($C31="","",MAX(0,N(O31)-N(L31)))</f>
        <v/>
      </c>
      <c r="O31" s="39" t="n"/>
      <c r="P31" s="40">
        <f>IF($C31="","",IF((IF(F31="",", Client","")&amp;IF(G31="",", Description","")&amp;IF(H31="",", Cost Centre","")&amp;IF(I31="",", Invoice Type","")&amp;IF(J31="",", Tax Code","")&amp;IF(O31="",", Expected Revenue","")&amp;IF(COUNTIF(tbl_Finance[Job Number],$C31&amp;"")&gt;1,", Job number used twice",""))="","Complete","Fix: "&amp;MID(IF(F31="",", Client","")&amp;IF(G31="",", Description","")&amp;IF(H31="",", Cost Centre","")&amp;IF(I31="",", Invoice Type","")&amp;IF(J31="",", Tax Code","")&amp;IF(O31="",", Expected Revenue","")&amp;IF(COUNTIF(tbl_Finance[Job Number],$C31&amp;"")&gt;1,", Job number used twice",""),3,300)))</f>
        <v/>
      </c>
      <c r="Q31" s="10">
        <f>IF($C31="","",IF(H31="","(no cost centre)",H31&amp;" - GL "&amp;IFERROR(INDEX(lst_CCtoGL,MATCH(H31,lst_CCforGL,0)),"?")))</f>
        <v/>
      </c>
      <c r="R31" s="11">
        <f>IF($C31="","",IFERROR(N(INDEX(tbl_Finance[Inc GST],MATCH($AU31,tbl_Finance[Row ID],0))),""))</f>
        <v/>
      </c>
      <c r="S31" s="37" t="n"/>
      <c r="T31" s="37" t="n"/>
      <c r="U31" s="37" t="n"/>
      <c r="V31" s="42" t="n"/>
      <c r="W31" s="37" t="n"/>
      <c r="X31" s="10">
        <f>IF(W31="","",IF(AND(LEFT(W31,4)&lt;&gt;"http",set_RMSBase=""),"",HYPERLINK(IF(LEFT(W31,4)="http",W31,set_RMSBase&amp;W31),"Open in RMS")))</f>
        <v/>
      </c>
      <c r="Y31" s="37" t="n"/>
      <c r="Z31" s="10">
        <f>IF(Y31="","",HYPERLINK(IF(LEFT(Y31,4)="http",Y31,set_QwilrBase&amp;Y31),"Open quote"))</f>
        <v/>
      </c>
      <c r="AA31" s="10">
        <f>IF(C31="","",C31)</f>
        <v/>
      </c>
      <c r="AB31" s="37" t="n"/>
      <c r="AC31" s="39" t="n"/>
      <c r="AD31" s="11">
        <f>IF(C31="","",N(L31)+N(AC31))</f>
        <v/>
      </c>
      <c r="AE31" s="43">
        <f>IFERROR(IF(N(AC31)=0,"",AC31/AD31),"")</f>
        <v/>
      </c>
      <c r="AF31" s="39" t="n"/>
      <c r="AG31" s="39" t="n"/>
      <c r="AH31" s="39" t="n"/>
      <c r="AI31" s="39" t="n"/>
      <c r="AJ31" s="11">
        <f>IF(C31="","",IF(H31="VIDEO",N(L31),0))</f>
        <v/>
      </c>
      <c r="AK31" s="43">
        <f>IFERROR(IF(N(L31)=0,"",AJ31/L31),"")</f>
        <v/>
      </c>
      <c r="AL31" s="11">
        <f>IF(C31="","",N(AF31)+N(AG31)+N(AH31)+N(AI31))</f>
        <v/>
      </c>
      <c r="AM31" s="11">
        <f>IF(C31="","",MAX(N(L31),N(O31))-N(AL31))</f>
        <v/>
      </c>
      <c r="AN31" s="43">
        <f>IFERROR(IF(MAX(N(L31),N(O31))=0,"",AM31/MAX(N(L31),N(O31))),"")</f>
        <v/>
      </c>
      <c r="AO31" s="41" t="n"/>
      <c r="AP31" s="41" t="n"/>
      <c r="AQ31" s="41" t="n"/>
      <c r="AR31" s="41" t="n"/>
      <c r="AS31" s="41" t="n"/>
      <c r="AT31" s="37" t="n"/>
      <c r="AU31" s="10" t="inlineStr">
        <is>
          <t>PRD-0027</t>
        </is>
      </c>
    </row>
    <row r="32">
      <c r="A32" s="16">
        <f>IF($C32="","",IFERROR(IF(INDEX(tbl_Finance[Latest Invoice Date],MATCH($AU32,tbl_Finance[Row ID],0))="","",INDEX(tbl_Finance[Latest Invoice Date],MATCH($AU32,tbl_Finance[Row ID],0))),""))</f>
        <v/>
      </c>
      <c r="B32" s="10">
        <f>IF($C32="","",IFERROR(INDEX(tbl_Finance[Invoice Numbers],MATCH($AU32,tbl_Finance[Row ID],0))&amp;"",""))</f>
        <v/>
      </c>
      <c r="C32" s="37" t="n"/>
      <c r="D32" s="10">
        <f>IF($C32="","",IF(COUNTIF(lst_Jobs,$C32&amp;"")&gt;0,"OK","CHECK"))</f>
        <v/>
      </c>
      <c r="E32" s="10">
        <f>IF($C32="","",IFERROR(INDEX(lst_JobName,MATCH($C32&amp;"",lst_Jobs,0)),""))</f>
        <v/>
      </c>
      <c r="F32" s="37" t="n"/>
      <c r="G32" s="37" t="n"/>
      <c r="H32" s="37" t="n"/>
      <c r="I32" s="37" t="n"/>
      <c r="J32" s="37" t="n"/>
      <c r="K32" s="38">
        <f>IF($C32="","",IFERROR(N(INDEX(tbl_Finance[Invoice Count],MATCH($AU32,tbl_Finance[Row ID],0))),""))</f>
        <v/>
      </c>
      <c r="L32" s="11">
        <f>IF($C32="","",IFERROR(N(INDEX(tbl_Finance[Xero Invoiced Ex GST],MATCH($AU32,tbl_Finance[Row ID],0))),""))</f>
        <v/>
      </c>
      <c r="M32" s="10">
        <f>IF($C32="","",IFERROR(INDEX(tbl_Finance[Compare],MATCH($AU32,tbl_Finance[Row ID],0))&amp;"",""))</f>
        <v/>
      </c>
      <c r="N32" s="11">
        <f>IF($C32="","",MAX(0,N(O32)-N(L32)))</f>
        <v/>
      </c>
      <c r="O32" s="39" t="n"/>
      <c r="P32" s="40">
        <f>IF($C32="","",IF((IF(F32="",", Client","")&amp;IF(G32="",", Description","")&amp;IF(H32="",", Cost Centre","")&amp;IF(I32="",", Invoice Type","")&amp;IF(J32="",", Tax Code","")&amp;IF(O32="",", Expected Revenue","")&amp;IF(COUNTIF(tbl_Finance[Job Number],$C32&amp;"")&gt;1,", Job number used twice",""))="","Complete","Fix: "&amp;MID(IF(F32="",", Client","")&amp;IF(G32="",", Description","")&amp;IF(H32="",", Cost Centre","")&amp;IF(I32="",", Invoice Type","")&amp;IF(J32="",", Tax Code","")&amp;IF(O32="",", Expected Revenue","")&amp;IF(COUNTIF(tbl_Finance[Job Number],$C32&amp;"")&gt;1,", Job number used twice",""),3,300)))</f>
        <v/>
      </c>
      <c r="Q32" s="10">
        <f>IF($C32="","",IF(H32="","(no cost centre)",H32&amp;" - GL "&amp;IFERROR(INDEX(lst_CCtoGL,MATCH(H32,lst_CCforGL,0)),"?")))</f>
        <v/>
      </c>
      <c r="R32" s="11">
        <f>IF($C32="","",IFERROR(N(INDEX(tbl_Finance[Inc GST],MATCH($AU32,tbl_Finance[Row ID],0))),""))</f>
        <v/>
      </c>
      <c r="S32" s="37" t="n"/>
      <c r="T32" s="37" t="n"/>
      <c r="U32" s="37" t="n"/>
      <c r="V32" s="42" t="n"/>
      <c r="W32" s="37" t="n"/>
      <c r="X32" s="10">
        <f>IF(W32="","",IF(AND(LEFT(W32,4)&lt;&gt;"http",set_RMSBase=""),"",HYPERLINK(IF(LEFT(W32,4)="http",W32,set_RMSBase&amp;W32),"Open in RMS")))</f>
        <v/>
      </c>
      <c r="Y32" s="37" t="n"/>
      <c r="Z32" s="10">
        <f>IF(Y32="","",HYPERLINK(IF(LEFT(Y32,4)="http",Y32,set_QwilrBase&amp;Y32),"Open quote"))</f>
        <v/>
      </c>
      <c r="AA32" s="10">
        <f>IF(C32="","",C32)</f>
        <v/>
      </c>
      <c r="AB32" s="37" t="n"/>
      <c r="AC32" s="39" t="n"/>
      <c r="AD32" s="11">
        <f>IF(C32="","",N(L32)+N(AC32))</f>
        <v/>
      </c>
      <c r="AE32" s="43">
        <f>IFERROR(IF(N(AC32)=0,"",AC32/AD32),"")</f>
        <v/>
      </c>
      <c r="AF32" s="39" t="n"/>
      <c r="AG32" s="39" t="n"/>
      <c r="AH32" s="39" t="n"/>
      <c r="AI32" s="39" t="n"/>
      <c r="AJ32" s="11">
        <f>IF(C32="","",IF(H32="VIDEO",N(L32),0))</f>
        <v/>
      </c>
      <c r="AK32" s="43">
        <f>IFERROR(IF(N(L32)=0,"",AJ32/L32),"")</f>
        <v/>
      </c>
      <c r="AL32" s="11">
        <f>IF(C32="","",N(AF32)+N(AG32)+N(AH32)+N(AI32))</f>
        <v/>
      </c>
      <c r="AM32" s="11">
        <f>IF(C32="","",MAX(N(L32),N(O32))-N(AL32))</f>
        <v/>
      </c>
      <c r="AN32" s="43">
        <f>IFERROR(IF(MAX(N(L32),N(O32))=0,"",AM32/MAX(N(L32),N(O32))),"")</f>
        <v/>
      </c>
      <c r="AO32" s="41" t="n"/>
      <c r="AP32" s="41" t="n"/>
      <c r="AQ32" s="41" t="n"/>
      <c r="AR32" s="41" t="n"/>
      <c r="AS32" s="41" t="n"/>
      <c r="AT32" s="37" t="n"/>
      <c r="AU32" s="10" t="inlineStr">
        <is>
          <t>PRD-0028</t>
        </is>
      </c>
    </row>
    <row r="33">
      <c r="A33" s="16">
        <f>IF($C33="","",IFERROR(IF(INDEX(tbl_Finance[Latest Invoice Date],MATCH($AU33,tbl_Finance[Row ID],0))="","",INDEX(tbl_Finance[Latest Invoice Date],MATCH($AU33,tbl_Finance[Row ID],0))),""))</f>
        <v/>
      </c>
      <c r="B33" s="10">
        <f>IF($C33="","",IFERROR(INDEX(tbl_Finance[Invoice Numbers],MATCH($AU33,tbl_Finance[Row ID],0))&amp;"",""))</f>
        <v/>
      </c>
      <c r="C33" s="37" t="n"/>
      <c r="D33" s="10">
        <f>IF($C33="","",IF(COUNTIF(lst_Jobs,$C33&amp;"")&gt;0,"OK","CHECK"))</f>
        <v/>
      </c>
      <c r="E33" s="10">
        <f>IF($C33="","",IFERROR(INDEX(lst_JobName,MATCH($C33&amp;"",lst_Jobs,0)),""))</f>
        <v/>
      </c>
      <c r="F33" s="37" t="n"/>
      <c r="G33" s="37" t="n"/>
      <c r="H33" s="37" t="n"/>
      <c r="I33" s="37" t="n"/>
      <c r="J33" s="37" t="n"/>
      <c r="K33" s="38">
        <f>IF($C33="","",IFERROR(N(INDEX(tbl_Finance[Invoice Count],MATCH($AU33,tbl_Finance[Row ID],0))),""))</f>
        <v/>
      </c>
      <c r="L33" s="11">
        <f>IF($C33="","",IFERROR(N(INDEX(tbl_Finance[Xero Invoiced Ex GST],MATCH($AU33,tbl_Finance[Row ID],0))),""))</f>
        <v/>
      </c>
      <c r="M33" s="10">
        <f>IF($C33="","",IFERROR(INDEX(tbl_Finance[Compare],MATCH($AU33,tbl_Finance[Row ID],0))&amp;"",""))</f>
        <v/>
      </c>
      <c r="N33" s="11">
        <f>IF($C33="","",MAX(0,N(O33)-N(L33)))</f>
        <v/>
      </c>
      <c r="O33" s="39" t="n"/>
      <c r="P33" s="40">
        <f>IF($C33="","",IF((IF(F33="",", Client","")&amp;IF(G33="",", Description","")&amp;IF(H33="",", Cost Centre","")&amp;IF(I33="",", Invoice Type","")&amp;IF(J33="",", Tax Code","")&amp;IF(O33="",", Expected Revenue","")&amp;IF(COUNTIF(tbl_Finance[Job Number],$C33&amp;"")&gt;1,", Job number used twice",""))="","Complete","Fix: "&amp;MID(IF(F33="",", Client","")&amp;IF(G33="",", Description","")&amp;IF(H33="",", Cost Centre","")&amp;IF(I33="",", Invoice Type","")&amp;IF(J33="",", Tax Code","")&amp;IF(O33="",", Expected Revenue","")&amp;IF(COUNTIF(tbl_Finance[Job Number],$C33&amp;"")&gt;1,", Job number used twice",""),3,300)))</f>
        <v/>
      </c>
      <c r="Q33" s="10">
        <f>IF($C33="","",IF(H33="","(no cost centre)",H33&amp;" - GL "&amp;IFERROR(INDEX(lst_CCtoGL,MATCH(H33,lst_CCforGL,0)),"?")))</f>
        <v/>
      </c>
      <c r="R33" s="11">
        <f>IF($C33="","",IFERROR(N(INDEX(tbl_Finance[Inc GST],MATCH($AU33,tbl_Finance[Row ID],0))),""))</f>
        <v/>
      </c>
      <c r="S33" s="37" t="n"/>
      <c r="T33" s="37" t="n"/>
      <c r="U33" s="37" t="n"/>
      <c r="V33" s="42" t="n"/>
      <c r="W33" s="37" t="n"/>
      <c r="X33" s="10">
        <f>IF(W33="","",IF(AND(LEFT(W33,4)&lt;&gt;"http",set_RMSBase=""),"",HYPERLINK(IF(LEFT(W33,4)="http",W33,set_RMSBase&amp;W33),"Open in RMS")))</f>
        <v/>
      </c>
      <c r="Y33" s="37" t="n"/>
      <c r="Z33" s="10">
        <f>IF(Y33="","",HYPERLINK(IF(LEFT(Y33,4)="http",Y33,set_QwilrBase&amp;Y33),"Open quote"))</f>
        <v/>
      </c>
      <c r="AA33" s="10">
        <f>IF(C33="","",C33)</f>
        <v/>
      </c>
      <c r="AB33" s="37" t="n"/>
      <c r="AC33" s="39" t="n"/>
      <c r="AD33" s="11">
        <f>IF(C33="","",N(L33)+N(AC33))</f>
        <v/>
      </c>
      <c r="AE33" s="43">
        <f>IFERROR(IF(N(AC33)=0,"",AC33/AD33),"")</f>
        <v/>
      </c>
      <c r="AF33" s="39" t="n"/>
      <c r="AG33" s="39" t="n"/>
      <c r="AH33" s="39" t="n"/>
      <c r="AI33" s="39" t="n"/>
      <c r="AJ33" s="11">
        <f>IF(C33="","",IF(H33="VIDEO",N(L33),0))</f>
        <v/>
      </c>
      <c r="AK33" s="43">
        <f>IFERROR(IF(N(L33)=0,"",AJ33/L33),"")</f>
        <v/>
      </c>
      <c r="AL33" s="11">
        <f>IF(C33="","",N(AF33)+N(AG33)+N(AH33)+N(AI33))</f>
        <v/>
      </c>
      <c r="AM33" s="11">
        <f>IF(C33="","",MAX(N(L33),N(O33))-N(AL33))</f>
        <v/>
      </c>
      <c r="AN33" s="43">
        <f>IFERROR(IF(MAX(N(L33),N(O33))=0,"",AM33/MAX(N(L33),N(O33))),"")</f>
        <v/>
      </c>
      <c r="AO33" s="41" t="n"/>
      <c r="AP33" s="41" t="n"/>
      <c r="AQ33" s="41" t="n"/>
      <c r="AR33" s="41" t="n"/>
      <c r="AS33" s="41" t="n"/>
      <c r="AT33" s="37" t="n"/>
      <c r="AU33" s="10" t="inlineStr">
        <is>
          <t>PRD-0029</t>
        </is>
      </c>
    </row>
    <row r="34">
      <c r="A34" s="16">
        <f>IF($C34="","",IFERROR(IF(INDEX(tbl_Finance[Latest Invoice Date],MATCH($AU34,tbl_Finance[Row ID],0))="","",INDEX(tbl_Finance[Latest Invoice Date],MATCH($AU34,tbl_Finance[Row ID],0))),""))</f>
        <v/>
      </c>
      <c r="B34" s="10">
        <f>IF($C34="","",IFERROR(INDEX(tbl_Finance[Invoice Numbers],MATCH($AU34,tbl_Finance[Row ID],0))&amp;"",""))</f>
        <v/>
      </c>
      <c r="C34" s="37" t="n"/>
      <c r="D34" s="10">
        <f>IF($C34="","",IF(COUNTIF(lst_Jobs,$C34&amp;"")&gt;0,"OK","CHECK"))</f>
        <v/>
      </c>
      <c r="E34" s="10">
        <f>IF($C34="","",IFERROR(INDEX(lst_JobName,MATCH($C34&amp;"",lst_Jobs,0)),""))</f>
        <v/>
      </c>
      <c r="F34" s="37" t="n"/>
      <c r="G34" s="37" t="n"/>
      <c r="H34" s="37" t="n"/>
      <c r="I34" s="37" t="n"/>
      <c r="J34" s="37" t="n"/>
      <c r="K34" s="38">
        <f>IF($C34="","",IFERROR(N(INDEX(tbl_Finance[Invoice Count],MATCH($AU34,tbl_Finance[Row ID],0))),""))</f>
        <v/>
      </c>
      <c r="L34" s="11">
        <f>IF($C34="","",IFERROR(N(INDEX(tbl_Finance[Xero Invoiced Ex GST],MATCH($AU34,tbl_Finance[Row ID],0))),""))</f>
        <v/>
      </c>
      <c r="M34" s="10">
        <f>IF($C34="","",IFERROR(INDEX(tbl_Finance[Compare],MATCH($AU34,tbl_Finance[Row ID],0))&amp;"",""))</f>
        <v/>
      </c>
      <c r="N34" s="11">
        <f>IF($C34="","",MAX(0,N(O34)-N(L34)))</f>
        <v/>
      </c>
      <c r="O34" s="39" t="n"/>
      <c r="P34" s="40">
        <f>IF($C34="","",IF((IF(F34="",", Client","")&amp;IF(G34="",", Description","")&amp;IF(H34="",", Cost Centre","")&amp;IF(I34="",", Invoice Type","")&amp;IF(J34="",", Tax Code","")&amp;IF(O34="",", Expected Revenue","")&amp;IF(COUNTIF(tbl_Finance[Job Number],$C34&amp;"")&gt;1,", Job number used twice",""))="","Complete","Fix: "&amp;MID(IF(F34="",", Client","")&amp;IF(G34="",", Description","")&amp;IF(H34="",", Cost Centre","")&amp;IF(I34="",", Invoice Type","")&amp;IF(J34="",", Tax Code","")&amp;IF(O34="",", Expected Revenue","")&amp;IF(COUNTIF(tbl_Finance[Job Number],$C34&amp;"")&gt;1,", Job number used twice",""),3,300)))</f>
        <v/>
      </c>
      <c r="Q34" s="10">
        <f>IF($C34="","",IF(H34="","(no cost centre)",H34&amp;" - GL "&amp;IFERROR(INDEX(lst_CCtoGL,MATCH(H34,lst_CCforGL,0)),"?")))</f>
        <v/>
      </c>
      <c r="R34" s="11">
        <f>IF($C34="","",IFERROR(N(INDEX(tbl_Finance[Inc GST],MATCH($AU34,tbl_Finance[Row ID],0))),""))</f>
        <v/>
      </c>
      <c r="S34" s="37" t="n"/>
      <c r="T34" s="37" t="n"/>
      <c r="U34" s="37" t="n"/>
      <c r="V34" s="42" t="n"/>
      <c r="W34" s="37" t="n"/>
      <c r="X34" s="10">
        <f>IF(W34="","",IF(AND(LEFT(W34,4)&lt;&gt;"http",set_RMSBase=""),"",HYPERLINK(IF(LEFT(W34,4)="http",W34,set_RMSBase&amp;W34),"Open in RMS")))</f>
        <v/>
      </c>
      <c r="Y34" s="37" t="n"/>
      <c r="Z34" s="10">
        <f>IF(Y34="","",HYPERLINK(IF(LEFT(Y34,4)="http",Y34,set_QwilrBase&amp;Y34),"Open quote"))</f>
        <v/>
      </c>
      <c r="AA34" s="10">
        <f>IF(C34="","",C34)</f>
        <v/>
      </c>
      <c r="AB34" s="37" t="n"/>
      <c r="AC34" s="39" t="n"/>
      <c r="AD34" s="11">
        <f>IF(C34="","",N(L34)+N(AC34))</f>
        <v/>
      </c>
      <c r="AE34" s="43">
        <f>IFERROR(IF(N(AC34)=0,"",AC34/AD34),"")</f>
        <v/>
      </c>
      <c r="AF34" s="39" t="n"/>
      <c r="AG34" s="39" t="n"/>
      <c r="AH34" s="39" t="n"/>
      <c r="AI34" s="39" t="n"/>
      <c r="AJ34" s="11">
        <f>IF(C34="","",IF(H34="VIDEO",N(L34),0))</f>
        <v/>
      </c>
      <c r="AK34" s="43">
        <f>IFERROR(IF(N(L34)=0,"",AJ34/L34),"")</f>
        <v/>
      </c>
      <c r="AL34" s="11">
        <f>IF(C34="","",N(AF34)+N(AG34)+N(AH34)+N(AI34))</f>
        <v/>
      </c>
      <c r="AM34" s="11">
        <f>IF(C34="","",MAX(N(L34),N(O34))-N(AL34))</f>
        <v/>
      </c>
      <c r="AN34" s="43">
        <f>IFERROR(IF(MAX(N(L34),N(O34))=0,"",AM34/MAX(N(L34),N(O34))),"")</f>
        <v/>
      </c>
      <c r="AO34" s="41" t="n"/>
      <c r="AP34" s="41" t="n"/>
      <c r="AQ34" s="41" t="n"/>
      <c r="AR34" s="41" t="n"/>
      <c r="AS34" s="41" t="n"/>
      <c r="AT34" s="37" t="n"/>
      <c r="AU34" s="10" t="inlineStr">
        <is>
          <t>PRD-0030</t>
        </is>
      </c>
    </row>
    <row r="35">
      <c r="A35" s="16">
        <f>IF($C35="","",IFERROR(IF(INDEX(tbl_Finance[Latest Invoice Date],MATCH($AU35,tbl_Finance[Row ID],0))="","",INDEX(tbl_Finance[Latest Invoice Date],MATCH($AU35,tbl_Finance[Row ID],0))),""))</f>
        <v/>
      </c>
      <c r="B35" s="10">
        <f>IF($C35="","",IFERROR(INDEX(tbl_Finance[Invoice Numbers],MATCH($AU35,tbl_Finance[Row ID],0))&amp;"",""))</f>
        <v/>
      </c>
      <c r="C35" s="37" t="n"/>
      <c r="D35" s="10">
        <f>IF($C35="","",IF(COUNTIF(lst_Jobs,$C35&amp;"")&gt;0,"OK","CHECK"))</f>
        <v/>
      </c>
      <c r="E35" s="10">
        <f>IF($C35="","",IFERROR(INDEX(lst_JobName,MATCH($C35&amp;"",lst_Jobs,0)),""))</f>
        <v/>
      </c>
      <c r="F35" s="37" t="n"/>
      <c r="G35" s="37" t="n"/>
      <c r="H35" s="37" t="n"/>
      <c r="I35" s="37" t="n"/>
      <c r="J35" s="37" t="n"/>
      <c r="K35" s="38">
        <f>IF($C35="","",IFERROR(N(INDEX(tbl_Finance[Invoice Count],MATCH($AU35,tbl_Finance[Row ID],0))),""))</f>
        <v/>
      </c>
      <c r="L35" s="11">
        <f>IF($C35="","",IFERROR(N(INDEX(tbl_Finance[Xero Invoiced Ex GST],MATCH($AU35,tbl_Finance[Row ID],0))),""))</f>
        <v/>
      </c>
      <c r="M35" s="10">
        <f>IF($C35="","",IFERROR(INDEX(tbl_Finance[Compare],MATCH($AU35,tbl_Finance[Row ID],0))&amp;"",""))</f>
        <v/>
      </c>
      <c r="N35" s="11">
        <f>IF($C35="","",MAX(0,N(O35)-N(L35)))</f>
        <v/>
      </c>
      <c r="O35" s="39" t="n"/>
      <c r="P35" s="40">
        <f>IF($C35="","",IF((IF(F35="",", Client","")&amp;IF(G35="",", Description","")&amp;IF(H35="",", Cost Centre","")&amp;IF(I35="",", Invoice Type","")&amp;IF(J35="",", Tax Code","")&amp;IF(O35="",", Expected Revenue","")&amp;IF(COUNTIF(tbl_Finance[Job Number],$C35&amp;"")&gt;1,", Job number used twice",""))="","Complete","Fix: "&amp;MID(IF(F35="",", Client","")&amp;IF(G35="",", Description","")&amp;IF(H35="",", Cost Centre","")&amp;IF(I35="",", Invoice Type","")&amp;IF(J35="",", Tax Code","")&amp;IF(O35="",", Expected Revenue","")&amp;IF(COUNTIF(tbl_Finance[Job Number],$C35&amp;"")&gt;1,", Job number used twice",""),3,300)))</f>
        <v/>
      </c>
      <c r="Q35" s="10">
        <f>IF($C35="","",IF(H35="","(no cost centre)",H35&amp;" - GL "&amp;IFERROR(INDEX(lst_CCtoGL,MATCH(H35,lst_CCforGL,0)),"?")))</f>
        <v/>
      </c>
      <c r="R35" s="11">
        <f>IF($C35="","",IFERROR(N(INDEX(tbl_Finance[Inc GST],MATCH($AU35,tbl_Finance[Row ID],0))),""))</f>
        <v/>
      </c>
      <c r="S35" s="37" t="n"/>
      <c r="T35" s="37" t="n"/>
      <c r="U35" s="37" t="n"/>
      <c r="V35" s="42" t="n"/>
      <c r="W35" s="37" t="n"/>
      <c r="X35" s="10">
        <f>IF(W35="","",IF(AND(LEFT(W35,4)&lt;&gt;"http",set_RMSBase=""),"",HYPERLINK(IF(LEFT(W35,4)="http",W35,set_RMSBase&amp;W35),"Open in RMS")))</f>
        <v/>
      </c>
      <c r="Y35" s="37" t="n"/>
      <c r="Z35" s="10">
        <f>IF(Y35="","",HYPERLINK(IF(LEFT(Y35,4)="http",Y35,set_QwilrBase&amp;Y35),"Open quote"))</f>
        <v/>
      </c>
      <c r="AA35" s="10">
        <f>IF(C35="","",C35)</f>
        <v/>
      </c>
      <c r="AB35" s="37" t="n"/>
      <c r="AC35" s="39" t="n"/>
      <c r="AD35" s="11">
        <f>IF(C35="","",N(L35)+N(AC35))</f>
        <v/>
      </c>
      <c r="AE35" s="43">
        <f>IFERROR(IF(N(AC35)=0,"",AC35/AD35),"")</f>
        <v/>
      </c>
      <c r="AF35" s="39" t="n"/>
      <c r="AG35" s="39" t="n"/>
      <c r="AH35" s="39" t="n"/>
      <c r="AI35" s="39" t="n"/>
      <c r="AJ35" s="11">
        <f>IF(C35="","",IF(H35="VIDEO",N(L35),0))</f>
        <v/>
      </c>
      <c r="AK35" s="43">
        <f>IFERROR(IF(N(L35)=0,"",AJ35/L35),"")</f>
        <v/>
      </c>
      <c r="AL35" s="11">
        <f>IF(C35="","",N(AF35)+N(AG35)+N(AH35)+N(AI35))</f>
        <v/>
      </c>
      <c r="AM35" s="11">
        <f>IF(C35="","",MAX(N(L35),N(O35))-N(AL35))</f>
        <v/>
      </c>
      <c r="AN35" s="43">
        <f>IFERROR(IF(MAX(N(L35),N(O35))=0,"",AM35/MAX(N(L35),N(O35))),"")</f>
        <v/>
      </c>
      <c r="AO35" s="41" t="n"/>
      <c r="AP35" s="41" t="n"/>
      <c r="AQ35" s="41" t="n"/>
      <c r="AR35" s="41" t="n"/>
      <c r="AS35" s="41" t="n"/>
      <c r="AT35" s="37" t="n"/>
      <c r="AU35" s="10" t="inlineStr">
        <is>
          <t>PRD-0031</t>
        </is>
      </c>
    </row>
    <row r="36">
      <c r="A36" s="16">
        <f>IF($C36="","",IFERROR(IF(INDEX(tbl_Finance[Latest Invoice Date],MATCH($AU36,tbl_Finance[Row ID],0))="","",INDEX(tbl_Finance[Latest Invoice Date],MATCH($AU36,tbl_Finance[Row ID],0))),""))</f>
        <v/>
      </c>
      <c r="B36" s="10">
        <f>IF($C36="","",IFERROR(INDEX(tbl_Finance[Invoice Numbers],MATCH($AU36,tbl_Finance[Row ID],0))&amp;"",""))</f>
        <v/>
      </c>
      <c r="C36" s="37" t="n"/>
      <c r="D36" s="10">
        <f>IF($C36="","",IF(COUNTIF(lst_Jobs,$C36&amp;"")&gt;0,"OK","CHECK"))</f>
        <v/>
      </c>
      <c r="E36" s="10">
        <f>IF($C36="","",IFERROR(INDEX(lst_JobName,MATCH($C36&amp;"",lst_Jobs,0)),""))</f>
        <v/>
      </c>
      <c r="F36" s="37" t="n"/>
      <c r="G36" s="37" t="n"/>
      <c r="H36" s="37" t="n"/>
      <c r="I36" s="37" t="n"/>
      <c r="J36" s="37" t="n"/>
      <c r="K36" s="38">
        <f>IF($C36="","",IFERROR(N(INDEX(tbl_Finance[Invoice Count],MATCH($AU36,tbl_Finance[Row ID],0))),""))</f>
        <v/>
      </c>
      <c r="L36" s="11">
        <f>IF($C36="","",IFERROR(N(INDEX(tbl_Finance[Xero Invoiced Ex GST],MATCH($AU36,tbl_Finance[Row ID],0))),""))</f>
        <v/>
      </c>
      <c r="M36" s="10">
        <f>IF($C36="","",IFERROR(INDEX(tbl_Finance[Compare],MATCH($AU36,tbl_Finance[Row ID],0))&amp;"",""))</f>
        <v/>
      </c>
      <c r="N36" s="11">
        <f>IF($C36="","",MAX(0,N(O36)-N(L36)))</f>
        <v/>
      </c>
      <c r="O36" s="39" t="n"/>
      <c r="P36" s="40">
        <f>IF($C36="","",IF((IF(F36="",", Client","")&amp;IF(G36="",", Description","")&amp;IF(H36="",", Cost Centre","")&amp;IF(I36="",", Invoice Type","")&amp;IF(J36="",", Tax Code","")&amp;IF(O36="",", Expected Revenue","")&amp;IF(COUNTIF(tbl_Finance[Job Number],$C36&amp;"")&gt;1,", Job number used twice",""))="","Complete","Fix: "&amp;MID(IF(F36="",", Client","")&amp;IF(G36="",", Description","")&amp;IF(H36="",", Cost Centre","")&amp;IF(I36="",", Invoice Type","")&amp;IF(J36="",", Tax Code","")&amp;IF(O36="",", Expected Revenue","")&amp;IF(COUNTIF(tbl_Finance[Job Number],$C36&amp;"")&gt;1,", Job number used twice",""),3,300)))</f>
        <v/>
      </c>
      <c r="Q36" s="10">
        <f>IF($C36="","",IF(H36="","(no cost centre)",H36&amp;" - GL "&amp;IFERROR(INDEX(lst_CCtoGL,MATCH(H36,lst_CCforGL,0)),"?")))</f>
        <v/>
      </c>
      <c r="R36" s="11">
        <f>IF($C36="","",IFERROR(N(INDEX(tbl_Finance[Inc GST],MATCH($AU36,tbl_Finance[Row ID],0))),""))</f>
        <v/>
      </c>
      <c r="S36" s="37" t="n"/>
      <c r="T36" s="37" t="n"/>
      <c r="U36" s="37" t="n"/>
      <c r="V36" s="42" t="n"/>
      <c r="W36" s="37" t="n"/>
      <c r="X36" s="10">
        <f>IF(W36="","",IF(AND(LEFT(W36,4)&lt;&gt;"http",set_RMSBase=""),"",HYPERLINK(IF(LEFT(W36,4)="http",W36,set_RMSBase&amp;W36),"Open in RMS")))</f>
        <v/>
      </c>
      <c r="Y36" s="37" t="n"/>
      <c r="Z36" s="10">
        <f>IF(Y36="","",HYPERLINK(IF(LEFT(Y36,4)="http",Y36,set_QwilrBase&amp;Y36),"Open quote"))</f>
        <v/>
      </c>
      <c r="AA36" s="10">
        <f>IF(C36="","",C36)</f>
        <v/>
      </c>
      <c r="AB36" s="37" t="n"/>
      <c r="AC36" s="39" t="n"/>
      <c r="AD36" s="11">
        <f>IF(C36="","",N(L36)+N(AC36))</f>
        <v/>
      </c>
      <c r="AE36" s="43">
        <f>IFERROR(IF(N(AC36)=0,"",AC36/AD36),"")</f>
        <v/>
      </c>
      <c r="AF36" s="39" t="n"/>
      <c r="AG36" s="39" t="n"/>
      <c r="AH36" s="39" t="n"/>
      <c r="AI36" s="39" t="n"/>
      <c r="AJ36" s="11">
        <f>IF(C36="","",IF(H36="VIDEO",N(L36),0))</f>
        <v/>
      </c>
      <c r="AK36" s="43">
        <f>IFERROR(IF(N(L36)=0,"",AJ36/L36),"")</f>
        <v/>
      </c>
      <c r="AL36" s="11">
        <f>IF(C36="","",N(AF36)+N(AG36)+N(AH36)+N(AI36))</f>
        <v/>
      </c>
      <c r="AM36" s="11">
        <f>IF(C36="","",MAX(N(L36),N(O36))-N(AL36))</f>
        <v/>
      </c>
      <c r="AN36" s="43">
        <f>IFERROR(IF(MAX(N(L36),N(O36))=0,"",AM36/MAX(N(L36),N(O36))),"")</f>
        <v/>
      </c>
      <c r="AO36" s="41" t="n"/>
      <c r="AP36" s="41" t="n"/>
      <c r="AQ36" s="41" t="n"/>
      <c r="AR36" s="41" t="n"/>
      <c r="AS36" s="41" t="n"/>
      <c r="AT36" s="37" t="n"/>
      <c r="AU36" s="10" t="inlineStr">
        <is>
          <t>PRD-0032</t>
        </is>
      </c>
    </row>
    <row r="37">
      <c r="A37" s="16">
        <f>IF($C37="","",IFERROR(IF(INDEX(tbl_Finance[Latest Invoice Date],MATCH($AU37,tbl_Finance[Row ID],0))="","",INDEX(tbl_Finance[Latest Invoice Date],MATCH($AU37,tbl_Finance[Row ID],0))),""))</f>
        <v/>
      </c>
      <c r="B37" s="10">
        <f>IF($C37="","",IFERROR(INDEX(tbl_Finance[Invoice Numbers],MATCH($AU37,tbl_Finance[Row ID],0))&amp;"",""))</f>
        <v/>
      </c>
      <c r="C37" s="37" t="n"/>
      <c r="D37" s="10">
        <f>IF($C37="","",IF(COUNTIF(lst_Jobs,$C37&amp;"")&gt;0,"OK","CHECK"))</f>
        <v/>
      </c>
      <c r="E37" s="10">
        <f>IF($C37="","",IFERROR(INDEX(lst_JobName,MATCH($C37&amp;"",lst_Jobs,0)),""))</f>
        <v/>
      </c>
      <c r="F37" s="37" t="n"/>
      <c r="G37" s="37" t="n"/>
      <c r="H37" s="37" t="n"/>
      <c r="I37" s="37" t="n"/>
      <c r="J37" s="37" t="n"/>
      <c r="K37" s="38">
        <f>IF($C37="","",IFERROR(N(INDEX(tbl_Finance[Invoice Count],MATCH($AU37,tbl_Finance[Row ID],0))),""))</f>
        <v/>
      </c>
      <c r="L37" s="11">
        <f>IF($C37="","",IFERROR(N(INDEX(tbl_Finance[Xero Invoiced Ex GST],MATCH($AU37,tbl_Finance[Row ID],0))),""))</f>
        <v/>
      </c>
      <c r="M37" s="10">
        <f>IF($C37="","",IFERROR(INDEX(tbl_Finance[Compare],MATCH($AU37,tbl_Finance[Row ID],0))&amp;"",""))</f>
        <v/>
      </c>
      <c r="N37" s="11">
        <f>IF($C37="","",MAX(0,N(O37)-N(L37)))</f>
        <v/>
      </c>
      <c r="O37" s="39" t="n"/>
      <c r="P37" s="40">
        <f>IF($C37="","",IF((IF(F37="",", Client","")&amp;IF(G37="",", Description","")&amp;IF(H37="",", Cost Centre","")&amp;IF(I37="",", Invoice Type","")&amp;IF(J37="",", Tax Code","")&amp;IF(O37="",", Expected Revenue","")&amp;IF(COUNTIF(tbl_Finance[Job Number],$C37&amp;"")&gt;1,", Job number used twice",""))="","Complete","Fix: "&amp;MID(IF(F37="",", Client","")&amp;IF(G37="",", Description","")&amp;IF(H37="",", Cost Centre","")&amp;IF(I37="",", Invoice Type","")&amp;IF(J37="",", Tax Code","")&amp;IF(O37="",", Expected Revenue","")&amp;IF(COUNTIF(tbl_Finance[Job Number],$C37&amp;"")&gt;1,", Job number used twice",""),3,300)))</f>
        <v/>
      </c>
      <c r="Q37" s="10">
        <f>IF($C37="","",IF(H37="","(no cost centre)",H37&amp;" - GL "&amp;IFERROR(INDEX(lst_CCtoGL,MATCH(H37,lst_CCforGL,0)),"?")))</f>
        <v/>
      </c>
      <c r="R37" s="11">
        <f>IF($C37="","",IFERROR(N(INDEX(tbl_Finance[Inc GST],MATCH($AU37,tbl_Finance[Row ID],0))),""))</f>
        <v/>
      </c>
      <c r="S37" s="37" t="n"/>
      <c r="T37" s="37" t="n"/>
      <c r="U37" s="37" t="n"/>
      <c r="V37" s="42" t="n"/>
      <c r="W37" s="37" t="n"/>
      <c r="X37" s="10">
        <f>IF(W37="","",IF(AND(LEFT(W37,4)&lt;&gt;"http",set_RMSBase=""),"",HYPERLINK(IF(LEFT(W37,4)="http",W37,set_RMSBase&amp;W37),"Open in RMS")))</f>
        <v/>
      </c>
      <c r="Y37" s="37" t="n"/>
      <c r="Z37" s="10">
        <f>IF(Y37="","",HYPERLINK(IF(LEFT(Y37,4)="http",Y37,set_QwilrBase&amp;Y37),"Open quote"))</f>
        <v/>
      </c>
      <c r="AA37" s="10">
        <f>IF(C37="","",C37)</f>
        <v/>
      </c>
      <c r="AB37" s="37" t="n"/>
      <c r="AC37" s="39" t="n"/>
      <c r="AD37" s="11">
        <f>IF(C37="","",N(L37)+N(AC37))</f>
        <v/>
      </c>
      <c r="AE37" s="43">
        <f>IFERROR(IF(N(AC37)=0,"",AC37/AD37),"")</f>
        <v/>
      </c>
      <c r="AF37" s="39" t="n"/>
      <c r="AG37" s="39" t="n"/>
      <c r="AH37" s="39" t="n"/>
      <c r="AI37" s="39" t="n"/>
      <c r="AJ37" s="11">
        <f>IF(C37="","",IF(H37="VIDEO",N(L37),0))</f>
        <v/>
      </c>
      <c r="AK37" s="43">
        <f>IFERROR(IF(N(L37)=0,"",AJ37/L37),"")</f>
        <v/>
      </c>
      <c r="AL37" s="11">
        <f>IF(C37="","",N(AF37)+N(AG37)+N(AH37)+N(AI37))</f>
        <v/>
      </c>
      <c r="AM37" s="11">
        <f>IF(C37="","",MAX(N(L37),N(O37))-N(AL37))</f>
        <v/>
      </c>
      <c r="AN37" s="43">
        <f>IFERROR(IF(MAX(N(L37),N(O37))=0,"",AM37/MAX(N(L37),N(O37))),"")</f>
        <v/>
      </c>
      <c r="AO37" s="41" t="n"/>
      <c r="AP37" s="41" t="n"/>
      <c r="AQ37" s="41" t="n"/>
      <c r="AR37" s="41" t="n"/>
      <c r="AS37" s="41" t="n"/>
      <c r="AT37" s="37" t="n"/>
      <c r="AU37" s="10" t="inlineStr">
        <is>
          <t>PRD-0033</t>
        </is>
      </c>
    </row>
    <row r="38">
      <c r="A38" s="16">
        <f>IF($C38="","",IFERROR(IF(INDEX(tbl_Finance[Latest Invoice Date],MATCH($AU38,tbl_Finance[Row ID],0))="","",INDEX(tbl_Finance[Latest Invoice Date],MATCH($AU38,tbl_Finance[Row ID],0))),""))</f>
        <v/>
      </c>
      <c r="B38" s="10">
        <f>IF($C38="","",IFERROR(INDEX(tbl_Finance[Invoice Numbers],MATCH($AU38,tbl_Finance[Row ID],0))&amp;"",""))</f>
        <v/>
      </c>
      <c r="C38" s="37" t="n"/>
      <c r="D38" s="10">
        <f>IF($C38="","",IF(COUNTIF(lst_Jobs,$C38&amp;"")&gt;0,"OK","CHECK"))</f>
        <v/>
      </c>
      <c r="E38" s="10">
        <f>IF($C38="","",IFERROR(INDEX(lst_JobName,MATCH($C38&amp;"",lst_Jobs,0)),""))</f>
        <v/>
      </c>
      <c r="F38" s="37" t="n"/>
      <c r="G38" s="37" t="n"/>
      <c r="H38" s="37" t="n"/>
      <c r="I38" s="37" t="n"/>
      <c r="J38" s="37" t="n"/>
      <c r="K38" s="38">
        <f>IF($C38="","",IFERROR(N(INDEX(tbl_Finance[Invoice Count],MATCH($AU38,tbl_Finance[Row ID],0))),""))</f>
        <v/>
      </c>
      <c r="L38" s="11">
        <f>IF($C38="","",IFERROR(N(INDEX(tbl_Finance[Xero Invoiced Ex GST],MATCH($AU38,tbl_Finance[Row ID],0))),""))</f>
        <v/>
      </c>
      <c r="M38" s="10">
        <f>IF($C38="","",IFERROR(INDEX(tbl_Finance[Compare],MATCH($AU38,tbl_Finance[Row ID],0))&amp;"",""))</f>
        <v/>
      </c>
      <c r="N38" s="11">
        <f>IF($C38="","",MAX(0,N(O38)-N(L38)))</f>
        <v/>
      </c>
      <c r="O38" s="39" t="n"/>
      <c r="P38" s="40">
        <f>IF($C38="","",IF((IF(F38="",", Client","")&amp;IF(G38="",", Description","")&amp;IF(H38="",", Cost Centre","")&amp;IF(I38="",", Invoice Type","")&amp;IF(J38="",", Tax Code","")&amp;IF(O38="",", Expected Revenue","")&amp;IF(COUNTIF(tbl_Finance[Job Number],$C38&amp;"")&gt;1,", Job number used twice",""))="","Complete","Fix: "&amp;MID(IF(F38="",", Client","")&amp;IF(G38="",", Description","")&amp;IF(H38="",", Cost Centre","")&amp;IF(I38="",", Invoice Type","")&amp;IF(J38="",", Tax Code","")&amp;IF(O38="",", Expected Revenue","")&amp;IF(COUNTIF(tbl_Finance[Job Number],$C38&amp;"")&gt;1,", Job number used twice",""),3,300)))</f>
        <v/>
      </c>
      <c r="Q38" s="10">
        <f>IF($C38="","",IF(H38="","(no cost centre)",H38&amp;" - GL "&amp;IFERROR(INDEX(lst_CCtoGL,MATCH(H38,lst_CCforGL,0)),"?")))</f>
        <v/>
      </c>
      <c r="R38" s="11">
        <f>IF($C38="","",IFERROR(N(INDEX(tbl_Finance[Inc GST],MATCH($AU38,tbl_Finance[Row ID],0))),""))</f>
        <v/>
      </c>
      <c r="S38" s="37" t="n"/>
      <c r="T38" s="37" t="n"/>
      <c r="U38" s="37" t="n"/>
      <c r="V38" s="42" t="n"/>
      <c r="W38" s="37" t="n"/>
      <c r="X38" s="10">
        <f>IF(W38="","",IF(AND(LEFT(W38,4)&lt;&gt;"http",set_RMSBase=""),"",HYPERLINK(IF(LEFT(W38,4)="http",W38,set_RMSBase&amp;W38),"Open in RMS")))</f>
        <v/>
      </c>
      <c r="Y38" s="37" t="n"/>
      <c r="Z38" s="10">
        <f>IF(Y38="","",HYPERLINK(IF(LEFT(Y38,4)="http",Y38,set_QwilrBase&amp;Y38),"Open quote"))</f>
        <v/>
      </c>
      <c r="AA38" s="10">
        <f>IF(C38="","",C38)</f>
        <v/>
      </c>
      <c r="AB38" s="37" t="n"/>
      <c r="AC38" s="39" t="n"/>
      <c r="AD38" s="11">
        <f>IF(C38="","",N(L38)+N(AC38))</f>
        <v/>
      </c>
      <c r="AE38" s="43">
        <f>IFERROR(IF(N(AC38)=0,"",AC38/AD38),"")</f>
        <v/>
      </c>
      <c r="AF38" s="39" t="n"/>
      <c r="AG38" s="39" t="n"/>
      <c r="AH38" s="39" t="n"/>
      <c r="AI38" s="39" t="n"/>
      <c r="AJ38" s="11">
        <f>IF(C38="","",IF(H38="VIDEO",N(L38),0))</f>
        <v/>
      </c>
      <c r="AK38" s="43">
        <f>IFERROR(IF(N(L38)=0,"",AJ38/L38),"")</f>
        <v/>
      </c>
      <c r="AL38" s="11">
        <f>IF(C38="","",N(AF38)+N(AG38)+N(AH38)+N(AI38))</f>
        <v/>
      </c>
      <c r="AM38" s="11">
        <f>IF(C38="","",MAX(N(L38),N(O38))-N(AL38))</f>
        <v/>
      </c>
      <c r="AN38" s="43">
        <f>IFERROR(IF(MAX(N(L38),N(O38))=0,"",AM38/MAX(N(L38),N(O38))),"")</f>
        <v/>
      </c>
      <c r="AO38" s="41" t="n"/>
      <c r="AP38" s="41" t="n"/>
      <c r="AQ38" s="41" t="n"/>
      <c r="AR38" s="41" t="n"/>
      <c r="AS38" s="41" t="n"/>
      <c r="AT38" s="37" t="n"/>
      <c r="AU38" s="10" t="inlineStr">
        <is>
          <t>PRD-0034</t>
        </is>
      </c>
    </row>
    <row r="39">
      <c r="A39" s="16">
        <f>IF($C39="","",IFERROR(IF(INDEX(tbl_Finance[Latest Invoice Date],MATCH($AU39,tbl_Finance[Row ID],0))="","",INDEX(tbl_Finance[Latest Invoice Date],MATCH($AU39,tbl_Finance[Row ID],0))),""))</f>
        <v/>
      </c>
      <c r="B39" s="10">
        <f>IF($C39="","",IFERROR(INDEX(tbl_Finance[Invoice Numbers],MATCH($AU39,tbl_Finance[Row ID],0))&amp;"",""))</f>
        <v/>
      </c>
      <c r="C39" s="37" t="n"/>
      <c r="D39" s="10">
        <f>IF($C39="","",IF(COUNTIF(lst_Jobs,$C39&amp;"")&gt;0,"OK","CHECK"))</f>
        <v/>
      </c>
      <c r="E39" s="10">
        <f>IF($C39="","",IFERROR(INDEX(lst_JobName,MATCH($C39&amp;"",lst_Jobs,0)),""))</f>
        <v/>
      </c>
      <c r="F39" s="37" t="n"/>
      <c r="G39" s="37" t="n"/>
      <c r="H39" s="37" t="n"/>
      <c r="I39" s="37" t="n"/>
      <c r="J39" s="37" t="n"/>
      <c r="K39" s="38">
        <f>IF($C39="","",IFERROR(N(INDEX(tbl_Finance[Invoice Count],MATCH($AU39,tbl_Finance[Row ID],0))),""))</f>
        <v/>
      </c>
      <c r="L39" s="11">
        <f>IF($C39="","",IFERROR(N(INDEX(tbl_Finance[Xero Invoiced Ex GST],MATCH($AU39,tbl_Finance[Row ID],0))),""))</f>
        <v/>
      </c>
      <c r="M39" s="10">
        <f>IF($C39="","",IFERROR(INDEX(tbl_Finance[Compare],MATCH($AU39,tbl_Finance[Row ID],0))&amp;"",""))</f>
        <v/>
      </c>
      <c r="N39" s="11">
        <f>IF($C39="","",MAX(0,N(O39)-N(L39)))</f>
        <v/>
      </c>
      <c r="O39" s="39" t="n"/>
      <c r="P39" s="40">
        <f>IF($C39="","",IF((IF(F39="",", Client","")&amp;IF(G39="",", Description","")&amp;IF(H39="",", Cost Centre","")&amp;IF(I39="",", Invoice Type","")&amp;IF(J39="",", Tax Code","")&amp;IF(O39="",", Expected Revenue","")&amp;IF(COUNTIF(tbl_Finance[Job Number],$C39&amp;"")&gt;1,", Job number used twice",""))="","Complete","Fix: "&amp;MID(IF(F39="",", Client","")&amp;IF(G39="",", Description","")&amp;IF(H39="",", Cost Centre","")&amp;IF(I39="",", Invoice Type","")&amp;IF(J39="",", Tax Code","")&amp;IF(O39="",", Expected Revenue","")&amp;IF(COUNTIF(tbl_Finance[Job Number],$C39&amp;"")&gt;1,", Job number used twice",""),3,300)))</f>
        <v/>
      </c>
      <c r="Q39" s="10">
        <f>IF($C39="","",IF(H39="","(no cost centre)",H39&amp;" - GL "&amp;IFERROR(INDEX(lst_CCtoGL,MATCH(H39,lst_CCforGL,0)),"?")))</f>
        <v/>
      </c>
      <c r="R39" s="11">
        <f>IF($C39="","",IFERROR(N(INDEX(tbl_Finance[Inc GST],MATCH($AU39,tbl_Finance[Row ID],0))),""))</f>
        <v/>
      </c>
      <c r="S39" s="37" t="n"/>
      <c r="T39" s="37" t="n"/>
      <c r="U39" s="37" t="n"/>
      <c r="V39" s="42" t="n"/>
      <c r="W39" s="37" t="n"/>
      <c r="X39" s="10">
        <f>IF(W39="","",IF(AND(LEFT(W39,4)&lt;&gt;"http",set_RMSBase=""),"",HYPERLINK(IF(LEFT(W39,4)="http",W39,set_RMSBase&amp;W39),"Open in RMS")))</f>
        <v/>
      </c>
      <c r="Y39" s="37" t="n"/>
      <c r="Z39" s="10">
        <f>IF(Y39="","",HYPERLINK(IF(LEFT(Y39,4)="http",Y39,set_QwilrBase&amp;Y39),"Open quote"))</f>
        <v/>
      </c>
      <c r="AA39" s="10">
        <f>IF(C39="","",C39)</f>
        <v/>
      </c>
      <c r="AB39" s="37" t="n"/>
      <c r="AC39" s="39" t="n"/>
      <c r="AD39" s="11">
        <f>IF(C39="","",N(L39)+N(AC39))</f>
        <v/>
      </c>
      <c r="AE39" s="43">
        <f>IFERROR(IF(N(AC39)=0,"",AC39/AD39),"")</f>
        <v/>
      </c>
      <c r="AF39" s="39" t="n"/>
      <c r="AG39" s="39" t="n"/>
      <c r="AH39" s="39" t="n"/>
      <c r="AI39" s="39" t="n"/>
      <c r="AJ39" s="11">
        <f>IF(C39="","",IF(H39="VIDEO",N(L39),0))</f>
        <v/>
      </c>
      <c r="AK39" s="43">
        <f>IFERROR(IF(N(L39)=0,"",AJ39/L39),"")</f>
        <v/>
      </c>
      <c r="AL39" s="11">
        <f>IF(C39="","",N(AF39)+N(AG39)+N(AH39)+N(AI39))</f>
        <v/>
      </c>
      <c r="AM39" s="11">
        <f>IF(C39="","",MAX(N(L39),N(O39))-N(AL39))</f>
        <v/>
      </c>
      <c r="AN39" s="43">
        <f>IFERROR(IF(MAX(N(L39),N(O39))=0,"",AM39/MAX(N(L39),N(O39))),"")</f>
        <v/>
      </c>
      <c r="AO39" s="41" t="n"/>
      <c r="AP39" s="41" t="n"/>
      <c r="AQ39" s="41" t="n"/>
      <c r="AR39" s="41" t="n"/>
      <c r="AS39" s="41" t="n"/>
      <c r="AT39" s="37" t="n"/>
      <c r="AU39" s="10" t="inlineStr">
        <is>
          <t>PRD-0035</t>
        </is>
      </c>
    </row>
    <row r="40">
      <c r="A40" s="16">
        <f>IF($C40="","",IFERROR(IF(INDEX(tbl_Finance[Latest Invoice Date],MATCH($AU40,tbl_Finance[Row ID],0))="","",INDEX(tbl_Finance[Latest Invoice Date],MATCH($AU40,tbl_Finance[Row ID],0))),""))</f>
        <v/>
      </c>
      <c r="B40" s="10">
        <f>IF($C40="","",IFERROR(INDEX(tbl_Finance[Invoice Numbers],MATCH($AU40,tbl_Finance[Row ID],0))&amp;"",""))</f>
        <v/>
      </c>
      <c r="C40" s="37" t="n"/>
      <c r="D40" s="10">
        <f>IF($C40="","",IF(COUNTIF(lst_Jobs,$C40&amp;"")&gt;0,"OK","CHECK"))</f>
        <v/>
      </c>
      <c r="E40" s="10">
        <f>IF($C40="","",IFERROR(INDEX(lst_JobName,MATCH($C40&amp;"",lst_Jobs,0)),""))</f>
        <v/>
      </c>
      <c r="F40" s="37" t="n"/>
      <c r="G40" s="37" t="n"/>
      <c r="H40" s="37" t="n"/>
      <c r="I40" s="37" t="n"/>
      <c r="J40" s="37" t="n"/>
      <c r="K40" s="38">
        <f>IF($C40="","",IFERROR(N(INDEX(tbl_Finance[Invoice Count],MATCH($AU40,tbl_Finance[Row ID],0))),""))</f>
        <v/>
      </c>
      <c r="L40" s="11">
        <f>IF($C40="","",IFERROR(N(INDEX(tbl_Finance[Xero Invoiced Ex GST],MATCH($AU40,tbl_Finance[Row ID],0))),""))</f>
        <v/>
      </c>
      <c r="M40" s="10">
        <f>IF($C40="","",IFERROR(INDEX(tbl_Finance[Compare],MATCH($AU40,tbl_Finance[Row ID],0))&amp;"",""))</f>
        <v/>
      </c>
      <c r="N40" s="11">
        <f>IF($C40="","",MAX(0,N(O40)-N(L40)))</f>
        <v/>
      </c>
      <c r="O40" s="39" t="n"/>
      <c r="P40" s="40">
        <f>IF($C40="","",IF((IF(F40="",", Client","")&amp;IF(G40="",", Description","")&amp;IF(H40="",", Cost Centre","")&amp;IF(I40="",", Invoice Type","")&amp;IF(J40="",", Tax Code","")&amp;IF(O40="",", Expected Revenue","")&amp;IF(COUNTIF(tbl_Finance[Job Number],$C40&amp;"")&gt;1,", Job number used twice",""))="","Complete","Fix: "&amp;MID(IF(F40="",", Client","")&amp;IF(G40="",", Description","")&amp;IF(H40="",", Cost Centre","")&amp;IF(I40="",", Invoice Type","")&amp;IF(J40="",", Tax Code","")&amp;IF(O40="",", Expected Revenue","")&amp;IF(COUNTIF(tbl_Finance[Job Number],$C40&amp;"")&gt;1,", Job number used twice",""),3,300)))</f>
        <v/>
      </c>
      <c r="Q40" s="10">
        <f>IF($C40="","",IF(H40="","(no cost centre)",H40&amp;" - GL "&amp;IFERROR(INDEX(lst_CCtoGL,MATCH(H40,lst_CCforGL,0)),"?")))</f>
        <v/>
      </c>
      <c r="R40" s="11">
        <f>IF($C40="","",IFERROR(N(INDEX(tbl_Finance[Inc GST],MATCH($AU40,tbl_Finance[Row ID],0))),""))</f>
        <v/>
      </c>
      <c r="S40" s="37" t="n"/>
      <c r="T40" s="37" t="n"/>
      <c r="U40" s="37" t="n"/>
      <c r="V40" s="42" t="n"/>
      <c r="W40" s="37" t="n"/>
      <c r="X40" s="10">
        <f>IF(W40="","",IF(AND(LEFT(W40,4)&lt;&gt;"http",set_RMSBase=""),"",HYPERLINK(IF(LEFT(W40,4)="http",W40,set_RMSBase&amp;W40),"Open in RMS")))</f>
        <v/>
      </c>
      <c r="Y40" s="37" t="n"/>
      <c r="Z40" s="10">
        <f>IF(Y40="","",HYPERLINK(IF(LEFT(Y40,4)="http",Y40,set_QwilrBase&amp;Y40),"Open quote"))</f>
        <v/>
      </c>
      <c r="AA40" s="10">
        <f>IF(C40="","",C40)</f>
        <v/>
      </c>
      <c r="AB40" s="37" t="n"/>
      <c r="AC40" s="39" t="n"/>
      <c r="AD40" s="11">
        <f>IF(C40="","",N(L40)+N(AC40))</f>
        <v/>
      </c>
      <c r="AE40" s="43">
        <f>IFERROR(IF(N(AC40)=0,"",AC40/AD40),"")</f>
        <v/>
      </c>
      <c r="AF40" s="39" t="n"/>
      <c r="AG40" s="39" t="n"/>
      <c r="AH40" s="39" t="n"/>
      <c r="AI40" s="39" t="n"/>
      <c r="AJ40" s="11">
        <f>IF(C40="","",IF(H40="VIDEO",N(L40),0))</f>
        <v/>
      </c>
      <c r="AK40" s="43">
        <f>IFERROR(IF(N(L40)=0,"",AJ40/L40),"")</f>
        <v/>
      </c>
      <c r="AL40" s="11">
        <f>IF(C40="","",N(AF40)+N(AG40)+N(AH40)+N(AI40))</f>
        <v/>
      </c>
      <c r="AM40" s="11">
        <f>IF(C40="","",MAX(N(L40),N(O40))-N(AL40))</f>
        <v/>
      </c>
      <c r="AN40" s="43">
        <f>IFERROR(IF(MAX(N(L40),N(O40))=0,"",AM40/MAX(N(L40),N(O40))),"")</f>
        <v/>
      </c>
      <c r="AO40" s="41" t="n"/>
      <c r="AP40" s="41" t="n"/>
      <c r="AQ40" s="41" t="n"/>
      <c r="AR40" s="41" t="n"/>
      <c r="AS40" s="41" t="n"/>
      <c r="AT40" s="37" t="n"/>
      <c r="AU40" s="10" t="inlineStr">
        <is>
          <t>PRD-0036</t>
        </is>
      </c>
    </row>
    <row r="41">
      <c r="A41" s="16">
        <f>IF($C41="","",IFERROR(IF(INDEX(tbl_Finance[Latest Invoice Date],MATCH($AU41,tbl_Finance[Row ID],0))="","",INDEX(tbl_Finance[Latest Invoice Date],MATCH($AU41,tbl_Finance[Row ID],0))),""))</f>
        <v/>
      </c>
      <c r="B41" s="10">
        <f>IF($C41="","",IFERROR(INDEX(tbl_Finance[Invoice Numbers],MATCH($AU41,tbl_Finance[Row ID],0))&amp;"",""))</f>
        <v/>
      </c>
      <c r="C41" s="37" t="n"/>
      <c r="D41" s="10">
        <f>IF($C41="","",IF(COUNTIF(lst_Jobs,$C41&amp;"")&gt;0,"OK","CHECK"))</f>
        <v/>
      </c>
      <c r="E41" s="10">
        <f>IF($C41="","",IFERROR(INDEX(lst_JobName,MATCH($C41&amp;"",lst_Jobs,0)),""))</f>
        <v/>
      </c>
      <c r="F41" s="37" t="n"/>
      <c r="G41" s="37" t="n"/>
      <c r="H41" s="37" t="n"/>
      <c r="I41" s="37" t="n"/>
      <c r="J41" s="37" t="n"/>
      <c r="K41" s="38">
        <f>IF($C41="","",IFERROR(N(INDEX(tbl_Finance[Invoice Count],MATCH($AU41,tbl_Finance[Row ID],0))),""))</f>
        <v/>
      </c>
      <c r="L41" s="11">
        <f>IF($C41="","",IFERROR(N(INDEX(tbl_Finance[Xero Invoiced Ex GST],MATCH($AU41,tbl_Finance[Row ID],0))),""))</f>
        <v/>
      </c>
      <c r="M41" s="10">
        <f>IF($C41="","",IFERROR(INDEX(tbl_Finance[Compare],MATCH($AU41,tbl_Finance[Row ID],0))&amp;"",""))</f>
        <v/>
      </c>
      <c r="N41" s="11">
        <f>IF($C41="","",MAX(0,N(O41)-N(L41)))</f>
        <v/>
      </c>
      <c r="O41" s="39" t="n"/>
      <c r="P41" s="40">
        <f>IF($C41="","",IF((IF(F41="",", Client","")&amp;IF(G41="",", Description","")&amp;IF(H41="",", Cost Centre","")&amp;IF(I41="",", Invoice Type","")&amp;IF(J41="",", Tax Code","")&amp;IF(O41="",", Expected Revenue","")&amp;IF(COUNTIF(tbl_Finance[Job Number],$C41&amp;"")&gt;1,", Job number used twice",""))="","Complete","Fix: "&amp;MID(IF(F41="",", Client","")&amp;IF(G41="",", Description","")&amp;IF(H41="",", Cost Centre","")&amp;IF(I41="",", Invoice Type","")&amp;IF(J41="",", Tax Code","")&amp;IF(O41="",", Expected Revenue","")&amp;IF(COUNTIF(tbl_Finance[Job Number],$C41&amp;"")&gt;1,", Job number used twice",""),3,300)))</f>
        <v/>
      </c>
      <c r="Q41" s="10">
        <f>IF($C41="","",IF(H41="","(no cost centre)",H41&amp;" - GL "&amp;IFERROR(INDEX(lst_CCtoGL,MATCH(H41,lst_CCforGL,0)),"?")))</f>
        <v/>
      </c>
      <c r="R41" s="11">
        <f>IF($C41="","",IFERROR(N(INDEX(tbl_Finance[Inc GST],MATCH($AU41,tbl_Finance[Row ID],0))),""))</f>
        <v/>
      </c>
      <c r="S41" s="37" t="n"/>
      <c r="T41" s="37" t="n"/>
      <c r="U41" s="37" t="n"/>
      <c r="V41" s="42" t="n"/>
      <c r="W41" s="37" t="n"/>
      <c r="X41" s="10">
        <f>IF(W41="","",IF(AND(LEFT(W41,4)&lt;&gt;"http",set_RMSBase=""),"",HYPERLINK(IF(LEFT(W41,4)="http",W41,set_RMSBase&amp;W41),"Open in RMS")))</f>
        <v/>
      </c>
      <c r="Y41" s="37" t="n"/>
      <c r="Z41" s="10">
        <f>IF(Y41="","",HYPERLINK(IF(LEFT(Y41,4)="http",Y41,set_QwilrBase&amp;Y41),"Open quote"))</f>
        <v/>
      </c>
      <c r="AA41" s="10">
        <f>IF(C41="","",C41)</f>
        <v/>
      </c>
      <c r="AB41" s="37" t="n"/>
      <c r="AC41" s="39" t="n"/>
      <c r="AD41" s="11">
        <f>IF(C41="","",N(L41)+N(AC41))</f>
        <v/>
      </c>
      <c r="AE41" s="43">
        <f>IFERROR(IF(N(AC41)=0,"",AC41/AD41),"")</f>
        <v/>
      </c>
      <c r="AF41" s="39" t="n"/>
      <c r="AG41" s="39" t="n"/>
      <c r="AH41" s="39" t="n"/>
      <c r="AI41" s="39" t="n"/>
      <c r="AJ41" s="11">
        <f>IF(C41="","",IF(H41="VIDEO",N(L41),0))</f>
        <v/>
      </c>
      <c r="AK41" s="43">
        <f>IFERROR(IF(N(L41)=0,"",AJ41/L41),"")</f>
        <v/>
      </c>
      <c r="AL41" s="11">
        <f>IF(C41="","",N(AF41)+N(AG41)+N(AH41)+N(AI41))</f>
        <v/>
      </c>
      <c r="AM41" s="11">
        <f>IF(C41="","",MAX(N(L41),N(O41))-N(AL41))</f>
        <v/>
      </c>
      <c r="AN41" s="43">
        <f>IFERROR(IF(MAX(N(L41),N(O41))=0,"",AM41/MAX(N(L41),N(O41))),"")</f>
        <v/>
      </c>
      <c r="AO41" s="41" t="n"/>
      <c r="AP41" s="41" t="n"/>
      <c r="AQ41" s="41" t="n"/>
      <c r="AR41" s="41" t="n"/>
      <c r="AS41" s="41" t="n"/>
      <c r="AT41" s="37" t="n"/>
      <c r="AU41" s="10" t="inlineStr">
        <is>
          <t>PRD-0037</t>
        </is>
      </c>
    </row>
    <row r="42">
      <c r="A42" s="16">
        <f>IF($C42="","",IFERROR(IF(INDEX(tbl_Finance[Latest Invoice Date],MATCH($AU42,tbl_Finance[Row ID],0))="","",INDEX(tbl_Finance[Latest Invoice Date],MATCH($AU42,tbl_Finance[Row ID],0))),""))</f>
        <v/>
      </c>
      <c r="B42" s="10">
        <f>IF($C42="","",IFERROR(INDEX(tbl_Finance[Invoice Numbers],MATCH($AU42,tbl_Finance[Row ID],0))&amp;"",""))</f>
        <v/>
      </c>
      <c r="C42" s="37" t="n"/>
      <c r="D42" s="10">
        <f>IF($C42="","",IF(COUNTIF(lst_Jobs,$C42&amp;"")&gt;0,"OK","CHECK"))</f>
        <v/>
      </c>
      <c r="E42" s="10">
        <f>IF($C42="","",IFERROR(INDEX(lst_JobName,MATCH($C42&amp;"",lst_Jobs,0)),""))</f>
        <v/>
      </c>
      <c r="F42" s="37" t="n"/>
      <c r="G42" s="37" t="n"/>
      <c r="H42" s="37" t="n"/>
      <c r="I42" s="37" t="n"/>
      <c r="J42" s="37" t="n"/>
      <c r="K42" s="38">
        <f>IF($C42="","",IFERROR(N(INDEX(tbl_Finance[Invoice Count],MATCH($AU42,tbl_Finance[Row ID],0))),""))</f>
        <v/>
      </c>
      <c r="L42" s="11">
        <f>IF($C42="","",IFERROR(N(INDEX(tbl_Finance[Xero Invoiced Ex GST],MATCH($AU42,tbl_Finance[Row ID],0))),""))</f>
        <v/>
      </c>
      <c r="M42" s="10">
        <f>IF($C42="","",IFERROR(INDEX(tbl_Finance[Compare],MATCH($AU42,tbl_Finance[Row ID],0))&amp;"",""))</f>
        <v/>
      </c>
      <c r="N42" s="11">
        <f>IF($C42="","",MAX(0,N(O42)-N(L42)))</f>
        <v/>
      </c>
      <c r="O42" s="39" t="n"/>
      <c r="P42" s="40">
        <f>IF($C42="","",IF((IF(F42="",", Client","")&amp;IF(G42="",", Description","")&amp;IF(H42="",", Cost Centre","")&amp;IF(I42="",", Invoice Type","")&amp;IF(J42="",", Tax Code","")&amp;IF(O42="",", Expected Revenue","")&amp;IF(COUNTIF(tbl_Finance[Job Number],$C42&amp;"")&gt;1,", Job number used twice",""))="","Complete","Fix: "&amp;MID(IF(F42="",", Client","")&amp;IF(G42="",", Description","")&amp;IF(H42="",", Cost Centre","")&amp;IF(I42="",", Invoice Type","")&amp;IF(J42="",", Tax Code","")&amp;IF(O42="",", Expected Revenue","")&amp;IF(COUNTIF(tbl_Finance[Job Number],$C42&amp;"")&gt;1,", Job number used twice",""),3,300)))</f>
        <v/>
      </c>
      <c r="Q42" s="10">
        <f>IF($C42="","",IF(H42="","(no cost centre)",H42&amp;" - GL "&amp;IFERROR(INDEX(lst_CCtoGL,MATCH(H42,lst_CCforGL,0)),"?")))</f>
        <v/>
      </c>
      <c r="R42" s="11">
        <f>IF($C42="","",IFERROR(N(INDEX(tbl_Finance[Inc GST],MATCH($AU42,tbl_Finance[Row ID],0))),""))</f>
        <v/>
      </c>
      <c r="S42" s="37" t="n"/>
      <c r="T42" s="37" t="n"/>
      <c r="U42" s="37" t="n"/>
      <c r="V42" s="42" t="n"/>
      <c r="W42" s="37" t="n"/>
      <c r="X42" s="10">
        <f>IF(W42="","",IF(AND(LEFT(W42,4)&lt;&gt;"http",set_RMSBase=""),"",HYPERLINK(IF(LEFT(W42,4)="http",W42,set_RMSBase&amp;W42),"Open in RMS")))</f>
        <v/>
      </c>
      <c r="Y42" s="37" t="n"/>
      <c r="Z42" s="10">
        <f>IF(Y42="","",HYPERLINK(IF(LEFT(Y42,4)="http",Y42,set_QwilrBase&amp;Y42),"Open quote"))</f>
        <v/>
      </c>
      <c r="AA42" s="10">
        <f>IF(C42="","",C42)</f>
        <v/>
      </c>
      <c r="AB42" s="37" t="n"/>
      <c r="AC42" s="39" t="n"/>
      <c r="AD42" s="11">
        <f>IF(C42="","",N(L42)+N(AC42))</f>
        <v/>
      </c>
      <c r="AE42" s="43">
        <f>IFERROR(IF(N(AC42)=0,"",AC42/AD42),"")</f>
        <v/>
      </c>
      <c r="AF42" s="39" t="n"/>
      <c r="AG42" s="39" t="n"/>
      <c r="AH42" s="39" t="n"/>
      <c r="AI42" s="39" t="n"/>
      <c r="AJ42" s="11">
        <f>IF(C42="","",IF(H42="VIDEO",N(L42),0))</f>
        <v/>
      </c>
      <c r="AK42" s="43">
        <f>IFERROR(IF(N(L42)=0,"",AJ42/L42),"")</f>
        <v/>
      </c>
      <c r="AL42" s="11">
        <f>IF(C42="","",N(AF42)+N(AG42)+N(AH42)+N(AI42))</f>
        <v/>
      </c>
      <c r="AM42" s="11">
        <f>IF(C42="","",MAX(N(L42),N(O42))-N(AL42))</f>
        <v/>
      </c>
      <c r="AN42" s="43">
        <f>IFERROR(IF(MAX(N(L42),N(O42))=0,"",AM42/MAX(N(L42),N(O42))),"")</f>
        <v/>
      </c>
      <c r="AO42" s="41" t="n"/>
      <c r="AP42" s="41" t="n"/>
      <c r="AQ42" s="41" t="n"/>
      <c r="AR42" s="41" t="n"/>
      <c r="AS42" s="41" t="n"/>
      <c r="AT42" s="37" t="n"/>
      <c r="AU42" s="10" t="inlineStr">
        <is>
          <t>PRD-0038</t>
        </is>
      </c>
    </row>
    <row r="43">
      <c r="A43" s="16">
        <f>IF($C43="","",IFERROR(IF(INDEX(tbl_Finance[Latest Invoice Date],MATCH($AU43,tbl_Finance[Row ID],0))="","",INDEX(tbl_Finance[Latest Invoice Date],MATCH($AU43,tbl_Finance[Row ID],0))),""))</f>
        <v/>
      </c>
      <c r="B43" s="10">
        <f>IF($C43="","",IFERROR(INDEX(tbl_Finance[Invoice Numbers],MATCH($AU43,tbl_Finance[Row ID],0))&amp;"",""))</f>
        <v/>
      </c>
      <c r="C43" s="37" t="n"/>
      <c r="D43" s="10">
        <f>IF($C43="","",IF(COUNTIF(lst_Jobs,$C43&amp;"")&gt;0,"OK","CHECK"))</f>
        <v/>
      </c>
      <c r="E43" s="10">
        <f>IF($C43="","",IFERROR(INDEX(lst_JobName,MATCH($C43&amp;"",lst_Jobs,0)),""))</f>
        <v/>
      </c>
      <c r="F43" s="37" t="n"/>
      <c r="G43" s="37" t="n"/>
      <c r="H43" s="37" t="n"/>
      <c r="I43" s="37" t="n"/>
      <c r="J43" s="37" t="n"/>
      <c r="K43" s="38">
        <f>IF($C43="","",IFERROR(N(INDEX(tbl_Finance[Invoice Count],MATCH($AU43,tbl_Finance[Row ID],0))),""))</f>
        <v/>
      </c>
      <c r="L43" s="11">
        <f>IF($C43="","",IFERROR(N(INDEX(tbl_Finance[Xero Invoiced Ex GST],MATCH($AU43,tbl_Finance[Row ID],0))),""))</f>
        <v/>
      </c>
      <c r="M43" s="10">
        <f>IF($C43="","",IFERROR(INDEX(tbl_Finance[Compare],MATCH($AU43,tbl_Finance[Row ID],0))&amp;"",""))</f>
        <v/>
      </c>
      <c r="N43" s="11">
        <f>IF($C43="","",MAX(0,N(O43)-N(L43)))</f>
        <v/>
      </c>
      <c r="O43" s="39" t="n"/>
      <c r="P43" s="40">
        <f>IF($C43="","",IF((IF(F43="",", Client","")&amp;IF(G43="",", Description","")&amp;IF(H43="",", Cost Centre","")&amp;IF(I43="",", Invoice Type","")&amp;IF(J43="",", Tax Code","")&amp;IF(O43="",", Expected Revenue","")&amp;IF(COUNTIF(tbl_Finance[Job Number],$C43&amp;"")&gt;1,", Job number used twice",""))="","Complete","Fix: "&amp;MID(IF(F43="",", Client","")&amp;IF(G43="",", Description","")&amp;IF(H43="",", Cost Centre","")&amp;IF(I43="",", Invoice Type","")&amp;IF(J43="",", Tax Code","")&amp;IF(O43="",", Expected Revenue","")&amp;IF(COUNTIF(tbl_Finance[Job Number],$C43&amp;"")&gt;1,", Job number used twice",""),3,300)))</f>
        <v/>
      </c>
      <c r="Q43" s="10">
        <f>IF($C43="","",IF(H43="","(no cost centre)",H43&amp;" - GL "&amp;IFERROR(INDEX(lst_CCtoGL,MATCH(H43,lst_CCforGL,0)),"?")))</f>
        <v/>
      </c>
      <c r="R43" s="11">
        <f>IF($C43="","",IFERROR(N(INDEX(tbl_Finance[Inc GST],MATCH($AU43,tbl_Finance[Row ID],0))),""))</f>
        <v/>
      </c>
      <c r="S43" s="37" t="n"/>
      <c r="T43" s="37" t="n"/>
      <c r="U43" s="37" t="n"/>
      <c r="V43" s="42" t="n"/>
      <c r="W43" s="37" t="n"/>
      <c r="X43" s="10">
        <f>IF(W43="","",IF(AND(LEFT(W43,4)&lt;&gt;"http",set_RMSBase=""),"",HYPERLINK(IF(LEFT(W43,4)="http",W43,set_RMSBase&amp;W43),"Open in RMS")))</f>
        <v/>
      </c>
      <c r="Y43" s="37" t="n"/>
      <c r="Z43" s="10">
        <f>IF(Y43="","",HYPERLINK(IF(LEFT(Y43,4)="http",Y43,set_QwilrBase&amp;Y43),"Open quote"))</f>
        <v/>
      </c>
      <c r="AA43" s="10">
        <f>IF(C43="","",C43)</f>
        <v/>
      </c>
      <c r="AB43" s="37" t="n"/>
      <c r="AC43" s="39" t="n"/>
      <c r="AD43" s="11">
        <f>IF(C43="","",N(L43)+N(AC43))</f>
        <v/>
      </c>
      <c r="AE43" s="43">
        <f>IFERROR(IF(N(AC43)=0,"",AC43/AD43),"")</f>
        <v/>
      </c>
      <c r="AF43" s="39" t="n"/>
      <c r="AG43" s="39" t="n"/>
      <c r="AH43" s="39" t="n"/>
      <c r="AI43" s="39" t="n"/>
      <c r="AJ43" s="11">
        <f>IF(C43="","",IF(H43="VIDEO",N(L43),0))</f>
        <v/>
      </c>
      <c r="AK43" s="43">
        <f>IFERROR(IF(N(L43)=0,"",AJ43/L43),"")</f>
        <v/>
      </c>
      <c r="AL43" s="11">
        <f>IF(C43="","",N(AF43)+N(AG43)+N(AH43)+N(AI43))</f>
        <v/>
      </c>
      <c r="AM43" s="11">
        <f>IF(C43="","",MAX(N(L43),N(O43))-N(AL43))</f>
        <v/>
      </c>
      <c r="AN43" s="43">
        <f>IFERROR(IF(MAX(N(L43),N(O43))=0,"",AM43/MAX(N(L43),N(O43))),"")</f>
        <v/>
      </c>
      <c r="AO43" s="41" t="n"/>
      <c r="AP43" s="41" t="n"/>
      <c r="AQ43" s="41" t="n"/>
      <c r="AR43" s="41" t="n"/>
      <c r="AS43" s="41" t="n"/>
      <c r="AT43" s="37" t="n"/>
      <c r="AU43" s="10" t="inlineStr">
        <is>
          <t>PRD-0039</t>
        </is>
      </c>
    </row>
    <row r="44">
      <c r="A44" s="16">
        <f>IF($C44="","",IFERROR(IF(INDEX(tbl_Finance[Latest Invoice Date],MATCH($AU44,tbl_Finance[Row ID],0))="","",INDEX(tbl_Finance[Latest Invoice Date],MATCH($AU44,tbl_Finance[Row ID],0))),""))</f>
        <v/>
      </c>
      <c r="B44" s="10">
        <f>IF($C44="","",IFERROR(INDEX(tbl_Finance[Invoice Numbers],MATCH($AU44,tbl_Finance[Row ID],0))&amp;"",""))</f>
        <v/>
      </c>
      <c r="C44" s="37" t="n"/>
      <c r="D44" s="10">
        <f>IF($C44="","",IF(COUNTIF(lst_Jobs,$C44&amp;"")&gt;0,"OK","CHECK"))</f>
        <v/>
      </c>
      <c r="E44" s="10">
        <f>IF($C44="","",IFERROR(INDEX(lst_JobName,MATCH($C44&amp;"",lst_Jobs,0)),""))</f>
        <v/>
      </c>
      <c r="F44" s="37" t="n"/>
      <c r="G44" s="37" t="n"/>
      <c r="H44" s="37" t="n"/>
      <c r="I44" s="37" t="n"/>
      <c r="J44" s="37" t="n"/>
      <c r="K44" s="38">
        <f>IF($C44="","",IFERROR(N(INDEX(tbl_Finance[Invoice Count],MATCH($AU44,tbl_Finance[Row ID],0))),""))</f>
        <v/>
      </c>
      <c r="L44" s="11">
        <f>IF($C44="","",IFERROR(N(INDEX(tbl_Finance[Xero Invoiced Ex GST],MATCH($AU44,tbl_Finance[Row ID],0))),""))</f>
        <v/>
      </c>
      <c r="M44" s="10">
        <f>IF($C44="","",IFERROR(INDEX(tbl_Finance[Compare],MATCH($AU44,tbl_Finance[Row ID],0))&amp;"",""))</f>
        <v/>
      </c>
      <c r="N44" s="11">
        <f>IF($C44="","",MAX(0,N(O44)-N(L44)))</f>
        <v/>
      </c>
      <c r="O44" s="39" t="n"/>
      <c r="P44" s="40">
        <f>IF($C44="","",IF((IF(F44="",", Client","")&amp;IF(G44="",", Description","")&amp;IF(H44="",", Cost Centre","")&amp;IF(I44="",", Invoice Type","")&amp;IF(J44="",", Tax Code","")&amp;IF(O44="",", Expected Revenue","")&amp;IF(COUNTIF(tbl_Finance[Job Number],$C44&amp;"")&gt;1,", Job number used twice",""))="","Complete","Fix: "&amp;MID(IF(F44="",", Client","")&amp;IF(G44="",", Description","")&amp;IF(H44="",", Cost Centre","")&amp;IF(I44="",", Invoice Type","")&amp;IF(J44="",", Tax Code","")&amp;IF(O44="",", Expected Revenue","")&amp;IF(COUNTIF(tbl_Finance[Job Number],$C44&amp;"")&gt;1,", Job number used twice",""),3,300)))</f>
        <v/>
      </c>
      <c r="Q44" s="10">
        <f>IF($C44="","",IF(H44="","(no cost centre)",H44&amp;" - GL "&amp;IFERROR(INDEX(lst_CCtoGL,MATCH(H44,lst_CCforGL,0)),"?")))</f>
        <v/>
      </c>
      <c r="R44" s="11">
        <f>IF($C44="","",IFERROR(N(INDEX(tbl_Finance[Inc GST],MATCH($AU44,tbl_Finance[Row ID],0))),""))</f>
        <v/>
      </c>
      <c r="S44" s="37" t="n"/>
      <c r="T44" s="37" t="n"/>
      <c r="U44" s="37" t="n"/>
      <c r="V44" s="42" t="n"/>
      <c r="W44" s="37" t="n"/>
      <c r="X44" s="10">
        <f>IF(W44="","",IF(AND(LEFT(W44,4)&lt;&gt;"http",set_RMSBase=""),"",HYPERLINK(IF(LEFT(W44,4)="http",W44,set_RMSBase&amp;W44),"Open in RMS")))</f>
        <v/>
      </c>
      <c r="Y44" s="37" t="n"/>
      <c r="Z44" s="10">
        <f>IF(Y44="","",HYPERLINK(IF(LEFT(Y44,4)="http",Y44,set_QwilrBase&amp;Y44),"Open quote"))</f>
        <v/>
      </c>
      <c r="AA44" s="10">
        <f>IF(C44="","",C44)</f>
        <v/>
      </c>
      <c r="AB44" s="37" t="n"/>
      <c r="AC44" s="39" t="n"/>
      <c r="AD44" s="11">
        <f>IF(C44="","",N(L44)+N(AC44))</f>
        <v/>
      </c>
      <c r="AE44" s="43">
        <f>IFERROR(IF(N(AC44)=0,"",AC44/AD44),"")</f>
        <v/>
      </c>
      <c r="AF44" s="39" t="n"/>
      <c r="AG44" s="39" t="n"/>
      <c r="AH44" s="39" t="n"/>
      <c r="AI44" s="39" t="n"/>
      <c r="AJ44" s="11">
        <f>IF(C44="","",IF(H44="VIDEO",N(L44),0))</f>
        <v/>
      </c>
      <c r="AK44" s="43">
        <f>IFERROR(IF(N(L44)=0,"",AJ44/L44),"")</f>
        <v/>
      </c>
      <c r="AL44" s="11">
        <f>IF(C44="","",N(AF44)+N(AG44)+N(AH44)+N(AI44))</f>
        <v/>
      </c>
      <c r="AM44" s="11">
        <f>IF(C44="","",MAX(N(L44),N(O44))-N(AL44))</f>
        <v/>
      </c>
      <c r="AN44" s="43">
        <f>IFERROR(IF(MAX(N(L44),N(O44))=0,"",AM44/MAX(N(L44),N(O44))),"")</f>
        <v/>
      </c>
      <c r="AO44" s="41" t="n"/>
      <c r="AP44" s="41" t="n"/>
      <c r="AQ44" s="41" t="n"/>
      <c r="AR44" s="41" t="n"/>
      <c r="AS44" s="41" t="n"/>
      <c r="AT44" s="37" t="n"/>
      <c r="AU44" s="10" t="inlineStr">
        <is>
          <t>PRD-0040</t>
        </is>
      </c>
    </row>
    <row r="45">
      <c r="A45" s="16">
        <f>IF($C45="","",IFERROR(IF(INDEX(tbl_Finance[Latest Invoice Date],MATCH($AU45,tbl_Finance[Row ID],0))="","",INDEX(tbl_Finance[Latest Invoice Date],MATCH($AU45,tbl_Finance[Row ID],0))),""))</f>
        <v/>
      </c>
      <c r="B45" s="10">
        <f>IF($C45="","",IFERROR(INDEX(tbl_Finance[Invoice Numbers],MATCH($AU45,tbl_Finance[Row ID],0))&amp;"",""))</f>
        <v/>
      </c>
      <c r="C45" s="37" t="n"/>
      <c r="D45" s="10">
        <f>IF($C45="","",IF(COUNTIF(lst_Jobs,$C45&amp;"")&gt;0,"OK","CHECK"))</f>
        <v/>
      </c>
      <c r="E45" s="10">
        <f>IF($C45="","",IFERROR(INDEX(lst_JobName,MATCH($C45&amp;"",lst_Jobs,0)),""))</f>
        <v/>
      </c>
      <c r="F45" s="37" t="n"/>
      <c r="G45" s="37" t="n"/>
      <c r="H45" s="37" t="n"/>
      <c r="I45" s="37" t="n"/>
      <c r="J45" s="37" t="n"/>
      <c r="K45" s="38">
        <f>IF($C45="","",IFERROR(N(INDEX(tbl_Finance[Invoice Count],MATCH($AU45,tbl_Finance[Row ID],0))),""))</f>
        <v/>
      </c>
      <c r="L45" s="11">
        <f>IF($C45="","",IFERROR(N(INDEX(tbl_Finance[Xero Invoiced Ex GST],MATCH($AU45,tbl_Finance[Row ID],0))),""))</f>
        <v/>
      </c>
      <c r="M45" s="10">
        <f>IF($C45="","",IFERROR(INDEX(tbl_Finance[Compare],MATCH($AU45,tbl_Finance[Row ID],0))&amp;"",""))</f>
        <v/>
      </c>
      <c r="N45" s="11">
        <f>IF($C45="","",MAX(0,N(O45)-N(L45)))</f>
        <v/>
      </c>
      <c r="O45" s="39" t="n"/>
      <c r="P45" s="40">
        <f>IF($C45="","",IF((IF(F45="",", Client","")&amp;IF(G45="",", Description","")&amp;IF(H45="",", Cost Centre","")&amp;IF(I45="",", Invoice Type","")&amp;IF(J45="",", Tax Code","")&amp;IF(O45="",", Expected Revenue","")&amp;IF(COUNTIF(tbl_Finance[Job Number],$C45&amp;"")&gt;1,", Job number used twice",""))="","Complete","Fix: "&amp;MID(IF(F45="",", Client","")&amp;IF(G45="",", Description","")&amp;IF(H45="",", Cost Centre","")&amp;IF(I45="",", Invoice Type","")&amp;IF(J45="",", Tax Code","")&amp;IF(O45="",", Expected Revenue","")&amp;IF(COUNTIF(tbl_Finance[Job Number],$C45&amp;"")&gt;1,", Job number used twice",""),3,300)))</f>
        <v/>
      </c>
      <c r="Q45" s="10">
        <f>IF($C45="","",IF(H45="","(no cost centre)",H45&amp;" - GL "&amp;IFERROR(INDEX(lst_CCtoGL,MATCH(H45,lst_CCforGL,0)),"?")))</f>
        <v/>
      </c>
      <c r="R45" s="11">
        <f>IF($C45="","",IFERROR(N(INDEX(tbl_Finance[Inc GST],MATCH($AU45,tbl_Finance[Row ID],0))),""))</f>
        <v/>
      </c>
      <c r="S45" s="37" t="n"/>
      <c r="T45" s="37" t="n"/>
      <c r="U45" s="37" t="n"/>
      <c r="V45" s="42" t="n"/>
      <c r="W45" s="37" t="n"/>
      <c r="X45" s="10">
        <f>IF(W45="","",IF(AND(LEFT(W45,4)&lt;&gt;"http",set_RMSBase=""),"",HYPERLINK(IF(LEFT(W45,4)="http",W45,set_RMSBase&amp;W45),"Open in RMS")))</f>
        <v/>
      </c>
      <c r="Y45" s="37" t="n"/>
      <c r="Z45" s="10">
        <f>IF(Y45="","",HYPERLINK(IF(LEFT(Y45,4)="http",Y45,set_QwilrBase&amp;Y45),"Open quote"))</f>
        <v/>
      </c>
      <c r="AA45" s="10">
        <f>IF(C45="","",C45)</f>
        <v/>
      </c>
      <c r="AB45" s="37" t="n"/>
      <c r="AC45" s="39" t="n"/>
      <c r="AD45" s="11">
        <f>IF(C45="","",N(L45)+N(AC45))</f>
        <v/>
      </c>
      <c r="AE45" s="43">
        <f>IFERROR(IF(N(AC45)=0,"",AC45/AD45),"")</f>
        <v/>
      </c>
      <c r="AF45" s="39" t="n"/>
      <c r="AG45" s="39" t="n"/>
      <c r="AH45" s="39" t="n"/>
      <c r="AI45" s="39" t="n"/>
      <c r="AJ45" s="11">
        <f>IF(C45="","",IF(H45="VIDEO",N(L45),0))</f>
        <v/>
      </c>
      <c r="AK45" s="43">
        <f>IFERROR(IF(N(L45)=0,"",AJ45/L45),"")</f>
        <v/>
      </c>
      <c r="AL45" s="11">
        <f>IF(C45="","",N(AF45)+N(AG45)+N(AH45)+N(AI45))</f>
        <v/>
      </c>
      <c r="AM45" s="11">
        <f>IF(C45="","",MAX(N(L45),N(O45))-N(AL45))</f>
        <v/>
      </c>
      <c r="AN45" s="43">
        <f>IFERROR(IF(MAX(N(L45),N(O45))=0,"",AM45/MAX(N(L45),N(O45))),"")</f>
        <v/>
      </c>
      <c r="AO45" s="41" t="n"/>
      <c r="AP45" s="41" t="n"/>
      <c r="AQ45" s="41" t="n"/>
      <c r="AR45" s="41" t="n"/>
      <c r="AS45" s="41" t="n"/>
      <c r="AT45" s="37" t="n"/>
      <c r="AU45" s="10" t="inlineStr">
        <is>
          <t>PRD-0041</t>
        </is>
      </c>
    </row>
    <row r="46">
      <c r="A46" s="16">
        <f>IF($C46="","",IFERROR(IF(INDEX(tbl_Finance[Latest Invoice Date],MATCH($AU46,tbl_Finance[Row ID],0))="","",INDEX(tbl_Finance[Latest Invoice Date],MATCH($AU46,tbl_Finance[Row ID],0))),""))</f>
        <v/>
      </c>
      <c r="B46" s="10">
        <f>IF($C46="","",IFERROR(INDEX(tbl_Finance[Invoice Numbers],MATCH($AU46,tbl_Finance[Row ID],0))&amp;"",""))</f>
        <v/>
      </c>
      <c r="C46" s="37" t="n"/>
      <c r="D46" s="10">
        <f>IF($C46="","",IF(COUNTIF(lst_Jobs,$C46&amp;"")&gt;0,"OK","CHECK"))</f>
        <v/>
      </c>
      <c r="E46" s="10">
        <f>IF($C46="","",IFERROR(INDEX(lst_JobName,MATCH($C46&amp;"",lst_Jobs,0)),""))</f>
        <v/>
      </c>
      <c r="F46" s="37" t="n"/>
      <c r="G46" s="37" t="n"/>
      <c r="H46" s="37" t="n"/>
      <c r="I46" s="37" t="n"/>
      <c r="J46" s="37" t="n"/>
      <c r="K46" s="38">
        <f>IF($C46="","",IFERROR(N(INDEX(tbl_Finance[Invoice Count],MATCH($AU46,tbl_Finance[Row ID],0))),""))</f>
        <v/>
      </c>
      <c r="L46" s="11">
        <f>IF($C46="","",IFERROR(N(INDEX(tbl_Finance[Xero Invoiced Ex GST],MATCH($AU46,tbl_Finance[Row ID],0))),""))</f>
        <v/>
      </c>
      <c r="M46" s="10">
        <f>IF($C46="","",IFERROR(INDEX(tbl_Finance[Compare],MATCH($AU46,tbl_Finance[Row ID],0))&amp;"",""))</f>
        <v/>
      </c>
      <c r="N46" s="11">
        <f>IF($C46="","",MAX(0,N(O46)-N(L46)))</f>
        <v/>
      </c>
      <c r="O46" s="39" t="n"/>
      <c r="P46" s="40">
        <f>IF($C46="","",IF((IF(F46="",", Client","")&amp;IF(G46="",", Description","")&amp;IF(H46="",", Cost Centre","")&amp;IF(I46="",", Invoice Type","")&amp;IF(J46="",", Tax Code","")&amp;IF(O46="",", Expected Revenue","")&amp;IF(COUNTIF(tbl_Finance[Job Number],$C46&amp;"")&gt;1,", Job number used twice",""))="","Complete","Fix: "&amp;MID(IF(F46="",", Client","")&amp;IF(G46="",", Description","")&amp;IF(H46="",", Cost Centre","")&amp;IF(I46="",", Invoice Type","")&amp;IF(J46="",", Tax Code","")&amp;IF(O46="",", Expected Revenue","")&amp;IF(COUNTIF(tbl_Finance[Job Number],$C46&amp;"")&gt;1,", Job number used twice",""),3,300)))</f>
        <v/>
      </c>
      <c r="Q46" s="10">
        <f>IF($C46="","",IF(H46="","(no cost centre)",H46&amp;" - GL "&amp;IFERROR(INDEX(lst_CCtoGL,MATCH(H46,lst_CCforGL,0)),"?")))</f>
        <v/>
      </c>
      <c r="R46" s="11">
        <f>IF($C46="","",IFERROR(N(INDEX(tbl_Finance[Inc GST],MATCH($AU46,tbl_Finance[Row ID],0))),""))</f>
        <v/>
      </c>
      <c r="S46" s="37" t="n"/>
      <c r="T46" s="37" t="n"/>
      <c r="U46" s="37" t="n"/>
      <c r="V46" s="42" t="n"/>
      <c r="W46" s="37" t="n"/>
      <c r="X46" s="10">
        <f>IF(W46="","",IF(AND(LEFT(W46,4)&lt;&gt;"http",set_RMSBase=""),"",HYPERLINK(IF(LEFT(W46,4)="http",W46,set_RMSBase&amp;W46),"Open in RMS")))</f>
        <v/>
      </c>
      <c r="Y46" s="37" t="n"/>
      <c r="Z46" s="10">
        <f>IF(Y46="","",HYPERLINK(IF(LEFT(Y46,4)="http",Y46,set_QwilrBase&amp;Y46),"Open quote"))</f>
        <v/>
      </c>
      <c r="AA46" s="10">
        <f>IF(C46="","",C46)</f>
        <v/>
      </c>
      <c r="AB46" s="37" t="n"/>
      <c r="AC46" s="39" t="n"/>
      <c r="AD46" s="11">
        <f>IF(C46="","",N(L46)+N(AC46))</f>
        <v/>
      </c>
      <c r="AE46" s="43">
        <f>IFERROR(IF(N(AC46)=0,"",AC46/AD46),"")</f>
        <v/>
      </c>
      <c r="AF46" s="39" t="n"/>
      <c r="AG46" s="39" t="n"/>
      <c r="AH46" s="39" t="n"/>
      <c r="AI46" s="39" t="n"/>
      <c r="AJ46" s="11">
        <f>IF(C46="","",IF(H46="VIDEO",N(L46),0))</f>
        <v/>
      </c>
      <c r="AK46" s="43">
        <f>IFERROR(IF(N(L46)=0,"",AJ46/L46),"")</f>
        <v/>
      </c>
      <c r="AL46" s="11">
        <f>IF(C46="","",N(AF46)+N(AG46)+N(AH46)+N(AI46))</f>
        <v/>
      </c>
      <c r="AM46" s="11">
        <f>IF(C46="","",MAX(N(L46),N(O46))-N(AL46))</f>
        <v/>
      </c>
      <c r="AN46" s="43">
        <f>IFERROR(IF(MAX(N(L46),N(O46))=0,"",AM46/MAX(N(L46),N(O46))),"")</f>
        <v/>
      </c>
      <c r="AO46" s="41" t="n"/>
      <c r="AP46" s="41" t="n"/>
      <c r="AQ46" s="41" t="n"/>
      <c r="AR46" s="41" t="n"/>
      <c r="AS46" s="41" t="n"/>
      <c r="AT46" s="37" t="n"/>
      <c r="AU46" s="10" t="inlineStr">
        <is>
          <t>PRD-0042</t>
        </is>
      </c>
    </row>
    <row r="47">
      <c r="A47" s="16">
        <f>IF($C47="","",IFERROR(IF(INDEX(tbl_Finance[Latest Invoice Date],MATCH($AU47,tbl_Finance[Row ID],0))="","",INDEX(tbl_Finance[Latest Invoice Date],MATCH($AU47,tbl_Finance[Row ID],0))),""))</f>
        <v/>
      </c>
      <c r="B47" s="10">
        <f>IF($C47="","",IFERROR(INDEX(tbl_Finance[Invoice Numbers],MATCH($AU47,tbl_Finance[Row ID],0))&amp;"",""))</f>
        <v/>
      </c>
      <c r="C47" s="37" t="n"/>
      <c r="D47" s="10">
        <f>IF($C47="","",IF(COUNTIF(lst_Jobs,$C47&amp;"")&gt;0,"OK","CHECK"))</f>
        <v/>
      </c>
      <c r="E47" s="10">
        <f>IF($C47="","",IFERROR(INDEX(lst_JobName,MATCH($C47&amp;"",lst_Jobs,0)),""))</f>
        <v/>
      </c>
      <c r="F47" s="37" t="n"/>
      <c r="G47" s="37" t="n"/>
      <c r="H47" s="37" t="n"/>
      <c r="I47" s="37" t="n"/>
      <c r="J47" s="37" t="n"/>
      <c r="K47" s="38">
        <f>IF($C47="","",IFERROR(N(INDEX(tbl_Finance[Invoice Count],MATCH($AU47,tbl_Finance[Row ID],0))),""))</f>
        <v/>
      </c>
      <c r="L47" s="11">
        <f>IF($C47="","",IFERROR(N(INDEX(tbl_Finance[Xero Invoiced Ex GST],MATCH($AU47,tbl_Finance[Row ID],0))),""))</f>
        <v/>
      </c>
      <c r="M47" s="10">
        <f>IF($C47="","",IFERROR(INDEX(tbl_Finance[Compare],MATCH($AU47,tbl_Finance[Row ID],0))&amp;"",""))</f>
        <v/>
      </c>
      <c r="N47" s="11">
        <f>IF($C47="","",MAX(0,N(O47)-N(L47)))</f>
        <v/>
      </c>
      <c r="O47" s="39" t="n"/>
      <c r="P47" s="40">
        <f>IF($C47="","",IF((IF(F47="",", Client","")&amp;IF(G47="",", Description","")&amp;IF(H47="",", Cost Centre","")&amp;IF(I47="",", Invoice Type","")&amp;IF(J47="",", Tax Code","")&amp;IF(O47="",", Expected Revenue","")&amp;IF(COUNTIF(tbl_Finance[Job Number],$C47&amp;"")&gt;1,", Job number used twice",""))="","Complete","Fix: "&amp;MID(IF(F47="",", Client","")&amp;IF(G47="",", Description","")&amp;IF(H47="",", Cost Centre","")&amp;IF(I47="",", Invoice Type","")&amp;IF(J47="",", Tax Code","")&amp;IF(O47="",", Expected Revenue","")&amp;IF(COUNTIF(tbl_Finance[Job Number],$C47&amp;"")&gt;1,", Job number used twice",""),3,300)))</f>
        <v/>
      </c>
      <c r="Q47" s="10">
        <f>IF($C47="","",IF(H47="","(no cost centre)",H47&amp;" - GL "&amp;IFERROR(INDEX(lst_CCtoGL,MATCH(H47,lst_CCforGL,0)),"?")))</f>
        <v/>
      </c>
      <c r="R47" s="11">
        <f>IF($C47="","",IFERROR(N(INDEX(tbl_Finance[Inc GST],MATCH($AU47,tbl_Finance[Row ID],0))),""))</f>
        <v/>
      </c>
      <c r="S47" s="37" t="n"/>
      <c r="T47" s="37" t="n"/>
      <c r="U47" s="37" t="n"/>
      <c r="V47" s="42" t="n"/>
      <c r="W47" s="37" t="n"/>
      <c r="X47" s="10">
        <f>IF(W47="","",IF(AND(LEFT(W47,4)&lt;&gt;"http",set_RMSBase=""),"",HYPERLINK(IF(LEFT(W47,4)="http",W47,set_RMSBase&amp;W47),"Open in RMS")))</f>
        <v/>
      </c>
      <c r="Y47" s="37" t="n"/>
      <c r="Z47" s="10">
        <f>IF(Y47="","",HYPERLINK(IF(LEFT(Y47,4)="http",Y47,set_QwilrBase&amp;Y47),"Open quote"))</f>
        <v/>
      </c>
      <c r="AA47" s="10">
        <f>IF(C47="","",C47)</f>
        <v/>
      </c>
      <c r="AB47" s="37" t="n"/>
      <c r="AC47" s="39" t="n"/>
      <c r="AD47" s="11">
        <f>IF(C47="","",N(L47)+N(AC47))</f>
        <v/>
      </c>
      <c r="AE47" s="43">
        <f>IFERROR(IF(N(AC47)=0,"",AC47/AD47),"")</f>
        <v/>
      </c>
      <c r="AF47" s="39" t="n"/>
      <c r="AG47" s="39" t="n"/>
      <c r="AH47" s="39" t="n"/>
      <c r="AI47" s="39" t="n"/>
      <c r="AJ47" s="11">
        <f>IF(C47="","",IF(H47="VIDEO",N(L47),0))</f>
        <v/>
      </c>
      <c r="AK47" s="43">
        <f>IFERROR(IF(N(L47)=0,"",AJ47/L47),"")</f>
        <v/>
      </c>
      <c r="AL47" s="11">
        <f>IF(C47="","",N(AF47)+N(AG47)+N(AH47)+N(AI47))</f>
        <v/>
      </c>
      <c r="AM47" s="11">
        <f>IF(C47="","",MAX(N(L47),N(O47))-N(AL47))</f>
        <v/>
      </c>
      <c r="AN47" s="43">
        <f>IFERROR(IF(MAX(N(L47),N(O47))=0,"",AM47/MAX(N(L47),N(O47))),"")</f>
        <v/>
      </c>
      <c r="AO47" s="41" t="n"/>
      <c r="AP47" s="41" t="n"/>
      <c r="AQ47" s="41" t="n"/>
      <c r="AR47" s="41" t="n"/>
      <c r="AS47" s="41" t="n"/>
      <c r="AT47" s="37" t="n"/>
      <c r="AU47" s="10" t="inlineStr">
        <is>
          <t>PRD-0043</t>
        </is>
      </c>
    </row>
    <row r="48">
      <c r="A48" s="16">
        <f>IF($C48="","",IFERROR(IF(INDEX(tbl_Finance[Latest Invoice Date],MATCH($AU48,tbl_Finance[Row ID],0))="","",INDEX(tbl_Finance[Latest Invoice Date],MATCH($AU48,tbl_Finance[Row ID],0))),""))</f>
        <v/>
      </c>
      <c r="B48" s="10">
        <f>IF($C48="","",IFERROR(INDEX(tbl_Finance[Invoice Numbers],MATCH($AU48,tbl_Finance[Row ID],0))&amp;"",""))</f>
        <v/>
      </c>
      <c r="C48" s="37" t="n"/>
      <c r="D48" s="10">
        <f>IF($C48="","",IF(COUNTIF(lst_Jobs,$C48&amp;"")&gt;0,"OK","CHECK"))</f>
        <v/>
      </c>
      <c r="E48" s="10">
        <f>IF($C48="","",IFERROR(INDEX(lst_JobName,MATCH($C48&amp;"",lst_Jobs,0)),""))</f>
        <v/>
      </c>
      <c r="F48" s="37" t="n"/>
      <c r="G48" s="37" t="n"/>
      <c r="H48" s="37" t="n"/>
      <c r="I48" s="37" t="n"/>
      <c r="J48" s="37" t="n"/>
      <c r="K48" s="38">
        <f>IF($C48="","",IFERROR(N(INDEX(tbl_Finance[Invoice Count],MATCH($AU48,tbl_Finance[Row ID],0))),""))</f>
        <v/>
      </c>
      <c r="L48" s="11">
        <f>IF($C48="","",IFERROR(N(INDEX(tbl_Finance[Xero Invoiced Ex GST],MATCH($AU48,tbl_Finance[Row ID],0))),""))</f>
        <v/>
      </c>
      <c r="M48" s="10">
        <f>IF($C48="","",IFERROR(INDEX(tbl_Finance[Compare],MATCH($AU48,tbl_Finance[Row ID],0))&amp;"",""))</f>
        <v/>
      </c>
      <c r="N48" s="11">
        <f>IF($C48="","",MAX(0,N(O48)-N(L48)))</f>
        <v/>
      </c>
      <c r="O48" s="39" t="n"/>
      <c r="P48" s="40">
        <f>IF($C48="","",IF((IF(F48="",", Client","")&amp;IF(G48="",", Description","")&amp;IF(H48="",", Cost Centre","")&amp;IF(I48="",", Invoice Type","")&amp;IF(J48="",", Tax Code","")&amp;IF(O48="",", Expected Revenue","")&amp;IF(COUNTIF(tbl_Finance[Job Number],$C48&amp;"")&gt;1,", Job number used twice",""))="","Complete","Fix: "&amp;MID(IF(F48="",", Client","")&amp;IF(G48="",", Description","")&amp;IF(H48="",", Cost Centre","")&amp;IF(I48="",", Invoice Type","")&amp;IF(J48="",", Tax Code","")&amp;IF(O48="",", Expected Revenue","")&amp;IF(COUNTIF(tbl_Finance[Job Number],$C48&amp;"")&gt;1,", Job number used twice",""),3,300)))</f>
        <v/>
      </c>
      <c r="Q48" s="10">
        <f>IF($C48="","",IF(H48="","(no cost centre)",H48&amp;" - GL "&amp;IFERROR(INDEX(lst_CCtoGL,MATCH(H48,lst_CCforGL,0)),"?")))</f>
        <v/>
      </c>
      <c r="R48" s="11">
        <f>IF($C48="","",IFERROR(N(INDEX(tbl_Finance[Inc GST],MATCH($AU48,tbl_Finance[Row ID],0))),""))</f>
        <v/>
      </c>
      <c r="S48" s="37" t="n"/>
      <c r="T48" s="37" t="n"/>
      <c r="U48" s="37" t="n"/>
      <c r="V48" s="42" t="n"/>
      <c r="W48" s="37" t="n"/>
      <c r="X48" s="10">
        <f>IF(W48="","",IF(AND(LEFT(W48,4)&lt;&gt;"http",set_RMSBase=""),"",HYPERLINK(IF(LEFT(W48,4)="http",W48,set_RMSBase&amp;W48),"Open in RMS")))</f>
        <v/>
      </c>
      <c r="Y48" s="37" t="n"/>
      <c r="Z48" s="10">
        <f>IF(Y48="","",HYPERLINK(IF(LEFT(Y48,4)="http",Y48,set_QwilrBase&amp;Y48),"Open quote"))</f>
        <v/>
      </c>
      <c r="AA48" s="10">
        <f>IF(C48="","",C48)</f>
        <v/>
      </c>
      <c r="AB48" s="37" t="n"/>
      <c r="AC48" s="39" t="n"/>
      <c r="AD48" s="11">
        <f>IF(C48="","",N(L48)+N(AC48))</f>
        <v/>
      </c>
      <c r="AE48" s="43">
        <f>IFERROR(IF(N(AC48)=0,"",AC48/AD48),"")</f>
        <v/>
      </c>
      <c r="AF48" s="39" t="n"/>
      <c r="AG48" s="39" t="n"/>
      <c r="AH48" s="39" t="n"/>
      <c r="AI48" s="39" t="n"/>
      <c r="AJ48" s="11">
        <f>IF(C48="","",IF(H48="VIDEO",N(L48),0))</f>
        <v/>
      </c>
      <c r="AK48" s="43">
        <f>IFERROR(IF(N(L48)=0,"",AJ48/L48),"")</f>
        <v/>
      </c>
      <c r="AL48" s="11">
        <f>IF(C48="","",N(AF48)+N(AG48)+N(AH48)+N(AI48))</f>
        <v/>
      </c>
      <c r="AM48" s="11">
        <f>IF(C48="","",MAX(N(L48),N(O48))-N(AL48))</f>
        <v/>
      </c>
      <c r="AN48" s="43">
        <f>IFERROR(IF(MAX(N(L48),N(O48))=0,"",AM48/MAX(N(L48),N(O48))),"")</f>
        <v/>
      </c>
      <c r="AO48" s="41" t="n"/>
      <c r="AP48" s="41" t="n"/>
      <c r="AQ48" s="41" t="n"/>
      <c r="AR48" s="41" t="n"/>
      <c r="AS48" s="41" t="n"/>
      <c r="AT48" s="37" t="n"/>
      <c r="AU48" s="10" t="inlineStr">
        <is>
          <t>PRD-0044</t>
        </is>
      </c>
    </row>
    <row r="49">
      <c r="A49" s="16">
        <f>IF($C49="","",IFERROR(IF(INDEX(tbl_Finance[Latest Invoice Date],MATCH($AU49,tbl_Finance[Row ID],0))="","",INDEX(tbl_Finance[Latest Invoice Date],MATCH($AU49,tbl_Finance[Row ID],0))),""))</f>
        <v/>
      </c>
      <c r="B49" s="10">
        <f>IF($C49="","",IFERROR(INDEX(tbl_Finance[Invoice Numbers],MATCH($AU49,tbl_Finance[Row ID],0))&amp;"",""))</f>
        <v/>
      </c>
      <c r="C49" s="37" t="n"/>
      <c r="D49" s="10">
        <f>IF($C49="","",IF(COUNTIF(lst_Jobs,$C49&amp;"")&gt;0,"OK","CHECK"))</f>
        <v/>
      </c>
      <c r="E49" s="10">
        <f>IF($C49="","",IFERROR(INDEX(lst_JobName,MATCH($C49&amp;"",lst_Jobs,0)),""))</f>
        <v/>
      </c>
      <c r="F49" s="37" t="n"/>
      <c r="G49" s="37" t="n"/>
      <c r="H49" s="37" t="n"/>
      <c r="I49" s="37" t="n"/>
      <c r="J49" s="37" t="n"/>
      <c r="K49" s="38">
        <f>IF($C49="","",IFERROR(N(INDEX(tbl_Finance[Invoice Count],MATCH($AU49,tbl_Finance[Row ID],0))),""))</f>
        <v/>
      </c>
      <c r="L49" s="11">
        <f>IF($C49="","",IFERROR(N(INDEX(tbl_Finance[Xero Invoiced Ex GST],MATCH($AU49,tbl_Finance[Row ID],0))),""))</f>
        <v/>
      </c>
      <c r="M49" s="10">
        <f>IF($C49="","",IFERROR(INDEX(tbl_Finance[Compare],MATCH($AU49,tbl_Finance[Row ID],0))&amp;"",""))</f>
        <v/>
      </c>
      <c r="N49" s="11">
        <f>IF($C49="","",MAX(0,N(O49)-N(L49)))</f>
        <v/>
      </c>
      <c r="O49" s="39" t="n"/>
      <c r="P49" s="40">
        <f>IF($C49="","",IF((IF(F49="",", Client","")&amp;IF(G49="",", Description","")&amp;IF(H49="",", Cost Centre","")&amp;IF(I49="",", Invoice Type","")&amp;IF(J49="",", Tax Code","")&amp;IF(O49="",", Expected Revenue","")&amp;IF(COUNTIF(tbl_Finance[Job Number],$C49&amp;"")&gt;1,", Job number used twice",""))="","Complete","Fix: "&amp;MID(IF(F49="",", Client","")&amp;IF(G49="",", Description","")&amp;IF(H49="",", Cost Centre","")&amp;IF(I49="",", Invoice Type","")&amp;IF(J49="",", Tax Code","")&amp;IF(O49="",", Expected Revenue","")&amp;IF(COUNTIF(tbl_Finance[Job Number],$C49&amp;"")&gt;1,", Job number used twice",""),3,300)))</f>
        <v/>
      </c>
      <c r="Q49" s="10">
        <f>IF($C49="","",IF(H49="","(no cost centre)",H49&amp;" - GL "&amp;IFERROR(INDEX(lst_CCtoGL,MATCH(H49,lst_CCforGL,0)),"?")))</f>
        <v/>
      </c>
      <c r="R49" s="11">
        <f>IF($C49="","",IFERROR(N(INDEX(tbl_Finance[Inc GST],MATCH($AU49,tbl_Finance[Row ID],0))),""))</f>
        <v/>
      </c>
      <c r="S49" s="37" t="n"/>
      <c r="T49" s="37" t="n"/>
      <c r="U49" s="37" t="n"/>
      <c r="V49" s="42" t="n"/>
      <c r="W49" s="37" t="n"/>
      <c r="X49" s="10">
        <f>IF(W49="","",IF(AND(LEFT(W49,4)&lt;&gt;"http",set_RMSBase=""),"",HYPERLINK(IF(LEFT(W49,4)="http",W49,set_RMSBase&amp;W49),"Open in RMS")))</f>
        <v/>
      </c>
      <c r="Y49" s="37" t="n"/>
      <c r="Z49" s="10">
        <f>IF(Y49="","",HYPERLINK(IF(LEFT(Y49,4)="http",Y49,set_QwilrBase&amp;Y49),"Open quote"))</f>
        <v/>
      </c>
      <c r="AA49" s="10">
        <f>IF(C49="","",C49)</f>
        <v/>
      </c>
      <c r="AB49" s="37" t="n"/>
      <c r="AC49" s="39" t="n"/>
      <c r="AD49" s="11">
        <f>IF(C49="","",N(L49)+N(AC49))</f>
        <v/>
      </c>
      <c r="AE49" s="43">
        <f>IFERROR(IF(N(AC49)=0,"",AC49/AD49),"")</f>
        <v/>
      </c>
      <c r="AF49" s="39" t="n"/>
      <c r="AG49" s="39" t="n"/>
      <c r="AH49" s="39" t="n"/>
      <c r="AI49" s="39" t="n"/>
      <c r="AJ49" s="11">
        <f>IF(C49="","",IF(H49="VIDEO",N(L49),0))</f>
        <v/>
      </c>
      <c r="AK49" s="43">
        <f>IFERROR(IF(N(L49)=0,"",AJ49/L49),"")</f>
        <v/>
      </c>
      <c r="AL49" s="11">
        <f>IF(C49="","",N(AF49)+N(AG49)+N(AH49)+N(AI49))</f>
        <v/>
      </c>
      <c r="AM49" s="11">
        <f>IF(C49="","",MAX(N(L49),N(O49))-N(AL49))</f>
        <v/>
      </c>
      <c r="AN49" s="43">
        <f>IFERROR(IF(MAX(N(L49),N(O49))=0,"",AM49/MAX(N(L49),N(O49))),"")</f>
        <v/>
      </c>
      <c r="AO49" s="41" t="n"/>
      <c r="AP49" s="41" t="n"/>
      <c r="AQ49" s="41" t="n"/>
      <c r="AR49" s="41" t="n"/>
      <c r="AS49" s="41" t="n"/>
      <c r="AT49" s="37" t="n"/>
      <c r="AU49" s="10" t="inlineStr">
        <is>
          <t>PRD-0045</t>
        </is>
      </c>
    </row>
    <row r="50">
      <c r="A50" s="16">
        <f>IF($C50="","",IFERROR(IF(INDEX(tbl_Finance[Latest Invoice Date],MATCH($AU50,tbl_Finance[Row ID],0))="","",INDEX(tbl_Finance[Latest Invoice Date],MATCH($AU50,tbl_Finance[Row ID],0))),""))</f>
        <v/>
      </c>
      <c r="B50" s="10">
        <f>IF($C50="","",IFERROR(INDEX(tbl_Finance[Invoice Numbers],MATCH($AU50,tbl_Finance[Row ID],0))&amp;"",""))</f>
        <v/>
      </c>
      <c r="C50" s="37" t="n"/>
      <c r="D50" s="10">
        <f>IF($C50="","",IF(COUNTIF(lst_Jobs,$C50&amp;"")&gt;0,"OK","CHECK"))</f>
        <v/>
      </c>
      <c r="E50" s="10">
        <f>IF($C50="","",IFERROR(INDEX(lst_JobName,MATCH($C50&amp;"",lst_Jobs,0)),""))</f>
        <v/>
      </c>
      <c r="F50" s="37" t="n"/>
      <c r="G50" s="37" t="n"/>
      <c r="H50" s="37" t="n"/>
      <c r="I50" s="37" t="n"/>
      <c r="J50" s="37" t="n"/>
      <c r="K50" s="38">
        <f>IF($C50="","",IFERROR(N(INDEX(tbl_Finance[Invoice Count],MATCH($AU50,tbl_Finance[Row ID],0))),""))</f>
        <v/>
      </c>
      <c r="L50" s="11">
        <f>IF($C50="","",IFERROR(N(INDEX(tbl_Finance[Xero Invoiced Ex GST],MATCH($AU50,tbl_Finance[Row ID],0))),""))</f>
        <v/>
      </c>
      <c r="M50" s="10">
        <f>IF($C50="","",IFERROR(INDEX(tbl_Finance[Compare],MATCH($AU50,tbl_Finance[Row ID],0))&amp;"",""))</f>
        <v/>
      </c>
      <c r="N50" s="11">
        <f>IF($C50="","",MAX(0,N(O50)-N(L50)))</f>
        <v/>
      </c>
      <c r="O50" s="39" t="n"/>
      <c r="P50" s="40">
        <f>IF($C50="","",IF((IF(F50="",", Client","")&amp;IF(G50="",", Description","")&amp;IF(H50="",", Cost Centre","")&amp;IF(I50="",", Invoice Type","")&amp;IF(J50="",", Tax Code","")&amp;IF(O50="",", Expected Revenue","")&amp;IF(COUNTIF(tbl_Finance[Job Number],$C50&amp;"")&gt;1,", Job number used twice",""))="","Complete","Fix: "&amp;MID(IF(F50="",", Client","")&amp;IF(G50="",", Description","")&amp;IF(H50="",", Cost Centre","")&amp;IF(I50="",", Invoice Type","")&amp;IF(J50="",", Tax Code","")&amp;IF(O50="",", Expected Revenue","")&amp;IF(COUNTIF(tbl_Finance[Job Number],$C50&amp;"")&gt;1,", Job number used twice",""),3,300)))</f>
        <v/>
      </c>
      <c r="Q50" s="10">
        <f>IF($C50="","",IF(H50="","(no cost centre)",H50&amp;" - GL "&amp;IFERROR(INDEX(lst_CCtoGL,MATCH(H50,lst_CCforGL,0)),"?")))</f>
        <v/>
      </c>
      <c r="R50" s="11">
        <f>IF($C50="","",IFERROR(N(INDEX(tbl_Finance[Inc GST],MATCH($AU50,tbl_Finance[Row ID],0))),""))</f>
        <v/>
      </c>
      <c r="S50" s="37" t="n"/>
      <c r="T50" s="37" t="n"/>
      <c r="U50" s="37" t="n"/>
      <c r="V50" s="42" t="n"/>
      <c r="W50" s="37" t="n"/>
      <c r="X50" s="10">
        <f>IF(W50="","",IF(AND(LEFT(W50,4)&lt;&gt;"http",set_RMSBase=""),"",HYPERLINK(IF(LEFT(W50,4)="http",W50,set_RMSBase&amp;W50),"Open in RMS")))</f>
        <v/>
      </c>
      <c r="Y50" s="37" t="n"/>
      <c r="Z50" s="10">
        <f>IF(Y50="","",HYPERLINK(IF(LEFT(Y50,4)="http",Y50,set_QwilrBase&amp;Y50),"Open quote"))</f>
        <v/>
      </c>
      <c r="AA50" s="10">
        <f>IF(C50="","",C50)</f>
        <v/>
      </c>
      <c r="AB50" s="37" t="n"/>
      <c r="AC50" s="39" t="n"/>
      <c r="AD50" s="11">
        <f>IF(C50="","",N(L50)+N(AC50))</f>
        <v/>
      </c>
      <c r="AE50" s="43">
        <f>IFERROR(IF(N(AC50)=0,"",AC50/AD50),"")</f>
        <v/>
      </c>
      <c r="AF50" s="39" t="n"/>
      <c r="AG50" s="39" t="n"/>
      <c r="AH50" s="39" t="n"/>
      <c r="AI50" s="39" t="n"/>
      <c r="AJ50" s="11">
        <f>IF(C50="","",IF(H50="VIDEO",N(L50),0))</f>
        <v/>
      </c>
      <c r="AK50" s="43">
        <f>IFERROR(IF(N(L50)=0,"",AJ50/L50),"")</f>
        <v/>
      </c>
      <c r="AL50" s="11">
        <f>IF(C50="","",N(AF50)+N(AG50)+N(AH50)+N(AI50))</f>
        <v/>
      </c>
      <c r="AM50" s="11">
        <f>IF(C50="","",MAX(N(L50),N(O50))-N(AL50))</f>
        <v/>
      </c>
      <c r="AN50" s="43">
        <f>IFERROR(IF(MAX(N(L50),N(O50))=0,"",AM50/MAX(N(L50),N(O50))),"")</f>
        <v/>
      </c>
      <c r="AO50" s="41" t="n"/>
      <c r="AP50" s="41" t="n"/>
      <c r="AQ50" s="41" t="n"/>
      <c r="AR50" s="41" t="n"/>
      <c r="AS50" s="41" t="n"/>
      <c r="AT50" s="37" t="n"/>
      <c r="AU50" s="10" t="inlineStr">
        <is>
          <t>PRD-0046</t>
        </is>
      </c>
    </row>
    <row r="51">
      <c r="A51" s="16">
        <f>IF($C51="","",IFERROR(IF(INDEX(tbl_Finance[Latest Invoice Date],MATCH($AU51,tbl_Finance[Row ID],0))="","",INDEX(tbl_Finance[Latest Invoice Date],MATCH($AU51,tbl_Finance[Row ID],0))),""))</f>
        <v/>
      </c>
      <c r="B51" s="10">
        <f>IF($C51="","",IFERROR(INDEX(tbl_Finance[Invoice Numbers],MATCH($AU51,tbl_Finance[Row ID],0))&amp;"",""))</f>
        <v/>
      </c>
      <c r="C51" s="37" t="n"/>
      <c r="D51" s="10">
        <f>IF($C51="","",IF(COUNTIF(lst_Jobs,$C51&amp;"")&gt;0,"OK","CHECK"))</f>
        <v/>
      </c>
      <c r="E51" s="10">
        <f>IF($C51="","",IFERROR(INDEX(lst_JobName,MATCH($C51&amp;"",lst_Jobs,0)),""))</f>
        <v/>
      </c>
      <c r="F51" s="37" t="n"/>
      <c r="G51" s="37" t="n"/>
      <c r="H51" s="37" t="n"/>
      <c r="I51" s="37" t="n"/>
      <c r="J51" s="37" t="n"/>
      <c r="K51" s="38">
        <f>IF($C51="","",IFERROR(N(INDEX(tbl_Finance[Invoice Count],MATCH($AU51,tbl_Finance[Row ID],0))),""))</f>
        <v/>
      </c>
      <c r="L51" s="11">
        <f>IF($C51="","",IFERROR(N(INDEX(tbl_Finance[Xero Invoiced Ex GST],MATCH($AU51,tbl_Finance[Row ID],0))),""))</f>
        <v/>
      </c>
      <c r="M51" s="10">
        <f>IF($C51="","",IFERROR(INDEX(tbl_Finance[Compare],MATCH($AU51,tbl_Finance[Row ID],0))&amp;"",""))</f>
        <v/>
      </c>
      <c r="N51" s="11">
        <f>IF($C51="","",MAX(0,N(O51)-N(L51)))</f>
        <v/>
      </c>
      <c r="O51" s="39" t="n"/>
      <c r="P51" s="40">
        <f>IF($C51="","",IF((IF(F51="",", Client","")&amp;IF(G51="",", Description","")&amp;IF(H51="",", Cost Centre","")&amp;IF(I51="",", Invoice Type","")&amp;IF(J51="",", Tax Code","")&amp;IF(O51="",", Expected Revenue","")&amp;IF(COUNTIF(tbl_Finance[Job Number],$C51&amp;"")&gt;1,", Job number used twice",""))="","Complete","Fix: "&amp;MID(IF(F51="",", Client","")&amp;IF(G51="",", Description","")&amp;IF(H51="",", Cost Centre","")&amp;IF(I51="",", Invoice Type","")&amp;IF(J51="",", Tax Code","")&amp;IF(O51="",", Expected Revenue","")&amp;IF(COUNTIF(tbl_Finance[Job Number],$C51&amp;"")&gt;1,", Job number used twice",""),3,300)))</f>
        <v/>
      </c>
      <c r="Q51" s="10">
        <f>IF($C51="","",IF(H51="","(no cost centre)",H51&amp;" - GL "&amp;IFERROR(INDEX(lst_CCtoGL,MATCH(H51,lst_CCforGL,0)),"?")))</f>
        <v/>
      </c>
      <c r="R51" s="11">
        <f>IF($C51="","",IFERROR(N(INDEX(tbl_Finance[Inc GST],MATCH($AU51,tbl_Finance[Row ID],0))),""))</f>
        <v/>
      </c>
      <c r="S51" s="37" t="n"/>
      <c r="T51" s="37" t="n"/>
      <c r="U51" s="37" t="n"/>
      <c r="V51" s="42" t="n"/>
      <c r="W51" s="37" t="n"/>
      <c r="X51" s="10">
        <f>IF(W51="","",IF(AND(LEFT(W51,4)&lt;&gt;"http",set_RMSBase=""),"",HYPERLINK(IF(LEFT(W51,4)="http",W51,set_RMSBase&amp;W51),"Open in RMS")))</f>
        <v/>
      </c>
      <c r="Y51" s="37" t="n"/>
      <c r="Z51" s="10">
        <f>IF(Y51="","",HYPERLINK(IF(LEFT(Y51,4)="http",Y51,set_QwilrBase&amp;Y51),"Open quote"))</f>
        <v/>
      </c>
      <c r="AA51" s="10">
        <f>IF(C51="","",C51)</f>
        <v/>
      </c>
      <c r="AB51" s="37" t="n"/>
      <c r="AC51" s="39" t="n"/>
      <c r="AD51" s="11">
        <f>IF(C51="","",N(L51)+N(AC51))</f>
        <v/>
      </c>
      <c r="AE51" s="43">
        <f>IFERROR(IF(N(AC51)=0,"",AC51/AD51),"")</f>
        <v/>
      </c>
      <c r="AF51" s="39" t="n"/>
      <c r="AG51" s="39" t="n"/>
      <c r="AH51" s="39" t="n"/>
      <c r="AI51" s="39" t="n"/>
      <c r="AJ51" s="11">
        <f>IF(C51="","",IF(H51="VIDEO",N(L51),0))</f>
        <v/>
      </c>
      <c r="AK51" s="43">
        <f>IFERROR(IF(N(L51)=0,"",AJ51/L51),"")</f>
        <v/>
      </c>
      <c r="AL51" s="11">
        <f>IF(C51="","",N(AF51)+N(AG51)+N(AH51)+N(AI51))</f>
        <v/>
      </c>
      <c r="AM51" s="11">
        <f>IF(C51="","",MAX(N(L51),N(O51))-N(AL51))</f>
        <v/>
      </c>
      <c r="AN51" s="43">
        <f>IFERROR(IF(MAX(N(L51),N(O51))=0,"",AM51/MAX(N(L51),N(O51))),"")</f>
        <v/>
      </c>
      <c r="AO51" s="41" t="n"/>
      <c r="AP51" s="41" t="n"/>
      <c r="AQ51" s="41" t="n"/>
      <c r="AR51" s="41" t="n"/>
      <c r="AS51" s="41" t="n"/>
      <c r="AT51" s="37" t="n"/>
      <c r="AU51" s="10" t="inlineStr">
        <is>
          <t>PRD-0047</t>
        </is>
      </c>
    </row>
    <row r="52">
      <c r="A52" s="16">
        <f>IF($C52="","",IFERROR(IF(INDEX(tbl_Finance[Latest Invoice Date],MATCH($AU52,tbl_Finance[Row ID],0))="","",INDEX(tbl_Finance[Latest Invoice Date],MATCH($AU52,tbl_Finance[Row ID],0))),""))</f>
        <v/>
      </c>
      <c r="B52" s="10">
        <f>IF($C52="","",IFERROR(INDEX(tbl_Finance[Invoice Numbers],MATCH($AU52,tbl_Finance[Row ID],0))&amp;"",""))</f>
        <v/>
      </c>
      <c r="C52" s="37" t="n"/>
      <c r="D52" s="10">
        <f>IF($C52="","",IF(COUNTIF(lst_Jobs,$C52&amp;"")&gt;0,"OK","CHECK"))</f>
        <v/>
      </c>
      <c r="E52" s="10">
        <f>IF($C52="","",IFERROR(INDEX(lst_JobName,MATCH($C52&amp;"",lst_Jobs,0)),""))</f>
        <v/>
      </c>
      <c r="F52" s="37" t="n"/>
      <c r="G52" s="37" t="n"/>
      <c r="H52" s="37" t="n"/>
      <c r="I52" s="37" t="n"/>
      <c r="J52" s="37" t="n"/>
      <c r="K52" s="38">
        <f>IF($C52="","",IFERROR(N(INDEX(tbl_Finance[Invoice Count],MATCH($AU52,tbl_Finance[Row ID],0))),""))</f>
        <v/>
      </c>
      <c r="L52" s="11">
        <f>IF($C52="","",IFERROR(N(INDEX(tbl_Finance[Xero Invoiced Ex GST],MATCH($AU52,tbl_Finance[Row ID],0))),""))</f>
        <v/>
      </c>
      <c r="M52" s="10">
        <f>IF($C52="","",IFERROR(INDEX(tbl_Finance[Compare],MATCH($AU52,tbl_Finance[Row ID],0))&amp;"",""))</f>
        <v/>
      </c>
      <c r="N52" s="11">
        <f>IF($C52="","",MAX(0,N(O52)-N(L52)))</f>
        <v/>
      </c>
      <c r="O52" s="39" t="n"/>
      <c r="P52" s="40">
        <f>IF($C52="","",IF((IF(F52="",", Client","")&amp;IF(G52="",", Description","")&amp;IF(H52="",", Cost Centre","")&amp;IF(I52="",", Invoice Type","")&amp;IF(J52="",", Tax Code","")&amp;IF(O52="",", Expected Revenue","")&amp;IF(COUNTIF(tbl_Finance[Job Number],$C52&amp;"")&gt;1,", Job number used twice",""))="","Complete","Fix: "&amp;MID(IF(F52="",", Client","")&amp;IF(G52="",", Description","")&amp;IF(H52="",", Cost Centre","")&amp;IF(I52="",", Invoice Type","")&amp;IF(J52="",", Tax Code","")&amp;IF(O52="",", Expected Revenue","")&amp;IF(COUNTIF(tbl_Finance[Job Number],$C52&amp;"")&gt;1,", Job number used twice",""),3,300)))</f>
        <v/>
      </c>
      <c r="Q52" s="10">
        <f>IF($C52="","",IF(H52="","(no cost centre)",H52&amp;" - GL "&amp;IFERROR(INDEX(lst_CCtoGL,MATCH(H52,lst_CCforGL,0)),"?")))</f>
        <v/>
      </c>
      <c r="R52" s="11">
        <f>IF($C52="","",IFERROR(N(INDEX(tbl_Finance[Inc GST],MATCH($AU52,tbl_Finance[Row ID],0))),""))</f>
        <v/>
      </c>
      <c r="S52" s="37" t="n"/>
      <c r="T52" s="37" t="n"/>
      <c r="U52" s="37" t="n"/>
      <c r="V52" s="42" t="n"/>
      <c r="W52" s="37" t="n"/>
      <c r="X52" s="10">
        <f>IF(W52="","",IF(AND(LEFT(W52,4)&lt;&gt;"http",set_RMSBase=""),"",HYPERLINK(IF(LEFT(W52,4)="http",W52,set_RMSBase&amp;W52),"Open in RMS")))</f>
        <v/>
      </c>
      <c r="Y52" s="37" t="n"/>
      <c r="Z52" s="10">
        <f>IF(Y52="","",HYPERLINK(IF(LEFT(Y52,4)="http",Y52,set_QwilrBase&amp;Y52),"Open quote"))</f>
        <v/>
      </c>
      <c r="AA52" s="10">
        <f>IF(C52="","",C52)</f>
        <v/>
      </c>
      <c r="AB52" s="37" t="n"/>
      <c r="AC52" s="39" t="n"/>
      <c r="AD52" s="11">
        <f>IF(C52="","",N(L52)+N(AC52))</f>
        <v/>
      </c>
      <c r="AE52" s="43">
        <f>IFERROR(IF(N(AC52)=0,"",AC52/AD52),"")</f>
        <v/>
      </c>
      <c r="AF52" s="39" t="n"/>
      <c r="AG52" s="39" t="n"/>
      <c r="AH52" s="39" t="n"/>
      <c r="AI52" s="39" t="n"/>
      <c r="AJ52" s="11">
        <f>IF(C52="","",IF(H52="VIDEO",N(L52),0))</f>
        <v/>
      </c>
      <c r="AK52" s="43">
        <f>IFERROR(IF(N(L52)=0,"",AJ52/L52),"")</f>
        <v/>
      </c>
      <c r="AL52" s="11">
        <f>IF(C52="","",N(AF52)+N(AG52)+N(AH52)+N(AI52))</f>
        <v/>
      </c>
      <c r="AM52" s="11">
        <f>IF(C52="","",MAX(N(L52),N(O52))-N(AL52))</f>
        <v/>
      </c>
      <c r="AN52" s="43">
        <f>IFERROR(IF(MAX(N(L52),N(O52))=0,"",AM52/MAX(N(L52),N(O52))),"")</f>
        <v/>
      </c>
      <c r="AO52" s="41" t="n"/>
      <c r="AP52" s="41" t="n"/>
      <c r="AQ52" s="41" t="n"/>
      <c r="AR52" s="41" t="n"/>
      <c r="AS52" s="41" t="n"/>
      <c r="AT52" s="37" t="n"/>
      <c r="AU52" s="10" t="inlineStr">
        <is>
          <t>PRD-0048</t>
        </is>
      </c>
    </row>
    <row r="53">
      <c r="A53" s="16">
        <f>IF($C53="","",IFERROR(IF(INDEX(tbl_Finance[Latest Invoice Date],MATCH($AU53,tbl_Finance[Row ID],0))="","",INDEX(tbl_Finance[Latest Invoice Date],MATCH($AU53,tbl_Finance[Row ID],0))),""))</f>
        <v/>
      </c>
      <c r="B53" s="10">
        <f>IF($C53="","",IFERROR(INDEX(tbl_Finance[Invoice Numbers],MATCH($AU53,tbl_Finance[Row ID],0))&amp;"",""))</f>
        <v/>
      </c>
      <c r="C53" s="37" t="n"/>
      <c r="D53" s="10">
        <f>IF($C53="","",IF(COUNTIF(lst_Jobs,$C53&amp;"")&gt;0,"OK","CHECK"))</f>
        <v/>
      </c>
      <c r="E53" s="10">
        <f>IF($C53="","",IFERROR(INDEX(lst_JobName,MATCH($C53&amp;"",lst_Jobs,0)),""))</f>
        <v/>
      </c>
      <c r="F53" s="37" t="n"/>
      <c r="G53" s="37" t="n"/>
      <c r="H53" s="37" t="n"/>
      <c r="I53" s="37" t="n"/>
      <c r="J53" s="37" t="n"/>
      <c r="K53" s="38">
        <f>IF($C53="","",IFERROR(N(INDEX(tbl_Finance[Invoice Count],MATCH($AU53,tbl_Finance[Row ID],0))),""))</f>
        <v/>
      </c>
      <c r="L53" s="11">
        <f>IF($C53="","",IFERROR(N(INDEX(tbl_Finance[Xero Invoiced Ex GST],MATCH($AU53,tbl_Finance[Row ID],0))),""))</f>
        <v/>
      </c>
      <c r="M53" s="10">
        <f>IF($C53="","",IFERROR(INDEX(tbl_Finance[Compare],MATCH($AU53,tbl_Finance[Row ID],0))&amp;"",""))</f>
        <v/>
      </c>
      <c r="N53" s="11">
        <f>IF($C53="","",MAX(0,N(O53)-N(L53)))</f>
        <v/>
      </c>
      <c r="O53" s="39" t="n"/>
      <c r="P53" s="40">
        <f>IF($C53="","",IF((IF(F53="",", Client","")&amp;IF(G53="",", Description","")&amp;IF(H53="",", Cost Centre","")&amp;IF(I53="",", Invoice Type","")&amp;IF(J53="",", Tax Code","")&amp;IF(O53="",", Expected Revenue","")&amp;IF(COUNTIF(tbl_Finance[Job Number],$C53&amp;"")&gt;1,", Job number used twice",""))="","Complete","Fix: "&amp;MID(IF(F53="",", Client","")&amp;IF(G53="",", Description","")&amp;IF(H53="",", Cost Centre","")&amp;IF(I53="",", Invoice Type","")&amp;IF(J53="",", Tax Code","")&amp;IF(O53="",", Expected Revenue","")&amp;IF(COUNTIF(tbl_Finance[Job Number],$C53&amp;"")&gt;1,", Job number used twice",""),3,300)))</f>
        <v/>
      </c>
      <c r="Q53" s="10">
        <f>IF($C53="","",IF(H53="","(no cost centre)",H53&amp;" - GL "&amp;IFERROR(INDEX(lst_CCtoGL,MATCH(H53,lst_CCforGL,0)),"?")))</f>
        <v/>
      </c>
      <c r="R53" s="11">
        <f>IF($C53="","",IFERROR(N(INDEX(tbl_Finance[Inc GST],MATCH($AU53,tbl_Finance[Row ID],0))),""))</f>
        <v/>
      </c>
      <c r="S53" s="37" t="n"/>
      <c r="T53" s="37" t="n"/>
      <c r="U53" s="37" t="n"/>
      <c r="V53" s="42" t="n"/>
      <c r="W53" s="37" t="n"/>
      <c r="X53" s="10">
        <f>IF(W53="","",IF(AND(LEFT(W53,4)&lt;&gt;"http",set_RMSBase=""),"",HYPERLINK(IF(LEFT(W53,4)="http",W53,set_RMSBase&amp;W53),"Open in RMS")))</f>
        <v/>
      </c>
      <c r="Y53" s="37" t="n"/>
      <c r="Z53" s="10">
        <f>IF(Y53="","",HYPERLINK(IF(LEFT(Y53,4)="http",Y53,set_QwilrBase&amp;Y53),"Open quote"))</f>
        <v/>
      </c>
      <c r="AA53" s="10">
        <f>IF(C53="","",C53)</f>
        <v/>
      </c>
      <c r="AB53" s="37" t="n"/>
      <c r="AC53" s="39" t="n"/>
      <c r="AD53" s="11">
        <f>IF(C53="","",N(L53)+N(AC53))</f>
        <v/>
      </c>
      <c r="AE53" s="43">
        <f>IFERROR(IF(N(AC53)=0,"",AC53/AD53),"")</f>
        <v/>
      </c>
      <c r="AF53" s="39" t="n"/>
      <c r="AG53" s="39" t="n"/>
      <c r="AH53" s="39" t="n"/>
      <c r="AI53" s="39" t="n"/>
      <c r="AJ53" s="11">
        <f>IF(C53="","",IF(H53="VIDEO",N(L53),0))</f>
        <v/>
      </c>
      <c r="AK53" s="43">
        <f>IFERROR(IF(N(L53)=0,"",AJ53/L53),"")</f>
        <v/>
      </c>
      <c r="AL53" s="11">
        <f>IF(C53="","",N(AF53)+N(AG53)+N(AH53)+N(AI53))</f>
        <v/>
      </c>
      <c r="AM53" s="11">
        <f>IF(C53="","",MAX(N(L53),N(O53))-N(AL53))</f>
        <v/>
      </c>
      <c r="AN53" s="43">
        <f>IFERROR(IF(MAX(N(L53),N(O53))=0,"",AM53/MAX(N(L53),N(O53))),"")</f>
        <v/>
      </c>
      <c r="AO53" s="41" t="n"/>
      <c r="AP53" s="41" t="n"/>
      <c r="AQ53" s="41" t="n"/>
      <c r="AR53" s="41" t="n"/>
      <c r="AS53" s="41" t="n"/>
      <c r="AT53" s="37" t="n"/>
      <c r="AU53" s="10" t="inlineStr">
        <is>
          <t>PRD-0049</t>
        </is>
      </c>
    </row>
    <row r="54">
      <c r="A54" s="16">
        <f>IF($C54="","",IFERROR(IF(INDEX(tbl_Finance[Latest Invoice Date],MATCH($AU54,tbl_Finance[Row ID],0))="","",INDEX(tbl_Finance[Latest Invoice Date],MATCH($AU54,tbl_Finance[Row ID],0))),""))</f>
        <v/>
      </c>
      <c r="B54" s="10">
        <f>IF($C54="","",IFERROR(INDEX(tbl_Finance[Invoice Numbers],MATCH($AU54,tbl_Finance[Row ID],0))&amp;"",""))</f>
        <v/>
      </c>
      <c r="C54" s="37" t="n"/>
      <c r="D54" s="10">
        <f>IF($C54="","",IF(COUNTIF(lst_Jobs,$C54&amp;"")&gt;0,"OK","CHECK"))</f>
        <v/>
      </c>
      <c r="E54" s="10">
        <f>IF($C54="","",IFERROR(INDEX(lst_JobName,MATCH($C54&amp;"",lst_Jobs,0)),""))</f>
        <v/>
      </c>
      <c r="F54" s="37" t="n"/>
      <c r="G54" s="37" t="n"/>
      <c r="H54" s="37" t="n"/>
      <c r="I54" s="37" t="n"/>
      <c r="J54" s="37" t="n"/>
      <c r="K54" s="38">
        <f>IF($C54="","",IFERROR(N(INDEX(tbl_Finance[Invoice Count],MATCH($AU54,tbl_Finance[Row ID],0))),""))</f>
        <v/>
      </c>
      <c r="L54" s="11">
        <f>IF($C54="","",IFERROR(N(INDEX(tbl_Finance[Xero Invoiced Ex GST],MATCH($AU54,tbl_Finance[Row ID],0))),""))</f>
        <v/>
      </c>
      <c r="M54" s="10">
        <f>IF($C54="","",IFERROR(INDEX(tbl_Finance[Compare],MATCH($AU54,tbl_Finance[Row ID],0))&amp;"",""))</f>
        <v/>
      </c>
      <c r="N54" s="11">
        <f>IF($C54="","",MAX(0,N(O54)-N(L54)))</f>
        <v/>
      </c>
      <c r="O54" s="39" t="n"/>
      <c r="P54" s="40">
        <f>IF($C54="","",IF((IF(F54="",", Client","")&amp;IF(G54="",", Description","")&amp;IF(H54="",", Cost Centre","")&amp;IF(I54="",", Invoice Type","")&amp;IF(J54="",", Tax Code","")&amp;IF(O54="",", Expected Revenue","")&amp;IF(COUNTIF(tbl_Finance[Job Number],$C54&amp;"")&gt;1,", Job number used twice",""))="","Complete","Fix: "&amp;MID(IF(F54="",", Client","")&amp;IF(G54="",", Description","")&amp;IF(H54="",", Cost Centre","")&amp;IF(I54="",", Invoice Type","")&amp;IF(J54="",", Tax Code","")&amp;IF(O54="",", Expected Revenue","")&amp;IF(COUNTIF(tbl_Finance[Job Number],$C54&amp;"")&gt;1,", Job number used twice",""),3,300)))</f>
        <v/>
      </c>
      <c r="Q54" s="10">
        <f>IF($C54="","",IF(H54="","(no cost centre)",H54&amp;" - GL "&amp;IFERROR(INDEX(lst_CCtoGL,MATCH(H54,lst_CCforGL,0)),"?")))</f>
        <v/>
      </c>
      <c r="R54" s="11">
        <f>IF($C54="","",IFERROR(N(INDEX(tbl_Finance[Inc GST],MATCH($AU54,tbl_Finance[Row ID],0))),""))</f>
        <v/>
      </c>
      <c r="S54" s="37" t="n"/>
      <c r="T54" s="37" t="n"/>
      <c r="U54" s="37" t="n"/>
      <c r="V54" s="42" t="n"/>
      <c r="W54" s="37" t="n"/>
      <c r="X54" s="10">
        <f>IF(W54="","",IF(AND(LEFT(W54,4)&lt;&gt;"http",set_RMSBase=""),"",HYPERLINK(IF(LEFT(W54,4)="http",W54,set_RMSBase&amp;W54),"Open in RMS")))</f>
        <v/>
      </c>
      <c r="Y54" s="37" t="n"/>
      <c r="Z54" s="10">
        <f>IF(Y54="","",HYPERLINK(IF(LEFT(Y54,4)="http",Y54,set_QwilrBase&amp;Y54),"Open quote"))</f>
        <v/>
      </c>
      <c r="AA54" s="10">
        <f>IF(C54="","",C54)</f>
        <v/>
      </c>
      <c r="AB54" s="37" t="n"/>
      <c r="AC54" s="39" t="n"/>
      <c r="AD54" s="11">
        <f>IF(C54="","",N(L54)+N(AC54))</f>
        <v/>
      </c>
      <c r="AE54" s="43">
        <f>IFERROR(IF(N(AC54)=0,"",AC54/AD54),"")</f>
        <v/>
      </c>
      <c r="AF54" s="39" t="n"/>
      <c r="AG54" s="39" t="n"/>
      <c r="AH54" s="39" t="n"/>
      <c r="AI54" s="39" t="n"/>
      <c r="AJ54" s="11">
        <f>IF(C54="","",IF(H54="VIDEO",N(L54),0))</f>
        <v/>
      </c>
      <c r="AK54" s="43">
        <f>IFERROR(IF(N(L54)=0,"",AJ54/L54),"")</f>
        <v/>
      </c>
      <c r="AL54" s="11">
        <f>IF(C54="","",N(AF54)+N(AG54)+N(AH54)+N(AI54))</f>
        <v/>
      </c>
      <c r="AM54" s="11">
        <f>IF(C54="","",MAX(N(L54),N(O54))-N(AL54))</f>
        <v/>
      </c>
      <c r="AN54" s="43">
        <f>IFERROR(IF(MAX(N(L54),N(O54))=0,"",AM54/MAX(N(L54),N(O54))),"")</f>
        <v/>
      </c>
      <c r="AO54" s="41" t="n"/>
      <c r="AP54" s="41" t="n"/>
      <c r="AQ54" s="41" t="n"/>
      <c r="AR54" s="41" t="n"/>
      <c r="AS54" s="41" t="n"/>
      <c r="AT54" s="37" t="n"/>
      <c r="AU54" s="10" t="inlineStr">
        <is>
          <t>PRD-0050</t>
        </is>
      </c>
    </row>
    <row r="55">
      <c r="A55" s="16">
        <f>IF($C55="","",IFERROR(IF(INDEX(tbl_Finance[Latest Invoice Date],MATCH($AU55,tbl_Finance[Row ID],0))="","",INDEX(tbl_Finance[Latest Invoice Date],MATCH($AU55,tbl_Finance[Row ID],0))),""))</f>
        <v/>
      </c>
      <c r="B55" s="10">
        <f>IF($C55="","",IFERROR(INDEX(tbl_Finance[Invoice Numbers],MATCH($AU55,tbl_Finance[Row ID],0))&amp;"",""))</f>
        <v/>
      </c>
      <c r="C55" s="37" t="n"/>
      <c r="D55" s="10">
        <f>IF($C55="","",IF(COUNTIF(lst_Jobs,$C55&amp;"")&gt;0,"OK","CHECK"))</f>
        <v/>
      </c>
      <c r="E55" s="10">
        <f>IF($C55="","",IFERROR(INDEX(lst_JobName,MATCH($C55&amp;"",lst_Jobs,0)),""))</f>
        <v/>
      </c>
      <c r="F55" s="37" t="n"/>
      <c r="G55" s="37" t="n"/>
      <c r="H55" s="37" t="n"/>
      <c r="I55" s="37" t="n"/>
      <c r="J55" s="37" t="n"/>
      <c r="K55" s="38">
        <f>IF($C55="","",IFERROR(N(INDEX(tbl_Finance[Invoice Count],MATCH($AU55,tbl_Finance[Row ID],0))),""))</f>
        <v/>
      </c>
      <c r="L55" s="11">
        <f>IF($C55="","",IFERROR(N(INDEX(tbl_Finance[Xero Invoiced Ex GST],MATCH($AU55,tbl_Finance[Row ID],0))),""))</f>
        <v/>
      </c>
      <c r="M55" s="10">
        <f>IF($C55="","",IFERROR(INDEX(tbl_Finance[Compare],MATCH($AU55,tbl_Finance[Row ID],0))&amp;"",""))</f>
        <v/>
      </c>
      <c r="N55" s="11">
        <f>IF($C55="","",MAX(0,N(O55)-N(L55)))</f>
        <v/>
      </c>
      <c r="O55" s="39" t="n"/>
      <c r="P55" s="40">
        <f>IF($C55="","",IF((IF(F55="",", Client","")&amp;IF(G55="",", Description","")&amp;IF(H55="",", Cost Centre","")&amp;IF(I55="",", Invoice Type","")&amp;IF(J55="",", Tax Code","")&amp;IF(O55="",", Expected Revenue","")&amp;IF(COUNTIF(tbl_Finance[Job Number],$C55&amp;"")&gt;1,", Job number used twice",""))="","Complete","Fix: "&amp;MID(IF(F55="",", Client","")&amp;IF(G55="",", Description","")&amp;IF(H55="",", Cost Centre","")&amp;IF(I55="",", Invoice Type","")&amp;IF(J55="",", Tax Code","")&amp;IF(O55="",", Expected Revenue","")&amp;IF(COUNTIF(tbl_Finance[Job Number],$C55&amp;"")&gt;1,", Job number used twice",""),3,300)))</f>
        <v/>
      </c>
      <c r="Q55" s="10">
        <f>IF($C55="","",IF(H55="","(no cost centre)",H55&amp;" - GL "&amp;IFERROR(INDEX(lst_CCtoGL,MATCH(H55,lst_CCforGL,0)),"?")))</f>
        <v/>
      </c>
      <c r="R55" s="11">
        <f>IF($C55="","",IFERROR(N(INDEX(tbl_Finance[Inc GST],MATCH($AU55,tbl_Finance[Row ID],0))),""))</f>
        <v/>
      </c>
      <c r="S55" s="37" t="n"/>
      <c r="T55" s="37" t="n"/>
      <c r="U55" s="37" t="n"/>
      <c r="V55" s="42" t="n"/>
      <c r="W55" s="37" t="n"/>
      <c r="X55" s="10">
        <f>IF(W55="","",IF(AND(LEFT(W55,4)&lt;&gt;"http",set_RMSBase=""),"",HYPERLINK(IF(LEFT(W55,4)="http",W55,set_RMSBase&amp;W55),"Open in RMS")))</f>
        <v/>
      </c>
      <c r="Y55" s="37" t="n"/>
      <c r="Z55" s="10">
        <f>IF(Y55="","",HYPERLINK(IF(LEFT(Y55,4)="http",Y55,set_QwilrBase&amp;Y55),"Open quote"))</f>
        <v/>
      </c>
      <c r="AA55" s="10">
        <f>IF(C55="","",C55)</f>
        <v/>
      </c>
      <c r="AB55" s="37" t="n"/>
      <c r="AC55" s="39" t="n"/>
      <c r="AD55" s="11">
        <f>IF(C55="","",N(L55)+N(AC55))</f>
        <v/>
      </c>
      <c r="AE55" s="43">
        <f>IFERROR(IF(N(AC55)=0,"",AC55/AD55),"")</f>
        <v/>
      </c>
      <c r="AF55" s="39" t="n"/>
      <c r="AG55" s="39" t="n"/>
      <c r="AH55" s="39" t="n"/>
      <c r="AI55" s="39" t="n"/>
      <c r="AJ55" s="11">
        <f>IF(C55="","",IF(H55="VIDEO",N(L55),0))</f>
        <v/>
      </c>
      <c r="AK55" s="43">
        <f>IFERROR(IF(N(L55)=0,"",AJ55/L55),"")</f>
        <v/>
      </c>
      <c r="AL55" s="11">
        <f>IF(C55="","",N(AF55)+N(AG55)+N(AH55)+N(AI55))</f>
        <v/>
      </c>
      <c r="AM55" s="11">
        <f>IF(C55="","",MAX(N(L55),N(O55))-N(AL55))</f>
        <v/>
      </c>
      <c r="AN55" s="43">
        <f>IFERROR(IF(MAX(N(L55),N(O55))=0,"",AM55/MAX(N(L55),N(O55))),"")</f>
        <v/>
      </c>
      <c r="AO55" s="41" t="n"/>
      <c r="AP55" s="41" t="n"/>
      <c r="AQ55" s="41" t="n"/>
      <c r="AR55" s="41" t="n"/>
      <c r="AS55" s="41" t="n"/>
      <c r="AT55" s="37" t="n"/>
      <c r="AU55" s="10" t="inlineStr">
        <is>
          <t>PRD-0051</t>
        </is>
      </c>
    </row>
    <row r="56">
      <c r="A56" s="16">
        <f>IF($C56="","",IFERROR(IF(INDEX(tbl_Finance[Latest Invoice Date],MATCH($AU56,tbl_Finance[Row ID],0))="","",INDEX(tbl_Finance[Latest Invoice Date],MATCH($AU56,tbl_Finance[Row ID],0))),""))</f>
        <v/>
      </c>
      <c r="B56" s="10">
        <f>IF($C56="","",IFERROR(INDEX(tbl_Finance[Invoice Numbers],MATCH($AU56,tbl_Finance[Row ID],0))&amp;"",""))</f>
        <v/>
      </c>
      <c r="C56" s="37" t="n"/>
      <c r="D56" s="10">
        <f>IF($C56="","",IF(COUNTIF(lst_Jobs,$C56&amp;"")&gt;0,"OK","CHECK"))</f>
        <v/>
      </c>
      <c r="E56" s="10">
        <f>IF($C56="","",IFERROR(INDEX(lst_JobName,MATCH($C56&amp;"",lst_Jobs,0)),""))</f>
        <v/>
      </c>
      <c r="F56" s="37" t="n"/>
      <c r="G56" s="37" t="n"/>
      <c r="H56" s="37" t="n"/>
      <c r="I56" s="37" t="n"/>
      <c r="J56" s="37" t="n"/>
      <c r="K56" s="38">
        <f>IF($C56="","",IFERROR(N(INDEX(tbl_Finance[Invoice Count],MATCH($AU56,tbl_Finance[Row ID],0))),""))</f>
        <v/>
      </c>
      <c r="L56" s="11">
        <f>IF($C56="","",IFERROR(N(INDEX(tbl_Finance[Xero Invoiced Ex GST],MATCH($AU56,tbl_Finance[Row ID],0))),""))</f>
        <v/>
      </c>
      <c r="M56" s="10">
        <f>IF($C56="","",IFERROR(INDEX(tbl_Finance[Compare],MATCH($AU56,tbl_Finance[Row ID],0))&amp;"",""))</f>
        <v/>
      </c>
      <c r="N56" s="11">
        <f>IF($C56="","",MAX(0,N(O56)-N(L56)))</f>
        <v/>
      </c>
      <c r="O56" s="39" t="n"/>
      <c r="P56" s="40">
        <f>IF($C56="","",IF((IF(F56="",", Client","")&amp;IF(G56="",", Description","")&amp;IF(H56="",", Cost Centre","")&amp;IF(I56="",", Invoice Type","")&amp;IF(J56="",", Tax Code","")&amp;IF(O56="",", Expected Revenue","")&amp;IF(COUNTIF(tbl_Finance[Job Number],$C56&amp;"")&gt;1,", Job number used twice",""))="","Complete","Fix: "&amp;MID(IF(F56="",", Client","")&amp;IF(G56="",", Description","")&amp;IF(H56="",", Cost Centre","")&amp;IF(I56="",", Invoice Type","")&amp;IF(J56="",", Tax Code","")&amp;IF(O56="",", Expected Revenue","")&amp;IF(COUNTIF(tbl_Finance[Job Number],$C56&amp;"")&gt;1,", Job number used twice",""),3,300)))</f>
        <v/>
      </c>
      <c r="Q56" s="10">
        <f>IF($C56="","",IF(H56="","(no cost centre)",H56&amp;" - GL "&amp;IFERROR(INDEX(lst_CCtoGL,MATCH(H56,lst_CCforGL,0)),"?")))</f>
        <v/>
      </c>
      <c r="R56" s="11">
        <f>IF($C56="","",IFERROR(N(INDEX(tbl_Finance[Inc GST],MATCH($AU56,tbl_Finance[Row ID],0))),""))</f>
        <v/>
      </c>
      <c r="S56" s="37" t="n"/>
      <c r="T56" s="37" t="n"/>
      <c r="U56" s="37" t="n"/>
      <c r="V56" s="42" t="n"/>
      <c r="W56" s="37" t="n"/>
      <c r="X56" s="10">
        <f>IF(W56="","",IF(AND(LEFT(W56,4)&lt;&gt;"http",set_RMSBase=""),"",HYPERLINK(IF(LEFT(W56,4)="http",W56,set_RMSBase&amp;W56),"Open in RMS")))</f>
        <v/>
      </c>
      <c r="Y56" s="37" t="n"/>
      <c r="Z56" s="10">
        <f>IF(Y56="","",HYPERLINK(IF(LEFT(Y56,4)="http",Y56,set_QwilrBase&amp;Y56),"Open quote"))</f>
        <v/>
      </c>
      <c r="AA56" s="10">
        <f>IF(C56="","",C56)</f>
        <v/>
      </c>
      <c r="AB56" s="37" t="n"/>
      <c r="AC56" s="39" t="n"/>
      <c r="AD56" s="11">
        <f>IF(C56="","",N(L56)+N(AC56))</f>
        <v/>
      </c>
      <c r="AE56" s="43">
        <f>IFERROR(IF(N(AC56)=0,"",AC56/AD56),"")</f>
        <v/>
      </c>
      <c r="AF56" s="39" t="n"/>
      <c r="AG56" s="39" t="n"/>
      <c r="AH56" s="39" t="n"/>
      <c r="AI56" s="39" t="n"/>
      <c r="AJ56" s="11">
        <f>IF(C56="","",IF(H56="VIDEO",N(L56),0))</f>
        <v/>
      </c>
      <c r="AK56" s="43">
        <f>IFERROR(IF(N(L56)=0,"",AJ56/L56),"")</f>
        <v/>
      </c>
      <c r="AL56" s="11">
        <f>IF(C56="","",N(AF56)+N(AG56)+N(AH56)+N(AI56))</f>
        <v/>
      </c>
      <c r="AM56" s="11">
        <f>IF(C56="","",MAX(N(L56),N(O56))-N(AL56))</f>
        <v/>
      </c>
      <c r="AN56" s="43">
        <f>IFERROR(IF(MAX(N(L56),N(O56))=0,"",AM56/MAX(N(L56),N(O56))),"")</f>
        <v/>
      </c>
      <c r="AO56" s="41" t="n"/>
      <c r="AP56" s="41" t="n"/>
      <c r="AQ56" s="41" t="n"/>
      <c r="AR56" s="41" t="n"/>
      <c r="AS56" s="41" t="n"/>
      <c r="AT56" s="37" t="n"/>
      <c r="AU56" s="10" t="inlineStr">
        <is>
          <t>PRD-0052</t>
        </is>
      </c>
    </row>
    <row r="57">
      <c r="A57" s="16">
        <f>IF($C57="","",IFERROR(IF(INDEX(tbl_Finance[Latest Invoice Date],MATCH($AU57,tbl_Finance[Row ID],0))="","",INDEX(tbl_Finance[Latest Invoice Date],MATCH($AU57,tbl_Finance[Row ID],0))),""))</f>
        <v/>
      </c>
      <c r="B57" s="10">
        <f>IF($C57="","",IFERROR(INDEX(tbl_Finance[Invoice Numbers],MATCH($AU57,tbl_Finance[Row ID],0))&amp;"",""))</f>
        <v/>
      </c>
      <c r="C57" s="37" t="n"/>
      <c r="D57" s="10">
        <f>IF($C57="","",IF(COUNTIF(lst_Jobs,$C57&amp;"")&gt;0,"OK","CHECK"))</f>
        <v/>
      </c>
      <c r="E57" s="10">
        <f>IF($C57="","",IFERROR(INDEX(lst_JobName,MATCH($C57&amp;"",lst_Jobs,0)),""))</f>
        <v/>
      </c>
      <c r="F57" s="37" t="n"/>
      <c r="G57" s="37" t="n"/>
      <c r="H57" s="37" t="n"/>
      <c r="I57" s="37" t="n"/>
      <c r="J57" s="37" t="n"/>
      <c r="K57" s="38">
        <f>IF($C57="","",IFERROR(N(INDEX(tbl_Finance[Invoice Count],MATCH($AU57,tbl_Finance[Row ID],0))),""))</f>
        <v/>
      </c>
      <c r="L57" s="11">
        <f>IF($C57="","",IFERROR(N(INDEX(tbl_Finance[Xero Invoiced Ex GST],MATCH($AU57,tbl_Finance[Row ID],0))),""))</f>
        <v/>
      </c>
      <c r="M57" s="10">
        <f>IF($C57="","",IFERROR(INDEX(tbl_Finance[Compare],MATCH($AU57,tbl_Finance[Row ID],0))&amp;"",""))</f>
        <v/>
      </c>
      <c r="N57" s="11">
        <f>IF($C57="","",MAX(0,N(O57)-N(L57)))</f>
        <v/>
      </c>
      <c r="O57" s="39" t="n"/>
      <c r="P57" s="40">
        <f>IF($C57="","",IF((IF(F57="",", Client","")&amp;IF(G57="",", Description","")&amp;IF(H57="",", Cost Centre","")&amp;IF(I57="",", Invoice Type","")&amp;IF(J57="",", Tax Code","")&amp;IF(O57="",", Expected Revenue","")&amp;IF(COUNTIF(tbl_Finance[Job Number],$C57&amp;"")&gt;1,", Job number used twice",""))="","Complete","Fix: "&amp;MID(IF(F57="",", Client","")&amp;IF(G57="",", Description","")&amp;IF(H57="",", Cost Centre","")&amp;IF(I57="",", Invoice Type","")&amp;IF(J57="",", Tax Code","")&amp;IF(O57="",", Expected Revenue","")&amp;IF(COUNTIF(tbl_Finance[Job Number],$C57&amp;"")&gt;1,", Job number used twice",""),3,300)))</f>
        <v/>
      </c>
      <c r="Q57" s="10">
        <f>IF($C57="","",IF(H57="","(no cost centre)",H57&amp;" - GL "&amp;IFERROR(INDEX(lst_CCtoGL,MATCH(H57,lst_CCforGL,0)),"?")))</f>
        <v/>
      </c>
      <c r="R57" s="11">
        <f>IF($C57="","",IFERROR(N(INDEX(tbl_Finance[Inc GST],MATCH($AU57,tbl_Finance[Row ID],0))),""))</f>
        <v/>
      </c>
      <c r="S57" s="37" t="n"/>
      <c r="T57" s="37" t="n"/>
      <c r="U57" s="37" t="n"/>
      <c r="V57" s="42" t="n"/>
      <c r="W57" s="37" t="n"/>
      <c r="X57" s="10">
        <f>IF(W57="","",IF(AND(LEFT(W57,4)&lt;&gt;"http",set_RMSBase=""),"",HYPERLINK(IF(LEFT(W57,4)="http",W57,set_RMSBase&amp;W57),"Open in RMS")))</f>
        <v/>
      </c>
      <c r="Y57" s="37" t="n"/>
      <c r="Z57" s="10">
        <f>IF(Y57="","",HYPERLINK(IF(LEFT(Y57,4)="http",Y57,set_QwilrBase&amp;Y57),"Open quote"))</f>
        <v/>
      </c>
      <c r="AA57" s="10">
        <f>IF(C57="","",C57)</f>
        <v/>
      </c>
      <c r="AB57" s="37" t="n"/>
      <c r="AC57" s="39" t="n"/>
      <c r="AD57" s="11">
        <f>IF(C57="","",N(L57)+N(AC57))</f>
        <v/>
      </c>
      <c r="AE57" s="43">
        <f>IFERROR(IF(N(AC57)=0,"",AC57/AD57),"")</f>
        <v/>
      </c>
      <c r="AF57" s="39" t="n"/>
      <c r="AG57" s="39" t="n"/>
      <c r="AH57" s="39" t="n"/>
      <c r="AI57" s="39" t="n"/>
      <c r="AJ57" s="11">
        <f>IF(C57="","",IF(H57="VIDEO",N(L57),0))</f>
        <v/>
      </c>
      <c r="AK57" s="43">
        <f>IFERROR(IF(N(L57)=0,"",AJ57/L57),"")</f>
        <v/>
      </c>
      <c r="AL57" s="11">
        <f>IF(C57="","",N(AF57)+N(AG57)+N(AH57)+N(AI57))</f>
        <v/>
      </c>
      <c r="AM57" s="11">
        <f>IF(C57="","",MAX(N(L57),N(O57))-N(AL57))</f>
        <v/>
      </c>
      <c r="AN57" s="43">
        <f>IFERROR(IF(MAX(N(L57),N(O57))=0,"",AM57/MAX(N(L57),N(O57))),"")</f>
        <v/>
      </c>
      <c r="AO57" s="41" t="n"/>
      <c r="AP57" s="41" t="n"/>
      <c r="AQ57" s="41" t="n"/>
      <c r="AR57" s="41" t="n"/>
      <c r="AS57" s="41" t="n"/>
      <c r="AT57" s="37" t="n"/>
      <c r="AU57" s="10" t="inlineStr">
        <is>
          <t>PRD-0053</t>
        </is>
      </c>
    </row>
    <row r="58">
      <c r="A58" s="16">
        <f>IF($C58="","",IFERROR(IF(INDEX(tbl_Finance[Latest Invoice Date],MATCH($AU58,tbl_Finance[Row ID],0))="","",INDEX(tbl_Finance[Latest Invoice Date],MATCH($AU58,tbl_Finance[Row ID],0))),""))</f>
        <v/>
      </c>
      <c r="B58" s="10">
        <f>IF($C58="","",IFERROR(INDEX(tbl_Finance[Invoice Numbers],MATCH($AU58,tbl_Finance[Row ID],0))&amp;"",""))</f>
        <v/>
      </c>
      <c r="C58" s="37" t="n"/>
      <c r="D58" s="10">
        <f>IF($C58="","",IF(COUNTIF(lst_Jobs,$C58&amp;"")&gt;0,"OK","CHECK"))</f>
        <v/>
      </c>
      <c r="E58" s="10">
        <f>IF($C58="","",IFERROR(INDEX(lst_JobName,MATCH($C58&amp;"",lst_Jobs,0)),""))</f>
        <v/>
      </c>
      <c r="F58" s="37" t="n"/>
      <c r="G58" s="37" t="n"/>
      <c r="H58" s="37" t="n"/>
      <c r="I58" s="37" t="n"/>
      <c r="J58" s="37" t="n"/>
      <c r="K58" s="38">
        <f>IF($C58="","",IFERROR(N(INDEX(tbl_Finance[Invoice Count],MATCH($AU58,tbl_Finance[Row ID],0))),""))</f>
        <v/>
      </c>
      <c r="L58" s="11">
        <f>IF($C58="","",IFERROR(N(INDEX(tbl_Finance[Xero Invoiced Ex GST],MATCH($AU58,tbl_Finance[Row ID],0))),""))</f>
        <v/>
      </c>
      <c r="M58" s="10">
        <f>IF($C58="","",IFERROR(INDEX(tbl_Finance[Compare],MATCH($AU58,tbl_Finance[Row ID],0))&amp;"",""))</f>
        <v/>
      </c>
      <c r="N58" s="11">
        <f>IF($C58="","",MAX(0,N(O58)-N(L58)))</f>
        <v/>
      </c>
      <c r="O58" s="39" t="n"/>
      <c r="P58" s="40">
        <f>IF($C58="","",IF((IF(F58="",", Client","")&amp;IF(G58="",", Description","")&amp;IF(H58="",", Cost Centre","")&amp;IF(I58="",", Invoice Type","")&amp;IF(J58="",", Tax Code","")&amp;IF(O58="",", Expected Revenue","")&amp;IF(COUNTIF(tbl_Finance[Job Number],$C58&amp;"")&gt;1,", Job number used twice",""))="","Complete","Fix: "&amp;MID(IF(F58="",", Client","")&amp;IF(G58="",", Description","")&amp;IF(H58="",", Cost Centre","")&amp;IF(I58="",", Invoice Type","")&amp;IF(J58="",", Tax Code","")&amp;IF(O58="",", Expected Revenue","")&amp;IF(COUNTIF(tbl_Finance[Job Number],$C58&amp;"")&gt;1,", Job number used twice",""),3,300)))</f>
        <v/>
      </c>
      <c r="Q58" s="10">
        <f>IF($C58="","",IF(H58="","(no cost centre)",H58&amp;" - GL "&amp;IFERROR(INDEX(lst_CCtoGL,MATCH(H58,lst_CCforGL,0)),"?")))</f>
        <v/>
      </c>
      <c r="R58" s="11">
        <f>IF($C58="","",IFERROR(N(INDEX(tbl_Finance[Inc GST],MATCH($AU58,tbl_Finance[Row ID],0))),""))</f>
        <v/>
      </c>
      <c r="S58" s="37" t="n"/>
      <c r="T58" s="37" t="n"/>
      <c r="U58" s="37" t="n"/>
      <c r="V58" s="42" t="n"/>
      <c r="W58" s="37" t="n"/>
      <c r="X58" s="10">
        <f>IF(W58="","",IF(AND(LEFT(W58,4)&lt;&gt;"http",set_RMSBase=""),"",HYPERLINK(IF(LEFT(W58,4)="http",W58,set_RMSBase&amp;W58),"Open in RMS")))</f>
        <v/>
      </c>
      <c r="Y58" s="37" t="n"/>
      <c r="Z58" s="10">
        <f>IF(Y58="","",HYPERLINK(IF(LEFT(Y58,4)="http",Y58,set_QwilrBase&amp;Y58),"Open quote"))</f>
        <v/>
      </c>
      <c r="AA58" s="10">
        <f>IF(C58="","",C58)</f>
        <v/>
      </c>
      <c r="AB58" s="37" t="n"/>
      <c r="AC58" s="39" t="n"/>
      <c r="AD58" s="11">
        <f>IF(C58="","",N(L58)+N(AC58))</f>
        <v/>
      </c>
      <c r="AE58" s="43">
        <f>IFERROR(IF(N(AC58)=0,"",AC58/AD58),"")</f>
        <v/>
      </c>
      <c r="AF58" s="39" t="n"/>
      <c r="AG58" s="39" t="n"/>
      <c r="AH58" s="39" t="n"/>
      <c r="AI58" s="39" t="n"/>
      <c r="AJ58" s="11">
        <f>IF(C58="","",IF(H58="VIDEO",N(L58),0))</f>
        <v/>
      </c>
      <c r="AK58" s="43">
        <f>IFERROR(IF(N(L58)=0,"",AJ58/L58),"")</f>
        <v/>
      </c>
      <c r="AL58" s="11">
        <f>IF(C58="","",N(AF58)+N(AG58)+N(AH58)+N(AI58))</f>
        <v/>
      </c>
      <c r="AM58" s="11">
        <f>IF(C58="","",MAX(N(L58),N(O58))-N(AL58))</f>
        <v/>
      </c>
      <c r="AN58" s="43">
        <f>IFERROR(IF(MAX(N(L58),N(O58))=0,"",AM58/MAX(N(L58),N(O58))),"")</f>
        <v/>
      </c>
      <c r="AO58" s="41" t="n"/>
      <c r="AP58" s="41" t="n"/>
      <c r="AQ58" s="41" t="n"/>
      <c r="AR58" s="41" t="n"/>
      <c r="AS58" s="41" t="n"/>
      <c r="AT58" s="37" t="n"/>
      <c r="AU58" s="10" t="inlineStr">
        <is>
          <t>PRD-0054</t>
        </is>
      </c>
    </row>
    <row r="59">
      <c r="A59" s="16">
        <f>IF($C59="","",IFERROR(IF(INDEX(tbl_Finance[Latest Invoice Date],MATCH($AU59,tbl_Finance[Row ID],0))="","",INDEX(tbl_Finance[Latest Invoice Date],MATCH($AU59,tbl_Finance[Row ID],0))),""))</f>
        <v/>
      </c>
      <c r="B59" s="10">
        <f>IF($C59="","",IFERROR(INDEX(tbl_Finance[Invoice Numbers],MATCH($AU59,tbl_Finance[Row ID],0))&amp;"",""))</f>
        <v/>
      </c>
      <c r="C59" s="37" t="n"/>
      <c r="D59" s="10">
        <f>IF($C59="","",IF(COUNTIF(lst_Jobs,$C59&amp;"")&gt;0,"OK","CHECK"))</f>
        <v/>
      </c>
      <c r="E59" s="10">
        <f>IF($C59="","",IFERROR(INDEX(lst_JobName,MATCH($C59&amp;"",lst_Jobs,0)),""))</f>
        <v/>
      </c>
      <c r="F59" s="37" t="n"/>
      <c r="G59" s="37" t="n"/>
      <c r="H59" s="37" t="n"/>
      <c r="I59" s="37" t="n"/>
      <c r="J59" s="37" t="n"/>
      <c r="K59" s="38">
        <f>IF($C59="","",IFERROR(N(INDEX(tbl_Finance[Invoice Count],MATCH($AU59,tbl_Finance[Row ID],0))),""))</f>
        <v/>
      </c>
      <c r="L59" s="11">
        <f>IF($C59="","",IFERROR(N(INDEX(tbl_Finance[Xero Invoiced Ex GST],MATCH($AU59,tbl_Finance[Row ID],0))),""))</f>
        <v/>
      </c>
      <c r="M59" s="10">
        <f>IF($C59="","",IFERROR(INDEX(tbl_Finance[Compare],MATCH($AU59,tbl_Finance[Row ID],0))&amp;"",""))</f>
        <v/>
      </c>
      <c r="N59" s="11">
        <f>IF($C59="","",MAX(0,N(O59)-N(L59)))</f>
        <v/>
      </c>
      <c r="O59" s="39" t="n"/>
      <c r="P59" s="40">
        <f>IF($C59="","",IF((IF(F59="",", Client","")&amp;IF(G59="",", Description","")&amp;IF(H59="",", Cost Centre","")&amp;IF(I59="",", Invoice Type","")&amp;IF(J59="",", Tax Code","")&amp;IF(O59="",", Expected Revenue","")&amp;IF(COUNTIF(tbl_Finance[Job Number],$C59&amp;"")&gt;1,", Job number used twice",""))="","Complete","Fix: "&amp;MID(IF(F59="",", Client","")&amp;IF(G59="",", Description","")&amp;IF(H59="",", Cost Centre","")&amp;IF(I59="",", Invoice Type","")&amp;IF(J59="",", Tax Code","")&amp;IF(O59="",", Expected Revenue","")&amp;IF(COUNTIF(tbl_Finance[Job Number],$C59&amp;"")&gt;1,", Job number used twice",""),3,300)))</f>
        <v/>
      </c>
      <c r="Q59" s="10">
        <f>IF($C59="","",IF(H59="","(no cost centre)",H59&amp;" - GL "&amp;IFERROR(INDEX(lst_CCtoGL,MATCH(H59,lst_CCforGL,0)),"?")))</f>
        <v/>
      </c>
      <c r="R59" s="11">
        <f>IF($C59="","",IFERROR(N(INDEX(tbl_Finance[Inc GST],MATCH($AU59,tbl_Finance[Row ID],0))),""))</f>
        <v/>
      </c>
      <c r="S59" s="37" t="n"/>
      <c r="T59" s="37" t="n"/>
      <c r="U59" s="37" t="n"/>
      <c r="V59" s="42" t="n"/>
      <c r="W59" s="37" t="n"/>
      <c r="X59" s="10">
        <f>IF(W59="","",IF(AND(LEFT(W59,4)&lt;&gt;"http",set_RMSBase=""),"",HYPERLINK(IF(LEFT(W59,4)="http",W59,set_RMSBase&amp;W59),"Open in RMS")))</f>
        <v/>
      </c>
      <c r="Y59" s="37" t="n"/>
      <c r="Z59" s="10">
        <f>IF(Y59="","",HYPERLINK(IF(LEFT(Y59,4)="http",Y59,set_QwilrBase&amp;Y59),"Open quote"))</f>
        <v/>
      </c>
      <c r="AA59" s="10">
        <f>IF(C59="","",C59)</f>
        <v/>
      </c>
      <c r="AB59" s="37" t="n"/>
      <c r="AC59" s="39" t="n"/>
      <c r="AD59" s="11">
        <f>IF(C59="","",N(L59)+N(AC59))</f>
        <v/>
      </c>
      <c r="AE59" s="43">
        <f>IFERROR(IF(N(AC59)=0,"",AC59/AD59),"")</f>
        <v/>
      </c>
      <c r="AF59" s="39" t="n"/>
      <c r="AG59" s="39" t="n"/>
      <c r="AH59" s="39" t="n"/>
      <c r="AI59" s="39" t="n"/>
      <c r="AJ59" s="11">
        <f>IF(C59="","",IF(H59="VIDEO",N(L59),0))</f>
        <v/>
      </c>
      <c r="AK59" s="43">
        <f>IFERROR(IF(N(L59)=0,"",AJ59/L59),"")</f>
        <v/>
      </c>
      <c r="AL59" s="11">
        <f>IF(C59="","",N(AF59)+N(AG59)+N(AH59)+N(AI59))</f>
        <v/>
      </c>
      <c r="AM59" s="11">
        <f>IF(C59="","",MAX(N(L59),N(O59))-N(AL59))</f>
        <v/>
      </c>
      <c r="AN59" s="43">
        <f>IFERROR(IF(MAX(N(L59),N(O59))=0,"",AM59/MAX(N(L59),N(O59))),"")</f>
        <v/>
      </c>
      <c r="AO59" s="41" t="n"/>
      <c r="AP59" s="41" t="n"/>
      <c r="AQ59" s="41" t="n"/>
      <c r="AR59" s="41" t="n"/>
      <c r="AS59" s="41" t="n"/>
      <c r="AT59" s="37" t="n"/>
      <c r="AU59" s="10" t="inlineStr">
        <is>
          <t>PRD-0055</t>
        </is>
      </c>
    </row>
    <row r="60">
      <c r="A60" s="16">
        <f>IF($C60="","",IFERROR(IF(INDEX(tbl_Finance[Latest Invoice Date],MATCH($AU60,tbl_Finance[Row ID],0))="","",INDEX(tbl_Finance[Latest Invoice Date],MATCH($AU60,tbl_Finance[Row ID],0))),""))</f>
        <v/>
      </c>
      <c r="B60" s="10">
        <f>IF($C60="","",IFERROR(INDEX(tbl_Finance[Invoice Numbers],MATCH($AU60,tbl_Finance[Row ID],0))&amp;"",""))</f>
        <v/>
      </c>
      <c r="C60" s="37" t="n"/>
      <c r="D60" s="10">
        <f>IF($C60="","",IF(COUNTIF(lst_Jobs,$C60&amp;"")&gt;0,"OK","CHECK"))</f>
        <v/>
      </c>
      <c r="E60" s="10">
        <f>IF($C60="","",IFERROR(INDEX(lst_JobName,MATCH($C60&amp;"",lst_Jobs,0)),""))</f>
        <v/>
      </c>
      <c r="F60" s="37" t="n"/>
      <c r="G60" s="37" t="n"/>
      <c r="H60" s="37" t="n"/>
      <c r="I60" s="37" t="n"/>
      <c r="J60" s="37" t="n"/>
      <c r="K60" s="38">
        <f>IF($C60="","",IFERROR(N(INDEX(tbl_Finance[Invoice Count],MATCH($AU60,tbl_Finance[Row ID],0))),""))</f>
        <v/>
      </c>
      <c r="L60" s="11">
        <f>IF($C60="","",IFERROR(N(INDEX(tbl_Finance[Xero Invoiced Ex GST],MATCH($AU60,tbl_Finance[Row ID],0))),""))</f>
        <v/>
      </c>
      <c r="M60" s="10">
        <f>IF($C60="","",IFERROR(INDEX(tbl_Finance[Compare],MATCH($AU60,tbl_Finance[Row ID],0))&amp;"",""))</f>
        <v/>
      </c>
      <c r="N60" s="11">
        <f>IF($C60="","",MAX(0,N(O60)-N(L60)))</f>
        <v/>
      </c>
      <c r="O60" s="39" t="n"/>
      <c r="P60" s="40">
        <f>IF($C60="","",IF((IF(F60="",", Client","")&amp;IF(G60="",", Description","")&amp;IF(H60="",", Cost Centre","")&amp;IF(I60="",", Invoice Type","")&amp;IF(J60="",", Tax Code","")&amp;IF(O60="",", Expected Revenue","")&amp;IF(COUNTIF(tbl_Finance[Job Number],$C60&amp;"")&gt;1,", Job number used twice",""))="","Complete","Fix: "&amp;MID(IF(F60="",", Client","")&amp;IF(G60="",", Description","")&amp;IF(H60="",", Cost Centre","")&amp;IF(I60="",", Invoice Type","")&amp;IF(J60="",", Tax Code","")&amp;IF(O60="",", Expected Revenue","")&amp;IF(COUNTIF(tbl_Finance[Job Number],$C60&amp;"")&gt;1,", Job number used twice",""),3,300)))</f>
        <v/>
      </c>
      <c r="Q60" s="10">
        <f>IF($C60="","",IF(H60="","(no cost centre)",H60&amp;" - GL "&amp;IFERROR(INDEX(lst_CCtoGL,MATCH(H60,lst_CCforGL,0)),"?")))</f>
        <v/>
      </c>
      <c r="R60" s="11">
        <f>IF($C60="","",IFERROR(N(INDEX(tbl_Finance[Inc GST],MATCH($AU60,tbl_Finance[Row ID],0))),""))</f>
        <v/>
      </c>
      <c r="S60" s="37" t="n"/>
      <c r="T60" s="37" t="n"/>
      <c r="U60" s="37" t="n"/>
      <c r="V60" s="42" t="n"/>
      <c r="W60" s="37" t="n"/>
      <c r="X60" s="10">
        <f>IF(W60="","",IF(AND(LEFT(W60,4)&lt;&gt;"http",set_RMSBase=""),"",HYPERLINK(IF(LEFT(W60,4)="http",W60,set_RMSBase&amp;W60),"Open in RMS")))</f>
        <v/>
      </c>
      <c r="Y60" s="37" t="n"/>
      <c r="Z60" s="10">
        <f>IF(Y60="","",HYPERLINK(IF(LEFT(Y60,4)="http",Y60,set_QwilrBase&amp;Y60),"Open quote"))</f>
        <v/>
      </c>
      <c r="AA60" s="10">
        <f>IF(C60="","",C60)</f>
        <v/>
      </c>
      <c r="AB60" s="37" t="n"/>
      <c r="AC60" s="39" t="n"/>
      <c r="AD60" s="11">
        <f>IF(C60="","",N(L60)+N(AC60))</f>
        <v/>
      </c>
      <c r="AE60" s="43">
        <f>IFERROR(IF(N(AC60)=0,"",AC60/AD60),"")</f>
        <v/>
      </c>
      <c r="AF60" s="39" t="n"/>
      <c r="AG60" s="39" t="n"/>
      <c r="AH60" s="39" t="n"/>
      <c r="AI60" s="39" t="n"/>
      <c r="AJ60" s="11">
        <f>IF(C60="","",IF(H60="VIDEO",N(L60),0))</f>
        <v/>
      </c>
      <c r="AK60" s="43">
        <f>IFERROR(IF(N(L60)=0,"",AJ60/L60),"")</f>
        <v/>
      </c>
      <c r="AL60" s="11">
        <f>IF(C60="","",N(AF60)+N(AG60)+N(AH60)+N(AI60))</f>
        <v/>
      </c>
      <c r="AM60" s="11">
        <f>IF(C60="","",MAX(N(L60),N(O60))-N(AL60))</f>
        <v/>
      </c>
      <c r="AN60" s="43">
        <f>IFERROR(IF(MAX(N(L60),N(O60))=0,"",AM60/MAX(N(L60),N(O60))),"")</f>
        <v/>
      </c>
      <c r="AO60" s="41" t="n"/>
      <c r="AP60" s="41" t="n"/>
      <c r="AQ60" s="41" t="n"/>
      <c r="AR60" s="41" t="n"/>
      <c r="AS60" s="41" t="n"/>
      <c r="AT60" s="37" t="n"/>
      <c r="AU60" s="10" t="inlineStr">
        <is>
          <t>PRD-0056</t>
        </is>
      </c>
    </row>
    <row r="61">
      <c r="A61" s="16">
        <f>IF($C61="","",IFERROR(IF(INDEX(tbl_Finance[Latest Invoice Date],MATCH($AU61,tbl_Finance[Row ID],0))="","",INDEX(tbl_Finance[Latest Invoice Date],MATCH($AU61,tbl_Finance[Row ID],0))),""))</f>
        <v/>
      </c>
      <c r="B61" s="10">
        <f>IF($C61="","",IFERROR(INDEX(tbl_Finance[Invoice Numbers],MATCH($AU61,tbl_Finance[Row ID],0))&amp;"",""))</f>
        <v/>
      </c>
      <c r="C61" s="37" t="n"/>
      <c r="D61" s="10">
        <f>IF($C61="","",IF(COUNTIF(lst_Jobs,$C61&amp;"")&gt;0,"OK","CHECK"))</f>
        <v/>
      </c>
      <c r="E61" s="10">
        <f>IF($C61="","",IFERROR(INDEX(lst_JobName,MATCH($C61&amp;"",lst_Jobs,0)),""))</f>
        <v/>
      </c>
      <c r="F61" s="37" t="n"/>
      <c r="G61" s="37" t="n"/>
      <c r="H61" s="37" t="n"/>
      <c r="I61" s="37" t="n"/>
      <c r="J61" s="37" t="n"/>
      <c r="K61" s="38">
        <f>IF($C61="","",IFERROR(N(INDEX(tbl_Finance[Invoice Count],MATCH($AU61,tbl_Finance[Row ID],0))),""))</f>
        <v/>
      </c>
      <c r="L61" s="11">
        <f>IF($C61="","",IFERROR(N(INDEX(tbl_Finance[Xero Invoiced Ex GST],MATCH($AU61,tbl_Finance[Row ID],0))),""))</f>
        <v/>
      </c>
      <c r="M61" s="10">
        <f>IF($C61="","",IFERROR(INDEX(tbl_Finance[Compare],MATCH($AU61,tbl_Finance[Row ID],0))&amp;"",""))</f>
        <v/>
      </c>
      <c r="N61" s="11">
        <f>IF($C61="","",MAX(0,N(O61)-N(L61)))</f>
        <v/>
      </c>
      <c r="O61" s="39" t="n"/>
      <c r="P61" s="40">
        <f>IF($C61="","",IF((IF(F61="",", Client","")&amp;IF(G61="",", Description","")&amp;IF(H61="",", Cost Centre","")&amp;IF(I61="",", Invoice Type","")&amp;IF(J61="",", Tax Code","")&amp;IF(O61="",", Expected Revenue","")&amp;IF(COUNTIF(tbl_Finance[Job Number],$C61&amp;"")&gt;1,", Job number used twice",""))="","Complete","Fix: "&amp;MID(IF(F61="",", Client","")&amp;IF(G61="",", Description","")&amp;IF(H61="",", Cost Centre","")&amp;IF(I61="",", Invoice Type","")&amp;IF(J61="",", Tax Code","")&amp;IF(O61="",", Expected Revenue","")&amp;IF(COUNTIF(tbl_Finance[Job Number],$C61&amp;"")&gt;1,", Job number used twice",""),3,300)))</f>
        <v/>
      </c>
      <c r="Q61" s="10">
        <f>IF($C61="","",IF(H61="","(no cost centre)",H61&amp;" - GL "&amp;IFERROR(INDEX(lst_CCtoGL,MATCH(H61,lst_CCforGL,0)),"?")))</f>
        <v/>
      </c>
      <c r="R61" s="11">
        <f>IF($C61="","",IFERROR(N(INDEX(tbl_Finance[Inc GST],MATCH($AU61,tbl_Finance[Row ID],0))),""))</f>
        <v/>
      </c>
      <c r="S61" s="37" t="n"/>
      <c r="T61" s="37" t="n"/>
      <c r="U61" s="37" t="n"/>
      <c r="V61" s="42" t="n"/>
      <c r="W61" s="37" t="n"/>
      <c r="X61" s="10">
        <f>IF(W61="","",IF(AND(LEFT(W61,4)&lt;&gt;"http",set_RMSBase=""),"",HYPERLINK(IF(LEFT(W61,4)="http",W61,set_RMSBase&amp;W61),"Open in RMS")))</f>
        <v/>
      </c>
      <c r="Y61" s="37" t="n"/>
      <c r="Z61" s="10">
        <f>IF(Y61="","",HYPERLINK(IF(LEFT(Y61,4)="http",Y61,set_QwilrBase&amp;Y61),"Open quote"))</f>
        <v/>
      </c>
      <c r="AA61" s="10">
        <f>IF(C61="","",C61)</f>
        <v/>
      </c>
      <c r="AB61" s="37" t="n"/>
      <c r="AC61" s="39" t="n"/>
      <c r="AD61" s="11">
        <f>IF(C61="","",N(L61)+N(AC61))</f>
        <v/>
      </c>
      <c r="AE61" s="43">
        <f>IFERROR(IF(N(AC61)=0,"",AC61/AD61),"")</f>
        <v/>
      </c>
      <c r="AF61" s="39" t="n"/>
      <c r="AG61" s="39" t="n"/>
      <c r="AH61" s="39" t="n"/>
      <c r="AI61" s="39" t="n"/>
      <c r="AJ61" s="11">
        <f>IF(C61="","",IF(H61="VIDEO",N(L61),0))</f>
        <v/>
      </c>
      <c r="AK61" s="43">
        <f>IFERROR(IF(N(L61)=0,"",AJ61/L61),"")</f>
        <v/>
      </c>
      <c r="AL61" s="11">
        <f>IF(C61="","",N(AF61)+N(AG61)+N(AH61)+N(AI61))</f>
        <v/>
      </c>
      <c r="AM61" s="11">
        <f>IF(C61="","",MAX(N(L61),N(O61))-N(AL61))</f>
        <v/>
      </c>
      <c r="AN61" s="43">
        <f>IFERROR(IF(MAX(N(L61),N(O61))=0,"",AM61/MAX(N(L61),N(O61))),"")</f>
        <v/>
      </c>
      <c r="AO61" s="41" t="n"/>
      <c r="AP61" s="41" t="n"/>
      <c r="AQ61" s="41" t="n"/>
      <c r="AR61" s="41" t="n"/>
      <c r="AS61" s="41" t="n"/>
      <c r="AT61" s="37" t="n"/>
      <c r="AU61" s="10" t="inlineStr">
        <is>
          <t>PRD-0057</t>
        </is>
      </c>
    </row>
    <row r="62">
      <c r="A62" s="16">
        <f>IF($C62="","",IFERROR(IF(INDEX(tbl_Finance[Latest Invoice Date],MATCH($AU62,tbl_Finance[Row ID],0))="","",INDEX(tbl_Finance[Latest Invoice Date],MATCH($AU62,tbl_Finance[Row ID],0))),""))</f>
        <v/>
      </c>
      <c r="B62" s="10">
        <f>IF($C62="","",IFERROR(INDEX(tbl_Finance[Invoice Numbers],MATCH($AU62,tbl_Finance[Row ID],0))&amp;"",""))</f>
        <v/>
      </c>
      <c r="C62" s="37" t="n"/>
      <c r="D62" s="10">
        <f>IF($C62="","",IF(COUNTIF(lst_Jobs,$C62&amp;"")&gt;0,"OK","CHECK"))</f>
        <v/>
      </c>
      <c r="E62" s="10">
        <f>IF($C62="","",IFERROR(INDEX(lst_JobName,MATCH($C62&amp;"",lst_Jobs,0)),""))</f>
        <v/>
      </c>
      <c r="F62" s="37" t="n"/>
      <c r="G62" s="37" t="n"/>
      <c r="H62" s="37" t="n"/>
      <c r="I62" s="37" t="n"/>
      <c r="J62" s="37" t="n"/>
      <c r="K62" s="38">
        <f>IF($C62="","",IFERROR(N(INDEX(tbl_Finance[Invoice Count],MATCH($AU62,tbl_Finance[Row ID],0))),""))</f>
        <v/>
      </c>
      <c r="L62" s="11">
        <f>IF($C62="","",IFERROR(N(INDEX(tbl_Finance[Xero Invoiced Ex GST],MATCH($AU62,tbl_Finance[Row ID],0))),""))</f>
        <v/>
      </c>
      <c r="M62" s="10">
        <f>IF($C62="","",IFERROR(INDEX(tbl_Finance[Compare],MATCH($AU62,tbl_Finance[Row ID],0))&amp;"",""))</f>
        <v/>
      </c>
      <c r="N62" s="11">
        <f>IF($C62="","",MAX(0,N(O62)-N(L62)))</f>
        <v/>
      </c>
      <c r="O62" s="39" t="n"/>
      <c r="P62" s="40">
        <f>IF($C62="","",IF((IF(F62="",", Client","")&amp;IF(G62="",", Description","")&amp;IF(H62="",", Cost Centre","")&amp;IF(I62="",", Invoice Type","")&amp;IF(J62="",", Tax Code","")&amp;IF(O62="",", Expected Revenue","")&amp;IF(COUNTIF(tbl_Finance[Job Number],$C62&amp;"")&gt;1,", Job number used twice",""))="","Complete","Fix: "&amp;MID(IF(F62="",", Client","")&amp;IF(G62="",", Description","")&amp;IF(H62="",", Cost Centre","")&amp;IF(I62="",", Invoice Type","")&amp;IF(J62="",", Tax Code","")&amp;IF(O62="",", Expected Revenue","")&amp;IF(COUNTIF(tbl_Finance[Job Number],$C62&amp;"")&gt;1,", Job number used twice",""),3,300)))</f>
        <v/>
      </c>
      <c r="Q62" s="10">
        <f>IF($C62="","",IF(H62="","(no cost centre)",H62&amp;" - GL "&amp;IFERROR(INDEX(lst_CCtoGL,MATCH(H62,lst_CCforGL,0)),"?")))</f>
        <v/>
      </c>
      <c r="R62" s="11">
        <f>IF($C62="","",IFERROR(N(INDEX(tbl_Finance[Inc GST],MATCH($AU62,tbl_Finance[Row ID],0))),""))</f>
        <v/>
      </c>
      <c r="S62" s="37" t="n"/>
      <c r="T62" s="37" t="n"/>
      <c r="U62" s="37" t="n"/>
      <c r="V62" s="42" t="n"/>
      <c r="W62" s="37" t="n"/>
      <c r="X62" s="10">
        <f>IF(W62="","",IF(AND(LEFT(W62,4)&lt;&gt;"http",set_RMSBase=""),"",HYPERLINK(IF(LEFT(W62,4)="http",W62,set_RMSBase&amp;W62),"Open in RMS")))</f>
        <v/>
      </c>
      <c r="Y62" s="37" t="n"/>
      <c r="Z62" s="10">
        <f>IF(Y62="","",HYPERLINK(IF(LEFT(Y62,4)="http",Y62,set_QwilrBase&amp;Y62),"Open quote"))</f>
        <v/>
      </c>
      <c r="AA62" s="10">
        <f>IF(C62="","",C62)</f>
        <v/>
      </c>
      <c r="AB62" s="37" t="n"/>
      <c r="AC62" s="39" t="n"/>
      <c r="AD62" s="11">
        <f>IF(C62="","",N(L62)+N(AC62))</f>
        <v/>
      </c>
      <c r="AE62" s="43">
        <f>IFERROR(IF(N(AC62)=0,"",AC62/AD62),"")</f>
        <v/>
      </c>
      <c r="AF62" s="39" t="n"/>
      <c r="AG62" s="39" t="n"/>
      <c r="AH62" s="39" t="n"/>
      <c r="AI62" s="39" t="n"/>
      <c r="AJ62" s="11">
        <f>IF(C62="","",IF(H62="VIDEO",N(L62),0))</f>
        <v/>
      </c>
      <c r="AK62" s="43">
        <f>IFERROR(IF(N(L62)=0,"",AJ62/L62),"")</f>
        <v/>
      </c>
      <c r="AL62" s="11">
        <f>IF(C62="","",N(AF62)+N(AG62)+N(AH62)+N(AI62))</f>
        <v/>
      </c>
      <c r="AM62" s="11">
        <f>IF(C62="","",MAX(N(L62),N(O62))-N(AL62))</f>
        <v/>
      </c>
      <c r="AN62" s="43">
        <f>IFERROR(IF(MAX(N(L62),N(O62))=0,"",AM62/MAX(N(L62),N(O62))),"")</f>
        <v/>
      </c>
      <c r="AO62" s="41" t="n"/>
      <c r="AP62" s="41" t="n"/>
      <c r="AQ62" s="41" t="n"/>
      <c r="AR62" s="41" t="n"/>
      <c r="AS62" s="41" t="n"/>
      <c r="AT62" s="37" t="n"/>
      <c r="AU62" s="10" t="inlineStr">
        <is>
          <t>PRD-0058</t>
        </is>
      </c>
    </row>
    <row r="63">
      <c r="A63" s="16">
        <f>IF($C63="","",IFERROR(IF(INDEX(tbl_Finance[Latest Invoice Date],MATCH($AU63,tbl_Finance[Row ID],0))="","",INDEX(tbl_Finance[Latest Invoice Date],MATCH($AU63,tbl_Finance[Row ID],0))),""))</f>
        <v/>
      </c>
      <c r="B63" s="10">
        <f>IF($C63="","",IFERROR(INDEX(tbl_Finance[Invoice Numbers],MATCH($AU63,tbl_Finance[Row ID],0))&amp;"",""))</f>
        <v/>
      </c>
      <c r="C63" s="37" t="n"/>
      <c r="D63" s="10">
        <f>IF($C63="","",IF(COUNTIF(lst_Jobs,$C63&amp;"")&gt;0,"OK","CHECK"))</f>
        <v/>
      </c>
      <c r="E63" s="10">
        <f>IF($C63="","",IFERROR(INDEX(lst_JobName,MATCH($C63&amp;"",lst_Jobs,0)),""))</f>
        <v/>
      </c>
      <c r="F63" s="37" t="n"/>
      <c r="G63" s="37" t="n"/>
      <c r="H63" s="37" t="n"/>
      <c r="I63" s="37" t="n"/>
      <c r="J63" s="37" t="n"/>
      <c r="K63" s="38">
        <f>IF($C63="","",IFERROR(N(INDEX(tbl_Finance[Invoice Count],MATCH($AU63,tbl_Finance[Row ID],0))),""))</f>
        <v/>
      </c>
      <c r="L63" s="11">
        <f>IF($C63="","",IFERROR(N(INDEX(tbl_Finance[Xero Invoiced Ex GST],MATCH($AU63,tbl_Finance[Row ID],0))),""))</f>
        <v/>
      </c>
      <c r="M63" s="10">
        <f>IF($C63="","",IFERROR(INDEX(tbl_Finance[Compare],MATCH($AU63,tbl_Finance[Row ID],0))&amp;"",""))</f>
        <v/>
      </c>
      <c r="N63" s="11">
        <f>IF($C63="","",MAX(0,N(O63)-N(L63)))</f>
        <v/>
      </c>
      <c r="O63" s="39" t="n"/>
      <c r="P63" s="40">
        <f>IF($C63="","",IF((IF(F63="",", Client","")&amp;IF(G63="",", Description","")&amp;IF(H63="",", Cost Centre","")&amp;IF(I63="",", Invoice Type","")&amp;IF(J63="",", Tax Code","")&amp;IF(O63="",", Expected Revenue","")&amp;IF(COUNTIF(tbl_Finance[Job Number],$C63&amp;"")&gt;1,", Job number used twice",""))="","Complete","Fix: "&amp;MID(IF(F63="",", Client","")&amp;IF(G63="",", Description","")&amp;IF(H63="",", Cost Centre","")&amp;IF(I63="",", Invoice Type","")&amp;IF(J63="",", Tax Code","")&amp;IF(O63="",", Expected Revenue","")&amp;IF(COUNTIF(tbl_Finance[Job Number],$C63&amp;"")&gt;1,", Job number used twice",""),3,300)))</f>
        <v/>
      </c>
      <c r="Q63" s="10">
        <f>IF($C63="","",IF(H63="","(no cost centre)",H63&amp;" - GL "&amp;IFERROR(INDEX(lst_CCtoGL,MATCH(H63,lst_CCforGL,0)),"?")))</f>
        <v/>
      </c>
      <c r="R63" s="11">
        <f>IF($C63="","",IFERROR(N(INDEX(tbl_Finance[Inc GST],MATCH($AU63,tbl_Finance[Row ID],0))),""))</f>
        <v/>
      </c>
      <c r="S63" s="37" t="n"/>
      <c r="T63" s="37" t="n"/>
      <c r="U63" s="37" t="n"/>
      <c r="V63" s="42" t="n"/>
      <c r="W63" s="37" t="n"/>
      <c r="X63" s="10">
        <f>IF(W63="","",IF(AND(LEFT(W63,4)&lt;&gt;"http",set_RMSBase=""),"",HYPERLINK(IF(LEFT(W63,4)="http",W63,set_RMSBase&amp;W63),"Open in RMS")))</f>
        <v/>
      </c>
      <c r="Y63" s="37" t="n"/>
      <c r="Z63" s="10">
        <f>IF(Y63="","",HYPERLINK(IF(LEFT(Y63,4)="http",Y63,set_QwilrBase&amp;Y63),"Open quote"))</f>
        <v/>
      </c>
      <c r="AA63" s="10">
        <f>IF(C63="","",C63)</f>
        <v/>
      </c>
      <c r="AB63" s="37" t="n"/>
      <c r="AC63" s="39" t="n"/>
      <c r="AD63" s="11">
        <f>IF(C63="","",N(L63)+N(AC63))</f>
        <v/>
      </c>
      <c r="AE63" s="43">
        <f>IFERROR(IF(N(AC63)=0,"",AC63/AD63),"")</f>
        <v/>
      </c>
      <c r="AF63" s="39" t="n"/>
      <c r="AG63" s="39" t="n"/>
      <c r="AH63" s="39" t="n"/>
      <c r="AI63" s="39" t="n"/>
      <c r="AJ63" s="11">
        <f>IF(C63="","",IF(H63="VIDEO",N(L63),0))</f>
        <v/>
      </c>
      <c r="AK63" s="43">
        <f>IFERROR(IF(N(L63)=0,"",AJ63/L63),"")</f>
        <v/>
      </c>
      <c r="AL63" s="11">
        <f>IF(C63="","",N(AF63)+N(AG63)+N(AH63)+N(AI63))</f>
        <v/>
      </c>
      <c r="AM63" s="11">
        <f>IF(C63="","",MAX(N(L63),N(O63))-N(AL63))</f>
        <v/>
      </c>
      <c r="AN63" s="43">
        <f>IFERROR(IF(MAX(N(L63),N(O63))=0,"",AM63/MAX(N(L63),N(O63))),"")</f>
        <v/>
      </c>
      <c r="AO63" s="41" t="n"/>
      <c r="AP63" s="41" t="n"/>
      <c r="AQ63" s="41" t="n"/>
      <c r="AR63" s="41" t="n"/>
      <c r="AS63" s="41" t="n"/>
      <c r="AT63" s="37" t="n"/>
      <c r="AU63" s="10" t="inlineStr">
        <is>
          <t>PRD-0059</t>
        </is>
      </c>
    </row>
    <row r="64">
      <c r="A64" s="16">
        <f>IF($C64="","",IFERROR(IF(INDEX(tbl_Finance[Latest Invoice Date],MATCH($AU64,tbl_Finance[Row ID],0))="","",INDEX(tbl_Finance[Latest Invoice Date],MATCH($AU64,tbl_Finance[Row ID],0))),""))</f>
        <v/>
      </c>
      <c r="B64" s="10">
        <f>IF($C64="","",IFERROR(INDEX(tbl_Finance[Invoice Numbers],MATCH($AU64,tbl_Finance[Row ID],0))&amp;"",""))</f>
        <v/>
      </c>
      <c r="C64" s="37" t="n"/>
      <c r="D64" s="10">
        <f>IF($C64="","",IF(COUNTIF(lst_Jobs,$C64&amp;"")&gt;0,"OK","CHECK"))</f>
        <v/>
      </c>
      <c r="E64" s="10">
        <f>IF($C64="","",IFERROR(INDEX(lst_JobName,MATCH($C64&amp;"",lst_Jobs,0)),""))</f>
        <v/>
      </c>
      <c r="F64" s="37" t="n"/>
      <c r="G64" s="37" t="n"/>
      <c r="H64" s="37" t="n"/>
      <c r="I64" s="37" t="n"/>
      <c r="J64" s="37" t="n"/>
      <c r="K64" s="38">
        <f>IF($C64="","",IFERROR(N(INDEX(tbl_Finance[Invoice Count],MATCH($AU64,tbl_Finance[Row ID],0))),""))</f>
        <v/>
      </c>
      <c r="L64" s="11">
        <f>IF($C64="","",IFERROR(N(INDEX(tbl_Finance[Xero Invoiced Ex GST],MATCH($AU64,tbl_Finance[Row ID],0))),""))</f>
        <v/>
      </c>
      <c r="M64" s="10">
        <f>IF($C64="","",IFERROR(INDEX(tbl_Finance[Compare],MATCH($AU64,tbl_Finance[Row ID],0))&amp;"",""))</f>
        <v/>
      </c>
      <c r="N64" s="11">
        <f>IF($C64="","",MAX(0,N(O64)-N(L64)))</f>
        <v/>
      </c>
      <c r="O64" s="39" t="n"/>
      <c r="P64" s="40">
        <f>IF($C64="","",IF((IF(F64="",", Client","")&amp;IF(G64="",", Description","")&amp;IF(H64="",", Cost Centre","")&amp;IF(I64="",", Invoice Type","")&amp;IF(J64="",", Tax Code","")&amp;IF(O64="",", Expected Revenue","")&amp;IF(COUNTIF(tbl_Finance[Job Number],$C64&amp;"")&gt;1,", Job number used twice",""))="","Complete","Fix: "&amp;MID(IF(F64="",", Client","")&amp;IF(G64="",", Description","")&amp;IF(H64="",", Cost Centre","")&amp;IF(I64="",", Invoice Type","")&amp;IF(J64="",", Tax Code","")&amp;IF(O64="",", Expected Revenue","")&amp;IF(COUNTIF(tbl_Finance[Job Number],$C64&amp;"")&gt;1,", Job number used twice",""),3,300)))</f>
        <v/>
      </c>
      <c r="Q64" s="10">
        <f>IF($C64="","",IF(H64="","(no cost centre)",H64&amp;" - GL "&amp;IFERROR(INDEX(lst_CCtoGL,MATCH(H64,lst_CCforGL,0)),"?")))</f>
        <v/>
      </c>
      <c r="R64" s="11">
        <f>IF($C64="","",IFERROR(N(INDEX(tbl_Finance[Inc GST],MATCH($AU64,tbl_Finance[Row ID],0))),""))</f>
        <v/>
      </c>
      <c r="S64" s="37" t="n"/>
      <c r="T64" s="37" t="n"/>
      <c r="U64" s="37" t="n"/>
      <c r="V64" s="42" t="n"/>
      <c r="W64" s="37" t="n"/>
      <c r="X64" s="10">
        <f>IF(W64="","",IF(AND(LEFT(W64,4)&lt;&gt;"http",set_RMSBase=""),"",HYPERLINK(IF(LEFT(W64,4)="http",W64,set_RMSBase&amp;W64),"Open in RMS")))</f>
        <v/>
      </c>
      <c r="Y64" s="37" t="n"/>
      <c r="Z64" s="10">
        <f>IF(Y64="","",HYPERLINK(IF(LEFT(Y64,4)="http",Y64,set_QwilrBase&amp;Y64),"Open quote"))</f>
        <v/>
      </c>
      <c r="AA64" s="10">
        <f>IF(C64="","",C64)</f>
        <v/>
      </c>
      <c r="AB64" s="37" t="n"/>
      <c r="AC64" s="39" t="n"/>
      <c r="AD64" s="11">
        <f>IF(C64="","",N(L64)+N(AC64))</f>
        <v/>
      </c>
      <c r="AE64" s="43">
        <f>IFERROR(IF(N(AC64)=0,"",AC64/AD64),"")</f>
        <v/>
      </c>
      <c r="AF64" s="39" t="n"/>
      <c r="AG64" s="39" t="n"/>
      <c r="AH64" s="39" t="n"/>
      <c r="AI64" s="39" t="n"/>
      <c r="AJ64" s="11">
        <f>IF(C64="","",IF(H64="VIDEO",N(L64),0))</f>
        <v/>
      </c>
      <c r="AK64" s="43">
        <f>IFERROR(IF(N(L64)=0,"",AJ64/L64),"")</f>
        <v/>
      </c>
      <c r="AL64" s="11">
        <f>IF(C64="","",N(AF64)+N(AG64)+N(AH64)+N(AI64))</f>
        <v/>
      </c>
      <c r="AM64" s="11">
        <f>IF(C64="","",MAX(N(L64),N(O64))-N(AL64))</f>
        <v/>
      </c>
      <c r="AN64" s="43">
        <f>IFERROR(IF(MAX(N(L64),N(O64))=0,"",AM64/MAX(N(L64),N(O64))),"")</f>
        <v/>
      </c>
      <c r="AO64" s="41" t="n"/>
      <c r="AP64" s="41" t="n"/>
      <c r="AQ64" s="41" t="n"/>
      <c r="AR64" s="41" t="n"/>
      <c r="AS64" s="41" t="n"/>
      <c r="AT64" s="37" t="n"/>
      <c r="AU64" s="10" t="inlineStr">
        <is>
          <t>PRD-0060</t>
        </is>
      </c>
    </row>
    <row r="65">
      <c r="A65" s="16">
        <f>IF($C65="","",IFERROR(IF(INDEX(tbl_Finance[Latest Invoice Date],MATCH($AU65,tbl_Finance[Row ID],0))="","",INDEX(tbl_Finance[Latest Invoice Date],MATCH($AU65,tbl_Finance[Row ID],0))),""))</f>
        <v/>
      </c>
      <c r="B65" s="10">
        <f>IF($C65="","",IFERROR(INDEX(tbl_Finance[Invoice Numbers],MATCH($AU65,tbl_Finance[Row ID],0))&amp;"",""))</f>
        <v/>
      </c>
      <c r="C65" s="37" t="n"/>
      <c r="D65" s="10">
        <f>IF($C65="","",IF(COUNTIF(lst_Jobs,$C65&amp;"")&gt;0,"OK","CHECK"))</f>
        <v/>
      </c>
      <c r="E65" s="10">
        <f>IF($C65="","",IFERROR(INDEX(lst_JobName,MATCH($C65&amp;"",lst_Jobs,0)),""))</f>
        <v/>
      </c>
      <c r="F65" s="37" t="n"/>
      <c r="G65" s="37" t="n"/>
      <c r="H65" s="37" t="n"/>
      <c r="I65" s="37" t="n"/>
      <c r="J65" s="37" t="n"/>
      <c r="K65" s="38">
        <f>IF($C65="","",IFERROR(N(INDEX(tbl_Finance[Invoice Count],MATCH($AU65,tbl_Finance[Row ID],0))),""))</f>
        <v/>
      </c>
      <c r="L65" s="11">
        <f>IF($C65="","",IFERROR(N(INDEX(tbl_Finance[Xero Invoiced Ex GST],MATCH($AU65,tbl_Finance[Row ID],0))),""))</f>
        <v/>
      </c>
      <c r="M65" s="10">
        <f>IF($C65="","",IFERROR(INDEX(tbl_Finance[Compare],MATCH($AU65,tbl_Finance[Row ID],0))&amp;"",""))</f>
        <v/>
      </c>
      <c r="N65" s="11">
        <f>IF($C65="","",MAX(0,N(O65)-N(L65)))</f>
        <v/>
      </c>
      <c r="O65" s="39" t="n"/>
      <c r="P65" s="40">
        <f>IF($C65="","",IF((IF(F65="",", Client","")&amp;IF(G65="",", Description","")&amp;IF(H65="",", Cost Centre","")&amp;IF(I65="",", Invoice Type","")&amp;IF(J65="",", Tax Code","")&amp;IF(O65="",", Expected Revenue","")&amp;IF(COUNTIF(tbl_Finance[Job Number],$C65&amp;"")&gt;1,", Job number used twice",""))="","Complete","Fix: "&amp;MID(IF(F65="",", Client","")&amp;IF(G65="",", Description","")&amp;IF(H65="",", Cost Centre","")&amp;IF(I65="",", Invoice Type","")&amp;IF(J65="",", Tax Code","")&amp;IF(O65="",", Expected Revenue","")&amp;IF(COUNTIF(tbl_Finance[Job Number],$C65&amp;"")&gt;1,", Job number used twice",""),3,300)))</f>
        <v/>
      </c>
      <c r="Q65" s="10">
        <f>IF($C65="","",IF(H65="","(no cost centre)",H65&amp;" - GL "&amp;IFERROR(INDEX(lst_CCtoGL,MATCH(H65,lst_CCforGL,0)),"?")))</f>
        <v/>
      </c>
      <c r="R65" s="11">
        <f>IF($C65="","",IFERROR(N(INDEX(tbl_Finance[Inc GST],MATCH($AU65,tbl_Finance[Row ID],0))),""))</f>
        <v/>
      </c>
      <c r="S65" s="37" t="n"/>
      <c r="T65" s="37" t="n"/>
      <c r="U65" s="37" t="n"/>
      <c r="V65" s="42" t="n"/>
      <c r="W65" s="37" t="n"/>
      <c r="X65" s="10">
        <f>IF(W65="","",IF(AND(LEFT(W65,4)&lt;&gt;"http",set_RMSBase=""),"",HYPERLINK(IF(LEFT(W65,4)="http",W65,set_RMSBase&amp;W65),"Open in RMS")))</f>
        <v/>
      </c>
      <c r="Y65" s="37" t="n"/>
      <c r="Z65" s="10">
        <f>IF(Y65="","",HYPERLINK(IF(LEFT(Y65,4)="http",Y65,set_QwilrBase&amp;Y65),"Open quote"))</f>
        <v/>
      </c>
      <c r="AA65" s="10">
        <f>IF(C65="","",C65)</f>
        <v/>
      </c>
      <c r="AB65" s="37" t="n"/>
      <c r="AC65" s="39" t="n"/>
      <c r="AD65" s="11">
        <f>IF(C65="","",N(L65)+N(AC65))</f>
        <v/>
      </c>
      <c r="AE65" s="43">
        <f>IFERROR(IF(N(AC65)=0,"",AC65/AD65),"")</f>
        <v/>
      </c>
      <c r="AF65" s="39" t="n"/>
      <c r="AG65" s="39" t="n"/>
      <c r="AH65" s="39" t="n"/>
      <c r="AI65" s="39" t="n"/>
      <c r="AJ65" s="11">
        <f>IF(C65="","",IF(H65="VIDEO",N(L65),0))</f>
        <v/>
      </c>
      <c r="AK65" s="43">
        <f>IFERROR(IF(N(L65)=0,"",AJ65/L65),"")</f>
        <v/>
      </c>
      <c r="AL65" s="11">
        <f>IF(C65="","",N(AF65)+N(AG65)+N(AH65)+N(AI65))</f>
        <v/>
      </c>
      <c r="AM65" s="11">
        <f>IF(C65="","",MAX(N(L65),N(O65))-N(AL65))</f>
        <v/>
      </c>
      <c r="AN65" s="43">
        <f>IFERROR(IF(MAX(N(L65),N(O65))=0,"",AM65/MAX(N(L65),N(O65))),"")</f>
        <v/>
      </c>
      <c r="AO65" s="41" t="n"/>
      <c r="AP65" s="41" t="n"/>
      <c r="AQ65" s="41" t="n"/>
      <c r="AR65" s="41" t="n"/>
      <c r="AS65" s="41" t="n"/>
      <c r="AT65" s="37" t="n"/>
      <c r="AU65" s="10" t="inlineStr">
        <is>
          <t>PRD-0061</t>
        </is>
      </c>
    </row>
    <row r="66">
      <c r="A66" s="16">
        <f>IF($C66="","",IFERROR(IF(INDEX(tbl_Finance[Latest Invoice Date],MATCH($AU66,tbl_Finance[Row ID],0))="","",INDEX(tbl_Finance[Latest Invoice Date],MATCH($AU66,tbl_Finance[Row ID],0))),""))</f>
        <v/>
      </c>
      <c r="B66" s="10">
        <f>IF($C66="","",IFERROR(INDEX(tbl_Finance[Invoice Numbers],MATCH($AU66,tbl_Finance[Row ID],0))&amp;"",""))</f>
        <v/>
      </c>
      <c r="C66" s="37" t="n"/>
      <c r="D66" s="10">
        <f>IF($C66="","",IF(COUNTIF(lst_Jobs,$C66&amp;"")&gt;0,"OK","CHECK"))</f>
        <v/>
      </c>
      <c r="E66" s="10">
        <f>IF($C66="","",IFERROR(INDEX(lst_JobName,MATCH($C66&amp;"",lst_Jobs,0)),""))</f>
        <v/>
      </c>
      <c r="F66" s="37" t="n"/>
      <c r="G66" s="37" t="n"/>
      <c r="H66" s="37" t="n"/>
      <c r="I66" s="37" t="n"/>
      <c r="J66" s="37" t="n"/>
      <c r="K66" s="38">
        <f>IF($C66="","",IFERROR(N(INDEX(tbl_Finance[Invoice Count],MATCH($AU66,tbl_Finance[Row ID],0))),""))</f>
        <v/>
      </c>
      <c r="L66" s="11">
        <f>IF($C66="","",IFERROR(N(INDEX(tbl_Finance[Xero Invoiced Ex GST],MATCH($AU66,tbl_Finance[Row ID],0))),""))</f>
        <v/>
      </c>
      <c r="M66" s="10">
        <f>IF($C66="","",IFERROR(INDEX(tbl_Finance[Compare],MATCH($AU66,tbl_Finance[Row ID],0))&amp;"",""))</f>
        <v/>
      </c>
      <c r="N66" s="11">
        <f>IF($C66="","",MAX(0,N(O66)-N(L66)))</f>
        <v/>
      </c>
      <c r="O66" s="39" t="n"/>
      <c r="P66" s="40">
        <f>IF($C66="","",IF((IF(F66="",", Client","")&amp;IF(G66="",", Description","")&amp;IF(H66="",", Cost Centre","")&amp;IF(I66="",", Invoice Type","")&amp;IF(J66="",", Tax Code","")&amp;IF(O66="",", Expected Revenue","")&amp;IF(COUNTIF(tbl_Finance[Job Number],$C66&amp;"")&gt;1,", Job number used twice",""))="","Complete","Fix: "&amp;MID(IF(F66="",", Client","")&amp;IF(G66="",", Description","")&amp;IF(H66="",", Cost Centre","")&amp;IF(I66="",", Invoice Type","")&amp;IF(J66="",", Tax Code","")&amp;IF(O66="",", Expected Revenue","")&amp;IF(COUNTIF(tbl_Finance[Job Number],$C66&amp;"")&gt;1,", Job number used twice",""),3,300)))</f>
        <v/>
      </c>
      <c r="Q66" s="10">
        <f>IF($C66="","",IF(H66="","(no cost centre)",H66&amp;" - GL "&amp;IFERROR(INDEX(lst_CCtoGL,MATCH(H66,lst_CCforGL,0)),"?")))</f>
        <v/>
      </c>
      <c r="R66" s="11">
        <f>IF($C66="","",IFERROR(N(INDEX(tbl_Finance[Inc GST],MATCH($AU66,tbl_Finance[Row ID],0))),""))</f>
        <v/>
      </c>
      <c r="S66" s="37" t="n"/>
      <c r="T66" s="37" t="n"/>
      <c r="U66" s="37" t="n"/>
      <c r="V66" s="42" t="n"/>
      <c r="W66" s="37" t="n"/>
      <c r="X66" s="10">
        <f>IF(W66="","",IF(AND(LEFT(W66,4)&lt;&gt;"http",set_RMSBase=""),"",HYPERLINK(IF(LEFT(W66,4)="http",W66,set_RMSBase&amp;W66),"Open in RMS")))</f>
        <v/>
      </c>
      <c r="Y66" s="37" t="n"/>
      <c r="Z66" s="10">
        <f>IF(Y66="","",HYPERLINK(IF(LEFT(Y66,4)="http",Y66,set_QwilrBase&amp;Y66),"Open quote"))</f>
        <v/>
      </c>
      <c r="AA66" s="10">
        <f>IF(C66="","",C66)</f>
        <v/>
      </c>
      <c r="AB66" s="37" t="n"/>
      <c r="AC66" s="39" t="n"/>
      <c r="AD66" s="11">
        <f>IF(C66="","",N(L66)+N(AC66))</f>
        <v/>
      </c>
      <c r="AE66" s="43">
        <f>IFERROR(IF(N(AC66)=0,"",AC66/AD66),"")</f>
        <v/>
      </c>
      <c r="AF66" s="39" t="n"/>
      <c r="AG66" s="39" t="n"/>
      <c r="AH66" s="39" t="n"/>
      <c r="AI66" s="39" t="n"/>
      <c r="AJ66" s="11">
        <f>IF(C66="","",IF(H66="VIDEO",N(L66),0))</f>
        <v/>
      </c>
      <c r="AK66" s="43">
        <f>IFERROR(IF(N(L66)=0,"",AJ66/L66),"")</f>
        <v/>
      </c>
      <c r="AL66" s="11">
        <f>IF(C66="","",N(AF66)+N(AG66)+N(AH66)+N(AI66))</f>
        <v/>
      </c>
      <c r="AM66" s="11">
        <f>IF(C66="","",MAX(N(L66),N(O66))-N(AL66))</f>
        <v/>
      </c>
      <c r="AN66" s="43">
        <f>IFERROR(IF(MAX(N(L66),N(O66))=0,"",AM66/MAX(N(L66),N(O66))),"")</f>
        <v/>
      </c>
      <c r="AO66" s="41" t="n"/>
      <c r="AP66" s="41" t="n"/>
      <c r="AQ66" s="41" t="n"/>
      <c r="AR66" s="41" t="n"/>
      <c r="AS66" s="41" t="n"/>
      <c r="AT66" s="37" t="n"/>
      <c r="AU66" s="10" t="inlineStr">
        <is>
          <t>PRD-0062</t>
        </is>
      </c>
    </row>
    <row r="67">
      <c r="A67" s="16">
        <f>IF($C67="","",IFERROR(IF(INDEX(tbl_Finance[Latest Invoice Date],MATCH($AU67,tbl_Finance[Row ID],0))="","",INDEX(tbl_Finance[Latest Invoice Date],MATCH($AU67,tbl_Finance[Row ID],0))),""))</f>
        <v/>
      </c>
      <c r="B67" s="10">
        <f>IF($C67="","",IFERROR(INDEX(tbl_Finance[Invoice Numbers],MATCH($AU67,tbl_Finance[Row ID],0))&amp;"",""))</f>
        <v/>
      </c>
      <c r="C67" s="37" t="n"/>
      <c r="D67" s="10">
        <f>IF($C67="","",IF(COUNTIF(lst_Jobs,$C67&amp;"")&gt;0,"OK","CHECK"))</f>
        <v/>
      </c>
      <c r="E67" s="10">
        <f>IF($C67="","",IFERROR(INDEX(lst_JobName,MATCH($C67&amp;"",lst_Jobs,0)),""))</f>
        <v/>
      </c>
      <c r="F67" s="37" t="n"/>
      <c r="G67" s="37" t="n"/>
      <c r="H67" s="37" t="n"/>
      <c r="I67" s="37" t="n"/>
      <c r="J67" s="37" t="n"/>
      <c r="K67" s="38">
        <f>IF($C67="","",IFERROR(N(INDEX(tbl_Finance[Invoice Count],MATCH($AU67,tbl_Finance[Row ID],0))),""))</f>
        <v/>
      </c>
      <c r="L67" s="11">
        <f>IF($C67="","",IFERROR(N(INDEX(tbl_Finance[Xero Invoiced Ex GST],MATCH($AU67,tbl_Finance[Row ID],0))),""))</f>
        <v/>
      </c>
      <c r="M67" s="10">
        <f>IF($C67="","",IFERROR(INDEX(tbl_Finance[Compare],MATCH($AU67,tbl_Finance[Row ID],0))&amp;"",""))</f>
        <v/>
      </c>
      <c r="N67" s="11">
        <f>IF($C67="","",MAX(0,N(O67)-N(L67)))</f>
        <v/>
      </c>
      <c r="O67" s="39" t="n"/>
      <c r="P67" s="40">
        <f>IF($C67="","",IF((IF(F67="",", Client","")&amp;IF(G67="",", Description","")&amp;IF(H67="",", Cost Centre","")&amp;IF(I67="",", Invoice Type","")&amp;IF(J67="",", Tax Code","")&amp;IF(O67="",", Expected Revenue","")&amp;IF(COUNTIF(tbl_Finance[Job Number],$C67&amp;"")&gt;1,", Job number used twice",""))="","Complete","Fix: "&amp;MID(IF(F67="",", Client","")&amp;IF(G67="",", Description","")&amp;IF(H67="",", Cost Centre","")&amp;IF(I67="",", Invoice Type","")&amp;IF(J67="",", Tax Code","")&amp;IF(O67="",", Expected Revenue","")&amp;IF(COUNTIF(tbl_Finance[Job Number],$C67&amp;"")&gt;1,", Job number used twice",""),3,300)))</f>
        <v/>
      </c>
      <c r="Q67" s="10">
        <f>IF($C67="","",IF(H67="","(no cost centre)",H67&amp;" - GL "&amp;IFERROR(INDEX(lst_CCtoGL,MATCH(H67,lst_CCforGL,0)),"?")))</f>
        <v/>
      </c>
      <c r="R67" s="11">
        <f>IF($C67="","",IFERROR(N(INDEX(tbl_Finance[Inc GST],MATCH($AU67,tbl_Finance[Row ID],0))),""))</f>
        <v/>
      </c>
      <c r="S67" s="37" t="n"/>
      <c r="T67" s="37" t="n"/>
      <c r="U67" s="37" t="n"/>
      <c r="V67" s="42" t="n"/>
      <c r="W67" s="37" t="n"/>
      <c r="X67" s="10">
        <f>IF(W67="","",IF(AND(LEFT(W67,4)&lt;&gt;"http",set_RMSBase=""),"",HYPERLINK(IF(LEFT(W67,4)="http",W67,set_RMSBase&amp;W67),"Open in RMS")))</f>
        <v/>
      </c>
      <c r="Y67" s="37" t="n"/>
      <c r="Z67" s="10">
        <f>IF(Y67="","",HYPERLINK(IF(LEFT(Y67,4)="http",Y67,set_QwilrBase&amp;Y67),"Open quote"))</f>
        <v/>
      </c>
      <c r="AA67" s="10">
        <f>IF(C67="","",C67)</f>
        <v/>
      </c>
      <c r="AB67" s="37" t="n"/>
      <c r="AC67" s="39" t="n"/>
      <c r="AD67" s="11">
        <f>IF(C67="","",N(L67)+N(AC67))</f>
        <v/>
      </c>
      <c r="AE67" s="43">
        <f>IFERROR(IF(N(AC67)=0,"",AC67/AD67),"")</f>
        <v/>
      </c>
      <c r="AF67" s="39" t="n"/>
      <c r="AG67" s="39" t="n"/>
      <c r="AH67" s="39" t="n"/>
      <c r="AI67" s="39" t="n"/>
      <c r="AJ67" s="11">
        <f>IF(C67="","",IF(H67="VIDEO",N(L67),0))</f>
        <v/>
      </c>
      <c r="AK67" s="43">
        <f>IFERROR(IF(N(L67)=0,"",AJ67/L67),"")</f>
        <v/>
      </c>
      <c r="AL67" s="11">
        <f>IF(C67="","",N(AF67)+N(AG67)+N(AH67)+N(AI67))</f>
        <v/>
      </c>
      <c r="AM67" s="11">
        <f>IF(C67="","",MAX(N(L67),N(O67))-N(AL67))</f>
        <v/>
      </c>
      <c r="AN67" s="43">
        <f>IFERROR(IF(MAX(N(L67),N(O67))=0,"",AM67/MAX(N(L67),N(O67))),"")</f>
        <v/>
      </c>
      <c r="AO67" s="41" t="n"/>
      <c r="AP67" s="41" t="n"/>
      <c r="AQ67" s="41" t="n"/>
      <c r="AR67" s="41" t="n"/>
      <c r="AS67" s="41" t="n"/>
      <c r="AT67" s="37" t="n"/>
      <c r="AU67" s="10" t="inlineStr">
        <is>
          <t>PRD-0063</t>
        </is>
      </c>
    </row>
    <row r="68">
      <c r="A68" s="16">
        <f>IF($C68="","",IFERROR(IF(INDEX(tbl_Finance[Latest Invoice Date],MATCH($AU68,tbl_Finance[Row ID],0))="","",INDEX(tbl_Finance[Latest Invoice Date],MATCH($AU68,tbl_Finance[Row ID],0))),""))</f>
        <v/>
      </c>
      <c r="B68" s="10">
        <f>IF($C68="","",IFERROR(INDEX(tbl_Finance[Invoice Numbers],MATCH($AU68,tbl_Finance[Row ID],0))&amp;"",""))</f>
        <v/>
      </c>
      <c r="C68" s="37" t="n"/>
      <c r="D68" s="10">
        <f>IF($C68="","",IF(COUNTIF(lst_Jobs,$C68&amp;"")&gt;0,"OK","CHECK"))</f>
        <v/>
      </c>
      <c r="E68" s="10">
        <f>IF($C68="","",IFERROR(INDEX(lst_JobName,MATCH($C68&amp;"",lst_Jobs,0)),""))</f>
        <v/>
      </c>
      <c r="F68" s="37" t="n"/>
      <c r="G68" s="37" t="n"/>
      <c r="H68" s="37" t="n"/>
      <c r="I68" s="37" t="n"/>
      <c r="J68" s="37" t="n"/>
      <c r="K68" s="38">
        <f>IF($C68="","",IFERROR(N(INDEX(tbl_Finance[Invoice Count],MATCH($AU68,tbl_Finance[Row ID],0))),""))</f>
        <v/>
      </c>
      <c r="L68" s="11">
        <f>IF($C68="","",IFERROR(N(INDEX(tbl_Finance[Xero Invoiced Ex GST],MATCH($AU68,tbl_Finance[Row ID],0))),""))</f>
        <v/>
      </c>
      <c r="M68" s="10">
        <f>IF($C68="","",IFERROR(INDEX(tbl_Finance[Compare],MATCH($AU68,tbl_Finance[Row ID],0))&amp;"",""))</f>
        <v/>
      </c>
      <c r="N68" s="11">
        <f>IF($C68="","",MAX(0,N(O68)-N(L68)))</f>
        <v/>
      </c>
      <c r="O68" s="39" t="n"/>
      <c r="P68" s="40">
        <f>IF($C68="","",IF((IF(F68="",", Client","")&amp;IF(G68="",", Description","")&amp;IF(H68="",", Cost Centre","")&amp;IF(I68="",", Invoice Type","")&amp;IF(J68="",", Tax Code","")&amp;IF(O68="",", Expected Revenue","")&amp;IF(COUNTIF(tbl_Finance[Job Number],$C68&amp;"")&gt;1,", Job number used twice",""))="","Complete","Fix: "&amp;MID(IF(F68="",", Client","")&amp;IF(G68="",", Description","")&amp;IF(H68="",", Cost Centre","")&amp;IF(I68="",", Invoice Type","")&amp;IF(J68="",", Tax Code","")&amp;IF(O68="",", Expected Revenue","")&amp;IF(COUNTIF(tbl_Finance[Job Number],$C68&amp;"")&gt;1,", Job number used twice",""),3,300)))</f>
        <v/>
      </c>
      <c r="Q68" s="10">
        <f>IF($C68="","",IF(H68="","(no cost centre)",H68&amp;" - GL "&amp;IFERROR(INDEX(lst_CCtoGL,MATCH(H68,lst_CCforGL,0)),"?")))</f>
        <v/>
      </c>
      <c r="R68" s="11">
        <f>IF($C68="","",IFERROR(N(INDEX(tbl_Finance[Inc GST],MATCH($AU68,tbl_Finance[Row ID],0))),""))</f>
        <v/>
      </c>
      <c r="S68" s="37" t="n"/>
      <c r="T68" s="37" t="n"/>
      <c r="U68" s="37" t="n"/>
      <c r="V68" s="42" t="n"/>
      <c r="W68" s="37" t="n"/>
      <c r="X68" s="10">
        <f>IF(W68="","",IF(AND(LEFT(W68,4)&lt;&gt;"http",set_RMSBase=""),"",HYPERLINK(IF(LEFT(W68,4)="http",W68,set_RMSBase&amp;W68),"Open in RMS")))</f>
        <v/>
      </c>
      <c r="Y68" s="37" t="n"/>
      <c r="Z68" s="10">
        <f>IF(Y68="","",HYPERLINK(IF(LEFT(Y68,4)="http",Y68,set_QwilrBase&amp;Y68),"Open quote"))</f>
        <v/>
      </c>
      <c r="AA68" s="10">
        <f>IF(C68="","",C68)</f>
        <v/>
      </c>
      <c r="AB68" s="37" t="n"/>
      <c r="AC68" s="39" t="n"/>
      <c r="AD68" s="11">
        <f>IF(C68="","",N(L68)+N(AC68))</f>
        <v/>
      </c>
      <c r="AE68" s="43">
        <f>IFERROR(IF(N(AC68)=0,"",AC68/AD68),"")</f>
        <v/>
      </c>
      <c r="AF68" s="39" t="n"/>
      <c r="AG68" s="39" t="n"/>
      <c r="AH68" s="39" t="n"/>
      <c r="AI68" s="39" t="n"/>
      <c r="AJ68" s="11">
        <f>IF(C68="","",IF(H68="VIDEO",N(L68),0))</f>
        <v/>
      </c>
      <c r="AK68" s="43">
        <f>IFERROR(IF(N(L68)=0,"",AJ68/L68),"")</f>
        <v/>
      </c>
      <c r="AL68" s="11">
        <f>IF(C68="","",N(AF68)+N(AG68)+N(AH68)+N(AI68))</f>
        <v/>
      </c>
      <c r="AM68" s="11">
        <f>IF(C68="","",MAX(N(L68),N(O68))-N(AL68))</f>
        <v/>
      </c>
      <c r="AN68" s="43">
        <f>IFERROR(IF(MAX(N(L68),N(O68))=0,"",AM68/MAX(N(L68),N(O68))),"")</f>
        <v/>
      </c>
      <c r="AO68" s="41" t="n"/>
      <c r="AP68" s="41" t="n"/>
      <c r="AQ68" s="41" t="n"/>
      <c r="AR68" s="41" t="n"/>
      <c r="AS68" s="41" t="n"/>
      <c r="AT68" s="37" t="n"/>
      <c r="AU68" s="10" t="inlineStr">
        <is>
          <t>PRD-0064</t>
        </is>
      </c>
    </row>
    <row r="69">
      <c r="A69" s="16">
        <f>IF($C69="","",IFERROR(IF(INDEX(tbl_Finance[Latest Invoice Date],MATCH($AU69,tbl_Finance[Row ID],0))="","",INDEX(tbl_Finance[Latest Invoice Date],MATCH($AU69,tbl_Finance[Row ID],0))),""))</f>
        <v/>
      </c>
      <c r="B69" s="10">
        <f>IF($C69="","",IFERROR(INDEX(tbl_Finance[Invoice Numbers],MATCH($AU69,tbl_Finance[Row ID],0))&amp;"",""))</f>
        <v/>
      </c>
      <c r="C69" s="37" t="n"/>
      <c r="D69" s="10">
        <f>IF($C69="","",IF(COUNTIF(lst_Jobs,$C69&amp;"")&gt;0,"OK","CHECK"))</f>
        <v/>
      </c>
      <c r="E69" s="10">
        <f>IF($C69="","",IFERROR(INDEX(lst_JobName,MATCH($C69&amp;"",lst_Jobs,0)),""))</f>
        <v/>
      </c>
      <c r="F69" s="37" t="n"/>
      <c r="G69" s="37" t="n"/>
      <c r="H69" s="37" t="n"/>
      <c r="I69" s="37" t="n"/>
      <c r="J69" s="37" t="n"/>
      <c r="K69" s="38">
        <f>IF($C69="","",IFERROR(N(INDEX(tbl_Finance[Invoice Count],MATCH($AU69,tbl_Finance[Row ID],0))),""))</f>
        <v/>
      </c>
      <c r="L69" s="11">
        <f>IF($C69="","",IFERROR(N(INDEX(tbl_Finance[Xero Invoiced Ex GST],MATCH($AU69,tbl_Finance[Row ID],0))),""))</f>
        <v/>
      </c>
      <c r="M69" s="10">
        <f>IF($C69="","",IFERROR(INDEX(tbl_Finance[Compare],MATCH($AU69,tbl_Finance[Row ID],0))&amp;"",""))</f>
        <v/>
      </c>
      <c r="N69" s="11">
        <f>IF($C69="","",MAX(0,N(O69)-N(L69)))</f>
        <v/>
      </c>
      <c r="O69" s="39" t="n"/>
      <c r="P69" s="40">
        <f>IF($C69="","",IF((IF(F69="",", Client","")&amp;IF(G69="",", Description","")&amp;IF(H69="",", Cost Centre","")&amp;IF(I69="",", Invoice Type","")&amp;IF(J69="",", Tax Code","")&amp;IF(O69="",", Expected Revenue","")&amp;IF(COUNTIF(tbl_Finance[Job Number],$C69&amp;"")&gt;1,", Job number used twice",""))="","Complete","Fix: "&amp;MID(IF(F69="",", Client","")&amp;IF(G69="",", Description","")&amp;IF(H69="",", Cost Centre","")&amp;IF(I69="",", Invoice Type","")&amp;IF(J69="",", Tax Code","")&amp;IF(O69="",", Expected Revenue","")&amp;IF(COUNTIF(tbl_Finance[Job Number],$C69&amp;"")&gt;1,", Job number used twice",""),3,300)))</f>
        <v/>
      </c>
      <c r="Q69" s="10">
        <f>IF($C69="","",IF(H69="","(no cost centre)",H69&amp;" - GL "&amp;IFERROR(INDEX(lst_CCtoGL,MATCH(H69,lst_CCforGL,0)),"?")))</f>
        <v/>
      </c>
      <c r="R69" s="11">
        <f>IF($C69="","",IFERROR(N(INDEX(tbl_Finance[Inc GST],MATCH($AU69,tbl_Finance[Row ID],0))),""))</f>
        <v/>
      </c>
      <c r="S69" s="37" t="n"/>
      <c r="T69" s="37" t="n"/>
      <c r="U69" s="37" t="n"/>
      <c r="V69" s="42" t="n"/>
      <c r="W69" s="37" t="n"/>
      <c r="X69" s="10">
        <f>IF(W69="","",IF(AND(LEFT(W69,4)&lt;&gt;"http",set_RMSBase=""),"",HYPERLINK(IF(LEFT(W69,4)="http",W69,set_RMSBase&amp;W69),"Open in RMS")))</f>
        <v/>
      </c>
      <c r="Y69" s="37" t="n"/>
      <c r="Z69" s="10">
        <f>IF(Y69="","",HYPERLINK(IF(LEFT(Y69,4)="http",Y69,set_QwilrBase&amp;Y69),"Open quote"))</f>
        <v/>
      </c>
      <c r="AA69" s="10">
        <f>IF(C69="","",C69)</f>
        <v/>
      </c>
      <c r="AB69" s="37" t="n"/>
      <c r="AC69" s="39" t="n"/>
      <c r="AD69" s="11">
        <f>IF(C69="","",N(L69)+N(AC69))</f>
        <v/>
      </c>
      <c r="AE69" s="43">
        <f>IFERROR(IF(N(AC69)=0,"",AC69/AD69),"")</f>
        <v/>
      </c>
      <c r="AF69" s="39" t="n"/>
      <c r="AG69" s="39" t="n"/>
      <c r="AH69" s="39" t="n"/>
      <c r="AI69" s="39" t="n"/>
      <c r="AJ69" s="11">
        <f>IF(C69="","",IF(H69="VIDEO",N(L69),0))</f>
        <v/>
      </c>
      <c r="AK69" s="43">
        <f>IFERROR(IF(N(L69)=0,"",AJ69/L69),"")</f>
        <v/>
      </c>
      <c r="AL69" s="11">
        <f>IF(C69="","",N(AF69)+N(AG69)+N(AH69)+N(AI69))</f>
        <v/>
      </c>
      <c r="AM69" s="11">
        <f>IF(C69="","",MAX(N(L69),N(O69))-N(AL69))</f>
        <v/>
      </c>
      <c r="AN69" s="43">
        <f>IFERROR(IF(MAX(N(L69),N(O69))=0,"",AM69/MAX(N(L69),N(O69))),"")</f>
        <v/>
      </c>
      <c r="AO69" s="41" t="n"/>
      <c r="AP69" s="41" t="n"/>
      <c r="AQ69" s="41" t="n"/>
      <c r="AR69" s="41" t="n"/>
      <c r="AS69" s="41" t="n"/>
      <c r="AT69" s="37" t="n"/>
      <c r="AU69" s="10" t="inlineStr">
        <is>
          <t>PRD-0065</t>
        </is>
      </c>
    </row>
    <row r="70">
      <c r="A70" s="16">
        <f>IF($C70="","",IFERROR(IF(INDEX(tbl_Finance[Latest Invoice Date],MATCH($AU70,tbl_Finance[Row ID],0))="","",INDEX(tbl_Finance[Latest Invoice Date],MATCH($AU70,tbl_Finance[Row ID],0))),""))</f>
        <v/>
      </c>
      <c r="B70" s="10">
        <f>IF($C70="","",IFERROR(INDEX(tbl_Finance[Invoice Numbers],MATCH($AU70,tbl_Finance[Row ID],0))&amp;"",""))</f>
        <v/>
      </c>
      <c r="C70" s="37" t="n"/>
      <c r="D70" s="10">
        <f>IF($C70="","",IF(COUNTIF(lst_Jobs,$C70&amp;"")&gt;0,"OK","CHECK"))</f>
        <v/>
      </c>
      <c r="E70" s="10">
        <f>IF($C70="","",IFERROR(INDEX(lst_JobName,MATCH($C70&amp;"",lst_Jobs,0)),""))</f>
        <v/>
      </c>
      <c r="F70" s="37" t="n"/>
      <c r="G70" s="37" t="n"/>
      <c r="H70" s="37" t="n"/>
      <c r="I70" s="37" t="n"/>
      <c r="J70" s="37" t="n"/>
      <c r="K70" s="38">
        <f>IF($C70="","",IFERROR(N(INDEX(tbl_Finance[Invoice Count],MATCH($AU70,tbl_Finance[Row ID],0))),""))</f>
        <v/>
      </c>
      <c r="L70" s="11">
        <f>IF($C70="","",IFERROR(N(INDEX(tbl_Finance[Xero Invoiced Ex GST],MATCH($AU70,tbl_Finance[Row ID],0))),""))</f>
        <v/>
      </c>
      <c r="M70" s="10">
        <f>IF($C70="","",IFERROR(INDEX(tbl_Finance[Compare],MATCH($AU70,tbl_Finance[Row ID],0))&amp;"",""))</f>
        <v/>
      </c>
      <c r="N70" s="11">
        <f>IF($C70="","",MAX(0,N(O70)-N(L70)))</f>
        <v/>
      </c>
      <c r="O70" s="39" t="n"/>
      <c r="P70" s="40">
        <f>IF($C70="","",IF((IF(F70="",", Client","")&amp;IF(G70="",", Description","")&amp;IF(H70="",", Cost Centre","")&amp;IF(I70="",", Invoice Type","")&amp;IF(J70="",", Tax Code","")&amp;IF(O70="",", Expected Revenue","")&amp;IF(COUNTIF(tbl_Finance[Job Number],$C70&amp;"")&gt;1,", Job number used twice",""))="","Complete","Fix: "&amp;MID(IF(F70="",", Client","")&amp;IF(G70="",", Description","")&amp;IF(H70="",", Cost Centre","")&amp;IF(I70="",", Invoice Type","")&amp;IF(J70="",", Tax Code","")&amp;IF(O70="",", Expected Revenue","")&amp;IF(COUNTIF(tbl_Finance[Job Number],$C70&amp;"")&gt;1,", Job number used twice",""),3,300)))</f>
        <v/>
      </c>
      <c r="Q70" s="10">
        <f>IF($C70="","",IF(H70="","(no cost centre)",H70&amp;" - GL "&amp;IFERROR(INDEX(lst_CCtoGL,MATCH(H70,lst_CCforGL,0)),"?")))</f>
        <v/>
      </c>
      <c r="R70" s="11">
        <f>IF($C70="","",IFERROR(N(INDEX(tbl_Finance[Inc GST],MATCH($AU70,tbl_Finance[Row ID],0))),""))</f>
        <v/>
      </c>
      <c r="S70" s="37" t="n"/>
      <c r="T70" s="37" t="n"/>
      <c r="U70" s="37" t="n"/>
      <c r="V70" s="42" t="n"/>
      <c r="W70" s="37" t="n"/>
      <c r="X70" s="10">
        <f>IF(W70="","",IF(AND(LEFT(W70,4)&lt;&gt;"http",set_RMSBase=""),"",HYPERLINK(IF(LEFT(W70,4)="http",W70,set_RMSBase&amp;W70),"Open in RMS")))</f>
        <v/>
      </c>
      <c r="Y70" s="37" t="n"/>
      <c r="Z70" s="10">
        <f>IF(Y70="","",HYPERLINK(IF(LEFT(Y70,4)="http",Y70,set_QwilrBase&amp;Y70),"Open quote"))</f>
        <v/>
      </c>
      <c r="AA70" s="10">
        <f>IF(C70="","",C70)</f>
        <v/>
      </c>
      <c r="AB70" s="37" t="n"/>
      <c r="AC70" s="39" t="n"/>
      <c r="AD70" s="11">
        <f>IF(C70="","",N(L70)+N(AC70))</f>
        <v/>
      </c>
      <c r="AE70" s="43">
        <f>IFERROR(IF(N(AC70)=0,"",AC70/AD70),"")</f>
        <v/>
      </c>
      <c r="AF70" s="39" t="n"/>
      <c r="AG70" s="39" t="n"/>
      <c r="AH70" s="39" t="n"/>
      <c r="AI70" s="39" t="n"/>
      <c r="AJ70" s="11">
        <f>IF(C70="","",IF(H70="VIDEO",N(L70),0))</f>
        <v/>
      </c>
      <c r="AK70" s="43">
        <f>IFERROR(IF(N(L70)=0,"",AJ70/L70),"")</f>
        <v/>
      </c>
      <c r="AL70" s="11">
        <f>IF(C70="","",N(AF70)+N(AG70)+N(AH70)+N(AI70))</f>
        <v/>
      </c>
      <c r="AM70" s="11">
        <f>IF(C70="","",MAX(N(L70),N(O70))-N(AL70))</f>
        <v/>
      </c>
      <c r="AN70" s="43">
        <f>IFERROR(IF(MAX(N(L70),N(O70))=0,"",AM70/MAX(N(L70),N(O70))),"")</f>
        <v/>
      </c>
      <c r="AO70" s="41" t="n"/>
      <c r="AP70" s="41" t="n"/>
      <c r="AQ70" s="41" t="n"/>
      <c r="AR70" s="41" t="n"/>
      <c r="AS70" s="41" t="n"/>
      <c r="AT70" s="37" t="n"/>
      <c r="AU70" s="10" t="inlineStr">
        <is>
          <t>PRD-0066</t>
        </is>
      </c>
    </row>
    <row r="71">
      <c r="A71" s="16">
        <f>IF($C71="","",IFERROR(IF(INDEX(tbl_Finance[Latest Invoice Date],MATCH($AU71,tbl_Finance[Row ID],0))="","",INDEX(tbl_Finance[Latest Invoice Date],MATCH($AU71,tbl_Finance[Row ID],0))),""))</f>
        <v/>
      </c>
      <c r="B71" s="10">
        <f>IF($C71="","",IFERROR(INDEX(tbl_Finance[Invoice Numbers],MATCH($AU71,tbl_Finance[Row ID],0))&amp;"",""))</f>
        <v/>
      </c>
      <c r="C71" s="37" t="n"/>
      <c r="D71" s="10">
        <f>IF($C71="","",IF(COUNTIF(lst_Jobs,$C71&amp;"")&gt;0,"OK","CHECK"))</f>
        <v/>
      </c>
      <c r="E71" s="10">
        <f>IF($C71="","",IFERROR(INDEX(lst_JobName,MATCH($C71&amp;"",lst_Jobs,0)),""))</f>
        <v/>
      </c>
      <c r="F71" s="37" t="n"/>
      <c r="G71" s="37" t="n"/>
      <c r="H71" s="37" t="n"/>
      <c r="I71" s="37" t="n"/>
      <c r="J71" s="37" t="n"/>
      <c r="K71" s="38">
        <f>IF($C71="","",IFERROR(N(INDEX(tbl_Finance[Invoice Count],MATCH($AU71,tbl_Finance[Row ID],0))),""))</f>
        <v/>
      </c>
      <c r="L71" s="11">
        <f>IF($C71="","",IFERROR(N(INDEX(tbl_Finance[Xero Invoiced Ex GST],MATCH($AU71,tbl_Finance[Row ID],0))),""))</f>
        <v/>
      </c>
      <c r="M71" s="10">
        <f>IF($C71="","",IFERROR(INDEX(tbl_Finance[Compare],MATCH($AU71,tbl_Finance[Row ID],0))&amp;"",""))</f>
        <v/>
      </c>
      <c r="N71" s="11">
        <f>IF($C71="","",MAX(0,N(O71)-N(L71)))</f>
        <v/>
      </c>
      <c r="O71" s="39" t="n"/>
      <c r="P71" s="40">
        <f>IF($C71="","",IF((IF(F71="",", Client","")&amp;IF(G71="",", Description","")&amp;IF(H71="",", Cost Centre","")&amp;IF(I71="",", Invoice Type","")&amp;IF(J71="",", Tax Code","")&amp;IF(O71="",", Expected Revenue","")&amp;IF(COUNTIF(tbl_Finance[Job Number],$C71&amp;"")&gt;1,", Job number used twice",""))="","Complete","Fix: "&amp;MID(IF(F71="",", Client","")&amp;IF(G71="",", Description","")&amp;IF(H71="",", Cost Centre","")&amp;IF(I71="",", Invoice Type","")&amp;IF(J71="",", Tax Code","")&amp;IF(O71="",", Expected Revenue","")&amp;IF(COUNTIF(tbl_Finance[Job Number],$C71&amp;"")&gt;1,", Job number used twice",""),3,300)))</f>
        <v/>
      </c>
      <c r="Q71" s="10">
        <f>IF($C71="","",IF(H71="","(no cost centre)",H71&amp;" - GL "&amp;IFERROR(INDEX(lst_CCtoGL,MATCH(H71,lst_CCforGL,0)),"?")))</f>
        <v/>
      </c>
      <c r="R71" s="11">
        <f>IF($C71="","",IFERROR(N(INDEX(tbl_Finance[Inc GST],MATCH($AU71,tbl_Finance[Row ID],0))),""))</f>
        <v/>
      </c>
      <c r="S71" s="37" t="n"/>
      <c r="T71" s="37" t="n"/>
      <c r="U71" s="37" t="n"/>
      <c r="V71" s="42" t="n"/>
      <c r="W71" s="37" t="n"/>
      <c r="X71" s="10">
        <f>IF(W71="","",IF(AND(LEFT(W71,4)&lt;&gt;"http",set_RMSBase=""),"",HYPERLINK(IF(LEFT(W71,4)="http",W71,set_RMSBase&amp;W71),"Open in RMS")))</f>
        <v/>
      </c>
      <c r="Y71" s="37" t="n"/>
      <c r="Z71" s="10">
        <f>IF(Y71="","",HYPERLINK(IF(LEFT(Y71,4)="http",Y71,set_QwilrBase&amp;Y71),"Open quote"))</f>
        <v/>
      </c>
      <c r="AA71" s="10">
        <f>IF(C71="","",C71)</f>
        <v/>
      </c>
      <c r="AB71" s="37" t="n"/>
      <c r="AC71" s="39" t="n"/>
      <c r="AD71" s="11">
        <f>IF(C71="","",N(L71)+N(AC71))</f>
        <v/>
      </c>
      <c r="AE71" s="43">
        <f>IFERROR(IF(N(AC71)=0,"",AC71/AD71),"")</f>
        <v/>
      </c>
      <c r="AF71" s="39" t="n"/>
      <c r="AG71" s="39" t="n"/>
      <c r="AH71" s="39" t="n"/>
      <c r="AI71" s="39" t="n"/>
      <c r="AJ71" s="11">
        <f>IF(C71="","",IF(H71="VIDEO",N(L71),0))</f>
        <v/>
      </c>
      <c r="AK71" s="43">
        <f>IFERROR(IF(N(L71)=0,"",AJ71/L71),"")</f>
        <v/>
      </c>
      <c r="AL71" s="11">
        <f>IF(C71="","",N(AF71)+N(AG71)+N(AH71)+N(AI71))</f>
        <v/>
      </c>
      <c r="AM71" s="11">
        <f>IF(C71="","",MAX(N(L71),N(O71))-N(AL71))</f>
        <v/>
      </c>
      <c r="AN71" s="43">
        <f>IFERROR(IF(MAX(N(L71),N(O71))=0,"",AM71/MAX(N(L71),N(O71))),"")</f>
        <v/>
      </c>
      <c r="AO71" s="41" t="n"/>
      <c r="AP71" s="41" t="n"/>
      <c r="AQ71" s="41" t="n"/>
      <c r="AR71" s="41" t="n"/>
      <c r="AS71" s="41" t="n"/>
      <c r="AT71" s="37" t="n"/>
      <c r="AU71" s="10" t="inlineStr">
        <is>
          <t>PRD-0067</t>
        </is>
      </c>
    </row>
    <row r="72">
      <c r="A72" s="16">
        <f>IF($C72="","",IFERROR(IF(INDEX(tbl_Finance[Latest Invoice Date],MATCH($AU72,tbl_Finance[Row ID],0))="","",INDEX(tbl_Finance[Latest Invoice Date],MATCH($AU72,tbl_Finance[Row ID],0))),""))</f>
        <v/>
      </c>
      <c r="B72" s="10">
        <f>IF($C72="","",IFERROR(INDEX(tbl_Finance[Invoice Numbers],MATCH($AU72,tbl_Finance[Row ID],0))&amp;"",""))</f>
        <v/>
      </c>
      <c r="C72" s="37" t="n"/>
      <c r="D72" s="10">
        <f>IF($C72="","",IF(COUNTIF(lst_Jobs,$C72&amp;"")&gt;0,"OK","CHECK"))</f>
        <v/>
      </c>
      <c r="E72" s="10">
        <f>IF($C72="","",IFERROR(INDEX(lst_JobName,MATCH($C72&amp;"",lst_Jobs,0)),""))</f>
        <v/>
      </c>
      <c r="F72" s="37" t="n"/>
      <c r="G72" s="37" t="n"/>
      <c r="H72" s="37" t="n"/>
      <c r="I72" s="37" t="n"/>
      <c r="J72" s="37" t="n"/>
      <c r="K72" s="38">
        <f>IF($C72="","",IFERROR(N(INDEX(tbl_Finance[Invoice Count],MATCH($AU72,tbl_Finance[Row ID],0))),""))</f>
        <v/>
      </c>
      <c r="L72" s="11">
        <f>IF($C72="","",IFERROR(N(INDEX(tbl_Finance[Xero Invoiced Ex GST],MATCH($AU72,tbl_Finance[Row ID],0))),""))</f>
        <v/>
      </c>
      <c r="M72" s="10">
        <f>IF($C72="","",IFERROR(INDEX(tbl_Finance[Compare],MATCH($AU72,tbl_Finance[Row ID],0))&amp;"",""))</f>
        <v/>
      </c>
      <c r="N72" s="11">
        <f>IF($C72="","",MAX(0,N(O72)-N(L72)))</f>
        <v/>
      </c>
      <c r="O72" s="39" t="n"/>
      <c r="P72" s="40">
        <f>IF($C72="","",IF((IF(F72="",", Client","")&amp;IF(G72="",", Description","")&amp;IF(H72="",", Cost Centre","")&amp;IF(I72="",", Invoice Type","")&amp;IF(J72="",", Tax Code","")&amp;IF(O72="",", Expected Revenue","")&amp;IF(COUNTIF(tbl_Finance[Job Number],$C72&amp;"")&gt;1,", Job number used twice",""))="","Complete","Fix: "&amp;MID(IF(F72="",", Client","")&amp;IF(G72="",", Description","")&amp;IF(H72="",", Cost Centre","")&amp;IF(I72="",", Invoice Type","")&amp;IF(J72="",", Tax Code","")&amp;IF(O72="",", Expected Revenue","")&amp;IF(COUNTIF(tbl_Finance[Job Number],$C72&amp;"")&gt;1,", Job number used twice",""),3,300)))</f>
        <v/>
      </c>
      <c r="Q72" s="10">
        <f>IF($C72="","",IF(H72="","(no cost centre)",H72&amp;" - GL "&amp;IFERROR(INDEX(lst_CCtoGL,MATCH(H72,lst_CCforGL,0)),"?")))</f>
        <v/>
      </c>
      <c r="R72" s="11">
        <f>IF($C72="","",IFERROR(N(INDEX(tbl_Finance[Inc GST],MATCH($AU72,tbl_Finance[Row ID],0))),""))</f>
        <v/>
      </c>
      <c r="S72" s="37" t="n"/>
      <c r="T72" s="37" t="n"/>
      <c r="U72" s="37" t="n"/>
      <c r="V72" s="42" t="n"/>
      <c r="W72" s="37" t="n"/>
      <c r="X72" s="10">
        <f>IF(W72="","",IF(AND(LEFT(W72,4)&lt;&gt;"http",set_RMSBase=""),"",HYPERLINK(IF(LEFT(W72,4)="http",W72,set_RMSBase&amp;W72),"Open in RMS")))</f>
        <v/>
      </c>
      <c r="Y72" s="37" t="n"/>
      <c r="Z72" s="10">
        <f>IF(Y72="","",HYPERLINK(IF(LEFT(Y72,4)="http",Y72,set_QwilrBase&amp;Y72),"Open quote"))</f>
        <v/>
      </c>
      <c r="AA72" s="10">
        <f>IF(C72="","",C72)</f>
        <v/>
      </c>
      <c r="AB72" s="37" t="n"/>
      <c r="AC72" s="39" t="n"/>
      <c r="AD72" s="11">
        <f>IF(C72="","",N(L72)+N(AC72))</f>
        <v/>
      </c>
      <c r="AE72" s="43">
        <f>IFERROR(IF(N(AC72)=0,"",AC72/AD72),"")</f>
        <v/>
      </c>
      <c r="AF72" s="39" t="n"/>
      <c r="AG72" s="39" t="n"/>
      <c r="AH72" s="39" t="n"/>
      <c r="AI72" s="39" t="n"/>
      <c r="AJ72" s="11">
        <f>IF(C72="","",IF(H72="VIDEO",N(L72),0))</f>
        <v/>
      </c>
      <c r="AK72" s="43">
        <f>IFERROR(IF(N(L72)=0,"",AJ72/L72),"")</f>
        <v/>
      </c>
      <c r="AL72" s="11">
        <f>IF(C72="","",N(AF72)+N(AG72)+N(AH72)+N(AI72))</f>
        <v/>
      </c>
      <c r="AM72" s="11">
        <f>IF(C72="","",MAX(N(L72),N(O72))-N(AL72))</f>
        <v/>
      </c>
      <c r="AN72" s="43">
        <f>IFERROR(IF(MAX(N(L72),N(O72))=0,"",AM72/MAX(N(L72),N(O72))),"")</f>
        <v/>
      </c>
      <c r="AO72" s="41" t="n"/>
      <c r="AP72" s="41" t="n"/>
      <c r="AQ72" s="41" t="n"/>
      <c r="AR72" s="41" t="n"/>
      <c r="AS72" s="41" t="n"/>
      <c r="AT72" s="37" t="n"/>
      <c r="AU72" s="10" t="inlineStr">
        <is>
          <t>PRD-0068</t>
        </is>
      </c>
    </row>
    <row r="73">
      <c r="A73" s="16">
        <f>IF($C73="","",IFERROR(IF(INDEX(tbl_Finance[Latest Invoice Date],MATCH($AU73,tbl_Finance[Row ID],0))="","",INDEX(tbl_Finance[Latest Invoice Date],MATCH($AU73,tbl_Finance[Row ID],0))),""))</f>
        <v/>
      </c>
      <c r="B73" s="10">
        <f>IF($C73="","",IFERROR(INDEX(tbl_Finance[Invoice Numbers],MATCH($AU73,tbl_Finance[Row ID],0))&amp;"",""))</f>
        <v/>
      </c>
      <c r="C73" s="37" t="n"/>
      <c r="D73" s="10">
        <f>IF($C73="","",IF(COUNTIF(lst_Jobs,$C73&amp;"")&gt;0,"OK","CHECK"))</f>
        <v/>
      </c>
      <c r="E73" s="10">
        <f>IF($C73="","",IFERROR(INDEX(lst_JobName,MATCH($C73&amp;"",lst_Jobs,0)),""))</f>
        <v/>
      </c>
      <c r="F73" s="37" t="n"/>
      <c r="G73" s="37" t="n"/>
      <c r="H73" s="37" t="n"/>
      <c r="I73" s="37" t="n"/>
      <c r="J73" s="37" t="n"/>
      <c r="K73" s="38">
        <f>IF($C73="","",IFERROR(N(INDEX(tbl_Finance[Invoice Count],MATCH($AU73,tbl_Finance[Row ID],0))),""))</f>
        <v/>
      </c>
      <c r="L73" s="11">
        <f>IF($C73="","",IFERROR(N(INDEX(tbl_Finance[Xero Invoiced Ex GST],MATCH($AU73,tbl_Finance[Row ID],0))),""))</f>
        <v/>
      </c>
      <c r="M73" s="10">
        <f>IF($C73="","",IFERROR(INDEX(tbl_Finance[Compare],MATCH($AU73,tbl_Finance[Row ID],0))&amp;"",""))</f>
        <v/>
      </c>
      <c r="N73" s="11">
        <f>IF($C73="","",MAX(0,N(O73)-N(L73)))</f>
        <v/>
      </c>
      <c r="O73" s="39" t="n"/>
      <c r="P73" s="40">
        <f>IF($C73="","",IF((IF(F73="",", Client","")&amp;IF(G73="",", Description","")&amp;IF(H73="",", Cost Centre","")&amp;IF(I73="",", Invoice Type","")&amp;IF(J73="",", Tax Code","")&amp;IF(O73="",", Expected Revenue","")&amp;IF(COUNTIF(tbl_Finance[Job Number],$C73&amp;"")&gt;1,", Job number used twice",""))="","Complete","Fix: "&amp;MID(IF(F73="",", Client","")&amp;IF(G73="",", Description","")&amp;IF(H73="",", Cost Centre","")&amp;IF(I73="",", Invoice Type","")&amp;IF(J73="",", Tax Code","")&amp;IF(O73="",", Expected Revenue","")&amp;IF(COUNTIF(tbl_Finance[Job Number],$C73&amp;"")&gt;1,", Job number used twice",""),3,300)))</f>
        <v/>
      </c>
      <c r="Q73" s="10">
        <f>IF($C73="","",IF(H73="","(no cost centre)",H73&amp;" - GL "&amp;IFERROR(INDEX(lst_CCtoGL,MATCH(H73,lst_CCforGL,0)),"?")))</f>
        <v/>
      </c>
      <c r="R73" s="11">
        <f>IF($C73="","",IFERROR(N(INDEX(tbl_Finance[Inc GST],MATCH($AU73,tbl_Finance[Row ID],0))),""))</f>
        <v/>
      </c>
      <c r="S73" s="37" t="n"/>
      <c r="T73" s="37" t="n"/>
      <c r="U73" s="37" t="n"/>
      <c r="V73" s="42" t="n"/>
      <c r="W73" s="37" t="n"/>
      <c r="X73" s="10">
        <f>IF(W73="","",IF(AND(LEFT(W73,4)&lt;&gt;"http",set_RMSBase=""),"",HYPERLINK(IF(LEFT(W73,4)="http",W73,set_RMSBase&amp;W73),"Open in RMS")))</f>
        <v/>
      </c>
      <c r="Y73" s="37" t="n"/>
      <c r="Z73" s="10">
        <f>IF(Y73="","",HYPERLINK(IF(LEFT(Y73,4)="http",Y73,set_QwilrBase&amp;Y73),"Open quote"))</f>
        <v/>
      </c>
      <c r="AA73" s="10">
        <f>IF(C73="","",C73)</f>
        <v/>
      </c>
      <c r="AB73" s="37" t="n"/>
      <c r="AC73" s="39" t="n"/>
      <c r="AD73" s="11">
        <f>IF(C73="","",N(L73)+N(AC73))</f>
        <v/>
      </c>
      <c r="AE73" s="43">
        <f>IFERROR(IF(N(AC73)=0,"",AC73/AD73),"")</f>
        <v/>
      </c>
      <c r="AF73" s="39" t="n"/>
      <c r="AG73" s="39" t="n"/>
      <c r="AH73" s="39" t="n"/>
      <c r="AI73" s="39" t="n"/>
      <c r="AJ73" s="11">
        <f>IF(C73="","",IF(H73="VIDEO",N(L73),0))</f>
        <v/>
      </c>
      <c r="AK73" s="43">
        <f>IFERROR(IF(N(L73)=0,"",AJ73/L73),"")</f>
        <v/>
      </c>
      <c r="AL73" s="11">
        <f>IF(C73="","",N(AF73)+N(AG73)+N(AH73)+N(AI73))</f>
        <v/>
      </c>
      <c r="AM73" s="11">
        <f>IF(C73="","",MAX(N(L73),N(O73))-N(AL73))</f>
        <v/>
      </c>
      <c r="AN73" s="43">
        <f>IFERROR(IF(MAX(N(L73),N(O73))=0,"",AM73/MAX(N(L73),N(O73))),"")</f>
        <v/>
      </c>
      <c r="AO73" s="41" t="n"/>
      <c r="AP73" s="41" t="n"/>
      <c r="AQ73" s="41" t="n"/>
      <c r="AR73" s="41" t="n"/>
      <c r="AS73" s="41" t="n"/>
      <c r="AT73" s="37" t="n"/>
      <c r="AU73" s="10" t="inlineStr">
        <is>
          <t>PRD-0069</t>
        </is>
      </c>
    </row>
    <row r="74">
      <c r="A74" s="16">
        <f>IF($C74="","",IFERROR(IF(INDEX(tbl_Finance[Latest Invoice Date],MATCH($AU74,tbl_Finance[Row ID],0))="","",INDEX(tbl_Finance[Latest Invoice Date],MATCH($AU74,tbl_Finance[Row ID],0))),""))</f>
        <v/>
      </c>
      <c r="B74" s="10">
        <f>IF($C74="","",IFERROR(INDEX(tbl_Finance[Invoice Numbers],MATCH($AU74,tbl_Finance[Row ID],0))&amp;"",""))</f>
        <v/>
      </c>
      <c r="C74" s="37" t="n"/>
      <c r="D74" s="10">
        <f>IF($C74="","",IF(COUNTIF(lst_Jobs,$C74&amp;"")&gt;0,"OK","CHECK"))</f>
        <v/>
      </c>
      <c r="E74" s="10">
        <f>IF($C74="","",IFERROR(INDEX(lst_JobName,MATCH($C74&amp;"",lst_Jobs,0)),""))</f>
        <v/>
      </c>
      <c r="F74" s="37" t="n"/>
      <c r="G74" s="37" t="n"/>
      <c r="H74" s="37" t="n"/>
      <c r="I74" s="37" t="n"/>
      <c r="J74" s="37" t="n"/>
      <c r="K74" s="38">
        <f>IF($C74="","",IFERROR(N(INDEX(tbl_Finance[Invoice Count],MATCH($AU74,tbl_Finance[Row ID],0))),""))</f>
        <v/>
      </c>
      <c r="L74" s="11">
        <f>IF($C74="","",IFERROR(N(INDEX(tbl_Finance[Xero Invoiced Ex GST],MATCH($AU74,tbl_Finance[Row ID],0))),""))</f>
        <v/>
      </c>
      <c r="M74" s="10">
        <f>IF($C74="","",IFERROR(INDEX(tbl_Finance[Compare],MATCH($AU74,tbl_Finance[Row ID],0))&amp;"",""))</f>
        <v/>
      </c>
      <c r="N74" s="11">
        <f>IF($C74="","",MAX(0,N(O74)-N(L74)))</f>
        <v/>
      </c>
      <c r="O74" s="39" t="n"/>
      <c r="P74" s="40">
        <f>IF($C74="","",IF((IF(F74="",", Client","")&amp;IF(G74="",", Description","")&amp;IF(H74="",", Cost Centre","")&amp;IF(I74="",", Invoice Type","")&amp;IF(J74="",", Tax Code","")&amp;IF(O74="",", Expected Revenue","")&amp;IF(COUNTIF(tbl_Finance[Job Number],$C74&amp;"")&gt;1,", Job number used twice",""))="","Complete","Fix: "&amp;MID(IF(F74="",", Client","")&amp;IF(G74="",", Description","")&amp;IF(H74="",", Cost Centre","")&amp;IF(I74="",", Invoice Type","")&amp;IF(J74="",", Tax Code","")&amp;IF(O74="",", Expected Revenue","")&amp;IF(COUNTIF(tbl_Finance[Job Number],$C74&amp;"")&gt;1,", Job number used twice",""),3,300)))</f>
        <v/>
      </c>
      <c r="Q74" s="10">
        <f>IF($C74="","",IF(H74="","(no cost centre)",H74&amp;" - GL "&amp;IFERROR(INDEX(lst_CCtoGL,MATCH(H74,lst_CCforGL,0)),"?")))</f>
        <v/>
      </c>
      <c r="R74" s="11">
        <f>IF($C74="","",IFERROR(N(INDEX(tbl_Finance[Inc GST],MATCH($AU74,tbl_Finance[Row ID],0))),""))</f>
        <v/>
      </c>
      <c r="S74" s="37" t="n"/>
      <c r="T74" s="37" t="n"/>
      <c r="U74" s="37" t="n"/>
      <c r="V74" s="42" t="n"/>
      <c r="W74" s="37" t="n"/>
      <c r="X74" s="10">
        <f>IF(W74="","",IF(AND(LEFT(W74,4)&lt;&gt;"http",set_RMSBase=""),"",HYPERLINK(IF(LEFT(W74,4)="http",W74,set_RMSBase&amp;W74),"Open in RMS")))</f>
        <v/>
      </c>
      <c r="Y74" s="37" t="n"/>
      <c r="Z74" s="10">
        <f>IF(Y74="","",HYPERLINK(IF(LEFT(Y74,4)="http",Y74,set_QwilrBase&amp;Y74),"Open quote"))</f>
        <v/>
      </c>
      <c r="AA74" s="10">
        <f>IF(C74="","",C74)</f>
        <v/>
      </c>
      <c r="AB74" s="37" t="n"/>
      <c r="AC74" s="39" t="n"/>
      <c r="AD74" s="11">
        <f>IF(C74="","",N(L74)+N(AC74))</f>
        <v/>
      </c>
      <c r="AE74" s="43">
        <f>IFERROR(IF(N(AC74)=0,"",AC74/AD74),"")</f>
        <v/>
      </c>
      <c r="AF74" s="39" t="n"/>
      <c r="AG74" s="39" t="n"/>
      <c r="AH74" s="39" t="n"/>
      <c r="AI74" s="39" t="n"/>
      <c r="AJ74" s="11">
        <f>IF(C74="","",IF(H74="VIDEO",N(L74),0))</f>
        <v/>
      </c>
      <c r="AK74" s="43">
        <f>IFERROR(IF(N(L74)=0,"",AJ74/L74),"")</f>
        <v/>
      </c>
      <c r="AL74" s="11">
        <f>IF(C74="","",N(AF74)+N(AG74)+N(AH74)+N(AI74))</f>
        <v/>
      </c>
      <c r="AM74" s="11">
        <f>IF(C74="","",MAX(N(L74),N(O74))-N(AL74))</f>
        <v/>
      </c>
      <c r="AN74" s="43">
        <f>IFERROR(IF(MAX(N(L74),N(O74))=0,"",AM74/MAX(N(L74),N(O74))),"")</f>
        <v/>
      </c>
      <c r="AO74" s="41" t="n"/>
      <c r="AP74" s="41" t="n"/>
      <c r="AQ74" s="41" t="n"/>
      <c r="AR74" s="41" t="n"/>
      <c r="AS74" s="41" t="n"/>
      <c r="AT74" s="37" t="n"/>
      <c r="AU74" s="10" t="inlineStr">
        <is>
          <t>PRD-0070</t>
        </is>
      </c>
    </row>
    <row r="75">
      <c r="A75" s="16">
        <f>IF($C75="","",IFERROR(IF(INDEX(tbl_Finance[Latest Invoice Date],MATCH($AU75,tbl_Finance[Row ID],0))="","",INDEX(tbl_Finance[Latest Invoice Date],MATCH($AU75,tbl_Finance[Row ID],0))),""))</f>
        <v/>
      </c>
      <c r="B75" s="10">
        <f>IF($C75="","",IFERROR(INDEX(tbl_Finance[Invoice Numbers],MATCH($AU75,tbl_Finance[Row ID],0))&amp;"",""))</f>
        <v/>
      </c>
      <c r="C75" s="37" t="n"/>
      <c r="D75" s="10">
        <f>IF($C75="","",IF(COUNTIF(lst_Jobs,$C75&amp;"")&gt;0,"OK","CHECK"))</f>
        <v/>
      </c>
      <c r="E75" s="10">
        <f>IF($C75="","",IFERROR(INDEX(lst_JobName,MATCH($C75&amp;"",lst_Jobs,0)),""))</f>
        <v/>
      </c>
      <c r="F75" s="37" t="n"/>
      <c r="G75" s="37" t="n"/>
      <c r="H75" s="37" t="n"/>
      <c r="I75" s="37" t="n"/>
      <c r="J75" s="37" t="n"/>
      <c r="K75" s="38">
        <f>IF($C75="","",IFERROR(N(INDEX(tbl_Finance[Invoice Count],MATCH($AU75,tbl_Finance[Row ID],0))),""))</f>
        <v/>
      </c>
      <c r="L75" s="11">
        <f>IF($C75="","",IFERROR(N(INDEX(tbl_Finance[Xero Invoiced Ex GST],MATCH($AU75,tbl_Finance[Row ID],0))),""))</f>
        <v/>
      </c>
      <c r="M75" s="10">
        <f>IF($C75="","",IFERROR(INDEX(tbl_Finance[Compare],MATCH($AU75,tbl_Finance[Row ID],0))&amp;"",""))</f>
        <v/>
      </c>
      <c r="N75" s="11">
        <f>IF($C75="","",MAX(0,N(O75)-N(L75)))</f>
        <v/>
      </c>
      <c r="O75" s="39" t="n"/>
      <c r="P75" s="40">
        <f>IF($C75="","",IF((IF(F75="",", Client","")&amp;IF(G75="",", Description","")&amp;IF(H75="",", Cost Centre","")&amp;IF(I75="",", Invoice Type","")&amp;IF(J75="",", Tax Code","")&amp;IF(O75="",", Expected Revenue","")&amp;IF(COUNTIF(tbl_Finance[Job Number],$C75&amp;"")&gt;1,", Job number used twice",""))="","Complete","Fix: "&amp;MID(IF(F75="",", Client","")&amp;IF(G75="",", Description","")&amp;IF(H75="",", Cost Centre","")&amp;IF(I75="",", Invoice Type","")&amp;IF(J75="",", Tax Code","")&amp;IF(O75="",", Expected Revenue","")&amp;IF(COUNTIF(tbl_Finance[Job Number],$C75&amp;"")&gt;1,", Job number used twice",""),3,300)))</f>
        <v/>
      </c>
      <c r="Q75" s="10">
        <f>IF($C75="","",IF(H75="","(no cost centre)",H75&amp;" - GL "&amp;IFERROR(INDEX(lst_CCtoGL,MATCH(H75,lst_CCforGL,0)),"?")))</f>
        <v/>
      </c>
      <c r="R75" s="11">
        <f>IF($C75="","",IFERROR(N(INDEX(tbl_Finance[Inc GST],MATCH($AU75,tbl_Finance[Row ID],0))),""))</f>
        <v/>
      </c>
      <c r="S75" s="37" t="n"/>
      <c r="T75" s="37" t="n"/>
      <c r="U75" s="37" t="n"/>
      <c r="V75" s="42" t="n"/>
      <c r="W75" s="37" t="n"/>
      <c r="X75" s="10">
        <f>IF(W75="","",IF(AND(LEFT(W75,4)&lt;&gt;"http",set_RMSBase=""),"",HYPERLINK(IF(LEFT(W75,4)="http",W75,set_RMSBase&amp;W75),"Open in RMS")))</f>
        <v/>
      </c>
      <c r="Y75" s="37" t="n"/>
      <c r="Z75" s="10">
        <f>IF(Y75="","",HYPERLINK(IF(LEFT(Y75,4)="http",Y75,set_QwilrBase&amp;Y75),"Open quote"))</f>
        <v/>
      </c>
      <c r="AA75" s="10">
        <f>IF(C75="","",C75)</f>
        <v/>
      </c>
      <c r="AB75" s="37" t="n"/>
      <c r="AC75" s="39" t="n"/>
      <c r="AD75" s="11">
        <f>IF(C75="","",N(L75)+N(AC75))</f>
        <v/>
      </c>
      <c r="AE75" s="43">
        <f>IFERROR(IF(N(AC75)=0,"",AC75/AD75),"")</f>
        <v/>
      </c>
      <c r="AF75" s="39" t="n"/>
      <c r="AG75" s="39" t="n"/>
      <c r="AH75" s="39" t="n"/>
      <c r="AI75" s="39" t="n"/>
      <c r="AJ75" s="11">
        <f>IF(C75="","",IF(H75="VIDEO",N(L75),0))</f>
        <v/>
      </c>
      <c r="AK75" s="43">
        <f>IFERROR(IF(N(L75)=0,"",AJ75/L75),"")</f>
        <v/>
      </c>
      <c r="AL75" s="11">
        <f>IF(C75="","",N(AF75)+N(AG75)+N(AH75)+N(AI75))</f>
        <v/>
      </c>
      <c r="AM75" s="11">
        <f>IF(C75="","",MAX(N(L75),N(O75))-N(AL75))</f>
        <v/>
      </c>
      <c r="AN75" s="43">
        <f>IFERROR(IF(MAX(N(L75),N(O75))=0,"",AM75/MAX(N(L75),N(O75))),"")</f>
        <v/>
      </c>
      <c r="AO75" s="41" t="n"/>
      <c r="AP75" s="41" t="n"/>
      <c r="AQ75" s="41" t="n"/>
      <c r="AR75" s="41" t="n"/>
      <c r="AS75" s="41" t="n"/>
      <c r="AT75" s="37" t="n"/>
      <c r="AU75" s="10" t="inlineStr">
        <is>
          <t>PRD-0071</t>
        </is>
      </c>
    </row>
    <row r="76">
      <c r="A76" s="16">
        <f>IF($C76="","",IFERROR(IF(INDEX(tbl_Finance[Latest Invoice Date],MATCH($AU76,tbl_Finance[Row ID],0))="","",INDEX(tbl_Finance[Latest Invoice Date],MATCH($AU76,tbl_Finance[Row ID],0))),""))</f>
        <v/>
      </c>
      <c r="B76" s="10">
        <f>IF($C76="","",IFERROR(INDEX(tbl_Finance[Invoice Numbers],MATCH($AU76,tbl_Finance[Row ID],0))&amp;"",""))</f>
        <v/>
      </c>
      <c r="C76" s="37" t="n"/>
      <c r="D76" s="10">
        <f>IF($C76="","",IF(COUNTIF(lst_Jobs,$C76&amp;"")&gt;0,"OK","CHECK"))</f>
        <v/>
      </c>
      <c r="E76" s="10">
        <f>IF($C76="","",IFERROR(INDEX(lst_JobName,MATCH($C76&amp;"",lst_Jobs,0)),""))</f>
        <v/>
      </c>
      <c r="F76" s="37" t="n"/>
      <c r="G76" s="37" t="n"/>
      <c r="H76" s="37" t="n"/>
      <c r="I76" s="37" t="n"/>
      <c r="J76" s="37" t="n"/>
      <c r="K76" s="38">
        <f>IF($C76="","",IFERROR(N(INDEX(tbl_Finance[Invoice Count],MATCH($AU76,tbl_Finance[Row ID],0))),""))</f>
        <v/>
      </c>
      <c r="L76" s="11">
        <f>IF($C76="","",IFERROR(N(INDEX(tbl_Finance[Xero Invoiced Ex GST],MATCH($AU76,tbl_Finance[Row ID],0))),""))</f>
        <v/>
      </c>
      <c r="M76" s="10">
        <f>IF($C76="","",IFERROR(INDEX(tbl_Finance[Compare],MATCH($AU76,tbl_Finance[Row ID],0))&amp;"",""))</f>
        <v/>
      </c>
      <c r="N76" s="11">
        <f>IF($C76="","",MAX(0,N(O76)-N(L76)))</f>
        <v/>
      </c>
      <c r="O76" s="39" t="n"/>
      <c r="P76" s="40">
        <f>IF($C76="","",IF((IF(F76="",", Client","")&amp;IF(G76="",", Description","")&amp;IF(H76="",", Cost Centre","")&amp;IF(I76="",", Invoice Type","")&amp;IF(J76="",", Tax Code","")&amp;IF(O76="",", Expected Revenue","")&amp;IF(COUNTIF(tbl_Finance[Job Number],$C76&amp;"")&gt;1,", Job number used twice",""))="","Complete","Fix: "&amp;MID(IF(F76="",", Client","")&amp;IF(G76="",", Description","")&amp;IF(H76="",", Cost Centre","")&amp;IF(I76="",", Invoice Type","")&amp;IF(J76="",", Tax Code","")&amp;IF(O76="",", Expected Revenue","")&amp;IF(COUNTIF(tbl_Finance[Job Number],$C76&amp;"")&gt;1,", Job number used twice",""),3,300)))</f>
        <v/>
      </c>
      <c r="Q76" s="10">
        <f>IF($C76="","",IF(H76="","(no cost centre)",H76&amp;" - GL "&amp;IFERROR(INDEX(lst_CCtoGL,MATCH(H76,lst_CCforGL,0)),"?")))</f>
        <v/>
      </c>
      <c r="R76" s="11">
        <f>IF($C76="","",IFERROR(N(INDEX(tbl_Finance[Inc GST],MATCH($AU76,tbl_Finance[Row ID],0))),""))</f>
        <v/>
      </c>
      <c r="S76" s="37" t="n"/>
      <c r="T76" s="37" t="n"/>
      <c r="U76" s="37" t="n"/>
      <c r="V76" s="42" t="n"/>
      <c r="W76" s="37" t="n"/>
      <c r="X76" s="10">
        <f>IF(W76="","",IF(AND(LEFT(W76,4)&lt;&gt;"http",set_RMSBase=""),"",HYPERLINK(IF(LEFT(W76,4)="http",W76,set_RMSBase&amp;W76),"Open in RMS")))</f>
        <v/>
      </c>
      <c r="Y76" s="37" t="n"/>
      <c r="Z76" s="10">
        <f>IF(Y76="","",HYPERLINK(IF(LEFT(Y76,4)="http",Y76,set_QwilrBase&amp;Y76),"Open quote"))</f>
        <v/>
      </c>
      <c r="AA76" s="10">
        <f>IF(C76="","",C76)</f>
        <v/>
      </c>
      <c r="AB76" s="37" t="n"/>
      <c r="AC76" s="39" t="n"/>
      <c r="AD76" s="11">
        <f>IF(C76="","",N(L76)+N(AC76))</f>
        <v/>
      </c>
      <c r="AE76" s="43">
        <f>IFERROR(IF(N(AC76)=0,"",AC76/AD76),"")</f>
        <v/>
      </c>
      <c r="AF76" s="39" t="n"/>
      <c r="AG76" s="39" t="n"/>
      <c r="AH76" s="39" t="n"/>
      <c r="AI76" s="39" t="n"/>
      <c r="AJ76" s="11">
        <f>IF(C76="","",IF(H76="VIDEO",N(L76),0))</f>
        <v/>
      </c>
      <c r="AK76" s="43">
        <f>IFERROR(IF(N(L76)=0,"",AJ76/L76),"")</f>
        <v/>
      </c>
      <c r="AL76" s="11">
        <f>IF(C76="","",N(AF76)+N(AG76)+N(AH76)+N(AI76))</f>
        <v/>
      </c>
      <c r="AM76" s="11">
        <f>IF(C76="","",MAX(N(L76),N(O76))-N(AL76))</f>
        <v/>
      </c>
      <c r="AN76" s="43">
        <f>IFERROR(IF(MAX(N(L76),N(O76))=0,"",AM76/MAX(N(L76),N(O76))),"")</f>
        <v/>
      </c>
      <c r="AO76" s="41" t="n"/>
      <c r="AP76" s="41" t="n"/>
      <c r="AQ76" s="41" t="n"/>
      <c r="AR76" s="41" t="n"/>
      <c r="AS76" s="41" t="n"/>
      <c r="AT76" s="37" t="n"/>
      <c r="AU76" s="10" t="inlineStr">
        <is>
          <t>PRD-0072</t>
        </is>
      </c>
    </row>
    <row r="77">
      <c r="A77" s="16">
        <f>IF($C77="","",IFERROR(IF(INDEX(tbl_Finance[Latest Invoice Date],MATCH($AU77,tbl_Finance[Row ID],0))="","",INDEX(tbl_Finance[Latest Invoice Date],MATCH($AU77,tbl_Finance[Row ID],0))),""))</f>
        <v/>
      </c>
      <c r="B77" s="10">
        <f>IF($C77="","",IFERROR(INDEX(tbl_Finance[Invoice Numbers],MATCH($AU77,tbl_Finance[Row ID],0))&amp;"",""))</f>
        <v/>
      </c>
      <c r="C77" s="37" t="n"/>
      <c r="D77" s="10">
        <f>IF($C77="","",IF(COUNTIF(lst_Jobs,$C77&amp;"")&gt;0,"OK","CHECK"))</f>
        <v/>
      </c>
      <c r="E77" s="10">
        <f>IF($C77="","",IFERROR(INDEX(lst_JobName,MATCH($C77&amp;"",lst_Jobs,0)),""))</f>
        <v/>
      </c>
      <c r="F77" s="37" t="n"/>
      <c r="G77" s="37" t="n"/>
      <c r="H77" s="37" t="n"/>
      <c r="I77" s="37" t="n"/>
      <c r="J77" s="37" t="n"/>
      <c r="K77" s="38">
        <f>IF($C77="","",IFERROR(N(INDEX(tbl_Finance[Invoice Count],MATCH($AU77,tbl_Finance[Row ID],0))),""))</f>
        <v/>
      </c>
      <c r="L77" s="11">
        <f>IF($C77="","",IFERROR(N(INDEX(tbl_Finance[Xero Invoiced Ex GST],MATCH($AU77,tbl_Finance[Row ID],0))),""))</f>
        <v/>
      </c>
      <c r="M77" s="10">
        <f>IF($C77="","",IFERROR(INDEX(tbl_Finance[Compare],MATCH($AU77,tbl_Finance[Row ID],0))&amp;"",""))</f>
        <v/>
      </c>
      <c r="N77" s="11">
        <f>IF($C77="","",MAX(0,N(O77)-N(L77)))</f>
        <v/>
      </c>
      <c r="O77" s="39" t="n"/>
      <c r="P77" s="40">
        <f>IF($C77="","",IF((IF(F77="",", Client","")&amp;IF(G77="",", Description","")&amp;IF(H77="",", Cost Centre","")&amp;IF(I77="",", Invoice Type","")&amp;IF(J77="",", Tax Code","")&amp;IF(O77="",", Expected Revenue","")&amp;IF(COUNTIF(tbl_Finance[Job Number],$C77&amp;"")&gt;1,", Job number used twice",""))="","Complete","Fix: "&amp;MID(IF(F77="",", Client","")&amp;IF(G77="",", Description","")&amp;IF(H77="",", Cost Centre","")&amp;IF(I77="",", Invoice Type","")&amp;IF(J77="",", Tax Code","")&amp;IF(O77="",", Expected Revenue","")&amp;IF(COUNTIF(tbl_Finance[Job Number],$C77&amp;"")&gt;1,", Job number used twice",""),3,300)))</f>
        <v/>
      </c>
      <c r="Q77" s="10">
        <f>IF($C77="","",IF(H77="","(no cost centre)",H77&amp;" - GL "&amp;IFERROR(INDEX(lst_CCtoGL,MATCH(H77,lst_CCforGL,0)),"?")))</f>
        <v/>
      </c>
      <c r="R77" s="11">
        <f>IF($C77="","",IFERROR(N(INDEX(tbl_Finance[Inc GST],MATCH($AU77,tbl_Finance[Row ID],0))),""))</f>
        <v/>
      </c>
      <c r="S77" s="37" t="n"/>
      <c r="T77" s="37" t="n"/>
      <c r="U77" s="37" t="n"/>
      <c r="V77" s="42" t="n"/>
      <c r="W77" s="37" t="n"/>
      <c r="X77" s="10">
        <f>IF(W77="","",IF(AND(LEFT(W77,4)&lt;&gt;"http",set_RMSBase=""),"",HYPERLINK(IF(LEFT(W77,4)="http",W77,set_RMSBase&amp;W77),"Open in RMS")))</f>
        <v/>
      </c>
      <c r="Y77" s="37" t="n"/>
      <c r="Z77" s="10">
        <f>IF(Y77="","",HYPERLINK(IF(LEFT(Y77,4)="http",Y77,set_QwilrBase&amp;Y77),"Open quote"))</f>
        <v/>
      </c>
      <c r="AA77" s="10">
        <f>IF(C77="","",C77)</f>
        <v/>
      </c>
      <c r="AB77" s="37" t="n"/>
      <c r="AC77" s="39" t="n"/>
      <c r="AD77" s="11">
        <f>IF(C77="","",N(L77)+N(AC77))</f>
        <v/>
      </c>
      <c r="AE77" s="43">
        <f>IFERROR(IF(N(AC77)=0,"",AC77/AD77),"")</f>
        <v/>
      </c>
      <c r="AF77" s="39" t="n"/>
      <c r="AG77" s="39" t="n"/>
      <c r="AH77" s="39" t="n"/>
      <c r="AI77" s="39" t="n"/>
      <c r="AJ77" s="11">
        <f>IF(C77="","",IF(H77="VIDEO",N(L77),0))</f>
        <v/>
      </c>
      <c r="AK77" s="43">
        <f>IFERROR(IF(N(L77)=0,"",AJ77/L77),"")</f>
        <v/>
      </c>
      <c r="AL77" s="11">
        <f>IF(C77="","",N(AF77)+N(AG77)+N(AH77)+N(AI77))</f>
        <v/>
      </c>
      <c r="AM77" s="11">
        <f>IF(C77="","",MAX(N(L77),N(O77))-N(AL77))</f>
        <v/>
      </c>
      <c r="AN77" s="43">
        <f>IFERROR(IF(MAX(N(L77),N(O77))=0,"",AM77/MAX(N(L77),N(O77))),"")</f>
        <v/>
      </c>
      <c r="AO77" s="41" t="n"/>
      <c r="AP77" s="41" t="n"/>
      <c r="AQ77" s="41" t="n"/>
      <c r="AR77" s="41" t="n"/>
      <c r="AS77" s="41" t="n"/>
      <c r="AT77" s="37" t="n"/>
      <c r="AU77" s="10" t="inlineStr">
        <is>
          <t>PRD-0073</t>
        </is>
      </c>
    </row>
    <row r="78">
      <c r="A78" s="16">
        <f>IF($C78="","",IFERROR(IF(INDEX(tbl_Finance[Latest Invoice Date],MATCH($AU78,tbl_Finance[Row ID],0))="","",INDEX(tbl_Finance[Latest Invoice Date],MATCH($AU78,tbl_Finance[Row ID],0))),""))</f>
        <v/>
      </c>
      <c r="B78" s="10">
        <f>IF($C78="","",IFERROR(INDEX(tbl_Finance[Invoice Numbers],MATCH($AU78,tbl_Finance[Row ID],0))&amp;"",""))</f>
        <v/>
      </c>
      <c r="C78" s="37" t="n"/>
      <c r="D78" s="10">
        <f>IF($C78="","",IF(COUNTIF(lst_Jobs,$C78&amp;"")&gt;0,"OK","CHECK"))</f>
        <v/>
      </c>
      <c r="E78" s="10">
        <f>IF($C78="","",IFERROR(INDEX(lst_JobName,MATCH($C78&amp;"",lst_Jobs,0)),""))</f>
        <v/>
      </c>
      <c r="F78" s="37" t="n"/>
      <c r="G78" s="37" t="n"/>
      <c r="H78" s="37" t="n"/>
      <c r="I78" s="37" t="n"/>
      <c r="J78" s="37" t="n"/>
      <c r="K78" s="38">
        <f>IF($C78="","",IFERROR(N(INDEX(tbl_Finance[Invoice Count],MATCH($AU78,tbl_Finance[Row ID],0))),""))</f>
        <v/>
      </c>
      <c r="L78" s="11">
        <f>IF($C78="","",IFERROR(N(INDEX(tbl_Finance[Xero Invoiced Ex GST],MATCH($AU78,tbl_Finance[Row ID],0))),""))</f>
        <v/>
      </c>
      <c r="M78" s="10">
        <f>IF($C78="","",IFERROR(INDEX(tbl_Finance[Compare],MATCH($AU78,tbl_Finance[Row ID],0))&amp;"",""))</f>
        <v/>
      </c>
      <c r="N78" s="11">
        <f>IF($C78="","",MAX(0,N(O78)-N(L78)))</f>
        <v/>
      </c>
      <c r="O78" s="39" t="n"/>
      <c r="P78" s="40">
        <f>IF($C78="","",IF((IF(F78="",", Client","")&amp;IF(G78="",", Description","")&amp;IF(H78="",", Cost Centre","")&amp;IF(I78="",", Invoice Type","")&amp;IF(J78="",", Tax Code","")&amp;IF(O78="",", Expected Revenue","")&amp;IF(COUNTIF(tbl_Finance[Job Number],$C78&amp;"")&gt;1,", Job number used twice",""))="","Complete","Fix: "&amp;MID(IF(F78="",", Client","")&amp;IF(G78="",", Description","")&amp;IF(H78="",", Cost Centre","")&amp;IF(I78="",", Invoice Type","")&amp;IF(J78="",", Tax Code","")&amp;IF(O78="",", Expected Revenue","")&amp;IF(COUNTIF(tbl_Finance[Job Number],$C78&amp;"")&gt;1,", Job number used twice",""),3,300)))</f>
        <v/>
      </c>
      <c r="Q78" s="10">
        <f>IF($C78="","",IF(H78="","(no cost centre)",H78&amp;" - GL "&amp;IFERROR(INDEX(lst_CCtoGL,MATCH(H78,lst_CCforGL,0)),"?")))</f>
        <v/>
      </c>
      <c r="R78" s="11">
        <f>IF($C78="","",IFERROR(N(INDEX(tbl_Finance[Inc GST],MATCH($AU78,tbl_Finance[Row ID],0))),""))</f>
        <v/>
      </c>
      <c r="S78" s="37" t="n"/>
      <c r="T78" s="37" t="n"/>
      <c r="U78" s="37" t="n"/>
      <c r="V78" s="42" t="n"/>
      <c r="W78" s="37" t="n"/>
      <c r="X78" s="10">
        <f>IF(W78="","",IF(AND(LEFT(W78,4)&lt;&gt;"http",set_RMSBase=""),"",HYPERLINK(IF(LEFT(W78,4)="http",W78,set_RMSBase&amp;W78),"Open in RMS")))</f>
        <v/>
      </c>
      <c r="Y78" s="37" t="n"/>
      <c r="Z78" s="10">
        <f>IF(Y78="","",HYPERLINK(IF(LEFT(Y78,4)="http",Y78,set_QwilrBase&amp;Y78),"Open quote"))</f>
        <v/>
      </c>
      <c r="AA78" s="10">
        <f>IF(C78="","",C78)</f>
        <v/>
      </c>
      <c r="AB78" s="37" t="n"/>
      <c r="AC78" s="39" t="n"/>
      <c r="AD78" s="11">
        <f>IF(C78="","",N(L78)+N(AC78))</f>
        <v/>
      </c>
      <c r="AE78" s="43">
        <f>IFERROR(IF(N(AC78)=0,"",AC78/AD78),"")</f>
        <v/>
      </c>
      <c r="AF78" s="39" t="n"/>
      <c r="AG78" s="39" t="n"/>
      <c r="AH78" s="39" t="n"/>
      <c r="AI78" s="39" t="n"/>
      <c r="AJ78" s="11">
        <f>IF(C78="","",IF(H78="VIDEO",N(L78),0))</f>
        <v/>
      </c>
      <c r="AK78" s="43">
        <f>IFERROR(IF(N(L78)=0,"",AJ78/L78),"")</f>
        <v/>
      </c>
      <c r="AL78" s="11">
        <f>IF(C78="","",N(AF78)+N(AG78)+N(AH78)+N(AI78))</f>
        <v/>
      </c>
      <c r="AM78" s="11">
        <f>IF(C78="","",MAX(N(L78),N(O78))-N(AL78))</f>
        <v/>
      </c>
      <c r="AN78" s="43">
        <f>IFERROR(IF(MAX(N(L78),N(O78))=0,"",AM78/MAX(N(L78),N(O78))),"")</f>
        <v/>
      </c>
      <c r="AO78" s="41" t="n"/>
      <c r="AP78" s="41" t="n"/>
      <c r="AQ78" s="41" t="n"/>
      <c r="AR78" s="41" t="n"/>
      <c r="AS78" s="41" t="n"/>
      <c r="AT78" s="37" t="n"/>
      <c r="AU78" s="10" t="inlineStr">
        <is>
          <t>PRD-0074</t>
        </is>
      </c>
    </row>
    <row r="79">
      <c r="A79" s="16">
        <f>IF($C79="","",IFERROR(IF(INDEX(tbl_Finance[Latest Invoice Date],MATCH($AU79,tbl_Finance[Row ID],0))="","",INDEX(tbl_Finance[Latest Invoice Date],MATCH($AU79,tbl_Finance[Row ID],0))),""))</f>
        <v/>
      </c>
      <c r="B79" s="10">
        <f>IF($C79="","",IFERROR(INDEX(tbl_Finance[Invoice Numbers],MATCH($AU79,tbl_Finance[Row ID],0))&amp;"",""))</f>
        <v/>
      </c>
      <c r="C79" s="37" t="n"/>
      <c r="D79" s="10">
        <f>IF($C79="","",IF(COUNTIF(lst_Jobs,$C79&amp;"")&gt;0,"OK","CHECK"))</f>
        <v/>
      </c>
      <c r="E79" s="10">
        <f>IF($C79="","",IFERROR(INDEX(lst_JobName,MATCH($C79&amp;"",lst_Jobs,0)),""))</f>
        <v/>
      </c>
      <c r="F79" s="37" t="n"/>
      <c r="G79" s="37" t="n"/>
      <c r="H79" s="37" t="n"/>
      <c r="I79" s="37" t="n"/>
      <c r="J79" s="37" t="n"/>
      <c r="K79" s="38">
        <f>IF($C79="","",IFERROR(N(INDEX(tbl_Finance[Invoice Count],MATCH($AU79,tbl_Finance[Row ID],0))),""))</f>
        <v/>
      </c>
      <c r="L79" s="11">
        <f>IF($C79="","",IFERROR(N(INDEX(tbl_Finance[Xero Invoiced Ex GST],MATCH($AU79,tbl_Finance[Row ID],0))),""))</f>
        <v/>
      </c>
      <c r="M79" s="10">
        <f>IF($C79="","",IFERROR(INDEX(tbl_Finance[Compare],MATCH($AU79,tbl_Finance[Row ID],0))&amp;"",""))</f>
        <v/>
      </c>
      <c r="N79" s="11">
        <f>IF($C79="","",MAX(0,N(O79)-N(L79)))</f>
        <v/>
      </c>
      <c r="O79" s="39" t="n"/>
      <c r="P79" s="40">
        <f>IF($C79="","",IF((IF(F79="",", Client","")&amp;IF(G79="",", Description","")&amp;IF(H79="",", Cost Centre","")&amp;IF(I79="",", Invoice Type","")&amp;IF(J79="",", Tax Code","")&amp;IF(O79="",", Expected Revenue","")&amp;IF(COUNTIF(tbl_Finance[Job Number],$C79&amp;"")&gt;1,", Job number used twice",""))="","Complete","Fix: "&amp;MID(IF(F79="",", Client","")&amp;IF(G79="",", Description","")&amp;IF(H79="",", Cost Centre","")&amp;IF(I79="",", Invoice Type","")&amp;IF(J79="",", Tax Code","")&amp;IF(O79="",", Expected Revenue","")&amp;IF(COUNTIF(tbl_Finance[Job Number],$C79&amp;"")&gt;1,", Job number used twice",""),3,300)))</f>
        <v/>
      </c>
      <c r="Q79" s="10">
        <f>IF($C79="","",IF(H79="","(no cost centre)",H79&amp;" - GL "&amp;IFERROR(INDEX(lst_CCtoGL,MATCH(H79,lst_CCforGL,0)),"?")))</f>
        <v/>
      </c>
      <c r="R79" s="11">
        <f>IF($C79="","",IFERROR(N(INDEX(tbl_Finance[Inc GST],MATCH($AU79,tbl_Finance[Row ID],0))),""))</f>
        <v/>
      </c>
      <c r="S79" s="37" t="n"/>
      <c r="T79" s="37" t="n"/>
      <c r="U79" s="37" t="n"/>
      <c r="V79" s="42" t="n"/>
      <c r="W79" s="37" t="n"/>
      <c r="X79" s="10">
        <f>IF(W79="","",IF(AND(LEFT(W79,4)&lt;&gt;"http",set_RMSBase=""),"",HYPERLINK(IF(LEFT(W79,4)="http",W79,set_RMSBase&amp;W79),"Open in RMS")))</f>
        <v/>
      </c>
      <c r="Y79" s="37" t="n"/>
      <c r="Z79" s="10">
        <f>IF(Y79="","",HYPERLINK(IF(LEFT(Y79,4)="http",Y79,set_QwilrBase&amp;Y79),"Open quote"))</f>
        <v/>
      </c>
      <c r="AA79" s="10">
        <f>IF(C79="","",C79)</f>
        <v/>
      </c>
      <c r="AB79" s="37" t="n"/>
      <c r="AC79" s="39" t="n"/>
      <c r="AD79" s="11">
        <f>IF(C79="","",N(L79)+N(AC79))</f>
        <v/>
      </c>
      <c r="AE79" s="43">
        <f>IFERROR(IF(N(AC79)=0,"",AC79/AD79),"")</f>
        <v/>
      </c>
      <c r="AF79" s="39" t="n"/>
      <c r="AG79" s="39" t="n"/>
      <c r="AH79" s="39" t="n"/>
      <c r="AI79" s="39" t="n"/>
      <c r="AJ79" s="11">
        <f>IF(C79="","",IF(H79="VIDEO",N(L79),0))</f>
        <v/>
      </c>
      <c r="AK79" s="43">
        <f>IFERROR(IF(N(L79)=0,"",AJ79/L79),"")</f>
        <v/>
      </c>
      <c r="AL79" s="11">
        <f>IF(C79="","",N(AF79)+N(AG79)+N(AH79)+N(AI79))</f>
        <v/>
      </c>
      <c r="AM79" s="11">
        <f>IF(C79="","",MAX(N(L79),N(O79))-N(AL79))</f>
        <v/>
      </c>
      <c r="AN79" s="43">
        <f>IFERROR(IF(MAX(N(L79),N(O79))=0,"",AM79/MAX(N(L79),N(O79))),"")</f>
        <v/>
      </c>
      <c r="AO79" s="41" t="n"/>
      <c r="AP79" s="41" t="n"/>
      <c r="AQ79" s="41" t="n"/>
      <c r="AR79" s="41" t="n"/>
      <c r="AS79" s="41" t="n"/>
      <c r="AT79" s="37" t="n"/>
      <c r="AU79" s="10" t="inlineStr">
        <is>
          <t>PRD-0075</t>
        </is>
      </c>
    </row>
    <row r="80">
      <c r="A80" s="16">
        <f>IF($C80="","",IFERROR(IF(INDEX(tbl_Finance[Latest Invoice Date],MATCH($AU80,tbl_Finance[Row ID],0))="","",INDEX(tbl_Finance[Latest Invoice Date],MATCH($AU80,tbl_Finance[Row ID],0))),""))</f>
        <v/>
      </c>
      <c r="B80" s="10">
        <f>IF($C80="","",IFERROR(INDEX(tbl_Finance[Invoice Numbers],MATCH($AU80,tbl_Finance[Row ID],0))&amp;"",""))</f>
        <v/>
      </c>
      <c r="C80" s="37" t="n"/>
      <c r="D80" s="10">
        <f>IF($C80="","",IF(COUNTIF(lst_Jobs,$C80&amp;"")&gt;0,"OK","CHECK"))</f>
        <v/>
      </c>
      <c r="E80" s="10">
        <f>IF($C80="","",IFERROR(INDEX(lst_JobName,MATCH($C80&amp;"",lst_Jobs,0)),""))</f>
        <v/>
      </c>
      <c r="F80" s="37" t="n"/>
      <c r="G80" s="37" t="n"/>
      <c r="H80" s="37" t="n"/>
      <c r="I80" s="37" t="n"/>
      <c r="J80" s="37" t="n"/>
      <c r="K80" s="38">
        <f>IF($C80="","",IFERROR(N(INDEX(tbl_Finance[Invoice Count],MATCH($AU80,tbl_Finance[Row ID],0))),""))</f>
        <v/>
      </c>
      <c r="L80" s="11">
        <f>IF($C80="","",IFERROR(N(INDEX(tbl_Finance[Xero Invoiced Ex GST],MATCH($AU80,tbl_Finance[Row ID],0))),""))</f>
        <v/>
      </c>
      <c r="M80" s="10">
        <f>IF($C80="","",IFERROR(INDEX(tbl_Finance[Compare],MATCH($AU80,tbl_Finance[Row ID],0))&amp;"",""))</f>
        <v/>
      </c>
      <c r="N80" s="11">
        <f>IF($C80="","",MAX(0,N(O80)-N(L80)))</f>
        <v/>
      </c>
      <c r="O80" s="39" t="n"/>
      <c r="P80" s="40">
        <f>IF($C80="","",IF((IF(F80="",", Client","")&amp;IF(G80="",", Description","")&amp;IF(H80="",", Cost Centre","")&amp;IF(I80="",", Invoice Type","")&amp;IF(J80="",", Tax Code","")&amp;IF(O80="",", Expected Revenue","")&amp;IF(COUNTIF(tbl_Finance[Job Number],$C80&amp;"")&gt;1,", Job number used twice",""))="","Complete","Fix: "&amp;MID(IF(F80="",", Client","")&amp;IF(G80="",", Description","")&amp;IF(H80="",", Cost Centre","")&amp;IF(I80="",", Invoice Type","")&amp;IF(J80="",", Tax Code","")&amp;IF(O80="",", Expected Revenue","")&amp;IF(COUNTIF(tbl_Finance[Job Number],$C80&amp;"")&gt;1,", Job number used twice",""),3,300)))</f>
        <v/>
      </c>
      <c r="Q80" s="10">
        <f>IF($C80="","",IF(H80="","(no cost centre)",H80&amp;" - GL "&amp;IFERROR(INDEX(lst_CCtoGL,MATCH(H80,lst_CCforGL,0)),"?")))</f>
        <v/>
      </c>
      <c r="R80" s="11">
        <f>IF($C80="","",IFERROR(N(INDEX(tbl_Finance[Inc GST],MATCH($AU80,tbl_Finance[Row ID],0))),""))</f>
        <v/>
      </c>
      <c r="S80" s="37" t="n"/>
      <c r="T80" s="37" t="n"/>
      <c r="U80" s="37" t="n"/>
      <c r="V80" s="42" t="n"/>
      <c r="W80" s="37" t="n"/>
      <c r="X80" s="10">
        <f>IF(W80="","",IF(AND(LEFT(W80,4)&lt;&gt;"http",set_RMSBase=""),"",HYPERLINK(IF(LEFT(W80,4)="http",W80,set_RMSBase&amp;W80),"Open in RMS")))</f>
        <v/>
      </c>
      <c r="Y80" s="37" t="n"/>
      <c r="Z80" s="10">
        <f>IF(Y80="","",HYPERLINK(IF(LEFT(Y80,4)="http",Y80,set_QwilrBase&amp;Y80),"Open quote"))</f>
        <v/>
      </c>
      <c r="AA80" s="10">
        <f>IF(C80="","",C80)</f>
        <v/>
      </c>
      <c r="AB80" s="37" t="n"/>
      <c r="AC80" s="39" t="n"/>
      <c r="AD80" s="11">
        <f>IF(C80="","",N(L80)+N(AC80))</f>
        <v/>
      </c>
      <c r="AE80" s="43">
        <f>IFERROR(IF(N(AC80)=0,"",AC80/AD80),"")</f>
        <v/>
      </c>
      <c r="AF80" s="39" t="n"/>
      <c r="AG80" s="39" t="n"/>
      <c r="AH80" s="39" t="n"/>
      <c r="AI80" s="39" t="n"/>
      <c r="AJ80" s="11">
        <f>IF(C80="","",IF(H80="VIDEO",N(L80),0))</f>
        <v/>
      </c>
      <c r="AK80" s="43">
        <f>IFERROR(IF(N(L80)=0,"",AJ80/L80),"")</f>
        <v/>
      </c>
      <c r="AL80" s="11">
        <f>IF(C80="","",N(AF80)+N(AG80)+N(AH80)+N(AI80))</f>
        <v/>
      </c>
      <c r="AM80" s="11">
        <f>IF(C80="","",MAX(N(L80),N(O80))-N(AL80))</f>
        <v/>
      </c>
      <c r="AN80" s="43">
        <f>IFERROR(IF(MAX(N(L80),N(O80))=0,"",AM80/MAX(N(L80),N(O80))),"")</f>
        <v/>
      </c>
      <c r="AO80" s="41" t="n"/>
      <c r="AP80" s="41" t="n"/>
      <c r="AQ80" s="41" t="n"/>
      <c r="AR80" s="41" t="n"/>
      <c r="AS80" s="41" t="n"/>
      <c r="AT80" s="37" t="n"/>
      <c r="AU80" s="10" t="inlineStr">
        <is>
          <t>PRD-0076</t>
        </is>
      </c>
    </row>
    <row r="81">
      <c r="A81" s="16">
        <f>IF($C81="","",IFERROR(IF(INDEX(tbl_Finance[Latest Invoice Date],MATCH($AU81,tbl_Finance[Row ID],0))="","",INDEX(tbl_Finance[Latest Invoice Date],MATCH($AU81,tbl_Finance[Row ID],0))),""))</f>
        <v/>
      </c>
      <c r="B81" s="10">
        <f>IF($C81="","",IFERROR(INDEX(tbl_Finance[Invoice Numbers],MATCH($AU81,tbl_Finance[Row ID],0))&amp;"",""))</f>
        <v/>
      </c>
      <c r="C81" s="37" t="n"/>
      <c r="D81" s="10">
        <f>IF($C81="","",IF(COUNTIF(lst_Jobs,$C81&amp;"")&gt;0,"OK","CHECK"))</f>
        <v/>
      </c>
      <c r="E81" s="10">
        <f>IF($C81="","",IFERROR(INDEX(lst_JobName,MATCH($C81&amp;"",lst_Jobs,0)),""))</f>
        <v/>
      </c>
      <c r="F81" s="37" t="n"/>
      <c r="G81" s="37" t="n"/>
      <c r="H81" s="37" t="n"/>
      <c r="I81" s="37" t="n"/>
      <c r="J81" s="37" t="n"/>
      <c r="K81" s="38">
        <f>IF($C81="","",IFERROR(N(INDEX(tbl_Finance[Invoice Count],MATCH($AU81,tbl_Finance[Row ID],0))),""))</f>
        <v/>
      </c>
      <c r="L81" s="11">
        <f>IF($C81="","",IFERROR(N(INDEX(tbl_Finance[Xero Invoiced Ex GST],MATCH($AU81,tbl_Finance[Row ID],0))),""))</f>
        <v/>
      </c>
      <c r="M81" s="10">
        <f>IF($C81="","",IFERROR(INDEX(tbl_Finance[Compare],MATCH($AU81,tbl_Finance[Row ID],0))&amp;"",""))</f>
        <v/>
      </c>
      <c r="N81" s="11">
        <f>IF($C81="","",MAX(0,N(O81)-N(L81)))</f>
        <v/>
      </c>
      <c r="O81" s="39" t="n"/>
      <c r="P81" s="40">
        <f>IF($C81="","",IF((IF(F81="",", Client","")&amp;IF(G81="",", Description","")&amp;IF(H81="",", Cost Centre","")&amp;IF(I81="",", Invoice Type","")&amp;IF(J81="",", Tax Code","")&amp;IF(O81="",", Expected Revenue","")&amp;IF(COUNTIF(tbl_Finance[Job Number],$C81&amp;"")&gt;1,", Job number used twice",""))="","Complete","Fix: "&amp;MID(IF(F81="",", Client","")&amp;IF(G81="",", Description","")&amp;IF(H81="",", Cost Centre","")&amp;IF(I81="",", Invoice Type","")&amp;IF(J81="",", Tax Code","")&amp;IF(O81="",", Expected Revenue","")&amp;IF(COUNTIF(tbl_Finance[Job Number],$C81&amp;"")&gt;1,", Job number used twice",""),3,300)))</f>
        <v/>
      </c>
      <c r="Q81" s="10">
        <f>IF($C81="","",IF(H81="","(no cost centre)",H81&amp;" - GL "&amp;IFERROR(INDEX(lst_CCtoGL,MATCH(H81,lst_CCforGL,0)),"?")))</f>
        <v/>
      </c>
      <c r="R81" s="11">
        <f>IF($C81="","",IFERROR(N(INDEX(tbl_Finance[Inc GST],MATCH($AU81,tbl_Finance[Row ID],0))),""))</f>
        <v/>
      </c>
      <c r="S81" s="37" t="n"/>
      <c r="T81" s="37" t="n"/>
      <c r="U81" s="37" t="n"/>
      <c r="V81" s="42" t="n"/>
      <c r="W81" s="37" t="n"/>
      <c r="X81" s="10">
        <f>IF(W81="","",IF(AND(LEFT(W81,4)&lt;&gt;"http",set_RMSBase=""),"",HYPERLINK(IF(LEFT(W81,4)="http",W81,set_RMSBase&amp;W81),"Open in RMS")))</f>
        <v/>
      </c>
      <c r="Y81" s="37" t="n"/>
      <c r="Z81" s="10">
        <f>IF(Y81="","",HYPERLINK(IF(LEFT(Y81,4)="http",Y81,set_QwilrBase&amp;Y81),"Open quote"))</f>
        <v/>
      </c>
      <c r="AA81" s="10">
        <f>IF(C81="","",C81)</f>
        <v/>
      </c>
      <c r="AB81" s="37" t="n"/>
      <c r="AC81" s="39" t="n"/>
      <c r="AD81" s="11">
        <f>IF(C81="","",N(L81)+N(AC81))</f>
        <v/>
      </c>
      <c r="AE81" s="43">
        <f>IFERROR(IF(N(AC81)=0,"",AC81/AD81),"")</f>
        <v/>
      </c>
      <c r="AF81" s="39" t="n"/>
      <c r="AG81" s="39" t="n"/>
      <c r="AH81" s="39" t="n"/>
      <c r="AI81" s="39" t="n"/>
      <c r="AJ81" s="11">
        <f>IF(C81="","",IF(H81="VIDEO",N(L81),0))</f>
        <v/>
      </c>
      <c r="AK81" s="43">
        <f>IFERROR(IF(N(L81)=0,"",AJ81/L81),"")</f>
        <v/>
      </c>
      <c r="AL81" s="11">
        <f>IF(C81="","",N(AF81)+N(AG81)+N(AH81)+N(AI81))</f>
        <v/>
      </c>
      <c r="AM81" s="11">
        <f>IF(C81="","",MAX(N(L81),N(O81))-N(AL81))</f>
        <v/>
      </c>
      <c r="AN81" s="43">
        <f>IFERROR(IF(MAX(N(L81),N(O81))=0,"",AM81/MAX(N(L81),N(O81))),"")</f>
        <v/>
      </c>
      <c r="AO81" s="41" t="n"/>
      <c r="AP81" s="41" t="n"/>
      <c r="AQ81" s="41" t="n"/>
      <c r="AR81" s="41" t="n"/>
      <c r="AS81" s="41" t="n"/>
      <c r="AT81" s="37" t="n"/>
      <c r="AU81" s="10" t="inlineStr">
        <is>
          <t>PRD-0077</t>
        </is>
      </c>
    </row>
    <row r="82">
      <c r="A82" s="16">
        <f>IF($C82="","",IFERROR(IF(INDEX(tbl_Finance[Latest Invoice Date],MATCH($AU82,tbl_Finance[Row ID],0))="","",INDEX(tbl_Finance[Latest Invoice Date],MATCH($AU82,tbl_Finance[Row ID],0))),""))</f>
        <v/>
      </c>
      <c r="B82" s="10">
        <f>IF($C82="","",IFERROR(INDEX(tbl_Finance[Invoice Numbers],MATCH($AU82,tbl_Finance[Row ID],0))&amp;"",""))</f>
        <v/>
      </c>
      <c r="C82" s="37" t="n"/>
      <c r="D82" s="10">
        <f>IF($C82="","",IF(COUNTIF(lst_Jobs,$C82&amp;"")&gt;0,"OK","CHECK"))</f>
        <v/>
      </c>
      <c r="E82" s="10">
        <f>IF($C82="","",IFERROR(INDEX(lst_JobName,MATCH($C82&amp;"",lst_Jobs,0)),""))</f>
        <v/>
      </c>
      <c r="F82" s="37" t="n"/>
      <c r="G82" s="37" t="n"/>
      <c r="H82" s="37" t="n"/>
      <c r="I82" s="37" t="n"/>
      <c r="J82" s="37" t="n"/>
      <c r="K82" s="38">
        <f>IF($C82="","",IFERROR(N(INDEX(tbl_Finance[Invoice Count],MATCH($AU82,tbl_Finance[Row ID],0))),""))</f>
        <v/>
      </c>
      <c r="L82" s="11">
        <f>IF($C82="","",IFERROR(N(INDEX(tbl_Finance[Xero Invoiced Ex GST],MATCH($AU82,tbl_Finance[Row ID],0))),""))</f>
        <v/>
      </c>
      <c r="M82" s="10">
        <f>IF($C82="","",IFERROR(INDEX(tbl_Finance[Compare],MATCH($AU82,tbl_Finance[Row ID],0))&amp;"",""))</f>
        <v/>
      </c>
      <c r="N82" s="11">
        <f>IF($C82="","",MAX(0,N(O82)-N(L82)))</f>
        <v/>
      </c>
      <c r="O82" s="39" t="n"/>
      <c r="P82" s="40">
        <f>IF($C82="","",IF((IF(F82="",", Client","")&amp;IF(G82="",", Description","")&amp;IF(H82="",", Cost Centre","")&amp;IF(I82="",", Invoice Type","")&amp;IF(J82="",", Tax Code","")&amp;IF(O82="",", Expected Revenue","")&amp;IF(COUNTIF(tbl_Finance[Job Number],$C82&amp;"")&gt;1,", Job number used twice",""))="","Complete","Fix: "&amp;MID(IF(F82="",", Client","")&amp;IF(G82="",", Description","")&amp;IF(H82="",", Cost Centre","")&amp;IF(I82="",", Invoice Type","")&amp;IF(J82="",", Tax Code","")&amp;IF(O82="",", Expected Revenue","")&amp;IF(COUNTIF(tbl_Finance[Job Number],$C82&amp;"")&gt;1,", Job number used twice",""),3,300)))</f>
        <v/>
      </c>
      <c r="Q82" s="10">
        <f>IF($C82="","",IF(H82="","(no cost centre)",H82&amp;" - GL "&amp;IFERROR(INDEX(lst_CCtoGL,MATCH(H82,lst_CCforGL,0)),"?")))</f>
        <v/>
      </c>
      <c r="R82" s="11">
        <f>IF($C82="","",IFERROR(N(INDEX(tbl_Finance[Inc GST],MATCH($AU82,tbl_Finance[Row ID],0))),""))</f>
        <v/>
      </c>
      <c r="S82" s="37" t="n"/>
      <c r="T82" s="37" t="n"/>
      <c r="U82" s="37" t="n"/>
      <c r="V82" s="42" t="n"/>
      <c r="W82" s="37" t="n"/>
      <c r="X82" s="10">
        <f>IF(W82="","",IF(AND(LEFT(W82,4)&lt;&gt;"http",set_RMSBase=""),"",HYPERLINK(IF(LEFT(W82,4)="http",W82,set_RMSBase&amp;W82),"Open in RMS")))</f>
        <v/>
      </c>
      <c r="Y82" s="37" t="n"/>
      <c r="Z82" s="10">
        <f>IF(Y82="","",HYPERLINK(IF(LEFT(Y82,4)="http",Y82,set_QwilrBase&amp;Y82),"Open quote"))</f>
        <v/>
      </c>
      <c r="AA82" s="10">
        <f>IF(C82="","",C82)</f>
        <v/>
      </c>
      <c r="AB82" s="37" t="n"/>
      <c r="AC82" s="39" t="n"/>
      <c r="AD82" s="11">
        <f>IF(C82="","",N(L82)+N(AC82))</f>
        <v/>
      </c>
      <c r="AE82" s="43">
        <f>IFERROR(IF(N(AC82)=0,"",AC82/AD82),"")</f>
        <v/>
      </c>
      <c r="AF82" s="39" t="n"/>
      <c r="AG82" s="39" t="n"/>
      <c r="AH82" s="39" t="n"/>
      <c r="AI82" s="39" t="n"/>
      <c r="AJ82" s="11">
        <f>IF(C82="","",IF(H82="VIDEO",N(L82),0))</f>
        <v/>
      </c>
      <c r="AK82" s="43">
        <f>IFERROR(IF(N(L82)=0,"",AJ82/L82),"")</f>
        <v/>
      </c>
      <c r="AL82" s="11">
        <f>IF(C82="","",N(AF82)+N(AG82)+N(AH82)+N(AI82))</f>
        <v/>
      </c>
      <c r="AM82" s="11">
        <f>IF(C82="","",MAX(N(L82),N(O82))-N(AL82))</f>
        <v/>
      </c>
      <c r="AN82" s="43">
        <f>IFERROR(IF(MAX(N(L82),N(O82))=0,"",AM82/MAX(N(L82),N(O82))),"")</f>
        <v/>
      </c>
      <c r="AO82" s="41" t="n"/>
      <c r="AP82" s="41" t="n"/>
      <c r="AQ82" s="41" t="n"/>
      <c r="AR82" s="41" t="n"/>
      <c r="AS82" s="41" t="n"/>
      <c r="AT82" s="37" t="n"/>
      <c r="AU82" s="10" t="inlineStr">
        <is>
          <t>PRD-0078</t>
        </is>
      </c>
    </row>
    <row r="83">
      <c r="A83" s="16">
        <f>IF($C83="","",IFERROR(IF(INDEX(tbl_Finance[Latest Invoice Date],MATCH($AU83,tbl_Finance[Row ID],0))="","",INDEX(tbl_Finance[Latest Invoice Date],MATCH($AU83,tbl_Finance[Row ID],0))),""))</f>
        <v/>
      </c>
      <c r="B83" s="10">
        <f>IF($C83="","",IFERROR(INDEX(tbl_Finance[Invoice Numbers],MATCH($AU83,tbl_Finance[Row ID],0))&amp;"",""))</f>
        <v/>
      </c>
      <c r="C83" s="37" t="n"/>
      <c r="D83" s="10">
        <f>IF($C83="","",IF(COUNTIF(lst_Jobs,$C83&amp;"")&gt;0,"OK","CHECK"))</f>
        <v/>
      </c>
      <c r="E83" s="10">
        <f>IF($C83="","",IFERROR(INDEX(lst_JobName,MATCH($C83&amp;"",lst_Jobs,0)),""))</f>
        <v/>
      </c>
      <c r="F83" s="37" t="n"/>
      <c r="G83" s="37" t="n"/>
      <c r="H83" s="37" t="n"/>
      <c r="I83" s="37" t="n"/>
      <c r="J83" s="37" t="n"/>
      <c r="K83" s="38">
        <f>IF($C83="","",IFERROR(N(INDEX(tbl_Finance[Invoice Count],MATCH($AU83,tbl_Finance[Row ID],0))),""))</f>
        <v/>
      </c>
      <c r="L83" s="11">
        <f>IF($C83="","",IFERROR(N(INDEX(tbl_Finance[Xero Invoiced Ex GST],MATCH($AU83,tbl_Finance[Row ID],0))),""))</f>
        <v/>
      </c>
      <c r="M83" s="10">
        <f>IF($C83="","",IFERROR(INDEX(tbl_Finance[Compare],MATCH($AU83,tbl_Finance[Row ID],0))&amp;"",""))</f>
        <v/>
      </c>
      <c r="N83" s="11">
        <f>IF($C83="","",MAX(0,N(O83)-N(L83)))</f>
        <v/>
      </c>
      <c r="O83" s="39" t="n"/>
      <c r="P83" s="40">
        <f>IF($C83="","",IF((IF(F83="",", Client","")&amp;IF(G83="",", Description","")&amp;IF(H83="",", Cost Centre","")&amp;IF(I83="",", Invoice Type","")&amp;IF(J83="",", Tax Code","")&amp;IF(O83="",", Expected Revenue","")&amp;IF(COUNTIF(tbl_Finance[Job Number],$C83&amp;"")&gt;1,", Job number used twice",""))="","Complete","Fix: "&amp;MID(IF(F83="",", Client","")&amp;IF(G83="",", Description","")&amp;IF(H83="",", Cost Centre","")&amp;IF(I83="",", Invoice Type","")&amp;IF(J83="",", Tax Code","")&amp;IF(O83="",", Expected Revenue","")&amp;IF(COUNTIF(tbl_Finance[Job Number],$C83&amp;"")&gt;1,", Job number used twice",""),3,300)))</f>
        <v/>
      </c>
      <c r="Q83" s="10">
        <f>IF($C83="","",IF(H83="","(no cost centre)",H83&amp;" - GL "&amp;IFERROR(INDEX(lst_CCtoGL,MATCH(H83,lst_CCforGL,0)),"?")))</f>
        <v/>
      </c>
      <c r="R83" s="11">
        <f>IF($C83="","",IFERROR(N(INDEX(tbl_Finance[Inc GST],MATCH($AU83,tbl_Finance[Row ID],0))),""))</f>
        <v/>
      </c>
      <c r="S83" s="37" t="n"/>
      <c r="T83" s="37" t="n"/>
      <c r="U83" s="37" t="n"/>
      <c r="V83" s="42" t="n"/>
      <c r="W83" s="37" t="n"/>
      <c r="X83" s="10">
        <f>IF(W83="","",IF(AND(LEFT(W83,4)&lt;&gt;"http",set_RMSBase=""),"",HYPERLINK(IF(LEFT(W83,4)="http",W83,set_RMSBase&amp;W83),"Open in RMS")))</f>
        <v/>
      </c>
      <c r="Y83" s="37" t="n"/>
      <c r="Z83" s="10">
        <f>IF(Y83="","",HYPERLINK(IF(LEFT(Y83,4)="http",Y83,set_QwilrBase&amp;Y83),"Open quote"))</f>
        <v/>
      </c>
      <c r="AA83" s="10">
        <f>IF(C83="","",C83)</f>
        <v/>
      </c>
      <c r="AB83" s="37" t="n"/>
      <c r="AC83" s="39" t="n"/>
      <c r="AD83" s="11">
        <f>IF(C83="","",N(L83)+N(AC83))</f>
        <v/>
      </c>
      <c r="AE83" s="43">
        <f>IFERROR(IF(N(AC83)=0,"",AC83/AD83),"")</f>
        <v/>
      </c>
      <c r="AF83" s="39" t="n"/>
      <c r="AG83" s="39" t="n"/>
      <c r="AH83" s="39" t="n"/>
      <c r="AI83" s="39" t="n"/>
      <c r="AJ83" s="11">
        <f>IF(C83="","",IF(H83="VIDEO",N(L83),0))</f>
        <v/>
      </c>
      <c r="AK83" s="43">
        <f>IFERROR(IF(N(L83)=0,"",AJ83/L83),"")</f>
        <v/>
      </c>
      <c r="AL83" s="11">
        <f>IF(C83="","",N(AF83)+N(AG83)+N(AH83)+N(AI83))</f>
        <v/>
      </c>
      <c r="AM83" s="11">
        <f>IF(C83="","",MAX(N(L83),N(O83))-N(AL83))</f>
        <v/>
      </c>
      <c r="AN83" s="43">
        <f>IFERROR(IF(MAX(N(L83),N(O83))=0,"",AM83/MAX(N(L83),N(O83))),"")</f>
        <v/>
      </c>
      <c r="AO83" s="41" t="n"/>
      <c r="AP83" s="41" t="n"/>
      <c r="AQ83" s="41" t="n"/>
      <c r="AR83" s="41" t="n"/>
      <c r="AS83" s="41" t="n"/>
      <c r="AT83" s="37" t="n"/>
      <c r="AU83" s="10" t="inlineStr">
        <is>
          <t>PRD-0079</t>
        </is>
      </c>
    </row>
    <row r="84">
      <c r="A84" s="16">
        <f>IF($C84="","",IFERROR(IF(INDEX(tbl_Finance[Latest Invoice Date],MATCH($AU84,tbl_Finance[Row ID],0))="","",INDEX(tbl_Finance[Latest Invoice Date],MATCH($AU84,tbl_Finance[Row ID],0))),""))</f>
        <v/>
      </c>
      <c r="B84" s="10">
        <f>IF($C84="","",IFERROR(INDEX(tbl_Finance[Invoice Numbers],MATCH($AU84,tbl_Finance[Row ID],0))&amp;"",""))</f>
        <v/>
      </c>
      <c r="C84" s="37" t="n"/>
      <c r="D84" s="10">
        <f>IF($C84="","",IF(COUNTIF(lst_Jobs,$C84&amp;"")&gt;0,"OK","CHECK"))</f>
        <v/>
      </c>
      <c r="E84" s="10">
        <f>IF($C84="","",IFERROR(INDEX(lst_JobName,MATCH($C84&amp;"",lst_Jobs,0)),""))</f>
        <v/>
      </c>
      <c r="F84" s="37" t="n"/>
      <c r="G84" s="37" t="n"/>
      <c r="H84" s="37" t="n"/>
      <c r="I84" s="37" t="n"/>
      <c r="J84" s="37" t="n"/>
      <c r="K84" s="38">
        <f>IF($C84="","",IFERROR(N(INDEX(tbl_Finance[Invoice Count],MATCH($AU84,tbl_Finance[Row ID],0))),""))</f>
        <v/>
      </c>
      <c r="L84" s="11">
        <f>IF($C84="","",IFERROR(N(INDEX(tbl_Finance[Xero Invoiced Ex GST],MATCH($AU84,tbl_Finance[Row ID],0))),""))</f>
        <v/>
      </c>
      <c r="M84" s="10">
        <f>IF($C84="","",IFERROR(INDEX(tbl_Finance[Compare],MATCH($AU84,tbl_Finance[Row ID],0))&amp;"",""))</f>
        <v/>
      </c>
      <c r="N84" s="11">
        <f>IF($C84="","",MAX(0,N(O84)-N(L84)))</f>
        <v/>
      </c>
      <c r="O84" s="39" t="n"/>
      <c r="P84" s="40">
        <f>IF($C84="","",IF((IF(F84="",", Client","")&amp;IF(G84="",", Description","")&amp;IF(H84="",", Cost Centre","")&amp;IF(I84="",", Invoice Type","")&amp;IF(J84="",", Tax Code","")&amp;IF(O84="",", Expected Revenue","")&amp;IF(COUNTIF(tbl_Finance[Job Number],$C84&amp;"")&gt;1,", Job number used twice",""))="","Complete","Fix: "&amp;MID(IF(F84="",", Client","")&amp;IF(G84="",", Description","")&amp;IF(H84="",", Cost Centre","")&amp;IF(I84="",", Invoice Type","")&amp;IF(J84="",", Tax Code","")&amp;IF(O84="",", Expected Revenue","")&amp;IF(COUNTIF(tbl_Finance[Job Number],$C84&amp;"")&gt;1,", Job number used twice",""),3,300)))</f>
        <v/>
      </c>
      <c r="Q84" s="10">
        <f>IF($C84="","",IF(H84="","(no cost centre)",H84&amp;" - GL "&amp;IFERROR(INDEX(lst_CCtoGL,MATCH(H84,lst_CCforGL,0)),"?")))</f>
        <v/>
      </c>
      <c r="R84" s="11">
        <f>IF($C84="","",IFERROR(N(INDEX(tbl_Finance[Inc GST],MATCH($AU84,tbl_Finance[Row ID],0))),""))</f>
        <v/>
      </c>
      <c r="S84" s="37" t="n"/>
      <c r="T84" s="37" t="n"/>
      <c r="U84" s="37" t="n"/>
      <c r="V84" s="42" t="n"/>
      <c r="W84" s="37" t="n"/>
      <c r="X84" s="10">
        <f>IF(W84="","",IF(AND(LEFT(W84,4)&lt;&gt;"http",set_RMSBase=""),"",HYPERLINK(IF(LEFT(W84,4)="http",W84,set_RMSBase&amp;W84),"Open in RMS")))</f>
        <v/>
      </c>
      <c r="Y84" s="37" t="n"/>
      <c r="Z84" s="10">
        <f>IF(Y84="","",HYPERLINK(IF(LEFT(Y84,4)="http",Y84,set_QwilrBase&amp;Y84),"Open quote"))</f>
        <v/>
      </c>
      <c r="AA84" s="10">
        <f>IF(C84="","",C84)</f>
        <v/>
      </c>
      <c r="AB84" s="37" t="n"/>
      <c r="AC84" s="39" t="n"/>
      <c r="AD84" s="11">
        <f>IF(C84="","",N(L84)+N(AC84))</f>
        <v/>
      </c>
      <c r="AE84" s="43">
        <f>IFERROR(IF(N(AC84)=0,"",AC84/AD84),"")</f>
        <v/>
      </c>
      <c r="AF84" s="39" t="n"/>
      <c r="AG84" s="39" t="n"/>
      <c r="AH84" s="39" t="n"/>
      <c r="AI84" s="39" t="n"/>
      <c r="AJ84" s="11">
        <f>IF(C84="","",IF(H84="VIDEO",N(L84),0))</f>
        <v/>
      </c>
      <c r="AK84" s="43">
        <f>IFERROR(IF(N(L84)=0,"",AJ84/L84),"")</f>
        <v/>
      </c>
      <c r="AL84" s="11">
        <f>IF(C84="","",N(AF84)+N(AG84)+N(AH84)+N(AI84))</f>
        <v/>
      </c>
      <c r="AM84" s="11">
        <f>IF(C84="","",MAX(N(L84),N(O84))-N(AL84))</f>
        <v/>
      </c>
      <c r="AN84" s="43">
        <f>IFERROR(IF(MAX(N(L84),N(O84))=0,"",AM84/MAX(N(L84),N(O84))),"")</f>
        <v/>
      </c>
      <c r="AO84" s="41" t="n"/>
      <c r="AP84" s="41" t="n"/>
      <c r="AQ84" s="41" t="n"/>
      <c r="AR84" s="41" t="n"/>
      <c r="AS84" s="41" t="n"/>
      <c r="AT84" s="37" t="n"/>
      <c r="AU84" s="10" t="inlineStr">
        <is>
          <t>PRD-0080</t>
        </is>
      </c>
    </row>
    <row r="85">
      <c r="A85" s="16">
        <f>IF($C85="","",IFERROR(IF(INDEX(tbl_Finance[Latest Invoice Date],MATCH($AU85,tbl_Finance[Row ID],0))="","",INDEX(tbl_Finance[Latest Invoice Date],MATCH($AU85,tbl_Finance[Row ID],0))),""))</f>
        <v/>
      </c>
      <c r="B85" s="10">
        <f>IF($C85="","",IFERROR(INDEX(tbl_Finance[Invoice Numbers],MATCH($AU85,tbl_Finance[Row ID],0))&amp;"",""))</f>
        <v/>
      </c>
      <c r="C85" s="37" t="n"/>
      <c r="D85" s="10">
        <f>IF($C85="","",IF(COUNTIF(lst_Jobs,$C85&amp;"")&gt;0,"OK","CHECK"))</f>
        <v/>
      </c>
      <c r="E85" s="10">
        <f>IF($C85="","",IFERROR(INDEX(lst_JobName,MATCH($C85&amp;"",lst_Jobs,0)),""))</f>
        <v/>
      </c>
      <c r="F85" s="37" t="n"/>
      <c r="G85" s="37" t="n"/>
      <c r="H85" s="37" t="n"/>
      <c r="I85" s="37" t="n"/>
      <c r="J85" s="37" t="n"/>
      <c r="K85" s="38">
        <f>IF($C85="","",IFERROR(N(INDEX(tbl_Finance[Invoice Count],MATCH($AU85,tbl_Finance[Row ID],0))),""))</f>
        <v/>
      </c>
      <c r="L85" s="11">
        <f>IF($C85="","",IFERROR(N(INDEX(tbl_Finance[Xero Invoiced Ex GST],MATCH($AU85,tbl_Finance[Row ID],0))),""))</f>
        <v/>
      </c>
      <c r="M85" s="10">
        <f>IF($C85="","",IFERROR(INDEX(tbl_Finance[Compare],MATCH($AU85,tbl_Finance[Row ID],0))&amp;"",""))</f>
        <v/>
      </c>
      <c r="N85" s="11">
        <f>IF($C85="","",MAX(0,N(O85)-N(L85)))</f>
        <v/>
      </c>
      <c r="O85" s="39" t="n"/>
      <c r="P85" s="40">
        <f>IF($C85="","",IF((IF(F85="",", Client","")&amp;IF(G85="",", Description","")&amp;IF(H85="",", Cost Centre","")&amp;IF(I85="",", Invoice Type","")&amp;IF(J85="",", Tax Code","")&amp;IF(O85="",", Expected Revenue","")&amp;IF(COUNTIF(tbl_Finance[Job Number],$C85&amp;"")&gt;1,", Job number used twice",""))="","Complete","Fix: "&amp;MID(IF(F85="",", Client","")&amp;IF(G85="",", Description","")&amp;IF(H85="",", Cost Centre","")&amp;IF(I85="",", Invoice Type","")&amp;IF(J85="",", Tax Code","")&amp;IF(O85="",", Expected Revenue","")&amp;IF(COUNTIF(tbl_Finance[Job Number],$C85&amp;"")&gt;1,", Job number used twice",""),3,300)))</f>
        <v/>
      </c>
      <c r="Q85" s="10">
        <f>IF($C85="","",IF(H85="","(no cost centre)",H85&amp;" - GL "&amp;IFERROR(INDEX(lst_CCtoGL,MATCH(H85,lst_CCforGL,0)),"?")))</f>
        <v/>
      </c>
      <c r="R85" s="11">
        <f>IF($C85="","",IFERROR(N(INDEX(tbl_Finance[Inc GST],MATCH($AU85,tbl_Finance[Row ID],0))),""))</f>
        <v/>
      </c>
      <c r="S85" s="37" t="n"/>
      <c r="T85" s="37" t="n"/>
      <c r="U85" s="37" t="n"/>
      <c r="V85" s="42" t="n"/>
      <c r="W85" s="37" t="n"/>
      <c r="X85" s="10">
        <f>IF(W85="","",IF(AND(LEFT(W85,4)&lt;&gt;"http",set_RMSBase=""),"",HYPERLINK(IF(LEFT(W85,4)="http",W85,set_RMSBase&amp;W85),"Open in RMS")))</f>
        <v/>
      </c>
      <c r="Y85" s="37" t="n"/>
      <c r="Z85" s="10">
        <f>IF(Y85="","",HYPERLINK(IF(LEFT(Y85,4)="http",Y85,set_QwilrBase&amp;Y85),"Open quote"))</f>
        <v/>
      </c>
      <c r="AA85" s="10">
        <f>IF(C85="","",C85)</f>
        <v/>
      </c>
      <c r="AB85" s="37" t="n"/>
      <c r="AC85" s="39" t="n"/>
      <c r="AD85" s="11">
        <f>IF(C85="","",N(L85)+N(AC85))</f>
        <v/>
      </c>
      <c r="AE85" s="43">
        <f>IFERROR(IF(N(AC85)=0,"",AC85/AD85),"")</f>
        <v/>
      </c>
      <c r="AF85" s="39" t="n"/>
      <c r="AG85" s="39" t="n"/>
      <c r="AH85" s="39" t="n"/>
      <c r="AI85" s="39" t="n"/>
      <c r="AJ85" s="11">
        <f>IF(C85="","",IF(H85="VIDEO",N(L85),0))</f>
        <v/>
      </c>
      <c r="AK85" s="43">
        <f>IFERROR(IF(N(L85)=0,"",AJ85/L85),"")</f>
        <v/>
      </c>
      <c r="AL85" s="11">
        <f>IF(C85="","",N(AF85)+N(AG85)+N(AH85)+N(AI85))</f>
        <v/>
      </c>
      <c r="AM85" s="11">
        <f>IF(C85="","",MAX(N(L85),N(O85))-N(AL85))</f>
        <v/>
      </c>
      <c r="AN85" s="43">
        <f>IFERROR(IF(MAX(N(L85),N(O85))=0,"",AM85/MAX(N(L85),N(O85))),"")</f>
        <v/>
      </c>
      <c r="AO85" s="41" t="n"/>
      <c r="AP85" s="41" t="n"/>
      <c r="AQ85" s="41" t="n"/>
      <c r="AR85" s="41" t="n"/>
      <c r="AS85" s="41" t="n"/>
      <c r="AT85" s="37" t="n"/>
      <c r="AU85" s="10" t="inlineStr">
        <is>
          <t>PRD-0081</t>
        </is>
      </c>
    </row>
    <row r="86">
      <c r="A86" s="16">
        <f>IF($C86="","",IFERROR(IF(INDEX(tbl_Finance[Latest Invoice Date],MATCH($AU86,tbl_Finance[Row ID],0))="","",INDEX(tbl_Finance[Latest Invoice Date],MATCH($AU86,tbl_Finance[Row ID],0))),""))</f>
        <v/>
      </c>
      <c r="B86" s="10">
        <f>IF($C86="","",IFERROR(INDEX(tbl_Finance[Invoice Numbers],MATCH($AU86,tbl_Finance[Row ID],0))&amp;"",""))</f>
        <v/>
      </c>
      <c r="C86" s="37" t="n"/>
      <c r="D86" s="10">
        <f>IF($C86="","",IF(COUNTIF(lst_Jobs,$C86&amp;"")&gt;0,"OK","CHECK"))</f>
        <v/>
      </c>
      <c r="E86" s="10">
        <f>IF($C86="","",IFERROR(INDEX(lst_JobName,MATCH($C86&amp;"",lst_Jobs,0)),""))</f>
        <v/>
      </c>
      <c r="F86" s="37" t="n"/>
      <c r="G86" s="37" t="n"/>
      <c r="H86" s="37" t="n"/>
      <c r="I86" s="37" t="n"/>
      <c r="J86" s="37" t="n"/>
      <c r="K86" s="38">
        <f>IF($C86="","",IFERROR(N(INDEX(tbl_Finance[Invoice Count],MATCH($AU86,tbl_Finance[Row ID],0))),""))</f>
        <v/>
      </c>
      <c r="L86" s="11">
        <f>IF($C86="","",IFERROR(N(INDEX(tbl_Finance[Xero Invoiced Ex GST],MATCH($AU86,tbl_Finance[Row ID],0))),""))</f>
        <v/>
      </c>
      <c r="M86" s="10">
        <f>IF($C86="","",IFERROR(INDEX(tbl_Finance[Compare],MATCH($AU86,tbl_Finance[Row ID],0))&amp;"",""))</f>
        <v/>
      </c>
      <c r="N86" s="11">
        <f>IF($C86="","",MAX(0,N(O86)-N(L86)))</f>
        <v/>
      </c>
      <c r="O86" s="39" t="n"/>
      <c r="P86" s="40">
        <f>IF($C86="","",IF((IF(F86="",", Client","")&amp;IF(G86="",", Description","")&amp;IF(H86="",", Cost Centre","")&amp;IF(I86="",", Invoice Type","")&amp;IF(J86="",", Tax Code","")&amp;IF(O86="",", Expected Revenue","")&amp;IF(COUNTIF(tbl_Finance[Job Number],$C86&amp;"")&gt;1,", Job number used twice",""))="","Complete","Fix: "&amp;MID(IF(F86="",", Client","")&amp;IF(G86="",", Description","")&amp;IF(H86="",", Cost Centre","")&amp;IF(I86="",", Invoice Type","")&amp;IF(J86="",", Tax Code","")&amp;IF(O86="",", Expected Revenue","")&amp;IF(COUNTIF(tbl_Finance[Job Number],$C86&amp;"")&gt;1,", Job number used twice",""),3,300)))</f>
        <v/>
      </c>
      <c r="Q86" s="10">
        <f>IF($C86="","",IF(H86="","(no cost centre)",H86&amp;" - GL "&amp;IFERROR(INDEX(lst_CCtoGL,MATCH(H86,lst_CCforGL,0)),"?")))</f>
        <v/>
      </c>
      <c r="R86" s="11">
        <f>IF($C86="","",IFERROR(N(INDEX(tbl_Finance[Inc GST],MATCH($AU86,tbl_Finance[Row ID],0))),""))</f>
        <v/>
      </c>
      <c r="S86" s="37" t="n"/>
      <c r="T86" s="37" t="n"/>
      <c r="U86" s="37" t="n"/>
      <c r="V86" s="42" t="n"/>
      <c r="W86" s="37" t="n"/>
      <c r="X86" s="10">
        <f>IF(W86="","",IF(AND(LEFT(W86,4)&lt;&gt;"http",set_RMSBase=""),"",HYPERLINK(IF(LEFT(W86,4)="http",W86,set_RMSBase&amp;W86),"Open in RMS")))</f>
        <v/>
      </c>
      <c r="Y86" s="37" t="n"/>
      <c r="Z86" s="10">
        <f>IF(Y86="","",HYPERLINK(IF(LEFT(Y86,4)="http",Y86,set_QwilrBase&amp;Y86),"Open quote"))</f>
        <v/>
      </c>
      <c r="AA86" s="10">
        <f>IF(C86="","",C86)</f>
        <v/>
      </c>
      <c r="AB86" s="37" t="n"/>
      <c r="AC86" s="39" t="n"/>
      <c r="AD86" s="11">
        <f>IF(C86="","",N(L86)+N(AC86))</f>
        <v/>
      </c>
      <c r="AE86" s="43">
        <f>IFERROR(IF(N(AC86)=0,"",AC86/AD86),"")</f>
        <v/>
      </c>
      <c r="AF86" s="39" t="n"/>
      <c r="AG86" s="39" t="n"/>
      <c r="AH86" s="39" t="n"/>
      <c r="AI86" s="39" t="n"/>
      <c r="AJ86" s="11">
        <f>IF(C86="","",IF(H86="VIDEO",N(L86),0))</f>
        <v/>
      </c>
      <c r="AK86" s="43">
        <f>IFERROR(IF(N(L86)=0,"",AJ86/L86),"")</f>
        <v/>
      </c>
      <c r="AL86" s="11">
        <f>IF(C86="","",N(AF86)+N(AG86)+N(AH86)+N(AI86))</f>
        <v/>
      </c>
      <c r="AM86" s="11">
        <f>IF(C86="","",MAX(N(L86),N(O86))-N(AL86))</f>
        <v/>
      </c>
      <c r="AN86" s="43">
        <f>IFERROR(IF(MAX(N(L86),N(O86))=0,"",AM86/MAX(N(L86),N(O86))),"")</f>
        <v/>
      </c>
      <c r="AO86" s="41" t="n"/>
      <c r="AP86" s="41" t="n"/>
      <c r="AQ86" s="41" t="n"/>
      <c r="AR86" s="41" t="n"/>
      <c r="AS86" s="41" t="n"/>
      <c r="AT86" s="37" t="n"/>
      <c r="AU86" s="10" t="inlineStr">
        <is>
          <t>PRD-0082</t>
        </is>
      </c>
    </row>
    <row r="87">
      <c r="A87" s="16">
        <f>IF($C87="","",IFERROR(IF(INDEX(tbl_Finance[Latest Invoice Date],MATCH($AU87,tbl_Finance[Row ID],0))="","",INDEX(tbl_Finance[Latest Invoice Date],MATCH($AU87,tbl_Finance[Row ID],0))),""))</f>
        <v/>
      </c>
      <c r="B87" s="10">
        <f>IF($C87="","",IFERROR(INDEX(tbl_Finance[Invoice Numbers],MATCH($AU87,tbl_Finance[Row ID],0))&amp;"",""))</f>
        <v/>
      </c>
      <c r="C87" s="37" t="n"/>
      <c r="D87" s="10">
        <f>IF($C87="","",IF(COUNTIF(lst_Jobs,$C87&amp;"")&gt;0,"OK","CHECK"))</f>
        <v/>
      </c>
      <c r="E87" s="10">
        <f>IF($C87="","",IFERROR(INDEX(lst_JobName,MATCH($C87&amp;"",lst_Jobs,0)),""))</f>
        <v/>
      </c>
      <c r="F87" s="37" t="n"/>
      <c r="G87" s="37" t="n"/>
      <c r="H87" s="37" t="n"/>
      <c r="I87" s="37" t="n"/>
      <c r="J87" s="37" t="n"/>
      <c r="K87" s="38">
        <f>IF($C87="","",IFERROR(N(INDEX(tbl_Finance[Invoice Count],MATCH($AU87,tbl_Finance[Row ID],0))),""))</f>
        <v/>
      </c>
      <c r="L87" s="11">
        <f>IF($C87="","",IFERROR(N(INDEX(tbl_Finance[Xero Invoiced Ex GST],MATCH($AU87,tbl_Finance[Row ID],0))),""))</f>
        <v/>
      </c>
      <c r="M87" s="10">
        <f>IF($C87="","",IFERROR(INDEX(tbl_Finance[Compare],MATCH($AU87,tbl_Finance[Row ID],0))&amp;"",""))</f>
        <v/>
      </c>
      <c r="N87" s="11">
        <f>IF($C87="","",MAX(0,N(O87)-N(L87)))</f>
        <v/>
      </c>
      <c r="O87" s="39" t="n"/>
      <c r="P87" s="40">
        <f>IF($C87="","",IF((IF(F87="",", Client","")&amp;IF(G87="",", Description","")&amp;IF(H87="",", Cost Centre","")&amp;IF(I87="",", Invoice Type","")&amp;IF(J87="",", Tax Code","")&amp;IF(O87="",", Expected Revenue","")&amp;IF(COUNTIF(tbl_Finance[Job Number],$C87&amp;"")&gt;1,", Job number used twice",""))="","Complete","Fix: "&amp;MID(IF(F87="",", Client","")&amp;IF(G87="",", Description","")&amp;IF(H87="",", Cost Centre","")&amp;IF(I87="",", Invoice Type","")&amp;IF(J87="",", Tax Code","")&amp;IF(O87="",", Expected Revenue","")&amp;IF(COUNTIF(tbl_Finance[Job Number],$C87&amp;"")&gt;1,", Job number used twice",""),3,300)))</f>
        <v/>
      </c>
      <c r="Q87" s="10">
        <f>IF($C87="","",IF(H87="","(no cost centre)",H87&amp;" - GL "&amp;IFERROR(INDEX(lst_CCtoGL,MATCH(H87,lst_CCforGL,0)),"?")))</f>
        <v/>
      </c>
      <c r="R87" s="11">
        <f>IF($C87="","",IFERROR(N(INDEX(tbl_Finance[Inc GST],MATCH($AU87,tbl_Finance[Row ID],0))),""))</f>
        <v/>
      </c>
      <c r="S87" s="37" t="n"/>
      <c r="T87" s="37" t="n"/>
      <c r="U87" s="37" t="n"/>
      <c r="V87" s="42" t="n"/>
      <c r="W87" s="37" t="n"/>
      <c r="X87" s="10">
        <f>IF(W87="","",IF(AND(LEFT(W87,4)&lt;&gt;"http",set_RMSBase=""),"",HYPERLINK(IF(LEFT(W87,4)="http",W87,set_RMSBase&amp;W87),"Open in RMS")))</f>
        <v/>
      </c>
      <c r="Y87" s="37" t="n"/>
      <c r="Z87" s="10">
        <f>IF(Y87="","",HYPERLINK(IF(LEFT(Y87,4)="http",Y87,set_QwilrBase&amp;Y87),"Open quote"))</f>
        <v/>
      </c>
      <c r="AA87" s="10">
        <f>IF(C87="","",C87)</f>
        <v/>
      </c>
      <c r="AB87" s="37" t="n"/>
      <c r="AC87" s="39" t="n"/>
      <c r="AD87" s="11">
        <f>IF(C87="","",N(L87)+N(AC87))</f>
        <v/>
      </c>
      <c r="AE87" s="43">
        <f>IFERROR(IF(N(AC87)=0,"",AC87/AD87),"")</f>
        <v/>
      </c>
      <c r="AF87" s="39" t="n"/>
      <c r="AG87" s="39" t="n"/>
      <c r="AH87" s="39" t="n"/>
      <c r="AI87" s="39" t="n"/>
      <c r="AJ87" s="11">
        <f>IF(C87="","",IF(H87="VIDEO",N(L87),0))</f>
        <v/>
      </c>
      <c r="AK87" s="43">
        <f>IFERROR(IF(N(L87)=0,"",AJ87/L87),"")</f>
        <v/>
      </c>
      <c r="AL87" s="11">
        <f>IF(C87="","",N(AF87)+N(AG87)+N(AH87)+N(AI87))</f>
        <v/>
      </c>
      <c r="AM87" s="11">
        <f>IF(C87="","",MAX(N(L87),N(O87))-N(AL87))</f>
        <v/>
      </c>
      <c r="AN87" s="43">
        <f>IFERROR(IF(MAX(N(L87),N(O87))=0,"",AM87/MAX(N(L87),N(O87))),"")</f>
        <v/>
      </c>
      <c r="AO87" s="41" t="n"/>
      <c r="AP87" s="41" t="n"/>
      <c r="AQ87" s="41" t="n"/>
      <c r="AR87" s="41" t="n"/>
      <c r="AS87" s="41" t="n"/>
      <c r="AT87" s="37" t="n"/>
      <c r="AU87" s="10" t="inlineStr">
        <is>
          <t>PRD-0083</t>
        </is>
      </c>
    </row>
    <row r="88">
      <c r="A88" s="16">
        <f>IF($C88="","",IFERROR(IF(INDEX(tbl_Finance[Latest Invoice Date],MATCH($AU88,tbl_Finance[Row ID],0))="","",INDEX(tbl_Finance[Latest Invoice Date],MATCH($AU88,tbl_Finance[Row ID],0))),""))</f>
        <v/>
      </c>
      <c r="B88" s="10">
        <f>IF($C88="","",IFERROR(INDEX(tbl_Finance[Invoice Numbers],MATCH($AU88,tbl_Finance[Row ID],0))&amp;"",""))</f>
        <v/>
      </c>
      <c r="C88" s="37" t="n"/>
      <c r="D88" s="10">
        <f>IF($C88="","",IF(COUNTIF(lst_Jobs,$C88&amp;"")&gt;0,"OK","CHECK"))</f>
        <v/>
      </c>
      <c r="E88" s="10">
        <f>IF($C88="","",IFERROR(INDEX(lst_JobName,MATCH($C88&amp;"",lst_Jobs,0)),""))</f>
        <v/>
      </c>
      <c r="F88" s="37" t="n"/>
      <c r="G88" s="37" t="n"/>
      <c r="H88" s="37" t="n"/>
      <c r="I88" s="37" t="n"/>
      <c r="J88" s="37" t="n"/>
      <c r="K88" s="38">
        <f>IF($C88="","",IFERROR(N(INDEX(tbl_Finance[Invoice Count],MATCH($AU88,tbl_Finance[Row ID],0))),""))</f>
        <v/>
      </c>
      <c r="L88" s="11">
        <f>IF($C88="","",IFERROR(N(INDEX(tbl_Finance[Xero Invoiced Ex GST],MATCH($AU88,tbl_Finance[Row ID],0))),""))</f>
        <v/>
      </c>
      <c r="M88" s="10">
        <f>IF($C88="","",IFERROR(INDEX(tbl_Finance[Compare],MATCH($AU88,tbl_Finance[Row ID],0))&amp;"",""))</f>
        <v/>
      </c>
      <c r="N88" s="11">
        <f>IF($C88="","",MAX(0,N(O88)-N(L88)))</f>
        <v/>
      </c>
      <c r="O88" s="39" t="n"/>
      <c r="P88" s="40">
        <f>IF($C88="","",IF((IF(F88="",", Client","")&amp;IF(G88="",", Description","")&amp;IF(H88="",", Cost Centre","")&amp;IF(I88="",", Invoice Type","")&amp;IF(J88="",", Tax Code","")&amp;IF(O88="",", Expected Revenue","")&amp;IF(COUNTIF(tbl_Finance[Job Number],$C88&amp;"")&gt;1,", Job number used twice",""))="","Complete","Fix: "&amp;MID(IF(F88="",", Client","")&amp;IF(G88="",", Description","")&amp;IF(H88="",", Cost Centre","")&amp;IF(I88="",", Invoice Type","")&amp;IF(J88="",", Tax Code","")&amp;IF(O88="",", Expected Revenue","")&amp;IF(COUNTIF(tbl_Finance[Job Number],$C88&amp;"")&gt;1,", Job number used twice",""),3,300)))</f>
        <v/>
      </c>
      <c r="Q88" s="10">
        <f>IF($C88="","",IF(H88="","(no cost centre)",H88&amp;" - GL "&amp;IFERROR(INDEX(lst_CCtoGL,MATCH(H88,lst_CCforGL,0)),"?")))</f>
        <v/>
      </c>
      <c r="R88" s="11">
        <f>IF($C88="","",IFERROR(N(INDEX(tbl_Finance[Inc GST],MATCH($AU88,tbl_Finance[Row ID],0))),""))</f>
        <v/>
      </c>
      <c r="S88" s="37" t="n"/>
      <c r="T88" s="37" t="n"/>
      <c r="U88" s="37" t="n"/>
      <c r="V88" s="42" t="n"/>
      <c r="W88" s="37" t="n"/>
      <c r="X88" s="10">
        <f>IF(W88="","",IF(AND(LEFT(W88,4)&lt;&gt;"http",set_RMSBase=""),"",HYPERLINK(IF(LEFT(W88,4)="http",W88,set_RMSBase&amp;W88),"Open in RMS")))</f>
        <v/>
      </c>
      <c r="Y88" s="37" t="n"/>
      <c r="Z88" s="10">
        <f>IF(Y88="","",HYPERLINK(IF(LEFT(Y88,4)="http",Y88,set_QwilrBase&amp;Y88),"Open quote"))</f>
        <v/>
      </c>
      <c r="AA88" s="10">
        <f>IF(C88="","",C88)</f>
        <v/>
      </c>
      <c r="AB88" s="37" t="n"/>
      <c r="AC88" s="39" t="n"/>
      <c r="AD88" s="11">
        <f>IF(C88="","",N(L88)+N(AC88))</f>
        <v/>
      </c>
      <c r="AE88" s="43">
        <f>IFERROR(IF(N(AC88)=0,"",AC88/AD88),"")</f>
        <v/>
      </c>
      <c r="AF88" s="39" t="n"/>
      <c r="AG88" s="39" t="n"/>
      <c r="AH88" s="39" t="n"/>
      <c r="AI88" s="39" t="n"/>
      <c r="AJ88" s="11">
        <f>IF(C88="","",IF(H88="VIDEO",N(L88),0))</f>
        <v/>
      </c>
      <c r="AK88" s="43">
        <f>IFERROR(IF(N(L88)=0,"",AJ88/L88),"")</f>
        <v/>
      </c>
      <c r="AL88" s="11">
        <f>IF(C88="","",N(AF88)+N(AG88)+N(AH88)+N(AI88))</f>
        <v/>
      </c>
      <c r="AM88" s="11">
        <f>IF(C88="","",MAX(N(L88),N(O88))-N(AL88))</f>
        <v/>
      </c>
      <c r="AN88" s="43">
        <f>IFERROR(IF(MAX(N(L88),N(O88))=0,"",AM88/MAX(N(L88),N(O88))),"")</f>
        <v/>
      </c>
      <c r="AO88" s="41" t="n"/>
      <c r="AP88" s="41" t="n"/>
      <c r="AQ88" s="41" t="n"/>
      <c r="AR88" s="41" t="n"/>
      <c r="AS88" s="41" t="n"/>
      <c r="AT88" s="37" t="n"/>
      <c r="AU88" s="10" t="inlineStr">
        <is>
          <t>PRD-0084</t>
        </is>
      </c>
    </row>
    <row r="89">
      <c r="A89" s="16">
        <f>IF($C89="","",IFERROR(IF(INDEX(tbl_Finance[Latest Invoice Date],MATCH($AU89,tbl_Finance[Row ID],0))="","",INDEX(tbl_Finance[Latest Invoice Date],MATCH($AU89,tbl_Finance[Row ID],0))),""))</f>
        <v/>
      </c>
      <c r="B89" s="10">
        <f>IF($C89="","",IFERROR(INDEX(tbl_Finance[Invoice Numbers],MATCH($AU89,tbl_Finance[Row ID],0))&amp;"",""))</f>
        <v/>
      </c>
      <c r="C89" s="37" t="n"/>
      <c r="D89" s="10">
        <f>IF($C89="","",IF(COUNTIF(lst_Jobs,$C89&amp;"")&gt;0,"OK","CHECK"))</f>
        <v/>
      </c>
      <c r="E89" s="10">
        <f>IF($C89="","",IFERROR(INDEX(lst_JobName,MATCH($C89&amp;"",lst_Jobs,0)),""))</f>
        <v/>
      </c>
      <c r="F89" s="37" t="n"/>
      <c r="G89" s="37" t="n"/>
      <c r="H89" s="37" t="n"/>
      <c r="I89" s="37" t="n"/>
      <c r="J89" s="37" t="n"/>
      <c r="K89" s="38">
        <f>IF($C89="","",IFERROR(N(INDEX(tbl_Finance[Invoice Count],MATCH($AU89,tbl_Finance[Row ID],0))),""))</f>
        <v/>
      </c>
      <c r="L89" s="11">
        <f>IF($C89="","",IFERROR(N(INDEX(tbl_Finance[Xero Invoiced Ex GST],MATCH($AU89,tbl_Finance[Row ID],0))),""))</f>
        <v/>
      </c>
      <c r="M89" s="10">
        <f>IF($C89="","",IFERROR(INDEX(tbl_Finance[Compare],MATCH($AU89,tbl_Finance[Row ID],0))&amp;"",""))</f>
        <v/>
      </c>
      <c r="N89" s="11">
        <f>IF($C89="","",MAX(0,N(O89)-N(L89)))</f>
        <v/>
      </c>
      <c r="O89" s="39" t="n"/>
      <c r="P89" s="40">
        <f>IF($C89="","",IF((IF(F89="",", Client","")&amp;IF(G89="",", Description","")&amp;IF(H89="",", Cost Centre","")&amp;IF(I89="",", Invoice Type","")&amp;IF(J89="",", Tax Code","")&amp;IF(O89="",", Expected Revenue","")&amp;IF(COUNTIF(tbl_Finance[Job Number],$C89&amp;"")&gt;1,", Job number used twice",""))="","Complete","Fix: "&amp;MID(IF(F89="",", Client","")&amp;IF(G89="",", Description","")&amp;IF(H89="",", Cost Centre","")&amp;IF(I89="",", Invoice Type","")&amp;IF(J89="",", Tax Code","")&amp;IF(O89="",", Expected Revenue","")&amp;IF(COUNTIF(tbl_Finance[Job Number],$C89&amp;"")&gt;1,", Job number used twice",""),3,300)))</f>
        <v/>
      </c>
      <c r="Q89" s="10">
        <f>IF($C89="","",IF(H89="","(no cost centre)",H89&amp;" - GL "&amp;IFERROR(INDEX(lst_CCtoGL,MATCH(H89,lst_CCforGL,0)),"?")))</f>
        <v/>
      </c>
      <c r="R89" s="11">
        <f>IF($C89="","",IFERROR(N(INDEX(tbl_Finance[Inc GST],MATCH($AU89,tbl_Finance[Row ID],0))),""))</f>
        <v/>
      </c>
      <c r="S89" s="37" t="n"/>
      <c r="T89" s="37" t="n"/>
      <c r="U89" s="37" t="n"/>
      <c r="V89" s="42" t="n"/>
      <c r="W89" s="37" t="n"/>
      <c r="X89" s="10">
        <f>IF(W89="","",IF(AND(LEFT(W89,4)&lt;&gt;"http",set_RMSBase=""),"",HYPERLINK(IF(LEFT(W89,4)="http",W89,set_RMSBase&amp;W89),"Open in RMS")))</f>
        <v/>
      </c>
      <c r="Y89" s="37" t="n"/>
      <c r="Z89" s="10">
        <f>IF(Y89="","",HYPERLINK(IF(LEFT(Y89,4)="http",Y89,set_QwilrBase&amp;Y89),"Open quote"))</f>
        <v/>
      </c>
      <c r="AA89" s="10">
        <f>IF(C89="","",C89)</f>
        <v/>
      </c>
      <c r="AB89" s="37" t="n"/>
      <c r="AC89" s="39" t="n"/>
      <c r="AD89" s="11">
        <f>IF(C89="","",N(L89)+N(AC89))</f>
        <v/>
      </c>
      <c r="AE89" s="43">
        <f>IFERROR(IF(N(AC89)=0,"",AC89/AD89),"")</f>
        <v/>
      </c>
      <c r="AF89" s="39" t="n"/>
      <c r="AG89" s="39" t="n"/>
      <c r="AH89" s="39" t="n"/>
      <c r="AI89" s="39" t="n"/>
      <c r="AJ89" s="11">
        <f>IF(C89="","",IF(H89="VIDEO",N(L89),0))</f>
        <v/>
      </c>
      <c r="AK89" s="43">
        <f>IFERROR(IF(N(L89)=0,"",AJ89/L89),"")</f>
        <v/>
      </c>
      <c r="AL89" s="11">
        <f>IF(C89="","",N(AF89)+N(AG89)+N(AH89)+N(AI89))</f>
        <v/>
      </c>
      <c r="AM89" s="11">
        <f>IF(C89="","",MAX(N(L89),N(O89))-N(AL89))</f>
        <v/>
      </c>
      <c r="AN89" s="43">
        <f>IFERROR(IF(MAX(N(L89),N(O89))=0,"",AM89/MAX(N(L89),N(O89))),"")</f>
        <v/>
      </c>
      <c r="AO89" s="41" t="n"/>
      <c r="AP89" s="41" t="n"/>
      <c r="AQ89" s="41" t="n"/>
      <c r="AR89" s="41" t="n"/>
      <c r="AS89" s="41" t="n"/>
      <c r="AT89" s="37" t="n"/>
      <c r="AU89" s="10" t="inlineStr">
        <is>
          <t>PRD-0085</t>
        </is>
      </c>
    </row>
    <row r="90">
      <c r="A90" s="16">
        <f>IF($C90="","",IFERROR(IF(INDEX(tbl_Finance[Latest Invoice Date],MATCH($AU90,tbl_Finance[Row ID],0))="","",INDEX(tbl_Finance[Latest Invoice Date],MATCH($AU90,tbl_Finance[Row ID],0))),""))</f>
        <v/>
      </c>
      <c r="B90" s="10">
        <f>IF($C90="","",IFERROR(INDEX(tbl_Finance[Invoice Numbers],MATCH($AU90,tbl_Finance[Row ID],0))&amp;"",""))</f>
        <v/>
      </c>
      <c r="C90" s="37" t="n"/>
      <c r="D90" s="10">
        <f>IF($C90="","",IF(COUNTIF(lst_Jobs,$C90&amp;"")&gt;0,"OK","CHECK"))</f>
        <v/>
      </c>
      <c r="E90" s="10">
        <f>IF($C90="","",IFERROR(INDEX(lst_JobName,MATCH($C90&amp;"",lst_Jobs,0)),""))</f>
        <v/>
      </c>
      <c r="F90" s="37" t="n"/>
      <c r="G90" s="37" t="n"/>
      <c r="H90" s="37" t="n"/>
      <c r="I90" s="37" t="n"/>
      <c r="J90" s="37" t="n"/>
      <c r="K90" s="38">
        <f>IF($C90="","",IFERROR(N(INDEX(tbl_Finance[Invoice Count],MATCH($AU90,tbl_Finance[Row ID],0))),""))</f>
        <v/>
      </c>
      <c r="L90" s="11">
        <f>IF($C90="","",IFERROR(N(INDEX(tbl_Finance[Xero Invoiced Ex GST],MATCH($AU90,tbl_Finance[Row ID],0))),""))</f>
        <v/>
      </c>
      <c r="M90" s="10">
        <f>IF($C90="","",IFERROR(INDEX(tbl_Finance[Compare],MATCH($AU90,tbl_Finance[Row ID],0))&amp;"",""))</f>
        <v/>
      </c>
      <c r="N90" s="11">
        <f>IF($C90="","",MAX(0,N(O90)-N(L90)))</f>
        <v/>
      </c>
      <c r="O90" s="39" t="n"/>
      <c r="P90" s="40">
        <f>IF($C90="","",IF((IF(F90="",", Client","")&amp;IF(G90="",", Description","")&amp;IF(H90="",", Cost Centre","")&amp;IF(I90="",", Invoice Type","")&amp;IF(J90="",", Tax Code","")&amp;IF(O90="",", Expected Revenue","")&amp;IF(COUNTIF(tbl_Finance[Job Number],$C90&amp;"")&gt;1,", Job number used twice",""))="","Complete","Fix: "&amp;MID(IF(F90="",", Client","")&amp;IF(G90="",", Description","")&amp;IF(H90="",", Cost Centre","")&amp;IF(I90="",", Invoice Type","")&amp;IF(J90="",", Tax Code","")&amp;IF(O90="",", Expected Revenue","")&amp;IF(COUNTIF(tbl_Finance[Job Number],$C90&amp;"")&gt;1,", Job number used twice",""),3,300)))</f>
        <v/>
      </c>
      <c r="Q90" s="10">
        <f>IF($C90="","",IF(H90="","(no cost centre)",H90&amp;" - GL "&amp;IFERROR(INDEX(lst_CCtoGL,MATCH(H90,lst_CCforGL,0)),"?")))</f>
        <v/>
      </c>
      <c r="R90" s="11">
        <f>IF($C90="","",IFERROR(N(INDEX(tbl_Finance[Inc GST],MATCH($AU90,tbl_Finance[Row ID],0))),""))</f>
        <v/>
      </c>
      <c r="S90" s="37" t="n"/>
      <c r="T90" s="37" t="n"/>
      <c r="U90" s="37" t="n"/>
      <c r="V90" s="42" t="n"/>
      <c r="W90" s="37" t="n"/>
      <c r="X90" s="10">
        <f>IF(W90="","",IF(AND(LEFT(W90,4)&lt;&gt;"http",set_RMSBase=""),"",HYPERLINK(IF(LEFT(W90,4)="http",W90,set_RMSBase&amp;W90),"Open in RMS")))</f>
        <v/>
      </c>
      <c r="Y90" s="37" t="n"/>
      <c r="Z90" s="10">
        <f>IF(Y90="","",HYPERLINK(IF(LEFT(Y90,4)="http",Y90,set_QwilrBase&amp;Y90),"Open quote"))</f>
        <v/>
      </c>
      <c r="AA90" s="10">
        <f>IF(C90="","",C90)</f>
        <v/>
      </c>
      <c r="AB90" s="37" t="n"/>
      <c r="AC90" s="39" t="n"/>
      <c r="AD90" s="11">
        <f>IF(C90="","",N(L90)+N(AC90))</f>
        <v/>
      </c>
      <c r="AE90" s="43">
        <f>IFERROR(IF(N(AC90)=0,"",AC90/AD90),"")</f>
        <v/>
      </c>
      <c r="AF90" s="39" t="n"/>
      <c r="AG90" s="39" t="n"/>
      <c r="AH90" s="39" t="n"/>
      <c r="AI90" s="39" t="n"/>
      <c r="AJ90" s="11">
        <f>IF(C90="","",IF(H90="VIDEO",N(L90),0))</f>
        <v/>
      </c>
      <c r="AK90" s="43">
        <f>IFERROR(IF(N(L90)=0,"",AJ90/L90),"")</f>
        <v/>
      </c>
      <c r="AL90" s="11">
        <f>IF(C90="","",N(AF90)+N(AG90)+N(AH90)+N(AI90))</f>
        <v/>
      </c>
      <c r="AM90" s="11">
        <f>IF(C90="","",MAX(N(L90),N(O90))-N(AL90))</f>
        <v/>
      </c>
      <c r="AN90" s="43">
        <f>IFERROR(IF(MAX(N(L90),N(O90))=0,"",AM90/MAX(N(L90),N(O90))),"")</f>
        <v/>
      </c>
      <c r="AO90" s="41" t="n"/>
      <c r="AP90" s="41" t="n"/>
      <c r="AQ90" s="41" t="n"/>
      <c r="AR90" s="41" t="n"/>
      <c r="AS90" s="41" t="n"/>
      <c r="AT90" s="37" t="n"/>
      <c r="AU90" s="10" t="inlineStr">
        <is>
          <t>PRD-0086</t>
        </is>
      </c>
    </row>
    <row r="91">
      <c r="A91" s="16">
        <f>IF($C91="","",IFERROR(IF(INDEX(tbl_Finance[Latest Invoice Date],MATCH($AU91,tbl_Finance[Row ID],0))="","",INDEX(tbl_Finance[Latest Invoice Date],MATCH($AU91,tbl_Finance[Row ID],0))),""))</f>
        <v/>
      </c>
      <c r="B91" s="10">
        <f>IF($C91="","",IFERROR(INDEX(tbl_Finance[Invoice Numbers],MATCH($AU91,tbl_Finance[Row ID],0))&amp;"",""))</f>
        <v/>
      </c>
      <c r="C91" s="37" t="n"/>
      <c r="D91" s="10">
        <f>IF($C91="","",IF(COUNTIF(lst_Jobs,$C91&amp;"")&gt;0,"OK","CHECK"))</f>
        <v/>
      </c>
      <c r="E91" s="10">
        <f>IF($C91="","",IFERROR(INDEX(lst_JobName,MATCH($C91&amp;"",lst_Jobs,0)),""))</f>
        <v/>
      </c>
      <c r="F91" s="37" t="n"/>
      <c r="G91" s="37" t="n"/>
      <c r="H91" s="37" t="n"/>
      <c r="I91" s="37" t="n"/>
      <c r="J91" s="37" t="n"/>
      <c r="K91" s="38">
        <f>IF($C91="","",IFERROR(N(INDEX(tbl_Finance[Invoice Count],MATCH($AU91,tbl_Finance[Row ID],0))),""))</f>
        <v/>
      </c>
      <c r="L91" s="11">
        <f>IF($C91="","",IFERROR(N(INDEX(tbl_Finance[Xero Invoiced Ex GST],MATCH($AU91,tbl_Finance[Row ID],0))),""))</f>
        <v/>
      </c>
      <c r="M91" s="10">
        <f>IF($C91="","",IFERROR(INDEX(tbl_Finance[Compare],MATCH($AU91,tbl_Finance[Row ID],0))&amp;"",""))</f>
        <v/>
      </c>
      <c r="N91" s="11">
        <f>IF($C91="","",MAX(0,N(O91)-N(L91)))</f>
        <v/>
      </c>
      <c r="O91" s="39" t="n"/>
      <c r="P91" s="40">
        <f>IF($C91="","",IF((IF(F91="",", Client","")&amp;IF(G91="",", Description","")&amp;IF(H91="",", Cost Centre","")&amp;IF(I91="",", Invoice Type","")&amp;IF(J91="",", Tax Code","")&amp;IF(O91="",", Expected Revenue","")&amp;IF(COUNTIF(tbl_Finance[Job Number],$C91&amp;"")&gt;1,", Job number used twice",""))="","Complete","Fix: "&amp;MID(IF(F91="",", Client","")&amp;IF(G91="",", Description","")&amp;IF(H91="",", Cost Centre","")&amp;IF(I91="",", Invoice Type","")&amp;IF(J91="",", Tax Code","")&amp;IF(O91="",", Expected Revenue","")&amp;IF(COUNTIF(tbl_Finance[Job Number],$C91&amp;"")&gt;1,", Job number used twice",""),3,300)))</f>
        <v/>
      </c>
      <c r="Q91" s="10">
        <f>IF($C91="","",IF(H91="","(no cost centre)",H91&amp;" - GL "&amp;IFERROR(INDEX(lst_CCtoGL,MATCH(H91,lst_CCforGL,0)),"?")))</f>
        <v/>
      </c>
      <c r="R91" s="11">
        <f>IF($C91="","",IFERROR(N(INDEX(tbl_Finance[Inc GST],MATCH($AU91,tbl_Finance[Row ID],0))),""))</f>
        <v/>
      </c>
      <c r="S91" s="37" t="n"/>
      <c r="T91" s="37" t="n"/>
      <c r="U91" s="37" t="n"/>
      <c r="V91" s="42" t="n"/>
      <c r="W91" s="37" t="n"/>
      <c r="X91" s="10">
        <f>IF(W91="","",IF(AND(LEFT(W91,4)&lt;&gt;"http",set_RMSBase=""),"",HYPERLINK(IF(LEFT(W91,4)="http",W91,set_RMSBase&amp;W91),"Open in RMS")))</f>
        <v/>
      </c>
      <c r="Y91" s="37" t="n"/>
      <c r="Z91" s="10">
        <f>IF(Y91="","",HYPERLINK(IF(LEFT(Y91,4)="http",Y91,set_QwilrBase&amp;Y91),"Open quote"))</f>
        <v/>
      </c>
      <c r="AA91" s="10">
        <f>IF(C91="","",C91)</f>
        <v/>
      </c>
      <c r="AB91" s="37" t="n"/>
      <c r="AC91" s="39" t="n"/>
      <c r="AD91" s="11">
        <f>IF(C91="","",N(L91)+N(AC91))</f>
        <v/>
      </c>
      <c r="AE91" s="43">
        <f>IFERROR(IF(N(AC91)=0,"",AC91/AD91),"")</f>
        <v/>
      </c>
      <c r="AF91" s="39" t="n"/>
      <c r="AG91" s="39" t="n"/>
      <c r="AH91" s="39" t="n"/>
      <c r="AI91" s="39" t="n"/>
      <c r="AJ91" s="11">
        <f>IF(C91="","",IF(H91="VIDEO",N(L91),0))</f>
        <v/>
      </c>
      <c r="AK91" s="43">
        <f>IFERROR(IF(N(L91)=0,"",AJ91/L91),"")</f>
        <v/>
      </c>
      <c r="AL91" s="11">
        <f>IF(C91="","",N(AF91)+N(AG91)+N(AH91)+N(AI91))</f>
        <v/>
      </c>
      <c r="AM91" s="11">
        <f>IF(C91="","",MAX(N(L91),N(O91))-N(AL91))</f>
        <v/>
      </c>
      <c r="AN91" s="43">
        <f>IFERROR(IF(MAX(N(L91),N(O91))=0,"",AM91/MAX(N(L91),N(O91))),"")</f>
        <v/>
      </c>
      <c r="AO91" s="41" t="n"/>
      <c r="AP91" s="41" t="n"/>
      <c r="AQ91" s="41" t="n"/>
      <c r="AR91" s="41" t="n"/>
      <c r="AS91" s="41" t="n"/>
      <c r="AT91" s="37" t="n"/>
      <c r="AU91" s="10" t="inlineStr">
        <is>
          <t>PRD-0087</t>
        </is>
      </c>
    </row>
    <row r="92">
      <c r="A92" s="16">
        <f>IF($C92="","",IFERROR(IF(INDEX(tbl_Finance[Latest Invoice Date],MATCH($AU92,tbl_Finance[Row ID],0))="","",INDEX(tbl_Finance[Latest Invoice Date],MATCH($AU92,tbl_Finance[Row ID],0))),""))</f>
        <v/>
      </c>
      <c r="B92" s="10">
        <f>IF($C92="","",IFERROR(INDEX(tbl_Finance[Invoice Numbers],MATCH($AU92,tbl_Finance[Row ID],0))&amp;"",""))</f>
        <v/>
      </c>
      <c r="C92" s="37" t="n"/>
      <c r="D92" s="10">
        <f>IF($C92="","",IF(COUNTIF(lst_Jobs,$C92&amp;"")&gt;0,"OK","CHECK"))</f>
        <v/>
      </c>
      <c r="E92" s="10">
        <f>IF($C92="","",IFERROR(INDEX(lst_JobName,MATCH($C92&amp;"",lst_Jobs,0)),""))</f>
        <v/>
      </c>
      <c r="F92" s="37" t="n"/>
      <c r="G92" s="37" t="n"/>
      <c r="H92" s="37" t="n"/>
      <c r="I92" s="37" t="n"/>
      <c r="J92" s="37" t="n"/>
      <c r="K92" s="38">
        <f>IF($C92="","",IFERROR(N(INDEX(tbl_Finance[Invoice Count],MATCH($AU92,tbl_Finance[Row ID],0))),""))</f>
        <v/>
      </c>
      <c r="L92" s="11">
        <f>IF($C92="","",IFERROR(N(INDEX(tbl_Finance[Xero Invoiced Ex GST],MATCH($AU92,tbl_Finance[Row ID],0))),""))</f>
        <v/>
      </c>
      <c r="M92" s="10">
        <f>IF($C92="","",IFERROR(INDEX(tbl_Finance[Compare],MATCH($AU92,tbl_Finance[Row ID],0))&amp;"",""))</f>
        <v/>
      </c>
      <c r="N92" s="11">
        <f>IF($C92="","",MAX(0,N(O92)-N(L92)))</f>
        <v/>
      </c>
      <c r="O92" s="39" t="n"/>
      <c r="P92" s="40">
        <f>IF($C92="","",IF((IF(F92="",", Client","")&amp;IF(G92="",", Description","")&amp;IF(H92="",", Cost Centre","")&amp;IF(I92="",", Invoice Type","")&amp;IF(J92="",", Tax Code","")&amp;IF(O92="",", Expected Revenue","")&amp;IF(COUNTIF(tbl_Finance[Job Number],$C92&amp;"")&gt;1,", Job number used twice",""))="","Complete","Fix: "&amp;MID(IF(F92="",", Client","")&amp;IF(G92="",", Description","")&amp;IF(H92="",", Cost Centre","")&amp;IF(I92="",", Invoice Type","")&amp;IF(J92="",", Tax Code","")&amp;IF(O92="",", Expected Revenue","")&amp;IF(COUNTIF(tbl_Finance[Job Number],$C92&amp;"")&gt;1,", Job number used twice",""),3,300)))</f>
        <v/>
      </c>
      <c r="Q92" s="10">
        <f>IF($C92="","",IF(H92="","(no cost centre)",H92&amp;" - GL "&amp;IFERROR(INDEX(lst_CCtoGL,MATCH(H92,lst_CCforGL,0)),"?")))</f>
        <v/>
      </c>
      <c r="R92" s="11">
        <f>IF($C92="","",IFERROR(N(INDEX(tbl_Finance[Inc GST],MATCH($AU92,tbl_Finance[Row ID],0))),""))</f>
        <v/>
      </c>
      <c r="S92" s="37" t="n"/>
      <c r="T92" s="37" t="n"/>
      <c r="U92" s="37" t="n"/>
      <c r="V92" s="42" t="n"/>
      <c r="W92" s="37" t="n"/>
      <c r="X92" s="10">
        <f>IF(W92="","",IF(AND(LEFT(W92,4)&lt;&gt;"http",set_RMSBase=""),"",HYPERLINK(IF(LEFT(W92,4)="http",W92,set_RMSBase&amp;W92),"Open in RMS")))</f>
        <v/>
      </c>
      <c r="Y92" s="37" t="n"/>
      <c r="Z92" s="10">
        <f>IF(Y92="","",HYPERLINK(IF(LEFT(Y92,4)="http",Y92,set_QwilrBase&amp;Y92),"Open quote"))</f>
        <v/>
      </c>
      <c r="AA92" s="10">
        <f>IF(C92="","",C92)</f>
        <v/>
      </c>
      <c r="AB92" s="37" t="n"/>
      <c r="AC92" s="39" t="n"/>
      <c r="AD92" s="11">
        <f>IF(C92="","",N(L92)+N(AC92))</f>
        <v/>
      </c>
      <c r="AE92" s="43">
        <f>IFERROR(IF(N(AC92)=0,"",AC92/AD92),"")</f>
        <v/>
      </c>
      <c r="AF92" s="39" t="n"/>
      <c r="AG92" s="39" t="n"/>
      <c r="AH92" s="39" t="n"/>
      <c r="AI92" s="39" t="n"/>
      <c r="AJ92" s="11">
        <f>IF(C92="","",IF(H92="VIDEO",N(L92),0))</f>
        <v/>
      </c>
      <c r="AK92" s="43">
        <f>IFERROR(IF(N(L92)=0,"",AJ92/L92),"")</f>
        <v/>
      </c>
      <c r="AL92" s="11">
        <f>IF(C92="","",N(AF92)+N(AG92)+N(AH92)+N(AI92))</f>
        <v/>
      </c>
      <c r="AM92" s="11">
        <f>IF(C92="","",MAX(N(L92),N(O92))-N(AL92))</f>
        <v/>
      </c>
      <c r="AN92" s="43">
        <f>IFERROR(IF(MAX(N(L92),N(O92))=0,"",AM92/MAX(N(L92),N(O92))),"")</f>
        <v/>
      </c>
      <c r="AO92" s="41" t="n"/>
      <c r="AP92" s="41" t="n"/>
      <c r="AQ92" s="41" t="n"/>
      <c r="AR92" s="41" t="n"/>
      <c r="AS92" s="41" t="n"/>
      <c r="AT92" s="37" t="n"/>
      <c r="AU92" s="10" t="inlineStr">
        <is>
          <t>PRD-0088</t>
        </is>
      </c>
    </row>
    <row r="93">
      <c r="A93" s="16">
        <f>IF($C93="","",IFERROR(IF(INDEX(tbl_Finance[Latest Invoice Date],MATCH($AU93,tbl_Finance[Row ID],0))="","",INDEX(tbl_Finance[Latest Invoice Date],MATCH($AU93,tbl_Finance[Row ID],0))),""))</f>
        <v/>
      </c>
      <c r="B93" s="10">
        <f>IF($C93="","",IFERROR(INDEX(tbl_Finance[Invoice Numbers],MATCH($AU93,tbl_Finance[Row ID],0))&amp;"",""))</f>
        <v/>
      </c>
      <c r="C93" s="37" t="n"/>
      <c r="D93" s="10">
        <f>IF($C93="","",IF(COUNTIF(lst_Jobs,$C93&amp;"")&gt;0,"OK","CHECK"))</f>
        <v/>
      </c>
      <c r="E93" s="10">
        <f>IF($C93="","",IFERROR(INDEX(lst_JobName,MATCH($C93&amp;"",lst_Jobs,0)),""))</f>
        <v/>
      </c>
      <c r="F93" s="37" t="n"/>
      <c r="G93" s="37" t="n"/>
      <c r="H93" s="37" t="n"/>
      <c r="I93" s="37" t="n"/>
      <c r="J93" s="37" t="n"/>
      <c r="K93" s="38">
        <f>IF($C93="","",IFERROR(N(INDEX(tbl_Finance[Invoice Count],MATCH($AU93,tbl_Finance[Row ID],0))),""))</f>
        <v/>
      </c>
      <c r="L93" s="11">
        <f>IF($C93="","",IFERROR(N(INDEX(tbl_Finance[Xero Invoiced Ex GST],MATCH($AU93,tbl_Finance[Row ID],0))),""))</f>
        <v/>
      </c>
      <c r="M93" s="10">
        <f>IF($C93="","",IFERROR(INDEX(tbl_Finance[Compare],MATCH($AU93,tbl_Finance[Row ID],0))&amp;"",""))</f>
        <v/>
      </c>
      <c r="N93" s="11">
        <f>IF($C93="","",MAX(0,N(O93)-N(L93)))</f>
        <v/>
      </c>
      <c r="O93" s="39" t="n"/>
      <c r="P93" s="40">
        <f>IF($C93="","",IF((IF(F93="",", Client","")&amp;IF(G93="",", Description","")&amp;IF(H93="",", Cost Centre","")&amp;IF(I93="",", Invoice Type","")&amp;IF(J93="",", Tax Code","")&amp;IF(O93="",", Expected Revenue","")&amp;IF(COUNTIF(tbl_Finance[Job Number],$C93&amp;"")&gt;1,", Job number used twice",""))="","Complete","Fix: "&amp;MID(IF(F93="",", Client","")&amp;IF(G93="",", Description","")&amp;IF(H93="",", Cost Centre","")&amp;IF(I93="",", Invoice Type","")&amp;IF(J93="",", Tax Code","")&amp;IF(O93="",", Expected Revenue","")&amp;IF(COUNTIF(tbl_Finance[Job Number],$C93&amp;"")&gt;1,", Job number used twice",""),3,300)))</f>
        <v/>
      </c>
      <c r="Q93" s="10">
        <f>IF($C93="","",IF(H93="","(no cost centre)",H93&amp;" - GL "&amp;IFERROR(INDEX(lst_CCtoGL,MATCH(H93,lst_CCforGL,0)),"?")))</f>
        <v/>
      </c>
      <c r="R93" s="11">
        <f>IF($C93="","",IFERROR(N(INDEX(tbl_Finance[Inc GST],MATCH($AU93,tbl_Finance[Row ID],0))),""))</f>
        <v/>
      </c>
      <c r="S93" s="37" t="n"/>
      <c r="T93" s="37" t="n"/>
      <c r="U93" s="37" t="n"/>
      <c r="V93" s="42" t="n"/>
      <c r="W93" s="37" t="n"/>
      <c r="X93" s="10">
        <f>IF(W93="","",IF(AND(LEFT(W93,4)&lt;&gt;"http",set_RMSBase=""),"",HYPERLINK(IF(LEFT(W93,4)="http",W93,set_RMSBase&amp;W93),"Open in RMS")))</f>
        <v/>
      </c>
      <c r="Y93" s="37" t="n"/>
      <c r="Z93" s="10">
        <f>IF(Y93="","",HYPERLINK(IF(LEFT(Y93,4)="http",Y93,set_QwilrBase&amp;Y93),"Open quote"))</f>
        <v/>
      </c>
      <c r="AA93" s="10">
        <f>IF(C93="","",C93)</f>
        <v/>
      </c>
      <c r="AB93" s="37" t="n"/>
      <c r="AC93" s="39" t="n"/>
      <c r="AD93" s="11">
        <f>IF(C93="","",N(L93)+N(AC93))</f>
        <v/>
      </c>
      <c r="AE93" s="43">
        <f>IFERROR(IF(N(AC93)=0,"",AC93/AD93),"")</f>
        <v/>
      </c>
      <c r="AF93" s="39" t="n"/>
      <c r="AG93" s="39" t="n"/>
      <c r="AH93" s="39" t="n"/>
      <c r="AI93" s="39" t="n"/>
      <c r="AJ93" s="11">
        <f>IF(C93="","",IF(H93="VIDEO",N(L93),0))</f>
        <v/>
      </c>
      <c r="AK93" s="43">
        <f>IFERROR(IF(N(L93)=0,"",AJ93/L93),"")</f>
        <v/>
      </c>
      <c r="AL93" s="11">
        <f>IF(C93="","",N(AF93)+N(AG93)+N(AH93)+N(AI93))</f>
        <v/>
      </c>
      <c r="AM93" s="11">
        <f>IF(C93="","",MAX(N(L93),N(O93))-N(AL93))</f>
        <v/>
      </c>
      <c r="AN93" s="43">
        <f>IFERROR(IF(MAX(N(L93),N(O93))=0,"",AM93/MAX(N(L93),N(O93))),"")</f>
        <v/>
      </c>
      <c r="AO93" s="41" t="n"/>
      <c r="AP93" s="41" t="n"/>
      <c r="AQ93" s="41" t="n"/>
      <c r="AR93" s="41" t="n"/>
      <c r="AS93" s="41" t="n"/>
      <c r="AT93" s="37" t="n"/>
      <c r="AU93" s="10" t="inlineStr">
        <is>
          <t>PRD-0089</t>
        </is>
      </c>
    </row>
    <row r="94">
      <c r="A94" s="16">
        <f>IF($C94="","",IFERROR(IF(INDEX(tbl_Finance[Latest Invoice Date],MATCH($AU94,tbl_Finance[Row ID],0))="","",INDEX(tbl_Finance[Latest Invoice Date],MATCH($AU94,tbl_Finance[Row ID],0))),""))</f>
        <v/>
      </c>
      <c r="B94" s="10">
        <f>IF($C94="","",IFERROR(INDEX(tbl_Finance[Invoice Numbers],MATCH($AU94,tbl_Finance[Row ID],0))&amp;"",""))</f>
        <v/>
      </c>
      <c r="C94" s="37" t="n"/>
      <c r="D94" s="10">
        <f>IF($C94="","",IF(COUNTIF(lst_Jobs,$C94&amp;"")&gt;0,"OK","CHECK"))</f>
        <v/>
      </c>
      <c r="E94" s="10">
        <f>IF($C94="","",IFERROR(INDEX(lst_JobName,MATCH($C94&amp;"",lst_Jobs,0)),""))</f>
        <v/>
      </c>
      <c r="F94" s="37" t="n"/>
      <c r="G94" s="37" t="n"/>
      <c r="H94" s="37" t="n"/>
      <c r="I94" s="37" t="n"/>
      <c r="J94" s="37" t="n"/>
      <c r="K94" s="38">
        <f>IF($C94="","",IFERROR(N(INDEX(tbl_Finance[Invoice Count],MATCH($AU94,tbl_Finance[Row ID],0))),""))</f>
        <v/>
      </c>
      <c r="L94" s="11">
        <f>IF($C94="","",IFERROR(N(INDEX(tbl_Finance[Xero Invoiced Ex GST],MATCH($AU94,tbl_Finance[Row ID],0))),""))</f>
        <v/>
      </c>
      <c r="M94" s="10">
        <f>IF($C94="","",IFERROR(INDEX(tbl_Finance[Compare],MATCH($AU94,tbl_Finance[Row ID],0))&amp;"",""))</f>
        <v/>
      </c>
      <c r="N94" s="11">
        <f>IF($C94="","",MAX(0,N(O94)-N(L94)))</f>
        <v/>
      </c>
      <c r="O94" s="39" t="n"/>
      <c r="P94" s="40">
        <f>IF($C94="","",IF((IF(F94="",", Client","")&amp;IF(G94="",", Description","")&amp;IF(H94="",", Cost Centre","")&amp;IF(I94="",", Invoice Type","")&amp;IF(J94="",", Tax Code","")&amp;IF(O94="",", Expected Revenue","")&amp;IF(COUNTIF(tbl_Finance[Job Number],$C94&amp;"")&gt;1,", Job number used twice",""))="","Complete","Fix: "&amp;MID(IF(F94="",", Client","")&amp;IF(G94="",", Description","")&amp;IF(H94="",", Cost Centre","")&amp;IF(I94="",", Invoice Type","")&amp;IF(J94="",", Tax Code","")&amp;IF(O94="",", Expected Revenue","")&amp;IF(COUNTIF(tbl_Finance[Job Number],$C94&amp;"")&gt;1,", Job number used twice",""),3,300)))</f>
        <v/>
      </c>
      <c r="Q94" s="10">
        <f>IF($C94="","",IF(H94="","(no cost centre)",H94&amp;" - GL "&amp;IFERROR(INDEX(lst_CCtoGL,MATCH(H94,lst_CCforGL,0)),"?")))</f>
        <v/>
      </c>
      <c r="R94" s="11">
        <f>IF($C94="","",IFERROR(N(INDEX(tbl_Finance[Inc GST],MATCH($AU94,tbl_Finance[Row ID],0))),""))</f>
        <v/>
      </c>
      <c r="S94" s="37" t="n"/>
      <c r="T94" s="37" t="n"/>
      <c r="U94" s="37" t="n"/>
      <c r="V94" s="42" t="n"/>
      <c r="W94" s="37" t="n"/>
      <c r="X94" s="10">
        <f>IF(W94="","",IF(AND(LEFT(W94,4)&lt;&gt;"http",set_RMSBase=""),"",HYPERLINK(IF(LEFT(W94,4)="http",W94,set_RMSBase&amp;W94),"Open in RMS")))</f>
        <v/>
      </c>
      <c r="Y94" s="37" t="n"/>
      <c r="Z94" s="10">
        <f>IF(Y94="","",HYPERLINK(IF(LEFT(Y94,4)="http",Y94,set_QwilrBase&amp;Y94),"Open quote"))</f>
        <v/>
      </c>
      <c r="AA94" s="10">
        <f>IF(C94="","",C94)</f>
        <v/>
      </c>
      <c r="AB94" s="37" t="n"/>
      <c r="AC94" s="39" t="n"/>
      <c r="AD94" s="11">
        <f>IF(C94="","",N(L94)+N(AC94))</f>
        <v/>
      </c>
      <c r="AE94" s="43">
        <f>IFERROR(IF(N(AC94)=0,"",AC94/AD94),"")</f>
        <v/>
      </c>
      <c r="AF94" s="39" t="n"/>
      <c r="AG94" s="39" t="n"/>
      <c r="AH94" s="39" t="n"/>
      <c r="AI94" s="39" t="n"/>
      <c r="AJ94" s="11">
        <f>IF(C94="","",IF(H94="VIDEO",N(L94),0))</f>
        <v/>
      </c>
      <c r="AK94" s="43">
        <f>IFERROR(IF(N(L94)=0,"",AJ94/L94),"")</f>
        <v/>
      </c>
      <c r="AL94" s="11">
        <f>IF(C94="","",N(AF94)+N(AG94)+N(AH94)+N(AI94))</f>
        <v/>
      </c>
      <c r="AM94" s="11">
        <f>IF(C94="","",MAX(N(L94),N(O94))-N(AL94))</f>
        <v/>
      </c>
      <c r="AN94" s="43">
        <f>IFERROR(IF(MAX(N(L94),N(O94))=0,"",AM94/MAX(N(L94),N(O94))),"")</f>
        <v/>
      </c>
      <c r="AO94" s="41" t="n"/>
      <c r="AP94" s="41" t="n"/>
      <c r="AQ94" s="41" t="n"/>
      <c r="AR94" s="41" t="n"/>
      <c r="AS94" s="41" t="n"/>
      <c r="AT94" s="37" t="n"/>
      <c r="AU94" s="10" t="inlineStr">
        <is>
          <t>PRD-0090</t>
        </is>
      </c>
    </row>
    <row r="95">
      <c r="A95" s="16">
        <f>IF($C95="","",IFERROR(IF(INDEX(tbl_Finance[Latest Invoice Date],MATCH($AU95,tbl_Finance[Row ID],0))="","",INDEX(tbl_Finance[Latest Invoice Date],MATCH($AU95,tbl_Finance[Row ID],0))),""))</f>
        <v/>
      </c>
      <c r="B95" s="10">
        <f>IF($C95="","",IFERROR(INDEX(tbl_Finance[Invoice Numbers],MATCH($AU95,tbl_Finance[Row ID],0))&amp;"",""))</f>
        <v/>
      </c>
      <c r="C95" s="37" t="n"/>
      <c r="D95" s="10">
        <f>IF($C95="","",IF(COUNTIF(lst_Jobs,$C95&amp;"")&gt;0,"OK","CHECK"))</f>
        <v/>
      </c>
      <c r="E95" s="10">
        <f>IF($C95="","",IFERROR(INDEX(lst_JobName,MATCH($C95&amp;"",lst_Jobs,0)),""))</f>
        <v/>
      </c>
      <c r="F95" s="37" t="n"/>
      <c r="G95" s="37" t="n"/>
      <c r="H95" s="37" t="n"/>
      <c r="I95" s="37" t="n"/>
      <c r="J95" s="37" t="n"/>
      <c r="K95" s="38">
        <f>IF($C95="","",IFERROR(N(INDEX(tbl_Finance[Invoice Count],MATCH($AU95,tbl_Finance[Row ID],0))),""))</f>
        <v/>
      </c>
      <c r="L95" s="11">
        <f>IF($C95="","",IFERROR(N(INDEX(tbl_Finance[Xero Invoiced Ex GST],MATCH($AU95,tbl_Finance[Row ID],0))),""))</f>
        <v/>
      </c>
      <c r="M95" s="10">
        <f>IF($C95="","",IFERROR(INDEX(tbl_Finance[Compare],MATCH($AU95,tbl_Finance[Row ID],0))&amp;"",""))</f>
        <v/>
      </c>
      <c r="N95" s="11">
        <f>IF($C95="","",MAX(0,N(O95)-N(L95)))</f>
        <v/>
      </c>
      <c r="O95" s="39" t="n"/>
      <c r="P95" s="40">
        <f>IF($C95="","",IF((IF(F95="",", Client","")&amp;IF(G95="",", Description","")&amp;IF(H95="",", Cost Centre","")&amp;IF(I95="",", Invoice Type","")&amp;IF(J95="",", Tax Code","")&amp;IF(O95="",", Expected Revenue","")&amp;IF(COUNTIF(tbl_Finance[Job Number],$C95&amp;"")&gt;1,", Job number used twice",""))="","Complete","Fix: "&amp;MID(IF(F95="",", Client","")&amp;IF(G95="",", Description","")&amp;IF(H95="",", Cost Centre","")&amp;IF(I95="",", Invoice Type","")&amp;IF(J95="",", Tax Code","")&amp;IF(O95="",", Expected Revenue","")&amp;IF(COUNTIF(tbl_Finance[Job Number],$C95&amp;"")&gt;1,", Job number used twice",""),3,300)))</f>
        <v/>
      </c>
      <c r="Q95" s="10">
        <f>IF($C95="","",IF(H95="","(no cost centre)",H95&amp;" - GL "&amp;IFERROR(INDEX(lst_CCtoGL,MATCH(H95,lst_CCforGL,0)),"?")))</f>
        <v/>
      </c>
      <c r="R95" s="11">
        <f>IF($C95="","",IFERROR(N(INDEX(tbl_Finance[Inc GST],MATCH($AU95,tbl_Finance[Row ID],0))),""))</f>
        <v/>
      </c>
      <c r="S95" s="37" t="n"/>
      <c r="T95" s="37" t="n"/>
      <c r="U95" s="37" t="n"/>
      <c r="V95" s="42" t="n"/>
      <c r="W95" s="37" t="n"/>
      <c r="X95" s="10">
        <f>IF(W95="","",IF(AND(LEFT(W95,4)&lt;&gt;"http",set_RMSBase=""),"",HYPERLINK(IF(LEFT(W95,4)="http",W95,set_RMSBase&amp;W95),"Open in RMS")))</f>
        <v/>
      </c>
      <c r="Y95" s="37" t="n"/>
      <c r="Z95" s="10">
        <f>IF(Y95="","",HYPERLINK(IF(LEFT(Y95,4)="http",Y95,set_QwilrBase&amp;Y95),"Open quote"))</f>
        <v/>
      </c>
      <c r="AA95" s="10">
        <f>IF(C95="","",C95)</f>
        <v/>
      </c>
      <c r="AB95" s="37" t="n"/>
      <c r="AC95" s="39" t="n"/>
      <c r="AD95" s="11">
        <f>IF(C95="","",N(L95)+N(AC95))</f>
        <v/>
      </c>
      <c r="AE95" s="43">
        <f>IFERROR(IF(N(AC95)=0,"",AC95/AD95),"")</f>
        <v/>
      </c>
      <c r="AF95" s="39" t="n"/>
      <c r="AG95" s="39" t="n"/>
      <c r="AH95" s="39" t="n"/>
      <c r="AI95" s="39" t="n"/>
      <c r="AJ95" s="11">
        <f>IF(C95="","",IF(H95="VIDEO",N(L95),0))</f>
        <v/>
      </c>
      <c r="AK95" s="43">
        <f>IFERROR(IF(N(L95)=0,"",AJ95/L95),"")</f>
        <v/>
      </c>
      <c r="AL95" s="11">
        <f>IF(C95="","",N(AF95)+N(AG95)+N(AH95)+N(AI95))</f>
        <v/>
      </c>
      <c r="AM95" s="11">
        <f>IF(C95="","",MAX(N(L95),N(O95))-N(AL95))</f>
        <v/>
      </c>
      <c r="AN95" s="43">
        <f>IFERROR(IF(MAX(N(L95),N(O95))=0,"",AM95/MAX(N(L95),N(O95))),"")</f>
        <v/>
      </c>
      <c r="AO95" s="41" t="n"/>
      <c r="AP95" s="41" t="n"/>
      <c r="AQ95" s="41" t="n"/>
      <c r="AR95" s="41" t="n"/>
      <c r="AS95" s="41" t="n"/>
      <c r="AT95" s="37" t="n"/>
      <c r="AU95" s="10" t="inlineStr">
        <is>
          <t>PRD-0091</t>
        </is>
      </c>
    </row>
    <row r="96">
      <c r="A96" s="16">
        <f>IF($C96="","",IFERROR(IF(INDEX(tbl_Finance[Latest Invoice Date],MATCH($AU96,tbl_Finance[Row ID],0))="","",INDEX(tbl_Finance[Latest Invoice Date],MATCH($AU96,tbl_Finance[Row ID],0))),""))</f>
        <v/>
      </c>
      <c r="B96" s="10">
        <f>IF($C96="","",IFERROR(INDEX(tbl_Finance[Invoice Numbers],MATCH($AU96,tbl_Finance[Row ID],0))&amp;"",""))</f>
        <v/>
      </c>
      <c r="C96" s="37" t="n"/>
      <c r="D96" s="10">
        <f>IF($C96="","",IF(COUNTIF(lst_Jobs,$C96&amp;"")&gt;0,"OK","CHECK"))</f>
        <v/>
      </c>
      <c r="E96" s="10">
        <f>IF($C96="","",IFERROR(INDEX(lst_JobName,MATCH($C96&amp;"",lst_Jobs,0)),""))</f>
        <v/>
      </c>
      <c r="F96" s="37" t="n"/>
      <c r="G96" s="37" t="n"/>
      <c r="H96" s="37" t="n"/>
      <c r="I96" s="37" t="n"/>
      <c r="J96" s="37" t="n"/>
      <c r="K96" s="38">
        <f>IF($C96="","",IFERROR(N(INDEX(tbl_Finance[Invoice Count],MATCH($AU96,tbl_Finance[Row ID],0))),""))</f>
        <v/>
      </c>
      <c r="L96" s="11">
        <f>IF($C96="","",IFERROR(N(INDEX(tbl_Finance[Xero Invoiced Ex GST],MATCH($AU96,tbl_Finance[Row ID],0))),""))</f>
        <v/>
      </c>
      <c r="M96" s="10">
        <f>IF($C96="","",IFERROR(INDEX(tbl_Finance[Compare],MATCH($AU96,tbl_Finance[Row ID],0))&amp;"",""))</f>
        <v/>
      </c>
      <c r="N96" s="11">
        <f>IF($C96="","",MAX(0,N(O96)-N(L96)))</f>
        <v/>
      </c>
      <c r="O96" s="39" t="n"/>
      <c r="P96" s="40">
        <f>IF($C96="","",IF((IF(F96="",", Client","")&amp;IF(G96="",", Description","")&amp;IF(H96="",", Cost Centre","")&amp;IF(I96="",", Invoice Type","")&amp;IF(J96="",", Tax Code","")&amp;IF(O96="",", Expected Revenue","")&amp;IF(COUNTIF(tbl_Finance[Job Number],$C96&amp;"")&gt;1,", Job number used twice",""))="","Complete","Fix: "&amp;MID(IF(F96="",", Client","")&amp;IF(G96="",", Description","")&amp;IF(H96="",", Cost Centre","")&amp;IF(I96="",", Invoice Type","")&amp;IF(J96="",", Tax Code","")&amp;IF(O96="",", Expected Revenue","")&amp;IF(COUNTIF(tbl_Finance[Job Number],$C96&amp;"")&gt;1,", Job number used twice",""),3,300)))</f>
        <v/>
      </c>
      <c r="Q96" s="10">
        <f>IF($C96="","",IF(H96="","(no cost centre)",H96&amp;" - GL "&amp;IFERROR(INDEX(lst_CCtoGL,MATCH(H96,lst_CCforGL,0)),"?")))</f>
        <v/>
      </c>
      <c r="R96" s="11">
        <f>IF($C96="","",IFERROR(N(INDEX(tbl_Finance[Inc GST],MATCH($AU96,tbl_Finance[Row ID],0))),""))</f>
        <v/>
      </c>
      <c r="S96" s="37" t="n"/>
      <c r="T96" s="37" t="n"/>
      <c r="U96" s="37" t="n"/>
      <c r="V96" s="42" t="n"/>
      <c r="W96" s="37" t="n"/>
      <c r="X96" s="10">
        <f>IF(W96="","",IF(AND(LEFT(W96,4)&lt;&gt;"http",set_RMSBase=""),"",HYPERLINK(IF(LEFT(W96,4)="http",W96,set_RMSBase&amp;W96),"Open in RMS")))</f>
        <v/>
      </c>
      <c r="Y96" s="37" t="n"/>
      <c r="Z96" s="10">
        <f>IF(Y96="","",HYPERLINK(IF(LEFT(Y96,4)="http",Y96,set_QwilrBase&amp;Y96),"Open quote"))</f>
        <v/>
      </c>
      <c r="AA96" s="10">
        <f>IF(C96="","",C96)</f>
        <v/>
      </c>
      <c r="AB96" s="37" t="n"/>
      <c r="AC96" s="39" t="n"/>
      <c r="AD96" s="11">
        <f>IF(C96="","",N(L96)+N(AC96))</f>
        <v/>
      </c>
      <c r="AE96" s="43">
        <f>IFERROR(IF(N(AC96)=0,"",AC96/AD96),"")</f>
        <v/>
      </c>
      <c r="AF96" s="39" t="n"/>
      <c r="AG96" s="39" t="n"/>
      <c r="AH96" s="39" t="n"/>
      <c r="AI96" s="39" t="n"/>
      <c r="AJ96" s="11">
        <f>IF(C96="","",IF(H96="VIDEO",N(L96),0))</f>
        <v/>
      </c>
      <c r="AK96" s="43">
        <f>IFERROR(IF(N(L96)=0,"",AJ96/L96),"")</f>
        <v/>
      </c>
      <c r="AL96" s="11">
        <f>IF(C96="","",N(AF96)+N(AG96)+N(AH96)+N(AI96))</f>
        <v/>
      </c>
      <c r="AM96" s="11">
        <f>IF(C96="","",MAX(N(L96),N(O96))-N(AL96))</f>
        <v/>
      </c>
      <c r="AN96" s="43">
        <f>IFERROR(IF(MAX(N(L96),N(O96))=0,"",AM96/MAX(N(L96),N(O96))),"")</f>
        <v/>
      </c>
      <c r="AO96" s="41" t="n"/>
      <c r="AP96" s="41" t="n"/>
      <c r="AQ96" s="41" t="n"/>
      <c r="AR96" s="41" t="n"/>
      <c r="AS96" s="41" t="n"/>
      <c r="AT96" s="37" t="n"/>
      <c r="AU96" s="10" t="inlineStr">
        <is>
          <t>PRD-0092</t>
        </is>
      </c>
    </row>
    <row r="97">
      <c r="A97" s="16">
        <f>IF($C97="","",IFERROR(IF(INDEX(tbl_Finance[Latest Invoice Date],MATCH($AU97,tbl_Finance[Row ID],0))="","",INDEX(tbl_Finance[Latest Invoice Date],MATCH($AU97,tbl_Finance[Row ID],0))),""))</f>
        <v/>
      </c>
      <c r="B97" s="10">
        <f>IF($C97="","",IFERROR(INDEX(tbl_Finance[Invoice Numbers],MATCH($AU97,tbl_Finance[Row ID],0))&amp;"",""))</f>
        <v/>
      </c>
      <c r="C97" s="37" t="n"/>
      <c r="D97" s="10">
        <f>IF($C97="","",IF(COUNTIF(lst_Jobs,$C97&amp;"")&gt;0,"OK","CHECK"))</f>
        <v/>
      </c>
      <c r="E97" s="10">
        <f>IF($C97="","",IFERROR(INDEX(lst_JobName,MATCH($C97&amp;"",lst_Jobs,0)),""))</f>
        <v/>
      </c>
      <c r="F97" s="37" t="n"/>
      <c r="G97" s="37" t="n"/>
      <c r="H97" s="37" t="n"/>
      <c r="I97" s="37" t="n"/>
      <c r="J97" s="37" t="n"/>
      <c r="K97" s="38">
        <f>IF($C97="","",IFERROR(N(INDEX(tbl_Finance[Invoice Count],MATCH($AU97,tbl_Finance[Row ID],0))),""))</f>
        <v/>
      </c>
      <c r="L97" s="11">
        <f>IF($C97="","",IFERROR(N(INDEX(tbl_Finance[Xero Invoiced Ex GST],MATCH($AU97,tbl_Finance[Row ID],0))),""))</f>
        <v/>
      </c>
      <c r="M97" s="10">
        <f>IF($C97="","",IFERROR(INDEX(tbl_Finance[Compare],MATCH($AU97,tbl_Finance[Row ID],0))&amp;"",""))</f>
        <v/>
      </c>
      <c r="N97" s="11">
        <f>IF($C97="","",MAX(0,N(O97)-N(L97)))</f>
        <v/>
      </c>
      <c r="O97" s="39" t="n"/>
      <c r="P97" s="40">
        <f>IF($C97="","",IF((IF(F97="",", Client","")&amp;IF(G97="",", Description","")&amp;IF(H97="",", Cost Centre","")&amp;IF(I97="",", Invoice Type","")&amp;IF(J97="",", Tax Code","")&amp;IF(O97="",", Expected Revenue","")&amp;IF(COUNTIF(tbl_Finance[Job Number],$C97&amp;"")&gt;1,", Job number used twice",""))="","Complete","Fix: "&amp;MID(IF(F97="",", Client","")&amp;IF(G97="",", Description","")&amp;IF(H97="",", Cost Centre","")&amp;IF(I97="",", Invoice Type","")&amp;IF(J97="",", Tax Code","")&amp;IF(O97="",", Expected Revenue","")&amp;IF(COUNTIF(tbl_Finance[Job Number],$C97&amp;"")&gt;1,", Job number used twice",""),3,300)))</f>
        <v/>
      </c>
      <c r="Q97" s="10">
        <f>IF($C97="","",IF(H97="","(no cost centre)",H97&amp;" - GL "&amp;IFERROR(INDEX(lst_CCtoGL,MATCH(H97,lst_CCforGL,0)),"?")))</f>
        <v/>
      </c>
      <c r="R97" s="11">
        <f>IF($C97="","",IFERROR(N(INDEX(tbl_Finance[Inc GST],MATCH($AU97,tbl_Finance[Row ID],0))),""))</f>
        <v/>
      </c>
      <c r="S97" s="37" t="n"/>
      <c r="T97" s="37" t="n"/>
      <c r="U97" s="37" t="n"/>
      <c r="V97" s="42" t="n"/>
      <c r="W97" s="37" t="n"/>
      <c r="X97" s="10">
        <f>IF(W97="","",IF(AND(LEFT(W97,4)&lt;&gt;"http",set_RMSBase=""),"",HYPERLINK(IF(LEFT(W97,4)="http",W97,set_RMSBase&amp;W97),"Open in RMS")))</f>
        <v/>
      </c>
      <c r="Y97" s="37" t="n"/>
      <c r="Z97" s="10">
        <f>IF(Y97="","",HYPERLINK(IF(LEFT(Y97,4)="http",Y97,set_QwilrBase&amp;Y97),"Open quote"))</f>
        <v/>
      </c>
      <c r="AA97" s="10">
        <f>IF(C97="","",C97)</f>
        <v/>
      </c>
      <c r="AB97" s="37" t="n"/>
      <c r="AC97" s="39" t="n"/>
      <c r="AD97" s="11">
        <f>IF(C97="","",N(L97)+N(AC97))</f>
        <v/>
      </c>
      <c r="AE97" s="43">
        <f>IFERROR(IF(N(AC97)=0,"",AC97/AD97),"")</f>
        <v/>
      </c>
      <c r="AF97" s="39" t="n"/>
      <c r="AG97" s="39" t="n"/>
      <c r="AH97" s="39" t="n"/>
      <c r="AI97" s="39" t="n"/>
      <c r="AJ97" s="11">
        <f>IF(C97="","",IF(H97="VIDEO",N(L97),0))</f>
        <v/>
      </c>
      <c r="AK97" s="43">
        <f>IFERROR(IF(N(L97)=0,"",AJ97/L97),"")</f>
        <v/>
      </c>
      <c r="AL97" s="11">
        <f>IF(C97="","",N(AF97)+N(AG97)+N(AH97)+N(AI97))</f>
        <v/>
      </c>
      <c r="AM97" s="11">
        <f>IF(C97="","",MAX(N(L97),N(O97))-N(AL97))</f>
        <v/>
      </c>
      <c r="AN97" s="43">
        <f>IFERROR(IF(MAX(N(L97),N(O97))=0,"",AM97/MAX(N(L97),N(O97))),"")</f>
        <v/>
      </c>
      <c r="AO97" s="41" t="n"/>
      <c r="AP97" s="41" t="n"/>
      <c r="AQ97" s="41" t="n"/>
      <c r="AR97" s="41" t="n"/>
      <c r="AS97" s="41" t="n"/>
      <c r="AT97" s="37" t="n"/>
      <c r="AU97" s="10" t="inlineStr">
        <is>
          <t>PRD-0093</t>
        </is>
      </c>
    </row>
    <row r="98">
      <c r="A98" s="16">
        <f>IF($C98="","",IFERROR(IF(INDEX(tbl_Finance[Latest Invoice Date],MATCH($AU98,tbl_Finance[Row ID],0))="","",INDEX(tbl_Finance[Latest Invoice Date],MATCH($AU98,tbl_Finance[Row ID],0))),""))</f>
        <v/>
      </c>
      <c r="B98" s="10">
        <f>IF($C98="","",IFERROR(INDEX(tbl_Finance[Invoice Numbers],MATCH($AU98,tbl_Finance[Row ID],0))&amp;"",""))</f>
        <v/>
      </c>
      <c r="C98" s="37" t="n"/>
      <c r="D98" s="10">
        <f>IF($C98="","",IF(COUNTIF(lst_Jobs,$C98&amp;"")&gt;0,"OK","CHECK"))</f>
        <v/>
      </c>
      <c r="E98" s="10">
        <f>IF($C98="","",IFERROR(INDEX(lst_JobName,MATCH($C98&amp;"",lst_Jobs,0)),""))</f>
        <v/>
      </c>
      <c r="F98" s="37" t="n"/>
      <c r="G98" s="37" t="n"/>
      <c r="H98" s="37" t="n"/>
      <c r="I98" s="37" t="n"/>
      <c r="J98" s="37" t="n"/>
      <c r="K98" s="38">
        <f>IF($C98="","",IFERROR(N(INDEX(tbl_Finance[Invoice Count],MATCH($AU98,tbl_Finance[Row ID],0))),""))</f>
        <v/>
      </c>
      <c r="L98" s="11">
        <f>IF($C98="","",IFERROR(N(INDEX(tbl_Finance[Xero Invoiced Ex GST],MATCH($AU98,tbl_Finance[Row ID],0))),""))</f>
        <v/>
      </c>
      <c r="M98" s="10">
        <f>IF($C98="","",IFERROR(INDEX(tbl_Finance[Compare],MATCH($AU98,tbl_Finance[Row ID],0))&amp;"",""))</f>
        <v/>
      </c>
      <c r="N98" s="11">
        <f>IF($C98="","",MAX(0,N(O98)-N(L98)))</f>
        <v/>
      </c>
      <c r="O98" s="39" t="n"/>
      <c r="P98" s="40">
        <f>IF($C98="","",IF((IF(F98="",", Client","")&amp;IF(G98="",", Description","")&amp;IF(H98="",", Cost Centre","")&amp;IF(I98="",", Invoice Type","")&amp;IF(J98="",", Tax Code","")&amp;IF(O98="",", Expected Revenue","")&amp;IF(COUNTIF(tbl_Finance[Job Number],$C98&amp;"")&gt;1,", Job number used twice",""))="","Complete","Fix: "&amp;MID(IF(F98="",", Client","")&amp;IF(G98="",", Description","")&amp;IF(H98="",", Cost Centre","")&amp;IF(I98="",", Invoice Type","")&amp;IF(J98="",", Tax Code","")&amp;IF(O98="",", Expected Revenue","")&amp;IF(COUNTIF(tbl_Finance[Job Number],$C98&amp;"")&gt;1,", Job number used twice",""),3,300)))</f>
        <v/>
      </c>
      <c r="Q98" s="10">
        <f>IF($C98="","",IF(H98="","(no cost centre)",H98&amp;" - GL "&amp;IFERROR(INDEX(lst_CCtoGL,MATCH(H98,lst_CCforGL,0)),"?")))</f>
        <v/>
      </c>
      <c r="R98" s="11">
        <f>IF($C98="","",IFERROR(N(INDEX(tbl_Finance[Inc GST],MATCH($AU98,tbl_Finance[Row ID],0))),""))</f>
        <v/>
      </c>
      <c r="S98" s="37" t="n"/>
      <c r="T98" s="37" t="n"/>
      <c r="U98" s="37" t="n"/>
      <c r="V98" s="42" t="n"/>
      <c r="W98" s="37" t="n"/>
      <c r="X98" s="10">
        <f>IF(W98="","",IF(AND(LEFT(W98,4)&lt;&gt;"http",set_RMSBase=""),"",HYPERLINK(IF(LEFT(W98,4)="http",W98,set_RMSBase&amp;W98),"Open in RMS")))</f>
        <v/>
      </c>
      <c r="Y98" s="37" t="n"/>
      <c r="Z98" s="10">
        <f>IF(Y98="","",HYPERLINK(IF(LEFT(Y98,4)="http",Y98,set_QwilrBase&amp;Y98),"Open quote"))</f>
        <v/>
      </c>
      <c r="AA98" s="10">
        <f>IF(C98="","",C98)</f>
        <v/>
      </c>
      <c r="AB98" s="37" t="n"/>
      <c r="AC98" s="39" t="n"/>
      <c r="AD98" s="11">
        <f>IF(C98="","",N(L98)+N(AC98))</f>
        <v/>
      </c>
      <c r="AE98" s="43">
        <f>IFERROR(IF(N(AC98)=0,"",AC98/AD98),"")</f>
        <v/>
      </c>
      <c r="AF98" s="39" t="n"/>
      <c r="AG98" s="39" t="n"/>
      <c r="AH98" s="39" t="n"/>
      <c r="AI98" s="39" t="n"/>
      <c r="AJ98" s="11">
        <f>IF(C98="","",IF(H98="VIDEO",N(L98),0))</f>
        <v/>
      </c>
      <c r="AK98" s="43">
        <f>IFERROR(IF(N(L98)=0,"",AJ98/L98),"")</f>
        <v/>
      </c>
      <c r="AL98" s="11">
        <f>IF(C98="","",N(AF98)+N(AG98)+N(AH98)+N(AI98))</f>
        <v/>
      </c>
      <c r="AM98" s="11">
        <f>IF(C98="","",MAX(N(L98),N(O98))-N(AL98))</f>
        <v/>
      </c>
      <c r="AN98" s="43">
        <f>IFERROR(IF(MAX(N(L98),N(O98))=0,"",AM98/MAX(N(L98),N(O98))),"")</f>
        <v/>
      </c>
      <c r="AO98" s="41" t="n"/>
      <c r="AP98" s="41" t="n"/>
      <c r="AQ98" s="41" t="n"/>
      <c r="AR98" s="41" t="n"/>
      <c r="AS98" s="41" t="n"/>
      <c r="AT98" s="37" t="n"/>
      <c r="AU98" s="10" t="inlineStr">
        <is>
          <t>PRD-0094</t>
        </is>
      </c>
    </row>
    <row r="99">
      <c r="A99" s="16">
        <f>IF($C99="","",IFERROR(IF(INDEX(tbl_Finance[Latest Invoice Date],MATCH($AU99,tbl_Finance[Row ID],0))="","",INDEX(tbl_Finance[Latest Invoice Date],MATCH($AU99,tbl_Finance[Row ID],0))),""))</f>
        <v/>
      </c>
      <c r="B99" s="10">
        <f>IF($C99="","",IFERROR(INDEX(tbl_Finance[Invoice Numbers],MATCH($AU99,tbl_Finance[Row ID],0))&amp;"",""))</f>
        <v/>
      </c>
      <c r="C99" s="37" t="n"/>
      <c r="D99" s="10">
        <f>IF($C99="","",IF(COUNTIF(lst_Jobs,$C99&amp;"")&gt;0,"OK","CHECK"))</f>
        <v/>
      </c>
      <c r="E99" s="10">
        <f>IF($C99="","",IFERROR(INDEX(lst_JobName,MATCH($C99&amp;"",lst_Jobs,0)),""))</f>
        <v/>
      </c>
      <c r="F99" s="37" t="n"/>
      <c r="G99" s="37" t="n"/>
      <c r="H99" s="37" t="n"/>
      <c r="I99" s="37" t="n"/>
      <c r="J99" s="37" t="n"/>
      <c r="K99" s="38">
        <f>IF($C99="","",IFERROR(N(INDEX(tbl_Finance[Invoice Count],MATCH($AU99,tbl_Finance[Row ID],0))),""))</f>
        <v/>
      </c>
      <c r="L99" s="11">
        <f>IF($C99="","",IFERROR(N(INDEX(tbl_Finance[Xero Invoiced Ex GST],MATCH($AU99,tbl_Finance[Row ID],0))),""))</f>
        <v/>
      </c>
      <c r="M99" s="10">
        <f>IF($C99="","",IFERROR(INDEX(tbl_Finance[Compare],MATCH($AU99,tbl_Finance[Row ID],0))&amp;"",""))</f>
        <v/>
      </c>
      <c r="N99" s="11">
        <f>IF($C99="","",MAX(0,N(O99)-N(L99)))</f>
        <v/>
      </c>
      <c r="O99" s="39" t="n"/>
      <c r="P99" s="40">
        <f>IF($C99="","",IF((IF(F99="",", Client","")&amp;IF(G99="",", Description","")&amp;IF(H99="",", Cost Centre","")&amp;IF(I99="",", Invoice Type","")&amp;IF(J99="",", Tax Code","")&amp;IF(O99="",", Expected Revenue","")&amp;IF(COUNTIF(tbl_Finance[Job Number],$C99&amp;"")&gt;1,", Job number used twice",""))="","Complete","Fix: "&amp;MID(IF(F99="",", Client","")&amp;IF(G99="",", Description","")&amp;IF(H99="",", Cost Centre","")&amp;IF(I99="",", Invoice Type","")&amp;IF(J99="",", Tax Code","")&amp;IF(O99="",", Expected Revenue","")&amp;IF(COUNTIF(tbl_Finance[Job Number],$C99&amp;"")&gt;1,", Job number used twice",""),3,300)))</f>
        <v/>
      </c>
      <c r="Q99" s="10">
        <f>IF($C99="","",IF(H99="","(no cost centre)",H99&amp;" - GL "&amp;IFERROR(INDEX(lst_CCtoGL,MATCH(H99,lst_CCforGL,0)),"?")))</f>
        <v/>
      </c>
      <c r="R99" s="11">
        <f>IF($C99="","",IFERROR(N(INDEX(tbl_Finance[Inc GST],MATCH($AU99,tbl_Finance[Row ID],0))),""))</f>
        <v/>
      </c>
      <c r="S99" s="37" t="n"/>
      <c r="T99" s="37" t="n"/>
      <c r="U99" s="37" t="n"/>
      <c r="V99" s="42" t="n"/>
      <c r="W99" s="37" t="n"/>
      <c r="X99" s="10">
        <f>IF(W99="","",IF(AND(LEFT(W99,4)&lt;&gt;"http",set_RMSBase=""),"",HYPERLINK(IF(LEFT(W99,4)="http",W99,set_RMSBase&amp;W99),"Open in RMS")))</f>
        <v/>
      </c>
      <c r="Y99" s="37" t="n"/>
      <c r="Z99" s="10">
        <f>IF(Y99="","",HYPERLINK(IF(LEFT(Y99,4)="http",Y99,set_QwilrBase&amp;Y99),"Open quote"))</f>
        <v/>
      </c>
      <c r="AA99" s="10">
        <f>IF(C99="","",C99)</f>
        <v/>
      </c>
      <c r="AB99" s="37" t="n"/>
      <c r="AC99" s="39" t="n"/>
      <c r="AD99" s="11">
        <f>IF(C99="","",N(L99)+N(AC99))</f>
        <v/>
      </c>
      <c r="AE99" s="43">
        <f>IFERROR(IF(N(AC99)=0,"",AC99/AD99),"")</f>
        <v/>
      </c>
      <c r="AF99" s="39" t="n"/>
      <c r="AG99" s="39" t="n"/>
      <c r="AH99" s="39" t="n"/>
      <c r="AI99" s="39" t="n"/>
      <c r="AJ99" s="11">
        <f>IF(C99="","",IF(H99="VIDEO",N(L99),0))</f>
        <v/>
      </c>
      <c r="AK99" s="43">
        <f>IFERROR(IF(N(L99)=0,"",AJ99/L99),"")</f>
        <v/>
      </c>
      <c r="AL99" s="11">
        <f>IF(C99="","",N(AF99)+N(AG99)+N(AH99)+N(AI99))</f>
        <v/>
      </c>
      <c r="AM99" s="11">
        <f>IF(C99="","",MAX(N(L99),N(O99))-N(AL99))</f>
        <v/>
      </c>
      <c r="AN99" s="43">
        <f>IFERROR(IF(MAX(N(L99),N(O99))=0,"",AM99/MAX(N(L99),N(O99))),"")</f>
        <v/>
      </c>
      <c r="AO99" s="41" t="n"/>
      <c r="AP99" s="41" t="n"/>
      <c r="AQ99" s="41" t="n"/>
      <c r="AR99" s="41" t="n"/>
      <c r="AS99" s="41" t="n"/>
      <c r="AT99" s="37" t="n"/>
      <c r="AU99" s="10" t="inlineStr">
        <is>
          <t>PRD-0095</t>
        </is>
      </c>
    </row>
    <row r="100">
      <c r="A100" s="16">
        <f>IF($C100="","",IFERROR(IF(INDEX(tbl_Finance[Latest Invoice Date],MATCH($AU100,tbl_Finance[Row ID],0))="","",INDEX(tbl_Finance[Latest Invoice Date],MATCH($AU100,tbl_Finance[Row ID],0))),""))</f>
        <v/>
      </c>
      <c r="B100" s="10">
        <f>IF($C100="","",IFERROR(INDEX(tbl_Finance[Invoice Numbers],MATCH($AU100,tbl_Finance[Row ID],0))&amp;"",""))</f>
        <v/>
      </c>
      <c r="C100" s="37" t="n"/>
      <c r="D100" s="10">
        <f>IF($C100="","",IF(COUNTIF(lst_Jobs,$C100&amp;"")&gt;0,"OK","CHECK"))</f>
        <v/>
      </c>
      <c r="E100" s="10">
        <f>IF($C100="","",IFERROR(INDEX(lst_JobName,MATCH($C100&amp;"",lst_Jobs,0)),""))</f>
        <v/>
      </c>
      <c r="F100" s="37" t="n"/>
      <c r="G100" s="37" t="n"/>
      <c r="H100" s="37" t="n"/>
      <c r="I100" s="37" t="n"/>
      <c r="J100" s="37" t="n"/>
      <c r="K100" s="38">
        <f>IF($C100="","",IFERROR(N(INDEX(tbl_Finance[Invoice Count],MATCH($AU100,tbl_Finance[Row ID],0))),""))</f>
        <v/>
      </c>
      <c r="L100" s="11">
        <f>IF($C100="","",IFERROR(N(INDEX(tbl_Finance[Xero Invoiced Ex GST],MATCH($AU100,tbl_Finance[Row ID],0))),""))</f>
        <v/>
      </c>
      <c r="M100" s="10">
        <f>IF($C100="","",IFERROR(INDEX(tbl_Finance[Compare],MATCH($AU100,tbl_Finance[Row ID],0))&amp;"",""))</f>
        <v/>
      </c>
      <c r="N100" s="11">
        <f>IF($C100="","",MAX(0,N(O100)-N(L100)))</f>
        <v/>
      </c>
      <c r="O100" s="39" t="n"/>
      <c r="P100" s="40">
        <f>IF($C100="","",IF((IF(F100="",", Client","")&amp;IF(G100="",", Description","")&amp;IF(H100="",", Cost Centre","")&amp;IF(I100="",", Invoice Type","")&amp;IF(J100="",", Tax Code","")&amp;IF(O100="",", Expected Revenue","")&amp;IF(COUNTIF(tbl_Finance[Job Number],$C100&amp;"")&gt;1,", Job number used twice",""))="","Complete","Fix: "&amp;MID(IF(F100="",", Client","")&amp;IF(G100="",", Description","")&amp;IF(H100="",", Cost Centre","")&amp;IF(I100="",", Invoice Type","")&amp;IF(J100="",", Tax Code","")&amp;IF(O100="",", Expected Revenue","")&amp;IF(COUNTIF(tbl_Finance[Job Number],$C100&amp;"")&gt;1,", Job number used twice",""),3,300)))</f>
        <v/>
      </c>
      <c r="Q100" s="10">
        <f>IF($C100="","",IF(H100="","(no cost centre)",H100&amp;" - GL "&amp;IFERROR(INDEX(lst_CCtoGL,MATCH(H100,lst_CCforGL,0)),"?")))</f>
        <v/>
      </c>
      <c r="R100" s="11">
        <f>IF($C100="","",IFERROR(N(INDEX(tbl_Finance[Inc GST],MATCH($AU100,tbl_Finance[Row ID],0))),""))</f>
        <v/>
      </c>
      <c r="S100" s="37" t="n"/>
      <c r="T100" s="37" t="n"/>
      <c r="U100" s="37" t="n"/>
      <c r="V100" s="42" t="n"/>
      <c r="W100" s="37" t="n"/>
      <c r="X100" s="10">
        <f>IF(W100="","",IF(AND(LEFT(W100,4)&lt;&gt;"http",set_RMSBase=""),"",HYPERLINK(IF(LEFT(W100,4)="http",W100,set_RMSBase&amp;W100),"Open in RMS")))</f>
        <v/>
      </c>
      <c r="Y100" s="37" t="n"/>
      <c r="Z100" s="10">
        <f>IF(Y100="","",HYPERLINK(IF(LEFT(Y100,4)="http",Y100,set_QwilrBase&amp;Y100),"Open quote"))</f>
        <v/>
      </c>
      <c r="AA100" s="10">
        <f>IF(C100="","",C100)</f>
        <v/>
      </c>
      <c r="AB100" s="37" t="n"/>
      <c r="AC100" s="39" t="n"/>
      <c r="AD100" s="11">
        <f>IF(C100="","",N(L100)+N(AC100))</f>
        <v/>
      </c>
      <c r="AE100" s="43">
        <f>IFERROR(IF(N(AC100)=0,"",AC100/AD100),"")</f>
        <v/>
      </c>
      <c r="AF100" s="39" t="n"/>
      <c r="AG100" s="39" t="n"/>
      <c r="AH100" s="39" t="n"/>
      <c r="AI100" s="39" t="n"/>
      <c r="AJ100" s="11">
        <f>IF(C100="","",IF(H100="VIDEO",N(L100),0))</f>
        <v/>
      </c>
      <c r="AK100" s="43">
        <f>IFERROR(IF(N(L100)=0,"",AJ100/L100),"")</f>
        <v/>
      </c>
      <c r="AL100" s="11">
        <f>IF(C100="","",N(AF100)+N(AG100)+N(AH100)+N(AI100))</f>
        <v/>
      </c>
      <c r="AM100" s="11">
        <f>IF(C100="","",MAX(N(L100),N(O100))-N(AL100))</f>
        <v/>
      </c>
      <c r="AN100" s="43">
        <f>IFERROR(IF(MAX(N(L100),N(O100))=0,"",AM100/MAX(N(L100),N(O100))),"")</f>
        <v/>
      </c>
      <c r="AO100" s="41" t="n"/>
      <c r="AP100" s="41" t="n"/>
      <c r="AQ100" s="41" t="n"/>
      <c r="AR100" s="41" t="n"/>
      <c r="AS100" s="41" t="n"/>
      <c r="AT100" s="37" t="n"/>
      <c r="AU100" s="10" t="inlineStr">
        <is>
          <t>PRD-0096</t>
        </is>
      </c>
    </row>
    <row r="101">
      <c r="A101" s="16">
        <f>IF($C101="","",IFERROR(IF(INDEX(tbl_Finance[Latest Invoice Date],MATCH($AU101,tbl_Finance[Row ID],0))="","",INDEX(tbl_Finance[Latest Invoice Date],MATCH($AU101,tbl_Finance[Row ID],0))),""))</f>
        <v/>
      </c>
      <c r="B101" s="10">
        <f>IF($C101="","",IFERROR(INDEX(tbl_Finance[Invoice Numbers],MATCH($AU101,tbl_Finance[Row ID],0))&amp;"",""))</f>
        <v/>
      </c>
      <c r="C101" s="37" t="n"/>
      <c r="D101" s="10">
        <f>IF($C101="","",IF(COUNTIF(lst_Jobs,$C101&amp;"")&gt;0,"OK","CHECK"))</f>
        <v/>
      </c>
      <c r="E101" s="10">
        <f>IF($C101="","",IFERROR(INDEX(lst_JobName,MATCH($C101&amp;"",lst_Jobs,0)),""))</f>
        <v/>
      </c>
      <c r="F101" s="37" t="n"/>
      <c r="G101" s="37" t="n"/>
      <c r="H101" s="37" t="n"/>
      <c r="I101" s="37" t="n"/>
      <c r="J101" s="37" t="n"/>
      <c r="K101" s="38">
        <f>IF($C101="","",IFERROR(N(INDEX(tbl_Finance[Invoice Count],MATCH($AU101,tbl_Finance[Row ID],0))),""))</f>
        <v/>
      </c>
      <c r="L101" s="11">
        <f>IF($C101="","",IFERROR(N(INDEX(tbl_Finance[Xero Invoiced Ex GST],MATCH($AU101,tbl_Finance[Row ID],0))),""))</f>
        <v/>
      </c>
      <c r="M101" s="10">
        <f>IF($C101="","",IFERROR(INDEX(tbl_Finance[Compare],MATCH($AU101,tbl_Finance[Row ID],0))&amp;"",""))</f>
        <v/>
      </c>
      <c r="N101" s="11">
        <f>IF($C101="","",MAX(0,N(O101)-N(L101)))</f>
        <v/>
      </c>
      <c r="O101" s="39" t="n"/>
      <c r="P101" s="40">
        <f>IF($C101="","",IF((IF(F101="",", Client","")&amp;IF(G101="",", Description","")&amp;IF(H101="",", Cost Centre","")&amp;IF(I101="",", Invoice Type","")&amp;IF(J101="",", Tax Code","")&amp;IF(O101="",", Expected Revenue","")&amp;IF(COUNTIF(tbl_Finance[Job Number],$C101&amp;"")&gt;1,", Job number used twice",""))="","Complete","Fix: "&amp;MID(IF(F101="",", Client","")&amp;IF(G101="",", Description","")&amp;IF(H101="",", Cost Centre","")&amp;IF(I101="",", Invoice Type","")&amp;IF(J101="",", Tax Code","")&amp;IF(O101="",", Expected Revenue","")&amp;IF(COUNTIF(tbl_Finance[Job Number],$C101&amp;"")&gt;1,", Job number used twice",""),3,300)))</f>
        <v/>
      </c>
      <c r="Q101" s="10">
        <f>IF($C101="","",IF(H101="","(no cost centre)",H101&amp;" - GL "&amp;IFERROR(INDEX(lst_CCtoGL,MATCH(H101,lst_CCforGL,0)),"?")))</f>
        <v/>
      </c>
      <c r="R101" s="11">
        <f>IF($C101="","",IFERROR(N(INDEX(tbl_Finance[Inc GST],MATCH($AU101,tbl_Finance[Row ID],0))),""))</f>
        <v/>
      </c>
      <c r="S101" s="37" t="n"/>
      <c r="T101" s="37" t="n"/>
      <c r="U101" s="37" t="n"/>
      <c r="V101" s="42" t="n"/>
      <c r="W101" s="37" t="n"/>
      <c r="X101" s="10">
        <f>IF(W101="","",IF(AND(LEFT(W101,4)&lt;&gt;"http",set_RMSBase=""),"",HYPERLINK(IF(LEFT(W101,4)="http",W101,set_RMSBase&amp;W101),"Open in RMS")))</f>
        <v/>
      </c>
      <c r="Y101" s="37" t="n"/>
      <c r="Z101" s="10">
        <f>IF(Y101="","",HYPERLINK(IF(LEFT(Y101,4)="http",Y101,set_QwilrBase&amp;Y101),"Open quote"))</f>
        <v/>
      </c>
      <c r="AA101" s="10">
        <f>IF(C101="","",C101)</f>
        <v/>
      </c>
      <c r="AB101" s="37" t="n"/>
      <c r="AC101" s="39" t="n"/>
      <c r="AD101" s="11">
        <f>IF(C101="","",N(L101)+N(AC101))</f>
        <v/>
      </c>
      <c r="AE101" s="43">
        <f>IFERROR(IF(N(AC101)=0,"",AC101/AD101),"")</f>
        <v/>
      </c>
      <c r="AF101" s="39" t="n"/>
      <c r="AG101" s="39" t="n"/>
      <c r="AH101" s="39" t="n"/>
      <c r="AI101" s="39" t="n"/>
      <c r="AJ101" s="11">
        <f>IF(C101="","",IF(H101="VIDEO",N(L101),0))</f>
        <v/>
      </c>
      <c r="AK101" s="43">
        <f>IFERROR(IF(N(L101)=0,"",AJ101/L101),"")</f>
        <v/>
      </c>
      <c r="AL101" s="11">
        <f>IF(C101="","",N(AF101)+N(AG101)+N(AH101)+N(AI101))</f>
        <v/>
      </c>
      <c r="AM101" s="11">
        <f>IF(C101="","",MAX(N(L101),N(O101))-N(AL101))</f>
        <v/>
      </c>
      <c r="AN101" s="43">
        <f>IFERROR(IF(MAX(N(L101),N(O101))=0,"",AM101/MAX(N(L101),N(O101))),"")</f>
        <v/>
      </c>
      <c r="AO101" s="41" t="n"/>
      <c r="AP101" s="41" t="n"/>
      <c r="AQ101" s="41" t="n"/>
      <c r="AR101" s="41" t="n"/>
      <c r="AS101" s="41" t="n"/>
      <c r="AT101" s="37" t="n"/>
      <c r="AU101" s="10" t="inlineStr">
        <is>
          <t>PRD-0097</t>
        </is>
      </c>
    </row>
    <row r="102">
      <c r="A102" s="16">
        <f>IF($C102="","",IFERROR(IF(INDEX(tbl_Finance[Latest Invoice Date],MATCH($AU102,tbl_Finance[Row ID],0))="","",INDEX(tbl_Finance[Latest Invoice Date],MATCH($AU102,tbl_Finance[Row ID],0))),""))</f>
        <v/>
      </c>
      <c r="B102" s="10">
        <f>IF($C102="","",IFERROR(INDEX(tbl_Finance[Invoice Numbers],MATCH($AU102,tbl_Finance[Row ID],0))&amp;"",""))</f>
        <v/>
      </c>
      <c r="C102" s="37" t="n"/>
      <c r="D102" s="10">
        <f>IF($C102="","",IF(COUNTIF(lst_Jobs,$C102&amp;"")&gt;0,"OK","CHECK"))</f>
        <v/>
      </c>
      <c r="E102" s="10">
        <f>IF($C102="","",IFERROR(INDEX(lst_JobName,MATCH($C102&amp;"",lst_Jobs,0)),""))</f>
        <v/>
      </c>
      <c r="F102" s="37" t="n"/>
      <c r="G102" s="37" t="n"/>
      <c r="H102" s="37" t="n"/>
      <c r="I102" s="37" t="n"/>
      <c r="J102" s="37" t="n"/>
      <c r="K102" s="38">
        <f>IF($C102="","",IFERROR(N(INDEX(tbl_Finance[Invoice Count],MATCH($AU102,tbl_Finance[Row ID],0))),""))</f>
        <v/>
      </c>
      <c r="L102" s="11">
        <f>IF($C102="","",IFERROR(N(INDEX(tbl_Finance[Xero Invoiced Ex GST],MATCH($AU102,tbl_Finance[Row ID],0))),""))</f>
        <v/>
      </c>
      <c r="M102" s="10">
        <f>IF($C102="","",IFERROR(INDEX(tbl_Finance[Compare],MATCH($AU102,tbl_Finance[Row ID],0))&amp;"",""))</f>
        <v/>
      </c>
      <c r="N102" s="11">
        <f>IF($C102="","",MAX(0,N(O102)-N(L102)))</f>
        <v/>
      </c>
      <c r="O102" s="39" t="n"/>
      <c r="P102" s="40">
        <f>IF($C102="","",IF((IF(F102="",", Client","")&amp;IF(G102="",", Description","")&amp;IF(H102="",", Cost Centre","")&amp;IF(I102="",", Invoice Type","")&amp;IF(J102="",", Tax Code","")&amp;IF(O102="",", Expected Revenue","")&amp;IF(COUNTIF(tbl_Finance[Job Number],$C102&amp;"")&gt;1,", Job number used twice",""))="","Complete","Fix: "&amp;MID(IF(F102="",", Client","")&amp;IF(G102="",", Description","")&amp;IF(H102="",", Cost Centre","")&amp;IF(I102="",", Invoice Type","")&amp;IF(J102="",", Tax Code","")&amp;IF(O102="",", Expected Revenue","")&amp;IF(COUNTIF(tbl_Finance[Job Number],$C102&amp;"")&gt;1,", Job number used twice",""),3,300)))</f>
        <v/>
      </c>
      <c r="Q102" s="10">
        <f>IF($C102="","",IF(H102="","(no cost centre)",H102&amp;" - GL "&amp;IFERROR(INDEX(lst_CCtoGL,MATCH(H102,lst_CCforGL,0)),"?")))</f>
        <v/>
      </c>
      <c r="R102" s="11">
        <f>IF($C102="","",IFERROR(N(INDEX(tbl_Finance[Inc GST],MATCH($AU102,tbl_Finance[Row ID],0))),""))</f>
        <v/>
      </c>
      <c r="S102" s="37" t="n"/>
      <c r="T102" s="37" t="n"/>
      <c r="U102" s="37" t="n"/>
      <c r="V102" s="42" t="n"/>
      <c r="W102" s="37" t="n"/>
      <c r="X102" s="10">
        <f>IF(W102="","",IF(AND(LEFT(W102,4)&lt;&gt;"http",set_RMSBase=""),"",HYPERLINK(IF(LEFT(W102,4)="http",W102,set_RMSBase&amp;W102),"Open in RMS")))</f>
        <v/>
      </c>
      <c r="Y102" s="37" t="n"/>
      <c r="Z102" s="10">
        <f>IF(Y102="","",HYPERLINK(IF(LEFT(Y102,4)="http",Y102,set_QwilrBase&amp;Y102),"Open quote"))</f>
        <v/>
      </c>
      <c r="AA102" s="10">
        <f>IF(C102="","",C102)</f>
        <v/>
      </c>
      <c r="AB102" s="37" t="n"/>
      <c r="AC102" s="39" t="n"/>
      <c r="AD102" s="11">
        <f>IF(C102="","",N(L102)+N(AC102))</f>
        <v/>
      </c>
      <c r="AE102" s="43">
        <f>IFERROR(IF(N(AC102)=0,"",AC102/AD102),"")</f>
        <v/>
      </c>
      <c r="AF102" s="39" t="n"/>
      <c r="AG102" s="39" t="n"/>
      <c r="AH102" s="39" t="n"/>
      <c r="AI102" s="39" t="n"/>
      <c r="AJ102" s="11">
        <f>IF(C102="","",IF(H102="VIDEO",N(L102),0))</f>
        <v/>
      </c>
      <c r="AK102" s="43">
        <f>IFERROR(IF(N(L102)=0,"",AJ102/L102),"")</f>
        <v/>
      </c>
      <c r="AL102" s="11">
        <f>IF(C102="","",N(AF102)+N(AG102)+N(AH102)+N(AI102))</f>
        <v/>
      </c>
      <c r="AM102" s="11">
        <f>IF(C102="","",MAX(N(L102),N(O102))-N(AL102))</f>
        <v/>
      </c>
      <c r="AN102" s="43">
        <f>IFERROR(IF(MAX(N(L102),N(O102))=0,"",AM102/MAX(N(L102),N(O102))),"")</f>
        <v/>
      </c>
      <c r="AO102" s="41" t="n"/>
      <c r="AP102" s="41" t="n"/>
      <c r="AQ102" s="41" t="n"/>
      <c r="AR102" s="41" t="n"/>
      <c r="AS102" s="41" t="n"/>
      <c r="AT102" s="37" t="n"/>
      <c r="AU102" s="10" t="inlineStr">
        <is>
          <t>PRD-0098</t>
        </is>
      </c>
    </row>
    <row r="103">
      <c r="A103" s="16">
        <f>IF($C103="","",IFERROR(IF(INDEX(tbl_Finance[Latest Invoice Date],MATCH($AU103,tbl_Finance[Row ID],0))="","",INDEX(tbl_Finance[Latest Invoice Date],MATCH($AU103,tbl_Finance[Row ID],0))),""))</f>
        <v/>
      </c>
      <c r="B103" s="10">
        <f>IF($C103="","",IFERROR(INDEX(tbl_Finance[Invoice Numbers],MATCH($AU103,tbl_Finance[Row ID],0))&amp;"",""))</f>
        <v/>
      </c>
      <c r="C103" s="37" t="n"/>
      <c r="D103" s="10">
        <f>IF($C103="","",IF(COUNTIF(lst_Jobs,$C103&amp;"")&gt;0,"OK","CHECK"))</f>
        <v/>
      </c>
      <c r="E103" s="10">
        <f>IF($C103="","",IFERROR(INDEX(lst_JobName,MATCH($C103&amp;"",lst_Jobs,0)),""))</f>
        <v/>
      </c>
      <c r="F103" s="37" t="n"/>
      <c r="G103" s="37" t="n"/>
      <c r="H103" s="37" t="n"/>
      <c r="I103" s="37" t="n"/>
      <c r="J103" s="37" t="n"/>
      <c r="K103" s="38">
        <f>IF($C103="","",IFERROR(N(INDEX(tbl_Finance[Invoice Count],MATCH($AU103,tbl_Finance[Row ID],0))),""))</f>
        <v/>
      </c>
      <c r="L103" s="11">
        <f>IF($C103="","",IFERROR(N(INDEX(tbl_Finance[Xero Invoiced Ex GST],MATCH($AU103,tbl_Finance[Row ID],0))),""))</f>
        <v/>
      </c>
      <c r="M103" s="10">
        <f>IF($C103="","",IFERROR(INDEX(tbl_Finance[Compare],MATCH($AU103,tbl_Finance[Row ID],0))&amp;"",""))</f>
        <v/>
      </c>
      <c r="N103" s="11">
        <f>IF($C103="","",MAX(0,N(O103)-N(L103)))</f>
        <v/>
      </c>
      <c r="O103" s="39" t="n"/>
      <c r="P103" s="40">
        <f>IF($C103="","",IF((IF(F103="",", Client","")&amp;IF(G103="",", Description","")&amp;IF(H103="",", Cost Centre","")&amp;IF(I103="",", Invoice Type","")&amp;IF(J103="",", Tax Code","")&amp;IF(O103="",", Expected Revenue","")&amp;IF(COUNTIF(tbl_Finance[Job Number],$C103&amp;"")&gt;1,", Job number used twice",""))="","Complete","Fix: "&amp;MID(IF(F103="",", Client","")&amp;IF(G103="",", Description","")&amp;IF(H103="",", Cost Centre","")&amp;IF(I103="",", Invoice Type","")&amp;IF(J103="",", Tax Code","")&amp;IF(O103="",", Expected Revenue","")&amp;IF(COUNTIF(tbl_Finance[Job Number],$C103&amp;"")&gt;1,", Job number used twice",""),3,300)))</f>
        <v/>
      </c>
      <c r="Q103" s="10">
        <f>IF($C103="","",IF(H103="","(no cost centre)",H103&amp;" - GL "&amp;IFERROR(INDEX(lst_CCtoGL,MATCH(H103,lst_CCforGL,0)),"?")))</f>
        <v/>
      </c>
      <c r="R103" s="11">
        <f>IF($C103="","",IFERROR(N(INDEX(tbl_Finance[Inc GST],MATCH($AU103,tbl_Finance[Row ID],0))),""))</f>
        <v/>
      </c>
      <c r="S103" s="37" t="n"/>
      <c r="T103" s="37" t="n"/>
      <c r="U103" s="37" t="n"/>
      <c r="V103" s="42" t="n"/>
      <c r="W103" s="37" t="n"/>
      <c r="X103" s="10">
        <f>IF(W103="","",IF(AND(LEFT(W103,4)&lt;&gt;"http",set_RMSBase=""),"",HYPERLINK(IF(LEFT(W103,4)="http",W103,set_RMSBase&amp;W103),"Open in RMS")))</f>
        <v/>
      </c>
      <c r="Y103" s="37" t="n"/>
      <c r="Z103" s="10">
        <f>IF(Y103="","",HYPERLINK(IF(LEFT(Y103,4)="http",Y103,set_QwilrBase&amp;Y103),"Open quote"))</f>
        <v/>
      </c>
      <c r="AA103" s="10">
        <f>IF(C103="","",C103)</f>
        <v/>
      </c>
      <c r="AB103" s="37" t="n"/>
      <c r="AC103" s="39" t="n"/>
      <c r="AD103" s="11">
        <f>IF(C103="","",N(L103)+N(AC103))</f>
        <v/>
      </c>
      <c r="AE103" s="43">
        <f>IFERROR(IF(N(AC103)=0,"",AC103/AD103),"")</f>
        <v/>
      </c>
      <c r="AF103" s="39" t="n"/>
      <c r="AG103" s="39" t="n"/>
      <c r="AH103" s="39" t="n"/>
      <c r="AI103" s="39" t="n"/>
      <c r="AJ103" s="11">
        <f>IF(C103="","",IF(H103="VIDEO",N(L103),0))</f>
        <v/>
      </c>
      <c r="AK103" s="43">
        <f>IFERROR(IF(N(L103)=0,"",AJ103/L103),"")</f>
        <v/>
      </c>
      <c r="AL103" s="11">
        <f>IF(C103="","",N(AF103)+N(AG103)+N(AH103)+N(AI103))</f>
        <v/>
      </c>
      <c r="AM103" s="11">
        <f>IF(C103="","",MAX(N(L103),N(O103))-N(AL103))</f>
        <v/>
      </c>
      <c r="AN103" s="43">
        <f>IFERROR(IF(MAX(N(L103),N(O103))=0,"",AM103/MAX(N(L103),N(O103))),"")</f>
        <v/>
      </c>
      <c r="AO103" s="41" t="n"/>
      <c r="AP103" s="41" t="n"/>
      <c r="AQ103" s="41" t="n"/>
      <c r="AR103" s="41" t="n"/>
      <c r="AS103" s="41" t="n"/>
      <c r="AT103" s="37" t="n"/>
      <c r="AU103" s="10" t="inlineStr">
        <is>
          <t>PRD-0099</t>
        </is>
      </c>
    </row>
    <row r="104">
      <c r="A104" s="16">
        <f>IF($C104="","",IFERROR(IF(INDEX(tbl_Finance[Latest Invoice Date],MATCH($AU104,tbl_Finance[Row ID],0))="","",INDEX(tbl_Finance[Latest Invoice Date],MATCH($AU104,tbl_Finance[Row ID],0))),""))</f>
        <v/>
      </c>
      <c r="B104" s="10">
        <f>IF($C104="","",IFERROR(INDEX(tbl_Finance[Invoice Numbers],MATCH($AU104,tbl_Finance[Row ID],0))&amp;"",""))</f>
        <v/>
      </c>
      <c r="C104" s="37" t="n"/>
      <c r="D104" s="10">
        <f>IF($C104="","",IF(COUNTIF(lst_Jobs,$C104&amp;"")&gt;0,"OK","CHECK"))</f>
        <v/>
      </c>
      <c r="E104" s="10">
        <f>IF($C104="","",IFERROR(INDEX(lst_JobName,MATCH($C104&amp;"",lst_Jobs,0)),""))</f>
        <v/>
      </c>
      <c r="F104" s="37" t="n"/>
      <c r="G104" s="37" t="n"/>
      <c r="H104" s="37" t="n"/>
      <c r="I104" s="37" t="n"/>
      <c r="J104" s="37" t="n"/>
      <c r="K104" s="38">
        <f>IF($C104="","",IFERROR(N(INDEX(tbl_Finance[Invoice Count],MATCH($AU104,tbl_Finance[Row ID],0))),""))</f>
        <v/>
      </c>
      <c r="L104" s="11">
        <f>IF($C104="","",IFERROR(N(INDEX(tbl_Finance[Xero Invoiced Ex GST],MATCH($AU104,tbl_Finance[Row ID],0))),""))</f>
        <v/>
      </c>
      <c r="M104" s="10">
        <f>IF($C104="","",IFERROR(INDEX(tbl_Finance[Compare],MATCH($AU104,tbl_Finance[Row ID],0))&amp;"",""))</f>
        <v/>
      </c>
      <c r="N104" s="11">
        <f>IF($C104="","",MAX(0,N(O104)-N(L104)))</f>
        <v/>
      </c>
      <c r="O104" s="39" t="n"/>
      <c r="P104" s="40">
        <f>IF($C104="","",IF((IF(F104="",", Client","")&amp;IF(G104="",", Description","")&amp;IF(H104="",", Cost Centre","")&amp;IF(I104="",", Invoice Type","")&amp;IF(J104="",", Tax Code","")&amp;IF(O104="",", Expected Revenue","")&amp;IF(COUNTIF(tbl_Finance[Job Number],$C104&amp;"")&gt;1,", Job number used twice",""))="","Complete","Fix: "&amp;MID(IF(F104="",", Client","")&amp;IF(G104="",", Description","")&amp;IF(H104="",", Cost Centre","")&amp;IF(I104="",", Invoice Type","")&amp;IF(J104="",", Tax Code","")&amp;IF(O104="",", Expected Revenue","")&amp;IF(COUNTIF(tbl_Finance[Job Number],$C104&amp;"")&gt;1,", Job number used twice",""),3,300)))</f>
        <v/>
      </c>
      <c r="Q104" s="10">
        <f>IF($C104="","",IF(H104="","(no cost centre)",H104&amp;" - GL "&amp;IFERROR(INDEX(lst_CCtoGL,MATCH(H104,lst_CCforGL,0)),"?")))</f>
        <v/>
      </c>
      <c r="R104" s="11">
        <f>IF($C104="","",IFERROR(N(INDEX(tbl_Finance[Inc GST],MATCH($AU104,tbl_Finance[Row ID],0))),""))</f>
        <v/>
      </c>
      <c r="S104" s="37" t="n"/>
      <c r="T104" s="37" t="n"/>
      <c r="U104" s="37" t="n"/>
      <c r="V104" s="42" t="n"/>
      <c r="W104" s="37" t="n"/>
      <c r="X104" s="10">
        <f>IF(W104="","",IF(AND(LEFT(W104,4)&lt;&gt;"http",set_RMSBase=""),"",HYPERLINK(IF(LEFT(W104,4)="http",W104,set_RMSBase&amp;W104),"Open in RMS")))</f>
        <v/>
      </c>
      <c r="Y104" s="37" t="n"/>
      <c r="Z104" s="10">
        <f>IF(Y104="","",HYPERLINK(IF(LEFT(Y104,4)="http",Y104,set_QwilrBase&amp;Y104),"Open quote"))</f>
        <v/>
      </c>
      <c r="AA104" s="10">
        <f>IF(C104="","",C104)</f>
        <v/>
      </c>
      <c r="AB104" s="37" t="n"/>
      <c r="AC104" s="39" t="n"/>
      <c r="AD104" s="11">
        <f>IF(C104="","",N(L104)+N(AC104))</f>
        <v/>
      </c>
      <c r="AE104" s="43">
        <f>IFERROR(IF(N(AC104)=0,"",AC104/AD104),"")</f>
        <v/>
      </c>
      <c r="AF104" s="39" t="n"/>
      <c r="AG104" s="39" t="n"/>
      <c r="AH104" s="39" t="n"/>
      <c r="AI104" s="39" t="n"/>
      <c r="AJ104" s="11">
        <f>IF(C104="","",IF(H104="VIDEO",N(L104),0))</f>
        <v/>
      </c>
      <c r="AK104" s="43">
        <f>IFERROR(IF(N(L104)=0,"",AJ104/L104),"")</f>
        <v/>
      </c>
      <c r="AL104" s="11">
        <f>IF(C104="","",N(AF104)+N(AG104)+N(AH104)+N(AI104))</f>
        <v/>
      </c>
      <c r="AM104" s="11">
        <f>IF(C104="","",MAX(N(L104),N(O104))-N(AL104))</f>
        <v/>
      </c>
      <c r="AN104" s="43">
        <f>IFERROR(IF(MAX(N(L104),N(O104))=0,"",AM104/MAX(N(L104),N(O104))),"")</f>
        <v/>
      </c>
      <c r="AO104" s="41" t="n"/>
      <c r="AP104" s="41" t="n"/>
      <c r="AQ104" s="41" t="n"/>
      <c r="AR104" s="41" t="n"/>
      <c r="AS104" s="41" t="n"/>
      <c r="AT104" s="37" t="n"/>
      <c r="AU104" s="10" t="inlineStr">
        <is>
          <t>PRD-0100</t>
        </is>
      </c>
    </row>
    <row r="105">
      <c r="A105" s="16">
        <f>IF($C105="","",IFERROR(IF(INDEX(tbl_Finance[Latest Invoice Date],MATCH($AU105,tbl_Finance[Row ID],0))="","",INDEX(tbl_Finance[Latest Invoice Date],MATCH($AU105,tbl_Finance[Row ID],0))),""))</f>
        <v/>
      </c>
      <c r="B105" s="10">
        <f>IF($C105="","",IFERROR(INDEX(tbl_Finance[Invoice Numbers],MATCH($AU105,tbl_Finance[Row ID],0))&amp;"",""))</f>
        <v/>
      </c>
      <c r="C105" s="37" t="n"/>
      <c r="D105" s="10">
        <f>IF($C105="","",IF(COUNTIF(lst_Jobs,$C105&amp;"")&gt;0,"OK","CHECK"))</f>
        <v/>
      </c>
      <c r="E105" s="10">
        <f>IF($C105="","",IFERROR(INDEX(lst_JobName,MATCH($C105&amp;"",lst_Jobs,0)),""))</f>
        <v/>
      </c>
      <c r="F105" s="37" t="n"/>
      <c r="G105" s="37" t="n"/>
      <c r="H105" s="37" t="n"/>
      <c r="I105" s="37" t="n"/>
      <c r="J105" s="37" t="n"/>
      <c r="K105" s="38">
        <f>IF($C105="","",IFERROR(N(INDEX(tbl_Finance[Invoice Count],MATCH($AU105,tbl_Finance[Row ID],0))),""))</f>
        <v/>
      </c>
      <c r="L105" s="11">
        <f>IF($C105="","",IFERROR(N(INDEX(tbl_Finance[Xero Invoiced Ex GST],MATCH($AU105,tbl_Finance[Row ID],0))),""))</f>
        <v/>
      </c>
      <c r="M105" s="10">
        <f>IF($C105="","",IFERROR(INDEX(tbl_Finance[Compare],MATCH($AU105,tbl_Finance[Row ID],0))&amp;"",""))</f>
        <v/>
      </c>
      <c r="N105" s="11">
        <f>IF($C105="","",MAX(0,N(O105)-N(L105)))</f>
        <v/>
      </c>
      <c r="O105" s="39" t="n"/>
      <c r="P105" s="40">
        <f>IF($C105="","",IF((IF(F105="",", Client","")&amp;IF(G105="",", Description","")&amp;IF(H105="",", Cost Centre","")&amp;IF(I105="",", Invoice Type","")&amp;IF(J105="",", Tax Code","")&amp;IF(O105="",", Expected Revenue","")&amp;IF(COUNTIF(tbl_Finance[Job Number],$C105&amp;"")&gt;1,", Job number used twice",""))="","Complete","Fix: "&amp;MID(IF(F105="",", Client","")&amp;IF(G105="",", Description","")&amp;IF(H105="",", Cost Centre","")&amp;IF(I105="",", Invoice Type","")&amp;IF(J105="",", Tax Code","")&amp;IF(O105="",", Expected Revenue","")&amp;IF(COUNTIF(tbl_Finance[Job Number],$C105&amp;"")&gt;1,", Job number used twice",""),3,300)))</f>
        <v/>
      </c>
      <c r="Q105" s="10">
        <f>IF($C105="","",IF(H105="","(no cost centre)",H105&amp;" - GL "&amp;IFERROR(INDEX(lst_CCtoGL,MATCH(H105,lst_CCforGL,0)),"?")))</f>
        <v/>
      </c>
      <c r="R105" s="11">
        <f>IF($C105="","",IFERROR(N(INDEX(tbl_Finance[Inc GST],MATCH($AU105,tbl_Finance[Row ID],0))),""))</f>
        <v/>
      </c>
      <c r="S105" s="37" t="n"/>
      <c r="T105" s="37" t="n"/>
      <c r="U105" s="37" t="n"/>
      <c r="V105" s="42" t="n"/>
      <c r="W105" s="37" t="n"/>
      <c r="X105" s="10">
        <f>IF(W105="","",IF(AND(LEFT(W105,4)&lt;&gt;"http",set_RMSBase=""),"",HYPERLINK(IF(LEFT(W105,4)="http",W105,set_RMSBase&amp;W105),"Open in RMS")))</f>
        <v/>
      </c>
      <c r="Y105" s="37" t="n"/>
      <c r="Z105" s="10">
        <f>IF(Y105="","",HYPERLINK(IF(LEFT(Y105,4)="http",Y105,set_QwilrBase&amp;Y105),"Open quote"))</f>
        <v/>
      </c>
      <c r="AA105" s="10">
        <f>IF(C105="","",C105)</f>
        <v/>
      </c>
      <c r="AB105" s="37" t="n"/>
      <c r="AC105" s="39" t="n"/>
      <c r="AD105" s="11">
        <f>IF(C105="","",N(L105)+N(AC105))</f>
        <v/>
      </c>
      <c r="AE105" s="43">
        <f>IFERROR(IF(N(AC105)=0,"",AC105/AD105),"")</f>
        <v/>
      </c>
      <c r="AF105" s="39" t="n"/>
      <c r="AG105" s="39" t="n"/>
      <c r="AH105" s="39" t="n"/>
      <c r="AI105" s="39" t="n"/>
      <c r="AJ105" s="11">
        <f>IF(C105="","",IF(H105="VIDEO",N(L105),0))</f>
        <v/>
      </c>
      <c r="AK105" s="43">
        <f>IFERROR(IF(N(L105)=0,"",AJ105/L105),"")</f>
        <v/>
      </c>
      <c r="AL105" s="11">
        <f>IF(C105="","",N(AF105)+N(AG105)+N(AH105)+N(AI105))</f>
        <v/>
      </c>
      <c r="AM105" s="11">
        <f>IF(C105="","",MAX(N(L105),N(O105))-N(AL105))</f>
        <v/>
      </c>
      <c r="AN105" s="43">
        <f>IFERROR(IF(MAX(N(L105),N(O105))=0,"",AM105/MAX(N(L105),N(O105))),"")</f>
        <v/>
      </c>
      <c r="AO105" s="41" t="n"/>
      <c r="AP105" s="41" t="n"/>
      <c r="AQ105" s="41" t="n"/>
      <c r="AR105" s="41" t="n"/>
      <c r="AS105" s="41" t="n"/>
      <c r="AT105" s="37" t="n"/>
      <c r="AU105" s="10" t="inlineStr">
        <is>
          <t>PRD-0101</t>
        </is>
      </c>
    </row>
    <row r="106">
      <c r="A106" s="16">
        <f>IF($C106="","",IFERROR(IF(INDEX(tbl_Finance[Latest Invoice Date],MATCH($AU106,tbl_Finance[Row ID],0))="","",INDEX(tbl_Finance[Latest Invoice Date],MATCH($AU106,tbl_Finance[Row ID],0))),""))</f>
        <v/>
      </c>
      <c r="B106" s="10">
        <f>IF($C106="","",IFERROR(INDEX(tbl_Finance[Invoice Numbers],MATCH($AU106,tbl_Finance[Row ID],0))&amp;"",""))</f>
        <v/>
      </c>
      <c r="C106" s="37" t="n"/>
      <c r="D106" s="10">
        <f>IF($C106="","",IF(COUNTIF(lst_Jobs,$C106&amp;"")&gt;0,"OK","CHECK"))</f>
        <v/>
      </c>
      <c r="E106" s="10">
        <f>IF($C106="","",IFERROR(INDEX(lst_JobName,MATCH($C106&amp;"",lst_Jobs,0)),""))</f>
        <v/>
      </c>
      <c r="F106" s="37" t="n"/>
      <c r="G106" s="37" t="n"/>
      <c r="H106" s="37" t="n"/>
      <c r="I106" s="37" t="n"/>
      <c r="J106" s="37" t="n"/>
      <c r="K106" s="38">
        <f>IF($C106="","",IFERROR(N(INDEX(tbl_Finance[Invoice Count],MATCH($AU106,tbl_Finance[Row ID],0))),""))</f>
        <v/>
      </c>
      <c r="L106" s="11">
        <f>IF($C106="","",IFERROR(N(INDEX(tbl_Finance[Xero Invoiced Ex GST],MATCH($AU106,tbl_Finance[Row ID],0))),""))</f>
        <v/>
      </c>
      <c r="M106" s="10">
        <f>IF($C106="","",IFERROR(INDEX(tbl_Finance[Compare],MATCH($AU106,tbl_Finance[Row ID],0))&amp;"",""))</f>
        <v/>
      </c>
      <c r="N106" s="11">
        <f>IF($C106="","",MAX(0,N(O106)-N(L106)))</f>
        <v/>
      </c>
      <c r="O106" s="39" t="n"/>
      <c r="P106" s="40">
        <f>IF($C106="","",IF((IF(F106="",", Client","")&amp;IF(G106="",", Description","")&amp;IF(H106="",", Cost Centre","")&amp;IF(I106="",", Invoice Type","")&amp;IF(J106="",", Tax Code","")&amp;IF(O106="",", Expected Revenue","")&amp;IF(COUNTIF(tbl_Finance[Job Number],$C106&amp;"")&gt;1,", Job number used twice",""))="","Complete","Fix: "&amp;MID(IF(F106="",", Client","")&amp;IF(G106="",", Description","")&amp;IF(H106="",", Cost Centre","")&amp;IF(I106="",", Invoice Type","")&amp;IF(J106="",", Tax Code","")&amp;IF(O106="",", Expected Revenue","")&amp;IF(COUNTIF(tbl_Finance[Job Number],$C106&amp;"")&gt;1,", Job number used twice",""),3,300)))</f>
        <v/>
      </c>
      <c r="Q106" s="10">
        <f>IF($C106="","",IF(H106="","(no cost centre)",H106&amp;" - GL "&amp;IFERROR(INDEX(lst_CCtoGL,MATCH(H106,lst_CCforGL,0)),"?")))</f>
        <v/>
      </c>
      <c r="R106" s="11">
        <f>IF($C106="","",IFERROR(N(INDEX(tbl_Finance[Inc GST],MATCH($AU106,tbl_Finance[Row ID],0))),""))</f>
        <v/>
      </c>
      <c r="S106" s="37" t="n"/>
      <c r="T106" s="37" t="n"/>
      <c r="U106" s="37" t="n"/>
      <c r="V106" s="42" t="n"/>
      <c r="W106" s="37" t="n"/>
      <c r="X106" s="10">
        <f>IF(W106="","",IF(AND(LEFT(W106,4)&lt;&gt;"http",set_RMSBase=""),"",HYPERLINK(IF(LEFT(W106,4)="http",W106,set_RMSBase&amp;W106),"Open in RMS")))</f>
        <v/>
      </c>
      <c r="Y106" s="37" t="n"/>
      <c r="Z106" s="10">
        <f>IF(Y106="","",HYPERLINK(IF(LEFT(Y106,4)="http",Y106,set_QwilrBase&amp;Y106),"Open quote"))</f>
        <v/>
      </c>
      <c r="AA106" s="10">
        <f>IF(C106="","",C106)</f>
        <v/>
      </c>
      <c r="AB106" s="37" t="n"/>
      <c r="AC106" s="39" t="n"/>
      <c r="AD106" s="11">
        <f>IF(C106="","",N(L106)+N(AC106))</f>
        <v/>
      </c>
      <c r="AE106" s="43">
        <f>IFERROR(IF(N(AC106)=0,"",AC106/AD106),"")</f>
        <v/>
      </c>
      <c r="AF106" s="39" t="n"/>
      <c r="AG106" s="39" t="n"/>
      <c r="AH106" s="39" t="n"/>
      <c r="AI106" s="39" t="n"/>
      <c r="AJ106" s="11">
        <f>IF(C106="","",IF(H106="VIDEO",N(L106),0))</f>
        <v/>
      </c>
      <c r="AK106" s="43">
        <f>IFERROR(IF(N(L106)=0,"",AJ106/L106),"")</f>
        <v/>
      </c>
      <c r="AL106" s="11">
        <f>IF(C106="","",N(AF106)+N(AG106)+N(AH106)+N(AI106))</f>
        <v/>
      </c>
      <c r="AM106" s="11">
        <f>IF(C106="","",MAX(N(L106),N(O106))-N(AL106))</f>
        <v/>
      </c>
      <c r="AN106" s="43">
        <f>IFERROR(IF(MAX(N(L106),N(O106))=0,"",AM106/MAX(N(L106),N(O106))),"")</f>
        <v/>
      </c>
      <c r="AO106" s="41" t="n"/>
      <c r="AP106" s="41" t="n"/>
      <c r="AQ106" s="41" t="n"/>
      <c r="AR106" s="41" t="n"/>
      <c r="AS106" s="41" t="n"/>
      <c r="AT106" s="37" t="n"/>
      <c r="AU106" s="10" t="inlineStr">
        <is>
          <t>PRD-0102</t>
        </is>
      </c>
    </row>
    <row r="107">
      <c r="A107" s="16">
        <f>IF($C107="","",IFERROR(IF(INDEX(tbl_Finance[Latest Invoice Date],MATCH($AU107,tbl_Finance[Row ID],0))="","",INDEX(tbl_Finance[Latest Invoice Date],MATCH($AU107,tbl_Finance[Row ID],0))),""))</f>
        <v/>
      </c>
      <c r="B107" s="10">
        <f>IF($C107="","",IFERROR(INDEX(tbl_Finance[Invoice Numbers],MATCH($AU107,tbl_Finance[Row ID],0))&amp;"",""))</f>
        <v/>
      </c>
      <c r="C107" s="37" t="n"/>
      <c r="D107" s="10">
        <f>IF($C107="","",IF(COUNTIF(lst_Jobs,$C107&amp;"")&gt;0,"OK","CHECK"))</f>
        <v/>
      </c>
      <c r="E107" s="10">
        <f>IF($C107="","",IFERROR(INDEX(lst_JobName,MATCH($C107&amp;"",lst_Jobs,0)),""))</f>
        <v/>
      </c>
      <c r="F107" s="37" t="n"/>
      <c r="G107" s="37" t="n"/>
      <c r="H107" s="37" t="n"/>
      <c r="I107" s="37" t="n"/>
      <c r="J107" s="37" t="n"/>
      <c r="K107" s="38">
        <f>IF($C107="","",IFERROR(N(INDEX(tbl_Finance[Invoice Count],MATCH($AU107,tbl_Finance[Row ID],0))),""))</f>
        <v/>
      </c>
      <c r="L107" s="11">
        <f>IF($C107="","",IFERROR(N(INDEX(tbl_Finance[Xero Invoiced Ex GST],MATCH($AU107,tbl_Finance[Row ID],0))),""))</f>
        <v/>
      </c>
      <c r="M107" s="10">
        <f>IF($C107="","",IFERROR(INDEX(tbl_Finance[Compare],MATCH($AU107,tbl_Finance[Row ID],0))&amp;"",""))</f>
        <v/>
      </c>
      <c r="N107" s="11">
        <f>IF($C107="","",MAX(0,N(O107)-N(L107)))</f>
        <v/>
      </c>
      <c r="O107" s="39" t="n"/>
      <c r="P107" s="40">
        <f>IF($C107="","",IF((IF(F107="",", Client","")&amp;IF(G107="",", Description","")&amp;IF(H107="",", Cost Centre","")&amp;IF(I107="",", Invoice Type","")&amp;IF(J107="",", Tax Code","")&amp;IF(O107="",", Expected Revenue","")&amp;IF(COUNTIF(tbl_Finance[Job Number],$C107&amp;"")&gt;1,", Job number used twice",""))="","Complete","Fix: "&amp;MID(IF(F107="",", Client","")&amp;IF(G107="",", Description","")&amp;IF(H107="",", Cost Centre","")&amp;IF(I107="",", Invoice Type","")&amp;IF(J107="",", Tax Code","")&amp;IF(O107="",", Expected Revenue","")&amp;IF(COUNTIF(tbl_Finance[Job Number],$C107&amp;"")&gt;1,", Job number used twice",""),3,300)))</f>
        <v/>
      </c>
      <c r="Q107" s="10">
        <f>IF($C107="","",IF(H107="","(no cost centre)",H107&amp;" - GL "&amp;IFERROR(INDEX(lst_CCtoGL,MATCH(H107,lst_CCforGL,0)),"?")))</f>
        <v/>
      </c>
      <c r="R107" s="11">
        <f>IF($C107="","",IFERROR(N(INDEX(tbl_Finance[Inc GST],MATCH($AU107,tbl_Finance[Row ID],0))),""))</f>
        <v/>
      </c>
      <c r="S107" s="37" t="n"/>
      <c r="T107" s="37" t="n"/>
      <c r="U107" s="37" t="n"/>
      <c r="V107" s="42" t="n"/>
      <c r="W107" s="37" t="n"/>
      <c r="X107" s="10">
        <f>IF(W107="","",IF(AND(LEFT(W107,4)&lt;&gt;"http",set_RMSBase=""),"",HYPERLINK(IF(LEFT(W107,4)="http",W107,set_RMSBase&amp;W107),"Open in RMS")))</f>
        <v/>
      </c>
      <c r="Y107" s="37" t="n"/>
      <c r="Z107" s="10">
        <f>IF(Y107="","",HYPERLINK(IF(LEFT(Y107,4)="http",Y107,set_QwilrBase&amp;Y107),"Open quote"))</f>
        <v/>
      </c>
      <c r="AA107" s="10">
        <f>IF(C107="","",C107)</f>
        <v/>
      </c>
      <c r="AB107" s="37" t="n"/>
      <c r="AC107" s="39" t="n"/>
      <c r="AD107" s="11">
        <f>IF(C107="","",N(L107)+N(AC107))</f>
        <v/>
      </c>
      <c r="AE107" s="43">
        <f>IFERROR(IF(N(AC107)=0,"",AC107/AD107),"")</f>
        <v/>
      </c>
      <c r="AF107" s="39" t="n"/>
      <c r="AG107" s="39" t="n"/>
      <c r="AH107" s="39" t="n"/>
      <c r="AI107" s="39" t="n"/>
      <c r="AJ107" s="11">
        <f>IF(C107="","",IF(H107="VIDEO",N(L107),0))</f>
        <v/>
      </c>
      <c r="AK107" s="43">
        <f>IFERROR(IF(N(L107)=0,"",AJ107/L107),"")</f>
        <v/>
      </c>
      <c r="AL107" s="11">
        <f>IF(C107="","",N(AF107)+N(AG107)+N(AH107)+N(AI107))</f>
        <v/>
      </c>
      <c r="AM107" s="11">
        <f>IF(C107="","",MAX(N(L107),N(O107))-N(AL107))</f>
        <v/>
      </c>
      <c r="AN107" s="43">
        <f>IFERROR(IF(MAX(N(L107),N(O107))=0,"",AM107/MAX(N(L107),N(O107))),"")</f>
        <v/>
      </c>
      <c r="AO107" s="41" t="n"/>
      <c r="AP107" s="41" t="n"/>
      <c r="AQ107" s="41" t="n"/>
      <c r="AR107" s="41" t="n"/>
      <c r="AS107" s="41" t="n"/>
      <c r="AT107" s="37" t="n"/>
      <c r="AU107" s="10" t="inlineStr">
        <is>
          <t>PRD-0103</t>
        </is>
      </c>
    </row>
    <row r="108">
      <c r="A108" s="16">
        <f>IF($C108="","",IFERROR(IF(INDEX(tbl_Finance[Latest Invoice Date],MATCH($AU108,tbl_Finance[Row ID],0))="","",INDEX(tbl_Finance[Latest Invoice Date],MATCH($AU108,tbl_Finance[Row ID],0))),""))</f>
        <v/>
      </c>
      <c r="B108" s="10">
        <f>IF($C108="","",IFERROR(INDEX(tbl_Finance[Invoice Numbers],MATCH($AU108,tbl_Finance[Row ID],0))&amp;"",""))</f>
        <v/>
      </c>
      <c r="C108" s="37" t="n"/>
      <c r="D108" s="10">
        <f>IF($C108="","",IF(COUNTIF(lst_Jobs,$C108&amp;"")&gt;0,"OK","CHECK"))</f>
        <v/>
      </c>
      <c r="E108" s="10">
        <f>IF($C108="","",IFERROR(INDEX(lst_JobName,MATCH($C108&amp;"",lst_Jobs,0)),""))</f>
        <v/>
      </c>
      <c r="F108" s="37" t="n"/>
      <c r="G108" s="37" t="n"/>
      <c r="H108" s="37" t="n"/>
      <c r="I108" s="37" t="n"/>
      <c r="J108" s="37" t="n"/>
      <c r="K108" s="38">
        <f>IF($C108="","",IFERROR(N(INDEX(tbl_Finance[Invoice Count],MATCH($AU108,tbl_Finance[Row ID],0))),""))</f>
        <v/>
      </c>
      <c r="L108" s="11">
        <f>IF($C108="","",IFERROR(N(INDEX(tbl_Finance[Xero Invoiced Ex GST],MATCH($AU108,tbl_Finance[Row ID],0))),""))</f>
        <v/>
      </c>
      <c r="M108" s="10">
        <f>IF($C108="","",IFERROR(INDEX(tbl_Finance[Compare],MATCH($AU108,tbl_Finance[Row ID],0))&amp;"",""))</f>
        <v/>
      </c>
      <c r="N108" s="11">
        <f>IF($C108="","",MAX(0,N(O108)-N(L108)))</f>
        <v/>
      </c>
      <c r="O108" s="39" t="n"/>
      <c r="P108" s="40">
        <f>IF($C108="","",IF((IF(F108="",", Client","")&amp;IF(G108="",", Description","")&amp;IF(H108="",", Cost Centre","")&amp;IF(I108="",", Invoice Type","")&amp;IF(J108="",", Tax Code","")&amp;IF(O108="",", Expected Revenue","")&amp;IF(COUNTIF(tbl_Finance[Job Number],$C108&amp;"")&gt;1,", Job number used twice",""))="","Complete","Fix: "&amp;MID(IF(F108="",", Client","")&amp;IF(G108="",", Description","")&amp;IF(H108="",", Cost Centre","")&amp;IF(I108="",", Invoice Type","")&amp;IF(J108="",", Tax Code","")&amp;IF(O108="",", Expected Revenue","")&amp;IF(COUNTIF(tbl_Finance[Job Number],$C108&amp;"")&gt;1,", Job number used twice",""),3,300)))</f>
        <v/>
      </c>
      <c r="Q108" s="10">
        <f>IF($C108="","",IF(H108="","(no cost centre)",H108&amp;" - GL "&amp;IFERROR(INDEX(lst_CCtoGL,MATCH(H108,lst_CCforGL,0)),"?")))</f>
        <v/>
      </c>
      <c r="R108" s="11">
        <f>IF($C108="","",IFERROR(N(INDEX(tbl_Finance[Inc GST],MATCH($AU108,tbl_Finance[Row ID],0))),""))</f>
        <v/>
      </c>
      <c r="S108" s="37" t="n"/>
      <c r="T108" s="37" t="n"/>
      <c r="U108" s="37" t="n"/>
      <c r="V108" s="42" t="n"/>
      <c r="W108" s="37" t="n"/>
      <c r="X108" s="10">
        <f>IF(W108="","",IF(AND(LEFT(W108,4)&lt;&gt;"http",set_RMSBase=""),"",HYPERLINK(IF(LEFT(W108,4)="http",W108,set_RMSBase&amp;W108),"Open in RMS")))</f>
        <v/>
      </c>
      <c r="Y108" s="37" t="n"/>
      <c r="Z108" s="10">
        <f>IF(Y108="","",HYPERLINK(IF(LEFT(Y108,4)="http",Y108,set_QwilrBase&amp;Y108),"Open quote"))</f>
        <v/>
      </c>
      <c r="AA108" s="10">
        <f>IF(C108="","",C108)</f>
        <v/>
      </c>
      <c r="AB108" s="37" t="n"/>
      <c r="AC108" s="39" t="n"/>
      <c r="AD108" s="11">
        <f>IF(C108="","",N(L108)+N(AC108))</f>
        <v/>
      </c>
      <c r="AE108" s="43">
        <f>IFERROR(IF(N(AC108)=0,"",AC108/AD108),"")</f>
        <v/>
      </c>
      <c r="AF108" s="39" t="n"/>
      <c r="AG108" s="39" t="n"/>
      <c r="AH108" s="39" t="n"/>
      <c r="AI108" s="39" t="n"/>
      <c r="AJ108" s="11">
        <f>IF(C108="","",IF(H108="VIDEO",N(L108),0))</f>
        <v/>
      </c>
      <c r="AK108" s="43">
        <f>IFERROR(IF(N(L108)=0,"",AJ108/L108),"")</f>
        <v/>
      </c>
      <c r="AL108" s="11">
        <f>IF(C108="","",N(AF108)+N(AG108)+N(AH108)+N(AI108))</f>
        <v/>
      </c>
      <c r="AM108" s="11">
        <f>IF(C108="","",MAX(N(L108),N(O108))-N(AL108))</f>
        <v/>
      </c>
      <c r="AN108" s="43">
        <f>IFERROR(IF(MAX(N(L108),N(O108))=0,"",AM108/MAX(N(L108),N(O108))),"")</f>
        <v/>
      </c>
      <c r="AO108" s="41" t="n"/>
      <c r="AP108" s="41" t="n"/>
      <c r="AQ108" s="41" t="n"/>
      <c r="AR108" s="41" t="n"/>
      <c r="AS108" s="41" t="n"/>
      <c r="AT108" s="37" t="n"/>
      <c r="AU108" s="10" t="inlineStr">
        <is>
          <t>PRD-0104</t>
        </is>
      </c>
    </row>
    <row r="109">
      <c r="A109" s="16">
        <f>IF($C109="","",IFERROR(IF(INDEX(tbl_Finance[Latest Invoice Date],MATCH($AU109,tbl_Finance[Row ID],0))="","",INDEX(tbl_Finance[Latest Invoice Date],MATCH($AU109,tbl_Finance[Row ID],0))),""))</f>
        <v/>
      </c>
      <c r="B109" s="10">
        <f>IF($C109="","",IFERROR(INDEX(tbl_Finance[Invoice Numbers],MATCH($AU109,tbl_Finance[Row ID],0))&amp;"",""))</f>
        <v/>
      </c>
      <c r="C109" s="37" t="n"/>
      <c r="D109" s="10">
        <f>IF($C109="","",IF(COUNTIF(lst_Jobs,$C109&amp;"")&gt;0,"OK","CHECK"))</f>
        <v/>
      </c>
      <c r="E109" s="10">
        <f>IF($C109="","",IFERROR(INDEX(lst_JobName,MATCH($C109&amp;"",lst_Jobs,0)),""))</f>
        <v/>
      </c>
      <c r="F109" s="37" t="n"/>
      <c r="G109" s="37" t="n"/>
      <c r="H109" s="37" t="n"/>
      <c r="I109" s="37" t="n"/>
      <c r="J109" s="37" t="n"/>
      <c r="K109" s="38">
        <f>IF($C109="","",IFERROR(N(INDEX(tbl_Finance[Invoice Count],MATCH($AU109,tbl_Finance[Row ID],0))),""))</f>
        <v/>
      </c>
      <c r="L109" s="11">
        <f>IF($C109="","",IFERROR(N(INDEX(tbl_Finance[Xero Invoiced Ex GST],MATCH($AU109,tbl_Finance[Row ID],0))),""))</f>
        <v/>
      </c>
      <c r="M109" s="10">
        <f>IF($C109="","",IFERROR(INDEX(tbl_Finance[Compare],MATCH($AU109,tbl_Finance[Row ID],0))&amp;"",""))</f>
        <v/>
      </c>
      <c r="N109" s="11">
        <f>IF($C109="","",MAX(0,N(O109)-N(L109)))</f>
        <v/>
      </c>
      <c r="O109" s="39" t="n"/>
      <c r="P109" s="40">
        <f>IF($C109="","",IF((IF(F109="",", Client","")&amp;IF(G109="",", Description","")&amp;IF(H109="",", Cost Centre","")&amp;IF(I109="",", Invoice Type","")&amp;IF(J109="",", Tax Code","")&amp;IF(O109="",", Expected Revenue","")&amp;IF(COUNTIF(tbl_Finance[Job Number],$C109&amp;"")&gt;1,", Job number used twice",""))="","Complete","Fix: "&amp;MID(IF(F109="",", Client","")&amp;IF(G109="",", Description","")&amp;IF(H109="",", Cost Centre","")&amp;IF(I109="",", Invoice Type","")&amp;IF(J109="",", Tax Code","")&amp;IF(O109="",", Expected Revenue","")&amp;IF(COUNTIF(tbl_Finance[Job Number],$C109&amp;"")&gt;1,", Job number used twice",""),3,300)))</f>
        <v/>
      </c>
      <c r="Q109" s="10">
        <f>IF($C109="","",IF(H109="","(no cost centre)",H109&amp;" - GL "&amp;IFERROR(INDEX(lst_CCtoGL,MATCH(H109,lst_CCforGL,0)),"?")))</f>
        <v/>
      </c>
      <c r="R109" s="11">
        <f>IF($C109="","",IFERROR(N(INDEX(tbl_Finance[Inc GST],MATCH($AU109,tbl_Finance[Row ID],0))),""))</f>
        <v/>
      </c>
      <c r="S109" s="37" t="n"/>
      <c r="T109" s="37" t="n"/>
      <c r="U109" s="37" t="n"/>
      <c r="V109" s="42" t="n"/>
      <c r="W109" s="37" t="n"/>
      <c r="X109" s="10">
        <f>IF(W109="","",IF(AND(LEFT(W109,4)&lt;&gt;"http",set_RMSBase=""),"",HYPERLINK(IF(LEFT(W109,4)="http",W109,set_RMSBase&amp;W109),"Open in RMS")))</f>
        <v/>
      </c>
      <c r="Y109" s="37" t="n"/>
      <c r="Z109" s="10">
        <f>IF(Y109="","",HYPERLINK(IF(LEFT(Y109,4)="http",Y109,set_QwilrBase&amp;Y109),"Open quote"))</f>
        <v/>
      </c>
      <c r="AA109" s="10">
        <f>IF(C109="","",C109)</f>
        <v/>
      </c>
      <c r="AB109" s="37" t="n"/>
      <c r="AC109" s="39" t="n"/>
      <c r="AD109" s="11">
        <f>IF(C109="","",N(L109)+N(AC109))</f>
        <v/>
      </c>
      <c r="AE109" s="43">
        <f>IFERROR(IF(N(AC109)=0,"",AC109/AD109),"")</f>
        <v/>
      </c>
      <c r="AF109" s="39" t="n"/>
      <c r="AG109" s="39" t="n"/>
      <c r="AH109" s="39" t="n"/>
      <c r="AI109" s="39" t="n"/>
      <c r="AJ109" s="11">
        <f>IF(C109="","",IF(H109="VIDEO",N(L109),0))</f>
        <v/>
      </c>
      <c r="AK109" s="43">
        <f>IFERROR(IF(N(L109)=0,"",AJ109/L109),"")</f>
        <v/>
      </c>
      <c r="AL109" s="11">
        <f>IF(C109="","",N(AF109)+N(AG109)+N(AH109)+N(AI109))</f>
        <v/>
      </c>
      <c r="AM109" s="11">
        <f>IF(C109="","",MAX(N(L109),N(O109))-N(AL109))</f>
        <v/>
      </c>
      <c r="AN109" s="43">
        <f>IFERROR(IF(MAX(N(L109),N(O109))=0,"",AM109/MAX(N(L109),N(O109))),"")</f>
        <v/>
      </c>
      <c r="AO109" s="41" t="n"/>
      <c r="AP109" s="41" t="n"/>
      <c r="AQ109" s="41" t="n"/>
      <c r="AR109" s="41" t="n"/>
      <c r="AS109" s="41" t="n"/>
      <c r="AT109" s="37" t="n"/>
      <c r="AU109" s="10" t="inlineStr">
        <is>
          <t>PRD-0105</t>
        </is>
      </c>
    </row>
    <row r="110">
      <c r="A110" s="16">
        <f>IF($C110="","",IFERROR(IF(INDEX(tbl_Finance[Latest Invoice Date],MATCH($AU110,tbl_Finance[Row ID],0))="","",INDEX(tbl_Finance[Latest Invoice Date],MATCH($AU110,tbl_Finance[Row ID],0))),""))</f>
        <v/>
      </c>
      <c r="B110" s="10">
        <f>IF($C110="","",IFERROR(INDEX(tbl_Finance[Invoice Numbers],MATCH($AU110,tbl_Finance[Row ID],0))&amp;"",""))</f>
        <v/>
      </c>
      <c r="C110" s="37" t="n"/>
      <c r="D110" s="10">
        <f>IF($C110="","",IF(COUNTIF(lst_Jobs,$C110&amp;"")&gt;0,"OK","CHECK"))</f>
        <v/>
      </c>
      <c r="E110" s="10">
        <f>IF($C110="","",IFERROR(INDEX(lst_JobName,MATCH($C110&amp;"",lst_Jobs,0)),""))</f>
        <v/>
      </c>
      <c r="F110" s="37" t="n"/>
      <c r="G110" s="37" t="n"/>
      <c r="H110" s="37" t="n"/>
      <c r="I110" s="37" t="n"/>
      <c r="J110" s="37" t="n"/>
      <c r="K110" s="38">
        <f>IF($C110="","",IFERROR(N(INDEX(tbl_Finance[Invoice Count],MATCH($AU110,tbl_Finance[Row ID],0))),""))</f>
        <v/>
      </c>
      <c r="L110" s="11">
        <f>IF($C110="","",IFERROR(N(INDEX(tbl_Finance[Xero Invoiced Ex GST],MATCH($AU110,tbl_Finance[Row ID],0))),""))</f>
        <v/>
      </c>
      <c r="M110" s="10">
        <f>IF($C110="","",IFERROR(INDEX(tbl_Finance[Compare],MATCH($AU110,tbl_Finance[Row ID],0))&amp;"",""))</f>
        <v/>
      </c>
      <c r="N110" s="11">
        <f>IF($C110="","",MAX(0,N(O110)-N(L110)))</f>
        <v/>
      </c>
      <c r="O110" s="39" t="n"/>
      <c r="P110" s="40">
        <f>IF($C110="","",IF((IF(F110="",", Client","")&amp;IF(G110="",", Description","")&amp;IF(H110="",", Cost Centre","")&amp;IF(I110="",", Invoice Type","")&amp;IF(J110="",", Tax Code","")&amp;IF(O110="",", Expected Revenue","")&amp;IF(COUNTIF(tbl_Finance[Job Number],$C110&amp;"")&gt;1,", Job number used twice",""))="","Complete","Fix: "&amp;MID(IF(F110="",", Client","")&amp;IF(G110="",", Description","")&amp;IF(H110="",", Cost Centre","")&amp;IF(I110="",", Invoice Type","")&amp;IF(J110="",", Tax Code","")&amp;IF(O110="",", Expected Revenue","")&amp;IF(COUNTIF(tbl_Finance[Job Number],$C110&amp;"")&gt;1,", Job number used twice",""),3,300)))</f>
        <v/>
      </c>
      <c r="Q110" s="10">
        <f>IF($C110="","",IF(H110="","(no cost centre)",H110&amp;" - GL "&amp;IFERROR(INDEX(lst_CCtoGL,MATCH(H110,lst_CCforGL,0)),"?")))</f>
        <v/>
      </c>
      <c r="R110" s="11">
        <f>IF($C110="","",IFERROR(N(INDEX(tbl_Finance[Inc GST],MATCH($AU110,tbl_Finance[Row ID],0))),""))</f>
        <v/>
      </c>
      <c r="S110" s="37" t="n"/>
      <c r="T110" s="37" t="n"/>
      <c r="U110" s="37" t="n"/>
      <c r="V110" s="42" t="n"/>
      <c r="W110" s="37" t="n"/>
      <c r="X110" s="10">
        <f>IF(W110="","",IF(AND(LEFT(W110,4)&lt;&gt;"http",set_RMSBase=""),"",HYPERLINK(IF(LEFT(W110,4)="http",W110,set_RMSBase&amp;W110),"Open in RMS")))</f>
        <v/>
      </c>
      <c r="Y110" s="37" t="n"/>
      <c r="Z110" s="10">
        <f>IF(Y110="","",HYPERLINK(IF(LEFT(Y110,4)="http",Y110,set_QwilrBase&amp;Y110),"Open quote"))</f>
        <v/>
      </c>
      <c r="AA110" s="10">
        <f>IF(C110="","",C110)</f>
        <v/>
      </c>
      <c r="AB110" s="37" t="n"/>
      <c r="AC110" s="39" t="n"/>
      <c r="AD110" s="11">
        <f>IF(C110="","",N(L110)+N(AC110))</f>
        <v/>
      </c>
      <c r="AE110" s="43">
        <f>IFERROR(IF(N(AC110)=0,"",AC110/AD110),"")</f>
        <v/>
      </c>
      <c r="AF110" s="39" t="n"/>
      <c r="AG110" s="39" t="n"/>
      <c r="AH110" s="39" t="n"/>
      <c r="AI110" s="39" t="n"/>
      <c r="AJ110" s="11">
        <f>IF(C110="","",IF(H110="VIDEO",N(L110),0))</f>
        <v/>
      </c>
      <c r="AK110" s="43">
        <f>IFERROR(IF(N(L110)=0,"",AJ110/L110),"")</f>
        <v/>
      </c>
      <c r="AL110" s="11">
        <f>IF(C110="","",N(AF110)+N(AG110)+N(AH110)+N(AI110))</f>
        <v/>
      </c>
      <c r="AM110" s="11">
        <f>IF(C110="","",MAX(N(L110),N(O110))-N(AL110))</f>
        <v/>
      </c>
      <c r="AN110" s="43">
        <f>IFERROR(IF(MAX(N(L110),N(O110))=0,"",AM110/MAX(N(L110),N(O110))),"")</f>
        <v/>
      </c>
      <c r="AO110" s="41" t="n"/>
      <c r="AP110" s="41" t="n"/>
      <c r="AQ110" s="41" t="n"/>
      <c r="AR110" s="41" t="n"/>
      <c r="AS110" s="41" t="n"/>
      <c r="AT110" s="37" t="n"/>
      <c r="AU110" s="10" t="inlineStr">
        <is>
          <t>PRD-0106</t>
        </is>
      </c>
    </row>
    <row r="111">
      <c r="A111" s="16">
        <f>IF($C111="","",IFERROR(IF(INDEX(tbl_Finance[Latest Invoice Date],MATCH($AU111,tbl_Finance[Row ID],0))="","",INDEX(tbl_Finance[Latest Invoice Date],MATCH($AU111,tbl_Finance[Row ID],0))),""))</f>
        <v/>
      </c>
      <c r="B111" s="10">
        <f>IF($C111="","",IFERROR(INDEX(tbl_Finance[Invoice Numbers],MATCH($AU111,tbl_Finance[Row ID],0))&amp;"",""))</f>
        <v/>
      </c>
      <c r="C111" s="37" t="n"/>
      <c r="D111" s="10">
        <f>IF($C111="","",IF(COUNTIF(lst_Jobs,$C111&amp;"")&gt;0,"OK","CHECK"))</f>
        <v/>
      </c>
      <c r="E111" s="10">
        <f>IF($C111="","",IFERROR(INDEX(lst_JobName,MATCH($C111&amp;"",lst_Jobs,0)),""))</f>
        <v/>
      </c>
      <c r="F111" s="37" t="n"/>
      <c r="G111" s="37" t="n"/>
      <c r="H111" s="37" t="n"/>
      <c r="I111" s="37" t="n"/>
      <c r="J111" s="37" t="n"/>
      <c r="K111" s="38">
        <f>IF($C111="","",IFERROR(N(INDEX(tbl_Finance[Invoice Count],MATCH($AU111,tbl_Finance[Row ID],0))),""))</f>
        <v/>
      </c>
      <c r="L111" s="11">
        <f>IF($C111="","",IFERROR(N(INDEX(tbl_Finance[Xero Invoiced Ex GST],MATCH($AU111,tbl_Finance[Row ID],0))),""))</f>
        <v/>
      </c>
      <c r="M111" s="10">
        <f>IF($C111="","",IFERROR(INDEX(tbl_Finance[Compare],MATCH($AU111,tbl_Finance[Row ID],0))&amp;"",""))</f>
        <v/>
      </c>
      <c r="N111" s="11">
        <f>IF($C111="","",MAX(0,N(O111)-N(L111)))</f>
        <v/>
      </c>
      <c r="O111" s="39" t="n"/>
      <c r="P111" s="40">
        <f>IF($C111="","",IF((IF(F111="",", Client","")&amp;IF(G111="",", Description","")&amp;IF(H111="",", Cost Centre","")&amp;IF(I111="",", Invoice Type","")&amp;IF(J111="",", Tax Code","")&amp;IF(O111="",", Expected Revenue","")&amp;IF(COUNTIF(tbl_Finance[Job Number],$C111&amp;"")&gt;1,", Job number used twice",""))="","Complete","Fix: "&amp;MID(IF(F111="",", Client","")&amp;IF(G111="",", Description","")&amp;IF(H111="",", Cost Centre","")&amp;IF(I111="",", Invoice Type","")&amp;IF(J111="",", Tax Code","")&amp;IF(O111="",", Expected Revenue","")&amp;IF(COUNTIF(tbl_Finance[Job Number],$C111&amp;"")&gt;1,", Job number used twice",""),3,300)))</f>
        <v/>
      </c>
      <c r="Q111" s="10">
        <f>IF($C111="","",IF(H111="","(no cost centre)",H111&amp;" - GL "&amp;IFERROR(INDEX(lst_CCtoGL,MATCH(H111,lst_CCforGL,0)),"?")))</f>
        <v/>
      </c>
      <c r="R111" s="11">
        <f>IF($C111="","",IFERROR(N(INDEX(tbl_Finance[Inc GST],MATCH($AU111,tbl_Finance[Row ID],0))),""))</f>
        <v/>
      </c>
      <c r="S111" s="37" t="n"/>
      <c r="T111" s="37" t="n"/>
      <c r="U111" s="37" t="n"/>
      <c r="V111" s="42" t="n"/>
      <c r="W111" s="37" t="n"/>
      <c r="X111" s="10">
        <f>IF(W111="","",IF(AND(LEFT(W111,4)&lt;&gt;"http",set_RMSBase=""),"",HYPERLINK(IF(LEFT(W111,4)="http",W111,set_RMSBase&amp;W111),"Open in RMS")))</f>
        <v/>
      </c>
      <c r="Y111" s="37" t="n"/>
      <c r="Z111" s="10">
        <f>IF(Y111="","",HYPERLINK(IF(LEFT(Y111,4)="http",Y111,set_QwilrBase&amp;Y111),"Open quote"))</f>
        <v/>
      </c>
      <c r="AA111" s="10">
        <f>IF(C111="","",C111)</f>
        <v/>
      </c>
      <c r="AB111" s="37" t="n"/>
      <c r="AC111" s="39" t="n"/>
      <c r="AD111" s="11">
        <f>IF(C111="","",N(L111)+N(AC111))</f>
        <v/>
      </c>
      <c r="AE111" s="43">
        <f>IFERROR(IF(N(AC111)=0,"",AC111/AD111),"")</f>
        <v/>
      </c>
      <c r="AF111" s="39" t="n"/>
      <c r="AG111" s="39" t="n"/>
      <c r="AH111" s="39" t="n"/>
      <c r="AI111" s="39" t="n"/>
      <c r="AJ111" s="11">
        <f>IF(C111="","",IF(H111="VIDEO",N(L111),0))</f>
        <v/>
      </c>
      <c r="AK111" s="43">
        <f>IFERROR(IF(N(L111)=0,"",AJ111/L111),"")</f>
        <v/>
      </c>
      <c r="AL111" s="11">
        <f>IF(C111="","",N(AF111)+N(AG111)+N(AH111)+N(AI111))</f>
        <v/>
      </c>
      <c r="AM111" s="11">
        <f>IF(C111="","",MAX(N(L111),N(O111))-N(AL111))</f>
        <v/>
      </c>
      <c r="AN111" s="43">
        <f>IFERROR(IF(MAX(N(L111),N(O111))=0,"",AM111/MAX(N(L111),N(O111))),"")</f>
        <v/>
      </c>
      <c r="AO111" s="41" t="n"/>
      <c r="AP111" s="41" t="n"/>
      <c r="AQ111" s="41" t="n"/>
      <c r="AR111" s="41" t="n"/>
      <c r="AS111" s="41" t="n"/>
      <c r="AT111" s="37" t="n"/>
      <c r="AU111" s="10" t="inlineStr">
        <is>
          <t>PRD-0107</t>
        </is>
      </c>
    </row>
    <row r="112">
      <c r="A112" s="16">
        <f>IF($C112="","",IFERROR(IF(INDEX(tbl_Finance[Latest Invoice Date],MATCH($AU112,tbl_Finance[Row ID],0))="","",INDEX(tbl_Finance[Latest Invoice Date],MATCH($AU112,tbl_Finance[Row ID],0))),""))</f>
        <v/>
      </c>
      <c r="B112" s="10">
        <f>IF($C112="","",IFERROR(INDEX(tbl_Finance[Invoice Numbers],MATCH($AU112,tbl_Finance[Row ID],0))&amp;"",""))</f>
        <v/>
      </c>
      <c r="C112" s="37" t="n"/>
      <c r="D112" s="10">
        <f>IF($C112="","",IF(COUNTIF(lst_Jobs,$C112&amp;"")&gt;0,"OK","CHECK"))</f>
        <v/>
      </c>
      <c r="E112" s="10">
        <f>IF($C112="","",IFERROR(INDEX(lst_JobName,MATCH($C112&amp;"",lst_Jobs,0)),""))</f>
        <v/>
      </c>
      <c r="F112" s="37" t="n"/>
      <c r="G112" s="37" t="n"/>
      <c r="H112" s="37" t="n"/>
      <c r="I112" s="37" t="n"/>
      <c r="J112" s="37" t="n"/>
      <c r="K112" s="38">
        <f>IF($C112="","",IFERROR(N(INDEX(tbl_Finance[Invoice Count],MATCH($AU112,tbl_Finance[Row ID],0))),""))</f>
        <v/>
      </c>
      <c r="L112" s="11">
        <f>IF($C112="","",IFERROR(N(INDEX(tbl_Finance[Xero Invoiced Ex GST],MATCH($AU112,tbl_Finance[Row ID],0))),""))</f>
        <v/>
      </c>
      <c r="M112" s="10">
        <f>IF($C112="","",IFERROR(INDEX(tbl_Finance[Compare],MATCH($AU112,tbl_Finance[Row ID],0))&amp;"",""))</f>
        <v/>
      </c>
      <c r="N112" s="11">
        <f>IF($C112="","",MAX(0,N(O112)-N(L112)))</f>
        <v/>
      </c>
      <c r="O112" s="39" t="n"/>
      <c r="P112" s="40">
        <f>IF($C112="","",IF((IF(F112="",", Client","")&amp;IF(G112="",", Description","")&amp;IF(H112="",", Cost Centre","")&amp;IF(I112="",", Invoice Type","")&amp;IF(J112="",", Tax Code","")&amp;IF(O112="",", Expected Revenue","")&amp;IF(COUNTIF(tbl_Finance[Job Number],$C112&amp;"")&gt;1,", Job number used twice",""))="","Complete","Fix: "&amp;MID(IF(F112="",", Client","")&amp;IF(G112="",", Description","")&amp;IF(H112="",", Cost Centre","")&amp;IF(I112="",", Invoice Type","")&amp;IF(J112="",", Tax Code","")&amp;IF(O112="",", Expected Revenue","")&amp;IF(COUNTIF(tbl_Finance[Job Number],$C112&amp;"")&gt;1,", Job number used twice",""),3,300)))</f>
        <v/>
      </c>
      <c r="Q112" s="10">
        <f>IF($C112="","",IF(H112="","(no cost centre)",H112&amp;" - GL "&amp;IFERROR(INDEX(lst_CCtoGL,MATCH(H112,lst_CCforGL,0)),"?")))</f>
        <v/>
      </c>
      <c r="R112" s="11">
        <f>IF($C112="","",IFERROR(N(INDEX(tbl_Finance[Inc GST],MATCH($AU112,tbl_Finance[Row ID],0))),""))</f>
        <v/>
      </c>
      <c r="S112" s="37" t="n"/>
      <c r="T112" s="37" t="n"/>
      <c r="U112" s="37" t="n"/>
      <c r="V112" s="42" t="n"/>
      <c r="W112" s="37" t="n"/>
      <c r="X112" s="10">
        <f>IF(W112="","",IF(AND(LEFT(W112,4)&lt;&gt;"http",set_RMSBase=""),"",HYPERLINK(IF(LEFT(W112,4)="http",W112,set_RMSBase&amp;W112),"Open in RMS")))</f>
        <v/>
      </c>
      <c r="Y112" s="37" t="n"/>
      <c r="Z112" s="10">
        <f>IF(Y112="","",HYPERLINK(IF(LEFT(Y112,4)="http",Y112,set_QwilrBase&amp;Y112),"Open quote"))</f>
        <v/>
      </c>
      <c r="AA112" s="10">
        <f>IF(C112="","",C112)</f>
        <v/>
      </c>
      <c r="AB112" s="37" t="n"/>
      <c r="AC112" s="39" t="n"/>
      <c r="AD112" s="11">
        <f>IF(C112="","",N(L112)+N(AC112))</f>
        <v/>
      </c>
      <c r="AE112" s="43">
        <f>IFERROR(IF(N(AC112)=0,"",AC112/AD112),"")</f>
        <v/>
      </c>
      <c r="AF112" s="39" t="n"/>
      <c r="AG112" s="39" t="n"/>
      <c r="AH112" s="39" t="n"/>
      <c r="AI112" s="39" t="n"/>
      <c r="AJ112" s="11">
        <f>IF(C112="","",IF(H112="VIDEO",N(L112),0))</f>
        <v/>
      </c>
      <c r="AK112" s="43">
        <f>IFERROR(IF(N(L112)=0,"",AJ112/L112),"")</f>
        <v/>
      </c>
      <c r="AL112" s="11">
        <f>IF(C112="","",N(AF112)+N(AG112)+N(AH112)+N(AI112))</f>
        <v/>
      </c>
      <c r="AM112" s="11">
        <f>IF(C112="","",MAX(N(L112),N(O112))-N(AL112))</f>
        <v/>
      </c>
      <c r="AN112" s="43">
        <f>IFERROR(IF(MAX(N(L112),N(O112))=0,"",AM112/MAX(N(L112),N(O112))),"")</f>
        <v/>
      </c>
      <c r="AO112" s="41" t="n"/>
      <c r="AP112" s="41" t="n"/>
      <c r="AQ112" s="41" t="n"/>
      <c r="AR112" s="41" t="n"/>
      <c r="AS112" s="41" t="n"/>
      <c r="AT112" s="37" t="n"/>
      <c r="AU112" s="10" t="inlineStr">
        <is>
          <t>PRD-0108</t>
        </is>
      </c>
    </row>
    <row r="113">
      <c r="A113" s="16">
        <f>IF($C113="","",IFERROR(IF(INDEX(tbl_Finance[Latest Invoice Date],MATCH($AU113,tbl_Finance[Row ID],0))="","",INDEX(tbl_Finance[Latest Invoice Date],MATCH($AU113,tbl_Finance[Row ID],0))),""))</f>
        <v/>
      </c>
      <c r="B113" s="10">
        <f>IF($C113="","",IFERROR(INDEX(tbl_Finance[Invoice Numbers],MATCH($AU113,tbl_Finance[Row ID],0))&amp;"",""))</f>
        <v/>
      </c>
      <c r="C113" s="37" t="n"/>
      <c r="D113" s="10">
        <f>IF($C113="","",IF(COUNTIF(lst_Jobs,$C113&amp;"")&gt;0,"OK","CHECK"))</f>
        <v/>
      </c>
      <c r="E113" s="10">
        <f>IF($C113="","",IFERROR(INDEX(lst_JobName,MATCH($C113&amp;"",lst_Jobs,0)),""))</f>
        <v/>
      </c>
      <c r="F113" s="37" t="n"/>
      <c r="G113" s="37" t="n"/>
      <c r="H113" s="37" t="n"/>
      <c r="I113" s="37" t="n"/>
      <c r="J113" s="37" t="n"/>
      <c r="K113" s="38">
        <f>IF($C113="","",IFERROR(N(INDEX(tbl_Finance[Invoice Count],MATCH($AU113,tbl_Finance[Row ID],0))),""))</f>
        <v/>
      </c>
      <c r="L113" s="11">
        <f>IF($C113="","",IFERROR(N(INDEX(tbl_Finance[Xero Invoiced Ex GST],MATCH($AU113,tbl_Finance[Row ID],0))),""))</f>
        <v/>
      </c>
      <c r="M113" s="10">
        <f>IF($C113="","",IFERROR(INDEX(tbl_Finance[Compare],MATCH($AU113,tbl_Finance[Row ID],0))&amp;"",""))</f>
        <v/>
      </c>
      <c r="N113" s="11">
        <f>IF($C113="","",MAX(0,N(O113)-N(L113)))</f>
        <v/>
      </c>
      <c r="O113" s="39" t="n"/>
      <c r="P113" s="40">
        <f>IF($C113="","",IF((IF(F113="",", Client","")&amp;IF(G113="",", Description","")&amp;IF(H113="",", Cost Centre","")&amp;IF(I113="",", Invoice Type","")&amp;IF(J113="",", Tax Code","")&amp;IF(O113="",", Expected Revenue","")&amp;IF(COUNTIF(tbl_Finance[Job Number],$C113&amp;"")&gt;1,", Job number used twice",""))="","Complete","Fix: "&amp;MID(IF(F113="",", Client","")&amp;IF(G113="",", Description","")&amp;IF(H113="",", Cost Centre","")&amp;IF(I113="",", Invoice Type","")&amp;IF(J113="",", Tax Code","")&amp;IF(O113="",", Expected Revenue","")&amp;IF(COUNTIF(tbl_Finance[Job Number],$C113&amp;"")&gt;1,", Job number used twice",""),3,300)))</f>
        <v/>
      </c>
      <c r="Q113" s="10">
        <f>IF($C113="","",IF(H113="","(no cost centre)",H113&amp;" - GL "&amp;IFERROR(INDEX(lst_CCtoGL,MATCH(H113,lst_CCforGL,0)),"?")))</f>
        <v/>
      </c>
      <c r="R113" s="11">
        <f>IF($C113="","",IFERROR(N(INDEX(tbl_Finance[Inc GST],MATCH($AU113,tbl_Finance[Row ID],0))),""))</f>
        <v/>
      </c>
      <c r="S113" s="37" t="n"/>
      <c r="T113" s="37" t="n"/>
      <c r="U113" s="37" t="n"/>
      <c r="V113" s="42" t="n"/>
      <c r="W113" s="37" t="n"/>
      <c r="X113" s="10">
        <f>IF(W113="","",IF(AND(LEFT(W113,4)&lt;&gt;"http",set_RMSBase=""),"",HYPERLINK(IF(LEFT(W113,4)="http",W113,set_RMSBase&amp;W113),"Open in RMS")))</f>
        <v/>
      </c>
      <c r="Y113" s="37" t="n"/>
      <c r="Z113" s="10">
        <f>IF(Y113="","",HYPERLINK(IF(LEFT(Y113,4)="http",Y113,set_QwilrBase&amp;Y113),"Open quote"))</f>
        <v/>
      </c>
      <c r="AA113" s="10">
        <f>IF(C113="","",C113)</f>
        <v/>
      </c>
      <c r="AB113" s="37" t="n"/>
      <c r="AC113" s="39" t="n"/>
      <c r="AD113" s="11">
        <f>IF(C113="","",N(L113)+N(AC113))</f>
        <v/>
      </c>
      <c r="AE113" s="43">
        <f>IFERROR(IF(N(AC113)=0,"",AC113/AD113),"")</f>
        <v/>
      </c>
      <c r="AF113" s="39" t="n"/>
      <c r="AG113" s="39" t="n"/>
      <c r="AH113" s="39" t="n"/>
      <c r="AI113" s="39" t="n"/>
      <c r="AJ113" s="11">
        <f>IF(C113="","",IF(H113="VIDEO",N(L113),0))</f>
        <v/>
      </c>
      <c r="AK113" s="43">
        <f>IFERROR(IF(N(L113)=0,"",AJ113/L113),"")</f>
        <v/>
      </c>
      <c r="AL113" s="11">
        <f>IF(C113="","",N(AF113)+N(AG113)+N(AH113)+N(AI113))</f>
        <v/>
      </c>
      <c r="AM113" s="11">
        <f>IF(C113="","",MAX(N(L113),N(O113))-N(AL113))</f>
        <v/>
      </c>
      <c r="AN113" s="43">
        <f>IFERROR(IF(MAX(N(L113),N(O113))=0,"",AM113/MAX(N(L113),N(O113))),"")</f>
        <v/>
      </c>
      <c r="AO113" s="41" t="n"/>
      <c r="AP113" s="41" t="n"/>
      <c r="AQ113" s="41" t="n"/>
      <c r="AR113" s="41" t="n"/>
      <c r="AS113" s="41" t="n"/>
      <c r="AT113" s="37" t="n"/>
      <c r="AU113" s="10" t="inlineStr">
        <is>
          <t>PRD-0109</t>
        </is>
      </c>
    </row>
    <row r="114">
      <c r="A114" s="16">
        <f>IF($C114="","",IFERROR(IF(INDEX(tbl_Finance[Latest Invoice Date],MATCH($AU114,tbl_Finance[Row ID],0))="","",INDEX(tbl_Finance[Latest Invoice Date],MATCH($AU114,tbl_Finance[Row ID],0))),""))</f>
        <v/>
      </c>
      <c r="B114" s="10">
        <f>IF($C114="","",IFERROR(INDEX(tbl_Finance[Invoice Numbers],MATCH($AU114,tbl_Finance[Row ID],0))&amp;"",""))</f>
        <v/>
      </c>
      <c r="C114" s="37" t="n"/>
      <c r="D114" s="10">
        <f>IF($C114="","",IF(COUNTIF(lst_Jobs,$C114&amp;"")&gt;0,"OK","CHECK"))</f>
        <v/>
      </c>
      <c r="E114" s="10">
        <f>IF($C114="","",IFERROR(INDEX(lst_JobName,MATCH($C114&amp;"",lst_Jobs,0)),""))</f>
        <v/>
      </c>
      <c r="F114" s="37" t="n"/>
      <c r="G114" s="37" t="n"/>
      <c r="H114" s="37" t="n"/>
      <c r="I114" s="37" t="n"/>
      <c r="J114" s="37" t="n"/>
      <c r="K114" s="38">
        <f>IF($C114="","",IFERROR(N(INDEX(tbl_Finance[Invoice Count],MATCH($AU114,tbl_Finance[Row ID],0))),""))</f>
        <v/>
      </c>
      <c r="L114" s="11">
        <f>IF($C114="","",IFERROR(N(INDEX(tbl_Finance[Xero Invoiced Ex GST],MATCH($AU114,tbl_Finance[Row ID],0))),""))</f>
        <v/>
      </c>
      <c r="M114" s="10">
        <f>IF($C114="","",IFERROR(INDEX(tbl_Finance[Compare],MATCH($AU114,tbl_Finance[Row ID],0))&amp;"",""))</f>
        <v/>
      </c>
      <c r="N114" s="11">
        <f>IF($C114="","",MAX(0,N(O114)-N(L114)))</f>
        <v/>
      </c>
      <c r="O114" s="39" t="n"/>
      <c r="P114" s="40">
        <f>IF($C114="","",IF((IF(F114="",", Client","")&amp;IF(G114="",", Description","")&amp;IF(H114="",", Cost Centre","")&amp;IF(I114="",", Invoice Type","")&amp;IF(J114="",", Tax Code","")&amp;IF(O114="",", Expected Revenue","")&amp;IF(COUNTIF(tbl_Finance[Job Number],$C114&amp;"")&gt;1,", Job number used twice",""))="","Complete","Fix: "&amp;MID(IF(F114="",", Client","")&amp;IF(G114="",", Description","")&amp;IF(H114="",", Cost Centre","")&amp;IF(I114="",", Invoice Type","")&amp;IF(J114="",", Tax Code","")&amp;IF(O114="",", Expected Revenue","")&amp;IF(COUNTIF(tbl_Finance[Job Number],$C114&amp;"")&gt;1,", Job number used twice",""),3,300)))</f>
        <v/>
      </c>
      <c r="Q114" s="10">
        <f>IF($C114="","",IF(H114="","(no cost centre)",H114&amp;" - GL "&amp;IFERROR(INDEX(lst_CCtoGL,MATCH(H114,lst_CCforGL,0)),"?")))</f>
        <v/>
      </c>
      <c r="R114" s="11">
        <f>IF($C114="","",IFERROR(N(INDEX(tbl_Finance[Inc GST],MATCH($AU114,tbl_Finance[Row ID],0))),""))</f>
        <v/>
      </c>
      <c r="S114" s="37" t="n"/>
      <c r="T114" s="37" t="n"/>
      <c r="U114" s="37" t="n"/>
      <c r="V114" s="42" t="n"/>
      <c r="W114" s="37" t="n"/>
      <c r="X114" s="10">
        <f>IF(W114="","",IF(AND(LEFT(W114,4)&lt;&gt;"http",set_RMSBase=""),"",HYPERLINK(IF(LEFT(W114,4)="http",W114,set_RMSBase&amp;W114),"Open in RMS")))</f>
        <v/>
      </c>
      <c r="Y114" s="37" t="n"/>
      <c r="Z114" s="10">
        <f>IF(Y114="","",HYPERLINK(IF(LEFT(Y114,4)="http",Y114,set_QwilrBase&amp;Y114),"Open quote"))</f>
        <v/>
      </c>
      <c r="AA114" s="10">
        <f>IF(C114="","",C114)</f>
        <v/>
      </c>
      <c r="AB114" s="37" t="n"/>
      <c r="AC114" s="39" t="n"/>
      <c r="AD114" s="11">
        <f>IF(C114="","",N(L114)+N(AC114))</f>
        <v/>
      </c>
      <c r="AE114" s="43">
        <f>IFERROR(IF(N(AC114)=0,"",AC114/AD114),"")</f>
        <v/>
      </c>
      <c r="AF114" s="39" t="n"/>
      <c r="AG114" s="39" t="n"/>
      <c r="AH114" s="39" t="n"/>
      <c r="AI114" s="39" t="n"/>
      <c r="AJ114" s="11">
        <f>IF(C114="","",IF(H114="VIDEO",N(L114),0))</f>
        <v/>
      </c>
      <c r="AK114" s="43">
        <f>IFERROR(IF(N(L114)=0,"",AJ114/L114),"")</f>
        <v/>
      </c>
      <c r="AL114" s="11">
        <f>IF(C114="","",N(AF114)+N(AG114)+N(AH114)+N(AI114))</f>
        <v/>
      </c>
      <c r="AM114" s="11">
        <f>IF(C114="","",MAX(N(L114),N(O114))-N(AL114))</f>
        <v/>
      </c>
      <c r="AN114" s="43">
        <f>IFERROR(IF(MAX(N(L114),N(O114))=0,"",AM114/MAX(N(L114),N(O114))),"")</f>
        <v/>
      </c>
      <c r="AO114" s="41" t="n"/>
      <c r="AP114" s="41" t="n"/>
      <c r="AQ114" s="41" t="n"/>
      <c r="AR114" s="41" t="n"/>
      <c r="AS114" s="41" t="n"/>
      <c r="AT114" s="37" t="n"/>
      <c r="AU114" s="10" t="inlineStr">
        <is>
          <t>PRD-0110</t>
        </is>
      </c>
    </row>
    <row r="115">
      <c r="A115" s="16">
        <f>IF($C115="","",IFERROR(IF(INDEX(tbl_Finance[Latest Invoice Date],MATCH($AU115,tbl_Finance[Row ID],0))="","",INDEX(tbl_Finance[Latest Invoice Date],MATCH($AU115,tbl_Finance[Row ID],0))),""))</f>
        <v/>
      </c>
      <c r="B115" s="10">
        <f>IF($C115="","",IFERROR(INDEX(tbl_Finance[Invoice Numbers],MATCH($AU115,tbl_Finance[Row ID],0))&amp;"",""))</f>
        <v/>
      </c>
      <c r="C115" s="37" t="n"/>
      <c r="D115" s="10">
        <f>IF($C115="","",IF(COUNTIF(lst_Jobs,$C115&amp;"")&gt;0,"OK","CHECK"))</f>
        <v/>
      </c>
      <c r="E115" s="10">
        <f>IF($C115="","",IFERROR(INDEX(lst_JobName,MATCH($C115&amp;"",lst_Jobs,0)),""))</f>
        <v/>
      </c>
      <c r="F115" s="37" t="n"/>
      <c r="G115" s="37" t="n"/>
      <c r="H115" s="37" t="n"/>
      <c r="I115" s="37" t="n"/>
      <c r="J115" s="37" t="n"/>
      <c r="K115" s="38">
        <f>IF($C115="","",IFERROR(N(INDEX(tbl_Finance[Invoice Count],MATCH($AU115,tbl_Finance[Row ID],0))),""))</f>
        <v/>
      </c>
      <c r="L115" s="11">
        <f>IF($C115="","",IFERROR(N(INDEX(tbl_Finance[Xero Invoiced Ex GST],MATCH($AU115,tbl_Finance[Row ID],0))),""))</f>
        <v/>
      </c>
      <c r="M115" s="10">
        <f>IF($C115="","",IFERROR(INDEX(tbl_Finance[Compare],MATCH($AU115,tbl_Finance[Row ID],0))&amp;"",""))</f>
        <v/>
      </c>
      <c r="N115" s="11">
        <f>IF($C115="","",MAX(0,N(O115)-N(L115)))</f>
        <v/>
      </c>
      <c r="O115" s="39" t="n"/>
      <c r="P115" s="40">
        <f>IF($C115="","",IF((IF(F115="",", Client","")&amp;IF(G115="",", Description","")&amp;IF(H115="",", Cost Centre","")&amp;IF(I115="",", Invoice Type","")&amp;IF(J115="",", Tax Code","")&amp;IF(O115="",", Expected Revenue","")&amp;IF(COUNTIF(tbl_Finance[Job Number],$C115&amp;"")&gt;1,", Job number used twice",""))="","Complete","Fix: "&amp;MID(IF(F115="",", Client","")&amp;IF(G115="",", Description","")&amp;IF(H115="",", Cost Centre","")&amp;IF(I115="",", Invoice Type","")&amp;IF(J115="",", Tax Code","")&amp;IF(O115="",", Expected Revenue","")&amp;IF(COUNTIF(tbl_Finance[Job Number],$C115&amp;"")&gt;1,", Job number used twice",""),3,300)))</f>
        <v/>
      </c>
      <c r="Q115" s="10">
        <f>IF($C115="","",IF(H115="","(no cost centre)",H115&amp;" - GL "&amp;IFERROR(INDEX(lst_CCtoGL,MATCH(H115,lst_CCforGL,0)),"?")))</f>
        <v/>
      </c>
      <c r="R115" s="11">
        <f>IF($C115="","",IFERROR(N(INDEX(tbl_Finance[Inc GST],MATCH($AU115,tbl_Finance[Row ID],0))),""))</f>
        <v/>
      </c>
      <c r="S115" s="37" t="n"/>
      <c r="T115" s="37" t="n"/>
      <c r="U115" s="37" t="n"/>
      <c r="V115" s="42" t="n"/>
      <c r="W115" s="37" t="n"/>
      <c r="X115" s="10">
        <f>IF(W115="","",IF(AND(LEFT(W115,4)&lt;&gt;"http",set_RMSBase=""),"",HYPERLINK(IF(LEFT(W115,4)="http",W115,set_RMSBase&amp;W115),"Open in RMS")))</f>
        <v/>
      </c>
      <c r="Y115" s="37" t="n"/>
      <c r="Z115" s="10">
        <f>IF(Y115="","",HYPERLINK(IF(LEFT(Y115,4)="http",Y115,set_QwilrBase&amp;Y115),"Open quote"))</f>
        <v/>
      </c>
      <c r="AA115" s="10">
        <f>IF(C115="","",C115)</f>
        <v/>
      </c>
      <c r="AB115" s="37" t="n"/>
      <c r="AC115" s="39" t="n"/>
      <c r="AD115" s="11">
        <f>IF(C115="","",N(L115)+N(AC115))</f>
        <v/>
      </c>
      <c r="AE115" s="43">
        <f>IFERROR(IF(N(AC115)=0,"",AC115/AD115),"")</f>
        <v/>
      </c>
      <c r="AF115" s="39" t="n"/>
      <c r="AG115" s="39" t="n"/>
      <c r="AH115" s="39" t="n"/>
      <c r="AI115" s="39" t="n"/>
      <c r="AJ115" s="11">
        <f>IF(C115="","",IF(H115="VIDEO",N(L115),0))</f>
        <v/>
      </c>
      <c r="AK115" s="43">
        <f>IFERROR(IF(N(L115)=0,"",AJ115/L115),"")</f>
        <v/>
      </c>
      <c r="AL115" s="11">
        <f>IF(C115="","",N(AF115)+N(AG115)+N(AH115)+N(AI115))</f>
        <v/>
      </c>
      <c r="AM115" s="11">
        <f>IF(C115="","",MAX(N(L115),N(O115))-N(AL115))</f>
        <v/>
      </c>
      <c r="AN115" s="43">
        <f>IFERROR(IF(MAX(N(L115),N(O115))=0,"",AM115/MAX(N(L115),N(O115))),"")</f>
        <v/>
      </c>
      <c r="AO115" s="41" t="n"/>
      <c r="AP115" s="41" t="n"/>
      <c r="AQ115" s="41" t="n"/>
      <c r="AR115" s="41" t="n"/>
      <c r="AS115" s="41" t="n"/>
      <c r="AT115" s="37" t="n"/>
      <c r="AU115" s="10" t="inlineStr">
        <is>
          <t>PRD-0111</t>
        </is>
      </c>
    </row>
    <row r="116">
      <c r="A116" s="16">
        <f>IF($C116="","",IFERROR(IF(INDEX(tbl_Finance[Latest Invoice Date],MATCH($AU116,tbl_Finance[Row ID],0))="","",INDEX(tbl_Finance[Latest Invoice Date],MATCH($AU116,tbl_Finance[Row ID],0))),""))</f>
        <v/>
      </c>
      <c r="B116" s="10">
        <f>IF($C116="","",IFERROR(INDEX(tbl_Finance[Invoice Numbers],MATCH($AU116,tbl_Finance[Row ID],0))&amp;"",""))</f>
        <v/>
      </c>
      <c r="C116" s="37" t="n"/>
      <c r="D116" s="10">
        <f>IF($C116="","",IF(COUNTIF(lst_Jobs,$C116&amp;"")&gt;0,"OK","CHECK"))</f>
        <v/>
      </c>
      <c r="E116" s="10">
        <f>IF($C116="","",IFERROR(INDEX(lst_JobName,MATCH($C116&amp;"",lst_Jobs,0)),""))</f>
        <v/>
      </c>
      <c r="F116" s="37" t="n"/>
      <c r="G116" s="37" t="n"/>
      <c r="H116" s="37" t="n"/>
      <c r="I116" s="37" t="n"/>
      <c r="J116" s="37" t="n"/>
      <c r="K116" s="38">
        <f>IF($C116="","",IFERROR(N(INDEX(tbl_Finance[Invoice Count],MATCH($AU116,tbl_Finance[Row ID],0))),""))</f>
        <v/>
      </c>
      <c r="L116" s="11">
        <f>IF($C116="","",IFERROR(N(INDEX(tbl_Finance[Xero Invoiced Ex GST],MATCH($AU116,tbl_Finance[Row ID],0))),""))</f>
        <v/>
      </c>
      <c r="M116" s="10">
        <f>IF($C116="","",IFERROR(INDEX(tbl_Finance[Compare],MATCH($AU116,tbl_Finance[Row ID],0))&amp;"",""))</f>
        <v/>
      </c>
      <c r="N116" s="11">
        <f>IF($C116="","",MAX(0,N(O116)-N(L116)))</f>
        <v/>
      </c>
      <c r="O116" s="39" t="n"/>
      <c r="P116" s="40">
        <f>IF($C116="","",IF((IF(F116="",", Client","")&amp;IF(G116="",", Description","")&amp;IF(H116="",", Cost Centre","")&amp;IF(I116="",", Invoice Type","")&amp;IF(J116="",", Tax Code","")&amp;IF(O116="",", Expected Revenue","")&amp;IF(COUNTIF(tbl_Finance[Job Number],$C116&amp;"")&gt;1,", Job number used twice",""))="","Complete","Fix: "&amp;MID(IF(F116="",", Client","")&amp;IF(G116="",", Description","")&amp;IF(H116="",", Cost Centre","")&amp;IF(I116="",", Invoice Type","")&amp;IF(J116="",", Tax Code","")&amp;IF(O116="",", Expected Revenue","")&amp;IF(COUNTIF(tbl_Finance[Job Number],$C116&amp;"")&gt;1,", Job number used twice",""),3,300)))</f>
        <v/>
      </c>
      <c r="Q116" s="10">
        <f>IF($C116="","",IF(H116="","(no cost centre)",H116&amp;" - GL "&amp;IFERROR(INDEX(lst_CCtoGL,MATCH(H116,lst_CCforGL,0)),"?")))</f>
        <v/>
      </c>
      <c r="R116" s="11">
        <f>IF($C116="","",IFERROR(N(INDEX(tbl_Finance[Inc GST],MATCH($AU116,tbl_Finance[Row ID],0))),""))</f>
        <v/>
      </c>
      <c r="S116" s="37" t="n"/>
      <c r="T116" s="37" t="n"/>
      <c r="U116" s="37" t="n"/>
      <c r="V116" s="42" t="n"/>
      <c r="W116" s="37" t="n"/>
      <c r="X116" s="10">
        <f>IF(W116="","",IF(AND(LEFT(W116,4)&lt;&gt;"http",set_RMSBase=""),"",HYPERLINK(IF(LEFT(W116,4)="http",W116,set_RMSBase&amp;W116),"Open in RMS")))</f>
        <v/>
      </c>
      <c r="Y116" s="37" t="n"/>
      <c r="Z116" s="10">
        <f>IF(Y116="","",HYPERLINK(IF(LEFT(Y116,4)="http",Y116,set_QwilrBase&amp;Y116),"Open quote"))</f>
        <v/>
      </c>
      <c r="AA116" s="10">
        <f>IF(C116="","",C116)</f>
        <v/>
      </c>
      <c r="AB116" s="37" t="n"/>
      <c r="AC116" s="39" t="n"/>
      <c r="AD116" s="11">
        <f>IF(C116="","",N(L116)+N(AC116))</f>
        <v/>
      </c>
      <c r="AE116" s="43">
        <f>IFERROR(IF(N(AC116)=0,"",AC116/AD116),"")</f>
        <v/>
      </c>
      <c r="AF116" s="39" t="n"/>
      <c r="AG116" s="39" t="n"/>
      <c r="AH116" s="39" t="n"/>
      <c r="AI116" s="39" t="n"/>
      <c r="AJ116" s="11">
        <f>IF(C116="","",IF(H116="VIDEO",N(L116),0))</f>
        <v/>
      </c>
      <c r="AK116" s="43">
        <f>IFERROR(IF(N(L116)=0,"",AJ116/L116),"")</f>
        <v/>
      </c>
      <c r="AL116" s="11">
        <f>IF(C116="","",N(AF116)+N(AG116)+N(AH116)+N(AI116))</f>
        <v/>
      </c>
      <c r="AM116" s="11">
        <f>IF(C116="","",MAX(N(L116),N(O116))-N(AL116))</f>
        <v/>
      </c>
      <c r="AN116" s="43">
        <f>IFERROR(IF(MAX(N(L116),N(O116))=0,"",AM116/MAX(N(L116),N(O116))),"")</f>
        <v/>
      </c>
      <c r="AO116" s="41" t="n"/>
      <c r="AP116" s="41" t="n"/>
      <c r="AQ116" s="41" t="n"/>
      <c r="AR116" s="41" t="n"/>
      <c r="AS116" s="41" t="n"/>
      <c r="AT116" s="37" t="n"/>
      <c r="AU116" s="10" t="inlineStr">
        <is>
          <t>PRD-0112</t>
        </is>
      </c>
    </row>
    <row r="117">
      <c r="A117" s="16">
        <f>IF($C117="","",IFERROR(IF(INDEX(tbl_Finance[Latest Invoice Date],MATCH($AU117,tbl_Finance[Row ID],0))="","",INDEX(tbl_Finance[Latest Invoice Date],MATCH($AU117,tbl_Finance[Row ID],0))),""))</f>
        <v/>
      </c>
      <c r="B117" s="10">
        <f>IF($C117="","",IFERROR(INDEX(tbl_Finance[Invoice Numbers],MATCH($AU117,tbl_Finance[Row ID],0))&amp;"",""))</f>
        <v/>
      </c>
      <c r="C117" s="37" t="n"/>
      <c r="D117" s="10">
        <f>IF($C117="","",IF(COUNTIF(lst_Jobs,$C117&amp;"")&gt;0,"OK","CHECK"))</f>
        <v/>
      </c>
      <c r="E117" s="10">
        <f>IF($C117="","",IFERROR(INDEX(lst_JobName,MATCH($C117&amp;"",lst_Jobs,0)),""))</f>
        <v/>
      </c>
      <c r="F117" s="37" t="n"/>
      <c r="G117" s="37" t="n"/>
      <c r="H117" s="37" t="n"/>
      <c r="I117" s="37" t="n"/>
      <c r="J117" s="37" t="n"/>
      <c r="K117" s="38">
        <f>IF($C117="","",IFERROR(N(INDEX(tbl_Finance[Invoice Count],MATCH($AU117,tbl_Finance[Row ID],0))),""))</f>
        <v/>
      </c>
      <c r="L117" s="11">
        <f>IF($C117="","",IFERROR(N(INDEX(tbl_Finance[Xero Invoiced Ex GST],MATCH($AU117,tbl_Finance[Row ID],0))),""))</f>
        <v/>
      </c>
      <c r="M117" s="10">
        <f>IF($C117="","",IFERROR(INDEX(tbl_Finance[Compare],MATCH($AU117,tbl_Finance[Row ID],0))&amp;"",""))</f>
        <v/>
      </c>
      <c r="N117" s="11">
        <f>IF($C117="","",MAX(0,N(O117)-N(L117)))</f>
        <v/>
      </c>
      <c r="O117" s="39" t="n"/>
      <c r="P117" s="40">
        <f>IF($C117="","",IF((IF(F117="",", Client","")&amp;IF(G117="",", Description","")&amp;IF(H117="",", Cost Centre","")&amp;IF(I117="",", Invoice Type","")&amp;IF(J117="",", Tax Code","")&amp;IF(O117="",", Expected Revenue","")&amp;IF(COUNTIF(tbl_Finance[Job Number],$C117&amp;"")&gt;1,", Job number used twice",""))="","Complete","Fix: "&amp;MID(IF(F117="",", Client","")&amp;IF(G117="",", Description","")&amp;IF(H117="",", Cost Centre","")&amp;IF(I117="",", Invoice Type","")&amp;IF(J117="",", Tax Code","")&amp;IF(O117="",", Expected Revenue","")&amp;IF(COUNTIF(tbl_Finance[Job Number],$C117&amp;"")&gt;1,", Job number used twice",""),3,300)))</f>
        <v/>
      </c>
      <c r="Q117" s="10">
        <f>IF($C117="","",IF(H117="","(no cost centre)",H117&amp;" - GL "&amp;IFERROR(INDEX(lst_CCtoGL,MATCH(H117,lst_CCforGL,0)),"?")))</f>
        <v/>
      </c>
      <c r="R117" s="11">
        <f>IF($C117="","",IFERROR(N(INDEX(tbl_Finance[Inc GST],MATCH($AU117,tbl_Finance[Row ID],0))),""))</f>
        <v/>
      </c>
      <c r="S117" s="37" t="n"/>
      <c r="T117" s="37" t="n"/>
      <c r="U117" s="37" t="n"/>
      <c r="V117" s="42" t="n"/>
      <c r="W117" s="37" t="n"/>
      <c r="X117" s="10">
        <f>IF(W117="","",IF(AND(LEFT(W117,4)&lt;&gt;"http",set_RMSBase=""),"",HYPERLINK(IF(LEFT(W117,4)="http",W117,set_RMSBase&amp;W117),"Open in RMS")))</f>
        <v/>
      </c>
      <c r="Y117" s="37" t="n"/>
      <c r="Z117" s="10">
        <f>IF(Y117="","",HYPERLINK(IF(LEFT(Y117,4)="http",Y117,set_QwilrBase&amp;Y117),"Open quote"))</f>
        <v/>
      </c>
      <c r="AA117" s="10">
        <f>IF(C117="","",C117)</f>
        <v/>
      </c>
      <c r="AB117" s="37" t="n"/>
      <c r="AC117" s="39" t="n"/>
      <c r="AD117" s="11">
        <f>IF(C117="","",N(L117)+N(AC117))</f>
        <v/>
      </c>
      <c r="AE117" s="43">
        <f>IFERROR(IF(N(AC117)=0,"",AC117/AD117),"")</f>
        <v/>
      </c>
      <c r="AF117" s="39" t="n"/>
      <c r="AG117" s="39" t="n"/>
      <c r="AH117" s="39" t="n"/>
      <c r="AI117" s="39" t="n"/>
      <c r="AJ117" s="11">
        <f>IF(C117="","",IF(H117="VIDEO",N(L117),0))</f>
        <v/>
      </c>
      <c r="AK117" s="43">
        <f>IFERROR(IF(N(L117)=0,"",AJ117/L117),"")</f>
        <v/>
      </c>
      <c r="AL117" s="11">
        <f>IF(C117="","",N(AF117)+N(AG117)+N(AH117)+N(AI117))</f>
        <v/>
      </c>
      <c r="AM117" s="11">
        <f>IF(C117="","",MAX(N(L117),N(O117))-N(AL117))</f>
        <v/>
      </c>
      <c r="AN117" s="43">
        <f>IFERROR(IF(MAX(N(L117),N(O117))=0,"",AM117/MAX(N(L117),N(O117))),"")</f>
        <v/>
      </c>
      <c r="AO117" s="41" t="n"/>
      <c r="AP117" s="41" t="n"/>
      <c r="AQ117" s="41" t="n"/>
      <c r="AR117" s="41" t="n"/>
      <c r="AS117" s="41" t="n"/>
      <c r="AT117" s="37" t="n"/>
      <c r="AU117" s="10" t="inlineStr">
        <is>
          <t>PRD-0113</t>
        </is>
      </c>
    </row>
    <row r="118">
      <c r="A118" s="16">
        <f>IF($C118="","",IFERROR(IF(INDEX(tbl_Finance[Latest Invoice Date],MATCH($AU118,tbl_Finance[Row ID],0))="","",INDEX(tbl_Finance[Latest Invoice Date],MATCH($AU118,tbl_Finance[Row ID],0))),""))</f>
        <v/>
      </c>
      <c r="B118" s="10">
        <f>IF($C118="","",IFERROR(INDEX(tbl_Finance[Invoice Numbers],MATCH($AU118,tbl_Finance[Row ID],0))&amp;"",""))</f>
        <v/>
      </c>
      <c r="C118" s="37" t="n"/>
      <c r="D118" s="10">
        <f>IF($C118="","",IF(COUNTIF(lst_Jobs,$C118&amp;"")&gt;0,"OK","CHECK"))</f>
        <v/>
      </c>
      <c r="E118" s="10">
        <f>IF($C118="","",IFERROR(INDEX(lst_JobName,MATCH($C118&amp;"",lst_Jobs,0)),""))</f>
        <v/>
      </c>
      <c r="F118" s="37" t="n"/>
      <c r="G118" s="37" t="n"/>
      <c r="H118" s="37" t="n"/>
      <c r="I118" s="37" t="n"/>
      <c r="J118" s="37" t="n"/>
      <c r="K118" s="38">
        <f>IF($C118="","",IFERROR(N(INDEX(tbl_Finance[Invoice Count],MATCH($AU118,tbl_Finance[Row ID],0))),""))</f>
        <v/>
      </c>
      <c r="L118" s="11">
        <f>IF($C118="","",IFERROR(N(INDEX(tbl_Finance[Xero Invoiced Ex GST],MATCH($AU118,tbl_Finance[Row ID],0))),""))</f>
        <v/>
      </c>
      <c r="M118" s="10">
        <f>IF($C118="","",IFERROR(INDEX(tbl_Finance[Compare],MATCH($AU118,tbl_Finance[Row ID],0))&amp;"",""))</f>
        <v/>
      </c>
      <c r="N118" s="11">
        <f>IF($C118="","",MAX(0,N(O118)-N(L118)))</f>
        <v/>
      </c>
      <c r="O118" s="39" t="n"/>
      <c r="P118" s="40">
        <f>IF($C118="","",IF((IF(F118="",", Client","")&amp;IF(G118="",", Description","")&amp;IF(H118="",", Cost Centre","")&amp;IF(I118="",", Invoice Type","")&amp;IF(J118="",", Tax Code","")&amp;IF(O118="",", Expected Revenue","")&amp;IF(COUNTIF(tbl_Finance[Job Number],$C118&amp;"")&gt;1,", Job number used twice",""))="","Complete","Fix: "&amp;MID(IF(F118="",", Client","")&amp;IF(G118="",", Description","")&amp;IF(H118="",", Cost Centre","")&amp;IF(I118="",", Invoice Type","")&amp;IF(J118="",", Tax Code","")&amp;IF(O118="",", Expected Revenue","")&amp;IF(COUNTIF(tbl_Finance[Job Number],$C118&amp;"")&gt;1,", Job number used twice",""),3,300)))</f>
        <v/>
      </c>
      <c r="Q118" s="10">
        <f>IF($C118="","",IF(H118="","(no cost centre)",H118&amp;" - GL "&amp;IFERROR(INDEX(lst_CCtoGL,MATCH(H118,lst_CCforGL,0)),"?")))</f>
        <v/>
      </c>
      <c r="R118" s="11">
        <f>IF($C118="","",IFERROR(N(INDEX(tbl_Finance[Inc GST],MATCH($AU118,tbl_Finance[Row ID],0))),""))</f>
        <v/>
      </c>
      <c r="S118" s="37" t="n"/>
      <c r="T118" s="37" t="n"/>
      <c r="U118" s="37" t="n"/>
      <c r="V118" s="42" t="n"/>
      <c r="W118" s="37" t="n"/>
      <c r="X118" s="10">
        <f>IF(W118="","",IF(AND(LEFT(W118,4)&lt;&gt;"http",set_RMSBase=""),"",HYPERLINK(IF(LEFT(W118,4)="http",W118,set_RMSBase&amp;W118),"Open in RMS")))</f>
        <v/>
      </c>
      <c r="Y118" s="37" t="n"/>
      <c r="Z118" s="10">
        <f>IF(Y118="","",HYPERLINK(IF(LEFT(Y118,4)="http",Y118,set_QwilrBase&amp;Y118),"Open quote"))</f>
        <v/>
      </c>
      <c r="AA118" s="10">
        <f>IF(C118="","",C118)</f>
        <v/>
      </c>
      <c r="AB118" s="37" t="n"/>
      <c r="AC118" s="39" t="n"/>
      <c r="AD118" s="11">
        <f>IF(C118="","",N(L118)+N(AC118))</f>
        <v/>
      </c>
      <c r="AE118" s="43">
        <f>IFERROR(IF(N(AC118)=0,"",AC118/AD118),"")</f>
        <v/>
      </c>
      <c r="AF118" s="39" t="n"/>
      <c r="AG118" s="39" t="n"/>
      <c r="AH118" s="39" t="n"/>
      <c r="AI118" s="39" t="n"/>
      <c r="AJ118" s="11">
        <f>IF(C118="","",IF(H118="VIDEO",N(L118),0))</f>
        <v/>
      </c>
      <c r="AK118" s="43">
        <f>IFERROR(IF(N(L118)=0,"",AJ118/L118),"")</f>
        <v/>
      </c>
      <c r="AL118" s="11">
        <f>IF(C118="","",N(AF118)+N(AG118)+N(AH118)+N(AI118))</f>
        <v/>
      </c>
      <c r="AM118" s="11">
        <f>IF(C118="","",MAX(N(L118),N(O118))-N(AL118))</f>
        <v/>
      </c>
      <c r="AN118" s="43">
        <f>IFERROR(IF(MAX(N(L118),N(O118))=0,"",AM118/MAX(N(L118),N(O118))),"")</f>
        <v/>
      </c>
      <c r="AO118" s="41" t="n"/>
      <c r="AP118" s="41" t="n"/>
      <c r="AQ118" s="41" t="n"/>
      <c r="AR118" s="41" t="n"/>
      <c r="AS118" s="41" t="n"/>
      <c r="AT118" s="37" t="n"/>
      <c r="AU118" s="10" t="inlineStr">
        <is>
          <t>PRD-0114</t>
        </is>
      </c>
    </row>
    <row r="119">
      <c r="A119" s="16">
        <f>IF($C119="","",IFERROR(IF(INDEX(tbl_Finance[Latest Invoice Date],MATCH($AU119,tbl_Finance[Row ID],0))="","",INDEX(tbl_Finance[Latest Invoice Date],MATCH($AU119,tbl_Finance[Row ID],0))),""))</f>
        <v/>
      </c>
      <c r="B119" s="10">
        <f>IF($C119="","",IFERROR(INDEX(tbl_Finance[Invoice Numbers],MATCH($AU119,tbl_Finance[Row ID],0))&amp;"",""))</f>
        <v/>
      </c>
      <c r="C119" s="37" t="n"/>
      <c r="D119" s="10">
        <f>IF($C119="","",IF(COUNTIF(lst_Jobs,$C119&amp;"")&gt;0,"OK","CHECK"))</f>
        <v/>
      </c>
      <c r="E119" s="10">
        <f>IF($C119="","",IFERROR(INDEX(lst_JobName,MATCH($C119&amp;"",lst_Jobs,0)),""))</f>
        <v/>
      </c>
      <c r="F119" s="37" t="n"/>
      <c r="G119" s="37" t="n"/>
      <c r="H119" s="37" t="n"/>
      <c r="I119" s="37" t="n"/>
      <c r="J119" s="37" t="n"/>
      <c r="K119" s="38">
        <f>IF($C119="","",IFERROR(N(INDEX(tbl_Finance[Invoice Count],MATCH($AU119,tbl_Finance[Row ID],0))),""))</f>
        <v/>
      </c>
      <c r="L119" s="11">
        <f>IF($C119="","",IFERROR(N(INDEX(tbl_Finance[Xero Invoiced Ex GST],MATCH($AU119,tbl_Finance[Row ID],0))),""))</f>
        <v/>
      </c>
      <c r="M119" s="10">
        <f>IF($C119="","",IFERROR(INDEX(tbl_Finance[Compare],MATCH($AU119,tbl_Finance[Row ID],0))&amp;"",""))</f>
        <v/>
      </c>
      <c r="N119" s="11">
        <f>IF($C119="","",MAX(0,N(O119)-N(L119)))</f>
        <v/>
      </c>
      <c r="O119" s="39" t="n"/>
      <c r="P119" s="40">
        <f>IF($C119="","",IF((IF(F119="",", Client","")&amp;IF(G119="",", Description","")&amp;IF(H119="",", Cost Centre","")&amp;IF(I119="",", Invoice Type","")&amp;IF(J119="",", Tax Code","")&amp;IF(O119="",", Expected Revenue","")&amp;IF(COUNTIF(tbl_Finance[Job Number],$C119&amp;"")&gt;1,", Job number used twice",""))="","Complete","Fix: "&amp;MID(IF(F119="",", Client","")&amp;IF(G119="",", Description","")&amp;IF(H119="",", Cost Centre","")&amp;IF(I119="",", Invoice Type","")&amp;IF(J119="",", Tax Code","")&amp;IF(O119="",", Expected Revenue","")&amp;IF(COUNTIF(tbl_Finance[Job Number],$C119&amp;"")&gt;1,", Job number used twice",""),3,300)))</f>
        <v/>
      </c>
      <c r="Q119" s="10">
        <f>IF($C119="","",IF(H119="","(no cost centre)",H119&amp;" - GL "&amp;IFERROR(INDEX(lst_CCtoGL,MATCH(H119,lst_CCforGL,0)),"?")))</f>
        <v/>
      </c>
      <c r="R119" s="11">
        <f>IF($C119="","",IFERROR(N(INDEX(tbl_Finance[Inc GST],MATCH($AU119,tbl_Finance[Row ID],0))),""))</f>
        <v/>
      </c>
      <c r="S119" s="37" t="n"/>
      <c r="T119" s="37" t="n"/>
      <c r="U119" s="37" t="n"/>
      <c r="V119" s="42" t="n"/>
      <c r="W119" s="37" t="n"/>
      <c r="X119" s="10">
        <f>IF(W119="","",IF(AND(LEFT(W119,4)&lt;&gt;"http",set_RMSBase=""),"",HYPERLINK(IF(LEFT(W119,4)="http",W119,set_RMSBase&amp;W119),"Open in RMS")))</f>
        <v/>
      </c>
      <c r="Y119" s="37" t="n"/>
      <c r="Z119" s="10">
        <f>IF(Y119="","",HYPERLINK(IF(LEFT(Y119,4)="http",Y119,set_QwilrBase&amp;Y119),"Open quote"))</f>
        <v/>
      </c>
      <c r="AA119" s="10">
        <f>IF(C119="","",C119)</f>
        <v/>
      </c>
      <c r="AB119" s="37" t="n"/>
      <c r="AC119" s="39" t="n"/>
      <c r="AD119" s="11">
        <f>IF(C119="","",N(L119)+N(AC119))</f>
        <v/>
      </c>
      <c r="AE119" s="43">
        <f>IFERROR(IF(N(AC119)=0,"",AC119/AD119),"")</f>
        <v/>
      </c>
      <c r="AF119" s="39" t="n"/>
      <c r="AG119" s="39" t="n"/>
      <c r="AH119" s="39" t="n"/>
      <c r="AI119" s="39" t="n"/>
      <c r="AJ119" s="11">
        <f>IF(C119="","",IF(H119="VIDEO",N(L119),0))</f>
        <v/>
      </c>
      <c r="AK119" s="43">
        <f>IFERROR(IF(N(L119)=0,"",AJ119/L119),"")</f>
        <v/>
      </c>
      <c r="AL119" s="11">
        <f>IF(C119="","",N(AF119)+N(AG119)+N(AH119)+N(AI119))</f>
        <v/>
      </c>
      <c r="AM119" s="11">
        <f>IF(C119="","",MAX(N(L119),N(O119))-N(AL119))</f>
        <v/>
      </c>
      <c r="AN119" s="43">
        <f>IFERROR(IF(MAX(N(L119),N(O119))=0,"",AM119/MAX(N(L119),N(O119))),"")</f>
        <v/>
      </c>
      <c r="AO119" s="41" t="n"/>
      <c r="AP119" s="41" t="n"/>
      <c r="AQ119" s="41" t="n"/>
      <c r="AR119" s="41" t="n"/>
      <c r="AS119" s="41" t="n"/>
      <c r="AT119" s="37" t="n"/>
      <c r="AU119" s="10" t="inlineStr">
        <is>
          <t>PRD-0115</t>
        </is>
      </c>
    </row>
    <row r="120">
      <c r="A120" s="16">
        <f>IF($C120="","",IFERROR(IF(INDEX(tbl_Finance[Latest Invoice Date],MATCH($AU120,tbl_Finance[Row ID],0))="","",INDEX(tbl_Finance[Latest Invoice Date],MATCH($AU120,tbl_Finance[Row ID],0))),""))</f>
        <v/>
      </c>
      <c r="B120" s="10">
        <f>IF($C120="","",IFERROR(INDEX(tbl_Finance[Invoice Numbers],MATCH($AU120,tbl_Finance[Row ID],0))&amp;"",""))</f>
        <v/>
      </c>
      <c r="C120" s="37" t="n"/>
      <c r="D120" s="10">
        <f>IF($C120="","",IF(COUNTIF(lst_Jobs,$C120&amp;"")&gt;0,"OK","CHECK"))</f>
        <v/>
      </c>
      <c r="E120" s="10">
        <f>IF($C120="","",IFERROR(INDEX(lst_JobName,MATCH($C120&amp;"",lst_Jobs,0)),""))</f>
        <v/>
      </c>
      <c r="F120" s="37" t="n"/>
      <c r="G120" s="37" t="n"/>
      <c r="H120" s="37" t="n"/>
      <c r="I120" s="37" t="n"/>
      <c r="J120" s="37" t="n"/>
      <c r="K120" s="38">
        <f>IF($C120="","",IFERROR(N(INDEX(tbl_Finance[Invoice Count],MATCH($AU120,tbl_Finance[Row ID],0))),""))</f>
        <v/>
      </c>
      <c r="L120" s="11">
        <f>IF($C120="","",IFERROR(N(INDEX(tbl_Finance[Xero Invoiced Ex GST],MATCH($AU120,tbl_Finance[Row ID],0))),""))</f>
        <v/>
      </c>
      <c r="M120" s="10">
        <f>IF($C120="","",IFERROR(INDEX(tbl_Finance[Compare],MATCH($AU120,tbl_Finance[Row ID],0))&amp;"",""))</f>
        <v/>
      </c>
      <c r="N120" s="11">
        <f>IF($C120="","",MAX(0,N(O120)-N(L120)))</f>
        <v/>
      </c>
      <c r="O120" s="39" t="n"/>
      <c r="P120" s="40">
        <f>IF($C120="","",IF((IF(F120="",", Client","")&amp;IF(G120="",", Description","")&amp;IF(H120="",", Cost Centre","")&amp;IF(I120="",", Invoice Type","")&amp;IF(J120="",", Tax Code","")&amp;IF(O120="",", Expected Revenue","")&amp;IF(COUNTIF(tbl_Finance[Job Number],$C120&amp;"")&gt;1,", Job number used twice",""))="","Complete","Fix: "&amp;MID(IF(F120="",", Client","")&amp;IF(G120="",", Description","")&amp;IF(H120="",", Cost Centre","")&amp;IF(I120="",", Invoice Type","")&amp;IF(J120="",", Tax Code","")&amp;IF(O120="",", Expected Revenue","")&amp;IF(COUNTIF(tbl_Finance[Job Number],$C120&amp;"")&gt;1,", Job number used twice",""),3,300)))</f>
        <v/>
      </c>
      <c r="Q120" s="10">
        <f>IF($C120="","",IF(H120="","(no cost centre)",H120&amp;" - GL "&amp;IFERROR(INDEX(lst_CCtoGL,MATCH(H120,lst_CCforGL,0)),"?")))</f>
        <v/>
      </c>
      <c r="R120" s="11">
        <f>IF($C120="","",IFERROR(N(INDEX(tbl_Finance[Inc GST],MATCH($AU120,tbl_Finance[Row ID],0))),""))</f>
        <v/>
      </c>
      <c r="S120" s="37" t="n"/>
      <c r="T120" s="37" t="n"/>
      <c r="U120" s="37" t="n"/>
      <c r="V120" s="42" t="n"/>
      <c r="W120" s="37" t="n"/>
      <c r="X120" s="10">
        <f>IF(W120="","",IF(AND(LEFT(W120,4)&lt;&gt;"http",set_RMSBase=""),"",HYPERLINK(IF(LEFT(W120,4)="http",W120,set_RMSBase&amp;W120),"Open in RMS")))</f>
        <v/>
      </c>
      <c r="Y120" s="37" t="n"/>
      <c r="Z120" s="10">
        <f>IF(Y120="","",HYPERLINK(IF(LEFT(Y120,4)="http",Y120,set_QwilrBase&amp;Y120),"Open quote"))</f>
        <v/>
      </c>
      <c r="AA120" s="10">
        <f>IF(C120="","",C120)</f>
        <v/>
      </c>
      <c r="AB120" s="37" t="n"/>
      <c r="AC120" s="39" t="n"/>
      <c r="AD120" s="11">
        <f>IF(C120="","",N(L120)+N(AC120))</f>
        <v/>
      </c>
      <c r="AE120" s="43">
        <f>IFERROR(IF(N(AC120)=0,"",AC120/AD120),"")</f>
        <v/>
      </c>
      <c r="AF120" s="39" t="n"/>
      <c r="AG120" s="39" t="n"/>
      <c r="AH120" s="39" t="n"/>
      <c r="AI120" s="39" t="n"/>
      <c r="AJ120" s="11">
        <f>IF(C120="","",IF(H120="VIDEO",N(L120),0))</f>
        <v/>
      </c>
      <c r="AK120" s="43">
        <f>IFERROR(IF(N(L120)=0,"",AJ120/L120),"")</f>
        <v/>
      </c>
      <c r="AL120" s="11">
        <f>IF(C120="","",N(AF120)+N(AG120)+N(AH120)+N(AI120))</f>
        <v/>
      </c>
      <c r="AM120" s="11">
        <f>IF(C120="","",MAX(N(L120),N(O120))-N(AL120))</f>
        <v/>
      </c>
      <c r="AN120" s="43">
        <f>IFERROR(IF(MAX(N(L120),N(O120))=0,"",AM120/MAX(N(L120),N(O120))),"")</f>
        <v/>
      </c>
      <c r="AO120" s="41" t="n"/>
      <c r="AP120" s="41" t="n"/>
      <c r="AQ120" s="41" t="n"/>
      <c r="AR120" s="41" t="n"/>
      <c r="AS120" s="41" t="n"/>
      <c r="AT120" s="37" t="n"/>
      <c r="AU120" s="10" t="inlineStr">
        <is>
          <t>PRD-0116</t>
        </is>
      </c>
    </row>
    <row r="121">
      <c r="A121" s="16">
        <f>IF($C121="","",IFERROR(IF(INDEX(tbl_Finance[Latest Invoice Date],MATCH($AU121,tbl_Finance[Row ID],0))="","",INDEX(tbl_Finance[Latest Invoice Date],MATCH($AU121,tbl_Finance[Row ID],0))),""))</f>
        <v/>
      </c>
      <c r="B121" s="10">
        <f>IF($C121="","",IFERROR(INDEX(tbl_Finance[Invoice Numbers],MATCH($AU121,tbl_Finance[Row ID],0))&amp;"",""))</f>
        <v/>
      </c>
      <c r="C121" s="37" t="n"/>
      <c r="D121" s="10">
        <f>IF($C121="","",IF(COUNTIF(lst_Jobs,$C121&amp;"")&gt;0,"OK","CHECK"))</f>
        <v/>
      </c>
      <c r="E121" s="10">
        <f>IF($C121="","",IFERROR(INDEX(lst_JobName,MATCH($C121&amp;"",lst_Jobs,0)),""))</f>
        <v/>
      </c>
      <c r="F121" s="37" t="n"/>
      <c r="G121" s="37" t="n"/>
      <c r="H121" s="37" t="n"/>
      <c r="I121" s="37" t="n"/>
      <c r="J121" s="37" t="n"/>
      <c r="K121" s="38">
        <f>IF($C121="","",IFERROR(N(INDEX(tbl_Finance[Invoice Count],MATCH($AU121,tbl_Finance[Row ID],0))),""))</f>
        <v/>
      </c>
      <c r="L121" s="11">
        <f>IF($C121="","",IFERROR(N(INDEX(tbl_Finance[Xero Invoiced Ex GST],MATCH($AU121,tbl_Finance[Row ID],0))),""))</f>
        <v/>
      </c>
      <c r="M121" s="10">
        <f>IF($C121="","",IFERROR(INDEX(tbl_Finance[Compare],MATCH($AU121,tbl_Finance[Row ID],0))&amp;"",""))</f>
        <v/>
      </c>
      <c r="N121" s="11">
        <f>IF($C121="","",MAX(0,N(O121)-N(L121)))</f>
        <v/>
      </c>
      <c r="O121" s="39" t="n"/>
      <c r="P121" s="40">
        <f>IF($C121="","",IF((IF(F121="",", Client","")&amp;IF(G121="",", Description","")&amp;IF(H121="",", Cost Centre","")&amp;IF(I121="",", Invoice Type","")&amp;IF(J121="",", Tax Code","")&amp;IF(O121="",", Expected Revenue","")&amp;IF(COUNTIF(tbl_Finance[Job Number],$C121&amp;"")&gt;1,", Job number used twice",""))="","Complete","Fix: "&amp;MID(IF(F121="",", Client","")&amp;IF(G121="",", Description","")&amp;IF(H121="",", Cost Centre","")&amp;IF(I121="",", Invoice Type","")&amp;IF(J121="",", Tax Code","")&amp;IF(O121="",", Expected Revenue","")&amp;IF(COUNTIF(tbl_Finance[Job Number],$C121&amp;"")&gt;1,", Job number used twice",""),3,300)))</f>
        <v/>
      </c>
      <c r="Q121" s="10">
        <f>IF($C121="","",IF(H121="","(no cost centre)",H121&amp;" - GL "&amp;IFERROR(INDEX(lst_CCtoGL,MATCH(H121,lst_CCforGL,0)),"?")))</f>
        <v/>
      </c>
      <c r="R121" s="11">
        <f>IF($C121="","",IFERROR(N(INDEX(tbl_Finance[Inc GST],MATCH($AU121,tbl_Finance[Row ID],0))),""))</f>
        <v/>
      </c>
      <c r="S121" s="37" t="n"/>
      <c r="T121" s="37" t="n"/>
      <c r="U121" s="37" t="n"/>
      <c r="V121" s="42" t="n"/>
      <c r="W121" s="37" t="n"/>
      <c r="X121" s="10">
        <f>IF(W121="","",IF(AND(LEFT(W121,4)&lt;&gt;"http",set_RMSBase=""),"",HYPERLINK(IF(LEFT(W121,4)="http",W121,set_RMSBase&amp;W121),"Open in RMS")))</f>
        <v/>
      </c>
      <c r="Y121" s="37" t="n"/>
      <c r="Z121" s="10">
        <f>IF(Y121="","",HYPERLINK(IF(LEFT(Y121,4)="http",Y121,set_QwilrBase&amp;Y121),"Open quote"))</f>
        <v/>
      </c>
      <c r="AA121" s="10">
        <f>IF(C121="","",C121)</f>
        <v/>
      </c>
      <c r="AB121" s="37" t="n"/>
      <c r="AC121" s="39" t="n"/>
      <c r="AD121" s="11">
        <f>IF(C121="","",N(L121)+N(AC121))</f>
        <v/>
      </c>
      <c r="AE121" s="43">
        <f>IFERROR(IF(N(AC121)=0,"",AC121/AD121),"")</f>
        <v/>
      </c>
      <c r="AF121" s="39" t="n"/>
      <c r="AG121" s="39" t="n"/>
      <c r="AH121" s="39" t="n"/>
      <c r="AI121" s="39" t="n"/>
      <c r="AJ121" s="11">
        <f>IF(C121="","",IF(H121="VIDEO",N(L121),0))</f>
        <v/>
      </c>
      <c r="AK121" s="43">
        <f>IFERROR(IF(N(L121)=0,"",AJ121/L121),"")</f>
        <v/>
      </c>
      <c r="AL121" s="11">
        <f>IF(C121="","",N(AF121)+N(AG121)+N(AH121)+N(AI121))</f>
        <v/>
      </c>
      <c r="AM121" s="11">
        <f>IF(C121="","",MAX(N(L121),N(O121))-N(AL121))</f>
        <v/>
      </c>
      <c r="AN121" s="43">
        <f>IFERROR(IF(MAX(N(L121),N(O121))=0,"",AM121/MAX(N(L121),N(O121))),"")</f>
        <v/>
      </c>
      <c r="AO121" s="41" t="n"/>
      <c r="AP121" s="41" t="n"/>
      <c r="AQ121" s="41" t="n"/>
      <c r="AR121" s="41" t="n"/>
      <c r="AS121" s="41" t="n"/>
      <c r="AT121" s="37" t="n"/>
      <c r="AU121" s="10" t="inlineStr">
        <is>
          <t>PRD-0117</t>
        </is>
      </c>
    </row>
    <row r="122">
      <c r="A122" s="16">
        <f>IF($C122="","",IFERROR(IF(INDEX(tbl_Finance[Latest Invoice Date],MATCH($AU122,tbl_Finance[Row ID],0))="","",INDEX(tbl_Finance[Latest Invoice Date],MATCH($AU122,tbl_Finance[Row ID],0))),""))</f>
        <v/>
      </c>
      <c r="B122" s="10">
        <f>IF($C122="","",IFERROR(INDEX(tbl_Finance[Invoice Numbers],MATCH($AU122,tbl_Finance[Row ID],0))&amp;"",""))</f>
        <v/>
      </c>
      <c r="C122" s="37" t="n"/>
      <c r="D122" s="10">
        <f>IF($C122="","",IF(COUNTIF(lst_Jobs,$C122&amp;"")&gt;0,"OK","CHECK"))</f>
        <v/>
      </c>
      <c r="E122" s="10">
        <f>IF($C122="","",IFERROR(INDEX(lst_JobName,MATCH($C122&amp;"",lst_Jobs,0)),""))</f>
        <v/>
      </c>
      <c r="F122" s="37" t="n"/>
      <c r="G122" s="37" t="n"/>
      <c r="H122" s="37" t="n"/>
      <c r="I122" s="37" t="n"/>
      <c r="J122" s="37" t="n"/>
      <c r="K122" s="38">
        <f>IF($C122="","",IFERROR(N(INDEX(tbl_Finance[Invoice Count],MATCH($AU122,tbl_Finance[Row ID],0))),""))</f>
        <v/>
      </c>
      <c r="L122" s="11">
        <f>IF($C122="","",IFERROR(N(INDEX(tbl_Finance[Xero Invoiced Ex GST],MATCH($AU122,tbl_Finance[Row ID],0))),""))</f>
        <v/>
      </c>
      <c r="M122" s="10">
        <f>IF($C122="","",IFERROR(INDEX(tbl_Finance[Compare],MATCH($AU122,tbl_Finance[Row ID],0))&amp;"",""))</f>
        <v/>
      </c>
      <c r="N122" s="11">
        <f>IF($C122="","",MAX(0,N(O122)-N(L122)))</f>
        <v/>
      </c>
      <c r="O122" s="39" t="n"/>
      <c r="P122" s="40">
        <f>IF($C122="","",IF((IF(F122="",", Client","")&amp;IF(G122="",", Description","")&amp;IF(H122="",", Cost Centre","")&amp;IF(I122="",", Invoice Type","")&amp;IF(J122="",", Tax Code","")&amp;IF(O122="",", Expected Revenue","")&amp;IF(COUNTIF(tbl_Finance[Job Number],$C122&amp;"")&gt;1,", Job number used twice",""))="","Complete","Fix: "&amp;MID(IF(F122="",", Client","")&amp;IF(G122="",", Description","")&amp;IF(H122="",", Cost Centre","")&amp;IF(I122="",", Invoice Type","")&amp;IF(J122="",", Tax Code","")&amp;IF(O122="",", Expected Revenue","")&amp;IF(COUNTIF(tbl_Finance[Job Number],$C122&amp;"")&gt;1,", Job number used twice",""),3,300)))</f>
        <v/>
      </c>
      <c r="Q122" s="10">
        <f>IF($C122="","",IF(H122="","(no cost centre)",H122&amp;" - GL "&amp;IFERROR(INDEX(lst_CCtoGL,MATCH(H122,lst_CCforGL,0)),"?")))</f>
        <v/>
      </c>
      <c r="R122" s="11">
        <f>IF($C122="","",IFERROR(N(INDEX(tbl_Finance[Inc GST],MATCH($AU122,tbl_Finance[Row ID],0))),""))</f>
        <v/>
      </c>
      <c r="S122" s="37" t="n"/>
      <c r="T122" s="37" t="n"/>
      <c r="U122" s="37" t="n"/>
      <c r="V122" s="42" t="n"/>
      <c r="W122" s="37" t="n"/>
      <c r="X122" s="10">
        <f>IF(W122="","",IF(AND(LEFT(W122,4)&lt;&gt;"http",set_RMSBase=""),"",HYPERLINK(IF(LEFT(W122,4)="http",W122,set_RMSBase&amp;W122),"Open in RMS")))</f>
        <v/>
      </c>
      <c r="Y122" s="37" t="n"/>
      <c r="Z122" s="10">
        <f>IF(Y122="","",HYPERLINK(IF(LEFT(Y122,4)="http",Y122,set_QwilrBase&amp;Y122),"Open quote"))</f>
        <v/>
      </c>
      <c r="AA122" s="10">
        <f>IF(C122="","",C122)</f>
        <v/>
      </c>
      <c r="AB122" s="37" t="n"/>
      <c r="AC122" s="39" t="n"/>
      <c r="AD122" s="11">
        <f>IF(C122="","",N(L122)+N(AC122))</f>
        <v/>
      </c>
      <c r="AE122" s="43">
        <f>IFERROR(IF(N(AC122)=0,"",AC122/AD122),"")</f>
        <v/>
      </c>
      <c r="AF122" s="39" t="n"/>
      <c r="AG122" s="39" t="n"/>
      <c r="AH122" s="39" t="n"/>
      <c r="AI122" s="39" t="n"/>
      <c r="AJ122" s="11">
        <f>IF(C122="","",IF(H122="VIDEO",N(L122),0))</f>
        <v/>
      </c>
      <c r="AK122" s="43">
        <f>IFERROR(IF(N(L122)=0,"",AJ122/L122),"")</f>
        <v/>
      </c>
      <c r="AL122" s="11">
        <f>IF(C122="","",N(AF122)+N(AG122)+N(AH122)+N(AI122))</f>
        <v/>
      </c>
      <c r="AM122" s="11">
        <f>IF(C122="","",MAX(N(L122),N(O122))-N(AL122))</f>
        <v/>
      </c>
      <c r="AN122" s="43">
        <f>IFERROR(IF(MAX(N(L122),N(O122))=0,"",AM122/MAX(N(L122),N(O122))),"")</f>
        <v/>
      </c>
      <c r="AO122" s="41" t="n"/>
      <c r="AP122" s="41" t="n"/>
      <c r="AQ122" s="41" t="n"/>
      <c r="AR122" s="41" t="n"/>
      <c r="AS122" s="41" t="n"/>
      <c r="AT122" s="37" t="n"/>
      <c r="AU122" s="10" t="inlineStr">
        <is>
          <t>PRD-0118</t>
        </is>
      </c>
    </row>
    <row r="123">
      <c r="A123" s="16">
        <f>IF($C123="","",IFERROR(IF(INDEX(tbl_Finance[Latest Invoice Date],MATCH($AU123,tbl_Finance[Row ID],0))="","",INDEX(tbl_Finance[Latest Invoice Date],MATCH($AU123,tbl_Finance[Row ID],0))),""))</f>
        <v/>
      </c>
      <c r="B123" s="10">
        <f>IF($C123="","",IFERROR(INDEX(tbl_Finance[Invoice Numbers],MATCH($AU123,tbl_Finance[Row ID],0))&amp;"",""))</f>
        <v/>
      </c>
      <c r="C123" s="37" t="n"/>
      <c r="D123" s="10">
        <f>IF($C123="","",IF(COUNTIF(lst_Jobs,$C123&amp;"")&gt;0,"OK","CHECK"))</f>
        <v/>
      </c>
      <c r="E123" s="10">
        <f>IF($C123="","",IFERROR(INDEX(lst_JobName,MATCH($C123&amp;"",lst_Jobs,0)),""))</f>
        <v/>
      </c>
      <c r="F123" s="37" t="n"/>
      <c r="G123" s="37" t="n"/>
      <c r="H123" s="37" t="n"/>
      <c r="I123" s="37" t="n"/>
      <c r="J123" s="37" t="n"/>
      <c r="K123" s="38">
        <f>IF($C123="","",IFERROR(N(INDEX(tbl_Finance[Invoice Count],MATCH($AU123,tbl_Finance[Row ID],0))),""))</f>
        <v/>
      </c>
      <c r="L123" s="11">
        <f>IF($C123="","",IFERROR(N(INDEX(tbl_Finance[Xero Invoiced Ex GST],MATCH($AU123,tbl_Finance[Row ID],0))),""))</f>
        <v/>
      </c>
      <c r="M123" s="10">
        <f>IF($C123="","",IFERROR(INDEX(tbl_Finance[Compare],MATCH($AU123,tbl_Finance[Row ID],0))&amp;"",""))</f>
        <v/>
      </c>
      <c r="N123" s="11">
        <f>IF($C123="","",MAX(0,N(O123)-N(L123)))</f>
        <v/>
      </c>
      <c r="O123" s="39" t="n"/>
      <c r="P123" s="40">
        <f>IF($C123="","",IF((IF(F123="",", Client","")&amp;IF(G123="",", Description","")&amp;IF(H123="",", Cost Centre","")&amp;IF(I123="",", Invoice Type","")&amp;IF(J123="",", Tax Code","")&amp;IF(O123="",", Expected Revenue","")&amp;IF(COUNTIF(tbl_Finance[Job Number],$C123&amp;"")&gt;1,", Job number used twice",""))="","Complete","Fix: "&amp;MID(IF(F123="",", Client","")&amp;IF(G123="",", Description","")&amp;IF(H123="",", Cost Centre","")&amp;IF(I123="",", Invoice Type","")&amp;IF(J123="",", Tax Code","")&amp;IF(O123="",", Expected Revenue","")&amp;IF(COUNTIF(tbl_Finance[Job Number],$C123&amp;"")&gt;1,", Job number used twice",""),3,300)))</f>
        <v/>
      </c>
      <c r="Q123" s="10">
        <f>IF($C123="","",IF(H123="","(no cost centre)",H123&amp;" - GL "&amp;IFERROR(INDEX(lst_CCtoGL,MATCH(H123,lst_CCforGL,0)),"?")))</f>
        <v/>
      </c>
      <c r="R123" s="11">
        <f>IF($C123="","",IFERROR(N(INDEX(tbl_Finance[Inc GST],MATCH($AU123,tbl_Finance[Row ID],0))),""))</f>
        <v/>
      </c>
      <c r="S123" s="37" t="n"/>
      <c r="T123" s="37" t="n"/>
      <c r="U123" s="37" t="n"/>
      <c r="V123" s="42" t="n"/>
      <c r="W123" s="37" t="n"/>
      <c r="X123" s="10">
        <f>IF(W123="","",IF(AND(LEFT(W123,4)&lt;&gt;"http",set_RMSBase=""),"",HYPERLINK(IF(LEFT(W123,4)="http",W123,set_RMSBase&amp;W123),"Open in RMS")))</f>
        <v/>
      </c>
      <c r="Y123" s="37" t="n"/>
      <c r="Z123" s="10">
        <f>IF(Y123="","",HYPERLINK(IF(LEFT(Y123,4)="http",Y123,set_QwilrBase&amp;Y123),"Open quote"))</f>
        <v/>
      </c>
      <c r="AA123" s="10">
        <f>IF(C123="","",C123)</f>
        <v/>
      </c>
      <c r="AB123" s="37" t="n"/>
      <c r="AC123" s="39" t="n"/>
      <c r="AD123" s="11">
        <f>IF(C123="","",N(L123)+N(AC123))</f>
        <v/>
      </c>
      <c r="AE123" s="43">
        <f>IFERROR(IF(N(AC123)=0,"",AC123/AD123),"")</f>
        <v/>
      </c>
      <c r="AF123" s="39" t="n"/>
      <c r="AG123" s="39" t="n"/>
      <c r="AH123" s="39" t="n"/>
      <c r="AI123" s="39" t="n"/>
      <c r="AJ123" s="11">
        <f>IF(C123="","",IF(H123="VIDEO",N(L123),0))</f>
        <v/>
      </c>
      <c r="AK123" s="43">
        <f>IFERROR(IF(N(L123)=0,"",AJ123/L123),"")</f>
        <v/>
      </c>
      <c r="AL123" s="11">
        <f>IF(C123="","",N(AF123)+N(AG123)+N(AH123)+N(AI123))</f>
        <v/>
      </c>
      <c r="AM123" s="11">
        <f>IF(C123="","",MAX(N(L123),N(O123))-N(AL123))</f>
        <v/>
      </c>
      <c r="AN123" s="43">
        <f>IFERROR(IF(MAX(N(L123),N(O123))=0,"",AM123/MAX(N(L123),N(O123))),"")</f>
        <v/>
      </c>
      <c r="AO123" s="41" t="n"/>
      <c r="AP123" s="41" t="n"/>
      <c r="AQ123" s="41" t="n"/>
      <c r="AR123" s="41" t="n"/>
      <c r="AS123" s="41" t="n"/>
      <c r="AT123" s="37" t="n"/>
      <c r="AU123" s="10" t="inlineStr">
        <is>
          <t>PRD-0119</t>
        </is>
      </c>
    </row>
    <row r="124">
      <c r="A124" s="16">
        <f>IF($C124="","",IFERROR(IF(INDEX(tbl_Finance[Latest Invoice Date],MATCH($AU124,tbl_Finance[Row ID],0))="","",INDEX(tbl_Finance[Latest Invoice Date],MATCH($AU124,tbl_Finance[Row ID],0))),""))</f>
        <v/>
      </c>
      <c r="B124" s="10">
        <f>IF($C124="","",IFERROR(INDEX(tbl_Finance[Invoice Numbers],MATCH($AU124,tbl_Finance[Row ID],0))&amp;"",""))</f>
        <v/>
      </c>
      <c r="C124" s="37" t="n"/>
      <c r="D124" s="10">
        <f>IF($C124="","",IF(COUNTIF(lst_Jobs,$C124&amp;"")&gt;0,"OK","CHECK"))</f>
        <v/>
      </c>
      <c r="E124" s="10">
        <f>IF($C124="","",IFERROR(INDEX(lst_JobName,MATCH($C124&amp;"",lst_Jobs,0)),""))</f>
        <v/>
      </c>
      <c r="F124" s="37" t="n"/>
      <c r="G124" s="37" t="n"/>
      <c r="H124" s="37" t="n"/>
      <c r="I124" s="37" t="n"/>
      <c r="J124" s="37" t="n"/>
      <c r="K124" s="38">
        <f>IF($C124="","",IFERROR(N(INDEX(tbl_Finance[Invoice Count],MATCH($AU124,tbl_Finance[Row ID],0))),""))</f>
        <v/>
      </c>
      <c r="L124" s="11">
        <f>IF($C124="","",IFERROR(N(INDEX(tbl_Finance[Xero Invoiced Ex GST],MATCH($AU124,tbl_Finance[Row ID],0))),""))</f>
        <v/>
      </c>
      <c r="M124" s="10">
        <f>IF($C124="","",IFERROR(INDEX(tbl_Finance[Compare],MATCH($AU124,tbl_Finance[Row ID],0))&amp;"",""))</f>
        <v/>
      </c>
      <c r="N124" s="11">
        <f>IF($C124="","",MAX(0,N(O124)-N(L124)))</f>
        <v/>
      </c>
      <c r="O124" s="39" t="n"/>
      <c r="P124" s="40">
        <f>IF($C124="","",IF((IF(F124="",", Client","")&amp;IF(G124="",", Description","")&amp;IF(H124="",", Cost Centre","")&amp;IF(I124="",", Invoice Type","")&amp;IF(J124="",", Tax Code","")&amp;IF(O124="",", Expected Revenue","")&amp;IF(COUNTIF(tbl_Finance[Job Number],$C124&amp;"")&gt;1,", Job number used twice",""))="","Complete","Fix: "&amp;MID(IF(F124="",", Client","")&amp;IF(G124="",", Description","")&amp;IF(H124="",", Cost Centre","")&amp;IF(I124="",", Invoice Type","")&amp;IF(J124="",", Tax Code","")&amp;IF(O124="",", Expected Revenue","")&amp;IF(COUNTIF(tbl_Finance[Job Number],$C124&amp;"")&gt;1,", Job number used twice",""),3,300)))</f>
        <v/>
      </c>
      <c r="Q124" s="10">
        <f>IF($C124="","",IF(H124="","(no cost centre)",H124&amp;" - GL "&amp;IFERROR(INDEX(lst_CCtoGL,MATCH(H124,lst_CCforGL,0)),"?")))</f>
        <v/>
      </c>
      <c r="R124" s="11">
        <f>IF($C124="","",IFERROR(N(INDEX(tbl_Finance[Inc GST],MATCH($AU124,tbl_Finance[Row ID],0))),""))</f>
        <v/>
      </c>
      <c r="S124" s="37" t="n"/>
      <c r="T124" s="37" t="n"/>
      <c r="U124" s="37" t="n"/>
      <c r="V124" s="42" t="n"/>
      <c r="W124" s="37" t="n"/>
      <c r="X124" s="10">
        <f>IF(W124="","",IF(AND(LEFT(W124,4)&lt;&gt;"http",set_RMSBase=""),"",HYPERLINK(IF(LEFT(W124,4)="http",W124,set_RMSBase&amp;W124),"Open in RMS")))</f>
        <v/>
      </c>
      <c r="Y124" s="37" t="n"/>
      <c r="Z124" s="10">
        <f>IF(Y124="","",HYPERLINK(IF(LEFT(Y124,4)="http",Y124,set_QwilrBase&amp;Y124),"Open quote"))</f>
        <v/>
      </c>
      <c r="AA124" s="10">
        <f>IF(C124="","",C124)</f>
        <v/>
      </c>
      <c r="AB124" s="37" t="n"/>
      <c r="AC124" s="39" t="n"/>
      <c r="AD124" s="11">
        <f>IF(C124="","",N(L124)+N(AC124))</f>
        <v/>
      </c>
      <c r="AE124" s="43">
        <f>IFERROR(IF(N(AC124)=0,"",AC124/AD124),"")</f>
        <v/>
      </c>
      <c r="AF124" s="39" t="n"/>
      <c r="AG124" s="39" t="n"/>
      <c r="AH124" s="39" t="n"/>
      <c r="AI124" s="39" t="n"/>
      <c r="AJ124" s="11">
        <f>IF(C124="","",IF(H124="VIDEO",N(L124),0))</f>
        <v/>
      </c>
      <c r="AK124" s="43">
        <f>IFERROR(IF(N(L124)=0,"",AJ124/L124),"")</f>
        <v/>
      </c>
      <c r="AL124" s="11">
        <f>IF(C124="","",N(AF124)+N(AG124)+N(AH124)+N(AI124))</f>
        <v/>
      </c>
      <c r="AM124" s="11">
        <f>IF(C124="","",MAX(N(L124),N(O124))-N(AL124))</f>
        <v/>
      </c>
      <c r="AN124" s="43">
        <f>IFERROR(IF(MAX(N(L124),N(O124))=0,"",AM124/MAX(N(L124),N(O124))),"")</f>
        <v/>
      </c>
      <c r="AO124" s="41" t="n"/>
      <c r="AP124" s="41" t="n"/>
      <c r="AQ124" s="41" t="n"/>
      <c r="AR124" s="41" t="n"/>
      <c r="AS124" s="41" t="n"/>
      <c r="AT124" s="37" t="n"/>
      <c r="AU124" s="10" t="inlineStr">
        <is>
          <t>PRD-0120</t>
        </is>
      </c>
    </row>
    <row r="125">
      <c r="A125" s="16">
        <f>IF($C125="","",IFERROR(IF(INDEX(tbl_Finance[Latest Invoice Date],MATCH($AU125,tbl_Finance[Row ID],0))="","",INDEX(tbl_Finance[Latest Invoice Date],MATCH($AU125,tbl_Finance[Row ID],0))),""))</f>
        <v/>
      </c>
      <c r="B125" s="10">
        <f>IF($C125="","",IFERROR(INDEX(tbl_Finance[Invoice Numbers],MATCH($AU125,tbl_Finance[Row ID],0))&amp;"",""))</f>
        <v/>
      </c>
      <c r="C125" s="37" t="n"/>
      <c r="D125" s="10">
        <f>IF($C125="","",IF(COUNTIF(lst_Jobs,$C125&amp;"")&gt;0,"OK","CHECK"))</f>
        <v/>
      </c>
      <c r="E125" s="10">
        <f>IF($C125="","",IFERROR(INDEX(lst_JobName,MATCH($C125&amp;"",lst_Jobs,0)),""))</f>
        <v/>
      </c>
      <c r="F125" s="37" t="n"/>
      <c r="G125" s="37" t="n"/>
      <c r="H125" s="37" t="n"/>
      <c r="I125" s="37" t="n"/>
      <c r="J125" s="37" t="n"/>
      <c r="K125" s="38">
        <f>IF($C125="","",IFERROR(N(INDEX(tbl_Finance[Invoice Count],MATCH($AU125,tbl_Finance[Row ID],0))),""))</f>
        <v/>
      </c>
      <c r="L125" s="11">
        <f>IF($C125="","",IFERROR(N(INDEX(tbl_Finance[Xero Invoiced Ex GST],MATCH($AU125,tbl_Finance[Row ID],0))),""))</f>
        <v/>
      </c>
      <c r="M125" s="10">
        <f>IF($C125="","",IFERROR(INDEX(tbl_Finance[Compare],MATCH($AU125,tbl_Finance[Row ID],0))&amp;"",""))</f>
        <v/>
      </c>
      <c r="N125" s="11">
        <f>IF($C125="","",MAX(0,N(O125)-N(L125)))</f>
        <v/>
      </c>
      <c r="O125" s="39" t="n"/>
      <c r="P125" s="40">
        <f>IF($C125="","",IF((IF(F125="",", Client","")&amp;IF(G125="",", Description","")&amp;IF(H125="",", Cost Centre","")&amp;IF(I125="",", Invoice Type","")&amp;IF(J125="",", Tax Code","")&amp;IF(O125="",", Expected Revenue","")&amp;IF(COUNTIF(tbl_Finance[Job Number],$C125&amp;"")&gt;1,", Job number used twice",""))="","Complete","Fix: "&amp;MID(IF(F125="",", Client","")&amp;IF(G125="",", Description","")&amp;IF(H125="",", Cost Centre","")&amp;IF(I125="",", Invoice Type","")&amp;IF(J125="",", Tax Code","")&amp;IF(O125="",", Expected Revenue","")&amp;IF(COUNTIF(tbl_Finance[Job Number],$C125&amp;"")&gt;1,", Job number used twice",""),3,300)))</f>
        <v/>
      </c>
      <c r="Q125" s="10">
        <f>IF($C125="","",IF(H125="","(no cost centre)",H125&amp;" - GL "&amp;IFERROR(INDEX(lst_CCtoGL,MATCH(H125,lst_CCforGL,0)),"?")))</f>
        <v/>
      </c>
      <c r="R125" s="11">
        <f>IF($C125="","",IFERROR(N(INDEX(tbl_Finance[Inc GST],MATCH($AU125,tbl_Finance[Row ID],0))),""))</f>
        <v/>
      </c>
      <c r="S125" s="37" t="n"/>
      <c r="T125" s="37" t="n"/>
      <c r="U125" s="37" t="n"/>
      <c r="V125" s="42" t="n"/>
      <c r="W125" s="37" t="n"/>
      <c r="X125" s="10">
        <f>IF(W125="","",IF(AND(LEFT(W125,4)&lt;&gt;"http",set_RMSBase=""),"",HYPERLINK(IF(LEFT(W125,4)="http",W125,set_RMSBase&amp;W125),"Open in RMS")))</f>
        <v/>
      </c>
      <c r="Y125" s="37" t="n"/>
      <c r="Z125" s="10">
        <f>IF(Y125="","",HYPERLINK(IF(LEFT(Y125,4)="http",Y125,set_QwilrBase&amp;Y125),"Open quote"))</f>
        <v/>
      </c>
      <c r="AA125" s="10">
        <f>IF(C125="","",C125)</f>
        <v/>
      </c>
      <c r="AB125" s="37" t="n"/>
      <c r="AC125" s="39" t="n"/>
      <c r="AD125" s="11">
        <f>IF(C125="","",N(L125)+N(AC125))</f>
        <v/>
      </c>
      <c r="AE125" s="43">
        <f>IFERROR(IF(N(AC125)=0,"",AC125/AD125),"")</f>
        <v/>
      </c>
      <c r="AF125" s="39" t="n"/>
      <c r="AG125" s="39" t="n"/>
      <c r="AH125" s="39" t="n"/>
      <c r="AI125" s="39" t="n"/>
      <c r="AJ125" s="11">
        <f>IF(C125="","",IF(H125="VIDEO",N(L125),0))</f>
        <v/>
      </c>
      <c r="AK125" s="43">
        <f>IFERROR(IF(N(L125)=0,"",AJ125/L125),"")</f>
        <v/>
      </c>
      <c r="AL125" s="11">
        <f>IF(C125="","",N(AF125)+N(AG125)+N(AH125)+N(AI125))</f>
        <v/>
      </c>
      <c r="AM125" s="11">
        <f>IF(C125="","",MAX(N(L125),N(O125))-N(AL125))</f>
        <v/>
      </c>
      <c r="AN125" s="43">
        <f>IFERROR(IF(MAX(N(L125),N(O125))=0,"",AM125/MAX(N(L125),N(O125))),"")</f>
        <v/>
      </c>
      <c r="AO125" s="41" t="n"/>
      <c r="AP125" s="41" t="n"/>
      <c r="AQ125" s="41" t="n"/>
      <c r="AR125" s="41" t="n"/>
      <c r="AS125" s="41" t="n"/>
      <c r="AT125" s="37" t="n"/>
      <c r="AU125" s="10" t="inlineStr">
        <is>
          <t>PRD-0121</t>
        </is>
      </c>
    </row>
    <row r="126">
      <c r="A126" s="16">
        <f>IF($C126="","",IFERROR(IF(INDEX(tbl_Finance[Latest Invoice Date],MATCH($AU126,tbl_Finance[Row ID],0))="","",INDEX(tbl_Finance[Latest Invoice Date],MATCH($AU126,tbl_Finance[Row ID],0))),""))</f>
        <v/>
      </c>
      <c r="B126" s="10">
        <f>IF($C126="","",IFERROR(INDEX(tbl_Finance[Invoice Numbers],MATCH($AU126,tbl_Finance[Row ID],0))&amp;"",""))</f>
        <v/>
      </c>
      <c r="C126" s="37" t="n"/>
      <c r="D126" s="10">
        <f>IF($C126="","",IF(COUNTIF(lst_Jobs,$C126&amp;"")&gt;0,"OK","CHECK"))</f>
        <v/>
      </c>
      <c r="E126" s="10">
        <f>IF($C126="","",IFERROR(INDEX(lst_JobName,MATCH($C126&amp;"",lst_Jobs,0)),""))</f>
        <v/>
      </c>
      <c r="F126" s="37" t="n"/>
      <c r="G126" s="37" t="n"/>
      <c r="H126" s="37" t="n"/>
      <c r="I126" s="37" t="n"/>
      <c r="J126" s="37" t="n"/>
      <c r="K126" s="38">
        <f>IF($C126="","",IFERROR(N(INDEX(tbl_Finance[Invoice Count],MATCH($AU126,tbl_Finance[Row ID],0))),""))</f>
        <v/>
      </c>
      <c r="L126" s="11">
        <f>IF($C126="","",IFERROR(N(INDEX(tbl_Finance[Xero Invoiced Ex GST],MATCH($AU126,tbl_Finance[Row ID],0))),""))</f>
        <v/>
      </c>
      <c r="M126" s="10">
        <f>IF($C126="","",IFERROR(INDEX(tbl_Finance[Compare],MATCH($AU126,tbl_Finance[Row ID],0))&amp;"",""))</f>
        <v/>
      </c>
      <c r="N126" s="11">
        <f>IF($C126="","",MAX(0,N(O126)-N(L126)))</f>
        <v/>
      </c>
      <c r="O126" s="39" t="n"/>
      <c r="P126" s="40">
        <f>IF($C126="","",IF((IF(F126="",", Client","")&amp;IF(G126="",", Description","")&amp;IF(H126="",", Cost Centre","")&amp;IF(I126="",", Invoice Type","")&amp;IF(J126="",", Tax Code","")&amp;IF(O126="",", Expected Revenue","")&amp;IF(COUNTIF(tbl_Finance[Job Number],$C126&amp;"")&gt;1,", Job number used twice",""))="","Complete","Fix: "&amp;MID(IF(F126="",", Client","")&amp;IF(G126="",", Description","")&amp;IF(H126="",", Cost Centre","")&amp;IF(I126="",", Invoice Type","")&amp;IF(J126="",", Tax Code","")&amp;IF(O126="",", Expected Revenue","")&amp;IF(COUNTIF(tbl_Finance[Job Number],$C126&amp;"")&gt;1,", Job number used twice",""),3,300)))</f>
        <v/>
      </c>
      <c r="Q126" s="10">
        <f>IF($C126="","",IF(H126="","(no cost centre)",H126&amp;" - GL "&amp;IFERROR(INDEX(lst_CCtoGL,MATCH(H126,lst_CCforGL,0)),"?")))</f>
        <v/>
      </c>
      <c r="R126" s="11">
        <f>IF($C126="","",IFERROR(N(INDEX(tbl_Finance[Inc GST],MATCH($AU126,tbl_Finance[Row ID],0))),""))</f>
        <v/>
      </c>
      <c r="S126" s="37" t="n"/>
      <c r="T126" s="37" t="n"/>
      <c r="U126" s="37" t="n"/>
      <c r="V126" s="42" t="n"/>
      <c r="W126" s="37" t="n"/>
      <c r="X126" s="10">
        <f>IF(W126="","",IF(AND(LEFT(W126,4)&lt;&gt;"http",set_RMSBase=""),"",HYPERLINK(IF(LEFT(W126,4)="http",W126,set_RMSBase&amp;W126),"Open in RMS")))</f>
        <v/>
      </c>
      <c r="Y126" s="37" t="n"/>
      <c r="Z126" s="10">
        <f>IF(Y126="","",HYPERLINK(IF(LEFT(Y126,4)="http",Y126,set_QwilrBase&amp;Y126),"Open quote"))</f>
        <v/>
      </c>
      <c r="AA126" s="10">
        <f>IF(C126="","",C126)</f>
        <v/>
      </c>
      <c r="AB126" s="37" t="n"/>
      <c r="AC126" s="39" t="n"/>
      <c r="AD126" s="11">
        <f>IF(C126="","",N(L126)+N(AC126))</f>
        <v/>
      </c>
      <c r="AE126" s="43">
        <f>IFERROR(IF(N(AC126)=0,"",AC126/AD126),"")</f>
        <v/>
      </c>
      <c r="AF126" s="39" t="n"/>
      <c r="AG126" s="39" t="n"/>
      <c r="AH126" s="39" t="n"/>
      <c r="AI126" s="39" t="n"/>
      <c r="AJ126" s="11">
        <f>IF(C126="","",IF(H126="VIDEO",N(L126),0))</f>
        <v/>
      </c>
      <c r="AK126" s="43">
        <f>IFERROR(IF(N(L126)=0,"",AJ126/L126),"")</f>
        <v/>
      </c>
      <c r="AL126" s="11">
        <f>IF(C126="","",N(AF126)+N(AG126)+N(AH126)+N(AI126))</f>
        <v/>
      </c>
      <c r="AM126" s="11">
        <f>IF(C126="","",MAX(N(L126),N(O126))-N(AL126))</f>
        <v/>
      </c>
      <c r="AN126" s="43">
        <f>IFERROR(IF(MAX(N(L126),N(O126))=0,"",AM126/MAX(N(L126),N(O126))),"")</f>
        <v/>
      </c>
      <c r="AO126" s="41" t="n"/>
      <c r="AP126" s="41" t="n"/>
      <c r="AQ126" s="41" t="n"/>
      <c r="AR126" s="41" t="n"/>
      <c r="AS126" s="41" t="n"/>
      <c r="AT126" s="37" t="n"/>
      <c r="AU126" s="10" t="inlineStr">
        <is>
          <t>PRD-0122</t>
        </is>
      </c>
    </row>
    <row r="127">
      <c r="A127" s="16">
        <f>IF($C127="","",IFERROR(IF(INDEX(tbl_Finance[Latest Invoice Date],MATCH($AU127,tbl_Finance[Row ID],0))="","",INDEX(tbl_Finance[Latest Invoice Date],MATCH($AU127,tbl_Finance[Row ID],0))),""))</f>
        <v/>
      </c>
      <c r="B127" s="10">
        <f>IF($C127="","",IFERROR(INDEX(tbl_Finance[Invoice Numbers],MATCH($AU127,tbl_Finance[Row ID],0))&amp;"",""))</f>
        <v/>
      </c>
      <c r="C127" s="37" t="n"/>
      <c r="D127" s="10">
        <f>IF($C127="","",IF(COUNTIF(lst_Jobs,$C127&amp;"")&gt;0,"OK","CHECK"))</f>
        <v/>
      </c>
      <c r="E127" s="10">
        <f>IF($C127="","",IFERROR(INDEX(lst_JobName,MATCH($C127&amp;"",lst_Jobs,0)),""))</f>
        <v/>
      </c>
      <c r="F127" s="37" t="n"/>
      <c r="G127" s="37" t="n"/>
      <c r="H127" s="37" t="n"/>
      <c r="I127" s="37" t="n"/>
      <c r="J127" s="37" t="n"/>
      <c r="K127" s="38">
        <f>IF($C127="","",IFERROR(N(INDEX(tbl_Finance[Invoice Count],MATCH($AU127,tbl_Finance[Row ID],0))),""))</f>
        <v/>
      </c>
      <c r="L127" s="11">
        <f>IF($C127="","",IFERROR(N(INDEX(tbl_Finance[Xero Invoiced Ex GST],MATCH($AU127,tbl_Finance[Row ID],0))),""))</f>
        <v/>
      </c>
      <c r="M127" s="10">
        <f>IF($C127="","",IFERROR(INDEX(tbl_Finance[Compare],MATCH($AU127,tbl_Finance[Row ID],0))&amp;"",""))</f>
        <v/>
      </c>
      <c r="N127" s="11">
        <f>IF($C127="","",MAX(0,N(O127)-N(L127)))</f>
        <v/>
      </c>
      <c r="O127" s="39" t="n"/>
      <c r="P127" s="40">
        <f>IF($C127="","",IF((IF(F127="",", Client","")&amp;IF(G127="",", Description","")&amp;IF(H127="",", Cost Centre","")&amp;IF(I127="",", Invoice Type","")&amp;IF(J127="",", Tax Code","")&amp;IF(O127="",", Expected Revenue","")&amp;IF(COUNTIF(tbl_Finance[Job Number],$C127&amp;"")&gt;1,", Job number used twice",""))="","Complete","Fix: "&amp;MID(IF(F127="",", Client","")&amp;IF(G127="",", Description","")&amp;IF(H127="",", Cost Centre","")&amp;IF(I127="",", Invoice Type","")&amp;IF(J127="",", Tax Code","")&amp;IF(O127="",", Expected Revenue","")&amp;IF(COUNTIF(tbl_Finance[Job Number],$C127&amp;"")&gt;1,", Job number used twice",""),3,300)))</f>
        <v/>
      </c>
      <c r="Q127" s="10">
        <f>IF($C127="","",IF(H127="","(no cost centre)",H127&amp;" - GL "&amp;IFERROR(INDEX(lst_CCtoGL,MATCH(H127,lst_CCforGL,0)),"?")))</f>
        <v/>
      </c>
      <c r="R127" s="11">
        <f>IF($C127="","",IFERROR(N(INDEX(tbl_Finance[Inc GST],MATCH($AU127,tbl_Finance[Row ID],0))),""))</f>
        <v/>
      </c>
      <c r="S127" s="37" t="n"/>
      <c r="T127" s="37" t="n"/>
      <c r="U127" s="37" t="n"/>
      <c r="V127" s="42" t="n"/>
      <c r="W127" s="37" t="n"/>
      <c r="X127" s="10">
        <f>IF(W127="","",IF(AND(LEFT(W127,4)&lt;&gt;"http",set_RMSBase=""),"",HYPERLINK(IF(LEFT(W127,4)="http",W127,set_RMSBase&amp;W127),"Open in RMS")))</f>
        <v/>
      </c>
      <c r="Y127" s="37" t="n"/>
      <c r="Z127" s="10">
        <f>IF(Y127="","",HYPERLINK(IF(LEFT(Y127,4)="http",Y127,set_QwilrBase&amp;Y127),"Open quote"))</f>
        <v/>
      </c>
      <c r="AA127" s="10">
        <f>IF(C127="","",C127)</f>
        <v/>
      </c>
      <c r="AB127" s="37" t="n"/>
      <c r="AC127" s="39" t="n"/>
      <c r="AD127" s="11">
        <f>IF(C127="","",N(L127)+N(AC127))</f>
        <v/>
      </c>
      <c r="AE127" s="43">
        <f>IFERROR(IF(N(AC127)=0,"",AC127/AD127),"")</f>
        <v/>
      </c>
      <c r="AF127" s="39" t="n"/>
      <c r="AG127" s="39" t="n"/>
      <c r="AH127" s="39" t="n"/>
      <c r="AI127" s="39" t="n"/>
      <c r="AJ127" s="11">
        <f>IF(C127="","",IF(H127="VIDEO",N(L127),0))</f>
        <v/>
      </c>
      <c r="AK127" s="43">
        <f>IFERROR(IF(N(L127)=0,"",AJ127/L127),"")</f>
        <v/>
      </c>
      <c r="AL127" s="11">
        <f>IF(C127="","",N(AF127)+N(AG127)+N(AH127)+N(AI127))</f>
        <v/>
      </c>
      <c r="AM127" s="11">
        <f>IF(C127="","",MAX(N(L127),N(O127))-N(AL127))</f>
        <v/>
      </c>
      <c r="AN127" s="43">
        <f>IFERROR(IF(MAX(N(L127),N(O127))=0,"",AM127/MAX(N(L127),N(O127))),"")</f>
        <v/>
      </c>
      <c r="AO127" s="41" t="n"/>
      <c r="AP127" s="41" t="n"/>
      <c r="AQ127" s="41" t="n"/>
      <c r="AR127" s="41" t="n"/>
      <c r="AS127" s="41" t="n"/>
      <c r="AT127" s="37" t="n"/>
      <c r="AU127" s="10" t="inlineStr">
        <is>
          <t>PRD-0123</t>
        </is>
      </c>
    </row>
    <row r="128">
      <c r="A128" s="16">
        <f>IF($C128="","",IFERROR(IF(INDEX(tbl_Finance[Latest Invoice Date],MATCH($AU128,tbl_Finance[Row ID],0))="","",INDEX(tbl_Finance[Latest Invoice Date],MATCH($AU128,tbl_Finance[Row ID],0))),""))</f>
        <v/>
      </c>
      <c r="B128" s="10">
        <f>IF($C128="","",IFERROR(INDEX(tbl_Finance[Invoice Numbers],MATCH($AU128,tbl_Finance[Row ID],0))&amp;"",""))</f>
        <v/>
      </c>
      <c r="C128" s="37" t="n"/>
      <c r="D128" s="10">
        <f>IF($C128="","",IF(COUNTIF(lst_Jobs,$C128&amp;"")&gt;0,"OK","CHECK"))</f>
        <v/>
      </c>
      <c r="E128" s="10">
        <f>IF($C128="","",IFERROR(INDEX(lst_JobName,MATCH($C128&amp;"",lst_Jobs,0)),""))</f>
        <v/>
      </c>
      <c r="F128" s="37" t="n"/>
      <c r="G128" s="37" t="n"/>
      <c r="H128" s="37" t="n"/>
      <c r="I128" s="37" t="n"/>
      <c r="J128" s="37" t="n"/>
      <c r="K128" s="38">
        <f>IF($C128="","",IFERROR(N(INDEX(tbl_Finance[Invoice Count],MATCH($AU128,tbl_Finance[Row ID],0))),""))</f>
        <v/>
      </c>
      <c r="L128" s="11">
        <f>IF($C128="","",IFERROR(N(INDEX(tbl_Finance[Xero Invoiced Ex GST],MATCH($AU128,tbl_Finance[Row ID],0))),""))</f>
        <v/>
      </c>
      <c r="M128" s="10">
        <f>IF($C128="","",IFERROR(INDEX(tbl_Finance[Compare],MATCH($AU128,tbl_Finance[Row ID],0))&amp;"",""))</f>
        <v/>
      </c>
      <c r="N128" s="11">
        <f>IF($C128="","",MAX(0,N(O128)-N(L128)))</f>
        <v/>
      </c>
      <c r="O128" s="39" t="n"/>
      <c r="P128" s="40">
        <f>IF($C128="","",IF((IF(F128="",", Client","")&amp;IF(G128="",", Description","")&amp;IF(H128="",", Cost Centre","")&amp;IF(I128="",", Invoice Type","")&amp;IF(J128="",", Tax Code","")&amp;IF(O128="",", Expected Revenue","")&amp;IF(COUNTIF(tbl_Finance[Job Number],$C128&amp;"")&gt;1,", Job number used twice",""))="","Complete","Fix: "&amp;MID(IF(F128="",", Client","")&amp;IF(G128="",", Description","")&amp;IF(H128="",", Cost Centre","")&amp;IF(I128="",", Invoice Type","")&amp;IF(J128="",", Tax Code","")&amp;IF(O128="",", Expected Revenue","")&amp;IF(COUNTIF(tbl_Finance[Job Number],$C128&amp;"")&gt;1,", Job number used twice",""),3,300)))</f>
        <v/>
      </c>
      <c r="Q128" s="10">
        <f>IF($C128="","",IF(H128="","(no cost centre)",H128&amp;" - GL "&amp;IFERROR(INDEX(lst_CCtoGL,MATCH(H128,lst_CCforGL,0)),"?")))</f>
        <v/>
      </c>
      <c r="R128" s="11">
        <f>IF($C128="","",IFERROR(N(INDEX(tbl_Finance[Inc GST],MATCH($AU128,tbl_Finance[Row ID],0))),""))</f>
        <v/>
      </c>
      <c r="S128" s="37" t="n"/>
      <c r="T128" s="37" t="n"/>
      <c r="U128" s="37" t="n"/>
      <c r="V128" s="42" t="n"/>
      <c r="W128" s="37" t="n"/>
      <c r="X128" s="10">
        <f>IF(W128="","",IF(AND(LEFT(W128,4)&lt;&gt;"http",set_RMSBase=""),"",HYPERLINK(IF(LEFT(W128,4)="http",W128,set_RMSBase&amp;W128),"Open in RMS")))</f>
        <v/>
      </c>
      <c r="Y128" s="37" t="n"/>
      <c r="Z128" s="10">
        <f>IF(Y128="","",HYPERLINK(IF(LEFT(Y128,4)="http",Y128,set_QwilrBase&amp;Y128),"Open quote"))</f>
        <v/>
      </c>
      <c r="AA128" s="10">
        <f>IF(C128="","",C128)</f>
        <v/>
      </c>
      <c r="AB128" s="37" t="n"/>
      <c r="AC128" s="39" t="n"/>
      <c r="AD128" s="11">
        <f>IF(C128="","",N(L128)+N(AC128))</f>
        <v/>
      </c>
      <c r="AE128" s="43">
        <f>IFERROR(IF(N(AC128)=0,"",AC128/AD128),"")</f>
        <v/>
      </c>
      <c r="AF128" s="39" t="n"/>
      <c r="AG128" s="39" t="n"/>
      <c r="AH128" s="39" t="n"/>
      <c r="AI128" s="39" t="n"/>
      <c r="AJ128" s="11">
        <f>IF(C128="","",IF(H128="VIDEO",N(L128),0))</f>
        <v/>
      </c>
      <c r="AK128" s="43">
        <f>IFERROR(IF(N(L128)=0,"",AJ128/L128),"")</f>
        <v/>
      </c>
      <c r="AL128" s="11">
        <f>IF(C128="","",N(AF128)+N(AG128)+N(AH128)+N(AI128))</f>
        <v/>
      </c>
      <c r="AM128" s="11">
        <f>IF(C128="","",MAX(N(L128),N(O128))-N(AL128))</f>
        <v/>
      </c>
      <c r="AN128" s="43">
        <f>IFERROR(IF(MAX(N(L128),N(O128))=0,"",AM128/MAX(N(L128),N(O128))),"")</f>
        <v/>
      </c>
      <c r="AO128" s="41" t="n"/>
      <c r="AP128" s="41" t="n"/>
      <c r="AQ128" s="41" t="n"/>
      <c r="AR128" s="41" t="n"/>
      <c r="AS128" s="41" t="n"/>
      <c r="AT128" s="37" t="n"/>
      <c r="AU128" s="10" t="inlineStr">
        <is>
          <t>PRD-0124</t>
        </is>
      </c>
    </row>
    <row r="129">
      <c r="A129" s="16">
        <f>IF($C129="","",IFERROR(IF(INDEX(tbl_Finance[Latest Invoice Date],MATCH($AU129,tbl_Finance[Row ID],0))="","",INDEX(tbl_Finance[Latest Invoice Date],MATCH($AU129,tbl_Finance[Row ID],0))),""))</f>
        <v/>
      </c>
      <c r="B129" s="10">
        <f>IF($C129="","",IFERROR(INDEX(tbl_Finance[Invoice Numbers],MATCH($AU129,tbl_Finance[Row ID],0))&amp;"",""))</f>
        <v/>
      </c>
      <c r="C129" s="37" t="n"/>
      <c r="D129" s="10">
        <f>IF($C129="","",IF(COUNTIF(lst_Jobs,$C129&amp;"")&gt;0,"OK","CHECK"))</f>
        <v/>
      </c>
      <c r="E129" s="10">
        <f>IF($C129="","",IFERROR(INDEX(lst_JobName,MATCH($C129&amp;"",lst_Jobs,0)),""))</f>
        <v/>
      </c>
      <c r="F129" s="37" t="n"/>
      <c r="G129" s="37" t="n"/>
      <c r="H129" s="37" t="n"/>
      <c r="I129" s="37" t="n"/>
      <c r="J129" s="37" t="n"/>
      <c r="K129" s="38">
        <f>IF($C129="","",IFERROR(N(INDEX(tbl_Finance[Invoice Count],MATCH($AU129,tbl_Finance[Row ID],0))),""))</f>
        <v/>
      </c>
      <c r="L129" s="11">
        <f>IF($C129="","",IFERROR(N(INDEX(tbl_Finance[Xero Invoiced Ex GST],MATCH($AU129,tbl_Finance[Row ID],0))),""))</f>
        <v/>
      </c>
      <c r="M129" s="10">
        <f>IF($C129="","",IFERROR(INDEX(tbl_Finance[Compare],MATCH($AU129,tbl_Finance[Row ID],0))&amp;"",""))</f>
        <v/>
      </c>
      <c r="N129" s="11">
        <f>IF($C129="","",MAX(0,N(O129)-N(L129)))</f>
        <v/>
      </c>
      <c r="O129" s="39" t="n"/>
      <c r="P129" s="40">
        <f>IF($C129="","",IF((IF(F129="",", Client","")&amp;IF(G129="",", Description","")&amp;IF(H129="",", Cost Centre","")&amp;IF(I129="",", Invoice Type","")&amp;IF(J129="",", Tax Code","")&amp;IF(O129="",", Expected Revenue","")&amp;IF(COUNTIF(tbl_Finance[Job Number],$C129&amp;"")&gt;1,", Job number used twice",""))="","Complete","Fix: "&amp;MID(IF(F129="",", Client","")&amp;IF(G129="",", Description","")&amp;IF(H129="",", Cost Centre","")&amp;IF(I129="",", Invoice Type","")&amp;IF(J129="",", Tax Code","")&amp;IF(O129="",", Expected Revenue","")&amp;IF(COUNTIF(tbl_Finance[Job Number],$C129&amp;"")&gt;1,", Job number used twice",""),3,300)))</f>
        <v/>
      </c>
      <c r="Q129" s="10">
        <f>IF($C129="","",IF(H129="","(no cost centre)",H129&amp;" - GL "&amp;IFERROR(INDEX(lst_CCtoGL,MATCH(H129,lst_CCforGL,0)),"?")))</f>
        <v/>
      </c>
      <c r="R129" s="11">
        <f>IF($C129="","",IFERROR(N(INDEX(tbl_Finance[Inc GST],MATCH($AU129,tbl_Finance[Row ID],0))),""))</f>
        <v/>
      </c>
      <c r="S129" s="37" t="n"/>
      <c r="T129" s="37" t="n"/>
      <c r="U129" s="37" t="n"/>
      <c r="V129" s="42" t="n"/>
      <c r="W129" s="37" t="n"/>
      <c r="X129" s="10">
        <f>IF(W129="","",IF(AND(LEFT(W129,4)&lt;&gt;"http",set_RMSBase=""),"",HYPERLINK(IF(LEFT(W129,4)="http",W129,set_RMSBase&amp;W129),"Open in RMS")))</f>
        <v/>
      </c>
      <c r="Y129" s="37" t="n"/>
      <c r="Z129" s="10">
        <f>IF(Y129="","",HYPERLINK(IF(LEFT(Y129,4)="http",Y129,set_QwilrBase&amp;Y129),"Open quote"))</f>
        <v/>
      </c>
      <c r="AA129" s="10">
        <f>IF(C129="","",C129)</f>
        <v/>
      </c>
      <c r="AB129" s="37" t="n"/>
      <c r="AC129" s="39" t="n"/>
      <c r="AD129" s="11">
        <f>IF(C129="","",N(L129)+N(AC129))</f>
        <v/>
      </c>
      <c r="AE129" s="43">
        <f>IFERROR(IF(N(AC129)=0,"",AC129/AD129),"")</f>
        <v/>
      </c>
      <c r="AF129" s="39" t="n"/>
      <c r="AG129" s="39" t="n"/>
      <c r="AH129" s="39" t="n"/>
      <c r="AI129" s="39" t="n"/>
      <c r="AJ129" s="11">
        <f>IF(C129="","",IF(H129="VIDEO",N(L129),0))</f>
        <v/>
      </c>
      <c r="AK129" s="43">
        <f>IFERROR(IF(N(L129)=0,"",AJ129/L129),"")</f>
        <v/>
      </c>
      <c r="AL129" s="11">
        <f>IF(C129="","",N(AF129)+N(AG129)+N(AH129)+N(AI129))</f>
        <v/>
      </c>
      <c r="AM129" s="11">
        <f>IF(C129="","",MAX(N(L129),N(O129))-N(AL129))</f>
        <v/>
      </c>
      <c r="AN129" s="43">
        <f>IFERROR(IF(MAX(N(L129),N(O129))=0,"",AM129/MAX(N(L129),N(O129))),"")</f>
        <v/>
      </c>
      <c r="AO129" s="41" t="n"/>
      <c r="AP129" s="41" t="n"/>
      <c r="AQ129" s="41" t="n"/>
      <c r="AR129" s="41" t="n"/>
      <c r="AS129" s="41" t="n"/>
      <c r="AT129" s="37" t="n"/>
      <c r="AU129" s="10" t="inlineStr">
        <is>
          <t>PRD-0125</t>
        </is>
      </c>
    </row>
    <row r="130">
      <c r="A130" s="16">
        <f>IF($C130="","",IFERROR(IF(INDEX(tbl_Finance[Latest Invoice Date],MATCH($AU130,tbl_Finance[Row ID],0))="","",INDEX(tbl_Finance[Latest Invoice Date],MATCH($AU130,tbl_Finance[Row ID],0))),""))</f>
        <v/>
      </c>
      <c r="B130" s="10">
        <f>IF($C130="","",IFERROR(INDEX(tbl_Finance[Invoice Numbers],MATCH($AU130,tbl_Finance[Row ID],0))&amp;"",""))</f>
        <v/>
      </c>
      <c r="C130" s="37" t="n"/>
      <c r="D130" s="10">
        <f>IF($C130="","",IF(COUNTIF(lst_Jobs,$C130&amp;"")&gt;0,"OK","CHECK"))</f>
        <v/>
      </c>
      <c r="E130" s="10">
        <f>IF($C130="","",IFERROR(INDEX(lst_JobName,MATCH($C130&amp;"",lst_Jobs,0)),""))</f>
        <v/>
      </c>
      <c r="F130" s="37" t="n"/>
      <c r="G130" s="37" t="n"/>
      <c r="H130" s="37" t="n"/>
      <c r="I130" s="37" t="n"/>
      <c r="J130" s="37" t="n"/>
      <c r="K130" s="38">
        <f>IF($C130="","",IFERROR(N(INDEX(tbl_Finance[Invoice Count],MATCH($AU130,tbl_Finance[Row ID],0))),""))</f>
        <v/>
      </c>
      <c r="L130" s="11">
        <f>IF($C130="","",IFERROR(N(INDEX(tbl_Finance[Xero Invoiced Ex GST],MATCH($AU130,tbl_Finance[Row ID],0))),""))</f>
        <v/>
      </c>
      <c r="M130" s="10">
        <f>IF($C130="","",IFERROR(INDEX(tbl_Finance[Compare],MATCH($AU130,tbl_Finance[Row ID],0))&amp;"",""))</f>
        <v/>
      </c>
      <c r="N130" s="11">
        <f>IF($C130="","",MAX(0,N(O130)-N(L130)))</f>
        <v/>
      </c>
      <c r="O130" s="39" t="n"/>
      <c r="P130" s="40">
        <f>IF($C130="","",IF((IF(F130="",", Client","")&amp;IF(G130="",", Description","")&amp;IF(H130="",", Cost Centre","")&amp;IF(I130="",", Invoice Type","")&amp;IF(J130="",", Tax Code","")&amp;IF(O130="",", Expected Revenue","")&amp;IF(COUNTIF(tbl_Finance[Job Number],$C130&amp;"")&gt;1,", Job number used twice",""))="","Complete","Fix: "&amp;MID(IF(F130="",", Client","")&amp;IF(G130="",", Description","")&amp;IF(H130="",", Cost Centre","")&amp;IF(I130="",", Invoice Type","")&amp;IF(J130="",", Tax Code","")&amp;IF(O130="",", Expected Revenue","")&amp;IF(COUNTIF(tbl_Finance[Job Number],$C130&amp;"")&gt;1,", Job number used twice",""),3,300)))</f>
        <v/>
      </c>
      <c r="Q130" s="10">
        <f>IF($C130="","",IF(H130="","(no cost centre)",H130&amp;" - GL "&amp;IFERROR(INDEX(lst_CCtoGL,MATCH(H130,lst_CCforGL,0)),"?")))</f>
        <v/>
      </c>
      <c r="R130" s="11">
        <f>IF($C130="","",IFERROR(N(INDEX(tbl_Finance[Inc GST],MATCH($AU130,tbl_Finance[Row ID],0))),""))</f>
        <v/>
      </c>
      <c r="S130" s="37" t="n"/>
      <c r="T130" s="37" t="n"/>
      <c r="U130" s="37" t="n"/>
      <c r="V130" s="42" t="n"/>
      <c r="W130" s="37" t="n"/>
      <c r="X130" s="10">
        <f>IF(W130="","",IF(AND(LEFT(W130,4)&lt;&gt;"http",set_RMSBase=""),"",HYPERLINK(IF(LEFT(W130,4)="http",W130,set_RMSBase&amp;W130),"Open in RMS")))</f>
        <v/>
      </c>
      <c r="Y130" s="37" t="n"/>
      <c r="Z130" s="10">
        <f>IF(Y130="","",HYPERLINK(IF(LEFT(Y130,4)="http",Y130,set_QwilrBase&amp;Y130),"Open quote"))</f>
        <v/>
      </c>
      <c r="AA130" s="10">
        <f>IF(C130="","",C130)</f>
        <v/>
      </c>
      <c r="AB130" s="37" t="n"/>
      <c r="AC130" s="39" t="n"/>
      <c r="AD130" s="11">
        <f>IF(C130="","",N(L130)+N(AC130))</f>
        <v/>
      </c>
      <c r="AE130" s="43">
        <f>IFERROR(IF(N(AC130)=0,"",AC130/AD130),"")</f>
        <v/>
      </c>
      <c r="AF130" s="39" t="n"/>
      <c r="AG130" s="39" t="n"/>
      <c r="AH130" s="39" t="n"/>
      <c r="AI130" s="39" t="n"/>
      <c r="AJ130" s="11">
        <f>IF(C130="","",IF(H130="VIDEO",N(L130),0))</f>
        <v/>
      </c>
      <c r="AK130" s="43">
        <f>IFERROR(IF(N(L130)=0,"",AJ130/L130),"")</f>
        <v/>
      </c>
      <c r="AL130" s="11">
        <f>IF(C130="","",N(AF130)+N(AG130)+N(AH130)+N(AI130))</f>
        <v/>
      </c>
      <c r="AM130" s="11">
        <f>IF(C130="","",MAX(N(L130),N(O130))-N(AL130))</f>
        <v/>
      </c>
      <c r="AN130" s="43">
        <f>IFERROR(IF(MAX(N(L130),N(O130))=0,"",AM130/MAX(N(L130),N(O130))),"")</f>
        <v/>
      </c>
      <c r="AO130" s="41" t="n"/>
      <c r="AP130" s="41" t="n"/>
      <c r="AQ130" s="41" t="n"/>
      <c r="AR130" s="41" t="n"/>
      <c r="AS130" s="41" t="n"/>
      <c r="AT130" s="37" t="n"/>
      <c r="AU130" s="10" t="inlineStr">
        <is>
          <t>PRD-0126</t>
        </is>
      </c>
    </row>
    <row r="131">
      <c r="A131" s="16">
        <f>IF($C131="","",IFERROR(IF(INDEX(tbl_Finance[Latest Invoice Date],MATCH($AU131,tbl_Finance[Row ID],0))="","",INDEX(tbl_Finance[Latest Invoice Date],MATCH($AU131,tbl_Finance[Row ID],0))),""))</f>
        <v/>
      </c>
      <c r="B131" s="10">
        <f>IF($C131="","",IFERROR(INDEX(tbl_Finance[Invoice Numbers],MATCH($AU131,tbl_Finance[Row ID],0))&amp;"",""))</f>
        <v/>
      </c>
      <c r="C131" s="37" t="n"/>
      <c r="D131" s="10">
        <f>IF($C131="","",IF(COUNTIF(lst_Jobs,$C131&amp;"")&gt;0,"OK","CHECK"))</f>
        <v/>
      </c>
      <c r="E131" s="10">
        <f>IF($C131="","",IFERROR(INDEX(lst_JobName,MATCH($C131&amp;"",lst_Jobs,0)),""))</f>
        <v/>
      </c>
      <c r="F131" s="37" t="n"/>
      <c r="G131" s="37" t="n"/>
      <c r="H131" s="37" t="n"/>
      <c r="I131" s="37" t="n"/>
      <c r="J131" s="37" t="n"/>
      <c r="K131" s="38">
        <f>IF($C131="","",IFERROR(N(INDEX(tbl_Finance[Invoice Count],MATCH($AU131,tbl_Finance[Row ID],0))),""))</f>
        <v/>
      </c>
      <c r="L131" s="11">
        <f>IF($C131="","",IFERROR(N(INDEX(tbl_Finance[Xero Invoiced Ex GST],MATCH($AU131,tbl_Finance[Row ID],0))),""))</f>
        <v/>
      </c>
      <c r="M131" s="10">
        <f>IF($C131="","",IFERROR(INDEX(tbl_Finance[Compare],MATCH($AU131,tbl_Finance[Row ID],0))&amp;"",""))</f>
        <v/>
      </c>
      <c r="N131" s="11">
        <f>IF($C131="","",MAX(0,N(O131)-N(L131)))</f>
        <v/>
      </c>
      <c r="O131" s="39" t="n"/>
      <c r="P131" s="40">
        <f>IF($C131="","",IF((IF(F131="",", Client","")&amp;IF(G131="",", Description","")&amp;IF(H131="",", Cost Centre","")&amp;IF(I131="",", Invoice Type","")&amp;IF(J131="",", Tax Code","")&amp;IF(O131="",", Expected Revenue","")&amp;IF(COUNTIF(tbl_Finance[Job Number],$C131&amp;"")&gt;1,", Job number used twice",""))="","Complete","Fix: "&amp;MID(IF(F131="",", Client","")&amp;IF(G131="",", Description","")&amp;IF(H131="",", Cost Centre","")&amp;IF(I131="",", Invoice Type","")&amp;IF(J131="",", Tax Code","")&amp;IF(O131="",", Expected Revenue","")&amp;IF(COUNTIF(tbl_Finance[Job Number],$C131&amp;"")&gt;1,", Job number used twice",""),3,300)))</f>
        <v/>
      </c>
      <c r="Q131" s="10">
        <f>IF($C131="","",IF(H131="","(no cost centre)",H131&amp;" - GL "&amp;IFERROR(INDEX(lst_CCtoGL,MATCH(H131,lst_CCforGL,0)),"?")))</f>
        <v/>
      </c>
      <c r="R131" s="11">
        <f>IF($C131="","",IFERROR(N(INDEX(tbl_Finance[Inc GST],MATCH($AU131,tbl_Finance[Row ID],0))),""))</f>
        <v/>
      </c>
      <c r="S131" s="37" t="n"/>
      <c r="T131" s="37" t="n"/>
      <c r="U131" s="37" t="n"/>
      <c r="V131" s="42" t="n"/>
      <c r="W131" s="37" t="n"/>
      <c r="X131" s="10">
        <f>IF(W131="","",IF(AND(LEFT(W131,4)&lt;&gt;"http",set_RMSBase=""),"",HYPERLINK(IF(LEFT(W131,4)="http",W131,set_RMSBase&amp;W131),"Open in RMS")))</f>
        <v/>
      </c>
      <c r="Y131" s="37" t="n"/>
      <c r="Z131" s="10">
        <f>IF(Y131="","",HYPERLINK(IF(LEFT(Y131,4)="http",Y131,set_QwilrBase&amp;Y131),"Open quote"))</f>
        <v/>
      </c>
      <c r="AA131" s="10">
        <f>IF(C131="","",C131)</f>
        <v/>
      </c>
      <c r="AB131" s="37" t="n"/>
      <c r="AC131" s="39" t="n"/>
      <c r="AD131" s="11">
        <f>IF(C131="","",N(L131)+N(AC131))</f>
        <v/>
      </c>
      <c r="AE131" s="43">
        <f>IFERROR(IF(N(AC131)=0,"",AC131/AD131),"")</f>
        <v/>
      </c>
      <c r="AF131" s="39" t="n"/>
      <c r="AG131" s="39" t="n"/>
      <c r="AH131" s="39" t="n"/>
      <c r="AI131" s="39" t="n"/>
      <c r="AJ131" s="11">
        <f>IF(C131="","",IF(H131="VIDEO",N(L131),0))</f>
        <v/>
      </c>
      <c r="AK131" s="43">
        <f>IFERROR(IF(N(L131)=0,"",AJ131/L131),"")</f>
        <v/>
      </c>
      <c r="AL131" s="11">
        <f>IF(C131="","",N(AF131)+N(AG131)+N(AH131)+N(AI131))</f>
        <v/>
      </c>
      <c r="AM131" s="11">
        <f>IF(C131="","",MAX(N(L131),N(O131))-N(AL131))</f>
        <v/>
      </c>
      <c r="AN131" s="43">
        <f>IFERROR(IF(MAX(N(L131),N(O131))=0,"",AM131/MAX(N(L131),N(O131))),"")</f>
        <v/>
      </c>
      <c r="AO131" s="41" t="n"/>
      <c r="AP131" s="41" t="n"/>
      <c r="AQ131" s="41" t="n"/>
      <c r="AR131" s="41" t="n"/>
      <c r="AS131" s="41" t="n"/>
      <c r="AT131" s="37" t="n"/>
      <c r="AU131" s="10" t="inlineStr">
        <is>
          <t>PRD-0127</t>
        </is>
      </c>
    </row>
    <row r="132">
      <c r="A132" s="16">
        <f>IF($C132="","",IFERROR(IF(INDEX(tbl_Finance[Latest Invoice Date],MATCH($AU132,tbl_Finance[Row ID],0))="","",INDEX(tbl_Finance[Latest Invoice Date],MATCH($AU132,tbl_Finance[Row ID],0))),""))</f>
        <v/>
      </c>
      <c r="B132" s="10">
        <f>IF($C132="","",IFERROR(INDEX(tbl_Finance[Invoice Numbers],MATCH($AU132,tbl_Finance[Row ID],0))&amp;"",""))</f>
        <v/>
      </c>
      <c r="C132" s="37" t="n"/>
      <c r="D132" s="10">
        <f>IF($C132="","",IF(COUNTIF(lst_Jobs,$C132&amp;"")&gt;0,"OK","CHECK"))</f>
        <v/>
      </c>
      <c r="E132" s="10">
        <f>IF($C132="","",IFERROR(INDEX(lst_JobName,MATCH($C132&amp;"",lst_Jobs,0)),""))</f>
        <v/>
      </c>
      <c r="F132" s="37" t="n"/>
      <c r="G132" s="37" t="n"/>
      <c r="H132" s="37" t="n"/>
      <c r="I132" s="37" t="n"/>
      <c r="J132" s="37" t="n"/>
      <c r="K132" s="38">
        <f>IF($C132="","",IFERROR(N(INDEX(tbl_Finance[Invoice Count],MATCH($AU132,tbl_Finance[Row ID],0))),""))</f>
        <v/>
      </c>
      <c r="L132" s="11">
        <f>IF($C132="","",IFERROR(N(INDEX(tbl_Finance[Xero Invoiced Ex GST],MATCH($AU132,tbl_Finance[Row ID],0))),""))</f>
        <v/>
      </c>
      <c r="M132" s="10">
        <f>IF($C132="","",IFERROR(INDEX(tbl_Finance[Compare],MATCH($AU132,tbl_Finance[Row ID],0))&amp;"",""))</f>
        <v/>
      </c>
      <c r="N132" s="11">
        <f>IF($C132="","",MAX(0,N(O132)-N(L132)))</f>
        <v/>
      </c>
      <c r="O132" s="39" t="n"/>
      <c r="P132" s="40">
        <f>IF($C132="","",IF((IF(F132="",", Client","")&amp;IF(G132="",", Description","")&amp;IF(H132="",", Cost Centre","")&amp;IF(I132="",", Invoice Type","")&amp;IF(J132="",", Tax Code","")&amp;IF(O132="",", Expected Revenue","")&amp;IF(COUNTIF(tbl_Finance[Job Number],$C132&amp;"")&gt;1,", Job number used twice",""))="","Complete","Fix: "&amp;MID(IF(F132="",", Client","")&amp;IF(G132="",", Description","")&amp;IF(H132="",", Cost Centre","")&amp;IF(I132="",", Invoice Type","")&amp;IF(J132="",", Tax Code","")&amp;IF(O132="",", Expected Revenue","")&amp;IF(COUNTIF(tbl_Finance[Job Number],$C132&amp;"")&gt;1,", Job number used twice",""),3,300)))</f>
        <v/>
      </c>
      <c r="Q132" s="10">
        <f>IF($C132="","",IF(H132="","(no cost centre)",H132&amp;" - GL "&amp;IFERROR(INDEX(lst_CCtoGL,MATCH(H132,lst_CCforGL,0)),"?")))</f>
        <v/>
      </c>
      <c r="R132" s="11">
        <f>IF($C132="","",IFERROR(N(INDEX(tbl_Finance[Inc GST],MATCH($AU132,tbl_Finance[Row ID],0))),""))</f>
        <v/>
      </c>
      <c r="S132" s="37" t="n"/>
      <c r="T132" s="37" t="n"/>
      <c r="U132" s="37" t="n"/>
      <c r="V132" s="42" t="n"/>
      <c r="W132" s="37" t="n"/>
      <c r="X132" s="10">
        <f>IF(W132="","",IF(AND(LEFT(W132,4)&lt;&gt;"http",set_RMSBase=""),"",HYPERLINK(IF(LEFT(W132,4)="http",W132,set_RMSBase&amp;W132),"Open in RMS")))</f>
        <v/>
      </c>
      <c r="Y132" s="37" t="n"/>
      <c r="Z132" s="10">
        <f>IF(Y132="","",HYPERLINK(IF(LEFT(Y132,4)="http",Y132,set_QwilrBase&amp;Y132),"Open quote"))</f>
        <v/>
      </c>
      <c r="AA132" s="10">
        <f>IF(C132="","",C132)</f>
        <v/>
      </c>
      <c r="AB132" s="37" t="n"/>
      <c r="AC132" s="39" t="n"/>
      <c r="AD132" s="11">
        <f>IF(C132="","",N(L132)+N(AC132))</f>
        <v/>
      </c>
      <c r="AE132" s="43">
        <f>IFERROR(IF(N(AC132)=0,"",AC132/AD132),"")</f>
        <v/>
      </c>
      <c r="AF132" s="39" t="n"/>
      <c r="AG132" s="39" t="n"/>
      <c r="AH132" s="39" t="n"/>
      <c r="AI132" s="39" t="n"/>
      <c r="AJ132" s="11">
        <f>IF(C132="","",IF(H132="VIDEO",N(L132),0))</f>
        <v/>
      </c>
      <c r="AK132" s="43">
        <f>IFERROR(IF(N(L132)=0,"",AJ132/L132),"")</f>
        <v/>
      </c>
      <c r="AL132" s="11">
        <f>IF(C132="","",N(AF132)+N(AG132)+N(AH132)+N(AI132))</f>
        <v/>
      </c>
      <c r="AM132" s="11">
        <f>IF(C132="","",MAX(N(L132),N(O132))-N(AL132))</f>
        <v/>
      </c>
      <c r="AN132" s="43">
        <f>IFERROR(IF(MAX(N(L132),N(O132))=0,"",AM132/MAX(N(L132),N(O132))),"")</f>
        <v/>
      </c>
      <c r="AO132" s="41" t="n"/>
      <c r="AP132" s="41" t="n"/>
      <c r="AQ132" s="41" t="n"/>
      <c r="AR132" s="41" t="n"/>
      <c r="AS132" s="41" t="n"/>
      <c r="AT132" s="37" t="n"/>
      <c r="AU132" s="10" t="inlineStr">
        <is>
          <t>PRD-0128</t>
        </is>
      </c>
    </row>
    <row r="133">
      <c r="A133" s="16">
        <f>IF($C133="","",IFERROR(IF(INDEX(tbl_Finance[Latest Invoice Date],MATCH($AU133,tbl_Finance[Row ID],0))="","",INDEX(tbl_Finance[Latest Invoice Date],MATCH($AU133,tbl_Finance[Row ID],0))),""))</f>
        <v/>
      </c>
      <c r="B133" s="10">
        <f>IF($C133="","",IFERROR(INDEX(tbl_Finance[Invoice Numbers],MATCH($AU133,tbl_Finance[Row ID],0))&amp;"",""))</f>
        <v/>
      </c>
      <c r="C133" s="37" t="n"/>
      <c r="D133" s="10">
        <f>IF($C133="","",IF(COUNTIF(lst_Jobs,$C133&amp;"")&gt;0,"OK","CHECK"))</f>
        <v/>
      </c>
      <c r="E133" s="10">
        <f>IF($C133="","",IFERROR(INDEX(lst_JobName,MATCH($C133&amp;"",lst_Jobs,0)),""))</f>
        <v/>
      </c>
      <c r="F133" s="37" t="n"/>
      <c r="G133" s="37" t="n"/>
      <c r="H133" s="37" t="n"/>
      <c r="I133" s="37" t="n"/>
      <c r="J133" s="37" t="n"/>
      <c r="K133" s="38">
        <f>IF($C133="","",IFERROR(N(INDEX(tbl_Finance[Invoice Count],MATCH($AU133,tbl_Finance[Row ID],0))),""))</f>
        <v/>
      </c>
      <c r="L133" s="11">
        <f>IF($C133="","",IFERROR(N(INDEX(tbl_Finance[Xero Invoiced Ex GST],MATCH($AU133,tbl_Finance[Row ID],0))),""))</f>
        <v/>
      </c>
      <c r="M133" s="10">
        <f>IF($C133="","",IFERROR(INDEX(tbl_Finance[Compare],MATCH($AU133,tbl_Finance[Row ID],0))&amp;"",""))</f>
        <v/>
      </c>
      <c r="N133" s="11">
        <f>IF($C133="","",MAX(0,N(O133)-N(L133)))</f>
        <v/>
      </c>
      <c r="O133" s="39" t="n"/>
      <c r="P133" s="40">
        <f>IF($C133="","",IF((IF(F133="",", Client","")&amp;IF(G133="",", Description","")&amp;IF(H133="",", Cost Centre","")&amp;IF(I133="",", Invoice Type","")&amp;IF(J133="",", Tax Code","")&amp;IF(O133="",", Expected Revenue","")&amp;IF(COUNTIF(tbl_Finance[Job Number],$C133&amp;"")&gt;1,", Job number used twice",""))="","Complete","Fix: "&amp;MID(IF(F133="",", Client","")&amp;IF(G133="",", Description","")&amp;IF(H133="",", Cost Centre","")&amp;IF(I133="",", Invoice Type","")&amp;IF(J133="",", Tax Code","")&amp;IF(O133="",", Expected Revenue","")&amp;IF(COUNTIF(tbl_Finance[Job Number],$C133&amp;"")&gt;1,", Job number used twice",""),3,300)))</f>
        <v/>
      </c>
      <c r="Q133" s="10">
        <f>IF($C133="","",IF(H133="","(no cost centre)",H133&amp;" - GL "&amp;IFERROR(INDEX(lst_CCtoGL,MATCH(H133,lst_CCforGL,0)),"?")))</f>
        <v/>
      </c>
      <c r="R133" s="11">
        <f>IF($C133="","",IFERROR(N(INDEX(tbl_Finance[Inc GST],MATCH($AU133,tbl_Finance[Row ID],0))),""))</f>
        <v/>
      </c>
      <c r="S133" s="37" t="n"/>
      <c r="T133" s="37" t="n"/>
      <c r="U133" s="37" t="n"/>
      <c r="V133" s="42" t="n"/>
      <c r="W133" s="37" t="n"/>
      <c r="X133" s="10">
        <f>IF(W133="","",IF(AND(LEFT(W133,4)&lt;&gt;"http",set_RMSBase=""),"",HYPERLINK(IF(LEFT(W133,4)="http",W133,set_RMSBase&amp;W133),"Open in RMS")))</f>
        <v/>
      </c>
      <c r="Y133" s="37" t="n"/>
      <c r="Z133" s="10">
        <f>IF(Y133="","",HYPERLINK(IF(LEFT(Y133,4)="http",Y133,set_QwilrBase&amp;Y133),"Open quote"))</f>
        <v/>
      </c>
      <c r="AA133" s="10">
        <f>IF(C133="","",C133)</f>
        <v/>
      </c>
      <c r="AB133" s="37" t="n"/>
      <c r="AC133" s="39" t="n"/>
      <c r="AD133" s="11">
        <f>IF(C133="","",N(L133)+N(AC133))</f>
        <v/>
      </c>
      <c r="AE133" s="43">
        <f>IFERROR(IF(N(AC133)=0,"",AC133/AD133),"")</f>
        <v/>
      </c>
      <c r="AF133" s="39" t="n"/>
      <c r="AG133" s="39" t="n"/>
      <c r="AH133" s="39" t="n"/>
      <c r="AI133" s="39" t="n"/>
      <c r="AJ133" s="11">
        <f>IF(C133="","",IF(H133="VIDEO",N(L133),0))</f>
        <v/>
      </c>
      <c r="AK133" s="43">
        <f>IFERROR(IF(N(L133)=0,"",AJ133/L133),"")</f>
        <v/>
      </c>
      <c r="AL133" s="11">
        <f>IF(C133="","",N(AF133)+N(AG133)+N(AH133)+N(AI133))</f>
        <v/>
      </c>
      <c r="AM133" s="11">
        <f>IF(C133="","",MAX(N(L133),N(O133))-N(AL133))</f>
        <v/>
      </c>
      <c r="AN133" s="43">
        <f>IFERROR(IF(MAX(N(L133),N(O133))=0,"",AM133/MAX(N(L133),N(O133))),"")</f>
        <v/>
      </c>
      <c r="AO133" s="41" t="n"/>
      <c r="AP133" s="41" t="n"/>
      <c r="AQ133" s="41" t="n"/>
      <c r="AR133" s="41" t="n"/>
      <c r="AS133" s="41" t="n"/>
      <c r="AT133" s="37" t="n"/>
      <c r="AU133" s="10" t="inlineStr">
        <is>
          <t>PRD-0129</t>
        </is>
      </c>
    </row>
    <row r="134">
      <c r="A134" s="16">
        <f>IF($C134="","",IFERROR(IF(INDEX(tbl_Finance[Latest Invoice Date],MATCH($AU134,tbl_Finance[Row ID],0))="","",INDEX(tbl_Finance[Latest Invoice Date],MATCH($AU134,tbl_Finance[Row ID],0))),""))</f>
        <v/>
      </c>
      <c r="B134" s="10">
        <f>IF($C134="","",IFERROR(INDEX(tbl_Finance[Invoice Numbers],MATCH($AU134,tbl_Finance[Row ID],0))&amp;"",""))</f>
        <v/>
      </c>
      <c r="C134" s="37" t="n"/>
      <c r="D134" s="10">
        <f>IF($C134="","",IF(COUNTIF(lst_Jobs,$C134&amp;"")&gt;0,"OK","CHECK"))</f>
        <v/>
      </c>
      <c r="E134" s="10">
        <f>IF($C134="","",IFERROR(INDEX(lst_JobName,MATCH($C134&amp;"",lst_Jobs,0)),""))</f>
        <v/>
      </c>
      <c r="F134" s="37" t="n"/>
      <c r="G134" s="37" t="n"/>
      <c r="H134" s="37" t="n"/>
      <c r="I134" s="37" t="n"/>
      <c r="J134" s="37" t="n"/>
      <c r="K134" s="38">
        <f>IF($C134="","",IFERROR(N(INDEX(tbl_Finance[Invoice Count],MATCH($AU134,tbl_Finance[Row ID],0))),""))</f>
        <v/>
      </c>
      <c r="L134" s="11">
        <f>IF($C134="","",IFERROR(N(INDEX(tbl_Finance[Xero Invoiced Ex GST],MATCH($AU134,tbl_Finance[Row ID],0))),""))</f>
        <v/>
      </c>
      <c r="M134" s="10">
        <f>IF($C134="","",IFERROR(INDEX(tbl_Finance[Compare],MATCH($AU134,tbl_Finance[Row ID],0))&amp;"",""))</f>
        <v/>
      </c>
      <c r="N134" s="11">
        <f>IF($C134="","",MAX(0,N(O134)-N(L134)))</f>
        <v/>
      </c>
      <c r="O134" s="39" t="n"/>
      <c r="P134" s="40">
        <f>IF($C134="","",IF((IF(F134="",", Client","")&amp;IF(G134="",", Description","")&amp;IF(H134="",", Cost Centre","")&amp;IF(I134="",", Invoice Type","")&amp;IF(J134="",", Tax Code","")&amp;IF(O134="",", Expected Revenue","")&amp;IF(COUNTIF(tbl_Finance[Job Number],$C134&amp;"")&gt;1,", Job number used twice",""))="","Complete","Fix: "&amp;MID(IF(F134="",", Client","")&amp;IF(G134="",", Description","")&amp;IF(H134="",", Cost Centre","")&amp;IF(I134="",", Invoice Type","")&amp;IF(J134="",", Tax Code","")&amp;IF(O134="",", Expected Revenue","")&amp;IF(COUNTIF(tbl_Finance[Job Number],$C134&amp;"")&gt;1,", Job number used twice",""),3,300)))</f>
        <v/>
      </c>
      <c r="Q134" s="10">
        <f>IF($C134="","",IF(H134="","(no cost centre)",H134&amp;" - GL "&amp;IFERROR(INDEX(lst_CCtoGL,MATCH(H134,lst_CCforGL,0)),"?")))</f>
        <v/>
      </c>
      <c r="R134" s="11">
        <f>IF($C134="","",IFERROR(N(INDEX(tbl_Finance[Inc GST],MATCH($AU134,tbl_Finance[Row ID],0))),""))</f>
        <v/>
      </c>
      <c r="S134" s="37" t="n"/>
      <c r="T134" s="37" t="n"/>
      <c r="U134" s="37" t="n"/>
      <c r="V134" s="42" t="n"/>
      <c r="W134" s="37" t="n"/>
      <c r="X134" s="10">
        <f>IF(W134="","",IF(AND(LEFT(W134,4)&lt;&gt;"http",set_RMSBase=""),"",HYPERLINK(IF(LEFT(W134,4)="http",W134,set_RMSBase&amp;W134),"Open in RMS")))</f>
        <v/>
      </c>
      <c r="Y134" s="37" t="n"/>
      <c r="Z134" s="10">
        <f>IF(Y134="","",HYPERLINK(IF(LEFT(Y134,4)="http",Y134,set_QwilrBase&amp;Y134),"Open quote"))</f>
        <v/>
      </c>
      <c r="AA134" s="10">
        <f>IF(C134="","",C134)</f>
        <v/>
      </c>
      <c r="AB134" s="37" t="n"/>
      <c r="AC134" s="39" t="n"/>
      <c r="AD134" s="11">
        <f>IF(C134="","",N(L134)+N(AC134))</f>
        <v/>
      </c>
      <c r="AE134" s="43">
        <f>IFERROR(IF(N(AC134)=0,"",AC134/AD134),"")</f>
        <v/>
      </c>
      <c r="AF134" s="39" t="n"/>
      <c r="AG134" s="39" t="n"/>
      <c r="AH134" s="39" t="n"/>
      <c r="AI134" s="39" t="n"/>
      <c r="AJ134" s="11">
        <f>IF(C134="","",IF(H134="VIDEO",N(L134),0))</f>
        <v/>
      </c>
      <c r="AK134" s="43">
        <f>IFERROR(IF(N(L134)=0,"",AJ134/L134),"")</f>
        <v/>
      </c>
      <c r="AL134" s="11">
        <f>IF(C134="","",N(AF134)+N(AG134)+N(AH134)+N(AI134))</f>
        <v/>
      </c>
      <c r="AM134" s="11">
        <f>IF(C134="","",MAX(N(L134),N(O134))-N(AL134))</f>
        <v/>
      </c>
      <c r="AN134" s="43">
        <f>IFERROR(IF(MAX(N(L134),N(O134))=0,"",AM134/MAX(N(L134),N(O134))),"")</f>
        <v/>
      </c>
      <c r="AO134" s="41" t="n"/>
      <c r="AP134" s="41" t="n"/>
      <c r="AQ134" s="41" t="n"/>
      <c r="AR134" s="41" t="n"/>
      <c r="AS134" s="41" t="n"/>
      <c r="AT134" s="37" t="n"/>
      <c r="AU134" s="10" t="inlineStr">
        <is>
          <t>PRD-0130</t>
        </is>
      </c>
    </row>
    <row r="135">
      <c r="A135" s="16">
        <f>IF($C135="","",IFERROR(IF(INDEX(tbl_Finance[Latest Invoice Date],MATCH($AU135,tbl_Finance[Row ID],0))="","",INDEX(tbl_Finance[Latest Invoice Date],MATCH($AU135,tbl_Finance[Row ID],0))),""))</f>
        <v/>
      </c>
      <c r="B135" s="10">
        <f>IF($C135="","",IFERROR(INDEX(tbl_Finance[Invoice Numbers],MATCH($AU135,tbl_Finance[Row ID],0))&amp;"",""))</f>
        <v/>
      </c>
      <c r="C135" s="37" t="n"/>
      <c r="D135" s="10">
        <f>IF($C135="","",IF(COUNTIF(lst_Jobs,$C135&amp;"")&gt;0,"OK","CHECK"))</f>
        <v/>
      </c>
      <c r="E135" s="10">
        <f>IF($C135="","",IFERROR(INDEX(lst_JobName,MATCH($C135&amp;"",lst_Jobs,0)),""))</f>
        <v/>
      </c>
      <c r="F135" s="37" t="n"/>
      <c r="G135" s="37" t="n"/>
      <c r="H135" s="37" t="n"/>
      <c r="I135" s="37" t="n"/>
      <c r="J135" s="37" t="n"/>
      <c r="K135" s="38">
        <f>IF($C135="","",IFERROR(N(INDEX(tbl_Finance[Invoice Count],MATCH($AU135,tbl_Finance[Row ID],0))),""))</f>
        <v/>
      </c>
      <c r="L135" s="11">
        <f>IF($C135="","",IFERROR(N(INDEX(tbl_Finance[Xero Invoiced Ex GST],MATCH($AU135,tbl_Finance[Row ID],0))),""))</f>
        <v/>
      </c>
      <c r="M135" s="10">
        <f>IF($C135="","",IFERROR(INDEX(tbl_Finance[Compare],MATCH($AU135,tbl_Finance[Row ID],0))&amp;"",""))</f>
        <v/>
      </c>
      <c r="N135" s="11">
        <f>IF($C135="","",MAX(0,N(O135)-N(L135)))</f>
        <v/>
      </c>
      <c r="O135" s="39" t="n"/>
      <c r="P135" s="40">
        <f>IF($C135="","",IF((IF(F135="",", Client","")&amp;IF(G135="",", Description","")&amp;IF(H135="",", Cost Centre","")&amp;IF(I135="",", Invoice Type","")&amp;IF(J135="",", Tax Code","")&amp;IF(O135="",", Expected Revenue","")&amp;IF(COUNTIF(tbl_Finance[Job Number],$C135&amp;"")&gt;1,", Job number used twice",""))="","Complete","Fix: "&amp;MID(IF(F135="",", Client","")&amp;IF(G135="",", Description","")&amp;IF(H135="",", Cost Centre","")&amp;IF(I135="",", Invoice Type","")&amp;IF(J135="",", Tax Code","")&amp;IF(O135="",", Expected Revenue","")&amp;IF(COUNTIF(tbl_Finance[Job Number],$C135&amp;"")&gt;1,", Job number used twice",""),3,300)))</f>
        <v/>
      </c>
      <c r="Q135" s="10">
        <f>IF($C135="","",IF(H135="","(no cost centre)",H135&amp;" - GL "&amp;IFERROR(INDEX(lst_CCtoGL,MATCH(H135,lst_CCforGL,0)),"?")))</f>
        <v/>
      </c>
      <c r="R135" s="11">
        <f>IF($C135="","",IFERROR(N(INDEX(tbl_Finance[Inc GST],MATCH($AU135,tbl_Finance[Row ID],0))),""))</f>
        <v/>
      </c>
      <c r="S135" s="37" t="n"/>
      <c r="T135" s="37" t="n"/>
      <c r="U135" s="37" t="n"/>
      <c r="V135" s="42" t="n"/>
      <c r="W135" s="37" t="n"/>
      <c r="X135" s="10">
        <f>IF(W135="","",IF(AND(LEFT(W135,4)&lt;&gt;"http",set_RMSBase=""),"",HYPERLINK(IF(LEFT(W135,4)="http",W135,set_RMSBase&amp;W135),"Open in RMS")))</f>
        <v/>
      </c>
      <c r="Y135" s="37" t="n"/>
      <c r="Z135" s="10">
        <f>IF(Y135="","",HYPERLINK(IF(LEFT(Y135,4)="http",Y135,set_QwilrBase&amp;Y135),"Open quote"))</f>
        <v/>
      </c>
      <c r="AA135" s="10">
        <f>IF(C135="","",C135)</f>
        <v/>
      </c>
      <c r="AB135" s="37" t="n"/>
      <c r="AC135" s="39" t="n"/>
      <c r="AD135" s="11">
        <f>IF(C135="","",N(L135)+N(AC135))</f>
        <v/>
      </c>
      <c r="AE135" s="43">
        <f>IFERROR(IF(N(AC135)=0,"",AC135/AD135),"")</f>
        <v/>
      </c>
      <c r="AF135" s="39" t="n"/>
      <c r="AG135" s="39" t="n"/>
      <c r="AH135" s="39" t="n"/>
      <c r="AI135" s="39" t="n"/>
      <c r="AJ135" s="11">
        <f>IF(C135="","",IF(H135="VIDEO",N(L135),0))</f>
        <v/>
      </c>
      <c r="AK135" s="43">
        <f>IFERROR(IF(N(L135)=0,"",AJ135/L135),"")</f>
        <v/>
      </c>
      <c r="AL135" s="11">
        <f>IF(C135="","",N(AF135)+N(AG135)+N(AH135)+N(AI135))</f>
        <v/>
      </c>
      <c r="AM135" s="11">
        <f>IF(C135="","",MAX(N(L135),N(O135))-N(AL135))</f>
        <v/>
      </c>
      <c r="AN135" s="43">
        <f>IFERROR(IF(MAX(N(L135),N(O135))=0,"",AM135/MAX(N(L135),N(O135))),"")</f>
        <v/>
      </c>
      <c r="AO135" s="41" t="n"/>
      <c r="AP135" s="41" t="n"/>
      <c r="AQ135" s="41" t="n"/>
      <c r="AR135" s="41" t="n"/>
      <c r="AS135" s="41" t="n"/>
      <c r="AT135" s="37" t="n"/>
      <c r="AU135" s="10" t="inlineStr">
        <is>
          <t>PRD-0131</t>
        </is>
      </c>
    </row>
    <row r="136">
      <c r="A136" s="16">
        <f>IF($C136="","",IFERROR(IF(INDEX(tbl_Finance[Latest Invoice Date],MATCH($AU136,tbl_Finance[Row ID],0))="","",INDEX(tbl_Finance[Latest Invoice Date],MATCH($AU136,tbl_Finance[Row ID],0))),""))</f>
        <v/>
      </c>
      <c r="B136" s="10">
        <f>IF($C136="","",IFERROR(INDEX(tbl_Finance[Invoice Numbers],MATCH($AU136,tbl_Finance[Row ID],0))&amp;"",""))</f>
        <v/>
      </c>
      <c r="C136" s="37" t="n"/>
      <c r="D136" s="10">
        <f>IF($C136="","",IF(COUNTIF(lst_Jobs,$C136&amp;"")&gt;0,"OK","CHECK"))</f>
        <v/>
      </c>
      <c r="E136" s="10">
        <f>IF($C136="","",IFERROR(INDEX(lst_JobName,MATCH($C136&amp;"",lst_Jobs,0)),""))</f>
        <v/>
      </c>
      <c r="F136" s="37" t="n"/>
      <c r="G136" s="37" t="n"/>
      <c r="H136" s="37" t="n"/>
      <c r="I136" s="37" t="n"/>
      <c r="J136" s="37" t="n"/>
      <c r="K136" s="38">
        <f>IF($C136="","",IFERROR(N(INDEX(tbl_Finance[Invoice Count],MATCH($AU136,tbl_Finance[Row ID],0))),""))</f>
        <v/>
      </c>
      <c r="L136" s="11">
        <f>IF($C136="","",IFERROR(N(INDEX(tbl_Finance[Xero Invoiced Ex GST],MATCH($AU136,tbl_Finance[Row ID],0))),""))</f>
        <v/>
      </c>
      <c r="M136" s="10">
        <f>IF($C136="","",IFERROR(INDEX(tbl_Finance[Compare],MATCH($AU136,tbl_Finance[Row ID],0))&amp;"",""))</f>
        <v/>
      </c>
      <c r="N136" s="11">
        <f>IF($C136="","",MAX(0,N(O136)-N(L136)))</f>
        <v/>
      </c>
      <c r="O136" s="39" t="n"/>
      <c r="P136" s="40">
        <f>IF($C136="","",IF((IF(F136="",", Client","")&amp;IF(G136="",", Description","")&amp;IF(H136="",", Cost Centre","")&amp;IF(I136="",", Invoice Type","")&amp;IF(J136="",", Tax Code","")&amp;IF(O136="",", Expected Revenue","")&amp;IF(COUNTIF(tbl_Finance[Job Number],$C136&amp;"")&gt;1,", Job number used twice",""))="","Complete","Fix: "&amp;MID(IF(F136="",", Client","")&amp;IF(G136="",", Description","")&amp;IF(H136="",", Cost Centre","")&amp;IF(I136="",", Invoice Type","")&amp;IF(J136="",", Tax Code","")&amp;IF(O136="",", Expected Revenue","")&amp;IF(COUNTIF(tbl_Finance[Job Number],$C136&amp;"")&gt;1,", Job number used twice",""),3,300)))</f>
        <v/>
      </c>
      <c r="Q136" s="10">
        <f>IF($C136="","",IF(H136="","(no cost centre)",H136&amp;" - GL "&amp;IFERROR(INDEX(lst_CCtoGL,MATCH(H136,lst_CCforGL,0)),"?")))</f>
        <v/>
      </c>
      <c r="R136" s="11">
        <f>IF($C136="","",IFERROR(N(INDEX(tbl_Finance[Inc GST],MATCH($AU136,tbl_Finance[Row ID],0))),""))</f>
        <v/>
      </c>
      <c r="S136" s="37" t="n"/>
      <c r="T136" s="37" t="n"/>
      <c r="U136" s="37" t="n"/>
      <c r="V136" s="42" t="n"/>
      <c r="W136" s="37" t="n"/>
      <c r="X136" s="10">
        <f>IF(W136="","",IF(AND(LEFT(W136,4)&lt;&gt;"http",set_RMSBase=""),"",HYPERLINK(IF(LEFT(W136,4)="http",W136,set_RMSBase&amp;W136),"Open in RMS")))</f>
        <v/>
      </c>
      <c r="Y136" s="37" t="n"/>
      <c r="Z136" s="10">
        <f>IF(Y136="","",HYPERLINK(IF(LEFT(Y136,4)="http",Y136,set_QwilrBase&amp;Y136),"Open quote"))</f>
        <v/>
      </c>
      <c r="AA136" s="10">
        <f>IF(C136="","",C136)</f>
        <v/>
      </c>
      <c r="AB136" s="37" t="n"/>
      <c r="AC136" s="39" t="n"/>
      <c r="AD136" s="11">
        <f>IF(C136="","",N(L136)+N(AC136))</f>
        <v/>
      </c>
      <c r="AE136" s="43">
        <f>IFERROR(IF(N(AC136)=0,"",AC136/AD136),"")</f>
        <v/>
      </c>
      <c r="AF136" s="39" t="n"/>
      <c r="AG136" s="39" t="n"/>
      <c r="AH136" s="39" t="n"/>
      <c r="AI136" s="39" t="n"/>
      <c r="AJ136" s="11">
        <f>IF(C136="","",IF(H136="VIDEO",N(L136),0))</f>
        <v/>
      </c>
      <c r="AK136" s="43">
        <f>IFERROR(IF(N(L136)=0,"",AJ136/L136),"")</f>
        <v/>
      </c>
      <c r="AL136" s="11">
        <f>IF(C136="","",N(AF136)+N(AG136)+N(AH136)+N(AI136))</f>
        <v/>
      </c>
      <c r="AM136" s="11">
        <f>IF(C136="","",MAX(N(L136),N(O136))-N(AL136))</f>
        <v/>
      </c>
      <c r="AN136" s="43">
        <f>IFERROR(IF(MAX(N(L136),N(O136))=0,"",AM136/MAX(N(L136),N(O136))),"")</f>
        <v/>
      </c>
      <c r="AO136" s="41" t="n"/>
      <c r="AP136" s="41" t="n"/>
      <c r="AQ136" s="41" t="n"/>
      <c r="AR136" s="41" t="n"/>
      <c r="AS136" s="41" t="n"/>
      <c r="AT136" s="37" t="n"/>
      <c r="AU136" s="10" t="inlineStr">
        <is>
          <t>PRD-0132</t>
        </is>
      </c>
    </row>
    <row r="137">
      <c r="A137" s="16">
        <f>IF($C137="","",IFERROR(IF(INDEX(tbl_Finance[Latest Invoice Date],MATCH($AU137,tbl_Finance[Row ID],0))="","",INDEX(tbl_Finance[Latest Invoice Date],MATCH($AU137,tbl_Finance[Row ID],0))),""))</f>
        <v/>
      </c>
      <c r="B137" s="10">
        <f>IF($C137="","",IFERROR(INDEX(tbl_Finance[Invoice Numbers],MATCH($AU137,tbl_Finance[Row ID],0))&amp;"",""))</f>
        <v/>
      </c>
      <c r="C137" s="37" t="n"/>
      <c r="D137" s="10">
        <f>IF($C137="","",IF(COUNTIF(lst_Jobs,$C137&amp;"")&gt;0,"OK","CHECK"))</f>
        <v/>
      </c>
      <c r="E137" s="10">
        <f>IF($C137="","",IFERROR(INDEX(lst_JobName,MATCH($C137&amp;"",lst_Jobs,0)),""))</f>
        <v/>
      </c>
      <c r="F137" s="37" t="n"/>
      <c r="G137" s="37" t="n"/>
      <c r="H137" s="37" t="n"/>
      <c r="I137" s="37" t="n"/>
      <c r="J137" s="37" t="n"/>
      <c r="K137" s="38">
        <f>IF($C137="","",IFERROR(N(INDEX(tbl_Finance[Invoice Count],MATCH($AU137,tbl_Finance[Row ID],0))),""))</f>
        <v/>
      </c>
      <c r="L137" s="11">
        <f>IF($C137="","",IFERROR(N(INDEX(tbl_Finance[Xero Invoiced Ex GST],MATCH($AU137,tbl_Finance[Row ID],0))),""))</f>
        <v/>
      </c>
      <c r="M137" s="10">
        <f>IF($C137="","",IFERROR(INDEX(tbl_Finance[Compare],MATCH($AU137,tbl_Finance[Row ID],0))&amp;"",""))</f>
        <v/>
      </c>
      <c r="N137" s="11">
        <f>IF($C137="","",MAX(0,N(O137)-N(L137)))</f>
        <v/>
      </c>
      <c r="O137" s="39" t="n"/>
      <c r="P137" s="40">
        <f>IF($C137="","",IF((IF(F137="",", Client","")&amp;IF(G137="",", Description","")&amp;IF(H137="",", Cost Centre","")&amp;IF(I137="",", Invoice Type","")&amp;IF(J137="",", Tax Code","")&amp;IF(O137="",", Expected Revenue","")&amp;IF(COUNTIF(tbl_Finance[Job Number],$C137&amp;"")&gt;1,", Job number used twice",""))="","Complete","Fix: "&amp;MID(IF(F137="",", Client","")&amp;IF(G137="",", Description","")&amp;IF(H137="",", Cost Centre","")&amp;IF(I137="",", Invoice Type","")&amp;IF(J137="",", Tax Code","")&amp;IF(O137="",", Expected Revenue","")&amp;IF(COUNTIF(tbl_Finance[Job Number],$C137&amp;"")&gt;1,", Job number used twice",""),3,300)))</f>
        <v/>
      </c>
      <c r="Q137" s="10">
        <f>IF($C137="","",IF(H137="","(no cost centre)",H137&amp;" - GL "&amp;IFERROR(INDEX(lst_CCtoGL,MATCH(H137,lst_CCforGL,0)),"?")))</f>
        <v/>
      </c>
      <c r="R137" s="11">
        <f>IF($C137="","",IFERROR(N(INDEX(tbl_Finance[Inc GST],MATCH($AU137,tbl_Finance[Row ID],0))),""))</f>
        <v/>
      </c>
      <c r="S137" s="37" t="n"/>
      <c r="T137" s="37" t="n"/>
      <c r="U137" s="37" t="n"/>
      <c r="V137" s="42" t="n"/>
      <c r="W137" s="37" t="n"/>
      <c r="X137" s="10">
        <f>IF(W137="","",IF(AND(LEFT(W137,4)&lt;&gt;"http",set_RMSBase=""),"",HYPERLINK(IF(LEFT(W137,4)="http",W137,set_RMSBase&amp;W137),"Open in RMS")))</f>
        <v/>
      </c>
      <c r="Y137" s="37" t="n"/>
      <c r="Z137" s="10">
        <f>IF(Y137="","",HYPERLINK(IF(LEFT(Y137,4)="http",Y137,set_QwilrBase&amp;Y137),"Open quote"))</f>
        <v/>
      </c>
      <c r="AA137" s="10">
        <f>IF(C137="","",C137)</f>
        <v/>
      </c>
      <c r="AB137" s="37" t="n"/>
      <c r="AC137" s="39" t="n"/>
      <c r="AD137" s="11">
        <f>IF(C137="","",N(L137)+N(AC137))</f>
        <v/>
      </c>
      <c r="AE137" s="43">
        <f>IFERROR(IF(N(AC137)=0,"",AC137/AD137),"")</f>
        <v/>
      </c>
      <c r="AF137" s="39" t="n"/>
      <c r="AG137" s="39" t="n"/>
      <c r="AH137" s="39" t="n"/>
      <c r="AI137" s="39" t="n"/>
      <c r="AJ137" s="11">
        <f>IF(C137="","",IF(H137="VIDEO",N(L137),0))</f>
        <v/>
      </c>
      <c r="AK137" s="43">
        <f>IFERROR(IF(N(L137)=0,"",AJ137/L137),"")</f>
        <v/>
      </c>
      <c r="AL137" s="11">
        <f>IF(C137="","",N(AF137)+N(AG137)+N(AH137)+N(AI137))</f>
        <v/>
      </c>
      <c r="AM137" s="11">
        <f>IF(C137="","",MAX(N(L137),N(O137))-N(AL137))</f>
        <v/>
      </c>
      <c r="AN137" s="43">
        <f>IFERROR(IF(MAX(N(L137),N(O137))=0,"",AM137/MAX(N(L137),N(O137))),"")</f>
        <v/>
      </c>
      <c r="AO137" s="41" t="n"/>
      <c r="AP137" s="41" t="n"/>
      <c r="AQ137" s="41" t="n"/>
      <c r="AR137" s="41" t="n"/>
      <c r="AS137" s="41" t="n"/>
      <c r="AT137" s="37" t="n"/>
      <c r="AU137" s="10" t="inlineStr">
        <is>
          <t>PRD-0133</t>
        </is>
      </c>
    </row>
    <row r="138">
      <c r="A138" s="16">
        <f>IF($C138="","",IFERROR(IF(INDEX(tbl_Finance[Latest Invoice Date],MATCH($AU138,tbl_Finance[Row ID],0))="","",INDEX(tbl_Finance[Latest Invoice Date],MATCH($AU138,tbl_Finance[Row ID],0))),""))</f>
        <v/>
      </c>
      <c r="B138" s="10">
        <f>IF($C138="","",IFERROR(INDEX(tbl_Finance[Invoice Numbers],MATCH($AU138,tbl_Finance[Row ID],0))&amp;"",""))</f>
        <v/>
      </c>
      <c r="C138" s="37" t="n"/>
      <c r="D138" s="10">
        <f>IF($C138="","",IF(COUNTIF(lst_Jobs,$C138&amp;"")&gt;0,"OK","CHECK"))</f>
        <v/>
      </c>
      <c r="E138" s="10">
        <f>IF($C138="","",IFERROR(INDEX(lst_JobName,MATCH($C138&amp;"",lst_Jobs,0)),""))</f>
        <v/>
      </c>
      <c r="F138" s="37" t="n"/>
      <c r="G138" s="37" t="n"/>
      <c r="H138" s="37" t="n"/>
      <c r="I138" s="37" t="n"/>
      <c r="J138" s="37" t="n"/>
      <c r="K138" s="38">
        <f>IF($C138="","",IFERROR(N(INDEX(tbl_Finance[Invoice Count],MATCH($AU138,tbl_Finance[Row ID],0))),""))</f>
        <v/>
      </c>
      <c r="L138" s="11">
        <f>IF($C138="","",IFERROR(N(INDEX(tbl_Finance[Xero Invoiced Ex GST],MATCH($AU138,tbl_Finance[Row ID],0))),""))</f>
        <v/>
      </c>
      <c r="M138" s="10">
        <f>IF($C138="","",IFERROR(INDEX(tbl_Finance[Compare],MATCH($AU138,tbl_Finance[Row ID],0))&amp;"",""))</f>
        <v/>
      </c>
      <c r="N138" s="11">
        <f>IF($C138="","",MAX(0,N(O138)-N(L138)))</f>
        <v/>
      </c>
      <c r="O138" s="39" t="n"/>
      <c r="P138" s="40">
        <f>IF($C138="","",IF((IF(F138="",", Client","")&amp;IF(G138="",", Description","")&amp;IF(H138="",", Cost Centre","")&amp;IF(I138="",", Invoice Type","")&amp;IF(J138="",", Tax Code","")&amp;IF(O138="",", Expected Revenue","")&amp;IF(COUNTIF(tbl_Finance[Job Number],$C138&amp;"")&gt;1,", Job number used twice",""))="","Complete","Fix: "&amp;MID(IF(F138="",", Client","")&amp;IF(G138="",", Description","")&amp;IF(H138="",", Cost Centre","")&amp;IF(I138="",", Invoice Type","")&amp;IF(J138="",", Tax Code","")&amp;IF(O138="",", Expected Revenue","")&amp;IF(COUNTIF(tbl_Finance[Job Number],$C138&amp;"")&gt;1,", Job number used twice",""),3,300)))</f>
        <v/>
      </c>
      <c r="Q138" s="10">
        <f>IF($C138="","",IF(H138="","(no cost centre)",H138&amp;" - GL "&amp;IFERROR(INDEX(lst_CCtoGL,MATCH(H138,lst_CCforGL,0)),"?")))</f>
        <v/>
      </c>
      <c r="R138" s="11">
        <f>IF($C138="","",IFERROR(N(INDEX(tbl_Finance[Inc GST],MATCH($AU138,tbl_Finance[Row ID],0))),""))</f>
        <v/>
      </c>
      <c r="S138" s="37" t="n"/>
      <c r="T138" s="37" t="n"/>
      <c r="U138" s="37" t="n"/>
      <c r="V138" s="42" t="n"/>
      <c r="W138" s="37" t="n"/>
      <c r="X138" s="10">
        <f>IF(W138="","",IF(AND(LEFT(W138,4)&lt;&gt;"http",set_RMSBase=""),"",HYPERLINK(IF(LEFT(W138,4)="http",W138,set_RMSBase&amp;W138),"Open in RMS")))</f>
        <v/>
      </c>
      <c r="Y138" s="37" t="n"/>
      <c r="Z138" s="10">
        <f>IF(Y138="","",HYPERLINK(IF(LEFT(Y138,4)="http",Y138,set_QwilrBase&amp;Y138),"Open quote"))</f>
        <v/>
      </c>
      <c r="AA138" s="10">
        <f>IF(C138="","",C138)</f>
        <v/>
      </c>
      <c r="AB138" s="37" t="n"/>
      <c r="AC138" s="39" t="n"/>
      <c r="AD138" s="11">
        <f>IF(C138="","",N(L138)+N(AC138))</f>
        <v/>
      </c>
      <c r="AE138" s="43">
        <f>IFERROR(IF(N(AC138)=0,"",AC138/AD138),"")</f>
        <v/>
      </c>
      <c r="AF138" s="39" t="n"/>
      <c r="AG138" s="39" t="n"/>
      <c r="AH138" s="39" t="n"/>
      <c r="AI138" s="39" t="n"/>
      <c r="AJ138" s="11">
        <f>IF(C138="","",IF(H138="VIDEO",N(L138),0))</f>
        <v/>
      </c>
      <c r="AK138" s="43">
        <f>IFERROR(IF(N(L138)=0,"",AJ138/L138),"")</f>
        <v/>
      </c>
      <c r="AL138" s="11">
        <f>IF(C138="","",N(AF138)+N(AG138)+N(AH138)+N(AI138))</f>
        <v/>
      </c>
      <c r="AM138" s="11">
        <f>IF(C138="","",MAX(N(L138),N(O138))-N(AL138))</f>
        <v/>
      </c>
      <c r="AN138" s="43">
        <f>IFERROR(IF(MAX(N(L138),N(O138))=0,"",AM138/MAX(N(L138),N(O138))),"")</f>
        <v/>
      </c>
      <c r="AO138" s="41" t="n"/>
      <c r="AP138" s="41" t="n"/>
      <c r="AQ138" s="41" t="n"/>
      <c r="AR138" s="41" t="n"/>
      <c r="AS138" s="41" t="n"/>
      <c r="AT138" s="37" t="n"/>
      <c r="AU138" s="10" t="inlineStr">
        <is>
          <t>PRD-0134</t>
        </is>
      </c>
    </row>
    <row r="139">
      <c r="A139" s="16">
        <f>IF($C139="","",IFERROR(IF(INDEX(tbl_Finance[Latest Invoice Date],MATCH($AU139,tbl_Finance[Row ID],0))="","",INDEX(tbl_Finance[Latest Invoice Date],MATCH($AU139,tbl_Finance[Row ID],0))),""))</f>
        <v/>
      </c>
      <c r="B139" s="10">
        <f>IF($C139="","",IFERROR(INDEX(tbl_Finance[Invoice Numbers],MATCH($AU139,tbl_Finance[Row ID],0))&amp;"",""))</f>
        <v/>
      </c>
      <c r="C139" s="37" t="n"/>
      <c r="D139" s="10">
        <f>IF($C139="","",IF(COUNTIF(lst_Jobs,$C139&amp;"")&gt;0,"OK","CHECK"))</f>
        <v/>
      </c>
      <c r="E139" s="10">
        <f>IF($C139="","",IFERROR(INDEX(lst_JobName,MATCH($C139&amp;"",lst_Jobs,0)),""))</f>
        <v/>
      </c>
      <c r="F139" s="37" t="n"/>
      <c r="G139" s="37" t="n"/>
      <c r="H139" s="37" t="n"/>
      <c r="I139" s="37" t="n"/>
      <c r="J139" s="37" t="n"/>
      <c r="K139" s="38">
        <f>IF($C139="","",IFERROR(N(INDEX(tbl_Finance[Invoice Count],MATCH($AU139,tbl_Finance[Row ID],0))),""))</f>
        <v/>
      </c>
      <c r="L139" s="11">
        <f>IF($C139="","",IFERROR(N(INDEX(tbl_Finance[Xero Invoiced Ex GST],MATCH($AU139,tbl_Finance[Row ID],0))),""))</f>
        <v/>
      </c>
      <c r="M139" s="10">
        <f>IF($C139="","",IFERROR(INDEX(tbl_Finance[Compare],MATCH($AU139,tbl_Finance[Row ID],0))&amp;"",""))</f>
        <v/>
      </c>
      <c r="N139" s="11">
        <f>IF($C139="","",MAX(0,N(O139)-N(L139)))</f>
        <v/>
      </c>
      <c r="O139" s="39" t="n"/>
      <c r="P139" s="40">
        <f>IF($C139="","",IF((IF(F139="",", Client","")&amp;IF(G139="",", Description","")&amp;IF(H139="",", Cost Centre","")&amp;IF(I139="",", Invoice Type","")&amp;IF(J139="",", Tax Code","")&amp;IF(O139="",", Expected Revenue","")&amp;IF(COUNTIF(tbl_Finance[Job Number],$C139&amp;"")&gt;1,", Job number used twice",""))="","Complete","Fix: "&amp;MID(IF(F139="",", Client","")&amp;IF(G139="",", Description","")&amp;IF(H139="",", Cost Centre","")&amp;IF(I139="",", Invoice Type","")&amp;IF(J139="",", Tax Code","")&amp;IF(O139="",", Expected Revenue","")&amp;IF(COUNTIF(tbl_Finance[Job Number],$C139&amp;"")&gt;1,", Job number used twice",""),3,300)))</f>
        <v/>
      </c>
      <c r="Q139" s="10">
        <f>IF($C139="","",IF(H139="","(no cost centre)",H139&amp;" - GL "&amp;IFERROR(INDEX(lst_CCtoGL,MATCH(H139,lst_CCforGL,0)),"?")))</f>
        <v/>
      </c>
      <c r="R139" s="11">
        <f>IF($C139="","",IFERROR(N(INDEX(tbl_Finance[Inc GST],MATCH($AU139,tbl_Finance[Row ID],0))),""))</f>
        <v/>
      </c>
      <c r="S139" s="37" t="n"/>
      <c r="T139" s="37" t="n"/>
      <c r="U139" s="37" t="n"/>
      <c r="V139" s="42" t="n"/>
      <c r="W139" s="37" t="n"/>
      <c r="X139" s="10">
        <f>IF(W139="","",IF(AND(LEFT(W139,4)&lt;&gt;"http",set_RMSBase=""),"",HYPERLINK(IF(LEFT(W139,4)="http",W139,set_RMSBase&amp;W139),"Open in RMS")))</f>
        <v/>
      </c>
      <c r="Y139" s="37" t="n"/>
      <c r="Z139" s="10">
        <f>IF(Y139="","",HYPERLINK(IF(LEFT(Y139,4)="http",Y139,set_QwilrBase&amp;Y139),"Open quote"))</f>
        <v/>
      </c>
      <c r="AA139" s="10">
        <f>IF(C139="","",C139)</f>
        <v/>
      </c>
      <c r="AB139" s="37" t="n"/>
      <c r="AC139" s="39" t="n"/>
      <c r="AD139" s="11">
        <f>IF(C139="","",N(L139)+N(AC139))</f>
        <v/>
      </c>
      <c r="AE139" s="43">
        <f>IFERROR(IF(N(AC139)=0,"",AC139/AD139),"")</f>
        <v/>
      </c>
      <c r="AF139" s="39" t="n"/>
      <c r="AG139" s="39" t="n"/>
      <c r="AH139" s="39" t="n"/>
      <c r="AI139" s="39" t="n"/>
      <c r="AJ139" s="11">
        <f>IF(C139="","",IF(H139="VIDEO",N(L139),0))</f>
        <v/>
      </c>
      <c r="AK139" s="43">
        <f>IFERROR(IF(N(L139)=0,"",AJ139/L139),"")</f>
        <v/>
      </c>
      <c r="AL139" s="11">
        <f>IF(C139="","",N(AF139)+N(AG139)+N(AH139)+N(AI139))</f>
        <v/>
      </c>
      <c r="AM139" s="11">
        <f>IF(C139="","",MAX(N(L139),N(O139))-N(AL139))</f>
        <v/>
      </c>
      <c r="AN139" s="43">
        <f>IFERROR(IF(MAX(N(L139),N(O139))=0,"",AM139/MAX(N(L139),N(O139))),"")</f>
        <v/>
      </c>
      <c r="AO139" s="41" t="n"/>
      <c r="AP139" s="41" t="n"/>
      <c r="AQ139" s="41" t="n"/>
      <c r="AR139" s="41" t="n"/>
      <c r="AS139" s="41" t="n"/>
      <c r="AT139" s="37" t="n"/>
      <c r="AU139" s="10" t="inlineStr">
        <is>
          <t>PRD-0135</t>
        </is>
      </c>
    </row>
    <row r="140">
      <c r="A140" s="16">
        <f>IF($C140="","",IFERROR(IF(INDEX(tbl_Finance[Latest Invoice Date],MATCH($AU140,tbl_Finance[Row ID],0))="","",INDEX(tbl_Finance[Latest Invoice Date],MATCH($AU140,tbl_Finance[Row ID],0))),""))</f>
        <v/>
      </c>
      <c r="B140" s="10">
        <f>IF($C140="","",IFERROR(INDEX(tbl_Finance[Invoice Numbers],MATCH($AU140,tbl_Finance[Row ID],0))&amp;"",""))</f>
        <v/>
      </c>
      <c r="C140" s="37" t="n"/>
      <c r="D140" s="10">
        <f>IF($C140="","",IF(COUNTIF(lst_Jobs,$C140&amp;"")&gt;0,"OK","CHECK"))</f>
        <v/>
      </c>
      <c r="E140" s="10">
        <f>IF($C140="","",IFERROR(INDEX(lst_JobName,MATCH($C140&amp;"",lst_Jobs,0)),""))</f>
        <v/>
      </c>
      <c r="F140" s="37" t="n"/>
      <c r="G140" s="37" t="n"/>
      <c r="H140" s="37" t="n"/>
      <c r="I140" s="37" t="n"/>
      <c r="J140" s="37" t="n"/>
      <c r="K140" s="38">
        <f>IF($C140="","",IFERROR(N(INDEX(tbl_Finance[Invoice Count],MATCH($AU140,tbl_Finance[Row ID],0))),""))</f>
        <v/>
      </c>
      <c r="L140" s="11">
        <f>IF($C140="","",IFERROR(N(INDEX(tbl_Finance[Xero Invoiced Ex GST],MATCH($AU140,tbl_Finance[Row ID],0))),""))</f>
        <v/>
      </c>
      <c r="M140" s="10">
        <f>IF($C140="","",IFERROR(INDEX(tbl_Finance[Compare],MATCH($AU140,tbl_Finance[Row ID],0))&amp;"",""))</f>
        <v/>
      </c>
      <c r="N140" s="11">
        <f>IF($C140="","",MAX(0,N(O140)-N(L140)))</f>
        <v/>
      </c>
      <c r="O140" s="39" t="n"/>
      <c r="P140" s="40">
        <f>IF($C140="","",IF((IF(F140="",", Client","")&amp;IF(G140="",", Description","")&amp;IF(H140="",", Cost Centre","")&amp;IF(I140="",", Invoice Type","")&amp;IF(J140="",", Tax Code","")&amp;IF(O140="",", Expected Revenue","")&amp;IF(COUNTIF(tbl_Finance[Job Number],$C140&amp;"")&gt;1,", Job number used twice",""))="","Complete","Fix: "&amp;MID(IF(F140="",", Client","")&amp;IF(G140="",", Description","")&amp;IF(H140="",", Cost Centre","")&amp;IF(I140="",", Invoice Type","")&amp;IF(J140="",", Tax Code","")&amp;IF(O140="",", Expected Revenue","")&amp;IF(COUNTIF(tbl_Finance[Job Number],$C140&amp;"")&gt;1,", Job number used twice",""),3,300)))</f>
        <v/>
      </c>
      <c r="Q140" s="10">
        <f>IF($C140="","",IF(H140="","(no cost centre)",H140&amp;" - GL "&amp;IFERROR(INDEX(lst_CCtoGL,MATCH(H140,lst_CCforGL,0)),"?")))</f>
        <v/>
      </c>
      <c r="R140" s="11">
        <f>IF($C140="","",IFERROR(N(INDEX(tbl_Finance[Inc GST],MATCH($AU140,tbl_Finance[Row ID],0))),""))</f>
        <v/>
      </c>
      <c r="S140" s="37" t="n"/>
      <c r="T140" s="37" t="n"/>
      <c r="U140" s="37" t="n"/>
      <c r="V140" s="42" t="n"/>
      <c r="W140" s="37" t="n"/>
      <c r="X140" s="10">
        <f>IF(W140="","",IF(AND(LEFT(W140,4)&lt;&gt;"http",set_RMSBase=""),"",HYPERLINK(IF(LEFT(W140,4)="http",W140,set_RMSBase&amp;W140),"Open in RMS")))</f>
        <v/>
      </c>
      <c r="Y140" s="37" t="n"/>
      <c r="Z140" s="10">
        <f>IF(Y140="","",HYPERLINK(IF(LEFT(Y140,4)="http",Y140,set_QwilrBase&amp;Y140),"Open quote"))</f>
        <v/>
      </c>
      <c r="AA140" s="10">
        <f>IF(C140="","",C140)</f>
        <v/>
      </c>
      <c r="AB140" s="37" t="n"/>
      <c r="AC140" s="39" t="n"/>
      <c r="AD140" s="11">
        <f>IF(C140="","",N(L140)+N(AC140))</f>
        <v/>
      </c>
      <c r="AE140" s="43">
        <f>IFERROR(IF(N(AC140)=0,"",AC140/AD140),"")</f>
        <v/>
      </c>
      <c r="AF140" s="39" t="n"/>
      <c r="AG140" s="39" t="n"/>
      <c r="AH140" s="39" t="n"/>
      <c r="AI140" s="39" t="n"/>
      <c r="AJ140" s="11">
        <f>IF(C140="","",IF(H140="VIDEO",N(L140),0))</f>
        <v/>
      </c>
      <c r="AK140" s="43">
        <f>IFERROR(IF(N(L140)=0,"",AJ140/L140),"")</f>
        <v/>
      </c>
      <c r="AL140" s="11">
        <f>IF(C140="","",N(AF140)+N(AG140)+N(AH140)+N(AI140))</f>
        <v/>
      </c>
      <c r="AM140" s="11">
        <f>IF(C140="","",MAX(N(L140),N(O140))-N(AL140))</f>
        <v/>
      </c>
      <c r="AN140" s="43">
        <f>IFERROR(IF(MAX(N(L140),N(O140))=0,"",AM140/MAX(N(L140),N(O140))),"")</f>
        <v/>
      </c>
      <c r="AO140" s="41" t="n"/>
      <c r="AP140" s="41" t="n"/>
      <c r="AQ140" s="41" t="n"/>
      <c r="AR140" s="41" t="n"/>
      <c r="AS140" s="41" t="n"/>
      <c r="AT140" s="37" t="n"/>
      <c r="AU140" s="10" t="inlineStr">
        <is>
          <t>PRD-0136</t>
        </is>
      </c>
    </row>
    <row r="141">
      <c r="A141" s="16">
        <f>IF($C141="","",IFERROR(IF(INDEX(tbl_Finance[Latest Invoice Date],MATCH($AU141,tbl_Finance[Row ID],0))="","",INDEX(tbl_Finance[Latest Invoice Date],MATCH($AU141,tbl_Finance[Row ID],0))),""))</f>
        <v/>
      </c>
      <c r="B141" s="10">
        <f>IF($C141="","",IFERROR(INDEX(tbl_Finance[Invoice Numbers],MATCH($AU141,tbl_Finance[Row ID],0))&amp;"",""))</f>
        <v/>
      </c>
      <c r="C141" s="37" t="n"/>
      <c r="D141" s="10">
        <f>IF($C141="","",IF(COUNTIF(lst_Jobs,$C141&amp;"")&gt;0,"OK","CHECK"))</f>
        <v/>
      </c>
      <c r="E141" s="10">
        <f>IF($C141="","",IFERROR(INDEX(lst_JobName,MATCH($C141&amp;"",lst_Jobs,0)),""))</f>
        <v/>
      </c>
      <c r="F141" s="37" t="n"/>
      <c r="G141" s="37" t="n"/>
      <c r="H141" s="37" t="n"/>
      <c r="I141" s="37" t="n"/>
      <c r="J141" s="37" t="n"/>
      <c r="K141" s="38">
        <f>IF($C141="","",IFERROR(N(INDEX(tbl_Finance[Invoice Count],MATCH($AU141,tbl_Finance[Row ID],0))),""))</f>
        <v/>
      </c>
      <c r="L141" s="11">
        <f>IF($C141="","",IFERROR(N(INDEX(tbl_Finance[Xero Invoiced Ex GST],MATCH($AU141,tbl_Finance[Row ID],0))),""))</f>
        <v/>
      </c>
      <c r="M141" s="10">
        <f>IF($C141="","",IFERROR(INDEX(tbl_Finance[Compare],MATCH($AU141,tbl_Finance[Row ID],0))&amp;"",""))</f>
        <v/>
      </c>
      <c r="N141" s="11">
        <f>IF($C141="","",MAX(0,N(O141)-N(L141)))</f>
        <v/>
      </c>
      <c r="O141" s="39" t="n"/>
      <c r="P141" s="40">
        <f>IF($C141="","",IF((IF(F141="",", Client","")&amp;IF(G141="",", Description","")&amp;IF(H141="",", Cost Centre","")&amp;IF(I141="",", Invoice Type","")&amp;IF(J141="",", Tax Code","")&amp;IF(O141="",", Expected Revenue","")&amp;IF(COUNTIF(tbl_Finance[Job Number],$C141&amp;"")&gt;1,", Job number used twice",""))="","Complete","Fix: "&amp;MID(IF(F141="",", Client","")&amp;IF(G141="",", Description","")&amp;IF(H141="",", Cost Centre","")&amp;IF(I141="",", Invoice Type","")&amp;IF(J141="",", Tax Code","")&amp;IF(O141="",", Expected Revenue","")&amp;IF(COUNTIF(tbl_Finance[Job Number],$C141&amp;"")&gt;1,", Job number used twice",""),3,300)))</f>
        <v/>
      </c>
      <c r="Q141" s="10">
        <f>IF($C141="","",IF(H141="","(no cost centre)",H141&amp;" - GL "&amp;IFERROR(INDEX(lst_CCtoGL,MATCH(H141,lst_CCforGL,0)),"?")))</f>
        <v/>
      </c>
      <c r="R141" s="11">
        <f>IF($C141="","",IFERROR(N(INDEX(tbl_Finance[Inc GST],MATCH($AU141,tbl_Finance[Row ID],0))),""))</f>
        <v/>
      </c>
      <c r="S141" s="37" t="n"/>
      <c r="T141" s="37" t="n"/>
      <c r="U141" s="37" t="n"/>
      <c r="V141" s="42" t="n"/>
      <c r="W141" s="37" t="n"/>
      <c r="X141" s="10">
        <f>IF(W141="","",IF(AND(LEFT(W141,4)&lt;&gt;"http",set_RMSBase=""),"",HYPERLINK(IF(LEFT(W141,4)="http",W141,set_RMSBase&amp;W141),"Open in RMS")))</f>
        <v/>
      </c>
      <c r="Y141" s="37" t="n"/>
      <c r="Z141" s="10">
        <f>IF(Y141="","",HYPERLINK(IF(LEFT(Y141,4)="http",Y141,set_QwilrBase&amp;Y141),"Open quote"))</f>
        <v/>
      </c>
      <c r="AA141" s="10">
        <f>IF(C141="","",C141)</f>
        <v/>
      </c>
      <c r="AB141" s="37" t="n"/>
      <c r="AC141" s="39" t="n"/>
      <c r="AD141" s="11">
        <f>IF(C141="","",N(L141)+N(AC141))</f>
        <v/>
      </c>
      <c r="AE141" s="43">
        <f>IFERROR(IF(N(AC141)=0,"",AC141/AD141),"")</f>
        <v/>
      </c>
      <c r="AF141" s="39" t="n"/>
      <c r="AG141" s="39" t="n"/>
      <c r="AH141" s="39" t="n"/>
      <c r="AI141" s="39" t="n"/>
      <c r="AJ141" s="11">
        <f>IF(C141="","",IF(H141="VIDEO",N(L141),0))</f>
        <v/>
      </c>
      <c r="AK141" s="43">
        <f>IFERROR(IF(N(L141)=0,"",AJ141/L141),"")</f>
        <v/>
      </c>
      <c r="AL141" s="11">
        <f>IF(C141="","",N(AF141)+N(AG141)+N(AH141)+N(AI141))</f>
        <v/>
      </c>
      <c r="AM141" s="11">
        <f>IF(C141="","",MAX(N(L141),N(O141))-N(AL141))</f>
        <v/>
      </c>
      <c r="AN141" s="43">
        <f>IFERROR(IF(MAX(N(L141),N(O141))=0,"",AM141/MAX(N(L141),N(O141))),"")</f>
        <v/>
      </c>
      <c r="AO141" s="41" t="n"/>
      <c r="AP141" s="41" t="n"/>
      <c r="AQ141" s="41" t="n"/>
      <c r="AR141" s="41" t="n"/>
      <c r="AS141" s="41" t="n"/>
      <c r="AT141" s="37" t="n"/>
      <c r="AU141" s="10" t="inlineStr">
        <is>
          <t>PRD-0137</t>
        </is>
      </c>
    </row>
    <row r="142">
      <c r="A142" s="16">
        <f>IF($C142="","",IFERROR(IF(INDEX(tbl_Finance[Latest Invoice Date],MATCH($AU142,tbl_Finance[Row ID],0))="","",INDEX(tbl_Finance[Latest Invoice Date],MATCH($AU142,tbl_Finance[Row ID],0))),""))</f>
        <v/>
      </c>
      <c r="B142" s="10">
        <f>IF($C142="","",IFERROR(INDEX(tbl_Finance[Invoice Numbers],MATCH($AU142,tbl_Finance[Row ID],0))&amp;"",""))</f>
        <v/>
      </c>
      <c r="C142" s="37" t="n"/>
      <c r="D142" s="10">
        <f>IF($C142="","",IF(COUNTIF(lst_Jobs,$C142&amp;"")&gt;0,"OK","CHECK"))</f>
        <v/>
      </c>
      <c r="E142" s="10">
        <f>IF($C142="","",IFERROR(INDEX(lst_JobName,MATCH($C142&amp;"",lst_Jobs,0)),""))</f>
        <v/>
      </c>
      <c r="F142" s="37" t="n"/>
      <c r="G142" s="37" t="n"/>
      <c r="H142" s="37" t="n"/>
      <c r="I142" s="37" t="n"/>
      <c r="J142" s="37" t="n"/>
      <c r="K142" s="38">
        <f>IF($C142="","",IFERROR(N(INDEX(tbl_Finance[Invoice Count],MATCH($AU142,tbl_Finance[Row ID],0))),""))</f>
        <v/>
      </c>
      <c r="L142" s="11">
        <f>IF($C142="","",IFERROR(N(INDEX(tbl_Finance[Xero Invoiced Ex GST],MATCH($AU142,tbl_Finance[Row ID],0))),""))</f>
        <v/>
      </c>
      <c r="M142" s="10">
        <f>IF($C142="","",IFERROR(INDEX(tbl_Finance[Compare],MATCH($AU142,tbl_Finance[Row ID],0))&amp;"",""))</f>
        <v/>
      </c>
      <c r="N142" s="11">
        <f>IF($C142="","",MAX(0,N(O142)-N(L142)))</f>
        <v/>
      </c>
      <c r="O142" s="39" t="n"/>
      <c r="P142" s="40">
        <f>IF($C142="","",IF((IF(F142="",", Client","")&amp;IF(G142="",", Description","")&amp;IF(H142="",", Cost Centre","")&amp;IF(I142="",", Invoice Type","")&amp;IF(J142="",", Tax Code","")&amp;IF(O142="",", Expected Revenue","")&amp;IF(COUNTIF(tbl_Finance[Job Number],$C142&amp;"")&gt;1,", Job number used twice",""))="","Complete","Fix: "&amp;MID(IF(F142="",", Client","")&amp;IF(G142="",", Description","")&amp;IF(H142="",", Cost Centre","")&amp;IF(I142="",", Invoice Type","")&amp;IF(J142="",", Tax Code","")&amp;IF(O142="",", Expected Revenue","")&amp;IF(COUNTIF(tbl_Finance[Job Number],$C142&amp;"")&gt;1,", Job number used twice",""),3,300)))</f>
        <v/>
      </c>
      <c r="Q142" s="10">
        <f>IF($C142="","",IF(H142="","(no cost centre)",H142&amp;" - GL "&amp;IFERROR(INDEX(lst_CCtoGL,MATCH(H142,lst_CCforGL,0)),"?")))</f>
        <v/>
      </c>
      <c r="R142" s="11">
        <f>IF($C142="","",IFERROR(N(INDEX(tbl_Finance[Inc GST],MATCH($AU142,tbl_Finance[Row ID],0))),""))</f>
        <v/>
      </c>
      <c r="S142" s="37" t="n"/>
      <c r="T142" s="37" t="n"/>
      <c r="U142" s="37" t="n"/>
      <c r="V142" s="42" t="n"/>
      <c r="W142" s="37" t="n"/>
      <c r="X142" s="10">
        <f>IF(W142="","",IF(AND(LEFT(W142,4)&lt;&gt;"http",set_RMSBase=""),"",HYPERLINK(IF(LEFT(W142,4)="http",W142,set_RMSBase&amp;W142),"Open in RMS")))</f>
        <v/>
      </c>
      <c r="Y142" s="37" t="n"/>
      <c r="Z142" s="10">
        <f>IF(Y142="","",HYPERLINK(IF(LEFT(Y142,4)="http",Y142,set_QwilrBase&amp;Y142),"Open quote"))</f>
        <v/>
      </c>
      <c r="AA142" s="10">
        <f>IF(C142="","",C142)</f>
        <v/>
      </c>
      <c r="AB142" s="37" t="n"/>
      <c r="AC142" s="39" t="n"/>
      <c r="AD142" s="11">
        <f>IF(C142="","",N(L142)+N(AC142))</f>
        <v/>
      </c>
      <c r="AE142" s="43">
        <f>IFERROR(IF(N(AC142)=0,"",AC142/AD142),"")</f>
        <v/>
      </c>
      <c r="AF142" s="39" t="n"/>
      <c r="AG142" s="39" t="n"/>
      <c r="AH142" s="39" t="n"/>
      <c r="AI142" s="39" t="n"/>
      <c r="AJ142" s="11">
        <f>IF(C142="","",IF(H142="VIDEO",N(L142),0))</f>
        <v/>
      </c>
      <c r="AK142" s="43">
        <f>IFERROR(IF(N(L142)=0,"",AJ142/L142),"")</f>
        <v/>
      </c>
      <c r="AL142" s="11">
        <f>IF(C142="","",N(AF142)+N(AG142)+N(AH142)+N(AI142))</f>
        <v/>
      </c>
      <c r="AM142" s="11">
        <f>IF(C142="","",MAX(N(L142),N(O142))-N(AL142))</f>
        <v/>
      </c>
      <c r="AN142" s="43">
        <f>IFERROR(IF(MAX(N(L142),N(O142))=0,"",AM142/MAX(N(L142),N(O142))),"")</f>
        <v/>
      </c>
      <c r="AO142" s="41" t="n"/>
      <c r="AP142" s="41" t="n"/>
      <c r="AQ142" s="41" t="n"/>
      <c r="AR142" s="41" t="n"/>
      <c r="AS142" s="41" t="n"/>
      <c r="AT142" s="37" t="n"/>
      <c r="AU142" s="10" t="inlineStr">
        <is>
          <t>PRD-0138</t>
        </is>
      </c>
    </row>
    <row r="143">
      <c r="A143" s="16">
        <f>IF($C143="","",IFERROR(IF(INDEX(tbl_Finance[Latest Invoice Date],MATCH($AU143,tbl_Finance[Row ID],0))="","",INDEX(tbl_Finance[Latest Invoice Date],MATCH($AU143,tbl_Finance[Row ID],0))),""))</f>
        <v/>
      </c>
      <c r="B143" s="10">
        <f>IF($C143="","",IFERROR(INDEX(tbl_Finance[Invoice Numbers],MATCH($AU143,tbl_Finance[Row ID],0))&amp;"",""))</f>
        <v/>
      </c>
      <c r="C143" s="37" t="n"/>
      <c r="D143" s="10">
        <f>IF($C143="","",IF(COUNTIF(lst_Jobs,$C143&amp;"")&gt;0,"OK","CHECK"))</f>
        <v/>
      </c>
      <c r="E143" s="10">
        <f>IF($C143="","",IFERROR(INDEX(lst_JobName,MATCH($C143&amp;"",lst_Jobs,0)),""))</f>
        <v/>
      </c>
      <c r="F143" s="37" t="n"/>
      <c r="G143" s="37" t="n"/>
      <c r="H143" s="37" t="n"/>
      <c r="I143" s="37" t="n"/>
      <c r="J143" s="37" t="n"/>
      <c r="K143" s="38">
        <f>IF($C143="","",IFERROR(N(INDEX(tbl_Finance[Invoice Count],MATCH($AU143,tbl_Finance[Row ID],0))),""))</f>
        <v/>
      </c>
      <c r="L143" s="11">
        <f>IF($C143="","",IFERROR(N(INDEX(tbl_Finance[Xero Invoiced Ex GST],MATCH($AU143,tbl_Finance[Row ID],0))),""))</f>
        <v/>
      </c>
      <c r="M143" s="10">
        <f>IF($C143="","",IFERROR(INDEX(tbl_Finance[Compare],MATCH($AU143,tbl_Finance[Row ID],0))&amp;"",""))</f>
        <v/>
      </c>
      <c r="N143" s="11">
        <f>IF($C143="","",MAX(0,N(O143)-N(L143)))</f>
        <v/>
      </c>
      <c r="O143" s="39" t="n"/>
      <c r="P143" s="40">
        <f>IF($C143="","",IF((IF(F143="",", Client","")&amp;IF(G143="",", Description","")&amp;IF(H143="",", Cost Centre","")&amp;IF(I143="",", Invoice Type","")&amp;IF(J143="",", Tax Code","")&amp;IF(O143="",", Expected Revenue","")&amp;IF(COUNTIF(tbl_Finance[Job Number],$C143&amp;"")&gt;1,", Job number used twice",""))="","Complete","Fix: "&amp;MID(IF(F143="",", Client","")&amp;IF(G143="",", Description","")&amp;IF(H143="",", Cost Centre","")&amp;IF(I143="",", Invoice Type","")&amp;IF(J143="",", Tax Code","")&amp;IF(O143="",", Expected Revenue","")&amp;IF(COUNTIF(tbl_Finance[Job Number],$C143&amp;"")&gt;1,", Job number used twice",""),3,300)))</f>
        <v/>
      </c>
      <c r="Q143" s="10">
        <f>IF($C143="","",IF(H143="","(no cost centre)",H143&amp;" - GL "&amp;IFERROR(INDEX(lst_CCtoGL,MATCH(H143,lst_CCforGL,0)),"?")))</f>
        <v/>
      </c>
      <c r="R143" s="11">
        <f>IF($C143="","",IFERROR(N(INDEX(tbl_Finance[Inc GST],MATCH($AU143,tbl_Finance[Row ID],0))),""))</f>
        <v/>
      </c>
      <c r="S143" s="37" t="n"/>
      <c r="T143" s="37" t="n"/>
      <c r="U143" s="37" t="n"/>
      <c r="V143" s="42" t="n"/>
      <c r="W143" s="37" t="n"/>
      <c r="X143" s="10">
        <f>IF(W143="","",IF(AND(LEFT(W143,4)&lt;&gt;"http",set_RMSBase=""),"",HYPERLINK(IF(LEFT(W143,4)="http",W143,set_RMSBase&amp;W143),"Open in RMS")))</f>
        <v/>
      </c>
      <c r="Y143" s="37" t="n"/>
      <c r="Z143" s="10">
        <f>IF(Y143="","",HYPERLINK(IF(LEFT(Y143,4)="http",Y143,set_QwilrBase&amp;Y143),"Open quote"))</f>
        <v/>
      </c>
      <c r="AA143" s="10">
        <f>IF(C143="","",C143)</f>
        <v/>
      </c>
      <c r="AB143" s="37" t="n"/>
      <c r="AC143" s="39" t="n"/>
      <c r="AD143" s="11">
        <f>IF(C143="","",N(L143)+N(AC143))</f>
        <v/>
      </c>
      <c r="AE143" s="43">
        <f>IFERROR(IF(N(AC143)=0,"",AC143/AD143),"")</f>
        <v/>
      </c>
      <c r="AF143" s="39" t="n"/>
      <c r="AG143" s="39" t="n"/>
      <c r="AH143" s="39" t="n"/>
      <c r="AI143" s="39" t="n"/>
      <c r="AJ143" s="11">
        <f>IF(C143="","",IF(H143="VIDEO",N(L143),0))</f>
        <v/>
      </c>
      <c r="AK143" s="43">
        <f>IFERROR(IF(N(L143)=0,"",AJ143/L143),"")</f>
        <v/>
      </c>
      <c r="AL143" s="11">
        <f>IF(C143="","",N(AF143)+N(AG143)+N(AH143)+N(AI143))</f>
        <v/>
      </c>
      <c r="AM143" s="11">
        <f>IF(C143="","",MAX(N(L143),N(O143))-N(AL143))</f>
        <v/>
      </c>
      <c r="AN143" s="43">
        <f>IFERROR(IF(MAX(N(L143),N(O143))=0,"",AM143/MAX(N(L143),N(O143))),"")</f>
        <v/>
      </c>
      <c r="AO143" s="41" t="n"/>
      <c r="AP143" s="41" t="n"/>
      <c r="AQ143" s="41" t="n"/>
      <c r="AR143" s="41" t="n"/>
      <c r="AS143" s="41" t="n"/>
      <c r="AT143" s="37" t="n"/>
      <c r="AU143" s="10" t="inlineStr">
        <is>
          <t>PRD-0139</t>
        </is>
      </c>
    </row>
    <row r="144">
      <c r="A144" s="16">
        <f>IF($C144="","",IFERROR(IF(INDEX(tbl_Finance[Latest Invoice Date],MATCH($AU144,tbl_Finance[Row ID],0))="","",INDEX(tbl_Finance[Latest Invoice Date],MATCH($AU144,tbl_Finance[Row ID],0))),""))</f>
        <v/>
      </c>
      <c r="B144" s="10">
        <f>IF($C144="","",IFERROR(INDEX(tbl_Finance[Invoice Numbers],MATCH($AU144,tbl_Finance[Row ID],0))&amp;"",""))</f>
        <v/>
      </c>
      <c r="C144" s="37" t="n"/>
      <c r="D144" s="10">
        <f>IF($C144="","",IF(COUNTIF(lst_Jobs,$C144&amp;"")&gt;0,"OK","CHECK"))</f>
        <v/>
      </c>
      <c r="E144" s="10">
        <f>IF($C144="","",IFERROR(INDEX(lst_JobName,MATCH($C144&amp;"",lst_Jobs,0)),""))</f>
        <v/>
      </c>
      <c r="F144" s="37" t="n"/>
      <c r="G144" s="37" t="n"/>
      <c r="H144" s="37" t="n"/>
      <c r="I144" s="37" t="n"/>
      <c r="J144" s="37" t="n"/>
      <c r="K144" s="38">
        <f>IF($C144="","",IFERROR(N(INDEX(tbl_Finance[Invoice Count],MATCH($AU144,tbl_Finance[Row ID],0))),""))</f>
        <v/>
      </c>
      <c r="L144" s="11">
        <f>IF($C144="","",IFERROR(N(INDEX(tbl_Finance[Xero Invoiced Ex GST],MATCH($AU144,tbl_Finance[Row ID],0))),""))</f>
        <v/>
      </c>
      <c r="M144" s="10">
        <f>IF($C144="","",IFERROR(INDEX(tbl_Finance[Compare],MATCH($AU144,tbl_Finance[Row ID],0))&amp;"",""))</f>
        <v/>
      </c>
      <c r="N144" s="11">
        <f>IF($C144="","",MAX(0,N(O144)-N(L144)))</f>
        <v/>
      </c>
      <c r="O144" s="39" t="n"/>
      <c r="P144" s="40">
        <f>IF($C144="","",IF((IF(F144="",", Client","")&amp;IF(G144="",", Description","")&amp;IF(H144="",", Cost Centre","")&amp;IF(I144="",", Invoice Type","")&amp;IF(J144="",", Tax Code","")&amp;IF(O144="",", Expected Revenue","")&amp;IF(COUNTIF(tbl_Finance[Job Number],$C144&amp;"")&gt;1,", Job number used twice",""))="","Complete","Fix: "&amp;MID(IF(F144="",", Client","")&amp;IF(G144="",", Description","")&amp;IF(H144="",", Cost Centre","")&amp;IF(I144="",", Invoice Type","")&amp;IF(J144="",", Tax Code","")&amp;IF(O144="",", Expected Revenue","")&amp;IF(COUNTIF(tbl_Finance[Job Number],$C144&amp;"")&gt;1,", Job number used twice",""),3,300)))</f>
        <v/>
      </c>
      <c r="Q144" s="10">
        <f>IF($C144="","",IF(H144="","(no cost centre)",H144&amp;" - GL "&amp;IFERROR(INDEX(lst_CCtoGL,MATCH(H144,lst_CCforGL,0)),"?")))</f>
        <v/>
      </c>
      <c r="R144" s="11">
        <f>IF($C144="","",IFERROR(N(INDEX(tbl_Finance[Inc GST],MATCH($AU144,tbl_Finance[Row ID],0))),""))</f>
        <v/>
      </c>
      <c r="S144" s="37" t="n"/>
      <c r="T144" s="37" t="n"/>
      <c r="U144" s="37" t="n"/>
      <c r="V144" s="42" t="n"/>
      <c r="W144" s="37" t="n"/>
      <c r="X144" s="10">
        <f>IF(W144="","",IF(AND(LEFT(W144,4)&lt;&gt;"http",set_RMSBase=""),"",HYPERLINK(IF(LEFT(W144,4)="http",W144,set_RMSBase&amp;W144),"Open in RMS")))</f>
        <v/>
      </c>
      <c r="Y144" s="37" t="n"/>
      <c r="Z144" s="10">
        <f>IF(Y144="","",HYPERLINK(IF(LEFT(Y144,4)="http",Y144,set_QwilrBase&amp;Y144),"Open quote"))</f>
        <v/>
      </c>
      <c r="AA144" s="10">
        <f>IF(C144="","",C144)</f>
        <v/>
      </c>
      <c r="AB144" s="37" t="n"/>
      <c r="AC144" s="39" t="n"/>
      <c r="AD144" s="11">
        <f>IF(C144="","",N(L144)+N(AC144))</f>
        <v/>
      </c>
      <c r="AE144" s="43">
        <f>IFERROR(IF(N(AC144)=0,"",AC144/AD144),"")</f>
        <v/>
      </c>
      <c r="AF144" s="39" t="n"/>
      <c r="AG144" s="39" t="n"/>
      <c r="AH144" s="39" t="n"/>
      <c r="AI144" s="39" t="n"/>
      <c r="AJ144" s="11">
        <f>IF(C144="","",IF(H144="VIDEO",N(L144),0))</f>
        <v/>
      </c>
      <c r="AK144" s="43">
        <f>IFERROR(IF(N(L144)=0,"",AJ144/L144),"")</f>
        <v/>
      </c>
      <c r="AL144" s="11">
        <f>IF(C144="","",N(AF144)+N(AG144)+N(AH144)+N(AI144))</f>
        <v/>
      </c>
      <c r="AM144" s="11">
        <f>IF(C144="","",MAX(N(L144),N(O144))-N(AL144))</f>
        <v/>
      </c>
      <c r="AN144" s="43">
        <f>IFERROR(IF(MAX(N(L144),N(O144))=0,"",AM144/MAX(N(L144),N(O144))),"")</f>
        <v/>
      </c>
      <c r="AO144" s="41" t="n"/>
      <c r="AP144" s="41" t="n"/>
      <c r="AQ144" s="41" t="n"/>
      <c r="AR144" s="41" t="n"/>
      <c r="AS144" s="41" t="n"/>
      <c r="AT144" s="37" t="n"/>
      <c r="AU144" s="10" t="inlineStr">
        <is>
          <t>PRD-0140</t>
        </is>
      </c>
    </row>
    <row r="145">
      <c r="A145" s="16">
        <f>IF($C145="","",IFERROR(IF(INDEX(tbl_Finance[Latest Invoice Date],MATCH($AU145,tbl_Finance[Row ID],0))="","",INDEX(tbl_Finance[Latest Invoice Date],MATCH($AU145,tbl_Finance[Row ID],0))),""))</f>
        <v/>
      </c>
      <c r="B145" s="10">
        <f>IF($C145="","",IFERROR(INDEX(tbl_Finance[Invoice Numbers],MATCH($AU145,tbl_Finance[Row ID],0))&amp;"",""))</f>
        <v/>
      </c>
      <c r="C145" s="37" t="n"/>
      <c r="D145" s="10">
        <f>IF($C145="","",IF(COUNTIF(lst_Jobs,$C145&amp;"")&gt;0,"OK","CHECK"))</f>
        <v/>
      </c>
      <c r="E145" s="10">
        <f>IF($C145="","",IFERROR(INDEX(lst_JobName,MATCH($C145&amp;"",lst_Jobs,0)),""))</f>
        <v/>
      </c>
      <c r="F145" s="37" t="n"/>
      <c r="G145" s="37" t="n"/>
      <c r="H145" s="37" t="n"/>
      <c r="I145" s="37" t="n"/>
      <c r="J145" s="37" t="n"/>
      <c r="K145" s="38">
        <f>IF($C145="","",IFERROR(N(INDEX(tbl_Finance[Invoice Count],MATCH($AU145,tbl_Finance[Row ID],0))),""))</f>
        <v/>
      </c>
      <c r="L145" s="11">
        <f>IF($C145="","",IFERROR(N(INDEX(tbl_Finance[Xero Invoiced Ex GST],MATCH($AU145,tbl_Finance[Row ID],0))),""))</f>
        <v/>
      </c>
      <c r="M145" s="10">
        <f>IF($C145="","",IFERROR(INDEX(tbl_Finance[Compare],MATCH($AU145,tbl_Finance[Row ID],0))&amp;"",""))</f>
        <v/>
      </c>
      <c r="N145" s="11">
        <f>IF($C145="","",MAX(0,N(O145)-N(L145)))</f>
        <v/>
      </c>
      <c r="O145" s="39" t="n"/>
      <c r="P145" s="40">
        <f>IF($C145="","",IF((IF(F145="",", Client","")&amp;IF(G145="",", Description","")&amp;IF(H145="",", Cost Centre","")&amp;IF(I145="",", Invoice Type","")&amp;IF(J145="",", Tax Code","")&amp;IF(O145="",", Expected Revenue","")&amp;IF(COUNTIF(tbl_Finance[Job Number],$C145&amp;"")&gt;1,", Job number used twice",""))="","Complete","Fix: "&amp;MID(IF(F145="",", Client","")&amp;IF(G145="",", Description","")&amp;IF(H145="",", Cost Centre","")&amp;IF(I145="",", Invoice Type","")&amp;IF(J145="",", Tax Code","")&amp;IF(O145="",", Expected Revenue","")&amp;IF(COUNTIF(tbl_Finance[Job Number],$C145&amp;"")&gt;1,", Job number used twice",""),3,300)))</f>
        <v/>
      </c>
      <c r="Q145" s="10">
        <f>IF($C145="","",IF(H145="","(no cost centre)",H145&amp;" - GL "&amp;IFERROR(INDEX(lst_CCtoGL,MATCH(H145,lst_CCforGL,0)),"?")))</f>
        <v/>
      </c>
      <c r="R145" s="11">
        <f>IF($C145="","",IFERROR(N(INDEX(tbl_Finance[Inc GST],MATCH($AU145,tbl_Finance[Row ID],0))),""))</f>
        <v/>
      </c>
      <c r="S145" s="37" t="n"/>
      <c r="T145" s="37" t="n"/>
      <c r="U145" s="37" t="n"/>
      <c r="V145" s="42" t="n"/>
      <c r="W145" s="37" t="n"/>
      <c r="X145" s="10">
        <f>IF(W145="","",IF(AND(LEFT(W145,4)&lt;&gt;"http",set_RMSBase=""),"",HYPERLINK(IF(LEFT(W145,4)="http",W145,set_RMSBase&amp;W145),"Open in RMS")))</f>
        <v/>
      </c>
      <c r="Y145" s="37" t="n"/>
      <c r="Z145" s="10">
        <f>IF(Y145="","",HYPERLINK(IF(LEFT(Y145,4)="http",Y145,set_QwilrBase&amp;Y145),"Open quote"))</f>
        <v/>
      </c>
      <c r="AA145" s="10">
        <f>IF(C145="","",C145)</f>
        <v/>
      </c>
      <c r="AB145" s="37" t="n"/>
      <c r="AC145" s="39" t="n"/>
      <c r="AD145" s="11">
        <f>IF(C145="","",N(L145)+N(AC145))</f>
        <v/>
      </c>
      <c r="AE145" s="43">
        <f>IFERROR(IF(N(AC145)=0,"",AC145/AD145),"")</f>
        <v/>
      </c>
      <c r="AF145" s="39" t="n"/>
      <c r="AG145" s="39" t="n"/>
      <c r="AH145" s="39" t="n"/>
      <c r="AI145" s="39" t="n"/>
      <c r="AJ145" s="11">
        <f>IF(C145="","",IF(H145="VIDEO",N(L145),0))</f>
        <v/>
      </c>
      <c r="AK145" s="43">
        <f>IFERROR(IF(N(L145)=0,"",AJ145/L145),"")</f>
        <v/>
      </c>
      <c r="AL145" s="11">
        <f>IF(C145="","",N(AF145)+N(AG145)+N(AH145)+N(AI145))</f>
        <v/>
      </c>
      <c r="AM145" s="11">
        <f>IF(C145="","",MAX(N(L145),N(O145))-N(AL145))</f>
        <v/>
      </c>
      <c r="AN145" s="43">
        <f>IFERROR(IF(MAX(N(L145),N(O145))=0,"",AM145/MAX(N(L145),N(O145))),"")</f>
        <v/>
      </c>
      <c r="AO145" s="41" t="n"/>
      <c r="AP145" s="41" t="n"/>
      <c r="AQ145" s="41" t="n"/>
      <c r="AR145" s="41" t="n"/>
      <c r="AS145" s="41" t="n"/>
      <c r="AT145" s="37" t="n"/>
      <c r="AU145" s="10" t="inlineStr">
        <is>
          <t>PRD-0141</t>
        </is>
      </c>
    </row>
    <row r="146">
      <c r="A146" s="16">
        <f>IF($C146="","",IFERROR(IF(INDEX(tbl_Finance[Latest Invoice Date],MATCH($AU146,tbl_Finance[Row ID],0))="","",INDEX(tbl_Finance[Latest Invoice Date],MATCH($AU146,tbl_Finance[Row ID],0))),""))</f>
        <v/>
      </c>
      <c r="B146" s="10">
        <f>IF($C146="","",IFERROR(INDEX(tbl_Finance[Invoice Numbers],MATCH($AU146,tbl_Finance[Row ID],0))&amp;"",""))</f>
        <v/>
      </c>
      <c r="C146" s="37" t="n"/>
      <c r="D146" s="10">
        <f>IF($C146="","",IF(COUNTIF(lst_Jobs,$C146&amp;"")&gt;0,"OK","CHECK"))</f>
        <v/>
      </c>
      <c r="E146" s="10">
        <f>IF($C146="","",IFERROR(INDEX(lst_JobName,MATCH($C146&amp;"",lst_Jobs,0)),""))</f>
        <v/>
      </c>
      <c r="F146" s="37" t="n"/>
      <c r="G146" s="37" t="n"/>
      <c r="H146" s="37" t="n"/>
      <c r="I146" s="37" t="n"/>
      <c r="J146" s="37" t="n"/>
      <c r="K146" s="38">
        <f>IF($C146="","",IFERROR(N(INDEX(tbl_Finance[Invoice Count],MATCH($AU146,tbl_Finance[Row ID],0))),""))</f>
        <v/>
      </c>
      <c r="L146" s="11">
        <f>IF($C146="","",IFERROR(N(INDEX(tbl_Finance[Xero Invoiced Ex GST],MATCH($AU146,tbl_Finance[Row ID],0))),""))</f>
        <v/>
      </c>
      <c r="M146" s="10">
        <f>IF($C146="","",IFERROR(INDEX(tbl_Finance[Compare],MATCH($AU146,tbl_Finance[Row ID],0))&amp;"",""))</f>
        <v/>
      </c>
      <c r="N146" s="11">
        <f>IF($C146="","",MAX(0,N(O146)-N(L146)))</f>
        <v/>
      </c>
      <c r="O146" s="39" t="n"/>
      <c r="P146" s="40">
        <f>IF($C146="","",IF((IF(F146="",", Client","")&amp;IF(G146="",", Description","")&amp;IF(H146="",", Cost Centre","")&amp;IF(I146="",", Invoice Type","")&amp;IF(J146="",", Tax Code","")&amp;IF(O146="",", Expected Revenue","")&amp;IF(COUNTIF(tbl_Finance[Job Number],$C146&amp;"")&gt;1,", Job number used twice",""))="","Complete","Fix: "&amp;MID(IF(F146="",", Client","")&amp;IF(G146="",", Description","")&amp;IF(H146="",", Cost Centre","")&amp;IF(I146="",", Invoice Type","")&amp;IF(J146="",", Tax Code","")&amp;IF(O146="",", Expected Revenue","")&amp;IF(COUNTIF(tbl_Finance[Job Number],$C146&amp;"")&gt;1,", Job number used twice",""),3,300)))</f>
        <v/>
      </c>
      <c r="Q146" s="10">
        <f>IF($C146="","",IF(H146="","(no cost centre)",H146&amp;" - GL "&amp;IFERROR(INDEX(lst_CCtoGL,MATCH(H146,lst_CCforGL,0)),"?")))</f>
        <v/>
      </c>
      <c r="R146" s="11">
        <f>IF($C146="","",IFERROR(N(INDEX(tbl_Finance[Inc GST],MATCH($AU146,tbl_Finance[Row ID],0))),""))</f>
        <v/>
      </c>
      <c r="S146" s="37" t="n"/>
      <c r="T146" s="37" t="n"/>
      <c r="U146" s="37" t="n"/>
      <c r="V146" s="42" t="n"/>
      <c r="W146" s="37" t="n"/>
      <c r="X146" s="10">
        <f>IF(W146="","",IF(AND(LEFT(W146,4)&lt;&gt;"http",set_RMSBase=""),"",HYPERLINK(IF(LEFT(W146,4)="http",W146,set_RMSBase&amp;W146),"Open in RMS")))</f>
        <v/>
      </c>
      <c r="Y146" s="37" t="n"/>
      <c r="Z146" s="10">
        <f>IF(Y146="","",HYPERLINK(IF(LEFT(Y146,4)="http",Y146,set_QwilrBase&amp;Y146),"Open quote"))</f>
        <v/>
      </c>
      <c r="AA146" s="10">
        <f>IF(C146="","",C146)</f>
        <v/>
      </c>
      <c r="AB146" s="37" t="n"/>
      <c r="AC146" s="39" t="n"/>
      <c r="AD146" s="11">
        <f>IF(C146="","",N(L146)+N(AC146))</f>
        <v/>
      </c>
      <c r="AE146" s="43">
        <f>IFERROR(IF(N(AC146)=0,"",AC146/AD146),"")</f>
        <v/>
      </c>
      <c r="AF146" s="39" t="n"/>
      <c r="AG146" s="39" t="n"/>
      <c r="AH146" s="39" t="n"/>
      <c r="AI146" s="39" t="n"/>
      <c r="AJ146" s="11">
        <f>IF(C146="","",IF(H146="VIDEO",N(L146),0))</f>
        <v/>
      </c>
      <c r="AK146" s="43">
        <f>IFERROR(IF(N(L146)=0,"",AJ146/L146),"")</f>
        <v/>
      </c>
      <c r="AL146" s="11">
        <f>IF(C146="","",N(AF146)+N(AG146)+N(AH146)+N(AI146))</f>
        <v/>
      </c>
      <c r="AM146" s="11">
        <f>IF(C146="","",MAX(N(L146),N(O146))-N(AL146))</f>
        <v/>
      </c>
      <c r="AN146" s="43">
        <f>IFERROR(IF(MAX(N(L146),N(O146))=0,"",AM146/MAX(N(L146),N(O146))),"")</f>
        <v/>
      </c>
      <c r="AO146" s="41" t="n"/>
      <c r="AP146" s="41" t="n"/>
      <c r="AQ146" s="41" t="n"/>
      <c r="AR146" s="41" t="n"/>
      <c r="AS146" s="41" t="n"/>
      <c r="AT146" s="37" t="n"/>
      <c r="AU146" s="10" t="inlineStr">
        <is>
          <t>PRD-0142</t>
        </is>
      </c>
    </row>
    <row r="147">
      <c r="A147" s="16">
        <f>IF($C147="","",IFERROR(IF(INDEX(tbl_Finance[Latest Invoice Date],MATCH($AU147,tbl_Finance[Row ID],0))="","",INDEX(tbl_Finance[Latest Invoice Date],MATCH($AU147,tbl_Finance[Row ID],0))),""))</f>
        <v/>
      </c>
      <c r="B147" s="10">
        <f>IF($C147="","",IFERROR(INDEX(tbl_Finance[Invoice Numbers],MATCH($AU147,tbl_Finance[Row ID],0))&amp;"",""))</f>
        <v/>
      </c>
      <c r="C147" s="37" t="n"/>
      <c r="D147" s="10">
        <f>IF($C147="","",IF(COUNTIF(lst_Jobs,$C147&amp;"")&gt;0,"OK","CHECK"))</f>
        <v/>
      </c>
      <c r="E147" s="10">
        <f>IF($C147="","",IFERROR(INDEX(lst_JobName,MATCH($C147&amp;"",lst_Jobs,0)),""))</f>
        <v/>
      </c>
      <c r="F147" s="37" t="n"/>
      <c r="G147" s="37" t="n"/>
      <c r="H147" s="37" t="n"/>
      <c r="I147" s="37" t="n"/>
      <c r="J147" s="37" t="n"/>
      <c r="K147" s="38">
        <f>IF($C147="","",IFERROR(N(INDEX(tbl_Finance[Invoice Count],MATCH($AU147,tbl_Finance[Row ID],0))),""))</f>
        <v/>
      </c>
      <c r="L147" s="11">
        <f>IF($C147="","",IFERROR(N(INDEX(tbl_Finance[Xero Invoiced Ex GST],MATCH($AU147,tbl_Finance[Row ID],0))),""))</f>
        <v/>
      </c>
      <c r="M147" s="10">
        <f>IF($C147="","",IFERROR(INDEX(tbl_Finance[Compare],MATCH($AU147,tbl_Finance[Row ID],0))&amp;"",""))</f>
        <v/>
      </c>
      <c r="N147" s="11">
        <f>IF($C147="","",MAX(0,N(O147)-N(L147)))</f>
        <v/>
      </c>
      <c r="O147" s="39" t="n"/>
      <c r="P147" s="40">
        <f>IF($C147="","",IF((IF(F147="",", Client","")&amp;IF(G147="",", Description","")&amp;IF(H147="",", Cost Centre","")&amp;IF(I147="",", Invoice Type","")&amp;IF(J147="",", Tax Code","")&amp;IF(O147="",", Expected Revenue","")&amp;IF(COUNTIF(tbl_Finance[Job Number],$C147&amp;"")&gt;1,", Job number used twice",""))="","Complete","Fix: "&amp;MID(IF(F147="",", Client","")&amp;IF(G147="",", Description","")&amp;IF(H147="",", Cost Centre","")&amp;IF(I147="",", Invoice Type","")&amp;IF(J147="",", Tax Code","")&amp;IF(O147="",", Expected Revenue","")&amp;IF(COUNTIF(tbl_Finance[Job Number],$C147&amp;"")&gt;1,", Job number used twice",""),3,300)))</f>
        <v/>
      </c>
      <c r="Q147" s="10">
        <f>IF($C147="","",IF(H147="","(no cost centre)",H147&amp;" - GL "&amp;IFERROR(INDEX(lst_CCtoGL,MATCH(H147,lst_CCforGL,0)),"?")))</f>
        <v/>
      </c>
      <c r="R147" s="11">
        <f>IF($C147="","",IFERROR(N(INDEX(tbl_Finance[Inc GST],MATCH($AU147,tbl_Finance[Row ID],0))),""))</f>
        <v/>
      </c>
      <c r="S147" s="37" t="n"/>
      <c r="T147" s="37" t="n"/>
      <c r="U147" s="37" t="n"/>
      <c r="V147" s="42" t="n"/>
      <c r="W147" s="37" t="n"/>
      <c r="X147" s="10">
        <f>IF(W147="","",IF(AND(LEFT(W147,4)&lt;&gt;"http",set_RMSBase=""),"",HYPERLINK(IF(LEFT(W147,4)="http",W147,set_RMSBase&amp;W147),"Open in RMS")))</f>
        <v/>
      </c>
      <c r="Y147" s="37" t="n"/>
      <c r="Z147" s="10">
        <f>IF(Y147="","",HYPERLINK(IF(LEFT(Y147,4)="http",Y147,set_QwilrBase&amp;Y147),"Open quote"))</f>
        <v/>
      </c>
      <c r="AA147" s="10">
        <f>IF(C147="","",C147)</f>
        <v/>
      </c>
      <c r="AB147" s="37" t="n"/>
      <c r="AC147" s="39" t="n"/>
      <c r="AD147" s="11">
        <f>IF(C147="","",N(L147)+N(AC147))</f>
        <v/>
      </c>
      <c r="AE147" s="43">
        <f>IFERROR(IF(N(AC147)=0,"",AC147/AD147),"")</f>
        <v/>
      </c>
      <c r="AF147" s="39" t="n"/>
      <c r="AG147" s="39" t="n"/>
      <c r="AH147" s="39" t="n"/>
      <c r="AI147" s="39" t="n"/>
      <c r="AJ147" s="11">
        <f>IF(C147="","",IF(H147="VIDEO",N(L147),0))</f>
        <v/>
      </c>
      <c r="AK147" s="43">
        <f>IFERROR(IF(N(L147)=0,"",AJ147/L147),"")</f>
        <v/>
      </c>
      <c r="AL147" s="11">
        <f>IF(C147="","",N(AF147)+N(AG147)+N(AH147)+N(AI147))</f>
        <v/>
      </c>
      <c r="AM147" s="11">
        <f>IF(C147="","",MAX(N(L147),N(O147))-N(AL147))</f>
        <v/>
      </c>
      <c r="AN147" s="43">
        <f>IFERROR(IF(MAX(N(L147),N(O147))=0,"",AM147/MAX(N(L147),N(O147))),"")</f>
        <v/>
      </c>
      <c r="AO147" s="41" t="n"/>
      <c r="AP147" s="41" t="n"/>
      <c r="AQ147" s="41" t="n"/>
      <c r="AR147" s="41" t="n"/>
      <c r="AS147" s="41" t="n"/>
      <c r="AT147" s="37" t="n"/>
      <c r="AU147" s="10" t="inlineStr">
        <is>
          <t>PRD-0143</t>
        </is>
      </c>
    </row>
    <row r="148">
      <c r="A148" s="16">
        <f>IF($C148="","",IFERROR(IF(INDEX(tbl_Finance[Latest Invoice Date],MATCH($AU148,tbl_Finance[Row ID],0))="","",INDEX(tbl_Finance[Latest Invoice Date],MATCH($AU148,tbl_Finance[Row ID],0))),""))</f>
        <v/>
      </c>
      <c r="B148" s="10">
        <f>IF($C148="","",IFERROR(INDEX(tbl_Finance[Invoice Numbers],MATCH($AU148,tbl_Finance[Row ID],0))&amp;"",""))</f>
        <v/>
      </c>
      <c r="C148" s="37" t="n"/>
      <c r="D148" s="10">
        <f>IF($C148="","",IF(COUNTIF(lst_Jobs,$C148&amp;"")&gt;0,"OK","CHECK"))</f>
        <v/>
      </c>
      <c r="E148" s="10">
        <f>IF($C148="","",IFERROR(INDEX(lst_JobName,MATCH($C148&amp;"",lst_Jobs,0)),""))</f>
        <v/>
      </c>
      <c r="F148" s="37" t="n"/>
      <c r="G148" s="37" t="n"/>
      <c r="H148" s="37" t="n"/>
      <c r="I148" s="37" t="n"/>
      <c r="J148" s="37" t="n"/>
      <c r="K148" s="38">
        <f>IF($C148="","",IFERROR(N(INDEX(tbl_Finance[Invoice Count],MATCH($AU148,tbl_Finance[Row ID],0))),""))</f>
        <v/>
      </c>
      <c r="L148" s="11">
        <f>IF($C148="","",IFERROR(N(INDEX(tbl_Finance[Xero Invoiced Ex GST],MATCH($AU148,tbl_Finance[Row ID],0))),""))</f>
        <v/>
      </c>
      <c r="M148" s="10">
        <f>IF($C148="","",IFERROR(INDEX(tbl_Finance[Compare],MATCH($AU148,tbl_Finance[Row ID],0))&amp;"",""))</f>
        <v/>
      </c>
      <c r="N148" s="11">
        <f>IF($C148="","",MAX(0,N(O148)-N(L148)))</f>
        <v/>
      </c>
      <c r="O148" s="39" t="n"/>
      <c r="P148" s="40">
        <f>IF($C148="","",IF((IF(F148="",", Client","")&amp;IF(G148="",", Description","")&amp;IF(H148="",", Cost Centre","")&amp;IF(I148="",", Invoice Type","")&amp;IF(J148="",", Tax Code","")&amp;IF(O148="",", Expected Revenue","")&amp;IF(COUNTIF(tbl_Finance[Job Number],$C148&amp;"")&gt;1,", Job number used twice",""))="","Complete","Fix: "&amp;MID(IF(F148="",", Client","")&amp;IF(G148="",", Description","")&amp;IF(H148="",", Cost Centre","")&amp;IF(I148="",", Invoice Type","")&amp;IF(J148="",", Tax Code","")&amp;IF(O148="",", Expected Revenue","")&amp;IF(COUNTIF(tbl_Finance[Job Number],$C148&amp;"")&gt;1,", Job number used twice",""),3,300)))</f>
        <v/>
      </c>
      <c r="Q148" s="10">
        <f>IF($C148="","",IF(H148="","(no cost centre)",H148&amp;" - GL "&amp;IFERROR(INDEX(lst_CCtoGL,MATCH(H148,lst_CCforGL,0)),"?")))</f>
        <v/>
      </c>
      <c r="R148" s="11">
        <f>IF($C148="","",IFERROR(N(INDEX(tbl_Finance[Inc GST],MATCH($AU148,tbl_Finance[Row ID],0))),""))</f>
        <v/>
      </c>
      <c r="S148" s="37" t="n"/>
      <c r="T148" s="37" t="n"/>
      <c r="U148" s="37" t="n"/>
      <c r="V148" s="42" t="n"/>
      <c r="W148" s="37" t="n"/>
      <c r="X148" s="10">
        <f>IF(W148="","",IF(AND(LEFT(W148,4)&lt;&gt;"http",set_RMSBase=""),"",HYPERLINK(IF(LEFT(W148,4)="http",W148,set_RMSBase&amp;W148),"Open in RMS")))</f>
        <v/>
      </c>
      <c r="Y148" s="37" t="n"/>
      <c r="Z148" s="10">
        <f>IF(Y148="","",HYPERLINK(IF(LEFT(Y148,4)="http",Y148,set_QwilrBase&amp;Y148),"Open quote"))</f>
        <v/>
      </c>
      <c r="AA148" s="10">
        <f>IF(C148="","",C148)</f>
        <v/>
      </c>
      <c r="AB148" s="37" t="n"/>
      <c r="AC148" s="39" t="n"/>
      <c r="AD148" s="11">
        <f>IF(C148="","",N(L148)+N(AC148))</f>
        <v/>
      </c>
      <c r="AE148" s="43">
        <f>IFERROR(IF(N(AC148)=0,"",AC148/AD148),"")</f>
        <v/>
      </c>
      <c r="AF148" s="39" t="n"/>
      <c r="AG148" s="39" t="n"/>
      <c r="AH148" s="39" t="n"/>
      <c r="AI148" s="39" t="n"/>
      <c r="AJ148" s="11">
        <f>IF(C148="","",IF(H148="VIDEO",N(L148),0))</f>
        <v/>
      </c>
      <c r="AK148" s="43">
        <f>IFERROR(IF(N(L148)=0,"",AJ148/L148),"")</f>
        <v/>
      </c>
      <c r="AL148" s="11">
        <f>IF(C148="","",N(AF148)+N(AG148)+N(AH148)+N(AI148))</f>
        <v/>
      </c>
      <c r="AM148" s="11">
        <f>IF(C148="","",MAX(N(L148),N(O148))-N(AL148))</f>
        <v/>
      </c>
      <c r="AN148" s="43">
        <f>IFERROR(IF(MAX(N(L148),N(O148))=0,"",AM148/MAX(N(L148),N(O148))),"")</f>
        <v/>
      </c>
      <c r="AO148" s="41" t="n"/>
      <c r="AP148" s="41" t="n"/>
      <c r="AQ148" s="41" t="n"/>
      <c r="AR148" s="41" t="n"/>
      <c r="AS148" s="41" t="n"/>
      <c r="AT148" s="37" t="n"/>
      <c r="AU148" s="10" t="inlineStr">
        <is>
          <t>PRD-0144</t>
        </is>
      </c>
    </row>
    <row r="149">
      <c r="A149" s="16">
        <f>IF($C149="","",IFERROR(IF(INDEX(tbl_Finance[Latest Invoice Date],MATCH($AU149,tbl_Finance[Row ID],0))="","",INDEX(tbl_Finance[Latest Invoice Date],MATCH($AU149,tbl_Finance[Row ID],0))),""))</f>
        <v/>
      </c>
      <c r="B149" s="10">
        <f>IF($C149="","",IFERROR(INDEX(tbl_Finance[Invoice Numbers],MATCH($AU149,tbl_Finance[Row ID],0))&amp;"",""))</f>
        <v/>
      </c>
      <c r="C149" s="37" t="n"/>
      <c r="D149" s="10">
        <f>IF($C149="","",IF(COUNTIF(lst_Jobs,$C149&amp;"")&gt;0,"OK","CHECK"))</f>
        <v/>
      </c>
      <c r="E149" s="10">
        <f>IF($C149="","",IFERROR(INDEX(lst_JobName,MATCH($C149&amp;"",lst_Jobs,0)),""))</f>
        <v/>
      </c>
      <c r="F149" s="37" t="n"/>
      <c r="G149" s="37" t="n"/>
      <c r="H149" s="37" t="n"/>
      <c r="I149" s="37" t="n"/>
      <c r="J149" s="37" t="n"/>
      <c r="K149" s="38">
        <f>IF($C149="","",IFERROR(N(INDEX(tbl_Finance[Invoice Count],MATCH($AU149,tbl_Finance[Row ID],0))),""))</f>
        <v/>
      </c>
      <c r="L149" s="11">
        <f>IF($C149="","",IFERROR(N(INDEX(tbl_Finance[Xero Invoiced Ex GST],MATCH($AU149,tbl_Finance[Row ID],0))),""))</f>
        <v/>
      </c>
      <c r="M149" s="10">
        <f>IF($C149="","",IFERROR(INDEX(tbl_Finance[Compare],MATCH($AU149,tbl_Finance[Row ID],0))&amp;"",""))</f>
        <v/>
      </c>
      <c r="N149" s="11">
        <f>IF($C149="","",MAX(0,N(O149)-N(L149)))</f>
        <v/>
      </c>
      <c r="O149" s="39" t="n"/>
      <c r="P149" s="40">
        <f>IF($C149="","",IF((IF(F149="",", Client","")&amp;IF(G149="",", Description","")&amp;IF(H149="",", Cost Centre","")&amp;IF(I149="",", Invoice Type","")&amp;IF(J149="",", Tax Code","")&amp;IF(O149="",", Expected Revenue","")&amp;IF(COUNTIF(tbl_Finance[Job Number],$C149&amp;"")&gt;1,", Job number used twice",""))="","Complete","Fix: "&amp;MID(IF(F149="",", Client","")&amp;IF(G149="",", Description","")&amp;IF(H149="",", Cost Centre","")&amp;IF(I149="",", Invoice Type","")&amp;IF(J149="",", Tax Code","")&amp;IF(O149="",", Expected Revenue","")&amp;IF(COUNTIF(tbl_Finance[Job Number],$C149&amp;"")&gt;1,", Job number used twice",""),3,300)))</f>
        <v/>
      </c>
      <c r="Q149" s="10">
        <f>IF($C149="","",IF(H149="","(no cost centre)",H149&amp;" - GL "&amp;IFERROR(INDEX(lst_CCtoGL,MATCH(H149,lst_CCforGL,0)),"?")))</f>
        <v/>
      </c>
      <c r="R149" s="11">
        <f>IF($C149="","",IFERROR(N(INDEX(tbl_Finance[Inc GST],MATCH($AU149,tbl_Finance[Row ID],0))),""))</f>
        <v/>
      </c>
      <c r="S149" s="37" t="n"/>
      <c r="T149" s="37" t="n"/>
      <c r="U149" s="37" t="n"/>
      <c r="V149" s="42" t="n"/>
      <c r="W149" s="37" t="n"/>
      <c r="X149" s="10">
        <f>IF(W149="","",IF(AND(LEFT(W149,4)&lt;&gt;"http",set_RMSBase=""),"",HYPERLINK(IF(LEFT(W149,4)="http",W149,set_RMSBase&amp;W149),"Open in RMS")))</f>
        <v/>
      </c>
      <c r="Y149" s="37" t="n"/>
      <c r="Z149" s="10">
        <f>IF(Y149="","",HYPERLINK(IF(LEFT(Y149,4)="http",Y149,set_QwilrBase&amp;Y149),"Open quote"))</f>
        <v/>
      </c>
      <c r="AA149" s="10">
        <f>IF(C149="","",C149)</f>
        <v/>
      </c>
      <c r="AB149" s="37" t="n"/>
      <c r="AC149" s="39" t="n"/>
      <c r="AD149" s="11">
        <f>IF(C149="","",N(L149)+N(AC149))</f>
        <v/>
      </c>
      <c r="AE149" s="43">
        <f>IFERROR(IF(N(AC149)=0,"",AC149/AD149),"")</f>
        <v/>
      </c>
      <c r="AF149" s="39" t="n"/>
      <c r="AG149" s="39" t="n"/>
      <c r="AH149" s="39" t="n"/>
      <c r="AI149" s="39" t="n"/>
      <c r="AJ149" s="11">
        <f>IF(C149="","",IF(H149="VIDEO",N(L149),0))</f>
        <v/>
      </c>
      <c r="AK149" s="43">
        <f>IFERROR(IF(N(L149)=0,"",AJ149/L149),"")</f>
        <v/>
      </c>
      <c r="AL149" s="11">
        <f>IF(C149="","",N(AF149)+N(AG149)+N(AH149)+N(AI149))</f>
        <v/>
      </c>
      <c r="AM149" s="11">
        <f>IF(C149="","",MAX(N(L149),N(O149))-N(AL149))</f>
        <v/>
      </c>
      <c r="AN149" s="43">
        <f>IFERROR(IF(MAX(N(L149),N(O149))=0,"",AM149/MAX(N(L149),N(O149))),"")</f>
        <v/>
      </c>
      <c r="AO149" s="41" t="n"/>
      <c r="AP149" s="41" t="n"/>
      <c r="AQ149" s="41" t="n"/>
      <c r="AR149" s="41" t="n"/>
      <c r="AS149" s="41" t="n"/>
      <c r="AT149" s="37" t="n"/>
      <c r="AU149" s="10" t="inlineStr">
        <is>
          <t>PRD-0145</t>
        </is>
      </c>
    </row>
    <row r="150">
      <c r="A150" s="16">
        <f>IF($C150="","",IFERROR(IF(INDEX(tbl_Finance[Latest Invoice Date],MATCH($AU150,tbl_Finance[Row ID],0))="","",INDEX(tbl_Finance[Latest Invoice Date],MATCH($AU150,tbl_Finance[Row ID],0))),""))</f>
        <v/>
      </c>
      <c r="B150" s="10">
        <f>IF($C150="","",IFERROR(INDEX(tbl_Finance[Invoice Numbers],MATCH($AU150,tbl_Finance[Row ID],0))&amp;"",""))</f>
        <v/>
      </c>
      <c r="C150" s="37" t="n"/>
      <c r="D150" s="10">
        <f>IF($C150="","",IF(COUNTIF(lst_Jobs,$C150&amp;"")&gt;0,"OK","CHECK"))</f>
        <v/>
      </c>
      <c r="E150" s="10">
        <f>IF($C150="","",IFERROR(INDEX(lst_JobName,MATCH($C150&amp;"",lst_Jobs,0)),""))</f>
        <v/>
      </c>
      <c r="F150" s="37" t="n"/>
      <c r="G150" s="37" t="n"/>
      <c r="H150" s="37" t="n"/>
      <c r="I150" s="37" t="n"/>
      <c r="J150" s="37" t="n"/>
      <c r="K150" s="38">
        <f>IF($C150="","",IFERROR(N(INDEX(tbl_Finance[Invoice Count],MATCH($AU150,tbl_Finance[Row ID],0))),""))</f>
        <v/>
      </c>
      <c r="L150" s="11">
        <f>IF($C150="","",IFERROR(N(INDEX(tbl_Finance[Xero Invoiced Ex GST],MATCH($AU150,tbl_Finance[Row ID],0))),""))</f>
        <v/>
      </c>
      <c r="M150" s="10">
        <f>IF($C150="","",IFERROR(INDEX(tbl_Finance[Compare],MATCH($AU150,tbl_Finance[Row ID],0))&amp;"",""))</f>
        <v/>
      </c>
      <c r="N150" s="11">
        <f>IF($C150="","",MAX(0,N(O150)-N(L150)))</f>
        <v/>
      </c>
      <c r="O150" s="39" t="n"/>
      <c r="P150" s="40">
        <f>IF($C150="","",IF((IF(F150="",", Client","")&amp;IF(G150="",", Description","")&amp;IF(H150="",", Cost Centre","")&amp;IF(I150="",", Invoice Type","")&amp;IF(J150="",", Tax Code","")&amp;IF(O150="",", Expected Revenue","")&amp;IF(COUNTIF(tbl_Finance[Job Number],$C150&amp;"")&gt;1,", Job number used twice",""))="","Complete","Fix: "&amp;MID(IF(F150="",", Client","")&amp;IF(G150="",", Description","")&amp;IF(H150="",", Cost Centre","")&amp;IF(I150="",", Invoice Type","")&amp;IF(J150="",", Tax Code","")&amp;IF(O150="",", Expected Revenue","")&amp;IF(COUNTIF(tbl_Finance[Job Number],$C150&amp;"")&gt;1,", Job number used twice",""),3,300)))</f>
        <v/>
      </c>
      <c r="Q150" s="10">
        <f>IF($C150="","",IF(H150="","(no cost centre)",H150&amp;" - GL "&amp;IFERROR(INDEX(lst_CCtoGL,MATCH(H150,lst_CCforGL,0)),"?")))</f>
        <v/>
      </c>
      <c r="R150" s="11">
        <f>IF($C150="","",IFERROR(N(INDEX(tbl_Finance[Inc GST],MATCH($AU150,tbl_Finance[Row ID],0))),""))</f>
        <v/>
      </c>
      <c r="S150" s="37" t="n"/>
      <c r="T150" s="37" t="n"/>
      <c r="U150" s="37" t="n"/>
      <c r="V150" s="42" t="n"/>
      <c r="W150" s="37" t="n"/>
      <c r="X150" s="10">
        <f>IF(W150="","",IF(AND(LEFT(W150,4)&lt;&gt;"http",set_RMSBase=""),"",HYPERLINK(IF(LEFT(W150,4)="http",W150,set_RMSBase&amp;W150),"Open in RMS")))</f>
        <v/>
      </c>
      <c r="Y150" s="37" t="n"/>
      <c r="Z150" s="10">
        <f>IF(Y150="","",HYPERLINK(IF(LEFT(Y150,4)="http",Y150,set_QwilrBase&amp;Y150),"Open quote"))</f>
        <v/>
      </c>
      <c r="AA150" s="10">
        <f>IF(C150="","",C150)</f>
        <v/>
      </c>
      <c r="AB150" s="37" t="n"/>
      <c r="AC150" s="39" t="n"/>
      <c r="AD150" s="11">
        <f>IF(C150="","",N(L150)+N(AC150))</f>
        <v/>
      </c>
      <c r="AE150" s="43">
        <f>IFERROR(IF(N(AC150)=0,"",AC150/AD150),"")</f>
        <v/>
      </c>
      <c r="AF150" s="39" t="n"/>
      <c r="AG150" s="39" t="n"/>
      <c r="AH150" s="39" t="n"/>
      <c r="AI150" s="39" t="n"/>
      <c r="AJ150" s="11">
        <f>IF(C150="","",IF(H150="VIDEO",N(L150),0))</f>
        <v/>
      </c>
      <c r="AK150" s="43">
        <f>IFERROR(IF(N(L150)=0,"",AJ150/L150),"")</f>
        <v/>
      </c>
      <c r="AL150" s="11">
        <f>IF(C150="","",N(AF150)+N(AG150)+N(AH150)+N(AI150))</f>
        <v/>
      </c>
      <c r="AM150" s="11">
        <f>IF(C150="","",MAX(N(L150),N(O150))-N(AL150))</f>
        <v/>
      </c>
      <c r="AN150" s="43">
        <f>IFERROR(IF(MAX(N(L150),N(O150))=0,"",AM150/MAX(N(L150),N(O150))),"")</f>
        <v/>
      </c>
      <c r="AO150" s="41" t="n"/>
      <c r="AP150" s="41" t="n"/>
      <c r="AQ150" s="41" t="n"/>
      <c r="AR150" s="41" t="n"/>
      <c r="AS150" s="41" t="n"/>
      <c r="AT150" s="37" t="n"/>
      <c r="AU150" s="10" t="inlineStr">
        <is>
          <t>PRD-0146</t>
        </is>
      </c>
    </row>
    <row r="151">
      <c r="A151" s="16">
        <f>IF($C151="","",IFERROR(IF(INDEX(tbl_Finance[Latest Invoice Date],MATCH($AU151,tbl_Finance[Row ID],0))="","",INDEX(tbl_Finance[Latest Invoice Date],MATCH($AU151,tbl_Finance[Row ID],0))),""))</f>
        <v/>
      </c>
      <c r="B151" s="10">
        <f>IF($C151="","",IFERROR(INDEX(tbl_Finance[Invoice Numbers],MATCH($AU151,tbl_Finance[Row ID],0))&amp;"",""))</f>
        <v/>
      </c>
      <c r="C151" s="37" t="n"/>
      <c r="D151" s="10">
        <f>IF($C151="","",IF(COUNTIF(lst_Jobs,$C151&amp;"")&gt;0,"OK","CHECK"))</f>
        <v/>
      </c>
      <c r="E151" s="10">
        <f>IF($C151="","",IFERROR(INDEX(lst_JobName,MATCH($C151&amp;"",lst_Jobs,0)),""))</f>
        <v/>
      </c>
      <c r="F151" s="37" t="n"/>
      <c r="G151" s="37" t="n"/>
      <c r="H151" s="37" t="n"/>
      <c r="I151" s="37" t="n"/>
      <c r="J151" s="37" t="n"/>
      <c r="K151" s="38">
        <f>IF($C151="","",IFERROR(N(INDEX(tbl_Finance[Invoice Count],MATCH($AU151,tbl_Finance[Row ID],0))),""))</f>
        <v/>
      </c>
      <c r="L151" s="11">
        <f>IF($C151="","",IFERROR(N(INDEX(tbl_Finance[Xero Invoiced Ex GST],MATCH($AU151,tbl_Finance[Row ID],0))),""))</f>
        <v/>
      </c>
      <c r="M151" s="10">
        <f>IF($C151="","",IFERROR(INDEX(tbl_Finance[Compare],MATCH($AU151,tbl_Finance[Row ID],0))&amp;"",""))</f>
        <v/>
      </c>
      <c r="N151" s="11">
        <f>IF($C151="","",MAX(0,N(O151)-N(L151)))</f>
        <v/>
      </c>
      <c r="O151" s="39" t="n"/>
      <c r="P151" s="40">
        <f>IF($C151="","",IF((IF(F151="",", Client","")&amp;IF(G151="",", Description","")&amp;IF(H151="",", Cost Centre","")&amp;IF(I151="",", Invoice Type","")&amp;IF(J151="",", Tax Code","")&amp;IF(O151="",", Expected Revenue","")&amp;IF(COUNTIF(tbl_Finance[Job Number],$C151&amp;"")&gt;1,", Job number used twice",""))="","Complete","Fix: "&amp;MID(IF(F151="",", Client","")&amp;IF(G151="",", Description","")&amp;IF(H151="",", Cost Centre","")&amp;IF(I151="",", Invoice Type","")&amp;IF(J151="",", Tax Code","")&amp;IF(O151="",", Expected Revenue","")&amp;IF(COUNTIF(tbl_Finance[Job Number],$C151&amp;"")&gt;1,", Job number used twice",""),3,300)))</f>
        <v/>
      </c>
      <c r="Q151" s="10">
        <f>IF($C151="","",IF(H151="","(no cost centre)",H151&amp;" - GL "&amp;IFERROR(INDEX(lst_CCtoGL,MATCH(H151,lst_CCforGL,0)),"?")))</f>
        <v/>
      </c>
      <c r="R151" s="11">
        <f>IF($C151="","",IFERROR(N(INDEX(tbl_Finance[Inc GST],MATCH($AU151,tbl_Finance[Row ID],0))),""))</f>
        <v/>
      </c>
      <c r="S151" s="37" t="n"/>
      <c r="T151" s="37" t="n"/>
      <c r="U151" s="37" t="n"/>
      <c r="V151" s="42" t="n"/>
      <c r="W151" s="37" t="n"/>
      <c r="X151" s="10">
        <f>IF(W151="","",IF(AND(LEFT(W151,4)&lt;&gt;"http",set_RMSBase=""),"",HYPERLINK(IF(LEFT(W151,4)="http",W151,set_RMSBase&amp;W151),"Open in RMS")))</f>
        <v/>
      </c>
      <c r="Y151" s="37" t="n"/>
      <c r="Z151" s="10">
        <f>IF(Y151="","",HYPERLINK(IF(LEFT(Y151,4)="http",Y151,set_QwilrBase&amp;Y151),"Open quote"))</f>
        <v/>
      </c>
      <c r="AA151" s="10">
        <f>IF(C151="","",C151)</f>
        <v/>
      </c>
      <c r="AB151" s="37" t="n"/>
      <c r="AC151" s="39" t="n"/>
      <c r="AD151" s="11">
        <f>IF(C151="","",N(L151)+N(AC151))</f>
        <v/>
      </c>
      <c r="AE151" s="43">
        <f>IFERROR(IF(N(AC151)=0,"",AC151/AD151),"")</f>
        <v/>
      </c>
      <c r="AF151" s="39" t="n"/>
      <c r="AG151" s="39" t="n"/>
      <c r="AH151" s="39" t="n"/>
      <c r="AI151" s="39" t="n"/>
      <c r="AJ151" s="11">
        <f>IF(C151="","",IF(H151="VIDEO",N(L151),0))</f>
        <v/>
      </c>
      <c r="AK151" s="43">
        <f>IFERROR(IF(N(L151)=0,"",AJ151/L151),"")</f>
        <v/>
      </c>
      <c r="AL151" s="11">
        <f>IF(C151="","",N(AF151)+N(AG151)+N(AH151)+N(AI151))</f>
        <v/>
      </c>
      <c r="AM151" s="11">
        <f>IF(C151="","",MAX(N(L151),N(O151))-N(AL151))</f>
        <v/>
      </c>
      <c r="AN151" s="43">
        <f>IFERROR(IF(MAX(N(L151),N(O151))=0,"",AM151/MAX(N(L151),N(O151))),"")</f>
        <v/>
      </c>
      <c r="AO151" s="41" t="n"/>
      <c r="AP151" s="41" t="n"/>
      <c r="AQ151" s="41" t="n"/>
      <c r="AR151" s="41" t="n"/>
      <c r="AS151" s="41" t="n"/>
      <c r="AT151" s="37" t="n"/>
      <c r="AU151" s="10" t="inlineStr">
        <is>
          <t>PRD-0147</t>
        </is>
      </c>
    </row>
    <row r="152">
      <c r="A152" s="16">
        <f>IF($C152="","",IFERROR(IF(INDEX(tbl_Finance[Latest Invoice Date],MATCH($AU152,tbl_Finance[Row ID],0))="","",INDEX(tbl_Finance[Latest Invoice Date],MATCH($AU152,tbl_Finance[Row ID],0))),""))</f>
        <v/>
      </c>
      <c r="B152" s="10">
        <f>IF($C152="","",IFERROR(INDEX(tbl_Finance[Invoice Numbers],MATCH($AU152,tbl_Finance[Row ID],0))&amp;"",""))</f>
        <v/>
      </c>
      <c r="C152" s="37" t="n"/>
      <c r="D152" s="10">
        <f>IF($C152="","",IF(COUNTIF(lst_Jobs,$C152&amp;"")&gt;0,"OK","CHECK"))</f>
        <v/>
      </c>
      <c r="E152" s="10">
        <f>IF($C152="","",IFERROR(INDEX(lst_JobName,MATCH($C152&amp;"",lst_Jobs,0)),""))</f>
        <v/>
      </c>
      <c r="F152" s="37" t="n"/>
      <c r="G152" s="37" t="n"/>
      <c r="H152" s="37" t="n"/>
      <c r="I152" s="37" t="n"/>
      <c r="J152" s="37" t="n"/>
      <c r="K152" s="38">
        <f>IF($C152="","",IFERROR(N(INDEX(tbl_Finance[Invoice Count],MATCH($AU152,tbl_Finance[Row ID],0))),""))</f>
        <v/>
      </c>
      <c r="L152" s="11">
        <f>IF($C152="","",IFERROR(N(INDEX(tbl_Finance[Xero Invoiced Ex GST],MATCH($AU152,tbl_Finance[Row ID],0))),""))</f>
        <v/>
      </c>
      <c r="M152" s="10">
        <f>IF($C152="","",IFERROR(INDEX(tbl_Finance[Compare],MATCH($AU152,tbl_Finance[Row ID],0))&amp;"",""))</f>
        <v/>
      </c>
      <c r="N152" s="11">
        <f>IF($C152="","",MAX(0,N(O152)-N(L152)))</f>
        <v/>
      </c>
      <c r="O152" s="39" t="n"/>
      <c r="P152" s="40">
        <f>IF($C152="","",IF((IF(F152="",", Client","")&amp;IF(G152="",", Description","")&amp;IF(H152="",", Cost Centre","")&amp;IF(I152="",", Invoice Type","")&amp;IF(J152="",", Tax Code","")&amp;IF(O152="",", Expected Revenue","")&amp;IF(COUNTIF(tbl_Finance[Job Number],$C152&amp;"")&gt;1,", Job number used twice",""))="","Complete","Fix: "&amp;MID(IF(F152="",", Client","")&amp;IF(G152="",", Description","")&amp;IF(H152="",", Cost Centre","")&amp;IF(I152="",", Invoice Type","")&amp;IF(J152="",", Tax Code","")&amp;IF(O152="",", Expected Revenue","")&amp;IF(COUNTIF(tbl_Finance[Job Number],$C152&amp;"")&gt;1,", Job number used twice",""),3,300)))</f>
        <v/>
      </c>
      <c r="Q152" s="10">
        <f>IF($C152="","",IF(H152="","(no cost centre)",H152&amp;" - GL "&amp;IFERROR(INDEX(lst_CCtoGL,MATCH(H152,lst_CCforGL,0)),"?")))</f>
        <v/>
      </c>
      <c r="R152" s="11">
        <f>IF($C152="","",IFERROR(N(INDEX(tbl_Finance[Inc GST],MATCH($AU152,tbl_Finance[Row ID],0))),""))</f>
        <v/>
      </c>
      <c r="S152" s="37" t="n"/>
      <c r="T152" s="37" t="n"/>
      <c r="U152" s="37" t="n"/>
      <c r="V152" s="42" t="n"/>
      <c r="W152" s="37" t="n"/>
      <c r="X152" s="10">
        <f>IF(W152="","",IF(AND(LEFT(W152,4)&lt;&gt;"http",set_RMSBase=""),"",HYPERLINK(IF(LEFT(W152,4)="http",W152,set_RMSBase&amp;W152),"Open in RMS")))</f>
        <v/>
      </c>
      <c r="Y152" s="37" t="n"/>
      <c r="Z152" s="10">
        <f>IF(Y152="","",HYPERLINK(IF(LEFT(Y152,4)="http",Y152,set_QwilrBase&amp;Y152),"Open quote"))</f>
        <v/>
      </c>
      <c r="AA152" s="10">
        <f>IF(C152="","",C152)</f>
        <v/>
      </c>
      <c r="AB152" s="37" t="n"/>
      <c r="AC152" s="39" t="n"/>
      <c r="AD152" s="11">
        <f>IF(C152="","",N(L152)+N(AC152))</f>
        <v/>
      </c>
      <c r="AE152" s="43">
        <f>IFERROR(IF(N(AC152)=0,"",AC152/AD152),"")</f>
        <v/>
      </c>
      <c r="AF152" s="39" t="n"/>
      <c r="AG152" s="39" t="n"/>
      <c r="AH152" s="39" t="n"/>
      <c r="AI152" s="39" t="n"/>
      <c r="AJ152" s="11">
        <f>IF(C152="","",IF(H152="VIDEO",N(L152),0))</f>
        <v/>
      </c>
      <c r="AK152" s="43">
        <f>IFERROR(IF(N(L152)=0,"",AJ152/L152),"")</f>
        <v/>
      </c>
      <c r="AL152" s="11">
        <f>IF(C152="","",N(AF152)+N(AG152)+N(AH152)+N(AI152))</f>
        <v/>
      </c>
      <c r="AM152" s="11">
        <f>IF(C152="","",MAX(N(L152),N(O152))-N(AL152))</f>
        <v/>
      </c>
      <c r="AN152" s="43">
        <f>IFERROR(IF(MAX(N(L152),N(O152))=0,"",AM152/MAX(N(L152),N(O152))),"")</f>
        <v/>
      </c>
      <c r="AO152" s="41" t="n"/>
      <c r="AP152" s="41" t="n"/>
      <c r="AQ152" s="41" t="n"/>
      <c r="AR152" s="41" t="n"/>
      <c r="AS152" s="41" t="n"/>
      <c r="AT152" s="37" t="n"/>
      <c r="AU152" s="10" t="inlineStr">
        <is>
          <t>PRD-0148</t>
        </is>
      </c>
    </row>
    <row r="153">
      <c r="A153" s="16">
        <f>IF($C153="","",IFERROR(IF(INDEX(tbl_Finance[Latest Invoice Date],MATCH($AU153,tbl_Finance[Row ID],0))="","",INDEX(tbl_Finance[Latest Invoice Date],MATCH($AU153,tbl_Finance[Row ID],0))),""))</f>
        <v/>
      </c>
      <c r="B153" s="10">
        <f>IF($C153="","",IFERROR(INDEX(tbl_Finance[Invoice Numbers],MATCH($AU153,tbl_Finance[Row ID],0))&amp;"",""))</f>
        <v/>
      </c>
      <c r="C153" s="37" t="n"/>
      <c r="D153" s="10">
        <f>IF($C153="","",IF(COUNTIF(lst_Jobs,$C153&amp;"")&gt;0,"OK","CHECK"))</f>
        <v/>
      </c>
      <c r="E153" s="10">
        <f>IF($C153="","",IFERROR(INDEX(lst_JobName,MATCH($C153&amp;"",lst_Jobs,0)),""))</f>
        <v/>
      </c>
      <c r="F153" s="37" t="n"/>
      <c r="G153" s="37" t="n"/>
      <c r="H153" s="37" t="n"/>
      <c r="I153" s="37" t="n"/>
      <c r="J153" s="37" t="n"/>
      <c r="K153" s="38">
        <f>IF($C153="","",IFERROR(N(INDEX(tbl_Finance[Invoice Count],MATCH($AU153,tbl_Finance[Row ID],0))),""))</f>
        <v/>
      </c>
      <c r="L153" s="11">
        <f>IF($C153="","",IFERROR(N(INDEX(tbl_Finance[Xero Invoiced Ex GST],MATCH($AU153,tbl_Finance[Row ID],0))),""))</f>
        <v/>
      </c>
      <c r="M153" s="10">
        <f>IF($C153="","",IFERROR(INDEX(tbl_Finance[Compare],MATCH($AU153,tbl_Finance[Row ID],0))&amp;"",""))</f>
        <v/>
      </c>
      <c r="N153" s="11">
        <f>IF($C153="","",MAX(0,N(O153)-N(L153)))</f>
        <v/>
      </c>
      <c r="O153" s="39" t="n"/>
      <c r="P153" s="40">
        <f>IF($C153="","",IF((IF(F153="",", Client","")&amp;IF(G153="",", Description","")&amp;IF(H153="",", Cost Centre","")&amp;IF(I153="",", Invoice Type","")&amp;IF(J153="",", Tax Code","")&amp;IF(O153="",", Expected Revenue","")&amp;IF(COUNTIF(tbl_Finance[Job Number],$C153&amp;"")&gt;1,", Job number used twice",""))="","Complete","Fix: "&amp;MID(IF(F153="",", Client","")&amp;IF(G153="",", Description","")&amp;IF(H153="",", Cost Centre","")&amp;IF(I153="",", Invoice Type","")&amp;IF(J153="",", Tax Code","")&amp;IF(O153="",", Expected Revenue","")&amp;IF(COUNTIF(tbl_Finance[Job Number],$C153&amp;"")&gt;1,", Job number used twice",""),3,300)))</f>
        <v/>
      </c>
      <c r="Q153" s="10">
        <f>IF($C153="","",IF(H153="","(no cost centre)",H153&amp;" - GL "&amp;IFERROR(INDEX(lst_CCtoGL,MATCH(H153,lst_CCforGL,0)),"?")))</f>
        <v/>
      </c>
      <c r="R153" s="11">
        <f>IF($C153="","",IFERROR(N(INDEX(tbl_Finance[Inc GST],MATCH($AU153,tbl_Finance[Row ID],0))),""))</f>
        <v/>
      </c>
      <c r="S153" s="37" t="n"/>
      <c r="T153" s="37" t="n"/>
      <c r="U153" s="37" t="n"/>
      <c r="V153" s="42" t="n"/>
      <c r="W153" s="37" t="n"/>
      <c r="X153" s="10">
        <f>IF(W153="","",IF(AND(LEFT(W153,4)&lt;&gt;"http",set_RMSBase=""),"",HYPERLINK(IF(LEFT(W153,4)="http",W153,set_RMSBase&amp;W153),"Open in RMS")))</f>
        <v/>
      </c>
      <c r="Y153" s="37" t="n"/>
      <c r="Z153" s="10">
        <f>IF(Y153="","",HYPERLINK(IF(LEFT(Y153,4)="http",Y153,set_QwilrBase&amp;Y153),"Open quote"))</f>
        <v/>
      </c>
      <c r="AA153" s="10">
        <f>IF(C153="","",C153)</f>
        <v/>
      </c>
      <c r="AB153" s="37" t="n"/>
      <c r="AC153" s="39" t="n"/>
      <c r="AD153" s="11">
        <f>IF(C153="","",N(L153)+N(AC153))</f>
        <v/>
      </c>
      <c r="AE153" s="43">
        <f>IFERROR(IF(N(AC153)=0,"",AC153/AD153),"")</f>
        <v/>
      </c>
      <c r="AF153" s="39" t="n"/>
      <c r="AG153" s="39" t="n"/>
      <c r="AH153" s="39" t="n"/>
      <c r="AI153" s="39" t="n"/>
      <c r="AJ153" s="11">
        <f>IF(C153="","",IF(H153="VIDEO",N(L153),0))</f>
        <v/>
      </c>
      <c r="AK153" s="43">
        <f>IFERROR(IF(N(L153)=0,"",AJ153/L153),"")</f>
        <v/>
      </c>
      <c r="AL153" s="11">
        <f>IF(C153="","",N(AF153)+N(AG153)+N(AH153)+N(AI153))</f>
        <v/>
      </c>
      <c r="AM153" s="11">
        <f>IF(C153="","",MAX(N(L153),N(O153))-N(AL153))</f>
        <v/>
      </c>
      <c r="AN153" s="43">
        <f>IFERROR(IF(MAX(N(L153),N(O153))=0,"",AM153/MAX(N(L153),N(O153))),"")</f>
        <v/>
      </c>
      <c r="AO153" s="41" t="n"/>
      <c r="AP153" s="41" t="n"/>
      <c r="AQ153" s="41" t="n"/>
      <c r="AR153" s="41" t="n"/>
      <c r="AS153" s="41" t="n"/>
      <c r="AT153" s="37" t="n"/>
      <c r="AU153" s="10" t="inlineStr">
        <is>
          <t>PRD-0149</t>
        </is>
      </c>
    </row>
    <row r="154">
      <c r="A154" s="16">
        <f>IF($C154="","",IFERROR(IF(INDEX(tbl_Finance[Latest Invoice Date],MATCH($AU154,tbl_Finance[Row ID],0))="","",INDEX(tbl_Finance[Latest Invoice Date],MATCH($AU154,tbl_Finance[Row ID],0))),""))</f>
        <v/>
      </c>
      <c r="B154" s="10">
        <f>IF($C154="","",IFERROR(INDEX(tbl_Finance[Invoice Numbers],MATCH($AU154,tbl_Finance[Row ID],0))&amp;"",""))</f>
        <v/>
      </c>
      <c r="C154" s="37" t="n"/>
      <c r="D154" s="10">
        <f>IF($C154="","",IF(COUNTIF(lst_Jobs,$C154&amp;"")&gt;0,"OK","CHECK"))</f>
        <v/>
      </c>
      <c r="E154" s="10">
        <f>IF($C154="","",IFERROR(INDEX(lst_JobName,MATCH($C154&amp;"",lst_Jobs,0)),""))</f>
        <v/>
      </c>
      <c r="F154" s="37" t="n"/>
      <c r="G154" s="37" t="n"/>
      <c r="H154" s="37" t="n"/>
      <c r="I154" s="37" t="n"/>
      <c r="J154" s="37" t="n"/>
      <c r="K154" s="38">
        <f>IF($C154="","",IFERROR(N(INDEX(tbl_Finance[Invoice Count],MATCH($AU154,tbl_Finance[Row ID],0))),""))</f>
        <v/>
      </c>
      <c r="L154" s="11">
        <f>IF($C154="","",IFERROR(N(INDEX(tbl_Finance[Xero Invoiced Ex GST],MATCH($AU154,tbl_Finance[Row ID],0))),""))</f>
        <v/>
      </c>
      <c r="M154" s="10">
        <f>IF($C154="","",IFERROR(INDEX(tbl_Finance[Compare],MATCH($AU154,tbl_Finance[Row ID],0))&amp;"",""))</f>
        <v/>
      </c>
      <c r="N154" s="11">
        <f>IF($C154="","",MAX(0,N(O154)-N(L154)))</f>
        <v/>
      </c>
      <c r="O154" s="39" t="n"/>
      <c r="P154" s="40">
        <f>IF($C154="","",IF((IF(F154="",", Client","")&amp;IF(G154="",", Description","")&amp;IF(H154="",", Cost Centre","")&amp;IF(I154="",", Invoice Type","")&amp;IF(J154="",", Tax Code","")&amp;IF(O154="",", Expected Revenue","")&amp;IF(COUNTIF(tbl_Finance[Job Number],$C154&amp;"")&gt;1,", Job number used twice",""))="","Complete","Fix: "&amp;MID(IF(F154="",", Client","")&amp;IF(G154="",", Description","")&amp;IF(H154="",", Cost Centre","")&amp;IF(I154="",", Invoice Type","")&amp;IF(J154="",", Tax Code","")&amp;IF(O154="",", Expected Revenue","")&amp;IF(COUNTIF(tbl_Finance[Job Number],$C154&amp;"")&gt;1,", Job number used twice",""),3,300)))</f>
        <v/>
      </c>
      <c r="Q154" s="10">
        <f>IF($C154="","",IF(H154="","(no cost centre)",H154&amp;" - GL "&amp;IFERROR(INDEX(lst_CCtoGL,MATCH(H154,lst_CCforGL,0)),"?")))</f>
        <v/>
      </c>
      <c r="R154" s="11">
        <f>IF($C154="","",IFERROR(N(INDEX(tbl_Finance[Inc GST],MATCH($AU154,tbl_Finance[Row ID],0))),""))</f>
        <v/>
      </c>
      <c r="S154" s="37" t="n"/>
      <c r="T154" s="37" t="n"/>
      <c r="U154" s="37" t="n"/>
      <c r="V154" s="42" t="n"/>
      <c r="W154" s="37" t="n"/>
      <c r="X154" s="10">
        <f>IF(W154="","",IF(AND(LEFT(W154,4)&lt;&gt;"http",set_RMSBase=""),"",HYPERLINK(IF(LEFT(W154,4)="http",W154,set_RMSBase&amp;W154),"Open in RMS")))</f>
        <v/>
      </c>
      <c r="Y154" s="37" t="n"/>
      <c r="Z154" s="10">
        <f>IF(Y154="","",HYPERLINK(IF(LEFT(Y154,4)="http",Y154,set_QwilrBase&amp;Y154),"Open quote"))</f>
        <v/>
      </c>
      <c r="AA154" s="10">
        <f>IF(C154="","",C154)</f>
        <v/>
      </c>
      <c r="AB154" s="37" t="n"/>
      <c r="AC154" s="39" t="n"/>
      <c r="AD154" s="11">
        <f>IF(C154="","",N(L154)+N(AC154))</f>
        <v/>
      </c>
      <c r="AE154" s="43">
        <f>IFERROR(IF(N(AC154)=0,"",AC154/AD154),"")</f>
        <v/>
      </c>
      <c r="AF154" s="39" t="n"/>
      <c r="AG154" s="39" t="n"/>
      <c r="AH154" s="39" t="n"/>
      <c r="AI154" s="39" t="n"/>
      <c r="AJ154" s="11">
        <f>IF(C154="","",IF(H154="VIDEO",N(L154),0))</f>
        <v/>
      </c>
      <c r="AK154" s="43">
        <f>IFERROR(IF(N(L154)=0,"",AJ154/L154),"")</f>
        <v/>
      </c>
      <c r="AL154" s="11">
        <f>IF(C154="","",N(AF154)+N(AG154)+N(AH154)+N(AI154))</f>
        <v/>
      </c>
      <c r="AM154" s="11">
        <f>IF(C154="","",MAX(N(L154),N(O154))-N(AL154))</f>
        <v/>
      </c>
      <c r="AN154" s="43">
        <f>IFERROR(IF(MAX(N(L154),N(O154))=0,"",AM154/MAX(N(L154),N(O154))),"")</f>
        <v/>
      </c>
      <c r="AO154" s="41" t="n"/>
      <c r="AP154" s="41" t="n"/>
      <c r="AQ154" s="41" t="n"/>
      <c r="AR154" s="41" t="n"/>
      <c r="AS154" s="41" t="n"/>
      <c r="AT154" s="37" t="n"/>
      <c r="AU154" s="10" t="inlineStr">
        <is>
          <t>PRD-0150</t>
        </is>
      </c>
    </row>
    <row r="155">
      <c r="A155" s="16">
        <f>IF($C155="","",IFERROR(IF(INDEX(tbl_Finance[Latest Invoice Date],MATCH($AU155,tbl_Finance[Row ID],0))="","",INDEX(tbl_Finance[Latest Invoice Date],MATCH($AU155,tbl_Finance[Row ID],0))),""))</f>
        <v/>
      </c>
      <c r="B155" s="10">
        <f>IF($C155="","",IFERROR(INDEX(tbl_Finance[Invoice Numbers],MATCH($AU155,tbl_Finance[Row ID],0))&amp;"",""))</f>
        <v/>
      </c>
      <c r="C155" s="37" t="n"/>
      <c r="D155" s="10">
        <f>IF($C155="","",IF(COUNTIF(lst_Jobs,$C155&amp;"")&gt;0,"OK","CHECK"))</f>
        <v/>
      </c>
      <c r="E155" s="10">
        <f>IF($C155="","",IFERROR(INDEX(lst_JobName,MATCH($C155&amp;"",lst_Jobs,0)),""))</f>
        <v/>
      </c>
      <c r="F155" s="37" t="n"/>
      <c r="G155" s="37" t="n"/>
      <c r="H155" s="37" t="n"/>
      <c r="I155" s="37" t="n"/>
      <c r="J155" s="37" t="n"/>
      <c r="K155" s="38">
        <f>IF($C155="","",IFERROR(N(INDEX(tbl_Finance[Invoice Count],MATCH($AU155,tbl_Finance[Row ID],0))),""))</f>
        <v/>
      </c>
      <c r="L155" s="11">
        <f>IF($C155="","",IFERROR(N(INDEX(tbl_Finance[Xero Invoiced Ex GST],MATCH($AU155,tbl_Finance[Row ID],0))),""))</f>
        <v/>
      </c>
      <c r="M155" s="10">
        <f>IF($C155="","",IFERROR(INDEX(tbl_Finance[Compare],MATCH($AU155,tbl_Finance[Row ID],0))&amp;"",""))</f>
        <v/>
      </c>
      <c r="N155" s="11">
        <f>IF($C155="","",MAX(0,N(O155)-N(L155)))</f>
        <v/>
      </c>
      <c r="O155" s="39" t="n"/>
      <c r="P155" s="40">
        <f>IF($C155="","",IF((IF(F155="",", Client","")&amp;IF(G155="",", Description","")&amp;IF(H155="",", Cost Centre","")&amp;IF(I155="",", Invoice Type","")&amp;IF(J155="",", Tax Code","")&amp;IF(O155="",", Expected Revenue","")&amp;IF(COUNTIF(tbl_Finance[Job Number],$C155&amp;"")&gt;1,", Job number used twice",""))="","Complete","Fix: "&amp;MID(IF(F155="",", Client","")&amp;IF(G155="",", Description","")&amp;IF(H155="",", Cost Centre","")&amp;IF(I155="",", Invoice Type","")&amp;IF(J155="",", Tax Code","")&amp;IF(O155="",", Expected Revenue","")&amp;IF(COUNTIF(tbl_Finance[Job Number],$C155&amp;"")&gt;1,", Job number used twice",""),3,300)))</f>
        <v/>
      </c>
      <c r="Q155" s="10">
        <f>IF($C155="","",IF(H155="","(no cost centre)",H155&amp;" - GL "&amp;IFERROR(INDEX(lst_CCtoGL,MATCH(H155,lst_CCforGL,0)),"?")))</f>
        <v/>
      </c>
      <c r="R155" s="11">
        <f>IF($C155="","",IFERROR(N(INDEX(tbl_Finance[Inc GST],MATCH($AU155,tbl_Finance[Row ID],0))),""))</f>
        <v/>
      </c>
      <c r="S155" s="37" t="n"/>
      <c r="T155" s="37" t="n"/>
      <c r="U155" s="37" t="n"/>
      <c r="V155" s="42" t="n"/>
      <c r="W155" s="37" t="n"/>
      <c r="X155" s="10">
        <f>IF(W155="","",IF(AND(LEFT(W155,4)&lt;&gt;"http",set_RMSBase=""),"",HYPERLINK(IF(LEFT(W155,4)="http",W155,set_RMSBase&amp;W155),"Open in RMS")))</f>
        <v/>
      </c>
      <c r="Y155" s="37" t="n"/>
      <c r="Z155" s="10">
        <f>IF(Y155="","",HYPERLINK(IF(LEFT(Y155,4)="http",Y155,set_QwilrBase&amp;Y155),"Open quote"))</f>
        <v/>
      </c>
      <c r="AA155" s="10">
        <f>IF(C155="","",C155)</f>
        <v/>
      </c>
      <c r="AB155" s="37" t="n"/>
      <c r="AC155" s="39" t="n"/>
      <c r="AD155" s="11">
        <f>IF(C155="","",N(L155)+N(AC155))</f>
        <v/>
      </c>
      <c r="AE155" s="43">
        <f>IFERROR(IF(N(AC155)=0,"",AC155/AD155),"")</f>
        <v/>
      </c>
      <c r="AF155" s="39" t="n"/>
      <c r="AG155" s="39" t="n"/>
      <c r="AH155" s="39" t="n"/>
      <c r="AI155" s="39" t="n"/>
      <c r="AJ155" s="11">
        <f>IF(C155="","",IF(H155="VIDEO",N(L155),0))</f>
        <v/>
      </c>
      <c r="AK155" s="43">
        <f>IFERROR(IF(N(L155)=0,"",AJ155/L155),"")</f>
        <v/>
      </c>
      <c r="AL155" s="11">
        <f>IF(C155="","",N(AF155)+N(AG155)+N(AH155)+N(AI155))</f>
        <v/>
      </c>
      <c r="AM155" s="11">
        <f>IF(C155="","",MAX(N(L155),N(O155))-N(AL155))</f>
        <v/>
      </c>
      <c r="AN155" s="43">
        <f>IFERROR(IF(MAX(N(L155),N(O155))=0,"",AM155/MAX(N(L155),N(O155))),"")</f>
        <v/>
      </c>
      <c r="AO155" s="41" t="n"/>
      <c r="AP155" s="41" t="n"/>
      <c r="AQ155" s="41" t="n"/>
      <c r="AR155" s="41" t="n"/>
      <c r="AS155" s="41" t="n"/>
      <c r="AT155" s="37" t="n"/>
      <c r="AU155" s="10" t="inlineStr">
        <is>
          <t>PRD-0151</t>
        </is>
      </c>
    </row>
    <row r="156">
      <c r="A156" s="16">
        <f>IF($C156="","",IFERROR(IF(INDEX(tbl_Finance[Latest Invoice Date],MATCH($AU156,tbl_Finance[Row ID],0))="","",INDEX(tbl_Finance[Latest Invoice Date],MATCH($AU156,tbl_Finance[Row ID],0))),""))</f>
        <v/>
      </c>
      <c r="B156" s="10">
        <f>IF($C156="","",IFERROR(INDEX(tbl_Finance[Invoice Numbers],MATCH($AU156,tbl_Finance[Row ID],0))&amp;"",""))</f>
        <v/>
      </c>
      <c r="C156" s="37" t="n"/>
      <c r="D156" s="10">
        <f>IF($C156="","",IF(COUNTIF(lst_Jobs,$C156&amp;"")&gt;0,"OK","CHECK"))</f>
        <v/>
      </c>
      <c r="E156" s="10">
        <f>IF($C156="","",IFERROR(INDEX(lst_JobName,MATCH($C156&amp;"",lst_Jobs,0)),""))</f>
        <v/>
      </c>
      <c r="F156" s="37" t="n"/>
      <c r="G156" s="37" t="n"/>
      <c r="H156" s="37" t="n"/>
      <c r="I156" s="37" t="n"/>
      <c r="J156" s="37" t="n"/>
      <c r="K156" s="38">
        <f>IF($C156="","",IFERROR(N(INDEX(tbl_Finance[Invoice Count],MATCH($AU156,tbl_Finance[Row ID],0))),""))</f>
        <v/>
      </c>
      <c r="L156" s="11">
        <f>IF($C156="","",IFERROR(N(INDEX(tbl_Finance[Xero Invoiced Ex GST],MATCH($AU156,tbl_Finance[Row ID],0))),""))</f>
        <v/>
      </c>
      <c r="M156" s="10">
        <f>IF($C156="","",IFERROR(INDEX(tbl_Finance[Compare],MATCH($AU156,tbl_Finance[Row ID],0))&amp;"",""))</f>
        <v/>
      </c>
      <c r="N156" s="11">
        <f>IF($C156="","",MAX(0,N(O156)-N(L156)))</f>
        <v/>
      </c>
      <c r="O156" s="39" t="n"/>
      <c r="P156" s="40">
        <f>IF($C156="","",IF((IF(F156="",", Client","")&amp;IF(G156="",", Description","")&amp;IF(H156="",", Cost Centre","")&amp;IF(I156="",", Invoice Type","")&amp;IF(J156="",", Tax Code","")&amp;IF(O156="",", Expected Revenue","")&amp;IF(COUNTIF(tbl_Finance[Job Number],$C156&amp;"")&gt;1,", Job number used twice",""))="","Complete","Fix: "&amp;MID(IF(F156="",", Client","")&amp;IF(G156="",", Description","")&amp;IF(H156="",", Cost Centre","")&amp;IF(I156="",", Invoice Type","")&amp;IF(J156="",", Tax Code","")&amp;IF(O156="",", Expected Revenue","")&amp;IF(COUNTIF(tbl_Finance[Job Number],$C156&amp;"")&gt;1,", Job number used twice",""),3,300)))</f>
        <v/>
      </c>
      <c r="Q156" s="10">
        <f>IF($C156="","",IF(H156="","(no cost centre)",H156&amp;" - GL "&amp;IFERROR(INDEX(lst_CCtoGL,MATCH(H156,lst_CCforGL,0)),"?")))</f>
        <v/>
      </c>
      <c r="R156" s="11">
        <f>IF($C156="","",IFERROR(N(INDEX(tbl_Finance[Inc GST],MATCH($AU156,tbl_Finance[Row ID],0))),""))</f>
        <v/>
      </c>
      <c r="S156" s="37" t="n"/>
      <c r="T156" s="37" t="n"/>
      <c r="U156" s="37" t="n"/>
      <c r="V156" s="42" t="n"/>
      <c r="W156" s="37" t="n"/>
      <c r="X156" s="10">
        <f>IF(W156="","",IF(AND(LEFT(W156,4)&lt;&gt;"http",set_RMSBase=""),"",HYPERLINK(IF(LEFT(W156,4)="http",W156,set_RMSBase&amp;W156),"Open in RMS")))</f>
        <v/>
      </c>
      <c r="Y156" s="37" t="n"/>
      <c r="Z156" s="10">
        <f>IF(Y156="","",HYPERLINK(IF(LEFT(Y156,4)="http",Y156,set_QwilrBase&amp;Y156),"Open quote"))</f>
        <v/>
      </c>
      <c r="AA156" s="10">
        <f>IF(C156="","",C156)</f>
        <v/>
      </c>
      <c r="AB156" s="37" t="n"/>
      <c r="AC156" s="39" t="n"/>
      <c r="AD156" s="11">
        <f>IF(C156="","",N(L156)+N(AC156))</f>
        <v/>
      </c>
      <c r="AE156" s="43">
        <f>IFERROR(IF(N(AC156)=0,"",AC156/AD156),"")</f>
        <v/>
      </c>
      <c r="AF156" s="39" t="n"/>
      <c r="AG156" s="39" t="n"/>
      <c r="AH156" s="39" t="n"/>
      <c r="AI156" s="39" t="n"/>
      <c r="AJ156" s="11">
        <f>IF(C156="","",IF(H156="VIDEO",N(L156),0))</f>
        <v/>
      </c>
      <c r="AK156" s="43">
        <f>IFERROR(IF(N(L156)=0,"",AJ156/L156),"")</f>
        <v/>
      </c>
      <c r="AL156" s="11">
        <f>IF(C156="","",N(AF156)+N(AG156)+N(AH156)+N(AI156))</f>
        <v/>
      </c>
      <c r="AM156" s="11">
        <f>IF(C156="","",MAX(N(L156),N(O156))-N(AL156))</f>
        <v/>
      </c>
      <c r="AN156" s="43">
        <f>IFERROR(IF(MAX(N(L156),N(O156))=0,"",AM156/MAX(N(L156),N(O156))),"")</f>
        <v/>
      </c>
      <c r="AO156" s="41" t="n"/>
      <c r="AP156" s="41" t="n"/>
      <c r="AQ156" s="41" t="n"/>
      <c r="AR156" s="41" t="n"/>
      <c r="AS156" s="41" t="n"/>
      <c r="AT156" s="37" t="n"/>
      <c r="AU156" s="10" t="inlineStr">
        <is>
          <t>PRD-0152</t>
        </is>
      </c>
    </row>
    <row r="157">
      <c r="A157" s="16">
        <f>IF($C157="","",IFERROR(IF(INDEX(tbl_Finance[Latest Invoice Date],MATCH($AU157,tbl_Finance[Row ID],0))="","",INDEX(tbl_Finance[Latest Invoice Date],MATCH($AU157,tbl_Finance[Row ID],0))),""))</f>
        <v/>
      </c>
      <c r="B157" s="10">
        <f>IF($C157="","",IFERROR(INDEX(tbl_Finance[Invoice Numbers],MATCH($AU157,tbl_Finance[Row ID],0))&amp;"",""))</f>
        <v/>
      </c>
      <c r="C157" s="37" t="n"/>
      <c r="D157" s="10">
        <f>IF($C157="","",IF(COUNTIF(lst_Jobs,$C157&amp;"")&gt;0,"OK","CHECK"))</f>
        <v/>
      </c>
      <c r="E157" s="10">
        <f>IF($C157="","",IFERROR(INDEX(lst_JobName,MATCH($C157&amp;"",lst_Jobs,0)),""))</f>
        <v/>
      </c>
      <c r="F157" s="37" t="n"/>
      <c r="G157" s="37" t="n"/>
      <c r="H157" s="37" t="n"/>
      <c r="I157" s="37" t="n"/>
      <c r="J157" s="37" t="n"/>
      <c r="K157" s="38">
        <f>IF($C157="","",IFERROR(N(INDEX(tbl_Finance[Invoice Count],MATCH($AU157,tbl_Finance[Row ID],0))),""))</f>
        <v/>
      </c>
      <c r="L157" s="11">
        <f>IF($C157="","",IFERROR(N(INDEX(tbl_Finance[Xero Invoiced Ex GST],MATCH($AU157,tbl_Finance[Row ID],0))),""))</f>
        <v/>
      </c>
      <c r="M157" s="10">
        <f>IF($C157="","",IFERROR(INDEX(tbl_Finance[Compare],MATCH($AU157,tbl_Finance[Row ID],0))&amp;"",""))</f>
        <v/>
      </c>
      <c r="N157" s="11">
        <f>IF($C157="","",MAX(0,N(O157)-N(L157)))</f>
        <v/>
      </c>
      <c r="O157" s="39" t="n"/>
      <c r="P157" s="40">
        <f>IF($C157="","",IF((IF(F157="",", Client","")&amp;IF(G157="",", Description","")&amp;IF(H157="",", Cost Centre","")&amp;IF(I157="",", Invoice Type","")&amp;IF(J157="",", Tax Code","")&amp;IF(O157="",", Expected Revenue","")&amp;IF(COUNTIF(tbl_Finance[Job Number],$C157&amp;"")&gt;1,", Job number used twice",""))="","Complete","Fix: "&amp;MID(IF(F157="",", Client","")&amp;IF(G157="",", Description","")&amp;IF(H157="",", Cost Centre","")&amp;IF(I157="",", Invoice Type","")&amp;IF(J157="",", Tax Code","")&amp;IF(O157="",", Expected Revenue","")&amp;IF(COUNTIF(tbl_Finance[Job Number],$C157&amp;"")&gt;1,", Job number used twice",""),3,300)))</f>
        <v/>
      </c>
      <c r="Q157" s="10">
        <f>IF($C157="","",IF(H157="","(no cost centre)",H157&amp;" - GL "&amp;IFERROR(INDEX(lst_CCtoGL,MATCH(H157,lst_CCforGL,0)),"?")))</f>
        <v/>
      </c>
      <c r="R157" s="11">
        <f>IF($C157="","",IFERROR(N(INDEX(tbl_Finance[Inc GST],MATCH($AU157,tbl_Finance[Row ID],0))),""))</f>
        <v/>
      </c>
      <c r="S157" s="37" t="n"/>
      <c r="T157" s="37" t="n"/>
      <c r="U157" s="37" t="n"/>
      <c r="V157" s="42" t="n"/>
      <c r="W157" s="37" t="n"/>
      <c r="X157" s="10">
        <f>IF(W157="","",IF(AND(LEFT(W157,4)&lt;&gt;"http",set_RMSBase=""),"",HYPERLINK(IF(LEFT(W157,4)="http",W157,set_RMSBase&amp;W157),"Open in RMS")))</f>
        <v/>
      </c>
      <c r="Y157" s="37" t="n"/>
      <c r="Z157" s="10">
        <f>IF(Y157="","",HYPERLINK(IF(LEFT(Y157,4)="http",Y157,set_QwilrBase&amp;Y157),"Open quote"))</f>
        <v/>
      </c>
      <c r="AA157" s="10">
        <f>IF(C157="","",C157)</f>
        <v/>
      </c>
      <c r="AB157" s="37" t="n"/>
      <c r="AC157" s="39" t="n"/>
      <c r="AD157" s="11">
        <f>IF(C157="","",N(L157)+N(AC157))</f>
        <v/>
      </c>
      <c r="AE157" s="43">
        <f>IFERROR(IF(N(AC157)=0,"",AC157/AD157),"")</f>
        <v/>
      </c>
      <c r="AF157" s="39" t="n"/>
      <c r="AG157" s="39" t="n"/>
      <c r="AH157" s="39" t="n"/>
      <c r="AI157" s="39" t="n"/>
      <c r="AJ157" s="11">
        <f>IF(C157="","",IF(H157="VIDEO",N(L157),0))</f>
        <v/>
      </c>
      <c r="AK157" s="43">
        <f>IFERROR(IF(N(L157)=0,"",AJ157/L157),"")</f>
        <v/>
      </c>
      <c r="AL157" s="11">
        <f>IF(C157="","",N(AF157)+N(AG157)+N(AH157)+N(AI157))</f>
        <v/>
      </c>
      <c r="AM157" s="11">
        <f>IF(C157="","",MAX(N(L157),N(O157))-N(AL157))</f>
        <v/>
      </c>
      <c r="AN157" s="43">
        <f>IFERROR(IF(MAX(N(L157),N(O157))=0,"",AM157/MAX(N(L157),N(O157))),"")</f>
        <v/>
      </c>
      <c r="AO157" s="41" t="n"/>
      <c r="AP157" s="41" t="n"/>
      <c r="AQ157" s="41" t="n"/>
      <c r="AR157" s="41" t="n"/>
      <c r="AS157" s="41" t="n"/>
      <c r="AT157" s="37" t="n"/>
      <c r="AU157" s="10" t="inlineStr">
        <is>
          <t>PRD-0153</t>
        </is>
      </c>
    </row>
    <row r="158">
      <c r="A158" s="16">
        <f>IF($C158="","",IFERROR(IF(INDEX(tbl_Finance[Latest Invoice Date],MATCH($AU158,tbl_Finance[Row ID],0))="","",INDEX(tbl_Finance[Latest Invoice Date],MATCH($AU158,tbl_Finance[Row ID],0))),""))</f>
        <v/>
      </c>
      <c r="B158" s="10">
        <f>IF($C158="","",IFERROR(INDEX(tbl_Finance[Invoice Numbers],MATCH($AU158,tbl_Finance[Row ID],0))&amp;"",""))</f>
        <v/>
      </c>
      <c r="C158" s="37" t="n"/>
      <c r="D158" s="10">
        <f>IF($C158="","",IF(COUNTIF(lst_Jobs,$C158&amp;"")&gt;0,"OK","CHECK"))</f>
        <v/>
      </c>
      <c r="E158" s="10">
        <f>IF($C158="","",IFERROR(INDEX(lst_JobName,MATCH($C158&amp;"",lst_Jobs,0)),""))</f>
        <v/>
      </c>
      <c r="F158" s="37" t="n"/>
      <c r="G158" s="37" t="n"/>
      <c r="H158" s="37" t="n"/>
      <c r="I158" s="37" t="n"/>
      <c r="J158" s="37" t="n"/>
      <c r="K158" s="38">
        <f>IF($C158="","",IFERROR(N(INDEX(tbl_Finance[Invoice Count],MATCH($AU158,tbl_Finance[Row ID],0))),""))</f>
        <v/>
      </c>
      <c r="L158" s="11">
        <f>IF($C158="","",IFERROR(N(INDEX(tbl_Finance[Xero Invoiced Ex GST],MATCH($AU158,tbl_Finance[Row ID],0))),""))</f>
        <v/>
      </c>
      <c r="M158" s="10">
        <f>IF($C158="","",IFERROR(INDEX(tbl_Finance[Compare],MATCH($AU158,tbl_Finance[Row ID],0))&amp;"",""))</f>
        <v/>
      </c>
      <c r="N158" s="11">
        <f>IF($C158="","",MAX(0,N(O158)-N(L158)))</f>
        <v/>
      </c>
      <c r="O158" s="39" t="n"/>
      <c r="P158" s="40">
        <f>IF($C158="","",IF((IF(F158="",", Client","")&amp;IF(G158="",", Description","")&amp;IF(H158="",", Cost Centre","")&amp;IF(I158="",", Invoice Type","")&amp;IF(J158="",", Tax Code","")&amp;IF(O158="",", Expected Revenue","")&amp;IF(COUNTIF(tbl_Finance[Job Number],$C158&amp;"")&gt;1,", Job number used twice",""))="","Complete","Fix: "&amp;MID(IF(F158="",", Client","")&amp;IF(G158="",", Description","")&amp;IF(H158="",", Cost Centre","")&amp;IF(I158="",", Invoice Type","")&amp;IF(J158="",", Tax Code","")&amp;IF(O158="",", Expected Revenue","")&amp;IF(COUNTIF(tbl_Finance[Job Number],$C158&amp;"")&gt;1,", Job number used twice",""),3,300)))</f>
        <v/>
      </c>
      <c r="Q158" s="10">
        <f>IF($C158="","",IF(H158="","(no cost centre)",H158&amp;" - GL "&amp;IFERROR(INDEX(lst_CCtoGL,MATCH(H158,lst_CCforGL,0)),"?")))</f>
        <v/>
      </c>
      <c r="R158" s="11">
        <f>IF($C158="","",IFERROR(N(INDEX(tbl_Finance[Inc GST],MATCH($AU158,tbl_Finance[Row ID],0))),""))</f>
        <v/>
      </c>
      <c r="S158" s="37" t="n"/>
      <c r="T158" s="37" t="n"/>
      <c r="U158" s="37" t="n"/>
      <c r="V158" s="42" t="n"/>
      <c r="W158" s="37" t="n"/>
      <c r="X158" s="10">
        <f>IF(W158="","",IF(AND(LEFT(W158,4)&lt;&gt;"http",set_RMSBase=""),"",HYPERLINK(IF(LEFT(W158,4)="http",W158,set_RMSBase&amp;W158),"Open in RMS")))</f>
        <v/>
      </c>
      <c r="Y158" s="37" t="n"/>
      <c r="Z158" s="10">
        <f>IF(Y158="","",HYPERLINK(IF(LEFT(Y158,4)="http",Y158,set_QwilrBase&amp;Y158),"Open quote"))</f>
        <v/>
      </c>
      <c r="AA158" s="10">
        <f>IF(C158="","",C158)</f>
        <v/>
      </c>
      <c r="AB158" s="37" t="n"/>
      <c r="AC158" s="39" t="n"/>
      <c r="AD158" s="11">
        <f>IF(C158="","",N(L158)+N(AC158))</f>
        <v/>
      </c>
      <c r="AE158" s="43">
        <f>IFERROR(IF(N(AC158)=0,"",AC158/AD158),"")</f>
        <v/>
      </c>
      <c r="AF158" s="39" t="n"/>
      <c r="AG158" s="39" t="n"/>
      <c r="AH158" s="39" t="n"/>
      <c r="AI158" s="39" t="n"/>
      <c r="AJ158" s="11">
        <f>IF(C158="","",IF(H158="VIDEO",N(L158),0))</f>
        <v/>
      </c>
      <c r="AK158" s="43">
        <f>IFERROR(IF(N(L158)=0,"",AJ158/L158),"")</f>
        <v/>
      </c>
      <c r="AL158" s="11">
        <f>IF(C158="","",N(AF158)+N(AG158)+N(AH158)+N(AI158))</f>
        <v/>
      </c>
      <c r="AM158" s="11">
        <f>IF(C158="","",MAX(N(L158),N(O158))-N(AL158))</f>
        <v/>
      </c>
      <c r="AN158" s="43">
        <f>IFERROR(IF(MAX(N(L158),N(O158))=0,"",AM158/MAX(N(L158),N(O158))),"")</f>
        <v/>
      </c>
      <c r="AO158" s="41" t="n"/>
      <c r="AP158" s="41" t="n"/>
      <c r="AQ158" s="41" t="n"/>
      <c r="AR158" s="41" t="n"/>
      <c r="AS158" s="41" t="n"/>
      <c r="AT158" s="37" t="n"/>
      <c r="AU158" s="10" t="inlineStr">
        <is>
          <t>PRD-0154</t>
        </is>
      </c>
    </row>
    <row r="159">
      <c r="A159" s="16">
        <f>IF($C159="","",IFERROR(IF(INDEX(tbl_Finance[Latest Invoice Date],MATCH($AU159,tbl_Finance[Row ID],0))="","",INDEX(tbl_Finance[Latest Invoice Date],MATCH($AU159,tbl_Finance[Row ID],0))),""))</f>
        <v/>
      </c>
      <c r="B159" s="10">
        <f>IF($C159="","",IFERROR(INDEX(tbl_Finance[Invoice Numbers],MATCH($AU159,tbl_Finance[Row ID],0))&amp;"",""))</f>
        <v/>
      </c>
      <c r="C159" s="37" t="n"/>
      <c r="D159" s="10">
        <f>IF($C159="","",IF(COUNTIF(lst_Jobs,$C159&amp;"")&gt;0,"OK","CHECK"))</f>
        <v/>
      </c>
      <c r="E159" s="10">
        <f>IF($C159="","",IFERROR(INDEX(lst_JobName,MATCH($C159&amp;"",lst_Jobs,0)),""))</f>
        <v/>
      </c>
      <c r="F159" s="37" t="n"/>
      <c r="G159" s="37" t="n"/>
      <c r="H159" s="37" t="n"/>
      <c r="I159" s="37" t="n"/>
      <c r="J159" s="37" t="n"/>
      <c r="K159" s="38">
        <f>IF($C159="","",IFERROR(N(INDEX(tbl_Finance[Invoice Count],MATCH($AU159,tbl_Finance[Row ID],0))),""))</f>
        <v/>
      </c>
      <c r="L159" s="11">
        <f>IF($C159="","",IFERROR(N(INDEX(tbl_Finance[Xero Invoiced Ex GST],MATCH($AU159,tbl_Finance[Row ID],0))),""))</f>
        <v/>
      </c>
      <c r="M159" s="10">
        <f>IF($C159="","",IFERROR(INDEX(tbl_Finance[Compare],MATCH($AU159,tbl_Finance[Row ID],0))&amp;"",""))</f>
        <v/>
      </c>
      <c r="N159" s="11">
        <f>IF($C159="","",MAX(0,N(O159)-N(L159)))</f>
        <v/>
      </c>
      <c r="O159" s="39" t="n"/>
      <c r="P159" s="40">
        <f>IF($C159="","",IF((IF(F159="",", Client","")&amp;IF(G159="",", Description","")&amp;IF(H159="",", Cost Centre","")&amp;IF(I159="",", Invoice Type","")&amp;IF(J159="",", Tax Code","")&amp;IF(O159="",", Expected Revenue","")&amp;IF(COUNTIF(tbl_Finance[Job Number],$C159&amp;"")&gt;1,", Job number used twice",""))="","Complete","Fix: "&amp;MID(IF(F159="",", Client","")&amp;IF(G159="",", Description","")&amp;IF(H159="",", Cost Centre","")&amp;IF(I159="",", Invoice Type","")&amp;IF(J159="",", Tax Code","")&amp;IF(O159="",", Expected Revenue","")&amp;IF(COUNTIF(tbl_Finance[Job Number],$C159&amp;"")&gt;1,", Job number used twice",""),3,300)))</f>
        <v/>
      </c>
      <c r="Q159" s="10">
        <f>IF($C159="","",IF(H159="","(no cost centre)",H159&amp;" - GL "&amp;IFERROR(INDEX(lst_CCtoGL,MATCH(H159,lst_CCforGL,0)),"?")))</f>
        <v/>
      </c>
      <c r="R159" s="11">
        <f>IF($C159="","",IFERROR(N(INDEX(tbl_Finance[Inc GST],MATCH($AU159,tbl_Finance[Row ID],0))),""))</f>
        <v/>
      </c>
      <c r="S159" s="37" t="n"/>
      <c r="T159" s="37" t="n"/>
      <c r="U159" s="37" t="n"/>
      <c r="V159" s="42" t="n"/>
      <c r="W159" s="37" t="n"/>
      <c r="X159" s="10">
        <f>IF(W159="","",IF(AND(LEFT(W159,4)&lt;&gt;"http",set_RMSBase=""),"",HYPERLINK(IF(LEFT(W159,4)="http",W159,set_RMSBase&amp;W159),"Open in RMS")))</f>
        <v/>
      </c>
      <c r="Y159" s="37" t="n"/>
      <c r="Z159" s="10">
        <f>IF(Y159="","",HYPERLINK(IF(LEFT(Y159,4)="http",Y159,set_QwilrBase&amp;Y159),"Open quote"))</f>
        <v/>
      </c>
      <c r="AA159" s="10">
        <f>IF(C159="","",C159)</f>
        <v/>
      </c>
      <c r="AB159" s="37" t="n"/>
      <c r="AC159" s="39" t="n"/>
      <c r="AD159" s="11">
        <f>IF(C159="","",N(L159)+N(AC159))</f>
        <v/>
      </c>
      <c r="AE159" s="43">
        <f>IFERROR(IF(N(AC159)=0,"",AC159/AD159),"")</f>
        <v/>
      </c>
      <c r="AF159" s="39" t="n"/>
      <c r="AG159" s="39" t="n"/>
      <c r="AH159" s="39" t="n"/>
      <c r="AI159" s="39" t="n"/>
      <c r="AJ159" s="11">
        <f>IF(C159="","",IF(H159="VIDEO",N(L159),0))</f>
        <v/>
      </c>
      <c r="AK159" s="43">
        <f>IFERROR(IF(N(L159)=0,"",AJ159/L159),"")</f>
        <v/>
      </c>
      <c r="AL159" s="11">
        <f>IF(C159="","",N(AF159)+N(AG159)+N(AH159)+N(AI159))</f>
        <v/>
      </c>
      <c r="AM159" s="11">
        <f>IF(C159="","",MAX(N(L159),N(O159))-N(AL159))</f>
        <v/>
      </c>
      <c r="AN159" s="43">
        <f>IFERROR(IF(MAX(N(L159),N(O159))=0,"",AM159/MAX(N(L159),N(O159))),"")</f>
        <v/>
      </c>
      <c r="AO159" s="41" t="n"/>
      <c r="AP159" s="41" t="n"/>
      <c r="AQ159" s="41" t="n"/>
      <c r="AR159" s="41" t="n"/>
      <c r="AS159" s="41" t="n"/>
      <c r="AT159" s="37" t="n"/>
      <c r="AU159" s="10" t="inlineStr">
        <is>
          <t>PRD-0155</t>
        </is>
      </c>
    </row>
    <row r="160">
      <c r="A160" s="16">
        <f>IF($C160="","",IFERROR(IF(INDEX(tbl_Finance[Latest Invoice Date],MATCH($AU160,tbl_Finance[Row ID],0))="","",INDEX(tbl_Finance[Latest Invoice Date],MATCH($AU160,tbl_Finance[Row ID],0))),""))</f>
        <v/>
      </c>
      <c r="B160" s="10">
        <f>IF($C160="","",IFERROR(INDEX(tbl_Finance[Invoice Numbers],MATCH($AU160,tbl_Finance[Row ID],0))&amp;"",""))</f>
        <v/>
      </c>
      <c r="C160" s="37" t="n"/>
      <c r="D160" s="10">
        <f>IF($C160="","",IF(COUNTIF(lst_Jobs,$C160&amp;"")&gt;0,"OK","CHECK"))</f>
        <v/>
      </c>
      <c r="E160" s="10">
        <f>IF($C160="","",IFERROR(INDEX(lst_JobName,MATCH($C160&amp;"",lst_Jobs,0)),""))</f>
        <v/>
      </c>
      <c r="F160" s="37" t="n"/>
      <c r="G160" s="37" t="n"/>
      <c r="H160" s="37" t="n"/>
      <c r="I160" s="37" t="n"/>
      <c r="J160" s="37" t="n"/>
      <c r="K160" s="38">
        <f>IF($C160="","",IFERROR(N(INDEX(tbl_Finance[Invoice Count],MATCH($AU160,tbl_Finance[Row ID],0))),""))</f>
        <v/>
      </c>
      <c r="L160" s="11">
        <f>IF($C160="","",IFERROR(N(INDEX(tbl_Finance[Xero Invoiced Ex GST],MATCH($AU160,tbl_Finance[Row ID],0))),""))</f>
        <v/>
      </c>
      <c r="M160" s="10">
        <f>IF($C160="","",IFERROR(INDEX(tbl_Finance[Compare],MATCH($AU160,tbl_Finance[Row ID],0))&amp;"",""))</f>
        <v/>
      </c>
      <c r="N160" s="11">
        <f>IF($C160="","",MAX(0,N(O160)-N(L160)))</f>
        <v/>
      </c>
      <c r="O160" s="39" t="n"/>
      <c r="P160" s="40">
        <f>IF($C160="","",IF((IF(F160="",", Client","")&amp;IF(G160="",", Description","")&amp;IF(H160="",", Cost Centre","")&amp;IF(I160="",", Invoice Type","")&amp;IF(J160="",", Tax Code","")&amp;IF(O160="",", Expected Revenue","")&amp;IF(COUNTIF(tbl_Finance[Job Number],$C160&amp;"")&gt;1,", Job number used twice",""))="","Complete","Fix: "&amp;MID(IF(F160="",", Client","")&amp;IF(G160="",", Description","")&amp;IF(H160="",", Cost Centre","")&amp;IF(I160="",", Invoice Type","")&amp;IF(J160="",", Tax Code","")&amp;IF(O160="",", Expected Revenue","")&amp;IF(COUNTIF(tbl_Finance[Job Number],$C160&amp;"")&gt;1,", Job number used twice",""),3,300)))</f>
        <v/>
      </c>
      <c r="Q160" s="10">
        <f>IF($C160="","",IF(H160="","(no cost centre)",H160&amp;" - GL "&amp;IFERROR(INDEX(lst_CCtoGL,MATCH(H160,lst_CCforGL,0)),"?")))</f>
        <v/>
      </c>
      <c r="R160" s="11">
        <f>IF($C160="","",IFERROR(N(INDEX(tbl_Finance[Inc GST],MATCH($AU160,tbl_Finance[Row ID],0))),""))</f>
        <v/>
      </c>
      <c r="S160" s="37" t="n"/>
      <c r="T160" s="37" t="n"/>
      <c r="U160" s="37" t="n"/>
      <c r="V160" s="42" t="n"/>
      <c r="W160" s="37" t="n"/>
      <c r="X160" s="10">
        <f>IF(W160="","",IF(AND(LEFT(W160,4)&lt;&gt;"http",set_RMSBase=""),"",HYPERLINK(IF(LEFT(W160,4)="http",W160,set_RMSBase&amp;W160),"Open in RMS")))</f>
        <v/>
      </c>
      <c r="Y160" s="37" t="n"/>
      <c r="Z160" s="10">
        <f>IF(Y160="","",HYPERLINK(IF(LEFT(Y160,4)="http",Y160,set_QwilrBase&amp;Y160),"Open quote"))</f>
        <v/>
      </c>
      <c r="AA160" s="10">
        <f>IF(C160="","",C160)</f>
        <v/>
      </c>
      <c r="AB160" s="37" t="n"/>
      <c r="AC160" s="39" t="n"/>
      <c r="AD160" s="11">
        <f>IF(C160="","",N(L160)+N(AC160))</f>
        <v/>
      </c>
      <c r="AE160" s="43">
        <f>IFERROR(IF(N(AC160)=0,"",AC160/AD160),"")</f>
        <v/>
      </c>
      <c r="AF160" s="39" t="n"/>
      <c r="AG160" s="39" t="n"/>
      <c r="AH160" s="39" t="n"/>
      <c r="AI160" s="39" t="n"/>
      <c r="AJ160" s="11">
        <f>IF(C160="","",IF(H160="VIDEO",N(L160),0))</f>
        <v/>
      </c>
      <c r="AK160" s="43">
        <f>IFERROR(IF(N(L160)=0,"",AJ160/L160),"")</f>
        <v/>
      </c>
      <c r="AL160" s="11">
        <f>IF(C160="","",N(AF160)+N(AG160)+N(AH160)+N(AI160))</f>
        <v/>
      </c>
      <c r="AM160" s="11">
        <f>IF(C160="","",MAX(N(L160),N(O160))-N(AL160))</f>
        <v/>
      </c>
      <c r="AN160" s="43">
        <f>IFERROR(IF(MAX(N(L160),N(O160))=0,"",AM160/MAX(N(L160),N(O160))),"")</f>
        <v/>
      </c>
      <c r="AO160" s="41" t="n"/>
      <c r="AP160" s="41" t="n"/>
      <c r="AQ160" s="41" t="n"/>
      <c r="AR160" s="41" t="n"/>
      <c r="AS160" s="41" t="n"/>
      <c r="AT160" s="37" t="n"/>
      <c r="AU160" s="10" t="inlineStr">
        <is>
          <t>PRD-0156</t>
        </is>
      </c>
    </row>
    <row r="161">
      <c r="A161" s="16">
        <f>IF($C161="","",IFERROR(IF(INDEX(tbl_Finance[Latest Invoice Date],MATCH($AU161,tbl_Finance[Row ID],0))="","",INDEX(tbl_Finance[Latest Invoice Date],MATCH($AU161,tbl_Finance[Row ID],0))),""))</f>
        <v/>
      </c>
      <c r="B161" s="10">
        <f>IF($C161="","",IFERROR(INDEX(tbl_Finance[Invoice Numbers],MATCH($AU161,tbl_Finance[Row ID],0))&amp;"",""))</f>
        <v/>
      </c>
      <c r="C161" s="37" t="n"/>
      <c r="D161" s="10">
        <f>IF($C161="","",IF(COUNTIF(lst_Jobs,$C161&amp;"")&gt;0,"OK","CHECK"))</f>
        <v/>
      </c>
      <c r="E161" s="10">
        <f>IF($C161="","",IFERROR(INDEX(lst_JobName,MATCH($C161&amp;"",lst_Jobs,0)),""))</f>
        <v/>
      </c>
      <c r="F161" s="37" t="n"/>
      <c r="G161" s="37" t="n"/>
      <c r="H161" s="37" t="n"/>
      <c r="I161" s="37" t="n"/>
      <c r="J161" s="37" t="n"/>
      <c r="K161" s="38">
        <f>IF($C161="","",IFERROR(N(INDEX(tbl_Finance[Invoice Count],MATCH($AU161,tbl_Finance[Row ID],0))),""))</f>
        <v/>
      </c>
      <c r="L161" s="11">
        <f>IF($C161="","",IFERROR(N(INDEX(tbl_Finance[Xero Invoiced Ex GST],MATCH($AU161,tbl_Finance[Row ID],0))),""))</f>
        <v/>
      </c>
      <c r="M161" s="10">
        <f>IF($C161="","",IFERROR(INDEX(tbl_Finance[Compare],MATCH($AU161,tbl_Finance[Row ID],0))&amp;"",""))</f>
        <v/>
      </c>
      <c r="N161" s="11">
        <f>IF($C161="","",MAX(0,N(O161)-N(L161)))</f>
        <v/>
      </c>
      <c r="O161" s="39" t="n"/>
      <c r="P161" s="40">
        <f>IF($C161="","",IF((IF(F161="",", Client","")&amp;IF(G161="",", Description","")&amp;IF(H161="",", Cost Centre","")&amp;IF(I161="",", Invoice Type","")&amp;IF(J161="",", Tax Code","")&amp;IF(O161="",", Expected Revenue","")&amp;IF(COUNTIF(tbl_Finance[Job Number],$C161&amp;"")&gt;1,", Job number used twice",""))="","Complete","Fix: "&amp;MID(IF(F161="",", Client","")&amp;IF(G161="",", Description","")&amp;IF(H161="",", Cost Centre","")&amp;IF(I161="",", Invoice Type","")&amp;IF(J161="",", Tax Code","")&amp;IF(O161="",", Expected Revenue","")&amp;IF(COUNTIF(tbl_Finance[Job Number],$C161&amp;"")&gt;1,", Job number used twice",""),3,300)))</f>
        <v/>
      </c>
      <c r="Q161" s="10">
        <f>IF($C161="","",IF(H161="","(no cost centre)",H161&amp;" - GL "&amp;IFERROR(INDEX(lst_CCtoGL,MATCH(H161,lst_CCforGL,0)),"?")))</f>
        <v/>
      </c>
      <c r="R161" s="11">
        <f>IF($C161="","",IFERROR(N(INDEX(tbl_Finance[Inc GST],MATCH($AU161,tbl_Finance[Row ID],0))),""))</f>
        <v/>
      </c>
      <c r="S161" s="37" t="n"/>
      <c r="T161" s="37" t="n"/>
      <c r="U161" s="37" t="n"/>
      <c r="V161" s="42" t="n"/>
      <c r="W161" s="37" t="n"/>
      <c r="X161" s="10">
        <f>IF(W161="","",IF(AND(LEFT(W161,4)&lt;&gt;"http",set_RMSBase=""),"",HYPERLINK(IF(LEFT(W161,4)="http",W161,set_RMSBase&amp;W161),"Open in RMS")))</f>
        <v/>
      </c>
      <c r="Y161" s="37" t="n"/>
      <c r="Z161" s="10">
        <f>IF(Y161="","",HYPERLINK(IF(LEFT(Y161,4)="http",Y161,set_QwilrBase&amp;Y161),"Open quote"))</f>
        <v/>
      </c>
      <c r="AA161" s="10">
        <f>IF(C161="","",C161)</f>
        <v/>
      </c>
      <c r="AB161" s="37" t="n"/>
      <c r="AC161" s="39" t="n"/>
      <c r="AD161" s="11">
        <f>IF(C161="","",N(L161)+N(AC161))</f>
        <v/>
      </c>
      <c r="AE161" s="43">
        <f>IFERROR(IF(N(AC161)=0,"",AC161/AD161),"")</f>
        <v/>
      </c>
      <c r="AF161" s="39" t="n"/>
      <c r="AG161" s="39" t="n"/>
      <c r="AH161" s="39" t="n"/>
      <c r="AI161" s="39" t="n"/>
      <c r="AJ161" s="11">
        <f>IF(C161="","",IF(H161="VIDEO",N(L161),0))</f>
        <v/>
      </c>
      <c r="AK161" s="43">
        <f>IFERROR(IF(N(L161)=0,"",AJ161/L161),"")</f>
        <v/>
      </c>
      <c r="AL161" s="11">
        <f>IF(C161="","",N(AF161)+N(AG161)+N(AH161)+N(AI161))</f>
        <v/>
      </c>
      <c r="AM161" s="11">
        <f>IF(C161="","",MAX(N(L161),N(O161))-N(AL161))</f>
        <v/>
      </c>
      <c r="AN161" s="43">
        <f>IFERROR(IF(MAX(N(L161),N(O161))=0,"",AM161/MAX(N(L161),N(O161))),"")</f>
        <v/>
      </c>
      <c r="AO161" s="41" t="n"/>
      <c r="AP161" s="41" t="n"/>
      <c r="AQ161" s="41" t="n"/>
      <c r="AR161" s="41" t="n"/>
      <c r="AS161" s="41" t="n"/>
      <c r="AT161" s="37" t="n"/>
      <c r="AU161" s="10" t="inlineStr">
        <is>
          <t>PRD-0157</t>
        </is>
      </c>
    </row>
    <row r="162">
      <c r="A162" s="16">
        <f>IF($C162="","",IFERROR(IF(INDEX(tbl_Finance[Latest Invoice Date],MATCH($AU162,tbl_Finance[Row ID],0))="","",INDEX(tbl_Finance[Latest Invoice Date],MATCH($AU162,tbl_Finance[Row ID],0))),""))</f>
        <v/>
      </c>
      <c r="B162" s="10">
        <f>IF($C162="","",IFERROR(INDEX(tbl_Finance[Invoice Numbers],MATCH($AU162,tbl_Finance[Row ID],0))&amp;"",""))</f>
        <v/>
      </c>
      <c r="C162" s="37" t="n"/>
      <c r="D162" s="10">
        <f>IF($C162="","",IF(COUNTIF(lst_Jobs,$C162&amp;"")&gt;0,"OK","CHECK"))</f>
        <v/>
      </c>
      <c r="E162" s="10">
        <f>IF($C162="","",IFERROR(INDEX(lst_JobName,MATCH($C162&amp;"",lst_Jobs,0)),""))</f>
        <v/>
      </c>
      <c r="F162" s="37" t="n"/>
      <c r="G162" s="37" t="n"/>
      <c r="H162" s="37" t="n"/>
      <c r="I162" s="37" t="n"/>
      <c r="J162" s="37" t="n"/>
      <c r="K162" s="38">
        <f>IF($C162="","",IFERROR(N(INDEX(tbl_Finance[Invoice Count],MATCH($AU162,tbl_Finance[Row ID],0))),""))</f>
        <v/>
      </c>
      <c r="L162" s="11">
        <f>IF($C162="","",IFERROR(N(INDEX(tbl_Finance[Xero Invoiced Ex GST],MATCH($AU162,tbl_Finance[Row ID],0))),""))</f>
        <v/>
      </c>
      <c r="M162" s="10">
        <f>IF($C162="","",IFERROR(INDEX(tbl_Finance[Compare],MATCH($AU162,tbl_Finance[Row ID],0))&amp;"",""))</f>
        <v/>
      </c>
      <c r="N162" s="11">
        <f>IF($C162="","",MAX(0,N(O162)-N(L162)))</f>
        <v/>
      </c>
      <c r="O162" s="39" t="n"/>
      <c r="P162" s="40">
        <f>IF($C162="","",IF((IF(F162="",", Client","")&amp;IF(G162="",", Description","")&amp;IF(H162="",", Cost Centre","")&amp;IF(I162="",", Invoice Type","")&amp;IF(J162="",", Tax Code","")&amp;IF(O162="",", Expected Revenue","")&amp;IF(COUNTIF(tbl_Finance[Job Number],$C162&amp;"")&gt;1,", Job number used twice",""))="","Complete","Fix: "&amp;MID(IF(F162="",", Client","")&amp;IF(G162="",", Description","")&amp;IF(H162="",", Cost Centre","")&amp;IF(I162="",", Invoice Type","")&amp;IF(J162="",", Tax Code","")&amp;IF(O162="",", Expected Revenue","")&amp;IF(COUNTIF(tbl_Finance[Job Number],$C162&amp;"")&gt;1,", Job number used twice",""),3,300)))</f>
        <v/>
      </c>
      <c r="Q162" s="10">
        <f>IF($C162="","",IF(H162="","(no cost centre)",H162&amp;" - GL "&amp;IFERROR(INDEX(lst_CCtoGL,MATCH(H162,lst_CCforGL,0)),"?")))</f>
        <v/>
      </c>
      <c r="R162" s="11">
        <f>IF($C162="","",IFERROR(N(INDEX(tbl_Finance[Inc GST],MATCH($AU162,tbl_Finance[Row ID],0))),""))</f>
        <v/>
      </c>
      <c r="S162" s="37" t="n"/>
      <c r="T162" s="37" t="n"/>
      <c r="U162" s="37" t="n"/>
      <c r="V162" s="42" t="n"/>
      <c r="W162" s="37" t="n"/>
      <c r="X162" s="10">
        <f>IF(W162="","",IF(AND(LEFT(W162,4)&lt;&gt;"http",set_RMSBase=""),"",HYPERLINK(IF(LEFT(W162,4)="http",W162,set_RMSBase&amp;W162),"Open in RMS")))</f>
        <v/>
      </c>
      <c r="Y162" s="37" t="n"/>
      <c r="Z162" s="10">
        <f>IF(Y162="","",HYPERLINK(IF(LEFT(Y162,4)="http",Y162,set_QwilrBase&amp;Y162),"Open quote"))</f>
        <v/>
      </c>
      <c r="AA162" s="10">
        <f>IF(C162="","",C162)</f>
        <v/>
      </c>
      <c r="AB162" s="37" t="n"/>
      <c r="AC162" s="39" t="n"/>
      <c r="AD162" s="11">
        <f>IF(C162="","",N(L162)+N(AC162))</f>
        <v/>
      </c>
      <c r="AE162" s="43">
        <f>IFERROR(IF(N(AC162)=0,"",AC162/AD162),"")</f>
        <v/>
      </c>
      <c r="AF162" s="39" t="n"/>
      <c r="AG162" s="39" t="n"/>
      <c r="AH162" s="39" t="n"/>
      <c r="AI162" s="39" t="n"/>
      <c r="AJ162" s="11">
        <f>IF(C162="","",IF(H162="VIDEO",N(L162),0))</f>
        <v/>
      </c>
      <c r="AK162" s="43">
        <f>IFERROR(IF(N(L162)=0,"",AJ162/L162),"")</f>
        <v/>
      </c>
      <c r="AL162" s="11">
        <f>IF(C162="","",N(AF162)+N(AG162)+N(AH162)+N(AI162))</f>
        <v/>
      </c>
      <c r="AM162" s="11">
        <f>IF(C162="","",MAX(N(L162),N(O162))-N(AL162))</f>
        <v/>
      </c>
      <c r="AN162" s="43">
        <f>IFERROR(IF(MAX(N(L162),N(O162))=0,"",AM162/MAX(N(L162),N(O162))),"")</f>
        <v/>
      </c>
      <c r="AO162" s="41" t="n"/>
      <c r="AP162" s="41" t="n"/>
      <c r="AQ162" s="41" t="n"/>
      <c r="AR162" s="41" t="n"/>
      <c r="AS162" s="41" t="n"/>
      <c r="AT162" s="37" t="n"/>
      <c r="AU162" s="10" t="inlineStr">
        <is>
          <t>PRD-0158</t>
        </is>
      </c>
    </row>
    <row r="163">
      <c r="A163" s="16">
        <f>IF($C163="","",IFERROR(IF(INDEX(tbl_Finance[Latest Invoice Date],MATCH($AU163,tbl_Finance[Row ID],0))="","",INDEX(tbl_Finance[Latest Invoice Date],MATCH($AU163,tbl_Finance[Row ID],0))),""))</f>
        <v/>
      </c>
      <c r="B163" s="10">
        <f>IF($C163="","",IFERROR(INDEX(tbl_Finance[Invoice Numbers],MATCH($AU163,tbl_Finance[Row ID],0))&amp;"",""))</f>
        <v/>
      </c>
      <c r="C163" s="37" t="n"/>
      <c r="D163" s="10">
        <f>IF($C163="","",IF(COUNTIF(lst_Jobs,$C163&amp;"")&gt;0,"OK","CHECK"))</f>
        <v/>
      </c>
      <c r="E163" s="10">
        <f>IF($C163="","",IFERROR(INDEX(lst_JobName,MATCH($C163&amp;"",lst_Jobs,0)),""))</f>
        <v/>
      </c>
      <c r="F163" s="37" t="n"/>
      <c r="G163" s="37" t="n"/>
      <c r="H163" s="37" t="n"/>
      <c r="I163" s="37" t="n"/>
      <c r="J163" s="37" t="n"/>
      <c r="K163" s="38">
        <f>IF($C163="","",IFERROR(N(INDEX(tbl_Finance[Invoice Count],MATCH($AU163,tbl_Finance[Row ID],0))),""))</f>
        <v/>
      </c>
      <c r="L163" s="11">
        <f>IF($C163="","",IFERROR(N(INDEX(tbl_Finance[Xero Invoiced Ex GST],MATCH($AU163,tbl_Finance[Row ID],0))),""))</f>
        <v/>
      </c>
      <c r="M163" s="10">
        <f>IF($C163="","",IFERROR(INDEX(tbl_Finance[Compare],MATCH($AU163,tbl_Finance[Row ID],0))&amp;"",""))</f>
        <v/>
      </c>
      <c r="N163" s="11">
        <f>IF($C163="","",MAX(0,N(O163)-N(L163)))</f>
        <v/>
      </c>
      <c r="O163" s="39" t="n"/>
      <c r="P163" s="40">
        <f>IF($C163="","",IF((IF(F163="",", Client","")&amp;IF(G163="",", Description","")&amp;IF(H163="",", Cost Centre","")&amp;IF(I163="",", Invoice Type","")&amp;IF(J163="",", Tax Code","")&amp;IF(O163="",", Expected Revenue","")&amp;IF(COUNTIF(tbl_Finance[Job Number],$C163&amp;"")&gt;1,", Job number used twice",""))="","Complete","Fix: "&amp;MID(IF(F163="",", Client","")&amp;IF(G163="",", Description","")&amp;IF(H163="",", Cost Centre","")&amp;IF(I163="",", Invoice Type","")&amp;IF(J163="",", Tax Code","")&amp;IF(O163="",", Expected Revenue","")&amp;IF(COUNTIF(tbl_Finance[Job Number],$C163&amp;"")&gt;1,", Job number used twice",""),3,300)))</f>
        <v/>
      </c>
      <c r="Q163" s="10">
        <f>IF($C163="","",IF(H163="","(no cost centre)",H163&amp;" - GL "&amp;IFERROR(INDEX(lst_CCtoGL,MATCH(H163,lst_CCforGL,0)),"?")))</f>
        <v/>
      </c>
      <c r="R163" s="11">
        <f>IF($C163="","",IFERROR(N(INDEX(tbl_Finance[Inc GST],MATCH($AU163,tbl_Finance[Row ID],0))),""))</f>
        <v/>
      </c>
      <c r="S163" s="37" t="n"/>
      <c r="T163" s="37" t="n"/>
      <c r="U163" s="37" t="n"/>
      <c r="V163" s="42" t="n"/>
      <c r="W163" s="37" t="n"/>
      <c r="X163" s="10">
        <f>IF(W163="","",IF(AND(LEFT(W163,4)&lt;&gt;"http",set_RMSBase=""),"",HYPERLINK(IF(LEFT(W163,4)="http",W163,set_RMSBase&amp;W163),"Open in RMS")))</f>
        <v/>
      </c>
      <c r="Y163" s="37" t="n"/>
      <c r="Z163" s="10">
        <f>IF(Y163="","",HYPERLINK(IF(LEFT(Y163,4)="http",Y163,set_QwilrBase&amp;Y163),"Open quote"))</f>
        <v/>
      </c>
      <c r="AA163" s="10">
        <f>IF(C163="","",C163)</f>
        <v/>
      </c>
      <c r="AB163" s="37" t="n"/>
      <c r="AC163" s="39" t="n"/>
      <c r="AD163" s="11">
        <f>IF(C163="","",N(L163)+N(AC163))</f>
        <v/>
      </c>
      <c r="AE163" s="43">
        <f>IFERROR(IF(N(AC163)=0,"",AC163/AD163),"")</f>
        <v/>
      </c>
      <c r="AF163" s="39" t="n"/>
      <c r="AG163" s="39" t="n"/>
      <c r="AH163" s="39" t="n"/>
      <c r="AI163" s="39" t="n"/>
      <c r="AJ163" s="11">
        <f>IF(C163="","",IF(H163="VIDEO",N(L163),0))</f>
        <v/>
      </c>
      <c r="AK163" s="43">
        <f>IFERROR(IF(N(L163)=0,"",AJ163/L163),"")</f>
        <v/>
      </c>
      <c r="AL163" s="11">
        <f>IF(C163="","",N(AF163)+N(AG163)+N(AH163)+N(AI163))</f>
        <v/>
      </c>
      <c r="AM163" s="11">
        <f>IF(C163="","",MAX(N(L163),N(O163))-N(AL163))</f>
        <v/>
      </c>
      <c r="AN163" s="43">
        <f>IFERROR(IF(MAX(N(L163),N(O163))=0,"",AM163/MAX(N(L163),N(O163))),"")</f>
        <v/>
      </c>
      <c r="AO163" s="41" t="n"/>
      <c r="AP163" s="41" t="n"/>
      <c r="AQ163" s="41" t="n"/>
      <c r="AR163" s="41" t="n"/>
      <c r="AS163" s="41" t="n"/>
      <c r="AT163" s="37" t="n"/>
      <c r="AU163" s="10" t="inlineStr">
        <is>
          <t>PRD-0159</t>
        </is>
      </c>
    </row>
    <row r="164">
      <c r="A164" s="16">
        <f>IF($C164="","",IFERROR(IF(INDEX(tbl_Finance[Latest Invoice Date],MATCH($AU164,tbl_Finance[Row ID],0))="","",INDEX(tbl_Finance[Latest Invoice Date],MATCH($AU164,tbl_Finance[Row ID],0))),""))</f>
        <v/>
      </c>
      <c r="B164" s="10">
        <f>IF($C164="","",IFERROR(INDEX(tbl_Finance[Invoice Numbers],MATCH($AU164,tbl_Finance[Row ID],0))&amp;"",""))</f>
        <v/>
      </c>
      <c r="C164" s="37" t="n"/>
      <c r="D164" s="10">
        <f>IF($C164="","",IF(COUNTIF(lst_Jobs,$C164&amp;"")&gt;0,"OK","CHECK"))</f>
        <v/>
      </c>
      <c r="E164" s="10">
        <f>IF($C164="","",IFERROR(INDEX(lst_JobName,MATCH($C164&amp;"",lst_Jobs,0)),""))</f>
        <v/>
      </c>
      <c r="F164" s="37" t="n"/>
      <c r="G164" s="37" t="n"/>
      <c r="H164" s="37" t="n"/>
      <c r="I164" s="37" t="n"/>
      <c r="J164" s="37" t="n"/>
      <c r="K164" s="38">
        <f>IF($C164="","",IFERROR(N(INDEX(tbl_Finance[Invoice Count],MATCH($AU164,tbl_Finance[Row ID],0))),""))</f>
        <v/>
      </c>
      <c r="L164" s="11">
        <f>IF($C164="","",IFERROR(N(INDEX(tbl_Finance[Xero Invoiced Ex GST],MATCH($AU164,tbl_Finance[Row ID],0))),""))</f>
        <v/>
      </c>
      <c r="M164" s="10">
        <f>IF($C164="","",IFERROR(INDEX(tbl_Finance[Compare],MATCH($AU164,tbl_Finance[Row ID],0))&amp;"",""))</f>
        <v/>
      </c>
      <c r="N164" s="11">
        <f>IF($C164="","",MAX(0,N(O164)-N(L164)))</f>
        <v/>
      </c>
      <c r="O164" s="39" t="n"/>
      <c r="P164" s="40">
        <f>IF($C164="","",IF((IF(F164="",", Client","")&amp;IF(G164="",", Description","")&amp;IF(H164="",", Cost Centre","")&amp;IF(I164="",", Invoice Type","")&amp;IF(J164="",", Tax Code","")&amp;IF(O164="",", Expected Revenue","")&amp;IF(COUNTIF(tbl_Finance[Job Number],$C164&amp;"")&gt;1,", Job number used twice",""))="","Complete","Fix: "&amp;MID(IF(F164="",", Client","")&amp;IF(G164="",", Description","")&amp;IF(H164="",", Cost Centre","")&amp;IF(I164="",", Invoice Type","")&amp;IF(J164="",", Tax Code","")&amp;IF(O164="",", Expected Revenue","")&amp;IF(COUNTIF(tbl_Finance[Job Number],$C164&amp;"")&gt;1,", Job number used twice",""),3,300)))</f>
        <v/>
      </c>
      <c r="Q164" s="10">
        <f>IF($C164="","",IF(H164="","(no cost centre)",H164&amp;" - GL "&amp;IFERROR(INDEX(lst_CCtoGL,MATCH(H164,lst_CCforGL,0)),"?")))</f>
        <v/>
      </c>
      <c r="R164" s="11">
        <f>IF($C164="","",IFERROR(N(INDEX(tbl_Finance[Inc GST],MATCH($AU164,tbl_Finance[Row ID],0))),""))</f>
        <v/>
      </c>
      <c r="S164" s="37" t="n"/>
      <c r="T164" s="37" t="n"/>
      <c r="U164" s="37" t="n"/>
      <c r="V164" s="42" t="n"/>
      <c r="W164" s="37" t="n"/>
      <c r="X164" s="10">
        <f>IF(W164="","",IF(AND(LEFT(W164,4)&lt;&gt;"http",set_RMSBase=""),"",HYPERLINK(IF(LEFT(W164,4)="http",W164,set_RMSBase&amp;W164),"Open in RMS")))</f>
        <v/>
      </c>
      <c r="Y164" s="37" t="n"/>
      <c r="Z164" s="10">
        <f>IF(Y164="","",HYPERLINK(IF(LEFT(Y164,4)="http",Y164,set_QwilrBase&amp;Y164),"Open quote"))</f>
        <v/>
      </c>
      <c r="AA164" s="10">
        <f>IF(C164="","",C164)</f>
        <v/>
      </c>
      <c r="AB164" s="37" t="n"/>
      <c r="AC164" s="39" t="n"/>
      <c r="AD164" s="11">
        <f>IF(C164="","",N(L164)+N(AC164))</f>
        <v/>
      </c>
      <c r="AE164" s="43">
        <f>IFERROR(IF(N(AC164)=0,"",AC164/AD164),"")</f>
        <v/>
      </c>
      <c r="AF164" s="39" t="n"/>
      <c r="AG164" s="39" t="n"/>
      <c r="AH164" s="39" t="n"/>
      <c r="AI164" s="39" t="n"/>
      <c r="AJ164" s="11">
        <f>IF(C164="","",IF(H164="VIDEO",N(L164),0))</f>
        <v/>
      </c>
      <c r="AK164" s="43">
        <f>IFERROR(IF(N(L164)=0,"",AJ164/L164),"")</f>
        <v/>
      </c>
      <c r="AL164" s="11">
        <f>IF(C164="","",N(AF164)+N(AG164)+N(AH164)+N(AI164))</f>
        <v/>
      </c>
      <c r="AM164" s="11">
        <f>IF(C164="","",MAX(N(L164),N(O164))-N(AL164))</f>
        <v/>
      </c>
      <c r="AN164" s="43">
        <f>IFERROR(IF(MAX(N(L164),N(O164))=0,"",AM164/MAX(N(L164),N(O164))),"")</f>
        <v/>
      </c>
      <c r="AO164" s="41" t="n"/>
      <c r="AP164" s="41" t="n"/>
      <c r="AQ164" s="41" t="n"/>
      <c r="AR164" s="41" t="n"/>
      <c r="AS164" s="41" t="n"/>
      <c r="AT164" s="37" t="n"/>
      <c r="AU164" s="10" t="inlineStr">
        <is>
          <t>PRD-0160</t>
        </is>
      </c>
    </row>
    <row r="165">
      <c r="A165" s="16">
        <f>IF($C165="","",IFERROR(IF(INDEX(tbl_Finance[Latest Invoice Date],MATCH($AU165,tbl_Finance[Row ID],0))="","",INDEX(tbl_Finance[Latest Invoice Date],MATCH($AU165,tbl_Finance[Row ID],0))),""))</f>
        <v/>
      </c>
      <c r="B165" s="10">
        <f>IF($C165="","",IFERROR(INDEX(tbl_Finance[Invoice Numbers],MATCH($AU165,tbl_Finance[Row ID],0))&amp;"",""))</f>
        <v/>
      </c>
      <c r="C165" s="37" t="n"/>
      <c r="D165" s="10">
        <f>IF($C165="","",IF(COUNTIF(lst_Jobs,$C165&amp;"")&gt;0,"OK","CHECK"))</f>
        <v/>
      </c>
      <c r="E165" s="10">
        <f>IF($C165="","",IFERROR(INDEX(lst_JobName,MATCH($C165&amp;"",lst_Jobs,0)),""))</f>
        <v/>
      </c>
      <c r="F165" s="37" t="n"/>
      <c r="G165" s="37" t="n"/>
      <c r="H165" s="37" t="n"/>
      <c r="I165" s="37" t="n"/>
      <c r="J165" s="37" t="n"/>
      <c r="K165" s="38">
        <f>IF($C165="","",IFERROR(N(INDEX(tbl_Finance[Invoice Count],MATCH($AU165,tbl_Finance[Row ID],0))),""))</f>
        <v/>
      </c>
      <c r="L165" s="11">
        <f>IF($C165="","",IFERROR(N(INDEX(tbl_Finance[Xero Invoiced Ex GST],MATCH($AU165,tbl_Finance[Row ID],0))),""))</f>
        <v/>
      </c>
      <c r="M165" s="10">
        <f>IF($C165="","",IFERROR(INDEX(tbl_Finance[Compare],MATCH($AU165,tbl_Finance[Row ID],0))&amp;"",""))</f>
        <v/>
      </c>
      <c r="N165" s="11">
        <f>IF($C165="","",MAX(0,N(O165)-N(L165)))</f>
        <v/>
      </c>
      <c r="O165" s="39" t="n"/>
      <c r="P165" s="40">
        <f>IF($C165="","",IF((IF(F165="",", Client","")&amp;IF(G165="",", Description","")&amp;IF(H165="",", Cost Centre","")&amp;IF(I165="",", Invoice Type","")&amp;IF(J165="",", Tax Code","")&amp;IF(O165="",", Expected Revenue","")&amp;IF(COUNTIF(tbl_Finance[Job Number],$C165&amp;"")&gt;1,", Job number used twice",""))="","Complete","Fix: "&amp;MID(IF(F165="",", Client","")&amp;IF(G165="",", Description","")&amp;IF(H165="",", Cost Centre","")&amp;IF(I165="",", Invoice Type","")&amp;IF(J165="",", Tax Code","")&amp;IF(O165="",", Expected Revenue","")&amp;IF(COUNTIF(tbl_Finance[Job Number],$C165&amp;"")&gt;1,", Job number used twice",""),3,300)))</f>
        <v/>
      </c>
      <c r="Q165" s="10">
        <f>IF($C165="","",IF(H165="","(no cost centre)",H165&amp;" - GL "&amp;IFERROR(INDEX(lst_CCtoGL,MATCH(H165,lst_CCforGL,0)),"?")))</f>
        <v/>
      </c>
      <c r="R165" s="11">
        <f>IF($C165="","",IFERROR(N(INDEX(tbl_Finance[Inc GST],MATCH($AU165,tbl_Finance[Row ID],0))),""))</f>
        <v/>
      </c>
      <c r="S165" s="37" t="n"/>
      <c r="T165" s="37" t="n"/>
      <c r="U165" s="37" t="n"/>
      <c r="V165" s="42" t="n"/>
      <c r="W165" s="37" t="n"/>
      <c r="X165" s="10">
        <f>IF(W165="","",IF(AND(LEFT(W165,4)&lt;&gt;"http",set_RMSBase=""),"",HYPERLINK(IF(LEFT(W165,4)="http",W165,set_RMSBase&amp;W165),"Open in RMS")))</f>
        <v/>
      </c>
      <c r="Y165" s="37" t="n"/>
      <c r="Z165" s="10">
        <f>IF(Y165="","",HYPERLINK(IF(LEFT(Y165,4)="http",Y165,set_QwilrBase&amp;Y165),"Open quote"))</f>
        <v/>
      </c>
      <c r="AA165" s="10">
        <f>IF(C165="","",C165)</f>
        <v/>
      </c>
      <c r="AB165" s="37" t="n"/>
      <c r="AC165" s="39" t="n"/>
      <c r="AD165" s="11">
        <f>IF(C165="","",N(L165)+N(AC165))</f>
        <v/>
      </c>
      <c r="AE165" s="43">
        <f>IFERROR(IF(N(AC165)=0,"",AC165/AD165),"")</f>
        <v/>
      </c>
      <c r="AF165" s="39" t="n"/>
      <c r="AG165" s="39" t="n"/>
      <c r="AH165" s="39" t="n"/>
      <c r="AI165" s="39" t="n"/>
      <c r="AJ165" s="11">
        <f>IF(C165="","",IF(H165="VIDEO",N(L165),0))</f>
        <v/>
      </c>
      <c r="AK165" s="43">
        <f>IFERROR(IF(N(L165)=0,"",AJ165/L165),"")</f>
        <v/>
      </c>
      <c r="AL165" s="11">
        <f>IF(C165="","",N(AF165)+N(AG165)+N(AH165)+N(AI165))</f>
        <v/>
      </c>
      <c r="AM165" s="11">
        <f>IF(C165="","",MAX(N(L165),N(O165))-N(AL165))</f>
        <v/>
      </c>
      <c r="AN165" s="43">
        <f>IFERROR(IF(MAX(N(L165),N(O165))=0,"",AM165/MAX(N(L165),N(O165))),"")</f>
        <v/>
      </c>
      <c r="AO165" s="41" t="n"/>
      <c r="AP165" s="41" t="n"/>
      <c r="AQ165" s="41" t="n"/>
      <c r="AR165" s="41" t="n"/>
      <c r="AS165" s="41" t="n"/>
      <c r="AT165" s="37" t="n"/>
      <c r="AU165" s="10" t="inlineStr">
        <is>
          <t>PRD-0161</t>
        </is>
      </c>
    </row>
    <row r="166">
      <c r="A166" s="16">
        <f>IF($C166="","",IFERROR(IF(INDEX(tbl_Finance[Latest Invoice Date],MATCH($AU166,tbl_Finance[Row ID],0))="","",INDEX(tbl_Finance[Latest Invoice Date],MATCH($AU166,tbl_Finance[Row ID],0))),""))</f>
        <v/>
      </c>
      <c r="B166" s="10">
        <f>IF($C166="","",IFERROR(INDEX(tbl_Finance[Invoice Numbers],MATCH($AU166,tbl_Finance[Row ID],0))&amp;"",""))</f>
        <v/>
      </c>
      <c r="C166" s="37" t="n"/>
      <c r="D166" s="10">
        <f>IF($C166="","",IF(COUNTIF(lst_Jobs,$C166&amp;"")&gt;0,"OK","CHECK"))</f>
        <v/>
      </c>
      <c r="E166" s="10">
        <f>IF($C166="","",IFERROR(INDEX(lst_JobName,MATCH($C166&amp;"",lst_Jobs,0)),""))</f>
        <v/>
      </c>
      <c r="F166" s="37" t="n"/>
      <c r="G166" s="37" t="n"/>
      <c r="H166" s="37" t="n"/>
      <c r="I166" s="37" t="n"/>
      <c r="J166" s="37" t="n"/>
      <c r="K166" s="38">
        <f>IF($C166="","",IFERROR(N(INDEX(tbl_Finance[Invoice Count],MATCH($AU166,tbl_Finance[Row ID],0))),""))</f>
        <v/>
      </c>
      <c r="L166" s="11">
        <f>IF($C166="","",IFERROR(N(INDEX(tbl_Finance[Xero Invoiced Ex GST],MATCH($AU166,tbl_Finance[Row ID],0))),""))</f>
        <v/>
      </c>
      <c r="M166" s="10">
        <f>IF($C166="","",IFERROR(INDEX(tbl_Finance[Compare],MATCH($AU166,tbl_Finance[Row ID],0))&amp;"",""))</f>
        <v/>
      </c>
      <c r="N166" s="11">
        <f>IF($C166="","",MAX(0,N(O166)-N(L166)))</f>
        <v/>
      </c>
      <c r="O166" s="39" t="n"/>
      <c r="P166" s="40">
        <f>IF($C166="","",IF((IF(F166="",", Client","")&amp;IF(G166="",", Description","")&amp;IF(H166="",", Cost Centre","")&amp;IF(I166="",", Invoice Type","")&amp;IF(J166="",", Tax Code","")&amp;IF(O166="",", Expected Revenue","")&amp;IF(COUNTIF(tbl_Finance[Job Number],$C166&amp;"")&gt;1,", Job number used twice",""))="","Complete","Fix: "&amp;MID(IF(F166="",", Client","")&amp;IF(G166="",", Description","")&amp;IF(H166="",", Cost Centre","")&amp;IF(I166="",", Invoice Type","")&amp;IF(J166="",", Tax Code","")&amp;IF(O166="",", Expected Revenue","")&amp;IF(COUNTIF(tbl_Finance[Job Number],$C166&amp;"")&gt;1,", Job number used twice",""),3,300)))</f>
        <v/>
      </c>
      <c r="Q166" s="10">
        <f>IF($C166="","",IF(H166="","(no cost centre)",H166&amp;" - GL "&amp;IFERROR(INDEX(lst_CCtoGL,MATCH(H166,lst_CCforGL,0)),"?")))</f>
        <v/>
      </c>
      <c r="R166" s="11">
        <f>IF($C166="","",IFERROR(N(INDEX(tbl_Finance[Inc GST],MATCH($AU166,tbl_Finance[Row ID],0))),""))</f>
        <v/>
      </c>
      <c r="S166" s="37" t="n"/>
      <c r="T166" s="37" t="n"/>
      <c r="U166" s="37" t="n"/>
      <c r="V166" s="42" t="n"/>
      <c r="W166" s="37" t="n"/>
      <c r="X166" s="10">
        <f>IF(W166="","",IF(AND(LEFT(W166,4)&lt;&gt;"http",set_RMSBase=""),"",HYPERLINK(IF(LEFT(W166,4)="http",W166,set_RMSBase&amp;W166),"Open in RMS")))</f>
        <v/>
      </c>
      <c r="Y166" s="37" t="n"/>
      <c r="Z166" s="10">
        <f>IF(Y166="","",HYPERLINK(IF(LEFT(Y166,4)="http",Y166,set_QwilrBase&amp;Y166),"Open quote"))</f>
        <v/>
      </c>
      <c r="AA166" s="10">
        <f>IF(C166="","",C166)</f>
        <v/>
      </c>
      <c r="AB166" s="37" t="n"/>
      <c r="AC166" s="39" t="n"/>
      <c r="AD166" s="11">
        <f>IF(C166="","",N(L166)+N(AC166))</f>
        <v/>
      </c>
      <c r="AE166" s="43">
        <f>IFERROR(IF(N(AC166)=0,"",AC166/AD166),"")</f>
        <v/>
      </c>
      <c r="AF166" s="39" t="n"/>
      <c r="AG166" s="39" t="n"/>
      <c r="AH166" s="39" t="n"/>
      <c r="AI166" s="39" t="n"/>
      <c r="AJ166" s="11">
        <f>IF(C166="","",IF(H166="VIDEO",N(L166),0))</f>
        <v/>
      </c>
      <c r="AK166" s="43">
        <f>IFERROR(IF(N(L166)=0,"",AJ166/L166),"")</f>
        <v/>
      </c>
      <c r="AL166" s="11">
        <f>IF(C166="","",N(AF166)+N(AG166)+N(AH166)+N(AI166))</f>
        <v/>
      </c>
      <c r="AM166" s="11">
        <f>IF(C166="","",MAX(N(L166),N(O166))-N(AL166))</f>
        <v/>
      </c>
      <c r="AN166" s="43">
        <f>IFERROR(IF(MAX(N(L166),N(O166))=0,"",AM166/MAX(N(L166),N(O166))),"")</f>
        <v/>
      </c>
      <c r="AO166" s="41" t="n"/>
      <c r="AP166" s="41" t="n"/>
      <c r="AQ166" s="41" t="n"/>
      <c r="AR166" s="41" t="n"/>
      <c r="AS166" s="41" t="n"/>
      <c r="AT166" s="37" t="n"/>
      <c r="AU166" s="10" t="inlineStr">
        <is>
          <t>PRD-0162</t>
        </is>
      </c>
    </row>
    <row r="167">
      <c r="A167" s="16">
        <f>IF($C167="","",IFERROR(IF(INDEX(tbl_Finance[Latest Invoice Date],MATCH($AU167,tbl_Finance[Row ID],0))="","",INDEX(tbl_Finance[Latest Invoice Date],MATCH($AU167,tbl_Finance[Row ID],0))),""))</f>
        <v/>
      </c>
      <c r="B167" s="10">
        <f>IF($C167="","",IFERROR(INDEX(tbl_Finance[Invoice Numbers],MATCH($AU167,tbl_Finance[Row ID],0))&amp;"",""))</f>
        <v/>
      </c>
      <c r="C167" s="37" t="n"/>
      <c r="D167" s="10">
        <f>IF($C167="","",IF(COUNTIF(lst_Jobs,$C167&amp;"")&gt;0,"OK","CHECK"))</f>
        <v/>
      </c>
      <c r="E167" s="10">
        <f>IF($C167="","",IFERROR(INDEX(lst_JobName,MATCH($C167&amp;"",lst_Jobs,0)),""))</f>
        <v/>
      </c>
      <c r="F167" s="37" t="n"/>
      <c r="G167" s="37" t="n"/>
      <c r="H167" s="37" t="n"/>
      <c r="I167" s="37" t="n"/>
      <c r="J167" s="37" t="n"/>
      <c r="K167" s="38">
        <f>IF($C167="","",IFERROR(N(INDEX(tbl_Finance[Invoice Count],MATCH($AU167,tbl_Finance[Row ID],0))),""))</f>
        <v/>
      </c>
      <c r="L167" s="11">
        <f>IF($C167="","",IFERROR(N(INDEX(tbl_Finance[Xero Invoiced Ex GST],MATCH($AU167,tbl_Finance[Row ID],0))),""))</f>
        <v/>
      </c>
      <c r="M167" s="10">
        <f>IF($C167="","",IFERROR(INDEX(tbl_Finance[Compare],MATCH($AU167,tbl_Finance[Row ID],0))&amp;"",""))</f>
        <v/>
      </c>
      <c r="N167" s="11">
        <f>IF($C167="","",MAX(0,N(O167)-N(L167)))</f>
        <v/>
      </c>
      <c r="O167" s="39" t="n"/>
      <c r="P167" s="40">
        <f>IF($C167="","",IF((IF(F167="",", Client","")&amp;IF(G167="",", Description","")&amp;IF(H167="",", Cost Centre","")&amp;IF(I167="",", Invoice Type","")&amp;IF(J167="",", Tax Code","")&amp;IF(O167="",", Expected Revenue","")&amp;IF(COUNTIF(tbl_Finance[Job Number],$C167&amp;"")&gt;1,", Job number used twice",""))="","Complete","Fix: "&amp;MID(IF(F167="",", Client","")&amp;IF(G167="",", Description","")&amp;IF(H167="",", Cost Centre","")&amp;IF(I167="",", Invoice Type","")&amp;IF(J167="",", Tax Code","")&amp;IF(O167="",", Expected Revenue","")&amp;IF(COUNTIF(tbl_Finance[Job Number],$C167&amp;"")&gt;1,", Job number used twice",""),3,300)))</f>
        <v/>
      </c>
      <c r="Q167" s="10">
        <f>IF($C167="","",IF(H167="","(no cost centre)",H167&amp;" - GL "&amp;IFERROR(INDEX(lst_CCtoGL,MATCH(H167,lst_CCforGL,0)),"?")))</f>
        <v/>
      </c>
      <c r="R167" s="11">
        <f>IF($C167="","",IFERROR(N(INDEX(tbl_Finance[Inc GST],MATCH($AU167,tbl_Finance[Row ID],0))),""))</f>
        <v/>
      </c>
      <c r="S167" s="37" t="n"/>
      <c r="T167" s="37" t="n"/>
      <c r="U167" s="37" t="n"/>
      <c r="V167" s="42" t="n"/>
      <c r="W167" s="37" t="n"/>
      <c r="X167" s="10">
        <f>IF(W167="","",IF(AND(LEFT(W167,4)&lt;&gt;"http",set_RMSBase=""),"",HYPERLINK(IF(LEFT(W167,4)="http",W167,set_RMSBase&amp;W167),"Open in RMS")))</f>
        <v/>
      </c>
      <c r="Y167" s="37" t="n"/>
      <c r="Z167" s="10">
        <f>IF(Y167="","",HYPERLINK(IF(LEFT(Y167,4)="http",Y167,set_QwilrBase&amp;Y167),"Open quote"))</f>
        <v/>
      </c>
      <c r="AA167" s="10">
        <f>IF(C167="","",C167)</f>
        <v/>
      </c>
      <c r="AB167" s="37" t="n"/>
      <c r="AC167" s="39" t="n"/>
      <c r="AD167" s="11">
        <f>IF(C167="","",N(L167)+N(AC167))</f>
        <v/>
      </c>
      <c r="AE167" s="43">
        <f>IFERROR(IF(N(AC167)=0,"",AC167/AD167),"")</f>
        <v/>
      </c>
      <c r="AF167" s="39" t="n"/>
      <c r="AG167" s="39" t="n"/>
      <c r="AH167" s="39" t="n"/>
      <c r="AI167" s="39" t="n"/>
      <c r="AJ167" s="11">
        <f>IF(C167="","",IF(H167="VIDEO",N(L167),0))</f>
        <v/>
      </c>
      <c r="AK167" s="43">
        <f>IFERROR(IF(N(L167)=0,"",AJ167/L167),"")</f>
        <v/>
      </c>
      <c r="AL167" s="11">
        <f>IF(C167="","",N(AF167)+N(AG167)+N(AH167)+N(AI167))</f>
        <v/>
      </c>
      <c r="AM167" s="11">
        <f>IF(C167="","",MAX(N(L167),N(O167))-N(AL167))</f>
        <v/>
      </c>
      <c r="AN167" s="43">
        <f>IFERROR(IF(MAX(N(L167),N(O167))=0,"",AM167/MAX(N(L167),N(O167))),"")</f>
        <v/>
      </c>
      <c r="AO167" s="41" t="n"/>
      <c r="AP167" s="41" t="n"/>
      <c r="AQ167" s="41" t="n"/>
      <c r="AR167" s="41" t="n"/>
      <c r="AS167" s="41" t="n"/>
      <c r="AT167" s="37" t="n"/>
      <c r="AU167" s="10" t="inlineStr">
        <is>
          <t>PRD-0163</t>
        </is>
      </c>
    </row>
    <row r="168">
      <c r="A168" s="16">
        <f>IF($C168="","",IFERROR(IF(INDEX(tbl_Finance[Latest Invoice Date],MATCH($AU168,tbl_Finance[Row ID],0))="","",INDEX(tbl_Finance[Latest Invoice Date],MATCH($AU168,tbl_Finance[Row ID],0))),""))</f>
        <v/>
      </c>
      <c r="B168" s="10">
        <f>IF($C168="","",IFERROR(INDEX(tbl_Finance[Invoice Numbers],MATCH($AU168,tbl_Finance[Row ID],0))&amp;"",""))</f>
        <v/>
      </c>
      <c r="C168" s="37" t="n"/>
      <c r="D168" s="10">
        <f>IF($C168="","",IF(COUNTIF(lst_Jobs,$C168&amp;"")&gt;0,"OK","CHECK"))</f>
        <v/>
      </c>
      <c r="E168" s="10">
        <f>IF($C168="","",IFERROR(INDEX(lst_JobName,MATCH($C168&amp;"",lst_Jobs,0)),""))</f>
        <v/>
      </c>
      <c r="F168" s="37" t="n"/>
      <c r="G168" s="37" t="n"/>
      <c r="H168" s="37" t="n"/>
      <c r="I168" s="37" t="n"/>
      <c r="J168" s="37" t="n"/>
      <c r="K168" s="38">
        <f>IF($C168="","",IFERROR(N(INDEX(tbl_Finance[Invoice Count],MATCH($AU168,tbl_Finance[Row ID],0))),""))</f>
        <v/>
      </c>
      <c r="L168" s="11">
        <f>IF($C168="","",IFERROR(N(INDEX(tbl_Finance[Xero Invoiced Ex GST],MATCH($AU168,tbl_Finance[Row ID],0))),""))</f>
        <v/>
      </c>
      <c r="M168" s="10">
        <f>IF($C168="","",IFERROR(INDEX(tbl_Finance[Compare],MATCH($AU168,tbl_Finance[Row ID],0))&amp;"",""))</f>
        <v/>
      </c>
      <c r="N168" s="11">
        <f>IF($C168="","",MAX(0,N(O168)-N(L168)))</f>
        <v/>
      </c>
      <c r="O168" s="39" t="n"/>
      <c r="P168" s="40">
        <f>IF($C168="","",IF((IF(F168="",", Client","")&amp;IF(G168="",", Description","")&amp;IF(H168="",", Cost Centre","")&amp;IF(I168="",", Invoice Type","")&amp;IF(J168="",", Tax Code","")&amp;IF(O168="",", Expected Revenue","")&amp;IF(COUNTIF(tbl_Finance[Job Number],$C168&amp;"")&gt;1,", Job number used twice",""))="","Complete","Fix: "&amp;MID(IF(F168="",", Client","")&amp;IF(G168="",", Description","")&amp;IF(H168="",", Cost Centre","")&amp;IF(I168="",", Invoice Type","")&amp;IF(J168="",", Tax Code","")&amp;IF(O168="",", Expected Revenue","")&amp;IF(COUNTIF(tbl_Finance[Job Number],$C168&amp;"")&gt;1,", Job number used twice",""),3,300)))</f>
        <v/>
      </c>
      <c r="Q168" s="10">
        <f>IF($C168="","",IF(H168="","(no cost centre)",H168&amp;" - GL "&amp;IFERROR(INDEX(lst_CCtoGL,MATCH(H168,lst_CCforGL,0)),"?")))</f>
        <v/>
      </c>
      <c r="R168" s="11">
        <f>IF($C168="","",IFERROR(N(INDEX(tbl_Finance[Inc GST],MATCH($AU168,tbl_Finance[Row ID],0))),""))</f>
        <v/>
      </c>
      <c r="S168" s="37" t="n"/>
      <c r="T168" s="37" t="n"/>
      <c r="U168" s="37" t="n"/>
      <c r="V168" s="42" t="n"/>
      <c r="W168" s="37" t="n"/>
      <c r="X168" s="10">
        <f>IF(W168="","",IF(AND(LEFT(W168,4)&lt;&gt;"http",set_RMSBase=""),"",HYPERLINK(IF(LEFT(W168,4)="http",W168,set_RMSBase&amp;W168),"Open in RMS")))</f>
        <v/>
      </c>
      <c r="Y168" s="37" t="n"/>
      <c r="Z168" s="10">
        <f>IF(Y168="","",HYPERLINK(IF(LEFT(Y168,4)="http",Y168,set_QwilrBase&amp;Y168),"Open quote"))</f>
        <v/>
      </c>
      <c r="AA168" s="10">
        <f>IF(C168="","",C168)</f>
        <v/>
      </c>
      <c r="AB168" s="37" t="n"/>
      <c r="AC168" s="39" t="n"/>
      <c r="AD168" s="11">
        <f>IF(C168="","",N(L168)+N(AC168))</f>
        <v/>
      </c>
      <c r="AE168" s="43">
        <f>IFERROR(IF(N(AC168)=0,"",AC168/AD168),"")</f>
        <v/>
      </c>
      <c r="AF168" s="39" t="n"/>
      <c r="AG168" s="39" t="n"/>
      <c r="AH168" s="39" t="n"/>
      <c r="AI168" s="39" t="n"/>
      <c r="AJ168" s="11">
        <f>IF(C168="","",IF(H168="VIDEO",N(L168),0))</f>
        <v/>
      </c>
      <c r="AK168" s="43">
        <f>IFERROR(IF(N(L168)=0,"",AJ168/L168),"")</f>
        <v/>
      </c>
      <c r="AL168" s="11">
        <f>IF(C168="","",N(AF168)+N(AG168)+N(AH168)+N(AI168))</f>
        <v/>
      </c>
      <c r="AM168" s="11">
        <f>IF(C168="","",MAX(N(L168),N(O168))-N(AL168))</f>
        <v/>
      </c>
      <c r="AN168" s="43">
        <f>IFERROR(IF(MAX(N(L168),N(O168))=0,"",AM168/MAX(N(L168),N(O168))),"")</f>
        <v/>
      </c>
      <c r="AO168" s="41" t="n"/>
      <c r="AP168" s="41" t="n"/>
      <c r="AQ168" s="41" t="n"/>
      <c r="AR168" s="41" t="n"/>
      <c r="AS168" s="41" t="n"/>
      <c r="AT168" s="37" t="n"/>
      <c r="AU168" s="10" t="inlineStr">
        <is>
          <t>PRD-0164</t>
        </is>
      </c>
    </row>
    <row r="169">
      <c r="A169" s="16">
        <f>IF($C169="","",IFERROR(IF(INDEX(tbl_Finance[Latest Invoice Date],MATCH($AU169,tbl_Finance[Row ID],0))="","",INDEX(tbl_Finance[Latest Invoice Date],MATCH($AU169,tbl_Finance[Row ID],0))),""))</f>
        <v/>
      </c>
      <c r="B169" s="10">
        <f>IF($C169="","",IFERROR(INDEX(tbl_Finance[Invoice Numbers],MATCH($AU169,tbl_Finance[Row ID],0))&amp;"",""))</f>
        <v/>
      </c>
      <c r="C169" s="37" t="n"/>
      <c r="D169" s="10">
        <f>IF($C169="","",IF(COUNTIF(lst_Jobs,$C169&amp;"")&gt;0,"OK","CHECK"))</f>
        <v/>
      </c>
      <c r="E169" s="10">
        <f>IF($C169="","",IFERROR(INDEX(lst_JobName,MATCH($C169&amp;"",lst_Jobs,0)),""))</f>
        <v/>
      </c>
      <c r="F169" s="37" t="n"/>
      <c r="G169" s="37" t="n"/>
      <c r="H169" s="37" t="n"/>
      <c r="I169" s="37" t="n"/>
      <c r="J169" s="37" t="n"/>
      <c r="K169" s="38">
        <f>IF($C169="","",IFERROR(N(INDEX(tbl_Finance[Invoice Count],MATCH($AU169,tbl_Finance[Row ID],0))),""))</f>
        <v/>
      </c>
      <c r="L169" s="11">
        <f>IF($C169="","",IFERROR(N(INDEX(tbl_Finance[Xero Invoiced Ex GST],MATCH($AU169,tbl_Finance[Row ID],0))),""))</f>
        <v/>
      </c>
      <c r="M169" s="10">
        <f>IF($C169="","",IFERROR(INDEX(tbl_Finance[Compare],MATCH($AU169,tbl_Finance[Row ID],0))&amp;"",""))</f>
        <v/>
      </c>
      <c r="N169" s="11">
        <f>IF($C169="","",MAX(0,N(O169)-N(L169)))</f>
        <v/>
      </c>
      <c r="O169" s="39" t="n"/>
      <c r="P169" s="40">
        <f>IF($C169="","",IF((IF(F169="",", Client","")&amp;IF(G169="",", Description","")&amp;IF(H169="",", Cost Centre","")&amp;IF(I169="",", Invoice Type","")&amp;IF(J169="",", Tax Code","")&amp;IF(O169="",", Expected Revenue","")&amp;IF(COUNTIF(tbl_Finance[Job Number],$C169&amp;"")&gt;1,", Job number used twice",""))="","Complete","Fix: "&amp;MID(IF(F169="",", Client","")&amp;IF(G169="",", Description","")&amp;IF(H169="",", Cost Centre","")&amp;IF(I169="",", Invoice Type","")&amp;IF(J169="",", Tax Code","")&amp;IF(O169="",", Expected Revenue","")&amp;IF(COUNTIF(tbl_Finance[Job Number],$C169&amp;"")&gt;1,", Job number used twice",""),3,300)))</f>
        <v/>
      </c>
      <c r="Q169" s="10">
        <f>IF($C169="","",IF(H169="","(no cost centre)",H169&amp;" - GL "&amp;IFERROR(INDEX(lst_CCtoGL,MATCH(H169,lst_CCforGL,0)),"?")))</f>
        <v/>
      </c>
      <c r="R169" s="11">
        <f>IF($C169="","",IFERROR(N(INDEX(tbl_Finance[Inc GST],MATCH($AU169,tbl_Finance[Row ID],0))),""))</f>
        <v/>
      </c>
      <c r="S169" s="37" t="n"/>
      <c r="T169" s="37" t="n"/>
      <c r="U169" s="37" t="n"/>
      <c r="V169" s="42" t="n"/>
      <c r="W169" s="37" t="n"/>
      <c r="X169" s="10">
        <f>IF(W169="","",IF(AND(LEFT(W169,4)&lt;&gt;"http",set_RMSBase=""),"",HYPERLINK(IF(LEFT(W169,4)="http",W169,set_RMSBase&amp;W169),"Open in RMS")))</f>
        <v/>
      </c>
      <c r="Y169" s="37" t="n"/>
      <c r="Z169" s="10">
        <f>IF(Y169="","",HYPERLINK(IF(LEFT(Y169,4)="http",Y169,set_QwilrBase&amp;Y169),"Open quote"))</f>
        <v/>
      </c>
      <c r="AA169" s="10">
        <f>IF(C169="","",C169)</f>
        <v/>
      </c>
      <c r="AB169" s="37" t="n"/>
      <c r="AC169" s="39" t="n"/>
      <c r="AD169" s="11">
        <f>IF(C169="","",N(L169)+N(AC169))</f>
        <v/>
      </c>
      <c r="AE169" s="43">
        <f>IFERROR(IF(N(AC169)=0,"",AC169/AD169),"")</f>
        <v/>
      </c>
      <c r="AF169" s="39" t="n"/>
      <c r="AG169" s="39" t="n"/>
      <c r="AH169" s="39" t="n"/>
      <c r="AI169" s="39" t="n"/>
      <c r="AJ169" s="11">
        <f>IF(C169="","",IF(H169="VIDEO",N(L169),0))</f>
        <v/>
      </c>
      <c r="AK169" s="43">
        <f>IFERROR(IF(N(L169)=0,"",AJ169/L169),"")</f>
        <v/>
      </c>
      <c r="AL169" s="11">
        <f>IF(C169="","",N(AF169)+N(AG169)+N(AH169)+N(AI169))</f>
        <v/>
      </c>
      <c r="AM169" s="11">
        <f>IF(C169="","",MAX(N(L169),N(O169))-N(AL169))</f>
        <v/>
      </c>
      <c r="AN169" s="43">
        <f>IFERROR(IF(MAX(N(L169),N(O169))=0,"",AM169/MAX(N(L169),N(O169))),"")</f>
        <v/>
      </c>
      <c r="AO169" s="41" t="n"/>
      <c r="AP169" s="41" t="n"/>
      <c r="AQ169" s="41" t="n"/>
      <c r="AR169" s="41" t="n"/>
      <c r="AS169" s="41" t="n"/>
      <c r="AT169" s="37" t="n"/>
      <c r="AU169" s="10" t="inlineStr">
        <is>
          <t>PRD-0165</t>
        </is>
      </c>
    </row>
    <row r="170">
      <c r="A170" s="16">
        <f>IF($C170="","",IFERROR(IF(INDEX(tbl_Finance[Latest Invoice Date],MATCH($AU170,tbl_Finance[Row ID],0))="","",INDEX(tbl_Finance[Latest Invoice Date],MATCH($AU170,tbl_Finance[Row ID],0))),""))</f>
        <v/>
      </c>
      <c r="B170" s="10">
        <f>IF($C170="","",IFERROR(INDEX(tbl_Finance[Invoice Numbers],MATCH($AU170,tbl_Finance[Row ID],0))&amp;"",""))</f>
        <v/>
      </c>
      <c r="C170" s="37" t="n"/>
      <c r="D170" s="10">
        <f>IF($C170="","",IF(COUNTIF(lst_Jobs,$C170&amp;"")&gt;0,"OK","CHECK"))</f>
        <v/>
      </c>
      <c r="E170" s="10">
        <f>IF($C170="","",IFERROR(INDEX(lst_JobName,MATCH($C170&amp;"",lst_Jobs,0)),""))</f>
        <v/>
      </c>
      <c r="F170" s="37" t="n"/>
      <c r="G170" s="37" t="n"/>
      <c r="H170" s="37" t="n"/>
      <c r="I170" s="37" t="n"/>
      <c r="J170" s="37" t="n"/>
      <c r="K170" s="38">
        <f>IF($C170="","",IFERROR(N(INDEX(tbl_Finance[Invoice Count],MATCH($AU170,tbl_Finance[Row ID],0))),""))</f>
        <v/>
      </c>
      <c r="L170" s="11">
        <f>IF($C170="","",IFERROR(N(INDEX(tbl_Finance[Xero Invoiced Ex GST],MATCH($AU170,tbl_Finance[Row ID],0))),""))</f>
        <v/>
      </c>
      <c r="M170" s="10">
        <f>IF($C170="","",IFERROR(INDEX(tbl_Finance[Compare],MATCH($AU170,tbl_Finance[Row ID],0))&amp;"",""))</f>
        <v/>
      </c>
      <c r="N170" s="11">
        <f>IF($C170="","",MAX(0,N(O170)-N(L170)))</f>
        <v/>
      </c>
      <c r="O170" s="39" t="n"/>
      <c r="P170" s="40">
        <f>IF($C170="","",IF((IF(F170="",", Client","")&amp;IF(G170="",", Description","")&amp;IF(H170="",", Cost Centre","")&amp;IF(I170="",", Invoice Type","")&amp;IF(J170="",", Tax Code","")&amp;IF(O170="",", Expected Revenue","")&amp;IF(COUNTIF(tbl_Finance[Job Number],$C170&amp;"")&gt;1,", Job number used twice",""))="","Complete","Fix: "&amp;MID(IF(F170="",", Client","")&amp;IF(G170="",", Description","")&amp;IF(H170="",", Cost Centre","")&amp;IF(I170="",", Invoice Type","")&amp;IF(J170="",", Tax Code","")&amp;IF(O170="",", Expected Revenue","")&amp;IF(COUNTIF(tbl_Finance[Job Number],$C170&amp;"")&gt;1,", Job number used twice",""),3,300)))</f>
        <v/>
      </c>
      <c r="Q170" s="10">
        <f>IF($C170="","",IF(H170="","(no cost centre)",H170&amp;" - GL "&amp;IFERROR(INDEX(lst_CCtoGL,MATCH(H170,lst_CCforGL,0)),"?")))</f>
        <v/>
      </c>
      <c r="R170" s="11">
        <f>IF($C170="","",IFERROR(N(INDEX(tbl_Finance[Inc GST],MATCH($AU170,tbl_Finance[Row ID],0))),""))</f>
        <v/>
      </c>
      <c r="S170" s="37" t="n"/>
      <c r="T170" s="37" t="n"/>
      <c r="U170" s="37" t="n"/>
      <c r="V170" s="42" t="n"/>
      <c r="W170" s="37" t="n"/>
      <c r="X170" s="10">
        <f>IF(W170="","",IF(AND(LEFT(W170,4)&lt;&gt;"http",set_RMSBase=""),"",HYPERLINK(IF(LEFT(W170,4)="http",W170,set_RMSBase&amp;W170),"Open in RMS")))</f>
        <v/>
      </c>
      <c r="Y170" s="37" t="n"/>
      <c r="Z170" s="10">
        <f>IF(Y170="","",HYPERLINK(IF(LEFT(Y170,4)="http",Y170,set_QwilrBase&amp;Y170),"Open quote"))</f>
        <v/>
      </c>
      <c r="AA170" s="10">
        <f>IF(C170="","",C170)</f>
        <v/>
      </c>
      <c r="AB170" s="37" t="n"/>
      <c r="AC170" s="39" t="n"/>
      <c r="AD170" s="11">
        <f>IF(C170="","",N(L170)+N(AC170))</f>
        <v/>
      </c>
      <c r="AE170" s="43">
        <f>IFERROR(IF(N(AC170)=0,"",AC170/AD170),"")</f>
        <v/>
      </c>
      <c r="AF170" s="39" t="n"/>
      <c r="AG170" s="39" t="n"/>
      <c r="AH170" s="39" t="n"/>
      <c r="AI170" s="39" t="n"/>
      <c r="AJ170" s="11">
        <f>IF(C170="","",IF(H170="VIDEO",N(L170),0))</f>
        <v/>
      </c>
      <c r="AK170" s="43">
        <f>IFERROR(IF(N(L170)=0,"",AJ170/L170),"")</f>
        <v/>
      </c>
      <c r="AL170" s="11">
        <f>IF(C170="","",N(AF170)+N(AG170)+N(AH170)+N(AI170))</f>
        <v/>
      </c>
      <c r="AM170" s="11">
        <f>IF(C170="","",MAX(N(L170),N(O170))-N(AL170))</f>
        <v/>
      </c>
      <c r="AN170" s="43">
        <f>IFERROR(IF(MAX(N(L170),N(O170))=0,"",AM170/MAX(N(L170),N(O170))),"")</f>
        <v/>
      </c>
      <c r="AO170" s="41" t="n"/>
      <c r="AP170" s="41" t="n"/>
      <c r="AQ170" s="41" t="n"/>
      <c r="AR170" s="41" t="n"/>
      <c r="AS170" s="41" t="n"/>
      <c r="AT170" s="37" t="n"/>
      <c r="AU170" s="10" t="inlineStr">
        <is>
          <t>PRD-0166</t>
        </is>
      </c>
    </row>
    <row r="171">
      <c r="A171" s="16">
        <f>IF($C171="","",IFERROR(IF(INDEX(tbl_Finance[Latest Invoice Date],MATCH($AU171,tbl_Finance[Row ID],0))="","",INDEX(tbl_Finance[Latest Invoice Date],MATCH($AU171,tbl_Finance[Row ID],0))),""))</f>
        <v/>
      </c>
      <c r="B171" s="10">
        <f>IF($C171="","",IFERROR(INDEX(tbl_Finance[Invoice Numbers],MATCH($AU171,tbl_Finance[Row ID],0))&amp;"",""))</f>
        <v/>
      </c>
      <c r="C171" s="37" t="n"/>
      <c r="D171" s="10">
        <f>IF($C171="","",IF(COUNTIF(lst_Jobs,$C171&amp;"")&gt;0,"OK","CHECK"))</f>
        <v/>
      </c>
      <c r="E171" s="10">
        <f>IF($C171="","",IFERROR(INDEX(lst_JobName,MATCH($C171&amp;"",lst_Jobs,0)),""))</f>
        <v/>
      </c>
      <c r="F171" s="37" t="n"/>
      <c r="G171" s="37" t="n"/>
      <c r="H171" s="37" t="n"/>
      <c r="I171" s="37" t="n"/>
      <c r="J171" s="37" t="n"/>
      <c r="K171" s="38">
        <f>IF($C171="","",IFERROR(N(INDEX(tbl_Finance[Invoice Count],MATCH($AU171,tbl_Finance[Row ID],0))),""))</f>
        <v/>
      </c>
      <c r="L171" s="11">
        <f>IF($C171="","",IFERROR(N(INDEX(tbl_Finance[Xero Invoiced Ex GST],MATCH($AU171,tbl_Finance[Row ID],0))),""))</f>
        <v/>
      </c>
      <c r="M171" s="10">
        <f>IF($C171="","",IFERROR(INDEX(tbl_Finance[Compare],MATCH($AU171,tbl_Finance[Row ID],0))&amp;"",""))</f>
        <v/>
      </c>
      <c r="N171" s="11">
        <f>IF($C171="","",MAX(0,N(O171)-N(L171)))</f>
        <v/>
      </c>
      <c r="O171" s="39" t="n"/>
      <c r="P171" s="40">
        <f>IF($C171="","",IF((IF(F171="",", Client","")&amp;IF(G171="",", Description","")&amp;IF(H171="",", Cost Centre","")&amp;IF(I171="",", Invoice Type","")&amp;IF(J171="",", Tax Code","")&amp;IF(O171="",", Expected Revenue","")&amp;IF(COUNTIF(tbl_Finance[Job Number],$C171&amp;"")&gt;1,", Job number used twice",""))="","Complete","Fix: "&amp;MID(IF(F171="",", Client","")&amp;IF(G171="",", Description","")&amp;IF(H171="",", Cost Centre","")&amp;IF(I171="",", Invoice Type","")&amp;IF(J171="",", Tax Code","")&amp;IF(O171="",", Expected Revenue","")&amp;IF(COUNTIF(tbl_Finance[Job Number],$C171&amp;"")&gt;1,", Job number used twice",""),3,300)))</f>
        <v/>
      </c>
      <c r="Q171" s="10">
        <f>IF($C171="","",IF(H171="","(no cost centre)",H171&amp;" - GL "&amp;IFERROR(INDEX(lst_CCtoGL,MATCH(H171,lst_CCforGL,0)),"?")))</f>
        <v/>
      </c>
      <c r="R171" s="11">
        <f>IF($C171="","",IFERROR(N(INDEX(tbl_Finance[Inc GST],MATCH($AU171,tbl_Finance[Row ID],0))),""))</f>
        <v/>
      </c>
      <c r="S171" s="37" t="n"/>
      <c r="T171" s="37" t="n"/>
      <c r="U171" s="37" t="n"/>
      <c r="V171" s="42" t="n"/>
      <c r="W171" s="37" t="n"/>
      <c r="X171" s="10">
        <f>IF(W171="","",IF(AND(LEFT(W171,4)&lt;&gt;"http",set_RMSBase=""),"",HYPERLINK(IF(LEFT(W171,4)="http",W171,set_RMSBase&amp;W171),"Open in RMS")))</f>
        <v/>
      </c>
      <c r="Y171" s="37" t="n"/>
      <c r="Z171" s="10">
        <f>IF(Y171="","",HYPERLINK(IF(LEFT(Y171,4)="http",Y171,set_QwilrBase&amp;Y171),"Open quote"))</f>
        <v/>
      </c>
      <c r="AA171" s="10">
        <f>IF(C171="","",C171)</f>
        <v/>
      </c>
      <c r="AB171" s="37" t="n"/>
      <c r="AC171" s="39" t="n"/>
      <c r="AD171" s="11">
        <f>IF(C171="","",N(L171)+N(AC171))</f>
        <v/>
      </c>
      <c r="AE171" s="43">
        <f>IFERROR(IF(N(AC171)=0,"",AC171/AD171),"")</f>
        <v/>
      </c>
      <c r="AF171" s="39" t="n"/>
      <c r="AG171" s="39" t="n"/>
      <c r="AH171" s="39" t="n"/>
      <c r="AI171" s="39" t="n"/>
      <c r="AJ171" s="11">
        <f>IF(C171="","",IF(H171="VIDEO",N(L171),0))</f>
        <v/>
      </c>
      <c r="AK171" s="43">
        <f>IFERROR(IF(N(L171)=0,"",AJ171/L171),"")</f>
        <v/>
      </c>
      <c r="AL171" s="11">
        <f>IF(C171="","",N(AF171)+N(AG171)+N(AH171)+N(AI171))</f>
        <v/>
      </c>
      <c r="AM171" s="11">
        <f>IF(C171="","",MAX(N(L171),N(O171))-N(AL171))</f>
        <v/>
      </c>
      <c r="AN171" s="43">
        <f>IFERROR(IF(MAX(N(L171),N(O171))=0,"",AM171/MAX(N(L171),N(O171))),"")</f>
        <v/>
      </c>
      <c r="AO171" s="41" t="n"/>
      <c r="AP171" s="41" t="n"/>
      <c r="AQ171" s="41" t="n"/>
      <c r="AR171" s="41" t="n"/>
      <c r="AS171" s="41" t="n"/>
      <c r="AT171" s="37" t="n"/>
      <c r="AU171" s="10" t="inlineStr">
        <is>
          <t>PRD-0167</t>
        </is>
      </c>
    </row>
    <row r="172">
      <c r="A172" s="16">
        <f>IF($C172="","",IFERROR(IF(INDEX(tbl_Finance[Latest Invoice Date],MATCH($AU172,tbl_Finance[Row ID],0))="","",INDEX(tbl_Finance[Latest Invoice Date],MATCH($AU172,tbl_Finance[Row ID],0))),""))</f>
        <v/>
      </c>
      <c r="B172" s="10">
        <f>IF($C172="","",IFERROR(INDEX(tbl_Finance[Invoice Numbers],MATCH($AU172,tbl_Finance[Row ID],0))&amp;"",""))</f>
        <v/>
      </c>
      <c r="C172" s="37" t="n"/>
      <c r="D172" s="10">
        <f>IF($C172="","",IF(COUNTIF(lst_Jobs,$C172&amp;"")&gt;0,"OK","CHECK"))</f>
        <v/>
      </c>
      <c r="E172" s="10">
        <f>IF($C172="","",IFERROR(INDEX(lst_JobName,MATCH($C172&amp;"",lst_Jobs,0)),""))</f>
        <v/>
      </c>
      <c r="F172" s="37" t="n"/>
      <c r="G172" s="37" t="n"/>
      <c r="H172" s="37" t="n"/>
      <c r="I172" s="37" t="n"/>
      <c r="J172" s="37" t="n"/>
      <c r="K172" s="38">
        <f>IF($C172="","",IFERROR(N(INDEX(tbl_Finance[Invoice Count],MATCH($AU172,tbl_Finance[Row ID],0))),""))</f>
        <v/>
      </c>
      <c r="L172" s="11">
        <f>IF($C172="","",IFERROR(N(INDEX(tbl_Finance[Xero Invoiced Ex GST],MATCH($AU172,tbl_Finance[Row ID],0))),""))</f>
        <v/>
      </c>
      <c r="M172" s="10">
        <f>IF($C172="","",IFERROR(INDEX(tbl_Finance[Compare],MATCH($AU172,tbl_Finance[Row ID],0))&amp;"",""))</f>
        <v/>
      </c>
      <c r="N172" s="11">
        <f>IF($C172="","",MAX(0,N(O172)-N(L172)))</f>
        <v/>
      </c>
      <c r="O172" s="39" t="n"/>
      <c r="P172" s="40">
        <f>IF($C172="","",IF((IF(F172="",", Client","")&amp;IF(G172="",", Description","")&amp;IF(H172="",", Cost Centre","")&amp;IF(I172="",", Invoice Type","")&amp;IF(J172="",", Tax Code","")&amp;IF(O172="",", Expected Revenue","")&amp;IF(COUNTIF(tbl_Finance[Job Number],$C172&amp;"")&gt;1,", Job number used twice",""))="","Complete","Fix: "&amp;MID(IF(F172="",", Client","")&amp;IF(G172="",", Description","")&amp;IF(H172="",", Cost Centre","")&amp;IF(I172="",", Invoice Type","")&amp;IF(J172="",", Tax Code","")&amp;IF(O172="",", Expected Revenue","")&amp;IF(COUNTIF(tbl_Finance[Job Number],$C172&amp;"")&gt;1,", Job number used twice",""),3,300)))</f>
        <v/>
      </c>
      <c r="Q172" s="10">
        <f>IF($C172="","",IF(H172="","(no cost centre)",H172&amp;" - GL "&amp;IFERROR(INDEX(lst_CCtoGL,MATCH(H172,lst_CCforGL,0)),"?")))</f>
        <v/>
      </c>
      <c r="R172" s="11">
        <f>IF($C172="","",IFERROR(N(INDEX(tbl_Finance[Inc GST],MATCH($AU172,tbl_Finance[Row ID],0))),""))</f>
        <v/>
      </c>
      <c r="S172" s="37" t="n"/>
      <c r="T172" s="37" t="n"/>
      <c r="U172" s="37" t="n"/>
      <c r="V172" s="42" t="n"/>
      <c r="W172" s="37" t="n"/>
      <c r="X172" s="10">
        <f>IF(W172="","",IF(AND(LEFT(W172,4)&lt;&gt;"http",set_RMSBase=""),"",HYPERLINK(IF(LEFT(W172,4)="http",W172,set_RMSBase&amp;W172),"Open in RMS")))</f>
        <v/>
      </c>
      <c r="Y172" s="37" t="n"/>
      <c r="Z172" s="10">
        <f>IF(Y172="","",HYPERLINK(IF(LEFT(Y172,4)="http",Y172,set_QwilrBase&amp;Y172),"Open quote"))</f>
        <v/>
      </c>
      <c r="AA172" s="10">
        <f>IF(C172="","",C172)</f>
        <v/>
      </c>
      <c r="AB172" s="37" t="n"/>
      <c r="AC172" s="39" t="n"/>
      <c r="AD172" s="11">
        <f>IF(C172="","",N(L172)+N(AC172))</f>
        <v/>
      </c>
      <c r="AE172" s="43">
        <f>IFERROR(IF(N(AC172)=0,"",AC172/AD172),"")</f>
        <v/>
      </c>
      <c r="AF172" s="39" t="n"/>
      <c r="AG172" s="39" t="n"/>
      <c r="AH172" s="39" t="n"/>
      <c r="AI172" s="39" t="n"/>
      <c r="AJ172" s="11">
        <f>IF(C172="","",IF(H172="VIDEO",N(L172),0))</f>
        <v/>
      </c>
      <c r="AK172" s="43">
        <f>IFERROR(IF(N(L172)=0,"",AJ172/L172),"")</f>
        <v/>
      </c>
      <c r="AL172" s="11">
        <f>IF(C172="","",N(AF172)+N(AG172)+N(AH172)+N(AI172))</f>
        <v/>
      </c>
      <c r="AM172" s="11">
        <f>IF(C172="","",MAX(N(L172),N(O172))-N(AL172))</f>
        <v/>
      </c>
      <c r="AN172" s="43">
        <f>IFERROR(IF(MAX(N(L172),N(O172))=0,"",AM172/MAX(N(L172),N(O172))),"")</f>
        <v/>
      </c>
      <c r="AO172" s="41" t="n"/>
      <c r="AP172" s="41" t="n"/>
      <c r="AQ172" s="41" t="n"/>
      <c r="AR172" s="41" t="n"/>
      <c r="AS172" s="41" t="n"/>
      <c r="AT172" s="37" t="n"/>
      <c r="AU172" s="10" t="inlineStr">
        <is>
          <t>PRD-0168</t>
        </is>
      </c>
    </row>
    <row r="173">
      <c r="A173" s="16">
        <f>IF($C173="","",IFERROR(IF(INDEX(tbl_Finance[Latest Invoice Date],MATCH($AU173,tbl_Finance[Row ID],0))="","",INDEX(tbl_Finance[Latest Invoice Date],MATCH($AU173,tbl_Finance[Row ID],0))),""))</f>
        <v/>
      </c>
      <c r="B173" s="10">
        <f>IF($C173="","",IFERROR(INDEX(tbl_Finance[Invoice Numbers],MATCH($AU173,tbl_Finance[Row ID],0))&amp;"",""))</f>
        <v/>
      </c>
      <c r="C173" s="37" t="n"/>
      <c r="D173" s="10">
        <f>IF($C173="","",IF(COUNTIF(lst_Jobs,$C173&amp;"")&gt;0,"OK","CHECK"))</f>
        <v/>
      </c>
      <c r="E173" s="10">
        <f>IF($C173="","",IFERROR(INDEX(lst_JobName,MATCH($C173&amp;"",lst_Jobs,0)),""))</f>
        <v/>
      </c>
      <c r="F173" s="37" t="n"/>
      <c r="G173" s="37" t="n"/>
      <c r="H173" s="37" t="n"/>
      <c r="I173" s="37" t="n"/>
      <c r="J173" s="37" t="n"/>
      <c r="K173" s="38">
        <f>IF($C173="","",IFERROR(N(INDEX(tbl_Finance[Invoice Count],MATCH($AU173,tbl_Finance[Row ID],0))),""))</f>
        <v/>
      </c>
      <c r="L173" s="11">
        <f>IF($C173="","",IFERROR(N(INDEX(tbl_Finance[Xero Invoiced Ex GST],MATCH($AU173,tbl_Finance[Row ID],0))),""))</f>
        <v/>
      </c>
      <c r="M173" s="10">
        <f>IF($C173="","",IFERROR(INDEX(tbl_Finance[Compare],MATCH($AU173,tbl_Finance[Row ID],0))&amp;"",""))</f>
        <v/>
      </c>
      <c r="N173" s="11">
        <f>IF($C173="","",MAX(0,N(O173)-N(L173)))</f>
        <v/>
      </c>
      <c r="O173" s="39" t="n"/>
      <c r="P173" s="40">
        <f>IF($C173="","",IF((IF(F173="",", Client","")&amp;IF(G173="",", Description","")&amp;IF(H173="",", Cost Centre","")&amp;IF(I173="",", Invoice Type","")&amp;IF(J173="",", Tax Code","")&amp;IF(O173="",", Expected Revenue","")&amp;IF(COUNTIF(tbl_Finance[Job Number],$C173&amp;"")&gt;1,", Job number used twice",""))="","Complete","Fix: "&amp;MID(IF(F173="",", Client","")&amp;IF(G173="",", Description","")&amp;IF(H173="",", Cost Centre","")&amp;IF(I173="",", Invoice Type","")&amp;IF(J173="",", Tax Code","")&amp;IF(O173="",", Expected Revenue","")&amp;IF(COUNTIF(tbl_Finance[Job Number],$C173&amp;"")&gt;1,", Job number used twice",""),3,300)))</f>
        <v/>
      </c>
      <c r="Q173" s="10">
        <f>IF($C173="","",IF(H173="","(no cost centre)",H173&amp;" - GL "&amp;IFERROR(INDEX(lst_CCtoGL,MATCH(H173,lst_CCforGL,0)),"?")))</f>
        <v/>
      </c>
      <c r="R173" s="11">
        <f>IF($C173="","",IFERROR(N(INDEX(tbl_Finance[Inc GST],MATCH($AU173,tbl_Finance[Row ID],0))),""))</f>
        <v/>
      </c>
      <c r="S173" s="37" t="n"/>
      <c r="T173" s="37" t="n"/>
      <c r="U173" s="37" t="n"/>
      <c r="V173" s="42" t="n"/>
      <c r="W173" s="37" t="n"/>
      <c r="X173" s="10">
        <f>IF(W173="","",IF(AND(LEFT(W173,4)&lt;&gt;"http",set_RMSBase=""),"",HYPERLINK(IF(LEFT(W173,4)="http",W173,set_RMSBase&amp;W173),"Open in RMS")))</f>
        <v/>
      </c>
      <c r="Y173" s="37" t="n"/>
      <c r="Z173" s="10">
        <f>IF(Y173="","",HYPERLINK(IF(LEFT(Y173,4)="http",Y173,set_QwilrBase&amp;Y173),"Open quote"))</f>
        <v/>
      </c>
      <c r="AA173" s="10">
        <f>IF(C173="","",C173)</f>
        <v/>
      </c>
      <c r="AB173" s="37" t="n"/>
      <c r="AC173" s="39" t="n"/>
      <c r="AD173" s="11">
        <f>IF(C173="","",N(L173)+N(AC173))</f>
        <v/>
      </c>
      <c r="AE173" s="43">
        <f>IFERROR(IF(N(AC173)=0,"",AC173/AD173),"")</f>
        <v/>
      </c>
      <c r="AF173" s="39" t="n"/>
      <c r="AG173" s="39" t="n"/>
      <c r="AH173" s="39" t="n"/>
      <c r="AI173" s="39" t="n"/>
      <c r="AJ173" s="11">
        <f>IF(C173="","",IF(H173="VIDEO",N(L173),0))</f>
        <v/>
      </c>
      <c r="AK173" s="43">
        <f>IFERROR(IF(N(L173)=0,"",AJ173/L173),"")</f>
        <v/>
      </c>
      <c r="AL173" s="11">
        <f>IF(C173="","",N(AF173)+N(AG173)+N(AH173)+N(AI173))</f>
        <v/>
      </c>
      <c r="AM173" s="11">
        <f>IF(C173="","",MAX(N(L173),N(O173))-N(AL173))</f>
        <v/>
      </c>
      <c r="AN173" s="43">
        <f>IFERROR(IF(MAX(N(L173),N(O173))=0,"",AM173/MAX(N(L173),N(O173))),"")</f>
        <v/>
      </c>
      <c r="AO173" s="41" t="n"/>
      <c r="AP173" s="41" t="n"/>
      <c r="AQ173" s="41" t="n"/>
      <c r="AR173" s="41" t="n"/>
      <c r="AS173" s="41" t="n"/>
      <c r="AT173" s="37" t="n"/>
      <c r="AU173" s="10" t="inlineStr">
        <is>
          <t>PRD-0169</t>
        </is>
      </c>
    </row>
    <row r="174">
      <c r="A174" s="16">
        <f>IF($C174="","",IFERROR(IF(INDEX(tbl_Finance[Latest Invoice Date],MATCH($AU174,tbl_Finance[Row ID],0))="","",INDEX(tbl_Finance[Latest Invoice Date],MATCH($AU174,tbl_Finance[Row ID],0))),""))</f>
        <v/>
      </c>
      <c r="B174" s="10">
        <f>IF($C174="","",IFERROR(INDEX(tbl_Finance[Invoice Numbers],MATCH($AU174,tbl_Finance[Row ID],0))&amp;"",""))</f>
        <v/>
      </c>
      <c r="C174" s="37" t="n"/>
      <c r="D174" s="10">
        <f>IF($C174="","",IF(COUNTIF(lst_Jobs,$C174&amp;"")&gt;0,"OK","CHECK"))</f>
        <v/>
      </c>
      <c r="E174" s="10">
        <f>IF($C174="","",IFERROR(INDEX(lst_JobName,MATCH($C174&amp;"",lst_Jobs,0)),""))</f>
        <v/>
      </c>
      <c r="F174" s="37" t="n"/>
      <c r="G174" s="37" t="n"/>
      <c r="H174" s="37" t="n"/>
      <c r="I174" s="37" t="n"/>
      <c r="J174" s="37" t="n"/>
      <c r="K174" s="38">
        <f>IF($C174="","",IFERROR(N(INDEX(tbl_Finance[Invoice Count],MATCH($AU174,tbl_Finance[Row ID],0))),""))</f>
        <v/>
      </c>
      <c r="L174" s="11">
        <f>IF($C174="","",IFERROR(N(INDEX(tbl_Finance[Xero Invoiced Ex GST],MATCH($AU174,tbl_Finance[Row ID],0))),""))</f>
        <v/>
      </c>
      <c r="M174" s="10">
        <f>IF($C174="","",IFERROR(INDEX(tbl_Finance[Compare],MATCH($AU174,tbl_Finance[Row ID],0))&amp;"",""))</f>
        <v/>
      </c>
      <c r="N174" s="11">
        <f>IF($C174="","",MAX(0,N(O174)-N(L174)))</f>
        <v/>
      </c>
      <c r="O174" s="39" t="n"/>
      <c r="P174" s="40">
        <f>IF($C174="","",IF((IF(F174="",", Client","")&amp;IF(G174="",", Description","")&amp;IF(H174="",", Cost Centre","")&amp;IF(I174="",", Invoice Type","")&amp;IF(J174="",", Tax Code","")&amp;IF(O174="",", Expected Revenue","")&amp;IF(COUNTIF(tbl_Finance[Job Number],$C174&amp;"")&gt;1,", Job number used twice",""))="","Complete","Fix: "&amp;MID(IF(F174="",", Client","")&amp;IF(G174="",", Description","")&amp;IF(H174="",", Cost Centre","")&amp;IF(I174="",", Invoice Type","")&amp;IF(J174="",", Tax Code","")&amp;IF(O174="",", Expected Revenue","")&amp;IF(COUNTIF(tbl_Finance[Job Number],$C174&amp;"")&gt;1,", Job number used twice",""),3,300)))</f>
        <v/>
      </c>
      <c r="Q174" s="10">
        <f>IF($C174="","",IF(H174="","(no cost centre)",H174&amp;" - GL "&amp;IFERROR(INDEX(lst_CCtoGL,MATCH(H174,lst_CCforGL,0)),"?")))</f>
        <v/>
      </c>
      <c r="R174" s="11">
        <f>IF($C174="","",IFERROR(N(INDEX(tbl_Finance[Inc GST],MATCH($AU174,tbl_Finance[Row ID],0))),""))</f>
        <v/>
      </c>
      <c r="S174" s="37" t="n"/>
      <c r="T174" s="37" t="n"/>
      <c r="U174" s="37" t="n"/>
      <c r="V174" s="42" t="n"/>
      <c r="W174" s="37" t="n"/>
      <c r="X174" s="10">
        <f>IF(W174="","",IF(AND(LEFT(W174,4)&lt;&gt;"http",set_RMSBase=""),"",HYPERLINK(IF(LEFT(W174,4)="http",W174,set_RMSBase&amp;W174),"Open in RMS")))</f>
        <v/>
      </c>
      <c r="Y174" s="37" t="n"/>
      <c r="Z174" s="10">
        <f>IF(Y174="","",HYPERLINK(IF(LEFT(Y174,4)="http",Y174,set_QwilrBase&amp;Y174),"Open quote"))</f>
        <v/>
      </c>
      <c r="AA174" s="10">
        <f>IF(C174="","",C174)</f>
        <v/>
      </c>
      <c r="AB174" s="37" t="n"/>
      <c r="AC174" s="39" t="n"/>
      <c r="AD174" s="11">
        <f>IF(C174="","",N(L174)+N(AC174))</f>
        <v/>
      </c>
      <c r="AE174" s="43">
        <f>IFERROR(IF(N(AC174)=0,"",AC174/AD174),"")</f>
        <v/>
      </c>
      <c r="AF174" s="39" t="n"/>
      <c r="AG174" s="39" t="n"/>
      <c r="AH174" s="39" t="n"/>
      <c r="AI174" s="39" t="n"/>
      <c r="AJ174" s="11">
        <f>IF(C174="","",IF(H174="VIDEO",N(L174),0))</f>
        <v/>
      </c>
      <c r="AK174" s="43">
        <f>IFERROR(IF(N(L174)=0,"",AJ174/L174),"")</f>
        <v/>
      </c>
      <c r="AL174" s="11">
        <f>IF(C174="","",N(AF174)+N(AG174)+N(AH174)+N(AI174))</f>
        <v/>
      </c>
      <c r="AM174" s="11">
        <f>IF(C174="","",MAX(N(L174),N(O174))-N(AL174))</f>
        <v/>
      </c>
      <c r="AN174" s="43">
        <f>IFERROR(IF(MAX(N(L174),N(O174))=0,"",AM174/MAX(N(L174),N(O174))),"")</f>
        <v/>
      </c>
      <c r="AO174" s="41" t="n"/>
      <c r="AP174" s="41" t="n"/>
      <c r="AQ174" s="41" t="n"/>
      <c r="AR174" s="41" t="n"/>
      <c r="AS174" s="41" t="n"/>
      <c r="AT174" s="37" t="n"/>
      <c r="AU174" s="10" t="inlineStr">
        <is>
          <t>PRD-0170</t>
        </is>
      </c>
    </row>
    <row r="175">
      <c r="A175" s="16">
        <f>IF($C175="","",IFERROR(IF(INDEX(tbl_Finance[Latest Invoice Date],MATCH($AU175,tbl_Finance[Row ID],0))="","",INDEX(tbl_Finance[Latest Invoice Date],MATCH($AU175,tbl_Finance[Row ID],0))),""))</f>
        <v/>
      </c>
      <c r="B175" s="10">
        <f>IF($C175="","",IFERROR(INDEX(tbl_Finance[Invoice Numbers],MATCH($AU175,tbl_Finance[Row ID],0))&amp;"",""))</f>
        <v/>
      </c>
      <c r="C175" s="37" t="n"/>
      <c r="D175" s="10">
        <f>IF($C175="","",IF(COUNTIF(lst_Jobs,$C175&amp;"")&gt;0,"OK","CHECK"))</f>
        <v/>
      </c>
      <c r="E175" s="10">
        <f>IF($C175="","",IFERROR(INDEX(lst_JobName,MATCH($C175&amp;"",lst_Jobs,0)),""))</f>
        <v/>
      </c>
      <c r="F175" s="37" t="n"/>
      <c r="G175" s="37" t="n"/>
      <c r="H175" s="37" t="n"/>
      <c r="I175" s="37" t="n"/>
      <c r="J175" s="37" t="n"/>
      <c r="K175" s="38">
        <f>IF($C175="","",IFERROR(N(INDEX(tbl_Finance[Invoice Count],MATCH($AU175,tbl_Finance[Row ID],0))),""))</f>
        <v/>
      </c>
      <c r="L175" s="11">
        <f>IF($C175="","",IFERROR(N(INDEX(tbl_Finance[Xero Invoiced Ex GST],MATCH($AU175,tbl_Finance[Row ID],0))),""))</f>
        <v/>
      </c>
      <c r="M175" s="10">
        <f>IF($C175="","",IFERROR(INDEX(tbl_Finance[Compare],MATCH($AU175,tbl_Finance[Row ID],0))&amp;"",""))</f>
        <v/>
      </c>
      <c r="N175" s="11">
        <f>IF($C175="","",MAX(0,N(O175)-N(L175)))</f>
        <v/>
      </c>
      <c r="O175" s="39" t="n"/>
      <c r="P175" s="40">
        <f>IF($C175="","",IF((IF(F175="",", Client","")&amp;IF(G175="",", Description","")&amp;IF(H175="",", Cost Centre","")&amp;IF(I175="",", Invoice Type","")&amp;IF(J175="",", Tax Code","")&amp;IF(O175="",", Expected Revenue","")&amp;IF(COUNTIF(tbl_Finance[Job Number],$C175&amp;"")&gt;1,", Job number used twice",""))="","Complete","Fix: "&amp;MID(IF(F175="",", Client","")&amp;IF(G175="",", Description","")&amp;IF(H175="",", Cost Centre","")&amp;IF(I175="",", Invoice Type","")&amp;IF(J175="",", Tax Code","")&amp;IF(O175="",", Expected Revenue","")&amp;IF(COUNTIF(tbl_Finance[Job Number],$C175&amp;"")&gt;1,", Job number used twice",""),3,300)))</f>
        <v/>
      </c>
      <c r="Q175" s="10">
        <f>IF($C175="","",IF(H175="","(no cost centre)",H175&amp;" - GL "&amp;IFERROR(INDEX(lst_CCtoGL,MATCH(H175,lst_CCforGL,0)),"?")))</f>
        <v/>
      </c>
      <c r="R175" s="11">
        <f>IF($C175="","",IFERROR(N(INDEX(tbl_Finance[Inc GST],MATCH($AU175,tbl_Finance[Row ID],0))),""))</f>
        <v/>
      </c>
      <c r="S175" s="37" t="n"/>
      <c r="T175" s="37" t="n"/>
      <c r="U175" s="37" t="n"/>
      <c r="V175" s="42" t="n"/>
      <c r="W175" s="37" t="n"/>
      <c r="X175" s="10">
        <f>IF(W175="","",IF(AND(LEFT(W175,4)&lt;&gt;"http",set_RMSBase=""),"",HYPERLINK(IF(LEFT(W175,4)="http",W175,set_RMSBase&amp;W175),"Open in RMS")))</f>
        <v/>
      </c>
      <c r="Y175" s="37" t="n"/>
      <c r="Z175" s="10">
        <f>IF(Y175="","",HYPERLINK(IF(LEFT(Y175,4)="http",Y175,set_QwilrBase&amp;Y175),"Open quote"))</f>
        <v/>
      </c>
      <c r="AA175" s="10">
        <f>IF(C175="","",C175)</f>
        <v/>
      </c>
      <c r="AB175" s="37" t="n"/>
      <c r="AC175" s="39" t="n"/>
      <c r="AD175" s="11">
        <f>IF(C175="","",N(L175)+N(AC175))</f>
        <v/>
      </c>
      <c r="AE175" s="43">
        <f>IFERROR(IF(N(AC175)=0,"",AC175/AD175),"")</f>
        <v/>
      </c>
      <c r="AF175" s="39" t="n"/>
      <c r="AG175" s="39" t="n"/>
      <c r="AH175" s="39" t="n"/>
      <c r="AI175" s="39" t="n"/>
      <c r="AJ175" s="11">
        <f>IF(C175="","",IF(H175="VIDEO",N(L175),0))</f>
        <v/>
      </c>
      <c r="AK175" s="43">
        <f>IFERROR(IF(N(L175)=0,"",AJ175/L175),"")</f>
        <v/>
      </c>
      <c r="AL175" s="11">
        <f>IF(C175="","",N(AF175)+N(AG175)+N(AH175)+N(AI175))</f>
        <v/>
      </c>
      <c r="AM175" s="11">
        <f>IF(C175="","",MAX(N(L175),N(O175))-N(AL175))</f>
        <v/>
      </c>
      <c r="AN175" s="43">
        <f>IFERROR(IF(MAX(N(L175),N(O175))=0,"",AM175/MAX(N(L175),N(O175))),"")</f>
        <v/>
      </c>
      <c r="AO175" s="41" t="n"/>
      <c r="AP175" s="41" t="n"/>
      <c r="AQ175" s="41" t="n"/>
      <c r="AR175" s="41" t="n"/>
      <c r="AS175" s="41" t="n"/>
      <c r="AT175" s="37" t="n"/>
      <c r="AU175" s="10" t="inlineStr">
        <is>
          <t>PRD-0171</t>
        </is>
      </c>
    </row>
    <row r="176">
      <c r="A176" s="16">
        <f>IF($C176="","",IFERROR(IF(INDEX(tbl_Finance[Latest Invoice Date],MATCH($AU176,tbl_Finance[Row ID],0))="","",INDEX(tbl_Finance[Latest Invoice Date],MATCH($AU176,tbl_Finance[Row ID],0))),""))</f>
        <v/>
      </c>
      <c r="B176" s="10">
        <f>IF($C176="","",IFERROR(INDEX(tbl_Finance[Invoice Numbers],MATCH($AU176,tbl_Finance[Row ID],0))&amp;"",""))</f>
        <v/>
      </c>
      <c r="C176" s="37" t="n"/>
      <c r="D176" s="10">
        <f>IF($C176="","",IF(COUNTIF(lst_Jobs,$C176&amp;"")&gt;0,"OK","CHECK"))</f>
        <v/>
      </c>
      <c r="E176" s="10">
        <f>IF($C176="","",IFERROR(INDEX(lst_JobName,MATCH($C176&amp;"",lst_Jobs,0)),""))</f>
        <v/>
      </c>
      <c r="F176" s="37" t="n"/>
      <c r="G176" s="37" t="n"/>
      <c r="H176" s="37" t="n"/>
      <c r="I176" s="37" t="n"/>
      <c r="J176" s="37" t="n"/>
      <c r="K176" s="38">
        <f>IF($C176="","",IFERROR(N(INDEX(tbl_Finance[Invoice Count],MATCH($AU176,tbl_Finance[Row ID],0))),""))</f>
        <v/>
      </c>
      <c r="L176" s="11">
        <f>IF($C176="","",IFERROR(N(INDEX(tbl_Finance[Xero Invoiced Ex GST],MATCH($AU176,tbl_Finance[Row ID],0))),""))</f>
        <v/>
      </c>
      <c r="M176" s="10">
        <f>IF($C176="","",IFERROR(INDEX(tbl_Finance[Compare],MATCH($AU176,tbl_Finance[Row ID],0))&amp;"",""))</f>
        <v/>
      </c>
      <c r="N176" s="11">
        <f>IF($C176="","",MAX(0,N(O176)-N(L176)))</f>
        <v/>
      </c>
      <c r="O176" s="39" t="n"/>
      <c r="P176" s="40">
        <f>IF($C176="","",IF((IF(F176="",", Client","")&amp;IF(G176="",", Description","")&amp;IF(H176="",", Cost Centre","")&amp;IF(I176="",", Invoice Type","")&amp;IF(J176="",", Tax Code","")&amp;IF(O176="",", Expected Revenue","")&amp;IF(COUNTIF(tbl_Finance[Job Number],$C176&amp;"")&gt;1,", Job number used twice",""))="","Complete","Fix: "&amp;MID(IF(F176="",", Client","")&amp;IF(G176="",", Description","")&amp;IF(H176="",", Cost Centre","")&amp;IF(I176="",", Invoice Type","")&amp;IF(J176="",", Tax Code","")&amp;IF(O176="",", Expected Revenue","")&amp;IF(COUNTIF(tbl_Finance[Job Number],$C176&amp;"")&gt;1,", Job number used twice",""),3,300)))</f>
        <v/>
      </c>
      <c r="Q176" s="10">
        <f>IF($C176="","",IF(H176="","(no cost centre)",H176&amp;" - GL "&amp;IFERROR(INDEX(lst_CCtoGL,MATCH(H176,lst_CCforGL,0)),"?")))</f>
        <v/>
      </c>
      <c r="R176" s="11">
        <f>IF($C176="","",IFERROR(N(INDEX(tbl_Finance[Inc GST],MATCH($AU176,tbl_Finance[Row ID],0))),""))</f>
        <v/>
      </c>
      <c r="S176" s="37" t="n"/>
      <c r="T176" s="37" t="n"/>
      <c r="U176" s="37" t="n"/>
      <c r="V176" s="42" t="n"/>
      <c r="W176" s="37" t="n"/>
      <c r="X176" s="10">
        <f>IF(W176="","",IF(AND(LEFT(W176,4)&lt;&gt;"http",set_RMSBase=""),"",HYPERLINK(IF(LEFT(W176,4)="http",W176,set_RMSBase&amp;W176),"Open in RMS")))</f>
        <v/>
      </c>
      <c r="Y176" s="37" t="n"/>
      <c r="Z176" s="10">
        <f>IF(Y176="","",HYPERLINK(IF(LEFT(Y176,4)="http",Y176,set_QwilrBase&amp;Y176),"Open quote"))</f>
        <v/>
      </c>
      <c r="AA176" s="10">
        <f>IF(C176="","",C176)</f>
        <v/>
      </c>
      <c r="AB176" s="37" t="n"/>
      <c r="AC176" s="39" t="n"/>
      <c r="AD176" s="11">
        <f>IF(C176="","",N(L176)+N(AC176))</f>
        <v/>
      </c>
      <c r="AE176" s="43">
        <f>IFERROR(IF(N(AC176)=0,"",AC176/AD176),"")</f>
        <v/>
      </c>
      <c r="AF176" s="39" t="n"/>
      <c r="AG176" s="39" t="n"/>
      <c r="AH176" s="39" t="n"/>
      <c r="AI176" s="39" t="n"/>
      <c r="AJ176" s="11">
        <f>IF(C176="","",IF(H176="VIDEO",N(L176),0))</f>
        <v/>
      </c>
      <c r="AK176" s="43">
        <f>IFERROR(IF(N(L176)=0,"",AJ176/L176),"")</f>
        <v/>
      </c>
      <c r="AL176" s="11">
        <f>IF(C176="","",N(AF176)+N(AG176)+N(AH176)+N(AI176))</f>
        <v/>
      </c>
      <c r="AM176" s="11">
        <f>IF(C176="","",MAX(N(L176),N(O176))-N(AL176))</f>
        <v/>
      </c>
      <c r="AN176" s="43">
        <f>IFERROR(IF(MAX(N(L176),N(O176))=0,"",AM176/MAX(N(L176),N(O176))),"")</f>
        <v/>
      </c>
      <c r="AO176" s="41" t="n"/>
      <c r="AP176" s="41" t="n"/>
      <c r="AQ176" s="41" t="n"/>
      <c r="AR176" s="41" t="n"/>
      <c r="AS176" s="41" t="n"/>
      <c r="AT176" s="37" t="n"/>
      <c r="AU176" s="10" t="inlineStr">
        <is>
          <t>PRD-0172</t>
        </is>
      </c>
    </row>
    <row r="177">
      <c r="A177" s="16">
        <f>IF($C177="","",IFERROR(IF(INDEX(tbl_Finance[Latest Invoice Date],MATCH($AU177,tbl_Finance[Row ID],0))="","",INDEX(tbl_Finance[Latest Invoice Date],MATCH($AU177,tbl_Finance[Row ID],0))),""))</f>
        <v/>
      </c>
      <c r="B177" s="10">
        <f>IF($C177="","",IFERROR(INDEX(tbl_Finance[Invoice Numbers],MATCH($AU177,tbl_Finance[Row ID],0))&amp;"",""))</f>
        <v/>
      </c>
      <c r="C177" s="37" t="n"/>
      <c r="D177" s="10">
        <f>IF($C177="","",IF(COUNTIF(lst_Jobs,$C177&amp;"")&gt;0,"OK","CHECK"))</f>
        <v/>
      </c>
      <c r="E177" s="10">
        <f>IF($C177="","",IFERROR(INDEX(lst_JobName,MATCH($C177&amp;"",lst_Jobs,0)),""))</f>
        <v/>
      </c>
      <c r="F177" s="37" t="n"/>
      <c r="G177" s="37" t="n"/>
      <c r="H177" s="37" t="n"/>
      <c r="I177" s="37" t="n"/>
      <c r="J177" s="37" t="n"/>
      <c r="K177" s="38">
        <f>IF($C177="","",IFERROR(N(INDEX(tbl_Finance[Invoice Count],MATCH($AU177,tbl_Finance[Row ID],0))),""))</f>
        <v/>
      </c>
      <c r="L177" s="11">
        <f>IF($C177="","",IFERROR(N(INDEX(tbl_Finance[Xero Invoiced Ex GST],MATCH($AU177,tbl_Finance[Row ID],0))),""))</f>
        <v/>
      </c>
      <c r="M177" s="10">
        <f>IF($C177="","",IFERROR(INDEX(tbl_Finance[Compare],MATCH($AU177,tbl_Finance[Row ID],0))&amp;"",""))</f>
        <v/>
      </c>
      <c r="N177" s="11">
        <f>IF($C177="","",MAX(0,N(O177)-N(L177)))</f>
        <v/>
      </c>
      <c r="O177" s="39" t="n"/>
      <c r="P177" s="40">
        <f>IF($C177="","",IF((IF(F177="",", Client","")&amp;IF(G177="",", Description","")&amp;IF(H177="",", Cost Centre","")&amp;IF(I177="",", Invoice Type","")&amp;IF(J177="",", Tax Code","")&amp;IF(O177="",", Expected Revenue","")&amp;IF(COUNTIF(tbl_Finance[Job Number],$C177&amp;"")&gt;1,", Job number used twice",""))="","Complete","Fix: "&amp;MID(IF(F177="",", Client","")&amp;IF(G177="",", Description","")&amp;IF(H177="",", Cost Centre","")&amp;IF(I177="",", Invoice Type","")&amp;IF(J177="",", Tax Code","")&amp;IF(O177="",", Expected Revenue","")&amp;IF(COUNTIF(tbl_Finance[Job Number],$C177&amp;"")&gt;1,", Job number used twice",""),3,300)))</f>
        <v/>
      </c>
      <c r="Q177" s="10">
        <f>IF($C177="","",IF(H177="","(no cost centre)",H177&amp;" - GL "&amp;IFERROR(INDEX(lst_CCtoGL,MATCH(H177,lst_CCforGL,0)),"?")))</f>
        <v/>
      </c>
      <c r="R177" s="11">
        <f>IF($C177="","",IFERROR(N(INDEX(tbl_Finance[Inc GST],MATCH($AU177,tbl_Finance[Row ID],0))),""))</f>
        <v/>
      </c>
      <c r="S177" s="37" t="n"/>
      <c r="T177" s="37" t="n"/>
      <c r="U177" s="37" t="n"/>
      <c r="V177" s="42" t="n"/>
      <c r="W177" s="37" t="n"/>
      <c r="X177" s="10">
        <f>IF(W177="","",IF(AND(LEFT(W177,4)&lt;&gt;"http",set_RMSBase=""),"",HYPERLINK(IF(LEFT(W177,4)="http",W177,set_RMSBase&amp;W177),"Open in RMS")))</f>
        <v/>
      </c>
      <c r="Y177" s="37" t="n"/>
      <c r="Z177" s="10">
        <f>IF(Y177="","",HYPERLINK(IF(LEFT(Y177,4)="http",Y177,set_QwilrBase&amp;Y177),"Open quote"))</f>
        <v/>
      </c>
      <c r="AA177" s="10">
        <f>IF(C177="","",C177)</f>
        <v/>
      </c>
      <c r="AB177" s="37" t="n"/>
      <c r="AC177" s="39" t="n"/>
      <c r="AD177" s="11">
        <f>IF(C177="","",N(L177)+N(AC177))</f>
        <v/>
      </c>
      <c r="AE177" s="43">
        <f>IFERROR(IF(N(AC177)=0,"",AC177/AD177),"")</f>
        <v/>
      </c>
      <c r="AF177" s="39" t="n"/>
      <c r="AG177" s="39" t="n"/>
      <c r="AH177" s="39" t="n"/>
      <c r="AI177" s="39" t="n"/>
      <c r="AJ177" s="11">
        <f>IF(C177="","",IF(H177="VIDEO",N(L177),0))</f>
        <v/>
      </c>
      <c r="AK177" s="43">
        <f>IFERROR(IF(N(L177)=0,"",AJ177/L177),"")</f>
        <v/>
      </c>
      <c r="AL177" s="11">
        <f>IF(C177="","",N(AF177)+N(AG177)+N(AH177)+N(AI177))</f>
        <v/>
      </c>
      <c r="AM177" s="11">
        <f>IF(C177="","",MAX(N(L177),N(O177))-N(AL177))</f>
        <v/>
      </c>
      <c r="AN177" s="43">
        <f>IFERROR(IF(MAX(N(L177),N(O177))=0,"",AM177/MAX(N(L177),N(O177))),"")</f>
        <v/>
      </c>
      <c r="AO177" s="41" t="n"/>
      <c r="AP177" s="41" t="n"/>
      <c r="AQ177" s="41" t="n"/>
      <c r="AR177" s="41" t="n"/>
      <c r="AS177" s="41" t="n"/>
      <c r="AT177" s="37" t="n"/>
      <c r="AU177" s="10" t="inlineStr">
        <is>
          <t>PRD-0173</t>
        </is>
      </c>
    </row>
    <row r="178">
      <c r="A178" s="16">
        <f>IF($C178="","",IFERROR(IF(INDEX(tbl_Finance[Latest Invoice Date],MATCH($AU178,tbl_Finance[Row ID],0))="","",INDEX(tbl_Finance[Latest Invoice Date],MATCH($AU178,tbl_Finance[Row ID],0))),""))</f>
        <v/>
      </c>
      <c r="B178" s="10">
        <f>IF($C178="","",IFERROR(INDEX(tbl_Finance[Invoice Numbers],MATCH($AU178,tbl_Finance[Row ID],0))&amp;"",""))</f>
        <v/>
      </c>
      <c r="C178" s="37" t="n"/>
      <c r="D178" s="10">
        <f>IF($C178="","",IF(COUNTIF(lst_Jobs,$C178&amp;"")&gt;0,"OK","CHECK"))</f>
        <v/>
      </c>
      <c r="E178" s="10">
        <f>IF($C178="","",IFERROR(INDEX(lst_JobName,MATCH($C178&amp;"",lst_Jobs,0)),""))</f>
        <v/>
      </c>
      <c r="F178" s="37" t="n"/>
      <c r="G178" s="37" t="n"/>
      <c r="H178" s="37" t="n"/>
      <c r="I178" s="37" t="n"/>
      <c r="J178" s="37" t="n"/>
      <c r="K178" s="38">
        <f>IF($C178="","",IFERROR(N(INDEX(tbl_Finance[Invoice Count],MATCH($AU178,tbl_Finance[Row ID],0))),""))</f>
        <v/>
      </c>
      <c r="L178" s="11">
        <f>IF($C178="","",IFERROR(N(INDEX(tbl_Finance[Xero Invoiced Ex GST],MATCH($AU178,tbl_Finance[Row ID],0))),""))</f>
        <v/>
      </c>
      <c r="M178" s="10">
        <f>IF($C178="","",IFERROR(INDEX(tbl_Finance[Compare],MATCH($AU178,tbl_Finance[Row ID],0))&amp;"",""))</f>
        <v/>
      </c>
      <c r="N178" s="11">
        <f>IF($C178="","",MAX(0,N(O178)-N(L178)))</f>
        <v/>
      </c>
      <c r="O178" s="39" t="n"/>
      <c r="P178" s="40">
        <f>IF($C178="","",IF((IF(F178="",", Client","")&amp;IF(G178="",", Description","")&amp;IF(H178="",", Cost Centre","")&amp;IF(I178="",", Invoice Type","")&amp;IF(J178="",", Tax Code","")&amp;IF(O178="",", Expected Revenue","")&amp;IF(COUNTIF(tbl_Finance[Job Number],$C178&amp;"")&gt;1,", Job number used twice",""))="","Complete","Fix: "&amp;MID(IF(F178="",", Client","")&amp;IF(G178="",", Description","")&amp;IF(H178="",", Cost Centre","")&amp;IF(I178="",", Invoice Type","")&amp;IF(J178="",", Tax Code","")&amp;IF(O178="",", Expected Revenue","")&amp;IF(COUNTIF(tbl_Finance[Job Number],$C178&amp;"")&gt;1,", Job number used twice",""),3,300)))</f>
        <v/>
      </c>
      <c r="Q178" s="10">
        <f>IF($C178="","",IF(H178="","(no cost centre)",H178&amp;" - GL "&amp;IFERROR(INDEX(lst_CCtoGL,MATCH(H178,lst_CCforGL,0)),"?")))</f>
        <v/>
      </c>
      <c r="R178" s="11">
        <f>IF($C178="","",IFERROR(N(INDEX(tbl_Finance[Inc GST],MATCH($AU178,tbl_Finance[Row ID],0))),""))</f>
        <v/>
      </c>
      <c r="S178" s="37" t="n"/>
      <c r="T178" s="37" t="n"/>
      <c r="U178" s="37" t="n"/>
      <c r="V178" s="42" t="n"/>
      <c r="W178" s="37" t="n"/>
      <c r="X178" s="10">
        <f>IF(W178="","",IF(AND(LEFT(W178,4)&lt;&gt;"http",set_RMSBase=""),"",HYPERLINK(IF(LEFT(W178,4)="http",W178,set_RMSBase&amp;W178),"Open in RMS")))</f>
        <v/>
      </c>
      <c r="Y178" s="37" t="n"/>
      <c r="Z178" s="10">
        <f>IF(Y178="","",HYPERLINK(IF(LEFT(Y178,4)="http",Y178,set_QwilrBase&amp;Y178),"Open quote"))</f>
        <v/>
      </c>
      <c r="AA178" s="10">
        <f>IF(C178="","",C178)</f>
        <v/>
      </c>
      <c r="AB178" s="37" t="n"/>
      <c r="AC178" s="39" t="n"/>
      <c r="AD178" s="11">
        <f>IF(C178="","",N(L178)+N(AC178))</f>
        <v/>
      </c>
      <c r="AE178" s="43">
        <f>IFERROR(IF(N(AC178)=0,"",AC178/AD178),"")</f>
        <v/>
      </c>
      <c r="AF178" s="39" t="n"/>
      <c r="AG178" s="39" t="n"/>
      <c r="AH178" s="39" t="n"/>
      <c r="AI178" s="39" t="n"/>
      <c r="AJ178" s="11">
        <f>IF(C178="","",IF(H178="VIDEO",N(L178),0))</f>
        <v/>
      </c>
      <c r="AK178" s="43">
        <f>IFERROR(IF(N(L178)=0,"",AJ178/L178),"")</f>
        <v/>
      </c>
      <c r="AL178" s="11">
        <f>IF(C178="","",N(AF178)+N(AG178)+N(AH178)+N(AI178))</f>
        <v/>
      </c>
      <c r="AM178" s="11">
        <f>IF(C178="","",MAX(N(L178),N(O178))-N(AL178))</f>
        <v/>
      </c>
      <c r="AN178" s="43">
        <f>IFERROR(IF(MAX(N(L178),N(O178))=0,"",AM178/MAX(N(L178),N(O178))),"")</f>
        <v/>
      </c>
      <c r="AO178" s="41" t="n"/>
      <c r="AP178" s="41" t="n"/>
      <c r="AQ178" s="41" t="n"/>
      <c r="AR178" s="41" t="n"/>
      <c r="AS178" s="41" t="n"/>
      <c r="AT178" s="37" t="n"/>
      <c r="AU178" s="10" t="inlineStr">
        <is>
          <t>PRD-0174</t>
        </is>
      </c>
    </row>
    <row r="179">
      <c r="A179" s="16">
        <f>IF($C179="","",IFERROR(IF(INDEX(tbl_Finance[Latest Invoice Date],MATCH($AU179,tbl_Finance[Row ID],0))="","",INDEX(tbl_Finance[Latest Invoice Date],MATCH($AU179,tbl_Finance[Row ID],0))),""))</f>
        <v/>
      </c>
      <c r="B179" s="10">
        <f>IF($C179="","",IFERROR(INDEX(tbl_Finance[Invoice Numbers],MATCH($AU179,tbl_Finance[Row ID],0))&amp;"",""))</f>
        <v/>
      </c>
      <c r="C179" s="37" t="n"/>
      <c r="D179" s="10">
        <f>IF($C179="","",IF(COUNTIF(lst_Jobs,$C179&amp;"")&gt;0,"OK","CHECK"))</f>
        <v/>
      </c>
      <c r="E179" s="10">
        <f>IF($C179="","",IFERROR(INDEX(lst_JobName,MATCH($C179&amp;"",lst_Jobs,0)),""))</f>
        <v/>
      </c>
      <c r="F179" s="37" t="n"/>
      <c r="G179" s="37" t="n"/>
      <c r="H179" s="37" t="n"/>
      <c r="I179" s="37" t="n"/>
      <c r="J179" s="37" t="n"/>
      <c r="K179" s="38">
        <f>IF($C179="","",IFERROR(N(INDEX(tbl_Finance[Invoice Count],MATCH($AU179,tbl_Finance[Row ID],0))),""))</f>
        <v/>
      </c>
      <c r="L179" s="11">
        <f>IF($C179="","",IFERROR(N(INDEX(tbl_Finance[Xero Invoiced Ex GST],MATCH($AU179,tbl_Finance[Row ID],0))),""))</f>
        <v/>
      </c>
      <c r="M179" s="10">
        <f>IF($C179="","",IFERROR(INDEX(tbl_Finance[Compare],MATCH($AU179,tbl_Finance[Row ID],0))&amp;"",""))</f>
        <v/>
      </c>
      <c r="N179" s="11">
        <f>IF($C179="","",MAX(0,N(O179)-N(L179)))</f>
        <v/>
      </c>
      <c r="O179" s="39" t="n"/>
      <c r="P179" s="40">
        <f>IF($C179="","",IF((IF(F179="",", Client","")&amp;IF(G179="",", Description","")&amp;IF(H179="",", Cost Centre","")&amp;IF(I179="",", Invoice Type","")&amp;IF(J179="",", Tax Code","")&amp;IF(O179="",", Expected Revenue","")&amp;IF(COUNTIF(tbl_Finance[Job Number],$C179&amp;"")&gt;1,", Job number used twice",""))="","Complete","Fix: "&amp;MID(IF(F179="",", Client","")&amp;IF(G179="",", Description","")&amp;IF(H179="",", Cost Centre","")&amp;IF(I179="",", Invoice Type","")&amp;IF(J179="",", Tax Code","")&amp;IF(O179="",", Expected Revenue","")&amp;IF(COUNTIF(tbl_Finance[Job Number],$C179&amp;"")&gt;1,", Job number used twice",""),3,300)))</f>
        <v/>
      </c>
      <c r="Q179" s="10">
        <f>IF($C179="","",IF(H179="","(no cost centre)",H179&amp;" - GL "&amp;IFERROR(INDEX(lst_CCtoGL,MATCH(H179,lst_CCforGL,0)),"?")))</f>
        <v/>
      </c>
      <c r="R179" s="11">
        <f>IF($C179="","",IFERROR(N(INDEX(tbl_Finance[Inc GST],MATCH($AU179,tbl_Finance[Row ID],0))),""))</f>
        <v/>
      </c>
      <c r="S179" s="37" t="n"/>
      <c r="T179" s="37" t="n"/>
      <c r="U179" s="37" t="n"/>
      <c r="V179" s="42" t="n"/>
      <c r="W179" s="37" t="n"/>
      <c r="X179" s="10">
        <f>IF(W179="","",IF(AND(LEFT(W179,4)&lt;&gt;"http",set_RMSBase=""),"",HYPERLINK(IF(LEFT(W179,4)="http",W179,set_RMSBase&amp;W179),"Open in RMS")))</f>
        <v/>
      </c>
      <c r="Y179" s="37" t="n"/>
      <c r="Z179" s="10">
        <f>IF(Y179="","",HYPERLINK(IF(LEFT(Y179,4)="http",Y179,set_QwilrBase&amp;Y179),"Open quote"))</f>
        <v/>
      </c>
      <c r="AA179" s="10">
        <f>IF(C179="","",C179)</f>
        <v/>
      </c>
      <c r="AB179" s="37" t="n"/>
      <c r="AC179" s="39" t="n"/>
      <c r="AD179" s="11">
        <f>IF(C179="","",N(L179)+N(AC179))</f>
        <v/>
      </c>
      <c r="AE179" s="43">
        <f>IFERROR(IF(N(AC179)=0,"",AC179/AD179),"")</f>
        <v/>
      </c>
      <c r="AF179" s="39" t="n"/>
      <c r="AG179" s="39" t="n"/>
      <c r="AH179" s="39" t="n"/>
      <c r="AI179" s="39" t="n"/>
      <c r="AJ179" s="11">
        <f>IF(C179="","",IF(H179="VIDEO",N(L179),0))</f>
        <v/>
      </c>
      <c r="AK179" s="43">
        <f>IFERROR(IF(N(L179)=0,"",AJ179/L179),"")</f>
        <v/>
      </c>
      <c r="AL179" s="11">
        <f>IF(C179="","",N(AF179)+N(AG179)+N(AH179)+N(AI179))</f>
        <v/>
      </c>
      <c r="AM179" s="11">
        <f>IF(C179="","",MAX(N(L179),N(O179))-N(AL179))</f>
        <v/>
      </c>
      <c r="AN179" s="43">
        <f>IFERROR(IF(MAX(N(L179),N(O179))=0,"",AM179/MAX(N(L179),N(O179))),"")</f>
        <v/>
      </c>
      <c r="AO179" s="41" t="n"/>
      <c r="AP179" s="41" t="n"/>
      <c r="AQ179" s="41" t="n"/>
      <c r="AR179" s="41" t="n"/>
      <c r="AS179" s="41" t="n"/>
      <c r="AT179" s="37" t="n"/>
      <c r="AU179" s="10" t="inlineStr">
        <is>
          <t>PRD-0175</t>
        </is>
      </c>
    </row>
    <row r="180">
      <c r="A180" s="16">
        <f>IF($C180="","",IFERROR(IF(INDEX(tbl_Finance[Latest Invoice Date],MATCH($AU180,tbl_Finance[Row ID],0))="","",INDEX(tbl_Finance[Latest Invoice Date],MATCH($AU180,tbl_Finance[Row ID],0))),""))</f>
        <v/>
      </c>
      <c r="B180" s="10">
        <f>IF($C180="","",IFERROR(INDEX(tbl_Finance[Invoice Numbers],MATCH($AU180,tbl_Finance[Row ID],0))&amp;"",""))</f>
        <v/>
      </c>
      <c r="C180" s="37" t="n"/>
      <c r="D180" s="10">
        <f>IF($C180="","",IF(COUNTIF(lst_Jobs,$C180&amp;"")&gt;0,"OK","CHECK"))</f>
        <v/>
      </c>
      <c r="E180" s="10">
        <f>IF($C180="","",IFERROR(INDEX(lst_JobName,MATCH($C180&amp;"",lst_Jobs,0)),""))</f>
        <v/>
      </c>
      <c r="F180" s="37" t="n"/>
      <c r="G180" s="37" t="n"/>
      <c r="H180" s="37" t="n"/>
      <c r="I180" s="37" t="n"/>
      <c r="J180" s="37" t="n"/>
      <c r="K180" s="38">
        <f>IF($C180="","",IFERROR(N(INDEX(tbl_Finance[Invoice Count],MATCH($AU180,tbl_Finance[Row ID],0))),""))</f>
        <v/>
      </c>
      <c r="L180" s="11">
        <f>IF($C180="","",IFERROR(N(INDEX(tbl_Finance[Xero Invoiced Ex GST],MATCH($AU180,tbl_Finance[Row ID],0))),""))</f>
        <v/>
      </c>
      <c r="M180" s="10">
        <f>IF($C180="","",IFERROR(INDEX(tbl_Finance[Compare],MATCH($AU180,tbl_Finance[Row ID],0))&amp;"",""))</f>
        <v/>
      </c>
      <c r="N180" s="11">
        <f>IF($C180="","",MAX(0,N(O180)-N(L180)))</f>
        <v/>
      </c>
      <c r="O180" s="39" t="n"/>
      <c r="P180" s="40">
        <f>IF($C180="","",IF((IF(F180="",", Client","")&amp;IF(G180="",", Description","")&amp;IF(H180="",", Cost Centre","")&amp;IF(I180="",", Invoice Type","")&amp;IF(J180="",", Tax Code","")&amp;IF(O180="",", Expected Revenue","")&amp;IF(COUNTIF(tbl_Finance[Job Number],$C180&amp;"")&gt;1,", Job number used twice",""))="","Complete","Fix: "&amp;MID(IF(F180="",", Client","")&amp;IF(G180="",", Description","")&amp;IF(H180="",", Cost Centre","")&amp;IF(I180="",", Invoice Type","")&amp;IF(J180="",", Tax Code","")&amp;IF(O180="",", Expected Revenue","")&amp;IF(COUNTIF(tbl_Finance[Job Number],$C180&amp;"")&gt;1,", Job number used twice",""),3,300)))</f>
        <v/>
      </c>
      <c r="Q180" s="10">
        <f>IF($C180="","",IF(H180="","(no cost centre)",H180&amp;" - GL "&amp;IFERROR(INDEX(lst_CCtoGL,MATCH(H180,lst_CCforGL,0)),"?")))</f>
        <v/>
      </c>
      <c r="R180" s="11">
        <f>IF($C180="","",IFERROR(N(INDEX(tbl_Finance[Inc GST],MATCH($AU180,tbl_Finance[Row ID],0))),""))</f>
        <v/>
      </c>
      <c r="S180" s="37" t="n"/>
      <c r="T180" s="37" t="n"/>
      <c r="U180" s="37" t="n"/>
      <c r="V180" s="42" t="n"/>
      <c r="W180" s="37" t="n"/>
      <c r="X180" s="10">
        <f>IF(W180="","",IF(AND(LEFT(W180,4)&lt;&gt;"http",set_RMSBase=""),"",HYPERLINK(IF(LEFT(W180,4)="http",W180,set_RMSBase&amp;W180),"Open in RMS")))</f>
        <v/>
      </c>
      <c r="Y180" s="37" t="n"/>
      <c r="Z180" s="10">
        <f>IF(Y180="","",HYPERLINK(IF(LEFT(Y180,4)="http",Y180,set_QwilrBase&amp;Y180),"Open quote"))</f>
        <v/>
      </c>
      <c r="AA180" s="10">
        <f>IF(C180="","",C180)</f>
        <v/>
      </c>
      <c r="AB180" s="37" t="n"/>
      <c r="AC180" s="39" t="n"/>
      <c r="AD180" s="11">
        <f>IF(C180="","",N(L180)+N(AC180))</f>
        <v/>
      </c>
      <c r="AE180" s="43">
        <f>IFERROR(IF(N(AC180)=0,"",AC180/AD180),"")</f>
        <v/>
      </c>
      <c r="AF180" s="39" t="n"/>
      <c r="AG180" s="39" t="n"/>
      <c r="AH180" s="39" t="n"/>
      <c r="AI180" s="39" t="n"/>
      <c r="AJ180" s="11">
        <f>IF(C180="","",IF(H180="VIDEO",N(L180),0))</f>
        <v/>
      </c>
      <c r="AK180" s="43">
        <f>IFERROR(IF(N(L180)=0,"",AJ180/L180),"")</f>
        <v/>
      </c>
      <c r="AL180" s="11">
        <f>IF(C180="","",N(AF180)+N(AG180)+N(AH180)+N(AI180))</f>
        <v/>
      </c>
      <c r="AM180" s="11">
        <f>IF(C180="","",MAX(N(L180),N(O180))-N(AL180))</f>
        <v/>
      </c>
      <c r="AN180" s="43">
        <f>IFERROR(IF(MAX(N(L180),N(O180))=0,"",AM180/MAX(N(L180),N(O180))),"")</f>
        <v/>
      </c>
      <c r="AO180" s="41" t="n"/>
      <c r="AP180" s="41" t="n"/>
      <c r="AQ180" s="41" t="n"/>
      <c r="AR180" s="41" t="n"/>
      <c r="AS180" s="41" t="n"/>
      <c r="AT180" s="37" t="n"/>
      <c r="AU180" s="10" t="inlineStr">
        <is>
          <t>PRD-0176</t>
        </is>
      </c>
    </row>
    <row r="181">
      <c r="A181" s="16">
        <f>IF($C181="","",IFERROR(IF(INDEX(tbl_Finance[Latest Invoice Date],MATCH($AU181,tbl_Finance[Row ID],0))="","",INDEX(tbl_Finance[Latest Invoice Date],MATCH($AU181,tbl_Finance[Row ID],0))),""))</f>
        <v/>
      </c>
      <c r="B181" s="10">
        <f>IF($C181="","",IFERROR(INDEX(tbl_Finance[Invoice Numbers],MATCH($AU181,tbl_Finance[Row ID],0))&amp;"",""))</f>
        <v/>
      </c>
      <c r="C181" s="37" t="n"/>
      <c r="D181" s="10">
        <f>IF($C181="","",IF(COUNTIF(lst_Jobs,$C181&amp;"")&gt;0,"OK","CHECK"))</f>
        <v/>
      </c>
      <c r="E181" s="10">
        <f>IF($C181="","",IFERROR(INDEX(lst_JobName,MATCH($C181&amp;"",lst_Jobs,0)),""))</f>
        <v/>
      </c>
      <c r="F181" s="37" t="n"/>
      <c r="G181" s="37" t="n"/>
      <c r="H181" s="37" t="n"/>
      <c r="I181" s="37" t="n"/>
      <c r="J181" s="37" t="n"/>
      <c r="K181" s="38">
        <f>IF($C181="","",IFERROR(N(INDEX(tbl_Finance[Invoice Count],MATCH($AU181,tbl_Finance[Row ID],0))),""))</f>
        <v/>
      </c>
      <c r="L181" s="11">
        <f>IF($C181="","",IFERROR(N(INDEX(tbl_Finance[Xero Invoiced Ex GST],MATCH($AU181,tbl_Finance[Row ID],0))),""))</f>
        <v/>
      </c>
      <c r="M181" s="10">
        <f>IF($C181="","",IFERROR(INDEX(tbl_Finance[Compare],MATCH($AU181,tbl_Finance[Row ID],0))&amp;"",""))</f>
        <v/>
      </c>
      <c r="N181" s="11">
        <f>IF($C181="","",MAX(0,N(O181)-N(L181)))</f>
        <v/>
      </c>
      <c r="O181" s="39" t="n"/>
      <c r="P181" s="40">
        <f>IF($C181="","",IF((IF(F181="",", Client","")&amp;IF(G181="",", Description","")&amp;IF(H181="",", Cost Centre","")&amp;IF(I181="",", Invoice Type","")&amp;IF(J181="",", Tax Code","")&amp;IF(O181="",", Expected Revenue","")&amp;IF(COUNTIF(tbl_Finance[Job Number],$C181&amp;"")&gt;1,", Job number used twice",""))="","Complete","Fix: "&amp;MID(IF(F181="",", Client","")&amp;IF(G181="",", Description","")&amp;IF(H181="",", Cost Centre","")&amp;IF(I181="",", Invoice Type","")&amp;IF(J181="",", Tax Code","")&amp;IF(O181="",", Expected Revenue","")&amp;IF(COUNTIF(tbl_Finance[Job Number],$C181&amp;"")&gt;1,", Job number used twice",""),3,300)))</f>
        <v/>
      </c>
      <c r="Q181" s="10">
        <f>IF($C181="","",IF(H181="","(no cost centre)",H181&amp;" - GL "&amp;IFERROR(INDEX(lst_CCtoGL,MATCH(H181,lst_CCforGL,0)),"?")))</f>
        <v/>
      </c>
      <c r="R181" s="11">
        <f>IF($C181="","",IFERROR(N(INDEX(tbl_Finance[Inc GST],MATCH($AU181,tbl_Finance[Row ID],0))),""))</f>
        <v/>
      </c>
      <c r="S181" s="37" t="n"/>
      <c r="T181" s="37" t="n"/>
      <c r="U181" s="37" t="n"/>
      <c r="V181" s="42" t="n"/>
      <c r="W181" s="37" t="n"/>
      <c r="X181" s="10">
        <f>IF(W181="","",IF(AND(LEFT(W181,4)&lt;&gt;"http",set_RMSBase=""),"",HYPERLINK(IF(LEFT(W181,4)="http",W181,set_RMSBase&amp;W181),"Open in RMS")))</f>
        <v/>
      </c>
      <c r="Y181" s="37" t="n"/>
      <c r="Z181" s="10">
        <f>IF(Y181="","",HYPERLINK(IF(LEFT(Y181,4)="http",Y181,set_QwilrBase&amp;Y181),"Open quote"))</f>
        <v/>
      </c>
      <c r="AA181" s="10">
        <f>IF(C181="","",C181)</f>
        <v/>
      </c>
      <c r="AB181" s="37" t="n"/>
      <c r="AC181" s="39" t="n"/>
      <c r="AD181" s="11">
        <f>IF(C181="","",N(L181)+N(AC181))</f>
        <v/>
      </c>
      <c r="AE181" s="43">
        <f>IFERROR(IF(N(AC181)=0,"",AC181/AD181),"")</f>
        <v/>
      </c>
      <c r="AF181" s="39" t="n"/>
      <c r="AG181" s="39" t="n"/>
      <c r="AH181" s="39" t="n"/>
      <c r="AI181" s="39" t="n"/>
      <c r="AJ181" s="11">
        <f>IF(C181="","",IF(H181="VIDEO",N(L181),0))</f>
        <v/>
      </c>
      <c r="AK181" s="43">
        <f>IFERROR(IF(N(L181)=0,"",AJ181/L181),"")</f>
        <v/>
      </c>
      <c r="AL181" s="11">
        <f>IF(C181="","",N(AF181)+N(AG181)+N(AH181)+N(AI181))</f>
        <v/>
      </c>
      <c r="AM181" s="11">
        <f>IF(C181="","",MAX(N(L181),N(O181))-N(AL181))</f>
        <v/>
      </c>
      <c r="AN181" s="43">
        <f>IFERROR(IF(MAX(N(L181),N(O181))=0,"",AM181/MAX(N(L181),N(O181))),"")</f>
        <v/>
      </c>
      <c r="AO181" s="41" t="n"/>
      <c r="AP181" s="41" t="n"/>
      <c r="AQ181" s="41" t="n"/>
      <c r="AR181" s="41" t="n"/>
      <c r="AS181" s="41" t="n"/>
      <c r="AT181" s="37" t="n"/>
      <c r="AU181" s="10" t="inlineStr">
        <is>
          <t>PRD-0177</t>
        </is>
      </c>
    </row>
    <row r="182">
      <c r="A182" s="16">
        <f>IF($C182="","",IFERROR(IF(INDEX(tbl_Finance[Latest Invoice Date],MATCH($AU182,tbl_Finance[Row ID],0))="","",INDEX(tbl_Finance[Latest Invoice Date],MATCH($AU182,tbl_Finance[Row ID],0))),""))</f>
        <v/>
      </c>
      <c r="B182" s="10">
        <f>IF($C182="","",IFERROR(INDEX(tbl_Finance[Invoice Numbers],MATCH($AU182,tbl_Finance[Row ID],0))&amp;"",""))</f>
        <v/>
      </c>
      <c r="C182" s="37" t="n"/>
      <c r="D182" s="10">
        <f>IF($C182="","",IF(COUNTIF(lst_Jobs,$C182&amp;"")&gt;0,"OK","CHECK"))</f>
        <v/>
      </c>
      <c r="E182" s="10">
        <f>IF($C182="","",IFERROR(INDEX(lst_JobName,MATCH($C182&amp;"",lst_Jobs,0)),""))</f>
        <v/>
      </c>
      <c r="F182" s="37" t="n"/>
      <c r="G182" s="37" t="n"/>
      <c r="H182" s="37" t="n"/>
      <c r="I182" s="37" t="n"/>
      <c r="J182" s="37" t="n"/>
      <c r="K182" s="38">
        <f>IF($C182="","",IFERROR(N(INDEX(tbl_Finance[Invoice Count],MATCH($AU182,tbl_Finance[Row ID],0))),""))</f>
        <v/>
      </c>
      <c r="L182" s="11">
        <f>IF($C182="","",IFERROR(N(INDEX(tbl_Finance[Xero Invoiced Ex GST],MATCH($AU182,tbl_Finance[Row ID],0))),""))</f>
        <v/>
      </c>
      <c r="M182" s="10">
        <f>IF($C182="","",IFERROR(INDEX(tbl_Finance[Compare],MATCH($AU182,tbl_Finance[Row ID],0))&amp;"",""))</f>
        <v/>
      </c>
      <c r="N182" s="11">
        <f>IF($C182="","",MAX(0,N(O182)-N(L182)))</f>
        <v/>
      </c>
      <c r="O182" s="39" t="n"/>
      <c r="P182" s="40">
        <f>IF($C182="","",IF((IF(F182="",", Client","")&amp;IF(G182="",", Description","")&amp;IF(H182="",", Cost Centre","")&amp;IF(I182="",", Invoice Type","")&amp;IF(J182="",", Tax Code","")&amp;IF(O182="",", Expected Revenue","")&amp;IF(COUNTIF(tbl_Finance[Job Number],$C182&amp;"")&gt;1,", Job number used twice",""))="","Complete","Fix: "&amp;MID(IF(F182="",", Client","")&amp;IF(G182="",", Description","")&amp;IF(H182="",", Cost Centre","")&amp;IF(I182="",", Invoice Type","")&amp;IF(J182="",", Tax Code","")&amp;IF(O182="",", Expected Revenue","")&amp;IF(COUNTIF(tbl_Finance[Job Number],$C182&amp;"")&gt;1,", Job number used twice",""),3,300)))</f>
        <v/>
      </c>
      <c r="Q182" s="10">
        <f>IF($C182="","",IF(H182="","(no cost centre)",H182&amp;" - GL "&amp;IFERROR(INDEX(lst_CCtoGL,MATCH(H182,lst_CCforGL,0)),"?")))</f>
        <v/>
      </c>
      <c r="R182" s="11">
        <f>IF($C182="","",IFERROR(N(INDEX(tbl_Finance[Inc GST],MATCH($AU182,tbl_Finance[Row ID],0))),""))</f>
        <v/>
      </c>
      <c r="S182" s="37" t="n"/>
      <c r="T182" s="37" t="n"/>
      <c r="U182" s="37" t="n"/>
      <c r="V182" s="42" t="n"/>
      <c r="W182" s="37" t="n"/>
      <c r="X182" s="10">
        <f>IF(W182="","",IF(AND(LEFT(W182,4)&lt;&gt;"http",set_RMSBase=""),"",HYPERLINK(IF(LEFT(W182,4)="http",W182,set_RMSBase&amp;W182),"Open in RMS")))</f>
        <v/>
      </c>
      <c r="Y182" s="37" t="n"/>
      <c r="Z182" s="10">
        <f>IF(Y182="","",HYPERLINK(IF(LEFT(Y182,4)="http",Y182,set_QwilrBase&amp;Y182),"Open quote"))</f>
        <v/>
      </c>
      <c r="AA182" s="10">
        <f>IF(C182="","",C182)</f>
        <v/>
      </c>
      <c r="AB182" s="37" t="n"/>
      <c r="AC182" s="39" t="n"/>
      <c r="AD182" s="11">
        <f>IF(C182="","",N(L182)+N(AC182))</f>
        <v/>
      </c>
      <c r="AE182" s="43">
        <f>IFERROR(IF(N(AC182)=0,"",AC182/AD182),"")</f>
        <v/>
      </c>
      <c r="AF182" s="39" t="n"/>
      <c r="AG182" s="39" t="n"/>
      <c r="AH182" s="39" t="n"/>
      <c r="AI182" s="39" t="n"/>
      <c r="AJ182" s="11">
        <f>IF(C182="","",IF(H182="VIDEO",N(L182),0))</f>
        <v/>
      </c>
      <c r="AK182" s="43">
        <f>IFERROR(IF(N(L182)=0,"",AJ182/L182),"")</f>
        <v/>
      </c>
      <c r="AL182" s="11">
        <f>IF(C182="","",N(AF182)+N(AG182)+N(AH182)+N(AI182))</f>
        <v/>
      </c>
      <c r="AM182" s="11">
        <f>IF(C182="","",MAX(N(L182),N(O182))-N(AL182))</f>
        <v/>
      </c>
      <c r="AN182" s="43">
        <f>IFERROR(IF(MAX(N(L182),N(O182))=0,"",AM182/MAX(N(L182),N(O182))),"")</f>
        <v/>
      </c>
      <c r="AO182" s="41" t="n"/>
      <c r="AP182" s="41" t="n"/>
      <c r="AQ182" s="41" t="n"/>
      <c r="AR182" s="41" t="n"/>
      <c r="AS182" s="41" t="n"/>
      <c r="AT182" s="37" t="n"/>
      <c r="AU182" s="10" t="inlineStr">
        <is>
          <t>PRD-0178</t>
        </is>
      </c>
    </row>
    <row r="183">
      <c r="A183" s="16">
        <f>IF($C183="","",IFERROR(IF(INDEX(tbl_Finance[Latest Invoice Date],MATCH($AU183,tbl_Finance[Row ID],0))="","",INDEX(tbl_Finance[Latest Invoice Date],MATCH($AU183,tbl_Finance[Row ID],0))),""))</f>
        <v/>
      </c>
      <c r="B183" s="10">
        <f>IF($C183="","",IFERROR(INDEX(tbl_Finance[Invoice Numbers],MATCH($AU183,tbl_Finance[Row ID],0))&amp;"",""))</f>
        <v/>
      </c>
      <c r="C183" s="37" t="n"/>
      <c r="D183" s="10">
        <f>IF($C183="","",IF(COUNTIF(lst_Jobs,$C183&amp;"")&gt;0,"OK","CHECK"))</f>
        <v/>
      </c>
      <c r="E183" s="10">
        <f>IF($C183="","",IFERROR(INDEX(lst_JobName,MATCH($C183&amp;"",lst_Jobs,0)),""))</f>
        <v/>
      </c>
      <c r="F183" s="37" t="n"/>
      <c r="G183" s="37" t="n"/>
      <c r="H183" s="37" t="n"/>
      <c r="I183" s="37" t="n"/>
      <c r="J183" s="37" t="n"/>
      <c r="K183" s="38">
        <f>IF($C183="","",IFERROR(N(INDEX(tbl_Finance[Invoice Count],MATCH($AU183,tbl_Finance[Row ID],0))),""))</f>
        <v/>
      </c>
      <c r="L183" s="11">
        <f>IF($C183="","",IFERROR(N(INDEX(tbl_Finance[Xero Invoiced Ex GST],MATCH($AU183,tbl_Finance[Row ID],0))),""))</f>
        <v/>
      </c>
      <c r="M183" s="10">
        <f>IF($C183="","",IFERROR(INDEX(tbl_Finance[Compare],MATCH($AU183,tbl_Finance[Row ID],0))&amp;"",""))</f>
        <v/>
      </c>
      <c r="N183" s="11">
        <f>IF($C183="","",MAX(0,N(O183)-N(L183)))</f>
        <v/>
      </c>
      <c r="O183" s="39" t="n"/>
      <c r="P183" s="40">
        <f>IF($C183="","",IF((IF(F183="",", Client","")&amp;IF(G183="",", Description","")&amp;IF(H183="",", Cost Centre","")&amp;IF(I183="",", Invoice Type","")&amp;IF(J183="",", Tax Code","")&amp;IF(O183="",", Expected Revenue","")&amp;IF(COUNTIF(tbl_Finance[Job Number],$C183&amp;"")&gt;1,", Job number used twice",""))="","Complete","Fix: "&amp;MID(IF(F183="",", Client","")&amp;IF(G183="",", Description","")&amp;IF(H183="",", Cost Centre","")&amp;IF(I183="",", Invoice Type","")&amp;IF(J183="",", Tax Code","")&amp;IF(O183="",", Expected Revenue","")&amp;IF(COUNTIF(tbl_Finance[Job Number],$C183&amp;"")&gt;1,", Job number used twice",""),3,300)))</f>
        <v/>
      </c>
      <c r="Q183" s="10">
        <f>IF($C183="","",IF(H183="","(no cost centre)",H183&amp;" - GL "&amp;IFERROR(INDEX(lst_CCtoGL,MATCH(H183,lst_CCforGL,0)),"?")))</f>
        <v/>
      </c>
      <c r="R183" s="11">
        <f>IF($C183="","",IFERROR(N(INDEX(tbl_Finance[Inc GST],MATCH($AU183,tbl_Finance[Row ID],0))),""))</f>
        <v/>
      </c>
      <c r="S183" s="37" t="n"/>
      <c r="T183" s="37" t="n"/>
      <c r="U183" s="37" t="n"/>
      <c r="V183" s="42" t="n"/>
      <c r="W183" s="37" t="n"/>
      <c r="X183" s="10">
        <f>IF(W183="","",IF(AND(LEFT(W183,4)&lt;&gt;"http",set_RMSBase=""),"",HYPERLINK(IF(LEFT(W183,4)="http",W183,set_RMSBase&amp;W183),"Open in RMS")))</f>
        <v/>
      </c>
      <c r="Y183" s="37" t="n"/>
      <c r="Z183" s="10">
        <f>IF(Y183="","",HYPERLINK(IF(LEFT(Y183,4)="http",Y183,set_QwilrBase&amp;Y183),"Open quote"))</f>
        <v/>
      </c>
      <c r="AA183" s="10">
        <f>IF(C183="","",C183)</f>
        <v/>
      </c>
      <c r="AB183" s="37" t="n"/>
      <c r="AC183" s="39" t="n"/>
      <c r="AD183" s="11">
        <f>IF(C183="","",N(L183)+N(AC183))</f>
        <v/>
      </c>
      <c r="AE183" s="43">
        <f>IFERROR(IF(N(AC183)=0,"",AC183/AD183),"")</f>
        <v/>
      </c>
      <c r="AF183" s="39" t="n"/>
      <c r="AG183" s="39" t="n"/>
      <c r="AH183" s="39" t="n"/>
      <c r="AI183" s="39" t="n"/>
      <c r="AJ183" s="11">
        <f>IF(C183="","",IF(H183="VIDEO",N(L183),0))</f>
        <v/>
      </c>
      <c r="AK183" s="43">
        <f>IFERROR(IF(N(L183)=0,"",AJ183/L183),"")</f>
        <v/>
      </c>
      <c r="AL183" s="11">
        <f>IF(C183="","",N(AF183)+N(AG183)+N(AH183)+N(AI183))</f>
        <v/>
      </c>
      <c r="AM183" s="11">
        <f>IF(C183="","",MAX(N(L183),N(O183))-N(AL183))</f>
        <v/>
      </c>
      <c r="AN183" s="43">
        <f>IFERROR(IF(MAX(N(L183),N(O183))=0,"",AM183/MAX(N(L183),N(O183))),"")</f>
        <v/>
      </c>
      <c r="AO183" s="41" t="n"/>
      <c r="AP183" s="41" t="n"/>
      <c r="AQ183" s="41" t="n"/>
      <c r="AR183" s="41" t="n"/>
      <c r="AS183" s="41" t="n"/>
      <c r="AT183" s="37" t="n"/>
      <c r="AU183" s="10" t="inlineStr">
        <is>
          <t>PRD-0179</t>
        </is>
      </c>
    </row>
    <row r="184">
      <c r="A184" s="16">
        <f>IF($C184="","",IFERROR(IF(INDEX(tbl_Finance[Latest Invoice Date],MATCH($AU184,tbl_Finance[Row ID],0))="","",INDEX(tbl_Finance[Latest Invoice Date],MATCH($AU184,tbl_Finance[Row ID],0))),""))</f>
        <v/>
      </c>
      <c r="B184" s="10">
        <f>IF($C184="","",IFERROR(INDEX(tbl_Finance[Invoice Numbers],MATCH($AU184,tbl_Finance[Row ID],0))&amp;"",""))</f>
        <v/>
      </c>
      <c r="C184" s="37" t="n"/>
      <c r="D184" s="10">
        <f>IF($C184="","",IF(COUNTIF(lst_Jobs,$C184&amp;"")&gt;0,"OK","CHECK"))</f>
        <v/>
      </c>
      <c r="E184" s="10">
        <f>IF($C184="","",IFERROR(INDEX(lst_JobName,MATCH($C184&amp;"",lst_Jobs,0)),""))</f>
        <v/>
      </c>
      <c r="F184" s="37" t="n"/>
      <c r="G184" s="37" t="n"/>
      <c r="H184" s="37" t="n"/>
      <c r="I184" s="37" t="n"/>
      <c r="J184" s="37" t="n"/>
      <c r="K184" s="38">
        <f>IF($C184="","",IFERROR(N(INDEX(tbl_Finance[Invoice Count],MATCH($AU184,tbl_Finance[Row ID],0))),""))</f>
        <v/>
      </c>
      <c r="L184" s="11">
        <f>IF($C184="","",IFERROR(N(INDEX(tbl_Finance[Xero Invoiced Ex GST],MATCH($AU184,tbl_Finance[Row ID],0))),""))</f>
        <v/>
      </c>
      <c r="M184" s="10">
        <f>IF($C184="","",IFERROR(INDEX(tbl_Finance[Compare],MATCH($AU184,tbl_Finance[Row ID],0))&amp;"",""))</f>
        <v/>
      </c>
      <c r="N184" s="11">
        <f>IF($C184="","",MAX(0,N(O184)-N(L184)))</f>
        <v/>
      </c>
      <c r="O184" s="39" t="n"/>
      <c r="P184" s="40">
        <f>IF($C184="","",IF((IF(F184="",", Client","")&amp;IF(G184="",", Description","")&amp;IF(H184="",", Cost Centre","")&amp;IF(I184="",", Invoice Type","")&amp;IF(J184="",", Tax Code","")&amp;IF(O184="",", Expected Revenue","")&amp;IF(COUNTIF(tbl_Finance[Job Number],$C184&amp;"")&gt;1,", Job number used twice",""))="","Complete","Fix: "&amp;MID(IF(F184="",", Client","")&amp;IF(G184="",", Description","")&amp;IF(H184="",", Cost Centre","")&amp;IF(I184="",", Invoice Type","")&amp;IF(J184="",", Tax Code","")&amp;IF(O184="",", Expected Revenue","")&amp;IF(COUNTIF(tbl_Finance[Job Number],$C184&amp;"")&gt;1,", Job number used twice",""),3,300)))</f>
        <v/>
      </c>
      <c r="Q184" s="10">
        <f>IF($C184="","",IF(H184="","(no cost centre)",H184&amp;" - GL "&amp;IFERROR(INDEX(lst_CCtoGL,MATCH(H184,lst_CCforGL,0)),"?")))</f>
        <v/>
      </c>
      <c r="R184" s="11">
        <f>IF($C184="","",IFERROR(N(INDEX(tbl_Finance[Inc GST],MATCH($AU184,tbl_Finance[Row ID],0))),""))</f>
        <v/>
      </c>
      <c r="S184" s="37" t="n"/>
      <c r="T184" s="37" t="n"/>
      <c r="U184" s="37" t="n"/>
      <c r="V184" s="42" t="n"/>
      <c r="W184" s="37" t="n"/>
      <c r="X184" s="10">
        <f>IF(W184="","",IF(AND(LEFT(W184,4)&lt;&gt;"http",set_RMSBase=""),"",HYPERLINK(IF(LEFT(W184,4)="http",W184,set_RMSBase&amp;W184),"Open in RMS")))</f>
        <v/>
      </c>
      <c r="Y184" s="37" t="n"/>
      <c r="Z184" s="10">
        <f>IF(Y184="","",HYPERLINK(IF(LEFT(Y184,4)="http",Y184,set_QwilrBase&amp;Y184),"Open quote"))</f>
        <v/>
      </c>
      <c r="AA184" s="10">
        <f>IF(C184="","",C184)</f>
        <v/>
      </c>
      <c r="AB184" s="37" t="n"/>
      <c r="AC184" s="39" t="n"/>
      <c r="AD184" s="11">
        <f>IF(C184="","",N(L184)+N(AC184))</f>
        <v/>
      </c>
      <c r="AE184" s="43">
        <f>IFERROR(IF(N(AC184)=0,"",AC184/AD184),"")</f>
        <v/>
      </c>
      <c r="AF184" s="39" t="n"/>
      <c r="AG184" s="39" t="n"/>
      <c r="AH184" s="39" t="n"/>
      <c r="AI184" s="39" t="n"/>
      <c r="AJ184" s="11">
        <f>IF(C184="","",IF(H184="VIDEO",N(L184),0))</f>
        <v/>
      </c>
      <c r="AK184" s="43">
        <f>IFERROR(IF(N(L184)=0,"",AJ184/L184),"")</f>
        <v/>
      </c>
      <c r="AL184" s="11">
        <f>IF(C184="","",N(AF184)+N(AG184)+N(AH184)+N(AI184))</f>
        <v/>
      </c>
      <c r="AM184" s="11">
        <f>IF(C184="","",MAX(N(L184),N(O184))-N(AL184))</f>
        <v/>
      </c>
      <c r="AN184" s="43">
        <f>IFERROR(IF(MAX(N(L184),N(O184))=0,"",AM184/MAX(N(L184),N(O184))),"")</f>
        <v/>
      </c>
      <c r="AO184" s="41" t="n"/>
      <c r="AP184" s="41" t="n"/>
      <c r="AQ184" s="41" t="n"/>
      <c r="AR184" s="41" t="n"/>
      <c r="AS184" s="41" t="n"/>
      <c r="AT184" s="37" t="n"/>
      <c r="AU184" s="10" t="inlineStr">
        <is>
          <t>PRD-0180</t>
        </is>
      </c>
    </row>
    <row r="185">
      <c r="A185" s="16">
        <f>IF($C185="","",IFERROR(IF(INDEX(tbl_Finance[Latest Invoice Date],MATCH($AU185,tbl_Finance[Row ID],0))="","",INDEX(tbl_Finance[Latest Invoice Date],MATCH($AU185,tbl_Finance[Row ID],0))),""))</f>
        <v/>
      </c>
      <c r="B185" s="10">
        <f>IF($C185="","",IFERROR(INDEX(tbl_Finance[Invoice Numbers],MATCH($AU185,tbl_Finance[Row ID],0))&amp;"",""))</f>
        <v/>
      </c>
      <c r="C185" s="37" t="n"/>
      <c r="D185" s="10">
        <f>IF($C185="","",IF(COUNTIF(lst_Jobs,$C185&amp;"")&gt;0,"OK","CHECK"))</f>
        <v/>
      </c>
      <c r="E185" s="10">
        <f>IF($C185="","",IFERROR(INDEX(lst_JobName,MATCH($C185&amp;"",lst_Jobs,0)),""))</f>
        <v/>
      </c>
      <c r="F185" s="37" t="n"/>
      <c r="G185" s="37" t="n"/>
      <c r="H185" s="37" t="n"/>
      <c r="I185" s="37" t="n"/>
      <c r="J185" s="37" t="n"/>
      <c r="K185" s="38">
        <f>IF($C185="","",IFERROR(N(INDEX(tbl_Finance[Invoice Count],MATCH($AU185,tbl_Finance[Row ID],0))),""))</f>
        <v/>
      </c>
      <c r="L185" s="11">
        <f>IF($C185="","",IFERROR(N(INDEX(tbl_Finance[Xero Invoiced Ex GST],MATCH($AU185,tbl_Finance[Row ID],0))),""))</f>
        <v/>
      </c>
      <c r="M185" s="10">
        <f>IF($C185="","",IFERROR(INDEX(tbl_Finance[Compare],MATCH($AU185,tbl_Finance[Row ID],0))&amp;"",""))</f>
        <v/>
      </c>
      <c r="N185" s="11">
        <f>IF($C185="","",MAX(0,N(O185)-N(L185)))</f>
        <v/>
      </c>
      <c r="O185" s="39" t="n"/>
      <c r="P185" s="40">
        <f>IF($C185="","",IF((IF(F185="",", Client","")&amp;IF(G185="",", Description","")&amp;IF(H185="",", Cost Centre","")&amp;IF(I185="",", Invoice Type","")&amp;IF(J185="",", Tax Code","")&amp;IF(O185="",", Expected Revenue","")&amp;IF(COUNTIF(tbl_Finance[Job Number],$C185&amp;"")&gt;1,", Job number used twice",""))="","Complete","Fix: "&amp;MID(IF(F185="",", Client","")&amp;IF(G185="",", Description","")&amp;IF(H185="",", Cost Centre","")&amp;IF(I185="",", Invoice Type","")&amp;IF(J185="",", Tax Code","")&amp;IF(O185="",", Expected Revenue","")&amp;IF(COUNTIF(tbl_Finance[Job Number],$C185&amp;"")&gt;1,", Job number used twice",""),3,300)))</f>
        <v/>
      </c>
      <c r="Q185" s="10">
        <f>IF($C185="","",IF(H185="","(no cost centre)",H185&amp;" - GL "&amp;IFERROR(INDEX(lst_CCtoGL,MATCH(H185,lst_CCforGL,0)),"?")))</f>
        <v/>
      </c>
      <c r="R185" s="11">
        <f>IF($C185="","",IFERROR(N(INDEX(tbl_Finance[Inc GST],MATCH($AU185,tbl_Finance[Row ID],0))),""))</f>
        <v/>
      </c>
      <c r="S185" s="37" t="n"/>
      <c r="T185" s="37" t="n"/>
      <c r="U185" s="37" t="n"/>
      <c r="V185" s="42" t="n"/>
      <c r="W185" s="37" t="n"/>
      <c r="X185" s="10">
        <f>IF(W185="","",IF(AND(LEFT(W185,4)&lt;&gt;"http",set_RMSBase=""),"",HYPERLINK(IF(LEFT(W185,4)="http",W185,set_RMSBase&amp;W185),"Open in RMS")))</f>
        <v/>
      </c>
      <c r="Y185" s="37" t="n"/>
      <c r="Z185" s="10">
        <f>IF(Y185="","",HYPERLINK(IF(LEFT(Y185,4)="http",Y185,set_QwilrBase&amp;Y185),"Open quote"))</f>
        <v/>
      </c>
      <c r="AA185" s="10">
        <f>IF(C185="","",C185)</f>
        <v/>
      </c>
      <c r="AB185" s="37" t="n"/>
      <c r="AC185" s="39" t="n"/>
      <c r="AD185" s="11">
        <f>IF(C185="","",N(L185)+N(AC185))</f>
        <v/>
      </c>
      <c r="AE185" s="43">
        <f>IFERROR(IF(N(AC185)=0,"",AC185/AD185),"")</f>
        <v/>
      </c>
      <c r="AF185" s="39" t="n"/>
      <c r="AG185" s="39" t="n"/>
      <c r="AH185" s="39" t="n"/>
      <c r="AI185" s="39" t="n"/>
      <c r="AJ185" s="11">
        <f>IF(C185="","",IF(H185="VIDEO",N(L185),0))</f>
        <v/>
      </c>
      <c r="AK185" s="43">
        <f>IFERROR(IF(N(L185)=0,"",AJ185/L185),"")</f>
        <v/>
      </c>
      <c r="AL185" s="11">
        <f>IF(C185="","",N(AF185)+N(AG185)+N(AH185)+N(AI185))</f>
        <v/>
      </c>
      <c r="AM185" s="11">
        <f>IF(C185="","",MAX(N(L185),N(O185))-N(AL185))</f>
        <v/>
      </c>
      <c r="AN185" s="43">
        <f>IFERROR(IF(MAX(N(L185),N(O185))=0,"",AM185/MAX(N(L185),N(O185))),"")</f>
        <v/>
      </c>
      <c r="AO185" s="41" t="n"/>
      <c r="AP185" s="41" t="n"/>
      <c r="AQ185" s="41" t="n"/>
      <c r="AR185" s="41" t="n"/>
      <c r="AS185" s="41" t="n"/>
      <c r="AT185" s="37" t="n"/>
      <c r="AU185" s="10" t="inlineStr">
        <is>
          <t>PRD-0181</t>
        </is>
      </c>
    </row>
    <row r="186">
      <c r="A186" s="16">
        <f>IF($C186="","",IFERROR(IF(INDEX(tbl_Finance[Latest Invoice Date],MATCH($AU186,tbl_Finance[Row ID],0))="","",INDEX(tbl_Finance[Latest Invoice Date],MATCH($AU186,tbl_Finance[Row ID],0))),""))</f>
        <v/>
      </c>
      <c r="B186" s="10">
        <f>IF($C186="","",IFERROR(INDEX(tbl_Finance[Invoice Numbers],MATCH($AU186,tbl_Finance[Row ID],0))&amp;"",""))</f>
        <v/>
      </c>
      <c r="C186" s="37" t="n"/>
      <c r="D186" s="10">
        <f>IF($C186="","",IF(COUNTIF(lst_Jobs,$C186&amp;"")&gt;0,"OK","CHECK"))</f>
        <v/>
      </c>
      <c r="E186" s="10">
        <f>IF($C186="","",IFERROR(INDEX(lst_JobName,MATCH($C186&amp;"",lst_Jobs,0)),""))</f>
        <v/>
      </c>
      <c r="F186" s="37" t="n"/>
      <c r="G186" s="37" t="n"/>
      <c r="H186" s="37" t="n"/>
      <c r="I186" s="37" t="n"/>
      <c r="J186" s="37" t="n"/>
      <c r="K186" s="38">
        <f>IF($C186="","",IFERROR(N(INDEX(tbl_Finance[Invoice Count],MATCH($AU186,tbl_Finance[Row ID],0))),""))</f>
        <v/>
      </c>
      <c r="L186" s="11">
        <f>IF($C186="","",IFERROR(N(INDEX(tbl_Finance[Xero Invoiced Ex GST],MATCH($AU186,tbl_Finance[Row ID],0))),""))</f>
        <v/>
      </c>
      <c r="M186" s="10">
        <f>IF($C186="","",IFERROR(INDEX(tbl_Finance[Compare],MATCH($AU186,tbl_Finance[Row ID],0))&amp;"",""))</f>
        <v/>
      </c>
      <c r="N186" s="11">
        <f>IF($C186="","",MAX(0,N(O186)-N(L186)))</f>
        <v/>
      </c>
      <c r="O186" s="39" t="n"/>
      <c r="P186" s="40">
        <f>IF($C186="","",IF((IF(F186="",", Client","")&amp;IF(G186="",", Description","")&amp;IF(H186="",", Cost Centre","")&amp;IF(I186="",", Invoice Type","")&amp;IF(J186="",", Tax Code","")&amp;IF(O186="",", Expected Revenue","")&amp;IF(COUNTIF(tbl_Finance[Job Number],$C186&amp;"")&gt;1,", Job number used twice",""))="","Complete","Fix: "&amp;MID(IF(F186="",", Client","")&amp;IF(G186="",", Description","")&amp;IF(H186="",", Cost Centre","")&amp;IF(I186="",", Invoice Type","")&amp;IF(J186="",", Tax Code","")&amp;IF(O186="",", Expected Revenue","")&amp;IF(COUNTIF(tbl_Finance[Job Number],$C186&amp;"")&gt;1,", Job number used twice",""),3,300)))</f>
        <v/>
      </c>
      <c r="Q186" s="10">
        <f>IF($C186="","",IF(H186="","(no cost centre)",H186&amp;" - GL "&amp;IFERROR(INDEX(lst_CCtoGL,MATCH(H186,lst_CCforGL,0)),"?")))</f>
        <v/>
      </c>
      <c r="R186" s="11">
        <f>IF($C186="","",IFERROR(N(INDEX(tbl_Finance[Inc GST],MATCH($AU186,tbl_Finance[Row ID],0))),""))</f>
        <v/>
      </c>
      <c r="S186" s="37" t="n"/>
      <c r="T186" s="37" t="n"/>
      <c r="U186" s="37" t="n"/>
      <c r="V186" s="42" t="n"/>
      <c r="W186" s="37" t="n"/>
      <c r="X186" s="10">
        <f>IF(W186="","",IF(AND(LEFT(W186,4)&lt;&gt;"http",set_RMSBase=""),"",HYPERLINK(IF(LEFT(W186,4)="http",W186,set_RMSBase&amp;W186),"Open in RMS")))</f>
        <v/>
      </c>
      <c r="Y186" s="37" t="n"/>
      <c r="Z186" s="10">
        <f>IF(Y186="","",HYPERLINK(IF(LEFT(Y186,4)="http",Y186,set_QwilrBase&amp;Y186),"Open quote"))</f>
        <v/>
      </c>
      <c r="AA186" s="10">
        <f>IF(C186="","",C186)</f>
        <v/>
      </c>
      <c r="AB186" s="37" t="n"/>
      <c r="AC186" s="39" t="n"/>
      <c r="AD186" s="11">
        <f>IF(C186="","",N(L186)+N(AC186))</f>
        <v/>
      </c>
      <c r="AE186" s="43">
        <f>IFERROR(IF(N(AC186)=0,"",AC186/AD186),"")</f>
        <v/>
      </c>
      <c r="AF186" s="39" t="n"/>
      <c r="AG186" s="39" t="n"/>
      <c r="AH186" s="39" t="n"/>
      <c r="AI186" s="39" t="n"/>
      <c r="AJ186" s="11">
        <f>IF(C186="","",IF(H186="VIDEO",N(L186),0))</f>
        <v/>
      </c>
      <c r="AK186" s="43">
        <f>IFERROR(IF(N(L186)=0,"",AJ186/L186),"")</f>
        <v/>
      </c>
      <c r="AL186" s="11">
        <f>IF(C186="","",N(AF186)+N(AG186)+N(AH186)+N(AI186))</f>
        <v/>
      </c>
      <c r="AM186" s="11">
        <f>IF(C186="","",MAX(N(L186),N(O186))-N(AL186))</f>
        <v/>
      </c>
      <c r="AN186" s="43">
        <f>IFERROR(IF(MAX(N(L186),N(O186))=0,"",AM186/MAX(N(L186),N(O186))),"")</f>
        <v/>
      </c>
      <c r="AO186" s="41" t="n"/>
      <c r="AP186" s="41" t="n"/>
      <c r="AQ186" s="41" t="n"/>
      <c r="AR186" s="41" t="n"/>
      <c r="AS186" s="41" t="n"/>
      <c r="AT186" s="37" t="n"/>
      <c r="AU186" s="10" t="inlineStr">
        <is>
          <t>PRD-0182</t>
        </is>
      </c>
    </row>
    <row r="187">
      <c r="A187" s="16">
        <f>IF($C187="","",IFERROR(IF(INDEX(tbl_Finance[Latest Invoice Date],MATCH($AU187,tbl_Finance[Row ID],0))="","",INDEX(tbl_Finance[Latest Invoice Date],MATCH($AU187,tbl_Finance[Row ID],0))),""))</f>
        <v/>
      </c>
      <c r="B187" s="10">
        <f>IF($C187="","",IFERROR(INDEX(tbl_Finance[Invoice Numbers],MATCH($AU187,tbl_Finance[Row ID],0))&amp;"",""))</f>
        <v/>
      </c>
      <c r="C187" s="37" t="n"/>
      <c r="D187" s="10">
        <f>IF($C187="","",IF(COUNTIF(lst_Jobs,$C187&amp;"")&gt;0,"OK","CHECK"))</f>
        <v/>
      </c>
      <c r="E187" s="10">
        <f>IF($C187="","",IFERROR(INDEX(lst_JobName,MATCH($C187&amp;"",lst_Jobs,0)),""))</f>
        <v/>
      </c>
      <c r="F187" s="37" t="n"/>
      <c r="G187" s="37" t="n"/>
      <c r="H187" s="37" t="n"/>
      <c r="I187" s="37" t="n"/>
      <c r="J187" s="37" t="n"/>
      <c r="K187" s="38">
        <f>IF($C187="","",IFERROR(N(INDEX(tbl_Finance[Invoice Count],MATCH($AU187,tbl_Finance[Row ID],0))),""))</f>
        <v/>
      </c>
      <c r="L187" s="11">
        <f>IF($C187="","",IFERROR(N(INDEX(tbl_Finance[Xero Invoiced Ex GST],MATCH($AU187,tbl_Finance[Row ID],0))),""))</f>
        <v/>
      </c>
      <c r="M187" s="10">
        <f>IF($C187="","",IFERROR(INDEX(tbl_Finance[Compare],MATCH($AU187,tbl_Finance[Row ID],0))&amp;"",""))</f>
        <v/>
      </c>
      <c r="N187" s="11">
        <f>IF($C187="","",MAX(0,N(O187)-N(L187)))</f>
        <v/>
      </c>
      <c r="O187" s="39" t="n"/>
      <c r="P187" s="40">
        <f>IF($C187="","",IF((IF(F187="",", Client","")&amp;IF(G187="",", Description","")&amp;IF(H187="",", Cost Centre","")&amp;IF(I187="",", Invoice Type","")&amp;IF(J187="",", Tax Code","")&amp;IF(O187="",", Expected Revenue","")&amp;IF(COUNTIF(tbl_Finance[Job Number],$C187&amp;"")&gt;1,", Job number used twice",""))="","Complete","Fix: "&amp;MID(IF(F187="",", Client","")&amp;IF(G187="",", Description","")&amp;IF(H187="",", Cost Centre","")&amp;IF(I187="",", Invoice Type","")&amp;IF(J187="",", Tax Code","")&amp;IF(O187="",", Expected Revenue","")&amp;IF(COUNTIF(tbl_Finance[Job Number],$C187&amp;"")&gt;1,", Job number used twice",""),3,300)))</f>
        <v/>
      </c>
      <c r="Q187" s="10">
        <f>IF($C187="","",IF(H187="","(no cost centre)",H187&amp;" - GL "&amp;IFERROR(INDEX(lst_CCtoGL,MATCH(H187,lst_CCforGL,0)),"?")))</f>
        <v/>
      </c>
      <c r="R187" s="11">
        <f>IF($C187="","",IFERROR(N(INDEX(tbl_Finance[Inc GST],MATCH($AU187,tbl_Finance[Row ID],0))),""))</f>
        <v/>
      </c>
      <c r="S187" s="37" t="n"/>
      <c r="T187" s="37" t="n"/>
      <c r="U187" s="37" t="n"/>
      <c r="V187" s="42" t="n"/>
      <c r="W187" s="37" t="n"/>
      <c r="X187" s="10">
        <f>IF(W187="","",IF(AND(LEFT(W187,4)&lt;&gt;"http",set_RMSBase=""),"",HYPERLINK(IF(LEFT(W187,4)="http",W187,set_RMSBase&amp;W187),"Open in RMS")))</f>
        <v/>
      </c>
      <c r="Y187" s="37" t="n"/>
      <c r="Z187" s="10">
        <f>IF(Y187="","",HYPERLINK(IF(LEFT(Y187,4)="http",Y187,set_QwilrBase&amp;Y187),"Open quote"))</f>
        <v/>
      </c>
      <c r="AA187" s="10">
        <f>IF(C187="","",C187)</f>
        <v/>
      </c>
      <c r="AB187" s="37" t="n"/>
      <c r="AC187" s="39" t="n"/>
      <c r="AD187" s="11">
        <f>IF(C187="","",N(L187)+N(AC187))</f>
        <v/>
      </c>
      <c r="AE187" s="43">
        <f>IFERROR(IF(N(AC187)=0,"",AC187/AD187),"")</f>
        <v/>
      </c>
      <c r="AF187" s="39" t="n"/>
      <c r="AG187" s="39" t="n"/>
      <c r="AH187" s="39" t="n"/>
      <c r="AI187" s="39" t="n"/>
      <c r="AJ187" s="11">
        <f>IF(C187="","",IF(H187="VIDEO",N(L187),0))</f>
        <v/>
      </c>
      <c r="AK187" s="43">
        <f>IFERROR(IF(N(L187)=0,"",AJ187/L187),"")</f>
        <v/>
      </c>
      <c r="AL187" s="11">
        <f>IF(C187="","",N(AF187)+N(AG187)+N(AH187)+N(AI187))</f>
        <v/>
      </c>
      <c r="AM187" s="11">
        <f>IF(C187="","",MAX(N(L187),N(O187))-N(AL187))</f>
        <v/>
      </c>
      <c r="AN187" s="43">
        <f>IFERROR(IF(MAX(N(L187),N(O187))=0,"",AM187/MAX(N(L187),N(O187))),"")</f>
        <v/>
      </c>
      <c r="AO187" s="41" t="n"/>
      <c r="AP187" s="41" t="n"/>
      <c r="AQ187" s="41" t="n"/>
      <c r="AR187" s="41" t="n"/>
      <c r="AS187" s="41" t="n"/>
      <c r="AT187" s="37" t="n"/>
      <c r="AU187" s="10" t="inlineStr">
        <is>
          <t>PRD-0183</t>
        </is>
      </c>
    </row>
    <row r="188">
      <c r="A188" s="16">
        <f>IF($C188="","",IFERROR(IF(INDEX(tbl_Finance[Latest Invoice Date],MATCH($AU188,tbl_Finance[Row ID],0))="","",INDEX(tbl_Finance[Latest Invoice Date],MATCH($AU188,tbl_Finance[Row ID],0))),""))</f>
        <v/>
      </c>
      <c r="B188" s="10">
        <f>IF($C188="","",IFERROR(INDEX(tbl_Finance[Invoice Numbers],MATCH($AU188,tbl_Finance[Row ID],0))&amp;"",""))</f>
        <v/>
      </c>
      <c r="C188" s="37" t="n"/>
      <c r="D188" s="10">
        <f>IF($C188="","",IF(COUNTIF(lst_Jobs,$C188&amp;"")&gt;0,"OK","CHECK"))</f>
        <v/>
      </c>
      <c r="E188" s="10">
        <f>IF($C188="","",IFERROR(INDEX(lst_JobName,MATCH($C188&amp;"",lst_Jobs,0)),""))</f>
        <v/>
      </c>
      <c r="F188" s="37" t="n"/>
      <c r="G188" s="37" t="n"/>
      <c r="H188" s="37" t="n"/>
      <c r="I188" s="37" t="n"/>
      <c r="J188" s="37" t="n"/>
      <c r="K188" s="38">
        <f>IF($C188="","",IFERROR(N(INDEX(tbl_Finance[Invoice Count],MATCH($AU188,tbl_Finance[Row ID],0))),""))</f>
        <v/>
      </c>
      <c r="L188" s="11">
        <f>IF($C188="","",IFERROR(N(INDEX(tbl_Finance[Xero Invoiced Ex GST],MATCH($AU188,tbl_Finance[Row ID],0))),""))</f>
        <v/>
      </c>
      <c r="M188" s="10">
        <f>IF($C188="","",IFERROR(INDEX(tbl_Finance[Compare],MATCH($AU188,tbl_Finance[Row ID],0))&amp;"",""))</f>
        <v/>
      </c>
      <c r="N188" s="11">
        <f>IF($C188="","",MAX(0,N(O188)-N(L188)))</f>
        <v/>
      </c>
      <c r="O188" s="39" t="n"/>
      <c r="P188" s="40">
        <f>IF($C188="","",IF((IF(F188="",", Client","")&amp;IF(G188="",", Description","")&amp;IF(H188="",", Cost Centre","")&amp;IF(I188="",", Invoice Type","")&amp;IF(J188="",", Tax Code","")&amp;IF(O188="",", Expected Revenue","")&amp;IF(COUNTIF(tbl_Finance[Job Number],$C188&amp;"")&gt;1,", Job number used twice",""))="","Complete","Fix: "&amp;MID(IF(F188="",", Client","")&amp;IF(G188="",", Description","")&amp;IF(H188="",", Cost Centre","")&amp;IF(I188="",", Invoice Type","")&amp;IF(J188="",", Tax Code","")&amp;IF(O188="",", Expected Revenue","")&amp;IF(COUNTIF(tbl_Finance[Job Number],$C188&amp;"")&gt;1,", Job number used twice",""),3,300)))</f>
        <v/>
      </c>
      <c r="Q188" s="10">
        <f>IF($C188="","",IF(H188="","(no cost centre)",H188&amp;" - GL "&amp;IFERROR(INDEX(lst_CCtoGL,MATCH(H188,lst_CCforGL,0)),"?")))</f>
        <v/>
      </c>
      <c r="R188" s="11">
        <f>IF($C188="","",IFERROR(N(INDEX(tbl_Finance[Inc GST],MATCH($AU188,tbl_Finance[Row ID],0))),""))</f>
        <v/>
      </c>
      <c r="S188" s="37" t="n"/>
      <c r="T188" s="37" t="n"/>
      <c r="U188" s="37" t="n"/>
      <c r="V188" s="42" t="n"/>
      <c r="W188" s="37" t="n"/>
      <c r="X188" s="10">
        <f>IF(W188="","",IF(AND(LEFT(W188,4)&lt;&gt;"http",set_RMSBase=""),"",HYPERLINK(IF(LEFT(W188,4)="http",W188,set_RMSBase&amp;W188),"Open in RMS")))</f>
        <v/>
      </c>
      <c r="Y188" s="37" t="n"/>
      <c r="Z188" s="10">
        <f>IF(Y188="","",HYPERLINK(IF(LEFT(Y188,4)="http",Y188,set_QwilrBase&amp;Y188),"Open quote"))</f>
        <v/>
      </c>
      <c r="AA188" s="10">
        <f>IF(C188="","",C188)</f>
        <v/>
      </c>
      <c r="AB188" s="37" t="n"/>
      <c r="AC188" s="39" t="n"/>
      <c r="AD188" s="11">
        <f>IF(C188="","",N(L188)+N(AC188))</f>
        <v/>
      </c>
      <c r="AE188" s="43">
        <f>IFERROR(IF(N(AC188)=0,"",AC188/AD188),"")</f>
        <v/>
      </c>
      <c r="AF188" s="39" t="n"/>
      <c r="AG188" s="39" t="n"/>
      <c r="AH188" s="39" t="n"/>
      <c r="AI188" s="39" t="n"/>
      <c r="AJ188" s="11">
        <f>IF(C188="","",IF(H188="VIDEO",N(L188),0))</f>
        <v/>
      </c>
      <c r="AK188" s="43">
        <f>IFERROR(IF(N(L188)=0,"",AJ188/L188),"")</f>
        <v/>
      </c>
      <c r="AL188" s="11">
        <f>IF(C188="","",N(AF188)+N(AG188)+N(AH188)+N(AI188))</f>
        <v/>
      </c>
      <c r="AM188" s="11">
        <f>IF(C188="","",MAX(N(L188),N(O188))-N(AL188))</f>
        <v/>
      </c>
      <c r="AN188" s="43">
        <f>IFERROR(IF(MAX(N(L188),N(O188))=0,"",AM188/MAX(N(L188),N(O188))),"")</f>
        <v/>
      </c>
      <c r="AO188" s="41" t="n"/>
      <c r="AP188" s="41" t="n"/>
      <c r="AQ188" s="41" t="n"/>
      <c r="AR188" s="41" t="n"/>
      <c r="AS188" s="41" t="n"/>
      <c r="AT188" s="37" t="n"/>
      <c r="AU188" s="10" t="inlineStr">
        <is>
          <t>PRD-0184</t>
        </is>
      </c>
    </row>
    <row r="189">
      <c r="A189" s="16">
        <f>IF($C189="","",IFERROR(IF(INDEX(tbl_Finance[Latest Invoice Date],MATCH($AU189,tbl_Finance[Row ID],0))="","",INDEX(tbl_Finance[Latest Invoice Date],MATCH($AU189,tbl_Finance[Row ID],0))),""))</f>
        <v/>
      </c>
      <c r="B189" s="10">
        <f>IF($C189="","",IFERROR(INDEX(tbl_Finance[Invoice Numbers],MATCH($AU189,tbl_Finance[Row ID],0))&amp;"",""))</f>
        <v/>
      </c>
      <c r="C189" s="37" t="n"/>
      <c r="D189" s="10">
        <f>IF($C189="","",IF(COUNTIF(lst_Jobs,$C189&amp;"")&gt;0,"OK","CHECK"))</f>
        <v/>
      </c>
      <c r="E189" s="10">
        <f>IF($C189="","",IFERROR(INDEX(lst_JobName,MATCH($C189&amp;"",lst_Jobs,0)),""))</f>
        <v/>
      </c>
      <c r="F189" s="37" t="n"/>
      <c r="G189" s="37" t="n"/>
      <c r="H189" s="37" t="n"/>
      <c r="I189" s="37" t="n"/>
      <c r="J189" s="37" t="n"/>
      <c r="K189" s="38">
        <f>IF($C189="","",IFERROR(N(INDEX(tbl_Finance[Invoice Count],MATCH($AU189,tbl_Finance[Row ID],0))),""))</f>
        <v/>
      </c>
      <c r="L189" s="11">
        <f>IF($C189="","",IFERROR(N(INDEX(tbl_Finance[Xero Invoiced Ex GST],MATCH($AU189,tbl_Finance[Row ID],0))),""))</f>
        <v/>
      </c>
      <c r="M189" s="10">
        <f>IF($C189="","",IFERROR(INDEX(tbl_Finance[Compare],MATCH($AU189,tbl_Finance[Row ID],0))&amp;"",""))</f>
        <v/>
      </c>
      <c r="N189" s="11">
        <f>IF($C189="","",MAX(0,N(O189)-N(L189)))</f>
        <v/>
      </c>
      <c r="O189" s="39" t="n"/>
      <c r="P189" s="40">
        <f>IF($C189="","",IF((IF(F189="",", Client","")&amp;IF(G189="",", Description","")&amp;IF(H189="",", Cost Centre","")&amp;IF(I189="",", Invoice Type","")&amp;IF(J189="",", Tax Code","")&amp;IF(O189="",", Expected Revenue","")&amp;IF(COUNTIF(tbl_Finance[Job Number],$C189&amp;"")&gt;1,", Job number used twice",""))="","Complete","Fix: "&amp;MID(IF(F189="",", Client","")&amp;IF(G189="",", Description","")&amp;IF(H189="",", Cost Centre","")&amp;IF(I189="",", Invoice Type","")&amp;IF(J189="",", Tax Code","")&amp;IF(O189="",", Expected Revenue","")&amp;IF(COUNTIF(tbl_Finance[Job Number],$C189&amp;"")&gt;1,", Job number used twice",""),3,300)))</f>
        <v/>
      </c>
      <c r="Q189" s="10">
        <f>IF($C189="","",IF(H189="","(no cost centre)",H189&amp;" - GL "&amp;IFERROR(INDEX(lst_CCtoGL,MATCH(H189,lst_CCforGL,0)),"?")))</f>
        <v/>
      </c>
      <c r="R189" s="11">
        <f>IF($C189="","",IFERROR(N(INDEX(tbl_Finance[Inc GST],MATCH($AU189,tbl_Finance[Row ID],0))),""))</f>
        <v/>
      </c>
      <c r="S189" s="37" t="n"/>
      <c r="T189" s="37" t="n"/>
      <c r="U189" s="37" t="n"/>
      <c r="V189" s="42" t="n"/>
      <c r="W189" s="37" t="n"/>
      <c r="X189" s="10">
        <f>IF(W189="","",IF(AND(LEFT(W189,4)&lt;&gt;"http",set_RMSBase=""),"",HYPERLINK(IF(LEFT(W189,4)="http",W189,set_RMSBase&amp;W189),"Open in RMS")))</f>
        <v/>
      </c>
      <c r="Y189" s="37" t="n"/>
      <c r="Z189" s="10">
        <f>IF(Y189="","",HYPERLINK(IF(LEFT(Y189,4)="http",Y189,set_QwilrBase&amp;Y189),"Open quote"))</f>
        <v/>
      </c>
      <c r="AA189" s="10">
        <f>IF(C189="","",C189)</f>
        <v/>
      </c>
      <c r="AB189" s="37" t="n"/>
      <c r="AC189" s="39" t="n"/>
      <c r="AD189" s="11">
        <f>IF(C189="","",N(L189)+N(AC189))</f>
        <v/>
      </c>
      <c r="AE189" s="43">
        <f>IFERROR(IF(N(AC189)=0,"",AC189/AD189),"")</f>
        <v/>
      </c>
      <c r="AF189" s="39" t="n"/>
      <c r="AG189" s="39" t="n"/>
      <c r="AH189" s="39" t="n"/>
      <c r="AI189" s="39" t="n"/>
      <c r="AJ189" s="11">
        <f>IF(C189="","",IF(H189="VIDEO",N(L189),0))</f>
        <v/>
      </c>
      <c r="AK189" s="43">
        <f>IFERROR(IF(N(L189)=0,"",AJ189/L189),"")</f>
        <v/>
      </c>
      <c r="AL189" s="11">
        <f>IF(C189="","",N(AF189)+N(AG189)+N(AH189)+N(AI189))</f>
        <v/>
      </c>
      <c r="AM189" s="11">
        <f>IF(C189="","",MAX(N(L189),N(O189))-N(AL189))</f>
        <v/>
      </c>
      <c r="AN189" s="43">
        <f>IFERROR(IF(MAX(N(L189),N(O189))=0,"",AM189/MAX(N(L189),N(O189))),"")</f>
        <v/>
      </c>
      <c r="AO189" s="41" t="n"/>
      <c r="AP189" s="41" t="n"/>
      <c r="AQ189" s="41" t="n"/>
      <c r="AR189" s="41" t="n"/>
      <c r="AS189" s="41" t="n"/>
      <c r="AT189" s="37" t="n"/>
      <c r="AU189" s="10" t="inlineStr">
        <is>
          <t>PRD-0185</t>
        </is>
      </c>
    </row>
    <row r="190">
      <c r="A190" s="16">
        <f>IF($C190="","",IFERROR(IF(INDEX(tbl_Finance[Latest Invoice Date],MATCH($AU190,tbl_Finance[Row ID],0))="","",INDEX(tbl_Finance[Latest Invoice Date],MATCH($AU190,tbl_Finance[Row ID],0))),""))</f>
        <v/>
      </c>
      <c r="B190" s="10">
        <f>IF($C190="","",IFERROR(INDEX(tbl_Finance[Invoice Numbers],MATCH($AU190,tbl_Finance[Row ID],0))&amp;"",""))</f>
        <v/>
      </c>
      <c r="C190" s="37" t="n"/>
      <c r="D190" s="10">
        <f>IF($C190="","",IF(COUNTIF(lst_Jobs,$C190&amp;"")&gt;0,"OK","CHECK"))</f>
        <v/>
      </c>
      <c r="E190" s="10">
        <f>IF($C190="","",IFERROR(INDEX(lst_JobName,MATCH($C190&amp;"",lst_Jobs,0)),""))</f>
        <v/>
      </c>
      <c r="F190" s="37" t="n"/>
      <c r="G190" s="37" t="n"/>
      <c r="H190" s="37" t="n"/>
      <c r="I190" s="37" t="n"/>
      <c r="J190" s="37" t="n"/>
      <c r="K190" s="38">
        <f>IF($C190="","",IFERROR(N(INDEX(tbl_Finance[Invoice Count],MATCH($AU190,tbl_Finance[Row ID],0))),""))</f>
        <v/>
      </c>
      <c r="L190" s="11">
        <f>IF($C190="","",IFERROR(N(INDEX(tbl_Finance[Xero Invoiced Ex GST],MATCH($AU190,tbl_Finance[Row ID],0))),""))</f>
        <v/>
      </c>
      <c r="M190" s="10">
        <f>IF($C190="","",IFERROR(INDEX(tbl_Finance[Compare],MATCH($AU190,tbl_Finance[Row ID],0))&amp;"",""))</f>
        <v/>
      </c>
      <c r="N190" s="11">
        <f>IF($C190="","",MAX(0,N(O190)-N(L190)))</f>
        <v/>
      </c>
      <c r="O190" s="39" t="n"/>
      <c r="P190" s="40">
        <f>IF($C190="","",IF((IF(F190="",", Client","")&amp;IF(G190="",", Description","")&amp;IF(H190="",", Cost Centre","")&amp;IF(I190="",", Invoice Type","")&amp;IF(J190="",", Tax Code","")&amp;IF(O190="",", Expected Revenue","")&amp;IF(COUNTIF(tbl_Finance[Job Number],$C190&amp;"")&gt;1,", Job number used twice",""))="","Complete","Fix: "&amp;MID(IF(F190="",", Client","")&amp;IF(G190="",", Description","")&amp;IF(H190="",", Cost Centre","")&amp;IF(I190="",", Invoice Type","")&amp;IF(J190="",", Tax Code","")&amp;IF(O190="",", Expected Revenue","")&amp;IF(COUNTIF(tbl_Finance[Job Number],$C190&amp;"")&gt;1,", Job number used twice",""),3,300)))</f>
        <v/>
      </c>
      <c r="Q190" s="10">
        <f>IF($C190="","",IF(H190="","(no cost centre)",H190&amp;" - GL "&amp;IFERROR(INDEX(lst_CCtoGL,MATCH(H190,lst_CCforGL,0)),"?")))</f>
        <v/>
      </c>
      <c r="R190" s="11">
        <f>IF($C190="","",IFERROR(N(INDEX(tbl_Finance[Inc GST],MATCH($AU190,tbl_Finance[Row ID],0))),""))</f>
        <v/>
      </c>
      <c r="S190" s="37" t="n"/>
      <c r="T190" s="37" t="n"/>
      <c r="U190" s="37" t="n"/>
      <c r="V190" s="42" t="n"/>
      <c r="W190" s="37" t="n"/>
      <c r="X190" s="10">
        <f>IF(W190="","",IF(AND(LEFT(W190,4)&lt;&gt;"http",set_RMSBase=""),"",HYPERLINK(IF(LEFT(W190,4)="http",W190,set_RMSBase&amp;W190),"Open in RMS")))</f>
        <v/>
      </c>
      <c r="Y190" s="37" t="n"/>
      <c r="Z190" s="10">
        <f>IF(Y190="","",HYPERLINK(IF(LEFT(Y190,4)="http",Y190,set_QwilrBase&amp;Y190),"Open quote"))</f>
        <v/>
      </c>
      <c r="AA190" s="10">
        <f>IF(C190="","",C190)</f>
        <v/>
      </c>
      <c r="AB190" s="37" t="n"/>
      <c r="AC190" s="39" t="n"/>
      <c r="AD190" s="11">
        <f>IF(C190="","",N(L190)+N(AC190))</f>
        <v/>
      </c>
      <c r="AE190" s="43">
        <f>IFERROR(IF(N(AC190)=0,"",AC190/AD190),"")</f>
        <v/>
      </c>
      <c r="AF190" s="39" t="n"/>
      <c r="AG190" s="39" t="n"/>
      <c r="AH190" s="39" t="n"/>
      <c r="AI190" s="39" t="n"/>
      <c r="AJ190" s="11">
        <f>IF(C190="","",IF(H190="VIDEO",N(L190),0))</f>
        <v/>
      </c>
      <c r="AK190" s="43">
        <f>IFERROR(IF(N(L190)=0,"",AJ190/L190),"")</f>
        <v/>
      </c>
      <c r="AL190" s="11">
        <f>IF(C190="","",N(AF190)+N(AG190)+N(AH190)+N(AI190))</f>
        <v/>
      </c>
      <c r="AM190" s="11">
        <f>IF(C190="","",MAX(N(L190),N(O190))-N(AL190))</f>
        <v/>
      </c>
      <c r="AN190" s="43">
        <f>IFERROR(IF(MAX(N(L190),N(O190))=0,"",AM190/MAX(N(L190),N(O190))),"")</f>
        <v/>
      </c>
      <c r="AO190" s="41" t="n"/>
      <c r="AP190" s="41" t="n"/>
      <c r="AQ190" s="41" t="n"/>
      <c r="AR190" s="41" t="n"/>
      <c r="AS190" s="41" t="n"/>
      <c r="AT190" s="37" t="n"/>
      <c r="AU190" s="10" t="inlineStr">
        <is>
          <t>PRD-0186</t>
        </is>
      </c>
    </row>
    <row r="191">
      <c r="A191" s="16">
        <f>IF($C191="","",IFERROR(IF(INDEX(tbl_Finance[Latest Invoice Date],MATCH($AU191,tbl_Finance[Row ID],0))="","",INDEX(tbl_Finance[Latest Invoice Date],MATCH($AU191,tbl_Finance[Row ID],0))),""))</f>
        <v/>
      </c>
      <c r="B191" s="10">
        <f>IF($C191="","",IFERROR(INDEX(tbl_Finance[Invoice Numbers],MATCH($AU191,tbl_Finance[Row ID],0))&amp;"",""))</f>
        <v/>
      </c>
      <c r="C191" s="37" t="n"/>
      <c r="D191" s="10">
        <f>IF($C191="","",IF(COUNTIF(lst_Jobs,$C191&amp;"")&gt;0,"OK","CHECK"))</f>
        <v/>
      </c>
      <c r="E191" s="10">
        <f>IF($C191="","",IFERROR(INDEX(lst_JobName,MATCH($C191&amp;"",lst_Jobs,0)),""))</f>
        <v/>
      </c>
      <c r="F191" s="37" t="n"/>
      <c r="G191" s="37" t="n"/>
      <c r="H191" s="37" t="n"/>
      <c r="I191" s="37" t="n"/>
      <c r="J191" s="37" t="n"/>
      <c r="K191" s="38">
        <f>IF($C191="","",IFERROR(N(INDEX(tbl_Finance[Invoice Count],MATCH($AU191,tbl_Finance[Row ID],0))),""))</f>
        <v/>
      </c>
      <c r="L191" s="11">
        <f>IF($C191="","",IFERROR(N(INDEX(tbl_Finance[Xero Invoiced Ex GST],MATCH($AU191,tbl_Finance[Row ID],0))),""))</f>
        <v/>
      </c>
      <c r="M191" s="10">
        <f>IF($C191="","",IFERROR(INDEX(tbl_Finance[Compare],MATCH($AU191,tbl_Finance[Row ID],0))&amp;"",""))</f>
        <v/>
      </c>
      <c r="N191" s="11">
        <f>IF($C191="","",MAX(0,N(O191)-N(L191)))</f>
        <v/>
      </c>
      <c r="O191" s="39" t="n"/>
      <c r="P191" s="40">
        <f>IF($C191="","",IF((IF(F191="",", Client","")&amp;IF(G191="",", Description","")&amp;IF(H191="",", Cost Centre","")&amp;IF(I191="",", Invoice Type","")&amp;IF(J191="",", Tax Code","")&amp;IF(O191="",", Expected Revenue","")&amp;IF(COUNTIF(tbl_Finance[Job Number],$C191&amp;"")&gt;1,", Job number used twice",""))="","Complete","Fix: "&amp;MID(IF(F191="",", Client","")&amp;IF(G191="",", Description","")&amp;IF(H191="",", Cost Centre","")&amp;IF(I191="",", Invoice Type","")&amp;IF(J191="",", Tax Code","")&amp;IF(O191="",", Expected Revenue","")&amp;IF(COUNTIF(tbl_Finance[Job Number],$C191&amp;"")&gt;1,", Job number used twice",""),3,300)))</f>
        <v/>
      </c>
      <c r="Q191" s="10">
        <f>IF($C191="","",IF(H191="","(no cost centre)",H191&amp;" - GL "&amp;IFERROR(INDEX(lst_CCtoGL,MATCH(H191,lst_CCforGL,0)),"?")))</f>
        <v/>
      </c>
      <c r="R191" s="11">
        <f>IF($C191="","",IFERROR(N(INDEX(tbl_Finance[Inc GST],MATCH($AU191,tbl_Finance[Row ID],0))),""))</f>
        <v/>
      </c>
      <c r="S191" s="37" t="n"/>
      <c r="T191" s="37" t="n"/>
      <c r="U191" s="37" t="n"/>
      <c r="V191" s="42" t="n"/>
      <c r="W191" s="37" t="n"/>
      <c r="X191" s="10">
        <f>IF(W191="","",IF(AND(LEFT(W191,4)&lt;&gt;"http",set_RMSBase=""),"",HYPERLINK(IF(LEFT(W191,4)="http",W191,set_RMSBase&amp;W191),"Open in RMS")))</f>
        <v/>
      </c>
      <c r="Y191" s="37" t="n"/>
      <c r="Z191" s="10">
        <f>IF(Y191="","",HYPERLINK(IF(LEFT(Y191,4)="http",Y191,set_QwilrBase&amp;Y191),"Open quote"))</f>
        <v/>
      </c>
      <c r="AA191" s="10">
        <f>IF(C191="","",C191)</f>
        <v/>
      </c>
      <c r="AB191" s="37" t="n"/>
      <c r="AC191" s="39" t="n"/>
      <c r="AD191" s="11">
        <f>IF(C191="","",N(L191)+N(AC191))</f>
        <v/>
      </c>
      <c r="AE191" s="43">
        <f>IFERROR(IF(N(AC191)=0,"",AC191/AD191),"")</f>
        <v/>
      </c>
      <c r="AF191" s="39" t="n"/>
      <c r="AG191" s="39" t="n"/>
      <c r="AH191" s="39" t="n"/>
      <c r="AI191" s="39" t="n"/>
      <c r="AJ191" s="11">
        <f>IF(C191="","",IF(H191="VIDEO",N(L191),0))</f>
        <v/>
      </c>
      <c r="AK191" s="43">
        <f>IFERROR(IF(N(L191)=0,"",AJ191/L191),"")</f>
        <v/>
      </c>
      <c r="AL191" s="11">
        <f>IF(C191="","",N(AF191)+N(AG191)+N(AH191)+N(AI191))</f>
        <v/>
      </c>
      <c r="AM191" s="11">
        <f>IF(C191="","",MAX(N(L191),N(O191))-N(AL191))</f>
        <v/>
      </c>
      <c r="AN191" s="43">
        <f>IFERROR(IF(MAX(N(L191),N(O191))=0,"",AM191/MAX(N(L191),N(O191))),"")</f>
        <v/>
      </c>
      <c r="AO191" s="41" t="n"/>
      <c r="AP191" s="41" t="n"/>
      <c r="AQ191" s="41" t="n"/>
      <c r="AR191" s="41" t="n"/>
      <c r="AS191" s="41" t="n"/>
      <c r="AT191" s="37" t="n"/>
      <c r="AU191" s="10" t="inlineStr">
        <is>
          <t>PRD-0187</t>
        </is>
      </c>
    </row>
    <row r="192">
      <c r="A192" s="16">
        <f>IF($C192="","",IFERROR(IF(INDEX(tbl_Finance[Latest Invoice Date],MATCH($AU192,tbl_Finance[Row ID],0))="","",INDEX(tbl_Finance[Latest Invoice Date],MATCH($AU192,tbl_Finance[Row ID],0))),""))</f>
        <v/>
      </c>
      <c r="B192" s="10">
        <f>IF($C192="","",IFERROR(INDEX(tbl_Finance[Invoice Numbers],MATCH($AU192,tbl_Finance[Row ID],0))&amp;"",""))</f>
        <v/>
      </c>
      <c r="C192" s="37" t="n"/>
      <c r="D192" s="10">
        <f>IF($C192="","",IF(COUNTIF(lst_Jobs,$C192&amp;"")&gt;0,"OK","CHECK"))</f>
        <v/>
      </c>
      <c r="E192" s="10">
        <f>IF($C192="","",IFERROR(INDEX(lst_JobName,MATCH($C192&amp;"",lst_Jobs,0)),""))</f>
        <v/>
      </c>
      <c r="F192" s="37" t="n"/>
      <c r="G192" s="37" t="n"/>
      <c r="H192" s="37" t="n"/>
      <c r="I192" s="37" t="n"/>
      <c r="J192" s="37" t="n"/>
      <c r="K192" s="38">
        <f>IF($C192="","",IFERROR(N(INDEX(tbl_Finance[Invoice Count],MATCH($AU192,tbl_Finance[Row ID],0))),""))</f>
        <v/>
      </c>
      <c r="L192" s="11">
        <f>IF($C192="","",IFERROR(N(INDEX(tbl_Finance[Xero Invoiced Ex GST],MATCH($AU192,tbl_Finance[Row ID],0))),""))</f>
        <v/>
      </c>
      <c r="M192" s="10">
        <f>IF($C192="","",IFERROR(INDEX(tbl_Finance[Compare],MATCH($AU192,tbl_Finance[Row ID],0))&amp;"",""))</f>
        <v/>
      </c>
      <c r="N192" s="11">
        <f>IF($C192="","",MAX(0,N(O192)-N(L192)))</f>
        <v/>
      </c>
      <c r="O192" s="39" t="n"/>
      <c r="P192" s="40">
        <f>IF($C192="","",IF((IF(F192="",", Client","")&amp;IF(G192="",", Description","")&amp;IF(H192="",", Cost Centre","")&amp;IF(I192="",", Invoice Type","")&amp;IF(J192="",", Tax Code","")&amp;IF(O192="",", Expected Revenue","")&amp;IF(COUNTIF(tbl_Finance[Job Number],$C192&amp;"")&gt;1,", Job number used twice",""))="","Complete","Fix: "&amp;MID(IF(F192="",", Client","")&amp;IF(G192="",", Description","")&amp;IF(H192="",", Cost Centre","")&amp;IF(I192="",", Invoice Type","")&amp;IF(J192="",", Tax Code","")&amp;IF(O192="",", Expected Revenue","")&amp;IF(COUNTIF(tbl_Finance[Job Number],$C192&amp;"")&gt;1,", Job number used twice",""),3,300)))</f>
        <v/>
      </c>
      <c r="Q192" s="10">
        <f>IF($C192="","",IF(H192="","(no cost centre)",H192&amp;" - GL "&amp;IFERROR(INDEX(lst_CCtoGL,MATCH(H192,lst_CCforGL,0)),"?")))</f>
        <v/>
      </c>
      <c r="R192" s="11">
        <f>IF($C192="","",IFERROR(N(INDEX(tbl_Finance[Inc GST],MATCH($AU192,tbl_Finance[Row ID],0))),""))</f>
        <v/>
      </c>
      <c r="S192" s="37" t="n"/>
      <c r="T192" s="37" t="n"/>
      <c r="U192" s="37" t="n"/>
      <c r="V192" s="42" t="n"/>
      <c r="W192" s="37" t="n"/>
      <c r="X192" s="10">
        <f>IF(W192="","",IF(AND(LEFT(W192,4)&lt;&gt;"http",set_RMSBase=""),"",HYPERLINK(IF(LEFT(W192,4)="http",W192,set_RMSBase&amp;W192),"Open in RMS")))</f>
        <v/>
      </c>
      <c r="Y192" s="37" t="n"/>
      <c r="Z192" s="10">
        <f>IF(Y192="","",HYPERLINK(IF(LEFT(Y192,4)="http",Y192,set_QwilrBase&amp;Y192),"Open quote"))</f>
        <v/>
      </c>
      <c r="AA192" s="10">
        <f>IF(C192="","",C192)</f>
        <v/>
      </c>
      <c r="AB192" s="37" t="n"/>
      <c r="AC192" s="39" t="n"/>
      <c r="AD192" s="11">
        <f>IF(C192="","",N(L192)+N(AC192))</f>
        <v/>
      </c>
      <c r="AE192" s="43">
        <f>IFERROR(IF(N(AC192)=0,"",AC192/AD192),"")</f>
        <v/>
      </c>
      <c r="AF192" s="39" t="n"/>
      <c r="AG192" s="39" t="n"/>
      <c r="AH192" s="39" t="n"/>
      <c r="AI192" s="39" t="n"/>
      <c r="AJ192" s="11">
        <f>IF(C192="","",IF(H192="VIDEO",N(L192),0))</f>
        <v/>
      </c>
      <c r="AK192" s="43">
        <f>IFERROR(IF(N(L192)=0,"",AJ192/L192),"")</f>
        <v/>
      </c>
      <c r="AL192" s="11">
        <f>IF(C192="","",N(AF192)+N(AG192)+N(AH192)+N(AI192))</f>
        <v/>
      </c>
      <c r="AM192" s="11">
        <f>IF(C192="","",MAX(N(L192),N(O192))-N(AL192))</f>
        <v/>
      </c>
      <c r="AN192" s="43">
        <f>IFERROR(IF(MAX(N(L192),N(O192))=0,"",AM192/MAX(N(L192),N(O192))),"")</f>
        <v/>
      </c>
      <c r="AO192" s="41" t="n"/>
      <c r="AP192" s="41" t="n"/>
      <c r="AQ192" s="41" t="n"/>
      <c r="AR192" s="41" t="n"/>
      <c r="AS192" s="41" t="n"/>
      <c r="AT192" s="37" t="n"/>
      <c r="AU192" s="10" t="inlineStr">
        <is>
          <t>PRD-0188</t>
        </is>
      </c>
    </row>
    <row r="193">
      <c r="A193" s="16">
        <f>IF($C193="","",IFERROR(IF(INDEX(tbl_Finance[Latest Invoice Date],MATCH($AU193,tbl_Finance[Row ID],0))="","",INDEX(tbl_Finance[Latest Invoice Date],MATCH($AU193,tbl_Finance[Row ID],0))),""))</f>
        <v/>
      </c>
      <c r="B193" s="10">
        <f>IF($C193="","",IFERROR(INDEX(tbl_Finance[Invoice Numbers],MATCH($AU193,tbl_Finance[Row ID],0))&amp;"",""))</f>
        <v/>
      </c>
      <c r="C193" s="37" t="n"/>
      <c r="D193" s="10">
        <f>IF($C193="","",IF(COUNTIF(lst_Jobs,$C193&amp;"")&gt;0,"OK","CHECK"))</f>
        <v/>
      </c>
      <c r="E193" s="10">
        <f>IF($C193="","",IFERROR(INDEX(lst_JobName,MATCH($C193&amp;"",lst_Jobs,0)),""))</f>
        <v/>
      </c>
      <c r="F193" s="37" t="n"/>
      <c r="G193" s="37" t="n"/>
      <c r="H193" s="37" t="n"/>
      <c r="I193" s="37" t="n"/>
      <c r="J193" s="37" t="n"/>
      <c r="K193" s="38">
        <f>IF($C193="","",IFERROR(N(INDEX(tbl_Finance[Invoice Count],MATCH($AU193,tbl_Finance[Row ID],0))),""))</f>
        <v/>
      </c>
      <c r="L193" s="11">
        <f>IF($C193="","",IFERROR(N(INDEX(tbl_Finance[Xero Invoiced Ex GST],MATCH($AU193,tbl_Finance[Row ID],0))),""))</f>
        <v/>
      </c>
      <c r="M193" s="10">
        <f>IF($C193="","",IFERROR(INDEX(tbl_Finance[Compare],MATCH($AU193,tbl_Finance[Row ID],0))&amp;"",""))</f>
        <v/>
      </c>
      <c r="N193" s="11">
        <f>IF($C193="","",MAX(0,N(O193)-N(L193)))</f>
        <v/>
      </c>
      <c r="O193" s="39" t="n"/>
      <c r="P193" s="40">
        <f>IF($C193="","",IF((IF(F193="",", Client","")&amp;IF(G193="",", Description","")&amp;IF(H193="",", Cost Centre","")&amp;IF(I193="",", Invoice Type","")&amp;IF(J193="",", Tax Code","")&amp;IF(O193="",", Expected Revenue","")&amp;IF(COUNTIF(tbl_Finance[Job Number],$C193&amp;"")&gt;1,", Job number used twice",""))="","Complete","Fix: "&amp;MID(IF(F193="",", Client","")&amp;IF(G193="",", Description","")&amp;IF(H193="",", Cost Centre","")&amp;IF(I193="",", Invoice Type","")&amp;IF(J193="",", Tax Code","")&amp;IF(O193="",", Expected Revenue","")&amp;IF(COUNTIF(tbl_Finance[Job Number],$C193&amp;"")&gt;1,", Job number used twice",""),3,300)))</f>
        <v/>
      </c>
      <c r="Q193" s="10">
        <f>IF($C193="","",IF(H193="","(no cost centre)",H193&amp;" - GL "&amp;IFERROR(INDEX(lst_CCtoGL,MATCH(H193,lst_CCforGL,0)),"?")))</f>
        <v/>
      </c>
      <c r="R193" s="11">
        <f>IF($C193="","",IFERROR(N(INDEX(tbl_Finance[Inc GST],MATCH($AU193,tbl_Finance[Row ID],0))),""))</f>
        <v/>
      </c>
      <c r="S193" s="37" t="n"/>
      <c r="T193" s="37" t="n"/>
      <c r="U193" s="37" t="n"/>
      <c r="V193" s="42" t="n"/>
      <c r="W193" s="37" t="n"/>
      <c r="X193" s="10">
        <f>IF(W193="","",IF(AND(LEFT(W193,4)&lt;&gt;"http",set_RMSBase=""),"",HYPERLINK(IF(LEFT(W193,4)="http",W193,set_RMSBase&amp;W193),"Open in RMS")))</f>
        <v/>
      </c>
      <c r="Y193" s="37" t="n"/>
      <c r="Z193" s="10">
        <f>IF(Y193="","",HYPERLINK(IF(LEFT(Y193,4)="http",Y193,set_QwilrBase&amp;Y193),"Open quote"))</f>
        <v/>
      </c>
      <c r="AA193" s="10">
        <f>IF(C193="","",C193)</f>
        <v/>
      </c>
      <c r="AB193" s="37" t="n"/>
      <c r="AC193" s="39" t="n"/>
      <c r="AD193" s="11">
        <f>IF(C193="","",N(L193)+N(AC193))</f>
        <v/>
      </c>
      <c r="AE193" s="43">
        <f>IFERROR(IF(N(AC193)=0,"",AC193/AD193),"")</f>
        <v/>
      </c>
      <c r="AF193" s="39" t="n"/>
      <c r="AG193" s="39" t="n"/>
      <c r="AH193" s="39" t="n"/>
      <c r="AI193" s="39" t="n"/>
      <c r="AJ193" s="11">
        <f>IF(C193="","",IF(H193="VIDEO",N(L193),0))</f>
        <v/>
      </c>
      <c r="AK193" s="43">
        <f>IFERROR(IF(N(L193)=0,"",AJ193/L193),"")</f>
        <v/>
      </c>
      <c r="AL193" s="11">
        <f>IF(C193="","",N(AF193)+N(AG193)+N(AH193)+N(AI193))</f>
        <v/>
      </c>
      <c r="AM193" s="11">
        <f>IF(C193="","",MAX(N(L193),N(O193))-N(AL193))</f>
        <v/>
      </c>
      <c r="AN193" s="43">
        <f>IFERROR(IF(MAX(N(L193),N(O193))=0,"",AM193/MAX(N(L193),N(O193))),"")</f>
        <v/>
      </c>
      <c r="AO193" s="41" t="n"/>
      <c r="AP193" s="41" t="n"/>
      <c r="AQ193" s="41" t="n"/>
      <c r="AR193" s="41" t="n"/>
      <c r="AS193" s="41" t="n"/>
      <c r="AT193" s="37" t="n"/>
      <c r="AU193" s="10" t="inlineStr">
        <is>
          <t>PRD-0189</t>
        </is>
      </c>
    </row>
    <row r="194">
      <c r="A194" s="16">
        <f>IF($C194="","",IFERROR(IF(INDEX(tbl_Finance[Latest Invoice Date],MATCH($AU194,tbl_Finance[Row ID],0))="","",INDEX(tbl_Finance[Latest Invoice Date],MATCH($AU194,tbl_Finance[Row ID],0))),""))</f>
        <v/>
      </c>
      <c r="B194" s="10">
        <f>IF($C194="","",IFERROR(INDEX(tbl_Finance[Invoice Numbers],MATCH($AU194,tbl_Finance[Row ID],0))&amp;"",""))</f>
        <v/>
      </c>
      <c r="C194" s="37" t="n"/>
      <c r="D194" s="10">
        <f>IF($C194="","",IF(COUNTIF(lst_Jobs,$C194&amp;"")&gt;0,"OK","CHECK"))</f>
        <v/>
      </c>
      <c r="E194" s="10">
        <f>IF($C194="","",IFERROR(INDEX(lst_JobName,MATCH($C194&amp;"",lst_Jobs,0)),""))</f>
        <v/>
      </c>
      <c r="F194" s="37" t="n"/>
      <c r="G194" s="37" t="n"/>
      <c r="H194" s="37" t="n"/>
      <c r="I194" s="37" t="n"/>
      <c r="J194" s="37" t="n"/>
      <c r="K194" s="38">
        <f>IF($C194="","",IFERROR(N(INDEX(tbl_Finance[Invoice Count],MATCH($AU194,tbl_Finance[Row ID],0))),""))</f>
        <v/>
      </c>
      <c r="L194" s="11">
        <f>IF($C194="","",IFERROR(N(INDEX(tbl_Finance[Xero Invoiced Ex GST],MATCH($AU194,tbl_Finance[Row ID],0))),""))</f>
        <v/>
      </c>
      <c r="M194" s="10">
        <f>IF($C194="","",IFERROR(INDEX(tbl_Finance[Compare],MATCH($AU194,tbl_Finance[Row ID],0))&amp;"",""))</f>
        <v/>
      </c>
      <c r="N194" s="11">
        <f>IF($C194="","",MAX(0,N(O194)-N(L194)))</f>
        <v/>
      </c>
      <c r="O194" s="39" t="n"/>
      <c r="P194" s="40">
        <f>IF($C194="","",IF((IF(F194="",", Client","")&amp;IF(G194="",", Description","")&amp;IF(H194="",", Cost Centre","")&amp;IF(I194="",", Invoice Type","")&amp;IF(J194="",", Tax Code","")&amp;IF(O194="",", Expected Revenue","")&amp;IF(COUNTIF(tbl_Finance[Job Number],$C194&amp;"")&gt;1,", Job number used twice",""))="","Complete","Fix: "&amp;MID(IF(F194="",", Client","")&amp;IF(G194="",", Description","")&amp;IF(H194="",", Cost Centre","")&amp;IF(I194="",", Invoice Type","")&amp;IF(J194="",", Tax Code","")&amp;IF(O194="",", Expected Revenue","")&amp;IF(COUNTIF(tbl_Finance[Job Number],$C194&amp;"")&gt;1,", Job number used twice",""),3,300)))</f>
        <v/>
      </c>
      <c r="Q194" s="10">
        <f>IF($C194="","",IF(H194="","(no cost centre)",H194&amp;" - GL "&amp;IFERROR(INDEX(lst_CCtoGL,MATCH(H194,lst_CCforGL,0)),"?")))</f>
        <v/>
      </c>
      <c r="R194" s="11">
        <f>IF($C194="","",IFERROR(N(INDEX(tbl_Finance[Inc GST],MATCH($AU194,tbl_Finance[Row ID],0))),""))</f>
        <v/>
      </c>
      <c r="S194" s="37" t="n"/>
      <c r="T194" s="37" t="n"/>
      <c r="U194" s="37" t="n"/>
      <c r="V194" s="42" t="n"/>
      <c r="W194" s="37" t="n"/>
      <c r="X194" s="10">
        <f>IF(W194="","",IF(AND(LEFT(W194,4)&lt;&gt;"http",set_RMSBase=""),"",HYPERLINK(IF(LEFT(W194,4)="http",W194,set_RMSBase&amp;W194),"Open in RMS")))</f>
        <v/>
      </c>
      <c r="Y194" s="37" t="n"/>
      <c r="Z194" s="10">
        <f>IF(Y194="","",HYPERLINK(IF(LEFT(Y194,4)="http",Y194,set_QwilrBase&amp;Y194),"Open quote"))</f>
        <v/>
      </c>
      <c r="AA194" s="10">
        <f>IF(C194="","",C194)</f>
        <v/>
      </c>
      <c r="AB194" s="37" t="n"/>
      <c r="AC194" s="39" t="n"/>
      <c r="AD194" s="11">
        <f>IF(C194="","",N(L194)+N(AC194))</f>
        <v/>
      </c>
      <c r="AE194" s="43">
        <f>IFERROR(IF(N(AC194)=0,"",AC194/AD194),"")</f>
        <v/>
      </c>
      <c r="AF194" s="39" t="n"/>
      <c r="AG194" s="39" t="n"/>
      <c r="AH194" s="39" t="n"/>
      <c r="AI194" s="39" t="n"/>
      <c r="AJ194" s="11">
        <f>IF(C194="","",IF(H194="VIDEO",N(L194),0))</f>
        <v/>
      </c>
      <c r="AK194" s="43">
        <f>IFERROR(IF(N(L194)=0,"",AJ194/L194),"")</f>
        <v/>
      </c>
      <c r="AL194" s="11">
        <f>IF(C194="","",N(AF194)+N(AG194)+N(AH194)+N(AI194))</f>
        <v/>
      </c>
      <c r="AM194" s="11">
        <f>IF(C194="","",MAX(N(L194),N(O194))-N(AL194))</f>
        <v/>
      </c>
      <c r="AN194" s="43">
        <f>IFERROR(IF(MAX(N(L194),N(O194))=0,"",AM194/MAX(N(L194),N(O194))),"")</f>
        <v/>
      </c>
      <c r="AO194" s="41" t="n"/>
      <c r="AP194" s="41" t="n"/>
      <c r="AQ194" s="41" t="n"/>
      <c r="AR194" s="41" t="n"/>
      <c r="AS194" s="41" t="n"/>
      <c r="AT194" s="37" t="n"/>
      <c r="AU194" s="10" t="inlineStr">
        <is>
          <t>PRD-0190</t>
        </is>
      </c>
    </row>
    <row r="195">
      <c r="A195" s="16">
        <f>IF($C195="","",IFERROR(IF(INDEX(tbl_Finance[Latest Invoice Date],MATCH($AU195,tbl_Finance[Row ID],0))="","",INDEX(tbl_Finance[Latest Invoice Date],MATCH($AU195,tbl_Finance[Row ID],0))),""))</f>
        <v/>
      </c>
      <c r="B195" s="10">
        <f>IF($C195="","",IFERROR(INDEX(tbl_Finance[Invoice Numbers],MATCH($AU195,tbl_Finance[Row ID],0))&amp;"",""))</f>
        <v/>
      </c>
      <c r="C195" s="37" t="n"/>
      <c r="D195" s="10">
        <f>IF($C195="","",IF(COUNTIF(lst_Jobs,$C195&amp;"")&gt;0,"OK","CHECK"))</f>
        <v/>
      </c>
      <c r="E195" s="10">
        <f>IF($C195="","",IFERROR(INDEX(lst_JobName,MATCH($C195&amp;"",lst_Jobs,0)),""))</f>
        <v/>
      </c>
      <c r="F195" s="37" t="n"/>
      <c r="G195" s="37" t="n"/>
      <c r="H195" s="37" t="n"/>
      <c r="I195" s="37" t="n"/>
      <c r="J195" s="37" t="n"/>
      <c r="K195" s="38">
        <f>IF($C195="","",IFERROR(N(INDEX(tbl_Finance[Invoice Count],MATCH($AU195,tbl_Finance[Row ID],0))),""))</f>
        <v/>
      </c>
      <c r="L195" s="11">
        <f>IF($C195="","",IFERROR(N(INDEX(tbl_Finance[Xero Invoiced Ex GST],MATCH($AU195,tbl_Finance[Row ID],0))),""))</f>
        <v/>
      </c>
      <c r="M195" s="10">
        <f>IF($C195="","",IFERROR(INDEX(tbl_Finance[Compare],MATCH($AU195,tbl_Finance[Row ID],0))&amp;"",""))</f>
        <v/>
      </c>
      <c r="N195" s="11">
        <f>IF($C195="","",MAX(0,N(O195)-N(L195)))</f>
        <v/>
      </c>
      <c r="O195" s="39" t="n"/>
      <c r="P195" s="40">
        <f>IF($C195="","",IF((IF(F195="",", Client","")&amp;IF(G195="",", Description","")&amp;IF(H195="",", Cost Centre","")&amp;IF(I195="",", Invoice Type","")&amp;IF(J195="",", Tax Code","")&amp;IF(O195="",", Expected Revenue","")&amp;IF(COUNTIF(tbl_Finance[Job Number],$C195&amp;"")&gt;1,", Job number used twice",""))="","Complete","Fix: "&amp;MID(IF(F195="",", Client","")&amp;IF(G195="",", Description","")&amp;IF(H195="",", Cost Centre","")&amp;IF(I195="",", Invoice Type","")&amp;IF(J195="",", Tax Code","")&amp;IF(O195="",", Expected Revenue","")&amp;IF(COUNTIF(tbl_Finance[Job Number],$C195&amp;"")&gt;1,", Job number used twice",""),3,300)))</f>
        <v/>
      </c>
      <c r="Q195" s="10">
        <f>IF($C195="","",IF(H195="","(no cost centre)",H195&amp;" - GL "&amp;IFERROR(INDEX(lst_CCtoGL,MATCH(H195,lst_CCforGL,0)),"?")))</f>
        <v/>
      </c>
      <c r="R195" s="11">
        <f>IF($C195="","",IFERROR(N(INDEX(tbl_Finance[Inc GST],MATCH($AU195,tbl_Finance[Row ID],0))),""))</f>
        <v/>
      </c>
      <c r="S195" s="37" t="n"/>
      <c r="T195" s="37" t="n"/>
      <c r="U195" s="37" t="n"/>
      <c r="V195" s="42" t="n"/>
      <c r="W195" s="37" t="n"/>
      <c r="X195" s="10">
        <f>IF(W195="","",IF(AND(LEFT(W195,4)&lt;&gt;"http",set_RMSBase=""),"",HYPERLINK(IF(LEFT(W195,4)="http",W195,set_RMSBase&amp;W195),"Open in RMS")))</f>
        <v/>
      </c>
      <c r="Y195" s="37" t="n"/>
      <c r="Z195" s="10">
        <f>IF(Y195="","",HYPERLINK(IF(LEFT(Y195,4)="http",Y195,set_QwilrBase&amp;Y195),"Open quote"))</f>
        <v/>
      </c>
      <c r="AA195" s="10">
        <f>IF(C195="","",C195)</f>
        <v/>
      </c>
      <c r="AB195" s="37" t="n"/>
      <c r="AC195" s="39" t="n"/>
      <c r="AD195" s="11">
        <f>IF(C195="","",N(L195)+N(AC195))</f>
        <v/>
      </c>
      <c r="AE195" s="43">
        <f>IFERROR(IF(N(AC195)=0,"",AC195/AD195),"")</f>
        <v/>
      </c>
      <c r="AF195" s="39" t="n"/>
      <c r="AG195" s="39" t="n"/>
      <c r="AH195" s="39" t="n"/>
      <c r="AI195" s="39" t="n"/>
      <c r="AJ195" s="11">
        <f>IF(C195="","",IF(H195="VIDEO",N(L195),0))</f>
        <v/>
      </c>
      <c r="AK195" s="43">
        <f>IFERROR(IF(N(L195)=0,"",AJ195/L195),"")</f>
        <v/>
      </c>
      <c r="AL195" s="11">
        <f>IF(C195="","",N(AF195)+N(AG195)+N(AH195)+N(AI195))</f>
        <v/>
      </c>
      <c r="AM195" s="11">
        <f>IF(C195="","",MAX(N(L195),N(O195))-N(AL195))</f>
        <v/>
      </c>
      <c r="AN195" s="43">
        <f>IFERROR(IF(MAX(N(L195),N(O195))=0,"",AM195/MAX(N(L195),N(O195))),"")</f>
        <v/>
      </c>
      <c r="AO195" s="41" t="n"/>
      <c r="AP195" s="41" t="n"/>
      <c r="AQ195" s="41" t="n"/>
      <c r="AR195" s="41" t="n"/>
      <c r="AS195" s="41" t="n"/>
      <c r="AT195" s="37" t="n"/>
      <c r="AU195" s="10" t="inlineStr">
        <is>
          <t>PRD-0191</t>
        </is>
      </c>
    </row>
    <row r="196">
      <c r="A196" s="16">
        <f>IF($C196="","",IFERROR(IF(INDEX(tbl_Finance[Latest Invoice Date],MATCH($AU196,tbl_Finance[Row ID],0))="","",INDEX(tbl_Finance[Latest Invoice Date],MATCH($AU196,tbl_Finance[Row ID],0))),""))</f>
        <v/>
      </c>
      <c r="B196" s="10">
        <f>IF($C196="","",IFERROR(INDEX(tbl_Finance[Invoice Numbers],MATCH($AU196,tbl_Finance[Row ID],0))&amp;"",""))</f>
        <v/>
      </c>
      <c r="C196" s="37" t="n"/>
      <c r="D196" s="10">
        <f>IF($C196="","",IF(COUNTIF(lst_Jobs,$C196&amp;"")&gt;0,"OK","CHECK"))</f>
        <v/>
      </c>
      <c r="E196" s="10">
        <f>IF($C196="","",IFERROR(INDEX(lst_JobName,MATCH($C196&amp;"",lst_Jobs,0)),""))</f>
        <v/>
      </c>
      <c r="F196" s="37" t="n"/>
      <c r="G196" s="37" t="n"/>
      <c r="H196" s="37" t="n"/>
      <c r="I196" s="37" t="n"/>
      <c r="J196" s="37" t="n"/>
      <c r="K196" s="38">
        <f>IF($C196="","",IFERROR(N(INDEX(tbl_Finance[Invoice Count],MATCH($AU196,tbl_Finance[Row ID],0))),""))</f>
        <v/>
      </c>
      <c r="L196" s="11">
        <f>IF($C196="","",IFERROR(N(INDEX(tbl_Finance[Xero Invoiced Ex GST],MATCH($AU196,tbl_Finance[Row ID],0))),""))</f>
        <v/>
      </c>
      <c r="M196" s="10">
        <f>IF($C196="","",IFERROR(INDEX(tbl_Finance[Compare],MATCH($AU196,tbl_Finance[Row ID],0))&amp;"",""))</f>
        <v/>
      </c>
      <c r="N196" s="11">
        <f>IF($C196="","",MAX(0,N(O196)-N(L196)))</f>
        <v/>
      </c>
      <c r="O196" s="39" t="n"/>
      <c r="P196" s="40">
        <f>IF($C196="","",IF((IF(F196="",", Client","")&amp;IF(G196="",", Description","")&amp;IF(H196="",", Cost Centre","")&amp;IF(I196="",", Invoice Type","")&amp;IF(J196="",", Tax Code","")&amp;IF(O196="",", Expected Revenue","")&amp;IF(COUNTIF(tbl_Finance[Job Number],$C196&amp;"")&gt;1,", Job number used twice",""))="","Complete","Fix: "&amp;MID(IF(F196="",", Client","")&amp;IF(G196="",", Description","")&amp;IF(H196="",", Cost Centre","")&amp;IF(I196="",", Invoice Type","")&amp;IF(J196="",", Tax Code","")&amp;IF(O196="",", Expected Revenue","")&amp;IF(COUNTIF(tbl_Finance[Job Number],$C196&amp;"")&gt;1,", Job number used twice",""),3,300)))</f>
        <v/>
      </c>
      <c r="Q196" s="10">
        <f>IF($C196="","",IF(H196="","(no cost centre)",H196&amp;" - GL "&amp;IFERROR(INDEX(lst_CCtoGL,MATCH(H196,lst_CCforGL,0)),"?")))</f>
        <v/>
      </c>
      <c r="R196" s="11">
        <f>IF($C196="","",IFERROR(N(INDEX(tbl_Finance[Inc GST],MATCH($AU196,tbl_Finance[Row ID],0))),""))</f>
        <v/>
      </c>
      <c r="S196" s="37" t="n"/>
      <c r="T196" s="37" t="n"/>
      <c r="U196" s="37" t="n"/>
      <c r="V196" s="42" t="n"/>
      <c r="W196" s="37" t="n"/>
      <c r="X196" s="10">
        <f>IF(W196="","",IF(AND(LEFT(W196,4)&lt;&gt;"http",set_RMSBase=""),"",HYPERLINK(IF(LEFT(W196,4)="http",W196,set_RMSBase&amp;W196),"Open in RMS")))</f>
        <v/>
      </c>
      <c r="Y196" s="37" t="n"/>
      <c r="Z196" s="10">
        <f>IF(Y196="","",HYPERLINK(IF(LEFT(Y196,4)="http",Y196,set_QwilrBase&amp;Y196),"Open quote"))</f>
        <v/>
      </c>
      <c r="AA196" s="10">
        <f>IF(C196="","",C196)</f>
        <v/>
      </c>
      <c r="AB196" s="37" t="n"/>
      <c r="AC196" s="39" t="n"/>
      <c r="AD196" s="11">
        <f>IF(C196="","",N(L196)+N(AC196))</f>
        <v/>
      </c>
      <c r="AE196" s="43">
        <f>IFERROR(IF(N(AC196)=0,"",AC196/AD196),"")</f>
        <v/>
      </c>
      <c r="AF196" s="39" t="n"/>
      <c r="AG196" s="39" t="n"/>
      <c r="AH196" s="39" t="n"/>
      <c r="AI196" s="39" t="n"/>
      <c r="AJ196" s="11">
        <f>IF(C196="","",IF(H196="VIDEO",N(L196),0))</f>
        <v/>
      </c>
      <c r="AK196" s="43">
        <f>IFERROR(IF(N(L196)=0,"",AJ196/L196),"")</f>
        <v/>
      </c>
      <c r="AL196" s="11">
        <f>IF(C196="","",N(AF196)+N(AG196)+N(AH196)+N(AI196))</f>
        <v/>
      </c>
      <c r="AM196" s="11">
        <f>IF(C196="","",MAX(N(L196),N(O196))-N(AL196))</f>
        <v/>
      </c>
      <c r="AN196" s="43">
        <f>IFERROR(IF(MAX(N(L196),N(O196))=0,"",AM196/MAX(N(L196),N(O196))),"")</f>
        <v/>
      </c>
      <c r="AO196" s="41" t="n"/>
      <c r="AP196" s="41" t="n"/>
      <c r="AQ196" s="41" t="n"/>
      <c r="AR196" s="41" t="n"/>
      <c r="AS196" s="41" t="n"/>
      <c r="AT196" s="37" t="n"/>
      <c r="AU196" s="10" t="inlineStr">
        <is>
          <t>PRD-0192</t>
        </is>
      </c>
    </row>
    <row r="197">
      <c r="A197" s="16">
        <f>IF($C197="","",IFERROR(IF(INDEX(tbl_Finance[Latest Invoice Date],MATCH($AU197,tbl_Finance[Row ID],0))="","",INDEX(tbl_Finance[Latest Invoice Date],MATCH($AU197,tbl_Finance[Row ID],0))),""))</f>
        <v/>
      </c>
      <c r="B197" s="10">
        <f>IF($C197="","",IFERROR(INDEX(tbl_Finance[Invoice Numbers],MATCH($AU197,tbl_Finance[Row ID],0))&amp;"",""))</f>
        <v/>
      </c>
      <c r="C197" s="37" t="n"/>
      <c r="D197" s="10">
        <f>IF($C197="","",IF(COUNTIF(lst_Jobs,$C197&amp;"")&gt;0,"OK","CHECK"))</f>
        <v/>
      </c>
      <c r="E197" s="10">
        <f>IF($C197="","",IFERROR(INDEX(lst_JobName,MATCH($C197&amp;"",lst_Jobs,0)),""))</f>
        <v/>
      </c>
      <c r="F197" s="37" t="n"/>
      <c r="G197" s="37" t="n"/>
      <c r="H197" s="37" t="n"/>
      <c r="I197" s="37" t="n"/>
      <c r="J197" s="37" t="n"/>
      <c r="K197" s="38">
        <f>IF($C197="","",IFERROR(N(INDEX(tbl_Finance[Invoice Count],MATCH($AU197,tbl_Finance[Row ID],0))),""))</f>
        <v/>
      </c>
      <c r="L197" s="11">
        <f>IF($C197="","",IFERROR(N(INDEX(tbl_Finance[Xero Invoiced Ex GST],MATCH($AU197,tbl_Finance[Row ID],0))),""))</f>
        <v/>
      </c>
      <c r="M197" s="10">
        <f>IF($C197="","",IFERROR(INDEX(tbl_Finance[Compare],MATCH($AU197,tbl_Finance[Row ID],0))&amp;"",""))</f>
        <v/>
      </c>
      <c r="N197" s="11">
        <f>IF($C197="","",MAX(0,N(O197)-N(L197)))</f>
        <v/>
      </c>
      <c r="O197" s="39" t="n"/>
      <c r="P197" s="40">
        <f>IF($C197="","",IF((IF(F197="",", Client","")&amp;IF(G197="",", Description","")&amp;IF(H197="",", Cost Centre","")&amp;IF(I197="",", Invoice Type","")&amp;IF(J197="",", Tax Code","")&amp;IF(O197="",", Expected Revenue","")&amp;IF(COUNTIF(tbl_Finance[Job Number],$C197&amp;"")&gt;1,", Job number used twice",""))="","Complete","Fix: "&amp;MID(IF(F197="",", Client","")&amp;IF(G197="",", Description","")&amp;IF(H197="",", Cost Centre","")&amp;IF(I197="",", Invoice Type","")&amp;IF(J197="",", Tax Code","")&amp;IF(O197="",", Expected Revenue","")&amp;IF(COUNTIF(tbl_Finance[Job Number],$C197&amp;"")&gt;1,", Job number used twice",""),3,300)))</f>
        <v/>
      </c>
      <c r="Q197" s="10">
        <f>IF($C197="","",IF(H197="","(no cost centre)",H197&amp;" - GL "&amp;IFERROR(INDEX(lst_CCtoGL,MATCH(H197,lst_CCforGL,0)),"?")))</f>
        <v/>
      </c>
      <c r="R197" s="11">
        <f>IF($C197="","",IFERROR(N(INDEX(tbl_Finance[Inc GST],MATCH($AU197,tbl_Finance[Row ID],0))),""))</f>
        <v/>
      </c>
      <c r="S197" s="37" t="n"/>
      <c r="T197" s="37" t="n"/>
      <c r="U197" s="37" t="n"/>
      <c r="V197" s="42" t="n"/>
      <c r="W197" s="37" t="n"/>
      <c r="X197" s="10">
        <f>IF(W197="","",IF(AND(LEFT(W197,4)&lt;&gt;"http",set_RMSBase=""),"",HYPERLINK(IF(LEFT(W197,4)="http",W197,set_RMSBase&amp;W197),"Open in RMS")))</f>
        <v/>
      </c>
      <c r="Y197" s="37" t="n"/>
      <c r="Z197" s="10">
        <f>IF(Y197="","",HYPERLINK(IF(LEFT(Y197,4)="http",Y197,set_QwilrBase&amp;Y197),"Open quote"))</f>
        <v/>
      </c>
      <c r="AA197" s="10">
        <f>IF(C197="","",C197)</f>
        <v/>
      </c>
      <c r="AB197" s="37" t="n"/>
      <c r="AC197" s="39" t="n"/>
      <c r="AD197" s="11">
        <f>IF(C197="","",N(L197)+N(AC197))</f>
        <v/>
      </c>
      <c r="AE197" s="43">
        <f>IFERROR(IF(N(AC197)=0,"",AC197/AD197),"")</f>
        <v/>
      </c>
      <c r="AF197" s="39" t="n"/>
      <c r="AG197" s="39" t="n"/>
      <c r="AH197" s="39" t="n"/>
      <c r="AI197" s="39" t="n"/>
      <c r="AJ197" s="11">
        <f>IF(C197="","",IF(H197="VIDEO",N(L197),0))</f>
        <v/>
      </c>
      <c r="AK197" s="43">
        <f>IFERROR(IF(N(L197)=0,"",AJ197/L197),"")</f>
        <v/>
      </c>
      <c r="AL197" s="11">
        <f>IF(C197="","",N(AF197)+N(AG197)+N(AH197)+N(AI197))</f>
        <v/>
      </c>
      <c r="AM197" s="11">
        <f>IF(C197="","",MAX(N(L197),N(O197))-N(AL197))</f>
        <v/>
      </c>
      <c r="AN197" s="43">
        <f>IFERROR(IF(MAX(N(L197),N(O197))=0,"",AM197/MAX(N(L197),N(O197))),"")</f>
        <v/>
      </c>
      <c r="AO197" s="41" t="n"/>
      <c r="AP197" s="41" t="n"/>
      <c r="AQ197" s="41" t="n"/>
      <c r="AR197" s="41" t="n"/>
      <c r="AS197" s="41" t="n"/>
      <c r="AT197" s="37" t="n"/>
      <c r="AU197" s="10" t="inlineStr">
        <is>
          <t>PRD-0193</t>
        </is>
      </c>
    </row>
    <row r="198">
      <c r="A198" s="16">
        <f>IF($C198="","",IFERROR(IF(INDEX(tbl_Finance[Latest Invoice Date],MATCH($AU198,tbl_Finance[Row ID],0))="","",INDEX(tbl_Finance[Latest Invoice Date],MATCH($AU198,tbl_Finance[Row ID],0))),""))</f>
        <v/>
      </c>
      <c r="B198" s="10">
        <f>IF($C198="","",IFERROR(INDEX(tbl_Finance[Invoice Numbers],MATCH($AU198,tbl_Finance[Row ID],0))&amp;"",""))</f>
        <v/>
      </c>
      <c r="C198" s="37" t="n"/>
      <c r="D198" s="10">
        <f>IF($C198="","",IF(COUNTIF(lst_Jobs,$C198&amp;"")&gt;0,"OK","CHECK"))</f>
        <v/>
      </c>
      <c r="E198" s="10">
        <f>IF($C198="","",IFERROR(INDEX(lst_JobName,MATCH($C198&amp;"",lst_Jobs,0)),""))</f>
        <v/>
      </c>
      <c r="F198" s="37" t="n"/>
      <c r="G198" s="37" t="n"/>
      <c r="H198" s="37" t="n"/>
      <c r="I198" s="37" t="n"/>
      <c r="J198" s="37" t="n"/>
      <c r="K198" s="38">
        <f>IF($C198="","",IFERROR(N(INDEX(tbl_Finance[Invoice Count],MATCH($AU198,tbl_Finance[Row ID],0))),""))</f>
        <v/>
      </c>
      <c r="L198" s="11">
        <f>IF($C198="","",IFERROR(N(INDEX(tbl_Finance[Xero Invoiced Ex GST],MATCH($AU198,tbl_Finance[Row ID],0))),""))</f>
        <v/>
      </c>
      <c r="M198" s="10">
        <f>IF($C198="","",IFERROR(INDEX(tbl_Finance[Compare],MATCH($AU198,tbl_Finance[Row ID],0))&amp;"",""))</f>
        <v/>
      </c>
      <c r="N198" s="11">
        <f>IF($C198="","",MAX(0,N(O198)-N(L198)))</f>
        <v/>
      </c>
      <c r="O198" s="39" t="n"/>
      <c r="P198" s="40">
        <f>IF($C198="","",IF((IF(F198="",", Client","")&amp;IF(G198="",", Description","")&amp;IF(H198="",", Cost Centre","")&amp;IF(I198="",", Invoice Type","")&amp;IF(J198="",", Tax Code","")&amp;IF(O198="",", Expected Revenue","")&amp;IF(COUNTIF(tbl_Finance[Job Number],$C198&amp;"")&gt;1,", Job number used twice",""))="","Complete","Fix: "&amp;MID(IF(F198="",", Client","")&amp;IF(G198="",", Description","")&amp;IF(H198="",", Cost Centre","")&amp;IF(I198="",", Invoice Type","")&amp;IF(J198="",", Tax Code","")&amp;IF(O198="",", Expected Revenue","")&amp;IF(COUNTIF(tbl_Finance[Job Number],$C198&amp;"")&gt;1,", Job number used twice",""),3,300)))</f>
        <v/>
      </c>
      <c r="Q198" s="10">
        <f>IF($C198="","",IF(H198="","(no cost centre)",H198&amp;" - GL "&amp;IFERROR(INDEX(lst_CCtoGL,MATCH(H198,lst_CCforGL,0)),"?")))</f>
        <v/>
      </c>
      <c r="R198" s="11">
        <f>IF($C198="","",IFERROR(N(INDEX(tbl_Finance[Inc GST],MATCH($AU198,tbl_Finance[Row ID],0))),""))</f>
        <v/>
      </c>
      <c r="S198" s="37" t="n"/>
      <c r="T198" s="37" t="n"/>
      <c r="U198" s="37" t="n"/>
      <c r="V198" s="42" t="n"/>
      <c r="W198" s="37" t="n"/>
      <c r="X198" s="10">
        <f>IF(W198="","",IF(AND(LEFT(W198,4)&lt;&gt;"http",set_RMSBase=""),"",HYPERLINK(IF(LEFT(W198,4)="http",W198,set_RMSBase&amp;W198),"Open in RMS")))</f>
        <v/>
      </c>
      <c r="Y198" s="37" t="n"/>
      <c r="Z198" s="10">
        <f>IF(Y198="","",HYPERLINK(IF(LEFT(Y198,4)="http",Y198,set_QwilrBase&amp;Y198),"Open quote"))</f>
        <v/>
      </c>
      <c r="AA198" s="10">
        <f>IF(C198="","",C198)</f>
        <v/>
      </c>
      <c r="AB198" s="37" t="n"/>
      <c r="AC198" s="39" t="n"/>
      <c r="AD198" s="11">
        <f>IF(C198="","",N(L198)+N(AC198))</f>
        <v/>
      </c>
      <c r="AE198" s="43">
        <f>IFERROR(IF(N(AC198)=0,"",AC198/AD198),"")</f>
        <v/>
      </c>
      <c r="AF198" s="39" t="n"/>
      <c r="AG198" s="39" t="n"/>
      <c r="AH198" s="39" t="n"/>
      <c r="AI198" s="39" t="n"/>
      <c r="AJ198" s="11">
        <f>IF(C198="","",IF(H198="VIDEO",N(L198),0))</f>
        <v/>
      </c>
      <c r="AK198" s="43">
        <f>IFERROR(IF(N(L198)=0,"",AJ198/L198),"")</f>
        <v/>
      </c>
      <c r="AL198" s="11">
        <f>IF(C198="","",N(AF198)+N(AG198)+N(AH198)+N(AI198))</f>
        <v/>
      </c>
      <c r="AM198" s="11">
        <f>IF(C198="","",MAX(N(L198),N(O198))-N(AL198))</f>
        <v/>
      </c>
      <c r="AN198" s="43">
        <f>IFERROR(IF(MAX(N(L198),N(O198))=0,"",AM198/MAX(N(L198),N(O198))),"")</f>
        <v/>
      </c>
      <c r="AO198" s="41" t="n"/>
      <c r="AP198" s="41" t="n"/>
      <c r="AQ198" s="41" t="n"/>
      <c r="AR198" s="41" t="n"/>
      <c r="AS198" s="41" t="n"/>
      <c r="AT198" s="37" t="n"/>
      <c r="AU198" s="10" t="inlineStr">
        <is>
          <t>PRD-0194</t>
        </is>
      </c>
    </row>
    <row r="199">
      <c r="A199" s="16">
        <f>IF($C199="","",IFERROR(IF(INDEX(tbl_Finance[Latest Invoice Date],MATCH($AU199,tbl_Finance[Row ID],0))="","",INDEX(tbl_Finance[Latest Invoice Date],MATCH($AU199,tbl_Finance[Row ID],0))),""))</f>
        <v/>
      </c>
      <c r="B199" s="10">
        <f>IF($C199="","",IFERROR(INDEX(tbl_Finance[Invoice Numbers],MATCH($AU199,tbl_Finance[Row ID],0))&amp;"",""))</f>
        <v/>
      </c>
      <c r="C199" s="37" t="n"/>
      <c r="D199" s="10">
        <f>IF($C199="","",IF(COUNTIF(lst_Jobs,$C199&amp;"")&gt;0,"OK","CHECK"))</f>
        <v/>
      </c>
      <c r="E199" s="10">
        <f>IF($C199="","",IFERROR(INDEX(lst_JobName,MATCH($C199&amp;"",lst_Jobs,0)),""))</f>
        <v/>
      </c>
      <c r="F199" s="37" t="n"/>
      <c r="G199" s="37" t="n"/>
      <c r="H199" s="37" t="n"/>
      <c r="I199" s="37" t="n"/>
      <c r="J199" s="37" t="n"/>
      <c r="K199" s="38">
        <f>IF($C199="","",IFERROR(N(INDEX(tbl_Finance[Invoice Count],MATCH($AU199,tbl_Finance[Row ID],0))),""))</f>
        <v/>
      </c>
      <c r="L199" s="11">
        <f>IF($C199="","",IFERROR(N(INDEX(tbl_Finance[Xero Invoiced Ex GST],MATCH($AU199,tbl_Finance[Row ID],0))),""))</f>
        <v/>
      </c>
      <c r="M199" s="10">
        <f>IF($C199="","",IFERROR(INDEX(tbl_Finance[Compare],MATCH($AU199,tbl_Finance[Row ID],0))&amp;"",""))</f>
        <v/>
      </c>
      <c r="N199" s="11">
        <f>IF($C199="","",MAX(0,N(O199)-N(L199)))</f>
        <v/>
      </c>
      <c r="O199" s="39" t="n"/>
      <c r="P199" s="40">
        <f>IF($C199="","",IF((IF(F199="",", Client","")&amp;IF(G199="",", Description","")&amp;IF(H199="",", Cost Centre","")&amp;IF(I199="",", Invoice Type","")&amp;IF(J199="",", Tax Code","")&amp;IF(O199="",", Expected Revenue","")&amp;IF(COUNTIF(tbl_Finance[Job Number],$C199&amp;"")&gt;1,", Job number used twice",""))="","Complete","Fix: "&amp;MID(IF(F199="",", Client","")&amp;IF(G199="",", Description","")&amp;IF(H199="",", Cost Centre","")&amp;IF(I199="",", Invoice Type","")&amp;IF(J199="",", Tax Code","")&amp;IF(O199="",", Expected Revenue","")&amp;IF(COUNTIF(tbl_Finance[Job Number],$C199&amp;"")&gt;1,", Job number used twice",""),3,300)))</f>
        <v/>
      </c>
      <c r="Q199" s="10">
        <f>IF($C199="","",IF(H199="","(no cost centre)",H199&amp;" - GL "&amp;IFERROR(INDEX(lst_CCtoGL,MATCH(H199,lst_CCforGL,0)),"?")))</f>
        <v/>
      </c>
      <c r="R199" s="11">
        <f>IF($C199="","",IFERROR(N(INDEX(tbl_Finance[Inc GST],MATCH($AU199,tbl_Finance[Row ID],0))),""))</f>
        <v/>
      </c>
      <c r="S199" s="37" t="n"/>
      <c r="T199" s="37" t="n"/>
      <c r="U199" s="37" t="n"/>
      <c r="V199" s="42" t="n"/>
      <c r="W199" s="37" t="n"/>
      <c r="X199" s="10">
        <f>IF(W199="","",IF(AND(LEFT(W199,4)&lt;&gt;"http",set_RMSBase=""),"",HYPERLINK(IF(LEFT(W199,4)="http",W199,set_RMSBase&amp;W199),"Open in RMS")))</f>
        <v/>
      </c>
      <c r="Y199" s="37" t="n"/>
      <c r="Z199" s="10">
        <f>IF(Y199="","",HYPERLINK(IF(LEFT(Y199,4)="http",Y199,set_QwilrBase&amp;Y199),"Open quote"))</f>
        <v/>
      </c>
      <c r="AA199" s="10">
        <f>IF(C199="","",C199)</f>
        <v/>
      </c>
      <c r="AB199" s="37" t="n"/>
      <c r="AC199" s="39" t="n"/>
      <c r="AD199" s="11">
        <f>IF(C199="","",N(L199)+N(AC199))</f>
        <v/>
      </c>
      <c r="AE199" s="43">
        <f>IFERROR(IF(N(AC199)=0,"",AC199/AD199),"")</f>
        <v/>
      </c>
      <c r="AF199" s="39" t="n"/>
      <c r="AG199" s="39" t="n"/>
      <c r="AH199" s="39" t="n"/>
      <c r="AI199" s="39" t="n"/>
      <c r="AJ199" s="11">
        <f>IF(C199="","",IF(H199="VIDEO",N(L199),0))</f>
        <v/>
      </c>
      <c r="AK199" s="43">
        <f>IFERROR(IF(N(L199)=0,"",AJ199/L199),"")</f>
        <v/>
      </c>
      <c r="AL199" s="11">
        <f>IF(C199="","",N(AF199)+N(AG199)+N(AH199)+N(AI199))</f>
        <v/>
      </c>
      <c r="AM199" s="11">
        <f>IF(C199="","",MAX(N(L199),N(O199))-N(AL199))</f>
        <v/>
      </c>
      <c r="AN199" s="43">
        <f>IFERROR(IF(MAX(N(L199),N(O199))=0,"",AM199/MAX(N(L199),N(O199))),"")</f>
        <v/>
      </c>
      <c r="AO199" s="41" t="n"/>
      <c r="AP199" s="41" t="n"/>
      <c r="AQ199" s="41" t="n"/>
      <c r="AR199" s="41" t="n"/>
      <c r="AS199" s="41" t="n"/>
      <c r="AT199" s="37" t="n"/>
      <c r="AU199" s="10" t="inlineStr">
        <is>
          <t>PRD-0195</t>
        </is>
      </c>
    </row>
    <row r="200">
      <c r="A200" s="16">
        <f>IF($C200="","",IFERROR(IF(INDEX(tbl_Finance[Latest Invoice Date],MATCH($AU200,tbl_Finance[Row ID],0))="","",INDEX(tbl_Finance[Latest Invoice Date],MATCH($AU200,tbl_Finance[Row ID],0))),""))</f>
        <v/>
      </c>
      <c r="B200" s="10">
        <f>IF($C200="","",IFERROR(INDEX(tbl_Finance[Invoice Numbers],MATCH($AU200,tbl_Finance[Row ID],0))&amp;"",""))</f>
        <v/>
      </c>
      <c r="C200" s="37" t="n"/>
      <c r="D200" s="10">
        <f>IF($C200="","",IF(COUNTIF(lst_Jobs,$C200&amp;"")&gt;0,"OK","CHECK"))</f>
        <v/>
      </c>
      <c r="E200" s="10">
        <f>IF($C200="","",IFERROR(INDEX(lst_JobName,MATCH($C200&amp;"",lst_Jobs,0)),""))</f>
        <v/>
      </c>
      <c r="F200" s="37" t="n"/>
      <c r="G200" s="37" t="n"/>
      <c r="H200" s="37" t="n"/>
      <c r="I200" s="37" t="n"/>
      <c r="J200" s="37" t="n"/>
      <c r="K200" s="38">
        <f>IF($C200="","",IFERROR(N(INDEX(tbl_Finance[Invoice Count],MATCH($AU200,tbl_Finance[Row ID],0))),""))</f>
        <v/>
      </c>
      <c r="L200" s="11">
        <f>IF($C200="","",IFERROR(N(INDEX(tbl_Finance[Xero Invoiced Ex GST],MATCH($AU200,tbl_Finance[Row ID],0))),""))</f>
        <v/>
      </c>
      <c r="M200" s="10">
        <f>IF($C200="","",IFERROR(INDEX(tbl_Finance[Compare],MATCH($AU200,tbl_Finance[Row ID],0))&amp;"",""))</f>
        <v/>
      </c>
      <c r="N200" s="11">
        <f>IF($C200="","",MAX(0,N(O200)-N(L200)))</f>
        <v/>
      </c>
      <c r="O200" s="39" t="n"/>
      <c r="P200" s="40">
        <f>IF($C200="","",IF((IF(F200="",", Client","")&amp;IF(G200="",", Description","")&amp;IF(H200="",", Cost Centre","")&amp;IF(I200="",", Invoice Type","")&amp;IF(J200="",", Tax Code","")&amp;IF(O200="",", Expected Revenue","")&amp;IF(COUNTIF(tbl_Finance[Job Number],$C200&amp;"")&gt;1,", Job number used twice",""))="","Complete","Fix: "&amp;MID(IF(F200="",", Client","")&amp;IF(G200="",", Description","")&amp;IF(H200="",", Cost Centre","")&amp;IF(I200="",", Invoice Type","")&amp;IF(J200="",", Tax Code","")&amp;IF(O200="",", Expected Revenue","")&amp;IF(COUNTIF(tbl_Finance[Job Number],$C200&amp;"")&gt;1,", Job number used twice",""),3,300)))</f>
        <v/>
      </c>
      <c r="Q200" s="10">
        <f>IF($C200="","",IF(H200="","(no cost centre)",H200&amp;" - GL "&amp;IFERROR(INDEX(lst_CCtoGL,MATCH(H200,lst_CCforGL,0)),"?")))</f>
        <v/>
      </c>
      <c r="R200" s="11">
        <f>IF($C200="","",IFERROR(N(INDEX(tbl_Finance[Inc GST],MATCH($AU200,tbl_Finance[Row ID],0))),""))</f>
        <v/>
      </c>
      <c r="S200" s="37" t="n"/>
      <c r="T200" s="37" t="n"/>
      <c r="U200" s="37" t="n"/>
      <c r="V200" s="42" t="n"/>
      <c r="W200" s="37" t="n"/>
      <c r="X200" s="10">
        <f>IF(W200="","",IF(AND(LEFT(W200,4)&lt;&gt;"http",set_RMSBase=""),"",HYPERLINK(IF(LEFT(W200,4)="http",W200,set_RMSBase&amp;W200),"Open in RMS")))</f>
        <v/>
      </c>
      <c r="Y200" s="37" t="n"/>
      <c r="Z200" s="10">
        <f>IF(Y200="","",HYPERLINK(IF(LEFT(Y200,4)="http",Y200,set_QwilrBase&amp;Y200),"Open quote"))</f>
        <v/>
      </c>
      <c r="AA200" s="10">
        <f>IF(C200="","",C200)</f>
        <v/>
      </c>
      <c r="AB200" s="37" t="n"/>
      <c r="AC200" s="39" t="n"/>
      <c r="AD200" s="11">
        <f>IF(C200="","",N(L200)+N(AC200))</f>
        <v/>
      </c>
      <c r="AE200" s="43">
        <f>IFERROR(IF(N(AC200)=0,"",AC200/AD200),"")</f>
        <v/>
      </c>
      <c r="AF200" s="39" t="n"/>
      <c r="AG200" s="39" t="n"/>
      <c r="AH200" s="39" t="n"/>
      <c r="AI200" s="39" t="n"/>
      <c r="AJ200" s="11">
        <f>IF(C200="","",IF(H200="VIDEO",N(L200),0))</f>
        <v/>
      </c>
      <c r="AK200" s="43">
        <f>IFERROR(IF(N(L200)=0,"",AJ200/L200),"")</f>
        <v/>
      </c>
      <c r="AL200" s="11">
        <f>IF(C200="","",N(AF200)+N(AG200)+N(AH200)+N(AI200))</f>
        <v/>
      </c>
      <c r="AM200" s="11">
        <f>IF(C200="","",MAX(N(L200),N(O200))-N(AL200))</f>
        <v/>
      </c>
      <c r="AN200" s="43">
        <f>IFERROR(IF(MAX(N(L200),N(O200))=0,"",AM200/MAX(N(L200),N(O200))),"")</f>
        <v/>
      </c>
      <c r="AO200" s="41" t="n"/>
      <c r="AP200" s="41" t="n"/>
      <c r="AQ200" s="41" t="n"/>
      <c r="AR200" s="41" t="n"/>
      <c r="AS200" s="41" t="n"/>
      <c r="AT200" s="37" t="n"/>
      <c r="AU200" s="10" t="inlineStr">
        <is>
          <t>PRD-0196</t>
        </is>
      </c>
    </row>
    <row r="201">
      <c r="A201" s="16">
        <f>IF($C201="","",IFERROR(IF(INDEX(tbl_Finance[Latest Invoice Date],MATCH($AU201,tbl_Finance[Row ID],0))="","",INDEX(tbl_Finance[Latest Invoice Date],MATCH($AU201,tbl_Finance[Row ID],0))),""))</f>
        <v/>
      </c>
      <c r="B201" s="10">
        <f>IF($C201="","",IFERROR(INDEX(tbl_Finance[Invoice Numbers],MATCH($AU201,tbl_Finance[Row ID],0))&amp;"",""))</f>
        <v/>
      </c>
      <c r="C201" s="37" t="n"/>
      <c r="D201" s="10">
        <f>IF($C201="","",IF(COUNTIF(lst_Jobs,$C201&amp;"")&gt;0,"OK","CHECK"))</f>
        <v/>
      </c>
      <c r="E201" s="10">
        <f>IF($C201="","",IFERROR(INDEX(lst_JobName,MATCH($C201&amp;"",lst_Jobs,0)),""))</f>
        <v/>
      </c>
      <c r="F201" s="37" t="n"/>
      <c r="G201" s="37" t="n"/>
      <c r="H201" s="37" t="n"/>
      <c r="I201" s="37" t="n"/>
      <c r="J201" s="37" t="n"/>
      <c r="K201" s="38">
        <f>IF($C201="","",IFERROR(N(INDEX(tbl_Finance[Invoice Count],MATCH($AU201,tbl_Finance[Row ID],0))),""))</f>
        <v/>
      </c>
      <c r="L201" s="11">
        <f>IF($C201="","",IFERROR(N(INDEX(tbl_Finance[Xero Invoiced Ex GST],MATCH($AU201,tbl_Finance[Row ID],0))),""))</f>
        <v/>
      </c>
      <c r="M201" s="10">
        <f>IF($C201="","",IFERROR(INDEX(tbl_Finance[Compare],MATCH($AU201,tbl_Finance[Row ID],0))&amp;"",""))</f>
        <v/>
      </c>
      <c r="N201" s="11">
        <f>IF($C201="","",MAX(0,N(O201)-N(L201)))</f>
        <v/>
      </c>
      <c r="O201" s="39" t="n"/>
      <c r="P201" s="40">
        <f>IF($C201="","",IF((IF(F201="",", Client","")&amp;IF(G201="",", Description","")&amp;IF(H201="",", Cost Centre","")&amp;IF(I201="",", Invoice Type","")&amp;IF(J201="",", Tax Code","")&amp;IF(O201="",", Expected Revenue","")&amp;IF(COUNTIF(tbl_Finance[Job Number],$C201&amp;"")&gt;1,", Job number used twice",""))="","Complete","Fix: "&amp;MID(IF(F201="",", Client","")&amp;IF(G201="",", Description","")&amp;IF(H201="",", Cost Centre","")&amp;IF(I201="",", Invoice Type","")&amp;IF(J201="",", Tax Code","")&amp;IF(O201="",", Expected Revenue","")&amp;IF(COUNTIF(tbl_Finance[Job Number],$C201&amp;"")&gt;1,", Job number used twice",""),3,300)))</f>
        <v/>
      </c>
      <c r="Q201" s="10">
        <f>IF($C201="","",IF(H201="","(no cost centre)",H201&amp;" - GL "&amp;IFERROR(INDEX(lst_CCtoGL,MATCH(H201,lst_CCforGL,0)),"?")))</f>
        <v/>
      </c>
      <c r="R201" s="11">
        <f>IF($C201="","",IFERROR(N(INDEX(tbl_Finance[Inc GST],MATCH($AU201,tbl_Finance[Row ID],0))),""))</f>
        <v/>
      </c>
      <c r="S201" s="37" t="n"/>
      <c r="T201" s="37" t="n"/>
      <c r="U201" s="37" t="n"/>
      <c r="V201" s="42" t="n"/>
      <c r="W201" s="37" t="n"/>
      <c r="X201" s="10">
        <f>IF(W201="","",IF(AND(LEFT(W201,4)&lt;&gt;"http",set_RMSBase=""),"",HYPERLINK(IF(LEFT(W201,4)="http",W201,set_RMSBase&amp;W201),"Open in RMS")))</f>
        <v/>
      </c>
      <c r="Y201" s="37" t="n"/>
      <c r="Z201" s="10">
        <f>IF(Y201="","",HYPERLINK(IF(LEFT(Y201,4)="http",Y201,set_QwilrBase&amp;Y201),"Open quote"))</f>
        <v/>
      </c>
      <c r="AA201" s="10">
        <f>IF(C201="","",C201)</f>
        <v/>
      </c>
      <c r="AB201" s="37" t="n"/>
      <c r="AC201" s="39" t="n"/>
      <c r="AD201" s="11">
        <f>IF(C201="","",N(L201)+N(AC201))</f>
        <v/>
      </c>
      <c r="AE201" s="43">
        <f>IFERROR(IF(N(AC201)=0,"",AC201/AD201),"")</f>
        <v/>
      </c>
      <c r="AF201" s="39" t="n"/>
      <c r="AG201" s="39" t="n"/>
      <c r="AH201" s="39" t="n"/>
      <c r="AI201" s="39" t="n"/>
      <c r="AJ201" s="11">
        <f>IF(C201="","",IF(H201="VIDEO",N(L201),0))</f>
        <v/>
      </c>
      <c r="AK201" s="43">
        <f>IFERROR(IF(N(L201)=0,"",AJ201/L201),"")</f>
        <v/>
      </c>
      <c r="AL201" s="11">
        <f>IF(C201="","",N(AF201)+N(AG201)+N(AH201)+N(AI201))</f>
        <v/>
      </c>
      <c r="AM201" s="11">
        <f>IF(C201="","",MAX(N(L201),N(O201))-N(AL201))</f>
        <v/>
      </c>
      <c r="AN201" s="43">
        <f>IFERROR(IF(MAX(N(L201),N(O201))=0,"",AM201/MAX(N(L201),N(O201))),"")</f>
        <v/>
      </c>
      <c r="AO201" s="41" t="n"/>
      <c r="AP201" s="41" t="n"/>
      <c r="AQ201" s="41" t="n"/>
      <c r="AR201" s="41" t="n"/>
      <c r="AS201" s="41" t="n"/>
      <c r="AT201" s="37" t="n"/>
      <c r="AU201" s="10" t="inlineStr">
        <is>
          <t>PRD-0197</t>
        </is>
      </c>
    </row>
    <row r="202">
      <c r="A202" s="16">
        <f>IF($C202="","",IFERROR(IF(INDEX(tbl_Finance[Latest Invoice Date],MATCH($AU202,tbl_Finance[Row ID],0))="","",INDEX(tbl_Finance[Latest Invoice Date],MATCH($AU202,tbl_Finance[Row ID],0))),""))</f>
        <v/>
      </c>
      <c r="B202" s="10">
        <f>IF($C202="","",IFERROR(INDEX(tbl_Finance[Invoice Numbers],MATCH($AU202,tbl_Finance[Row ID],0))&amp;"",""))</f>
        <v/>
      </c>
      <c r="C202" s="37" t="n"/>
      <c r="D202" s="10">
        <f>IF($C202="","",IF(COUNTIF(lst_Jobs,$C202&amp;"")&gt;0,"OK","CHECK"))</f>
        <v/>
      </c>
      <c r="E202" s="10">
        <f>IF($C202="","",IFERROR(INDEX(lst_JobName,MATCH($C202&amp;"",lst_Jobs,0)),""))</f>
        <v/>
      </c>
      <c r="F202" s="37" t="n"/>
      <c r="G202" s="37" t="n"/>
      <c r="H202" s="37" t="n"/>
      <c r="I202" s="37" t="n"/>
      <c r="J202" s="37" t="n"/>
      <c r="K202" s="38">
        <f>IF($C202="","",IFERROR(N(INDEX(tbl_Finance[Invoice Count],MATCH($AU202,tbl_Finance[Row ID],0))),""))</f>
        <v/>
      </c>
      <c r="L202" s="11">
        <f>IF($C202="","",IFERROR(N(INDEX(tbl_Finance[Xero Invoiced Ex GST],MATCH($AU202,tbl_Finance[Row ID],0))),""))</f>
        <v/>
      </c>
      <c r="M202" s="10">
        <f>IF($C202="","",IFERROR(INDEX(tbl_Finance[Compare],MATCH($AU202,tbl_Finance[Row ID],0))&amp;"",""))</f>
        <v/>
      </c>
      <c r="N202" s="11">
        <f>IF($C202="","",MAX(0,N(O202)-N(L202)))</f>
        <v/>
      </c>
      <c r="O202" s="39" t="n"/>
      <c r="P202" s="40">
        <f>IF($C202="","",IF((IF(F202="",", Client","")&amp;IF(G202="",", Description","")&amp;IF(H202="",", Cost Centre","")&amp;IF(I202="",", Invoice Type","")&amp;IF(J202="",", Tax Code","")&amp;IF(O202="",", Expected Revenue","")&amp;IF(COUNTIF(tbl_Finance[Job Number],$C202&amp;"")&gt;1,", Job number used twice",""))="","Complete","Fix: "&amp;MID(IF(F202="",", Client","")&amp;IF(G202="",", Description","")&amp;IF(H202="",", Cost Centre","")&amp;IF(I202="",", Invoice Type","")&amp;IF(J202="",", Tax Code","")&amp;IF(O202="",", Expected Revenue","")&amp;IF(COUNTIF(tbl_Finance[Job Number],$C202&amp;"")&gt;1,", Job number used twice",""),3,300)))</f>
        <v/>
      </c>
      <c r="Q202" s="10">
        <f>IF($C202="","",IF(H202="","(no cost centre)",H202&amp;" - GL "&amp;IFERROR(INDEX(lst_CCtoGL,MATCH(H202,lst_CCforGL,0)),"?")))</f>
        <v/>
      </c>
      <c r="R202" s="11">
        <f>IF($C202="","",IFERROR(N(INDEX(tbl_Finance[Inc GST],MATCH($AU202,tbl_Finance[Row ID],0))),""))</f>
        <v/>
      </c>
      <c r="S202" s="37" t="n"/>
      <c r="T202" s="37" t="n"/>
      <c r="U202" s="37" t="n"/>
      <c r="V202" s="42" t="n"/>
      <c r="W202" s="37" t="n"/>
      <c r="X202" s="10">
        <f>IF(W202="","",IF(AND(LEFT(W202,4)&lt;&gt;"http",set_RMSBase=""),"",HYPERLINK(IF(LEFT(W202,4)="http",W202,set_RMSBase&amp;W202),"Open in RMS")))</f>
        <v/>
      </c>
      <c r="Y202" s="37" t="n"/>
      <c r="Z202" s="10">
        <f>IF(Y202="","",HYPERLINK(IF(LEFT(Y202,4)="http",Y202,set_QwilrBase&amp;Y202),"Open quote"))</f>
        <v/>
      </c>
      <c r="AA202" s="10">
        <f>IF(C202="","",C202)</f>
        <v/>
      </c>
      <c r="AB202" s="37" t="n"/>
      <c r="AC202" s="39" t="n"/>
      <c r="AD202" s="11">
        <f>IF(C202="","",N(L202)+N(AC202))</f>
        <v/>
      </c>
      <c r="AE202" s="43">
        <f>IFERROR(IF(N(AC202)=0,"",AC202/AD202),"")</f>
        <v/>
      </c>
      <c r="AF202" s="39" t="n"/>
      <c r="AG202" s="39" t="n"/>
      <c r="AH202" s="39" t="n"/>
      <c r="AI202" s="39" t="n"/>
      <c r="AJ202" s="11">
        <f>IF(C202="","",IF(H202="VIDEO",N(L202),0))</f>
        <v/>
      </c>
      <c r="AK202" s="43">
        <f>IFERROR(IF(N(L202)=0,"",AJ202/L202),"")</f>
        <v/>
      </c>
      <c r="AL202" s="11">
        <f>IF(C202="","",N(AF202)+N(AG202)+N(AH202)+N(AI202))</f>
        <v/>
      </c>
      <c r="AM202" s="11">
        <f>IF(C202="","",MAX(N(L202),N(O202))-N(AL202))</f>
        <v/>
      </c>
      <c r="AN202" s="43">
        <f>IFERROR(IF(MAX(N(L202),N(O202))=0,"",AM202/MAX(N(L202),N(O202))),"")</f>
        <v/>
      </c>
      <c r="AO202" s="41" t="n"/>
      <c r="AP202" s="41" t="n"/>
      <c r="AQ202" s="41" t="n"/>
      <c r="AR202" s="41" t="n"/>
      <c r="AS202" s="41" t="n"/>
      <c r="AT202" s="37" t="n"/>
      <c r="AU202" s="10" t="inlineStr">
        <is>
          <t>PRD-0198</t>
        </is>
      </c>
    </row>
    <row r="203">
      <c r="A203" s="16">
        <f>IF($C203="","",IFERROR(IF(INDEX(tbl_Finance[Latest Invoice Date],MATCH($AU203,tbl_Finance[Row ID],0))="","",INDEX(tbl_Finance[Latest Invoice Date],MATCH($AU203,tbl_Finance[Row ID],0))),""))</f>
        <v/>
      </c>
      <c r="B203" s="10">
        <f>IF($C203="","",IFERROR(INDEX(tbl_Finance[Invoice Numbers],MATCH($AU203,tbl_Finance[Row ID],0))&amp;"",""))</f>
        <v/>
      </c>
      <c r="C203" s="37" t="n"/>
      <c r="D203" s="10">
        <f>IF($C203="","",IF(COUNTIF(lst_Jobs,$C203&amp;"")&gt;0,"OK","CHECK"))</f>
        <v/>
      </c>
      <c r="E203" s="10">
        <f>IF($C203="","",IFERROR(INDEX(lst_JobName,MATCH($C203&amp;"",lst_Jobs,0)),""))</f>
        <v/>
      </c>
      <c r="F203" s="37" t="n"/>
      <c r="G203" s="37" t="n"/>
      <c r="H203" s="37" t="n"/>
      <c r="I203" s="37" t="n"/>
      <c r="J203" s="37" t="n"/>
      <c r="K203" s="38">
        <f>IF($C203="","",IFERROR(N(INDEX(tbl_Finance[Invoice Count],MATCH($AU203,tbl_Finance[Row ID],0))),""))</f>
        <v/>
      </c>
      <c r="L203" s="11">
        <f>IF($C203="","",IFERROR(N(INDEX(tbl_Finance[Xero Invoiced Ex GST],MATCH($AU203,tbl_Finance[Row ID],0))),""))</f>
        <v/>
      </c>
      <c r="M203" s="10">
        <f>IF($C203="","",IFERROR(INDEX(tbl_Finance[Compare],MATCH($AU203,tbl_Finance[Row ID],0))&amp;"",""))</f>
        <v/>
      </c>
      <c r="N203" s="11">
        <f>IF($C203="","",MAX(0,N(O203)-N(L203)))</f>
        <v/>
      </c>
      <c r="O203" s="39" t="n"/>
      <c r="P203" s="40">
        <f>IF($C203="","",IF((IF(F203="",", Client","")&amp;IF(G203="",", Description","")&amp;IF(H203="",", Cost Centre","")&amp;IF(I203="",", Invoice Type","")&amp;IF(J203="",", Tax Code","")&amp;IF(O203="",", Expected Revenue","")&amp;IF(COUNTIF(tbl_Finance[Job Number],$C203&amp;"")&gt;1,", Job number used twice",""))="","Complete","Fix: "&amp;MID(IF(F203="",", Client","")&amp;IF(G203="",", Description","")&amp;IF(H203="",", Cost Centre","")&amp;IF(I203="",", Invoice Type","")&amp;IF(J203="",", Tax Code","")&amp;IF(O203="",", Expected Revenue","")&amp;IF(COUNTIF(tbl_Finance[Job Number],$C203&amp;"")&gt;1,", Job number used twice",""),3,300)))</f>
        <v/>
      </c>
      <c r="Q203" s="10">
        <f>IF($C203="","",IF(H203="","(no cost centre)",H203&amp;" - GL "&amp;IFERROR(INDEX(lst_CCtoGL,MATCH(H203,lst_CCforGL,0)),"?")))</f>
        <v/>
      </c>
      <c r="R203" s="11">
        <f>IF($C203="","",IFERROR(N(INDEX(tbl_Finance[Inc GST],MATCH($AU203,tbl_Finance[Row ID],0))),""))</f>
        <v/>
      </c>
      <c r="S203" s="37" t="n"/>
      <c r="T203" s="37" t="n"/>
      <c r="U203" s="37" t="n"/>
      <c r="V203" s="42" t="n"/>
      <c r="W203" s="37" t="n"/>
      <c r="X203" s="10">
        <f>IF(W203="","",IF(AND(LEFT(W203,4)&lt;&gt;"http",set_RMSBase=""),"",HYPERLINK(IF(LEFT(W203,4)="http",W203,set_RMSBase&amp;W203),"Open in RMS")))</f>
        <v/>
      </c>
      <c r="Y203" s="37" t="n"/>
      <c r="Z203" s="10">
        <f>IF(Y203="","",HYPERLINK(IF(LEFT(Y203,4)="http",Y203,set_QwilrBase&amp;Y203),"Open quote"))</f>
        <v/>
      </c>
      <c r="AA203" s="10">
        <f>IF(C203="","",C203)</f>
        <v/>
      </c>
      <c r="AB203" s="37" t="n"/>
      <c r="AC203" s="39" t="n"/>
      <c r="AD203" s="11">
        <f>IF(C203="","",N(L203)+N(AC203))</f>
        <v/>
      </c>
      <c r="AE203" s="43">
        <f>IFERROR(IF(N(AC203)=0,"",AC203/AD203),"")</f>
        <v/>
      </c>
      <c r="AF203" s="39" t="n"/>
      <c r="AG203" s="39" t="n"/>
      <c r="AH203" s="39" t="n"/>
      <c r="AI203" s="39" t="n"/>
      <c r="AJ203" s="11">
        <f>IF(C203="","",IF(H203="VIDEO",N(L203),0))</f>
        <v/>
      </c>
      <c r="AK203" s="43">
        <f>IFERROR(IF(N(L203)=0,"",AJ203/L203),"")</f>
        <v/>
      </c>
      <c r="AL203" s="11">
        <f>IF(C203="","",N(AF203)+N(AG203)+N(AH203)+N(AI203))</f>
        <v/>
      </c>
      <c r="AM203" s="11">
        <f>IF(C203="","",MAX(N(L203),N(O203))-N(AL203))</f>
        <v/>
      </c>
      <c r="AN203" s="43">
        <f>IFERROR(IF(MAX(N(L203),N(O203))=0,"",AM203/MAX(N(L203),N(O203))),"")</f>
        <v/>
      </c>
      <c r="AO203" s="41" t="n"/>
      <c r="AP203" s="41" t="n"/>
      <c r="AQ203" s="41" t="n"/>
      <c r="AR203" s="41" t="n"/>
      <c r="AS203" s="41" t="n"/>
      <c r="AT203" s="37" t="n"/>
      <c r="AU203" s="10" t="inlineStr">
        <is>
          <t>PRD-0199</t>
        </is>
      </c>
    </row>
    <row r="204">
      <c r="A204" s="16">
        <f>IF($C204="","",IFERROR(IF(INDEX(tbl_Finance[Latest Invoice Date],MATCH($AU204,tbl_Finance[Row ID],0))="","",INDEX(tbl_Finance[Latest Invoice Date],MATCH($AU204,tbl_Finance[Row ID],0))),""))</f>
        <v/>
      </c>
      <c r="B204" s="10">
        <f>IF($C204="","",IFERROR(INDEX(tbl_Finance[Invoice Numbers],MATCH($AU204,tbl_Finance[Row ID],0))&amp;"",""))</f>
        <v/>
      </c>
      <c r="C204" s="37" t="n"/>
      <c r="D204" s="10">
        <f>IF($C204="","",IF(COUNTIF(lst_Jobs,$C204&amp;"")&gt;0,"OK","CHECK"))</f>
        <v/>
      </c>
      <c r="E204" s="10">
        <f>IF($C204="","",IFERROR(INDEX(lst_JobName,MATCH($C204&amp;"",lst_Jobs,0)),""))</f>
        <v/>
      </c>
      <c r="F204" s="37" t="n"/>
      <c r="G204" s="37" t="n"/>
      <c r="H204" s="37" t="n"/>
      <c r="I204" s="37" t="n"/>
      <c r="J204" s="37" t="n"/>
      <c r="K204" s="38">
        <f>IF($C204="","",IFERROR(N(INDEX(tbl_Finance[Invoice Count],MATCH($AU204,tbl_Finance[Row ID],0))),""))</f>
        <v/>
      </c>
      <c r="L204" s="11">
        <f>IF($C204="","",IFERROR(N(INDEX(tbl_Finance[Xero Invoiced Ex GST],MATCH($AU204,tbl_Finance[Row ID],0))),""))</f>
        <v/>
      </c>
      <c r="M204" s="10">
        <f>IF($C204="","",IFERROR(INDEX(tbl_Finance[Compare],MATCH($AU204,tbl_Finance[Row ID],0))&amp;"",""))</f>
        <v/>
      </c>
      <c r="N204" s="11">
        <f>IF($C204="","",MAX(0,N(O204)-N(L204)))</f>
        <v/>
      </c>
      <c r="O204" s="39" t="n"/>
      <c r="P204" s="40">
        <f>IF($C204="","",IF((IF(F204="",", Client","")&amp;IF(G204="",", Description","")&amp;IF(H204="",", Cost Centre","")&amp;IF(I204="",", Invoice Type","")&amp;IF(J204="",", Tax Code","")&amp;IF(O204="",", Expected Revenue","")&amp;IF(COUNTIF(tbl_Finance[Job Number],$C204&amp;"")&gt;1,", Job number used twice",""))="","Complete","Fix: "&amp;MID(IF(F204="",", Client","")&amp;IF(G204="",", Description","")&amp;IF(H204="",", Cost Centre","")&amp;IF(I204="",", Invoice Type","")&amp;IF(J204="",", Tax Code","")&amp;IF(O204="",", Expected Revenue","")&amp;IF(COUNTIF(tbl_Finance[Job Number],$C204&amp;"")&gt;1,", Job number used twice",""),3,300)))</f>
        <v/>
      </c>
      <c r="Q204" s="10">
        <f>IF($C204="","",IF(H204="","(no cost centre)",H204&amp;" - GL "&amp;IFERROR(INDEX(lst_CCtoGL,MATCH(H204,lst_CCforGL,0)),"?")))</f>
        <v/>
      </c>
      <c r="R204" s="11">
        <f>IF($C204="","",IFERROR(N(INDEX(tbl_Finance[Inc GST],MATCH($AU204,tbl_Finance[Row ID],0))),""))</f>
        <v/>
      </c>
      <c r="S204" s="37" t="n"/>
      <c r="T204" s="37" t="n"/>
      <c r="U204" s="37" t="n"/>
      <c r="V204" s="42" t="n"/>
      <c r="W204" s="37" t="n"/>
      <c r="X204" s="10">
        <f>IF(W204="","",IF(AND(LEFT(W204,4)&lt;&gt;"http",set_RMSBase=""),"",HYPERLINK(IF(LEFT(W204,4)="http",W204,set_RMSBase&amp;W204),"Open in RMS")))</f>
        <v/>
      </c>
      <c r="Y204" s="37" t="n"/>
      <c r="Z204" s="10">
        <f>IF(Y204="","",HYPERLINK(IF(LEFT(Y204,4)="http",Y204,set_QwilrBase&amp;Y204),"Open quote"))</f>
        <v/>
      </c>
      <c r="AA204" s="10">
        <f>IF(C204="","",C204)</f>
        <v/>
      </c>
      <c r="AB204" s="37" t="n"/>
      <c r="AC204" s="39" t="n"/>
      <c r="AD204" s="11">
        <f>IF(C204="","",N(L204)+N(AC204))</f>
        <v/>
      </c>
      <c r="AE204" s="43">
        <f>IFERROR(IF(N(AC204)=0,"",AC204/AD204),"")</f>
        <v/>
      </c>
      <c r="AF204" s="39" t="n"/>
      <c r="AG204" s="39" t="n"/>
      <c r="AH204" s="39" t="n"/>
      <c r="AI204" s="39" t="n"/>
      <c r="AJ204" s="11">
        <f>IF(C204="","",IF(H204="VIDEO",N(L204),0))</f>
        <v/>
      </c>
      <c r="AK204" s="43">
        <f>IFERROR(IF(N(L204)=0,"",AJ204/L204),"")</f>
        <v/>
      </c>
      <c r="AL204" s="11">
        <f>IF(C204="","",N(AF204)+N(AG204)+N(AH204)+N(AI204))</f>
        <v/>
      </c>
      <c r="AM204" s="11">
        <f>IF(C204="","",MAX(N(L204),N(O204))-N(AL204))</f>
        <v/>
      </c>
      <c r="AN204" s="43">
        <f>IFERROR(IF(MAX(N(L204),N(O204))=0,"",AM204/MAX(N(L204),N(O204))),"")</f>
        <v/>
      </c>
      <c r="AO204" s="41" t="n"/>
      <c r="AP204" s="41" t="n"/>
      <c r="AQ204" s="41" t="n"/>
      <c r="AR204" s="41" t="n"/>
      <c r="AS204" s="41" t="n"/>
      <c r="AT204" s="37" t="n"/>
      <c r="AU204" s="10" t="inlineStr">
        <is>
          <t>PRD-0200</t>
        </is>
      </c>
    </row>
    <row r="205">
      <c r="A205" s="16">
        <f>IF($C205="","",IFERROR(IF(INDEX(tbl_Finance[Latest Invoice Date],MATCH($AU205,tbl_Finance[Row ID],0))="","",INDEX(tbl_Finance[Latest Invoice Date],MATCH($AU205,tbl_Finance[Row ID],0))),""))</f>
        <v/>
      </c>
      <c r="B205" s="10">
        <f>IF($C205="","",IFERROR(INDEX(tbl_Finance[Invoice Numbers],MATCH($AU205,tbl_Finance[Row ID],0))&amp;"",""))</f>
        <v/>
      </c>
      <c r="C205" s="37" t="n"/>
      <c r="D205" s="10">
        <f>IF($C205="","",IF(COUNTIF(lst_Jobs,$C205&amp;"")&gt;0,"OK","CHECK"))</f>
        <v/>
      </c>
      <c r="E205" s="10">
        <f>IF($C205="","",IFERROR(INDEX(lst_JobName,MATCH($C205&amp;"",lst_Jobs,0)),""))</f>
        <v/>
      </c>
      <c r="F205" s="37" t="n"/>
      <c r="G205" s="37" t="n"/>
      <c r="H205" s="37" t="n"/>
      <c r="I205" s="37" t="n"/>
      <c r="J205" s="37" t="n"/>
      <c r="K205" s="38">
        <f>IF($C205="","",IFERROR(N(INDEX(tbl_Finance[Invoice Count],MATCH($AU205,tbl_Finance[Row ID],0))),""))</f>
        <v/>
      </c>
      <c r="L205" s="11">
        <f>IF($C205="","",IFERROR(N(INDEX(tbl_Finance[Xero Invoiced Ex GST],MATCH($AU205,tbl_Finance[Row ID],0))),""))</f>
        <v/>
      </c>
      <c r="M205" s="10">
        <f>IF($C205="","",IFERROR(INDEX(tbl_Finance[Compare],MATCH($AU205,tbl_Finance[Row ID],0))&amp;"",""))</f>
        <v/>
      </c>
      <c r="N205" s="11">
        <f>IF($C205="","",MAX(0,N(O205)-N(L205)))</f>
        <v/>
      </c>
      <c r="O205" s="39" t="n"/>
      <c r="P205" s="40">
        <f>IF($C205="","",IF((IF(F205="",", Client","")&amp;IF(G205="",", Description","")&amp;IF(H205="",", Cost Centre","")&amp;IF(I205="",", Invoice Type","")&amp;IF(J205="",", Tax Code","")&amp;IF(O205="",", Expected Revenue","")&amp;IF(COUNTIF(tbl_Finance[Job Number],$C205&amp;"")&gt;1,", Job number used twice",""))="","Complete","Fix: "&amp;MID(IF(F205="",", Client","")&amp;IF(G205="",", Description","")&amp;IF(H205="",", Cost Centre","")&amp;IF(I205="",", Invoice Type","")&amp;IF(J205="",", Tax Code","")&amp;IF(O205="",", Expected Revenue","")&amp;IF(COUNTIF(tbl_Finance[Job Number],$C205&amp;"")&gt;1,", Job number used twice",""),3,300)))</f>
        <v/>
      </c>
      <c r="Q205" s="10">
        <f>IF($C205="","",IF(H205="","(no cost centre)",H205&amp;" - GL "&amp;IFERROR(INDEX(lst_CCtoGL,MATCH(H205,lst_CCforGL,0)),"?")))</f>
        <v/>
      </c>
      <c r="R205" s="11">
        <f>IF($C205="","",IFERROR(N(INDEX(tbl_Finance[Inc GST],MATCH($AU205,tbl_Finance[Row ID],0))),""))</f>
        <v/>
      </c>
      <c r="S205" s="37" t="n"/>
      <c r="T205" s="37" t="n"/>
      <c r="U205" s="37" t="n"/>
      <c r="V205" s="42" t="n"/>
      <c r="W205" s="37" t="n"/>
      <c r="X205" s="10">
        <f>IF(W205="","",IF(AND(LEFT(W205,4)&lt;&gt;"http",set_RMSBase=""),"",HYPERLINK(IF(LEFT(W205,4)="http",W205,set_RMSBase&amp;W205),"Open in RMS")))</f>
        <v/>
      </c>
      <c r="Y205" s="37" t="n"/>
      <c r="Z205" s="10">
        <f>IF(Y205="","",HYPERLINK(IF(LEFT(Y205,4)="http",Y205,set_QwilrBase&amp;Y205),"Open quote"))</f>
        <v/>
      </c>
      <c r="AA205" s="10">
        <f>IF(C205="","",C205)</f>
        <v/>
      </c>
      <c r="AB205" s="37" t="n"/>
      <c r="AC205" s="39" t="n"/>
      <c r="AD205" s="11">
        <f>IF(C205="","",N(L205)+N(AC205))</f>
        <v/>
      </c>
      <c r="AE205" s="43">
        <f>IFERROR(IF(N(AC205)=0,"",AC205/AD205),"")</f>
        <v/>
      </c>
      <c r="AF205" s="39" t="n"/>
      <c r="AG205" s="39" t="n"/>
      <c r="AH205" s="39" t="n"/>
      <c r="AI205" s="39" t="n"/>
      <c r="AJ205" s="11">
        <f>IF(C205="","",IF(H205="VIDEO",N(L205),0))</f>
        <v/>
      </c>
      <c r="AK205" s="43">
        <f>IFERROR(IF(N(L205)=0,"",AJ205/L205),"")</f>
        <v/>
      </c>
      <c r="AL205" s="11">
        <f>IF(C205="","",N(AF205)+N(AG205)+N(AH205)+N(AI205))</f>
        <v/>
      </c>
      <c r="AM205" s="11">
        <f>IF(C205="","",MAX(N(L205),N(O205))-N(AL205))</f>
        <v/>
      </c>
      <c r="AN205" s="43">
        <f>IFERROR(IF(MAX(N(L205),N(O205))=0,"",AM205/MAX(N(L205),N(O205))),"")</f>
        <v/>
      </c>
      <c r="AO205" s="41" t="n"/>
      <c r="AP205" s="41" t="n"/>
      <c r="AQ205" s="41" t="n"/>
      <c r="AR205" s="41" t="n"/>
      <c r="AS205" s="41" t="n"/>
      <c r="AT205" s="37" t="n"/>
      <c r="AU205" s="10" t="inlineStr">
        <is>
          <t>PRD-0201</t>
        </is>
      </c>
    </row>
    <row r="206">
      <c r="A206" s="16">
        <f>IF($C206="","",IFERROR(IF(INDEX(tbl_Finance[Latest Invoice Date],MATCH($AU206,tbl_Finance[Row ID],0))="","",INDEX(tbl_Finance[Latest Invoice Date],MATCH($AU206,tbl_Finance[Row ID],0))),""))</f>
        <v/>
      </c>
      <c r="B206" s="10">
        <f>IF($C206="","",IFERROR(INDEX(tbl_Finance[Invoice Numbers],MATCH($AU206,tbl_Finance[Row ID],0))&amp;"",""))</f>
        <v/>
      </c>
      <c r="C206" s="37" t="n"/>
      <c r="D206" s="10">
        <f>IF($C206="","",IF(COUNTIF(lst_Jobs,$C206&amp;"")&gt;0,"OK","CHECK"))</f>
        <v/>
      </c>
      <c r="E206" s="10">
        <f>IF($C206="","",IFERROR(INDEX(lst_JobName,MATCH($C206&amp;"",lst_Jobs,0)),""))</f>
        <v/>
      </c>
      <c r="F206" s="37" t="n"/>
      <c r="G206" s="37" t="n"/>
      <c r="H206" s="37" t="n"/>
      <c r="I206" s="37" t="n"/>
      <c r="J206" s="37" t="n"/>
      <c r="K206" s="38">
        <f>IF($C206="","",IFERROR(N(INDEX(tbl_Finance[Invoice Count],MATCH($AU206,tbl_Finance[Row ID],0))),""))</f>
        <v/>
      </c>
      <c r="L206" s="11">
        <f>IF($C206="","",IFERROR(N(INDEX(tbl_Finance[Xero Invoiced Ex GST],MATCH($AU206,tbl_Finance[Row ID],0))),""))</f>
        <v/>
      </c>
      <c r="M206" s="10">
        <f>IF($C206="","",IFERROR(INDEX(tbl_Finance[Compare],MATCH($AU206,tbl_Finance[Row ID],0))&amp;"",""))</f>
        <v/>
      </c>
      <c r="N206" s="11">
        <f>IF($C206="","",MAX(0,N(O206)-N(L206)))</f>
        <v/>
      </c>
      <c r="O206" s="39" t="n"/>
      <c r="P206" s="40">
        <f>IF($C206="","",IF((IF(F206="",", Client","")&amp;IF(G206="",", Description","")&amp;IF(H206="",", Cost Centre","")&amp;IF(I206="",", Invoice Type","")&amp;IF(J206="",", Tax Code","")&amp;IF(O206="",", Expected Revenue","")&amp;IF(COUNTIF(tbl_Finance[Job Number],$C206&amp;"")&gt;1,", Job number used twice",""))="","Complete","Fix: "&amp;MID(IF(F206="",", Client","")&amp;IF(G206="",", Description","")&amp;IF(H206="",", Cost Centre","")&amp;IF(I206="",", Invoice Type","")&amp;IF(J206="",", Tax Code","")&amp;IF(O206="",", Expected Revenue","")&amp;IF(COUNTIF(tbl_Finance[Job Number],$C206&amp;"")&gt;1,", Job number used twice",""),3,300)))</f>
        <v/>
      </c>
      <c r="Q206" s="10">
        <f>IF($C206="","",IF(H206="","(no cost centre)",H206&amp;" - GL "&amp;IFERROR(INDEX(lst_CCtoGL,MATCH(H206,lst_CCforGL,0)),"?")))</f>
        <v/>
      </c>
      <c r="R206" s="11">
        <f>IF($C206="","",IFERROR(N(INDEX(tbl_Finance[Inc GST],MATCH($AU206,tbl_Finance[Row ID],0))),""))</f>
        <v/>
      </c>
      <c r="S206" s="37" t="n"/>
      <c r="T206" s="37" t="n"/>
      <c r="U206" s="37" t="n"/>
      <c r="V206" s="42" t="n"/>
      <c r="W206" s="37" t="n"/>
      <c r="X206" s="10">
        <f>IF(W206="","",IF(AND(LEFT(W206,4)&lt;&gt;"http",set_RMSBase=""),"",HYPERLINK(IF(LEFT(W206,4)="http",W206,set_RMSBase&amp;W206),"Open in RMS")))</f>
        <v/>
      </c>
      <c r="Y206" s="37" t="n"/>
      <c r="Z206" s="10">
        <f>IF(Y206="","",HYPERLINK(IF(LEFT(Y206,4)="http",Y206,set_QwilrBase&amp;Y206),"Open quote"))</f>
        <v/>
      </c>
      <c r="AA206" s="10">
        <f>IF(C206="","",C206)</f>
        <v/>
      </c>
      <c r="AB206" s="37" t="n"/>
      <c r="AC206" s="39" t="n"/>
      <c r="AD206" s="11">
        <f>IF(C206="","",N(L206)+N(AC206))</f>
        <v/>
      </c>
      <c r="AE206" s="43">
        <f>IFERROR(IF(N(AC206)=0,"",AC206/AD206),"")</f>
        <v/>
      </c>
      <c r="AF206" s="39" t="n"/>
      <c r="AG206" s="39" t="n"/>
      <c r="AH206" s="39" t="n"/>
      <c r="AI206" s="39" t="n"/>
      <c r="AJ206" s="11">
        <f>IF(C206="","",IF(H206="VIDEO",N(L206),0))</f>
        <v/>
      </c>
      <c r="AK206" s="43">
        <f>IFERROR(IF(N(L206)=0,"",AJ206/L206),"")</f>
        <v/>
      </c>
      <c r="AL206" s="11">
        <f>IF(C206="","",N(AF206)+N(AG206)+N(AH206)+N(AI206))</f>
        <v/>
      </c>
      <c r="AM206" s="11">
        <f>IF(C206="","",MAX(N(L206),N(O206))-N(AL206))</f>
        <v/>
      </c>
      <c r="AN206" s="43">
        <f>IFERROR(IF(MAX(N(L206),N(O206))=0,"",AM206/MAX(N(L206),N(O206))),"")</f>
        <v/>
      </c>
      <c r="AO206" s="41" t="n"/>
      <c r="AP206" s="41" t="n"/>
      <c r="AQ206" s="41" t="n"/>
      <c r="AR206" s="41" t="n"/>
      <c r="AS206" s="41" t="n"/>
      <c r="AT206" s="37" t="n"/>
      <c r="AU206" s="10" t="inlineStr">
        <is>
          <t>PRD-0202</t>
        </is>
      </c>
    </row>
    <row r="207">
      <c r="A207" s="16">
        <f>IF($C207="","",IFERROR(IF(INDEX(tbl_Finance[Latest Invoice Date],MATCH($AU207,tbl_Finance[Row ID],0))="","",INDEX(tbl_Finance[Latest Invoice Date],MATCH($AU207,tbl_Finance[Row ID],0))),""))</f>
        <v/>
      </c>
      <c r="B207" s="10">
        <f>IF($C207="","",IFERROR(INDEX(tbl_Finance[Invoice Numbers],MATCH($AU207,tbl_Finance[Row ID],0))&amp;"",""))</f>
        <v/>
      </c>
      <c r="C207" s="37" t="n"/>
      <c r="D207" s="10">
        <f>IF($C207="","",IF(COUNTIF(lst_Jobs,$C207&amp;"")&gt;0,"OK","CHECK"))</f>
        <v/>
      </c>
      <c r="E207" s="10">
        <f>IF($C207="","",IFERROR(INDEX(lst_JobName,MATCH($C207&amp;"",lst_Jobs,0)),""))</f>
        <v/>
      </c>
      <c r="F207" s="37" t="n"/>
      <c r="G207" s="37" t="n"/>
      <c r="H207" s="37" t="n"/>
      <c r="I207" s="37" t="n"/>
      <c r="J207" s="37" t="n"/>
      <c r="K207" s="38">
        <f>IF($C207="","",IFERROR(N(INDEX(tbl_Finance[Invoice Count],MATCH($AU207,tbl_Finance[Row ID],0))),""))</f>
        <v/>
      </c>
      <c r="L207" s="11">
        <f>IF($C207="","",IFERROR(N(INDEX(tbl_Finance[Xero Invoiced Ex GST],MATCH($AU207,tbl_Finance[Row ID],0))),""))</f>
        <v/>
      </c>
      <c r="M207" s="10">
        <f>IF($C207="","",IFERROR(INDEX(tbl_Finance[Compare],MATCH($AU207,tbl_Finance[Row ID],0))&amp;"",""))</f>
        <v/>
      </c>
      <c r="N207" s="11">
        <f>IF($C207="","",MAX(0,N(O207)-N(L207)))</f>
        <v/>
      </c>
      <c r="O207" s="39" t="n"/>
      <c r="P207" s="40">
        <f>IF($C207="","",IF((IF(F207="",", Client","")&amp;IF(G207="",", Description","")&amp;IF(H207="",", Cost Centre","")&amp;IF(I207="",", Invoice Type","")&amp;IF(J207="",", Tax Code","")&amp;IF(O207="",", Expected Revenue","")&amp;IF(COUNTIF(tbl_Finance[Job Number],$C207&amp;"")&gt;1,", Job number used twice",""))="","Complete","Fix: "&amp;MID(IF(F207="",", Client","")&amp;IF(G207="",", Description","")&amp;IF(H207="",", Cost Centre","")&amp;IF(I207="",", Invoice Type","")&amp;IF(J207="",", Tax Code","")&amp;IF(O207="",", Expected Revenue","")&amp;IF(COUNTIF(tbl_Finance[Job Number],$C207&amp;"")&gt;1,", Job number used twice",""),3,300)))</f>
        <v/>
      </c>
      <c r="Q207" s="10">
        <f>IF($C207="","",IF(H207="","(no cost centre)",H207&amp;" - GL "&amp;IFERROR(INDEX(lst_CCtoGL,MATCH(H207,lst_CCforGL,0)),"?")))</f>
        <v/>
      </c>
      <c r="R207" s="11">
        <f>IF($C207="","",IFERROR(N(INDEX(tbl_Finance[Inc GST],MATCH($AU207,tbl_Finance[Row ID],0))),""))</f>
        <v/>
      </c>
      <c r="S207" s="37" t="n"/>
      <c r="T207" s="37" t="n"/>
      <c r="U207" s="37" t="n"/>
      <c r="V207" s="42" t="n"/>
      <c r="W207" s="37" t="n"/>
      <c r="X207" s="10">
        <f>IF(W207="","",IF(AND(LEFT(W207,4)&lt;&gt;"http",set_RMSBase=""),"",HYPERLINK(IF(LEFT(W207,4)="http",W207,set_RMSBase&amp;W207),"Open in RMS")))</f>
        <v/>
      </c>
      <c r="Y207" s="37" t="n"/>
      <c r="Z207" s="10">
        <f>IF(Y207="","",HYPERLINK(IF(LEFT(Y207,4)="http",Y207,set_QwilrBase&amp;Y207),"Open quote"))</f>
        <v/>
      </c>
      <c r="AA207" s="10">
        <f>IF(C207="","",C207)</f>
        <v/>
      </c>
      <c r="AB207" s="37" t="n"/>
      <c r="AC207" s="39" t="n"/>
      <c r="AD207" s="11">
        <f>IF(C207="","",N(L207)+N(AC207))</f>
        <v/>
      </c>
      <c r="AE207" s="43">
        <f>IFERROR(IF(N(AC207)=0,"",AC207/AD207),"")</f>
        <v/>
      </c>
      <c r="AF207" s="39" t="n"/>
      <c r="AG207" s="39" t="n"/>
      <c r="AH207" s="39" t="n"/>
      <c r="AI207" s="39" t="n"/>
      <c r="AJ207" s="11">
        <f>IF(C207="","",IF(H207="VIDEO",N(L207),0))</f>
        <v/>
      </c>
      <c r="AK207" s="43">
        <f>IFERROR(IF(N(L207)=0,"",AJ207/L207),"")</f>
        <v/>
      </c>
      <c r="AL207" s="11">
        <f>IF(C207="","",N(AF207)+N(AG207)+N(AH207)+N(AI207))</f>
        <v/>
      </c>
      <c r="AM207" s="11">
        <f>IF(C207="","",MAX(N(L207),N(O207))-N(AL207))</f>
        <v/>
      </c>
      <c r="AN207" s="43">
        <f>IFERROR(IF(MAX(N(L207),N(O207))=0,"",AM207/MAX(N(L207),N(O207))),"")</f>
        <v/>
      </c>
      <c r="AO207" s="41" t="n"/>
      <c r="AP207" s="41" t="n"/>
      <c r="AQ207" s="41" t="n"/>
      <c r="AR207" s="41" t="n"/>
      <c r="AS207" s="41" t="n"/>
      <c r="AT207" s="37" t="n"/>
      <c r="AU207" s="10" t="inlineStr">
        <is>
          <t>PRD-0203</t>
        </is>
      </c>
    </row>
    <row r="208">
      <c r="A208" s="16">
        <f>IF($C208="","",IFERROR(IF(INDEX(tbl_Finance[Latest Invoice Date],MATCH($AU208,tbl_Finance[Row ID],0))="","",INDEX(tbl_Finance[Latest Invoice Date],MATCH($AU208,tbl_Finance[Row ID],0))),""))</f>
        <v/>
      </c>
      <c r="B208" s="10">
        <f>IF($C208="","",IFERROR(INDEX(tbl_Finance[Invoice Numbers],MATCH($AU208,tbl_Finance[Row ID],0))&amp;"",""))</f>
        <v/>
      </c>
      <c r="C208" s="37" t="n"/>
      <c r="D208" s="10">
        <f>IF($C208="","",IF(COUNTIF(lst_Jobs,$C208&amp;"")&gt;0,"OK","CHECK"))</f>
        <v/>
      </c>
      <c r="E208" s="10">
        <f>IF($C208="","",IFERROR(INDEX(lst_JobName,MATCH($C208&amp;"",lst_Jobs,0)),""))</f>
        <v/>
      </c>
      <c r="F208" s="37" t="n"/>
      <c r="G208" s="37" t="n"/>
      <c r="H208" s="37" t="n"/>
      <c r="I208" s="37" t="n"/>
      <c r="J208" s="37" t="n"/>
      <c r="K208" s="38">
        <f>IF($C208="","",IFERROR(N(INDEX(tbl_Finance[Invoice Count],MATCH($AU208,tbl_Finance[Row ID],0))),""))</f>
        <v/>
      </c>
      <c r="L208" s="11">
        <f>IF($C208="","",IFERROR(N(INDEX(tbl_Finance[Xero Invoiced Ex GST],MATCH($AU208,tbl_Finance[Row ID],0))),""))</f>
        <v/>
      </c>
      <c r="M208" s="10">
        <f>IF($C208="","",IFERROR(INDEX(tbl_Finance[Compare],MATCH($AU208,tbl_Finance[Row ID],0))&amp;"",""))</f>
        <v/>
      </c>
      <c r="N208" s="11">
        <f>IF($C208="","",MAX(0,N(O208)-N(L208)))</f>
        <v/>
      </c>
      <c r="O208" s="39" t="n"/>
      <c r="P208" s="40">
        <f>IF($C208="","",IF((IF(F208="",", Client","")&amp;IF(G208="",", Description","")&amp;IF(H208="",", Cost Centre","")&amp;IF(I208="",", Invoice Type","")&amp;IF(J208="",", Tax Code","")&amp;IF(O208="",", Expected Revenue","")&amp;IF(COUNTIF(tbl_Finance[Job Number],$C208&amp;"")&gt;1,", Job number used twice",""))="","Complete","Fix: "&amp;MID(IF(F208="",", Client","")&amp;IF(G208="",", Description","")&amp;IF(H208="",", Cost Centre","")&amp;IF(I208="",", Invoice Type","")&amp;IF(J208="",", Tax Code","")&amp;IF(O208="",", Expected Revenue","")&amp;IF(COUNTIF(tbl_Finance[Job Number],$C208&amp;"")&gt;1,", Job number used twice",""),3,300)))</f>
        <v/>
      </c>
      <c r="Q208" s="10">
        <f>IF($C208="","",IF(H208="","(no cost centre)",H208&amp;" - GL "&amp;IFERROR(INDEX(lst_CCtoGL,MATCH(H208,lst_CCforGL,0)),"?")))</f>
        <v/>
      </c>
      <c r="R208" s="11">
        <f>IF($C208="","",IFERROR(N(INDEX(tbl_Finance[Inc GST],MATCH($AU208,tbl_Finance[Row ID],0))),""))</f>
        <v/>
      </c>
      <c r="S208" s="37" t="n"/>
      <c r="T208" s="37" t="n"/>
      <c r="U208" s="37" t="n"/>
      <c r="V208" s="42" t="n"/>
      <c r="W208" s="37" t="n"/>
      <c r="X208" s="10">
        <f>IF(W208="","",IF(AND(LEFT(W208,4)&lt;&gt;"http",set_RMSBase=""),"",HYPERLINK(IF(LEFT(W208,4)="http",W208,set_RMSBase&amp;W208),"Open in RMS")))</f>
        <v/>
      </c>
      <c r="Y208" s="37" t="n"/>
      <c r="Z208" s="10">
        <f>IF(Y208="","",HYPERLINK(IF(LEFT(Y208,4)="http",Y208,set_QwilrBase&amp;Y208),"Open quote"))</f>
        <v/>
      </c>
      <c r="AA208" s="10">
        <f>IF(C208="","",C208)</f>
        <v/>
      </c>
      <c r="AB208" s="37" t="n"/>
      <c r="AC208" s="39" t="n"/>
      <c r="AD208" s="11">
        <f>IF(C208="","",N(L208)+N(AC208))</f>
        <v/>
      </c>
      <c r="AE208" s="43">
        <f>IFERROR(IF(N(AC208)=0,"",AC208/AD208),"")</f>
        <v/>
      </c>
      <c r="AF208" s="39" t="n"/>
      <c r="AG208" s="39" t="n"/>
      <c r="AH208" s="39" t="n"/>
      <c r="AI208" s="39" t="n"/>
      <c r="AJ208" s="11">
        <f>IF(C208="","",IF(H208="VIDEO",N(L208),0))</f>
        <v/>
      </c>
      <c r="AK208" s="43">
        <f>IFERROR(IF(N(L208)=0,"",AJ208/L208),"")</f>
        <v/>
      </c>
      <c r="AL208" s="11">
        <f>IF(C208="","",N(AF208)+N(AG208)+N(AH208)+N(AI208))</f>
        <v/>
      </c>
      <c r="AM208" s="11">
        <f>IF(C208="","",MAX(N(L208),N(O208))-N(AL208))</f>
        <v/>
      </c>
      <c r="AN208" s="43">
        <f>IFERROR(IF(MAX(N(L208),N(O208))=0,"",AM208/MAX(N(L208),N(O208))),"")</f>
        <v/>
      </c>
      <c r="AO208" s="41" t="n"/>
      <c r="AP208" s="41" t="n"/>
      <c r="AQ208" s="41" t="n"/>
      <c r="AR208" s="41" t="n"/>
      <c r="AS208" s="41" t="n"/>
      <c r="AT208" s="37" t="n"/>
      <c r="AU208" s="10" t="inlineStr">
        <is>
          <t>PRD-0204</t>
        </is>
      </c>
    </row>
    <row r="209">
      <c r="A209" s="16">
        <f>IF($C209="","",IFERROR(IF(INDEX(tbl_Finance[Latest Invoice Date],MATCH($AU209,tbl_Finance[Row ID],0))="","",INDEX(tbl_Finance[Latest Invoice Date],MATCH($AU209,tbl_Finance[Row ID],0))),""))</f>
        <v/>
      </c>
      <c r="B209" s="10">
        <f>IF($C209="","",IFERROR(INDEX(tbl_Finance[Invoice Numbers],MATCH($AU209,tbl_Finance[Row ID],0))&amp;"",""))</f>
        <v/>
      </c>
      <c r="C209" s="37" t="n"/>
      <c r="D209" s="10">
        <f>IF($C209="","",IF(COUNTIF(lst_Jobs,$C209&amp;"")&gt;0,"OK","CHECK"))</f>
        <v/>
      </c>
      <c r="E209" s="10">
        <f>IF($C209="","",IFERROR(INDEX(lst_JobName,MATCH($C209&amp;"",lst_Jobs,0)),""))</f>
        <v/>
      </c>
      <c r="F209" s="37" t="n"/>
      <c r="G209" s="37" t="n"/>
      <c r="H209" s="37" t="n"/>
      <c r="I209" s="37" t="n"/>
      <c r="J209" s="37" t="n"/>
      <c r="K209" s="38">
        <f>IF($C209="","",IFERROR(N(INDEX(tbl_Finance[Invoice Count],MATCH($AU209,tbl_Finance[Row ID],0))),""))</f>
        <v/>
      </c>
      <c r="L209" s="11">
        <f>IF($C209="","",IFERROR(N(INDEX(tbl_Finance[Xero Invoiced Ex GST],MATCH($AU209,tbl_Finance[Row ID],0))),""))</f>
        <v/>
      </c>
      <c r="M209" s="10">
        <f>IF($C209="","",IFERROR(INDEX(tbl_Finance[Compare],MATCH($AU209,tbl_Finance[Row ID],0))&amp;"",""))</f>
        <v/>
      </c>
      <c r="N209" s="11">
        <f>IF($C209="","",MAX(0,N(O209)-N(L209)))</f>
        <v/>
      </c>
      <c r="O209" s="39" t="n"/>
      <c r="P209" s="40">
        <f>IF($C209="","",IF((IF(F209="",", Client","")&amp;IF(G209="",", Description","")&amp;IF(H209="",", Cost Centre","")&amp;IF(I209="",", Invoice Type","")&amp;IF(J209="",", Tax Code","")&amp;IF(O209="",", Expected Revenue","")&amp;IF(COUNTIF(tbl_Finance[Job Number],$C209&amp;"")&gt;1,", Job number used twice",""))="","Complete","Fix: "&amp;MID(IF(F209="",", Client","")&amp;IF(G209="",", Description","")&amp;IF(H209="",", Cost Centre","")&amp;IF(I209="",", Invoice Type","")&amp;IF(J209="",", Tax Code","")&amp;IF(O209="",", Expected Revenue","")&amp;IF(COUNTIF(tbl_Finance[Job Number],$C209&amp;"")&gt;1,", Job number used twice",""),3,300)))</f>
        <v/>
      </c>
      <c r="Q209" s="10">
        <f>IF($C209="","",IF(H209="","(no cost centre)",H209&amp;" - GL "&amp;IFERROR(INDEX(lst_CCtoGL,MATCH(H209,lst_CCforGL,0)),"?")))</f>
        <v/>
      </c>
      <c r="R209" s="11">
        <f>IF($C209="","",IFERROR(N(INDEX(tbl_Finance[Inc GST],MATCH($AU209,tbl_Finance[Row ID],0))),""))</f>
        <v/>
      </c>
      <c r="S209" s="37" t="n"/>
      <c r="T209" s="37" t="n"/>
      <c r="U209" s="37" t="n"/>
      <c r="V209" s="42" t="n"/>
      <c r="W209" s="37" t="n"/>
      <c r="X209" s="10">
        <f>IF(W209="","",IF(AND(LEFT(W209,4)&lt;&gt;"http",set_RMSBase=""),"",HYPERLINK(IF(LEFT(W209,4)="http",W209,set_RMSBase&amp;W209),"Open in RMS")))</f>
        <v/>
      </c>
      <c r="Y209" s="37" t="n"/>
      <c r="Z209" s="10">
        <f>IF(Y209="","",HYPERLINK(IF(LEFT(Y209,4)="http",Y209,set_QwilrBase&amp;Y209),"Open quote"))</f>
        <v/>
      </c>
      <c r="AA209" s="10">
        <f>IF(C209="","",C209)</f>
        <v/>
      </c>
      <c r="AB209" s="37" t="n"/>
      <c r="AC209" s="39" t="n"/>
      <c r="AD209" s="11">
        <f>IF(C209="","",N(L209)+N(AC209))</f>
        <v/>
      </c>
      <c r="AE209" s="43">
        <f>IFERROR(IF(N(AC209)=0,"",AC209/AD209),"")</f>
        <v/>
      </c>
      <c r="AF209" s="39" t="n"/>
      <c r="AG209" s="39" t="n"/>
      <c r="AH209" s="39" t="n"/>
      <c r="AI209" s="39" t="n"/>
      <c r="AJ209" s="11">
        <f>IF(C209="","",IF(H209="VIDEO",N(L209),0))</f>
        <v/>
      </c>
      <c r="AK209" s="43">
        <f>IFERROR(IF(N(L209)=0,"",AJ209/L209),"")</f>
        <v/>
      </c>
      <c r="AL209" s="11">
        <f>IF(C209="","",N(AF209)+N(AG209)+N(AH209)+N(AI209))</f>
        <v/>
      </c>
      <c r="AM209" s="11">
        <f>IF(C209="","",MAX(N(L209),N(O209))-N(AL209))</f>
        <v/>
      </c>
      <c r="AN209" s="43">
        <f>IFERROR(IF(MAX(N(L209),N(O209))=0,"",AM209/MAX(N(L209),N(O209))),"")</f>
        <v/>
      </c>
      <c r="AO209" s="41" t="n"/>
      <c r="AP209" s="41" t="n"/>
      <c r="AQ209" s="41" t="n"/>
      <c r="AR209" s="41" t="n"/>
      <c r="AS209" s="41" t="n"/>
      <c r="AT209" s="37" t="n"/>
      <c r="AU209" s="10" t="inlineStr">
        <is>
          <t>PRD-0205</t>
        </is>
      </c>
    </row>
    <row r="210">
      <c r="A210" s="16">
        <f>IF($C210="","",IFERROR(IF(INDEX(tbl_Finance[Latest Invoice Date],MATCH($AU210,tbl_Finance[Row ID],0))="","",INDEX(tbl_Finance[Latest Invoice Date],MATCH($AU210,tbl_Finance[Row ID],0))),""))</f>
        <v/>
      </c>
      <c r="B210" s="10">
        <f>IF($C210="","",IFERROR(INDEX(tbl_Finance[Invoice Numbers],MATCH($AU210,tbl_Finance[Row ID],0))&amp;"",""))</f>
        <v/>
      </c>
      <c r="C210" s="37" t="n"/>
      <c r="D210" s="10">
        <f>IF($C210="","",IF(COUNTIF(lst_Jobs,$C210&amp;"")&gt;0,"OK","CHECK"))</f>
        <v/>
      </c>
      <c r="E210" s="10">
        <f>IF($C210="","",IFERROR(INDEX(lst_JobName,MATCH($C210&amp;"",lst_Jobs,0)),""))</f>
        <v/>
      </c>
      <c r="F210" s="37" t="n"/>
      <c r="G210" s="37" t="n"/>
      <c r="H210" s="37" t="n"/>
      <c r="I210" s="37" t="n"/>
      <c r="J210" s="37" t="n"/>
      <c r="K210" s="38">
        <f>IF($C210="","",IFERROR(N(INDEX(tbl_Finance[Invoice Count],MATCH($AU210,tbl_Finance[Row ID],0))),""))</f>
        <v/>
      </c>
      <c r="L210" s="11">
        <f>IF($C210="","",IFERROR(N(INDEX(tbl_Finance[Xero Invoiced Ex GST],MATCH($AU210,tbl_Finance[Row ID],0))),""))</f>
        <v/>
      </c>
      <c r="M210" s="10">
        <f>IF($C210="","",IFERROR(INDEX(tbl_Finance[Compare],MATCH($AU210,tbl_Finance[Row ID],0))&amp;"",""))</f>
        <v/>
      </c>
      <c r="N210" s="11">
        <f>IF($C210="","",MAX(0,N(O210)-N(L210)))</f>
        <v/>
      </c>
      <c r="O210" s="39" t="n"/>
      <c r="P210" s="40">
        <f>IF($C210="","",IF((IF(F210="",", Client","")&amp;IF(G210="",", Description","")&amp;IF(H210="",", Cost Centre","")&amp;IF(I210="",", Invoice Type","")&amp;IF(J210="",", Tax Code","")&amp;IF(O210="",", Expected Revenue","")&amp;IF(COUNTIF(tbl_Finance[Job Number],$C210&amp;"")&gt;1,", Job number used twice",""))="","Complete","Fix: "&amp;MID(IF(F210="",", Client","")&amp;IF(G210="",", Description","")&amp;IF(H210="",", Cost Centre","")&amp;IF(I210="",", Invoice Type","")&amp;IF(J210="",", Tax Code","")&amp;IF(O210="",", Expected Revenue","")&amp;IF(COUNTIF(tbl_Finance[Job Number],$C210&amp;"")&gt;1,", Job number used twice",""),3,300)))</f>
        <v/>
      </c>
      <c r="Q210" s="10">
        <f>IF($C210="","",IF(H210="","(no cost centre)",H210&amp;" - GL "&amp;IFERROR(INDEX(lst_CCtoGL,MATCH(H210,lst_CCforGL,0)),"?")))</f>
        <v/>
      </c>
      <c r="R210" s="11">
        <f>IF($C210="","",IFERROR(N(INDEX(tbl_Finance[Inc GST],MATCH($AU210,tbl_Finance[Row ID],0))),""))</f>
        <v/>
      </c>
      <c r="S210" s="37" t="n"/>
      <c r="T210" s="37" t="n"/>
      <c r="U210" s="37" t="n"/>
      <c r="V210" s="42" t="n"/>
      <c r="W210" s="37" t="n"/>
      <c r="X210" s="10">
        <f>IF(W210="","",IF(AND(LEFT(W210,4)&lt;&gt;"http",set_RMSBase=""),"",HYPERLINK(IF(LEFT(W210,4)="http",W210,set_RMSBase&amp;W210),"Open in RMS")))</f>
        <v/>
      </c>
      <c r="Y210" s="37" t="n"/>
      <c r="Z210" s="10">
        <f>IF(Y210="","",HYPERLINK(IF(LEFT(Y210,4)="http",Y210,set_QwilrBase&amp;Y210),"Open quote"))</f>
        <v/>
      </c>
      <c r="AA210" s="10">
        <f>IF(C210="","",C210)</f>
        <v/>
      </c>
      <c r="AB210" s="37" t="n"/>
      <c r="AC210" s="39" t="n"/>
      <c r="AD210" s="11">
        <f>IF(C210="","",N(L210)+N(AC210))</f>
        <v/>
      </c>
      <c r="AE210" s="43">
        <f>IFERROR(IF(N(AC210)=0,"",AC210/AD210),"")</f>
        <v/>
      </c>
      <c r="AF210" s="39" t="n"/>
      <c r="AG210" s="39" t="n"/>
      <c r="AH210" s="39" t="n"/>
      <c r="AI210" s="39" t="n"/>
      <c r="AJ210" s="11">
        <f>IF(C210="","",IF(H210="VIDEO",N(L210),0))</f>
        <v/>
      </c>
      <c r="AK210" s="43">
        <f>IFERROR(IF(N(L210)=0,"",AJ210/L210),"")</f>
        <v/>
      </c>
      <c r="AL210" s="11">
        <f>IF(C210="","",N(AF210)+N(AG210)+N(AH210)+N(AI210))</f>
        <v/>
      </c>
      <c r="AM210" s="11">
        <f>IF(C210="","",MAX(N(L210),N(O210))-N(AL210))</f>
        <v/>
      </c>
      <c r="AN210" s="43">
        <f>IFERROR(IF(MAX(N(L210),N(O210))=0,"",AM210/MAX(N(L210),N(O210))),"")</f>
        <v/>
      </c>
      <c r="AO210" s="41" t="n"/>
      <c r="AP210" s="41" t="n"/>
      <c r="AQ210" s="41" t="n"/>
      <c r="AR210" s="41" t="n"/>
      <c r="AS210" s="41" t="n"/>
      <c r="AT210" s="37" t="n"/>
      <c r="AU210" s="10" t="inlineStr">
        <is>
          <t>PRD-0206</t>
        </is>
      </c>
    </row>
    <row r="211">
      <c r="A211" s="16">
        <f>IF($C211="","",IFERROR(IF(INDEX(tbl_Finance[Latest Invoice Date],MATCH($AU211,tbl_Finance[Row ID],0))="","",INDEX(tbl_Finance[Latest Invoice Date],MATCH($AU211,tbl_Finance[Row ID],0))),""))</f>
        <v/>
      </c>
      <c r="B211" s="10">
        <f>IF($C211="","",IFERROR(INDEX(tbl_Finance[Invoice Numbers],MATCH($AU211,tbl_Finance[Row ID],0))&amp;"",""))</f>
        <v/>
      </c>
      <c r="C211" s="37" t="n"/>
      <c r="D211" s="10">
        <f>IF($C211="","",IF(COUNTIF(lst_Jobs,$C211&amp;"")&gt;0,"OK","CHECK"))</f>
        <v/>
      </c>
      <c r="E211" s="10">
        <f>IF($C211="","",IFERROR(INDEX(lst_JobName,MATCH($C211&amp;"",lst_Jobs,0)),""))</f>
        <v/>
      </c>
      <c r="F211" s="37" t="n"/>
      <c r="G211" s="37" t="n"/>
      <c r="H211" s="37" t="n"/>
      <c r="I211" s="37" t="n"/>
      <c r="J211" s="37" t="n"/>
      <c r="K211" s="38">
        <f>IF($C211="","",IFERROR(N(INDEX(tbl_Finance[Invoice Count],MATCH($AU211,tbl_Finance[Row ID],0))),""))</f>
        <v/>
      </c>
      <c r="L211" s="11">
        <f>IF($C211="","",IFERROR(N(INDEX(tbl_Finance[Xero Invoiced Ex GST],MATCH($AU211,tbl_Finance[Row ID],0))),""))</f>
        <v/>
      </c>
      <c r="M211" s="10">
        <f>IF($C211="","",IFERROR(INDEX(tbl_Finance[Compare],MATCH($AU211,tbl_Finance[Row ID],0))&amp;"",""))</f>
        <v/>
      </c>
      <c r="N211" s="11">
        <f>IF($C211="","",MAX(0,N(O211)-N(L211)))</f>
        <v/>
      </c>
      <c r="O211" s="39" t="n"/>
      <c r="P211" s="40">
        <f>IF($C211="","",IF((IF(F211="",", Client","")&amp;IF(G211="",", Description","")&amp;IF(H211="",", Cost Centre","")&amp;IF(I211="",", Invoice Type","")&amp;IF(J211="",", Tax Code","")&amp;IF(O211="",", Expected Revenue","")&amp;IF(COUNTIF(tbl_Finance[Job Number],$C211&amp;"")&gt;1,", Job number used twice",""))="","Complete","Fix: "&amp;MID(IF(F211="",", Client","")&amp;IF(G211="",", Description","")&amp;IF(H211="",", Cost Centre","")&amp;IF(I211="",", Invoice Type","")&amp;IF(J211="",", Tax Code","")&amp;IF(O211="",", Expected Revenue","")&amp;IF(COUNTIF(tbl_Finance[Job Number],$C211&amp;"")&gt;1,", Job number used twice",""),3,300)))</f>
        <v/>
      </c>
      <c r="Q211" s="10">
        <f>IF($C211="","",IF(H211="","(no cost centre)",H211&amp;" - GL "&amp;IFERROR(INDEX(lst_CCtoGL,MATCH(H211,lst_CCforGL,0)),"?")))</f>
        <v/>
      </c>
      <c r="R211" s="11">
        <f>IF($C211="","",IFERROR(N(INDEX(tbl_Finance[Inc GST],MATCH($AU211,tbl_Finance[Row ID],0))),""))</f>
        <v/>
      </c>
      <c r="S211" s="37" t="n"/>
      <c r="T211" s="37" t="n"/>
      <c r="U211" s="37" t="n"/>
      <c r="V211" s="42" t="n"/>
      <c r="W211" s="37" t="n"/>
      <c r="X211" s="10">
        <f>IF(W211="","",IF(AND(LEFT(W211,4)&lt;&gt;"http",set_RMSBase=""),"",HYPERLINK(IF(LEFT(W211,4)="http",W211,set_RMSBase&amp;W211),"Open in RMS")))</f>
        <v/>
      </c>
      <c r="Y211" s="37" t="n"/>
      <c r="Z211" s="10">
        <f>IF(Y211="","",HYPERLINK(IF(LEFT(Y211,4)="http",Y211,set_QwilrBase&amp;Y211),"Open quote"))</f>
        <v/>
      </c>
      <c r="AA211" s="10">
        <f>IF(C211="","",C211)</f>
        <v/>
      </c>
      <c r="AB211" s="37" t="n"/>
      <c r="AC211" s="39" t="n"/>
      <c r="AD211" s="11">
        <f>IF(C211="","",N(L211)+N(AC211))</f>
        <v/>
      </c>
      <c r="AE211" s="43">
        <f>IFERROR(IF(N(AC211)=0,"",AC211/AD211),"")</f>
        <v/>
      </c>
      <c r="AF211" s="39" t="n"/>
      <c r="AG211" s="39" t="n"/>
      <c r="AH211" s="39" t="n"/>
      <c r="AI211" s="39" t="n"/>
      <c r="AJ211" s="11">
        <f>IF(C211="","",IF(H211="VIDEO",N(L211),0))</f>
        <v/>
      </c>
      <c r="AK211" s="43">
        <f>IFERROR(IF(N(L211)=0,"",AJ211/L211),"")</f>
        <v/>
      </c>
      <c r="AL211" s="11">
        <f>IF(C211="","",N(AF211)+N(AG211)+N(AH211)+N(AI211))</f>
        <v/>
      </c>
      <c r="AM211" s="11">
        <f>IF(C211="","",MAX(N(L211),N(O211))-N(AL211))</f>
        <v/>
      </c>
      <c r="AN211" s="43">
        <f>IFERROR(IF(MAX(N(L211),N(O211))=0,"",AM211/MAX(N(L211),N(O211))),"")</f>
        <v/>
      </c>
      <c r="AO211" s="41" t="n"/>
      <c r="AP211" s="41" t="n"/>
      <c r="AQ211" s="41" t="n"/>
      <c r="AR211" s="41" t="n"/>
      <c r="AS211" s="41" t="n"/>
      <c r="AT211" s="37" t="n"/>
      <c r="AU211" s="10" t="inlineStr">
        <is>
          <t>PRD-0207</t>
        </is>
      </c>
    </row>
    <row r="212">
      <c r="A212" s="16">
        <f>IF($C212="","",IFERROR(IF(INDEX(tbl_Finance[Latest Invoice Date],MATCH($AU212,tbl_Finance[Row ID],0))="","",INDEX(tbl_Finance[Latest Invoice Date],MATCH($AU212,tbl_Finance[Row ID],0))),""))</f>
        <v/>
      </c>
      <c r="B212" s="10">
        <f>IF($C212="","",IFERROR(INDEX(tbl_Finance[Invoice Numbers],MATCH($AU212,tbl_Finance[Row ID],0))&amp;"",""))</f>
        <v/>
      </c>
      <c r="C212" s="37" t="n"/>
      <c r="D212" s="10">
        <f>IF($C212="","",IF(COUNTIF(lst_Jobs,$C212&amp;"")&gt;0,"OK","CHECK"))</f>
        <v/>
      </c>
      <c r="E212" s="10">
        <f>IF($C212="","",IFERROR(INDEX(lst_JobName,MATCH($C212&amp;"",lst_Jobs,0)),""))</f>
        <v/>
      </c>
      <c r="F212" s="37" t="n"/>
      <c r="G212" s="37" t="n"/>
      <c r="H212" s="37" t="n"/>
      <c r="I212" s="37" t="n"/>
      <c r="J212" s="37" t="n"/>
      <c r="K212" s="38">
        <f>IF($C212="","",IFERROR(N(INDEX(tbl_Finance[Invoice Count],MATCH($AU212,tbl_Finance[Row ID],0))),""))</f>
        <v/>
      </c>
      <c r="L212" s="11">
        <f>IF($C212="","",IFERROR(N(INDEX(tbl_Finance[Xero Invoiced Ex GST],MATCH($AU212,tbl_Finance[Row ID],0))),""))</f>
        <v/>
      </c>
      <c r="M212" s="10">
        <f>IF($C212="","",IFERROR(INDEX(tbl_Finance[Compare],MATCH($AU212,tbl_Finance[Row ID],0))&amp;"",""))</f>
        <v/>
      </c>
      <c r="N212" s="11">
        <f>IF($C212="","",MAX(0,N(O212)-N(L212)))</f>
        <v/>
      </c>
      <c r="O212" s="39" t="n"/>
      <c r="P212" s="40">
        <f>IF($C212="","",IF((IF(F212="",", Client","")&amp;IF(G212="",", Description","")&amp;IF(H212="",", Cost Centre","")&amp;IF(I212="",", Invoice Type","")&amp;IF(J212="",", Tax Code","")&amp;IF(O212="",", Expected Revenue","")&amp;IF(COUNTIF(tbl_Finance[Job Number],$C212&amp;"")&gt;1,", Job number used twice",""))="","Complete","Fix: "&amp;MID(IF(F212="",", Client","")&amp;IF(G212="",", Description","")&amp;IF(H212="",", Cost Centre","")&amp;IF(I212="",", Invoice Type","")&amp;IF(J212="",", Tax Code","")&amp;IF(O212="",", Expected Revenue","")&amp;IF(COUNTIF(tbl_Finance[Job Number],$C212&amp;"")&gt;1,", Job number used twice",""),3,300)))</f>
        <v/>
      </c>
      <c r="Q212" s="10">
        <f>IF($C212="","",IF(H212="","(no cost centre)",H212&amp;" - GL "&amp;IFERROR(INDEX(lst_CCtoGL,MATCH(H212,lst_CCforGL,0)),"?")))</f>
        <v/>
      </c>
      <c r="R212" s="11">
        <f>IF($C212="","",IFERROR(N(INDEX(tbl_Finance[Inc GST],MATCH($AU212,tbl_Finance[Row ID],0))),""))</f>
        <v/>
      </c>
      <c r="S212" s="37" t="n"/>
      <c r="T212" s="37" t="n"/>
      <c r="U212" s="37" t="n"/>
      <c r="V212" s="42" t="n"/>
      <c r="W212" s="37" t="n"/>
      <c r="X212" s="10">
        <f>IF(W212="","",IF(AND(LEFT(W212,4)&lt;&gt;"http",set_RMSBase=""),"",HYPERLINK(IF(LEFT(W212,4)="http",W212,set_RMSBase&amp;W212),"Open in RMS")))</f>
        <v/>
      </c>
      <c r="Y212" s="37" t="n"/>
      <c r="Z212" s="10">
        <f>IF(Y212="","",HYPERLINK(IF(LEFT(Y212,4)="http",Y212,set_QwilrBase&amp;Y212),"Open quote"))</f>
        <v/>
      </c>
      <c r="AA212" s="10">
        <f>IF(C212="","",C212)</f>
        <v/>
      </c>
      <c r="AB212" s="37" t="n"/>
      <c r="AC212" s="39" t="n"/>
      <c r="AD212" s="11">
        <f>IF(C212="","",N(L212)+N(AC212))</f>
        <v/>
      </c>
      <c r="AE212" s="43">
        <f>IFERROR(IF(N(AC212)=0,"",AC212/AD212),"")</f>
        <v/>
      </c>
      <c r="AF212" s="39" t="n"/>
      <c r="AG212" s="39" t="n"/>
      <c r="AH212" s="39" t="n"/>
      <c r="AI212" s="39" t="n"/>
      <c r="AJ212" s="11">
        <f>IF(C212="","",IF(H212="VIDEO",N(L212),0))</f>
        <v/>
      </c>
      <c r="AK212" s="43">
        <f>IFERROR(IF(N(L212)=0,"",AJ212/L212),"")</f>
        <v/>
      </c>
      <c r="AL212" s="11">
        <f>IF(C212="","",N(AF212)+N(AG212)+N(AH212)+N(AI212))</f>
        <v/>
      </c>
      <c r="AM212" s="11">
        <f>IF(C212="","",MAX(N(L212),N(O212))-N(AL212))</f>
        <v/>
      </c>
      <c r="AN212" s="43">
        <f>IFERROR(IF(MAX(N(L212),N(O212))=0,"",AM212/MAX(N(L212),N(O212))),"")</f>
        <v/>
      </c>
      <c r="AO212" s="41" t="n"/>
      <c r="AP212" s="41" t="n"/>
      <c r="AQ212" s="41" t="n"/>
      <c r="AR212" s="41" t="n"/>
      <c r="AS212" s="41" t="n"/>
      <c r="AT212" s="37" t="n"/>
      <c r="AU212" s="10" t="inlineStr">
        <is>
          <t>PRD-0208</t>
        </is>
      </c>
    </row>
    <row r="213">
      <c r="A213" s="16">
        <f>IF($C213="","",IFERROR(IF(INDEX(tbl_Finance[Latest Invoice Date],MATCH($AU213,tbl_Finance[Row ID],0))="","",INDEX(tbl_Finance[Latest Invoice Date],MATCH($AU213,tbl_Finance[Row ID],0))),""))</f>
        <v/>
      </c>
      <c r="B213" s="10">
        <f>IF($C213="","",IFERROR(INDEX(tbl_Finance[Invoice Numbers],MATCH($AU213,tbl_Finance[Row ID],0))&amp;"",""))</f>
        <v/>
      </c>
      <c r="C213" s="37" t="n"/>
      <c r="D213" s="10">
        <f>IF($C213="","",IF(COUNTIF(lst_Jobs,$C213&amp;"")&gt;0,"OK","CHECK"))</f>
        <v/>
      </c>
      <c r="E213" s="10">
        <f>IF($C213="","",IFERROR(INDEX(lst_JobName,MATCH($C213&amp;"",lst_Jobs,0)),""))</f>
        <v/>
      </c>
      <c r="F213" s="37" t="n"/>
      <c r="G213" s="37" t="n"/>
      <c r="H213" s="37" t="n"/>
      <c r="I213" s="37" t="n"/>
      <c r="J213" s="37" t="n"/>
      <c r="K213" s="38">
        <f>IF($C213="","",IFERROR(N(INDEX(tbl_Finance[Invoice Count],MATCH($AU213,tbl_Finance[Row ID],0))),""))</f>
        <v/>
      </c>
      <c r="L213" s="11">
        <f>IF($C213="","",IFERROR(N(INDEX(tbl_Finance[Xero Invoiced Ex GST],MATCH($AU213,tbl_Finance[Row ID],0))),""))</f>
        <v/>
      </c>
      <c r="M213" s="10">
        <f>IF($C213="","",IFERROR(INDEX(tbl_Finance[Compare],MATCH($AU213,tbl_Finance[Row ID],0))&amp;"",""))</f>
        <v/>
      </c>
      <c r="N213" s="11">
        <f>IF($C213="","",MAX(0,N(O213)-N(L213)))</f>
        <v/>
      </c>
      <c r="O213" s="39" t="n"/>
      <c r="P213" s="40">
        <f>IF($C213="","",IF((IF(F213="",", Client","")&amp;IF(G213="",", Description","")&amp;IF(H213="",", Cost Centre","")&amp;IF(I213="",", Invoice Type","")&amp;IF(J213="",", Tax Code","")&amp;IF(O213="",", Expected Revenue","")&amp;IF(COUNTIF(tbl_Finance[Job Number],$C213&amp;"")&gt;1,", Job number used twice",""))="","Complete","Fix: "&amp;MID(IF(F213="",", Client","")&amp;IF(G213="",", Description","")&amp;IF(H213="",", Cost Centre","")&amp;IF(I213="",", Invoice Type","")&amp;IF(J213="",", Tax Code","")&amp;IF(O213="",", Expected Revenue","")&amp;IF(COUNTIF(tbl_Finance[Job Number],$C213&amp;"")&gt;1,", Job number used twice",""),3,300)))</f>
        <v/>
      </c>
      <c r="Q213" s="10">
        <f>IF($C213="","",IF(H213="","(no cost centre)",H213&amp;" - GL "&amp;IFERROR(INDEX(lst_CCtoGL,MATCH(H213,lst_CCforGL,0)),"?")))</f>
        <v/>
      </c>
      <c r="R213" s="11">
        <f>IF($C213="","",IFERROR(N(INDEX(tbl_Finance[Inc GST],MATCH($AU213,tbl_Finance[Row ID],0))),""))</f>
        <v/>
      </c>
      <c r="S213" s="37" t="n"/>
      <c r="T213" s="37" t="n"/>
      <c r="U213" s="37" t="n"/>
      <c r="V213" s="42" t="n"/>
      <c r="W213" s="37" t="n"/>
      <c r="X213" s="10">
        <f>IF(W213="","",IF(AND(LEFT(W213,4)&lt;&gt;"http",set_RMSBase=""),"",HYPERLINK(IF(LEFT(W213,4)="http",W213,set_RMSBase&amp;W213),"Open in RMS")))</f>
        <v/>
      </c>
      <c r="Y213" s="37" t="n"/>
      <c r="Z213" s="10">
        <f>IF(Y213="","",HYPERLINK(IF(LEFT(Y213,4)="http",Y213,set_QwilrBase&amp;Y213),"Open quote"))</f>
        <v/>
      </c>
      <c r="AA213" s="10">
        <f>IF(C213="","",C213)</f>
        <v/>
      </c>
      <c r="AB213" s="37" t="n"/>
      <c r="AC213" s="39" t="n"/>
      <c r="AD213" s="11">
        <f>IF(C213="","",N(L213)+N(AC213))</f>
        <v/>
      </c>
      <c r="AE213" s="43">
        <f>IFERROR(IF(N(AC213)=0,"",AC213/AD213),"")</f>
        <v/>
      </c>
      <c r="AF213" s="39" t="n"/>
      <c r="AG213" s="39" t="n"/>
      <c r="AH213" s="39" t="n"/>
      <c r="AI213" s="39" t="n"/>
      <c r="AJ213" s="11">
        <f>IF(C213="","",IF(H213="VIDEO",N(L213),0))</f>
        <v/>
      </c>
      <c r="AK213" s="43">
        <f>IFERROR(IF(N(L213)=0,"",AJ213/L213),"")</f>
        <v/>
      </c>
      <c r="AL213" s="11">
        <f>IF(C213="","",N(AF213)+N(AG213)+N(AH213)+N(AI213))</f>
        <v/>
      </c>
      <c r="AM213" s="11">
        <f>IF(C213="","",MAX(N(L213),N(O213))-N(AL213))</f>
        <v/>
      </c>
      <c r="AN213" s="43">
        <f>IFERROR(IF(MAX(N(L213),N(O213))=0,"",AM213/MAX(N(L213),N(O213))),"")</f>
        <v/>
      </c>
      <c r="AO213" s="41" t="n"/>
      <c r="AP213" s="41" t="n"/>
      <c r="AQ213" s="41" t="n"/>
      <c r="AR213" s="41" t="n"/>
      <c r="AS213" s="41" t="n"/>
      <c r="AT213" s="37" t="n"/>
      <c r="AU213" s="10" t="inlineStr">
        <is>
          <t>PRD-0209</t>
        </is>
      </c>
    </row>
    <row r="214">
      <c r="A214" s="16">
        <f>IF($C214="","",IFERROR(IF(INDEX(tbl_Finance[Latest Invoice Date],MATCH($AU214,tbl_Finance[Row ID],0))="","",INDEX(tbl_Finance[Latest Invoice Date],MATCH($AU214,tbl_Finance[Row ID],0))),""))</f>
        <v/>
      </c>
      <c r="B214" s="10">
        <f>IF($C214="","",IFERROR(INDEX(tbl_Finance[Invoice Numbers],MATCH($AU214,tbl_Finance[Row ID],0))&amp;"",""))</f>
        <v/>
      </c>
      <c r="C214" s="37" t="n"/>
      <c r="D214" s="10">
        <f>IF($C214="","",IF(COUNTIF(lst_Jobs,$C214&amp;"")&gt;0,"OK","CHECK"))</f>
        <v/>
      </c>
      <c r="E214" s="10">
        <f>IF($C214="","",IFERROR(INDEX(lst_JobName,MATCH($C214&amp;"",lst_Jobs,0)),""))</f>
        <v/>
      </c>
      <c r="F214" s="37" t="n"/>
      <c r="G214" s="37" t="n"/>
      <c r="H214" s="37" t="n"/>
      <c r="I214" s="37" t="n"/>
      <c r="J214" s="37" t="n"/>
      <c r="K214" s="38">
        <f>IF($C214="","",IFERROR(N(INDEX(tbl_Finance[Invoice Count],MATCH($AU214,tbl_Finance[Row ID],0))),""))</f>
        <v/>
      </c>
      <c r="L214" s="11">
        <f>IF($C214="","",IFERROR(N(INDEX(tbl_Finance[Xero Invoiced Ex GST],MATCH($AU214,tbl_Finance[Row ID],0))),""))</f>
        <v/>
      </c>
      <c r="M214" s="10">
        <f>IF($C214="","",IFERROR(INDEX(tbl_Finance[Compare],MATCH($AU214,tbl_Finance[Row ID],0))&amp;"",""))</f>
        <v/>
      </c>
      <c r="N214" s="11">
        <f>IF($C214="","",MAX(0,N(O214)-N(L214)))</f>
        <v/>
      </c>
      <c r="O214" s="39" t="n"/>
      <c r="P214" s="40">
        <f>IF($C214="","",IF((IF(F214="",", Client","")&amp;IF(G214="",", Description","")&amp;IF(H214="",", Cost Centre","")&amp;IF(I214="",", Invoice Type","")&amp;IF(J214="",", Tax Code","")&amp;IF(O214="",", Expected Revenue","")&amp;IF(COUNTIF(tbl_Finance[Job Number],$C214&amp;"")&gt;1,", Job number used twice",""))="","Complete","Fix: "&amp;MID(IF(F214="",", Client","")&amp;IF(G214="",", Description","")&amp;IF(H214="",", Cost Centre","")&amp;IF(I214="",", Invoice Type","")&amp;IF(J214="",", Tax Code","")&amp;IF(O214="",", Expected Revenue","")&amp;IF(COUNTIF(tbl_Finance[Job Number],$C214&amp;"")&gt;1,", Job number used twice",""),3,300)))</f>
        <v/>
      </c>
      <c r="Q214" s="10">
        <f>IF($C214="","",IF(H214="","(no cost centre)",H214&amp;" - GL "&amp;IFERROR(INDEX(lst_CCtoGL,MATCH(H214,lst_CCforGL,0)),"?")))</f>
        <v/>
      </c>
      <c r="R214" s="11">
        <f>IF($C214="","",IFERROR(N(INDEX(tbl_Finance[Inc GST],MATCH($AU214,tbl_Finance[Row ID],0))),""))</f>
        <v/>
      </c>
      <c r="S214" s="37" t="n"/>
      <c r="T214" s="37" t="n"/>
      <c r="U214" s="37" t="n"/>
      <c r="V214" s="42" t="n"/>
      <c r="W214" s="37" t="n"/>
      <c r="X214" s="10">
        <f>IF(W214="","",IF(AND(LEFT(W214,4)&lt;&gt;"http",set_RMSBase=""),"",HYPERLINK(IF(LEFT(W214,4)="http",W214,set_RMSBase&amp;W214),"Open in RMS")))</f>
        <v/>
      </c>
      <c r="Y214" s="37" t="n"/>
      <c r="Z214" s="10">
        <f>IF(Y214="","",HYPERLINK(IF(LEFT(Y214,4)="http",Y214,set_QwilrBase&amp;Y214),"Open quote"))</f>
        <v/>
      </c>
      <c r="AA214" s="10">
        <f>IF(C214="","",C214)</f>
        <v/>
      </c>
      <c r="AB214" s="37" t="n"/>
      <c r="AC214" s="39" t="n"/>
      <c r="AD214" s="11">
        <f>IF(C214="","",N(L214)+N(AC214))</f>
        <v/>
      </c>
      <c r="AE214" s="43">
        <f>IFERROR(IF(N(AC214)=0,"",AC214/AD214),"")</f>
        <v/>
      </c>
      <c r="AF214" s="39" t="n"/>
      <c r="AG214" s="39" t="n"/>
      <c r="AH214" s="39" t="n"/>
      <c r="AI214" s="39" t="n"/>
      <c r="AJ214" s="11">
        <f>IF(C214="","",IF(H214="VIDEO",N(L214),0))</f>
        <v/>
      </c>
      <c r="AK214" s="43">
        <f>IFERROR(IF(N(L214)=0,"",AJ214/L214),"")</f>
        <v/>
      </c>
      <c r="AL214" s="11">
        <f>IF(C214="","",N(AF214)+N(AG214)+N(AH214)+N(AI214))</f>
        <v/>
      </c>
      <c r="AM214" s="11">
        <f>IF(C214="","",MAX(N(L214),N(O214))-N(AL214))</f>
        <v/>
      </c>
      <c r="AN214" s="43">
        <f>IFERROR(IF(MAX(N(L214),N(O214))=0,"",AM214/MAX(N(L214),N(O214))),"")</f>
        <v/>
      </c>
      <c r="AO214" s="41" t="n"/>
      <c r="AP214" s="41" t="n"/>
      <c r="AQ214" s="41" t="n"/>
      <c r="AR214" s="41" t="n"/>
      <c r="AS214" s="41" t="n"/>
      <c r="AT214" s="37" t="n"/>
      <c r="AU214" s="10" t="inlineStr">
        <is>
          <t>PRD-0210</t>
        </is>
      </c>
    </row>
    <row r="215">
      <c r="A215" s="16">
        <f>IF($C215="","",IFERROR(IF(INDEX(tbl_Finance[Latest Invoice Date],MATCH($AU215,tbl_Finance[Row ID],0))="","",INDEX(tbl_Finance[Latest Invoice Date],MATCH($AU215,tbl_Finance[Row ID],0))),""))</f>
        <v/>
      </c>
      <c r="B215" s="10">
        <f>IF($C215="","",IFERROR(INDEX(tbl_Finance[Invoice Numbers],MATCH($AU215,tbl_Finance[Row ID],0))&amp;"",""))</f>
        <v/>
      </c>
      <c r="C215" s="37" t="n"/>
      <c r="D215" s="10">
        <f>IF($C215="","",IF(COUNTIF(lst_Jobs,$C215&amp;"")&gt;0,"OK","CHECK"))</f>
        <v/>
      </c>
      <c r="E215" s="10">
        <f>IF($C215="","",IFERROR(INDEX(lst_JobName,MATCH($C215&amp;"",lst_Jobs,0)),""))</f>
        <v/>
      </c>
      <c r="F215" s="37" t="n"/>
      <c r="G215" s="37" t="n"/>
      <c r="H215" s="37" t="n"/>
      <c r="I215" s="37" t="n"/>
      <c r="J215" s="37" t="n"/>
      <c r="K215" s="38">
        <f>IF($C215="","",IFERROR(N(INDEX(tbl_Finance[Invoice Count],MATCH($AU215,tbl_Finance[Row ID],0))),""))</f>
        <v/>
      </c>
      <c r="L215" s="11">
        <f>IF($C215="","",IFERROR(N(INDEX(tbl_Finance[Xero Invoiced Ex GST],MATCH($AU215,tbl_Finance[Row ID],0))),""))</f>
        <v/>
      </c>
      <c r="M215" s="10">
        <f>IF($C215="","",IFERROR(INDEX(tbl_Finance[Compare],MATCH($AU215,tbl_Finance[Row ID],0))&amp;"",""))</f>
        <v/>
      </c>
      <c r="N215" s="11">
        <f>IF($C215="","",MAX(0,N(O215)-N(L215)))</f>
        <v/>
      </c>
      <c r="O215" s="39" t="n"/>
      <c r="P215" s="40">
        <f>IF($C215="","",IF((IF(F215="",", Client","")&amp;IF(G215="",", Description","")&amp;IF(H215="",", Cost Centre","")&amp;IF(I215="",", Invoice Type","")&amp;IF(J215="",", Tax Code","")&amp;IF(O215="",", Expected Revenue","")&amp;IF(COUNTIF(tbl_Finance[Job Number],$C215&amp;"")&gt;1,", Job number used twice",""))="","Complete","Fix: "&amp;MID(IF(F215="",", Client","")&amp;IF(G215="",", Description","")&amp;IF(H215="",", Cost Centre","")&amp;IF(I215="",", Invoice Type","")&amp;IF(J215="",", Tax Code","")&amp;IF(O215="",", Expected Revenue","")&amp;IF(COUNTIF(tbl_Finance[Job Number],$C215&amp;"")&gt;1,", Job number used twice",""),3,300)))</f>
        <v/>
      </c>
      <c r="Q215" s="10">
        <f>IF($C215="","",IF(H215="","(no cost centre)",H215&amp;" - GL "&amp;IFERROR(INDEX(lst_CCtoGL,MATCH(H215,lst_CCforGL,0)),"?")))</f>
        <v/>
      </c>
      <c r="R215" s="11">
        <f>IF($C215="","",IFERROR(N(INDEX(tbl_Finance[Inc GST],MATCH($AU215,tbl_Finance[Row ID],0))),""))</f>
        <v/>
      </c>
      <c r="S215" s="37" t="n"/>
      <c r="T215" s="37" t="n"/>
      <c r="U215" s="37" t="n"/>
      <c r="V215" s="42" t="n"/>
      <c r="W215" s="37" t="n"/>
      <c r="X215" s="10">
        <f>IF(W215="","",IF(AND(LEFT(W215,4)&lt;&gt;"http",set_RMSBase=""),"",HYPERLINK(IF(LEFT(W215,4)="http",W215,set_RMSBase&amp;W215),"Open in RMS")))</f>
        <v/>
      </c>
      <c r="Y215" s="37" t="n"/>
      <c r="Z215" s="10">
        <f>IF(Y215="","",HYPERLINK(IF(LEFT(Y215,4)="http",Y215,set_QwilrBase&amp;Y215),"Open quote"))</f>
        <v/>
      </c>
      <c r="AA215" s="10">
        <f>IF(C215="","",C215)</f>
        <v/>
      </c>
      <c r="AB215" s="37" t="n"/>
      <c r="AC215" s="39" t="n"/>
      <c r="AD215" s="11">
        <f>IF(C215="","",N(L215)+N(AC215))</f>
        <v/>
      </c>
      <c r="AE215" s="43">
        <f>IFERROR(IF(N(AC215)=0,"",AC215/AD215),"")</f>
        <v/>
      </c>
      <c r="AF215" s="39" t="n"/>
      <c r="AG215" s="39" t="n"/>
      <c r="AH215" s="39" t="n"/>
      <c r="AI215" s="39" t="n"/>
      <c r="AJ215" s="11">
        <f>IF(C215="","",IF(H215="VIDEO",N(L215),0))</f>
        <v/>
      </c>
      <c r="AK215" s="43">
        <f>IFERROR(IF(N(L215)=0,"",AJ215/L215),"")</f>
        <v/>
      </c>
      <c r="AL215" s="11">
        <f>IF(C215="","",N(AF215)+N(AG215)+N(AH215)+N(AI215))</f>
        <v/>
      </c>
      <c r="AM215" s="11">
        <f>IF(C215="","",MAX(N(L215),N(O215))-N(AL215))</f>
        <v/>
      </c>
      <c r="AN215" s="43">
        <f>IFERROR(IF(MAX(N(L215),N(O215))=0,"",AM215/MAX(N(L215),N(O215))),"")</f>
        <v/>
      </c>
      <c r="AO215" s="41" t="n"/>
      <c r="AP215" s="41" t="n"/>
      <c r="AQ215" s="41" t="n"/>
      <c r="AR215" s="41" t="n"/>
      <c r="AS215" s="41" t="n"/>
      <c r="AT215" s="37" t="n"/>
      <c r="AU215" s="10" t="inlineStr">
        <is>
          <t>PRD-0211</t>
        </is>
      </c>
    </row>
    <row r="216">
      <c r="A216" s="16">
        <f>IF($C216="","",IFERROR(IF(INDEX(tbl_Finance[Latest Invoice Date],MATCH($AU216,tbl_Finance[Row ID],0))="","",INDEX(tbl_Finance[Latest Invoice Date],MATCH($AU216,tbl_Finance[Row ID],0))),""))</f>
        <v/>
      </c>
      <c r="B216" s="10">
        <f>IF($C216="","",IFERROR(INDEX(tbl_Finance[Invoice Numbers],MATCH($AU216,tbl_Finance[Row ID],0))&amp;"",""))</f>
        <v/>
      </c>
      <c r="C216" s="37" t="n"/>
      <c r="D216" s="10">
        <f>IF($C216="","",IF(COUNTIF(lst_Jobs,$C216&amp;"")&gt;0,"OK","CHECK"))</f>
        <v/>
      </c>
      <c r="E216" s="10">
        <f>IF($C216="","",IFERROR(INDEX(lst_JobName,MATCH($C216&amp;"",lst_Jobs,0)),""))</f>
        <v/>
      </c>
      <c r="F216" s="37" t="n"/>
      <c r="G216" s="37" t="n"/>
      <c r="H216" s="37" t="n"/>
      <c r="I216" s="37" t="n"/>
      <c r="J216" s="37" t="n"/>
      <c r="K216" s="38">
        <f>IF($C216="","",IFERROR(N(INDEX(tbl_Finance[Invoice Count],MATCH($AU216,tbl_Finance[Row ID],0))),""))</f>
        <v/>
      </c>
      <c r="L216" s="11">
        <f>IF($C216="","",IFERROR(N(INDEX(tbl_Finance[Xero Invoiced Ex GST],MATCH($AU216,tbl_Finance[Row ID],0))),""))</f>
        <v/>
      </c>
      <c r="M216" s="10">
        <f>IF($C216="","",IFERROR(INDEX(tbl_Finance[Compare],MATCH($AU216,tbl_Finance[Row ID],0))&amp;"",""))</f>
        <v/>
      </c>
      <c r="N216" s="11">
        <f>IF($C216="","",MAX(0,N(O216)-N(L216)))</f>
        <v/>
      </c>
      <c r="O216" s="39" t="n"/>
      <c r="P216" s="40">
        <f>IF($C216="","",IF((IF(F216="",", Client","")&amp;IF(G216="",", Description","")&amp;IF(H216="",", Cost Centre","")&amp;IF(I216="",", Invoice Type","")&amp;IF(J216="",", Tax Code","")&amp;IF(O216="",", Expected Revenue","")&amp;IF(COUNTIF(tbl_Finance[Job Number],$C216&amp;"")&gt;1,", Job number used twice",""))="","Complete","Fix: "&amp;MID(IF(F216="",", Client","")&amp;IF(G216="",", Description","")&amp;IF(H216="",", Cost Centre","")&amp;IF(I216="",", Invoice Type","")&amp;IF(J216="",", Tax Code","")&amp;IF(O216="",", Expected Revenue","")&amp;IF(COUNTIF(tbl_Finance[Job Number],$C216&amp;"")&gt;1,", Job number used twice",""),3,300)))</f>
        <v/>
      </c>
      <c r="Q216" s="10">
        <f>IF($C216="","",IF(H216="","(no cost centre)",H216&amp;" - GL "&amp;IFERROR(INDEX(lst_CCtoGL,MATCH(H216,lst_CCforGL,0)),"?")))</f>
        <v/>
      </c>
      <c r="R216" s="11">
        <f>IF($C216="","",IFERROR(N(INDEX(tbl_Finance[Inc GST],MATCH($AU216,tbl_Finance[Row ID],0))),""))</f>
        <v/>
      </c>
      <c r="S216" s="37" t="n"/>
      <c r="T216" s="37" t="n"/>
      <c r="U216" s="37" t="n"/>
      <c r="V216" s="42" t="n"/>
      <c r="W216" s="37" t="n"/>
      <c r="X216" s="10">
        <f>IF(W216="","",IF(AND(LEFT(W216,4)&lt;&gt;"http",set_RMSBase=""),"",HYPERLINK(IF(LEFT(W216,4)="http",W216,set_RMSBase&amp;W216),"Open in RMS")))</f>
        <v/>
      </c>
      <c r="Y216" s="37" t="n"/>
      <c r="Z216" s="10">
        <f>IF(Y216="","",HYPERLINK(IF(LEFT(Y216,4)="http",Y216,set_QwilrBase&amp;Y216),"Open quote"))</f>
        <v/>
      </c>
      <c r="AA216" s="10">
        <f>IF(C216="","",C216)</f>
        <v/>
      </c>
      <c r="AB216" s="37" t="n"/>
      <c r="AC216" s="39" t="n"/>
      <c r="AD216" s="11">
        <f>IF(C216="","",N(L216)+N(AC216))</f>
        <v/>
      </c>
      <c r="AE216" s="43">
        <f>IFERROR(IF(N(AC216)=0,"",AC216/AD216),"")</f>
        <v/>
      </c>
      <c r="AF216" s="39" t="n"/>
      <c r="AG216" s="39" t="n"/>
      <c r="AH216" s="39" t="n"/>
      <c r="AI216" s="39" t="n"/>
      <c r="AJ216" s="11">
        <f>IF(C216="","",IF(H216="VIDEO",N(L216),0))</f>
        <v/>
      </c>
      <c r="AK216" s="43">
        <f>IFERROR(IF(N(L216)=0,"",AJ216/L216),"")</f>
        <v/>
      </c>
      <c r="AL216" s="11">
        <f>IF(C216="","",N(AF216)+N(AG216)+N(AH216)+N(AI216))</f>
        <v/>
      </c>
      <c r="AM216" s="11">
        <f>IF(C216="","",MAX(N(L216),N(O216))-N(AL216))</f>
        <v/>
      </c>
      <c r="AN216" s="43">
        <f>IFERROR(IF(MAX(N(L216),N(O216))=0,"",AM216/MAX(N(L216),N(O216))),"")</f>
        <v/>
      </c>
      <c r="AO216" s="41" t="n"/>
      <c r="AP216" s="41" t="n"/>
      <c r="AQ216" s="41" t="n"/>
      <c r="AR216" s="41" t="n"/>
      <c r="AS216" s="41" t="n"/>
      <c r="AT216" s="37" t="n"/>
      <c r="AU216" s="10" t="inlineStr">
        <is>
          <t>PRD-0212</t>
        </is>
      </c>
    </row>
    <row r="217">
      <c r="A217" s="16">
        <f>IF($C217="","",IFERROR(IF(INDEX(tbl_Finance[Latest Invoice Date],MATCH($AU217,tbl_Finance[Row ID],0))="","",INDEX(tbl_Finance[Latest Invoice Date],MATCH($AU217,tbl_Finance[Row ID],0))),""))</f>
        <v/>
      </c>
      <c r="B217" s="10">
        <f>IF($C217="","",IFERROR(INDEX(tbl_Finance[Invoice Numbers],MATCH($AU217,tbl_Finance[Row ID],0))&amp;"",""))</f>
        <v/>
      </c>
      <c r="C217" s="37" t="n"/>
      <c r="D217" s="10">
        <f>IF($C217="","",IF(COUNTIF(lst_Jobs,$C217&amp;"")&gt;0,"OK","CHECK"))</f>
        <v/>
      </c>
      <c r="E217" s="10">
        <f>IF($C217="","",IFERROR(INDEX(lst_JobName,MATCH($C217&amp;"",lst_Jobs,0)),""))</f>
        <v/>
      </c>
      <c r="F217" s="37" t="n"/>
      <c r="G217" s="37" t="n"/>
      <c r="H217" s="37" t="n"/>
      <c r="I217" s="37" t="n"/>
      <c r="J217" s="37" t="n"/>
      <c r="K217" s="38">
        <f>IF($C217="","",IFERROR(N(INDEX(tbl_Finance[Invoice Count],MATCH($AU217,tbl_Finance[Row ID],0))),""))</f>
        <v/>
      </c>
      <c r="L217" s="11">
        <f>IF($C217="","",IFERROR(N(INDEX(tbl_Finance[Xero Invoiced Ex GST],MATCH($AU217,tbl_Finance[Row ID],0))),""))</f>
        <v/>
      </c>
      <c r="M217" s="10">
        <f>IF($C217="","",IFERROR(INDEX(tbl_Finance[Compare],MATCH($AU217,tbl_Finance[Row ID],0))&amp;"",""))</f>
        <v/>
      </c>
      <c r="N217" s="11">
        <f>IF($C217="","",MAX(0,N(O217)-N(L217)))</f>
        <v/>
      </c>
      <c r="O217" s="39" t="n"/>
      <c r="P217" s="40">
        <f>IF($C217="","",IF((IF(F217="",", Client","")&amp;IF(G217="",", Description","")&amp;IF(H217="",", Cost Centre","")&amp;IF(I217="",", Invoice Type","")&amp;IF(J217="",", Tax Code","")&amp;IF(O217="",", Expected Revenue","")&amp;IF(COUNTIF(tbl_Finance[Job Number],$C217&amp;"")&gt;1,", Job number used twice",""))="","Complete","Fix: "&amp;MID(IF(F217="",", Client","")&amp;IF(G217="",", Description","")&amp;IF(H217="",", Cost Centre","")&amp;IF(I217="",", Invoice Type","")&amp;IF(J217="",", Tax Code","")&amp;IF(O217="",", Expected Revenue","")&amp;IF(COUNTIF(tbl_Finance[Job Number],$C217&amp;"")&gt;1,", Job number used twice",""),3,300)))</f>
        <v/>
      </c>
      <c r="Q217" s="10">
        <f>IF($C217="","",IF(H217="","(no cost centre)",H217&amp;" - GL "&amp;IFERROR(INDEX(lst_CCtoGL,MATCH(H217,lst_CCforGL,0)),"?")))</f>
        <v/>
      </c>
      <c r="R217" s="11">
        <f>IF($C217="","",IFERROR(N(INDEX(tbl_Finance[Inc GST],MATCH($AU217,tbl_Finance[Row ID],0))),""))</f>
        <v/>
      </c>
      <c r="S217" s="37" t="n"/>
      <c r="T217" s="37" t="n"/>
      <c r="U217" s="37" t="n"/>
      <c r="V217" s="42" t="n"/>
      <c r="W217" s="37" t="n"/>
      <c r="X217" s="10">
        <f>IF(W217="","",IF(AND(LEFT(W217,4)&lt;&gt;"http",set_RMSBase=""),"",HYPERLINK(IF(LEFT(W217,4)="http",W217,set_RMSBase&amp;W217),"Open in RMS")))</f>
        <v/>
      </c>
      <c r="Y217" s="37" t="n"/>
      <c r="Z217" s="10">
        <f>IF(Y217="","",HYPERLINK(IF(LEFT(Y217,4)="http",Y217,set_QwilrBase&amp;Y217),"Open quote"))</f>
        <v/>
      </c>
      <c r="AA217" s="10">
        <f>IF(C217="","",C217)</f>
        <v/>
      </c>
      <c r="AB217" s="37" t="n"/>
      <c r="AC217" s="39" t="n"/>
      <c r="AD217" s="11">
        <f>IF(C217="","",N(L217)+N(AC217))</f>
        <v/>
      </c>
      <c r="AE217" s="43">
        <f>IFERROR(IF(N(AC217)=0,"",AC217/AD217),"")</f>
        <v/>
      </c>
      <c r="AF217" s="39" t="n"/>
      <c r="AG217" s="39" t="n"/>
      <c r="AH217" s="39" t="n"/>
      <c r="AI217" s="39" t="n"/>
      <c r="AJ217" s="11">
        <f>IF(C217="","",IF(H217="VIDEO",N(L217),0))</f>
        <v/>
      </c>
      <c r="AK217" s="43">
        <f>IFERROR(IF(N(L217)=0,"",AJ217/L217),"")</f>
        <v/>
      </c>
      <c r="AL217" s="11">
        <f>IF(C217="","",N(AF217)+N(AG217)+N(AH217)+N(AI217))</f>
        <v/>
      </c>
      <c r="AM217" s="11">
        <f>IF(C217="","",MAX(N(L217),N(O217))-N(AL217))</f>
        <v/>
      </c>
      <c r="AN217" s="43">
        <f>IFERROR(IF(MAX(N(L217),N(O217))=0,"",AM217/MAX(N(L217),N(O217))),"")</f>
        <v/>
      </c>
      <c r="AO217" s="41" t="n"/>
      <c r="AP217" s="41" t="n"/>
      <c r="AQ217" s="41" t="n"/>
      <c r="AR217" s="41" t="n"/>
      <c r="AS217" s="41" t="n"/>
      <c r="AT217" s="37" t="n"/>
      <c r="AU217" s="10" t="inlineStr">
        <is>
          <t>PRD-0213</t>
        </is>
      </c>
    </row>
    <row r="218">
      <c r="A218" s="16">
        <f>IF($C218="","",IFERROR(IF(INDEX(tbl_Finance[Latest Invoice Date],MATCH($AU218,tbl_Finance[Row ID],0))="","",INDEX(tbl_Finance[Latest Invoice Date],MATCH($AU218,tbl_Finance[Row ID],0))),""))</f>
        <v/>
      </c>
      <c r="B218" s="10">
        <f>IF($C218="","",IFERROR(INDEX(tbl_Finance[Invoice Numbers],MATCH($AU218,tbl_Finance[Row ID],0))&amp;"",""))</f>
        <v/>
      </c>
      <c r="C218" s="37" t="n"/>
      <c r="D218" s="10">
        <f>IF($C218="","",IF(COUNTIF(lst_Jobs,$C218&amp;"")&gt;0,"OK","CHECK"))</f>
        <v/>
      </c>
      <c r="E218" s="10">
        <f>IF($C218="","",IFERROR(INDEX(lst_JobName,MATCH($C218&amp;"",lst_Jobs,0)),""))</f>
        <v/>
      </c>
      <c r="F218" s="37" t="n"/>
      <c r="G218" s="37" t="n"/>
      <c r="H218" s="37" t="n"/>
      <c r="I218" s="37" t="n"/>
      <c r="J218" s="37" t="n"/>
      <c r="K218" s="38">
        <f>IF($C218="","",IFERROR(N(INDEX(tbl_Finance[Invoice Count],MATCH($AU218,tbl_Finance[Row ID],0))),""))</f>
        <v/>
      </c>
      <c r="L218" s="11">
        <f>IF($C218="","",IFERROR(N(INDEX(tbl_Finance[Xero Invoiced Ex GST],MATCH($AU218,tbl_Finance[Row ID],0))),""))</f>
        <v/>
      </c>
      <c r="M218" s="10">
        <f>IF($C218="","",IFERROR(INDEX(tbl_Finance[Compare],MATCH($AU218,tbl_Finance[Row ID],0))&amp;"",""))</f>
        <v/>
      </c>
      <c r="N218" s="11">
        <f>IF($C218="","",MAX(0,N(O218)-N(L218)))</f>
        <v/>
      </c>
      <c r="O218" s="39" t="n"/>
      <c r="P218" s="40">
        <f>IF($C218="","",IF((IF(F218="",", Client","")&amp;IF(G218="",", Description","")&amp;IF(H218="",", Cost Centre","")&amp;IF(I218="",", Invoice Type","")&amp;IF(J218="",", Tax Code","")&amp;IF(O218="",", Expected Revenue","")&amp;IF(COUNTIF(tbl_Finance[Job Number],$C218&amp;"")&gt;1,", Job number used twice",""))="","Complete","Fix: "&amp;MID(IF(F218="",", Client","")&amp;IF(G218="",", Description","")&amp;IF(H218="",", Cost Centre","")&amp;IF(I218="",", Invoice Type","")&amp;IF(J218="",", Tax Code","")&amp;IF(O218="",", Expected Revenue","")&amp;IF(COUNTIF(tbl_Finance[Job Number],$C218&amp;"")&gt;1,", Job number used twice",""),3,300)))</f>
        <v/>
      </c>
      <c r="Q218" s="10">
        <f>IF($C218="","",IF(H218="","(no cost centre)",H218&amp;" - GL "&amp;IFERROR(INDEX(lst_CCtoGL,MATCH(H218,lst_CCforGL,0)),"?")))</f>
        <v/>
      </c>
      <c r="R218" s="11">
        <f>IF($C218="","",IFERROR(N(INDEX(tbl_Finance[Inc GST],MATCH($AU218,tbl_Finance[Row ID],0))),""))</f>
        <v/>
      </c>
      <c r="S218" s="37" t="n"/>
      <c r="T218" s="37" t="n"/>
      <c r="U218" s="37" t="n"/>
      <c r="V218" s="42" t="n"/>
      <c r="W218" s="37" t="n"/>
      <c r="X218" s="10">
        <f>IF(W218="","",IF(AND(LEFT(W218,4)&lt;&gt;"http",set_RMSBase=""),"",HYPERLINK(IF(LEFT(W218,4)="http",W218,set_RMSBase&amp;W218),"Open in RMS")))</f>
        <v/>
      </c>
      <c r="Y218" s="37" t="n"/>
      <c r="Z218" s="10">
        <f>IF(Y218="","",HYPERLINK(IF(LEFT(Y218,4)="http",Y218,set_QwilrBase&amp;Y218),"Open quote"))</f>
        <v/>
      </c>
      <c r="AA218" s="10">
        <f>IF(C218="","",C218)</f>
        <v/>
      </c>
      <c r="AB218" s="37" t="n"/>
      <c r="AC218" s="39" t="n"/>
      <c r="AD218" s="11">
        <f>IF(C218="","",N(L218)+N(AC218))</f>
        <v/>
      </c>
      <c r="AE218" s="43">
        <f>IFERROR(IF(N(AC218)=0,"",AC218/AD218),"")</f>
        <v/>
      </c>
      <c r="AF218" s="39" t="n"/>
      <c r="AG218" s="39" t="n"/>
      <c r="AH218" s="39" t="n"/>
      <c r="AI218" s="39" t="n"/>
      <c r="AJ218" s="11">
        <f>IF(C218="","",IF(H218="VIDEO",N(L218),0))</f>
        <v/>
      </c>
      <c r="AK218" s="43">
        <f>IFERROR(IF(N(L218)=0,"",AJ218/L218),"")</f>
        <v/>
      </c>
      <c r="AL218" s="11">
        <f>IF(C218="","",N(AF218)+N(AG218)+N(AH218)+N(AI218))</f>
        <v/>
      </c>
      <c r="AM218" s="11">
        <f>IF(C218="","",MAX(N(L218),N(O218))-N(AL218))</f>
        <v/>
      </c>
      <c r="AN218" s="43">
        <f>IFERROR(IF(MAX(N(L218),N(O218))=0,"",AM218/MAX(N(L218),N(O218))),"")</f>
        <v/>
      </c>
      <c r="AO218" s="41" t="n"/>
      <c r="AP218" s="41" t="n"/>
      <c r="AQ218" s="41" t="n"/>
      <c r="AR218" s="41" t="n"/>
      <c r="AS218" s="41" t="n"/>
      <c r="AT218" s="37" t="n"/>
      <c r="AU218" s="10" t="inlineStr">
        <is>
          <t>PRD-0214</t>
        </is>
      </c>
    </row>
    <row r="219">
      <c r="A219" s="16">
        <f>IF($C219="","",IFERROR(IF(INDEX(tbl_Finance[Latest Invoice Date],MATCH($AU219,tbl_Finance[Row ID],0))="","",INDEX(tbl_Finance[Latest Invoice Date],MATCH($AU219,tbl_Finance[Row ID],0))),""))</f>
        <v/>
      </c>
      <c r="B219" s="10">
        <f>IF($C219="","",IFERROR(INDEX(tbl_Finance[Invoice Numbers],MATCH($AU219,tbl_Finance[Row ID],0))&amp;"",""))</f>
        <v/>
      </c>
      <c r="C219" s="37" t="n"/>
      <c r="D219" s="10">
        <f>IF($C219="","",IF(COUNTIF(lst_Jobs,$C219&amp;"")&gt;0,"OK","CHECK"))</f>
        <v/>
      </c>
      <c r="E219" s="10">
        <f>IF($C219="","",IFERROR(INDEX(lst_JobName,MATCH($C219&amp;"",lst_Jobs,0)),""))</f>
        <v/>
      </c>
      <c r="F219" s="37" t="n"/>
      <c r="G219" s="37" t="n"/>
      <c r="H219" s="37" t="n"/>
      <c r="I219" s="37" t="n"/>
      <c r="J219" s="37" t="n"/>
      <c r="K219" s="38">
        <f>IF($C219="","",IFERROR(N(INDEX(tbl_Finance[Invoice Count],MATCH($AU219,tbl_Finance[Row ID],0))),""))</f>
        <v/>
      </c>
      <c r="L219" s="11">
        <f>IF($C219="","",IFERROR(N(INDEX(tbl_Finance[Xero Invoiced Ex GST],MATCH($AU219,tbl_Finance[Row ID],0))),""))</f>
        <v/>
      </c>
      <c r="M219" s="10">
        <f>IF($C219="","",IFERROR(INDEX(tbl_Finance[Compare],MATCH($AU219,tbl_Finance[Row ID],0))&amp;"",""))</f>
        <v/>
      </c>
      <c r="N219" s="11">
        <f>IF($C219="","",MAX(0,N(O219)-N(L219)))</f>
        <v/>
      </c>
      <c r="O219" s="39" t="n"/>
      <c r="P219" s="40">
        <f>IF($C219="","",IF((IF(F219="",", Client","")&amp;IF(G219="",", Description","")&amp;IF(H219="",", Cost Centre","")&amp;IF(I219="",", Invoice Type","")&amp;IF(J219="",", Tax Code","")&amp;IF(O219="",", Expected Revenue","")&amp;IF(COUNTIF(tbl_Finance[Job Number],$C219&amp;"")&gt;1,", Job number used twice",""))="","Complete","Fix: "&amp;MID(IF(F219="",", Client","")&amp;IF(G219="",", Description","")&amp;IF(H219="",", Cost Centre","")&amp;IF(I219="",", Invoice Type","")&amp;IF(J219="",", Tax Code","")&amp;IF(O219="",", Expected Revenue","")&amp;IF(COUNTIF(tbl_Finance[Job Number],$C219&amp;"")&gt;1,", Job number used twice",""),3,300)))</f>
        <v/>
      </c>
      <c r="Q219" s="10">
        <f>IF($C219="","",IF(H219="","(no cost centre)",H219&amp;" - GL "&amp;IFERROR(INDEX(lst_CCtoGL,MATCH(H219,lst_CCforGL,0)),"?")))</f>
        <v/>
      </c>
      <c r="R219" s="11">
        <f>IF($C219="","",IFERROR(N(INDEX(tbl_Finance[Inc GST],MATCH($AU219,tbl_Finance[Row ID],0))),""))</f>
        <v/>
      </c>
      <c r="S219" s="37" t="n"/>
      <c r="T219" s="37" t="n"/>
      <c r="U219" s="37" t="n"/>
      <c r="V219" s="42" t="n"/>
      <c r="W219" s="37" t="n"/>
      <c r="X219" s="10">
        <f>IF(W219="","",IF(AND(LEFT(W219,4)&lt;&gt;"http",set_RMSBase=""),"",HYPERLINK(IF(LEFT(W219,4)="http",W219,set_RMSBase&amp;W219),"Open in RMS")))</f>
        <v/>
      </c>
      <c r="Y219" s="37" t="n"/>
      <c r="Z219" s="10">
        <f>IF(Y219="","",HYPERLINK(IF(LEFT(Y219,4)="http",Y219,set_QwilrBase&amp;Y219),"Open quote"))</f>
        <v/>
      </c>
      <c r="AA219" s="10">
        <f>IF(C219="","",C219)</f>
        <v/>
      </c>
      <c r="AB219" s="37" t="n"/>
      <c r="AC219" s="39" t="n"/>
      <c r="AD219" s="11">
        <f>IF(C219="","",N(L219)+N(AC219))</f>
        <v/>
      </c>
      <c r="AE219" s="43">
        <f>IFERROR(IF(N(AC219)=0,"",AC219/AD219),"")</f>
        <v/>
      </c>
      <c r="AF219" s="39" t="n"/>
      <c r="AG219" s="39" t="n"/>
      <c r="AH219" s="39" t="n"/>
      <c r="AI219" s="39" t="n"/>
      <c r="AJ219" s="11">
        <f>IF(C219="","",IF(H219="VIDEO",N(L219),0))</f>
        <v/>
      </c>
      <c r="AK219" s="43">
        <f>IFERROR(IF(N(L219)=0,"",AJ219/L219),"")</f>
        <v/>
      </c>
      <c r="AL219" s="11">
        <f>IF(C219="","",N(AF219)+N(AG219)+N(AH219)+N(AI219))</f>
        <v/>
      </c>
      <c r="AM219" s="11">
        <f>IF(C219="","",MAX(N(L219),N(O219))-N(AL219))</f>
        <v/>
      </c>
      <c r="AN219" s="43">
        <f>IFERROR(IF(MAX(N(L219),N(O219))=0,"",AM219/MAX(N(L219),N(O219))),"")</f>
        <v/>
      </c>
      <c r="AO219" s="41" t="n"/>
      <c r="AP219" s="41" t="n"/>
      <c r="AQ219" s="41" t="n"/>
      <c r="AR219" s="41" t="n"/>
      <c r="AS219" s="41" t="n"/>
      <c r="AT219" s="37" t="n"/>
      <c r="AU219" s="10" t="inlineStr">
        <is>
          <t>PRD-0215</t>
        </is>
      </c>
    </row>
    <row r="220">
      <c r="A220" s="16">
        <f>IF($C220="","",IFERROR(IF(INDEX(tbl_Finance[Latest Invoice Date],MATCH($AU220,tbl_Finance[Row ID],0))="","",INDEX(tbl_Finance[Latest Invoice Date],MATCH($AU220,tbl_Finance[Row ID],0))),""))</f>
        <v/>
      </c>
      <c r="B220" s="10">
        <f>IF($C220="","",IFERROR(INDEX(tbl_Finance[Invoice Numbers],MATCH($AU220,tbl_Finance[Row ID],0))&amp;"",""))</f>
        <v/>
      </c>
      <c r="C220" s="37" t="n"/>
      <c r="D220" s="10">
        <f>IF($C220="","",IF(COUNTIF(lst_Jobs,$C220&amp;"")&gt;0,"OK","CHECK"))</f>
        <v/>
      </c>
      <c r="E220" s="10">
        <f>IF($C220="","",IFERROR(INDEX(lst_JobName,MATCH($C220&amp;"",lst_Jobs,0)),""))</f>
        <v/>
      </c>
      <c r="F220" s="37" t="n"/>
      <c r="G220" s="37" t="n"/>
      <c r="H220" s="37" t="n"/>
      <c r="I220" s="37" t="n"/>
      <c r="J220" s="37" t="n"/>
      <c r="K220" s="38">
        <f>IF($C220="","",IFERROR(N(INDEX(tbl_Finance[Invoice Count],MATCH($AU220,tbl_Finance[Row ID],0))),""))</f>
        <v/>
      </c>
      <c r="L220" s="11">
        <f>IF($C220="","",IFERROR(N(INDEX(tbl_Finance[Xero Invoiced Ex GST],MATCH($AU220,tbl_Finance[Row ID],0))),""))</f>
        <v/>
      </c>
      <c r="M220" s="10">
        <f>IF($C220="","",IFERROR(INDEX(tbl_Finance[Compare],MATCH($AU220,tbl_Finance[Row ID],0))&amp;"",""))</f>
        <v/>
      </c>
      <c r="N220" s="11">
        <f>IF($C220="","",MAX(0,N(O220)-N(L220)))</f>
        <v/>
      </c>
      <c r="O220" s="39" t="n"/>
      <c r="P220" s="40">
        <f>IF($C220="","",IF((IF(F220="",", Client","")&amp;IF(G220="",", Description","")&amp;IF(H220="",", Cost Centre","")&amp;IF(I220="",", Invoice Type","")&amp;IF(J220="",", Tax Code","")&amp;IF(O220="",", Expected Revenue","")&amp;IF(COUNTIF(tbl_Finance[Job Number],$C220&amp;"")&gt;1,", Job number used twice",""))="","Complete","Fix: "&amp;MID(IF(F220="",", Client","")&amp;IF(G220="",", Description","")&amp;IF(H220="",", Cost Centre","")&amp;IF(I220="",", Invoice Type","")&amp;IF(J220="",", Tax Code","")&amp;IF(O220="",", Expected Revenue","")&amp;IF(COUNTIF(tbl_Finance[Job Number],$C220&amp;"")&gt;1,", Job number used twice",""),3,300)))</f>
        <v/>
      </c>
      <c r="Q220" s="10">
        <f>IF($C220="","",IF(H220="","(no cost centre)",H220&amp;" - GL "&amp;IFERROR(INDEX(lst_CCtoGL,MATCH(H220,lst_CCforGL,0)),"?")))</f>
        <v/>
      </c>
      <c r="R220" s="11">
        <f>IF($C220="","",IFERROR(N(INDEX(tbl_Finance[Inc GST],MATCH($AU220,tbl_Finance[Row ID],0))),""))</f>
        <v/>
      </c>
      <c r="S220" s="37" t="n"/>
      <c r="T220" s="37" t="n"/>
      <c r="U220" s="37" t="n"/>
      <c r="V220" s="42" t="n"/>
      <c r="W220" s="37" t="n"/>
      <c r="X220" s="10">
        <f>IF(W220="","",IF(AND(LEFT(W220,4)&lt;&gt;"http",set_RMSBase=""),"",HYPERLINK(IF(LEFT(W220,4)="http",W220,set_RMSBase&amp;W220),"Open in RMS")))</f>
        <v/>
      </c>
      <c r="Y220" s="37" t="n"/>
      <c r="Z220" s="10">
        <f>IF(Y220="","",HYPERLINK(IF(LEFT(Y220,4)="http",Y220,set_QwilrBase&amp;Y220),"Open quote"))</f>
        <v/>
      </c>
      <c r="AA220" s="10">
        <f>IF(C220="","",C220)</f>
        <v/>
      </c>
      <c r="AB220" s="37" t="n"/>
      <c r="AC220" s="39" t="n"/>
      <c r="AD220" s="11">
        <f>IF(C220="","",N(L220)+N(AC220))</f>
        <v/>
      </c>
      <c r="AE220" s="43">
        <f>IFERROR(IF(N(AC220)=0,"",AC220/AD220),"")</f>
        <v/>
      </c>
      <c r="AF220" s="39" t="n"/>
      <c r="AG220" s="39" t="n"/>
      <c r="AH220" s="39" t="n"/>
      <c r="AI220" s="39" t="n"/>
      <c r="AJ220" s="11">
        <f>IF(C220="","",IF(H220="VIDEO",N(L220),0))</f>
        <v/>
      </c>
      <c r="AK220" s="43">
        <f>IFERROR(IF(N(L220)=0,"",AJ220/L220),"")</f>
        <v/>
      </c>
      <c r="AL220" s="11">
        <f>IF(C220="","",N(AF220)+N(AG220)+N(AH220)+N(AI220))</f>
        <v/>
      </c>
      <c r="AM220" s="11">
        <f>IF(C220="","",MAX(N(L220),N(O220))-N(AL220))</f>
        <v/>
      </c>
      <c r="AN220" s="43">
        <f>IFERROR(IF(MAX(N(L220),N(O220))=0,"",AM220/MAX(N(L220),N(O220))),"")</f>
        <v/>
      </c>
      <c r="AO220" s="41" t="n"/>
      <c r="AP220" s="41" t="n"/>
      <c r="AQ220" s="41" t="n"/>
      <c r="AR220" s="41" t="n"/>
      <c r="AS220" s="41" t="n"/>
      <c r="AT220" s="37" t="n"/>
      <c r="AU220" s="10" t="inlineStr">
        <is>
          <t>PRD-0216</t>
        </is>
      </c>
    </row>
    <row r="221">
      <c r="A221" s="16">
        <f>IF($C221="","",IFERROR(IF(INDEX(tbl_Finance[Latest Invoice Date],MATCH($AU221,tbl_Finance[Row ID],0))="","",INDEX(tbl_Finance[Latest Invoice Date],MATCH($AU221,tbl_Finance[Row ID],0))),""))</f>
        <v/>
      </c>
      <c r="B221" s="10">
        <f>IF($C221="","",IFERROR(INDEX(tbl_Finance[Invoice Numbers],MATCH($AU221,tbl_Finance[Row ID],0))&amp;"",""))</f>
        <v/>
      </c>
      <c r="C221" s="37" t="n"/>
      <c r="D221" s="10">
        <f>IF($C221="","",IF(COUNTIF(lst_Jobs,$C221&amp;"")&gt;0,"OK","CHECK"))</f>
        <v/>
      </c>
      <c r="E221" s="10">
        <f>IF($C221="","",IFERROR(INDEX(lst_JobName,MATCH($C221&amp;"",lst_Jobs,0)),""))</f>
        <v/>
      </c>
      <c r="F221" s="37" t="n"/>
      <c r="G221" s="37" t="n"/>
      <c r="H221" s="37" t="n"/>
      <c r="I221" s="37" t="n"/>
      <c r="J221" s="37" t="n"/>
      <c r="K221" s="38">
        <f>IF($C221="","",IFERROR(N(INDEX(tbl_Finance[Invoice Count],MATCH($AU221,tbl_Finance[Row ID],0))),""))</f>
        <v/>
      </c>
      <c r="L221" s="11">
        <f>IF($C221="","",IFERROR(N(INDEX(tbl_Finance[Xero Invoiced Ex GST],MATCH($AU221,tbl_Finance[Row ID],0))),""))</f>
        <v/>
      </c>
      <c r="M221" s="10">
        <f>IF($C221="","",IFERROR(INDEX(tbl_Finance[Compare],MATCH($AU221,tbl_Finance[Row ID],0))&amp;"",""))</f>
        <v/>
      </c>
      <c r="N221" s="11">
        <f>IF($C221="","",MAX(0,N(O221)-N(L221)))</f>
        <v/>
      </c>
      <c r="O221" s="39" t="n"/>
      <c r="P221" s="40">
        <f>IF($C221="","",IF((IF(F221="",", Client","")&amp;IF(G221="",", Description","")&amp;IF(H221="",", Cost Centre","")&amp;IF(I221="",", Invoice Type","")&amp;IF(J221="",", Tax Code","")&amp;IF(O221="",", Expected Revenue","")&amp;IF(COUNTIF(tbl_Finance[Job Number],$C221&amp;"")&gt;1,", Job number used twice",""))="","Complete","Fix: "&amp;MID(IF(F221="",", Client","")&amp;IF(G221="",", Description","")&amp;IF(H221="",", Cost Centre","")&amp;IF(I221="",", Invoice Type","")&amp;IF(J221="",", Tax Code","")&amp;IF(O221="",", Expected Revenue","")&amp;IF(COUNTIF(tbl_Finance[Job Number],$C221&amp;"")&gt;1,", Job number used twice",""),3,300)))</f>
        <v/>
      </c>
      <c r="Q221" s="10">
        <f>IF($C221="","",IF(H221="","(no cost centre)",H221&amp;" - GL "&amp;IFERROR(INDEX(lst_CCtoGL,MATCH(H221,lst_CCforGL,0)),"?")))</f>
        <v/>
      </c>
      <c r="R221" s="11">
        <f>IF($C221="","",IFERROR(N(INDEX(tbl_Finance[Inc GST],MATCH($AU221,tbl_Finance[Row ID],0))),""))</f>
        <v/>
      </c>
      <c r="S221" s="37" t="n"/>
      <c r="T221" s="37" t="n"/>
      <c r="U221" s="37" t="n"/>
      <c r="V221" s="42" t="n"/>
      <c r="W221" s="37" t="n"/>
      <c r="X221" s="10">
        <f>IF(W221="","",IF(AND(LEFT(W221,4)&lt;&gt;"http",set_RMSBase=""),"",HYPERLINK(IF(LEFT(W221,4)="http",W221,set_RMSBase&amp;W221),"Open in RMS")))</f>
        <v/>
      </c>
      <c r="Y221" s="37" t="n"/>
      <c r="Z221" s="10">
        <f>IF(Y221="","",HYPERLINK(IF(LEFT(Y221,4)="http",Y221,set_QwilrBase&amp;Y221),"Open quote"))</f>
        <v/>
      </c>
      <c r="AA221" s="10">
        <f>IF(C221="","",C221)</f>
        <v/>
      </c>
      <c r="AB221" s="37" t="n"/>
      <c r="AC221" s="39" t="n"/>
      <c r="AD221" s="11">
        <f>IF(C221="","",N(L221)+N(AC221))</f>
        <v/>
      </c>
      <c r="AE221" s="43">
        <f>IFERROR(IF(N(AC221)=0,"",AC221/AD221),"")</f>
        <v/>
      </c>
      <c r="AF221" s="39" t="n"/>
      <c r="AG221" s="39" t="n"/>
      <c r="AH221" s="39" t="n"/>
      <c r="AI221" s="39" t="n"/>
      <c r="AJ221" s="11">
        <f>IF(C221="","",IF(H221="VIDEO",N(L221),0))</f>
        <v/>
      </c>
      <c r="AK221" s="43">
        <f>IFERROR(IF(N(L221)=0,"",AJ221/L221),"")</f>
        <v/>
      </c>
      <c r="AL221" s="11">
        <f>IF(C221="","",N(AF221)+N(AG221)+N(AH221)+N(AI221))</f>
        <v/>
      </c>
      <c r="AM221" s="11">
        <f>IF(C221="","",MAX(N(L221),N(O221))-N(AL221))</f>
        <v/>
      </c>
      <c r="AN221" s="43">
        <f>IFERROR(IF(MAX(N(L221),N(O221))=0,"",AM221/MAX(N(L221),N(O221))),"")</f>
        <v/>
      </c>
      <c r="AO221" s="41" t="n"/>
      <c r="AP221" s="41" t="n"/>
      <c r="AQ221" s="41" t="n"/>
      <c r="AR221" s="41" t="n"/>
      <c r="AS221" s="41" t="n"/>
      <c r="AT221" s="37" t="n"/>
      <c r="AU221" s="10" t="inlineStr">
        <is>
          <t>PRD-0217</t>
        </is>
      </c>
    </row>
    <row r="222">
      <c r="A222" s="16">
        <f>IF($C222="","",IFERROR(IF(INDEX(tbl_Finance[Latest Invoice Date],MATCH($AU222,tbl_Finance[Row ID],0))="","",INDEX(tbl_Finance[Latest Invoice Date],MATCH($AU222,tbl_Finance[Row ID],0))),""))</f>
        <v/>
      </c>
      <c r="B222" s="10">
        <f>IF($C222="","",IFERROR(INDEX(tbl_Finance[Invoice Numbers],MATCH($AU222,tbl_Finance[Row ID],0))&amp;"",""))</f>
        <v/>
      </c>
      <c r="C222" s="37" t="n"/>
      <c r="D222" s="10">
        <f>IF($C222="","",IF(COUNTIF(lst_Jobs,$C222&amp;"")&gt;0,"OK","CHECK"))</f>
        <v/>
      </c>
      <c r="E222" s="10">
        <f>IF($C222="","",IFERROR(INDEX(lst_JobName,MATCH($C222&amp;"",lst_Jobs,0)),""))</f>
        <v/>
      </c>
      <c r="F222" s="37" t="n"/>
      <c r="G222" s="37" t="n"/>
      <c r="H222" s="37" t="n"/>
      <c r="I222" s="37" t="n"/>
      <c r="J222" s="37" t="n"/>
      <c r="K222" s="38">
        <f>IF($C222="","",IFERROR(N(INDEX(tbl_Finance[Invoice Count],MATCH($AU222,tbl_Finance[Row ID],0))),""))</f>
        <v/>
      </c>
      <c r="L222" s="11">
        <f>IF($C222="","",IFERROR(N(INDEX(tbl_Finance[Xero Invoiced Ex GST],MATCH($AU222,tbl_Finance[Row ID],0))),""))</f>
        <v/>
      </c>
      <c r="M222" s="10">
        <f>IF($C222="","",IFERROR(INDEX(tbl_Finance[Compare],MATCH($AU222,tbl_Finance[Row ID],0))&amp;"",""))</f>
        <v/>
      </c>
      <c r="N222" s="11">
        <f>IF($C222="","",MAX(0,N(O222)-N(L222)))</f>
        <v/>
      </c>
      <c r="O222" s="39" t="n"/>
      <c r="P222" s="40">
        <f>IF($C222="","",IF((IF(F222="",", Client","")&amp;IF(G222="",", Description","")&amp;IF(H222="",", Cost Centre","")&amp;IF(I222="",", Invoice Type","")&amp;IF(J222="",", Tax Code","")&amp;IF(O222="",", Expected Revenue","")&amp;IF(COUNTIF(tbl_Finance[Job Number],$C222&amp;"")&gt;1,", Job number used twice",""))="","Complete","Fix: "&amp;MID(IF(F222="",", Client","")&amp;IF(G222="",", Description","")&amp;IF(H222="",", Cost Centre","")&amp;IF(I222="",", Invoice Type","")&amp;IF(J222="",", Tax Code","")&amp;IF(O222="",", Expected Revenue","")&amp;IF(COUNTIF(tbl_Finance[Job Number],$C222&amp;"")&gt;1,", Job number used twice",""),3,300)))</f>
        <v/>
      </c>
      <c r="Q222" s="10">
        <f>IF($C222="","",IF(H222="","(no cost centre)",H222&amp;" - GL "&amp;IFERROR(INDEX(lst_CCtoGL,MATCH(H222,lst_CCforGL,0)),"?")))</f>
        <v/>
      </c>
      <c r="R222" s="11">
        <f>IF($C222="","",IFERROR(N(INDEX(tbl_Finance[Inc GST],MATCH($AU222,tbl_Finance[Row ID],0))),""))</f>
        <v/>
      </c>
      <c r="S222" s="37" t="n"/>
      <c r="T222" s="37" t="n"/>
      <c r="U222" s="37" t="n"/>
      <c r="V222" s="42" t="n"/>
      <c r="W222" s="37" t="n"/>
      <c r="X222" s="10">
        <f>IF(W222="","",IF(AND(LEFT(W222,4)&lt;&gt;"http",set_RMSBase=""),"",HYPERLINK(IF(LEFT(W222,4)="http",W222,set_RMSBase&amp;W222),"Open in RMS")))</f>
        <v/>
      </c>
      <c r="Y222" s="37" t="n"/>
      <c r="Z222" s="10">
        <f>IF(Y222="","",HYPERLINK(IF(LEFT(Y222,4)="http",Y222,set_QwilrBase&amp;Y222),"Open quote"))</f>
        <v/>
      </c>
      <c r="AA222" s="10">
        <f>IF(C222="","",C222)</f>
        <v/>
      </c>
      <c r="AB222" s="37" t="n"/>
      <c r="AC222" s="39" t="n"/>
      <c r="AD222" s="11">
        <f>IF(C222="","",N(L222)+N(AC222))</f>
        <v/>
      </c>
      <c r="AE222" s="43">
        <f>IFERROR(IF(N(AC222)=0,"",AC222/AD222),"")</f>
        <v/>
      </c>
      <c r="AF222" s="39" t="n"/>
      <c r="AG222" s="39" t="n"/>
      <c r="AH222" s="39" t="n"/>
      <c r="AI222" s="39" t="n"/>
      <c r="AJ222" s="11">
        <f>IF(C222="","",IF(H222="VIDEO",N(L222),0))</f>
        <v/>
      </c>
      <c r="AK222" s="43">
        <f>IFERROR(IF(N(L222)=0,"",AJ222/L222),"")</f>
        <v/>
      </c>
      <c r="AL222" s="11">
        <f>IF(C222="","",N(AF222)+N(AG222)+N(AH222)+N(AI222))</f>
        <v/>
      </c>
      <c r="AM222" s="11">
        <f>IF(C222="","",MAX(N(L222),N(O222))-N(AL222))</f>
        <v/>
      </c>
      <c r="AN222" s="43">
        <f>IFERROR(IF(MAX(N(L222),N(O222))=0,"",AM222/MAX(N(L222),N(O222))),"")</f>
        <v/>
      </c>
      <c r="AO222" s="41" t="n"/>
      <c r="AP222" s="41" t="n"/>
      <c r="AQ222" s="41" t="n"/>
      <c r="AR222" s="41" t="n"/>
      <c r="AS222" s="41" t="n"/>
      <c r="AT222" s="37" t="n"/>
      <c r="AU222" s="10" t="inlineStr">
        <is>
          <t>PRD-0218</t>
        </is>
      </c>
    </row>
    <row r="223">
      <c r="A223" s="16">
        <f>IF($C223="","",IFERROR(IF(INDEX(tbl_Finance[Latest Invoice Date],MATCH($AU223,tbl_Finance[Row ID],0))="","",INDEX(tbl_Finance[Latest Invoice Date],MATCH($AU223,tbl_Finance[Row ID],0))),""))</f>
        <v/>
      </c>
      <c r="B223" s="10">
        <f>IF($C223="","",IFERROR(INDEX(tbl_Finance[Invoice Numbers],MATCH($AU223,tbl_Finance[Row ID],0))&amp;"",""))</f>
        <v/>
      </c>
      <c r="C223" s="37" t="n"/>
      <c r="D223" s="10">
        <f>IF($C223="","",IF(COUNTIF(lst_Jobs,$C223&amp;"")&gt;0,"OK","CHECK"))</f>
        <v/>
      </c>
      <c r="E223" s="10">
        <f>IF($C223="","",IFERROR(INDEX(lst_JobName,MATCH($C223&amp;"",lst_Jobs,0)),""))</f>
        <v/>
      </c>
      <c r="F223" s="37" t="n"/>
      <c r="G223" s="37" t="n"/>
      <c r="H223" s="37" t="n"/>
      <c r="I223" s="37" t="n"/>
      <c r="J223" s="37" t="n"/>
      <c r="K223" s="38">
        <f>IF($C223="","",IFERROR(N(INDEX(tbl_Finance[Invoice Count],MATCH($AU223,tbl_Finance[Row ID],0))),""))</f>
        <v/>
      </c>
      <c r="L223" s="11">
        <f>IF($C223="","",IFERROR(N(INDEX(tbl_Finance[Xero Invoiced Ex GST],MATCH($AU223,tbl_Finance[Row ID],0))),""))</f>
        <v/>
      </c>
      <c r="M223" s="10">
        <f>IF($C223="","",IFERROR(INDEX(tbl_Finance[Compare],MATCH($AU223,tbl_Finance[Row ID],0))&amp;"",""))</f>
        <v/>
      </c>
      <c r="N223" s="11">
        <f>IF($C223="","",MAX(0,N(O223)-N(L223)))</f>
        <v/>
      </c>
      <c r="O223" s="39" t="n"/>
      <c r="P223" s="40">
        <f>IF($C223="","",IF((IF(F223="",", Client","")&amp;IF(G223="",", Description","")&amp;IF(H223="",", Cost Centre","")&amp;IF(I223="",", Invoice Type","")&amp;IF(J223="",", Tax Code","")&amp;IF(O223="",", Expected Revenue","")&amp;IF(COUNTIF(tbl_Finance[Job Number],$C223&amp;"")&gt;1,", Job number used twice",""))="","Complete","Fix: "&amp;MID(IF(F223="",", Client","")&amp;IF(G223="",", Description","")&amp;IF(H223="",", Cost Centre","")&amp;IF(I223="",", Invoice Type","")&amp;IF(J223="",", Tax Code","")&amp;IF(O223="",", Expected Revenue","")&amp;IF(COUNTIF(tbl_Finance[Job Number],$C223&amp;"")&gt;1,", Job number used twice",""),3,300)))</f>
        <v/>
      </c>
      <c r="Q223" s="10">
        <f>IF($C223="","",IF(H223="","(no cost centre)",H223&amp;" - GL "&amp;IFERROR(INDEX(lst_CCtoGL,MATCH(H223,lst_CCforGL,0)),"?")))</f>
        <v/>
      </c>
      <c r="R223" s="11">
        <f>IF($C223="","",IFERROR(N(INDEX(tbl_Finance[Inc GST],MATCH($AU223,tbl_Finance[Row ID],0))),""))</f>
        <v/>
      </c>
      <c r="S223" s="37" t="n"/>
      <c r="T223" s="37" t="n"/>
      <c r="U223" s="37" t="n"/>
      <c r="V223" s="42" t="n"/>
      <c r="W223" s="37" t="n"/>
      <c r="X223" s="10">
        <f>IF(W223="","",IF(AND(LEFT(W223,4)&lt;&gt;"http",set_RMSBase=""),"",HYPERLINK(IF(LEFT(W223,4)="http",W223,set_RMSBase&amp;W223),"Open in RMS")))</f>
        <v/>
      </c>
      <c r="Y223" s="37" t="n"/>
      <c r="Z223" s="10">
        <f>IF(Y223="","",HYPERLINK(IF(LEFT(Y223,4)="http",Y223,set_QwilrBase&amp;Y223),"Open quote"))</f>
        <v/>
      </c>
      <c r="AA223" s="10">
        <f>IF(C223="","",C223)</f>
        <v/>
      </c>
      <c r="AB223" s="37" t="n"/>
      <c r="AC223" s="39" t="n"/>
      <c r="AD223" s="11">
        <f>IF(C223="","",N(L223)+N(AC223))</f>
        <v/>
      </c>
      <c r="AE223" s="43">
        <f>IFERROR(IF(N(AC223)=0,"",AC223/AD223),"")</f>
        <v/>
      </c>
      <c r="AF223" s="39" t="n"/>
      <c r="AG223" s="39" t="n"/>
      <c r="AH223" s="39" t="n"/>
      <c r="AI223" s="39" t="n"/>
      <c r="AJ223" s="11">
        <f>IF(C223="","",IF(H223="VIDEO",N(L223),0))</f>
        <v/>
      </c>
      <c r="AK223" s="43">
        <f>IFERROR(IF(N(L223)=0,"",AJ223/L223),"")</f>
        <v/>
      </c>
      <c r="AL223" s="11">
        <f>IF(C223="","",N(AF223)+N(AG223)+N(AH223)+N(AI223))</f>
        <v/>
      </c>
      <c r="AM223" s="11">
        <f>IF(C223="","",MAX(N(L223),N(O223))-N(AL223))</f>
        <v/>
      </c>
      <c r="AN223" s="43">
        <f>IFERROR(IF(MAX(N(L223),N(O223))=0,"",AM223/MAX(N(L223),N(O223))),"")</f>
        <v/>
      </c>
      <c r="AO223" s="41" t="n"/>
      <c r="AP223" s="41" t="n"/>
      <c r="AQ223" s="41" t="n"/>
      <c r="AR223" s="41" t="n"/>
      <c r="AS223" s="41" t="n"/>
      <c r="AT223" s="37" t="n"/>
      <c r="AU223" s="10" t="inlineStr">
        <is>
          <t>PRD-0219</t>
        </is>
      </c>
    </row>
    <row r="224">
      <c r="A224" s="16">
        <f>IF($C224="","",IFERROR(IF(INDEX(tbl_Finance[Latest Invoice Date],MATCH($AU224,tbl_Finance[Row ID],0))="","",INDEX(tbl_Finance[Latest Invoice Date],MATCH($AU224,tbl_Finance[Row ID],0))),""))</f>
        <v/>
      </c>
      <c r="B224" s="10">
        <f>IF($C224="","",IFERROR(INDEX(tbl_Finance[Invoice Numbers],MATCH($AU224,tbl_Finance[Row ID],0))&amp;"",""))</f>
        <v/>
      </c>
      <c r="C224" s="37" t="n"/>
      <c r="D224" s="10">
        <f>IF($C224="","",IF(COUNTIF(lst_Jobs,$C224&amp;"")&gt;0,"OK","CHECK"))</f>
        <v/>
      </c>
      <c r="E224" s="10">
        <f>IF($C224="","",IFERROR(INDEX(lst_JobName,MATCH($C224&amp;"",lst_Jobs,0)),""))</f>
        <v/>
      </c>
      <c r="F224" s="37" t="n"/>
      <c r="G224" s="37" t="n"/>
      <c r="H224" s="37" t="n"/>
      <c r="I224" s="37" t="n"/>
      <c r="J224" s="37" t="n"/>
      <c r="K224" s="38">
        <f>IF($C224="","",IFERROR(N(INDEX(tbl_Finance[Invoice Count],MATCH($AU224,tbl_Finance[Row ID],0))),""))</f>
        <v/>
      </c>
      <c r="L224" s="11">
        <f>IF($C224="","",IFERROR(N(INDEX(tbl_Finance[Xero Invoiced Ex GST],MATCH($AU224,tbl_Finance[Row ID],0))),""))</f>
        <v/>
      </c>
      <c r="M224" s="10">
        <f>IF($C224="","",IFERROR(INDEX(tbl_Finance[Compare],MATCH($AU224,tbl_Finance[Row ID],0))&amp;"",""))</f>
        <v/>
      </c>
      <c r="N224" s="11">
        <f>IF($C224="","",MAX(0,N(O224)-N(L224)))</f>
        <v/>
      </c>
      <c r="O224" s="39" t="n"/>
      <c r="P224" s="40">
        <f>IF($C224="","",IF((IF(F224="",", Client","")&amp;IF(G224="",", Description","")&amp;IF(H224="",", Cost Centre","")&amp;IF(I224="",", Invoice Type","")&amp;IF(J224="",", Tax Code","")&amp;IF(O224="",", Expected Revenue","")&amp;IF(COUNTIF(tbl_Finance[Job Number],$C224&amp;"")&gt;1,", Job number used twice",""))="","Complete","Fix: "&amp;MID(IF(F224="",", Client","")&amp;IF(G224="",", Description","")&amp;IF(H224="",", Cost Centre","")&amp;IF(I224="",", Invoice Type","")&amp;IF(J224="",", Tax Code","")&amp;IF(O224="",", Expected Revenue","")&amp;IF(COUNTIF(tbl_Finance[Job Number],$C224&amp;"")&gt;1,", Job number used twice",""),3,300)))</f>
        <v/>
      </c>
      <c r="Q224" s="10">
        <f>IF($C224="","",IF(H224="","(no cost centre)",H224&amp;" - GL "&amp;IFERROR(INDEX(lst_CCtoGL,MATCH(H224,lst_CCforGL,0)),"?")))</f>
        <v/>
      </c>
      <c r="R224" s="11">
        <f>IF($C224="","",IFERROR(N(INDEX(tbl_Finance[Inc GST],MATCH($AU224,tbl_Finance[Row ID],0))),""))</f>
        <v/>
      </c>
      <c r="S224" s="37" t="n"/>
      <c r="T224" s="37" t="n"/>
      <c r="U224" s="37" t="n"/>
      <c r="V224" s="42" t="n"/>
      <c r="W224" s="37" t="n"/>
      <c r="X224" s="10">
        <f>IF(W224="","",IF(AND(LEFT(W224,4)&lt;&gt;"http",set_RMSBase=""),"",HYPERLINK(IF(LEFT(W224,4)="http",W224,set_RMSBase&amp;W224),"Open in RMS")))</f>
        <v/>
      </c>
      <c r="Y224" s="37" t="n"/>
      <c r="Z224" s="10">
        <f>IF(Y224="","",HYPERLINK(IF(LEFT(Y224,4)="http",Y224,set_QwilrBase&amp;Y224),"Open quote"))</f>
        <v/>
      </c>
      <c r="AA224" s="10">
        <f>IF(C224="","",C224)</f>
        <v/>
      </c>
      <c r="AB224" s="37" t="n"/>
      <c r="AC224" s="39" t="n"/>
      <c r="AD224" s="11">
        <f>IF(C224="","",N(L224)+N(AC224))</f>
        <v/>
      </c>
      <c r="AE224" s="43">
        <f>IFERROR(IF(N(AC224)=0,"",AC224/AD224),"")</f>
        <v/>
      </c>
      <c r="AF224" s="39" t="n"/>
      <c r="AG224" s="39" t="n"/>
      <c r="AH224" s="39" t="n"/>
      <c r="AI224" s="39" t="n"/>
      <c r="AJ224" s="11">
        <f>IF(C224="","",IF(H224="VIDEO",N(L224),0))</f>
        <v/>
      </c>
      <c r="AK224" s="43">
        <f>IFERROR(IF(N(L224)=0,"",AJ224/L224),"")</f>
        <v/>
      </c>
      <c r="AL224" s="11">
        <f>IF(C224="","",N(AF224)+N(AG224)+N(AH224)+N(AI224))</f>
        <v/>
      </c>
      <c r="AM224" s="11">
        <f>IF(C224="","",MAX(N(L224),N(O224))-N(AL224))</f>
        <v/>
      </c>
      <c r="AN224" s="43">
        <f>IFERROR(IF(MAX(N(L224),N(O224))=0,"",AM224/MAX(N(L224),N(O224))),"")</f>
        <v/>
      </c>
      <c r="AO224" s="41" t="n"/>
      <c r="AP224" s="41" t="n"/>
      <c r="AQ224" s="41" t="n"/>
      <c r="AR224" s="41" t="n"/>
      <c r="AS224" s="41" t="n"/>
      <c r="AT224" s="37" t="n"/>
      <c r="AU224" s="10" t="inlineStr">
        <is>
          <t>PRD-0220</t>
        </is>
      </c>
    </row>
    <row r="225">
      <c r="A225" s="16">
        <f>IF($C225="","",IFERROR(IF(INDEX(tbl_Finance[Latest Invoice Date],MATCH($AU225,tbl_Finance[Row ID],0))="","",INDEX(tbl_Finance[Latest Invoice Date],MATCH($AU225,tbl_Finance[Row ID],0))),""))</f>
        <v/>
      </c>
      <c r="B225" s="10">
        <f>IF($C225="","",IFERROR(INDEX(tbl_Finance[Invoice Numbers],MATCH($AU225,tbl_Finance[Row ID],0))&amp;"",""))</f>
        <v/>
      </c>
      <c r="C225" s="37" t="n"/>
      <c r="D225" s="10">
        <f>IF($C225="","",IF(COUNTIF(lst_Jobs,$C225&amp;"")&gt;0,"OK","CHECK"))</f>
        <v/>
      </c>
      <c r="E225" s="10">
        <f>IF($C225="","",IFERROR(INDEX(lst_JobName,MATCH($C225&amp;"",lst_Jobs,0)),""))</f>
        <v/>
      </c>
      <c r="F225" s="37" t="n"/>
      <c r="G225" s="37" t="n"/>
      <c r="H225" s="37" t="n"/>
      <c r="I225" s="37" t="n"/>
      <c r="J225" s="37" t="n"/>
      <c r="K225" s="38">
        <f>IF($C225="","",IFERROR(N(INDEX(tbl_Finance[Invoice Count],MATCH($AU225,tbl_Finance[Row ID],0))),""))</f>
        <v/>
      </c>
      <c r="L225" s="11">
        <f>IF($C225="","",IFERROR(N(INDEX(tbl_Finance[Xero Invoiced Ex GST],MATCH($AU225,tbl_Finance[Row ID],0))),""))</f>
        <v/>
      </c>
      <c r="M225" s="10">
        <f>IF($C225="","",IFERROR(INDEX(tbl_Finance[Compare],MATCH($AU225,tbl_Finance[Row ID],0))&amp;"",""))</f>
        <v/>
      </c>
      <c r="N225" s="11">
        <f>IF($C225="","",MAX(0,N(O225)-N(L225)))</f>
        <v/>
      </c>
      <c r="O225" s="39" t="n"/>
      <c r="P225" s="40">
        <f>IF($C225="","",IF((IF(F225="",", Client","")&amp;IF(G225="",", Description","")&amp;IF(H225="",", Cost Centre","")&amp;IF(I225="",", Invoice Type","")&amp;IF(J225="",", Tax Code","")&amp;IF(O225="",", Expected Revenue","")&amp;IF(COUNTIF(tbl_Finance[Job Number],$C225&amp;"")&gt;1,", Job number used twice",""))="","Complete","Fix: "&amp;MID(IF(F225="",", Client","")&amp;IF(G225="",", Description","")&amp;IF(H225="",", Cost Centre","")&amp;IF(I225="",", Invoice Type","")&amp;IF(J225="",", Tax Code","")&amp;IF(O225="",", Expected Revenue","")&amp;IF(COUNTIF(tbl_Finance[Job Number],$C225&amp;"")&gt;1,", Job number used twice",""),3,300)))</f>
        <v/>
      </c>
      <c r="Q225" s="10">
        <f>IF($C225="","",IF(H225="","(no cost centre)",H225&amp;" - GL "&amp;IFERROR(INDEX(lst_CCtoGL,MATCH(H225,lst_CCforGL,0)),"?")))</f>
        <v/>
      </c>
      <c r="R225" s="11">
        <f>IF($C225="","",IFERROR(N(INDEX(tbl_Finance[Inc GST],MATCH($AU225,tbl_Finance[Row ID],0))),""))</f>
        <v/>
      </c>
      <c r="S225" s="37" t="n"/>
      <c r="T225" s="37" t="n"/>
      <c r="U225" s="37" t="n"/>
      <c r="V225" s="42" t="n"/>
      <c r="W225" s="37" t="n"/>
      <c r="X225" s="10">
        <f>IF(W225="","",IF(AND(LEFT(W225,4)&lt;&gt;"http",set_RMSBase=""),"",HYPERLINK(IF(LEFT(W225,4)="http",W225,set_RMSBase&amp;W225),"Open in RMS")))</f>
        <v/>
      </c>
      <c r="Y225" s="37" t="n"/>
      <c r="Z225" s="10">
        <f>IF(Y225="","",HYPERLINK(IF(LEFT(Y225,4)="http",Y225,set_QwilrBase&amp;Y225),"Open quote"))</f>
        <v/>
      </c>
      <c r="AA225" s="10">
        <f>IF(C225="","",C225)</f>
        <v/>
      </c>
      <c r="AB225" s="37" t="n"/>
      <c r="AC225" s="39" t="n"/>
      <c r="AD225" s="11">
        <f>IF(C225="","",N(L225)+N(AC225))</f>
        <v/>
      </c>
      <c r="AE225" s="43">
        <f>IFERROR(IF(N(AC225)=0,"",AC225/AD225),"")</f>
        <v/>
      </c>
      <c r="AF225" s="39" t="n"/>
      <c r="AG225" s="39" t="n"/>
      <c r="AH225" s="39" t="n"/>
      <c r="AI225" s="39" t="n"/>
      <c r="AJ225" s="11">
        <f>IF(C225="","",IF(H225="VIDEO",N(L225),0))</f>
        <v/>
      </c>
      <c r="AK225" s="43">
        <f>IFERROR(IF(N(L225)=0,"",AJ225/L225),"")</f>
        <v/>
      </c>
      <c r="AL225" s="11">
        <f>IF(C225="","",N(AF225)+N(AG225)+N(AH225)+N(AI225))</f>
        <v/>
      </c>
      <c r="AM225" s="11">
        <f>IF(C225="","",MAX(N(L225),N(O225))-N(AL225))</f>
        <v/>
      </c>
      <c r="AN225" s="43">
        <f>IFERROR(IF(MAX(N(L225),N(O225))=0,"",AM225/MAX(N(L225),N(O225))),"")</f>
        <v/>
      </c>
      <c r="AO225" s="41" t="n"/>
      <c r="AP225" s="41" t="n"/>
      <c r="AQ225" s="41" t="n"/>
      <c r="AR225" s="41" t="n"/>
      <c r="AS225" s="41" t="n"/>
      <c r="AT225" s="37" t="n"/>
      <c r="AU225" s="10" t="inlineStr">
        <is>
          <t>PRD-0221</t>
        </is>
      </c>
    </row>
    <row r="226">
      <c r="A226" s="16">
        <f>IF($C226="","",IFERROR(IF(INDEX(tbl_Finance[Latest Invoice Date],MATCH($AU226,tbl_Finance[Row ID],0))="","",INDEX(tbl_Finance[Latest Invoice Date],MATCH($AU226,tbl_Finance[Row ID],0))),""))</f>
        <v/>
      </c>
      <c r="B226" s="10">
        <f>IF($C226="","",IFERROR(INDEX(tbl_Finance[Invoice Numbers],MATCH($AU226,tbl_Finance[Row ID],0))&amp;"",""))</f>
        <v/>
      </c>
      <c r="C226" s="37" t="n"/>
      <c r="D226" s="10">
        <f>IF($C226="","",IF(COUNTIF(lst_Jobs,$C226&amp;"")&gt;0,"OK","CHECK"))</f>
        <v/>
      </c>
      <c r="E226" s="10">
        <f>IF($C226="","",IFERROR(INDEX(lst_JobName,MATCH($C226&amp;"",lst_Jobs,0)),""))</f>
        <v/>
      </c>
      <c r="F226" s="37" t="n"/>
      <c r="G226" s="37" t="n"/>
      <c r="H226" s="37" t="n"/>
      <c r="I226" s="37" t="n"/>
      <c r="J226" s="37" t="n"/>
      <c r="K226" s="38">
        <f>IF($C226="","",IFERROR(N(INDEX(tbl_Finance[Invoice Count],MATCH($AU226,tbl_Finance[Row ID],0))),""))</f>
        <v/>
      </c>
      <c r="L226" s="11">
        <f>IF($C226="","",IFERROR(N(INDEX(tbl_Finance[Xero Invoiced Ex GST],MATCH($AU226,tbl_Finance[Row ID],0))),""))</f>
        <v/>
      </c>
      <c r="M226" s="10">
        <f>IF($C226="","",IFERROR(INDEX(tbl_Finance[Compare],MATCH($AU226,tbl_Finance[Row ID],0))&amp;"",""))</f>
        <v/>
      </c>
      <c r="N226" s="11">
        <f>IF($C226="","",MAX(0,N(O226)-N(L226)))</f>
        <v/>
      </c>
      <c r="O226" s="39" t="n"/>
      <c r="P226" s="40">
        <f>IF($C226="","",IF((IF(F226="",", Client","")&amp;IF(G226="",", Description","")&amp;IF(H226="",", Cost Centre","")&amp;IF(I226="",", Invoice Type","")&amp;IF(J226="",", Tax Code","")&amp;IF(O226="",", Expected Revenue","")&amp;IF(COUNTIF(tbl_Finance[Job Number],$C226&amp;"")&gt;1,", Job number used twice",""))="","Complete","Fix: "&amp;MID(IF(F226="",", Client","")&amp;IF(G226="",", Description","")&amp;IF(H226="",", Cost Centre","")&amp;IF(I226="",", Invoice Type","")&amp;IF(J226="",", Tax Code","")&amp;IF(O226="",", Expected Revenue","")&amp;IF(COUNTIF(tbl_Finance[Job Number],$C226&amp;"")&gt;1,", Job number used twice",""),3,300)))</f>
        <v/>
      </c>
      <c r="Q226" s="10">
        <f>IF($C226="","",IF(H226="","(no cost centre)",H226&amp;" - GL "&amp;IFERROR(INDEX(lst_CCtoGL,MATCH(H226,lst_CCforGL,0)),"?")))</f>
        <v/>
      </c>
      <c r="R226" s="11">
        <f>IF($C226="","",IFERROR(N(INDEX(tbl_Finance[Inc GST],MATCH($AU226,tbl_Finance[Row ID],0))),""))</f>
        <v/>
      </c>
      <c r="S226" s="37" t="n"/>
      <c r="T226" s="37" t="n"/>
      <c r="U226" s="37" t="n"/>
      <c r="V226" s="42" t="n"/>
      <c r="W226" s="37" t="n"/>
      <c r="X226" s="10">
        <f>IF(W226="","",IF(AND(LEFT(W226,4)&lt;&gt;"http",set_RMSBase=""),"",HYPERLINK(IF(LEFT(W226,4)="http",W226,set_RMSBase&amp;W226),"Open in RMS")))</f>
        <v/>
      </c>
      <c r="Y226" s="37" t="n"/>
      <c r="Z226" s="10">
        <f>IF(Y226="","",HYPERLINK(IF(LEFT(Y226,4)="http",Y226,set_QwilrBase&amp;Y226),"Open quote"))</f>
        <v/>
      </c>
      <c r="AA226" s="10">
        <f>IF(C226="","",C226)</f>
        <v/>
      </c>
      <c r="AB226" s="37" t="n"/>
      <c r="AC226" s="39" t="n"/>
      <c r="AD226" s="11">
        <f>IF(C226="","",N(L226)+N(AC226))</f>
        <v/>
      </c>
      <c r="AE226" s="43">
        <f>IFERROR(IF(N(AC226)=0,"",AC226/AD226),"")</f>
        <v/>
      </c>
      <c r="AF226" s="39" t="n"/>
      <c r="AG226" s="39" t="n"/>
      <c r="AH226" s="39" t="n"/>
      <c r="AI226" s="39" t="n"/>
      <c r="AJ226" s="11">
        <f>IF(C226="","",IF(H226="VIDEO",N(L226),0))</f>
        <v/>
      </c>
      <c r="AK226" s="43">
        <f>IFERROR(IF(N(L226)=0,"",AJ226/L226),"")</f>
        <v/>
      </c>
      <c r="AL226" s="11">
        <f>IF(C226="","",N(AF226)+N(AG226)+N(AH226)+N(AI226))</f>
        <v/>
      </c>
      <c r="AM226" s="11">
        <f>IF(C226="","",MAX(N(L226),N(O226))-N(AL226))</f>
        <v/>
      </c>
      <c r="AN226" s="43">
        <f>IFERROR(IF(MAX(N(L226),N(O226))=0,"",AM226/MAX(N(L226),N(O226))),"")</f>
        <v/>
      </c>
      <c r="AO226" s="41" t="n"/>
      <c r="AP226" s="41" t="n"/>
      <c r="AQ226" s="41" t="n"/>
      <c r="AR226" s="41" t="n"/>
      <c r="AS226" s="41" t="n"/>
      <c r="AT226" s="37" t="n"/>
      <c r="AU226" s="10" t="inlineStr">
        <is>
          <t>PRD-0222</t>
        </is>
      </c>
    </row>
    <row r="227">
      <c r="A227" s="16">
        <f>IF($C227="","",IFERROR(IF(INDEX(tbl_Finance[Latest Invoice Date],MATCH($AU227,tbl_Finance[Row ID],0))="","",INDEX(tbl_Finance[Latest Invoice Date],MATCH($AU227,tbl_Finance[Row ID],0))),""))</f>
        <v/>
      </c>
      <c r="B227" s="10">
        <f>IF($C227="","",IFERROR(INDEX(tbl_Finance[Invoice Numbers],MATCH($AU227,tbl_Finance[Row ID],0))&amp;"",""))</f>
        <v/>
      </c>
      <c r="C227" s="37" t="n"/>
      <c r="D227" s="10">
        <f>IF($C227="","",IF(COUNTIF(lst_Jobs,$C227&amp;"")&gt;0,"OK","CHECK"))</f>
        <v/>
      </c>
      <c r="E227" s="10">
        <f>IF($C227="","",IFERROR(INDEX(lst_JobName,MATCH($C227&amp;"",lst_Jobs,0)),""))</f>
        <v/>
      </c>
      <c r="F227" s="37" t="n"/>
      <c r="G227" s="37" t="n"/>
      <c r="H227" s="37" t="n"/>
      <c r="I227" s="37" t="n"/>
      <c r="J227" s="37" t="n"/>
      <c r="K227" s="38">
        <f>IF($C227="","",IFERROR(N(INDEX(tbl_Finance[Invoice Count],MATCH($AU227,tbl_Finance[Row ID],0))),""))</f>
        <v/>
      </c>
      <c r="L227" s="11">
        <f>IF($C227="","",IFERROR(N(INDEX(tbl_Finance[Xero Invoiced Ex GST],MATCH($AU227,tbl_Finance[Row ID],0))),""))</f>
        <v/>
      </c>
      <c r="M227" s="10">
        <f>IF($C227="","",IFERROR(INDEX(tbl_Finance[Compare],MATCH($AU227,tbl_Finance[Row ID],0))&amp;"",""))</f>
        <v/>
      </c>
      <c r="N227" s="11">
        <f>IF($C227="","",MAX(0,N(O227)-N(L227)))</f>
        <v/>
      </c>
      <c r="O227" s="39" t="n"/>
      <c r="P227" s="40">
        <f>IF($C227="","",IF((IF(F227="",", Client","")&amp;IF(G227="",", Description","")&amp;IF(H227="",", Cost Centre","")&amp;IF(I227="",", Invoice Type","")&amp;IF(J227="",", Tax Code","")&amp;IF(O227="",", Expected Revenue","")&amp;IF(COUNTIF(tbl_Finance[Job Number],$C227&amp;"")&gt;1,", Job number used twice",""))="","Complete","Fix: "&amp;MID(IF(F227="",", Client","")&amp;IF(G227="",", Description","")&amp;IF(H227="",", Cost Centre","")&amp;IF(I227="",", Invoice Type","")&amp;IF(J227="",", Tax Code","")&amp;IF(O227="",", Expected Revenue","")&amp;IF(COUNTIF(tbl_Finance[Job Number],$C227&amp;"")&gt;1,", Job number used twice",""),3,300)))</f>
        <v/>
      </c>
      <c r="Q227" s="10">
        <f>IF($C227="","",IF(H227="","(no cost centre)",H227&amp;" - GL "&amp;IFERROR(INDEX(lst_CCtoGL,MATCH(H227,lst_CCforGL,0)),"?")))</f>
        <v/>
      </c>
      <c r="R227" s="11">
        <f>IF($C227="","",IFERROR(N(INDEX(tbl_Finance[Inc GST],MATCH($AU227,tbl_Finance[Row ID],0))),""))</f>
        <v/>
      </c>
      <c r="S227" s="37" t="n"/>
      <c r="T227" s="37" t="n"/>
      <c r="U227" s="37" t="n"/>
      <c r="V227" s="42" t="n"/>
      <c r="W227" s="37" t="n"/>
      <c r="X227" s="10">
        <f>IF(W227="","",IF(AND(LEFT(W227,4)&lt;&gt;"http",set_RMSBase=""),"",HYPERLINK(IF(LEFT(W227,4)="http",W227,set_RMSBase&amp;W227),"Open in RMS")))</f>
        <v/>
      </c>
      <c r="Y227" s="37" t="n"/>
      <c r="Z227" s="10">
        <f>IF(Y227="","",HYPERLINK(IF(LEFT(Y227,4)="http",Y227,set_QwilrBase&amp;Y227),"Open quote"))</f>
        <v/>
      </c>
      <c r="AA227" s="10">
        <f>IF(C227="","",C227)</f>
        <v/>
      </c>
      <c r="AB227" s="37" t="n"/>
      <c r="AC227" s="39" t="n"/>
      <c r="AD227" s="11">
        <f>IF(C227="","",N(L227)+N(AC227))</f>
        <v/>
      </c>
      <c r="AE227" s="43">
        <f>IFERROR(IF(N(AC227)=0,"",AC227/AD227),"")</f>
        <v/>
      </c>
      <c r="AF227" s="39" t="n"/>
      <c r="AG227" s="39" t="n"/>
      <c r="AH227" s="39" t="n"/>
      <c r="AI227" s="39" t="n"/>
      <c r="AJ227" s="11">
        <f>IF(C227="","",IF(H227="VIDEO",N(L227),0))</f>
        <v/>
      </c>
      <c r="AK227" s="43">
        <f>IFERROR(IF(N(L227)=0,"",AJ227/L227),"")</f>
        <v/>
      </c>
      <c r="AL227" s="11">
        <f>IF(C227="","",N(AF227)+N(AG227)+N(AH227)+N(AI227))</f>
        <v/>
      </c>
      <c r="AM227" s="11">
        <f>IF(C227="","",MAX(N(L227),N(O227))-N(AL227))</f>
        <v/>
      </c>
      <c r="AN227" s="43">
        <f>IFERROR(IF(MAX(N(L227),N(O227))=0,"",AM227/MAX(N(L227),N(O227))),"")</f>
        <v/>
      </c>
      <c r="AO227" s="41" t="n"/>
      <c r="AP227" s="41" t="n"/>
      <c r="AQ227" s="41" t="n"/>
      <c r="AR227" s="41" t="n"/>
      <c r="AS227" s="41" t="n"/>
      <c r="AT227" s="37" t="n"/>
      <c r="AU227" s="10" t="inlineStr">
        <is>
          <t>PRD-0223</t>
        </is>
      </c>
    </row>
    <row r="228">
      <c r="A228" s="16">
        <f>IF($C228="","",IFERROR(IF(INDEX(tbl_Finance[Latest Invoice Date],MATCH($AU228,tbl_Finance[Row ID],0))="","",INDEX(tbl_Finance[Latest Invoice Date],MATCH($AU228,tbl_Finance[Row ID],0))),""))</f>
        <v/>
      </c>
      <c r="B228" s="10">
        <f>IF($C228="","",IFERROR(INDEX(tbl_Finance[Invoice Numbers],MATCH($AU228,tbl_Finance[Row ID],0))&amp;"",""))</f>
        <v/>
      </c>
      <c r="C228" s="37" t="n"/>
      <c r="D228" s="10">
        <f>IF($C228="","",IF(COUNTIF(lst_Jobs,$C228&amp;"")&gt;0,"OK","CHECK"))</f>
        <v/>
      </c>
      <c r="E228" s="10">
        <f>IF($C228="","",IFERROR(INDEX(lst_JobName,MATCH($C228&amp;"",lst_Jobs,0)),""))</f>
        <v/>
      </c>
      <c r="F228" s="37" t="n"/>
      <c r="G228" s="37" t="n"/>
      <c r="H228" s="37" t="n"/>
      <c r="I228" s="37" t="n"/>
      <c r="J228" s="37" t="n"/>
      <c r="K228" s="38">
        <f>IF($C228="","",IFERROR(N(INDEX(tbl_Finance[Invoice Count],MATCH($AU228,tbl_Finance[Row ID],0))),""))</f>
        <v/>
      </c>
      <c r="L228" s="11">
        <f>IF($C228="","",IFERROR(N(INDEX(tbl_Finance[Xero Invoiced Ex GST],MATCH($AU228,tbl_Finance[Row ID],0))),""))</f>
        <v/>
      </c>
      <c r="M228" s="10">
        <f>IF($C228="","",IFERROR(INDEX(tbl_Finance[Compare],MATCH($AU228,tbl_Finance[Row ID],0))&amp;"",""))</f>
        <v/>
      </c>
      <c r="N228" s="11">
        <f>IF($C228="","",MAX(0,N(O228)-N(L228)))</f>
        <v/>
      </c>
      <c r="O228" s="39" t="n"/>
      <c r="P228" s="40">
        <f>IF($C228="","",IF((IF(F228="",", Client","")&amp;IF(G228="",", Description","")&amp;IF(H228="",", Cost Centre","")&amp;IF(I228="",", Invoice Type","")&amp;IF(J228="",", Tax Code","")&amp;IF(O228="",", Expected Revenue","")&amp;IF(COUNTIF(tbl_Finance[Job Number],$C228&amp;"")&gt;1,", Job number used twice",""))="","Complete","Fix: "&amp;MID(IF(F228="",", Client","")&amp;IF(G228="",", Description","")&amp;IF(H228="",", Cost Centre","")&amp;IF(I228="",", Invoice Type","")&amp;IF(J228="",", Tax Code","")&amp;IF(O228="",", Expected Revenue","")&amp;IF(COUNTIF(tbl_Finance[Job Number],$C228&amp;"")&gt;1,", Job number used twice",""),3,300)))</f>
        <v/>
      </c>
      <c r="Q228" s="10">
        <f>IF($C228="","",IF(H228="","(no cost centre)",H228&amp;" - GL "&amp;IFERROR(INDEX(lst_CCtoGL,MATCH(H228,lst_CCforGL,0)),"?")))</f>
        <v/>
      </c>
      <c r="R228" s="11">
        <f>IF($C228="","",IFERROR(N(INDEX(tbl_Finance[Inc GST],MATCH($AU228,tbl_Finance[Row ID],0))),""))</f>
        <v/>
      </c>
      <c r="S228" s="37" t="n"/>
      <c r="T228" s="37" t="n"/>
      <c r="U228" s="37" t="n"/>
      <c r="V228" s="42" t="n"/>
      <c r="W228" s="37" t="n"/>
      <c r="X228" s="10">
        <f>IF(W228="","",IF(AND(LEFT(W228,4)&lt;&gt;"http",set_RMSBase=""),"",HYPERLINK(IF(LEFT(W228,4)="http",W228,set_RMSBase&amp;W228),"Open in RMS")))</f>
        <v/>
      </c>
      <c r="Y228" s="37" t="n"/>
      <c r="Z228" s="10">
        <f>IF(Y228="","",HYPERLINK(IF(LEFT(Y228,4)="http",Y228,set_QwilrBase&amp;Y228),"Open quote"))</f>
        <v/>
      </c>
      <c r="AA228" s="10">
        <f>IF(C228="","",C228)</f>
        <v/>
      </c>
      <c r="AB228" s="37" t="n"/>
      <c r="AC228" s="39" t="n"/>
      <c r="AD228" s="11">
        <f>IF(C228="","",N(L228)+N(AC228))</f>
        <v/>
      </c>
      <c r="AE228" s="43">
        <f>IFERROR(IF(N(AC228)=0,"",AC228/AD228),"")</f>
        <v/>
      </c>
      <c r="AF228" s="39" t="n"/>
      <c r="AG228" s="39" t="n"/>
      <c r="AH228" s="39" t="n"/>
      <c r="AI228" s="39" t="n"/>
      <c r="AJ228" s="11">
        <f>IF(C228="","",IF(H228="VIDEO",N(L228),0))</f>
        <v/>
      </c>
      <c r="AK228" s="43">
        <f>IFERROR(IF(N(L228)=0,"",AJ228/L228),"")</f>
        <v/>
      </c>
      <c r="AL228" s="11">
        <f>IF(C228="","",N(AF228)+N(AG228)+N(AH228)+N(AI228))</f>
        <v/>
      </c>
      <c r="AM228" s="11">
        <f>IF(C228="","",MAX(N(L228),N(O228))-N(AL228))</f>
        <v/>
      </c>
      <c r="AN228" s="43">
        <f>IFERROR(IF(MAX(N(L228),N(O228))=0,"",AM228/MAX(N(L228),N(O228))),"")</f>
        <v/>
      </c>
      <c r="AO228" s="41" t="n"/>
      <c r="AP228" s="41" t="n"/>
      <c r="AQ228" s="41" t="n"/>
      <c r="AR228" s="41" t="n"/>
      <c r="AS228" s="41" t="n"/>
      <c r="AT228" s="37" t="n"/>
      <c r="AU228" s="10" t="inlineStr">
        <is>
          <t>PRD-0224</t>
        </is>
      </c>
    </row>
    <row r="229">
      <c r="A229" s="16">
        <f>IF($C229="","",IFERROR(IF(INDEX(tbl_Finance[Latest Invoice Date],MATCH($AU229,tbl_Finance[Row ID],0))="","",INDEX(tbl_Finance[Latest Invoice Date],MATCH($AU229,tbl_Finance[Row ID],0))),""))</f>
        <v/>
      </c>
      <c r="B229" s="10">
        <f>IF($C229="","",IFERROR(INDEX(tbl_Finance[Invoice Numbers],MATCH($AU229,tbl_Finance[Row ID],0))&amp;"",""))</f>
        <v/>
      </c>
      <c r="C229" s="37" t="n"/>
      <c r="D229" s="10">
        <f>IF($C229="","",IF(COUNTIF(lst_Jobs,$C229&amp;"")&gt;0,"OK","CHECK"))</f>
        <v/>
      </c>
      <c r="E229" s="10">
        <f>IF($C229="","",IFERROR(INDEX(lst_JobName,MATCH($C229&amp;"",lst_Jobs,0)),""))</f>
        <v/>
      </c>
      <c r="F229" s="37" t="n"/>
      <c r="G229" s="37" t="n"/>
      <c r="H229" s="37" t="n"/>
      <c r="I229" s="37" t="n"/>
      <c r="J229" s="37" t="n"/>
      <c r="K229" s="38">
        <f>IF($C229="","",IFERROR(N(INDEX(tbl_Finance[Invoice Count],MATCH($AU229,tbl_Finance[Row ID],0))),""))</f>
        <v/>
      </c>
      <c r="L229" s="11">
        <f>IF($C229="","",IFERROR(N(INDEX(tbl_Finance[Xero Invoiced Ex GST],MATCH($AU229,tbl_Finance[Row ID],0))),""))</f>
        <v/>
      </c>
      <c r="M229" s="10">
        <f>IF($C229="","",IFERROR(INDEX(tbl_Finance[Compare],MATCH($AU229,tbl_Finance[Row ID],0))&amp;"",""))</f>
        <v/>
      </c>
      <c r="N229" s="11">
        <f>IF($C229="","",MAX(0,N(O229)-N(L229)))</f>
        <v/>
      </c>
      <c r="O229" s="39" t="n"/>
      <c r="P229" s="40">
        <f>IF($C229="","",IF((IF(F229="",", Client","")&amp;IF(G229="",", Description","")&amp;IF(H229="",", Cost Centre","")&amp;IF(I229="",", Invoice Type","")&amp;IF(J229="",", Tax Code","")&amp;IF(O229="",", Expected Revenue","")&amp;IF(COUNTIF(tbl_Finance[Job Number],$C229&amp;"")&gt;1,", Job number used twice",""))="","Complete","Fix: "&amp;MID(IF(F229="",", Client","")&amp;IF(G229="",", Description","")&amp;IF(H229="",", Cost Centre","")&amp;IF(I229="",", Invoice Type","")&amp;IF(J229="",", Tax Code","")&amp;IF(O229="",", Expected Revenue","")&amp;IF(COUNTIF(tbl_Finance[Job Number],$C229&amp;"")&gt;1,", Job number used twice",""),3,300)))</f>
        <v/>
      </c>
      <c r="Q229" s="10">
        <f>IF($C229="","",IF(H229="","(no cost centre)",H229&amp;" - GL "&amp;IFERROR(INDEX(lst_CCtoGL,MATCH(H229,lst_CCforGL,0)),"?")))</f>
        <v/>
      </c>
      <c r="R229" s="11">
        <f>IF($C229="","",IFERROR(N(INDEX(tbl_Finance[Inc GST],MATCH($AU229,tbl_Finance[Row ID],0))),""))</f>
        <v/>
      </c>
      <c r="S229" s="37" t="n"/>
      <c r="T229" s="37" t="n"/>
      <c r="U229" s="37" t="n"/>
      <c r="V229" s="42" t="n"/>
      <c r="W229" s="37" t="n"/>
      <c r="X229" s="10">
        <f>IF(W229="","",IF(AND(LEFT(W229,4)&lt;&gt;"http",set_RMSBase=""),"",HYPERLINK(IF(LEFT(W229,4)="http",W229,set_RMSBase&amp;W229),"Open in RMS")))</f>
        <v/>
      </c>
      <c r="Y229" s="37" t="n"/>
      <c r="Z229" s="10">
        <f>IF(Y229="","",HYPERLINK(IF(LEFT(Y229,4)="http",Y229,set_QwilrBase&amp;Y229),"Open quote"))</f>
        <v/>
      </c>
      <c r="AA229" s="10">
        <f>IF(C229="","",C229)</f>
        <v/>
      </c>
      <c r="AB229" s="37" t="n"/>
      <c r="AC229" s="39" t="n"/>
      <c r="AD229" s="11">
        <f>IF(C229="","",N(L229)+N(AC229))</f>
        <v/>
      </c>
      <c r="AE229" s="43">
        <f>IFERROR(IF(N(AC229)=0,"",AC229/AD229),"")</f>
        <v/>
      </c>
      <c r="AF229" s="39" t="n"/>
      <c r="AG229" s="39" t="n"/>
      <c r="AH229" s="39" t="n"/>
      <c r="AI229" s="39" t="n"/>
      <c r="AJ229" s="11">
        <f>IF(C229="","",IF(H229="VIDEO",N(L229),0))</f>
        <v/>
      </c>
      <c r="AK229" s="43">
        <f>IFERROR(IF(N(L229)=0,"",AJ229/L229),"")</f>
        <v/>
      </c>
      <c r="AL229" s="11">
        <f>IF(C229="","",N(AF229)+N(AG229)+N(AH229)+N(AI229))</f>
        <v/>
      </c>
      <c r="AM229" s="11">
        <f>IF(C229="","",MAX(N(L229),N(O229))-N(AL229))</f>
        <v/>
      </c>
      <c r="AN229" s="43">
        <f>IFERROR(IF(MAX(N(L229),N(O229))=0,"",AM229/MAX(N(L229),N(O229))),"")</f>
        <v/>
      </c>
      <c r="AO229" s="41" t="n"/>
      <c r="AP229" s="41" t="n"/>
      <c r="AQ229" s="41" t="n"/>
      <c r="AR229" s="41" t="n"/>
      <c r="AS229" s="41" t="n"/>
      <c r="AT229" s="37" t="n"/>
      <c r="AU229" s="10" t="inlineStr">
        <is>
          <t>PRD-0225</t>
        </is>
      </c>
    </row>
    <row r="230">
      <c r="A230" s="16">
        <f>IF($C230="","",IFERROR(IF(INDEX(tbl_Finance[Latest Invoice Date],MATCH($AU230,tbl_Finance[Row ID],0))="","",INDEX(tbl_Finance[Latest Invoice Date],MATCH($AU230,tbl_Finance[Row ID],0))),""))</f>
        <v/>
      </c>
      <c r="B230" s="10">
        <f>IF($C230="","",IFERROR(INDEX(tbl_Finance[Invoice Numbers],MATCH($AU230,tbl_Finance[Row ID],0))&amp;"",""))</f>
        <v/>
      </c>
      <c r="C230" s="37" t="n"/>
      <c r="D230" s="10">
        <f>IF($C230="","",IF(COUNTIF(lst_Jobs,$C230&amp;"")&gt;0,"OK","CHECK"))</f>
        <v/>
      </c>
      <c r="E230" s="10">
        <f>IF($C230="","",IFERROR(INDEX(lst_JobName,MATCH($C230&amp;"",lst_Jobs,0)),""))</f>
        <v/>
      </c>
      <c r="F230" s="37" t="n"/>
      <c r="G230" s="37" t="n"/>
      <c r="H230" s="37" t="n"/>
      <c r="I230" s="37" t="n"/>
      <c r="J230" s="37" t="n"/>
      <c r="K230" s="38">
        <f>IF($C230="","",IFERROR(N(INDEX(tbl_Finance[Invoice Count],MATCH($AU230,tbl_Finance[Row ID],0))),""))</f>
        <v/>
      </c>
      <c r="L230" s="11">
        <f>IF($C230="","",IFERROR(N(INDEX(tbl_Finance[Xero Invoiced Ex GST],MATCH($AU230,tbl_Finance[Row ID],0))),""))</f>
        <v/>
      </c>
      <c r="M230" s="10">
        <f>IF($C230="","",IFERROR(INDEX(tbl_Finance[Compare],MATCH($AU230,tbl_Finance[Row ID],0))&amp;"",""))</f>
        <v/>
      </c>
      <c r="N230" s="11">
        <f>IF($C230="","",MAX(0,N(O230)-N(L230)))</f>
        <v/>
      </c>
      <c r="O230" s="39" t="n"/>
      <c r="P230" s="40">
        <f>IF($C230="","",IF((IF(F230="",", Client","")&amp;IF(G230="",", Description","")&amp;IF(H230="",", Cost Centre","")&amp;IF(I230="",", Invoice Type","")&amp;IF(J230="",", Tax Code","")&amp;IF(O230="",", Expected Revenue","")&amp;IF(COUNTIF(tbl_Finance[Job Number],$C230&amp;"")&gt;1,", Job number used twice",""))="","Complete","Fix: "&amp;MID(IF(F230="",", Client","")&amp;IF(G230="",", Description","")&amp;IF(H230="",", Cost Centre","")&amp;IF(I230="",", Invoice Type","")&amp;IF(J230="",", Tax Code","")&amp;IF(O230="",", Expected Revenue","")&amp;IF(COUNTIF(tbl_Finance[Job Number],$C230&amp;"")&gt;1,", Job number used twice",""),3,300)))</f>
        <v/>
      </c>
      <c r="Q230" s="10">
        <f>IF($C230="","",IF(H230="","(no cost centre)",H230&amp;" - GL "&amp;IFERROR(INDEX(lst_CCtoGL,MATCH(H230,lst_CCforGL,0)),"?")))</f>
        <v/>
      </c>
      <c r="R230" s="11">
        <f>IF($C230="","",IFERROR(N(INDEX(tbl_Finance[Inc GST],MATCH($AU230,tbl_Finance[Row ID],0))),""))</f>
        <v/>
      </c>
      <c r="S230" s="37" t="n"/>
      <c r="T230" s="37" t="n"/>
      <c r="U230" s="37" t="n"/>
      <c r="V230" s="42" t="n"/>
      <c r="W230" s="37" t="n"/>
      <c r="X230" s="10">
        <f>IF(W230="","",IF(AND(LEFT(W230,4)&lt;&gt;"http",set_RMSBase=""),"",HYPERLINK(IF(LEFT(W230,4)="http",W230,set_RMSBase&amp;W230),"Open in RMS")))</f>
        <v/>
      </c>
      <c r="Y230" s="37" t="n"/>
      <c r="Z230" s="10">
        <f>IF(Y230="","",HYPERLINK(IF(LEFT(Y230,4)="http",Y230,set_QwilrBase&amp;Y230),"Open quote"))</f>
        <v/>
      </c>
      <c r="AA230" s="10">
        <f>IF(C230="","",C230)</f>
        <v/>
      </c>
      <c r="AB230" s="37" t="n"/>
      <c r="AC230" s="39" t="n"/>
      <c r="AD230" s="11">
        <f>IF(C230="","",N(L230)+N(AC230))</f>
        <v/>
      </c>
      <c r="AE230" s="43">
        <f>IFERROR(IF(N(AC230)=0,"",AC230/AD230),"")</f>
        <v/>
      </c>
      <c r="AF230" s="39" t="n"/>
      <c r="AG230" s="39" t="n"/>
      <c r="AH230" s="39" t="n"/>
      <c r="AI230" s="39" t="n"/>
      <c r="AJ230" s="11">
        <f>IF(C230="","",IF(H230="VIDEO",N(L230),0))</f>
        <v/>
      </c>
      <c r="AK230" s="43">
        <f>IFERROR(IF(N(L230)=0,"",AJ230/L230),"")</f>
        <v/>
      </c>
      <c r="AL230" s="11">
        <f>IF(C230="","",N(AF230)+N(AG230)+N(AH230)+N(AI230))</f>
        <v/>
      </c>
      <c r="AM230" s="11">
        <f>IF(C230="","",MAX(N(L230),N(O230))-N(AL230))</f>
        <v/>
      </c>
      <c r="AN230" s="43">
        <f>IFERROR(IF(MAX(N(L230),N(O230))=0,"",AM230/MAX(N(L230),N(O230))),"")</f>
        <v/>
      </c>
      <c r="AO230" s="41" t="n"/>
      <c r="AP230" s="41" t="n"/>
      <c r="AQ230" s="41" t="n"/>
      <c r="AR230" s="41" t="n"/>
      <c r="AS230" s="41" t="n"/>
      <c r="AT230" s="37" t="n"/>
      <c r="AU230" s="10" t="inlineStr">
        <is>
          <t>PRD-0226</t>
        </is>
      </c>
    </row>
    <row r="231">
      <c r="A231" s="16">
        <f>IF($C231="","",IFERROR(IF(INDEX(tbl_Finance[Latest Invoice Date],MATCH($AU231,tbl_Finance[Row ID],0))="","",INDEX(tbl_Finance[Latest Invoice Date],MATCH($AU231,tbl_Finance[Row ID],0))),""))</f>
        <v/>
      </c>
      <c r="B231" s="10">
        <f>IF($C231="","",IFERROR(INDEX(tbl_Finance[Invoice Numbers],MATCH($AU231,tbl_Finance[Row ID],0))&amp;"",""))</f>
        <v/>
      </c>
      <c r="C231" s="37" t="n"/>
      <c r="D231" s="10">
        <f>IF($C231="","",IF(COUNTIF(lst_Jobs,$C231&amp;"")&gt;0,"OK","CHECK"))</f>
        <v/>
      </c>
      <c r="E231" s="10">
        <f>IF($C231="","",IFERROR(INDEX(lst_JobName,MATCH($C231&amp;"",lst_Jobs,0)),""))</f>
        <v/>
      </c>
      <c r="F231" s="37" t="n"/>
      <c r="G231" s="37" t="n"/>
      <c r="H231" s="37" t="n"/>
      <c r="I231" s="37" t="n"/>
      <c r="J231" s="37" t="n"/>
      <c r="K231" s="38">
        <f>IF($C231="","",IFERROR(N(INDEX(tbl_Finance[Invoice Count],MATCH($AU231,tbl_Finance[Row ID],0))),""))</f>
        <v/>
      </c>
      <c r="L231" s="11">
        <f>IF($C231="","",IFERROR(N(INDEX(tbl_Finance[Xero Invoiced Ex GST],MATCH($AU231,tbl_Finance[Row ID],0))),""))</f>
        <v/>
      </c>
      <c r="M231" s="10">
        <f>IF($C231="","",IFERROR(INDEX(tbl_Finance[Compare],MATCH($AU231,tbl_Finance[Row ID],0))&amp;"",""))</f>
        <v/>
      </c>
      <c r="N231" s="11">
        <f>IF($C231="","",MAX(0,N(O231)-N(L231)))</f>
        <v/>
      </c>
      <c r="O231" s="39" t="n"/>
      <c r="P231" s="40">
        <f>IF($C231="","",IF((IF(F231="",", Client","")&amp;IF(G231="",", Description","")&amp;IF(H231="",", Cost Centre","")&amp;IF(I231="",", Invoice Type","")&amp;IF(J231="",", Tax Code","")&amp;IF(O231="",", Expected Revenue","")&amp;IF(COUNTIF(tbl_Finance[Job Number],$C231&amp;"")&gt;1,", Job number used twice",""))="","Complete","Fix: "&amp;MID(IF(F231="",", Client","")&amp;IF(G231="",", Description","")&amp;IF(H231="",", Cost Centre","")&amp;IF(I231="",", Invoice Type","")&amp;IF(J231="",", Tax Code","")&amp;IF(O231="",", Expected Revenue","")&amp;IF(COUNTIF(tbl_Finance[Job Number],$C231&amp;"")&gt;1,", Job number used twice",""),3,300)))</f>
        <v/>
      </c>
      <c r="Q231" s="10">
        <f>IF($C231="","",IF(H231="","(no cost centre)",H231&amp;" - GL "&amp;IFERROR(INDEX(lst_CCtoGL,MATCH(H231,lst_CCforGL,0)),"?")))</f>
        <v/>
      </c>
      <c r="R231" s="11">
        <f>IF($C231="","",IFERROR(N(INDEX(tbl_Finance[Inc GST],MATCH($AU231,tbl_Finance[Row ID],0))),""))</f>
        <v/>
      </c>
      <c r="S231" s="37" t="n"/>
      <c r="T231" s="37" t="n"/>
      <c r="U231" s="37" t="n"/>
      <c r="V231" s="42" t="n"/>
      <c r="W231" s="37" t="n"/>
      <c r="X231" s="10">
        <f>IF(W231="","",IF(AND(LEFT(W231,4)&lt;&gt;"http",set_RMSBase=""),"",HYPERLINK(IF(LEFT(W231,4)="http",W231,set_RMSBase&amp;W231),"Open in RMS")))</f>
        <v/>
      </c>
      <c r="Y231" s="37" t="n"/>
      <c r="Z231" s="10">
        <f>IF(Y231="","",HYPERLINK(IF(LEFT(Y231,4)="http",Y231,set_QwilrBase&amp;Y231),"Open quote"))</f>
        <v/>
      </c>
      <c r="AA231" s="10">
        <f>IF(C231="","",C231)</f>
        <v/>
      </c>
      <c r="AB231" s="37" t="n"/>
      <c r="AC231" s="39" t="n"/>
      <c r="AD231" s="11">
        <f>IF(C231="","",N(L231)+N(AC231))</f>
        <v/>
      </c>
      <c r="AE231" s="43">
        <f>IFERROR(IF(N(AC231)=0,"",AC231/AD231),"")</f>
        <v/>
      </c>
      <c r="AF231" s="39" t="n"/>
      <c r="AG231" s="39" t="n"/>
      <c r="AH231" s="39" t="n"/>
      <c r="AI231" s="39" t="n"/>
      <c r="AJ231" s="11">
        <f>IF(C231="","",IF(H231="VIDEO",N(L231),0))</f>
        <v/>
      </c>
      <c r="AK231" s="43">
        <f>IFERROR(IF(N(L231)=0,"",AJ231/L231),"")</f>
        <v/>
      </c>
      <c r="AL231" s="11">
        <f>IF(C231="","",N(AF231)+N(AG231)+N(AH231)+N(AI231))</f>
        <v/>
      </c>
      <c r="AM231" s="11">
        <f>IF(C231="","",MAX(N(L231),N(O231))-N(AL231))</f>
        <v/>
      </c>
      <c r="AN231" s="43">
        <f>IFERROR(IF(MAX(N(L231),N(O231))=0,"",AM231/MAX(N(L231),N(O231))),"")</f>
        <v/>
      </c>
      <c r="AO231" s="41" t="n"/>
      <c r="AP231" s="41" t="n"/>
      <c r="AQ231" s="41" t="n"/>
      <c r="AR231" s="41" t="n"/>
      <c r="AS231" s="41" t="n"/>
      <c r="AT231" s="37" t="n"/>
      <c r="AU231" s="10" t="inlineStr">
        <is>
          <t>PRD-0227</t>
        </is>
      </c>
    </row>
    <row r="232">
      <c r="A232" s="16">
        <f>IF($C232="","",IFERROR(IF(INDEX(tbl_Finance[Latest Invoice Date],MATCH($AU232,tbl_Finance[Row ID],0))="","",INDEX(tbl_Finance[Latest Invoice Date],MATCH($AU232,tbl_Finance[Row ID],0))),""))</f>
        <v/>
      </c>
      <c r="B232" s="10">
        <f>IF($C232="","",IFERROR(INDEX(tbl_Finance[Invoice Numbers],MATCH($AU232,tbl_Finance[Row ID],0))&amp;"",""))</f>
        <v/>
      </c>
      <c r="C232" s="37" t="n"/>
      <c r="D232" s="10">
        <f>IF($C232="","",IF(COUNTIF(lst_Jobs,$C232&amp;"")&gt;0,"OK","CHECK"))</f>
        <v/>
      </c>
      <c r="E232" s="10">
        <f>IF($C232="","",IFERROR(INDEX(lst_JobName,MATCH($C232&amp;"",lst_Jobs,0)),""))</f>
        <v/>
      </c>
      <c r="F232" s="37" t="n"/>
      <c r="G232" s="37" t="n"/>
      <c r="H232" s="37" t="n"/>
      <c r="I232" s="37" t="n"/>
      <c r="J232" s="37" t="n"/>
      <c r="K232" s="38">
        <f>IF($C232="","",IFERROR(N(INDEX(tbl_Finance[Invoice Count],MATCH($AU232,tbl_Finance[Row ID],0))),""))</f>
        <v/>
      </c>
      <c r="L232" s="11">
        <f>IF($C232="","",IFERROR(N(INDEX(tbl_Finance[Xero Invoiced Ex GST],MATCH($AU232,tbl_Finance[Row ID],0))),""))</f>
        <v/>
      </c>
      <c r="M232" s="10">
        <f>IF($C232="","",IFERROR(INDEX(tbl_Finance[Compare],MATCH($AU232,tbl_Finance[Row ID],0))&amp;"",""))</f>
        <v/>
      </c>
      <c r="N232" s="11">
        <f>IF($C232="","",MAX(0,N(O232)-N(L232)))</f>
        <v/>
      </c>
      <c r="O232" s="39" t="n"/>
      <c r="P232" s="40">
        <f>IF($C232="","",IF((IF(F232="",", Client","")&amp;IF(G232="",", Description","")&amp;IF(H232="",", Cost Centre","")&amp;IF(I232="",", Invoice Type","")&amp;IF(J232="",", Tax Code","")&amp;IF(O232="",", Expected Revenue","")&amp;IF(COUNTIF(tbl_Finance[Job Number],$C232&amp;"")&gt;1,", Job number used twice",""))="","Complete","Fix: "&amp;MID(IF(F232="",", Client","")&amp;IF(G232="",", Description","")&amp;IF(H232="",", Cost Centre","")&amp;IF(I232="",", Invoice Type","")&amp;IF(J232="",", Tax Code","")&amp;IF(O232="",", Expected Revenue","")&amp;IF(COUNTIF(tbl_Finance[Job Number],$C232&amp;"")&gt;1,", Job number used twice",""),3,300)))</f>
        <v/>
      </c>
      <c r="Q232" s="10">
        <f>IF($C232="","",IF(H232="","(no cost centre)",H232&amp;" - GL "&amp;IFERROR(INDEX(lst_CCtoGL,MATCH(H232,lst_CCforGL,0)),"?")))</f>
        <v/>
      </c>
      <c r="R232" s="11">
        <f>IF($C232="","",IFERROR(N(INDEX(tbl_Finance[Inc GST],MATCH($AU232,tbl_Finance[Row ID],0))),""))</f>
        <v/>
      </c>
      <c r="S232" s="37" t="n"/>
      <c r="T232" s="37" t="n"/>
      <c r="U232" s="37" t="n"/>
      <c r="V232" s="42" t="n"/>
      <c r="W232" s="37" t="n"/>
      <c r="X232" s="10">
        <f>IF(W232="","",IF(AND(LEFT(W232,4)&lt;&gt;"http",set_RMSBase=""),"",HYPERLINK(IF(LEFT(W232,4)="http",W232,set_RMSBase&amp;W232),"Open in RMS")))</f>
        <v/>
      </c>
      <c r="Y232" s="37" t="n"/>
      <c r="Z232" s="10">
        <f>IF(Y232="","",HYPERLINK(IF(LEFT(Y232,4)="http",Y232,set_QwilrBase&amp;Y232),"Open quote"))</f>
        <v/>
      </c>
      <c r="AA232" s="10">
        <f>IF(C232="","",C232)</f>
        <v/>
      </c>
      <c r="AB232" s="37" t="n"/>
      <c r="AC232" s="39" t="n"/>
      <c r="AD232" s="11">
        <f>IF(C232="","",N(L232)+N(AC232))</f>
        <v/>
      </c>
      <c r="AE232" s="43">
        <f>IFERROR(IF(N(AC232)=0,"",AC232/AD232),"")</f>
        <v/>
      </c>
      <c r="AF232" s="39" t="n"/>
      <c r="AG232" s="39" t="n"/>
      <c r="AH232" s="39" t="n"/>
      <c r="AI232" s="39" t="n"/>
      <c r="AJ232" s="11">
        <f>IF(C232="","",IF(H232="VIDEO",N(L232),0))</f>
        <v/>
      </c>
      <c r="AK232" s="43">
        <f>IFERROR(IF(N(L232)=0,"",AJ232/L232),"")</f>
        <v/>
      </c>
      <c r="AL232" s="11">
        <f>IF(C232="","",N(AF232)+N(AG232)+N(AH232)+N(AI232))</f>
        <v/>
      </c>
      <c r="AM232" s="11">
        <f>IF(C232="","",MAX(N(L232),N(O232))-N(AL232))</f>
        <v/>
      </c>
      <c r="AN232" s="43">
        <f>IFERROR(IF(MAX(N(L232),N(O232))=0,"",AM232/MAX(N(L232),N(O232))),"")</f>
        <v/>
      </c>
      <c r="AO232" s="41" t="n"/>
      <c r="AP232" s="41" t="n"/>
      <c r="AQ232" s="41" t="n"/>
      <c r="AR232" s="41" t="n"/>
      <c r="AS232" s="41" t="n"/>
      <c r="AT232" s="37" t="n"/>
      <c r="AU232" s="10" t="inlineStr">
        <is>
          <t>PRD-0228</t>
        </is>
      </c>
    </row>
    <row r="233">
      <c r="A233" s="16">
        <f>IF($C233="","",IFERROR(IF(INDEX(tbl_Finance[Latest Invoice Date],MATCH($AU233,tbl_Finance[Row ID],0))="","",INDEX(tbl_Finance[Latest Invoice Date],MATCH($AU233,tbl_Finance[Row ID],0))),""))</f>
        <v/>
      </c>
      <c r="B233" s="10">
        <f>IF($C233="","",IFERROR(INDEX(tbl_Finance[Invoice Numbers],MATCH($AU233,tbl_Finance[Row ID],0))&amp;"",""))</f>
        <v/>
      </c>
      <c r="C233" s="37" t="n"/>
      <c r="D233" s="10">
        <f>IF($C233="","",IF(COUNTIF(lst_Jobs,$C233&amp;"")&gt;0,"OK","CHECK"))</f>
        <v/>
      </c>
      <c r="E233" s="10">
        <f>IF($C233="","",IFERROR(INDEX(lst_JobName,MATCH($C233&amp;"",lst_Jobs,0)),""))</f>
        <v/>
      </c>
      <c r="F233" s="37" t="n"/>
      <c r="G233" s="37" t="n"/>
      <c r="H233" s="37" t="n"/>
      <c r="I233" s="37" t="n"/>
      <c r="J233" s="37" t="n"/>
      <c r="K233" s="38">
        <f>IF($C233="","",IFERROR(N(INDEX(tbl_Finance[Invoice Count],MATCH($AU233,tbl_Finance[Row ID],0))),""))</f>
        <v/>
      </c>
      <c r="L233" s="11">
        <f>IF($C233="","",IFERROR(N(INDEX(tbl_Finance[Xero Invoiced Ex GST],MATCH($AU233,tbl_Finance[Row ID],0))),""))</f>
        <v/>
      </c>
      <c r="M233" s="10">
        <f>IF($C233="","",IFERROR(INDEX(tbl_Finance[Compare],MATCH($AU233,tbl_Finance[Row ID],0))&amp;"",""))</f>
        <v/>
      </c>
      <c r="N233" s="11">
        <f>IF($C233="","",MAX(0,N(O233)-N(L233)))</f>
        <v/>
      </c>
      <c r="O233" s="39" t="n"/>
      <c r="P233" s="40">
        <f>IF($C233="","",IF((IF(F233="",", Client","")&amp;IF(G233="",", Description","")&amp;IF(H233="",", Cost Centre","")&amp;IF(I233="",", Invoice Type","")&amp;IF(J233="",", Tax Code","")&amp;IF(O233="",", Expected Revenue","")&amp;IF(COUNTIF(tbl_Finance[Job Number],$C233&amp;"")&gt;1,", Job number used twice",""))="","Complete","Fix: "&amp;MID(IF(F233="",", Client","")&amp;IF(G233="",", Description","")&amp;IF(H233="",", Cost Centre","")&amp;IF(I233="",", Invoice Type","")&amp;IF(J233="",", Tax Code","")&amp;IF(O233="",", Expected Revenue","")&amp;IF(COUNTIF(tbl_Finance[Job Number],$C233&amp;"")&gt;1,", Job number used twice",""),3,300)))</f>
        <v/>
      </c>
      <c r="Q233" s="10">
        <f>IF($C233="","",IF(H233="","(no cost centre)",H233&amp;" - GL "&amp;IFERROR(INDEX(lst_CCtoGL,MATCH(H233,lst_CCforGL,0)),"?")))</f>
        <v/>
      </c>
      <c r="R233" s="11">
        <f>IF($C233="","",IFERROR(N(INDEX(tbl_Finance[Inc GST],MATCH($AU233,tbl_Finance[Row ID],0))),""))</f>
        <v/>
      </c>
      <c r="S233" s="37" t="n"/>
      <c r="T233" s="37" t="n"/>
      <c r="U233" s="37" t="n"/>
      <c r="V233" s="42" t="n"/>
      <c r="W233" s="37" t="n"/>
      <c r="X233" s="10">
        <f>IF(W233="","",IF(AND(LEFT(W233,4)&lt;&gt;"http",set_RMSBase=""),"",HYPERLINK(IF(LEFT(W233,4)="http",W233,set_RMSBase&amp;W233),"Open in RMS")))</f>
        <v/>
      </c>
      <c r="Y233" s="37" t="n"/>
      <c r="Z233" s="10">
        <f>IF(Y233="","",HYPERLINK(IF(LEFT(Y233,4)="http",Y233,set_QwilrBase&amp;Y233),"Open quote"))</f>
        <v/>
      </c>
      <c r="AA233" s="10">
        <f>IF(C233="","",C233)</f>
        <v/>
      </c>
      <c r="AB233" s="37" t="n"/>
      <c r="AC233" s="39" t="n"/>
      <c r="AD233" s="11">
        <f>IF(C233="","",N(L233)+N(AC233))</f>
        <v/>
      </c>
      <c r="AE233" s="43">
        <f>IFERROR(IF(N(AC233)=0,"",AC233/AD233),"")</f>
        <v/>
      </c>
      <c r="AF233" s="39" t="n"/>
      <c r="AG233" s="39" t="n"/>
      <c r="AH233" s="39" t="n"/>
      <c r="AI233" s="39" t="n"/>
      <c r="AJ233" s="11">
        <f>IF(C233="","",IF(H233="VIDEO",N(L233),0))</f>
        <v/>
      </c>
      <c r="AK233" s="43">
        <f>IFERROR(IF(N(L233)=0,"",AJ233/L233),"")</f>
        <v/>
      </c>
      <c r="AL233" s="11">
        <f>IF(C233="","",N(AF233)+N(AG233)+N(AH233)+N(AI233))</f>
        <v/>
      </c>
      <c r="AM233" s="11">
        <f>IF(C233="","",MAX(N(L233),N(O233))-N(AL233))</f>
        <v/>
      </c>
      <c r="AN233" s="43">
        <f>IFERROR(IF(MAX(N(L233),N(O233))=0,"",AM233/MAX(N(L233),N(O233))),"")</f>
        <v/>
      </c>
      <c r="AO233" s="41" t="n"/>
      <c r="AP233" s="41" t="n"/>
      <c r="AQ233" s="41" t="n"/>
      <c r="AR233" s="41" t="n"/>
      <c r="AS233" s="41" t="n"/>
      <c r="AT233" s="37" t="n"/>
      <c r="AU233" s="10" t="inlineStr">
        <is>
          <t>PRD-0229</t>
        </is>
      </c>
    </row>
    <row r="234">
      <c r="A234" s="16">
        <f>IF($C234="","",IFERROR(IF(INDEX(tbl_Finance[Latest Invoice Date],MATCH($AU234,tbl_Finance[Row ID],0))="","",INDEX(tbl_Finance[Latest Invoice Date],MATCH($AU234,tbl_Finance[Row ID],0))),""))</f>
        <v/>
      </c>
      <c r="B234" s="10">
        <f>IF($C234="","",IFERROR(INDEX(tbl_Finance[Invoice Numbers],MATCH($AU234,tbl_Finance[Row ID],0))&amp;"",""))</f>
        <v/>
      </c>
      <c r="C234" s="37" t="n"/>
      <c r="D234" s="10">
        <f>IF($C234="","",IF(COUNTIF(lst_Jobs,$C234&amp;"")&gt;0,"OK","CHECK"))</f>
        <v/>
      </c>
      <c r="E234" s="10">
        <f>IF($C234="","",IFERROR(INDEX(lst_JobName,MATCH($C234&amp;"",lst_Jobs,0)),""))</f>
        <v/>
      </c>
      <c r="F234" s="37" t="n"/>
      <c r="G234" s="37" t="n"/>
      <c r="H234" s="37" t="n"/>
      <c r="I234" s="37" t="n"/>
      <c r="J234" s="37" t="n"/>
      <c r="K234" s="38">
        <f>IF($C234="","",IFERROR(N(INDEX(tbl_Finance[Invoice Count],MATCH($AU234,tbl_Finance[Row ID],0))),""))</f>
        <v/>
      </c>
      <c r="L234" s="11">
        <f>IF($C234="","",IFERROR(N(INDEX(tbl_Finance[Xero Invoiced Ex GST],MATCH($AU234,tbl_Finance[Row ID],0))),""))</f>
        <v/>
      </c>
      <c r="M234" s="10">
        <f>IF($C234="","",IFERROR(INDEX(tbl_Finance[Compare],MATCH($AU234,tbl_Finance[Row ID],0))&amp;"",""))</f>
        <v/>
      </c>
      <c r="N234" s="11">
        <f>IF($C234="","",MAX(0,N(O234)-N(L234)))</f>
        <v/>
      </c>
      <c r="O234" s="39" t="n"/>
      <c r="P234" s="40">
        <f>IF($C234="","",IF((IF(F234="",", Client","")&amp;IF(G234="",", Description","")&amp;IF(H234="",", Cost Centre","")&amp;IF(I234="",", Invoice Type","")&amp;IF(J234="",", Tax Code","")&amp;IF(O234="",", Expected Revenue","")&amp;IF(COUNTIF(tbl_Finance[Job Number],$C234&amp;"")&gt;1,", Job number used twice",""))="","Complete","Fix: "&amp;MID(IF(F234="",", Client","")&amp;IF(G234="",", Description","")&amp;IF(H234="",", Cost Centre","")&amp;IF(I234="",", Invoice Type","")&amp;IF(J234="",", Tax Code","")&amp;IF(O234="",", Expected Revenue","")&amp;IF(COUNTIF(tbl_Finance[Job Number],$C234&amp;"")&gt;1,", Job number used twice",""),3,300)))</f>
        <v/>
      </c>
      <c r="Q234" s="10">
        <f>IF($C234="","",IF(H234="","(no cost centre)",H234&amp;" - GL "&amp;IFERROR(INDEX(lst_CCtoGL,MATCH(H234,lst_CCforGL,0)),"?")))</f>
        <v/>
      </c>
      <c r="R234" s="11">
        <f>IF($C234="","",IFERROR(N(INDEX(tbl_Finance[Inc GST],MATCH($AU234,tbl_Finance[Row ID],0))),""))</f>
        <v/>
      </c>
      <c r="S234" s="37" t="n"/>
      <c r="T234" s="37" t="n"/>
      <c r="U234" s="37" t="n"/>
      <c r="V234" s="42" t="n"/>
      <c r="W234" s="37" t="n"/>
      <c r="X234" s="10">
        <f>IF(W234="","",IF(AND(LEFT(W234,4)&lt;&gt;"http",set_RMSBase=""),"",HYPERLINK(IF(LEFT(W234,4)="http",W234,set_RMSBase&amp;W234),"Open in RMS")))</f>
        <v/>
      </c>
      <c r="Y234" s="37" t="n"/>
      <c r="Z234" s="10">
        <f>IF(Y234="","",HYPERLINK(IF(LEFT(Y234,4)="http",Y234,set_QwilrBase&amp;Y234),"Open quote"))</f>
        <v/>
      </c>
      <c r="AA234" s="10">
        <f>IF(C234="","",C234)</f>
        <v/>
      </c>
      <c r="AB234" s="37" t="n"/>
      <c r="AC234" s="39" t="n"/>
      <c r="AD234" s="11">
        <f>IF(C234="","",N(L234)+N(AC234))</f>
        <v/>
      </c>
      <c r="AE234" s="43">
        <f>IFERROR(IF(N(AC234)=0,"",AC234/AD234),"")</f>
        <v/>
      </c>
      <c r="AF234" s="39" t="n"/>
      <c r="AG234" s="39" t="n"/>
      <c r="AH234" s="39" t="n"/>
      <c r="AI234" s="39" t="n"/>
      <c r="AJ234" s="11">
        <f>IF(C234="","",IF(H234="VIDEO",N(L234),0))</f>
        <v/>
      </c>
      <c r="AK234" s="43">
        <f>IFERROR(IF(N(L234)=0,"",AJ234/L234),"")</f>
        <v/>
      </c>
      <c r="AL234" s="11">
        <f>IF(C234="","",N(AF234)+N(AG234)+N(AH234)+N(AI234))</f>
        <v/>
      </c>
      <c r="AM234" s="11">
        <f>IF(C234="","",MAX(N(L234),N(O234))-N(AL234))</f>
        <v/>
      </c>
      <c r="AN234" s="43">
        <f>IFERROR(IF(MAX(N(L234),N(O234))=0,"",AM234/MAX(N(L234),N(O234))),"")</f>
        <v/>
      </c>
      <c r="AO234" s="41" t="n"/>
      <c r="AP234" s="41" t="n"/>
      <c r="AQ234" s="41" t="n"/>
      <c r="AR234" s="41" t="n"/>
      <c r="AS234" s="41" t="n"/>
      <c r="AT234" s="37" t="n"/>
      <c r="AU234" s="10" t="inlineStr">
        <is>
          <t>PRD-0230</t>
        </is>
      </c>
    </row>
    <row r="235">
      <c r="A235" s="16">
        <f>IF($C235="","",IFERROR(IF(INDEX(tbl_Finance[Latest Invoice Date],MATCH($AU235,tbl_Finance[Row ID],0))="","",INDEX(tbl_Finance[Latest Invoice Date],MATCH($AU235,tbl_Finance[Row ID],0))),""))</f>
        <v/>
      </c>
      <c r="B235" s="10">
        <f>IF($C235="","",IFERROR(INDEX(tbl_Finance[Invoice Numbers],MATCH($AU235,tbl_Finance[Row ID],0))&amp;"",""))</f>
        <v/>
      </c>
      <c r="C235" s="37" t="n"/>
      <c r="D235" s="10">
        <f>IF($C235="","",IF(COUNTIF(lst_Jobs,$C235&amp;"")&gt;0,"OK","CHECK"))</f>
        <v/>
      </c>
      <c r="E235" s="10">
        <f>IF($C235="","",IFERROR(INDEX(lst_JobName,MATCH($C235&amp;"",lst_Jobs,0)),""))</f>
        <v/>
      </c>
      <c r="F235" s="37" t="n"/>
      <c r="G235" s="37" t="n"/>
      <c r="H235" s="37" t="n"/>
      <c r="I235" s="37" t="n"/>
      <c r="J235" s="37" t="n"/>
      <c r="K235" s="38">
        <f>IF($C235="","",IFERROR(N(INDEX(tbl_Finance[Invoice Count],MATCH($AU235,tbl_Finance[Row ID],0))),""))</f>
        <v/>
      </c>
      <c r="L235" s="11">
        <f>IF($C235="","",IFERROR(N(INDEX(tbl_Finance[Xero Invoiced Ex GST],MATCH($AU235,tbl_Finance[Row ID],0))),""))</f>
        <v/>
      </c>
      <c r="M235" s="10">
        <f>IF($C235="","",IFERROR(INDEX(tbl_Finance[Compare],MATCH($AU235,tbl_Finance[Row ID],0))&amp;"",""))</f>
        <v/>
      </c>
      <c r="N235" s="11">
        <f>IF($C235="","",MAX(0,N(O235)-N(L235)))</f>
        <v/>
      </c>
      <c r="O235" s="39" t="n"/>
      <c r="P235" s="40">
        <f>IF($C235="","",IF((IF(F235="",", Client","")&amp;IF(G235="",", Description","")&amp;IF(H235="",", Cost Centre","")&amp;IF(I235="",", Invoice Type","")&amp;IF(J235="",", Tax Code","")&amp;IF(O235="",", Expected Revenue","")&amp;IF(COUNTIF(tbl_Finance[Job Number],$C235&amp;"")&gt;1,", Job number used twice",""))="","Complete","Fix: "&amp;MID(IF(F235="",", Client","")&amp;IF(G235="",", Description","")&amp;IF(H235="",", Cost Centre","")&amp;IF(I235="",", Invoice Type","")&amp;IF(J235="",", Tax Code","")&amp;IF(O235="",", Expected Revenue","")&amp;IF(COUNTIF(tbl_Finance[Job Number],$C235&amp;"")&gt;1,", Job number used twice",""),3,300)))</f>
        <v/>
      </c>
      <c r="Q235" s="10">
        <f>IF($C235="","",IF(H235="","(no cost centre)",H235&amp;" - GL "&amp;IFERROR(INDEX(lst_CCtoGL,MATCH(H235,lst_CCforGL,0)),"?")))</f>
        <v/>
      </c>
      <c r="R235" s="11">
        <f>IF($C235="","",IFERROR(N(INDEX(tbl_Finance[Inc GST],MATCH($AU235,tbl_Finance[Row ID],0))),""))</f>
        <v/>
      </c>
      <c r="S235" s="37" t="n"/>
      <c r="T235" s="37" t="n"/>
      <c r="U235" s="37" t="n"/>
      <c r="V235" s="42" t="n"/>
      <c r="W235" s="37" t="n"/>
      <c r="X235" s="10">
        <f>IF(W235="","",IF(AND(LEFT(W235,4)&lt;&gt;"http",set_RMSBase=""),"",HYPERLINK(IF(LEFT(W235,4)="http",W235,set_RMSBase&amp;W235),"Open in RMS")))</f>
        <v/>
      </c>
      <c r="Y235" s="37" t="n"/>
      <c r="Z235" s="10">
        <f>IF(Y235="","",HYPERLINK(IF(LEFT(Y235,4)="http",Y235,set_QwilrBase&amp;Y235),"Open quote"))</f>
        <v/>
      </c>
      <c r="AA235" s="10">
        <f>IF(C235="","",C235)</f>
        <v/>
      </c>
      <c r="AB235" s="37" t="n"/>
      <c r="AC235" s="39" t="n"/>
      <c r="AD235" s="11">
        <f>IF(C235="","",N(L235)+N(AC235))</f>
        <v/>
      </c>
      <c r="AE235" s="43">
        <f>IFERROR(IF(N(AC235)=0,"",AC235/AD235),"")</f>
        <v/>
      </c>
      <c r="AF235" s="39" t="n"/>
      <c r="AG235" s="39" t="n"/>
      <c r="AH235" s="39" t="n"/>
      <c r="AI235" s="39" t="n"/>
      <c r="AJ235" s="11">
        <f>IF(C235="","",IF(H235="VIDEO",N(L235),0))</f>
        <v/>
      </c>
      <c r="AK235" s="43">
        <f>IFERROR(IF(N(L235)=0,"",AJ235/L235),"")</f>
        <v/>
      </c>
      <c r="AL235" s="11">
        <f>IF(C235="","",N(AF235)+N(AG235)+N(AH235)+N(AI235))</f>
        <v/>
      </c>
      <c r="AM235" s="11">
        <f>IF(C235="","",MAX(N(L235),N(O235))-N(AL235))</f>
        <v/>
      </c>
      <c r="AN235" s="43">
        <f>IFERROR(IF(MAX(N(L235),N(O235))=0,"",AM235/MAX(N(L235),N(O235))),"")</f>
        <v/>
      </c>
      <c r="AO235" s="41" t="n"/>
      <c r="AP235" s="41" t="n"/>
      <c r="AQ235" s="41" t="n"/>
      <c r="AR235" s="41" t="n"/>
      <c r="AS235" s="41" t="n"/>
      <c r="AT235" s="37" t="n"/>
      <c r="AU235" s="10" t="inlineStr">
        <is>
          <t>PRD-0231</t>
        </is>
      </c>
    </row>
    <row r="236">
      <c r="A236" s="16">
        <f>IF($C236="","",IFERROR(IF(INDEX(tbl_Finance[Latest Invoice Date],MATCH($AU236,tbl_Finance[Row ID],0))="","",INDEX(tbl_Finance[Latest Invoice Date],MATCH($AU236,tbl_Finance[Row ID],0))),""))</f>
        <v/>
      </c>
      <c r="B236" s="10">
        <f>IF($C236="","",IFERROR(INDEX(tbl_Finance[Invoice Numbers],MATCH($AU236,tbl_Finance[Row ID],0))&amp;"",""))</f>
        <v/>
      </c>
      <c r="C236" s="37" t="n"/>
      <c r="D236" s="10">
        <f>IF($C236="","",IF(COUNTIF(lst_Jobs,$C236&amp;"")&gt;0,"OK","CHECK"))</f>
        <v/>
      </c>
      <c r="E236" s="10">
        <f>IF($C236="","",IFERROR(INDEX(lst_JobName,MATCH($C236&amp;"",lst_Jobs,0)),""))</f>
        <v/>
      </c>
      <c r="F236" s="37" t="n"/>
      <c r="G236" s="37" t="n"/>
      <c r="H236" s="37" t="n"/>
      <c r="I236" s="37" t="n"/>
      <c r="J236" s="37" t="n"/>
      <c r="K236" s="38">
        <f>IF($C236="","",IFERROR(N(INDEX(tbl_Finance[Invoice Count],MATCH($AU236,tbl_Finance[Row ID],0))),""))</f>
        <v/>
      </c>
      <c r="L236" s="11">
        <f>IF($C236="","",IFERROR(N(INDEX(tbl_Finance[Xero Invoiced Ex GST],MATCH($AU236,tbl_Finance[Row ID],0))),""))</f>
        <v/>
      </c>
      <c r="M236" s="10">
        <f>IF($C236="","",IFERROR(INDEX(tbl_Finance[Compare],MATCH($AU236,tbl_Finance[Row ID],0))&amp;"",""))</f>
        <v/>
      </c>
      <c r="N236" s="11">
        <f>IF($C236="","",MAX(0,N(O236)-N(L236)))</f>
        <v/>
      </c>
      <c r="O236" s="39" t="n"/>
      <c r="P236" s="40">
        <f>IF($C236="","",IF((IF(F236="",", Client","")&amp;IF(G236="",", Description","")&amp;IF(H236="",", Cost Centre","")&amp;IF(I236="",", Invoice Type","")&amp;IF(J236="",", Tax Code","")&amp;IF(O236="",", Expected Revenue","")&amp;IF(COUNTIF(tbl_Finance[Job Number],$C236&amp;"")&gt;1,", Job number used twice",""))="","Complete","Fix: "&amp;MID(IF(F236="",", Client","")&amp;IF(G236="",", Description","")&amp;IF(H236="",", Cost Centre","")&amp;IF(I236="",", Invoice Type","")&amp;IF(J236="",", Tax Code","")&amp;IF(O236="",", Expected Revenue","")&amp;IF(COUNTIF(tbl_Finance[Job Number],$C236&amp;"")&gt;1,", Job number used twice",""),3,300)))</f>
        <v/>
      </c>
      <c r="Q236" s="10">
        <f>IF($C236="","",IF(H236="","(no cost centre)",H236&amp;" - GL "&amp;IFERROR(INDEX(lst_CCtoGL,MATCH(H236,lst_CCforGL,0)),"?")))</f>
        <v/>
      </c>
      <c r="R236" s="11">
        <f>IF($C236="","",IFERROR(N(INDEX(tbl_Finance[Inc GST],MATCH($AU236,tbl_Finance[Row ID],0))),""))</f>
        <v/>
      </c>
      <c r="S236" s="37" t="n"/>
      <c r="T236" s="37" t="n"/>
      <c r="U236" s="37" t="n"/>
      <c r="V236" s="42" t="n"/>
      <c r="W236" s="37" t="n"/>
      <c r="X236" s="10">
        <f>IF(W236="","",IF(AND(LEFT(W236,4)&lt;&gt;"http",set_RMSBase=""),"",HYPERLINK(IF(LEFT(W236,4)="http",W236,set_RMSBase&amp;W236),"Open in RMS")))</f>
        <v/>
      </c>
      <c r="Y236" s="37" t="n"/>
      <c r="Z236" s="10">
        <f>IF(Y236="","",HYPERLINK(IF(LEFT(Y236,4)="http",Y236,set_QwilrBase&amp;Y236),"Open quote"))</f>
        <v/>
      </c>
      <c r="AA236" s="10">
        <f>IF(C236="","",C236)</f>
        <v/>
      </c>
      <c r="AB236" s="37" t="n"/>
      <c r="AC236" s="39" t="n"/>
      <c r="AD236" s="11">
        <f>IF(C236="","",N(L236)+N(AC236))</f>
        <v/>
      </c>
      <c r="AE236" s="43">
        <f>IFERROR(IF(N(AC236)=0,"",AC236/AD236),"")</f>
        <v/>
      </c>
      <c r="AF236" s="39" t="n"/>
      <c r="AG236" s="39" t="n"/>
      <c r="AH236" s="39" t="n"/>
      <c r="AI236" s="39" t="n"/>
      <c r="AJ236" s="11">
        <f>IF(C236="","",IF(H236="VIDEO",N(L236),0))</f>
        <v/>
      </c>
      <c r="AK236" s="43">
        <f>IFERROR(IF(N(L236)=0,"",AJ236/L236),"")</f>
        <v/>
      </c>
      <c r="AL236" s="11">
        <f>IF(C236="","",N(AF236)+N(AG236)+N(AH236)+N(AI236))</f>
        <v/>
      </c>
      <c r="AM236" s="11">
        <f>IF(C236="","",MAX(N(L236),N(O236))-N(AL236))</f>
        <v/>
      </c>
      <c r="AN236" s="43">
        <f>IFERROR(IF(MAX(N(L236),N(O236))=0,"",AM236/MAX(N(L236),N(O236))),"")</f>
        <v/>
      </c>
      <c r="AO236" s="41" t="n"/>
      <c r="AP236" s="41" t="n"/>
      <c r="AQ236" s="41" t="n"/>
      <c r="AR236" s="41" t="n"/>
      <c r="AS236" s="41" t="n"/>
      <c r="AT236" s="37" t="n"/>
      <c r="AU236" s="10" t="inlineStr">
        <is>
          <t>PRD-0232</t>
        </is>
      </c>
    </row>
    <row r="237">
      <c r="A237" s="16">
        <f>IF($C237="","",IFERROR(IF(INDEX(tbl_Finance[Latest Invoice Date],MATCH($AU237,tbl_Finance[Row ID],0))="","",INDEX(tbl_Finance[Latest Invoice Date],MATCH($AU237,tbl_Finance[Row ID],0))),""))</f>
        <v/>
      </c>
      <c r="B237" s="10">
        <f>IF($C237="","",IFERROR(INDEX(tbl_Finance[Invoice Numbers],MATCH($AU237,tbl_Finance[Row ID],0))&amp;"",""))</f>
        <v/>
      </c>
      <c r="C237" s="37" t="n"/>
      <c r="D237" s="10">
        <f>IF($C237="","",IF(COUNTIF(lst_Jobs,$C237&amp;"")&gt;0,"OK","CHECK"))</f>
        <v/>
      </c>
      <c r="E237" s="10">
        <f>IF($C237="","",IFERROR(INDEX(lst_JobName,MATCH($C237&amp;"",lst_Jobs,0)),""))</f>
        <v/>
      </c>
      <c r="F237" s="37" t="n"/>
      <c r="G237" s="37" t="n"/>
      <c r="H237" s="37" t="n"/>
      <c r="I237" s="37" t="n"/>
      <c r="J237" s="37" t="n"/>
      <c r="K237" s="38">
        <f>IF($C237="","",IFERROR(N(INDEX(tbl_Finance[Invoice Count],MATCH($AU237,tbl_Finance[Row ID],0))),""))</f>
        <v/>
      </c>
      <c r="L237" s="11">
        <f>IF($C237="","",IFERROR(N(INDEX(tbl_Finance[Xero Invoiced Ex GST],MATCH($AU237,tbl_Finance[Row ID],0))),""))</f>
        <v/>
      </c>
      <c r="M237" s="10">
        <f>IF($C237="","",IFERROR(INDEX(tbl_Finance[Compare],MATCH($AU237,tbl_Finance[Row ID],0))&amp;"",""))</f>
        <v/>
      </c>
      <c r="N237" s="11">
        <f>IF($C237="","",MAX(0,N(O237)-N(L237)))</f>
        <v/>
      </c>
      <c r="O237" s="39" t="n"/>
      <c r="P237" s="40">
        <f>IF($C237="","",IF((IF(F237="",", Client","")&amp;IF(G237="",", Description","")&amp;IF(H237="",", Cost Centre","")&amp;IF(I237="",", Invoice Type","")&amp;IF(J237="",", Tax Code","")&amp;IF(O237="",", Expected Revenue","")&amp;IF(COUNTIF(tbl_Finance[Job Number],$C237&amp;"")&gt;1,", Job number used twice",""))="","Complete","Fix: "&amp;MID(IF(F237="",", Client","")&amp;IF(G237="",", Description","")&amp;IF(H237="",", Cost Centre","")&amp;IF(I237="",", Invoice Type","")&amp;IF(J237="",", Tax Code","")&amp;IF(O237="",", Expected Revenue","")&amp;IF(COUNTIF(tbl_Finance[Job Number],$C237&amp;"")&gt;1,", Job number used twice",""),3,300)))</f>
        <v/>
      </c>
      <c r="Q237" s="10">
        <f>IF($C237="","",IF(H237="","(no cost centre)",H237&amp;" - GL "&amp;IFERROR(INDEX(lst_CCtoGL,MATCH(H237,lst_CCforGL,0)),"?")))</f>
        <v/>
      </c>
      <c r="R237" s="11">
        <f>IF($C237="","",IFERROR(N(INDEX(tbl_Finance[Inc GST],MATCH($AU237,tbl_Finance[Row ID],0))),""))</f>
        <v/>
      </c>
      <c r="S237" s="37" t="n"/>
      <c r="T237" s="37" t="n"/>
      <c r="U237" s="37" t="n"/>
      <c r="V237" s="42" t="n"/>
      <c r="W237" s="37" t="n"/>
      <c r="X237" s="10">
        <f>IF(W237="","",IF(AND(LEFT(W237,4)&lt;&gt;"http",set_RMSBase=""),"",HYPERLINK(IF(LEFT(W237,4)="http",W237,set_RMSBase&amp;W237),"Open in RMS")))</f>
        <v/>
      </c>
      <c r="Y237" s="37" t="n"/>
      <c r="Z237" s="10">
        <f>IF(Y237="","",HYPERLINK(IF(LEFT(Y237,4)="http",Y237,set_QwilrBase&amp;Y237),"Open quote"))</f>
        <v/>
      </c>
      <c r="AA237" s="10">
        <f>IF(C237="","",C237)</f>
        <v/>
      </c>
      <c r="AB237" s="37" t="n"/>
      <c r="AC237" s="39" t="n"/>
      <c r="AD237" s="11">
        <f>IF(C237="","",N(L237)+N(AC237))</f>
        <v/>
      </c>
      <c r="AE237" s="43">
        <f>IFERROR(IF(N(AC237)=0,"",AC237/AD237),"")</f>
        <v/>
      </c>
      <c r="AF237" s="39" t="n"/>
      <c r="AG237" s="39" t="n"/>
      <c r="AH237" s="39" t="n"/>
      <c r="AI237" s="39" t="n"/>
      <c r="AJ237" s="11">
        <f>IF(C237="","",IF(H237="VIDEO",N(L237),0))</f>
        <v/>
      </c>
      <c r="AK237" s="43">
        <f>IFERROR(IF(N(L237)=0,"",AJ237/L237),"")</f>
        <v/>
      </c>
      <c r="AL237" s="11">
        <f>IF(C237="","",N(AF237)+N(AG237)+N(AH237)+N(AI237))</f>
        <v/>
      </c>
      <c r="AM237" s="11">
        <f>IF(C237="","",MAX(N(L237),N(O237))-N(AL237))</f>
        <v/>
      </c>
      <c r="AN237" s="43">
        <f>IFERROR(IF(MAX(N(L237),N(O237))=0,"",AM237/MAX(N(L237),N(O237))),"")</f>
        <v/>
      </c>
      <c r="AO237" s="41" t="n"/>
      <c r="AP237" s="41" t="n"/>
      <c r="AQ237" s="41" t="n"/>
      <c r="AR237" s="41" t="n"/>
      <c r="AS237" s="41" t="n"/>
      <c r="AT237" s="37" t="n"/>
      <c r="AU237" s="10" t="inlineStr">
        <is>
          <t>PRD-0233</t>
        </is>
      </c>
    </row>
    <row r="238">
      <c r="A238" s="16">
        <f>IF($C238="","",IFERROR(IF(INDEX(tbl_Finance[Latest Invoice Date],MATCH($AU238,tbl_Finance[Row ID],0))="","",INDEX(tbl_Finance[Latest Invoice Date],MATCH($AU238,tbl_Finance[Row ID],0))),""))</f>
        <v/>
      </c>
      <c r="B238" s="10">
        <f>IF($C238="","",IFERROR(INDEX(tbl_Finance[Invoice Numbers],MATCH($AU238,tbl_Finance[Row ID],0))&amp;"",""))</f>
        <v/>
      </c>
      <c r="C238" s="37" t="n"/>
      <c r="D238" s="10">
        <f>IF($C238="","",IF(COUNTIF(lst_Jobs,$C238&amp;"")&gt;0,"OK","CHECK"))</f>
        <v/>
      </c>
      <c r="E238" s="10">
        <f>IF($C238="","",IFERROR(INDEX(lst_JobName,MATCH($C238&amp;"",lst_Jobs,0)),""))</f>
        <v/>
      </c>
      <c r="F238" s="37" t="n"/>
      <c r="G238" s="37" t="n"/>
      <c r="H238" s="37" t="n"/>
      <c r="I238" s="37" t="n"/>
      <c r="J238" s="37" t="n"/>
      <c r="K238" s="38">
        <f>IF($C238="","",IFERROR(N(INDEX(tbl_Finance[Invoice Count],MATCH($AU238,tbl_Finance[Row ID],0))),""))</f>
        <v/>
      </c>
      <c r="L238" s="11">
        <f>IF($C238="","",IFERROR(N(INDEX(tbl_Finance[Xero Invoiced Ex GST],MATCH($AU238,tbl_Finance[Row ID],0))),""))</f>
        <v/>
      </c>
      <c r="M238" s="10">
        <f>IF($C238="","",IFERROR(INDEX(tbl_Finance[Compare],MATCH($AU238,tbl_Finance[Row ID],0))&amp;"",""))</f>
        <v/>
      </c>
      <c r="N238" s="11">
        <f>IF($C238="","",MAX(0,N(O238)-N(L238)))</f>
        <v/>
      </c>
      <c r="O238" s="39" t="n"/>
      <c r="P238" s="40">
        <f>IF($C238="","",IF((IF(F238="",", Client","")&amp;IF(G238="",", Description","")&amp;IF(H238="",", Cost Centre","")&amp;IF(I238="",", Invoice Type","")&amp;IF(J238="",", Tax Code","")&amp;IF(O238="",", Expected Revenue","")&amp;IF(COUNTIF(tbl_Finance[Job Number],$C238&amp;"")&gt;1,", Job number used twice",""))="","Complete","Fix: "&amp;MID(IF(F238="",", Client","")&amp;IF(G238="",", Description","")&amp;IF(H238="",", Cost Centre","")&amp;IF(I238="",", Invoice Type","")&amp;IF(J238="",", Tax Code","")&amp;IF(O238="",", Expected Revenue","")&amp;IF(COUNTIF(tbl_Finance[Job Number],$C238&amp;"")&gt;1,", Job number used twice",""),3,300)))</f>
        <v/>
      </c>
      <c r="Q238" s="10">
        <f>IF($C238="","",IF(H238="","(no cost centre)",H238&amp;" - GL "&amp;IFERROR(INDEX(lst_CCtoGL,MATCH(H238,lst_CCforGL,0)),"?")))</f>
        <v/>
      </c>
      <c r="R238" s="11">
        <f>IF($C238="","",IFERROR(N(INDEX(tbl_Finance[Inc GST],MATCH($AU238,tbl_Finance[Row ID],0))),""))</f>
        <v/>
      </c>
      <c r="S238" s="37" t="n"/>
      <c r="T238" s="37" t="n"/>
      <c r="U238" s="37" t="n"/>
      <c r="V238" s="42" t="n"/>
      <c r="W238" s="37" t="n"/>
      <c r="X238" s="10">
        <f>IF(W238="","",IF(AND(LEFT(W238,4)&lt;&gt;"http",set_RMSBase=""),"",HYPERLINK(IF(LEFT(W238,4)="http",W238,set_RMSBase&amp;W238),"Open in RMS")))</f>
        <v/>
      </c>
      <c r="Y238" s="37" t="n"/>
      <c r="Z238" s="10">
        <f>IF(Y238="","",HYPERLINK(IF(LEFT(Y238,4)="http",Y238,set_QwilrBase&amp;Y238),"Open quote"))</f>
        <v/>
      </c>
      <c r="AA238" s="10">
        <f>IF(C238="","",C238)</f>
        <v/>
      </c>
      <c r="AB238" s="37" t="n"/>
      <c r="AC238" s="39" t="n"/>
      <c r="AD238" s="11">
        <f>IF(C238="","",N(L238)+N(AC238))</f>
        <v/>
      </c>
      <c r="AE238" s="43">
        <f>IFERROR(IF(N(AC238)=0,"",AC238/AD238),"")</f>
        <v/>
      </c>
      <c r="AF238" s="39" t="n"/>
      <c r="AG238" s="39" t="n"/>
      <c r="AH238" s="39" t="n"/>
      <c r="AI238" s="39" t="n"/>
      <c r="AJ238" s="11">
        <f>IF(C238="","",IF(H238="VIDEO",N(L238),0))</f>
        <v/>
      </c>
      <c r="AK238" s="43">
        <f>IFERROR(IF(N(L238)=0,"",AJ238/L238),"")</f>
        <v/>
      </c>
      <c r="AL238" s="11">
        <f>IF(C238="","",N(AF238)+N(AG238)+N(AH238)+N(AI238))</f>
        <v/>
      </c>
      <c r="AM238" s="11">
        <f>IF(C238="","",MAX(N(L238),N(O238))-N(AL238))</f>
        <v/>
      </c>
      <c r="AN238" s="43">
        <f>IFERROR(IF(MAX(N(L238),N(O238))=0,"",AM238/MAX(N(L238),N(O238))),"")</f>
        <v/>
      </c>
      <c r="AO238" s="41" t="n"/>
      <c r="AP238" s="41" t="n"/>
      <c r="AQ238" s="41" t="n"/>
      <c r="AR238" s="41" t="n"/>
      <c r="AS238" s="41" t="n"/>
      <c r="AT238" s="37" t="n"/>
      <c r="AU238" s="10" t="inlineStr">
        <is>
          <t>PRD-0234</t>
        </is>
      </c>
    </row>
    <row r="239">
      <c r="A239" s="16">
        <f>IF($C239="","",IFERROR(IF(INDEX(tbl_Finance[Latest Invoice Date],MATCH($AU239,tbl_Finance[Row ID],0))="","",INDEX(tbl_Finance[Latest Invoice Date],MATCH($AU239,tbl_Finance[Row ID],0))),""))</f>
        <v/>
      </c>
      <c r="B239" s="10">
        <f>IF($C239="","",IFERROR(INDEX(tbl_Finance[Invoice Numbers],MATCH($AU239,tbl_Finance[Row ID],0))&amp;"",""))</f>
        <v/>
      </c>
      <c r="C239" s="37" t="n"/>
      <c r="D239" s="10">
        <f>IF($C239="","",IF(COUNTIF(lst_Jobs,$C239&amp;"")&gt;0,"OK","CHECK"))</f>
        <v/>
      </c>
      <c r="E239" s="10">
        <f>IF($C239="","",IFERROR(INDEX(lst_JobName,MATCH($C239&amp;"",lst_Jobs,0)),""))</f>
        <v/>
      </c>
      <c r="F239" s="37" t="n"/>
      <c r="G239" s="37" t="n"/>
      <c r="H239" s="37" t="n"/>
      <c r="I239" s="37" t="n"/>
      <c r="J239" s="37" t="n"/>
      <c r="K239" s="38">
        <f>IF($C239="","",IFERROR(N(INDEX(tbl_Finance[Invoice Count],MATCH($AU239,tbl_Finance[Row ID],0))),""))</f>
        <v/>
      </c>
      <c r="L239" s="11">
        <f>IF($C239="","",IFERROR(N(INDEX(tbl_Finance[Xero Invoiced Ex GST],MATCH($AU239,tbl_Finance[Row ID],0))),""))</f>
        <v/>
      </c>
      <c r="M239" s="10">
        <f>IF($C239="","",IFERROR(INDEX(tbl_Finance[Compare],MATCH($AU239,tbl_Finance[Row ID],0))&amp;"",""))</f>
        <v/>
      </c>
      <c r="N239" s="11">
        <f>IF($C239="","",MAX(0,N(O239)-N(L239)))</f>
        <v/>
      </c>
      <c r="O239" s="39" t="n"/>
      <c r="P239" s="40">
        <f>IF($C239="","",IF((IF(F239="",", Client","")&amp;IF(G239="",", Description","")&amp;IF(H239="",", Cost Centre","")&amp;IF(I239="",", Invoice Type","")&amp;IF(J239="",", Tax Code","")&amp;IF(O239="",", Expected Revenue","")&amp;IF(COUNTIF(tbl_Finance[Job Number],$C239&amp;"")&gt;1,", Job number used twice",""))="","Complete","Fix: "&amp;MID(IF(F239="",", Client","")&amp;IF(G239="",", Description","")&amp;IF(H239="",", Cost Centre","")&amp;IF(I239="",", Invoice Type","")&amp;IF(J239="",", Tax Code","")&amp;IF(O239="",", Expected Revenue","")&amp;IF(COUNTIF(tbl_Finance[Job Number],$C239&amp;"")&gt;1,", Job number used twice",""),3,300)))</f>
        <v/>
      </c>
      <c r="Q239" s="10">
        <f>IF($C239="","",IF(H239="","(no cost centre)",H239&amp;" - GL "&amp;IFERROR(INDEX(lst_CCtoGL,MATCH(H239,lst_CCforGL,0)),"?")))</f>
        <v/>
      </c>
      <c r="R239" s="11">
        <f>IF($C239="","",IFERROR(N(INDEX(tbl_Finance[Inc GST],MATCH($AU239,tbl_Finance[Row ID],0))),""))</f>
        <v/>
      </c>
      <c r="S239" s="37" t="n"/>
      <c r="T239" s="37" t="n"/>
      <c r="U239" s="37" t="n"/>
      <c r="V239" s="42" t="n"/>
      <c r="W239" s="37" t="n"/>
      <c r="X239" s="10">
        <f>IF(W239="","",IF(AND(LEFT(W239,4)&lt;&gt;"http",set_RMSBase=""),"",HYPERLINK(IF(LEFT(W239,4)="http",W239,set_RMSBase&amp;W239),"Open in RMS")))</f>
        <v/>
      </c>
      <c r="Y239" s="37" t="n"/>
      <c r="Z239" s="10">
        <f>IF(Y239="","",HYPERLINK(IF(LEFT(Y239,4)="http",Y239,set_QwilrBase&amp;Y239),"Open quote"))</f>
        <v/>
      </c>
      <c r="AA239" s="10">
        <f>IF(C239="","",C239)</f>
        <v/>
      </c>
      <c r="AB239" s="37" t="n"/>
      <c r="AC239" s="39" t="n"/>
      <c r="AD239" s="11">
        <f>IF(C239="","",N(L239)+N(AC239))</f>
        <v/>
      </c>
      <c r="AE239" s="43">
        <f>IFERROR(IF(N(AC239)=0,"",AC239/AD239),"")</f>
        <v/>
      </c>
      <c r="AF239" s="39" t="n"/>
      <c r="AG239" s="39" t="n"/>
      <c r="AH239" s="39" t="n"/>
      <c r="AI239" s="39" t="n"/>
      <c r="AJ239" s="11">
        <f>IF(C239="","",IF(H239="VIDEO",N(L239),0))</f>
        <v/>
      </c>
      <c r="AK239" s="43">
        <f>IFERROR(IF(N(L239)=0,"",AJ239/L239),"")</f>
        <v/>
      </c>
      <c r="AL239" s="11">
        <f>IF(C239="","",N(AF239)+N(AG239)+N(AH239)+N(AI239))</f>
        <v/>
      </c>
      <c r="AM239" s="11">
        <f>IF(C239="","",MAX(N(L239),N(O239))-N(AL239))</f>
        <v/>
      </c>
      <c r="AN239" s="43">
        <f>IFERROR(IF(MAX(N(L239),N(O239))=0,"",AM239/MAX(N(L239),N(O239))),"")</f>
        <v/>
      </c>
      <c r="AO239" s="41" t="n"/>
      <c r="AP239" s="41" t="n"/>
      <c r="AQ239" s="41" t="n"/>
      <c r="AR239" s="41" t="n"/>
      <c r="AS239" s="41" t="n"/>
      <c r="AT239" s="37" t="n"/>
      <c r="AU239" s="10" t="inlineStr">
        <is>
          <t>PRD-0235</t>
        </is>
      </c>
    </row>
    <row r="240">
      <c r="A240" s="16">
        <f>IF($C240="","",IFERROR(IF(INDEX(tbl_Finance[Latest Invoice Date],MATCH($AU240,tbl_Finance[Row ID],0))="","",INDEX(tbl_Finance[Latest Invoice Date],MATCH($AU240,tbl_Finance[Row ID],0))),""))</f>
        <v/>
      </c>
      <c r="B240" s="10">
        <f>IF($C240="","",IFERROR(INDEX(tbl_Finance[Invoice Numbers],MATCH($AU240,tbl_Finance[Row ID],0))&amp;"",""))</f>
        <v/>
      </c>
      <c r="C240" s="37" t="n"/>
      <c r="D240" s="10">
        <f>IF($C240="","",IF(COUNTIF(lst_Jobs,$C240&amp;"")&gt;0,"OK","CHECK"))</f>
        <v/>
      </c>
      <c r="E240" s="10">
        <f>IF($C240="","",IFERROR(INDEX(lst_JobName,MATCH($C240&amp;"",lst_Jobs,0)),""))</f>
        <v/>
      </c>
      <c r="F240" s="37" t="n"/>
      <c r="G240" s="37" t="n"/>
      <c r="H240" s="37" t="n"/>
      <c r="I240" s="37" t="n"/>
      <c r="J240" s="37" t="n"/>
      <c r="K240" s="38">
        <f>IF($C240="","",IFERROR(N(INDEX(tbl_Finance[Invoice Count],MATCH($AU240,tbl_Finance[Row ID],0))),""))</f>
        <v/>
      </c>
      <c r="L240" s="11">
        <f>IF($C240="","",IFERROR(N(INDEX(tbl_Finance[Xero Invoiced Ex GST],MATCH($AU240,tbl_Finance[Row ID],0))),""))</f>
        <v/>
      </c>
      <c r="M240" s="10">
        <f>IF($C240="","",IFERROR(INDEX(tbl_Finance[Compare],MATCH($AU240,tbl_Finance[Row ID],0))&amp;"",""))</f>
        <v/>
      </c>
      <c r="N240" s="11">
        <f>IF($C240="","",MAX(0,N(O240)-N(L240)))</f>
        <v/>
      </c>
      <c r="O240" s="39" t="n"/>
      <c r="P240" s="40">
        <f>IF($C240="","",IF((IF(F240="",", Client","")&amp;IF(G240="",", Description","")&amp;IF(H240="",", Cost Centre","")&amp;IF(I240="",", Invoice Type","")&amp;IF(J240="",", Tax Code","")&amp;IF(O240="",", Expected Revenue","")&amp;IF(COUNTIF(tbl_Finance[Job Number],$C240&amp;"")&gt;1,", Job number used twice",""))="","Complete","Fix: "&amp;MID(IF(F240="",", Client","")&amp;IF(G240="",", Description","")&amp;IF(H240="",", Cost Centre","")&amp;IF(I240="",", Invoice Type","")&amp;IF(J240="",", Tax Code","")&amp;IF(O240="",", Expected Revenue","")&amp;IF(COUNTIF(tbl_Finance[Job Number],$C240&amp;"")&gt;1,", Job number used twice",""),3,300)))</f>
        <v/>
      </c>
      <c r="Q240" s="10">
        <f>IF($C240="","",IF(H240="","(no cost centre)",H240&amp;" - GL "&amp;IFERROR(INDEX(lst_CCtoGL,MATCH(H240,lst_CCforGL,0)),"?")))</f>
        <v/>
      </c>
      <c r="R240" s="11">
        <f>IF($C240="","",IFERROR(N(INDEX(tbl_Finance[Inc GST],MATCH($AU240,tbl_Finance[Row ID],0))),""))</f>
        <v/>
      </c>
      <c r="S240" s="37" t="n"/>
      <c r="T240" s="37" t="n"/>
      <c r="U240" s="37" t="n"/>
      <c r="V240" s="42" t="n"/>
      <c r="W240" s="37" t="n"/>
      <c r="X240" s="10">
        <f>IF(W240="","",IF(AND(LEFT(W240,4)&lt;&gt;"http",set_RMSBase=""),"",HYPERLINK(IF(LEFT(W240,4)="http",W240,set_RMSBase&amp;W240),"Open in RMS")))</f>
        <v/>
      </c>
      <c r="Y240" s="37" t="n"/>
      <c r="Z240" s="10">
        <f>IF(Y240="","",HYPERLINK(IF(LEFT(Y240,4)="http",Y240,set_QwilrBase&amp;Y240),"Open quote"))</f>
        <v/>
      </c>
      <c r="AA240" s="10">
        <f>IF(C240="","",C240)</f>
        <v/>
      </c>
      <c r="AB240" s="37" t="n"/>
      <c r="AC240" s="39" t="n"/>
      <c r="AD240" s="11">
        <f>IF(C240="","",N(L240)+N(AC240))</f>
        <v/>
      </c>
      <c r="AE240" s="43">
        <f>IFERROR(IF(N(AC240)=0,"",AC240/AD240),"")</f>
        <v/>
      </c>
      <c r="AF240" s="39" t="n"/>
      <c r="AG240" s="39" t="n"/>
      <c r="AH240" s="39" t="n"/>
      <c r="AI240" s="39" t="n"/>
      <c r="AJ240" s="11">
        <f>IF(C240="","",IF(H240="VIDEO",N(L240),0))</f>
        <v/>
      </c>
      <c r="AK240" s="43">
        <f>IFERROR(IF(N(L240)=0,"",AJ240/L240),"")</f>
        <v/>
      </c>
      <c r="AL240" s="11">
        <f>IF(C240="","",N(AF240)+N(AG240)+N(AH240)+N(AI240))</f>
        <v/>
      </c>
      <c r="AM240" s="11">
        <f>IF(C240="","",MAX(N(L240),N(O240))-N(AL240))</f>
        <v/>
      </c>
      <c r="AN240" s="43">
        <f>IFERROR(IF(MAX(N(L240),N(O240))=0,"",AM240/MAX(N(L240),N(O240))),"")</f>
        <v/>
      </c>
      <c r="AO240" s="41" t="n"/>
      <c r="AP240" s="41" t="n"/>
      <c r="AQ240" s="41" t="n"/>
      <c r="AR240" s="41" t="n"/>
      <c r="AS240" s="41" t="n"/>
      <c r="AT240" s="37" t="n"/>
      <c r="AU240" s="10" t="inlineStr">
        <is>
          <t>PRD-0236</t>
        </is>
      </c>
    </row>
    <row r="241">
      <c r="A241" s="16">
        <f>IF($C241="","",IFERROR(IF(INDEX(tbl_Finance[Latest Invoice Date],MATCH($AU241,tbl_Finance[Row ID],0))="","",INDEX(tbl_Finance[Latest Invoice Date],MATCH($AU241,tbl_Finance[Row ID],0))),""))</f>
        <v/>
      </c>
      <c r="B241" s="10">
        <f>IF($C241="","",IFERROR(INDEX(tbl_Finance[Invoice Numbers],MATCH($AU241,tbl_Finance[Row ID],0))&amp;"",""))</f>
        <v/>
      </c>
      <c r="C241" s="37" t="n"/>
      <c r="D241" s="10">
        <f>IF($C241="","",IF(COUNTIF(lst_Jobs,$C241&amp;"")&gt;0,"OK","CHECK"))</f>
        <v/>
      </c>
      <c r="E241" s="10">
        <f>IF($C241="","",IFERROR(INDEX(lst_JobName,MATCH($C241&amp;"",lst_Jobs,0)),""))</f>
        <v/>
      </c>
      <c r="F241" s="37" t="n"/>
      <c r="G241" s="37" t="n"/>
      <c r="H241" s="37" t="n"/>
      <c r="I241" s="37" t="n"/>
      <c r="J241" s="37" t="n"/>
      <c r="K241" s="38">
        <f>IF($C241="","",IFERROR(N(INDEX(tbl_Finance[Invoice Count],MATCH($AU241,tbl_Finance[Row ID],0))),""))</f>
        <v/>
      </c>
      <c r="L241" s="11">
        <f>IF($C241="","",IFERROR(N(INDEX(tbl_Finance[Xero Invoiced Ex GST],MATCH($AU241,tbl_Finance[Row ID],0))),""))</f>
        <v/>
      </c>
      <c r="M241" s="10">
        <f>IF($C241="","",IFERROR(INDEX(tbl_Finance[Compare],MATCH($AU241,tbl_Finance[Row ID],0))&amp;"",""))</f>
        <v/>
      </c>
      <c r="N241" s="11">
        <f>IF($C241="","",MAX(0,N(O241)-N(L241)))</f>
        <v/>
      </c>
      <c r="O241" s="39" t="n"/>
      <c r="P241" s="40">
        <f>IF($C241="","",IF((IF(F241="",", Client","")&amp;IF(G241="",", Description","")&amp;IF(H241="",", Cost Centre","")&amp;IF(I241="",", Invoice Type","")&amp;IF(J241="",", Tax Code","")&amp;IF(O241="",", Expected Revenue","")&amp;IF(COUNTIF(tbl_Finance[Job Number],$C241&amp;"")&gt;1,", Job number used twice",""))="","Complete","Fix: "&amp;MID(IF(F241="",", Client","")&amp;IF(G241="",", Description","")&amp;IF(H241="",", Cost Centre","")&amp;IF(I241="",", Invoice Type","")&amp;IF(J241="",", Tax Code","")&amp;IF(O241="",", Expected Revenue","")&amp;IF(COUNTIF(tbl_Finance[Job Number],$C241&amp;"")&gt;1,", Job number used twice",""),3,300)))</f>
        <v/>
      </c>
      <c r="Q241" s="10">
        <f>IF($C241="","",IF(H241="","(no cost centre)",H241&amp;" - GL "&amp;IFERROR(INDEX(lst_CCtoGL,MATCH(H241,lst_CCforGL,0)),"?")))</f>
        <v/>
      </c>
      <c r="R241" s="11">
        <f>IF($C241="","",IFERROR(N(INDEX(tbl_Finance[Inc GST],MATCH($AU241,tbl_Finance[Row ID],0))),""))</f>
        <v/>
      </c>
      <c r="S241" s="37" t="n"/>
      <c r="T241" s="37" t="n"/>
      <c r="U241" s="37" t="n"/>
      <c r="V241" s="42" t="n"/>
      <c r="W241" s="37" t="n"/>
      <c r="X241" s="10">
        <f>IF(W241="","",IF(AND(LEFT(W241,4)&lt;&gt;"http",set_RMSBase=""),"",HYPERLINK(IF(LEFT(W241,4)="http",W241,set_RMSBase&amp;W241),"Open in RMS")))</f>
        <v/>
      </c>
      <c r="Y241" s="37" t="n"/>
      <c r="Z241" s="10">
        <f>IF(Y241="","",HYPERLINK(IF(LEFT(Y241,4)="http",Y241,set_QwilrBase&amp;Y241),"Open quote"))</f>
        <v/>
      </c>
      <c r="AA241" s="10">
        <f>IF(C241="","",C241)</f>
        <v/>
      </c>
      <c r="AB241" s="37" t="n"/>
      <c r="AC241" s="39" t="n"/>
      <c r="AD241" s="11">
        <f>IF(C241="","",N(L241)+N(AC241))</f>
        <v/>
      </c>
      <c r="AE241" s="43">
        <f>IFERROR(IF(N(AC241)=0,"",AC241/AD241),"")</f>
        <v/>
      </c>
      <c r="AF241" s="39" t="n"/>
      <c r="AG241" s="39" t="n"/>
      <c r="AH241" s="39" t="n"/>
      <c r="AI241" s="39" t="n"/>
      <c r="AJ241" s="11">
        <f>IF(C241="","",IF(H241="VIDEO",N(L241),0))</f>
        <v/>
      </c>
      <c r="AK241" s="43">
        <f>IFERROR(IF(N(L241)=0,"",AJ241/L241),"")</f>
        <v/>
      </c>
      <c r="AL241" s="11">
        <f>IF(C241="","",N(AF241)+N(AG241)+N(AH241)+N(AI241))</f>
        <v/>
      </c>
      <c r="AM241" s="11">
        <f>IF(C241="","",MAX(N(L241),N(O241))-N(AL241))</f>
        <v/>
      </c>
      <c r="AN241" s="43">
        <f>IFERROR(IF(MAX(N(L241),N(O241))=0,"",AM241/MAX(N(L241),N(O241))),"")</f>
        <v/>
      </c>
      <c r="AO241" s="41" t="n"/>
      <c r="AP241" s="41" t="n"/>
      <c r="AQ241" s="41" t="n"/>
      <c r="AR241" s="41" t="n"/>
      <c r="AS241" s="41" t="n"/>
      <c r="AT241" s="37" t="n"/>
      <c r="AU241" s="10" t="inlineStr">
        <is>
          <t>PRD-0237</t>
        </is>
      </c>
    </row>
    <row r="242">
      <c r="A242" s="16">
        <f>IF($C242="","",IFERROR(IF(INDEX(tbl_Finance[Latest Invoice Date],MATCH($AU242,tbl_Finance[Row ID],0))="","",INDEX(tbl_Finance[Latest Invoice Date],MATCH($AU242,tbl_Finance[Row ID],0))),""))</f>
        <v/>
      </c>
      <c r="B242" s="10">
        <f>IF($C242="","",IFERROR(INDEX(tbl_Finance[Invoice Numbers],MATCH($AU242,tbl_Finance[Row ID],0))&amp;"",""))</f>
        <v/>
      </c>
      <c r="C242" s="37" t="n"/>
      <c r="D242" s="10">
        <f>IF($C242="","",IF(COUNTIF(lst_Jobs,$C242&amp;"")&gt;0,"OK","CHECK"))</f>
        <v/>
      </c>
      <c r="E242" s="10">
        <f>IF($C242="","",IFERROR(INDEX(lst_JobName,MATCH($C242&amp;"",lst_Jobs,0)),""))</f>
        <v/>
      </c>
      <c r="F242" s="37" t="n"/>
      <c r="G242" s="37" t="n"/>
      <c r="H242" s="37" t="n"/>
      <c r="I242" s="37" t="n"/>
      <c r="J242" s="37" t="n"/>
      <c r="K242" s="38">
        <f>IF($C242="","",IFERROR(N(INDEX(tbl_Finance[Invoice Count],MATCH($AU242,tbl_Finance[Row ID],0))),""))</f>
        <v/>
      </c>
      <c r="L242" s="11">
        <f>IF($C242="","",IFERROR(N(INDEX(tbl_Finance[Xero Invoiced Ex GST],MATCH($AU242,tbl_Finance[Row ID],0))),""))</f>
        <v/>
      </c>
      <c r="M242" s="10">
        <f>IF($C242="","",IFERROR(INDEX(tbl_Finance[Compare],MATCH($AU242,tbl_Finance[Row ID],0))&amp;"",""))</f>
        <v/>
      </c>
      <c r="N242" s="11">
        <f>IF($C242="","",MAX(0,N(O242)-N(L242)))</f>
        <v/>
      </c>
      <c r="O242" s="39" t="n"/>
      <c r="P242" s="40">
        <f>IF($C242="","",IF((IF(F242="",", Client","")&amp;IF(G242="",", Description","")&amp;IF(H242="",", Cost Centre","")&amp;IF(I242="",", Invoice Type","")&amp;IF(J242="",", Tax Code","")&amp;IF(O242="",", Expected Revenue","")&amp;IF(COUNTIF(tbl_Finance[Job Number],$C242&amp;"")&gt;1,", Job number used twice",""))="","Complete","Fix: "&amp;MID(IF(F242="",", Client","")&amp;IF(G242="",", Description","")&amp;IF(H242="",", Cost Centre","")&amp;IF(I242="",", Invoice Type","")&amp;IF(J242="",", Tax Code","")&amp;IF(O242="",", Expected Revenue","")&amp;IF(COUNTIF(tbl_Finance[Job Number],$C242&amp;"")&gt;1,", Job number used twice",""),3,300)))</f>
        <v/>
      </c>
      <c r="Q242" s="10">
        <f>IF($C242="","",IF(H242="","(no cost centre)",H242&amp;" - GL "&amp;IFERROR(INDEX(lst_CCtoGL,MATCH(H242,lst_CCforGL,0)),"?")))</f>
        <v/>
      </c>
      <c r="R242" s="11">
        <f>IF($C242="","",IFERROR(N(INDEX(tbl_Finance[Inc GST],MATCH($AU242,tbl_Finance[Row ID],0))),""))</f>
        <v/>
      </c>
      <c r="S242" s="37" t="n"/>
      <c r="T242" s="37" t="n"/>
      <c r="U242" s="37" t="n"/>
      <c r="V242" s="42" t="n"/>
      <c r="W242" s="37" t="n"/>
      <c r="X242" s="10">
        <f>IF(W242="","",IF(AND(LEFT(W242,4)&lt;&gt;"http",set_RMSBase=""),"",HYPERLINK(IF(LEFT(W242,4)="http",W242,set_RMSBase&amp;W242),"Open in RMS")))</f>
        <v/>
      </c>
      <c r="Y242" s="37" t="n"/>
      <c r="Z242" s="10">
        <f>IF(Y242="","",HYPERLINK(IF(LEFT(Y242,4)="http",Y242,set_QwilrBase&amp;Y242),"Open quote"))</f>
        <v/>
      </c>
      <c r="AA242" s="10">
        <f>IF(C242="","",C242)</f>
        <v/>
      </c>
      <c r="AB242" s="37" t="n"/>
      <c r="AC242" s="39" t="n"/>
      <c r="AD242" s="11">
        <f>IF(C242="","",N(L242)+N(AC242))</f>
        <v/>
      </c>
      <c r="AE242" s="43">
        <f>IFERROR(IF(N(AC242)=0,"",AC242/AD242),"")</f>
        <v/>
      </c>
      <c r="AF242" s="39" t="n"/>
      <c r="AG242" s="39" t="n"/>
      <c r="AH242" s="39" t="n"/>
      <c r="AI242" s="39" t="n"/>
      <c r="AJ242" s="11">
        <f>IF(C242="","",IF(H242="VIDEO",N(L242),0))</f>
        <v/>
      </c>
      <c r="AK242" s="43">
        <f>IFERROR(IF(N(L242)=0,"",AJ242/L242),"")</f>
        <v/>
      </c>
      <c r="AL242" s="11">
        <f>IF(C242="","",N(AF242)+N(AG242)+N(AH242)+N(AI242))</f>
        <v/>
      </c>
      <c r="AM242" s="11">
        <f>IF(C242="","",MAX(N(L242),N(O242))-N(AL242))</f>
        <v/>
      </c>
      <c r="AN242" s="43">
        <f>IFERROR(IF(MAX(N(L242),N(O242))=0,"",AM242/MAX(N(L242),N(O242))),"")</f>
        <v/>
      </c>
      <c r="AO242" s="41" t="n"/>
      <c r="AP242" s="41" t="n"/>
      <c r="AQ242" s="41" t="n"/>
      <c r="AR242" s="41" t="n"/>
      <c r="AS242" s="41" t="n"/>
      <c r="AT242" s="37" t="n"/>
      <c r="AU242" s="10" t="inlineStr">
        <is>
          <t>PRD-0238</t>
        </is>
      </c>
    </row>
    <row r="243">
      <c r="A243" s="16">
        <f>IF($C243="","",IFERROR(IF(INDEX(tbl_Finance[Latest Invoice Date],MATCH($AU243,tbl_Finance[Row ID],0))="","",INDEX(tbl_Finance[Latest Invoice Date],MATCH($AU243,tbl_Finance[Row ID],0))),""))</f>
        <v/>
      </c>
      <c r="B243" s="10">
        <f>IF($C243="","",IFERROR(INDEX(tbl_Finance[Invoice Numbers],MATCH($AU243,tbl_Finance[Row ID],0))&amp;"",""))</f>
        <v/>
      </c>
      <c r="C243" s="37" t="n"/>
      <c r="D243" s="10">
        <f>IF($C243="","",IF(COUNTIF(lst_Jobs,$C243&amp;"")&gt;0,"OK","CHECK"))</f>
        <v/>
      </c>
      <c r="E243" s="10">
        <f>IF($C243="","",IFERROR(INDEX(lst_JobName,MATCH($C243&amp;"",lst_Jobs,0)),""))</f>
        <v/>
      </c>
      <c r="F243" s="37" t="n"/>
      <c r="G243" s="37" t="n"/>
      <c r="H243" s="37" t="n"/>
      <c r="I243" s="37" t="n"/>
      <c r="J243" s="37" t="n"/>
      <c r="K243" s="38">
        <f>IF($C243="","",IFERROR(N(INDEX(tbl_Finance[Invoice Count],MATCH($AU243,tbl_Finance[Row ID],0))),""))</f>
        <v/>
      </c>
      <c r="L243" s="11">
        <f>IF($C243="","",IFERROR(N(INDEX(tbl_Finance[Xero Invoiced Ex GST],MATCH($AU243,tbl_Finance[Row ID],0))),""))</f>
        <v/>
      </c>
      <c r="M243" s="10">
        <f>IF($C243="","",IFERROR(INDEX(tbl_Finance[Compare],MATCH($AU243,tbl_Finance[Row ID],0))&amp;"",""))</f>
        <v/>
      </c>
      <c r="N243" s="11">
        <f>IF($C243="","",MAX(0,N(O243)-N(L243)))</f>
        <v/>
      </c>
      <c r="O243" s="39" t="n"/>
      <c r="P243" s="40">
        <f>IF($C243="","",IF((IF(F243="",", Client","")&amp;IF(G243="",", Description","")&amp;IF(H243="",", Cost Centre","")&amp;IF(I243="",", Invoice Type","")&amp;IF(J243="",", Tax Code","")&amp;IF(O243="",", Expected Revenue","")&amp;IF(COUNTIF(tbl_Finance[Job Number],$C243&amp;"")&gt;1,", Job number used twice",""))="","Complete","Fix: "&amp;MID(IF(F243="",", Client","")&amp;IF(G243="",", Description","")&amp;IF(H243="",", Cost Centre","")&amp;IF(I243="",", Invoice Type","")&amp;IF(J243="",", Tax Code","")&amp;IF(O243="",", Expected Revenue","")&amp;IF(COUNTIF(tbl_Finance[Job Number],$C243&amp;"")&gt;1,", Job number used twice",""),3,300)))</f>
        <v/>
      </c>
      <c r="Q243" s="10">
        <f>IF($C243="","",IF(H243="","(no cost centre)",H243&amp;" - GL "&amp;IFERROR(INDEX(lst_CCtoGL,MATCH(H243,lst_CCforGL,0)),"?")))</f>
        <v/>
      </c>
      <c r="R243" s="11">
        <f>IF($C243="","",IFERROR(N(INDEX(tbl_Finance[Inc GST],MATCH($AU243,tbl_Finance[Row ID],0))),""))</f>
        <v/>
      </c>
      <c r="S243" s="37" t="n"/>
      <c r="T243" s="37" t="n"/>
      <c r="U243" s="37" t="n"/>
      <c r="V243" s="42" t="n"/>
      <c r="W243" s="37" t="n"/>
      <c r="X243" s="10">
        <f>IF(W243="","",IF(AND(LEFT(W243,4)&lt;&gt;"http",set_RMSBase=""),"",HYPERLINK(IF(LEFT(W243,4)="http",W243,set_RMSBase&amp;W243),"Open in RMS")))</f>
        <v/>
      </c>
      <c r="Y243" s="37" t="n"/>
      <c r="Z243" s="10">
        <f>IF(Y243="","",HYPERLINK(IF(LEFT(Y243,4)="http",Y243,set_QwilrBase&amp;Y243),"Open quote"))</f>
        <v/>
      </c>
      <c r="AA243" s="10">
        <f>IF(C243="","",C243)</f>
        <v/>
      </c>
      <c r="AB243" s="37" t="n"/>
      <c r="AC243" s="39" t="n"/>
      <c r="AD243" s="11">
        <f>IF(C243="","",N(L243)+N(AC243))</f>
        <v/>
      </c>
      <c r="AE243" s="43">
        <f>IFERROR(IF(N(AC243)=0,"",AC243/AD243),"")</f>
        <v/>
      </c>
      <c r="AF243" s="39" t="n"/>
      <c r="AG243" s="39" t="n"/>
      <c r="AH243" s="39" t="n"/>
      <c r="AI243" s="39" t="n"/>
      <c r="AJ243" s="11">
        <f>IF(C243="","",IF(H243="VIDEO",N(L243),0))</f>
        <v/>
      </c>
      <c r="AK243" s="43">
        <f>IFERROR(IF(N(L243)=0,"",AJ243/L243),"")</f>
        <v/>
      </c>
      <c r="AL243" s="11">
        <f>IF(C243="","",N(AF243)+N(AG243)+N(AH243)+N(AI243))</f>
        <v/>
      </c>
      <c r="AM243" s="11">
        <f>IF(C243="","",MAX(N(L243),N(O243))-N(AL243))</f>
        <v/>
      </c>
      <c r="AN243" s="43">
        <f>IFERROR(IF(MAX(N(L243),N(O243))=0,"",AM243/MAX(N(L243),N(O243))),"")</f>
        <v/>
      </c>
      <c r="AO243" s="41" t="n"/>
      <c r="AP243" s="41" t="n"/>
      <c r="AQ243" s="41" t="n"/>
      <c r="AR243" s="41" t="n"/>
      <c r="AS243" s="41" t="n"/>
      <c r="AT243" s="37" t="n"/>
      <c r="AU243" s="10" t="inlineStr">
        <is>
          <t>PRD-0239</t>
        </is>
      </c>
    </row>
    <row r="244">
      <c r="A244" s="16">
        <f>IF($C244="","",IFERROR(IF(INDEX(tbl_Finance[Latest Invoice Date],MATCH($AU244,tbl_Finance[Row ID],0))="","",INDEX(tbl_Finance[Latest Invoice Date],MATCH($AU244,tbl_Finance[Row ID],0))),""))</f>
        <v/>
      </c>
      <c r="B244" s="10">
        <f>IF($C244="","",IFERROR(INDEX(tbl_Finance[Invoice Numbers],MATCH($AU244,tbl_Finance[Row ID],0))&amp;"",""))</f>
        <v/>
      </c>
      <c r="C244" s="37" t="n"/>
      <c r="D244" s="10">
        <f>IF($C244="","",IF(COUNTIF(lst_Jobs,$C244&amp;"")&gt;0,"OK","CHECK"))</f>
        <v/>
      </c>
      <c r="E244" s="10">
        <f>IF($C244="","",IFERROR(INDEX(lst_JobName,MATCH($C244&amp;"",lst_Jobs,0)),""))</f>
        <v/>
      </c>
      <c r="F244" s="37" t="n"/>
      <c r="G244" s="37" t="n"/>
      <c r="H244" s="37" t="n"/>
      <c r="I244" s="37" t="n"/>
      <c r="J244" s="37" t="n"/>
      <c r="K244" s="38">
        <f>IF($C244="","",IFERROR(N(INDEX(tbl_Finance[Invoice Count],MATCH($AU244,tbl_Finance[Row ID],0))),""))</f>
        <v/>
      </c>
      <c r="L244" s="11">
        <f>IF($C244="","",IFERROR(N(INDEX(tbl_Finance[Xero Invoiced Ex GST],MATCH($AU244,tbl_Finance[Row ID],0))),""))</f>
        <v/>
      </c>
      <c r="M244" s="10">
        <f>IF($C244="","",IFERROR(INDEX(tbl_Finance[Compare],MATCH($AU244,tbl_Finance[Row ID],0))&amp;"",""))</f>
        <v/>
      </c>
      <c r="N244" s="11">
        <f>IF($C244="","",MAX(0,N(O244)-N(L244)))</f>
        <v/>
      </c>
      <c r="O244" s="39" t="n"/>
      <c r="P244" s="40">
        <f>IF($C244="","",IF((IF(F244="",", Client","")&amp;IF(G244="",", Description","")&amp;IF(H244="",", Cost Centre","")&amp;IF(I244="",", Invoice Type","")&amp;IF(J244="",", Tax Code","")&amp;IF(O244="",", Expected Revenue","")&amp;IF(COUNTIF(tbl_Finance[Job Number],$C244&amp;"")&gt;1,", Job number used twice",""))="","Complete","Fix: "&amp;MID(IF(F244="",", Client","")&amp;IF(G244="",", Description","")&amp;IF(H244="",", Cost Centre","")&amp;IF(I244="",", Invoice Type","")&amp;IF(J244="",", Tax Code","")&amp;IF(O244="",", Expected Revenue","")&amp;IF(COUNTIF(tbl_Finance[Job Number],$C244&amp;"")&gt;1,", Job number used twice",""),3,300)))</f>
        <v/>
      </c>
      <c r="Q244" s="10">
        <f>IF($C244="","",IF(H244="","(no cost centre)",H244&amp;" - GL "&amp;IFERROR(INDEX(lst_CCtoGL,MATCH(H244,lst_CCforGL,0)),"?")))</f>
        <v/>
      </c>
      <c r="R244" s="11">
        <f>IF($C244="","",IFERROR(N(INDEX(tbl_Finance[Inc GST],MATCH($AU244,tbl_Finance[Row ID],0))),""))</f>
        <v/>
      </c>
      <c r="S244" s="37" t="n"/>
      <c r="T244" s="37" t="n"/>
      <c r="U244" s="37" t="n"/>
      <c r="V244" s="42" t="n"/>
      <c r="W244" s="37" t="n"/>
      <c r="X244" s="10">
        <f>IF(W244="","",IF(AND(LEFT(W244,4)&lt;&gt;"http",set_RMSBase=""),"",HYPERLINK(IF(LEFT(W244,4)="http",W244,set_RMSBase&amp;W244),"Open in RMS")))</f>
        <v/>
      </c>
      <c r="Y244" s="37" t="n"/>
      <c r="Z244" s="10">
        <f>IF(Y244="","",HYPERLINK(IF(LEFT(Y244,4)="http",Y244,set_QwilrBase&amp;Y244),"Open quote"))</f>
        <v/>
      </c>
      <c r="AA244" s="10">
        <f>IF(C244="","",C244)</f>
        <v/>
      </c>
      <c r="AB244" s="37" t="n"/>
      <c r="AC244" s="39" t="n"/>
      <c r="AD244" s="11">
        <f>IF(C244="","",N(L244)+N(AC244))</f>
        <v/>
      </c>
      <c r="AE244" s="43">
        <f>IFERROR(IF(N(AC244)=0,"",AC244/AD244),"")</f>
        <v/>
      </c>
      <c r="AF244" s="39" t="n"/>
      <c r="AG244" s="39" t="n"/>
      <c r="AH244" s="39" t="n"/>
      <c r="AI244" s="39" t="n"/>
      <c r="AJ244" s="11">
        <f>IF(C244="","",IF(H244="VIDEO",N(L244),0))</f>
        <v/>
      </c>
      <c r="AK244" s="43">
        <f>IFERROR(IF(N(L244)=0,"",AJ244/L244),"")</f>
        <v/>
      </c>
      <c r="AL244" s="11">
        <f>IF(C244="","",N(AF244)+N(AG244)+N(AH244)+N(AI244))</f>
        <v/>
      </c>
      <c r="AM244" s="11">
        <f>IF(C244="","",MAX(N(L244),N(O244))-N(AL244))</f>
        <v/>
      </c>
      <c r="AN244" s="43">
        <f>IFERROR(IF(MAX(N(L244),N(O244))=0,"",AM244/MAX(N(L244),N(O244))),"")</f>
        <v/>
      </c>
      <c r="AO244" s="41" t="n"/>
      <c r="AP244" s="41" t="n"/>
      <c r="AQ244" s="41" t="n"/>
      <c r="AR244" s="41" t="n"/>
      <c r="AS244" s="41" t="n"/>
      <c r="AT244" s="37" t="n"/>
      <c r="AU244" s="10" t="inlineStr">
        <is>
          <t>PRD-0240</t>
        </is>
      </c>
    </row>
    <row r="245">
      <c r="A245" s="16">
        <f>IF($C245="","",IFERROR(IF(INDEX(tbl_Finance[Latest Invoice Date],MATCH($AU245,tbl_Finance[Row ID],0))="","",INDEX(tbl_Finance[Latest Invoice Date],MATCH($AU245,tbl_Finance[Row ID],0))),""))</f>
        <v/>
      </c>
      <c r="B245" s="10">
        <f>IF($C245="","",IFERROR(INDEX(tbl_Finance[Invoice Numbers],MATCH($AU245,tbl_Finance[Row ID],0))&amp;"",""))</f>
        <v/>
      </c>
      <c r="C245" s="37" t="n"/>
      <c r="D245" s="10">
        <f>IF($C245="","",IF(COUNTIF(lst_Jobs,$C245&amp;"")&gt;0,"OK","CHECK"))</f>
        <v/>
      </c>
      <c r="E245" s="10">
        <f>IF($C245="","",IFERROR(INDEX(lst_JobName,MATCH($C245&amp;"",lst_Jobs,0)),""))</f>
        <v/>
      </c>
      <c r="F245" s="37" t="n"/>
      <c r="G245" s="37" t="n"/>
      <c r="H245" s="37" t="n"/>
      <c r="I245" s="37" t="n"/>
      <c r="J245" s="37" t="n"/>
      <c r="K245" s="38">
        <f>IF($C245="","",IFERROR(N(INDEX(tbl_Finance[Invoice Count],MATCH($AU245,tbl_Finance[Row ID],0))),""))</f>
        <v/>
      </c>
      <c r="L245" s="11">
        <f>IF($C245="","",IFERROR(N(INDEX(tbl_Finance[Xero Invoiced Ex GST],MATCH($AU245,tbl_Finance[Row ID],0))),""))</f>
        <v/>
      </c>
      <c r="M245" s="10">
        <f>IF($C245="","",IFERROR(INDEX(tbl_Finance[Compare],MATCH($AU245,tbl_Finance[Row ID],0))&amp;"",""))</f>
        <v/>
      </c>
      <c r="N245" s="11">
        <f>IF($C245="","",MAX(0,N(O245)-N(L245)))</f>
        <v/>
      </c>
      <c r="O245" s="39" t="n"/>
      <c r="P245" s="40">
        <f>IF($C245="","",IF((IF(F245="",", Client","")&amp;IF(G245="",", Description","")&amp;IF(H245="",", Cost Centre","")&amp;IF(I245="",", Invoice Type","")&amp;IF(J245="",", Tax Code","")&amp;IF(O245="",", Expected Revenue","")&amp;IF(COUNTIF(tbl_Finance[Job Number],$C245&amp;"")&gt;1,", Job number used twice",""))="","Complete","Fix: "&amp;MID(IF(F245="",", Client","")&amp;IF(G245="",", Description","")&amp;IF(H245="",", Cost Centre","")&amp;IF(I245="",", Invoice Type","")&amp;IF(J245="",", Tax Code","")&amp;IF(O245="",", Expected Revenue","")&amp;IF(COUNTIF(tbl_Finance[Job Number],$C245&amp;"")&gt;1,", Job number used twice",""),3,300)))</f>
        <v/>
      </c>
      <c r="Q245" s="10">
        <f>IF($C245="","",IF(H245="","(no cost centre)",H245&amp;" - GL "&amp;IFERROR(INDEX(lst_CCtoGL,MATCH(H245,lst_CCforGL,0)),"?")))</f>
        <v/>
      </c>
      <c r="R245" s="11">
        <f>IF($C245="","",IFERROR(N(INDEX(tbl_Finance[Inc GST],MATCH($AU245,tbl_Finance[Row ID],0))),""))</f>
        <v/>
      </c>
      <c r="S245" s="37" t="n"/>
      <c r="T245" s="37" t="n"/>
      <c r="U245" s="37" t="n"/>
      <c r="V245" s="42" t="n"/>
      <c r="W245" s="37" t="n"/>
      <c r="X245" s="10">
        <f>IF(W245="","",IF(AND(LEFT(W245,4)&lt;&gt;"http",set_RMSBase=""),"",HYPERLINK(IF(LEFT(W245,4)="http",W245,set_RMSBase&amp;W245),"Open in RMS")))</f>
        <v/>
      </c>
      <c r="Y245" s="37" t="n"/>
      <c r="Z245" s="10">
        <f>IF(Y245="","",HYPERLINK(IF(LEFT(Y245,4)="http",Y245,set_QwilrBase&amp;Y245),"Open quote"))</f>
        <v/>
      </c>
      <c r="AA245" s="10">
        <f>IF(C245="","",C245)</f>
        <v/>
      </c>
      <c r="AB245" s="37" t="n"/>
      <c r="AC245" s="39" t="n"/>
      <c r="AD245" s="11">
        <f>IF(C245="","",N(L245)+N(AC245))</f>
        <v/>
      </c>
      <c r="AE245" s="43">
        <f>IFERROR(IF(N(AC245)=0,"",AC245/AD245),"")</f>
        <v/>
      </c>
      <c r="AF245" s="39" t="n"/>
      <c r="AG245" s="39" t="n"/>
      <c r="AH245" s="39" t="n"/>
      <c r="AI245" s="39" t="n"/>
      <c r="AJ245" s="11">
        <f>IF(C245="","",IF(H245="VIDEO",N(L245),0))</f>
        <v/>
      </c>
      <c r="AK245" s="43">
        <f>IFERROR(IF(N(L245)=0,"",AJ245/L245),"")</f>
        <v/>
      </c>
      <c r="AL245" s="11">
        <f>IF(C245="","",N(AF245)+N(AG245)+N(AH245)+N(AI245))</f>
        <v/>
      </c>
      <c r="AM245" s="11">
        <f>IF(C245="","",MAX(N(L245),N(O245))-N(AL245))</f>
        <v/>
      </c>
      <c r="AN245" s="43">
        <f>IFERROR(IF(MAX(N(L245),N(O245))=0,"",AM245/MAX(N(L245),N(O245))),"")</f>
        <v/>
      </c>
      <c r="AO245" s="41" t="n"/>
      <c r="AP245" s="41" t="n"/>
      <c r="AQ245" s="41" t="n"/>
      <c r="AR245" s="41" t="n"/>
      <c r="AS245" s="41" t="n"/>
      <c r="AT245" s="37" t="n"/>
      <c r="AU245" s="10" t="inlineStr">
        <is>
          <t>PRD-0241</t>
        </is>
      </c>
    </row>
    <row r="246">
      <c r="A246" s="16">
        <f>IF($C246="","",IFERROR(IF(INDEX(tbl_Finance[Latest Invoice Date],MATCH($AU246,tbl_Finance[Row ID],0))="","",INDEX(tbl_Finance[Latest Invoice Date],MATCH($AU246,tbl_Finance[Row ID],0))),""))</f>
        <v/>
      </c>
      <c r="B246" s="10">
        <f>IF($C246="","",IFERROR(INDEX(tbl_Finance[Invoice Numbers],MATCH($AU246,tbl_Finance[Row ID],0))&amp;"",""))</f>
        <v/>
      </c>
      <c r="C246" s="37" t="n"/>
      <c r="D246" s="10">
        <f>IF($C246="","",IF(COUNTIF(lst_Jobs,$C246&amp;"")&gt;0,"OK","CHECK"))</f>
        <v/>
      </c>
      <c r="E246" s="10">
        <f>IF($C246="","",IFERROR(INDEX(lst_JobName,MATCH($C246&amp;"",lst_Jobs,0)),""))</f>
        <v/>
      </c>
      <c r="F246" s="37" t="n"/>
      <c r="G246" s="37" t="n"/>
      <c r="H246" s="37" t="n"/>
      <c r="I246" s="37" t="n"/>
      <c r="J246" s="37" t="n"/>
      <c r="K246" s="38">
        <f>IF($C246="","",IFERROR(N(INDEX(tbl_Finance[Invoice Count],MATCH($AU246,tbl_Finance[Row ID],0))),""))</f>
        <v/>
      </c>
      <c r="L246" s="11">
        <f>IF($C246="","",IFERROR(N(INDEX(tbl_Finance[Xero Invoiced Ex GST],MATCH($AU246,tbl_Finance[Row ID],0))),""))</f>
        <v/>
      </c>
      <c r="M246" s="10">
        <f>IF($C246="","",IFERROR(INDEX(tbl_Finance[Compare],MATCH($AU246,tbl_Finance[Row ID],0))&amp;"",""))</f>
        <v/>
      </c>
      <c r="N246" s="11">
        <f>IF($C246="","",MAX(0,N(O246)-N(L246)))</f>
        <v/>
      </c>
      <c r="O246" s="39" t="n"/>
      <c r="P246" s="40">
        <f>IF($C246="","",IF((IF(F246="",", Client","")&amp;IF(G246="",", Description","")&amp;IF(H246="",", Cost Centre","")&amp;IF(I246="",", Invoice Type","")&amp;IF(J246="",", Tax Code","")&amp;IF(O246="",", Expected Revenue","")&amp;IF(COUNTIF(tbl_Finance[Job Number],$C246&amp;"")&gt;1,", Job number used twice",""))="","Complete","Fix: "&amp;MID(IF(F246="",", Client","")&amp;IF(G246="",", Description","")&amp;IF(H246="",", Cost Centre","")&amp;IF(I246="",", Invoice Type","")&amp;IF(J246="",", Tax Code","")&amp;IF(O246="",", Expected Revenue","")&amp;IF(COUNTIF(tbl_Finance[Job Number],$C246&amp;"")&gt;1,", Job number used twice",""),3,300)))</f>
        <v/>
      </c>
      <c r="Q246" s="10">
        <f>IF($C246="","",IF(H246="","(no cost centre)",H246&amp;" - GL "&amp;IFERROR(INDEX(lst_CCtoGL,MATCH(H246,lst_CCforGL,0)),"?")))</f>
        <v/>
      </c>
      <c r="R246" s="11">
        <f>IF($C246="","",IFERROR(N(INDEX(tbl_Finance[Inc GST],MATCH($AU246,tbl_Finance[Row ID],0))),""))</f>
        <v/>
      </c>
      <c r="S246" s="37" t="n"/>
      <c r="T246" s="37" t="n"/>
      <c r="U246" s="37" t="n"/>
      <c r="V246" s="42" t="n"/>
      <c r="W246" s="37" t="n"/>
      <c r="X246" s="10">
        <f>IF(W246="","",IF(AND(LEFT(W246,4)&lt;&gt;"http",set_RMSBase=""),"",HYPERLINK(IF(LEFT(W246,4)="http",W246,set_RMSBase&amp;W246),"Open in RMS")))</f>
        <v/>
      </c>
      <c r="Y246" s="37" t="n"/>
      <c r="Z246" s="10">
        <f>IF(Y246="","",HYPERLINK(IF(LEFT(Y246,4)="http",Y246,set_QwilrBase&amp;Y246),"Open quote"))</f>
        <v/>
      </c>
      <c r="AA246" s="10">
        <f>IF(C246="","",C246)</f>
        <v/>
      </c>
      <c r="AB246" s="37" t="n"/>
      <c r="AC246" s="39" t="n"/>
      <c r="AD246" s="11">
        <f>IF(C246="","",N(L246)+N(AC246))</f>
        <v/>
      </c>
      <c r="AE246" s="43">
        <f>IFERROR(IF(N(AC246)=0,"",AC246/AD246),"")</f>
        <v/>
      </c>
      <c r="AF246" s="39" t="n"/>
      <c r="AG246" s="39" t="n"/>
      <c r="AH246" s="39" t="n"/>
      <c r="AI246" s="39" t="n"/>
      <c r="AJ246" s="11">
        <f>IF(C246="","",IF(H246="VIDEO",N(L246),0))</f>
        <v/>
      </c>
      <c r="AK246" s="43">
        <f>IFERROR(IF(N(L246)=0,"",AJ246/L246),"")</f>
        <v/>
      </c>
      <c r="AL246" s="11">
        <f>IF(C246="","",N(AF246)+N(AG246)+N(AH246)+N(AI246))</f>
        <v/>
      </c>
      <c r="AM246" s="11">
        <f>IF(C246="","",MAX(N(L246),N(O246))-N(AL246))</f>
        <v/>
      </c>
      <c r="AN246" s="43">
        <f>IFERROR(IF(MAX(N(L246),N(O246))=0,"",AM246/MAX(N(L246),N(O246))),"")</f>
        <v/>
      </c>
      <c r="AO246" s="41" t="n"/>
      <c r="AP246" s="41" t="n"/>
      <c r="AQ246" s="41" t="n"/>
      <c r="AR246" s="41" t="n"/>
      <c r="AS246" s="41" t="n"/>
      <c r="AT246" s="37" t="n"/>
      <c r="AU246" s="10" t="inlineStr">
        <is>
          <t>PRD-0242</t>
        </is>
      </c>
    </row>
    <row r="247">
      <c r="A247" s="16">
        <f>IF($C247="","",IFERROR(IF(INDEX(tbl_Finance[Latest Invoice Date],MATCH($AU247,tbl_Finance[Row ID],0))="","",INDEX(tbl_Finance[Latest Invoice Date],MATCH($AU247,tbl_Finance[Row ID],0))),""))</f>
        <v/>
      </c>
      <c r="B247" s="10">
        <f>IF($C247="","",IFERROR(INDEX(tbl_Finance[Invoice Numbers],MATCH($AU247,tbl_Finance[Row ID],0))&amp;"",""))</f>
        <v/>
      </c>
      <c r="C247" s="37" t="n"/>
      <c r="D247" s="10">
        <f>IF($C247="","",IF(COUNTIF(lst_Jobs,$C247&amp;"")&gt;0,"OK","CHECK"))</f>
        <v/>
      </c>
      <c r="E247" s="10">
        <f>IF($C247="","",IFERROR(INDEX(lst_JobName,MATCH($C247&amp;"",lst_Jobs,0)),""))</f>
        <v/>
      </c>
      <c r="F247" s="37" t="n"/>
      <c r="G247" s="37" t="n"/>
      <c r="H247" s="37" t="n"/>
      <c r="I247" s="37" t="n"/>
      <c r="J247" s="37" t="n"/>
      <c r="K247" s="38">
        <f>IF($C247="","",IFERROR(N(INDEX(tbl_Finance[Invoice Count],MATCH($AU247,tbl_Finance[Row ID],0))),""))</f>
        <v/>
      </c>
      <c r="L247" s="11">
        <f>IF($C247="","",IFERROR(N(INDEX(tbl_Finance[Xero Invoiced Ex GST],MATCH($AU247,tbl_Finance[Row ID],0))),""))</f>
        <v/>
      </c>
      <c r="M247" s="10">
        <f>IF($C247="","",IFERROR(INDEX(tbl_Finance[Compare],MATCH($AU247,tbl_Finance[Row ID],0))&amp;"",""))</f>
        <v/>
      </c>
      <c r="N247" s="11">
        <f>IF($C247="","",MAX(0,N(O247)-N(L247)))</f>
        <v/>
      </c>
      <c r="O247" s="39" t="n"/>
      <c r="P247" s="40">
        <f>IF($C247="","",IF((IF(F247="",", Client","")&amp;IF(G247="",", Description","")&amp;IF(H247="",", Cost Centre","")&amp;IF(I247="",", Invoice Type","")&amp;IF(J247="",", Tax Code","")&amp;IF(O247="",", Expected Revenue","")&amp;IF(COUNTIF(tbl_Finance[Job Number],$C247&amp;"")&gt;1,", Job number used twice",""))="","Complete","Fix: "&amp;MID(IF(F247="",", Client","")&amp;IF(G247="",", Description","")&amp;IF(H247="",", Cost Centre","")&amp;IF(I247="",", Invoice Type","")&amp;IF(J247="",", Tax Code","")&amp;IF(O247="",", Expected Revenue","")&amp;IF(COUNTIF(tbl_Finance[Job Number],$C247&amp;"")&gt;1,", Job number used twice",""),3,300)))</f>
        <v/>
      </c>
      <c r="Q247" s="10">
        <f>IF($C247="","",IF(H247="","(no cost centre)",H247&amp;" - GL "&amp;IFERROR(INDEX(lst_CCtoGL,MATCH(H247,lst_CCforGL,0)),"?")))</f>
        <v/>
      </c>
      <c r="R247" s="11">
        <f>IF($C247="","",IFERROR(N(INDEX(tbl_Finance[Inc GST],MATCH($AU247,tbl_Finance[Row ID],0))),""))</f>
        <v/>
      </c>
      <c r="S247" s="37" t="n"/>
      <c r="T247" s="37" t="n"/>
      <c r="U247" s="37" t="n"/>
      <c r="V247" s="42" t="n"/>
      <c r="W247" s="37" t="n"/>
      <c r="X247" s="10">
        <f>IF(W247="","",IF(AND(LEFT(W247,4)&lt;&gt;"http",set_RMSBase=""),"",HYPERLINK(IF(LEFT(W247,4)="http",W247,set_RMSBase&amp;W247),"Open in RMS")))</f>
        <v/>
      </c>
      <c r="Y247" s="37" t="n"/>
      <c r="Z247" s="10">
        <f>IF(Y247="","",HYPERLINK(IF(LEFT(Y247,4)="http",Y247,set_QwilrBase&amp;Y247),"Open quote"))</f>
        <v/>
      </c>
      <c r="AA247" s="10">
        <f>IF(C247="","",C247)</f>
        <v/>
      </c>
      <c r="AB247" s="37" t="n"/>
      <c r="AC247" s="39" t="n"/>
      <c r="AD247" s="11">
        <f>IF(C247="","",N(L247)+N(AC247))</f>
        <v/>
      </c>
      <c r="AE247" s="43">
        <f>IFERROR(IF(N(AC247)=0,"",AC247/AD247),"")</f>
        <v/>
      </c>
      <c r="AF247" s="39" t="n"/>
      <c r="AG247" s="39" t="n"/>
      <c r="AH247" s="39" t="n"/>
      <c r="AI247" s="39" t="n"/>
      <c r="AJ247" s="11">
        <f>IF(C247="","",IF(H247="VIDEO",N(L247),0))</f>
        <v/>
      </c>
      <c r="AK247" s="43">
        <f>IFERROR(IF(N(L247)=0,"",AJ247/L247),"")</f>
        <v/>
      </c>
      <c r="AL247" s="11">
        <f>IF(C247="","",N(AF247)+N(AG247)+N(AH247)+N(AI247))</f>
        <v/>
      </c>
      <c r="AM247" s="11">
        <f>IF(C247="","",MAX(N(L247),N(O247))-N(AL247))</f>
        <v/>
      </c>
      <c r="AN247" s="43">
        <f>IFERROR(IF(MAX(N(L247),N(O247))=0,"",AM247/MAX(N(L247),N(O247))),"")</f>
        <v/>
      </c>
      <c r="AO247" s="41" t="n"/>
      <c r="AP247" s="41" t="n"/>
      <c r="AQ247" s="41" t="n"/>
      <c r="AR247" s="41" t="n"/>
      <c r="AS247" s="41" t="n"/>
      <c r="AT247" s="37" t="n"/>
      <c r="AU247" s="10" t="inlineStr">
        <is>
          <t>PRD-0243</t>
        </is>
      </c>
    </row>
    <row r="248">
      <c r="A248" s="16">
        <f>IF($C248="","",IFERROR(IF(INDEX(tbl_Finance[Latest Invoice Date],MATCH($AU248,tbl_Finance[Row ID],0))="","",INDEX(tbl_Finance[Latest Invoice Date],MATCH($AU248,tbl_Finance[Row ID],0))),""))</f>
        <v/>
      </c>
      <c r="B248" s="10">
        <f>IF($C248="","",IFERROR(INDEX(tbl_Finance[Invoice Numbers],MATCH($AU248,tbl_Finance[Row ID],0))&amp;"",""))</f>
        <v/>
      </c>
      <c r="C248" s="37" t="n"/>
      <c r="D248" s="10">
        <f>IF($C248="","",IF(COUNTIF(lst_Jobs,$C248&amp;"")&gt;0,"OK","CHECK"))</f>
        <v/>
      </c>
      <c r="E248" s="10">
        <f>IF($C248="","",IFERROR(INDEX(lst_JobName,MATCH($C248&amp;"",lst_Jobs,0)),""))</f>
        <v/>
      </c>
      <c r="F248" s="37" t="n"/>
      <c r="G248" s="37" t="n"/>
      <c r="H248" s="37" t="n"/>
      <c r="I248" s="37" t="n"/>
      <c r="J248" s="37" t="n"/>
      <c r="K248" s="38">
        <f>IF($C248="","",IFERROR(N(INDEX(tbl_Finance[Invoice Count],MATCH($AU248,tbl_Finance[Row ID],0))),""))</f>
        <v/>
      </c>
      <c r="L248" s="11">
        <f>IF($C248="","",IFERROR(N(INDEX(tbl_Finance[Xero Invoiced Ex GST],MATCH($AU248,tbl_Finance[Row ID],0))),""))</f>
        <v/>
      </c>
      <c r="M248" s="10">
        <f>IF($C248="","",IFERROR(INDEX(tbl_Finance[Compare],MATCH($AU248,tbl_Finance[Row ID],0))&amp;"",""))</f>
        <v/>
      </c>
      <c r="N248" s="11">
        <f>IF($C248="","",MAX(0,N(O248)-N(L248)))</f>
        <v/>
      </c>
      <c r="O248" s="39" t="n"/>
      <c r="P248" s="40">
        <f>IF($C248="","",IF((IF(F248="",", Client","")&amp;IF(G248="",", Description","")&amp;IF(H248="",", Cost Centre","")&amp;IF(I248="",", Invoice Type","")&amp;IF(J248="",", Tax Code","")&amp;IF(O248="",", Expected Revenue","")&amp;IF(COUNTIF(tbl_Finance[Job Number],$C248&amp;"")&gt;1,", Job number used twice",""))="","Complete","Fix: "&amp;MID(IF(F248="",", Client","")&amp;IF(G248="",", Description","")&amp;IF(H248="",", Cost Centre","")&amp;IF(I248="",", Invoice Type","")&amp;IF(J248="",", Tax Code","")&amp;IF(O248="",", Expected Revenue","")&amp;IF(COUNTIF(tbl_Finance[Job Number],$C248&amp;"")&gt;1,", Job number used twice",""),3,300)))</f>
        <v/>
      </c>
      <c r="Q248" s="10">
        <f>IF($C248="","",IF(H248="","(no cost centre)",H248&amp;" - GL "&amp;IFERROR(INDEX(lst_CCtoGL,MATCH(H248,lst_CCforGL,0)),"?")))</f>
        <v/>
      </c>
      <c r="R248" s="11">
        <f>IF($C248="","",IFERROR(N(INDEX(tbl_Finance[Inc GST],MATCH($AU248,tbl_Finance[Row ID],0))),""))</f>
        <v/>
      </c>
      <c r="S248" s="37" t="n"/>
      <c r="T248" s="37" t="n"/>
      <c r="U248" s="37" t="n"/>
      <c r="V248" s="42" t="n"/>
      <c r="W248" s="37" t="n"/>
      <c r="X248" s="10">
        <f>IF(W248="","",IF(AND(LEFT(W248,4)&lt;&gt;"http",set_RMSBase=""),"",HYPERLINK(IF(LEFT(W248,4)="http",W248,set_RMSBase&amp;W248),"Open in RMS")))</f>
        <v/>
      </c>
      <c r="Y248" s="37" t="n"/>
      <c r="Z248" s="10">
        <f>IF(Y248="","",HYPERLINK(IF(LEFT(Y248,4)="http",Y248,set_QwilrBase&amp;Y248),"Open quote"))</f>
        <v/>
      </c>
      <c r="AA248" s="10">
        <f>IF(C248="","",C248)</f>
        <v/>
      </c>
      <c r="AB248" s="37" t="n"/>
      <c r="AC248" s="39" t="n"/>
      <c r="AD248" s="11">
        <f>IF(C248="","",N(L248)+N(AC248))</f>
        <v/>
      </c>
      <c r="AE248" s="43">
        <f>IFERROR(IF(N(AC248)=0,"",AC248/AD248),"")</f>
        <v/>
      </c>
      <c r="AF248" s="39" t="n"/>
      <c r="AG248" s="39" t="n"/>
      <c r="AH248" s="39" t="n"/>
      <c r="AI248" s="39" t="n"/>
      <c r="AJ248" s="11">
        <f>IF(C248="","",IF(H248="VIDEO",N(L248),0))</f>
        <v/>
      </c>
      <c r="AK248" s="43">
        <f>IFERROR(IF(N(L248)=0,"",AJ248/L248),"")</f>
        <v/>
      </c>
      <c r="AL248" s="11">
        <f>IF(C248="","",N(AF248)+N(AG248)+N(AH248)+N(AI248))</f>
        <v/>
      </c>
      <c r="AM248" s="11">
        <f>IF(C248="","",MAX(N(L248),N(O248))-N(AL248))</f>
        <v/>
      </c>
      <c r="AN248" s="43">
        <f>IFERROR(IF(MAX(N(L248),N(O248))=0,"",AM248/MAX(N(L248),N(O248))),"")</f>
        <v/>
      </c>
      <c r="AO248" s="41" t="n"/>
      <c r="AP248" s="41" t="n"/>
      <c r="AQ248" s="41" t="n"/>
      <c r="AR248" s="41" t="n"/>
      <c r="AS248" s="41" t="n"/>
      <c r="AT248" s="37" t="n"/>
      <c r="AU248" s="10" t="inlineStr">
        <is>
          <t>PRD-0244</t>
        </is>
      </c>
    </row>
    <row r="249">
      <c r="A249" s="16">
        <f>IF($C249="","",IFERROR(IF(INDEX(tbl_Finance[Latest Invoice Date],MATCH($AU249,tbl_Finance[Row ID],0))="","",INDEX(tbl_Finance[Latest Invoice Date],MATCH($AU249,tbl_Finance[Row ID],0))),""))</f>
        <v/>
      </c>
      <c r="B249" s="10">
        <f>IF($C249="","",IFERROR(INDEX(tbl_Finance[Invoice Numbers],MATCH($AU249,tbl_Finance[Row ID],0))&amp;"",""))</f>
        <v/>
      </c>
      <c r="C249" s="37" t="n"/>
      <c r="D249" s="10">
        <f>IF($C249="","",IF(COUNTIF(lst_Jobs,$C249&amp;"")&gt;0,"OK","CHECK"))</f>
        <v/>
      </c>
      <c r="E249" s="10">
        <f>IF($C249="","",IFERROR(INDEX(lst_JobName,MATCH($C249&amp;"",lst_Jobs,0)),""))</f>
        <v/>
      </c>
      <c r="F249" s="37" t="n"/>
      <c r="G249" s="37" t="n"/>
      <c r="H249" s="37" t="n"/>
      <c r="I249" s="37" t="n"/>
      <c r="J249" s="37" t="n"/>
      <c r="K249" s="38">
        <f>IF($C249="","",IFERROR(N(INDEX(tbl_Finance[Invoice Count],MATCH($AU249,tbl_Finance[Row ID],0))),""))</f>
        <v/>
      </c>
      <c r="L249" s="11">
        <f>IF($C249="","",IFERROR(N(INDEX(tbl_Finance[Xero Invoiced Ex GST],MATCH($AU249,tbl_Finance[Row ID],0))),""))</f>
        <v/>
      </c>
      <c r="M249" s="10">
        <f>IF($C249="","",IFERROR(INDEX(tbl_Finance[Compare],MATCH($AU249,tbl_Finance[Row ID],0))&amp;"",""))</f>
        <v/>
      </c>
      <c r="N249" s="11">
        <f>IF($C249="","",MAX(0,N(O249)-N(L249)))</f>
        <v/>
      </c>
      <c r="O249" s="39" t="n"/>
      <c r="P249" s="40">
        <f>IF($C249="","",IF((IF(F249="",", Client","")&amp;IF(G249="",", Description","")&amp;IF(H249="",", Cost Centre","")&amp;IF(I249="",", Invoice Type","")&amp;IF(J249="",", Tax Code","")&amp;IF(O249="",", Expected Revenue","")&amp;IF(COUNTIF(tbl_Finance[Job Number],$C249&amp;"")&gt;1,", Job number used twice",""))="","Complete","Fix: "&amp;MID(IF(F249="",", Client","")&amp;IF(G249="",", Description","")&amp;IF(H249="",", Cost Centre","")&amp;IF(I249="",", Invoice Type","")&amp;IF(J249="",", Tax Code","")&amp;IF(O249="",", Expected Revenue","")&amp;IF(COUNTIF(tbl_Finance[Job Number],$C249&amp;"")&gt;1,", Job number used twice",""),3,300)))</f>
        <v/>
      </c>
      <c r="Q249" s="10">
        <f>IF($C249="","",IF(H249="","(no cost centre)",H249&amp;" - GL "&amp;IFERROR(INDEX(lst_CCtoGL,MATCH(H249,lst_CCforGL,0)),"?")))</f>
        <v/>
      </c>
      <c r="R249" s="11">
        <f>IF($C249="","",IFERROR(N(INDEX(tbl_Finance[Inc GST],MATCH($AU249,tbl_Finance[Row ID],0))),""))</f>
        <v/>
      </c>
      <c r="S249" s="37" t="n"/>
      <c r="T249" s="37" t="n"/>
      <c r="U249" s="37" t="n"/>
      <c r="V249" s="42" t="n"/>
      <c r="W249" s="37" t="n"/>
      <c r="X249" s="10">
        <f>IF(W249="","",IF(AND(LEFT(W249,4)&lt;&gt;"http",set_RMSBase=""),"",HYPERLINK(IF(LEFT(W249,4)="http",W249,set_RMSBase&amp;W249),"Open in RMS")))</f>
        <v/>
      </c>
      <c r="Y249" s="37" t="n"/>
      <c r="Z249" s="10">
        <f>IF(Y249="","",HYPERLINK(IF(LEFT(Y249,4)="http",Y249,set_QwilrBase&amp;Y249),"Open quote"))</f>
        <v/>
      </c>
      <c r="AA249" s="10">
        <f>IF(C249="","",C249)</f>
        <v/>
      </c>
      <c r="AB249" s="37" t="n"/>
      <c r="AC249" s="39" t="n"/>
      <c r="AD249" s="11">
        <f>IF(C249="","",N(L249)+N(AC249))</f>
        <v/>
      </c>
      <c r="AE249" s="43">
        <f>IFERROR(IF(N(AC249)=0,"",AC249/AD249),"")</f>
        <v/>
      </c>
      <c r="AF249" s="39" t="n"/>
      <c r="AG249" s="39" t="n"/>
      <c r="AH249" s="39" t="n"/>
      <c r="AI249" s="39" t="n"/>
      <c r="AJ249" s="11">
        <f>IF(C249="","",IF(H249="VIDEO",N(L249),0))</f>
        <v/>
      </c>
      <c r="AK249" s="43">
        <f>IFERROR(IF(N(L249)=0,"",AJ249/L249),"")</f>
        <v/>
      </c>
      <c r="AL249" s="11">
        <f>IF(C249="","",N(AF249)+N(AG249)+N(AH249)+N(AI249))</f>
        <v/>
      </c>
      <c r="AM249" s="11">
        <f>IF(C249="","",MAX(N(L249),N(O249))-N(AL249))</f>
        <v/>
      </c>
      <c r="AN249" s="43">
        <f>IFERROR(IF(MAX(N(L249),N(O249))=0,"",AM249/MAX(N(L249),N(O249))),"")</f>
        <v/>
      </c>
      <c r="AO249" s="41" t="n"/>
      <c r="AP249" s="41" t="n"/>
      <c r="AQ249" s="41" t="n"/>
      <c r="AR249" s="41" t="n"/>
      <c r="AS249" s="41" t="n"/>
      <c r="AT249" s="37" t="n"/>
      <c r="AU249" s="10" t="inlineStr">
        <is>
          <t>PRD-0245</t>
        </is>
      </c>
    </row>
    <row r="250">
      <c r="A250" s="16">
        <f>IF($C250="","",IFERROR(IF(INDEX(tbl_Finance[Latest Invoice Date],MATCH($AU250,tbl_Finance[Row ID],0))="","",INDEX(tbl_Finance[Latest Invoice Date],MATCH($AU250,tbl_Finance[Row ID],0))),""))</f>
        <v/>
      </c>
      <c r="B250" s="10">
        <f>IF($C250="","",IFERROR(INDEX(tbl_Finance[Invoice Numbers],MATCH($AU250,tbl_Finance[Row ID],0))&amp;"",""))</f>
        <v/>
      </c>
      <c r="C250" s="37" t="n"/>
      <c r="D250" s="10">
        <f>IF($C250="","",IF(COUNTIF(lst_Jobs,$C250&amp;"")&gt;0,"OK","CHECK"))</f>
        <v/>
      </c>
      <c r="E250" s="10">
        <f>IF($C250="","",IFERROR(INDEX(lst_JobName,MATCH($C250&amp;"",lst_Jobs,0)),""))</f>
        <v/>
      </c>
      <c r="F250" s="37" t="n"/>
      <c r="G250" s="37" t="n"/>
      <c r="H250" s="37" t="n"/>
      <c r="I250" s="37" t="n"/>
      <c r="J250" s="37" t="n"/>
      <c r="K250" s="38">
        <f>IF($C250="","",IFERROR(N(INDEX(tbl_Finance[Invoice Count],MATCH($AU250,tbl_Finance[Row ID],0))),""))</f>
        <v/>
      </c>
      <c r="L250" s="11">
        <f>IF($C250="","",IFERROR(N(INDEX(tbl_Finance[Xero Invoiced Ex GST],MATCH($AU250,tbl_Finance[Row ID],0))),""))</f>
        <v/>
      </c>
      <c r="M250" s="10">
        <f>IF($C250="","",IFERROR(INDEX(tbl_Finance[Compare],MATCH($AU250,tbl_Finance[Row ID],0))&amp;"",""))</f>
        <v/>
      </c>
      <c r="N250" s="11">
        <f>IF($C250="","",MAX(0,N(O250)-N(L250)))</f>
        <v/>
      </c>
      <c r="O250" s="39" t="n"/>
      <c r="P250" s="40">
        <f>IF($C250="","",IF((IF(F250="",", Client","")&amp;IF(G250="",", Description","")&amp;IF(H250="",", Cost Centre","")&amp;IF(I250="",", Invoice Type","")&amp;IF(J250="",", Tax Code","")&amp;IF(O250="",", Expected Revenue","")&amp;IF(COUNTIF(tbl_Finance[Job Number],$C250&amp;"")&gt;1,", Job number used twice",""))="","Complete","Fix: "&amp;MID(IF(F250="",", Client","")&amp;IF(G250="",", Description","")&amp;IF(H250="",", Cost Centre","")&amp;IF(I250="",", Invoice Type","")&amp;IF(J250="",", Tax Code","")&amp;IF(O250="",", Expected Revenue","")&amp;IF(COUNTIF(tbl_Finance[Job Number],$C250&amp;"")&gt;1,", Job number used twice",""),3,300)))</f>
        <v/>
      </c>
      <c r="Q250" s="10">
        <f>IF($C250="","",IF(H250="","(no cost centre)",H250&amp;" - GL "&amp;IFERROR(INDEX(lst_CCtoGL,MATCH(H250,lst_CCforGL,0)),"?")))</f>
        <v/>
      </c>
      <c r="R250" s="11">
        <f>IF($C250="","",IFERROR(N(INDEX(tbl_Finance[Inc GST],MATCH($AU250,tbl_Finance[Row ID],0))),""))</f>
        <v/>
      </c>
      <c r="S250" s="37" t="n"/>
      <c r="T250" s="37" t="n"/>
      <c r="U250" s="37" t="n"/>
      <c r="V250" s="42" t="n"/>
      <c r="W250" s="37" t="n"/>
      <c r="X250" s="10">
        <f>IF(W250="","",IF(AND(LEFT(W250,4)&lt;&gt;"http",set_RMSBase=""),"",HYPERLINK(IF(LEFT(W250,4)="http",W250,set_RMSBase&amp;W250),"Open in RMS")))</f>
        <v/>
      </c>
      <c r="Y250" s="37" t="n"/>
      <c r="Z250" s="10">
        <f>IF(Y250="","",HYPERLINK(IF(LEFT(Y250,4)="http",Y250,set_QwilrBase&amp;Y250),"Open quote"))</f>
        <v/>
      </c>
      <c r="AA250" s="10">
        <f>IF(C250="","",C250)</f>
        <v/>
      </c>
      <c r="AB250" s="37" t="n"/>
      <c r="AC250" s="39" t="n"/>
      <c r="AD250" s="11">
        <f>IF(C250="","",N(L250)+N(AC250))</f>
        <v/>
      </c>
      <c r="AE250" s="43">
        <f>IFERROR(IF(N(AC250)=0,"",AC250/AD250),"")</f>
        <v/>
      </c>
      <c r="AF250" s="39" t="n"/>
      <c r="AG250" s="39" t="n"/>
      <c r="AH250" s="39" t="n"/>
      <c r="AI250" s="39" t="n"/>
      <c r="AJ250" s="11">
        <f>IF(C250="","",IF(H250="VIDEO",N(L250),0))</f>
        <v/>
      </c>
      <c r="AK250" s="43">
        <f>IFERROR(IF(N(L250)=0,"",AJ250/L250),"")</f>
        <v/>
      </c>
      <c r="AL250" s="11">
        <f>IF(C250="","",N(AF250)+N(AG250)+N(AH250)+N(AI250))</f>
        <v/>
      </c>
      <c r="AM250" s="11">
        <f>IF(C250="","",MAX(N(L250),N(O250))-N(AL250))</f>
        <v/>
      </c>
      <c r="AN250" s="43">
        <f>IFERROR(IF(MAX(N(L250),N(O250))=0,"",AM250/MAX(N(L250),N(O250))),"")</f>
        <v/>
      </c>
      <c r="AO250" s="41" t="n"/>
      <c r="AP250" s="41" t="n"/>
      <c r="AQ250" s="41" t="n"/>
      <c r="AR250" s="41" t="n"/>
      <c r="AS250" s="41" t="n"/>
      <c r="AT250" s="37" t="n"/>
      <c r="AU250" s="10" t="inlineStr">
        <is>
          <t>PRD-0246</t>
        </is>
      </c>
    </row>
    <row r="251">
      <c r="A251" s="16">
        <f>IF($C251="","",IFERROR(IF(INDEX(tbl_Finance[Latest Invoice Date],MATCH($AU251,tbl_Finance[Row ID],0))="","",INDEX(tbl_Finance[Latest Invoice Date],MATCH($AU251,tbl_Finance[Row ID],0))),""))</f>
        <v/>
      </c>
      <c r="B251" s="10">
        <f>IF($C251="","",IFERROR(INDEX(tbl_Finance[Invoice Numbers],MATCH($AU251,tbl_Finance[Row ID],0))&amp;"",""))</f>
        <v/>
      </c>
      <c r="C251" s="37" t="n"/>
      <c r="D251" s="10">
        <f>IF($C251="","",IF(COUNTIF(lst_Jobs,$C251&amp;"")&gt;0,"OK","CHECK"))</f>
        <v/>
      </c>
      <c r="E251" s="10">
        <f>IF($C251="","",IFERROR(INDEX(lst_JobName,MATCH($C251&amp;"",lst_Jobs,0)),""))</f>
        <v/>
      </c>
      <c r="F251" s="37" t="n"/>
      <c r="G251" s="37" t="n"/>
      <c r="H251" s="37" t="n"/>
      <c r="I251" s="37" t="n"/>
      <c r="J251" s="37" t="n"/>
      <c r="K251" s="38">
        <f>IF($C251="","",IFERROR(N(INDEX(tbl_Finance[Invoice Count],MATCH($AU251,tbl_Finance[Row ID],0))),""))</f>
        <v/>
      </c>
      <c r="L251" s="11">
        <f>IF($C251="","",IFERROR(N(INDEX(tbl_Finance[Xero Invoiced Ex GST],MATCH($AU251,tbl_Finance[Row ID],0))),""))</f>
        <v/>
      </c>
      <c r="M251" s="10">
        <f>IF($C251="","",IFERROR(INDEX(tbl_Finance[Compare],MATCH($AU251,tbl_Finance[Row ID],0))&amp;"",""))</f>
        <v/>
      </c>
      <c r="N251" s="11">
        <f>IF($C251="","",MAX(0,N(O251)-N(L251)))</f>
        <v/>
      </c>
      <c r="O251" s="39" t="n"/>
      <c r="P251" s="40">
        <f>IF($C251="","",IF((IF(F251="",", Client","")&amp;IF(G251="",", Description","")&amp;IF(H251="",", Cost Centre","")&amp;IF(I251="",", Invoice Type","")&amp;IF(J251="",", Tax Code","")&amp;IF(O251="",", Expected Revenue","")&amp;IF(COUNTIF(tbl_Finance[Job Number],$C251&amp;"")&gt;1,", Job number used twice",""))="","Complete","Fix: "&amp;MID(IF(F251="",", Client","")&amp;IF(G251="",", Description","")&amp;IF(H251="",", Cost Centre","")&amp;IF(I251="",", Invoice Type","")&amp;IF(J251="",", Tax Code","")&amp;IF(O251="",", Expected Revenue","")&amp;IF(COUNTIF(tbl_Finance[Job Number],$C251&amp;"")&gt;1,", Job number used twice",""),3,300)))</f>
        <v/>
      </c>
      <c r="Q251" s="10">
        <f>IF($C251="","",IF(H251="","(no cost centre)",H251&amp;" - GL "&amp;IFERROR(INDEX(lst_CCtoGL,MATCH(H251,lst_CCforGL,0)),"?")))</f>
        <v/>
      </c>
      <c r="R251" s="11">
        <f>IF($C251="","",IFERROR(N(INDEX(tbl_Finance[Inc GST],MATCH($AU251,tbl_Finance[Row ID],0))),""))</f>
        <v/>
      </c>
      <c r="S251" s="37" t="n"/>
      <c r="T251" s="37" t="n"/>
      <c r="U251" s="37" t="n"/>
      <c r="V251" s="42" t="n"/>
      <c r="W251" s="37" t="n"/>
      <c r="X251" s="10">
        <f>IF(W251="","",IF(AND(LEFT(W251,4)&lt;&gt;"http",set_RMSBase=""),"",HYPERLINK(IF(LEFT(W251,4)="http",W251,set_RMSBase&amp;W251),"Open in RMS")))</f>
        <v/>
      </c>
      <c r="Y251" s="37" t="n"/>
      <c r="Z251" s="10">
        <f>IF(Y251="","",HYPERLINK(IF(LEFT(Y251,4)="http",Y251,set_QwilrBase&amp;Y251),"Open quote"))</f>
        <v/>
      </c>
      <c r="AA251" s="10">
        <f>IF(C251="","",C251)</f>
        <v/>
      </c>
      <c r="AB251" s="37" t="n"/>
      <c r="AC251" s="39" t="n"/>
      <c r="AD251" s="11">
        <f>IF(C251="","",N(L251)+N(AC251))</f>
        <v/>
      </c>
      <c r="AE251" s="43">
        <f>IFERROR(IF(N(AC251)=0,"",AC251/AD251),"")</f>
        <v/>
      </c>
      <c r="AF251" s="39" t="n"/>
      <c r="AG251" s="39" t="n"/>
      <c r="AH251" s="39" t="n"/>
      <c r="AI251" s="39" t="n"/>
      <c r="AJ251" s="11">
        <f>IF(C251="","",IF(H251="VIDEO",N(L251),0))</f>
        <v/>
      </c>
      <c r="AK251" s="43">
        <f>IFERROR(IF(N(L251)=0,"",AJ251/L251),"")</f>
        <v/>
      </c>
      <c r="AL251" s="11">
        <f>IF(C251="","",N(AF251)+N(AG251)+N(AH251)+N(AI251))</f>
        <v/>
      </c>
      <c r="AM251" s="11">
        <f>IF(C251="","",MAX(N(L251),N(O251))-N(AL251))</f>
        <v/>
      </c>
      <c r="AN251" s="43">
        <f>IFERROR(IF(MAX(N(L251),N(O251))=0,"",AM251/MAX(N(L251),N(O251))),"")</f>
        <v/>
      </c>
      <c r="AO251" s="41" t="n"/>
      <c r="AP251" s="41" t="n"/>
      <c r="AQ251" s="41" t="n"/>
      <c r="AR251" s="41" t="n"/>
      <c r="AS251" s="41" t="n"/>
      <c r="AT251" s="37" t="n"/>
      <c r="AU251" s="10" t="inlineStr">
        <is>
          <t>PRD-0247</t>
        </is>
      </c>
    </row>
    <row r="252">
      <c r="A252" s="16">
        <f>IF($C252="","",IFERROR(IF(INDEX(tbl_Finance[Latest Invoice Date],MATCH($AU252,tbl_Finance[Row ID],0))="","",INDEX(tbl_Finance[Latest Invoice Date],MATCH($AU252,tbl_Finance[Row ID],0))),""))</f>
        <v/>
      </c>
      <c r="B252" s="10">
        <f>IF($C252="","",IFERROR(INDEX(tbl_Finance[Invoice Numbers],MATCH($AU252,tbl_Finance[Row ID],0))&amp;"",""))</f>
        <v/>
      </c>
      <c r="C252" s="37" t="n"/>
      <c r="D252" s="10">
        <f>IF($C252="","",IF(COUNTIF(lst_Jobs,$C252&amp;"")&gt;0,"OK","CHECK"))</f>
        <v/>
      </c>
      <c r="E252" s="10">
        <f>IF($C252="","",IFERROR(INDEX(lst_JobName,MATCH($C252&amp;"",lst_Jobs,0)),""))</f>
        <v/>
      </c>
      <c r="F252" s="37" t="n"/>
      <c r="G252" s="37" t="n"/>
      <c r="H252" s="37" t="n"/>
      <c r="I252" s="37" t="n"/>
      <c r="J252" s="37" t="n"/>
      <c r="K252" s="38">
        <f>IF($C252="","",IFERROR(N(INDEX(tbl_Finance[Invoice Count],MATCH($AU252,tbl_Finance[Row ID],0))),""))</f>
        <v/>
      </c>
      <c r="L252" s="11">
        <f>IF($C252="","",IFERROR(N(INDEX(tbl_Finance[Xero Invoiced Ex GST],MATCH($AU252,tbl_Finance[Row ID],0))),""))</f>
        <v/>
      </c>
      <c r="M252" s="10">
        <f>IF($C252="","",IFERROR(INDEX(tbl_Finance[Compare],MATCH($AU252,tbl_Finance[Row ID],0))&amp;"",""))</f>
        <v/>
      </c>
      <c r="N252" s="11">
        <f>IF($C252="","",MAX(0,N(O252)-N(L252)))</f>
        <v/>
      </c>
      <c r="O252" s="39" t="n"/>
      <c r="P252" s="40">
        <f>IF($C252="","",IF((IF(F252="",", Client","")&amp;IF(G252="",", Description","")&amp;IF(H252="",", Cost Centre","")&amp;IF(I252="",", Invoice Type","")&amp;IF(J252="",", Tax Code","")&amp;IF(O252="",", Expected Revenue","")&amp;IF(COUNTIF(tbl_Finance[Job Number],$C252&amp;"")&gt;1,", Job number used twice",""))="","Complete","Fix: "&amp;MID(IF(F252="",", Client","")&amp;IF(G252="",", Description","")&amp;IF(H252="",", Cost Centre","")&amp;IF(I252="",", Invoice Type","")&amp;IF(J252="",", Tax Code","")&amp;IF(O252="",", Expected Revenue","")&amp;IF(COUNTIF(tbl_Finance[Job Number],$C252&amp;"")&gt;1,", Job number used twice",""),3,300)))</f>
        <v/>
      </c>
      <c r="Q252" s="10">
        <f>IF($C252="","",IF(H252="","(no cost centre)",H252&amp;" - GL "&amp;IFERROR(INDEX(lst_CCtoGL,MATCH(H252,lst_CCforGL,0)),"?")))</f>
        <v/>
      </c>
      <c r="R252" s="11">
        <f>IF($C252="","",IFERROR(N(INDEX(tbl_Finance[Inc GST],MATCH($AU252,tbl_Finance[Row ID],0))),""))</f>
        <v/>
      </c>
      <c r="S252" s="37" t="n"/>
      <c r="T252" s="37" t="n"/>
      <c r="U252" s="37" t="n"/>
      <c r="V252" s="42" t="n"/>
      <c r="W252" s="37" t="n"/>
      <c r="X252" s="10">
        <f>IF(W252="","",IF(AND(LEFT(W252,4)&lt;&gt;"http",set_RMSBase=""),"",HYPERLINK(IF(LEFT(W252,4)="http",W252,set_RMSBase&amp;W252),"Open in RMS")))</f>
        <v/>
      </c>
      <c r="Y252" s="37" t="n"/>
      <c r="Z252" s="10">
        <f>IF(Y252="","",HYPERLINK(IF(LEFT(Y252,4)="http",Y252,set_QwilrBase&amp;Y252),"Open quote"))</f>
        <v/>
      </c>
      <c r="AA252" s="10">
        <f>IF(C252="","",C252)</f>
        <v/>
      </c>
      <c r="AB252" s="37" t="n"/>
      <c r="AC252" s="39" t="n"/>
      <c r="AD252" s="11">
        <f>IF(C252="","",N(L252)+N(AC252))</f>
        <v/>
      </c>
      <c r="AE252" s="43">
        <f>IFERROR(IF(N(AC252)=0,"",AC252/AD252),"")</f>
        <v/>
      </c>
      <c r="AF252" s="39" t="n"/>
      <c r="AG252" s="39" t="n"/>
      <c r="AH252" s="39" t="n"/>
      <c r="AI252" s="39" t="n"/>
      <c r="AJ252" s="11">
        <f>IF(C252="","",IF(H252="VIDEO",N(L252),0))</f>
        <v/>
      </c>
      <c r="AK252" s="43">
        <f>IFERROR(IF(N(L252)=0,"",AJ252/L252),"")</f>
        <v/>
      </c>
      <c r="AL252" s="11">
        <f>IF(C252="","",N(AF252)+N(AG252)+N(AH252)+N(AI252))</f>
        <v/>
      </c>
      <c r="AM252" s="11">
        <f>IF(C252="","",MAX(N(L252),N(O252))-N(AL252))</f>
        <v/>
      </c>
      <c r="AN252" s="43">
        <f>IFERROR(IF(MAX(N(L252),N(O252))=0,"",AM252/MAX(N(L252),N(O252))),"")</f>
        <v/>
      </c>
      <c r="AO252" s="41" t="n"/>
      <c r="AP252" s="41" t="n"/>
      <c r="AQ252" s="41" t="n"/>
      <c r="AR252" s="41" t="n"/>
      <c r="AS252" s="41" t="n"/>
      <c r="AT252" s="37" t="n"/>
      <c r="AU252" s="10" t="inlineStr">
        <is>
          <t>PRD-0248</t>
        </is>
      </c>
    </row>
    <row r="253">
      <c r="A253" s="16">
        <f>IF($C253="","",IFERROR(IF(INDEX(tbl_Finance[Latest Invoice Date],MATCH($AU253,tbl_Finance[Row ID],0))="","",INDEX(tbl_Finance[Latest Invoice Date],MATCH($AU253,tbl_Finance[Row ID],0))),""))</f>
        <v/>
      </c>
      <c r="B253" s="10">
        <f>IF($C253="","",IFERROR(INDEX(tbl_Finance[Invoice Numbers],MATCH($AU253,tbl_Finance[Row ID],0))&amp;"",""))</f>
        <v/>
      </c>
      <c r="C253" s="37" t="n"/>
      <c r="D253" s="10">
        <f>IF($C253="","",IF(COUNTIF(lst_Jobs,$C253&amp;"")&gt;0,"OK","CHECK"))</f>
        <v/>
      </c>
      <c r="E253" s="10">
        <f>IF($C253="","",IFERROR(INDEX(lst_JobName,MATCH($C253&amp;"",lst_Jobs,0)),""))</f>
        <v/>
      </c>
      <c r="F253" s="37" t="n"/>
      <c r="G253" s="37" t="n"/>
      <c r="H253" s="37" t="n"/>
      <c r="I253" s="37" t="n"/>
      <c r="J253" s="37" t="n"/>
      <c r="K253" s="38">
        <f>IF($C253="","",IFERROR(N(INDEX(tbl_Finance[Invoice Count],MATCH($AU253,tbl_Finance[Row ID],0))),""))</f>
        <v/>
      </c>
      <c r="L253" s="11">
        <f>IF($C253="","",IFERROR(N(INDEX(tbl_Finance[Xero Invoiced Ex GST],MATCH($AU253,tbl_Finance[Row ID],0))),""))</f>
        <v/>
      </c>
      <c r="M253" s="10">
        <f>IF($C253="","",IFERROR(INDEX(tbl_Finance[Compare],MATCH($AU253,tbl_Finance[Row ID],0))&amp;"",""))</f>
        <v/>
      </c>
      <c r="N253" s="11">
        <f>IF($C253="","",MAX(0,N(O253)-N(L253)))</f>
        <v/>
      </c>
      <c r="O253" s="39" t="n"/>
      <c r="P253" s="40">
        <f>IF($C253="","",IF((IF(F253="",", Client","")&amp;IF(G253="",", Description","")&amp;IF(H253="",", Cost Centre","")&amp;IF(I253="",", Invoice Type","")&amp;IF(J253="",", Tax Code","")&amp;IF(O253="",", Expected Revenue","")&amp;IF(COUNTIF(tbl_Finance[Job Number],$C253&amp;"")&gt;1,", Job number used twice",""))="","Complete","Fix: "&amp;MID(IF(F253="",", Client","")&amp;IF(G253="",", Description","")&amp;IF(H253="",", Cost Centre","")&amp;IF(I253="",", Invoice Type","")&amp;IF(J253="",", Tax Code","")&amp;IF(O253="",", Expected Revenue","")&amp;IF(COUNTIF(tbl_Finance[Job Number],$C253&amp;"")&gt;1,", Job number used twice",""),3,300)))</f>
        <v/>
      </c>
      <c r="Q253" s="10">
        <f>IF($C253="","",IF(H253="","(no cost centre)",H253&amp;" - GL "&amp;IFERROR(INDEX(lst_CCtoGL,MATCH(H253,lst_CCforGL,0)),"?")))</f>
        <v/>
      </c>
      <c r="R253" s="11">
        <f>IF($C253="","",IFERROR(N(INDEX(tbl_Finance[Inc GST],MATCH($AU253,tbl_Finance[Row ID],0))),""))</f>
        <v/>
      </c>
      <c r="S253" s="37" t="n"/>
      <c r="T253" s="37" t="n"/>
      <c r="U253" s="37" t="n"/>
      <c r="V253" s="42" t="n"/>
      <c r="W253" s="37" t="n"/>
      <c r="X253" s="10">
        <f>IF(W253="","",IF(AND(LEFT(W253,4)&lt;&gt;"http",set_RMSBase=""),"",HYPERLINK(IF(LEFT(W253,4)="http",W253,set_RMSBase&amp;W253),"Open in RMS")))</f>
        <v/>
      </c>
      <c r="Y253" s="37" t="n"/>
      <c r="Z253" s="10">
        <f>IF(Y253="","",HYPERLINK(IF(LEFT(Y253,4)="http",Y253,set_QwilrBase&amp;Y253),"Open quote"))</f>
        <v/>
      </c>
      <c r="AA253" s="10">
        <f>IF(C253="","",C253)</f>
        <v/>
      </c>
      <c r="AB253" s="37" t="n"/>
      <c r="AC253" s="39" t="n"/>
      <c r="AD253" s="11">
        <f>IF(C253="","",N(L253)+N(AC253))</f>
        <v/>
      </c>
      <c r="AE253" s="43">
        <f>IFERROR(IF(N(AC253)=0,"",AC253/AD253),"")</f>
        <v/>
      </c>
      <c r="AF253" s="39" t="n"/>
      <c r="AG253" s="39" t="n"/>
      <c r="AH253" s="39" t="n"/>
      <c r="AI253" s="39" t="n"/>
      <c r="AJ253" s="11">
        <f>IF(C253="","",IF(H253="VIDEO",N(L253),0))</f>
        <v/>
      </c>
      <c r="AK253" s="43">
        <f>IFERROR(IF(N(L253)=0,"",AJ253/L253),"")</f>
        <v/>
      </c>
      <c r="AL253" s="11">
        <f>IF(C253="","",N(AF253)+N(AG253)+N(AH253)+N(AI253))</f>
        <v/>
      </c>
      <c r="AM253" s="11">
        <f>IF(C253="","",MAX(N(L253),N(O253))-N(AL253))</f>
        <v/>
      </c>
      <c r="AN253" s="43">
        <f>IFERROR(IF(MAX(N(L253),N(O253))=0,"",AM253/MAX(N(L253),N(O253))),"")</f>
        <v/>
      </c>
      <c r="AO253" s="41" t="n"/>
      <c r="AP253" s="41" t="n"/>
      <c r="AQ253" s="41" t="n"/>
      <c r="AR253" s="41" t="n"/>
      <c r="AS253" s="41" t="n"/>
      <c r="AT253" s="37" t="n"/>
      <c r="AU253" s="10" t="inlineStr">
        <is>
          <t>PRD-0249</t>
        </is>
      </c>
    </row>
    <row r="254">
      <c r="A254" s="16">
        <f>IF($C254="","",IFERROR(IF(INDEX(tbl_Finance[Latest Invoice Date],MATCH($AU254,tbl_Finance[Row ID],0))="","",INDEX(tbl_Finance[Latest Invoice Date],MATCH($AU254,tbl_Finance[Row ID],0))),""))</f>
        <v/>
      </c>
      <c r="B254" s="10">
        <f>IF($C254="","",IFERROR(INDEX(tbl_Finance[Invoice Numbers],MATCH($AU254,tbl_Finance[Row ID],0))&amp;"",""))</f>
        <v/>
      </c>
      <c r="C254" s="37" t="n"/>
      <c r="D254" s="10">
        <f>IF($C254="","",IF(COUNTIF(lst_Jobs,$C254&amp;"")&gt;0,"OK","CHECK"))</f>
        <v/>
      </c>
      <c r="E254" s="10">
        <f>IF($C254="","",IFERROR(INDEX(lst_JobName,MATCH($C254&amp;"",lst_Jobs,0)),""))</f>
        <v/>
      </c>
      <c r="F254" s="37" t="n"/>
      <c r="G254" s="37" t="n"/>
      <c r="H254" s="37" t="n"/>
      <c r="I254" s="37" t="n"/>
      <c r="J254" s="37" t="n"/>
      <c r="K254" s="38">
        <f>IF($C254="","",IFERROR(N(INDEX(tbl_Finance[Invoice Count],MATCH($AU254,tbl_Finance[Row ID],0))),""))</f>
        <v/>
      </c>
      <c r="L254" s="11">
        <f>IF($C254="","",IFERROR(N(INDEX(tbl_Finance[Xero Invoiced Ex GST],MATCH($AU254,tbl_Finance[Row ID],0))),""))</f>
        <v/>
      </c>
      <c r="M254" s="10">
        <f>IF($C254="","",IFERROR(INDEX(tbl_Finance[Compare],MATCH($AU254,tbl_Finance[Row ID],0))&amp;"",""))</f>
        <v/>
      </c>
      <c r="N254" s="11">
        <f>IF($C254="","",MAX(0,N(O254)-N(L254)))</f>
        <v/>
      </c>
      <c r="O254" s="39" t="n"/>
      <c r="P254" s="40">
        <f>IF($C254="","",IF((IF(F254="",", Client","")&amp;IF(G254="",", Description","")&amp;IF(H254="",", Cost Centre","")&amp;IF(I254="",", Invoice Type","")&amp;IF(J254="",", Tax Code","")&amp;IF(O254="",", Expected Revenue","")&amp;IF(COUNTIF(tbl_Finance[Job Number],$C254&amp;"")&gt;1,", Job number used twice",""))="","Complete","Fix: "&amp;MID(IF(F254="",", Client","")&amp;IF(G254="",", Description","")&amp;IF(H254="",", Cost Centre","")&amp;IF(I254="",", Invoice Type","")&amp;IF(J254="",", Tax Code","")&amp;IF(O254="",", Expected Revenue","")&amp;IF(COUNTIF(tbl_Finance[Job Number],$C254&amp;"")&gt;1,", Job number used twice",""),3,300)))</f>
        <v/>
      </c>
      <c r="Q254" s="10">
        <f>IF($C254="","",IF(H254="","(no cost centre)",H254&amp;" - GL "&amp;IFERROR(INDEX(lst_CCtoGL,MATCH(H254,lst_CCforGL,0)),"?")))</f>
        <v/>
      </c>
      <c r="R254" s="11">
        <f>IF($C254="","",IFERROR(N(INDEX(tbl_Finance[Inc GST],MATCH($AU254,tbl_Finance[Row ID],0))),""))</f>
        <v/>
      </c>
      <c r="S254" s="37" t="n"/>
      <c r="T254" s="37" t="n"/>
      <c r="U254" s="37" t="n"/>
      <c r="V254" s="42" t="n"/>
      <c r="W254" s="37" t="n"/>
      <c r="X254" s="10">
        <f>IF(W254="","",IF(AND(LEFT(W254,4)&lt;&gt;"http",set_RMSBase=""),"",HYPERLINK(IF(LEFT(W254,4)="http",W254,set_RMSBase&amp;W254),"Open in RMS")))</f>
        <v/>
      </c>
      <c r="Y254" s="37" t="n"/>
      <c r="Z254" s="10">
        <f>IF(Y254="","",HYPERLINK(IF(LEFT(Y254,4)="http",Y254,set_QwilrBase&amp;Y254),"Open quote"))</f>
        <v/>
      </c>
      <c r="AA254" s="10">
        <f>IF(C254="","",C254)</f>
        <v/>
      </c>
      <c r="AB254" s="37" t="n"/>
      <c r="AC254" s="39" t="n"/>
      <c r="AD254" s="11">
        <f>IF(C254="","",N(L254)+N(AC254))</f>
        <v/>
      </c>
      <c r="AE254" s="43">
        <f>IFERROR(IF(N(AC254)=0,"",AC254/AD254),"")</f>
        <v/>
      </c>
      <c r="AF254" s="39" t="n"/>
      <c r="AG254" s="39" t="n"/>
      <c r="AH254" s="39" t="n"/>
      <c r="AI254" s="39" t="n"/>
      <c r="AJ254" s="11">
        <f>IF(C254="","",IF(H254="VIDEO",N(L254),0))</f>
        <v/>
      </c>
      <c r="AK254" s="43">
        <f>IFERROR(IF(N(L254)=0,"",AJ254/L254),"")</f>
        <v/>
      </c>
      <c r="AL254" s="11">
        <f>IF(C254="","",N(AF254)+N(AG254)+N(AH254)+N(AI254))</f>
        <v/>
      </c>
      <c r="AM254" s="11">
        <f>IF(C254="","",MAX(N(L254),N(O254))-N(AL254))</f>
        <v/>
      </c>
      <c r="AN254" s="43">
        <f>IFERROR(IF(MAX(N(L254),N(O254))=0,"",AM254/MAX(N(L254),N(O254))),"")</f>
        <v/>
      </c>
      <c r="AO254" s="41" t="n"/>
      <c r="AP254" s="41" t="n"/>
      <c r="AQ254" s="41" t="n"/>
      <c r="AR254" s="41" t="n"/>
      <c r="AS254" s="41" t="n"/>
      <c r="AT254" s="37" t="n"/>
      <c r="AU254" s="10" t="inlineStr">
        <is>
          <t>PRD-0250</t>
        </is>
      </c>
    </row>
    <row r="255">
      <c r="A255" s="16">
        <f>IF($C255="","",IFERROR(IF(INDEX(tbl_Finance[Latest Invoice Date],MATCH($AU255,tbl_Finance[Row ID],0))="","",INDEX(tbl_Finance[Latest Invoice Date],MATCH($AU255,tbl_Finance[Row ID],0))),""))</f>
        <v/>
      </c>
      <c r="B255" s="10">
        <f>IF($C255="","",IFERROR(INDEX(tbl_Finance[Invoice Numbers],MATCH($AU255,tbl_Finance[Row ID],0))&amp;"",""))</f>
        <v/>
      </c>
      <c r="C255" s="37" t="n"/>
      <c r="D255" s="10">
        <f>IF($C255="","",IF(COUNTIF(lst_Jobs,$C255&amp;"")&gt;0,"OK","CHECK"))</f>
        <v/>
      </c>
      <c r="E255" s="10">
        <f>IF($C255="","",IFERROR(INDEX(lst_JobName,MATCH($C255&amp;"",lst_Jobs,0)),""))</f>
        <v/>
      </c>
      <c r="F255" s="37" t="n"/>
      <c r="G255" s="37" t="n"/>
      <c r="H255" s="37" t="n"/>
      <c r="I255" s="37" t="n"/>
      <c r="J255" s="37" t="n"/>
      <c r="K255" s="38">
        <f>IF($C255="","",IFERROR(N(INDEX(tbl_Finance[Invoice Count],MATCH($AU255,tbl_Finance[Row ID],0))),""))</f>
        <v/>
      </c>
      <c r="L255" s="11">
        <f>IF($C255="","",IFERROR(N(INDEX(tbl_Finance[Xero Invoiced Ex GST],MATCH($AU255,tbl_Finance[Row ID],0))),""))</f>
        <v/>
      </c>
      <c r="M255" s="10">
        <f>IF($C255="","",IFERROR(INDEX(tbl_Finance[Compare],MATCH($AU255,tbl_Finance[Row ID],0))&amp;"",""))</f>
        <v/>
      </c>
      <c r="N255" s="11">
        <f>IF($C255="","",MAX(0,N(O255)-N(L255)))</f>
        <v/>
      </c>
      <c r="O255" s="39" t="n"/>
      <c r="P255" s="40">
        <f>IF($C255="","",IF((IF(F255="",", Client","")&amp;IF(G255="",", Description","")&amp;IF(H255="",", Cost Centre","")&amp;IF(I255="",", Invoice Type","")&amp;IF(J255="",", Tax Code","")&amp;IF(O255="",", Expected Revenue","")&amp;IF(COUNTIF(tbl_Finance[Job Number],$C255&amp;"")&gt;1,", Job number used twice",""))="","Complete","Fix: "&amp;MID(IF(F255="",", Client","")&amp;IF(G255="",", Description","")&amp;IF(H255="",", Cost Centre","")&amp;IF(I255="",", Invoice Type","")&amp;IF(J255="",", Tax Code","")&amp;IF(O255="",", Expected Revenue","")&amp;IF(COUNTIF(tbl_Finance[Job Number],$C255&amp;"")&gt;1,", Job number used twice",""),3,300)))</f>
        <v/>
      </c>
      <c r="Q255" s="10">
        <f>IF($C255="","",IF(H255="","(no cost centre)",H255&amp;" - GL "&amp;IFERROR(INDEX(lst_CCtoGL,MATCH(H255,lst_CCforGL,0)),"?")))</f>
        <v/>
      </c>
      <c r="R255" s="11">
        <f>IF($C255="","",IFERROR(N(INDEX(tbl_Finance[Inc GST],MATCH($AU255,tbl_Finance[Row ID],0))),""))</f>
        <v/>
      </c>
      <c r="S255" s="37" t="n"/>
      <c r="T255" s="37" t="n"/>
      <c r="U255" s="37" t="n"/>
      <c r="V255" s="42" t="n"/>
      <c r="W255" s="37" t="n"/>
      <c r="X255" s="10">
        <f>IF(W255="","",IF(AND(LEFT(W255,4)&lt;&gt;"http",set_RMSBase=""),"",HYPERLINK(IF(LEFT(W255,4)="http",W255,set_RMSBase&amp;W255),"Open in RMS")))</f>
        <v/>
      </c>
      <c r="Y255" s="37" t="n"/>
      <c r="Z255" s="10">
        <f>IF(Y255="","",HYPERLINK(IF(LEFT(Y255,4)="http",Y255,set_QwilrBase&amp;Y255),"Open quote"))</f>
        <v/>
      </c>
      <c r="AA255" s="10">
        <f>IF(C255="","",C255)</f>
        <v/>
      </c>
      <c r="AB255" s="37" t="n"/>
      <c r="AC255" s="39" t="n"/>
      <c r="AD255" s="11">
        <f>IF(C255="","",N(L255)+N(AC255))</f>
        <v/>
      </c>
      <c r="AE255" s="43">
        <f>IFERROR(IF(N(AC255)=0,"",AC255/AD255),"")</f>
        <v/>
      </c>
      <c r="AF255" s="39" t="n"/>
      <c r="AG255" s="39" t="n"/>
      <c r="AH255" s="39" t="n"/>
      <c r="AI255" s="39" t="n"/>
      <c r="AJ255" s="11">
        <f>IF(C255="","",IF(H255="VIDEO",N(L255),0))</f>
        <v/>
      </c>
      <c r="AK255" s="43">
        <f>IFERROR(IF(N(L255)=0,"",AJ255/L255),"")</f>
        <v/>
      </c>
      <c r="AL255" s="11">
        <f>IF(C255="","",N(AF255)+N(AG255)+N(AH255)+N(AI255))</f>
        <v/>
      </c>
      <c r="AM255" s="11">
        <f>IF(C255="","",MAX(N(L255),N(O255))-N(AL255))</f>
        <v/>
      </c>
      <c r="AN255" s="43">
        <f>IFERROR(IF(MAX(N(L255),N(O255))=0,"",AM255/MAX(N(L255),N(O255))),"")</f>
        <v/>
      </c>
      <c r="AO255" s="41" t="n"/>
      <c r="AP255" s="41" t="n"/>
      <c r="AQ255" s="41" t="n"/>
      <c r="AR255" s="41" t="n"/>
      <c r="AS255" s="41" t="n"/>
      <c r="AT255" s="37" t="n"/>
      <c r="AU255" s="10" t="inlineStr">
        <is>
          <t>PRD-0251</t>
        </is>
      </c>
    </row>
    <row r="256">
      <c r="A256" s="16">
        <f>IF($C256="","",IFERROR(IF(INDEX(tbl_Finance[Latest Invoice Date],MATCH($AU256,tbl_Finance[Row ID],0))="","",INDEX(tbl_Finance[Latest Invoice Date],MATCH($AU256,tbl_Finance[Row ID],0))),""))</f>
        <v/>
      </c>
      <c r="B256" s="10">
        <f>IF($C256="","",IFERROR(INDEX(tbl_Finance[Invoice Numbers],MATCH($AU256,tbl_Finance[Row ID],0))&amp;"",""))</f>
        <v/>
      </c>
      <c r="C256" s="37" t="n"/>
      <c r="D256" s="10">
        <f>IF($C256="","",IF(COUNTIF(lst_Jobs,$C256&amp;"")&gt;0,"OK","CHECK"))</f>
        <v/>
      </c>
      <c r="E256" s="10">
        <f>IF($C256="","",IFERROR(INDEX(lst_JobName,MATCH($C256&amp;"",lst_Jobs,0)),""))</f>
        <v/>
      </c>
      <c r="F256" s="37" t="n"/>
      <c r="G256" s="37" t="n"/>
      <c r="H256" s="37" t="n"/>
      <c r="I256" s="37" t="n"/>
      <c r="J256" s="37" t="n"/>
      <c r="K256" s="38">
        <f>IF($C256="","",IFERROR(N(INDEX(tbl_Finance[Invoice Count],MATCH($AU256,tbl_Finance[Row ID],0))),""))</f>
        <v/>
      </c>
      <c r="L256" s="11">
        <f>IF($C256="","",IFERROR(N(INDEX(tbl_Finance[Xero Invoiced Ex GST],MATCH($AU256,tbl_Finance[Row ID],0))),""))</f>
        <v/>
      </c>
      <c r="M256" s="10">
        <f>IF($C256="","",IFERROR(INDEX(tbl_Finance[Compare],MATCH($AU256,tbl_Finance[Row ID],0))&amp;"",""))</f>
        <v/>
      </c>
      <c r="N256" s="11">
        <f>IF($C256="","",MAX(0,N(O256)-N(L256)))</f>
        <v/>
      </c>
      <c r="O256" s="39" t="n"/>
      <c r="P256" s="40">
        <f>IF($C256="","",IF((IF(F256="",", Client","")&amp;IF(G256="",", Description","")&amp;IF(H256="",", Cost Centre","")&amp;IF(I256="",", Invoice Type","")&amp;IF(J256="",", Tax Code","")&amp;IF(O256="",", Expected Revenue","")&amp;IF(COUNTIF(tbl_Finance[Job Number],$C256&amp;"")&gt;1,", Job number used twice",""))="","Complete","Fix: "&amp;MID(IF(F256="",", Client","")&amp;IF(G256="",", Description","")&amp;IF(H256="",", Cost Centre","")&amp;IF(I256="",", Invoice Type","")&amp;IF(J256="",", Tax Code","")&amp;IF(O256="",", Expected Revenue","")&amp;IF(COUNTIF(tbl_Finance[Job Number],$C256&amp;"")&gt;1,", Job number used twice",""),3,300)))</f>
        <v/>
      </c>
      <c r="Q256" s="10">
        <f>IF($C256="","",IF(H256="","(no cost centre)",H256&amp;" - GL "&amp;IFERROR(INDEX(lst_CCtoGL,MATCH(H256,lst_CCforGL,0)),"?")))</f>
        <v/>
      </c>
      <c r="R256" s="11">
        <f>IF($C256="","",IFERROR(N(INDEX(tbl_Finance[Inc GST],MATCH($AU256,tbl_Finance[Row ID],0))),""))</f>
        <v/>
      </c>
      <c r="S256" s="37" t="n"/>
      <c r="T256" s="37" t="n"/>
      <c r="U256" s="37" t="n"/>
      <c r="V256" s="42" t="n"/>
      <c r="W256" s="37" t="n"/>
      <c r="X256" s="10">
        <f>IF(W256="","",IF(AND(LEFT(W256,4)&lt;&gt;"http",set_RMSBase=""),"",HYPERLINK(IF(LEFT(W256,4)="http",W256,set_RMSBase&amp;W256),"Open in RMS")))</f>
        <v/>
      </c>
      <c r="Y256" s="37" t="n"/>
      <c r="Z256" s="10">
        <f>IF(Y256="","",HYPERLINK(IF(LEFT(Y256,4)="http",Y256,set_QwilrBase&amp;Y256),"Open quote"))</f>
        <v/>
      </c>
      <c r="AA256" s="10">
        <f>IF(C256="","",C256)</f>
        <v/>
      </c>
      <c r="AB256" s="37" t="n"/>
      <c r="AC256" s="39" t="n"/>
      <c r="AD256" s="11">
        <f>IF(C256="","",N(L256)+N(AC256))</f>
        <v/>
      </c>
      <c r="AE256" s="43">
        <f>IFERROR(IF(N(AC256)=0,"",AC256/AD256),"")</f>
        <v/>
      </c>
      <c r="AF256" s="39" t="n"/>
      <c r="AG256" s="39" t="n"/>
      <c r="AH256" s="39" t="n"/>
      <c r="AI256" s="39" t="n"/>
      <c r="AJ256" s="11">
        <f>IF(C256="","",IF(H256="VIDEO",N(L256),0))</f>
        <v/>
      </c>
      <c r="AK256" s="43">
        <f>IFERROR(IF(N(L256)=0,"",AJ256/L256),"")</f>
        <v/>
      </c>
      <c r="AL256" s="11">
        <f>IF(C256="","",N(AF256)+N(AG256)+N(AH256)+N(AI256))</f>
        <v/>
      </c>
      <c r="AM256" s="11">
        <f>IF(C256="","",MAX(N(L256),N(O256))-N(AL256))</f>
        <v/>
      </c>
      <c r="AN256" s="43">
        <f>IFERROR(IF(MAX(N(L256),N(O256))=0,"",AM256/MAX(N(L256),N(O256))),"")</f>
        <v/>
      </c>
      <c r="AO256" s="41" t="n"/>
      <c r="AP256" s="41" t="n"/>
      <c r="AQ256" s="41" t="n"/>
      <c r="AR256" s="41" t="n"/>
      <c r="AS256" s="41" t="n"/>
      <c r="AT256" s="37" t="n"/>
      <c r="AU256" s="10" t="inlineStr">
        <is>
          <t>PRD-0252</t>
        </is>
      </c>
    </row>
    <row r="257">
      <c r="A257" s="16">
        <f>IF($C257="","",IFERROR(IF(INDEX(tbl_Finance[Latest Invoice Date],MATCH($AU257,tbl_Finance[Row ID],0))="","",INDEX(tbl_Finance[Latest Invoice Date],MATCH($AU257,tbl_Finance[Row ID],0))),""))</f>
        <v/>
      </c>
      <c r="B257" s="10">
        <f>IF($C257="","",IFERROR(INDEX(tbl_Finance[Invoice Numbers],MATCH($AU257,tbl_Finance[Row ID],0))&amp;"",""))</f>
        <v/>
      </c>
      <c r="C257" s="37" t="n"/>
      <c r="D257" s="10">
        <f>IF($C257="","",IF(COUNTIF(lst_Jobs,$C257&amp;"")&gt;0,"OK","CHECK"))</f>
        <v/>
      </c>
      <c r="E257" s="10">
        <f>IF($C257="","",IFERROR(INDEX(lst_JobName,MATCH($C257&amp;"",lst_Jobs,0)),""))</f>
        <v/>
      </c>
      <c r="F257" s="37" t="n"/>
      <c r="G257" s="37" t="n"/>
      <c r="H257" s="37" t="n"/>
      <c r="I257" s="37" t="n"/>
      <c r="J257" s="37" t="n"/>
      <c r="K257" s="38">
        <f>IF($C257="","",IFERROR(N(INDEX(tbl_Finance[Invoice Count],MATCH($AU257,tbl_Finance[Row ID],0))),""))</f>
        <v/>
      </c>
      <c r="L257" s="11">
        <f>IF($C257="","",IFERROR(N(INDEX(tbl_Finance[Xero Invoiced Ex GST],MATCH($AU257,tbl_Finance[Row ID],0))),""))</f>
        <v/>
      </c>
      <c r="M257" s="10">
        <f>IF($C257="","",IFERROR(INDEX(tbl_Finance[Compare],MATCH($AU257,tbl_Finance[Row ID],0))&amp;"",""))</f>
        <v/>
      </c>
      <c r="N257" s="11">
        <f>IF($C257="","",MAX(0,N(O257)-N(L257)))</f>
        <v/>
      </c>
      <c r="O257" s="39" t="n"/>
      <c r="P257" s="40">
        <f>IF($C257="","",IF((IF(F257="",", Client","")&amp;IF(G257="",", Description","")&amp;IF(H257="",", Cost Centre","")&amp;IF(I257="",", Invoice Type","")&amp;IF(J257="",", Tax Code","")&amp;IF(O257="",", Expected Revenue","")&amp;IF(COUNTIF(tbl_Finance[Job Number],$C257&amp;"")&gt;1,", Job number used twice",""))="","Complete","Fix: "&amp;MID(IF(F257="",", Client","")&amp;IF(G257="",", Description","")&amp;IF(H257="",", Cost Centre","")&amp;IF(I257="",", Invoice Type","")&amp;IF(J257="",", Tax Code","")&amp;IF(O257="",", Expected Revenue","")&amp;IF(COUNTIF(tbl_Finance[Job Number],$C257&amp;"")&gt;1,", Job number used twice",""),3,300)))</f>
        <v/>
      </c>
      <c r="Q257" s="10">
        <f>IF($C257="","",IF(H257="","(no cost centre)",H257&amp;" - GL "&amp;IFERROR(INDEX(lst_CCtoGL,MATCH(H257,lst_CCforGL,0)),"?")))</f>
        <v/>
      </c>
      <c r="R257" s="11">
        <f>IF($C257="","",IFERROR(N(INDEX(tbl_Finance[Inc GST],MATCH($AU257,tbl_Finance[Row ID],0))),""))</f>
        <v/>
      </c>
      <c r="S257" s="37" t="n"/>
      <c r="T257" s="37" t="n"/>
      <c r="U257" s="37" t="n"/>
      <c r="V257" s="42" t="n"/>
      <c r="W257" s="37" t="n"/>
      <c r="X257" s="10">
        <f>IF(W257="","",IF(AND(LEFT(W257,4)&lt;&gt;"http",set_RMSBase=""),"",HYPERLINK(IF(LEFT(W257,4)="http",W257,set_RMSBase&amp;W257),"Open in RMS")))</f>
        <v/>
      </c>
      <c r="Y257" s="37" t="n"/>
      <c r="Z257" s="10">
        <f>IF(Y257="","",HYPERLINK(IF(LEFT(Y257,4)="http",Y257,set_QwilrBase&amp;Y257),"Open quote"))</f>
        <v/>
      </c>
      <c r="AA257" s="10">
        <f>IF(C257="","",C257)</f>
        <v/>
      </c>
      <c r="AB257" s="37" t="n"/>
      <c r="AC257" s="39" t="n"/>
      <c r="AD257" s="11">
        <f>IF(C257="","",N(L257)+N(AC257))</f>
        <v/>
      </c>
      <c r="AE257" s="43">
        <f>IFERROR(IF(N(AC257)=0,"",AC257/AD257),"")</f>
        <v/>
      </c>
      <c r="AF257" s="39" t="n"/>
      <c r="AG257" s="39" t="n"/>
      <c r="AH257" s="39" t="n"/>
      <c r="AI257" s="39" t="n"/>
      <c r="AJ257" s="11">
        <f>IF(C257="","",IF(H257="VIDEO",N(L257),0))</f>
        <v/>
      </c>
      <c r="AK257" s="43">
        <f>IFERROR(IF(N(L257)=0,"",AJ257/L257),"")</f>
        <v/>
      </c>
      <c r="AL257" s="11">
        <f>IF(C257="","",N(AF257)+N(AG257)+N(AH257)+N(AI257))</f>
        <v/>
      </c>
      <c r="AM257" s="11">
        <f>IF(C257="","",MAX(N(L257),N(O257))-N(AL257))</f>
        <v/>
      </c>
      <c r="AN257" s="43">
        <f>IFERROR(IF(MAX(N(L257),N(O257))=0,"",AM257/MAX(N(L257),N(O257))),"")</f>
        <v/>
      </c>
      <c r="AO257" s="41" t="n"/>
      <c r="AP257" s="41" t="n"/>
      <c r="AQ257" s="41" t="n"/>
      <c r="AR257" s="41" t="n"/>
      <c r="AS257" s="41" t="n"/>
      <c r="AT257" s="37" t="n"/>
      <c r="AU257" s="10" t="inlineStr">
        <is>
          <t>PRD-0253</t>
        </is>
      </c>
    </row>
    <row r="258">
      <c r="A258" s="16">
        <f>IF($C258="","",IFERROR(IF(INDEX(tbl_Finance[Latest Invoice Date],MATCH($AU258,tbl_Finance[Row ID],0))="","",INDEX(tbl_Finance[Latest Invoice Date],MATCH($AU258,tbl_Finance[Row ID],0))),""))</f>
        <v/>
      </c>
      <c r="B258" s="10">
        <f>IF($C258="","",IFERROR(INDEX(tbl_Finance[Invoice Numbers],MATCH($AU258,tbl_Finance[Row ID],0))&amp;"",""))</f>
        <v/>
      </c>
      <c r="C258" s="37" t="n"/>
      <c r="D258" s="10">
        <f>IF($C258="","",IF(COUNTIF(lst_Jobs,$C258&amp;"")&gt;0,"OK","CHECK"))</f>
        <v/>
      </c>
      <c r="E258" s="10">
        <f>IF($C258="","",IFERROR(INDEX(lst_JobName,MATCH($C258&amp;"",lst_Jobs,0)),""))</f>
        <v/>
      </c>
      <c r="F258" s="37" t="n"/>
      <c r="G258" s="37" t="n"/>
      <c r="H258" s="37" t="n"/>
      <c r="I258" s="37" t="n"/>
      <c r="J258" s="37" t="n"/>
      <c r="K258" s="38">
        <f>IF($C258="","",IFERROR(N(INDEX(tbl_Finance[Invoice Count],MATCH($AU258,tbl_Finance[Row ID],0))),""))</f>
        <v/>
      </c>
      <c r="L258" s="11">
        <f>IF($C258="","",IFERROR(N(INDEX(tbl_Finance[Xero Invoiced Ex GST],MATCH($AU258,tbl_Finance[Row ID],0))),""))</f>
        <v/>
      </c>
      <c r="M258" s="10">
        <f>IF($C258="","",IFERROR(INDEX(tbl_Finance[Compare],MATCH($AU258,tbl_Finance[Row ID],0))&amp;"",""))</f>
        <v/>
      </c>
      <c r="N258" s="11">
        <f>IF($C258="","",MAX(0,N(O258)-N(L258)))</f>
        <v/>
      </c>
      <c r="O258" s="39" t="n"/>
      <c r="P258" s="40">
        <f>IF($C258="","",IF((IF(F258="",", Client","")&amp;IF(G258="",", Description","")&amp;IF(H258="",", Cost Centre","")&amp;IF(I258="",", Invoice Type","")&amp;IF(J258="",", Tax Code","")&amp;IF(O258="",", Expected Revenue","")&amp;IF(COUNTIF(tbl_Finance[Job Number],$C258&amp;"")&gt;1,", Job number used twice",""))="","Complete","Fix: "&amp;MID(IF(F258="",", Client","")&amp;IF(G258="",", Description","")&amp;IF(H258="",", Cost Centre","")&amp;IF(I258="",", Invoice Type","")&amp;IF(J258="",", Tax Code","")&amp;IF(O258="",", Expected Revenue","")&amp;IF(COUNTIF(tbl_Finance[Job Number],$C258&amp;"")&gt;1,", Job number used twice",""),3,300)))</f>
        <v/>
      </c>
      <c r="Q258" s="10">
        <f>IF($C258="","",IF(H258="","(no cost centre)",H258&amp;" - GL "&amp;IFERROR(INDEX(lst_CCtoGL,MATCH(H258,lst_CCforGL,0)),"?")))</f>
        <v/>
      </c>
      <c r="R258" s="11">
        <f>IF($C258="","",IFERROR(N(INDEX(tbl_Finance[Inc GST],MATCH($AU258,tbl_Finance[Row ID],0))),""))</f>
        <v/>
      </c>
      <c r="S258" s="37" t="n"/>
      <c r="T258" s="37" t="n"/>
      <c r="U258" s="37" t="n"/>
      <c r="V258" s="42" t="n"/>
      <c r="W258" s="37" t="n"/>
      <c r="X258" s="10">
        <f>IF(W258="","",IF(AND(LEFT(W258,4)&lt;&gt;"http",set_RMSBase=""),"",HYPERLINK(IF(LEFT(W258,4)="http",W258,set_RMSBase&amp;W258),"Open in RMS")))</f>
        <v/>
      </c>
      <c r="Y258" s="37" t="n"/>
      <c r="Z258" s="10">
        <f>IF(Y258="","",HYPERLINK(IF(LEFT(Y258,4)="http",Y258,set_QwilrBase&amp;Y258),"Open quote"))</f>
        <v/>
      </c>
      <c r="AA258" s="10">
        <f>IF(C258="","",C258)</f>
        <v/>
      </c>
      <c r="AB258" s="37" t="n"/>
      <c r="AC258" s="39" t="n"/>
      <c r="AD258" s="11">
        <f>IF(C258="","",N(L258)+N(AC258))</f>
        <v/>
      </c>
      <c r="AE258" s="43">
        <f>IFERROR(IF(N(AC258)=0,"",AC258/AD258),"")</f>
        <v/>
      </c>
      <c r="AF258" s="39" t="n"/>
      <c r="AG258" s="39" t="n"/>
      <c r="AH258" s="39" t="n"/>
      <c r="AI258" s="39" t="n"/>
      <c r="AJ258" s="11">
        <f>IF(C258="","",IF(H258="VIDEO",N(L258),0))</f>
        <v/>
      </c>
      <c r="AK258" s="43">
        <f>IFERROR(IF(N(L258)=0,"",AJ258/L258),"")</f>
        <v/>
      </c>
      <c r="AL258" s="11">
        <f>IF(C258="","",N(AF258)+N(AG258)+N(AH258)+N(AI258))</f>
        <v/>
      </c>
      <c r="AM258" s="11">
        <f>IF(C258="","",MAX(N(L258),N(O258))-N(AL258))</f>
        <v/>
      </c>
      <c r="AN258" s="43">
        <f>IFERROR(IF(MAX(N(L258),N(O258))=0,"",AM258/MAX(N(L258),N(O258))),"")</f>
        <v/>
      </c>
      <c r="AO258" s="41" t="n"/>
      <c r="AP258" s="41" t="n"/>
      <c r="AQ258" s="41" t="n"/>
      <c r="AR258" s="41" t="n"/>
      <c r="AS258" s="41" t="n"/>
      <c r="AT258" s="37" t="n"/>
      <c r="AU258" s="10" t="inlineStr">
        <is>
          <t>PRD-0254</t>
        </is>
      </c>
    </row>
    <row r="259">
      <c r="A259" s="16">
        <f>IF($C259="","",IFERROR(IF(INDEX(tbl_Finance[Latest Invoice Date],MATCH($AU259,tbl_Finance[Row ID],0))="","",INDEX(tbl_Finance[Latest Invoice Date],MATCH($AU259,tbl_Finance[Row ID],0))),""))</f>
        <v/>
      </c>
      <c r="B259" s="10">
        <f>IF($C259="","",IFERROR(INDEX(tbl_Finance[Invoice Numbers],MATCH($AU259,tbl_Finance[Row ID],0))&amp;"",""))</f>
        <v/>
      </c>
      <c r="C259" s="37" t="n"/>
      <c r="D259" s="10">
        <f>IF($C259="","",IF(COUNTIF(lst_Jobs,$C259&amp;"")&gt;0,"OK","CHECK"))</f>
        <v/>
      </c>
      <c r="E259" s="10">
        <f>IF($C259="","",IFERROR(INDEX(lst_JobName,MATCH($C259&amp;"",lst_Jobs,0)),""))</f>
        <v/>
      </c>
      <c r="F259" s="37" t="n"/>
      <c r="G259" s="37" t="n"/>
      <c r="H259" s="37" t="n"/>
      <c r="I259" s="37" t="n"/>
      <c r="J259" s="37" t="n"/>
      <c r="K259" s="38">
        <f>IF($C259="","",IFERROR(N(INDEX(tbl_Finance[Invoice Count],MATCH($AU259,tbl_Finance[Row ID],0))),""))</f>
        <v/>
      </c>
      <c r="L259" s="11">
        <f>IF($C259="","",IFERROR(N(INDEX(tbl_Finance[Xero Invoiced Ex GST],MATCH($AU259,tbl_Finance[Row ID],0))),""))</f>
        <v/>
      </c>
      <c r="M259" s="10">
        <f>IF($C259="","",IFERROR(INDEX(tbl_Finance[Compare],MATCH($AU259,tbl_Finance[Row ID],0))&amp;"",""))</f>
        <v/>
      </c>
      <c r="N259" s="11">
        <f>IF($C259="","",MAX(0,N(O259)-N(L259)))</f>
        <v/>
      </c>
      <c r="O259" s="39" t="n"/>
      <c r="P259" s="40">
        <f>IF($C259="","",IF((IF(F259="",", Client","")&amp;IF(G259="",", Description","")&amp;IF(H259="",", Cost Centre","")&amp;IF(I259="",", Invoice Type","")&amp;IF(J259="",", Tax Code","")&amp;IF(O259="",", Expected Revenue","")&amp;IF(COUNTIF(tbl_Finance[Job Number],$C259&amp;"")&gt;1,", Job number used twice",""))="","Complete","Fix: "&amp;MID(IF(F259="",", Client","")&amp;IF(G259="",", Description","")&amp;IF(H259="",", Cost Centre","")&amp;IF(I259="",", Invoice Type","")&amp;IF(J259="",", Tax Code","")&amp;IF(O259="",", Expected Revenue","")&amp;IF(COUNTIF(tbl_Finance[Job Number],$C259&amp;"")&gt;1,", Job number used twice",""),3,300)))</f>
        <v/>
      </c>
      <c r="Q259" s="10">
        <f>IF($C259="","",IF(H259="","(no cost centre)",H259&amp;" - GL "&amp;IFERROR(INDEX(lst_CCtoGL,MATCH(H259,lst_CCforGL,0)),"?")))</f>
        <v/>
      </c>
      <c r="R259" s="11">
        <f>IF($C259="","",IFERROR(N(INDEX(tbl_Finance[Inc GST],MATCH($AU259,tbl_Finance[Row ID],0))),""))</f>
        <v/>
      </c>
      <c r="S259" s="37" t="n"/>
      <c r="T259" s="37" t="n"/>
      <c r="U259" s="37" t="n"/>
      <c r="V259" s="42" t="n"/>
      <c r="W259" s="37" t="n"/>
      <c r="X259" s="10">
        <f>IF(W259="","",IF(AND(LEFT(W259,4)&lt;&gt;"http",set_RMSBase=""),"",HYPERLINK(IF(LEFT(W259,4)="http",W259,set_RMSBase&amp;W259),"Open in RMS")))</f>
        <v/>
      </c>
      <c r="Y259" s="37" t="n"/>
      <c r="Z259" s="10">
        <f>IF(Y259="","",HYPERLINK(IF(LEFT(Y259,4)="http",Y259,set_QwilrBase&amp;Y259),"Open quote"))</f>
        <v/>
      </c>
      <c r="AA259" s="10">
        <f>IF(C259="","",C259)</f>
        <v/>
      </c>
      <c r="AB259" s="37" t="n"/>
      <c r="AC259" s="39" t="n"/>
      <c r="AD259" s="11">
        <f>IF(C259="","",N(L259)+N(AC259))</f>
        <v/>
      </c>
      <c r="AE259" s="43">
        <f>IFERROR(IF(N(AC259)=0,"",AC259/AD259),"")</f>
        <v/>
      </c>
      <c r="AF259" s="39" t="n"/>
      <c r="AG259" s="39" t="n"/>
      <c r="AH259" s="39" t="n"/>
      <c r="AI259" s="39" t="n"/>
      <c r="AJ259" s="11">
        <f>IF(C259="","",IF(H259="VIDEO",N(L259),0))</f>
        <v/>
      </c>
      <c r="AK259" s="43">
        <f>IFERROR(IF(N(L259)=0,"",AJ259/L259),"")</f>
        <v/>
      </c>
      <c r="AL259" s="11">
        <f>IF(C259="","",N(AF259)+N(AG259)+N(AH259)+N(AI259))</f>
        <v/>
      </c>
      <c r="AM259" s="11">
        <f>IF(C259="","",MAX(N(L259),N(O259))-N(AL259))</f>
        <v/>
      </c>
      <c r="AN259" s="43">
        <f>IFERROR(IF(MAX(N(L259),N(O259))=0,"",AM259/MAX(N(L259),N(O259))),"")</f>
        <v/>
      </c>
      <c r="AO259" s="41" t="n"/>
      <c r="AP259" s="41" t="n"/>
      <c r="AQ259" s="41" t="n"/>
      <c r="AR259" s="41" t="n"/>
      <c r="AS259" s="41" t="n"/>
      <c r="AT259" s="37" t="n"/>
      <c r="AU259" s="10" t="inlineStr">
        <is>
          <t>PRD-0255</t>
        </is>
      </c>
    </row>
    <row r="260">
      <c r="A260" s="16">
        <f>IF($C260="","",IFERROR(IF(INDEX(tbl_Finance[Latest Invoice Date],MATCH($AU260,tbl_Finance[Row ID],0))="","",INDEX(tbl_Finance[Latest Invoice Date],MATCH($AU260,tbl_Finance[Row ID],0))),""))</f>
        <v/>
      </c>
      <c r="B260" s="10">
        <f>IF($C260="","",IFERROR(INDEX(tbl_Finance[Invoice Numbers],MATCH($AU260,tbl_Finance[Row ID],0))&amp;"",""))</f>
        <v/>
      </c>
      <c r="C260" s="37" t="n"/>
      <c r="D260" s="10">
        <f>IF($C260="","",IF(COUNTIF(lst_Jobs,$C260&amp;"")&gt;0,"OK","CHECK"))</f>
        <v/>
      </c>
      <c r="E260" s="10">
        <f>IF($C260="","",IFERROR(INDEX(lst_JobName,MATCH($C260&amp;"",lst_Jobs,0)),""))</f>
        <v/>
      </c>
      <c r="F260" s="37" t="n"/>
      <c r="G260" s="37" t="n"/>
      <c r="H260" s="37" t="n"/>
      <c r="I260" s="37" t="n"/>
      <c r="J260" s="37" t="n"/>
      <c r="K260" s="38">
        <f>IF($C260="","",IFERROR(N(INDEX(tbl_Finance[Invoice Count],MATCH($AU260,tbl_Finance[Row ID],0))),""))</f>
        <v/>
      </c>
      <c r="L260" s="11">
        <f>IF($C260="","",IFERROR(N(INDEX(tbl_Finance[Xero Invoiced Ex GST],MATCH($AU260,tbl_Finance[Row ID],0))),""))</f>
        <v/>
      </c>
      <c r="M260" s="10">
        <f>IF($C260="","",IFERROR(INDEX(tbl_Finance[Compare],MATCH($AU260,tbl_Finance[Row ID],0))&amp;"",""))</f>
        <v/>
      </c>
      <c r="N260" s="11">
        <f>IF($C260="","",MAX(0,N(O260)-N(L260)))</f>
        <v/>
      </c>
      <c r="O260" s="39" t="n"/>
      <c r="P260" s="40">
        <f>IF($C260="","",IF((IF(F260="",", Client","")&amp;IF(G260="",", Description","")&amp;IF(H260="",", Cost Centre","")&amp;IF(I260="",", Invoice Type","")&amp;IF(J260="",", Tax Code","")&amp;IF(O260="",", Expected Revenue","")&amp;IF(COUNTIF(tbl_Finance[Job Number],$C260&amp;"")&gt;1,", Job number used twice",""))="","Complete","Fix: "&amp;MID(IF(F260="",", Client","")&amp;IF(G260="",", Description","")&amp;IF(H260="",", Cost Centre","")&amp;IF(I260="",", Invoice Type","")&amp;IF(J260="",", Tax Code","")&amp;IF(O260="",", Expected Revenue","")&amp;IF(COUNTIF(tbl_Finance[Job Number],$C260&amp;"")&gt;1,", Job number used twice",""),3,300)))</f>
        <v/>
      </c>
      <c r="Q260" s="10">
        <f>IF($C260="","",IF(H260="","(no cost centre)",H260&amp;" - GL "&amp;IFERROR(INDEX(lst_CCtoGL,MATCH(H260,lst_CCforGL,0)),"?")))</f>
        <v/>
      </c>
      <c r="R260" s="11">
        <f>IF($C260="","",IFERROR(N(INDEX(tbl_Finance[Inc GST],MATCH($AU260,tbl_Finance[Row ID],0))),""))</f>
        <v/>
      </c>
      <c r="S260" s="37" t="n"/>
      <c r="T260" s="37" t="n"/>
      <c r="U260" s="37" t="n"/>
      <c r="V260" s="42" t="n"/>
      <c r="W260" s="37" t="n"/>
      <c r="X260" s="10">
        <f>IF(W260="","",IF(AND(LEFT(W260,4)&lt;&gt;"http",set_RMSBase=""),"",HYPERLINK(IF(LEFT(W260,4)="http",W260,set_RMSBase&amp;W260),"Open in RMS")))</f>
        <v/>
      </c>
      <c r="Y260" s="37" t="n"/>
      <c r="Z260" s="10">
        <f>IF(Y260="","",HYPERLINK(IF(LEFT(Y260,4)="http",Y260,set_QwilrBase&amp;Y260),"Open quote"))</f>
        <v/>
      </c>
      <c r="AA260" s="10">
        <f>IF(C260="","",C260)</f>
        <v/>
      </c>
      <c r="AB260" s="37" t="n"/>
      <c r="AC260" s="39" t="n"/>
      <c r="AD260" s="11">
        <f>IF(C260="","",N(L260)+N(AC260))</f>
        <v/>
      </c>
      <c r="AE260" s="43">
        <f>IFERROR(IF(N(AC260)=0,"",AC260/AD260),"")</f>
        <v/>
      </c>
      <c r="AF260" s="39" t="n"/>
      <c r="AG260" s="39" t="n"/>
      <c r="AH260" s="39" t="n"/>
      <c r="AI260" s="39" t="n"/>
      <c r="AJ260" s="11">
        <f>IF(C260="","",IF(H260="VIDEO",N(L260),0))</f>
        <v/>
      </c>
      <c r="AK260" s="43">
        <f>IFERROR(IF(N(L260)=0,"",AJ260/L260),"")</f>
        <v/>
      </c>
      <c r="AL260" s="11">
        <f>IF(C260="","",N(AF260)+N(AG260)+N(AH260)+N(AI260))</f>
        <v/>
      </c>
      <c r="AM260" s="11">
        <f>IF(C260="","",MAX(N(L260),N(O260))-N(AL260))</f>
        <v/>
      </c>
      <c r="AN260" s="43">
        <f>IFERROR(IF(MAX(N(L260),N(O260))=0,"",AM260/MAX(N(L260),N(O260))),"")</f>
        <v/>
      </c>
      <c r="AO260" s="41" t="n"/>
      <c r="AP260" s="41" t="n"/>
      <c r="AQ260" s="41" t="n"/>
      <c r="AR260" s="41" t="n"/>
      <c r="AS260" s="41" t="n"/>
      <c r="AT260" s="37" t="n"/>
      <c r="AU260" s="10" t="inlineStr">
        <is>
          <t>PRD-0256</t>
        </is>
      </c>
    </row>
    <row r="261">
      <c r="A261" s="16">
        <f>IF($C261="","",IFERROR(IF(INDEX(tbl_Finance[Latest Invoice Date],MATCH($AU261,tbl_Finance[Row ID],0))="","",INDEX(tbl_Finance[Latest Invoice Date],MATCH($AU261,tbl_Finance[Row ID],0))),""))</f>
        <v/>
      </c>
      <c r="B261" s="10">
        <f>IF($C261="","",IFERROR(INDEX(tbl_Finance[Invoice Numbers],MATCH($AU261,tbl_Finance[Row ID],0))&amp;"",""))</f>
        <v/>
      </c>
      <c r="C261" s="37" t="n"/>
      <c r="D261" s="10">
        <f>IF($C261="","",IF(COUNTIF(lst_Jobs,$C261&amp;"")&gt;0,"OK","CHECK"))</f>
        <v/>
      </c>
      <c r="E261" s="10">
        <f>IF($C261="","",IFERROR(INDEX(lst_JobName,MATCH($C261&amp;"",lst_Jobs,0)),""))</f>
        <v/>
      </c>
      <c r="F261" s="37" t="n"/>
      <c r="G261" s="37" t="n"/>
      <c r="H261" s="37" t="n"/>
      <c r="I261" s="37" t="n"/>
      <c r="J261" s="37" t="n"/>
      <c r="K261" s="38">
        <f>IF($C261="","",IFERROR(N(INDEX(tbl_Finance[Invoice Count],MATCH($AU261,tbl_Finance[Row ID],0))),""))</f>
        <v/>
      </c>
      <c r="L261" s="11">
        <f>IF($C261="","",IFERROR(N(INDEX(tbl_Finance[Xero Invoiced Ex GST],MATCH($AU261,tbl_Finance[Row ID],0))),""))</f>
        <v/>
      </c>
      <c r="M261" s="10">
        <f>IF($C261="","",IFERROR(INDEX(tbl_Finance[Compare],MATCH($AU261,tbl_Finance[Row ID],0))&amp;"",""))</f>
        <v/>
      </c>
      <c r="N261" s="11">
        <f>IF($C261="","",MAX(0,N(O261)-N(L261)))</f>
        <v/>
      </c>
      <c r="O261" s="39" t="n"/>
      <c r="P261" s="40">
        <f>IF($C261="","",IF((IF(F261="",", Client","")&amp;IF(G261="",", Description","")&amp;IF(H261="",", Cost Centre","")&amp;IF(I261="",", Invoice Type","")&amp;IF(J261="",", Tax Code","")&amp;IF(O261="",", Expected Revenue","")&amp;IF(COUNTIF(tbl_Finance[Job Number],$C261&amp;"")&gt;1,", Job number used twice",""))="","Complete","Fix: "&amp;MID(IF(F261="",", Client","")&amp;IF(G261="",", Description","")&amp;IF(H261="",", Cost Centre","")&amp;IF(I261="",", Invoice Type","")&amp;IF(J261="",", Tax Code","")&amp;IF(O261="",", Expected Revenue","")&amp;IF(COUNTIF(tbl_Finance[Job Number],$C261&amp;"")&gt;1,", Job number used twice",""),3,300)))</f>
        <v/>
      </c>
      <c r="Q261" s="10">
        <f>IF($C261="","",IF(H261="","(no cost centre)",H261&amp;" - GL "&amp;IFERROR(INDEX(lst_CCtoGL,MATCH(H261,lst_CCforGL,0)),"?")))</f>
        <v/>
      </c>
      <c r="R261" s="11">
        <f>IF($C261="","",IFERROR(N(INDEX(tbl_Finance[Inc GST],MATCH($AU261,tbl_Finance[Row ID],0))),""))</f>
        <v/>
      </c>
      <c r="S261" s="37" t="n"/>
      <c r="T261" s="37" t="n"/>
      <c r="U261" s="37" t="n"/>
      <c r="V261" s="42" t="n"/>
      <c r="W261" s="37" t="n"/>
      <c r="X261" s="10">
        <f>IF(W261="","",IF(AND(LEFT(W261,4)&lt;&gt;"http",set_RMSBase=""),"",HYPERLINK(IF(LEFT(W261,4)="http",W261,set_RMSBase&amp;W261),"Open in RMS")))</f>
        <v/>
      </c>
      <c r="Y261" s="37" t="n"/>
      <c r="Z261" s="10">
        <f>IF(Y261="","",HYPERLINK(IF(LEFT(Y261,4)="http",Y261,set_QwilrBase&amp;Y261),"Open quote"))</f>
        <v/>
      </c>
      <c r="AA261" s="10">
        <f>IF(C261="","",C261)</f>
        <v/>
      </c>
      <c r="AB261" s="37" t="n"/>
      <c r="AC261" s="39" t="n"/>
      <c r="AD261" s="11">
        <f>IF(C261="","",N(L261)+N(AC261))</f>
        <v/>
      </c>
      <c r="AE261" s="43">
        <f>IFERROR(IF(N(AC261)=0,"",AC261/AD261),"")</f>
        <v/>
      </c>
      <c r="AF261" s="39" t="n"/>
      <c r="AG261" s="39" t="n"/>
      <c r="AH261" s="39" t="n"/>
      <c r="AI261" s="39" t="n"/>
      <c r="AJ261" s="11">
        <f>IF(C261="","",IF(H261="VIDEO",N(L261),0))</f>
        <v/>
      </c>
      <c r="AK261" s="43">
        <f>IFERROR(IF(N(L261)=0,"",AJ261/L261),"")</f>
        <v/>
      </c>
      <c r="AL261" s="11">
        <f>IF(C261="","",N(AF261)+N(AG261)+N(AH261)+N(AI261))</f>
        <v/>
      </c>
      <c r="AM261" s="11">
        <f>IF(C261="","",MAX(N(L261),N(O261))-N(AL261))</f>
        <v/>
      </c>
      <c r="AN261" s="43">
        <f>IFERROR(IF(MAX(N(L261),N(O261))=0,"",AM261/MAX(N(L261),N(O261))),"")</f>
        <v/>
      </c>
      <c r="AO261" s="41" t="n"/>
      <c r="AP261" s="41" t="n"/>
      <c r="AQ261" s="41" t="n"/>
      <c r="AR261" s="41" t="n"/>
      <c r="AS261" s="41" t="n"/>
      <c r="AT261" s="37" t="n"/>
      <c r="AU261" s="10" t="inlineStr">
        <is>
          <t>PRD-0257</t>
        </is>
      </c>
    </row>
    <row r="262">
      <c r="A262" s="16">
        <f>IF($C262="","",IFERROR(IF(INDEX(tbl_Finance[Latest Invoice Date],MATCH($AU262,tbl_Finance[Row ID],0))="","",INDEX(tbl_Finance[Latest Invoice Date],MATCH($AU262,tbl_Finance[Row ID],0))),""))</f>
        <v/>
      </c>
      <c r="B262" s="10">
        <f>IF($C262="","",IFERROR(INDEX(tbl_Finance[Invoice Numbers],MATCH($AU262,tbl_Finance[Row ID],0))&amp;"",""))</f>
        <v/>
      </c>
      <c r="C262" s="37" t="n"/>
      <c r="D262" s="10">
        <f>IF($C262="","",IF(COUNTIF(lst_Jobs,$C262&amp;"")&gt;0,"OK","CHECK"))</f>
        <v/>
      </c>
      <c r="E262" s="10">
        <f>IF($C262="","",IFERROR(INDEX(lst_JobName,MATCH($C262&amp;"",lst_Jobs,0)),""))</f>
        <v/>
      </c>
      <c r="F262" s="37" t="n"/>
      <c r="G262" s="37" t="n"/>
      <c r="H262" s="37" t="n"/>
      <c r="I262" s="37" t="n"/>
      <c r="J262" s="37" t="n"/>
      <c r="K262" s="38">
        <f>IF($C262="","",IFERROR(N(INDEX(tbl_Finance[Invoice Count],MATCH($AU262,tbl_Finance[Row ID],0))),""))</f>
        <v/>
      </c>
      <c r="L262" s="11">
        <f>IF($C262="","",IFERROR(N(INDEX(tbl_Finance[Xero Invoiced Ex GST],MATCH($AU262,tbl_Finance[Row ID],0))),""))</f>
        <v/>
      </c>
      <c r="M262" s="10">
        <f>IF($C262="","",IFERROR(INDEX(tbl_Finance[Compare],MATCH($AU262,tbl_Finance[Row ID],0))&amp;"",""))</f>
        <v/>
      </c>
      <c r="N262" s="11">
        <f>IF($C262="","",MAX(0,N(O262)-N(L262)))</f>
        <v/>
      </c>
      <c r="O262" s="39" t="n"/>
      <c r="P262" s="40">
        <f>IF($C262="","",IF((IF(F262="",", Client","")&amp;IF(G262="",", Description","")&amp;IF(H262="",", Cost Centre","")&amp;IF(I262="",", Invoice Type","")&amp;IF(J262="",", Tax Code","")&amp;IF(O262="",", Expected Revenue","")&amp;IF(COUNTIF(tbl_Finance[Job Number],$C262&amp;"")&gt;1,", Job number used twice",""))="","Complete","Fix: "&amp;MID(IF(F262="",", Client","")&amp;IF(G262="",", Description","")&amp;IF(H262="",", Cost Centre","")&amp;IF(I262="",", Invoice Type","")&amp;IF(J262="",", Tax Code","")&amp;IF(O262="",", Expected Revenue","")&amp;IF(COUNTIF(tbl_Finance[Job Number],$C262&amp;"")&gt;1,", Job number used twice",""),3,300)))</f>
        <v/>
      </c>
      <c r="Q262" s="10">
        <f>IF($C262="","",IF(H262="","(no cost centre)",H262&amp;" - GL "&amp;IFERROR(INDEX(lst_CCtoGL,MATCH(H262,lst_CCforGL,0)),"?")))</f>
        <v/>
      </c>
      <c r="R262" s="11">
        <f>IF($C262="","",IFERROR(N(INDEX(tbl_Finance[Inc GST],MATCH($AU262,tbl_Finance[Row ID],0))),""))</f>
        <v/>
      </c>
      <c r="S262" s="37" t="n"/>
      <c r="T262" s="37" t="n"/>
      <c r="U262" s="37" t="n"/>
      <c r="V262" s="42" t="n"/>
      <c r="W262" s="37" t="n"/>
      <c r="X262" s="10">
        <f>IF(W262="","",IF(AND(LEFT(W262,4)&lt;&gt;"http",set_RMSBase=""),"",HYPERLINK(IF(LEFT(W262,4)="http",W262,set_RMSBase&amp;W262),"Open in RMS")))</f>
        <v/>
      </c>
      <c r="Y262" s="37" t="n"/>
      <c r="Z262" s="10">
        <f>IF(Y262="","",HYPERLINK(IF(LEFT(Y262,4)="http",Y262,set_QwilrBase&amp;Y262),"Open quote"))</f>
        <v/>
      </c>
      <c r="AA262" s="10">
        <f>IF(C262="","",C262)</f>
        <v/>
      </c>
      <c r="AB262" s="37" t="n"/>
      <c r="AC262" s="39" t="n"/>
      <c r="AD262" s="11">
        <f>IF(C262="","",N(L262)+N(AC262))</f>
        <v/>
      </c>
      <c r="AE262" s="43">
        <f>IFERROR(IF(N(AC262)=0,"",AC262/AD262),"")</f>
        <v/>
      </c>
      <c r="AF262" s="39" t="n"/>
      <c r="AG262" s="39" t="n"/>
      <c r="AH262" s="39" t="n"/>
      <c r="AI262" s="39" t="n"/>
      <c r="AJ262" s="11">
        <f>IF(C262="","",IF(H262="VIDEO",N(L262),0))</f>
        <v/>
      </c>
      <c r="AK262" s="43">
        <f>IFERROR(IF(N(L262)=0,"",AJ262/L262),"")</f>
        <v/>
      </c>
      <c r="AL262" s="11">
        <f>IF(C262="","",N(AF262)+N(AG262)+N(AH262)+N(AI262))</f>
        <v/>
      </c>
      <c r="AM262" s="11">
        <f>IF(C262="","",MAX(N(L262),N(O262))-N(AL262))</f>
        <v/>
      </c>
      <c r="AN262" s="43">
        <f>IFERROR(IF(MAX(N(L262),N(O262))=0,"",AM262/MAX(N(L262),N(O262))),"")</f>
        <v/>
      </c>
      <c r="AO262" s="41" t="n"/>
      <c r="AP262" s="41" t="n"/>
      <c r="AQ262" s="41" t="n"/>
      <c r="AR262" s="41" t="n"/>
      <c r="AS262" s="41" t="n"/>
      <c r="AT262" s="37" t="n"/>
      <c r="AU262" s="10" t="inlineStr">
        <is>
          <t>PRD-0258</t>
        </is>
      </c>
    </row>
    <row r="263">
      <c r="A263" s="16">
        <f>IF($C263="","",IFERROR(IF(INDEX(tbl_Finance[Latest Invoice Date],MATCH($AU263,tbl_Finance[Row ID],0))="","",INDEX(tbl_Finance[Latest Invoice Date],MATCH($AU263,tbl_Finance[Row ID],0))),""))</f>
        <v/>
      </c>
      <c r="B263" s="10">
        <f>IF($C263="","",IFERROR(INDEX(tbl_Finance[Invoice Numbers],MATCH($AU263,tbl_Finance[Row ID],0))&amp;"",""))</f>
        <v/>
      </c>
      <c r="C263" s="37" t="n"/>
      <c r="D263" s="10">
        <f>IF($C263="","",IF(COUNTIF(lst_Jobs,$C263&amp;"")&gt;0,"OK","CHECK"))</f>
        <v/>
      </c>
      <c r="E263" s="10">
        <f>IF($C263="","",IFERROR(INDEX(lst_JobName,MATCH($C263&amp;"",lst_Jobs,0)),""))</f>
        <v/>
      </c>
      <c r="F263" s="37" t="n"/>
      <c r="G263" s="37" t="n"/>
      <c r="H263" s="37" t="n"/>
      <c r="I263" s="37" t="n"/>
      <c r="J263" s="37" t="n"/>
      <c r="K263" s="38">
        <f>IF($C263="","",IFERROR(N(INDEX(tbl_Finance[Invoice Count],MATCH($AU263,tbl_Finance[Row ID],0))),""))</f>
        <v/>
      </c>
      <c r="L263" s="11">
        <f>IF($C263="","",IFERROR(N(INDEX(tbl_Finance[Xero Invoiced Ex GST],MATCH($AU263,tbl_Finance[Row ID],0))),""))</f>
        <v/>
      </c>
      <c r="M263" s="10">
        <f>IF($C263="","",IFERROR(INDEX(tbl_Finance[Compare],MATCH($AU263,tbl_Finance[Row ID],0))&amp;"",""))</f>
        <v/>
      </c>
      <c r="N263" s="11">
        <f>IF($C263="","",MAX(0,N(O263)-N(L263)))</f>
        <v/>
      </c>
      <c r="O263" s="39" t="n"/>
      <c r="P263" s="40">
        <f>IF($C263="","",IF((IF(F263="",", Client","")&amp;IF(G263="",", Description","")&amp;IF(H263="",", Cost Centre","")&amp;IF(I263="",", Invoice Type","")&amp;IF(J263="",", Tax Code","")&amp;IF(O263="",", Expected Revenue","")&amp;IF(COUNTIF(tbl_Finance[Job Number],$C263&amp;"")&gt;1,", Job number used twice",""))="","Complete","Fix: "&amp;MID(IF(F263="",", Client","")&amp;IF(G263="",", Description","")&amp;IF(H263="",", Cost Centre","")&amp;IF(I263="",", Invoice Type","")&amp;IF(J263="",", Tax Code","")&amp;IF(O263="",", Expected Revenue","")&amp;IF(COUNTIF(tbl_Finance[Job Number],$C263&amp;"")&gt;1,", Job number used twice",""),3,300)))</f>
        <v/>
      </c>
      <c r="Q263" s="10">
        <f>IF($C263="","",IF(H263="","(no cost centre)",H263&amp;" - GL "&amp;IFERROR(INDEX(lst_CCtoGL,MATCH(H263,lst_CCforGL,0)),"?")))</f>
        <v/>
      </c>
      <c r="R263" s="11">
        <f>IF($C263="","",IFERROR(N(INDEX(tbl_Finance[Inc GST],MATCH($AU263,tbl_Finance[Row ID],0))),""))</f>
        <v/>
      </c>
      <c r="S263" s="37" t="n"/>
      <c r="T263" s="37" t="n"/>
      <c r="U263" s="37" t="n"/>
      <c r="V263" s="42" t="n"/>
      <c r="W263" s="37" t="n"/>
      <c r="X263" s="10">
        <f>IF(W263="","",IF(AND(LEFT(W263,4)&lt;&gt;"http",set_RMSBase=""),"",HYPERLINK(IF(LEFT(W263,4)="http",W263,set_RMSBase&amp;W263),"Open in RMS")))</f>
        <v/>
      </c>
      <c r="Y263" s="37" t="n"/>
      <c r="Z263" s="10">
        <f>IF(Y263="","",HYPERLINK(IF(LEFT(Y263,4)="http",Y263,set_QwilrBase&amp;Y263),"Open quote"))</f>
        <v/>
      </c>
      <c r="AA263" s="10">
        <f>IF(C263="","",C263)</f>
        <v/>
      </c>
      <c r="AB263" s="37" t="n"/>
      <c r="AC263" s="39" t="n"/>
      <c r="AD263" s="11">
        <f>IF(C263="","",N(L263)+N(AC263))</f>
        <v/>
      </c>
      <c r="AE263" s="43">
        <f>IFERROR(IF(N(AC263)=0,"",AC263/AD263),"")</f>
        <v/>
      </c>
      <c r="AF263" s="39" t="n"/>
      <c r="AG263" s="39" t="n"/>
      <c r="AH263" s="39" t="n"/>
      <c r="AI263" s="39" t="n"/>
      <c r="AJ263" s="11">
        <f>IF(C263="","",IF(H263="VIDEO",N(L263),0))</f>
        <v/>
      </c>
      <c r="AK263" s="43">
        <f>IFERROR(IF(N(L263)=0,"",AJ263/L263),"")</f>
        <v/>
      </c>
      <c r="AL263" s="11">
        <f>IF(C263="","",N(AF263)+N(AG263)+N(AH263)+N(AI263))</f>
        <v/>
      </c>
      <c r="AM263" s="11">
        <f>IF(C263="","",MAX(N(L263),N(O263))-N(AL263))</f>
        <v/>
      </c>
      <c r="AN263" s="43">
        <f>IFERROR(IF(MAX(N(L263),N(O263))=0,"",AM263/MAX(N(L263),N(O263))),"")</f>
        <v/>
      </c>
      <c r="AO263" s="41" t="n"/>
      <c r="AP263" s="41" t="n"/>
      <c r="AQ263" s="41" t="n"/>
      <c r="AR263" s="41" t="n"/>
      <c r="AS263" s="41" t="n"/>
      <c r="AT263" s="37" t="n"/>
      <c r="AU263" s="10" t="inlineStr">
        <is>
          <t>PRD-0259</t>
        </is>
      </c>
    </row>
    <row r="264">
      <c r="A264" s="16">
        <f>IF($C264="","",IFERROR(IF(INDEX(tbl_Finance[Latest Invoice Date],MATCH($AU264,tbl_Finance[Row ID],0))="","",INDEX(tbl_Finance[Latest Invoice Date],MATCH($AU264,tbl_Finance[Row ID],0))),""))</f>
        <v/>
      </c>
      <c r="B264" s="10">
        <f>IF($C264="","",IFERROR(INDEX(tbl_Finance[Invoice Numbers],MATCH($AU264,tbl_Finance[Row ID],0))&amp;"",""))</f>
        <v/>
      </c>
      <c r="C264" s="37" t="n"/>
      <c r="D264" s="10">
        <f>IF($C264="","",IF(COUNTIF(lst_Jobs,$C264&amp;"")&gt;0,"OK","CHECK"))</f>
        <v/>
      </c>
      <c r="E264" s="10">
        <f>IF($C264="","",IFERROR(INDEX(lst_JobName,MATCH($C264&amp;"",lst_Jobs,0)),""))</f>
        <v/>
      </c>
      <c r="F264" s="37" t="n"/>
      <c r="G264" s="37" t="n"/>
      <c r="H264" s="37" t="n"/>
      <c r="I264" s="37" t="n"/>
      <c r="J264" s="37" t="n"/>
      <c r="K264" s="38">
        <f>IF($C264="","",IFERROR(N(INDEX(tbl_Finance[Invoice Count],MATCH($AU264,tbl_Finance[Row ID],0))),""))</f>
        <v/>
      </c>
      <c r="L264" s="11">
        <f>IF($C264="","",IFERROR(N(INDEX(tbl_Finance[Xero Invoiced Ex GST],MATCH($AU264,tbl_Finance[Row ID],0))),""))</f>
        <v/>
      </c>
      <c r="M264" s="10">
        <f>IF($C264="","",IFERROR(INDEX(tbl_Finance[Compare],MATCH($AU264,tbl_Finance[Row ID],0))&amp;"",""))</f>
        <v/>
      </c>
      <c r="N264" s="11">
        <f>IF($C264="","",MAX(0,N(O264)-N(L264)))</f>
        <v/>
      </c>
      <c r="O264" s="39" t="n"/>
      <c r="P264" s="40">
        <f>IF($C264="","",IF((IF(F264="",", Client","")&amp;IF(G264="",", Description","")&amp;IF(H264="",", Cost Centre","")&amp;IF(I264="",", Invoice Type","")&amp;IF(J264="",", Tax Code","")&amp;IF(O264="",", Expected Revenue","")&amp;IF(COUNTIF(tbl_Finance[Job Number],$C264&amp;"")&gt;1,", Job number used twice",""))="","Complete","Fix: "&amp;MID(IF(F264="",", Client","")&amp;IF(G264="",", Description","")&amp;IF(H264="",", Cost Centre","")&amp;IF(I264="",", Invoice Type","")&amp;IF(J264="",", Tax Code","")&amp;IF(O264="",", Expected Revenue","")&amp;IF(COUNTIF(tbl_Finance[Job Number],$C264&amp;"")&gt;1,", Job number used twice",""),3,300)))</f>
        <v/>
      </c>
      <c r="Q264" s="10">
        <f>IF($C264="","",IF(H264="","(no cost centre)",H264&amp;" - GL "&amp;IFERROR(INDEX(lst_CCtoGL,MATCH(H264,lst_CCforGL,0)),"?")))</f>
        <v/>
      </c>
      <c r="R264" s="11">
        <f>IF($C264="","",IFERROR(N(INDEX(tbl_Finance[Inc GST],MATCH($AU264,tbl_Finance[Row ID],0))),""))</f>
        <v/>
      </c>
      <c r="S264" s="37" t="n"/>
      <c r="T264" s="37" t="n"/>
      <c r="U264" s="37" t="n"/>
      <c r="V264" s="42" t="n"/>
      <c r="W264" s="37" t="n"/>
      <c r="X264" s="10">
        <f>IF(W264="","",IF(AND(LEFT(W264,4)&lt;&gt;"http",set_RMSBase=""),"",HYPERLINK(IF(LEFT(W264,4)="http",W264,set_RMSBase&amp;W264),"Open in RMS")))</f>
        <v/>
      </c>
      <c r="Y264" s="37" t="n"/>
      <c r="Z264" s="10">
        <f>IF(Y264="","",HYPERLINK(IF(LEFT(Y264,4)="http",Y264,set_QwilrBase&amp;Y264),"Open quote"))</f>
        <v/>
      </c>
      <c r="AA264" s="10">
        <f>IF(C264="","",C264)</f>
        <v/>
      </c>
      <c r="AB264" s="37" t="n"/>
      <c r="AC264" s="39" t="n"/>
      <c r="AD264" s="11">
        <f>IF(C264="","",N(L264)+N(AC264))</f>
        <v/>
      </c>
      <c r="AE264" s="43">
        <f>IFERROR(IF(N(AC264)=0,"",AC264/AD264),"")</f>
        <v/>
      </c>
      <c r="AF264" s="39" t="n"/>
      <c r="AG264" s="39" t="n"/>
      <c r="AH264" s="39" t="n"/>
      <c r="AI264" s="39" t="n"/>
      <c r="AJ264" s="11">
        <f>IF(C264="","",IF(H264="VIDEO",N(L264),0))</f>
        <v/>
      </c>
      <c r="AK264" s="43">
        <f>IFERROR(IF(N(L264)=0,"",AJ264/L264),"")</f>
        <v/>
      </c>
      <c r="AL264" s="11">
        <f>IF(C264="","",N(AF264)+N(AG264)+N(AH264)+N(AI264))</f>
        <v/>
      </c>
      <c r="AM264" s="11">
        <f>IF(C264="","",MAX(N(L264),N(O264))-N(AL264))</f>
        <v/>
      </c>
      <c r="AN264" s="43">
        <f>IFERROR(IF(MAX(N(L264),N(O264))=0,"",AM264/MAX(N(L264),N(O264))),"")</f>
        <v/>
      </c>
      <c r="AO264" s="41" t="n"/>
      <c r="AP264" s="41" t="n"/>
      <c r="AQ264" s="41" t="n"/>
      <c r="AR264" s="41" t="n"/>
      <c r="AS264" s="41" t="n"/>
      <c r="AT264" s="37" t="n"/>
      <c r="AU264" s="10" t="inlineStr">
        <is>
          <t>PRD-0260</t>
        </is>
      </c>
    </row>
    <row r="265">
      <c r="A265" s="16">
        <f>IF($C265="","",IFERROR(IF(INDEX(tbl_Finance[Latest Invoice Date],MATCH($AU265,tbl_Finance[Row ID],0))="","",INDEX(tbl_Finance[Latest Invoice Date],MATCH($AU265,tbl_Finance[Row ID],0))),""))</f>
        <v/>
      </c>
      <c r="B265" s="10">
        <f>IF($C265="","",IFERROR(INDEX(tbl_Finance[Invoice Numbers],MATCH($AU265,tbl_Finance[Row ID],0))&amp;"",""))</f>
        <v/>
      </c>
      <c r="C265" s="37" t="n"/>
      <c r="D265" s="10">
        <f>IF($C265="","",IF(COUNTIF(lst_Jobs,$C265&amp;"")&gt;0,"OK","CHECK"))</f>
        <v/>
      </c>
      <c r="E265" s="10">
        <f>IF($C265="","",IFERROR(INDEX(lst_JobName,MATCH($C265&amp;"",lst_Jobs,0)),""))</f>
        <v/>
      </c>
      <c r="F265" s="37" t="n"/>
      <c r="G265" s="37" t="n"/>
      <c r="H265" s="37" t="n"/>
      <c r="I265" s="37" t="n"/>
      <c r="J265" s="37" t="n"/>
      <c r="K265" s="38">
        <f>IF($C265="","",IFERROR(N(INDEX(tbl_Finance[Invoice Count],MATCH($AU265,tbl_Finance[Row ID],0))),""))</f>
        <v/>
      </c>
      <c r="L265" s="11">
        <f>IF($C265="","",IFERROR(N(INDEX(tbl_Finance[Xero Invoiced Ex GST],MATCH($AU265,tbl_Finance[Row ID],0))),""))</f>
        <v/>
      </c>
      <c r="M265" s="10">
        <f>IF($C265="","",IFERROR(INDEX(tbl_Finance[Compare],MATCH($AU265,tbl_Finance[Row ID],0))&amp;"",""))</f>
        <v/>
      </c>
      <c r="N265" s="11">
        <f>IF($C265="","",MAX(0,N(O265)-N(L265)))</f>
        <v/>
      </c>
      <c r="O265" s="39" t="n"/>
      <c r="P265" s="40">
        <f>IF($C265="","",IF((IF(F265="",", Client","")&amp;IF(G265="",", Description","")&amp;IF(H265="",", Cost Centre","")&amp;IF(I265="",", Invoice Type","")&amp;IF(J265="",", Tax Code","")&amp;IF(O265="",", Expected Revenue","")&amp;IF(COUNTIF(tbl_Finance[Job Number],$C265&amp;"")&gt;1,", Job number used twice",""))="","Complete","Fix: "&amp;MID(IF(F265="",", Client","")&amp;IF(G265="",", Description","")&amp;IF(H265="",", Cost Centre","")&amp;IF(I265="",", Invoice Type","")&amp;IF(J265="",", Tax Code","")&amp;IF(O265="",", Expected Revenue","")&amp;IF(COUNTIF(tbl_Finance[Job Number],$C265&amp;"")&gt;1,", Job number used twice",""),3,300)))</f>
        <v/>
      </c>
      <c r="Q265" s="10">
        <f>IF($C265="","",IF(H265="","(no cost centre)",H265&amp;" - GL "&amp;IFERROR(INDEX(lst_CCtoGL,MATCH(H265,lst_CCforGL,0)),"?")))</f>
        <v/>
      </c>
      <c r="R265" s="11">
        <f>IF($C265="","",IFERROR(N(INDEX(tbl_Finance[Inc GST],MATCH($AU265,tbl_Finance[Row ID],0))),""))</f>
        <v/>
      </c>
      <c r="S265" s="37" t="n"/>
      <c r="T265" s="37" t="n"/>
      <c r="U265" s="37" t="n"/>
      <c r="V265" s="42" t="n"/>
      <c r="W265" s="37" t="n"/>
      <c r="X265" s="10">
        <f>IF(W265="","",IF(AND(LEFT(W265,4)&lt;&gt;"http",set_RMSBase=""),"",HYPERLINK(IF(LEFT(W265,4)="http",W265,set_RMSBase&amp;W265),"Open in RMS")))</f>
        <v/>
      </c>
      <c r="Y265" s="37" t="n"/>
      <c r="Z265" s="10">
        <f>IF(Y265="","",HYPERLINK(IF(LEFT(Y265,4)="http",Y265,set_QwilrBase&amp;Y265),"Open quote"))</f>
        <v/>
      </c>
      <c r="AA265" s="10">
        <f>IF(C265="","",C265)</f>
        <v/>
      </c>
      <c r="AB265" s="37" t="n"/>
      <c r="AC265" s="39" t="n"/>
      <c r="AD265" s="11">
        <f>IF(C265="","",N(L265)+N(AC265))</f>
        <v/>
      </c>
      <c r="AE265" s="43">
        <f>IFERROR(IF(N(AC265)=0,"",AC265/AD265),"")</f>
        <v/>
      </c>
      <c r="AF265" s="39" t="n"/>
      <c r="AG265" s="39" t="n"/>
      <c r="AH265" s="39" t="n"/>
      <c r="AI265" s="39" t="n"/>
      <c r="AJ265" s="11">
        <f>IF(C265="","",IF(H265="VIDEO",N(L265),0))</f>
        <v/>
      </c>
      <c r="AK265" s="43">
        <f>IFERROR(IF(N(L265)=0,"",AJ265/L265),"")</f>
        <v/>
      </c>
      <c r="AL265" s="11">
        <f>IF(C265="","",N(AF265)+N(AG265)+N(AH265)+N(AI265))</f>
        <v/>
      </c>
      <c r="AM265" s="11">
        <f>IF(C265="","",MAX(N(L265),N(O265))-N(AL265))</f>
        <v/>
      </c>
      <c r="AN265" s="43">
        <f>IFERROR(IF(MAX(N(L265),N(O265))=0,"",AM265/MAX(N(L265),N(O265))),"")</f>
        <v/>
      </c>
      <c r="AO265" s="41" t="n"/>
      <c r="AP265" s="41" t="n"/>
      <c r="AQ265" s="41" t="n"/>
      <c r="AR265" s="41" t="n"/>
      <c r="AS265" s="41" t="n"/>
      <c r="AT265" s="37" t="n"/>
      <c r="AU265" s="10" t="inlineStr">
        <is>
          <t>PRD-0261</t>
        </is>
      </c>
    </row>
    <row r="266">
      <c r="A266" s="16">
        <f>IF($C266="","",IFERROR(IF(INDEX(tbl_Finance[Latest Invoice Date],MATCH($AU266,tbl_Finance[Row ID],0))="","",INDEX(tbl_Finance[Latest Invoice Date],MATCH($AU266,tbl_Finance[Row ID],0))),""))</f>
        <v/>
      </c>
      <c r="B266" s="10">
        <f>IF($C266="","",IFERROR(INDEX(tbl_Finance[Invoice Numbers],MATCH($AU266,tbl_Finance[Row ID],0))&amp;"",""))</f>
        <v/>
      </c>
      <c r="C266" s="37" t="n"/>
      <c r="D266" s="10">
        <f>IF($C266="","",IF(COUNTIF(lst_Jobs,$C266&amp;"")&gt;0,"OK","CHECK"))</f>
        <v/>
      </c>
      <c r="E266" s="10">
        <f>IF($C266="","",IFERROR(INDEX(lst_JobName,MATCH($C266&amp;"",lst_Jobs,0)),""))</f>
        <v/>
      </c>
      <c r="F266" s="37" t="n"/>
      <c r="G266" s="37" t="n"/>
      <c r="H266" s="37" t="n"/>
      <c r="I266" s="37" t="n"/>
      <c r="J266" s="37" t="n"/>
      <c r="K266" s="38">
        <f>IF($C266="","",IFERROR(N(INDEX(tbl_Finance[Invoice Count],MATCH($AU266,tbl_Finance[Row ID],0))),""))</f>
        <v/>
      </c>
      <c r="L266" s="11">
        <f>IF($C266="","",IFERROR(N(INDEX(tbl_Finance[Xero Invoiced Ex GST],MATCH($AU266,tbl_Finance[Row ID],0))),""))</f>
        <v/>
      </c>
      <c r="M266" s="10">
        <f>IF($C266="","",IFERROR(INDEX(tbl_Finance[Compare],MATCH($AU266,tbl_Finance[Row ID],0))&amp;"",""))</f>
        <v/>
      </c>
      <c r="N266" s="11">
        <f>IF($C266="","",MAX(0,N(O266)-N(L266)))</f>
        <v/>
      </c>
      <c r="O266" s="39" t="n"/>
      <c r="P266" s="40">
        <f>IF($C266="","",IF((IF(F266="",", Client","")&amp;IF(G266="",", Description","")&amp;IF(H266="",", Cost Centre","")&amp;IF(I266="",", Invoice Type","")&amp;IF(J266="",", Tax Code","")&amp;IF(O266="",", Expected Revenue","")&amp;IF(COUNTIF(tbl_Finance[Job Number],$C266&amp;"")&gt;1,", Job number used twice",""))="","Complete","Fix: "&amp;MID(IF(F266="",", Client","")&amp;IF(G266="",", Description","")&amp;IF(H266="",", Cost Centre","")&amp;IF(I266="",", Invoice Type","")&amp;IF(J266="",", Tax Code","")&amp;IF(O266="",", Expected Revenue","")&amp;IF(COUNTIF(tbl_Finance[Job Number],$C266&amp;"")&gt;1,", Job number used twice",""),3,300)))</f>
        <v/>
      </c>
      <c r="Q266" s="10">
        <f>IF($C266="","",IF(H266="","(no cost centre)",H266&amp;" - GL "&amp;IFERROR(INDEX(lst_CCtoGL,MATCH(H266,lst_CCforGL,0)),"?")))</f>
        <v/>
      </c>
      <c r="R266" s="11">
        <f>IF($C266="","",IFERROR(N(INDEX(tbl_Finance[Inc GST],MATCH($AU266,tbl_Finance[Row ID],0))),""))</f>
        <v/>
      </c>
      <c r="S266" s="37" t="n"/>
      <c r="T266" s="37" t="n"/>
      <c r="U266" s="37" t="n"/>
      <c r="V266" s="42" t="n"/>
      <c r="W266" s="37" t="n"/>
      <c r="X266" s="10">
        <f>IF(W266="","",IF(AND(LEFT(W266,4)&lt;&gt;"http",set_RMSBase=""),"",HYPERLINK(IF(LEFT(W266,4)="http",W266,set_RMSBase&amp;W266),"Open in RMS")))</f>
        <v/>
      </c>
      <c r="Y266" s="37" t="n"/>
      <c r="Z266" s="10">
        <f>IF(Y266="","",HYPERLINK(IF(LEFT(Y266,4)="http",Y266,set_QwilrBase&amp;Y266),"Open quote"))</f>
        <v/>
      </c>
      <c r="AA266" s="10">
        <f>IF(C266="","",C266)</f>
        <v/>
      </c>
      <c r="AB266" s="37" t="n"/>
      <c r="AC266" s="39" t="n"/>
      <c r="AD266" s="11">
        <f>IF(C266="","",N(L266)+N(AC266))</f>
        <v/>
      </c>
      <c r="AE266" s="43">
        <f>IFERROR(IF(N(AC266)=0,"",AC266/AD266),"")</f>
        <v/>
      </c>
      <c r="AF266" s="39" t="n"/>
      <c r="AG266" s="39" t="n"/>
      <c r="AH266" s="39" t="n"/>
      <c r="AI266" s="39" t="n"/>
      <c r="AJ266" s="11">
        <f>IF(C266="","",IF(H266="VIDEO",N(L266),0))</f>
        <v/>
      </c>
      <c r="AK266" s="43">
        <f>IFERROR(IF(N(L266)=0,"",AJ266/L266),"")</f>
        <v/>
      </c>
      <c r="AL266" s="11">
        <f>IF(C266="","",N(AF266)+N(AG266)+N(AH266)+N(AI266))</f>
        <v/>
      </c>
      <c r="AM266" s="11">
        <f>IF(C266="","",MAX(N(L266),N(O266))-N(AL266))</f>
        <v/>
      </c>
      <c r="AN266" s="43">
        <f>IFERROR(IF(MAX(N(L266),N(O266))=0,"",AM266/MAX(N(L266),N(O266))),"")</f>
        <v/>
      </c>
      <c r="AO266" s="41" t="n"/>
      <c r="AP266" s="41" t="n"/>
      <c r="AQ266" s="41" t="n"/>
      <c r="AR266" s="41" t="n"/>
      <c r="AS266" s="41" t="n"/>
      <c r="AT266" s="37" t="n"/>
      <c r="AU266" s="10" t="inlineStr">
        <is>
          <t>PRD-0262</t>
        </is>
      </c>
    </row>
    <row r="267">
      <c r="A267" s="16">
        <f>IF($C267="","",IFERROR(IF(INDEX(tbl_Finance[Latest Invoice Date],MATCH($AU267,tbl_Finance[Row ID],0))="","",INDEX(tbl_Finance[Latest Invoice Date],MATCH($AU267,tbl_Finance[Row ID],0))),""))</f>
        <v/>
      </c>
      <c r="B267" s="10">
        <f>IF($C267="","",IFERROR(INDEX(tbl_Finance[Invoice Numbers],MATCH($AU267,tbl_Finance[Row ID],0))&amp;"",""))</f>
        <v/>
      </c>
      <c r="C267" s="37" t="n"/>
      <c r="D267" s="10">
        <f>IF($C267="","",IF(COUNTIF(lst_Jobs,$C267&amp;"")&gt;0,"OK","CHECK"))</f>
        <v/>
      </c>
      <c r="E267" s="10">
        <f>IF($C267="","",IFERROR(INDEX(lst_JobName,MATCH($C267&amp;"",lst_Jobs,0)),""))</f>
        <v/>
      </c>
      <c r="F267" s="37" t="n"/>
      <c r="G267" s="37" t="n"/>
      <c r="H267" s="37" t="n"/>
      <c r="I267" s="37" t="n"/>
      <c r="J267" s="37" t="n"/>
      <c r="K267" s="38">
        <f>IF($C267="","",IFERROR(N(INDEX(tbl_Finance[Invoice Count],MATCH($AU267,tbl_Finance[Row ID],0))),""))</f>
        <v/>
      </c>
      <c r="L267" s="11">
        <f>IF($C267="","",IFERROR(N(INDEX(tbl_Finance[Xero Invoiced Ex GST],MATCH($AU267,tbl_Finance[Row ID],0))),""))</f>
        <v/>
      </c>
      <c r="M267" s="10">
        <f>IF($C267="","",IFERROR(INDEX(tbl_Finance[Compare],MATCH($AU267,tbl_Finance[Row ID],0))&amp;"",""))</f>
        <v/>
      </c>
      <c r="N267" s="11">
        <f>IF($C267="","",MAX(0,N(O267)-N(L267)))</f>
        <v/>
      </c>
      <c r="O267" s="39" t="n"/>
      <c r="P267" s="40">
        <f>IF($C267="","",IF((IF(F267="",", Client","")&amp;IF(G267="",", Description","")&amp;IF(H267="",", Cost Centre","")&amp;IF(I267="",", Invoice Type","")&amp;IF(J267="",", Tax Code","")&amp;IF(O267="",", Expected Revenue","")&amp;IF(COUNTIF(tbl_Finance[Job Number],$C267&amp;"")&gt;1,", Job number used twice",""))="","Complete","Fix: "&amp;MID(IF(F267="",", Client","")&amp;IF(G267="",", Description","")&amp;IF(H267="",", Cost Centre","")&amp;IF(I267="",", Invoice Type","")&amp;IF(J267="",", Tax Code","")&amp;IF(O267="",", Expected Revenue","")&amp;IF(COUNTIF(tbl_Finance[Job Number],$C267&amp;"")&gt;1,", Job number used twice",""),3,300)))</f>
        <v/>
      </c>
      <c r="Q267" s="10">
        <f>IF($C267="","",IF(H267="","(no cost centre)",H267&amp;" - GL "&amp;IFERROR(INDEX(lst_CCtoGL,MATCH(H267,lst_CCforGL,0)),"?")))</f>
        <v/>
      </c>
      <c r="R267" s="11">
        <f>IF($C267="","",IFERROR(N(INDEX(tbl_Finance[Inc GST],MATCH($AU267,tbl_Finance[Row ID],0))),""))</f>
        <v/>
      </c>
      <c r="S267" s="37" t="n"/>
      <c r="T267" s="37" t="n"/>
      <c r="U267" s="37" t="n"/>
      <c r="V267" s="42" t="n"/>
      <c r="W267" s="37" t="n"/>
      <c r="X267" s="10">
        <f>IF(W267="","",IF(AND(LEFT(W267,4)&lt;&gt;"http",set_RMSBase=""),"",HYPERLINK(IF(LEFT(W267,4)="http",W267,set_RMSBase&amp;W267),"Open in RMS")))</f>
        <v/>
      </c>
      <c r="Y267" s="37" t="n"/>
      <c r="Z267" s="10">
        <f>IF(Y267="","",HYPERLINK(IF(LEFT(Y267,4)="http",Y267,set_QwilrBase&amp;Y267),"Open quote"))</f>
        <v/>
      </c>
      <c r="AA267" s="10">
        <f>IF(C267="","",C267)</f>
        <v/>
      </c>
      <c r="AB267" s="37" t="n"/>
      <c r="AC267" s="39" t="n"/>
      <c r="AD267" s="11">
        <f>IF(C267="","",N(L267)+N(AC267))</f>
        <v/>
      </c>
      <c r="AE267" s="43">
        <f>IFERROR(IF(N(AC267)=0,"",AC267/AD267),"")</f>
        <v/>
      </c>
      <c r="AF267" s="39" t="n"/>
      <c r="AG267" s="39" t="n"/>
      <c r="AH267" s="39" t="n"/>
      <c r="AI267" s="39" t="n"/>
      <c r="AJ267" s="11">
        <f>IF(C267="","",IF(H267="VIDEO",N(L267),0))</f>
        <v/>
      </c>
      <c r="AK267" s="43">
        <f>IFERROR(IF(N(L267)=0,"",AJ267/L267),"")</f>
        <v/>
      </c>
      <c r="AL267" s="11">
        <f>IF(C267="","",N(AF267)+N(AG267)+N(AH267)+N(AI267))</f>
        <v/>
      </c>
      <c r="AM267" s="11">
        <f>IF(C267="","",MAX(N(L267),N(O267))-N(AL267))</f>
        <v/>
      </c>
      <c r="AN267" s="43">
        <f>IFERROR(IF(MAX(N(L267),N(O267))=0,"",AM267/MAX(N(L267),N(O267))),"")</f>
        <v/>
      </c>
      <c r="AO267" s="41" t="n"/>
      <c r="AP267" s="41" t="n"/>
      <c r="AQ267" s="41" t="n"/>
      <c r="AR267" s="41" t="n"/>
      <c r="AS267" s="41" t="n"/>
      <c r="AT267" s="37" t="n"/>
      <c r="AU267" s="10" t="inlineStr">
        <is>
          <t>PRD-0263</t>
        </is>
      </c>
    </row>
    <row r="268">
      <c r="A268" s="16">
        <f>IF($C268="","",IFERROR(IF(INDEX(tbl_Finance[Latest Invoice Date],MATCH($AU268,tbl_Finance[Row ID],0))="","",INDEX(tbl_Finance[Latest Invoice Date],MATCH($AU268,tbl_Finance[Row ID],0))),""))</f>
        <v/>
      </c>
      <c r="B268" s="10">
        <f>IF($C268="","",IFERROR(INDEX(tbl_Finance[Invoice Numbers],MATCH($AU268,tbl_Finance[Row ID],0))&amp;"",""))</f>
        <v/>
      </c>
      <c r="C268" s="37" t="n"/>
      <c r="D268" s="10">
        <f>IF($C268="","",IF(COUNTIF(lst_Jobs,$C268&amp;"")&gt;0,"OK","CHECK"))</f>
        <v/>
      </c>
      <c r="E268" s="10">
        <f>IF($C268="","",IFERROR(INDEX(lst_JobName,MATCH($C268&amp;"",lst_Jobs,0)),""))</f>
        <v/>
      </c>
      <c r="F268" s="37" t="n"/>
      <c r="G268" s="37" t="n"/>
      <c r="H268" s="37" t="n"/>
      <c r="I268" s="37" t="n"/>
      <c r="J268" s="37" t="n"/>
      <c r="K268" s="38">
        <f>IF($C268="","",IFERROR(N(INDEX(tbl_Finance[Invoice Count],MATCH($AU268,tbl_Finance[Row ID],0))),""))</f>
        <v/>
      </c>
      <c r="L268" s="11">
        <f>IF($C268="","",IFERROR(N(INDEX(tbl_Finance[Xero Invoiced Ex GST],MATCH($AU268,tbl_Finance[Row ID],0))),""))</f>
        <v/>
      </c>
      <c r="M268" s="10">
        <f>IF($C268="","",IFERROR(INDEX(tbl_Finance[Compare],MATCH($AU268,tbl_Finance[Row ID],0))&amp;"",""))</f>
        <v/>
      </c>
      <c r="N268" s="11">
        <f>IF($C268="","",MAX(0,N(O268)-N(L268)))</f>
        <v/>
      </c>
      <c r="O268" s="39" t="n"/>
      <c r="P268" s="40">
        <f>IF($C268="","",IF((IF(F268="",", Client","")&amp;IF(G268="",", Description","")&amp;IF(H268="",", Cost Centre","")&amp;IF(I268="",", Invoice Type","")&amp;IF(J268="",", Tax Code","")&amp;IF(O268="",", Expected Revenue","")&amp;IF(COUNTIF(tbl_Finance[Job Number],$C268&amp;"")&gt;1,", Job number used twice",""))="","Complete","Fix: "&amp;MID(IF(F268="",", Client","")&amp;IF(G268="",", Description","")&amp;IF(H268="",", Cost Centre","")&amp;IF(I268="",", Invoice Type","")&amp;IF(J268="",", Tax Code","")&amp;IF(O268="",", Expected Revenue","")&amp;IF(COUNTIF(tbl_Finance[Job Number],$C268&amp;"")&gt;1,", Job number used twice",""),3,300)))</f>
        <v/>
      </c>
      <c r="Q268" s="10">
        <f>IF($C268="","",IF(H268="","(no cost centre)",H268&amp;" - GL "&amp;IFERROR(INDEX(lst_CCtoGL,MATCH(H268,lst_CCforGL,0)),"?")))</f>
        <v/>
      </c>
      <c r="R268" s="11">
        <f>IF($C268="","",IFERROR(N(INDEX(tbl_Finance[Inc GST],MATCH($AU268,tbl_Finance[Row ID],0))),""))</f>
        <v/>
      </c>
      <c r="S268" s="37" t="n"/>
      <c r="T268" s="37" t="n"/>
      <c r="U268" s="37" t="n"/>
      <c r="V268" s="42" t="n"/>
      <c r="W268" s="37" t="n"/>
      <c r="X268" s="10">
        <f>IF(W268="","",IF(AND(LEFT(W268,4)&lt;&gt;"http",set_RMSBase=""),"",HYPERLINK(IF(LEFT(W268,4)="http",W268,set_RMSBase&amp;W268),"Open in RMS")))</f>
        <v/>
      </c>
      <c r="Y268" s="37" t="n"/>
      <c r="Z268" s="10">
        <f>IF(Y268="","",HYPERLINK(IF(LEFT(Y268,4)="http",Y268,set_QwilrBase&amp;Y268),"Open quote"))</f>
        <v/>
      </c>
      <c r="AA268" s="10">
        <f>IF(C268="","",C268)</f>
        <v/>
      </c>
      <c r="AB268" s="37" t="n"/>
      <c r="AC268" s="39" t="n"/>
      <c r="AD268" s="11">
        <f>IF(C268="","",N(L268)+N(AC268))</f>
        <v/>
      </c>
      <c r="AE268" s="43">
        <f>IFERROR(IF(N(AC268)=0,"",AC268/AD268),"")</f>
        <v/>
      </c>
      <c r="AF268" s="39" t="n"/>
      <c r="AG268" s="39" t="n"/>
      <c r="AH268" s="39" t="n"/>
      <c r="AI268" s="39" t="n"/>
      <c r="AJ268" s="11">
        <f>IF(C268="","",IF(H268="VIDEO",N(L268),0))</f>
        <v/>
      </c>
      <c r="AK268" s="43">
        <f>IFERROR(IF(N(L268)=0,"",AJ268/L268),"")</f>
        <v/>
      </c>
      <c r="AL268" s="11">
        <f>IF(C268="","",N(AF268)+N(AG268)+N(AH268)+N(AI268))</f>
        <v/>
      </c>
      <c r="AM268" s="11">
        <f>IF(C268="","",MAX(N(L268),N(O268))-N(AL268))</f>
        <v/>
      </c>
      <c r="AN268" s="43">
        <f>IFERROR(IF(MAX(N(L268),N(O268))=0,"",AM268/MAX(N(L268),N(O268))),"")</f>
        <v/>
      </c>
      <c r="AO268" s="41" t="n"/>
      <c r="AP268" s="41" t="n"/>
      <c r="AQ268" s="41" t="n"/>
      <c r="AR268" s="41" t="n"/>
      <c r="AS268" s="41" t="n"/>
      <c r="AT268" s="37" t="n"/>
      <c r="AU268" s="10" t="inlineStr">
        <is>
          <t>PRD-0264</t>
        </is>
      </c>
    </row>
    <row r="269">
      <c r="A269" s="16">
        <f>IF($C269="","",IFERROR(IF(INDEX(tbl_Finance[Latest Invoice Date],MATCH($AU269,tbl_Finance[Row ID],0))="","",INDEX(tbl_Finance[Latest Invoice Date],MATCH($AU269,tbl_Finance[Row ID],0))),""))</f>
        <v/>
      </c>
      <c r="B269" s="10">
        <f>IF($C269="","",IFERROR(INDEX(tbl_Finance[Invoice Numbers],MATCH($AU269,tbl_Finance[Row ID],0))&amp;"",""))</f>
        <v/>
      </c>
      <c r="C269" s="37" t="n"/>
      <c r="D269" s="10">
        <f>IF($C269="","",IF(COUNTIF(lst_Jobs,$C269&amp;"")&gt;0,"OK","CHECK"))</f>
        <v/>
      </c>
      <c r="E269" s="10">
        <f>IF($C269="","",IFERROR(INDEX(lst_JobName,MATCH($C269&amp;"",lst_Jobs,0)),""))</f>
        <v/>
      </c>
      <c r="F269" s="37" t="n"/>
      <c r="G269" s="37" t="n"/>
      <c r="H269" s="37" t="n"/>
      <c r="I269" s="37" t="n"/>
      <c r="J269" s="37" t="n"/>
      <c r="K269" s="38">
        <f>IF($C269="","",IFERROR(N(INDEX(tbl_Finance[Invoice Count],MATCH($AU269,tbl_Finance[Row ID],0))),""))</f>
        <v/>
      </c>
      <c r="L269" s="11">
        <f>IF($C269="","",IFERROR(N(INDEX(tbl_Finance[Xero Invoiced Ex GST],MATCH($AU269,tbl_Finance[Row ID],0))),""))</f>
        <v/>
      </c>
      <c r="M269" s="10">
        <f>IF($C269="","",IFERROR(INDEX(tbl_Finance[Compare],MATCH($AU269,tbl_Finance[Row ID],0))&amp;"",""))</f>
        <v/>
      </c>
      <c r="N269" s="11">
        <f>IF($C269="","",MAX(0,N(O269)-N(L269)))</f>
        <v/>
      </c>
      <c r="O269" s="39" t="n"/>
      <c r="P269" s="40">
        <f>IF($C269="","",IF((IF(F269="",", Client","")&amp;IF(G269="",", Description","")&amp;IF(H269="",", Cost Centre","")&amp;IF(I269="",", Invoice Type","")&amp;IF(J269="",", Tax Code","")&amp;IF(O269="",", Expected Revenue","")&amp;IF(COUNTIF(tbl_Finance[Job Number],$C269&amp;"")&gt;1,", Job number used twice",""))="","Complete","Fix: "&amp;MID(IF(F269="",", Client","")&amp;IF(G269="",", Description","")&amp;IF(H269="",", Cost Centre","")&amp;IF(I269="",", Invoice Type","")&amp;IF(J269="",", Tax Code","")&amp;IF(O269="",", Expected Revenue","")&amp;IF(COUNTIF(tbl_Finance[Job Number],$C269&amp;"")&gt;1,", Job number used twice",""),3,300)))</f>
        <v/>
      </c>
      <c r="Q269" s="10">
        <f>IF($C269="","",IF(H269="","(no cost centre)",H269&amp;" - GL "&amp;IFERROR(INDEX(lst_CCtoGL,MATCH(H269,lst_CCforGL,0)),"?")))</f>
        <v/>
      </c>
      <c r="R269" s="11">
        <f>IF($C269="","",IFERROR(N(INDEX(tbl_Finance[Inc GST],MATCH($AU269,tbl_Finance[Row ID],0))),""))</f>
        <v/>
      </c>
      <c r="S269" s="37" t="n"/>
      <c r="T269" s="37" t="n"/>
      <c r="U269" s="37" t="n"/>
      <c r="V269" s="42" t="n"/>
      <c r="W269" s="37" t="n"/>
      <c r="X269" s="10">
        <f>IF(W269="","",IF(AND(LEFT(W269,4)&lt;&gt;"http",set_RMSBase=""),"",HYPERLINK(IF(LEFT(W269,4)="http",W269,set_RMSBase&amp;W269),"Open in RMS")))</f>
        <v/>
      </c>
      <c r="Y269" s="37" t="n"/>
      <c r="Z269" s="10">
        <f>IF(Y269="","",HYPERLINK(IF(LEFT(Y269,4)="http",Y269,set_QwilrBase&amp;Y269),"Open quote"))</f>
        <v/>
      </c>
      <c r="AA269" s="10">
        <f>IF(C269="","",C269)</f>
        <v/>
      </c>
      <c r="AB269" s="37" t="n"/>
      <c r="AC269" s="39" t="n"/>
      <c r="AD269" s="11">
        <f>IF(C269="","",N(L269)+N(AC269))</f>
        <v/>
      </c>
      <c r="AE269" s="43">
        <f>IFERROR(IF(N(AC269)=0,"",AC269/AD269),"")</f>
        <v/>
      </c>
      <c r="AF269" s="39" t="n"/>
      <c r="AG269" s="39" t="n"/>
      <c r="AH269" s="39" t="n"/>
      <c r="AI269" s="39" t="n"/>
      <c r="AJ269" s="11">
        <f>IF(C269="","",IF(H269="VIDEO",N(L269),0))</f>
        <v/>
      </c>
      <c r="AK269" s="43">
        <f>IFERROR(IF(N(L269)=0,"",AJ269/L269),"")</f>
        <v/>
      </c>
      <c r="AL269" s="11">
        <f>IF(C269="","",N(AF269)+N(AG269)+N(AH269)+N(AI269))</f>
        <v/>
      </c>
      <c r="AM269" s="11">
        <f>IF(C269="","",MAX(N(L269),N(O269))-N(AL269))</f>
        <v/>
      </c>
      <c r="AN269" s="43">
        <f>IFERROR(IF(MAX(N(L269),N(O269))=0,"",AM269/MAX(N(L269),N(O269))),"")</f>
        <v/>
      </c>
      <c r="AO269" s="41" t="n"/>
      <c r="AP269" s="41" t="n"/>
      <c r="AQ269" s="41" t="n"/>
      <c r="AR269" s="41" t="n"/>
      <c r="AS269" s="41" t="n"/>
      <c r="AT269" s="37" t="n"/>
      <c r="AU269" s="10" t="inlineStr">
        <is>
          <t>PRD-0265</t>
        </is>
      </c>
    </row>
    <row r="270">
      <c r="A270" s="16">
        <f>IF($C270="","",IFERROR(IF(INDEX(tbl_Finance[Latest Invoice Date],MATCH($AU270,tbl_Finance[Row ID],0))="","",INDEX(tbl_Finance[Latest Invoice Date],MATCH($AU270,tbl_Finance[Row ID],0))),""))</f>
        <v/>
      </c>
      <c r="B270" s="10">
        <f>IF($C270="","",IFERROR(INDEX(tbl_Finance[Invoice Numbers],MATCH($AU270,tbl_Finance[Row ID],0))&amp;"",""))</f>
        <v/>
      </c>
      <c r="C270" s="37" t="n"/>
      <c r="D270" s="10">
        <f>IF($C270="","",IF(COUNTIF(lst_Jobs,$C270&amp;"")&gt;0,"OK","CHECK"))</f>
        <v/>
      </c>
      <c r="E270" s="10">
        <f>IF($C270="","",IFERROR(INDEX(lst_JobName,MATCH($C270&amp;"",lst_Jobs,0)),""))</f>
        <v/>
      </c>
      <c r="F270" s="37" t="n"/>
      <c r="G270" s="37" t="n"/>
      <c r="H270" s="37" t="n"/>
      <c r="I270" s="37" t="n"/>
      <c r="J270" s="37" t="n"/>
      <c r="K270" s="38">
        <f>IF($C270="","",IFERROR(N(INDEX(tbl_Finance[Invoice Count],MATCH($AU270,tbl_Finance[Row ID],0))),""))</f>
        <v/>
      </c>
      <c r="L270" s="11">
        <f>IF($C270="","",IFERROR(N(INDEX(tbl_Finance[Xero Invoiced Ex GST],MATCH($AU270,tbl_Finance[Row ID],0))),""))</f>
        <v/>
      </c>
      <c r="M270" s="10">
        <f>IF($C270="","",IFERROR(INDEX(tbl_Finance[Compare],MATCH($AU270,tbl_Finance[Row ID],0))&amp;"",""))</f>
        <v/>
      </c>
      <c r="N270" s="11">
        <f>IF($C270="","",MAX(0,N(O270)-N(L270)))</f>
        <v/>
      </c>
      <c r="O270" s="39" t="n"/>
      <c r="P270" s="40">
        <f>IF($C270="","",IF((IF(F270="",", Client","")&amp;IF(G270="",", Description","")&amp;IF(H270="",", Cost Centre","")&amp;IF(I270="",", Invoice Type","")&amp;IF(J270="",", Tax Code","")&amp;IF(O270="",", Expected Revenue","")&amp;IF(COUNTIF(tbl_Finance[Job Number],$C270&amp;"")&gt;1,", Job number used twice",""))="","Complete","Fix: "&amp;MID(IF(F270="",", Client","")&amp;IF(G270="",", Description","")&amp;IF(H270="",", Cost Centre","")&amp;IF(I270="",", Invoice Type","")&amp;IF(J270="",", Tax Code","")&amp;IF(O270="",", Expected Revenue","")&amp;IF(COUNTIF(tbl_Finance[Job Number],$C270&amp;"")&gt;1,", Job number used twice",""),3,300)))</f>
        <v/>
      </c>
      <c r="Q270" s="10">
        <f>IF($C270="","",IF(H270="","(no cost centre)",H270&amp;" - GL "&amp;IFERROR(INDEX(lst_CCtoGL,MATCH(H270,lst_CCforGL,0)),"?")))</f>
        <v/>
      </c>
      <c r="R270" s="11">
        <f>IF($C270="","",IFERROR(N(INDEX(tbl_Finance[Inc GST],MATCH($AU270,tbl_Finance[Row ID],0))),""))</f>
        <v/>
      </c>
      <c r="S270" s="37" t="n"/>
      <c r="T270" s="37" t="n"/>
      <c r="U270" s="37" t="n"/>
      <c r="V270" s="42" t="n"/>
      <c r="W270" s="37" t="n"/>
      <c r="X270" s="10">
        <f>IF(W270="","",IF(AND(LEFT(W270,4)&lt;&gt;"http",set_RMSBase=""),"",HYPERLINK(IF(LEFT(W270,4)="http",W270,set_RMSBase&amp;W270),"Open in RMS")))</f>
        <v/>
      </c>
      <c r="Y270" s="37" t="n"/>
      <c r="Z270" s="10">
        <f>IF(Y270="","",HYPERLINK(IF(LEFT(Y270,4)="http",Y270,set_QwilrBase&amp;Y270),"Open quote"))</f>
        <v/>
      </c>
      <c r="AA270" s="10">
        <f>IF(C270="","",C270)</f>
        <v/>
      </c>
      <c r="AB270" s="37" t="n"/>
      <c r="AC270" s="39" t="n"/>
      <c r="AD270" s="11">
        <f>IF(C270="","",N(L270)+N(AC270))</f>
        <v/>
      </c>
      <c r="AE270" s="43">
        <f>IFERROR(IF(N(AC270)=0,"",AC270/AD270),"")</f>
        <v/>
      </c>
      <c r="AF270" s="39" t="n"/>
      <c r="AG270" s="39" t="n"/>
      <c r="AH270" s="39" t="n"/>
      <c r="AI270" s="39" t="n"/>
      <c r="AJ270" s="11">
        <f>IF(C270="","",IF(H270="VIDEO",N(L270),0))</f>
        <v/>
      </c>
      <c r="AK270" s="43">
        <f>IFERROR(IF(N(L270)=0,"",AJ270/L270),"")</f>
        <v/>
      </c>
      <c r="AL270" s="11">
        <f>IF(C270="","",N(AF270)+N(AG270)+N(AH270)+N(AI270))</f>
        <v/>
      </c>
      <c r="AM270" s="11">
        <f>IF(C270="","",MAX(N(L270),N(O270))-N(AL270))</f>
        <v/>
      </c>
      <c r="AN270" s="43">
        <f>IFERROR(IF(MAX(N(L270),N(O270))=0,"",AM270/MAX(N(L270),N(O270))),"")</f>
        <v/>
      </c>
      <c r="AO270" s="41" t="n"/>
      <c r="AP270" s="41" t="n"/>
      <c r="AQ270" s="41" t="n"/>
      <c r="AR270" s="41" t="n"/>
      <c r="AS270" s="41" t="n"/>
      <c r="AT270" s="37" t="n"/>
      <c r="AU270" s="10" t="inlineStr">
        <is>
          <t>PRD-0266</t>
        </is>
      </c>
    </row>
    <row r="271">
      <c r="A271" s="16">
        <f>IF($C271="","",IFERROR(IF(INDEX(tbl_Finance[Latest Invoice Date],MATCH($AU271,tbl_Finance[Row ID],0))="","",INDEX(tbl_Finance[Latest Invoice Date],MATCH($AU271,tbl_Finance[Row ID],0))),""))</f>
        <v/>
      </c>
      <c r="B271" s="10">
        <f>IF($C271="","",IFERROR(INDEX(tbl_Finance[Invoice Numbers],MATCH($AU271,tbl_Finance[Row ID],0))&amp;"",""))</f>
        <v/>
      </c>
      <c r="C271" s="37" t="n"/>
      <c r="D271" s="10">
        <f>IF($C271="","",IF(COUNTIF(lst_Jobs,$C271&amp;"")&gt;0,"OK","CHECK"))</f>
        <v/>
      </c>
      <c r="E271" s="10">
        <f>IF($C271="","",IFERROR(INDEX(lst_JobName,MATCH($C271&amp;"",lst_Jobs,0)),""))</f>
        <v/>
      </c>
      <c r="F271" s="37" t="n"/>
      <c r="G271" s="37" t="n"/>
      <c r="H271" s="37" t="n"/>
      <c r="I271" s="37" t="n"/>
      <c r="J271" s="37" t="n"/>
      <c r="K271" s="38">
        <f>IF($C271="","",IFERROR(N(INDEX(tbl_Finance[Invoice Count],MATCH($AU271,tbl_Finance[Row ID],0))),""))</f>
        <v/>
      </c>
      <c r="L271" s="11">
        <f>IF($C271="","",IFERROR(N(INDEX(tbl_Finance[Xero Invoiced Ex GST],MATCH($AU271,tbl_Finance[Row ID],0))),""))</f>
        <v/>
      </c>
      <c r="M271" s="10">
        <f>IF($C271="","",IFERROR(INDEX(tbl_Finance[Compare],MATCH($AU271,tbl_Finance[Row ID],0))&amp;"",""))</f>
        <v/>
      </c>
      <c r="N271" s="11">
        <f>IF($C271="","",MAX(0,N(O271)-N(L271)))</f>
        <v/>
      </c>
      <c r="O271" s="39" t="n"/>
      <c r="P271" s="40">
        <f>IF($C271="","",IF((IF(F271="",", Client","")&amp;IF(G271="",", Description","")&amp;IF(H271="",", Cost Centre","")&amp;IF(I271="",", Invoice Type","")&amp;IF(J271="",", Tax Code","")&amp;IF(O271="",", Expected Revenue","")&amp;IF(COUNTIF(tbl_Finance[Job Number],$C271&amp;"")&gt;1,", Job number used twice",""))="","Complete","Fix: "&amp;MID(IF(F271="",", Client","")&amp;IF(G271="",", Description","")&amp;IF(H271="",", Cost Centre","")&amp;IF(I271="",", Invoice Type","")&amp;IF(J271="",", Tax Code","")&amp;IF(O271="",", Expected Revenue","")&amp;IF(COUNTIF(tbl_Finance[Job Number],$C271&amp;"")&gt;1,", Job number used twice",""),3,300)))</f>
        <v/>
      </c>
      <c r="Q271" s="10">
        <f>IF($C271="","",IF(H271="","(no cost centre)",H271&amp;" - GL "&amp;IFERROR(INDEX(lst_CCtoGL,MATCH(H271,lst_CCforGL,0)),"?")))</f>
        <v/>
      </c>
      <c r="R271" s="11">
        <f>IF($C271="","",IFERROR(N(INDEX(tbl_Finance[Inc GST],MATCH($AU271,tbl_Finance[Row ID],0))),""))</f>
        <v/>
      </c>
      <c r="S271" s="37" t="n"/>
      <c r="T271" s="37" t="n"/>
      <c r="U271" s="37" t="n"/>
      <c r="V271" s="42" t="n"/>
      <c r="W271" s="37" t="n"/>
      <c r="X271" s="10">
        <f>IF(W271="","",IF(AND(LEFT(W271,4)&lt;&gt;"http",set_RMSBase=""),"",HYPERLINK(IF(LEFT(W271,4)="http",W271,set_RMSBase&amp;W271),"Open in RMS")))</f>
        <v/>
      </c>
      <c r="Y271" s="37" t="n"/>
      <c r="Z271" s="10">
        <f>IF(Y271="","",HYPERLINK(IF(LEFT(Y271,4)="http",Y271,set_QwilrBase&amp;Y271),"Open quote"))</f>
        <v/>
      </c>
      <c r="AA271" s="10">
        <f>IF(C271="","",C271)</f>
        <v/>
      </c>
      <c r="AB271" s="37" t="n"/>
      <c r="AC271" s="39" t="n"/>
      <c r="AD271" s="11">
        <f>IF(C271="","",N(L271)+N(AC271))</f>
        <v/>
      </c>
      <c r="AE271" s="43">
        <f>IFERROR(IF(N(AC271)=0,"",AC271/AD271),"")</f>
        <v/>
      </c>
      <c r="AF271" s="39" t="n"/>
      <c r="AG271" s="39" t="n"/>
      <c r="AH271" s="39" t="n"/>
      <c r="AI271" s="39" t="n"/>
      <c r="AJ271" s="11">
        <f>IF(C271="","",IF(H271="VIDEO",N(L271),0))</f>
        <v/>
      </c>
      <c r="AK271" s="43">
        <f>IFERROR(IF(N(L271)=0,"",AJ271/L271),"")</f>
        <v/>
      </c>
      <c r="AL271" s="11">
        <f>IF(C271="","",N(AF271)+N(AG271)+N(AH271)+N(AI271))</f>
        <v/>
      </c>
      <c r="AM271" s="11">
        <f>IF(C271="","",MAX(N(L271),N(O271))-N(AL271))</f>
        <v/>
      </c>
      <c r="AN271" s="43">
        <f>IFERROR(IF(MAX(N(L271),N(O271))=0,"",AM271/MAX(N(L271),N(O271))),"")</f>
        <v/>
      </c>
      <c r="AO271" s="41" t="n"/>
      <c r="AP271" s="41" t="n"/>
      <c r="AQ271" s="41" t="n"/>
      <c r="AR271" s="41" t="n"/>
      <c r="AS271" s="41" t="n"/>
      <c r="AT271" s="37" t="n"/>
      <c r="AU271" s="10" t="inlineStr">
        <is>
          <t>PRD-0267</t>
        </is>
      </c>
    </row>
    <row r="272">
      <c r="A272" s="16">
        <f>IF($C272="","",IFERROR(IF(INDEX(tbl_Finance[Latest Invoice Date],MATCH($AU272,tbl_Finance[Row ID],0))="","",INDEX(tbl_Finance[Latest Invoice Date],MATCH($AU272,tbl_Finance[Row ID],0))),""))</f>
        <v/>
      </c>
      <c r="B272" s="10">
        <f>IF($C272="","",IFERROR(INDEX(tbl_Finance[Invoice Numbers],MATCH($AU272,tbl_Finance[Row ID],0))&amp;"",""))</f>
        <v/>
      </c>
      <c r="C272" s="37" t="n"/>
      <c r="D272" s="10">
        <f>IF($C272="","",IF(COUNTIF(lst_Jobs,$C272&amp;"")&gt;0,"OK","CHECK"))</f>
        <v/>
      </c>
      <c r="E272" s="10">
        <f>IF($C272="","",IFERROR(INDEX(lst_JobName,MATCH($C272&amp;"",lst_Jobs,0)),""))</f>
        <v/>
      </c>
      <c r="F272" s="37" t="n"/>
      <c r="G272" s="37" t="n"/>
      <c r="H272" s="37" t="n"/>
      <c r="I272" s="37" t="n"/>
      <c r="J272" s="37" t="n"/>
      <c r="K272" s="38">
        <f>IF($C272="","",IFERROR(N(INDEX(tbl_Finance[Invoice Count],MATCH($AU272,tbl_Finance[Row ID],0))),""))</f>
        <v/>
      </c>
      <c r="L272" s="11">
        <f>IF($C272="","",IFERROR(N(INDEX(tbl_Finance[Xero Invoiced Ex GST],MATCH($AU272,tbl_Finance[Row ID],0))),""))</f>
        <v/>
      </c>
      <c r="M272" s="10">
        <f>IF($C272="","",IFERROR(INDEX(tbl_Finance[Compare],MATCH($AU272,tbl_Finance[Row ID],0))&amp;"",""))</f>
        <v/>
      </c>
      <c r="N272" s="11">
        <f>IF($C272="","",MAX(0,N(O272)-N(L272)))</f>
        <v/>
      </c>
      <c r="O272" s="39" t="n"/>
      <c r="P272" s="40">
        <f>IF($C272="","",IF((IF(F272="",", Client","")&amp;IF(G272="",", Description","")&amp;IF(H272="",", Cost Centre","")&amp;IF(I272="",", Invoice Type","")&amp;IF(J272="",", Tax Code","")&amp;IF(O272="",", Expected Revenue","")&amp;IF(COUNTIF(tbl_Finance[Job Number],$C272&amp;"")&gt;1,", Job number used twice",""))="","Complete","Fix: "&amp;MID(IF(F272="",", Client","")&amp;IF(G272="",", Description","")&amp;IF(H272="",", Cost Centre","")&amp;IF(I272="",", Invoice Type","")&amp;IF(J272="",", Tax Code","")&amp;IF(O272="",", Expected Revenue","")&amp;IF(COUNTIF(tbl_Finance[Job Number],$C272&amp;"")&gt;1,", Job number used twice",""),3,300)))</f>
        <v/>
      </c>
      <c r="Q272" s="10">
        <f>IF($C272="","",IF(H272="","(no cost centre)",H272&amp;" - GL "&amp;IFERROR(INDEX(lst_CCtoGL,MATCH(H272,lst_CCforGL,0)),"?")))</f>
        <v/>
      </c>
      <c r="R272" s="11">
        <f>IF($C272="","",IFERROR(N(INDEX(tbl_Finance[Inc GST],MATCH($AU272,tbl_Finance[Row ID],0))),""))</f>
        <v/>
      </c>
      <c r="S272" s="37" t="n"/>
      <c r="T272" s="37" t="n"/>
      <c r="U272" s="37" t="n"/>
      <c r="V272" s="42" t="n"/>
      <c r="W272" s="37" t="n"/>
      <c r="X272" s="10">
        <f>IF(W272="","",IF(AND(LEFT(W272,4)&lt;&gt;"http",set_RMSBase=""),"",HYPERLINK(IF(LEFT(W272,4)="http",W272,set_RMSBase&amp;W272),"Open in RMS")))</f>
        <v/>
      </c>
      <c r="Y272" s="37" t="n"/>
      <c r="Z272" s="10">
        <f>IF(Y272="","",HYPERLINK(IF(LEFT(Y272,4)="http",Y272,set_QwilrBase&amp;Y272),"Open quote"))</f>
        <v/>
      </c>
      <c r="AA272" s="10">
        <f>IF(C272="","",C272)</f>
        <v/>
      </c>
      <c r="AB272" s="37" t="n"/>
      <c r="AC272" s="39" t="n"/>
      <c r="AD272" s="11">
        <f>IF(C272="","",N(L272)+N(AC272))</f>
        <v/>
      </c>
      <c r="AE272" s="43">
        <f>IFERROR(IF(N(AC272)=0,"",AC272/AD272),"")</f>
        <v/>
      </c>
      <c r="AF272" s="39" t="n"/>
      <c r="AG272" s="39" t="n"/>
      <c r="AH272" s="39" t="n"/>
      <c r="AI272" s="39" t="n"/>
      <c r="AJ272" s="11">
        <f>IF(C272="","",IF(H272="VIDEO",N(L272),0))</f>
        <v/>
      </c>
      <c r="AK272" s="43">
        <f>IFERROR(IF(N(L272)=0,"",AJ272/L272),"")</f>
        <v/>
      </c>
      <c r="AL272" s="11">
        <f>IF(C272="","",N(AF272)+N(AG272)+N(AH272)+N(AI272))</f>
        <v/>
      </c>
      <c r="AM272" s="11">
        <f>IF(C272="","",MAX(N(L272),N(O272))-N(AL272))</f>
        <v/>
      </c>
      <c r="AN272" s="43">
        <f>IFERROR(IF(MAX(N(L272),N(O272))=0,"",AM272/MAX(N(L272),N(O272))),"")</f>
        <v/>
      </c>
      <c r="AO272" s="41" t="n"/>
      <c r="AP272" s="41" t="n"/>
      <c r="AQ272" s="41" t="n"/>
      <c r="AR272" s="41" t="n"/>
      <c r="AS272" s="41" t="n"/>
      <c r="AT272" s="37" t="n"/>
      <c r="AU272" s="10" t="inlineStr">
        <is>
          <t>PRD-0268</t>
        </is>
      </c>
    </row>
    <row r="273">
      <c r="A273" s="16">
        <f>IF($C273="","",IFERROR(IF(INDEX(tbl_Finance[Latest Invoice Date],MATCH($AU273,tbl_Finance[Row ID],0))="","",INDEX(tbl_Finance[Latest Invoice Date],MATCH($AU273,tbl_Finance[Row ID],0))),""))</f>
        <v/>
      </c>
      <c r="B273" s="10">
        <f>IF($C273="","",IFERROR(INDEX(tbl_Finance[Invoice Numbers],MATCH($AU273,tbl_Finance[Row ID],0))&amp;"",""))</f>
        <v/>
      </c>
      <c r="C273" s="37" t="n"/>
      <c r="D273" s="10">
        <f>IF($C273="","",IF(COUNTIF(lst_Jobs,$C273&amp;"")&gt;0,"OK","CHECK"))</f>
        <v/>
      </c>
      <c r="E273" s="10">
        <f>IF($C273="","",IFERROR(INDEX(lst_JobName,MATCH($C273&amp;"",lst_Jobs,0)),""))</f>
        <v/>
      </c>
      <c r="F273" s="37" t="n"/>
      <c r="G273" s="37" t="n"/>
      <c r="H273" s="37" t="n"/>
      <c r="I273" s="37" t="n"/>
      <c r="J273" s="37" t="n"/>
      <c r="K273" s="38">
        <f>IF($C273="","",IFERROR(N(INDEX(tbl_Finance[Invoice Count],MATCH($AU273,tbl_Finance[Row ID],0))),""))</f>
        <v/>
      </c>
      <c r="L273" s="11">
        <f>IF($C273="","",IFERROR(N(INDEX(tbl_Finance[Xero Invoiced Ex GST],MATCH($AU273,tbl_Finance[Row ID],0))),""))</f>
        <v/>
      </c>
      <c r="M273" s="10">
        <f>IF($C273="","",IFERROR(INDEX(tbl_Finance[Compare],MATCH($AU273,tbl_Finance[Row ID],0))&amp;"",""))</f>
        <v/>
      </c>
      <c r="N273" s="11">
        <f>IF($C273="","",MAX(0,N(O273)-N(L273)))</f>
        <v/>
      </c>
      <c r="O273" s="39" t="n"/>
      <c r="P273" s="40">
        <f>IF($C273="","",IF((IF(F273="",", Client","")&amp;IF(G273="",", Description","")&amp;IF(H273="",", Cost Centre","")&amp;IF(I273="",", Invoice Type","")&amp;IF(J273="",", Tax Code","")&amp;IF(O273="",", Expected Revenue","")&amp;IF(COUNTIF(tbl_Finance[Job Number],$C273&amp;"")&gt;1,", Job number used twice",""))="","Complete","Fix: "&amp;MID(IF(F273="",", Client","")&amp;IF(G273="",", Description","")&amp;IF(H273="",", Cost Centre","")&amp;IF(I273="",", Invoice Type","")&amp;IF(J273="",", Tax Code","")&amp;IF(O273="",", Expected Revenue","")&amp;IF(COUNTIF(tbl_Finance[Job Number],$C273&amp;"")&gt;1,", Job number used twice",""),3,300)))</f>
        <v/>
      </c>
      <c r="Q273" s="10">
        <f>IF($C273="","",IF(H273="","(no cost centre)",H273&amp;" - GL "&amp;IFERROR(INDEX(lst_CCtoGL,MATCH(H273,lst_CCforGL,0)),"?")))</f>
        <v/>
      </c>
      <c r="R273" s="11">
        <f>IF($C273="","",IFERROR(N(INDEX(tbl_Finance[Inc GST],MATCH($AU273,tbl_Finance[Row ID],0))),""))</f>
        <v/>
      </c>
      <c r="S273" s="37" t="n"/>
      <c r="T273" s="37" t="n"/>
      <c r="U273" s="37" t="n"/>
      <c r="V273" s="42" t="n"/>
      <c r="W273" s="37" t="n"/>
      <c r="X273" s="10">
        <f>IF(W273="","",IF(AND(LEFT(W273,4)&lt;&gt;"http",set_RMSBase=""),"",HYPERLINK(IF(LEFT(W273,4)="http",W273,set_RMSBase&amp;W273),"Open in RMS")))</f>
        <v/>
      </c>
      <c r="Y273" s="37" t="n"/>
      <c r="Z273" s="10">
        <f>IF(Y273="","",HYPERLINK(IF(LEFT(Y273,4)="http",Y273,set_QwilrBase&amp;Y273),"Open quote"))</f>
        <v/>
      </c>
      <c r="AA273" s="10">
        <f>IF(C273="","",C273)</f>
        <v/>
      </c>
      <c r="AB273" s="37" t="n"/>
      <c r="AC273" s="39" t="n"/>
      <c r="AD273" s="11">
        <f>IF(C273="","",N(L273)+N(AC273))</f>
        <v/>
      </c>
      <c r="AE273" s="43">
        <f>IFERROR(IF(N(AC273)=0,"",AC273/AD273),"")</f>
        <v/>
      </c>
      <c r="AF273" s="39" t="n"/>
      <c r="AG273" s="39" t="n"/>
      <c r="AH273" s="39" t="n"/>
      <c r="AI273" s="39" t="n"/>
      <c r="AJ273" s="11">
        <f>IF(C273="","",IF(H273="VIDEO",N(L273),0))</f>
        <v/>
      </c>
      <c r="AK273" s="43">
        <f>IFERROR(IF(N(L273)=0,"",AJ273/L273),"")</f>
        <v/>
      </c>
      <c r="AL273" s="11">
        <f>IF(C273="","",N(AF273)+N(AG273)+N(AH273)+N(AI273))</f>
        <v/>
      </c>
      <c r="AM273" s="11">
        <f>IF(C273="","",MAX(N(L273),N(O273))-N(AL273))</f>
        <v/>
      </c>
      <c r="AN273" s="43">
        <f>IFERROR(IF(MAX(N(L273),N(O273))=0,"",AM273/MAX(N(L273),N(O273))),"")</f>
        <v/>
      </c>
      <c r="AO273" s="41" t="n"/>
      <c r="AP273" s="41" t="n"/>
      <c r="AQ273" s="41" t="n"/>
      <c r="AR273" s="41" t="n"/>
      <c r="AS273" s="41" t="n"/>
      <c r="AT273" s="37" t="n"/>
      <c r="AU273" s="10" t="inlineStr">
        <is>
          <t>PRD-0269</t>
        </is>
      </c>
    </row>
    <row r="274">
      <c r="A274" s="16">
        <f>IF($C274="","",IFERROR(IF(INDEX(tbl_Finance[Latest Invoice Date],MATCH($AU274,tbl_Finance[Row ID],0))="","",INDEX(tbl_Finance[Latest Invoice Date],MATCH($AU274,tbl_Finance[Row ID],0))),""))</f>
        <v/>
      </c>
      <c r="B274" s="10">
        <f>IF($C274="","",IFERROR(INDEX(tbl_Finance[Invoice Numbers],MATCH($AU274,tbl_Finance[Row ID],0))&amp;"",""))</f>
        <v/>
      </c>
      <c r="C274" s="37" t="n"/>
      <c r="D274" s="10">
        <f>IF($C274="","",IF(COUNTIF(lst_Jobs,$C274&amp;"")&gt;0,"OK","CHECK"))</f>
        <v/>
      </c>
      <c r="E274" s="10">
        <f>IF($C274="","",IFERROR(INDEX(lst_JobName,MATCH($C274&amp;"",lst_Jobs,0)),""))</f>
        <v/>
      </c>
      <c r="F274" s="37" t="n"/>
      <c r="G274" s="37" t="n"/>
      <c r="H274" s="37" t="n"/>
      <c r="I274" s="37" t="n"/>
      <c r="J274" s="37" t="n"/>
      <c r="K274" s="38">
        <f>IF($C274="","",IFERROR(N(INDEX(tbl_Finance[Invoice Count],MATCH($AU274,tbl_Finance[Row ID],0))),""))</f>
        <v/>
      </c>
      <c r="L274" s="11">
        <f>IF($C274="","",IFERROR(N(INDEX(tbl_Finance[Xero Invoiced Ex GST],MATCH($AU274,tbl_Finance[Row ID],0))),""))</f>
        <v/>
      </c>
      <c r="M274" s="10">
        <f>IF($C274="","",IFERROR(INDEX(tbl_Finance[Compare],MATCH($AU274,tbl_Finance[Row ID],0))&amp;"",""))</f>
        <v/>
      </c>
      <c r="N274" s="11">
        <f>IF($C274="","",MAX(0,N(O274)-N(L274)))</f>
        <v/>
      </c>
      <c r="O274" s="39" t="n"/>
      <c r="P274" s="40">
        <f>IF($C274="","",IF((IF(F274="",", Client","")&amp;IF(G274="",", Description","")&amp;IF(H274="",", Cost Centre","")&amp;IF(I274="",", Invoice Type","")&amp;IF(J274="",", Tax Code","")&amp;IF(O274="",", Expected Revenue","")&amp;IF(COUNTIF(tbl_Finance[Job Number],$C274&amp;"")&gt;1,", Job number used twice",""))="","Complete","Fix: "&amp;MID(IF(F274="",", Client","")&amp;IF(G274="",", Description","")&amp;IF(H274="",", Cost Centre","")&amp;IF(I274="",", Invoice Type","")&amp;IF(J274="",", Tax Code","")&amp;IF(O274="",", Expected Revenue","")&amp;IF(COUNTIF(tbl_Finance[Job Number],$C274&amp;"")&gt;1,", Job number used twice",""),3,300)))</f>
        <v/>
      </c>
      <c r="Q274" s="10">
        <f>IF($C274="","",IF(H274="","(no cost centre)",H274&amp;" - GL "&amp;IFERROR(INDEX(lst_CCtoGL,MATCH(H274,lst_CCforGL,0)),"?")))</f>
        <v/>
      </c>
      <c r="R274" s="11">
        <f>IF($C274="","",IFERROR(N(INDEX(tbl_Finance[Inc GST],MATCH($AU274,tbl_Finance[Row ID],0))),""))</f>
        <v/>
      </c>
      <c r="S274" s="37" t="n"/>
      <c r="T274" s="37" t="n"/>
      <c r="U274" s="37" t="n"/>
      <c r="V274" s="42" t="n"/>
      <c r="W274" s="37" t="n"/>
      <c r="X274" s="10">
        <f>IF(W274="","",IF(AND(LEFT(W274,4)&lt;&gt;"http",set_RMSBase=""),"",HYPERLINK(IF(LEFT(W274,4)="http",W274,set_RMSBase&amp;W274),"Open in RMS")))</f>
        <v/>
      </c>
      <c r="Y274" s="37" t="n"/>
      <c r="Z274" s="10">
        <f>IF(Y274="","",HYPERLINK(IF(LEFT(Y274,4)="http",Y274,set_QwilrBase&amp;Y274),"Open quote"))</f>
        <v/>
      </c>
      <c r="AA274" s="10">
        <f>IF(C274="","",C274)</f>
        <v/>
      </c>
      <c r="AB274" s="37" t="n"/>
      <c r="AC274" s="39" t="n"/>
      <c r="AD274" s="11">
        <f>IF(C274="","",N(L274)+N(AC274))</f>
        <v/>
      </c>
      <c r="AE274" s="43">
        <f>IFERROR(IF(N(AC274)=0,"",AC274/AD274),"")</f>
        <v/>
      </c>
      <c r="AF274" s="39" t="n"/>
      <c r="AG274" s="39" t="n"/>
      <c r="AH274" s="39" t="n"/>
      <c r="AI274" s="39" t="n"/>
      <c r="AJ274" s="11">
        <f>IF(C274="","",IF(H274="VIDEO",N(L274),0))</f>
        <v/>
      </c>
      <c r="AK274" s="43">
        <f>IFERROR(IF(N(L274)=0,"",AJ274/L274),"")</f>
        <v/>
      </c>
      <c r="AL274" s="11">
        <f>IF(C274="","",N(AF274)+N(AG274)+N(AH274)+N(AI274))</f>
        <v/>
      </c>
      <c r="AM274" s="11">
        <f>IF(C274="","",MAX(N(L274),N(O274))-N(AL274))</f>
        <v/>
      </c>
      <c r="AN274" s="43">
        <f>IFERROR(IF(MAX(N(L274),N(O274))=0,"",AM274/MAX(N(L274),N(O274))),"")</f>
        <v/>
      </c>
      <c r="AO274" s="41" t="n"/>
      <c r="AP274" s="41" t="n"/>
      <c r="AQ274" s="41" t="n"/>
      <c r="AR274" s="41" t="n"/>
      <c r="AS274" s="41" t="n"/>
      <c r="AT274" s="37" t="n"/>
      <c r="AU274" s="10" t="inlineStr">
        <is>
          <t>PRD-0270</t>
        </is>
      </c>
    </row>
    <row r="275">
      <c r="A275" s="16">
        <f>IF($C275="","",IFERROR(IF(INDEX(tbl_Finance[Latest Invoice Date],MATCH($AU275,tbl_Finance[Row ID],0))="","",INDEX(tbl_Finance[Latest Invoice Date],MATCH($AU275,tbl_Finance[Row ID],0))),""))</f>
        <v/>
      </c>
      <c r="B275" s="10">
        <f>IF($C275="","",IFERROR(INDEX(tbl_Finance[Invoice Numbers],MATCH($AU275,tbl_Finance[Row ID],0))&amp;"",""))</f>
        <v/>
      </c>
      <c r="C275" s="37" t="n"/>
      <c r="D275" s="10">
        <f>IF($C275="","",IF(COUNTIF(lst_Jobs,$C275&amp;"")&gt;0,"OK","CHECK"))</f>
        <v/>
      </c>
      <c r="E275" s="10">
        <f>IF($C275="","",IFERROR(INDEX(lst_JobName,MATCH($C275&amp;"",lst_Jobs,0)),""))</f>
        <v/>
      </c>
      <c r="F275" s="37" t="n"/>
      <c r="G275" s="37" t="n"/>
      <c r="H275" s="37" t="n"/>
      <c r="I275" s="37" t="n"/>
      <c r="J275" s="37" t="n"/>
      <c r="K275" s="38">
        <f>IF($C275="","",IFERROR(N(INDEX(tbl_Finance[Invoice Count],MATCH($AU275,tbl_Finance[Row ID],0))),""))</f>
        <v/>
      </c>
      <c r="L275" s="11">
        <f>IF($C275="","",IFERROR(N(INDEX(tbl_Finance[Xero Invoiced Ex GST],MATCH($AU275,tbl_Finance[Row ID],0))),""))</f>
        <v/>
      </c>
      <c r="M275" s="10">
        <f>IF($C275="","",IFERROR(INDEX(tbl_Finance[Compare],MATCH($AU275,tbl_Finance[Row ID],0))&amp;"",""))</f>
        <v/>
      </c>
      <c r="N275" s="11">
        <f>IF($C275="","",MAX(0,N(O275)-N(L275)))</f>
        <v/>
      </c>
      <c r="O275" s="39" t="n"/>
      <c r="P275" s="40">
        <f>IF($C275="","",IF((IF(F275="",", Client","")&amp;IF(G275="",", Description","")&amp;IF(H275="",", Cost Centre","")&amp;IF(I275="",", Invoice Type","")&amp;IF(J275="",", Tax Code","")&amp;IF(O275="",", Expected Revenue","")&amp;IF(COUNTIF(tbl_Finance[Job Number],$C275&amp;"")&gt;1,", Job number used twice",""))="","Complete","Fix: "&amp;MID(IF(F275="",", Client","")&amp;IF(G275="",", Description","")&amp;IF(H275="",", Cost Centre","")&amp;IF(I275="",", Invoice Type","")&amp;IF(J275="",", Tax Code","")&amp;IF(O275="",", Expected Revenue","")&amp;IF(COUNTIF(tbl_Finance[Job Number],$C275&amp;"")&gt;1,", Job number used twice",""),3,300)))</f>
        <v/>
      </c>
      <c r="Q275" s="10">
        <f>IF($C275="","",IF(H275="","(no cost centre)",H275&amp;" - GL "&amp;IFERROR(INDEX(lst_CCtoGL,MATCH(H275,lst_CCforGL,0)),"?")))</f>
        <v/>
      </c>
      <c r="R275" s="11">
        <f>IF($C275="","",IFERROR(N(INDEX(tbl_Finance[Inc GST],MATCH($AU275,tbl_Finance[Row ID],0))),""))</f>
        <v/>
      </c>
      <c r="S275" s="37" t="n"/>
      <c r="T275" s="37" t="n"/>
      <c r="U275" s="37" t="n"/>
      <c r="V275" s="42" t="n"/>
      <c r="W275" s="37" t="n"/>
      <c r="X275" s="10">
        <f>IF(W275="","",IF(AND(LEFT(W275,4)&lt;&gt;"http",set_RMSBase=""),"",HYPERLINK(IF(LEFT(W275,4)="http",W275,set_RMSBase&amp;W275),"Open in RMS")))</f>
        <v/>
      </c>
      <c r="Y275" s="37" t="n"/>
      <c r="Z275" s="10">
        <f>IF(Y275="","",HYPERLINK(IF(LEFT(Y275,4)="http",Y275,set_QwilrBase&amp;Y275),"Open quote"))</f>
        <v/>
      </c>
      <c r="AA275" s="10">
        <f>IF(C275="","",C275)</f>
        <v/>
      </c>
      <c r="AB275" s="37" t="n"/>
      <c r="AC275" s="39" t="n"/>
      <c r="AD275" s="11">
        <f>IF(C275="","",N(L275)+N(AC275))</f>
        <v/>
      </c>
      <c r="AE275" s="43">
        <f>IFERROR(IF(N(AC275)=0,"",AC275/AD275),"")</f>
        <v/>
      </c>
      <c r="AF275" s="39" t="n"/>
      <c r="AG275" s="39" t="n"/>
      <c r="AH275" s="39" t="n"/>
      <c r="AI275" s="39" t="n"/>
      <c r="AJ275" s="11">
        <f>IF(C275="","",IF(H275="VIDEO",N(L275),0))</f>
        <v/>
      </c>
      <c r="AK275" s="43">
        <f>IFERROR(IF(N(L275)=0,"",AJ275/L275),"")</f>
        <v/>
      </c>
      <c r="AL275" s="11">
        <f>IF(C275="","",N(AF275)+N(AG275)+N(AH275)+N(AI275))</f>
        <v/>
      </c>
      <c r="AM275" s="11">
        <f>IF(C275="","",MAX(N(L275),N(O275))-N(AL275))</f>
        <v/>
      </c>
      <c r="AN275" s="43">
        <f>IFERROR(IF(MAX(N(L275),N(O275))=0,"",AM275/MAX(N(L275),N(O275))),"")</f>
        <v/>
      </c>
      <c r="AO275" s="41" t="n"/>
      <c r="AP275" s="41" t="n"/>
      <c r="AQ275" s="41" t="n"/>
      <c r="AR275" s="41" t="n"/>
      <c r="AS275" s="41" t="n"/>
      <c r="AT275" s="37" t="n"/>
      <c r="AU275" s="10" t="inlineStr">
        <is>
          <t>PRD-0271</t>
        </is>
      </c>
    </row>
    <row r="276">
      <c r="A276" s="16">
        <f>IF($C276="","",IFERROR(IF(INDEX(tbl_Finance[Latest Invoice Date],MATCH($AU276,tbl_Finance[Row ID],0))="","",INDEX(tbl_Finance[Latest Invoice Date],MATCH($AU276,tbl_Finance[Row ID],0))),""))</f>
        <v/>
      </c>
      <c r="B276" s="10">
        <f>IF($C276="","",IFERROR(INDEX(tbl_Finance[Invoice Numbers],MATCH($AU276,tbl_Finance[Row ID],0))&amp;"",""))</f>
        <v/>
      </c>
      <c r="C276" s="37" t="n"/>
      <c r="D276" s="10">
        <f>IF($C276="","",IF(COUNTIF(lst_Jobs,$C276&amp;"")&gt;0,"OK","CHECK"))</f>
        <v/>
      </c>
      <c r="E276" s="10">
        <f>IF($C276="","",IFERROR(INDEX(lst_JobName,MATCH($C276&amp;"",lst_Jobs,0)),""))</f>
        <v/>
      </c>
      <c r="F276" s="37" t="n"/>
      <c r="G276" s="37" t="n"/>
      <c r="H276" s="37" t="n"/>
      <c r="I276" s="37" t="n"/>
      <c r="J276" s="37" t="n"/>
      <c r="K276" s="38">
        <f>IF($C276="","",IFERROR(N(INDEX(tbl_Finance[Invoice Count],MATCH($AU276,tbl_Finance[Row ID],0))),""))</f>
        <v/>
      </c>
      <c r="L276" s="11">
        <f>IF($C276="","",IFERROR(N(INDEX(tbl_Finance[Xero Invoiced Ex GST],MATCH($AU276,tbl_Finance[Row ID],0))),""))</f>
        <v/>
      </c>
      <c r="M276" s="10">
        <f>IF($C276="","",IFERROR(INDEX(tbl_Finance[Compare],MATCH($AU276,tbl_Finance[Row ID],0))&amp;"",""))</f>
        <v/>
      </c>
      <c r="N276" s="11">
        <f>IF($C276="","",MAX(0,N(O276)-N(L276)))</f>
        <v/>
      </c>
      <c r="O276" s="39" t="n"/>
      <c r="P276" s="40">
        <f>IF($C276="","",IF((IF(F276="",", Client","")&amp;IF(G276="",", Description","")&amp;IF(H276="",", Cost Centre","")&amp;IF(I276="",", Invoice Type","")&amp;IF(J276="",", Tax Code","")&amp;IF(O276="",", Expected Revenue","")&amp;IF(COUNTIF(tbl_Finance[Job Number],$C276&amp;"")&gt;1,", Job number used twice",""))="","Complete","Fix: "&amp;MID(IF(F276="",", Client","")&amp;IF(G276="",", Description","")&amp;IF(H276="",", Cost Centre","")&amp;IF(I276="",", Invoice Type","")&amp;IF(J276="",", Tax Code","")&amp;IF(O276="",", Expected Revenue","")&amp;IF(COUNTIF(tbl_Finance[Job Number],$C276&amp;"")&gt;1,", Job number used twice",""),3,300)))</f>
        <v/>
      </c>
      <c r="Q276" s="10">
        <f>IF($C276="","",IF(H276="","(no cost centre)",H276&amp;" - GL "&amp;IFERROR(INDEX(lst_CCtoGL,MATCH(H276,lst_CCforGL,0)),"?")))</f>
        <v/>
      </c>
      <c r="R276" s="11">
        <f>IF($C276="","",IFERROR(N(INDEX(tbl_Finance[Inc GST],MATCH($AU276,tbl_Finance[Row ID],0))),""))</f>
        <v/>
      </c>
      <c r="S276" s="37" t="n"/>
      <c r="T276" s="37" t="n"/>
      <c r="U276" s="37" t="n"/>
      <c r="V276" s="42" t="n"/>
      <c r="W276" s="37" t="n"/>
      <c r="X276" s="10">
        <f>IF(W276="","",IF(AND(LEFT(W276,4)&lt;&gt;"http",set_RMSBase=""),"",HYPERLINK(IF(LEFT(W276,4)="http",W276,set_RMSBase&amp;W276),"Open in RMS")))</f>
        <v/>
      </c>
      <c r="Y276" s="37" t="n"/>
      <c r="Z276" s="10">
        <f>IF(Y276="","",HYPERLINK(IF(LEFT(Y276,4)="http",Y276,set_QwilrBase&amp;Y276),"Open quote"))</f>
        <v/>
      </c>
      <c r="AA276" s="10">
        <f>IF(C276="","",C276)</f>
        <v/>
      </c>
      <c r="AB276" s="37" t="n"/>
      <c r="AC276" s="39" t="n"/>
      <c r="AD276" s="11">
        <f>IF(C276="","",N(L276)+N(AC276))</f>
        <v/>
      </c>
      <c r="AE276" s="43">
        <f>IFERROR(IF(N(AC276)=0,"",AC276/AD276),"")</f>
        <v/>
      </c>
      <c r="AF276" s="39" t="n"/>
      <c r="AG276" s="39" t="n"/>
      <c r="AH276" s="39" t="n"/>
      <c r="AI276" s="39" t="n"/>
      <c r="AJ276" s="11">
        <f>IF(C276="","",IF(H276="VIDEO",N(L276),0))</f>
        <v/>
      </c>
      <c r="AK276" s="43">
        <f>IFERROR(IF(N(L276)=0,"",AJ276/L276),"")</f>
        <v/>
      </c>
      <c r="AL276" s="11">
        <f>IF(C276="","",N(AF276)+N(AG276)+N(AH276)+N(AI276))</f>
        <v/>
      </c>
      <c r="AM276" s="11">
        <f>IF(C276="","",MAX(N(L276),N(O276))-N(AL276))</f>
        <v/>
      </c>
      <c r="AN276" s="43">
        <f>IFERROR(IF(MAX(N(L276),N(O276))=0,"",AM276/MAX(N(L276),N(O276))),"")</f>
        <v/>
      </c>
      <c r="AO276" s="41" t="n"/>
      <c r="AP276" s="41" t="n"/>
      <c r="AQ276" s="41" t="n"/>
      <c r="AR276" s="41" t="n"/>
      <c r="AS276" s="41" t="n"/>
      <c r="AT276" s="37" t="n"/>
      <c r="AU276" s="10" t="inlineStr">
        <is>
          <t>PRD-0272</t>
        </is>
      </c>
    </row>
    <row r="277">
      <c r="A277" s="16">
        <f>IF($C277="","",IFERROR(IF(INDEX(tbl_Finance[Latest Invoice Date],MATCH($AU277,tbl_Finance[Row ID],0))="","",INDEX(tbl_Finance[Latest Invoice Date],MATCH($AU277,tbl_Finance[Row ID],0))),""))</f>
        <v/>
      </c>
      <c r="B277" s="10">
        <f>IF($C277="","",IFERROR(INDEX(tbl_Finance[Invoice Numbers],MATCH($AU277,tbl_Finance[Row ID],0))&amp;"",""))</f>
        <v/>
      </c>
      <c r="C277" s="37" t="n"/>
      <c r="D277" s="10">
        <f>IF($C277="","",IF(COUNTIF(lst_Jobs,$C277&amp;"")&gt;0,"OK","CHECK"))</f>
        <v/>
      </c>
      <c r="E277" s="10">
        <f>IF($C277="","",IFERROR(INDEX(lst_JobName,MATCH($C277&amp;"",lst_Jobs,0)),""))</f>
        <v/>
      </c>
      <c r="F277" s="37" t="n"/>
      <c r="G277" s="37" t="n"/>
      <c r="H277" s="37" t="n"/>
      <c r="I277" s="37" t="n"/>
      <c r="J277" s="37" t="n"/>
      <c r="K277" s="38">
        <f>IF($C277="","",IFERROR(N(INDEX(tbl_Finance[Invoice Count],MATCH($AU277,tbl_Finance[Row ID],0))),""))</f>
        <v/>
      </c>
      <c r="L277" s="11">
        <f>IF($C277="","",IFERROR(N(INDEX(tbl_Finance[Xero Invoiced Ex GST],MATCH($AU277,tbl_Finance[Row ID],0))),""))</f>
        <v/>
      </c>
      <c r="M277" s="10">
        <f>IF($C277="","",IFERROR(INDEX(tbl_Finance[Compare],MATCH($AU277,tbl_Finance[Row ID],0))&amp;"",""))</f>
        <v/>
      </c>
      <c r="N277" s="11">
        <f>IF($C277="","",MAX(0,N(O277)-N(L277)))</f>
        <v/>
      </c>
      <c r="O277" s="39" t="n"/>
      <c r="P277" s="40">
        <f>IF($C277="","",IF((IF(F277="",", Client","")&amp;IF(G277="",", Description","")&amp;IF(H277="",", Cost Centre","")&amp;IF(I277="",", Invoice Type","")&amp;IF(J277="",", Tax Code","")&amp;IF(O277="",", Expected Revenue","")&amp;IF(COUNTIF(tbl_Finance[Job Number],$C277&amp;"")&gt;1,", Job number used twice",""))="","Complete","Fix: "&amp;MID(IF(F277="",", Client","")&amp;IF(G277="",", Description","")&amp;IF(H277="",", Cost Centre","")&amp;IF(I277="",", Invoice Type","")&amp;IF(J277="",", Tax Code","")&amp;IF(O277="",", Expected Revenue","")&amp;IF(COUNTIF(tbl_Finance[Job Number],$C277&amp;"")&gt;1,", Job number used twice",""),3,300)))</f>
        <v/>
      </c>
      <c r="Q277" s="10">
        <f>IF($C277="","",IF(H277="","(no cost centre)",H277&amp;" - GL "&amp;IFERROR(INDEX(lst_CCtoGL,MATCH(H277,lst_CCforGL,0)),"?")))</f>
        <v/>
      </c>
      <c r="R277" s="11">
        <f>IF($C277="","",IFERROR(N(INDEX(tbl_Finance[Inc GST],MATCH($AU277,tbl_Finance[Row ID],0))),""))</f>
        <v/>
      </c>
      <c r="S277" s="37" t="n"/>
      <c r="T277" s="37" t="n"/>
      <c r="U277" s="37" t="n"/>
      <c r="V277" s="42" t="n"/>
      <c r="W277" s="37" t="n"/>
      <c r="X277" s="10">
        <f>IF(W277="","",IF(AND(LEFT(W277,4)&lt;&gt;"http",set_RMSBase=""),"",HYPERLINK(IF(LEFT(W277,4)="http",W277,set_RMSBase&amp;W277),"Open in RMS")))</f>
        <v/>
      </c>
      <c r="Y277" s="37" t="n"/>
      <c r="Z277" s="10">
        <f>IF(Y277="","",HYPERLINK(IF(LEFT(Y277,4)="http",Y277,set_QwilrBase&amp;Y277),"Open quote"))</f>
        <v/>
      </c>
      <c r="AA277" s="10">
        <f>IF(C277="","",C277)</f>
        <v/>
      </c>
      <c r="AB277" s="37" t="n"/>
      <c r="AC277" s="39" t="n"/>
      <c r="AD277" s="11">
        <f>IF(C277="","",N(L277)+N(AC277))</f>
        <v/>
      </c>
      <c r="AE277" s="43">
        <f>IFERROR(IF(N(AC277)=0,"",AC277/AD277),"")</f>
        <v/>
      </c>
      <c r="AF277" s="39" t="n"/>
      <c r="AG277" s="39" t="n"/>
      <c r="AH277" s="39" t="n"/>
      <c r="AI277" s="39" t="n"/>
      <c r="AJ277" s="11">
        <f>IF(C277="","",IF(H277="VIDEO",N(L277),0))</f>
        <v/>
      </c>
      <c r="AK277" s="43">
        <f>IFERROR(IF(N(L277)=0,"",AJ277/L277),"")</f>
        <v/>
      </c>
      <c r="AL277" s="11">
        <f>IF(C277="","",N(AF277)+N(AG277)+N(AH277)+N(AI277))</f>
        <v/>
      </c>
      <c r="AM277" s="11">
        <f>IF(C277="","",MAX(N(L277),N(O277))-N(AL277))</f>
        <v/>
      </c>
      <c r="AN277" s="43">
        <f>IFERROR(IF(MAX(N(L277),N(O277))=0,"",AM277/MAX(N(L277),N(O277))),"")</f>
        <v/>
      </c>
      <c r="AO277" s="41" t="n"/>
      <c r="AP277" s="41" t="n"/>
      <c r="AQ277" s="41" t="n"/>
      <c r="AR277" s="41" t="n"/>
      <c r="AS277" s="41" t="n"/>
      <c r="AT277" s="37" t="n"/>
      <c r="AU277" s="10" t="inlineStr">
        <is>
          <t>PRD-0273</t>
        </is>
      </c>
    </row>
    <row r="278">
      <c r="A278" s="16">
        <f>IF($C278="","",IFERROR(IF(INDEX(tbl_Finance[Latest Invoice Date],MATCH($AU278,tbl_Finance[Row ID],0))="","",INDEX(tbl_Finance[Latest Invoice Date],MATCH($AU278,tbl_Finance[Row ID],0))),""))</f>
        <v/>
      </c>
      <c r="B278" s="10">
        <f>IF($C278="","",IFERROR(INDEX(tbl_Finance[Invoice Numbers],MATCH($AU278,tbl_Finance[Row ID],0))&amp;"",""))</f>
        <v/>
      </c>
      <c r="C278" s="37" t="n"/>
      <c r="D278" s="10">
        <f>IF($C278="","",IF(COUNTIF(lst_Jobs,$C278&amp;"")&gt;0,"OK","CHECK"))</f>
        <v/>
      </c>
      <c r="E278" s="10">
        <f>IF($C278="","",IFERROR(INDEX(lst_JobName,MATCH($C278&amp;"",lst_Jobs,0)),""))</f>
        <v/>
      </c>
      <c r="F278" s="37" t="n"/>
      <c r="G278" s="37" t="n"/>
      <c r="H278" s="37" t="n"/>
      <c r="I278" s="37" t="n"/>
      <c r="J278" s="37" t="n"/>
      <c r="K278" s="38">
        <f>IF($C278="","",IFERROR(N(INDEX(tbl_Finance[Invoice Count],MATCH($AU278,tbl_Finance[Row ID],0))),""))</f>
        <v/>
      </c>
      <c r="L278" s="11">
        <f>IF($C278="","",IFERROR(N(INDEX(tbl_Finance[Xero Invoiced Ex GST],MATCH($AU278,tbl_Finance[Row ID],0))),""))</f>
        <v/>
      </c>
      <c r="M278" s="10">
        <f>IF($C278="","",IFERROR(INDEX(tbl_Finance[Compare],MATCH($AU278,tbl_Finance[Row ID],0))&amp;"",""))</f>
        <v/>
      </c>
      <c r="N278" s="11">
        <f>IF($C278="","",MAX(0,N(O278)-N(L278)))</f>
        <v/>
      </c>
      <c r="O278" s="39" t="n"/>
      <c r="P278" s="40">
        <f>IF($C278="","",IF((IF(F278="",", Client","")&amp;IF(G278="",", Description","")&amp;IF(H278="",", Cost Centre","")&amp;IF(I278="",", Invoice Type","")&amp;IF(J278="",", Tax Code","")&amp;IF(O278="",", Expected Revenue","")&amp;IF(COUNTIF(tbl_Finance[Job Number],$C278&amp;"")&gt;1,", Job number used twice",""))="","Complete","Fix: "&amp;MID(IF(F278="",", Client","")&amp;IF(G278="",", Description","")&amp;IF(H278="",", Cost Centre","")&amp;IF(I278="",", Invoice Type","")&amp;IF(J278="",", Tax Code","")&amp;IF(O278="",", Expected Revenue","")&amp;IF(COUNTIF(tbl_Finance[Job Number],$C278&amp;"")&gt;1,", Job number used twice",""),3,300)))</f>
        <v/>
      </c>
      <c r="Q278" s="10">
        <f>IF($C278="","",IF(H278="","(no cost centre)",H278&amp;" - GL "&amp;IFERROR(INDEX(lst_CCtoGL,MATCH(H278,lst_CCforGL,0)),"?")))</f>
        <v/>
      </c>
      <c r="R278" s="11">
        <f>IF($C278="","",IFERROR(N(INDEX(tbl_Finance[Inc GST],MATCH($AU278,tbl_Finance[Row ID],0))),""))</f>
        <v/>
      </c>
      <c r="S278" s="37" t="n"/>
      <c r="T278" s="37" t="n"/>
      <c r="U278" s="37" t="n"/>
      <c r="V278" s="42" t="n"/>
      <c r="W278" s="37" t="n"/>
      <c r="X278" s="10">
        <f>IF(W278="","",IF(AND(LEFT(W278,4)&lt;&gt;"http",set_RMSBase=""),"",HYPERLINK(IF(LEFT(W278,4)="http",W278,set_RMSBase&amp;W278),"Open in RMS")))</f>
        <v/>
      </c>
      <c r="Y278" s="37" t="n"/>
      <c r="Z278" s="10">
        <f>IF(Y278="","",HYPERLINK(IF(LEFT(Y278,4)="http",Y278,set_QwilrBase&amp;Y278),"Open quote"))</f>
        <v/>
      </c>
      <c r="AA278" s="10">
        <f>IF(C278="","",C278)</f>
        <v/>
      </c>
      <c r="AB278" s="37" t="n"/>
      <c r="AC278" s="39" t="n"/>
      <c r="AD278" s="11">
        <f>IF(C278="","",N(L278)+N(AC278))</f>
        <v/>
      </c>
      <c r="AE278" s="43">
        <f>IFERROR(IF(N(AC278)=0,"",AC278/AD278),"")</f>
        <v/>
      </c>
      <c r="AF278" s="39" t="n"/>
      <c r="AG278" s="39" t="n"/>
      <c r="AH278" s="39" t="n"/>
      <c r="AI278" s="39" t="n"/>
      <c r="AJ278" s="11">
        <f>IF(C278="","",IF(H278="VIDEO",N(L278),0))</f>
        <v/>
      </c>
      <c r="AK278" s="43">
        <f>IFERROR(IF(N(L278)=0,"",AJ278/L278),"")</f>
        <v/>
      </c>
      <c r="AL278" s="11">
        <f>IF(C278="","",N(AF278)+N(AG278)+N(AH278)+N(AI278))</f>
        <v/>
      </c>
      <c r="AM278" s="11">
        <f>IF(C278="","",MAX(N(L278),N(O278))-N(AL278))</f>
        <v/>
      </c>
      <c r="AN278" s="43">
        <f>IFERROR(IF(MAX(N(L278),N(O278))=0,"",AM278/MAX(N(L278),N(O278))),"")</f>
        <v/>
      </c>
      <c r="AO278" s="41" t="n"/>
      <c r="AP278" s="41" t="n"/>
      <c r="AQ278" s="41" t="n"/>
      <c r="AR278" s="41" t="n"/>
      <c r="AS278" s="41" t="n"/>
      <c r="AT278" s="37" t="n"/>
      <c r="AU278" s="10" t="inlineStr">
        <is>
          <t>PRD-0274</t>
        </is>
      </c>
    </row>
    <row r="279">
      <c r="A279" s="16">
        <f>IF($C279="","",IFERROR(IF(INDEX(tbl_Finance[Latest Invoice Date],MATCH($AU279,tbl_Finance[Row ID],0))="","",INDEX(tbl_Finance[Latest Invoice Date],MATCH($AU279,tbl_Finance[Row ID],0))),""))</f>
        <v/>
      </c>
      <c r="B279" s="10">
        <f>IF($C279="","",IFERROR(INDEX(tbl_Finance[Invoice Numbers],MATCH($AU279,tbl_Finance[Row ID],0))&amp;"",""))</f>
        <v/>
      </c>
      <c r="C279" s="37" t="n"/>
      <c r="D279" s="10">
        <f>IF($C279="","",IF(COUNTIF(lst_Jobs,$C279&amp;"")&gt;0,"OK","CHECK"))</f>
        <v/>
      </c>
      <c r="E279" s="10">
        <f>IF($C279="","",IFERROR(INDEX(lst_JobName,MATCH($C279&amp;"",lst_Jobs,0)),""))</f>
        <v/>
      </c>
      <c r="F279" s="37" t="n"/>
      <c r="G279" s="37" t="n"/>
      <c r="H279" s="37" t="n"/>
      <c r="I279" s="37" t="n"/>
      <c r="J279" s="37" t="n"/>
      <c r="K279" s="38">
        <f>IF($C279="","",IFERROR(N(INDEX(tbl_Finance[Invoice Count],MATCH($AU279,tbl_Finance[Row ID],0))),""))</f>
        <v/>
      </c>
      <c r="L279" s="11">
        <f>IF($C279="","",IFERROR(N(INDEX(tbl_Finance[Xero Invoiced Ex GST],MATCH($AU279,tbl_Finance[Row ID],0))),""))</f>
        <v/>
      </c>
      <c r="M279" s="10">
        <f>IF($C279="","",IFERROR(INDEX(tbl_Finance[Compare],MATCH($AU279,tbl_Finance[Row ID],0))&amp;"",""))</f>
        <v/>
      </c>
      <c r="N279" s="11">
        <f>IF($C279="","",MAX(0,N(O279)-N(L279)))</f>
        <v/>
      </c>
      <c r="O279" s="39" t="n"/>
      <c r="P279" s="40">
        <f>IF($C279="","",IF((IF(F279="",", Client","")&amp;IF(G279="",", Description","")&amp;IF(H279="",", Cost Centre","")&amp;IF(I279="",", Invoice Type","")&amp;IF(J279="",", Tax Code","")&amp;IF(O279="",", Expected Revenue","")&amp;IF(COUNTIF(tbl_Finance[Job Number],$C279&amp;"")&gt;1,", Job number used twice",""))="","Complete","Fix: "&amp;MID(IF(F279="",", Client","")&amp;IF(G279="",", Description","")&amp;IF(H279="",", Cost Centre","")&amp;IF(I279="",", Invoice Type","")&amp;IF(J279="",", Tax Code","")&amp;IF(O279="",", Expected Revenue","")&amp;IF(COUNTIF(tbl_Finance[Job Number],$C279&amp;"")&gt;1,", Job number used twice",""),3,300)))</f>
        <v/>
      </c>
      <c r="Q279" s="10">
        <f>IF($C279="","",IF(H279="","(no cost centre)",H279&amp;" - GL "&amp;IFERROR(INDEX(lst_CCtoGL,MATCH(H279,lst_CCforGL,0)),"?")))</f>
        <v/>
      </c>
      <c r="R279" s="11">
        <f>IF($C279="","",IFERROR(N(INDEX(tbl_Finance[Inc GST],MATCH($AU279,tbl_Finance[Row ID],0))),""))</f>
        <v/>
      </c>
      <c r="S279" s="37" t="n"/>
      <c r="T279" s="37" t="n"/>
      <c r="U279" s="37" t="n"/>
      <c r="V279" s="42" t="n"/>
      <c r="W279" s="37" t="n"/>
      <c r="X279" s="10">
        <f>IF(W279="","",IF(AND(LEFT(W279,4)&lt;&gt;"http",set_RMSBase=""),"",HYPERLINK(IF(LEFT(W279,4)="http",W279,set_RMSBase&amp;W279),"Open in RMS")))</f>
        <v/>
      </c>
      <c r="Y279" s="37" t="n"/>
      <c r="Z279" s="10">
        <f>IF(Y279="","",HYPERLINK(IF(LEFT(Y279,4)="http",Y279,set_QwilrBase&amp;Y279),"Open quote"))</f>
        <v/>
      </c>
      <c r="AA279" s="10">
        <f>IF(C279="","",C279)</f>
        <v/>
      </c>
      <c r="AB279" s="37" t="n"/>
      <c r="AC279" s="39" t="n"/>
      <c r="AD279" s="11">
        <f>IF(C279="","",N(L279)+N(AC279))</f>
        <v/>
      </c>
      <c r="AE279" s="43">
        <f>IFERROR(IF(N(AC279)=0,"",AC279/AD279),"")</f>
        <v/>
      </c>
      <c r="AF279" s="39" t="n"/>
      <c r="AG279" s="39" t="n"/>
      <c r="AH279" s="39" t="n"/>
      <c r="AI279" s="39" t="n"/>
      <c r="AJ279" s="11">
        <f>IF(C279="","",IF(H279="VIDEO",N(L279),0))</f>
        <v/>
      </c>
      <c r="AK279" s="43">
        <f>IFERROR(IF(N(L279)=0,"",AJ279/L279),"")</f>
        <v/>
      </c>
      <c r="AL279" s="11">
        <f>IF(C279="","",N(AF279)+N(AG279)+N(AH279)+N(AI279))</f>
        <v/>
      </c>
      <c r="AM279" s="11">
        <f>IF(C279="","",MAX(N(L279),N(O279))-N(AL279))</f>
        <v/>
      </c>
      <c r="AN279" s="43">
        <f>IFERROR(IF(MAX(N(L279),N(O279))=0,"",AM279/MAX(N(L279),N(O279))),"")</f>
        <v/>
      </c>
      <c r="AO279" s="41" t="n"/>
      <c r="AP279" s="41" t="n"/>
      <c r="AQ279" s="41" t="n"/>
      <c r="AR279" s="41" t="n"/>
      <c r="AS279" s="41" t="n"/>
      <c r="AT279" s="37" t="n"/>
      <c r="AU279" s="10" t="inlineStr">
        <is>
          <t>PRD-0275</t>
        </is>
      </c>
    </row>
    <row r="280">
      <c r="A280" s="16">
        <f>IF($C280="","",IFERROR(IF(INDEX(tbl_Finance[Latest Invoice Date],MATCH($AU280,tbl_Finance[Row ID],0))="","",INDEX(tbl_Finance[Latest Invoice Date],MATCH($AU280,tbl_Finance[Row ID],0))),""))</f>
        <v/>
      </c>
      <c r="B280" s="10">
        <f>IF($C280="","",IFERROR(INDEX(tbl_Finance[Invoice Numbers],MATCH($AU280,tbl_Finance[Row ID],0))&amp;"",""))</f>
        <v/>
      </c>
      <c r="C280" s="37" t="n"/>
      <c r="D280" s="10">
        <f>IF($C280="","",IF(COUNTIF(lst_Jobs,$C280&amp;"")&gt;0,"OK","CHECK"))</f>
        <v/>
      </c>
      <c r="E280" s="10">
        <f>IF($C280="","",IFERROR(INDEX(lst_JobName,MATCH($C280&amp;"",lst_Jobs,0)),""))</f>
        <v/>
      </c>
      <c r="F280" s="37" t="n"/>
      <c r="G280" s="37" t="n"/>
      <c r="H280" s="37" t="n"/>
      <c r="I280" s="37" t="n"/>
      <c r="J280" s="37" t="n"/>
      <c r="K280" s="38">
        <f>IF($C280="","",IFERROR(N(INDEX(tbl_Finance[Invoice Count],MATCH($AU280,tbl_Finance[Row ID],0))),""))</f>
        <v/>
      </c>
      <c r="L280" s="11">
        <f>IF($C280="","",IFERROR(N(INDEX(tbl_Finance[Xero Invoiced Ex GST],MATCH($AU280,tbl_Finance[Row ID],0))),""))</f>
        <v/>
      </c>
      <c r="M280" s="10">
        <f>IF($C280="","",IFERROR(INDEX(tbl_Finance[Compare],MATCH($AU280,tbl_Finance[Row ID],0))&amp;"",""))</f>
        <v/>
      </c>
      <c r="N280" s="11">
        <f>IF($C280="","",MAX(0,N(O280)-N(L280)))</f>
        <v/>
      </c>
      <c r="O280" s="39" t="n"/>
      <c r="P280" s="40">
        <f>IF($C280="","",IF((IF(F280="",", Client","")&amp;IF(G280="",", Description","")&amp;IF(H280="",", Cost Centre","")&amp;IF(I280="",", Invoice Type","")&amp;IF(J280="",", Tax Code","")&amp;IF(O280="",", Expected Revenue","")&amp;IF(COUNTIF(tbl_Finance[Job Number],$C280&amp;"")&gt;1,", Job number used twice",""))="","Complete","Fix: "&amp;MID(IF(F280="",", Client","")&amp;IF(G280="",", Description","")&amp;IF(H280="",", Cost Centre","")&amp;IF(I280="",", Invoice Type","")&amp;IF(J280="",", Tax Code","")&amp;IF(O280="",", Expected Revenue","")&amp;IF(COUNTIF(tbl_Finance[Job Number],$C280&amp;"")&gt;1,", Job number used twice",""),3,300)))</f>
        <v/>
      </c>
      <c r="Q280" s="10">
        <f>IF($C280="","",IF(H280="","(no cost centre)",H280&amp;" - GL "&amp;IFERROR(INDEX(lst_CCtoGL,MATCH(H280,lst_CCforGL,0)),"?")))</f>
        <v/>
      </c>
      <c r="R280" s="11">
        <f>IF($C280="","",IFERROR(N(INDEX(tbl_Finance[Inc GST],MATCH($AU280,tbl_Finance[Row ID],0))),""))</f>
        <v/>
      </c>
      <c r="S280" s="37" t="n"/>
      <c r="T280" s="37" t="n"/>
      <c r="U280" s="37" t="n"/>
      <c r="V280" s="42" t="n"/>
      <c r="W280" s="37" t="n"/>
      <c r="X280" s="10">
        <f>IF(W280="","",IF(AND(LEFT(W280,4)&lt;&gt;"http",set_RMSBase=""),"",HYPERLINK(IF(LEFT(W280,4)="http",W280,set_RMSBase&amp;W280),"Open in RMS")))</f>
        <v/>
      </c>
      <c r="Y280" s="37" t="n"/>
      <c r="Z280" s="10">
        <f>IF(Y280="","",HYPERLINK(IF(LEFT(Y280,4)="http",Y280,set_QwilrBase&amp;Y280),"Open quote"))</f>
        <v/>
      </c>
      <c r="AA280" s="10">
        <f>IF(C280="","",C280)</f>
        <v/>
      </c>
      <c r="AB280" s="37" t="n"/>
      <c r="AC280" s="39" t="n"/>
      <c r="AD280" s="11">
        <f>IF(C280="","",N(L280)+N(AC280))</f>
        <v/>
      </c>
      <c r="AE280" s="43">
        <f>IFERROR(IF(N(AC280)=0,"",AC280/AD280),"")</f>
        <v/>
      </c>
      <c r="AF280" s="39" t="n"/>
      <c r="AG280" s="39" t="n"/>
      <c r="AH280" s="39" t="n"/>
      <c r="AI280" s="39" t="n"/>
      <c r="AJ280" s="11">
        <f>IF(C280="","",IF(H280="VIDEO",N(L280),0))</f>
        <v/>
      </c>
      <c r="AK280" s="43">
        <f>IFERROR(IF(N(L280)=0,"",AJ280/L280),"")</f>
        <v/>
      </c>
      <c r="AL280" s="11">
        <f>IF(C280="","",N(AF280)+N(AG280)+N(AH280)+N(AI280))</f>
        <v/>
      </c>
      <c r="AM280" s="11">
        <f>IF(C280="","",MAX(N(L280),N(O280))-N(AL280))</f>
        <v/>
      </c>
      <c r="AN280" s="43">
        <f>IFERROR(IF(MAX(N(L280),N(O280))=0,"",AM280/MAX(N(L280),N(O280))),"")</f>
        <v/>
      </c>
      <c r="AO280" s="41" t="n"/>
      <c r="AP280" s="41" t="n"/>
      <c r="AQ280" s="41" t="n"/>
      <c r="AR280" s="41" t="n"/>
      <c r="AS280" s="41" t="n"/>
      <c r="AT280" s="37" t="n"/>
      <c r="AU280" s="10" t="inlineStr">
        <is>
          <t>PRD-0276</t>
        </is>
      </c>
    </row>
    <row r="281">
      <c r="A281" s="16">
        <f>IF($C281="","",IFERROR(IF(INDEX(tbl_Finance[Latest Invoice Date],MATCH($AU281,tbl_Finance[Row ID],0))="","",INDEX(tbl_Finance[Latest Invoice Date],MATCH($AU281,tbl_Finance[Row ID],0))),""))</f>
        <v/>
      </c>
      <c r="B281" s="10">
        <f>IF($C281="","",IFERROR(INDEX(tbl_Finance[Invoice Numbers],MATCH($AU281,tbl_Finance[Row ID],0))&amp;"",""))</f>
        <v/>
      </c>
      <c r="C281" s="37" t="n"/>
      <c r="D281" s="10">
        <f>IF($C281="","",IF(COUNTIF(lst_Jobs,$C281&amp;"")&gt;0,"OK","CHECK"))</f>
        <v/>
      </c>
      <c r="E281" s="10">
        <f>IF($C281="","",IFERROR(INDEX(lst_JobName,MATCH($C281&amp;"",lst_Jobs,0)),""))</f>
        <v/>
      </c>
      <c r="F281" s="37" t="n"/>
      <c r="G281" s="37" t="n"/>
      <c r="H281" s="37" t="n"/>
      <c r="I281" s="37" t="n"/>
      <c r="J281" s="37" t="n"/>
      <c r="K281" s="38">
        <f>IF($C281="","",IFERROR(N(INDEX(tbl_Finance[Invoice Count],MATCH($AU281,tbl_Finance[Row ID],0))),""))</f>
        <v/>
      </c>
      <c r="L281" s="11">
        <f>IF($C281="","",IFERROR(N(INDEX(tbl_Finance[Xero Invoiced Ex GST],MATCH($AU281,tbl_Finance[Row ID],0))),""))</f>
        <v/>
      </c>
      <c r="M281" s="10">
        <f>IF($C281="","",IFERROR(INDEX(tbl_Finance[Compare],MATCH($AU281,tbl_Finance[Row ID],0))&amp;"",""))</f>
        <v/>
      </c>
      <c r="N281" s="11">
        <f>IF($C281="","",MAX(0,N(O281)-N(L281)))</f>
        <v/>
      </c>
      <c r="O281" s="39" t="n"/>
      <c r="P281" s="40">
        <f>IF($C281="","",IF((IF(F281="",", Client","")&amp;IF(G281="",", Description","")&amp;IF(H281="",", Cost Centre","")&amp;IF(I281="",", Invoice Type","")&amp;IF(J281="",", Tax Code","")&amp;IF(O281="",", Expected Revenue","")&amp;IF(COUNTIF(tbl_Finance[Job Number],$C281&amp;"")&gt;1,", Job number used twice",""))="","Complete","Fix: "&amp;MID(IF(F281="",", Client","")&amp;IF(G281="",", Description","")&amp;IF(H281="",", Cost Centre","")&amp;IF(I281="",", Invoice Type","")&amp;IF(J281="",", Tax Code","")&amp;IF(O281="",", Expected Revenue","")&amp;IF(COUNTIF(tbl_Finance[Job Number],$C281&amp;"")&gt;1,", Job number used twice",""),3,300)))</f>
        <v/>
      </c>
      <c r="Q281" s="10">
        <f>IF($C281="","",IF(H281="","(no cost centre)",H281&amp;" - GL "&amp;IFERROR(INDEX(lst_CCtoGL,MATCH(H281,lst_CCforGL,0)),"?")))</f>
        <v/>
      </c>
      <c r="R281" s="11">
        <f>IF($C281="","",IFERROR(N(INDEX(tbl_Finance[Inc GST],MATCH($AU281,tbl_Finance[Row ID],0))),""))</f>
        <v/>
      </c>
      <c r="S281" s="37" t="n"/>
      <c r="T281" s="37" t="n"/>
      <c r="U281" s="37" t="n"/>
      <c r="V281" s="42" t="n"/>
      <c r="W281" s="37" t="n"/>
      <c r="X281" s="10">
        <f>IF(W281="","",IF(AND(LEFT(W281,4)&lt;&gt;"http",set_RMSBase=""),"",HYPERLINK(IF(LEFT(W281,4)="http",W281,set_RMSBase&amp;W281),"Open in RMS")))</f>
        <v/>
      </c>
      <c r="Y281" s="37" t="n"/>
      <c r="Z281" s="10">
        <f>IF(Y281="","",HYPERLINK(IF(LEFT(Y281,4)="http",Y281,set_QwilrBase&amp;Y281),"Open quote"))</f>
        <v/>
      </c>
      <c r="AA281" s="10">
        <f>IF(C281="","",C281)</f>
        <v/>
      </c>
      <c r="AB281" s="37" t="n"/>
      <c r="AC281" s="39" t="n"/>
      <c r="AD281" s="11">
        <f>IF(C281="","",N(L281)+N(AC281))</f>
        <v/>
      </c>
      <c r="AE281" s="43">
        <f>IFERROR(IF(N(AC281)=0,"",AC281/AD281),"")</f>
        <v/>
      </c>
      <c r="AF281" s="39" t="n"/>
      <c r="AG281" s="39" t="n"/>
      <c r="AH281" s="39" t="n"/>
      <c r="AI281" s="39" t="n"/>
      <c r="AJ281" s="11">
        <f>IF(C281="","",IF(H281="VIDEO",N(L281),0))</f>
        <v/>
      </c>
      <c r="AK281" s="43">
        <f>IFERROR(IF(N(L281)=0,"",AJ281/L281),"")</f>
        <v/>
      </c>
      <c r="AL281" s="11">
        <f>IF(C281="","",N(AF281)+N(AG281)+N(AH281)+N(AI281))</f>
        <v/>
      </c>
      <c r="AM281" s="11">
        <f>IF(C281="","",MAX(N(L281),N(O281))-N(AL281))</f>
        <v/>
      </c>
      <c r="AN281" s="43">
        <f>IFERROR(IF(MAX(N(L281),N(O281))=0,"",AM281/MAX(N(L281),N(O281))),"")</f>
        <v/>
      </c>
      <c r="AO281" s="41" t="n"/>
      <c r="AP281" s="41" t="n"/>
      <c r="AQ281" s="41" t="n"/>
      <c r="AR281" s="41" t="n"/>
      <c r="AS281" s="41" t="n"/>
      <c r="AT281" s="37" t="n"/>
      <c r="AU281" s="10" t="inlineStr">
        <is>
          <t>PRD-0277</t>
        </is>
      </c>
    </row>
    <row r="282">
      <c r="A282" s="16">
        <f>IF($C282="","",IFERROR(IF(INDEX(tbl_Finance[Latest Invoice Date],MATCH($AU282,tbl_Finance[Row ID],0))="","",INDEX(tbl_Finance[Latest Invoice Date],MATCH($AU282,tbl_Finance[Row ID],0))),""))</f>
        <v/>
      </c>
      <c r="B282" s="10">
        <f>IF($C282="","",IFERROR(INDEX(tbl_Finance[Invoice Numbers],MATCH($AU282,tbl_Finance[Row ID],0))&amp;"",""))</f>
        <v/>
      </c>
      <c r="C282" s="37" t="n"/>
      <c r="D282" s="10">
        <f>IF($C282="","",IF(COUNTIF(lst_Jobs,$C282&amp;"")&gt;0,"OK","CHECK"))</f>
        <v/>
      </c>
      <c r="E282" s="10">
        <f>IF($C282="","",IFERROR(INDEX(lst_JobName,MATCH($C282&amp;"",lst_Jobs,0)),""))</f>
        <v/>
      </c>
      <c r="F282" s="37" t="n"/>
      <c r="G282" s="37" t="n"/>
      <c r="H282" s="37" t="n"/>
      <c r="I282" s="37" t="n"/>
      <c r="J282" s="37" t="n"/>
      <c r="K282" s="38">
        <f>IF($C282="","",IFERROR(N(INDEX(tbl_Finance[Invoice Count],MATCH($AU282,tbl_Finance[Row ID],0))),""))</f>
        <v/>
      </c>
      <c r="L282" s="11">
        <f>IF($C282="","",IFERROR(N(INDEX(tbl_Finance[Xero Invoiced Ex GST],MATCH($AU282,tbl_Finance[Row ID],0))),""))</f>
        <v/>
      </c>
      <c r="M282" s="10">
        <f>IF($C282="","",IFERROR(INDEX(tbl_Finance[Compare],MATCH($AU282,tbl_Finance[Row ID],0))&amp;"",""))</f>
        <v/>
      </c>
      <c r="N282" s="11">
        <f>IF($C282="","",MAX(0,N(O282)-N(L282)))</f>
        <v/>
      </c>
      <c r="O282" s="39" t="n"/>
      <c r="P282" s="40">
        <f>IF($C282="","",IF((IF(F282="",", Client","")&amp;IF(G282="",", Description","")&amp;IF(H282="",", Cost Centre","")&amp;IF(I282="",", Invoice Type","")&amp;IF(J282="",", Tax Code","")&amp;IF(O282="",", Expected Revenue","")&amp;IF(COUNTIF(tbl_Finance[Job Number],$C282&amp;"")&gt;1,", Job number used twice",""))="","Complete","Fix: "&amp;MID(IF(F282="",", Client","")&amp;IF(G282="",", Description","")&amp;IF(H282="",", Cost Centre","")&amp;IF(I282="",", Invoice Type","")&amp;IF(J282="",", Tax Code","")&amp;IF(O282="",", Expected Revenue","")&amp;IF(COUNTIF(tbl_Finance[Job Number],$C282&amp;"")&gt;1,", Job number used twice",""),3,300)))</f>
        <v/>
      </c>
      <c r="Q282" s="10">
        <f>IF($C282="","",IF(H282="","(no cost centre)",H282&amp;" - GL "&amp;IFERROR(INDEX(lst_CCtoGL,MATCH(H282,lst_CCforGL,0)),"?")))</f>
        <v/>
      </c>
      <c r="R282" s="11">
        <f>IF($C282="","",IFERROR(N(INDEX(tbl_Finance[Inc GST],MATCH($AU282,tbl_Finance[Row ID],0))),""))</f>
        <v/>
      </c>
      <c r="S282" s="37" t="n"/>
      <c r="T282" s="37" t="n"/>
      <c r="U282" s="37" t="n"/>
      <c r="V282" s="42" t="n"/>
      <c r="W282" s="37" t="n"/>
      <c r="X282" s="10">
        <f>IF(W282="","",IF(AND(LEFT(W282,4)&lt;&gt;"http",set_RMSBase=""),"",HYPERLINK(IF(LEFT(W282,4)="http",W282,set_RMSBase&amp;W282),"Open in RMS")))</f>
        <v/>
      </c>
      <c r="Y282" s="37" t="n"/>
      <c r="Z282" s="10">
        <f>IF(Y282="","",HYPERLINK(IF(LEFT(Y282,4)="http",Y282,set_QwilrBase&amp;Y282),"Open quote"))</f>
        <v/>
      </c>
      <c r="AA282" s="10">
        <f>IF(C282="","",C282)</f>
        <v/>
      </c>
      <c r="AB282" s="37" t="n"/>
      <c r="AC282" s="39" t="n"/>
      <c r="AD282" s="11">
        <f>IF(C282="","",N(L282)+N(AC282))</f>
        <v/>
      </c>
      <c r="AE282" s="43">
        <f>IFERROR(IF(N(AC282)=0,"",AC282/AD282),"")</f>
        <v/>
      </c>
      <c r="AF282" s="39" t="n"/>
      <c r="AG282" s="39" t="n"/>
      <c r="AH282" s="39" t="n"/>
      <c r="AI282" s="39" t="n"/>
      <c r="AJ282" s="11">
        <f>IF(C282="","",IF(H282="VIDEO",N(L282),0))</f>
        <v/>
      </c>
      <c r="AK282" s="43">
        <f>IFERROR(IF(N(L282)=0,"",AJ282/L282),"")</f>
        <v/>
      </c>
      <c r="AL282" s="11">
        <f>IF(C282="","",N(AF282)+N(AG282)+N(AH282)+N(AI282))</f>
        <v/>
      </c>
      <c r="AM282" s="11">
        <f>IF(C282="","",MAX(N(L282),N(O282))-N(AL282))</f>
        <v/>
      </c>
      <c r="AN282" s="43">
        <f>IFERROR(IF(MAX(N(L282),N(O282))=0,"",AM282/MAX(N(L282),N(O282))),"")</f>
        <v/>
      </c>
      <c r="AO282" s="41" t="n"/>
      <c r="AP282" s="41" t="n"/>
      <c r="AQ282" s="41" t="n"/>
      <c r="AR282" s="41" t="n"/>
      <c r="AS282" s="41" t="n"/>
      <c r="AT282" s="37" t="n"/>
      <c r="AU282" s="10" t="inlineStr">
        <is>
          <t>PRD-0278</t>
        </is>
      </c>
    </row>
    <row r="283">
      <c r="A283" s="16">
        <f>IF($C283="","",IFERROR(IF(INDEX(tbl_Finance[Latest Invoice Date],MATCH($AU283,tbl_Finance[Row ID],0))="","",INDEX(tbl_Finance[Latest Invoice Date],MATCH($AU283,tbl_Finance[Row ID],0))),""))</f>
        <v/>
      </c>
      <c r="B283" s="10">
        <f>IF($C283="","",IFERROR(INDEX(tbl_Finance[Invoice Numbers],MATCH($AU283,tbl_Finance[Row ID],0))&amp;"",""))</f>
        <v/>
      </c>
      <c r="C283" s="37" t="n"/>
      <c r="D283" s="10">
        <f>IF($C283="","",IF(COUNTIF(lst_Jobs,$C283&amp;"")&gt;0,"OK","CHECK"))</f>
        <v/>
      </c>
      <c r="E283" s="10">
        <f>IF($C283="","",IFERROR(INDEX(lst_JobName,MATCH($C283&amp;"",lst_Jobs,0)),""))</f>
        <v/>
      </c>
      <c r="F283" s="37" t="n"/>
      <c r="G283" s="37" t="n"/>
      <c r="H283" s="37" t="n"/>
      <c r="I283" s="37" t="n"/>
      <c r="J283" s="37" t="n"/>
      <c r="K283" s="38">
        <f>IF($C283="","",IFERROR(N(INDEX(tbl_Finance[Invoice Count],MATCH($AU283,tbl_Finance[Row ID],0))),""))</f>
        <v/>
      </c>
      <c r="L283" s="11">
        <f>IF($C283="","",IFERROR(N(INDEX(tbl_Finance[Xero Invoiced Ex GST],MATCH($AU283,tbl_Finance[Row ID],0))),""))</f>
        <v/>
      </c>
      <c r="M283" s="10">
        <f>IF($C283="","",IFERROR(INDEX(tbl_Finance[Compare],MATCH($AU283,tbl_Finance[Row ID],0))&amp;"",""))</f>
        <v/>
      </c>
      <c r="N283" s="11">
        <f>IF($C283="","",MAX(0,N(O283)-N(L283)))</f>
        <v/>
      </c>
      <c r="O283" s="39" t="n"/>
      <c r="P283" s="40">
        <f>IF($C283="","",IF((IF(F283="",", Client","")&amp;IF(G283="",", Description","")&amp;IF(H283="",", Cost Centre","")&amp;IF(I283="",", Invoice Type","")&amp;IF(J283="",", Tax Code","")&amp;IF(O283="",", Expected Revenue","")&amp;IF(COUNTIF(tbl_Finance[Job Number],$C283&amp;"")&gt;1,", Job number used twice",""))="","Complete","Fix: "&amp;MID(IF(F283="",", Client","")&amp;IF(G283="",", Description","")&amp;IF(H283="",", Cost Centre","")&amp;IF(I283="",", Invoice Type","")&amp;IF(J283="",", Tax Code","")&amp;IF(O283="",", Expected Revenue","")&amp;IF(COUNTIF(tbl_Finance[Job Number],$C283&amp;"")&gt;1,", Job number used twice",""),3,300)))</f>
        <v/>
      </c>
      <c r="Q283" s="10">
        <f>IF($C283="","",IF(H283="","(no cost centre)",H283&amp;" - GL "&amp;IFERROR(INDEX(lst_CCtoGL,MATCH(H283,lst_CCforGL,0)),"?")))</f>
        <v/>
      </c>
      <c r="R283" s="11">
        <f>IF($C283="","",IFERROR(N(INDEX(tbl_Finance[Inc GST],MATCH($AU283,tbl_Finance[Row ID],0))),""))</f>
        <v/>
      </c>
      <c r="S283" s="37" t="n"/>
      <c r="T283" s="37" t="n"/>
      <c r="U283" s="37" t="n"/>
      <c r="V283" s="42" t="n"/>
      <c r="W283" s="37" t="n"/>
      <c r="X283" s="10">
        <f>IF(W283="","",IF(AND(LEFT(W283,4)&lt;&gt;"http",set_RMSBase=""),"",HYPERLINK(IF(LEFT(W283,4)="http",W283,set_RMSBase&amp;W283),"Open in RMS")))</f>
        <v/>
      </c>
      <c r="Y283" s="37" t="n"/>
      <c r="Z283" s="10">
        <f>IF(Y283="","",HYPERLINK(IF(LEFT(Y283,4)="http",Y283,set_QwilrBase&amp;Y283),"Open quote"))</f>
        <v/>
      </c>
      <c r="AA283" s="10">
        <f>IF(C283="","",C283)</f>
        <v/>
      </c>
      <c r="AB283" s="37" t="n"/>
      <c r="AC283" s="39" t="n"/>
      <c r="AD283" s="11">
        <f>IF(C283="","",N(L283)+N(AC283))</f>
        <v/>
      </c>
      <c r="AE283" s="43">
        <f>IFERROR(IF(N(AC283)=0,"",AC283/AD283),"")</f>
        <v/>
      </c>
      <c r="AF283" s="39" t="n"/>
      <c r="AG283" s="39" t="n"/>
      <c r="AH283" s="39" t="n"/>
      <c r="AI283" s="39" t="n"/>
      <c r="AJ283" s="11">
        <f>IF(C283="","",IF(H283="VIDEO",N(L283),0))</f>
        <v/>
      </c>
      <c r="AK283" s="43">
        <f>IFERROR(IF(N(L283)=0,"",AJ283/L283),"")</f>
        <v/>
      </c>
      <c r="AL283" s="11">
        <f>IF(C283="","",N(AF283)+N(AG283)+N(AH283)+N(AI283))</f>
        <v/>
      </c>
      <c r="AM283" s="11">
        <f>IF(C283="","",MAX(N(L283),N(O283))-N(AL283))</f>
        <v/>
      </c>
      <c r="AN283" s="43">
        <f>IFERROR(IF(MAX(N(L283),N(O283))=0,"",AM283/MAX(N(L283),N(O283))),"")</f>
        <v/>
      </c>
      <c r="AO283" s="41" t="n"/>
      <c r="AP283" s="41" t="n"/>
      <c r="AQ283" s="41" t="n"/>
      <c r="AR283" s="41" t="n"/>
      <c r="AS283" s="41" t="n"/>
      <c r="AT283" s="37" t="n"/>
      <c r="AU283" s="10" t="inlineStr">
        <is>
          <t>PRD-0279</t>
        </is>
      </c>
    </row>
    <row r="284">
      <c r="A284" s="16">
        <f>IF($C284="","",IFERROR(IF(INDEX(tbl_Finance[Latest Invoice Date],MATCH($AU284,tbl_Finance[Row ID],0))="","",INDEX(tbl_Finance[Latest Invoice Date],MATCH($AU284,tbl_Finance[Row ID],0))),""))</f>
        <v/>
      </c>
      <c r="B284" s="10">
        <f>IF($C284="","",IFERROR(INDEX(tbl_Finance[Invoice Numbers],MATCH($AU284,tbl_Finance[Row ID],0))&amp;"",""))</f>
        <v/>
      </c>
      <c r="C284" s="37" t="n"/>
      <c r="D284" s="10">
        <f>IF($C284="","",IF(COUNTIF(lst_Jobs,$C284&amp;"")&gt;0,"OK","CHECK"))</f>
        <v/>
      </c>
      <c r="E284" s="10">
        <f>IF($C284="","",IFERROR(INDEX(lst_JobName,MATCH($C284&amp;"",lst_Jobs,0)),""))</f>
        <v/>
      </c>
      <c r="F284" s="37" t="n"/>
      <c r="G284" s="37" t="n"/>
      <c r="H284" s="37" t="n"/>
      <c r="I284" s="37" t="n"/>
      <c r="J284" s="37" t="n"/>
      <c r="K284" s="38">
        <f>IF($C284="","",IFERROR(N(INDEX(tbl_Finance[Invoice Count],MATCH($AU284,tbl_Finance[Row ID],0))),""))</f>
        <v/>
      </c>
      <c r="L284" s="11">
        <f>IF($C284="","",IFERROR(N(INDEX(tbl_Finance[Xero Invoiced Ex GST],MATCH($AU284,tbl_Finance[Row ID],0))),""))</f>
        <v/>
      </c>
      <c r="M284" s="10">
        <f>IF($C284="","",IFERROR(INDEX(tbl_Finance[Compare],MATCH($AU284,tbl_Finance[Row ID],0))&amp;"",""))</f>
        <v/>
      </c>
      <c r="N284" s="11">
        <f>IF($C284="","",MAX(0,N(O284)-N(L284)))</f>
        <v/>
      </c>
      <c r="O284" s="39" t="n"/>
      <c r="P284" s="40">
        <f>IF($C284="","",IF((IF(F284="",", Client","")&amp;IF(G284="",", Description","")&amp;IF(H284="",", Cost Centre","")&amp;IF(I284="",", Invoice Type","")&amp;IF(J284="",", Tax Code","")&amp;IF(O284="",", Expected Revenue","")&amp;IF(COUNTIF(tbl_Finance[Job Number],$C284&amp;"")&gt;1,", Job number used twice",""))="","Complete","Fix: "&amp;MID(IF(F284="",", Client","")&amp;IF(G284="",", Description","")&amp;IF(H284="",", Cost Centre","")&amp;IF(I284="",", Invoice Type","")&amp;IF(J284="",", Tax Code","")&amp;IF(O284="",", Expected Revenue","")&amp;IF(COUNTIF(tbl_Finance[Job Number],$C284&amp;"")&gt;1,", Job number used twice",""),3,300)))</f>
        <v/>
      </c>
      <c r="Q284" s="10">
        <f>IF($C284="","",IF(H284="","(no cost centre)",H284&amp;" - GL "&amp;IFERROR(INDEX(lst_CCtoGL,MATCH(H284,lst_CCforGL,0)),"?")))</f>
        <v/>
      </c>
      <c r="R284" s="11">
        <f>IF($C284="","",IFERROR(N(INDEX(tbl_Finance[Inc GST],MATCH($AU284,tbl_Finance[Row ID],0))),""))</f>
        <v/>
      </c>
      <c r="S284" s="37" t="n"/>
      <c r="T284" s="37" t="n"/>
      <c r="U284" s="37" t="n"/>
      <c r="V284" s="42" t="n"/>
      <c r="W284" s="37" t="n"/>
      <c r="X284" s="10">
        <f>IF(W284="","",IF(AND(LEFT(W284,4)&lt;&gt;"http",set_RMSBase=""),"",HYPERLINK(IF(LEFT(W284,4)="http",W284,set_RMSBase&amp;W284),"Open in RMS")))</f>
        <v/>
      </c>
      <c r="Y284" s="37" t="n"/>
      <c r="Z284" s="10">
        <f>IF(Y284="","",HYPERLINK(IF(LEFT(Y284,4)="http",Y284,set_QwilrBase&amp;Y284),"Open quote"))</f>
        <v/>
      </c>
      <c r="AA284" s="10">
        <f>IF(C284="","",C284)</f>
        <v/>
      </c>
      <c r="AB284" s="37" t="n"/>
      <c r="AC284" s="39" t="n"/>
      <c r="AD284" s="11">
        <f>IF(C284="","",N(L284)+N(AC284))</f>
        <v/>
      </c>
      <c r="AE284" s="43">
        <f>IFERROR(IF(N(AC284)=0,"",AC284/AD284),"")</f>
        <v/>
      </c>
      <c r="AF284" s="39" t="n"/>
      <c r="AG284" s="39" t="n"/>
      <c r="AH284" s="39" t="n"/>
      <c r="AI284" s="39" t="n"/>
      <c r="AJ284" s="11">
        <f>IF(C284="","",IF(H284="VIDEO",N(L284),0))</f>
        <v/>
      </c>
      <c r="AK284" s="43">
        <f>IFERROR(IF(N(L284)=0,"",AJ284/L284),"")</f>
        <v/>
      </c>
      <c r="AL284" s="11">
        <f>IF(C284="","",N(AF284)+N(AG284)+N(AH284)+N(AI284))</f>
        <v/>
      </c>
      <c r="AM284" s="11">
        <f>IF(C284="","",MAX(N(L284),N(O284))-N(AL284))</f>
        <v/>
      </c>
      <c r="AN284" s="43">
        <f>IFERROR(IF(MAX(N(L284),N(O284))=0,"",AM284/MAX(N(L284),N(O284))),"")</f>
        <v/>
      </c>
      <c r="AO284" s="41" t="n"/>
      <c r="AP284" s="41" t="n"/>
      <c r="AQ284" s="41" t="n"/>
      <c r="AR284" s="41" t="n"/>
      <c r="AS284" s="41" t="n"/>
      <c r="AT284" s="37" t="n"/>
      <c r="AU284" s="10" t="inlineStr">
        <is>
          <t>PRD-0280</t>
        </is>
      </c>
    </row>
    <row r="285">
      <c r="A285" s="16">
        <f>IF($C285="","",IFERROR(IF(INDEX(tbl_Finance[Latest Invoice Date],MATCH($AU285,tbl_Finance[Row ID],0))="","",INDEX(tbl_Finance[Latest Invoice Date],MATCH($AU285,tbl_Finance[Row ID],0))),""))</f>
        <v/>
      </c>
      <c r="B285" s="10">
        <f>IF($C285="","",IFERROR(INDEX(tbl_Finance[Invoice Numbers],MATCH($AU285,tbl_Finance[Row ID],0))&amp;"",""))</f>
        <v/>
      </c>
      <c r="C285" s="37" t="n"/>
      <c r="D285" s="10">
        <f>IF($C285="","",IF(COUNTIF(lst_Jobs,$C285&amp;"")&gt;0,"OK","CHECK"))</f>
        <v/>
      </c>
      <c r="E285" s="10">
        <f>IF($C285="","",IFERROR(INDEX(lst_JobName,MATCH($C285&amp;"",lst_Jobs,0)),""))</f>
        <v/>
      </c>
      <c r="F285" s="37" t="n"/>
      <c r="G285" s="37" t="n"/>
      <c r="H285" s="37" t="n"/>
      <c r="I285" s="37" t="n"/>
      <c r="J285" s="37" t="n"/>
      <c r="K285" s="38">
        <f>IF($C285="","",IFERROR(N(INDEX(tbl_Finance[Invoice Count],MATCH($AU285,tbl_Finance[Row ID],0))),""))</f>
        <v/>
      </c>
      <c r="L285" s="11">
        <f>IF($C285="","",IFERROR(N(INDEX(tbl_Finance[Xero Invoiced Ex GST],MATCH($AU285,tbl_Finance[Row ID],0))),""))</f>
        <v/>
      </c>
      <c r="M285" s="10">
        <f>IF($C285="","",IFERROR(INDEX(tbl_Finance[Compare],MATCH($AU285,tbl_Finance[Row ID],0))&amp;"",""))</f>
        <v/>
      </c>
      <c r="N285" s="11">
        <f>IF($C285="","",MAX(0,N(O285)-N(L285)))</f>
        <v/>
      </c>
      <c r="O285" s="39" t="n"/>
      <c r="P285" s="40">
        <f>IF($C285="","",IF((IF(F285="",", Client","")&amp;IF(G285="",", Description","")&amp;IF(H285="",", Cost Centre","")&amp;IF(I285="",", Invoice Type","")&amp;IF(J285="",", Tax Code","")&amp;IF(O285="",", Expected Revenue","")&amp;IF(COUNTIF(tbl_Finance[Job Number],$C285&amp;"")&gt;1,", Job number used twice",""))="","Complete","Fix: "&amp;MID(IF(F285="",", Client","")&amp;IF(G285="",", Description","")&amp;IF(H285="",", Cost Centre","")&amp;IF(I285="",", Invoice Type","")&amp;IF(J285="",", Tax Code","")&amp;IF(O285="",", Expected Revenue","")&amp;IF(COUNTIF(tbl_Finance[Job Number],$C285&amp;"")&gt;1,", Job number used twice",""),3,300)))</f>
        <v/>
      </c>
      <c r="Q285" s="10">
        <f>IF($C285="","",IF(H285="","(no cost centre)",H285&amp;" - GL "&amp;IFERROR(INDEX(lst_CCtoGL,MATCH(H285,lst_CCforGL,0)),"?")))</f>
        <v/>
      </c>
      <c r="R285" s="11">
        <f>IF($C285="","",IFERROR(N(INDEX(tbl_Finance[Inc GST],MATCH($AU285,tbl_Finance[Row ID],0))),""))</f>
        <v/>
      </c>
      <c r="S285" s="37" t="n"/>
      <c r="T285" s="37" t="n"/>
      <c r="U285" s="37" t="n"/>
      <c r="V285" s="42" t="n"/>
      <c r="W285" s="37" t="n"/>
      <c r="X285" s="10">
        <f>IF(W285="","",IF(AND(LEFT(W285,4)&lt;&gt;"http",set_RMSBase=""),"",HYPERLINK(IF(LEFT(W285,4)="http",W285,set_RMSBase&amp;W285),"Open in RMS")))</f>
        <v/>
      </c>
      <c r="Y285" s="37" t="n"/>
      <c r="Z285" s="10">
        <f>IF(Y285="","",HYPERLINK(IF(LEFT(Y285,4)="http",Y285,set_QwilrBase&amp;Y285),"Open quote"))</f>
        <v/>
      </c>
      <c r="AA285" s="10">
        <f>IF(C285="","",C285)</f>
        <v/>
      </c>
      <c r="AB285" s="37" t="n"/>
      <c r="AC285" s="39" t="n"/>
      <c r="AD285" s="11">
        <f>IF(C285="","",N(L285)+N(AC285))</f>
        <v/>
      </c>
      <c r="AE285" s="43">
        <f>IFERROR(IF(N(AC285)=0,"",AC285/AD285),"")</f>
        <v/>
      </c>
      <c r="AF285" s="39" t="n"/>
      <c r="AG285" s="39" t="n"/>
      <c r="AH285" s="39" t="n"/>
      <c r="AI285" s="39" t="n"/>
      <c r="AJ285" s="11">
        <f>IF(C285="","",IF(H285="VIDEO",N(L285),0))</f>
        <v/>
      </c>
      <c r="AK285" s="43">
        <f>IFERROR(IF(N(L285)=0,"",AJ285/L285),"")</f>
        <v/>
      </c>
      <c r="AL285" s="11">
        <f>IF(C285="","",N(AF285)+N(AG285)+N(AH285)+N(AI285))</f>
        <v/>
      </c>
      <c r="AM285" s="11">
        <f>IF(C285="","",MAX(N(L285),N(O285))-N(AL285))</f>
        <v/>
      </c>
      <c r="AN285" s="43">
        <f>IFERROR(IF(MAX(N(L285),N(O285))=0,"",AM285/MAX(N(L285),N(O285))),"")</f>
        <v/>
      </c>
      <c r="AO285" s="41" t="n"/>
      <c r="AP285" s="41" t="n"/>
      <c r="AQ285" s="41" t="n"/>
      <c r="AR285" s="41" t="n"/>
      <c r="AS285" s="41" t="n"/>
      <c r="AT285" s="37" t="n"/>
      <c r="AU285" s="10" t="inlineStr">
        <is>
          <t>PRD-0281</t>
        </is>
      </c>
    </row>
    <row r="286">
      <c r="A286" s="16">
        <f>IF($C286="","",IFERROR(IF(INDEX(tbl_Finance[Latest Invoice Date],MATCH($AU286,tbl_Finance[Row ID],0))="","",INDEX(tbl_Finance[Latest Invoice Date],MATCH($AU286,tbl_Finance[Row ID],0))),""))</f>
        <v/>
      </c>
      <c r="B286" s="10">
        <f>IF($C286="","",IFERROR(INDEX(tbl_Finance[Invoice Numbers],MATCH($AU286,tbl_Finance[Row ID],0))&amp;"",""))</f>
        <v/>
      </c>
      <c r="C286" s="37" t="n"/>
      <c r="D286" s="10">
        <f>IF($C286="","",IF(COUNTIF(lst_Jobs,$C286&amp;"")&gt;0,"OK","CHECK"))</f>
        <v/>
      </c>
      <c r="E286" s="10">
        <f>IF($C286="","",IFERROR(INDEX(lst_JobName,MATCH($C286&amp;"",lst_Jobs,0)),""))</f>
        <v/>
      </c>
      <c r="F286" s="37" t="n"/>
      <c r="G286" s="37" t="n"/>
      <c r="H286" s="37" t="n"/>
      <c r="I286" s="37" t="n"/>
      <c r="J286" s="37" t="n"/>
      <c r="K286" s="38">
        <f>IF($C286="","",IFERROR(N(INDEX(tbl_Finance[Invoice Count],MATCH($AU286,tbl_Finance[Row ID],0))),""))</f>
        <v/>
      </c>
      <c r="L286" s="11">
        <f>IF($C286="","",IFERROR(N(INDEX(tbl_Finance[Xero Invoiced Ex GST],MATCH($AU286,tbl_Finance[Row ID],0))),""))</f>
        <v/>
      </c>
      <c r="M286" s="10">
        <f>IF($C286="","",IFERROR(INDEX(tbl_Finance[Compare],MATCH($AU286,tbl_Finance[Row ID],0))&amp;"",""))</f>
        <v/>
      </c>
      <c r="N286" s="11">
        <f>IF($C286="","",MAX(0,N(O286)-N(L286)))</f>
        <v/>
      </c>
      <c r="O286" s="39" t="n"/>
      <c r="P286" s="40">
        <f>IF($C286="","",IF((IF(F286="",", Client","")&amp;IF(G286="",", Description","")&amp;IF(H286="",", Cost Centre","")&amp;IF(I286="",", Invoice Type","")&amp;IF(J286="",", Tax Code","")&amp;IF(O286="",", Expected Revenue","")&amp;IF(COUNTIF(tbl_Finance[Job Number],$C286&amp;"")&gt;1,", Job number used twice",""))="","Complete","Fix: "&amp;MID(IF(F286="",", Client","")&amp;IF(G286="",", Description","")&amp;IF(H286="",", Cost Centre","")&amp;IF(I286="",", Invoice Type","")&amp;IF(J286="",", Tax Code","")&amp;IF(O286="",", Expected Revenue","")&amp;IF(COUNTIF(tbl_Finance[Job Number],$C286&amp;"")&gt;1,", Job number used twice",""),3,300)))</f>
        <v/>
      </c>
      <c r="Q286" s="10">
        <f>IF($C286="","",IF(H286="","(no cost centre)",H286&amp;" - GL "&amp;IFERROR(INDEX(lst_CCtoGL,MATCH(H286,lst_CCforGL,0)),"?")))</f>
        <v/>
      </c>
      <c r="R286" s="11">
        <f>IF($C286="","",IFERROR(N(INDEX(tbl_Finance[Inc GST],MATCH($AU286,tbl_Finance[Row ID],0))),""))</f>
        <v/>
      </c>
      <c r="S286" s="37" t="n"/>
      <c r="T286" s="37" t="n"/>
      <c r="U286" s="37" t="n"/>
      <c r="V286" s="42" t="n"/>
      <c r="W286" s="37" t="n"/>
      <c r="X286" s="10">
        <f>IF(W286="","",IF(AND(LEFT(W286,4)&lt;&gt;"http",set_RMSBase=""),"",HYPERLINK(IF(LEFT(W286,4)="http",W286,set_RMSBase&amp;W286),"Open in RMS")))</f>
        <v/>
      </c>
      <c r="Y286" s="37" t="n"/>
      <c r="Z286" s="10">
        <f>IF(Y286="","",HYPERLINK(IF(LEFT(Y286,4)="http",Y286,set_QwilrBase&amp;Y286),"Open quote"))</f>
        <v/>
      </c>
      <c r="AA286" s="10">
        <f>IF(C286="","",C286)</f>
        <v/>
      </c>
      <c r="AB286" s="37" t="n"/>
      <c r="AC286" s="39" t="n"/>
      <c r="AD286" s="11">
        <f>IF(C286="","",N(L286)+N(AC286))</f>
        <v/>
      </c>
      <c r="AE286" s="43">
        <f>IFERROR(IF(N(AC286)=0,"",AC286/AD286),"")</f>
        <v/>
      </c>
      <c r="AF286" s="39" t="n"/>
      <c r="AG286" s="39" t="n"/>
      <c r="AH286" s="39" t="n"/>
      <c r="AI286" s="39" t="n"/>
      <c r="AJ286" s="11">
        <f>IF(C286="","",IF(H286="VIDEO",N(L286),0))</f>
        <v/>
      </c>
      <c r="AK286" s="43">
        <f>IFERROR(IF(N(L286)=0,"",AJ286/L286),"")</f>
        <v/>
      </c>
      <c r="AL286" s="11">
        <f>IF(C286="","",N(AF286)+N(AG286)+N(AH286)+N(AI286))</f>
        <v/>
      </c>
      <c r="AM286" s="11">
        <f>IF(C286="","",MAX(N(L286),N(O286))-N(AL286))</f>
        <v/>
      </c>
      <c r="AN286" s="43">
        <f>IFERROR(IF(MAX(N(L286),N(O286))=0,"",AM286/MAX(N(L286),N(O286))),"")</f>
        <v/>
      </c>
      <c r="AO286" s="41" t="n"/>
      <c r="AP286" s="41" t="n"/>
      <c r="AQ286" s="41" t="n"/>
      <c r="AR286" s="41" t="n"/>
      <c r="AS286" s="41" t="n"/>
      <c r="AT286" s="37" t="n"/>
      <c r="AU286" s="10" t="inlineStr">
        <is>
          <t>PRD-0282</t>
        </is>
      </c>
    </row>
    <row r="287">
      <c r="A287" s="16">
        <f>IF($C287="","",IFERROR(IF(INDEX(tbl_Finance[Latest Invoice Date],MATCH($AU287,tbl_Finance[Row ID],0))="","",INDEX(tbl_Finance[Latest Invoice Date],MATCH($AU287,tbl_Finance[Row ID],0))),""))</f>
        <v/>
      </c>
      <c r="B287" s="10">
        <f>IF($C287="","",IFERROR(INDEX(tbl_Finance[Invoice Numbers],MATCH($AU287,tbl_Finance[Row ID],0))&amp;"",""))</f>
        <v/>
      </c>
      <c r="C287" s="37" t="n"/>
      <c r="D287" s="10">
        <f>IF($C287="","",IF(COUNTIF(lst_Jobs,$C287&amp;"")&gt;0,"OK","CHECK"))</f>
        <v/>
      </c>
      <c r="E287" s="10">
        <f>IF($C287="","",IFERROR(INDEX(lst_JobName,MATCH($C287&amp;"",lst_Jobs,0)),""))</f>
        <v/>
      </c>
      <c r="F287" s="37" t="n"/>
      <c r="G287" s="37" t="n"/>
      <c r="H287" s="37" t="n"/>
      <c r="I287" s="37" t="n"/>
      <c r="J287" s="37" t="n"/>
      <c r="K287" s="38">
        <f>IF($C287="","",IFERROR(N(INDEX(tbl_Finance[Invoice Count],MATCH($AU287,tbl_Finance[Row ID],0))),""))</f>
        <v/>
      </c>
      <c r="L287" s="11">
        <f>IF($C287="","",IFERROR(N(INDEX(tbl_Finance[Xero Invoiced Ex GST],MATCH($AU287,tbl_Finance[Row ID],0))),""))</f>
        <v/>
      </c>
      <c r="M287" s="10">
        <f>IF($C287="","",IFERROR(INDEX(tbl_Finance[Compare],MATCH($AU287,tbl_Finance[Row ID],0))&amp;"",""))</f>
        <v/>
      </c>
      <c r="N287" s="11">
        <f>IF($C287="","",MAX(0,N(O287)-N(L287)))</f>
        <v/>
      </c>
      <c r="O287" s="39" t="n"/>
      <c r="P287" s="40">
        <f>IF($C287="","",IF((IF(F287="",", Client","")&amp;IF(G287="",", Description","")&amp;IF(H287="",", Cost Centre","")&amp;IF(I287="",", Invoice Type","")&amp;IF(J287="",", Tax Code","")&amp;IF(O287="",", Expected Revenue","")&amp;IF(COUNTIF(tbl_Finance[Job Number],$C287&amp;"")&gt;1,", Job number used twice",""))="","Complete","Fix: "&amp;MID(IF(F287="",", Client","")&amp;IF(G287="",", Description","")&amp;IF(H287="",", Cost Centre","")&amp;IF(I287="",", Invoice Type","")&amp;IF(J287="",", Tax Code","")&amp;IF(O287="",", Expected Revenue","")&amp;IF(COUNTIF(tbl_Finance[Job Number],$C287&amp;"")&gt;1,", Job number used twice",""),3,300)))</f>
        <v/>
      </c>
      <c r="Q287" s="10">
        <f>IF($C287="","",IF(H287="","(no cost centre)",H287&amp;" - GL "&amp;IFERROR(INDEX(lst_CCtoGL,MATCH(H287,lst_CCforGL,0)),"?")))</f>
        <v/>
      </c>
      <c r="R287" s="11">
        <f>IF($C287="","",IFERROR(N(INDEX(tbl_Finance[Inc GST],MATCH($AU287,tbl_Finance[Row ID],0))),""))</f>
        <v/>
      </c>
      <c r="S287" s="37" t="n"/>
      <c r="T287" s="37" t="n"/>
      <c r="U287" s="37" t="n"/>
      <c r="V287" s="42" t="n"/>
      <c r="W287" s="37" t="n"/>
      <c r="X287" s="10">
        <f>IF(W287="","",IF(AND(LEFT(W287,4)&lt;&gt;"http",set_RMSBase=""),"",HYPERLINK(IF(LEFT(W287,4)="http",W287,set_RMSBase&amp;W287),"Open in RMS")))</f>
        <v/>
      </c>
      <c r="Y287" s="37" t="n"/>
      <c r="Z287" s="10">
        <f>IF(Y287="","",HYPERLINK(IF(LEFT(Y287,4)="http",Y287,set_QwilrBase&amp;Y287),"Open quote"))</f>
        <v/>
      </c>
      <c r="AA287" s="10">
        <f>IF(C287="","",C287)</f>
        <v/>
      </c>
      <c r="AB287" s="37" t="n"/>
      <c r="AC287" s="39" t="n"/>
      <c r="AD287" s="11">
        <f>IF(C287="","",N(L287)+N(AC287))</f>
        <v/>
      </c>
      <c r="AE287" s="43">
        <f>IFERROR(IF(N(AC287)=0,"",AC287/AD287),"")</f>
        <v/>
      </c>
      <c r="AF287" s="39" t="n"/>
      <c r="AG287" s="39" t="n"/>
      <c r="AH287" s="39" t="n"/>
      <c r="AI287" s="39" t="n"/>
      <c r="AJ287" s="11">
        <f>IF(C287="","",IF(H287="VIDEO",N(L287),0))</f>
        <v/>
      </c>
      <c r="AK287" s="43">
        <f>IFERROR(IF(N(L287)=0,"",AJ287/L287),"")</f>
        <v/>
      </c>
      <c r="AL287" s="11">
        <f>IF(C287="","",N(AF287)+N(AG287)+N(AH287)+N(AI287))</f>
        <v/>
      </c>
      <c r="AM287" s="11">
        <f>IF(C287="","",MAX(N(L287),N(O287))-N(AL287))</f>
        <v/>
      </c>
      <c r="AN287" s="43">
        <f>IFERROR(IF(MAX(N(L287),N(O287))=0,"",AM287/MAX(N(L287),N(O287))),"")</f>
        <v/>
      </c>
      <c r="AO287" s="41" t="n"/>
      <c r="AP287" s="41" t="n"/>
      <c r="AQ287" s="41" t="n"/>
      <c r="AR287" s="41" t="n"/>
      <c r="AS287" s="41" t="n"/>
      <c r="AT287" s="37" t="n"/>
      <c r="AU287" s="10" t="inlineStr">
        <is>
          <t>PRD-0283</t>
        </is>
      </c>
    </row>
    <row r="288">
      <c r="A288" s="16">
        <f>IF($C288="","",IFERROR(IF(INDEX(tbl_Finance[Latest Invoice Date],MATCH($AU288,tbl_Finance[Row ID],0))="","",INDEX(tbl_Finance[Latest Invoice Date],MATCH($AU288,tbl_Finance[Row ID],0))),""))</f>
        <v/>
      </c>
      <c r="B288" s="10">
        <f>IF($C288="","",IFERROR(INDEX(tbl_Finance[Invoice Numbers],MATCH($AU288,tbl_Finance[Row ID],0))&amp;"",""))</f>
        <v/>
      </c>
      <c r="C288" s="37" t="n"/>
      <c r="D288" s="10">
        <f>IF($C288="","",IF(COUNTIF(lst_Jobs,$C288&amp;"")&gt;0,"OK","CHECK"))</f>
        <v/>
      </c>
      <c r="E288" s="10">
        <f>IF($C288="","",IFERROR(INDEX(lst_JobName,MATCH($C288&amp;"",lst_Jobs,0)),""))</f>
        <v/>
      </c>
      <c r="F288" s="37" t="n"/>
      <c r="G288" s="37" t="n"/>
      <c r="H288" s="37" t="n"/>
      <c r="I288" s="37" t="n"/>
      <c r="J288" s="37" t="n"/>
      <c r="K288" s="38">
        <f>IF($C288="","",IFERROR(N(INDEX(tbl_Finance[Invoice Count],MATCH($AU288,tbl_Finance[Row ID],0))),""))</f>
        <v/>
      </c>
      <c r="L288" s="11">
        <f>IF($C288="","",IFERROR(N(INDEX(tbl_Finance[Xero Invoiced Ex GST],MATCH($AU288,tbl_Finance[Row ID],0))),""))</f>
        <v/>
      </c>
      <c r="M288" s="10">
        <f>IF($C288="","",IFERROR(INDEX(tbl_Finance[Compare],MATCH($AU288,tbl_Finance[Row ID],0))&amp;"",""))</f>
        <v/>
      </c>
      <c r="N288" s="11">
        <f>IF($C288="","",MAX(0,N(O288)-N(L288)))</f>
        <v/>
      </c>
      <c r="O288" s="39" t="n"/>
      <c r="P288" s="40">
        <f>IF($C288="","",IF((IF(F288="",", Client","")&amp;IF(G288="",", Description","")&amp;IF(H288="",", Cost Centre","")&amp;IF(I288="",", Invoice Type","")&amp;IF(J288="",", Tax Code","")&amp;IF(O288="",", Expected Revenue","")&amp;IF(COUNTIF(tbl_Finance[Job Number],$C288&amp;"")&gt;1,", Job number used twice",""))="","Complete","Fix: "&amp;MID(IF(F288="",", Client","")&amp;IF(G288="",", Description","")&amp;IF(H288="",", Cost Centre","")&amp;IF(I288="",", Invoice Type","")&amp;IF(J288="",", Tax Code","")&amp;IF(O288="",", Expected Revenue","")&amp;IF(COUNTIF(tbl_Finance[Job Number],$C288&amp;"")&gt;1,", Job number used twice",""),3,300)))</f>
        <v/>
      </c>
      <c r="Q288" s="10">
        <f>IF($C288="","",IF(H288="","(no cost centre)",H288&amp;" - GL "&amp;IFERROR(INDEX(lst_CCtoGL,MATCH(H288,lst_CCforGL,0)),"?")))</f>
        <v/>
      </c>
      <c r="R288" s="11">
        <f>IF($C288="","",IFERROR(N(INDEX(tbl_Finance[Inc GST],MATCH($AU288,tbl_Finance[Row ID],0))),""))</f>
        <v/>
      </c>
      <c r="S288" s="37" t="n"/>
      <c r="T288" s="37" t="n"/>
      <c r="U288" s="37" t="n"/>
      <c r="V288" s="42" t="n"/>
      <c r="W288" s="37" t="n"/>
      <c r="X288" s="10">
        <f>IF(W288="","",IF(AND(LEFT(W288,4)&lt;&gt;"http",set_RMSBase=""),"",HYPERLINK(IF(LEFT(W288,4)="http",W288,set_RMSBase&amp;W288),"Open in RMS")))</f>
        <v/>
      </c>
      <c r="Y288" s="37" t="n"/>
      <c r="Z288" s="10">
        <f>IF(Y288="","",HYPERLINK(IF(LEFT(Y288,4)="http",Y288,set_QwilrBase&amp;Y288),"Open quote"))</f>
        <v/>
      </c>
      <c r="AA288" s="10">
        <f>IF(C288="","",C288)</f>
        <v/>
      </c>
      <c r="AB288" s="37" t="n"/>
      <c r="AC288" s="39" t="n"/>
      <c r="AD288" s="11">
        <f>IF(C288="","",N(L288)+N(AC288))</f>
        <v/>
      </c>
      <c r="AE288" s="43">
        <f>IFERROR(IF(N(AC288)=0,"",AC288/AD288),"")</f>
        <v/>
      </c>
      <c r="AF288" s="39" t="n"/>
      <c r="AG288" s="39" t="n"/>
      <c r="AH288" s="39" t="n"/>
      <c r="AI288" s="39" t="n"/>
      <c r="AJ288" s="11">
        <f>IF(C288="","",IF(H288="VIDEO",N(L288),0))</f>
        <v/>
      </c>
      <c r="AK288" s="43">
        <f>IFERROR(IF(N(L288)=0,"",AJ288/L288),"")</f>
        <v/>
      </c>
      <c r="AL288" s="11">
        <f>IF(C288="","",N(AF288)+N(AG288)+N(AH288)+N(AI288))</f>
        <v/>
      </c>
      <c r="AM288" s="11">
        <f>IF(C288="","",MAX(N(L288),N(O288))-N(AL288))</f>
        <v/>
      </c>
      <c r="AN288" s="43">
        <f>IFERROR(IF(MAX(N(L288),N(O288))=0,"",AM288/MAX(N(L288),N(O288))),"")</f>
        <v/>
      </c>
      <c r="AO288" s="41" t="n"/>
      <c r="AP288" s="41" t="n"/>
      <c r="AQ288" s="41" t="n"/>
      <c r="AR288" s="41" t="n"/>
      <c r="AS288" s="41" t="n"/>
      <c r="AT288" s="37" t="n"/>
      <c r="AU288" s="10" t="inlineStr">
        <is>
          <t>PRD-0284</t>
        </is>
      </c>
    </row>
    <row r="289">
      <c r="A289" s="16">
        <f>IF($C289="","",IFERROR(IF(INDEX(tbl_Finance[Latest Invoice Date],MATCH($AU289,tbl_Finance[Row ID],0))="","",INDEX(tbl_Finance[Latest Invoice Date],MATCH($AU289,tbl_Finance[Row ID],0))),""))</f>
        <v/>
      </c>
      <c r="B289" s="10">
        <f>IF($C289="","",IFERROR(INDEX(tbl_Finance[Invoice Numbers],MATCH($AU289,tbl_Finance[Row ID],0))&amp;"",""))</f>
        <v/>
      </c>
      <c r="C289" s="37" t="n"/>
      <c r="D289" s="10">
        <f>IF($C289="","",IF(COUNTIF(lst_Jobs,$C289&amp;"")&gt;0,"OK","CHECK"))</f>
        <v/>
      </c>
      <c r="E289" s="10">
        <f>IF($C289="","",IFERROR(INDEX(lst_JobName,MATCH($C289&amp;"",lst_Jobs,0)),""))</f>
        <v/>
      </c>
      <c r="F289" s="37" t="n"/>
      <c r="G289" s="37" t="n"/>
      <c r="H289" s="37" t="n"/>
      <c r="I289" s="37" t="n"/>
      <c r="J289" s="37" t="n"/>
      <c r="K289" s="38">
        <f>IF($C289="","",IFERROR(N(INDEX(tbl_Finance[Invoice Count],MATCH($AU289,tbl_Finance[Row ID],0))),""))</f>
        <v/>
      </c>
      <c r="L289" s="11">
        <f>IF($C289="","",IFERROR(N(INDEX(tbl_Finance[Xero Invoiced Ex GST],MATCH($AU289,tbl_Finance[Row ID],0))),""))</f>
        <v/>
      </c>
      <c r="M289" s="10">
        <f>IF($C289="","",IFERROR(INDEX(tbl_Finance[Compare],MATCH($AU289,tbl_Finance[Row ID],0))&amp;"",""))</f>
        <v/>
      </c>
      <c r="N289" s="11">
        <f>IF($C289="","",MAX(0,N(O289)-N(L289)))</f>
        <v/>
      </c>
      <c r="O289" s="39" t="n"/>
      <c r="P289" s="40">
        <f>IF($C289="","",IF((IF(F289="",", Client","")&amp;IF(G289="",", Description","")&amp;IF(H289="",", Cost Centre","")&amp;IF(I289="",", Invoice Type","")&amp;IF(J289="",", Tax Code","")&amp;IF(O289="",", Expected Revenue","")&amp;IF(COUNTIF(tbl_Finance[Job Number],$C289&amp;"")&gt;1,", Job number used twice",""))="","Complete","Fix: "&amp;MID(IF(F289="",", Client","")&amp;IF(G289="",", Description","")&amp;IF(H289="",", Cost Centre","")&amp;IF(I289="",", Invoice Type","")&amp;IF(J289="",", Tax Code","")&amp;IF(O289="",", Expected Revenue","")&amp;IF(COUNTIF(tbl_Finance[Job Number],$C289&amp;"")&gt;1,", Job number used twice",""),3,300)))</f>
        <v/>
      </c>
      <c r="Q289" s="10">
        <f>IF($C289="","",IF(H289="","(no cost centre)",H289&amp;" - GL "&amp;IFERROR(INDEX(lst_CCtoGL,MATCH(H289,lst_CCforGL,0)),"?")))</f>
        <v/>
      </c>
      <c r="R289" s="11">
        <f>IF($C289="","",IFERROR(N(INDEX(tbl_Finance[Inc GST],MATCH($AU289,tbl_Finance[Row ID],0))),""))</f>
        <v/>
      </c>
      <c r="S289" s="37" t="n"/>
      <c r="T289" s="37" t="n"/>
      <c r="U289" s="37" t="n"/>
      <c r="V289" s="42" t="n"/>
      <c r="W289" s="37" t="n"/>
      <c r="X289" s="10">
        <f>IF(W289="","",IF(AND(LEFT(W289,4)&lt;&gt;"http",set_RMSBase=""),"",HYPERLINK(IF(LEFT(W289,4)="http",W289,set_RMSBase&amp;W289),"Open in RMS")))</f>
        <v/>
      </c>
      <c r="Y289" s="37" t="n"/>
      <c r="Z289" s="10">
        <f>IF(Y289="","",HYPERLINK(IF(LEFT(Y289,4)="http",Y289,set_QwilrBase&amp;Y289),"Open quote"))</f>
        <v/>
      </c>
      <c r="AA289" s="10">
        <f>IF(C289="","",C289)</f>
        <v/>
      </c>
      <c r="AB289" s="37" t="n"/>
      <c r="AC289" s="39" t="n"/>
      <c r="AD289" s="11">
        <f>IF(C289="","",N(L289)+N(AC289))</f>
        <v/>
      </c>
      <c r="AE289" s="43">
        <f>IFERROR(IF(N(AC289)=0,"",AC289/AD289),"")</f>
        <v/>
      </c>
      <c r="AF289" s="39" t="n"/>
      <c r="AG289" s="39" t="n"/>
      <c r="AH289" s="39" t="n"/>
      <c r="AI289" s="39" t="n"/>
      <c r="AJ289" s="11">
        <f>IF(C289="","",IF(H289="VIDEO",N(L289),0))</f>
        <v/>
      </c>
      <c r="AK289" s="43">
        <f>IFERROR(IF(N(L289)=0,"",AJ289/L289),"")</f>
        <v/>
      </c>
      <c r="AL289" s="11">
        <f>IF(C289="","",N(AF289)+N(AG289)+N(AH289)+N(AI289))</f>
        <v/>
      </c>
      <c r="AM289" s="11">
        <f>IF(C289="","",MAX(N(L289),N(O289))-N(AL289))</f>
        <v/>
      </c>
      <c r="AN289" s="43">
        <f>IFERROR(IF(MAX(N(L289),N(O289))=0,"",AM289/MAX(N(L289),N(O289))),"")</f>
        <v/>
      </c>
      <c r="AO289" s="41" t="n"/>
      <c r="AP289" s="41" t="n"/>
      <c r="AQ289" s="41" t="n"/>
      <c r="AR289" s="41" t="n"/>
      <c r="AS289" s="41" t="n"/>
      <c r="AT289" s="37" t="n"/>
      <c r="AU289" s="10" t="inlineStr">
        <is>
          <t>PRD-0285</t>
        </is>
      </c>
    </row>
    <row r="290">
      <c r="A290" s="16">
        <f>IF($C290="","",IFERROR(IF(INDEX(tbl_Finance[Latest Invoice Date],MATCH($AU290,tbl_Finance[Row ID],0))="","",INDEX(tbl_Finance[Latest Invoice Date],MATCH($AU290,tbl_Finance[Row ID],0))),""))</f>
        <v/>
      </c>
      <c r="B290" s="10">
        <f>IF($C290="","",IFERROR(INDEX(tbl_Finance[Invoice Numbers],MATCH($AU290,tbl_Finance[Row ID],0))&amp;"",""))</f>
        <v/>
      </c>
      <c r="C290" s="37" t="n"/>
      <c r="D290" s="10">
        <f>IF($C290="","",IF(COUNTIF(lst_Jobs,$C290&amp;"")&gt;0,"OK","CHECK"))</f>
        <v/>
      </c>
      <c r="E290" s="10">
        <f>IF($C290="","",IFERROR(INDEX(lst_JobName,MATCH($C290&amp;"",lst_Jobs,0)),""))</f>
        <v/>
      </c>
      <c r="F290" s="37" t="n"/>
      <c r="G290" s="37" t="n"/>
      <c r="H290" s="37" t="n"/>
      <c r="I290" s="37" t="n"/>
      <c r="J290" s="37" t="n"/>
      <c r="K290" s="38">
        <f>IF($C290="","",IFERROR(N(INDEX(tbl_Finance[Invoice Count],MATCH($AU290,tbl_Finance[Row ID],0))),""))</f>
        <v/>
      </c>
      <c r="L290" s="11">
        <f>IF($C290="","",IFERROR(N(INDEX(tbl_Finance[Xero Invoiced Ex GST],MATCH($AU290,tbl_Finance[Row ID],0))),""))</f>
        <v/>
      </c>
      <c r="M290" s="10">
        <f>IF($C290="","",IFERROR(INDEX(tbl_Finance[Compare],MATCH($AU290,tbl_Finance[Row ID],0))&amp;"",""))</f>
        <v/>
      </c>
      <c r="N290" s="11">
        <f>IF($C290="","",MAX(0,N(O290)-N(L290)))</f>
        <v/>
      </c>
      <c r="O290" s="39" t="n"/>
      <c r="P290" s="40">
        <f>IF($C290="","",IF((IF(F290="",", Client","")&amp;IF(G290="",", Description","")&amp;IF(H290="",", Cost Centre","")&amp;IF(I290="",", Invoice Type","")&amp;IF(J290="",", Tax Code","")&amp;IF(O290="",", Expected Revenue","")&amp;IF(COUNTIF(tbl_Finance[Job Number],$C290&amp;"")&gt;1,", Job number used twice",""))="","Complete","Fix: "&amp;MID(IF(F290="",", Client","")&amp;IF(G290="",", Description","")&amp;IF(H290="",", Cost Centre","")&amp;IF(I290="",", Invoice Type","")&amp;IF(J290="",", Tax Code","")&amp;IF(O290="",", Expected Revenue","")&amp;IF(COUNTIF(tbl_Finance[Job Number],$C290&amp;"")&gt;1,", Job number used twice",""),3,300)))</f>
        <v/>
      </c>
      <c r="Q290" s="10">
        <f>IF($C290="","",IF(H290="","(no cost centre)",H290&amp;" - GL "&amp;IFERROR(INDEX(lst_CCtoGL,MATCH(H290,lst_CCforGL,0)),"?")))</f>
        <v/>
      </c>
      <c r="R290" s="11">
        <f>IF($C290="","",IFERROR(N(INDEX(tbl_Finance[Inc GST],MATCH($AU290,tbl_Finance[Row ID],0))),""))</f>
        <v/>
      </c>
      <c r="S290" s="37" t="n"/>
      <c r="T290" s="37" t="n"/>
      <c r="U290" s="37" t="n"/>
      <c r="V290" s="42" t="n"/>
      <c r="W290" s="37" t="n"/>
      <c r="X290" s="10">
        <f>IF(W290="","",IF(AND(LEFT(W290,4)&lt;&gt;"http",set_RMSBase=""),"",HYPERLINK(IF(LEFT(W290,4)="http",W290,set_RMSBase&amp;W290),"Open in RMS")))</f>
        <v/>
      </c>
      <c r="Y290" s="37" t="n"/>
      <c r="Z290" s="10">
        <f>IF(Y290="","",HYPERLINK(IF(LEFT(Y290,4)="http",Y290,set_QwilrBase&amp;Y290),"Open quote"))</f>
        <v/>
      </c>
      <c r="AA290" s="10">
        <f>IF(C290="","",C290)</f>
        <v/>
      </c>
      <c r="AB290" s="37" t="n"/>
      <c r="AC290" s="39" t="n"/>
      <c r="AD290" s="11">
        <f>IF(C290="","",N(L290)+N(AC290))</f>
        <v/>
      </c>
      <c r="AE290" s="43">
        <f>IFERROR(IF(N(AC290)=0,"",AC290/AD290),"")</f>
        <v/>
      </c>
      <c r="AF290" s="39" t="n"/>
      <c r="AG290" s="39" t="n"/>
      <c r="AH290" s="39" t="n"/>
      <c r="AI290" s="39" t="n"/>
      <c r="AJ290" s="11">
        <f>IF(C290="","",IF(H290="VIDEO",N(L290),0))</f>
        <v/>
      </c>
      <c r="AK290" s="43">
        <f>IFERROR(IF(N(L290)=0,"",AJ290/L290),"")</f>
        <v/>
      </c>
      <c r="AL290" s="11">
        <f>IF(C290="","",N(AF290)+N(AG290)+N(AH290)+N(AI290))</f>
        <v/>
      </c>
      <c r="AM290" s="11">
        <f>IF(C290="","",MAX(N(L290),N(O290))-N(AL290))</f>
        <v/>
      </c>
      <c r="AN290" s="43">
        <f>IFERROR(IF(MAX(N(L290),N(O290))=0,"",AM290/MAX(N(L290),N(O290))),"")</f>
        <v/>
      </c>
      <c r="AO290" s="41" t="n"/>
      <c r="AP290" s="41" t="n"/>
      <c r="AQ290" s="41" t="n"/>
      <c r="AR290" s="41" t="n"/>
      <c r="AS290" s="41" t="n"/>
      <c r="AT290" s="37" t="n"/>
      <c r="AU290" s="10" t="inlineStr">
        <is>
          <t>PRD-0286</t>
        </is>
      </c>
    </row>
    <row r="291">
      <c r="A291" s="16">
        <f>IF($C291="","",IFERROR(IF(INDEX(tbl_Finance[Latest Invoice Date],MATCH($AU291,tbl_Finance[Row ID],0))="","",INDEX(tbl_Finance[Latest Invoice Date],MATCH($AU291,tbl_Finance[Row ID],0))),""))</f>
        <v/>
      </c>
      <c r="B291" s="10">
        <f>IF($C291="","",IFERROR(INDEX(tbl_Finance[Invoice Numbers],MATCH($AU291,tbl_Finance[Row ID],0))&amp;"",""))</f>
        <v/>
      </c>
      <c r="C291" s="37" t="n"/>
      <c r="D291" s="10">
        <f>IF($C291="","",IF(COUNTIF(lst_Jobs,$C291&amp;"")&gt;0,"OK","CHECK"))</f>
        <v/>
      </c>
      <c r="E291" s="10">
        <f>IF($C291="","",IFERROR(INDEX(lst_JobName,MATCH($C291&amp;"",lst_Jobs,0)),""))</f>
        <v/>
      </c>
      <c r="F291" s="37" t="n"/>
      <c r="G291" s="37" t="n"/>
      <c r="H291" s="37" t="n"/>
      <c r="I291" s="37" t="n"/>
      <c r="J291" s="37" t="n"/>
      <c r="K291" s="38">
        <f>IF($C291="","",IFERROR(N(INDEX(tbl_Finance[Invoice Count],MATCH($AU291,tbl_Finance[Row ID],0))),""))</f>
        <v/>
      </c>
      <c r="L291" s="11">
        <f>IF($C291="","",IFERROR(N(INDEX(tbl_Finance[Xero Invoiced Ex GST],MATCH($AU291,tbl_Finance[Row ID],0))),""))</f>
        <v/>
      </c>
      <c r="M291" s="10">
        <f>IF($C291="","",IFERROR(INDEX(tbl_Finance[Compare],MATCH($AU291,tbl_Finance[Row ID],0))&amp;"",""))</f>
        <v/>
      </c>
      <c r="N291" s="11">
        <f>IF($C291="","",MAX(0,N(O291)-N(L291)))</f>
        <v/>
      </c>
      <c r="O291" s="39" t="n"/>
      <c r="P291" s="40">
        <f>IF($C291="","",IF((IF(F291="",", Client","")&amp;IF(G291="",", Description","")&amp;IF(H291="",", Cost Centre","")&amp;IF(I291="",", Invoice Type","")&amp;IF(J291="",", Tax Code","")&amp;IF(O291="",", Expected Revenue","")&amp;IF(COUNTIF(tbl_Finance[Job Number],$C291&amp;"")&gt;1,", Job number used twice",""))="","Complete","Fix: "&amp;MID(IF(F291="",", Client","")&amp;IF(G291="",", Description","")&amp;IF(H291="",", Cost Centre","")&amp;IF(I291="",", Invoice Type","")&amp;IF(J291="",", Tax Code","")&amp;IF(O291="",", Expected Revenue","")&amp;IF(COUNTIF(tbl_Finance[Job Number],$C291&amp;"")&gt;1,", Job number used twice",""),3,300)))</f>
        <v/>
      </c>
      <c r="Q291" s="10">
        <f>IF($C291="","",IF(H291="","(no cost centre)",H291&amp;" - GL "&amp;IFERROR(INDEX(lst_CCtoGL,MATCH(H291,lst_CCforGL,0)),"?")))</f>
        <v/>
      </c>
      <c r="R291" s="11">
        <f>IF($C291="","",IFERROR(N(INDEX(tbl_Finance[Inc GST],MATCH($AU291,tbl_Finance[Row ID],0))),""))</f>
        <v/>
      </c>
      <c r="S291" s="37" t="n"/>
      <c r="T291" s="37" t="n"/>
      <c r="U291" s="37" t="n"/>
      <c r="V291" s="42" t="n"/>
      <c r="W291" s="37" t="n"/>
      <c r="X291" s="10">
        <f>IF(W291="","",IF(AND(LEFT(W291,4)&lt;&gt;"http",set_RMSBase=""),"",HYPERLINK(IF(LEFT(W291,4)="http",W291,set_RMSBase&amp;W291),"Open in RMS")))</f>
        <v/>
      </c>
      <c r="Y291" s="37" t="n"/>
      <c r="Z291" s="10">
        <f>IF(Y291="","",HYPERLINK(IF(LEFT(Y291,4)="http",Y291,set_QwilrBase&amp;Y291),"Open quote"))</f>
        <v/>
      </c>
      <c r="AA291" s="10">
        <f>IF(C291="","",C291)</f>
        <v/>
      </c>
      <c r="AB291" s="37" t="n"/>
      <c r="AC291" s="39" t="n"/>
      <c r="AD291" s="11">
        <f>IF(C291="","",N(L291)+N(AC291))</f>
        <v/>
      </c>
      <c r="AE291" s="43">
        <f>IFERROR(IF(N(AC291)=0,"",AC291/AD291),"")</f>
        <v/>
      </c>
      <c r="AF291" s="39" t="n"/>
      <c r="AG291" s="39" t="n"/>
      <c r="AH291" s="39" t="n"/>
      <c r="AI291" s="39" t="n"/>
      <c r="AJ291" s="11">
        <f>IF(C291="","",IF(H291="VIDEO",N(L291),0))</f>
        <v/>
      </c>
      <c r="AK291" s="43">
        <f>IFERROR(IF(N(L291)=0,"",AJ291/L291),"")</f>
        <v/>
      </c>
      <c r="AL291" s="11">
        <f>IF(C291="","",N(AF291)+N(AG291)+N(AH291)+N(AI291))</f>
        <v/>
      </c>
      <c r="AM291" s="11">
        <f>IF(C291="","",MAX(N(L291),N(O291))-N(AL291))</f>
        <v/>
      </c>
      <c r="AN291" s="43">
        <f>IFERROR(IF(MAX(N(L291),N(O291))=0,"",AM291/MAX(N(L291),N(O291))),"")</f>
        <v/>
      </c>
      <c r="AO291" s="41" t="n"/>
      <c r="AP291" s="41" t="n"/>
      <c r="AQ291" s="41" t="n"/>
      <c r="AR291" s="41" t="n"/>
      <c r="AS291" s="41" t="n"/>
      <c r="AT291" s="37" t="n"/>
      <c r="AU291" s="10" t="inlineStr">
        <is>
          <t>PRD-0287</t>
        </is>
      </c>
    </row>
    <row r="292">
      <c r="A292" s="16">
        <f>IF($C292="","",IFERROR(IF(INDEX(tbl_Finance[Latest Invoice Date],MATCH($AU292,tbl_Finance[Row ID],0))="","",INDEX(tbl_Finance[Latest Invoice Date],MATCH($AU292,tbl_Finance[Row ID],0))),""))</f>
        <v/>
      </c>
      <c r="B292" s="10">
        <f>IF($C292="","",IFERROR(INDEX(tbl_Finance[Invoice Numbers],MATCH($AU292,tbl_Finance[Row ID],0))&amp;"",""))</f>
        <v/>
      </c>
      <c r="C292" s="37" t="n"/>
      <c r="D292" s="10">
        <f>IF($C292="","",IF(COUNTIF(lst_Jobs,$C292&amp;"")&gt;0,"OK","CHECK"))</f>
        <v/>
      </c>
      <c r="E292" s="10">
        <f>IF($C292="","",IFERROR(INDEX(lst_JobName,MATCH($C292&amp;"",lst_Jobs,0)),""))</f>
        <v/>
      </c>
      <c r="F292" s="37" t="n"/>
      <c r="G292" s="37" t="n"/>
      <c r="H292" s="37" t="n"/>
      <c r="I292" s="37" t="n"/>
      <c r="J292" s="37" t="n"/>
      <c r="K292" s="38">
        <f>IF($C292="","",IFERROR(N(INDEX(tbl_Finance[Invoice Count],MATCH($AU292,tbl_Finance[Row ID],0))),""))</f>
        <v/>
      </c>
      <c r="L292" s="11">
        <f>IF($C292="","",IFERROR(N(INDEX(tbl_Finance[Xero Invoiced Ex GST],MATCH($AU292,tbl_Finance[Row ID],0))),""))</f>
        <v/>
      </c>
      <c r="M292" s="10">
        <f>IF($C292="","",IFERROR(INDEX(tbl_Finance[Compare],MATCH($AU292,tbl_Finance[Row ID],0))&amp;"",""))</f>
        <v/>
      </c>
      <c r="N292" s="11">
        <f>IF($C292="","",MAX(0,N(O292)-N(L292)))</f>
        <v/>
      </c>
      <c r="O292" s="39" t="n"/>
      <c r="P292" s="40">
        <f>IF($C292="","",IF((IF(F292="",", Client","")&amp;IF(G292="",", Description","")&amp;IF(H292="",", Cost Centre","")&amp;IF(I292="",", Invoice Type","")&amp;IF(J292="",", Tax Code","")&amp;IF(O292="",", Expected Revenue","")&amp;IF(COUNTIF(tbl_Finance[Job Number],$C292&amp;"")&gt;1,", Job number used twice",""))="","Complete","Fix: "&amp;MID(IF(F292="",", Client","")&amp;IF(G292="",", Description","")&amp;IF(H292="",", Cost Centre","")&amp;IF(I292="",", Invoice Type","")&amp;IF(J292="",", Tax Code","")&amp;IF(O292="",", Expected Revenue","")&amp;IF(COUNTIF(tbl_Finance[Job Number],$C292&amp;"")&gt;1,", Job number used twice",""),3,300)))</f>
        <v/>
      </c>
      <c r="Q292" s="10">
        <f>IF($C292="","",IF(H292="","(no cost centre)",H292&amp;" - GL "&amp;IFERROR(INDEX(lst_CCtoGL,MATCH(H292,lst_CCforGL,0)),"?")))</f>
        <v/>
      </c>
      <c r="R292" s="11">
        <f>IF($C292="","",IFERROR(N(INDEX(tbl_Finance[Inc GST],MATCH($AU292,tbl_Finance[Row ID],0))),""))</f>
        <v/>
      </c>
      <c r="S292" s="37" t="n"/>
      <c r="T292" s="37" t="n"/>
      <c r="U292" s="37" t="n"/>
      <c r="V292" s="42" t="n"/>
      <c r="W292" s="37" t="n"/>
      <c r="X292" s="10">
        <f>IF(W292="","",IF(AND(LEFT(W292,4)&lt;&gt;"http",set_RMSBase=""),"",HYPERLINK(IF(LEFT(W292,4)="http",W292,set_RMSBase&amp;W292),"Open in RMS")))</f>
        <v/>
      </c>
      <c r="Y292" s="37" t="n"/>
      <c r="Z292" s="10">
        <f>IF(Y292="","",HYPERLINK(IF(LEFT(Y292,4)="http",Y292,set_QwilrBase&amp;Y292),"Open quote"))</f>
        <v/>
      </c>
      <c r="AA292" s="10">
        <f>IF(C292="","",C292)</f>
        <v/>
      </c>
      <c r="AB292" s="37" t="n"/>
      <c r="AC292" s="39" t="n"/>
      <c r="AD292" s="11">
        <f>IF(C292="","",N(L292)+N(AC292))</f>
        <v/>
      </c>
      <c r="AE292" s="43">
        <f>IFERROR(IF(N(AC292)=0,"",AC292/AD292),"")</f>
        <v/>
      </c>
      <c r="AF292" s="39" t="n"/>
      <c r="AG292" s="39" t="n"/>
      <c r="AH292" s="39" t="n"/>
      <c r="AI292" s="39" t="n"/>
      <c r="AJ292" s="11">
        <f>IF(C292="","",IF(H292="VIDEO",N(L292),0))</f>
        <v/>
      </c>
      <c r="AK292" s="43">
        <f>IFERROR(IF(N(L292)=0,"",AJ292/L292),"")</f>
        <v/>
      </c>
      <c r="AL292" s="11">
        <f>IF(C292="","",N(AF292)+N(AG292)+N(AH292)+N(AI292))</f>
        <v/>
      </c>
      <c r="AM292" s="11">
        <f>IF(C292="","",MAX(N(L292),N(O292))-N(AL292))</f>
        <v/>
      </c>
      <c r="AN292" s="43">
        <f>IFERROR(IF(MAX(N(L292),N(O292))=0,"",AM292/MAX(N(L292),N(O292))),"")</f>
        <v/>
      </c>
      <c r="AO292" s="41" t="n"/>
      <c r="AP292" s="41" t="n"/>
      <c r="AQ292" s="41" t="n"/>
      <c r="AR292" s="41" t="n"/>
      <c r="AS292" s="41" t="n"/>
      <c r="AT292" s="37" t="n"/>
      <c r="AU292" s="10" t="inlineStr">
        <is>
          <t>PRD-0288</t>
        </is>
      </c>
    </row>
    <row r="293">
      <c r="A293" s="16">
        <f>IF($C293="","",IFERROR(IF(INDEX(tbl_Finance[Latest Invoice Date],MATCH($AU293,tbl_Finance[Row ID],0))="","",INDEX(tbl_Finance[Latest Invoice Date],MATCH($AU293,tbl_Finance[Row ID],0))),""))</f>
        <v/>
      </c>
      <c r="B293" s="10">
        <f>IF($C293="","",IFERROR(INDEX(tbl_Finance[Invoice Numbers],MATCH($AU293,tbl_Finance[Row ID],0))&amp;"",""))</f>
        <v/>
      </c>
      <c r="C293" s="37" t="n"/>
      <c r="D293" s="10">
        <f>IF($C293="","",IF(COUNTIF(lst_Jobs,$C293&amp;"")&gt;0,"OK","CHECK"))</f>
        <v/>
      </c>
      <c r="E293" s="10">
        <f>IF($C293="","",IFERROR(INDEX(lst_JobName,MATCH($C293&amp;"",lst_Jobs,0)),""))</f>
        <v/>
      </c>
      <c r="F293" s="37" t="n"/>
      <c r="G293" s="37" t="n"/>
      <c r="H293" s="37" t="n"/>
      <c r="I293" s="37" t="n"/>
      <c r="J293" s="37" t="n"/>
      <c r="K293" s="38">
        <f>IF($C293="","",IFERROR(N(INDEX(tbl_Finance[Invoice Count],MATCH($AU293,tbl_Finance[Row ID],0))),""))</f>
        <v/>
      </c>
      <c r="L293" s="11">
        <f>IF($C293="","",IFERROR(N(INDEX(tbl_Finance[Xero Invoiced Ex GST],MATCH($AU293,tbl_Finance[Row ID],0))),""))</f>
        <v/>
      </c>
      <c r="M293" s="10">
        <f>IF($C293="","",IFERROR(INDEX(tbl_Finance[Compare],MATCH($AU293,tbl_Finance[Row ID],0))&amp;"",""))</f>
        <v/>
      </c>
      <c r="N293" s="11">
        <f>IF($C293="","",MAX(0,N(O293)-N(L293)))</f>
        <v/>
      </c>
      <c r="O293" s="39" t="n"/>
      <c r="P293" s="40">
        <f>IF($C293="","",IF((IF(F293="",", Client","")&amp;IF(G293="",", Description","")&amp;IF(H293="",", Cost Centre","")&amp;IF(I293="",", Invoice Type","")&amp;IF(J293="",", Tax Code","")&amp;IF(O293="",", Expected Revenue","")&amp;IF(COUNTIF(tbl_Finance[Job Number],$C293&amp;"")&gt;1,", Job number used twice",""))="","Complete","Fix: "&amp;MID(IF(F293="",", Client","")&amp;IF(G293="",", Description","")&amp;IF(H293="",", Cost Centre","")&amp;IF(I293="",", Invoice Type","")&amp;IF(J293="",", Tax Code","")&amp;IF(O293="",", Expected Revenue","")&amp;IF(COUNTIF(tbl_Finance[Job Number],$C293&amp;"")&gt;1,", Job number used twice",""),3,300)))</f>
        <v/>
      </c>
      <c r="Q293" s="10">
        <f>IF($C293="","",IF(H293="","(no cost centre)",H293&amp;" - GL "&amp;IFERROR(INDEX(lst_CCtoGL,MATCH(H293,lst_CCforGL,0)),"?")))</f>
        <v/>
      </c>
      <c r="R293" s="11">
        <f>IF($C293="","",IFERROR(N(INDEX(tbl_Finance[Inc GST],MATCH($AU293,tbl_Finance[Row ID],0))),""))</f>
        <v/>
      </c>
      <c r="S293" s="37" t="n"/>
      <c r="T293" s="37" t="n"/>
      <c r="U293" s="37" t="n"/>
      <c r="V293" s="42" t="n"/>
      <c r="W293" s="37" t="n"/>
      <c r="X293" s="10">
        <f>IF(W293="","",IF(AND(LEFT(W293,4)&lt;&gt;"http",set_RMSBase=""),"",HYPERLINK(IF(LEFT(W293,4)="http",W293,set_RMSBase&amp;W293),"Open in RMS")))</f>
        <v/>
      </c>
      <c r="Y293" s="37" t="n"/>
      <c r="Z293" s="10">
        <f>IF(Y293="","",HYPERLINK(IF(LEFT(Y293,4)="http",Y293,set_QwilrBase&amp;Y293),"Open quote"))</f>
        <v/>
      </c>
      <c r="AA293" s="10">
        <f>IF(C293="","",C293)</f>
        <v/>
      </c>
      <c r="AB293" s="37" t="n"/>
      <c r="AC293" s="39" t="n"/>
      <c r="AD293" s="11">
        <f>IF(C293="","",N(L293)+N(AC293))</f>
        <v/>
      </c>
      <c r="AE293" s="43">
        <f>IFERROR(IF(N(AC293)=0,"",AC293/AD293),"")</f>
        <v/>
      </c>
      <c r="AF293" s="39" t="n"/>
      <c r="AG293" s="39" t="n"/>
      <c r="AH293" s="39" t="n"/>
      <c r="AI293" s="39" t="n"/>
      <c r="AJ293" s="11">
        <f>IF(C293="","",IF(H293="VIDEO",N(L293),0))</f>
        <v/>
      </c>
      <c r="AK293" s="43">
        <f>IFERROR(IF(N(L293)=0,"",AJ293/L293),"")</f>
        <v/>
      </c>
      <c r="AL293" s="11">
        <f>IF(C293="","",N(AF293)+N(AG293)+N(AH293)+N(AI293))</f>
        <v/>
      </c>
      <c r="AM293" s="11">
        <f>IF(C293="","",MAX(N(L293),N(O293))-N(AL293))</f>
        <v/>
      </c>
      <c r="AN293" s="43">
        <f>IFERROR(IF(MAX(N(L293),N(O293))=0,"",AM293/MAX(N(L293),N(O293))),"")</f>
        <v/>
      </c>
      <c r="AO293" s="41" t="n"/>
      <c r="AP293" s="41" t="n"/>
      <c r="AQ293" s="41" t="n"/>
      <c r="AR293" s="41" t="n"/>
      <c r="AS293" s="41" t="n"/>
      <c r="AT293" s="37" t="n"/>
      <c r="AU293" s="10" t="inlineStr">
        <is>
          <t>PRD-0289</t>
        </is>
      </c>
    </row>
    <row r="294">
      <c r="A294" s="16">
        <f>IF($C294="","",IFERROR(IF(INDEX(tbl_Finance[Latest Invoice Date],MATCH($AU294,tbl_Finance[Row ID],0))="","",INDEX(tbl_Finance[Latest Invoice Date],MATCH($AU294,tbl_Finance[Row ID],0))),""))</f>
        <v/>
      </c>
      <c r="B294" s="10">
        <f>IF($C294="","",IFERROR(INDEX(tbl_Finance[Invoice Numbers],MATCH($AU294,tbl_Finance[Row ID],0))&amp;"",""))</f>
        <v/>
      </c>
      <c r="C294" s="37" t="n"/>
      <c r="D294" s="10">
        <f>IF($C294="","",IF(COUNTIF(lst_Jobs,$C294&amp;"")&gt;0,"OK","CHECK"))</f>
        <v/>
      </c>
      <c r="E294" s="10">
        <f>IF($C294="","",IFERROR(INDEX(lst_JobName,MATCH($C294&amp;"",lst_Jobs,0)),""))</f>
        <v/>
      </c>
      <c r="F294" s="37" t="n"/>
      <c r="G294" s="37" t="n"/>
      <c r="H294" s="37" t="n"/>
      <c r="I294" s="37" t="n"/>
      <c r="J294" s="37" t="n"/>
      <c r="K294" s="38">
        <f>IF($C294="","",IFERROR(N(INDEX(tbl_Finance[Invoice Count],MATCH($AU294,tbl_Finance[Row ID],0))),""))</f>
        <v/>
      </c>
      <c r="L294" s="11">
        <f>IF($C294="","",IFERROR(N(INDEX(tbl_Finance[Xero Invoiced Ex GST],MATCH($AU294,tbl_Finance[Row ID],0))),""))</f>
        <v/>
      </c>
      <c r="M294" s="10">
        <f>IF($C294="","",IFERROR(INDEX(tbl_Finance[Compare],MATCH($AU294,tbl_Finance[Row ID],0))&amp;"",""))</f>
        <v/>
      </c>
      <c r="N294" s="11">
        <f>IF($C294="","",MAX(0,N(O294)-N(L294)))</f>
        <v/>
      </c>
      <c r="O294" s="39" t="n"/>
      <c r="P294" s="40">
        <f>IF($C294="","",IF((IF(F294="",", Client","")&amp;IF(G294="",", Description","")&amp;IF(H294="",", Cost Centre","")&amp;IF(I294="",", Invoice Type","")&amp;IF(J294="",", Tax Code","")&amp;IF(O294="",", Expected Revenue","")&amp;IF(COUNTIF(tbl_Finance[Job Number],$C294&amp;"")&gt;1,", Job number used twice",""))="","Complete","Fix: "&amp;MID(IF(F294="",", Client","")&amp;IF(G294="",", Description","")&amp;IF(H294="",", Cost Centre","")&amp;IF(I294="",", Invoice Type","")&amp;IF(J294="",", Tax Code","")&amp;IF(O294="",", Expected Revenue","")&amp;IF(COUNTIF(tbl_Finance[Job Number],$C294&amp;"")&gt;1,", Job number used twice",""),3,300)))</f>
        <v/>
      </c>
      <c r="Q294" s="10">
        <f>IF($C294="","",IF(H294="","(no cost centre)",H294&amp;" - GL "&amp;IFERROR(INDEX(lst_CCtoGL,MATCH(H294,lst_CCforGL,0)),"?")))</f>
        <v/>
      </c>
      <c r="R294" s="11">
        <f>IF($C294="","",IFERROR(N(INDEX(tbl_Finance[Inc GST],MATCH($AU294,tbl_Finance[Row ID],0))),""))</f>
        <v/>
      </c>
      <c r="S294" s="37" t="n"/>
      <c r="T294" s="37" t="n"/>
      <c r="U294" s="37" t="n"/>
      <c r="V294" s="42" t="n"/>
      <c r="W294" s="37" t="n"/>
      <c r="X294" s="10">
        <f>IF(W294="","",IF(AND(LEFT(W294,4)&lt;&gt;"http",set_RMSBase=""),"",HYPERLINK(IF(LEFT(W294,4)="http",W294,set_RMSBase&amp;W294),"Open in RMS")))</f>
        <v/>
      </c>
      <c r="Y294" s="37" t="n"/>
      <c r="Z294" s="10">
        <f>IF(Y294="","",HYPERLINK(IF(LEFT(Y294,4)="http",Y294,set_QwilrBase&amp;Y294),"Open quote"))</f>
        <v/>
      </c>
      <c r="AA294" s="10">
        <f>IF(C294="","",C294)</f>
        <v/>
      </c>
      <c r="AB294" s="37" t="n"/>
      <c r="AC294" s="39" t="n"/>
      <c r="AD294" s="11">
        <f>IF(C294="","",N(L294)+N(AC294))</f>
        <v/>
      </c>
      <c r="AE294" s="43">
        <f>IFERROR(IF(N(AC294)=0,"",AC294/AD294),"")</f>
        <v/>
      </c>
      <c r="AF294" s="39" t="n"/>
      <c r="AG294" s="39" t="n"/>
      <c r="AH294" s="39" t="n"/>
      <c r="AI294" s="39" t="n"/>
      <c r="AJ294" s="11">
        <f>IF(C294="","",IF(H294="VIDEO",N(L294),0))</f>
        <v/>
      </c>
      <c r="AK294" s="43">
        <f>IFERROR(IF(N(L294)=0,"",AJ294/L294),"")</f>
        <v/>
      </c>
      <c r="AL294" s="11">
        <f>IF(C294="","",N(AF294)+N(AG294)+N(AH294)+N(AI294))</f>
        <v/>
      </c>
      <c r="AM294" s="11">
        <f>IF(C294="","",MAX(N(L294),N(O294))-N(AL294))</f>
        <v/>
      </c>
      <c r="AN294" s="43">
        <f>IFERROR(IF(MAX(N(L294),N(O294))=0,"",AM294/MAX(N(L294),N(O294))),"")</f>
        <v/>
      </c>
      <c r="AO294" s="41" t="n"/>
      <c r="AP294" s="41" t="n"/>
      <c r="AQ294" s="41" t="n"/>
      <c r="AR294" s="41" t="n"/>
      <c r="AS294" s="41" t="n"/>
      <c r="AT294" s="37" t="n"/>
      <c r="AU294" s="10" t="inlineStr">
        <is>
          <t>PRD-0290</t>
        </is>
      </c>
    </row>
    <row r="295">
      <c r="A295" s="16">
        <f>IF($C295="","",IFERROR(IF(INDEX(tbl_Finance[Latest Invoice Date],MATCH($AU295,tbl_Finance[Row ID],0))="","",INDEX(tbl_Finance[Latest Invoice Date],MATCH($AU295,tbl_Finance[Row ID],0))),""))</f>
        <v/>
      </c>
      <c r="B295" s="10">
        <f>IF($C295="","",IFERROR(INDEX(tbl_Finance[Invoice Numbers],MATCH($AU295,tbl_Finance[Row ID],0))&amp;"",""))</f>
        <v/>
      </c>
      <c r="C295" s="37" t="n"/>
      <c r="D295" s="10">
        <f>IF($C295="","",IF(COUNTIF(lst_Jobs,$C295&amp;"")&gt;0,"OK","CHECK"))</f>
        <v/>
      </c>
      <c r="E295" s="10">
        <f>IF($C295="","",IFERROR(INDEX(lst_JobName,MATCH($C295&amp;"",lst_Jobs,0)),""))</f>
        <v/>
      </c>
      <c r="F295" s="37" t="n"/>
      <c r="G295" s="37" t="n"/>
      <c r="H295" s="37" t="n"/>
      <c r="I295" s="37" t="n"/>
      <c r="J295" s="37" t="n"/>
      <c r="K295" s="38">
        <f>IF($C295="","",IFERROR(N(INDEX(tbl_Finance[Invoice Count],MATCH($AU295,tbl_Finance[Row ID],0))),""))</f>
        <v/>
      </c>
      <c r="L295" s="11">
        <f>IF($C295="","",IFERROR(N(INDEX(tbl_Finance[Xero Invoiced Ex GST],MATCH($AU295,tbl_Finance[Row ID],0))),""))</f>
        <v/>
      </c>
      <c r="M295" s="10">
        <f>IF($C295="","",IFERROR(INDEX(tbl_Finance[Compare],MATCH($AU295,tbl_Finance[Row ID],0))&amp;"",""))</f>
        <v/>
      </c>
      <c r="N295" s="11">
        <f>IF($C295="","",MAX(0,N(O295)-N(L295)))</f>
        <v/>
      </c>
      <c r="O295" s="39" t="n"/>
      <c r="P295" s="40">
        <f>IF($C295="","",IF((IF(F295="",", Client","")&amp;IF(G295="",", Description","")&amp;IF(H295="",", Cost Centre","")&amp;IF(I295="",", Invoice Type","")&amp;IF(J295="",", Tax Code","")&amp;IF(O295="",", Expected Revenue","")&amp;IF(COUNTIF(tbl_Finance[Job Number],$C295&amp;"")&gt;1,", Job number used twice",""))="","Complete","Fix: "&amp;MID(IF(F295="",", Client","")&amp;IF(G295="",", Description","")&amp;IF(H295="",", Cost Centre","")&amp;IF(I295="",", Invoice Type","")&amp;IF(J295="",", Tax Code","")&amp;IF(O295="",", Expected Revenue","")&amp;IF(COUNTIF(tbl_Finance[Job Number],$C295&amp;"")&gt;1,", Job number used twice",""),3,300)))</f>
        <v/>
      </c>
      <c r="Q295" s="10">
        <f>IF($C295="","",IF(H295="","(no cost centre)",H295&amp;" - GL "&amp;IFERROR(INDEX(lst_CCtoGL,MATCH(H295,lst_CCforGL,0)),"?")))</f>
        <v/>
      </c>
      <c r="R295" s="11">
        <f>IF($C295="","",IFERROR(N(INDEX(tbl_Finance[Inc GST],MATCH($AU295,tbl_Finance[Row ID],0))),""))</f>
        <v/>
      </c>
      <c r="S295" s="37" t="n"/>
      <c r="T295" s="37" t="n"/>
      <c r="U295" s="37" t="n"/>
      <c r="V295" s="42" t="n"/>
      <c r="W295" s="37" t="n"/>
      <c r="X295" s="10">
        <f>IF(W295="","",IF(AND(LEFT(W295,4)&lt;&gt;"http",set_RMSBase=""),"",HYPERLINK(IF(LEFT(W295,4)="http",W295,set_RMSBase&amp;W295),"Open in RMS")))</f>
        <v/>
      </c>
      <c r="Y295" s="37" t="n"/>
      <c r="Z295" s="10">
        <f>IF(Y295="","",HYPERLINK(IF(LEFT(Y295,4)="http",Y295,set_QwilrBase&amp;Y295),"Open quote"))</f>
        <v/>
      </c>
      <c r="AA295" s="10">
        <f>IF(C295="","",C295)</f>
        <v/>
      </c>
      <c r="AB295" s="37" t="n"/>
      <c r="AC295" s="39" t="n"/>
      <c r="AD295" s="11">
        <f>IF(C295="","",N(L295)+N(AC295))</f>
        <v/>
      </c>
      <c r="AE295" s="43">
        <f>IFERROR(IF(N(AC295)=0,"",AC295/AD295),"")</f>
        <v/>
      </c>
      <c r="AF295" s="39" t="n"/>
      <c r="AG295" s="39" t="n"/>
      <c r="AH295" s="39" t="n"/>
      <c r="AI295" s="39" t="n"/>
      <c r="AJ295" s="11">
        <f>IF(C295="","",IF(H295="VIDEO",N(L295),0))</f>
        <v/>
      </c>
      <c r="AK295" s="43">
        <f>IFERROR(IF(N(L295)=0,"",AJ295/L295),"")</f>
        <v/>
      </c>
      <c r="AL295" s="11">
        <f>IF(C295="","",N(AF295)+N(AG295)+N(AH295)+N(AI295))</f>
        <v/>
      </c>
      <c r="AM295" s="11">
        <f>IF(C295="","",MAX(N(L295),N(O295))-N(AL295))</f>
        <v/>
      </c>
      <c r="AN295" s="43">
        <f>IFERROR(IF(MAX(N(L295),N(O295))=0,"",AM295/MAX(N(L295),N(O295))),"")</f>
        <v/>
      </c>
      <c r="AO295" s="41" t="n"/>
      <c r="AP295" s="41" t="n"/>
      <c r="AQ295" s="41" t="n"/>
      <c r="AR295" s="41" t="n"/>
      <c r="AS295" s="41" t="n"/>
      <c r="AT295" s="37" t="n"/>
      <c r="AU295" s="10" t="inlineStr">
        <is>
          <t>PRD-0291</t>
        </is>
      </c>
    </row>
    <row r="296">
      <c r="A296" s="16">
        <f>IF($C296="","",IFERROR(IF(INDEX(tbl_Finance[Latest Invoice Date],MATCH($AU296,tbl_Finance[Row ID],0))="","",INDEX(tbl_Finance[Latest Invoice Date],MATCH($AU296,tbl_Finance[Row ID],0))),""))</f>
        <v/>
      </c>
      <c r="B296" s="10">
        <f>IF($C296="","",IFERROR(INDEX(tbl_Finance[Invoice Numbers],MATCH($AU296,tbl_Finance[Row ID],0))&amp;"",""))</f>
        <v/>
      </c>
      <c r="C296" s="37" t="n"/>
      <c r="D296" s="10">
        <f>IF($C296="","",IF(COUNTIF(lst_Jobs,$C296&amp;"")&gt;0,"OK","CHECK"))</f>
        <v/>
      </c>
      <c r="E296" s="10">
        <f>IF($C296="","",IFERROR(INDEX(lst_JobName,MATCH($C296&amp;"",lst_Jobs,0)),""))</f>
        <v/>
      </c>
      <c r="F296" s="37" t="n"/>
      <c r="G296" s="37" t="n"/>
      <c r="H296" s="37" t="n"/>
      <c r="I296" s="37" t="n"/>
      <c r="J296" s="37" t="n"/>
      <c r="K296" s="38">
        <f>IF($C296="","",IFERROR(N(INDEX(tbl_Finance[Invoice Count],MATCH($AU296,tbl_Finance[Row ID],0))),""))</f>
        <v/>
      </c>
      <c r="L296" s="11">
        <f>IF($C296="","",IFERROR(N(INDEX(tbl_Finance[Xero Invoiced Ex GST],MATCH($AU296,tbl_Finance[Row ID],0))),""))</f>
        <v/>
      </c>
      <c r="M296" s="10">
        <f>IF($C296="","",IFERROR(INDEX(tbl_Finance[Compare],MATCH($AU296,tbl_Finance[Row ID],0))&amp;"",""))</f>
        <v/>
      </c>
      <c r="N296" s="11">
        <f>IF($C296="","",MAX(0,N(O296)-N(L296)))</f>
        <v/>
      </c>
      <c r="O296" s="39" t="n"/>
      <c r="P296" s="40">
        <f>IF($C296="","",IF((IF(F296="",", Client","")&amp;IF(G296="",", Description","")&amp;IF(H296="",", Cost Centre","")&amp;IF(I296="",", Invoice Type","")&amp;IF(J296="",", Tax Code","")&amp;IF(O296="",", Expected Revenue","")&amp;IF(COUNTIF(tbl_Finance[Job Number],$C296&amp;"")&gt;1,", Job number used twice",""))="","Complete","Fix: "&amp;MID(IF(F296="",", Client","")&amp;IF(G296="",", Description","")&amp;IF(H296="",", Cost Centre","")&amp;IF(I296="",", Invoice Type","")&amp;IF(J296="",", Tax Code","")&amp;IF(O296="",", Expected Revenue","")&amp;IF(COUNTIF(tbl_Finance[Job Number],$C296&amp;"")&gt;1,", Job number used twice",""),3,300)))</f>
        <v/>
      </c>
      <c r="Q296" s="10">
        <f>IF($C296="","",IF(H296="","(no cost centre)",H296&amp;" - GL "&amp;IFERROR(INDEX(lst_CCtoGL,MATCH(H296,lst_CCforGL,0)),"?")))</f>
        <v/>
      </c>
      <c r="R296" s="11">
        <f>IF($C296="","",IFERROR(N(INDEX(tbl_Finance[Inc GST],MATCH($AU296,tbl_Finance[Row ID],0))),""))</f>
        <v/>
      </c>
      <c r="S296" s="37" t="n"/>
      <c r="T296" s="37" t="n"/>
      <c r="U296" s="37" t="n"/>
      <c r="V296" s="42" t="n"/>
      <c r="W296" s="37" t="n"/>
      <c r="X296" s="10">
        <f>IF(W296="","",IF(AND(LEFT(W296,4)&lt;&gt;"http",set_RMSBase=""),"",HYPERLINK(IF(LEFT(W296,4)="http",W296,set_RMSBase&amp;W296),"Open in RMS")))</f>
        <v/>
      </c>
      <c r="Y296" s="37" t="n"/>
      <c r="Z296" s="10">
        <f>IF(Y296="","",HYPERLINK(IF(LEFT(Y296,4)="http",Y296,set_QwilrBase&amp;Y296),"Open quote"))</f>
        <v/>
      </c>
      <c r="AA296" s="10">
        <f>IF(C296="","",C296)</f>
        <v/>
      </c>
      <c r="AB296" s="37" t="n"/>
      <c r="AC296" s="39" t="n"/>
      <c r="AD296" s="11">
        <f>IF(C296="","",N(L296)+N(AC296))</f>
        <v/>
      </c>
      <c r="AE296" s="43">
        <f>IFERROR(IF(N(AC296)=0,"",AC296/AD296),"")</f>
        <v/>
      </c>
      <c r="AF296" s="39" t="n"/>
      <c r="AG296" s="39" t="n"/>
      <c r="AH296" s="39" t="n"/>
      <c r="AI296" s="39" t="n"/>
      <c r="AJ296" s="11">
        <f>IF(C296="","",IF(H296="VIDEO",N(L296),0))</f>
        <v/>
      </c>
      <c r="AK296" s="43">
        <f>IFERROR(IF(N(L296)=0,"",AJ296/L296),"")</f>
        <v/>
      </c>
      <c r="AL296" s="11">
        <f>IF(C296="","",N(AF296)+N(AG296)+N(AH296)+N(AI296))</f>
        <v/>
      </c>
      <c r="AM296" s="11">
        <f>IF(C296="","",MAX(N(L296),N(O296))-N(AL296))</f>
        <v/>
      </c>
      <c r="AN296" s="43">
        <f>IFERROR(IF(MAX(N(L296),N(O296))=0,"",AM296/MAX(N(L296),N(O296))),"")</f>
        <v/>
      </c>
      <c r="AO296" s="41" t="n"/>
      <c r="AP296" s="41" t="n"/>
      <c r="AQ296" s="41" t="n"/>
      <c r="AR296" s="41" t="n"/>
      <c r="AS296" s="41" t="n"/>
      <c r="AT296" s="37" t="n"/>
      <c r="AU296" s="10" t="inlineStr">
        <is>
          <t>PRD-0292</t>
        </is>
      </c>
    </row>
    <row r="297">
      <c r="A297" s="16">
        <f>IF($C297="","",IFERROR(IF(INDEX(tbl_Finance[Latest Invoice Date],MATCH($AU297,tbl_Finance[Row ID],0))="","",INDEX(tbl_Finance[Latest Invoice Date],MATCH($AU297,tbl_Finance[Row ID],0))),""))</f>
        <v/>
      </c>
      <c r="B297" s="10">
        <f>IF($C297="","",IFERROR(INDEX(tbl_Finance[Invoice Numbers],MATCH($AU297,tbl_Finance[Row ID],0))&amp;"",""))</f>
        <v/>
      </c>
      <c r="C297" s="37" t="n"/>
      <c r="D297" s="10">
        <f>IF($C297="","",IF(COUNTIF(lst_Jobs,$C297&amp;"")&gt;0,"OK","CHECK"))</f>
        <v/>
      </c>
      <c r="E297" s="10">
        <f>IF($C297="","",IFERROR(INDEX(lst_JobName,MATCH($C297&amp;"",lst_Jobs,0)),""))</f>
        <v/>
      </c>
      <c r="F297" s="37" t="n"/>
      <c r="G297" s="37" t="n"/>
      <c r="H297" s="37" t="n"/>
      <c r="I297" s="37" t="n"/>
      <c r="J297" s="37" t="n"/>
      <c r="K297" s="38">
        <f>IF($C297="","",IFERROR(N(INDEX(tbl_Finance[Invoice Count],MATCH($AU297,tbl_Finance[Row ID],0))),""))</f>
        <v/>
      </c>
      <c r="L297" s="11">
        <f>IF($C297="","",IFERROR(N(INDEX(tbl_Finance[Xero Invoiced Ex GST],MATCH($AU297,tbl_Finance[Row ID],0))),""))</f>
        <v/>
      </c>
      <c r="M297" s="10">
        <f>IF($C297="","",IFERROR(INDEX(tbl_Finance[Compare],MATCH($AU297,tbl_Finance[Row ID],0))&amp;"",""))</f>
        <v/>
      </c>
      <c r="N297" s="11">
        <f>IF($C297="","",MAX(0,N(O297)-N(L297)))</f>
        <v/>
      </c>
      <c r="O297" s="39" t="n"/>
      <c r="P297" s="40">
        <f>IF($C297="","",IF((IF(F297="",", Client","")&amp;IF(G297="",", Description","")&amp;IF(H297="",", Cost Centre","")&amp;IF(I297="",", Invoice Type","")&amp;IF(J297="",", Tax Code","")&amp;IF(O297="",", Expected Revenue","")&amp;IF(COUNTIF(tbl_Finance[Job Number],$C297&amp;"")&gt;1,", Job number used twice",""))="","Complete","Fix: "&amp;MID(IF(F297="",", Client","")&amp;IF(G297="",", Description","")&amp;IF(H297="",", Cost Centre","")&amp;IF(I297="",", Invoice Type","")&amp;IF(J297="",", Tax Code","")&amp;IF(O297="",", Expected Revenue","")&amp;IF(COUNTIF(tbl_Finance[Job Number],$C297&amp;"")&gt;1,", Job number used twice",""),3,300)))</f>
        <v/>
      </c>
      <c r="Q297" s="10">
        <f>IF($C297="","",IF(H297="","(no cost centre)",H297&amp;" - GL "&amp;IFERROR(INDEX(lst_CCtoGL,MATCH(H297,lst_CCforGL,0)),"?")))</f>
        <v/>
      </c>
      <c r="R297" s="11">
        <f>IF($C297="","",IFERROR(N(INDEX(tbl_Finance[Inc GST],MATCH($AU297,tbl_Finance[Row ID],0))),""))</f>
        <v/>
      </c>
      <c r="S297" s="37" t="n"/>
      <c r="T297" s="37" t="n"/>
      <c r="U297" s="37" t="n"/>
      <c r="V297" s="42" t="n"/>
      <c r="W297" s="37" t="n"/>
      <c r="X297" s="10">
        <f>IF(W297="","",IF(AND(LEFT(W297,4)&lt;&gt;"http",set_RMSBase=""),"",HYPERLINK(IF(LEFT(W297,4)="http",W297,set_RMSBase&amp;W297),"Open in RMS")))</f>
        <v/>
      </c>
      <c r="Y297" s="37" t="n"/>
      <c r="Z297" s="10">
        <f>IF(Y297="","",HYPERLINK(IF(LEFT(Y297,4)="http",Y297,set_QwilrBase&amp;Y297),"Open quote"))</f>
        <v/>
      </c>
      <c r="AA297" s="10">
        <f>IF(C297="","",C297)</f>
        <v/>
      </c>
      <c r="AB297" s="37" t="n"/>
      <c r="AC297" s="39" t="n"/>
      <c r="AD297" s="11">
        <f>IF(C297="","",N(L297)+N(AC297))</f>
        <v/>
      </c>
      <c r="AE297" s="43">
        <f>IFERROR(IF(N(AC297)=0,"",AC297/AD297),"")</f>
        <v/>
      </c>
      <c r="AF297" s="39" t="n"/>
      <c r="AG297" s="39" t="n"/>
      <c r="AH297" s="39" t="n"/>
      <c r="AI297" s="39" t="n"/>
      <c r="AJ297" s="11">
        <f>IF(C297="","",IF(H297="VIDEO",N(L297),0))</f>
        <v/>
      </c>
      <c r="AK297" s="43">
        <f>IFERROR(IF(N(L297)=0,"",AJ297/L297),"")</f>
        <v/>
      </c>
      <c r="AL297" s="11">
        <f>IF(C297="","",N(AF297)+N(AG297)+N(AH297)+N(AI297))</f>
        <v/>
      </c>
      <c r="AM297" s="11">
        <f>IF(C297="","",MAX(N(L297),N(O297))-N(AL297))</f>
        <v/>
      </c>
      <c r="AN297" s="43">
        <f>IFERROR(IF(MAX(N(L297),N(O297))=0,"",AM297/MAX(N(L297),N(O297))),"")</f>
        <v/>
      </c>
      <c r="AO297" s="41" t="n"/>
      <c r="AP297" s="41" t="n"/>
      <c r="AQ297" s="41" t="n"/>
      <c r="AR297" s="41" t="n"/>
      <c r="AS297" s="41" t="n"/>
      <c r="AT297" s="37" t="n"/>
      <c r="AU297" s="10" t="inlineStr">
        <is>
          <t>PRD-0293</t>
        </is>
      </c>
    </row>
    <row r="298">
      <c r="A298" s="16">
        <f>IF($C298="","",IFERROR(IF(INDEX(tbl_Finance[Latest Invoice Date],MATCH($AU298,tbl_Finance[Row ID],0))="","",INDEX(tbl_Finance[Latest Invoice Date],MATCH($AU298,tbl_Finance[Row ID],0))),""))</f>
        <v/>
      </c>
      <c r="B298" s="10">
        <f>IF($C298="","",IFERROR(INDEX(tbl_Finance[Invoice Numbers],MATCH($AU298,tbl_Finance[Row ID],0))&amp;"",""))</f>
        <v/>
      </c>
      <c r="C298" s="37" t="n"/>
      <c r="D298" s="10">
        <f>IF($C298="","",IF(COUNTIF(lst_Jobs,$C298&amp;"")&gt;0,"OK","CHECK"))</f>
        <v/>
      </c>
      <c r="E298" s="10">
        <f>IF($C298="","",IFERROR(INDEX(lst_JobName,MATCH($C298&amp;"",lst_Jobs,0)),""))</f>
        <v/>
      </c>
      <c r="F298" s="37" t="n"/>
      <c r="G298" s="37" t="n"/>
      <c r="H298" s="37" t="n"/>
      <c r="I298" s="37" t="n"/>
      <c r="J298" s="37" t="n"/>
      <c r="K298" s="38">
        <f>IF($C298="","",IFERROR(N(INDEX(tbl_Finance[Invoice Count],MATCH($AU298,tbl_Finance[Row ID],0))),""))</f>
        <v/>
      </c>
      <c r="L298" s="11">
        <f>IF($C298="","",IFERROR(N(INDEX(tbl_Finance[Xero Invoiced Ex GST],MATCH($AU298,tbl_Finance[Row ID],0))),""))</f>
        <v/>
      </c>
      <c r="M298" s="10">
        <f>IF($C298="","",IFERROR(INDEX(tbl_Finance[Compare],MATCH($AU298,tbl_Finance[Row ID],0))&amp;"",""))</f>
        <v/>
      </c>
      <c r="N298" s="11">
        <f>IF($C298="","",MAX(0,N(O298)-N(L298)))</f>
        <v/>
      </c>
      <c r="O298" s="39" t="n"/>
      <c r="P298" s="40">
        <f>IF($C298="","",IF((IF(F298="",", Client","")&amp;IF(G298="",", Description","")&amp;IF(H298="",", Cost Centre","")&amp;IF(I298="",", Invoice Type","")&amp;IF(J298="",", Tax Code","")&amp;IF(O298="",", Expected Revenue","")&amp;IF(COUNTIF(tbl_Finance[Job Number],$C298&amp;"")&gt;1,", Job number used twice",""))="","Complete","Fix: "&amp;MID(IF(F298="",", Client","")&amp;IF(G298="",", Description","")&amp;IF(H298="",", Cost Centre","")&amp;IF(I298="",", Invoice Type","")&amp;IF(J298="",", Tax Code","")&amp;IF(O298="",", Expected Revenue","")&amp;IF(COUNTIF(tbl_Finance[Job Number],$C298&amp;"")&gt;1,", Job number used twice",""),3,300)))</f>
        <v/>
      </c>
      <c r="Q298" s="10">
        <f>IF($C298="","",IF(H298="","(no cost centre)",H298&amp;" - GL "&amp;IFERROR(INDEX(lst_CCtoGL,MATCH(H298,lst_CCforGL,0)),"?")))</f>
        <v/>
      </c>
      <c r="R298" s="11">
        <f>IF($C298="","",IFERROR(N(INDEX(tbl_Finance[Inc GST],MATCH($AU298,tbl_Finance[Row ID],0))),""))</f>
        <v/>
      </c>
      <c r="S298" s="37" t="n"/>
      <c r="T298" s="37" t="n"/>
      <c r="U298" s="37" t="n"/>
      <c r="V298" s="42" t="n"/>
      <c r="W298" s="37" t="n"/>
      <c r="X298" s="10">
        <f>IF(W298="","",IF(AND(LEFT(W298,4)&lt;&gt;"http",set_RMSBase=""),"",HYPERLINK(IF(LEFT(W298,4)="http",W298,set_RMSBase&amp;W298),"Open in RMS")))</f>
        <v/>
      </c>
      <c r="Y298" s="37" t="n"/>
      <c r="Z298" s="10">
        <f>IF(Y298="","",HYPERLINK(IF(LEFT(Y298,4)="http",Y298,set_QwilrBase&amp;Y298),"Open quote"))</f>
        <v/>
      </c>
      <c r="AA298" s="10">
        <f>IF(C298="","",C298)</f>
        <v/>
      </c>
      <c r="AB298" s="37" t="n"/>
      <c r="AC298" s="39" t="n"/>
      <c r="AD298" s="11">
        <f>IF(C298="","",N(L298)+N(AC298))</f>
        <v/>
      </c>
      <c r="AE298" s="43">
        <f>IFERROR(IF(N(AC298)=0,"",AC298/AD298),"")</f>
        <v/>
      </c>
      <c r="AF298" s="39" t="n"/>
      <c r="AG298" s="39" t="n"/>
      <c r="AH298" s="39" t="n"/>
      <c r="AI298" s="39" t="n"/>
      <c r="AJ298" s="11">
        <f>IF(C298="","",IF(H298="VIDEO",N(L298),0))</f>
        <v/>
      </c>
      <c r="AK298" s="43">
        <f>IFERROR(IF(N(L298)=0,"",AJ298/L298),"")</f>
        <v/>
      </c>
      <c r="AL298" s="11">
        <f>IF(C298="","",N(AF298)+N(AG298)+N(AH298)+N(AI298))</f>
        <v/>
      </c>
      <c r="AM298" s="11">
        <f>IF(C298="","",MAX(N(L298),N(O298))-N(AL298))</f>
        <v/>
      </c>
      <c r="AN298" s="43">
        <f>IFERROR(IF(MAX(N(L298),N(O298))=0,"",AM298/MAX(N(L298),N(O298))),"")</f>
        <v/>
      </c>
      <c r="AO298" s="41" t="n"/>
      <c r="AP298" s="41" t="n"/>
      <c r="AQ298" s="41" t="n"/>
      <c r="AR298" s="41" t="n"/>
      <c r="AS298" s="41" t="n"/>
      <c r="AT298" s="37" t="n"/>
      <c r="AU298" s="10" t="inlineStr">
        <is>
          <t>PRD-0294</t>
        </is>
      </c>
    </row>
    <row r="299">
      <c r="A299" s="16">
        <f>IF($C299="","",IFERROR(IF(INDEX(tbl_Finance[Latest Invoice Date],MATCH($AU299,tbl_Finance[Row ID],0))="","",INDEX(tbl_Finance[Latest Invoice Date],MATCH($AU299,tbl_Finance[Row ID],0))),""))</f>
        <v/>
      </c>
      <c r="B299" s="10">
        <f>IF($C299="","",IFERROR(INDEX(tbl_Finance[Invoice Numbers],MATCH($AU299,tbl_Finance[Row ID],0))&amp;"",""))</f>
        <v/>
      </c>
      <c r="C299" s="37" t="n"/>
      <c r="D299" s="10">
        <f>IF($C299="","",IF(COUNTIF(lst_Jobs,$C299&amp;"")&gt;0,"OK","CHECK"))</f>
        <v/>
      </c>
      <c r="E299" s="10">
        <f>IF($C299="","",IFERROR(INDEX(lst_JobName,MATCH($C299&amp;"",lst_Jobs,0)),""))</f>
        <v/>
      </c>
      <c r="F299" s="37" t="n"/>
      <c r="G299" s="37" t="n"/>
      <c r="H299" s="37" t="n"/>
      <c r="I299" s="37" t="n"/>
      <c r="J299" s="37" t="n"/>
      <c r="K299" s="38">
        <f>IF($C299="","",IFERROR(N(INDEX(tbl_Finance[Invoice Count],MATCH($AU299,tbl_Finance[Row ID],0))),""))</f>
        <v/>
      </c>
      <c r="L299" s="11">
        <f>IF($C299="","",IFERROR(N(INDEX(tbl_Finance[Xero Invoiced Ex GST],MATCH($AU299,tbl_Finance[Row ID],0))),""))</f>
        <v/>
      </c>
      <c r="M299" s="10">
        <f>IF($C299="","",IFERROR(INDEX(tbl_Finance[Compare],MATCH($AU299,tbl_Finance[Row ID],0))&amp;"",""))</f>
        <v/>
      </c>
      <c r="N299" s="11">
        <f>IF($C299="","",MAX(0,N(O299)-N(L299)))</f>
        <v/>
      </c>
      <c r="O299" s="39" t="n"/>
      <c r="P299" s="40">
        <f>IF($C299="","",IF((IF(F299="",", Client","")&amp;IF(G299="",", Description","")&amp;IF(H299="",", Cost Centre","")&amp;IF(I299="",", Invoice Type","")&amp;IF(J299="",", Tax Code","")&amp;IF(O299="",", Expected Revenue","")&amp;IF(COUNTIF(tbl_Finance[Job Number],$C299&amp;"")&gt;1,", Job number used twice",""))="","Complete","Fix: "&amp;MID(IF(F299="",", Client","")&amp;IF(G299="",", Description","")&amp;IF(H299="",", Cost Centre","")&amp;IF(I299="",", Invoice Type","")&amp;IF(J299="",", Tax Code","")&amp;IF(O299="",", Expected Revenue","")&amp;IF(COUNTIF(tbl_Finance[Job Number],$C299&amp;"")&gt;1,", Job number used twice",""),3,300)))</f>
        <v/>
      </c>
      <c r="Q299" s="10">
        <f>IF($C299="","",IF(H299="","(no cost centre)",H299&amp;" - GL "&amp;IFERROR(INDEX(lst_CCtoGL,MATCH(H299,lst_CCforGL,0)),"?")))</f>
        <v/>
      </c>
      <c r="R299" s="11">
        <f>IF($C299="","",IFERROR(N(INDEX(tbl_Finance[Inc GST],MATCH($AU299,tbl_Finance[Row ID],0))),""))</f>
        <v/>
      </c>
      <c r="S299" s="37" t="n"/>
      <c r="T299" s="37" t="n"/>
      <c r="U299" s="37" t="n"/>
      <c r="V299" s="42" t="n"/>
      <c r="W299" s="37" t="n"/>
      <c r="X299" s="10">
        <f>IF(W299="","",IF(AND(LEFT(W299,4)&lt;&gt;"http",set_RMSBase=""),"",HYPERLINK(IF(LEFT(W299,4)="http",W299,set_RMSBase&amp;W299),"Open in RMS")))</f>
        <v/>
      </c>
      <c r="Y299" s="37" t="n"/>
      <c r="Z299" s="10">
        <f>IF(Y299="","",HYPERLINK(IF(LEFT(Y299,4)="http",Y299,set_QwilrBase&amp;Y299),"Open quote"))</f>
        <v/>
      </c>
      <c r="AA299" s="10">
        <f>IF(C299="","",C299)</f>
        <v/>
      </c>
      <c r="AB299" s="37" t="n"/>
      <c r="AC299" s="39" t="n"/>
      <c r="AD299" s="11">
        <f>IF(C299="","",N(L299)+N(AC299))</f>
        <v/>
      </c>
      <c r="AE299" s="43">
        <f>IFERROR(IF(N(AC299)=0,"",AC299/AD299),"")</f>
        <v/>
      </c>
      <c r="AF299" s="39" t="n"/>
      <c r="AG299" s="39" t="n"/>
      <c r="AH299" s="39" t="n"/>
      <c r="AI299" s="39" t="n"/>
      <c r="AJ299" s="11">
        <f>IF(C299="","",IF(H299="VIDEO",N(L299),0))</f>
        <v/>
      </c>
      <c r="AK299" s="43">
        <f>IFERROR(IF(N(L299)=0,"",AJ299/L299),"")</f>
        <v/>
      </c>
      <c r="AL299" s="11">
        <f>IF(C299="","",N(AF299)+N(AG299)+N(AH299)+N(AI299))</f>
        <v/>
      </c>
      <c r="AM299" s="11">
        <f>IF(C299="","",MAX(N(L299),N(O299))-N(AL299))</f>
        <v/>
      </c>
      <c r="AN299" s="43">
        <f>IFERROR(IF(MAX(N(L299),N(O299))=0,"",AM299/MAX(N(L299),N(O299))),"")</f>
        <v/>
      </c>
      <c r="AO299" s="41" t="n"/>
      <c r="AP299" s="41" t="n"/>
      <c r="AQ299" s="41" t="n"/>
      <c r="AR299" s="41" t="n"/>
      <c r="AS299" s="41" t="n"/>
      <c r="AT299" s="37" t="n"/>
      <c r="AU299" s="10" t="inlineStr">
        <is>
          <t>PRD-0295</t>
        </is>
      </c>
    </row>
    <row r="300">
      <c r="A300" s="16">
        <f>IF($C300="","",IFERROR(IF(INDEX(tbl_Finance[Latest Invoice Date],MATCH($AU300,tbl_Finance[Row ID],0))="","",INDEX(tbl_Finance[Latest Invoice Date],MATCH($AU300,tbl_Finance[Row ID],0))),""))</f>
        <v/>
      </c>
      <c r="B300" s="10">
        <f>IF($C300="","",IFERROR(INDEX(tbl_Finance[Invoice Numbers],MATCH($AU300,tbl_Finance[Row ID],0))&amp;"",""))</f>
        <v/>
      </c>
      <c r="C300" s="37" t="n"/>
      <c r="D300" s="10">
        <f>IF($C300="","",IF(COUNTIF(lst_Jobs,$C300&amp;"")&gt;0,"OK","CHECK"))</f>
        <v/>
      </c>
      <c r="E300" s="10">
        <f>IF($C300="","",IFERROR(INDEX(lst_JobName,MATCH($C300&amp;"",lst_Jobs,0)),""))</f>
        <v/>
      </c>
      <c r="F300" s="37" t="n"/>
      <c r="G300" s="37" t="n"/>
      <c r="H300" s="37" t="n"/>
      <c r="I300" s="37" t="n"/>
      <c r="J300" s="37" t="n"/>
      <c r="K300" s="38">
        <f>IF($C300="","",IFERROR(N(INDEX(tbl_Finance[Invoice Count],MATCH($AU300,tbl_Finance[Row ID],0))),""))</f>
        <v/>
      </c>
      <c r="L300" s="11">
        <f>IF($C300="","",IFERROR(N(INDEX(tbl_Finance[Xero Invoiced Ex GST],MATCH($AU300,tbl_Finance[Row ID],0))),""))</f>
        <v/>
      </c>
      <c r="M300" s="10">
        <f>IF($C300="","",IFERROR(INDEX(tbl_Finance[Compare],MATCH($AU300,tbl_Finance[Row ID],0))&amp;"",""))</f>
        <v/>
      </c>
      <c r="N300" s="11">
        <f>IF($C300="","",MAX(0,N(O300)-N(L300)))</f>
        <v/>
      </c>
      <c r="O300" s="39" t="n"/>
      <c r="P300" s="40">
        <f>IF($C300="","",IF((IF(F300="",", Client","")&amp;IF(G300="",", Description","")&amp;IF(H300="",", Cost Centre","")&amp;IF(I300="",", Invoice Type","")&amp;IF(J300="",", Tax Code","")&amp;IF(O300="",", Expected Revenue","")&amp;IF(COUNTIF(tbl_Finance[Job Number],$C300&amp;"")&gt;1,", Job number used twice",""))="","Complete","Fix: "&amp;MID(IF(F300="",", Client","")&amp;IF(G300="",", Description","")&amp;IF(H300="",", Cost Centre","")&amp;IF(I300="",", Invoice Type","")&amp;IF(J300="",", Tax Code","")&amp;IF(O300="",", Expected Revenue","")&amp;IF(COUNTIF(tbl_Finance[Job Number],$C300&amp;"")&gt;1,", Job number used twice",""),3,300)))</f>
        <v/>
      </c>
      <c r="Q300" s="10">
        <f>IF($C300="","",IF(H300="","(no cost centre)",H300&amp;" - GL "&amp;IFERROR(INDEX(lst_CCtoGL,MATCH(H300,lst_CCforGL,0)),"?")))</f>
        <v/>
      </c>
      <c r="R300" s="11">
        <f>IF($C300="","",IFERROR(N(INDEX(tbl_Finance[Inc GST],MATCH($AU300,tbl_Finance[Row ID],0))),""))</f>
        <v/>
      </c>
      <c r="S300" s="37" t="n"/>
      <c r="T300" s="37" t="n"/>
      <c r="U300" s="37" t="n"/>
      <c r="V300" s="42" t="n"/>
      <c r="W300" s="37" t="n"/>
      <c r="X300" s="10">
        <f>IF(W300="","",IF(AND(LEFT(W300,4)&lt;&gt;"http",set_RMSBase=""),"",HYPERLINK(IF(LEFT(W300,4)="http",W300,set_RMSBase&amp;W300),"Open in RMS")))</f>
        <v/>
      </c>
      <c r="Y300" s="37" t="n"/>
      <c r="Z300" s="10">
        <f>IF(Y300="","",HYPERLINK(IF(LEFT(Y300,4)="http",Y300,set_QwilrBase&amp;Y300),"Open quote"))</f>
        <v/>
      </c>
      <c r="AA300" s="10">
        <f>IF(C300="","",C300)</f>
        <v/>
      </c>
      <c r="AB300" s="37" t="n"/>
      <c r="AC300" s="39" t="n"/>
      <c r="AD300" s="11">
        <f>IF(C300="","",N(L300)+N(AC300))</f>
        <v/>
      </c>
      <c r="AE300" s="43">
        <f>IFERROR(IF(N(AC300)=0,"",AC300/AD300),"")</f>
        <v/>
      </c>
      <c r="AF300" s="39" t="n"/>
      <c r="AG300" s="39" t="n"/>
      <c r="AH300" s="39" t="n"/>
      <c r="AI300" s="39" t="n"/>
      <c r="AJ300" s="11">
        <f>IF(C300="","",IF(H300="VIDEO",N(L300),0))</f>
        <v/>
      </c>
      <c r="AK300" s="43">
        <f>IFERROR(IF(N(L300)=0,"",AJ300/L300),"")</f>
        <v/>
      </c>
      <c r="AL300" s="11">
        <f>IF(C300="","",N(AF300)+N(AG300)+N(AH300)+N(AI300))</f>
        <v/>
      </c>
      <c r="AM300" s="11">
        <f>IF(C300="","",MAX(N(L300),N(O300))-N(AL300))</f>
        <v/>
      </c>
      <c r="AN300" s="43">
        <f>IFERROR(IF(MAX(N(L300),N(O300))=0,"",AM300/MAX(N(L300),N(O300))),"")</f>
        <v/>
      </c>
      <c r="AO300" s="41" t="n"/>
      <c r="AP300" s="41" t="n"/>
      <c r="AQ300" s="41" t="n"/>
      <c r="AR300" s="41" t="n"/>
      <c r="AS300" s="41" t="n"/>
      <c r="AT300" s="37" t="n"/>
      <c r="AU300" s="10" t="inlineStr">
        <is>
          <t>PRD-0296</t>
        </is>
      </c>
    </row>
    <row r="301">
      <c r="A301" s="16">
        <f>IF($C301="","",IFERROR(IF(INDEX(tbl_Finance[Latest Invoice Date],MATCH($AU301,tbl_Finance[Row ID],0))="","",INDEX(tbl_Finance[Latest Invoice Date],MATCH($AU301,tbl_Finance[Row ID],0))),""))</f>
        <v/>
      </c>
      <c r="B301" s="10">
        <f>IF($C301="","",IFERROR(INDEX(tbl_Finance[Invoice Numbers],MATCH($AU301,tbl_Finance[Row ID],0))&amp;"",""))</f>
        <v/>
      </c>
      <c r="C301" s="37" t="n"/>
      <c r="D301" s="10">
        <f>IF($C301="","",IF(COUNTIF(lst_Jobs,$C301&amp;"")&gt;0,"OK","CHECK"))</f>
        <v/>
      </c>
      <c r="E301" s="10">
        <f>IF($C301="","",IFERROR(INDEX(lst_JobName,MATCH($C301&amp;"",lst_Jobs,0)),""))</f>
        <v/>
      </c>
      <c r="F301" s="37" t="n"/>
      <c r="G301" s="37" t="n"/>
      <c r="H301" s="37" t="n"/>
      <c r="I301" s="37" t="n"/>
      <c r="J301" s="37" t="n"/>
      <c r="K301" s="38">
        <f>IF($C301="","",IFERROR(N(INDEX(tbl_Finance[Invoice Count],MATCH($AU301,tbl_Finance[Row ID],0))),""))</f>
        <v/>
      </c>
      <c r="L301" s="11">
        <f>IF($C301="","",IFERROR(N(INDEX(tbl_Finance[Xero Invoiced Ex GST],MATCH($AU301,tbl_Finance[Row ID],0))),""))</f>
        <v/>
      </c>
      <c r="M301" s="10">
        <f>IF($C301="","",IFERROR(INDEX(tbl_Finance[Compare],MATCH($AU301,tbl_Finance[Row ID],0))&amp;"",""))</f>
        <v/>
      </c>
      <c r="N301" s="11">
        <f>IF($C301="","",MAX(0,N(O301)-N(L301)))</f>
        <v/>
      </c>
      <c r="O301" s="39" t="n"/>
      <c r="P301" s="40">
        <f>IF($C301="","",IF((IF(F301="",", Client","")&amp;IF(G301="",", Description","")&amp;IF(H301="",", Cost Centre","")&amp;IF(I301="",", Invoice Type","")&amp;IF(J301="",", Tax Code","")&amp;IF(O301="",", Expected Revenue","")&amp;IF(COUNTIF(tbl_Finance[Job Number],$C301&amp;"")&gt;1,", Job number used twice",""))="","Complete","Fix: "&amp;MID(IF(F301="",", Client","")&amp;IF(G301="",", Description","")&amp;IF(H301="",", Cost Centre","")&amp;IF(I301="",", Invoice Type","")&amp;IF(J301="",", Tax Code","")&amp;IF(O301="",", Expected Revenue","")&amp;IF(COUNTIF(tbl_Finance[Job Number],$C301&amp;"")&gt;1,", Job number used twice",""),3,300)))</f>
        <v/>
      </c>
      <c r="Q301" s="10">
        <f>IF($C301="","",IF(H301="","(no cost centre)",H301&amp;" - GL "&amp;IFERROR(INDEX(lst_CCtoGL,MATCH(H301,lst_CCforGL,0)),"?")))</f>
        <v/>
      </c>
      <c r="R301" s="11">
        <f>IF($C301="","",IFERROR(N(INDEX(tbl_Finance[Inc GST],MATCH($AU301,tbl_Finance[Row ID],0))),""))</f>
        <v/>
      </c>
      <c r="S301" s="37" t="n"/>
      <c r="T301" s="37" t="n"/>
      <c r="U301" s="37" t="n"/>
      <c r="V301" s="42" t="n"/>
      <c r="W301" s="37" t="n"/>
      <c r="X301" s="10">
        <f>IF(W301="","",IF(AND(LEFT(W301,4)&lt;&gt;"http",set_RMSBase=""),"",HYPERLINK(IF(LEFT(W301,4)="http",W301,set_RMSBase&amp;W301),"Open in RMS")))</f>
        <v/>
      </c>
      <c r="Y301" s="37" t="n"/>
      <c r="Z301" s="10">
        <f>IF(Y301="","",HYPERLINK(IF(LEFT(Y301,4)="http",Y301,set_QwilrBase&amp;Y301),"Open quote"))</f>
        <v/>
      </c>
      <c r="AA301" s="10">
        <f>IF(C301="","",C301)</f>
        <v/>
      </c>
      <c r="AB301" s="37" t="n"/>
      <c r="AC301" s="39" t="n"/>
      <c r="AD301" s="11">
        <f>IF(C301="","",N(L301)+N(AC301))</f>
        <v/>
      </c>
      <c r="AE301" s="43">
        <f>IFERROR(IF(N(AC301)=0,"",AC301/AD301),"")</f>
        <v/>
      </c>
      <c r="AF301" s="39" t="n"/>
      <c r="AG301" s="39" t="n"/>
      <c r="AH301" s="39" t="n"/>
      <c r="AI301" s="39" t="n"/>
      <c r="AJ301" s="11">
        <f>IF(C301="","",IF(H301="VIDEO",N(L301),0))</f>
        <v/>
      </c>
      <c r="AK301" s="43">
        <f>IFERROR(IF(N(L301)=0,"",AJ301/L301),"")</f>
        <v/>
      </c>
      <c r="AL301" s="11">
        <f>IF(C301="","",N(AF301)+N(AG301)+N(AH301)+N(AI301))</f>
        <v/>
      </c>
      <c r="AM301" s="11">
        <f>IF(C301="","",MAX(N(L301),N(O301))-N(AL301))</f>
        <v/>
      </c>
      <c r="AN301" s="43">
        <f>IFERROR(IF(MAX(N(L301),N(O301))=0,"",AM301/MAX(N(L301),N(O301))),"")</f>
        <v/>
      </c>
      <c r="AO301" s="41" t="n"/>
      <c r="AP301" s="41" t="n"/>
      <c r="AQ301" s="41" t="n"/>
      <c r="AR301" s="41" t="n"/>
      <c r="AS301" s="41" t="n"/>
      <c r="AT301" s="37" t="n"/>
      <c r="AU301" s="10" t="inlineStr">
        <is>
          <t>PRD-0297</t>
        </is>
      </c>
    </row>
    <row r="302">
      <c r="A302" s="16">
        <f>IF($C302="","",IFERROR(IF(INDEX(tbl_Finance[Latest Invoice Date],MATCH($AU302,tbl_Finance[Row ID],0))="","",INDEX(tbl_Finance[Latest Invoice Date],MATCH($AU302,tbl_Finance[Row ID],0))),""))</f>
        <v/>
      </c>
      <c r="B302" s="10">
        <f>IF($C302="","",IFERROR(INDEX(tbl_Finance[Invoice Numbers],MATCH($AU302,tbl_Finance[Row ID],0))&amp;"",""))</f>
        <v/>
      </c>
      <c r="C302" s="37" t="n"/>
      <c r="D302" s="10">
        <f>IF($C302="","",IF(COUNTIF(lst_Jobs,$C302&amp;"")&gt;0,"OK","CHECK"))</f>
        <v/>
      </c>
      <c r="E302" s="10">
        <f>IF($C302="","",IFERROR(INDEX(lst_JobName,MATCH($C302&amp;"",lst_Jobs,0)),""))</f>
        <v/>
      </c>
      <c r="F302" s="37" t="n"/>
      <c r="G302" s="37" t="n"/>
      <c r="H302" s="37" t="n"/>
      <c r="I302" s="37" t="n"/>
      <c r="J302" s="37" t="n"/>
      <c r="K302" s="38">
        <f>IF($C302="","",IFERROR(N(INDEX(tbl_Finance[Invoice Count],MATCH($AU302,tbl_Finance[Row ID],0))),""))</f>
        <v/>
      </c>
      <c r="L302" s="11">
        <f>IF($C302="","",IFERROR(N(INDEX(tbl_Finance[Xero Invoiced Ex GST],MATCH($AU302,tbl_Finance[Row ID],0))),""))</f>
        <v/>
      </c>
      <c r="M302" s="10">
        <f>IF($C302="","",IFERROR(INDEX(tbl_Finance[Compare],MATCH($AU302,tbl_Finance[Row ID],0))&amp;"",""))</f>
        <v/>
      </c>
      <c r="N302" s="11">
        <f>IF($C302="","",MAX(0,N(O302)-N(L302)))</f>
        <v/>
      </c>
      <c r="O302" s="39" t="n"/>
      <c r="P302" s="40">
        <f>IF($C302="","",IF((IF(F302="",", Client","")&amp;IF(G302="",", Description","")&amp;IF(H302="",", Cost Centre","")&amp;IF(I302="",", Invoice Type","")&amp;IF(J302="",", Tax Code","")&amp;IF(O302="",", Expected Revenue","")&amp;IF(COUNTIF(tbl_Finance[Job Number],$C302&amp;"")&gt;1,", Job number used twice",""))="","Complete","Fix: "&amp;MID(IF(F302="",", Client","")&amp;IF(G302="",", Description","")&amp;IF(H302="",", Cost Centre","")&amp;IF(I302="",", Invoice Type","")&amp;IF(J302="",", Tax Code","")&amp;IF(O302="",", Expected Revenue","")&amp;IF(COUNTIF(tbl_Finance[Job Number],$C302&amp;"")&gt;1,", Job number used twice",""),3,300)))</f>
        <v/>
      </c>
      <c r="Q302" s="10">
        <f>IF($C302="","",IF(H302="","(no cost centre)",H302&amp;" - GL "&amp;IFERROR(INDEX(lst_CCtoGL,MATCH(H302,lst_CCforGL,0)),"?")))</f>
        <v/>
      </c>
      <c r="R302" s="11">
        <f>IF($C302="","",IFERROR(N(INDEX(tbl_Finance[Inc GST],MATCH($AU302,tbl_Finance[Row ID],0))),""))</f>
        <v/>
      </c>
      <c r="S302" s="37" t="n"/>
      <c r="T302" s="37" t="n"/>
      <c r="U302" s="37" t="n"/>
      <c r="V302" s="42" t="n"/>
      <c r="W302" s="37" t="n"/>
      <c r="X302" s="10">
        <f>IF(W302="","",IF(AND(LEFT(W302,4)&lt;&gt;"http",set_RMSBase=""),"",HYPERLINK(IF(LEFT(W302,4)="http",W302,set_RMSBase&amp;W302),"Open in RMS")))</f>
        <v/>
      </c>
      <c r="Y302" s="37" t="n"/>
      <c r="Z302" s="10">
        <f>IF(Y302="","",HYPERLINK(IF(LEFT(Y302,4)="http",Y302,set_QwilrBase&amp;Y302),"Open quote"))</f>
        <v/>
      </c>
      <c r="AA302" s="10">
        <f>IF(C302="","",C302)</f>
        <v/>
      </c>
      <c r="AB302" s="37" t="n"/>
      <c r="AC302" s="39" t="n"/>
      <c r="AD302" s="11">
        <f>IF(C302="","",N(L302)+N(AC302))</f>
        <v/>
      </c>
      <c r="AE302" s="43">
        <f>IFERROR(IF(N(AC302)=0,"",AC302/AD302),"")</f>
        <v/>
      </c>
      <c r="AF302" s="39" t="n"/>
      <c r="AG302" s="39" t="n"/>
      <c r="AH302" s="39" t="n"/>
      <c r="AI302" s="39" t="n"/>
      <c r="AJ302" s="11">
        <f>IF(C302="","",IF(H302="VIDEO",N(L302),0))</f>
        <v/>
      </c>
      <c r="AK302" s="43">
        <f>IFERROR(IF(N(L302)=0,"",AJ302/L302),"")</f>
        <v/>
      </c>
      <c r="AL302" s="11">
        <f>IF(C302="","",N(AF302)+N(AG302)+N(AH302)+N(AI302))</f>
        <v/>
      </c>
      <c r="AM302" s="11">
        <f>IF(C302="","",MAX(N(L302),N(O302))-N(AL302))</f>
        <v/>
      </c>
      <c r="AN302" s="43">
        <f>IFERROR(IF(MAX(N(L302),N(O302))=0,"",AM302/MAX(N(L302),N(O302))),"")</f>
        <v/>
      </c>
      <c r="AO302" s="41" t="n"/>
      <c r="AP302" s="41" t="n"/>
      <c r="AQ302" s="41" t="n"/>
      <c r="AR302" s="41" t="n"/>
      <c r="AS302" s="41" t="n"/>
      <c r="AT302" s="37" t="n"/>
      <c r="AU302" s="10" t="inlineStr">
        <is>
          <t>PRD-0298</t>
        </is>
      </c>
    </row>
    <row r="303">
      <c r="A303" s="16">
        <f>IF($C303="","",IFERROR(IF(INDEX(tbl_Finance[Latest Invoice Date],MATCH($AU303,tbl_Finance[Row ID],0))="","",INDEX(tbl_Finance[Latest Invoice Date],MATCH($AU303,tbl_Finance[Row ID],0))),""))</f>
        <v/>
      </c>
      <c r="B303" s="10">
        <f>IF($C303="","",IFERROR(INDEX(tbl_Finance[Invoice Numbers],MATCH($AU303,tbl_Finance[Row ID],0))&amp;"",""))</f>
        <v/>
      </c>
      <c r="C303" s="37" t="n"/>
      <c r="D303" s="10">
        <f>IF($C303="","",IF(COUNTIF(lst_Jobs,$C303&amp;"")&gt;0,"OK","CHECK"))</f>
        <v/>
      </c>
      <c r="E303" s="10">
        <f>IF($C303="","",IFERROR(INDEX(lst_JobName,MATCH($C303&amp;"",lst_Jobs,0)),""))</f>
        <v/>
      </c>
      <c r="F303" s="37" t="n"/>
      <c r="G303" s="37" t="n"/>
      <c r="H303" s="37" t="n"/>
      <c r="I303" s="37" t="n"/>
      <c r="J303" s="37" t="n"/>
      <c r="K303" s="38">
        <f>IF($C303="","",IFERROR(N(INDEX(tbl_Finance[Invoice Count],MATCH($AU303,tbl_Finance[Row ID],0))),""))</f>
        <v/>
      </c>
      <c r="L303" s="11">
        <f>IF($C303="","",IFERROR(N(INDEX(tbl_Finance[Xero Invoiced Ex GST],MATCH($AU303,tbl_Finance[Row ID],0))),""))</f>
        <v/>
      </c>
      <c r="M303" s="10">
        <f>IF($C303="","",IFERROR(INDEX(tbl_Finance[Compare],MATCH($AU303,tbl_Finance[Row ID],0))&amp;"",""))</f>
        <v/>
      </c>
      <c r="N303" s="11">
        <f>IF($C303="","",MAX(0,N(O303)-N(L303)))</f>
        <v/>
      </c>
      <c r="O303" s="39" t="n"/>
      <c r="P303" s="40">
        <f>IF($C303="","",IF((IF(F303="",", Client","")&amp;IF(G303="",", Description","")&amp;IF(H303="",", Cost Centre","")&amp;IF(I303="",", Invoice Type","")&amp;IF(J303="",", Tax Code","")&amp;IF(O303="",", Expected Revenue","")&amp;IF(COUNTIF(tbl_Finance[Job Number],$C303&amp;"")&gt;1,", Job number used twice",""))="","Complete","Fix: "&amp;MID(IF(F303="",", Client","")&amp;IF(G303="",", Description","")&amp;IF(H303="",", Cost Centre","")&amp;IF(I303="",", Invoice Type","")&amp;IF(J303="",", Tax Code","")&amp;IF(O303="",", Expected Revenue","")&amp;IF(COUNTIF(tbl_Finance[Job Number],$C303&amp;"")&gt;1,", Job number used twice",""),3,300)))</f>
        <v/>
      </c>
      <c r="Q303" s="10">
        <f>IF($C303="","",IF(H303="","(no cost centre)",H303&amp;" - GL "&amp;IFERROR(INDEX(lst_CCtoGL,MATCH(H303,lst_CCforGL,0)),"?")))</f>
        <v/>
      </c>
      <c r="R303" s="11">
        <f>IF($C303="","",IFERROR(N(INDEX(tbl_Finance[Inc GST],MATCH($AU303,tbl_Finance[Row ID],0))),""))</f>
        <v/>
      </c>
      <c r="S303" s="37" t="n"/>
      <c r="T303" s="37" t="n"/>
      <c r="U303" s="37" t="n"/>
      <c r="V303" s="42" t="n"/>
      <c r="W303" s="37" t="n"/>
      <c r="X303" s="10">
        <f>IF(W303="","",IF(AND(LEFT(W303,4)&lt;&gt;"http",set_RMSBase=""),"",HYPERLINK(IF(LEFT(W303,4)="http",W303,set_RMSBase&amp;W303),"Open in RMS")))</f>
        <v/>
      </c>
      <c r="Y303" s="37" t="n"/>
      <c r="Z303" s="10">
        <f>IF(Y303="","",HYPERLINK(IF(LEFT(Y303,4)="http",Y303,set_QwilrBase&amp;Y303),"Open quote"))</f>
        <v/>
      </c>
      <c r="AA303" s="10">
        <f>IF(C303="","",C303)</f>
        <v/>
      </c>
      <c r="AB303" s="37" t="n"/>
      <c r="AC303" s="39" t="n"/>
      <c r="AD303" s="11">
        <f>IF(C303="","",N(L303)+N(AC303))</f>
        <v/>
      </c>
      <c r="AE303" s="43">
        <f>IFERROR(IF(N(AC303)=0,"",AC303/AD303),"")</f>
        <v/>
      </c>
      <c r="AF303" s="39" t="n"/>
      <c r="AG303" s="39" t="n"/>
      <c r="AH303" s="39" t="n"/>
      <c r="AI303" s="39" t="n"/>
      <c r="AJ303" s="11">
        <f>IF(C303="","",IF(H303="VIDEO",N(L303),0))</f>
        <v/>
      </c>
      <c r="AK303" s="43">
        <f>IFERROR(IF(N(L303)=0,"",AJ303/L303),"")</f>
        <v/>
      </c>
      <c r="AL303" s="11">
        <f>IF(C303="","",N(AF303)+N(AG303)+N(AH303)+N(AI303))</f>
        <v/>
      </c>
      <c r="AM303" s="11">
        <f>IF(C303="","",MAX(N(L303),N(O303))-N(AL303))</f>
        <v/>
      </c>
      <c r="AN303" s="43">
        <f>IFERROR(IF(MAX(N(L303),N(O303))=0,"",AM303/MAX(N(L303),N(O303))),"")</f>
        <v/>
      </c>
      <c r="AO303" s="41" t="n"/>
      <c r="AP303" s="41" t="n"/>
      <c r="AQ303" s="41" t="n"/>
      <c r="AR303" s="41" t="n"/>
      <c r="AS303" s="41" t="n"/>
      <c r="AT303" s="37" t="n"/>
      <c r="AU303" s="10" t="inlineStr">
        <is>
          <t>PRD-0299</t>
        </is>
      </c>
    </row>
    <row r="304">
      <c r="A304" s="16">
        <f>IF($C304="","",IFERROR(IF(INDEX(tbl_Finance[Latest Invoice Date],MATCH($AU304,tbl_Finance[Row ID],0))="","",INDEX(tbl_Finance[Latest Invoice Date],MATCH($AU304,tbl_Finance[Row ID],0))),""))</f>
        <v/>
      </c>
      <c r="B304" s="10">
        <f>IF($C304="","",IFERROR(INDEX(tbl_Finance[Invoice Numbers],MATCH($AU304,tbl_Finance[Row ID],0))&amp;"",""))</f>
        <v/>
      </c>
      <c r="C304" s="37" t="n"/>
      <c r="D304" s="10">
        <f>IF($C304="","",IF(COUNTIF(lst_Jobs,$C304&amp;"")&gt;0,"OK","CHECK"))</f>
        <v/>
      </c>
      <c r="E304" s="10">
        <f>IF($C304="","",IFERROR(INDEX(lst_JobName,MATCH($C304&amp;"",lst_Jobs,0)),""))</f>
        <v/>
      </c>
      <c r="F304" s="37" t="n"/>
      <c r="G304" s="37" t="n"/>
      <c r="H304" s="37" t="n"/>
      <c r="I304" s="37" t="n"/>
      <c r="J304" s="37" t="n"/>
      <c r="K304" s="38">
        <f>IF($C304="","",IFERROR(N(INDEX(tbl_Finance[Invoice Count],MATCH($AU304,tbl_Finance[Row ID],0))),""))</f>
        <v/>
      </c>
      <c r="L304" s="11">
        <f>IF($C304="","",IFERROR(N(INDEX(tbl_Finance[Xero Invoiced Ex GST],MATCH($AU304,tbl_Finance[Row ID],0))),""))</f>
        <v/>
      </c>
      <c r="M304" s="10">
        <f>IF($C304="","",IFERROR(INDEX(tbl_Finance[Compare],MATCH($AU304,tbl_Finance[Row ID],0))&amp;"",""))</f>
        <v/>
      </c>
      <c r="N304" s="11">
        <f>IF($C304="","",MAX(0,N(O304)-N(L304)))</f>
        <v/>
      </c>
      <c r="O304" s="39" t="n"/>
      <c r="P304" s="40">
        <f>IF($C304="","",IF((IF(F304="",", Client","")&amp;IF(G304="",", Description","")&amp;IF(H304="",", Cost Centre","")&amp;IF(I304="",", Invoice Type","")&amp;IF(J304="",", Tax Code","")&amp;IF(O304="",", Expected Revenue","")&amp;IF(COUNTIF(tbl_Finance[Job Number],$C304&amp;"")&gt;1,", Job number used twice",""))="","Complete","Fix: "&amp;MID(IF(F304="",", Client","")&amp;IF(G304="",", Description","")&amp;IF(H304="",", Cost Centre","")&amp;IF(I304="",", Invoice Type","")&amp;IF(J304="",", Tax Code","")&amp;IF(O304="",", Expected Revenue","")&amp;IF(COUNTIF(tbl_Finance[Job Number],$C304&amp;"")&gt;1,", Job number used twice",""),3,300)))</f>
        <v/>
      </c>
      <c r="Q304" s="10">
        <f>IF($C304="","",IF(H304="","(no cost centre)",H304&amp;" - GL "&amp;IFERROR(INDEX(lst_CCtoGL,MATCH(H304,lst_CCforGL,0)),"?")))</f>
        <v/>
      </c>
      <c r="R304" s="11">
        <f>IF($C304="","",IFERROR(N(INDEX(tbl_Finance[Inc GST],MATCH($AU304,tbl_Finance[Row ID],0))),""))</f>
        <v/>
      </c>
      <c r="S304" s="37" t="n"/>
      <c r="T304" s="37" t="n"/>
      <c r="U304" s="37" t="n"/>
      <c r="V304" s="42" t="n"/>
      <c r="W304" s="37" t="n"/>
      <c r="X304" s="10">
        <f>IF(W304="","",IF(AND(LEFT(W304,4)&lt;&gt;"http",set_RMSBase=""),"",HYPERLINK(IF(LEFT(W304,4)="http",W304,set_RMSBase&amp;W304),"Open in RMS")))</f>
        <v/>
      </c>
      <c r="Y304" s="37" t="n"/>
      <c r="Z304" s="10">
        <f>IF(Y304="","",HYPERLINK(IF(LEFT(Y304,4)="http",Y304,set_QwilrBase&amp;Y304),"Open quote"))</f>
        <v/>
      </c>
      <c r="AA304" s="10">
        <f>IF(C304="","",C304)</f>
        <v/>
      </c>
      <c r="AB304" s="37" t="n"/>
      <c r="AC304" s="39" t="n"/>
      <c r="AD304" s="11">
        <f>IF(C304="","",N(L304)+N(AC304))</f>
        <v/>
      </c>
      <c r="AE304" s="43">
        <f>IFERROR(IF(N(AC304)=0,"",AC304/AD304),"")</f>
        <v/>
      </c>
      <c r="AF304" s="39" t="n"/>
      <c r="AG304" s="39" t="n"/>
      <c r="AH304" s="39" t="n"/>
      <c r="AI304" s="39" t="n"/>
      <c r="AJ304" s="11">
        <f>IF(C304="","",IF(H304="VIDEO",N(L304),0))</f>
        <v/>
      </c>
      <c r="AK304" s="43">
        <f>IFERROR(IF(N(L304)=0,"",AJ304/L304),"")</f>
        <v/>
      </c>
      <c r="AL304" s="11">
        <f>IF(C304="","",N(AF304)+N(AG304)+N(AH304)+N(AI304))</f>
        <v/>
      </c>
      <c r="AM304" s="11">
        <f>IF(C304="","",MAX(N(L304),N(O304))-N(AL304))</f>
        <v/>
      </c>
      <c r="AN304" s="43">
        <f>IFERROR(IF(MAX(N(L304),N(O304))=0,"",AM304/MAX(N(L304),N(O304))),"")</f>
        <v/>
      </c>
      <c r="AO304" s="41" t="n"/>
      <c r="AP304" s="41" t="n"/>
      <c r="AQ304" s="41" t="n"/>
      <c r="AR304" s="41" t="n"/>
      <c r="AS304" s="41" t="n"/>
      <c r="AT304" s="37" t="n"/>
      <c r="AU304" s="10" t="inlineStr">
        <is>
          <t>PRD-0300</t>
        </is>
      </c>
    </row>
    <row r="305">
      <c r="A305" s="16">
        <f>IF($C305="","",IFERROR(IF(INDEX(tbl_Finance[Latest Invoice Date],MATCH($AU305,tbl_Finance[Row ID],0))="","",INDEX(tbl_Finance[Latest Invoice Date],MATCH($AU305,tbl_Finance[Row ID],0))),""))</f>
        <v/>
      </c>
      <c r="B305" s="10">
        <f>IF($C305="","",IFERROR(INDEX(tbl_Finance[Invoice Numbers],MATCH($AU305,tbl_Finance[Row ID],0))&amp;"",""))</f>
        <v/>
      </c>
      <c r="C305" s="37" t="n"/>
      <c r="D305" s="10">
        <f>IF($C305="","",IF(COUNTIF(lst_Jobs,$C305&amp;"")&gt;0,"OK","CHECK"))</f>
        <v/>
      </c>
      <c r="E305" s="10">
        <f>IF($C305="","",IFERROR(INDEX(lst_JobName,MATCH($C305&amp;"",lst_Jobs,0)),""))</f>
        <v/>
      </c>
      <c r="F305" s="37" t="n"/>
      <c r="G305" s="37" t="n"/>
      <c r="H305" s="37" t="n"/>
      <c r="I305" s="37" t="n"/>
      <c r="J305" s="37" t="n"/>
      <c r="K305" s="38">
        <f>IF($C305="","",IFERROR(N(INDEX(tbl_Finance[Invoice Count],MATCH($AU305,tbl_Finance[Row ID],0))),""))</f>
        <v/>
      </c>
      <c r="L305" s="11">
        <f>IF($C305="","",IFERROR(N(INDEX(tbl_Finance[Xero Invoiced Ex GST],MATCH($AU305,tbl_Finance[Row ID],0))),""))</f>
        <v/>
      </c>
      <c r="M305" s="10">
        <f>IF($C305="","",IFERROR(INDEX(tbl_Finance[Compare],MATCH($AU305,tbl_Finance[Row ID],0))&amp;"",""))</f>
        <v/>
      </c>
      <c r="N305" s="11">
        <f>IF($C305="","",MAX(0,N(O305)-N(L305)))</f>
        <v/>
      </c>
      <c r="O305" s="39" t="n"/>
      <c r="P305" s="40">
        <f>IF($C305="","",IF((IF(F305="",", Client","")&amp;IF(G305="",", Description","")&amp;IF(H305="",", Cost Centre","")&amp;IF(I305="",", Invoice Type","")&amp;IF(J305="",", Tax Code","")&amp;IF(O305="",", Expected Revenue","")&amp;IF(COUNTIF(tbl_Finance[Job Number],$C305&amp;"")&gt;1,", Job number used twice",""))="","Complete","Fix: "&amp;MID(IF(F305="",", Client","")&amp;IF(G305="",", Description","")&amp;IF(H305="",", Cost Centre","")&amp;IF(I305="",", Invoice Type","")&amp;IF(J305="",", Tax Code","")&amp;IF(O305="",", Expected Revenue","")&amp;IF(COUNTIF(tbl_Finance[Job Number],$C305&amp;"")&gt;1,", Job number used twice",""),3,300)))</f>
        <v/>
      </c>
      <c r="Q305" s="10">
        <f>IF($C305="","",IF(H305="","(no cost centre)",H305&amp;" - GL "&amp;IFERROR(INDEX(lst_CCtoGL,MATCH(H305,lst_CCforGL,0)),"?")))</f>
        <v/>
      </c>
      <c r="R305" s="11">
        <f>IF($C305="","",IFERROR(N(INDEX(tbl_Finance[Inc GST],MATCH($AU305,tbl_Finance[Row ID],0))),""))</f>
        <v/>
      </c>
      <c r="S305" s="37" t="n"/>
      <c r="T305" s="37" t="n"/>
      <c r="U305" s="37" t="n"/>
      <c r="V305" s="42" t="n"/>
      <c r="W305" s="37" t="n"/>
      <c r="X305" s="10">
        <f>IF(W305="","",IF(AND(LEFT(W305,4)&lt;&gt;"http",set_RMSBase=""),"",HYPERLINK(IF(LEFT(W305,4)="http",W305,set_RMSBase&amp;W305),"Open in RMS")))</f>
        <v/>
      </c>
      <c r="Y305" s="37" t="n"/>
      <c r="Z305" s="10">
        <f>IF(Y305="","",HYPERLINK(IF(LEFT(Y305,4)="http",Y305,set_QwilrBase&amp;Y305),"Open quote"))</f>
        <v/>
      </c>
      <c r="AA305" s="10">
        <f>IF(C305="","",C305)</f>
        <v/>
      </c>
      <c r="AB305" s="37" t="n"/>
      <c r="AC305" s="39" t="n"/>
      <c r="AD305" s="11">
        <f>IF(C305="","",N(L305)+N(AC305))</f>
        <v/>
      </c>
      <c r="AE305" s="43">
        <f>IFERROR(IF(N(AC305)=0,"",AC305/AD305),"")</f>
        <v/>
      </c>
      <c r="AF305" s="39" t="n"/>
      <c r="AG305" s="39" t="n"/>
      <c r="AH305" s="39" t="n"/>
      <c r="AI305" s="39" t="n"/>
      <c r="AJ305" s="11">
        <f>IF(C305="","",IF(H305="VIDEO",N(L305),0))</f>
        <v/>
      </c>
      <c r="AK305" s="43">
        <f>IFERROR(IF(N(L305)=0,"",AJ305/L305),"")</f>
        <v/>
      </c>
      <c r="AL305" s="11">
        <f>IF(C305="","",N(AF305)+N(AG305)+N(AH305)+N(AI305))</f>
        <v/>
      </c>
      <c r="AM305" s="11">
        <f>IF(C305="","",MAX(N(L305),N(O305))-N(AL305))</f>
        <v/>
      </c>
      <c r="AN305" s="43">
        <f>IFERROR(IF(MAX(N(L305),N(O305))=0,"",AM305/MAX(N(L305),N(O305))),"")</f>
        <v/>
      </c>
      <c r="AO305" s="41" t="n"/>
      <c r="AP305" s="41" t="n"/>
      <c r="AQ305" s="41" t="n"/>
      <c r="AR305" s="41" t="n"/>
      <c r="AS305" s="41" t="n"/>
      <c r="AT305" s="37" t="n"/>
      <c r="AU305" s="10" t="inlineStr">
        <is>
          <t>PRD-0301</t>
        </is>
      </c>
    </row>
    <row r="306">
      <c r="A306" s="16">
        <f>IF($C306="","",IFERROR(IF(INDEX(tbl_Finance[Latest Invoice Date],MATCH($AU306,tbl_Finance[Row ID],0))="","",INDEX(tbl_Finance[Latest Invoice Date],MATCH($AU306,tbl_Finance[Row ID],0))),""))</f>
        <v/>
      </c>
      <c r="B306" s="10">
        <f>IF($C306="","",IFERROR(INDEX(tbl_Finance[Invoice Numbers],MATCH($AU306,tbl_Finance[Row ID],0))&amp;"",""))</f>
        <v/>
      </c>
      <c r="C306" s="37" t="n"/>
      <c r="D306" s="10">
        <f>IF($C306="","",IF(COUNTIF(lst_Jobs,$C306&amp;"")&gt;0,"OK","CHECK"))</f>
        <v/>
      </c>
      <c r="E306" s="10">
        <f>IF($C306="","",IFERROR(INDEX(lst_JobName,MATCH($C306&amp;"",lst_Jobs,0)),""))</f>
        <v/>
      </c>
      <c r="F306" s="37" t="n"/>
      <c r="G306" s="37" t="n"/>
      <c r="H306" s="37" t="n"/>
      <c r="I306" s="37" t="n"/>
      <c r="J306" s="37" t="n"/>
      <c r="K306" s="38">
        <f>IF($C306="","",IFERROR(N(INDEX(tbl_Finance[Invoice Count],MATCH($AU306,tbl_Finance[Row ID],0))),""))</f>
        <v/>
      </c>
      <c r="L306" s="11">
        <f>IF($C306="","",IFERROR(N(INDEX(tbl_Finance[Xero Invoiced Ex GST],MATCH($AU306,tbl_Finance[Row ID],0))),""))</f>
        <v/>
      </c>
      <c r="M306" s="10">
        <f>IF($C306="","",IFERROR(INDEX(tbl_Finance[Compare],MATCH($AU306,tbl_Finance[Row ID],0))&amp;"",""))</f>
        <v/>
      </c>
      <c r="N306" s="11">
        <f>IF($C306="","",MAX(0,N(O306)-N(L306)))</f>
        <v/>
      </c>
      <c r="O306" s="39" t="n"/>
      <c r="P306" s="40">
        <f>IF($C306="","",IF((IF(F306="",", Client","")&amp;IF(G306="",", Description","")&amp;IF(H306="",", Cost Centre","")&amp;IF(I306="",", Invoice Type","")&amp;IF(J306="",", Tax Code","")&amp;IF(O306="",", Expected Revenue","")&amp;IF(COUNTIF(tbl_Finance[Job Number],$C306&amp;"")&gt;1,", Job number used twice",""))="","Complete","Fix: "&amp;MID(IF(F306="",", Client","")&amp;IF(G306="",", Description","")&amp;IF(H306="",", Cost Centre","")&amp;IF(I306="",", Invoice Type","")&amp;IF(J306="",", Tax Code","")&amp;IF(O306="",", Expected Revenue","")&amp;IF(COUNTIF(tbl_Finance[Job Number],$C306&amp;"")&gt;1,", Job number used twice",""),3,300)))</f>
        <v/>
      </c>
      <c r="Q306" s="10">
        <f>IF($C306="","",IF(H306="","(no cost centre)",H306&amp;" - GL "&amp;IFERROR(INDEX(lst_CCtoGL,MATCH(H306,lst_CCforGL,0)),"?")))</f>
        <v/>
      </c>
      <c r="R306" s="11">
        <f>IF($C306="","",IFERROR(N(INDEX(tbl_Finance[Inc GST],MATCH($AU306,tbl_Finance[Row ID],0))),""))</f>
        <v/>
      </c>
      <c r="S306" s="37" t="n"/>
      <c r="T306" s="37" t="n"/>
      <c r="U306" s="37" t="n"/>
      <c r="V306" s="42" t="n"/>
      <c r="W306" s="37" t="n"/>
      <c r="X306" s="10">
        <f>IF(W306="","",IF(AND(LEFT(W306,4)&lt;&gt;"http",set_RMSBase=""),"",HYPERLINK(IF(LEFT(W306,4)="http",W306,set_RMSBase&amp;W306),"Open in RMS")))</f>
        <v/>
      </c>
      <c r="Y306" s="37" t="n"/>
      <c r="Z306" s="10">
        <f>IF(Y306="","",HYPERLINK(IF(LEFT(Y306,4)="http",Y306,set_QwilrBase&amp;Y306),"Open quote"))</f>
        <v/>
      </c>
      <c r="AA306" s="10">
        <f>IF(C306="","",C306)</f>
        <v/>
      </c>
      <c r="AB306" s="37" t="n"/>
      <c r="AC306" s="39" t="n"/>
      <c r="AD306" s="11">
        <f>IF(C306="","",N(L306)+N(AC306))</f>
        <v/>
      </c>
      <c r="AE306" s="43">
        <f>IFERROR(IF(N(AC306)=0,"",AC306/AD306),"")</f>
        <v/>
      </c>
      <c r="AF306" s="39" t="n"/>
      <c r="AG306" s="39" t="n"/>
      <c r="AH306" s="39" t="n"/>
      <c r="AI306" s="39" t="n"/>
      <c r="AJ306" s="11">
        <f>IF(C306="","",IF(H306="VIDEO",N(L306),0))</f>
        <v/>
      </c>
      <c r="AK306" s="43">
        <f>IFERROR(IF(N(L306)=0,"",AJ306/L306),"")</f>
        <v/>
      </c>
      <c r="AL306" s="11">
        <f>IF(C306="","",N(AF306)+N(AG306)+N(AH306)+N(AI306))</f>
        <v/>
      </c>
      <c r="AM306" s="11">
        <f>IF(C306="","",MAX(N(L306),N(O306))-N(AL306))</f>
        <v/>
      </c>
      <c r="AN306" s="43">
        <f>IFERROR(IF(MAX(N(L306),N(O306))=0,"",AM306/MAX(N(L306),N(O306))),"")</f>
        <v/>
      </c>
      <c r="AO306" s="41" t="n"/>
      <c r="AP306" s="41" t="n"/>
      <c r="AQ306" s="41" t="n"/>
      <c r="AR306" s="41" t="n"/>
      <c r="AS306" s="41" t="n"/>
      <c r="AT306" s="37" t="n"/>
      <c r="AU306" s="10" t="inlineStr">
        <is>
          <t>PRD-0302</t>
        </is>
      </c>
    </row>
    <row r="307">
      <c r="A307" s="16">
        <f>IF($C307="","",IFERROR(IF(INDEX(tbl_Finance[Latest Invoice Date],MATCH($AU307,tbl_Finance[Row ID],0))="","",INDEX(tbl_Finance[Latest Invoice Date],MATCH($AU307,tbl_Finance[Row ID],0))),""))</f>
        <v/>
      </c>
      <c r="B307" s="10">
        <f>IF($C307="","",IFERROR(INDEX(tbl_Finance[Invoice Numbers],MATCH($AU307,tbl_Finance[Row ID],0))&amp;"",""))</f>
        <v/>
      </c>
      <c r="C307" s="37" t="n"/>
      <c r="D307" s="10">
        <f>IF($C307="","",IF(COUNTIF(lst_Jobs,$C307&amp;"")&gt;0,"OK","CHECK"))</f>
        <v/>
      </c>
      <c r="E307" s="10">
        <f>IF($C307="","",IFERROR(INDEX(lst_JobName,MATCH($C307&amp;"",lst_Jobs,0)),""))</f>
        <v/>
      </c>
      <c r="F307" s="37" t="n"/>
      <c r="G307" s="37" t="n"/>
      <c r="H307" s="37" t="n"/>
      <c r="I307" s="37" t="n"/>
      <c r="J307" s="37" t="n"/>
      <c r="K307" s="38">
        <f>IF($C307="","",IFERROR(N(INDEX(tbl_Finance[Invoice Count],MATCH($AU307,tbl_Finance[Row ID],0))),""))</f>
        <v/>
      </c>
      <c r="L307" s="11">
        <f>IF($C307="","",IFERROR(N(INDEX(tbl_Finance[Xero Invoiced Ex GST],MATCH($AU307,tbl_Finance[Row ID],0))),""))</f>
        <v/>
      </c>
      <c r="M307" s="10">
        <f>IF($C307="","",IFERROR(INDEX(tbl_Finance[Compare],MATCH($AU307,tbl_Finance[Row ID],0))&amp;"",""))</f>
        <v/>
      </c>
      <c r="N307" s="11">
        <f>IF($C307="","",MAX(0,N(O307)-N(L307)))</f>
        <v/>
      </c>
      <c r="O307" s="39" t="n"/>
      <c r="P307" s="40">
        <f>IF($C307="","",IF((IF(F307="",", Client","")&amp;IF(G307="",", Description","")&amp;IF(H307="",", Cost Centre","")&amp;IF(I307="",", Invoice Type","")&amp;IF(J307="",", Tax Code","")&amp;IF(O307="",", Expected Revenue","")&amp;IF(COUNTIF(tbl_Finance[Job Number],$C307&amp;"")&gt;1,", Job number used twice",""))="","Complete","Fix: "&amp;MID(IF(F307="",", Client","")&amp;IF(G307="",", Description","")&amp;IF(H307="",", Cost Centre","")&amp;IF(I307="",", Invoice Type","")&amp;IF(J307="",", Tax Code","")&amp;IF(O307="",", Expected Revenue","")&amp;IF(COUNTIF(tbl_Finance[Job Number],$C307&amp;"")&gt;1,", Job number used twice",""),3,300)))</f>
        <v/>
      </c>
      <c r="Q307" s="10">
        <f>IF($C307="","",IF(H307="","(no cost centre)",H307&amp;" - GL "&amp;IFERROR(INDEX(lst_CCtoGL,MATCH(H307,lst_CCforGL,0)),"?")))</f>
        <v/>
      </c>
      <c r="R307" s="11">
        <f>IF($C307="","",IFERROR(N(INDEX(tbl_Finance[Inc GST],MATCH($AU307,tbl_Finance[Row ID],0))),""))</f>
        <v/>
      </c>
      <c r="S307" s="37" t="n"/>
      <c r="T307" s="37" t="n"/>
      <c r="U307" s="37" t="n"/>
      <c r="V307" s="42" t="n"/>
      <c r="W307" s="37" t="n"/>
      <c r="X307" s="10">
        <f>IF(W307="","",IF(AND(LEFT(W307,4)&lt;&gt;"http",set_RMSBase=""),"",HYPERLINK(IF(LEFT(W307,4)="http",W307,set_RMSBase&amp;W307),"Open in RMS")))</f>
        <v/>
      </c>
      <c r="Y307" s="37" t="n"/>
      <c r="Z307" s="10">
        <f>IF(Y307="","",HYPERLINK(IF(LEFT(Y307,4)="http",Y307,set_QwilrBase&amp;Y307),"Open quote"))</f>
        <v/>
      </c>
      <c r="AA307" s="10">
        <f>IF(C307="","",C307)</f>
        <v/>
      </c>
      <c r="AB307" s="37" t="n"/>
      <c r="AC307" s="39" t="n"/>
      <c r="AD307" s="11">
        <f>IF(C307="","",N(L307)+N(AC307))</f>
        <v/>
      </c>
      <c r="AE307" s="43">
        <f>IFERROR(IF(N(AC307)=0,"",AC307/AD307),"")</f>
        <v/>
      </c>
      <c r="AF307" s="39" t="n"/>
      <c r="AG307" s="39" t="n"/>
      <c r="AH307" s="39" t="n"/>
      <c r="AI307" s="39" t="n"/>
      <c r="AJ307" s="11">
        <f>IF(C307="","",IF(H307="VIDEO",N(L307),0))</f>
        <v/>
      </c>
      <c r="AK307" s="43">
        <f>IFERROR(IF(N(L307)=0,"",AJ307/L307),"")</f>
        <v/>
      </c>
      <c r="AL307" s="11">
        <f>IF(C307="","",N(AF307)+N(AG307)+N(AH307)+N(AI307))</f>
        <v/>
      </c>
      <c r="AM307" s="11">
        <f>IF(C307="","",MAX(N(L307),N(O307))-N(AL307))</f>
        <v/>
      </c>
      <c r="AN307" s="43">
        <f>IFERROR(IF(MAX(N(L307),N(O307))=0,"",AM307/MAX(N(L307),N(O307))),"")</f>
        <v/>
      </c>
      <c r="AO307" s="41" t="n"/>
      <c r="AP307" s="41" t="n"/>
      <c r="AQ307" s="41" t="n"/>
      <c r="AR307" s="41" t="n"/>
      <c r="AS307" s="41" t="n"/>
      <c r="AT307" s="37" t="n"/>
      <c r="AU307" s="10" t="inlineStr">
        <is>
          <t>PRD-0303</t>
        </is>
      </c>
    </row>
    <row r="308">
      <c r="A308" s="16">
        <f>IF($C308="","",IFERROR(IF(INDEX(tbl_Finance[Latest Invoice Date],MATCH($AU308,tbl_Finance[Row ID],0))="","",INDEX(tbl_Finance[Latest Invoice Date],MATCH($AU308,tbl_Finance[Row ID],0))),""))</f>
        <v/>
      </c>
      <c r="B308" s="10">
        <f>IF($C308="","",IFERROR(INDEX(tbl_Finance[Invoice Numbers],MATCH($AU308,tbl_Finance[Row ID],0))&amp;"",""))</f>
        <v/>
      </c>
      <c r="C308" s="37" t="n"/>
      <c r="D308" s="10">
        <f>IF($C308="","",IF(COUNTIF(lst_Jobs,$C308&amp;"")&gt;0,"OK","CHECK"))</f>
        <v/>
      </c>
      <c r="E308" s="10">
        <f>IF($C308="","",IFERROR(INDEX(lst_JobName,MATCH($C308&amp;"",lst_Jobs,0)),""))</f>
        <v/>
      </c>
      <c r="F308" s="37" t="n"/>
      <c r="G308" s="37" t="n"/>
      <c r="H308" s="37" t="n"/>
      <c r="I308" s="37" t="n"/>
      <c r="J308" s="37" t="n"/>
      <c r="K308" s="38">
        <f>IF($C308="","",IFERROR(N(INDEX(tbl_Finance[Invoice Count],MATCH($AU308,tbl_Finance[Row ID],0))),""))</f>
        <v/>
      </c>
      <c r="L308" s="11">
        <f>IF($C308="","",IFERROR(N(INDEX(tbl_Finance[Xero Invoiced Ex GST],MATCH($AU308,tbl_Finance[Row ID],0))),""))</f>
        <v/>
      </c>
      <c r="M308" s="10">
        <f>IF($C308="","",IFERROR(INDEX(tbl_Finance[Compare],MATCH($AU308,tbl_Finance[Row ID],0))&amp;"",""))</f>
        <v/>
      </c>
      <c r="N308" s="11">
        <f>IF($C308="","",MAX(0,N(O308)-N(L308)))</f>
        <v/>
      </c>
      <c r="O308" s="39" t="n"/>
      <c r="P308" s="40">
        <f>IF($C308="","",IF((IF(F308="",", Client","")&amp;IF(G308="",", Description","")&amp;IF(H308="",", Cost Centre","")&amp;IF(I308="",", Invoice Type","")&amp;IF(J308="",", Tax Code","")&amp;IF(O308="",", Expected Revenue","")&amp;IF(COUNTIF(tbl_Finance[Job Number],$C308&amp;"")&gt;1,", Job number used twice",""))="","Complete","Fix: "&amp;MID(IF(F308="",", Client","")&amp;IF(G308="",", Description","")&amp;IF(H308="",", Cost Centre","")&amp;IF(I308="",", Invoice Type","")&amp;IF(J308="",", Tax Code","")&amp;IF(O308="",", Expected Revenue","")&amp;IF(COUNTIF(tbl_Finance[Job Number],$C308&amp;"")&gt;1,", Job number used twice",""),3,300)))</f>
        <v/>
      </c>
      <c r="Q308" s="10">
        <f>IF($C308="","",IF(H308="","(no cost centre)",H308&amp;" - GL "&amp;IFERROR(INDEX(lst_CCtoGL,MATCH(H308,lst_CCforGL,0)),"?")))</f>
        <v/>
      </c>
      <c r="R308" s="11">
        <f>IF($C308="","",IFERROR(N(INDEX(tbl_Finance[Inc GST],MATCH($AU308,tbl_Finance[Row ID],0))),""))</f>
        <v/>
      </c>
      <c r="S308" s="37" t="n"/>
      <c r="T308" s="37" t="n"/>
      <c r="U308" s="37" t="n"/>
      <c r="V308" s="42" t="n"/>
      <c r="W308" s="37" t="n"/>
      <c r="X308" s="10">
        <f>IF(W308="","",IF(AND(LEFT(W308,4)&lt;&gt;"http",set_RMSBase=""),"",HYPERLINK(IF(LEFT(W308,4)="http",W308,set_RMSBase&amp;W308),"Open in RMS")))</f>
        <v/>
      </c>
      <c r="Y308" s="37" t="n"/>
      <c r="Z308" s="10">
        <f>IF(Y308="","",HYPERLINK(IF(LEFT(Y308,4)="http",Y308,set_QwilrBase&amp;Y308),"Open quote"))</f>
        <v/>
      </c>
      <c r="AA308" s="10">
        <f>IF(C308="","",C308)</f>
        <v/>
      </c>
      <c r="AB308" s="37" t="n"/>
      <c r="AC308" s="39" t="n"/>
      <c r="AD308" s="11">
        <f>IF(C308="","",N(L308)+N(AC308))</f>
        <v/>
      </c>
      <c r="AE308" s="43">
        <f>IFERROR(IF(N(AC308)=0,"",AC308/AD308),"")</f>
        <v/>
      </c>
      <c r="AF308" s="39" t="n"/>
      <c r="AG308" s="39" t="n"/>
      <c r="AH308" s="39" t="n"/>
      <c r="AI308" s="39" t="n"/>
      <c r="AJ308" s="11">
        <f>IF(C308="","",IF(H308="VIDEO",N(L308),0))</f>
        <v/>
      </c>
      <c r="AK308" s="43">
        <f>IFERROR(IF(N(L308)=0,"",AJ308/L308),"")</f>
        <v/>
      </c>
      <c r="AL308" s="11">
        <f>IF(C308="","",N(AF308)+N(AG308)+N(AH308)+N(AI308))</f>
        <v/>
      </c>
      <c r="AM308" s="11">
        <f>IF(C308="","",MAX(N(L308),N(O308))-N(AL308))</f>
        <v/>
      </c>
      <c r="AN308" s="43">
        <f>IFERROR(IF(MAX(N(L308),N(O308))=0,"",AM308/MAX(N(L308),N(O308))),"")</f>
        <v/>
      </c>
      <c r="AO308" s="41" t="n"/>
      <c r="AP308" s="41" t="n"/>
      <c r="AQ308" s="41" t="n"/>
      <c r="AR308" s="41" t="n"/>
      <c r="AS308" s="41" t="n"/>
      <c r="AT308" s="37" t="n"/>
      <c r="AU308" s="10" t="inlineStr">
        <is>
          <t>PRD-0304</t>
        </is>
      </c>
    </row>
    <row r="309">
      <c r="A309" s="16">
        <f>IF($C309="","",IFERROR(IF(INDEX(tbl_Finance[Latest Invoice Date],MATCH($AU309,tbl_Finance[Row ID],0))="","",INDEX(tbl_Finance[Latest Invoice Date],MATCH($AU309,tbl_Finance[Row ID],0))),""))</f>
        <v/>
      </c>
      <c r="B309" s="10">
        <f>IF($C309="","",IFERROR(INDEX(tbl_Finance[Invoice Numbers],MATCH($AU309,tbl_Finance[Row ID],0))&amp;"",""))</f>
        <v/>
      </c>
      <c r="C309" s="37" t="n"/>
      <c r="D309" s="10">
        <f>IF($C309="","",IF(COUNTIF(lst_Jobs,$C309&amp;"")&gt;0,"OK","CHECK"))</f>
        <v/>
      </c>
      <c r="E309" s="10">
        <f>IF($C309="","",IFERROR(INDEX(lst_JobName,MATCH($C309&amp;"",lst_Jobs,0)),""))</f>
        <v/>
      </c>
      <c r="F309" s="37" t="n"/>
      <c r="G309" s="37" t="n"/>
      <c r="H309" s="37" t="n"/>
      <c r="I309" s="37" t="n"/>
      <c r="J309" s="37" t="n"/>
      <c r="K309" s="38">
        <f>IF($C309="","",IFERROR(N(INDEX(tbl_Finance[Invoice Count],MATCH($AU309,tbl_Finance[Row ID],0))),""))</f>
        <v/>
      </c>
      <c r="L309" s="11">
        <f>IF($C309="","",IFERROR(N(INDEX(tbl_Finance[Xero Invoiced Ex GST],MATCH($AU309,tbl_Finance[Row ID],0))),""))</f>
        <v/>
      </c>
      <c r="M309" s="10">
        <f>IF($C309="","",IFERROR(INDEX(tbl_Finance[Compare],MATCH($AU309,tbl_Finance[Row ID],0))&amp;"",""))</f>
        <v/>
      </c>
      <c r="N309" s="11">
        <f>IF($C309="","",MAX(0,N(O309)-N(L309)))</f>
        <v/>
      </c>
      <c r="O309" s="39" t="n"/>
      <c r="P309" s="40">
        <f>IF($C309="","",IF((IF(F309="",", Client","")&amp;IF(G309="",", Description","")&amp;IF(H309="",", Cost Centre","")&amp;IF(I309="",", Invoice Type","")&amp;IF(J309="",", Tax Code","")&amp;IF(O309="",", Expected Revenue","")&amp;IF(COUNTIF(tbl_Finance[Job Number],$C309&amp;"")&gt;1,", Job number used twice",""))="","Complete","Fix: "&amp;MID(IF(F309="",", Client","")&amp;IF(G309="",", Description","")&amp;IF(H309="",", Cost Centre","")&amp;IF(I309="",", Invoice Type","")&amp;IF(J309="",", Tax Code","")&amp;IF(O309="",", Expected Revenue","")&amp;IF(COUNTIF(tbl_Finance[Job Number],$C309&amp;"")&gt;1,", Job number used twice",""),3,300)))</f>
        <v/>
      </c>
      <c r="Q309" s="10">
        <f>IF($C309="","",IF(H309="","(no cost centre)",H309&amp;" - GL "&amp;IFERROR(INDEX(lst_CCtoGL,MATCH(H309,lst_CCforGL,0)),"?")))</f>
        <v/>
      </c>
      <c r="R309" s="11">
        <f>IF($C309="","",IFERROR(N(INDEX(tbl_Finance[Inc GST],MATCH($AU309,tbl_Finance[Row ID],0))),""))</f>
        <v/>
      </c>
      <c r="S309" s="37" t="n"/>
      <c r="T309" s="37" t="n"/>
      <c r="U309" s="37" t="n"/>
      <c r="V309" s="42" t="n"/>
      <c r="W309" s="37" t="n"/>
      <c r="X309" s="10">
        <f>IF(W309="","",IF(AND(LEFT(W309,4)&lt;&gt;"http",set_RMSBase=""),"",HYPERLINK(IF(LEFT(W309,4)="http",W309,set_RMSBase&amp;W309),"Open in RMS")))</f>
        <v/>
      </c>
      <c r="Y309" s="37" t="n"/>
      <c r="Z309" s="10">
        <f>IF(Y309="","",HYPERLINK(IF(LEFT(Y309,4)="http",Y309,set_QwilrBase&amp;Y309),"Open quote"))</f>
        <v/>
      </c>
      <c r="AA309" s="10">
        <f>IF(C309="","",C309)</f>
        <v/>
      </c>
      <c r="AB309" s="37" t="n"/>
      <c r="AC309" s="39" t="n"/>
      <c r="AD309" s="11">
        <f>IF(C309="","",N(L309)+N(AC309))</f>
        <v/>
      </c>
      <c r="AE309" s="43">
        <f>IFERROR(IF(N(AC309)=0,"",AC309/AD309),"")</f>
        <v/>
      </c>
      <c r="AF309" s="39" t="n"/>
      <c r="AG309" s="39" t="n"/>
      <c r="AH309" s="39" t="n"/>
      <c r="AI309" s="39" t="n"/>
      <c r="AJ309" s="11">
        <f>IF(C309="","",IF(H309="VIDEO",N(L309),0))</f>
        <v/>
      </c>
      <c r="AK309" s="43">
        <f>IFERROR(IF(N(L309)=0,"",AJ309/L309),"")</f>
        <v/>
      </c>
      <c r="AL309" s="11">
        <f>IF(C309="","",N(AF309)+N(AG309)+N(AH309)+N(AI309))</f>
        <v/>
      </c>
      <c r="AM309" s="11">
        <f>IF(C309="","",MAX(N(L309),N(O309))-N(AL309))</f>
        <v/>
      </c>
      <c r="AN309" s="43">
        <f>IFERROR(IF(MAX(N(L309),N(O309))=0,"",AM309/MAX(N(L309),N(O309))),"")</f>
        <v/>
      </c>
      <c r="AO309" s="41" t="n"/>
      <c r="AP309" s="41" t="n"/>
      <c r="AQ309" s="41" t="n"/>
      <c r="AR309" s="41" t="n"/>
      <c r="AS309" s="41" t="n"/>
      <c r="AT309" s="37" t="n"/>
      <c r="AU309" s="10" t="inlineStr">
        <is>
          <t>PRD-0305</t>
        </is>
      </c>
    </row>
    <row r="310">
      <c r="A310" s="16">
        <f>IF($C310="","",IFERROR(IF(INDEX(tbl_Finance[Latest Invoice Date],MATCH($AU310,tbl_Finance[Row ID],0))="","",INDEX(tbl_Finance[Latest Invoice Date],MATCH($AU310,tbl_Finance[Row ID],0))),""))</f>
        <v/>
      </c>
      <c r="B310" s="10">
        <f>IF($C310="","",IFERROR(INDEX(tbl_Finance[Invoice Numbers],MATCH($AU310,tbl_Finance[Row ID],0))&amp;"",""))</f>
        <v/>
      </c>
      <c r="C310" s="37" t="n"/>
      <c r="D310" s="10">
        <f>IF($C310="","",IF(COUNTIF(lst_Jobs,$C310&amp;"")&gt;0,"OK","CHECK"))</f>
        <v/>
      </c>
      <c r="E310" s="10">
        <f>IF($C310="","",IFERROR(INDEX(lst_JobName,MATCH($C310&amp;"",lst_Jobs,0)),""))</f>
        <v/>
      </c>
      <c r="F310" s="37" t="n"/>
      <c r="G310" s="37" t="n"/>
      <c r="H310" s="37" t="n"/>
      <c r="I310" s="37" t="n"/>
      <c r="J310" s="37" t="n"/>
      <c r="K310" s="38">
        <f>IF($C310="","",IFERROR(N(INDEX(tbl_Finance[Invoice Count],MATCH($AU310,tbl_Finance[Row ID],0))),""))</f>
        <v/>
      </c>
      <c r="L310" s="11">
        <f>IF($C310="","",IFERROR(N(INDEX(tbl_Finance[Xero Invoiced Ex GST],MATCH($AU310,tbl_Finance[Row ID],0))),""))</f>
        <v/>
      </c>
      <c r="M310" s="10">
        <f>IF($C310="","",IFERROR(INDEX(tbl_Finance[Compare],MATCH($AU310,tbl_Finance[Row ID],0))&amp;"",""))</f>
        <v/>
      </c>
      <c r="N310" s="11">
        <f>IF($C310="","",MAX(0,N(O310)-N(L310)))</f>
        <v/>
      </c>
      <c r="O310" s="39" t="n"/>
      <c r="P310" s="40">
        <f>IF($C310="","",IF((IF(F310="",", Client","")&amp;IF(G310="",", Description","")&amp;IF(H310="",", Cost Centre","")&amp;IF(I310="",", Invoice Type","")&amp;IF(J310="",", Tax Code","")&amp;IF(O310="",", Expected Revenue","")&amp;IF(COUNTIF(tbl_Finance[Job Number],$C310&amp;"")&gt;1,", Job number used twice",""))="","Complete","Fix: "&amp;MID(IF(F310="",", Client","")&amp;IF(G310="",", Description","")&amp;IF(H310="",", Cost Centre","")&amp;IF(I310="",", Invoice Type","")&amp;IF(J310="",", Tax Code","")&amp;IF(O310="",", Expected Revenue","")&amp;IF(COUNTIF(tbl_Finance[Job Number],$C310&amp;"")&gt;1,", Job number used twice",""),3,300)))</f>
        <v/>
      </c>
      <c r="Q310" s="10">
        <f>IF($C310="","",IF(H310="","(no cost centre)",H310&amp;" - GL "&amp;IFERROR(INDEX(lst_CCtoGL,MATCH(H310,lst_CCforGL,0)),"?")))</f>
        <v/>
      </c>
      <c r="R310" s="11">
        <f>IF($C310="","",IFERROR(N(INDEX(tbl_Finance[Inc GST],MATCH($AU310,tbl_Finance[Row ID],0))),""))</f>
        <v/>
      </c>
      <c r="S310" s="37" t="n"/>
      <c r="T310" s="37" t="n"/>
      <c r="U310" s="37" t="n"/>
      <c r="V310" s="42" t="n"/>
      <c r="W310" s="37" t="n"/>
      <c r="X310" s="10">
        <f>IF(W310="","",IF(AND(LEFT(W310,4)&lt;&gt;"http",set_RMSBase=""),"",HYPERLINK(IF(LEFT(W310,4)="http",W310,set_RMSBase&amp;W310),"Open in RMS")))</f>
        <v/>
      </c>
      <c r="Y310" s="37" t="n"/>
      <c r="Z310" s="10">
        <f>IF(Y310="","",HYPERLINK(IF(LEFT(Y310,4)="http",Y310,set_QwilrBase&amp;Y310),"Open quote"))</f>
        <v/>
      </c>
      <c r="AA310" s="10">
        <f>IF(C310="","",C310)</f>
        <v/>
      </c>
      <c r="AB310" s="37" t="n"/>
      <c r="AC310" s="39" t="n"/>
      <c r="AD310" s="11">
        <f>IF(C310="","",N(L310)+N(AC310))</f>
        <v/>
      </c>
      <c r="AE310" s="43">
        <f>IFERROR(IF(N(AC310)=0,"",AC310/AD310),"")</f>
        <v/>
      </c>
      <c r="AF310" s="39" t="n"/>
      <c r="AG310" s="39" t="n"/>
      <c r="AH310" s="39" t="n"/>
      <c r="AI310" s="39" t="n"/>
      <c r="AJ310" s="11">
        <f>IF(C310="","",IF(H310="VIDEO",N(L310),0))</f>
        <v/>
      </c>
      <c r="AK310" s="43">
        <f>IFERROR(IF(N(L310)=0,"",AJ310/L310),"")</f>
        <v/>
      </c>
      <c r="AL310" s="11">
        <f>IF(C310="","",N(AF310)+N(AG310)+N(AH310)+N(AI310))</f>
        <v/>
      </c>
      <c r="AM310" s="11">
        <f>IF(C310="","",MAX(N(L310),N(O310))-N(AL310))</f>
        <v/>
      </c>
      <c r="AN310" s="43">
        <f>IFERROR(IF(MAX(N(L310),N(O310))=0,"",AM310/MAX(N(L310),N(O310))),"")</f>
        <v/>
      </c>
      <c r="AO310" s="41" t="n"/>
      <c r="AP310" s="41" t="n"/>
      <c r="AQ310" s="41" t="n"/>
      <c r="AR310" s="41" t="n"/>
      <c r="AS310" s="41" t="n"/>
      <c r="AT310" s="37" t="n"/>
      <c r="AU310" s="10" t="inlineStr">
        <is>
          <t>PRD-0306</t>
        </is>
      </c>
    </row>
    <row r="311">
      <c r="A311" s="16">
        <f>IF($C311="","",IFERROR(IF(INDEX(tbl_Finance[Latest Invoice Date],MATCH($AU311,tbl_Finance[Row ID],0))="","",INDEX(tbl_Finance[Latest Invoice Date],MATCH($AU311,tbl_Finance[Row ID],0))),""))</f>
        <v/>
      </c>
      <c r="B311" s="10">
        <f>IF($C311="","",IFERROR(INDEX(tbl_Finance[Invoice Numbers],MATCH($AU311,tbl_Finance[Row ID],0))&amp;"",""))</f>
        <v/>
      </c>
      <c r="C311" s="37" t="n"/>
      <c r="D311" s="10">
        <f>IF($C311="","",IF(COUNTIF(lst_Jobs,$C311&amp;"")&gt;0,"OK","CHECK"))</f>
        <v/>
      </c>
      <c r="E311" s="10">
        <f>IF($C311="","",IFERROR(INDEX(lst_JobName,MATCH($C311&amp;"",lst_Jobs,0)),""))</f>
        <v/>
      </c>
      <c r="F311" s="37" t="n"/>
      <c r="G311" s="37" t="n"/>
      <c r="H311" s="37" t="n"/>
      <c r="I311" s="37" t="n"/>
      <c r="J311" s="37" t="n"/>
      <c r="K311" s="38">
        <f>IF($C311="","",IFERROR(N(INDEX(tbl_Finance[Invoice Count],MATCH($AU311,tbl_Finance[Row ID],0))),""))</f>
        <v/>
      </c>
      <c r="L311" s="11">
        <f>IF($C311="","",IFERROR(N(INDEX(tbl_Finance[Xero Invoiced Ex GST],MATCH($AU311,tbl_Finance[Row ID],0))),""))</f>
        <v/>
      </c>
      <c r="M311" s="10">
        <f>IF($C311="","",IFERROR(INDEX(tbl_Finance[Compare],MATCH($AU311,tbl_Finance[Row ID],0))&amp;"",""))</f>
        <v/>
      </c>
      <c r="N311" s="11">
        <f>IF($C311="","",MAX(0,N(O311)-N(L311)))</f>
        <v/>
      </c>
      <c r="O311" s="39" t="n"/>
      <c r="P311" s="40">
        <f>IF($C311="","",IF((IF(F311="",", Client","")&amp;IF(G311="",", Description","")&amp;IF(H311="",", Cost Centre","")&amp;IF(I311="",", Invoice Type","")&amp;IF(J311="",", Tax Code","")&amp;IF(O311="",", Expected Revenue","")&amp;IF(COUNTIF(tbl_Finance[Job Number],$C311&amp;"")&gt;1,", Job number used twice",""))="","Complete","Fix: "&amp;MID(IF(F311="",", Client","")&amp;IF(G311="",", Description","")&amp;IF(H311="",", Cost Centre","")&amp;IF(I311="",", Invoice Type","")&amp;IF(J311="",", Tax Code","")&amp;IF(O311="",", Expected Revenue","")&amp;IF(COUNTIF(tbl_Finance[Job Number],$C311&amp;"")&gt;1,", Job number used twice",""),3,300)))</f>
        <v/>
      </c>
      <c r="Q311" s="10">
        <f>IF($C311="","",IF(H311="","(no cost centre)",H311&amp;" - GL "&amp;IFERROR(INDEX(lst_CCtoGL,MATCH(H311,lst_CCforGL,0)),"?")))</f>
        <v/>
      </c>
      <c r="R311" s="11">
        <f>IF($C311="","",IFERROR(N(INDEX(tbl_Finance[Inc GST],MATCH($AU311,tbl_Finance[Row ID],0))),""))</f>
        <v/>
      </c>
      <c r="S311" s="37" t="n"/>
      <c r="T311" s="37" t="n"/>
      <c r="U311" s="37" t="n"/>
      <c r="V311" s="42" t="n"/>
      <c r="W311" s="37" t="n"/>
      <c r="X311" s="10">
        <f>IF(W311="","",IF(AND(LEFT(W311,4)&lt;&gt;"http",set_RMSBase=""),"",HYPERLINK(IF(LEFT(W311,4)="http",W311,set_RMSBase&amp;W311),"Open in RMS")))</f>
        <v/>
      </c>
      <c r="Y311" s="37" t="n"/>
      <c r="Z311" s="10">
        <f>IF(Y311="","",HYPERLINK(IF(LEFT(Y311,4)="http",Y311,set_QwilrBase&amp;Y311),"Open quote"))</f>
        <v/>
      </c>
      <c r="AA311" s="10">
        <f>IF(C311="","",C311)</f>
        <v/>
      </c>
      <c r="AB311" s="37" t="n"/>
      <c r="AC311" s="39" t="n"/>
      <c r="AD311" s="11">
        <f>IF(C311="","",N(L311)+N(AC311))</f>
        <v/>
      </c>
      <c r="AE311" s="43">
        <f>IFERROR(IF(N(AC311)=0,"",AC311/AD311),"")</f>
        <v/>
      </c>
      <c r="AF311" s="39" t="n"/>
      <c r="AG311" s="39" t="n"/>
      <c r="AH311" s="39" t="n"/>
      <c r="AI311" s="39" t="n"/>
      <c r="AJ311" s="11">
        <f>IF(C311="","",IF(H311="VIDEO",N(L311),0))</f>
        <v/>
      </c>
      <c r="AK311" s="43">
        <f>IFERROR(IF(N(L311)=0,"",AJ311/L311),"")</f>
        <v/>
      </c>
      <c r="AL311" s="11">
        <f>IF(C311="","",N(AF311)+N(AG311)+N(AH311)+N(AI311))</f>
        <v/>
      </c>
      <c r="AM311" s="11">
        <f>IF(C311="","",MAX(N(L311),N(O311))-N(AL311))</f>
        <v/>
      </c>
      <c r="AN311" s="43">
        <f>IFERROR(IF(MAX(N(L311),N(O311))=0,"",AM311/MAX(N(L311),N(O311))),"")</f>
        <v/>
      </c>
      <c r="AO311" s="41" t="n"/>
      <c r="AP311" s="41" t="n"/>
      <c r="AQ311" s="41" t="n"/>
      <c r="AR311" s="41" t="n"/>
      <c r="AS311" s="41" t="n"/>
      <c r="AT311" s="37" t="n"/>
      <c r="AU311" s="10" t="inlineStr">
        <is>
          <t>PRD-0307</t>
        </is>
      </c>
    </row>
    <row r="312">
      <c r="A312" s="16">
        <f>IF($C312="","",IFERROR(IF(INDEX(tbl_Finance[Latest Invoice Date],MATCH($AU312,tbl_Finance[Row ID],0))="","",INDEX(tbl_Finance[Latest Invoice Date],MATCH($AU312,tbl_Finance[Row ID],0))),""))</f>
        <v/>
      </c>
      <c r="B312" s="10">
        <f>IF($C312="","",IFERROR(INDEX(tbl_Finance[Invoice Numbers],MATCH($AU312,tbl_Finance[Row ID],0))&amp;"",""))</f>
        <v/>
      </c>
      <c r="C312" s="37" t="n"/>
      <c r="D312" s="10">
        <f>IF($C312="","",IF(COUNTIF(lst_Jobs,$C312&amp;"")&gt;0,"OK","CHECK"))</f>
        <v/>
      </c>
      <c r="E312" s="10">
        <f>IF($C312="","",IFERROR(INDEX(lst_JobName,MATCH($C312&amp;"",lst_Jobs,0)),""))</f>
        <v/>
      </c>
      <c r="F312" s="37" t="n"/>
      <c r="G312" s="37" t="n"/>
      <c r="H312" s="37" t="n"/>
      <c r="I312" s="37" t="n"/>
      <c r="J312" s="37" t="n"/>
      <c r="K312" s="38">
        <f>IF($C312="","",IFERROR(N(INDEX(tbl_Finance[Invoice Count],MATCH($AU312,tbl_Finance[Row ID],0))),""))</f>
        <v/>
      </c>
      <c r="L312" s="11">
        <f>IF($C312="","",IFERROR(N(INDEX(tbl_Finance[Xero Invoiced Ex GST],MATCH($AU312,tbl_Finance[Row ID],0))),""))</f>
        <v/>
      </c>
      <c r="M312" s="10">
        <f>IF($C312="","",IFERROR(INDEX(tbl_Finance[Compare],MATCH($AU312,tbl_Finance[Row ID],0))&amp;"",""))</f>
        <v/>
      </c>
      <c r="N312" s="11">
        <f>IF($C312="","",MAX(0,N(O312)-N(L312)))</f>
        <v/>
      </c>
      <c r="O312" s="39" t="n"/>
      <c r="P312" s="40">
        <f>IF($C312="","",IF((IF(F312="",", Client","")&amp;IF(G312="",", Description","")&amp;IF(H312="",", Cost Centre","")&amp;IF(I312="",", Invoice Type","")&amp;IF(J312="",", Tax Code","")&amp;IF(O312="",", Expected Revenue","")&amp;IF(COUNTIF(tbl_Finance[Job Number],$C312&amp;"")&gt;1,", Job number used twice",""))="","Complete","Fix: "&amp;MID(IF(F312="",", Client","")&amp;IF(G312="",", Description","")&amp;IF(H312="",", Cost Centre","")&amp;IF(I312="",", Invoice Type","")&amp;IF(J312="",", Tax Code","")&amp;IF(O312="",", Expected Revenue","")&amp;IF(COUNTIF(tbl_Finance[Job Number],$C312&amp;"")&gt;1,", Job number used twice",""),3,300)))</f>
        <v/>
      </c>
      <c r="Q312" s="10">
        <f>IF($C312="","",IF(H312="","(no cost centre)",H312&amp;" - GL "&amp;IFERROR(INDEX(lst_CCtoGL,MATCH(H312,lst_CCforGL,0)),"?")))</f>
        <v/>
      </c>
      <c r="R312" s="11">
        <f>IF($C312="","",IFERROR(N(INDEX(tbl_Finance[Inc GST],MATCH($AU312,tbl_Finance[Row ID],0))),""))</f>
        <v/>
      </c>
      <c r="S312" s="37" t="n"/>
      <c r="T312" s="37" t="n"/>
      <c r="U312" s="37" t="n"/>
      <c r="V312" s="42" t="n"/>
      <c r="W312" s="37" t="n"/>
      <c r="X312" s="10">
        <f>IF(W312="","",IF(AND(LEFT(W312,4)&lt;&gt;"http",set_RMSBase=""),"",HYPERLINK(IF(LEFT(W312,4)="http",W312,set_RMSBase&amp;W312),"Open in RMS")))</f>
        <v/>
      </c>
      <c r="Y312" s="37" t="n"/>
      <c r="Z312" s="10">
        <f>IF(Y312="","",HYPERLINK(IF(LEFT(Y312,4)="http",Y312,set_QwilrBase&amp;Y312),"Open quote"))</f>
        <v/>
      </c>
      <c r="AA312" s="10">
        <f>IF(C312="","",C312)</f>
        <v/>
      </c>
      <c r="AB312" s="37" t="n"/>
      <c r="AC312" s="39" t="n"/>
      <c r="AD312" s="11">
        <f>IF(C312="","",N(L312)+N(AC312))</f>
        <v/>
      </c>
      <c r="AE312" s="43">
        <f>IFERROR(IF(N(AC312)=0,"",AC312/AD312),"")</f>
        <v/>
      </c>
      <c r="AF312" s="39" t="n"/>
      <c r="AG312" s="39" t="n"/>
      <c r="AH312" s="39" t="n"/>
      <c r="AI312" s="39" t="n"/>
      <c r="AJ312" s="11">
        <f>IF(C312="","",IF(H312="VIDEO",N(L312),0))</f>
        <v/>
      </c>
      <c r="AK312" s="43">
        <f>IFERROR(IF(N(L312)=0,"",AJ312/L312),"")</f>
        <v/>
      </c>
      <c r="AL312" s="11">
        <f>IF(C312="","",N(AF312)+N(AG312)+N(AH312)+N(AI312))</f>
        <v/>
      </c>
      <c r="AM312" s="11">
        <f>IF(C312="","",MAX(N(L312),N(O312))-N(AL312))</f>
        <v/>
      </c>
      <c r="AN312" s="43">
        <f>IFERROR(IF(MAX(N(L312),N(O312))=0,"",AM312/MAX(N(L312),N(O312))),"")</f>
        <v/>
      </c>
      <c r="AO312" s="41" t="n"/>
      <c r="AP312" s="41" t="n"/>
      <c r="AQ312" s="41" t="n"/>
      <c r="AR312" s="41" t="n"/>
      <c r="AS312" s="41" t="n"/>
      <c r="AT312" s="37" t="n"/>
      <c r="AU312" s="10" t="inlineStr">
        <is>
          <t>PRD-0308</t>
        </is>
      </c>
    </row>
    <row r="313">
      <c r="A313" s="16">
        <f>IF($C313="","",IFERROR(IF(INDEX(tbl_Finance[Latest Invoice Date],MATCH($AU313,tbl_Finance[Row ID],0))="","",INDEX(tbl_Finance[Latest Invoice Date],MATCH($AU313,tbl_Finance[Row ID],0))),""))</f>
        <v/>
      </c>
      <c r="B313" s="10">
        <f>IF($C313="","",IFERROR(INDEX(tbl_Finance[Invoice Numbers],MATCH($AU313,tbl_Finance[Row ID],0))&amp;"",""))</f>
        <v/>
      </c>
      <c r="C313" s="37" t="n"/>
      <c r="D313" s="10">
        <f>IF($C313="","",IF(COUNTIF(lst_Jobs,$C313&amp;"")&gt;0,"OK","CHECK"))</f>
        <v/>
      </c>
      <c r="E313" s="10">
        <f>IF($C313="","",IFERROR(INDEX(lst_JobName,MATCH($C313&amp;"",lst_Jobs,0)),""))</f>
        <v/>
      </c>
      <c r="F313" s="37" t="n"/>
      <c r="G313" s="37" t="n"/>
      <c r="H313" s="37" t="n"/>
      <c r="I313" s="37" t="n"/>
      <c r="J313" s="37" t="n"/>
      <c r="K313" s="38">
        <f>IF($C313="","",IFERROR(N(INDEX(tbl_Finance[Invoice Count],MATCH($AU313,tbl_Finance[Row ID],0))),""))</f>
        <v/>
      </c>
      <c r="L313" s="11">
        <f>IF($C313="","",IFERROR(N(INDEX(tbl_Finance[Xero Invoiced Ex GST],MATCH($AU313,tbl_Finance[Row ID],0))),""))</f>
        <v/>
      </c>
      <c r="M313" s="10">
        <f>IF($C313="","",IFERROR(INDEX(tbl_Finance[Compare],MATCH($AU313,tbl_Finance[Row ID],0))&amp;"",""))</f>
        <v/>
      </c>
      <c r="N313" s="11">
        <f>IF($C313="","",MAX(0,N(O313)-N(L313)))</f>
        <v/>
      </c>
      <c r="O313" s="39" t="n"/>
      <c r="P313" s="40">
        <f>IF($C313="","",IF((IF(F313="",", Client","")&amp;IF(G313="",", Description","")&amp;IF(H313="",", Cost Centre","")&amp;IF(I313="",", Invoice Type","")&amp;IF(J313="",", Tax Code","")&amp;IF(O313="",", Expected Revenue","")&amp;IF(COUNTIF(tbl_Finance[Job Number],$C313&amp;"")&gt;1,", Job number used twice",""))="","Complete","Fix: "&amp;MID(IF(F313="",", Client","")&amp;IF(G313="",", Description","")&amp;IF(H313="",", Cost Centre","")&amp;IF(I313="",", Invoice Type","")&amp;IF(J313="",", Tax Code","")&amp;IF(O313="",", Expected Revenue","")&amp;IF(COUNTIF(tbl_Finance[Job Number],$C313&amp;"")&gt;1,", Job number used twice",""),3,300)))</f>
        <v/>
      </c>
      <c r="Q313" s="10">
        <f>IF($C313="","",IF(H313="","(no cost centre)",H313&amp;" - GL "&amp;IFERROR(INDEX(lst_CCtoGL,MATCH(H313,lst_CCforGL,0)),"?")))</f>
        <v/>
      </c>
      <c r="R313" s="11">
        <f>IF($C313="","",IFERROR(N(INDEX(tbl_Finance[Inc GST],MATCH($AU313,tbl_Finance[Row ID],0))),""))</f>
        <v/>
      </c>
      <c r="S313" s="37" t="n"/>
      <c r="T313" s="37" t="n"/>
      <c r="U313" s="37" t="n"/>
      <c r="V313" s="42" t="n"/>
      <c r="W313" s="37" t="n"/>
      <c r="X313" s="10">
        <f>IF(W313="","",IF(AND(LEFT(W313,4)&lt;&gt;"http",set_RMSBase=""),"",HYPERLINK(IF(LEFT(W313,4)="http",W313,set_RMSBase&amp;W313),"Open in RMS")))</f>
        <v/>
      </c>
      <c r="Y313" s="37" t="n"/>
      <c r="Z313" s="10">
        <f>IF(Y313="","",HYPERLINK(IF(LEFT(Y313,4)="http",Y313,set_QwilrBase&amp;Y313),"Open quote"))</f>
        <v/>
      </c>
      <c r="AA313" s="10">
        <f>IF(C313="","",C313)</f>
        <v/>
      </c>
      <c r="AB313" s="37" t="n"/>
      <c r="AC313" s="39" t="n"/>
      <c r="AD313" s="11">
        <f>IF(C313="","",N(L313)+N(AC313))</f>
        <v/>
      </c>
      <c r="AE313" s="43">
        <f>IFERROR(IF(N(AC313)=0,"",AC313/AD313),"")</f>
        <v/>
      </c>
      <c r="AF313" s="39" t="n"/>
      <c r="AG313" s="39" t="n"/>
      <c r="AH313" s="39" t="n"/>
      <c r="AI313" s="39" t="n"/>
      <c r="AJ313" s="11">
        <f>IF(C313="","",IF(H313="VIDEO",N(L313),0))</f>
        <v/>
      </c>
      <c r="AK313" s="43">
        <f>IFERROR(IF(N(L313)=0,"",AJ313/L313),"")</f>
        <v/>
      </c>
      <c r="AL313" s="11">
        <f>IF(C313="","",N(AF313)+N(AG313)+N(AH313)+N(AI313))</f>
        <v/>
      </c>
      <c r="AM313" s="11">
        <f>IF(C313="","",MAX(N(L313),N(O313))-N(AL313))</f>
        <v/>
      </c>
      <c r="AN313" s="43">
        <f>IFERROR(IF(MAX(N(L313),N(O313))=0,"",AM313/MAX(N(L313),N(O313))),"")</f>
        <v/>
      </c>
      <c r="AO313" s="41" t="n"/>
      <c r="AP313" s="41" t="n"/>
      <c r="AQ313" s="41" t="n"/>
      <c r="AR313" s="41" t="n"/>
      <c r="AS313" s="41" t="n"/>
      <c r="AT313" s="37" t="n"/>
      <c r="AU313" s="10" t="inlineStr">
        <is>
          <t>PRD-0309</t>
        </is>
      </c>
    </row>
    <row r="314">
      <c r="A314" s="16">
        <f>IF($C314="","",IFERROR(IF(INDEX(tbl_Finance[Latest Invoice Date],MATCH($AU314,tbl_Finance[Row ID],0))="","",INDEX(tbl_Finance[Latest Invoice Date],MATCH($AU314,tbl_Finance[Row ID],0))),""))</f>
        <v/>
      </c>
      <c r="B314" s="10">
        <f>IF($C314="","",IFERROR(INDEX(tbl_Finance[Invoice Numbers],MATCH($AU314,tbl_Finance[Row ID],0))&amp;"",""))</f>
        <v/>
      </c>
      <c r="C314" s="37" t="n"/>
      <c r="D314" s="10">
        <f>IF($C314="","",IF(COUNTIF(lst_Jobs,$C314&amp;"")&gt;0,"OK","CHECK"))</f>
        <v/>
      </c>
      <c r="E314" s="10">
        <f>IF($C314="","",IFERROR(INDEX(lst_JobName,MATCH($C314&amp;"",lst_Jobs,0)),""))</f>
        <v/>
      </c>
      <c r="F314" s="37" t="n"/>
      <c r="G314" s="37" t="n"/>
      <c r="H314" s="37" t="n"/>
      <c r="I314" s="37" t="n"/>
      <c r="J314" s="37" t="n"/>
      <c r="K314" s="38">
        <f>IF($C314="","",IFERROR(N(INDEX(tbl_Finance[Invoice Count],MATCH($AU314,tbl_Finance[Row ID],0))),""))</f>
        <v/>
      </c>
      <c r="L314" s="11">
        <f>IF($C314="","",IFERROR(N(INDEX(tbl_Finance[Xero Invoiced Ex GST],MATCH($AU314,tbl_Finance[Row ID],0))),""))</f>
        <v/>
      </c>
      <c r="M314" s="10">
        <f>IF($C314="","",IFERROR(INDEX(tbl_Finance[Compare],MATCH($AU314,tbl_Finance[Row ID],0))&amp;"",""))</f>
        <v/>
      </c>
      <c r="N314" s="11">
        <f>IF($C314="","",MAX(0,N(O314)-N(L314)))</f>
        <v/>
      </c>
      <c r="O314" s="39" t="n"/>
      <c r="P314" s="40">
        <f>IF($C314="","",IF((IF(F314="",", Client","")&amp;IF(G314="",", Description","")&amp;IF(H314="",", Cost Centre","")&amp;IF(I314="",", Invoice Type","")&amp;IF(J314="",", Tax Code","")&amp;IF(O314="",", Expected Revenue","")&amp;IF(COUNTIF(tbl_Finance[Job Number],$C314&amp;"")&gt;1,", Job number used twice",""))="","Complete","Fix: "&amp;MID(IF(F314="",", Client","")&amp;IF(G314="",", Description","")&amp;IF(H314="",", Cost Centre","")&amp;IF(I314="",", Invoice Type","")&amp;IF(J314="",", Tax Code","")&amp;IF(O314="",", Expected Revenue","")&amp;IF(COUNTIF(tbl_Finance[Job Number],$C314&amp;"")&gt;1,", Job number used twice",""),3,300)))</f>
        <v/>
      </c>
      <c r="Q314" s="10">
        <f>IF($C314="","",IF(H314="","(no cost centre)",H314&amp;" - GL "&amp;IFERROR(INDEX(lst_CCtoGL,MATCH(H314,lst_CCforGL,0)),"?")))</f>
        <v/>
      </c>
      <c r="R314" s="11">
        <f>IF($C314="","",IFERROR(N(INDEX(tbl_Finance[Inc GST],MATCH($AU314,tbl_Finance[Row ID],0))),""))</f>
        <v/>
      </c>
      <c r="S314" s="37" t="n"/>
      <c r="T314" s="37" t="n"/>
      <c r="U314" s="37" t="n"/>
      <c r="V314" s="42" t="n"/>
      <c r="W314" s="37" t="n"/>
      <c r="X314" s="10">
        <f>IF(W314="","",IF(AND(LEFT(W314,4)&lt;&gt;"http",set_RMSBase=""),"",HYPERLINK(IF(LEFT(W314,4)="http",W314,set_RMSBase&amp;W314),"Open in RMS")))</f>
        <v/>
      </c>
      <c r="Y314" s="37" t="n"/>
      <c r="Z314" s="10">
        <f>IF(Y314="","",HYPERLINK(IF(LEFT(Y314,4)="http",Y314,set_QwilrBase&amp;Y314),"Open quote"))</f>
        <v/>
      </c>
      <c r="AA314" s="10">
        <f>IF(C314="","",C314)</f>
        <v/>
      </c>
      <c r="AB314" s="37" t="n"/>
      <c r="AC314" s="39" t="n"/>
      <c r="AD314" s="11">
        <f>IF(C314="","",N(L314)+N(AC314))</f>
        <v/>
      </c>
      <c r="AE314" s="43">
        <f>IFERROR(IF(N(AC314)=0,"",AC314/AD314),"")</f>
        <v/>
      </c>
      <c r="AF314" s="39" t="n"/>
      <c r="AG314" s="39" t="n"/>
      <c r="AH314" s="39" t="n"/>
      <c r="AI314" s="39" t="n"/>
      <c r="AJ314" s="11">
        <f>IF(C314="","",IF(H314="VIDEO",N(L314),0))</f>
        <v/>
      </c>
      <c r="AK314" s="43">
        <f>IFERROR(IF(N(L314)=0,"",AJ314/L314),"")</f>
        <v/>
      </c>
      <c r="AL314" s="11">
        <f>IF(C314="","",N(AF314)+N(AG314)+N(AH314)+N(AI314))</f>
        <v/>
      </c>
      <c r="AM314" s="11">
        <f>IF(C314="","",MAX(N(L314),N(O314))-N(AL314))</f>
        <v/>
      </c>
      <c r="AN314" s="43">
        <f>IFERROR(IF(MAX(N(L314),N(O314))=0,"",AM314/MAX(N(L314),N(O314))),"")</f>
        <v/>
      </c>
      <c r="AO314" s="41" t="n"/>
      <c r="AP314" s="41" t="n"/>
      <c r="AQ314" s="41" t="n"/>
      <c r="AR314" s="41" t="n"/>
      <c r="AS314" s="41" t="n"/>
      <c r="AT314" s="37" t="n"/>
      <c r="AU314" s="10" t="inlineStr">
        <is>
          <t>PRD-0310</t>
        </is>
      </c>
    </row>
    <row r="315">
      <c r="A315" s="16">
        <f>IF($C315="","",IFERROR(IF(INDEX(tbl_Finance[Latest Invoice Date],MATCH($AU315,tbl_Finance[Row ID],0))="","",INDEX(tbl_Finance[Latest Invoice Date],MATCH($AU315,tbl_Finance[Row ID],0))),""))</f>
        <v/>
      </c>
      <c r="B315" s="10">
        <f>IF($C315="","",IFERROR(INDEX(tbl_Finance[Invoice Numbers],MATCH($AU315,tbl_Finance[Row ID],0))&amp;"",""))</f>
        <v/>
      </c>
      <c r="C315" s="37" t="n"/>
      <c r="D315" s="10">
        <f>IF($C315="","",IF(COUNTIF(lst_Jobs,$C315&amp;"")&gt;0,"OK","CHECK"))</f>
        <v/>
      </c>
      <c r="E315" s="10">
        <f>IF($C315="","",IFERROR(INDEX(lst_JobName,MATCH($C315&amp;"",lst_Jobs,0)),""))</f>
        <v/>
      </c>
      <c r="F315" s="37" t="n"/>
      <c r="G315" s="37" t="n"/>
      <c r="H315" s="37" t="n"/>
      <c r="I315" s="37" t="n"/>
      <c r="J315" s="37" t="n"/>
      <c r="K315" s="38">
        <f>IF($C315="","",IFERROR(N(INDEX(tbl_Finance[Invoice Count],MATCH($AU315,tbl_Finance[Row ID],0))),""))</f>
        <v/>
      </c>
      <c r="L315" s="11">
        <f>IF($C315="","",IFERROR(N(INDEX(tbl_Finance[Xero Invoiced Ex GST],MATCH($AU315,tbl_Finance[Row ID],0))),""))</f>
        <v/>
      </c>
      <c r="M315" s="10">
        <f>IF($C315="","",IFERROR(INDEX(tbl_Finance[Compare],MATCH($AU315,tbl_Finance[Row ID],0))&amp;"",""))</f>
        <v/>
      </c>
      <c r="N315" s="11">
        <f>IF($C315="","",MAX(0,N(O315)-N(L315)))</f>
        <v/>
      </c>
      <c r="O315" s="39" t="n"/>
      <c r="P315" s="40">
        <f>IF($C315="","",IF((IF(F315="",", Client","")&amp;IF(G315="",", Description","")&amp;IF(H315="",", Cost Centre","")&amp;IF(I315="",", Invoice Type","")&amp;IF(J315="",", Tax Code","")&amp;IF(O315="",", Expected Revenue","")&amp;IF(COUNTIF(tbl_Finance[Job Number],$C315&amp;"")&gt;1,", Job number used twice",""))="","Complete","Fix: "&amp;MID(IF(F315="",", Client","")&amp;IF(G315="",", Description","")&amp;IF(H315="",", Cost Centre","")&amp;IF(I315="",", Invoice Type","")&amp;IF(J315="",", Tax Code","")&amp;IF(O315="",", Expected Revenue","")&amp;IF(COUNTIF(tbl_Finance[Job Number],$C315&amp;"")&gt;1,", Job number used twice",""),3,300)))</f>
        <v/>
      </c>
      <c r="Q315" s="10">
        <f>IF($C315="","",IF(H315="","(no cost centre)",H315&amp;" - GL "&amp;IFERROR(INDEX(lst_CCtoGL,MATCH(H315,lst_CCforGL,0)),"?")))</f>
        <v/>
      </c>
      <c r="R315" s="11">
        <f>IF($C315="","",IFERROR(N(INDEX(tbl_Finance[Inc GST],MATCH($AU315,tbl_Finance[Row ID],0))),""))</f>
        <v/>
      </c>
      <c r="S315" s="37" t="n"/>
      <c r="T315" s="37" t="n"/>
      <c r="U315" s="37" t="n"/>
      <c r="V315" s="42" t="n"/>
      <c r="W315" s="37" t="n"/>
      <c r="X315" s="10">
        <f>IF(W315="","",IF(AND(LEFT(W315,4)&lt;&gt;"http",set_RMSBase=""),"",HYPERLINK(IF(LEFT(W315,4)="http",W315,set_RMSBase&amp;W315),"Open in RMS")))</f>
        <v/>
      </c>
      <c r="Y315" s="37" t="n"/>
      <c r="Z315" s="10">
        <f>IF(Y315="","",HYPERLINK(IF(LEFT(Y315,4)="http",Y315,set_QwilrBase&amp;Y315),"Open quote"))</f>
        <v/>
      </c>
      <c r="AA315" s="10">
        <f>IF(C315="","",C315)</f>
        <v/>
      </c>
      <c r="AB315" s="37" t="n"/>
      <c r="AC315" s="39" t="n"/>
      <c r="AD315" s="11">
        <f>IF(C315="","",N(L315)+N(AC315))</f>
        <v/>
      </c>
      <c r="AE315" s="43">
        <f>IFERROR(IF(N(AC315)=0,"",AC315/AD315),"")</f>
        <v/>
      </c>
      <c r="AF315" s="39" t="n"/>
      <c r="AG315" s="39" t="n"/>
      <c r="AH315" s="39" t="n"/>
      <c r="AI315" s="39" t="n"/>
      <c r="AJ315" s="11">
        <f>IF(C315="","",IF(H315="VIDEO",N(L315),0))</f>
        <v/>
      </c>
      <c r="AK315" s="43">
        <f>IFERROR(IF(N(L315)=0,"",AJ315/L315),"")</f>
        <v/>
      </c>
      <c r="AL315" s="11">
        <f>IF(C315="","",N(AF315)+N(AG315)+N(AH315)+N(AI315))</f>
        <v/>
      </c>
      <c r="AM315" s="11">
        <f>IF(C315="","",MAX(N(L315),N(O315))-N(AL315))</f>
        <v/>
      </c>
      <c r="AN315" s="43">
        <f>IFERROR(IF(MAX(N(L315),N(O315))=0,"",AM315/MAX(N(L315),N(O315))),"")</f>
        <v/>
      </c>
      <c r="AO315" s="41" t="n"/>
      <c r="AP315" s="41" t="n"/>
      <c r="AQ315" s="41" t="n"/>
      <c r="AR315" s="41" t="n"/>
      <c r="AS315" s="41" t="n"/>
      <c r="AT315" s="37" t="n"/>
      <c r="AU315" s="10" t="inlineStr">
        <is>
          <t>PRD-0311</t>
        </is>
      </c>
    </row>
    <row r="316">
      <c r="A316" s="16">
        <f>IF($C316="","",IFERROR(IF(INDEX(tbl_Finance[Latest Invoice Date],MATCH($AU316,tbl_Finance[Row ID],0))="","",INDEX(tbl_Finance[Latest Invoice Date],MATCH($AU316,tbl_Finance[Row ID],0))),""))</f>
        <v/>
      </c>
      <c r="B316" s="10">
        <f>IF($C316="","",IFERROR(INDEX(tbl_Finance[Invoice Numbers],MATCH($AU316,tbl_Finance[Row ID],0))&amp;"",""))</f>
        <v/>
      </c>
      <c r="C316" s="37" t="n"/>
      <c r="D316" s="10">
        <f>IF($C316="","",IF(COUNTIF(lst_Jobs,$C316&amp;"")&gt;0,"OK","CHECK"))</f>
        <v/>
      </c>
      <c r="E316" s="10">
        <f>IF($C316="","",IFERROR(INDEX(lst_JobName,MATCH($C316&amp;"",lst_Jobs,0)),""))</f>
        <v/>
      </c>
      <c r="F316" s="37" t="n"/>
      <c r="G316" s="37" t="n"/>
      <c r="H316" s="37" t="n"/>
      <c r="I316" s="37" t="n"/>
      <c r="J316" s="37" t="n"/>
      <c r="K316" s="38">
        <f>IF($C316="","",IFERROR(N(INDEX(tbl_Finance[Invoice Count],MATCH($AU316,tbl_Finance[Row ID],0))),""))</f>
        <v/>
      </c>
      <c r="L316" s="11">
        <f>IF($C316="","",IFERROR(N(INDEX(tbl_Finance[Xero Invoiced Ex GST],MATCH($AU316,tbl_Finance[Row ID],0))),""))</f>
        <v/>
      </c>
      <c r="M316" s="10">
        <f>IF($C316="","",IFERROR(INDEX(tbl_Finance[Compare],MATCH($AU316,tbl_Finance[Row ID],0))&amp;"",""))</f>
        <v/>
      </c>
      <c r="N316" s="11">
        <f>IF($C316="","",MAX(0,N(O316)-N(L316)))</f>
        <v/>
      </c>
      <c r="O316" s="39" t="n"/>
      <c r="P316" s="40">
        <f>IF($C316="","",IF((IF(F316="",", Client","")&amp;IF(G316="",", Description","")&amp;IF(H316="",", Cost Centre","")&amp;IF(I316="",", Invoice Type","")&amp;IF(J316="",", Tax Code","")&amp;IF(O316="",", Expected Revenue","")&amp;IF(COUNTIF(tbl_Finance[Job Number],$C316&amp;"")&gt;1,", Job number used twice",""))="","Complete","Fix: "&amp;MID(IF(F316="",", Client","")&amp;IF(G316="",", Description","")&amp;IF(H316="",", Cost Centre","")&amp;IF(I316="",", Invoice Type","")&amp;IF(J316="",", Tax Code","")&amp;IF(O316="",", Expected Revenue","")&amp;IF(COUNTIF(tbl_Finance[Job Number],$C316&amp;"")&gt;1,", Job number used twice",""),3,300)))</f>
        <v/>
      </c>
      <c r="Q316" s="10">
        <f>IF($C316="","",IF(H316="","(no cost centre)",H316&amp;" - GL "&amp;IFERROR(INDEX(lst_CCtoGL,MATCH(H316,lst_CCforGL,0)),"?")))</f>
        <v/>
      </c>
      <c r="R316" s="11">
        <f>IF($C316="","",IFERROR(N(INDEX(tbl_Finance[Inc GST],MATCH($AU316,tbl_Finance[Row ID],0))),""))</f>
        <v/>
      </c>
      <c r="S316" s="37" t="n"/>
      <c r="T316" s="37" t="n"/>
      <c r="U316" s="37" t="n"/>
      <c r="V316" s="42" t="n"/>
      <c r="W316" s="37" t="n"/>
      <c r="X316" s="10">
        <f>IF(W316="","",IF(AND(LEFT(W316,4)&lt;&gt;"http",set_RMSBase=""),"",HYPERLINK(IF(LEFT(W316,4)="http",W316,set_RMSBase&amp;W316),"Open in RMS")))</f>
        <v/>
      </c>
      <c r="Y316" s="37" t="n"/>
      <c r="Z316" s="10">
        <f>IF(Y316="","",HYPERLINK(IF(LEFT(Y316,4)="http",Y316,set_QwilrBase&amp;Y316),"Open quote"))</f>
        <v/>
      </c>
      <c r="AA316" s="10">
        <f>IF(C316="","",C316)</f>
        <v/>
      </c>
      <c r="AB316" s="37" t="n"/>
      <c r="AC316" s="39" t="n"/>
      <c r="AD316" s="11">
        <f>IF(C316="","",N(L316)+N(AC316))</f>
        <v/>
      </c>
      <c r="AE316" s="43">
        <f>IFERROR(IF(N(AC316)=0,"",AC316/AD316),"")</f>
        <v/>
      </c>
      <c r="AF316" s="39" t="n"/>
      <c r="AG316" s="39" t="n"/>
      <c r="AH316" s="39" t="n"/>
      <c r="AI316" s="39" t="n"/>
      <c r="AJ316" s="11">
        <f>IF(C316="","",IF(H316="VIDEO",N(L316),0))</f>
        <v/>
      </c>
      <c r="AK316" s="43">
        <f>IFERROR(IF(N(L316)=0,"",AJ316/L316),"")</f>
        <v/>
      </c>
      <c r="AL316" s="11">
        <f>IF(C316="","",N(AF316)+N(AG316)+N(AH316)+N(AI316))</f>
        <v/>
      </c>
      <c r="AM316" s="11">
        <f>IF(C316="","",MAX(N(L316),N(O316))-N(AL316))</f>
        <v/>
      </c>
      <c r="AN316" s="43">
        <f>IFERROR(IF(MAX(N(L316),N(O316))=0,"",AM316/MAX(N(L316),N(O316))),"")</f>
        <v/>
      </c>
      <c r="AO316" s="41" t="n"/>
      <c r="AP316" s="41" t="n"/>
      <c r="AQ316" s="41" t="n"/>
      <c r="AR316" s="41" t="n"/>
      <c r="AS316" s="41" t="n"/>
      <c r="AT316" s="37" t="n"/>
      <c r="AU316" s="10" t="inlineStr">
        <is>
          <t>PRD-0312</t>
        </is>
      </c>
    </row>
    <row r="317">
      <c r="A317" s="16">
        <f>IF($C317="","",IFERROR(IF(INDEX(tbl_Finance[Latest Invoice Date],MATCH($AU317,tbl_Finance[Row ID],0))="","",INDEX(tbl_Finance[Latest Invoice Date],MATCH($AU317,tbl_Finance[Row ID],0))),""))</f>
        <v/>
      </c>
      <c r="B317" s="10">
        <f>IF($C317="","",IFERROR(INDEX(tbl_Finance[Invoice Numbers],MATCH($AU317,tbl_Finance[Row ID],0))&amp;"",""))</f>
        <v/>
      </c>
      <c r="C317" s="37" t="n"/>
      <c r="D317" s="10">
        <f>IF($C317="","",IF(COUNTIF(lst_Jobs,$C317&amp;"")&gt;0,"OK","CHECK"))</f>
        <v/>
      </c>
      <c r="E317" s="10">
        <f>IF($C317="","",IFERROR(INDEX(lst_JobName,MATCH($C317&amp;"",lst_Jobs,0)),""))</f>
        <v/>
      </c>
      <c r="F317" s="37" t="n"/>
      <c r="G317" s="37" t="n"/>
      <c r="H317" s="37" t="n"/>
      <c r="I317" s="37" t="n"/>
      <c r="J317" s="37" t="n"/>
      <c r="K317" s="38">
        <f>IF($C317="","",IFERROR(N(INDEX(tbl_Finance[Invoice Count],MATCH($AU317,tbl_Finance[Row ID],0))),""))</f>
        <v/>
      </c>
      <c r="L317" s="11">
        <f>IF($C317="","",IFERROR(N(INDEX(tbl_Finance[Xero Invoiced Ex GST],MATCH($AU317,tbl_Finance[Row ID],0))),""))</f>
        <v/>
      </c>
      <c r="M317" s="10">
        <f>IF($C317="","",IFERROR(INDEX(tbl_Finance[Compare],MATCH($AU317,tbl_Finance[Row ID],0))&amp;"",""))</f>
        <v/>
      </c>
      <c r="N317" s="11">
        <f>IF($C317="","",MAX(0,N(O317)-N(L317)))</f>
        <v/>
      </c>
      <c r="O317" s="39" t="n"/>
      <c r="P317" s="40">
        <f>IF($C317="","",IF((IF(F317="",", Client","")&amp;IF(G317="",", Description","")&amp;IF(H317="",", Cost Centre","")&amp;IF(I317="",", Invoice Type","")&amp;IF(J317="",", Tax Code","")&amp;IF(O317="",", Expected Revenue","")&amp;IF(COUNTIF(tbl_Finance[Job Number],$C317&amp;"")&gt;1,", Job number used twice",""))="","Complete","Fix: "&amp;MID(IF(F317="",", Client","")&amp;IF(G317="",", Description","")&amp;IF(H317="",", Cost Centre","")&amp;IF(I317="",", Invoice Type","")&amp;IF(J317="",", Tax Code","")&amp;IF(O317="",", Expected Revenue","")&amp;IF(COUNTIF(tbl_Finance[Job Number],$C317&amp;"")&gt;1,", Job number used twice",""),3,300)))</f>
        <v/>
      </c>
      <c r="Q317" s="10">
        <f>IF($C317="","",IF(H317="","(no cost centre)",H317&amp;" - GL "&amp;IFERROR(INDEX(lst_CCtoGL,MATCH(H317,lst_CCforGL,0)),"?")))</f>
        <v/>
      </c>
      <c r="R317" s="11">
        <f>IF($C317="","",IFERROR(N(INDEX(tbl_Finance[Inc GST],MATCH($AU317,tbl_Finance[Row ID],0))),""))</f>
        <v/>
      </c>
      <c r="S317" s="37" t="n"/>
      <c r="T317" s="37" t="n"/>
      <c r="U317" s="37" t="n"/>
      <c r="V317" s="42" t="n"/>
      <c r="W317" s="37" t="n"/>
      <c r="X317" s="10">
        <f>IF(W317="","",IF(AND(LEFT(W317,4)&lt;&gt;"http",set_RMSBase=""),"",HYPERLINK(IF(LEFT(W317,4)="http",W317,set_RMSBase&amp;W317),"Open in RMS")))</f>
        <v/>
      </c>
      <c r="Y317" s="37" t="n"/>
      <c r="Z317" s="10">
        <f>IF(Y317="","",HYPERLINK(IF(LEFT(Y317,4)="http",Y317,set_QwilrBase&amp;Y317),"Open quote"))</f>
        <v/>
      </c>
      <c r="AA317" s="10">
        <f>IF(C317="","",C317)</f>
        <v/>
      </c>
      <c r="AB317" s="37" t="n"/>
      <c r="AC317" s="39" t="n"/>
      <c r="AD317" s="11">
        <f>IF(C317="","",N(L317)+N(AC317))</f>
        <v/>
      </c>
      <c r="AE317" s="43">
        <f>IFERROR(IF(N(AC317)=0,"",AC317/AD317),"")</f>
        <v/>
      </c>
      <c r="AF317" s="39" t="n"/>
      <c r="AG317" s="39" t="n"/>
      <c r="AH317" s="39" t="n"/>
      <c r="AI317" s="39" t="n"/>
      <c r="AJ317" s="11">
        <f>IF(C317="","",IF(H317="VIDEO",N(L317),0))</f>
        <v/>
      </c>
      <c r="AK317" s="43">
        <f>IFERROR(IF(N(L317)=0,"",AJ317/L317),"")</f>
        <v/>
      </c>
      <c r="AL317" s="11">
        <f>IF(C317="","",N(AF317)+N(AG317)+N(AH317)+N(AI317))</f>
        <v/>
      </c>
      <c r="AM317" s="11">
        <f>IF(C317="","",MAX(N(L317),N(O317))-N(AL317))</f>
        <v/>
      </c>
      <c r="AN317" s="43">
        <f>IFERROR(IF(MAX(N(L317),N(O317))=0,"",AM317/MAX(N(L317),N(O317))),"")</f>
        <v/>
      </c>
      <c r="AO317" s="41" t="n"/>
      <c r="AP317" s="41" t="n"/>
      <c r="AQ317" s="41" t="n"/>
      <c r="AR317" s="41" t="n"/>
      <c r="AS317" s="41" t="n"/>
      <c r="AT317" s="37" t="n"/>
      <c r="AU317" s="10" t="inlineStr">
        <is>
          <t>PRD-0313</t>
        </is>
      </c>
    </row>
    <row r="318">
      <c r="A318" s="16">
        <f>IF($C318="","",IFERROR(IF(INDEX(tbl_Finance[Latest Invoice Date],MATCH($AU318,tbl_Finance[Row ID],0))="","",INDEX(tbl_Finance[Latest Invoice Date],MATCH($AU318,tbl_Finance[Row ID],0))),""))</f>
        <v/>
      </c>
      <c r="B318" s="10">
        <f>IF($C318="","",IFERROR(INDEX(tbl_Finance[Invoice Numbers],MATCH($AU318,tbl_Finance[Row ID],0))&amp;"",""))</f>
        <v/>
      </c>
      <c r="C318" s="37" t="n"/>
      <c r="D318" s="10">
        <f>IF($C318="","",IF(COUNTIF(lst_Jobs,$C318&amp;"")&gt;0,"OK","CHECK"))</f>
        <v/>
      </c>
      <c r="E318" s="10">
        <f>IF($C318="","",IFERROR(INDEX(lst_JobName,MATCH($C318&amp;"",lst_Jobs,0)),""))</f>
        <v/>
      </c>
      <c r="F318" s="37" t="n"/>
      <c r="G318" s="37" t="n"/>
      <c r="H318" s="37" t="n"/>
      <c r="I318" s="37" t="n"/>
      <c r="J318" s="37" t="n"/>
      <c r="K318" s="38">
        <f>IF($C318="","",IFERROR(N(INDEX(tbl_Finance[Invoice Count],MATCH($AU318,tbl_Finance[Row ID],0))),""))</f>
        <v/>
      </c>
      <c r="L318" s="11">
        <f>IF($C318="","",IFERROR(N(INDEX(tbl_Finance[Xero Invoiced Ex GST],MATCH($AU318,tbl_Finance[Row ID],0))),""))</f>
        <v/>
      </c>
      <c r="M318" s="10">
        <f>IF($C318="","",IFERROR(INDEX(tbl_Finance[Compare],MATCH($AU318,tbl_Finance[Row ID],0))&amp;"",""))</f>
        <v/>
      </c>
      <c r="N318" s="11">
        <f>IF($C318="","",MAX(0,N(O318)-N(L318)))</f>
        <v/>
      </c>
      <c r="O318" s="39" t="n"/>
      <c r="P318" s="40">
        <f>IF($C318="","",IF((IF(F318="",", Client","")&amp;IF(G318="",", Description","")&amp;IF(H318="",", Cost Centre","")&amp;IF(I318="",", Invoice Type","")&amp;IF(J318="",", Tax Code","")&amp;IF(O318="",", Expected Revenue","")&amp;IF(COUNTIF(tbl_Finance[Job Number],$C318&amp;"")&gt;1,", Job number used twice",""))="","Complete","Fix: "&amp;MID(IF(F318="",", Client","")&amp;IF(G318="",", Description","")&amp;IF(H318="",", Cost Centre","")&amp;IF(I318="",", Invoice Type","")&amp;IF(J318="",", Tax Code","")&amp;IF(O318="",", Expected Revenue","")&amp;IF(COUNTIF(tbl_Finance[Job Number],$C318&amp;"")&gt;1,", Job number used twice",""),3,300)))</f>
        <v/>
      </c>
      <c r="Q318" s="10">
        <f>IF($C318="","",IF(H318="","(no cost centre)",H318&amp;" - GL "&amp;IFERROR(INDEX(lst_CCtoGL,MATCH(H318,lst_CCforGL,0)),"?")))</f>
        <v/>
      </c>
      <c r="R318" s="11">
        <f>IF($C318="","",IFERROR(N(INDEX(tbl_Finance[Inc GST],MATCH($AU318,tbl_Finance[Row ID],0))),""))</f>
        <v/>
      </c>
      <c r="S318" s="37" t="n"/>
      <c r="T318" s="37" t="n"/>
      <c r="U318" s="37" t="n"/>
      <c r="V318" s="42" t="n"/>
      <c r="W318" s="37" t="n"/>
      <c r="X318" s="10">
        <f>IF(W318="","",IF(AND(LEFT(W318,4)&lt;&gt;"http",set_RMSBase=""),"",HYPERLINK(IF(LEFT(W318,4)="http",W318,set_RMSBase&amp;W318),"Open in RMS")))</f>
        <v/>
      </c>
      <c r="Y318" s="37" t="n"/>
      <c r="Z318" s="10">
        <f>IF(Y318="","",HYPERLINK(IF(LEFT(Y318,4)="http",Y318,set_QwilrBase&amp;Y318),"Open quote"))</f>
        <v/>
      </c>
      <c r="AA318" s="10">
        <f>IF(C318="","",C318)</f>
        <v/>
      </c>
      <c r="AB318" s="37" t="n"/>
      <c r="AC318" s="39" t="n"/>
      <c r="AD318" s="11">
        <f>IF(C318="","",N(L318)+N(AC318))</f>
        <v/>
      </c>
      <c r="AE318" s="43">
        <f>IFERROR(IF(N(AC318)=0,"",AC318/AD318),"")</f>
        <v/>
      </c>
      <c r="AF318" s="39" t="n"/>
      <c r="AG318" s="39" t="n"/>
      <c r="AH318" s="39" t="n"/>
      <c r="AI318" s="39" t="n"/>
      <c r="AJ318" s="11">
        <f>IF(C318="","",IF(H318="VIDEO",N(L318),0))</f>
        <v/>
      </c>
      <c r="AK318" s="43">
        <f>IFERROR(IF(N(L318)=0,"",AJ318/L318),"")</f>
        <v/>
      </c>
      <c r="AL318" s="11">
        <f>IF(C318="","",N(AF318)+N(AG318)+N(AH318)+N(AI318))</f>
        <v/>
      </c>
      <c r="AM318" s="11">
        <f>IF(C318="","",MAX(N(L318),N(O318))-N(AL318))</f>
        <v/>
      </c>
      <c r="AN318" s="43">
        <f>IFERROR(IF(MAX(N(L318),N(O318))=0,"",AM318/MAX(N(L318),N(O318))),"")</f>
        <v/>
      </c>
      <c r="AO318" s="41" t="n"/>
      <c r="AP318" s="41" t="n"/>
      <c r="AQ318" s="41" t="n"/>
      <c r="AR318" s="41" t="n"/>
      <c r="AS318" s="41" t="n"/>
      <c r="AT318" s="37" t="n"/>
      <c r="AU318" s="10" t="inlineStr">
        <is>
          <t>PRD-0314</t>
        </is>
      </c>
    </row>
    <row r="319">
      <c r="A319" s="16">
        <f>IF($C319="","",IFERROR(IF(INDEX(tbl_Finance[Latest Invoice Date],MATCH($AU319,tbl_Finance[Row ID],0))="","",INDEX(tbl_Finance[Latest Invoice Date],MATCH($AU319,tbl_Finance[Row ID],0))),""))</f>
        <v/>
      </c>
      <c r="B319" s="10">
        <f>IF($C319="","",IFERROR(INDEX(tbl_Finance[Invoice Numbers],MATCH($AU319,tbl_Finance[Row ID],0))&amp;"",""))</f>
        <v/>
      </c>
      <c r="C319" s="37" t="n"/>
      <c r="D319" s="10">
        <f>IF($C319="","",IF(COUNTIF(lst_Jobs,$C319&amp;"")&gt;0,"OK","CHECK"))</f>
        <v/>
      </c>
      <c r="E319" s="10">
        <f>IF($C319="","",IFERROR(INDEX(lst_JobName,MATCH($C319&amp;"",lst_Jobs,0)),""))</f>
        <v/>
      </c>
      <c r="F319" s="37" t="n"/>
      <c r="G319" s="37" t="n"/>
      <c r="H319" s="37" t="n"/>
      <c r="I319" s="37" t="n"/>
      <c r="J319" s="37" t="n"/>
      <c r="K319" s="38">
        <f>IF($C319="","",IFERROR(N(INDEX(tbl_Finance[Invoice Count],MATCH($AU319,tbl_Finance[Row ID],0))),""))</f>
        <v/>
      </c>
      <c r="L319" s="11">
        <f>IF($C319="","",IFERROR(N(INDEX(tbl_Finance[Xero Invoiced Ex GST],MATCH($AU319,tbl_Finance[Row ID],0))),""))</f>
        <v/>
      </c>
      <c r="M319" s="10">
        <f>IF($C319="","",IFERROR(INDEX(tbl_Finance[Compare],MATCH($AU319,tbl_Finance[Row ID],0))&amp;"",""))</f>
        <v/>
      </c>
      <c r="N319" s="11">
        <f>IF($C319="","",MAX(0,N(O319)-N(L319)))</f>
        <v/>
      </c>
      <c r="O319" s="39" t="n"/>
      <c r="P319" s="40">
        <f>IF($C319="","",IF((IF(F319="",", Client","")&amp;IF(G319="",", Description","")&amp;IF(H319="",", Cost Centre","")&amp;IF(I319="",", Invoice Type","")&amp;IF(J319="",", Tax Code","")&amp;IF(O319="",", Expected Revenue","")&amp;IF(COUNTIF(tbl_Finance[Job Number],$C319&amp;"")&gt;1,", Job number used twice",""))="","Complete","Fix: "&amp;MID(IF(F319="",", Client","")&amp;IF(G319="",", Description","")&amp;IF(H319="",", Cost Centre","")&amp;IF(I319="",", Invoice Type","")&amp;IF(J319="",", Tax Code","")&amp;IF(O319="",", Expected Revenue","")&amp;IF(COUNTIF(tbl_Finance[Job Number],$C319&amp;"")&gt;1,", Job number used twice",""),3,300)))</f>
        <v/>
      </c>
      <c r="Q319" s="10">
        <f>IF($C319="","",IF(H319="","(no cost centre)",H319&amp;" - GL "&amp;IFERROR(INDEX(lst_CCtoGL,MATCH(H319,lst_CCforGL,0)),"?")))</f>
        <v/>
      </c>
      <c r="R319" s="11">
        <f>IF($C319="","",IFERROR(N(INDEX(tbl_Finance[Inc GST],MATCH($AU319,tbl_Finance[Row ID],0))),""))</f>
        <v/>
      </c>
      <c r="S319" s="37" t="n"/>
      <c r="T319" s="37" t="n"/>
      <c r="U319" s="37" t="n"/>
      <c r="V319" s="42" t="n"/>
      <c r="W319" s="37" t="n"/>
      <c r="X319" s="10">
        <f>IF(W319="","",IF(AND(LEFT(W319,4)&lt;&gt;"http",set_RMSBase=""),"",HYPERLINK(IF(LEFT(W319,4)="http",W319,set_RMSBase&amp;W319),"Open in RMS")))</f>
        <v/>
      </c>
      <c r="Y319" s="37" t="n"/>
      <c r="Z319" s="10">
        <f>IF(Y319="","",HYPERLINK(IF(LEFT(Y319,4)="http",Y319,set_QwilrBase&amp;Y319),"Open quote"))</f>
        <v/>
      </c>
      <c r="AA319" s="10">
        <f>IF(C319="","",C319)</f>
        <v/>
      </c>
      <c r="AB319" s="37" t="n"/>
      <c r="AC319" s="39" t="n"/>
      <c r="AD319" s="11">
        <f>IF(C319="","",N(L319)+N(AC319))</f>
        <v/>
      </c>
      <c r="AE319" s="43">
        <f>IFERROR(IF(N(AC319)=0,"",AC319/AD319),"")</f>
        <v/>
      </c>
      <c r="AF319" s="39" t="n"/>
      <c r="AG319" s="39" t="n"/>
      <c r="AH319" s="39" t="n"/>
      <c r="AI319" s="39" t="n"/>
      <c r="AJ319" s="11">
        <f>IF(C319="","",IF(H319="VIDEO",N(L319),0))</f>
        <v/>
      </c>
      <c r="AK319" s="43">
        <f>IFERROR(IF(N(L319)=0,"",AJ319/L319),"")</f>
        <v/>
      </c>
      <c r="AL319" s="11">
        <f>IF(C319="","",N(AF319)+N(AG319)+N(AH319)+N(AI319))</f>
        <v/>
      </c>
      <c r="AM319" s="11">
        <f>IF(C319="","",MAX(N(L319),N(O319))-N(AL319))</f>
        <v/>
      </c>
      <c r="AN319" s="43">
        <f>IFERROR(IF(MAX(N(L319),N(O319))=0,"",AM319/MAX(N(L319),N(O319))),"")</f>
        <v/>
      </c>
      <c r="AO319" s="41" t="n"/>
      <c r="AP319" s="41" t="n"/>
      <c r="AQ319" s="41" t="n"/>
      <c r="AR319" s="41" t="n"/>
      <c r="AS319" s="41" t="n"/>
      <c r="AT319" s="37" t="n"/>
      <c r="AU319" s="10" t="inlineStr">
        <is>
          <t>PRD-0315</t>
        </is>
      </c>
    </row>
    <row r="320">
      <c r="A320" s="16">
        <f>IF($C320="","",IFERROR(IF(INDEX(tbl_Finance[Latest Invoice Date],MATCH($AU320,tbl_Finance[Row ID],0))="","",INDEX(tbl_Finance[Latest Invoice Date],MATCH($AU320,tbl_Finance[Row ID],0))),""))</f>
        <v/>
      </c>
      <c r="B320" s="10">
        <f>IF($C320="","",IFERROR(INDEX(tbl_Finance[Invoice Numbers],MATCH($AU320,tbl_Finance[Row ID],0))&amp;"",""))</f>
        <v/>
      </c>
      <c r="C320" s="37" t="n"/>
      <c r="D320" s="10">
        <f>IF($C320="","",IF(COUNTIF(lst_Jobs,$C320&amp;"")&gt;0,"OK","CHECK"))</f>
        <v/>
      </c>
      <c r="E320" s="10">
        <f>IF($C320="","",IFERROR(INDEX(lst_JobName,MATCH($C320&amp;"",lst_Jobs,0)),""))</f>
        <v/>
      </c>
      <c r="F320" s="37" t="n"/>
      <c r="G320" s="37" t="n"/>
      <c r="H320" s="37" t="n"/>
      <c r="I320" s="37" t="n"/>
      <c r="J320" s="37" t="n"/>
      <c r="K320" s="38">
        <f>IF($C320="","",IFERROR(N(INDEX(tbl_Finance[Invoice Count],MATCH($AU320,tbl_Finance[Row ID],0))),""))</f>
        <v/>
      </c>
      <c r="L320" s="11">
        <f>IF($C320="","",IFERROR(N(INDEX(tbl_Finance[Xero Invoiced Ex GST],MATCH($AU320,tbl_Finance[Row ID],0))),""))</f>
        <v/>
      </c>
      <c r="M320" s="10">
        <f>IF($C320="","",IFERROR(INDEX(tbl_Finance[Compare],MATCH($AU320,tbl_Finance[Row ID],0))&amp;"",""))</f>
        <v/>
      </c>
      <c r="N320" s="11">
        <f>IF($C320="","",MAX(0,N(O320)-N(L320)))</f>
        <v/>
      </c>
      <c r="O320" s="39" t="n"/>
      <c r="P320" s="40">
        <f>IF($C320="","",IF((IF(F320="",", Client","")&amp;IF(G320="",", Description","")&amp;IF(H320="",", Cost Centre","")&amp;IF(I320="",", Invoice Type","")&amp;IF(J320="",", Tax Code","")&amp;IF(O320="",", Expected Revenue","")&amp;IF(COUNTIF(tbl_Finance[Job Number],$C320&amp;"")&gt;1,", Job number used twice",""))="","Complete","Fix: "&amp;MID(IF(F320="",", Client","")&amp;IF(G320="",", Description","")&amp;IF(H320="",", Cost Centre","")&amp;IF(I320="",", Invoice Type","")&amp;IF(J320="",", Tax Code","")&amp;IF(O320="",", Expected Revenue","")&amp;IF(COUNTIF(tbl_Finance[Job Number],$C320&amp;"")&gt;1,", Job number used twice",""),3,300)))</f>
        <v/>
      </c>
      <c r="Q320" s="10">
        <f>IF($C320="","",IF(H320="","(no cost centre)",H320&amp;" - GL "&amp;IFERROR(INDEX(lst_CCtoGL,MATCH(H320,lst_CCforGL,0)),"?")))</f>
        <v/>
      </c>
      <c r="R320" s="11">
        <f>IF($C320="","",IFERROR(N(INDEX(tbl_Finance[Inc GST],MATCH($AU320,tbl_Finance[Row ID],0))),""))</f>
        <v/>
      </c>
      <c r="S320" s="37" t="n"/>
      <c r="T320" s="37" t="n"/>
      <c r="U320" s="37" t="n"/>
      <c r="V320" s="42" t="n"/>
      <c r="W320" s="37" t="n"/>
      <c r="X320" s="10">
        <f>IF(W320="","",IF(AND(LEFT(W320,4)&lt;&gt;"http",set_RMSBase=""),"",HYPERLINK(IF(LEFT(W320,4)="http",W320,set_RMSBase&amp;W320),"Open in RMS")))</f>
        <v/>
      </c>
      <c r="Y320" s="37" t="n"/>
      <c r="Z320" s="10">
        <f>IF(Y320="","",HYPERLINK(IF(LEFT(Y320,4)="http",Y320,set_QwilrBase&amp;Y320),"Open quote"))</f>
        <v/>
      </c>
      <c r="AA320" s="10">
        <f>IF(C320="","",C320)</f>
        <v/>
      </c>
      <c r="AB320" s="37" t="n"/>
      <c r="AC320" s="39" t="n"/>
      <c r="AD320" s="11">
        <f>IF(C320="","",N(L320)+N(AC320))</f>
        <v/>
      </c>
      <c r="AE320" s="43">
        <f>IFERROR(IF(N(AC320)=0,"",AC320/AD320),"")</f>
        <v/>
      </c>
      <c r="AF320" s="39" t="n"/>
      <c r="AG320" s="39" t="n"/>
      <c r="AH320" s="39" t="n"/>
      <c r="AI320" s="39" t="n"/>
      <c r="AJ320" s="11">
        <f>IF(C320="","",IF(H320="VIDEO",N(L320),0))</f>
        <v/>
      </c>
      <c r="AK320" s="43">
        <f>IFERROR(IF(N(L320)=0,"",AJ320/L320),"")</f>
        <v/>
      </c>
      <c r="AL320" s="11">
        <f>IF(C320="","",N(AF320)+N(AG320)+N(AH320)+N(AI320))</f>
        <v/>
      </c>
      <c r="AM320" s="11">
        <f>IF(C320="","",MAX(N(L320),N(O320))-N(AL320))</f>
        <v/>
      </c>
      <c r="AN320" s="43">
        <f>IFERROR(IF(MAX(N(L320),N(O320))=0,"",AM320/MAX(N(L320),N(O320))),"")</f>
        <v/>
      </c>
      <c r="AO320" s="41" t="n"/>
      <c r="AP320" s="41" t="n"/>
      <c r="AQ320" s="41" t="n"/>
      <c r="AR320" s="41" t="n"/>
      <c r="AS320" s="41" t="n"/>
      <c r="AT320" s="37" t="n"/>
      <c r="AU320" s="10" t="inlineStr">
        <is>
          <t>PRD-0316</t>
        </is>
      </c>
    </row>
    <row r="321">
      <c r="A321" s="16">
        <f>IF($C321="","",IFERROR(IF(INDEX(tbl_Finance[Latest Invoice Date],MATCH($AU321,tbl_Finance[Row ID],0))="","",INDEX(tbl_Finance[Latest Invoice Date],MATCH($AU321,tbl_Finance[Row ID],0))),""))</f>
        <v/>
      </c>
      <c r="B321" s="10">
        <f>IF($C321="","",IFERROR(INDEX(tbl_Finance[Invoice Numbers],MATCH($AU321,tbl_Finance[Row ID],0))&amp;"",""))</f>
        <v/>
      </c>
      <c r="C321" s="37" t="n"/>
      <c r="D321" s="10">
        <f>IF($C321="","",IF(COUNTIF(lst_Jobs,$C321&amp;"")&gt;0,"OK","CHECK"))</f>
        <v/>
      </c>
      <c r="E321" s="10">
        <f>IF($C321="","",IFERROR(INDEX(lst_JobName,MATCH($C321&amp;"",lst_Jobs,0)),""))</f>
        <v/>
      </c>
      <c r="F321" s="37" t="n"/>
      <c r="G321" s="37" t="n"/>
      <c r="H321" s="37" t="n"/>
      <c r="I321" s="37" t="n"/>
      <c r="J321" s="37" t="n"/>
      <c r="K321" s="38">
        <f>IF($C321="","",IFERROR(N(INDEX(tbl_Finance[Invoice Count],MATCH($AU321,tbl_Finance[Row ID],0))),""))</f>
        <v/>
      </c>
      <c r="L321" s="11">
        <f>IF($C321="","",IFERROR(N(INDEX(tbl_Finance[Xero Invoiced Ex GST],MATCH($AU321,tbl_Finance[Row ID],0))),""))</f>
        <v/>
      </c>
      <c r="M321" s="10">
        <f>IF($C321="","",IFERROR(INDEX(tbl_Finance[Compare],MATCH($AU321,tbl_Finance[Row ID],0))&amp;"",""))</f>
        <v/>
      </c>
      <c r="N321" s="11">
        <f>IF($C321="","",MAX(0,N(O321)-N(L321)))</f>
        <v/>
      </c>
      <c r="O321" s="39" t="n"/>
      <c r="P321" s="40">
        <f>IF($C321="","",IF((IF(F321="",", Client","")&amp;IF(G321="",", Description","")&amp;IF(H321="",", Cost Centre","")&amp;IF(I321="",", Invoice Type","")&amp;IF(J321="",", Tax Code","")&amp;IF(O321="",", Expected Revenue","")&amp;IF(COUNTIF(tbl_Finance[Job Number],$C321&amp;"")&gt;1,", Job number used twice",""))="","Complete","Fix: "&amp;MID(IF(F321="",", Client","")&amp;IF(G321="",", Description","")&amp;IF(H321="",", Cost Centre","")&amp;IF(I321="",", Invoice Type","")&amp;IF(J321="",", Tax Code","")&amp;IF(O321="",", Expected Revenue","")&amp;IF(COUNTIF(tbl_Finance[Job Number],$C321&amp;"")&gt;1,", Job number used twice",""),3,300)))</f>
        <v/>
      </c>
      <c r="Q321" s="10">
        <f>IF($C321="","",IF(H321="","(no cost centre)",H321&amp;" - GL "&amp;IFERROR(INDEX(lst_CCtoGL,MATCH(H321,lst_CCforGL,0)),"?")))</f>
        <v/>
      </c>
      <c r="R321" s="11">
        <f>IF($C321="","",IFERROR(N(INDEX(tbl_Finance[Inc GST],MATCH($AU321,tbl_Finance[Row ID],0))),""))</f>
        <v/>
      </c>
      <c r="S321" s="37" t="n"/>
      <c r="T321" s="37" t="n"/>
      <c r="U321" s="37" t="n"/>
      <c r="V321" s="42" t="n"/>
      <c r="W321" s="37" t="n"/>
      <c r="X321" s="10">
        <f>IF(W321="","",IF(AND(LEFT(W321,4)&lt;&gt;"http",set_RMSBase=""),"",HYPERLINK(IF(LEFT(W321,4)="http",W321,set_RMSBase&amp;W321),"Open in RMS")))</f>
        <v/>
      </c>
      <c r="Y321" s="37" t="n"/>
      <c r="Z321" s="10">
        <f>IF(Y321="","",HYPERLINK(IF(LEFT(Y321,4)="http",Y321,set_QwilrBase&amp;Y321),"Open quote"))</f>
        <v/>
      </c>
      <c r="AA321" s="10">
        <f>IF(C321="","",C321)</f>
        <v/>
      </c>
      <c r="AB321" s="37" t="n"/>
      <c r="AC321" s="39" t="n"/>
      <c r="AD321" s="11">
        <f>IF(C321="","",N(L321)+N(AC321))</f>
        <v/>
      </c>
      <c r="AE321" s="43">
        <f>IFERROR(IF(N(AC321)=0,"",AC321/AD321),"")</f>
        <v/>
      </c>
      <c r="AF321" s="39" t="n"/>
      <c r="AG321" s="39" t="n"/>
      <c r="AH321" s="39" t="n"/>
      <c r="AI321" s="39" t="n"/>
      <c r="AJ321" s="11">
        <f>IF(C321="","",IF(H321="VIDEO",N(L321),0))</f>
        <v/>
      </c>
      <c r="AK321" s="43">
        <f>IFERROR(IF(N(L321)=0,"",AJ321/L321),"")</f>
        <v/>
      </c>
      <c r="AL321" s="11">
        <f>IF(C321="","",N(AF321)+N(AG321)+N(AH321)+N(AI321))</f>
        <v/>
      </c>
      <c r="AM321" s="11">
        <f>IF(C321="","",MAX(N(L321),N(O321))-N(AL321))</f>
        <v/>
      </c>
      <c r="AN321" s="43">
        <f>IFERROR(IF(MAX(N(L321),N(O321))=0,"",AM321/MAX(N(L321),N(O321))),"")</f>
        <v/>
      </c>
      <c r="AO321" s="41" t="n"/>
      <c r="AP321" s="41" t="n"/>
      <c r="AQ321" s="41" t="n"/>
      <c r="AR321" s="41" t="n"/>
      <c r="AS321" s="41" t="n"/>
      <c r="AT321" s="37" t="n"/>
      <c r="AU321" s="10" t="inlineStr">
        <is>
          <t>PRD-0317</t>
        </is>
      </c>
    </row>
    <row r="322">
      <c r="A322" s="16">
        <f>IF($C322="","",IFERROR(IF(INDEX(tbl_Finance[Latest Invoice Date],MATCH($AU322,tbl_Finance[Row ID],0))="","",INDEX(tbl_Finance[Latest Invoice Date],MATCH($AU322,tbl_Finance[Row ID],0))),""))</f>
        <v/>
      </c>
      <c r="B322" s="10">
        <f>IF($C322="","",IFERROR(INDEX(tbl_Finance[Invoice Numbers],MATCH($AU322,tbl_Finance[Row ID],0))&amp;"",""))</f>
        <v/>
      </c>
      <c r="C322" s="37" t="n"/>
      <c r="D322" s="10">
        <f>IF($C322="","",IF(COUNTIF(lst_Jobs,$C322&amp;"")&gt;0,"OK","CHECK"))</f>
        <v/>
      </c>
      <c r="E322" s="10">
        <f>IF($C322="","",IFERROR(INDEX(lst_JobName,MATCH($C322&amp;"",lst_Jobs,0)),""))</f>
        <v/>
      </c>
      <c r="F322" s="37" t="n"/>
      <c r="G322" s="37" t="n"/>
      <c r="H322" s="37" t="n"/>
      <c r="I322" s="37" t="n"/>
      <c r="J322" s="37" t="n"/>
      <c r="K322" s="38">
        <f>IF($C322="","",IFERROR(N(INDEX(tbl_Finance[Invoice Count],MATCH($AU322,tbl_Finance[Row ID],0))),""))</f>
        <v/>
      </c>
      <c r="L322" s="11">
        <f>IF($C322="","",IFERROR(N(INDEX(tbl_Finance[Xero Invoiced Ex GST],MATCH($AU322,tbl_Finance[Row ID],0))),""))</f>
        <v/>
      </c>
      <c r="M322" s="10">
        <f>IF($C322="","",IFERROR(INDEX(tbl_Finance[Compare],MATCH($AU322,tbl_Finance[Row ID],0))&amp;"",""))</f>
        <v/>
      </c>
      <c r="N322" s="11">
        <f>IF($C322="","",MAX(0,N(O322)-N(L322)))</f>
        <v/>
      </c>
      <c r="O322" s="39" t="n"/>
      <c r="P322" s="40">
        <f>IF($C322="","",IF((IF(F322="",", Client","")&amp;IF(G322="",", Description","")&amp;IF(H322="",", Cost Centre","")&amp;IF(I322="",", Invoice Type","")&amp;IF(J322="",", Tax Code","")&amp;IF(O322="",", Expected Revenue","")&amp;IF(COUNTIF(tbl_Finance[Job Number],$C322&amp;"")&gt;1,", Job number used twice",""))="","Complete","Fix: "&amp;MID(IF(F322="",", Client","")&amp;IF(G322="",", Description","")&amp;IF(H322="",", Cost Centre","")&amp;IF(I322="",", Invoice Type","")&amp;IF(J322="",", Tax Code","")&amp;IF(O322="",", Expected Revenue","")&amp;IF(COUNTIF(tbl_Finance[Job Number],$C322&amp;"")&gt;1,", Job number used twice",""),3,300)))</f>
        <v/>
      </c>
      <c r="Q322" s="10">
        <f>IF($C322="","",IF(H322="","(no cost centre)",H322&amp;" - GL "&amp;IFERROR(INDEX(lst_CCtoGL,MATCH(H322,lst_CCforGL,0)),"?")))</f>
        <v/>
      </c>
      <c r="R322" s="11">
        <f>IF($C322="","",IFERROR(N(INDEX(tbl_Finance[Inc GST],MATCH($AU322,tbl_Finance[Row ID],0))),""))</f>
        <v/>
      </c>
      <c r="S322" s="37" t="n"/>
      <c r="T322" s="37" t="n"/>
      <c r="U322" s="37" t="n"/>
      <c r="V322" s="42" t="n"/>
      <c r="W322" s="37" t="n"/>
      <c r="X322" s="10">
        <f>IF(W322="","",IF(AND(LEFT(W322,4)&lt;&gt;"http",set_RMSBase=""),"",HYPERLINK(IF(LEFT(W322,4)="http",W322,set_RMSBase&amp;W322),"Open in RMS")))</f>
        <v/>
      </c>
      <c r="Y322" s="37" t="n"/>
      <c r="Z322" s="10">
        <f>IF(Y322="","",HYPERLINK(IF(LEFT(Y322,4)="http",Y322,set_QwilrBase&amp;Y322),"Open quote"))</f>
        <v/>
      </c>
      <c r="AA322" s="10">
        <f>IF(C322="","",C322)</f>
        <v/>
      </c>
      <c r="AB322" s="37" t="n"/>
      <c r="AC322" s="39" t="n"/>
      <c r="AD322" s="11">
        <f>IF(C322="","",N(L322)+N(AC322))</f>
        <v/>
      </c>
      <c r="AE322" s="43">
        <f>IFERROR(IF(N(AC322)=0,"",AC322/AD322),"")</f>
        <v/>
      </c>
      <c r="AF322" s="39" t="n"/>
      <c r="AG322" s="39" t="n"/>
      <c r="AH322" s="39" t="n"/>
      <c r="AI322" s="39" t="n"/>
      <c r="AJ322" s="11">
        <f>IF(C322="","",IF(H322="VIDEO",N(L322),0))</f>
        <v/>
      </c>
      <c r="AK322" s="43">
        <f>IFERROR(IF(N(L322)=0,"",AJ322/L322),"")</f>
        <v/>
      </c>
      <c r="AL322" s="11">
        <f>IF(C322="","",N(AF322)+N(AG322)+N(AH322)+N(AI322))</f>
        <v/>
      </c>
      <c r="AM322" s="11">
        <f>IF(C322="","",MAX(N(L322),N(O322))-N(AL322))</f>
        <v/>
      </c>
      <c r="AN322" s="43">
        <f>IFERROR(IF(MAX(N(L322),N(O322))=0,"",AM322/MAX(N(L322),N(O322))),"")</f>
        <v/>
      </c>
      <c r="AO322" s="41" t="n"/>
      <c r="AP322" s="41" t="n"/>
      <c r="AQ322" s="41" t="n"/>
      <c r="AR322" s="41" t="n"/>
      <c r="AS322" s="41" t="n"/>
      <c r="AT322" s="37" t="n"/>
      <c r="AU322" s="10" t="inlineStr">
        <is>
          <t>PRD-0318</t>
        </is>
      </c>
    </row>
    <row r="323">
      <c r="A323" s="16">
        <f>IF($C323="","",IFERROR(IF(INDEX(tbl_Finance[Latest Invoice Date],MATCH($AU323,tbl_Finance[Row ID],0))="","",INDEX(tbl_Finance[Latest Invoice Date],MATCH($AU323,tbl_Finance[Row ID],0))),""))</f>
        <v/>
      </c>
      <c r="B323" s="10">
        <f>IF($C323="","",IFERROR(INDEX(tbl_Finance[Invoice Numbers],MATCH($AU323,tbl_Finance[Row ID],0))&amp;"",""))</f>
        <v/>
      </c>
      <c r="C323" s="37" t="n"/>
      <c r="D323" s="10">
        <f>IF($C323="","",IF(COUNTIF(lst_Jobs,$C323&amp;"")&gt;0,"OK","CHECK"))</f>
        <v/>
      </c>
      <c r="E323" s="10">
        <f>IF($C323="","",IFERROR(INDEX(lst_JobName,MATCH($C323&amp;"",lst_Jobs,0)),""))</f>
        <v/>
      </c>
      <c r="F323" s="37" t="n"/>
      <c r="G323" s="37" t="n"/>
      <c r="H323" s="37" t="n"/>
      <c r="I323" s="37" t="n"/>
      <c r="J323" s="37" t="n"/>
      <c r="K323" s="38">
        <f>IF($C323="","",IFERROR(N(INDEX(tbl_Finance[Invoice Count],MATCH($AU323,tbl_Finance[Row ID],0))),""))</f>
        <v/>
      </c>
      <c r="L323" s="11">
        <f>IF($C323="","",IFERROR(N(INDEX(tbl_Finance[Xero Invoiced Ex GST],MATCH($AU323,tbl_Finance[Row ID],0))),""))</f>
        <v/>
      </c>
      <c r="M323" s="10">
        <f>IF($C323="","",IFERROR(INDEX(tbl_Finance[Compare],MATCH($AU323,tbl_Finance[Row ID],0))&amp;"",""))</f>
        <v/>
      </c>
      <c r="N323" s="11">
        <f>IF($C323="","",MAX(0,N(O323)-N(L323)))</f>
        <v/>
      </c>
      <c r="O323" s="39" t="n"/>
      <c r="P323" s="40">
        <f>IF($C323="","",IF((IF(F323="",", Client","")&amp;IF(G323="",", Description","")&amp;IF(H323="",", Cost Centre","")&amp;IF(I323="",", Invoice Type","")&amp;IF(J323="",", Tax Code","")&amp;IF(O323="",", Expected Revenue","")&amp;IF(COUNTIF(tbl_Finance[Job Number],$C323&amp;"")&gt;1,", Job number used twice",""))="","Complete","Fix: "&amp;MID(IF(F323="",", Client","")&amp;IF(G323="",", Description","")&amp;IF(H323="",", Cost Centre","")&amp;IF(I323="",", Invoice Type","")&amp;IF(J323="",", Tax Code","")&amp;IF(O323="",", Expected Revenue","")&amp;IF(COUNTIF(tbl_Finance[Job Number],$C323&amp;"")&gt;1,", Job number used twice",""),3,300)))</f>
        <v/>
      </c>
      <c r="Q323" s="10">
        <f>IF($C323="","",IF(H323="","(no cost centre)",H323&amp;" - GL "&amp;IFERROR(INDEX(lst_CCtoGL,MATCH(H323,lst_CCforGL,0)),"?")))</f>
        <v/>
      </c>
      <c r="R323" s="11">
        <f>IF($C323="","",IFERROR(N(INDEX(tbl_Finance[Inc GST],MATCH($AU323,tbl_Finance[Row ID],0))),""))</f>
        <v/>
      </c>
      <c r="S323" s="37" t="n"/>
      <c r="T323" s="37" t="n"/>
      <c r="U323" s="37" t="n"/>
      <c r="V323" s="42" t="n"/>
      <c r="W323" s="37" t="n"/>
      <c r="X323" s="10">
        <f>IF(W323="","",IF(AND(LEFT(W323,4)&lt;&gt;"http",set_RMSBase=""),"",HYPERLINK(IF(LEFT(W323,4)="http",W323,set_RMSBase&amp;W323),"Open in RMS")))</f>
        <v/>
      </c>
      <c r="Y323" s="37" t="n"/>
      <c r="Z323" s="10">
        <f>IF(Y323="","",HYPERLINK(IF(LEFT(Y323,4)="http",Y323,set_QwilrBase&amp;Y323),"Open quote"))</f>
        <v/>
      </c>
      <c r="AA323" s="10">
        <f>IF(C323="","",C323)</f>
        <v/>
      </c>
      <c r="AB323" s="37" t="n"/>
      <c r="AC323" s="39" t="n"/>
      <c r="AD323" s="11">
        <f>IF(C323="","",N(L323)+N(AC323))</f>
        <v/>
      </c>
      <c r="AE323" s="43">
        <f>IFERROR(IF(N(AC323)=0,"",AC323/AD323),"")</f>
        <v/>
      </c>
      <c r="AF323" s="39" t="n"/>
      <c r="AG323" s="39" t="n"/>
      <c r="AH323" s="39" t="n"/>
      <c r="AI323" s="39" t="n"/>
      <c r="AJ323" s="11">
        <f>IF(C323="","",IF(H323="VIDEO",N(L323),0))</f>
        <v/>
      </c>
      <c r="AK323" s="43">
        <f>IFERROR(IF(N(L323)=0,"",AJ323/L323),"")</f>
        <v/>
      </c>
      <c r="AL323" s="11">
        <f>IF(C323="","",N(AF323)+N(AG323)+N(AH323)+N(AI323))</f>
        <v/>
      </c>
      <c r="AM323" s="11">
        <f>IF(C323="","",MAX(N(L323),N(O323))-N(AL323))</f>
        <v/>
      </c>
      <c r="AN323" s="43">
        <f>IFERROR(IF(MAX(N(L323),N(O323))=0,"",AM323/MAX(N(L323),N(O323))),"")</f>
        <v/>
      </c>
      <c r="AO323" s="41" t="n"/>
      <c r="AP323" s="41" t="n"/>
      <c r="AQ323" s="41" t="n"/>
      <c r="AR323" s="41" t="n"/>
      <c r="AS323" s="41" t="n"/>
      <c r="AT323" s="37" t="n"/>
      <c r="AU323" s="10" t="inlineStr">
        <is>
          <t>PRD-0319</t>
        </is>
      </c>
    </row>
    <row r="324">
      <c r="A324" s="16">
        <f>IF($C324="","",IFERROR(IF(INDEX(tbl_Finance[Latest Invoice Date],MATCH($AU324,tbl_Finance[Row ID],0))="","",INDEX(tbl_Finance[Latest Invoice Date],MATCH($AU324,tbl_Finance[Row ID],0))),""))</f>
        <v/>
      </c>
      <c r="B324" s="10">
        <f>IF($C324="","",IFERROR(INDEX(tbl_Finance[Invoice Numbers],MATCH($AU324,tbl_Finance[Row ID],0))&amp;"",""))</f>
        <v/>
      </c>
      <c r="C324" s="37" t="n"/>
      <c r="D324" s="10">
        <f>IF($C324="","",IF(COUNTIF(lst_Jobs,$C324&amp;"")&gt;0,"OK","CHECK"))</f>
        <v/>
      </c>
      <c r="E324" s="10">
        <f>IF($C324="","",IFERROR(INDEX(lst_JobName,MATCH($C324&amp;"",lst_Jobs,0)),""))</f>
        <v/>
      </c>
      <c r="F324" s="37" t="n"/>
      <c r="G324" s="37" t="n"/>
      <c r="H324" s="37" t="n"/>
      <c r="I324" s="37" t="n"/>
      <c r="J324" s="37" t="n"/>
      <c r="K324" s="38">
        <f>IF($C324="","",IFERROR(N(INDEX(tbl_Finance[Invoice Count],MATCH($AU324,tbl_Finance[Row ID],0))),""))</f>
        <v/>
      </c>
      <c r="L324" s="11">
        <f>IF($C324="","",IFERROR(N(INDEX(tbl_Finance[Xero Invoiced Ex GST],MATCH($AU324,tbl_Finance[Row ID],0))),""))</f>
        <v/>
      </c>
      <c r="M324" s="10">
        <f>IF($C324="","",IFERROR(INDEX(tbl_Finance[Compare],MATCH($AU324,tbl_Finance[Row ID],0))&amp;"",""))</f>
        <v/>
      </c>
      <c r="N324" s="11">
        <f>IF($C324="","",MAX(0,N(O324)-N(L324)))</f>
        <v/>
      </c>
      <c r="O324" s="39" t="n"/>
      <c r="P324" s="40">
        <f>IF($C324="","",IF((IF(F324="",", Client","")&amp;IF(G324="",", Description","")&amp;IF(H324="",", Cost Centre","")&amp;IF(I324="",", Invoice Type","")&amp;IF(J324="",", Tax Code","")&amp;IF(O324="",", Expected Revenue","")&amp;IF(COUNTIF(tbl_Finance[Job Number],$C324&amp;"")&gt;1,", Job number used twice",""))="","Complete","Fix: "&amp;MID(IF(F324="",", Client","")&amp;IF(G324="",", Description","")&amp;IF(H324="",", Cost Centre","")&amp;IF(I324="",", Invoice Type","")&amp;IF(J324="",", Tax Code","")&amp;IF(O324="",", Expected Revenue","")&amp;IF(COUNTIF(tbl_Finance[Job Number],$C324&amp;"")&gt;1,", Job number used twice",""),3,300)))</f>
        <v/>
      </c>
      <c r="Q324" s="10">
        <f>IF($C324="","",IF(H324="","(no cost centre)",H324&amp;" - GL "&amp;IFERROR(INDEX(lst_CCtoGL,MATCH(H324,lst_CCforGL,0)),"?")))</f>
        <v/>
      </c>
      <c r="R324" s="11">
        <f>IF($C324="","",IFERROR(N(INDEX(tbl_Finance[Inc GST],MATCH($AU324,tbl_Finance[Row ID],0))),""))</f>
        <v/>
      </c>
      <c r="S324" s="37" t="n"/>
      <c r="T324" s="37" t="n"/>
      <c r="U324" s="37" t="n"/>
      <c r="V324" s="42" t="n"/>
      <c r="W324" s="37" t="n"/>
      <c r="X324" s="10">
        <f>IF(W324="","",IF(AND(LEFT(W324,4)&lt;&gt;"http",set_RMSBase=""),"",HYPERLINK(IF(LEFT(W324,4)="http",W324,set_RMSBase&amp;W324),"Open in RMS")))</f>
        <v/>
      </c>
      <c r="Y324" s="37" t="n"/>
      <c r="Z324" s="10">
        <f>IF(Y324="","",HYPERLINK(IF(LEFT(Y324,4)="http",Y324,set_QwilrBase&amp;Y324),"Open quote"))</f>
        <v/>
      </c>
      <c r="AA324" s="10">
        <f>IF(C324="","",C324)</f>
        <v/>
      </c>
      <c r="AB324" s="37" t="n"/>
      <c r="AC324" s="39" t="n"/>
      <c r="AD324" s="11">
        <f>IF(C324="","",N(L324)+N(AC324))</f>
        <v/>
      </c>
      <c r="AE324" s="43">
        <f>IFERROR(IF(N(AC324)=0,"",AC324/AD324),"")</f>
        <v/>
      </c>
      <c r="AF324" s="39" t="n"/>
      <c r="AG324" s="39" t="n"/>
      <c r="AH324" s="39" t="n"/>
      <c r="AI324" s="39" t="n"/>
      <c r="AJ324" s="11">
        <f>IF(C324="","",IF(H324="VIDEO",N(L324),0))</f>
        <v/>
      </c>
      <c r="AK324" s="43">
        <f>IFERROR(IF(N(L324)=0,"",AJ324/L324),"")</f>
        <v/>
      </c>
      <c r="AL324" s="11">
        <f>IF(C324="","",N(AF324)+N(AG324)+N(AH324)+N(AI324))</f>
        <v/>
      </c>
      <c r="AM324" s="11">
        <f>IF(C324="","",MAX(N(L324),N(O324))-N(AL324))</f>
        <v/>
      </c>
      <c r="AN324" s="43">
        <f>IFERROR(IF(MAX(N(L324),N(O324))=0,"",AM324/MAX(N(L324),N(O324))),"")</f>
        <v/>
      </c>
      <c r="AO324" s="41" t="n"/>
      <c r="AP324" s="41" t="n"/>
      <c r="AQ324" s="41" t="n"/>
      <c r="AR324" s="41" t="n"/>
      <c r="AS324" s="41" t="n"/>
      <c r="AT324" s="37" t="n"/>
      <c r="AU324" s="10" t="inlineStr">
        <is>
          <t>PRD-0320</t>
        </is>
      </c>
    </row>
    <row r="325">
      <c r="A325" s="16">
        <f>IF($C325="","",IFERROR(IF(INDEX(tbl_Finance[Latest Invoice Date],MATCH($AU325,tbl_Finance[Row ID],0))="","",INDEX(tbl_Finance[Latest Invoice Date],MATCH($AU325,tbl_Finance[Row ID],0))),""))</f>
        <v/>
      </c>
      <c r="B325" s="10">
        <f>IF($C325="","",IFERROR(INDEX(tbl_Finance[Invoice Numbers],MATCH($AU325,tbl_Finance[Row ID],0))&amp;"",""))</f>
        <v/>
      </c>
      <c r="C325" s="37" t="n"/>
      <c r="D325" s="10">
        <f>IF($C325="","",IF(COUNTIF(lst_Jobs,$C325&amp;"")&gt;0,"OK","CHECK"))</f>
        <v/>
      </c>
      <c r="E325" s="10">
        <f>IF($C325="","",IFERROR(INDEX(lst_JobName,MATCH($C325&amp;"",lst_Jobs,0)),""))</f>
        <v/>
      </c>
      <c r="F325" s="37" t="n"/>
      <c r="G325" s="37" t="n"/>
      <c r="H325" s="37" t="n"/>
      <c r="I325" s="37" t="n"/>
      <c r="J325" s="37" t="n"/>
      <c r="K325" s="38">
        <f>IF($C325="","",IFERROR(N(INDEX(tbl_Finance[Invoice Count],MATCH($AU325,tbl_Finance[Row ID],0))),""))</f>
        <v/>
      </c>
      <c r="L325" s="11">
        <f>IF($C325="","",IFERROR(N(INDEX(tbl_Finance[Xero Invoiced Ex GST],MATCH($AU325,tbl_Finance[Row ID],0))),""))</f>
        <v/>
      </c>
      <c r="M325" s="10">
        <f>IF($C325="","",IFERROR(INDEX(tbl_Finance[Compare],MATCH($AU325,tbl_Finance[Row ID],0))&amp;"",""))</f>
        <v/>
      </c>
      <c r="N325" s="11">
        <f>IF($C325="","",MAX(0,N(O325)-N(L325)))</f>
        <v/>
      </c>
      <c r="O325" s="39" t="n"/>
      <c r="P325" s="40">
        <f>IF($C325="","",IF((IF(F325="",", Client","")&amp;IF(G325="",", Description","")&amp;IF(H325="",", Cost Centre","")&amp;IF(I325="",", Invoice Type","")&amp;IF(J325="",", Tax Code","")&amp;IF(O325="",", Expected Revenue","")&amp;IF(COUNTIF(tbl_Finance[Job Number],$C325&amp;"")&gt;1,", Job number used twice",""))="","Complete","Fix: "&amp;MID(IF(F325="",", Client","")&amp;IF(G325="",", Description","")&amp;IF(H325="",", Cost Centre","")&amp;IF(I325="",", Invoice Type","")&amp;IF(J325="",", Tax Code","")&amp;IF(O325="",", Expected Revenue","")&amp;IF(COUNTIF(tbl_Finance[Job Number],$C325&amp;"")&gt;1,", Job number used twice",""),3,300)))</f>
        <v/>
      </c>
      <c r="Q325" s="10">
        <f>IF($C325="","",IF(H325="","(no cost centre)",H325&amp;" - GL "&amp;IFERROR(INDEX(lst_CCtoGL,MATCH(H325,lst_CCforGL,0)),"?")))</f>
        <v/>
      </c>
      <c r="R325" s="11">
        <f>IF($C325="","",IFERROR(N(INDEX(tbl_Finance[Inc GST],MATCH($AU325,tbl_Finance[Row ID],0))),""))</f>
        <v/>
      </c>
      <c r="S325" s="37" t="n"/>
      <c r="T325" s="37" t="n"/>
      <c r="U325" s="37" t="n"/>
      <c r="V325" s="42" t="n"/>
      <c r="W325" s="37" t="n"/>
      <c r="X325" s="10">
        <f>IF(W325="","",IF(AND(LEFT(W325,4)&lt;&gt;"http",set_RMSBase=""),"",HYPERLINK(IF(LEFT(W325,4)="http",W325,set_RMSBase&amp;W325),"Open in RMS")))</f>
        <v/>
      </c>
      <c r="Y325" s="37" t="n"/>
      <c r="Z325" s="10">
        <f>IF(Y325="","",HYPERLINK(IF(LEFT(Y325,4)="http",Y325,set_QwilrBase&amp;Y325),"Open quote"))</f>
        <v/>
      </c>
      <c r="AA325" s="10">
        <f>IF(C325="","",C325)</f>
        <v/>
      </c>
      <c r="AB325" s="37" t="n"/>
      <c r="AC325" s="39" t="n"/>
      <c r="AD325" s="11">
        <f>IF(C325="","",N(L325)+N(AC325))</f>
        <v/>
      </c>
      <c r="AE325" s="43">
        <f>IFERROR(IF(N(AC325)=0,"",AC325/AD325),"")</f>
        <v/>
      </c>
      <c r="AF325" s="39" t="n"/>
      <c r="AG325" s="39" t="n"/>
      <c r="AH325" s="39" t="n"/>
      <c r="AI325" s="39" t="n"/>
      <c r="AJ325" s="11">
        <f>IF(C325="","",IF(H325="VIDEO",N(L325),0))</f>
        <v/>
      </c>
      <c r="AK325" s="43">
        <f>IFERROR(IF(N(L325)=0,"",AJ325/L325),"")</f>
        <v/>
      </c>
      <c r="AL325" s="11">
        <f>IF(C325="","",N(AF325)+N(AG325)+N(AH325)+N(AI325))</f>
        <v/>
      </c>
      <c r="AM325" s="11">
        <f>IF(C325="","",MAX(N(L325),N(O325))-N(AL325))</f>
        <v/>
      </c>
      <c r="AN325" s="43">
        <f>IFERROR(IF(MAX(N(L325),N(O325))=0,"",AM325/MAX(N(L325),N(O325))),"")</f>
        <v/>
      </c>
      <c r="AO325" s="41" t="n"/>
      <c r="AP325" s="41" t="n"/>
      <c r="AQ325" s="41" t="n"/>
      <c r="AR325" s="41" t="n"/>
      <c r="AS325" s="41" t="n"/>
      <c r="AT325" s="37" t="n"/>
      <c r="AU325" s="10" t="inlineStr">
        <is>
          <t>PRD-0321</t>
        </is>
      </c>
    </row>
    <row r="326">
      <c r="A326" s="16">
        <f>IF($C326="","",IFERROR(IF(INDEX(tbl_Finance[Latest Invoice Date],MATCH($AU326,tbl_Finance[Row ID],0))="","",INDEX(tbl_Finance[Latest Invoice Date],MATCH($AU326,tbl_Finance[Row ID],0))),""))</f>
        <v/>
      </c>
      <c r="B326" s="10">
        <f>IF($C326="","",IFERROR(INDEX(tbl_Finance[Invoice Numbers],MATCH($AU326,tbl_Finance[Row ID],0))&amp;"",""))</f>
        <v/>
      </c>
      <c r="C326" s="37" t="n"/>
      <c r="D326" s="10">
        <f>IF($C326="","",IF(COUNTIF(lst_Jobs,$C326&amp;"")&gt;0,"OK","CHECK"))</f>
        <v/>
      </c>
      <c r="E326" s="10">
        <f>IF($C326="","",IFERROR(INDEX(lst_JobName,MATCH($C326&amp;"",lst_Jobs,0)),""))</f>
        <v/>
      </c>
      <c r="F326" s="37" t="n"/>
      <c r="G326" s="37" t="n"/>
      <c r="H326" s="37" t="n"/>
      <c r="I326" s="37" t="n"/>
      <c r="J326" s="37" t="n"/>
      <c r="K326" s="38">
        <f>IF($C326="","",IFERROR(N(INDEX(tbl_Finance[Invoice Count],MATCH($AU326,tbl_Finance[Row ID],0))),""))</f>
        <v/>
      </c>
      <c r="L326" s="11">
        <f>IF($C326="","",IFERROR(N(INDEX(tbl_Finance[Xero Invoiced Ex GST],MATCH($AU326,tbl_Finance[Row ID],0))),""))</f>
        <v/>
      </c>
      <c r="M326" s="10">
        <f>IF($C326="","",IFERROR(INDEX(tbl_Finance[Compare],MATCH($AU326,tbl_Finance[Row ID],0))&amp;"",""))</f>
        <v/>
      </c>
      <c r="N326" s="11">
        <f>IF($C326="","",MAX(0,N(O326)-N(L326)))</f>
        <v/>
      </c>
      <c r="O326" s="39" t="n"/>
      <c r="P326" s="40">
        <f>IF($C326="","",IF((IF(F326="",", Client","")&amp;IF(G326="",", Description","")&amp;IF(H326="",", Cost Centre","")&amp;IF(I326="",", Invoice Type","")&amp;IF(J326="",", Tax Code","")&amp;IF(O326="",", Expected Revenue","")&amp;IF(COUNTIF(tbl_Finance[Job Number],$C326&amp;"")&gt;1,", Job number used twice",""))="","Complete","Fix: "&amp;MID(IF(F326="",", Client","")&amp;IF(G326="",", Description","")&amp;IF(H326="",", Cost Centre","")&amp;IF(I326="",", Invoice Type","")&amp;IF(J326="",", Tax Code","")&amp;IF(O326="",", Expected Revenue","")&amp;IF(COUNTIF(tbl_Finance[Job Number],$C326&amp;"")&gt;1,", Job number used twice",""),3,300)))</f>
        <v/>
      </c>
      <c r="Q326" s="10">
        <f>IF($C326="","",IF(H326="","(no cost centre)",H326&amp;" - GL "&amp;IFERROR(INDEX(lst_CCtoGL,MATCH(H326,lst_CCforGL,0)),"?")))</f>
        <v/>
      </c>
      <c r="R326" s="11">
        <f>IF($C326="","",IFERROR(N(INDEX(tbl_Finance[Inc GST],MATCH($AU326,tbl_Finance[Row ID],0))),""))</f>
        <v/>
      </c>
      <c r="S326" s="37" t="n"/>
      <c r="T326" s="37" t="n"/>
      <c r="U326" s="37" t="n"/>
      <c r="V326" s="42" t="n"/>
      <c r="W326" s="37" t="n"/>
      <c r="X326" s="10">
        <f>IF(W326="","",IF(AND(LEFT(W326,4)&lt;&gt;"http",set_RMSBase=""),"",HYPERLINK(IF(LEFT(W326,4)="http",W326,set_RMSBase&amp;W326),"Open in RMS")))</f>
        <v/>
      </c>
      <c r="Y326" s="37" t="n"/>
      <c r="Z326" s="10">
        <f>IF(Y326="","",HYPERLINK(IF(LEFT(Y326,4)="http",Y326,set_QwilrBase&amp;Y326),"Open quote"))</f>
        <v/>
      </c>
      <c r="AA326" s="10">
        <f>IF(C326="","",C326)</f>
        <v/>
      </c>
      <c r="AB326" s="37" t="n"/>
      <c r="AC326" s="39" t="n"/>
      <c r="AD326" s="11">
        <f>IF(C326="","",N(L326)+N(AC326))</f>
        <v/>
      </c>
      <c r="AE326" s="43">
        <f>IFERROR(IF(N(AC326)=0,"",AC326/AD326),"")</f>
        <v/>
      </c>
      <c r="AF326" s="39" t="n"/>
      <c r="AG326" s="39" t="n"/>
      <c r="AH326" s="39" t="n"/>
      <c r="AI326" s="39" t="n"/>
      <c r="AJ326" s="11">
        <f>IF(C326="","",IF(H326="VIDEO",N(L326),0))</f>
        <v/>
      </c>
      <c r="AK326" s="43">
        <f>IFERROR(IF(N(L326)=0,"",AJ326/L326),"")</f>
        <v/>
      </c>
      <c r="AL326" s="11">
        <f>IF(C326="","",N(AF326)+N(AG326)+N(AH326)+N(AI326))</f>
        <v/>
      </c>
      <c r="AM326" s="11">
        <f>IF(C326="","",MAX(N(L326),N(O326))-N(AL326))</f>
        <v/>
      </c>
      <c r="AN326" s="43">
        <f>IFERROR(IF(MAX(N(L326),N(O326))=0,"",AM326/MAX(N(L326),N(O326))),"")</f>
        <v/>
      </c>
      <c r="AO326" s="41" t="n"/>
      <c r="AP326" s="41" t="n"/>
      <c r="AQ326" s="41" t="n"/>
      <c r="AR326" s="41" t="n"/>
      <c r="AS326" s="41" t="n"/>
      <c r="AT326" s="37" t="n"/>
      <c r="AU326" s="10" t="inlineStr">
        <is>
          <t>PRD-0322</t>
        </is>
      </c>
    </row>
    <row r="327">
      <c r="A327" s="16">
        <f>IF($C327="","",IFERROR(IF(INDEX(tbl_Finance[Latest Invoice Date],MATCH($AU327,tbl_Finance[Row ID],0))="","",INDEX(tbl_Finance[Latest Invoice Date],MATCH($AU327,tbl_Finance[Row ID],0))),""))</f>
        <v/>
      </c>
      <c r="B327" s="10">
        <f>IF($C327="","",IFERROR(INDEX(tbl_Finance[Invoice Numbers],MATCH($AU327,tbl_Finance[Row ID],0))&amp;"",""))</f>
        <v/>
      </c>
      <c r="C327" s="37" t="n"/>
      <c r="D327" s="10">
        <f>IF($C327="","",IF(COUNTIF(lst_Jobs,$C327&amp;"")&gt;0,"OK","CHECK"))</f>
        <v/>
      </c>
      <c r="E327" s="10">
        <f>IF($C327="","",IFERROR(INDEX(lst_JobName,MATCH($C327&amp;"",lst_Jobs,0)),""))</f>
        <v/>
      </c>
      <c r="F327" s="37" t="n"/>
      <c r="G327" s="37" t="n"/>
      <c r="H327" s="37" t="n"/>
      <c r="I327" s="37" t="n"/>
      <c r="J327" s="37" t="n"/>
      <c r="K327" s="38">
        <f>IF($C327="","",IFERROR(N(INDEX(tbl_Finance[Invoice Count],MATCH($AU327,tbl_Finance[Row ID],0))),""))</f>
        <v/>
      </c>
      <c r="L327" s="11">
        <f>IF($C327="","",IFERROR(N(INDEX(tbl_Finance[Xero Invoiced Ex GST],MATCH($AU327,tbl_Finance[Row ID],0))),""))</f>
        <v/>
      </c>
      <c r="M327" s="10">
        <f>IF($C327="","",IFERROR(INDEX(tbl_Finance[Compare],MATCH($AU327,tbl_Finance[Row ID],0))&amp;"",""))</f>
        <v/>
      </c>
      <c r="N327" s="11">
        <f>IF($C327="","",MAX(0,N(O327)-N(L327)))</f>
        <v/>
      </c>
      <c r="O327" s="39" t="n"/>
      <c r="P327" s="40">
        <f>IF($C327="","",IF((IF(F327="",", Client","")&amp;IF(G327="",", Description","")&amp;IF(H327="",", Cost Centre","")&amp;IF(I327="",", Invoice Type","")&amp;IF(J327="",", Tax Code","")&amp;IF(O327="",", Expected Revenue","")&amp;IF(COUNTIF(tbl_Finance[Job Number],$C327&amp;"")&gt;1,", Job number used twice",""))="","Complete","Fix: "&amp;MID(IF(F327="",", Client","")&amp;IF(G327="",", Description","")&amp;IF(H327="",", Cost Centre","")&amp;IF(I327="",", Invoice Type","")&amp;IF(J327="",", Tax Code","")&amp;IF(O327="",", Expected Revenue","")&amp;IF(COUNTIF(tbl_Finance[Job Number],$C327&amp;"")&gt;1,", Job number used twice",""),3,300)))</f>
        <v/>
      </c>
      <c r="Q327" s="10">
        <f>IF($C327="","",IF(H327="","(no cost centre)",H327&amp;" - GL "&amp;IFERROR(INDEX(lst_CCtoGL,MATCH(H327,lst_CCforGL,0)),"?")))</f>
        <v/>
      </c>
      <c r="R327" s="11">
        <f>IF($C327="","",IFERROR(N(INDEX(tbl_Finance[Inc GST],MATCH($AU327,tbl_Finance[Row ID],0))),""))</f>
        <v/>
      </c>
      <c r="S327" s="37" t="n"/>
      <c r="T327" s="37" t="n"/>
      <c r="U327" s="37" t="n"/>
      <c r="V327" s="42" t="n"/>
      <c r="W327" s="37" t="n"/>
      <c r="X327" s="10">
        <f>IF(W327="","",IF(AND(LEFT(W327,4)&lt;&gt;"http",set_RMSBase=""),"",HYPERLINK(IF(LEFT(W327,4)="http",W327,set_RMSBase&amp;W327),"Open in RMS")))</f>
        <v/>
      </c>
      <c r="Y327" s="37" t="n"/>
      <c r="Z327" s="10">
        <f>IF(Y327="","",HYPERLINK(IF(LEFT(Y327,4)="http",Y327,set_QwilrBase&amp;Y327),"Open quote"))</f>
        <v/>
      </c>
      <c r="AA327" s="10">
        <f>IF(C327="","",C327)</f>
        <v/>
      </c>
      <c r="AB327" s="37" t="n"/>
      <c r="AC327" s="39" t="n"/>
      <c r="AD327" s="11">
        <f>IF(C327="","",N(L327)+N(AC327))</f>
        <v/>
      </c>
      <c r="AE327" s="43">
        <f>IFERROR(IF(N(AC327)=0,"",AC327/AD327),"")</f>
        <v/>
      </c>
      <c r="AF327" s="39" t="n"/>
      <c r="AG327" s="39" t="n"/>
      <c r="AH327" s="39" t="n"/>
      <c r="AI327" s="39" t="n"/>
      <c r="AJ327" s="11">
        <f>IF(C327="","",IF(H327="VIDEO",N(L327),0))</f>
        <v/>
      </c>
      <c r="AK327" s="43">
        <f>IFERROR(IF(N(L327)=0,"",AJ327/L327),"")</f>
        <v/>
      </c>
      <c r="AL327" s="11">
        <f>IF(C327="","",N(AF327)+N(AG327)+N(AH327)+N(AI327))</f>
        <v/>
      </c>
      <c r="AM327" s="11">
        <f>IF(C327="","",MAX(N(L327),N(O327))-N(AL327))</f>
        <v/>
      </c>
      <c r="AN327" s="43">
        <f>IFERROR(IF(MAX(N(L327),N(O327))=0,"",AM327/MAX(N(L327),N(O327))),"")</f>
        <v/>
      </c>
      <c r="AO327" s="41" t="n"/>
      <c r="AP327" s="41" t="n"/>
      <c r="AQ327" s="41" t="n"/>
      <c r="AR327" s="41" t="n"/>
      <c r="AS327" s="41" t="n"/>
      <c r="AT327" s="37" t="n"/>
      <c r="AU327" s="10" t="inlineStr">
        <is>
          <t>PRD-0323</t>
        </is>
      </c>
    </row>
    <row r="328">
      <c r="A328" s="16">
        <f>IF($C328="","",IFERROR(IF(INDEX(tbl_Finance[Latest Invoice Date],MATCH($AU328,tbl_Finance[Row ID],0))="","",INDEX(tbl_Finance[Latest Invoice Date],MATCH($AU328,tbl_Finance[Row ID],0))),""))</f>
        <v/>
      </c>
      <c r="B328" s="10">
        <f>IF($C328="","",IFERROR(INDEX(tbl_Finance[Invoice Numbers],MATCH($AU328,tbl_Finance[Row ID],0))&amp;"",""))</f>
        <v/>
      </c>
      <c r="C328" s="37" t="n"/>
      <c r="D328" s="10">
        <f>IF($C328="","",IF(COUNTIF(lst_Jobs,$C328&amp;"")&gt;0,"OK","CHECK"))</f>
        <v/>
      </c>
      <c r="E328" s="10">
        <f>IF($C328="","",IFERROR(INDEX(lst_JobName,MATCH($C328&amp;"",lst_Jobs,0)),""))</f>
        <v/>
      </c>
      <c r="F328" s="37" t="n"/>
      <c r="G328" s="37" t="n"/>
      <c r="H328" s="37" t="n"/>
      <c r="I328" s="37" t="n"/>
      <c r="J328" s="37" t="n"/>
      <c r="K328" s="38">
        <f>IF($C328="","",IFERROR(N(INDEX(tbl_Finance[Invoice Count],MATCH($AU328,tbl_Finance[Row ID],0))),""))</f>
        <v/>
      </c>
      <c r="L328" s="11">
        <f>IF($C328="","",IFERROR(N(INDEX(tbl_Finance[Xero Invoiced Ex GST],MATCH($AU328,tbl_Finance[Row ID],0))),""))</f>
        <v/>
      </c>
      <c r="M328" s="10">
        <f>IF($C328="","",IFERROR(INDEX(tbl_Finance[Compare],MATCH($AU328,tbl_Finance[Row ID],0))&amp;"",""))</f>
        <v/>
      </c>
      <c r="N328" s="11">
        <f>IF($C328="","",MAX(0,N(O328)-N(L328)))</f>
        <v/>
      </c>
      <c r="O328" s="39" t="n"/>
      <c r="P328" s="40">
        <f>IF($C328="","",IF((IF(F328="",", Client","")&amp;IF(G328="",", Description","")&amp;IF(H328="",", Cost Centre","")&amp;IF(I328="",", Invoice Type","")&amp;IF(J328="",", Tax Code","")&amp;IF(O328="",", Expected Revenue","")&amp;IF(COUNTIF(tbl_Finance[Job Number],$C328&amp;"")&gt;1,", Job number used twice",""))="","Complete","Fix: "&amp;MID(IF(F328="",", Client","")&amp;IF(G328="",", Description","")&amp;IF(H328="",", Cost Centre","")&amp;IF(I328="",", Invoice Type","")&amp;IF(J328="",", Tax Code","")&amp;IF(O328="",", Expected Revenue","")&amp;IF(COUNTIF(tbl_Finance[Job Number],$C328&amp;"")&gt;1,", Job number used twice",""),3,300)))</f>
        <v/>
      </c>
      <c r="Q328" s="10">
        <f>IF($C328="","",IF(H328="","(no cost centre)",H328&amp;" - GL "&amp;IFERROR(INDEX(lst_CCtoGL,MATCH(H328,lst_CCforGL,0)),"?")))</f>
        <v/>
      </c>
      <c r="R328" s="11">
        <f>IF($C328="","",IFERROR(N(INDEX(tbl_Finance[Inc GST],MATCH($AU328,tbl_Finance[Row ID],0))),""))</f>
        <v/>
      </c>
      <c r="S328" s="37" t="n"/>
      <c r="T328" s="37" t="n"/>
      <c r="U328" s="37" t="n"/>
      <c r="V328" s="42" t="n"/>
      <c r="W328" s="37" t="n"/>
      <c r="X328" s="10">
        <f>IF(W328="","",IF(AND(LEFT(W328,4)&lt;&gt;"http",set_RMSBase=""),"",HYPERLINK(IF(LEFT(W328,4)="http",W328,set_RMSBase&amp;W328),"Open in RMS")))</f>
        <v/>
      </c>
      <c r="Y328" s="37" t="n"/>
      <c r="Z328" s="10">
        <f>IF(Y328="","",HYPERLINK(IF(LEFT(Y328,4)="http",Y328,set_QwilrBase&amp;Y328),"Open quote"))</f>
        <v/>
      </c>
      <c r="AA328" s="10">
        <f>IF(C328="","",C328)</f>
        <v/>
      </c>
      <c r="AB328" s="37" t="n"/>
      <c r="AC328" s="39" t="n"/>
      <c r="AD328" s="11">
        <f>IF(C328="","",N(L328)+N(AC328))</f>
        <v/>
      </c>
      <c r="AE328" s="43">
        <f>IFERROR(IF(N(AC328)=0,"",AC328/AD328),"")</f>
        <v/>
      </c>
      <c r="AF328" s="39" t="n"/>
      <c r="AG328" s="39" t="n"/>
      <c r="AH328" s="39" t="n"/>
      <c r="AI328" s="39" t="n"/>
      <c r="AJ328" s="11">
        <f>IF(C328="","",IF(H328="VIDEO",N(L328),0))</f>
        <v/>
      </c>
      <c r="AK328" s="43">
        <f>IFERROR(IF(N(L328)=0,"",AJ328/L328),"")</f>
        <v/>
      </c>
      <c r="AL328" s="11">
        <f>IF(C328="","",N(AF328)+N(AG328)+N(AH328)+N(AI328))</f>
        <v/>
      </c>
      <c r="AM328" s="11">
        <f>IF(C328="","",MAX(N(L328),N(O328))-N(AL328))</f>
        <v/>
      </c>
      <c r="AN328" s="43">
        <f>IFERROR(IF(MAX(N(L328),N(O328))=0,"",AM328/MAX(N(L328),N(O328))),"")</f>
        <v/>
      </c>
      <c r="AO328" s="41" t="n"/>
      <c r="AP328" s="41" t="n"/>
      <c r="AQ328" s="41" t="n"/>
      <c r="AR328" s="41" t="n"/>
      <c r="AS328" s="41" t="n"/>
      <c r="AT328" s="37" t="n"/>
      <c r="AU328" s="10" t="inlineStr">
        <is>
          <t>PRD-0324</t>
        </is>
      </c>
    </row>
    <row r="329">
      <c r="A329" s="16">
        <f>IF($C329="","",IFERROR(IF(INDEX(tbl_Finance[Latest Invoice Date],MATCH($AU329,tbl_Finance[Row ID],0))="","",INDEX(tbl_Finance[Latest Invoice Date],MATCH($AU329,tbl_Finance[Row ID],0))),""))</f>
        <v/>
      </c>
      <c r="B329" s="10">
        <f>IF($C329="","",IFERROR(INDEX(tbl_Finance[Invoice Numbers],MATCH($AU329,tbl_Finance[Row ID],0))&amp;"",""))</f>
        <v/>
      </c>
      <c r="C329" s="37" t="n"/>
      <c r="D329" s="10">
        <f>IF($C329="","",IF(COUNTIF(lst_Jobs,$C329&amp;"")&gt;0,"OK","CHECK"))</f>
        <v/>
      </c>
      <c r="E329" s="10">
        <f>IF($C329="","",IFERROR(INDEX(lst_JobName,MATCH($C329&amp;"",lst_Jobs,0)),""))</f>
        <v/>
      </c>
      <c r="F329" s="37" t="n"/>
      <c r="G329" s="37" t="n"/>
      <c r="H329" s="37" t="n"/>
      <c r="I329" s="37" t="n"/>
      <c r="J329" s="37" t="n"/>
      <c r="K329" s="38">
        <f>IF($C329="","",IFERROR(N(INDEX(tbl_Finance[Invoice Count],MATCH($AU329,tbl_Finance[Row ID],0))),""))</f>
        <v/>
      </c>
      <c r="L329" s="11">
        <f>IF($C329="","",IFERROR(N(INDEX(tbl_Finance[Xero Invoiced Ex GST],MATCH($AU329,tbl_Finance[Row ID],0))),""))</f>
        <v/>
      </c>
      <c r="M329" s="10">
        <f>IF($C329="","",IFERROR(INDEX(tbl_Finance[Compare],MATCH($AU329,tbl_Finance[Row ID],0))&amp;"",""))</f>
        <v/>
      </c>
      <c r="N329" s="11">
        <f>IF($C329="","",MAX(0,N(O329)-N(L329)))</f>
        <v/>
      </c>
      <c r="O329" s="39" t="n"/>
      <c r="P329" s="40">
        <f>IF($C329="","",IF((IF(F329="",", Client","")&amp;IF(G329="",", Description","")&amp;IF(H329="",", Cost Centre","")&amp;IF(I329="",", Invoice Type","")&amp;IF(J329="",", Tax Code","")&amp;IF(O329="",", Expected Revenue","")&amp;IF(COUNTIF(tbl_Finance[Job Number],$C329&amp;"")&gt;1,", Job number used twice",""))="","Complete","Fix: "&amp;MID(IF(F329="",", Client","")&amp;IF(G329="",", Description","")&amp;IF(H329="",", Cost Centre","")&amp;IF(I329="",", Invoice Type","")&amp;IF(J329="",", Tax Code","")&amp;IF(O329="",", Expected Revenue","")&amp;IF(COUNTIF(tbl_Finance[Job Number],$C329&amp;"")&gt;1,", Job number used twice",""),3,300)))</f>
        <v/>
      </c>
      <c r="Q329" s="10">
        <f>IF($C329="","",IF(H329="","(no cost centre)",H329&amp;" - GL "&amp;IFERROR(INDEX(lst_CCtoGL,MATCH(H329,lst_CCforGL,0)),"?")))</f>
        <v/>
      </c>
      <c r="R329" s="11">
        <f>IF($C329="","",IFERROR(N(INDEX(tbl_Finance[Inc GST],MATCH($AU329,tbl_Finance[Row ID],0))),""))</f>
        <v/>
      </c>
      <c r="S329" s="37" t="n"/>
      <c r="T329" s="37" t="n"/>
      <c r="U329" s="37" t="n"/>
      <c r="V329" s="42" t="n"/>
      <c r="W329" s="37" t="n"/>
      <c r="X329" s="10">
        <f>IF(W329="","",IF(AND(LEFT(W329,4)&lt;&gt;"http",set_RMSBase=""),"",HYPERLINK(IF(LEFT(W329,4)="http",W329,set_RMSBase&amp;W329),"Open in RMS")))</f>
        <v/>
      </c>
      <c r="Y329" s="37" t="n"/>
      <c r="Z329" s="10">
        <f>IF(Y329="","",HYPERLINK(IF(LEFT(Y329,4)="http",Y329,set_QwilrBase&amp;Y329),"Open quote"))</f>
        <v/>
      </c>
      <c r="AA329" s="10">
        <f>IF(C329="","",C329)</f>
        <v/>
      </c>
      <c r="AB329" s="37" t="n"/>
      <c r="AC329" s="39" t="n"/>
      <c r="AD329" s="11">
        <f>IF(C329="","",N(L329)+N(AC329))</f>
        <v/>
      </c>
      <c r="AE329" s="43">
        <f>IFERROR(IF(N(AC329)=0,"",AC329/AD329),"")</f>
        <v/>
      </c>
      <c r="AF329" s="39" t="n"/>
      <c r="AG329" s="39" t="n"/>
      <c r="AH329" s="39" t="n"/>
      <c r="AI329" s="39" t="n"/>
      <c r="AJ329" s="11">
        <f>IF(C329="","",IF(H329="VIDEO",N(L329),0))</f>
        <v/>
      </c>
      <c r="AK329" s="43">
        <f>IFERROR(IF(N(L329)=0,"",AJ329/L329),"")</f>
        <v/>
      </c>
      <c r="AL329" s="11">
        <f>IF(C329="","",N(AF329)+N(AG329)+N(AH329)+N(AI329))</f>
        <v/>
      </c>
      <c r="AM329" s="11">
        <f>IF(C329="","",MAX(N(L329),N(O329))-N(AL329))</f>
        <v/>
      </c>
      <c r="AN329" s="43">
        <f>IFERROR(IF(MAX(N(L329),N(O329))=0,"",AM329/MAX(N(L329),N(O329))),"")</f>
        <v/>
      </c>
      <c r="AO329" s="41" t="n"/>
      <c r="AP329" s="41" t="n"/>
      <c r="AQ329" s="41" t="n"/>
      <c r="AR329" s="41" t="n"/>
      <c r="AS329" s="41" t="n"/>
      <c r="AT329" s="37" t="n"/>
      <c r="AU329" s="10" t="inlineStr">
        <is>
          <t>PRD-0325</t>
        </is>
      </c>
    </row>
    <row r="330">
      <c r="A330" s="16">
        <f>IF($C330="","",IFERROR(IF(INDEX(tbl_Finance[Latest Invoice Date],MATCH($AU330,tbl_Finance[Row ID],0))="","",INDEX(tbl_Finance[Latest Invoice Date],MATCH($AU330,tbl_Finance[Row ID],0))),""))</f>
        <v/>
      </c>
      <c r="B330" s="10">
        <f>IF($C330="","",IFERROR(INDEX(tbl_Finance[Invoice Numbers],MATCH($AU330,tbl_Finance[Row ID],0))&amp;"",""))</f>
        <v/>
      </c>
      <c r="C330" s="37" t="n"/>
      <c r="D330" s="10">
        <f>IF($C330="","",IF(COUNTIF(lst_Jobs,$C330&amp;"")&gt;0,"OK","CHECK"))</f>
        <v/>
      </c>
      <c r="E330" s="10">
        <f>IF($C330="","",IFERROR(INDEX(lst_JobName,MATCH($C330&amp;"",lst_Jobs,0)),""))</f>
        <v/>
      </c>
      <c r="F330" s="37" t="n"/>
      <c r="G330" s="37" t="n"/>
      <c r="H330" s="37" t="n"/>
      <c r="I330" s="37" t="n"/>
      <c r="J330" s="37" t="n"/>
      <c r="K330" s="38">
        <f>IF($C330="","",IFERROR(N(INDEX(tbl_Finance[Invoice Count],MATCH($AU330,tbl_Finance[Row ID],0))),""))</f>
        <v/>
      </c>
      <c r="L330" s="11">
        <f>IF($C330="","",IFERROR(N(INDEX(tbl_Finance[Xero Invoiced Ex GST],MATCH($AU330,tbl_Finance[Row ID],0))),""))</f>
        <v/>
      </c>
      <c r="M330" s="10">
        <f>IF($C330="","",IFERROR(INDEX(tbl_Finance[Compare],MATCH($AU330,tbl_Finance[Row ID],0))&amp;"",""))</f>
        <v/>
      </c>
      <c r="N330" s="11">
        <f>IF($C330="","",MAX(0,N(O330)-N(L330)))</f>
        <v/>
      </c>
      <c r="O330" s="39" t="n"/>
      <c r="P330" s="40">
        <f>IF($C330="","",IF((IF(F330="",", Client","")&amp;IF(G330="",", Description","")&amp;IF(H330="",", Cost Centre","")&amp;IF(I330="",", Invoice Type","")&amp;IF(J330="",", Tax Code","")&amp;IF(O330="",", Expected Revenue","")&amp;IF(COUNTIF(tbl_Finance[Job Number],$C330&amp;"")&gt;1,", Job number used twice",""))="","Complete","Fix: "&amp;MID(IF(F330="",", Client","")&amp;IF(G330="",", Description","")&amp;IF(H330="",", Cost Centre","")&amp;IF(I330="",", Invoice Type","")&amp;IF(J330="",", Tax Code","")&amp;IF(O330="",", Expected Revenue","")&amp;IF(COUNTIF(tbl_Finance[Job Number],$C330&amp;"")&gt;1,", Job number used twice",""),3,300)))</f>
        <v/>
      </c>
      <c r="Q330" s="10">
        <f>IF($C330="","",IF(H330="","(no cost centre)",H330&amp;" - GL "&amp;IFERROR(INDEX(lst_CCtoGL,MATCH(H330,lst_CCforGL,0)),"?")))</f>
        <v/>
      </c>
      <c r="R330" s="11">
        <f>IF($C330="","",IFERROR(N(INDEX(tbl_Finance[Inc GST],MATCH($AU330,tbl_Finance[Row ID],0))),""))</f>
        <v/>
      </c>
      <c r="S330" s="37" t="n"/>
      <c r="T330" s="37" t="n"/>
      <c r="U330" s="37" t="n"/>
      <c r="V330" s="42" t="n"/>
      <c r="W330" s="37" t="n"/>
      <c r="X330" s="10">
        <f>IF(W330="","",IF(AND(LEFT(W330,4)&lt;&gt;"http",set_RMSBase=""),"",HYPERLINK(IF(LEFT(W330,4)="http",W330,set_RMSBase&amp;W330),"Open in RMS")))</f>
        <v/>
      </c>
      <c r="Y330" s="37" t="n"/>
      <c r="Z330" s="10">
        <f>IF(Y330="","",HYPERLINK(IF(LEFT(Y330,4)="http",Y330,set_QwilrBase&amp;Y330),"Open quote"))</f>
        <v/>
      </c>
      <c r="AA330" s="10">
        <f>IF(C330="","",C330)</f>
        <v/>
      </c>
      <c r="AB330" s="37" t="n"/>
      <c r="AC330" s="39" t="n"/>
      <c r="AD330" s="11">
        <f>IF(C330="","",N(L330)+N(AC330))</f>
        <v/>
      </c>
      <c r="AE330" s="43">
        <f>IFERROR(IF(N(AC330)=0,"",AC330/AD330),"")</f>
        <v/>
      </c>
      <c r="AF330" s="39" t="n"/>
      <c r="AG330" s="39" t="n"/>
      <c r="AH330" s="39" t="n"/>
      <c r="AI330" s="39" t="n"/>
      <c r="AJ330" s="11">
        <f>IF(C330="","",IF(H330="VIDEO",N(L330),0))</f>
        <v/>
      </c>
      <c r="AK330" s="43">
        <f>IFERROR(IF(N(L330)=0,"",AJ330/L330),"")</f>
        <v/>
      </c>
      <c r="AL330" s="11">
        <f>IF(C330="","",N(AF330)+N(AG330)+N(AH330)+N(AI330))</f>
        <v/>
      </c>
      <c r="AM330" s="11">
        <f>IF(C330="","",MAX(N(L330),N(O330))-N(AL330))</f>
        <v/>
      </c>
      <c r="AN330" s="43">
        <f>IFERROR(IF(MAX(N(L330),N(O330))=0,"",AM330/MAX(N(L330),N(O330))),"")</f>
        <v/>
      </c>
      <c r="AO330" s="41" t="n"/>
      <c r="AP330" s="41" t="n"/>
      <c r="AQ330" s="41" t="n"/>
      <c r="AR330" s="41" t="n"/>
      <c r="AS330" s="41" t="n"/>
      <c r="AT330" s="37" t="n"/>
      <c r="AU330" s="10" t="inlineStr">
        <is>
          <t>PRD-0326</t>
        </is>
      </c>
    </row>
    <row r="331">
      <c r="A331" s="16">
        <f>IF($C331="","",IFERROR(IF(INDEX(tbl_Finance[Latest Invoice Date],MATCH($AU331,tbl_Finance[Row ID],0))="","",INDEX(tbl_Finance[Latest Invoice Date],MATCH($AU331,tbl_Finance[Row ID],0))),""))</f>
        <v/>
      </c>
      <c r="B331" s="10">
        <f>IF($C331="","",IFERROR(INDEX(tbl_Finance[Invoice Numbers],MATCH($AU331,tbl_Finance[Row ID],0))&amp;"",""))</f>
        <v/>
      </c>
      <c r="C331" s="37" t="n"/>
      <c r="D331" s="10">
        <f>IF($C331="","",IF(COUNTIF(lst_Jobs,$C331&amp;"")&gt;0,"OK","CHECK"))</f>
        <v/>
      </c>
      <c r="E331" s="10">
        <f>IF($C331="","",IFERROR(INDEX(lst_JobName,MATCH($C331&amp;"",lst_Jobs,0)),""))</f>
        <v/>
      </c>
      <c r="F331" s="37" t="n"/>
      <c r="G331" s="37" t="n"/>
      <c r="H331" s="37" t="n"/>
      <c r="I331" s="37" t="n"/>
      <c r="J331" s="37" t="n"/>
      <c r="K331" s="38">
        <f>IF($C331="","",IFERROR(N(INDEX(tbl_Finance[Invoice Count],MATCH($AU331,tbl_Finance[Row ID],0))),""))</f>
        <v/>
      </c>
      <c r="L331" s="11">
        <f>IF($C331="","",IFERROR(N(INDEX(tbl_Finance[Xero Invoiced Ex GST],MATCH($AU331,tbl_Finance[Row ID],0))),""))</f>
        <v/>
      </c>
      <c r="M331" s="10">
        <f>IF($C331="","",IFERROR(INDEX(tbl_Finance[Compare],MATCH($AU331,tbl_Finance[Row ID],0))&amp;"",""))</f>
        <v/>
      </c>
      <c r="N331" s="11">
        <f>IF($C331="","",MAX(0,N(O331)-N(L331)))</f>
        <v/>
      </c>
      <c r="O331" s="39" t="n"/>
      <c r="P331" s="40">
        <f>IF($C331="","",IF((IF(F331="",", Client","")&amp;IF(G331="",", Description","")&amp;IF(H331="",", Cost Centre","")&amp;IF(I331="",", Invoice Type","")&amp;IF(J331="",", Tax Code","")&amp;IF(O331="",", Expected Revenue","")&amp;IF(COUNTIF(tbl_Finance[Job Number],$C331&amp;"")&gt;1,", Job number used twice",""))="","Complete","Fix: "&amp;MID(IF(F331="",", Client","")&amp;IF(G331="",", Description","")&amp;IF(H331="",", Cost Centre","")&amp;IF(I331="",", Invoice Type","")&amp;IF(J331="",", Tax Code","")&amp;IF(O331="",", Expected Revenue","")&amp;IF(COUNTIF(tbl_Finance[Job Number],$C331&amp;"")&gt;1,", Job number used twice",""),3,300)))</f>
        <v/>
      </c>
      <c r="Q331" s="10">
        <f>IF($C331="","",IF(H331="","(no cost centre)",H331&amp;" - GL "&amp;IFERROR(INDEX(lst_CCtoGL,MATCH(H331,lst_CCforGL,0)),"?")))</f>
        <v/>
      </c>
      <c r="R331" s="11">
        <f>IF($C331="","",IFERROR(N(INDEX(tbl_Finance[Inc GST],MATCH($AU331,tbl_Finance[Row ID],0))),""))</f>
        <v/>
      </c>
      <c r="S331" s="37" t="n"/>
      <c r="T331" s="37" t="n"/>
      <c r="U331" s="37" t="n"/>
      <c r="V331" s="42" t="n"/>
      <c r="W331" s="37" t="n"/>
      <c r="X331" s="10">
        <f>IF(W331="","",IF(AND(LEFT(W331,4)&lt;&gt;"http",set_RMSBase=""),"",HYPERLINK(IF(LEFT(W331,4)="http",W331,set_RMSBase&amp;W331),"Open in RMS")))</f>
        <v/>
      </c>
      <c r="Y331" s="37" t="n"/>
      <c r="Z331" s="10">
        <f>IF(Y331="","",HYPERLINK(IF(LEFT(Y331,4)="http",Y331,set_QwilrBase&amp;Y331),"Open quote"))</f>
        <v/>
      </c>
      <c r="AA331" s="10">
        <f>IF(C331="","",C331)</f>
        <v/>
      </c>
      <c r="AB331" s="37" t="n"/>
      <c r="AC331" s="39" t="n"/>
      <c r="AD331" s="11">
        <f>IF(C331="","",N(L331)+N(AC331))</f>
        <v/>
      </c>
      <c r="AE331" s="43">
        <f>IFERROR(IF(N(AC331)=0,"",AC331/AD331),"")</f>
        <v/>
      </c>
      <c r="AF331" s="39" t="n"/>
      <c r="AG331" s="39" t="n"/>
      <c r="AH331" s="39" t="n"/>
      <c r="AI331" s="39" t="n"/>
      <c r="AJ331" s="11">
        <f>IF(C331="","",IF(H331="VIDEO",N(L331),0))</f>
        <v/>
      </c>
      <c r="AK331" s="43">
        <f>IFERROR(IF(N(L331)=0,"",AJ331/L331),"")</f>
        <v/>
      </c>
      <c r="AL331" s="11">
        <f>IF(C331="","",N(AF331)+N(AG331)+N(AH331)+N(AI331))</f>
        <v/>
      </c>
      <c r="AM331" s="11">
        <f>IF(C331="","",MAX(N(L331),N(O331))-N(AL331))</f>
        <v/>
      </c>
      <c r="AN331" s="43">
        <f>IFERROR(IF(MAX(N(L331),N(O331))=0,"",AM331/MAX(N(L331),N(O331))),"")</f>
        <v/>
      </c>
      <c r="AO331" s="41" t="n"/>
      <c r="AP331" s="41" t="n"/>
      <c r="AQ331" s="41" t="n"/>
      <c r="AR331" s="41" t="n"/>
      <c r="AS331" s="41" t="n"/>
      <c r="AT331" s="37" t="n"/>
      <c r="AU331" s="10" t="inlineStr">
        <is>
          <t>PRD-0327</t>
        </is>
      </c>
    </row>
    <row r="332">
      <c r="A332" s="16">
        <f>IF($C332="","",IFERROR(IF(INDEX(tbl_Finance[Latest Invoice Date],MATCH($AU332,tbl_Finance[Row ID],0))="","",INDEX(tbl_Finance[Latest Invoice Date],MATCH($AU332,tbl_Finance[Row ID],0))),""))</f>
        <v/>
      </c>
      <c r="B332" s="10">
        <f>IF($C332="","",IFERROR(INDEX(tbl_Finance[Invoice Numbers],MATCH($AU332,tbl_Finance[Row ID],0))&amp;"",""))</f>
        <v/>
      </c>
      <c r="C332" s="37" t="n"/>
      <c r="D332" s="10">
        <f>IF($C332="","",IF(COUNTIF(lst_Jobs,$C332&amp;"")&gt;0,"OK","CHECK"))</f>
        <v/>
      </c>
      <c r="E332" s="10">
        <f>IF($C332="","",IFERROR(INDEX(lst_JobName,MATCH($C332&amp;"",lst_Jobs,0)),""))</f>
        <v/>
      </c>
      <c r="F332" s="37" t="n"/>
      <c r="G332" s="37" t="n"/>
      <c r="H332" s="37" t="n"/>
      <c r="I332" s="37" t="n"/>
      <c r="J332" s="37" t="n"/>
      <c r="K332" s="38">
        <f>IF($C332="","",IFERROR(N(INDEX(tbl_Finance[Invoice Count],MATCH($AU332,tbl_Finance[Row ID],0))),""))</f>
        <v/>
      </c>
      <c r="L332" s="11">
        <f>IF($C332="","",IFERROR(N(INDEX(tbl_Finance[Xero Invoiced Ex GST],MATCH($AU332,tbl_Finance[Row ID],0))),""))</f>
        <v/>
      </c>
      <c r="M332" s="10">
        <f>IF($C332="","",IFERROR(INDEX(tbl_Finance[Compare],MATCH($AU332,tbl_Finance[Row ID],0))&amp;"",""))</f>
        <v/>
      </c>
      <c r="N332" s="11">
        <f>IF($C332="","",MAX(0,N(O332)-N(L332)))</f>
        <v/>
      </c>
      <c r="O332" s="39" t="n"/>
      <c r="P332" s="40">
        <f>IF($C332="","",IF((IF(F332="",", Client","")&amp;IF(G332="",", Description","")&amp;IF(H332="",", Cost Centre","")&amp;IF(I332="",", Invoice Type","")&amp;IF(J332="",", Tax Code","")&amp;IF(O332="",", Expected Revenue","")&amp;IF(COUNTIF(tbl_Finance[Job Number],$C332&amp;"")&gt;1,", Job number used twice",""))="","Complete","Fix: "&amp;MID(IF(F332="",", Client","")&amp;IF(G332="",", Description","")&amp;IF(H332="",", Cost Centre","")&amp;IF(I332="",", Invoice Type","")&amp;IF(J332="",", Tax Code","")&amp;IF(O332="",", Expected Revenue","")&amp;IF(COUNTIF(tbl_Finance[Job Number],$C332&amp;"")&gt;1,", Job number used twice",""),3,300)))</f>
        <v/>
      </c>
      <c r="Q332" s="10">
        <f>IF($C332="","",IF(H332="","(no cost centre)",H332&amp;" - GL "&amp;IFERROR(INDEX(lst_CCtoGL,MATCH(H332,lst_CCforGL,0)),"?")))</f>
        <v/>
      </c>
      <c r="R332" s="11">
        <f>IF($C332="","",IFERROR(N(INDEX(tbl_Finance[Inc GST],MATCH($AU332,tbl_Finance[Row ID],0))),""))</f>
        <v/>
      </c>
      <c r="S332" s="37" t="n"/>
      <c r="T332" s="37" t="n"/>
      <c r="U332" s="37" t="n"/>
      <c r="V332" s="42" t="n"/>
      <c r="W332" s="37" t="n"/>
      <c r="X332" s="10">
        <f>IF(W332="","",IF(AND(LEFT(W332,4)&lt;&gt;"http",set_RMSBase=""),"",HYPERLINK(IF(LEFT(W332,4)="http",W332,set_RMSBase&amp;W332),"Open in RMS")))</f>
        <v/>
      </c>
      <c r="Y332" s="37" t="n"/>
      <c r="Z332" s="10">
        <f>IF(Y332="","",HYPERLINK(IF(LEFT(Y332,4)="http",Y332,set_QwilrBase&amp;Y332),"Open quote"))</f>
        <v/>
      </c>
      <c r="AA332" s="10">
        <f>IF(C332="","",C332)</f>
        <v/>
      </c>
      <c r="AB332" s="37" t="n"/>
      <c r="AC332" s="39" t="n"/>
      <c r="AD332" s="11">
        <f>IF(C332="","",N(L332)+N(AC332))</f>
        <v/>
      </c>
      <c r="AE332" s="43">
        <f>IFERROR(IF(N(AC332)=0,"",AC332/AD332),"")</f>
        <v/>
      </c>
      <c r="AF332" s="39" t="n"/>
      <c r="AG332" s="39" t="n"/>
      <c r="AH332" s="39" t="n"/>
      <c r="AI332" s="39" t="n"/>
      <c r="AJ332" s="11">
        <f>IF(C332="","",IF(H332="VIDEO",N(L332),0))</f>
        <v/>
      </c>
      <c r="AK332" s="43">
        <f>IFERROR(IF(N(L332)=0,"",AJ332/L332),"")</f>
        <v/>
      </c>
      <c r="AL332" s="11">
        <f>IF(C332="","",N(AF332)+N(AG332)+N(AH332)+N(AI332))</f>
        <v/>
      </c>
      <c r="AM332" s="11">
        <f>IF(C332="","",MAX(N(L332),N(O332))-N(AL332))</f>
        <v/>
      </c>
      <c r="AN332" s="43">
        <f>IFERROR(IF(MAX(N(L332),N(O332))=0,"",AM332/MAX(N(L332),N(O332))),"")</f>
        <v/>
      </c>
      <c r="AO332" s="41" t="n"/>
      <c r="AP332" s="41" t="n"/>
      <c r="AQ332" s="41" t="n"/>
      <c r="AR332" s="41" t="n"/>
      <c r="AS332" s="41" t="n"/>
      <c r="AT332" s="37" t="n"/>
      <c r="AU332" s="10" t="inlineStr">
        <is>
          <t>PRD-0328</t>
        </is>
      </c>
    </row>
    <row r="333">
      <c r="A333" s="16">
        <f>IF($C333="","",IFERROR(IF(INDEX(tbl_Finance[Latest Invoice Date],MATCH($AU333,tbl_Finance[Row ID],0))="","",INDEX(tbl_Finance[Latest Invoice Date],MATCH($AU333,tbl_Finance[Row ID],0))),""))</f>
        <v/>
      </c>
      <c r="B333" s="10">
        <f>IF($C333="","",IFERROR(INDEX(tbl_Finance[Invoice Numbers],MATCH($AU333,tbl_Finance[Row ID],0))&amp;"",""))</f>
        <v/>
      </c>
      <c r="C333" s="37" t="n"/>
      <c r="D333" s="10">
        <f>IF($C333="","",IF(COUNTIF(lst_Jobs,$C333&amp;"")&gt;0,"OK","CHECK"))</f>
        <v/>
      </c>
      <c r="E333" s="10">
        <f>IF($C333="","",IFERROR(INDEX(lst_JobName,MATCH($C333&amp;"",lst_Jobs,0)),""))</f>
        <v/>
      </c>
      <c r="F333" s="37" t="n"/>
      <c r="G333" s="37" t="n"/>
      <c r="H333" s="37" t="n"/>
      <c r="I333" s="37" t="n"/>
      <c r="J333" s="37" t="n"/>
      <c r="K333" s="38">
        <f>IF($C333="","",IFERROR(N(INDEX(tbl_Finance[Invoice Count],MATCH($AU333,tbl_Finance[Row ID],0))),""))</f>
        <v/>
      </c>
      <c r="L333" s="11">
        <f>IF($C333="","",IFERROR(N(INDEX(tbl_Finance[Xero Invoiced Ex GST],MATCH($AU333,tbl_Finance[Row ID],0))),""))</f>
        <v/>
      </c>
      <c r="M333" s="10">
        <f>IF($C333="","",IFERROR(INDEX(tbl_Finance[Compare],MATCH($AU333,tbl_Finance[Row ID],0))&amp;"",""))</f>
        <v/>
      </c>
      <c r="N333" s="11">
        <f>IF($C333="","",MAX(0,N(O333)-N(L333)))</f>
        <v/>
      </c>
      <c r="O333" s="39" t="n"/>
      <c r="P333" s="40">
        <f>IF($C333="","",IF((IF(F333="",", Client","")&amp;IF(G333="",", Description","")&amp;IF(H333="",", Cost Centre","")&amp;IF(I333="",", Invoice Type","")&amp;IF(J333="",", Tax Code","")&amp;IF(O333="",", Expected Revenue","")&amp;IF(COUNTIF(tbl_Finance[Job Number],$C333&amp;"")&gt;1,", Job number used twice",""))="","Complete","Fix: "&amp;MID(IF(F333="",", Client","")&amp;IF(G333="",", Description","")&amp;IF(H333="",", Cost Centre","")&amp;IF(I333="",", Invoice Type","")&amp;IF(J333="",", Tax Code","")&amp;IF(O333="",", Expected Revenue","")&amp;IF(COUNTIF(tbl_Finance[Job Number],$C333&amp;"")&gt;1,", Job number used twice",""),3,300)))</f>
        <v/>
      </c>
      <c r="Q333" s="10">
        <f>IF($C333="","",IF(H333="","(no cost centre)",H333&amp;" - GL "&amp;IFERROR(INDEX(lst_CCtoGL,MATCH(H333,lst_CCforGL,0)),"?")))</f>
        <v/>
      </c>
      <c r="R333" s="11">
        <f>IF($C333="","",IFERROR(N(INDEX(tbl_Finance[Inc GST],MATCH($AU333,tbl_Finance[Row ID],0))),""))</f>
        <v/>
      </c>
      <c r="S333" s="37" t="n"/>
      <c r="T333" s="37" t="n"/>
      <c r="U333" s="37" t="n"/>
      <c r="V333" s="42" t="n"/>
      <c r="W333" s="37" t="n"/>
      <c r="X333" s="10">
        <f>IF(W333="","",IF(AND(LEFT(W333,4)&lt;&gt;"http",set_RMSBase=""),"",HYPERLINK(IF(LEFT(W333,4)="http",W333,set_RMSBase&amp;W333),"Open in RMS")))</f>
        <v/>
      </c>
      <c r="Y333" s="37" t="n"/>
      <c r="Z333" s="10">
        <f>IF(Y333="","",HYPERLINK(IF(LEFT(Y333,4)="http",Y333,set_QwilrBase&amp;Y333),"Open quote"))</f>
        <v/>
      </c>
      <c r="AA333" s="10">
        <f>IF(C333="","",C333)</f>
        <v/>
      </c>
      <c r="AB333" s="37" t="n"/>
      <c r="AC333" s="39" t="n"/>
      <c r="AD333" s="11">
        <f>IF(C333="","",N(L333)+N(AC333))</f>
        <v/>
      </c>
      <c r="AE333" s="43">
        <f>IFERROR(IF(N(AC333)=0,"",AC333/AD333),"")</f>
        <v/>
      </c>
      <c r="AF333" s="39" t="n"/>
      <c r="AG333" s="39" t="n"/>
      <c r="AH333" s="39" t="n"/>
      <c r="AI333" s="39" t="n"/>
      <c r="AJ333" s="11">
        <f>IF(C333="","",IF(H333="VIDEO",N(L333),0))</f>
        <v/>
      </c>
      <c r="AK333" s="43">
        <f>IFERROR(IF(N(L333)=0,"",AJ333/L333),"")</f>
        <v/>
      </c>
      <c r="AL333" s="11">
        <f>IF(C333="","",N(AF333)+N(AG333)+N(AH333)+N(AI333))</f>
        <v/>
      </c>
      <c r="AM333" s="11">
        <f>IF(C333="","",MAX(N(L333),N(O333))-N(AL333))</f>
        <v/>
      </c>
      <c r="AN333" s="43">
        <f>IFERROR(IF(MAX(N(L333),N(O333))=0,"",AM333/MAX(N(L333),N(O333))),"")</f>
        <v/>
      </c>
      <c r="AO333" s="41" t="n"/>
      <c r="AP333" s="41" t="n"/>
      <c r="AQ333" s="41" t="n"/>
      <c r="AR333" s="41" t="n"/>
      <c r="AS333" s="41" t="n"/>
      <c r="AT333" s="37" t="n"/>
      <c r="AU333" s="10" t="inlineStr">
        <is>
          <t>PRD-0329</t>
        </is>
      </c>
    </row>
    <row r="334">
      <c r="A334" s="16">
        <f>IF($C334="","",IFERROR(IF(INDEX(tbl_Finance[Latest Invoice Date],MATCH($AU334,tbl_Finance[Row ID],0))="","",INDEX(tbl_Finance[Latest Invoice Date],MATCH($AU334,tbl_Finance[Row ID],0))),""))</f>
        <v/>
      </c>
      <c r="B334" s="10">
        <f>IF($C334="","",IFERROR(INDEX(tbl_Finance[Invoice Numbers],MATCH($AU334,tbl_Finance[Row ID],0))&amp;"",""))</f>
        <v/>
      </c>
      <c r="C334" s="37" t="n"/>
      <c r="D334" s="10">
        <f>IF($C334="","",IF(COUNTIF(lst_Jobs,$C334&amp;"")&gt;0,"OK","CHECK"))</f>
        <v/>
      </c>
      <c r="E334" s="10">
        <f>IF($C334="","",IFERROR(INDEX(lst_JobName,MATCH($C334&amp;"",lst_Jobs,0)),""))</f>
        <v/>
      </c>
      <c r="F334" s="37" t="n"/>
      <c r="G334" s="37" t="n"/>
      <c r="H334" s="37" t="n"/>
      <c r="I334" s="37" t="n"/>
      <c r="J334" s="37" t="n"/>
      <c r="K334" s="38">
        <f>IF($C334="","",IFERROR(N(INDEX(tbl_Finance[Invoice Count],MATCH($AU334,tbl_Finance[Row ID],0))),""))</f>
        <v/>
      </c>
      <c r="L334" s="11">
        <f>IF($C334="","",IFERROR(N(INDEX(tbl_Finance[Xero Invoiced Ex GST],MATCH($AU334,tbl_Finance[Row ID],0))),""))</f>
        <v/>
      </c>
      <c r="M334" s="10">
        <f>IF($C334="","",IFERROR(INDEX(tbl_Finance[Compare],MATCH($AU334,tbl_Finance[Row ID],0))&amp;"",""))</f>
        <v/>
      </c>
      <c r="N334" s="11">
        <f>IF($C334="","",MAX(0,N(O334)-N(L334)))</f>
        <v/>
      </c>
      <c r="O334" s="39" t="n"/>
      <c r="P334" s="40">
        <f>IF($C334="","",IF((IF(F334="",", Client","")&amp;IF(G334="",", Description","")&amp;IF(H334="",", Cost Centre","")&amp;IF(I334="",", Invoice Type","")&amp;IF(J334="",", Tax Code","")&amp;IF(O334="",", Expected Revenue","")&amp;IF(COUNTIF(tbl_Finance[Job Number],$C334&amp;"")&gt;1,", Job number used twice",""))="","Complete","Fix: "&amp;MID(IF(F334="",", Client","")&amp;IF(G334="",", Description","")&amp;IF(H334="",", Cost Centre","")&amp;IF(I334="",", Invoice Type","")&amp;IF(J334="",", Tax Code","")&amp;IF(O334="",", Expected Revenue","")&amp;IF(COUNTIF(tbl_Finance[Job Number],$C334&amp;"")&gt;1,", Job number used twice",""),3,300)))</f>
        <v/>
      </c>
      <c r="Q334" s="10">
        <f>IF($C334="","",IF(H334="","(no cost centre)",H334&amp;" - GL "&amp;IFERROR(INDEX(lst_CCtoGL,MATCH(H334,lst_CCforGL,0)),"?")))</f>
        <v/>
      </c>
      <c r="R334" s="11">
        <f>IF($C334="","",IFERROR(N(INDEX(tbl_Finance[Inc GST],MATCH($AU334,tbl_Finance[Row ID],0))),""))</f>
        <v/>
      </c>
      <c r="S334" s="37" t="n"/>
      <c r="T334" s="37" t="n"/>
      <c r="U334" s="37" t="n"/>
      <c r="V334" s="42" t="n"/>
      <c r="W334" s="37" t="n"/>
      <c r="X334" s="10">
        <f>IF(W334="","",IF(AND(LEFT(W334,4)&lt;&gt;"http",set_RMSBase=""),"",HYPERLINK(IF(LEFT(W334,4)="http",W334,set_RMSBase&amp;W334),"Open in RMS")))</f>
        <v/>
      </c>
      <c r="Y334" s="37" t="n"/>
      <c r="Z334" s="10">
        <f>IF(Y334="","",HYPERLINK(IF(LEFT(Y334,4)="http",Y334,set_QwilrBase&amp;Y334),"Open quote"))</f>
        <v/>
      </c>
      <c r="AA334" s="10">
        <f>IF(C334="","",C334)</f>
        <v/>
      </c>
      <c r="AB334" s="37" t="n"/>
      <c r="AC334" s="39" t="n"/>
      <c r="AD334" s="11">
        <f>IF(C334="","",N(L334)+N(AC334))</f>
        <v/>
      </c>
      <c r="AE334" s="43">
        <f>IFERROR(IF(N(AC334)=0,"",AC334/AD334),"")</f>
        <v/>
      </c>
      <c r="AF334" s="39" t="n"/>
      <c r="AG334" s="39" t="n"/>
      <c r="AH334" s="39" t="n"/>
      <c r="AI334" s="39" t="n"/>
      <c r="AJ334" s="11">
        <f>IF(C334="","",IF(H334="VIDEO",N(L334),0))</f>
        <v/>
      </c>
      <c r="AK334" s="43">
        <f>IFERROR(IF(N(L334)=0,"",AJ334/L334),"")</f>
        <v/>
      </c>
      <c r="AL334" s="11">
        <f>IF(C334="","",N(AF334)+N(AG334)+N(AH334)+N(AI334))</f>
        <v/>
      </c>
      <c r="AM334" s="11">
        <f>IF(C334="","",MAX(N(L334),N(O334))-N(AL334))</f>
        <v/>
      </c>
      <c r="AN334" s="43">
        <f>IFERROR(IF(MAX(N(L334),N(O334))=0,"",AM334/MAX(N(L334),N(O334))),"")</f>
        <v/>
      </c>
      <c r="AO334" s="41" t="n"/>
      <c r="AP334" s="41" t="n"/>
      <c r="AQ334" s="41" t="n"/>
      <c r="AR334" s="41" t="n"/>
      <c r="AS334" s="41" t="n"/>
      <c r="AT334" s="37" t="n"/>
      <c r="AU334" s="10" t="inlineStr">
        <is>
          <t>PRD-0330</t>
        </is>
      </c>
    </row>
    <row r="335">
      <c r="A335" s="16">
        <f>IF($C335="","",IFERROR(IF(INDEX(tbl_Finance[Latest Invoice Date],MATCH($AU335,tbl_Finance[Row ID],0))="","",INDEX(tbl_Finance[Latest Invoice Date],MATCH($AU335,tbl_Finance[Row ID],0))),""))</f>
        <v/>
      </c>
      <c r="B335" s="10">
        <f>IF($C335="","",IFERROR(INDEX(tbl_Finance[Invoice Numbers],MATCH($AU335,tbl_Finance[Row ID],0))&amp;"",""))</f>
        <v/>
      </c>
      <c r="C335" s="37" t="n"/>
      <c r="D335" s="10">
        <f>IF($C335="","",IF(COUNTIF(lst_Jobs,$C335&amp;"")&gt;0,"OK","CHECK"))</f>
        <v/>
      </c>
      <c r="E335" s="10">
        <f>IF($C335="","",IFERROR(INDEX(lst_JobName,MATCH($C335&amp;"",lst_Jobs,0)),""))</f>
        <v/>
      </c>
      <c r="F335" s="37" t="n"/>
      <c r="G335" s="37" t="n"/>
      <c r="H335" s="37" t="n"/>
      <c r="I335" s="37" t="n"/>
      <c r="J335" s="37" t="n"/>
      <c r="K335" s="38">
        <f>IF($C335="","",IFERROR(N(INDEX(tbl_Finance[Invoice Count],MATCH($AU335,tbl_Finance[Row ID],0))),""))</f>
        <v/>
      </c>
      <c r="L335" s="11">
        <f>IF($C335="","",IFERROR(N(INDEX(tbl_Finance[Xero Invoiced Ex GST],MATCH($AU335,tbl_Finance[Row ID],0))),""))</f>
        <v/>
      </c>
      <c r="M335" s="10">
        <f>IF($C335="","",IFERROR(INDEX(tbl_Finance[Compare],MATCH($AU335,tbl_Finance[Row ID],0))&amp;"",""))</f>
        <v/>
      </c>
      <c r="N335" s="11">
        <f>IF($C335="","",MAX(0,N(O335)-N(L335)))</f>
        <v/>
      </c>
      <c r="O335" s="39" t="n"/>
      <c r="P335" s="40">
        <f>IF($C335="","",IF((IF(F335="",", Client","")&amp;IF(G335="",", Description","")&amp;IF(H335="",", Cost Centre","")&amp;IF(I335="",", Invoice Type","")&amp;IF(J335="",", Tax Code","")&amp;IF(O335="",", Expected Revenue","")&amp;IF(COUNTIF(tbl_Finance[Job Number],$C335&amp;"")&gt;1,", Job number used twice",""))="","Complete","Fix: "&amp;MID(IF(F335="",", Client","")&amp;IF(G335="",", Description","")&amp;IF(H335="",", Cost Centre","")&amp;IF(I335="",", Invoice Type","")&amp;IF(J335="",", Tax Code","")&amp;IF(O335="",", Expected Revenue","")&amp;IF(COUNTIF(tbl_Finance[Job Number],$C335&amp;"")&gt;1,", Job number used twice",""),3,300)))</f>
        <v/>
      </c>
      <c r="Q335" s="10">
        <f>IF($C335="","",IF(H335="","(no cost centre)",H335&amp;" - GL "&amp;IFERROR(INDEX(lst_CCtoGL,MATCH(H335,lst_CCforGL,0)),"?")))</f>
        <v/>
      </c>
      <c r="R335" s="11">
        <f>IF($C335="","",IFERROR(N(INDEX(tbl_Finance[Inc GST],MATCH($AU335,tbl_Finance[Row ID],0))),""))</f>
        <v/>
      </c>
      <c r="S335" s="37" t="n"/>
      <c r="T335" s="37" t="n"/>
      <c r="U335" s="37" t="n"/>
      <c r="V335" s="42" t="n"/>
      <c r="W335" s="37" t="n"/>
      <c r="X335" s="10">
        <f>IF(W335="","",IF(AND(LEFT(W335,4)&lt;&gt;"http",set_RMSBase=""),"",HYPERLINK(IF(LEFT(W335,4)="http",W335,set_RMSBase&amp;W335),"Open in RMS")))</f>
        <v/>
      </c>
      <c r="Y335" s="37" t="n"/>
      <c r="Z335" s="10">
        <f>IF(Y335="","",HYPERLINK(IF(LEFT(Y335,4)="http",Y335,set_QwilrBase&amp;Y335),"Open quote"))</f>
        <v/>
      </c>
      <c r="AA335" s="10">
        <f>IF(C335="","",C335)</f>
        <v/>
      </c>
      <c r="AB335" s="37" t="n"/>
      <c r="AC335" s="39" t="n"/>
      <c r="AD335" s="11">
        <f>IF(C335="","",N(L335)+N(AC335))</f>
        <v/>
      </c>
      <c r="AE335" s="43">
        <f>IFERROR(IF(N(AC335)=0,"",AC335/AD335),"")</f>
        <v/>
      </c>
      <c r="AF335" s="39" t="n"/>
      <c r="AG335" s="39" t="n"/>
      <c r="AH335" s="39" t="n"/>
      <c r="AI335" s="39" t="n"/>
      <c r="AJ335" s="11">
        <f>IF(C335="","",IF(H335="VIDEO",N(L335),0))</f>
        <v/>
      </c>
      <c r="AK335" s="43">
        <f>IFERROR(IF(N(L335)=0,"",AJ335/L335),"")</f>
        <v/>
      </c>
      <c r="AL335" s="11">
        <f>IF(C335="","",N(AF335)+N(AG335)+N(AH335)+N(AI335))</f>
        <v/>
      </c>
      <c r="AM335" s="11">
        <f>IF(C335="","",MAX(N(L335),N(O335))-N(AL335))</f>
        <v/>
      </c>
      <c r="AN335" s="43">
        <f>IFERROR(IF(MAX(N(L335),N(O335))=0,"",AM335/MAX(N(L335),N(O335))),"")</f>
        <v/>
      </c>
      <c r="AO335" s="41" t="n"/>
      <c r="AP335" s="41" t="n"/>
      <c r="AQ335" s="41" t="n"/>
      <c r="AR335" s="41" t="n"/>
      <c r="AS335" s="41" t="n"/>
      <c r="AT335" s="37" t="n"/>
      <c r="AU335" s="10" t="inlineStr">
        <is>
          <t>PRD-0331</t>
        </is>
      </c>
    </row>
    <row r="336">
      <c r="A336" s="16">
        <f>IF($C336="","",IFERROR(IF(INDEX(tbl_Finance[Latest Invoice Date],MATCH($AU336,tbl_Finance[Row ID],0))="","",INDEX(tbl_Finance[Latest Invoice Date],MATCH($AU336,tbl_Finance[Row ID],0))),""))</f>
        <v/>
      </c>
      <c r="B336" s="10">
        <f>IF($C336="","",IFERROR(INDEX(tbl_Finance[Invoice Numbers],MATCH($AU336,tbl_Finance[Row ID],0))&amp;"",""))</f>
        <v/>
      </c>
      <c r="C336" s="37" t="n"/>
      <c r="D336" s="10">
        <f>IF($C336="","",IF(COUNTIF(lst_Jobs,$C336&amp;"")&gt;0,"OK","CHECK"))</f>
        <v/>
      </c>
      <c r="E336" s="10">
        <f>IF($C336="","",IFERROR(INDEX(lst_JobName,MATCH($C336&amp;"",lst_Jobs,0)),""))</f>
        <v/>
      </c>
      <c r="F336" s="37" t="n"/>
      <c r="G336" s="37" t="n"/>
      <c r="H336" s="37" t="n"/>
      <c r="I336" s="37" t="n"/>
      <c r="J336" s="37" t="n"/>
      <c r="K336" s="38">
        <f>IF($C336="","",IFERROR(N(INDEX(tbl_Finance[Invoice Count],MATCH($AU336,tbl_Finance[Row ID],0))),""))</f>
        <v/>
      </c>
      <c r="L336" s="11">
        <f>IF($C336="","",IFERROR(N(INDEX(tbl_Finance[Xero Invoiced Ex GST],MATCH($AU336,tbl_Finance[Row ID],0))),""))</f>
        <v/>
      </c>
      <c r="M336" s="10">
        <f>IF($C336="","",IFERROR(INDEX(tbl_Finance[Compare],MATCH($AU336,tbl_Finance[Row ID],0))&amp;"",""))</f>
        <v/>
      </c>
      <c r="N336" s="11">
        <f>IF($C336="","",MAX(0,N(O336)-N(L336)))</f>
        <v/>
      </c>
      <c r="O336" s="39" t="n"/>
      <c r="P336" s="40">
        <f>IF($C336="","",IF((IF(F336="",", Client","")&amp;IF(G336="",", Description","")&amp;IF(H336="",", Cost Centre","")&amp;IF(I336="",", Invoice Type","")&amp;IF(J336="",", Tax Code","")&amp;IF(O336="",", Expected Revenue","")&amp;IF(COUNTIF(tbl_Finance[Job Number],$C336&amp;"")&gt;1,", Job number used twice",""))="","Complete","Fix: "&amp;MID(IF(F336="",", Client","")&amp;IF(G336="",", Description","")&amp;IF(H336="",", Cost Centre","")&amp;IF(I336="",", Invoice Type","")&amp;IF(J336="",", Tax Code","")&amp;IF(O336="",", Expected Revenue","")&amp;IF(COUNTIF(tbl_Finance[Job Number],$C336&amp;"")&gt;1,", Job number used twice",""),3,300)))</f>
        <v/>
      </c>
      <c r="Q336" s="10">
        <f>IF($C336="","",IF(H336="","(no cost centre)",H336&amp;" - GL "&amp;IFERROR(INDEX(lst_CCtoGL,MATCH(H336,lst_CCforGL,0)),"?")))</f>
        <v/>
      </c>
      <c r="R336" s="11">
        <f>IF($C336="","",IFERROR(N(INDEX(tbl_Finance[Inc GST],MATCH($AU336,tbl_Finance[Row ID],0))),""))</f>
        <v/>
      </c>
      <c r="S336" s="37" t="n"/>
      <c r="T336" s="37" t="n"/>
      <c r="U336" s="37" t="n"/>
      <c r="V336" s="42" t="n"/>
      <c r="W336" s="37" t="n"/>
      <c r="X336" s="10">
        <f>IF(W336="","",IF(AND(LEFT(W336,4)&lt;&gt;"http",set_RMSBase=""),"",HYPERLINK(IF(LEFT(W336,4)="http",W336,set_RMSBase&amp;W336),"Open in RMS")))</f>
        <v/>
      </c>
      <c r="Y336" s="37" t="n"/>
      <c r="Z336" s="10">
        <f>IF(Y336="","",HYPERLINK(IF(LEFT(Y336,4)="http",Y336,set_QwilrBase&amp;Y336),"Open quote"))</f>
        <v/>
      </c>
      <c r="AA336" s="10">
        <f>IF(C336="","",C336)</f>
        <v/>
      </c>
      <c r="AB336" s="37" t="n"/>
      <c r="AC336" s="39" t="n"/>
      <c r="AD336" s="11">
        <f>IF(C336="","",N(L336)+N(AC336))</f>
        <v/>
      </c>
      <c r="AE336" s="43">
        <f>IFERROR(IF(N(AC336)=0,"",AC336/AD336),"")</f>
        <v/>
      </c>
      <c r="AF336" s="39" t="n"/>
      <c r="AG336" s="39" t="n"/>
      <c r="AH336" s="39" t="n"/>
      <c r="AI336" s="39" t="n"/>
      <c r="AJ336" s="11">
        <f>IF(C336="","",IF(H336="VIDEO",N(L336),0))</f>
        <v/>
      </c>
      <c r="AK336" s="43">
        <f>IFERROR(IF(N(L336)=0,"",AJ336/L336),"")</f>
        <v/>
      </c>
      <c r="AL336" s="11">
        <f>IF(C336="","",N(AF336)+N(AG336)+N(AH336)+N(AI336))</f>
        <v/>
      </c>
      <c r="AM336" s="11">
        <f>IF(C336="","",MAX(N(L336),N(O336))-N(AL336))</f>
        <v/>
      </c>
      <c r="AN336" s="43">
        <f>IFERROR(IF(MAX(N(L336),N(O336))=0,"",AM336/MAX(N(L336),N(O336))),"")</f>
        <v/>
      </c>
      <c r="AO336" s="41" t="n"/>
      <c r="AP336" s="41" t="n"/>
      <c r="AQ336" s="41" t="n"/>
      <c r="AR336" s="41" t="n"/>
      <c r="AS336" s="41" t="n"/>
      <c r="AT336" s="37" t="n"/>
      <c r="AU336" s="10" t="inlineStr">
        <is>
          <t>PRD-0332</t>
        </is>
      </c>
    </row>
    <row r="337">
      <c r="A337" s="16">
        <f>IF($C337="","",IFERROR(IF(INDEX(tbl_Finance[Latest Invoice Date],MATCH($AU337,tbl_Finance[Row ID],0))="","",INDEX(tbl_Finance[Latest Invoice Date],MATCH($AU337,tbl_Finance[Row ID],0))),""))</f>
        <v/>
      </c>
      <c r="B337" s="10">
        <f>IF($C337="","",IFERROR(INDEX(tbl_Finance[Invoice Numbers],MATCH($AU337,tbl_Finance[Row ID],0))&amp;"",""))</f>
        <v/>
      </c>
      <c r="C337" s="37" t="n"/>
      <c r="D337" s="10">
        <f>IF($C337="","",IF(COUNTIF(lst_Jobs,$C337&amp;"")&gt;0,"OK","CHECK"))</f>
        <v/>
      </c>
      <c r="E337" s="10">
        <f>IF($C337="","",IFERROR(INDEX(lst_JobName,MATCH($C337&amp;"",lst_Jobs,0)),""))</f>
        <v/>
      </c>
      <c r="F337" s="37" t="n"/>
      <c r="G337" s="37" t="n"/>
      <c r="H337" s="37" t="n"/>
      <c r="I337" s="37" t="n"/>
      <c r="J337" s="37" t="n"/>
      <c r="K337" s="38">
        <f>IF($C337="","",IFERROR(N(INDEX(tbl_Finance[Invoice Count],MATCH($AU337,tbl_Finance[Row ID],0))),""))</f>
        <v/>
      </c>
      <c r="L337" s="11">
        <f>IF($C337="","",IFERROR(N(INDEX(tbl_Finance[Xero Invoiced Ex GST],MATCH($AU337,tbl_Finance[Row ID],0))),""))</f>
        <v/>
      </c>
      <c r="M337" s="10">
        <f>IF($C337="","",IFERROR(INDEX(tbl_Finance[Compare],MATCH($AU337,tbl_Finance[Row ID],0))&amp;"",""))</f>
        <v/>
      </c>
      <c r="N337" s="11">
        <f>IF($C337="","",MAX(0,N(O337)-N(L337)))</f>
        <v/>
      </c>
      <c r="O337" s="39" t="n"/>
      <c r="P337" s="40">
        <f>IF($C337="","",IF((IF(F337="",", Client","")&amp;IF(G337="",", Description","")&amp;IF(H337="",", Cost Centre","")&amp;IF(I337="",", Invoice Type","")&amp;IF(J337="",", Tax Code","")&amp;IF(O337="",", Expected Revenue","")&amp;IF(COUNTIF(tbl_Finance[Job Number],$C337&amp;"")&gt;1,", Job number used twice",""))="","Complete","Fix: "&amp;MID(IF(F337="",", Client","")&amp;IF(G337="",", Description","")&amp;IF(H337="",", Cost Centre","")&amp;IF(I337="",", Invoice Type","")&amp;IF(J337="",", Tax Code","")&amp;IF(O337="",", Expected Revenue","")&amp;IF(COUNTIF(tbl_Finance[Job Number],$C337&amp;"")&gt;1,", Job number used twice",""),3,300)))</f>
        <v/>
      </c>
      <c r="Q337" s="10">
        <f>IF($C337="","",IF(H337="","(no cost centre)",H337&amp;" - GL "&amp;IFERROR(INDEX(lst_CCtoGL,MATCH(H337,lst_CCforGL,0)),"?")))</f>
        <v/>
      </c>
      <c r="R337" s="11">
        <f>IF($C337="","",IFERROR(N(INDEX(tbl_Finance[Inc GST],MATCH($AU337,tbl_Finance[Row ID],0))),""))</f>
        <v/>
      </c>
      <c r="S337" s="37" t="n"/>
      <c r="T337" s="37" t="n"/>
      <c r="U337" s="37" t="n"/>
      <c r="V337" s="42" t="n"/>
      <c r="W337" s="37" t="n"/>
      <c r="X337" s="10">
        <f>IF(W337="","",IF(AND(LEFT(W337,4)&lt;&gt;"http",set_RMSBase=""),"",HYPERLINK(IF(LEFT(W337,4)="http",W337,set_RMSBase&amp;W337),"Open in RMS")))</f>
        <v/>
      </c>
      <c r="Y337" s="37" t="n"/>
      <c r="Z337" s="10">
        <f>IF(Y337="","",HYPERLINK(IF(LEFT(Y337,4)="http",Y337,set_QwilrBase&amp;Y337),"Open quote"))</f>
        <v/>
      </c>
      <c r="AA337" s="10">
        <f>IF(C337="","",C337)</f>
        <v/>
      </c>
      <c r="AB337" s="37" t="n"/>
      <c r="AC337" s="39" t="n"/>
      <c r="AD337" s="11">
        <f>IF(C337="","",N(L337)+N(AC337))</f>
        <v/>
      </c>
      <c r="AE337" s="43">
        <f>IFERROR(IF(N(AC337)=0,"",AC337/AD337),"")</f>
        <v/>
      </c>
      <c r="AF337" s="39" t="n"/>
      <c r="AG337" s="39" t="n"/>
      <c r="AH337" s="39" t="n"/>
      <c r="AI337" s="39" t="n"/>
      <c r="AJ337" s="11">
        <f>IF(C337="","",IF(H337="VIDEO",N(L337),0))</f>
        <v/>
      </c>
      <c r="AK337" s="43">
        <f>IFERROR(IF(N(L337)=0,"",AJ337/L337),"")</f>
        <v/>
      </c>
      <c r="AL337" s="11">
        <f>IF(C337="","",N(AF337)+N(AG337)+N(AH337)+N(AI337))</f>
        <v/>
      </c>
      <c r="AM337" s="11">
        <f>IF(C337="","",MAX(N(L337),N(O337))-N(AL337))</f>
        <v/>
      </c>
      <c r="AN337" s="43">
        <f>IFERROR(IF(MAX(N(L337),N(O337))=0,"",AM337/MAX(N(L337),N(O337))),"")</f>
        <v/>
      </c>
      <c r="AO337" s="41" t="n"/>
      <c r="AP337" s="41" t="n"/>
      <c r="AQ337" s="41" t="n"/>
      <c r="AR337" s="41" t="n"/>
      <c r="AS337" s="41" t="n"/>
      <c r="AT337" s="37" t="n"/>
      <c r="AU337" s="10" t="inlineStr">
        <is>
          <t>PRD-0333</t>
        </is>
      </c>
    </row>
    <row r="338">
      <c r="A338" s="16">
        <f>IF($C338="","",IFERROR(IF(INDEX(tbl_Finance[Latest Invoice Date],MATCH($AU338,tbl_Finance[Row ID],0))="","",INDEX(tbl_Finance[Latest Invoice Date],MATCH($AU338,tbl_Finance[Row ID],0))),""))</f>
        <v/>
      </c>
      <c r="B338" s="10">
        <f>IF($C338="","",IFERROR(INDEX(tbl_Finance[Invoice Numbers],MATCH($AU338,tbl_Finance[Row ID],0))&amp;"",""))</f>
        <v/>
      </c>
      <c r="C338" s="37" t="n"/>
      <c r="D338" s="10">
        <f>IF($C338="","",IF(COUNTIF(lst_Jobs,$C338&amp;"")&gt;0,"OK","CHECK"))</f>
        <v/>
      </c>
      <c r="E338" s="10">
        <f>IF($C338="","",IFERROR(INDEX(lst_JobName,MATCH($C338&amp;"",lst_Jobs,0)),""))</f>
        <v/>
      </c>
      <c r="F338" s="37" t="n"/>
      <c r="G338" s="37" t="n"/>
      <c r="H338" s="37" t="n"/>
      <c r="I338" s="37" t="n"/>
      <c r="J338" s="37" t="n"/>
      <c r="K338" s="38">
        <f>IF($C338="","",IFERROR(N(INDEX(tbl_Finance[Invoice Count],MATCH($AU338,tbl_Finance[Row ID],0))),""))</f>
        <v/>
      </c>
      <c r="L338" s="11">
        <f>IF($C338="","",IFERROR(N(INDEX(tbl_Finance[Xero Invoiced Ex GST],MATCH($AU338,tbl_Finance[Row ID],0))),""))</f>
        <v/>
      </c>
      <c r="M338" s="10">
        <f>IF($C338="","",IFERROR(INDEX(tbl_Finance[Compare],MATCH($AU338,tbl_Finance[Row ID],0))&amp;"",""))</f>
        <v/>
      </c>
      <c r="N338" s="11">
        <f>IF($C338="","",MAX(0,N(O338)-N(L338)))</f>
        <v/>
      </c>
      <c r="O338" s="39" t="n"/>
      <c r="P338" s="40">
        <f>IF($C338="","",IF((IF(F338="",", Client","")&amp;IF(G338="",", Description","")&amp;IF(H338="",", Cost Centre","")&amp;IF(I338="",", Invoice Type","")&amp;IF(J338="",", Tax Code","")&amp;IF(O338="",", Expected Revenue","")&amp;IF(COUNTIF(tbl_Finance[Job Number],$C338&amp;"")&gt;1,", Job number used twice",""))="","Complete","Fix: "&amp;MID(IF(F338="",", Client","")&amp;IF(G338="",", Description","")&amp;IF(H338="",", Cost Centre","")&amp;IF(I338="",", Invoice Type","")&amp;IF(J338="",", Tax Code","")&amp;IF(O338="",", Expected Revenue","")&amp;IF(COUNTIF(tbl_Finance[Job Number],$C338&amp;"")&gt;1,", Job number used twice",""),3,300)))</f>
        <v/>
      </c>
      <c r="Q338" s="10">
        <f>IF($C338="","",IF(H338="","(no cost centre)",H338&amp;" - GL "&amp;IFERROR(INDEX(lst_CCtoGL,MATCH(H338,lst_CCforGL,0)),"?")))</f>
        <v/>
      </c>
      <c r="R338" s="11">
        <f>IF($C338="","",IFERROR(N(INDEX(tbl_Finance[Inc GST],MATCH($AU338,tbl_Finance[Row ID],0))),""))</f>
        <v/>
      </c>
      <c r="S338" s="37" t="n"/>
      <c r="T338" s="37" t="n"/>
      <c r="U338" s="37" t="n"/>
      <c r="V338" s="42" t="n"/>
      <c r="W338" s="37" t="n"/>
      <c r="X338" s="10">
        <f>IF(W338="","",IF(AND(LEFT(W338,4)&lt;&gt;"http",set_RMSBase=""),"",HYPERLINK(IF(LEFT(W338,4)="http",W338,set_RMSBase&amp;W338),"Open in RMS")))</f>
        <v/>
      </c>
      <c r="Y338" s="37" t="n"/>
      <c r="Z338" s="10">
        <f>IF(Y338="","",HYPERLINK(IF(LEFT(Y338,4)="http",Y338,set_QwilrBase&amp;Y338),"Open quote"))</f>
        <v/>
      </c>
      <c r="AA338" s="10">
        <f>IF(C338="","",C338)</f>
        <v/>
      </c>
      <c r="AB338" s="37" t="n"/>
      <c r="AC338" s="39" t="n"/>
      <c r="AD338" s="11">
        <f>IF(C338="","",N(L338)+N(AC338))</f>
        <v/>
      </c>
      <c r="AE338" s="43">
        <f>IFERROR(IF(N(AC338)=0,"",AC338/AD338),"")</f>
        <v/>
      </c>
      <c r="AF338" s="39" t="n"/>
      <c r="AG338" s="39" t="n"/>
      <c r="AH338" s="39" t="n"/>
      <c r="AI338" s="39" t="n"/>
      <c r="AJ338" s="11">
        <f>IF(C338="","",IF(H338="VIDEO",N(L338),0))</f>
        <v/>
      </c>
      <c r="AK338" s="43">
        <f>IFERROR(IF(N(L338)=0,"",AJ338/L338),"")</f>
        <v/>
      </c>
      <c r="AL338" s="11">
        <f>IF(C338="","",N(AF338)+N(AG338)+N(AH338)+N(AI338))</f>
        <v/>
      </c>
      <c r="AM338" s="11">
        <f>IF(C338="","",MAX(N(L338),N(O338))-N(AL338))</f>
        <v/>
      </c>
      <c r="AN338" s="43">
        <f>IFERROR(IF(MAX(N(L338),N(O338))=0,"",AM338/MAX(N(L338),N(O338))),"")</f>
        <v/>
      </c>
      <c r="AO338" s="41" t="n"/>
      <c r="AP338" s="41" t="n"/>
      <c r="AQ338" s="41" t="n"/>
      <c r="AR338" s="41" t="n"/>
      <c r="AS338" s="41" t="n"/>
      <c r="AT338" s="37" t="n"/>
      <c r="AU338" s="10" t="inlineStr">
        <is>
          <t>PRD-0334</t>
        </is>
      </c>
    </row>
    <row r="339">
      <c r="A339" s="16">
        <f>IF($C339="","",IFERROR(IF(INDEX(tbl_Finance[Latest Invoice Date],MATCH($AU339,tbl_Finance[Row ID],0))="","",INDEX(tbl_Finance[Latest Invoice Date],MATCH($AU339,tbl_Finance[Row ID],0))),""))</f>
        <v/>
      </c>
      <c r="B339" s="10">
        <f>IF($C339="","",IFERROR(INDEX(tbl_Finance[Invoice Numbers],MATCH($AU339,tbl_Finance[Row ID],0))&amp;"",""))</f>
        <v/>
      </c>
      <c r="C339" s="37" t="n"/>
      <c r="D339" s="10">
        <f>IF($C339="","",IF(COUNTIF(lst_Jobs,$C339&amp;"")&gt;0,"OK","CHECK"))</f>
        <v/>
      </c>
      <c r="E339" s="10">
        <f>IF($C339="","",IFERROR(INDEX(lst_JobName,MATCH($C339&amp;"",lst_Jobs,0)),""))</f>
        <v/>
      </c>
      <c r="F339" s="37" t="n"/>
      <c r="G339" s="37" t="n"/>
      <c r="H339" s="37" t="n"/>
      <c r="I339" s="37" t="n"/>
      <c r="J339" s="37" t="n"/>
      <c r="K339" s="38">
        <f>IF($C339="","",IFERROR(N(INDEX(tbl_Finance[Invoice Count],MATCH($AU339,tbl_Finance[Row ID],0))),""))</f>
        <v/>
      </c>
      <c r="L339" s="11">
        <f>IF($C339="","",IFERROR(N(INDEX(tbl_Finance[Xero Invoiced Ex GST],MATCH($AU339,tbl_Finance[Row ID],0))),""))</f>
        <v/>
      </c>
      <c r="M339" s="10">
        <f>IF($C339="","",IFERROR(INDEX(tbl_Finance[Compare],MATCH($AU339,tbl_Finance[Row ID],0))&amp;"",""))</f>
        <v/>
      </c>
      <c r="N339" s="11">
        <f>IF($C339="","",MAX(0,N(O339)-N(L339)))</f>
        <v/>
      </c>
      <c r="O339" s="39" t="n"/>
      <c r="P339" s="40">
        <f>IF($C339="","",IF((IF(F339="",", Client","")&amp;IF(G339="",", Description","")&amp;IF(H339="",", Cost Centre","")&amp;IF(I339="",", Invoice Type","")&amp;IF(J339="",", Tax Code","")&amp;IF(O339="",", Expected Revenue","")&amp;IF(COUNTIF(tbl_Finance[Job Number],$C339&amp;"")&gt;1,", Job number used twice",""))="","Complete","Fix: "&amp;MID(IF(F339="",", Client","")&amp;IF(G339="",", Description","")&amp;IF(H339="",", Cost Centre","")&amp;IF(I339="",", Invoice Type","")&amp;IF(J339="",", Tax Code","")&amp;IF(O339="",", Expected Revenue","")&amp;IF(COUNTIF(tbl_Finance[Job Number],$C339&amp;"")&gt;1,", Job number used twice",""),3,300)))</f>
        <v/>
      </c>
      <c r="Q339" s="10">
        <f>IF($C339="","",IF(H339="","(no cost centre)",H339&amp;" - GL "&amp;IFERROR(INDEX(lst_CCtoGL,MATCH(H339,lst_CCforGL,0)),"?")))</f>
        <v/>
      </c>
      <c r="R339" s="11">
        <f>IF($C339="","",IFERROR(N(INDEX(tbl_Finance[Inc GST],MATCH($AU339,tbl_Finance[Row ID],0))),""))</f>
        <v/>
      </c>
      <c r="S339" s="37" t="n"/>
      <c r="T339" s="37" t="n"/>
      <c r="U339" s="37" t="n"/>
      <c r="V339" s="42" t="n"/>
      <c r="W339" s="37" t="n"/>
      <c r="X339" s="10">
        <f>IF(W339="","",IF(AND(LEFT(W339,4)&lt;&gt;"http",set_RMSBase=""),"",HYPERLINK(IF(LEFT(W339,4)="http",W339,set_RMSBase&amp;W339),"Open in RMS")))</f>
        <v/>
      </c>
      <c r="Y339" s="37" t="n"/>
      <c r="Z339" s="10">
        <f>IF(Y339="","",HYPERLINK(IF(LEFT(Y339,4)="http",Y339,set_QwilrBase&amp;Y339),"Open quote"))</f>
        <v/>
      </c>
      <c r="AA339" s="10">
        <f>IF(C339="","",C339)</f>
        <v/>
      </c>
      <c r="AB339" s="37" t="n"/>
      <c r="AC339" s="39" t="n"/>
      <c r="AD339" s="11">
        <f>IF(C339="","",N(L339)+N(AC339))</f>
        <v/>
      </c>
      <c r="AE339" s="43">
        <f>IFERROR(IF(N(AC339)=0,"",AC339/AD339),"")</f>
        <v/>
      </c>
      <c r="AF339" s="39" t="n"/>
      <c r="AG339" s="39" t="n"/>
      <c r="AH339" s="39" t="n"/>
      <c r="AI339" s="39" t="n"/>
      <c r="AJ339" s="11">
        <f>IF(C339="","",IF(H339="VIDEO",N(L339),0))</f>
        <v/>
      </c>
      <c r="AK339" s="43">
        <f>IFERROR(IF(N(L339)=0,"",AJ339/L339),"")</f>
        <v/>
      </c>
      <c r="AL339" s="11">
        <f>IF(C339="","",N(AF339)+N(AG339)+N(AH339)+N(AI339))</f>
        <v/>
      </c>
      <c r="AM339" s="11">
        <f>IF(C339="","",MAX(N(L339),N(O339))-N(AL339))</f>
        <v/>
      </c>
      <c r="AN339" s="43">
        <f>IFERROR(IF(MAX(N(L339),N(O339))=0,"",AM339/MAX(N(L339),N(O339))),"")</f>
        <v/>
      </c>
      <c r="AO339" s="41" t="n"/>
      <c r="AP339" s="41" t="n"/>
      <c r="AQ339" s="41" t="n"/>
      <c r="AR339" s="41" t="n"/>
      <c r="AS339" s="41" t="n"/>
      <c r="AT339" s="37" t="n"/>
      <c r="AU339" s="10" t="inlineStr">
        <is>
          <t>PRD-0335</t>
        </is>
      </c>
    </row>
    <row r="340">
      <c r="A340" s="16">
        <f>IF($C340="","",IFERROR(IF(INDEX(tbl_Finance[Latest Invoice Date],MATCH($AU340,tbl_Finance[Row ID],0))="","",INDEX(tbl_Finance[Latest Invoice Date],MATCH($AU340,tbl_Finance[Row ID],0))),""))</f>
        <v/>
      </c>
      <c r="B340" s="10">
        <f>IF($C340="","",IFERROR(INDEX(tbl_Finance[Invoice Numbers],MATCH($AU340,tbl_Finance[Row ID],0))&amp;"",""))</f>
        <v/>
      </c>
      <c r="C340" s="37" t="n"/>
      <c r="D340" s="10">
        <f>IF($C340="","",IF(COUNTIF(lst_Jobs,$C340&amp;"")&gt;0,"OK","CHECK"))</f>
        <v/>
      </c>
      <c r="E340" s="10">
        <f>IF($C340="","",IFERROR(INDEX(lst_JobName,MATCH($C340&amp;"",lst_Jobs,0)),""))</f>
        <v/>
      </c>
      <c r="F340" s="37" t="n"/>
      <c r="G340" s="37" t="n"/>
      <c r="H340" s="37" t="n"/>
      <c r="I340" s="37" t="n"/>
      <c r="J340" s="37" t="n"/>
      <c r="K340" s="38">
        <f>IF($C340="","",IFERROR(N(INDEX(tbl_Finance[Invoice Count],MATCH($AU340,tbl_Finance[Row ID],0))),""))</f>
        <v/>
      </c>
      <c r="L340" s="11">
        <f>IF($C340="","",IFERROR(N(INDEX(tbl_Finance[Xero Invoiced Ex GST],MATCH($AU340,tbl_Finance[Row ID],0))),""))</f>
        <v/>
      </c>
      <c r="M340" s="10">
        <f>IF($C340="","",IFERROR(INDEX(tbl_Finance[Compare],MATCH($AU340,tbl_Finance[Row ID],0))&amp;"",""))</f>
        <v/>
      </c>
      <c r="N340" s="11">
        <f>IF($C340="","",MAX(0,N(O340)-N(L340)))</f>
        <v/>
      </c>
      <c r="O340" s="39" t="n"/>
      <c r="P340" s="40">
        <f>IF($C340="","",IF((IF(F340="",", Client","")&amp;IF(G340="",", Description","")&amp;IF(H340="",", Cost Centre","")&amp;IF(I340="",", Invoice Type","")&amp;IF(J340="",", Tax Code","")&amp;IF(O340="",", Expected Revenue","")&amp;IF(COUNTIF(tbl_Finance[Job Number],$C340&amp;"")&gt;1,", Job number used twice",""))="","Complete","Fix: "&amp;MID(IF(F340="",", Client","")&amp;IF(G340="",", Description","")&amp;IF(H340="",", Cost Centre","")&amp;IF(I340="",", Invoice Type","")&amp;IF(J340="",", Tax Code","")&amp;IF(O340="",", Expected Revenue","")&amp;IF(COUNTIF(tbl_Finance[Job Number],$C340&amp;"")&gt;1,", Job number used twice",""),3,300)))</f>
        <v/>
      </c>
      <c r="Q340" s="10">
        <f>IF($C340="","",IF(H340="","(no cost centre)",H340&amp;" - GL "&amp;IFERROR(INDEX(lst_CCtoGL,MATCH(H340,lst_CCforGL,0)),"?")))</f>
        <v/>
      </c>
      <c r="R340" s="11">
        <f>IF($C340="","",IFERROR(N(INDEX(tbl_Finance[Inc GST],MATCH($AU340,tbl_Finance[Row ID],0))),""))</f>
        <v/>
      </c>
      <c r="S340" s="37" t="n"/>
      <c r="T340" s="37" t="n"/>
      <c r="U340" s="37" t="n"/>
      <c r="V340" s="42" t="n"/>
      <c r="W340" s="37" t="n"/>
      <c r="X340" s="10">
        <f>IF(W340="","",IF(AND(LEFT(W340,4)&lt;&gt;"http",set_RMSBase=""),"",HYPERLINK(IF(LEFT(W340,4)="http",W340,set_RMSBase&amp;W340),"Open in RMS")))</f>
        <v/>
      </c>
      <c r="Y340" s="37" t="n"/>
      <c r="Z340" s="10">
        <f>IF(Y340="","",HYPERLINK(IF(LEFT(Y340,4)="http",Y340,set_QwilrBase&amp;Y340),"Open quote"))</f>
        <v/>
      </c>
      <c r="AA340" s="10">
        <f>IF(C340="","",C340)</f>
        <v/>
      </c>
      <c r="AB340" s="37" t="n"/>
      <c r="AC340" s="39" t="n"/>
      <c r="AD340" s="11">
        <f>IF(C340="","",N(L340)+N(AC340))</f>
        <v/>
      </c>
      <c r="AE340" s="43">
        <f>IFERROR(IF(N(AC340)=0,"",AC340/AD340),"")</f>
        <v/>
      </c>
      <c r="AF340" s="39" t="n"/>
      <c r="AG340" s="39" t="n"/>
      <c r="AH340" s="39" t="n"/>
      <c r="AI340" s="39" t="n"/>
      <c r="AJ340" s="11">
        <f>IF(C340="","",IF(H340="VIDEO",N(L340),0))</f>
        <v/>
      </c>
      <c r="AK340" s="43">
        <f>IFERROR(IF(N(L340)=0,"",AJ340/L340),"")</f>
        <v/>
      </c>
      <c r="AL340" s="11">
        <f>IF(C340="","",N(AF340)+N(AG340)+N(AH340)+N(AI340))</f>
        <v/>
      </c>
      <c r="AM340" s="11">
        <f>IF(C340="","",MAX(N(L340),N(O340))-N(AL340))</f>
        <v/>
      </c>
      <c r="AN340" s="43">
        <f>IFERROR(IF(MAX(N(L340),N(O340))=0,"",AM340/MAX(N(L340),N(O340))),"")</f>
        <v/>
      </c>
      <c r="AO340" s="41" t="n"/>
      <c r="AP340" s="41" t="n"/>
      <c r="AQ340" s="41" t="n"/>
      <c r="AR340" s="41" t="n"/>
      <c r="AS340" s="41" t="n"/>
      <c r="AT340" s="37" t="n"/>
      <c r="AU340" s="10" t="inlineStr">
        <is>
          <t>PRD-0336</t>
        </is>
      </c>
    </row>
    <row r="341">
      <c r="A341" s="16">
        <f>IF($C341="","",IFERROR(IF(INDEX(tbl_Finance[Latest Invoice Date],MATCH($AU341,tbl_Finance[Row ID],0))="","",INDEX(tbl_Finance[Latest Invoice Date],MATCH($AU341,tbl_Finance[Row ID],0))),""))</f>
        <v/>
      </c>
      <c r="B341" s="10">
        <f>IF($C341="","",IFERROR(INDEX(tbl_Finance[Invoice Numbers],MATCH($AU341,tbl_Finance[Row ID],0))&amp;"",""))</f>
        <v/>
      </c>
      <c r="C341" s="37" t="n"/>
      <c r="D341" s="10">
        <f>IF($C341="","",IF(COUNTIF(lst_Jobs,$C341&amp;"")&gt;0,"OK","CHECK"))</f>
        <v/>
      </c>
      <c r="E341" s="10">
        <f>IF($C341="","",IFERROR(INDEX(lst_JobName,MATCH($C341&amp;"",lst_Jobs,0)),""))</f>
        <v/>
      </c>
      <c r="F341" s="37" t="n"/>
      <c r="G341" s="37" t="n"/>
      <c r="H341" s="37" t="n"/>
      <c r="I341" s="37" t="n"/>
      <c r="J341" s="37" t="n"/>
      <c r="K341" s="38">
        <f>IF($C341="","",IFERROR(N(INDEX(tbl_Finance[Invoice Count],MATCH($AU341,tbl_Finance[Row ID],0))),""))</f>
        <v/>
      </c>
      <c r="L341" s="11">
        <f>IF($C341="","",IFERROR(N(INDEX(tbl_Finance[Xero Invoiced Ex GST],MATCH($AU341,tbl_Finance[Row ID],0))),""))</f>
        <v/>
      </c>
      <c r="M341" s="10">
        <f>IF($C341="","",IFERROR(INDEX(tbl_Finance[Compare],MATCH($AU341,tbl_Finance[Row ID],0))&amp;"",""))</f>
        <v/>
      </c>
      <c r="N341" s="11">
        <f>IF($C341="","",MAX(0,N(O341)-N(L341)))</f>
        <v/>
      </c>
      <c r="O341" s="39" t="n"/>
      <c r="P341" s="40">
        <f>IF($C341="","",IF((IF(F341="",", Client","")&amp;IF(G341="",", Description","")&amp;IF(H341="",", Cost Centre","")&amp;IF(I341="",", Invoice Type","")&amp;IF(J341="",", Tax Code","")&amp;IF(O341="",", Expected Revenue","")&amp;IF(COUNTIF(tbl_Finance[Job Number],$C341&amp;"")&gt;1,", Job number used twice",""))="","Complete","Fix: "&amp;MID(IF(F341="",", Client","")&amp;IF(G341="",", Description","")&amp;IF(H341="",", Cost Centre","")&amp;IF(I341="",", Invoice Type","")&amp;IF(J341="",", Tax Code","")&amp;IF(O341="",", Expected Revenue","")&amp;IF(COUNTIF(tbl_Finance[Job Number],$C341&amp;"")&gt;1,", Job number used twice",""),3,300)))</f>
        <v/>
      </c>
      <c r="Q341" s="10">
        <f>IF($C341="","",IF(H341="","(no cost centre)",H341&amp;" - GL "&amp;IFERROR(INDEX(lst_CCtoGL,MATCH(H341,lst_CCforGL,0)),"?")))</f>
        <v/>
      </c>
      <c r="R341" s="11">
        <f>IF($C341="","",IFERROR(N(INDEX(tbl_Finance[Inc GST],MATCH($AU341,tbl_Finance[Row ID],0))),""))</f>
        <v/>
      </c>
      <c r="S341" s="37" t="n"/>
      <c r="T341" s="37" t="n"/>
      <c r="U341" s="37" t="n"/>
      <c r="V341" s="42" t="n"/>
      <c r="W341" s="37" t="n"/>
      <c r="X341" s="10">
        <f>IF(W341="","",IF(AND(LEFT(W341,4)&lt;&gt;"http",set_RMSBase=""),"",HYPERLINK(IF(LEFT(W341,4)="http",W341,set_RMSBase&amp;W341),"Open in RMS")))</f>
        <v/>
      </c>
      <c r="Y341" s="37" t="n"/>
      <c r="Z341" s="10">
        <f>IF(Y341="","",HYPERLINK(IF(LEFT(Y341,4)="http",Y341,set_QwilrBase&amp;Y341),"Open quote"))</f>
        <v/>
      </c>
      <c r="AA341" s="10">
        <f>IF(C341="","",C341)</f>
        <v/>
      </c>
      <c r="AB341" s="37" t="n"/>
      <c r="AC341" s="39" t="n"/>
      <c r="AD341" s="11">
        <f>IF(C341="","",N(L341)+N(AC341))</f>
        <v/>
      </c>
      <c r="AE341" s="43">
        <f>IFERROR(IF(N(AC341)=0,"",AC341/AD341),"")</f>
        <v/>
      </c>
      <c r="AF341" s="39" t="n"/>
      <c r="AG341" s="39" t="n"/>
      <c r="AH341" s="39" t="n"/>
      <c r="AI341" s="39" t="n"/>
      <c r="AJ341" s="11">
        <f>IF(C341="","",IF(H341="VIDEO",N(L341),0))</f>
        <v/>
      </c>
      <c r="AK341" s="43">
        <f>IFERROR(IF(N(L341)=0,"",AJ341/L341),"")</f>
        <v/>
      </c>
      <c r="AL341" s="11">
        <f>IF(C341="","",N(AF341)+N(AG341)+N(AH341)+N(AI341))</f>
        <v/>
      </c>
      <c r="AM341" s="11">
        <f>IF(C341="","",MAX(N(L341),N(O341))-N(AL341))</f>
        <v/>
      </c>
      <c r="AN341" s="43">
        <f>IFERROR(IF(MAX(N(L341),N(O341))=0,"",AM341/MAX(N(L341),N(O341))),"")</f>
        <v/>
      </c>
      <c r="AO341" s="41" t="n"/>
      <c r="AP341" s="41" t="n"/>
      <c r="AQ341" s="41" t="n"/>
      <c r="AR341" s="41" t="n"/>
      <c r="AS341" s="41" t="n"/>
      <c r="AT341" s="37" t="n"/>
      <c r="AU341" s="10" t="inlineStr">
        <is>
          <t>PRD-0337</t>
        </is>
      </c>
    </row>
    <row r="342">
      <c r="A342" s="16">
        <f>IF($C342="","",IFERROR(IF(INDEX(tbl_Finance[Latest Invoice Date],MATCH($AU342,tbl_Finance[Row ID],0))="","",INDEX(tbl_Finance[Latest Invoice Date],MATCH($AU342,tbl_Finance[Row ID],0))),""))</f>
        <v/>
      </c>
      <c r="B342" s="10">
        <f>IF($C342="","",IFERROR(INDEX(tbl_Finance[Invoice Numbers],MATCH($AU342,tbl_Finance[Row ID],0))&amp;"",""))</f>
        <v/>
      </c>
      <c r="C342" s="37" t="n"/>
      <c r="D342" s="10">
        <f>IF($C342="","",IF(COUNTIF(lst_Jobs,$C342&amp;"")&gt;0,"OK","CHECK"))</f>
        <v/>
      </c>
      <c r="E342" s="10">
        <f>IF($C342="","",IFERROR(INDEX(lst_JobName,MATCH($C342&amp;"",lst_Jobs,0)),""))</f>
        <v/>
      </c>
      <c r="F342" s="37" t="n"/>
      <c r="G342" s="37" t="n"/>
      <c r="H342" s="37" t="n"/>
      <c r="I342" s="37" t="n"/>
      <c r="J342" s="37" t="n"/>
      <c r="K342" s="38">
        <f>IF($C342="","",IFERROR(N(INDEX(tbl_Finance[Invoice Count],MATCH($AU342,tbl_Finance[Row ID],0))),""))</f>
        <v/>
      </c>
      <c r="L342" s="11">
        <f>IF($C342="","",IFERROR(N(INDEX(tbl_Finance[Xero Invoiced Ex GST],MATCH($AU342,tbl_Finance[Row ID],0))),""))</f>
        <v/>
      </c>
      <c r="M342" s="10">
        <f>IF($C342="","",IFERROR(INDEX(tbl_Finance[Compare],MATCH($AU342,tbl_Finance[Row ID],0))&amp;"",""))</f>
        <v/>
      </c>
      <c r="N342" s="11">
        <f>IF($C342="","",MAX(0,N(O342)-N(L342)))</f>
        <v/>
      </c>
      <c r="O342" s="39" t="n"/>
      <c r="P342" s="40">
        <f>IF($C342="","",IF((IF(F342="",", Client","")&amp;IF(G342="",", Description","")&amp;IF(H342="",", Cost Centre","")&amp;IF(I342="",", Invoice Type","")&amp;IF(J342="",", Tax Code","")&amp;IF(O342="",", Expected Revenue","")&amp;IF(COUNTIF(tbl_Finance[Job Number],$C342&amp;"")&gt;1,", Job number used twice",""))="","Complete","Fix: "&amp;MID(IF(F342="",", Client","")&amp;IF(G342="",", Description","")&amp;IF(H342="",", Cost Centre","")&amp;IF(I342="",", Invoice Type","")&amp;IF(J342="",", Tax Code","")&amp;IF(O342="",", Expected Revenue","")&amp;IF(COUNTIF(tbl_Finance[Job Number],$C342&amp;"")&gt;1,", Job number used twice",""),3,300)))</f>
        <v/>
      </c>
      <c r="Q342" s="10">
        <f>IF($C342="","",IF(H342="","(no cost centre)",H342&amp;" - GL "&amp;IFERROR(INDEX(lst_CCtoGL,MATCH(H342,lst_CCforGL,0)),"?")))</f>
        <v/>
      </c>
      <c r="R342" s="11">
        <f>IF($C342="","",IFERROR(N(INDEX(tbl_Finance[Inc GST],MATCH($AU342,tbl_Finance[Row ID],0))),""))</f>
        <v/>
      </c>
      <c r="S342" s="37" t="n"/>
      <c r="T342" s="37" t="n"/>
      <c r="U342" s="37" t="n"/>
      <c r="V342" s="42" t="n"/>
      <c r="W342" s="37" t="n"/>
      <c r="X342" s="10">
        <f>IF(W342="","",IF(AND(LEFT(W342,4)&lt;&gt;"http",set_RMSBase=""),"",HYPERLINK(IF(LEFT(W342,4)="http",W342,set_RMSBase&amp;W342),"Open in RMS")))</f>
        <v/>
      </c>
      <c r="Y342" s="37" t="n"/>
      <c r="Z342" s="10">
        <f>IF(Y342="","",HYPERLINK(IF(LEFT(Y342,4)="http",Y342,set_QwilrBase&amp;Y342),"Open quote"))</f>
        <v/>
      </c>
      <c r="AA342" s="10">
        <f>IF(C342="","",C342)</f>
        <v/>
      </c>
      <c r="AB342" s="37" t="n"/>
      <c r="AC342" s="39" t="n"/>
      <c r="AD342" s="11">
        <f>IF(C342="","",N(L342)+N(AC342))</f>
        <v/>
      </c>
      <c r="AE342" s="43">
        <f>IFERROR(IF(N(AC342)=0,"",AC342/AD342),"")</f>
        <v/>
      </c>
      <c r="AF342" s="39" t="n"/>
      <c r="AG342" s="39" t="n"/>
      <c r="AH342" s="39" t="n"/>
      <c r="AI342" s="39" t="n"/>
      <c r="AJ342" s="11">
        <f>IF(C342="","",IF(H342="VIDEO",N(L342),0))</f>
        <v/>
      </c>
      <c r="AK342" s="43">
        <f>IFERROR(IF(N(L342)=0,"",AJ342/L342),"")</f>
        <v/>
      </c>
      <c r="AL342" s="11">
        <f>IF(C342="","",N(AF342)+N(AG342)+N(AH342)+N(AI342))</f>
        <v/>
      </c>
      <c r="AM342" s="11">
        <f>IF(C342="","",MAX(N(L342),N(O342))-N(AL342))</f>
        <v/>
      </c>
      <c r="AN342" s="43">
        <f>IFERROR(IF(MAX(N(L342),N(O342))=0,"",AM342/MAX(N(L342),N(O342))),"")</f>
        <v/>
      </c>
      <c r="AO342" s="41" t="n"/>
      <c r="AP342" s="41" t="n"/>
      <c r="AQ342" s="41" t="n"/>
      <c r="AR342" s="41" t="n"/>
      <c r="AS342" s="41" t="n"/>
      <c r="AT342" s="37" t="n"/>
      <c r="AU342" s="10" t="inlineStr">
        <is>
          <t>PRD-0338</t>
        </is>
      </c>
    </row>
    <row r="343">
      <c r="A343" s="16">
        <f>IF($C343="","",IFERROR(IF(INDEX(tbl_Finance[Latest Invoice Date],MATCH($AU343,tbl_Finance[Row ID],0))="","",INDEX(tbl_Finance[Latest Invoice Date],MATCH($AU343,tbl_Finance[Row ID],0))),""))</f>
        <v/>
      </c>
      <c r="B343" s="10">
        <f>IF($C343="","",IFERROR(INDEX(tbl_Finance[Invoice Numbers],MATCH($AU343,tbl_Finance[Row ID],0))&amp;"",""))</f>
        <v/>
      </c>
      <c r="C343" s="37" t="n"/>
      <c r="D343" s="10">
        <f>IF($C343="","",IF(COUNTIF(lst_Jobs,$C343&amp;"")&gt;0,"OK","CHECK"))</f>
        <v/>
      </c>
      <c r="E343" s="10">
        <f>IF($C343="","",IFERROR(INDEX(lst_JobName,MATCH($C343&amp;"",lst_Jobs,0)),""))</f>
        <v/>
      </c>
      <c r="F343" s="37" t="n"/>
      <c r="G343" s="37" t="n"/>
      <c r="H343" s="37" t="n"/>
      <c r="I343" s="37" t="n"/>
      <c r="J343" s="37" t="n"/>
      <c r="K343" s="38">
        <f>IF($C343="","",IFERROR(N(INDEX(tbl_Finance[Invoice Count],MATCH($AU343,tbl_Finance[Row ID],0))),""))</f>
        <v/>
      </c>
      <c r="L343" s="11">
        <f>IF($C343="","",IFERROR(N(INDEX(tbl_Finance[Xero Invoiced Ex GST],MATCH($AU343,tbl_Finance[Row ID],0))),""))</f>
        <v/>
      </c>
      <c r="M343" s="10">
        <f>IF($C343="","",IFERROR(INDEX(tbl_Finance[Compare],MATCH($AU343,tbl_Finance[Row ID],0))&amp;"",""))</f>
        <v/>
      </c>
      <c r="N343" s="11">
        <f>IF($C343="","",MAX(0,N(O343)-N(L343)))</f>
        <v/>
      </c>
      <c r="O343" s="39" t="n"/>
      <c r="P343" s="40">
        <f>IF($C343="","",IF((IF(F343="",", Client","")&amp;IF(G343="",", Description","")&amp;IF(H343="",", Cost Centre","")&amp;IF(I343="",", Invoice Type","")&amp;IF(J343="",", Tax Code","")&amp;IF(O343="",", Expected Revenue","")&amp;IF(COUNTIF(tbl_Finance[Job Number],$C343&amp;"")&gt;1,", Job number used twice",""))="","Complete","Fix: "&amp;MID(IF(F343="",", Client","")&amp;IF(G343="",", Description","")&amp;IF(H343="",", Cost Centre","")&amp;IF(I343="",", Invoice Type","")&amp;IF(J343="",", Tax Code","")&amp;IF(O343="",", Expected Revenue","")&amp;IF(COUNTIF(tbl_Finance[Job Number],$C343&amp;"")&gt;1,", Job number used twice",""),3,300)))</f>
        <v/>
      </c>
      <c r="Q343" s="10">
        <f>IF($C343="","",IF(H343="","(no cost centre)",H343&amp;" - GL "&amp;IFERROR(INDEX(lst_CCtoGL,MATCH(H343,lst_CCforGL,0)),"?")))</f>
        <v/>
      </c>
      <c r="R343" s="11">
        <f>IF($C343="","",IFERROR(N(INDEX(tbl_Finance[Inc GST],MATCH($AU343,tbl_Finance[Row ID],0))),""))</f>
        <v/>
      </c>
      <c r="S343" s="37" t="n"/>
      <c r="T343" s="37" t="n"/>
      <c r="U343" s="37" t="n"/>
      <c r="V343" s="42" t="n"/>
      <c r="W343" s="37" t="n"/>
      <c r="X343" s="10">
        <f>IF(W343="","",IF(AND(LEFT(W343,4)&lt;&gt;"http",set_RMSBase=""),"",HYPERLINK(IF(LEFT(W343,4)="http",W343,set_RMSBase&amp;W343),"Open in RMS")))</f>
        <v/>
      </c>
      <c r="Y343" s="37" t="n"/>
      <c r="Z343" s="10">
        <f>IF(Y343="","",HYPERLINK(IF(LEFT(Y343,4)="http",Y343,set_QwilrBase&amp;Y343),"Open quote"))</f>
        <v/>
      </c>
      <c r="AA343" s="10">
        <f>IF(C343="","",C343)</f>
        <v/>
      </c>
      <c r="AB343" s="37" t="n"/>
      <c r="AC343" s="39" t="n"/>
      <c r="AD343" s="11">
        <f>IF(C343="","",N(L343)+N(AC343))</f>
        <v/>
      </c>
      <c r="AE343" s="43">
        <f>IFERROR(IF(N(AC343)=0,"",AC343/AD343),"")</f>
        <v/>
      </c>
      <c r="AF343" s="39" t="n"/>
      <c r="AG343" s="39" t="n"/>
      <c r="AH343" s="39" t="n"/>
      <c r="AI343" s="39" t="n"/>
      <c r="AJ343" s="11">
        <f>IF(C343="","",IF(H343="VIDEO",N(L343),0))</f>
        <v/>
      </c>
      <c r="AK343" s="43">
        <f>IFERROR(IF(N(L343)=0,"",AJ343/L343),"")</f>
        <v/>
      </c>
      <c r="AL343" s="11">
        <f>IF(C343="","",N(AF343)+N(AG343)+N(AH343)+N(AI343))</f>
        <v/>
      </c>
      <c r="AM343" s="11">
        <f>IF(C343="","",MAX(N(L343),N(O343))-N(AL343))</f>
        <v/>
      </c>
      <c r="AN343" s="43">
        <f>IFERROR(IF(MAX(N(L343),N(O343))=0,"",AM343/MAX(N(L343),N(O343))),"")</f>
        <v/>
      </c>
      <c r="AO343" s="41" t="n"/>
      <c r="AP343" s="41" t="n"/>
      <c r="AQ343" s="41" t="n"/>
      <c r="AR343" s="41" t="n"/>
      <c r="AS343" s="41" t="n"/>
      <c r="AT343" s="37" t="n"/>
      <c r="AU343" s="10" t="inlineStr">
        <is>
          <t>PRD-0339</t>
        </is>
      </c>
    </row>
    <row r="344">
      <c r="A344" s="16">
        <f>IF($C344="","",IFERROR(IF(INDEX(tbl_Finance[Latest Invoice Date],MATCH($AU344,tbl_Finance[Row ID],0))="","",INDEX(tbl_Finance[Latest Invoice Date],MATCH($AU344,tbl_Finance[Row ID],0))),""))</f>
        <v/>
      </c>
      <c r="B344" s="10">
        <f>IF($C344="","",IFERROR(INDEX(tbl_Finance[Invoice Numbers],MATCH($AU344,tbl_Finance[Row ID],0))&amp;"",""))</f>
        <v/>
      </c>
      <c r="C344" s="37" t="n"/>
      <c r="D344" s="10">
        <f>IF($C344="","",IF(COUNTIF(lst_Jobs,$C344&amp;"")&gt;0,"OK","CHECK"))</f>
        <v/>
      </c>
      <c r="E344" s="10">
        <f>IF($C344="","",IFERROR(INDEX(lst_JobName,MATCH($C344&amp;"",lst_Jobs,0)),""))</f>
        <v/>
      </c>
      <c r="F344" s="37" t="n"/>
      <c r="G344" s="37" t="n"/>
      <c r="H344" s="37" t="n"/>
      <c r="I344" s="37" t="n"/>
      <c r="J344" s="37" t="n"/>
      <c r="K344" s="38">
        <f>IF($C344="","",IFERROR(N(INDEX(tbl_Finance[Invoice Count],MATCH($AU344,tbl_Finance[Row ID],0))),""))</f>
        <v/>
      </c>
      <c r="L344" s="11">
        <f>IF($C344="","",IFERROR(N(INDEX(tbl_Finance[Xero Invoiced Ex GST],MATCH($AU344,tbl_Finance[Row ID],0))),""))</f>
        <v/>
      </c>
      <c r="M344" s="10">
        <f>IF($C344="","",IFERROR(INDEX(tbl_Finance[Compare],MATCH($AU344,tbl_Finance[Row ID],0))&amp;"",""))</f>
        <v/>
      </c>
      <c r="N344" s="11">
        <f>IF($C344="","",MAX(0,N(O344)-N(L344)))</f>
        <v/>
      </c>
      <c r="O344" s="39" t="n"/>
      <c r="P344" s="40">
        <f>IF($C344="","",IF((IF(F344="",", Client","")&amp;IF(G344="",", Description","")&amp;IF(H344="",", Cost Centre","")&amp;IF(I344="",", Invoice Type","")&amp;IF(J344="",", Tax Code","")&amp;IF(O344="",", Expected Revenue","")&amp;IF(COUNTIF(tbl_Finance[Job Number],$C344&amp;"")&gt;1,", Job number used twice",""))="","Complete","Fix: "&amp;MID(IF(F344="",", Client","")&amp;IF(G344="",", Description","")&amp;IF(H344="",", Cost Centre","")&amp;IF(I344="",", Invoice Type","")&amp;IF(J344="",", Tax Code","")&amp;IF(O344="",", Expected Revenue","")&amp;IF(COUNTIF(tbl_Finance[Job Number],$C344&amp;"")&gt;1,", Job number used twice",""),3,300)))</f>
        <v/>
      </c>
      <c r="Q344" s="10">
        <f>IF($C344="","",IF(H344="","(no cost centre)",H344&amp;" - GL "&amp;IFERROR(INDEX(lst_CCtoGL,MATCH(H344,lst_CCforGL,0)),"?")))</f>
        <v/>
      </c>
      <c r="R344" s="11">
        <f>IF($C344="","",IFERROR(N(INDEX(tbl_Finance[Inc GST],MATCH($AU344,tbl_Finance[Row ID],0))),""))</f>
        <v/>
      </c>
      <c r="S344" s="37" t="n"/>
      <c r="T344" s="37" t="n"/>
      <c r="U344" s="37" t="n"/>
      <c r="V344" s="42" t="n"/>
      <c r="W344" s="37" t="n"/>
      <c r="X344" s="10">
        <f>IF(W344="","",IF(AND(LEFT(W344,4)&lt;&gt;"http",set_RMSBase=""),"",HYPERLINK(IF(LEFT(W344,4)="http",W344,set_RMSBase&amp;W344),"Open in RMS")))</f>
        <v/>
      </c>
      <c r="Y344" s="37" t="n"/>
      <c r="Z344" s="10">
        <f>IF(Y344="","",HYPERLINK(IF(LEFT(Y344,4)="http",Y344,set_QwilrBase&amp;Y344),"Open quote"))</f>
        <v/>
      </c>
      <c r="AA344" s="10">
        <f>IF(C344="","",C344)</f>
        <v/>
      </c>
      <c r="AB344" s="37" t="n"/>
      <c r="AC344" s="39" t="n"/>
      <c r="AD344" s="11">
        <f>IF(C344="","",N(L344)+N(AC344))</f>
        <v/>
      </c>
      <c r="AE344" s="43">
        <f>IFERROR(IF(N(AC344)=0,"",AC344/AD344),"")</f>
        <v/>
      </c>
      <c r="AF344" s="39" t="n"/>
      <c r="AG344" s="39" t="n"/>
      <c r="AH344" s="39" t="n"/>
      <c r="AI344" s="39" t="n"/>
      <c r="AJ344" s="11">
        <f>IF(C344="","",IF(H344="VIDEO",N(L344),0))</f>
        <v/>
      </c>
      <c r="AK344" s="43">
        <f>IFERROR(IF(N(L344)=0,"",AJ344/L344),"")</f>
        <v/>
      </c>
      <c r="AL344" s="11">
        <f>IF(C344="","",N(AF344)+N(AG344)+N(AH344)+N(AI344))</f>
        <v/>
      </c>
      <c r="AM344" s="11">
        <f>IF(C344="","",MAX(N(L344),N(O344))-N(AL344))</f>
        <v/>
      </c>
      <c r="AN344" s="43">
        <f>IFERROR(IF(MAX(N(L344),N(O344))=0,"",AM344/MAX(N(L344),N(O344))),"")</f>
        <v/>
      </c>
      <c r="AO344" s="41" t="n"/>
      <c r="AP344" s="41" t="n"/>
      <c r="AQ344" s="41" t="n"/>
      <c r="AR344" s="41" t="n"/>
      <c r="AS344" s="41" t="n"/>
      <c r="AT344" s="37" t="n"/>
      <c r="AU344" s="10" t="inlineStr">
        <is>
          <t>PRD-0340</t>
        </is>
      </c>
    </row>
    <row r="345">
      <c r="A345" s="16">
        <f>IF($C345="","",IFERROR(IF(INDEX(tbl_Finance[Latest Invoice Date],MATCH($AU345,tbl_Finance[Row ID],0))="","",INDEX(tbl_Finance[Latest Invoice Date],MATCH($AU345,tbl_Finance[Row ID],0))),""))</f>
        <v/>
      </c>
      <c r="B345" s="10">
        <f>IF($C345="","",IFERROR(INDEX(tbl_Finance[Invoice Numbers],MATCH($AU345,tbl_Finance[Row ID],0))&amp;"",""))</f>
        <v/>
      </c>
      <c r="C345" s="37" t="n"/>
      <c r="D345" s="10">
        <f>IF($C345="","",IF(COUNTIF(lst_Jobs,$C345&amp;"")&gt;0,"OK","CHECK"))</f>
        <v/>
      </c>
      <c r="E345" s="10">
        <f>IF($C345="","",IFERROR(INDEX(lst_JobName,MATCH($C345&amp;"",lst_Jobs,0)),""))</f>
        <v/>
      </c>
      <c r="F345" s="37" t="n"/>
      <c r="G345" s="37" t="n"/>
      <c r="H345" s="37" t="n"/>
      <c r="I345" s="37" t="n"/>
      <c r="J345" s="37" t="n"/>
      <c r="K345" s="38">
        <f>IF($C345="","",IFERROR(N(INDEX(tbl_Finance[Invoice Count],MATCH($AU345,tbl_Finance[Row ID],0))),""))</f>
        <v/>
      </c>
      <c r="L345" s="11">
        <f>IF($C345="","",IFERROR(N(INDEX(tbl_Finance[Xero Invoiced Ex GST],MATCH($AU345,tbl_Finance[Row ID],0))),""))</f>
        <v/>
      </c>
      <c r="M345" s="10">
        <f>IF($C345="","",IFERROR(INDEX(tbl_Finance[Compare],MATCH($AU345,tbl_Finance[Row ID],0))&amp;"",""))</f>
        <v/>
      </c>
      <c r="N345" s="11">
        <f>IF($C345="","",MAX(0,N(O345)-N(L345)))</f>
        <v/>
      </c>
      <c r="O345" s="39" t="n"/>
      <c r="P345" s="40">
        <f>IF($C345="","",IF((IF(F345="",", Client","")&amp;IF(G345="",", Description","")&amp;IF(H345="",", Cost Centre","")&amp;IF(I345="",", Invoice Type","")&amp;IF(J345="",", Tax Code","")&amp;IF(O345="",", Expected Revenue","")&amp;IF(COUNTIF(tbl_Finance[Job Number],$C345&amp;"")&gt;1,", Job number used twice",""))="","Complete","Fix: "&amp;MID(IF(F345="",", Client","")&amp;IF(G345="",", Description","")&amp;IF(H345="",", Cost Centre","")&amp;IF(I345="",", Invoice Type","")&amp;IF(J345="",", Tax Code","")&amp;IF(O345="",", Expected Revenue","")&amp;IF(COUNTIF(tbl_Finance[Job Number],$C345&amp;"")&gt;1,", Job number used twice",""),3,300)))</f>
        <v/>
      </c>
      <c r="Q345" s="10">
        <f>IF($C345="","",IF(H345="","(no cost centre)",H345&amp;" - GL "&amp;IFERROR(INDEX(lst_CCtoGL,MATCH(H345,lst_CCforGL,0)),"?")))</f>
        <v/>
      </c>
      <c r="R345" s="11">
        <f>IF($C345="","",IFERROR(N(INDEX(tbl_Finance[Inc GST],MATCH($AU345,tbl_Finance[Row ID],0))),""))</f>
        <v/>
      </c>
      <c r="S345" s="37" t="n"/>
      <c r="T345" s="37" t="n"/>
      <c r="U345" s="37" t="n"/>
      <c r="V345" s="42" t="n"/>
      <c r="W345" s="37" t="n"/>
      <c r="X345" s="10">
        <f>IF(W345="","",IF(AND(LEFT(W345,4)&lt;&gt;"http",set_RMSBase=""),"",HYPERLINK(IF(LEFT(W345,4)="http",W345,set_RMSBase&amp;W345),"Open in RMS")))</f>
        <v/>
      </c>
      <c r="Y345" s="37" t="n"/>
      <c r="Z345" s="10">
        <f>IF(Y345="","",HYPERLINK(IF(LEFT(Y345,4)="http",Y345,set_QwilrBase&amp;Y345),"Open quote"))</f>
        <v/>
      </c>
      <c r="AA345" s="10">
        <f>IF(C345="","",C345)</f>
        <v/>
      </c>
      <c r="AB345" s="37" t="n"/>
      <c r="AC345" s="39" t="n"/>
      <c r="AD345" s="11">
        <f>IF(C345="","",N(L345)+N(AC345))</f>
        <v/>
      </c>
      <c r="AE345" s="43">
        <f>IFERROR(IF(N(AC345)=0,"",AC345/AD345),"")</f>
        <v/>
      </c>
      <c r="AF345" s="39" t="n"/>
      <c r="AG345" s="39" t="n"/>
      <c r="AH345" s="39" t="n"/>
      <c r="AI345" s="39" t="n"/>
      <c r="AJ345" s="11">
        <f>IF(C345="","",IF(H345="VIDEO",N(L345),0))</f>
        <v/>
      </c>
      <c r="AK345" s="43">
        <f>IFERROR(IF(N(L345)=0,"",AJ345/L345),"")</f>
        <v/>
      </c>
      <c r="AL345" s="11">
        <f>IF(C345="","",N(AF345)+N(AG345)+N(AH345)+N(AI345))</f>
        <v/>
      </c>
      <c r="AM345" s="11">
        <f>IF(C345="","",MAX(N(L345),N(O345))-N(AL345))</f>
        <v/>
      </c>
      <c r="AN345" s="43">
        <f>IFERROR(IF(MAX(N(L345),N(O345))=0,"",AM345/MAX(N(L345),N(O345))),"")</f>
        <v/>
      </c>
      <c r="AO345" s="41" t="n"/>
      <c r="AP345" s="41" t="n"/>
      <c r="AQ345" s="41" t="n"/>
      <c r="AR345" s="41" t="n"/>
      <c r="AS345" s="41" t="n"/>
      <c r="AT345" s="37" t="n"/>
      <c r="AU345" s="10" t="inlineStr">
        <is>
          <t>PRD-0341</t>
        </is>
      </c>
    </row>
    <row r="346">
      <c r="A346" s="16">
        <f>IF($C346="","",IFERROR(IF(INDEX(tbl_Finance[Latest Invoice Date],MATCH($AU346,tbl_Finance[Row ID],0))="","",INDEX(tbl_Finance[Latest Invoice Date],MATCH($AU346,tbl_Finance[Row ID],0))),""))</f>
        <v/>
      </c>
      <c r="B346" s="10">
        <f>IF($C346="","",IFERROR(INDEX(tbl_Finance[Invoice Numbers],MATCH($AU346,tbl_Finance[Row ID],0))&amp;"",""))</f>
        <v/>
      </c>
      <c r="C346" s="37" t="n"/>
      <c r="D346" s="10">
        <f>IF($C346="","",IF(COUNTIF(lst_Jobs,$C346&amp;"")&gt;0,"OK","CHECK"))</f>
        <v/>
      </c>
      <c r="E346" s="10">
        <f>IF($C346="","",IFERROR(INDEX(lst_JobName,MATCH($C346&amp;"",lst_Jobs,0)),""))</f>
        <v/>
      </c>
      <c r="F346" s="37" t="n"/>
      <c r="G346" s="37" t="n"/>
      <c r="H346" s="37" t="n"/>
      <c r="I346" s="37" t="n"/>
      <c r="J346" s="37" t="n"/>
      <c r="K346" s="38">
        <f>IF($C346="","",IFERROR(N(INDEX(tbl_Finance[Invoice Count],MATCH($AU346,tbl_Finance[Row ID],0))),""))</f>
        <v/>
      </c>
      <c r="L346" s="11">
        <f>IF($C346="","",IFERROR(N(INDEX(tbl_Finance[Xero Invoiced Ex GST],MATCH($AU346,tbl_Finance[Row ID],0))),""))</f>
        <v/>
      </c>
      <c r="M346" s="10">
        <f>IF($C346="","",IFERROR(INDEX(tbl_Finance[Compare],MATCH($AU346,tbl_Finance[Row ID],0))&amp;"",""))</f>
        <v/>
      </c>
      <c r="N346" s="11">
        <f>IF($C346="","",MAX(0,N(O346)-N(L346)))</f>
        <v/>
      </c>
      <c r="O346" s="39" t="n"/>
      <c r="P346" s="40">
        <f>IF($C346="","",IF((IF(F346="",", Client","")&amp;IF(G346="",", Description","")&amp;IF(H346="",", Cost Centre","")&amp;IF(I346="",", Invoice Type","")&amp;IF(J346="",", Tax Code","")&amp;IF(O346="",", Expected Revenue","")&amp;IF(COUNTIF(tbl_Finance[Job Number],$C346&amp;"")&gt;1,", Job number used twice",""))="","Complete","Fix: "&amp;MID(IF(F346="",", Client","")&amp;IF(G346="",", Description","")&amp;IF(H346="",", Cost Centre","")&amp;IF(I346="",", Invoice Type","")&amp;IF(J346="",", Tax Code","")&amp;IF(O346="",", Expected Revenue","")&amp;IF(COUNTIF(tbl_Finance[Job Number],$C346&amp;"")&gt;1,", Job number used twice",""),3,300)))</f>
        <v/>
      </c>
      <c r="Q346" s="10">
        <f>IF($C346="","",IF(H346="","(no cost centre)",H346&amp;" - GL "&amp;IFERROR(INDEX(lst_CCtoGL,MATCH(H346,lst_CCforGL,0)),"?")))</f>
        <v/>
      </c>
      <c r="R346" s="11">
        <f>IF($C346="","",IFERROR(N(INDEX(tbl_Finance[Inc GST],MATCH($AU346,tbl_Finance[Row ID],0))),""))</f>
        <v/>
      </c>
      <c r="S346" s="37" t="n"/>
      <c r="T346" s="37" t="n"/>
      <c r="U346" s="37" t="n"/>
      <c r="V346" s="42" t="n"/>
      <c r="W346" s="37" t="n"/>
      <c r="X346" s="10">
        <f>IF(W346="","",IF(AND(LEFT(W346,4)&lt;&gt;"http",set_RMSBase=""),"",HYPERLINK(IF(LEFT(W346,4)="http",W346,set_RMSBase&amp;W346),"Open in RMS")))</f>
        <v/>
      </c>
      <c r="Y346" s="37" t="n"/>
      <c r="Z346" s="10">
        <f>IF(Y346="","",HYPERLINK(IF(LEFT(Y346,4)="http",Y346,set_QwilrBase&amp;Y346),"Open quote"))</f>
        <v/>
      </c>
      <c r="AA346" s="10">
        <f>IF(C346="","",C346)</f>
        <v/>
      </c>
      <c r="AB346" s="37" t="n"/>
      <c r="AC346" s="39" t="n"/>
      <c r="AD346" s="11">
        <f>IF(C346="","",N(L346)+N(AC346))</f>
        <v/>
      </c>
      <c r="AE346" s="43">
        <f>IFERROR(IF(N(AC346)=0,"",AC346/AD346),"")</f>
        <v/>
      </c>
      <c r="AF346" s="39" t="n"/>
      <c r="AG346" s="39" t="n"/>
      <c r="AH346" s="39" t="n"/>
      <c r="AI346" s="39" t="n"/>
      <c r="AJ346" s="11">
        <f>IF(C346="","",IF(H346="VIDEO",N(L346),0))</f>
        <v/>
      </c>
      <c r="AK346" s="43">
        <f>IFERROR(IF(N(L346)=0,"",AJ346/L346),"")</f>
        <v/>
      </c>
      <c r="AL346" s="11">
        <f>IF(C346="","",N(AF346)+N(AG346)+N(AH346)+N(AI346))</f>
        <v/>
      </c>
      <c r="AM346" s="11">
        <f>IF(C346="","",MAX(N(L346),N(O346))-N(AL346))</f>
        <v/>
      </c>
      <c r="AN346" s="43">
        <f>IFERROR(IF(MAX(N(L346),N(O346))=0,"",AM346/MAX(N(L346),N(O346))),"")</f>
        <v/>
      </c>
      <c r="AO346" s="41" t="n"/>
      <c r="AP346" s="41" t="n"/>
      <c r="AQ346" s="41" t="n"/>
      <c r="AR346" s="41" t="n"/>
      <c r="AS346" s="41" t="n"/>
      <c r="AT346" s="37" t="n"/>
      <c r="AU346" s="10" t="inlineStr">
        <is>
          <t>PRD-0342</t>
        </is>
      </c>
    </row>
    <row r="347">
      <c r="A347" s="16">
        <f>IF($C347="","",IFERROR(IF(INDEX(tbl_Finance[Latest Invoice Date],MATCH($AU347,tbl_Finance[Row ID],0))="","",INDEX(tbl_Finance[Latest Invoice Date],MATCH($AU347,tbl_Finance[Row ID],0))),""))</f>
        <v/>
      </c>
      <c r="B347" s="10">
        <f>IF($C347="","",IFERROR(INDEX(tbl_Finance[Invoice Numbers],MATCH($AU347,tbl_Finance[Row ID],0))&amp;"",""))</f>
        <v/>
      </c>
      <c r="C347" s="37" t="n"/>
      <c r="D347" s="10">
        <f>IF($C347="","",IF(COUNTIF(lst_Jobs,$C347&amp;"")&gt;0,"OK","CHECK"))</f>
        <v/>
      </c>
      <c r="E347" s="10">
        <f>IF($C347="","",IFERROR(INDEX(lst_JobName,MATCH($C347&amp;"",lst_Jobs,0)),""))</f>
        <v/>
      </c>
      <c r="F347" s="37" t="n"/>
      <c r="G347" s="37" t="n"/>
      <c r="H347" s="37" t="n"/>
      <c r="I347" s="37" t="n"/>
      <c r="J347" s="37" t="n"/>
      <c r="K347" s="38">
        <f>IF($C347="","",IFERROR(N(INDEX(tbl_Finance[Invoice Count],MATCH($AU347,tbl_Finance[Row ID],0))),""))</f>
        <v/>
      </c>
      <c r="L347" s="11">
        <f>IF($C347="","",IFERROR(N(INDEX(tbl_Finance[Xero Invoiced Ex GST],MATCH($AU347,tbl_Finance[Row ID],0))),""))</f>
        <v/>
      </c>
      <c r="M347" s="10">
        <f>IF($C347="","",IFERROR(INDEX(tbl_Finance[Compare],MATCH($AU347,tbl_Finance[Row ID],0))&amp;"",""))</f>
        <v/>
      </c>
      <c r="N347" s="11">
        <f>IF($C347="","",MAX(0,N(O347)-N(L347)))</f>
        <v/>
      </c>
      <c r="O347" s="39" t="n"/>
      <c r="P347" s="40">
        <f>IF($C347="","",IF((IF(F347="",", Client","")&amp;IF(G347="",", Description","")&amp;IF(H347="",", Cost Centre","")&amp;IF(I347="",", Invoice Type","")&amp;IF(J347="",", Tax Code","")&amp;IF(O347="",", Expected Revenue","")&amp;IF(COUNTIF(tbl_Finance[Job Number],$C347&amp;"")&gt;1,", Job number used twice",""))="","Complete","Fix: "&amp;MID(IF(F347="",", Client","")&amp;IF(G347="",", Description","")&amp;IF(H347="",", Cost Centre","")&amp;IF(I347="",", Invoice Type","")&amp;IF(J347="",", Tax Code","")&amp;IF(O347="",", Expected Revenue","")&amp;IF(COUNTIF(tbl_Finance[Job Number],$C347&amp;"")&gt;1,", Job number used twice",""),3,300)))</f>
        <v/>
      </c>
      <c r="Q347" s="10">
        <f>IF($C347="","",IF(H347="","(no cost centre)",H347&amp;" - GL "&amp;IFERROR(INDEX(lst_CCtoGL,MATCH(H347,lst_CCforGL,0)),"?")))</f>
        <v/>
      </c>
      <c r="R347" s="11">
        <f>IF($C347="","",IFERROR(N(INDEX(tbl_Finance[Inc GST],MATCH($AU347,tbl_Finance[Row ID],0))),""))</f>
        <v/>
      </c>
      <c r="S347" s="37" t="n"/>
      <c r="T347" s="37" t="n"/>
      <c r="U347" s="37" t="n"/>
      <c r="V347" s="42" t="n"/>
      <c r="W347" s="37" t="n"/>
      <c r="X347" s="10">
        <f>IF(W347="","",IF(AND(LEFT(W347,4)&lt;&gt;"http",set_RMSBase=""),"",HYPERLINK(IF(LEFT(W347,4)="http",W347,set_RMSBase&amp;W347),"Open in RMS")))</f>
        <v/>
      </c>
      <c r="Y347" s="37" t="n"/>
      <c r="Z347" s="10">
        <f>IF(Y347="","",HYPERLINK(IF(LEFT(Y347,4)="http",Y347,set_QwilrBase&amp;Y347),"Open quote"))</f>
        <v/>
      </c>
      <c r="AA347" s="10">
        <f>IF(C347="","",C347)</f>
        <v/>
      </c>
      <c r="AB347" s="37" t="n"/>
      <c r="AC347" s="39" t="n"/>
      <c r="AD347" s="11">
        <f>IF(C347="","",N(L347)+N(AC347))</f>
        <v/>
      </c>
      <c r="AE347" s="43">
        <f>IFERROR(IF(N(AC347)=0,"",AC347/AD347),"")</f>
        <v/>
      </c>
      <c r="AF347" s="39" t="n"/>
      <c r="AG347" s="39" t="n"/>
      <c r="AH347" s="39" t="n"/>
      <c r="AI347" s="39" t="n"/>
      <c r="AJ347" s="11">
        <f>IF(C347="","",IF(H347="VIDEO",N(L347),0))</f>
        <v/>
      </c>
      <c r="AK347" s="43">
        <f>IFERROR(IF(N(L347)=0,"",AJ347/L347),"")</f>
        <v/>
      </c>
      <c r="AL347" s="11">
        <f>IF(C347="","",N(AF347)+N(AG347)+N(AH347)+N(AI347))</f>
        <v/>
      </c>
      <c r="AM347" s="11">
        <f>IF(C347="","",MAX(N(L347),N(O347))-N(AL347))</f>
        <v/>
      </c>
      <c r="AN347" s="43">
        <f>IFERROR(IF(MAX(N(L347),N(O347))=0,"",AM347/MAX(N(L347),N(O347))),"")</f>
        <v/>
      </c>
      <c r="AO347" s="41" t="n"/>
      <c r="AP347" s="41" t="n"/>
      <c r="AQ347" s="41" t="n"/>
      <c r="AR347" s="41" t="n"/>
      <c r="AS347" s="41" t="n"/>
      <c r="AT347" s="37" t="n"/>
      <c r="AU347" s="10" t="inlineStr">
        <is>
          <t>PRD-0343</t>
        </is>
      </c>
    </row>
    <row r="348">
      <c r="A348" s="16">
        <f>IF($C348="","",IFERROR(IF(INDEX(tbl_Finance[Latest Invoice Date],MATCH($AU348,tbl_Finance[Row ID],0))="","",INDEX(tbl_Finance[Latest Invoice Date],MATCH($AU348,tbl_Finance[Row ID],0))),""))</f>
        <v/>
      </c>
      <c r="B348" s="10">
        <f>IF($C348="","",IFERROR(INDEX(tbl_Finance[Invoice Numbers],MATCH($AU348,tbl_Finance[Row ID],0))&amp;"",""))</f>
        <v/>
      </c>
      <c r="C348" s="37" t="n"/>
      <c r="D348" s="10">
        <f>IF($C348="","",IF(COUNTIF(lst_Jobs,$C348&amp;"")&gt;0,"OK","CHECK"))</f>
        <v/>
      </c>
      <c r="E348" s="10">
        <f>IF($C348="","",IFERROR(INDEX(lst_JobName,MATCH($C348&amp;"",lst_Jobs,0)),""))</f>
        <v/>
      </c>
      <c r="F348" s="37" t="n"/>
      <c r="G348" s="37" t="n"/>
      <c r="H348" s="37" t="n"/>
      <c r="I348" s="37" t="n"/>
      <c r="J348" s="37" t="n"/>
      <c r="K348" s="38">
        <f>IF($C348="","",IFERROR(N(INDEX(tbl_Finance[Invoice Count],MATCH($AU348,tbl_Finance[Row ID],0))),""))</f>
        <v/>
      </c>
      <c r="L348" s="11">
        <f>IF($C348="","",IFERROR(N(INDEX(tbl_Finance[Xero Invoiced Ex GST],MATCH($AU348,tbl_Finance[Row ID],0))),""))</f>
        <v/>
      </c>
      <c r="M348" s="10">
        <f>IF($C348="","",IFERROR(INDEX(tbl_Finance[Compare],MATCH($AU348,tbl_Finance[Row ID],0))&amp;"",""))</f>
        <v/>
      </c>
      <c r="N348" s="11">
        <f>IF($C348="","",MAX(0,N(O348)-N(L348)))</f>
        <v/>
      </c>
      <c r="O348" s="39" t="n"/>
      <c r="P348" s="40">
        <f>IF($C348="","",IF((IF(F348="",", Client","")&amp;IF(G348="",", Description","")&amp;IF(H348="",", Cost Centre","")&amp;IF(I348="",", Invoice Type","")&amp;IF(J348="",", Tax Code","")&amp;IF(O348="",", Expected Revenue","")&amp;IF(COUNTIF(tbl_Finance[Job Number],$C348&amp;"")&gt;1,", Job number used twice",""))="","Complete","Fix: "&amp;MID(IF(F348="",", Client","")&amp;IF(G348="",", Description","")&amp;IF(H348="",", Cost Centre","")&amp;IF(I348="",", Invoice Type","")&amp;IF(J348="",", Tax Code","")&amp;IF(O348="",", Expected Revenue","")&amp;IF(COUNTIF(tbl_Finance[Job Number],$C348&amp;"")&gt;1,", Job number used twice",""),3,300)))</f>
        <v/>
      </c>
      <c r="Q348" s="10">
        <f>IF($C348="","",IF(H348="","(no cost centre)",H348&amp;" - GL "&amp;IFERROR(INDEX(lst_CCtoGL,MATCH(H348,lst_CCforGL,0)),"?")))</f>
        <v/>
      </c>
      <c r="R348" s="11">
        <f>IF($C348="","",IFERROR(N(INDEX(tbl_Finance[Inc GST],MATCH($AU348,tbl_Finance[Row ID],0))),""))</f>
        <v/>
      </c>
      <c r="S348" s="37" t="n"/>
      <c r="T348" s="37" t="n"/>
      <c r="U348" s="37" t="n"/>
      <c r="V348" s="42" t="n"/>
      <c r="W348" s="37" t="n"/>
      <c r="X348" s="10">
        <f>IF(W348="","",IF(AND(LEFT(W348,4)&lt;&gt;"http",set_RMSBase=""),"",HYPERLINK(IF(LEFT(W348,4)="http",W348,set_RMSBase&amp;W348),"Open in RMS")))</f>
        <v/>
      </c>
      <c r="Y348" s="37" t="n"/>
      <c r="Z348" s="10">
        <f>IF(Y348="","",HYPERLINK(IF(LEFT(Y348,4)="http",Y348,set_QwilrBase&amp;Y348),"Open quote"))</f>
        <v/>
      </c>
      <c r="AA348" s="10">
        <f>IF(C348="","",C348)</f>
        <v/>
      </c>
      <c r="AB348" s="37" t="n"/>
      <c r="AC348" s="39" t="n"/>
      <c r="AD348" s="11">
        <f>IF(C348="","",N(L348)+N(AC348))</f>
        <v/>
      </c>
      <c r="AE348" s="43">
        <f>IFERROR(IF(N(AC348)=0,"",AC348/AD348),"")</f>
        <v/>
      </c>
      <c r="AF348" s="39" t="n"/>
      <c r="AG348" s="39" t="n"/>
      <c r="AH348" s="39" t="n"/>
      <c r="AI348" s="39" t="n"/>
      <c r="AJ348" s="11">
        <f>IF(C348="","",IF(H348="VIDEO",N(L348),0))</f>
        <v/>
      </c>
      <c r="AK348" s="43">
        <f>IFERROR(IF(N(L348)=0,"",AJ348/L348),"")</f>
        <v/>
      </c>
      <c r="AL348" s="11">
        <f>IF(C348="","",N(AF348)+N(AG348)+N(AH348)+N(AI348))</f>
        <v/>
      </c>
      <c r="AM348" s="11">
        <f>IF(C348="","",MAX(N(L348),N(O348))-N(AL348))</f>
        <v/>
      </c>
      <c r="AN348" s="43">
        <f>IFERROR(IF(MAX(N(L348),N(O348))=0,"",AM348/MAX(N(L348),N(O348))),"")</f>
        <v/>
      </c>
      <c r="AO348" s="41" t="n"/>
      <c r="AP348" s="41" t="n"/>
      <c r="AQ348" s="41" t="n"/>
      <c r="AR348" s="41" t="n"/>
      <c r="AS348" s="41" t="n"/>
      <c r="AT348" s="37" t="n"/>
      <c r="AU348" s="10" t="inlineStr">
        <is>
          <t>PRD-0344</t>
        </is>
      </c>
    </row>
    <row r="349">
      <c r="A349" s="16">
        <f>IF($C349="","",IFERROR(IF(INDEX(tbl_Finance[Latest Invoice Date],MATCH($AU349,tbl_Finance[Row ID],0))="","",INDEX(tbl_Finance[Latest Invoice Date],MATCH($AU349,tbl_Finance[Row ID],0))),""))</f>
        <v/>
      </c>
      <c r="B349" s="10">
        <f>IF($C349="","",IFERROR(INDEX(tbl_Finance[Invoice Numbers],MATCH($AU349,tbl_Finance[Row ID],0))&amp;"",""))</f>
        <v/>
      </c>
      <c r="C349" s="37" t="n"/>
      <c r="D349" s="10">
        <f>IF($C349="","",IF(COUNTIF(lst_Jobs,$C349&amp;"")&gt;0,"OK","CHECK"))</f>
        <v/>
      </c>
      <c r="E349" s="10">
        <f>IF($C349="","",IFERROR(INDEX(lst_JobName,MATCH($C349&amp;"",lst_Jobs,0)),""))</f>
        <v/>
      </c>
      <c r="F349" s="37" t="n"/>
      <c r="G349" s="37" t="n"/>
      <c r="H349" s="37" t="n"/>
      <c r="I349" s="37" t="n"/>
      <c r="J349" s="37" t="n"/>
      <c r="K349" s="38">
        <f>IF($C349="","",IFERROR(N(INDEX(tbl_Finance[Invoice Count],MATCH($AU349,tbl_Finance[Row ID],0))),""))</f>
        <v/>
      </c>
      <c r="L349" s="11">
        <f>IF($C349="","",IFERROR(N(INDEX(tbl_Finance[Xero Invoiced Ex GST],MATCH($AU349,tbl_Finance[Row ID],0))),""))</f>
        <v/>
      </c>
      <c r="M349" s="10">
        <f>IF($C349="","",IFERROR(INDEX(tbl_Finance[Compare],MATCH($AU349,tbl_Finance[Row ID],0))&amp;"",""))</f>
        <v/>
      </c>
      <c r="N349" s="11">
        <f>IF($C349="","",MAX(0,N(O349)-N(L349)))</f>
        <v/>
      </c>
      <c r="O349" s="39" t="n"/>
      <c r="P349" s="40">
        <f>IF($C349="","",IF((IF(F349="",", Client","")&amp;IF(G349="",", Description","")&amp;IF(H349="",", Cost Centre","")&amp;IF(I349="",", Invoice Type","")&amp;IF(J349="",", Tax Code","")&amp;IF(O349="",", Expected Revenue","")&amp;IF(COUNTIF(tbl_Finance[Job Number],$C349&amp;"")&gt;1,", Job number used twice",""))="","Complete","Fix: "&amp;MID(IF(F349="",", Client","")&amp;IF(G349="",", Description","")&amp;IF(H349="",", Cost Centre","")&amp;IF(I349="",", Invoice Type","")&amp;IF(J349="",", Tax Code","")&amp;IF(O349="",", Expected Revenue","")&amp;IF(COUNTIF(tbl_Finance[Job Number],$C349&amp;"")&gt;1,", Job number used twice",""),3,300)))</f>
        <v/>
      </c>
      <c r="Q349" s="10">
        <f>IF($C349="","",IF(H349="","(no cost centre)",H349&amp;" - GL "&amp;IFERROR(INDEX(lst_CCtoGL,MATCH(H349,lst_CCforGL,0)),"?")))</f>
        <v/>
      </c>
      <c r="R349" s="11">
        <f>IF($C349="","",IFERROR(N(INDEX(tbl_Finance[Inc GST],MATCH($AU349,tbl_Finance[Row ID],0))),""))</f>
        <v/>
      </c>
      <c r="S349" s="37" t="n"/>
      <c r="T349" s="37" t="n"/>
      <c r="U349" s="37" t="n"/>
      <c r="V349" s="42" t="n"/>
      <c r="W349" s="37" t="n"/>
      <c r="X349" s="10">
        <f>IF(W349="","",IF(AND(LEFT(W349,4)&lt;&gt;"http",set_RMSBase=""),"",HYPERLINK(IF(LEFT(W349,4)="http",W349,set_RMSBase&amp;W349),"Open in RMS")))</f>
        <v/>
      </c>
      <c r="Y349" s="37" t="n"/>
      <c r="Z349" s="10">
        <f>IF(Y349="","",HYPERLINK(IF(LEFT(Y349,4)="http",Y349,set_QwilrBase&amp;Y349),"Open quote"))</f>
        <v/>
      </c>
      <c r="AA349" s="10">
        <f>IF(C349="","",C349)</f>
        <v/>
      </c>
      <c r="AB349" s="37" t="n"/>
      <c r="AC349" s="39" t="n"/>
      <c r="AD349" s="11">
        <f>IF(C349="","",N(L349)+N(AC349))</f>
        <v/>
      </c>
      <c r="AE349" s="43">
        <f>IFERROR(IF(N(AC349)=0,"",AC349/AD349),"")</f>
        <v/>
      </c>
      <c r="AF349" s="39" t="n"/>
      <c r="AG349" s="39" t="n"/>
      <c r="AH349" s="39" t="n"/>
      <c r="AI349" s="39" t="n"/>
      <c r="AJ349" s="11">
        <f>IF(C349="","",IF(H349="VIDEO",N(L349),0))</f>
        <v/>
      </c>
      <c r="AK349" s="43">
        <f>IFERROR(IF(N(L349)=0,"",AJ349/L349),"")</f>
        <v/>
      </c>
      <c r="AL349" s="11">
        <f>IF(C349="","",N(AF349)+N(AG349)+N(AH349)+N(AI349))</f>
        <v/>
      </c>
      <c r="AM349" s="11">
        <f>IF(C349="","",MAX(N(L349),N(O349))-N(AL349))</f>
        <v/>
      </c>
      <c r="AN349" s="43">
        <f>IFERROR(IF(MAX(N(L349),N(O349))=0,"",AM349/MAX(N(L349),N(O349))),"")</f>
        <v/>
      </c>
      <c r="AO349" s="41" t="n"/>
      <c r="AP349" s="41" t="n"/>
      <c r="AQ349" s="41" t="n"/>
      <c r="AR349" s="41" t="n"/>
      <c r="AS349" s="41" t="n"/>
      <c r="AT349" s="37" t="n"/>
      <c r="AU349" s="10" t="inlineStr">
        <is>
          <t>PRD-0345</t>
        </is>
      </c>
    </row>
    <row r="350">
      <c r="A350" s="16">
        <f>IF($C350="","",IFERROR(IF(INDEX(tbl_Finance[Latest Invoice Date],MATCH($AU350,tbl_Finance[Row ID],0))="","",INDEX(tbl_Finance[Latest Invoice Date],MATCH($AU350,tbl_Finance[Row ID],0))),""))</f>
        <v/>
      </c>
      <c r="B350" s="10">
        <f>IF($C350="","",IFERROR(INDEX(tbl_Finance[Invoice Numbers],MATCH($AU350,tbl_Finance[Row ID],0))&amp;"",""))</f>
        <v/>
      </c>
      <c r="C350" s="37" t="n"/>
      <c r="D350" s="10">
        <f>IF($C350="","",IF(COUNTIF(lst_Jobs,$C350&amp;"")&gt;0,"OK","CHECK"))</f>
        <v/>
      </c>
      <c r="E350" s="10">
        <f>IF($C350="","",IFERROR(INDEX(lst_JobName,MATCH($C350&amp;"",lst_Jobs,0)),""))</f>
        <v/>
      </c>
      <c r="F350" s="37" t="n"/>
      <c r="G350" s="37" t="n"/>
      <c r="H350" s="37" t="n"/>
      <c r="I350" s="37" t="n"/>
      <c r="J350" s="37" t="n"/>
      <c r="K350" s="38">
        <f>IF($C350="","",IFERROR(N(INDEX(tbl_Finance[Invoice Count],MATCH($AU350,tbl_Finance[Row ID],0))),""))</f>
        <v/>
      </c>
      <c r="L350" s="11">
        <f>IF($C350="","",IFERROR(N(INDEX(tbl_Finance[Xero Invoiced Ex GST],MATCH($AU350,tbl_Finance[Row ID],0))),""))</f>
        <v/>
      </c>
      <c r="M350" s="10">
        <f>IF($C350="","",IFERROR(INDEX(tbl_Finance[Compare],MATCH($AU350,tbl_Finance[Row ID],0))&amp;"",""))</f>
        <v/>
      </c>
      <c r="N350" s="11">
        <f>IF($C350="","",MAX(0,N(O350)-N(L350)))</f>
        <v/>
      </c>
      <c r="O350" s="39" t="n"/>
      <c r="P350" s="40">
        <f>IF($C350="","",IF((IF(F350="",", Client","")&amp;IF(G350="",", Description","")&amp;IF(H350="",", Cost Centre","")&amp;IF(I350="",", Invoice Type","")&amp;IF(J350="",", Tax Code","")&amp;IF(O350="",", Expected Revenue","")&amp;IF(COUNTIF(tbl_Finance[Job Number],$C350&amp;"")&gt;1,", Job number used twice",""))="","Complete","Fix: "&amp;MID(IF(F350="",", Client","")&amp;IF(G350="",", Description","")&amp;IF(H350="",", Cost Centre","")&amp;IF(I350="",", Invoice Type","")&amp;IF(J350="",", Tax Code","")&amp;IF(O350="",", Expected Revenue","")&amp;IF(COUNTIF(tbl_Finance[Job Number],$C350&amp;"")&gt;1,", Job number used twice",""),3,300)))</f>
        <v/>
      </c>
      <c r="Q350" s="10">
        <f>IF($C350="","",IF(H350="","(no cost centre)",H350&amp;" - GL "&amp;IFERROR(INDEX(lst_CCtoGL,MATCH(H350,lst_CCforGL,0)),"?")))</f>
        <v/>
      </c>
      <c r="R350" s="11">
        <f>IF($C350="","",IFERROR(N(INDEX(tbl_Finance[Inc GST],MATCH($AU350,tbl_Finance[Row ID],0))),""))</f>
        <v/>
      </c>
      <c r="S350" s="37" t="n"/>
      <c r="T350" s="37" t="n"/>
      <c r="U350" s="37" t="n"/>
      <c r="V350" s="42" t="n"/>
      <c r="W350" s="37" t="n"/>
      <c r="X350" s="10">
        <f>IF(W350="","",IF(AND(LEFT(W350,4)&lt;&gt;"http",set_RMSBase=""),"",HYPERLINK(IF(LEFT(W350,4)="http",W350,set_RMSBase&amp;W350),"Open in RMS")))</f>
        <v/>
      </c>
      <c r="Y350" s="37" t="n"/>
      <c r="Z350" s="10">
        <f>IF(Y350="","",HYPERLINK(IF(LEFT(Y350,4)="http",Y350,set_QwilrBase&amp;Y350),"Open quote"))</f>
        <v/>
      </c>
      <c r="AA350" s="10">
        <f>IF(C350="","",C350)</f>
        <v/>
      </c>
      <c r="AB350" s="37" t="n"/>
      <c r="AC350" s="39" t="n"/>
      <c r="AD350" s="11">
        <f>IF(C350="","",N(L350)+N(AC350))</f>
        <v/>
      </c>
      <c r="AE350" s="43">
        <f>IFERROR(IF(N(AC350)=0,"",AC350/AD350),"")</f>
        <v/>
      </c>
      <c r="AF350" s="39" t="n"/>
      <c r="AG350" s="39" t="n"/>
      <c r="AH350" s="39" t="n"/>
      <c r="AI350" s="39" t="n"/>
      <c r="AJ350" s="11">
        <f>IF(C350="","",IF(H350="VIDEO",N(L350),0))</f>
        <v/>
      </c>
      <c r="AK350" s="43">
        <f>IFERROR(IF(N(L350)=0,"",AJ350/L350),"")</f>
        <v/>
      </c>
      <c r="AL350" s="11">
        <f>IF(C350="","",N(AF350)+N(AG350)+N(AH350)+N(AI350))</f>
        <v/>
      </c>
      <c r="AM350" s="11">
        <f>IF(C350="","",MAX(N(L350),N(O350))-N(AL350))</f>
        <v/>
      </c>
      <c r="AN350" s="43">
        <f>IFERROR(IF(MAX(N(L350),N(O350))=0,"",AM350/MAX(N(L350),N(O350))),"")</f>
        <v/>
      </c>
      <c r="AO350" s="41" t="n"/>
      <c r="AP350" s="41" t="n"/>
      <c r="AQ350" s="41" t="n"/>
      <c r="AR350" s="41" t="n"/>
      <c r="AS350" s="41" t="n"/>
      <c r="AT350" s="37" t="n"/>
      <c r="AU350" s="10" t="inlineStr">
        <is>
          <t>PRD-0346</t>
        </is>
      </c>
    </row>
    <row r="351">
      <c r="A351" s="16">
        <f>IF($C351="","",IFERROR(IF(INDEX(tbl_Finance[Latest Invoice Date],MATCH($AU351,tbl_Finance[Row ID],0))="","",INDEX(tbl_Finance[Latest Invoice Date],MATCH($AU351,tbl_Finance[Row ID],0))),""))</f>
        <v/>
      </c>
      <c r="B351" s="10">
        <f>IF($C351="","",IFERROR(INDEX(tbl_Finance[Invoice Numbers],MATCH($AU351,tbl_Finance[Row ID],0))&amp;"",""))</f>
        <v/>
      </c>
      <c r="C351" s="37" t="n"/>
      <c r="D351" s="10">
        <f>IF($C351="","",IF(COUNTIF(lst_Jobs,$C351&amp;"")&gt;0,"OK","CHECK"))</f>
        <v/>
      </c>
      <c r="E351" s="10">
        <f>IF($C351="","",IFERROR(INDEX(lst_JobName,MATCH($C351&amp;"",lst_Jobs,0)),""))</f>
        <v/>
      </c>
      <c r="F351" s="37" t="n"/>
      <c r="G351" s="37" t="n"/>
      <c r="H351" s="37" t="n"/>
      <c r="I351" s="37" t="n"/>
      <c r="J351" s="37" t="n"/>
      <c r="K351" s="38">
        <f>IF($C351="","",IFERROR(N(INDEX(tbl_Finance[Invoice Count],MATCH($AU351,tbl_Finance[Row ID],0))),""))</f>
        <v/>
      </c>
      <c r="L351" s="11">
        <f>IF($C351="","",IFERROR(N(INDEX(tbl_Finance[Xero Invoiced Ex GST],MATCH($AU351,tbl_Finance[Row ID],0))),""))</f>
        <v/>
      </c>
      <c r="M351" s="10">
        <f>IF($C351="","",IFERROR(INDEX(tbl_Finance[Compare],MATCH($AU351,tbl_Finance[Row ID],0))&amp;"",""))</f>
        <v/>
      </c>
      <c r="N351" s="11">
        <f>IF($C351="","",MAX(0,N(O351)-N(L351)))</f>
        <v/>
      </c>
      <c r="O351" s="39" t="n"/>
      <c r="P351" s="40">
        <f>IF($C351="","",IF((IF(F351="",", Client","")&amp;IF(G351="",", Description","")&amp;IF(H351="",", Cost Centre","")&amp;IF(I351="",", Invoice Type","")&amp;IF(J351="",", Tax Code","")&amp;IF(O351="",", Expected Revenue","")&amp;IF(COUNTIF(tbl_Finance[Job Number],$C351&amp;"")&gt;1,", Job number used twice",""))="","Complete","Fix: "&amp;MID(IF(F351="",", Client","")&amp;IF(G351="",", Description","")&amp;IF(H351="",", Cost Centre","")&amp;IF(I351="",", Invoice Type","")&amp;IF(J351="",", Tax Code","")&amp;IF(O351="",", Expected Revenue","")&amp;IF(COUNTIF(tbl_Finance[Job Number],$C351&amp;"")&gt;1,", Job number used twice",""),3,300)))</f>
        <v/>
      </c>
      <c r="Q351" s="10">
        <f>IF($C351="","",IF(H351="","(no cost centre)",H351&amp;" - GL "&amp;IFERROR(INDEX(lst_CCtoGL,MATCH(H351,lst_CCforGL,0)),"?")))</f>
        <v/>
      </c>
      <c r="R351" s="11">
        <f>IF($C351="","",IFERROR(N(INDEX(tbl_Finance[Inc GST],MATCH($AU351,tbl_Finance[Row ID],0))),""))</f>
        <v/>
      </c>
      <c r="S351" s="37" t="n"/>
      <c r="T351" s="37" t="n"/>
      <c r="U351" s="37" t="n"/>
      <c r="V351" s="42" t="n"/>
      <c r="W351" s="37" t="n"/>
      <c r="X351" s="10">
        <f>IF(W351="","",IF(AND(LEFT(W351,4)&lt;&gt;"http",set_RMSBase=""),"",HYPERLINK(IF(LEFT(W351,4)="http",W351,set_RMSBase&amp;W351),"Open in RMS")))</f>
        <v/>
      </c>
      <c r="Y351" s="37" t="n"/>
      <c r="Z351" s="10">
        <f>IF(Y351="","",HYPERLINK(IF(LEFT(Y351,4)="http",Y351,set_QwilrBase&amp;Y351),"Open quote"))</f>
        <v/>
      </c>
      <c r="AA351" s="10">
        <f>IF(C351="","",C351)</f>
        <v/>
      </c>
      <c r="AB351" s="37" t="n"/>
      <c r="AC351" s="39" t="n"/>
      <c r="AD351" s="11">
        <f>IF(C351="","",N(L351)+N(AC351))</f>
        <v/>
      </c>
      <c r="AE351" s="43">
        <f>IFERROR(IF(N(AC351)=0,"",AC351/AD351),"")</f>
        <v/>
      </c>
      <c r="AF351" s="39" t="n"/>
      <c r="AG351" s="39" t="n"/>
      <c r="AH351" s="39" t="n"/>
      <c r="AI351" s="39" t="n"/>
      <c r="AJ351" s="11">
        <f>IF(C351="","",IF(H351="VIDEO",N(L351),0))</f>
        <v/>
      </c>
      <c r="AK351" s="43">
        <f>IFERROR(IF(N(L351)=0,"",AJ351/L351),"")</f>
        <v/>
      </c>
      <c r="AL351" s="11">
        <f>IF(C351="","",N(AF351)+N(AG351)+N(AH351)+N(AI351))</f>
        <v/>
      </c>
      <c r="AM351" s="11">
        <f>IF(C351="","",MAX(N(L351),N(O351))-N(AL351))</f>
        <v/>
      </c>
      <c r="AN351" s="43">
        <f>IFERROR(IF(MAX(N(L351),N(O351))=0,"",AM351/MAX(N(L351),N(O351))),"")</f>
        <v/>
      </c>
      <c r="AO351" s="41" t="n"/>
      <c r="AP351" s="41" t="n"/>
      <c r="AQ351" s="41" t="n"/>
      <c r="AR351" s="41" t="n"/>
      <c r="AS351" s="41" t="n"/>
      <c r="AT351" s="37" t="n"/>
      <c r="AU351" s="10" t="inlineStr">
        <is>
          <t>PRD-0347</t>
        </is>
      </c>
    </row>
    <row r="352">
      <c r="A352" s="16">
        <f>IF($C352="","",IFERROR(IF(INDEX(tbl_Finance[Latest Invoice Date],MATCH($AU352,tbl_Finance[Row ID],0))="","",INDEX(tbl_Finance[Latest Invoice Date],MATCH($AU352,tbl_Finance[Row ID],0))),""))</f>
        <v/>
      </c>
      <c r="B352" s="10">
        <f>IF($C352="","",IFERROR(INDEX(tbl_Finance[Invoice Numbers],MATCH($AU352,tbl_Finance[Row ID],0))&amp;"",""))</f>
        <v/>
      </c>
      <c r="C352" s="37" t="n"/>
      <c r="D352" s="10">
        <f>IF($C352="","",IF(COUNTIF(lst_Jobs,$C352&amp;"")&gt;0,"OK","CHECK"))</f>
        <v/>
      </c>
      <c r="E352" s="10">
        <f>IF($C352="","",IFERROR(INDEX(lst_JobName,MATCH($C352&amp;"",lst_Jobs,0)),""))</f>
        <v/>
      </c>
      <c r="F352" s="37" t="n"/>
      <c r="G352" s="37" t="n"/>
      <c r="H352" s="37" t="n"/>
      <c r="I352" s="37" t="n"/>
      <c r="J352" s="37" t="n"/>
      <c r="K352" s="38">
        <f>IF($C352="","",IFERROR(N(INDEX(tbl_Finance[Invoice Count],MATCH($AU352,tbl_Finance[Row ID],0))),""))</f>
        <v/>
      </c>
      <c r="L352" s="11">
        <f>IF($C352="","",IFERROR(N(INDEX(tbl_Finance[Xero Invoiced Ex GST],MATCH($AU352,tbl_Finance[Row ID],0))),""))</f>
        <v/>
      </c>
      <c r="M352" s="10">
        <f>IF($C352="","",IFERROR(INDEX(tbl_Finance[Compare],MATCH($AU352,tbl_Finance[Row ID],0))&amp;"",""))</f>
        <v/>
      </c>
      <c r="N352" s="11">
        <f>IF($C352="","",MAX(0,N(O352)-N(L352)))</f>
        <v/>
      </c>
      <c r="O352" s="39" t="n"/>
      <c r="P352" s="40">
        <f>IF($C352="","",IF((IF(F352="",", Client","")&amp;IF(G352="",", Description","")&amp;IF(H352="",", Cost Centre","")&amp;IF(I352="",", Invoice Type","")&amp;IF(J352="",", Tax Code","")&amp;IF(O352="",", Expected Revenue","")&amp;IF(COUNTIF(tbl_Finance[Job Number],$C352&amp;"")&gt;1,", Job number used twice",""))="","Complete","Fix: "&amp;MID(IF(F352="",", Client","")&amp;IF(G352="",", Description","")&amp;IF(H352="",", Cost Centre","")&amp;IF(I352="",", Invoice Type","")&amp;IF(J352="",", Tax Code","")&amp;IF(O352="",", Expected Revenue","")&amp;IF(COUNTIF(tbl_Finance[Job Number],$C352&amp;"")&gt;1,", Job number used twice",""),3,300)))</f>
        <v/>
      </c>
      <c r="Q352" s="10">
        <f>IF($C352="","",IF(H352="","(no cost centre)",H352&amp;" - GL "&amp;IFERROR(INDEX(lst_CCtoGL,MATCH(H352,lst_CCforGL,0)),"?")))</f>
        <v/>
      </c>
      <c r="R352" s="11">
        <f>IF($C352="","",IFERROR(N(INDEX(tbl_Finance[Inc GST],MATCH($AU352,tbl_Finance[Row ID],0))),""))</f>
        <v/>
      </c>
      <c r="S352" s="37" t="n"/>
      <c r="T352" s="37" t="n"/>
      <c r="U352" s="37" t="n"/>
      <c r="V352" s="42" t="n"/>
      <c r="W352" s="37" t="n"/>
      <c r="X352" s="10">
        <f>IF(W352="","",IF(AND(LEFT(W352,4)&lt;&gt;"http",set_RMSBase=""),"",HYPERLINK(IF(LEFT(W352,4)="http",W352,set_RMSBase&amp;W352),"Open in RMS")))</f>
        <v/>
      </c>
      <c r="Y352" s="37" t="n"/>
      <c r="Z352" s="10">
        <f>IF(Y352="","",HYPERLINK(IF(LEFT(Y352,4)="http",Y352,set_QwilrBase&amp;Y352),"Open quote"))</f>
        <v/>
      </c>
      <c r="AA352" s="10">
        <f>IF(C352="","",C352)</f>
        <v/>
      </c>
      <c r="AB352" s="37" t="n"/>
      <c r="AC352" s="39" t="n"/>
      <c r="AD352" s="11">
        <f>IF(C352="","",N(L352)+N(AC352))</f>
        <v/>
      </c>
      <c r="AE352" s="43">
        <f>IFERROR(IF(N(AC352)=0,"",AC352/AD352),"")</f>
        <v/>
      </c>
      <c r="AF352" s="39" t="n"/>
      <c r="AG352" s="39" t="n"/>
      <c r="AH352" s="39" t="n"/>
      <c r="AI352" s="39" t="n"/>
      <c r="AJ352" s="11">
        <f>IF(C352="","",IF(H352="VIDEO",N(L352),0))</f>
        <v/>
      </c>
      <c r="AK352" s="43">
        <f>IFERROR(IF(N(L352)=0,"",AJ352/L352),"")</f>
        <v/>
      </c>
      <c r="AL352" s="11">
        <f>IF(C352="","",N(AF352)+N(AG352)+N(AH352)+N(AI352))</f>
        <v/>
      </c>
      <c r="AM352" s="11">
        <f>IF(C352="","",MAX(N(L352),N(O352))-N(AL352))</f>
        <v/>
      </c>
      <c r="AN352" s="43">
        <f>IFERROR(IF(MAX(N(L352),N(O352))=0,"",AM352/MAX(N(L352),N(O352))),"")</f>
        <v/>
      </c>
      <c r="AO352" s="41" t="n"/>
      <c r="AP352" s="41" t="n"/>
      <c r="AQ352" s="41" t="n"/>
      <c r="AR352" s="41" t="n"/>
      <c r="AS352" s="41" t="n"/>
      <c r="AT352" s="37" t="n"/>
      <c r="AU352" s="10" t="inlineStr">
        <is>
          <t>PRD-0348</t>
        </is>
      </c>
    </row>
    <row r="353">
      <c r="A353" s="16">
        <f>IF($C353="","",IFERROR(IF(INDEX(tbl_Finance[Latest Invoice Date],MATCH($AU353,tbl_Finance[Row ID],0))="","",INDEX(tbl_Finance[Latest Invoice Date],MATCH($AU353,tbl_Finance[Row ID],0))),""))</f>
        <v/>
      </c>
      <c r="B353" s="10">
        <f>IF($C353="","",IFERROR(INDEX(tbl_Finance[Invoice Numbers],MATCH($AU353,tbl_Finance[Row ID],0))&amp;"",""))</f>
        <v/>
      </c>
      <c r="C353" s="37" t="n"/>
      <c r="D353" s="10">
        <f>IF($C353="","",IF(COUNTIF(lst_Jobs,$C353&amp;"")&gt;0,"OK","CHECK"))</f>
        <v/>
      </c>
      <c r="E353" s="10">
        <f>IF($C353="","",IFERROR(INDEX(lst_JobName,MATCH($C353&amp;"",lst_Jobs,0)),""))</f>
        <v/>
      </c>
      <c r="F353" s="37" t="n"/>
      <c r="G353" s="37" t="n"/>
      <c r="H353" s="37" t="n"/>
      <c r="I353" s="37" t="n"/>
      <c r="J353" s="37" t="n"/>
      <c r="K353" s="38">
        <f>IF($C353="","",IFERROR(N(INDEX(tbl_Finance[Invoice Count],MATCH($AU353,tbl_Finance[Row ID],0))),""))</f>
        <v/>
      </c>
      <c r="L353" s="11">
        <f>IF($C353="","",IFERROR(N(INDEX(tbl_Finance[Xero Invoiced Ex GST],MATCH($AU353,tbl_Finance[Row ID],0))),""))</f>
        <v/>
      </c>
      <c r="M353" s="10">
        <f>IF($C353="","",IFERROR(INDEX(tbl_Finance[Compare],MATCH($AU353,tbl_Finance[Row ID],0))&amp;"",""))</f>
        <v/>
      </c>
      <c r="N353" s="11">
        <f>IF($C353="","",MAX(0,N(O353)-N(L353)))</f>
        <v/>
      </c>
      <c r="O353" s="39" t="n"/>
      <c r="P353" s="40">
        <f>IF($C353="","",IF((IF(F353="",", Client","")&amp;IF(G353="",", Description","")&amp;IF(H353="",", Cost Centre","")&amp;IF(I353="",", Invoice Type","")&amp;IF(J353="",", Tax Code","")&amp;IF(O353="",", Expected Revenue","")&amp;IF(COUNTIF(tbl_Finance[Job Number],$C353&amp;"")&gt;1,", Job number used twice",""))="","Complete","Fix: "&amp;MID(IF(F353="",", Client","")&amp;IF(G353="",", Description","")&amp;IF(H353="",", Cost Centre","")&amp;IF(I353="",", Invoice Type","")&amp;IF(J353="",", Tax Code","")&amp;IF(O353="",", Expected Revenue","")&amp;IF(COUNTIF(tbl_Finance[Job Number],$C353&amp;"")&gt;1,", Job number used twice",""),3,300)))</f>
        <v/>
      </c>
      <c r="Q353" s="10">
        <f>IF($C353="","",IF(H353="","(no cost centre)",H353&amp;" - GL "&amp;IFERROR(INDEX(lst_CCtoGL,MATCH(H353,lst_CCforGL,0)),"?")))</f>
        <v/>
      </c>
      <c r="R353" s="11">
        <f>IF($C353="","",IFERROR(N(INDEX(tbl_Finance[Inc GST],MATCH($AU353,tbl_Finance[Row ID],0))),""))</f>
        <v/>
      </c>
      <c r="S353" s="37" t="n"/>
      <c r="T353" s="37" t="n"/>
      <c r="U353" s="37" t="n"/>
      <c r="V353" s="42" t="n"/>
      <c r="W353" s="37" t="n"/>
      <c r="X353" s="10">
        <f>IF(W353="","",IF(AND(LEFT(W353,4)&lt;&gt;"http",set_RMSBase=""),"",HYPERLINK(IF(LEFT(W353,4)="http",W353,set_RMSBase&amp;W353),"Open in RMS")))</f>
        <v/>
      </c>
      <c r="Y353" s="37" t="n"/>
      <c r="Z353" s="10">
        <f>IF(Y353="","",HYPERLINK(IF(LEFT(Y353,4)="http",Y353,set_QwilrBase&amp;Y353),"Open quote"))</f>
        <v/>
      </c>
      <c r="AA353" s="10">
        <f>IF(C353="","",C353)</f>
        <v/>
      </c>
      <c r="AB353" s="37" t="n"/>
      <c r="AC353" s="39" t="n"/>
      <c r="AD353" s="11">
        <f>IF(C353="","",N(L353)+N(AC353))</f>
        <v/>
      </c>
      <c r="AE353" s="43">
        <f>IFERROR(IF(N(AC353)=0,"",AC353/AD353),"")</f>
        <v/>
      </c>
      <c r="AF353" s="39" t="n"/>
      <c r="AG353" s="39" t="n"/>
      <c r="AH353" s="39" t="n"/>
      <c r="AI353" s="39" t="n"/>
      <c r="AJ353" s="11">
        <f>IF(C353="","",IF(H353="VIDEO",N(L353),0))</f>
        <v/>
      </c>
      <c r="AK353" s="43">
        <f>IFERROR(IF(N(L353)=0,"",AJ353/L353),"")</f>
        <v/>
      </c>
      <c r="AL353" s="11">
        <f>IF(C353="","",N(AF353)+N(AG353)+N(AH353)+N(AI353))</f>
        <v/>
      </c>
      <c r="AM353" s="11">
        <f>IF(C353="","",MAX(N(L353),N(O353))-N(AL353))</f>
        <v/>
      </c>
      <c r="AN353" s="43">
        <f>IFERROR(IF(MAX(N(L353),N(O353))=0,"",AM353/MAX(N(L353),N(O353))),"")</f>
        <v/>
      </c>
      <c r="AO353" s="41" t="n"/>
      <c r="AP353" s="41" t="n"/>
      <c r="AQ353" s="41" t="n"/>
      <c r="AR353" s="41" t="n"/>
      <c r="AS353" s="41" t="n"/>
      <c r="AT353" s="37" t="n"/>
      <c r="AU353" s="10" t="inlineStr">
        <is>
          <t>PRD-0349</t>
        </is>
      </c>
    </row>
    <row r="354">
      <c r="A354" s="16">
        <f>IF($C354="","",IFERROR(IF(INDEX(tbl_Finance[Latest Invoice Date],MATCH($AU354,tbl_Finance[Row ID],0))="","",INDEX(tbl_Finance[Latest Invoice Date],MATCH($AU354,tbl_Finance[Row ID],0))),""))</f>
        <v/>
      </c>
      <c r="B354" s="10">
        <f>IF($C354="","",IFERROR(INDEX(tbl_Finance[Invoice Numbers],MATCH($AU354,tbl_Finance[Row ID],0))&amp;"",""))</f>
        <v/>
      </c>
      <c r="C354" s="37" t="n"/>
      <c r="D354" s="10">
        <f>IF($C354="","",IF(COUNTIF(lst_Jobs,$C354&amp;"")&gt;0,"OK","CHECK"))</f>
        <v/>
      </c>
      <c r="E354" s="10">
        <f>IF($C354="","",IFERROR(INDEX(lst_JobName,MATCH($C354&amp;"",lst_Jobs,0)),""))</f>
        <v/>
      </c>
      <c r="F354" s="37" t="n"/>
      <c r="G354" s="37" t="n"/>
      <c r="H354" s="37" t="n"/>
      <c r="I354" s="37" t="n"/>
      <c r="J354" s="37" t="n"/>
      <c r="K354" s="38">
        <f>IF($C354="","",IFERROR(N(INDEX(tbl_Finance[Invoice Count],MATCH($AU354,tbl_Finance[Row ID],0))),""))</f>
        <v/>
      </c>
      <c r="L354" s="11">
        <f>IF($C354="","",IFERROR(N(INDEX(tbl_Finance[Xero Invoiced Ex GST],MATCH($AU354,tbl_Finance[Row ID],0))),""))</f>
        <v/>
      </c>
      <c r="M354" s="10">
        <f>IF($C354="","",IFERROR(INDEX(tbl_Finance[Compare],MATCH($AU354,tbl_Finance[Row ID],0))&amp;"",""))</f>
        <v/>
      </c>
      <c r="N354" s="11">
        <f>IF($C354="","",MAX(0,N(O354)-N(L354)))</f>
        <v/>
      </c>
      <c r="O354" s="39" t="n"/>
      <c r="P354" s="40">
        <f>IF($C354="","",IF((IF(F354="",", Client","")&amp;IF(G354="",", Description","")&amp;IF(H354="",", Cost Centre","")&amp;IF(I354="",", Invoice Type","")&amp;IF(J354="",", Tax Code","")&amp;IF(O354="",", Expected Revenue","")&amp;IF(COUNTIF(tbl_Finance[Job Number],$C354&amp;"")&gt;1,", Job number used twice",""))="","Complete","Fix: "&amp;MID(IF(F354="",", Client","")&amp;IF(G354="",", Description","")&amp;IF(H354="",", Cost Centre","")&amp;IF(I354="",", Invoice Type","")&amp;IF(J354="",", Tax Code","")&amp;IF(O354="",", Expected Revenue","")&amp;IF(COUNTIF(tbl_Finance[Job Number],$C354&amp;"")&gt;1,", Job number used twice",""),3,300)))</f>
        <v/>
      </c>
      <c r="Q354" s="10">
        <f>IF($C354="","",IF(H354="","(no cost centre)",H354&amp;" - GL "&amp;IFERROR(INDEX(lst_CCtoGL,MATCH(H354,lst_CCforGL,0)),"?")))</f>
        <v/>
      </c>
      <c r="R354" s="11">
        <f>IF($C354="","",IFERROR(N(INDEX(tbl_Finance[Inc GST],MATCH($AU354,tbl_Finance[Row ID],0))),""))</f>
        <v/>
      </c>
      <c r="S354" s="37" t="n"/>
      <c r="T354" s="37" t="n"/>
      <c r="U354" s="37" t="n"/>
      <c r="V354" s="42" t="n"/>
      <c r="W354" s="37" t="n"/>
      <c r="X354" s="10">
        <f>IF(W354="","",IF(AND(LEFT(W354,4)&lt;&gt;"http",set_RMSBase=""),"",HYPERLINK(IF(LEFT(W354,4)="http",W354,set_RMSBase&amp;W354),"Open in RMS")))</f>
        <v/>
      </c>
      <c r="Y354" s="37" t="n"/>
      <c r="Z354" s="10">
        <f>IF(Y354="","",HYPERLINK(IF(LEFT(Y354,4)="http",Y354,set_QwilrBase&amp;Y354),"Open quote"))</f>
        <v/>
      </c>
      <c r="AA354" s="10">
        <f>IF(C354="","",C354)</f>
        <v/>
      </c>
      <c r="AB354" s="37" t="n"/>
      <c r="AC354" s="39" t="n"/>
      <c r="AD354" s="11">
        <f>IF(C354="","",N(L354)+N(AC354))</f>
        <v/>
      </c>
      <c r="AE354" s="43">
        <f>IFERROR(IF(N(AC354)=0,"",AC354/AD354),"")</f>
        <v/>
      </c>
      <c r="AF354" s="39" t="n"/>
      <c r="AG354" s="39" t="n"/>
      <c r="AH354" s="39" t="n"/>
      <c r="AI354" s="39" t="n"/>
      <c r="AJ354" s="11">
        <f>IF(C354="","",IF(H354="VIDEO",N(L354),0))</f>
        <v/>
      </c>
      <c r="AK354" s="43">
        <f>IFERROR(IF(N(L354)=0,"",AJ354/L354),"")</f>
        <v/>
      </c>
      <c r="AL354" s="11">
        <f>IF(C354="","",N(AF354)+N(AG354)+N(AH354)+N(AI354))</f>
        <v/>
      </c>
      <c r="AM354" s="11">
        <f>IF(C354="","",MAX(N(L354),N(O354))-N(AL354))</f>
        <v/>
      </c>
      <c r="AN354" s="43">
        <f>IFERROR(IF(MAX(N(L354),N(O354))=0,"",AM354/MAX(N(L354),N(O354))),"")</f>
        <v/>
      </c>
      <c r="AO354" s="41" t="n"/>
      <c r="AP354" s="41" t="n"/>
      <c r="AQ354" s="41" t="n"/>
      <c r="AR354" s="41" t="n"/>
      <c r="AS354" s="41" t="n"/>
      <c r="AT354" s="37" t="n"/>
      <c r="AU354" s="10" t="inlineStr">
        <is>
          <t>PRD-0350</t>
        </is>
      </c>
    </row>
    <row r="355">
      <c r="A355" s="16">
        <f>IF($C355="","",IFERROR(IF(INDEX(tbl_Finance[Latest Invoice Date],MATCH($AU355,tbl_Finance[Row ID],0))="","",INDEX(tbl_Finance[Latest Invoice Date],MATCH($AU355,tbl_Finance[Row ID],0))),""))</f>
        <v/>
      </c>
      <c r="B355" s="10">
        <f>IF($C355="","",IFERROR(INDEX(tbl_Finance[Invoice Numbers],MATCH($AU355,tbl_Finance[Row ID],0))&amp;"",""))</f>
        <v/>
      </c>
      <c r="C355" s="37" t="n"/>
      <c r="D355" s="10">
        <f>IF($C355="","",IF(COUNTIF(lst_Jobs,$C355&amp;"")&gt;0,"OK","CHECK"))</f>
        <v/>
      </c>
      <c r="E355" s="10">
        <f>IF($C355="","",IFERROR(INDEX(lst_JobName,MATCH($C355&amp;"",lst_Jobs,0)),""))</f>
        <v/>
      </c>
      <c r="F355" s="37" t="n"/>
      <c r="G355" s="37" t="n"/>
      <c r="H355" s="37" t="n"/>
      <c r="I355" s="37" t="n"/>
      <c r="J355" s="37" t="n"/>
      <c r="K355" s="38">
        <f>IF($C355="","",IFERROR(N(INDEX(tbl_Finance[Invoice Count],MATCH($AU355,tbl_Finance[Row ID],0))),""))</f>
        <v/>
      </c>
      <c r="L355" s="11">
        <f>IF($C355="","",IFERROR(N(INDEX(tbl_Finance[Xero Invoiced Ex GST],MATCH($AU355,tbl_Finance[Row ID],0))),""))</f>
        <v/>
      </c>
      <c r="M355" s="10">
        <f>IF($C355="","",IFERROR(INDEX(tbl_Finance[Compare],MATCH($AU355,tbl_Finance[Row ID],0))&amp;"",""))</f>
        <v/>
      </c>
      <c r="N355" s="11">
        <f>IF($C355="","",MAX(0,N(O355)-N(L355)))</f>
        <v/>
      </c>
      <c r="O355" s="39" t="n"/>
      <c r="P355" s="40">
        <f>IF($C355="","",IF((IF(F355="",", Client","")&amp;IF(G355="",", Description","")&amp;IF(H355="",", Cost Centre","")&amp;IF(I355="",", Invoice Type","")&amp;IF(J355="",", Tax Code","")&amp;IF(O355="",", Expected Revenue","")&amp;IF(COUNTIF(tbl_Finance[Job Number],$C355&amp;"")&gt;1,", Job number used twice",""))="","Complete","Fix: "&amp;MID(IF(F355="",", Client","")&amp;IF(G355="",", Description","")&amp;IF(H355="",", Cost Centre","")&amp;IF(I355="",", Invoice Type","")&amp;IF(J355="",", Tax Code","")&amp;IF(O355="",", Expected Revenue","")&amp;IF(COUNTIF(tbl_Finance[Job Number],$C355&amp;"")&gt;1,", Job number used twice",""),3,300)))</f>
        <v/>
      </c>
      <c r="Q355" s="10">
        <f>IF($C355="","",IF(H355="","(no cost centre)",H355&amp;" - GL "&amp;IFERROR(INDEX(lst_CCtoGL,MATCH(H355,lst_CCforGL,0)),"?")))</f>
        <v/>
      </c>
      <c r="R355" s="11">
        <f>IF($C355="","",IFERROR(N(INDEX(tbl_Finance[Inc GST],MATCH($AU355,tbl_Finance[Row ID],0))),""))</f>
        <v/>
      </c>
      <c r="S355" s="37" t="n"/>
      <c r="T355" s="37" t="n"/>
      <c r="U355" s="37" t="n"/>
      <c r="V355" s="42" t="n"/>
      <c r="W355" s="37" t="n"/>
      <c r="X355" s="10">
        <f>IF(W355="","",IF(AND(LEFT(W355,4)&lt;&gt;"http",set_RMSBase=""),"",HYPERLINK(IF(LEFT(W355,4)="http",W355,set_RMSBase&amp;W355),"Open in RMS")))</f>
        <v/>
      </c>
      <c r="Y355" s="37" t="n"/>
      <c r="Z355" s="10">
        <f>IF(Y355="","",HYPERLINK(IF(LEFT(Y355,4)="http",Y355,set_QwilrBase&amp;Y355),"Open quote"))</f>
        <v/>
      </c>
      <c r="AA355" s="10">
        <f>IF(C355="","",C355)</f>
        <v/>
      </c>
      <c r="AB355" s="37" t="n"/>
      <c r="AC355" s="39" t="n"/>
      <c r="AD355" s="11">
        <f>IF(C355="","",N(L355)+N(AC355))</f>
        <v/>
      </c>
      <c r="AE355" s="43">
        <f>IFERROR(IF(N(AC355)=0,"",AC355/AD355),"")</f>
        <v/>
      </c>
      <c r="AF355" s="39" t="n"/>
      <c r="AG355" s="39" t="n"/>
      <c r="AH355" s="39" t="n"/>
      <c r="AI355" s="39" t="n"/>
      <c r="AJ355" s="11">
        <f>IF(C355="","",IF(H355="VIDEO",N(L355),0))</f>
        <v/>
      </c>
      <c r="AK355" s="43">
        <f>IFERROR(IF(N(L355)=0,"",AJ355/L355),"")</f>
        <v/>
      </c>
      <c r="AL355" s="11">
        <f>IF(C355="","",N(AF355)+N(AG355)+N(AH355)+N(AI355))</f>
        <v/>
      </c>
      <c r="AM355" s="11">
        <f>IF(C355="","",MAX(N(L355),N(O355))-N(AL355))</f>
        <v/>
      </c>
      <c r="AN355" s="43">
        <f>IFERROR(IF(MAX(N(L355),N(O355))=0,"",AM355/MAX(N(L355),N(O355))),"")</f>
        <v/>
      </c>
      <c r="AO355" s="41" t="n"/>
      <c r="AP355" s="41" t="n"/>
      <c r="AQ355" s="41" t="n"/>
      <c r="AR355" s="41" t="n"/>
      <c r="AS355" s="41" t="n"/>
      <c r="AT355" s="37" t="n"/>
      <c r="AU355" s="10" t="inlineStr">
        <is>
          <t>PRD-0351</t>
        </is>
      </c>
    </row>
    <row r="356">
      <c r="A356" s="16">
        <f>IF($C356="","",IFERROR(IF(INDEX(tbl_Finance[Latest Invoice Date],MATCH($AU356,tbl_Finance[Row ID],0))="","",INDEX(tbl_Finance[Latest Invoice Date],MATCH($AU356,tbl_Finance[Row ID],0))),""))</f>
        <v/>
      </c>
      <c r="B356" s="10">
        <f>IF($C356="","",IFERROR(INDEX(tbl_Finance[Invoice Numbers],MATCH($AU356,tbl_Finance[Row ID],0))&amp;"",""))</f>
        <v/>
      </c>
      <c r="C356" s="37" t="n"/>
      <c r="D356" s="10">
        <f>IF($C356="","",IF(COUNTIF(lst_Jobs,$C356&amp;"")&gt;0,"OK","CHECK"))</f>
        <v/>
      </c>
      <c r="E356" s="10">
        <f>IF($C356="","",IFERROR(INDEX(lst_JobName,MATCH($C356&amp;"",lst_Jobs,0)),""))</f>
        <v/>
      </c>
      <c r="F356" s="37" t="n"/>
      <c r="G356" s="37" t="n"/>
      <c r="H356" s="37" t="n"/>
      <c r="I356" s="37" t="n"/>
      <c r="J356" s="37" t="n"/>
      <c r="K356" s="38">
        <f>IF($C356="","",IFERROR(N(INDEX(tbl_Finance[Invoice Count],MATCH($AU356,tbl_Finance[Row ID],0))),""))</f>
        <v/>
      </c>
      <c r="L356" s="11">
        <f>IF($C356="","",IFERROR(N(INDEX(tbl_Finance[Xero Invoiced Ex GST],MATCH($AU356,tbl_Finance[Row ID],0))),""))</f>
        <v/>
      </c>
      <c r="M356" s="10">
        <f>IF($C356="","",IFERROR(INDEX(tbl_Finance[Compare],MATCH($AU356,tbl_Finance[Row ID],0))&amp;"",""))</f>
        <v/>
      </c>
      <c r="N356" s="11">
        <f>IF($C356="","",MAX(0,N(O356)-N(L356)))</f>
        <v/>
      </c>
      <c r="O356" s="39" t="n"/>
      <c r="P356" s="40">
        <f>IF($C356="","",IF((IF(F356="",", Client","")&amp;IF(G356="",", Description","")&amp;IF(H356="",", Cost Centre","")&amp;IF(I356="",", Invoice Type","")&amp;IF(J356="",", Tax Code","")&amp;IF(O356="",", Expected Revenue","")&amp;IF(COUNTIF(tbl_Finance[Job Number],$C356&amp;"")&gt;1,", Job number used twice",""))="","Complete","Fix: "&amp;MID(IF(F356="",", Client","")&amp;IF(G356="",", Description","")&amp;IF(H356="",", Cost Centre","")&amp;IF(I356="",", Invoice Type","")&amp;IF(J356="",", Tax Code","")&amp;IF(O356="",", Expected Revenue","")&amp;IF(COUNTIF(tbl_Finance[Job Number],$C356&amp;"")&gt;1,", Job number used twice",""),3,300)))</f>
        <v/>
      </c>
      <c r="Q356" s="10">
        <f>IF($C356="","",IF(H356="","(no cost centre)",H356&amp;" - GL "&amp;IFERROR(INDEX(lst_CCtoGL,MATCH(H356,lst_CCforGL,0)),"?")))</f>
        <v/>
      </c>
      <c r="R356" s="11">
        <f>IF($C356="","",IFERROR(N(INDEX(tbl_Finance[Inc GST],MATCH($AU356,tbl_Finance[Row ID],0))),""))</f>
        <v/>
      </c>
      <c r="S356" s="37" t="n"/>
      <c r="T356" s="37" t="n"/>
      <c r="U356" s="37" t="n"/>
      <c r="V356" s="42" t="n"/>
      <c r="W356" s="37" t="n"/>
      <c r="X356" s="10">
        <f>IF(W356="","",IF(AND(LEFT(W356,4)&lt;&gt;"http",set_RMSBase=""),"",HYPERLINK(IF(LEFT(W356,4)="http",W356,set_RMSBase&amp;W356),"Open in RMS")))</f>
        <v/>
      </c>
      <c r="Y356" s="37" t="n"/>
      <c r="Z356" s="10">
        <f>IF(Y356="","",HYPERLINK(IF(LEFT(Y356,4)="http",Y356,set_QwilrBase&amp;Y356),"Open quote"))</f>
        <v/>
      </c>
      <c r="AA356" s="10">
        <f>IF(C356="","",C356)</f>
        <v/>
      </c>
      <c r="AB356" s="37" t="n"/>
      <c r="AC356" s="39" t="n"/>
      <c r="AD356" s="11">
        <f>IF(C356="","",N(L356)+N(AC356))</f>
        <v/>
      </c>
      <c r="AE356" s="43">
        <f>IFERROR(IF(N(AC356)=0,"",AC356/AD356),"")</f>
        <v/>
      </c>
      <c r="AF356" s="39" t="n"/>
      <c r="AG356" s="39" t="n"/>
      <c r="AH356" s="39" t="n"/>
      <c r="AI356" s="39" t="n"/>
      <c r="AJ356" s="11">
        <f>IF(C356="","",IF(H356="VIDEO",N(L356),0))</f>
        <v/>
      </c>
      <c r="AK356" s="43">
        <f>IFERROR(IF(N(L356)=0,"",AJ356/L356),"")</f>
        <v/>
      </c>
      <c r="AL356" s="11">
        <f>IF(C356="","",N(AF356)+N(AG356)+N(AH356)+N(AI356))</f>
        <v/>
      </c>
      <c r="AM356" s="11">
        <f>IF(C356="","",MAX(N(L356),N(O356))-N(AL356))</f>
        <v/>
      </c>
      <c r="AN356" s="43">
        <f>IFERROR(IF(MAX(N(L356),N(O356))=0,"",AM356/MAX(N(L356),N(O356))),"")</f>
        <v/>
      </c>
      <c r="AO356" s="41" t="n"/>
      <c r="AP356" s="41" t="n"/>
      <c r="AQ356" s="41" t="n"/>
      <c r="AR356" s="41" t="n"/>
      <c r="AS356" s="41" t="n"/>
      <c r="AT356" s="37" t="n"/>
      <c r="AU356" s="10" t="inlineStr">
        <is>
          <t>PRD-0352</t>
        </is>
      </c>
    </row>
    <row r="357">
      <c r="A357" s="16">
        <f>IF($C357="","",IFERROR(IF(INDEX(tbl_Finance[Latest Invoice Date],MATCH($AU357,tbl_Finance[Row ID],0))="","",INDEX(tbl_Finance[Latest Invoice Date],MATCH($AU357,tbl_Finance[Row ID],0))),""))</f>
        <v/>
      </c>
      <c r="B357" s="10">
        <f>IF($C357="","",IFERROR(INDEX(tbl_Finance[Invoice Numbers],MATCH($AU357,tbl_Finance[Row ID],0))&amp;"",""))</f>
        <v/>
      </c>
      <c r="C357" s="37" t="n"/>
      <c r="D357" s="10">
        <f>IF($C357="","",IF(COUNTIF(lst_Jobs,$C357&amp;"")&gt;0,"OK","CHECK"))</f>
        <v/>
      </c>
      <c r="E357" s="10">
        <f>IF($C357="","",IFERROR(INDEX(lst_JobName,MATCH($C357&amp;"",lst_Jobs,0)),""))</f>
        <v/>
      </c>
      <c r="F357" s="37" t="n"/>
      <c r="G357" s="37" t="n"/>
      <c r="H357" s="37" t="n"/>
      <c r="I357" s="37" t="n"/>
      <c r="J357" s="37" t="n"/>
      <c r="K357" s="38">
        <f>IF($C357="","",IFERROR(N(INDEX(tbl_Finance[Invoice Count],MATCH($AU357,tbl_Finance[Row ID],0))),""))</f>
        <v/>
      </c>
      <c r="L357" s="11">
        <f>IF($C357="","",IFERROR(N(INDEX(tbl_Finance[Xero Invoiced Ex GST],MATCH($AU357,tbl_Finance[Row ID],0))),""))</f>
        <v/>
      </c>
      <c r="M357" s="10">
        <f>IF($C357="","",IFERROR(INDEX(tbl_Finance[Compare],MATCH($AU357,tbl_Finance[Row ID],0))&amp;"",""))</f>
        <v/>
      </c>
      <c r="N357" s="11">
        <f>IF($C357="","",MAX(0,N(O357)-N(L357)))</f>
        <v/>
      </c>
      <c r="O357" s="39" t="n"/>
      <c r="P357" s="40">
        <f>IF($C357="","",IF((IF(F357="",", Client","")&amp;IF(G357="",", Description","")&amp;IF(H357="",", Cost Centre","")&amp;IF(I357="",", Invoice Type","")&amp;IF(J357="",", Tax Code","")&amp;IF(O357="",", Expected Revenue","")&amp;IF(COUNTIF(tbl_Finance[Job Number],$C357&amp;"")&gt;1,", Job number used twice",""))="","Complete","Fix: "&amp;MID(IF(F357="",", Client","")&amp;IF(G357="",", Description","")&amp;IF(H357="",", Cost Centre","")&amp;IF(I357="",", Invoice Type","")&amp;IF(J357="",", Tax Code","")&amp;IF(O357="",", Expected Revenue","")&amp;IF(COUNTIF(tbl_Finance[Job Number],$C357&amp;"")&gt;1,", Job number used twice",""),3,300)))</f>
        <v/>
      </c>
      <c r="Q357" s="10">
        <f>IF($C357="","",IF(H357="","(no cost centre)",H357&amp;" - GL "&amp;IFERROR(INDEX(lst_CCtoGL,MATCH(H357,lst_CCforGL,0)),"?")))</f>
        <v/>
      </c>
      <c r="R357" s="11">
        <f>IF($C357="","",IFERROR(N(INDEX(tbl_Finance[Inc GST],MATCH($AU357,tbl_Finance[Row ID],0))),""))</f>
        <v/>
      </c>
      <c r="S357" s="37" t="n"/>
      <c r="T357" s="37" t="n"/>
      <c r="U357" s="37" t="n"/>
      <c r="V357" s="42" t="n"/>
      <c r="W357" s="37" t="n"/>
      <c r="X357" s="10">
        <f>IF(W357="","",IF(AND(LEFT(W357,4)&lt;&gt;"http",set_RMSBase=""),"",HYPERLINK(IF(LEFT(W357,4)="http",W357,set_RMSBase&amp;W357),"Open in RMS")))</f>
        <v/>
      </c>
      <c r="Y357" s="37" t="n"/>
      <c r="Z357" s="10">
        <f>IF(Y357="","",HYPERLINK(IF(LEFT(Y357,4)="http",Y357,set_QwilrBase&amp;Y357),"Open quote"))</f>
        <v/>
      </c>
      <c r="AA357" s="10">
        <f>IF(C357="","",C357)</f>
        <v/>
      </c>
      <c r="AB357" s="37" t="n"/>
      <c r="AC357" s="39" t="n"/>
      <c r="AD357" s="11">
        <f>IF(C357="","",N(L357)+N(AC357))</f>
        <v/>
      </c>
      <c r="AE357" s="43">
        <f>IFERROR(IF(N(AC357)=0,"",AC357/AD357),"")</f>
        <v/>
      </c>
      <c r="AF357" s="39" t="n"/>
      <c r="AG357" s="39" t="n"/>
      <c r="AH357" s="39" t="n"/>
      <c r="AI357" s="39" t="n"/>
      <c r="AJ357" s="11">
        <f>IF(C357="","",IF(H357="VIDEO",N(L357),0))</f>
        <v/>
      </c>
      <c r="AK357" s="43">
        <f>IFERROR(IF(N(L357)=0,"",AJ357/L357),"")</f>
        <v/>
      </c>
      <c r="AL357" s="11">
        <f>IF(C357="","",N(AF357)+N(AG357)+N(AH357)+N(AI357))</f>
        <v/>
      </c>
      <c r="AM357" s="11">
        <f>IF(C357="","",MAX(N(L357),N(O357))-N(AL357))</f>
        <v/>
      </c>
      <c r="AN357" s="43">
        <f>IFERROR(IF(MAX(N(L357),N(O357))=0,"",AM357/MAX(N(L357),N(O357))),"")</f>
        <v/>
      </c>
      <c r="AO357" s="41" t="n"/>
      <c r="AP357" s="41" t="n"/>
      <c r="AQ357" s="41" t="n"/>
      <c r="AR357" s="41" t="n"/>
      <c r="AS357" s="41" t="n"/>
      <c r="AT357" s="37" t="n"/>
      <c r="AU357" s="10" t="inlineStr">
        <is>
          <t>PRD-0353</t>
        </is>
      </c>
    </row>
    <row r="358">
      <c r="A358" s="16">
        <f>IF($C358="","",IFERROR(IF(INDEX(tbl_Finance[Latest Invoice Date],MATCH($AU358,tbl_Finance[Row ID],0))="","",INDEX(tbl_Finance[Latest Invoice Date],MATCH($AU358,tbl_Finance[Row ID],0))),""))</f>
        <v/>
      </c>
      <c r="B358" s="10">
        <f>IF($C358="","",IFERROR(INDEX(tbl_Finance[Invoice Numbers],MATCH($AU358,tbl_Finance[Row ID],0))&amp;"",""))</f>
        <v/>
      </c>
      <c r="C358" s="37" t="n"/>
      <c r="D358" s="10">
        <f>IF($C358="","",IF(COUNTIF(lst_Jobs,$C358&amp;"")&gt;0,"OK","CHECK"))</f>
        <v/>
      </c>
      <c r="E358" s="10">
        <f>IF($C358="","",IFERROR(INDEX(lst_JobName,MATCH($C358&amp;"",lst_Jobs,0)),""))</f>
        <v/>
      </c>
      <c r="F358" s="37" t="n"/>
      <c r="G358" s="37" t="n"/>
      <c r="H358" s="37" t="n"/>
      <c r="I358" s="37" t="n"/>
      <c r="J358" s="37" t="n"/>
      <c r="K358" s="38">
        <f>IF($C358="","",IFERROR(N(INDEX(tbl_Finance[Invoice Count],MATCH($AU358,tbl_Finance[Row ID],0))),""))</f>
        <v/>
      </c>
      <c r="L358" s="11">
        <f>IF($C358="","",IFERROR(N(INDEX(tbl_Finance[Xero Invoiced Ex GST],MATCH($AU358,tbl_Finance[Row ID],0))),""))</f>
        <v/>
      </c>
      <c r="M358" s="10">
        <f>IF($C358="","",IFERROR(INDEX(tbl_Finance[Compare],MATCH($AU358,tbl_Finance[Row ID],0))&amp;"",""))</f>
        <v/>
      </c>
      <c r="N358" s="11">
        <f>IF($C358="","",MAX(0,N(O358)-N(L358)))</f>
        <v/>
      </c>
      <c r="O358" s="39" t="n"/>
      <c r="P358" s="40">
        <f>IF($C358="","",IF((IF(F358="",", Client","")&amp;IF(G358="",", Description","")&amp;IF(H358="",", Cost Centre","")&amp;IF(I358="",", Invoice Type","")&amp;IF(J358="",", Tax Code","")&amp;IF(O358="",", Expected Revenue","")&amp;IF(COUNTIF(tbl_Finance[Job Number],$C358&amp;"")&gt;1,", Job number used twice",""))="","Complete","Fix: "&amp;MID(IF(F358="",", Client","")&amp;IF(G358="",", Description","")&amp;IF(H358="",", Cost Centre","")&amp;IF(I358="",", Invoice Type","")&amp;IF(J358="",", Tax Code","")&amp;IF(O358="",", Expected Revenue","")&amp;IF(COUNTIF(tbl_Finance[Job Number],$C358&amp;"")&gt;1,", Job number used twice",""),3,300)))</f>
        <v/>
      </c>
      <c r="Q358" s="10">
        <f>IF($C358="","",IF(H358="","(no cost centre)",H358&amp;" - GL "&amp;IFERROR(INDEX(lst_CCtoGL,MATCH(H358,lst_CCforGL,0)),"?")))</f>
        <v/>
      </c>
      <c r="R358" s="11">
        <f>IF($C358="","",IFERROR(N(INDEX(tbl_Finance[Inc GST],MATCH($AU358,tbl_Finance[Row ID],0))),""))</f>
        <v/>
      </c>
      <c r="S358" s="37" t="n"/>
      <c r="T358" s="37" t="n"/>
      <c r="U358" s="37" t="n"/>
      <c r="V358" s="42" t="n"/>
      <c r="W358" s="37" t="n"/>
      <c r="X358" s="10">
        <f>IF(W358="","",IF(AND(LEFT(W358,4)&lt;&gt;"http",set_RMSBase=""),"",HYPERLINK(IF(LEFT(W358,4)="http",W358,set_RMSBase&amp;W358),"Open in RMS")))</f>
        <v/>
      </c>
      <c r="Y358" s="37" t="n"/>
      <c r="Z358" s="10">
        <f>IF(Y358="","",HYPERLINK(IF(LEFT(Y358,4)="http",Y358,set_QwilrBase&amp;Y358),"Open quote"))</f>
        <v/>
      </c>
      <c r="AA358" s="10">
        <f>IF(C358="","",C358)</f>
        <v/>
      </c>
      <c r="AB358" s="37" t="n"/>
      <c r="AC358" s="39" t="n"/>
      <c r="AD358" s="11">
        <f>IF(C358="","",N(L358)+N(AC358))</f>
        <v/>
      </c>
      <c r="AE358" s="43">
        <f>IFERROR(IF(N(AC358)=0,"",AC358/AD358),"")</f>
        <v/>
      </c>
      <c r="AF358" s="39" t="n"/>
      <c r="AG358" s="39" t="n"/>
      <c r="AH358" s="39" t="n"/>
      <c r="AI358" s="39" t="n"/>
      <c r="AJ358" s="11">
        <f>IF(C358="","",IF(H358="VIDEO",N(L358),0))</f>
        <v/>
      </c>
      <c r="AK358" s="43">
        <f>IFERROR(IF(N(L358)=0,"",AJ358/L358),"")</f>
        <v/>
      </c>
      <c r="AL358" s="11">
        <f>IF(C358="","",N(AF358)+N(AG358)+N(AH358)+N(AI358))</f>
        <v/>
      </c>
      <c r="AM358" s="11">
        <f>IF(C358="","",MAX(N(L358),N(O358))-N(AL358))</f>
        <v/>
      </c>
      <c r="AN358" s="43">
        <f>IFERROR(IF(MAX(N(L358),N(O358))=0,"",AM358/MAX(N(L358),N(O358))),"")</f>
        <v/>
      </c>
      <c r="AO358" s="41" t="n"/>
      <c r="AP358" s="41" t="n"/>
      <c r="AQ358" s="41" t="n"/>
      <c r="AR358" s="41" t="n"/>
      <c r="AS358" s="41" t="n"/>
      <c r="AT358" s="37" t="n"/>
      <c r="AU358" s="10" t="inlineStr">
        <is>
          <t>PRD-0354</t>
        </is>
      </c>
    </row>
    <row r="359">
      <c r="A359" s="16">
        <f>IF($C359="","",IFERROR(IF(INDEX(tbl_Finance[Latest Invoice Date],MATCH($AU359,tbl_Finance[Row ID],0))="","",INDEX(tbl_Finance[Latest Invoice Date],MATCH($AU359,tbl_Finance[Row ID],0))),""))</f>
        <v/>
      </c>
      <c r="B359" s="10">
        <f>IF($C359="","",IFERROR(INDEX(tbl_Finance[Invoice Numbers],MATCH($AU359,tbl_Finance[Row ID],0))&amp;"",""))</f>
        <v/>
      </c>
      <c r="C359" s="37" t="n"/>
      <c r="D359" s="10">
        <f>IF($C359="","",IF(COUNTIF(lst_Jobs,$C359&amp;"")&gt;0,"OK","CHECK"))</f>
        <v/>
      </c>
      <c r="E359" s="10">
        <f>IF($C359="","",IFERROR(INDEX(lst_JobName,MATCH($C359&amp;"",lst_Jobs,0)),""))</f>
        <v/>
      </c>
      <c r="F359" s="37" t="n"/>
      <c r="G359" s="37" t="n"/>
      <c r="H359" s="37" t="n"/>
      <c r="I359" s="37" t="n"/>
      <c r="J359" s="37" t="n"/>
      <c r="K359" s="38">
        <f>IF($C359="","",IFERROR(N(INDEX(tbl_Finance[Invoice Count],MATCH($AU359,tbl_Finance[Row ID],0))),""))</f>
        <v/>
      </c>
      <c r="L359" s="11">
        <f>IF($C359="","",IFERROR(N(INDEX(tbl_Finance[Xero Invoiced Ex GST],MATCH($AU359,tbl_Finance[Row ID],0))),""))</f>
        <v/>
      </c>
      <c r="M359" s="10">
        <f>IF($C359="","",IFERROR(INDEX(tbl_Finance[Compare],MATCH($AU359,tbl_Finance[Row ID],0))&amp;"",""))</f>
        <v/>
      </c>
      <c r="N359" s="11">
        <f>IF($C359="","",MAX(0,N(O359)-N(L359)))</f>
        <v/>
      </c>
      <c r="O359" s="39" t="n"/>
      <c r="P359" s="40">
        <f>IF($C359="","",IF((IF(F359="",", Client","")&amp;IF(G359="",", Description","")&amp;IF(H359="",", Cost Centre","")&amp;IF(I359="",", Invoice Type","")&amp;IF(J359="",", Tax Code","")&amp;IF(O359="",", Expected Revenue","")&amp;IF(COUNTIF(tbl_Finance[Job Number],$C359&amp;"")&gt;1,", Job number used twice",""))="","Complete","Fix: "&amp;MID(IF(F359="",", Client","")&amp;IF(G359="",", Description","")&amp;IF(H359="",", Cost Centre","")&amp;IF(I359="",", Invoice Type","")&amp;IF(J359="",", Tax Code","")&amp;IF(O359="",", Expected Revenue","")&amp;IF(COUNTIF(tbl_Finance[Job Number],$C359&amp;"")&gt;1,", Job number used twice",""),3,300)))</f>
        <v/>
      </c>
      <c r="Q359" s="10">
        <f>IF($C359="","",IF(H359="","(no cost centre)",H359&amp;" - GL "&amp;IFERROR(INDEX(lst_CCtoGL,MATCH(H359,lst_CCforGL,0)),"?")))</f>
        <v/>
      </c>
      <c r="R359" s="11">
        <f>IF($C359="","",IFERROR(N(INDEX(tbl_Finance[Inc GST],MATCH($AU359,tbl_Finance[Row ID],0))),""))</f>
        <v/>
      </c>
      <c r="S359" s="37" t="n"/>
      <c r="T359" s="37" t="n"/>
      <c r="U359" s="37" t="n"/>
      <c r="V359" s="42" t="n"/>
      <c r="W359" s="37" t="n"/>
      <c r="X359" s="10">
        <f>IF(W359="","",IF(AND(LEFT(W359,4)&lt;&gt;"http",set_RMSBase=""),"",HYPERLINK(IF(LEFT(W359,4)="http",W359,set_RMSBase&amp;W359),"Open in RMS")))</f>
        <v/>
      </c>
      <c r="Y359" s="37" t="n"/>
      <c r="Z359" s="10">
        <f>IF(Y359="","",HYPERLINK(IF(LEFT(Y359,4)="http",Y359,set_QwilrBase&amp;Y359),"Open quote"))</f>
        <v/>
      </c>
      <c r="AA359" s="10">
        <f>IF(C359="","",C359)</f>
        <v/>
      </c>
      <c r="AB359" s="37" t="n"/>
      <c r="AC359" s="39" t="n"/>
      <c r="AD359" s="11">
        <f>IF(C359="","",N(L359)+N(AC359))</f>
        <v/>
      </c>
      <c r="AE359" s="43">
        <f>IFERROR(IF(N(AC359)=0,"",AC359/AD359),"")</f>
        <v/>
      </c>
      <c r="AF359" s="39" t="n"/>
      <c r="AG359" s="39" t="n"/>
      <c r="AH359" s="39" t="n"/>
      <c r="AI359" s="39" t="n"/>
      <c r="AJ359" s="11">
        <f>IF(C359="","",IF(H359="VIDEO",N(L359),0))</f>
        <v/>
      </c>
      <c r="AK359" s="43">
        <f>IFERROR(IF(N(L359)=0,"",AJ359/L359),"")</f>
        <v/>
      </c>
      <c r="AL359" s="11">
        <f>IF(C359="","",N(AF359)+N(AG359)+N(AH359)+N(AI359))</f>
        <v/>
      </c>
      <c r="AM359" s="11">
        <f>IF(C359="","",MAX(N(L359),N(O359))-N(AL359))</f>
        <v/>
      </c>
      <c r="AN359" s="43">
        <f>IFERROR(IF(MAX(N(L359),N(O359))=0,"",AM359/MAX(N(L359),N(O359))),"")</f>
        <v/>
      </c>
      <c r="AO359" s="41" t="n"/>
      <c r="AP359" s="41" t="n"/>
      <c r="AQ359" s="41" t="n"/>
      <c r="AR359" s="41" t="n"/>
      <c r="AS359" s="41" t="n"/>
      <c r="AT359" s="37" t="n"/>
      <c r="AU359" s="10" t="inlineStr">
        <is>
          <t>PRD-0355</t>
        </is>
      </c>
    </row>
    <row r="360">
      <c r="A360" s="16">
        <f>IF($C360="","",IFERROR(IF(INDEX(tbl_Finance[Latest Invoice Date],MATCH($AU360,tbl_Finance[Row ID],0))="","",INDEX(tbl_Finance[Latest Invoice Date],MATCH($AU360,tbl_Finance[Row ID],0))),""))</f>
        <v/>
      </c>
      <c r="B360" s="10">
        <f>IF($C360="","",IFERROR(INDEX(tbl_Finance[Invoice Numbers],MATCH($AU360,tbl_Finance[Row ID],0))&amp;"",""))</f>
        <v/>
      </c>
      <c r="C360" s="37" t="n"/>
      <c r="D360" s="10">
        <f>IF($C360="","",IF(COUNTIF(lst_Jobs,$C360&amp;"")&gt;0,"OK","CHECK"))</f>
        <v/>
      </c>
      <c r="E360" s="10">
        <f>IF($C360="","",IFERROR(INDEX(lst_JobName,MATCH($C360&amp;"",lst_Jobs,0)),""))</f>
        <v/>
      </c>
      <c r="F360" s="37" t="n"/>
      <c r="G360" s="37" t="n"/>
      <c r="H360" s="37" t="n"/>
      <c r="I360" s="37" t="n"/>
      <c r="J360" s="37" t="n"/>
      <c r="K360" s="38">
        <f>IF($C360="","",IFERROR(N(INDEX(tbl_Finance[Invoice Count],MATCH($AU360,tbl_Finance[Row ID],0))),""))</f>
        <v/>
      </c>
      <c r="L360" s="11">
        <f>IF($C360="","",IFERROR(N(INDEX(tbl_Finance[Xero Invoiced Ex GST],MATCH($AU360,tbl_Finance[Row ID],0))),""))</f>
        <v/>
      </c>
      <c r="M360" s="10">
        <f>IF($C360="","",IFERROR(INDEX(tbl_Finance[Compare],MATCH($AU360,tbl_Finance[Row ID],0))&amp;"",""))</f>
        <v/>
      </c>
      <c r="N360" s="11">
        <f>IF($C360="","",MAX(0,N(O360)-N(L360)))</f>
        <v/>
      </c>
      <c r="O360" s="39" t="n"/>
      <c r="P360" s="40">
        <f>IF($C360="","",IF((IF(F360="",", Client","")&amp;IF(G360="",", Description","")&amp;IF(H360="",", Cost Centre","")&amp;IF(I360="",", Invoice Type","")&amp;IF(J360="",", Tax Code","")&amp;IF(O360="",", Expected Revenue","")&amp;IF(COUNTIF(tbl_Finance[Job Number],$C360&amp;"")&gt;1,", Job number used twice",""))="","Complete","Fix: "&amp;MID(IF(F360="",", Client","")&amp;IF(G360="",", Description","")&amp;IF(H360="",", Cost Centre","")&amp;IF(I360="",", Invoice Type","")&amp;IF(J360="",", Tax Code","")&amp;IF(O360="",", Expected Revenue","")&amp;IF(COUNTIF(tbl_Finance[Job Number],$C360&amp;"")&gt;1,", Job number used twice",""),3,300)))</f>
        <v/>
      </c>
      <c r="Q360" s="10">
        <f>IF($C360="","",IF(H360="","(no cost centre)",H360&amp;" - GL "&amp;IFERROR(INDEX(lst_CCtoGL,MATCH(H360,lst_CCforGL,0)),"?")))</f>
        <v/>
      </c>
      <c r="R360" s="11">
        <f>IF($C360="","",IFERROR(N(INDEX(tbl_Finance[Inc GST],MATCH($AU360,tbl_Finance[Row ID],0))),""))</f>
        <v/>
      </c>
      <c r="S360" s="37" t="n"/>
      <c r="T360" s="37" t="n"/>
      <c r="U360" s="37" t="n"/>
      <c r="V360" s="42" t="n"/>
      <c r="W360" s="37" t="n"/>
      <c r="X360" s="10">
        <f>IF(W360="","",IF(AND(LEFT(W360,4)&lt;&gt;"http",set_RMSBase=""),"",HYPERLINK(IF(LEFT(W360,4)="http",W360,set_RMSBase&amp;W360),"Open in RMS")))</f>
        <v/>
      </c>
      <c r="Y360" s="37" t="n"/>
      <c r="Z360" s="10">
        <f>IF(Y360="","",HYPERLINK(IF(LEFT(Y360,4)="http",Y360,set_QwilrBase&amp;Y360),"Open quote"))</f>
        <v/>
      </c>
      <c r="AA360" s="10">
        <f>IF(C360="","",C360)</f>
        <v/>
      </c>
      <c r="AB360" s="37" t="n"/>
      <c r="AC360" s="39" t="n"/>
      <c r="AD360" s="11">
        <f>IF(C360="","",N(L360)+N(AC360))</f>
        <v/>
      </c>
      <c r="AE360" s="43">
        <f>IFERROR(IF(N(AC360)=0,"",AC360/AD360),"")</f>
        <v/>
      </c>
      <c r="AF360" s="39" t="n"/>
      <c r="AG360" s="39" t="n"/>
      <c r="AH360" s="39" t="n"/>
      <c r="AI360" s="39" t="n"/>
      <c r="AJ360" s="11">
        <f>IF(C360="","",IF(H360="VIDEO",N(L360),0))</f>
        <v/>
      </c>
      <c r="AK360" s="43">
        <f>IFERROR(IF(N(L360)=0,"",AJ360/L360),"")</f>
        <v/>
      </c>
      <c r="AL360" s="11">
        <f>IF(C360="","",N(AF360)+N(AG360)+N(AH360)+N(AI360))</f>
        <v/>
      </c>
      <c r="AM360" s="11">
        <f>IF(C360="","",MAX(N(L360),N(O360))-N(AL360))</f>
        <v/>
      </c>
      <c r="AN360" s="43">
        <f>IFERROR(IF(MAX(N(L360),N(O360))=0,"",AM360/MAX(N(L360),N(O360))),"")</f>
        <v/>
      </c>
      <c r="AO360" s="41" t="n"/>
      <c r="AP360" s="41" t="n"/>
      <c r="AQ360" s="41" t="n"/>
      <c r="AR360" s="41" t="n"/>
      <c r="AS360" s="41" t="n"/>
      <c r="AT360" s="37" t="n"/>
      <c r="AU360" s="10" t="inlineStr">
        <is>
          <t>PRD-0356</t>
        </is>
      </c>
    </row>
    <row r="361">
      <c r="A361" s="16">
        <f>IF($C361="","",IFERROR(IF(INDEX(tbl_Finance[Latest Invoice Date],MATCH($AU361,tbl_Finance[Row ID],0))="","",INDEX(tbl_Finance[Latest Invoice Date],MATCH($AU361,tbl_Finance[Row ID],0))),""))</f>
        <v/>
      </c>
      <c r="B361" s="10">
        <f>IF($C361="","",IFERROR(INDEX(tbl_Finance[Invoice Numbers],MATCH($AU361,tbl_Finance[Row ID],0))&amp;"",""))</f>
        <v/>
      </c>
      <c r="C361" s="37" t="n"/>
      <c r="D361" s="10">
        <f>IF($C361="","",IF(COUNTIF(lst_Jobs,$C361&amp;"")&gt;0,"OK","CHECK"))</f>
        <v/>
      </c>
      <c r="E361" s="10">
        <f>IF($C361="","",IFERROR(INDEX(lst_JobName,MATCH($C361&amp;"",lst_Jobs,0)),""))</f>
        <v/>
      </c>
      <c r="F361" s="37" t="n"/>
      <c r="G361" s="37" t="n"/>
      <c r="H361" s="37" t="n"/>
      <c r="I361" s="37" t="n"/>
      <c r="J361" s="37" t="n"/>
      <c r="K361" s="38">
        <f>IF($C361="","",IFERROR(N(INDEX(tbl_Finance[Invoice Count],MATCH($AU361,tbl_Finance[Row ID],0))),""))</f>
        <v/>
      </c>
      <c r="L361" s="11">
        <f>IF($C361="","",IFERROR(N(INDEX(tbl_Finance[Xero Invoiced Ex GST],MATCH($AU361,tbl_Finance[Row ID],0))),""))</f>
        <v/>
      </c>
      <c r="M361" s="10">
        <f>IF($C361="","",IFERROR(INDEX(tbl_Finance[Compare],MATCH($AU361,tbl_Finance[Row ID],0))&amp;"",""))</f>
        <v/>
      </c>
      <c r="N361" s="11">
        <f>IF($C361="","",MAX(0,N(O361)-N(L361)))</f>
        <v/>
      </c>
      <c r="O361" s="39" t="n"/>
      <c r="P361" s="40">
        <f>IF($C361="","",IF((IF(F361="",", Client","")&amp;IF(G361="",", Description","")&amp;IF(H361="",", Cost Centre","")&amp;IF(I361="",", Invoice Type","")&amp;IF(J361="",", Tax Code","")&amp;IF(O361="",", Expected Revenue","")&amp;IF(COUNTIF(tbl_Finance[Job Number],$C361&amp;"")&gt;1,", Job number used twice",""))="","Complete","Fix: "&amp;MID(IF(F361="",", Client","")&amp;IF(G361="",", Description","")&amp;IF(H361="",", Cost Centre","")&amp;IF(I361="",", Invoice Type","")&amp;IF(J361="",", Tax Code","")&amp;IF(O361="",", Expected Revenue","")&amp;IF(COUNTIF(tbl_Finance[Job Number],$C361&amp;"")&gt;1,", Job number used twice",""),3,300)))</f>
        <v/>
      </c>
      <c r="Q361" s="10">
        <f>IF($C361="","",IF(H361="","(no cost centre)",H361&amp;" - GL "&amp;IFERROR(INDEX(lst_CCtoGL,MATCH(H361,lst_CCforGL,0)),"?")))</f>
        <v/>
      </c>
      <c r="R361" s="11">
        <f>IF($C361="","",IFERROR(N(INDEX(tbl_Finance[Inc GST],MATCH($AU361,tbl_Finance[Row ID],0))),""))</f>
        <v/>
      </c>
      <c r="S361" s="37" t="n"/>
      <c r="T361" s="37" t="n"/>
      <c r="U361" s="37" t="n"/>
      <c r="V361" s="42" t="n"/>
      <c r="W361" s="37" t="n"/>
      <c r="X361" s="10">
        <f>IF(W361="","",IF(AND(LEFT(W361,4)&lt;&gt;"http",set_RMSBase=""),"",HYPERLINK(IF(LEFT(W361,4)="http",W361,set_RMSBase&amp;W361),"Open in RMS")))</f>
        <v/>
      </c>
      <c r="Y361" s="37" t="n"/>
      <c r="Z361" s="10">
        <f>IF(Y361="","",HYPERLINK(IF(LEFT(Y361,4)="http",Y361,set_QwilrBase&amp;Y361),"Open quote"))</f>
        <v/>
      </c>
      <c r="AA361" s="10">
        <f>IF(C361="","",C361)</f>
        <v/>
      </c>
      <c r="AB361" s="37" t="n"/>
      <c r="AC361" s="39" t="n"/>
      <c r="AD361" s="11">
        <f>IF(C361="","",N(L361)+N(AC361))</f>
        <v/>
      </c>
      <c r="AE361" s="43">
        <f>IFERROR(IF(N(AC361)=0,"",AC361/AD361),"")</f>
        <v/>
      </c>
      <c r="AF361" s="39" t="n"/>
      <c r="AG361" s="39" t="n"/>
      <c r="AH361" s="39" t="n"/>
      <c r="AI361" s="39" t="n"/>
      <c r="AJ361" s="11">
        <f>IF(C361="","",IF(H361="VIDEO",N(L361),0))</f>
        <v/>
      </c>
      <c r="AK361" s="43">
        <f>IFERROR(IF(N(L361)=0,"",AJ361/L361),"")</f>
        <v/>
      </c>
      <c r="AL361" s="11">
        <f>IF(C361="","",N(AF361)+N(AG361)+N(AH361)+N(AI361))</f>
        <v/>
      </c>
      <c r="AM361" s="11">
        <f>IF(C361="","",MAX(N(L361),N(O361))-N(AL361))</f>
        <v/>
      </c>
      <c r="AN361" s="43">
        <f>IFERROR(IF(MAX(N(L361),N(O361))=0,"",AM361/MAX(N(L361),N(O361))),"")</f>
        <v/>
      </c>
      <c r="AO361" s="41" t="n"/>
      <c r="AP361" s="41" t="n"/>
      <c r="AQ361" s="41" t="n"/>
      <c r="AR361" s="41" t="n"/>
      <c r="AS361" s="41" t="n"/>
      <c r="AT361" s="37" t="n"/>
      <c r="AU361" s="10" t="inlineStr">
        <is>
          <t>PRD-0357</t>
        </is>
      </c>
    </row>
    <row r="362">
      <c r="A362" s="16">
        <f>IF($C362="","",IFERROR(IF(INDEX(tbl_Finance[Latest Invoice Date],MATCH($AU362,tbl_Finance[Row ID],0))="","",INDEX(tbl_Finance[Latest Invoice Date],MATCH($AU362,tbl_Finance[Row ID],0))),""))</f>
        <v/>
      </c>
      <c r="B362" s="10">
        <f>IF($C362="","",IFERROR(INDEX(tbl_Finance[Invoice Numbers],MATCH($AU362,tbl_Finance[Row ID],0))&amp;"",""))</f>
        <v/>
      </c>
      <c r="C362" s="37" t="n"/>
      <c r="D362" s="10">
        <f>IF($C362="","",IF(COUNTIF(lst_Jobs,$C362&amp;"")&gt;0,"OK","CHECK"))</f>
        <v/>
      </c>
      <c r="E362" s="10">
        <f>IF($C362="","",IFERROR(INDEX(lst_JobName,MATCH($C362&amp;"",lst_Jobs,0)),""))</f>
        <v/>
      </c>
      <c r="F362" s="37" t="n"/>
      <c r="G362" s="37" t="n"/>
      <c r="H362" s="37" t="n"/>
      <c r="I362" s="37" t="n"/>
      <c r="J362" s="37" t="n"/>
      <c r="K362" s="38">
        <f>IF($C362="","",IFERROR(N(INDEX(tbl_Finance[Invoice Count],MATCH($AU362,tbl_Finance[Row ID],0))),""))</f>
        <v/>
      </c>
      <c r="L362" s="11">
        <f>IF($C362="","",IFERROR(N(INDEX(tbl_Finance[Xero Invoiced Ex GST],MATCH($AU362,tbl_Finance[Row ID],0))),""))</f>
        <v/>
      </c>
      <c r="M362" s="10">
        <f>IF($C362="","",IFERROR(INDEX(tbl_Finance[Compare],MATCH($AU362,tbl_Finance[Row ID],0))&amp;"",""))</f>
        <v/>
      </c>
      <c r="N362" s="11">
        <f>IF($C362="","",MAX(0,N(O362)-N(L362)))</f>
        <v/>
      </c>
      <c r="O362" s="39" t="n"/>
      <c r="P362" s="40">
        <f>IF($C362="","",IF((IF(F362="",", Client","")&amp;IF(G362="",", Description","")&amp;IF(H362="",", Cost Centre","")&amp;IF(I362="",", Invoice Type","")&amp;IF(J362="",", Tax Code","")&amp;IF(O362="",", Expected Revenue","")&amp;IF(COUNTIF(tbl_Finance[Job Number],$C362&amp;"")&gt;1,", Job number used twice",""))="","Complete","Fix: "&amp;MID(IF(F362="",", Client","")&amp;IF(G362="",", Description","")&amp;IF(H362="",", Cost Centre","")&amp;IF(I362="",", Invoice Type","")&amp;IF(J362="",", Tax Code","")&amp;IF(O362="",", Expected Revenue","")&amp;IF(COUNTIF(tbl_Finance[Job Number],$C362&amp;"")&gt;1,", Job number used twice",""),3,300)))</f>
        <v/>
      </c>
      <c r="Q362" s="10">
        <f>IF($C362="","",IF(H362="","(no cost centre)",H362&amp;" - GL "&amp;IFERROR(INDEX(lst_CCtoGL,MATCH(H362,lst_CCforGL,0)),"?")))</f>
        <v/>
      </c>
      <c r="R362" s="11">
        <f>IF($C362="","",IFERROR(N(INDEX(tbl_Finance[Inc GST],MATCH($AU362,tbl_Finance[Row ID],0))),""))</f>
        <v/>
      </c>
      <c r="S362" s="37" t="n"/>
      <c r="T362" s="37" t="n"/>
      <c r="U362" s="37" t="n"/>
      <c r="V362" s="42" t="n"/>
      <c r="W362" s="37" t="n"/>
      <c r="X362" s="10">
        <f>IF(W362="","",IF(AND(LEFT(W362,4)&lt;&gt;"http",set_RMSBase=""),"",HYPERLINK(IF(LEFT(W362,4)="http",W362,set_RMSBase&amp;W362),"Open in RMS")))</f>
        <v/>
      </c>
      <c r="Y362" s="37" t="n"/>
      <c r="Z362" s="10">
        <f>IF(Y362="","",HYPERLINK(IF(LEFT(Y362,4)="http",Y362,set_QwilrBase&amp;Y362),"Open quote"))</f>
        <v/>
      </c>
      <c r="AA362" s="10">
        <f>IF(C362="","",C362)</f>
        <v/>
      </c>
      <c r="AB362" s="37" t="n"/>
      <c r="AC362" s="39" t="n"/>
      <c r="AD362" s="11">
        <f>IF(C362="","",N(L362)+N(AC362))</f>
        <v/>
      </c>
      <c r="AE362" s="43">
        <f>IFERROR(IF(N(AC362)=0,"",AC362/AD362),"")</f>
        <v/>
      </c>
      <c r="AF362" s="39" t="n"/>
      <c r="AG362" s="39" t="n"/>
      <c r="AH362" s="39" t="n"/>
      <c r="AI362" s="39" t="n"/>
      <c r="AJ362" s="11">
        <f>IF(C362="","",IF(H362="VIDEO",N(L362),0))</f>
        <v/>
      </c>
      <c r="AK362" s="43">
        <f>IFERROR(IF(N(L362)=0,"",AJ362/L362),"")</f>
        <v/>
      </c>
      <c r="AL362" s="11">
        <f>IF(C362="","",N(AF362)+N(AG362)+N(AH362)+N(AI362))</f>
        <v/>
      </c>
      <c r="AM362" s="11">
        <f>IF(C362="","",MAX(N(L362),N(O362))-N(AL362))</f>
        <v/>
      </c>
      <c r="AN362" s="43">
        <f>IFERROR(IF(MAX(N(L362),N(O362))=0,"",AM362/MAX(N(L362),N(O362))),"")</f>
        <v/>
      </c>
      <c r="AO362" s="41" t="n"/>
      <c r="AP362" s="41" t="n"/>
      <c r="AQ362" s="41" t="n"/>
      <c r="AR362" s="41" t="n"/>
      <c r="AS362" s="41" t="n"/>
      <c r="AT362" s="37" t="n"/>
      <c r="AU362" s="10" t="inlineStr">
        <is>
          <t>PRD-0358</t>
        </is>
      </c>
    </row>
    <row r="363">
      <c r="A363" s="16">
        <f>IF($C363="","",IFERROR(IF(INDEX(tbl_Finance[Latest Invoice Date],MATCH($AU363,tbl_Finance[Row ID],0))="","",INDEX(tbl_Finance[Latest Invoice Date],MATCH($AU363,tbl_Finance[Row ID],0))),""))</f>
        <v/>
      </c>
      <c r="B363" s="10">
        <f>IF($C363="","",IFERROR(INDEX(tbl_Finance[Invoice Numbers],MATCH($AU363,tbl_Finance[Row ID],0))&amp;"",""))</f>
        <v/>
      </c>
      <c r="C363" s="37" t="n"/>
      <c r="D363" s="10">
        <f>IF($C363="","",IF(COUNTIF(lst_Jobs,$C363&amp;"")&gt;0,"OK","CHECK"))</f>
        <v/>
      </c>
      <c r="E363" s="10">
        <f>IF($C363="","",IFERROR(INDEX(lst_JobName,MATCH($C363&amp;"",lst_Jobs,0)),""))</f>
        <v/>
      </c>
      <c r="F363" s="37" t="n"/>
      <c r="G363" s="37" t="n"/>
      <c r="H363" s="37" t="n"/>
      <c r="I363" s="37" t="n"/>
      <c r="J363" s="37" t="n"/>
      <c r="K363" s="38">
        <f>IF($C363="","",IFERROR(N(INDEX(tbl_Finance[Invoice Count],MATCH($AU363,tbl_Finance[Row ID],0))),""))</f>
        <v/>
      </c>
      <c r="L363" s="11">
        <f>IF($C363="","",IFERROR(N(INDEX(tbl_Finance[Xero Invoiced Ex GST],MATCH($AU363,tbl_Finance[Row ID],0))),""))</f>
        <v/>
      </c>
      <c r="M363" s="10">
        <f>IF($C363="","",IFERROR(INDEX(tbl_Finance[Compare],MATCH($AU363,tbl_Finance[Row ID],0))&amp;"",""))</f>
        <v/>
      </c>
      <c r="N363" s="11">
        <f>IF($C363="","",MAX(0,N(O363)-N(L363)))</f>
        <v/>
      </c>
      <c r="O363" s="39" t="n"/>
      <c r="P363" s="40">
        <f>IF($C363="","",IF((IF(F363="",", Client","")&amp;IF(G363="",", Description","")&amp;IF(H363="",", Cost Centre","")&amp;IF(I363="",", Invoice Type","")&amp;IF(J363="",", Tax Code","")&amp;IF(O363="",", Expected Revenue","")&amp;IF(COUNTIF(tbl_Finance[Job Number],$C363&amp;"")&gt;1,", Job number used twice",""))="","Complete","Fix: "&amp;MID(IF(F363="",", Client","")&amp;IF(G363="",", Description","")&amp;IF(H363="",", Cost Centre","")&amp;IF(I363="",", Invoice Type","")&amp;IF(J363="",", Tax Code","")&amp;IF(O363="",", Expected Revenue","")&amp;IF(COUNTIF(tbl_Finance[Job Number],$C363&amp;"")&gt;1,", Job number used twice",""),3,300)))</f>
        <v/>
      </c>
      <c r="Q363" s="10">
        <f>IF($C363="","",IF(H363="","(no cost centre)",H363&amp;" - GL "&amp;IFERROR(INDEX(lst_CCtoGL,MATCH(H363,lst_CCforGL,0)),"?")))</f>
        <v/>
      </c>
      <c r="R363" s="11">
        <f>IF($C363="","",IFERROR(N(INDEX(tbl_Finance[Inc GST],MATCH($AU363,tbl_Finance[Row ID],0))),""))</f>
        <v/>
      </c>
      <c r="S363" s="37" t="n"/>
      <c r="T363" s="37" t="n"/>
      <c r="U363" s="37" t="n"/>
      <c r="V363" s="42" t="n"/>
      <c r="W363" s="37" t="n"/>
      <c r="X363" s="10">
        <f>IF(W363="","",IF(AND(LEFT(W363,4)&lt;&gt;"http",set_RMSBase=""),"",HYPERLINK(IF(LEFT(W363,4)="http",W363,set_RMSBase&amp;W363),"Open in RMS")))</f>
        <v/>
      </c>
      <c r="Y363" s="37" t="n"/>
      <c r="Z363" s="10">
        <f>IF(Y363="","",HYPERLINK(IF(LEFT(Y363,4)="http",Y363,set_QwilrBase&amp;Y363),"Open quote"))</f>
        <v/>
      </c>
      <c r="AA363" s="10">
        <f>IF(C363="","",C363)</f>
        <v/>
      </c>
      <c r="AB363" s="37" t="n"/>
      <c r="AC363" s="39" t="n"/>
      <c r="AD363" s="11">
        <f>IF(C363="","",N(L363)+N(AC363))</f>
        <v/>
      </c>
      <c r="AE363" s="43">
        <f>IFERROR(IF(N(AC363)=0,"",AC363/AD363),"")</f>
        <v/>
      </c>
      <c r="AF363" s="39" t="n"/>
      <c r="AG363" s="39" t="n"/>
      <c r="AH363" s="39" t="n"/>
      <c r="AI363" s="39" t="n"/>
      <c r="AJ363" s="11">
        <f>IF(C363="","",IF(H363="VIDEO",N(L363),0))</f>
        <v/>
      </c>
      <c r="AK363" s="43">
        <f>IFERROR(IF(N(L363)=0,"",AJ363/L363),"")</f>
        <v/>
      </c>
      <c r="AL363" s="11">
        <f>IF(C363="","",N(AF363)+N(AG363)+N(AH363)+N(AI363))</f>
        <v/>
      </c>
      <c r="AM363" s="11">
        <f>IF(C363="","",MAX(N(L363),N(O363))-N(AL363))</f>
        <v/>
      </c>
      <c r="AN363" s="43">
        <f>IFERROR(IF(MAX(N(L363),N(O363))=0,"",AM363/MAX(N(L363),N(O363))),"")</f>
        <v/>
      </c>
      <c r="AO363" s="41" t="n"/>
      <c r="AP363" s="41" t="n"/>
      <c r="AQ363" s="41" t="n"/>
      <c r="AR363" s="41" t="n"/>
      <c r="AS363" s="41" t="n"/>
      <c r="AT363" s="37" t="n"/>
      <c r="AU363" s="10" t="inlineStr">
        <is>
          <t>PRD-0359</t>
        </is>
      </c>
    </row>
    <row r="364">
      <c r="A364" s="16">
        <f>IF($C364="","",IFERROR(IF(INDEX(tbl_Finance[Latest Invoice Date],MATCH($AU364,tbl_Finance[Row ID],0))="","",INDEX(tbl_Finance[Latest Invoice Date],MATCH($AU364,tbl_Finance[Row ID],0))),""))</f>
        <v/>
      </c>
      <c r="B364" s="10">
        <f>IF($C364="","",IFERROR(INDEX(tbl_Finance[Invoice Numbers],MATCH($AU364,tbl_Finance[Row ID],0))&amp;"",""))</f>
        <v/>
      </c>
      <c r="C364" s="37" t="n"/>
      <c r="D364" s="10">
        <f>IF($C364="","",IF(COUNTIF(lst_Jobs,$C364&amp;"")&gt;0,"OK","CHECK"))</f>
        <v/>
      </c>
      <c r="E364" s="10">
        <f>IF($C364="","",IFERROR(INDEX(lst_JobName,MATCH($C364&amp;"",lst_Jobs,0)),""))</f>
        <v/>
      </c>
      <c r="F364" s="37" t="n"/>
      <c r="G364" s="37" t="n"/>
      <c r="H364" s="37" t="n"/>
      <c r="I364" s="37" t="n"/>
      <c r="J364" s="37" t="n"/>
      <c r="K364" s="38">
        <f>IF($C364="","",IFERROR(N(INDEX(tbl_Finance[Invoice Count],MATCH($AU364,tbl_Finance[Row ID],0))),""))</f>
        <v/>
      </c>
      <c r="L364" s="11">
        <f>IF($C364="","",IFERROR(N(INDEX(tbl_Finance[Xero Invoiced Ex GST],MATCH($AU364,tbl_Finance[Row ID],0))),""))</f>
        <v/>
      </c>
      <c r="M364" s="10">
        <f>IF($C364="","",IFERROR(INDEX(tbl_Finance[Compare],MATCH($AU364,tbl_Finance[Row ID],0))&amp;"",""))</f>
        <v/>
      </c>
      <c r="N364" s="11">
        <f>IF($C364="","",MAX(0,N(O364)-N(L364)))</f>
        <v/>
      </c>
      <c r="O364" s="39" t="n"/>
      <c r="P364" s="40">
        <f>IF($C364="","",IF((IF(F364="",", Client","")&amp;IF(G364="",", Description","")&amp;IF(H364="",", Cost Centre","")&amp;IF(I364="",", Invoice Type","")&amp;IF(J364="",", Tax Code","")&amp;IF(O364="",", Expected Revenue","")&amp;IF(COUNTIF(tbl_Finance[Job Number],$C364&amp;"")&gt;1,", Job number used twice",""))="","Complete","Fix: "&amp;MID(IF(F364="",", Client","")&amp;IF(G364="",", Description","")&amp;IF(H364="",", Cost Centre","")&amp;IF(I364="",", Invoice Type","")&amp;IF(J364="",", Tax Code","")&amp;IF(O364="",", Expected Revenue","")&amp;IF(COUNTIF(tbl_Finance[Job Number],$C364&amp;"")&gt;1,", Job number used twice",""),3,300)))</f>
        <v/>
      </c>
      <c r="Q364" s="10">
        <f>IF($C364="","",IF(H364="","(no cost centre)",H364&amp;" - GL "&amp;IFERROR(INDEX(lst_CCtoGL,MATCH(H364,lst_CCforGL,0)),"?")))</f>
        <v/>
      </c>
      <c r="R364" s="11">
        <f>IF($C364="","",IFERROR(N(INDEX(tbl_Finance[Inc GST],MATCH($AU364,tbl_Finance[Row ID],0))),""))</f>
        <v/>
      </c>
      <c r="S364" s="37" t="n"/>
      <c r="T364" s="37" t="n"/>
      <c r="U364" s="37" t="n"/>
      <c r="V364" s="42" t="n"/>
      <c r="W364" s="37" t="n"/>
      <c r="X364" s="10">
        <f>IF(W364="","",IF(AND(LEFT(W364,4)&lt;&gt;"http",set_RMSBase=""),"",HYPERLINK(IF(LEFT(W364,4)="http",W364,set_RMSBase&amp;W364),"Open in RMS")))</f>
        <v/>
      </c>
      <c r="Y364" s="37" t="n"/>
      <c r="Z364" s="10">
        <f>IF(Y364="","",HYPERLINK(IF(LEFT(Y364,4)="http",Y364,set_QwilrBase&amp;Y364),"Open quote"))</f>
        <v/>
      </c>
      <c r="AA364" s="10">
        <f>IF(C364="","",C364)</f>
        <v/>
      </c>
      <c r="AB364" s="37" t="n"/>
      <c r="AC364" s="39" t="n"/>
      <c r="AD364" s="11">
        <f>IF(C364="","",N(L364)+N(AC364))</f>
        <v/>
      </c>
      <c r="AE364" s="43">
        <f>IFERROR(IF(N(AC364)=0,"",AC364/AD364),"")</f>
        <v/>
      </c>
      <c r="AF364" s="39" t="n"/>
      <c r="AG364" s="39" t="n"/>
      <c r="AH364" s="39" t="n"/>
      <c r="AI364" s="39" t="n"/>
      <c r="AJ364" s="11">
        <f>IF(C364="","",IF(H364="VIDEO",N(L364),0))</f>
        <v/>
      </c>
      <c r="AK364" s="43">
        <f>IFERROR(IF(N(L364)=0,"",AJ364/L364),"")</f>
        <v/>
      </c>
      <c r="AL364" s="11">
        <f>IF(C364="","",N(AF364)+N(AG364)+N(AH364)+N(AI364))</f>
        <v/>
      </c>
      <c r="AM364" s="11">
        <f>IF(C364="","",MAX(N(L364),N(O364))-N(AL364))</f>
        <v/>
      </c>
      <c r="AN364" s="43">
        <f>IFERROR(IF(MAX(N(L364),N(O364))=0,"",AM364/MAX(N(L364),N(O364))),"")</f>
        <v/>
      </c>
      <c r="AO364" s="41" t="n"/>
      <c r="AP364" s="41" t="n"/>
      <c r="AQ364" s="41" t="n"/>
      <c r="AR364" s="41" t="n"/>
      <c r="AS364" s="41" t="n"/>
      <c r="AT364" s="37" t="n"/>
      <c r="AU364" s="10" t="inlineStr">
        <is>
          <t>PRD-0360</t>
        </is>
      </c>
    </row>
    <row r="365">
      <c r="A365" s="16">
        <f>IF($C365="","",IFERROR(IF(INDEX(tbl_Finance[Latest Invoice Date],MATCH($AU365,tbl_Finance[Row ID],0))="","",INDEX(tbl_Finance[Latest Invoice Date],MATCH($AU365,tbl_Finance[Row ID],0))),""))</f>
        <v/>
      </c>
      <c r="B365" s="10">
        <f>IF($C365="","",IFERROR(INDEX(tbl_Finance[Invoice Numbers],MATCH($AU365,tbl_Finance[Row ID],0))&amp;"",""))</f>
        <v/>
      </c>
      <c r="C365" s="37" t="n"/>
      <c r="D365" s="10">
        <f>IF($C365="","",IF(COUNTIF(lst_Jobs,$C365&amp;"")&gt;0,"OK","CHECK"))</f>
        <v/>
      </c>
      <c r="E365" s="10">
        <f>IF($C365="","",IFERROR(INDEX(lst_JobName,MATCH($C365&amp;"",lst_Jobs,0)),""))</f>
        <v/>
      </c>
      <c r="F365" s="37" t="n"/>
      <c r="G365" s="37" t="n"/>
      <c r="H365" s="37" t="n"/>
      <c r="I365" s="37" t="n"/>
      <c r="J365" s="37" t="n"/>
      <c r="K365" s="38">
        <f>IF($C365="","",IFERROR(N(INDEX(tbl_Finance[Invoice Count],MATCH($AU365,tbl_Finance[Row ID],0))),""))</f>
        <v/>
      </c>
      <c r="L365" s="11">
        <f>IF($C365="","",IFERROR(N(INDEX(tbl_Finance[Xero Invoiced Ex GST],MATCH($AU365,tbl_Finance[Row ID],0))),""))</f>
        <v/>
      </c>
      <c r="M365" s="10">
        <f>IF($C365="","",IFERROR(INDEX(tbl_Finance[Compare],MATCH($AU365,tbl_Finance[Row ID],0))&amp;"",""))</f>
        <v/>
      </c>
      <c r="N365" s="11">
        <f>IF($C365="","",MAX(0,N(O365)-N(L365)))</f>
        <v/>
      </c>
      <c r="O365" s="39" t="n"/>
      <c r="P365" s="40">
        <f>IF($C365="","",IF((IF(F365="",", Client","")&amp;IF(G365="",", Description","")&amp;IF(H365="",", Cost Centre","")&amp;IF(I365="",", Invoice Type","")&amp;IF(J365="",", Tax Code","")&amp;IF(O365="",", Expected Revenue","")&amp;IF(COUNTIF(tbl_Finance[Job Number],$C365&amp;"")&gt;1,", Job number used twice",""))="","Complete","Fix: "&amp;MID(IF(F365="",", Client","")&amp;IF(G365="",", Description","")&amp;IF(H365="",", Cost Centre","")&amp;IF(I365="",", Invoice Type","")&amp;IF(J365="",", Tax Code","")&amp;IF(O365="",", Expected Revenue","")&amp;IF(COUNTIF(tbl_Finance[Job Number],$C365&amp;"")&gt;1,", Job number used twice",""),3,300)))</f>
        <v/>
      </c>
      <c r="Q365" s="10">
        <f>IF($C365="","",IF(H365="","(no cost centre)",H365&amp;" - GL "&amp;IFERROR(INDEX(lst_CCtoGL,MATCH(H365,lst_CCforGL,0)),"?")))</f>
        <v/>
      </c>
      <c r="R365" s="11">
        <f>IF($C365="","",IFERROR(N(INDEX(tbl_Finance[Inc GST],MATCH($AU365,tbl_Finance[Row ID],0))),""))</f>
        <v/>
      </c>
      <c r="S365" s="37" t="n"/>
      <c r="T365" s="37" t="n"/>
      <c r="U365" s="37" t="n"/>
      <c r="V365" s="42" t="n"/>
      <c r="W365" s="37" t="n"/>
      <c r="X365" s="10">
        <f>IF(W365="","",IF(AND(LEFT(W365,4)&lt;&gt;"http",set_RMSBase=""),"",HYPERLINK(IF(LEFT(W365,4)="http",W365,set_RMSBase&amp;W365),"Open in RMS")))</f>
        <v/>
      </c>
      <c r="Y365" s="37" t="n"/>
      <c r="Z365" s="10">
        <f>IF(Y365="","",HYPERLINK(IF(LEFT(Y365,4)="http",Y365,set_QwilrBase&amp;Y365),"Open quote"))</f>
        <v/>
      </c>
      <c r="AA365" s="10">
        <f>IF(C365="","",C365)</f>
        <v/>
      </c>
      <c r="AB365" s="37" t="n"/>
      <c r="AC365" s="39" t="n"/>
      <c r="AD365" s="11">
        <f>IF(C365="","",N(L365)+N(AC365))</f>
        <v/>
      </c>
      <c r="AE365" s="43">
        <f>IFERROR(IF(N(AC365)=0,"",AC365/AD365),"")</f>
        <v/>
      </c>
      <c r="AF365" s="39" t="n"/>
      <c r="AG365" s="39" t="n"/>
      <c r="AH365" s="39" t="n"/>
      <c r="AI365" s="39" t="n"/>
      <c r="AJ365" s="11">
        <f>IF(C365="","",IF(H365="VIDEO",N(L365),0))</f>
        <v/>
      </c>
      <c r="AK365" s="43">
        <f>IFERROR(IF(N(L365)=0,"",AJ365/L365),"")</f>
        <v/>
      </c>
      <c r="AL365" s="11">
        <f>IF(C365="","",N(AF365)+N(AG365)+N(AH365)+N(AI365))</f>
        <v/>
      </c>
      <c r="AM365" s="11">
        <f>IF(C365="","",MAX(N(L365),N(O365))-N(AL365))</f>
        <v/>
      </c>
      <c r="AN365" s="43">
        <f>IFERROR(IF(MAX(N(L365),N(O365))=0,"",AM365/MAX(N(L365),N(O365))),"")</f>
        <v/>
      </c>
      <c r="AO365" s="41" t="n"/>
      <c r="AP365" s="41" t="n"/>
      <c r="AQ365" s="41" t="n"/>
      <c r="AR365" s="41" t="n"/>
      <c r="AS365" s="41" t="n"/>
      <c r="AT365" s="37" t="n"/>
      <c r="AU365" s="10" t="inlineStr">
        <is>
          <t>PRD-0361</t>
        </is>
      </c>
    </row>
    <row r="366">
      <c r="A366" s="16">
        <f>IF($C366="","",IFERROR(IF(INDEX(tbl_Finance[Latest Invoice Date],MATCH($AU366,tbl_Finance[Row ID],0))="","",INDEX(tbl_Finance[Latest Invoice Date],MATCH($AU366,tbl_Finance[Row ID],0))),""))</f>
        <v/>
      </c>
      <c r="B366" s="10">
        <f>IF($C366="","",IFERROR(INDEX(tbl_Finance[Invoice Numbers],MATCH($AU366,tbl_Finance[Row ID],0))&amp;"",""))</f>
        <v/>
      </c>
      <c r="C366" s="37" t="n"/>
      <c r="D366" s="10">
        <f>IF($C366="","",IF(COUNTIF(lst_Jobs,$C366&amp;"")&gt;0,"OK","CHECK"))</f>
        <v/>
      </c>
      <c r="E366" s="10">
        <f>IF($C366="","",IFERROR(INDEX(lst_JobName,MATCH($C366&amp;"",lst_Jobs,0)),""))</f>
        <v/>
      </c>
      <c r="F366" s="37" t="n"/>
      <c r="G366" s="37" t="n"/>
      <c r="H366" s="37" t="n"/>
      <c r="I366" s="37" t="n"/>
      <c r="J366" s="37" t="n"/>
      <c r="K366" s="38">
        <f>IF($C366="","",IFERROR(N(INDEX(tbl_Finance[Invoice Count],MATCH($AU366,tbl_Finance[Row ID],0))),""))</f>
        <v/>
      </c>
      <c r="L366" s="11">
        <f>IF($C366="","",IFERROR(N(INDEX(tbl_Finance[Xero Invoiced Ex GST],MATCH($AU366,tbl_Finance[Row ID],0))),""))</f>
        <v/>
      </c>
      <c r="M366" s="10">
        <f>IF($C366="","",IFERROR(INDEX(tbl_Finance[Compare],MATCH($AU366,tbl_Finance[Row ID],0))&amp;"",""))</f>
        <v/>
      </c>
      <c r="N366" s="11">
        <f>IF($C366="","",MAX(0,N(O366)-N(L366)))</f>
        <v/>
      </c>
      <c r="O366" s="39" t="n"/>
      <c r="P366" s="40">
        <f>IF($C366="","",IF((IF(F366="",", Client","")&amp;IF(G366="",", Description","")&amp;IF(H366="",", Cost Centre","")&amp;IF(I366="",", Invoice Type","")&amp;IF(J366="",", Tax Code","")&amp;IF(O366="",", Expected Revenue","")&amp;IF(COUNTIF(tbl_Finance[Job Number],$C366&amp;"")&gt;1,", Job number used twice",""))="","Complete","Fix: "&amp;MID(IF(F366="",", Client","")&amp;IF(G366="",", Description","")&amp;IF(H366="",", Cost Centre","")&amp;IF(I366="",", Invoice Type","")&amp;IF(J366="",", Tax Code","")&amp;IF(O366="",", Expected Revenue","")&amp;IF(COUNTIF(tbl_Finance[Job Number],$C366&amp;"")&gt;1,", Job number used twice",""),3,300)))</f>
        <v/>
      </c>
      <c r="Q366" s="10">
        <f>IF($C366="","",IF(H366="","(no cost centre)",H366&amp;" - GL "&amp;IFERROR(INDEX(lst_CCtoGL,MATCH(H366,lst_CCforGL,0)),"?")))</f>
        <v/>
      </c>
      <c r="R366" s="11">
        <f>IF($C366="","",IFERROR(N(INDEX(tbl_Finance[Inc GST],MATCH($AU366,tbl_Finance[Row ID],0))),""))</f>
        <v/>
      </c>
      <c r="S366" s="37" t="n"/>
      <c r="T366" s="37" t="n"/>
      <c r="U366" s="37" t="n"/>
      <c r="V366" s="42" t="n"/>
      <c r="W366" s="37" t="n"/>
      <c r="X366" s="10">
        <f>IF(W366="","",IF(AND(LEFT(W366,4)&lt;&gt;"http",set_RMSBase=""),"",HYPERLINK(IF(LEFT(W366,4)="http",W366,set_RMSBase&amp;W366),"Open in RMS")))</f>
        <v/>
      </c>
      <c r="Y366" s="37" t="n"/>
      <c r="Z366" s="10">
        <f>IF(Y366="","",HYPERLINK(IF(LEFT(Y366,4)="http",Y366,set_QwilrBase&amp;Y366),"Open quote"))</f>
        <v/>
      </c>
      <c r="AA366" s="10">
        <f>IF(C366="","",C366)</f>
        <v/>
      </c>
      <c r="AB366" s="37" t="n"/>
      <c r="AC366" s="39" t="n"/>
      <c r="AD366" s="11">
        <f>IF(C366="","",N(L366)+N(AC366))</f>
        <v/>
      </c>
      <c r="AE366" s="43">
        <f>IFERROR(IF(N(AC366)=0,"",AC366/AD366),"")</f>
        <v/>
      </c>
      <c r="AF366" s="39" t="n"/>
      <c r="AG366" s="39" t="n"/>
      <c r="AH366" s="39" t="n"/>
      <c r="AI366" s="39" t="n"/>
      <c r="AJ366" s="11">
        <f>IF(C366="","",IF(H366="VIDEO",N(L366),0))</f>
        <v/>
      </c>
      <c r="AK366" s="43">
        <f>IFERROR(IF(N(L366)=0,"",AJ366/L366),"")</f>
        <v/>
      </c>
      <c r="AL366" s="11">
        <f>IF(C366="","",N(AF366)+N(AG366)+N(AH366)+N(AI366))</f>
        <v/>
      </c>
      <c r="AM366" s="11">
        <f>IF(C366="","",MAX(N(L366),N(O366))-N(AL366))</f>
        <v/>
      </c>
      <c r="AN366" s="43">
        <f>IFERROR(IF(MAX(N(L366),N(O366))=0,"",AM366/MAX(N(L366),N(O366))),"")</f>
        <v/>
      </c>
      <c r="AO366" s="41" t="n"/>
      <c r="AP366" s="41" t="n"/>
      <c r="AQ366" s="41" t="n"/>
      <c r="AR366" s="41" t="n"/>
      <c r="AS366" s="41" t="n"/>
      <c r="AT366" s="37" t="n"/>
      <c r="AU366" s="10" t="inlineStr">
        <is>
          <t>PRD-0362</t>
        </is>
      </c>
    </row>
    <row r="367">
      <c r="A367" s="16">
        <f>IF($C367="","",IFERROR(IF(INDEX(tbl_Finance[Latest Invoice Date],MATCH($AU367,tbl_Finance[Row ID],0))="","",INDEX(tbl_Finance[Latest Invoice Date],MATCH($AU367,tbl_Finance[Row ID],0))),""))</f>
        <v/>
      </c>
      <c r="B367" s="10">
        <f>IF($C367="","",IFERROR(INDEX(tbl_Finance[Invoice Numbers],MATCH($AU367,tbl_Finance[Row ID],0))&amp;"",""))</f>
        <v/>
      </c>
      <c r="C367" s="37" t="n"/>
      <c r="D367" s="10">
        <f>IF($C367="","",IF(COUNTIF(lst_Jobs,$C367&amp;"")&gt;0,"OK","CHECK"))</f>
        <v/>
      </c>
      <c r="E367" s="10">
        <f>IF($C367="","",IFERROR(INDEX(lst_JobName,MATCH($C367&amp;"",lst_Jobs,0)),""))</f>
        <v/>
      </c>
      <c r="F367" s="37" t="n"/>
      <c r="G367" s="37" t="n"/>
      <c r="H367" s="37" t="n"/>
      <c r="I367" s="37" t="n"/>
      <c r="J367" s="37" t="n"/>
      <c r="K367" s="38">
        <f>IF($C367="","",IFERROR(N(INDEX(tbl_Finance[Invoice Count],MATCH($AU367,tbl_Finance[Row ID],0))),""))</f>
        <v/>
      </c>
      <c r="L367" s="11">
        <f>IF($C367="","",IFERROR(N(INDEX(tbl_Finance[Xero Invoiced Ex GST],MATCH($AU367,tbl_Finance[Row ID],0))),""))</f>
        <v/>
      </c>
      <c r="M367" s="10">
        <f>IF($C367="","",IFERROR(INDEX(tbl_Finance[Compare],MATCH($AU367,tbl_Finance[Row ID],0))&amp;"",""))</f>
        <v/>
      </c>
      <c r="N367" s="11">
        <f>IF($C367="","",MAX(0,N(O367)-N(L367)))</f>
        <v/>
      </c>
      <c r="O367" s="39" t="n"/>
      <c r="P367" s="40">
        <f>IF($C367="","",IF((IF(F367="",", Client","")&amp;IF(G367="",", Description","")&amp;IF(H367="",", Cost Centre","")&amp;IF(I367="",", Invoice Type","")&amp;IF(J367="",", Tax Code","")&amp;IF(O367="",", Expected Revenue","")&amp;IF(COUNTIF(tbl_Finance[Job Number],$C367&amp;"")&gt;1,", Job number used twice",""))="","Complete","Fix: "&amp;MID(IF(F367="",", Client","")&amp;IF(G367="",", Description","")&amp;IF(H367="",", Cost Centre","")&amp;IF(I367="",", Invoice Type","")&amp;IF(J367="",", Tax Code","")&amp;IF(O367="",", Expected Revenue","")&amp;IF(COUNTIF(tbl_Finance[Job Number],$C367&amp;"")&gt;1,", Job number used twice",""),3,300)))</f>
        <v/>
      </c>
      <c r="Q367" s="10">
        <f>IF($C367="","",IF(H367="","(no cost centre)",H367&amp;" - GL "&amp;IFERROR(INDEX(lst_CCtoGL,MATCH(H367,lst_CCforGL,0)),"?")))</f>
        <v/>
      </c>
      <c r="R367" s="11">
        <f>IF($C367="","",IFERROR(N(INDEX(tbl_Finance[Inc GST],MATCH($AU367,tbl_Finance[Row ID],0))),""))</f>
        <v/>
      </c>
      <c r="S367" s="37" t="n"/>
      <c r="T367" s="37" t="n"/>
      <c r="U367" s="37" t="n"/>
      <c r="V367" s="42" t="n"/>
      <c r="W367" s="37" t="n"/>
      <c r="X367" s="10">
        <f>IF(W367="","",IF(AND(LEFT(W367,4)&lt;&gt;"http",set_RMSBase=""),"",HYPERLINK(IF(LEFT(W367,4)="http",W367,set_RMSBase&amp;W367),"Open in RMS")))</f>
        <v/>
      </c>
      <c r="Y367" s="37" t="n"/>
      <c r="Z367" s="10">
        <f>IF(Y367="","",HYPERLINK(IF(LEFT(Y367,4)="http",Y367,set_QwilrBase&amp;Y367),"Open quote"))</f>
        <v/>
      </c>
      <c r="AA367" s="10">
        <f>IF(C367="","",C367)</f>
        <v/>
      </c>
      <c r="AB367" s="37" t="n"/>
      <c r="AC367" s="39" t="n"/>
      <c r="AD367" s="11">
        <f>IF(C367="","",N(L367)+N(AC367))</f>
        <v/>
      </c>
      <c r="AE367" s="43">
        <f>IFERROR(IF(N(AC367)=0,"",AC367/AD367),"")</f>
        <v/>
      </c>
      <c r="AF367" s="39" t="n"/>
      <c r="AG367" s="39" t="n"/>
      <c r="AH367" s="39" t="n"/>
      <c r="AI367" s="39" t="n"/>
      <c r="AJ367" s="11">
        <f>IF(C367="","",IF(H367="VIDEO",N(L367),0))</f>
        <v/>
      </c>
      <c r="AK367" s="43">
        <f>IFERROR(IF(N(L367)=0,"",AJ367/L367),"")</f>
        <v/>
      </c>
      <c r="AL367" s="11">
        <f>IF(C367="","",N(AF367)+N(AG367)+N(AH367)+N(AI367))</f>
        <v/>
      </c>
      <c r="AM367" s="11">
        <f>IF(C367="","",MAX(N(L367),N(O367))-N(AL367))</f>
        <v/>
      </c>
      <c r="AN367" s="43">
        <f>IFERROR(IF(MAX(N(L367),N(O367))=0,"",AM367/MAX(N(L367),N(O367))),"")</f>
        <v/>
      </c>
      <c r="AO367" s="41" t="n"/>
      <c r="AP367" s="41" t="n"/>
      <c r="AQ367" s="41" t="n"/>
      <c r="AR367" s="41" t="n"/>
      <c r="AS367" s="41" t="n"/>
      <c r="AT367" s="37" t="n"/>
      <c r="AU367" s="10" t="inlineStr">
        <is>
          <t>PRD-0363</t>
        </is>
      </c>
    </row>
    <row r="368">
      <c r="A368" s="16">
        <f>IF($C368="","",IFERROR(IF(INDEX(tbl_Finance[Latest Invoice Date],MATCH($AU368,tbl_Finance[Row ID],0))="","",INDEX(tbl_Finance[Latest Invoice Date],MATCH($AU368,tbl_Finance[Row ID],0))),""))</f>
        <v/>
      </c>
      <c r="B368" s="10">
        <f>IF($C368="","",IFERROR(INDEX(tbl_Finance[Invoice Numbers],MATCH($AU368,tbl_Finance[Row ID],0))&amp;"",""))</f>
        <v/>
      </c>
      <c r="C368" s="37" t="n"/>
      <c r="D368" s="10">
        <f>IF($C368="","",IF(COUNTIF(lst_Jobs,$C368&amp;"")&gt;0,"OK","CHECK"))</f>
        <v/>
      </c>
      <c r="E368" s="10">
        <f>IF($C368="","",IFERROR(INDEX(lst_JobName,MATCH($C368&amp;"",lst_Jobs,0)),""))</f>
        <v/>
      </c>
      <c r="F368" s="37" t="n"/>
      <c r="G368" s="37" t="n"/>
      <c r="H368" s="37" t="n"/>
      <c r="I368" s="37" t="n"/>
      <c r="J368" s="37" t="n"/>
      <c r="K368" s="38">
        <f>IF($C368="","",IFERROR(N(INDEX(tbl_Finance[Invoice Count],MATCH($AU368,tbl_Finance[Row ID],0))),""))</f>
        <v/>
      </c>
      <c r="L368" s="11">
        <f>IF($C368="","",IFERROR(N(INDEX(tbl_Finance[Xero Invoiced Ex GST],MATCH($AU368,tbl_Finance[Row ID],0))),""))</f>
        <v/>
      </c>
      <c r="M368" s="10">
        <f>IF($C368="","",IFERROR(INDEX(tbl_Finance[Compare],MATCH($AU368,tbl_Finance[Row ID],0))&amp;"",""))</f>
        <v/>
      </c>
      <c r="N368" s="11">
        <f>IF($C368="","",MAX(0,N(O368)-N(L368)))</f>
        <v/>
      </c>
      <c r="O368" s="39" t="n"/>
      <c r="P368" s="40">
        <f>IF($C368="","",IF((IF(F368="",", Client","")&amp;IF(G368="",", Description","")&amp;IF(H368="",", Cost Centre","")&amp;IF(I368="",", Invoice Type","")&amp;IF(J368="",", Tax Code","")&amp;IF(O368="",", Expected Revenue","")&amp;IF(COUNTIF(tbl_Finance[Job Number],$C368&amp;"")&gt;1,", Job number used twice",""))="","Complete","Fix: "&amp;MID(IF(F368="",", Client","")&amp;IF(G368="",", Description","")&amp;IF(H368="",", Cost Centre","")&amp;IF(I368="",", Invoice Type","")&amp;IF(J368="",", Tax Code","")&amp;IF(O368="",", Expected Revenue","")&amp;IF(COUNTIF(tbl_Finance[Job Number],$C368&amp;"")&gt;1,", Job number used twice",""),3,300)))</f>
        <v/>
      </c>
      <c r="Q368" s="10">
        <f>IF($C368="","",IF(H368="","(no cost centre)",H368&amp;" - GL "&amp;IFERROR(INDEX(lst_CCtoGL,MATCH(H368,lst_CCforGL,0)),"?")))</f>
        <v/>
      </c>
      <c r="R368" s="11">
        <f>IF($C368="","",IFERROR(N(INDEX(tbl_Finance[Inc GST],MATCH($AU368,tbl_Finance[Row ID],0))),""))</f>
        <v/>
      </c>
      <c r="S368" s="37" t="n"/>
      <c r="T368" s="37" t="n"/>
      <c r="U368" s="37" t="n"/>
      <c r="V368" s="42" t="n"/>
      <c r="W368" s="37" t="n"/>
      <c r="X368" s="10">
        <f>IF(W368="","",IF(AND(LEFT(W368,4)&lt;&gt;"http",set_RMSBase=""),"",HYPERLINK(IF(LEFT(W368,4)="http",W368,set_RMSBase&amp;W368),"Open in RMS")))</f>
        <v/>
      </c>
      <c r="Y368" s="37" t="n"/>
      <c r="Z368" s="10">
        <f>IF(Y368="","",HYPERLINK(IF(LEFT(Y368,4)="http",Y368,set_QwilrBase&amp;Y368),"Open quote"))</f>
        <v/>
      </c>
      <c r="AA368" s="10">
        <f>IF(C368="","",C368)</f>
        <v/>
      </c>
      <c r="AB368" s="37" t="n"/>
      <c r="AC368" s="39" t="n"/>
      <c r="AD368" s="11">
        <f>IF(C368="","",N(L368)+N(AC368))</f>
        <v/>
      </c>
      <c r="AE368" s="43">
        <f>IFERROR(IF(N(AC368)=0,"",AC368/AD368),"")</f>
        <v/>
      </c>
      <c r="AF368" s="39" t="n"/>
      <c r="AG368" s="39" t="n"/>
      <c r="AH368" s="39" t="n"/>
      <c r="AI368" s="39" t="n"/>
      <c r="AJ368" s="11">
        <f>IF(C368="","",IF(H368="VIDEO",N(L368),0))</f>
        <v/>
      </c>
      <c r="AK368" s="43">
        <f>IFERROR(IF(N(L368)=0,"",AJ368/L368),"")</f>
        <v/>
      </c>
      <c r="AL368" s="11">
        <f>IF(C368="","",N(AF368)+N(AG368)+N(AH368)+N(AI368))</f>
        <v/>
      </c>
      <c r="AM368" s="11">
        <f>IF(C368="","",MAX(N(L368),N(O368))-N(AL368))</f>
        <v/>
      </c>
      <c r="AN368" s="43">
        <f>IFERROR(IF(MAX(N(L368),N(O368))=0,"",AM368/MAX(N(L368),N(O368))),"")</f>
        <v/>
      </c>
      <c r="AO368" s="41" t="n"/>
      <c r="AP368" s="41" t="n"/>
      <c r="AQ368" s="41" t="n"/>
      <c r="AR368" s="41" t="n"/>
      <c r="AS368" s="41" t="n"/>
      <c r="AT368" s="37" t="n"/>
      <c r="AU368" s="10" t="inlineStr">
        <is>
          <t>PRD-0364</t>
        </is>
      </c>
    </row>
    <row r="369">
      <c r="A369" s="16">
        <f>IF($C369="","",IFERROR(IF(INDEX(tbl_Finance[Latest Invoice Date],MATCH($AU369,tbl_Finance[Row ID],0))="","",INDEX(tbl_Finance[Latest Invoice Date],MATCH($AU369,tbl_Finance[Row ID],0))),""))</f>
        <v/>
      </c>
      <c r="B369" s="10">
        <f>IF($C369="","",IFERROR(INDEX(tbl_Finance[Invoice Numbers],MATCH($AU369,tbl_Finance[Row ID],0))&amp;"",""))</f>
        <v/>
      </c>
      <c r="C369" s="37" t="n"/>
      <c r="D369" s="10">
        <f>IF($C369="","",IF(COUNTIF(lst_Jobs,$C369&amp;"")&gt;0,"OK","CHECK"))</f>
        <v/>
      </c>
      <c r="E369" s="10">
        <f>IF($C369="","",IFERROR(INDEX(lst_JobName,MATCH($C369&amp;"",lst_Jobs,0)),""))</f>
        <v/>
      </c>
      <c r="F369" s="37" t="n"/>
      <c r="G369" s="37" t="n"/>
      <c r="H369" s="37" t="n"/>
      <c r="I369" s="37" t="n"/>
      <c r="J369" s="37" t="n"/>
      <c r="K369" s="38">
        <f>IF($C369="","",IFERROR(N(INDEX(tbl_Finance[Invoice Count],MATCH($AU369,tbl_Finance[Row ID],0))),""))</f>
        <v/>
      </c>
      <c r="L369" s="11">
        <f>IF($C369="","",IFERROR(N(INDEX(tbl_Finance[Xero Invoiced Ex GST],MATCH($AU369,tbl_Finance[Row ID],0))),""))</f>
        <v/>
      </c>
      <c r="M369" s="10">
        <f>IF($C369="","",IFERROR(INDEX(tbl_Finance[Compare],MATCH($AU369,tbl_Finance[Row ID],0))&amp;"",""))</f>
        <v/>
      </c>
      <c r="N369" s="11">
        <f>IF($C369="","",MAX(0,N(O369)-N(L369)))</f>
        <v/>
      </c>
      <c r="O369" s="39" t="n"/>
      <c r="P369" s="40">
        <f>IF($C369="","",IF((IF(F369="",", Client","")&amp;IF(G369="",", Description","")&amp;IF(H369="",", Cost Centre","")&amp;IF(I369="",", Invoice Type","")&amp;IF(J369="",", Tax Code","")&amp;IF(O369="",", Expected Revenue","")&amp;IF(COUNTIF(tbl_Finance[Job Number],$C369&amp;"")&gt;1,", Job number used twice",""))="","Complete","Fix: "&amp;MID(IF(F369="",", Client","")&amp;IF(G369="",", Description","")&amp;IF(H369="",", Cost Centre","")&amp;IF(I369="",", Invoice Type","")&amp;IF(J369="",", Tax Code","")&amp;IF(O369="",", Expected Revenue","")&amp;IF(COUNTIF(tbl_Finance[Job Number],$C369&amp;"")&gt;1,", Job number used twice",""),3,300)))</f>
        <v/>
      </c>
      <c r="Q369" s="10">
        <f>IF($C369="","",IF(H369="","(no cost centre)",H369&amp;" - GL "&amp;IFERROR(INDEX(lst_CCtoGL,MATCH(H369,lst_CCforGL,0)),"?")))</f>
        <v/>
      </c>
      <c r="R369" s="11">
        <f>IF($C369="","",IFERROR(N(INDEX(tbl_Finance[Inc GST],MATCH($AU369,tbl_Finance[Row ID],0))),""))</f>
        <v/>
      </c>
      <c r="S369" s="37" t="n"/>
      <c r="T369" s="37" t="n"/>
      <c r="U369" s="37" t="n"/>
      <c r="V369" s="42" t="n"/>
      <c r="W369" s="37" t="n"/>
      <c r="X369" s="10">
        <f>IF(W369="","",IF(AND(LEFT(W369,4)&lt;&gt;"http",set_RMSBase=""),"",HYPERLINK(IF(LEFT(W369,4)="http",W369,set_RMSBase&amp;W369),"Open in RMS")))</f>
        <v/>
      </c>
      <c r="Y369" s="37" t="n"/>
      <c r="Z369" s="10">
        <f>IF(Y369="","",HYPERLINK(IF(LEFT(Y369,4)="http",Y369,set_QwilrBase&amp;Y369),"Open quote"))</f>
        <v/>
      </c>
      <c r="AA369" s="10">
        <f>IF(C369="","",C369)</f>
        <v/>
      </c>
      <c r="AB369" s="37" t="n"/>
      <c r="AC369" s="39" t="n"/>
      <c r="AD369" s="11">
        <f>IF(C369="","",N(L369)+N(AC369))</f>
        <v/>
      </c>
      <c r="AE369" s="43">
        <f>IFERROR(IF(N(AC369)=0,"",AC369/AD369),"")</f>
        <v/>
      </c>
      <c r="AF369" s="39" t="n"/>
      <c r="AG369" s="39" t="n"/>
      <c r="AH369" s="39" t="n"/>
      <c r="AI369" s="39" t="n"/>
      <c r="AJ369" s="11">
        <f>IF(C369="","",IF(H369="VIDEO",N(L369),0))</f>
        <v/>
      </c>
      <c r="AK369" s="43">
        <f>IFERROR(IF(N(L369)=0,"",AJ369/L369),"")</f>
        <v/>
      </c>
      <c r="AL369" s="11">
        <f>IF(C369="","",N(AF369)+N(AG369)+N(AH369)+N(AI369))</f>
        <v/>
      </c>
      <c r="AM369" s="11">
        <f>IF(C369="","",MAX(N(L369),N(O369))-N(AL369))</f>
        <v/>
      </c>
      <c r="AN369" s="43">
        <f>IFERROR(IF(MAX(N(L369),N(O369))=0,"",AM369/MAX(N(L369),N(O369))),"")</f>
        <v/>
      </c>
      <c r="AO369" s="41" t="n"/>
      <c r="AP369" s="41" t="n"/>
      <c r="AQ369" s="41" t="n"/>
      <c r="AR369" s="41" t="n"/>
      <c r="AS369" s="41" t="n"/>
      <c r="AT369" s="37" t="n"/>
      <c r="AU369" s="10" t="inlineStr">
        <is>
          <t>PRD-0365</t>
        </is>
      </c>
    </row>
    <row r="370">
      <c r="A370" s="16">
        <f>IF($C370="","",IFERROR(IF(INDEX(tbl_Finance[Latest Invoice Date],MATCH($AU370,tbl_Finance[Row ID],0))="","",INDEX(tbl_Finance[Latest Invoice Date],MATCH($AU370,tbl_Finance[Row ID],0))),""))</f>
        <v/>
      </c>
      <c r="B370" s="10">
        <f>IF($C370="","",IFERROR(INDEX(tbl_Finance[Invoice Numbers],MATCH($AU370,tbl_Finance[Row ID],0))&amp;"",""))</f>
        <v/>
      </c>
      <c r="C370" s="37" t="n"/>
      <c r="D370" s="10">
        <f>IF($C370="","",IF(COUNTIF(lst_Jobs,$C370&amp;"")&gt;0,"OK","CHECK"))</f>
        <v/>
      </c>
      <c r="E370" s="10">
        <f>IF($C370="","",IFERROR(INDEX(lst_JobName,MATCH($C370&amp;"",lst_Jobs,0)),""))</f>
        <v/>
      </c>
      <c r="F370" s="37" t="n"/>
      <c r="G370" s="37" t="n"/>
      <c r="H370" s="37" t="n"/>
      <c r="I370" s="37" t="n"/>
      <c r="J370" s="37" t="n"/>
      <c r="K370" s="38">
        <f>IF($C370="","",IFERROR(N(INDEX(tbl_Finance[Invoice Count],MATCH($AU370,tbl_Finance[Row ID],0))),""))</f>
        <v/>
      </c>
      <c r="L370" s="11">
        <f>IF($C370="","",IFERROR(N(INDEX(tbl_Finance[Xero Invoiced Ex GST],MATCH($AU370,tbl_Finance[Row ID],0))),""))</f>
        <v/>
      </c>
      <c r="M370" s="10">
        <f>IF($C370="","",IFERROR(INDEX(tbl_Finance[Compare],MATCH($AU370,tbl_Finance[Row ID],0))&amp;"",""))</f>
        <v/>
      </c>
      <c r="N370" s="11">
        <f>IF($C370="","",MAX(0,N(O370)-N(L370)))</f>
        <v/>
      </c>
      <c r="O370" s="39" t="n"/>
      <c r="P370" s="40">
        <f>IF($C370="","",IF((IF(F370="",", Client","")&amp;IF(G370="",", Description","")&amp;IF(H370="",", Cost Centre","")&amp;IF(I370="",", Invoice Type","")&amp;IF(J370="",", Tax Code","")&amp;IF(O370="",", Expected Revenue","")&amp;IF(COUNTIF(tbl_Finance[Job Number],$C370&amp;"")&gt;1,", Job number used twice",""))="","Complete","Fix: "&amp;MID(IF(F370="",", Client","")&amp;IF(G370="",", Description","")&amp;IF(H370="",", Cost Centre","")&amp;IF(I370="",", Invoice Type","")&amp;IF(J370="",", Tax Code","")&amp;IF(O370="",", Expected Revenue","")&amp;IF(COUNTIF(tbl_Finance[Job Number],$C370&amp;"")&gt;1,", Job number used twice",""),3,300)))</f>
        <v/>
      </c>
      <c r="Q370" s="10">
        <f>IF($C370="","",IF(H370="","(no cost centre)",H370&amp;" - GL "&amp;IFERROR(INDEX(lst_CCtoGL,MATCH(H370,lst_CCforGL,0)),"?")))</f>
        <v/>
      </c>
      <c r="R370" s="11">
        <f>IF($C370="","",IFERROR(N(INDEX(tbl_Finance[Inc GST],MATCH($AU370,tbl_Finance[Row ID],0))),""))</f>
        <v/>
      </c>
      <c r="S370" s="37" t="n"/>
      <c r="T370" s="37" t="n"/>
      <c r="U370" s="37" t="n"/>
      <c r="V370" s="42" t="n"/>
      <c r="W370" s="37" t="n"/>
      <c r="X370" s="10">
        <f>IF(W370="","",IF(AND(LEFT(W370,4)&lt;&gt;"http",set_RMSBase=""),"",HYPERLINK(IF(LEFT(W370,4)="http",W370,set_RMSBase&amp;W370),"Open in RMS")))</f>
        <v/>
      </c>
      <c r="Y370" s="37" t="n"/>
      <c r="Z370" s="10">
        <f>IF(Y370="","",HYPERLINK(IF(LEFT(Y370,4)="http",Y370,set_QwilrBase&amp;Y370),"Open quote"))</f>
        <v/>
      </c>
      <c r="AA370" s="10">
        <f>IF(C370="","",C370)</f>
        <v/>
      </c>
      <c r="AB370" s="37" t="n"/>
      <c r="AC370" s="39" t="n"/>
      <c r="AD370" s="11">
        <f>IF(C370="","",N(L370)+N(AC370))</f>
        <v/>
      </c>
      <c r="AE370" s="43">
        <f>IFERROR(IF(N(AC370)=0,"",AC370/AD370),"")</f>
        <v/>
      </c>
      <c r="AF370" s="39" t="n"/>
      <c r="AG370" s="39" t="n"/>
      <c r="AH370" s="39" t="n"/>
      <c r="AI370" s="39" t="n"/>
      <c r="AJ370" s="11">
        <f>IF(C370="","",IF(H370="VIDEO",N(L370),0))</f>
        <v/>
      </c>
      <c r="AK370" s="43">
        <f>IFERROR(IF(N(L370)=0,"",AJ370/L370),"")</f>
        <v/>
      </c>
      <c r="AL370" s="11">
        <f>IF(C370="","",N(AF370)+N(AG370)+N(AH370)+N(AI370))</f>
        <v/>
      </c>
      <c r="AM370" s="11">
        <f>IF(C370="","",MAX(N(L370),N(O370))-N(AL370))</f>
        <v/>
      </c>
      <c r="AN370" s="43">
        <f>IFERROR(IF(MAX(N(L370),N(O370))=0,"",AM370/MAX(N(L370),N(O370))),"")</f>
        <v/>
      </c>
      <c r="AO370" s="41" t="n"/>
      <c r="AP370" s="41" t="n"/>
      <c r="AQ370" s="41" t="n"/>
      <c r="AR370" s="41" t="n"/>
      <c r="AS370" s="41" t="n"/>
      <c r="AT370" s="37" t="n"/>
      <c r="AU370" s="10" t="inlineStr">
        <is>
          <t>PRD-0366</t>
        </is>
      </c>
    </row>
    <row r="371">
      <c r="A371" s="16">
        <f>IF($C371="","",IFERROR(IF(INDEX(tbl_Finance[Latest Invoice Date],MATCH($AU371,tbl_Finance[Row ID],0))="","",INDEX(tbl_Finance[Latest Invoice Date],MATCH($AU371,tbl_Finance[Row ID],0))),""))</f>
        <v/>
      </c>
      <c r="B371" s="10">
        <f>IF($C371="","",IFERROR(INDEX(tbl_Finance[Invoice Numbers],MATCH($AU371,tbl_Finance[Row ID],0))&amp;"",""))</f>
        <v/>
      </c>
      <c r="C371" s="37" t="n"/>
      <c r="D371" s="10">
        <f>IF($C371="","",IF(COUNTIF(lst_Jobs,$C371&amp;"")&gt;0,"OK","CHECK"))</f>
        <v/>
      </c>
      <c r="E371" s="10">
        <f>IF($C371="","",IFERROR(INDEX(lst_JobName,MATCH($C371&amp;"",lst_Jobs,0)),""))</f>
        <v/>
      </c>
      <c r="F371" s="37" t="n"/>
      <c r="G371" s="37" t="n"/>
      <c r="H371" s="37" t="n"/>
      <c r="I371" s="37" t="n"/>
      <c r="J371" s="37" t="n"/>
      <c r="K371" s="38">
        <f>IF($C371="","",IFERROR(N(INDEX(tbl_Finance[Invoice Count],MATCH($AU371,tbl_Finance[Row ID],0))),""))</f>
        <v/>
      </c>
      <c r="L371" s="11">
        <f>IF($C371="","",IFERROR(N(INDEX(tbl_Finance[Xero Invoiced Ex GST],MATCH($AU371,tbl_Finance[Row ID],0))),""))</f>
        <v/>
      </c>
      <c r="M371" s="10">
        <f>IF($C371="","",IFERROR(INDEX(tbl_Finance[Compare],MATCH($AU371,tbl_Finance[Row ID],0))&amp;"",""))</f>
        <v/>
      </c>
      <c r="N371" s="11">
        <f>IF($C371="","",MAX(0,N(O371)-N(L371)))</f>
        <v/>
      </c>
      <c r="O371" s="39" t="n"/>
      <c r="P371" s="40">
        <f>IF($C371="","",IF((IF(F371="",", Client","")&amp;IF(G371="",", Description","")&amp;IF(H371="",", Cost Centre","")&amp;IF(I371="",", Invoice Type","")&amp;IF(J371="",", Tax Code","")&amp;IF(O371="",", Expected Revenue","")&amp;IF(COUNTIF(tbl_Finance[Job Number],$C371&amp;"")&gt;1,", Job number used twice",""))="","Complete","Fix: "&amp;MID(IF(F371="",", Client","")&amp;IF(G371="",", Description","")&amp;IF(H371="",", Cost Centre","")&amp;IF(I371="",", Invoice Type","")&amp;IF(J371="",", Tax Code","")&amp;IF(O371="",", Expected Revenue","")&amp;IF(COUNTIF(tbl_Finance[Job Number],$C371&amp;"")&gt;1,", Job number used twice",""),3,300)))</f>
        <v/>
      </c>
      <c r="Q371" s="10">
        <f>IF($C371="","",IF(H371="","(no cost centre)",H371&amp;" - GL "&amp;IFERROR(INDEX(lst_CCtoGL,MATCH(H371,lst_CCforGL,0)),"?")))</f>
        <v/>
      </c>
      <c r="R371" s="11">
        <f>IF($C371="","",IFERROR(N(INDEX(tbl_Finance[Inc GST],MATCH($AU371,tbl_Finance[Row ID],0))),""))</f>
        <v/>
      </c>
      <c r="S371" s="37" t="n"/>
      <c r="T371" s="37" t="n"/>
      <c r="U371" s="37" t="n"/>
      <c r="V371" s="42" t="n"/>
      <c r="W371" s="37" t="n"/>
      <c r="X371" s="10">
        <f>IF(W371="","",IF(AND(LEFT(W371,4)&lt;&gt;"http",set_RMSBase=""),"",HYPERLINK(IF(LEFT(W371,4)="http",W371,set_RMSBase&amp;W371),"Open in RMS")))</f>
        <v/>
      </c>
      <c r="Y371" s="37" t="n"/>
      <c r="Z371" s="10">
        <f>IF(Y371="","",HYPERLINK(IF(LEFT(Y371,4)="http",Y371,set_QwilrBase&amp;Y371),"Open quote"))</f>
        <v/>
      </c>
      <c r="AA371" s="10">
        <f>IF(C371="","",C371)</f>
        <v/>
      </c>
      <c r="AB371" s="37" t="n"/>
      <c r="AC371" s="39" t="n"/>
      <c r="AD371" s="11">
        <f>IF(C371="","",N(L371)+N(AC371))</f>
        <v/>
      </c>
      <c r="AE371" s="43">
        <f>IFERROR(IF(N(AC371)=0,"",AC371/AD371),"")</f>
        <v/>
      </c>
      <c r="AF371" s="39" t="n"/>
      <c r="AG371" s="39" t="n"/>
      <c r="AH371" s="39" t="n"/>
      <c r="AI371" s="39" t="n"/>
      <c r="AJ371" s="11">
        <f>IF(C371="","",IF(H371="VIDEO",N(L371),0))</f>
        <v/>
      </c>
      <c r="AK371" s="43">
        <f>IFERROR(IF(N(L371)=0,"",AJ371/L371),"")</f>
        <v/>
      </c>
      <c r="AL371" s="11">
        <f>IF(C371="","",N(AF371)+N(AG371)+N(AH371)+N(AI371))</f>
        <v/>
      </c>
      <c r="AM371" s="11">
        <f>IF(C371="","",MAX(N(L371),N(O371))-N(AL371))</f>
        <v/>
      </c>
      <c r="AN371" s="43">
        <f>IFERROR(IF(MAX(N(L371),N(O371))=0,"",AM371/MAX(N(L371),N(O371))),"")</f>
        <v/>
      </c>
      <c r="AO371" s="41" t="n"/>
      <c r="AP371" s="41" t="n"/>
      <c r="AQ371" s="41" t="n"/>
      <c r="AR371" s="41" t="n"/>
      <c r="AS371" s="41" t="n"/>
      <c r="AT371" s="37" t="n"/>
      <c r="AU371" s="10" t="inlineStr">
        <is>
          <t>PRD-0367</t>
        </is>
      </c>
    </row>
    <row r="372">
      <c r="A372" s="16">
        <f>IF($C372="","",IFERROR(IF(INDEX(tbl_Finance[Latest Invoice Date],MATCH($AU372,tbl_Finance[Row ID],0))="","",INDEX(tbl_Finance[Latest Invoice Date],MATCH($AU372,tbl_Finance[Row ID],0))),""))</f>
        <v/>
      </c>
      <c r="B372" s="10">
        <f>IF($C372="","",IFERROR(INDEX(tbl_Finance[Invoice Numbers],MATCH($AU372,tbl_Finance[Row ID],0))&amp;"",""))</f>
        <v/>
      </c>
      <c r="C372" s="37" t="n"/>
      <c r="D372" s="10">
        <f>IF($C372="","",IF(COUNTIF(lst_Jobs,$C372&amp;"")&gt;0,"OK","CHECK"))</f>
        <v/>
      </c>
      <c r="E372" s="10">
        <f>IF($C372="","",IFERROR(INDEX(lst_JobName,MATCH($C372&amp;"",lst_Jobs,0)),""))</f>
        <v/>
      </c>
      <c r="F372" s="37" t="n"/>
      <c r="G372" s="37" t="n"/>
      <c r="H372" s="37" t="n"/>
      <c r="I372" s="37" t="n"/>
      <c r="J372" s="37" t="n"/>
      <c r="K372" s="38">
        <f>IF($C372="","",IFERROR(N(INDEX(tbl_Finance[Invoice Count],MATCH($AU372,tbl_Finance[Row ID],0))),""))</f>
        <v/>
      </c>
      <c r="L372" s="11">
        <f>IF($C372="","",IFERROR(N(INDEX(tbl_Finance[Xero Invoiced Ex GST],MATCH($AU372,tbl_Finance[Row ID],0))),""))</f>
        <v/>
      </c>
      <c r="M372" s="10">
        <f>IF($C372="","",IFERROR(INDEX(tbl_Finance[Compare],MATCH($AU372,tbl_Finance[Row ID],0))&amp;"",""))</f>
        <v/>
      </c>
      <c r="N372" s="11">
        <f>IF($C372="","",MAX(0,N(O372)-N(L372)))</f>
        <v/>
      </c>
      <c r="O372" s="39" t="n"/>
      <c r="P372" s="40">
        <f>IF($C372="","",IF((IF(F372="",", Client","")&amp;IF(G372="",", Description","")&amp;IF(H372="",", Cost Centre","")&amp;IF(I372="",", Invoice Type","")&amp;IF(J372="",", Tax Code","")&amp;IF(O372="",", Expected Revenue","")&amp;IF(COUNTIF(tbl_Finance[Job Number],$C372&amp;"")&gt;1,", Job number used twice",""))="","Complete","Fix: "&amp;MID(IF(F372="",", Client","")&amp;IF(G372="",", Description","")&amp;IF(H372="",", Cost Centre","")&amp;IF(I372="",", Invoice Type","")&amp;IF(J372="",", Tax Code","")&amp;IF(O372="",", Expected Revenue","")&amp;IF(COUNTIF(tbl_Finance[Job Number],$C372&amp;"")&gt;1,", Job number used twice",""),3,300)))</f>
        <v/>
      </c>
      <c r="Q372" s="10">
        <f>IF($C372="","",IF(H372="","(no cost centre)",H372&amp;" - GL "&amp;IFERROR(INDEX(lst_CCtoGL,MATCH(H372,lst_CCforGL,0)),"?")))</f>
        <v/>
      </c>
      <c r="R372" s="11">
        <f>IF($C372="","",IFERROR(N(INDEX(tbl_Finance[Inc GST],MATCH($AU372,tbl_Finance[Row ID],0))),""))</f>
        <v/>
      </c>
      <c r="S372" s="37" t="n"/>
      <c r="T372" s="37" t="n"/>
      <c r="U372" s="37" t="n"/>
      <c r="V372" s="42" t="n"/>
      <c r="W372" s="37" t="n"/>
      <c r="X372" s="10">
        <f>IF(W372="","",IF(AND(LEFT(W372,4)&lt;&gt;"http",set_RMSBase=""),"",HYPERLINK(IF(LEFT(W372,4)="http",W372,set_RMSBase&amp;W372),"Open in RMS")))</f>
        <v/>
      </c>
      <c r="Y372" s="37" t="n"/>
      <c r="Z372" s="10">
        <f>IF(Y372="","",HYPERLINK(IF(LEFT(Y372,4)="http",Y372,set_QwilrBase&amp;Y372),"Open quote"))</f>
        <v/>
      </c>
      <c r="AA372" s="10">
        <f>IF(C372="","",C372)</f>
        <v/>
      </c>
      <c r="AB372" s="37" t="n"/>
      <c r="AC372" s="39" t="n"/>
      <c r="AD372" s="11">
        <f>IF(C372="","",N(L372)+N(AC372))</f>
        <v/>
      </c>
      <c r="AE372" s="43">
        <f>IFERROR(IF(N(AC372)=0,"",AC372/AD372),"")</f>
        <v/>
      </c>
      <c r="AF372" s="39" t="n"/>
      <c r="AG372" s="39" t="n"/>
      <c r="AH372" s="39" t="n"/>
      <c r="AI372" s="39" t="n"/>
      <c r="AJ372" s="11">
        <f>IF(C372="","",IF(H372="VIDEO",N(L372),0))</f>
        <v/>
      </c>
      <c r="AK372" s="43">
        <f>IFERROR(IF(N(L372)=0,"",AJ372/L372),"")</f>
        <v/>
      </c>
      <c r="AL372" s="11">
        <f>IF(C372="","",N(AF372)+N(AG372)+N(AH372)+N(AI372))</f>
        <v/>
      </c>
      <c r="AM372" s="11">
        <f>IF(C372="","",MAX(N(L372),N(O372))-N(AL372))</f>
        <v/>
      </c>
      <c r="AN372" s="43">
        <f>IFERROR(IF(MAX(N(L372),N(O372))=0,"",AM372/MAX(N(L372),N(O372))),"")</f>
        <v/>
      </c>
      <c r="AO372" s="41" t="n"/>
      <c r="AP372" s="41" t="n"/>
      <c r="AQ372" s="41" t="n"/>
      <c r="AR372" s="41" t="n"/>
      <c r="AS372" s="41" t="n"/>
      <c r="AT372" s="37" t="n"/>
      <c r="AU372" s="10" t="inlineStr">
        <is>
          <t>PRD-0368</t>
        </is>
      </c>
    </row>
    <row r="373">
      <c r="A373" s="16">
        <f>IF($C373="","",IFERROR(IF(INDEX(tbl_Finance[Latest Invoice Date],MATCH($AU373,tbl_Finance[Row ID],0))="","",INDEX(tbl_Finance[Latest Invoice Date],MATCH($AU373,tbl_Finance[Row ID],0))),""))</f>
        <v/>
      </c>
      <c r="B373" s="10">
        <f>IF($C373="","",IFERROR(INDEX(tbl_Finance[Invoice Numbers],MATCH($AU373,tbl_Finance[Row ID],0))&amp;"",""))</f>
        <v/>
      </c>
      <c r="C373" s="37" t="n"/>
      <c r="D373" s="10">
        <f>IF($C373="","",IF(COUNTIF(lst_Jobs,$C373&amp;"")&gt;0,"OK","CHECK"))</f>
        <v/>
      </c>
      <c r="E373" s="10">
        <f>IF($C373="","",IFERROR(INDEX(lst_JobName,MATCH($C373&amp;"",lst_Jobs,0)),""))</f>
        <v/>
      </c>
      <c r="F373" s="37" t="n"/>
      <c r="G373" s="37" t="n"/>
      <c r="H373" s="37" t="n"/>
      <c r="I373" s="37" t="n"/>
      <c r="J373" s="37" t="n"/>
      <c r="K373" s="38">
        <f>IF($C373="","",IFERROR(N(INDEX(tbl_Finance[Invoice Count],MATCH($AU373,tbl_Finance[Row ID],0))),""))</f>
        <v/>
      </c>
      <c r="L373" s="11">
        <f>IF($C373="","",IFERROR(N(INDEX(tbl_Finance[Xero Invoiced Ex GST],MATCH($AU373,tbl_Finance[Row ID],0))),""))</f>
        <v/>
      </c>
      <c r="M373" s="10">
        <f>IF($C373="","",IFERROR(INDEX(tbl_Finance[Compare],MATCH($AU373,tbl_Finance[Row ID],0))&amp;"",""))</f>
        <v/>
      </c>
      <c r="N373" s="11">
        <f>IF($C373="","",MAX(0,N(O373)-N(L373)))</f>
        <v/>
      </c>
      <c r="O373" s="39" t="n"/>
      <c r="P373" s="40">
        <f>IF($C373="","",IF((IF(F373="",", Client","")&amp;IF(G373="",", Description","")&amp;IF(H373="",", Cost Centre","")&amp;IF(I373="",", Invoice Type","")&amp;IF(J373="",", Tax Code","")&amp;IF(O373="",", Expected Revenue","")&amp;IF(COUNTIF(tbl_Finance[Job Number],$C373&amp;"")&gt;1,", Job number used twice",""))="","Complete","Fix: "&amp;MID(IF(F373="",", Client","")&amp;IF(G373="",", Description","")&amp;IF(H373="",", Cost Centre","")&amp;IF(I373="",", Invoice Type","")&amp;IF(J373="",", Tax Code","")&amp;IF(O373="",", Expected Revenue","")&amp;IF(COUNTIF(tbl_Finance[Job Number],$C373&amp;"")&gt;1,", Job number used twice",""),3,300)))</f>
        <v/>
      </c>
      <c r="Q373" s="10">
        <f>IF($C373="","",IF(H373="","(no cost centre)",H373&amp;" - GL "&amp;IFERROR(INDEX(lst_CCtoGL,MATCH(H373,lst_CCforGL,0)),"?")))</f>
        <v/>
      </c>
      <c r="R373" s="11">
        <f>IF($C373="","",IFERROR(N(INDEX(tbl_Finance[Inc GST],MATCH($AU373,tbl_Finance[Row ID],0))),""))</f>
        <v/>
      </c>
      <c r="S373" s="37" t="n"/>
      <c r="T373" s="37" t="n"/>
      <c r="U373" s="37" t="n"/>
      <c r="V373" s="42" t="n"/>
      <c r="W373" s="37" t="n"/>
      <c r="X373" s="10">
        <f>IF(W373="","",IF(AND(LEFT(W373,4)&lt;&gt;"http",set_RMSBase=""),"",HYPERLINK(IF(LEFT(W373,4)="http",W373,set_RMSBase&amp;W373),"Open in RMS")))</f>
        <v/>
      </c>
      <c r="Y373" s="37" t="n"/>
      <c r="Z373" s="10">
        <f>IF(Y373="","",HYPERLINK(IF(LEFT(Y373,4)="http",Y373,set_QwilrBase&amp;Y373),"Open quote"))</f>
        <v/>
      </c>
      <c r="AA373" s="10">
        <f>IF(C373="","",C373)</f>
        <v/>
      </c>
      <c r="AB373" s="37" t="n"/>
      <c r="AC373" s="39" t="n"/>
      <c r="AD373" s="11">
        <f>IF(C373="","",N(L373)+N(AC373))</f>
        <v/>
      </c>
      <c r="AE373" s="43">
        <f>IFERROR(IF(N(AC373)=0,"",AC373/AD373),"")</f>
        <v/>
      </c>
      <c r="AF373" s="39" t="n"/>
      <c r="AG373" s="39" t="n"/>
      <c r="AH373" s="39" t="n"/>
      <c r="AI373" s="39" t="n"/>
      <c r="AJ373" s="11">
        <f>IF(C373="","",IF(H373="VIDEO",N(L373),0))</f>
        <v/>
      </c>
      <c r="AK373" s="43">
        <f>IFERROR(IF(N(L373)=0,"",AJ373/L373),"")</f>
        <v/>
      </c>
      <c r="AL373" s="11">
        <f>IF(C373="","",N(AF373)+N(AG373)+N(AH373)+N(AI373))</f>
        <v/>
      </c>
      <c r="AM373" s="11">
        <f>IF(C373="","",MAX(N(L373),N(O373))-N(AL373))</f>
        <v/>
      </c>
      <c r="AN373" s="43">
        <f>IFERROR(IF(MAX(N(L373),N(O373))=0,"",AM373/MAX(N(L373),N(O373))),"")</f>
        <v/>
      </c>
      <c r="AO373" s="41" t="n"/>
      <c r="AP373" s="41" t="n"/>
      <c r="AQ373" s="41" t="n"/>
      <c r="AR373" s="41" t="n"/>
      <c r="AS373" s="41" t="n"/>
      <c r="AT373" s="37" t="n"/>
      <c r="AU373" s="10" t="inlineStr">
        <is>
          <t>PRD-0369</t>
        </is>
      </c>
    </row>
    <row r="374">
      <c r="A374" s="16">
        <f>IF($C374="","",IFERROR(IF(INDEX(tbl_Finance[Latest Invoice Date],MATCH($AU374,tbl_Finance[Row ID],0))="","",INDEX(tbl_Finance[Latest Invoice Date],MATCH($AU374,tbl_Finance[Row ID],0))),""))</f>
        <v/>
      </c>
      <c r="B374" s="10">
        <f>IF($C374="","",IFERROR(INDEX(tbl_Finance[Invoice Numbers],MATCH($AU374,tbl_Finance[Row ID],0))&amp;"",""))</f>
        <v/>
      </c>
      <c r="C374" s="37" t="n"/>
      <c r="D374" s="10">
        <f>IF($C374="","",IF(COUNTIF(lst_Jobs,$C374&amp;"")&gt;0,"OK","CHECK"))</f>
        <v/>
      </c>
      <c r="E374" s="10">
        <f>IF($C374="","",IFERROR(INDEX(lst_JobName,MATCH($C374&amp;"",lst_Jobs,0)),""))</f>
        <v/>
      </c>
      <c r="F374" s="37" t="n"/>
      <c r="G374" s="37" t="n"/>
      <c r="H374" s="37" t="n"/>
      <c r="I374" s="37" t="n"/>
      <c r="J374" s="37" t="n"/>
      <c r="K374" s="38">
        <f>IF($C374="","",IFERROR(N(INDEX(tbl_Finance[Invoice Count],MATCH($AU374,tbl_Finance[Row ID],0))),""))</f>
        <v/>
      </c>
      <c r="L374" s="11">
        <f>IF($C374="","",IFERROR(N(INDEX(tbl_Finance[Xero Invoiced Ex GST],MATCH($AU374,tbl_Finance[Row ID],0))),""))</f>
        <v/>
      </c>
      <c r="M374" s="10">
        <f>IF($C374="","",IFERROR(INDEX(tbl_Finance[Compare],MATCH($AU374,tbl_Finance[Row ID],0))&amp;"",""))</f>
        <v/>
      </c>
      <c r="N374" s="11">
        <f>IF($C374="","",MAX(0,N(O374)-N(L374)))</f>
        <v/>
      </c>
      <c r="O374" s="39" t="n"/>
      <c r="P374" s="40">
        <f>IF($C374="","",IF((IF(F374="",", Client","")&amp;IF(G374="",", Description","")&amp;IF(H374="",", Cost Centre","")&amp;IF(I374="",", Invoice Type","")&amp;IF(J374="",", Tax Code","")&amp;IF(O374="",", Expected Revenue","")&amp;IF(COUNTIF(tbl_Finance[Job Number],$C374&amp;"")&gt;1,", Job number used twice",""))="","Complete","Fix: "&amp;MID(IF(F374="",", Client","")&amp;IF(G374="",", Description","")&amp;IF(H374="",", Cost Centre","")&amp;IF(I374="",", Invoice Type","")&amp;IF(J374="",", Tax Code","")&amp;IF(O374="",", Expected Revenue","")&amp;IF(COUNTIF(tbl_Finance[Job Number],$C374&amp;"")&gt;1,", Job number used twice",""),3,300)))</f>
        <v/>
      </c>
      <c r="Q374" s="10">
        <f>IF($C374="","",IF(H374="","(no cost centre)",H374&amp;" - GL "&amp;IFERROR(INDEX(lst_CCtoGL,MATCH(H374,lst_CCforGL,0)),"?")))</f>
        <v/>
      </c>
      <c r="R374" s="11">
        <f>IF($C374="","",IFERROR(N(INDEX(tbl_Finance[Inc GST],MATCH($AU374,tbl_Finance[Row ID],0))),""))</f>
        <v/>
      </c>
      <c r="S374" s="37" t="n"/>
      <c r="T374" s="37" t="n"/>
      <c r="U374" s="37" t="n"/>
      <c r="V374" s="42" t="n"/>
      <c r="W374" s="37" t="n"/>
      <c r="X374" s="10">
        <f>IF(W374="","",IF(AND(LEFT(W374,4)&lt;&gt;"http",set_RMSBase=""),"",HYPERLINK(IF(LEFT(W374,4)="http",W374,set_RMSBase&amp;W374),"Open in RMS")))</f>
        <v/>
      </c>
      <c r="Y374" s="37" t="n"/>
      <c r="Z374" s="10">
        <f>IF(Y374="","",HYPERLINK(IF(LEFT(Y374,4)="http",Y374,set_QwilrBase&amp;Y374),"Open quote"))</f>
        <v/>
      </c>
      <c r="AA374" s="10">
        <f>IF(C374="","",C374)</f>
        <v/>
      </c>
      <c r="AB374" s="37" t="n"/>
      <c r="AC374" s="39" t="n"/>
      <c r="AD374" s="11">
        <f>IF(C374="","",N(L374)+N(AC374))</f>
        <v/>
      </c>
      <c r="AE374" s="43">
        <f>IFERROR(IF(N(AC374)=0,"",AC374/AD374),"")</f>
        <v/>
      </c>
      <c r="AF374" s="39" t="n"/>
      <c r="AG374" s="39" t="n"/>
      <c r="AH374" s="39" t="n"/>
      <c r="AI374" s="39" t="n"/>
      <c r="AJ374" s="11">
        <f>IF(C374="","",IF(H374="VIDEO",N(L374),0))</f>
        <v/>
      </c>
      <c r="AK374" s="43">
        <f>IFERROR(IF(N(L374)=0,"",AJ374/L374),"")</f>
        <v/>
      </c>
      <c r="AL374" s="11">
        <f>IF(C374="","",N(AF374)+N(AG374)+N(AH374)+N(AI374))</f>
        <v/>
      </c>
      <c r="AM374" s="11">
        <f>IF(C374="","",MAX(N(L374),N(O374))-N(AL374))</f>
        <v/>
      </c>
      <c r="AN374" s="43">
        <f>IFERROR(IF(MAX(N(L374),N(O374))=0,"",AM374/MAX(N(L374),N(O374))),"")</f>
        <v/>
      </c>
      <c r="AO374" s="41" t="n"/>
      <c r="AP374" s="41" t="n"/>
      <c r="AQ374" s="41" t="n"/>
      <c r="AR374" s="41" t="n"/>
      <c r="AS374" s="41" t="n"/>
      <c r="AT374" s="37" t="n"/>
      <c r="AU374" s="10" t="inlineStr">
        <is>
          <t>PRD-0370</t>
        </is>
      </c>
    </row>
    <row r="375">
      <c r="A375" s="16">
        <f>IF($C375="","",IFERROR(IF(INDEX(tbl_Finance[Latest Invoice Date],MATCH($AU375,tbl_Finance[Row ID],0))="","",INDEX(tbl_Finance[Latest Invoice Date],MATCH($AU375,tbl_Finance[Row ID],0))),""))</f>
        <v/>
      </c>
      <c r="B375" s="10">
        <f>IF($C375="","",IFERROR(INDEX(tbl_Finance[Invoice Numbers],MATCH($AU375,tbl_Finance[Row ID],0))&amp;"",""))</f>
        <v/>
      </c>
      <c r="C375" s="37" t="n"/>
      <c r="D375" s="10">
        <f>IF($C375="","",IF(COUNTIF(lst_Jobs,$C375&amp;"")&gt;0,"OK","CHECK"))</f>
        <v/>
      </c>
      <c r="E375" s="10">
        <f>IF($C375="","",IFERROR(INDEX(lst_JobName,MATCH($C375&amp;"",lst_Jobs,0)),""))</f>
        <v/>
      </c>
      <c r="F375" s="37" t="n"/>
      <c r="G375" s="37" t="n"/>
      <c r="H375" s="37" t="n"/>
      <c r="I375" s="37" t="n"/>
      <c r="J375" s="37" t="n"/>
      <c r="K375" s="38">
        <f>IF($C375="","",IFERROR(N(INDEX(tbl_Finance[Invoice Count],MATCH($AU375,tbl_Finance[Row ID],0))),""))</f>
        <v/>
      </c>
      <c r="L375" s="11">
        <f>IF($C375="","",IFERROR(N(INDEX(tbl_Finance[Xero Invoiced Ex GST],MATCH($AU375,tbl_Finance[Row ID],0))),""))</f>
        <v/>
      </c>
      <c r="M375" s="10">
        <f>IF($C375="","",IFERROR(INDEX(tbl_Finance[Compare],MATCH($AU375,tbl_Finance[Row ID],0))&amp;"",""))</f>
        <v/>
      </c>
      <c r="N375" s="11">
        <f>IF($C375="","",MAX(0,N(O375)-N(L375)))</f>
        <v/>
      </c>
      <c r="O375" s="39" t="n"/>
      <c r="P375" s="40">
        <f>IF($C375="","",IF((IF(F375="",", Client","")&amp;IF(G375="",", Description","")&amp;IF(H375="",", Cost Centre","")&amp;IF(I375="",", Invoice Type","")&amp;IF(J375="",", Tax Code","")&amp;IF(O375="",", Expected Revenue","")&amp;IF(COUNTIF(tbl_Finance[Job Number],$C375&amp;"")&gt;1,", Job number used twice",""))="","Complete","Fix: "&amp;MID(IF(F375="",", Client","")&amp;IF(G375="",", Description","")&amp;IF(H375="",", Cost Centre","")&amp;IF(I375="",", Invoice Type","")&amp;IF(J375="",", Tax Code","")&amp;IF(O375="",", Expected Revenue","")&amp;IF(COUNTIF(tbl_Finance[Job Number],$C375&amp;"")&gt;1,", Job number used twice",""),3,300)))</f>
        <v/>
      </c>
      <c r="Q375" s="10">
        <f>IF($C375="","",IF(H375="","(no cost centre)",H375&amp;" - GL "&amp;IFERROR(INDEX(lst_CCtoGL,MATCH(H375,lst_CCforGL,0)),"?")))</f>
        <v/>
      </c>
      <c r="R375" s="11">
        <f>IF($C375="","",IFERROR(N(INDEX(tbl_Finance[Inc GST],MATCH($AU375,tbl_Finance[Row ID],0))),""))</f>
        <v/>
      </c>
      <c r="S375" s="37" t="n"/>
      <c r="T375" s="37" t="n"/>
      <c r="U375" s="37" t="n"/>
      <c r="V375" s="42" t="n"/>
      <c r="W375" s="37" t="n"/>
      <c r="X375" s="10">
        <f>IF(W375="","",IF(AND(LEFT(W375,4)&lt;&gt;"http",set_RMSBase=""),"",HYPERLINK(IF(LEFT(W375,4)="http",W375,set_RMSBase&amp;W375),"Open in RMS")))</f>
        <v/>
      </c>
      <c r="Y375" s="37" t="n"/>
      <c r="Z375" s="10">
        <f>IF(Y375="","",HYPERLINK(IF(LEFT(Y375,4)="http",Y375,set_QwilrBase&amp;Y375),"Open quote"))</f>
        <v/>
      </c>
      <c r="AA375" s="10">
        <f>IF(C375="","",C375)</f>
        <v/>
      </c>
      <c r="AB375" s="37" t="n"/>
      <c r="AC375" s="39" t="n"/>
      <c r="AD375" s="11">
        <f>IF(C375="","",N(L375)+N(AC375))</f>
        <v/>
      </c>
      <c r="AE375" s="43">
        <f>IFERROR(IF(N(AC375)=0,"",AC375/AD375),"")</f>
        <v/>
      </c>
      <c r="AF375" s="39" t="n"/>
      <c r="AG375" s="39" t="n"/>
      <c r="AH375" s="39" t="n"/>
      <c r="AI375" s="39" t="n"/>
      <c r="AJ375" s="11">
        <f>IF(C375="","",IF(H375="VIDEO",N(L375),0))</f>
        <v/>
      </c>
      <c r="AK375" s="43">
        <f>IFERROR(IF(N(L375)=0,"",AJ375/L375),"")</f>
        <v/>
      </c>
      <c r="AL375" s="11">
        <f>IF(C375="","",N(AF375)+N(AG375)+N(AH375)+N(AI375))</f>
        <v/>
      </c>
      <c r="AM375" s="11">
        <f>IF(C375="","",MAX(N(L375),N(O375))-N(AL375))</f>
        <v/>
      </c>
      <c r="AN375" s="43">
        <f>IFERROR(IF(MAX(N(L375),N(O375))=0,"",AM375/MAX(N(L375),N(O375))),"")</f>
        <v/>
      </c>
      <c r="AO375" s="41" t="n"/>
      <c r="AP375" s="41" t="n"/>
      <c r="AQ375" s="41" t="n"/>
      <c r="AR375" s="41" t="n"/>
      <c r="AS375" s="41" t="n"/>
      <c r="AT375" s="37" t="n"/>
      <c r="AU375" s="10" t="inlineStr">
        <is>
          <t>PRD-0371</t>
        </is>
      </c>
    </row>
    <row r="376">
      <c r="A376" s="16">
        <f>IF($C376="","",IFERROR(IF(INDEX(tbl_Finance[Latest Invoice Date],MATCH($AU376,tbl_Finance[Row ID],0))="","",INDEX(tbl_Finance[Latest Invoice Date],MATCH($AU376,tbl_Finance[Row ID],0))),""))</f>
        <v/>
      </c>
      <c r="B376" s="10">
        <f>IF($C376="","",IFERROR(INDEX(tbl_Finance[Invoice Numbers],MATCH($AU376,tbl_Finance[Row ID],0))&amp;"",""))</f>
        <v/>
      </c>
      <c r="C376" s="37" t="n"/>
      <c r="D376" s="10">
        <f>IF($C376="","",IF(COUNTIF(lst_Jobs,$C376&amp;"")&gt;0,"OK","CHECK"))</f>
        <v/>
      </c>
      <c r="E376" s="10">
        <f>IF($C376="","",IFERROR(INDEX(lst_JobName,MATCH($C376&amp;"",lst_Jobs,0)),""))</f>
        <v/>
      </c>
      <c r="F376" s="37" t="n"/>
      <c r="G376" s="37" t="n"/>
      <c r="H376" s="37" t="n"/>
      <c r="I376" s="37" t="n"/>
      <c r="J376" s="37" t="n"/>
      <c r="K376" s="38">
        <f>IF($C376="","",IFERROR(N(INDEX(tbl_Finance[Invoice Count],MATCH($AU376,tbl_Finance[Row ID],0))),""))</f>
        <v/>
      </c>
      <c r="L376" s="11">
        <f>IF($C376="","",IFERROR(N(INDEX(tbl_Finance[Xero Invoiced Ex GST],MATCH($AU376,tbl_Finance[Row ID],0))),""))</f>
        <v/>
      </c>
      <c r="M376" s="10">
        <f>IF($C376="","",IFERROR(INDEX(tbl_Finance[Compare],MATCH($AU376,tbl_Finance[Row ID],0))&amp;"",""))</f>
        <v/>
      </c>
      <c r="N376" s="11">
        <f>IF($C376="","",MAX(0,N(O376)-N(L376)))</f>
        <v/>
      </c>
      <c r="O376" s="39" t="n"/>
      <c r="P376" s="40">
        <f>IF($C376="","",IF((IF(F376="",", Client","")&amp;IF(G376="",", Description","")&amp;IF(H376="",", Cost Centre","")&amp;IF(I376="",", Invoice Type","")&amp;IF(J376="",", Tax Code","")&amp;IF(O376="",", Expected Revenue","")&amp;IF(COUNTIF(tbl_Finance[Job Number],$C376&amp;"")&gt;1,", Job number used twice",""))="","Complete","Fix: "&amp;MID(IF(F376="",", Client","")&amp;IF(G376="",", Description","")&amp;IF(H376="",", Cost Centre","")&amp;IF(I376="",", Invoice Type","")&amp;IF(J376="",", Tax Code","")&amp;IF(O376="",", Expected Revenue","")&amp;IF(COUNTIF(tbl_Finance[Job Number],$C376&amp;"")&gt;1,", Job number used twice",""),3,300)))</f>
        <v/>
      </c>
      <c r="Q376" s="10">
        <f>IF($C376="","",IF(H376="","(no cost centre)",H376&amp;" - GL "&amp;IFERROR(INDEX(lst_CCtoGL,MATCH(H376,lst_CCforGL,0)),"?")))</f>
        <v/>
      </c>
      <c r="R376" s="11">
        <f>IF($C376="","",IFERROR(N(INDEX(tbl_Finance[Inc GST],MATCH($AU376,tbl_Finance[Row ID],0))),""))</f>
        <v/>
      </c>
      <c r="S376" s="37" t="n"/>
      <c r="T376" s="37" t="n"/>
      <c r="U376" s="37" t="n"/>
      <c r="V376" s="42" t="n"/>
      <c r="W376" s="37" t="n"/>
      <c r="X376" s="10">
        <f>IF(W376="","",IF(AND(LEFT(W376,4)&lt;&gt;"http",set_RMSBase=""),"",HYPERLINK(IF(LEFT(W376,4)="http",W376,set_RMSBase&amp;W376),"Open in RMS")))</f>
        <v/>
      </c>
      <c r="Y376" s="37" t="n"/>
      <c r="Z376" s="10">
        <f>IF(Y376="","",HYPERLINK(IF(LEFT(Y376,4)="http",Y376,set_QwilrBase&amp;Y376),"Open quote"))</f>
        <v/>
      </c>
      <c r="AA376" s="10">
        <f>IF(C376="","",C376)</f>
        <v/>
      </c>
      <c r="AB376" s="37" t="n"/>
      <c r="AC376" s="39" t="n"/>
      <c r="AD376" s="11">
        <f>IF(C376="","",N(L376)+N(AC376))</f>
        <v/>
      </c>
      <c r="AE376" s="43">
        <f>IFERROR(IF(N(AC376)=0,"",AC376/AD376),"")</f>
        <v/>
      </c>
      <c r="AF376" s="39" t="n"/>
      <c r="AG376" s="39" t="n"/>
      <c r="AH376" s="39" t="n"/>
      <c r="AI376" s="39" t="n"/>
      <c r="AJ376" s="11">
        <f>IF(C376="","",IF(H376="VIDEO",N(L376),0))</f>
        <v/>
      </c>
      <c r="AK376" s="43">
        <f>IFERROR(IF(N(L376)=0,"",AJ376/L376),"")</f>
        <v/>
      </c>
      <c r="AL376" s="11">
        <f>IF(C376="","",N(AF376)+N(AG376)+N(AH376)+N(AI376))</f>
        <v/>
      </c>
      <c r="AM376" s="11">
        <f>IF(C376="","",MAX(N(L376),N(O376))-N(AL376))</f>
        <v/>
      </c>
      <c r="AN376" s="43">
        <f>IFERROR(IF(MAX(N(L376),N(O376))=0,"",AM376/MAX(N(L376),N(O376))),"")</f>
        <v/>
      </c>
      <c r="AO376" s="41" t="n"/>
      <c r="AP376" s="41" t="n"/>
      <c r="AQ376" s="41" t="n"/>
      <c r="AR376" s="41" t="n"/>
      <c r="AS376" s="41" t="n"/>
      <c r="AT376" s="37" t="n"/>
      <c r="AU376" s="10" t="inlineStr">
        <is>
          <t>PRD-0372</t>
        </is>
      </c>
    </row>
    <row r="377">
      <c r="A377" s="16">
        <f>IF($C377="","",IFERROR(IF(INDEX(tbl_Finance[Latest Invoice Date],MATCH($AU377,tbl_Finance[Row ID],0))="","",INDEX(tbl_Finance[Latest Invoice Date],MATCH($AU377,tbl_Finance[Row ID],0))),""))</f>
        <v/>
      </c>
      <c r="B377" s="10">
        <f>IF($C377="","",IFERROR(INDEX(tbl_Finance[Invoice Numbers],MATCH($AU377,tbl_Finance[Row ID],0))&amp;"",""))</f>
        <v/>
      </c>
      <c r="C377" s="37" t="n"/>
      <c r="D377" s="10">
        <f>IF($C377="","",IF(COUNTIF(lst_Jobs,$C377&amp;"")&gt;0,"OK","CHECK"))</f>
        <v/>
      </c>
      <c r="E377" s="10">
        <f>IF($C377="","",IFERROR(INDEX(lst_JobName,MATCH($C377&amp;"",lst_Jobs,0)),""))</f>
        <v/>
      </c>
      <c r="F377" s="37" t="n"/>
      <c r="G377" s="37" t="n"/>
      <c r="H377" s="37" t="n"/>
      <c r="I377" s="37" t="n"/>
      <c r="J377" s="37" t="n"/>
      <c r="K377" s="38">
        <f>IF($C377="","",IFERROR(N(INDEX(tbl_Finance[Invoice Count],MATCH($AU377,tbl_Finance[Row ID],0))),""))</f>
        <v/>
      </c>
      <c r="L377" s="11">
        <f>IF($C377="","",IFERROR(N(INDEX(tbl_Finance[Xero Invoiced Ex GST],MATCH($AU377,tbl_Finance[Row ID],0))),""))</f>
        <v/>
      </c>
      <c r="M377" s="10">
        <f>IF($C377="","",IFERROR(INDEX(tbl_Finance[Compare],MATCH($AU377,tbl_Finance[Row ID],0))&amp;"",""))</f>
        <v/>
      </c>
      <c r="N377" s="11">
        <f>IF($C377="","",MAX(0,N(O377)-N(L377)))</f>
        <v/>
      </c>
      <c r="O377" s="39" t="n"/>
      <c r="P377" s="40">
        <f>IF($C377="","",IF((IF(F377="",", Client","")&amp;IF(G377="",", Description","")&amp;IF(H377="",", Cost Centre","")&amp;IF(I377="",", Invoice Type","")&amp;IF(J377="",", Tax Code","")&amp;IF(O377="",", Expected Revenue","")&amp;IF(COUNTIF(tbl_Finance[Job Number],$C377&amp;"")&gt;1,", Job number used twice",""))="","Complete","Fix: "&amp;MID(IF(F377="",", Client","")&amp;IF(G377="",", Description","")&amp;IF(H377="",", Cost Centre","")&amp;IF(I377="",", Invoice Type","")&amp;IF(J377="",", Tax Code","")&amp;IF(O377="",", Expected Revenue","")&amp;IF(COUNTIF(tbl_Finance[Job Number],$C377&amp;"")&gt;1,", Job number used twice",""),3,300)))</f>
        <v/>
      </c>
      <c r="Q377" s="10">
        <f>IF($C377="","",IF(H377="","(no cost centre)",H377&amp;" - GL "&amp;IFERROR(INDEX(lst_CCtoGL,MATCH(H377,lst_CCforGL,0)),"?")))</f>
        <v/>
      </c>
      <c r="R377" s="11">
        <f>IF($C377="","",IFERROR(N(INDEX(tbl_Finance[Inc GST],MATCH($AU377,tbl_Finance[Row ID],0))),""))</f>
        <v/>
      </c>
      <c r="S377" s="37" t="n"/>
      <c r="T377" s="37" t="n"/>
      <c r="U377" s="37" t="n"/>
      <c r="V377" s="42" t="n"/>
      <c r="W377" s="37" t="n"/>
      <c r="X377" s="10">
        <f>IF(W377="","",IF(AND(LEFT(W377,4)&lt;&gt;"http",set_RMSBase=""),"",HYPERLINK(IF(LEFT(W377,4)="http",W377,set_RMSBase&amp;W377),"Open in RMS")))</f>
        <v/>
      </c>
      <c r="Y377" s="37" t="n"/>
      <c r="Z377" s="10">
        <f>IF(Y377="","",HYPERLINK(IF(LEFT(Y377,4)="http",Y377,set_QwilrBase&amp;Y377),"Open quote"))</f>
        <v/>
      </c>
      <c r="AA377" s="10">
        <f>IF(C377="","",C377)</f>
        <v/>
      </c>
      <c r="AB377" s="37" t="n"/>
      <c r="AC377" s="39" t="n"/>
      <c r="AD377" s="11">
        <f>IF(C377="","",N(L377)+N(AC377))</f>
        <v/>
      </c>
      <c r="AE377" s="43">
        <f>IFERROR(IF(N(AC377)=0,"",AC377/AD377),"")</f>
        <v/>
      </c>
      <c r="AF377" s="39" t="n"/>
      <c r="AG377" s="39" t="n"/>
      <c r="AH377" s="39" t="n"/>
      <c r="AI377" s="39" t="n"/>
      <c r="AJ377" s="11">
        <f>IF(C377="","",IF(H377="VIDEO",N(L377),0))</f>
        <v/>
      </c>
      <c r="AK377" s="43">
        <f>IFERROR(IF(N(L377)=0,"",AJ377/L377),"")</f>
        <v/>
      </c>
      <c r="AL377" s="11">
        <f>IF(C377="","",N(AF377)+N(AG377)+N(AH377)+N(AI377))</f>
        <v/>
      </c>
      <c r="AM377" s="11">
        <f>IF(C377="","",MAX(N(L377),N(O377))-N(AL377))</f>
        <v/>
      </c>
      <c r="AN377" s="43">
        <f>IFERROR(IF(MAX(N(L377),N(O377))=0,"",AM377/MAX(N(L377),N(O377))),"")</f>
        <v/>
      </c>
      <c r="AO377" s="41" t="n"/>
      <c r="AP377" s="41" t="n"/>
      <c r="AQ377" s="41" t="n"/>
      <c r="AR377" s="41" t="n"/>
      <c r="AS377" s="41" t="n"/>
      <c r="AT377" s="37" t="n"/>
      <c r="AU377" s="10" t="inlineStr">
        <is>
          <t>PRD-0373</t>
        </is>
      </c>
    </row>
    <row r="378">
      <c r="A378" s="16">
        <f>IF($C378="","",IFERROR(IF(INDEX(tbl_Finance[Latest Invoice Date],MATCH($AU378,tbl_Finance[Row ID],0))="","",INDEX(tbl_Finance[Latest Invoice Date],MATCH($AU378,tbl_Finance[Row ID],0))),""))</f>
        <v/>
      </c>
      <c r="B378" s="10">
        <f>IF($C378="","",IFERROR(INDEX(tbl_Finance[Invoice Numbers],MATCH($AU378,tbl_Finance[Row ID],0))&amp;"",""))</f>
        <v/>
      </c>
      <c r="C378" s="37" t="n"/>
      <c r="D378" s="10">
        <f>IF($C378="","",IF(COUNTIF(lst_Jobs,$C378&amp;"")&gt;0,"OK","CHECK"))</f>
        <v/>
      </c>
      <c r="E378" s="10">
        <f>IF($C378="","",IFERROR(INDEX(lst_JobName,MATCH($C378&amp;"",lst_Jobs,0)),""))</f>
        <v/>
      </c>
      <c r="F378" s="37" t="n"/>
      <c r="G378" s="37" t="n"/>
      <c r="H378" s="37" t="n"/>
      <c r="I378" s="37" t="n"/>
      <c r="J378" s="37" t="n"/>
      <c r="K378" s="38">
        <f>IF($C378="","",IFERROR(N(INDEX(tbl_Finance[Invoice Count],MATCH($AU378,tbl_Finance[Row ID],0))),""))</f>
        <v/>
      </c>
      <c r="L378" s="11">
        <f>IF($C378="","",IFERROR(N(INDEX(tbl_Finance[Xero Invoiced Ex GST],MATCH($AU378,tbl_Finance[Row ID],0))),""))</f>
        <v/>
      </c>
      <c r="M378" s="10">
        <f>IF($C378="","",IFERROR(INDEX(tbl_Finance[Compare],MATCH($AU378,tbl_Finance[Row ID],0))&amp;"",""))</f>
        <v/>
      </c>
      <c r="N378" s="11">
        <f>IF($C378="","",MAX(0,N(O378)-N(L378)))</f>
        <v/>
      </c>
      <c r="O378" s="39" t="n"/>
      <c r="P378" s="40">
        <f>IF($C378="","",IF((IF(F378="",", Client","")&amp;IF(G378="",", Description","")&amp;IF(H378="",", Cost Centre","")&amp;IF(I378="",", Invoice Type","")&amp;IF(J378="",", Tax Code","")&amp;IF(O378="",", Expected Revenue","")&amp;IF(COUNTIF(tbl_Finance[Job Number],$C378&amp;"")&gt;1,", Job number used twice",""))="","Complete","Fix: "&amp;MID(IF(F378="",", Client","")&amp;IF(G378="",", Description","")&amp;IF(H378="",", Cost Centre","")&amp;IF(I378="",", Invoice Type","")&amp;IF(J378="",", Tax Code","")&amp;IF(O378="",", Expected Revenue","")&amp;IF(COUNTIF(tbl_Finance[Job Number],$C378&amp;"")&gt;1,", Job number used twice",""),3,300)))</f>
        <v/>
      </c>
      <c r="Q378" s="10">
        <f>IF($C378="","",IF(H378="","(no cost centre)",H378&amp;" - GL "&amp;IFERROR(INDEX(lst_CCtoGL,MATCH(H378,lst_CCforGL,0)),"?")))</f>
        <v/>
      </c>
      <c r="R378" s="11">
        <f>IF($C378="","",IFERROR(N(INDEX(tbl_Finance[Inc GST],MATCH($AU378,tbl_Finance[Row ID],0))),""))</f>
        <v/>
      </c>
      <c r="S378" s="37" t="n"/>
      <c r="T378" s="37" t="n"/>
      <c r="U378" s="37" t="n"/>
      <c r="V378" s="42" t="n"/>
      <c r="W378" s="37" t="n"/>
      <c r="X378" s="10">
        <f>IF(W378="","",IF(AND(LEFT(W378,4)&lt;&gt;"http",set_RMSBase=""),"",HYPERLINK(IF(LEFT(W378,4)="http",W378,set_RMSBase&amp;W378),"Open in RMS")))</f>
        <v/>
      </c>
      <c r="Y378" s="37" t="n"/>
      <c r="Z378" s="10">
        <f>IF(Y378="","",HYPERLINK(IF(LEFT(Y378,4)="http",Y378,set_QwilrBase&amp;Y378),"Open quote"))</f>
        <v/>
      </c>
      <c r="AA378" s="10">
        <f>IF(C378="","",C378)</f>
        <v/>
      </c>
      <c r="AB378" s="37" t="n"/>
      <c r="AC378" s="39" t="n"/>
      <c r="AD378" s="11">
        <f>IF(C378="","",N(L378)+N(AC378))</f>
        <v/>
      </c>
      <c r="AE378" s="43">
        <f>IFERROR(IF(N(AC378)=0,"",AC378/AD378),"")</f>
        <v/>
      </c>
      <c r="AF378" s="39" t="n"/>
      <c r="AG378" s="39" t="n"/>
      <c r="AH378" s="39" t="n"/>
      <c r="AI378" s="39" t="n"/>
      <c r="AJ378" s="11">
        <f>IF(C378="","",IF(H378="VIDEO",N(L378),0))</f>
        <v/>
      </c>
      <c r="AK378" s="43">
        <f>IFERROR(IF(N(L378)=0,"",AJ378/L378),"")</f>
        <v/>
      </c>
      <c r="AL378" s="11">
        <f>IF(C378="","",N(AF378)+N(AG378)+N(AH378)+N(AI378))</f>
        <v/>
      </c>
      <c r="AM378" s="11">
        <f>IF(C378="","",MAX(N(L378),N(O378))-N(AL378))</f>
        <v/>
      </c>
      <c r="AN378" s="43">
        <f>IFERROR(IF(MAX(N(L378),N(O378))=0,"",AM378/MAX(N(L378),N(O378))),"")</f>
        <v/>
      </c>
      <c r="AO378" s="41" t="n"/>
      <c r="AP378" s="41" t="n"/>
      <c r="AQ378" s="41" t="n"/>
      <c r="AR378" s="41" t="n"/>
      <c r="AS378" s="41" t="n"/>
      <c r="AT378" s="37" t="n"/>
      <c r="AU378" s="10" t="inlineStr">
        <is>
          <t>PRD-0374</t>
        </is>
      </c>
    </row>
    <row r="379">
      <c r="A379" s="16">
        <f>IF($C379="","",IFERROR(IF(INDEX(tbl_Finance[Latest Invoice Date],MATCH($AU379,tbl_Finance[Row ID],0))="","",INDEX(tbl_Finance[Latest Invoice Date],MATCH($AU379,tbl_Finance[Row ID],0))),""))</f>
        <v/>
      </c>
      <c r="B379" s="10">
        <f>IF($C379="","",IFERROR(INDEX(tbl_Finance[Invoice Numbers],MATCH($AU379,tbl_Finance[Row ID],0))&amp;"",""))</f>
        <v/>
      </c>
      <c r="C379" s="37" t="n"/>
      <c r="D379" s="10">
        <f>IF($C379="","",IF(COUNTIF(lst_Jobs,$C379&amp;"")&gt;0,"OK","CHECK"))</f>
        <v/>
      </c>
      <c r="E379" s="10">
        <f>IF($C379="","",IFERROR(INDEX(lst_JobName,MATCH($C379&amp;"",lst_Jobs,0)),""))</f>
        <v/>
      </c>
      <c r="F379" s="37" t="n"/>
      <c r="G379" s="37" t="n"/>
      <c r="H379" s="37" t="n"/>
      <c r="I379" s="37" t="n"/>
      <c r="J379" s="37" t="n"/>
      <c r="K379" s="38">
        <f>IF($C379="","",IFERROR(N(INDEX(tbl_Finance[Invoice Count],MATCH($AU379,tbl_Finance[Row ID],0))),""))</f>
        <v/>
      </c>
      <c r="L379" s="11">
        <f>IF($C379="","",IFERROR(N(INDEX(tbl_Finance[Xero Invoiced Ex GST],MATCH($AU379,tbl_Finance[Row ID],0))),""))</f>
        <v/>
      </c>
      <c r="M379" s="10">
        <f>IF($C379="","",IFERROR(INDEX(tbl_Finance[Compare],MATCH($AU379,tbl_Finance[Row ID],0))&amp;"",""))</f>
        <v/>
      </c>
      <c r="N379" s="11">
        <f>IF($C379="","",MAX(0,N(O379)-N(L379)))</f>
        <v/>
      </c>
      <c r="O379" s="39" t="n"/>
      <c r="P379" s="40">
        <f>IF($C379="","",IF((IF(F379="",", Client","")&amp;IF(G379="",", Description","")&amp;IF(H379="",", Cost Centre","")&amp;IF(I379="",", Invoice Type","")&amp;IF(J379="",", Tax Code","")&amp;IF(O379="",", Expected Revenue","")&amp;IF(COUNTIF(tbl_Finance[Job Number],$C379&amp;"")&gt;1,", Job number used twice",""))="","Complete","Fix: "&amp;MID(IF(F379="",", Client","")&amp;IF(G379="",", Description","")&amp;IF(H379="",", Cost Centre","")&amp;IF(I379="",", Invoice Type","")&amp;IF(J379="",", Tax Code","")&amp;IF(O379="",", Expected Revenue","")&amp;IF(COUNTIF(tbl_Finance[Job Number],$C379&amp;"")&gt;1,", Job number used twice",""),3,300)))</f>
        <v/>
      </c>
      <c r="Q379" s="10">
        <f>IF($C379="","",IF(H379="","(no cost centre)",H379&amp;" - GL "&amp;IFERROR(INDEX(lst_CCtoGL,MATCH(H379,lst_CCforGL,0)),"?")))</f>
        <v/>
      </c>
      <c r="R379" s="11">
        <f>IF($C379="","",IFERROR(N(INDEX(tbl_Finance[Inc GST],MATCH($AU379,tbl_Finance[Row ID],0))),""))</f>
        <v/>
      </c>
      <c r="S379" s="37" t="n"/>
      <c r="T379" s="37" t="n"/>
      <c r="U379" s="37" t="n"/>
      <c r="V379" s="42" t="n"/>
      <c r="W379" s="37" t="n"/>
      <c r="X379" s="10">
        <f>IF(W379="","",IF(AND(LEFT(W379,4)&lt;&gt;"http",set_RMSBase=""),"",HYPERLINK(IF(LEFT(W379,4)="http",W379,set_RMSBase&amp;W379),"Open in RMS")))</f>
        <v/>
      </c>
      <c r="Y379" s="37" t="n"/>
      <c r="Z379" s="10">
        <f>IF(Y379="","",HYPERLINK(IF(LEFT(Y379,4)="http",Y379,set_QwilrBase&amp;Y379),"Open quote"))</f>
        <v/>
      </c>
      <c r="AA379" s="10">
        <f>IF(C379="","",C379)</f>
        <v/>
      </c>
      <c r="AB379" s="37" t="n"/>
      <c r="AC379" s="39" t="n"/>
      <c r="AD379" s="11">
        <f>IF(C379="","",N(L379)+N(AC379))</f>
        <v/>
      </c>
      <c r="AE379" s="43">
        <f>IFERROR(IF(N(AC379)=0,"",AC379/AD379),"")</f>
        <v/>
      </c>
      <c r="AF379" s="39" t="n"/>
      <c r="AG379" s="39" t="n"/>
      <c r="AH379" s="39" t="n"/>
      <c r="AI379" s="39" t="n"/>
      <c r="AJ379" s="11">
        <f>IF(C379="","",IF(H379="VIDEO",N(L379),0))</f>
        <v/>
      </c>
      <c r="AK379" s="43">
        <f>IFERROR(IF(N(L379)=0,"",AJ379/L379),"")</f>
        <v/>
      </c>
      <c r="AL379" s="11">
        <f>IF(C379="","",N(AF379)+N(AG379)+N(AH379)+N(AI379))</f>
        <v/>
      </c>
      <c r="AM379" s="11">
        <f>IF(C379="","",MAX(N(L379),N(O379))-N(AL379))</f>
        <v/>
      </c>
      <c r="AN379" s="43">
        <f>IFERROR(IF(MAX(N(L379),N(O379))=0,"",AM379/MAX(N(L379),N(O379))),"")</f>
        <v/>
      </c>
      <c r="AO379" s="41" t="n"/>
      <c r="AP379" s="41" t="n"/>
      <c r="AQ379" s="41" t="n"/>
      <c r="AR379" s="41" t="n"/>
      <c r="AS379" s="41" t="n"/>
      <c r="AT379" s="37" t="n"/>
      <c r="AU379" s="10" t="inlineStr">
        <is>
          <t>PRD-0375</t>
        </is>
      </c>
    </row>
    <row r="380">
      <c r="A380" s="16">
        <f>IF($C380="","",IFERROR(IF(INDEX(tbl_Finance[Latest Invoice Date],MATCH($AU380,tbl_Finance[Row ID],0))="","",INDEX(tbl_Finance[Latest Invoice Date],MATCH($AU380,tbl_Finance[Row ID],0))),""))</f>
        <v/>
      </c>
      <c r="B380" s="10">
        <f>IF($C380="","",IFERROR(INDEX(tbl_Finance[Invoice Numbers],MATCH($AU380,tbl_Finance[Row ID],0))&amp;"",""))</f>
        <v/>
      </c>
      <c r="C380" s="37" t="n"/>
      <c r="D380" s="10">
        <f>IF($C380="","",IF(COUNTIF(lst_Jobs,$C380&amp;"")&gt;0,"OK","CHECK"))</f>
        <v/>
      </c>
      <c r="E380" s="10">
        <f>IF($C380="","",IFERROR(INDEX(lst_JobName,MATCH($C380&amp;"",lst_Jobs,0)),""))</f>
        <v/>
      </c>
      <c r="F380" s="37" t="n"/>
      <c r="G380" s="37" t="n"/>
      <c r="H380" s="37" t="n"/>
      <c r="I380" s="37" t="n"/>
      <c r="J380" s="37" t="n"/>
      <c r="K380" s="38">
        <f>IF($C380="","",IFERROR(N(INDEX(tbl_Finance[Invoice Count],MATCH($AU380,tbl_Finance[Row ID],0))),""))</f>
        <v/>
      </c>
      <c r="L380" s="11">
        <f>IF($C380="","",IFERROR(N(INDEX(tbl_Finance[Xero Invoiced Ex GST],MATCH($AU380,tbl_Finance[Row ID],0))),""))</f>
        <v/>
      </c>
      <c r="M380" s="10">
        <f>IF($C380="","",IFERROR(INDEX(tbl_Finance[Compare],MATCH($AU380,tbl_Finance[Row ID],0))&amp;"",""))</f>
        <v/>
      </c>
      <c r="N380" s="11">
        <f>IF($C380="","",MAX(0,N(O380)-N(L380)))</f>
        <v/>
      </c>
      <c r="O380" s="39" t="n"/>
      <c r="P380" s="40">
        <f>IF($C380="","",IF((IF(F380="",", Client","")&amp;IF(G380="",", Description","")&amp;IF(H380="",", Cost Centre","")&amp;IF(I380="",", Invoice Type","")&amp;IF(J380="",", Tax Code","")&amp;IF(O380="",", Expected Revenue","")&amp;IF(COUNTIF(tbl_Finance[Job Number],$C380&amp;"")&gt;1,", Job number used twice",""))="","Complete","Fix: "&amp;MID(IF(F380="",", Client","")&amp;IF(G380="",", Description","")&amp;IF(H380="",", Cost Centre","")&amp;IF(I380="",", Invoice Type","")&amp;IF(J380="",", Tax Code","")&amp;IF(O380="",", Expected Revenue","")&amp;IF(COUNTIF(tbl_Finance[Job Number],$C380&amp;"")&gt;1,", Job number used twice",""),3,300)))</f>
        <v/>
      </c>
      <c r="Q380" s="10">
        <f>IF($C380="","",IF(H380="","(no cost centre)",H380&amp;" - GL "&amp;IFERROR(INDEX(lst_CCtoGL,MATCH(H380,lst_CCforGL,0)),"?")))</f>
        <v/>
      </c>
      <c r="R380" s="11">
        <f>IF($C380="","",IFERROR(N(INDEX(tbl_Finance[Inc GST],MATCH($AU380,tbl_Finance[Row ID],0))),""))</f>
        <v/>
      </c>
      <c r="S380" s="37" t="n"/>
      <c r="T380" s="37" t="n"/>
      <c r="U380" s="37" t="n"/>
      <c r="V380" s="42" t="n"/>
      <c r="W380" s="37" t="n"/>
      <c r="X380" s="10">
        <f>IF(W380="","",IF(AND(LEFT(W380,4)&lt;&gt;"http",set_RMSBase=""),"",HYPERLINK(IF(LEFT(W380,4)="http",W380,set_RMSBase&amp;W380),"Open in RMS")))</f>
        <v/>
      </c>
      <c r="Y380" s="37" t="n"/>
      <c r="Z380" s="10">
        <f>IF(Y380="","",HYPERLINK(IF(LEFT(Y380,4)="http",Y380,set_QwilrBase&amp;Y380),"Open quote"))</f>
        <v/>
      </c>
      <c r="AA380" s="10">
        <f>IF(C380="","",C380)</f>
        <v/>
      </c>
      <c r="AB380" s="37" t="n"/>
      <c r="AC380" s="39" t="n"/>
      <c r="AD380" s="11">
        <f>IF(C380="","",N(L380)+N(AC380))</f>
        <v/>
      </c>
      <c r="AE380" s="43">
        <f>IFERROR(IF(N(AC380)=0,"",AC380/AD380),"")</f>
        <v/>
      </c>
      <c r="AF380" s="39" t="n"/>
      <c r="AG380" s="39" t="n"/>
      <c r="AH380" s="39" t="n"/>
      <c r="AI380" s="39" t="n"/>
      <c r="AJ380" s="11">
        <f>IF(C380="","",IF(H380="VIDEO",N(L380),0))</f>
        <v/>
      </c>
      <c r="AK380" s="43">
        <f>IFERROR(IF(N(L380)=0,"",AJ380/L380),"")</f>
        <v/>
      </c>
      <c r="AL380" s="11">
        <f>IF(C380="","",N(AF380)+N(AG380)+N(AH380)+N(AI380))</f>
        <v/>
      </c>
      <c r="AM380" s="11">
        <f>IF(C380="","",MAX(N(L380),N(O380))-N(AL380))</f>
        <v/>
      </c>
      <c r="AN380" s="43">
        <f>IFERROR(IF(MAX(N(L380),N(O380))=0,"",AM380/MAX(N(L380),N(O380))),"")</f>
        <v/>
      </c>
      <c r="AO380" s="41" t="n"/>
      <c r="AP380" s="41" t="n"/>
      <c r="AQ380" s="41" t="n"/>
      <c r="AR380" s="41" t="n"/>
      <c r="AS380" s="41" t="n"/>
      <c r="AT380" s="37" t="n"/>
      <c r="AU380" s="10" t="inlineStr">
        <is>
          <t>PRD-0376</t>
        </is>
      </c>
    </row>
    <row r="381">
      <c r="A381" s="16">
        <f>IF($C381="","",IFERROR(IF(INDEX(tbl_Finance[Latest Invoice Date],MATCH($AU381,tbl_Finance[Row ID],0))="","",INDEX(tbl_Finance[Latest Invoice Date],MATCH($AU381,tbl_Finance[Row ID],0))),""))</f>
        <v/>
      </c>
      <c r="B381" s="10">
        <f>IF($C381="","",IFERROR(INDEX(tbl_Finance[Invoice Numbers],MATCH($AU381,tbl_Finance[Row ID],0))&amp;"",""))</f>
        <v/>
      </c>
      <c r="C381" s="37" t="n"/>
      <c r="D381" s="10">
        <f>IF($C381="","",IF(COUNTIF(lst_Jobs,$C381&amp;"")&gt;0,"OK","CHECK"))</f>
        <v/>
      </c>
      <c r="E381" s="10">
        <f>IF($C381="","",IFERROR(INDEX(lst_JobName,MATCH($C381&amp;"",lst_Jobs,0)),""))</f>
        <v/>
      </c>
      <c r="F381" s="37" t="n"/>
      <c r="G381" s="37" t="n"/>
      <c r="H381" s="37" t="n"/>
      <c r="I381" s="37" t="n"/>
      <c r="J381" s="37" t="n"/>
      <c r="K381" s="38">
        <f>IF($C381="","",IFERROR(N(INDEX(tbl_Finance[Invoice Count],MATCH($AU381,tbl_Finance[Row ID],0))),""))</f>
        <v/>
      </c>
      <c r="L381" s="11">
        <f>IF($C381="","",IFERROR(N(INDEX(tbl_Finance[Xero Invoiced Ex GST],MATCH($AU381,tbl_Finance[Row ID],0))),""))</f>
        <v/>
      </c>
      <c r="M381" s="10">
        <f>IF($C381="","",IFERROR(INDEX(tbl_Finance[Compare],MATCH($AU381,tbl_Finance[Row ID],0))&amp;"",""))</f>
        <v/>
      </c>
      <c r="N381" s="11">
        <f>IF($C381="","",MAX(0,N(O381)-N(L381)))</f>
        <v/>
      </c>
      <c r="O381" s="39" t="n"/>
      <c r="P381" s="40">
        <f>IF($C381="","",IF((IF(F381="",", Client","")&amp;IF(G381="",", Description","")&amp;IF(H381="",", Cost Centre","")&amp;IF(I381="",", Invoice Type","")&amp;IF(J381="",", Tax Code","")&amp;IF(O381="",", Expected Revenue","")&amp;IF(COUNTIF(tbl_Finance[Job Number],$C381&amp;"")&gt;1,", Job number used twice",""))="","Complete","Fix: "&amp;MID(IF(F381="",", Client","")&amp;IF(G381="",", Description","")&amp;IF(H381="",", Cost Centre","")&amp;IF(I381="",", Invoice Type","")&amp;IF(J381="",", Tax Code","")&amp;IF(O381="",", Expected Revenue","")&amp;IF(COUNTIF(tbl_Finance[Job Number],$C381&amp;"")&gt;1,", Job number used twice",""),3,300)))</f>
        <v/>
      </c>
      <c r="Q381" s="10">
        <f>IF($C381="","",IF(H381="","(no cost centre)",H381&amp;" - GL "&amp;IFERROR(INDEX(lst_CCtoGL,MATCH(H381,lst_CCforGL,0)),"?")))</f>
        <v/>
      </c>
      <c r="R381" s="11">
        <f>IF($C381="","",IFERROR(N(INDEX(tbl_Finance[Inc GST],MATCH($AU381,tbl_Finance[Row ID],0))),""))</f>
        <v/>
      </c>
      <c r="S381" s="37" t="n"/>
      <c r="T381" s="37" t="n"/>
      <c r="U381" s="37" t="n"/>
      <c r="V381" s="42" t="n"/>
      <c r="W381" s="37" t="n"/>
      <c r="X381" s="10">
        <f>IF(W381="","",IF(AND(LEFT(W381,4)&lt;&gt;"http",set_RMSBase=""),"",HYPERLINK(IF(LEFT(W381,4)="http",W381,set_RMSBase&amp;W381),"Open in RMS")))</f>
        <v/>
      </c>
      <c r="Y381" s="37" t="n"/>
      <c r="Z381" s="10">
        <f>IF(Y381="","",HYPERLINK(IF(LEFT(Y381,4)="http",Y381,set_QwilrBase&amp;Y381),"Open quote"))</f>
        <v/>
      </c>
      <c r="AA381" s="10">
        <f>IF(C381="","",C381)</f>
        <v/>
      </c>
      <c r="AB381" s="37" t="n"/>
      <c r="AC381" s="39" t="n"/>
      <c r="AD381" s="11">
        <f>IF(C381="","",N(L381)+N(AC381))</f>
        <v/>
      </c>
      <c r="AE381" s="43">
        <f>IFERROR(IF(N(AC381)=0,"",AC381/AD381),"")</f>
        <v/>
      </c>
      <c r="AF381" s="39" t="n"/>
      <c r="AG381" s="39" t="n"/>
      <c r="AH381" s="39" t="n"/>
      <c r="AI381" s="39" t="n"/>
      <c r="AJ381" s="11">
        <f>IF(C381="","",IF(H381="VIDEO",N(L381),0))</f>
        <v/>
      </c>
      <c r="AK381" s="43">
        <f>IFERROR(IF(N(L381)=0,"",AJ381/L381),"")</f>
        <v/>
      </c>
      <c r="AL381" s="11">
        <f>IF(C381="","",N(AF381)+N(AG381)+N(AH381)+N(AI381))</f>
        <v/>
      </c>
      <c r="AM381" s="11">
        <f>IF(C381="","",MAX(N(L381),N(O381))-N(AL381))</f>
        <v/>
      </c>
      <c r="AN381" s="43">
        <f>IFERROR(IF(MAX(N(L381),N(O381))=0,"",AM381/MAX(N(L381),N(O381))),"")</f>
        <v/>
      </c>
      <c r="AO381" s="41" t="n"/>
      <c r="AP381" s="41" t="n"/>
      <c r="AQ381" s="41" t="n"/>
      <c r="AR381" s="41" t="n"/>
      <c r="AS381" s="41" t="n"/>
      <c r="AT381" s="37" t="n"/>
      <c r="AU381" s="10" t="inlineStr">
        <is>
          <t>PRD-0377</t>
        </is>
      </c>
    </row>
    <row r="382">
      <c r="A382" s="16">
        <f>IF($C382="","",IFERROR(IF(INDEX(tbl_Finance[Latest Invoice Date],MATCH($AU382,tbl_Finance[Row ID],0))="","",INDEX(tbl_Finance[Latest Invoice Date],MATCH($AU382,tbl_Finance[Row ID],0))),""))</f>
        <v/>
      </c>
      <c r="B382" s="10">
        <f>IF($C382="","",IFERROR(INDEX(tbl_Finance[Invoice Numbers],MATCH($AU382,tbl_Finance[Row ID],0))&amp;"",""))</f>
        <v/>
      </c>
      <c r="C382" s="37" t="n"/>
      <c r="D382" s="10">
        <f>IF($C382="","",IF(COUNTIF(lst_Jobs,$C382&amp;"")&gt;0,"OK","CHECK"))</f>
        <v/>
      </c>
      <c r="E382" s="10">
        <f>IF($C382="","",IFERROR(INDEX(lst_JobName,MATCH($C382&amp;"",lst_Jobs,0)),""))</f>
        <v/>
      </c>
      <c r="F382" s="37" t="n"/>
      <c r="G382" s="37" t="n"/>
      <c r="H382" s="37" t="n"/>
      <c r="I382" s="37" t="n"/>
      <c r="J382" s="37" t="n"/>
      <c r="K382" s="38">
        <f>IF($C382="","",IFERROR(N(INDEX(tbl_Finance[Invoice Count],MATCH($AU382,tbl_Finance[Row ID],0))),""))</f>
        <v/>
      </c>
      <c r="L382" s="11">
        <f>IF($C382="","",IFERROR(N(INDEX(tbl_Finance[Xero Invoiced Ex GST],MATCH($AU382,tbl_Finance[Row ID],0))),""))</f>
        <v/>
      </c>
      <c r="M382" s="10">
        <f>IF($C382="","",IFERROR(INDEX(tbl_Finance[Compare],MATCH($AU382,tbl_Finance[Row ID],0))&amp;"",""))</f>
        <v/>
      </c>
      <c r="N382" s="11">
        <f>IF($C382="","",MAX(0,N(O382)-N(L382)))</f>
        <v/>
      </c>
      <c r="O382" s="39" t="n"/>
      <c r="P382" s="40">
        <f>IF($C382="","",IF((IF(F382="",", Client","")&amp;IF(G382="",", Description","")&amp;IF(H382="",", Cost Centre","")&amp;IF(I382="",", Invoice Type","")&amp;IF(J382="",", Tax Code","")&amp;IF(O382="",", Expected Revenue","")&amp;IF(COUNTIF(tbl_Finance[Job Number],$C382&amp;"")&gt;1,", Job number used twice",""))="","Complete","Fix: "&amp;MID(IF(F382="",", Client","")&amp;IF(G382="",", Description","")&amp;IF(H382="",", Cost Centre","")&amp;IF(I382="",", Invoice Type","")&amp;IF(J382="",", Tax Code","")&amp;IF(O382="",", Expected Revenue","")&amp;IF(COUNTIF(tbl_Finance[Job Number],$C382&amp;"")&gt;1,", Job number used twice",""),3,300)))</f>
        <v/>
      </c>
      <c r="Q382" s="10">
        <f>IF($C382="","",IF(H382="","(no cost centre)",H382&amp;" - GL "&amp;IFERROR(INDEX(lst_CCtoGL,MATCH(H382,lst_CCforGL,0)),"?")))</f>
        <v/>
      </c>
      <c r="R382" s="11">
        <f>IF($C382="","",IFERROR(N(INDEX(tbl_Finance[Inc GST],MATCH($AU382,tbl_Finance[Row ID],0))),""))</f>
        <v/>
      </c>
      <c r="S382" s="37" t="n"/>
      <c r="T382" s="37" t="n"/>
      <c r="U382" s="37" t="n"/>
      <c r="V382" s="42" t="n"/>
      <c r="W382" s="37" t="n"/>
      <c r="X382" s="10">
        <f>IF(W382="","",IF(AND(LEFT(W382,4)&lt;&gt;"http",set_RMSBase=""),"",HYPERLINK(IF(LEFT(W382,4)="http",W382,set_RMSBase&amp;W382),"Open in RMS")))</f>
        <v/>
      </c>
      <c r="Y382" s="37" t="n"/>
      <c r="Z382" s="10">
        <f>IF(Y382="","",HYPERLINK(IF(LEFT(Y382,4)="http",Y382,set_QwilrBase&amp;Y382),"Open quote"))</f>
        <v/>
      </c>
      <c r="AA382" s="10">
        <f>IF(C382="","",C382)</f>
        <v/>
      </c>
      <c r="AB382" s="37" t="n"/>
      <c r="AC382" s="39" t="n"/>
      <c r="AD382" s="11">
        <f>IF(C382="","",N(L382)+N(AC382))</f>
        <v/>
      </c>
      <c r="AE382" s="43">
        <f>IFERROR(IF(N(AC382)=0,"",AC382/AD382),"")</f>
        <v/>
      </c>
      <c r="AF382" s="39" t="n"/>
      <c r="AG382" s="39" t="n"/>
      <c r="AH382" s="39" t="n"/>
      <c r="AI382" s="39" t="n"/>
      <c r="AJ382" s="11">
        <f>IF(C382="","",IF(H382="VIDEO",N(L382),0))</f>
        <v/>
      </c>
      <c r="AK382" s="43">
        <f>IFERROR(IF(N(L382)=0,"",AJ382/L382),"")</f>
        <v/>
      </c>
      <c r="AL382" s="11">
        <f>IF(C382="","",N(AF382)+N(AG382)+N(AH382)+N(AI382))</f>
        <v/>
      </c>
      <c r="AM382" s="11">
        <f>IF(C382="","",MAX(N(L382),N(O382))-N(AL382))</f>
        <v/>
      </c>
      <c r="AN382" s="43">
        <f>IFERROR(IF(MAX(N(L382),N(O382))=0,"",AM382/MAX(N(L382),N(O382))),"")</f>
        <v/>
      </c>
      <c r="AO382" s="41" t="n"/>
      <c r="AP382" s="41" t="n"/>
      <c r="AQ382" s="41" t="n"/>
      <c r="AR382" s="41" t="n"/>
      <c r="AS382" s="41" t="n"/>
      <c r="AT382" s="37" t="n"/>
      <c r="AU382" s="10" t="inlineStr">
        <is>
          <t>PRD-0378</t>
        </is>
      </c>
    </row>
    <row r="383">
      <c r="A383" s="16">
        <f>IF($C383="","",IFERROR(IF(INDEX(tbl_Finance[Latest Invoice Date],MATCH($AU383,tbl_Finance[Row ID],0))="","",INDEX(tbl_Finance[Latest Invoice Date],MATCH($AU383,tbl_Finance[Row ID],0))),""))</f>
        <v/>
      </c>
      <c r="B383" s="10">
        <f>IF($C383="","",IFERROR(INDEX(tbl_Finance[Invoice Numbers],MATCH($AU383,tbl_Finance[Row ID],0))&amp;"",""))</f>
        <v/>
      </c>
      <c r="C383" s="37" t="n"/>
      <c r="D383" s="10">
        <f>IF($C383="","",IF(COUNTIF(lst_Jobs,$C383&amp;"")&gt;0,"OK","CHECK"))</f>
        <v/>
      </c>
      <c r="E383" s="10">
        <f>IF($C383="","",IFERROR(INDEX(lst_JobName,MATCH($C383&amp;"",lst_Jobs,0)),""))</f>
        <v/>
      </c>
      <c r="F383" s="37" t="n"/>
      <c r="G383" s="37" t="n"/>
      <c r="H383" s="37" t="n"/>
      <c r="I383" s="37" t="n"/>
      <c r="J383" s="37" t="n"/>
      <c r="K383" s="38">
        <f>IF($C383="","",IFERROR(N(INDEX(tbl_Finance[Invoice Count],MATCH($AU383,tbl_Finance[Row ID],0))),""))</f>
        <v/>
      </c>
      <c r="L383" s="11">
        <f>IF($C383="","",IFERROR(N(INDEX(tbl_Finance[Xero Invoiced Ex GST],MATCH($AU383,tbl_Finance[Row ID],0))),""))</f>
        <v/>
      </c>
      <c r="M383" s="10">
        <f>IF($C383="","",IFERROR(INDEX(tbl_Finance[Compare],MATCH($AU383,tbl_Finance[Row ID],0))&amp;"",""))</f>
        <v/>
      </c>
      <c r="N383" s="11">
        <f>IF($C383="","",MAX(0,N(O383)-N(L383)))</f>
        <v/>
      </c>
      <c r="O383" s="39" t="n"/>
      <c r="P383" s="40">
        <f>IF($C383="","",IF((IF(F383="",", Client","")&amp;IF(G383="",", Description","")&amp;IF(H383="",", Cost Centre","")&amp;IF(I383="",", Invoice Type","")&amp;IF(J383="",", Tax Code","")&amp;IF(O383="",", Expected Revenue","")&amp;IF(COUNTIF(tbl_Finance[Job Number],$C383&amp;"")&gt;1,", Job number used twice",""))="","Complete","Fix: "&amp;MID(IF(F383="",", Client","")&amp;IF(G383="",", Description","")&amp;IF(H383="",", Cost Centre","")&amp;IF(I383="",", Invoice Type","")&amp;IF(J383="",", Tax Code","")&amp;IF(O383="",", Expected Revenue","")&amp;IF(COUNTIF(tbl_Finance[Job Number],$C383&amp;"")&gt;1,", Job number used twice",""),3,300)))</f>
        <v/>
      </c>
      <c r="Q383" s="10">
        <f>IF($C383="","",IF(H383="","(no cost centre)",H383&amp;" - GL "&amp;IFERROR(INDEX(lst_CCtoGL,MATCH(H383,lst_CCforGL,0)),"?")))</f>
        <v/>
      </c>
      <c r="R383" s="11">
        <f>IF($C383="","",IFERROR(N(INDEX(tbl_Finance[Inc GST],MATCH($AU383,tbl_Finance[Row ID],0))),""))</f>
        <v/>
      </c>
      <c r="S383" s="37" t="n"/>
      <c r="T383" s="37" t="n"/>
      <c r="U383" s="37" t="n"/>
      <c r="V383" s="42" t="n"/>
      <c r="W383" s="37" t="n"/>
      <c r="X383" s="10">
        <f>IF(W383="","",IF(AND(LEFT(W383,4)&lt;&gt;"http",set_RMSBase=""),"",HYPERLINK(IF(LEFT(W383,4)="http",W383,set_RMSBase&amp;W383),"Open in RMS")))</f>
        <v/>
      </c>
      <c r="Y383" s="37" t="n"/>
      <c r="Z383" s="10">
        <f>IF(Y383="","",HYPERLINK(IF(LEFT(Y383,4)="http",Y383,set_QwilrBase&amp;Y383),"Open quote"))</f>
        <v/>
      </c>
      <c r="AA383" s="10">
        <f>IF(C383="","",C383)</f>
        <v/>
      </c>
      <c r="AB383" s="37" t="n"/>
      <c r="AC383" s="39" t="n"/>
      <c r="AD383" s="11">
        <f>IF(C383="","",N(L383)+N(AC383))</f>
        <v/>
      </c>
      <c r="AE383" s="43">
        <f>IFERROR(IF(N(AC383)=0,"",AC383/AD383),"")</f>
        <v/>
      </c>
      <c r="AF383" s="39" t="n"/>
      <c r="AG383" s="39" t="n"/>
      <c r="AH383" s="39" t="n"/>
      <c r="AI383" s="39" t="n"/>
      <c r="AJ383" s="11">
        <f>IF(C383="","",IF(H383="VIDEO",N(L383),0))</f>
        <v/>
      </c>
      <c r="AK383" s="43">
        <f>IFERROR(IF(N(L383)=0,"",AJ383/L383),"")</f>
        <v/>
      </c>
      <c r="AL383" s="11">
        <f>IF(C383="","",N(AF383)+N(AG383)+N(AH383)+N(AI383))</f>
        <v/>
      </c>
      <c r="AM383" s="11">
        <f>IF(C383="","",MAX(N(L383),N(O383))-N(AL383))</f>
        <v/>
      </c>
      <c r="AN383" s="43">
        <f>IFERROR(IF(MAX(N(L383),N(O383))=0,"",AM383/MAX(N(L383),N(O383))),"")</f>
        <v/>
      </c>
      <c r="AO383" s="41" t="n"/>
      <c r="AP383" s="41" t="n"/>
      <c r="AQ383" s="41" t="n"/>
      <c r="AR383" s="41" t="n"/>
      <c r="AS383" s="41" t="n"/>
      <c r="AT383" s="37" t="n"/>
      <c r="AU383" s="10" t="inlineStr">
        <is>
          <t>PRD-0379</t>
        </is>
      </c>
    </row>
    <row r="384">
      <c r="A384" s="16">
        <f>IF($C384="","",IFERROR(IF(INDEX(tbl_Finance[Latest Invoice Date],MATCH($AU384,tbl_Finance[Row ID],0))="","",INDEX(tbl_Finance[Latest Invoice Date],MATCH($AU384,tbl_Finance[Row ID],0))),""))</f>
        <v/>
      </c>
      <c r="B384" s="10">
        <f>IF($C384="","",IFERROR(INDEX(tbl_Finance[Invoice Numbers],MATCH($AU384,tbl_Finance[Row ID],0))&amp;"",""))</f>
        <v/>
      </c>
      <c r="C384" s="37" t="n"/>
      <c r="D384" s="10">
        <f>IF($C384="","",IF(COUNTIF(lst_Jobs,$C384&amp;"")&gt;0,"OK","CHECK"))</f>
        <v/>
      </c>
      <c r="E384" s="10">
        <f>IF($C384="","",IFERROR(INDEX(lst_JobName,MATCH($C384&amp;"",lst_Jobs,0)),""))</f>
        <v/>
      </c>
      <c r="F384" s="37" t="n"/>
      <c r="G384" s="37" t="n"/>
      <c r="H384" s="37" t="n"/>
      <c r="I384" s="37" t="n"/>
      <c r="J384" s="37" t="n"/>
      <c r="K384" s="38">
        <f>IF($C384="","",IFERROR(N(INDEX(tbl_Finance[Invoice Count],MATCH($AU384,tbl_Finance[Row ID],0))),""))</f>
        <v/>
      </c>
      <c r="L384" s="11">
        <f>IF($C384="","",IFERROR(N(INDEX(tbl_Finance[Xero Invoiced Ex GST],MATCH($AU384,tbl_Finance[Row ID],0))),""))</f>
        <v/>
      </c>
      <c r="M384" s="10">
        <f>IF($C384="","",IFERROR(INDEX(tbl_Finance[Compare],MATCH($AU384,tbl_Finance[Row ID],0))&amp;"",""))</f>
        <v/>
      </c>
      <c r="N384" s="11">
        <f>IF($C384="","",MAX(0,N(O384)-N(L384)))</f>
        <v/>
      </c>
      <c r="O384" s="39" t="n"/>
      <c r="P384" s="40">
        <f>IF($C384="","",IF((IF(F384="",", Client","")&amp;IF(G384="",", Description","")&amp;IF(H384="",", Cost Centre","")&amp;IF(I384="",", Invoice Type","")&amp;IF(J384="",", Tax Code","")&amp;IF(O384="",", Expected Revenue","")&amp;IF(COUNTIF(tbl_Finance[Job Number],$C384&amp;"")&gt;1,", Job number used twice",""))="","Complete","Fix: "&amp;MID(IF(F384="",", Client","")&amp;IF(G384="",", Description","")&amp;IF(H384="",", Cost Centre","")&amp;IF(I384="",", Invoice Type","")&amp;IF(J384="",", Tax Code","")&amp;IF(O384="",", Expected Revenue","")&amp;IF(COUNTIF(tbl_Finance[Job Number],$C384&amp;"")&gt;1,", Job number used twice",""),3,300)))</f>
        <v/>
      </c>
      <c r="Q384" s="10">
        <f>IF($C384="","",IF(H384="","(no cost centre)",H384&amp;" - GL "&amp;IFERROR(INDEX(lst_CCtoGL,MATCH(H384,lst_CCforGL,0)),"?")))</f>
        <v/>
      </c>
      <c r="R384" s="11">
        <f>IF($C384="","",IFERROR(N(INDEX(tbl_Finance[Inc GST],MATCH($AU384,tbl_Finance[Row ID],0))),""))</f>
        <v/>
      </c>
      <c r="S384" s="37" t="n"/>
      <c r="T384" s="37" t="n"/>
      <c r="U384" s="37" t="n"/>
      <c r="V384" s="42" t="n"/>
      <c r="W384" s="37" t="n"/>
      <c r="X384" s="10">
        <f>IF(W384="","",IF(AND(LEFT(W384,4)&lt;&gt;"http",set_RMSBase=""),"",HYPERLINK(IF(LEFT(W384,4)="http",W384,set_RMSBase&amp;W384),"Open in RMS")))</f>
        <v/>
      </c>
      <c r="Y384" s="37" t="n"/>
      <c r="Z384" s="10">
        <f>IF(Y384="","",HYPERLINK(IF(LEFT(Y384,4)="http",Y384,set_QwilrBase&amp;Y384),"Open quote"))</f>
        <v/>
      </c>
      <c r="AA384" s="10">
        <f>IF(C384="","",C384)</f>
        <v/>
      </c>
      <c r="AB384" s="37" t="n"/>
      <c r="AC384" s="39" t="n"/>
      <c r="AD384" s="11">
        <f>IF(C384="","",N(L384)+N(AC384))</f>
        <v/>
      </c>
      <c r="AE384" s="43">
        <f>IFERROR(IF(N(AC384)=0,"",AC384/AD384),"")</f>
        <v/>
      </c>
      <c r="AF384" s="39" t="n"/>
      <c r="AG384" s="39" t="n"/>
      <c r="AH384" s="39" t="n"/>
      <c r="AI384" s="39" t="n"/>
      <c r="AJ384" s="11">
        <f>IF(C384="","",IF(H384="VIDEO",N(L384),0))</f>
        <v/>
      </c>
      <c r="AK384" s="43">
        <f>IFERROR(IF(N(L384)=0,"",AJ384/L384),"")</f>
        <v/>
      </c>
      <c r="AL384" s="11">
        <f>IF(C384="","",N(AF384)+N(AG384)+N(AH384)+N(AI384))</f>
        <v/>
      </c>
      <c r="AM384" s="11">
        <f>IF(C384="","",MAX(N(L384),N(O384))-N(AL384))</f>
        <v/>
      </c>
      <c r="AN384" s="43">
        <f>IFERROR(IF(MAX(N(L384),N(O384))=0,"",AM384/MAX(N(L384),N(O384))),"")</f>
        <v/>
      </c>
      <c r="AO384" s="41" t="n"/>
      <c r="AP384" s="41" t="n"/>
      <c r="AQ384" s="41" t="n"/>
      <c r="AR384" s="41" t="n"/>
      <c r="AS384" s="41" t="n"/>
      <c r="AT384" s="37" t="n"/>
      <c r="AU384" s="10" t="inlineStr">
        <is>
          <t>PRD-0380</t>
        </is>
      </c>
    </row>
    <row r="385">
      <c r="A385" s="16">
        <f>IF($C385="","",IFERROR(IF(INDEX(tbl_Finance[Latest Invoice Date],MATCH($AU385,tbl_Finance[Row ID],0))="","",INDEX(tbl_Finance[Latest Invoice Date],MATCH($AU385,tbl_Finance[Row ID],0))),""))</f>
        <v/>
      </c>
      <c r="B385" s="10">
        <f>IF($C385="","",IFERROR(INDEX(tbl_Finance[Invoice Numbers],MATCH($AU385,tbl_Finance[Row ID],0))&amp;"",""))</f>
        <v/>
      </c>
      <c r="C385" s="37" t="n"/>
      <c r="D385" s="10">
        <f>IF($C385="","",IF(COUNTIF(lst_Jobs,$C385&amp;"")&gt;0,"OK","CHECK"))</f>
        <v/>
      </c>
      <c r="E385" s="10">
        <f>IF($C385="","",IFERROR(INDEX(lst_JobName,MATCH($C385&amp;"",lst_Jobs,0)),""))</f>
        <v/>
      </c>
      <c r="F385" s="37" t="n"/>
      <c r="G385" s="37" t="n"/>
      <c r="H385" s="37" t="n"/>
      <c r="I385" s="37" t="n"/>
      <c r="J385" s="37" t="n"/>
      <c r="K385" s="38">
        <f>IF($C385="","",IFERROR(N(INDEX(tbl_Finance[Invoice Count],MATCH($AU385,tbl_Finance[Row ID],0))),""))</f>
        <v/>
      </c>
      <c r="L385" s="11">
        <f>IF($C385="","",IFERROR(N(INDEX(tbl_Finance[Xero Invoiced Ex GST],MATCH($AU385,tbl_Finance[Row ID],0))),""))</f>
        <v/>
      </c>
      <c r="M385" s="10">
        <f>IF($C385="","",IFERROR(INDEX(tbl_Finance[Compare],MATCH($AU385,tbl_Finance[Row ID],0))&amp;"",""))</f>
        <v/>
      </c>
      <c r="N385" s="11">
        <f>IF($C385="","",MAX(0,N(O385)-N(L385)))</f>
        <v/>
      </c>
      <c r="O385" s="39" t="n"/>
      <c r="P385" s="40">
        <f>IF($C385="","",IF((IF(F385="",", Client","")&amp;IF(G385="",", Description","")&amp;IF(H385="",", Cost Centre","")&amp;IF(I385="",", Invoice Type","")&amp;IF(J385="",", Tax Code","")&amp;IF(O385="",", Expected Revenue","")&amp;IF(COUNTIF(tbl_Finance[Job Number],$C385&amp;"")&gt;1,", Job number used twice",""))="","Complete","Fix: "&amp;MID(IF(F385="",", Client","")&amp;IF(G385="",", Description","")&amp;IF(H385="",", Cost Centre","")&amp;IF(I385="",", Invoice Type","")&amp;IF(J385="",", Tax Code","")&amp;IF(O385="",", Expected Revenue","")&amp;IF(COUNTIF(tbl_Finance[Job Number],$C385&amp;"")&gt;1,", Job number used twice",""),3,300)))</f>
        <v/>
      </c>
      <c r="Q385" s="10">
        <f>IF($C385="","",IF(H385="","(no cost centre)",H385&amp;" - GL "&amp;IFERROR(INDEX(lst_CCtoGL,MATCH(H385,lst_CCforGL,0)),"?")))</f>
        <v/>
      </c>
      <c r="R385" s="11">
        <f>IF($C385="","",IFERROR(N(INDEX(tbl_Finance[Inc GST],MATCH($AU385,tbl_Finance[Row ID],0))),""))</f>
        <v/>
      </c>
      <c r="S385" s="37" t="n"/>
      <c r="T385" s="37" t="n"/>
      <c r="U385" s="37" t="n"/>
      <c r="V385" s="42" t="n"/>
      <c r="W385" s="37" t="n"/>
      <c r="X385" s="10">
        <f>IF(W385="","",IF(AND(LEFT(W385,4)&lt;&gt;"http",set_RMSBase=""),"",HYPERLINK(IF(LEFT(W385,4)="http",W385,set_RMSBase&amp;W385),"Open in RMS")))</f>
        <v/>
      </c>
      <c r="Y385" s="37" t="n"/>
      <c r="Z385" s="10">
        <f>IF(Y385="","",HYPERLINK(IF(LEFT(Y385,4)="http",Y385,set_QwilrBase&amp;Y385),"Open quote"))</f>
        <v/>
      </c>
      <c r="AA385" s="10">
        <f>IF(C385="","",C385)</f>
        <v/>
      </c>
      <c r="AB385" s="37" t="n"/>
      <c r="AC385" s="39" t="n"/>
      <c r="AD385" s="11">
        <f>IF(C385="","",N(L385)+N(AC385))</f>
        <v/>
      </c>
      <c r="AE385" s="43">
        <f>IFERROR(IF(N(AC385)=0,"",AC385/AD385),"")</f>
        <v/>
      </c>
      <c r="AF385" s="39" t="n"/>
      <c r="AG385" s="39" t="n"/>
      <c r="AH385" s="39" t="n"/>
      <c r="AI385" s="39" t="n"/>
      <c r="AJ385" s="11">
        <f>IF(C385="","",IF(H385="VIDEO",N(L385),0))</f>
        <v/>
      </c>
      <c r="AK385" s="43">
        <f>IFERROR(IF(N(L385)=0,"",AJ385/L385),"")</f>
        <v/>
      </c>
      <c r="AL385" s="11">
        <f>IF(C385="","",N(AF385)+N(AG385)+N(AH385)+N(AI385))</f>
        <v/>
      </c>
      <c r="AM385" s="11">
        <f>IF(C385="","",MAX(N(L385),N(O385))-N(AL385))</f>
        <v/>
      </c>
      <c r="AN385" s="43">
        <f>IFERROR(IF(MAX(N(L385),N(O385))=0,"",AM385/MAX(N(L385),N(O385))),"")</f>
        <v/>
      </c>
      <c r="AO385" s="41" t="n"/>
      <c r="AP385" s="41" t="n"/>
      <c r="AQ385" s="41" t="n"/>
      <c r="AR385" s="41" t="n"/>
      <c r="AS385" s="41" t="n"/>
      <c r="AT385" s="37" t="n"/>
      <c r="AU385" s="10" t="inlineStr">
        <is>
          <t>PRD-0381</t>
        </is>
      </c>
    </row>
    <row r="386">
      <c r="A386" s="16">
        <f>IF($C386="","",IFERROR(IF(INDEX(tbl_Finance[Latest Invoice Date],MATCH($AU386,tbl_Finance[Row ID],0))="","",INDEX(tbl_Finance[Latest Invoice Date],MATCH($AU386,tbl_Finance[Row ID],0))),""))</f>
        <v/>
      </c>
      <c r="B386" s="10">
        <f>IF($C386="","",IFERROR(INDEX(tbl_Finance[Invoice Numbers],MATCH($AU386,tbl_Finance[Row ID],0))&amp;"",""))</f>
        <v/>
      </c>
      <c r="C386" s="37" t="n"/>
      <c r="D386" s="10">
        <f>IF($C386="","",IF(COUNTIF(lst_Jobs,$C386&amp;"")&gt;0,"OK","CHECK"))</f>
        <v/>
      </c>
      <c r="E386" s="10">
        <f>IF($C386="","",IFERROR(INDEX(lst_JobName,MATCH($C386&amp;"",lst_Jobs,0)),""))</f>
        <v/>
      </c>
      <c r="F386" s="37" t="n"/>
      <c r="G386" s="37" t="n"/>
      <c r="H386" s="37" t="n"/>
      <c r="I386" s="37" t="n"/>
      <c r="J386" s="37" t="n"/>
      <c r="K386" s="38">
        <f>IF($C386="","",IFERROR(N(INDEX(tbl_Finance[Invoice Count],MATCH($AU386,tbl_Finance[Row ID],0))),""))</f>
        <v/>
      </c>
      <c r="L386" s="11">
        <f>IF($C386="","",IFERROR(N(INDEX(tbl_Finance[Xero Invoiced Ex GST],MATCH($AU386,tbl_Finance[Row ID],0))),""))</f>
        <v/>
      </c>
      <c r="M386" s="10">
        <f>IF($C386="","",IFERROR(INDEX(tbl_Finance[Compare],MATCH($AU386,tbl_Finance[Row ID],0))&amp;"",""))</f>
        <v/>
      </c>
      <c r="N386" s="11">
        <f>IF($C386="","",MAX(0,N(O386)-N(L386)))</f>
        <v/>
      </c>
      <c r="O386" s="39" t="n"/>
      <c r="P386" s="40">
        <f>IF($C386="","",IF((IF(F386="",", Client","")&amp;IF(G386="",", Description","")&amp;IF(H386="",", Cost Centre","")&amp;IF(I386="",", Invoice Type","")&amp;IF(J386="",", Tax Code","")&amp;IF(O386="",", Expected Revenue","")&amp;IF(COUNTIF(tbl_Finance[Job Number],$C386&amp;"")&gt;1,", Job number used twice",""))="","Complete","Fix: "&amp;MID(IF(F386="",", Client","")&amp;IF(G386="",", Description","")&amp;IF(H386="",", Cost Centre","")&amp;IF(I386="",", Invoice Type","")&amp;IF(J386="",", Tax Code","")&amp;IF(O386="",", Expected Revenue","")&amp;IF(COUNTIF(tbl_Finance[Job Number],$C386&amp;"")&gt;1,", Job number used twice",""),3,300)))</f>
        <v/>
      </c>
      <c r="Q386" s="10">
        <f>IF($C386="","",IF(H386="","(no cost centre)",H386&amp;" - GL "&amp;IFERROR(INDEX(lst_CCtoGL,MATCH(H386,lst_CCforGL,0)),"?")))</f>
        <v/>
      </c>
      <c r="R386" s="11">
        <f>IF($C386="","",IFERROR(N(INDEX(tbl_Finance[Inc GST],MATCH($AU386,tbl_Finance[Row ID],0))),""))</f>
        <v/>
      </c>
      <c r="S386" s="37" t="n"/>
      <c r="T386" s="37" t="n"/>
      <c r="U386" s="37" t="n"/>
      <c r="V386" s="42" t="n"/>
      <c r="W386" s="37" t="n"/>
      <c r="X386" s="10">
        <f>IF(W386="","",IF(AND(LEFT(W386,4)&lt;&gt;"http",set_RMSBase=""),"",HYPERLINK(IF(LEFT(W386,4)="http",W386,set_RMSBase&amp;W386),"Open in RMS")))</f>
        <v/>
      </c>
      <c r="Y386" s="37" t="n"/>
      <c r="Z386" s="10">
        <f>IF(Y386="","",HYPERLINK(IF(LEFT(Y386,4)="http",Y386,set_QwilrBase&amp;Y386),"Open quote"))</f>
        <v/>
      </c>
      <c r="AA386" s="10">
        <f>IF(C386="","",C386)</f>
        <v/>
      </c>
      <c r="AB386" s="37" t="n"/>
      <c r="AC386" s="39" t="n"/>
      <c r="AD386" s="11">
        <f>IF(C386="","",N(L386)+N(AC386))</f>
        <v/>
      </c>
      <c r="AE386" s="43">
        <f>IFERROR(IF(N(AC386)=0,"",AC386/AD386),"")</f>
        <v/>
      </c>
      <c r="AF386" s="39" t="n"/>
      <c r="AG386" s="39" t="n"/>
      <c r="AH386" s="39" t="n"/>
      <c r="AI386" s="39" t="n"/>
      <c r="AJ386" s="11">
        <f>IF(C386="","",IF(H386="VIDEO",N(L386),0))</f>
        <v/>
      </c>
      <c r="AK386" s="43">
        <f>IFERROR(IF(N(L386)=0,"",AJ386/L386),"")</f>
        <v/>
      </c>
      <c r="AL386" s="11">
        <f>IF(C386="","",N(AF386)+N(AG386)+N(AH386)+N(AI386))</f>
        <v/>
      </c>
      <c r="AM386" s="11">
        <f>IF(C386="","",MAX(N(L386),N(O386))-N(AL386))</f>
        <v/>
      </c>
      <c r="AN386" s="43">
        <f>IFERROR(IF(MAX(N(L386),N(O386))=0,"",AM386/MAX(N(L386),N(O386))),"")</f>
        <v/>
      </c>
      <c r="AO386" s="41" t="n"/>
      <c r="AP386" s="41" t="n"/>
      <c r="AQ386" s="41" t="n"/>
      <c r="AR386" s="41" t="n"/>
      <c r="AS386" s="41" t="n"/>
      <c r="AT386" s="37" t="n"/>
      <c r="AU386" s="10" t="inlineStr">
        <is>
          <t>PRD-0382</t>
        </is>
      </c>
    </row>
    <row r="387">
      <c r="A387" s="16">
        <f>IF($C387="","",IFERROR(IF(INDEX(tbl_Finance[Latest Invoice Date],MATCH($AU387,tbl_Finance[Row ID],0))="","",INDEX(tbl_Finance[Latest Invoice Date],MATCH($AU387,tbl_Finance[Row ID],0))),""))</f>
        <v/>
      </c>
      <c r="B387" s="10">
        <f>IF($C387="","",IFERROR(INDEX(tbl_Finance[Invoice Numbers],MATCH($AU387,tbl_Finance[Row ID],0))&amp;"",""))</f>
        <v/>
      </c>
      <c r="C387" s="37" t="n"/>
      <c r="D387" s="10">
        <f>IF($C387="","",IF(COUNTIF(lst_Jobs,$C387&amp;"")&gt;0,"OK","CHECK"))</f>
        <v/>
      </c>
      <c r="E387" s="10">
        <f>IF($C387="","",IFERROR(INDEX(lst_JobName,MATCH($C387&amp;"",lst_Jobs,0)),""))</f>
        <v/>
      </c>
      <c r="F387" s="37" t="n"/>
      <c r="G387" s="37" t="n"/>
      <c r="H387" s="37" t="n"/>
      <c r="I387" s="37" t="n"/>
      <c r="J387" s="37" t="n"/>
      <c r="K387" s="38">
        <f>IF($C387="","",IFERROR(N(INDEX(tbl_Finance[Invoice Count],MATCH($AU387,tbl_Finance[Row ID],0))),""))</f>
        <v/>
      </c>
      <c r="L387" s="11">
        <f>IF($C387="","",IFERROR(N(INDEX(tbl_Finance[Xero Invoiced Ex GST],MATCH($AU387,tbl_Finance[Row ID],0))),""))</f>
        <v/>
      </c>
      <c r="M387" s="10">
        <f>IF($C387="","",IFERROR(INDEX(tbl_Finance[Compare],MATCH($AU387,tbl_Finance[Row ID],0))&amp;"",""))</f>
        <v/>
      </c>
      <c r="N387" s="11">
        <f>IF($C387="","",MAX(0,N(O387)-N(L387)))</f>
        <v/>
      </c>
      <c r="O387" s="39" t="n"/>
      <c r="P387" s="40">
        <f>IF($C387="","",IF((IF(F387="",", Client","")&amp;IF(G387="",", Description","")&amp;IF(H387="",", Cost Centre","")&amp;IF(I387="",", Invoice Type","")&amp;IF(J387="",", Tax Code","")&amp;IF(O387="",", Expected Revenue","")&amp;IF(COUNTIF(tbl_Finance[Job Number],$C387&amp;"")&gt;1,", Job number used twice",""))="","Complete","Fix: "&amp;MID(IF(F387="",", Client","")&amp;IF(G387="",", Description","")&amp;IF(H387="",", Cost Centre","")&amp;IF(I387="",", Invoice Type","")&amp;IF(J387="",", Tax Code","")&amp;IF(O387="",", Expected Revenue","")&amp;IF(COUNTIF(tbl_Finance[Job Number],$C387&amp;"")&gt;1,", Job number used twice",""),3,300)))</f>
        <v/>
      </c>
      <c r="Q387" s="10">
        <f>IF($C387="","",IF(H387="","(no cost centre)",H387&amp;" - GL "&amp;IFERROR(INDEX(lst_CCtoGL,MATCH(H387,lst_CCforGL,0)),"?")))</f>
        <v/>
      </c>
      <c r="R387" s="11">
        <f>IF($C387="","",IFERROR(N(INDEX(tbl_Finance[Inc GST],MATCH($AU387,tbl_Finance[Row ID],0))),""))</f>
        <v/>
      </c>
      <c r="S387" s="37" t="n"/>
      <c r="T387" s="37" t="n"/>
      <c r="U387" s="37" t="n"/>
      <c r="V387" s="42" t="n"/>
      <c r="W387" s="37" t="n"/>
      <c r="X387" s="10">
        <f>IF(W387="","",IF(AND(LEFT(W387,4)&lt;&gt;"http",set_RMSBase=""),"",HYPERLINK(IF(LEFT(W387,4)="http",W387,set_RMSBase&amp;W387),"Open in RMS")))</f>
        <v/>
      </c>
      <c r="Y387" s="37" t="n"/>
      <c r="Z387" s="10">
        <f>IF(Y387="","",HYPERLINK(IF(LEFT(Y387,4)="http",Y387,set_QwilrBase&amp;Y387),"Open quote"))</f>
        <v/>
      </c>
      <c r="AA387" s="10">
        <f>IF(C387="","",C387)</f>
        <v/>
      </c>
      <c r="AB387" s="37" t="n"/>
      <c r="AC387" s="39" t="n"/>
      <c r="AD387" s="11">
        <f>IF(C387="","",N(L387)+N(AC387))</f>
        <v/>
      </c>
      <c r="AE387" s="43">
        <f>IFERROR(IF(N(AC387)=0,"",AC387/AD387),"")</f>
        <v/>
      </c>
      <c r="AF387" s="39" t="n"/>
      <c r="AG387" s="39" t="n"/>
      <c r="AH387" s="39" t="n"/>
      <c r="AI387" s="39" t="n"/>
      <c r="AJ387" s="11">
        <f>IF(C387="","",IF(H387="VIDEO",N(L387),0))</f>
        <v/>
      </c>
      <c r="AK387" s="43">
        <f>IFERROR(IF(N(L387)=0,"",AJ387/L387),"")</f>
        <v/>
      </c>
      <c r="AL387" s="11">
        <f>IF(C387="","",N(AF387)+N(AG387)+N(AH387)+N(AI387))</f>
        <v/>
      </c>
      <c r="AM387" s="11">
        <f>IF(C387="","",MAX(N(L387),N(O387))-N(AL387))</f>
        <v/>
      </c>
      <c r="AN387" s="43">
        <f>IFERROR(IF(MAX(N(L387),N(O387))=0,"",AM387/MAX(N(L387),N(O387))),"")</f>
        <v/>
      </c>
      <c r="AO387" s="41" t="n"/>
      <c r="AP387" s="41" t="n"/>
      <c r="AQ387" s="41" t="n"/>
      <c r="AR387" s="41" t="n"/>
      <c r="AS387" s="41" t="n"/>
      <c r="AT387" s="37" t="n"/>
      <c r="AU387" s="10" t="inlineStr">
        <is>
          <t>PRD-0383</t>
        </is>
      </c>
    </row>
    <row r="388">
      <c r="A388" s="16">
        <f>IF($C388="","",IFERROR(IF(INDEX(tbl_Finance[Latest Invoice Date],MATCH($AU388,tbl_Finance[Row ID],0))="","",INDEX(tbl_Finance[Latest Invoice Date],MATCH($AU388,tbl_Finance[Row ID],0))),""))</f>
        <v/>
      </c>
      <c r="B388" s="10">
        <f>IF($C388="","",IFERROR(INDEX(tbl_Finance[Invoice Numbers],MATCH($AU388,tbl_Finance[Row ID],0))&amp;"",""))</f>
        <v/>
      </c>
      <c r="C388" s="37" t="n"/>
      <c r="D388" s="10">
        <f>IF($C388="","",IF(COUNTIF(lst_Jobs,$C388&amp;"")&gt;0,"OK","CHECK"))</f>
        <v/>
      </c>
      <c r="E388" s="10">
        <f>IF($C388="","",IFERROR(INDEX(lst_JobName,MATCH($C388&amp;"",lst_Jobs,0)),""))</f>
        <v/>
      </c>
      <c r="F388" s="37" t="n"/>
      <c r="G388" s="37" t="n"/>
      <c r="H388" s="37" t="n"/>
      <c r="I388" s="37" t="n"/>
      <c r="J388" s="37" t="n"/>
      <c r="K388" s="38">
        <f>IF($C388="","",IFERROR(N(INDEX(tbl_Finance[Invoice Count],MATCH($AU388,tbl_Finance[Row ID],0))),""))</f>
        <v/>
      </c>
      <c r="L388" s="11">
        <f>IF($C388="","",IFERROR(N(INDEX(tbl_Finance[Xero Invoiced Ex GST],MATCH($AU388,tbl_Finance[Row ID],0))),""))</f>
        <v/>
      </c>
      <c r="M388" s="10">
        <f>IF($C388="","",IFERROR(INDEX(tbl_Finance[Compare],MATCH($AU388,tbl_Finance[Row ID],0))&amp;"",""))</f>
        <v/>
      </c>
      <c r="N388" s="11">
        <f>IF($C388="","",MAX(0,N(O388)-N(L388)))</f>
        <v/>
      </c>
      <c r="O388" s="39" t="n"/>
      <c r="P388" s="40">
        <f>IF($C388="","",IF((IF(F388="",", Client","")&amp;IF(G388="",", Description","")&amp;IF(H388="",", Cost Centre","")&amp;IF(I388="",", Invoice Type","")&amp;IF(J388="",", Tax Code","")&amp;IF(O388="",", Expected Revenue","")&amp;IF(COUNTIF(tbl_Finance[Job Number],$C388&amp;"")&gt;1,", Job number used twice",""))="","Complete","Fix: "&amp;MID(IF(F388="",", Client","")&amp;IF(G388="",", Description","")&amp;IF(H388="",", Cost Centre","")&amp;IF(I388="",", Invoice Type","")&amp;IF(J388="",", Tax Code","")&amp;IF(O388="",", Expected Revenue","")&amp;IF(COUNTIF(tbl_Finance[Job Number],$C388&amp;"")&gt;1,", Job number used twice",""),3,300)))</f>
        <v/>
      </c>
      <c r="Q388" s="10">
        <f>IF($C388="","",IF(H388="","(no cost centre)",H388&amp;" - GL "&amp;IFERROR(INDEX(lst_CCtoGL,MATCH(H388,lst_CCforGL,0)),"?")))</f>
        <v/>
      </c>
      <c r="R388" s="11">
        <f>IF($C388="","",IFERROR(N(INDEX(tbl_Finance[Inc GST],MATCH($AU388,tbl_Finance[Row ID],0))),""))</f>
        <v/>
      </c>
      <c r="S388" s="37" t="n"/>
      <c r="T388" s="37" t="n"/>
      <c r="U388" s="37" t="n"/>
      <c r="V388" s="42" t="n"/>
      <c r="W388" s="37" t="n"/>
      <c r="X388" s="10">
        <f>IF(W388="","",IF(AND(LEFT(W388,4)&lt;&gt;"http",set_RMSBase=""),"",HYPERLINK(IF(LEFT(W388,4)="http",W388,set_RMSBase&amp;W388),"Open in RMS")))</f>
        <v/>
      </c>
      <c r="Y388" s="37" t="n"/>
      <c r="Z388" s="10">
        <f>IF(Y388="","",HYPERLINK(IF(LEFT(Y388,4)="http",Y388,set_QwilrBase&amp;Y388),"Open quote"))</f>
        <v/>
      </c>
      <c r="AA388" s="10">
        <f>IF(C388="","",C388)</f>
        <v/>
      </c>
      <c r="AB388" s="37" t="n"/>
      <c r="AC388" s="39" t="n"/>
      <c r="AD388" s="11">
        <f>IF(C388="","",N(L388)+N(AC388))</f>
        <v/>
      </c>
      <c r="AE388" s="43">
        <f>IFERROR(IF(N(AC388)=0,"",AC388/AD388),"")</f>
        <v/>
      </c>
      <c r="AF388" s="39" t="n"/>
      <c r="AG388" s="39" t="n"/>
      <c r="AH388" s="39" t="n"/>
      <c r="AI388" s="39" t="n"/>
      <c r="AJ388" s="11">
        <f>IF(C388="","",IF(H388="VIDEO",N(L388),0))</f>
        <v/>
      </c>
      <c r="AK388" s="43">
        <f>IFERROR(IF(N(L388)=0,"",AJ388/L388),"")</f>
        <v/>
      </c>
      <c r="AL388" s="11">
        <f>IF(C388="","",N(AF388)+N(AG388)+N(AH388)+N(AI388))</f>
        <v/>
      </c>
      <c r="AM388" s="11">
        <f>IF(C388="","",MAX(N(L388),N(O388))-N(AL388))</f>
        <v/>
      </c>
      <c r="AN388" s="43">
        <f>IFERROR(IF(MAX(N(L388),N(O388))=0,"",AM388/MAX(N(L388),N(O388))),"")</f>
        <v/>
      </c>
      <c r="AO388" s="41" t="n"/>
      <c r="AP388" s="41" t="n"/>
      <c r="AQ388" s="41" t="n"/>
      <c r="AR388" s="41" t="n"/>
      <c r="AS388" s="41" t="n"/>
      <c r="AT388" s="37" t="n"/>
      <c r="AU388" s="10" t="inlineStr">
        <is>
          <t>PRD-0384</t>
        </is>
      </c>
    </row>
    <row r="389">
      <c r="A389" s="16">
        <f>IF($C389="","",IFERROR(IF(INDEX(tbl_Finance[Latest Invoice Date],MATCH($AU389,tbl_Finance[Row ID],0))="","",INDEX(tbl_Finance[Latest Invoice Date],MATCH($AU389,tbl_Finance[Row ID],0))),""))</f>
        <v/>
      </c>
      <c r="B389" s="10">
        <f>IF($C389="","",IFERROR(INDEX(tbl_Finance[Invoice Numbers],MATCH($AU389,tbl_Finance[Row ID],0))&amp;"",""))</f>
        <v/>
      </c>
      <c r="C389" s="37" t="n"/>
      <c r="D389" s="10">
        <f>IF($C389="","",IF(COUNTIF(lst_Jobs,$C389&amp;"")&gt;0,"OK","CHECK"))</f>
        <v/>
      </c>
      <c r="E389" s="10">
        <f>IF($C389="","",IFERROR(INDEX(lst_JobName,MATCH($C389&amp;"",lst_Jobs,0)),""))</f>
        <v/>
      </c>
      <c r="F389" s="37" t="n"/>
      <c r="G389" s="37" t="n"/>
      <c r="H389" s="37" t="n"/>
      <c r="I389" s="37" t="n"/>
      <c r="J389" s="37" t="n"/>
      <c r="K389" s="38">
        <f>IF($C389="","",IFERROR(N(INDEX(tbl_Finance[Invoice Count],MATCH($AU389,tbl_Finance[Row ID],0))),""))</f>
        <v/>
      </c>
      <c r="L389" s="11">
        <f>IF($C389="","",IFERROR(N(INDEX(tbl_Finance[Xero Invoiced Ex GST],MATCH($AU389,tbl_Finance[Row ID],0))),""))</f>
        <v/>
      </c>
      <c r="M389" s="10">
        <f>IF($C389="","",IFERROR(INDEX(tbl_Finance[Compare],MATCH($AU389,tbl_Finance[Row ID],0))&amp;"",""))</f>
        <v/>
      </c>
      <c r="N389" s="11">
        <f>IF($C389="","",MAX(0,N(O389)-N(L389)))</f>
        <v/>
      </c>
      <c r="O389" s="39" t="n"/>
      <c r="P389" s="40">
        <f>IF($C389="","",IF((IF(F389="",", Client","")&amp;IF(G389="",", Description","")&amp;IF(H389="",", Cost Centre","")&amp;IF(I389="",", Invoice Type","")&amp;IF(J389="",", Tax Code","")&amp;IF(O389="",", Expected Revenue","")&amp;IF(COUNTIF(tbl_Finance[Job Number],$C389&amp;"")&gt;1,", Job number used twice",""))="","Complete","Fix: "&amp;MID(IF(F389="",", Client","")&amp;IF(G389="",", Description","")&amp;IF(H389="",", Cost Centre","")&amp;IF(I389="",", Invoice Type","")&amp;IF(J389="",", Tax Code","")&amp;IF(O389="",", Expected Revenue","")&amp;IF(COUNTIF(tbl_Finance[Job Number],$C389&amp;"")&gt;1,", Job number used twice",""),3,300)))</f>
        <v/>
      </c>
      <c r="Q389" s="10">
        <f>IF($C389="","",IF(H389="","(no cost centre)",H389&amp;" - GL "&amp;IFERROR(INDEX(lst_CCtoGL,MATCH(H389,lst_CCforGL,0)),"?")))</f>
        <v/>
      </c>
      <c r="R389" s="11">
        <f>IF($C389="","",IFERROR(N(INDEX(tbl_Finance[Inc GST],MATCH($AU389,tbl_Finance[Row ID],0))),""))</f>
        <v/>
      </c>
      <c r="S389" s="37" t="n"/>
      <c r="T389" s="37" t="n"/>
      <c r="U389" s="37" t="n"/>
      <c r="V389" s="42" t="n"/>
      <c r="W389" s="37" t="n"/>
      <c r="X389" s="10">
        <f>IF(W389="","",IF(AND(LEFT(W389,4)&lt;&gt;"http",set_RMSBase=""),"",HYPERLINK(IF(LEFT(W389,4)="http",W389,set_RMSBase&amp;W389),"Open in RMS")))</f>
        <v/>
      </c>
      <c r="Y389" s="37" t="n"/>
      <c r="Z389" s="10">
        <f>IF(Y389="","",HYPERLINK(IF(LEFT(Y389,4)="http",Y389,set_QwilrBase&amp;Y389),"Open quote"))</f>
        <v/>
      </c>
      <c r="AA389" s="10">
        <f>IF(C389="","",C389)</f>
        <v/>
      </c>
      <c r="AB389" s="37" t="n"/>
      <c r="AC389" s="39" t="n"/>
      <c r="AD389" s="11">
        <f>IF(C389="","",N(L389)+N(AC389))</f>
        <v/>
      </c>
      <c r="AE389" s="43">
        <f>IFERROR(IF(N(AC389)=0,"",AC389/AD389),"")</f>
        <v/>
      </c>
      <c r="AF389" s="39" t="n"/>
      <c r="AG389" s="39" t="n"/>
      <c r="AH389" s="39" t="n"/>
      <c r="AI389" s="39" t="n"/>
      <c r="AJ389" s="11">
        <f>IF(C389="","",IF(H389="VIDEO",N(L389),0))</f>
        <v/>
      </c>
      <c r="AK389" s="43">
        <f>IFERROR(IF(N(L389)=0,"",AJ389/L389),"")</f>
        <v/>
      </c>
      <c r="AL389" s="11">
        <f>IF(C389="","",N(AF389)+N(AG389)+N(AH389)+N(AI389))</f>
        <v/>
      </c>
      <c r="AM389" s="11">
        <f>IF(C389="","",MAX(N(L389),N(O389))-N(AL389))</f>
        <v/>
      </c>
      <c r="AN389" s="43">
        <f>IFERROR(IF(MAX(N(L389),N(O389))=0,"",AM389/MAX(N(L389),N(O389))),"")</f>
        <v/>
      </c>
      <c r="AO389" s="41" t="n"/>
      <c r="AP389" s="41" t="n"/>
      <c r="AQ389" s="41" t="n"/>
      <c r="AR389" s="41" t="n"/>
      <c r="AS389" s="41" t="n"/>
      <c r="AT389" s="37" t="n"/>
      <c r="AU389" s="10" t="inlineStr">
        <is>
          <t>PRD-0385</t>
        </is>
      </c>
    </row>
    <row r="390">
      <c r="A390" s="16">
        <f>IF($C390="","",IFERROR(IF(INDEX(tbl_Finance[Latest Invoice Date],MATCH($AU390,tbl_Finance[Row ID],0))="","",INDEX(tbl_Finance[Latest Invoice Date],MATCH($AU390,tbl_Finance[Row ID],0))),""))</f>
        <v/>
      </c>
      <c r="B390" s="10">
        <f>IF($C390="","",IFERROR(INDEX(tbl_Finance[Invoice Numbers],MATCH($AU390,tbl_Finance[Row ID],0))&amp;"",""))</f>
        <v/>
      </c>
      <c r="C390" s="37" t="n"/>
      <c r="D390" s="10">
        <f>IF($C390="","",IF(COUNTIF(lst_Jobs,$C390&amp;"")&gt;0,"OK","CHECK"))</f>
        <v/>
      </c>
      <c r="E390" s="10">
        <f>IF($C390="","",IFERROR(INDEX(lst_JobName,MATCH($C390&amp;"",lst_Jobs,0)),""))</f>
        <v/>
      </c>
      <c r="F390" s="37" t="n"/>
      <c r="G390" s="37" t="n"/>
      <c r="H390" s="37" t="n"/>
      <c r="I390" s="37" t="n"/>
      <c r="J390" s="37" t="n"/>
      <c r="K390" s="38">
        <f>IF($C390="","",IFERROR(N(INDEX(tbl_Finance[Invoice Count],MATCH($AU390,tbl_Finance[Row ID],0))),""))</f>
        <v/>
      </c>
      <c r="L390" s="11">
        <f>IF($C390="","",IFERROR(N(INDEX(tbl_Finance[Xero Invoiced Ex GST],MATCH($AU390,tbl_Finance[Row ID],0))),""))</f>
        <v/>
      </c>
      <c r="M390" s="10">
        <f>IF($C390="","",IFERROR(INDEX(tbl_Finance[Compare],MATCH($AU390,tbl_Finance[Row ID],0))&amp;"",""))</f>
        <v/>
      </c>
      <c r="N390" s="11">
        <f>IF($C390="","",MAX(0,N(O390)-N(L390)))</f>
        <v/>
      </c>
      <c r="O390" s="39" t="n"/>
      <c r="P390" s="40">
        <f>IF($C390="","",IF((IF(F390="",", Client","")&amp;IF(G390="",", Description","")&amp;IF(H390="",", Cost Centre","")&amp;IF(I390="",", Invoice Type","")&amp;IF(J390="",", Tax Code","")&amp;IF(O390="",", Expected Revenue","")&amp;IF(COUNTIF(tbl_Finance[Job Number],$C390&amp;"")&gt;1,", Job number used twice",""))="","Complete","Fix: "&amp;MID(IF(F390="",", Client","")&amp;IF(G390="",", Description","")&amp;IF(H390="",", Cost Centre","")&amp;IF(I390="",", Invoice Type","")&amp;IF(J390="",", Tax Code","")&amp;IF(O390="",", Expected Revenue","")&amp;IF(COUNTIF(tbl_Finance[Job Number],$C390&amp;"")&gt;1,", Job number used twice",""),3,300)))</f>
        <v/>
      </c>
      <c r="Q390" s="10">
        <f>IF($C390="","",IF(H390="","(no cost centre)",H390&amp;" - GL "&amp;IFERROR(INDEX(lst_CCtoGL,MATCH(H390,lst_CCforGL,0)),"?")))</f>
        <v/>
      </c>
      <c r="R390" s="11">
        <f>IF($C390="","",IFERROR(N(INDEX(tbl_Finance[Inc GST],MATCH($AU390,tbl_Finance[Row ID],0))),""))</f>
        <v/>
      </c>
      <c r="S390" s="37" t="n"/>
      <c r="T390" s="37" t="n"/>
      <c r="U390" s="37" t="n"/>
      <c r="V390" s="42" t="n"/>
      <c r="W390" s="37" t="n"/>
      <c r="X390" s="10">
        <f>IF(W390="","",IF(AND(LEFT(W390,4)&lt;&gt;"http",set_RMSBase=""),"",HYPERLINK(IF(LEFT(W390,4)="http",W390,set_RMSBase&amp;W390),"Open in RMS")))</f>
        <v/>
      </c>
      <c r="Y390" s="37" t="n"/>
      <c r="Z390" s="10">
        <f>IF(Y390="","",HYPERLINK(IF(LEFT(Y390,4)="http",Y390,set_QwilrBase&amp;Y390),"Open quote"))</f>
        <v/>
      </c>
      <c r="AA390" s="10">
        <f>IF(C390="","",C390)</f>
        <v/>
      </c>
      <c r="AB390" s="37" t="n"/>
      <c r="AC390" s="39" t="n"/>
      <c r="AD390" s="11">
        <f>IF(C390="","",N(L390)+N(AC390))</f>
        <v/>
      </c>
      <c r="AE390" s="43">
        <f>IFERROR(IF(N(AC390)=0,"",AC390/AD390),"")</f>
        <v/>
      </c>
      <c r="AF390" s="39" t="n"/>
      <c r="AG390" s="39" t="n"/>
      <c r="AH390" s="39" t="n"/>
      <c r="AI390" s="39" t="n"/>
      <c r="AJ390" s="11">
        <f>IF(C390="","",IF(H390="VIDEO",N(L390),0))</f>
        <v/>
      </c>
      <c r="AK390" s="43">
        <f>IFERROR(IF(N(L390)=0,"",AJ390/L390),"")</f>
        <v/>
      </c>
      <c r="AL390" s="11">
        <f>IF(C390="","",N(AF390)+N(AG390)+N(AH390)+N(AI390))</f>
        <v/>
      </c>
      <c r="AM390" s="11">
        <f>IF(C390="","",MAX(N(L390),N(O390))-N(AL390))</f>
        <v/>
      </c>
      <c r="AN390" s="43">
        <f>IFERROR(IF(MAX(N(L390),N(O390))=0,"",AM390/MAX(N(L390),N(O390))),"")</f>
        <v/>
      </c>
      <c r="AO390" s="41" t="n"/>
      <c r="AP390" s="41" t="n"/>
      <c r="AQ390" s="41" t="n"/>
      <c r="AR390" s="41" t="n"/>
      <c r="AS390" s="41" t="n"/>
      <c r="AT390" s="37" t="n"/>
      <c r="AU390" s="10" t="inlineStr">
        <is>
          <t>PRD-0386</t>
        </is>
      </c>
    </row>
    <row r="391">
      <c r="A391" s="16">
        <f>IF($C391="","",IFERROR(IF(INDEX(tbl_Finance[Latest Invoice Date],MATCH($AU391,tbl_Finance[Row ID],0))="","",INDEX(tbl_Finance[Latest Invoice Date],MATCH($AU391,tbl_Finance[Row ID],0))),""))</f>
        <v/>
      </c>
      <c r="B391" s="10">
        <f>IF($C391="","",IFERROR(INDEX(tbl_Finance[Invoice Numbers],MATCH($AU391,tbl_Finance[Row ID],0))&amp;"",""))</f>
        <v/>
      </c>
      <c r="C391" s="37" t="n"/>
      <c r="D391" s="10">
        <f>IF($C391="","",IF(COUNTIF(lst_Jobs,$C391&amp;"")&gt;0,"OK","CHECK"))</f>
        <v/>
      </c>
      <c r="E391" s="10">
        <f>IF($C391="","",IFERROR(INDEX(lst_JobName,MATCH($C391&amp;"",lst_Jobs,0)),""))</f>
        <v/>
      </c>
      <c r="F391" s="37" t="n"/>
      <c r="G391" s="37" t="n"/>
      <c r="H391" s="37" t="n"/>
      <c r="I391" s="37" t="n"/>
      <c r="J391" s="37" t="n"/>
      <c r="K391" s="38">
        <f>IF($C391="","",IFERROR(N(INDEX(tbl_Finance[Invoice Count],MATCH($AU391,tbl_Finance[Row ID],0))),""))</f>
        <v/>
      </c>
      <c r="L391" s="11">
        <f>IF($C391="","",IFERROR(N(INDEX(tbl_Finance[Xero Invoiced Ex GST],MATCH($AU391,tbl_Finance[Row ID],0))),""))</f>
        <v/>
      </c>
      <c r="M391" s="10">
        <f>IF($C391="","",IFERROR(INDEX(tbl_Finance[Compare],MATCH($AU391,tbl_Finance[Row ID],0))&amp;"",""))</f>
        <v/>
      </c>
      <c r="N391" s="11">
        <f>IF($C391="","",MAX(0,N(O391)-N(L391)))</f>
        <v/>
      </c>
      <c r="O391" s="39" t="n"/>
      <c r="P391" s="40">
        <f>IF($C391="","",IF((IF(F391="",", Client","")&amp;IF(G391="",", Description","")&amp;IF(H391="",", Cost Centre","")&amp;IF(I391="",", Invoice Type","")&amp;IF(J391="",", Tax Code","")&amp;IF(O391="",", Expected Revenue","")&amp;IF(COUNTIF(tbl_Finance[Job Number],$C391&amp;"")&gt;1,", Job number used twice",""))="","Complete","Fix: "&amp;MID(IF(F391="",", Client","")&amp;IF(G391="",", Description","")&amp;IF(H391="",", Cost Centre","")&amp;IF(I391="",", Invoice Type","")&amp;IF(J391="",", Tax Code","")&amp;IF(O391="",", Expected Revenue","")&amp;IF(COUNTIF(tbl_Finance[Job Number],$C391&amp;"")&gt;1,", Job number used twice",""),3,300)))</f>
        <v/>
      </c>
      <c r="Q391" s="10">
        <f>IF($C391="","",IF(H391="","(no cost centre)",H391&amp;" - GL "&amp;IFERROR(INDEX(lst_CCtoGL,MATCH(H391,lst_CCforGL,0)),"?")))</f>
        <v/>
      </c>
      <c r="R391" s="11">
        <f>IF($C391="","",IFERROR(N(INDEX(tbl_Finance[Inc GST],MATCH($AU391,tbl_Finance[Row ID],0))),""))</f>
        <v/>
      </c>
      <c r="S391" s="37" t="n"/>
      <c r="T391" s="37" t="n"/>
      <c r="U391" s="37" t="n"/>
      <c r="V391" s="42" t="n"/>
      <c r="W391" s="37" t="n"/>
      <c r="X391" s="10">
        <f>IF(W391="","",IF(AND(LEFT(W391,4)&lt;&gt;"http",set_RMSBase=""),"",HYPERLINK(IF(LEFT(W391,4)="http",W391,set_RMSBase&amp;W391),"Open in RMS")))</f>
        <v/>
      </c>
      <c r="Y391" s="37" t="n"/>
      <c r="Z391" s="10">
        <f>IF(Y391="","",HYPERLINK(IF(LEFT(Y391,4)="http",Y391,set_QwilrBase&amp;Y391),"Open quote"))</f>
        <v/>
      </c>
      <c r="AA391" s="10">
        <f>IF(C391="","",C391)</f>
        <v/>
      </c>
      <c r="AB391" s="37" t="n"/>
      <c r="AC391" s="39" t="n"/>
      <c r="AD391" s="11">
        <f>IF(C391="","",N(L391)+N(AC391))</f>
        <v/>
      </c>
      <c r="AE391" s="43">
        <f>IFERROR(IF(N(AC391)=0,"",AC391/AD391),"")</f>
        <v/>
      </c>
      <c r="AF391" s="39" t="n"/>
      <c r="AG391" s="39" t="n"/>
      <c r="AH391" s="39" t="n"/>
      <c r="AI391" s="39" t="n"/>
      <c r="AJ391" s="11">
        <f>IF(C391="","",IF(H391="VIDEO",N(L391),0))</f>
        <v/>
      </c>
      <c r="AK391" s="43">
        <f>IFERROR(IF(N(L391)=0,"",AJ391/L391),"")</f>
        <v/>
      </c>
      <c r="AL391" s="11">
        <f>IF(C391="","",N(AF391)+N(AG391)+N(AH391)+N(AI391))</f>
        <v/>
      </c>
      <c r="AM391" s="11">
        <f>IF(C391="","",MAX(N(L391),N(O391))-N(AL391))</f>
        <v/>
      </c>
      <c r="AN391" s="43">
        <f>IFERROR(IF(MAX(N(L391),N(O391))=0,"",AM391/MAX(N(L391),N(O391))),"")</f>
        <v/>
      </c>
      <c r="AO391" s="41" t="n"/>
      <c r="AP391" s="41" t="n"/>
      <c r="AQ391" s="41" t="n"/>
      <c r="AR391" s="41" t="n"/>
      <c r="AS391" s="41" t="n"/>
      <c r="AT391" s="37" t="n"/>
      <c r="AU391" s="10" t="inlineStr">
        <is>
          <t>PRD-0387</t>
        </is>
      </c>
    </row>
    <row r="392">
      <c r="A392" s="16">
        <f>IF($C392="","",IFERROR(IF(INDEX(tbl_Finance[Latest Invoice Date],MATCH($AU392,tbl_Finance[Row ID],0))="","",INDEX(tbl_Finance[Latest Invoice Date],MATCH($AU392,tbl_Finance[Row ID],0))),""))</f>
        <v/>
      </c>
      <c r="B392" s="10">
        <f>IF($C392="","",IFERROR(INDEX(tbl_Finance[Invoice Numbers],MATCH($AU392,tbl_Finance[Row ID],0))&amp;"",""))</f>
        <v/>
      </c>
      <c r="C392" s="37" t="n"/>
      <c r="D392" s="10">
        <f>IF($C392="","",IF(COUNTIF(lst_Jobs,$C392&amp;"")&gt;0,"OK","CHECK"))</f>
        <v/>
      </c>
      <c r="E392" s="10">
        <f>IF($C392="","",IFERROR(INDEX(lst_JobName,MATCH($C392&amp;"",lst_Jobs,0)),""))</f>
        <v/>
      </c>
      <c r="F392" s="37" t="n"/>
      <c r="G392" s="37" t="n"/>
      <c r="H392" s="37" t="n"/>
      <c r="I392" s="37" t="n"/>
      <c r="J392" s="37" t="n"/>
      <c r="K392" s="38">
        <f>IF($C392="","",IFERROR(N(INDEX(tbl_Finance[Invoice Count],MATCH($AU392,tbl_Finance[Row ID],0))),""))</f>
        <v/>
      </c>
      <c r="L392" s="11">
        <f>IF($C392="","",IFERROR(N(INDEX(tbl_Finance[Xero Invoiced Ex GST],MATCH($AU392,tbl_Finance[Row ID],0))),""))</f>
        <v/>
      </c>
      <c r="M392" s="10">
        <f>IF($C392="","",IFERROR(INDEX(tbl_Finance[Compare],MATCH($AU392,tbl_Finance[Row ID],0))&amp;"",""))</f>
        <v/>
      </c>
      <c r="N392" s="11">
        <f>IF($C392="","",MAX(0,N(O392)-N(L392)))</f>
        <v/>
      </c>
      <c r="O392" s="39" t="n"/>
      <c r="P392" s="40">
        <f>IF($C392="","",IF((IF(F392="",", Client","")&amp;IF(G392="",", Description","")&amp;IF(H392="",", Cost Centre","")&amp;IF(I392="",", Invoice Type","")&amp;IF(J392="",", Tax Code","")&amp;IF(O392="",", Expected Revenue","")&amp;IF(COUNTIF(tbl_Finance[Job Number],$C392&amp;"")&gt;1,", Job number used twice",""))="","Complete","Fix: "&amp;MID(IF(F392="",", Client","")&amp;IF(G392="",", Description","")&amp;IF(H392="",", Cost Centre","")&amp;IF(I392="",", Invoice Type","")&amp;IF(J392="",", Tax Code","")&amp;IF(O392="",", Expected Revenue","")&amp;IF(COUNTIF(tbl_Finance[Job Number],$C392&amp;"")&gt;1,", Job number used twice",""),3,300)))</f>
        <v/>
      </c>
      <c r="Q392" s="10">
        <f>IF($C392="","",IF(H392="","(no cost centre)",H392&amp;" - GL "&amp;IFERROR(INDEX(lst_CCtoGL,MATCH(H392,lst_CCforGL,0)),"?")))</f>
        <v/>
      </c>
      <c r="R392" s="11">
        <f>IF($C392="","",IFERROR(N(INDEX(tbl_Finance[Inc GST],MATCH($AU392,tbl_Finance[Row ID],0))),""))</f>
        <v/>
      </c>
      <c r="S392" s="37" t="n"/>
      <c r="T392" s="37" t="n"/>
      <c r="U392" s="37" t="n"/>
      <c r="V392" s="42" t="n"/>
      <c r="W392" s="37" t="n"/>
      <c r="X392" s="10">
        <f>IF(W392="","",IF(AND(LEFT(W392,4)&lt;&gt;"http",set_RMSBase=""),"",HYPERLINK(IF(LEFT(W392,4)="http",W392,set_RMSBase&amp;W392),"Open in RMS")))</f>
        <v/>
      </c>
      <c r="Y392" s="37" t="n"/>
      <c r="Z392" s="10">
        <f>IF(Y392="","",HYPERLINK(IF(LEFT(Y392,4)="http",Y392,set_QwilrBase&amp;Y392),"Open quote"))</f>
        <v/>
      </c>
      <c r="AA392" s="10">
        <f>IF(C392="","",C392)</f>
        <v/>
      </c>
      <c r="AB392" s="37" t="n"/>
      <c r="AC392" s="39" t="n"/>
      <c r="AD392" s="11">
        <f>IF(C392="","",N(L392)+N(AC392))</f>
        <v/>
      </c>
      <c r="AE392" s="43">
        <f>IFERROR(IF(N(AC392)=0,"",AC392/AD392),"")</f>
        <v/>
      </c>
      <c r="AF392" s="39" t="n"/>
      <c r="AG392" s="39" t="n"/>
      <c r="AH392" s="39" t="n"/>
      <c r="AI392" s="39" t="n"/>
      <c r="AJ392" s="11">
        <f>IF(C392="","",IF(H392="VIDEO",N(L392),0))</f>
        <v/>
      </c>
      <c r="AK392" s="43">
        <f>IFERROR(IF(N(L392)=0,"",AJ392/L392),"")</f>
        <v/>
      </c>
      <c r="AL392" s="11">
        <f>IF(C392="","",N(AF392)+N(AG392)+N(AH392)+N(AI392))</f>
        <v/>
      </c>
      <c r="AM392" s="11">
        <f>IF(C392="","",MAX(N(L392),N(O392))-N(AL392))</f>
        <v/>
      </c>
      <c r="AN392" s="43">
        <f>IFERROR(IF(MAX(N(L392),N(O392))=0,"",AM392/MAX(N(L392),N(O392))),"")</f>
        <v/>
      </c>
      <c r="AO392" s="41" t="n"/>
      <c r="AP392" s="41" t="n"/>
      <c r="AQ392" s="41" t="n"/>
      <c r="AR392" s="41" t="n"/>
      <c r="AS392" s="41" t="n"/>
      <c r="AT392" s="37" t="n"/>
      <c r="AU392" s="10" t="inlineStr">
        <is>
          <t>PRD-0388</t>
        </is>
      </c>
    </row>
    <row r="393">
      <c r="A393" s="16">
        <f>IF($C393="","",IFERROR(IF(INDEX(tbl_Finance[Latest Invoice Date],MATCH($AU393,tbl_Finance[Row ID],0))="","",INDEX(tbl_Finance[Latest Invoice Date],MATCH($AU393,tbl_Finance[Row ID],0))),""))</f>
        <v/>
      </c>
      <c r="B393" s="10">
        <f>IF($C393="","",IFERROR(INDEX(tbl_Finance[Invoice Numbers],MATCH($AU393,tbl_Finance[Row ID],0))&amp;"",""))</f>
        <v/>
      </c>
      <c r="C393" s="37" t="n"/>
      <c r="D393" s="10">
        <f>IF($C393="","",IF(COUNTIF(lst_Jobs,$C393&amp;"")&gt;0,"OK","CHECK"))</f>
        <v/>
      </c>
      <c r="E393" s="10">
        <f>IF($C393="","",IFERROR(INDEX(lst_JobName,MATCH($C393&amp;"",lst_Jobs,0)),""))</f>
        <v/>
      </c>
      <c r="F393" s="37" t="n"/>
      <c r="G393" s="37" t="n"/>
      <c r="H393" s="37" t="n"/>
      <c r="I393" s="37" t="n"/>
      <c r="J393" s="37" t="n"/>
      <c r="K393" s="38">
        <f>IF($C393="","",IFERROR(N(INDEX(tbl_Finance[Invoice Count],MATCH($AU393,tbl_Finance[Row ID],0))),""))</f>
        <v/>
      </c>
      <c r="L393" s="11">
        <f>IF($C393="","",IFERROR(N(INDEX(tbl_Finance[Xero Invoiced Ex GST],MATCH($AU393,tbl_Finance[Row ID],0))),""))</f>
        <v/>
      </c>
      <c r="M393" s="10">
        <f>IF($C393="","",IFERROR(INDEX(tbl_Finance[Compare],MATCH($AU393,tbl_Finance[Row ID],0))&amp;"",""))</f>
        <v/>
      </c>
      <c r="N393" s="11">
        <f>IF($C393="","",MAX(0,N(O393)-N(L393)))</f>
        <v/>
      </c>
      <c r="O393" s="39" t="n"/>
      <c r="P393" s="40">
        <f>IF($C393="","",IF((IF(F393="",", Client","")&amp;IF(G393="",", Description","")&amp;IF(H393="",", Cost Centre","")&amp;IF(I393="",", Invoice Type","")&amp;IF(J393="",", Tax Code","")&amp;IF(O393="",", Expected Revenue","")&amp;IF(COUNTIF(tbl_Finance[Job Number],$C393&amp;"")&gt;1,", Job number used twice",""))="","Complete","Fix: "&amp;MID(IF(F393="",", Client","")&amp;IF(G393="",", Description","")&amp;IF(H393="",", Cost Centre","")&amp;IF(I393="",", Invoice Type","")&amp;IF(J393="",", Tax Code","")&amp;IF(O393="",", Expected Revenue","")&amp;IF(COUNTIF(tbl_Finance[Job Number],$C393&amp;"")&gt;1,", Job number used twice",""),3,300)))</f>
        <v/>
      </c>
      <c r="Q393" s="10">
        <f>IF($C393="","",IF(H393="","(no cost centre)",H393&amp;" - GL "&amp;IFERROR(INDEX(lst_CCtoGL,MATCH(H393,lst_CCforGL,0)),"?")))</f>
        <v/>
      </c>
      <c r="R393" s="11">
        <f>IF($C393="","",IFERROR(N(INDEX(tbl_Finance[Inc GST],MATCH($AU393,tbl_Finance[Row ID],0))),""))</f>
        <v/>
      </c>
      <c r="S393" s="37" t="n"/>
      <c r="T393" s="37" t="n"/>
      <c r="U393" s="37" t="n"/>
      <c r="V393" s="42" t="n"/>
      <c r="W393" s="37" t="n"/>
      <c r="X393" s="10">
        <f>IF(W393="","",IF(AND(LEFT(W393,4)&lt;&gt;"http",set_RMSBase=""),"",HYPERLINK(IF(LEFT(W393,4)="http",W393,set_RMSBase&amp;W393),"Open in RMS")))</f>
        <v/>
      </c>
      <c r="Y393" s="37" t="n"/>
      <c r="Z393" s="10">
        <f>IF(Y393="","",HYPERLINK(IF(LEFT(Y393,4)="http",Y393,set_QwilrBase&amp;Y393),"Open quote"))</f>
        <v/>
      </c>
      <c r="AA393" s="10">
        <f>IF(C393="","",C393)</f>
        <v/>
      </c>
      <c r="AB393" s="37" t="n"/>
      <c r="AC393" s="39" t="n"/>
      <c r="AD393" s="11">
        <f>IF(C393="","",N(L393)+N(AC393))</f>
        <v/>
      </c>
      <c r="AE393" s="43">
        <f>IFERROR(IF(N(AC393)=0,"",AC393/AD393),"")</f>
        <v/>
      </c>
      <c r="AF393" s="39" t="n"/>
      <c r="AG393" s="39" t="n"/>
      <c r="AH393" s="39" t="n"/>
      <c r="AI393" s="39" t="n"/>
      <c r="AJ393" s="11">
        <f>IF(C393="","",IF(H393="VIDEO",N(L393),0))</f>
        <v/>
      </c>
      <c r="AK393" s="43">
        <f>IFERROR(IF(N(L393)=0,"",AJ393/L393),"")</f>
        <v/>
      </c>
      <c r="AL393" s="11">
        <f>IF(C393="","",N(AF393)+N(AG393)+N(AH393)+N(AI393))</f>
        <v/>
      </c>
      <c r="AM393" s="11">
        <f>IF(C393="","",MAX(N(L393),N(O393))-N(AL393))</f>
        <v/>
      </c>
      <c r="AN393" s="43">
        <f>IFERROR(IF(MAX(N(L393),N(O393))=0,"",AM393/MAX(N(L393),N(O393))),"")</f>
        <v/>
      </c>
      <c r="AO393" s="41" t="n"/>
      <c r="AP393" s="41" t="n"/>
      <c r="AQ393" s="41" t="n"/>
      <c r="AR393" s="41" t="n"/>
      <c r="AS393" s="41" t="n"/>
      <c r="AT393" s="37" t="n"/>
      <c r="AU393" s="10" t="inlineStr">
        <is>
          <t>PRD-0389</t>
        </is>
      </c>
    </row>
    <row r="394">
      <c r="A394" s="16">
        <f>IF($C394="","",IFERROR(IF(INDEX(tbl_Finance[Latest Invoice Date],MATCH($AU394,tbl_Finance[Row ID],0))="","",INDEX(tbl_Finance[Latest Invoice Date],MATCH($AU394,tbl_Finance[Row ID],0))),""))</f>
        <v/>
      </c>
      <c r="B394" s="10">
        <f>IF($C394="","",IFERROR(INDEX(tbl_Finance[Invoice Numbers],MATCH($AU394,tbl_Finance[Row ID],0))&amp;"",""))</f>
        <v/>
      </c>
      <c r="C394" s="37" t="n"/>
      <c r="D394" s="10">
        <f>IF($C394="","",IF(COUNTIF(lst_Jobs,$C394&amp;"")&gt;0,"OK","CHECK"))</f>
        <v/>
      </c>
      <c r="E394" s="10">
        <f>IF($C394="","",IFERROR(INDEX(lst_JobName,MATCH($C394&amp;"",lst_Jobs,0)),""))</f>
        <v/>
      </c>
      <c r="F394" s="37" t="n"/>
      <c r="G394" s="37" t="n"/>
      <c r="H394" s="37" t="n"/>
      <c r="I394" s="37" t="n"/>
      <c r="J394" s="37" t="n"/>
      <c r="K394" s="38">
        <f>IF($C394="","",IFERROR(N(INDEX(tbl_Finance[Invoice Count],MATCH($AU394,tbl_Finance[Row ID],0))),""))</f>
        <v/>
      </c>
      <c r="L394" s="11">
        <f>IF($C394="","",IFERROR(N(INDEX(tbl_Finance[Xero Invoiced Ex GST],MATCH($AU394,tbl_Finance[Row ID],0))),""))</f>
        <v/>
      </c>
      <c r="M394" s="10">
        <f>IF($C394="","",IFERROR(INDEX(tbl_Finance[Compare],MATCH($AU394,tbl_Finance[Row ID],0))&amp;"",""))</f>
        <v/>
      </c>
      <c r="N394" s="11">
        <f>IF($C394="","",MAX(0,N(O394)-N(L394)))</f>
        <v/>
      </c>
      <c r="O394" s="39" t="n"/>
      <c r="P394" s="40">
        <f>IF($C394="","",IF((IF(F394="",", Client","")&amp;IF(G394="",", Description","")&amp;IF(H394="",", Cost Centre","")&amp;IF(I394="",", Invoice Type","")&amp;IF(J394="",", Tax Code","")&amp;IF(O394="",", Expected Revenue","")&amp;IF(COUNTIF(tbl_Finance[Job Number],$C394&amp;"")&gt;1,", Job number used twice",""))="","Complete","Fix: "&amp;MID(IF(F394="",", Client","")&amp;IF(G394="",", Description","")&amp;IF(H394="",", Cost Centre","")&amp;IF(I394="",", Invoice Type","")&amp;IF(J394="",", Tax Code","")&amp;IF(O394="",", Expected Revenue","")&amp;IF(COUNTIF(tbl_Finance[Job Number],$C394&amp;"")&gt;1,", Job number used twice",""),3,300)))</f>
        <v/>
      </c>
      <c r="Q394" s="10">
        <f>IF($C394="","",IF(H394="","(no cost centre)",H394&amp;" - GL "&amp;IFERROR(INDEX(lst_CCtoGL,MATCH(H394,lst_CCforGL,0)),"?")))</f>
        <v/>
      </c>
      <c r="R394" s="11">
        <f>IF($C394="","",IFERROR(N(INDEX(tbl_Finance[Inc GST],MATCH($AU394,tbl_Finance[Row ID],0))),""))</f>
        <v/>
      </c>
      <c r="S394" s="37" t="n"/>
      <c r="T394" s="37" t="n"/>
      <c r="U394" s="37" t="n"/>
      <c r="V394" s="42" t="n"/>
      <c r="W394" s="37" t="n"/>
      <c r="X394" s="10">
        <f>IF(W394="","",IF(AND(LEFT(W394,4)&lt;&gt;"http",set_RMSBase=""),"",HYPERLINK(IF(LEFT(W394,4)="http",W394,set_RMSBase&amp;W394),"Open in RMS")))</f>
        <v/>
      </c>
      <c r="Y394" s="37" t="n"/>
      <c r="Z394" s="10">
        <f>IF(Y394="","",HYPERLINK(IF(LEFT(Y394,4)="http",Y394,set_QwilrBase&amp;Y394),"Open quote"))</f>
        <v/>
      </c>
      <c r="AA394" s="10">
        <f>IF(C394="","",C394)</f>
        <v/>
      </c>
      <c r="AB394" s="37" t="n"/>
      <c r="AC394" s="39" t="n"/>
      <c r="AD394" s="11">
        <f>IF(C394="","",N(L394)+N(AC394))</f>
        <v/>
      </c>
      <c r="AE394" s="43">
        <f>IFERROR(IF(N(AC394)=0,"",AC394/AD394),"")</f>
        <v/>
      </c>
      <c r="AF394" s="39" t="n"/>
      <c r="AG394" s="39" t="n"/>
      <c r="AH394" s="39" t="n"/>
      <c r="AI394" s="39" t="n"/>
      <c r="AJ394" s="11">
        <f>IF(C394="","",IF(H394="VIDEO",N(L394),0))</f>
        <v/>
      </c>
      <c r="AK394" s="43">
        <f>IFERROR(IF(N(L394)=0,"",AJ394/L394),"")</f>
        <v/>
      </c>
      <c r="AL394" s="11">
        <f>IF(C394="","",N(AF394)+N(AG394)+N(AH394)+N(AI394))</f>
        <v/>
      </c>
      <c r="AM394" s="11">
        <f>IF(C394="","",MAX(N(L394),N(O394))-N(AL394))</f>
        <v/>
      </c>
      <c r="AN394" s="43">
        <f>IFERROR(IF(MAX(N(L394),N(O394))=0,"",AM394/MAX(N(L394),N(O394))),"")</f>
        <v/>
      </c>
      <c r="AO394" s="41" t="n"/>
      <c r="AP394" s="41" t="n"/>
      <c r="AQ394" s="41" t="n"/>
      <c r="AR394" s="41" t="n"/>
      <c r="AS394" s="41" t="n"/>
      <c r="AT394" s="37" t="n"/>
      <c r="AU394" s="10" t="inlineStr">
        <is>
          <t>PRD-0390</t>
        </is>
      </c>
    </row>
    <row r="395">
      <c r="A395" s="16">
        <f>IF($C395="","",IFERROR(IF(INDEX(tbl_Finance[Latest Invoice Date],MATCH($AU395,tbl_Finance[Row ID],0))="","",INDEX(tbl_Finance[Latest Invoice Date],MATCH($AU395,tbl_Finance[Row ID],0))),""))</f>
        <v/>
      </c>
      <c r="B395" s="10">
        <f>IF($C395="","",IFERROR(INDEX(tbl_Finance[Invoice Numbers],MATCH($AU395,tbl_Finance[Row ID],0))&amp;"",""))</f>
        <v/>
      </c>
      <c r="C395" s="37" t="n"/>
      <c r="D395" s="10">
        <f>IF($C395="","",IF(COUNTIF(lst_Jobs,$C395&amp;"")&gt;0,"OK","CHECK"))</f>
        <v/>
      </c>
      <c r="E395" s="10">
        <f>IF($C395="","",IFERROR(INDEX(lst_JobName,MATCH($C395&amp;"",lst_Jobs,0)),""))</f>
        <v/>
      </c>
      <c r="F395" s="37" t="n"/>
      <c r="G395" s="37" t="n"/>
      <c r="H395" s="37" t="n"/>
      <c r="I395" s="37" t="n"/>
      <c r="J395" s="37" t="n"/>
      <c r="K395" s="38">
        <f>IF($C395="","",IFERROR(N(INDEX(tbl_Finance[Invoice Count],MATCH($AU395,tbl_Finance[Row ID],0))),""))</f>
        <v/>
      </c>
      <c r="L395" s="11">
        <f>IF($C395="","",IFERROR(N(INDEX(tbl_Finance[Xero Invoiced Ex GST],MATCH($AU395,tbl_Finance[Row ID],0))),""))</f>
        <v/>
      </c>
      <c r="M395" s="10">
        <f>IF($C395="","",IFERROR(INDEX(tbl_Finance[Compare],MATCH($AU395,tbl_Finance[Row ID],0))&amp;"",""))</f>
        <v/>
      </c>
      <c r="N395" s="11">
        <f>IF($C395="","",MAX(0,N(O395)-N(L395)))</f>
        <v/>
      </c>
      <c r="O395" s="39" t="n"/>
      <c r="P395" s="40">
        <f>IF($C395="","",IF((IF(F395="",", Client","")&amp;IF(G395="",", Description","")&amp;IF(H395="",", Cost Centre","")&amp;IF(I395="",", Invoice Type","")&amp;IF(J395="",", Tax Code","")&amp;IF(O395="",", Expected Revenue","")&amp;IF(COUNTIF(tbl_Finance[Job Number],$C395&amp;"")&gt;1,", Job number used twice",""))="","Complete","Fix: "&amp;MID(IF(F395="",", Client","")&amp;IF(G395="",", Description","")&amp;IF(H395="",", Cost Centre","")&amp;IF(I395="",", Invoice Type","")&amp;IF(J395="",", Tax Code","")&amp;IF(O395="",", Expected Revenue","")&amp;IF(COUNTIF(tbl_Finance[Job Number],$C395&amp;"")&gt;1,", Job number used twice",""),3,300)))</f>
        <v/>
      </c>
      <c r="Q395" s="10">
        <f>IF($C395="","",IF(H395="","(no cost centre)",H395&amp;" - GL "&amp;IFERROR(INDEX(lst_CCtoGL,MATCH(H395,lst_CCforGL,0)),"?")))</f>
        <v/>
      </c>
      <c r="R395" s="11">
        <f>IF($C395="","",IFERROR(N(INDEX(tbl_Finance[Inc GST],MATCH($AU395,tbl_Finance[Row ID],0))),""))</f>
        <v/>
      </c>
      <c r="S395" s="37" t="n"/>
      <c r="T395" s="37" t="n"/>
      <c r="U395" s="37" t="n"/>
      <c r="V395" s="42" t="n"/>
      <c r="W395" s="37" t="n"/>
      <c r="X395" s="10">
        <f>IF(W395="","",IF(AND(LEFT(W395,4)&lt;&gt;"http",set_RMSBase=""),"",HYPERLINK(IF(LEFT(W395,4)="http",W395,set_RMSBase&amp;W395),"Open in RMS")))</f>
        <v/>
      </c>
      <c r="Y395" s="37" t="n"/>
      <c r="Z395" s="10">
        <f>IF(Y395="","",HYPERLINK(IF(LEFT(Y395,4)="http",Y395,set_QwilrBase&amp;Y395),"Open quote"))</f>
        <v/>
      </c>
      <c r="AA395" s="10">
        <f>IF(C395="","",C395)</f>
        <v/>
      </c>
      <c r="AB395" s="37" t="n"/>
      <c r="AC395" s="39" t="n"/>
      <c r="AD395" s="11">
        <f>IF(C395="","",N(L395)+N(AC395))</f>
        <v/>
      </c>
      <c r="AE395" s="43">
        <f>IFERROR(IF(N(AC395)=0,"",AC395/AD395),"")</f>
        <v/>
      </c>
      <c r="AF395" s="39" t="n"/>
      <c r="AG395" s="39" t="n"/>
      <c r="AH395" s="39" t="n"/>
      <c r="AI395" s="39" t="n"/>
      <c r="AJ395" s="11">
        <f>IF(C395="","",IF(H395="VIDEO",N(L395),0))</f>
        <v/>
      </c>
      <c r="AK395" s="43">
        <f>IFERROR(IF(N(L395)=0,"",AJ395/L395),"")</f>
        <v/>
      </c>
      <c r="AL395" s="11">
        <f>IF(C395="","",N(AF395)+N(AG395)+N(AH395)+N(AI395))</f>
        <v/>
      </c>
      <c r="AM395" s="11">
        <f>IF(C395="","",MAX(N(L395),N(O395))-N(AL395))</f>
        <v/>
      </c>
      <c r="AN395" s="43">
        <f>IFERROR(IF(MAX(N(L395),N(O395))=0,"",AM395/MAX(N(L395),N(O395))),"")</f>
        <v/>
      </c>
      <c r="AO395" s="41" t="n"/>
      <c r="AP395" s="41" t="n"/>
      <c r="AQ395" s="41" t="n"/>
      <c r="AR395" s="41" t="n"/>
      <c r="AS395" s="41" t="n"/>
      <c r="AT395" s="37" t="n"/>
      <c r="AU395" s="10" t="inlineStr">
        <is>
          <t>PRD-0391</t>
        </is>
      </c>
    </row>
    <row r="396">
      <c r="A396" s="16">
        <f>IF($C396="","",IFERROR(IF(INDEX(tbl_Finance[Latest Invoice Date],MATCH($AU396,tbl_Finance[Row ID],0))="","",INDEX(tbl_Finance[Latest Invoice Date],MATCH($AU396,tbl_Finance[Row ID],0))),""))</f>
        <v/>
      </c>
      <c r="B396" s="10">
        <f>IF($C396="","",IFERROR(INDEX(tbl_Finance[Invoice Numbers],MATCH($AU396,tbl_Finance[Row ID],0))&amp;"",""))</f>
        <v/>
      </c>
      <c r="C396" s="37" t="n"/>
      <c r="D396" s="10">
        <f>IF($C396="","",IF(COUNTIF(lst_Jobs,$C396&amp;"")&gt;0,"OK","CHECK"))</f>
        <v/>
      </c>
      <c r="E396" s="10">
        <f>IF($C396="","",IFERROR(INDEX(lst_JobName,MATCH($C396&amp;"",lst_Jobs,0)),""))</f>
        <v/>
      </c>
      <c r="F396" s="37" t="n"/>
      <c r="G396" s="37" t="n"/>
      <c r="H396" s="37" t="n"/>
      <c r="I396" s="37" t="n"/>
      <c r="J396" s="37" t="n"/>
      <c r="K396" s="38">
        <f>IF($C396="","",IFERROR(N(INDEX(tbl_Finance[Invoice Count],MATCH($AU396,tbl_Finance[Row ID],0))),""))</f>
        <v/>
      </c>
      <c r="L396" s="11">
        <f>IF($C396="","",IFERROR(N(INDEX(tbl_Finance[Xero Invoiced Ex GST],MATCH($AU396,tbl_Finance[Row ID],0))),""))</f>
        <v/>
      </c>
      <c r="M396" s="10">
        <f>IF($C396="","",IFERROR(INDEX(tbl_Finance[Compare],MATCH($AU396,tbl_Finance[Row ID],0))&amp;"",""))</f>
        <v/>
      </c>
      <c r="N396" s="11">
        <f>IF($C396="","",MAX(0,N(O396)-N(L396)))</f>
        <v/>
      </c>
      <c r="O396" s="39" t="n"/>
      <c r="P396" s="40">
        <f>IF($C396="","",IF((IF(F396="",", Client","")&amp;IF(G396="",", Description","")&amp;IF(H396="",", Cost Centre","")&amp;IF(I396="",", Invoice Type","")&amp;IF(J396="",", Tax Code","")&amp;IF(O396="",", Expected Revenue","")&amp;IF(COUNTIF(tbl_Finance[Job Number],$C396&amp;"")&gt;1,", Job number used twice",""))="","Complete","Fix: "&amp;MID(IF(F396="",", Client","")&amp;IF(G396="",", Description","")&amp;IF(H396="",", Cost Centre","")&amp;IF(I396="",", Invoice Type","")&amp;IF(J396="",", Tax Code","")&amp;IF(O396="",", Expected Revenue","")&amp;IF(COUNTIF(tbl_Finance[Job Number],$C396&amp;"")&gt;1,", Job number used twice",""),3,300)))</f>
        <v/>
      </c>
      <c r="Q396" s="10">
        <f>IF($C396="","",IF(H396="","(no cost centre)",H396&amp;" - GL "&amp;IFERROR(INDEX(lst_CCtoGL,MATCH(H396,lst_CCforGL,0)),"?")))</f>
        <v/>
      </c>
      <c r="R396" s="11">
        <f>IF($C396="","",IFERROR(N(INDEX(tbl_Finance[Inc GST],MATCH($AU396,tbl_Finance[Row ID],0))),""))</f>
        <v/>
      </c>
      <c r="S396" s="37" t="n"/>
      <c r="T396" s="37" t="n"/>
      <c r="U396" s="37" t="n"/>
      <c r="V396" s="42" t="n"/>
      <c r="W396" s="37" t="n"/>
      <c r="X396" s="10">
        <f>IF(W396="","",IF(AND(LEFT(W396,4)&lt;&gt;"http",set_RMSBase=""),"",HYPERLINK(IF(LEFT(W396,4)="http",W396,set_RMSBase&amp;W396),"Open in RMS")))</f>
        <v/>
      </c>
      <c r="Y396" s="37" t="n"/>
      <c r="Z396" s="10">
        <f>IF(Y396="","",HYPERLINK(IF(LEFT(Y396,4)="http",Y396,set_QwilrBase&amp;Y396),"Open quote"))</f>
        <v/>
      </c>
      <c r="AA396" s="10">
        <f>IF(C396="","",C396)</f>
        <v/>
      </c>
      <c r="AB396" s="37" t="n"/>
      <c r="AC396" s="39" t="n"/>
      <c r="AD396" s="11">
        <f>IF(C396="","",N(L396)+N(AC396))</f>
        <v/>
      </c>
      <c r="AE396" s="43">
        <f>IFERROR(IF(N(AC396)=0,"",AC396/AD396),"")</f>
        <v/>
      </c>
      <c r="AF396" s="39" t="n"/>
      <c r="AG396" s="39" t="n"/>
      <c r="AH396" s="39" t="n"/>
      <c r="AI396" s="39" t="n"/>
      <c r="AJ396" s="11">
        <f>IF(C396="","",IF(H396="VIDEO",N(L396),0))</f>
        <v/>
      </c>
      <c r="AK396" s="43">
        <f>IFERROR(IF(N(L396)=0,"",AJ396/L396),"")</f>
        <v/>
      </c>
      <c r="AL396" s="11">
        <f>IF(C396="","",N(AF396)+N(AG396)+N(AH396)+N(AI396))</f>
        <v/>
      </c>
      <c r="AM396" s="11">
        <f>IF(C396="","",MAX(N(L396),N(O396))-N(AL396))</f>
        <v/>
      </c>
      <c r="AN396" s="43">
        <f>IFERROR(IF(MAX(N(L396),N(O396))=0,"",AM396/MAX(N(L396),N(O396))),"")</f>
        <v/>
      </c>
      <c r="AO396" s="41" t="n"/>
      <c r="AP396" s="41" t="n"/>
      <c r="AQ396" s="41" t="n"/>
      <c r="AR396" s="41" t="n"/>
      <c r="AS396" s="41" t="n"/>
      <c r="AT396" s="37" t="n"/>
      <c r="AU396" s="10" t="inlineStr">
        <is>
          <t>PRD-0392</t>
        </is>
      </c>
    </row>
    <row r="397">
      <c r="A397" s="16">
        <f>IF($C397="","",IFERROR(IF(INDEX(tbl_Finance[Latest Invoice Date],MATCH($AU397,tbl_Finance[Row ID],0))="","",INDEX(tbl_Finance[Latest Invoice Date],MATCH($AU397,tbl_Finance[Row ID],0))),""))</f>
        <v/>
      </c>
      <c r="B397" s="10">
        <f>IF($C397="","",IFERROR(INDEX(tbl_Finance[Invoice Numbers],MATCH($AU397,tbl_Finance[Row ID],0))&amp;"",""))</f>
        <v/>
      </c>
      <c r="C397" s="37" t="n"/>
      <c r="D397" s="10">
        <f>IF($C397="","",IF(COUNTIF(lst_Jobs,$C397&amp;"")&gt;0,"OK","CHECK"))</f>
        <v/>
      </c>
      <c r="E397" s="10">
        <f>IF($C397="","",IFERROR(INDEX(lst_JobName,MATCH($C397&amp;"",lst_Jobs,0)),""))</f>
        <v/>
      </c>
      <c r="F397" s="37" t="n"/>
      <c r="G397" s="37" t="n"/>
      <c r="H397" s="37" t="n"/>
      <c r="I397" s="37" t="n"/>
      <c r="J397" s="37" t="n"/>
      <c r="K397" s="38">
        <f>IF($C397="","",IFERROR(N(INDEX(tbl_Finance[Invoice Count],MATCH($AU397,tbl_Finance[Row ID],0))),""))</f>
        <v/>
      </c>
      <c r="L397" s="11">
        <f>IF($C397="","",IFERROR(N(INDEX(tbl_Finance[Xero Invoiced Ex GST],MATCH($AU397,tbl_Finance[Row ID],0))),""))</f>
        <v/>
      </c>
      <c r="M397" s="10">
        <f>IF($C397="","",IFERROR(INDEX(tbl_Finance[Compare],MATCH($AU397,tbl_Finance[Row ID],0))&amp;"",""))</f>
        <v/>
      </c>
      <c r="N397" s="11">
        <f>IF($C397="","",MAX(0,N(O397)-N(L397)))</f>
        <v/>
      </c>
      <c r="O397" s="39" t="n"/>
      <c r="P397" s="40">
        <f>IF($C397="","",IF((IF(F397="",", Client","")&amp;IF(G397="",", Description","")&amp;IF(H397="",", Cost Centre","")&amp;IF(I397="",", Invoice Type","")&amp;IF(J397="",", Tax Code","")&amp;IF(O397="",", Expected Revenue","")&amp;IF(COUNTIF(tbl_Finance[Job Number],$C397&amp;"")&gt;1,", Job number used twice",""))="","Complete","Fix: "&amp;MID(IF(F397="",", Client","")&amp;IF(G397="",", Description","")&amp;IF(H397="",", Cost Centre","")&amp;IF(I397="",", Invoice Type","")&amp;IF(J397="",", Tax Code","")&amp;IF(O397="",", Expected Revenue","")&amp;IF(COUNTIF(tbl_Finance[Job Number],$C397&amp;"")&gt;1,", Job number used twice",""),3,300)))</f>
        <v/>
      </c>
      <c r="Q397" s="10">
        <f>IF($C397="","",IF(H397="","(no cost centre)",H397&amp;" - GL "&amp;IFERROR(INDEX(lst_CCtoGL,MATCH(H397,lst_CCforGL,0)),"?")))</f>
        <v/>
      </c>
      <c r="R397" s="11">
        <f>IF($C397="","",IFERROR(N(INDEX(tbl_Finance[Inc GST],MATCH($AU397,tbl_Finance[Row ID],0))),""))</f>
        <v/>
      </c>
      <c r="S397" s="37" t="n"/>
      <c r="T397" s="37" t="n"/>
      <c r="U397" s="37" t="n"/>
      <c r="V397" s="42" t="n"/>
      <c r="W397" s="37" t="n"/>
      <c r="X397" s="10">
        <f>IF(W397="","",IF(AND(LEFT(W397,4)&lt;&gt;"http",set_RMSBase=""),"",HYPERLINK(IF(LEFT(W397,4)="http",W397,set_RMSBase&amp;W397),"Open in RMS")))</f>
        <v/>
      </c>
      <c r="Y397" s="37" t="n"/>
      <c r="Z397" s="10">
        <f>IF(Y397="","",HYPERLINK(IF(LEFT(Y397,4)="http",Y397,set_QwilrBase&amp;Y397),"Open quote"))</f>
        <v/>
      </c>
      <c r="AA397" s="10">
        <f>IF(C397="","",C397)</f>
        <v/>
      </c>
      <c r="AB397" s="37" t="n"/>
      <c r="AC397" s="39" t="n"/>
      <c r="AD397" s="11">
        <f>IF(C397="","",N(L397)+N(AC397))</f>
        <v/>
      </c>
      <c r="AE397" s="43">
        <f>IFERROR(IF(N(AC397)=0,"",AC397/AD397),"")</f>
        <v/>
      </c>
      <c r="AF397" s="39" t="n"/>
      <c r="AG397" s="39" t="n"/>
      <c r="AH397" s="39" t="n"/>
      <c r="AI397" s="39" t="n"/>
      <c r="AJ397" s="11">
        <f>IF(C397="","",IF(H397="VIDEO",N(L397),0))</f>
        <v/>
      </c>
      <c r="AK397" s="43">
        <f>IFERROR(IF(N(L397)=0,"",AJ397/L397),"")</f>
        <v/>
      </c>
      <c r="AL397" s="11">
        <f>IF(C397="","",N(AF397)+N(AG397)+N(AH397)+N(AI397))</f>
        <v/>
      </c>
      <c r="AM397" s="11">
        <f>IF(C397="","",MAX(N(L397),N(O397))-N(AL397))</f>
        <v/>
      </c>
      <c r="AN397" s="43">
        <f>IFERROR(IF(MAX(N(L397),N(O397))=0,"",AM397/MAX(N(L397),N(O397))),"")</f>
        <v/>
      </c>
      <c r="AO397" s="41" t="n"/>
      <c r="AP397" s="41" t="n"/>
      <c r="AQ397" s="41" t="n"/>
      <c r="AR397" s="41" t="n"/>
      <c r="AS397" s="41" t="n"/>
      <c r="AT397" s="37" t="n"/>
      <c r="AU397" s="10" t="inlineStr">
        <is>
          <t>PRD-0393</t>
        </is>
      </c>
    </row>
    <row r="398">
      <c r="A398" s="16">
        <f>IF($C398="","",IFERROR(IF(INDEX(tbl_Finance[Latest Invoice Date],MATCH($AU398,tbl_Finance[Row ID],0))="","",INDEX(tbl_Finance[Latest Invoice Date],MATCH($AU398,tbl_Finance[Row ID],0))),""))</f>
        <v/>
      </c>
      <c r="B398" s="10">
        <f>IF($C398="","",IFERROR(INDEX(tbl_Finance[Invoice Numbers],MATCH($AU398,tbl_Finance[Row ID],0))&amp;"",""))</f>
        <v/>
      </c>
      <c r="C398" s="37" t="n"/>
      <c r="D398" s="10">
        <f>IF($C398="","",IF(COUNTIF(lst_Jobs,$C398&amp;"")&gt;0,"OK","CHECK"))</f>
        <v/>
      </c>
      <c r="E398" s="10">
        <f>IF($C398="","",IFERROR(INDEX(lst_JobName,MATCH($C398&amp;"",lst_Jobs,0)),""))</f>
        <v/>
      </c>
      <c r="F398" s="37" t="n"/>
      <c r="G398" s="37" t="n"/>
      <c r="H398" s="37" t="n"/>
      <c r="I398" s="37" t="n"/>
      <c r="J398" s="37" t="n"/>
      <c r="K398" s="38">
        <f>IF($C398="","",IFERROR(N(INDEX(tbl_Finance[Invoice Count],MATCH($AU398,tbl_Finance[Row ID],0))),""))</f>
        <v/>
      </c>
      <c r="L398" s="11">
        <f>IF($C398="","",IFERROR(N(INDEX(tbl_Finance[Xero Invoiced Ex GST],MATCH($AU398,tbl_Finance[Row ID],0))),""))</f>
        <v/>
      </c>
      <c r="M398" s="10">
        <f>IF($C398="","",IFERROR(INDEX(tbl_Finance[Compare],MATCH($AU398,tbl_Finance[Row ID],0))&amp;"",""))</f>
        <v/>
      </c>
      <c r="N398" s="11">
        <f>IF($C398="","",MAX(0,N(O398)-N(L398)))</f>
        <v/>
      </c>
      <c r="O398" s="39" t="n"/>
      <c r="P398" s="40">
        <f>IF($C398="","",IF((IF(F398="",", Client","")&amp;IF(G398="",", Description","")&amp;IF(H398="",", Cost Centre","")&amp;IF(I398="",", Invoice Type","")&amp;IF(J398="",", Tax Code","")&amp;IF(O398="",", Expected Revenue","")&amp;IF(COUNTIF(tbl_Finance[Job Number],$C398&amp;"")&gt;1,", Job number used twice",""))="","Complete","Fix: "&amp;MID(IF(F398="",", Client","")&amp;IF(G398="",", Description","")&amp;IF(H398="",", Cost Centre","")&amp;IF(I398="",", Invoice Type","")&amp;IF(J398="",", Tax Code","")&amp;IF(O398="",", Expected Revenue","")&amp;IF(COUNTIF(tbl_Finance[Job Number],$C398&amp;"")&gt;1,", Job number used twice",""),3,300)))</f>
        <v/>
      </c>
      <c r="Q398" s="10">
        <f>IF($C398="","",IF(H398="","(no cost centre)",H398&amp;" - GL "&amp;IFERROR(INDEX(lst_CCtoGL,MATCH(H398,lst_CCforGL,0)),"?")))</f>
        <v/>
      </c>
      <c r="R398" s="11">
        <f>IF($C398="","",IFERROR(N(INDEX(tbl_Finance[Inc GST],MATCH($AU398,tbl_Finance[Row ID],0))),""))</f>
        <v/>
      </c>
      <c r="S398" s="37" t="n"/>
      <c r="T398" s="37" t="n"/>
      <c r="U398" s="37" t="n"/>
      <c r="V398" s="42" t="n"/>
      <c r="W398" s="37" t="n"/>
      <c r="X398" s="10">
        <f>IF(W398="","",IF(AND(LEFT(W398,4)&lt;&gt;"http",set_RMSBase=""),"",HYPERLINK(IF(LEFT(W398,4)="http",W398,set_RMSBase&amp;W398),"Open in RMS")))</f>
        <v/>
      </c>
      <c r="Y398" s="37" t="n"/>
      <c r="Z398" s="10">
        <f>IF(Y398="","",HYPERLINK(IF(LEFT(Y398,4)="http",Y398,set_QwilrBase&amp;Y398),"Open quote"))</f>
        <v/>
      </c>
      <c r="AA398" s="10">
        <f>IF(C398="","",C398)</f>
        <v/>
      </c>
      <c r="AB398" s="37" t="n"/>
      <c r="AC398" s="39" t="n"/>
      <c r="AD398" s="11">
        <f>IF(C398="","",N(L398)+N(AC398))</f>
        <v/>
      </c>
      <c r="AE398" s="43">
        <f>IFERROR(IF(N(AC398)=0,"",AC398/AD398),"")</f>
        <v/>
      </c>
      <c r="AF398" s="39" t="n"/>
      <c r="AG398" s="39" t="n"/>
      <c r="AH398" s="39" t="n"/>
      <c r="AI398" s="39" t="n"/>
      <c r="AJ398" s="11">
        <f>IF(C398="","",IF(H398="VIDEO",N(L398),0))</f>
        <v/>
      </c>
      <c r="AK398" s="43">
        <f>IFERROR(IF(N(L398)=0,"",AJ398/L398),"")</f>
        <v/>
      </c>
      <c r="AL398" s="11">
        <f>IF(C398="","",N(AF398)+N(AG398)+N(AH398)+N(AI398))</f>
        <v/>
      </c>
      <c r="AM398" s="11">
        <f>IF(C398="","",MAX(N(L398),N(O398))-N(AL398))</f>
        <v/>
      </c>
      <c r="AN398" s="43">
        <f>IFERROR(IF(MAX(N(L398),N(O398))=0,"",AM398/MAX(N(L398),N(O398))),"")</f>
        <v/>
      </c>
      <c r="AO398" s="41" t="n"/>
      <c r="AP398" s="41" t="n"/>
      <c r="AQ398" s="41" t="n"/>
      <c r="AR398" s="41" t="n"/>
      <c r="AS398" s="41" t="n"/>
      <c r="AT398" s="37" t="n"/>
      <c r="AU398" s="10" t="inlineStr">
        <is>
          <t>PRD-0394</t>
        </is>
      </c>
    </row>
    <row r="399">
      <c r="A399" s="16">
        <f>IF($C399="","",IFERROR(IF(INDEX(tbl_Finance[Latest Invoice Date],MATCH($AU399,tbl_Finance[Row ID],0))="","",INDEX(tbl_Finance[Latest Invoice Date],MATCH($AU399,tbl_Finance[Row ID],0))),""))</f>
        <v/>
      </c>
      <c r="B399" s="10">
        <f>IF($C399="","",IFERROR(INDEX(tbl_Finance[Invoice Numbers],MATCH($AU399,tbl_Finance[Row ID],0))&amp;"",""))</f>
        <v/>
      </c>
      <c r="C399" s="37" t="n"/>
      <c r="D399" s="10">
        <f>IF($C399="","",IF(COUNTIF(lst_Jobs,$C399&amp;"")&gt;0,"OK","CHECK"))</f>
        <v/>
      </c>
      <c r="E399" s="10">
        <f>IF($C399="","",IFERROR(INDEX(lst_JobName,MATCH($C399&amp;"",lst_Jobs,0)),""))</f>
        <v/>
      </c>
      <c r="F399" s="37" t="n"/>
      <c r="G399" s="37" t="n"/>
      <c r="H399" s="37" t="n"/>
      <c r="I399" s="37" t="n"/>
      <c r="J399" s="37" t="n"/>
      <c r="K399" s="38">
        <f>IF($C399="","",IFERROR(N(INDEX(tbl_Finance[Invoice Count],MATCH($AU399,tbl_Finance[Row ID],0))),""))</f>
        <v/>
      </c>
      <c r="L399" s="11">
        <f>IF($C399="","",IFERROR(N(INDEX(tbl_Finance[Xero Invoiced Ex GST],MATCH($AU399,tbl_Finance[Row ID],0))),""))</f>
        <v/>
      </c>
      <c r="M399" s="10">
        <f>IF($C399="","",IFERROR(INDEX(tbl_Finance[Compare],MATCH($AU399,tbl_Finance[Row ID],0))&amp;"",""))</f>
        <v/>
      </c>
      <c r="N399" s="11">
        <f>IF($C399="","",MAX(0,N(O399)-N(L399)))</f>
        <v/>
      </c>
      <c r="O399" s="39" t="n"/>
      <c r="P399" s="40">
        <f>IF($C399="","",IF((IF(F399="",", Client","")&amp;IF(G399="",", Description","")&amp;IF(H399="",", Cost Centre","")&amp;IF(I399="",", Invoice Type","")&amp;IF(J399="",", Tax Code","")&amp;IF(O399="",", Expected Revenue","")&amp;IF(COUNTIF(tbl_Finance[Job Number],$C399&amp;"")&gt;1,", Job number used twice",""))="","Complete","Fix: "&amp;MID(IF(F399="",", Client","")&amp;IF(G399="",", Description","")&amp;IF(H399="",", Cost Centre","")&amp;IF(I399="",", Invoice Type","")&amp;IF(J399="",", Tax Code","")&amp;IF(O399="",", Expected Revenue","")&amp;IF(COUNTIF(tbl_Finance[Job Number],$C399&amp;"")&gt;1,", Job number used twice",""),3,300)))</f>
        <v/>
      </c>
      <c r="Q399" s="10">
        <f>IF($C399="","",IF(H399="","(no cost centre)",H399&amp;" - GL "&amp;IFERROR(INDEX(lst_CCtoGL,MATCH(H399,lst_CCforGL,0)),"?")))</f>
        <v/>
      </c>
      <c r="R399" s="11">
        <f>IF($C399="","",IFERROR(N(INDEX(tbl_Finance[Inc GST],MATCH($AU399,tbl_Finance[Row ID],0))),""))</f>
        <v/>
      </c>
      <c r="S399" s="37" t="n"/>
      <c r="T399" s="37" t="n"/>
      <c r="U399" s="37" t="n"/>
      <c r="V399" s="42" t="n"/>
      <c r="W399" s="37" t="n"/>
      <c r="X399" s="10">
        <f>IF(W399="","",IF(AND(LEFT(W399,4)&lt;&gt;"http",set_RMSBase=""),"",HYPERLINK(IF(LEFT(W399,4)="http",W399,set_RMSBase&amp;W399),"Open in RMS")))</f>
        <v/>
      </c>
      <c r="Y399" s="37" t="n"/>
      <c r="Z399" s="10">
        <f>IF(Y399="","",HYPERLINK(IF(LEFT(Y399,4)="http",Y399,set_QwilrBase&amp;Y399),"Open quote"))</f>
        <v/>
      </c>
      <c r="AA399" s="10">
        <f>IF(C399="","",C399)</f>
        <v/>
      </c>
      <c r="AB399" s="37" t="n"/>
      <c r="AC399" s="39" t="n"/>
      <c r="AD399" s="11">
        <f>IF(C399="","",N(L399)+N(AC399))</f>
        <v/>
      </c>
      <c r="AE399" s="43">
        <f>IFERROR(IF(N(AC399)=0,"",AC399/AD399),"")</f>
        <v/>
      </c>
      <c r="AF399" s="39" t="n"/>
      <c r="AG399" s="39" t="n"/>
      <c r="AH399" s="39" t="n"/>
      <c r="AI399" s="39" t="n"/>
      <c r="AJ399" s="11">
        <f>IF(C399="","",IF(H399="VIDEO",N(L399),0))</f>
        <v/>
      </c>
      <c r="AK399" s="43">
        <f>IFERROR(IF(N(L399)=0,"",AJ399/L399),"")</f>
        <v/>
      </c>
      <c r="AL399" s="11">
        <f>IF(C399="","",N(AF399)+N(AG399)+N(AH399)+N(AI399))</f>
        <v/>
      </c>
      <c r="AM399" s="11">
        <f>IF(C399="","",MAX(N(L399),N(O399))-N(AL399))</f>
        <v/>
      </c>
      <c r="AN399" s="43">
        <f>IFERROR(IF(MAX(N(L399),N(O399))=0,"",AM399/MAX(N(L399),N(O399))),"")</f>
        <v/>
      </c>
      <c r="AO399" s="41" t="n"/>
      <c r="AP399" s="41" t="n"/>
      <c r="AQ399" s="41" t="n"/>
      <c r="AR399" s="41" t="n"/>
      <c r="AS399" s="41" t="n"/>
      <c r="AT399" s="37" t="n"/>
      <c r="AU399" s="10" t="inlineStr">
        <is>
          <t>PRD-0395</t>
        </is>
      </c>
    </row>
    <row r="400">
      <c r="A400" s="16">
        <f>IF($C400="","",IFERROR(IF(INDEX(tbl_Finance[Latest Invoice Date],MATCH($AU400,tbl_Finance[Row ID],0))="","",INDEX(tbl_Finance[Latest Invoice Date],MATCH($AU400,tbl_Finance[Row ID],0))),""))</f>
        <v/>
      </c>
      <c r="B400" s="10">
        <f>IF($C400="","",IFERROR(INDEX(tbl_Finance[Invoice Numbers],MATCH($AU400,tbl_Finance[Row ID],0))&amp;"",""))</f>
        <v/>
      </c>
      <c r="C400" s="37" t="n"/>
      <c r="D400" s="10">
        <f>IF($C400="","",IF(COUNTIF(lst_Jobs,$C400&amp;"")&gt;0,"OK","CHECK"))</f>
        <v/>
      </c>
      <c r="E400" s="10">
        <f>IF($C400="","",IFERROR(INDEX(lst_JobName,MATCH($C400&amp;"",lst_Jobs,0)),""))</f>
        <v/>
      </c>
      <c r="F400" s="37" t="n"/>
      <c r="G400" s="37" t="n"/>
      <c r="H400" s="37" t="n"/>
      <c r="I400" s="37" t="n"/>
      <c r="J400" s="37" t="n"/>
      <c r="K400" s="38">
        <f>IF($C400="","",IFERROR(N(INDEX(tbl_Finance[Invoice Count],MATCH($AU400,tbl_Finance[Row ID],0))),""))</f>
        <v/>
      </c>
      <c r="L400" s="11">
        <f>IF($C400="","",IFERROR(N(INDEX(tbl_Finance[Xero Invoiced Ex GST],MATCH($AU400,tbl_Finance[Row ID],0))),""))</f>
        <v/>
      </c>
      <c r="M400" s="10">
        <f>IF($C400="","",IFERROR(INDEX(tbl_Finance[Compare],MATCH($AU400,tbl_Finance[Row ID],0))&amp;"",""))</f>
        <v/>
      </c>
      <c r="N400" s="11">
        <f>IF($C400="","",MAX(0,N(O400)-N(L400)))</f>
        <v/>
      </c>
      <c r="O400" s="39" t="n"/>
      <c r="P400" s="40">
        <f>IF($C400="","",IF((IF(F400="",", Client","")&amp;IF(G400="",", Description","")&amp;IF(H400="",", Cost Centre","")&amp;IF(I400="",", Invoice Type","")&amp;IF(J400="",", Tax Code","")&amp;IF(O400="",", Expected Revenue","")&amp;IF(COUNTIF(tbl_Finance[Job Number],$C400&amp;"")&gt;1,", Job number used twice",""))="","Complete","Fix: "&amp;MID(IF(F400="",", Client","")&amp;IF(G400="",", Description","")&amp;IF(H400="",", Cost Centre","")&amp;IF(I400="",", Invoice Type","")&amp;IF(J400="",", Tax Code","")&amp;IF(O400="",", Expected Revenue","")&amp;IF(COUNTIF(tbl_Finance[Job Number],$C400&amp;"")&gt;1,", Job number used twice",""),3,300)))</f>
        <v/>
      </c>
      <c r="Q400" s="10">
        <f>IF($C400="","",IF(H400="","(no cost centre)",H400&amp;" - GL "&amp;IFERROR(INDEX(lst_CCtoGL,MATCH(H400,lst_CCforGL,0)),"?")))</f>
        <v/>
      </c>
      <c r="R400" s="11">
        <f>IF($C400="","",IFERROR(N(INDEX(tbl_Finance[Inc GST],MATCH($AU400,tbl_Finance[Row ID],0))),""))</f>
        <v/>
      </c>
      <c r="S400" s="37" t="n"/>
      <c r="T400" s="37" t="n"/>
      <c r="U400" s="37" t="n"/>
      <c r="V400" s="42" t="n"/>
      <c r="W400" s="37" t="n"/>
      <c r="X400" s="10">
        <f>IF(W400="","",IF(AND(LEFT(W400,4)&lt;&gt;"http",set_RMSBase=""),"",HYPERLINK(IF(LEFT(W400,4)="http",W400,set_RMSBase&amp;W400),"Open in RMS")))</f>
        <v/>
      </c>
      <c r="Y400" s="37" t="n"/>
      <c r="Z400" s="10">
        <f>IF(Y400="","",HYPERLINK(IF(LEFT(Y400,4)="http",Y400,set_QwilrBase&amp;Y400),"Open quote"))</f>
        <v/>
      </c>
      <c r="AA400" s="10">
        <f>IF(C400="","",C400)</f>
        <v/>
      </c>
      <c r="AB400" s="37" t="n"/>
      <c r="AC400" s="39" t="n"/>
      <c r="AD400" s="11">
        <f>IF(C400="","",N(L400)+N(AC400))</f>
        <v/>
      </c>
      <c r="AE400" s="43">
        <f>IFERROR(IF(N(AC400)=0,"",AC400/AD400),"")</f>
        <v/>
      </c>
      <c r="AF400" s="39" t="n"/>
      <c r="AG400" s="39" t="n"/>
      <c r="AH400" s="39" t="n"/>
      <c r="AI400" s="39" t="n"/>
      <c r="AJ400" s="11">
        <f>IF(C400="","",IF(H400="VIDEO",N(L400),0))</f>
        <v/>
      </c>
      <c r="AK400" s="43">
        <f>IFERROR(IF(N(L400)=0,"",AJ400/L400),"")</f>
        <v/>
      </c>
      <c r="AL400" s="11">
        <f>IF(C400="","",N(AF400)+N(AG400)+N(AH400)+N(AI400))</f>
        <v/>
      </c>
      <c r="AM400" s="11">
        <f>IF(C400="","",MAX(N(L400),N(O400))-N(AL400))</f>
        <v/>
      </c>
      <c r="AN400" s="43">
        <f>IFERROR(IF(MAX(N(L400),N(O400))=0,"",AM400/MAX(N(L400),N(O400))),"")</f>
        <v/>
      </c>
      <c r="AO400" s="41" t="n"/>
      <c r="AP400" s="41" t="n"/>
      <c r="AQ400" s="41" t="n"/>
      <c r="AR400" s="41" t="n"/>
      <c r="AS400" s="41" t="n"/>
      <c r="AT400" s="37" t="n"/>
      <c r="AU400" s="10" t="inlineStr">
        <is>
          <t>PRD-0396</t>
        </is>
      </c>
    </row>
    <row r="401">
      <c r="A401" s="16">
        <f>IF($C401="","",IFERROR(IF(INDEX(tbl_Finance[Latest Invoice Date],MATCH($AU401,tbl_Finance[Row ID],0))="","",INDEX(tbl_Finance[Latest Invoice Date],MATCH($AU401,tbl_Finance[Row ID],0))),""))</f>
        <v/>
      </c>
      <c r="B401" s="10">
        <f>IF($C401="","",IFERROR(INDEX(tbl_Finance[Invoice Numbers],MATCH($AU401,tbl_Finance[Row ID],0))&amp;"",""))</f>
        <v/>
      </c>
      <c r="C401" s="37" t="n"/>
      <c r="D401" s="10">
        <f>IF($C401="","",IF(COUNTIF(lst_Jobs,$C401&amp;"")&gt;0,"OK","CHECK"))</f>
        <v/>
      </c>
      <c r="E401" s="10">
        <f>IF($C401="","",IFERROR(INDEX(lst_JobName,MATCH($C401&amp;"",lst_Jobs,0)),""))</f>
        <v/>
      </c>
      <c r="F401" s="37" t="n"/>
      <c r="G401" s="37" t="n"/>
      <c r="H401" s="37" t="n"/>
      <c r="I401" s="37" t="n"/>
      <c r="J401" s="37" t="n"/>
      <c r="K401" s="38">
        <f>IF($C401="","",IFERROR(N(INDEX(tbl_Finance[Invoice Count],MATCH($AU401,tbl_Finance[Row ID],0))),""))</f>
        <v/>
      </c>
      <c r="L401" s="11">
        <f>IF($C401="","",IFERROR(N(INDEX(tbl_Finance[Xero Invoiced Ex GST],MATCH($AU401,tbl_Finance[Row ID],0))),""))</f>
        <v/>
      </c>
      <c r="M401" s="10">
        <f>IF($C401="","",IFERROR(INDEX(tbl_Finance[Compare],MATCH($AU401,tbl_Finance[Row ID],0))&amp;"",""))</f>
        <v/>
      </c>
      <c r="N401" s="11">
        <f>IF($C401="","",MAX(0,N(O401)-N(L401)))</f>
        <v/>
      </c>
      <c r="O401" s="39" t="n"/>
      <c r="P401" s="40">
        <f>IF($C401="","",IF((IF(F401="",", Client","")&amp;IF(G401="",", Description","")&amp;IF(H401="",", Cost Centre","")&amp;IF(I401="",", Invoice Type","")&amp;IF(J401="",", Tax Code","")&amp;IF(O401="",", Expected Revenue","")&amp;IF(COUNTIF(tbl_Finance[Job Number],$C401&amp;"")&gt;1,", Job number used twice",""))="","Complete","Fix: "&amp;MID(IF(F401="",", Client","")&amp;IF(G401="",", Description","")&amp;IF(H401="",", Cost Centre","")&amp;IF(I401="",", Invoice Type","")&amp;IF(J401="",", Tax Code","")&amp;IF(O401="",", Expected Revenue","")&amp;IF(COUNTIF(tbl_Finance[Job Number],$C401&amp;"")&gt;1,", Job number used twice",""),3,300)))</f>
        <v/>
      </c>
      <c r="Q401" s="10">
        <f>IF($C401="","",IF(H401="","(no cost centre)",H401&amp;" - GL "&amp;IFERROR(INDEX(lst_CCtoGL,MATCH(H401,lst_CCforGL,0)),"?")))</f>
        <v/>
      </c>
      <c r="R401" s="11">
        <f>IF($C401="","",IFERROR(N(INDEX(tbl_Finance[Inc GST],MATCH($AU401,tbl_Finance[Row ID],0))),""))</f>
        <v/>
      </c>
      <c r="S401" s="37" t="n"/>
      <c r="T401" s="37" t="n"/>
      <c r="U401" s="37" t="n"/>
      <c r="V401" s="42" t="n"/>
      <c r="W401" s="37" t="n"/>
      <c r="X401" s="10">
        <f>IF(W401="","",IF(AND(LEFT(W401,4)&lt;&gt;"http",set_RMSBase=""),"",HYPERLINK(IF(LEFT(W401,4)="http",W401,set_RMSBase&amp;W401),"Open in RMS")))</f>
        <v/>
      </c>
      <c r="Y401" s="37" t="n"/>
      <c r="Z401" s="10">
        <f>IF(Y401="","",HYPERLINK(IF(LEFT(Y401,4)="http",Y401,set_QwilrBase&amp;Y401),"Open quote"))</f>
        <v/>
      </c>
      <c r="AA401" s="10">
        <f>IF(C401="","",C401)</f>
        <v/>
      </c>
      <c r="AB401" s="37" t="n"/>
      <c r="AC401" s="39" t="n"/>
      <c r="AD401" s="11">
        <f>IF(C401="","",N(L401)+N(AC401))</f>
        <v/>
      </c>
      <c r="AE401" s="43">
        <f>IFERROR(IF(N(AC401)=0,"",AC401/AD401),"")</f>
        <v/>
      </c>
      <c r="AF401" s="39" t="n"/>
      <c r="AG401" s="39" t="n"/>
      <c r="AH401" s="39" t="n"/>
      <c r="AI401" s="39" t="n"/>
      <c r="AJ401" s="11">
        <f>IF(C401="","",IF(H401="VIDEO",N(L401),0))</f>
        <v/>
      </c>
      <c r="AK401" s="43">
        <f>IFERROR(IF(N(L401)=0,"",AJ401/L401),"")</f>
        <v/>
      </c>
      <c r="AL401" s="11">
        <f>IF(C401="","",N(AF401)+N(AG401)+N(AH401)+N(AI401))</f>
        <v/>
      </c>
      <c r="AM401" s="11">
        <f>IF(C401="","",MAX(N(L401),N(O401))-N(AL401))</f>
        <v/>
      </c>
      <c r="AN401" s="43">
        <f>IFERROR(IF(MAX(N(L401),N(O401))=0,"",AM401/MAX(N(L401),N(O401))),"")</f>
        <v/>
      </c>
      <c r="AO401" s="41" t="n"/>
      <c r="AP401" s="41" t="n"/>
      <c r="AQ401" s="41" t="n"/>
      <c r="AR401" s="41" t="n"/>
      <c r="AS401" s="41" t="n"/>
      <c r="AT401" s="37" t="n"/>
      <c r="AU401" s="10" t="inlineStr">
        <is>
          <t>PRD-0397</t>
        </is>
      </c>
    </row>
    <row r="402">
      <c r="A402" s="16">
        <f>IF($C402="","",IFERROR(IF(INDEX(tbl_Finance[Latest Invoice Date],MATCH($AU402,tbl_Finance[Row ID],0))="","",INDEX(tbl_Finance[Latest Invoice Date],MATCH($AU402,tbl_Finance[Row ID],0))),""))</f>
        <v/>
      </c>
      <c r="B402" s="10">
        <f>IF($C402="","",IFERROR(INDEX(tbl_Finance[Invoice Numbers],MATCH($AU402,tbl_Finance[Row ID],0))&amp;"",""))</f>
        <v/>
      </c>
      <c r="C402" s="37" t="n"/>
      <c r="D402" s="10">
        <f>IF($C402="","",IF(COUNTIF(lst_Jobs,$C402&amp;"")&gt;0,"OK","CHECK"))</f>
        <v/>
      </c>
      <c r="E402" s="10">
        <f>IF($C402="","",IFERROR(INDEX(lst_JobName,MATCH($C402&amp;"",lst_Jobs,0)),""))</f>
        <v/>
      </c>
      <c r="F402" s="37" t="n"/>
      <c r="G402" s="37" t="n"/>
      <c r="H402" s="37" t="n"/>
      <c r="I402" s="37" t="n"/>
      <c r="J402" s="37" t="n"/>
      <c r="K402" s="38">
        <f>IF($C402="","",IFERROR(N(INDEX(tbl_Finance[Invoice Count],MATCH($AU402,tbl_Finance[Row ID],0))),""))</f>
        <v/>
      </c>
      <c r="L402" s="11">
        <f>IF($C402="","",IFERROR(N(INDEX(tbl_Finance[Xero Invoiced Ex GST],MATCH($AU402,tbl_Finance[Row ID],0))),""))</f>
        <v/>
      </c>
      <c r="M402" s="10">
        <f>IF($C402="","",IFERROR(INDEX(tbl_Finance[Compare],MATCH($AU402,tbl_Finance[Row ID],0))&amp;"",""))</f>
        <v/>
      </c>
      <c r="N402" s="11">
        <f>IF($C402="","",MAX(0,N(O402)-N(L402)))</f>
        <v/>
      </c>
      <c r="O402" s="39" t="n"/>
      <c r="P402" s="40">
        <f>IF($C402="","",IF((IF(F402="",", Client","")&amp;IF(G402="",", Description","")&amp;IF(H402="",", Cost Centre","")&amp;IF(I402="",", Invoice Type","")&amp;IF(J402="",", Tax Code","")&amp;IF(O402="",", Expected Revenue","")&amp;IF(COUNTIF(tbl_Finance[Job Number],$C402&amp;"")&gt;1,", Job number used twice",""))="","Complete","Fix: "&amp;MID(IF(F402="",", Client","")&amp;IF(G402="",", Description","")&amp;IF(H402="",", Cost Centre","")&amp;IF(I402="",", Invoice Type","")&amp;IF(J402="",", Tax Code","")&amp;IF(O402="",", Expected Revenue","")&amp;IF(COUNTIF(tbl_Finance[Job Number],$C402&amp;"")&gt;1,", Job number used twice",""),3,300)))</f>
        <v/>
      </c>
      <c r="Q402" s="10">
        <f>IF($C402="","",IF(H402="","(no cost centre)",H402&amp;" - GL "&amp;IFERROR(INDEX(lst_CCtoGL,MATCH(H402,lst_CCforGL,0)),"?")))</f>
        <v/>
      </c>
      <c r="R402" s="11">
        <f>IF($C402="","",IFERROR(N(INDEX(tbl_Finance[Inc GST],MATCH($AU402,tbl_Finance[Row ID],0))),""))</f>
        <v/>
      </c>
      <c r="S402" s="37" t="n"/>
      <c r="T402" s="37" t="n"/>
      <c r="U402" s="37" t="n"/>
      <c r="V402" s="42" t="n"/>
      <c r="W402" s="37" t="n"/>
      <c r="X402" s="10">
        <f>IF(W402="","",IF(AND(LEFT(W402,4)&lt;&gt;"http",set_RMSBase=""),"",HYPERLINK(IF(LEFT(W402,4)="http",W402,set_RMSBase&amp;W402),"Open in RMS")))</f>
        <v/>
      </c>
      <c r="Y402" s="37" t="n"/>
      <c r="Z402" s="10">
        <f>IF(Y402="","",HYPERLINK(IF(LEFT(Y402,4)="http",Y402,set_QwilrBase&amp;Y402),"Open quote"))</f>
        <v/>
      </c>
      <c r="AA402" s="10">
        <f>IF(C402="","",C402)</f>
        <v/>
      </c>
      <c r="AB402" s="37" t="n"/>
      <c r="AC402" s="39" t="n"/>
      <c r="AD402" s="11">
        <f>IF(C402="","",N(L402)+N(AC402))</f>
        <v/>
      </c>
      <c r="AE402" s="43">
        <f>IFERROR(IF(N(AC402)=0,"",AC402/AD402),"")</f>
        <v/>
      </c>
      <c r="AF402" s="39" t="n"/>
      <c r="AG402" s="39" t="n"/>
      <c r="AH402" s="39" t="n"/>
      <c r="AI402" s="39" t="n"/>
      <c r="AJ402" s="11">
        <f>IF(C402="","",IF(H402="VIDEO",N(L402),0))</f>
        <v/>
      </c>
      <c r="AK402" s="43">
        <f>IFERROR(IF(N(L402)=0,"",AJ402/L402),"")</f>
        <v/>
      </c>
      <c r="AL402" s="11">
        <f>IF(C402="","",N(AF402)+N(AG402)+N(AH402)+N(AI402))</f>
        <v/>
      </c>
      <c r="AM402" s="11">
        <f>IF(C402="","",MAX(N(L402),N(O402))-N(AL402))</f>
        <v/>
      </c>
      <c r="AN402" s="43">
        <f>IFERROR(IF(MAX(N(L402),N(O402))=0,"",AM402/MAX(N(L402),N(O402))),"")</f>
        <v/>
      </c>
      <c r="AO402" s="41" t="n"/>
      <c r="AP402" s="41" t="n"/>
      <c r="AQ402" s="41" t="n"/>
      <c r="AR402" s="41" t="n"/>
      <c r="AS402" s="41" t="n"/>
      <c r="AT402" s="37" t="n"/>
      <c r="AU402" s="10" t="inlineStr">
        <is>
          <t>PRD-0398</t>
        </is>
      </c>
    </row>
    <row r="403">
      <c r="A403" s="16">
        <f>IF($C403="","",IFERROR(IF(INDEX(tbl_Finance[Latest Invoice Date],MATCH($AU403,tbl_Finance[Row ID],0))="","",INDEX(tbl_Finance[Latest Invoice Date],MATCH($AU403,tbl_Finance[Row ID],0))),""))</f>
        <v/>
      </c>
      <c r="B403" s="10">
        <f>IF($C403="","",IFERROR(INDEX(tbl_Finance[Invoice Numbers],MATCH($AU403,tbl_Finance[Row ID],0))&amp;"",""))</f>
        <v/>
      </c>
      <c r="C403" s="37" t="n"/>
      <c r="D403" s="10">
        <f>IF($C403="","",IF(COUNTIF(lst_Jobs,$C403&amp;"")&gt;0,"OK","CHECK"))</f>
        <v/>
      </c>
      <c r="E403" s="10">
        <f>IF($C403="","",IFERROR(INDEX(lst_JobName,MATCH($C403&amp;"",lst_Jobs,0)),""))</f>
        <v/>
      </c>
      <c r="F403" s="37" t="n"/>
      <c r="G403" s="37" t="n"/>
      <c r="H403" s="37" t="n"/>
      <c r="I403" s="37" t="n"/>
      <c r="J403" s="37" t="n"/>
      <c r="K403" s="38">
        <f>IF($C403="","",IFERROR(N(INDEX(tbl_Finance[Invoice Count],MATCH($AU403,tbl_Finance[Row ID],0))),""))</f>
        <v/>
      </c>
      <c r="L403" s="11">
        <f>IF($C403="","",IFERROR(N(INDEX(tbl_Finance[Xero Invoiced Ex GST],MATCH($AU403,tbl_Finance[Row ID],0))),""))</f>
        <v/>
      </c>
      <c r="M403" s="10">
        <f>IF($C403="","",IFERROR(INDEX(tbl_Finance[Compare],MATCH($AU403,tbl_Finance[Row ID],0))&amp;"",""))</f>
        <v/>
      </c>
      <c r="N403" s="11">
        <f>IF($C403="","",MAX(0,N(O403)-N(L403)))</f>
        <v/>
      </c>
      <c r="O403" s="39" t="n"/>
      <c r="P403" s="40">
        <f>IF($C403="","",IF((IF(F403="",", Client","")&amp;IF(G403="",", Description","")&amp;IF(H403="",", Cost Centre","")&amp;IF(I403="",", Invoice Type","")&amp;IF(J403="",", Tax Code","")&amp;IF(O403="",", Expected Revenue","")&amp;IF(COUNTIF(tbl_Finance[Job Number],$C403&amp;"")&gt;1,", Job number used twice",""))="","Complete","Fix: "&amp;MID(IF(F403="",", Client","")&amp;IF(G403="",", Description","")&amp;IF(H403="",", Cost Centre","")&amp;IF(I403="",", Invoice Type","")&amp;IF(J403="",", Tax Code","")&amp;IF(O403="",", Expected Revenue","")&amp;IF(COUNTIF(tbl_Finance[Job Number],$C403&amp;"")&gt;1,", Job number used twice",""),3,300)))</f>
        <v/>
      </c>
      <c r="Q403" s="10">
        <f>IF($C403="","",IF(H403="","(no cost centre)",H403&amp;" - GL "&amp;IFERROR(INDEX(lst_CCtoGL,MATCH(H403,lst_CCforGL,0)),"?")))</f>
        <v/>
      </c>
      <c r="R403" s="11">
        <f>IF($C403="","",IFERROR(N(INDEX(tbl_Finance[Inc GST],MATCH($AU403,tbl_Finance[Row ID],0))),""))</f>
        <v/>
      </c>
      <c r="S403" s="37" t="n"/>
      <c r="T403" s="37" t="n"/>
      <c r="U403" s="37" t="n"/>
      <c r="V403" s="42" t="n"/>
      <c r="W403" s="37" t="n"/>
      <c r="X403" s="10">
        <f>IF(W403="","",IF(AND(LEFT(W403,4)&lt;&gt;"http",set_RMSBase=""),"",HYPERLINK(IF(LEFT(W403,4)="http",W403,set_RMSBase&amp;W403),"Open in RMS")))</f>
        <v/>
      </c>
      <c r="Y403" s="37" t="n"/>
      <c r="Z403" s="10">
        <f>IF(Y403="","",HYPERLINK(IF(LEFT(Y403,4)="http",Y403,set_QwilrBase&amp;Y403),"Open quote"))</f>
        <v/>
      </c>
      <c r="AA403" s="10">
        <f>IF(C403="","",C403)</f>
        <v/>
      </c>
      <c r="AB403" s="37" t="n"/>
      <c r="AC403" s="39" t="n"/>
      <c r="AD403" s="11">
        <f>IF(C403="","",N(L403)+N(AC403))</f>
        <v/>
      </c>
      <c r="AE403" s="43">
        <f>IFERROR(IF(N(AC403)=0,"",AC403/AD403),"")</f>
        <v/>
      </c>
      <c r="AF403" s="39" t="n"/>
      <c r="AG403" s="39" t="n"/>
      <c r="AH403" s="39" t="n"/>
      <c r="AI403" s="39" t="n"/>
      <c r="AJ403" s="11">
        <f>IF(C403="","",IF(H403="VIDEO",N(L403),0))</f>
        <v/>
      </c>
      <c r="AK403" s="43">
        <f>IFERROR(IF(N(L403)=0,"",AJ403/L403),"")</f>
        <v/>
      </c>
      <c r="AL403" s="11">
        <f>IF(C403="","",N(AF403)+N(AG403)+N(AH403)+N(AI403))</f>
        <v/>
      </c>
      <c r="AM403" s="11">
        <f>IF(C403="","",MAX(N(L403),N(O403))-N(AL403))</f>
        <v/>
      </c>
      <c r="AN403" s="43">
        <f>IFERROR(IF(MAX(N(L403),N(O403))=0,"",AM403/MAX(N(L403),N(O403))),"")</f>
        <v/>
      </c>
      <c r="AO403" s="41" t="n"/>
      <c r="AP403" s="41" t="n"/>
      <c r="AQ403" s="41" t="n"/>
      <c r="AR403" s="41" t="n"/>
      <c r="AS403" s="41" t="n"/>
      <c r="AT403" s="37" t="n"/>
      <c r="AU403" s="10" t="inlineStr">
        <is>
          <t>PRD-0399</t>
        </is>
      </c>
    </row>
    <row r="404">
      <c r="A404" s="16">
        <f>IF($C404="","",IFERROR(IF(INDEX(tbl_Finance[Latest Invoice Date],MATCH($AU404,tbl_Finance[Row ID],0))="","",INDEX(tbl_Finance[Latest Invoice Date],MATCH($AU404,tbl_Finance[Row ID],0))),""))</f>
        <v/>
      </c>
      <c r="B404" s="10">
        <f>IF($C404="","",IFERROR(INDEX(tbl_Finance[Invoice Numbers],MATCH($AU404,tbl_Finance[Row ID],0))&amp;"",""))</f>
        <v/>
      </c>
      <c r="C404" s="37" t="n"/>
      <c r="D404" s="10">
        <f>IF($C404="","",IF(COUNTIF(lst_Jobs,$C404&amp;"")&gt;0,"OK","CHECK"))</f>
        <v/>
      </c>
      <c r="E404" s="10">
        <f>IF($C404="","",IFERROR(INDEX(lst_JobName,MATCH($C404&amp;"",lst_Jobs,0)),""))</f>
        <v/>
      </c>
      <c r="F404" s="37" t="n"/>
      <c r="G404" s="37" t="n"/>
      <c r="H404" s="37" t="n"/>
      <c r="I404" s="37" t="n"/>
      <c r="J404" s="37" t="n"/>
      <c r="K404" s="38">
        <f>IF($C404="","",IFERROR(N(INDEX(tbl_Finance[Invoice Count],MATCH($AU404,tbl_Finance[Row ID],0))),""))</f>
        <v/>
      </c>
      <c r="L404" s="11">
        <f>IF($C404="","",IFERROR(N(INDEX(tbl_Finance[Xero Invoiced Ex GST],MATCH($AU404,tbl_Finance[Row ID],0))),""))</f>
        <v/>
      </c>
      <c r="M404" s="10">
        <f>IF($C404="","",IFERROR(INDEX(tbl_Finance[Compare],MATCH($AU404,tbl_Finance[Row ID],0))&amp;"",""))</f>
        <v/>
      </c>
      <c r="N404" s="11">
        <f>IF($C404="","",MAX(0,N(O404)-N(L404)))</f>
        <v/>
      </c>
      <c r="O404" s="39" t="n"/>
      <c r="P404" s="40">
        <f>IF($C404="","",IF((IF(F404="",", Client","")&amp;IF(G404="",", Description","")&amp;IF(H404="",", Cost Centre","")&amp;IF(I404="",", Invoice Type","")&amp;IF(J404="",", Tax Code","")&amp;IF(O404="",", Expected Revenue","")&amp;IF(COUNTIF(tbl_Finance[Job Number],$C404&amp;"")&gt;1,", Job number used twice",""))="","Complete","Fix: "&amp;MID(IF(F404="",", Client","")&amp;IF(G404="",", Description","")&amp;IF(H404="",", Cost Centre","")&amp;IF(I404="",", Invoice Type","")&amp;IF(J404="",", Tax Code","")&amp;IF(O404="",", Expected Revenue","")&amp;IF(COUNTIF(tbl_Finance[Job Number],$C404&amp;"")&gt;1,", Job number used twice",""),3,300)))</f>
        <v/>
      </c>
      <c r="Q404" s="10">
        <f>IF($C404="","",IF(H404="","(no cost centre)",H404&amp;" - GL "&amp;IFERROR(INDEX(lst_CCtoGL,MATCH(H404,lst_CCforGL,0)),"?")))</f>
        <v/>
      </c>
      <c r="R404" s="11">
        <f>IF($C404="","",IFERROR(N(INDEX(tbl_Finance[Inc GST],MATCH($AU404,tbl_Finance[Row ID],0))),""))</f>
        <v/>
      </c>
      <c r="S404" s="37" t="n"/>
      <c r="T404" s="37" t="n"/>
      <c r="U404" s="37" t="n"/>
      <c r="V404" s="42" t="n"/>
      <c r="W404" s="37" t="n"/>
      <c r="X404" s="10">
        <f>IF(W404="","",IF(AND(LEFT(W404,4)&lt;&gt;"http",set_RMSBase=""),"",HYPERLINK(IF(LEFT(W404,4)="http",W404,set_RMSBase&amp;W404),"Open in RMS")))</f>
        <v/>
      </c>
      <c r="Y404" s="37" t="n"/>
      <c r="Z404" s="10">
        <f>IF(Y404="","",HYPERLINK(IF(LEFT(Y404,4)="http",Y404,set_QwilrBase&amp;Y404),"Open quote"))</f>
        <v/>
      </c>
      <c r="AA404" s="10">
        <f>IF(C404="","",C404)</f>
        <v/>
      </c>
      <c r="AB404" s="37" t="n"/>
      <c r="AC404" s="39" t="n"/>
      <c r="AD404" s="11">
        <f>IF(C404="","",N(L404)+N(AC404))</f>
        <v/>
      </c>
      <c r="AE404" s="43">
        <f>IFERROR(IF(N(AC404)=0,"",AC404/AD404),"")</f>
        <v/>
      </c>
      <c r="AF404" s="39" t="n"/>
      <c r="AG404" s="39" t="n"/>
      <c r="AH404" s="39" t="n"/>
      <c r="AI404" s="39" t="n"/>
      <c r="AJ404" s="11">
        <f>IF(C404="","",IF(H404="VIDEO",N(L404),0))</f>
        <v/>
      </c>
      <c r="AK404" s="43">
        <f>IFERROR(IF(N(L404)=0,"",AJ404/L404),"")</f>
        <v/>
      </c>
      <c r="AL404" s="11">
        <f>IF(C404="","",N(AF404)+N(AG404)+N(AH404)+N(AI404))</f>
        <v/>
      </c>
      <c r="AM404" s="11">
        <f>IF(C404="","",MAX(N(L404),N(O404))-N(AL404))</f>
        <v/>
      </c>
      <c r="AN404" s="43">
        <f>IFERROR(IF(MAX(N(L404),N(O404))=0,"",AM404/MAX(N(L404),N(O404))),"")</f>
        <v/>
      </c>
      <c r="AO404" s="41" t="n"/>
      <c r="AP404" s="41" t="n"/>
      <c r="AQ404" s="41" t="n"/>
      <c r="AR404" s="41" t="n"/>
      <c r="AS404" s="41" t="n"/>
      <c r="AT404" s="37" t="n"/>
      <c r="AU404" s="10" t="inlineStr">
        <is>
          <t>PRD-0400</t>
        </is>
      </c>
    </row>
    <row r="405">
      <c r="A405" s="16">
        <f>IF($C405="","",IFERROR(IF(INDEX(tbl_Finance[Latest Invoice Date],MATCH($AU405,tbl_Finance[Row ID],0))="","",INDEX(tbl_Finance[Latest Invoice Date],MATCH($AU405,tbl_Finance[Row ID],0))),""))</f>
        <v/>
      </c>
      <c r="B405" s="10">
        <f>IF($C405="","",IFERROR(INDEX(tbl_Finance[Invoice Numbers],MATCH($AU405,tbl_Finance[Row ID],0))&amp;"",""))</f>
        <v/>
      </c>
      <c r="C405" s="37" t="n"/>
      <c r="D405" s="10">
        <f>IF($C405="","",IF(COUNTIF(lst_Jobs,$C405&amp;"")&gt;0,"OK","CHECK"))</f>
        <v/>
      </c>
      <c r="E405" s="10">
        <f>IF($C405="","",IFERROR(INDEX(lst_JobName,MATCH($C405&amp;"",lst_Jobs,0)),""))</f>
        <v/>
      </c>
      <c r="F405" s="37" t="n"/>
      <c r="G405" s="37" t="n"/>
      <c r="H405" s="37" t="n"/>
      <c r="I405" s="37" t="n"/>
      <c r="J405" s="37" t="n"/>
      <c r="K405" s="38">
        <f>IF($C405="","",IFERROR(N(INDEX(tbl_Finance[Invoice Count],MATCH($AU405,tbl_Finance[Row ID],0))),""))</f>
        <v/>
      </c>
      <c r="L405" s="11">
        <f>IF($C405="","",IFERROR(N(INDEX(tbl_Finance[Xero Invoiced Ex GST],MATCH($AU405,tbl_Finance[Row ID],0))),""))</f>
        <v/>
      </c>
      <c r="M405" s="10">
        <f>IF($C405="","",IFERROR(INDEX(tbl_Finance[Compare],MATCH($AU405,tbl_Finance[Row ID],0))&amp;"",""))</f>
        <v/>
      </c>
      <c r="N405" s="11">
        <f>IF($C405="","",MAX(0,N(O405)-N(L405)))</f>
        <v/>
      </c>
      <c r="O405" s="39" t="n"/>
      <c r="P405" s="40">
        <f>IF($C405="","",IF((IF(F405="",", Client","")&amp;IF(G405="",", Description","")&amp;IF(H405="",", Cost Centre","")&amp;IF(I405="",", Invoice Type","")&amp;IF(J405="",", Tax Code","")&amp;IF(O405="",", Expected Revenue","")&amp;IF(COUNTIF(tbl_Finance[Job Number],$C405&amp;"")&gt;1,", Job number used twice",""))="","Complete","Fix: "&amp;MID(IF(F405="",", Client","")&amp;IF(G405="",", Description","")&amp;IF(H405="",", Cost Centre","")&amp;IF(I405="",", Invoice Type","")&amp;IF(J405="",", Tax Code","")&amp;IF(O405="",", Expected Revenue","")&amp;IF(COUNTIF(tbl_Finance[Job Number],$C405&amp;"")&gt;1,", Job number used twice",""),3,300)))</f>
        <v/>
      </c>
      <c r="Q405" s="10">
        <f>IF($C405="","",IF(H405="","(no cost centre)",H405&amp;" - GL "&amp;IFERROR(INDEX(lst_CCtoGL,MATCH(H405,lst_CCforGL,0)),"?")))</f>
        <v/>
      </c>
      <c r="R405" s="11">
        <f>IF($C405="","",IFERROR(N(INDEX(tbl_Finance[Inc GST],MATCH($AU405,tbl_Finance[Row ID],0))),""))</f>
        <v/>
      </c>
      <c r="S405" s="37" t="n"/>
      <c r="T405" s="37" t="n"/>
      <c r="U405" s="37" t="n"/>
      <c r="V405" s="42" t="n"/>
      <c r="W405" s="37" t="n"/>
      <c r="X405" s="10">
        <f>IF(W405="","",IF(AND(LEFT(W405,4)&lt;&gt;"http",set_RMSBase=""),"",HYPERLINK(IF(LEFT(W405,4)="http",W405,set_RMSBase&amp;W405),"Open in RMS")))</f>
        <v/>
      </c>
      <c r="Y405" s="37" t="n"/>
      <c r="Z405" s="10">
        <f>IF(Y405="","",HYPERLINK(IF(LEFT(Y405,4)="http",Y405,set_QwilrBase&amp;Y405),"Open quote"))</f>
        <v/>
      </c>
      <c r="AA405" s="10">
        <f>IF(C405="","",C405)</f>
        <v/>
      </c>
      <c r="AB405" s="37" t="n"/>
      <c r="AC405" s="39" t="n"/>
      <c r="AD405" s="11">
        <f>IF(C405="","",N(L405)+N(AC405))</f>
        <v/>
      </c>
      <c r="AE405" s="43">
        <f>IFERROR(IF(N(AC405)=0,"",AC405/AD405),"")</f>
        <v/>
      </c>
      <c r="AF405" s="39" t="n"/>
      <c r="AG405" s="39" t="n"/>
      <c r="AH405" s="39" t="n"/>
      <c r="AI405" s="39" t="n"/>
      <c r="AJ405" s="11">
        <f>IF(C405="","",IF(H405="VIDEO",N(L405),0))</f>
        <v/>
      </c>
      <c r="AK405" s="43">
        <f>IFERROR(IF(N(L405)=0,"",AJ405/L405),"")</f>
        <v/>
      </c>
      <c r="AL405" s="11">
        <f>IF(C405="","",N(AF405)+N(AG405)+N(AH405)+N(AI405))</f>
        <v/>
      </c>
      <c r="AM405" s="11">
        <f>IF(C405="","",MAX(N(L405),N(O405))-N(AL405))</f>
        <v/>
      </c>
      <c r="AN405" s="43">
        <f>IFERROR(IF(MAX(N(L405),N(O405))=0,"",AM405/MAX(N(L405),N(O405))),"")</f>
        <v/>
      </c>
      <c r="AO405" s="41" t="n"/>
      <c r="AP405" s="41" t="n"/>
      <c r="AQ405" s="41" t="n"/>
      <c r="AR405" s="41" t="n"/>
      <c r="AS405" s="41" t="n"/>
      <c r="AT405" s="37" t="n"/>
      <c r="AU405" s="10" t="inlineStr">
        <is>
          <t>PRD-0401</t>
        </is>
      </c>
    </row>
    <row r="406">
      <c r="A406" s="16">
        <f>IF($C406="","",IFERROR(IF(INDEX(tbl_Finance[Latest Invoice Date],MATCH($AU406,tbl_Finance[Row ID],0))="","",INDEX(tbl_Finance[Latest Invoice Date],MATCH($AU406,tbl_Finance[Row ID],0))),""))</f>
        <v/>
      </c>
      <c r="B406" s="10">
        <f>IF($C406="","",IFERROR(INDEX(tbl_Finance[Invoice Numbers],MATCH($AU406,tbl_Finance[Row ID],0))&amp;"",""))</f>
        <v/>
      </c>
      <c r="C406" s="37" t="n"/>
      <c r="D406" s="10">
        <f>IF($C406="","",IF(COUNTIF(lst_Jobs,$C406&amp;"")&gt;0,"OK","CHECK"))</f>
        <v/>
      </c>
      <c r="E406" s="10">
        <f>IF($C406="","",IFERROR(INDEX(lst_JobName,MATCH($C406&amp;"",lst_Jobs,0)),""))</f>
        <v/>
      </c>
      <c r="F406" s="37" t="n"/>
      <c r="G406" s="37" t="n"/>
      <c r="H406" s="37" t="n"/>
      <c r="I406" s="37" t="n"/>
      <c r="J406" s="37" t="n"/>
      <c r="K406" s="38">
        <f>IF($C406="","",IFERROR(N(INDEX(tbl_Finance[Invoice Count],MATCH($AU406,tbl_Finance[Row ID],0))),""))</f>
        <v/>
      </c>
      <c r="L406" s="11">
        <f>IF($C406="","",IFERROR(N(INDEX(tbl_Finance[Xero Invoiced Ex GST],MATCH($AU406,tbl_Finance[Row ID],0))),""))</f>
        <v/>
      </c>
      <c r="M406" s="10">
        <f>IF($C406="","",IFERROR(INDEX(tbl_Finance[Compare],MATCH($AU406,tbl_Finance[Row ID],0))&amp;"",""))</f>
        <v/>
      </c>
      <c r="N406" s="11">
        <f>IF($C406="","",MAX(0,N(O406)-N(L406)))</f>
        <v/>
      </c>
      <c r="O406" s="39" t="n"/>
      <c r="P406" s="40">
        <f>IF($C406="","",IF((IF(F406="",", Client","")&amp;IF(G406="",", Description","")&amp;IF(H406="",", Cost Centre","")&amp;IF(I406="",", Invoice Type","")&amp;IF(J406="",", Tax Code","")&amp;IF(O406="",", Expected Revenue","")&amp;IF(COUNTIF(tbl_Finance[Job Number],$C406&amp;"")&gt;1,", Job number used twice",""))="","Complete","Fix: "&amp;MID(IF(F406="",", Client","")&amp;IF(G406="",", Description","")&amp;IF(H406="",", Cost Centre","")&amp;IF(I406="",", Invoice Type","")&amp;IF(J406="",", Tax Code","")&amp;IF(O406="",", Expected Revenue","")&amp;IF(COUNTIF(tbl_Finance[Job Number],$C406&amp;"")&gt;1,", Job number used twice",""),3,300)))</f>
        <v/>
      </c>
      <c r="Q406" s="10">
        <f>IF($C406="","",IF(H406="","(no cost centre)",H406&amp;" - GL "&amp;IFERROR(INDEX(lst_CCtoGL,MATCH(H406,lst_CCforGL,0)),"?")))</f>
        <v/>
      </c>
      <c r="R406" s="11">
        <f>IF($C406="","",IFERROR(N(INDEX(tbl_Finance[Inc GST],MATCH($AU406,tbl_Finance[Row ID],0))),""))</f>
        <v/>
      </c>
      <c r="S406" s="37" t="n"/>
      <c r="T406" s="37" t="n"/>
      <c r="U406" s="37" t="n"/>
      <c r="V406" s="42" t="n"/>
      <c r="W406" s="37" t="n"/>
      <c r="X406" s="10">
        <f>IF(W406="","",IF(AND(LEFT(W406,4)&lt;&gt;"http",set_RMSBase=""),"",HYPERLINK(IF(LEFT(W406,4)="http",W406,set_RMSBase&amp;W406),"Open in RMS")))</f>
        <v/>
      </c>
      <c r="Y406" s="37" t="n"/>
      <c r="Z406" s="10">
        <f>IF(Y406="","",HYPERLINK(IF(LEFT(Y406,4)="http",Y406,set_QwilrBase&amp;Y406),"Open quote"))</f>
        <v/>
      </c>
      <c r="AA406" s="10">
        <f>IF(C406="","",C406)</f>
        <v/>
      </c>
      <c r="AB406" s="37" t="n"/>
      <c r="AC406" s="39" t="n"/>
      <c r="AD406" s="11">
        <f>IF(C406="","",N(L406)+N(AC406))</f>
        <v/>
      </c>
      <c r="AE406" s="43">
        <f>IFERROR(IF(N(AC406)=0,"",AC406/AD406),"")</f>
        <v/>
      </c>
      <c r="AF406" s="39" t="n"/>
      <c r="AG406" s="39" t="n"/>
      <c r="AH406" s="39" t="n"/>
      <c r="AI406" s="39" t="n"/>
      <c r="AJ406" s="11">
        <f>IF(C406="","",IF(H406="VIDEO",N(L406),0))</f>
        <v/>
      </c>
      <c r="AK406" s="43">
        <f>IFERROR(IF(N(L406)=0,"",AJ406/L406),"")</f>
        <v/>
      </c>
      <c r="AL406" s="11">
        <f>IF(C406="","",N(AF406)+N(AG406)+N(AH406)+N(AI406))</f>
        <v/>
      </c>
      <c r="AM406" s="11">
        <f>IF(C406="","",MAX(N(L406),N(O406))-N(AL406))</f>
        <v/>
      </c>
      <c r="AN406" s="43">
        <f>IFERROR(IF(MAX(N(L406),N(O406))=0,"",AM406/MAX(N(L406),N(O406))),"")</f>
        <v/>
      </c>
      <c r="AO406" s="41" t="n"/>
      <c r="AP406" s="41" t="n"/>
      <c r="AQ406" s="41" t="n"/>
      <c r="AR406" s="41" t="n"/>
      <c r="AS406" s="41" t="n"/>
      <c r="AT406" s="37" t="n"/>
      <c r="AU406" s="10" t="inlineStr">
        <is>
          <t>PRD-0402</t>
        </is>
      </c>
    </row>
    <row r="407">
      <c r="A407" s="16">
        <f>IF($C407="","",IFERROR(IF(INDEX(tbl_Finance[Latest Invoice Date],MATCH($AU407,tbl_Finance[Row ID],0))="","",INDEX(tbl_Finance[Latest Invoice Date],MATCH($AU407,tbl_Finance[Row ID],0))),""))</f>
        <v/>
      </c>
      <c r="B407" s="10">
        <f>IF($C407="","",IFERROR(INDEX(tbl_Finance[Invoice Numbers],MATCH($AU407,tbl_Finance[Row ID],0))&amp;"",""))</f>
        <v/>
      </c>
      <c r="C407" s="37" t="n"/>
      <c r="D407" s="10">
        <f>IF($C407="","",IF(COUNTIF(lst_Jobs,$C407&amp;"")&gt;0,"OK","CHECK"))</f>
        <v/>
      </c>
      <c r="E407" s="10">
        <f>IF($C407="","",IFERROR(INDEX(lst_JobName,MATCH($C407&amp;"",lst_Jobs,0)),""))</f>
        <v/>
      </c>
      <c r="F407" s="37" t="n"/>
      <c r="G407" s="37" t="n"/>
      <c r="H407" s="37" t="n"/>
      <c r="I407" s="37" t="n"/>
      <c r="J407" s="37" t="n"/>
      <c r="K407" s="38">
        <f>IF($C407="","",IFERROR(N(INDEX(tbl_Finance[Invoice Count],MATCH($AU407,tbl_Finance[Row ID],0))),""))</f>
        <v/>
      </c>
      <c r="L407" s="11">
        <f>IF($C407="","",IFERROR(N(INDEX(tbl_Finance[Xero Invoiced Ex GST],MATCH($AU407,tbl_Finance[Row ID],0))),""))</f>
        <v/>
      </c>
      <c r="M407" s="10">
        <f>IF($C407="","",IFERROR(INDEX(tbl_Finance[Compare],MATCH($AU407,tbl_Finance[Row ID],0))&amp;"",""))</f>
        <v/>
      </c>
      <c r="N407" s="11">
        <f>IF($C407="","",MAX(0,N(O407)-N(L407)))</f>
        <v/>
      </c>
      <c r="O407" s="39" t="n"/>
      <c r="P407" s="40">
        <f>IF($C407="","",IF((IF(F407="",", Client","")&amp;IF(G407="",", Description","")&amp;IF(H407="",", Cost Centre","")&amp;IF(I407="",", Invoice Type","")&amp;IF(J407="",", Tax Code","")&amp;IF(O407="",", Expected Revenue","")&amp;IF(COUNTIF(tbl_Finance[Job Number],$C407&amp;"")&gt;1,", Job number used twice",""))="","Complete","Fix: "&amp;MID(IF(F407="",", Client","")&amp;IF(G407="",", Description","")&amp;IF(H407="",", Cost Centre","")&amp;IF(I407="",", Invoice Type","")&amp;IF(J407="",", Tax Code","")&amp;IF(O407="",", Expected Revenue","")&amp;IF(COUNTIF(tbl_Finance[Job Number],$C407&amp;"")&gt;1,", Job number used twice",""),3,300)))</f>
        <v/>
      </c>
      <c r="Q407" s="10">
        <f>IF($C407="","",IF(H407="","(no cost centre)",H407&amp;" - GL "&amp;IFERROR(INDEX(lst_CCtoGL,MATCH(H407,lst_CCforGL,0)),"?")))</f>
        <v/>
      </c>
      <c r="R407" s="11">
        <f>IF($C407="","",IFERROR(N(INDEX(tbl_Finance[Inc GST],MATCH($AU407,tbl_Finance[Row ID],0))),""))</f>
        <v/>
      </c>
      <c r="S407" s="37" t="n"/>
      <c r="T407" s="37" t="n"/>
      <c r="U407" s="37" t="n"/>
      <c r="V407" s="42" t="n"/>
      <c r="W407" s="37" t="n"/>
      <c r="X407" s="10">
        <f>IF(W407="","",IF(AND(LEFT(W407,4)&lt;&gt;"http",set_RMSBase=""),"",HYPERLINK(IF(LEFT(W407,4)="http",W407,set_RMSBase&amp;W407),"Open in RMS")))</f>
        <v/>
      </c>
      <c r="Y407" s="37" t="n"/>
      <c r="Z407" s="10">
        <f>IF(Y407="","",HYPERLINK(IF(LEFT(Y407,4)="http",Y407,set_QwilrBase&amp;Y407),"Open quote"))</f>
        <v/>
      </c>
      <c r="AA407" s="10">
        <f>IF(C407="","",C407)</f>
        <v/>
      </c>
      <c r="AB407" s="37" t="n"/>
      <c r="AC407" s="39" t="n"/>
      <c r="AD407" s="11">
        <f>IF(C407="","",N(L407)+N(AC407))</f>
        <v/>
      </c>
      <c r="AE407" s="43">
        <f>IFERROR(IF(N(AC407)=0,"",AC407/AD407),"")</f>
        <v/>
      </c>
      <c r="AF407" s="39" t="n"/>
      <c r="AG407" s="39" t="n"/>
      <c r="AH407" s="39" t="n"/>
      <c r="AI407" s="39" t="n"/>
      <c r="AJ407" s="11">
        <f>IF(C407="","",IF(H407="VIDEO",N(L407),0))</f>
        <v/>
      </c>
      <c r="AK407" s="43">
        <f>IFERROR(IF(N(L407)=0,"",AJ407/L407),"")</f>
        <v/>
      </c>
      <c r="AL407" s="11">
        <f>IF(C407="","",N(AF407)+N(AG407)+N(AH407)+N(AI407))</f>
        <v/>
      </c>
      <c r="AM407" s="11">
        <f>IF(C407="","",MAX(N(L407),N(O407))-N(AL407))</f>
        <v/>
      </c>
      <c r="AN407" s="43">
        <f>IFERROR(IF(MAX(N(L407),N(O407))=0,"",AM407/MAX(N(L407),N(O407))),"")</f>
        <v/>
      </c>
      <c r="AO407" s="41" t="n"/>
      <c r="AP407" s="41" t="n"/>
      <c r="AQ407" s="41" t="n"/>
      <c r="AR407" s="41" t="n"/>
      <c r="AS407" s="41" t="n"/>
      <c r="AT407" s="37" t="n"/>
      <c r="AU407" s="10" t="inlineStr">
        <is>
          <t>PRD-0403</t>
        </is>
      </c>
    </row>
    <row r="408">
      <c r="A408" s="16">
        <f>IF($C408="","",IFERROR(IF(INDEX(tbl_Finance[Latest Invoice Date],MATCH($AU408,tbl_Finance[Row ID],0))="","",INDEX(tbl_Finance[Latest Invoice Date],MATCH($AU408,tbl_Finance[Row ID],0))),""))</f>
        <v/>
      </c>
      <c r="B408" s="10">
        <f>IF($C408="","",IFERROR(INDEX(tbl_Finance[Invoice Numbers],MATCH($AU408,tbl_Finance[Row ID],0))&amp;"",""))</f>
        <v/>
      </c>
      <c r="C408" s="37" t="n"/>
      <c r="D408" s="10">
        <f>IF($C408="","",IF(COUNTIF(lst_Jobs,$C408&amp;"")&gt;0,"OK","CHECK"))</f>
        <v/>
      </c>
      <c r="E408" s="10">
        <f>IF($C408="","",IFERROR(INDEX(lst_JobName,MATCH($C408&amp;"",lst_Jobs,0)),""))</f>
        <v/>
      </c>
      <c r="F408" s="37" t="n"/>
      <c r="G408" s="37" t="n"/>
      <c r="H408" s="37" t="n"/>
      <c r="I408" s="37" t="n"/>
      <c r="J408" s="37" t="n"/>
      <c r="K408" s="38">
        <f>IF($C408="","",IFERROR(N(INDEX(tbl_Finance[Invoice Count],MATCH($AU408,tbl_Finance[Row ID],0))),""))</f>
        <v/>
      </c>
      <c r="L408" s="11">
        <f>IF($C408="","",IFERROR(N(INDEX(tbl_Finance[Xero Invoiced Ex GST],MATCH($AU408,tbl_Finance[Row ID],0))),""))</f>
        <v/>
      </c>
      <c r="M408" s="10">
        <f>IF($C408="","",IFERROR(INDEX(tbl_Finance[Compare],MATCH($AU408,tbl_Finance[Row ID],0))&amp;"",""))</f>
        <v/>
      </c>
      <c r="N408" s="11">
        <f>IF($C408="","",MAX(0,N(O408)-N(L408)))</f>
        <v/>
      </c>
      <c r="O408" s="39" t="n"/>
      <c r="P408" s="40">
        <f>IF($C408="","",IF((IF(F408="",", Client","")&amp;IF(G408="",", Description","")&amp;IF(H408="",", Cost Centre","")&amp;IF(I408="",", Invoice Type","")&amp;IF(J408="",", Tax Code","")&amp;IF(O408="",", Expected Revenue","")&amp;IF(COUNTIF(tbl_Finance[Job Number],$C408&amp;"")&gt;1,", Job number used twice",""))="","Complete","Fix: "&amp;MID(IF(F408="",", Client","")&amp;IF(G408="",", Description","")&amp;IF(H408="",", Cost Centre","")&amp;IF(I408="",", Invoice Type","")&amp;IF(J408="",", Tax Code","")&amp;IF(O408="",", Expected Revenue","")&amp;IF(COUNTIF(tbl_Finance[Job Number],$C408&amp;"")&gt;1,", Job number used twice",""),3,300)))</f>
        <v/>
      </c>
      <c r="Q408" s="10">
        <f>IF($C408="","",IF(H408="","(no cost centre)",H408&amp;" - GL "&amp;IFERROR(INDEX(lst_CCtoGL,MATCH(H408,lst_CCforGL,0)),"?")))</f>
        <v/>
      </c>
      <c r="R408" s="11">
        <f>IF($C408="","",IFERROR(N(INDEX(tbl_Finance[Inc GST],MATCH($AU408,tbl_Finance[Row ID],0))),""))</f>
        <v/>
      </c>
      <c r="S408" s="37" t="n"/>
      <c r="T408" s="37" t="n"/>
      <c r="U408" s="37" t="n"/>
      <c r="V408" s="42" t="n"/>
      <c r="W408" s="37" t="n"/>
      <c r="X408" s="10">
        <f>IF(W408="","",IF(AND(LEFT(W408,4)&lt;&gt;"http",set_RMSBase=""),"",HYPERLINK(IF(LEFT(W408,4)="http",W408,set_RMSBase&amp;W408),"Open in RMS")))</f>
        <v/>
      </c>
      <c r="Y408" s="37" t="n"/>
      <c r="Z408" s="10">
        <f>IF(Y408="","",HYPERLINK(IF(LEFT(Y408,4)="http",Y408,set_QwilrBase&amp;Y408),"Open quote"))</f>
        <v/>
      </c>
      <c r="AA408" s="10">
        <f>IF(C408="","",C408)</f>
        <v/>
      </c>
      <c r="AB408" s="37" t="n"/>
      <c r="AC408" s="39" t="n"/>
      <c r="AD408" s="11">
        <f>IF(C408="","",N(L408)+N(AC408))</f>
        <v/>
      </c>
      <c r="AE408" s="43">
        <f>IFERROR(IF(N(AC408)=0,"",AC408/AD408),"")</f>
        <v/>
      </c>
      <c r="AF408" s="39" t="n"/>
      <c r="AG408" s="39" t="n"/>
      <c r="AH408" s="39" t="n"/>
      <c r="AI408" s="39" t="n"/>
      <c r="AJ408" s="11">
        <f>IF(C408="","",IF(H408="VIDEO",N(L408),0))</f>
        <v/>
      </c>
      <c r="AK408" s="43">
        <f>IFERROR(IF(N(L408)=0,"",AJ408/L408),"")</f>
        <v/>
      </c>
      <c r="AL408" s="11">
        <f>IF(C408="","",N(AF408)+N(AG408)+N(AH408)+N(AI408))</f>
        <v/>
      </c>
      <c r="AM408" s="11">
        <f>IF(C408="","",MAX(N(L408),N(O408))-N(AL408))</f>
        <v/>
      </c>
      <c r="AN408" s="43">
        <f>IFERROR(IF(MAX(N(L408),N(O408))=0,"",AM408/MAX(N(L408),N(O408))),"")</f>
        <v/>
      </c>
      <c r="AO408" s="41" t="n"/>
      <c r="AP408" s="41" t="n"/>
      <c r="AQ408" s="41" t="n"/>
      <c r="AR408" s="41" t="n"/>
      <c r="AS408" s="41" t="n"/>
      <c r="AT408" s="37" t="n"/>
      <c r="AU408" s="10" t="inlineStr">
        <is>
          <t>PRD-0404</t>
        </is>
      </c>
    </row>
    <row r="409">
      <c r="A409" s="16">
        <f>IF($C409="","",IFERROR(IF(INDEX(tbl_Finance[Latest Invoice Date],MATCH($AU409,tbl_Finance[Row ID],0))="","",INDEX(tbl_Finance[Latest Invoice Date],MATCH($AU409,tbl_Finance[Row ID],0))),""))</f>
        <v/>
      </c>
      <c r="B409" s="10">
        <f>IF($C409="","",IFERROR(INDEX(tbl_Finance[Invoice Numbers],MATCH($AU409,tbl_Finance[Row ID],0))&amp;"",""))</f>
        <v/>
      </c>
      <c r="C409" s="37" t="n"/>
      <c r="D409" s="10">
        <f>IF($C409="","",IF(COUNTIF(lst_Jobs,$C409&amp;"")&gt;0,"OK","CHECK"))</f>
        <v/>
      </c>
      <c r="E409" s="10">
        <f>IF($C409="","",IFERROR(INDEX(lst_JobName,MATCH($C409&amp;"",lst_Jobs,0)),""))</f>
        <v/>
      </c>
      <c r="F409" s="37" t="n"/>
      <c r="G409" s="37" t="n"/>
      <c r="H409" s="37" t="n"/>
      <c r="I409" s="37" t="n"/>
      <c r="J409" s="37" t="n"/>
      <c r="K409" s="38">
        <f>IF($C409="","",IFERROR(N(INDEX(tbl_Finance[Invoice Count],MATCH($AU409,tbl_Finance[Row ID],0))),""))</f>
        <v/>
      </c>
      <c r="L409" s="11">
        <f>IF($C409="","",IFERROR(N(INDEX(tbl_Finance[Xero Invoiced Ex GST],MATCH($AU409,tbl_Finance[Row ID],0))),""))</f>
        <v/>
      </c>
      <c r="M409" s="10">
        <f>IF($C409="","",IFERROR(INDEX(tbl_Finance[Compare],MATCH($AU409,tbl_Finance[Row ID],0))&amp;"",""))</f>
        <v/>
      </c>
      <c r="N409" s="11">
        <f>IF($C409="","",MAX(0,N(O409)-N(L409)))</f>
        <v/>
      </c>
      <c r="O409" s="39" t="n"/>
      <c r="P409" s="40">
        <f>IF($C409="","",IF((IF(F409="",", Client","")&amp;IF(G409="",", Description","")&amp;IF(H409="",", Cost Centre","")&amp;IF(I409="",", Invoice Type","")&amp;IF(J409="",", Tax Code","")&amp;IF(O409="",", Expected Revenue","")&amp;IF(COUNTIF(tbl_Finance[Job Number],$C409&amp;"")&gt;1,", Job number used twice",""))="","Complete","Fix: "&amp;MID(IF(F409="",", Client","")&amp;IF(G409="",", Description","")&amp;IF(H409="",", Cost Centre","")&amp;IF(I409="",", Invoice Type","")&amp;IF(J409="",", Tax Code","")&amp;IF(O409="",", Expected Revenue","")&amp;IF(COUNTIF(tbl_Finance[Job Number],$C409&amp;"")&gt;1,", Job number used twice",""),3,300)))</f>
        <v/>
      </c>
      <c r="Q409" s="10">
        <f>IF($C409="","",IF(H409="","(no cost centre)",H409&amp;" - GL "&amp;IFERROR(INDEX(lst_CCtoGL,MATCH(H409,lst_CCforGL,0)),"?")))</f>
        <v/>
      </c>
      <c r="R409" s="11">
        <f>IF($C409="","",IFERROR(N(INDEX(tbl_Finance[Inc GST],MATCH($AU409,tbl_Finance[Row ID],0))),""))</f>
        <v/>
      </c>
      <c r="S409" s="37" t="n"/>
      <c r="T409" s="37" t="n"/>
      <c r="U409" s="37" t="n"/>
      <c r="V409" s="42" t="n"/>
      <c r="W409" s="37" t="n"/>
      <c r="X409" s="10">
        <f>IF(W409="","",IF(AND(LEFT(W409,4)&lt;&gt;"http",set_RMSBase=""),"",HYPERLINK(IF(LEFT(W409,4)="http",W409,set_RMSBase&amp;W409),"Open in RMS")))</f>
        <v/>
      </c>
      <c r="Y409" s="37" t="n"/>
      <c r="Z409" s="10">
        <f>IF(Y409="","",HYPERLINK(IF(LEFT(Y409,4)="http",Y409,set_QwilrBase&amp;Y409),"Open quote"))</f>
        <v/>
      </c>
      <c r="AA409" s="10">
        <f>IF(C409="","",C409)</f>
        <v/>
      </c>
      <c r="AB409" s="37" t="n"/>
      <c r="AC409" s="39" t="n"/>
      <c r="AD409" s="11">
        <f>IF(C409="","",N(L409)+N(AC409))</f>
        <v/>
      </c>
      <c r="AE409" s="43">
        <f>IFERROR(IF(N(AC409)=0,"",AC409/AD409),"")</f>
        <v/>
      </c>
      <c r="AF409" s="39" t="n"/>
      <c r="AG409" s="39" t="n"/>
      <c r="AH409" s="39" t="n"/>
      <c r="AI409" s="39" t="n"/>
      <c r="AJ409" s="11">
        <f>IF(C409="","",IF(H409="VIDEO",N(L409),0))</f>
        <v/>
      </c>
      <c r="AK409" s="43">
        <f>IFERROR(IF(N(L409)=0,"",AJ409/L409),"")</f>
        <v/>
      </c>
      <c r="AL409" s="11">
        <f>IF(C409="","",N(AF409)+N(AG409)+N(AH409)+N(AI409))</f>
        <v/>
      </c>
      <c r="AM409" s="11">
        <f>IF(C409="","",MAX(N(L409),N(O409))-N(AL409))</f>
        <v/>
      </c>
      <c r="AN409" s="43">
        <f>IFERROR(IF(MAX(N(L409),N(O409))=0,"",AM409/MAX(N(L409),N(O409))),"")</f>
        <v/>
      </c>
      <c r="AO409" s="41" t="n"/>
      <c r="AP409" s="41" t="n"/>
      <c r="AQ409" s="41" t="n"/>
      <c r="AR409" s="41" t="n"/>
      <c r="AS409" s="41" t="n"/>
      <c r="AT409" s="37" t="n"/>
      <c r="AU409" s="10" t="inlineStr">
        <is>
          <t>PRD-0405</t>
        </is>
      </c>
    </row>
    <row r="410">
      <c r="A410" s="16">
        <f>IF($C410="","",IFERROR(IF(INDEX(tbl_Finance[Latest Invoice Date],MATCH($AU410,tbl_Finance[Row ID],0))="","",INDEX(tbl_Finance[Latest Invoice Date],MATCH($AU410,tbl_Finance[Row ID],0))),""))</f>
        <v/>
      </c>
      <c r="B410" s="10">
        <f>IF($C410="","",IFERROR(INDEX(tbl_Finance[Invoice Numbers],MATCH($AU410,tbl_Finance[Row ID],0))&amp;"",""))</f>
        <v/>
      </c>
      <c r="C410" s="37" t="n"/>
      <c r="D410" s="10">
        <f>IF($C410="","",IF(COUNTIF(lst_Jobs,$C410&amp;"")&gt;0,"OK","CHECK"))</f>
        <v/>
      </c>
      <c r="E410" s="10">
        <f>IF($C410="","",IFERROR(INDEX(lst_JobName,MATCH($C410&amp;"",lst_Jobs,0)),""))</f>
        <v/>
      </c>
      <c r="F410" s="37" t="n"/>
      <c r="G410" s="37" t="n"/>
      <c r="H410" s="37" t="n"/>
      <c r="I410" s="37" t="n"/>
      <c r="J410" s="37" t="n"/>
      <c r="K410" s="38">
        <f>IF($C410="","",IFERROR(N(INDEX(tbl_Finance[Invoice Count],MATCH($AU410,tbl_Finance[Row ID],0))),""))</f>
        <v/>
      </c>
      <c r="L410" s="11">
        <f>IF($C410="","",IFERROR(N(INDEX(tbl_Finance[Xero Invoiced Ex GST],MATCH($AU410,tbl_Finance[Row ID],0))),""))</f>
        <v/>
      </c>
      <c r="M410" s="10">
        <f>IF($C410="","",IFERROR(INDEX(tbl_Finance[Compare],MATCH($AU410,tbl_Finance[Row ID],0))&amp;"",""))</f>
        <v/>
      </c>
      <c r="N410" s="11">
        <f>IF($C410="","",MAX(0,N(O410)-N(L410)))</f>
        <v/>
      </c>
      <c r="O410" s="39" t="n"/>
      <c r="P410" s="40">
        <f>IF($C410="","",IF((IF(F410="",", Client","")&amp;IF(G410="",", Description","")&amp;IF(H410="",", Cost Centre","")&amp;IF(I410="",", Invoice Type","")&amp;IF(J410="",", Tax Code","")&amp;IF(O410="",", Expected Revenue","")&amp;IF(COUNTIF(tbl_Finance[Job Number],$C410&amp;"")&gt;1,", Job number used twice",""))="","Complete","Fix: "&amp;MID(IF(F410="",", Client","")&amp;IF(G410="",", Description","")&amp;IF(H410="",", Cost Centre","")&amp;IF(I410="",", Invoice Type","")&amp;IF(J410="",", Tax Code","")&amp;IF(O410="",", Expected Revenue","")&amp;IF(COUNTIF(tbl_Finance[Job Number],$C410&amp;"")&gt;1,", Job number used twice",""),3,300)))</f>
        <v/>
      </c>
      <c r="Q410" s="10">
        <f>IF($C410="","",IF(H410="","(no cost centre)",H410&amp;" - GL "&amp;IFERROR(INDEX(lst_CCtoGL,MATCH(H410,lst_CCforGL,0)),"?")))</f>
        <v/>
      </c>
      <c r="R410" s="11">
        <f>IF($C410="","",IFERROR(N(INDEX(tbl_Finance[Inc GST],MATCH($AU410,tbl_Finance[Row ID],0))),""))</f>
        <v/>
      </c>
      <c r="S410" s="37" t="n"/>
      <c r="T410" s="37" t="n"/>
      <c r="U410" s="37" t="n"/>
      <c r="V410" s="42" t="n"/>
      <c r="W410" s="37" t="n"/>
      <c r="X410" s="10">
        <f>IF(W410="","",IF(AND(LEFT(W410,4)&lt;&gt;"http",set_RMSBase=""),"",HYPERLINK(IF(LEFT(W410,4)="http",W410,set_RMSBase&amp;W410),"Open in RMS")))</f>
        <v/>
      </c>
      <c r="Y410" s="37" t="n"/>
      <c r="Z410" s="10">
        <f>IF(Y410="","",HYPERLINK(IF(LEFT(Y410,4)="http",Y410,set_QwilrBase&amp;Y410),"Open quote"))</f>
        <v/>
      </c>
      <c r="AA410" s="10">
        <f>IF(C410="","",C410)</f>
        <v/>
      </c>
      <c r="AB410" s="37" t="n"/>
      <c r="AC410" s="39" t="n"/>
      <c r="AD410" s="11">
        <f>IF(C410="","",N(L410)+N(AC410))</f>
        <v/>
      </c>
      <c r="AE410" s="43">
        <f>IFERROR(IF(N(AC410)=0,"",AC410/AD410),"")</f>
        <v/>
      </c>
      <c r="AF410" s="39" t="n"/>
      <c r="AG410" s="39" t="n"/>
      <c r="AH410" s="39" t="n"/>
      <c r="AI410" s="39" t="n"/>
      <c r="AJ410" s="11">
        <f>IF(C410="","",IF(H410="VIDEO",N(L410),0))</f>
        <v/>
      </c>
      <c r="AK410" s="43">
        <f>IFERROR(IF(N(L410)=0,"",AJ410/L410),"")</f>
        <v/>
      </c>
      <c r="AL410" s="11">
        <f>IF(C410="","",N(AF410)+N(AG410)+N(AH410)+N(AI410))</f>
        <v/>
      </c>
      <c r="AM410" s="11">
        <f>IF(C410="","",MAX(N(L410),N(O410))-N(AL410))</f>
        <v/>
      </c>
      <c r="AN410" s="43">
        <f>IFERROR(IF(MAX(N(L410),N(O410))=0,"",AM410/MAX(N(L410),N(O410))),"")</f>
        <v/>
      </c>
      <c r="AO410" s="41" t="n"/>
      <c r="AP410" s="41" t="n"/>
      <c r="AQ410" s="41" t="n"/>
      <c r="AR410" s="41" t="n"/>
      <c r="AS410" s="41" t="n"/>
      <c r="AT410" s="37" t="n"/>
      <c r="AU410" s="10" t="inlineStr">
        <is>
          <t>PRD-0406</t>
        </is>
      </c>
    </row>
    <row r="411">
      <c r="A411" s="16">
        <f>IF($C411="","",IFERROR(IF(INDEX(tbl_Finance[Latest Invoice Date],MATCH($AU411,tbl_Finance[Row ID],0))="","",INDEX(tbl_Finance[Latest Invoice Date],MATCH($AU411,tbl_Finance[Row ID],0))),""))</f>
        <v/>
      </c>
      <c r="B411" s="10">
        <f>IF($C411="","",IFERROR(INDEX(tbl_Finance[Invoice Numbers],MATCH($AU411,tbl_Finance[Row ID],0))&amp;"",""))</f>
        <v/>
      </c>
      <c r="C411" s="37" t="n"/>
      <c r="D411" s="10">
        <f>IF($C411="","",IF(COUNTIF(lst_Jobs,$C411&amp;"")&gt;0,"OK","CHECK"))</f>
        <v/>
      </c>
      <c r="E411" s="10">
        <f>IF($C411="","",IFERROR(INDEX(lst_JobName,MATCH($C411&amp;"",lst_Jobs,0)),""))</f>
        <v/>
      </c>
      <c r="F411" s="37" t="n"/>
      <c r="G411" s="37" t="n"/>
      <c r="H411" s="37" t="n"/>
      <c r="I411" s="37" t="n"/>
      <c r="J411" s="37" t="n"/>
      <c r="K411" s="38">
        <f>IF($C411="","",IFERROR(N(INDEX(tbl_Finance[Invoice Count],MATCH($AU411,tbl_Finance[Row ID],0))),""))</f>
        <v/>
      </c>
      <c r="L411" s="11">
        <f>IF($C411="","",IFERROR(N(INDEX(tbl_Finance[Xero Invoiced Ex GST],MATCH($AU411,tbl_Finance[Row ID],0))),""))</f>
        <v/>
      </c>
      <c r="M411" s="10">
        <f>IF($C411="","",IFERROR(INDEX(tbl_Finance[Compare],MATCH($AU411,tbl_Finance[Row ID],0))&amp;"",""))</f>
        <v/>
      </c>
      <c r="N411" s="11">
        <f>IF($C411="","",MAX(0,N(O411)-N(L411)))</f>
        <v/>
      </c>
      <c r="O411" s="39" t="n"/>
      <c r="P411" s="40">
        <f>IF($C411="","",IF((IF(F411="",", Client","")&amp;IF(G411="",", Description","")&amp;IF(H411="",", Cost Centre","")&amp;IF(I411="",", Invoice Type","")&amp;IF(J411="",", Tax Code","")&amp;IF(O411="",", Expected Revenue","")&amp;IF(COUNTIF(tbl_Finance[Job Number],$C411&amp;"")&gt;1,", Job number used twice",""))="","Complete","Fix: "&amp;MID(IF(F411="",", Client","")&amp;IF(G411="",", Description","")&amp;IF(H411="",", Cost Centre","")&amp;IF(I411="",", Invoice Type","")&amp;IF(J411="",", Tax Code","")&amp;IF(O411="",", Expected Revenue","")&amp;IF(COUNTIF(tbl_Finance[Job Number],$C411&amp;"")&gt;1,", Job number used twice",""),3,300)))</f>
        <v/>
      </c>
      <c r="Q411" s="10">
        <f>IF($C411="","",IF(H411="","(no cost centre)",H411&amp;" - GL "&amp;IFERROR(INDEX(lst_CCtoGL,MATCH(H411,lst_CCforGL,0)),"?")))</f>
        <v/>
      </c>
      <c r="R411" s="11">
        <f>IF($C411="","",IFERROR(N(INDEX(tbl_Finance[Inc GST],MATCH($AU411,tbl_Finance[Row ID],0))),""))</f>
        <v/>
      </c>
      <c r="S411" s="37" t="n"/>
      <c r="T411" s="37" t="n"/>
      <c r="U411" s="37" t="n"/>
      <c r="V411" s="42" t="n"/>
      <c r="W411" s="37" t="n"/>
      <c r="X411" s="10">
        <f>IF(W411="","",IF(AND(LEFT(W411,4)&lt;&gt;"http",set_RMSBase=""),"",HYPERLINK(IF(LEFT(W411,4)="http",W411,set_RMSBase&amp;W411),"Open in RMS")))</f>
        <v/>
      </c>
      <c r="Y411" s="37" t="n"/>
      <c r="Z411" s="10">
        <f>IF(Y411="","",HYPERLINK(IF(LEFT(Y411,4)="http",Y411,set_QwilrBase&amp;Y411),"Open quote"))</f>
        <v/>
      </c>
      <c r="AA411" s="10">
        <f>IF(C411="","",C411)</f>
        <v/>
      </c>
      <c r="AB411" s="37" t="n"/>
      <c r="AC411" s="39" t="n"/>
      <c r="AD411" s="11">
        <f>IF(C411="","",N(L411)+N(AC411))</f>
        <v/>
      </c>
      <c r="AE411" s="43">
        <f>IFERROR(IF(N(AC411)=0,"",AC411/AD411),"")</f>
        <v/>
      </c>
      <c r="AF411" s="39" t="n"/>
      <c r="AG411" s="39" t="n"/>
      <c r="AH411" s="39" t="n"/>
      <c r="AI411" s="39" t="n"/>
      <c r="AJ411" s="11">
        <f>IF(C411="","",IF(H411="VIDEO",N(L411),0))</f>
        <v/>
      </c>
      <c r="AK411" s="43">
        <f>IFERROR(IF(N(L411)=0,"",AJ411/L411),"")</f>
        <v/>
      </c>
      <c r="AL411" s="11">
        <f>IF(C411="","",N(AF411)+N(AG411)+N(AH411)+N(AI411))</f>
        <v/>
      </c>
      <c r="AM411" s="11">
        <f>IF(C411="","",MAX(N(L411),N(O411))-N(AL411))</f>
        <v/>
      </c>
      <c r="AN411" s="43">
        <f>IFERROR(IF(MAX(N(L411),N(O411))=0,"",AM411/MAX(N(L411),N(O411))),"")</f>
        <v/>
      </c>
      <c r="AO411" s="41" t="n"/>
      <c r="AP411" s="41" t="n"/>
      <c r="AQ411" s="41" t="n"/>
      <c r="AR411" s="41" t="n"/>
      <c r="AS411" s="41" t="n"/>
      <c r="AT411" s="37" t="n"/>
      <c r="AU411" s="10" t="inlineStr">
        <is>
          <t>PRD-0407</t>
        </is>
      </c>
    </row>
    <row r="412">
      <c r="A412" s="16">
        <f>IF($C412="","",IFERROR(IF(INDEX(tbl_Finance[Latest Invoice Date],MATCH($AU412,tbl_Finance[Row ID],0))="","",INDEX(tbl_Finance[Latest Invoice Date],MATCH($AU412,tbl_Finance[Row ID],0))),""))</f>
        <v/>
      </c>
      <c r="B412" s="10">
        <f>IF($C412="","",IFERROR(INDEX(tbl_Finance[Invoice Numbers],MATCH($AU412,tbl_Finance[Row ID],0))&amp;"",""))</f>
        <v/>
      </c>
      <c r="C412" s="37" t="n"/>
      <c r="D412" s="10">
        <f>IF($C412="","",IF(COUNTIF(lst_Jobs,$C412&amp;"")&gt;0,"OK","CHECK"))</f>
        <v/>
      </c>
      <c r="E412" s="10">
        <f>IF($C412="","",IFERROR(INDEX(lst_JobName,MATCH($C412&amp;"",lst_Jobs,0)),""))</f>
        <v/>
      </c>
      <c r="F412" s="37" t="n"/>
      <c r="G412" s="37" t="n"/>
      <c r="H412" s="37" t="n"/>
      <c r="I412" s="37" t="n"/>
      <c r="J412" s="37" t="n"/>
      <c r="K412" s="38">
        <f>IF($C412="","",IFERROR(N(INDEX(tbl_Finance[Invoice Count],MATCH($AU412,tbl_Finance[Row ID],0))),""))</f>
        <v/>
      </c>
      <c r="L412" s="11">
        <f>IF($C412="","",IFERROR(N(INDEX(tbl_Finance[Xero Invoiced Ex GST],MATCH($AU412,tbl_Finance[Row ID],0))),""))</f>
        <v/>
      </c>
      <c r="M412" s="10">
        <f>IF($C412="","",IFERROR(INDEX(tbl_Finance[Compare],MATCH($AU412,tbl_Finance[Row ID],0))&amp;"",""))</f>
        <v/>
      </c>
      <c r="N412" s="11">
        <f>IF($C412="","",MAX(0,N(O412)-N(L412)))</f>
        <v/>
      </c>
      <c r="O412" s="39" t="n"/>
      <c r="P412" s="40">
        <f>IF($C412="","",IF((IF(F412="",", Client","")&amp;IF(G412="",", Description","")&amp;IF(H412="",", Cost Centre","")&amp;IF(I412="",", Invoice Type","")&amp;IF(J412="",", Tax Code","")&amp;IF(O412="",", Expected Revenue","")&amp;IF(COUNTIF(tbl_Finance[Job Number],$C412&amp;"")&gt;1,", Job number used twice",""))="","Complete","Fix: "&amp;MID(IF(F412="",", Client","")&amp;IF(G412="",", Description","")&amp;IF(H412="",", Cost Centre","")&amp;IF(I412="",", Invoice Type","")&amp;IF(J412="",", Tax Code","")&amp;IF(O412="",", Expected Revenue","")&amp;IF(COUNTIF(tbl_Finance[Job Number],$C412&amp;"")&gt;1,", Job number used twice",""),3,300)))</f>
        <v/>
      </c>
      <c r="Q412" s="10">
        <f>IF($C412="","",IF(H412="","(no cost centre)",H412&amp;" - GL "&amp;IFERROR(INDEX(lst_CCtoGL,MATCH(H412,lst_CCforGL,0)),"?")))</f>
        <v/>
      </c>
      <c r="R412" s="11">
        <f>IF($C412="","",IFERROR(N(INDEX(tbl_Finance[Inc GST],MATCH($AU412,tbl_Finance[Row ID],0))),""))</f>
        <v/>
      </c>
      <c r="S412" s="37" t="n"/>
      <c r="T412" s="37" t="n"/>
      <c r="U412" s="37" t="n"/>
      <c r="V412" s="42" t="n"/>
      <c r="W412" s="37" t="n"/>
      <c r="X412" s="10">
        <f>IF(W412="","",IF(AND(LEFT(W412,4)&lt;&gt;"http",set_RMSBase=""),"",HYPERLINK(IF(LEFT(W412,4)="http",W412,set_RMSBase&amp;W412),"Open in RMS")))</f>
        <v/>
      </c>
      <c r="Y412" s="37" t="n"/>
      <c r="Z412" s="10">
        <f>IF(Y412="","",HYPERLINK(IF(LEFT(Y412,4)="http",Y412,set_QwilrBase&amp;Y412),"Open quote"))</f>
        <v/>
      </c>
      <c r="AA412" s="10">
        <f>IF(C412="","",C412)</f>
        <v/>
      </c>
      <c r="AB412" s="37" t="n"/>
      <c r="AC412" s="39" t="n"/>
      <c r="AD412" s="11">
        <f>IF(C412="","",N(L412)+N(AC412))</f>
        <v/>
      </c>
      <c r="AE412" s="43">
        <f>IFERROR(IF(N(AC412)=0,"",AC412/AD412),"")</f>
        <v/>
      </c>
      <c r="AF412" s="39" t="n"/>
      <c r="AG412" s="39" t="n"/>
      <c r="AH412" s="39" t="n"/>
      <c r="AI412" s="39" t="n"/>
      <c r="AJ412" s="11">
        <f>IF(C412="","",IF(H412="VIDEO",N(L412),0))</f>
        <v/>
      </c>
      <c r="AK412" s="43">
        <f>IFERROR(IF(N(L412)=0,"",AJ412/L412),"")</f>
        <v/>
      </c>
      <c r="AL412" s="11">
        <f>IF(C412="","",N(AF412)+N(AG412)+N(AH412)+N(AI412))</f>
        <v/>
      </c>
      <c r="AM412" s="11">
        <f>IF(C412="","",MAX(N(L412),N(O412))-N(AL412))</f>
        <v/>
      </c>
      <c r="AN412" s="43">
        <f>IFERROR(IF(MAX(N(L412),N(O412))=0,"",AM412/MAX(N(L412),N(O412))),"")</f>
        <v/>
      </c>
      <c r="AO412" s="41" t="n"/>
      <c r="AP412" s="41" t="n"/>
      <c r="AQ412" s="41" t="n"/>
      <c r="AR412" s="41" t="n"/>
      <c r="AS412" s="41" t="n"/>
      <c r="AT412" s="37" t="n"/>
      <c r="AU412" s="10" t="inlineStr">
        <is>
          <t>PRD-0408</t>
        </is>
      </c>
    </row>
    <row r="413">
      <c r="A413" s="16">
        <f>IF($C413="","",IFERROR(IF(INDEX(tbl_Finance[Latest Invoice Date],MATCH($AU413,tbl_Finance[Row ID],0))="","",INDEX(tbl_Finance[Latest Invoice Date],MATCH($AU413,tbl_Finance[Row ID],0))),""))</f>
        <v/>
      </c>
      <c r="B413" s="10">
        <f>IF($C413="","",IFERROR(INDEX(tbl_Finance[Invoice Numbers],MATCH($AU413,tbl_Finance[Row ID],0))&amp;"",""))</f>
        <v/>
      </c>
      <c r="C413" s="37" t="n"/>
      <c r="D413" s="10">
        <f>IF($C413="","",IF(COUNTIF(lst_Jobs,$C413&amp;"")&gt;0,"OK","CHECK"))</f>
        <v/>
      </c>
      <c r="E413" s="10">
        <f>IF($C413="","",IFERROR(INDEX(lst_JobName,MATCH($C413&amp;"",lst_Jobs,0)),""))</f>
        <v/>
      </c>
      <c r="F413" s="37" t="n"/>
      <c r="G413" s="37" t="n"/>
      <c r="H413" s="37" t="n"/>
      <c r="I413" s="37" t="n"/>
      <c r="J413" s="37" t="n"/>
      <c r="K413" s="38">
        <f>IF($C413="","",IFERROR(N(INDEX(tbl_Finance[Invoice Count],MATCH($AU413,tbl_Finance[Row ID],0))),""))</f>
        <v/>
      </c>
      <c r="L413" s="11">
        <f>IF($C413="","",IFERROR(N(INDEX(tbl_Finance[Xero Invoiced Ex GST],MATCH($AU413,tbl_Finance[Row ID],0))),""))</f>
        <v/>
      </c>
      <c r="M413" s="10">
        <f>IF($C413="","",IFERROR(INDEX(tbl_Finance[Compare],MATCH($AU413,tbl_Finance[Row ID],0))&amp;"",""))</f>
        <v/>
      </c>
      <c r="N413" s="11">
        <f>IF($C413="","",MAX(0,N(O413)-N(L413)))</f>
        <v/>
      </c>
      <c r="O413" s="39" t="n"/>
      <c r="P413" s="40">
        <f>IF($C413="","",IF((IF(F413="",", Client","")&amp;IF(G413="",", Description","")&amp;IF(H413="",", Cost Centre","")&amp;IF(I413="",", Invoice Type","")&amp;IF(J413="",", Tax Code","")&amp;IF(O413="",", Expected Revenue","")&amp;IF(COUNTIF(tbl_Finance[Job Number],$C413&amp;"")&gt;1,", Job number used twice",""))="","Complete","Fix: "&amp;MID(IF(F413="",", Client","")&amp;IF(G413="",", Description","")&amp;IF(H413="",", Cost Centre","")&amp;IF(I413="",", Invoice Type","")&amp;IF(J413="",", Tax Code","")&amp;IF(O413="",", Expected Revenue","")&amp;IF(COUNTIF(tbl_Finance[Job Number],$C413&amp;"")&gt;1,", Job number used twice",""),3,300)))</f>
        <v/>
      </c>
      <c r="Q413" s="10">
        <f>IF($C413="","",IF(H413="","(no cost centre)",H413&amp;" - GL "&amp;IFERROR(INDEX(lst_CCtoGL,MATCH(H413,lst_CCforGL,0)),"?")))</f>
        <v/>
      </c>
      <c r="R413" s="11">
        <f>IF($C413="","",IFERROR(N(INDEX(tbl_Finance[Inc GST],MATCH($AU413,tbl_Finance[Row ID],0))),""))</f>
        <v/>
      </c>
      <c r="S413" s="37" t="n"/>
      <c r="T413" s="37" t="n"/>
      <c r="U413" s="37" t="n"/>
      <c r="V413" s="42" t="n"/>
      <c r="W413" s="37" t="n"/>
      <c r="X413" s="10">
        <f>IF(W413="","",IF(AND(LEFT(W413,4)&lt;&gt;"http",set_RMSBase=""),"",HYPERLINK(IF(LEFT(W413,4)="http",W413,set_RMSBase&amp;W413),"Open in RMS")))</f>
        <v/>
      </c>
      <c r="Y413" s="37" t="n"/>
      <c r="Z413" s="10">
        <f>IF(Y413="","",HYPERLINK(IF(LEFT(Y413,4)="http",Y413,set_QwilrBase&amp;Y413),"Open quote"))</f>
        <v/>
      </c>
      <c r="AA413" s="10">
        <f>IF(C413="","",C413)</f>
        <v/>
      </c>
      <c r="AB413" s="37" t="n"/>
      <c r="AC413" s="39" t="n"/>
      <c r="AD413" s="11">
        <f>IF(C413="","",N(L413)+N(AC413))</f>
        <v/>
      </c>
      <c r="AE413" s="43">
        <f>IFERROR(IF(N(AC413)=0,"",AC413/AD413),"")</f>
        <v/>
      </c>
      <c r="AF413" s="39" t="n"/>
      <c r="AG413" s="39" t="n"/>
      <c r="AH413" s="39" t="n"/>
      <c r="AI413" s="39" t="n"/>
      <c r="AJ413" s="11">
        <f>IF(C413="","",IF(H413="VIDEO",N(L413),0))</f>
        <v/>
      </c>
      <c r="AK413" s="43">
        <f>IFERROR(IF(N(L413)=0,"",AJ413/L413),"")</f>
        <v/>
      </c>
      <c r="AL413" s="11">
        <f>IF(C413="","",N(AF413)+N(AG413)+N(AH413)+N(AI413))</f>
        <v/>
      </c>
      <c r="AM413" s="11">
        <f>IF(C413="","",MAX(N(L413),N(O413))-N(AL413))</f>
        <v/>
      </c>
      <c r="AN413" s="43">
        <f>IFERROR(IF(MAX(N(L413),N(O413))=0,"",AM413/MAX(N(L413),N(O413))),"")</f>
        <v/>
      </c>
      <c r="AO413" s="41" t="n"/>
      <c r="AP413" s="41" t="n"/>
      <c r="AQ413" s="41" t="n"/>
      <c r="AR413" s="41" t="n"/>
      <c r="AS413" s="41" t="n"/>
      <c r="AT413" s="37" t="n"/>
      <c r="AU413" s="10" t="inlineStr">
        <is>
          <t>PRD-0409</t>
        </is>
      </c>
    </row>
    <row r="414">
      <c r="A414" s="16">
        <f>IF($C414="","",IFERROR(IF(INDEX(tbl_Finance[Latest Invoice Date],MATCH($AU414,tbl_Finance[Row ID],0))="","",INDEX(tbl_Finance[Latest Invoice Date],MATCH($AU414,tbl_Finance[Row ID],0))),""))</f>
        <v/>
      </c>
      <c r="B414" s="10">
        <f>IF($C414="","",IFERROR(INDEX(tbl_Finance[Invoice Numbers],MATCH($AU414,tbl_Finance[Row ID],0))&amp;"",""))</f>
        <v/>
      </c>
      <c r="C414" s="37" t="n"/>
      <c r="D414" s="10">
        <f>IF($C414="","",IF(COUNTIF(lst_Jobs,$C414&amp;"")&gt;0,"OK","CHECK"))</f>
        <v/>
      </c>
      <c r="E414" s="10">
        <f>IF($C414="","",IFERROR(INDEX(lst_JobName,MATCH($C414&amp;"",lst_Jobs,0)),""))</f>
        <v/>
      </c>
      <c r="F414" s="37" t="n"/>
      <c r="G414" s="37" t="n"/>
      <c r="H414" s="37" t="n"/>
      <c r="I414" s="37" t="n"/>
      <c r="J414" s="37" t="n"/>
      <c r="K414" s="38">
        <f>IF($C414="","",IFERROR(N(INDEX(tbl_Finance[Invoice Count],MATCH($AU414,tbl_Finance[Row ID],0))),""))</f>
        <v/>
      </c>
      <c r="L414" s="11">
        <f>IF($C414="","",IFERROR(N(INDEX(tbl_Finance[Xero Invoiced Ex GST],MATCH($AU414,tbl_Finance[Row ID],0))),""))</f>
        <v/>
      </c>
      <c r="M414" s="10">
        <f>IF($C414="","",IFERROR(INDEX(tbl_Finance[Compare],MATCH($AU414,tbl_Finance[Row ID],0))&amp;"",""))</f>
        <v/>
      </c>
      <c r="N414" s="11">
        <f>IF($C414="","",MAX(0,N(O414)-N(L414)))</f>
        <v/>
      </c>
      <c r="O414" s="39" t="n"/>
      <c r="P414" s="40">
        <f>IF($C414="","",IF((IF(F414="",", Client","")&amp;IF(G414="",", Description","")&amp;IF(H414="",", Cost Centre","")&amp;IF(I414="",", Invoice Type","")&amp;IF(J414="",", Tax Code","")&amp;IF(O414="",", Expected Revenue","")&amp;IF(COUNTIF(tbl_Finance[Job Number],$C414&amp;"")&gt;1,", Job number used twice",""))="","Complete","Fix: "&amp;MID(IF(F414="",", Client","")&amp;IF(G414="",", Description","")&amp;IF(H414="",", Cost Centre","")&amp;IF(I414="",", Invoice Type","")&amp;IF(J414="",", Tax Code","")&amp;IF(O414="",", Expected Revenue","")&amp;IF(COUNTIF(tbl_Finance[Job Number],$C414&amp;"")&gt;1,", Job number used twice",""),3,300)))</f>
        <v/>
      </c>
      <c r="Q414" s="10">
        <f>IF($C414="","",IF(H414="","(no cost centre)",H414&amp;" - GL "&amp;IFERROR(INDEX(lst_CCtoGL,MATCH(H414,lst_CCforGL,0)),"?")))</f>
        <v/>
      </c>
      <c r="R414" s="11">
        <f>IF($C414="","",IFERROR(N(INDEX(tbl_Finance[Inc GST],MATCH($AU414,tbl_Finance[Row ID],0))),""))</f>
        <v/>
      </c>
      <c r="S414" s="37" t="n"/>
      <c r="T414" s="37" t="n"/>
      <c r="U414" s="37" t="n"/>
      <c r="V414" s="42" t="n"/>
      <c r="W414" s="37" t="n"/>
      <c r="X414" s="10">
        <f>IF(W414="","",IF(AND(LEFT(W414,4)&lt;&gt;"http",set_RMSBase=""),"",HYPERLINK(IF(LEFT(W414,4)="http",W414,set_RMSBase&amp;W414),"Open in RMS")))</f>
        <v/>
      </c>
      <c r="Y414" s="37" t="n"/>
      <c r="Z414" s="10">
        <f>IF(Y414="","",HYPERLINK(IF(LEFT(Y414,4)="http",Y414,set_QwilrBase&amp;Y414),"Open quote"))</f>
        <v/>
      </c>
      <c r="AA414" s="10">
        <f>IF(C414="","",C414)</f>
        <v/>
      </c>
      <c r="AB414" s="37" t="n"/>
      <c r="AC414" s="39" t="n"/>
      <c r="AD414" s="11">
        <f>IF(C414="","",N(L414)+N(AC414))</f>
        <v/>
      </c>
      <c r="AE414" s="43">
        <f>IFERROR(IF(N(AC414)=0,"",AC414/AD414),"")</f>
        <v/>
      </c>
      <c r="AF414" s="39" t="n"/>
      <c r="AG414" s="39" t="n"/>
      <c r="AH414" s="39" t="n"/>
      <c r="AI414" s="39" t="n"/>
      <c r="AJ414" s="11">
        <f>IF(C414="","",IF(H414="VIDEO",N(L414),0))</f>
        <v/>
      </c>
      <c r="AK414" s="43">
        <f>IFERROR(IF(N(L414)=0,"",AJ414/L414),"")</f>
        <v/>
      </c>
      <c r="AL414" s="11">
        <f>IF(C414="","",N(AF414)+N(AG414)+N(AH414)+N(AI414))</f>
        <v/>
      </c>
      <c r="AM414" s="11">
        <f>IF(C414="","",MAX(N(L414),N(O414))-N(AL414))</f>
        <v/>
      </c>
      <c r="AN414" s="43">
        <f>IFERROR(IF(MAX(N(L414),N(O414))=0,"",AM414/MAX(N(L414),N(O414))),"")</f>
        <v/>
      </c>
      <c r="AO414" s="41" t="n"/>
      <c r="AP414" s="41" t="n"/>
      <c r="AQ414" s="41" t="n"/>
      <c r="AR414" s="41" t="n"/>
      <c r="AS414" s="41" t="n"/>
      <c r="AT414" s="37" t="n"/>
      <c r="AU414" s="10" t="inlineStr">
        <is>
          <t>PRD-0410</t>
        </is>
      </c>
    </row>
    <row r="415">
      <c r="A415" s="16">
        <f>IF($C415="","",IFERROR(IF(INDEX(tbl_Finance[Latest Invoice Date],MATCH($AU415,tbl_Finance[Row ID],0))="","",INDEX(tbl_Finance[Latest Invoice Date],MATCH($AU415,tbl_Finance[Row ID],0))),""))</f>
        <v/>
      </c>
      <c r="B415" s="10">
        <f>IF($C415="","",IFERROR(INDEX(tbl_Finance[Invoice Numbers],MATCH($AU415,tbl_Finance[Row ID],0))&amp;"",""))</f>
        <v/>
      </c>
      <c r="C415" s="37" t="n"/>
      <c r="D415" s="10">
        <f>IF($C415="","",IF(COUNTIF(lst_Jobs,$C415&amp;"")&gt;0,"OK","CHECK"))</f>
        <v/>
      </c>
      <c r="E415" s="10">
        <f>IF($C415="","",IFERROR(INDEX(lst_JobName,MATCH($C415&amp;"",lst_Jobs,0)),""))</f>
        <v/>
      </c>
      <c r="F415" s="37" t="n"/>
      <c r="G415" s="37" t="n"/>
      <c r="H415" s="37" t="n"/>
      <c r="I415" s="37" t="n"/>
      <c r="J415" s="37" t="n"/>
      <c r="K415" s="38">
        <f>IF($C415="","",IFERROR(N(INDEX(tbl_Finance[Invoice Count],MATCH($AU415,tbl_Finance[Row ID],0))),""))</f>
        <v/>
      </c>
      <c r="L415" s="11">
        <f>IF($C415="","",IFERROR(N(INDEX(tbl_Finance[Xero Invoiced Ex GST],MATCH($AU415,tbl_Finance[Row ID],0))),""))</f>
        <v/>
      </c>
      <c r="M415" s="10">
        <f>IF($C415="","",IFERROR(INDEX(tbl_Finance[Compare],MATCH($AU415,tbl_Finance[Row ID],0))&amp;"",""))</f>
        <v/>
      </c>
      <c r="N415" s="11">
        <f>IF($C415="","",MAX(0,N(O415)-N(L415)))</f>
        <v/>
      </c>
      <c r="O415" s="39" t="n"/>
      <c r="P415" s="40">
        <f>IF($C415="","",IF((IF(F415="",", Client","")&amp;IF(G415="",", Description","")&amp;IF(H415="",", Cost Centre","")&amp;IF(I415="",", Invoice Type","")&amp;IF(J415="",", Tax Code","")&amp;IF(O415="",", Expected Revenue","")&amp;IF(COUNTIF(tbl_Finance[Job Number],$C415&amp;"")&gt;1,", Job number used twice",""))="","Complete","Fix: "&amp;MID(IF(F415="",", Client","")&amp;IF(G415="",", Description","")&amp;IF(H415="",", Cost Centre","")&amp;IF(I415="",", Invoice Type","")&amp;IF(J415="",", Tax Code","")&amp;IF(O415="",", Expected Revenue","")&amp;IF(COUNTIF(tbl_Finance[Job Number],$C415&amp;"")&gt;1,", Job number used twice",""),3,300)))</f>
        <v/>
      </c>
      <c r="Q415" s="10">
        <f>IF($C415="","",IF(H415="","(no cost centre)",H415&amp;" - GL "&amp;IFERROR(INDEX(lst_CCtoGL,MATCH(H415,lst_CCforGL,0)),"?")))</f>
        <v/>
      </c>
      <c r="R415" s="11">
        <f>IF($C415="","",IFERROR(N(INDEX(tbl_Finance[Inc GST],MATCH($AU415,tbl_Finance[Row ID],0))),""))</f>
        <v/>
      </c>
      <c r="S415" s="37" t="n"/>
      <c r="T415" s="37" t="n"/>
      <c r="U415" s="37" t="n"/>
      <c r="V415" s="42" t="n"/>
      <c r="W415" s="37" t="n"/>
      <c r="X415" s="10">
        <f>IF(W415="","",IF(AND(LEFT(W415,4)&lt;&gt;"http",set_RMSBase=""),"",HYPERLINK(IF(LEFT(W415,4)="http",W415,set_RMSBase&amp;W415),"Open in RMS")))</f>
        <v/>
      </c>
      <c r="Y415" s="37" t="n"/>
      <c r="Z415" s="10">
        <f>IF(Y415="","",HYPERLINK(IF(LEFT(Y415,4)="http",Y415,set_QwilrBase&amp;Y415),"Open quote"))</f>
        <v/>
      </c>
      <c r="AA415" s="10">
        <f>IF(C415="","",C415)</f>
        <v/>
      </c>
      <c r="AB415" s="37" t="n"/>
      <c r="AC415" s="39" t="n"/>
      <c r="AD415" s="11">
        <f>IF(C415="","",N(L415)+N(AC415))</f>
        <v/>
      </c>
      <c r="AE415" s="43">
        <f>IFERROR(IF(N(AC415)=0,"",AC415/AD415),"")</f>
        <v/>
      </c>
      <c r="AF415" s="39" t="n"/>
      <c r="AG415" s="39" t="n"/>
      <c r="AH415" s="39" t="n"/>
      <c r="AI415" s="39" t="n"/>
      <c r="AJ415" s="11">
        <f>IF(C415="","",IF(H415="VIDEO",N(L415),0))</f>
        <v/>
      </c>
      <c r="AK415" s="43">
        <f>IFERROR(IF(N(L415)=0,"",AJ415/L415),"")</f>
        <v/>
      </c>
      <c r="AL415" s="11">
        <f>IF(C415="","",N(AF415)+N(AG415)+N(AH415)+N(AI415))</f>
        <v/>
      </c>
      <c r="AM415" s="11">
        <f>IF(C415="","",MAX(N(L415),N(O415))-N(AL415))</f>
        <v/>
      </c>
      <c r="AN415" s="43">
        <f>IFERROR(IF(MAX(N(L415),N(O415))=0,"",AM415/MAX(N(L415),N(O415))),"")</f>
        <v/>
      </c>
      <c r="AO415" s="41" t="n"/>
      <c r="AP415" s="41" t="n"/>
      <c r="AQ415" s="41" t="n"/>
      <c r="AR415" s="41" t="n"/>
      <c r="AS415" s="41" t="n"/>
      <c r="AT415" s="37" t="n"/>
      <c r="AU415" s="10" t="inlineStr">
        <is>
          <t>PRD-0411</t>
        </is>
      </c>
    </row>
    <row r="416">
      <c r="A416" s="16">
        <f>IF($C416="","",IFERROR(IF(INDEX(tbl_Finance[Latest Invoice Date],MATCH($AU416,tbl_Finance[Row ID],0))="","",INDEX(tbl_Finance[Latest Invoice Date],MATCH($AU416,tbl_Finance[Row ID],0))),""))</f>
        <v/>
      </c>
      <c r="B416" s="10">
        <f>IF($C416="","",IFERROR(INDEX(tbl_Finance[Invoice Numbers],MATCH($AU416,tbl_Finance[Row ID],0))&amp;"",""))</f>
        <v/>
      </c>
      <c r="C416" s="37" t="n"/>
      <c r="D416" s="10">
        <f>IF($C416="","",IF(COUNTIF(lst_Jobs,$C416&amp;"")&gt;0,"OK","CHECK"))</f>
        <v/>
      </c>
      <c r="E416" s="10">
        <f>IF($C416="","",IFERROR(INDEX(lst_JobName,MATCH($C416&amp;"",lst_Jobs,0)),""))</f>
        <v/>
      </c>
      <c r="F416" s="37" t="n"/>
      <c r="G416" s="37" t="n"/>
      <c r="H416" s="37" t="n"/>
      <c r="I416" s="37" t="n"/>
      <c r="J416" s="37" t="n"/>
      <c r="K416" s="38">
        <f>IF($C416="","",IFERROR(N(INDEX(tbl_Finance[Invoice Count],MATCH($AU416,tbl_Finance[Row ID],0))),""))</f>
        <v/>
      </c>
      <c r="L416" s="11">
        <f>IF($C416="","",IFERROR(N(INDEX(tbl_Finance[Xero Invoiced Ex GST],MATCH($AU416,tbl_Finance[Row ID],0))),""))</f>
        <v/>
      </c>
      <c r="M416" s="10">
        <f>IF($C416="","",IFERROR(INDEX(tbl_Finance[Compare],MATCH($AU416,tbl_Finance[Row ID],0))&amp;"",""))</f>
        <v/>
      </c>
      <c r="N416" s="11">
        <f>IF($C416="","",MAX(0,N(O416)-N(L416)))</f>
        <v/>
      </c>
      <c r="O416" s="39" t="n"/>
      <c r="P416" s="40">
        <f>IF($C416="","",IF((IF(F416="",", Client","")&amp;IF(G416="",", Description","")&amp;IF(H416="",", Cost Centre","")&amp;IF(I416="",", Invoice Type","")&amp;IF(J416="",", Tax Code","")&amp;IF(O416="",", Expected Revenue","")&amp;IF(COUNTIF(tbl_Finance[Job Number],$C416&amp;"")&gt;1,", Job number used twice",""))="","Complete","Fix: "&amp;MID(IF(F416="",", Client","")&amp;IF(G416="",", Description","")&amp;IF(H416="",", Cost Centre","")&amp;IF(I416="",", Invoice Type","")&amp;IF(J416="",", Tax Code","")&amp;IF(O416="",", Expected Revenue","")&amp;IF(COUNTIF(tbl_Finance[Job Number],$C416&amp;"")&gt;1,", Job number used twice",""),3,300)))</f>
        <v/>
      </c>
      <c r="Q416" s="10">
        <f>IF($C416="","",IF(H416="","(no cost centre)",H416&amp;" - GL "&amp;IFERROR(INDEX(lst_CCtoGL,MATCH(H416,lst_CCforGL,0)),"?")))</f>
        <v/>
      </c>
      <c r="R416" s="11">
        <f>IF($C416="","",IFERROR(N(INDEX(tbl_Finance[Inc GST],MATCH($AU416,tbl_Finance[Row ID],0))),""))</f>
        <v/>
      </c>
      <c r="S416" s="37" t="n"/>
      <c r="T416" s="37" t="n"/>
      <c r="U416" s="37" t="n"/>
      <c r="V416" s="42" t="n"/>
      <c r="W416" s="37" t="n"/>
      <c r="X416" s="10">
        <f>IF(W416="","",IF(AND(LEFT(W416,4)&lt;&gt;"http",set_RMSBase=""),"",HYPERLINK(IF(LEFT(W416,4)="http",W416,set_RMSBase&amp;W416),"Open in RMS")))</f>
        <v/>
      </c>
      <c r="Y416" s="37" t="n"/>
      <c r="Z416" s="10">
        <f>IF(Y416="","",HYPERLINK(IF(LEFT(Y416,4)="http",Y416,set_QwilrBase&amp;Y416),"Open quote"))</f>
        <v/>
      </c>
      <c r="AA416" s="10">
        <f>IF(C416="","",C416)</f>
        <v/>
      </c>
      <c r="AB416" s="37" t="n"/>
      <c r="AC416" s="39" t="n"/>
      <c r="AD416" s="11">
        <f>IF(C416="","",N(L416)+N(AC416))</f>
        <v/>
      </c>
      <c r="AE416" s="43">
        <f>IFERROR(IF(N(AC416)=0,"",AC416/AD416),"")</f>
        <v/>
      </c>
      <c r="AF416" s="39" t="n"/>
      <c r="AG416" s="39" t="n"/>
      <c r="AH416" s="39" t="n"/>
      <c r="AI416" s="39" t="n"/>
      <c r="AJ416" s="11">
        <f>IF(C416="","",IF(H416="VIDEO",N(L416),0))</f>
        <v/>
      </c>
      <c r="AK416" s="43">
        <f>IFERROR(IF(N(L416)=0,"",AJ416/L416),"")</f>
        <v/>
      </c>
      <c r="AL416" s="11">
        <f>IF(C416="","",N(AF416)+N(AG416)+N(AH416)+N(AI416))</f>
        <v/>
      </c>
      <c r="AM416" s="11">
        <f>IF(C416="","",MAX(N(L416),N(O416))-N(AL416))</f>
        <v/>
      </c>
      <c r="AN416" s="43">
        <f>IFERROR(IF(MAX(N(L416),N(O416))=0,"",AM416/MAX(N(L416),N(O416))),"")</f>
        <v/>
      </c>
      <c r="AO416" s="41" t="n"/>
      <c r="AP416" s="41" t="n"/>
      <c r="AQ416" s="41" t="n"/>
      <c r="AR416" s="41" t="n"/>
      <c r="AS416" s="41" t="n"/>
      <c r="AT416" s="37" t="n"/>
      <c r="AU416" s="10" t="inlineStr">
        <is>
          <t>PRD-0412</t>
        </is>
      </c>
    </row>
    <row r="417">
      <c r="A417" s="16">
        <f>IF($C417="","",IFERROR(IF(INDEX(tbl_Finance[Latest Invoice Date],MATCH($AU417,tbl_Finance[Row ID],0))="","",INDEX(tbl_Finance[Latest Invoice Date],MATCH($AU417,tbl_Finance[Row ID],0))),""))</f>
        <v/>
      </c>
      <c r="B417" s="10">
        <f>IF($C417="","",IFERROR(INDEX(tbl_Finance[Invoice Numbers],MATCH($AU417,tbl_Finance[Row ID],0))&amp;"",""))</f>
        <v/>
      </c>
      <c r="C417" s="37" t="n"/>
      <c r="D417" s="10">
        <f>IF($C417="","",IF(COUNTIF(lst_Jobs,$C417&amp;"")&gt;0,"OK","CHECK"))</f>
        <v/>
      </c>
      <c r="E417" s="10">
        <f>IF($C417="","",IFERROR(INDEX(lst_JobName,MATCH($C417&amp;"",lst_Jobs,0)),""))</f>
        <v/>
      </c>
      <c r="F417" s="37" t="n"/>
      <c r="G417" s="37" t="n"/>
      <c r="H417" s="37" t="n"/>
      <c r="I417" s="37" t="n"/>
      <c r="J417" s="37" t="n"/>
      <c r="K417" s="38">
        <f>IF($C417="","",IFERROR(N(INDEX(tbl_Finance[Invoice Count],MATCH($AU417,tbl_Finance[Row ID],0))),""))</f>
        <v/>
      </c>
      <c r="L417" s="11">
        <f>IF($C417="","",IFERROR(N(INDEX(tbl_Finance[Xero Invoiced Ex GST],MATCH($AU417,tbl_Finance[Row ID],0))),""))</f>
        <v/>
      </c>
      <c r="M417" s="10">
        <f>IF($C417="","",IFERROR(INDEX(tbl_Finance[Compare],MATCH($AU417,tbl_Finance[Row ID],0))&amp;"",""))</f>
        <v/>
      </c>
      <c r="N417" s="11">
        <f>IF($C417="","",MAX(0,N(O417)-N(L417)))</f>
        <v/>
      </c>
      <c r="O417" s="39" t="n"/>
      <c r="P417" s="40">
        <f>IF($C417="","",IF((IF(F417="",", Client","")&amp;IF(G417="",", Description","")&amp;IF(H417="",", Cost Centre","")&amp;IF(I417="",", Invoice Type","")&amp;IF(J417="",", Tax Code","")&amp;IF(O417="",", Expected Revenue","")&amp;IF(COUNTIF(tbl_Finance[Job Number],$C417&amp;"")&gt;1,", Job number used twice",""))="","Complete","Fix: "&amp;MID(IF(F417="",", Client","")&amp;IF(G417="",", Description","")&amp;IF(H417="",", Cost Centre","")&amp;IF(I417="",", Invoice Type","")&amp;IF(J417="",", Tax Code","")&amp;IF(O417="",", Expected Revenue","")&amp;IF(COUNTIF(tbl_Finance[Job Number],$C417&amp;"")&gt;1,", Job number used twice",""),3,300)))</f>
        <v/>
      </c>
      <c r="Q417" s="10">
        <f>IF($C417="","",IF(H417="","(no cost centre)",H417&amp;" - GL "&amp;IFERROR(INDEX(lst_CCtoGL,MATCH(H417,lst_CCforGL,0)),"?")))</f>
        <v/>
      </c>
      <c r="R417" s="11">
        <f>IF($C417="","",IFERROR(N(INDEX(tbl_Finance[Inc GST],MATCH($AU417,tbl_Finance[Row ID],0))),""))</f>
        <v/>
      </c>
      <c r="S417" s="37" t="n"/>
      <c r="T417" s="37" t="n"/>
      <c r="U417" s="37" t="n"/>
      <c r="V417" s="42" t="n"/>
      <c r="W417" s="37" t="n"/>
      <c r="X417" s="10">
        <f>IF(W417="","",IF(AND(LEFT(W417,4)&lt;&gt;"http",set_RMSBase=""),"",HYPERLINK(IF(LEFT(W417,4)="http",W417,set_RMSBase&amp;W417),"Open in RMS")))</f>
        <v/>
      </c>
      <c r="Y417" s="37" t="n"/>
      <c r="Z417" s="10">
        <f>IF(Y417="","",HYPERLINK(IF(LEFT(Y417,4)="http",Y417,set_QwilrBase&amp;Y417),"Open quote"))</f>
        <v/>
      </c>
      <c r="AA417" s="10">
        <f>IF(C417="","",C417)</f>
        <v/>
      </c>
      <c r="AB417" s="37" t="n"/>
      <c r="AC417" s="39" t="n"/>
      <c r="AD417" s="11">
        <f>IF(C417="","",N(L417)+N(AC417))</f>
        <v/>
      </c>
      <c r="AE417" s="43">
        <f>IFERROR(IF(N(AC417)=0,"",AC417/AD417),"")</f>
        <v/>
      </c>
      <c r="AF417" s="39" t="n"/>
      <c r="AG417" s="39" t="n"/>
      <c r="AH417" s="39" t="n"/>
      <c r="AI417" s="39" t="n"/>
      <c r="AJ417" s="11">
        <f>IF(C417="","",IF(H417="VIDEO",N(L417),0))</f>
        <v/>
      </c>
      <c r="AK417" s="43">
        <f>IFERROR(IF(N(L417)=0,"",AJ417/L417),"")</f>
        <v/>
      </c>
      <c r="AL417" s="11">
        <f>IF(C417="","",N(AF417)+N(AG417)+N(AH417)+N(AI417))</f>
        <v/>
      </c>
      <c r="AM417" s="11">
        <f>IF(C417="","",MAX(N(L417),N(O417))-N(AL417))</f>
        <v/>
      </c>
      <c r="AN417" s="43">
        <f>IFERROR(IF(MAX(N(L417),N(O417))=0,"",AM417/MAX(N(L417),N(O417))),"")</f>
        <v/>
      </c>
      <c r="AO417" s="41" t="n"/>
      <c r="AP417" s="41" t="n"/>
      <c r="AQ417" s="41" t="n"/>
      <c r="AR417" s="41" t="n"/>
      <c r="AS417" s="41" t="n"/>
      <c r="AT417" s="37" t="n"/>
      <c r="AU417" s="10" t="inlineStr">
        <is>
          <t>PRD-0413</t>
        </is>
      </c>
    </row>
    <row r="418">
      <c r="A418" s="16">
        <f>IF($C418="","",IFERROR(IF(INDEX(tbl_Finance[Latest Invoice Date],MATCH($AU418,tbl_Finance[Row ID],0))="","",INDEX(tbl_Finance[Latest Invoice Date],MATCH($AU418,tbl_Finance[Row ID],0))),""))</f>
        <v/>
      </c>
      <c r="B418" s="10">
        <f>IF($C418="","",IFERROR(INDEX(tbl_Finance[Invoice Numbers],MATCH($AU418,tbl_Finance[Row ID],0))&amp;"",""))</f>
        <v/>
      </c>
      <c r="C418" s="37" t="n"/>
      <c r="D418" s="10">
        <f>IF($C418="","",IF(COUNTIF(lst_Jobs,$C418&amp;"")&gt;0,"OK","CHECK"))</f>
        <v/>
      </c>
      <c r="E418" s="10">
        <f>IF($C418="","",IFERROR(INDEX(lst_JobName,MATCH($C418&amp;"",lst_Jobs,0)),""))</f>
        <v/>
      </c>
      <c r="F418" s="37" t="n"/>
      <c r="G418" s="37" t="n"/>
      <c r="H418" s="37" t="n"/>
      <c r="I418" s="37" t="n"/>
      <c r="J418" s="37" t="n"/>
      <c r="K418" s="38">
        <f>IF($C418="","",IFERROR(N(INDEX(tbl_Finance[Invoice Count],MATCH($AU418,tbl_Finance[Row ID],0))),""))</f>
        <v/>
      </c>
      <c r="L418" s="11">
        <f>IF($C418="","",IFERROR(N(INDEX(tbl_Finance[Xero Invoiced Ex GST],MATCH($AU418,tbl_Finance[Row ID],0))),""))</f>
        <v/>
      </c>
      <c r="M418" s="10">
        <f>IF($C418="","",IFERROR(INDEX(tbl_Finance[Compare],MATCH($AU418,tbl_Finance[Row ID],0))&amp;"",""))</f>
        <v/>
      </c>
      <c r="N418" s="11">
        <f>IF($C418="","",MAX(0,N(O418)-N(L418)))</f>
        <v/>
      </c>
      <c r="O418" s="39" t="n"/>
      <c r="P418" s="40">
        <f>IF($C418="","",IF((IF(F418="",", Client","")&amp;IF(G418="",", Description","")&amp;IF(H418="",", Cost Centre","")&amp;IF(I418="",", Invoice Type","")&amp;IF(J418="",", Tax Code","")&amp;IF(O418="",", Expected Revenue","")&amp;IF(COUNTIF(tbl_Finance[Job Number],$C418&amp;"")&gt;1,", Job number used twice",""))="","Complete","Fix: "&amp;MID(IF(F418="",", Client","")&amp;IF(G418="",", Description","")&amp;IF(H418="",", Cost Centre","")&amp;IF(I418="",", Invoice Type","")&amp;IF(J418="",", Tax Code","")&amp;IF(O418="",", Expected Revenue","")&amp;IF(COUNTIF(tbl_Finance[Job Number],$C418&amp;"")&gt;1,", Job number used twice",""),3,300)))</f>
        <v/>
      </c>
      <c r="Q418" s="10">
        <f>IF($C418="","",IF(H418="","(no cost centre)",H418&amp;" - GL "&amp;IFERROR(INDEX(lst_CCtoGL,MATCH(H418,lst_CCforGL,0)),"?")))</f>
        <v/>
      </c>
      <c r="R418" s="11">
        <f>IF($C418="","",IFERROR(N(INDEX(tbl_Finance[Inc GST],MATCH($AU418,tbl_Finance[Row ID],0))),""))</f>
        <v/>
      </c>
      <c r="S418" s="37" t="n"/>
      <c r="T418" s="37" t="n"/>
      <c r="U418" s="37" t="n"/>
      <c r="V418" s="42" t="n"/>
      <c r="W418" s="37" t="n"/>
      <c r="X418" s="10">
        <f>IF(W418="","",IF(AND(LEFT(W418,4)&lt;&gt;"http",set_RMSBase=""),"",HYPERLINK(IF(LEFT(W418,4)="http",W418,set_RMSBase&amp;W418),"Open in RMS")))</f>
        <v/>
      </c>
      <c r="Y418" s="37" t="n"/>
      <c r="Z418" s="10">
        <f>IF(Y418="","",HYPERLINK(IF(LEFT(Y418,4)="http",Y418,set_QwilrBase&amp;Y418),"Open quote"))</f>
        <v/>
      </c>
      <c r="AA418" s="10">
        <f>IF(C418="","",C418)</f>
        <v/>
      </c>
      <c r="AB418" s="37" t="n"/>
      <c r="AC418" s="39" t="n"/>
      <c r="AD418" s="11">
        <f>IF(C418="","",N(L418)+N(AC418))</f>
        <v/>
      </c>
      <c r="AE418" s="43">
        <f>IFERROR(IF(N(AC418)=0,"",AC418/AD418),"")</f>
        <v/>
      </c>
      <c r="AF418" s="39" t="n"/>
      <c r="AG418" s="39" t="n"/>
      <c r="AH418" s="39" t="n"/>
      <c r="AI418" s="39" t="n"/>
      <c r="AJ418" s="11">
        <f>IF(C418="","",IF(H418="VIDEO",N(L418),0))</f>
        <v/>
      </c>
      <c r="AK418" s="43">
        <f>IFERROR(IF(N(L418)=0,"",AJ418/L418),"")</f>
        <v/>
      </c>
      <c r="AL418" s="11">
        <f>IF(C418="","",N(AF418)+N(AG418)+N(AH418)+N(AI418))</f>
        <v/>
      </c>
      <c r="AM418" s="11">
        <f>IF(C418="","",MAX(N(L418),N(O418))-N(AL418))</f>
        <v/>
      </c>
      <c r="AN418" s="43">
        <f>IFERROR(IF(MAX(N(L418),N(O418))=0,"",AM418/MAX(N(L418),N(O418))),"")</f>
        <v/>
      </c>
      <c r="AO418" s="41" t="n"/>
      <c r="AP418" s="41" t="n"/>
      <c r="AQ418" s="41" t="n"/>
      <c r="AR418" s="41" t="n"/>
      <c r="AS418" s="41" t="n"/>
      <c r="AT418" s="37" t="n"/>
      <c r="AU418" s="10" t="inlineStr">
        <is>
          <t>PRD-0414</t>
        </is>
      </c>
    </row>
    <row r="419">
      <c r="A419" s="16">
        <f>IF($C419="","",IFERROR(IF(INDEX(tbl_Finance[Latest Invoice Date],MATCH($AU419,tbl_Finance[Row ID],0))="","",INDEX(tbl_Finance[Latest Invoice Date],MATCH($AU419,tbl_Finance[Row ID],0))),""))</f>
        <v/>
      </c>
      <c r="B419" s="10">
        <f>IF($C419="","",IFERROR(INDEX(tbl_Finance[Invoice Numbers],MATCH($AU419,tbl_Finance[Row ID],0))&amp;"",""))</f>
        <v/>
      </c>
      <c r="C419" s="37" t="n"/>
      <c r="D419" s="10">
        <f>IF($C419="","",IF(COUNTIF(lst_Jobs,$C419&amp;"")&gt;0,"OK","CHECK"))</f>
        <v/>
      </c>
      <c r="E419" s="10">
        <f>IF($C419="","",IFERROR(INDEX(lst_JobName,MATCH($C419&amp;"",lst_Jobs,0)),""))</f>
        <v/>
      </c>
      <c r="F419" s="37" t="n"/>
      <c r="G419" s="37" t="n"/>
      <c r="H419" s="37" t="n"/>
      <c r="I419" s="37" t="n"/>
      <c r="J419" s="37" t="n"/>
      <c r="K419" s="38">
        <f>IF($C419="","",IFERROR(N(INDEX(tbl_Finance[Invoice Count],MATCH($AU419,tbl_Finance[Row ID],0))),""))</f>
        <v/>
      </c>
      <c r="L419" s="11">
        <f>IF($C419="","",IFERROR(N(INDEX(tbl_Finance[Xero Invoiced Ex GST],MATCH($AU419,tbl_Finance[Row ID],0))),""))</f>
        <v/>
      </c>
      <c r="M419" s="10">
        <f>IF($C419="","",IFERROR(INDEX(tbl_Finance[Compare],MATCH($AU419,tbl_Finance[Row ID],0))&amp;"",""))</f>
        <v/>
      </c>
      <c r="N419" s="11">
        <f>IF($C419="","",MAX(0,N(O419)-N(L419)))</f>
        <v/>
      </c>
      <c r="O419" s="39" t="n"/>
      <c r="P419" s="40">
        <f>IF($C419="","",IF((IF(F419="",", Client","")&amp;IF(G419="",", Description","")&amp;IF(H419="",", Cost Centre","")&amp;IF(I419="",", Invoice Type","")&amp;IF(J419="",", Tax Code","")&amp;IF(O419="",", Expected Revenue","")&amp;IF(COUNTIF(tbl_Finance[Job Number],$C419&amp;"")&gt;1,", Job number used twice",""))="","Complete","Fix: "&amp;MID(IF(F419="",", Client","")&amp;IF(G419="",", Description","")&amp;IF(H419="",", Cost Centre","")&amp;IF(I419="",", Invoice Type","")&amp;IF(J419="",", Tax Code","")&amp;IF(O419="",", Expected Revenue","")&amp;IF(COUNTIF(tbl_Finance[Job Number],$C419&amp;"")&gt;1,", Job number used twice",""),3,300)))</f>
        <v/>
      </c>
      <c r="Q419" s="10">
        <f>IF($C419="","",IF(H419="","(no cost centre)",H419&amp;" - GL "&amp;IFERROR(INDEX(lst_CCtoGL,MATCH(H419,lst_CCforGL,0)),"?")))</f>
        <v/>
      </c>
      <c r="R419" s="11">
        <f>IF($C419="","",IFERROR(N(INDEX(tbl_Finance[Inc GST],MATCH($AU419,tbl_Finance[Row ID],0))),""))</f>
        <v/>
      </c>
      <c r="S419" s="37" t="n"/>
      <c r="T419" s="37" t="n"/>
      <c r="U419" s="37" t="n"/>
      <c r="V419" s="42" t="n"/>
      <c r="W419" s="37" t="n"/>
      <c r="X419" s="10">
        <f>IF(W419="","",IF(AND(LEFT(W419,4)&lt;&gt;"http",set_RMSBase=""),"",HYPERLINK(IF(LEFT(W419,4)="http",W419,set_RMSBase&amp;W419),"Open in RMS")))</f>
        <v/>
      </c>
      <c r="Y419" s="37" t="n"/>
      <c r="Z419" s="10">
        <f>IF(Y419="","",HYPERLINK(IF(LEFT(Y419,4)="http",Y419,set_QwilrBase&amp;Y419),"Open quote"))</f>
        <v/>
      </c>
      <c r="AA419" s="10">
        <f>IF(C419="","",C419)</f>
        <v/>
      </c>
      <c r="AB419" s="37" t="n"/>
      <c r="AC419" s="39" t="n"/>
      <c r="AD419" s="11">
        <f>IF(C419="","",N(L419)+N(AC419))</f>
        <v/>
      </c>
      <c r="AE419" s="43">
        <f>IFERROR(IF(N(AC419)=0,"",AC419/AD419),"")</f>
        <v/>
      </c>
      <c r="AF419" s="39" t="n"/>
      <c r="AG419" s="39" t="n"/>
      <c r="AH419" s="39" t="n"/>
      <c r="AI419" s="39" t="n"/>
      <c r="AJ419" s="11">
        <f>IF(C419="","",IF(H419="VIDEO",N(L419),0))</f>
        <v/>
      </c>
      <c r="AK419" s="43">
        <f>IFERROR(IF(N(L419)=0,"",AJ419/L419),"")</f>
        <v/>
      </c>
      <c r="AL419" s="11">
        <f>IF(C419="","",N(AF419)+N(AG419)+N(AH419)+N(AI419))</f>
        <v/>
      </c>
      <c r="AM419" s="11">
        <f>IF(C419="","",MAX(N(L419),N(O419))-N(AL419))</f>
        <v/>
      </c>
      <c r="AN419" s="43">
        <f>IFERROR(IF(MAX(N(L419),N(O419))=0,"",AM419/MAX(N(L419),N(O419))),"")</f>
        <v/>
      </c>
      <c r="AO419" s="41" t="n"/>
      <c r="AP419" s="41" t="n"/>
      <c r="AQ419" s="41" t="n"/>
      <c r="AR419" s="41" t="n"/>
      <c r="AS419" s="41" t="n"/>
      <c r="AT419" s="37" t="n"/>
      <c r="AU419" s="10" t="inlineStr">
        <is>
          <t>PRD-0415</t>
        </is>
      </c>
    </row>
    <row r="420">
      <c r="A420" s="16">
        <f>IF($C420="","",IFERROR(IF(INDEX(tbl_Finance[Latest Invoice Date],MATCH($AU420,tbl_Finance[Row ID],0))="","",INDEX(tbl_Finance[Latest Invoice Date],MATCH($AU420,tbl_Finance[Row ID],0))),""))</f>
        <v/>
      </c>
      <c r="B420" s="10">
        <f>IF($C420="","",IFERROR(INDEX(tbl_Finance[Invoice Numbers],MATCH($AU420,tbl_Finance[Row ID],0))&amp;"",""))</f>
        <v/>
      </c>
      <c r="C420" s="37" t="n"/>
      <c r="D420" s="10">
        <f>IF($C420="","",IF(COUNTIF(lst_Jobs,$C420&amp;"")&gt;0,"OK","CHECK"))</f>
        <v/>
      </c>
      <c r="E420" s="10">
        <f>IF($C420="","",IFERROR(INDEX(lst_JobName,MATCH($C420&amp;"",lst_Jobs,0)),""))</f>
        <v/>
      </c>
      <c r="F420" s="37" t="n"/>
      <c r="G420" s="37" t="n"/>
      <c r="H420" s="37" t="n"/>
      <c r="I420" s="37" t="n"/>
      <c r="J420" s="37" t="n"/>
      <c r="K420" s="38">
        <f>IF($C420="","",IFERROR(N(INDEX(tbl_Finance[Invoice Count],MATCH($AU420,tbl_Finance[Row ID],0))),""))</f>
        <v/>
      </c>
      <c r="L420" s="11">
        <f>IF($C420="","",IFERROR(N(INDEX(tbl_Finance[Xero Invoiced Ex GST],MATCH($AU420,tbl_Finance[Row ID],0))),""))</f>
        <v/>
      </c>
      <c r="M420" s="10">
        <f>IF($C420="","",IFERROR(INDEX(tbl_Finance[Compare],MATCH($AU420,tbl_Finance[Row ID],0))&amp;"",""))</f>
        <v/>
      </c>
      <c r="N420" s="11">
        <f>IF($C420="","",MAX(0,N(O420)-N(L420)))</f>
        <v/>
      </c>
      <c r="O420" s="39" t="n"/>
      <c r="P420" s="40">
        <f>IF($C420="","",IF((IF(F420="",", Client","")&amp;IF(G420="",", Description","")&amp;IF(H420="",", Cost Centre","")&amp;IF(I420="",", Invoice Type","")&amp;IF(J420="",", Tax Code","")&amp;IF(O420="",", Expected Revenue","")&amp;IF(COUNTIF(tbl_Finance[Job Number],$C420&amp;"")&gt;1,", Job number used twice",""))="","Complete","Fix: "&amp;MID(IF(F420="",", Client","")&amp;IF(G420="",", Description","")&amp;IF(H420="",", Cost Centre","")&amp;IF(I420="",", Invoice Type","")&amp;IF(J420="",", Tax Code","")&amp;IF(O420="",", Expected Revenue","")&amp;IF(COUNTIF(tbl_Finance[Job Number],$C420&amp;"")&gt;1,", Job number used twice",""),3,300)))</f>
        <v/>
      </c>
      <c r="Q420" s="10">
        <f>IF($C420="","",IF(H420="","(no cost centre)",H420&amp;" - GL "&amp;IFERROR(INDEX(lst_CCtoGL,MATCH(H420,lst_CCforGL,0)),"?")))</f>
        <v/>
      </c>
      <c r="R420" s="11">
        <f>IF($C420="","",IFERROR(N(INDEX(tbl_Finance[Inc GST],MATCH($AU420,tbl_Finance[Row ID],0))),""))</f>
        <v/>
      </c>
      <c r="S420" s="37" t="n"/>
      <c r="T420" s="37" t="n"/>
      <c r="U420" s="37" t="n"/>
      <c r="V420" s="42" t="n"/>
      <c r="W420" s="37" t="n"/>
      <c r="X420" s="10">
        <f>IF(W420="","",IF(AND(LEFT(W420,4)&lt;&gt;"http",set_RMSBase=""),"",HYPERLINK(IF(LEFT(W420,4)="http",W420,set_RMSBase&amp;W420),"Open in RMS")))</f>
        <v/>
      </c>
      <c r="Y420" s="37" t="n"/>
      <c r="Z420" s="10">
        <f>IF(Y420="","",HYPERLINK(IF(LEFT(Y420,4)="http",Y420,set_QwilrBase&amp;Y420),"Open quote"))</f>
        <v/>
      </c>
      <c r="AA420" s="10">
        <f>IF(C420="","",C420)</f>
        <v/>
      </c>
      <c r="AB420" s="37" t="n"/>
      <c r="AC420" s="39" t="n"/>
      <c r="AD420" s="11">
        <f>IF(C420="","",N(L420)+N(AC420))</f>
        <v/>
      </c>
      <c r="AE420" s="43">
        <f>IFERROR(IF(N(AC420)=0,"",AC420/AD420),"")</f>
        <v/>
      </c>
      <c r="AF420" s="39" t="n"/>
      <c r="AG420" s="39" t="n"/>
      <c r="AH420" s="39" t="n"/>
      <c r="AI420" s="39" t="n"/>
      <c r="AJ420" s="11">
        <f>IF(C420="","",IF(H420="VIDEO",N(L420),0))</f>
        <v/>
      </c>
      <c r="AK420" s="43">
        <f>IFERROR(IF(N(L420)=0,"",AJ420/L420),"")</f>
        <v/>
      </c>
      <c r="AL420" s="11">
        <f>IF(C420="","",N(AF420)+N(AG420)+N(AH420)+N(AI420))</f>
        <v/>
      </c>
      <c r="AM420" s="11">
        <f>IF(C420="","",MAX(N(L420),N(O420))-N(AL420))</f>
        <v/>
      </c>
      <c r="AN420" s="43">
        <f>IFERROR(IF(MAX(N(L420),N(O420))=0,"",AM420/MAX(N(L420),N(O420))),"")</f>
        <v/>
      </c>
      <c r="AO420" s="41" t="n"/>
      <c r="AP420" s="41" t="n"/>
      <c r="AQ420" s="41" t="n"/>
      <c r="AR420" s="41" t="n"/>
      <c r="AS420" s="41" t="n"/>
      <c r="AT420" s="37" t="n"/>
      <c r="AU420" s="10" t="inlineStr">
        <is>
          <t>PRD-0416</t>
        </is>
      </c>
    </row>
    <row r="421">
      <c r="A421" s="16">
        <f>IF($C421="","",IFERROR(IF(INDEX(tbl_Finance[Latest Invoice Date],MATCH($AU421,tbl_Finance[Row ID],0))="","",INDEX(tbl_Finance[Latest Invoice Date],MATCH($AU421,tbl_Finance[Row ID],0))),""))</f>
        <v/>
      </c>
      <c r="B421" s="10">
        <f>IF($C421="","",IFERROR(INDEX(tbl_Finance[Invoice Numbers],MATCH($AU421,tbl_Finance[Row ID],0))&amp;"",""))</f>
        <v/>
      </c>
      <c r="C421" s="37" t="n"/>
      <c r="D421" s="10">
        <f>IF($C421="","",IF(COUNTIF(lst_Jobs,$C421&amp;"")&gt;0,"OK","CHECK"))</f>
        <v/>
      </c>
      <c r="E421" s="10">
        <f>IF($C421="","",IFERROR(INDEX(lst_JobName,MATCH($C421&amp;"",lst_Jobs,0)),""))</f>
        <v/>
      </c>
      <c r="F421" s="37" t="n"/>
      <c r="G421" s="37" t="n"/>
      <c r="H421" s="37" t="n"/>
      <c r="I421" s="37" t="n"/>
      <c r="J421" s="37" t="n"/>
      <c r="K421" s="38">
        <f>IF($C421="","",IFERROR(N(INDEX(tbl_Finance[Invoice Count],MATCH($AU421,tbl_Finance[Row ID],0))),""))</f>
        <v/>
      </c>
      <c r="L421" s="11">
        <f>IF($C421="","",IFERROR(N(INDEX(tbl_Finance[Xero Invoiced Ex GST],MATCH($AU421,tbl_Finance[Row ID],0))),""))</f>
        <v/>
      </c>
      <c r="M421" s="10">
        <f>IF($C421="","",IFERROR(INDEX(tbl_Finance[Compare],MATCH($AU421,tbl_Finance[Row ID],0))&amp;"",""))</f>
        <v/>
      </c>
      <c r="N421" s="11">
        <f>IF($C421="","",MAX(0,N(O421)-N(L421)))</f>
        <v/>
      </c>
      <c r="O421" s="39" t="n"/>
      <c r="P421" s="40">
        <f>IF($C421="","",IF((IF(F421="",", Client","")&amp;IF(G421="",", Description","")&amp;IF(H421="",", Cost Centre","")&amp;IF(I421="",", Invoice Type","")&amp;IF(J421="",", Tax Code","")&amp;IF(O421="",", Expected Revenue","")&amp;IF(COUNTIF(tbl_Finance[Job Number],$C421&amp;"")&gt;1,", Job number used twice",""))="","Complete","Fix: "&amp;MID(IF(F421="",", Client","")&amp;IF(G421="",", Description","")&amp;IF(H421="",", Cost Centre","")&amp;IF(I421="",", Invoice Type","")&amp;IF(J421="",", Tax Code","")&amp;IF(O421="",", Expected Revenue","")&amp;IF(COUNTIF(tbl_Finance[Job Number],$C421&amp;"")&gt;1,", Job number used twice",""),3,300)))</f>
        <v/>
      </c>
      <c r="Q421" s="10">
        <f>IF($C421="","",IF(H421="","(no cost centre)",H421&amp;" - GL "&amp;IFERROR(INDEX(lst_CCtoGL,MATCH(H421,lst_CCforGL,0)),"?")))</f>
        <v/>
      </c>
      <c r="R421" s="11">
        <f>IF($C421="","",IFERROR(N(INDEX(tbl_Finance[Inc GST],MATCH($AU421,tbl_Finance[Row ID],0))),""))</f>
        <v/>
      </c>
      <c r="S421" s="37" t="n"/>
      <c r="T421" s="37" t="n"/>
      <c r="U421" s="37" t="n"/>
      <c r="V421" s="42" t="n"/>
      <c r="W421" s="37" t="n"/>
      <c r="X421" s="10">
        <f>IF(W421="","",IF(AND(LEFT(W421,4)&lt;&gt;"http",set_RMSBase=""),"",HYPERLINK(IF(LEFT(W421,4)="http",W421,set_RMSBase&amp;W421),"Open in RMS")))</f>
        <v/>
      </c>
      <c r="Y421" s="37" t="n"/>
      <c r="Z421" s="10">
        <f>IF(Y421="","",HYPERLINK(IF(LEFT(Y421,4)="http",Y421,set_QwilrBase&amp;Y421),"Open quote"))</f>
        <v/>
      </c>
      <c r="AA421" s="10">
        <f>IF(C421="","",C421)</f>
        <v/>
      </c>
      <c r="AB421" s="37" t="n"/>
      <c r="AC421" s="39" t="n"/>
      <c r="AD421" s="11">
        <f>IF(C421="","",N(L421)+N(AC421))</f>
        <v/>
      </c>
      <c r="AE421" s="43">
        <f>IFERROR(IF(N(AC421)=0,"",AC421/AD421),"")</f>
        <v/>
      </c>
      <c r="AF421" s="39" t="n"/>
      <c r="AG421" s="39" t="n"/>
      <c r="AH421" s="39" t="n"/>
      <c r="AI421" s="39" t="n"/>
      <c r="AJ421" s="11">
        <f>IF(C421="","",IF(H421="VIDEO",N(L421),0))</f>
        <v/>
      </c>
      <c r="AK421" s="43">
        <f>IFERROR(IF(N(L421)=0,"",AJ421/L421),"")</f>
        <v/>
      </c>
      <c r="AL421" s="11">
        <f>IF(C421="","",N(AF421)+N(AG421)+N(AH421)+N(AI421))</f>
        <v/>
      </c>
      <c r="AM421" s="11">
        <f>IF(C421="","",MAX(N(L421),N(O421))-N(AL421))</f>
        <v/>
      </c>
      <c r="AN421" s="43">
        <f>IFERROR(IF(MAX(N(L421),N(O421))=0,"",AM421/MAX(N(L421),N(O421))),"")</f>
        <v/>
      </c>
      <c r="AO421" s="41" t="n"/>
      <c r="AP421" s="41" t="n"/>
      <c r="AQ421" s="41" t="n"/>
      <c r="AR421" s="41" t="n"/>
      <c r="AS421" s="41" t="n"/>
      <c r="AT421" s="37" t="n"/>
      <c r="AU421" s="10" t="inlineStr">
        <is>
          <t>PRD-0417</t>
        </is>
      </c>
    </row>
    <row r="422">
      <c r="A422" s="16">
        <f>IF($C422="","",IFERROR(IF(INDEX(tbl_Finance[Latest Invoice Date],MATCH($AU422,tbl_Finance[Row ID],0))="","",INDEX(tbl_Finance[Latest Invoice Date],MATCH($AU422,tbl_Finance[Row ID],0))),""))</f>
        <v/>
      </c>
      <c r="B422" s="10">
        <f>IF($C422="","",IFERROR(INDEX(tbl_Finance[Invoice Numbers],MATCH($AU422,tbl_Finance[Row ID],0))&amp;"",""))</f>
        <v/>
      </c>
      <c r="C422" s="37" t="n"/>
      <c r="D422" s="10">
        <f>IF($C422="","",IF(COUNTIF(lst_Jobs,$C422&amp;"")&gt;0,"OK","CHECK"))</f>
        <v/>
      </c>
      <c r="E422" s="10">
        <f>IF($C422="","",IFERROR(INDEX(lst_JobName,MATCH($C422&amp;"",lst_Jobs,0)),""))</f>
        <v/>
      </c>
      <c r="F422" s="37" t="n"/>
      <c r="G422" s="37" t="n"/>
      <c r="H422" s="37" t="n"/>
      <c r="I422" s="37" t="n"/>
      <c r="J422" s="37" t="n"/>
      <c r="K422" s="38">
        <f>IF($C422="","",IFERROR(N(INDEX(tbl_Finance[Invoice Count],MATCH($AU422,tbl_Finance[Row ID],0))),""))</f>
        <v/>
      </c>
      <c r="L422" s="11">
        <f>IF($C422="","",IFERROR(N(INDEX(tbl_Finance[Xero Invoiced Ex GST],MATCH($AU422,tbl_Finance[Row ID],0))),""))</f>
        <v/>
      </c>
      <c r="M422" s="10">
        <f>IF($C422="","",IFERROR(INDEX(tbl_Finance[Compare],MATCH($AU422,tbl_Finance[Row ID],0))&amp;"",""))</f>
        <v/>
      </c>
      <c r="N422" s="11">
        <f>IF($C422="","",MAX(0,N(O422)-N(L422)))</f>
        <v/>
      </c>
      <c r="O422" s="39" t="n"/>
      <c r="P422" s="40">
        <f>IF($C422="","",IF((IF(F422="",", Client","")&amp;IF(G422="",", Description","")&amp;IF(H422="",", Cost Centre","")&amp;IF(I422="",", Invoice Type","")&amp;IF(J422="",", Tax Code","")&amp;IF(O422="",", Expected Revenue","")&amp;IF(COUNTIF(tbl_Finance[Job Number],$C422&amp;"")&gt;1,", Job number used twice",""))="","Complete","Fix: "&amp;MID(IF(F422="",", Client","")&amp;IF(G422="",", Description","")&amp;IF(H422="",", Cost Centre","")&amp;IF(I422="",", Invoice Type","")&amp;IF(J422="",", Tax Code","")&amp;IF(O422="",", Expected Revenue","")&amp;IF(COUNTIF(tbl_Finance[Job Number],$C422&amp;"")&gt;1,", Job number used twice",""),3,300)))</f>
        <v/>
      </c>
      <c r="Q422" s="10">
        <f>IF($C422="","",IF(H422="","(no cost centre)",H422&amp;" - GL "&amp;IFERROR(INDEX(lst_CCtoGL,MATCH(H422,lst_CCforGL,0)),"?")))</f>
        <v/>
      </c>
      <c r="R422" s="11">
        <f>IF($C422="","",IFERROR(N(INDEX(tbl_Finance[Inc GST],MATCH($AU422,tbl_Finance[Row ID],0))),""))</f>
        <v/>
      </c>
      <c r="S422" s="37" t="n"/>
      <c r="T422" s="37" t="n"/>
      <c r="U422" s="37" t="n"/>
      <c r="V422" s="42" t="n"/>
      <c r="W422" s="37" t="n"/>
      <c r="X422" s="10">
        <f>IF(W422="","",IF(AND(LEFT(W422,4)&lt;&gt;"http",set_RMSBase=""),"",HYPERLINK(IF(LEFT(W422,4)="http",W422,set_RMSBase&amp;W422),"Open in RMS")))</f>
        <v/>
      </c>
      <c r="Y422" s="37" t="n"/>
      <c r="Z422" s="10">
        <f>IF(Y422="","",HYPERLINK(IF(LEFT(Y422,4)="http",Y422,set_QwilrBase&amp;Y422),"Open quote"))</f>
        <v/>
      </c>
      <c r="AA422" s="10">
        <f>IF(C422="","",C422)</f>
        <v/>
      </c>
      <c r="AB422" s="37" t="n"/>
      <c r="AC422" s="39" t="n"/>
      <c r="AD422" s="11">
        <f>IF(C422="","",N(L422)+N(AC422))</f>
        <v/>
      </c>
      <c r="AE422" s="43">
        <f>IFERROR(IF(N(AC422)=0,"",AC422/AD422),"")</f>
        <v/>
      </c>
      <c r="AF422" s="39" t="n"/>
      <c r="AG422" s="39" t="n"/>
      <c r="AH422" s="39" t="n"/>
      <c r="AI422" s="39" t="n"/>
      <c r="AJ422" s="11">
        <f>IF(C422="","",IF(H422="VIDEO",N(L422),0))</f>
        <v/>
      </c>
      <c r="AK422" s="43">
        <f>IFERROR(IF(N(L422)=0,"",AJ422/L422),"")</f>
        <v/>
      </c>
      <c r="AL422" s="11">
        <f>IF(C422="","",N(AF422)+N(AG422)+N(AH422)+N(AI422))</f>
        <v/>
      </c>
      <c r="AM422" s="11">
        <f>IF(C422="","",MAX(N(L422),N(O422))-N(AL422))</f>
        <v/>
      </c>
      <c r="AN422" s="43">
        <f>IFERROR(IF(MAX(N(L422),N(O422))=0,"",AM422/MAX(N(L422),N(O422))),"")</f>
        <v/>
      </c>
      <c r="AO422" s="41" t="n"/>
      <c r="AP422" s="41" t="n"/>
      <c r="AQ422" s="41" t="n"/>
      <c r="AR422" s="41" t="n"/>
      <c r="AS422" s="41" t="n"/>
      <c r="AT422" s="37" t="n"/>
      <c r="AU422" s="10" t="inlineStr">
        <is>
          <t>PRD-0418</t>
        </is>
      </c>
    </row>
    <row r="423">
      <c r="A423" s="16">
        <f>IF($C423="","",IFERROR(IF(INDEX(tbl_Finance[Latest Invoice Date],MATCH($AU423,tbl_Finance[Row ID],0))="","",INDEX(tbl_Finance[Latest Invoice Date],MATCH($AU423,tbl_Finance[Row ID],0))),""))</f>
        <v/>
      </c>
      <c r="B423" s="10">
        <f>IF($C423="","",IFERROR(INDEX(tbl_Finance[Invoice Numbers],MATCH($AU423,tbl_Finance[Row ID],0))&amp;"",""))</f>
        <v/>
      </c>
      <c r="C423" s="37" t="n"/>
      <c r="D423" s="10">
        <f>IF($C423="","",IF(COUNTIF(lst_Jobs,$C423&amp;"")&gt;0,"OK","CHECK"))</f>
        <v/>
      </c>
      <c r="E423" s="10">
        <f>IF($C423="","",IFERROR(INDEX(lst_JobName,MATCH($C423&amp;"",lst_Jobs,0)),""))</f>
        <v/>
      </c>
      <c r="F423" s="37" t="n"/>
      <c r="G423" s="37" t="n"/>
      <c r="H423" s="37" t="n"/>
      <c r="I423" s="37" t="n"/>
      <c r="J423" s="37" t="n"/>
      <c r="K423" s="38">
        <f>IF($C423="","",IFERROR(N(INDEX(tbl_Finance[Invoice Count],MATCH($AU423,tbl_Finance[Row ID],0))),""))</f>
        <v/>
      </c>
      <c r="L423" s="11">
        <f>IF($C423="","",IFERROR(N(INDEX(tbl_Finance[Xero Invoiced Ex GST],MATCH($AU423,tbl_Finance[Row ID],0))),""))</f>
        <v/>
      </c>
      <c r="M423" s="10">
        <f>IF($C423="","",IFERROR(INDEX(tbl_Finance[Compare],MATCH($AU423,tbl_Finance[Row ID],0))&amp;"",""))</f>
        <v/>
      </c>
      <c r="N423" s="11">
        <f>IF($C423="","",MAX(0,N(O423)-N(L423)))</f>
        <v/>
      </c>
      <c r="O423" s="39" t="n"/>
      <c r="P423" s="40">
        <f>IF($C423="","",IF((IF(F423="",", Client","")&amp;IF(G423="",", Description","")&amp;IF(H423="",", Cost Centre","")&amp;IF(I423="",", Invoice Type","")&amp;IF(J423="",", Tax Code","")&amp;IF(O423="",", Expected Revenue","")&amp;IF(COUNTIF(tbl_Finance[Job Number],$C423&amp;"")&gt;1,", Job number used twice",""))="","Complete","Fix: "&amp;MID(IF(F423="",", Client","")&amp;IF(G423="",", Description","")&amp;IF(H423="",", Cost Centre","")&amp;IF(I423="",", Invoice Type","")&amp;IF(J423="",", Tax Code","")&amp;IF(O423="",", Expected Revenue","")&amp;IF(COUNTIF(tbl_Finance[Job Number],$C423&amp;"")&gt;1,", Job number used twice",""),3,300)))</f>
        <v/>
      </c>
      <c r="Q423" s="10">
        <f>IF($C423="","",IF(H423="","(no cost centre)",H423&amp;" - GL "&amp;IFERROR(INDEX(lst_CCtoGL,MATCH(H423,lst_CCforGL,0)),"?")))</f>
        <v/>
      </c>
      <c r="R423" s="11">
        <f>IF($C423="","",IFERROR(N(INDEX(tbl_Finance[Inc GST],MATCH($AU423,tbl_Finance[Row ID],0))),""))</f>
        <v/>
      </c>
      <c r="S423" s="37" t="n"/>
      <c r="T423" s="37" t="n"/>
      <c r="U423" s="37" t="n"/>
      <c r="V423" s="42" t="n"/>
      <c r="W423" s="37" t="n"/>
      <c r="X423" s="10">
        <f>IF(W423="","",IF(AND(LEFT(W423,4)&lt;&gt;"http",set_RMSBase=""),"",HYPERLINK(IF(LEFT(W423,4)="http",W423,set_RMSBase&amp;W423),"Open in RMS")))</f>
        <v/>
      </c>
      <c r="Y423" s="37" t="n"/>
      <c r="Z423" s="10">
        <f>IF(Y423="","",HYPERLINK(IF(LEFT(Y423,4)="http",Y423,set_QwilrBase&amp;Y423),"Open quote"))</f>
        <v/>
      </c>
      <c r="AA423" s="10">
        <f>IF(C423="","",C423)</f>
        <v/>
      </c>
      <c r="AB423" s="37" t="n"/>
      <c r="AC423" s="39" t="n"/>
      <c r="AD423" s="11">
        <f>IF(C423="","",N(L423)+N(AC423))</f>
        <v/>
      </c>
      <c r="AE423" s="43">
        <f>IFERROR(IF(N(AC423)=0,"",AC423/AD423),"")</f>
        <v/>
      </c>
      <c r="AF423" s="39" t="n"/>
      <c r="AG423" s="39" t="n"/>
      <c r="AH423" s="39" t="n"/>
      <c r="AI423" s="39" t="n"/>
      <c r="AJ423" s="11">
        <f>IF(C423="","",IF(H423="VIDEO",N(L423),0))</f>
        <v/>
      </c>
      <c r="AK423" s="43">
        <f>IFERROR(IF(N(L423)=0,"",AJ423/L423),"")</f>
        <v/>
      </c>
      <c r="AL423" s="11">
        <f>IF(C423="","",N(AF423)+N(AG423)+N(AH423)+N(AI423))</f>
        <v/>
      </c>
      <c r="AM423" s="11">
        <f>IF(C423="","",MAX(N(L423),N(O423))-N(AL423))</f>
        <v/>
      </c>
      <c r="AN423" s="43">
        <f>IFERROR(IF(MAX(N(L423),N(O423))=0,"",AM423/MAX(N(L423),N(O423))),"")</f>
        <v/>
      </c>
      <c r="AO423" s="41" t="n"/>
      <c r="AP423" s="41" t="n"/>
      <c r="AQ423" s="41" t="n"/>
      <c r="AR423" s="41" t="n"/>
      <c r="AS423" s="41" t="n"/>
      <c r="AT423" s="37" t="n"/>
      <c r="AU423" s="10" t="inlineStr">
        <is>
          <t>PRD-0419</t>
        </is>
      </c>
    </row>
    <row r="424">
      <c r="A424" s="16">
        <f>IF($C424="","",IFERROR(IF(INDEX(tbl_Finance[Latest Invoice Date],MATCH($AU424,tbl_Finance[Row ID],0))="","",INDEX(tbl_Finance[Latest Invoice Date],MATCH($AU424,tbl_Finance[Row ID],0))),""))</f>
        <v/>
      </c>
      <c r="B424" s="10">
        <f>IF($C424="","",IFERROR(INDEX(tbl_Finance[Invoice Numbers],MATCH($AU424,tbl_Finance[Row ID],0))&amp;"",""))</f>
        <v/>
      </c>
      <c r="C424" s="37" t="n"/>
      <c r="D424" s="10">
        <f>IF($C424="","",IF(COUNTIF(lst_Jobs,$C424&amp;"")&gt;0,"OK","CHECK"))</f>
        <v/>
      </c>
      <c r="E424" s="10">
        <f>IF($C424="","",IFERROR(INDEX(lst_JobName,MATCH($C424&amp;"",lst_Jobs,0)),""))</f>
        <v/>
      </c>
      <c r="F424" s="37" t="n"/>
      <c r="G424" s="37" t="n"/>
      <c r="H424" s="37" t="n"/>
      <c r="I424" s="37" t="n"/>
      <c r="J424" s="37" t="n"/>
      <c r="K424" s="38">
        <f>IF($C424="","",IFERROR(N(INDEX(tbl_Finance[Invoice Count],MATCH($AU424,tbl_Finance[Row ID],0))),""))</f>
        <v/>
      </c>
      <c r="L424" s="11">
        <f>IF($C424="","",IFERROR(N(INDEX(tbl_Finance[Xero Invoiced Ex GST],MATCH($AU424,tbl_Finance[Row ID],0))),""))</f>
        <v/>
      </c>
      <c r="M424" s="10">
        <f>IF($C424="","",IFERROR(INDEX(tbl_Finance[Compare],MATCH($AU424,tbl_Finance[Row ID],0))&amp;"",""))</f>
        <v/>
      </c>
      <c r="N424" s="11">
        <f>IF($C424="","",MAX(0,N(O424)-N(L424)))</f>
        <v/>
      </c>
      <c r="O424" s="39" t="n"/>
      <c r="P424" s="40">
        <f>IF($C424="","",IF((IF(F424="",", Client","")&amp;IF(G424="",", Description","")&amp;IF(H424="",", Cost Centre","")&amp;IF(I424="",", Invoice Type","")&amp;IF(J424="",", Tax Code","")&amp;IF(O424="",", Expected Revenue","")&amp;IF(COUNTIF(tbl_Finance[Job Number],$C424&amp;"")&gt;1,", Job number used twice",""))="","Complete","Fix: "&amp;MID(IF(F424="",", Client","")&amp;IF(G424="",", Description","")&amp;IF(H424="",", Cost Centre","")&amp;IF(I424="",", Invoice Type","")&amp;IF(J424="",", Tax Code","")&amp;IF(O424="",", Expected Revenue","")&amp;IF(COUNTIF(tbl_Finance[Job Number],$C424&amp;"")&gt;1,", Job number used twice",""),3,300)))</f>
        <v/>
      </c>
      <c r="Q424" s="10">
        <f>IF($C424="","",IF(H424="","(no cost centre)",H424&amp;" - GL "&amp;IFERROR(INDEX(lst_CCtoGL,MATCH(H424,lst_CCforGL,0)),"?")))</f>
        <v/>
      </c>
      <c r="R424" s="11">
        <f>IF($C424="","",IFERROR(N(INDEX(tbl_Finance[Inc GST],MATCH($AU424,tbl_Finance[Row ID],0))),""))</f>
        <v/>
      </c>
      <c r="S424" s="37" t="n"/>
      <c r="T424" s="37" t="n"/>
      <c r="U424" s="37" t="n"/>
      <c r="V424" s="42" t="n"/>
      <c r="W424" s="37" t="n"/>
      <c r="X424" s="10">
        <f>IF(W424="","",IF(AND(LEFT(W424,4)&lt;&gt;"http",set_RMSBase=""),"",HYPERLINK(IF(LEFT(W424,4)="http",W424,set_RMSBase&amp;W424),"Open in RMS")))</f>
        <v/>
      </c>
      <c r="Y424" s="37" t="n"/>
      <c r="Z424" s="10">
        <f>IF(Y424="","",HYPERLINK(IF(LEFT(Y424,4)="http",Y424,set_QwilrBase&amp;Y424),"Open quote"))</f>
        <v/>
      </c>
      <c r="AA424" s="10">
        <f>IF(C424="","",C424)</f>
        <v/>
      </c>
      <c r="AB424" s="37" t="n"/>
      <c r="AC424" s="39" t="n"/>
      <c r="AD424" s="11">
        <f>IF(C424="","",N(L424)+N(AC424))</f>
        <v/>
      </c>
      <c r="AE424" s="43">
        <f>IFERROR(IF(N(AC424)=0,"",AC424/AD424),"")</f>
        <v/>
      </c>
      <c r="AF424" s="39" t="n"/>
      <c r="AG424" s="39" t="n"/>
      <c r="AH424" s="39" t="n"/>
      <c r="AI424" s="39" t="n"/>
      <c r="AJ424" s="11">
        <f>IF(C424="","",IF(H424="VIDEO",N(L424),0))</f>
        <v/>
      </c>
      <c r="AK424" s="43">
        <f>IFERROR(IF(N(L424)=0,"",AJ424/L424),"")</f>
        <v/>
      </c>
      <c r="AL424" s="11">
        <f>IF(C424="","",N(AF424)+N(AG424)+N(AH424)+N(AI424))</f>
        <v/>
      </c>
      <c r="AM424" s="11">
        <f>IF(C424="","",MAX(N(L424),N(O424))-N(AL424))</f>
        <v/>
      </c>
      <c r="AN424" s="43">
        <f>IFERROR(IF(MAX(N(L424),N(O424))=0,"",AM424/MAX(N(L424),N(O424))),"")</f>
        <v/>
      </c>
      <c r="AO424" s="41" t="n"/>
      <c r="AP424" s="41" t="n"/>
      <c r="AQ424" s="41" t="n"/>
      <c r="AR424" s="41" t="n"/>
      <c r="AS424" s="41" t="n"/>
      <c r="AT424" s="37" t="n"/>
      <c r="AU424" s="10" t="inlineStr">
        <is>
          <t>PRD-0420</t>
        </is>
      </c>
    </row>
    <row r="425">
      <c r="A425" s="16">
        <f>IF($C425="","",IFERROR(IF(INDEX(tbl_Finance[Latest Invoice Date],MATCH($AU425,tbl_Finance[Row ID],0))="","",INDEX(tbl_Finance[Latest Invoice Date],MATCH($AU425,tbl_Finance[Row ID],0))),""))</f>
        <v/>
      </c>
      <c r="B425" s="10">
        <f>IF($C425="","",IFERROR(INDEX(tbl_Finance[Invoice Numbers],MATCH($AU425,tbl_Finance[Row ID],0))&amp;"",""))</f>
        <v/>
      </c>
      <c r="C425" s="37" t="n"/>
      <c r="D425" s="10">
        <f>IF($C425="","",IF(COUNTIF(lst_Jobs,$C425&amp;"")&gt;0,"OK","CHECK"))</f>
        <v/>
      </c>
      <c r="E425" s="10">
        <f>IF($C425="","",IFERROR(INDEX(lst_JobName,MATCH($C425&amp;"",lst_Jobs,0)),""))</f>
        <v/>
      </c>
      <c r="F425" s="37" t="n"/>
      <c r="G425" s="37" t="n"/>
      <c r="H425" s="37" t="n"/>
      <c r="I425" s="37" t="n"/>
      <c r="J425" s="37" t="n"/>
      <c r="K425" s="38">
        <f>IF($C425="","",IFERROR(N(INDEX(tbl_Finance[Invoice Count],MATCH($AU425,tbl_Finance[Row ID],0))),""))</f>
        <v/>
      </c>
      <c r="L425" s="11">
        <f>IF($C425="","",IFERROR(N(INDEX(tbl_Finance[Xero Invoiced Ex GST],MATCH($AU425,tbl_Finance[Row ID],0))),""))</f>
        <v/>
      </c>
      <c r="M425" s="10">
        <f>IF($C425="","",IFERROR(INDEX(tbl_Finance[Compare],MATCH($AU425,tbl_Finance[Row ID],0))&amp;"",""))</f>
        <v/>
      </c>
      <c r="N425" s="11">
        <f>IF($C425="","",MAX(0,N(O425)-N(L425)))</f>
        <v/>
      </c>
      <c r="O425" s="39" t="n"/>
      <c r="P425" s="40">
        <f>IF($C425="","",IF((IF(F425="",", Client","")&amp;IF(G425="",", Description","")&amp;IF(H425="",", Cost Centre","")&amp;IF(I425="",", Invoice Type","")&amp;IF(J425="",", Tax Code","")&amp;IF(O425="",", Expected Revenue","")&amp;IF(COUNTIF(tbl_Finance[Job Number],$C425&amp;"")&gt;1,", Job number used twice",""))="","Complete","Fix: "&amp;MID(IF(F425="",", Client","")&amp;IF(G425="",", Description","")&amp;IF(H425="",", Cost Centre","")&amp;IF(I425="",", Invoice Type","")&amp;IF(J425="",", Tax Code","")&amp;IF(O425="",", Expected Revenue","")&amp;IF(COUNTIF(tbl_Finance[Job Number],$C425&amp;"")&gt;1,", Job number used twice",""),3,300)))</f>
        <v/>
      </c>
      <c r="Q425" s="10">
        <f>IF($C425="","",IF(H425="","(no cost centre)",H425&amp;" - GL "&amp;IFERROR(INDEX(lst_CCtoGL,MATCH(H425,lst_CCforGL,0)),"?")))</f>
        <v/>
      </c>
      <c r="R425" s="11">
        <f>IF($C425="","",IFERROR(N(INDEX(tbl_Finance[Inc GST],MATCH($AU425,tbl_Finance[Row ID],0))),""))</f>
        <v/>
      </c>
      <c r="S425" s="37" t="n"/>
      <c r="T425" s="37" t="n"/>
      <c r="U425" s="37" t="n"/>
      <c r="V425" s="42" t="n"/>
      <c r="W425" s="37" t="n"/>
      <c r="X425" s="10">
        <f>IF(W425="","",IF(AND(LEFT(W425,4)&lt;&gt;"http",set_RMSBase=""),"",HYPERLINK(IF(LEFT(W425,4)="http",W425,set_RMSBase&amp;W425),"Open in RMS")))</f>
        <v/>
      </c>
      <c r="Y425" s="37" t="n"/>
      <c r="Z425" s="10">
        <f>IF(Y425="","",HYPERLINK(IF(LEFT(Y425,4)="http",Y425,set_QwilrBase&amp;Y425),"Open quote"))</f>
        <v/>
      </c>
      <c r="AA425" s="10">
        <f>IF(C425="","",C425)</f>
        <v/>
      </c>
      <c r="AB425" s="37" t="n"/>
      <c r="AC425" s="39" t="n"/>
      <c r="AD425" s="11">
        <f>IF(C425="","",N(L425)+N(AC425))</f>
        <v/>
      </c>
      <c r="AE425" s="43">
        <f>IFERROR(IF(N(AC425)=0,"",AC425/AD425),"")</f>
        <v/>
      </c>
      <c r="AF425" s="39" t="n"/>
      <c r="AG425" s="39" t="n"/>
      <c r="AH425" s="39" t="n"/>
      <c r="AI425" s="39" t="n"/>
      <c r="AJ425" s="11">
        <f>IF(C425="","",IF(H425="VIDEO",N(L425),0))</f>
        <v/>
      </c>
      <c r="AK425" s="43">
        <f>IFERROR(IF(N(L425)=0,"",AJ425/L425),"")</f>
        <v/>
      </c>
      <c r="AL425" s="11">
        <f>IF(C425="","",N(AF425)+N(AG425)+N(AH425)+N(AI425))</f>
        <v/>
      </c>
      <c r="AM425" s="11">
        <f>IF(C425="","",MAX(N(L425),N(O425))-N(AL425))</f>
        <v/>
      </c>
      <c r="AN425" s="43">
        <f>IFERROR(IF(MAX(N(L425),N(O425))=0,"",AM425/MAX(N(L425),N(O425))),"")</f>
        <v/>
      </c>
      <c r="AO425" s="41" t="n"/>
      <c r="AP425" s="41" t="n"/>
      <c r="AQ425" s="41" t="n"/>
      <c r="AR425" s="41" t="n"/>
      <c r="AS425" s="41" t="n"/>
      <c r="AT425" s="37" t="n"/>
      <c r="AU425" s="10" t="inlineStr">
        <is>
          <t>PRD-0421</t>
        </is>
      </c>
    </row>
    <row r="426">
      <c r="A426" s="16">
        <f>IF($C426="","",IFERROR(IF(INDEX(tbl_Finance[Latest Invoice Date],MATCH($AU426,tbl_Finance[Row ID],0))="","",INDEX(tbl_Finance[Latest Invoice Date],MATCH($AU426,tbl_Finance[Row ID],0))),""))</f>
        <v/>
      </c>
      <c r="B426" s="10">
        <f>IF($C426="","",IFERROR(INDEX(tbl_Finance[Invoice Numbers],MATCH($AU426,tbl_Finance[Row ID],0))&amp;"",""))</f>
        <v/>
      </c>
      <c r="C426" s="37" t="n"/>
      <c r="D426" s="10">
        <f>IF($C426="","",IF(COUNTIF(lst_Jobs,$C426&amp;"")&gt;0,"OK","CHECK"))</f>
        <v/>
      </c>
      <c r="E426" s="10">
        <f>IF($C426="","",IFERROR(INDEX(lst_JobName,MATCH($C426&amp;"",lst_Jobs,0)),""))</f>
        <v/>
      </c>
      <c r="F426" s="37" t="n"/>
      <c r="G426" s="37" t="n"/>
      <c r="H426" s="37" t="n"/>
      <c r="I426" s="37" t="n"/>
      <c r="J426" s="37" t="n"/>
      <c r="K426" s="38">
        <f>IF($C426="","",IFERROR(N(INDEX(tbl_Finance[Invoice Count],MATCH($AU426,tbl_Finance[Row ID],0))),""))</f>
        <v/>
      </c>
      <c r="L426" s="11">
        <f>IF($C426="","",IFERROR(N(INDEX(tbl_Finance[Xero Invoiced Ex GST],MATCH($AU426,tbl_Finance[Row ID],0))),""))</f>
        <v/>
      </c>
      <c r="M426" s="10">
        <f>IF($C426="","",IFERROR(INDEX(tbl_Finance[Compare],MATCH($AU426,tbl_Finance[Row ID],0))&amp;"",""))</f>
        <v/>
      </c>
      <c r="N426" s="11">
        <f>IF($C426="","",MAX(0,N(O426)-N(L426)))</f>
        <v/>
      </c>
      <c r="O426" s="39" t="n"/>
      <c r="P426" s="40">
        <f>IF($C426="","",IF((IF(F426="",", Client","")&amp;IF(G426="",", Description","")&amp;IF(H426="",", Cost Centre","")&amp;IF(I426="",", Invoice Type","")&amp;IF(J426="",", Tax Code","")&amp;IF(O426="",", Expected Revenue","")&amp;IF(COUNTIF(tbl_Finance[Job Number],$C426&amp;"")&gt;1,", Job number used twice",""))="","Complete","Fix: "&amp;MID(IF(F426="",", Client","")&amp;IF(G426="",", Description","")&amp;IF(H426="",", Cost Centre","")&amp;IF(I426="",", Invoice Type","")&amp;IF(J426="",", Tax Code","")&amp;IF(O426="",", Expected Revenue","")&amp;IF(COUNTIF(tbl_Finance[Job Number],$C426&amp;"")&gt;1,", Job number used twice",""),3,300)))</f>
        <v/>
      </c>
      <c r="Q426" s="10">
        <f>IF($C426="","",IF(H426="","(no cost centre)",H426&amp;" - GL "&amp;IFERROR(INDEX(lst_CCtoGL,MATCH(H426,lst_CCforGL,0)),"?")))</f>
        <v/>
      </c>
      <c r="R426" s="11">
        <f>IF($C426="","",IFERROR(N(INDEX(tbl_Finance[Inc GST],MATCH($AU426,tbl_Finance[Row ID],0))),""))</f>
        <v/>
      </c>
      <c r="S426" s="37" t="n"/>
      <c r="T426" s="37" t="n"/>
      <c r="U426" s="37" t="n"/>
      <c r="V426" s="42" t="n"/>
      <c r="W426" s="37" t="n"/>
      <c r="X426" s="10">
        <f>IF(W426="","",IF(AND(LEFT(W426,4)&lt;&gt;"http",set_RMSBase=""),"",HYPERLINK(IF(LEFT(W426,4)="http",W426,set_RMSBase&amp;W426),"Open in RMS")))</f>
        <v/>
      </c>
      <c r="Y426" s="37" t="n"/>
      <c r="Z426" s="10">
        <f>IF(Y426="","",HYPERLINK(IF(LEFT(Y426,4)="http",Y426,set_QwilrBase&amp;Y426),"Open quote"))</f>
        <v/>
      </c>
      <c r="AA426" s="10">
        <f>IF(C426="","",C426)</f>
        <v/>
      </c>
      <c r="AB426" s="37" t="n"/>
      <c r="AC426" s="39" t="n"/>
      <c r="AD426" s="11">
        <f>IF(C426="","",N(L426)+N(AC426))</f>
        <v/>
      </c>
      <c r="AE426" s="43">
        <f>IFERROR(IF(N(AC426)=0,"",AC426/AD426),"")</f>
        <v/>
      </c>
      <c r="AF426" s="39" t="n"/>
      <c r="AG426" s="39" t="n"/>
      <c r="AH426" s="39" t="n"/>
      <c r="AI426" s="39" t="n"/>
      <c r="AJ426" s="11">
        <f>IF(C426="","",IF(H426="VIDEO",N(L426),0))</f>
        <v/>
      </c>
      <c r="AK426" s="43">
        <f>IFERROR(IF(N(L426)=0,"",AJ426/L426),"")</f>
        <v/>
      </c>
      <c r="AL426" s="11">
        <f>IF(C426="","",N(AF426)+N(AG426)+N(AH426)+N(AI426))</f>
        <v/>
      </c>
      <c r="AM426" s="11">
        <f>IF(C426="","",MAX(N(L426),N(O426))-N(AL426))</f>
        <v/>
      </c>
      <c r="AN426" s="43">
        <f>IFERROR(IF(MAX(N(L426),N(O426))=0,"",AM426/MAX(N(L426),N(O426))),"")</f>
        <v/>
      </c>
      <c r="AO426" s="41" t="n"/>
      <c r="AP426" s="41" t="n"/>
      <c r="AQ426" s="41" t="n"/>
      <c r="AR426" s="41" t="n"/>
      <c r="AS426" s="41" t="n"/>
      <c r="AT426" s="37" t="n"/>
      <c r="AU426" s="10" t="inlineStr">
        <is>
          <t>PRD-0422</t>
        </is>
      </c>
    </row>
    <row r="427">
      <c r="A427" s="16">
        <f>IF($C427="","",IFERROR(IF(INDEX(tbl_Finance[Latest Invoice Date],MATCH($AU427,tbl_Finance[Row ID],0))="","",INDEX(tbl_Finance[Latest Invoice Date],MATCH($AU427,tbl_Finance[Row ID],0))),""))</f>
        <v/>
      </c>
      <c r="B427" s="10">
        <f>IF($C427="","",IFERROR(INDEX(tbl_Finance[Invoice Numbers],MATCH($AU427,tbl_Finance[Row ID],0))&amp;"",""))</f>
        <v/>
      </c>
      <c r="C427" s="37" t="n"/>
      <c r="D427" s="10">
        <f>IF($C427="","",IF(COUNTIF(lst_Jobs,$C427&amp;"")&gt;0,"OK","CHECK"))</f>
        <v/>
      </c>
      <c r="E427" s="10">
        <f>IF($C427="","",IFERROR(INDEX(lst_JobName,MATCH($C427&amp;"",lst_Jobs,0)),""))</f>
        <v/>
      </c>
      <c r="F427" s="37" t="n"/>
      <c r="G427" s="37" t="n"/>
      <c r="H427" s="37" t="n"/>
      <c r="I427" s="37" t="n"/>
      <c r="J427" s="37" t="n"/>
      <c r="K427" s="38">
        <f>IF($C427="","",IFERROR(N(INDEX(tbl_Finance[Invoice Count],MATCH($AU427,tbl_Finance[Row ID],0))),""))</f>
        <v/>
      </c>
      <c r="L427" s="11">
        <f>IF($C427="","",IFERROR(N(INDEX(tbl_Finance[Xero Invoiced Ex GST],MATCH($AU427,tbl_Finance[Row ID],0))),""))</f>
        <v/>
      </c>
      <c r="M427" s="10">
        <f>IF($C427="","",IFERROR(INDEX(tbl_Finance[Compare],MATCH($AU427,tbl_Finance[Row ID],0))&amp;"",""))</f>
        <v/>
      </c>
      <c r="N427" s="11">
        <f>IF($C427="","",MAX(0,N(O427)-N(L427)))</f>
        <v/>
      </c>
      <c r="O427" s="39" t="n"/>
      <c r="P427" s="40">
        <f>IF($C427="","",IF((IF(F427="",", Client","")&amp;IF(G427="",", Description","")&amp;IF(H427="",", Cost Centre","")&amp;IF(I427="",", Invoice Type","")&amp;IF(J427="",", Tax Code","")&amp;IF(O427="",", Expected Revenue","")&amp;IF(COUNTIF(tbl_Finance[Job Number],$C427&amp;"")&gt;1,", Job number used twice",""))="","Complete","Fix: "&amp;MID(IF(F427="",", Client","")&amp;IF(G427="",", Description","")&amp;IF(H427="",", Cost Centre","")&amp;IF(I427="",", Invoice Type","")&amp;IF(J427="",", Tax Code","")&amp;IF(O427="",", Expected Revenue","")&amp;IF(COUNTIF(tbl_Finance[Job Number],$C427&amp;"")&gt;1,", Job number used twice",""),3,300)))</f>
        <v/>
      </c>
      <c r="Q427" s="10">
        <f>IF($C427="","",IF(H427="","(no cost centre)",H427&amp;" - GL "&amp;IFERROR(INDEX(lst_CCtoGL,MATCH(H427,lst_CCforGL,0)),"?")))</f>
        <v/>
      </c>
      <c r="R427" s="11">
        <f>IF($C427="","",IFERROR(N(INDEX(tbl_Finance[Inc GST],MATCH($AU427,tbl_Finance[Row ID],0))),""))</f>
        <v/>
      </c>
      <c r="S427" s="37" t="n"/>
      <c r="T427" s="37" t="n"/>
      <c r="U427" s="37" t="n"/>
      <c r="V427" s="42" t="n"/>
      <c r="W427" s="37" t="n"/>
      <c r="X427" s="10">
        <f>IF(W427="","",IF(AND(LEFT(W427,4)&lt;&gt;"http",set_RMSBase=""),"",HYPERLINK(IF(LEFT(W427,4)="http",W427,set_RMSBase&amp;W427),"Open in RMS")))</f>
        <v/>
      </c>
      <c r="Y427" s="37" t="n"/>
      <c r="Z427" s="10">
        <f>IF(Y427="","",HYPERLINK(IF(LEFT(Y427,4)="http",Y427,set_QwilrBase&amp;Y427),"Open quote"))</f>
        <v/>
      </c>
      <c r="AA427" s="10">
        <f>IF(C427="","",C427)</f>
        <v/>
      </c>
      <c r="AB427" s="37" t="n"/>
      <c r="AC427" s="39" t="n"/>
      <c r="AD427" s="11">
        <f>IF(C427="","",N(L427)+N(AC427))</f>
        <v/>
      </c>
      <c r="AE427" s="43">
        <f>IFERROR(IF(N(AC427)=0,"",AC427/AD427),"")</f>
        <v/>
      </c>
      <c r="AF427" s="39" t="n"/>
      <c r="AG427" s="39" t="n"/>
      <c r="AH427" s="39" t="n"/>
      <c r="AI427" s="39" t="n"/>
      <c r="AJ427" s="11">
        <f>IF(C427="","",IF(H427="VIDEO",N(L427),0))</f>
        <v/>
      </c>
      <c r="AK427" s="43">
        <f>IFERROR(IF(N(L427)=0,"",AJ427/L427),"")</f>
        <v/>
      </c>
      <c r="AL427" s="11">
        <f>IF(C427="","",N(AF427)+N(AG427)+N(AH427)+N(AI427))</f>
        <v/>
      </c>
      <c r="AM427" s="11">
        <f>IF(C427="","",MAX(N(L427),N(O427))-N(AL427))</f>
        <v/>
      </c>
      <c r="AN427" s="43">
        <f>IFERROR(IF(MAX(N(L427),N(O427))=0,"",AM427/MAX(N(L427),N(O427))),"")</f>
        <v/>
      </c>
      <c r="AO427" s="41" t="n"/>
      <c r="AP427" s="41" t="n"/>
      <c r="AQ427" s="41" t="n"/>
      <c r="AR427" s="41" t="n"/>
      <c r="AS427" s="41" t="n"/>
      <c r="AT427" s="37" t="n"/>
      <c r="AU427" s="10" t="inlineStr">
        <is>
          <t>PRD-0423</t>
        </is>
      </c>
    </row>
    <row r="428">
      <c r="A428" s="16">
        <f>IF($C428="","",IFERROR(IF(INDEX(tbl_Finance[Latest Invoice Date],MATCH($AU428,tbl_Finance[Row ID],0))="","",INDEX(tbl_Finance[Latest Invoice Date],MATCH($AU428,tbl_Finance[Row ID],0))),""))</f>
        <v/>
      </c>
      <c r="B428" s="10">
        <f>IF($C428="","",IFERROR(INDEX(tbl_Finance[Invoice Numbers],MATCH($AU428,tbl_Finance[Row ID],0))&amp;"",""))</f>
        <v/>
      </c>
      <c r="C428" s="37" t="n"/>
      <c r="D428" s="10">
        <f>IF($C428="","",IF(COUNTIF(lst_Jobs,$C428&amp;"")&gt;0,"OK","CHECK"))</f>
        <v/>
      </c>
      <c r="E428" s="10">
        <f>IF($C428="","",IFERROR(INDEX(lst_JobName,MATCH($C428&amp;"",lst_Jobs,0)),""))</f>
        <v/>
      </c>
      <c r="F428" s="37" t="n"/>
      <c r="G428" s="37" t="n"/>
      <c r="H428" s="37" t="n"/>
      <c r="I428" s="37" t="n"/>
      <c r="J428" s="37" t="n"/>
      <c r="K428" s="38">
        <f>IF($C428="","",IFERROR(N(INDEX(tbl_Finance[Invoice Count],MATCH($AU428,tbl_Finance[Row ID],0))),""))</f>
        <v/>
      </c>
      <c r="L428" s="11">
        <f>IF($C428="","",IFERROR(N(INDEX(tbl_Finance[Xero Invoiced Ex GST],MATCH($AU428,tbl_Finance[Row ID],0))),""))</f>
        <v/>
      </c>
      <c r="M428" s="10">
        <f>IF($C428="","",IFERROR(INDEX(tbl_Finance[Compare],MATCH($AU428,tbl_Finance[Row ID],0))&amp;"",""))</f>
        <v/>
      </c>
      <c r="N428" s="11">
        <f>IF($C428="","",MAX(0,N(O428)-N(L428)))</f>
        <v/>
      </c>
      <c r="O428" s="39" t="n"/>
      <c r="P428" s="40">
        <f>IF($C428="","",IF((IF(F428="",", Client","")&amp;IF(G428="",", Description","")&amp;IF(H428="",", Cost Centre","")&amp;IF(I428="",", Invoice Type","")&amp;IF(J428="",", Tax Code","")&amp;IF(O428="",", Expected Revenue","")&amp;IF(COUNTIF(tbl_Finance[Job Number],$C428&amp;"")&gt;1,", Job number used twice",""))="","Complete","Fix: "&amp;MID(IF(F428="",", Client","")&amp;IF(G428="",", Description","")&amp;IF(H428="",", Cost Centre","")&amp;IF(I428="",", Invoice Type","")&amp;IF(J428="",", Tax Code","")&amp;IF(O428="",", Expected Revenue","")&amp;IF(COUNTIF(tbl_Finance[Job Number],$C428&amp;"")&gt;1,", Job number used twice",""),3,300)))</f>
        <v/>
      </c>
      <c r="Q428" s="10">
        <f>IF($C428="","",IF(H428="","(no cost centre)",H428&amp;" - GL "&amp;IFERROR(INDEX(lst_CCtoGL,MATCH(H428,lst_CCforGL,0)),"?")))</f>
        <v/>
      </c>
      <c r="R428" s="11">
        <f>IF($C428="","",IFERROR(N(INDEX(tbl_Finance[Inc GST],MATCH($AU428,tbl_Finance[Row ID],0))),""))</f>
        <v/>
      </c>
      <c r="S428" s="37" t="n"/>
      <c r="T428" s="37" t="n"/>
      <c r="U428" s="37" t="n"/>
      <c r="V428" s="42" t="n"/>
      <c r="W428" s="37" t="n"/>
      <c r="X428" s="10">
        <f>IF(W428="","",IF(AND(LEFT(W428,4)&lt;&gt;"http",set_RMSBase=""),"",HYPERLINK(IF(LEFT(W428,4)="http",W428,set_RMSBase&amp;W428),"Open in RMS")))</f>
        <v/>
      </c>
      <c r="Y428" s="37" t="n"/>
      <c r="Z428" s="10">
        <f>IF(Y428="","",HYPERLINK(IF(LEFT(Y428,4)="http",Y428,set_QwilrBase&amp;Y428),"Open quote"))</f>
        <v/>
      </c>
      <c r="AA428" s="10">
        <f>IF(C428="","",C428)</f>
        <v/>
      </c>
      <c r="AB428" s="37" t="n"/>
      <c r="AC428" s="39" t="n"/>
      <c r="AD428" s="11">
        <f>IF(C428="","",N(L428)+N(AC428))</f>
        <v/>
      </c>
      <c r="AE428" s="43">
        <f>IFERROR(IF(N(AC428)=0,"",AC428/AD428),"")</f>
        <v/>
      </c>
      <c r="AF428" s="39" t="n"/>
      <c r="AG428" s="39" t="n"/>
      <c r="AH428" s="39" t="n"/>
      <c r="AI428" s="39" t="n"/>
      <c r="AJ428" s="11">
        <f>IF(C428="","",IF(H428="VIDEO",N(L428),0))</f>
        <v/>
      </c>
      <c r="AK428" s="43">
        <f>IFERROR(IF(N(L428)=0,"",AJ428/L428),"")</f>
        <v/>
      </c>
      <c r="AL428" s="11">
        <f>IF(C428="","",N(AF428)+N(AG428)+N(AH428)+N(AI428))</f>
        <v/>
      </c>
      <c r="AM428" s="11">
        <f>IF(C428="","",MAX(N(L428),N(O428))-N(AL428))</f>
        <v/>
      </c>
      <c r="AN428" s="43">
        <f>IFERROR(IF(MAX(N(L428),N(O428))=0,"",AM428/MAX(N(L428),N(O428))),"")</f>
        <v/>
      </c>
      <c r="AO428" s="41" t="n"/>
      <c r="AP428" s="41" t="n"/>
      <c r="AQ428" s="41" t="n"/>
      <c r="AR428" s="41" t="n"/>
      <c r="AS428" s="41" t="n"/>
      <c r="AT428" s="37" t="n"/>
      <c r="AU428" s="10" t="inlineStr">
        <is>
          <t>PRD-0424</t>
        </is>
      </c>
    </row>
    <row r="429">
      <c r="A429" s="16">
        <f>IF($C429="","",IFERROR(IF(INDEX(tbl_Finance[Latest Invoice Date],MATCH($AU429,tbl_Finance[Row ID],0))="","",INDEX(tbl_Finance[Latest Invoice Date],MATCH($AU429,tbl_Finance[Row ID],0))),""))</f>
        <v/>
      </c>
      <c r="B429" s="10">
        <f>IF($C429="","",IFERROR(INDEX(tbl_Finance[Invoice Numbers],MATCH($AU429,tbl_Finance[Row ID],0))&amp;"",""))</f>
        <v/>
      </c>
      <c r="C429" s="37" t="n"/>
      <c r="D429" s="10">
        <f>IF($C429="","",IF(COUNTIF(lst_Jobs,$C429&amp;"")&gt;0,"OK","CHECK"))</f>
        <v/>
      </c>
      <c r="E429" s="10">
        <f>IF($C429="","",IFERROR(INDEX(lst_JobName,MATCH($C429&amp;"",lst_Jobs,0)),""))</f>
        <v/>
      </c>
      <c r="F429" s="37" t="n"/>
      <c r="G429" s="37" t="n"/>
      <c r="H429" s="37" t="n"/>
      <c r="I429" s="37" t="n"/>
      <c r="J429" s="37" t="n"/>
      <c r="K429" s="38">
        <f>IF($C429="","",IFERROR(N(INDEX(tbl_Finance[Invoice Count],MATCH($AU429,tbl_Finance[Row ID],0))),""))</f>
        <v/>
      </c>
      <c r="L429" s="11">
        <f>IF($C429="","",IFERROR(N(INDEX(tbl_Finance[Xero Invoiced Ex GST],MATCH($AU429,tbl_Finance[Row ID],0))),""))</f>
        <v/>
      </c>
      <c r="M429" s="10">
        <f>IF($C429="","",IFERROR(INDEX(tbl_Finance[Compare],MATCH($AU429,tbl_Finance[Row ID],0))&amp;"",""))</f>
        <v/>
      </c>
      <c r="N429" s="11">
        <f>IF($C429="","",MAX(0,N(O429)-N(L429)))</f>
        <v/>
      </c>
      <c r="O429" s="39" t="n"/>
      <c r="P429" s="40">
        <f>IF($C429="","",IF((IF(F429="",", Client","")&amp;IF(G429="",", Description","")&amp;IF(H429="",", Cost Centre","")&amp;IF(I429="",", Invoice Type","")&amp;IF(J429="",", Tax Code","")&amp;IF(O429="",", Expected Revenue","")&amp;IF(COUNTIF(tbl_Finance[Job Number],$C429&amp;"")&gt;1,", Job number used twice",""))="","Complete","Fix: "&amp;MID(IF(F429="",", Client","")&amp;IF(G429="",", Description","")&amp;IF(H429="",", Cost Centre","")&amp;IF(I429="",", Invoice Type","")&amp;IF(J429="",", Tax Code","")&amp;IF(O429="",", Expected Revenue","")&amp;IF(COUNTIF(tbl_Finance[Job Number],$C429&amp;"")&gt;1,", Job number used twice",""),3,300)))</f>
        <v/>
      </c>
      <c r="Q429" s="10">
        <f>IF($C429="","",IF(H429="","(no cost centre)",H429&amp;" - GL "&amp;IFERROR(INDEX(lst_CCtoGL,MATCH(H429,lst_CCforGL,0)),"?")))</f>
        <v/>
      </c>
      <c r="R429" s="11">
        <f>IF($C429="","",IFERROR(N(INDEX(tbl_Finance[Inc GST],MATCH($AU429,tbl_Finance[Row ID],0))),""))</f>
        <v/>
      </c>
      <c r="S429" s="37" t="n"/>
      <c r="T429" s="37" t="n"/>
      <c r="U429" s="37" t="n"/>
      <c r="V429" s="42" t="n"/>
      <c r="W429" s="37" t="n"/>
      <c r="X429" s="10">
        <f>IF(W429="","",IF(AND(LEFT(W429,4)&lt;&gt;"http",set_RMSBase=""),"",HYPERLINK(IF(LEFT(W429,4)="http",W429,set_RMSBase&amp;W429),"Open in RMS")))</f>
        <v/>
      </c>
      <c r="Y429" s="37" t="n"/>
      <c r="Z429" s="10">
        <f>IF(Y429="","",HYPERLINK(IF(LEFT(Y429,4)="http",Y429,set_QwilrBase&amp;Y429),"Open quote"))</f>
        <v/>
      </c>
      <c r="AA429" s="10">
        <f>IF(C429="","",C429)</f>
        <v/>
      </c>
      <c r="AB429" s="37" t="n"/>
      <c r="AC429" s="39" t="n"/>
      <c r="AD429" s="11">
        <f>IF(C429="","",N(L429)+N(AC429))</f>
        <v/>
      </c>
      <c r="AE429" s="43">
        <f>IFERROR(IF(N(AC429)=0,"",AC429/AD429),"")</f>
        <v/>
      </c>
      <c r="AF429" s="39" t="n"/>
      <c r="AG429" s="39" t="n"/>
      <c r="AH429" s="39" t="n"/>
      <c r="AI429" s="39" t="n"/>
      <c r="AJ429" s="11">
        <f>IF(C429="","",IF(H429="VIDEO",N(L429),0))</f>
        <v/>
      </c>
      <c r="AK429" s="43">
        <f>IFERROR(IF(N(L429)=0,"",AJ429/L429),"")</f>
        <v/>
      </c>
      <c r="AL429" s="11">
        <f>IF(C429="","",N(AF429)+N(AG429)+N(AH429)+N(AI429))</f>
        <v/>
      </c>
      <c r="AM429" s="11">
        <f>IF(C429="","",MAX(N(L429),N(O429))-N(AL429))</f>
        <v/>
      </c>
      <c r="AN429" s="43">
        <f>IFERROR(IF(MAX(N(L429),N(O429))=0,"",AM429/MAX(N(L429),N(O429))),"")</f>
        <v/>
      </c>
      <c r="AO429" s="41" t="n"/>
      <c r="AP429" s="41" t="n"/>
      <c r="AQ429" s="41" t="n"/>
      <c r="AR429" s="41" t="n"/>
      <c r="AS429" s="41" t="n"/>
      <c r="AT429" s="37" t="n"/>
      <c r="AU429" s="10" t="inlineStr">
        <is>
          <t>PRD-0425</t>
        </is>
      </c>
    </row>
    <row r="430">
      <c r="A430" s="16">
        <f>IF($C430="","",IFERROR(IF(INDEX(tbl_Finance[Latest Invoice Date],MATCH($AU430,tbl_Finance[Row ID],0))="","",INDEX(tbl_Finance[Latest Invoice Date],MATCH($AU430,tbl_Finance[Row ID],0))),""))</f>
        <v/>
      </c>
      <c r="B430" s="10">
        <f>IF($C430="","",IFERROR(INDEX(tbl_Finance[Invoice Numbers],MATCH($AU430,tbl_Finance[Row ID],0))&amp;"",""))</f>
        <v/>
      </c>
      <c r="C430" s="37" t="n"/>
      <c r="D430" s="10">
        <f>IF($C430="","",IF(COUNTIF(lst_Jobs,$C430&amp;"")&gt;0,"OK","CHECK"))</f>
        <v/>
      </c>
      <c r="E430" s="10">
        <f>IF($C430="","",IFERROR(INDEX(lst_JobName,MATCH($C430&amp;"",lst_Jobs,0)),""))</f>
        <v/>
      </c>
      <c r="F430" s="37" t="n"/>
      <c r="G430" s="37" t="n"/>
      <c r="H430" s="37" t="n"/>
      <c r="I430" s="37" t="n"/>
      <c r="J430" s="37" t="n"/>
      <c r="K430" s="38">
        <f>IF($C430="","",IFERROR(N(INDEX(tbl_Finance[Invoice Count],MATCH($AU430,tbl_Finance[Row ID],0))),""))</f>
        <v/>
      </c>
      <c r="L430" s="11">
        <f>IF($C430="","",IFERROR(N(INDEX(tbl_Finance[Xero Invoiced Ex GST],MATCH($AU430,tbl_Finance[Row ID],0))),""))</f>
        <v/>
      </c>
      <c r="M430" s="10">
        <f>IF($C430="","",IFERROR(INDEX(tbl_Finance[Compare],MATCH($AU430,tbl_Finance[Row ID],0))&amp;"",""))</f>
        <v/>
      </c>
      <c r="N430" s="11">
        <f>IF($C430="","",MAX(0,N(O430)-N(L430)))</f>
        <v/>
      </c>
      <c r="O430" s="39" t="n"/>
      <c r="P430" s="40">
        <f>IF($C430="","",IF((IF(F430="",", Client","")&amp;IF(G430="",", Description","")&amp;IF(H430="",", Cost Centre","")&amp;IF(I430="",", Invoice Type","")&amp;IF(J430="",", Tax Code","")&amp;IF(O430="",", Expected Revenue","")&amp;IF(COUNTIF(tbl_Finance[Job Number],$C430&amp;"")&gt;1,", Job number used twice",""))="","Complete","Fix: "&amp;MID(IF(F430="",", Client","")&amp;IF(G430="",", Description","")&amp;IF(H430="",", Cost Centre","")&amp;IF(I430="",", Invoice Type","")&amp;IF(J430="",", Tax Code","")&amp;IF(O430="",", Expected Revenue","")&amp;IF(COUNTIF(tbl_Finance[Job Number],$C430&amp;"")&gt;1,", Job number used twice",""),3,300)))</f>
        <v/>
      </c>
      <c r="Q430" s="10">
        <f>IF($C430="","",IF(H430="","(no cost centre)",H430&amp;" - GL "&amp;IFERROR(INDEX(lst_CCtoGL,MATCH(H430,lst_CCforGL,0)),"?")))</f>
        <v/>
      </c>
      <c r="R430" s="11">
        <f>IF($C430="","",IFERROR(N(INDEX(tbl_Finance[Inc GST],MATCH($AU430,tbl_Finance[Row ID],0))),""))</f>
        <v/>
      </c>
      <c r="S430" s="37" t="n"/>
      <c r="T430" s="37" t="n"/>
      <c r="U430" s="37" t="n"/>
      <c r="V430" s="42" t="n"/>
      <c r="W430" s="37" t="n"/>
      <c r="X430" s="10">
        <f>IF(W430="","",IF(AND(LEFT(W430,4)&lt;&gt;"http",set_RMSBase=""),"",HYPERLINK(IF(LEFT(W430,4)="http",W430,set_RMSBase&amp;W430),"Open in RMS")))</f>
        <v/>
      </c>
      <c r="Y430" s="37" t="n"/>
      <c r="Z430" s="10">
        <f>IF(Y430="","",HYPERLINK(IF(LEFT(Y430,4)="http",Y430,set_QwilrBase&amp;Y430),"Open quote"))</f>
        <v/>
      </c>
      <c r="AA430" s="10">
        <f>IF(C430="","",C430)</f>
        <v/>
      </c>
      <c r="AB430" s="37" t="n"/>
      <c r="AC430" s="39" t="n"/>
      <c r="AD430" s="11">
        <f>IF(C430="","",N(L430)+N(AC430))</f>
        <v/>
      </c>
      <c r="AE430" s="43">
        <f>IFERROR(IF(N(AC430)=0,"",AC430/AD430),"")</f>
        <v/>
      </c>
      <c r="AF430" s="39" t="n"/>
      <c r="AG430" s="39" t="n"/>
      <c r="AH430" s="39" t="n"/>
      <c r="AI430" s="39" t="n"/>
      <c r="AJ430" s="11">
        <f>IF(C430="","",IF(H430="VIDEO",N(L430),0))</f>
        <v/>
      </c>
      <c r="AK430" s="43">
        <f>IFERROR(IF(N(L430)=0,"",AJ430/L430),"")</f>
        <v/>
      </c>
      <c r="AL430" s="11">
        <f>IF(C430="","",N(AF430)+N(AG430)+N(AH430)+N(AI430))</f>
        <v/>
      </c>
      <c r="AM430" s="11">
        <f>IF(C430="","",MAX(N(L430),N(O430))-N(AL430))</f>
        <v/>
      </c>
      <c r="AN430" s="43">
        <f>IFERROR(IF(MAX(N(L430),N(O430))=0,"",AM430/MAX(N(L430),N(O430))),"")</f>
        <v/>
      </c>
      <c r="AO430" s="41" t="n"/>
      <c r="AP430" s="41" t="n"/>
      <c r="AQ430" s="41" t="n"/>
      <c r="AR430" s="41" t="n"/>
      <c r="AS430" s="41" t="n"/>
      <c r="AT430" s="37" t="n"/>
      <c r="AU430" s="10" t="inlineStr">
        <is>
          <t>PRD-0426</t>
        </is>
      </c>
    </row>
    <row r="431">
      <c r="A431" s="16">
        <f>IF($C431="","",IFERROR(IF(INDEX(tbl_Finance[Latest Invoice Date],MATCH($AU431,tbl_Finance[Row ID],0))="","",INDEX(tbl_Finance[Latest Invoice Date],MATCH($AU431,tbl_Finance[Row ID],0))),""))</f>
        <v/>
      </c>
      <c r="B431" s="10">
        <f>IF($C431="","",IFERROR(INDEX(tbl_Finance[Invoice Numbers],MATCH($AU431,tbl_Finance[Row ID],0))&amp;"",""))</f>
        <v/>
      </c>
      <c r="C431" s="37" t="n"/>
      <c r="D431" s="10">
        <f>IF($C431="","",IF(COUNTIF(lst_Jobs,$C431&amp;"")&gt;0,"OK","CHECK"))</f>
        <v/>
      </c>
      <c r="E431" s="10">
        <f>IF($C431="","",IFERROR(INDEX(lst_JobName,MATCH($C431&amp;"",lst_Jobs,0)),""))</f>
        <v/>
      </c>
      <c r="F431" s="37" t="n"/>
      <c r="G431" s="37" t="n"/>
      <c r="H431" s="37" t="n"/>
      <c r="I431" s="37" t="n"/>
      <c r="J431" s="37" t="n"/>
      <c r="K431" s="38">
        <f>IF($C431="","",IFERROR(N(INDEX(tbl_Finance[Invoice Count],MATCH($AU431,tbl_Finance[Row ID],0))),""))</f>
        <v/>
      </c>
      <c r="L431" s="11">
        <f>IF($C431="","",IFERROR(N(INDEX(tbl_Finance[Xero Invoiced Ex GST],MATCH($AU431,tbl_Finance[Row ID],0))),""))</f>
        <v/>
      </c>
      <c r="M431" s="10">
        <f>IF($C431="","",IFERROR(INDEX(tbl_Finance[Compare],MATCH($AU431,tbl_Finance[Row ID],0))&amp;"",""))</f>
        <v/>
      </c>
      <c r="N431" s="11">
        <f>IF($C431="","",MAX(0,N(O431)-N(L431)))</f>
        <v/>
      </c>
      <c r="O431" s="39" t="n"/>
      <c r="P431" s="40">
        <f>IF($C431="","",IF((IF(F431="",", Client","")&amp;IF(G431="",", Description","")&amp;IF(H431="",", Cost Centre","")&amp;IF(I431="",", Invoice Type","")&amp;IF(J431="",", Tax Code","")&amp;IF(O431="",", Expected Revenue","")&amp;IF(COUNTIF(tbl_Finance[Job Number],$C431&amp;"")&gt;1,", Job number used twice",""))="","Complete","Fix: "&amp;MID(IF(F431="",", Client","")&amp;IF(G431="",", Description","")&amp;IF(H431="",", Cost Centre","")&amp;IF(I431="",", Invoice Type","")&amp;IF(J431="",", Tax Code","")&amp;IF(O431="",", Expected Revenue","")&amp;IF(COUNTIF(tbl_Finance[Job Number],$C431&amp;"")&gt;1,", Job number used twice",""),3,300)))</f>
        <v/>
      </c>
      <c r="Q431" s="10">
        <f>IF($C431="","",IF(H431="","(no cost centre)",H431&amp;" - GL "&amp;IFERROR(INDEX(lst_CCtoGL,MATCH(H431,lst_CCforGL,0)),"?")))</f>
        <v/>
      </c>
      <c r="R431" s="11">
        <f>IF($C431="","",IFERROR(N(INDEX(tbl_Finance[Inc GST],MATCH($AU431,tbl_Finance[Row ID],0))),""))</f>
        <v/>
      </c>
      <c r="S431" s="37" t="n"/>
      <c r="T431" s="37" t="n"/>
      <c r="U431" s="37" t="n"/>
      <c r="V431" s="42" t="n"/>
      <c r="W431" s="37" t="n"/>
      <c r="X431" s="10">
        <f>IF(W431="","",IF(AND(LEFT(W431,4)&lt;&gt;"http",set_RMSBase=""),"",HYPERLINK(IF(LEFT(W431,4)="http",W431,set_RMSBase&amp;W431),"Open in RMS")))</f>
        <v/>
      </c>
      <c r="Y431" s="37" t="n"/>
      <c r="Z431" s="10">
        <f>IF(Y431="","",HYPERLINK(IF(LEFT(Y431,4)="http",Y431,set_QwilrBase&amp;Y431),"Open quote"))</f>
        <v/>
      </c>
      <c r="AA431" s="10">
        <f>IF(C431="","",C431)</f>
        <v/>
      </c>
      <c r="AB431" s="37" t="n"/>
      <c r="AC431" s="39" t="n"/>
      <c r="AD431" s="11">
        <f>IF(C431="","",N(L431)+N(AC431))</f>
        <v/>
      </c>
      <c r="AE431" s="43">
        <f>IFERROR(IF(N(AC431)=0,"",AC431/AD431),"")</f>
        <v/>
      </c>
      <c r="AF431" s="39" t="n"/>
      <c r="AG431" s="39" t="n"/>
      <c r="AH431" s="39" t="n"/>
      <c r="AI431" s="39" t="n"/>
      <c r="AJ431" s="11">
        <f>IF(C431="","",IF(H431="VIDEO",N(L431),0))</f>
        <v/>
      </c>
      <c r="AK431" s="43">
        <f>IFERROR(IF(N(L431)=0,"",AJ431/L431),"")</f>
        <v/>
      </c>
      <c r="AL431" s="11">
        <f>IF(C431="","",N(AF431)+N(AG431)+N(AH431)+N(AI431))</f>
        <v/>
      </c>
      <c r="AM431" s="11">
        <f>IF(C431="","",MAX(N(L431),N(O431))-N(AL431))</f>
        <v/>
      </c>
      <c r="AN431" s="43">
        <f>IFERROR(IF(MAX(N(L431),N(O431))=0,"",AM431/MAX(N(L431),N(O431))),"")</f>
        <v/>
      </c>
      <c r="AO431" s="41" t="n"/>
      <c r="AP431" s="41" t="n"/>
      <c r="AQ431" s="41" t="n"/>
      <c r="AR431" s="41" t="n"/>
      <c r="AS431" s="41" t="n"/>
      <c r="AT431" s="37" t="n"/>
      <c r="AU431" s="10" t="inlineStr">
        <is>
          <t>PRD-0427</t>
        </is>
      </c>
    </row>
    <row r="432">
      <c r="A432" s="16">
        <f>IF($C432="","",IFERROR(IF(INDEX(tbl_Finance[Latest Invoice Date],MATCH($AU432,tbl_Finance[Row ID],0))="","",INDEX(tbl_Finance[Latest Invoice Date],MATCH($AU432,tbl_Finance[Row ID],0))),""))</f>
        <v/>
      </c>
      <c r="B432" s="10">
        <f>IF($C432="","",IFERROR(INDEX(tbl_Finance[Invoice Numbers],MATCH($AU432,tbl_Finance[Row ID],0))&amp;"",""))</f>
        <v/>
      </c>
      <c r="C432" s="37" t="n"/>
      <c r="D432" s="10">
        <f>IF($C432="","",IF(COUNTIF(lst_Jobs,$C432&amp;"")&gt;0,"OK","CHECK"))</f>
        <v/>
      </c>
      <c r="E432" s="10">
        <f>IF($C432="","",IFERROR(INDEX(lst_JobName,MATCH($C432&amp;"",lst_Jobs,0)),""))</f>
        <v/>
      </c>
      <c r="F432" s="37" t="n"/>
      <c r="G432" s="37" t="n"/>
      <c r="H432" s="37" t="n"/>
      <c r="I432" s="37" t="n"/>
      <c r="J432" s="37" t="n"/>
      <c r="K432" s="38">
        <f>IF($C432="","",IFERROR(N(INDEX(tbl_Finance[Invoice Count],MATCH($AU432,tbl_Finance[Row ID],0))),""))</f>
        <v/>
      </c>
      <c r="L432" s="11">
        <f>IF($C432="","",IFERROR(N(INDEX(tbl_Finance[Xero Invoiced Ex GST],MATCH($AU432,tbl_Finance[Row ID],0))),""))</f>
        <v/>
      </c>
      <c r="M432" s="10">
        <f>IF($C432="","",IFERROR(INDEX(tbl_Finance[Compare],MATCH($AU432,tbl_Finance[Row ID],0))&amp;"",""))</f>
        <v/>
      </c>
      <c r="N432" s="11">
        <f>IF($C432="","",MAX(0,N(O432)-N(L432)))</f>
        <v/>
      </c>
      <c r="O432" s="39" t="n"/>
      <c r="P432" s="40">
        <f>IF($C432="","",IF((IF(F432="",", Client","")&amp;IF(G432="",", Description","")&amp;IF(H432="",", Cost Centre","")&amp;IF(I432="",", Invoice Type","")&amp;IF(J432="",", Tax Code","")&amp;IF(O432="",", Expected Revenue","")&amp;IF(COUNTIF(tbl_Finance[Job Number],$C432&amp;"")&gt;1,", Job number used twice",""))="","Complete","Fix: "&amp;MID(IF(F432="",", Client","")&amp;IF(G432="",", Description","")&amp;IF(H432="",", Cost Centre","")&amp;IF(I432="",", Invoice Type","")&amp;IF(J432="",", Tax Code","")&amp;IF(O432="",", Expected Revenue","")&amp;IF(COUNTIF(tbl_Finance[Job Number],$C432&amp;"")&gt;1,", Job number used twice",""),3,300)))</f>
        <v/>
      </c>
      <c r="Q432" s="10">
        <f>IF($C432="","",IF(H432="","(no cost centre)",H432&amp;" - GL "&amp;IFERROR(INDEX(lst_CCtoGL,MATCH(H432,lst_CCforGL,0)),"?")))</f>
        <v/>
      </c>
      <c r="R432" s="11">
        <f>IF($C432="","",IFERROR(N(INDEX(tbl_Finance[Inc GST],MATCH($AU432,tbl_Finance[Row ID],0))),""))</f>
        <v/>
      </c>
      <c r="S432" s="37" t="n"/>
      <c r="T432" s="37" t="n"/>
      <c r="U432" s="37" t="n"/>
      <c r="V432" s="42" t="n"/>
      <c r="W432" s="37" t="n"/>
      <c r="X432" s="10">
        <f>IF(W432="","",IF(AND(LEFT(W432,4)&lt;&gt;"http",set_RMSBase=""),"",HYPERLINK(IF(LEFT(W432,4)="http",W432,set_RMSBase&amp;W432),"Open in RMS")))</f>
        <v/>
      </c>
      <c r="Y432" s="37" t="n"/>
      <c r="Z432" s="10">
        <f>IF(Y432="","",HYPERLINK(IF(LEFT(Y432,4)="http",Y432,set_QwilrBase&amp;Y432),"Open quote"))</f>
        <v/>
      </c>
      <c r="AA432" s="10">
        <f>IF(C432="","",C432)</f>
        <v/>
      </c>
      <c r="AB432" s="37" t="n"/>
      <c r="AC432" s="39" t="n"/>
      <c r="AD432" s="11">
        <f>IF(C432="","",N(L432)+N(AC432))</f>
        <v/>
      </c>
      <c r="AE432" s="43">
        <f>IFERROR(IF(N(AC432)=0,"",AC432/AD432),"")</f>
        <v/>
      </c>
      <c r="AF432" s="39" t="n"/>
      <c r="AG432" s="39" t="n"/>
      <c r="AH432" s="39" t="n"/>
      <c r="AI432" s="39" t="n"/>
      <c r="AJ432" s="11">
        <f>IF(C432="","",IF(H432="VIDEO",N(L432),0))</f>
        <v/>
      </c>
      <c r="AK432" s="43">
        <f>IFERROR(IF(N(L432)=0,"",AJ432/L432),"")</f>
        <v/>
      </c>
      <c r="AL432" s="11">
        <f>IF(C432="","",N(AF432)+N(AG432)+N(AH432)+N(AI432))</f>
        <v/>
      </c>
      <c r="AM432" s="11">
        <f>IF(C432="","",MAX(N(L432),N(O432))-N(AL432))</f>
        <v/>
      </c>
      <c r="AN432" s="43">
        <f>IFERROR(IF(MAX(N(L432),N(O432))=0,"",AM432/MAX(N(L432),N(O432))),"")</f>
        <v/>
      </c>
      <c r="AO432" s="41" t="n"/>
      <c r="AP432" s="41" t="n"/>
      <c r="AQ432" s="41" t="n"/>
      <c r="AR432" s="41" t="n"/>
      <c r="AS432" s="41" t="n"/>
      <c r="AT432" s="37" t="n"/>
      <c r="AU432" s="10" t="inlineStr">
        <is>
          <t>PRD-0428</t>
        </is>
      </c>
    </row>
    <row r="433">
      <c r="A433" s="16">
        <f>IF($C433="","",IFERROR(IF(INDEX(tbl_Finance[Latest Invoice Date],MATCH($AU433,tbl_Finance[Row ID],0))="","",INDEX(tbl_Finance[Latest Invoice Date],MATCH($AU433,tbl_Finance[Row ID],0))),""))</f>
        <v/>
      </c>
      <c r="B433" s="10">
        <f>IF($C433="","",IFERROR(INDEX(tbl_Finance[Invoice Numbers],MATCH($AU433,tbl_Finance[Row ID],0))&amp;"",""))</f>
        <v/>
      </c>
      <c r="C433" s="37" t="n"/>
      <c r="D433" s="10">
        <f>IF($C433="","",IF(COUNTIF(lst_Jobs,$C433&amp;"")&gt;0,"OK","CHECK"))</f>
        <v/>
      </c>
      <c r="E433" s="10">
        <f>IF($C433="","",IFERROR(INDEX(lst_JobName,MATCH($C433&amp;"",lst_Jobs,0)),""))</f>
        <v/>
      </c>
      <c r="F433" s="37" t="n"/>
      <c r="G433" s="37" t="n"/>
      <c r="H433" s="37" t="n"/>
      <c r="I433" s="37" t="n"/>
      <c r="J433" s="37" t="n"/>
      <c r="K433" s="38">
        <f>IF($C433="","",IFERROR(N(INDEX(tbl_Finance[Invoice Count],MATCH($AU433,tbl_Finance[Row ID],0))),""))</f>
        <v/>
      </c>
      <c r="L433" s="11">
        <f>IF($C433="","",IFERROR(N(INDEX(tbl_Finance[Xero Invoiced Ex GST],MATCH($AU433,tbl_Finance[Row ID],0))),""))</f>
        <v/>
      </c>
      <c r="M433" s="10">
        <f>IF($C433="","",IFERROR(INDEX(tbl_Finance[Compare],MATCH($AU433,tbl_Finance[Row ID],0))&amp;"",""))</f>
        <v/>
      </c>
      <c r="N433" s="11">
        <f>IF($C433="","",MAX(0,N(O433)-N(L433)))</f>
        <v/>
      </c>
      <c r="O433" s="39" t="n"/>
      <c r="P433" s="40">
        <f>IF($C433="","",IF((IF(F433="",", Client","")&amp;IF(G433="",", Description","")&amp;IF(H433="",", Cost Centre","")&amp;IF(I433="",", Invoice Type","")&amp;IF(J433="",", Tax Code","")&amp;IF(O433="",", Expected Revenue","")&amp;IF(COUNTIF(tbl_Finance[Job Number],$C433&amp;"")&gt;1,", Job number used twice",""))="","Complete","Fix: "&amp;MID(IF(F433="",", Client","")&amp;IF(G433="",", Description","")&amp;IF(H433="",", Cost Centre","")&amp;IF(I433="",", Invoice Type","")&amp;IF(J433="",", Tax Code","")&amp;IF(O433="",", Expected Revenue","")&amp;IF(COUNTIF(tbl_Finance[Job Number],$C433&amp;"")&gt;1,", Job number used twice",""),3,300)))</f>
        <v/>
      </c>
      <c r="Q433" s="10">
        <f>IF($C433="","",IF(H433="","(no cost centre)",H433&amp;" - GL "&amp;IFERROR(INDEX(lst_CCtoGL,MATCH(H433,lst_CCforGL,0)),"?")))</f>
        <v/>
      </c>
      <c r="R433" s="11">
        <f>IF($C433="","",IFERROR(N(INDEX(tbl_Finance[Inc GST],MATCH($AU433,tbl_Finance[Row ID],0))),""))</f>
        <v/>
      </c>
      <c r="S433" s="37" t="n"/>
      <c r="T433" s="37" t="n"/>
      <c r="U433" s="37" t="n"/>
      <c r="V433" s="42" t="n"/>
      <c r="W433" s="37" t="n"/>
      <c r="X433" s="10">
        <f>IF(W433="","",IF(AND(LEFT(W433,4)&lt;&gt;"http",set_RMSBase=""),"",HYPERLINK(IF(LEFT(W433,4)="http",W433,set_RMSBase&amp;W433),"Open in RMS")))</f>
        <v/>
      </c>
      <c r="Y433" s="37" t="n"/>
      <c r="Z433" s="10">
        <f>IF(Y433="","",HYPERLINK(IF(LEFT(Y433,4)="http",Y433,set_QwilrBase&amp;Y433),"Open quote"))</f>
        <v/>
      </c>
      <c r="AA433" s="10">
        <f>IF(C433="","",C433)</f>
        <v/>
      </c>
      <c r="AB433" s="37" t="n"/>
      <c r="AC433" s="39" t="n"/>
      <c r="AD433" s="11">
        <f>IF(C433="","",N(L433)+N(AC433))</f>
        <v/>
      </c>
      <c r="AE433" s="43">
        <f>IFERROR(IF(N(AC433)=0,"",AC433/AD433),"")</f>
        <v/>
      </c>
      <c r="AF433" s="39" t="n"/>
      <c r="AG433" s="39" t="n"/>
      <c r="AH433" s="39" t="n"/>
      <c r="AI433" s="39" t="n"/>
      <c r="AJ433" s="11">
        <f>IF(C433="","",IF(H433="VIDEO",N(L433),0))</f>
        <v/>
      </c>
      <c r="AK433" s="43">
        <f>IFERROR(IF(N(L433)=0,"",AJ433/L433),"")</f>
        <v/>
      </c>
      <c r="AL433" s="11">
        <f>IF(C433="","",N(AF433)+N(AG433)+N(AH433)+N(AI433))</f>
        <v/>
      </c>
      <c r="AM433" s="11">
        <f>IF(C433="","",MAX(N(L433),N(O433))-N(AL433))</f>
        <v/>
      </c>
      <c r="AN433" s="43">
        <f>IFERROR(IF(MAX(N(L433),N(O433))=0,"",AM433/MAX(N(L433),N(O433))),"")</f>
        <v/>
      </c>
      <c r="AO433" s="41" t="n"/>
      <c r="AP433" s="41" t="n"/>
      <c r="AQ433" s="41" t="n"/>
      <c r="AR433" s="41" t="n"/>
      <c r="AS433" s="41" t="n"/>
      <c r="AT433" s="37" t="n"/>
      <c r="AU433" s="10" t="inlineStr">
        <is>
          <t>PRD-0429</t>
        </is>
      </c>
    </row>
    <row r="434">
      <c r="A434" s="16">
        <f>IF($C434="","",IFERROR(IF(INDEX(tbl_Finance[Latest Invoice Date],MATCH($AU434,tbl_Finance[Row ID],0))="","",INDEX(tbl_Finance[Latest Invoice Date],MATCH($AU434,tbl_Finance[Row ID],0))),""))</f>
        <v/>
      </c>
      <c r="B434" s="10">
        <f>IF($C434="","",IFERROR(INDEX(tbl_Finance[Invoice Numbers],MATCH($AU434,tbl_Finance[Row ID],0))&amp;"",""))</f>
        <v/>
      </c>
      <c r="C434" s="37" t="n"/>
      <c r="D434" s="10">
        <f>IF($C434="","",IF(COUNTIF(lst_Jobs,$C434&amp;"")&gt;0,"OK","CHECK"))</f>
        <v/>
      </c>
      <c r="E434" s="10">
        <f>IF($C434="","",IFERROR(INDEX(lst_JobName,MATCH($C434&amp;"",lst_Jobs,0)),""))</f>
        <v/>
      </c>
      <c r="F434" s="37" t="n"/>
      <c r="G434" s="37" t="n"/>
      <c r="H434" s="37" t="n"/>
      <c r="I434" s="37" t="n"/>
      <c r="J434" s="37" t="n"/>
      <c r="K434" s="38">
        <f>IF($C434="","",IFERROR(N(INDEX(tbl_Finance[Invoice Count],MATCH($AU434,tbl_Finance[Row ID],0))),""))</f>
        <v/>
      </c>
      <c r="L434" s="11">
        <f>IF($C434="","",IFERROR(N(INDEX(tbl_Finance[Xero Invoiced Ex GST],MATCH($AU434,tbl_Finance[Row ID],0))),""))</f>
        <v/>
      </c>
      <c r="M434" s="10">
        <f>IF($C434="","",IFERROR(INDEX(tbl_Finance[Compare],MATCH($AU434,tbl_Finance[Row ID],0))&amp;"",""))</f>
        <v/>
      </c>
      <c r="N434" s="11">
        <f>IF($C434="","",MAX(0,N(O434)-N(L434)))</f>
        <v/>
      </c>
      <c r="O434" s="39" t="n"/>
      <c r="P434" s="40">
        <f>IF($C434="","",IF((IF(F434="",", Client","")&amp;IF(G434="",", Description","")&amp;IF(H434="",", Cost Centre","")&amp;IF(I434="",", Invoice Type","")&amp;IF(J434="",", Tax Code","")&amp;IF(O434="",", Expected Revenue","")&amp;IF(COUNTIF(tbl_Finance[Job Number],$C434&amp;"")&gt;1,", Job number used twice",""))="","Complete","Fix: "&amp;MID(IF(F434="",", Client","")&amp;IF(G434="",", Description","")&amp;IF(H434="",", Cost Centre","")&amp;IF(I434="",", Invoice Type","")&amp;IF(J434="",", Tax Code","")&amp;IF(O434="",", Expected Revenue","")&amp;IF(COUNTIF(tbl_Finance[Job Number],$C434&amp;"")&gt;1,", Job number used twice",""),3,300)))</f>
        <v/>
      </c>
      <c r="Q434" s="10">
        <f>IF($C434="","",IF(H434="","(no cost centre)",H434&amp;" - GL "&amp;IFERROR(INDEX(lst_CCtoGL,MATCH(H434,lst_CCforGL,0)),"?")))</f>
        <v/>
      </c>
      <c r="R434" s="11">
        <f>IF($C434="","",IFERROR(N(INDEX(tbl_Finance[Inc GST],MATCH($AU434,tbl_Finance[Row ID],0))),""))</f>
        <v/>
      </c>
      <c r="S434" s="37" t="n"/>
      <c r="T434" s="37" t="n"/>
      <c r="U434" s="37" t="n"/>
      <c r="V434" s="42" t="n"/>
      <c r="W434" s="37" t="n"/>
      <c r="X434" s="10">
        <f>IF(W434="","",IF(AND(LEFT(W434,4)&lt;&gt;"http",set_RMSBase=""),"",HYPERLINK(IF(LEFT(W434,4)="http",W434,set_RMSBase&amp;W434),"Open in RMS")))</f>
        <v/>
      </c>
      <c r="Y434" s="37" t="n"/>
      <c r="Z434" s="10">
        <f>IF(Y434="","",HYPERLINK(IF(LEFT(Y434,4)="http",Y434,set_QwilrBase&amp;Y434),"Open quote"))</f>
        <v/>
      </c>
      <c r="AA434" s="10">
        <f>IF(C434="","",C434)</f>
        <v/>
      </c>
      <c r="AB434" s="37" t="n"/>
      <c r="AC434" s="39" t="n"/>
      <c r="AD434" s="11">
        <f>IF(C434="","",N(L434)+N(AC434))</f>
        <v/>
      </c>
      <c r="AE434" s="43">
        <f>IFERROR(IF(N(AC434)=0,"",AC434/AD434),"")</f>
        <v/>
      </c>
      <c r="AF434" s="39" t="n"/>
      <c r="AG434" s="39" t="n"/>
      <c r="AH434" s="39" t="n"/>
      <c r="AI434" s="39" t="n"/>
      <c r="AJ434" s="11">
        <f>IF(C434="","",IF(H434="VIDEO",N(L434),0))</f>
        <v/>
      </c>
      <c r="AK434" s="43">
        <f>IFERROR(IF(N(L434)=0,"",AJ434/L434),"")</f>
        <v/>
      </c>
      <c r="AL434" s="11">
        <f>IF(C434="","",N(AF434)+N(AG434)+N(AH434)+N(AI434))</f>
        <v/>
      </c>
      <c r="AM434" s="11">
        <f>IF(C434="","",MAX(N(L434),N(O434))-N(AL434))</f>
        <v/>
      </c>
      <c r="AN434" s="43">
        <f>IFERROR(IF(MAX(N(L434),N(O434))=0,"",AM434/MAX(N(L434),N(O434))),"")</f>
        <v/>
      </c>
      <c r="AO434" s="41" t="n"/>
      <c r="AP434" s="41" t="n"/>
      <c r="AQ434" s="41" t="n"/>
      <c r="AR434" s="41" t="n"/>
      <c r="AS434" s="41" t="n"/>
      <c r="AT434" s="37" t="n"/>
      <c r="AU434" s="10" t="inlineStr">
        <is>
          <t>PRD-0430</t>
        </is>
      </c>
    </row>
    <row r="435">
      <c r="A435" s="16">
        <f>IF($C435="","",IFERROR(IF(INDEX(tbl_Finance[Latest Invoice Date],MATCH($AU435,tbl_Finance[Row ID],0))="","",INDEX(tbl_Finance[Latest Invoice Date],MATCH($AU435,tbl_Finance[Row ID],0))),""))</f>
        <v/>
      </c>
      <c r="B435" s="10">
        <f>IF($C435="","",IFERROR(INDEX(tbl_Finance[Invoice Numbers],MATCH($AU435,tbl_Finance[Row ID],0))&amp;"",""))</f>
        <v/>
      </c>
      <c r="C435" s="37" t="n"/>
      <c r="D435" s="10">
        <f>IF($C435="","",IF(COUNTIF(lst_Jobs,$C435&amp;"")&gt;0,"OK","CHECK"))</f>
        <v/>
      </c>
      <c r="E435" s="10">
        <f>IF($C435="","",IFERROR(INDEX(lst_JobName,MATCH($C435&amp;"",lst_Jobs,0)),""))</f>
        <v/>
      </c>
      <c r="F435" s="37" t="n"/>
      <c r="G435" s="37" t="n"/>
      <c r="H435" s="37" t="n"/>
      <c r="I435" s="37" t="n"/>
      <c r="J435" s="37" t="n"/>
      <c r="K435" s="38">
        <f>IF($C435="","",IFERROR(N(INDEX(tbl_Finance[Invoice Count],MATCH($AU435,tbl_Finance[Row ID],0))),""))</f>
        <v/>
      </c>
      <c r="L435" s="11">
        <f>IF($C435="","",IFERROR(N(INDEX(tbl_Finance[Xero Invoiced Ex GST],MATCH($AU435,tbl_Finance[Row ID],0))),""))</f>
        <v/>
      </c>
      <c r="M435" s="10">
        <f>IF($C435="","",IFERROR(INDEX(tbl_Finance[Compare],MATCH($AU435,tbl_Finance[Row ID],0))&amp;"",""))</f>
        <v/>
      </c>
      <c r="N435" s="11">
        <f>IF($C435="","",MAX(0,N(O435)-N(L435)))</f>
        <v/>
      </c>
      <c r="O435" s="39" t="n"/>
      <c r="P435" s="40">
        <f>IF($C435="","",IF((IF(F435="",", Client","")&amp;IF(G435="",", Description","")&amp;IF(H435="",", Cost Centre","")&amp;IF(I435="",", Invoice Type","")&amp;IF(J435="",", Tax Code","")&amp;IF(O435="",", Expected Revenue","")&amp;IF(COUNTIF(tbl_Finance[Job Number],$C435&amp;"")&gt;1,", Job number used twice",""))="","Complete","Fix: "&amp;MID(IF(F435="",", Client","")&amp;IF(G435="",", Description","")&amp;IF(H435="",", Cost Centre","")&amp;IF(I435="",", Invoice Type","")&amp;IF(J435="",", Tax Code","")&amp;IF(O435="",", Expected Revenue","")&amp;IF(COUNTIF(tbl_Finance[Job Number],$C435&amp;"")&gt;1,", Job number used twice",""),3,300)))</f>
        <v/>
      </c>
      <c r="Q435" s="10">
        <f>IF($C435="","",IF(H435="","(no cost centre)",H435&amp;" - GL "&amp;IFERROR(INDEX(lst_CCtoGL,MATCH(H435,lst_CCforGL,0)),"?")))</f>
        <v/>
      </c>
      <c r="R435" s="11">
        <f>IF($C435="","",IFERROR(N(INDEX(tbl_Finance[Inc GST],MATCH($AU435,tbl_Finance[Row ID],0))),""))</f>
        <v/>
      </c>
      <c r="S435" s="37" t="n"/>
      <c r="T435" s="37" t="n"/>
      <c r="U435" s="37" t="n"/>
      <c r="V435" s="42" t="n"/>
      <c r="W435" s="37" t="n"/>
      <c r="X435" s="10">
        <f>IF(W435="","",IF(AND(LEFT(W435,4)&lt;&gt;"http",set_RMSBase=""),"",HYPERLINK(IF(LEFT(W435,4)="http",W435,set_RMSBase&amp;W435),"Open in RMS")))</f>
        <v/>
      </c>
      <c r="Y435" s="37" t="n"/>
      <c r="Z435" s="10">
        <f>IF(Y435="","",HYPERLINK(IF(LEFT(Y435,4)="http",Y435,set_QwilrBase&amp;Y435),"Open quote"))</f>
        <v/>
      </c>
      <c r="AA435" s="10">
        <f>IF(C435="","",C435)</f>
        <v/>
      </c>
      <c r="AB435" s="37" t="n"/>
      <c r="AC435" s="39" t="n"/>
      <c r="AD435" s="11">
        <f>IF(C435="","",N(L435)+N(AC435))</f>
        <v/>
      </c>
      <c r="AE435" s="43">
        <f>IFERROR(IF(N(AC435)=0,"",AC435/AD435),"")</f>
        <v/>
      </c>
      <c r="AF435" s="39" t="n"/>
      <c r="AG435" s="39" t="n"/>
      <c r="AH435" s="39" t="n"/>
      <c r="AI435" s="39" t="n"/>
      <c r="AJ435" s="11">
        <f>IF(C435="","",IF(H435="VIDEO",N(L435),0))</f>
        <v/>
      </c>
      <c r="AK435" s="43">
        <f>IFERROR(IF(N(L435)=0,"",AJ435/L435),"")</f>
        <v/>
      </c>
      <c r="AL435" s="11">
        <f>IF(C435="","",N(AF435)+N(AG435)+N(AH435)+N(AI435))</f>
        <v/>
      </c>
      <c r="AM435" s="11">
        <f>IF(C435="","",MAX(N(L435),N(O435))-N(AL435))</f>
        <v/>
      </c>
      <c r="AN435" s="43">
        <f>IFERROR(IF(MAX(N(L435),N(O435))=0,"",AM435/MAX(N(L435),N(O435))),"")</f>
        <v/>
      </c>
      <c r="AO435" s="41" t="n"/>
      <c r="AP435" s="41" t="n"/>
      <c r="AQ435" s="41" t="n"/>
      <c r="AR435" s="41" t="n"/>
      <c r="AS435" s="41" t="n"/>
      <c r="AT435" s="37" t="n"/>
      <c r="AU435" s="10" t="inlineStr">
        <is>
          <t>PRD-0431</t>
        </is>
      </c>
    </row>
    <row r="436">
      <c r="A436" s="16">
        <f>IF($C436="","",IFERROR(IF(INDEX(tbl_Finance[Latest Invoice Date],MATCH($AU436,tbl_Finance[Row ID],0))="","",INDEX(tbl_Finance[Latest Invoice Date],MATCH($AU436,tbl_Finance[Row ID],0))),""))</f>
        <v/>
      </c>
      <c r="B436" s="10">
        <f>IF($C436="","",IFERROR(INDEX(tbl_Finance[Invoice Numbers],MATCH($AU436,tbl_Finance[Row ID],0))&amp;"",""))</f>
        <v/>
      </c>
      <c r="C436" s="37" t="n"/>
      <c r="D436" s="10">
        <f>IF($C436="","",IF(COUNTIF(lst_Jobs,$C436&amp;"")&gt;0,"OK","CHECK"))</f>
        <v/>
      </c>
      <c r="E436" s="10">
        <f>IF($C436="","",IFERROR(INDEX(lst_JobName,MATCH($C436&amp;"",lst_Jobs,0)),""))</f>
        <v/>
      </c>
      <c r="F436" s="37" t="n"/>
      <c r="G436" s="37" t="n"/>
      <c r="H436" s="37" t="n"/>
      <c r="I436" s="37" t="n"/>
      <c r="J436" s="37" t="n"/>
      <c r="K436" s="38">
        <f>IF($C436="","",IFERROR(N(INDEX(tbl_Finance[Invoice Count],MATCH($AU436,tbl_Finance[Row ID],0))),""))</f>
        <v/>
      </c>
      <c r="L436" s="11">
        <f>IF($C436="","",IFERROR(N(INDEX(tbl_Finance[Xero Invoiced Ex GST],MATCH($AU436,tbl_Finance[Row ID],0))),""))</f>
        <v/>
      </c>
      <c r="M436" s="10">
        <f>IF($C436="","",IFERROR(INDEX(tbl_Finance[Compare],MATCH($AU436,tbl_Finance[Row ID],0))&amp;"",""))</f>
        <v/>
      </c>
      <c r="N436" s="11">
        <f>IF($C436="","",MAX(0,N(O436)-N(L436)))</f>
        <v/>
      </c>
      <c r="O436" s="39" t="n"/>
      <c r="P436" s="40">
        <f>IF($C436="","",IF((IF(F436="",", Client","")&amp;IF(G436="",", Description","")&amp;IF(H436="",", Cost Centre","")&amp;IF(I436="",", Invoice Type","")&amp;IF(J436="",", Tax Code","")&amp;IF(O436="",", Expected Revenue","")&amp;IF(COUNTIF(tbl_Finance[Job Number],$C436&amp;"")&gt;1,", Job number used twice",""))="","Complete","Fix: "&amp;MID(IF(F436="",", Client","")&amp;IF(G436="",", Description","")&amp;IF(H436="",", Cost Centre","")&amp;IF(I436="",", Invoice Type","")&amp;IF(J436="",", Tax Code","")&amp;IF(O436="",", Expected Revenue","")&amp;IF(COUNTIF(tbl_Finance[Job Number],$C436&amp;"")&gt;1,", Job number used twice",""),3,300)))</f>
        <v/>
      </c>
      <c r="Q436" s="10">
        <f>IF($C436="","",IF(H436="","(no cost centre)",H436&amp;" - GL "&amp;IFERROR(INDEX(lst_CCtoGL,MATCH(H436,lst_CCforGL,0)),"?")))</f>
        <v/>
      </c>
      <c r="R436" s="11">
        <f>IF($C436="","",IFERROR(N(INDEX(tbl_Finance[Inc GST],MATCH($AU436,tbl_Finance[Row ID],0))),""))</f>
        <v/>
      </c>
      <c r="S436" s="37" t="n"/>
      <c r="T436" s="37" t="n"/>
      <c r="U436" s="37" t="n"/>
      <c r="V436" s="42" t="n"/>
      <c r="W436" s="37" t="n"/>
      <c r="X436" s="10">
        <f>IF(W436="","",IF(AND(LEFT(W436,4)&lt;&gt;"http",set_RMSBase=""),"",HYPERLINK(IF(LEFT(W436,4)="http",W436,set_RMSBase&amp;W436),"Open in RMS")))</f>
        <v/>
      </c>
      <c r="Y436" s="37" t="n"/>
      <c r="Z436" s="10">
        <f>IF(Y436="","",HYPERLINK(IF(LEFT(Y436,4)="http",Y436,set_QwilrBase&amp;Y436),"Open quote"))</f>
        <v/>
      </c>
      <c r="AA436" s="10">
        <f>IF(C436="","",C436)</f>
        <v/>
      </c>
      <c r="AB436" s="37" t="n"/>
      <c r="AC436" s="39" t="n"/>
      <c r="AD436" s="11">
        <f>IF(C436="","",N(L436)+N(AC436))</f>
        <v/>
      </c>
      <c r="AE436" s="43">
        <f>IFERROR(IF(N(AC436)=0,"",AC436/AD436),"")</f>
        <v/>
      </c>
      <c r="AF436" s="39" t="n"/>
      <c r="AG436" s="39" t="n"/>
      <c r="AH436" s="39" t="n"/>
      <c r="AI436" s="39" t="n"/>
      <c r="AJ436" s="11">
        <f>IF(C436="","",IF(H436="VIDEO",N(L436),0))</f>
        <v/>
      </c>
      <c r="AK436" s="43">
        <f>IFERROR(IF(N(L436)=0,"",AJ436/L436),"")</f>
        <v/>
      </c>
      <c r="AL436" s="11">
        <f>IF(C436="","",N(AF436)+N(AG436)+N(AH436)+N(AI436))</f>
        <v/>
      </c>
      <c r="AM436" s="11">
        <f>IF(C436="","",MAX(N(L436),N(O436))-N(AL436))</f>
        <v/>
      </c>
      <c r="AN436" s="43">
        <f>IFERROR(IF(MAX(N(L436),N(O436))=0,"",AM436/MAX(N(L436),N(O436))),"")</f>
        <v/>
      </c>
      <c r="AO436" s="41" t="n"/>
      <c r="AP436" s="41" t="n"/>
      <c r="AQ436" s="41" t="n"/>
      <c r="AR436" s="41" t="n"/>
      <c r="AS436" s="41" t="n"/>
      <c r="AT436" s="37" t="n"/>
      <c r="AU436" s="10" t="inlineStr">
        <is>
          <t>PRD-0432</t>
        </is>
      </c>
    </row>
    <row r="437">
      <c r="A437" s="16">
        <f>IF($C437="","",IFERROR(IF(INDEX(tbl_Finance[Latest Invoice Date],MATCH($AU437,tbl_Finance[Row ID],0))="","",INDEX(tbl_Finance[Latest Invoice Date],MATCH($AU437,tbl_Finance[Row ID],0))),""))</f>
        <v/>
      </c>
      <c r="B437" s="10">
        <f>IF($C437="","",IFERROR(INDEX(tbl_Finance[Invoice Numbers],MATCH($AU437,tbl_Finance[Row ID],0))&amp;"",""))</f>
        <v/>
      </c>
      <c r="C437" s="37" t="n"/>
      <c r="D437" s="10">
        <f>IF($C437="","",IF(COUNTIF(lst_Jobs,$C437&amp;"")&gt;0,"OK","CHECK"))</f>
        <v/>
      </c>
      <c r="E437" s="10">
        <f>IF($C437="","",IFERROR(INDEX(lst_JobName,MATCH($C437&amp;"",lst_Jobs,0)),""))</f>
        <v/>
      </c>
      <c r="F437" s="37" t="n"/>
      <c r="G437" s="37" t="n"/>
      <c r="H437" s="37" t="n"/>
      <c r="I437" s="37" t="n"/>
      <c r="J437" s="37" t="n"/>
      <c r="K437" s="38">
        <f>IF($C437="","",IFERROR(N(INDEX(tbl_Finance[Invoice Count],MATCH($AU437,tbl_Finance[Row ID],0))),""))</f>
        <v/>
      </c>
      <c r="L437" s="11">
        <f>IF($C437="","",IFERROR(N(INDEX(tbl_Finance[Xero Invoiced Ex GST],MATCH($AU437,tbl_Finance[Row ID],0))),""))</f>
        <v/>
      </c>
      <c r="M437" s="10">
        <f>IF($C437="","",IFERROR(INDEX(tbl_Finance[Compare],MATCH($AU437,tbl_Finance[Row ID],0))&amp;"",""))</f>
        <v/>
      </c>
      <c r="N437" s="11">
        <f>IF($C437="","",MAX(0,N(O437)-N(L437)))</f>
        <v/>
      </c>
      <c r="O437" s="39" t="n"/>
      <c r="P437" s="40">
        <f>IF($C437="","",IF((IF(F437="",", Client","")&amp;IF(G437="",", Description","")&amp;IF(H437="",", Cost Centre","")&amp;IF(I437="",", Invoice Type","")&amp;IF(J437="",", Tax Code","")&amp;IF(O437="",", Expected Revenue","")&amp;IF(COUNTIF(tbl_Finance[Job Number],$C437&amp;"")&gt;1,", Job number used twice",""))="","Complete","Fix: "&amp;MID(IF(F437="",", Client","")&amp;IF(G437="",", Description","")&amp;IF(H437="",", Cost Centre","")&amp;IF(I437="",", Invoice Type","")&amp;IF(J437="",", Tax Code","")&amp;IF(O437="",", Expected Revenue","")&amp;IF(COUNTIF(tbl_Finance[Job Number],$C437&amp;"")&gt;1,", Job number used twice",""),3,300)))</f>
        <v/>
      </c>
      <c r="Q437" s="10">
        <f>IF($C437="","",IF(H437="","(no cost centre)",H437&amp;" - GL "&amp;IFERROR(INDEX(lst_CCtoGL,MATCH(H437,lst_CCforGL,0)),"?")))</f>
        <v/>
      </c>
      <c r="R437" s="11">
        <f>IF($C437="","",IFERROR(N(INDEX(tbl_Finance[Inc GST],MATCH($AU437,tbl_Finance[Row ID],0))),""))</f>
        <v/>
      </c>
      <c r="S437" s="37" t="n"/>
      <c r="T437" s="37" t="n"/>
      <c r="U437" s="37" t="n"/>
      <c r="V437" s="42" t="n"/>
      <c r="W437" s="37" t="n"/>
      <c r="X437" s="10">
        <f>IF(W437="","",IF(AND(LEFT(W437,4)&lt;&gt;"http",set_RMSBase=""),"",HYPERLINK(IF(LEFT(W437,4)="http",W437,set_RMSBase&amp;W437),"Open in RMS")))</f>
        <v/>
      </c>
      <c r="Y437" s="37" t="n"/>
      <c r="Z437" s="10">
        <f>IF(Y437="","",HYPERLINK(IF(LEFT(Y437,4)="http",Y437,set_QwilrBase&amp;Y437),"Open quote"))</f>
        <v/>
      </c>
      <c r="AA437" s="10">
        <f>IF(C437="","",C437)</f>
        <v/>
      </c>
      <c r="AB437" s="37" t="n"/>
      <c r="AC437" s="39" t="n"/>
      <c r="AD437" s="11">
        <f>IF(C437="","",N(L437)+N(AC437))</f>
        <v/>
      </c>
      <c r="AE437" s="43">
        <f>IFERROR(IF(N(AC437)=0,"",AC437/AD437),"")</f>
        <v/>
      </c>
      <c r="AF437" s="39" t="n"/>
      <c r="AG437" s="39" t="n"/>
      <c r="AH437" s="39" t="n"/>
      <c r="AI437" s="39" t="n"/>
      <c r="AJ437" s="11">
        <f>IF(C437="","",IF(H437="VIDEO",N(L437),0))</f>
        <v/>
      </c>
      <c r="AK437" s="43">
        <f>IFERROR(IF(N(L437)=0,"",AJ437/L437),"")</f>
        <v/>
      </c>
      <c r="AL437" s="11">
        <f>IF(C437="","",N(AF437)+N(AG437)+N(AH437)+N(AI437))</f>
        <v/>
      </c>
      <c r="AM437" s="11">
        <f>IF(C437="","",MAX(N(L437),N(O437))-N(AL437))</f>
        <v/>
      </c>
      <c r="AN437" s="43">
        <f>IFERROR(IF(MAX(N(L437),N(O437))=0,"",AM437/MAX(N(L437),N(O437))),"")</f>
        <v/>
      </c>
      <c r="AO437" s="41" t="n"/>
      <c r="AP437" s="41" t="n"/>
      <c r="AQ437" s="41" t="n"/>
      <c r="AR437" s="41" t="n"/>
      <c r="AS437" s="41" t="n"/>
      <c r="AT437" s="37" t="n"/>
      <c r="AU437" s="10" t="inlineStr">
        <is>
          <t>PRD-0433</t>
        </is>
      </c>
    </row>
    <row r="438">
      <c r="A438" s="16">
        <f>IF($C438="","",IFERROR(IF(INDEX(tbl_Finance[Latest Invoice Date],MATCH($AU438,tbl_Finance[Row ID],0))="","",INDEX(tbl_Finance[Latest Invoice Date],MATCH($AU438,tbl_Finance[Row ID],0))),""))</f>
        <v/>
      </c>
      <c r="B438" s="10">
        <f>IF($C438="","",IFERROR(INDEX(tbl_Finance[Invoice Numbers],MATCH($AU438,tbl_Finance[Row ID],0))&amp;"",""))</f>
        <v/>
      </c>
      <c r="C438" s="37" t="n"/>
      <c r="D438" s="10">
        <f>IF($C438="","",IF(COUNTIF(lst_Jobs,$C438&amp;"")&gt;0,"OK","CHECK"))</f>
        <v/>
      </c>
      <c r="E438" s="10">
        <f>IF($C438="","",IFERROR(INDEX(lst_JobName,MATCH($C438&amp;"",lst_Jobs,0)),""))</f>
        <v/>
      </c>
      <c r="F438" s="37" t="n"/>
      <c r="G438" s="37" t="n"/>
      <c r="H438" s="37" t="n"/>
      <c r="I438" s="37" t="n"/>
      <c r="J438" s="37" t="n"/>
      <c r="K438" s="38">
        <f>IF($C438="","",IFERROR(N(INDEX(tbl_Finance[Invoice Count],MATCH($AU438,tbl_Finance[Row ID],0))),""))</f>
        <v/>
      </c>
      <c r="L438" s="11">
        <f>IF($C438="","",IFERROR(N(INDEX(tbl_Finance[Xero Invoiced Ex GST],MATCH($AU438,tbl_Finance[Row ID],0))),""))</f>
        <v/>
      </c>
      <c r="M438" s="10">
        <f>IF($C438="","",IFERROR(INDEX(tbl_Finance[Compare],MATCH($AU438,tbl_Finance[Row ID],0))&amp;"",""))</f>
        <v/>
      </c>
      <c r="N438" s="11">
        <f>IF($C438="","",MAX(0,N(O438)-N(L438)))</f>
        <v/>
      </c>
      <c r="O438" s="39" t="n"/>
      <c r="P438" s="40">
        <f>IF($C438="","",IF((IF(F438="",", Client","")&amp;IF(G438="",", Description","")&amp;IF(H438="",", Cost Centre","")&amp;IF(I438="",", Invoice Type","")&amp;IF(J438="",", Tax Code","")&amp;IF(O438="",", Expected Revenue","")&amp;IF(COUNTIF(tbl_Finance[Job Number],$C438&amp;"")&gt;1,", Job number used twice",""))="","Complete","Fix: "&amp;MID(IF(F438="",", Client","")&amp;IF(G438="",", Description","")&amp;IF(H438="",", Cost Centre","")&amp;IF(I438="",", Invoice Type","")&amp;IF(J438="",", Tax Code","")&amp;IF(O438="",", Expected Revenue","")&amp;IF(COUNTIF(tbl_Finance[Job Number],$C438&amp;"")&gt;1,", Job number used twice",""),3,300)))</f>
        <v/>
      </c>
      <c r="Q438" s="10">
        <f>IF($C438="","",IF(H438="","(no cost centre)",H438&amp;" - GL "&amp;IFERROR(INDEX(lst_CCtoGL,MATCH(H438,lst_CCforGL,0)),"?")))</f>
        <v/>
      </c>
      <c r="R438" s="11">
        <f>IF($C438="","",IFERROR(N(INDEX(tbl_Finance[Inc GST],MATCH($AU438,tbl_Finance[Row ID],0))),""))</f>
        <v/>
      </c>
      <c r="S438" s="37" t="n"/>
      <c r="T438" s="37" t="n"/>
      <c r="U438" s="37" t="n"/>
      <c r="V438" s="42" t="n"/>
      <c r="W438" s="37" t="n"/>
      <c r="X438" s="10">
        <f>IF(W438="","",IF(AND(LEFT(W438,4)&lt;&gt;"http",set_RMSBase=""),"",HYPERLINK(IF(LEFT(W438,4)="http",W438,set_RMSBase&amp;W438),"Open in RMS")))</f>
        <v/>
      </c>
      <c r="Y438" s="37" t="n"/>
      <c r="Z438" s="10">
        <f>IF(Y438="","",HYPERLINK(IF(LEFT(Y438,4)="http",Y438,set_QwilrBase&amp;Y438),"Open quote"))</f>
        <v/>
      </c>
      <c r="AA438" s="10">
        <f>IF(C438="","",C438)</f>
        <v/>
      </c>
      <c r="AB438" s="37" t="n"/>
      <c r="AC438" s="39" t="n"/>
      <c r="AD438" s="11">
        <f>IF(C438="","",N(L438)+N(AC438))</f>
        <v/>
      </c>
      <c r="AE438" s="43">
        <f>IFERROR(IF(N(AC438)=0,"",AC438/AD438),"")</f>
        <v/>
      </c>
      <c r="AF438" s="39" t="n"/>
      <c r="AG438" s="39" t="n"/>
      <c r="AH438" s="39" t="n"/>
      <c r="AI438" s="39" t="n"/>
      <c r="AJ438" s="11">
        <f>IF(C438="","",IF(H438="VIDEO",N(L438),0))</f>
        <v/>
      </c>
      <c r="AK438" s="43">
        <f>IFERROR(IF(N(L438)=0,"",AJ438/L438),"")</f>
        <v/>
      </c>
      <c r="AL438" s="11">
        <f>IF(C438="","",N(AF438)+N(AG438)+N(AH438)+N(AI438))</f>
        <v/>
      </c>
      <c r="AM438" s="11">
        <f>IF(C438="","",MAX(N(L438),N(O438))-N(AL438))</f>
        <v/>
      </c>
      <c r="AN438" s="43">
        <f>IFERROR(IF(MAX(N(L438),N(O438))=0,"",AM438/MAX(N(L438),N(O438))),"")</f>
        <v/>
      </c>
      <c r="AO438" s="41" t="n"/>
      <c r="AP438" s="41" t="n"/>
      <c r="AQ438" s="41" t="n"/>
      <c r="AR438" s="41" t="n"/>
      <c r="AS438" s="41" t="n"/>
      <c r="AT438" s="37" t="n"/>
      <c r="AU438" s="10" t="inlineStr">
        <is>
          <t>PRD-0434</t>
        </is>
      </c>
    </row>
    <row r="439">
      <c r="A439" s="16">
        <f>IF($C439="","",IFERROR(IF(INDEX(tbl_Finance[Latest Invoice Date],MATCH($AU439,tbl_Finance[Row ID],0))="","",INDEX(tbl_Finance[Latest Invoice Date],MATCH($AU439,tbl_Finance[Row ID],0))),""))</f>
        <v/>
      </c>
      <c r="B439" s="10">
        <f>IF($C439="","",IFERROR(INDEX(tbl_Finance[Invoice Numbers],MATCH($AU439,tbl_Finance[Row ID],0))&amp;"",""))</f>
        <v/>
      </c>
      <c r="C439" s="37" t="n"/>
      <c r="D439" s="10">
        <f>IF($C439="","",IF(COUNTIF(lst_Jobs,$C439&amp;"")&gt;0,"OK","CHECK"))</f>
        <v/>
      </c>
      <c r="E439" s="10">
        <f>IF($C439="","",IFERROR(INDEX(lst_JobName,MATCH($C439&amp;"",lst_Jobs,0)),""))</f>
        <v/>
      </c>
      <c r="F439" s="37" t="n"/>
      <c r="G439" s="37" t="n"/>
      <c r="H439" s="37" t="n"/>
      <c r="I439" s="37" t="n"/>
      <c r="J439" s="37" t="n"/>
      <c r="K439" s="38">
        <f>IF($C439="","",IFERROR(N(INDEX(tbl_Finance[Invoice Count],MATCH($AU439,tbl_Finance[Row ID],0))),""))</f>
        <v/>
      </c>
      <c r="L439" s="11">
        <f>IF($C439="","",IFERROR(N(INDEX(tbl_Finance[Xero Invoiced Ex GST],MATCH($AU439,tbl_Finance[Row ID],0))),""))</f>
        <v/>
      </c>
      <c r="M439" s="10">
        <f>IF($C439="","",IFERROR(INDEX(tbl_Finance[Compare],MATCH($AU439,tbl_Finance[Row ID],0))&amp;"",""))</f>
        <v/>
      </c>
      <c r="N439" s="11">
        <f>IF($C439="","",MAX(0,N(O439)-N(L439)))</f>
        <v/>
      </c>
      <c r="O439" s="39" t="n"/>
      <c r="P439" s="40">
        <f>IF($C439="","",IF((IF(F439="",", Client","")&amp;IF(G439="",", Description","")&amp;IF(H439="",", Cost Centre","")&amp;IF(I439="",", Invoice Type","")&amp;IF(J439="",", Tax Code","")&amp;IF(O439="",", Expected Revenue","")&amp;IF(COUNTIF(tbl_Finance[Job Number],$C439&amp;"")&gt;1,", Job number used twice",""))="","Complete","Fix: "&amp;MID(IF(F439="",", Client","")&amp;IF(G439="",", Description","")&amp;IF(H439="",", Cost Centre","")&amp;IF(I439="",", Invoice Type","")&amp;IF(J439="",", Tax Code","")&amp;IF(O439="",", Expected Revenue","")&amp;IF(COUNTIF(tbl_Finance[Job Number],$C439&amp;"")&gt;1,", Job number used twice",""),3,300)))</f>
        <v/>
      </c>
      <c r="Q439" s="10">
        <f>IF($C439="","",IF(H439="","(no cost centre)",H439&amp;" - GL "&amp;IFERROR(INDEX(lst_CCtoGL,MATCH(H439,lst_CCforGL,0)),"?")))</f>
        <v/>
      </c>
      <c r="R439" s="11">
        <f>IF($C439="","",IFERROR(N(INDEX(tbl_Finance[Inc GST],MATCH($AU439,tbl_Finance[Row ID],0))),""))</f>
        <v/>
      </c>
      <c r="S439" s="37" t="n"/>
      <c r="T439" s="37" t="n"/>
      <c r="U439" s="37" t="n"/>
      <c r="V439" s="42" t="n"/>
      <c r="W439" s="37" t="n"/>
      <c r="X439" s="10">
        <f>IF(W439="","",IF(AND(LEFT(W439,4)&lt;&gt;"http",set_RMSBase=""),"",HYPERLINK(IF(LEFT(W439,4)="http",W439,set_RMSBase&amp;W439),"Open in RMS")))</f>
        <v/>
      </c>
      <c r="Y439" s="37" t="n"/>
      <c r="Z439" s="10">
        <f>IF(Y439="","",HYPERLINK(IF(LEFT(Y439,4)="http",Y439,set_QwilrBase&amp;Y439),"Open quote"))</f>
        <v/>
      </c>
      <c r="AA439" s="10">
        <f>IF(C439="","",C439)</f>
        <v/>
      </c>
      <c r="AB439" s="37" t="n"/>
      <c r="AC439" s="39" t="n"/>
      <c r="AD439" s="11">
        <f>IF(C439="","",N(L439)+N(AC439))</f>
        <v/>
      </c>
      <c r="AE439" s="43">
        <f>IFERROR(IF(N(AC439)=0,"",AC439/AD439),"")</f>
        <v/>
      </c>
      <c r="AF439" s="39" t="n"/>
      <c r="AG439" s="39" t="n"/>
      <c r="AH439" s="39" t="n"/>
      <c r="AI439" s="39" t="n"/>
      <c r="AJ439" s="11">
        <f>IF(C439="","",IF(H439="VIDEO",N(L439),0))</f>
        <v/>
      </c>
      <c r="AK439" s="43">
        <f>IFERROR(IF(N(L439)=0,"",AJ439/L439),"")</f>
        <v/>
      </c>
      <c r="AL439" s="11">
        <f>IF(C439="","",N(AF439)+N(AG439)+N(AH439)+N(AI439))</f>
        <v/>
      </c>
      <c r="AM439" s="11">
        <f>IF(C439="","",MAX(N(L439),N(O439))-N(AL439))</f>
        <v/>
      </c>
      <c r="AN439" s="43">
        <f>IFERROR(IF(MAX(N(L439),N(O439))=0,"",AM439/MAX(N(L439),N(O439))),"")</f>
        <v/>
      </c>
      <c r="AO439" s="41" t="n"/>
      <c r="AP439" s="41" t="n"/>
      <c r="AQ439" s="41" t="n"/>
      <c r="AR439" s="41" t="n"/>
      <c r="AS439" s="41" t="n"/>
      <c r="AT439" s="37" t="n"/>
      <c r="AU439" s="10" t="inlineStr">
        <is>
          <t>PRD-0435</t>
        </is>
      </c>
    </row>
    <row r="440">
      <c r="A440" s="16">
        <f>IF($C440="","",IFERROR(IF(INDEX(tbl_Finance[Latest Invoice Date],MATCH($AU440,tbl_Finance[Row ID],0))="","",INDEX(tbl_Finance[Latest Invoice Date],MATCH($AU440,tbl_Finance[Row ID],0))),""))</f>
        <v/>
      </c>
      <c r="B440" s="10">
        <f>IF($C440="","",IFERROR(INDEX(tbl_Finance[Invoice Numbers],MATCH($AU440,tbl_Finance[Row ID],0))&amp;"",""))</f>
        <v/>
      </c>
      <c r="C440" s="37" t="n"/>
      <c r="D440" s="10">
        <f>IF($C440="","",IF(COUNTIF(lst_Jobs,$C440&amp;"")&gt;0,"OK","CHECK"))</f>
        <v/>
      </c>
      <c r="E440" s="10">
        <f>IF($C440="","",IFERROR(INDEX(lst_JobName,MATCH($C440&amp;"",lst_Jobs,0)),""))</f>
        <v/>
      </c>
      <c r="F440" s="37" t="n"/>
      <c r="G440" s="37" t="n"/>
      <c r="H440" s="37" t="n"/>
      <c r="I440" s="37" t="n"/>
      <c r="J440" s="37" t="n"/>
      <c r="K440" s="38">
        <f>IF($C440="","",IFERROR(N(INDEX(tbl_Finance[Invoice Count],MATCH($AU440,tbl_Finance[Row ID],0))),""))</f>
        <v/>
      </c>
      <c r="L440" s="11">
        <f>IF($C440="","",IFERROR(N(INDEX(tbl_Finance[Xero Invoiced Ex GST],MATCH($AU440,tbl_Finance[Row ID],0))),""))</f>
        <v/>
      </c>
      <c r="M440" s="10">
        <f>IF($C440="","",IFERROR(INDEX(tbl_Finance[Compare],MATCH($AU440,tbl_Finance[Row ID],0))&amp;"",""))</f>
        <v/>
      </c>
      <c r="N440" s="11">
        <f>IF($C440="","",MAX(0,N(O440)-N(L440)))</f>
        <v/>
      </c>
      <c r="O440" s="39" t="n"/>
      <c r="P440" s="40">
        <f>IF($C440="","",IF((IF(F440="",", Client","")&amp;IF(G440="",", Description","")&amp;IF(H440="",", Cost Centre","")&amp;IF(I440="",", Invoice Type","")&amp;IF(J440="",", Tax Code","")&amp;IF(O440="",", Expected Revenue","")&amp;IF(COUNTIF(tbl_Finance[Job Number],$C440&amp;"")&gt;1,", Job number used twice",""))="","Complete","Fix: "&amp;MID(IF(F440="",", Client","")&amp;IF(G440="",", Description","")&amp;IF(H440="",", Cost Centre","")&amp;IF(I440="",", Invoice Type","")&amp;IF(J440="",", Tax Code","")&amp;IF(O440="",", Expected Revenue","")&amp;IF(COUNTIF(tbl_Finance[Job Number],$C440&amp;"")&gt;1,", Job number used twice",""),3,300)))</f>
        <v/>
      </c>
      <c r="Q440" s="10">
        <f>IF($C440="","",IF(H440="","(no cost centre)",H440&amp;" - GL "&amp;IFERROR(INDEX(lst_CCtoGL,MATCH(H440,lst_CCforGL,0)),"?")))</f>
        <v/>
      </c>
      <c r="R440" s="11">
        <f>IF($C440="","",IFERROR(N(INDEX(tbl_Finance[Inc GST],MATCH($AU440,tbl_Finance[Row ID],0))),""))</f>
        <v/>
      </c>
      <c r="S440" s="37" t="n"/>
      <c r="T440" s="37" t="n"/>
      <c r="U440" s="37" t="n"/>
      <c r="V440" s="42" t="n"/>
      <c r="W440" s="37" t="n"/>
      <c r="X440" s="10">
        <f>IF(W440="","",IF(AND(LEFT(W440,4)&lt;&gt;"http",set_RMSBase=""),"",HYPERLINK(IF(LEFT(W440,4)="http",W440,set_RMSBase&amp;W440),"Open in RMS")))</f>
        <v/>
      </c>
      <c r="Y440" s="37" t="n"/>
      <c r="Z440" s="10">
        <f>IF(Y440="","",HYPERLINK(IF(LEFT(Y440,4)="http",Y440,set_QwilrBase&amp;Y440),"Open quote"))</f>
        <v/>
      </c>
      <c r="AA440" s="10">
        <f>IF(C440="","",C440)</f>
        <v/>
      </c>
      <c r="AB440" s="37" t="n"/>
      <c r="AC440" s="39" t="n"/>
      <c r="AD440" s="11">
        <f>IF(C440="","",N(L440)+N(AC440))</f>
        <v/>
      </c>
      <c r="AE440" s="43">
        <f>IFERROR(IF(N(AC440)=0,"",AC440/AD440),"")</f>
        <v/>
      </c>
      <c r="AF440" s="39" t="n"/>
      <c r="AG440" s="39" t="n"/>
      <c r="AH440" s="39" t="n"/>
      <c r="AI440" s="39" t="n"/>
      <c r="AJ440" s="11">
        <f>IF(C440="","",IF(H440="VIDEO",N(L440),0))</f>
        <v/>
      </c>
      <c r="AK440" s="43">
        <f>IFERROR(IF(N(L440)=0,"",AJ440/L440),"")</f>
        <v/>
      </c>
      <c r="AL440" s="11">
        <f>IF(C440="","",N(AF440)+N(AG440)+N(AH440)+N(AI440))</f>
        <v/>
      </c>
      <c r="AM440" s="11">
        <f>IF(C440="","",MAX(N(L440),N(O440))-N(AL440))</f>
        <v/>
      </c>
      <c r="AN440" s="43">
        <f>IFERROR(IF(MAX(N(L440),N(O440))=0,"",AM440/MAX(N(L440),N(O440))),"")</f>
        <v/>
      </c>
      <c r="AO440" s="41" t="n"/>
      <c r="AP440" s="41" t="n"/>
      <c r="AQ440" s="41" t="n"/>
      <c r="AR440" s="41" t="n"/>
      <c r="AS440" s="41" t="n"/>
      <c r="AT440" s="37" t="n"/>
      <c r="AU440" s="10" t="inlineStr">
        <is>
          <t>PRD-0436</t>
        </is>
      </c>
    </row>
    <row r="441">
      <c r="A441" s="16">
        <f>IF($C441="","",IFERROR(IF(INDEX(tbl_Finance[Latest Invoice Date],MATCH($AU441,tbl_Finance[Row ID],0))="","",INDEX(tbl_Finance[Latest Invoice Date],MATCH($AU441,tbl_Finance[Row ID],0))),""))</f>
        <v/>
      </c>
      <c r="B441" s="10">
        <f>IF($C441="","",IFERROR(INDEX(tbl_Finance[Invoice Numbers],MATCH($AU441,tbl_Finance[Row ID],0))&amp;"",""))</f>
        <v/>
      </c>
      <c r="C441" s="37" t="n"/>
      <c r="D441" s="10">
        <f>IF($C441="","",IF(COUNTIF(lst_Jobs,$C441&amp;"")&gt;0,"OK","CHECK"))</f>
        <v/>
      </c>
      <c r="E441" s="10">
        <f>IF($C441="","",IFERROR(INDEX(lst_JobName,MATCH($C441&amp;"",lst_Jobs,0)),""))</f>
        <v/>
      </c>
      <c r="F441" s="37" t="n"/>
      <c r="G441" s="37" t="n"/>
      <c r="H441" s="37" t="n"/>
      <c r="I441" s="37" t="n"/>
      <c r="J441" s="37" t="n"/>
      <c r="K441" s="38">
        <f>IF($C441="","",IFERROR(N(INDEX(tbl_Finance[Invoice Count],MATCH($AU441,tbl_Finance[Row ID],0))),""))</f>
        <v/>
      </c>
      <c r="L441" s="11">
        <f>IF($C441="","",IFERROR(N(INDEX(tbl_Finance[Xero Invoiced Ex GST],MATCH($AU441,tbl_Finance[Row ID],0))),""))</f>
        <v/>
      </c>
      <c r="M441" s="10">
        <f>IF($C441="","",IFERROR(INDEX(tbl_Finance[Compare],MATCH($AU441,tbl_Finance[Row ID],0))&amp;"",""))</f>
        <v/>
      </c>
      <c r="N441" s="11">
        <f>IF($C441="","",MAX(0,N(O441)-N(L441)))</f>
        <v/>
      </c>
      <c r="O441" s="39" t="n"/>
      <c r="P441" s="40">
        <f>IF($C441="","",IF((IF(F441="",", Client","")&amp;IF(G441="",", Description","")&amp;IF(H441="",", Cost Centre","")&amp;IF(I441="",", Invoice Type","")&amp;IF(J441="",", Tax Code","")&amp;IF(O441="",", Expected Revenue","")&amp;IF(COUNTIF(tbl_Finance[Job Number],$C441&amp;"")&gt;1,", Job number used twice",""))="","Complete","Fix: "&amp;MID(IF(F441="",", Client","")&amp;IF(G441="",", Description","")&amp;IF(H441="",", Cost Centre","")&amp;IF(I441="",", Invoice Type","")&amp;IF(J441="",", Tax Code","")&amp;IF(O441="",", Expected Revenue","")&amp;IF(COUNTIF(tbl_Finance[Job Number],$C441&amp;"")&gt;1,", Job number used twice",""),3,300)))</f>
        <v/>
      </c>
      <c r="Q441" s="10">
        <f>IF($C441="","",IF(H441="","(no cost centre)",H441&amp;" - GL "&amp;IFERROR(INDEX(lst_CCtoGL,MATCH(H441,lst_CCforGL,0)),"?")))</f>
        <v/>
      </c>
      <c r="R441" s="11">
        <f>IF($C441="","",IFERROR(N(INDEX(tbl_Finance[Inc GST],MATCH($AU441,tbl_Finance[Row ID],0))),""))</f>
        <v/>
      </c>
      <c r="S441" s="37" t="n"/>
      <c r="T441" s="37" t="n"/>
      <c r="U441" s="37" t="n"/>
      <c r="V441" s="42" t="n"/>
      <c r="W441" s="37" t="n"/>
      <c r="X441" s="10">
        <f>IF(W441="","",IF(AND(LEFT(W441,4)&lt;&gt;"http",set_RMSBase=""),"",HYPERLINK(IF(LEFT(W441,4)="http",W441,set_RMSBase&amp;W441),"Open in RMS")))</f>
        <v/>
      </c>
      <c r="Y441" s="37" t="n"/>
      <c r="Z441" s="10">
        <f>IF(Y441="","",HYPERLINK(IF(LEFT(Y441,4)="http",Y441,set_QwilrBase&amp;Y441),"Open quote"))</f>
        <v/>
      </c>
      <c r="AA441" s="10">
        <f>IF(C441="","",C441)</f>
        <v/>
      </c>
      <c r="AB441" s="37" t="n"/>
      <c r="AC441" s="39" t="n"/>
      <c r="AD441" s="11">
        <f>IF(C441="","",N(L441)+N(AC441))</f>
        <v/>
      </c>
      <c r="AE441" s="43">
        <f>IFERROR(IF(N(AC441)=0,"",AC441/AD441),"")</f>
        <v/>
      </c>
      <c r="AF441" s="39" t="n"/>
      <c r="AG441" s="39" t="n"/>
      <c r="AH441" s="39" t="n"/>
      <c r="AI441" s="39" t="n"/>
      <c r="AJ441" s="11">
        <f>IF(C441="","",IF(H441="VIDEO",N(L441),0))</f>
        <v/>
      </c>
      <c r="AK441" s="43">
        <f>IFERROR(IF(N(L441)=0,"",AJ441/L441),"")</f>
        <v/>
      </c>
      <c r="AL441" s="11">
        <f>IF(C441="","",N(AF441)+N(AG441)+N(AH441)+N(AI441))</f>
        <v/>
      </c>
      <c r="AM441" s="11">
        <f>IF(C441="","",MAX(N(L441),N(O441))-N(AL441))</f>
        <v/>
      </c>
      <c r="AN441" s="43">
        <f>IFERROR(IF(MAX(N(L441),N(O441))=0,"",AM441/MAX(N(L441),N(O441))),"")</f>
        <v/>
      </c>
      <c r="AO441" s="41" t="n"/>
      <c r="AP441" s="41" t="n"/>
      <c r="AQ441" s="41" t="n"/>
      <c r="AR441" s="41" t="n"/>
      <c r="AS441" s="41" t="n"/>
      <c r="AT441" s="37" t="n"/>
      <c r="AU441" s="10" t="inlineStr">
        <is>
          <t>PRD-0437</t>
        </is>
      </c>
    </row>
    <row r="442">
      <c r="A442" s="16">
        <f>IF($C442="","",IFERROR(IF(INDEX(tbl_Finance[Latest Invoice Date],MATCH($AU442,tbl_Finance[Row ID],0))="","",INDEX(tbl_Finance[Latest Invoice Date],MATCH($AU442,tbl_Finance[Row ID],0))),""))</f>
        <v/>
      </c>
      <c r="B442" s="10">
        <f>IF($C442="","",IFERROR(INDEX(tbl_Finance[Invoice Numbers],MATCH($AU442,tbl_Finance[Row ID],0))&amp;"",""))</f>
        <v/>
      </c>
      <c r="C442" s="37" t="n"/>
      <c r="D442" s="10">
        <f>IF($C442="","",IF(COUNTIF(lst_Jobs,$C442&amp;"")&gt;0,"OK","CHECK"))</f>
        <v/>
      </c>
      <c r="E442" s="10">
        <f>IF($C442="","",IFERROR(INDEX(lst_JobName,MATCH($C442&amp;"",lst_Jobs,0)),""))</f>
        <v/>
      </c>
      <c r="F442" s="37" t="n"/>
      <c r="G442" s="37" t="n"/>
      <c r="H442" s="37" t="n"/>
      <c r="I442" s="37" t="n"/>
      <c r="J442" s="37" t="n"/>
      <c r="K442" s="38">
        <f>IF($C442="","",IFERROR(N(INDEX(tbl_Finance[Invoice Count],MATCH($AU442,tbl_Finance[Row ID],0))),""))</f>
        <v/>
      </c>
      <c r="L442" s="11">
        <f>IF($C442="","",IFERROR(N(INDEX(tbl_Finance[Xero Invoiced Ex GST],MATCH($AU442,tbl_Finance[Row ID],0))),""))</f>
        <v/>
      </c>
      <c r="M442" s="10">
        <f>IF($C442="","",IFERROR(INDEX(tbl_Finance[Compare],MATCH($AU442,tbl_Finance[Row ID],0))&amp;"",""))</f>
        <v/>
      </c>
      <c r="N442" s="11">
        <f>IF($C442="","",MAX(0,N(O442)-N(L442)))</f>
        <v/>
      </c>
      <c r="O442" s="39" t="n"/>
      <c r="P442" s="40">
        <f>IF($C442="","",IF((IF(F442="",", Client","")&amp;IF(G442="",", Description","")&amp;IF(H442="",", Cost Centre","")&amp;IF(I442="",", Invoice Type","")&amp;IF(J442="",", Tax Code","")&amp;IF(O442="",", Expected Revenue","")&amp;IF(COUNTIF(tbl_Finance[Job Number],$C442&amp;"")&gt;1,", Job number used twice",""))="","Complete","Fix: "&amp;MID(IF(F442="",", Client","")&amp;IF(G442="",", Description","")&amp;IF(H442="",", Cost Centre","")&amp;IF(I442="",", Invoice Type","")&amp;IF(J442="",", Tax Code","")&amp;IF(O442="",", Expected Revenue","")&amp;IF(COUNTIF(tbl_Finance[Job Number],$C442&amp;"")&gt;1,", Job number used twice",""),3,300)))</f>
        <v/>
      </c>
      <c r="Q442" s="10">
        <f>IF($C442="","",IF(H442="","(no cost centre)",H442&amp;" - GL "&amp;IFERROR(INDEX(lst_CCtoGL,MATCH(H442,lst_CCforGL,0)),"?")))</f>
        <v/>
      </c>
      <c r="R442" s="11">
        <f>IF($C442="","",IFERROR(N(INDEX(tbl_Finance[Inc GST],MATCH($AU442,tbl_Finance[Row ID],0))),""))</f>
        <v/>
      </c>
      <c r="S442" s="37" t="n"/>
      <c r="T442" s="37" t="n"/>
      <c r="U442" s="37" t="n"/>
      <c r="V442" s="42" t="n"/>
      <c r="W442" s="37" t="n"/>
      <c r="X442" s="10">
        <f>IF(W442="","",IF(AND(LEFT(W442,4)&lt;&gt;"http",set_RMSBase=""),"",HYPERLINK(IF(LEFT(W442,4)="http",W442,set_RMSBase&amp;W442),"Open in RMS")))</f>
        <v/>
      </c>
      <c r="Y442" s="37" t="n"/>
      <c r="Z442" s="10">
        <f>IF(Y442="","",HYPERLINK(IF(LEFT(Y442,4)="http",Y442,set_QwilrBase&amp;Y442),"Open quote"))</f>
        <v/>
      </c>
      <c r="AA442" s="10">
        <f>IF(C442="","",C442)</f>
        <v/>
      </c>
      <c r="AB442" s="37" t="n"/>
      <c r="AC442" s="39" t="n"/>
      <c r="AD442" s="11">
        <f>IF(C442="","",N(L442)+N(AC442))</f>
        <v/>
      </c>
      <c r="AE442" s="43">
        <f>IFERROR(IF(N(AC442)=0,"",AC442/AD442),"")</f>
        <v/>
      </c>
      <c r="AF442" s="39" t="n"/>
      <c r="AG442" s="39" t="n"/>
      <c r="AH442" s="39" t="n"/>
      <c r="AI442" s="39" t="n"/>
      <c r="AJ442" s="11">
        <f>IF(C442="","",IF(H442="VIDEO",N(L442),0))</f>
        <v/>
      </c>
      <c r="AK442" s="43">
        <f>IFERROR(IF(N(L442)=0,"",AJ442/L442),"")</f>
        <v/>
      </c>
      <c r="AL442" s="11">
        <f>IF(C442="","",N(AF442)+N(AG442)+N(AH442)+N(AI442))</f>
        <v/>
      </c>
      <c r="AM442" s="11">
        <f>IF(C442="","",MAX(N(L442),N(O442))-N(AL442))</f>
        <v/>
      </c>
      <c r="AN442" s="43">
        <f>IFERROR(IF(MAX(N(L442),N(O442))=0,"",AM442/MAX(N(L442),N(O442))),"")</f>
        <v/>
      </c>
      <c r="AO442" s="41" t="n"/>
      <c r="AP442" s="41" t="n"/>
      <c r="AQ442" s="41" t="n"/>
      <c r="AR442" s="41" t="n"/>
      <c r="AS442" s="41" t="n"/>
      <c r="AT442" s="37" t="n"/>
      <c r="AU442" s="10" t="inlineStr">
        <is>
          <t>PRD-0438</t>
        </is>
      </c>
    </row>
    <row r="443">
      <c r="A443" s="16">
        <f>IF($C443="","",IFERROR(IF(INDEX(tbl_Finance[Latest Invoice Date],MATCH($AU443,tbl_Finance[Row ID],0))="","",INDEX(tbl_Finance[Latest Invoice Date],MATCH($AU443,tbl_Finance[Row ID],0))),""))</f>
        <v/>
      </c>
      <c r="B443" s="10">
        <f>IF($C443="","",IFERROR(INDEX(tbl_Finance[Invoice Numbers],MATCH($AU443,tbl_Finance[Row ID],0))&amp;"",""))</f>
        <v/>
      </c>
      <c r="C443" s="37" t="n"/>
      <c r="D443" s="10">
        <f>IF($C443="","",IF(COUNTIF(lst_Jobs,$C443&amp;"")&gt;0,"OK","CHECK"))</f>
        <v/>
      </c>
      <c r="E443" s="10">
        <f>IF($C443="","",IFERROR(INDEX(lst_JobName,MATCH($C443&amp;"",lst_Jobs,0)),""))</f>
        <v/>
      </c>
      <c r="F443" s="37" t="n"/>
      <c r="G443" s="37" t="n"/>
      <c r="H443" s="37" t="n"/>
      <c r="I443" s="37" t="n"/>
      <c r="J443" s="37" t="n"/>
      <c r="K443" s="38">
        <f>IF($C443="","",IFERROR(N(INDEX(tbl_Finance[Invoice Count],MATCH($AU443,tbl_Finance[Row ID],0))),""))</f>
        <v/>
      </c>
      <c r="L443" s="11">
        <f>IF($C443="","",IFERROR(N(INDEX(tbl_Finance[Xero Invoiced Ex GST],MATCH($AU443,tbl_Finance[Row ID],0))),""))</f>
        <v/>
      </c>
      <c r="M443" s="10">
        <f>IF($C443="","",IFERROR(INDEX(tbl_Finance[Compare],MATCH($AU443,tbl_Finance[Row ID],0))&amp;"",""))</f>
        <v/>
      </c>
      <c r="N443" s="11">
        <f>IF($C443="","",MAX(0,N(O443)-N(L443)))</f>
        <v/>
      </c>
      <c r="O443" s="39" t="n"/>
      <c r="P443" s="40">
        <f>IF($C443="","",IF((IF(F443="",", Client","")&amp;IF(G443="",", Description","")&amp;IF(H443="",", Cost Centre","")&amp;IF(I443="",", Invoice Type","")&amp;IF(J443="",", Tax Code","")&amp;IF(O443="",", Expected Revenue","")&amp;IF(COUNTIF(tbl_Finance[Job Number],$C443&amp;"")&gt;1,", Job number used twice",""))="","Complete","Fix: "&amp;MID(IF(F443="",", Client","")&amp;IF(G443="",", Description","")&amp;IF(H443="",", Cost Centre","")&amp;IF(I443="",", Invoice Type","")&amp;IF(J443="",", Tax Code","")&amp;IF(O443="",", Expected Revenue","")&amp;IF(COUNTIF(tbl_Finance[Job Number],$C443&amp;"")&gt;1,", Job number used twice",""),3,300)))</f>
        <v/>
      </c>
      <c r="Q443" s="10">
        <f>IF($C443="","",IF(H443="","(no cost centre)",H443&amp;" - GL "&amp;IFERROR(INDEX(lst_CCtoGL,MATCH(H443,lst_CCforGL,0)),"?")))</f>
        <v/>
      </c>
      <c r="R443" s="11">
        <f>IF($C443="","",IFERROR(N(INDEX(tbl_Finance[Inc GST],MATCH($AU443,tbl_Finance[Row ID],0))),""))</f>
        <v/>
      </c>
      <c r="S443" s="37" t="n"/>
      <c r="T443" s="37" t="n"/>
      <c r="U443" s="37" t="n"/>
      <c r="V443" s="42" t="n"/>
      <c r="W443" s="37" t="n"/>
      <c r="X443" s="10">
        <f>IF(W443="","",IF(AND(LEFT(W443,4)&lt;&gt;"http",set_RMSBase=""),"",HYPERLINK(IF(LEFT(W443,4)="http",W443,set_RMSBase&amp;W443),"Open in RMS")))</f>
        <v/>
      </c>
      <c r="Y443" s="37" t="n"/>
      <c r="Z443" s="10">
        <f>IF(Y443="","",HYPERLINK(IF(LEFT(Y443,4)="http",Y443,set_QwilrBase&amp;Y443),"Open quote"))</f>
        <v/>
      </c>
      <c r="AA443" s="10">
        <f>IF(C443="","",C443)</f>
        <v/>
      </c>
      <c r="AB443" s="37" t="n"/>
      <c r="AC443" s="39" t="n"/>
      <c r="AD443" s="11">
        <f>IF(C443="","",N(L443)+N(AC443))</f>
        <v/>
      </c>
      <c r="AE443" s="43">
        <f>IFERROR(IF(N(AC443)=0,"",AC443/AD443),"")</f>
        <v/>
      </c>
      <c r="AF443" s="39" t="n"/>
      <c r="AG443" s="39" t="n"/>
      <c r="AH443" s="39" t="n"/>
      <c r="AI443" s="39" t="n"/>
      <c r="AJ443" s="11">
        <f>IF(C443="","",IF(H443="VIDEO",N(L443),0))</f>
        <v/>
      </c>
      <c r="AK443" s="43">
        <f>IFERROR(IF(N(L443)=0,"",AJ443/L443),"")</f>
        <v/>
      </c>
      <c r="AL443" s="11">
        <f>IF(C443="","",N(AF443)+N(AG443)+N(AH443)+N(AI443))</f>
        <v/>
      </c>
      <c r="AM443" s="11">
        <f>IF(C443="","",MAX(N(L443),N(O443))-N(AL443))</f>
        <v/>
      </c>
      <c r="AN443" s="43">
        <f>IFERROR(IF(MAX(N(L443),N(O443))=0,"",AM443/MAX(N(L443),N(O443))),"")</f>
        <v/>
      </c>
      <c r="AO443" s="41" t="n"/>
      <c r="AP443" s="41" t="n"/>
      <c r="AQ443" s="41" t="n"/>
      <c r="AR443" s="41" t="n"/>
      <c r="AS443" s="41" t="n"/>
      <c r="AT443" s="37" t="n"/>
      <c r="AU443" s="10" t="inlineStr">
        <is>
          <t>PRD-0439</t>
        </is>
      </c>
    </row>
    <row r="444">
      <c r="A444" s="16">
        <f>IF($C444="","",IFERROR(IF(INDEX(tbl_Finance[Latest Invoice Date],MATCH($AU444,tbl_Finance[Row ID],0))="","",INDEX(tbl_Finance[Latest Invoice Date],MATCH($AU444,tbl_Finance[Row ID],0))),""))</f>
        <v/>
      </c>
      <c r="B444" s="10">
        <f>IF($C444="","",IFERROR(INDEX(tbl_Finance[Invoice Numbers],MATCH($AU444,tbl_Finance[Row ID],0))&amp;"",""))</f>
        <v/>
      </c>
      <c r="C444" s="37" t="n"/>
      <c r="D444" s="10">
        <f>IF($C444="","",IF(COUNTIF(lst_Jobs,$C444&amp;"")&gt;0,"OK","CHECK"))</f>
        <v/>
      </c>
      <c r="E444" s="10">
        <f>IF($C444="","",IFERROR(INDEX(lst_JobName,MATCH($C444&amp;"",lst_Jobs,0)),""))</f>
        <v/>
      </c>
      <c r="F444" s="37" t="n"/>
      <c r="G444" s="37" t="n"/>
      <c r="H444" s="37" t="n"/>
      <c r="I444" s="37" t="n"/>
      <c r="J444" s="37" t="n"/>
      <c r="K444" s="38">
        <f>IF($C444="","",IFERROR(N(INDEX(tbl_Finance[Invoice Count],MATCH($AU444,tbl_Finance[Row ID],0))),""))</f>
        <v/>
      </c>
      <c r="L444" s="11">
        <f>IF($C444="","",IFERROR(N(INDEX(tbl_Finance[Xero Invoiced Ex GST],MATCH($AU444,tbl_Finance[Row ID],0))),""))</f>
        <v/>
      </c>
      <c r="M444" s="10">
        <f>IF($C444="","",IFERROR(INDEX(tbl_Finance[Compare],MATCH($AU444,tbl_Finance[Row ID],0))&amp;"",""))</f>
        <v/>
      </c>
      <c r="N444" s="11">
        <f>IF($C444="","",MAX(0,N(O444)-N(L444)))</f>
        <v/>
      </c>
      <c r="O444" s="39" t="n"/>
      <c r="P444" s="40">
        <f>IF($C444="","",IF((IF(F444="",", Client","")&amp;IF(G444="",", Description","")&amp;IF(H444="",", Cost Centre","")&amp;IF(I444="",", Invoice Type","")&amp;IF(J444="",", Tax Code","")&amp;IF(O444="",", Expected Revenue","")&amp;IF(COUNTIF(tbl_Finance[Job Number],$C444&amp;"")&gt;1,", Job number used twice",""))="","Complete","Fix: "&amp;MID(IF(F444="",", Client","")&amp;IF(G444="",", Description","")&amp;IF(H444="",", Cost Centre","")&amp;IF(I444="",", Invoice Type","")&amp;IF(J444="",", Tax Code","")&amp;IF(O444="",", Expected Revenue","")&amp;IF(COUNTIF(tbl_Finance[Job Number],$C444&amp;"")&gt;1,", Job number used twice",""),3,300)))</f>
        <v/>
      </c>
      <c r="Q444" s="10">
        <f>IF($C444="","",IF(H444="","(no cost centre)",H444&amp;" - GL "&amp;IFERROR(INDEX(lst_CCtoGL,MATCH(H444,lst_CCforGL,0)),"?")))</f>
        <v/>
      </c>
      <c r="R444" s="11">
        <f>IF($C444="","",IFERROR(N(INDEX(tbl_Finance[Inc GST],MATCH($AU444,tbl_Finance[Row ID],0))),""))</f>
        <v/>
      </c>
      <c r="S444" s="37" t="n"/>
      <c r="T444" s="37" t="n"/>
      <c r="U444" s="37" t="n"/>
      <c r="V444" s="42" t="n"/>
      <c r="W444" s="37" t="n"/>
      <c r="X444" s="10">
        <f>IF(W444="","",IF(AND(LEFT(W444,4)&lt;&gt;"http",set_RMSBase=""),"",HYPERLINK(IF(LEFT(W444,4)="http",W444,set_RMSBase&amp;W444),"Open in RMS")))</f>
        <v/>
      </c>
      <c r="Y444" s="37" t="n"/>
      <c r="Z444" s="10">
        <f>IF(Y444="","",HYPERLINK(IF(LEFT(Y444,4)="http",Y444,set_QwilrBase&amp;Y444),"Open quote"))</f>
        <v/>
      </c>
      <c r="AA444" s="10">
        <f>IF(C444="","",C444)</f>
        <v/>
      </c>
      <c r="AB444" s="37" t="n"/>
      <c r="AC444" s="39" t="n"/>
      <c r="AD444" s="11">
        <f>IF(C444="","",N(L444)+N(AC444))</f>
        <v/>
      </c>
      <c r="AE444" s="43">
        <f>IFERROR(IF(N(AC444)=0,"",AC444/AD444),"")</f>
        <v/>
      </c>
      <c r="AF444" s="39" t="n"/>
      <c r="AG444" s="39" t="n"/>
      <c r="AH444" s="39" t="n"/>
      <c r="AI444" s="39" t="n"/>
      <c r="AJ444" s="11">
        <f>IF(C444="","",IF(H444="VIDEO",N(L444),0))</f>
        <v/>
      </c>
      <c r="AK444" s="43">
        <f>IFERROR(IF(N(L444)=0,"",AJ444/L444),"")</f>
        <v/>
      </c>
      <c r="AL444" s="11">
        <f>IF(C444="","",N(AF444)+N(AG444)+N(AH444)+N(AI444))</f>
        <v/>
      </c>
      <c r="AM444" s="11">
        <f>IF(C444="","",MAX(N(L444),N(O444))-N(AL444))</f>
        <v/>
      </c>
      <c r="AN444" s="43">
        <f>IFERROR(IF(MAX(N(L444),N(O444))=0,"",AM444/MAX(N(L444),N(O444))),"")</f>
        <v/>
      </c>
      <c r="AO444" s="41" t="n"/>
      <c r="AP444" s="41" t="n"/>
      <c r="AQ444" s="41" t="n"/>
      <c r="AR444" s="41" t="n"/>
      <c r="AS444" s="41" t="n"/>
      <c r="AT444" s="37" t="n"/>
      <c r="AU444" s="10" t="inlineStr">
        <is>
          <t>PRD-0440</t>
        </is>
      </c>
    </row>
    <row r="445">
      <c r="A445" s="16">
        <f>IF($C445="","",IFERROR(IF(INDEX(tbl_Finance[Latest Invoice Date],MATCH($AU445,tbl_Finance[Row ID],0))="","",INDEX(tbl_Finance[Latest Invoice Date],MATCH($AU445,tbl_Finance[Row ID],0))),""))</f>
        <v/>
      </c>
      <c r="B445" s="10">
        <f>IF($C445="","",IFERROR(INDEX(tbl_Finance[Invoice Numbers],MATCH($AU445,tbl_Finance[Row ID],0))&amp;"",""))</f>
        <v/>
      </c>
      <c r="C445" s="37" t="n"/>
      <c r="D445" s="10">
        <f>IF($C445="","",IF(COUNTIF(lst_Jobs,$C445&amp;"")&gt;0,"OK","CHECK"))</f>
        <v/>
      </c>
      <c r="E445" s="10">
        <f>IF($C445="","",IFERROR(INDEX(lst_JobName,MATCH($C445&amp;"",lst_Jobs,0)),""))</f>
        <v/>
      </c>
      <c r="F445" s="37" t="n"/>
      <c r="G445" s="37" t="n"/>
      <c r="H445" s="37" t="n"/>
      <c r="I445" s="37" t="n"/>
      <c r="J445" s="37" t="n"/>
      <c r="K445" s="38">
        <f>IF($C445="","",IFERROR(N(INDEX(tbl_Finance[Invoice Count],MATCH($AU445,tbl_Finance[Row ID],0))),""))</f>
        <v/>
      </c>
      <c r="L445" s="11">
        <f>IF($C445="","",IFERROR(N(INDEX(tbl_Finance[Xero Invoiced Ex GST],MATCH($AU445,tbl_Finance[Row ID],0))),""))</f>
        <v/>
      </c>
      <c r="M445" s="10">
        <f>IF($C445="","",IFERROR(INDEX(tbl_Finance[Compare],MATCH($AU445,tbl_Finance[Row ID],0))&amp;"",""))</f>
        <v/>
      </c>
      <c r="N445" s="11">
        <f>IF($C445="","",MAX(0,N(O445)-N(L445)))</f>
        <v/>
      </c>
      <c r="O445" s="39" t="n"/>
      <c r="P445" s="40">
        <f>IF($C445="","",IF((IF(F445="",", Client","")&amp;IF(G445="",", Description","")&amp;IF(H445="",", Cost Centre","")&amp;IF(I445="",", Invoice Type","")&amp;IF(J445="",", Tax Code","")&amp;IF(O445="",", Expected Revenue","")&amp;IF(COUNTIF(tbl_Finance[Job Number],$C445&amp;"")&gt;1,", Job number used twice",""))="","Complete","Fix: "&amp;MID(IF(F445="",", Client","")&amp;IF(G445="",", Description","")&amp;IF(H445="",", Cost Centre","")&amp;IF(I445="",", Invoice Type","")&amp;IF(J445="",", Tax Code","")&amp;IF(O445="",", Expected Revenue","")&amp;IF(COUNTIF(tbl_Finance[Job Number],$C445&amp;"")&gt;1,", Job number used twice",""),3,300)))</f>
        <v/>
      </c>
      <c r="Q445" s="10">
        <f>IF($C445="","",IF(H445="","(no cost centre)",H445&amp;" - GL "&amp;IFERROR(INDEX(lst_CCtoGL,MATCH(H445,lst_CCforGL,0)),"?")))</f>
        <v/>
      </c>
      <c r="R445" s="11">
        <f>IF($C445="","",IFERROR(N(INDEX(tbl_Finance[Inc GST],MATCH($AU445,tbl_Finance[Row ID],0))),""))</f>
        <v/>
      </c>
      <c r="S445" s="37" t="n"/>
      <c r="T445" s="37" t="n"/>
      <c r="U445" s="37" t="n"/>
      <c r="V445" s="42" t="n"/>
      <c r="W445" s="37" t="n"/>
      <c r="X445" s="10">
        <f>IF(W445="","",IF(AND(LEFT(W445,4)&lt;&gt;"http",set_RMSBase=""),"",HYPERLINK(IF(LEFT(W445,4)="http",W445,set_RMSBase&amp;W445),"Open in RMS")))</f>
        <v/>
      </c>
      <c r="Y445" s="37" t="n"/>
      <c r="Z445" s="10">
        <f>IF(Y445="","",HYPERLINK(IF(LEFT(Y445,4)="http",Y445,set_QwilrBase&amp;Y445),"Open quote"))</f>
        <v/>
      </c>
      <c r="AA445" s="10">
        <f>IF(C445="","",C445)</f>
        <v/>
      </c>
      <c r="AB445" s="37" t="n"/>
      <c r="AC445" s="39" t="n"/>
      <c r="AD445" s="11">
        <f>IF(C445="","",N(L445)+N(AC445))</f>
        <v/>
      </c>
      <c r="AE445" s="43">
        <f>IFERROR(IF(N(AC445)=0,"",AC445/AD445),"")</f>
        <v/>
      </c>
      <c r="AF445" s="39" t="n"/>
      <c r="AG445" s="39" t="n"/>
      <c r="AH445" s="39" t="n"/>
      <c r="AI445" s="39" t="n"/>
      <c r="AJ445" s="11">
        <f>IF(C445="","",IF(H445="VIDEO",N(L445),0))</f>
        <v/>
      </c>
      <c r="AK445" s="43">
        <f>IFERROR(IF(N(L445)=0,"",AJ445/L445),"")</f>
        <v/>
      </c>
      <c r="AL445" s="11">
        <f>IF(C445="","",N(AF445)+N(AG445)+N(AH445)+N(AI445))</f>
        <v/>
      </c>
      <c r="AM445" s="11">
        <f>IF(C445="","",MAX(N(L445),N(O445))-N(AL445))</f>
        <v/>
      </c>
      <c r="AN445" s="43">
        <f>IFERROR(IF(MAX(N(L445),N(O445))=0,"",AM445/MAX(N(L445),N(O445))),"")</f>
        <v/>
      </c>
      <c r="AO445" s="41" t="n"/>
      <c r="AP445" s="41" t="n"/>
      <c r="AQ445" s="41" t="n"/>
      <c r="AR445" s="41" t="n"/>
      <c r="AS445" s="41" t="n"/>
      <c r="AT445" s="37" t="n"/>
      <c r="AU445" s="10" t="inlineStr">
        <is>
          <t>PRD-0441</t>
        </is>
      </c>
    </row>
    <row r="446">
      <c r="A446" s="16">
        <f>IF($C446="","",IFERROR(IF(INDEX(tbl_Finance[Latest Invoice Date],MATCH($AU446,tbl_Finance[Row ID],0))="","",INDEX(tbl_Finance[Latest Invoice Date],MATCH($AU446,tbl_Finance[Row ID],0))),""))</f>
        <v/>
      </c>
      <c r="B446" s="10">
        <f>IF($C446="","",IFERROR(INDEX(tbl_Finance[Invoice Numbers],MATCH($AU446,tbl_Finance[Row ID],0))&amp;"",""))</f>
        <v/>
      </c>
      <c r="C446" s="37" t="n"/>
      <c r="D446" s="10">
        <f>IF($C446="","",IF(COUNTIF(lst_Jobs,$C446&amp;"")&gt;0,"OK","CHECK"))</f>
        <v/>
      </c>
      <c r="E446" s="10">
        <f>IF($C446="","",IFERROR(INDEX(lst_JobName,MATCH($C446&amp;"",lst_Jobs,0)),""))</f>
        <v/>
      </c>
      <c r="F446" s="37" t="n"/>
      <c r="G446" s="37" t="n"/>
      <c r="H446" s="37" t="n"/>
      <c r="I446" s="37" t="n"/>
      <c r="J446" s="37" t="n"/>
      <c r="K446" s="38">
        <f>IF($C446="","",IFERROR(N(INDEX(tbl_Finance[Invoice Count],MATCH($AU446,tbl_Finance[Row ID],0))),""))</f>
        <v/>
      </c>
      <c r="L446" s="11">
        <f>IF($C446="","",IFERROR(N(INDEX(tbl_Finance[Xero Invoiced Ex GST],MATCH($AU446,tbl_Finance[Row ID],0))),""))</f>
        <v/>
      </c>
      <c r="M446" s="10">
        <f>IF($C446="","",IFERROR(INDEX(tbl_Finance[Compare],MATCH($AU446,tbl_Finance[Row ID],0))&amp;"",""))</f>
        <v/>
      </c>
      <c r="N446" s="11">
        <f>IF($C446="","",MAX(0,N(O446)-N(L446)))</f>
        <v/>
      </c>
      <c r="O446" s="39" t="n"/>
      <c r="P446" s="40">
        <f>IF($C446="","",IF((IF(F446="",", Client","")&amp;IF(G446="",", Description","")&amp;IF(H446="",", Cost Centre","")&amp;IF(I446="",", Invoice Type","")&amp;IF(J446="",", Tax Code","")&amp;IF(O446="",", Expected Revenue","")&amp;IF(COUNTIF(tbl_Finance[Job Number],$C446&amp;"")&gt;1,", Job number used twice",""))="","Complete","Fix: "&amp;MID(IF(F446="",", Client","")&amp;IF(G446="",", Description","")&amp;IF(H446="",", Cost Centre","")&amp;IF(I446="",", Invoice Type","")&amp;IF(J446="",", Tax Code","")&amp;IF(O446="",", Expected Revenue","")&amp;IF(COUNTIF(tbl_Finance[Job Number],$C446&amp;"")&gt;1,", Job number used twice",""),3,300)))</f>
        <v/>
      </c>
      <c r="Q446" s="10">
        <f>IF($C446="","",IF(H446="","(no cost centre)",H446&amp;" - GL "&amp;IFERROR(INDEX(lst_CCtoGL,MATCH(H446,lst_CCforGL,0)),"?")))</f>
        <v/>
      </c>
      <c r="R446" s="11">
        <f>IF($C446="","",IFERROR(N(INDEX(tbl_Finance[Inc GST],MATCH($AU446,tbl_Finance[Row ID],0))),""))</f>
        <v/>
      </c>
      <c r="S446" s="37" t="n"/>
      <c r="T446" s="37" t="n"/>
      <c r="U446" s="37" t="n"/>
      <c r="V446" s="42" t="n"/>
      <c r="W446" s="37" t="n"/>
      <c r="X446" s="10">
        <f>IF(W446="","",IF(AND(LEFT(W446,4)&lt;&gt;"http",set_RMSBase=""),"",HYPERLINK(IF(LEFT(W446,4)="http",W446,set_RMSBase&amp;W446),"Open in RMS")))</f>
        <v/>
      </c>
      <c r="Y446" s="37" t="n"/>
      <c r="Z446" s="10">
        <f>IF(Y446="","",HYPERLINK(IF(LEFT(Y446,4)="http",Y446,set_QwilrBase&amp;Y446),"Open quote"))</f>
        <v/>
      </c>
      <c r="AA446" s="10">
        <f>IF(C446="","",C446)</f>
        <v/>
      </c>
      <c r="AB446" s="37" t="n"/>
      <c r="AC446" s="39" t="n"/>
      <c r="AD446" s="11">
        <f>IF(C446="","",N(L446)+N(AC446))</f>
        <v/>
      </c>
      <c r="AE446" s="43">
        <f>IFERROR(IF(N(AC446)=0,"",AC446/AD446),"")</f>
        <v/>
      </c>
      <c r="AF446" s="39" t="n"/>
      <c r="AG446" s="39" t="n"/>
      <c r="AH446" s="39" t="n"/>
      <c r="AI446" s="39" t="n"/>
      <c r="AJ446" s="11">
        <f>IF(C446="","",IF(H446="VIDEO",N(L446),0))</f>
        <v/>
      </c>
      <c r="AK446" s="43">
        <f>IFERROR(IF(N(L446)=0,"",AJ446/L446),"")</f>
        <v/>
      </c>
      <c r="AL446" s="11">
        <f>IF(C446="","",N(AF446)+N(AG446)+N(AH446)+N(AI446))</f>
        <v/>
      </c>
      <c r="AM446" s="11">
        <f>IF(C446="","",MAX(N(L446),N(O446))-N(AL446))</f>
        <v/>
      </c>
      <c r="AN446" s="43">
        <f>IFERROR(IF(MAX(N(L446),N(O446))=0,"",AM446/MAX(N(L446),N(O446))),"")</f>
        <v/>
      </c>
      <c r="AO446" s="41" t="n"/>
      <c r="AP446" s="41" t="n"/>
      <c r="AQ446" s="41" t="n"/>
      <c r="AR446" s="41" t="n"/>
      <c r="AS446" s="41" t="n"/>
      <c r="AT446" s="37" t="n"/>
      <c r="AU446" s="10" t="inlineStr">
        <is>
          <t>PRD-0442</t>
        </is>
      </c>
    </row>
    <row r="447">
      <c r="A447" s="16">
        <f>IF($C447="","",IFERROR(IF(INDEX(tbl_Finance[Latest Invoice Date],MATCH($AU447,tbl_Finance[Row ID],0))="","",INDEX(tbl_Finance[Latest Invoice Date],MATCH($AU447,tbl_Finance[Row ID],0))),""))</f>
        <v/>
      </c>
      <c r="B447" s="10">
        <f>IF($C447="","",IFERROR(INDEX(tbl_Finance[Invoice Numbers],MATCH($AU447,tbl_Finance[Row ID],0))&amp;"",""))</f>
        <v/>
      </c>
      <c r="C447" s="37" t="n"/>
      <c r="D447" s="10">
        <f>IF($C447="","",IF(COUNTIF(lst_Jobs,$C447&amp;"")&gt;0,"OK","CHECK"))</f>
        <v/>
      </c>
      <c r="E447" s="10">
        <f>IF($C447="","",IFERROR(INDEX(lst_JobName,MATCH($C447&amp;"",lst_Jobs,0)),""))</f>
        <v/>
      </c>
      <c r="F447" s="37" t="n"/>
      <c r="G447" s="37" t="n"/>
      <c r="H447" s="37" t="n"/>
      <c r="I447" s="37" t="n"/>
      <c r="J447" s="37" t="n"/>
      <c r="K447" s="38">
        <f>IF($C447="","",IFERROR(N(INDEX(tbl_Finance[Invoice Count],MATCH($AU447,tbl_Finance[Row ID],0))),""))</f>
        <v/>
      </c>
      <c r="L447" s="11">
        <f>IF($C447="","",IFERROR(N(INDEX(tbl_Finance[Xero Invoiced Ex GST],MATCH($AU447,tbl_Finance[Row ID],0))),""))</f>
        <v/>
      </c>
      <c r="M447" s="10">
        <f>IF($C447="","",IFERROR(INDEX(tbl_Finance[Compare],MATCH($AU447,tbl_Finance[Row ID],0))&amp;"",""))</f>
        <v/>
      </c>
      <c r="N447" s="11">
        <f>IF($C447="","",MAX(0,N(O447)-N(L447)))</f>
        <v/>
      </c>
      <c r="O447" s="39" t="n"/>
      <c r="P447" s="40">
        <f>IF($C447="","",IF((IF(F447="",", Client","")&amp;IF(G447="",", Description","")&amp;IF(H447="",", Cost Centre","")&amp;IF(I447="",", Invoice Type","")&amp;IF(J447="",", Tax Code","")&amp;IF(O447="",", Expected Revenue","")&amp;IF(COUNTIF(tbl_Finance[Job Number],$C447&amp;"")&gt;1,", Job number used twice",""))="","Complete","Fix: "&amp;MID(IF(F447="",", Client","")&amp;IF(G447="",", Description","")&amp;IF(H447="",", Cost Centre","")&amp;IF(I447="",", Invoice Type","")&amp;IF(J447="",", Tax Code","")&amp;IF(O447="",", Expected Revenue","")&amp;IF(COUNTIF(tbl_Finance[Job Number],$C447&amp;"")&gt;1,", Job number used twice",""),3,300)))</f>
        <v/>
      </c>
      <c r="Q447" s="10">
        <f>IF($C447="","",IF(H447="","(no cost centre)",H447&amp;" - GL "&amp;IFERROR(INDEX(lst_CCtoGL,MATCH(H447,lst_CCforGL,0)),"?")))</f>
        <v/>
      </c>
      <c r="R447" s="11">
        <f>IF($C447="","",IFERROR(N(INDEX(tbl_Finance[Inc GST],MATCH($AU447,tbl_Finance[Row ID],0))),""))</f>
        <v/>
      </c>
      <c r="S447" s="37" t="n"/>
      <c r="T447" s="37" t="n"/>
      <c r="U447" s="37" t="n"/>
      <c r="V447" s="42" t="n"/>
      <c r="W447" s="37" t="n"/>
      <c r="X447" s="10">
        <f>IF(W447="","",IF(AND(LEFT(W447,4)&lt;&gt;"http",set_RMSBase=""),"",HYPERLINK(IF(LEFT(W447,4)="http",W447,set_RMSBase&amp;W447),"Open in RMS")))</f>
        <v/>
      </c>
      <c r="Y447" s="37" t="n"/>
      <c r="Z447" s="10">
        <f>IF(Y447="","",HYPERLINK(IF(LEFT(Y447,4)="http",Y447,set_QwilrBase&amp;Y447),"Open quote"))</f>
        <v/>
      </c>
      <c r="AA447" s="10">
        <f>IF(C447="","",C447)</f>
        <v/>
      </c>
      <c r="AB447" s="37" t="n"/>
      <c r="AC447" s="39" t="n"/>
      <c r="AD447" s="11">
        <f>IF(C447="","",N(L447)+N(AC447))</f>
        <v/>
      </c>
      <c r="AE447" s="43">
        <f>IFERROR(IF(N(AC447)=0,"",AC447/AD447),"")</f>
        <v/>
      </c>
      <c r="AF447" s="39" t="n"/>
      <c r="AG447" s="39" t="n"/>
      <c r="AH447" s="39" t="n"/>
      <c r="AI447" s="39" t="n"/>
      <c r="AJ447" s="11">
        <f>IF(C447="","",IF(H447="VIDEO",N(L447),0))</f>
        <v/>
      </c>
      <c r="AK447" s="43">
        <f>IFERROR(IF(N(L447)=0,"",AJ447/L447),"")</f>
        <v/>
      </c>
      <c r="AL447" s="11">
        <f>IF(C447="","",N(AF447)+N(AG447)+N(AH447)+N(AI447))</f>
        <v/>
      </c>
      <c r="AM447" s="11">
        <f>IF(C447="","",MAX(N(L447),N(O447))-N(AL447))</f>
        <v/>
      </c>
      <c r="AN447" s="43">
        <f>IFERROR(IF(MAX(N(L447),N(O447))=0,"",AM447/MAX(N(L447),N(O447))),"")</f>
        <v/>
      </c>
      <c r="AO447" s="41" t="n"/>
      <c r="AP447" s="41" t="n"/>
      <c r="AQ447" s="41" t="n"/>
      <c r="AR447" s="41" t="n"/>
      <c r="AS447" s="41" t="n"/>
      <c r="AT447" s="37" t="n"/>
      <c r="AU447" s="10" t="inlineStr">
        <is>
          <t>PRD-0443</t>
        </is>
      </c>
    </row>
    <row r="448">
      <c r="A448" s="16">
        <f>IF($C448="","",IFERROR(IF(INDEX(tbl_Finance[Latest Invoice Date],MATCH($AU448,tbl_Finance[Row ID],0))="","",INDEX(tbl_Finance[Latest Invoice Date],MATCH($AU448,tbl_Finance[Row ID],0))),""))</f>
        <v/>
      </c>
      <c r="B448" s="10">
        <f>IF($C448="","",IFERROR(INDEX(tbl_Finance[Invoice Numbers],MATCH($AU448,tbl_Finance[Row ID],0))&amp;"",""))</f>
        <v/>
      </c>
      <c r="C448" s="37" t="n"/>
      <c r="D448" s="10">
        <f>IF($C448="","",IF(COUNTIF(lst_Jobs,$C448&amp;"")&gt;0,"OK","CHECK"))</f>
        <v/>
      </c>
      <c r="E448" s="10">
        <f>IF($C448="","",IFERROR(INDEX(lst_JobName,MATCH($C448&amp;"",lst_Jobs,0)),""))</f>
        <v/>
      </c>
      <c r="F448" s="37" t="n"/>
      <c r="G448" s="37" t="n"/>
      <c r="H448" s="37" t="n"/>
      <c r="I448" s="37" t="n"/>
      <c r="J448" s="37" t="n"/>
      <c r="K448" s="38">
        <f>IF($C448="","",IFERROR(N(INDEX(tbl_Finance[Invoice Count],MATCH($AU448,tbl_Finance[Row ID],0))),""))</f>
        <v/>
      </c>
      <c r="L448" s="11">
        <f>IF($C448="","",IFERROR(N(INDEX(tbl_Finance[Xero Invoiced Ex GST],MATCH($AU448,tbl_Finance[Row ID],0))),""))</f>
        <v/>
      </c>
      <c r="M448" s="10">
        <f>IF($C448="","",IFERROR(INDEX(tbl_Finance[Compare],MATCH($AU448,tbl_Finance[Row ID],0))&amp;"",""))</f>
        <v/>
      </c>
      <c r="N448" s="11">
        <f>IF($C448="","",MAX(0,N(O448)-N(L448)))</f>
        <v/>
      </c>
      <c r="O448" s="39" t="n"/>
      <c r="P448" s="40">
        <f>IF($C448="","",IF((IF(F448="",", Client","")&amp;IF(G448="",", Description","")&amp;IF(H448="",", Cost Centre","")&amp;IF(I448="",", Invoice Type","")&amp;IF(J448="",", Tax Code","")&amp;IF(O448="",", Expected Revenue","")&amp;IF(COUNTIF(tbl_Finance[Job Number],$C448&amp;"")&gt;1,", Job number used twice",""))="","Complete","Fix: "&amp;MID(IF(F448="",", Client","")&amp;IF(G448="",", Description","")&amp;IF(H448="",", Cost Centre","")&amp;IF(I448="",", Invoice Type","")&amp;IF(J448="",", Tax Code","")&amp;IF(O448="",", Expected Revenue","")&amp;IF(COUNTIF(tbl_Finance[Job Number],$C448&amp;"")&gt;1,", Job number used twice",""),3,300)))</f>
        <v/>
      </c>
      <c r="Q448" s="10">
        <f>IF($C448="","",IF(H448="","(no cost centre)",H448&amp;" - GL "&amp;IFERROR(INDEX(lst_CCtoGL,MATCH(H448,lst_CCforGL,0)),"?")))</f>
        <v/>
      </c>
      <c r="R448" s="11">
        <f>IF($C448="","",IFERROR(N(INDEX(tbl_Finance[Inc GST],MATCH($AU448,tbl_Finance[Row ID],0))),""))</f>
        <v/>
      </c>
      <c r="S448" s="37" t="n"/>
      <c r="T448" s="37" t="n"/>
      <c r="U448" s="37" t="n"/>
      <c r="V448" s="42" t="n"/>
      <c r="W448" s="37" t="n"/>
      <c r="X448" s="10">
        <f>IF(W448="","",IF(AND(LEFT(W448,4)&lt;&gt;"http",set_RMSBase=""),"",HYPERLINK(IF(LEFT(W448,4)="http",W448,set_RMSBase&amp;W448),"Open in RMS")))</f>
        <v/>
      </c>
      <c r="Y448" s="37" t="n"/>
      <c r="Z448" s="10">
        <f>IF(Y448="","",HYPERLINK(IF(LEFT(Y448,4)="http",Y448,set_QwilrBase&amp;Y448),"Open quote"))</f>
        <v/>
      </c>
      <c r="AA448" s="10">
        <f>IF(C448="","",C448)</f>
        <v/>
      </c>
      <c r="AB448" s="37" t="n"/>
      <c r="AC448" s="39" t="n"/>
      <c r="AD448" s="11">
        <f>IF(C448="","",N(L448)+N(AC448))</f>
        <v/>
      </c>
      <c r="AE448" s="43">
        <f>IFERROR(IF(N(AC448)=0,"",AC448/AD448),"")</f>
        <v/>
      </c>
      <c r="AF448" s="39" t="n"/>
      <c r="AG448" s="39" t="n"/>
      <c r="AH448" s="39" t="n"/>
      <c r="AI448" s="39" t="n"/>
      <c r="AJ448" s="11">
        <f>IF(C448="","",IF(H448="VIDEO",N(L448),0))</f>
        <v/>
      </c>
      <c r="AK448" s="43">
        <f>IFERROR(IF(N(L448)=0,"",AJ448/L448),"")</f>
        <v/>
      </c>
      <c r="AL448" s="11">
        <f>IF(C448="","",N(AF448)+N(AG448)+N(AH448)+N(AI448))</f>
        <v/>
      </c>
      <c r="AM448" s="11">
        <f>IF(C448="","",MAX(N(L448),N(O448))-N(AL448))</f>
        <v/>
      </c>
      <c r="AN448" s="43">
        <f>IFERROR(IF(MAX(N(L448),N(O448))=0,"",AM448/MAX(N(L448),N(O448))),"")</f>
        <v/>
      </c>
      <c r="AO448" s="41" t="n"/>
      <c r="AP448" s="41" t="n"/>
      <c r="AQ448" s="41" t="n"/>
      <c r="AR448" s="41" t="n"/>
      <c r="AS448" s="41" t="n"/>
      <c r="AT448" s="37" t="n"/>
      <c r="AU448" s="10" t="inlineStr">
        <is>
          <t>PRD-0444</t>
        </is>
      </c>
    </row>
    <row r="449">
      <c r="A449" s="16">
        <f>IF($C449="","",IFERROR(IF(INDEX(tbl_Finance[Latest Invoice Date],MATCH($AU449,tbl_Finance[Row ID],0))="","",INDEX(tbl_Finance[Latest Invoice Date],MATCH($AU449,tbl_Finance[Row ID],0))),""))</f>
        <v/>
      </c>
      <c r="B449" s="10">
        <f>IF($C449="","",IFERROR(INDEX(tbl_Finance[Invoice Numbers],MATCH($AU449,tbl_Finance[Row ID],0))&amp;"",""))</f>
        <v/>
      </c>
      <c r="C449" s="37" t="n"/>
      <c r="D449" s="10">
        <f>IF($C449="","",IF(COUNTIF(lst_Jobs,$C449&amp;"")&gt;0,"OK","CHECK"))</f>
        <v/>
      </c>
      <c r="E449" s="10">
        <f>IF($C449="","",IFERROR(INDEX(lst_JobName,MATCH($C449&amp;"",lst_Jobs,0)),""))</f>
        <v/>
      </c>
      <c r="F449" s="37" t="n"/>
      <c r="G449" s="37" t="n"/>
      <c r="H449" s="37" t="n"/>
      <c r="I449" s="37" t="n"/>
      <c r="J449" s="37" t="n"/>
      <c r="K449" s="38">
        <f>IF($C449="","",IFERROR(N(INDEX(tbl_Finance[Invoice Count],MATCH($AU449,tbl_Finance[Row ID],0))),""))</f>
        <v/>
      </c>
      <c r="L449" s="11">
        <f>IF($C449="","",IFERROR(N(INDEX(tbl_Finance[Xero Invoiced Ex GST],MATCH($AU449,tbl_Finance[Row ID],0))),""))</f>
        <v/>
      </c>
      <c r="M449" s="10">
        <f>IF($C449="","",IFERROR(INDEX(tbl_Finance[Compare],MATCH($AU449,tbl_Finance[Row ID],0))&amp;"",""))</f>
        <v/>
      </c>
      <c r="N449" s="11">
        <f>IF($C449="","",MAX(0,N(O449)-N(L449)))</f>
        <v/>
      </c>
      <c r="O449" s="39" t="n"/>
      <c r="P449" s="40">
        <f>IF($C449="","",IF((IF(F449="",", Client","")&amp;IF(G449="",", Description","")&amp;IF(H449="",", Cost Centre","")&amp;IF(I449="",", Invoice Type","")&amp;IF(J449="",", Tax Code","")&amp;IF(O449="",", Expected Revenue","")&amp;IF(COUNTIF(tbl_Finance[Job Number],$C449&amp;"")&gt;1,", Job number used twice",""))="","Complete","Fix: "&amp;MID(IF(F449="",", Client","")&amp;IF(G449="",", Description","")&amp;IF(H449="",", Cost Centre","")&amp;IF(I449="",", Invoice Type","")&amp;IF(J449="",", Tax Code","")&amp;IF(O449="",", Expected Revenue","")&amp;IF(COUNTIF(tbl_Finance[Job Number],$C449&amp;"")&gt;1,", Job number used twice",""),3,300)))</f>
        <v/>
      </c>
      <c r="Q449" s="10">
        <f>IF($C449="","",IF(H449="","(no cost centre)",H449&amp;" - GL "&amp;IFERROR(INDEX(lst_CCtoGL,MATCH(H449,lst_CCforGL,0)),"?")))</f>
        <v/>
      </c>
      <c r="R449" s="11">
        <f>IF($C449="","",IFERROR(N(INDEX(tbl_Finance[Inc GST],MATCH($AU449,tbl_Finance[Row ID],0))),""))</f>
        <v/>
      </c>
      <c r="S449" s="37" t="n"/>
      <c r="T449" s="37" t="n"/>
      <c r="U449" s="37" t="n"/>
      <c r="V449" s="42" t="n"/>
      <c r="W449" s="37" t="n"/>
      <c r="X449" s="10">
        <f>IF(W449="","",IF(AND(LEFT(W449,4)&lt;&gt;"http",set_RMSBase=""),"",HYPERLINK(IF(LEFT(W449,4)="http",W449,set_RMSBase&amp;W449),"Open in RMS")))</f>
        <v/>
      </c>
      <c r="Y449" s="37" t="n"/>
      <c r="Z449" s="10">
        <f>IF(Y449="","",HYPERLINK(IF(LEFT(Y449,4)="http",Y449,set_QwilrBase&amp;Y449),"Open quote"))</f>
        <v/>
      </c>
      <c r="AA449" s="10">
        <f>IF(C449="","",C449)</f>
        <v/>
      </c>
      <c r="AB449" s="37" t="n"/>
      <c r="AC449" s="39" t="n"/>
      <c r="AD449" s="11">
        <f>IF(C449="","",N(L449)+N(AC449))</f>
        <v/>
      </c>
      <c r="AE449" s="43">
        <f>IFERROR(IF(N(AC449)=0,"",AC449/AD449),"")</f>
        <v/>
      </c>
      <c r="AF449" s="39" t="n"/>
      <c r="AG449" s="39" t="n"/>
      <c r="AH449" s="39" t="n"/>
      <c r="AI449" s="39" t="n"/>
      <c r="AJ449" s="11">
        <f>IF(C449="","",IF(H449="VIDEO",N(L449),0))</f>
        <v/>
      </c>
      <c r="AK449" s="43">
        <f>IFERROR(IF(N(L449)=0,"",AJ449/L449),"")</f>
        <v/>
      </c>
      <c r="AL449" s="11">
        <f>IF(C449="","",N(AF449)+N(AG449)+N(AH449)+N(AI449))</f>
        <v/>
      </c>
      <c r="AM449" s="11">
        <f>IF(C449="","",MAX(N(L449),N(O449))-N(AL449))</f>
        <v/>
      </c>
      <c r="AN449" s="43">
        <f>IFERROR(IF(MAX(N(L449),N(O449))=0,"",AM449/MAX(N(L449),N(O449))),"")</f>
        <v/>
      </c>
      <c r="AO449" s="41" t="n"/>
      <c r="AP449" s="41" t="n"/>
      <c r="AQ449" s="41" t="n"/>
      <c r="AR449" s="41" t="n"/>
      <c r="AS449" s="41" t="n"/>
      <c r="AT449" s="37" t="n"/>
      <c r="AU449" s="10" t="inlineStr">
        <is>
          <t>PRD-0445</t>
        </is>
      </c>
    </row>
    <row r="450">
      <c r="A450" s="16">
        <f>IF($C450="","",IFERROR(IF(INDEX(tbl_Finance[Latest Invoice Date],MATCH($AU450,tbl_Finance[Row ID],0))="","",INDEX(tbl_Finance[Latest Invoice Date],MATCH($AU450,tbl_Finance[Row ID],0))),""))</f>
        <v/>
      </c>
      <c r="B450" s="10">
        <f>IF($C450="","",IFERROR(INDEX(tbl_Finance[Invoice Numbers],MATCH($AU450,tbl_Finance[Row ID],0))&amp;"",""))</f>
        <v/>
      </c>
      <c r="C450" s="37" t="n"/>
      <c r="D450" s="10">
        <f>IF($C450="","",IF(COUNTIF(lst_Jobs,$C450&amp;"")&gt;0,"OK","CHECK"))</f>
        <v/>
      </c>
      <c r="E450" s="10">
        <f>IF($C450="","",IFERROR(INDEX(lst_JobName,MATCH($C450&amp;"",lst_Jobs,0)),""))</f>
        <v/>
      </c>
      <c r="F450" s="37" t="n"/>
      <c r="G450" s="37" t="n"/>
      <c r="H450" s="37" t="n"/>
      <c r="I450" s="37" t="n"/>
      <c r="J450" s="37" t="n"/>
      <c r="K450" s="38">
        <f>IF($C450="","",IFERROR(N(INDEX(tbl_Finance[Invoice Count],MATCH($AU450,tbl_Finance[Row ID],0))),""))</f>
        <v/>
      </c>
      <c r="L450" s="11">
        <f>IF($C450="","",IFERROR(N(INDEX(tbl_Finance[Xero Invoiced Ex GST],MATCH($AU450,tbl_Finance[Row ID],0))),""))</f>
        <v/>
      </c>
      <c r="M450" s="10">
        <f>IF($C450="","",IFERROR(INDEX(tbl_Finance[Compare],MATCH($AU450,tbl_Finance[Row ID],0))&amp;"",""))</f>
        <v/>
      </c>
      <c r="N450" s="11">
        <f>IF($C450="","",MAX(0,N(O450)-N(L450)))</f>
        <v/>
      </c>
      <c r="O450" s="39" t="n"/>
      <c r="P450" s="40">
        <f>IF($C450="","",IF((IF(F450="",", Client","")&amp;IF(G450="",", Description","")&amp;IF(H450="",", Cost Centre","")&amp;IF(I450="",", Invoice Type","")&amp;IF(J450="",", Tax Code","")&amp;IF(O450="",", Expected Revenue","")&amp;IF(COUNTIF(tbl_Finance[Job Number],$C450&amp;"")&gt;1,", Job number used twice",""))="","Complete","Fix: "&amp;MID(IF(F450="",", Client","")&amp;IF(G450="",", Description","")&amp;IF(H450="",", Cost Centre","")&amp;IF(I450="",", Invoice Type","")&amp;IF(J450="",", Tax Code","")&amp;IF(O450="",", Expected Revenue","")&amp;IF(COUNTIF(tbl_Finance[Job Number],$C450&amp;"")&gt;1,", Job number used twice",""),3,300)))</f>
        <v/>
      </c>
      <c r="Q450" s="10">
        <f>IF($C450="","",IF(H450="","(no cost centre)",H450&amp;" - GL "&amp;IFERROR(INDEX(lst_CCtoGL,MATCH(H450,lst_CCforGL,0)),"?")))</f>
        <v/>
      </c>
      <c r="R450" s="11">
        <f>IF($C450="","",IFERROR(N(INDEX(tbl_Finance[Inc GST],MATCH($AU450,tbl_Finance[Row ID],0))),""))</f>
        <v/>
      </c>
      <c r="S450" s="37" t="n"/>
      <c r="T450" s="37" t="n"/>
      <c r="U450" s="37" t="n"/>
      <c r="V450" s="42" t="n"/>
      <c r="W450" s="37" t="n"/>
      <c r="X450" s="10">
        <f>IF(W450="","",IF(AND(LEFT(W450,4)&lt;&gt;"http",set_RMSBase=""),"",HYPERLINK(IF(LEFT(W450,4)="http",W450,set_RMSBase&amp;W450),"Open in RMS")))</f>
        <v/>
      </c>
      <c r="Y450" s="37" t="n"/>
      <c r="Z450" s="10">
        <f>IF(Y450="","",HYPERLINK(IF(LEFT(Y450,4)="http",Y450,set_QwilrBase&amp;Y450),"Open quote"))</f>
        <v/>
      </c>
      <c r="AA450" s="10">
        <f>IF(C450="","",C450)</f>
        <v/>
      </c>
      <c r="AB450" s="37" t="n"/>
      <c r="AC450" s="39" t="n"/>
      <c r="AD450" s="11">
        <f>IF(C450="","",N(L450)+N(AC450))</f>
        <v/>
      </c>
      <c r="AE450" s="43">
        <f>IFERROR(IF(N(AC450)=0,"",AC450/AD450),"")</f>
        <v/>
      </c>
      <c r="AF450" s="39" t="n"/>
      <c r="AG450" s="39" t="n"/>
      <c r="AH450" s="39" t="n"/>
      <c r="AI450" s="39" t="n"/>
      <c r="AJ450" s="11">
        <f>IF(C450="","",IF(H450="VIDEO",N(L450),0))</f>
        <v/>
      </c>
      <c r="AK450" s="43">
        <f>IFERROR(IF(N(L450)=0,"",AJ450/L450),"")</f>
        <v/>
      </c>
      <c r="AL450" s="11">
        <f>IF(C450="","",N(AF450)+N(AG450)+N(AH450)+N(AI450))</f>
        <v/>
      </c>
      <c r="AM450" s="11">
        <f>IF(C450="","",MAX(N(L450),N(O450))-N(AL450))</f>
        <v/>
      </c>
      <c r="AN450" s="43">
        <f>IFERROR(IF(MAX(N(L450),N(O450))=0,"",AM450/MAX(N(L450),N(O450))),"")</f>
        <v/>
      </c>
      <c r="AO450" s="41" t="n"/>
      <c r="AP450" s="41" t="n"/>
      <c r="AQ450" s="41" t="n"/>
      <c r="AR450" s="41" t="n"/>
      <c r="AS450" s="41" t="n"/>
      <c r="AT450" s="37" t="n"/>
      <c r="AU450" s="10" t="inlineStr">
        <is>
          <t>PRD-0446</t>
        </is>
      </c>
    </row>
    <row r="451">
      <c r="A451" s="16">
        <f>IF($C451="","",IFERROR(IF(INDEX(tbl_Finance[Latest Invoice Date],MATCH($AU451,tbl_Finance[Row ID],0))="","",INDEX(tbl_Finance[Latest Invoice Date],MATCH($AU451,tbl_Finance[Row ID],0))),""))</f>
        <v/>
      </c>
      <c r="B451" s="10">
        <f>IF($C451="","",IFERROR(INDEX(tbl_Finance[Invoice Numbers],MATCH($AU451,tbl_Finance[Row ID],0))&amp;"",""))</f>
        <v/>
      </c>
      <c r="C451" s="37" t="n"/>
      <c r="D451" s="10">
        <f>IF($C451="","",IF(COUNTIF(lst_Jobs,$C451&amp;"")&gt;0,"OK","CHECK"))</f>
        <v/>
      </c>
      <c r="E451" s="10">
        <f>IF($C451="","",IFERROR(INDEX(lst_JobName,MATCH($C451&amp;"",lst_Jobs,0)),""))</f>
        <v/>
      </c>
      <c r="F451" s="37" t="n"/>
      <c r="G451" s="37" t="n"/>
      <c r="H451" s="37" t="n"/>
      <c r="I451" s="37" t="n"/>
      <c r="J451" s="37" t="n"/>
      <c r="K451" s="38">
        <f>IF($C451="","",IFERROR(N(INDEX(tbl_Finance[Invoice Count],MATCH($AU451,tbl_Finance[Row ID],0))),""))</f>
        <v/>
      </c>
      <c r="L451" s="11">
        <f>IF($C451="","",IFERROR(N(INDEX(tbl_Finance[Xero Invoiced Ex GST],MATCH($AU451,tbl_Finance[Row ID],0))),""))</f>
        <v/>
      </c>
      <c r="M451" s="10">
        <f>IF($C451="","",IFERROR(INDEX(tbl_Finance[Compare],MATCH($AU451,tbl_Finance[Row ID],0))&amp;"",""))</f>
        <v/>
      </c>
      <c r="N451" s="11">
        <f>IF($C451="","",MAX(0,N(O451)-N(L451)))</f>
        <v/>
      </c>
      <c r="O451" s="39" t="n"/>
      <c r="P451" s="40">
        <f>IF($C451="","",IF((IF(F451="",", Client","")&amp;IF(G451="",", Description","")&amp;IF(H451="",", Cost Centre","")&amp;IF(I451="",", Invoice Type","")&amp;IF(J451="",", Tax Code","")&amp;IF(O451="",", Expected Revenue","")&amp;IF(COUNTIF(tbl_Finance[Job Number],$C451&amp;"")&gt;1,", Job number used twice",""))="","Complete","Fix: "&amp;MID(IF(F451="",", Client","")&amp;IF(G451="",", Description","")&amp;IF(H451="",", Cost Centre","")&amp;IF(I451="",", Invoice Type","")&amp;IF(J451="",", Tax Code","")&amp;IF(O451="",", Expected Revenue","")&amp;IF(COUNTIF(tbl_Finance[Job Number],$C451&amp;"")&gt;1,", Job number used twice",""),3,300)))</f>
        <v/>
      </c>
      <c r="Q451" s="10">
        <f>IF($C451="","",IF(H451="","(no cost centre)",H451&amp;" - GL "&amp;IFERROR(INDEX(lst_CCtoGL,MATCH(H451,lst_CCforGL,0)),"?")))</f>
        <v/>
      </c>
      <c r="R451" s="11">
        <f>IF($C451="","",IFERROR(N(INDEX(tbl_Finance[Inc GST],MATCH($AU451,tbl_Finance[Row ID],0))),""))</f>
        <v/>
      </c>
      <c r="S451" s="37" t="n"/>
      <c r="T451" s="37" t="n"/>
      <c r="U451" s="37" t="n"/>
      <c r="V451" s="42" t="n"/>
      <c r="W451" s="37" t="n"/>
      <c r="X451" s="10">
        <f>IF(W451="","",IF(AND(LEFT(W451,4)&lt;&gt;"http",set_RMSBase=""),"",HYPERLINK(IF(LEFT(W451,4)="http",W451,set_RMSBase&amp;W451),"Open in RMS")))</f>
        <v/>
      </c>
      <c r="Y451" s="37" t="n"/>
      <c r="Z451" s="10">
        <f>IF(Y451="","",HYPERLINK(IF(LEFT(Y451,4)="http",Y451,set_QwilrBase&amp;Y451),"Open quote"))</f>
        <v/>
      </c>
      <c r="AA451" s="10">
        <f>IF(C451="","",C451)</f>
        <v/>
      </c>
      <c r="AB451" s="37" t="n"/>
      <c r="AC451" s="39" t="n"/>
      <c r="AD451" s="11">
        <f>IF(C451="","",N(L451)+N(AC451))</f>
        <v/>
      </c>
      <c r="AE451" s="43">
        <f>IFERROR(IF(N(AC451)=0,"",AC451/AD451),"")</f>
        <v/>
      </c>
      <c r="AF451" s="39" t="n"/>
      <c r="AG451" s="39" t="n"/>
      <c r="AH451" s="39" t="n"/>
      <c r="AI451" s="39" t="n"/>
      <c r="AJ451" s="11">
        <f>IF(C451="","",IF(H451="VIDEO",N(L451),0))</f>
        <v/>
      </c>
      <c r="AK451" s="43">
        <f>IFERROR(IF(N(L451)=0,"",AJ451/L451),"")</f>
        <v/>
      </c>
      <c r="AL451" s="11">
        <f>IF(C451="","",N(AF451)+N(AG451)+N(AH451)+N(AI451))</f>
        <v/>
      </c>
      <c r="AM451" s="11">
        <f>IF(C451="","",MAX(N(L451),N(O451))-N(AL451))</f>
        <v/>
      </c>
      <c r="AN451" s="43">
        <f>IFERROR(IF(MAX(N(L451),N(O451))=0,"",AM451/MAX(N(L451),N(O451))),"")</f>
        <v/>
      </c>
      <c r="AO451" s="41" t="n"/>
      <c r="AP451" s="41" t="n"/>
      <c r="AQ451" s="41" t="n"/>
      <c r="AR451" s="41" t="n"/>
      <c r="AS451" s="41" t="n"/>
      <c r="AT451" s="37" t="n"/>
      <c r="AU451" s="10" t="inlineStr">
        <is>
          <t>PRD-0447</t>
        </is>
      </c>
    </row>
    <row r="452">
      <c r="A452" s="16">
        <f>IF($C452="","",IFERROR(IF(INDEX(tbl_Finance[Latest Invoice Date],MATCH($AU452,tbl_Finance[Row ID],0))="","",INDEX(tbl_Finance[Latest Invoice Date],MATCH($AU452,tbl_Finance[Row ID],0))),""))</f>
        <v/>
      </c>
      <c r="B452" s="10">
        <f>IF($C452="","",IFERROR(INDEX(tbl_Finance[Invoice Numbers],MATCH($AU452,tbl_Finance[Row ID],0))&amp;"",""))</f>
        <v/>
      </c>
      <c r="C452" s="37" t="n"/>
      <c r="D452" s="10">
        <f>IF($C452="","",IF(COUNTIF(lst_Jobs,$C452&amp;"")&gt;0,"OK","CHECK"))</f>
        <v/>
      </c>
      <c r="E452" s="10">
        <f>IF($C452="","",IFERROR(INDEX(lst_JobName,MATCH($C452&amp;"",lst_Jobs,0)),""))</f>
        <v/>
      </c>
      <c r="F452" s="37" t="n"/>
      <c r="G452" s="37" t="n"/>
      <c r="H452" s="37" t="n"/>
      <c r="I452" s="37" t="n"/>
      <c r="J452" s="37" t="n"/>
      <c r="K452" s="38">
        <f>IF($C452="","",IFERROR(N(INDEX(tbl_Finance[Invoice Count],MATCH($AU452,tbl_Finance[Row ID],0))),""))</f>
        <v/>
      </c>
      <c r="L452" s="11">
        <f>IF($C452="","",IFERROR(N(INDEX(tbl_Finance[Xero Invoiced Ex GST],MATCH($AU452,tbl_Finance[Row ID],0))),""))</f>
        <v/>
      </c>
      <c r="M452" s="10">
        <f>IF($C452="","",IFERROR(INDEX(tbl_Finance[Compare],MATCH($AU452,tbl_Finance[Row ID],0))&amp;"",""))</f>
        <v/>
      </c>
      <c r="N452" s="11">
        <f>IF($C452="","",MAX(0,N(O452)-N(L452)))</f>
        <v/>
      </c>
      <c r="O452" s="39" t="n"/>
      <c r="P452" s="40">
        <f>IF($C452="","",IF((IF(F452="",", Client","")&amp;IF(G452="",", Description","")&amp;IF(H452="",", Cost Centre","")&amp;IF(I452="",", Invoice Type","")&amp;IF(J452="",", Tax Code","")&amp;IF(O452="",", Expected Revenue","")&amp;IF(COUNTIF(tbl_Finance[Job Number],$C452&amp;"")&gt;1,", Job number used twice",""))="","Complete","Fix: "&amp;MID(IF(F452="",", Client","")&amp;IF(G452="",", Description","")&amp;IF(H452="",", Cost Centre","")&amp;IF(I452="",", Invoice Type","")&amp;IF(J452="",", Tax Code","")&amp;IF(O452="",", Expected Revenue","")&amp;IF(COUNTIF(tbl_Finance[Job Number],$C452&amp;"")&gt;1,", Job number used twice",""),3,300)))</f>
        <v/>
      </c>
      <c r="Q452" s="10">
        <f>IF($C452="","",IF(H452="","(no cost centre)",H452&amp;" - GL "&amp;IFERROR(INDEX(lst_CCtoGL,MATCH(H452,lst_CCforGL,0)),"?")))</f>
        <v/>
      </c>
      <c r="R452" s="11">
        <f>IF($C452="","",IFERROR(N(INDEX(tbl_Finance[Inc GST],MATCH($AU452,tbl_Finance[Row ID],0))),""))</f>
        <v/>
      </c>
      <c r="S452" s="37" t="n"/>
      <c r="T452" s="37" t="n"/>
      <c r="U452" s="37" t="n"/>
      <c r="V452" s="42" t="n"/>
      <c r="W452" s="37" t="n"/>
      <c r="X452" s="10">
        <f>IF(W452="","",IF(AND(LEFT(W452,4)&lt;&gt;"http",set_RMSBase=""),"",HYPERLINK(IF(LEFT(W452,4)="http",W452,set_RMSBase&amp;W452),"Open in RMS")))</f>
        <v/>
      </c>
      <c r="Y452" s="37" t="n"/>
      <c r="Z452" s="10">
        <f>IF(Y452="","",HYPERLINK(IF(LEFT(Y452,4)="http",Y452,set_QwilrBase&amp;Y452),"Open quote"))</f>
        <v/>
      </c>
      <c r="AA452" s="10">
        <f>IF(C452="","",C452)</f>
        <v/>
      </c>
      <c r="AB452" s="37" t="n"/>
      <c r="AC452" s="39" t="n"/>
      <c r="AD452" s="11">
        <f>IF(C452="","",N(L452)+N(AC452))</f>
        <v/>
      </c>
      <c r="AE452" s="43">
        <f>IFERROR(IF(N(AC452)=0,"",AC452/AD452),"")</f>
        <v/>
      </c>
      <c r="AF452" s="39" t="n"/>
      <c r="AG452" s="39" t="n"/>
      <c r="AH452" s="39" t="n"/>
      <c r="AI452" s="39" t="n"/>
      <c r="AJ452" s="11">
        <f>IF(C452="","",IF(H452="VIDEO",N(L452),0))</f>
        <v/>
      </c>
      <c r="AK452" s="43">
        <f>IFERROR(IF(N(L452)=0,"",AJ452/L452),"")</f>
        <v/>
      </c>
      <c r="AL452" s="11">
        <f>IF(C452="","",N(AF452)+N(AG452)+N(AH452)+N(AI452))</f>
        <v/>
      </c>
      <c r="AM452" s="11">
        <f>IF(C452="","",MAX(N(L452),N(O452))-N(AL452))</f>
        <v/>
      </c>
      <c r="AN452" s="43">
        <f>IFERROR(IF(MAX(N(L452),N(O452))=0,"",AM452/MAX(N(L452),N(O452))),"")</f>
        <v/>
      </c>
      <c r="AO452" s="41" t="n"/>
      <c r="AP452" s="41" t="n"/>
      <c r="AQ452" s="41" t="n"/>
      <c r="AR452" s="41" t="n"/>
      <c r="AS452" s="41" t="n"/>
      <c r="AT452" s="37" t="n"/>
      <c r="AU452" s="10" t="inlineStr">
        <is>
          <t>PRD-0448</t>
        </is>
      </c>
    </row>
    <row r="453">
      <c r="A453" s="16">
        <f>IF($C453="","",IFERROR(IF(INDEX(tbl_Finance[Latest Invoice Date],MATCH($AU453,tbl_Finance[Row ID],0))="","",INDEX(tbl_Finance[Latest Invoice Date],MATCH($AU453,tbl_Finance[Row ID],0))),""))</f>
        <v/>
      </c>
      <c r="B453" s="10">
        <f>IF($C453="","",IFERROR(INDEX(tbl_Finance[Invoice Numbers],MATCH($AU453,tbl_Finance[Row ID],0))&amp;"",""))</f>
        <v/>
      </c>
      <c r="C453" s="37" t="n"/>
      <c r="D453" s="10">
        <f>IF($C453="","",IF(COUNTIF(lst_Jobs,$C453&amp;"")&gt;0,"OK","CHECK"))</f>
        <v/>
      </c>
      <c r="E453" s="10">
        <f>IF($C453="","",IFERROR(INDEX(lst_JobName,MATCH($C453&amp;"",lst_Jobs,0)),""))</f>
        <v/>
      </c>
      <c r="F453" s="37" t="n"/>
      <c r="G453" s="37" t="n"/>
      <c r="H453" s="37" t="n"/>
      <c r="I453" s="37" t="n"/>
      <c r="J453" s="37" t="n"/>
      <c r="K453" s="38">
        <f>IF($C453="","",IFERROR(N(INDEX(tbl_Finance[Invoice Count],MATCH($AU453,tbl_Finance[Row ID],0))),""))</f>
        <v/>
      </c>
      <c r="L453" s="11">
        <f>IF($C453="","",IFERROR(N(INDEX(tbl_Finance[Xero Invoiced Ex GST],MATCH($AU453,tbl_Finance[Row ID],0))),""))</f>
        <v/>
      </c>
      <c r="M453" s="10">
        <f>IF($C453="","",IFERROR(INDEX(tbl_Finance[Compare],MATCH($AU453,tbl_Finance[Row ID],0))&amp;"",""))</f>
        <v/>
      </c>
      <c r="N453" s="11">
        <f>IF($C453="","",MAX(0,N(O453)-N(L453)))</f>
        <v/>
      </c>
      <c r="O453" s="39" t="n"/>
      <c r="P453" s="40">
        <f>IF($C453="","",IF((IF(F453="",", Client","")&amp;IF(G453="",", Description","")&amp;IF(H453="",", Cost Centre","")&amp;IF(I453="",", Invoice Type","")&amp;IF(J453="",", Tax Code","")&amp;IF(O453="",", Expected Revenue","")&amp;IF(COUNTIF(tbl_Finance[Job Number],$C453&amp;"")&gt;1,", Job number used twice",""))="","Complete","Fix: "&amp;MID(IF(F453="",", Client","")&amp;IF(G453="",", Description","")&amp;IF(H453="",", Cost Centre","")&amp;IF(I453="",", Invoice Type","")&amp;IF(J453="",", Tax Code","")&amp;IF(O453="",", Expected Revenue","")&amp;IF(COUNTIF(tbl_Finance[Job Number],$C453&amp;"")&gt;1,", Job number used twice",""),3,300)))</f>
        <v/>
      </c>
      <c r="Q453" s="10">
        <f>IF($C453="","",IF(H453="","(no cost centre)",H453&amp;" - GL "&amp;IFERROR(INDEX(lst_CCtoGL,MATCH(H453,lst_CCforGL,0)),"?")))</f>
        <v/>
      </c>
      <c r="R453" s="11">
        <f>IF($C453="","",IFERROR(N(INDEX(tbl_Finance[Inc GST],MATCH($AU453,tbl_Finance[Row ID],0))),""))</f>
        <v/>
      </c>
      <c r="S453" s="37" t="n"/>
      <c r="T453" s="37" t="n"/>
      <c r="U453" s="37" t="n"/>
      <c r="V453" s="42" t="n"/>
      <c r="W453" s="37" t="n"/>
      <c r="X453" s="10">
        <f>IF(W453="","",IF(AND(LEFT(W453,4)&lt;&gt;"http",set_RMSBase=""),"",HYPERLINK(IF(LEFT(W453,4)="http",W453,set_RMSBase&amp;W453),"Open in RMS")))</f>
        <v/>
      </c>
      <c r="Y453" s="37" t="n"/>
      <c r="Z453" s="10">
        <f>IF(Y453="","",HYPERLINK(IF(LEFT(Y453,4)="http",Y453,set_QwilrBase&amp;Y453),"Open quote"))</f>
        <v/>
      </c>
      <c r="AA453" s="10">
        <f>IF(C453="","",C453)</f>
        <v/>
      </c>
      <c r="AB453" s="37" t="n"/>
      <c r="AC453" s="39" t="n"/>
      <c r="AD453" s="11">
        <f>IF(C453="","",N(L453)+N(AC453))</f>
        <v/>
      </c>
      <c r="AE453" s="43">
        <f>IFERROR(IF(N(AC453)=0,"",AC453/AD453),"")</f>
        <v/>
      </c>
      <c r="AF453" s="39" t="n"/>
      <c r="AG453" s="39" t="n"/>
      <c r="AH453" s="39" t="n"/>
      <c r="AI453" s="39" t="n"/>
      <c r="AJ453" s="11">
        <f>IF(C453="","",IF(H453="VIDEO",N(L453),0))</f>
        <v/>
      </c>
      <c r="AK453" s="43">
        <f>IFERROR(IF(N(L453)=0,"",AJ453/L453),"")</f>
        <v/>
      </c>
      <c r="AL453" s="11">
        <f>IF(C453="","",N(AF453)+N(AG453)+N(AH453)+N(AI453))</f>
        <v/>
      </c>
      <c r="AM453" s="11">
        <f>IF(C453="","",MAX(N(L453),N(O453))-N(AL453))</f>
        <v/>
      </c>
      <c r="AN453" s="43">
        <f>IFERROR(IF(MAX(N(L453),N(O453))=0,"",AM453/MAX(N(L453),N(O453))),"")</f>
        <v/>
      </c>
      <c r="AO453" s="41" t="n"/>
      <c r="AP453" s="41" t="n"/>
      <c r="AQ453" s="41" t="n"/>
      <c r="AR453" s="41" t="n"/>
      <c r="AS453" s="41" t="n"/>
      <c r="AT453" s="37" t="n"/>
      <c r="AU453" s="10" t="inlineStr">
        <is>
          <t>PRD-0449</t>
        </is>
      </c>
    </row>
    <row r="454">
      <c r="A454" s="16">
        <f>IF($C454="","",IFERROR(IF(INDEX(tbl_Finance[Latest Invoice Date],MATCH($AU454,tbl_Finance[Row ID],0))="","",INDEX(tbl_Finance[Latest Invoice Date],MATCH($AU454,tbl_Finance[Row ID],0))),""))</f>
        <v/>
      </c>
      <c r="B454" s="10">
        <f>IF($C454="","",IFERROR(INDEX(tbl_Finance[Invoice Numbers],MATCH($AU454,tbl_Finance[Row ID],0))&amp;"",""))</f>
        <v/>
      </c>
      <c r="C454" s="37" t="n"/>
      <c r="D454" s="10">
        <f>IF($C454="","",IF(COUNTIF(lst_Jobs,$C454&amp;"")&gt;0,"OK","CHECK"))</f>
        <v/>
      </c>
      <c r="E454" s="10">
        <f>IF($C454="","",IFERROR(INDEX(lst_JobName,MATCH($C454&amp;"",lst_Jobs,0)),""))</f>
        <v/>
      </c>
      <c r="F454" s="37" t="n"/>
      <c r="G454" s="37" t="n"/>
      <c r="H454" s="37" t="n"/>
      <c r="I454" s="37" t="n"/>
      <c r="J454" s="37" t="n"/>
      <c r="K454" s="38">
        <f>IF($C454="","",IFERROR(N(INDEX(tbl_Finance[Invoice Count],MATCH($AU454,tbl_Finance[Row ID],0))),""))</f>
        <v/>
      </c>
      <c r="L454" s="11">
        <f>IF($C454="","",IFERROR(N(INDEX(tbl_Finance[Xero Invoiced Ex GST],MATCH($AU454,tbl_Finance[Row ID],0))),""))</f>
        <v/>
      </c>
      <c r="M454" s="10">
        <f>IF($C454="","",IFERROR(INDEX(tbl_Finance[Compare],MATCH($AU454,tbl_Finance[Row ID],0))&amp;"",""))</f>
        <v/>
      </c>
      <c r="N454" s="11">
        <f>IF($C454="","",MAX(0,N(O454)-N(L454)))</f>
        <v/>
      </c>
      <c r="O454" s="39" t="n"/>
      <c r="P454" s="40">
        <f>IF($C454="","",IF((IF(F454="",", Client","")&amp;IF(G454="",", Description","")&amp;IF(H454="",", Cost Centre","")&amp;IF(I454="",", Invoice Type","")&amp;IF(J454="",", Tax Code","")&amp;IF(O454="",", Expected Revenue","")&amp;IF(COUNTIF(tbl_Finance[Job Number],$C454&amp;"")&gt;1,", Job number used twice",""))="","Complete","Fix: "&amp;MID(IF(F454="",", Client","")&amp;IF(G454="",", Description","")&amp;IF(H454="",", Cost Centre","")&amp;IF(I454="",", Invoice Type","")&amp;IF(J454="",", Tax Code","")&amp;IF(O454="",", Expected Revenue","")&amp;IF(COUNTIF(tbl_Finance[Job Number],$C454&amp;"")&gt;1,", Job number used twice",""),3,300)))</f>
        <v/>
      </c>
      <c r="Q454" s="10">
        <f>IF($C454="","",IF(H454="","(no cost centre)",H454&amp;" - GL "&amp;IFERROR(INDEX(lst_CCtoGL,MATCH(H454,lst_CCforGL,0)),"?")))</f>
        <v/>
      </c>
      <c r="R454" s="11">
        <f>IF($C454="","",IFERROR(N(INDEX(tbl_Finance[Inc GST],MATCH($AU454,tbl_Finance[Row ID],0))),""))</f>
        <v/>
      </c>
      <c r="S454" s="37" t="n"/>
      <c r="T454" s="37" t="n"/>
      <c r="U454" s="37" t="n"/>
      <c r="V454" s="42" t="n"/>
      <c r="W454" s="37" t="n"/>
      <c r="X454" s="10">
        <f>IF(W454="","",IF(AND(LEFT(W454,4)&lt;&gt;"http",set_RMSBase=""),"",HYPERLINK(IF(LEFT(W454,4)="http",W454,set_RMSBase&amp;W454),"Open in RMS")))</f>
        <v/>
      </c>
      <c r="Y454" s="37" t="n"/>
      <c r="Z454" s="10">
        <f>IF(Y454="","",HYPERLINK(IF(LEFT(Y454,4)="http",Y454,set_QwilrBase&amp;Y454),"Open quote"))</f>
        <v/>
      </c>
      <c r="AA454" s="10">
        <f>IF(C454="","",C454)</f>
        <v/>
      </c>
      <c r="AB454" s="37" t="n"/>
      <c r="AC454" s="39" t="n"/>
      <c r="AD454" s="11">
        <f>IF(C454="","",N(L454)+N(AC454))</f>
        <v/>
      </c>
      <c r="AE454" s="43">
        <f>IFERROR(IF(N(AC454)=0,"",AC454/AD454),"")</f>
        <v/>
      </c>
      <c r="AF454" s="39" t="n"/>
      <c r="AG454" s="39" t="n"/>
      <c r="AH454" s="39" t="n"/>
      <c r="AI454" s="39" t="n"/>
      <c r="AJ454" s="11">
        <f>IF(C454="","",IF(H454="VIDEO",N(L454),0))</f>
        <v/>
      </c>
      <c r="AK454" s="43">
        <f>IFERROR(IF(N(L454)=0,"",AJ454/L454),"")</f>
        <v/>
      </c>
      <c r="AL454" s="11">
        <f>IF(C454="","",N(AF454)+N(AG454)+N(AH454)+N(AI454))</f>
        <v/>
      </c>
      <c r="AM454" s="11">
        <f>IF(C454="","",MAX(N(L454),N(O454))-N(AL454))</f>
        <v/>
      </c>
      <c r="AN454" s="43">
        <f>IFERROR(IF(MAX(N(L454),N(O454))=0,"",AM454/MAX(N(L454),N(O454))),"")</f>
        <v/>
      </c>
      <c r="AO454" s="41" t="n"/>
      <c r="AP454" s="41" t="n"/>
      <c r="AQ454" s="41" t="n"/>
      <c r="AR454" s="41" t="n"/>
      <c r="AS454" s="41" t="n"/>
      <c r="AT454" s="37" t="n"/>
      <c r="AU454" s="10" t="inlineStr">
        <is>
          <t>PRD-0450</t>
        </is>
      </c>
    </row>
    <row r="455">
      <c r="A455" s="16">
        <f>IF($C455="","",IFERROR(IF(INDEX(tbl_Finance[Latest Invoice Date],MATCH($AU455,tbl_Finance[Row ID],0))="","",INDEX(tbl_Finance[Latest Invoice Date],MATCH($AU455,tbl_Finance[Row ID],0))),""))</f>
        <v/>
      </c>
      <c r="B455" s="10">
        <f>IF($C455="","",IFERROR(INDEX(tbl_Finance[Invoice Numbers],MATCH($AU455,tbl_Finance[Row ID],0))&amp;"",""))</f>
        <v/>
      </c>
      <c r="C455" s="37" t="n"/>
      <c r="D455" s="10">
        <f>IF($C455="","",IF(COUNTIF(lst_Jobs,$C455&amp;"")&gt;0,"OK","CHECK"))</f>
        <v/>
      </c>
      <c r="E455" s="10">
        <f>IF($C455="","",IFERROR(INDEX(lst_JobName,MATCH($C455&amp;"",lst_Jobs,0)),""))</f>
        <v/>
      </c>
      <c r="F455" s="37" t="n"/>
      <c r="G455" s="37" t="n"/>
      <c r="H455" s="37" t="n"/>
      <c r="I455" s="37" t="n"/>
      <c r="J455" s="37" t="n"/>
      <c r="K455" s="38">
        <f>IF($C455="","",IFERROR(N(INDEX(tbl_Finance[Invoice Count],MATCH($AU455,tbl_Finance[Row ID],0))),""))</f>
        <v/>
      </c>
      <c r="L455" s="11">
        <f>IF($C455="","",IFERROR(N(INDEX(tbl_Finance[Xero Invoiced Ex GST],MATCH($AU455,tbl_Finance[Row ID],0))),""))</f>
        <v/>
      </c>
      <c r="M455" s="10">
        <f>IF($C455="","",IFERROR(INDEX(tbl_Finance[Compare],MATCH($AU455,tbl_Finance[Row ID],0))&amp;"",""))</f>
        <v/>
      </c>
      <c r="N455" s="11">
        <f>IF($C455="","",MAX(0,N(O455)-N(L455)))</f>
        <v/>
      </c>
      <c r="O455" s="39" t="n"/>
      <c r="P455" s="40">
        <f>IF($C455="","",IF((IF(F455="",", Client","")&amp;IF(G455="",", Description","")&amp;IF(H455="",", Cost Centre","")&amp;IF(I455="",", Invoice Type","")&amp;IF(J455="",", Tax Code","")&amp;IF(O455="",", Expected Revenue","")&amp;IF(COUNTIF(tbl_Finance[Job Number],$C455&amp;"")&gt;1,", Job number used twice",""))="","Complete","Fix: "&amp;MID(IF(F455="",", Client","")&amp;IF(G455="",", Description","")&amp;IF(H455="",", Cost Centre","")&amp;IF(I455="",", Invoice Type","")&amp;IF(J455="",", Tax Code","")&amp;IF(O455="",", Expected Revenue","")&amp;IF(COUNTIF(tbl_Finance[Job Number],$C455&amp;"")&gt;1,", Job number used twice",""),3,300)))</f>
        <v/>
      </c>
      <c r="Q455" s="10">
        <f>IF($C455="","",IF(H455="","(no cost centre)",H455&amp;" - GL "&amp;IFERROR(INDEX(lst_CCtoGL,MATCH(H455,lst_CCforGL,0)),"?")))</f>
        <v/>
      </c>
      <c r="R455" s="11">
        <f>IF($C455="","",IFERROR(N(INDEX(tbl_Finance[Inc GST],MATCH($AU455,tbl_Finance[Row ID],0))),""))</f>
        <v/>
      </c>
      <c r="S455" s="37" t="n"/>
      <c r="T455" s="37" t="n"/>
      <c r="U455" s="37" t="n"/>
      <c r="V455" s="42" t="n"/>
      <c r="W455" s="37" t="n"/>
      <c r="X455" s="10">
        <f>IF(W455="","",IF(AND(LEFT(W455,4)&lt;&gt;"http",set_RMSBase=""),"",HYPERLINK(IF(LEFT(W455,4)="http",W455,set_RMSBase&amp;W455),"Open in RMS")))</f>
        <v/>
      </c>
      <c r="Y455" s="37" t="n"/>
      <c r="Z455" s="10">
        <f>IF(Y455="","",HYPERLINK(IF(LEFT(Y455,4)="http",Y455,set_QwilrBase&amp;Y455),"Open quote"))</f>
        <v/>
      </c>
      <c r="AA455" s="10">
        <f>IF(C455="","",C455)</f>
        <v/>
      </c>
      <c r="AB455" s="37" t="n"/>
      <c r="AC455" s="39" t="n"/>
      <c r="AD455" s="11">
        <f>IF(C455="","",N(L455)+N(AC455))</f>
        <v/>
      </c>
      <c r="AE455" s="43">
        <f>IFERROR(IF(N(AC455)=0,"",AC455/AD455),"")</f>
        <v/>
      </c>
      <c r="AF455" s="39" t="n"/>
      <c r="AG455" s="39" t="n"/>
      <c r="AH455" s="39" t="n"/>
      <c r="AI455" s="39" t="n"/>
      <c r="AJ455" s="11">
        <f>IF(C455="","",IF(H455="VIDEO",N(L455),0))</f>
        <v/>
      </c>
      <c r="AK455" s="43">
        <f>IFERROR(IF(N(L455)=0,"",AJ455/L455),"")</f>
        <v/>
      </c>
      <c r="AL455" s="11">
        <f>IF(C455="","",N(AF455)+N(AG455)+N(AH455)+N(AI455))</f>
        <v/>
      </c>
      <c r="AM455" s="11">
        <f>IF(C455="","",MAX(N(L455),N(O455))-N(AL455))</f>
        <v/>
      </c>
      <c r="AN455" s="43">
        <f>IFERROR(IF(MAX(N(L455),N(O455))=0,"",AM455/MAX(N(L455),N(O455))),"")</f>
        <v/>
      </c>
      <c r="AO455" s="41" t="n"/>
      <c r="AP455" s="41" t="n"/>
      <c r="AQ455" s="41" t="n"/>
      <c r="AR455" s="41" t="n"/>
      <c r="AS455" s="41" t="n"/>
      <c r="AT455" s="37" t="n"/>
      <c r="AU455" s="10" t="inlineStr">
        <is>
          <t>PRD-0451</t>
        </is>
      </c>
    </row>
    <row r="456">
      <c r="A456" s="16">
        <f>IF($C456="","",IFERROR(IF(INDEX(tbl_Finance[Latest Invoice Date],MATCH($AU456,tbl_Finance[Row ID],0))="","",INDEX(tbl_Finance[Latest Invoice Date],MATCH($AU456,tbl_Finance[Row ID],0))),""))</f>
        <v/>
      </c>
      <c r="B456" s="10">
        <f>IF($C456="","",IFERROR(INDEX(tbl_Finance[Invoice Numbers],MATCH($AU456,tbl_Finance[Row ID],0))&amp;"",""))</f>
        <v/>
      </c>
      <c r="C456" s="37" t="n"/>
      <c r="D456" s="10">
        <f>IF($C456="","",IF(COUNTIF(lst_Jobs,$C456&amp;"")&gt;0,"OK","CHECK"))</f>
        <v/>
      </c>
      <c r="E456" s="10">
        <f>IF($C456="","",IFERROR(INDEX(lst_JobName,MATCH($C456&amp;"",lst_Jobs,0)),""))</f>
        <v/>
      </c>
      <c r="F456" s="37" t="n"/>
      <c r="G456" s="37" t="n"/>
      <c r="H456" s="37" t="n"/>
      <c r="I456" s="37" t="n"/>
      <c r="J456" s="37" t="n"/>
      <c r="K456" s="38">
        <f>IF($C456="","",IFERROR(N(INDEX(tbl_Finance[Invoice Count],MATCH($AU456,tbl_Finance[Row ID],0))),""))</f>
        <v/>
      </c>
      <c r="L456" s="11">
        <f>IF($C456="","",IFERROR(N(INDEX(tbl_Finance[Xero Invoiced Ex GST],MATCH($AU456,tbl_Finance[Row ID],0))),""))</f>
        <v/>
      </c>
      <c r="M456" s="10">
        <f>IF($C456="","",IFERROR(INDEX(tbl_Finance[Compare],MATCH($AU456,tbl_Finance[Row ID],0))&amp;"",""))</f>
        <v/>
      </c>
      <c r="N456" s="11">
        <f>IF($C456="","",MAX(0,N(O456)-N(L456)))</f>
        <v/>
      </c>
      <c r="O456" s="39" t="n"/>
      <c r="P456" s="40">
        <f>IF($C456="","",IF((IF(F456="",", Client","")&amp;IF(G456="",", Description","")&amp;IF(H456="",", Cost Centre","")&amp;IF(I456="",", Invoice Type","")&amp;IF(J456="",", Tax Code","")&amp;IF(O456="",", Expected Revenue","")&amp;IF(COUNTIF(tbl_Finance[Job Number],$C456&amp;"")&gt;1,", Job number used twice",""))="","Complete","Fix: "&amp;MID(IF(F456="",", Client","")&amp;IF(G456="",", Description","")&amp;IF(H456="",", Cost Centre","")&amp;IF(I456="",", Invoice Type","")&amp;IF(J456="",", Tax Code","")&amp;IF(O456="",", Expected Revenue","")&amp;IF(COUNTIF(tbl_Finance[Job Number],$C456&amp;"")&gt;1,", Job number used twice",""),3,300)))</f>
        <v/>
      </c>
      <c r="Q456" s="10">
        <f>IF($C456="","",IF(H456="","(no cost centre)",H456&amp;" - GL "&amp;IFERROR(INDEX(lst_CCtoGL,MATCH(H456,lst_CCforGL,0)),"?")))</f>
        <v/>
      </c>
      <c r="R456" s="11">
        <f>IF($C456="","",IFERROR(N(INDEX(tbl_Finance[Inc GST],MATCH($AU456,tbl_Finance[Row ID],0))),""))</f>
        <v/>
      </c>
      <c r="S456" s="37" t="n"/>
      <c r="T456" s="37" t="n"/>
      <c r="U456" s="37" t="n"/>
      <c r="V456" s="42" t="n"/>
      <c r="W456" s="37" t="n"/>
      <c r="X456" s="10">
        <f>IF(W456="","",IF(AND(LEFT(W456,4)&lt;&gt;"http",set_RMSBase=""),"",HYPERLINK(IF(LEFT(W456,4)="http",W456,set_RMSBase&amp;W456),"Open in RMS")))</f>
        <v/>
      </c>
      <c r="Y456" s="37" t="n"/>
      <c r="Z456" s="10">
        <f>IF(Y456="","",HYPERLINK(IF(LEFT(Y456,4)="http",Y456,set_QwilrBase&amp;Y456),"Open quote"))</f>
        <v/>
      </c>
      <c r="AA456" s="10">
        <f>IF(C456="","",C456)</f>
        <v/>
      </c>
      <c r="AB456" s="37" t="n"/>
      <c r="AC456" s="39" t="n"/>
      <c r="AD456" s="11">
        <f>IF(C456="","",N(L456)+N(AC456))</f>
        <v/>
      </c>
      <c r="AE456" s="43">
        <f>IFERROR(IF(N(AC456)=0,"",AC456/AD456),"")</f>
        <v/>
      </c>
      <c r="AF456" s="39" t="n"/>
      <c r="AG456" s="39" t="n"/>
      <c r="AH456" s="39" t="n"/>
      <c r="AI456" s="39" t="n"/>
      <c r="AJ456" s="11">
        <f>IF(C456="","",IF(H456="VIDEO",N(L456),0))</f>
        <v/>
      </c>
      <c r="AK456" s="43">
        <f>IFERROR(IF(N(L456)=0,"",AJ456/L456),"")</f>
        <v/>
      </c>
      <c r="AL456" s="11">
        <f>IF(C456="","",N(AF456)+N(AG456)+N(AH456)+N(AI456))</f>
        <v/>
      </c>
      <c r="AM456" s="11">
        <f>IF(C456="","",MAX(N(L456),N(O456))-N(AL456))</f>
        <v/>
      </c>
      <c r="AN456" s="43">
        <f>IFERROR(IF(MAX(N(L456),N(O456))=0,"",AM456/MAX(N(L456),N(O456))),"")</f>
        <v/>
      </c>
      <c r="AO456" s="41" t="n"/>
      <c r="AP456" s="41" t="n"/>
      <c r="AQ456" s="41" t="n"/>
      <c r="AR456" s="41" t="n"/>
      <c r="AS456" s="41" t="n"/>
      <c r="AT456" s="37" t="n"/>
      <c r="AU456" s="10" t="inlineStr">
        <is>
          <t>PRD-0452</t>
        </is>
      </c>
    </row>
    <row r="457">
      <c r="A457" s="16">
        <f>IF($C457="","",IFERROR(IF(INDEX(tbl_Finance[Latest Invoice Date],MATCH($AU457,tbl_Finance[Row ID],0))="","",INDEX(tbl_Finance[Latest Invoice Date],MATCH($AU457,tbl_Finance[Row ID],0))),""))</f>
        <v/>
      </c>
      <c r="B457" s="10">
        <f>IF($C457="","",IFERROR(INDEX(tbl_Finance[Invoice Numbers],MATCH($AU457,tbl_Finance[Row ID],0))&amp;"",""))</f>
        <v/>
      </c>
      <c r="C457" s="37" t="n"/>
      <c r="D457" s="10">
        <f>IF($C457="","",IF(COUNTIF(lst_Jobs,$C457&amp;"")&gt;0,"OK","CHECK"))</f>
        <v/>
      </c>
      <c r="E457" s="10">
        <f>IF($C457="","",IFERROR(INDEX(lst_JobName,MATCH($C457&amp;"",lst_Jobs,0)),""))</f>
        <v/>
      </c>
      <c r="F457" s="37" t="n"/>
      <c r="G457" s="37" t="n"/>
      <c r="H457" s="37" t="n"/>
      <c r="I457" s="37" t="n"/>
      <c r="J457" s="37" t="n"/>
      <c r="K457" s="38">
        <f>IF($C457="","",IFERROR(N(INDEX(tbl_Finance[Invoice Count],MATCH($AU457,tbl_Finance[Row ID],0))),""))</f>
        <v/>
      </c>
      <c r="L457" s="11">
        <f>IF($C457="","",IFERROR(N(INDEX(tbl_Finance[Xero Invoiced Ex GST],MATCH($AU457,tbl_Finance[Row ID],0))),""))</f>
        <v/>
      </c>
      <c r="M457" s="10">
        <f>IF($C457="","",IFERROR(INDEX(tbl_Finance[Compare],MATCH($AU457,tbl_Finance[Row ID],0))&amp;"",""))</f>
        <v/>
      </c>
      <c r="N457" s="11">
        <f>IF($C457="","",MAX(0,N(O457)-N(L457)))</f>
        <v/>
      </c>
      <c r="O457" s="39" t="n"/>
      <c r="P457" s="40">
        <f>IF($C457="","",IF((IF(F457="",", Client","")&amp;IF(G457="",", Description","")&amp;IF(H457="",", Cost Centre","")&amp;IF(I457="",", Invoice Type","")&amp;IF(J457="",", Tax Code","")&amp;IF(O457="",", Expected Revenue","")&amp;IF(COUNTIF(tbl_Finance[Job Number],$C457&amp;"")&gt;1,", Job number used twice",""))="","Complete","Fix: "&amp;MID(IF(F457="",", Client","")&amp;IF(G457="",", Description","")&amp;IF(H457="",", Cost Centre","")&amp;IF(I457="",", Invoice Type","")&amp;IF(J457="",", Tax Code","")&amp;IF(O457="",", Expected Revenue","")&amp;IF(COUNTIF(tbl_Finance[Job Number],$C457&amp;"")&gt;1,", Job number used twice",""),3,300)))</f>
        <v/>
      </c>
      <c r="Q457" s="10">
        <f>IF($C457="","",IF(H457="","(no cost centre)",H457&amp;" - GL "&amp;IFERROR(INDEX(lst_CCtoGL,MATCH(H457,lst_CCforGL,0)),"?")))</f>
        <v/>
      </c>
      <c r="R457" s="11">
        <f>IF($C457="","",IFERROR(N(INDEX(tbl_Finance[Inc GST],MATCH($AU457,tbl_Finance[Row ID],0))),""))</f>
        <v/>
      </c>
      <c r="S457" s="37" t="n"/>
      <c r="T457" s="37" t="n"/>
      <c r="U457" s="37" t="n"/>
      <c r="V457" s="42" t="n"/>
      <c r="W457" s="37" t="n"/>
      <c r="X457" s="10">
        <f>IF(W457="","",IF(AND(LEFT(W457,4)&lt;&gt;"http",set_RMSBase=""),"",HYPERLINK(IF(LEFT(W457,4)="http",W457,set_RMSBase&amp;W457),"Open in RMS")))</f>
        <v/>
      </c>
      <c r="Y457" s="37" t="n"/>
      <c r="Z457" s="10">
        <f>IF(Y457="","",HYPERLINK(IF(LEFT(Y457,4)="http",Y457,set_QwilrBase&amp;Y457),"Open quote"))</f>
        <v/>
      </c>
      <c r="AA457" s="10">
        <f>IF(C457="","",C457)</f>
        <v/>
      </c>
      <c r="AB457" s="37" t="n"/>
      <c r="AC457" s="39" t="n"/>
      <c r="AD457" s="11">
        <f>IF(C457="","",N(L457)+N(AC457))</f>
        <v/>
      </c>
      <c r="AE457" s="43">
        <f>IFERROR(IF(N(AC457)=0,"",AC457/AD457),"")</f>
        <v/>
      </c>
      <c r="AF457" s="39" t="n"/>
      <c r="AG457" s="39" t="n"/>
      <c r="AH457" s="39" t="n"/>
      <c r="AI457" s="39" t="n"/>
      <c r="AJ457" s="11">
        <f>IF(C457="","",IF(H457="VIDEO",N(L457),0))</f>
        <v/>
      </c>
      <c r="AK457" s="43">
        <f>IFERROR(IF(N(L457)=0,"",AJ457/L457),"")</f>
        <v/>
      </c>
      <c r="AL457" s="11">
        <f>IF(C457="","",N(AF457)+N(AG457)+N(AH457)+N(AI457))</f>
        <v/>
      </c>
      <c r="AM457" s="11">
        <f>IF(C457="","",MAX(N(L457),N(O457))-N(AL457))</f>
        <v/>
      </c>
      <c r="AN457" s="43">
        <f>IFERROR(IF(MAX(N(L457),N(O457))=0,"",AM457/MAX(N(L457),N(O457))),"")</f>
        <v/>
      </c>
      <c r="AO457" s="41" t="n"/>
      <c r="AP457" s="41" t="n"/>
      <c r="AQ457" s="41" t="n"/>
      <c r="AR457" s="41" t="n"/>
      <c r="AS457" s="41" t="n"/>
      <c r="AT457" s="37" t="n"/>
      <c r="AU457" s="10" t="inlineStr">
        <is>
          <t>PRD-0453</t>
        </is>
      </c>
    </row>
    <row r="458">
      <c r="A458" s="16">
        <f>IF($C458="","",IFERROR(IF(INDEX(tbl_Finance[Latest Invoice Date],MATCH($AU458,tbl_Finance[Row ID],0))="","",INDEX(tbl_Finance[Latest Invoice Date],MATCH($AU458,tbl_Finance[Row ID],0))),""))</f>
        <v/>
      </c>
      <c r="B458" s="10">
        <f>IF($C458="","",IFERROR(INDEX(tbl_Finance[Invoice Numbers],MATCH($AU458,tbl_Finance[Row ID],0))&amp;"",""))</f>
        <v/>
      </c>
      <c r="C458" s="37" t="n"/>
      <c r="D458" s="10">
        <f>IF($C458="","",IF(COUNTIF(lst_Jobs,$C458&amp;"")&gt;0,"OK","CHECK"))</f>
        <v/>
      </c>
      <c r="E458" s="10">
        <f>IF($C458="","",IFERROR(INDEX(lst_JobName,MATCH($C458&amp;"",lst_Jobs,0)),""))</f>
        <v/>
      </c>
      <c r="F458" s="37" t="n"/>
      <c r="G458" s="37" t="n"/>
      <c r="H458" s="37" t="n"/>
      <c r="I458" s="37" t="n"/>
      <c r="J458" s="37" t="n"/>
      <c r="K458" s="38">
        <f>IF($C458="","",IFERROR(N(INDEX(tbl_Finance[Invoice Count],MATCH($AU458,tbl_Finance[Row ID],0))),""))</f>
        <v/>
      </c>
      <c r="L458" s="11">
        <f>IF($C458="","",IFERROR(N(INDEX(tbl_Finance[Xero Invoiced Ex GST],MATCH($AU458,tbl_Finance[Row ID],0))),""))</f>
        <v/>
      </c>
      <c r="M458" s="10">
        <f>IF($C458="","",IFERROR(INDEX(tbl_Finance[Compare],MATCH($AU458,tbl_Finance[Row ID],0))&amp;"",""))</f>
        <v/>
      </c>
      <c r="N458" s="11">
        <f>IF($C458="","",MAX(0,N(O458)-N(L458)))</f>
        <v/>
      </c>
      <c r="O458" s="39" t="n"/>
      <c r="P458" s="40">
        <f>IF($C458="","",IF((IF(F458="",", Client","")&amp;IF(G458="",", Description","")&amp;IF(H458="",", Cost Centre","")&amp;IF(I458="",", Invoice Type","")&amp;IF(J458="",", Tax Code","")&amp;IF(O458="",", Expected Revenue","")&amp;IF(COUNTIF(tbl_Finance[Job Number],$C458&amp;"")&gt;1,", Job number used twice",""))="","Complete","Fix: "&amp;MID(IF(F458="",", Client","")&amp;IF(G458="",", Description","")&amp;IF(H458="",", Cost Centre","")&amp;IF(I458="",", Invoice Type","")&amp;IF(J458="",", Tax Code","")&amp;IF(O458="",", Expected Revenue","")&amp;IF(COUNTIF(tbl_Finance[Job Number],$C458&amp;"")&gt;1,", Job number used twice",""),3,300)))</f>
        <v/>
      </c>
      <c r="Q458" s="10">
        <f>IF($C458="","",IF(H458="","(no cost centre)",H458&amp;" - GL "&amp;IFERROR(INDEX(lst_CCtoGL,MATCH(H458,lst_CCforGL,0)),"?")))</f>
        <v/>
      </c>
      <c r="R458" s="11">
        <f>IF($C458="","",IFERROR(N(INDEX(tbl_Finance[Inc GST],MATCH($AU458,tbl_Finance[Row ID],0))),""))</f>
        <v/>
      </c>
      <c r="S458" s="37" t="n"/>
      <c r="T458" s="37" t="n"/>
      <c r="U458" s="37" t="n"/>
      <c r="V458" s="42" t="n"/>
      <c r="W458" s="37" t="n"/>
      <c r="X458" s="10">
        <f>IF(W458="","",IF(AND(LEFT(W458,4)&lt;&gt;"http",set_RMSBase=""),"",HYPERLINK(IF(LEFT(W458,4)="http",W458,set_RMSBase&amp;W458),"Open in RMS")))</f>
        <v/>
      </c>
      <c r="Y458" s="37" t="n"/>
      <c r="Z458" s="10">
        <f>IF(Y458="","",HYPERLINK(IF(LEFT(Y458,4)="http",Y458,set_QwilrBase&amp;Y458),"Open quote"))</f>
        <v/>
      </c>
      <c r="AA458" s="10">
        <f>IF(C458="","",C458)</f>
        <v/>
      </c>
      <c r="AB458" s="37" t="n"/>
      <c r="AC458" s="39" t="n"/>
      <c r="AD458" s="11">
        <f>IF(C458="","",N(L458)+N(AC458))</f>
        <v/>
      </c>
      <c r="AE458" s="43">
        <f>IFERROR(IF(N(AC458)=0,"",AC458/AD458),"")</f>
        <v/>
      </c>
      <c r="AF458" s="39" t="n"/>
      <c r="AG458" s="39" t="n"/>
      <c r="AH458" s="39" t="n"/>
      <c r="AI458" s="39" t="n"/>
      <c r="AJ458" s="11">
        <f>IF(C458="","",IF(H458="VIDEO",N(L458),0))</f>
        <v/>
      </c>
      <c r="AK458" s="43">
        <f>IFERROR(IF(N(L458)=0,"",AJ458/L458),"")</f>
        <v/>
      </c>
      <c r="AL458" s="11">
        <f>IF(C458="","",N(AF458)+N(AG458)+N(AH458)+N(AI458))</f>
        <v/>
      </c>
      <c r="AM458" s="11">
        <f>IF(C458="","",MAX(N(L458),N(O458))-N(AL458))</f>
        <v/>
      </c>
      <c r="AN458" s="43">
        <f>IFERROR(IF(MAX(N(L458),N(O458))=0,"",AM458/MAX(N(L458),N(O458))),"")</f>
        <v/>
      </c>
      <c r="AO458" s="41" t="n"/>
      <c r="AP458" s="41" t="n"/>
      <c r="AQ458" s="41" t="n"/>
      <c r="AR458" s="41" t="n"/>
      <c r="AS458" s="41" t="n"/>
      <c r="AT458" s="37" t="n"/>
      <c r="AU458" s="10" t="inlineStr">
        <is>
          <t>PRD-0454</t>
        </is>
      </c>
    </row>
    <row r="459">
      <c r="A459" s="16">
        <f>IF($C459="","",IFERROR(IF(INDEX(tbl_Finance[Latest Invoice Date],MATCH($AU459,tbl_Finance[Row ID],0))="","",INDEX(tbl_Finance[Latest Invoice Date],MATCH($AU459,tbl_Finance[Row ID],0))),""))</f>
        <v/>
      </c>
      <c r="B459" s="10">
        <f>IF($C459="","",IFERROR(INDEX(tbl_Finance[Invoice Numbers],MATCH($AU459,tbl_Finance[Row ID],0))&amp;"",""))</f>
        <v/>
      </c>
      <c r="C459" s="37" t="n"/>
      <c r="D459" s="10">
        <f>IF($C459="","",IF(COUNTIF(lst_Jobs,$C459&amp;"")&gt;0,"OK","CHECK"))</f>
        <v/>
      </c>
      <c r="E459" s="10">
        <f>IF($C459="","",IFERROR(INDEX(lst_JobName,MATCH($C459&amp;"",lst_Jobs,0)),""))</f>
        <v/>
      </c>
      <c r="F459" s="37" t="n"/>
      <c r="G459" s="37" t="n"/>
      <c r="H459" s="37" t="n"/>
      <c r="I459" s="37" t="n"/>
      <c r="J459" s="37" t="n"/>
      <c r="K459" s="38">
        <f>IF($C459="","",IFERROR(N(INDEX(tbl_Finance[Invoice Count],MATCH($AU459,tbl_Finance[Row ID],0))),""))</f>
        <v/>
      </c>
      <c r="L459" s="11">
        <f>IF($C459="","",IFERROR(N(INDEX(tbl_Finance[Xero Invoiced Ex GST],MATCH($AU459,tbl_Finance[Row ID],0))),""))</f>
        <v/>
      </c>
      <c r="M459" s="10">
        <f>IF($C459="","",IFERROR(INDEX(tbl_Finance[Compare],MATCH($AU459,tbl_Finance[Row ID],0))&amp;"",""))</f>
        <v/>
      </c>
      <c r="N459" s="11">
        <f>IF($C459="","",MAX(0,N(O459)-N(L459)))</f>
        <v/>
      </c>
      <c r="O459" s="39" t="n"/>
      <c r="P459" s="40">
        <f>IF($C459="","",IF((IF(F459="",", Client","")&amp;IF(G459="",", Description","")&amp;IF(H459="",", Cost Centre","")&amp;IF(I459="",", Invoice Type","")&amp;IF(J459="",", Tax Code","")&amp;IF(O459="",", Expected Revenue","")&amp;IF(COUNTIF(tbl_Finance[Job Number],$C459&amp;"")&gt;1,", Job number used twice",""))="","Complete","Fix: "&amp;MID(IF(F459="",", Client","")&amp;IF(G459="",", Description","")&amp;IF(H459="",", Cost Centre","")&amp;IF(I459="",", Invoice Type","")&amp;IF(J459="",", Tax Code","")&amp;IF(O459="",", Expected Revenue","")&amp;IF(COUNTIF(tbl_Finance[Job Number],$C459&amp;"")&gt;1,", Job number used twice",""),3,300)))</f>
        <v/>
      </c>
      <c r="Q459" s="10">
        <f>IF($C459="","",IF(H459="","(no cost centre)",H459&amp;" - GL "&amp;IFERROR(INDEX(lst_CCtoGL,MATCH(H459,lst_CCforGL,0)),"?")))</f>
        <v/>
      </c>
      <c r="R459" s="11">
        <f>IF($C459="","",IFERROR(N(INDEX(tbl_Finance[Inc GST],MATCH($AU459,tbl_Finance[Row ID],0))),""))</f>
        <v/>
      </c>
      <c r="S459" s="37" t="n"/>
      <c r="T459" s="37" t="n"/>
      <c r="U459" s="37" t="n"/>
      <c r="V459" s="42" t="n"/>
      <c r="W459" s="37" t="n"/>
      <c r="X459" s="10">
        <f>IF(W459="","",IF(AND(LEFT(W459,4)&lt;&gt;"http",set_RMSBase=""),"",HYPERLINK(IF(LEFT(W459,4)="http",W459,set_RMSBase&amp;W459),"Open in RMS")))</f>
        <v/>
      </c>
      <c r="Y459" s="37" t="n"/>
      <c r="Z459" s="10">
        <f>IF(Y459="","",HYPERLINK(IF(LEFT(Y459,4)="http",Y459,set_QwilrBase&amp;Y459),"Open quote"))</f>
        <v/>
      </c>
      <c r="AA459" s="10">
        <f>IF(C459="","",C459)</f>
        <v/>
      </c>
      <c r="AB459" s="37" t="n"/>
      <c r="AC459" s="39" t="n"/>
      <c r="AD459" s="11">
        <f>IF(C459="","",N(L459)+N(AC459))</f>
        <v/>
      </c>
      <c r="AE459" s="43">
        <f>IFERROR(IF(N(AC459)=0,"",AC459/AD459),"")</f>
        <v/>
      </c>
      <c r="AF459" s="39" t="n"/>
      <c r="AG459" s="39" t="n"/>
      <c r="AH459" s="39" t="n"/>
      <c r="AI459" s="39" t="n"/>
      <c r="AJ459" s="11">
        <f>IF(C459="","",IF(H459="VIDEO",N(L459),0))</f>
        <v/>
      </c>
      <c r="AK459" s="43">
        <f>IFERROR(IF(N(L459)=0,"",AJ459/L459),"")</f>
        <v/>
      </c>
      <c r="AL459" s="11">
        <f>IF(C459="","",N(AF459)+N(AG459)+N(AH459)+N(AI459))</f>
        <v/>
      </c>
      <c r="AM459" s="11">
        <f>IF(C459="","",MAX(N(L459),N(O459))-N(AL459))</f>
        <v/>
      </c>
      <c r="AN459" s="43">
        <f>IFERROR(IF(MAX(N(L459),N(O459))=0,"",AM459/MAX(N(L459),N(O459))),"")</f>
        <v/>
      </c>
      <c r="AO459" s="41" t="n"/>
      <c r="AP459" s="41" t="n"/>
      <c r="AQ459" s="41" t="n"/>
      <c r="AR459" s="41" t="n"/>
      <c r="AS459" s="41" t="n"/>
      <c r="AT459" s="37" t="n"/>
      <c r="AU459" s="10" t="inlineStr">
        <is>
          <t>PRD-0455</t>
        </is>
      </c>
    </row>
    <row r="460">
      <c r="A460" s="16">
        <f>IF($C460="","",IFERROR(IF(INDEX(tbl_Finance[Latest Invoice Date],MATCH($AU460,tbl_Finance[Row ID],0))="","",INDEX(tbl_Finance[Latest Invoice Date],MATCH($AU460,tbl_Finance[Row ID],0))),""))</f>
        <v/>
      </c>
      <c r="B460" s="10">
        <f>IF($C460="","",IFERROR(INDEX(tbl_Finance[Invoice Numbers],MATCH($AU460,tbl_Finance[Row ID],0))&amp;"",""))</f>
        <v/>
      </c>
      <c r="C460" s="37" t="n"/>
      <c r="D460" s="10">
        <f>IF($C460="","",IF(COUNTIF(lst_Jobs,$C460&amp;"")&gt;0,"OK","CHECK"))</f>
        <v/>
      </c>
      <c r="E460" s="10">
        <f>IF($C460="","",IFERROR(INDEX(lst_JobName,MATCH($C460&amp;"",lst_Jobs,0)),""))</f>
        <v/>
      </c>
      <c r="F460" s="37" t="n"/>
      <c r="G460" s="37" t="n"/>
      <c r="H460" s="37" t="n"/>
      <c r="I460" s="37" t="n"/>
      <c r="J460" s="37" t="n"/>
      <c r="K460" s="38">
        <f>IF($C460="","",IFERROR(N(INDEX(tbl_Finance[Invoice Count],MATCH($AU460,tbl_Finance[Row ID],0))),""))</f>
        <v/>
      </c>
      <c r="L460" s="11">
        <f>IF($C460="","",IFERROR(N(INDEX(tbl_Finance[Xero Invoiced Ex GST],MATCH($AU460,tbl_Finance[Row ID],0))),""))</f>
        <v/>
      </c>
      <c r="M460" s="10">
        <f>IF($C460="","",IFERROR(INDEX(tbl_Finance[Compare],MATCH($AU460,tbl_Finance[Row ID],0))&amp;"",""))</f>
        <v/>
      </c>
      <c r="N460" s="11">
        <f>IF($C460="","",MAX(0,N(O460)-N(L460)))</f>
        <v/>
      </c>
      <c r="O460" s="39" t="n"/>
      <c r="P460" s="40">
        <f>IF($C460="","",IF((IF(F460="",", Client","")&amp;IF(G460="",", Description","")&amp;IF(H460="",", Cost Centre","")&amp;IF(I460="",", Invoice Type","")&amp;IF(J460="",", Tax Code","")&amp;IF(O460="",", Expected Revenue","")&amp;IF(COUNTIF(tbl_Finance[Job Number],$C460&amp;"")&gt;1,", Job number used twice",""))="","Complete","Fix: "&amp;MID(IF(F460="",", Client","")&amp;IF(G460="",", Description","")&amp;IF(H460="",", Cost Centre","")&amp;IF(I460="",", Invoice Type","")&amp;IF(J460="",", Tax Code","")&amp;IF(O460="",", Expected Revenue","")&amp;IF(COUNTIF(tbl_Finance[Job Number],$C460&amp;"")&gt;1,", Job number used twice",""),3,300)))</f>
        <v/>
      </c>
      <c r="Q460" s="10">
        <f>IF($C460="","",IF(H460="","(no cost centre)",H460&amp;" - GL "&amp;IFERROR(INDEX(lst_CCtoGL,MATCH(H460,lst_CCforGL,0)),"?")))</f>
        <v/>
      </c>
      <c r="R460" s="11">
        <f>IF($C460="","",IFERROR(N(INDEX(tbl_Finance[Inc GST],MATCH($AU460,tbl_Finance[Row ID],0))),""))</f>
        <v/>
      </c>
      <c r="S460" s="37" t="n"/>
      <c r="T460" s="37" t="n"/>
      <c r="U460" s="37" t="n"/>
      <c r="V460" s="42" t="n"/>
      <c r="W460" s="37" t="n"/>
      <c r="X460" s="10">
        <f>IF(W460="","",IF(AND(LEFT(W460,4)&lt;&gt;"http",set_RMSBase=""),"",HYPERLINK(IF(LEFT(W460,4)="http",W460,set_RMSBase&amp;W460),"Open in RMS")))</f>
        <v/>
      </c>
      <c r="Y460" s="37" t="n"/>
      <c r="Z460" s="10">
        <f>IF(Y460="","",HYPERLINK(IF(LEFT(Y460,4)="http",Y460,set_QwilrBase&amp;Y460),"Open quote"))</f>
        <v/>
      </c>
      <c r="AA460" s="10">
        <f>IF(C460="","",C460)</f>
        <v/>
      </c>
      <c r="AB460" s="37" t="n"/>
      <c r="AC460" s="39" t="n"/>
      <c r="AD460" s="11">
        <f>IF(C460="","",N(L460)+N(AC460))</f>
        <v/>
      </c>
      <c r="AE460" s="43">
        <f>IFERROR(IF(N(AC460)=0,"",AC460/AD460),"")</f>
        <v/>
      </c>
      <c r="AF460" s="39" t="n"/>
      <c r="AG460" s="39" t="n"/>
      <c r="AH460" s="39" t="n"/>
      <c r="AI460" s="39" t="n"/>
      <c r="AJ460" s="11">
        <f>IF(C460="","",IF(H460="VIDEO",N(L460),0))</f>
        <v/>
      </c>
      <c r="AK460" s="43">
        <f>IFERROR(IF(N(L460)=0,"",AJ460/L460),"")</f>
        <v/>
      </c>
      <c r="AL460" s="11">
        <f>IF(C460="","",N(AF460)+N(AG460)+N(AH460)+N(AI460))</f>
        <v/>
      </c>
      <c r="AM460" s="11">
        <f>IF(C460="","",MAX(N(L460),N(O460))-N(AL460))</f>
        <v/>
      </c>
      <c r="AN460" s="43">
        <f>IFERROR(IF(MAX(N(L460),N(O460))=0,"",AM460/MAX(N(L460),N(O460))),"")</f>
        <v/>
      </c>
      <c r="AO460" s="41" t="n"/>
      <c r="AP460" s="41" t="n"/>
      <c r="AQ460" s="41" t="n"/>
      <c r="AR460" s="41" t="n"/>
      <c r="AS460" s="41" t="n"/>
      <c r="AT460" s="37" t="n"/>
      <c r="AU460" s="10" t="inlineStr">
        <is>
          <t>PRD-0456</t>
        </is>
      </c>
    </row>
    <row r="461">
      <c r="A461" s="16">
        <f>IF($C461="","",IFERROR(IF(INDEX(tbl_Finance[Latest Invoice Date],MATCH($AU461,tbl_Finance[Row ID],0))="","",INDEX(tbl_Finance[Latest Invoice Date],MATCH($AU461,tbl_Finance[Row ID],0))),""))</f>
        <v/>
      </c>
      <c r="B461" s="10">
        <f>IF($C461="","",IFERROR(INDEX(tbl_Finance[Invoice Numbers],MATCH($AU461,tbl_Finance[Row ID],0))&amp;"",""))</f>
        <v/>
      </c>
      <c r="C461" s="37" t="n"/>
      <c r="D461" s="10">
        <f>IF($C461="","",IF(COUNTIF(lst_Jobs,$C461&amp;"")&gt;0,"OK","CHECK"))</f>
        <v/>
      </c>
      <c r="E461" s="10">
        <f>IF($C461="","",IFERROR(INDEX(lst_JobName,MATCH($C461&amp;"",lst_Jobs,0)),""))</f>
        <v/>
      </c>
      <c r="F461" s="37" t="n"/>
      <c r="G461" s="37" t="n"/>
      <c r="H461" s="37" t="n"/>
      <c r="I461" s="37" t="n"/>
      <c r="J461" s="37" t="n"/>
      <c r="K461" s="38">
        <f>IF($C461="","",IFERROR(N(INDEX(tbl_Finance[Invoice Count],MATCH($AU461,tbl_Finance[Row ID],0))),""))</f>
        <v/>
      </c>
      <c r="L461" s="11">
        <f>IF($C461="","",IFERROR(N(INDEX(tbl_Finance[Xero Invoiced Ex GST],MATCH($AU461,tbl_Finance[Row ID],0))),""))</f>
        <v/>
      </c>
      <c r="M461" s="10">
        <f>IF($C461="","",IFERROR(INDEX(tbl_Finance[Compare],MATCH($AU461,tbl_Finance[Row ID],0))&amp;"",""))</f>
        <v/>
      </c>
      <c r="N461" s="11">
        <f>IF($C461="","",MAX(0,N(O461)-N(L461)))</f>
        <v/>
      </c>
      <c r="O461" s="39" t="n"/>
      <c r="P461" s="40">
        <f>IF($C461="","",IF((IF(F461="",", Client","")&amp;IF(G461="",", Description","")&amp;IF(H461="",", Cost Centre","")&amp;IF(I461="",", Invoice Type","")&amp;IF(J461="",", Tax Code","")&amp;IF(O461="",", Expected Revenue","")&amp;IF(COUNTIF(tbl_Finance[Job Number],$C461&amp;"")&gt;1,", Job number used twice",""))="","Complete","Fix: "&amp;MID(IF(F461="",", Client","")&amp;IF(G461="",", Description","")&amp;IF(H461="",", Cost Centre","")&amp;IF(I461="",", Invoice Type","")&amp;IF(J461="",", Tax Code","")&amp;IF(O461="",", Expected Revenue","")&amp;IF(COUNTIF(tbl_Finance[Job Number],$C461&amp;"")&gt;1,", Job number used twice",""),3,300)))</f>
        <v/>
      </c>
      <c r="Q461" s="10">
        <f>IF($C461="","",IF(H461="","(no cost centre)",H461&amp;" - GL "&amp;IFERROR(INDEX(lst_CCtoGL,MATCH(H461,lst_CCforGL,0)),"?")))</f>
        <v/>
      </c>
      <c r="R461" s="11">
        <f>IF($C461="","",IFERROR(N(INDEX(tbl_Finance[Inc GST],MATCH($AU461,tbl_Finance[Row ID],0))),""))</f>
        <v/>
      </c>
      <c r="S461" s="37" t="n"/>
      <c r="T461" s="37" t="n"/>
      <c r="U461" s="37" t="n"/>
      <c r="V461" s="42" t="n"/>
      <c r="W461" s="37" t="n"/>
      <c r="X461" s="10">
        <f>IF(W461="","",IF(AND(LEFT(W461,4)&lt;&gt;"http",set_RMSBase=""),"",HYPERLINK(IF(LEFT(W461,4)="http",W461,set_RMSBase&amp;W461),"Open in RMS")))</f>
        <v/>
      </c>
      <c r="Y461" s="37" t="n"/>
      <c r="Z461" s="10">
        <f>IF(Y461="","",HYPERLINK(IF(LEFT(Y461,4)="http",Y461,set_QwilrBase&amp;Y461),"Open quote"))</f>
        <v/>
      </c>
      <c r="AA461" s="10">
        <f>IF(C461="","",C461)</f>
        <v/>
      </c>
      <c r="AB461" s="37" t="n"/>
      <c r="AC461" s="39" t="n"/>
      <c r="AD461" s="11">
        <f>IF(C461="","",N(L461)+N(AC461))</f>
        <v/>
      </c>
      <c r="AE461" s="43">
        <f>IFERROR(IF(N(AC461)=0,"",AC461/AD461),"")</f>
        <v/>
      </c>
      <c r="AF461" s="39" t="n"/>
      <c r="AG461" s="39" t="n"/>
      <c r="AH461" s="39" t="n"/>
      <c r="AI461" s="39" t="n"/>
      <c r="AJ461" s="11">
        <f>IF(C461="","",IF(H461="VIDEO",N(L461),0))</f>
        <v/>
      </c>
      <c r="AK461" s="43">
        <f>IFERROR(IF(N(L461)=0,"",AJ461/L461),"")</f>
        <v/>
      </c>
      <c r="AL461" s="11">
        <f>IF(C461="","",N(AF461)+N(AG461)+N(AH461)+N(AI461))</f>
        <v/>
      </c>
      <c r="AM461" s="11">
        <f>IF(C461="","",MAX(N(L461),N(O461))-N(AL461))</f>
        <v/>
      </c>
      <c r="AN461" s="43">
        <f>IFERROR(IF(MAX(N(L461),N(O461))=0,"",AM461/MAX(N(L461),N(O461))),"")</f>
        <v/>
      </c>
      <c r="AO461" s="41" t="n"/>
      <c r="AP461" s="41" t="n"/>
      <c r="AQ461" s="41" t="n"/>
      <c r="AR461" s="41" t="n"/>
      <c r="AS461" s="41" t="n"/>
      <c r="AT461" s="37" t="n"/>
      <c r="AU461" s="10" t="inlineStr">
        <is>
          <t>PRD-0457</t>
        </is>
      </c>
    </row>
    <row r="462">
      <c r="A462" s="16">
        <f>IF($C462="","",IFERROR(IF(INDEX(tbl_Finance[Latest Invoice Date],MATCH($AU462,tbl_Finance[Row ID],0))="","",INDEX(tbl_Finance[Latest Invoice Date],MATCH($AU462,tbl_Finance[Row ID],0))),""))</f>
        <v/>
      </c>
      <c r="B462" s="10">
        <f>IF($C462="","",IFERROR(INDEX(tbl_Finance[Invoice Numbers],MATCH($AU462,tbl_Finance[Row ID],0))&amp;"",""))</f>
        <v/>
      </c>
      <c r="C462" s="37" t="n"/>
      <c r="D462" s="10">
        <f>IF($C462="","",IF(COUNTIF(lst_Jobs,$C462&amp;"")&gt;0,"OK","CHECK"))</f>
        <v/>
      </c>
      <c r="E462" s="10">
        <f>IF($C462="","",IFERROR(INDEX(lst_JobName,MATCH($C462&amp;"",lst_Jobs,0)),""))</f>
        <v/>
      </c>
      <c r="F462" s="37" t="n"/>
      <c r="G462" s="37" t="n"/>
      <c r="H462" s="37" t="n"/>
      <c r="I462" s="37" t="n"/>
      <c r="J462" s="37" t="n"/>
      <c r="K462" s="38">
        <f>IF($C462="","",IFERROR(N(INDEX(tbl_Finance[Invoice Count],MATCH($AU462,tbl_Finance[Row ID],0))),""))</f>
        <v/>
      </c>
      <c r="L462" s="11">
        <f>IF($C462="","",IFERROR(N(INDEX(tbl_Finance[Xero Invoiced Ex GST],MATCH($AU462,tbl_Finance[Row ID],0))),""))</f>
        <v/>
      </c>
      <c r="M462" s="10">
        <f>IF($C462="","",IFERROR(INDEX(tbl_Finance[Compare],MATCH($AU462,tbl_Finance[Row ID],0))&amp;"",""))</f>
        <v/>
      </c>
      <c r="N462" s="11">
        <f>IF($C462="","",MAX(0,N(O462)-N(L462)))</f>
        <v/>
      </c>
      <c r="O462" s="39" t="n"/>
      <c r="P462" s="40">
        <f>IF($C462="","",IF((IF(F462="",", Client","")&amp;IF(G462="",", Description","")&amp;IF(H462="",", Cost Centre","")&amp;IF(I462="",", Invoice Type","")&amp;IF(J462="",", Tax Code","")&amp;IF(O462="",", Expected Revenue","")&amp;IF(COUNTIF(tbl_Finance[Job Number],$C462&amp;"")&gt;1,", Job number used twice",""))="","Complete","Fix: "&amp;MID(IF(F462="",", Client","")&amp;IF(G462="",", Description","")&amp;IF(H462="",", Cost Centre","")&amp;IF(I462="",", Invoice Type","")&amp;IF(J462="",", Tax Code","")&amp;IF(O462="",", Expected Revenue","")&amp;IF(COUNTIF(tbl_Finance[Job Number],$C462&amp;"")&gt;1,", Job number used twice",""),3,300)))</f>
        <v/>
      </c>
      <c r="Q462" s="10">
        <f>IF($C462="","",IF(H462="","(no cost centre)",H462&amp;" - GL "&amp;IFERROR(INDEX(lst_CCtoGL,MATCH(H462,lst_CCforGL,0)),"?")))</f>
        <v/>
      </c>
      <c r="R462" s="11">
        <f>IF($C462="","",IFERROR(N(INDEX(tbl_Finance[Inc GST],MATCH($AU462,tbl_Finance[Row ID],0))),""))</f>
        <v/>
      </c>
      <c r="S462" s="37" t="n"/>
      <c r="T462" s="37" t="n"/>
      <c r="U462" s="37" t="n"/>
      <c r="V462" s="42" t="n"/>
      <c r="W462" s="37" t="n"/>
      <c r="X462" s="10">
        <f>IF(W462="","",IF(AND(LEFT(W462,4)&lt;&gt;"http",set_RMSBase=""),"",HYPERLINK(IF(LEFT(W462,4)="http",W462,set_RMSBase&amp;W462),"Open in RMS")))</f>
        <v/>
      </c>
      <c r="Y462" s="37" t="n"/>
      <c r="Z462" s="10">
        <f>IF(Y462="","",HYPERLINK(IF(LEFT(Y462,4)="http",Y462,set_QwilrBase&amp;Y462),"Open quote"))</f>
        <v/>
      </c>
      <c r="AA462" s="10">
        <f>IF(C462="","",C462)</f>
        <v/>
      </c>
      <c r="AB462" s="37" t="n"/>
      <c r="AC462" s="39" t="n"/>
      <c r="AD462" s="11">
        <f>IF(C462="","",N(L462)+N(AC462))</f>
        <v/>
      </c>
      <c r="AE462" s="43">
        <f>IFERROR(IF(N(AC462)=0,"",AC462/AD462),"")</f>
        <v/>
      </c>
      <c r="AF462" s="39" t="n"/>
      <c r="AG462" s="39" t="n"/>
      <c r="AH462" s="39" t="n"/>
      <c r="AI462" s="39" t="n"/>
      <c r="AJ462" s="11">
        <f>IF(C462="","",IF(H462="VIDEO",N(L462),0))</f>
        <v/>
      </c>
      <c r="AK462" s="43">
        <f>IFERROR(IF(N(L462)=0,"",AJ462/L462),"")</f>
        <v/>
      </c>
      <c r="AL462" s="11">
        <f>IF(C462="","",N(AF462)+N(AG462)+N(AH462)+N(AI462))</f>
        <v/>
      </c>
      <c r="AM462" s="11">
        <f>IF(C462="","",MAX(N(L462),N(O462))-N(AL462))</f>
        <v/>
      </c>
      <c r="AN462" s="43">
        <f>IFERROR(IF(MAX(N(L462),N(O462))=0,"",AM462/MAX(N(L462),N(O462))),"")</f>
        <v/>
      </c>
      <c r="AO462" s="41" t="n"/>
      <c r="AP462" s="41" t="n"/>
      <c r="AQ462" s="41" t="n"/>
      <c r="AR462" s="41" t="n"/>
      <c r="AS462" s="41" t="n"/>
      <c r="AT462" s="37" t="n"/>
      <c r="AU462" s="10" t="inlineStr">
        <is>
          <t>PRD-0458</t>
        </is>
      </c>
    </row>
    <row r="463">
      <c r="A463" s="16">
        <f>IF($C463="","",IFERROR(IF(INDEX(tbl_Finance[Latest Invoice Date],MATCH($AU463,tbl_Finance[Row ID],0))="","",INDEX(tbl_Finance[Latest Invoice Date],MATCH($AU463,tbl_Finance[Row ID],0))),""))</f>
        <v/>
      </c>
      <c r="B463" s="10">
        <f>IF($C463="","",IFERROR(INDEX(tbl_Finance[Invoice Numbers],MATCH($AU463,tbl_Finance[Row ID],0))&amp;"",""))</f>
        <v/>
      </c>
      <c r="C463" s="37" t="n"/>
      <c r="D463" s="10">
        <f>IF($C463="","",IF(COUNTIF(lst_Jobs,$C463&amp;"")&gt;0,"OK","CHECK"))</f>
        <v/>
      </c>
      <c r="E463" s="10">
        <f>IF($C463="","",IFERROR(INDEX(lst_JobName,MATCH($C463&amp;"",lst_Jobs,0)),""))</f>
        <v/>
      </c>
      <c r="F463" s="37" t="n"/>
      <c r="G463" s="37" t="n"/>
      <c r="H463" s="37" t="n"/>
      <c r="I463" s="37" t="n"/>
      <c r="J463" s="37" t="n"/>
      <c r="K463" s="38">
        <f>IF($C463="","",IFERROR(N(INDEX(tbl_Finance[Invoice Count],MATCH($AU463,tbl_Finance[Row ID],0))),""))</f>
        <v/>
      </c>
      <c r="L463" s="11">
        <f>IF($C463="","",IFERROR(N(INDEX(tbl_Finance[Xero Invoiced Ex GST],MATCH($AU463,tbl_Finance[Row ID],0))),""))</f>
        <v/>
      </c>
      <c r="M463" s="10">
        <f>IF($C463="","",IFERROR(INDEX(tbl_Finance[Compare],MATCH($AU463,tbl_Finance[Row ID],0))&amp;"",""))</f>
        <v/>
      </c>
      <c r="N463" s="11">
        <f>IF($C463="","",MAX(0,N(O463)-N(L463)))</f>
        <v/>
      </c>
      <c r="O463" s="39" t="n"/>
      <c r="P463" s="40">
        <f>IF($C463="","",IF((IF(F463="",", Client","")&amp;IF(G463="",", Description","")&amp;IF(H463="",", Cost Centre","")&amp;IF(I463="",", Invoice Type","")&amp;IF(J463="",", Tax Code","")&amp;IF(O463="",", Expected Revenue","")&amp;IF(COUNTIF(tbl_Finance[Job Number],$C463&amp;"")&gt;1,", Job number used twice",""))="","Complete","Fix: "&amp;MID(IF(F463="",", Client","")&amp;IF(G463="",", Description","")&amp;IF(H463="",", Cost Centre","")&amp;IF(I463="",", Invoice Type","")&amp;IF(J463="",", Tax Code","")&amp;IF(O463="",", Expected Revenue","")&amp;IF(COUNTIF(tbl_Finance[Job Number],$C463&amp;"")&gt;1,", Job number used twice",""),3,300)))</f>
        <v/>
      </c>
      <c r="Q463" s="10">
        <f>IF($C463="","",IF(H463="","(no cost centre)",H463&amp;" - GL "&amp;IFERROR(INDEX(lst_CCtoGL,MATCH(H463,lst_CCforGL,0)),"?")))</f>
        <v/>
      </c>
      <c r="R463" s="11">
        <f>IF($C463="","",IFERROR(N(INDEX(tbl_Finance[Inc GST],MATCH($AU463,tbl_Finance[Row ID],0))),""))</f>
        <v/>
      </c>
      <c r="S463" s="37" t="n"/>
      <c r="T463" s="37" t="n"/>
      <c r="U463" s="37" t="n"/>
      <c r="V463" s="42" t="n"/>
      <c r="W463" s="37" t="n"/>
      <c r="X463" s="10">
        <f>IF(W463="","",IF(AND(LEFT(W463,4)&lt;&gt;"http",set_RMSBase=""),"",HYPERLINK(IF(LEFT(W463,4)="http",W463,set_RMSBase&amp;W463),"Open in RMS")))</f>
        <v/>
      </c>
      <c r="Y463" s="37" t="n"/>
      <c r="Z463" s="10">
        <f>IF(Y463="","",HYPERLINK(IF(LEFT(Y463,4)="http",Y463,set_QwilrBase&amp;Y463),"Open quote"))</f>
        <v/>
      </c>
      <c r="AA463" s="10">
        <f>IF(C463="","",C463)</f>
        <v/>
      </c>
      <c r="AB463" s="37" t="n"/>
      <c r="AC463" s="39" t="n"/>
      <c r="AD463" s="11">
        <f>IF(C463="","",N(L463)+N(AC463))</f>
        <v/>
      </c>
      <c r="AE463" s="43">
        <f>IFERROR(IF(N(AC463)=0,"",AC463/AD463),"")</f>
        <v/>
      </c>
      <c r="AF463" s="39" t="n"/>
      <c r="AG463" s="39" t="n"/>
      <c r="AH463" s="39" t="n"/>
      <c r="AI463" s="39" t="n"/>
      <c r="AJ463" s="11">
        <f>IF(C463="","",IF(H463="VIDEO",N(L463),0))</f>
        <v/>
      </c>
      <c r="AK463" s="43">
        <f>IFERROR(IF(N(L463)=0,"",AJ463/L463),"")</f>
        <v/>
      </c>
      <c r="AL463" s="11">
        <f>IF(C463="","",N(AF463)+N(AG463)+N(AH463)+N(AI463))</f>
        <v/>
      </c>
      <c r="AM463" s="11">
        <f>IF(C463="","",MAX(N(L463),N(O463))-N(AL463))</f>
        <v/>
      </c>
      <c r="AN463" s="43">
        <f>IFERROR(IF(MAX(N(L463),N(O463))=0,"",AM463/MAX(N(L463),N(O463))),"")</f>
        <v/>
      </c>
      <c r="AO463" s="41" t="n"/>
      <c r="AP463" s="41" t="n"/>
      <c r="AQ463" s="41" t="n"/>
      <c r="AR463" s="41" t="n"/>
      <c r="AS463" s="41" t="n"/>
      <c r="AT463" s="37" t="n"/>
      <c r="AU463" s="10" t="inlineStr">
        <is>
          <t>PRD-0459</t>
        </is>
      </c>
    </row>
    <row r="464">
      <c r="A464" s="16">
        <f>IF($C464="","",IFERROR(IF(INDEX(tbl_Finance[Latest Invoice Date],MATCH($AU464,tbl_Finance[Row ID],0))="","",INDEX(tbl_Finance[Latest Invoice Date],MATCH($AU464,tbl_Finance[Row ID],0))),""))</f>
        <v/>
      </c>
      <c r="B464" s="10">
        <f>IF($C464="","",IFERROR(INDEX(tbl_Finance[Invoice Numbers],MATCH($AU464,tbl_Finance[Row ID],0))&amp;"",""))</f>
        <v/>
      </c>
      <c r="C464" s="37" t="n"/>
      <c r="D464" s="10">
        <f>IF($C464="","",IF(COUNTIF(lst_Jobs,$C464&amp;"")&gt;0,"OK","CHECK"))</f>
        <v/>
      </c>
      <c r="E464" s="10">
        <f>IF($C464="","",IFERROR(INDEX(lst_JobName,MATCH($C464&amp;"",lst_Jobs,0)),""))</f>
        <v/>
      </c>
      <c r="F464" s="37" t="n"/>
      <c r="G464" s="37" t="n"/>
      <c r="H464" s="37" t="n"/>
      <c r="I464" s="37" t="n"/>
      <c r="J464" s="37" t="n"/>
      <c r="K464" s="38">
        <f>IF($C464="","",IFERROR(N(INDEX(tbl_Finance[Invoice Count],MATCH($AU464,tbl_Finance[Row ID],0))),""))</f>
        <v/>
      </c>
      <c r="L464" s="11">
        <f>IF($C464="","",IFERROR(N(INDEX(tbl_Finance[Xero Invoiced Ex GST],MATCH($AU464,tbl_Finance[Row ID],0))),""))</f>
        <v/>
      </c>
      <c r="M464" s="10">
        <f>IF($C464="","",IFERROR(INDEX(tbl_Finance[Compare],MATCH($AU464,tbl_Finance[Row ID],0))&amp;"",""))</f>
        <v/>
      </c>
      <c r="N464" s="11">
        <f>IF($C464="","",MAX(0,N(O464)-N(L464)))</f>
        <v/>
      </c>
      <c r="O464" s="39" t="n"/>
      <c r="P464" s="40">
        <f>IF($C464="","",IF((IF(F464="",", Client","")&amp;IF(G464="",", Description","")&amp;IF(H464="",", Cost Centre","")&amp;IF(I464="",", Invoice Type","")&amp;IF(J464="",", Tax Code","")&amp;IF(O464="",", Expected Revenue","")&amp;IF(COUNTIF(tbl_Finance[Job Number],$C464&amp;"")&gt;1,", Job number used twice",""))="","Complete","Fix: "&amp;MID(IF(F464="",", Client","")&amp;IF(G464="",", Description","")&amp;IF(H464="",", Cost Centre","")&amp;IF(I464="",", Invoice Type","")&amp;IF(J464="",", Tax Code","")&amp;IF(O464="",", Expected Revenue","")&amp;IF(COUNTIF(tbl_Finance[Job Number],$C464&amp;"")&gt;1,", Job number used twice",""),3,300)))</f>
        <v/>
      </c>
      <c r="Q464" s="10">
        <f>IF($C464="","",IF(H464="","(no cost centre)",H464&amp;" - GL "&amp;IFERROR(INDEX(lst_CCtoGL,MATCH(H464,lst_CCforGL,0)),"?")))</f>
        <v/>
      </c>
      <c r="R464" s="11">
        <f>IF($C464="","",IFERROR(N(INDEX(tbl_Finance[Inc GST],MATCH($AU464,tbl_Finance[Row ID],0))),""))</f>
        <v/>
      </c>
      <c r="S464" s="37" t="n"/>
      <c r="T464" s="37" t="n"/>
      <c r="U464" s="37" t="n"/>
      <c r="V464" s="42" t="n"/>
      <c r="W464" s="37" t="n"/>
      <c r="X464" s="10">
        <f>IF(W464="","",IF(AND(LEFT(W464,4)&lt;&gt;"http",set_RMSBase=""),"",HYPERLINK(IF(LEFT(W464,4)="http",W464,set_RMSBase&amp;W464),"Open in RMS")))</f>
        <v/>
      </c>
      <c r="Y464" s="37" t="n"/>
      <c r="Z464" s="10">
        <f>IF(Y464="","",HYPERLINK(IF(LEFT(Y464,4)="http",Y464,set_QwilrBase&amp;Y464),"Open quote"))</f>
        <v/>
      </c>
      <c r="AA464" s="10">
        <f>IF(C464="","",C464)</f>
        <v/>
      </c>
      <c r="AB464" s="37" t="n"/>
      <c r="AC464" s="39" t="n"/>
      <c r="AD464" s="11">
        <f>IF(C464="","",N(L464)+N(AC464))</f>
        <v/>
      </c>
      <c r="AE464" s="43">
        <f>IFERROR(IF(N(AC464)=0,"",AC464/AD464),"")</f>
        <v/>
      </c>
      <c r="AF464" s="39" t="n"/>
      <c r="AG464" s="39" t="n"/>
      <c r="AH464" s="39" t="n"/>
      <c r="AI464" s="39" t="n"/>
      <c r="AJ464" s="11">
        <f>IF(C464="","",IF(H464="VIDEO",N(L464),0))</f>
        <v/>
      </c>
      <c r="AK464" s="43">
        <f>IFERROR(IF(N(L464)=0,"",AJ464/L464),"")</f>
        <v/>
      </c>
      <c r="AL464" s="11">
        <f>IF(C464="","",N(AF464)+N(AG464)+N(AH464)+N(AI464))</f>
        <v/>
      </c>
      <c r="AM464" s="11">
        <f>IF(C464="","",MAX(N(L464),N(O464))-N(AL464))</f>
        <v/>
      </c>
      <c r="AN464" s="43">
        <f>IFERROR(IF(MAX(N(L464),N(O464))=0,"",AM464/MAX(N(L464),N(O464))),"")</f>
        <v/>
      </c>
      <c r="AO464" s="41" t="n"/>
      <c r="AP464" s="41" t="n"/>
      <c r="AQ464" s="41" t="n"/>
      <c r="AR464" s="41" t="n"/>
      <c r="AS464" s="41" t="n"/>
      <c r="AT464" s="37" t="n"/>
      <c r="AU464" s="10" t="inlineStr">
        <is>
          <t>PRD-0460</t>
        </is>
      </c>
    </row>
    <row r="465">
      <c r="A465" s="16">
        <f>IF($C465="","",IFERROR(IF(INDEX(tbl_Finance[Latest Invoice Date],MATCH($AU465,tbl_Finance[Row ID],0))="","",INDEX(tbl_Finance[Latest Invoice Date],MATCH($AU465,tbl_Finance[Row ID],0))),""))</f>
        <v/>
      </c>
      <c r="B465" s="10">
        <f>IF($C465="","",IFERROR(INDEX(tbl_Finance[Invoice Numbers],MATCH($AU465,tbl_Finance[Row ID],0))&amp;"",""))</f>
        <v/>
      </c>
      <c r="C465" s="37" t="n"/>
      <c r="D465" s="10">
        <f>IF($C465="","",IF(COUNTIF(lst_Jobs,$C465&amp;"")&gt;0,"OK","CHECK"))</f>
        <v/>
      </c>
      <c r="E465" s="10">
        <f>IF($C465="","",IFERROR(INDEX(lst_JobName,MATCH($C465&amp;"",lst_Jobs,0)),""))</f>
        <v/>
      </c>
      <c r="F465" s="37" t="n"/>
      <c r="G465" s="37" t="n"/>
      <c r="H465" s="37" t="n"/>
      <c r="I465" s="37" t="n"/>
      <c r="J465" s="37" t="n"/>
      <c r="K465" s="38">
        <f>IF($C465="","",IFERROR(N(INDEX(tbl_Finance[Invoice Count],MATCH($AU465,tbl_Finance[Row ID],0))),""))</f>
        <v/>
      </c>
      <c r="L465" s="11">
        <f>IF($C465="","",IFERROR(N(INDEX(tbl_Finance[Xero Invoiced Ex GST],MATCH($AU465,tbl_Finance[Row ID],0))),""))</f>
        <v/>
      </c>
      <c r="M465" s="10">
        <f>IF($C465="","",IFERROR(INDEX(tbl_Finance[Compare],MATCH($AU465,tbl_Finance[Row ID],0))&amp;"",""))</f>
        <v/>
      </c>
      <c r="N465" s="11">
        <f>IF($C465="","",MAX(0,N(O465)-N(L465)))</f>
        <v/>
      </c>
      <c r="O465" s="39" t="n"/>
      <c r="P465" s="40">
        <f>IF($C465="","",IF((IF(F465="",", Client","")&amp;IF(G465="",", Description","")&amp;IF(H465="",", Cost Centre","")&amp;IF(I465="",", Invoice Type","")&amp;IF(J465="",", Tax Code","")&amp;IF(O465="",", Expected Revenue","")&amp;IF(COUNTIF(tbl_Finance[Job Number],$C465&amp;"")&gt;1,", Job number used twice",""))="","Complete","Fix: "&amp;MID(IF(F465="",", Client","")&amp;IF(G465="",", Description","")&amp;IF(H465="",", Cost Centre","")&amp;IF(I465="",", Invoice Type","")&amp;IF(J465="",", Tax Code","")&amp;IF(O465="",", Expected Revenue","")&amp;IF(COUNTIF(tbl_Finance[Job Number],$C465&amp;"")&gt;1,", Job number used twice",""),3,300)))</f>
        <v/>
      </c>
      <c r="Q465" s="10">
        <f>IF($C465="","",IF(H465="","(no cost centre)",H465&amp;" - GL "&amp;IFERROR(INDEX(lst_CCtoGL,MATCH(H465,lst_CCforGL,0)),"?")))</f>
        <v/>
      </c>
      <c r="R465" s="11">
        <f>IF($C465="","",IFERROR(N(INDEX(tbl_Finance[Inc GST],MATCH($AU465,tbl_Finance[Row ID],0))),""))</f>
        <v/>
      </c>
      <c r="S465" s="37" t="n"/>
      <c r="T465" s="37" t="n"/>
      <c r="U465" s="37" t="n"/>
      <c r="V465" s="42" t="n"/>
      <c r="W465" s="37" t="n"/>
      <c r="X465" s="10">
        <f>IF(W465="","",IF(AND(LEFT(W465,4)&lt;&gt;"http",set_RMSBase=""),"",HYPERLINK(IF(LEFT(W465,4)="http",W465,set_RMSBase&amp;W465),"Open in RMS")))</f>
        <v/>
      </c>
      <c r="Y465" s="37" t="n"/>
      <c r="Z465" s="10">
        <f>IF(Y465="","",HYPERLINK(IF(LEFT(Y465,4)="http",Y465,set_QwilrBase&amp;Y465),"Open quote"))</f>
        <v/>
      </c>
      <c r="AA465" s="10">
        <f>IF(C465="","",C465)</f>
        <v/>
      </c>
      <c r="AB465" s="37" t="n"/>
      <c r="AC465" s="39" t="n"/>
      <c r="AD465" s="11">
        <f>IF(C465="","",N(L465)+N(AC465))</f>
        <v/>
      </c>
      <c r="AE465" s="43">
        <f>IFERROR(IF(N(AC465)=0,"",AC465/AD465),"")</f>
        <v/>
      </c>
      <c r="AF465" s="39" t="n"/>
      <c r="AG465" s="39" t="n"/>
      <c r="AH465" s="39" t="n"/>
      <c r="AI465" s="39" t="n"/>
      <c r="AJ465" s="11">
        <f>IF(C465="","",IF(H465="VIDEO",N(L465),0))</f>
        <v/>
      </c>
      <c r="AK465" s="43">
        <f>IFERROR(IF(N(L465)=0,"",AJ465/L465),"")</f>
        <v/>
      </c>
      <c r="AL465" s="11">
        <f>IF(C465="","",N(AF465)+N(AG465)+N(AH465)+N(AI465))</f>
        <v/>
      </c>
      <c r="AM465" s="11">
        <f>IF(C465="","",MAX(N(L465),N(O465))-N(AL465))</f>
        <v/>
      </c>
      <c r="AN465" s="43">
        <f>IFERROR(IF(MAX(N(L465),N(O465))=0,"",AM465/MAX(N(L465),N(O465))),"")</f>
        <v/>
      </c>
      <c r="AO465" s="41" t="n"/>
      <c r="AP465" s="41" t="n"/>
      <c r="AQ465" s="41" t="n"/>
      <c r="AR465" s="41" t="n"/>
      <c r="AS465" s="41" t="n"/>
      <c r="AT465" s="37" t="n"/>
      <c r="AU465" s="10" t="inlineStr">
        <is>
          <t>PRD-0461</t>
        </is>
      </c>
    </row>
    <row r="466">
      <c r="A466" s="16">
        <f>IF($C466="","",IFERROR(IF(INDEX(tbl_Finance[Latest Invoice Date],MATCH($AU466,tbl_Finance[Row ID],0))="","",INDEX(tbl_Finance[Latest Invoice Date],MATCH($AU466,tbl_Finance[Row ID],0))),""))</f>
        <v/>
      </c>
      <c r="B466" s="10">
        <f>IF($C466="","",IFERROR(INDEX(tbl_Finance[Invoice Numbers],MATCH($AU466,tbl_Finance[Row ID],0))&amp;"",""))</f>
        <v/>
      </c>
      <c r="C466" s="37" t="n"/>
      <c r="D466" s="10">
        <f>IF($C466="","",IF(COUNTIF(lst_Jobs,$C466&amp;"")&gt;0,"OK","CHECK"))</f>
        <v/>
      </c>
      <c r="E466" s="10">
        <f>IF($C466="","",IFERROR(INDEX(lst_JobName,MATCH($C466&amp;"",lst_Jobs,0)),""))</f>
        <v/>
      </c>
      <c r="F466" s="37" t="n"/>
      <c r="G466" s="37" t="n"/>
      <c r="H466" s="37" t="n"/>
      <c r="I466" s="37" t="n"/>
      <c r="J466" s="37" t="n"/>
      <c r="K466" s="38">
        <f>IF($C466="","",IFERROR(N(INDEX(tbl_Finance[Invoice Count],MATCH($AU466,tbl_Finance[Row ID],0))),""))</f>
        <v/>
      </c>
      <c r="L466" s="11">
        <f>IF($C466="","",IFERROR(N(INDEX(tbl_Finance[Xero Invoiced Ex GST],MATCH($AU466,tbl_Finance[Row ID],0))),""))</f>
        <v/>
      </c>
      <c r="M466" s="10">
        <f>IF($C466="","",IFERROR(INDEX(tbl_Finance[Compare],MATCH($AU466,tbl_Finance[Row ID],0))&amp;"",""))</f>
        <v/>
      </c>
      <c r="N466" s="11">
        <f>IF($C466="","",MAX(0,N(O466)-N(L466)))</f>
        <v/>
      </c>
      <c r="O466" s="39" t="n"/>
      <c r="P466" s="40">
        <f>IF($C466="","",IF((IF(F466="",", Client","")&amp;IF(G466="",", Description","")&amp;IF(H466="",", Cost Centre","")&amp;IF(I466="",", Invoice Type","")&amp;IF(J466="",", Tax Code","")&amp;IF(O466="",", Expected Revenue","")&amp;IF(COUNTIF(tbl_Finance[Job Number],$C466&amp;"")&gt;1,", Job number used twice",""))="","Complete","Fix: "&amp;MID(IF(F466="",", Client","")&amp;IF(G466="",", Description","")&amp;IF(H466="",", Cost Centre","")&amp;IF(I466="",", Invoice Type","")&amp;IF(J466="",", Tax Code","")&amp;IF(O466="",", Expected Revenue","")&amp;IF(COUNTIF(tbl_Finance[Job Number],$C466&amp;"")&gt;1,", Job number used twice",""),3,300)))</f>
        <v/>
      </c>
      <c r="Q466" s="10">
        <f>IF($C466="","",IF(H466="","(no cost centre)",H466&amp;" - GL "&amp;IFERROR(INDEX(lst_CCtoGL,MATCH(H466,lst_CCforGL,0)),"?")))</f>
        <v/>
      </c>
      <c r="R466" s="11">
        <f>IF($C466="","",IFERROR(N(INDEX(tbl_Finance[Inc GST],MATCH($AU466,tbl_Finance[Row ID],0))),""))</f>
        <v/>
      </c>
      <c r="S466" s="37" t="n"/>
      <c r="T466" s="37" t="n"/>
      <c r="U466" s="37" t="n"/>
      <c r="V466" s="42" t="n"/>
      <c r="W466" s="37" t="n"/>
      <c r="X466" s="10">
        <f>IF(W466="","",IF(AND(LEFT(W466,4)&lt;&gt;"http",set_RMSBase=""),"",HYPERLINK(IF(LEFT(W466,4)="http",W466,set_RMSBase&amp;W466),"Open in RMS")))</f>
        <v/>
      </c>
      <c r="Y466" s="37" t="n"/>
      <c r="Z466" s="10">
        <f>IF(Y466="","",HYPERLINK(IF(LEFT(Y466,4)="http",Y466,set_QwilrBase&amp;Y466),"Open quote"))</f>
        <v/>
      </c>
      <c r="AA466" s="10">
        <f>IF(C466="","",C466)</f>
        <v/>
      </c>
      <c r="AB466" s="37" t="n"/>
      <c r="AC466" s="39" t="n"/>
      <c r="AD466" s="11">
        <f>IF(C466="","",N(L466)+N(AC466))</f>
        <v/>
      </c>
      <c r="AE466" s="43">
        <f>IFERROR(IF(N(AC466)=0,"",AC466/AD466),"")</f>
        <v/>
      </c>
      <c r="AF466" s="39" t="n"/>
      <c r="AG466" s="39" t="n"/>
      <c r="AH466" s="39" t="n"/>
      <c r="AI466" s="39" t="n"/>
      <c r="AJ466" s="11">
        <f>IF(C466="","",IF(H466="VIDEO",N(L466),0))</f>
        <v/>
      </c>
      <c r="AK466" s="43">
        <f>IFERROR(IF(N(L466)=0,"",AJ466/L466),"")</f>
        <v/>
      </c>
      <c r="AL466" s="11">
        <f>IF(C466="","",N(AF466)+N(AG466)+N(AH466)+N(AI466))</f>
        <v/>
      </c>
      <c r="AM466" s="11">
        <f>IF(C466="","",MAX(N(L466),N(O466))-N(AL466))</f>
        <v/>
      </c>
      <c r="AN466" s="43">
        <f>IFERROR(IF(MAX(N(L466),N(O466))=0,"",AM466/MAX(N(L466),N(O466))),"")</f>
        <v/>
      </c>
      <c r="AO466" s="41" t="n"/>
      <c r="AP466" s="41" t="n"/>
      <c r="AQ466" s="41" t="n"/>
      <c r="AR466" s="41" t="n"/>
      <c r="AS466" s="41" t="n"/>
      <c r="AT466" s="37" t="n"/>
      <c r="AU466" s="10" t="inlineStr">
        <is>
          <t>PRD-0462</t>
        </is>
      </c>
    </row>
    <row r="467">
      <c r="A467" s="16">
        <f>IF($C467="","",IFERROR(IF(INDEX(tbl_Finance[Latest Invoice Date],MATCH($AU467,tbl_Finance[Row ID],0))="","",INDEX(tbl_Finance[Latest Invoice Date],MATCH($AU467,tbl_Finance[Row ID],0))),""))</f>
        <v/>
      </c>
      <c r="B467" s="10">
        <f>IF($C467="","",IFERROR(INDEX(tbl_Finance[Invoice Numbers],MATCH($AU467,tbl_Finance[Row ID],0))&amp;"",""))</f>
        <v/>
      </c>
      <c r="C467" s="37" t="n"/>
      <c r="D467" s="10">
        <f>IF($C467="","",IF(COUNTIF(lst_Jobs,$C467&amp;"")&gt;0,"OK","CHECK"))</f>
        <v/>
      </c>
      <c r="E467" s="10">
        <f>IF($C467="","",IFERROR(INDEX(lst_JobName,MATCH($C467&amp;"",lst_Jobs,0)),""))</f>
        <v/>
      </c>
      <c r="F467" s="37" t="n"/>
      <c r="G467" s="37" t="n"/>
      <c r="H467" s="37" t="n"/>
      <c r="I467" s="37" t="n"/>
      <c r="J467" s="37" t="n"/>
      <c r="K467" s="38">
        <f>IF($C467="","",IFERROR(N(INDEX(tbl_Finance[Invoice Count],MATCH($AU467,tbl_Finance[Row ID],0))),""))</f>
        <v/>
      </c>
      <c r="L467" s="11">
        <f>IF($C467="","",IFERROR(N(INDEX(tbl_Finance[Xero Invoiced Ex GST],MATCH($AU467,tbl_Finance[Row ID],0))),""))</f>
        <v/>
      </c>
      <c r="M467" s="10">
        <f>IF($C467="","",IFERROR(INDEX(tbl_Finance[Compare],MATCH($AU467,tbl_Finance[Row ID],0))&amp;"",""))</f>
        <v/>
      </c>
      <c r="N467" s="11">
        <f>IF($C467="","",MAX(0,N(O467)-N(L467)))</f>
        <v/>
      </c>
      <c r="O467" s="39" t="n"/>
      <c r="P467" s="40">
        <f>IF($C467="","",IF((IF(F467="",", Client","")&amp;IF(G467="",", Description","")&amp;IF(H467="",", Cost Centre","")&amp;IF(I467="",", Invoice Type","")&amp;IF(J467="",", Tax Code","")&amp;IF(O467="",", Expected Revenue","")&amp;IF(COUNTIF(tbl_Finance[Job Number],$C467&amp;"")&gt;1,", Job number used twice",""))="","Complete","Fix: "&amp;MID(IF(F467="",", Client","")&amp;IF(G467="",", Description","")&amp;IF(H467="",", Cost Centre","")&amp;IF(I467="",", Invoice Type","")&amp;IF(J467="",", Tax Code","")&amp;IF(O467="",", Expected Revenue","")&amp;IF(COUNTIF(tbl_Finance[Job Number],$C467&amp;"")&gt;1,", Job number used twice",""),3,300)))</f>
        <v/>
      </c>
      <c r="Q467" s="10">
        <f>IF($C467="","",IF(H467="","(no cost centre)",H467&amp;" - GL "&amp;IFERROR(INDEX(lst_CCtoGL,MATCH(H467,lst_CCforGL,0)),"?")))</f>
        <v/>
      </c>
      <c r="R467" s="11">
        <f>IF($C467="","",IFERROR(N(INDEX(tbl_Finance[Inc GST],MATCH($AU467,tbl_Finance[Row ID],0))),""))</f>
        <v/>
      </c>
      <c r="S467" s="37" t="n"/>
      <c r="T467" s="37" t="n"/>
      <c r="U467" s="37" t="n"/>
      <c r="V467" s="42" t="n"/>
      <c r="W467" s="37" t="n"/>
      <c r="X467" s="10">
        <f>IF(W467="","",IF(AND(LEFT(W467,4)&lt;&gt;"http",set_RMSBase=""),"",HYPERLINK(IF(LEFT(W467,4)="http",W467,set_RMSBase&amp;W467),"Open in RMS")))</f>
        <v/>
      </c>
      <c r="Y467" s="37" t="n"/>
      <c r="Z467" s="10">
        <f>IF(Y467="","",HYPERLINK(IF(LEFT(Y467,4)="http",Y467,set_QwilrBase&amp;Y467),"Open quote"))</f>
        <v/>
      </c>
      <c r="AA467" s="10">
        <f>IF(C467="","",C467)</f>
        <v/>
      </c>
      <c r="AB467" s="37" t="n"/>
      <c r="AC467" s="39" t="n"/>
      <c r="AD467" s="11">
        <f>IF(C467="","",N(L467)+N(AC467))</f>
        <v/>
      </c>
      <c r="AE467" s="43">
        <f>IFERROR(IF(N(AC467)=0,"",AC467/AD467),"")</f>
        <v/>
      </c>
      <c r="AF467" s="39" t="n"/>
      <c r="AG467" s="39" t="n"/>
      <c r="AH467" s="39" t="n"/>
      <c r="AI467" s="39" t="n"/>
      <c r="AJ467" s="11">
        <f>IF(C467="","",IF(H467="VIDEO",N(L467),0))</f>
        <v/>
      </c>
      <c r="AK467" s="43">
        <f>IFERROR(IF(N(L467)=0,"",AJ467/L467),"")</f>
        <v/>
      </c>
      <c r="AL467" s="11">
        <f>IF(C467="","",N(AF467)+N(AG467)+N(AH467)+N(AI467))</f>
        <v/>
      </c>
      <c r="AM467" s="11">
        <f>IF(C467="","",MAX(N(L467),N(O467))-N(AL467))</f>
        <v/>
      </c>
      <c r="AN467" s="43">
        <f>IFERROR(IF(MAX(N(L467),N(O467))=0,"",AM467/MAX(N(L467),N(O467))),"")</f>
        <v/>
      </c>
      <c r="AO467" s="41" t="n"/>
      <c r="AP467" s="41" t="n"/>
      <c r="AQ467" s="41" t="n"/>
      <c r="AR467" s="41" t="n"/>
      <c r="AS467" s="41" t="n"/>
      <c r="AT467" s="37" t="n"/>
      <c r="AU467" s="10" t="inlineStr">
        <is>
          <t>PRD-0463</t>
        </is>
      </c>
    </row>
    <row r="468">
      <c r="A468" s="16">
        <f>IF($C468="","",IFERROR(IF(INDEX(tbl_Finance[Latest Invoice Date],MATCH($AU468,tbl_Finance[Row ID],0))="","",INDEX(tbl_Finance[Latest Invoice Date],MATCH($AU468,tbl_Finance[Row ID],0))),""))</f>
        <v/>
      </c>
      <c r="B468" s="10">
        <f>IF($C468="","",IFERROR(INDEX(tbl_Finance[Invoice Numbers],MATCH($AU468,tbl_Finance[Row ID],0))&amp;"",""))</f>
        <v/>
      </c>
      <c r="C468" s="37" t="n"/>
      <c r="D468" s="10">
        <f>IF($C468="","",IF(COUNTIF(lst_Jobs,$C468&amp;"")&gt;0,"OK","CHECK"))</f>
        <v/>
      </c>
      <c r="E468" s="10">
        <f>IF($C468="","",IFERROR(INDEX(lst_JobName,MATCH($C468&amp;"",lst_Jobs,0)),""))</f>
        <v/>
      </c>
      <c r="F468" s="37" t="n"/>
      <c r="G468" s="37" t="n"/>
      <c r="H468" s="37" t="n"/>
      <c r="I468" s="37" t="n"/>
      <c r="J468" s="37" t="n"/>
      <c r="K468" s="38">
        <f>IF($C468="","",IFERROR(N(INDEX(tbl_Finance[Invoice Count],MATCH($AU468,tbl_Finance[Row ID],0))),""))</f>
        <v/>
      </c>
      <c r="L468" s="11">
        <f>IF($C468="","",IFERROR(N(INDEX(tbl_Finance[Xero Invoiced Ex GST],MATCH($AU468,tbl_Finance[Row ID],0))),""))</f>
        <v/>
      </c>
      <c r="M468" s="10">
        <f>IF($C468="","",IFERROR(INDEX(tbl_Finance[Compare],MATCH($AU468,tbl_Finance[Row ID],0))&amp;"",""))</f>
        <v/>
      </c>
      <c r="N468" s="11">
        <f>IF($C468="","",MAX(0,N(O468)-N(L468)))</f>
        <v/>
      </c>
      <c r="O468" s="39" t="n"/>
      <c r="P468" s="40">
        <f>IF($C468="","",IF((IF(F468="",", Client","")&amp;IF(G468="",", Description","")&amp;IF(H468="",", Cost Centre","")&amp;IF(I468="",", Invoice Type","")&amp;IF(J468="",", Tax Code","")&amp;IF(O468="",", Expected Revenue","")&amp;IF(COUNTIF(tbl_Finance[Job Number],$C468&amp;"")&gt;1,", Job number used twice",""))="","Complete","Fix: "&amp;MID(IF(F468="",", Client","")&amp;IF(G468="",", Description","")&amp;IF(H468="",", Cost Centre","")&amp;IF(I468="",", Invoice Type","")&amp;IF(J468="",", Tax Code","")&amp;IF(O468="",", Expected Revenue","")&amp;IF(COUNTIF(tbl_Finance[Job Number],$C468&amp;"")&gt;1,", Job number used twice",""),3,300)))</f>
        <v/>
      </c>
      <c r="Q468" s="10">
        <f>IF($C468="","",IF(H468="","(no cost centre)",H468&amp;" - GL "&amp;IFERROR(INDEX(lst_CCtoGL,MATCH(H468,lst_CCforGL,0)),"?")))</f>
        <v/>
      </c>
      <c r="R468" s="11">
        <f>IF($C468="","",IFERROR(N(INDEX(tbl_Finance[Inc GST],MATCH($AU468,tbl_Finance[Row ID],0))),""))</f>
        <v/>
      </c>
      <c r="S468" s="37" t="n"/>
      <c r="T468" s="37" t="n"/>
      <c r="U468" s="37" t="n"/>
      <c r="V468" s="42" t="n"/>
      <c r="W468" s="37" t="n"/>
      <c r="X468" s="10">
        <f>IF(W468="","",IF(AND(LEFT(W468,4)&lt;&gt;"http",set_RMSBase=""),"",HYPERLINK(IF(LEFT(W468,4)="http",W468,set_RMSBase&amp;W468),"Open in RMS")))</f>
        <v/>
      </c>
      <c r="Y468" s="37" t="n"/>
      <c r="Z468" s="10">
        <f>IF(Y468="","",HYPERLINK(IF(LEFT(Y468,4)="http",Y468,set_QwilrBase&amp;Y468),"Open quote"))</f>
        <v/>
      </c>
      <c r="AA468" s="10">
        <f>IF(C468="","",C468)</f>
        <v/>
      </c>
      <c r="AB468" s="37" t="n"/>
      <c r="AC468" s="39" t="n"/>
      <c r="AD468" s="11">
        <f>IF(C468="","",N(L468)+N(AC468))</f>
        <v/>
      </c>
      <c r="AE468" s="43">
        <f>IFERROR(IF(N(AC468)=0,"",AC468/AD468),"")</f>
        <v/>
      </c>
      <c r="AF468" s="39" t="n"/>
      <c r="AG468" s="39" t="n"/>
      <c r="AH468" s="39" t="n"/>
      <c r="AI468" s="39" t="n"/>
      <c r="AJ468" s="11">
        <f>IF(C468="","",IF(H468="VIDEO",N(L468),0))</f>
        <v/>
      </c>
      <c r="AK468" s="43">
        <f>IFERROR(IF(N(L468)=0,"",AJ468/L468),"")</f>
        <v/>
      </c>
      <c r="AL468" s="11">
        <f>IF(C468="","",N(AF468)+N(AG468)+N(AH468)+N(AI468))</f>
        <v/>
      </c>
      <c r="AM468" s="11">
        <f>IF(C468="","",MAX(N(L468),N(O468))-N(AL468))</f>
        <v/>
      </c>
      <c r="AN468" s="43">
        <f>IFERROR(IF(MAX(N(L468),N(O468))=0,"",AM468/MAX(N(L468),N(O468))),"")</f>
        <v/>
      </c>
      <c r="AO468" s="41" t="n"/>
      <c r="AP468" s="41" t="n"/>
      <c r="AQ468" s="41" t="n"/>
      <c r="AR468" s="41" t="n"/>
      <c r="AS468" s="41" t="n"/>
      <c r="AT468" s="37" t="n"/>
      <c r="AU468" s="10" t="inlineStr">
        <is>
          <t>PRD-0464</t>
        </is>
      </c>
    </row>
    <row r="469">
      <c r="A469" s="16">
        <f>IF($C469="","",IFERROR(IF(INDEX(tbl_Finance[Latest Invoice Date],MATCH($AU469,tbl_Finance[Row ID],0))="","",INDEX(tbl_Finance[Latest Invoice Date],MATCH($AU469,tbl_Finance[Row ID],0))),""))</f>
        <v/>
      </c>
      <c r="B469" s="10">
        <f>IF($C469="","",IFERROR(INDEX(tbl_Finance[Invoice Numbers],MATCH($AU469,tbl_Finance[Row ID],0))&amp;"",""))</f>
        <v/>
      </c>
      <c r="C469" s="37" t="n"/>
      <c r="D469" s="10">
        <f>IF($C469="","",IF(COUNTIF(lst_Jobs,$C469&amp;"")&gt;0,"OK","CHECK"))</f>
        <v/>
      </c>
      <c r="E469" s="10">
        <f>IF($C469="","",IFERROR(INDEX(lst_JobName,MATCH($C469&amp;"",lst_Jobs,0)),""))</f>
        <v/>
      </c>
      <c r="F469" s="37" t="n"/>
      <c r="G469" s="37" t="n"/>
      <c r="H469" s="37" t="n"/>
      <c r="I469" s="37" t="n"/>
      <c r="J469" s="37" t="n"/>
      <c r="K469" s="38">
        <f>IF($C469="","",IFERROR(N(INDEX(tbl_Finance[Invoice Count],MATCH($AU469,tbl_Finance[Row ID],0))),""))</f>
        <v/>
      </c>
      <c r="L469" s="11">
        <f>IF($C469="","",IFERROR(N(INDEX(tbl_Finance[Xero Invoiced Ex GST],MATCH($AU469,tbl_Finance[Row ID],0))),""))</f>
        <v/>
      </c>
      <c r="M469" s="10">
        <f>IF($C469="","",IFERROR(INDEX(tbl_Finance[Compare],MATCH($AU469,tbl_Finance[Row ID],0))&amp;"",""))</f>
        <v/>
      </c>
      <c r="N469" s="11">
        <f>IF($C469="","",MAX(0,N(O469)-N(L469)))</f>
        <v/>
      </c>
      <c r="O469" s="39" t="n"/>
      <c r="P469" s="40">
        <f>IF($C469="","",IF((IF(F469="",", Client","")&amp;IF(G469="",", Description","")&amp;IF(H469="",", Cost Centre","")&amp;IF(I469="",", Invoice Type","")&amp;IF(J469="",", Tax Code","")&amp;IF(O469="",", Expected Revenue","")&amp;IF(COUNTIF(tbl_Finance[Job Number],$C469&amp;"")&gt;1,", Job number used twice",""))="","Complete","Fix: "&amp;MID(IF(F469="",", Client","")&amp;IF(G469="",", Description","")&amp;IF(H469="",", Cost Centre","")&amp;IF(I469="",", Invoice Type","")&amp;IF(J469="",", Tax Code","")&amp;IF(O469="",", Expected Revenue","")&amp;IF(COUNTIF(tbl_Finance[Job Number],$C469&amp;"")&gt;1,", Job number used twice",""),3,300)))</f>
        <v/>
      </c>
      <c r="Q469" s="10">
        <f>IF($C469="","",IF(H469="","(no cost centre)",H469&amp;" - GL "&amp;IFERROR(INDEX(lst_CCtoGL,MATCH(H469,lst_CCforGL,0)),"?")))</f>
        <v/>
      </c>
      <c r="R469" s="11">
        <f>IF($C469="","",IFERROR(N(INDEX(tbl_Finance[Inc GST],MATCH($AU469,tbl_Finance[Row ID],0))),""))</f>
        <v/>
      </c>
      <c r="S469" s="37" t="n"/>
      <c r="T469" s="37" t="n"/>
      <c r="U469" s="37" t="n"/>
      <c r="V469" s="42" t="n"/>
      <c r="W469" s="37" t="n"/>
      <c r="X469" s="10">
        <f>IF(W469="","",IF(AND(LEFT(W469,4)&lt;&gt;"http",set_RMSBase=""),"",HYPERLINK(IF(LEFT(W469,4)="http",W469,set_RMSBase&amp;W469),"Open in RMS")))</f>
        <v/>
      </c>
      <c r="Y469" s="37" t="n"/>
      <c r="Z469" s="10">
        <f>IF(Y469="","",HYPERLINK(IF(LEFT(Y469,4)="http",Y469,set_QwilrBase&amp;Y469),"Open quote"))</f>
        <v/>
      </c>
      <c r="AA469" s="10">
        <f>IF(C469="","",C469)</f>
        <v/>
      </c>
      <c r="AB469" s="37" t="n"/>
      <c r="AC469" s="39" t="n"/>
      <c r="AD469" s="11">
        <f>IF(C469="","",N(L469)+N(AC469))</f>
        <v/>
      </c>
      <c r="AE469" s="43">
        <f>IFERROR(IF(N(AC469)=0,"",AC469/AD469),"")</f>
        <v/>
      </c>
      <c r="AF469" s="39" t="n"/>
      <c r="AG469" s="39" t="n"/>
      <c r="AH469" s="39" t="n"/>
      <c r="AI469" s="39" t="n"/>
      <c r="AJ469" s="11">
        <f>IF(C469="","",IF(H469="VIDEO",N(L469),0))</f>
        <v/>
      </c>
      <c r="AK469" s="43">
        <f>IFERROR(IF(N(L469)=0,"",AJ469/L469),"")</f>
        <v/>
      </c>
      <c r="AL469" s="11">
        <f>IF(C469="","",N(AF469)+N(AG469)+N(AH469)+N(AI469))</f>
        <v/>
      </c>
      <c r="AM469" s="11">
        <f>IF(C469="","",MAX(N(L469),N(O469))-N(AL469))</f>
        <v/>
      </c>
      <c r="AN469" s="43">
        <f>IFERROR(IF(MAX(N(L469),N(O469))=0,"",AM469/MAX(N(L469),N(O469))),"")</f>
        <v/>
      </c>
      <c r="AO469" s="41" t="n"/>
      <c r="AP469" s="41" t="n"/>
      <c r="AQ469" s="41" t="n"/>
      <c r="AR469" s="41" t="n"/>
      <c r="AS469" s="41" t="n"/>
      <c r="AT469" s="37" t="n"/>
      <c r="AU469" s="10" t="inlineStr">
        <is>
          <t>PRD-0465</t>
        </is>
      </c>
    </row>
    <row r="470">
      <c r="A470" s="16">
        <f>IF($C470="","",IFERROR(IF(INDEX(tbl_Finance[Latest Invoice Date],MATCH($AU470,tbl_Finance[Row ID],0))="","",INDEX(tbl_Finance[Latest Invoice Date],MATCH($AU470,tbl_Finance[Row ID],0))),""))</f>
        <v/>
      </c>
      <c r="B470" s="10">
        <f>IF($C470="","",IFERROR(INDEX(tbl_Finance[Invoice Numbers],MATCH($AU470,tbl_Finance[Row ID],0))&amp;"",""))</f>
        <v/>
      </c>
      <c r="C470" s="37" t="n"/>
      <c r="D470" s="10">
        <f>IF($C470="","",IF(COUNTIF(lst_Jobs,$C470&amp;"")&gt;0,"OK","CHECK"))</f>
        <v/>
      </c>
      <c r="E470" s="10">
        <f>IF($C470="","",IFERROR(INDEX(lst_JobName,MATCH($C470&amp;"",lst_Jobs,0)),""))</f>
        <v/>
      </c>
      <c r="F470" s="37" t="n"/>
      <c r="G470" s="37" t="n"/>
      <c r="H470" s="37" t="n"/>
      <c r="I470" s="37" t="n"/>
      <c r="J470" s="37" t="n"/>
      <c r="K470" s="38">
        <f>IF($C470="","",IFERROR(N(INDEX(tbl_Finance[Invoice Count],MATCH($AU470,tbl_Finance[Row ID],0))),""))</f>
        <v/>
      </c>
      <c r="L470" s="11">
        <f>IF($C470="","",IFERROR(N(INDEX(tbl_Finance[Xero Invoiced Ex GST],MATCH($AU470,tbl_Finance[Row ID],0))),""))</f>
        <v/>
      </c>
      <c r="M470" s="10">
        <f>IF($C470="","",IFERROR(INDEX(tbl_Finance[Compare],MATCH($AU470,tbl_Finance[Row ID],0))&amp;"",""))</f>
        <v/>
      </c>
      <c r="N470" s="11">
        <f>IF($C470="","",MAX(0,N(O470)-N(L470)))</f>
        <v/>
      </c>
      <c r="O470" s="39" t="n"/>
      <c r="P470" s="40">
        <f>IF($C470="","",IF((IF(F470="",", Client","")&amp;IF(G470="",", Description","")&amp;IF(H470="",", Cost Centre","")&amp;IF(I470="",", Invoice Type","")&amp;IF(J470="",", Tax Code","")&amp;IF(O470="",", Expected Revenue","")&amp;IF(COUNTIF(tbl_Finance[Job Number],$C470&amp;"")&gt;1,", Job number used twice",""))="","Complete","Fix: "&amp;MID(IF(F470="",", Client","")&amp;IF(G470="",", Description","")&amp;IF(H470="",", Cost Centre","")&amp;IF(I470="",", Invoice Type","")&amp;IF(J470="",", Tax Code","")&amp;IF(O470="",", Expected Revenue","")&amp;IF(COUNTIF(tbl_Finance[Job Number],$C470&amp;"")&gt;1,", Job number used twice",""),3,300)))</f>
        <v/>
      </c>
      <c r="Q470" s="10">
        <f>IF($C470="","",IF(H470="","(no cost centre)",H470&amp;" - GL "&amp;IFERROR(INDEX(lst_CCtoGL,MATCH(H470,lst_CCforGL,0)),"?")))</f>
        <v/>
      </c>
      <c r="R470" s="11">
        <f>IF($C470="","",IFERROR(N(INDEX(tbl_Finance[Inc GST],MATCH($AU470,tbl_Finance[Row ID],0))),""))</f>
        <v/>
      </c>
      <c r="S470" s="37" t="n"/>
      <c r="T470" s="37" t="n"/>
      <c r="U470" s="37" t="n"/>
      <c r="V470" s="42" t="n"/>
      <c r="W470" s="37" t="n"/>
      <c r="X470" s="10">
        <f>IF(W470="","",IF(AND(LEFT(W470,4)&lt;&gt;"http",set_RMSBase=""),"",HYPERLINK(IF(LEFT(W470,4)="http",W470,set_RMSBase&amp;W470),"Open in RMS")))</f>
        <v/>
      </c>
      <c r="Y470" s="37" t="n"/>
      <c r="Z470" s="10">
        <f>IF(Y470="","",HYPERLINK(IF(LEFT(Y470,4)="http",Y470,set_QwilrBase&amp;Y470),"Open quote"))</f>
        <v/>
      </c>
      <c r="AA470" s="10">
        <f>IF(C470="","",C470)</f>
        <v/>
      </c>
      <c r="AB470" s="37" t="n"/>
      <c r="AC470" s="39" t="n"/>
      <c r="AD470" s="11">
        <f>IF(C470="","",N(L470)+N(AC470))</f>
        <v/>
      </c>
      <c r="AE470" s="43">
        <f>IFERROR(IF(N(AC470)=0,"",AC470/AD470),"")</f>
        <v/>
      </c>
      <c r="AF470" s="39" t="n"/>
      <c r="AG470" s="39" t="n"/>
      <c r="AH470" s="39" t="n"/>
      <c r="AI470" s="39" t="n"/>
      <c r="AJ470" s="11">
        <f>IF(C470="","",IF(H470="VIDEO",N(L470),0))</f>
        <v/>
      </c>
      <c r="AK470" s="43">
        <f>IFERROR(IF(N(L470)=0,"",AJ470/L470),"")</f>
        <v/>
      </c>
      <c r="AL470" s="11">
        <f>IF(C470="","",N(AF470)+N(AG470)+N(AH470)+N(AI470))</f>
        <v/>
      </c>
      <c r="AM470" s="11">
        <f>IF(C470="","",MAX(N(L470),N(O470))-N(AL470))</f>
        <v/>
      </c>
      <c r="AN470" s="43">
        <f>IFERROR(IF(MAX(N(L470),N(O470))=0,"",AM470/MAX(N(L470),N(O470))),"")</f>
        <v/>
      </c>
      <c r="AO470" s="41" t="n"/>
      <c r="AP470" s="41" t="n"/>
      <c r="AQ470" s="41" t="n"/>
      <c r="AR470" s="41" t="n"/>
      <c r="AS470" s="41" t="n"/>
      <c r="AT470" s="37" t="n"/>
      <c r="AU470" s="10" t="inlineStr">
        <is>
          <t>PRD-0466</t>
        </is>
      </c>
    </row>
    <row r="471">
      <c r="A471" s="16">
        <f>IF($C471="","",IFERROR(IF(INDEX(tbl_Finance[Latest Invoice Date],MATCH($AU471,tbl_Finance[Row ID],0))="","",INDEX(tbl_Finance[Latest Invoice Date],MATCH($AU471,tbl_Finance[Row ID],0))),""))</f>
        <v/>
      </c>
      <c r="B471" s="10">
        <f>IF($C471="","",IFERROR(INDEX(tbl_Finance[Invoice Numbers],MATCH($AU471,tbl_Finance[Row ID],0))&amp;"",""))</f>
        <v/>
      </c>
      <c r="C471" s="37" t="n"/>
      <c r="D471" s="10">
        <f>IF($C471="","",IF(COUNTIF(lst_Jobs,$C471&amp;"")&gt;0,"OK","CHECK"))</f>
        <v/>
      </c>
      <c r="E471" s="10">
        <f>IF($C471="","",IFERROR(INDEX(lst_JobName,MATCH($C471&amp;"",lst_Jobs,0)),""))</f>
        <v/>
      </c>
      <c r="F471" s="37" t="n"/>
      <c r="G471" s="37" t="n"/>
      <c r="H471" s="37" t="n"/>
      <c r="I471" s="37" t="n"/>
      <c r="J471" s="37" t="n"/>
      <c r="K471" s="38">
        <f>IF($C471="","",IFERROR(N(INDEX(tbl_Finance[Invoice Count],MATCH($AU471,tbl_Finance[Row ID],0))),""))</f>
        <v/>
      </c>
      <c r="L471" s="11">
        <f>IF($C471="","",IFERROR(N(INDEX(tbl_Finance[Xero Invoiced Ex GST],MATCH($AU471,tbl_Finance[Row ID],0))),""))</f>
        <v/>
      </c>
      <c r="M471" s="10">
        <f>IF($C471="","",IFERROR(INDEX(tbl_Finance[Compare],MATCH($AU471,tbl_Finance[Row ID],0))&amp;"",""))</f>
        <v/>
      </c>
      <c r="N471" s="11">
        <f>IF($C471="","",MAX(0,N(O471)-N(L471)))</f>
        <v/>
      </c>
      <c r="O471" s="39" t="n"/>
      <c r="P471" s="40">
        <f>IF($C471="","",IF((IF(F471="",", Client","")&amp;IF(G471="",", Description","")&amp;IF(H471="",", Cost Centre","")&amp;IF(I471="",", Invoice Type","")&amp;IF(J471="",", Tax Code","")&amp;IF(O471="",", Expected Revenue","")&amp;IF(COUNTIF(tbl_Finance[Job Number],$C471&amp;"")&gt;1,", Job number used twice",""))="","Complete","Fix: "&amp;MID(IF(F471="",", Client","")&amp;IF(G471="",", Description","")&amp;IF(H471="",", Cost Centre","")&amp;IF(I471="",", Invoice Type","")&amp;IF(J471="",", Tax Code","")&amp;IF(O471="",", Expected Revenue","")&amp;IF(COUNTIF(tbl_Finance[Job Number],$C471&amp;"")&gt;1,", Job number used twice",""),3,300)))</f>
        <v/>
      </c>
      <c r="Q471" s="10">
        <f>IF($C471="","",IF(H471="","(no cost centre)",H471&amp;" - GL "&amp;IFERROR(INDEX(lst_CCtoGL,MATCH(H471,lst_CCforGL,0)),"?")))</f>
        <v/>
      </c>
      <c r="R471" s="11">
        <f>IF($C471="","",IFERROR(N(INDEX(tbl_Finance[Inc GST],MATCH($AU471,tbl_Finance[Row ID],0))),""))</f>
        <v/>
      </c>
      <c r="S471" s="37" t="n"/>
      <c r="T471" s="37" t="n"/>
      <c r="U471" s="37" t="n"/>
      <c r="V471" s="42" t="n"/>
      <c r="W471" s="37" t="n"/>
      <c r="X471" s="10">
        <f>IF(W471="","",IF(AND(LEFT(W471,4)&lt;&gt;"http",set_RMSBase=""),"",HYPERLINK(IF(LEFT(W471,4)="http",W471,set_RMSBase&amp;W471),"Open in RMS")))</f>
        <v/>
      </c>
      <c r="Y471" s="37" t="n"/>
      <c r="Z471" s="10">
        <f>IF(Y471="","",HYPERLINK(IF(LEFT(Y471,4)="http",Y471,set_QwilrBase&amp;Y471),"Open quote"))</f>
        <v/>
      </c>
      <c r="AA471" s="10">
        <f>IF(C471="","",C471)</f>
        <v/>
      </c>
      <c r="AB471" s="37" t="n"/>
      <c r="AC471" s="39" t="n"/>
      <c r="AD471" s="11">
        <f>IF(C471="","",N(L471)+N(AC471))</f>
        <v/>
      </c>
      <c r="AE471" s="43">
        <f>IFERROR(IF(N(AC471)=0,"",AC471/AD471),"")</f>
        <v/>
      </c>
      <c r="AF471" s="39" t="n"/>
      <c r="AG471" s="39" t="n"/>
      <c r="AH471" s="39" t="n"/>
      <c r="AI471" s="39" t="n"/>
      <c r="AJ471" s="11">
        <f>IF(C471="","",IF(H471="VIDEO",N(L471),0))</f>
        <v/>
      </c>
      <c r="AK471" s="43">
        <f>IFERROR(IF(N(L471)=0,"",AJ471/L471),"")</f>
        <v/>
      </c>
      <c r="AL471" s="11">
        <f>IF(C471="","",N(AF471)+N(AG471)+N(AH471)+N(AI471))</f>
        <v/>
      </c>
      <c r="AM471" s="11">
        <f>IF(C471="","",MAX(N(L471),N(O471))-N(AL471))</f>
        <v/>
      </c>
      <c r="AN471" s="43">
        <f>IFERROR(IF(MAX(N(L471),N(O471))=0,"",AM471/MAX(N(L471),N(O471))),"")</f>
        <v/>
      </c>
      <c r="AO471" s="41" t="n"/>
      <c r="AP471" s="41" t="n"/>
      <c r="AQ471" s="41" t="n"/>
      <c r="AR471" s="41" t="n"/>
      <c r="AS471" s="41" t="n"/>
      <c r="AT471" s="37" t="n"/>
      <c r="AU471" s="10" t="inlineStr">
        <is>
          <t>PRD-0467</t>
        </is>
      </c>
    </row>
    <row r="472">
      <c r="A472" s="16">
        <f>IF($C472="","",IFERROR(IF(INDEX(tbl_Finance[Latest Invoice Date],MATCH($AU472,tbl_Finance[Row ID],0))="","",INDEX(tbl_Finance[Latest Invoice Date],MATCH($AU472,tbl_Finance[Row ID],0))),""))</f>
        <v/>
      </c>
      <c r="B472" s="10">
        <f>IF($C472="","",IFERROR(INDEX(tbl_Finance[Invoice Numbers],MATCH($AU472,tbl_Finance[Row ID],0))&amp;"",""))</f>
        <v/>
      </c>
      <c r="C472" s="37" t="n"/>
      <c r="D472" s="10">
        <f>IF($C472="","",IF(COUNTIF(lst_Jobs,$C472&amp;"")&gt;0,"OK","CHECK"))</f>
        <v/>
      </c>
      <c r="E472" s="10">
        <f>IF($C472="","",IFERROR(INDEX(lst_JobName,MATCH($C472&amp;"",lst_Jobs,0)),""))</f>
        <v/>
      </c>
      <c r="F472" s="37" t="n"/>
      <c r="G472" s="37" t="n"/>
      <c r="H472" s="37" t="n"/>
      <c r="I472" s="37" t="n"/>
      <c r="J472" s="37" t="n"/>
      <c r="K472" s="38">
        <f>IF($C472="","",IFERROR(N(INDEX(tbl_Finance[Invoice Count],MATCH($AU472,tbl_Finance[Row ID],0))),""))</f>
        <v/>
      </c>
      <c r="L472" s="11">
        <f>IF($C472="","",IFERROR(N(INDEX(tbl_Finance[Xero Invoiced Ex GST],MATCH($AU472,tbl_Finance[Row ID],0))),""))</f>
        <v/>
      </c>
      <c r="M472" s="10">
        <f>IF($C472="","",IFERROR(INDEX(tbl_Finance[Compare],MATCH($AU472,tbl_Finance[Row ID],0))&amp;"",""))</f>
        <v/>
      </c>
      <c r="N472" s="11">
        <f>IF($C472="","",MAX(0,N(O472)-N(L472)))</f>
        <v/>
      </c>
      <c r="O472" s="39" t="n"/>
      <c r="P472" s="40">
        <f>IF($C472="","",IF((IF(F472="",", Client","")&amp;IF(G472="",", Description","")&amp;IF(H472="",", Cost Centre","")&amp;IF(I472="",", Invoice Type","")&amp;IF(J472="",", Tax Code","")&amp;IF(O472="",", Expected Revenue","")&amp;IF(COUNTIF(tbl_Finance[Job Number],$C472&amp;"")&gt;1,", Job number used twice",""))="","Complete","Fix: "&amp;MID(IF(F472="",", Client","")&amp;IF(G472="",", Description","")&amp;IF(H472="",", Cost Centre","")&amp;IF(I472="",", Invoice Type","")&amp;IF(J472="",", Tax Code","")&amp;IF(O472="",", Expected Revenue","")&amp;IF(COUNTIF(tbl_Finance[Job Number],$C472&amp;"")&gt;1,", Job number used twice",""),3,300)))</f>
        <v/>
      </c>
      <c r="Q472" s="10">
        <f>IF($C472="","",IF(H472="","(no cost centre)",H472&amp;" - GL "&amp;IFERROR(INDEX(lst_CCtoGL,MATCH(H472,lst_CCforGL,0)),"?")))</f>
        <v/>
      </c>
      <c r="R472" s="11">
        <f>IF($C472="","",IFERROR(N(INDEX(tbl_Finance[Inc GST],MATCH($AU472,tbl_Finance[Row ID],0))),""))</f>
        <v/>
      </c>
      <c r="S472" s="37" t="n"/>
      <c r="T472" s="37" t="n"/>
      <c r="U472" s="37" t="n"/>
      <c r="V472" s="42" t="n"/>
      <c r="W472" s="37" t="n"/>
      <c r="X472" s="10">
        <f>IF(W472="","",IF(AND(LEFT(W472,4)&lt;&gt;"http",set_RMSBase=""),"",HYPERLINK(IF(LEFT(W472,4)="http",W472,set_RMSBase&amp;W472),"Open in RMS")))</f>
        <v/>
      </c>
      <c r="Y472" s="37" t="n"/>
      <c r="Z472" s="10">
        <f>IF(Y472="","",HYPERLINK(IF(LEFT(Y472,4)="http",Y472,set_QwilrBase&amp;Y472),"Open quote"))</f>
        <v/>
      </c>
      <c r="AA472" s="10">
        <f>IF(C472="","",C472)</f>
        <v/>
      </c>
      <c r="AB472" s="37" t="n"/>
      <c r="AC472" s="39" t="n"/>
      <c r="AD472" s="11">
        <f>IF(C472="","",N(L472)+N(AC472))</f>
        <v/>
      </c>
      <c r="AE472" s="43">
        <f>IFERROR(IF(N(AC472)=0,"",AC472/AD472),"")</f>
        <v/>
      </c>
      <c r="AF472" s="39" t="n"/>
      <c r="AG472" s="39" t="n"/>
      <c r="AH472" s="39" t="n"/>
      <c r="AI472" s="39" t="n"/>
      <c r="AJ472" s="11">
        <f>IF(C472="","",IF(H472="VIDEO",N(L472),0))</f>
        <v/>
      </c>
      <c r="AK472" s="43">
        <f>IFERROR(IF(N(L472)=0,"",AJ472/L472),"")</f>
        <v/>
      </c>
      <c r="AL472" s="11">
        <f>IF(C472="","",N(AF472)+N(AG472)+N(AH472)+N(AI472))</f>
        <v/>
      </c>
      <c r="AM472" s="11">
        <f>IF(C472="","",MAX(N(L472),N(O472))-N(AL472))</f>
        <v/>
      </c>
      <c r="AN472" s="43">
        <f>IFERROR(IF(MAX(N(L472),N(O472))=0,"",AM472/MAX(N(L472),N(O472))),"")</f>
        <v/>
      </c>
      <c r="AO472" s="41" t="n"/>
      <c r="AP472" s="41" t="n"/>
      <c r="AQ472" s="41" t="n"/>
      <c r="AR472" s="41" t="n"/>
      <c r="AS472" s="41" t="n"/>
      <c r="AT472" s="37" t="n"/>
      <c r="AU472" s="10" t="inlineStr">
        <is>
          <t>PRD-0468</t>
        </is>
      </c>
    </row>
    <row r="473">
      <c r="A473" s="16">
        <f>IF($C473="","",IFERROR(IF(INDEX(tbl_Finance[Latest Invoice Date],MATCH($AU473,tbl_Finance[Row ID],0))="","",INDEX(tbl_Finance[Latest Invoice Date],MATCH($AU473,tbl_Finance[Row ID],0))),""))</f>
        <v/>
      </c>
      <c r="B473" s="10">
        <f>IF($C473="","",IFERROR(INDEX(tbl_Finance[Invoice Numbers],MATCH($AU473,tbl_Finance[Row ID],0))&amp;"",""))</f>
        <v/>
      </c>
      <c r="C473" s="37" t="n"/>
      <c r="D473" s="10">
        <f>IF($C473="","",IF(COUNTIF(lst_Jobs,$C473&amp;"")&gt;0,"OK","CHECK"))</f>
        <v/>
      </c>
      <c r="E473" s="10">
        <f>IF($C473="","",IFERROR(INDEX(lst_JobName,MATCH($C473&amp;"",lst_Jobs,0)),""))</f>
        <v/>
      </c>
      <c r="F473" s="37" t="n"/>
      <c r="G473" s="37" t="n"/>
      <c r="H473" s="37" t="n"/>
      <c r="I473" s="37" t="n"/>
      <c r="J473" s="37" t="n"/>
      <c r="K473" s="38">
        <f>IF($C473="","",IFERROR(N(INDEX(tbl_Finance[Invoice Count],MATCH($AU473,tbl_Finance[Row ID],0))),""))</f>
        <v/>
      </c>
      <c r="L473" s="11">
        <f>IF($C473="","",IFERROR(N(INDEX(tbl_Finance[Xero Invoiced Ex GST],MATCH($AU473,tbl_Finance[Row ID],0))),""))</f>
        <v/>
      </c>
      <c r="M473" s="10">
        <f>IF($C473="","",IFERROR(INDEX(tbl_Finance[Compare],MATCH($AU473,tbl_Finance[Row ID],0))&amp;"",""))</f>
        <v/>
      </c>
      <c r="N473" s="11">
        <f>IF($C473="","",MAX(0,N(O473)-N(L473)))</f>
        <v/>
      </c>
      <c r="O473" s="39" t="n"/>
      <c r="P473" s="40">
        <f>IF($C473="","",IF((IF(F473="",", Client","")&amp;IF(G473="",", Description","")&amp;IF(H473="",", Cost Centre","")&amp;IF(I473="",", Invoice Type","")&amp;IF(J473="",", Tax Code","")&amp;IF(O473="",", Expected Revenue","")&amp;IF(COUNTIF(tbl_Finance[Job Number],$C473&amp;"")&gt;1,", Job number used twice",""))="","Complete","Fix: "&amp;MID(IF(F473="",", Client","")&amp;IF(G473="",", Description","")&amp;IF(H473="",", Cost Centre","")&amp;IF(I473="",", Invoice Type","")&amp;IF(J473="",", Tax Code","")&amp;IF(O473="",", Expected Revenue","")&amp;IF(COUNTIF(tbl_Finance[Job Number],$C473&amp;"")&gt;1,", Job number used twice",""),3,300)))</f>
        <v/>
      </c>
      <c r="Q473" s="10">
        <f>IF($C473="","",IF(H473="","(no cost centre)",H473&amp;" - GL "&amp;IFERROR(INDEX(lst_CCtoGL,MATCH(H473,lst_CCforGL,0)),"?")))</f>
        <v/>
      </c>
      <c r="R473" s="11">
        <f>IF($C473="","",IFERROR(N(INDEX(tbl_Finance[Inc GST],MATCH($AU473,tbl_Finance[Row ID],0))),""))</f>
        <v/>
      </c>
      <c r="S473" s="37" t="n"/>
      <c r="T473" s="37" t="n"/>
      <c r="U473" s="37" t="n"/>
      <c r="V473" s="42" t="n"/>
      <c r="W473" s="37" t="n"/>
      <c r="X473" s="10">
        <f>IF(W473="","",IF(AND(LEFT(W473,4)&lt;&gt;"http",set_RMSBase=""),"",HYPERLINK(IF(LEFT(W473,4)="http",W473,set_RMSBase&amp;W473),"Open in RMS")))</f>
        <v/>
      </c>
      <c r="Y473" s="37" t="n"/>
      <c r="Z473" s="10">
        <f>IF(Y473="","",HYPERLINK(IF(LEFT(Y473,4)="http",Y473,set_QwilrBase&amp;Y473),"Open quote"))</f>
        <v/>
      </c>
      <c r="AA473" s="10">
        <f>IF(C473="","",C473)</f>
        <v/>
      </c>
      <c r="AB473" s="37" t="n"/>
      <c r="AC473" s="39" t="n"/>
      <c r="AD473" s="11">
        <f>IF(C473="","",N(L473)+N(AC473))</f>
        <v/>
      </c>
      <c r="AE473" s="43">
        <f>IFERROR(IF(N(AC473)=0,"",AC473/AD473),"")</f>
        <v/>
      </c>
      <c r="AF473" s="39" t="n"/>
      <c r="AG473" s="39" t="n"/>
      <c r="AH473" s="39" t="n"/>
      <c r="AI473" s="39" t="n"/>
      <c r="AJ473" s="11">
        <f>IF(C473="","",IF(H473="VIDEO",N(L473),0))</f>
        <v/>
      </c>
      <c r="AK473" s="43">
        <f>IFERROR(IF(N(L473)=0,"",AJ473/L473),"")</f>
        <v/>
      </c>
      <c r="AL473" s="11">
        <f>IF(C473="","",N(AF473)+N(AG473)+N(AH473)+N(AI473))</f>
        <v/>
      </c>
      <c r="AM473" s="11">
        <f>IF(C473="","",MAX(N(L473),N(O473))-N(AL473))</f>
        <v/>
      </c>
      <c r="AN473" s="43">
        <f>IFERROR(IF(MAX(N(L473),N(O473))=0,"",AM473/MAX(N(L473),N(O473))),"")</f>
        <v/>
      </c>
      <c r="AO473" s="41" t="n"/>
      <c r="AP473" s="41" t="n"/>
      <c r="AQ473" s="41" t="n"/>
      <c r="AR473" s="41" t="n"/>
      <c r="AS473" s="41" t="n"/>
      <c r="AT473" s="37" t="n"/>
      <c r="AU473" s="10" t="inlineStr">
        <is>
          <t>PRD-0469</t>
        </is>
      </c>
    </row>
    <row r="474">
      <c r="A474" s="16">
        <f>IF($C474="","",IFERROR(IF(INDEX(tbl_Finance[Latest Invoice Date],MATCH($AU474,tbl_Finance[Row ID],0))="","",INDEX(tbl_Finance[Latest Invoice Date],MATCH($AU474,tbl_Finance[Row ID],0))),""))</f>
        <v/>
      </c>
      <c r="B474" s="10">
        <f>IF($C474="","",IFERROR(INDEX(tbl_Finance[Invoice Numbers],MATCH($AU474,tbl_Finance[Row ID],0))&amp;"",""))</f>
        <v/>
      </c>
      <c r="C474" s="37" t="n"/>
      <c r="D474" s="10">
        <f>IF($C474="","",IF(COUNTIF(lst_Jobs,$C474&amp;"")&gt;0,"OK","CHECK"))</f>
        <v/>
      </c>
      <c r="E474" s="10">
        <f>IF($C474="","",IFERROR(INDEX(lst_JobName,MATCH($C474&amp;"",lst_Jobs,0)),""))</f>
        <v/>
      </c>
      <c r="F474" s="37" t="n"/>
      <c r="G474" s="37" t="n"/>
      <c r="H474" s="37" t="n"/>
      <c r="I474" s="37" t="n"/>
      <c r="J474" s="37" t="n"/>
      <c r="K474" s="38">
        <f>IF($C474="","",IFERROR(N(INDEX(tbl_Finance[Invoice Count],MATCH($AU474,tbl_Finance[Row ID],0))),""))</f>
        <v/>
      </c>
      <c r="L474" s="11">
        <f>IF($C474="","",IFERROR(N(INDEX(tbl_Finance[Xero Invoiced Ex GST],MATCH($AU474,tbl_Finance[Row ID],0))),""))</f>
        <v/>
      </c>
      <c r="M474" s="10">
        <f>IF($C474="","",IFERROR(INDEX(tbl_Finance[Compare],MATCH($AU474,tbl_Finance[Row ID],0))&amp;"",""))</f>
        <v/>
      </c>
      <c r="N474" s="11">
        <f>IF($C474="","",MAX(0,N(O474)-N(L474)))</f>
        <v/>
      </c>
      <c r="O474" s="39" t="n"/>
      <c r="P474" s="40">
        <f>IF($C474="","",IF((IF(F474="",", Client","")&amp;IF(G474="",", Description","")&amp;IF(H474="",", Cost Centre","")&amp;IF(I474="",", Invoice Type","")&amp;IF(J474="",", Tax Code","")&amp;IF(O474="",", Expected Revenue","")&amp;IF(COUNTIF(tbl_Finance[Job Number],$C474&amp;"")&gt;1,", Job number used twice",""))="","Complete","Fix: "&amp;MID(IF(F474="",", Client","")&amp;IF(G474="",", Description","")&amp;IF(H474="",", Cost Centre","")&amp;IF(I474="",", Invoice Type","")&amp;IF(J474="",", Tax Code","")&amp;IF(O474="",", Expected Revenue","")&amp;IF(COUNTIF(tbl_Finance[Job Number],$C474&amp;"")&gt;1,", Job number used twice",""),3,300)))</f>
        <v/>
      </c>
      <c r="Q474" s="10">
        <f>IF($C474="","",IF(H474="","(no cost centre)",H474&amp;" - GL "&amp;IFERROR(INDEX(lst_CCtoGL,MATCH(H474,lst_CCforGL,0)),"?")))</f>
        <v/>
      </c>
      <c r="R474" s="11">
        <f>IF($C474="","",IFERROR(N(INDEX(tbl_Finance[Inc GST],MATCH($AU474,tbl_Finance[Row ID],0))),""))</f>
        <v/>
      </c>
      <c r="S474" s="37" t="n"/>
      <c r="T474" s="37" t="n"/>
      <c r="U474" s="37" t="n"/>
      <c r="V474" s="42" t="n"/>
      <c r="W474" s="37" t="n"/>
      <c r="X474" s="10">
        <f>IF(W474="","",IF(AND(LEFT(W474,4)&lt;&gt;"http",set_RMSBase=""),"",HYPERLINK(IF(LEFT(W474,4)="http",W474,set_RMSBase&amp;W474),"Open in RMS")))</f>
        <v/>
      </c>
      <c r="Y474" s="37" t="n"/>
      <c r="Z474" s="10">
        <f>IF(Y474="","",HYPERLINK(IF(LEFT(Y474,4)="http",Y474,set_QwilrBase&amp;Y474),"Open quote"))</f>
        <v/>
      </c>
      <c r="AA474" s="10">
        <f>IF(C474="","",C474)</f>
        <v/>
      </c>
      <c r="AB474" s="37" t="n"/>
      <c r="AC474" s="39" t="n"/>
      <c r="AD474" s="11">
        <f>IF(C474="","",N(L474)+N(AC474))</f>
        <v/>
      </c>
      <c r="AE474" s="43">
        <f>IFERROR(IF(N(AC474)=0,"",AC474/AD474),"")</f>
        <v/>
      </c>
      <c r="AF474" s="39" t="n"/>
      <c r="AG474" s="39" t="n"/>
      <c r="AH474" s="39" t="n"/>
      <c r="AI474" s="39" t="n"/>
      <c r="AJ474" s="11">
        <f>IF(C474="","",IF(H474="VIDEO",N(L474),0))</f>
        <v/>
      </c>
      <c r="AK474" s="43">
        <f>IFERROR(IF(N(L474)=0,"",AJ474/L474),"")</f>
        <v/>
      </c>
      <c r="AL474" s="11">
        <f>IF(C474="","",N(AF474)+N(AG474)+N(AH474)+N(AI474))</f>
        <v/>
      </c>
      <c r="AM474" s="11">
        <f>IF(C474="","",MAX(N(L474),N(O474))-N(AL474))</f>
        <v/>
      </c>
      <c r="AN474" s="43">
        <f>IFERROR(IF(MAX(N(L474),N(O474))=0,"",AM474/MAX(N(L474),N(O474))),"")</f>
        <v/>
      </c>
      <c r="AO474" s="41" t="n"/>
      <c r="AP474" s="41" t="n"/>
      <c r="AQ474" s="41" t="n"/>
      <c r="AR474" s="41" t="n"/>
      <c r="AS474" s="41" t="n"/>
      <c r="AT474" s="37" t="n"/>
      <c r="AU474" s="10" t="inlineStr">
        <is>
          <t>PRD-0470</t>
        </is>
      </c>
    </row>
    <row r="475">
      <c r="A475" s="16">
        <f>IF($C475="","",IFERROR(IF(INDEX(tbl_Finance[Latest Invoice Date],MATCH($AU475,tbl_Finance[Row ID],0))="","",INDEX(tbl_Finance[Latest Invoice Date],MATCH($AU475,tbl_Finance[Row ID],0))),""))</f>
        <v/>
      </c>
      <c r="B475" s="10">
        <f>IF($C475="","",IFERROR(INDEX(tbl_Finance[Invoice Numbers],MATCH($AU475,tbl_Finance[Row ID],0))&amp;"",""))</f>
        <v/>
      </c>
      <c r="C475" s="37" t="n"/>
      <c r="D475" s="10">
        <f>IF($C475="","",IF(COUNTIF(lst_Jobs,$C475&amp;"")&gt;0,"OK","CHECK"))</f>
        <v/>
      </c>
      <c r="E475" s="10">
        <f>IF($C475="","",IFERROR(INDEX(lst_JobName,MATCH($C475&amp;"",lst_Jobs,0)),""))</f>
        <v/>
      </c>
      <c r="F475" s="37" t="n"/>
      <c r="G475" s="37" t="n"/>
      <c r="H475" s="37" t="n"/>
      <c r="I475" s="37" t="n"/>
      <c r="J475" s="37" t="n"/>
      <c r="K475" s="38">
        <f>IF($C475="","",IFERROR(N(INDEX(tbl_Finance[Invoice Count],MATCH($AU475,tbl_Finance[Row ID],0))),""))</f>
        <v/>
      </c>
      <c r="L475" s="11">
        <f>IF($C475="","",IFERROR(N(INDEX(tbl_Finance[Xero Invoiced Ex GST],MATCH($AU475,tbl_Finance[Row ID],0))),""))</f>
        <v/>
      </c>
      <c r="M475" s="10">
        <f>IF($C475="","",IFERROR(INDEX(tbl_Finance[Compare],MATCH($AU475,tbl_Finance[Row ID],0))&amp;"",""))</f>
        <v/>
      </c>
      <c r="N475" s="11">
        <f>IF($C475="","",MAX(0,N(O475)-N(L475)))</f>
        <v/>
      </c>
      <c r="O475" s="39" t="n"/>
      <c r="P475" s="40">
        <f>IF($C475="","",IF((IF(F475="",", Client","")&amp;IF(G475="",", Description","")&amp;IF(H475="",", Cost Centre","")&amp;IF(I475="",", Invoice Type","")&amp;IF(J475="",", Tax Code","")&amp;IF(O475="",", Expected Revenue","")&amp;IF(COUNTIF(tbl_Finance[Job Number],$C475&amp;"")&gt;1,", Job number used twice",""))="","Complete","Fix: "&amp;MID(IF(F475="",", Client","")&amp;IF(G475="",", Description","")&amp;IF(H475="",", Cost Centre","")&amp;IF(I475="",", Invoice Type","")&amp;IF(J475="",", Tax Code","")&amp;IF(O475="",", Expected Revenue","")&amp;IF(COUNTIF(tbl_Finance[Job Number],$C475&amp;"")&gt;1,", Job number used twice",""),3,300)))</f>
        <v/>
      </c>
      <c r="Q475" s="10">
        <f>IF($C475="","",IF(H475="","(no cost centre)",H475&amp;" - GL "&amp;IFERROR(INDEX(lst_CCtoGL,MATCH(H475,lst_CCforGL,0)),"?")))</f>
        <v/>
      </c>
      <c r="R475" s="11">
        <f>IF($C475="","",IFERROR(N(INDEX(tbl_Finance[Inc GST],MATCH($AU475,tbl_Finance[Row ID],0))),""))</f>
        <v/>
      </c>
      <c r="S475" s="37" t="n"/>
      <c r="T475" s="37" t="n"/>
      <c r="U475" s="37" t="n"/>
      <c r="V475" s="42" t="n"/>
      <c r="W475" s="37" t="n"/>
      <c r="X475" s="10">
        <f>IF(W475="","",IF(AND(LEFT(W475,4)&lt;&gt;"http",set_RMSBase=""),"",HYPERLINK(IF(LEFT(W475,4)="http",W475,set_RMSBase&amp;W475),"Open in RMS")))</f>
        <v/>
      </c>
      <c r="Y475" s="37" t="n"/>
      <c r="Z475" s="10">
        <f>IF(Y475="","",HYPERLINK(IF(LEFT(Y475,4)="http",Y475,set_QwilrBase&amp;Y475),"Open quote"))</f>
        <v/>
      </c>
      <c r="AA475" s="10">
        <f>IF(C475="","",C475)</f>
        <v/>
      </c>
      <c r="AB475" s="37" t="n"/>
      <c r="AC475" s="39" t="n"/>
      <c r="AD475" s="11">
        <f>IF(C475="","",N(L475)+N(AC475))</f>
        <v/>
      </c>
      <c r="AE475" s="43">
        <f>IFERROR(IF(N(AC475)=0,"",AC475/AD475),"")</f>
        <v/>
      </c>
      <c r="AF475" s="39" t="n"/>
      <c r="AG475" s="39" t="n"/>
      <c r="AH475" s="39" t="n"/>
      <c r="AI475" s="39" t="n"/>
      <c r="AJ475" s="11">
        <f>IF(C475="","",IF(H475="VIDEO",N(L475),0))</f>
        <v/>
      </c>
      <c r="AK475" s="43">
        <f>IFERROR(IF(N(L475)=0,"",AJ475/L475),"")</f>
        <v/>
      </c>
      <c r="AL475" s="11">
        <f>IF(C475="","",N(AF475)+N(AG475)+N(AH475)+N(AI475))</f>
        <v/>
      </c>
      <c r="AM475" s="11">
        <f>IF(C475="","",MAX(N(L475),N(O475))-N(AL475))</f>
        <v/>
      </c>
      <c r="AN475" s="43">
        <f>IFERROR(IF(MAX(N(L475),N(O475))=0,"",AM475/MAX(N(L475),N(O475))),"")</f>
        <v/>
      </c>
      <c r="AO475" s="41" t="n"/>
      <c r="AP475" s="41" t="n"/>
      <c r="AQ475" s="41" t="n"/>
      <c r="AR475" s="41" t="n"/>
      <c r="AS475" s="41" t="n"/>
      <c r="AT475" s="37" t="n"/>
      <c r="AU475" s="10" t="inlineStr">
        <is>
          <t>PRD-0471</t>
        </is>
      </c>
    </row>
    <row r="476">
      <c r="A476" s="16">
        <f>IF($C476="","",IFERROR(IF(INDEX(tbl_Finance[Latest Invoice Date],MATCH($AU476,tbl_Finance[Row ID],0))="","",INDEX(tbl_Finance[Latest Invoice Date],MATCH($AU476,tbl_Finance[Row ID],0))),""))</f>
        <v/>
      </c>
      <c r="B476" s="10">
        <f>IF($C476="","",IFERROR(INDEX(tbl_Finance[Invoice Numbers],MATCH($AU476,tbl_Finance[Row ID],0))&amp;"",""))</f>
        <v/>
      </c>
      <c r="C476" s="37" t="n"/>
      <c r="D476" s="10">
        <f>IF($C476="","",IF(COUNTIF(lst_Jobs,$C476&amp;"")&gt;0,"OK","CHECK"))</f>
        <v/>
      </c>
      <c r="E476" s="10">
        <f>IF($C476="","",IFERROR(INDEX(lst_JobName,MATCH($C476&amp;"",lst_Jobs,0)),""))</f>
        <v/>
      </c>
      <c r="F476" s="37" t="n"/>
      <c r="G476" s="37" t="n"/>
      <c r="H476" s="37" t="n"/>
      <c r="I476" s="37" t="n"/>
      <c r="J476" s="37" t="n"/>
      <c r="K476" s="38">
        <f>IF($C476="","",IFERROR(N(INDEX(tbl_Finance[Invoice Count],MATCH($AU476,tbl_Finance[Row ID],0))),""))</f>
        <v/>
      </c>
      <c r="L476" s="11">
        <f>IF($C476="","",IFERROR(N(INDEX(tbl_Finance[Xero Invoiced Ex GST],MATCH($AU476,tbl_Finance[Row ID],0))),""))</f>
        <v/>
      </c>
      <c r="M476" s="10">
        <f>IF($C476="","",IFERROR(INDEX(tbl_Finance[Compare],MATCH($AU476,tbl_Finance[Row ID],0))&amp;"",""))</f>
        <v/>
      </c>
      <c r="N476" s="11">
        <f>IF($C476="","",MAX(0,N(O476)-N(L476)))</f>
        <v/>
      </c>
      <c r="O476" s="39" t="n"/>
      <c r="P476" s="40">
        <f>IF($C476="","",IF((IF(F476="",", Client","")&amp;IF(G476="",", Description","")&amp;IF(H476="",", Cost Centre","")&amp;IF(I476="",", Invoice Type","")&amp;IF(J476="",", Tax Code","")&amp;IF(O476="",", Expected Revenue","")&amp;IF(COUNTIF(tbl_Finance[Job Number],$C476&amp;"")&gt;1,", Job number used twice",""))="","Complete","Fix: "&amp;MID(IF(F476="",", Client","")&amp;IF(G476="",", Description","")&amp;IF(H476="",", Cost Centre","")&amp;IF(I476="",", Invoice Type","")&amp;IF(J476="",", Tax Code","")&amp;IF(O476="",", Expected Revenue","")&amp;IF(COUNTIF(tbl_Finance[Job Number],$C476&amp;"")&gt;1,", Job number used twice",""),3,300)))</f>
        <v/>
      </c>
      <c r="Q476" s="10">
        <f>IF($C476="","",IF(H476="","(no cost centre)",H476&amp;" - GL "&amp;IFERROR(INDEX(lst_CCtoGL,MATCH(H476,lst_CCforGL,0)),"?")))</f>
        <v/>
      </c>
      <c r="R476" s="11">
        <f>IF($C476="","",IFERROR(N(INDEX(tbl_Finance[Inc GST],MATCH($AU476,tbl_Finance[Row ID],0))),""))</f>
        <v/>
      </c>
      <c r="S476" s="37" t="n"/>
      <c r="T476" s="37" t="n"/>
      <c r="U476" s="37" t="n"/>
      <c r="V476" s="42" t="n"/>
      <c r="W476" s="37" t="n"/>
      <c r="X476" s="10">
        <f>IF(W476="","",IF(AND(LEFT(W476,4)&lt;&gt;"http",set_RMSBase=""),"",HYPERLINK(IF(LEFT(W476,4)="http",W476,set_RMSBase&amp;W476),"Open in RMS")))</f>
        <v/>
      </c>
      <c r="Y476" s="37" t="n"/>
      <c r="Z476" s="10">
        <f>IF(Y476="","",HYPERLINK(IF(LEFT(Y476,4)="http",Y476,set_QwilrBase&amp;Y476),"Open quote"))</f>
        <v/>
      </c>
      <c r="AA476" s="10">
        <f>IF(C476="","",C476)</f>
        <v/>
      </c>
      <c r="AB476" s="37" t="n"/>
      <c r="AC476" s="39" t="n"/>
      <c r="AD476" s="11">
        <f>IF(C476="","",N(L476)+N(AC476))</f>
        <v/>
      </c>
      <c r="AE476" s="43">
        <f>IFERROR(IF(N(AC476)=0,"",AC476/AD476),"")</f>
        <v/>
      </c>
      <c r="AF476" s="39" t="n"/>
      <c r="AG476" s="39" t="n"/>
      <c r="AH476" s="39" t="n"/>
      <c r="AI476" s="39" t="n"/>
      <c r="AJ476" s="11">
        <f>IF(C476="","",IF(H476="VIDEO",N(L476),0))</f>
        <v/>
      </c>
      <c r="AK476" s="43">
        <f>IFERROR(IF(N(L476)=0,"",AJ476/L476),"")</f>
        <v/>
      </c>
      <c r="AL476" s="11">
        <f>IF(C476="","",N(AF476)+N(AG476)+N(AH476)+N(AI476))</f>
        <v/>
      </c>
      <c r="AM476" s="11">
        <f>IF(C476="","",MAX(N(L476),N(O476))-N(AL476))</f>
        <v/>
      </c>
      <c r="AN476" s="43">
        <f>IFERROR(IF(MAX(N(L476),N(O476))=0,"",AM476/MAX(N(L476),N(O476))),"")</f>
        <v/>
      </c>
      <c r="AO476" s="41" t="n"/>
      <c r="AP476" s="41" t="n"/>
      <c r="AQ476" s="41" t="n"/>
      <c r="AR476" s="41" t="n"/>
      <c r="AS476" s="41" t="n"/>
      <c r="AT476" s="37" t="n"/>
      <c r="AU476" s="10" t="inlineStr">
        <is>
          <t>PRD-0472</t>
        </is>
      </c>
    </row>
    <row r="477">
      <c r="A477" s="16">
        <f>IF($C477="","",IFERROR(IF(INDEX(tbl_Finance[Latest Invoice Date],MATCH($AU477,tbl_Finance[Row ID],0))="","",INDEX(tbl_Finance[Latest Invoice Date],MATCH($AU477,tbl_Finance[Row ID],0))),""))</f>
        <v/>
      </c>
      <c r="B477" s="10">
        <f>IF($C477="","",IFERROR(INDEX(tbl_Finance[Invoice Numbers],MATCH($AU477,tbl_Finance[Row ID],0))&amp;"",""))</f>
        <v/>
      </c>
      <c r="C477" s="37" t="n"/>
      <c r="D477" s="10">
        <f>IF($C477="","",IF(COUNTIF(lst_Jobs,$C477&amp;"")&gt;0,"OK","CHECK"))</f>
        <v/>
      </c>
      <c r="E477" s="10">
        <f>IF($C477="","",IFERROR(INDEX(lst_JobName,MATCH($C477&amp;"",lst_Jobs,0)),""))</f>
        <v/>
      </c>
      <c r="F477" s="37" t="n"/>
      <c r="G477" s="37" t="n"/>
      <c r="H477" s="37" t="n"/>
      <c r="I477" s="37" t="n"/>
      <c r="J477" s="37" t="n"/>
      <c r="K477" s="38">
        <f>IF($C477="","",IFERROR(N(INDEX(tbl_Finance[Invoice Count],MATCH($AU477,tbl_Finance[Row ID],0))),""))</f>
        <v/>
      </c>
      <c r="L477" s="11">
        <f>IF($C477="","",IFERROR(N(INDEX(tbl_Finance[Xero Invoiced Ex GST],MATCH($AU477,tbl_Finance[Row ID],0))),""))</f>
        <v/>
      </c>
      <c r="M477" s="10">
        <f>IF($C477="","",IFERROR(INDEX(tbl_Finance[Compare],MATCH($AU477,tbl_Finance[Row ID],0))&amp;"",""))</f>
        <v/>
      </c>
      <c r="N477" s="11">
        <f>IF($C477="","",MAX(0,N(O477)-N(L477)))</f>
        <v/>
      </c>
      <c r="O477" s="39" t="n"/>
      <c r="P477" s="40">
        <f>IF($C477="","",IF((IF(F477="",", Client","")&amp;IF(G477="",", Description","")&amp;IF(H477="",", Cost Centre","")&amp;IF(I477="",", Invoice Type","")&amp;IF(J477="",", Tax Code","")&amp;IF(O477="",", Expected Revenue","")&amp;IF(COUNTIF(tbl_Finance[Job Number],$C477&amp;"")&gt;1,", Job number used twice",""))="","Complete","Fix: "&amp;MID(IF(F477="",", Client","")&amp;IF(G477="",", Description","")&amp;IF(H477="",", Cost Centre","")&amp;IF(I477="",", Invoice Type","")&amp;IF(J477="",", Tax Code","")&amp;IF(O477="",", Expected Revenue","")&amp;IF(COUNTIF(tbl_Finance[Job Number],$C477&amp;"")&gt;1,", Job number used twice",""),3,300)))</f>
        <v/>
      </c>
      <c r="Q477" s="10">
        <f>IF($C477="","",IF(H477="","(no cost centre)",H477&amp;" - GL "&amp;IFERROR(INDEX(lst_CCtoGL,MATCH(H477,lst_CCforGL,0)),"?")))</f>
        <v/>
      </c>
      <c r="R477" s="11">
        <f>IF($C477="","",IFERROR(N(INDEX(tbl_Finance[Inc GST],MATCH($AU477,tbl_Finance[Row ID],0))),""))</f>
        <v/>
      </c>
      <c r="S477" s="37" t="n"/>
      <c r="T477" s="37" t="n"/>
      <c r="U477" s="37" t="n"/>
      <c r="V477" s="42" t="n"/>
      <c r="W477" s="37" t="n"/>
      <c r="X477" s="10">
        <f>IF(W477="","",IF(AND(LEFT(W477,4)&lt;&gt;"http",set_RMSBase=""),"",HYPERLINK(IF(LEFT(W477,4)="http",W477,set_RMSBase&amp;W477),"Open in RMS")))</f>
        <v/>
      </c>
      <c r="Y477" s="37" t="n"/>
      <c r="Z477" s="10">
        <f>IF(Y477="","",HYPERLINK(IF(LEFT(Y477,4)="http",Y477,set_QwilrBase&amp;Y477),"Open quote"))</f>
        <v/>
      </c>
      <c r="AA477" s="10">
        <f>IF(C477="","",C477)</f>
        <v/>
      </c>
      <c r="AB477" s="37" t="n"/>
      <c r="AC477" s="39" t="n"/>
      <c r="AD477" s="11">
        <f>IF(C477="","",N(L477)+N(AC477))</f>
        <v/>
      </c>
      <c r="AE477" s="43">
        <f>IFERROR(IF(N(AC477)=0,"",AC477/AD477),"")</f>
        <v/>
      </c>
      <c r="AF477" s="39" t="n"/>
      <c r="AG477" s="39" t="n"/>
      <c r="AH477" s="39" t="n"/>
      <c r="AI477" s="39" t="n"/>
      <c r="AJ477" s="11">
        <f>IF(C477="","",IF(H477="VIDEO",N(L477),0))</f>
        <v/>
      </c>
      <c r="AK477" s="43">
        <f>IFERROR(IF(N(L477)=0,"",AJ477/L477),"")</f>
        <v/>
      </c>
      <c r="AL477" s="11">
        <f>IF(C477="","",N(AF477)+N(AG477)+N(AH477)+N(AI477))</f>
        <v/>
      </c>
      <c r="AM477" s="11">
        <f>IF(C477="","",MAX(N(L477),N(O477))-N(AL477))</f>
        <v/>
      </c>
      <c r="AN477" s="43">
        <f>IFERROR(IF(MAX(N(L477),N(O477))=0,"",AM477/MAX(N(L477),N(O477))),"")</f>
        <v/>
      </c>
      <c r="AO477" s="41" t="n"/>
      <c r="AP477" s="41" t="n"/>
      <c r="AQ477" s="41" t="n"/>
      <c r="AR477" s="41" t="n"/>
      <c r="AS477" s="41" t="n"/>
      <c r="AT477" s="37" t="n"/>
      <c r="AU477" s="10" t="inlineStr">
        <is>
          <t>PRD-0473</t>
        </is>
      </c>
    </row>
    <row r="478">
      <c r="A478" s="16">
        <f>IF($C478="","",IFERROR(IF(INDEX(tbl_Finance[Latest Invoice Date],MATCH($AU478,tbl_Finance[Row ID],0))="","",INDEX(tbl_Finance[Latest Invoice Date],MATCH($AU478,tbl_Finance[Row ID],0))),""))</f>
        <v/>
      </c>
      <c r="B478" s="10">
        <f>IF($C478="","",IFERROR(INDEX(tbl_Finance[Invoice Numbers],MATCH($AU478,tbl_Finance[Row ID],0))&amp;"",""))</f>
        <v/>
      </c>
      <c r="C478" s="37" t="n"/>
      <c r="D478" s="10">
        <f>IF($C478="","",IF(COUNTIF(lst_Jobs,$C478&amp;"")&gt;0,"OK","CHECK"))</f>
        <v/>
      </c>
      <c r="E478" s="10">
        <f>IF($C478="","",IFERROR(INDEX(lst_JobName,MATCH($C478&amp;"",lst_Jobs,0)),""))</f>
        <v/>
      </c>
      <c r="F478" s="37" t="n"/>
      <c r="G478" s="37" t="n"/>
      <c r="H478" s="37" t="n"/>
      <c r="I478" s="37" t="n"/>
      <c r="J478" s="37" t="n"/>
      <c r="K478" s="38">
        <f>IF($C478="","",IFERROR(N(INDEX(tbl_Finance[Invoice Count],MATCH($AU478,tbl_Finance[Row ID],0))),""))</f>
        <v/>
      </c>
      <c r="L478" s="11">
        <f>IF($C478="","",IFERROR(N(INDEX(tbl_Finance[Xero Invoiced Ex GST],MATCH($AU478,tbl_Finance[Row ID],0))),""))</f>
        <v/>
      </c>
      <c r="M478" s="10">
        <f>IF($C478="","",IFERROR(INDEX(tbl_Finance[Compare],MATCH($AU478,tbl_Finance[Row ID],0))&amp;"",""))</f>
        <v/>
      </c>
      <c r="N478" s="11">
        <f>IF($C478="","",MAX(0,N(O478)-N(L478)))</f>
        <v/>
      </c>
      <c r="O478" s="39" t="n"/>
      <c r="P478" s="40">
        <f>IF($C478="","",IF((IF(F478="",", Client","")&amp;IF(G478="",", Description","")&amp;IF(H478="",", Cost Centre","")&amp;IF(I478="",", Invoice Type","")&amp;IF(J478="",", Tax Code","")&amp;IF(O478="",", Expected Revenue","")&amp;IF(COUNTIF(tbl_Finance[Job Number],$C478&amp;"")&gt;1,", Job number used twice",""))="","Complete","Fix: "&amp;MID(IF(F478="",", Client","")&amp;IF(G478="",", Description","")&amp;IF(H478="",", Cost Centre","")&amp;IF(I478="",", Invoice Type","")&amp;IF(J478="",", Tax Code","")&amp;IF(O478="",", Expected Revenue","")&amp;IF(COUNTIF(tbl_Finance[Job Number],$C478&amp;"")&gt;1,", Job number used twice",""),3,300)))</f>
        <v/>
      </c>
      <c r="Q478" s="10">
        <f>IF($C478="","",IF(H478="","(no cost centre)",H478&amp;" - GL "&amp;IFERROR(INDEX(lst_CCtoGL,MATCH(H478,lst_CCforGL,0)),"?")))</f>
        <v/>
      </c>
      <c r="R478" s="11">
        <f>IF($C478="","",IFERROR(N(INDEX(tbl_Finance[Inc GST],MATCH($AU478,tbl_Finance[Row ID],0))),""))</f>
        <v/>
      </c>
      <c r="S478" s="37" t="n"/>
      <c r="T478" s="37" t="n"/>
      <c r="U478" s="37" t="n"/>
      <c r="V478" s="42" t="n"/>
      <c r="W478" s="37" t="n"/>
      <c r="X478" s="10">
        <f>IF(W478="","",IF(AND(LEFT(W478,4)&lt;&gt;"http",set_RMSBase=""),"",HYPERLINK(IF(LEFT(W478,4)="http",W478,set_RMSBase&amp;W478),"Open in RMS")))</f>
        <v/>
      </c>
      <c r="Y478" s="37" t="n"/>
      <c r="Z478" s="10">
        <f>IF(Y478="","",HYPERLINK(IF(LEFT(Y478,4)="http",Y478,set_QwilrBase&amp;Y478),"Open quote"))</f>
        <v/>
      </c>
      <c r="AA478" s="10">
        <f>IF(C478="","",C478)</f>
        <v/>
      </c>
      <c r="AB478" s="37" t="n"/>
      <c r="AC478" s="39" t="n"/>
      <c r="AD478" s="11">
        <f>IF(C478="","",N(L478)+N(AC478))</f>
        <v/>
      </c>
      <c r="AE478" s="43">
        <f>IFERROR(IF(N(AC478)=0,"",AC478/AD478),"")</f>
        <v/>
      </c>
      <c r="AF478" s="39" t="n"/>
      <c r="AG478" s="39" t="n"/>
      <c r="AH478" s="39" t="n"/>
      <c r="AI478" s="39" t="n"/>
      <c r="AJ478" s="11">
        <f>IF(C478="","",IF(H478="VIDEO",N(L478),0))</f>
        <v/>
      </c>
      <c r="AK478" s="43">
        <f>IFERROR(IF(N(L478)=0,"",AJ478/L478),"")</f>
        <v/>
      </c>
      <c r="AL478" s="11">
        <f>IF(C478="","",N(AF478)+N(AG478)+N(AH478)+N(AI478))</f>
        <v/>
      </c>
      <c r="AM478" s="11">
        <f>IF(C478="","",MAX(N(L478),N(O478))-N(AL478))</f>
        <v/>
      </c>
      <c r="AN478" s="43">
        <f>IFERROR(IF(MAX(N(L478),N(O478))=0,"",AM478/MAX(N(L478),N(O478))),"")</f>
        <v/>
      </c>
      <c r="AO478" s="41" t="n"/>
      <c r="AP478" s="41" t="n"/>
      <c r="AQ478" s="41" t="n"/>
      <c r="AR478" s="41" t="n"/>
      <c r="AS478" s="41" t="n"/>
      <c r="AT478" s="37" t="n"/>
      <c r="AU478" s="10" t="inlineStr">
        <is>
          <t>PRD-0474</t>
        </is>
      </c>
    </row>
    <row r="479">
      <c r="A479" s="16">
        <f>IF($C479="","",IFERROR(IF(INDEX(tbl_Finance[Latest Invoice Date],MATCH($AU479,tbl_Finance[Row ID],0))="","",INDEX(tbl_Finance[Latest Invoice Date],MATCH($AU479,tbl_Finance[Row ID],0))),""))</f>
        <v/>
      </c>
      <c r="B479" s="10">
        <f>IF($C479="","",IFERROR(INDEX(tbl_Finance[Invoice Numbers],MATCH($AU479,tbl_Finance[Row ID],0))&amp;"",""))</f>
        <v/>
      </c>
      <c r="C479" s="37" t="n"/>
      <c r="D479" s="10">
        <f>IF($C479="","",IF(COUNTIF(lst_Jobs,$C479&amp;"")&gt;0,"OK","CHECK"))</f>
        <v/>
      </c>
      <c r="E479" s="10">
        <f>IF($C479="","",IFERROR(INDEX(lst_JobName,MATCH($C479&amp;"",lst_Jobs,0)),""))</f>
        <v/>
      </c>
      <c r="F479" s="37" t="n"/>
      <c r="G479" s="37" t="n"/>
      <c r="H479" s="37" t="n"/>
      <c r="I479" s="37" t="n"/>
      <c r="J479" s="37" t="n"/>
      <c r="K479" s="38">
        <f>IF($C479="","",IFERROR(N(INDEX(tbl_Finance[Invoice Count],MATCH($AU479,tbl_Finance[Row ID],0))),""))</f>
        <v/>
      </c>
      <c r="L479" s="11">
        <f>IF($C479="","",IFERROR(N(INDEX(tbl_Finance[Xero Invoiced Ex GST],MATCH($AU479,tbl_Finance[Row ID],0))),""))</f>
        <v/>
      </c>
      <c r="M479" s="10">
        <f>IF($C479="","",IFERROR(INDEX(tbl_Finance[Compare],MATCH($AU479,tbl_Finance[Row ID],0))&amp;"",""))</f>
        <v/>
      </c>
      <c r="N479" s="11">
        <f>IF($C479="","",MAX(0,N(O479)-N(L479)))</f>
        <v/>
      </c>
      <c r="O479" s="39" t="n"/>
      <c r="P479" s="40">
        <f>IF($C479="","",IF((IF(F479="",", Client","")&amp;IF(G479="",", Description","")&amp;IF(H479="",", Cost Centre","")&amp;IF(I479="",", Invoice Type","")&amp;IF(J479="",", Tax Code","")&amp;IF(O479="",", Expected Revenue","")&amp;IF(COUNTIF(tbl_Finance[Job Number],$C479&amp;"")&gt;1,", Job number used twice",""))="","Complete","Fix: "&amp;MID(IF(F479="",", Client","")&amp;IF(G479="",", Description","")&amp;IF(H479="",", Cost Centre","")&amp;IF(I479="",", Invoice Type","")&amp;IF(J479="",", Tax Code","")&amp;IF(O479="",", Expected Revenue","")&amp;IF(COUNTIF(tbl_Finance[Job Number],$C479&amp;"")&gt;1,", Job number used twice",""),3,300)))</f>
        <v/>
      </c>
      <c r="Q479" s="10">
        <f>IF($C479="","",IF(H479="","(no cost centre)",H479&amp;" - GL "&amp;IFERROR(INDEX(lst_CCtoGL,MATCH(H479,lst_CCforGL,0)),"?")))</f>
        <v/>
      </c>
      <c r="R479" s="11">
        <f>IF($C479="","",IFERROR(N(INDEX(tbl_Finance[Inc GST],MATCH($AU479,tbl_Finance[Row ID],0))),""))</f>
        <v/>
      </c>
      <c r="S479" s="37" t="n"/>
      <c r="T479" s="37" t="n"/>
      <c r="U479" s="37" t="n"/>
      <c r="V479" s="42" t="n"/>
      <c r="W479" s="37" t="n"/>
      <c r="X479" s="10">
        <f>IF(W479="","",IF(AND(LEFT(W479,4)&lt;&gt;"http",set_RMSBase=""),"",HYPERLINK(IF(LEFT(W479,4)="http",W479,set_RMSBase&amp;W479),"Open in RMS")))</f>
        <v/>
      </c>
      <c r="Y479" s="37" t="n"/>
      <c r="Z479" s="10">
        <f>IF(Y479="","",HYPERLINK(IF(LEFT(Y479,4)="http",Y479,set_QwilrBase&amp;Y479),"Open quote"))</f>
        <v/>
      </c>
      <c r="AA479" s="10">
        <f>IF(C479="","",C479)</f>
        <v/>
      </c>
      <c r="AB479" s="37" t="n"/>
      <c r="AC479" s="39" t="n"/>
      <c r="AD479" s="11">
        <f>IF(C479="","",N(L479)+N(AC479))</f>
        <v/>
      </c>
      <c r="AE479" s="43">
        <f>IFERROR(IF(N(AC479)=0,"",AC479/AD479),"")</f>
        <v/>
      </c>
      <c r="AF479" s="39" t="n"/>
      <c r="AG479" s="39" t="n"/>
      <c r="AH479" s="39" t="n"/>
      <c r="AI479" s="39" t="n"/>
      <c r="AJ479" s="11">
        <f>IF(C479="","",IF(H479="VIDEO",N(L479),0))</f>
        <v/>
      </c>
      <c r="AK479" s="43">
        <f>IFERROR(IF(N(L479)=0,"",AJ479/L479),"")</f>
        <v/>
      </c>
      <c r="AL479" s="11">
        <f>IF(C479="","",N(AF479)+N(AG479)+N(AH479)+N(AI479))</f>
        <v/>
      </c>
      <c r="AM479" s="11">
        <f>IF(C479="","",MAX(N(L479),N(O479))-N(AL479))</f>
        <v/>
      </c>
      <c r="AN479" s="43">
        <f>IFERROR(IF(MAX(N(L479),N(O479))=0,"",AM479/MAX(N(L479),N(O479))),"")</f>
        <v/>
      </c>
      <c r="AO479" s="41" t="n"/>
      <c r="AP479" s="41" t="n"/>
      <c r="AQ479" s="41" t="n"/>
      <c r="AR479" s="41" t="n"/>
      <c r="AS479" s="41" t="n"/>
      <c r="AT479" s="37" t="n"/>
      <c r="AU479" s="10" t="inlineStr">
        <is>
          <t>PRD-0475</t>
        </is>
      </c>
    </row>
    <row r="480">
      <c r="A480" s="16">
        <f>IF($C480="","",IFERROR(IF(INDEX(tbl_Finance[Latest Invoice Date],MATCH($AU480,tbl_Finance[Row ID],0))="","",INDEX(tbl_Finance[Latest Invoice Date],MATCH($AU480,tbl_Finance[Row ID],0))),""))</f>
        <v/>
      </c>
      <c r="B480" s="10">
        <f>IF($C480="","",IFERROR(INDEX(tbl_Finance[Invoice Numbers],MATCH($AU480,tbl_Finance[Row ID],0))&amp;"",""))</f>
        <v/>
      </c>
      <c r="C480" s="37" t="n"/>
      <c r="D480" s="10">
        <f>IF($C480="","",IF(COUNTIF(lst_Jobs,$C480&amp;"")&gt;0,"OK","CHECK"))</f>
        <v/>
      </c>
      <c r="E480" s="10">
        <f>IF($C480="","",IFERROR(INDEX(lst_JobName,MATCH($C480&amp;"",lst_Jobs,0)),""))</f>
        <v/>
      </c>
      <c r="F480" s="37" t="n"/>
      <c r="G480" s="37" t="n"/>
      <c r="H480" s="37" t="n"/>
      <c r="I480" s="37" t="n"/>
      <c r="J480" s="37" t="n"/>
      <c r="K480" s="38">
        <f>IF($C480="","",IFERROR(N(INDEX(tbl_Finance[Invoice Count],MATCH($AU480,tbl_Finance[Row ID],0))),""))</f>
        <v/>
      </c>
      <c r="L480" s="11">
        <f>IF($C480="","",IFERROR(N(INDEX(tbl_Finance[Xero Invoiced Ex GST],MATCH($AU480,tbl_Finance[Row ID],0))),""))</f>
        <v/>
      </c>
      <c r="M480" s="10">
        <f>IF($C480="","",IFERROR(INDEX(tbl_Finance[Compare],MATCH($AU480,tbl_Finance[Row ID],0))&amp;"",""))</f>
        <v/>
      </c>
      <c r="N480" s="11">
        <f>IF($C480="","",MAX(0,N(O480)-N(L480)))</f>
        <v/>
      </c>
      <c r="O480" s="39" t="n"/>
      <c r="P480" s="40">
        <f>IF($C480="","",IF((IF(F480="",", Client","")&amp;IF(G480="",", Description","")&amp;IF(H480="",", Cost Centre","")&amp;IF(I480="",", Invoice Type","")&amp;IF(J480="",", Tax Code","")&amp;IF(O480="",", Expected Revenue","")&amp;IF(COUNTIF(tbl_Finance[Job Number],$C480&amp;"")&gt;1,", Job number used twice",""))="","Complete","Fix: "&amp;MID(IF(F480="",", Client","")&amp;IF(G480="",", Description","")&amp;IF(H480="",", Cost Centre","")&amp;IF(I480="",", Invoice Type","")&amp;IF(J480="",", Tax Code","")&amp;IF(O480="",", Expected Revenue","")&amp;IF(COUNTIF(tbl_Finance[Job Number],$C480&amp;"")&gt;1,", Job number used twice",""),3,300)))</f>
        <v/>
      </c>
      <c r="Q480" s="10">
        <f>IF($C480="","",IF(H480="","(no cost centre)",H480&amp;" - GL "&amp;IFERROR(INDEX(lst_CCtoGL,MATCH(H480,lst_CCforGL,0)),"?")))</f>
        <v/>
      </c>
      <c r="R480" s="11">
        <f>IF($C480="","",IFERROR(N(INDEX(tbl_Finance[Inc GST],MATCH($AU480,tbl_Finance[Row ID],0))),""))</f>
        <v/>
      </c>
      <c r="S480" s="37" t="n"/>
      <c r="T480" s="37" t="n"/>
      <c r="U480" s="37" t="n"/>
      <c r="V480" s="42" t="n"/>
      <c r="W480" s="37" t="n"/>
      <c r="X480" s="10">
        <f>IF(W480="","",IF(AND(LEFT(W480,4)&lt;&gt;"http",set_RMSBase=""),"",HYPERLINK(IF(LEFT(W480,4)="http",W480,set_RMSBase&amp;W480),"Open in RMS")))</f>
        <v/>
      </c>
      <c r="Y480" s="37" t="n"/>
      <c r="Z480" s="10">
        <f>IF(Y480="","",HYPERLINK(IF(LEFT(Y480,4)="http",Y480,set_QwilrBase&amp;Y480),"Open quote"))</f>
        <v/>
      </c>
      <c r="AA480" s="10">
        <f>IF(C480="","",C480)</f>
        <v/>
      </c>
      <c r="AB480" s="37" t="n"/>
      <c r="AC480" s="39" t="n"/>
      <c r="AD480" s="11">
        <f>IF(C480="","",N(L480)+N(AC480))</f>
        <v/>
      </c>
      <c r="AE480" s="43">
        <f>IFERROR(IF(N(AC480)=0,"",AC480/AD480),"")</f>
        <v/>
      </c>
      <c r="AF480" s="39" t="n"/>
      <c r="AG480" s="39" t="n"/>
      <c r="AH480" s="39" t="n"/>
      <c r="AI480" s="39" t="n"/>
      <c r="AJ480" s="11">
        <f>IF(C480="","",IF(H480="VIDEO",N(L480),0))</f>
        <v/>
      </c>
      <c r="AK480" s="43">
        <f>IFERROR(IF(N(L480)=0,"",AJ480/L480),"")</f>
        <v/>
      </c>
      <c r="AL480" s="11">
        <f>IF(C480="","",N(AF480)+N(AG480)+N(AH480)+N(AI480))</f>
        <v/>
      </c>
      <c r="AM480" s="11">
        <f>IF(C480="","",MAX(N(L480),N(O480))-N(AL480))</f>
        <v/>
      </c>
      <c r="AN480" s="43">
        <f>IFERROR(IF(MAX(N(L480),N(O480))=0,"",AM480/MAX(N(L480),N(O480))),"")</f>
        <v/>
      </c>
      <c r="AO480" s="41" t="n"/>
      <c r="AP480" s="41" t="n"/>
      <c r="AQ480" s="41" t="n"/>
      <c r="AR480" s="41" t="n"/>
      <c r="AS480" s="41" t="n"/>
      <c r="AT480" s="37" t="n"/>
      <c r="AU480" s="10" t="inlineStr">
        <is>
          <t>PRD-0476</t>
        </is>
      </c>
    </row>
    <row r="481">
      <c r="A481" s="16">
        <f>IF($C481="","",IFERROR(IF(INDEX(tbl_Finance[Latest Invoice Date],MATCH($AU481,tbl_Finance[Row ID],0))="","",INDEX(tbl_Finance[Latest Invoice Date],MATCH($AU481,tbl_Finance[Row ID],0))),""))</f>
        <v/>
      </c>
      <c r="B481" s="10">
        <f>IF($C481="","",IFERROR(INDEX(tbl_Finance[Invoice Numbers],MATCH($AU481,tbl_Finance[Row ID],0))&amp;"",""))</f>
        <v/>
      </c>
      <c r="C481" s="37" t="n"/>
      <c r="D481" s="10">
        <f>IF($C481="","",IF(COUNTIF(lst_Jobs,$C481&amp;"")&gt;0,"OK","CHECK"))</f>
        <v/>
      </c>
      <c r="E481" s="10">
        <f>IF($C481="","",IFERROR(INDEX(lst_JobName,MATCH($C481&amp;"",lst_Jobs,0)),""))</f>
        <v/>
      </c>
      <c r="F481" s="37" t="n"/>
      <c r="G481" s="37" t="n"/>
      <c r="H481" s="37" t="n"/>
      <c r="I481" s="37" t="n"/>
      <c r="J481" s="37" t="n"/>
      <c r="K481" s="38">
        <f>IF($C481="","",IFERROR(N(INDEX(tbl_Finance[Invoice Count],MATCH($AU481,tbl_Finance[Row ID],0))),""))</f>
        <v/>
      </c>
      <c r="L481" s="11">
        <f>IF($C481="","",IFERROR(N(INDEX(tbl_Finance[Xero Invoiced Ex GST],MATCH($AU481,tbl_Finance[Row ID],0))),""))</f>
        <v/>
      </c>
      <c r="M481" s="10">
        <f>IF($C481="","",IFERROR(INDEX(tbl_Finance[Compare],MATCH($AU481,tbl_Finance[Row ID],0))&amp;"",""))</f>
        <v/>
      </c>
      <c r="N481" s="11">
        <f>IF($C481="","",MAX(0,N(O481)-N(L481)))</f>
        <v/>
      </c>
      <c r="O481" s="39" t="n"/>
      <c r="P481" s="40">
        <f>IF($C481="","",IF((IF(F481="",", Client","")&amp;IF(G481="",", Description","")&amp;IF(H481="",", Cost Centre","")&amp;IF(I481="",", Invoice Type","")&amp;IF(J481="",", Tax Code","")&amp;IF(O481="",", Expected Revenue","")&amp;IF(COUNTIF(tbl_Finance[Job Number],$C481&amp;"")&gt;1,", Job number used twice",""))="","Complete","Fix: "&amp;MID(IF(F481="",", Client","")&amp;IF(G481="",", Description","")&amp;IF(H481="",", Cost Centre","")&amp;IF(I481="",", Invoice Type","")&amp;IF(J481="",", Tax Code","")&amp;IF(O481="",", Expected Revenue","")&amp;IF(COUNTIF(tbl_Finance[Job Number],$C481&amp;"")&gt;1,", Job number used twice",""),3,300)))</f>
        <v/>
      </c>
      <c r="Q481" s="10">
        <f>IF($C481="","",IF(H481="","(no cost centre)",H481&amp;" - GL "&amp;IFERROR(INDEX(lst_CCtoGL,MATCH(H481,lst_CCforGL,0)),"?")))</f>
        <v/>
      </c>
      <c r="R481" s="11">
        <f>IF($C481="","",IFERROR(N(INDEX(tbl_Finance[Inc GST],MATCH($AU481,tbl_Finance[Row ID],0))),""))</f>
        <v/>
      </c>
      <c r="S481" s="37" t="n"/>
      <c r="T481" s="37" t="n"/>
      <c r="U481" s="37" t="n"/>
      <c r="V481" s="42" t="n"/>
      <c r="W481" s="37" t="n"/>
      <c r="X481" s="10">
        <f>IF(W481="","",IF(AND(LEFT(W481,4)&lt;&gt;"http",set_RMSBase=""),"",HYPERLINK(IF(LEFT(W481,4)="http",W481,set_RMSBase&amp;W481),"Open in RMS")))</f>
        <v/>
      </c>
      <c r="Y481" s="37" t="n"/>
      <c r="Z481" s="10">
        <f>IF(Y481="","",HYPERLINK(IF(LEFT(Y481,4)="http",Y481,set_QwilrBase&amp;Y481),"Open quote"))</f>
        <v/>
      </c>
      <c r="AA481" s="10">
        <f>IF(C481="","",C481)</f>
        <v/>
      </c>
      <c r="AB481" s="37" t="n"/>
      <c r="AC481" s="39" t="n"/>
      <c r="AD481" s="11">
        <f>IF(C481="","",N(L481)+N(AC481))</f>
        <v/>
      </c>
      <c r="AE481" s="43">
        <f>IFERROR(IF(N(AC481)=0,"",AC481/AD481),"")</f>
        <v/>
      </c>
      <c r="AF481" s="39" t="n"/>
      <c r="AG481" s="39" t="n"/>
      <c r="AH481" s="39" t="n"/>
      <c r="AI481" s="39" t="n"/>
      <c r="AJ481" s="11">
        <f>IF(C481="","",IF(H481="VIDEO",N(L481),0))</f>
        <v/>
      </c>
      <c r="AK481" s="43">
        <f>IFERROR(IF(N(L481)=0,"",AJ481/L481),"")</f>
        <v/>
      </c>
      <c r="AL481" s="11">
        <f>IF(C481="","",N(AF481)+N(AG481)+N(AH481)+N(AI481))</f>
        <v/>
      </c>
      <c r="AM481" s="11">
        <f>IF(C481="","",MAX(N(L481),N(O481))-N(AL481))</f>
        <v/>
      </c>
      <c r="AN481" s="43">
        <f>IFERROR(IF(MAX(N(L481),N(O481))=0,"",AM481/MAX(N(L481),N(O481))),"")</f>
        <v/>
      </c>
      <c r="AO481" s="41" t="n"/>
      <c r="AP481" s="41" t="n"/>
      <c r="AQ481" s="41" t="n"/>
      <c r="AR481" s="41" t="n"/>
      <c r="AS481" s="41" t="n"/>
      <c r="AT481" s="37" t="n"/>
      <c r="AU481" s="10" t="inlineStr">
        <is>
          <t>PRD-0477</t>
        </is>
      </c>
    </row>
    <row r="482">
      <c r="A482" s="16">
        <f>IF($C482="","",IFERROR(IF(INDEX(tbl_Finance[Latest Invoice Date],MATCH($AU482,tbl_Finance[Row ID],0))="","",INDEX(tbl_Finance[Latest Invoice Date],MATCH($AU482,tbl_Finance[Row ID],0))),""))</f>
        <v/>
      </c>
      <c r="B482" s="10">
        <f>IF($C482="","",IFERROR(INDEX(tbl_Finance[Invoice Numbers],MATCH($AU482,tbl_Finance[Row ID],0))&amp;"",""))</f>
        <v/>
      </c>
      <c r="C482" s="37" t="n"/>
      <c r="D482" s="10">
        <f>IF($C482="","",IF(COUNTIF(lst_Jobs,$C482&amp;"")&gt;0,"OK","CHECK"))</f>
        <v/>
      </c>
      <c r="E482" s="10">
        <f>IF($C482="","",IFERROR(INDEX(lst_JobName,MATCH($C482&amp;"",lst_Jobs,0)),""))</f>
        <v/>
      </c>
      <c r="F482" s="37" t="n"/>
      <c r="G482" s="37" t="n"/>
      <c r="H482" s="37" t="n"/>
      <c r="I482" s="37" t="n"/>
      <c r="J482" s="37" t="n"/>
      <c r="K482" s="38">
        <f>IF($C482="","",IFERROR(N(INDEX(tbl_Finance[Invoice Count],MATCH($AU482,tbl_Finance[Row ID],0))),""))</f>
        <v/>
      </c>
      <c r="L482" s="11">
        <f>IF($C482="","",IFERROR(N(INDEX(tbl_Finance[Xero Invoiced Ex GST],MATCH($AU482,tbl_Finance[Row ID],0))),""))</f>
        <v/>
      </c>
      <c r="M482" s="10">
        <f>IF($C482="","",IFERROR(INDEX(tbl_Finance[Compare],MATCH($AU482,tbl_Finance[Row ID],0))&amp;"",""))</f>
        <v/>
      </c>
      <c r="N482" s="11">
        <f>IF($C482="","",MAX(0,N(O482)-N(L482)))</f>
        <v/>
      </c>
      <c r="O482" s="39" t="n"/>
      <c r="P482" s="40">
        <f>IF($C482="","",IF((IF(F482="",", Client","")&amp;IF(G482="",", Description","")&amp;IF(H482="",", Cost Centre","")&amp;IF(I482="",", Invoice Type","")&amp;IF(J482="",", Tax Code","")&amp;IF(O482="",", Expected Revenue","")&amp;IF(COUNTIF(tbl_Finance[Job Number],$C482&amp;"")&gt;1,", Job number used twice",""))="","Complete","Fix: "&amp;MID(IF(F482="",", Client","")&amp;IF(G482="",", Description","")&amp;IF(H482="",", Cost Centre","")&amp;IF(I482="",", Invoice Type","")&amp;IF(J482="",", Tax Code","")&amp;IF(O482="",", Expected Revenue","")&amp;IF(COUNTIF(tbl_Finance[Job Number],$C482&amp;"")&gt;1,", Job number used twice",""),3,300)))</f>
        <v/>
      </c>
      <c r="Q482" s="10">
        <f>IF($C482="","",IF(H482="","(no cost centre)",H482&amp;" - GL "&amp;IFERROR(INDEX(lst_CCtoGL,MATCH(H482,lst_CCforGL,0)),"?")))</f>
        <v/>
      </c>
      <c r="R482" s="11">
        <f>IF($C482="","",IFERROR(N(INDEX(tbl_Finance[Inc GST],MATCH($AU482,tbl_Finance[Row ID],0))),""))</f>
        <v/>
      </c>
      <c r="S482" s="37" t="n"/>
      <c r="T482" s="37" t="n"/>
      <c r="U482" s="37" t="n"/>
      <c r="V482" s="42" t="n"/>
      <c r="W482" s="37" t="n"/>
      <c r="X482" s="10">
        <f>IF(W482="","",IF(AND(LEFT(W482,4)&lt;&gt;"http",set_RMSBase=""),"",HYPERLINK(IF(LEFT(W482,4)="http",W482,set_RMSBase&amp;W482),"Open in RMS")))</f>
        <v/>
      </c>
      <c r="Y482" s="37" t="n"/>
      <c r="Z482" s="10">
        <f>IF(Y482="","",HYPERLINK(IF(LEFT(Y482,4)="http",Y482,set_QwilrBase&amp;Y482),"Open quote"))</f>
        <v/>
      </c>
      <c r="AA482" s="10">
        <f>IF(C482="","",C482)</f>
        <v/>
      </c>
      <c r="AB482" s="37" t="n"/>
      <c r="AC482" s="39" t="n"/>
      <c r="AD482" s="11">
        <f>IF(C482="","",N(L482)+N(AC482))</f>
        <v/>
      </c>
      <c r="AE482" s="43">
        <f>IFERROR(IF(N(AC482)=0,"",AC482/AD482),"")</f>
        <v/>
      </c>
      <c r="AF482" s="39" t="n"/>
      <c r="AG482" s="39" t="n"/>
      <c r="AH482" s="39" t="n"/>
      <c r="AI482" s="39" t="n"/>
      <c r="AJ482" s="11">
        <f>IF(C482="","",IF(H482="VIDEO",N(L482),0))</f>
        <v/>
      </c>
      <c r="AK482" s="43">
        <f>IFERROR(IF(N(L482)=0,"",AJ482/L482),"")</f>
        <v/>
      </c>
      <c r="AL482" s="11">
        <f>IF(C482="","",N(AF482)+N(AG482)+N(AH482)+N(AI482))</f>
        <v/>
      </c>
      <c r="AM482" s="11">
        <f>IF(C482="","",MAX(N(L482),N(O482))-N(AL482))</f>
        <v/>
      </c>
      <c r="AN482" s="43">
        <f>IFERROR(IF(MAX(N(L482),N(O482))=0,"",AM482/MAX(N(L482),N(O482))),"")</f>
        <v/>
      </c>
      <c r="AO482" s="41" t="n"/>
      <c r="AP482" s="41" t="n"/>
      <c r="AQ482" s="41" t="n"/>
      <c r="AR482" s="41" t="n"/>
      <c r="AS482" s="41" t="n"/>
      <c r="AT482" s="37" t="n"/>
      <c r="AU482" s="10" t="inlineStr">
        <is>
          <t>PRD-0478</t>
        </is>
      </c>
    </row>
    <row r="483">
      <c r="A483" s="16">
        <f>IF($C483="","",IFERROR(IF(INDEX(tbl_Finance[Latest Invoice Date],MATCH($AU483,tbl_Finance[Row ID],0))="","",INDEX(tbl_Finance[Latest Invoice Date],MATCH($AU483,tbl_Finance[Row ID],0))),""))</f>
        <v/>
      </c>
      <c r="B483" s="10">
        <f>IF($C483="","",IFERROR(INDEX(tbl_Finance[Invoice Numbers],MATCH($AU483,tbl_Finance[Row ID],0))&amp;"",""))</f>
        <v/>
      </c>
      <c r="C483" s="37" t="n"/>
      <c r="D483" s="10">
        <f>IF($C483="","",IF(COUNTIF(lst_Jobs,$C483&amp;"")&gt;0,"OK","CHECK"))</f>
        <v/>
      </c>
      <c r="E483" s="10">
        <f>IF($C483="","",IFERROR(INDEX(lst_JobName,MATCH($C483&amp;"",lst_Jobs,0)),""))</f>
        <v/>
      </c>
      <c r="F483" s="37" t="n"/>
      <c r="G483" s="37" t="n"/>
      <c r="H483" s="37" t="n"/>
      <c r="I483" s="37" t="n"/>
      <c r="J483" s="37" t="n"/>
      <c r="K483" s="38">
        <f>IF($C483="","",IFERROR(N(INDEX(tbl_Finance[Invoice Count],MATCH($AU483,tbl_Finance[Row ID],0))),""))</f>
        <v/>
      </c>
      <c r="L483" s="11">
        <f>IF($C483="","",IFERROR(N(INDEX(tbl_Finance[Xero Invoiced Ex GST],MATCH($AU483,tbl_Finance[Row ID],0))),""))</f>
        <v/>
      </c>
      <c r="M483" s="10">
        <f>IF($C483="","",IFERROR(INDEX(tbl_Finance[Compare],MATCH($AU483,tbl_Finance[Row ID],0))&amp;"",""))</f>
        <v/>
      </c>
      <c r="N483" s="11">
        <f>IF($C483="","",MAX(0,N(O483)-N(L483)))</f>
        <v/>
      </c>
      <c r="O483" s="39" t="n"/>
      <c r="P483" s="40">
        <f>IF($C483="","",IF((IF(F483="",", Client","")&amp;IF(G483="",", Description","")&amp;IF(H483="",", Cost Centre","")&amp;IF(I483="",", Invoice Type","")&amp;IF(J483="",", Tax Code","")&amp;IF(O483="",", Expected Revenue","")&amp;IF(COUNTIF(tbl_Finance[Job Number],$C483&amp;"")&gt;1,", Job number used twice",""))="","Complete","Fix: "&amp;MID(IF(F483="",", Client","")&amp;IF(G483="",", Description","")&amp;IF(H483="",", Cost Centre","")&amp;IF(I483="",", Invoice Type","")&amp;IF(J483="",", Tax Code","")&amp;IF(O483="",", Expected Revenue","")&amp;IF(COUNTIF(tbl_Finance[Job Number],$C483&amp;"")&gt;1,", Job number used twice",""),3,300)))</f>
        <v/>
      </c>
      <c r="Q483" s="10">
        <f>IF($C483="","",IF(H483="","(no cost centre)",H483&amp;" - GL "&amp;IFERROR(INDEX(lst_CCtoGL,MATCH(H483,lst_CCforGL,0)),"?")))</f>
        <v/>
      </c>
      <c r="R483" s="11">
        <f>IF($C483="","",IFERROR(N(INDEX(tbl_Finance[Inc GST],MATCH($AU483,tbl_Finance[Row ID],0))),""))</f>
        <v/>
      </c>
      <c r="S483" s="37" t="n"/>
      <c r="T483" s="37" t="n"/>
      <c r="U483" s="37" t="n"/>
      <c r="V483" s="42" t="n"/>
      <c r="W483" s="37" t="n"/>
      <c r="X483" s="10">
        <f>IF(W483="","",IF(AND(LEFT(W483,4)&lt;&gt;"http",set_RMSBase=""),"",HYPERLINK(IF(LEFT(W483,4)="http",W483,set_RMSBase&amp;W483),"Open in RMS")))</f>
        <v/>
      </c>
      <c r="Y483" s="37" t="n"/>
      <c r="Z483" s="10">
        <f>IF(Y483="","",HYPERLINK(IF(LEFT(Y483,4)="http",Y483,set_QwilrBase&amp;Y483),"Open quote"))</f>
        <v/>
      </c>
      <c r="AA483" s="10">
        <f>IF(C483="","",C483)</f>
        <v/>
      </c>
      <c r="AB483" s="37" t="n"/>
      <c r="AC483" s="39" t="n"/>
      <c r="AD483" s="11">
        <f>IF(C483="","",N(L483)+N(AC483))</f>
        <v/>
      </c>
      <c r="AE483" s="43">
        <f>IFERROR(IF(N(AC483)=0,"",AC483/AD483),"")</f>
        <v/>
      </c>
      <c r="AF483" s="39" t="n"/>
      <c r="AG483" s="39" t="n"/>
      <c r="AH483" s="39" t="n"/>
      <c r="AI483" s="39" t="n"/>
      <c r="AJ483" s="11">
        <f>IF(C483="","",IF(H483="VIDEO",N(L483),0))</f>
        <v/>
      </c>
      <c r="AK483" s="43">
        <f>IFERROR(IF(N(L483)=0,"",AJ483/L483),"")</f>
        <v/>
      </c>
      <c r="AL483" s="11">
        <f>IF(C483="","",N(AF483)+N(AG483)+N(AH483)+N(AI483))</f>
        <v/>
      </c>
      <c r="AM483" s="11">
        <f>IF(C483="","",MAX(N(L483),N(O483))-N(AL483))</f>
        <v/>
      </c>
      <c r="AN483" s="43">
        <f>IFERROR(IF(MAX(N(L483),N(O483))=0,"",AM483/MAX(N(L483),N(O483))),"")</f>
        <v/>
      </c>
      <c r="AO483" s="41" t="n"/>
      <c r="AP483" s="41" t="n"/>
      <c r="AQ483" s="41" t="n"/>
      <c r="AR483" s="41" t="n"/>
      <c r="AS483" s="41" t="n"/>
      <c r="AT483" s="37" t="n"/>
      <c r="AU483" s="10" t="inlineStr">
        <is>
          <t>PRD-0479</t>
        </is>
      </c>
    </row>
    <row r="484">
      <c r="A484" s="16">
        <f>IF($C484="","",IFERROR(IF(INDEX(tbl_Finance[Latest Invoice Date],MATCH($AU484,tbl_Finance[Row ID],0))="","",INDEX(tbl_Finance[Latest Invoice Date],MATCH($AU484,tbl_Finance[Row ID],0))),""))</f>
        <v/>
      </c>
      <c r="B484" s="10">
        <f>IF($C484="","",IFERROR(INDEX(tbl_Finance[Invoice Numbers],MATCH($AU484,tbl_Finance[Row ID],0))&amp;"",""))</f>
        <v/>
      </c>
      <c r="C484" s="37" t="n"/>
      <c r="D484" s="10">
        <f>IF($C484="","",IF(COUNTIF(lst_Jobs,$C484&amp;"")&gt;0,"OK","CHECK"))</f>
        <v/>
      </c>
      <c r="E484" s="10">
        <f>IF($C484="","",IFERROR(INDEX(lst_JobName,MATCH($C484&amp;"",lst_Jobs,0)),""))</f>
        <v/>
      </c>
      <c r="F484" s="37" t="n"/>
      <c r="G484" s="37" t="n"/>
      <c r="H484" s="37" t="n"/>
      <c r="I484" s="37" t="n"/>
      <c r="J484" s="37" t="n"/>
      <c r="K484" s="38">
        <f>IF($C484="","",IFERROR(N(INDEX(tbl_Finance[Invoice Count],MATCH($AU484,tbl_Finance[Row ID],0))),""))</f>
        <v/>
      </c>
      <c r="L484" s="11">
        <f>IF($C484="","",IFERROR(N(INDEX(tbl_Finance[Xero Invoiced Ex GST],MATCH($AU484,tbl_Finance[Row ID],0))),""))</f>
        <v/>
      </c>
      <c r="M484" s="10">
        <f>IF($C484="","",IFERROR(INDEX(tbl_Finance[Compare],MATCH($AU484,tbl_Finance[Row ID],0))&amp;"",""))</f>
        <v/>
      </c>
      <c r="N484" s="11">
        <f>IF($C484="","",MAX(0,N(O484)-N(L484)))</f>
        <v/>
      </c>
      <c r="O484" s="39" t="n"/>
      <c r="P484" s="40">
        <f>IF($C484="","",IF((IF(F484="",", Client","")&amp;IF(G484="",", Description","")&amp;IF(H484="",", Cost Centre","")&amp;IF(I484="",", Invoice Type","")&amp;IF(J484="",", Tax Code","")&amp;IF(O484="",", Expected Revenue","")&amp;IF(COUNTIF(tbl_Finance[Job Number],$C484&amp;"")&gt;1,", Job number used twice",""))="","Complete","Fix: "&amp;MID(IF(F484="",", Client","")&amp;IF(G484="",", Description","")&amp;IF(H484="",", Cost Centre","")&amp;IF(I484="",", Invoice Type","")&amp;IF(J484="",", Tax Code","")&amp;IF(O484="",", Expected Revenue","")&amp;IF(COUNTIF(tbl_Finance[Job Number],$C484&amp;"")&gt;1,", Job number used twice",""),3,300)))</f>
        <v/>
      </c>
      <c r="Q484" s="10">
        <f>IF($C484="","",IF(H484="","(no cost centre)",H484&amp;" - GL "&amp;IFERROR(INDEX(lst_CCtoGL,MATCH(H484,lst_CCforGL,0)),"?")))</f>
        <v/>
      </c>
      <c r="R484" s="11">
        <f>IF($C484="","",IFERROR(N(INDEX(tbl_Finance[Inc GST],MATCH($AU484,tbl_Finance[Row ID],0))),""))</f>
        <v/>
      </c>
      <c r="S484" s="37" t="n"/>
      <c r="T484" s="37" t="n"/>
      <c r="U484" s="37" t="n"/>
      <c r="V484" s="42" t="n"/>
      <c r="W484" s="37" t="n"/>
      <c r="X484" s="10">
        <f>IF(W484="","",IF(AND(LEFT(W484,4)&lt;&gt;"http",set_RMSBase=""),"",HYPERLINK(IF(LEFT(W484,4)="http",W484,set_RMSBase&amp;W484),"Open in RMS")))</f>
        <v/>
      </c>
      <c r="Y484" s="37" t="n"/>
      <c r="Z484" s="10">
        <f>IF(Y484="","",HYPERLINK(IF(LEFT(Y484,4)="http",Y484,set_QwilrBase&amp;Y484),"Open quote"))</f>
        <v/>
      </c>
      <c r="AA484" s="10">
        <f>IF(C484="","",C484)</f>
        <v/>
      </c>
      <c r="AB484" s="37" t="n"/>
      <c r="AC484" s="39" t="n"/>
      <c r="AD484" s="11">
        <f>IF(C484="","",N(L484)+N(AC484))</f>
        <v/>
      </c>
      <c r="AE484" s="43">
        <f>IFERROR(IF(N(AC484)=0,"",AC484/AD484),"")</f>
        <v/>
      </c>
      <c r="AF484" s="39" t="n"/>
      <c r="AG484" s="39" t="n"/>
      <c r="AH484" s="39" t="n"/>
      <c r="AI484" s="39" t="n"/>
      <c r="AJ484" s="11">
        <f>IF(C484="","",IF(H484="VIDEO",N(L484),0))</f>
        <v/>
      </c>
      <c r="AK484" s="43">
        <f>IFERROR(IF(N(L484)=0,"",AJ484/L484),"")</f>
        <v/>
      </c>
      <c r="AL484" s="11">
        <f>IF(C484="","",N(AF484)+N(AG484)+N(AH484)+N(AI484))</f>
        <v/>
      </c>
      <c r="AM484" s="11">
        <f>IF(C484="","",MAX(N(L484),N(O484))-N(AL484))</f>
        <v/>
      </c>
      <c r="AN484" s="43">
        <f>IFERROR(IF(MAX(N(L484),N(O484))=0,"",AM484/MAX(N(L484),N(O484))),"")</f>
        <v/>
      </c>
      <c r="AO484" s="41" t="n"/>
      <c r="AP484" s="41" t="n"/>
      <c r="AQ484" s="41" t="n"/>
      <c r="AR484" s="41" t="n"/>
      <c r="AS484" s="41" t="n"/>
      <c r="AT484" s="37" t="n"/>
      <c r="AU484" s="10" t="inlineStr">
        <is>
          <t>PRD-0480</t>
        </is>
      </c>
    </row>
    <row r="485">
      <c r="A485" s="16">
        <f>IF($C485="","",IFERROR(IF(INDEX(tbl_Finance[Latest Invoice Date],MATCH($AU485,tbl_Finance[Row ID],0))="","",INDEX(tbl_Finance[Latest Invoice Date],MATCH($AU485,tbl_Finance[Row ID],0))),""))</f>
        <v/>
      </c>
      <c r="B485" s="10">
        <f>IF($C485="","",IFERROR(INDEX(tbl_Finance[Invoice Numbers],MATCH($AU485,tbl_Finance[Row ID],0))&amp;"",""))</f>
        <v/>
      </c>
      <c r="C485" s="37" t="n"/>
      <c r="D485" s="10">
        <f>IF($C485="","",IF(COUNTIF(lst_Jobs,$C485&amp;"")&gt;0,"OK","CHECK"))</f>
        <v/>
      </c>
      <c r="E485" s="10">
        <f>IF($C485="","",IFERROR(INDEX(lst_JobName,MATCH($C485&amp;"",lst_Jobs,0)),""))</f>
        <v/>
      </c>
      <c r="F485" s="37" t="n"/>
      <c r="G485" s="37" t="n"/>
      <c r="H485" s="37" t="n"/>
      <c r="I485" s="37" t="n"/>
      <c r="J485" s="37" t="n"/>
      <c r="K485" s="38">
        <f>IF($C485="","",IFERROR(N(INDEX(tbl_Finance[Invoice Count],MATCH($AU485,tbl_Finance[Row ID],0))),""))</f>
        <v/>
      </c>
      <c r="L485" s="11">
        <f>IF($C485="","",IFERROR(N(INDEX(tbl_Finance[Xero Invoiced Ex GST],MATCH($AU485,tbl_Finance[Row ID],0))),""))</f>
        <v/>
      </c>
      <c r="M485" s="10">
        <f>IF($C485="","",IFERROR(INDEX(tbl_Finance[Compare],MATCH($AU485,tbl_Finance[Row ID],0))&amp;"",""))</f>
        <v/>
      </c>
      <c r="N485" s="11">
        <f>IF($C485="","",MAX(0,N(O485)-N(L485)))</f>
        <v/>
      </c>
      <c r="O485" s="39" t="n"/>
      <c r="P485" s="40">
        <f>IF($C485="","",IF((IF(F485="",", Client","")&amp;IF(G485="",", Description","")&amp;IF(H485="",", Cost Centre","")&amp;IF(I485="",", Invoice Type","")&amp;IF(J485="",", Tax Code","")&amp;IF(O485="",", Expected Revenue","")&amp;IF(COUNTIF(tbl_Finance[Job Number],$C485&amp;"")&gt;1,", Job number used twice",""))="","Complete","Fix: "&amp;MID(IF(F485="",", Client","")&amp;IF(G485="",", Description","")&amp;IF(H485="",", Cost Centre","")&amp;IF(I485="",", Invoice Type","")&amp;IF(J485="",", Tax Code","")&amp;IF(O485="",", Expected Revenue","")&amp;IF(COUNTIF(tbl_Finance[Job Number],$C485&amp;"")&gt;1,", Job number used twice",""),3,300)))</f>
        <v/>
      </c>
      <c r="Q485" s="10">
        <f>IF($C485="","",IF(H485="","(no cost centre)",H485&amp;" - GL "&amp;IFERROR(INDEX(lst_CCtoGL,MATCH(H485,lst_CCforGL,0)),"?")))</f>
        <v/>
      </c>
      <c r="R485" s="11">
        <f>IF($C485="","",IFERROR(N(INDEX(tbl_Finance[Inc GST],MATCH($AU485,tbl_Finance[Row ID],0))),""))</f>
        <v/>
      </c>
      <c r="S485" s="37" t="n"/>
      <c r="T485" s="37" t="n"/>
      <c r="U485" s="37" t="n"/>
      <c r="V485" s="42" t="n"/>
      <c r="W485" s="37" t="n"/>
      <c r="X485" s="10">
        <f>IF(W485="","",IF(AND(LEFT(W485,4)&lt;&gt;"http",set_RMSBase=""),"",HYPERLINK(IF(LEFT(W485,4)="http",W485,set_RMSBase&amp;W485),"Open in RMS")))</f>
        <v/>
      </c>
      <c r="Y485" s="37" t="n"/>
      <c r="Z485" s="10">
        <f>IF(Y485="","",HYPERLINK(IF(LEFT(Y485,4)="http",Y485,set_QwilrBase&amp;Y485),"Open quote"))</f>
        <v/>
      </c>
      <c r="AA485" s="10">
        <f>IF(C485="","",C485)</f>
        <v/>
      </c>
      <c r="AB485" s="37" t="n"/>
      <c r="AC485" s="39" t="n"/>
      <c r="AD485" s="11">
        <f>IF(C485="","",N(L485)+N(AC485))</f>
        <v/>
      </c>
      <c r="AE485" s="43">
        <f>IFERROR(IF(N(AC485)=0,"",AC485/AD485),"")</f>
        <v/>
      </c>
      <c r="AF485" s="39" t="n"/>
      <c r="AG485" s="39" t="n"/>
      <c r="AH485" s="39" t="n"/>
      <c r="AI485" s="39" t="n"/>
      <c r="AJ485" s="11">
        <f>IF(C485="","",IF(H485="VIDEO",N(L485),0))</f>
        <v/>
      </c>
      <c r="AK485" s="43">
        <f>IFERROR(IF(N(L485)=0,"",AJ485/L485),"")</f>
        <v/>
      </c>
      <c r="AL485" s="11">
        <f>IF(C485="","",N(AF485)+N(AG485)+N(AH485)+N(AI485))</f>
        <v/>
      </c>
      <c r="AM485" s="11">
        <f>IF(C485="","",MAX(N(L485),N(O485))-N(AL485))</f>
        <v/>
      </c>
      <c r="AN485" s="43">
        <f>IFERROR(IF(MAX(N(L485),N(O485))=0,"",AM485/MAX(N(L485),N(O485))),"")</f>
        <v/>
      </c>
      <c r="AO485" s="41" t="n"/>
      <c r="AP485" s="41" t="n"/>
      <c r="AQ485" s="41" t="n"/>
      <c r="AR485" s="41" t="n"/>
      <c r="AS485" s="41" t="n"/>
      <c r="AT485" s="37" t="n"/>
      <c r="AU485" s="10" t="inlineStr">
        <is>
          <t>PRD-0481</t>
        </is>
      </c>
    </row>
    <row r="486">
      <c r="A486" s="16">
        <f>IF($C486="","",IFERROR(IF(INDEX(tbl_Finance[Latest Invoice Date],MATCH($AU486,tbl_Finance[Row ID],0))="","",INDEX(tbl_Finance[Latest Invoice Date],MATCH($AU486,tbl_Finance[Row ID],0))),""))</f>
        <v/>
      </c>
      <c r="B486" s="10">
        <f>IF($C486="","",IFERROR(INDEX(tbl_Finance[Invoice Numbers],MATCH($AU486,tbl_Finance[Row ID],0))&amp;"",""))</f>
        <v/>
      </c>
      <c r="C486" s="37" t="n"/>
      <c r="D486" s="10">
        <f>IF($C486="","",IF(COUNTIF(lst_Jobs,$C486&amp;"")&gt;0,"OK","CHECK"))</f>
        <v/>
      </c>
      <c r="E486" s="10">
        <f>IF($C486="","",IFERROR(INDEX(lst_JobName,MATCH($C486&amp;"",lst_Jobs,0)),""))</f>
        <v/>
      </c>
      <c r="F486" s="37" t="n"/>
      <c r="G486" s="37" t="n"/>
      <c r="H486" s="37" t="n"/>
      <c r="I486" s="37" t="n"/>
      <c r="J486" s="37" t="n"/>
      <c r="K486" s="38">
        <f>IF($C486="","",IFERROR(N(INDEX(tbl_Finance[Invoice Count],MATCH($AU486,tbl_Finance[Row ID],0))),""))</f>
        <v/>
      </c>
      <c r="L486" s="11">
        <f>IF($C486="","",IFERROR(N(INDEX(tbl_Finance[Xero Invoiced Ex GST],MATCH($AU486,tbl_Finance[Row ID],0))),""))</f>
        <v/>
      </c>
      <c r="M486" s="10">
        <f>IF($C486="","",IFERROR(INDEX(tbl_Finance[Compare],MATCH($AU486,tbl_Finance[Row ID],0))&amp;"",""))</f>
        <v/>
      </c>
      <c r="N486" s="11">
        <f>IF($C486="","",MAX(0,N(O486)-N(L486)))</f>
        <v/>
      </c>
      <c r="O486" s="39" t="n"/>
      <c r="P486" s="40">
        <f>IF($C486="","",IF((IF(F486="",", Client","")&amp;IF(G486="",", Description","")&amp;IF(H486="",", Cost Centre","")&amp;IF(I486="",", Invoice Type","")&amp;IF(J486="",", Tax Code","")&amp;IF(O486="",", Expected Revenue","")&amp;IF(COUNTIF(tbl_Finance[Job Number],$C486&amp;"")&gt;1,", Job number used twice",""))="","Complete","Fix: "&amp;MID(IF(F486="",", Client","")&amp;IF(G486="",", Description","")&amp;IF(H486="",", Cost Centre","")&amp;IF(I486="",", Invoice Type","")&amp;IF(J486="",", Tax Code","")&amp;IF(O486="",", Expected Revenue","")&amp;IF(COUNTIF(tbl_Finance[Job Number],$C486&amp;"")&gt;1,", Job number used twice",""),3,300)))</f>
        <v/>
      </c>
      <c r="Q486" s="10">
        <f>IF($C486="","",IF(H486="","(no cost centre)",H486&amp;" - GL "&amp;IFERROR(INDEX(lst_CCtoGL,MATCH(H486,lst_CCforGL,0)),"?")))</f>
        <v/>
      </c>
      <c r="R486" s="11">
        <f>IF($C486="","",IFERROR(N(INDEX(tbl_Finance[Inc GST],MATCH($AU486,tbl_Finance[Row ID],0))),""))</f>
        <v/>
      </c>
      <c r="S486" s="37" t="n"/>
      <c r="T486" s="37" t="n"/>
      <c r="U486" s="37" t="n"/>
      <c r="V486" s="42" t="n"/>
      <c r="W486" s="37" t="n"/>
      <c r="X486" s="10">
        <f>IF(W486="","",IF(AND(LEFT(W486,4)&lt;&gt;"http",set_RMSBase=""),"",HYPERLINK(IF(LEFT(W486,4)="http",W486,set_RMSBase&amp;W486),"Open in RMS")))</f>
        <v/>
      </c>
      <c r="Y486" s="37" t="n"/>
      <c r="Z486" s="10">
        <f>IF(Y486="","",HYPERLINK(IF(LEFT(Y486,4)="http",Y486,set_QwilrBase&amp;Y486),"Open quote"))</f>
        <v/>
      </c>
      <c r="AA486" s="10">
        <f>IF(C486="","",C486)</f>
        <v/>
      </c>
      <c r="AB486" s="37" t="n"/>
      <c r="AC486" s="39" t="n"/>
      <c r="AD486" s="11">
        <f>IF(C486="","",N(L486)+N(AC486))</f>
        <v/>
      </c>
      <c r="AE486" s="43">
        <f>IFERROR(IF(N(AC486)=0,"",AC486/AD486),"")</f>
        <v/>
      </c>
      <c r="AF486" s="39" t="n"/>
      <c r="AG486" s="39" t="n"/>
      <c r="AH486" s="39" t="n"/>
      <c r="AI486" s="39" t="n"/>
      <c r="AJ486" s="11">
        <f>IF(C486="","",IF(H486="VIDEO",N(L486),0))</f>
        <v/>
      </c>
      <c r="AK486" s="43">
        <f>IFERROR(IF(N(L486)=0,"",AJ486/L486),"")</f>
        <v/>
      </c>
      <c r="AL486" s="11">
        <f>IF(C486="","",N(AF486)+N(AG486)+N(AH486)+N(AI486))</f>
        <v/>
      </c>
      <c r="AM486" s="11">
        <f>IF(C486="","",MAX(N(L486),N(O486))-N(AL486))</f>
        <v/>
      </c>
      <c r="AN486" s="43">
        <f>IFERROR(IF(MAX(N(L486),N(O486))=0,"",AM486/MAX(N(L486),N(O486))),"")</f>
        <v/>
      </c>
      <c r="AO486" s="41" t="n"/>
      <c r="AP486" s="41" t="n"/>
      <c r="AQ486" s="41" t="n"/>
      <c r="AR486" s="41" t="n"/>
      <c r="AS486" s="41" t="n"/>
      <c r="AT486" s="37" t="n"/>
      <c r="AU486" s="10" t="inlineStr">
        <is>
          <t>PRD-0482</t>
        </is>
      </c>
    </row>
    <row r="487">
      <c r="A487" s="16">
        <f>IF($C487="","",IFERROR(IF(INDEX(tbl_Finance[Latest Invoice Date],MATCH($AU487,tbl_Finance[Row ID],0))="","",INDEX(tbl_Finance[Latest Invoice Date],MATCH($AU487,tbl_Finance[Row ID],0))),""))</f>
        <v/>
      </c>
      <c r="B487" s="10">
        <f>IF($C487="","",IFERROR(INDEX(tbl_Finance[Invoice Numbers],MATCH($AU487,tbl_Finance[Row ID],0))&amp;"",""))</f>
        <v/>
      </c>
      <c r="C487" s="37" t="n"/>
      <c r="D487" s="10">
        <f>IF($C487="","",IF(COUNTIF(lst_Jobs,$C487&amp;"")&gt;0,"OK","CHECK"))</f>
        <v/>
      </c>
      <c r="E487" s="10">
        <f>IF($C487="","",IFERROR(INDEX(lst_JobName,MATCH($C487&amp;"",lst_Jobs,0)),""))</f>
        <v/>
      </c>
      <c r="F487" s="37" t="n"/>
      <c r="G487" s="37" t="n"/>
      <c r="H487" s="37" t="n"/>
      <c r="I487" s="37" t="n"/>
      <c r="J487" s="37" t="n"/>
      <c r="K487" s="38">
        <f>IF($C487="","",IFERROR(N(INDEX(tbl_Finance[Invoice Count],MATCH($AU487,tbl_Finance[Row ID],0))),""))</f>
        <v/>
      </c>
      <c r="L487" s="11">
        <f>IF($C487="","",IFERROR(N(INDEX(tbl_Finance[Xero Invoiced Ex GST],MATCH($AU487,tbl_Finance[Row ID],0))),""))</f>
        <v/>
      </c>
      <c r="M487" s="10">
        <f>IF($C487="","",IFERROR(INDEX(tbl_Finance[Compare],MATCH($AU487,tbl_Finance[Row ID],0))&amp;"",""))</f>
        <v/>
      </c>
      <c r="N487" s="11">
        <f>IF($C487="","",MAX(0,N(O487)-N(L487)))</f>
        <v/>
      </c>
      <c r="O487" s="39" t="n"/>
      <c r="P487" s="40">
        <f>IF($C487="","",IF((IF(F487="",", Client","")&amp;IF(G487="",", Description","")&amp;IF(H487="",", Cost Centre","")&amp;IF(I487="",", Invoice Type","")&amp;IF(J487="",", Tax Code","")&amp;IF(O487="",", Expected Revenue","")&amp;IF(COUNTIF(tbl_Finance[Job Number],$C487&amp;"")&gt;1,", Job number used twice",""))="","Complete","Fix: "&amp;MID(IF(F487="",", Client","")&amp;IF(G487="",", Description","")&amp;IF(H487="",", Cost Centre","")&amp;IF(I487="",", Invoice Type","")&amp;IF(J487="",", Tax Code","")&amp;IF(O487="",", Expected Revenue","")&amp;IF(COUNTIF(tbl_Finance[Job Number],$C487&amp;"")&gt;1,", Job number used twice",""),3,300)))</f>
        <v/>
      </c>
      <c r="Q487" s="10">
        <f>IF($C487="","",IF(H487="","(no cost centre)",H487&amp;" - GL "&amp;IFERROR(INDEX(lst_CCtoGL,MATCH(H487,lst_CCforGL,0)),"?")))</f>
        <v/>
      </c>
      <c r="R487" s="11">
        <f>IF($C487="","",IFERROR(N(INDEX(tbl_Finance[Inc GST],MATCH($AU487,tbl_Finance[Row ID],0))),""))</f>
        <v/>
      </c>
      <c r="S487" s="37" t="n"/>
      <c r="T487" s="37" t="n"/>
      <c r="U487" s="37" t="n"/>
      <c r="V487" s="42" t="n"/>
      <c r="W487" s="37" t="n"/>
      <c r="X487" s="10">
        <f>IF(W487="","",IF(AND(LEFT(W487,4)&lt;&gt;"http",set_RMSBase=""),"",HYPERLINK(IF(LEFT(W487,4)="http",W487,set_RMSBase&amp;W487),"Open in RMS")))</f>
        <v/>
      </c>
      <c r="Y487" s="37" t="n"/>
      <c r="Z487" s="10">
        <f>IF(Y487="","",HYPERLINK(IF(LEFT(Y487,4)="http",Y487,set_QwilrBase&amp;Y487),"Open quote"))</f>
        <v/>
      </c>
      <c r="AA487" s="10">
        <f>IF(C487="","",C487)</f>
        <v/>
      </c>
      <c r="AB487" s="37" t="n"/>
      <c r="AC487" s="39" t="n"/>
      <c r="AD487" s="11">
        <f>IF(C487="","",N(L487)+N(AC487))</f>
        <v/>
      </c>
      <c r="AE487" s="43">
        <f>IFERROR(IF(N(AC487)=0,"",AC487/AD487),"")</f>
        <v/>
      </c>
      <c r="AF487" s="39" t="n"/>
      <c r="AG487" s="39" t="n"/>
      <c r="AH487" s="39" t="n"/>
      <c r="AI487" s="39" t="n"/>
      <c r="AJ487" s="11">
        <f>IF(C487="","",IF(H487="VIDEO",N(L487),0))</f>
        <v/>
      </c>
      <c r="AK487" s="43">
        <f>IFERROR(IF(N(L487)=0,"",AJ487/L487),"")</f>
        <v/>
      </c>
      <c r="AL487" s="11">
        <f>IF(C487="","",N(AF487)+N(AG487)+N(AH487)+N(AI487))</f>
        <v/>
      </c>
      <c r="AM487" s="11">
        <f>IF(C487="","",MAX(N(L487),N(O487))-N(AL487))</f>
        <v/>
      </c>
      <c r="AN487" s="43">
        <f>IFERROR(IF(MAX(N(L487),N(O487))=0,"",AM487/MAX(N(L487),N(O487))),"")</f>
        <v/>
      </c>
      <c r="AO487" s="41" t="n"/>
      <c r="AP487" s="41" t="n"/>
      <c r="AQ487" s="41" t="n"/>
      <c r="AR487" s="41" t="n"/>
      <c r="AS487" s="41" t="n"/>
      <c r="AT487" s="37" t="n"/>
      <c r="AU487" s="10" t="inlineStr">
        <is>
          <t>PRD-0483</t>
        </is>
      </c>
    </row>
    <row r="488">
      <c r="A488" s="16">
        <f>IF($C488="","",IFERROR(IF(INDEX(tbl_Finance[Latest Invoice Date],MATCH($AU488,tbl_Finance[Row ID],0))="","",INDEX(tbl_Finance[Latest Invoice Date],MATCH($AU488,tbl_Finance[Row ID],0))),""))</f>
        <v/>
      </c>
      <c r="B488" s="10">
        <f>IF($C488="","",IFERROR(INDEX(tbl_Finance[Invoice Numbers],MATCH($AU488,tbl_Finance[Row ID],0))&amp;"",""))</f>
        <v/>
      </c>
      <c r="C488" s="37" t="n"/>
      <c r="D488" s="10">
        <f>IF($C488="","",IF(COUNTIF(lst_Jobs,$C488&amp;"")&gt;0,"OK","CHECK"))</f>
        <v/>
      </c>
      <c r="E488" s="10">
        <f>IF($C488="","",IFERROR(INDEX(lst_JobName,MATCH($C488&amp;"",lst_Jobs,0)),""))</f>
        <v/>
      </c>
      <c r="F488" s="37" t="n"/>
      <c r="G488" s="37" t="n"/>
      <c r="H488" s="37" t="n"/>
      <c r="I488" s="37" t="n"/>
      <c r="J488" s="37" t="n"/>
      <c r="K488" s="38">
        <f>IF($C488="","",IFERROR(N(INDEX(tbl_Finance[Invoice Count],MATCH($AU488,tbl_Finance[Row ID],0))),""))</f>
        <v/>
      </c>
      <c r="L488" s="11">
        <f>IF($C488="","",IFERROR(N(INDEX(tbl_Finance[Xero Invoiced Ex GST],MATCH($AU488,tbl_Finance[Row ID],0))),""))</f>
        <v/>
      </c>
      <c r="M488" s="10">
        <f>IF($C488="","",IFERROR(INDEX(tbl_Finance[Compare],MATCH($AU488,tbl_Finance[Row ID],0))&amp;"",""))</f>
        <v/>
      </c>
      <c r="N488" s="11">
        <f>IF($C488="","",MAX(0,N(O488)-N(L488)))</f>
        <v/>
      </c>
      <c r="O488" s="39" t="n"/>
      <c r="P488" s="40">
        <f>IF($C488="","",IF((IF(F488="",", Client","")&amp;IF(G488="",", Description","")&amp;IF(H488="",", Cost Centre","")&amp;IF(I488="",", Invoice Type","")&amp;IF(J488="",", Tax Code","")&amp;IF(O488="",", Expected Revenue","")&amp;IF(COUNTIF(tbl_Finance[Job Number],$C488&amp;"")&gt;1,", Job number used twice",""))="","Complete","Fix: "&amp;MID(IF(F488="",", Client","")&amp;IF(G488="",", Description","")&amp;IF(H488="",", Cost Centre","")&amp;IF(I488="",", Invoice Type","")&amp;IF(J488="",", Tax Code","")&amp;IF(O488="",", Expected Revenue","")&amp;IF(COUNTIF(tbl_Finance[Job Number],$C488&amp;"")&gt;1,", Job number used twice",""),3,300)))</f>
        <v/>
      </c>
      <c r="Q488" s="10">
        <f>IF($C488="","",IF(H488="","(no cost centre)",H488&amp;" - GL "&amp;IFERROR(INDEX(lst_CCtoGL,MATCH(H488,lst_CCforGL,0)),"?")))</f>
        <v/>
      </c>
      <c r="R488" s="11">
        <f>IF($C488="","",IFERROR(N(INDEX(tbl_Finance[Inc GST],MATCH($AU488,tbl_Finance[Row ID],0))),""))</f>
        <v/>
      </c>
      <c r="S488" s="37" t="n"/>
      <c r="T488" s="37" t="n"/>
      <c r="U488" s="37" t="n"/>
      <c r="V488" s="42" t="n"/>
      <c r="W488" s="37" t="n"/>
      <c r="X488" s="10">
        <f>IF(W488="","",IF(AND(LEFT(W488,4)&lt;&gt;"http",set_RMSBase=""),"",HYPERLINK(IF(LEFT(W488,4)="http",W488,set_RMSBase&amp;W488),"Open in RMS")))</f>
        <v/>
      </c>
      <c r="Y488" s="37" t="n"/>
      <c r="Z488" s="10">
        <f>IF(Y488="","",HYPERLINK(IF(LEFT(Y488,4)="http",Y488,set_QwilrBase&amp;Y488),"Open quote"))</f>
        <v/>
      </c>
      <c r="AA488" s="10">
        <f>IF(C488="","",C488)</f>
        <v/>
      </c>
      <c r="AB488" s="37" t="n"/>
      <c r="AC488" s="39" t="n"/>
      <c r="AD488" s="11">
        <f>IF(C488="","",N(L488)+N(AC488))</f>
        <v/>
      </c>
      <c r="AE488" s="43">
        <f>IFERROR(IF(N(AC488)=0,"",AC488/AD488),"")</f>
        <v/>
      </c>
      <c r="AF488" s="39" t="n"/>
      <c r="AG488" s="39" t="n"/>
      <c r="AH488" s="39" t="n"/>
      <c r="AI488" s="39" t="n"/>
      <c r="AJ488" s="11">
        <f>IF(C488="","",IF(H488="VIDEO",N(L488),0))</f>
        <v/>
      </c>
      <c r="AK488" s="43">
        <f>IFERROR(IF(N(L488)=0,"",AJ488/L488),"")</f>
        <v/>
      </c>
      <c r="AL488" s="11">
        <f>IF(C488="","",N(AF488)+N(AG488)+N(AH488)+N(AI488))</f>
        <v/>
      </c>
      <c r="AM488" s="11">
        <f>IF(C488="","",MAX(N(L488),N(O488))-N(AL488))</f>
        <v/>
      </c>
      <c r="AN488" s="43">
        <f>IFERROR(IF(MAX(N(L488),N(O488))=0,"",AM488/MAX(N(L488),N(O488))),"")</f>
        <v/>
      </c>
      <c r="AO488" s="41" t="n"/>
      <c r="AP488" s="41" t="n"/>
      <c r="AQ488" s="41" t="n"/>
      <c r="AR488" s="41" t="n"/>
      <c r="AS488" s="41" t="n"/>
      <c r="AT488" s="37" t="n"/>
      <c r="AU488" s="10" t="inlineStr">
        <is>
          <t>PRD-0484</t>
        </is>
      </c>
    </row>
    <row r="489">
      <c r="A489" s="16">
        <f>IF($C489="","",IFERROR(IF(INDEX(tbl_Finance[Latest Invoice Date],MATCH($AU489,tbl_Finance[Row ID],0))="","",INDEX(tbl_Finance[Latest Invoice Date],MATCH($AU489,tbl_Finance[Row ID],0))),""))</f>
        <v/>
      </c>
      <c r="B489" s="10">
        <f>IF($C489="","",IFERROR(INDEX(tbl_Finance[Invoice Numbers],MATCH($AU489,tbl_Finance[Row ID],0))&amp;"",""))</f>
        <v/>
      </c>
      <c r="C489" s="37" t="n"/>
      <c r="D489" s="10">
        <f>IF($C489="","",IF(COUNTIF(lst_Jobs,$C489&amp;"")&gt;0,"OK","CHECK"))</f>
        <v/>
      </c>
      <c r="E489" s="10">
        <f>IF($C489="","",IFERROR(INDEX(lst_JobName,MATCH($C489&amp;"",lst_Jobs,0)),""))</f>
        <v/>
      </c>
      <c r="F489" s="37" t="n"/>
      <c r="G489" s="37" t="n"/>
      <c r="H489" s="37" t="n"/>
      <c r="I489" s="37" t="n"/>
      <c r="J489" s="37" t="n"/>
      <c r="K489" s="38">
        <f>IF($C489="","",IFERROR(N(INDEX(tbl_Finance[Invoice Count],MATCH($AU489,tbl_Finance[Row ID],0))),""))</f>
        <v/>
      </c>
      <c r="L489" s="11">
        <f>IF($C489="","",IFERROR(N(INDEX(tbl_Finance[Xero Invoiced Ex GST],MATCH($AU489,tbl_Finance[Row ID],0))),""))</f>
        <v/>
      </c>
      <c r="M489" s="10">
        <f>IF($C489="","",IFERROR(INDEX(tbl_Finance[Compare],MATCH($AU489,tbl_Finance[Row ID],0))&amp;"",""))</f>
        <v/>
      </c>
      <c r="N489" s="11">
        <f>IF($C489="","",MAX(0,N(O489)-N(L489)))</f>
        <v/>
      </c>
      <c r="O489" s="39" t="n"/>
      <c r="P489" s="40">
        <f>IF($C489="","",IF((IF(F489="",", Client","")&amp;IF(G489="",", Description","")&amp;IF(H489="",", Cost Centre","")&amp;IF(I489="",", Invoice Type","")&amp;IF(J489="",", Tax Code","")&amp;IF(O489="",", Expected Revenue","")&amp;IF(COUNTIF(tbl_Finance[Job Number],$C489&amp;"")&gt;1,", Job number used twice",""))="","Complete","Fix: "&amp;MID(IF(F489="",", Client","")&amp;IF(G489="",", Description","")&amp;IF(H489="",", Cost Centre","")&amp;IF(I489="",", Invoice Type","")&amp;IF(J489="",", Tax Code","")&amp;IF(O489="",", Expected Revenue","")&amp;IF(COUNTIF(tbl_Finance[Job Number],$C489&amp;"")&gt;1,", Job number used twice",""),3,300)))</f>
        <v/>
      </c>
      <c r="Q489" s="10">
        <f>IF($C489="","",IF(H489="","(no cost centre)",H489&amp;" - GL "&amp;IFERROR(INDEX(lst_CCtoGL,MATCH(H489,lst_CCforGL,0)),"?")))</f>
        <v/>
      </c>
      <c r="R489" s="11">
        <f>IF($C489="","",IFERROR(N(INDEX(tbl_Finance[Inc GST],MATCH($AU489,tbl_Finance[Row ID],0))),""))</f>
        <v/>
      </c>
      <c r="S489" s="37" t="n"/>
      <c r="T489" s="37" t="n"/>
      <c r="U489" s="37" t="n"/>
      <c r="V489" s="42" t="n"/>
      <c r="W489" s="37" t="n"/>
      <c r="X489" s="10">
        <f>IF(W489="","",IF(AND(LEFT(W489,4)&lt;&gt;"http",set_RMSBase=""),"",HYPERLINK(IF(LEFT(W489,4)="http",W489,set_RMSBase&amp;W489),"Open in RMS")))</f>
        <v/>
      </c>
      <c r="Y489" s="37" t="n"/>
      <c r="Z489" s="10">
        <f>IF(Y489="","",HYPERLINK(IF(LEFT(Y489,4)="http",Y489,set_QwilrBase&amp;Y489),"Open quote"))</f>
        <v/>
      </c>
      <c r="AA489" s="10">
        <f>IF(C489="","",C489)</f>
        <v/>
      </c>
      <c r="AB489" s="37" t="n"/>
      <c r="AC489" s="39" t="n"/>
      <c r="AD489" s="11">
        <f>IF(C489="","",N(L489)+N(AC489))</f>
        <v/>
      </c>
      <c r="AE489" s="43">
        <f>IFERROR(IF(N(AC489)=0,"",AC489/AD489),"")</f>
        <v/>
      </c>
      <c r="AF489" s="39" t="n"/>
      <c r="AG489" s="39" t="n"/>
      <c r="AH489" s="39" t="n"/>
      <c r="AI489" s="39" t="n"/>
      <c r="AJ489" s="11">
        <f>IF(C489="","",IF(H489="VIDEO",N(L489),0))</f>
        <v/>
      </c>
      <c r="AK489" s="43">
        <f>IFERROR(IF(N(L489)=0,"",AJ489/L489),"")</f>
        <v/>
      </c>
      <c r="AL489" s="11">
        <f>IF(C489="","",N(AF489)+N(AG489)+N(AH489)+N(AI489))</f>
        <v/>
      </c>
      <c r="AM489" s="11">
        <f>IF(C489="","",MAX(N(L489),N(O489))-N(AL489))</f>
        <v/>
      </c>
      <c r="AN489" s="43">
        <f>IFERROR(IF(MAX(N(L489),N(O489))=0,"",AM489/MAX(N(L489),N(O489))),"")</f>
        <v/>
      </c>
      <c r="AO489" s="41" t="n"/>
      <c r="AP489" s="41" t="n"/>
      <c r="AQ489" s="41" t="n"/>
      <c r="AR489" s="41" t="n"/>
      <c r="AS489" s="41" t="n"/>
      <c r="AT489" s="37" t="n"/>
      <c r="AU489" s="10" t="inlineStr">
        <is>
          <t>PRD-0485</t>
        </is>
      </c>
    </row>
    <row r="490">
      <c r="A490" s="16">
        <f>IF($C490="","",IFERROR(IF(INDEX(tbl_Finance[Latest Invoice Date],MATCH($AU490,tbl_Finance[Row ID],0))="","",INDEX(tbl_Finance[Latest Invoice Date],MATCH($AU490,tbl_Finance[Row ID],0))),""))</f>
        <v/>
      </c>
      <c r="B490" s="10">
        <f>IF($C490="","",IFERROR(INDEX(tbl_Finance[Invoice Numbers],MATCH($AU490,tbl_Finance[Row ID],0))&amp;"",""))</f>
        <v/>
      </c>
      <c r="C490" s="37" t="n"/>
      <c r="D490" s="10">
        <f>IF($C490="","",IF(COUNTIF(lst_Jobs,$C490&amp;"")&gt;0,"OK","CHECK"))</f>
        <v/>
      </c>
      <c r="E490" s="10">
        <f>IF($C490="","",IFERROR(INDEX(lst_JobName,MATCH($C490&amp;"",lst_Jobs,0)),""))</f>
        <v/>
      </c>
      <c r="F490" s="37" t="n"/>
      <c r="G490" s="37" t="n"/>
      <c r="H490" s="37" t="n"/>
      <c r="I490" s="37" t="n"/>
      <c r="J490" s="37" t="n"/>
      <c r="K490" s="38">
        <f>IF($C490="","",IFERROR(N(INDEX(tbl_Finance[Invoice Count],MATCH($AU490,tbl_Finance[Row ID],0))),""))</f>
        <v/>
      </c>
      <c r="L490" s="11">
        <f>IF($C490="","",IFERROR(N(INDEX(tbl_Finance[Xero Invoiced Ex GST],MATCH($AU490,tbl_Finance[Row ID],0))),""))</f>
        <v/>
      </c>
      <c r="M490" s="10">
        <f>IF($C490="","",IFERROR(INDEX(tbl_Finance[Compare],MATCH($AU490,tbl_Finance[Row ID],0))&amp;"",""))</f>
        <v/>
      </c>
      <c r="N490" s="11">
        <f>IF($C490="","",MAX(0,N(O490)-N(L490)))</f>
        <v/>
      </c>
      <c r="O490" s="39" t="n"/>
      <c r="P490" s="40">
        <f>IF($C490="","",IF((IF(F490="",", Client","")&amp;IF(G490="",", Description","")&amp;IF(H490="",", Cost Centre","")&amp;IF(I490="",", Invoice Type","")&amp;IF(J490="",", Tax Code","")&amp;IF(O490="",", Expected Revenue","")&amp;IF(COUNTIF(tbl_Finance[Job Number],$C490&amp;"")&gt;1,", Job number used twice",""))="","Complete","Fix: "&amp;MID(IF(F490="",", Client","")&amp;IF(G490="",", Description","")&amp;IF(H490="",", Cost Centre","")&amp;IF(I490="",", Invoice Type","")&amp;IF(J490="",", Tax Code","")&amp;IF(O490="",", Expected Revenue","")&amp;IF(COUNTIF(tbl_Finance[Job Number],$C490&amp;"")&gt;1,", Job number used twice",""),3,300)))</f>
        <v/>
      </c>
      <c r="Q490" s="10">
        <f>IF($C490="","",IF(H490="","(no cost centre)",H490&amp;" - GL "&amp;IFERROR(INDEX(lst_CCtoGL,MATCH(H490,lst_CCforGL,0)),"?")))</f>
        <v/>
      </c>
      <c r="R490" s="11">
        <f>IF($C490="","",IFERROR(N(INDEX(tbl_Finance[Inc GST],MATCH($AU490,tbl_Finance[Row ID],0))),""))</f>
        <v/>
      </c>
      <c r="S490" s="37" t="n"/>
      <c r="T490" s="37" t="n"/>
      <c r="U490" s="37" t="n"/>
      <c r="V490" s="42" t="n"/>
      <c r="W490" s="37" t="n"/>
      <c r="X490" s="10">
        <f>IF(W490="","",IF(AND(LEFT(W490,4)&lt;&gt;"http",set_RMSBase=""),"",HYPERLINK(IF(LEFT(W490,4)="http",W490,set_RMSBase&amp;W490),"Open in RMS")))</f>
        <v/>
      </c>
      <c r="Y490" s="37" t="n"/>
      <c r="Z490" s="10">
        <f>IF(Y490="","",HYPERLINK(IF(LEFT(Y490,4)="http",Y490,set_QwilrBase&amp;Y490),"Open quote"))</f>
        <v/>
      </c>
      <c r="AA490" s="10">
        <f>IF(C490="","",C490)</f>
        <v/>
      </c>
      <c r="AB490" s="37" t="n"/>
      <c r="AC490" s="39" t="n"/>
      <c r="AD490" s="11">
        <f>IF(C490="","",N(L490)+N(AC490))</f>
        <v/>
      </c>
      <c r="AE490" s="43">
        <f>IFERROR(IF(N(AC490)=0,"",AC490/AD490),"")</f>
        <v/>
      </c>
      <c r="AF490" s="39" t="n"/>
      <c r="AG490" s="39" t="n"/>
      <c r="AH490" s="39" t="n"/>
      <c r="AI490" s="39" t="n"/>
      <c r="AJ490" s="11">
        <f>IF(C490="","",IF(H490="VIDEO",N(L490),0))</f>
        <v/>
      </c>
      <c r="AK490" s="43">
        <f>IFERROR(IF(N(L490)=0,"",AJ490/L490),"")</f>
        <v/>
      </c>
      <c r="AL490" s="11">
        <f>IF(C490="","",N(AF490)+N(AG490)+N(AH490)+N(AI490))</f>
        <v/>
      </c>
      <c r="AM490" s="11">
        <f>IF(C490="","",MAX(N(L490),N(O490))-N(AL490))</f>
        <v/>
      </c>
      <c r="AN490" s="43">
        <f>IFERROR(IF(MAX(N(L490),N(O490))=0,"",AM490/MAX(N(L490),N(O490))),"")</f>
        <v/>
      </c>
      <c r="AO490" s="41" t="n"/>
      <c r="AP490" s="41" t="n"/>
      <c r="AQ490" s="41" t="n"/>
      <c r="AR490" s="41" t="n"/>
      <c r="AS490" s="41" t="n"/>
      <c r="AT490" s="37" t="n"/>
      <c r="AU490" s="10" t="inlineStr">
        <is>
          <t>PRD-0486</t>
        </is>
      </c>
    </row>
    <row r="491">
      <c r="A491" s="16">
        <f>IF($C491="","",IFERROR(IF(INDEX(tbl_Finance[Latest Invoice Date],MATCH($AU491,tbl_Finance[Row ID],0))="","",INDEX(tbl_Finance[Latest Invoice Date],MATCH($AU491,tbl_Finance[Row ID],0))),""))</f>
        <v/>
      </c>
      <c r="B491" s="10">
        <f>IF($C491="","",IFERROR(INDEX(tbl_Finance[Invoice Numbers],MATCH($AU491,tbl_Finance[Row ID],0))&amp;"",""))</f>
        <v/>
      </c>
      <c r="C491" s="37" t="n"/>
      <c r="D491" s="10">
        <f>IF($C491="","",IF(COUNTIF(lst_Jobs,$C491&amp;"")&gt;0,"OK","CHECK"))</f>
        <v/>
      </c>
      <c r="E491" s="10">
        <f>IF($C491="","",IFERROR(INDEX(lst_JobName,MATCH($C491&amp;"",lst_Jobs,0)),""))</f>
        <v/>
      </c>
      <c r="F491" s="37" t="n"/>
      <c r="G491" s="37" t="n"/>
      <c r="H491" s="37" t="n"/>
      <c r="I491" s="37" t="n"/>
      <c r="J491" s="37" t="n"/>
      <c r="K491" s="38">
        <f>IF($C491="","",IFERROR(N(INDEX(tbl_Finance[Invoice Count],MATCH($AU491,tbl_Finance[Row ID],0))),""))</f>
        <v/>
      </c>
      <c r="L491" s="11">
        <f>IF($C491="","",IFERROR(N(INDEX(tbl_Finance[Xero Invoiced Ex GST],MATCH($AU491,tbl_Finance[Row ID],0))),""))</f>
        <v/>
      </c>
      <c r="M491" s="10">
        <f>IF($C491="","",IFERROR(INDEX(tbl_Finance[Compare],MATCH($AU491,tbl_Finance[Row ID],0))&amp;"",""))</f>
        <v/>
      </c>
      <c r="N491" s="11">
        <f>IF($C491="","",MAX(0,N(O491)-N(L491)))</f>
        <v/>
      </c>
      <c r="O491" s="39" t="n"/>
      <c r="P491" s="40">
        <f>IF($C491="","",IF((IF(F491="",", Client","")&amp;IF(G491="",", Description","")&amp;IF(H491="",", Cost Centre","")&amp;IF(I491="",", Invoice Type","")&amp;IF(J491="",", Tax Code","")&amp;IF(O491="",", Expected Revenue","")&amp;IF(COUNTIF(tbl_Finance[Job Number],$C491&amp;"")&gt;1,", Job number used twice",""))="","Complete","Fix: "&amp;MID(IF(F491="",", Client","")&amp;IF(G491="",", Description","")&amp;IF(H491="",", Cost Centre","")&amp;IF(I491="",", Invoice Type","")&amp;IF(J491="",", Tax Code","")&amp;IF(O491="",", Expected Revenue","")&amp;IF(COUNTIF(tbl_Finance[Job Number],$C491&amp;"")&gt;1,", Job number used twice",""),3,300)))</f>
        <v/>
      </c>
      <c r="Q491" s="10">
        <f>IF($C491="","",IF(H491="","(no cost centre)",H491&amp;" - GL "&amp;IFERROR(INDEX(lst_CCtoGL,MATCH(H491,lst_CCforGL,0)),"?")))</f>
        <v/>
      </c>
      <c r="R491" s="11">
        <f>IF($C491="","",IFERROR(N(INDEX(tbl_Finance[Inc GST],MATCH($AU491,tbl_Finance[Row ID],0))),""))</f>
        <v/>
      </c>
      <c r="S491" s="37" t="n"/>
      <c r="T491" s="37" t="n"/>
      <c r="U491" s="37" t="n"/>
      <c r="V491" s="42" t="n"/>
      <c r="W491" s="37" t="n"/>
      <c r="X491" s="10">
        <f>IF(W491="","",IF(AND(LEFT(W491,4)&lt;&gt;"http",set_RMSBase=""),"",HYPERLINK(IF(LEFT(W491,4)="http",W491,set_RMSBase&amp;W491),"Open in RMS")))</f>
        <v/>
      </c>
      <c r="Y491" s="37" t="n"/>
      <c r="Z491" s="10">
        <f>IF(Y491="","",HYPERLINK(IF(LEFT(Y491,4)="http",Y491,set_QwilrBase&amp;Y491),"Open quote"))</f>
        <v/>
      </c>
      <c r="AA491" s="10">
        <f>IF(C491="","",C491)</f>
        <v/>
      </c>
      <c r="AB491" s="37" t="n"/>
      <c r="AC491" s="39" t="n"/>
      <c r="AD491" s="11">
        <f>IF(C491="","",N(L491)+N(AC491))</f>
        <v/>
      </c>
      <c r="AE491" s="43">
        <f>IFERROR(IF(N(AC491)=0,"",AC491/AD491),"")</f>
        <v/>
      </c>
      <c r="AF491" s="39" t="n"/>
      <c r="AG491" s="39" t="n"/>
      <c r="AH491" s="39" t="n"/>
      <c r="AI491" s="39" t="n"/>
      <c r="AJ491" s="11">
        <f>IF(C491="","",IF(H491="VIDEO",N(L491),0))</f>
        <v/>
      </c>
      <c r="AK491" s="43">
        <f>IFERROR(IF(N(L491)=0,"",AJ491/L491),"")</f>
        <v/>
      </c>
      <c r="AL491" s="11">
        <f>IF(C491="","",N(AF491)+N(AG491)+N(AH491)+N(AI491))</f>
        <v/>
      </c>
      <c r="AM491" s="11">
        <f>IF(C491="","",MAX(N(L491),N(O491))-N(AL491))</f>
        <v/>
      </c>
      <c r="AN491" s="43">
        <f>IFERROR(IF(MAX(N(L491),N(O491))=0,"",AM491/MAX(N(L491),N(O491))),"")</f>
        <v/>
      </c>
      <c r="AO491" s="41" t="n"/>
      <c r="AP491" s="41" t="n"/>
      <c r="AQ491" s="41" t="n"/>
      <c r="AR491" s="41" t="n"/>
      <c r="AS491" s="41" t="n"/>
      <c r="AT491" s="37" t="n"/>
      <c r="AU491" s="10" t="inlineStr">
        <is>
          <t>PRD-0487</t>
        </is>
      </c>
    </row>
    <row r="492">
      <c r="A492" s="16">
        <f>IF($C492="","",IFERROR(IF(INDEX(tbl_Finance[Latest Invoice Date],MATCH($AU492,tbl_Finance[Row ID],0))="","",INDEX(tbl_Finance[Latest Invoice Date],MATCH($AU492,tbl_Finance[Row ID],0))),""))</f>
        <v/>
      </c>
      <c r="B492" s="10">
        <f>IF($C492="","",IFERROR(INDEX(tbl_Finance[Invoice Numbers],MATCH($AU492,tbl_Finance[Row ID],0))&amp;"",""))</f>
        <v/>
      </c>
      <c r="C492" s="37" t="n"/>
      <c r="D492" s="10">
        <f>IF($C492="","",IF(COUNTIF(lst_Jobs,$C492&amp;"")&gt;0,"OK","CHECK"))</f>
        <v/>
      </c>
      <c r="E492" s="10">
        <f>IF($C492="","",IFERROR(INDEX(lst_JobName,MATCH($C492&amp;"",lst_Jobs,0)),""))</f>
        <v/>
      </c>
      <c r="F492" s="37" t="n"/>
      <c r="G492" s="37" t="n"/>
      <c r="H492" s="37" t="n"/>
      <c r="I492" s="37" t="n"/>
      <c r="J492" s="37" t="n"/>
      <c r="K492" s="38">
        <f>IF($C492="","",IFERROR(N(INDEX(tbl_Finance[Invoice Count],MATCH($AU492,tbl_Finance[Row ID],0))),""))</f>
        <v/>
      </c>
      <c r="L492" s="11">
        <f>IF($C492="","",IFERROR(N(INDEX(tbl_Finance[Xero Invoiced Ex GST],MATCH($AU492,tbl_Finance[Row ID],0))),""))</f>
        <v/>
      </c>
      <c r="M492" s="10">
        <f>IF($C492="","",IFERROR(INDEX(tbl_Finance[Compare],MATCH($AU492,tbl_Finance[Row ID],0))&amp;"",""))</f>
        <v/>
      </c>
      <c r="N492" s="11">
        <f>IF($C492="","",MAX(0,N(O492)-N(L492)))</f>
        <v/>
      </c>
      <c r="O492" s="39" t="n"/>
      <c r="P492" s="40">
        <f>IF($C492="","",IF((IF(F492="",", Client","")&amp;IF(G492="",", Description","")&amp;IF(H492="",", Cost Centre","")&amp;IF(I492="",", Invoice Type","")&amp;IF(J492="",", Tax Code","")&amp;IF(O492="",", Expected Revenue","")&amp;IF(COUNTIF(tbl_Finance[Job Number],$C492&amp;"")&gt;1,", Job number used twice",""))="","Complete","Fix: "&amp;MID(IF(F492="",", Client","")&amp;IF(G492="",", Description","")&amp;IF(H492="",", Cost Centre","")&amp;IF(I492="",", Invoice Type","")&amp;IF(J492="",", Tax Code","")&amp;IF(O492="",", Expected Revenue","")&amp;IF(COUNTIF(tbl_Finance[Job Number],$C492&amp;"")&gt;1,", Job number used twice",""),3,300)))</f>
        <v/>
      </c>
      <c r="Q492" s="10">
        <f>IF($C492="","",IF(H492="","(no cost centre)",H492&amp;" - GL "&amp;IFERROR(INDEX(lst_CCtoGL,MATCH(H492,lst_CCforGL,0)),"?")))</f>
        <v/>
      </c>
      <c r="R492" s="11">
        <f>IF($C492="","",IFERROR(N(INDEX(tbl_Finance[Inc GST],MATCH($AU492,tbl_Finance[Row ID],0))),""))</f>
        <v/>
      </c>
      <c r="S492" s="37" t="n"/>
      <c r="T492" s="37" t="n"/>
      <c r="U492" s="37" t="n"/>
      <c r="V492" s="42" t="n"/>
      <c r="W492" s="37" t="n"/>
      <c r="X492" s="10">
        <f>IF(W492="","",IF(AND(LEFT(W492,4)&lt;&gt;"http",set_RMSBase=""),"",HYPERLINK(IF(LEFT(W492,4)="http",W492,set_RMSBase&amp;W492),"Open in RMS")))</f>
        <v/>
      </c>
      <c r="Y492" s="37" t="n"/>
      <c r="Z492" s="10">
        <f>IF(Y492="","",HYPERLINK(IF(LEFT(Y492,4)="http",Y492,set_QwilrBase&amp;Y492),"Open quote"))</f>
        <v/>
      </c>
      <c r="AA492" s="10">
        <f>IF(C492="","",C492)</f>
        <v/>
      </c>
      <c r="AB492" s="37" t="n"/>
      <c r="AC492" s="39" t="n"/>
      <c r="AD492" s="11">
        <f>IF(C492="","",N(L492)+N(AC492))</f>
        <v/>
      </c>
      <c r="AE492" s="43">
        <f>IFERROR(IF(N(AC492)=0,"",AC492/AD492),"")</f>
        <v/>
      </c>
      <c r="AF492" s="39" t="n"/>
      <c r="AG492" s="39" t="n"/>
      <c r="AH492" s="39" t="n"/>
      <c r="AI492" s="39" t="n"/>
      <c r="AJ492" s="11">
        <f>IF(C492="","",IF(H492="VIDEO",N(L492),0))</f>
        <v/>
      </c>
      <c r="AK492" s="43">
        <f>IFERROR(IF(N(L492)=0,"",AJ492/L492),"")</f>
        <v/>
      </c>
      <c r="AL492" s="11">
        <f>IF(C492="","",N(AF492)+N(AG492)+N(AH492)+N(AI492))</f>
        <v/>
      </c>
      <c r="AM492" s="11">
        <f>IF(C492="","",MAX(N(L492),N(O492))-N(AL492))</f>
        <v/>
      </c>
      <c r="AN492" s="43">
        <f>IFERROR(IF(MAX(N(L492),N(O492))=0,"",AM492/MAX(N(L492),N(O492))),"")</f>
        <v/>
      </c>
      <c r="AO492" s="41" t="n"/>
      <c r="AP492" s="41" t="n"/>
      <c r="AQ492" s="41" t="n"/>
      <c r="AR492" s="41" t="n"/>
      <c r="AS492" s="41" t="n"/>
      <c r="AT492" s="37" t="n"/>
      <c r="AU492" s="10" t="inlineStr">
        <is>
          <t>PRD-0488</t>
        </is>
      </c>
    </row>
    <row r="493">
      <c r="A493" s="16">
        <f>IF($C493="","",IFERROR(IF(INDEX(tbl_Finance[Latest Invoice Date],MATCH($AU493,tbl_Finance[Row ID],0))="","",INDEX(tbl_Finance[Latest Invoice Date],MATCH($AU493,tbl_Finance[Row ID],0))),""))</f>
        <v/>
      </c>
      <c r="B493" s="10">
        <f>IF($C493="","",IFERROR(INDEX(tbl_Finance[Invoice Numbers],MATCH($AU493,tbl_Finance[Row ID],0))&amp;"",""))</f>
        <v/>
      </c>
      <c r="C493" s="37" t="n"/>
      <c r="D493" s="10">
        <f>IF($C493="","",IF(COUNTIF(lst_Jobs,$C493&amp;"")&gt;0,"OK","CHECK"))</f>
        <v/>
      </c>
      <c r="E493" s="10">
        <f>IF($C493="","",IFERROR(INDEX(lst_JobName,MATCH($C493&amp;"",lst_Jobs,0)),""))</f>
        <v/>
      </c>
      <c r="F493" s="37" t="n"/>
      <c r="G493" s="37" t="n"/>
      <c r="H493" s="37" t="n"/>
      <c r="I493" s="37" t="n"/>
      <c r="J493" s="37" t="n"/>
      <c r="K493" s="38">
        <f>IF($C493="","",IFERROR(N(INDEX(tbl_Finance[Invoice Count],MATCH($AU493,tbl_Finance[Row ID],0))),""))</f>
        <v/>
      </c>
      <c r="L493" s="11">
        <f>IF($C493="","",IFERROR(N(INDEX(tbl_Finance[Xero Invoiced Ex GST],MATCH($AU493,tbl_Finance[Row ID],0))),""))</f>
        <v/>
      </c>
      <c r="M493" s="10">
        <f>IF($C493="","",IFERROR(INDEX(tbl_Finance[Compare],MATCH($AU493,tbl_Finance[Row ID],0))&amp;"",""))</f>
        <v/>
      </c>
      <c r="N493" s="11">
        <f>IF($C493="","",MAX(0,N(O493)-N(L493)))</f>
        <v/>
      </c>
      <c r="O493" s="39" t="n"/>
      <c r="P493" s="40">
        <f>IF($C493="","",IF((IF(F493="",", Client","")&amp;IF(G493="",", Description","")&amp;IF(H493="",", Cost Centre","")&amp;IF(I493="",", Invoice Type","")&amp;IF(J493="",", Tax Code","")&amp;IF(O493="",", Expected Revenue","")&amp;IF(COUNTIF(tbl_Finance[Job Number],$C493&amp;"")&gt;1,", Job number used twice",""))="","Complete","Fix: "&amp;MID(IF(F493="",", Client","")&amp;IF(G493="",", Description","")&amp;IF(H493="",", Cost Centre","")&amp;IF(I493="",", Invoice Type","")&amp;IF(J493="",", Tax Code","")&amp;IF(O493="",", Expected Revenue","")&amp;IF(COUNTIF(tbl_Finance[Job Number],$C493&amp;"")&gt;1,", Job number used twice",""),3,300)))</f>
        <v/>
      </c>
      <c r="Q493" s="10">
        <f>IF($C493="","",IF(H493="","(no cost centre)",H493&amp;" - GL "&amp;IFERROR(INDEX(lst_CCtoGL,MATCH(H493,lst_CCforGL,0)),"?")))</f>
        <v/>
      </c>
      <c r="R493" s="11">
        <f>IF($C493="","",IFERROR(N(INDEX(tbl_Finance[Inc GST],MATCH($AU493,tbl_Finance[Row ID],0))),""))</f>
        <v/>
      </c>
      <c r="S493" s="37" t="n"/>
      <c r="T493" s="37" t="n"/>
      <c r="U493" s="37" t="n"/>
      <c r="V493" s="42" t="n"/>
      <c r="W493" s="37" t="n"/>
      <c r="X493" s="10">
        <f>IF(W493="","",IF(AND(LEFT(W493,4)&lt;&gt;"http",set_RMSBase=""),"",HYPERLINK(IF(LEFT(W493,4)="http",W493,set_RMSBase&amp;W493),"Open in RMS")))</f>
        <v/>
      </c>
      <c r="Y493" s="37" t="n"/>
      <c r="Z493" s="10">
        <f>IF(Y493="","",HYPERLINK(IF(LEFT(Y493,4)="http",Y493,set_QwilrBase&amp;Y493),"Open quote"))</f>
        <v/>
      </c>
      <c r="AA493" s="10">
        <f>IF(C493="","",C493)</f>
        <v/>
      </c>
      <c r="AB493" s="37" t="n"/>
      <c r="AC493" s="39" t="n"/>
      <c r="AD493" s="11">
        <f>IF(C493="","",N(L493)+N(AC493))</f>
        <v/>
      </c>
      <c r="AE493" s="43">
        <f>IFERROR(IF(N(AC493)=0,"",AC493/AD493),"")</f>
        <v/>
      </c>
      <c r="AF493" s="39" t="n"/>
      <c r="AG493" s="39" t="n"/>
      <c r="AH493" s="39" t="n"/>
      <c r="AI493" s="39" t="n"/>
      <c r="AJ493" s="11">
        <f>IF(C493="","",IF(H493="VIDEO",N(L493),0))</f>
        <v/>
      </c>
      <c r="AK493" s="43">
        <f>IFERROR(IF(N(L493)=0,"",AJ493/L493),"")</f>
        <v/>
      </c>
      <c r="AL493" s="11">
        <f>IF(C493="","",N(AF493)+N(AG493)+N(AH493)+N(AI493))</f>
        <v/>
      </c>
      <c r="AM493" s="11">
        <f>IF(C493="","",MAX(N(L493),N(O493))-N(AL493))</f>
        <v/>
      </c>
      <c r="AN493" s="43">
        <f>IFERROR(IF(MAX(N(L493),N(O493))=0,"",AM493/MAX(N(L493),N(O493))),"")</f>
        <v/>
      </c>
      <c r="AO493" s="41" t="n"/>
      <c r="AP493" s="41" t="n"/>
      <c r="AQ493" s="41" t="n"/>
      <c r="AR493" s="41" t="n"/>
      <c r="AS493" s="41" t="n"/>
      <c r="AT493" s="37" t="n"/>
      <c r="AU493" s="10" t="inlineStr">
        <is>
          <t>PRD-0489</t>
        </is>
      </c>
    </row>
    <row r="494">
      <c r="A494" s="16">
        <f>IF($C494="","",IFERROR(IF(INDEX(tbl_Finance[Latest Invoice Date],MATCH($AU494,tbl_Finance[Row ID],0))="","",INDEX(tbl_Finance[Latest Invoice Date],MATCH($AU494,tbl_Finance[Row ID],0))),""))</f>
        <v/>
      </c>
      <c r="B494" s="10">
        <f>IF($C494="","",IFERROR(INDEX(tbl_Finance[Invoice Numbers],MATCH($AU494,tbl_Finance[Row ID],0))&amp;"",""))</f>
        <v/>
      </c>
      <c r="C494" s="37" t="n"/>
      <c r="D494" s="10">
        <f>IF($C494="","",IF(COUNTIF(lst_Jobs,$C494&amp;"")&gt;0,"OK","CHECK"))</f>
        <v/>
      </c>
      <c r="E494" s="10">
        <f>IF($C494="","",IFERROR(INDEX(lst_JobName,MATCH($C494&amp;"",lst_Jobs,0)),""))</f>
        <v/>
      </c>
      <c r="F494" s="37" t="n"/>
      <c r="G494" s="37" t="n"/>
      <c r="H494" s="37" t="n"/>
      <c r="I494" s="37" t="n"/>
      <c r="J494" s="37" t="n"/>
      <c r="K494" s="38">
        <f>IF($C494="","",IFERROR(N(INDEX(tbl_Finance[Invoice Count],MATCH($AU494,tbl_Finance[Row ID],0))),""))</f>
        <v/>
      </c>
      <c r="L494" s="11">
        <f>IF($C494="","",IFERROR(N(INDEX(tbl_Finance[Xero Invoiced Ex GST],MATCH($AU494,tbl_Finance[Row ID],0))),""))</f>
        <v/>
      </c>
      <c r="M494" s="10">
        <f>IF($C494="","",IFERROR(INDEX(tbl_Finance[Compare],MATCH($AU494,tbl_Finance[Row ID],0))&amp;"",""))</f>
        <v/>
      </c>
      <c r="N494" s="11">
        <f>IF($C494="","",MAX(0,N(O494)-N(L494)))</f>
        <v/>
      </c>
      <c r="O494" s="39" t="n"/>
      <c r="P494" s="40">
        <f>IF($C494="","",IF((IF(F494="",", Client","")&amp;IF(G494="",", Description","")&amp;IF(H494="",", Cost Centre","")&amp;IF(I494="",", Invoice Type","")&amp;IF(J494="",", Tax Code","")&amp;IF(O494="",", Expected Revenue","")&amp;IF(COUNTIF(tbl_Finance[Job Number],$C494&amp;"")&gt;1,", Job number used twice",""))="","Complete","Fix: "&amp;MID(IF(F494="",", Client","")&amp;IF(G494="",", Description","")&amp;IF(H494="",", Cost Centre","")&amp;IF(I494="",", Invoice Type","")&amp;IF(J494="",", Tax Code","")&amp;IF(O494="",", Expected Revenue","")&amp;IF(COUNTIF(tbl_Finance[Job Number],$C494&amp;"")&gt;1,", Job number used twice",""),3,300)))</f>
        <v/>
      </c>
      <c r="Q494" s="10">
        <f>IF($C494="","",IF(H494="","(no cost centre)",H494&amp;" - GL "&amp;IFERROR(INDEX(lst_CCtoGL,MATCH(H494,lst_CCforGL,0)),"?")))</f>
        <v/>
      </c>
      <c r="R494" s="11">
        <f>IF($C494="","",IFERROR(N(INDEX(tbl_Finance[Inc GST],MATCH($AU494,tbl_Finance[Row ID],0))),""))</f>
        <v/>
      </c>
      <c r="S494" s="37" t="n"/>
      <c r="T494" s="37" t="n"/>
      <c r="U494" s="37" t="n"/>
      <c r="V494" s="42" t="n"/>
      <c r="W494" s="37" t="n"/>
      <c r="X494" s="10">
        <f>IF(W494="","",IF(AND(LEFT(W494,4)&lt;&gt;"http",set_RMSBase=""),"",HYPERLINK(IF(LEFT(W494,4)="http",W494,set_RMSBase&amp;W494),"Open in RMS")))</f>
        <v/>
      </c>
      <c r="Y494" s="37" t="n"/>
      <c r="Z494" s="10">
        <f>IF(Y494="","",HYPERLINK(IF(LEFT(Y494,4)="http",Y494,set_QwilrBase&amp;Y494),"Open quote"))</f>
        <v/>
      </c>
      <c r="AA494" s="10">
        <f>IF(C494="","",C494)</f>
        <v/>
      </c>
      <c r="AB494" s="37" t="n"/>
      <c r="AC494" s="39" t="n"/>
      <c r="AD494" s="11">
        <f>IF(C494="","",N(L494)+N(AC494))</f>
        <v/>
      </c>
      <c r="AE494" s="43">
        <f>IFERROR(IF(N(AC494)=0,"",AC494/AD494),"")</f>
        <v/>
      </c>
      <c r="AF494" s="39" t="n"/>
      <c r="AG494" s="39" t="n"/>
      <c r="AH494" s="39" t="n"/>
      <c r="AI494" s="39" t="n"/>
      <c r="AJ494" s="11">
        <f>IF(C494="","",IF(H494="VIDEO",N(L494),0))</f>
        <v/>
      </c>
      <c r="AK494" s="43">
        <f>IFERROR(IF(N(L494)=0,"",AJ494/L494),"")</f>
        <v/>
      </c>
      <c r="AL494" s="11">
        <f>IF(C494="","",N(AF494)+N(AG494)+N(AH494)+N(AI494))</f>
        <v/>
      </c>
      <c r="AM494" s="11">
        <f>IF(C494="","",MAX(N(L494),N(O494))-N(AL494))</f>
        <v/>
      </c>
      <c r="AN494" s="43">
        <f>IFERROR(IF(MAX(N(L494),N(O494))=0,"",AM494/MAX(N(L494),N(O494))),"")</f>
        <v/>
      </c>
      <c r="AO494" s="41" t="n"/>
      <c r="AP494" s="41" t="n"/>
      <c r="AQ494" s="41" t="n"/>
      <c r="AR494" s="41" t="n"/>
      <c r="AS494" s="41" t="n"/>
      <c r="AT494" s="37" t="n"/>
      <c r="AU494" s="10" t="inlineStr">
        <is>
          <t>PRD-0490</t>
        </is>
      </c>
    </row>
    <row r="495">
      <c r="A495" s="16">
        <f>IF($C495="","",IFERROR(IF(INDEX(tbl_Finance[Latest Invoice Date],MATCH($AU495,tbl_Finance[Row ID],0))="","",INDEX(tbl_Finance[Latest Invoice Date],MATCH($AU495,tbl_Finance[Row ID],0))),""))</f>
        <v/>
      </c>
      <c r="B495" s="10">
        <f>IF($C495="","",IFERROR(INDEX(tbl_Finance[Invoice Numbers],MATCH($AU495,tbl_Finance[Row ID],0))&amp;"",""))</f>
        <v/>
      </c>
      <c r="C495" s="37" t="n"/>
      <c r="D495" s="10">
        <f>IF($C495="","",IF(COUNTIF(lst_Jobs,$C495&amp;"")&gt;0,"OK","CHECK"))</f>
        <v/>
      </c>
      <c r="E495" s="10">
        <f>IF($C495="","",IFERROR(INDEX(lst_JobName,MATCH($C495&amp;"",lst_Jobs,0)),""))</f>
        <v/>
      </c>
      <c r="F495" s="37" t="n"/>
      <c r="G495" s="37" t="n"/>
      <c r="H495" s="37" t="n"/>
      <c r="I495" s="37" t="n"/>
      <c r="J495" s="37" t="n"/>
      <c r="K495" s="38">
        <f>IF($C495="","",IFERROR(N(INDEX(tbl_Finance[Invoice Count],MATCH($AU495,tbl_Finance[Row ID],0))),""))</f>
        <v/>
      </c>
      <c r="L495" s="11">
        <f>IF($C495="","",IFERROR(N(INDEX(tbl_Finance[Xero Invoiced Ex GST],MATCH($AU495,tbl_Finance[Row ID],0))),""))</f>
        <v/>
      </c>
      <c r="M495" s="10">
        <f>IF($C495="","",IFERROR(INDEX(tbl_Finance[Compare],MATCH($AU495,tbl_Finance[Row ID],0))&amp;"",""))</f>
        <v/>
      </c>
      <c r="N495" s="11">
        <f>IF($C495="","",MAX(0,N(O495)-N(L495)))</f>
        <v/>
      </c>
      <c r="O495" s="39" t="n"/>
      <c r="P495" s="40">
        <f>IF($C495="","",IF((IF(F495="",", Client","")&amp;IF(G495="",", Description","")&amp;IF(H495="",", Cost Centre","")&amp;IF(I495="",", Invoice Type","")&amp;IF(J495="",", Tax Code","")&amp;IF(O495="",", Expected Revenue","")&amp;IF(COUNTIF(tbl_Finance[Job Number],$C495&amp;"")&gt;1,", Job number used twice",""))="","Complete","Fix: "&amp;MID(IF(F495="",", Client","")&amp;IF(G495="",", Description","")&amp;IF(H495="",", Cost Centre","")&amp;IF(I495="",", Invoice Type","")&amp;IF(J495="",", Tax Code","")&amp;IF(O495="",", Expected Revenue","")&amp;IF(COUNTIF(tbl_Finance[Job Number],$C495&amp;"")&gt;1,", Job number used twice",""),3,300)))</f>
        <v/>
      </c>
      <c r="Q495" s="10">
        <f>IF($C495="","",IF(H495="","(no cost centre)",H495&amp;" - GL "&amp;IFERROR(INDEX(lst_CCtoGL,MATCH(H495,lst_CCforGL,0)),"?")))</f>
        <v/>
      </c>
      <c r="R495" s="11">
        <f>IF($C495="","",IFERROR(N(INDEX(tbl_Finance[Inc GST],MATCH($AU495,tbl_Finance[Row ID],0))),""))</f>
        <v/>
      </c>
      <c r="S495" s="37" t="n"/>
      <c r="T495" s="37" t="n"/>
      <c r="U495" s="37" t="n"/>
      <c r="V495" s="42" t="n"/>
      <c r="W495" s="37" t="n"/>
      <c r="X495" s="10">
        <f>IF(W495="","",IF(AND(LEFT(W495,4)&lt;&gt;"http",set_RMSBase=""),"",HYPERLINK(IF(LEFT(W495,4)="http",W495,set_RMSBase&amp;W495),"Open in RMS")))</f>
        <v/>
      </c>
      <c r="Y495" s="37" t="n"/>
      <c r="Z495" s="10">
        <f>IF(Y495="","",HYPERLINK(IF(LEFT(Y495,4)="http",Y495,set_QwilrBase&amp;Y495),"Open quote"))</f>
        <v/>
      </c>
      <c r="AA495" s="10">
        <f>IF(C495="","",C495)</f>
        <v/>
      </c>
      <c r="AB495" s="37" t="n"/>
      <c r="AC495" s="39" t="n"/>
      <c r="AD495" s="11">
        <f>IF(C495="","",N(L495)+N(AC495))</f>
        <v/>
      </c>
      <c r="AE495" s="43">
        <f>IFERROR(IF(N(AC495)=0,"",AC495/AD495),"")</f>
        <v/>
      </c>
      <c r="AF495" s="39" t="n"/>
      <c r="AG495" s="39" t="n"/>
      <c r="AH495" s="39" t="n"/>
      <c r="AI495" s="39" t="n"/>
      <c r="AJ495" s="11">
        <f>IF(C495="","",IF(H495="VIDEO",N(L495),0))</f>
        <v/>
      </c>
      <c r="AK495" s="43">
        <f>IFERROR(IF(N(L495)=0,"",AJ495/L495),"")</f>
        <v/>
      </c>
      <c r="AL495" s="11">
        <f>IF(C495="","",N(AF495)+N(AG495)+N(AH495)+N(AI495))</f>
        <v/>
      </c>
      <c r="AM495" s="11">
        <f>IF(C495="","",MAX(N(L495),N(O495))-N(AL495))</f>
        <v/>
      </c>
      <c r="AN495" s="43">
        <f>IFERROR(IF(MAX(N(L495),N(O495))=0,"",AM495/MAX(N(L495),N(O495))),"")</f>
        <v/>
      </c>
      <c r="AO495" s="41" t="n"/>
      <c r="AP495" s="41" t="n"/>
      <c r="AQ495" s="41" t="n"/>
      <c r="AR495" s="41" t="n"/>
      <c r="AS495" s="41" t="n"/>
      <c r="AT495" s="37" t="n"/>
      <c r="AU495" s="10" t="inlineStr">
        <is>
          <t>PRD-0491</t>
        </is>
      </c>
    </row>
    <row r="496">
      <c r="A496" s="16">
        <f>IF($C496="","",IFERROR(IF(INDEX(tbl_Finance[Latest Invoice Date],MATCH($AU496,tbl_Finance[Row ID],0))="","",INDEX(tbl_Finance[Latest Invoice Date],MATCH($AU496,tbl_Finance[Row ID],0))),""))</f>
        <v/>
      </c>
      <c r="B496" s="10">
        <f>IF($C496="","",IFERROR(INDEX(tbl_Finance[Invoice Numbers],MATCH($AU496,tbl_Finance[Row ID],0))&amp;"",""))</f>
        <v/>
      </c>
      <c r="C496" s="37" t="n"/>
      <c r="D496" s="10">
        <f>IF($C496="","",IF(COUNTIF(lst_Jobs,$C496&amp;"")&gt;0,"OK","CHECK"))</f>
        <v/>
      </c>
      <c r="E496" s="10">
        <f>IF($C496="","",IFERROR(INDEX(lst_JobName,MATCH($C496&amp;"",lst_Jobs,0)),""))</f>
        <v/>
      </c>
      <c r="F496" s="37" t="n"/>
      <c r="G496" s="37" t="n"/>
      <c r="H496" s="37" t="n"/>
      <c r="I496" s="37" t="n"/>
      <c r="J496" s="37" t="n"/>
      <c r="K496" s="38">
        <f>IF($C496="","",IFERROR(N(INDEX(tbl_Finance[Invoice Count],MATCH($AU496,tbl_Finance[Row ID],0))),""))</f>
        <v/>
      </c>
      <c r="L496" s="11">
        <f>IF($C496="","",IFERROR(N(INDEX(tbl_Finance[Xero Invoiced Ex GST],MATCH($AU496,tbl_Finance[Row ID],0))),""))</f>
        <v/>
      </c>
      <c r="M496" s="10">
        <f>IF($C496="","",IFERROR(INDEX(tbl_Finance[Compare],MATCH($AU496,tbl_Finance[Row ID],0))&amp;"",""))</f>
        <v/>
      </c>
      <c r="N496" s="11">
        <f>IF($C496="","",MAX(0,N(O496)-N(L496)))</f>
        <v/>
      </c>
      <c r="O496" s="39" t="n"/>
      <c r="P496" s="40">
        <f>IF($C496="","",IF((IF(F496="",", Client","")&amp;IF(G496="",", Description","")&amp;IF(H496="",", Cost Centre","")&amp;IF(I496="",", Invoice Type","")&amp;IF(J496="",", Tax Code","")&amp;IF(O496="",", Expected Revenue","")&amp;IF(COUNTIF(tbl_Finance[Job Number],$C496&amp;"")&gt;1,", Job number used twice",""))="","Complete","Fix: "&amp;MID(IF(F496="",", Client","")&amp;IF(G496="",", Description","")&amp;IF(H496="",", Cost Centre","")&amp;IF(I496="",", Invoice Type","")&amp;IF(J496="",", Tax Code","")&amp;IF(O496="",", Expected Revenue","")&amp;IF(COUNTIF(tbl_Finance[Job Number],$C496&amp;"")&gt;1,", Job number used twice",""),3,300)))</f>
        <v/>
      </c>
      <c r="Q496" s="10">
        <f>IF($C496="","",IF(H496="","(no cost centre)",H496&amp;" - GL "&amp;IFERROR(INDEX(lst_CCtoGL,MATCH(H496,lst_CCforGL,0)),"?")))</f>
        <v/>
      </c>
      <c r="R496" s="11">
        <f>IF($C496="","",IFERROR(N(INDEX(tbl_Finance[Inc GST],MATCH($AU496,tbl_Finance[Row ID],0))),""))</f>
        <v/>
      </c>
      <c r="S496" s="37" t="n"/>
      <c r="T496" s="37" t="n"/>
      <c r="U496" s="37" t="n"/>
      <c r="V496" s="42" t="n"/>
      <c r="W496" s="37" t="n"/>
      <c r="X496" s="10">
        <f>IF(W496="","",IF(AND(LEFT(W496,4)&lt;&gt;"http",set_RMSBase=""),"",HYPERLINK(IF(LEFT(W496,4)="http",W496,set_RMSBase&amp;W496),"Open in RMS")))</f>
        <v/>
      </c>
      <c r="Y496" s="37" t="n"/>
      <c r="Z496" s="10">
        <f>IF(Y496="","",HYPERLINK(IF(LEFT(Y496,4)="http",Y496,set_QwilrBase&amp;Y496),"Open quote"))</f>
        <v/>
      </c>
      <c r="AA496" s="10">
        <f>IF(C496="","",C496)</f>
        <v/>
      </c>
      <c r="AB496" s="37" t="n"/>
      <c r="AC496" s="39" t="n"/>
      <c r="AD496" s="11">
        <f>IF(C496="","",N(L496)+N(AC496))</f>
        <v/>
      </c>
      <c r="AE496" s="43">
        <f>IFERROR(IF(N(AC496)=0,"",AC496/AD496),"")</f>
        <v/>
      </c>
      <c r="AF496" s="39" t="n"/>
      <c r="AG496" s="39" t="n"/>
      <c r="AH496" s="39" t="n"/>
      <c r="AI496" s="39" t="n"/>
      <c r="AJ496" s="11">
        <f>IF(C496="","",IF(H496="VIDEO",N(L496),0))</f>
        <v/>
      </c>
      <c r="AK496" s="43">
        <f>IFERROR(IF(N(L496)=0,"",AJ496/L496),"")</f>
        <v/>
      </c>
      <c r="AL496" s="11">
        <f>IF(C496="","",N(AF496)+N(AG496)+N(AH496)+N(AI496))</f>
        <v/>
      </c>
      <c r="AM496" s="11">
        <f>IF(C496="","",MAX(N(L496),N(O496))-N(AL496))</f>
        <v/>
      </c>
      <c r="AN496" s="43">
        <f>IFERROR(IF(MAX(N(L496),N(O496))=0,"",AM496/MAX(N(L496),N(O496))),"")</f>
        <v/>
      </c>
      <c r="AO496" s="41" t="n"/>
      <c r="AP496" s="41" t="n"/>
      <c r="AQ496" s="41" t="n"/>
      <c r="AR496" s="41" t="n"/>
      <c r="AS496" s="41" t="n"/>
      <c r="AT496" s="37" t="n"/>
      <c r="AU496" s="10" t="inlineStr">
        <is>
          <t>PRD-0492</t>
        </is>
      </c>
    </row>
    <row r="497">
      <c r="A497" s="16">
        <f>IF($C497="","",IFERROR(IF(INDEX(tbl_Finance[Latest Invoice Date],MATCH($AU497,tbl_Finance[Row ID],0))="","",INDEX(tbl_Finance[Latest Invoice Date],MATCH($AU497,tbl_Finance[Row ID],0))),""))</f>
        <v/>
      </c>
      <c r="B497" s="10">
        <f>IF($C497="","",IFERROR(INDEX(tbl_Finance[Invoice Numbers],MATCH($AU497,tbl_Finance[Row ID],0))&amp;"",""))</f>
        <v/>
      </c>
      <c r="C497" s="37" t="n"/>
      <c r="D497" s="10">
        <f>IF($C497="","",IF(COUNTIF(lst_Jobs,$C497&amp;"")&gt;0,"OK","CHECK"))</f>
        <v/>
      </c>
      <c r="E497" s="10">
        <f>IF($C497="","",IFERROR(INDEX(lst_JobName,MATCH($C497&amp;"",lst_Jobs,0)),""))</f>
        <v/>
      </c>
      <c r="F497" s="37" t="n"/>
      <c r="G497" s="37" t="n"/>
      <c r="H497" s="37" t="n"/>
      <c r="I497" s="37" t="n"/>
      <c r="J497" s="37" t="n"/>
      <c r="K497" s="38">
        <f>IF($C497="","",IFERROR(N(INDEX(tbl_Finance[Invoice Count],MATCH($AU497,tbl_Finance[Row ID],0))),""))</f>
        <v/>
      </c>
      <c r="L497" s="11">
        <f>IF($C497="","",IFERROR(N(INDEX(tbl_Finance[Xero Invoiced Ex GST],MATCH($AU497,tbl_Finance[Row ID],0))),""))</f>
        <v/>
      </c>
      <c r="M497" s="10">
        <f>IF($C497="","",IFERROR(INDEX(tbl_Finance[Compare],MATCH($AU497,tbl_Finance[Row ID],0))&amp;"",""))</f>
        <v/>
      </c>
      <c r="N497" s="11">
        <f>IF($C497="","",MAX(0,N(O497)-N(L497)))</f>
        <v/>
      </c>
      <c r="O497" s="39" t="n"/>
      <c r="P497" s="40">
        <f>IF($C497="","",IF((IF(F497="",", Client","")&amp;IF(G497="",", Description","")&amp;IF(H497="",", Cost Centre","")&amp;IF(I497="",", Invoice Type","")&amp;IF(J497="",", Tax Code","")&amp;IF(O497="",", Expected Revenue","")&amp;IF(COUNTIF(tbl_Finance[Job Number],$C497&amp;"")&gt;1,", Job number used twice",""))="","Complete","Fix: "&amp;MID(IF(F497="",", Client","")&amp;IF(G497="",", Description","")&amp;IF(H497="",", Cost Centre","")&amp;IF(I497="",", Invoice Type","")&amp;IF(J497="",", Tax Code","")&amp;IF(O497="",", Expected Revenue","")&amp;IF(COUNTIF(tbl_Finance[Job Number],$C497&amp;"")&gt;1,", Job number used twice",""),3,300)))</f>
        <v/>
      </c>
      <c r="Q497" s="10">
        <f>IF($C497="","",IF(H497="","(no cost centre)",H497&amp;" - GL "&amp;IFERROR(INDEX(lst_CCtoGL,MATCH(H497,lst_CCforGL,0)),"?")))</f>
        <v/>
      </c>
      <c r="R497" s="11">
        <f>IF($C497="","",IFERROR(N(INDEX(tbl_Finance[Inc GST],MATCH($AU497,tbl_Finance[Row ID],0))),""))</f>
        <v/>
      </c>
      <c r="S497" s="37" t="n"/>
      <c r="T497" s="37" t="n"/>
      <c r="U497" s="37" t="n"/>
      <c r="V497" s="42" t="n"/>
      <c r="W497" s="37" t="n"/>
      <c r="X497" s="10">
        <f>IF(W497="","",IF(AND(LEFT(W497,4)&lt;&gt;"http",set_RMSBase=""),"",HYPERLINK(IF(LEFT(W497,4)="http",W497,set_RMSBase&amp;W497),"Open in RMS")))</f>
        <v/>
      </c>
      <c r="Y497" s="37" t="n"/>
      <c r="Z497" s="10">
        <f>IF(Y497="","",HYPERLINK(IF(LEFT(Y497,4)="http",Y497,set_QwilrBase&amp;Y497),"Open quote"))</f>
        <v/>
      </c>
      <c r="AA497" s="10">
        <f>IF(C497="","",C497)</f>
        <v/>
      </c>
      <c r="AB497" s="37" t="n"/>
      <c r="AC497" s="39" t="n"/>
      <c r="AD497" s="11">
        <f>IF(C497="","",N(L497)+N(AC497))</f>
        <v/>
      </c>
      <c r="AE497" s="43">
        <f>IFERROR(IF(N(AC497)=0,"",AC497/AD497),"")</f>
        <v/>
      </c>
      <c r="AF497" s="39" t="n"/>
      <c r="AG497" s="39" t="n"/>
      <c r="AH497" s="39" t="n"/>
      <c r="AI497" s="39" t="n"/>
      <c r="AJ497" s="11">
        <f>IF(C497="","",IF(H497="VIDEO",N(L497),0))</f>
        <v/>
      </c>
      <c r="AK497" s="43">
        <f>IFERROR(IF(N(L497)=0,"",AJ497/L497),"")</f>
        <v/>
      </c>
      <c r="AL497" s="11">
        <f>IF(C497="","",N(AF497)+N(AG497)+N(AH497)+N(AI497))</f>
        <v/>
      </c>
      <c r="AM497" s="11">
        <f>IF(C497="","",MAX(N(L497),N(O497))-N(AL497))</f>
        <v/>
      </c>
      <c r="AN497" s="43">
        <f>IFERROR(IF(MAX(N(L497),N(O497))=0,"",AM497/MAX(N(L497),N(O497))),"")</f>
        <v/>
      </c>
      <c r="AO497" s="41" t="n"/>
      <c r="AP497" s="41" t="n"/>
      <c r="AQ497" s="41" t="n"/>
      <c r="AR497" s="41" t="n"/>
      <c r="AS497" s="41" t="n"/>
      <c r="AT497" s="37" t="n"/>
      <c r="AU497" s="10" t="inlineStr">
        <is>
          <t>PRD-0493</t>
        </is>
      </c>
    </row>
    <row r="498">
      <c r="A498" s="16">
        <f>IF($C498="","",IFERROR(IF(INDEX(tbl_Finance[Latest Invoice Date],MATCH($AU498,tbl_Finance[Row ID],0))="","",INDEX(tbl_Finance[Latest Invoice Date],MATCH($AU498,tbl_Finance[Row ID],0))),""))</f>
        <v/>
      </c>
      <c r="B498" s="10">
        <f>IF($C498="","",IFERROR(INDEX(tbl_Finance[Invoice Numbers],MATCH($AU498,tbl_Finance[Row ID],0))&amp;"",""))</f>
        <v/>
      </c>
      <c r="C498" s="37" t="n"/>
      <c r="D498" s="10">
        <f>IF($C498="","",IF(COUNTIF(lst_Jobs,$C498&amp;"")&gt;0,"OK","CHECK"))</f>
        <v/>
      </c>
      <c r="E498" s="10">
        <f>IF($C498="","",IFERROR(INDEX(lst_JobName,MATCH($C498&amp;"",lst_Jobs,0)),""))</f>
        <v/>
      </c>
      <c r="F498" s="37" t="n"/>
      <c r="G498" s="37" t="n"/>
      <c r="H498" s="37" t="n"/>
      <c r="I498" s="37" t="n"/>
      <c r="J498" s="37" t="n"/>
      <c r="K498" s="38">
        <f>IF($C498="","",IFERROR(N(INDEX(tbl_Finance[Invoice Count],MATCH($AU498,tbl_Finance[Row ID],0))),""))</f>
        <v/>
      </c>
      <c r="L498" s="11">
        <f>IF($C498="","",IFERROR(N(INDEX(tbl_Finance[Xero Invoiced Ex GST],MATCH($AU498,tbl_Finance[Row ID],0))),""))</f>
        <v/>
      </c>
      <c r="M498" s="10">
        <f>IF($C498="","",IFERROR(INDEX(tbl_Finance[Compare],MATCH($AU498,tbl_Finance[Row ID],0))&amp;"",""))</f>
        <v/>
      </c>
      <c r="N498" s="11">
        <f>IF($C498="","",MAX(0,N(O498)-N(L498)))</f>
        <v/>
      </c>
      <c r="O498" s="39" t="n"/>
      <c r="P498" s="40">
        <f>IF($C498="","",IF((IF(F498="",", Client","")&amp;IF(G498="",", Description","")&amp;IF(H498="",", Cost Centre","")&amp;IF(I498="",", Invoice Type","")&amp;IF(J498="",", Tax Code","")&amp;IF(O498="",", Expected Revenue","")&amp;IF(COUNTIF(tbl_Finance[Job Number],$C498&amp;"")&gt;1,", Job number used twice",""))="","Complete","Fix: "&amp;MID(IF(F498="",", Client","")&amp;IF(G498="",", Description","")&amp;IF(H498="",", Cost Centre","")&amp;IF(I498="",", Invoice Type","")&amp;IF(J498="",", Tax Code","")&amp;IF(O498="",", Expected Revenue","")&amp;IF(COUNTIF(tbl_Finance[Job Number],$C498&amp;"")&gt;1,", Job number used twice",""),3,300)))</f>
        <v/>
      </c>
      <c r="Q498" s="10">
        <f>IF($C498="","",IF(H498="","(no cost centre)",H498&amp;" - GL "&amp;IFERROR(INDEX(lst_CCtoGL,MATCH(H498,lst_CCforGL,0)),"?")))</f>
        <v/>
      </c>
      <c r="R498" s="11">
        <f>IF($C498="","",IFERROR(N(INDEX(tbl_Finance[Inc GST],MATCH($AU498,tbl_Finance[Row ID],0))),""))</f>
        <v/>
      </c>
      <c r="S498" s="37" t="n"/>
      <c r="T498" s="37" t="n"/>
      <c r="U498" s="37" t="n"/>
      <c r="V498" s="42" t="n"/>
      <c r="W498" s="37" t="n"/>
      <c r="X498" s="10">
        <f>IF(W498="","",IF(AND(LEFT(W498,4)&lt;&gt;"http",set_RMSBase=""),"",HYPERLINK(IF(LEFT(W498,4)="http",W498,set_RMSBase&amp;W498),"Open in RMS")))</f>
        <v/>
      </c>
      <c r="Y498" s="37" t="n"/>
      <c r="Z498" s="10">
        <f>IF(Y498="","",HYPERLINK(IF(LEFT(Y498,4)="http",Y498,set_QwilrBase&amp;Y498),"Open quote"))</f>
        <v/>
      </c>
      <c r="AA498" s="10">
        <f>IF(C498="","",C498)</f>
        <v/>
      </c>
      <c r="AB498" s="37" t="n"/>
      <c r="AC498" s="39" t="n"/>
      <c r="AD498" s="11">
        <f>IF(C498="","",N(L498)+N(AC498))</f>
        <v/>
      </c>
      <c r="AE498" s="43">
        <f>IFERROR(IF(N(AC498)=0,"",AC498/AD498),"")</f>
        <v/>
      </c>
      <c r="AF498" s="39" t="n"/>
      <c r="AG498" s="39" t="n"/>
      <c r="AH498" s="39" t="n"/>
      <c r="AI498" s="39" t="n"/>
      <c r="AJ498" s="11">
        <f>IF(C498="","",IF(H498="VIDEO",N(L498),0))</f>
        <v/>
      </c>
      <c r="AK498" s="43">
        <f>IFERROR(IF(N(L498)=0,"",AJ498/L498),"")</f>
        <v/>
      </c>
      <c r="AL498" s="11">
        <f>IF(C498="","",N(AF498)+N(AG498)+N(AH498)+N(AI498))</f>
        <v/>
      </c>
      <c r="AM498" s="11">
        <f>IF(C498="","",MAX(N(L498),N(O498))-N(AL498))</f>
        <v/>
      </c>
      <c r="AN498" s="43">
        <f>IFERROR(IF(MAX(N(L498),N(O498))=0,"",AM498/MAX(N(L498),N(O498))),"")</f>
        <v/>
      </c>
      <c r="AO498" s="41" t="n"/>
      <c r="AP498" s="41" t="n"/>
      <c r="AQ498" s="41" t="n"/>
      <c r="AR498" s="41" t="n"/>
      <c r="AS498" s="41" t="n"/>
      <c r="AT498" s="37" t="n"/>
      <c r="AU498" s="10" t="inlineStr">
        <is>
          <t>PRD-0494</t>
        </is>
      </c>
    </row>
    <row r="499">
      <c r="A499" s="16">
        <f>IF($C499="","",IFERROR(IF(INDEX(tbl_Finance[Latest Invoice Date],MATCH($AU499,tbl_Finance[Row ID],0))="","",INDEX(tbl_Finance[Latest Invoice Date],MATCH($AU499,tbl_Finance[Row ID],0))),""))</f>
        <v/>
      </c>
      <c r="B499" s="10">
        <f>IF($C499="","",IFERROR(INDEX(tbl_Finance[Invoice Numbers],MATCH($AU499,tbl_Finance[Row ID],0))&amp;"",""))</f>
        <v/>
      </c>
      <c r="C499" s="37" t="n"/>
      <c r="D499" s="10">
        <f>IF($C499="","",IF(COUNTIF(lst_Jobs,$C499&amp;"")&gt;0,"OK","CHECK"))</f>
        <v/>
      </c>
      <c r="E499" s="10">
        <f>IF($C499="","",IFERROR(INDEX(lst_JobName,MATCH($C499&amp;"",lst_Jobs,0)),""))</f>
        <v/>
      </c>
      <c r="F499" s="37" t="n"/>
      <c r="G499" s="37" t="n"/>
      <c r="H499" s="37" t="n"/>
      <c r="I499" s="37" t="n"/>
      <c r="J499" s="37" t="n"/>
      <c r="K499" s="38">
        <f>IF($C499="","",IFERROR(N(INDEX(tbl_Finance[Invoice Count],MATCH($AU499,tbl_Finance[Row ID],0))),""))</f>
        <v/>
      </c>
      <c r="L499" s="11">
        <f>IF($C499="","",IFERROR(N(INDEX(tbl_Finance[Xero Invoiced Ex GST],MATCH($AU499,tbl_Finance[Row ID],0))),""))</f>
        <v/>
      </c>
      <c r="M499" s="10">
        <f>IF($C499="","",IFERROR(INDEX(tbl_Finance[Compare],MATCH($AU499,tbl_Finance[Row ID],0))&amp;"",""))</f>
        <v/>
      </c>
      <c r="N499" s="11">
        <f>IF($C499="","",MAX(0,N(O499)-N(L499)))</f>
        <v/>
      </c>
      <c r="O499" s="39" t="n"/>
      <c r="P499" s="40">
        <f>IF($C499="","",IF((IF(F499="",", Client","")&amp;IF(G499="",", Description","")&amp;IF(H499="",", Cost Centre","")&amp;IF(I499="",", Invoice Type","")&amp;IF(J499="",", Tax Code","")&amp;IF(O499="",", Expected Revenue","")&amp;IF(COUNTIF(tbl_Finance[Job Number],$C499&amp;"")&gt;1,", Job number used twice",""))="","Complete","Fix: "&amp;MID(IF(F499="",", Client","")&amp;IF(G499="",", Description","")&amp;IF(H499="",", Cost Centre","")&amp;IF(I499="",", Invoice Type","")&amp;IF(J499="",", Tax Code","")&amp;IF(O499="",", Expected Revenue","")&amp;IF(COUNTIF(tbl_Finance[Job Number],$C499&amp;"")&gt;1,", Job number used twice",""),3,300)))</f>
        <v/>
      </c>
      <c r="Q499" s="10">
        <f>IF($C499="","",IF(H499="","(no cost centre)",H499&amp;" - GL "&amp;IFERROR(INDEX(lst_CCtoGL,MATCH(H499,lst_CCforGL,0)),"?")))</f>
        <v/>
      </c>
      <c r="R499" s="11">
        <f>IF($C499="","",IFERROR(N(INDEX(tbl_Finance[Inc GST],MATCH($AU499,tbl_Finance[Row ID],0))),""))</f>
        <v/>
      </c>
      <c r="S499" s="37" t="n"/>
      <c r="T499" s="37" t="n"/>
      <c r="U499" s="37" t="n"/>
      <c r="V499" s="42" t="n"/>
      <c r="W499" s="37" t="n"/>
      <c r="X499" s="10">
        <f>IF(W499="","",IF(AND(LEFT(W499,4)&lt;&gt;"http",set_RMSBase=""),"",HYPERLINK(IF(LEFT(W499,4)="http",W499,set_RMSBase&amp;W499),"Open in RMS")))</f>
        <v/>
      </c>
      <c r="Y499" s="37" t="n"/>
      <c r="Z499" s="10">
        <f>IF(Y499="","",HYPERLINK(IF(LEFT(Y499,4)="http",Y499,set_QwilrBase&amp;Y499),"Open quote"))</f>
        <v/>
      </c>
      <c r="AA499" s="10">
        <f>IF(C499="","",C499)</f>
        <v/>
      </c>
      <c r="AB499" s="37" t="n"/>
      <c r="AC499" s="39" t="n"/>
      <c r="AD499" s="11">
        <f>IF(C499="","",N(L499)+N(AC499))</f>
        <v/>
      </c>
      <c r="AE499" s="43">
        <f>IFERROR(IF(N(AC499)=0,"",AC499/AD499),"")</f>
        <v/>
      </c>
      <c r="AF499" s="39" t="n"/>
      <c r="AG499" s="39" t="n"/>
      <c r="AH499" s="39" t="n"/>
      <c r="AI499" s="39" t="n"/>
      <c r="AJ499" s="11">
        <f>IF(C499="","",IF(H499="VIDEO",N(L499),0))</f>
        <v/>
      </c>
      <c r="AK499" s="43">
        <f>IFERROR(IF(N(L499)=0,"",AJ499/L499),"")</f>
        <v/>
      </c>
      <c r="AL499" s="11">
        <f>IF(C499="","",N(AF499)+N(AG499)+N(AH499)+N(AI499))</f>
        <v/>
      </c>
      <c r="AM499" s="11">
        <f>IF(C499="","",MAX(N(L499),N(O499))-N(AL499))</f>
        <v/>
      </c>
      <c r="AN499" s="43">
        <f>IFERROR(IF(MAX(N(L499),N(O499))=0,"",AM499/MAX(N(L499),N(O499))),"")</f>
        <v/>
      </c>
      <c r="AO499" s="41" t="n"/>
      <c r="AP499" s="41" t="n"/>
      <c r="AQ499" s="41" t="n"/>
      <c r="AR499" s="41" t="n"/>
      <c r="AS499" s="41" t="n"/>
      <c r="AT499" s="37" t="n"/>
      <c r="AU499" s="10" t="inlineStr">
        <is>
          <t>PRD-0495</t>
        </is>
      </c>
    </row>
    <row r="500">
      <c r="A500" s="16">
        <f>IF($C500="","",IFERROR(IF(INDEX(tbl_Finance[Latest Invoice Date],MATCH($AU500,tbl_Finance[Row ID],0))="","",INDEX(tbl_Finance[Latest Invoice Date],MATCH($AU500,tbl_Finance[Row ID],0))),""))</f>
        <v/>
      </c>
      <c r="B500" s="10">
        <f>IF($C500="","",IFERROR(INDEX(tbl_Finance[Invoice Numbers],MATCH($AU500,tbl_Finance[Row ID],0))&amp;"",""))</f>
        <v/>
      </c>
      <c r="C500" s="37" t="n"/>
      <c r="D500" s="10">
        <f>IF($C500="","",IF(COUNTIF(lst_Jobs,$C500&amp;"")&gt;0,"OK","CHECK"))</f>
        <v/>
      </c>
      <c r="E500" s="10">
        <f>IF($C500="","",IFERROR(INDEX(lst_JobName,MATCH($C500&amp;"",lst_Jobs,0)),""))</f>
        <v/>
      </c>
      <c r="F500" s="37" t="n"/>
      <c r="G500" s="37" t="n"/>
      <c r="H500" s="37" t="n"/>
      <c r="I500" s="37" t="n"/>
      <c r="J500" s="37" t="n"/>
      <c r="K500" s="38">
        <f>IF($C500="","",IFERROR(N(INDEX(tbl_Finance[Invoice Count],MATCH($AU500,tbl_Finance[Row ID],0))),""))</f>
        <v/>
      </c>
      <c r="L500" s="11">
        <f>IF($C500="","",IFERROR(N(INDEX(tbl_Finance[Xero Invoiced Ex GST],MATCH($AU500,tbl_Finance[Row ID],0))),""))</f>
        <v/>
      </c>
      <c r="M500" s="10">
        <f>IF($C500="","",IFERROR(INDEX(tbl_Finance[Compare],MATCH($AU500,tbl_Finance[Row ID],0))&amp;"",""))</f>
        <v/>
      </c>
      <c r="N500" s="11">
        <f>IF($C500="","",MAX(0,N(O500)-N(L500)))</f>
        <v/>
      </c>
      <c r="O500" s="39" t="n"/>
      <c r="P500" s="40">
        <f>IF($C500="","",IF((IF(F500="",", Client","")&amp;IF(G500="",", Description","")&amp;IF(H500="",", Cost Centre","")&amp;IF(I500="",", Invoice Type","")&amp;IF(J500="",", Tax Code","")&amp;IF(O500="",", Expected Revenue","")&amp;IF(COUNTIF(tbl_Finance[Job Number],$C500&amp;"")&gt;1,", Job number used twice",""))="","Complete","Fix: "&amp;MID(IF(F500="",", Client","")&amp;IF(G500="",", Description","")&amp;IF(H500="",", Cost Centre","")&amp;IF(I500="",", Invoice Type","")&amp;IF(J500="",", Tax Code","")&amp;IF(O500="",", Expected Revenue","")&amp;IF(COUNTIF(tbl_Finance[Job Number],$C500&amp;"")&gt;1,", Job number used twice",""),3,300)))</f>
        <v/>
      </c>
      <c r="Q500" s="10">
        <f>IF($C500="","",IF(H500="","(no cost centre)",H500&amp;" - GL "&amp;IFERROR(INDEX(lst_CCtoGL,MATCH(H500,lst_CCforGL,0)),"?")))</f>
        <v/>
      </c>
      <c r="R500" s="11">
        <f>IF($C500="","",IFERROR(N(INDEX(tbl_Finance[Inc GST],MATCH($AU500,tbl_Finance[Row ID],0))),""))</f>
        <v/>
      </c>
      <c r="S500" s="37" t="n"/>
      <c r="T500" s="37" t="n"/>
      <c r="U500" s="37" t="n"/>
      <c r="V500" s="42" t="n"/>
      <c r="W500" s="37" t="n"/>
      <c r="X500" s="10">
        <f>IF(W500="","",IF(AND(LEFT(W500,4)&lt;&gt;"http",set_RMSBase=""),"",HYPERLINK(IF(LEFT(W500,4)="http",W500,set_RMSBase&amp;W500),"Open in RMS")))</f>
        <v/>
      </c>
      <c r="Y500" s="37" t="n"/>
      <c r="Z500" s="10">
        <f>IF(Y500="","",HYPERLINK(IF(LEFT(Y500,4)="http",Y500,set_QwilrBase&amp;Y500),"Open quote"))</f>
        <v/>
      </c>
      <c r="AA500" s="10">
        <f>IF(C500="","",C500)</f>
        <v/>
      </c>
      <c r="AB500" s="37" t="n"/>
      <c r="AC500" s="39" t="n"/>
      <c r="AD500" s="11">
        <f>IF(C500="","",N(L500)+N(AC500))</f>
        <v/>
      </c>
      <c r="AE500" s="43">
        <f>IFERROR(IF(N(AC500)=0,"",AC500/AD500),"")</f>
        <v/>
      </c>
      <c r="AF500" s="39" t="n"/>
      <c r="AG500" s="39" t="n"/>
      <c r="AH500" s="39" t="n"/>
      <c r="AI500" s="39" t="n"/>
      <c r="AJ500" s="11">
        <f>IF(C500="","",IF(H500="VIDEO",N(L500),0))</f>
        <v/>
      </c>
      <c r="AK500" s="43">
        <f>IFERROR(IF(N(L500)=0,"",AJ500/L500),"")</f>
        <v/>
      </c>
      <c r="AL500" s="11">
        <f>IF(C500="","",N(AF500)+N(AG500)+N(AH500)+N(AI500))</f>
        <v/>
      </c>
      <c r="AM500" s="11">
        <f>IF(C500="","",MAX(N(L500),N(O500))-N(AL500))</f>
        <v/>
      </c>
      <c r="AN500" s="43">
        <f>IFERROR(IF(MAX(N(L500),N(O500))=0,"",AM500/MAX(N(L500),N(O500))),"")</f>
        <v/>
      </c>
      <c r="AO500" s="41" t="n"/>
      <c r="AP500" s="41" t="n"/>
      <c r="AQ500" s="41" t="n"/>
      <c r="AR500" s="41" t="n"/>
      <c r="AS500" s="41" t="n"/>
      <c r="AT500" s="37" t="n"/>
      <c r="AU500" s="10" t="inlineStr">
        <is>
          <t>PRD-0496</t>
        </is>
      </c>
    </row>
    <row r="501">
      <c r="A501" s="16">
        <f>IF($C501="","",IFERROR(IF(INDEX(tbl_Finance[Latest Invoice Date],MATCH($AU501,tbl_Finance[Row ID],0))="","",INDEX(tbl_Finance[Latest Invoice Date],MATCH($AU501,tbl_Finance[Row ID],0))),""))</f>
        <v/>
      </c>
      <c r="B501" s="10">
        <f>IF($C501="","",IFERROR(INDEX(tbl_Finance[Invoice Numbers],MATCH($AU501,tbl_Finance[Row ID],0))&amp;"",""))</f>
        <v/>
      </c>
      <c r="C501" s="37" t="n"/>
      <c r="D501" s="10">
        <f>IF($C501="","",IF(COUNTIF(lst_Jobs,$C501&amp;"")&gt;0,"OK","CHECK"))</f>
        <v/>
      </c>
      <c r="E501" s="10">
        <f>IF($C501="","",IFERROR(INDEX(lst_JobName,MATCH($C501&amp;"",lst_Jobs,0)),""))</f>
        <v/>
      </c>
      <c r="F501" s="37" t="n"/>
      <c r="G501" s="37" t="n"/>
      <c r="H501" s="37" t="n"/>
      <c r="I501" s="37" t="n"/>
      <c r="J501" s="37" t="n"/>
      <c r="K501" s="38">
        <f>IF($C501="","",IFERROR(N(INDEX(tbl_Finance[Invoice Count],MATCH($AU501,tbl_Finance[Row ID],0))),""))</f>
        <v/>
      </c>
      <c r="L501" s="11">
        <f>IF($C501="","",IFERROR(N(INDEX(tbl_Finance[Xero Invoiced Ex GST],MATCH($AU501,tbl_Finance[Row ID],0))),""))</f>
        <v/>
      </c>
      <c r="M501" s="10">
        <f>IF($C501="","",IFERROR(INDEX(tbl_Finance[Compare],MATCH($AU501,tbl_Finance[Row ID],0))&amp;"",""))</f>
        <v/>
      </c>
      <c r="N501" s="11">
        <f>IF($C501="","",MAX(0,N(O501)-N(L501)))</f>
        <v/>
      </c>
      <c r="O501" s="39" t="n"/>
      <c r="P501" s="40">
        <f>IF($C501="","",IF((IF(F501="",", Client","")&amp;IF(G501="",", Description","")&amp;IF(H501="",", Cost Centre","")&amp;IF(I501="",", Invoice Type","")&amp;IF(J501="",", Tax Code","")&amp;IF(O501="",", Expected Revenue","")&amp;IF(COUNTIF(tbl_Finance[Job Number],$C501&amp;"")&gt;1,", Job number used twice",""))="","Complete","Fix: "&amp;MID(IF(F501="",", Client","")&amp;IF(G501="",", Description","")&amp;IF(H501="",", Cost Centre","")&amp;IF(I501="",", Invoice Type","")&amp;IF(J501="",", Tax Code","")&amp;IF(O501="",", Expected Revenue","")&amp;IF(COUNTIF(tbl_Finance[Job Number],$C501&amp;"")&gt;1,", Job number used twice",""),3,300)))</f>
        <v/>
      </c>
      <c r="Q501" s="10">
        <f>IF($C501="","",IF(H501="","(no cost centre)",H501&amp;" - GL "&amp;IFERROR(INDEX(lst_CCtoGL,MATCH(H501,lst_CCforGL,0)),"?")))</f>
        <v/>
      </c>
      <c r="R501" s="11">
        <f>IF($C501="","",IFERROR(N(INDEX(tbl_Finance[Inc GST],MATCH($AU501,tbl_Finance[Row ID],0))),""))</f>
        <v/>
      </c>
      <c r="S501" s="37" t="n"/>
      <c r="T501" s="37" t="n"/>
      <c r="U501" s="37" t="n"/>
      <c r="V501" s="42" t="n"/>
      <c r="W501" s="37" t="n"/>
      <c r="X501" s="10">
        <f>IF(W501="","",IF(AND(LEFT(W501,4)&lt;&gt;"http",set_RMSBase=""),"",HYPERLINK(IF(LEFT(W501,4)="http",W501,set_RMSBase&amp;W501),"Open in RMS")))</f>
        <v/>
      </c>
      <c r="Y501" s="37" t="n"/>
      <c r="Z501" s="10">
        <f>IF(Y501="","",HYPERLINK(IF(LEFT(Y501,4)="http",Y501,set_QwilrBase&amp;Y501),"Open quote"))</f>
        <v/>
      </c>
      <c r="AA501" s="10">
        <f>IF(C501="","",C501)</f>
        <v/>
      </c>
      <c r="AB501" s="37" t="n"/>
      <c r="AC501" s="39" t="n"/>
      <c r="AD501" s="11">
        <f>IF(C501="","",N(L501)+N(AC501))</f>
        <v/>
      </c>
      <c r="AE501" s="43">
        <f>IFERROR(IF(N(AC501)=0,"",AC501/AD501),"")</f>
        <v/>
      </c>
      <c r="AF501" s="39" t="n"/>
      <c r="AG501" s="39" t="n"/>
      <c r="AH501" s="39" t="n"/>
      <c r="AI501" s="39" t="n"/>
      <c r="AJ501" s="11">
        <f>IF(C501="","",IF(H501="VIDEO",N(L501),0))</f>
        <v/>
      </c>
      <c r="AK501" s="43">
        <f>IFERROR(IF(N(L501)=0,"",AJ501/L501),"")</f>
        <v/>
      </c>
      <c r="AL501" s="11">
        <f>IF(C501="","",N(AF501)+N(AG501)+N(AH501)+N(AI501))</f>
        <v/>
      </c>
      <c r="AM501" s="11">
        <f>IF(C501="","",MAX(N(L501),N(O501))-N(AL501))</f>
        <v/>
      </c>
      <c r="AN501" s="43">
        <f>IFERROR(IF(MAX(N(L501),N(O501))=0,"",AM501/MAX(N(L501),N(O501))),"")</f>
        <v/>
      </c>
      <c r="AO501" s="41" t="n"/>
      <c r="AP501" s="41" t="n"/>
      <c r="AQ501" s="41" t="n"/>
      <c r="AR501" s="41" t="n"/>
      <c r="AS501" s="41" t="n"/>
      <c r="AT501" s="37" t="n"/>
      <c r="AU501" s="10" t="inlineStr">
        <is>
          <t>PRD-0497</t>
        </is>
      </c>
    </row>
    <row r="502">
      <c r="A502" s="16">
        <f>IF($C502="","",IFERROR(IF(INDEX(tbl_Finance[Latest Invoice Date],MATCH($AU502,tbl_Finance[Row ID],0))="","",INDEX(tbl_Finance[Latest Invoice Date],MATCH($AU502,tbl_Finance[Row ID],0))),""))</f>
        <v/>
      </c>
      <c r="B502" s="10">
        <f>IF($C502="","",IFERROR(INDEX(tbl_Finance[Invoice Numbers],MATCH($AU502,tbl_Finance[Row ID],0))&amp;"",""))</f>
        <v/>
      </c>
      <c r="C502" s="37" t="n"/>
      <c r="D502" s="10">
        <f>IF($C502="","",IF(COUNTIF(lst_Jobs,$C502&amp;"")&gt;0,"OK","CHECK"))</f>
        <v/>
      </c>
      <c r="E502" s="10">
        <f>IF($C502="","",IFERROR(INDEX(lst_JobName,MATCH($C502&amp;"",lst_Jobs,0)),""))</f>
        <v/>
      </c>
      <c r="F502" s="37" t="n"/>
      <c r="G502" s="37" t="n"/>
      <c r="H502" s="37" t="n"/>
      <c r="I502" s="37" t="n"/>
      <c r="J502" s="37" t="n"/>
      <c r="K502" s="38">
        <f>IF($C502="","",IFERROR(N(INDEX(tbl_Finance[Invoice Count],MATCH($AU502,tbl_Finance[Row ID],0))),""))</f>
        <v/>
      </c>
      <c r="L502" s="11">
        <f>IF($C502="","",IFERROR(N(INDEX(tbl_Finance[Xero Invoiced Ex GST],MATCH($AU502,tbl_Finance[Row ID],0))),""))</f>
        <v/>
      </c>
      <c r="M502" s="10">
        <f>IF($C502="","",IFERROR(INDEX(tbl_Finance[Compare],MATCH($AU502,tbl_Finance[Row ID],0))&amp;"",""))</f>
        <v/>
      </c>
      <c r="N502" s="11">
        <f>IF($C502="","",MAX(0,N(O502)-N(L502)))</f>
        <v/>
      </c>
      <c r="O502" s="39" t="n"/>
      <c r="P502" s="40">
        <f>IF($C502="","",IF((IF(F502="",", Client","")&amp;IF(G502="",", Description","")&amp;IF(H502="",", Cost Centre","")&amp;IF(I502="",", Invoice Type","")&amp;IF(J502="",", Tax Code","")&amp;IF(O502="",", Expected Revenue","")&amp;IF(COUNTIF(tbl_Finance[Job Number],$C502&amp;"")&gt;1,", Job number used twice",""))="","Complete","Fix: "&amp;MID(IF(F502="",", Client","")&amp;IF(G502="",", Description","")&amp;IF(H502="",", Cost Centre","")&amp;IF(I502="",", Invoice Type","")&amp;IF(J502="",", Tax Code","")&amp;IF(O502="",", Expected Revenue","")&amp;IF(COUNTIF(tbl_Finance[Job Number],$C502&amp;"")&gt;1,", Job number used twice",""),3,300)))</f>
        <v/>
      </c>
      <c r="Q502" s="10">
        <f>IF($C502="","",IF(H502="","(no cost centre)",H502&amp;" - GL "&amp;IFERROR(INDEX(lst_CCtoGL,MATCH(H502,lst_CCforGL,0)),"?")))</f>
        <v/>
      </c>
      <c r="R502" s="11">
        <f>IF($C502="","",IFERROR(N(INDEX(tbl_Finance[Inc GST],MATCH($AU502,tbl_Finance[Row ID],0))),""))</f>
        <v/>
      </c>
      <c r="S502" s="37" t="n"/>
      <c r="T502" s="37" t="n"/>
      <c r="U502" s="37" t="n"/>
      <c r="V502" s="42" t="n"/>
      <c r="W502" s="37" t="n"/>
      <c r="X502" s="10">
        <f>IF(W502="","",IF(AND(LEFT(W502,4)&lt;&gt;"http",set_RMSBase=""),"",HYPERLINK(IF(LEFT(W502,4)="http",W502,set_RMSBase&amp;W502),"Open in RMS")))</f>
        <v/>
      </c>
      <c r="Y502" s="37" t="n"/>
      <c r="Z502" s="10">
        <f>IF(Y502="","",HYPERLINK(IF(LEFT(Y502,4)="http",Y502,set_QwilrBase&amp;Y502),"Open quote"))</f>
        <v/>
      </c>
      <c r="AA502" s="10">
        <f>IF(C502="","",C502)</f>
        <v/>
      </c>
      <c r="AB502" s="37" t="n"/>
      <c r="AC502" s="39" t="n"/>
      <c r="AD502" s="11">
        <f>IF(C502="","",N(L502)+N(AC502))</f>
        <v/>
      </c>
      <c r="AE502" s="43">
        <f>IFERROR(IF(N(AC502)=0,"",AC502/AD502),"")</f>
        <v/>
      </c>
      <c r="AF502" s="39" t="n"/>
      <c r="AG502" s="39" t="n"/>
      <c r="AH502" s="39" t="n"/>
      <c r="AI502" s="39" t="n"/>
      <c r="AJ502" s="11">
        <f>IF(C502="","",IF(H502="VIDEO",N(L502),0))</f>
        <v/>
      </c>
      <c r="AK502" s="43">
        <f>IFERROR(IF(N(L502)=0,"",AJ502/L502),"")</f>
        <v/>
      </c>
      <c r="AL502" s="11">
        <f>IF(C502="","",N(AF502)+N(AG502)+N(AH502)+N(AI502))</f>
        <v/>
      </c>
      <c r="AM502" s="11">
        <f>IF(C502="","",MAX(N(L502),N(O502))-N(AL502))</f>
        <v/>
      </c>
      <c r="AN502" s="43">
        <f>IFERROR(IF(MAX(N(L502),N(O502))=0,"",AM502/MAX(N(L502),N(O502))),"")</f>
        <v/>
      </c>
      <c r="AO502" s="41" t="n"/>
      <c r="AP502" s="41" t="n"/>
      <c r="AQ502" s="41" t="n"/>
      <c r="AR502" s="41" t="n"/>
      <c r="AS502" s="41" t="n"/>
      <c r="AT502" s="37" t="n"/>
      <c r="AU502" s="10" t="inlineStr">
        <is>
          <t>PRD-0498</t>
        </is>
      </c>
    </row>
    <row r="503">
      <c r="A503" s="16">
        <f>IF($C503="","",IFERROR(IF(INDEX(tbl_Finance[Latest Invoice Date],MATCH($AU503,tbl_Finance[Row ID],0))="","",INDEX(tbl_Finance[Latest Invoice Date],MATCH($AU503,tbl_Finance[Row ID],0))),""))</f>
        <v/>
      </c>
      <c r="B503" s="10">
        <f>IF($C503="","",IFERROR(INDEX(tbl_Finance[Invoice Numbers],MATCH($AU503,tbl_Finance[Row ID],0))&amp;"",""))</f>
        <v/>
      </c>
      <c r="C503" s="37" t="n"/>
      <c r="D503" s="10">
        <f>IF($C503="","",IF(COUNTIF(lst_Jobs,$C503&amp;"")&gt;0,"OK","CHECK"))</f>
        <v/>
      </c>
      <c r="E503" s="10">
        <f>IF($C503="","",IFERROR(INDEX(lst_JobName,MATCH($C503&amp;"",lst_Jobs,0)),""))</f>
        <v/>
      </c>
      <c r="F503" s="37" t="n"/>
      <c r="G503" s="37" t="n"/>
      <c r="H503" s="37" t="n"/>
      <c r="I503" s="37" t="n"/>
      <c r="J503" s="37" t="n"/>
      <c r="K503" s="38">
        <f>IF($C503="","",IFERROR(N(INDEX(tbl_Finance[Invoice Count],MATCH($AU503,tbl_Finance[Row ID],0))),""))</f>
        <v/>
      </c>
      <c r="L503" s="11">
        <f>IF($C503="","",IFERROR(N(INDEX(tbl_Finance[Xero Invoiced Ex GST],MATCH($AU503,tbl_Finance[Row ID],0))),""))</f>
        <v/>
      </c>
      <c r="M503" s="10">
        <f>IF($C503="","",IFERROR(INDEX(tbl_Finance[Compare],MATCH($AU503,tbl_Finance[Row ID],0))&amp;"",""))</f>
        <v/>
      </c>
      <c r="N503" s="11">
        <f>IF($C503="","",MAX(0,N(O503)-N(L503)))</f>
        <v/>
      </c>
      <c r="O503" s="39" t="n"/>
      <c r="P503" s="40">
        <f>IF($C503="","",IF((IF(F503="",", Client","")&amp;IF(G503="",", Description","")&amp;IF(H503="",", Cost Centre","")&amp;IF(I503="",", Invoice Type","")&amp;IF(J503="",", Tax Code","")&amp;IF(O503="",", Expected Revenue","")&amp;IF(COUNTIF(tbl_Finance[Job Number],$C503&amp;"")&gt;1,", Job number used twice",""))="","Complete","Fix: "&amp;MID(IF(F503="",", Client","")&amp;IF(G503="",", Description","")&amp;IF(H503="",", Cost Centre","")&amp;IF(I503="",", Invoice Type","")&amp;IF(J503="",", Tax Code","")&amp;IF(O503="",", Expected Revenue","")&amp;IF(COUNTIF(tbl_Finance[Job Number],$C503&amp;"")&gt;1,", Job number used twice",""),3,300)))</f>
        <v/>
      </c>
      <c r="Q503" s="10">
        <f>IF($C503="","",IF(H503="","(no cost centre)",H503&amp;" - GL "&amp;IFERROR(INDEX(lst_CCtoGL,MATCH(H503,lst_CCforGL,0)),"?")))</f>
        <v/>
      </c>
      <c r="R503" s="11">
        <f>IF($C503="","",IFERROR(N(INDEX(tbl_Finance[Inc GST],MATCH($AU503,tbl_Finance[Row ID],0))),""))</f>
        <v/>
      </c>
      <c r="S503" s="37" t="n"/>
      <c r="T503" s="37" t="n"/>
      <c r="U503" s="37" t="n"/>
      <c r="V503" s="42" t="n"/>
      <c r="W503" s="37" t="n"/>
      <c r="X503" s="10">
        <f>IF(W503="","",IF(AND(LEFT(W503,4)&lt;&gt;"http",set_RMSBase=""),"",HYPERLINK(IF(LEFT(W503,4)="http",W503,set_RMSBase&amp;W503),"Open in RMS")))</f>
        <v/>
      </c>
      <c r="Y503" s="37" t="n"/>
      <c r="Z503" s="10">
        <f>IF(Y503="","",HYPERLINK(IF(LEFT(Y503,4)="http",Y503,set_QwilrBase&amp;Y503),"Open quote"))</f>
        <v/>
      </c>
      <c r="AA503" s="10">
        <f>IF(C503="","",C503)</f>
        <v/>
      </c>
      <c r="AB503" s="37" t="n"/>
      <c r="AC503" s="39" t="n"/>
      <c r="AD503" s="11">
        <f>IF(C503="","",N(L503)+N(AC503))</f>
        <v/>
      </c>
      <c r="AE503" s="43">
        <f>IFERROR(IF(N(AC503)=0,"",AC503/AD503),"")</f>
        <v/>
      </c>
      <c r="AF503" s="39" t="n"/>
      <c r="AG503" s="39" t="n"/>
      <c r="AH503" s="39" t="n"/>
      <c r="AI503" s="39" t="n"/>
      <c r="AJ503" s="11">
        <f>IF(C503="","",IF(H503="VIDEO",N(L503),0))</f>
        <v/>
      </c>
      <c r="AK503" s="43">
        <f>IFERROR(IF(N(L503)=0,"",AJ503/L503),"")</f>
        <v/>
      </c>
      <c r="AL503" s="11">
        <f>IF(C503="","",N(AF503)+N(AG503)+N(AH503)+N(AI503))</f>
        <v/>
      </c>
      <c r="AM503" s="11">
        <f>IF(C503="","",MAX(N(L503),N(O503))-N(AL503))</f>
        <v/>
      </c>
      <c r="AN503" s="43">
        <f>IFERROR(IF(MAX(N(L503),N(O503))=0,"",AM503/MAX(N(L503),N(O503))),"")</f>
        <v/>
      </c>
      <c r="AO503" s="41" t="n"/>
      <c r="AP503" s="41" t="n"/>
      <c r="AQ503" s="41" t="n"/>
      <c r="AR503" s="41" t="n"/>
      <c r="AS503" s="41" t="n"/>
      <c r="AT503" s="37" t="n"/>
      <c r="AU503" s="10" t="inlineStr">
        <is>
          <t>PRD-0499</t>
        </is>
      </c>
    </row>
    <row r="504">
      <c r="A504" s="16">
        <f>IF($C504="","",IFERROR(IF(INDEX(tbl_Finance[Latest Invoice Date],MATCH($AU504,tbl_Finance[Row ID],0))="","",INDEX(tbl_Finance[Latest Invoice Date],MATCH($AU504,tbl_Finance[Row ID],0))),""))</f>
        <v/>
      </c>
      <c r="B504" s="10">
        <f>IF($C504="","",IFERROR(INDEX(tbl_Finance[Invoice Numbers],MATCH($AU504,tbl_Finance[Row ID],0))&amp;"",""))</f>
        <v/>
      </c>
      <c r="C504" s="37" t="n"/>
      <c r="D504" s="10">
        <f>IF($C504="","",IF(COUNTIF(lst_Jobs,$C504&amp;"")&gt;0,"OK","CHECK"))</f>
        <v/>
      </c>
      <c r="E504" s="10">
        <f>IF($C504="","",IFERROR(INDEX(lst_JobName,MATCH($C504&amp;"",lst_Jobs,0)),""))</f>
        <v/>
      </c>
      <c r="F504" s="37" t="n"/>
      <c r="G504" s="37" t="n"/>
      <c r="H504" s="37" t="n"/>
      <c r="I504" s="37" t="n"/>
      <c r="J504" s="37" t="n"/>
      <c r="K504" s="38">
        <f>IF($C504="","",IFERROR(N(INDEX(tbl_Finance[Invoice Count],MATCH($AU504,tbl_Finance[Row ID],0))),""))</f>
        <v/>
      </c>
      <c r="L504" s="11">
        <f>IF($C504="","",IFERROR(N(INDEX(tbl_Finance[Xero Invoiced Ex GST],MATCH($AU504,tbl_Finance[Row ID],0))),""))</f>
        <v/>
      </c>
      <c r="M504" s="10">
        <f>IF($C504="","",IFERROR(INDEX(tbl_Finance[Compare],MATCH($AU504,tbl_Finance[Row ID],0))&amp;"",""))</f>
        <v/>
      </c>
      <c r="N504" s="11">
        <f>IF($C504="","",MAX(0,N(O504)-N(L504)))</f>
        <v/>
      </c>
      <c r="O504" s="39" t="n"/>
      <c r="P504" s="40">
        <f>IF($C504="","",IF((IF(F504="",", Client","")&amp;IF(G504="",", Description","")&amp;IF(H504="",", Cost Centre","")&amp;IF(I504="",", Invoice Type","")&amp;IF(J504="",", Tax Code","")&amp;IF(O504="",", Expected Revenue","")&amp;IF(COUNTIF(tbl_Finance[Job Number],$C504&amp;"")&gt;1,", Job number used twice",""))="","Complete","Fix: "&amp;MID(IF(F504="",", Client","")&amp;IF(G504="",", Description","")&amp;IF(H504="",", Cost Centre","")&amp;IF(I504="",", Invoice Type","")&amp;IF(J504="",", Tax Code","")&amp;IF(O504="",", Expected Revenue","")&amp;IF(COUNTIF(tbl_Finance[Job Number],$C504&amp;"")&gt;1,", Job number used twice",""),3,300)))</f>
        <v/>
      </c>
      <c r="Q504" s="10">
        <f>IF($C504="","",IF(H504="","(no cost centre)",H504&amp;" - GL "&amp;IFERROR(INDEX(lst_CCtoGL,MATCH(H504,lst_CCforGL,0)),"?")))</f>
        <v/>
      </c>
      <c r="R504" s="11">
        <f>IF($C504="","",IFERROR(N(INDEX(tbl_Finance[Inc GST],MATCH($AU504,tbl_Finance[Row ID],0))),""))</f>
        <v/>
      </c>
      <c r="S504" s="37" t="n"/>
      <c r="T504" s="37" t="n"/>
      <c r="U504" s="37" t="n"/>
      <c r="V504" s="42" t="n"/>
      <c r="W504" s="37" t="n"/>
      <c r="X504" s="10">
        <f>IF(W504="","",IF(AND(LEFT(W504,4)&lt;&gt;"http",set_RMSBase=""),"",HYPERLINK(IF(LEFT(W504,4)="http",W504,set_RMSBase&amp;W504),"Open in RMS")))</f>
        <v/>
      </c>
      <c r="Y504" s="37" t="n"/>
      <c r="Z504" s="10">
        <f>IF(Y504="","",HYPERLINK(IF(LEFT(Y504,4)="http",Y504,set_QwilrBase&amp;Y504),"Open quote"))</f>
        <v/>
      </c>
      <c r="AA504" s="10">
        <f>IF(C504="","",C504)</f>
        <v/>
      </c>
      <c r="AB504" s="37" t="n"/>
      <c r="AC504" s="39" t="n"/>
      <c r="AD504" s="11">
        <f>IF(C504="","",N(L504)+N(AC504))</f>
        <v/>
      </c>
      <c r="AE504" s="43">
        <f>IFERROR(IF(N(AC504)=0,"",AC504/AD504),"")</f>
        <v/>
      </c>
      <c r="AF504" s="39" t="n"/>
      <c r="AG504" s="39" t="n"/>
      <c r="AH504" s="39" t="n"/>
      <c r="AI504" s="39" t="n"/>
      <c r="AJ504" s="11">
        <f>IF(C504="","",IF(H504="VIDEO",N(L504),0))</f>
        <v/>
      </c>
      <c r="AK504" s="43">
        <f>IFERROR(IF(N(L504)=0,"",AJ504/L504),"")</f>
        <v/>
      </c>
      <c r="AL504" s="11">
        <f>IF(C504="","",N(AF504)+N(AG504)+N(AH504)+N(AI504))</f>
        <v/>
      </c>
      <c r="AM504" s="11">
        <f>IF(C504="","",MAX(N(L504),N(O504))-N(AL504))</f>
        <v/>
      </c>
      <c r="AN504" s="43">
        <f>IFERROR(IF(MAX(N(L504),N(O504))=0,"",AM504/MAX(N(L504),N(O504))),"")</f>
        <v/>
      </c>
      <c r="AO504" s="41" t="n"/>
      <c r="AP504" s="41" t="n"/>
      <c r="AQ504" s="41" t="n"/>
      <c r="AR504" s="41" t="n"/>
      <c r="AS504" s="41" t="n"/>
      <c r="AT504" s="37" t="n"/>
      <c r="AU504" s="10" t="inlineStr">
        <is>
          <t>PRD-0500</t>
        </is>
      </c>
    </row>
  </sheetData>
  <sheetProtection selectLockedCells="0" selectUnlockedCells="0" sheet="1" objects="0" insertRows="1" insertHyperlinks="1" autoFilter="0" scenarios="0" formatColumns="0" deleteColumns="1" insertColumns="1" pivotTables="1" deleteRows="1" formatCells="1" formatRows="0" sort="1" password="DE92"/>
  <mergeCells count="1">
    <mergeCell ref="A3:P3"/>
  </mergeCells>
  <conditionalFormatting sqref="D5:D504">
    <cfRule type="expression" priority="1" dxfId="1">
      <formula>D5="CHECK"</formula>
    </cfRule>
  </conditionalFormatting>
  <conditionalFormatting sqref="P5:P504">
    <cfRule type="expression" priority="2" dxfId="1">
      <formula>LEFT(P5,4)="Fix:"</formula>
    </cfRule>
  </conditionalFormatting>
  <conditionalFormatting sqref="M5:M504">
    <cfRule type="expression" priority="3" dxfId="0">
      <formula>M5="Agrees"</formula>
    </cfRule>
    <cfRule type="expression" priority="4" dxfId="1">
      <formula>LEFT(M5,4)="Xero"</formula>
    </cfRule>
    <cfRule type="expression" priority="5" dxfId="2">
      <formula>OR(LEFT(M5,4)="Dept",LEFT(M5,3)="Not")</formula>
    </cfRule>
  </conditionalFormatting>
  <dataValidations count="5">
    <dataValidation sqref="H5:H504" showDropDown="0" showInputMessage="0" showErrorMessage="0" allowBlank="1" type="list">
      <formula1>lst_CostCentre</formula1>
    </dataValidation>
    <dataValidation sqref="I5:I504" showDropDown="0" showInputMessage="0" showErrorMessage="0" allowBlank="1" type="list">
      <formula1>lst_InvoiceType</formula1>
    </dataValidation>
    <dataValidation sqref="J5:J504" showDropDown="0" showInputMessage="0" showErrorMessage="0" allowBlank="1" type="list">
      <formula1>lst_TaxCode</formula1>
    </dataValidation>
    <dataValidation sqref="AB5:AB504" showDropDown="0" showInputMessage="0" showErrorMessage="0" allowBlank="1" type="list">
      <formula1>lst_YN</formula1>
    </dataValidation>
    <dataValidation sqref="O5:O504" showDropDown="0" showInputMessage="0" showErrorMessage="1" allowBlank="1" error="Expected Revenue Ex GST must be a number." type="decimal" operator="greaterThanOrEqual">
      <formula1>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AE5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6" customWidth="1" min="6" max="6"/>
    <col width="44" customWidth="1" min="7" max="7"/>
    <col width="14" customWidth="1" min="8" max="8"/>
    <col width="15" customWidth="1" min="9" max="9"/>
    <col width="12" customWidth="1" min="10" max="10"/>
    <col width="11" customWidth="1" min="11" max="11"/>
    <col width="16" customWidth="1" min="12" max="12"/>
    <col width="24" customWidth="1" min="13" max="13"/>
    <col width="14" customWidth="1" min="14" max="14"/>
    <col width="21" customWidth="1" min="15" max="15"/>
    <col width="30" customWidth="1" min="16" max="16"/>
    <col width="20" customWidth="1" min="17" max="17"/>
    <col width="40" customWidth="1" min="18" max="18"/>
    <col width="14" customWidth="1" min="19" max="19"/>
    <col width="15" customWidth="1" min="20" max="20"/>
    <col width="17" customWidth="1" min="21" max="21"/>
    <col width="19" customWidth="1" min="22" max="22"/>
    <col width="18" customWidth="1" min="23" max="23"/>
    <col width="22" customWidth="1" min="24" max="24"/>
    <col width="26" customWidth="1" min="25" max="25"/>
    <col width="28" customWidth="1" min="26" max="26"/>
    <col width="14" customWidth="1" min="27" max="27"/>
    <col width="14" customWidth="1" min="28" max="28"/>
    <col width="10" customWidth="1" min="29" max="29"/>
    <col width="38" customWidth="1" min="30" max="30"/>
    <col width="10" customWidth="1" min="31" max="31"/>
  </cols>
  <sheetData>
    <row r="1">
      <c r="A1" s="1" t="inlineStr">
        <is>
          <t>Consulting - Job Detail</t>
        </is>
      </c>
    </row>
    <row r="2" ht="30" customHeight="1">
      <c r="A2" s="4" t="inlineStr">
        <is>
          <t>Consulting and Integration jobs. One row per job number. Fill in every white cell and split the revenue across Labour / Equipment / Subscription. Invoice details come back from Finance.</t>
        </is>
      </c>
    </row>
    <row r="3">
      <c r="A3" s="5">
        <f>"Expected Ex GST  "&amp;TEXT(SUBTOTAL(109,tbl_Consulting[Expected Revenue Ex GST]),"$#,##0.00")&amp;"      Invoiced in Xero  "&amp;TEXT(SUBTOTAL(109,tbl_Consulting[Revenue Ex GST]),"$#,##0.00")&amp;"      Still to invoice  "&amp;TEXT(SUBTOTAL(109,tbl_Consulting[To Invoice]),"$#,##0.00")</f>
        <v/>
      </c>
    </row>
    <row r="4" ht="34" customHeight="1">
      <c r="A4" s="8" t="inlineStr">
        <is>
          <t>Invoice Date</t>
        </is>
      </c>
      <c r="B4" s="8" t="inlineStr">
        <is>
          <t>Invoice No</t>
        </is>
      </c>
      <c r="C4" s="36" t="inlineStr">
        <is>
          <t>Job Number</t>
        </is>
      </c>
      <c r="D4" s="8" t="inlineStr">
        <is>
          <t>Job in Xero?</t>
        </is>
      </c>
      <c r="E4" s="8" t="inlineStr">
        <is>
          <t>Job Name (Xero)</t>
        </is>
      </c>
      <c r="F4" s="36" t="inlineStr">
        <is>
          <t>Client</t>
        </is>
      </c>
      <c r="G4" s="36" t="inlineStr">
        <is>
          <t>Job Description</t>
        </is>
      </c>
      <c r="H4" s="36" t="inlineStr">
        <is>
          <t>Cost Centre</t>
        </is>
      </c>
      <c r="I4" s="36" t="inlineStr">
        <is>
          <t>Invoice Type</t>
        </is>
      </c>
      <c r="J4" s="36" t="inlineStr">
        <is>
          <t>Tax Code</t>
        </is>
      </c>
      <c r="K4" s="8" t="inlineStr">
        <is>
          <t>Lines on Job</t>
        </is>
      </c>
      <c r="L4" s="8" t="inlineStr">
        <is>
          <t>Revenue Ex GST</t>
        </is>
      </c>
      <c r="M4" s="8" t="inlineStr">
        <is>
          <t>Invoiced</t>
        </is>
      </c>
      <c r="N4" s="8" t="inlineStr">
        <is>
          <t>To Invoice</t>
        </is>
      </c>
      <c r="O4" s="36" t="inlineStr">
        <is>
          <t>Expected Revenue Ex GST</t>
        </is>
      </c>
      <c r="P4" s="8" t="inlineStr">
        <is>
          <t>Not Yet on Finance</t>
        </is>
      </c>
      <c r="Q4" s="8" t="inlineStr">
        <is>
          <t>Cost Centres</t>
        </is>
      </c>
      <c r="R4" s="36" t="inlineStr">
        <is>
          <t>Qwilr Quote</t>
        </is>
      </c>
      <c r="S4" s="8" t="inlineStr">
        <is>
          <t>Open Qwilr</t>
        </is>
      </c>
      <c r="T4" s="36" t="inlineStr">
        <is>
          <t>Labour Revenue</t>
        </is>
      </c>
      <c r="U4" s="36" t="inlineStr">
        <is>
          <t>Equipment Revenue</t>
        </is>
      </c>
      <c r="V4" s="36" t="inlineStr">
        <is>
          <t>Subscription Revenue</t>
        </is>
      </c>
      <c r="W4" s="8" t="inlineStr">
        <is>
          <t>Revenue Split Check</t>
        </is>
      </c>
      <c r="X4" s="36" t="inlineStr">
        <is>
          <t>Labour Expense (External)</t>
        </is>
      </c>
      <c r="Y4" s="36" t="inlineStr">
        <is>
          <t>Equipment Expense (Internal)</t>
        </is>
      </c>
      <c r="Z4" s="36" t="inlineStr">
        <is>
          <t>Subscription &amp; Licences Expense</t>
        </is>
      </c>
      <c r="AA4" s="8" t="inlineStr">
        <is>
          <t>Total Expense</t>
        </is>
      </c>
      <c r="AB4" s="8" t="inlineStr">
        <is>
          <t>Margin</t>
        </is>
      </c>
      <c r="AC4" s="8" t="inlineStr">
        <is>
          <t>Margin %</t>
        </is>
      </c>
      <c r="AD4" s="36" t="inlineStr">
        <is>
          <t>Notes</t>
        </is>
      </c>
      <c r="AE4" s="8" t="inlineStr">
        <is>
          <t>Row ID</t>
        </is>
      </c>
    </row>
    <row r="5">
      <c r="A5" s="16">
        <f>IF($C5="","",IFERROR(IF(INDEX(tbl_Finance[Latest Invoice Date],MATCH($AE5,tbl_Finance[Row ID],0))="","",INDEX(tbl_Finance[Latest Invoice Date],MATCH($AE5,tbl_Finance[Row ID],0))),""))</f>
        <v/>
      </c>
      <c r="B5" s="10">
        <f>IF($C5="","",IFERROR(INDEX(tbl_Finance[Invoice Numbers],MATCH($AE5,tbl_Finance[Row ID],0))&amp;"",""))</f>
        <v/>
      </c>
      <c r="C5" s="37" t="n"/>
      <c r="D5" s="10">
        <f>IF($C5="","",IF(COUNTIF(lst_Jobs,$C5&amp;"")&gt;0,"OK","CHECK"))</f>
        <v/>
      </c>
      <c r="E5" s="10">
        <f>IF($C5="","",IFERROR(INDEX(lst_JobName,MATCH($C5&amp;"",lst_Jobs,0)),""))</f>
        <v/>
      </c>
      <c r="F5" s="37" t="n"/>
      <c r="G5" s="37" t="n"/>
      <c r="H5" s="37" t="n"/>
      <c r="I5" s="37" t="n"/>
      <c r="J5" s="37" t="n"/>
      <c r="K5" s="38">
        <f>IF($C5="","",IFERROR(N(INDEX(tbl_Finance[Invoice Count],MATCH($AE5,tbl_Finance[Row ID],0))),""))</f>
        <v/>
      </c>
      <c r="L5" s="11">
        <f>IF($C5="","",IFERROR(N(INDEX(tbl_Finance[Xero Invoiced Ex GST],MATCH($AE5,tbl_Finance[Row ID],0))),""))</f>
        <v/>
      </c>
      <c r="M5" s="10">
        <f>IF($C5="","",IFERROR(INDEX(tbl_Finance[Compare],MATCH($AE5,tbl_Finance[Row ID],0))&amp;"",""))</f>
        <v/>
      </c>
      <c r="N5" s="11">
        <f>IF($C5="","",MAX(0,N(O5)-N(L5)))</f>
        <v/>
      </c>
      <c r="O5" s="39" t="n"/>
      <c r="P5" s="40">
        <f>IF($C5="","",IF((IF(F5="",", Client","")&amp;IF(G5="",", Description","")&amp;IF(H5="",", Cost Centre","")&amp;IF(I5="",", Invoice Type","")&amp;IF(J5="",", Tax Code","")&amp;IF(O5="",", Expected Revenue","")&amp;IF(COUNTIF(tbl_Finance[Job Number],$C5&amp;"")&gt;1,", Job number used twice",""))="","Complete","Fix: "&amp;MID(IF(F5="",", Client","")&amp;IF(G5="",", Description","")&amp;IF(H5="",", Cost Centre","")&amp;IF(I5="",", Invoice Type","")&amp;IF(J5="",", Tax Code","")&amp;IF(O5="",", Expected Revenue","")&amp;IF(COUNTIF(tbl_Finance[Job Number],$C5&amp;"")&gt;1,", Job number used twice",""),3,300)))</f>
        <v/>
      </c>
      <c r="Q5" s="10">
        <f>IF($C5="","",IF(H5="","(no cost centre)",H5&amp;" - GL "&amp;IFERROR(INDEX(lst_CCtoGL,MATCH(H5,lst_CCforGL,0)),"?")))</f>
        <v/>
      </c>
      <c r="R5" s="37" t="n"/>
      <c r="S5" s="10">
        <f>IF(R5="","",HYPERLINK(IF(LEFT(R5,4)="http",R5,set_QwilrBase&amp;R5),"Open quote"))</f>
        <v/>
      </c>
      <c r="T5" s="39" t="n"/>
      <c r="U5" s="39" t="n"/>
      <c r="V5" s="39" t="n"/>
      <c r="W5" s="10">
        <f>IF(C5="","",IF(N(T5)+N(U5)+N(V5)=0,"Not split",IF(ROUND(N(T5)+N(U5)+N(V5),2)=ROUND(MAX(N(L5),N(O5)),2),"OK","MISMATCH")))</f>
        <v/>
      </c>
      <c r="X5" s="39" t="n"/>
      <c r="Y5" s="39" t="n"/>
      <c r="Z5" s="39" t="n"/>
      <c r="AA5" s="11">
        <f>IF(C5="","",N(X5)+N(Y5)+N(Z5))</f>
        <v/>
      </c>
      <c r="AB5" s="11">
        <f>IF(C5="","",MAX(N(L5),N(O5))-N(AA5))</f>
        <v/>
      </c>
      <c r="AC5" s="43">
        <f>IFERROR(IF(MAX(N(L5),N(O5))=0,"",AB5/MAX(N(L5),N(O5))),"")</f>
        <v/>
      </c>
      <c r="AD5" s="37" t="n"/>
      <c r="AE5" s="10" t="inlineStr">
        <is>
          <t>CON-0001</t>
        </is>
      </c>
    </row>
    <row r="6">
      <c r="A6" s="16">
        <f>IF($C6="","",IFERROR(IF(INDEX(tbl_Finance[Latest Invoice Date],MATCH($AE6,tbl_Finance[Row ID],0))="","",INDEX(tbl_Finance[Latest Invoice Date],MATCH($AE6,tbl_Finance[Row ID],0))),""))</f>
        <v/>
      </c>
      <c r="B6" s="10">
        <f>IF($C6="","",IFERROR(INDEX(tbl_Finance[Invoice Numbers],MATCH($AE6,tbl_Finance[Row ID],0))&amp;"",""))</f>
        <v/>
      </c>
      <c r="C6" s="37" t="n"/>
      <c r="D6" s="10">
        <f>IF($C6="","",IF(COUNTIF(lst_Jobs,$C6&amp;"")&gt;0,"OK","CHECK"))</f>
        <v/>
      </c>
      <c r="E6" s="10">
        <f>IF($C6="","",IFERROR(INDEX(lst_JobName,MATCH($C6&amp;"",lst_Jobs,0)),""))</f>
        <v/>
      </c>
      <c r="F6" s="37" t="n"/>
      <c r="G6" s="37" t="n"/>
      <c r="H6" s="37" t="n"/>
      <c r="I6" s="37" t="n"/>
      <c r="J6" s="37" t="n"/>
      <c r="K6" s="38">
        <f>IF($C6="","",IFERROR(N(INDEX(tbl_Finance[Invoice Count],MATCH($AE6,tbl_Finance[Row ID],0))),""))</f>
        <v/>
      </c>
      <c r="L6" s="11">
        <f>IF($C6="","",IFERROR(N(INDEX(tbl_Finance[Xero Invoiced Ex GST],MATCH($AE6,tbl_Finance[Row ID],0))),""))</f>
        <v/>
      </c>
      <c r="M6" s="10">
        <f>IF($C6="","",IFERROR(INDEX(tbl_Finance[Compare],MATCH($AE6,tbl_Finance[Row ID],0))&amp;"",""))</f>
        <v/>
      </c>
      <c r="N6" s="11">
        <f>IF($C6="","",MAX(0,N(O6)-N(L6)))</f>
        <v/>
      </c>
      <c r="O6" s="39" t="n"/>
      <c r="P6" s="40">
        <f>IF($C6="","",IF((IF(F6="",", Client","")&amp;IF(G6="",", Description","")&amp;IF(H6="",", Cost Centre","")&amp;IF(I6="",", Invoice Type","")&amp;IF(J6="",", Tax Code","")&amp;IF(O6="",", Expected Revenue","")&amp;IF(COUNTIF(tbl_Finance[Job Number],$C6&amp;"")&gt;1,", Job number used twice",""))="","Complete","Fix: "&amp;MID(IF(F6="",", Client","")&amp;IF(G6="",", Description","")&amp;IF(H6="",", Cost Centre","")&amp;IF(I6="",", Invoice Type","")&amp;IF(J6="",", Tax Code","")&amp;IF(O6="",", Expected Revenue","")&amp;IF(COUNTIF(tbl_Finance[Job Number],$C6&amp;"")&gt;1,", Job number used twice",""),3,300)))</f>
        <v/>
      </c>
      <c r="Q6" s="10">
        <f>IF($C6="","",IF(H6="","(no cost centre)",H6&amp;" - GL "&amp;IFERROR(INDEX(lst_CCtoGL,MATCH(H6,lst_CCforGL,0)),"?")))</f>
        <v/>
      </c>
      <c r="R6" s="37" t="n"/>
      <c r="S6" s="10">
        <f>IF(R6="","",HYPERLINK(IF(LEFT(R6,4)="http",R6,set_QwilrBase&amp;R6),"Open quote"))</f>
        <v/>
      </c>
      <c r="T6" s="39" t="n"/>
      <c r="U6" s="39" t="n"/>
      <c r="V6" s="39" t="n"/>
      <c r="W6" s="10">
        <f>IF(C6="","",IF(N(T6)+N(U6)+N(V6)=0,"Not split",IF(ROUND(N(T6)+N(U6)+N(V6),2)=ROUND(MAX(N(L6),N(O6)),2),"OK","MISMATCH")))</f>
        <v/>
      </c>
      <c r="X6" s="39" t="n"/>
      <c r="Y6" s="39" t="n"/>
      <c r="Z6" s="39" t="n"/>
      <c r="AA6" s="11">
        <f>IF(C6="","",N(X6)+N(Y6)+N(Z6))</f>
        <v/>
      </c>
      <c r="AB6" s="11">
        <f>IF(C6="","",MAX(N(L6),N(O6))-N(AA6))</f>
        <v/>
      </c>
      <c r="AC6" s="43">
        <f>IFERROR(IF(MAX(N(L6),N(O6))=0,"",AB6/MAX(N(L6),N(O6))),"")</f>
        <v/>
      </c>
      <c r="AD6" s="37" t="n"/>
      <c r="AE6" s="10" t="inlineStr">
        <is>
          <t>CON-0002</t>
        </is>
      </c>
    </row>
    <row r="7">
      <c r="A7" s="16">
        <f>IF($C7="","",IFERROR(IF(INDEX(tbl_Finance[Latest Invoice Date],MATCH($AE7,tbl_Finance[Row ID],0))="","",INDEX(tbl_Finance[Latest Invoice Date],MATCH($AE7,tbl_Finance[Row ID],0))),""))</f>
        <v/>
      </c>
      <c r="B7" s="10">
        <f>IF($C7="","",IFERROR(INDEX(tbl_Finance[Invoice Numbers],MATCH($AE7,tbl_Finance[Row ID],0))&amp;"",""))</f>
        <v/>
      </c>
      <c r="C7" s="37" t="n"/>
      <c r="D7" s="10">
        <f>IF($C7="","",IF(COUNTIF(lst_Jobs,$C7&amp;"")&gt;0,"OK","CHECK"))</f>
        <v/>
      </c>
      <c r="E7" s="10">
        <f>IF($C7="","",IFERROR(INDEX(lst_JobName,MATCH($C7&amp;"",lst_Jobs,0)),""))</f>
        <v/>
      </c>
      <c r="F7" s="37" t="n"/>
      <c r="G7" s="37" t="n"/>
      <c r="H7" s="37" t="n"/>
      <c r="I7" s="37" t="n"/>
      <c r="J7" s="37" t="n"/>
      <c r="K7" s="38">
        <f>IF($C7="","",IFERROR(N(INDEX(tbl_Finance[Invoice Count],MATCH($AE7,tbl_Finance[Row ID],0))),""))</f>
        <v/>
      </c>
      <c r="L7" s="11">
        <f>IF($C7="","",IFERROR(N(INDEX(tbl_Finance[Xero Invoiced Ex GST],MATCH($AE7,tbl_Finance[Row ID],0))),""))</f>
        <v/>
      </c>
      <c r="M7" s="10">
        <f>IF($C7="","",IFERROR(INDEX(tbl_Finance[Compare],MATCH($AE7,tbl_Finance[Row ID],0))&amp;"",""))</f>
        <v/>
      </c>
      <c r="N7" s="11">
        <f>IF($C7="","",MAX(0,N(O7)-N(L7)))</f>
        <v/>
      </c>
      <c r="O7" s="39" t="n"/>
      <c r="P7" s="40">
        <f>IF($C7="","",IF((IF(F7="",", Client","")&amp;IF(G7="",", Description","")&amp;IF(H7="",", Cost Centre","")&amp;IF(I7="",", Invoice Type","")&amp;IF(J7="",", Tax Code","")&amp;IF(O7="",", Expected Revenue","")&amp;IF(COUNTIF(tbl_Finance[Job Number],$C7&amp;"")&gt;1,", Job number used twice",""))="","Complete","Fix: "&amp;MID(IF(F7="",", Client","")&amp;IF(G7="",", Description","")&amp;IF(H7="",", Cost Centre","")&amp;IF(I7="",", Invoice Type","")&amp;IF(J7="",", Tax Code","")&amp;IF(O7="",", Expected Revenue","")&amp;IF(COUNTIF(tbl_Finance[Job Number],$C7&amp;"")&gt;1,", Job number used twice",""),3,300)))</f>
        <v/>
      </c>
      <c r="Q7" s="10">
        <f>IF($C7="","",IF(H7="","(no cost centre)",H7&amp;" - GL "&amp;IFERROR(INDEX(lst_CCtoGL,MATCH(H7,lst_CCforGL,0)),"?")))</f>
        <v/>
      </c>
      <c r="R7" s="37" t="n"/>
      <c r="S7" s="10">
        <f>IF(R7="","",HYPERLINK(IF(LEFT(R7,4)="http",R7,set_QwilrBase&amp;R7),"Open quote"))</f>
        <v/>
      </c>
      <c r="T7" s="39" t="n"/>
      <c r="U7" s="39" t="n"/>
      <c r="V7" s="39" t="n"/>
      <c r="W7" s="10">
        <f>IF(C7="","",IF(N(T7)+N(U7)+N(V7)=0,"Not split",IF(ROUND(N(T7)+N(U7)+N(V7),2)=ROUND(MAX(N(L7),N(O7)),2),"OK","MISMATCH")))</f>
        <v/>
      </c>
      <c r="X7" s="39" t="n"/>
      <c r="Y7" s="39" t="n"/>
      <c r="Z7" s="39" t="n"/>
      <c r="AA7" s="11">
        <f>IF(C7="","",N(X7)+N(Y7)+N(Z7))</f>
        <v/>
      </c>
      <c r="AB7" s="11">
        <f>IF(C7="","",MAX(N(L7),N(O7))-N(AA7))</f>
        <v/>
      </c>
      <c r="AC7" s="43">
        <f>IFERROR(IF(MAX(N(L7),N(O7))=0,"",AB7/MAX(N(L7),N(O7))),"")</f>
        <v/>
      </c>
      <c r="AD7" s="37" t="n"/>
      <c r="AE7" s="10" t="inlineStr">
        <is>
          <t>CON-0003</t>
        </is>
      </c>
    </row>
    <row r="8">
      <c r="A8" s="16">
        <f>IF($C8="","",IFERROR(IF(INDEX(tbl_Finance[Latest Invoice Date],MATCH($AE8,tbl_Finance[Row ID],0))="","",INDEX(tbl_Finance[Latest Invoice Date],MATCH($AE8,tbl_Finance[Row ID],0))),""))</f>
        <v/>
      </c>
      <c r="B8" s="10">
        <f>IF($C8="","",IFERROR(INDEX(tbl_Finance[Invoice Numbers],MATCH($AE8,tbl_Finance[Row ID],0))&amp;"",""))</f>
        <v/>
      </c>
      <c r="C8" s="37" t="n"/>
      <c r="D8" s="10">
        <f>IF($C8="","",IF(COUNTIF(lst_Jobs,$C8&amp;"")&gt;0,"OK","CHECK"))</f>
        <v/>
      </c>
      <c r="E8" s="10">
        <f>IF($C8="","",IFERROR(INDEX(lst_JobName,MATCH($C8&amp;"",lst_Jobs,0)),""))</f>
        <v/>
      </c>
      <c r="F8" s="37" t="n"/>
      <c r="G8" s="37" t="n"/>
      <c r="H8" s="37" t="n"/>
      <c r="I8" s="37" t="n"/>
      <c r="J8" s="37" t="n"/>
      <c r="K8" s="38">
        <f>IF($C8="","",IFERROR(N(INDEX(tbl_Finance[Invoice Count],MATCH($AE8,tbl_Finance[Row ID],0))),""))</f>
        <v/>
      </c>
      <c r="L8" s="11">
        <f>IF($C8="","",IFERROR(N(INDEX(tbl_Finance[Xero Invoiced Ex GST],MATCH($AE8,tbl_Finance[Row ID],0))),""))</f>
        <v/>
      </c>
      <c r="M8" s="10">
        <f>IF($C8="","",IFERROR(INDEX(tbl_Finance[Compare],MATCH($AE8,tbl_Finance[Row ID],0))&amp;"",""))</f>
        <v/>
      </c>
      <c r="N8" s="11">
        <f>IF($C8="","",MAX(0,N(O8)-N(L8)))</f>
        <v/>
      </c>
      <c r="O8" s="39" t="n"/>
      <c r="P8" s="40">
        <f>IF($C8="","",IF((IF(F8="",", Client","")&amp;IF(G8="",", Description","")&amp;IF(H8="",", Cost Centre","")&amp;IF(I8="",", Invoice Type","")&amp;IF(J8="",", Tax Code","")&amp;IF(O8="",", Expected Revenue","")&amp;IF(COUNTIF(tbl_Finance[Job Number],$C8&amp;"")&gt;1,", Job number used twice",""))="","Complete","Fix: "&amp;MID(IF(F8="",", Client","")&amp;IF(G8="",", Description","")&amp;IF(H8="",", Cost Centre","")&amp;IF(I8="",", Invoice Type","")&amp;IF(J8="",", Tax Code","")&amp;IF(O8="",", Expected Revenue","")&amp;IF(COUNTIF(tbl_Finance[Job Number],$C8&amp;"")&gt;1,", Job number used twice",""),3,300)))</f>
        <v/>
      </c>
      <c r="Q8" s="10">
        <f>IF($C8="","",IF(H8="","(no cost centre)",H8&amp;" - GL "&amp;IFERROR(INDEX(lst_CCtoGL,MATCH(H8,lst_CCforGL,0)),"?")))</f>
        <v/>
      </c>
      <c r="R8" s="37" t="n"/>
      <c r="S8" s="10">
        <f>IF(R8="","",HYPERLINK(IF(LEFT(R8,4)="http",R8,set_QwilrBase&amp;R8),"Open quote"))</f>
        <v/>
      </c>
      <c r="T8" s="39" t="n"/>
      <c r="U8" s="39" t="n"/>
      <c r="V8" s="39" t="n"/>
      <c r="W8" s="10">
        <f>IF(C8="","",IF(N(T8)+N(U8)+N(V8)=0,"Not split",IF(ROUND(N(T8)+N(U8)+N(V8),2)=ROUND(MAX(N(L8),N(O8)),2),"OK","MISMATCH")))</f>
        <v/>
      </c>
      <c r="X8" s="39" t="n"/>
      <c r="Y8" s="39" t="n"/>
      <c r="Z8" s="39" t="n"/>
      <c r="AA8" s="11">
        <f>IF(C8="","",N(X8)+N(Y8)+N(Z8))</f>
        <v/>
      </c>
      <c r="AB8" s="11">
        <f>IF(C8="","",MAX(N(L8),N(O8))-N(AA8))</f>
        <v/>
      </c>
      <c r="AC8" s="43">
        <f>IFERROR(IF(MAX(N(L8),N(O8))=0,"",AB8/MAX(N(L8),N(O8))),"")</f>
        <v/>
      </c>
      <c r="AD8" s="37" t="n"/>
      <c r="AE8" s="10" t="inlineStr">
        <is>
          <t>CON-0004</t>
        </is>
      </c>
    </row>
    <row r="9">
      <c r="A9" s="16">
        <f>IF($C9="","",IFERROR(IF(INDEX(tbl_Finance[Latest Invoice Date],MATCH($AE9,tbl_Finance[Row ID],0))="","",INDEX(tbl_Finance[Latest Invoice Date],MATCH($AE9,tbl_Finance[Row ID],0))),""))</f>
        <v/>
      </c>
      <c r="B9" s="10">
        <f>IF($C9="","",IFERROR(INDEX(tbl_Finance[Invoice Numbers],MATCH($AE9,tbl_Finance[Row ID],0))&amp;"",""))</f>
        <v/>
      </c>
      <c r="C9" s="37" t="n"/>
      <c r="D9" s="10">
        <f>IF($C9="","",IF(COUNTIF(lst_Jobs,$C9&amp;"")&gt;0,"OK","CHECK"))</f>
        <v/>
      </c>
      <c r="E9" s="10">
        <f>IF($C9="","",IFERROR(INDEX(lst_JobName,MATCH($C9&amp;"",lst_Jobs,0)),""))</f>
        <v/>
      </c>
      <c r="F9" s="37" t="n"/>
      <c r="G9" s="37" t="n"/>
      <c r="H9" s="37" t="n"/>
      <c r="I9" s="37" t="n"/>
      <c r="J9" s="37" t="n"/>
      <c r="K9" s="38">
        <f>IF($C9="","",IFERROR(N(INDEX(tbl_Finance[Invoice Count],MATCH($AE9,tbl_Finance[Row ID],0))),""))</f>
        <v/>
      </c>
      <c r="L9" s="11">
        <f>IF($C9="","",IFERROR(N(INDEX(tbl_Finance[Xero Invoiced Ex GST],MATCH($AE9,tbl_Finance[Row ID],0))),""))</f>
        <v/>
      </c>
      <c r="M9" s="10">
        <f>IF($C9="","",IFERROR(INDEX(tbl_Finance[Compare],MATCH($AE9,tbl_Finance[Row ID],0))&amp;"",""))</f>
        <v/>
      </c>
      <c r="N9" s="11">
        <f>IF($C9="","",MAX(0,N(O9)-N(L9)))</f>
        <v/>
      </c>
      <c r="O9" s="39" t="n"/>
      <c r="P9" s="40">
        <f>IF($C9="","",IF((IF(F9="",", Client","")&amp;IF(G9="",", Description","")&amp;IF(H9="",", Cost Centre","")&amp;IF(I9="",", Invoice Type","")&amp;IF(J9="",", Tax Code","")&amp;IF(O9="",", Expected Revenue","")&amp;IF(COUNTIF(tbl_Finance[Job Number],$C9&amp;"")&gt;1,", Job number used twice",""))="","Complete","Fix: "&amp;MID(IF(F9="",", Client","")&amp;IF(G9="",", Description","")&amp;IF(H9="",", Cost Centre","")&amp;IF(I9="",", Invoice Type","")&amp;IF(J9="",", Tax Code","")&amp;IF(O9="",", Expected Revenue","")&amp;IF(COUNTIF(tbl_Finance[Job Number],$C9&amp;"")&gt;1,", Job number used twice",""),3,300)))</f>
        <v/>
      </c>
      <c r="Q9" s="10">
        <f>IF($C9="","",IF(H9="","(no cost centre)",H9&amp;" - GL "&amp;IFERROR(INDEX(lst_CCtoGL,MATCH(H9,lst_CCforGL,0)),"?")))</f>
        <v/>
      </c>
      <c r="R9" s="37" t="n"/>
      <c r="S9" s="10">
        <f>IF(R9="","",HYPERLINK(IF(LEFT(R9,4)="http",R9,set_QwilrBase&amp;R9),"Open quote"))</f>
        <v/>
      </c>
      <c r="T9" s="39" t="n"/>
      <c r="U9" s="39" t="n"/>
      <c r="V9" s="39" t="n"/>
      <c r="W9" s="10">
        <f>IF(C9="","",IF(N(T9)+N(U9)+N(V9)=0,"Not split",IF(ROUND(N(T9)+N(U9)+N(V9),2)=ROUND(MAX(N(L9),N(O9)),2),"OK","MISMATCH")))</f>
        <v/>
      </c>
      <c r="X9" s="39" t="n"/>
      <c r="Y9" s="39" t="n"/>
      <c r="Z9" s="39" t="n"/>
      <c r="AA9" s="11">
        <f>IF(C9="","",N(X9)+N(Y9)+N(Z9))</f>
        <v/>
      </c>
      <c r="AB9" s="11">
        <f>IF(C9="","",MAX(N(L9),N(O9))-N(AA9))</f>
        <v/>
      </c>
      <c r="AC9" s="43">
        <f>IFERROR(IF(MAX(N(L9),N(O9))=0,"",AB9/MAX(N(L9),N(O9))),"")</f>
        <v/>
      </c>
      <c r="AD9" s="37" t="n"/>
      <c r="AE9" s="10" t="inlineStr">
        <is>
          <t>CON-0005</t>
        </is>
      </c>
    </row>
    <row r="10">
      <c r="A10" s="16">
        <f>IF($C10="","",IFERROR(IF(INDEX(tbl_Finance[Latest Invoice Date],MATCH($AE10,tbl_Finance[Row ID],0))="","",INDEX(tbl_Finance[Latest Invoice Date],MATCH($AE10,tbl_Finance[Row ID],0))),""))</f>
        <v/>
      </c>
      <c r="B10" s="10">
        <f>IF($C10="","",IFERROR(INDEX(tbl_Finance[Invoice Numbers],MATCH($AE10,tbl_Finance[Row ID],0))&amp;"",""))</f>
        <v/>
      </c>
      <c r="C10" s="37" t="n"/>
      <c r="D10" s="10">
        <f>IF($C10="","",IF(COUNTIF(lst_Jobs,$C10&amp;"")&gt;0,"OK","CHECK"))</f>
        <v/>
      </c>
      <c r="E10" s="10">
        <f>IF($C10="","",IFERROR(INDEX(lst_JobName,MATCH($C10&amp;"",lst_Jobs,0)),""))</f>
        <v/>
      </c>
      <c r="F10" s="37" t="n"/>
      <c r="G10" s="37" t="n"/>
      <c r="H10" s="37" t="n"/>
      <c r="I10" s="37" t="n"/>
      <c r="J10" s="37" t="n"/>
      <c r="K10" s="38">
        <f>IF($C10="","",IFERROR(N(INDEX(tbl_Finance[Invoice Count],MATCH($AE10,tbl_Finance[Row ID],0))),""))</f>
        <v/>
      </c>
      <c r="L10" s="11">
        <f>IF($C10="","",IFERROR(N(INDEX(tbl_Finance[Xero Invoiced Ex GST],MATCH($AE10,tbl_Finance[Row ID],0))),""))</f>
        <v/>
      </c>
      <c r="M10" s="10">
        <f>IF($C10="","",IFERROR(INDEX(tbl_Finance[Compare],MATCH($AE10,tbl_Finance[Row ID],0))&amp;"",""))</f>
        <v/>
      </c>
      <c r="N10" s="11">
        <f>IF($C10="","",MAX(0,N(O10)-N(L10)))</f>
        <v/>
      </c>
      <c r="O10" s="39" t="n"/>
      <c r="P10" s="40">
        <f>IF($C10="","",IF((IF(F10="",", Client","")&amp;IF(G10="",", Description","")&amp;IF(H10="",", Cost Centre","")&amp;IF(I10="",", Invoice Type","")&amp;IF(J10="",", Tax Code","")&amp;IF(O10="",", Expected Revenue","")&amp;IF(COUNTIF(tbl_Finance[Job Number],$C10&amp;"")&gt;1,", Job number used twice",""))="","Complete","Fix: "&amp;MID(IF(F10="",", Client","")&amp;IF(G10="",", Description","")&amp;IF(H10="",", Cost Centre","")&amp;IF(I10="",", Invoice Type","")&amp;IF(J10="",", Tax Code","")&amp;IF(O10="",", Expected Revenue","")&amp;IF(COUNTIF(tbl_Finance[Job Number],$C10&amp;"")&gt;1,", Job number used twice",""),3,300)))</f>
        <v/>
      </c>
      <c r="Q10" s="10">
        <f>IF($C10="","",IF(H10="","(no cost centre)",H10&amp;" - GL "&amp;IFERROR(INDEX(lst_CCtoGL,MATCH(H10,lst_CCforGL,0)),"?")))</f>
        <v/>
      </c>
      <c r="R10" s="37" t="n"/>
      <c r="S10" s="10">
        <f>IF(R10="","",HYPERLINK(IF(LEFT(R10,4)="http",R10,set_QwilrBase&amp;R10),"Open quote"))</f>
        <v/>
      </c>
      <c r="T10" s="39" t="n"/>
      <c r="U10" s="39" t="n"/>
      <c r="V10" s="39" t="n"/>
      <c r="W10" s="10">
        <f>IF(C10="","",IF(N(T10)+N(U10)+N(V10)=0,"Not split",IF(ROUND(N(T10)+N(U10)+N(V10),2)=ROUND(MAX(N(L10),N(O10)),2),"OK","MISMATCH")))</f>
        <v/>
      </c>
      <c r="X10" s="39" t="n"/>
      <c r="Y10" s="39" t="n"/>
      <c r="Z10" s="39" t="n"/>
      <c r="AA10" s="11">
        <f>IF(C10="","",N(X10)+N(Y10)+N(Z10))</f>
        <v/>
      </c>
      <c r="AB10" s="11">
        <f>IF(C10="","",MAX(N(L10),N(O10))-N(AA10))</f>
        <v/>
      </c>
      <c r="AC10" s="43">
        <f>IFERROR(IF(MAX(N(L10),N(O10))=0,"",AB10/MAX(N(L10),N(O10))),"")</f>
        <v/>
      </c>
      <c r="AD10" s="37" t="n"/>
      <c r="AE10" s="10" t="inlineStr">
        <is>
          <t>CON-0006</t>
        </is>
      </c>
    </row>
    <row r="11">
      <c r="A11" s="16">
        <f>IF($C11="","",IFERROR(IF(INDEX(tbl_Finance[Latest Invoice Date],MATCH($AE11,tbl_Finance[Row ID],0))="","",INDEX(tbl_Finance[Latest Invoice Date],MATCH($AE11,tbl_Finance[Row ID],0))),""))</f>
        <v/>
      </c>
      <c r="B11" s="10">
        <f>IF($C11="","",IFERROR(INDEX(tbl_Finance[Invoice Numbers],MATCH($AE11,tbl_Finance[Row ID],0))&amp;"",""))</f>
        <v/>
      </c>
      <c r="C11" s="37" t="n"/>
      <c r="D11" s="10">
        <f>IF($C11="","",IF(COUNTIF(lst_Jobs,$C11&amp;"")&gt;0,"OK","CHECK"))</f>
        <v/>
      </c>
      <c r="E11" s="10">
        <f>IF($C11="","",IFERROR(INDEX(lst_JobName,MATCH($C11&amp;"",lst_Jobs,0)),""))</f>
        <v/>
      </c>
      <c r="F11" s="37" t="n"/>
      <c r="G11" s="37" t="n"/>
      <c r="H11" s="37" t="n"/>
      <c r="I11" s="37" t="n"/>
      <c r="J11" s="37" t="n"/>
      <c r="K11" s="38">
        <f>IF($C11="","",IFERROR(N(INDEX(tbl_Finance[Invoice Count],MATCH($AE11,tbl_Finance[Row ID],0))),""))</f>
        <v/>
      </c>
      <c r="L11" s="11">
        <f>IF($C11="","",IFERROR(N(INDEX(tbl_Finance[Xero Invoiced Ex GST],MATCH($AE11,tbl_Finance[Row ID],0))),""))</f>
        <v/>
      </c>
      <c r="M11" s="10">
        <f>IF($C11="","",IFERROR(INDEX(tbl_Finance[Compare],MATCH($AE11,tbl_Finance[Row ID],0))&amp;"",""))</f>
        <v/>
      </c>
      <c r="N11" s="11">
        <f>IF($C11="","",MAX(0,N(O11)-N(L11)))</f>
        <v/>
      </c>
      <c r="O11" s="39" t="n"/>
      <c r="P11" s="40">
        <f>IF($C11="","",IF((IF(F11="",", Client","")&amp;IF(G11="",", Description","")&amp;IF(H11="",", Cost Centre","")&amp;IF(I11="",", Invoice Type","")&amp;IF(J11="",", Tax Code","")&amp;IF(O11="",", Expected Revenue","")&amp;IF(COUNTIF(tbl_Finance[Job Number],$C11&amp;"")&gt;1,", Job number used twice",""))="","Complete","Fix: "&amp;MID(IF(F11="",", Client","")&amp;IF(G11="",", Description","")&amp;IF(H11="",", Cost Centre","")&amp;IF(I11="",", Invoice Type","")&amp;IF(J11="",", Tax Code","")&amp;IF(O11="",", Expected Revenue","")&amp;IF(COUNTIF(tbl_Finance[Job Number],$C11&amp;"")&gt;1,", Job number used twice",""),3,300)))</f>
        <v/>
      </c>
      <c r="Q11" s="10">
        <f>IF($C11="","",IF(H11="","(no cost centre)",H11&amp;" - GL "&amp;IFERROR(INDEX(lst_CCtoGL,MATCH(H11,lst_CCforGL,0)),"?")))</f>
        <v/>
      </c>
      <c r="R11" s="37" t="n"/>
      <c r="S11" s="10">
        <f>IF(R11="","",HYPERLINK(IF(LEFT(R11,4)="http",R11,set_QwilrBase&amp;R11),"Open quote"))</f>
        <v/>
      </c>
      <c r="T11" s="39" t="n"/>
      <c r="U11" s="39" t="n"/>
      <c r="V11" s="39" t="n"/>
      <c r="W11" s="10">
        <f>IF(C11="","",IF(N(T11)+N(U11)+N(V11)=0,"Not split",IF(ROUND(N(T11)+N(U11)+N(V11),2)=ROUND(MAX(N(L11),N(O11)),2),"OK","MISMATCH")))</f>
        <v/>
      </c>
      <c r="X11" s="39" t="n"/>
      <c r="Y11" s="39" t="n"/>
      <c r="Z11" s="39" t="n"/>
      <c r="AA11" s="11">
        <f>IF(C11="","",N(X11)+N(Y11)+N(Z11))</f>
        <v/>
      </c>
      <c r="AB11" s="11">
        <f>IF(C11="","",MAX(N(L11),N(O11))-N(AA11))</f>
        <v/>
      </c>
      <c r="AC11" s="43">
        <f>IFERROR(IF(MAX(N(L11),N(O11))=0,"",AB11/MAX(N(L11),N(O11))),"")</f>
        <v/>
      </c>
      <c r="AD11" s="37" t="n"/>
      <c r="AE11" s="10" t="inlineStr">
        <is>
          <t>CON-0007</t>
        </is>
      </c>
    </row>
    <row r="12">
      <c r="A12" s="16">
        <f>IF($C12="","",IFERROR(IF(INDEX(tbl_Finance[Latest Invoice Date],MATCH($AE12,tbl_Finance[Row ID],0))="","",INDEX(tbl_Finance[Latest Invoice Date],MATCH($AE12,tbl_Finance[Row ID],0))),""))</f>
        <v/>
      </c>
      <c r="B12" s="10">
        <f>IF($C12="","",IFERROR(INDEX(tbl_Finance[Invoice Numbers],MATCH($AE12,tbl_Finance[Row ID],0))&amp;"",""))</f>
        <v/>
      </c>
      <c r="C12" s="37" t="n"/>
      <c r="D12" s="10">
        <f>IF($C12="","",IF(COUNTIF(lst_Jobs,$C12&amp;"")&gt;0,"OK","CHECK"))</f>
        <v/>
      </c>
      <c r="E12" s="10">
        <f>IF($C12="","",IFERROR(INDEX(lst_JobName,MATCH($C12&amp;"",lst_Jobs,0)),""))</f>
        <v/>
      </c>
      <c r="F12" s="37" t="n"/>
      <c r="G12" s="37" t="n"/>
      <c r="H12" s="37" t="n"/>
      <c r="I12" s="37" t="n"/>
      <c r="J12" s="37" t="n"/>
      <c r="K12" s="38">
        <f>IF($C12="","",IFERROR(N(INDEX(tbl_Finance[Invoice Count],MATCH($AE12,tbl_Finance[Row ID],0))),""))</f>
        <v/>
      </c>
      <c r="L12" s="11">
        <f>IF($C12="","",IFERROR(N(INDEX(tbl_Finance[Xero Invoiced Ex GST],MATCH($AE12,tbl_Finance[Row ID],0))),""))</f>
        <v/>
      </c>
      <c r="M12" s="10">
        <f>IF($C12="","",IFERROR(INDEX(tbl_Finance[Compare],MATCH($AE12,tbl_Finance[Row ID],0))&amp;"",""))</f>
        <v/>
      </c>
      <c r="N12" s="11">
        <f>IF($C12="","",MAX(0,N(O12)-N(L12)))</f>
        <v/>
      </c>
      <c r="O12" s="39" t="n"/>
      <c r="P12" s="40">
        <f>IF($C12="","",IF((IF(F12="",", Client","")&amp;IF(G12="",", Description","")&amp;IF(H12="",", Cost Centre","")&amp;IF(I12="",", Invoice Type","")&amp;IF(J12="",", Tax Code","")&amp;IF(O12="",", Expected Revenue","")&amp;IF(COUNTIF(tbl_Finance[Job Number],$C12&amp;"")&gt;1,", Job number used twice",""))="","Complete","Fix: "&amp;MID(IF(F12="",", Client","")&amp;IF(G12="",", Description","")&amp;IF(H12="",", Cost Centre","")&amp;IF(I12="",", Invoice Type","")&amp;IF(J12="",", Tax Code","")&amp;IF(O12="",", Expected Revenue","")&amp;IF(COUNTIF(tbl_Finance[Job Number],$C12&amp;"")&gt;1,", Job number used twice",""),3,300)))</f>
        <v/>
      </c>
      <c r="Q12" s="10">
        <f>IF($C12="","",IF(H12="","(no cost centre)",H12&amp;" - GL "&amp;IFERROR(INDEX(lst_CCtoGL,MATCH(H12,lst_CCforGL,0)),"?")))</f>
        <v/>
      </c>
      <c r="R12" s="37" t="n"/>
      <c r="S12" s="10">
        <f>IF(R12="","",HYPERLINK(IF(LEFT(R12,4)="http",R12,set_QwilrBase&amp;R12),"Open quote"))</f>
        <v/>
      </c>
      <c r="T12" s="39" t="n"/>
      <c r="U12" s="39" t="n"/>
      <c r="V12" s="39" t="n"/>
      <c r="W12" s="10">
        <f>IF(C12="","",IF(N(T12)+N(U12)+N(V12)=0,"Not split",IF(ROUND(N(T12)+N(U12)+N(V12),2)=ROUND(MAX(N(L12),N(O12)),2),"OK","MISMATCH")))</f>
        <v/>
      </c>
      <c r="X12" s="39" t="n"/>
      <c r="Y12" s="39" t="n"/>
      <c r="Z12" s="39" t="n"/>
      <c r="AA12" s="11">
        <f>IF(C12="","",N(X12)+N(Y12)+N(Z12))</f>
        <v/>
      </c>
      <c r="AB12" s="11">
        <f>IF(C12="","",MAX(N(L12),N(O12))-N(AA12))</f>
        <v/>
      </c>
      <c r="AC12" s="43">
        <f>IFERROR(IF(MAX(N(L12),N(O12))=0,"",AB12/MAX(N(L12),N(O12))),"")</f>
        <v/>
      </c>
      <c r="AD12" s="37" t="n"/>
      <c r="AE12" s="10" t="inlineStr">
        <is>
          <t>CON-0008</t>
        </is>
      </c>
    </row>
    <row r="13">
      <c r="A13" s="16">
        <f>IF($C13="","",IFERROR(IF(INDEX(tbl_Finance[Latest Invoice Date],MATCH($AE13,tbl_Finance[Row ID],0))="","",INDEX(tbl_Finance[Latest Invoice Date],MATCH($AE13,tbl_Finance[Row ID],0))),""))</f>
        <v/>
      </c>
      <c r="B13" s="10">
        <f>IF($C13="","",IFERROR(INDEX(tbl_Finance[Invoice Numbers],MATCH($AE13,tbl_Finance[Row ID],0))&amp;"",""))</f>
        <v/>
      </c>
      <c r="C13" s="37" t="n"/>
      <c r="D13" s="10">
        <f>IF($C13="","",IF(COUNTIF(lst_Jobs,$C13&amp;"")&gt;0,"OK","CHECK"))</f>
        <v/>
      </c>
      <c r="E13" s="10">
        <f>IF($C13="","",IFERROR(INDEX(lst_JobName,MATCH($C13&amp;"",lst_Jobs,0)),""))</f>
        <v/>
      </c>
      <c r="F13" s="37" t="n"/>
      <c r="G13" s="37" t="n"/>
      <c r="H13" s="37" t="n"/>
      <c r="I13" s="37" t="n"/>
      <c r="J13" s="37" t="n"/>
      <c r="K13" s="38">
        <f>IF($C13="","",IFERROR(N(INDEX(tbl_Finance[Invoice Count],MATCH($AE13,tbl_Finance[Row ID],0))),""))</f>
        <v/>
      </c>
      <c r="L13" s="11">
        <f>IF($C13="","",IFERROR(N(INDEX(tbl_Finance[Xero Invoiced Ex GST],MATCH($AE13,tbl_Finance[Row ID],0))),""))</f>
        <v/>
      </c>
      <c r="M13" s="10">
        <f>IF($C13="","",IFERROR(INDEX(tbl_Finance[Compare],MATCH($AE13,tbl_Finance[Row ID],0))&amp;"",""))</f>
        <v/>
      </c>
      <c r="N13" s="11">
        <f>IF($C13="","",MAX(0,N(O13)-N(L13)))</f>
        <v/>
      </c>
      <c r="O13" s="39" t="n"/>
      <c r="P13" s="40">
        <f>IF($C13="","",IF((IF(F13="",", Client","")&amp;IF(G13="",", Description","")&amp;IF(H13="",", Cost Centre","")&amp;IF(I13="",", Invoice Type","")&amp;IF(J13="",", Tax Code","")&amp;IF(O13="",", Expected Revenue","")&amp;IF(COUNTIF(tbl_Finance[Job Number],$C13&amp;"")&gt;1,", Job number used twice",""))="","Complete","Fix: "&amp;MID(IF(F13="",", Client","")&amp;IF(G13="",", Description","")&amp;IF(H13="",", Cost Centre","")&amp;IF(I13="",", Invoice Type","")&amp;IF(J13="",", Tax Code","")&amp;IF(O13="",", Expected Revenue","")&amp;IF(COUNTIF(tbl_Finance[Job Number],$C13&amp;"")&gt;1,", Job number used twice",""),3,300)))</f>
        <v/>
      </c>
      <c r="Q13" s="10">
        <f>IF($C13="","",IF(H13="","(no cost centre)",H13&amp;" - GL "&amp;IFERROR(INDEX(lst_CCtoGL,MATCH(H13,lst_CCforGL,0)),"?")))</f>
        <v/>
      </c>
      <c r="R13" s="37" t="n"/>
      <c r="S13" s="10">
        <f>IF(R13="","",HYPERLINK(IF(LEFT(R13,4)="http",R13,set_QwilrBase&amp;R13),"Open quote"))</f>
        <v/>
      </c>
      <c r="T13" s="39" t="n"/>
      <c r="U13" s="39" t="n"/>
      <c r="V13" s="39" t="n"/>
      <c r="W13" s="10">
        <f>IF(C13="","",IF(N(T13)+N(U13)+N(V13)=0,"Not split",IF(ROUND(N(T13)+N(U13)+N(V13),2)=ROUND(MAX(N(L13),N(O13)),2),"OK","MISMATCH")))</f>
        <v/>
      </c>
      <c r="X13" s="39" t="n"/>
      <c r="Y13" s="39" t="n"/>
      <c r="Z13" s="39" t="n"/>
      <c r="AA13" s="11">
        <f>IF(C13="","",N(X13)+N(Y13)+N(Z13))</f>
        <v/>
      </c>
      <c r="AB13" s="11">
        <f>IF(C13="","",MAX(N(L13),N(O13))-N(AA13))</f>
        <v/>
      </c>
      <c r="AC13" s="43">
        <f>IFERROR(IF(MAX(N(L13),N(O13))=0,"",AB13/MAX(N(L13),N(O13))),"")</f>
        <v/>
      </c>
      <c r="AD13" s="37" t="n"/>
      <c r="AE13" s="10" t="inlineStr">
        <is>
          <t>CON-0009</t>
        </is>
      </c>
    </row>
    <row r="14">
      <c r="A14" s="16">
        <f>IF($C14="","",IFERROR(IF(INDEX(tbl_Finance[Latest Invoice Date],MATCH($AE14,tbl_Finance[Row ID],0))="","",INDEX(tbl_Finance[Latest Invoice Date],MATCH($AE14,tbl_Finance[Row ID],0))),""))</f>
        <v/>
      </c>
      <c r="B14" s="10">
        <f>IF($C14="","",IFERROR(INDEX(tbl_Finance[Invoice Numbers],MATCH($AE14,tbl_Finance[Row ID],0))&amp;"",""))</f>
        <v/>
      </c>
      <c r="C14" s="37" t="n"/>
      <c r="D14" s="10">
        <f>IF($C14="","",IF(COUNTIF(lst_Jobs,$C14&amp;"")&gt;0,"OK","CHECK"))</f>
        <v/>
      </c>
      <c r="E14" s="10">
        <f>IF($C14="","",IFERROR(INDEX(lst_JobName,MATCH($C14&amp;"",lst_Jobs,0)),""))</f>
        <v/>
      </c>
      <c r="F14" s="37" t="n"/>
      <c r="G14" s="37" t="n"/>
      <c r="H14" s="37" t="n"/>
      <c r="I14" s="37" t="n"/>
      <c r="J14" s="37" t="n"/>
      <c r="K14" s="38">
        <f>IF($C14="","",IFERROR(N(INDEX(tbl_Finance[Invoice Count],MATCH($AE14,tbl_Finance[Row ID],0))),""))</f>
        <v/>
      </c>
      <c r="L14" s="11">
        <f>IF($C14="","",IFERROR(N(INDEX(tbl_Finance[Xero Invoiced Ex GST],MATCH($AE14,tbl_Finance[Row ID],0))),""))</f>
        <v/>
      </c>
      <c r="M14" s="10">
        <f>IF($C14="","",IFERROR(INDEX(tbl_Finance[Compare],MATCH($AE14,tbl_Finance[Row ID],0))&amp;"",""))</f>
        <v/>
      </c>
      <c r="N14" s="11">
        <f>IF($C14="","",MAX(0,N(O14)-N(L14)))</f>
        <v/>
      </c>
      <c r="O14" s="39" t="n"/>
      <c r="P14" s="40">
        <f>IF($C14="","",IF((IF(F14="",", Client","")&amp;IF(G14="",", Description","")&amp;IF(H14="",", Cost Centre","")&amp;IF(I14="",", Invoice Type","")&amp;IF(J14="",", Tax Code","")&amp;IF(O14="",", Expected Revenue","")&amp;IF(COUNTIF(tbl_Finance[Job Number],$C14&amp;"")&gt;1,", Job number used twice",""))="","Complete","Fix: "&amp;MID(IF(F14="",", Client","")&amp;IF(G14="",", Description","")&amp;IF(H14="",", Cost Centre","")&amp;IF(I14="",", Invoice Type","")&amp;IF(J14="",", Tax Code","")&amp;IF(O14="",", Expected Revenue","")&amp;IF(COUNTIF(tbl_Finance[Job Number],$C14&amp;"")&gt;1,", Job number used twice",""),3,300)))</f>
        <v/>
      </c>
      <c r="Q14" s="10">
        <f>IF($C14="","",IF(H14="","(no cost centre)",H14&amp;" - GL "&amp;IFERROR(INDEX(lst_CCtoGL,MATCH(H14,lst_CCforGL,0)),"?")))</f>
        <v/>
      </c>
      <c r="R14" s="37" t="n"/>
      <c r="S14" s="10">
        <f>IF(R14="","",HYPERLINK(IF(LEFT(R14,4)="http",R14,set_QwilrBase&amp;R14),"Open quote"))</f>
        <v/>
      </c>
      <c r="T14" s="39" t="n"/>
      <c r="U14" s="39" t="n"/>
      <c r="V14" s="39" t="n"/>
      <c r="W14" s="10">
        <f>IF(C14="","",IF(N(T14)+N(U14)+N(V14)=0,"Not split",IF(ROUND(N(T14)+N(U14)+N(V14),2)=ROUND(MAX(N(L14),N(O14)),2),"OK","MISMATCH")))</f>
        <v/>
      </c>
      <c r="X14" s="39" t="n"/>
      <c r="Y14" s="39" t="n"/>
      <c r="Z14" s="39" t="n"/>
      <c r="AA14" s="11">
        <f>IF(C14="","",N(X14)+N(Y14)+N(Z14))</f>
        <v/>
      </c>
      <c r="AB14" s="11">
        <f>IF(C14="","",MAX(N(L14),N(O14))-N(AA14))</f>
        <v/>
      </c>
      <c r="AC14" s="43">
        <f>IFERROR(IF(MAX(N(L14),N(O14))=0,"",AB14/MAX(N(L14),N(O14))),"")</f>
        <v/>
      </c>
      <c r="AD14" s="37" t="n"/>
      <c r="AE14" s="10" t="inlineStr">
        <is>
          <t>CON-0010</t>
        </is>
      </c>
    </row>
    <row r="15">
      <c r="A15" s="16">
        <f>IF($C15="","",IFERROR(IF(INDEX(tbl_Finance[Latest Invoice Date],MATCH($AE15,tbl_Finance[Row ID],0))="","",INDEX(tbl_Finance[Latest Invoice Date],MATCH($AE15,tbl_Finance[Row ID],0))),""))</f>
        <v/>
      </c>
      <c r="B15" s="10">
        <f>IF($C15="","",IFERROR(INDEX(tbl_Finance[Invoice Numbers],MATCH($AE15,tbl_Finance[Row ID],0))&amp;"",""))</f>
        <v/>
      </c>
      <c r="C15" s="37" t="n"/>
      <c r="D15" s="10">
        <f>IF($C15="","",IF(COUNTIF(lst_Jobs,$C15&amp;"")&gt;0,"OK","CHECK"))</f>
        <v/>
      </c>
      <c r="E15" s="10">
        <f>IF($C15="","",IFERROR(INDEX(lst_JobName,MATCH($C15&amp;"",lst_Jobs,0)),""))</f>
        <v/>
      </c>
      <c r="F15" s="37" t="n"/>
      <c r="G15" s="37" t="n"/>
      <c r="H15" s="37" t="n"/>
      <c r="I15" s="37" t="n"/>
      <c r="J15" s="37" t="n"/>
      <c r="K15" s="38">
        <f>IF($C15="","",IFERROR(N(INDEX(tbl_Finance[Invoice Count],MATCH($AE15,tbl_Finance[Row ID],0))),""))</f>
        <v/>
      </c>
      <c r="L15" s="11">
        <f>IF($C15="","",IFERROR(N(INDEX(tbl_Finance[Xero Invoiced Ex GST],MATCH($AE15,tbl_Finance[Row ID],0))),""))</f>
        <v/>
      </c>
      <c r="M15" s="10">
        <f>IF($C15="","",IFERROR(INDEX(tbl_Finance[Compare],MATCH($AE15,tbl_Finance[Row ID],0))&amp;"",""))</f>
        <v/>
      </c>
      <c r="N15" s="11">
        <f>IF($C15="","",MAX(0,N(O15)-N(L15)))</f>
        <v/>
      </c>
      <c r="O15" s="39" t="n"/>
      <c r="P15" s="40">
        <f>IF($C15="","",IF((IF(F15="",", Client","")&amp;IF(G15="",", Description","")&amp;IF(H15="",", Cost Centre","")&amp;IF(I15="",", Invoice Type","")&amp;IF(J15="",", Tax Code","")&amp;IF(O15="",", Expected Revenue","")&amp;IF(COUNTIF(tbl_Finance[Job Number],$C15&amp;"")&gt;1,", Job number used twice",""))="","Complete","Fix: "&amp;MID(IF(F15="",", Client","")&amp;IF(G15="",", Description","")&amp;IF(H15="",", Cost Centre","")&amp;IF(I15="",", Invoice Type","")&amp;IF(J15="",", Tax Code","")&amp;IF(O15="",", Expected Revenue","")&amp;IF(COUNTIF(tbl_Finance[Job Number],$C15&amp;"")&gt;1,", Job number used twice",""),3,300)))</f>
        <v/>
      </c>
      <c r="Q15" s="10">
        <f>IF($C15="","",IF(H15="","(no cost centre)",H15&amp;" - GL "&amp;IFERROR(INDEX(lst_CCtoGL,MATCH(H15,lst_CCforGL,0)),"?")))</f>
        <v/>
      </c>
      <c r="R15" s="37" t="n"/>
      <c r="S15" s="10">
        <f>IF(R15="","",HYPERLINK(IF(LEFT(R15,4)="http",R15,set_QwilrBase&amp;R15),"Open quote"))</f>
        <v/>
      </c>
      <c r="T15" s="39" t="n"/>
      <c r="U15" s="39" t="n"/>
      <c r="V15" s="39" t="n"/>
      <c r="W15" s="10">
        <f>IF(C15="","",IF(N(T15)+N(U15)+N(V15)=0,"Not split",IF(ROUND(N(T15)+N(U15)+N(V15),2)=ROUND(MAX(N(L15),N(O15)),2),"OK","MISMATCH")))</f>
        <v/>
      </c>
      <c r="X15" s="39" t="n"/>
      <c r="Y15" s="39" t="n"/>
      <c r="Z15" s="39" t="n"/>
      <c r="AA15" s="11">
        <f>IF(C15="","",N(X15)+N(Y15)+N(Z15))</f>
        <v/>
      </c>
      <c r="AB15" s="11">
        <f>IF(C15="","",MAX(N(L15),N(O15))-N(AA15))</f>
        <v/>
      </c>
      <c r="AC15" s="43">
        <f>IFERROR(IF(MAX(N(L15),N(O15))=0,"",AB15/MAX(N(L15),N(O15))),"")</f>
        <v/>
      </c>
      <c r="AD15" s="37" t="n"/>
      <c r="AE15" s="10" t="inlineStr">
        <is>
          <t>CON-0011</t>
        </is>
      </c>
    </row>
    <row r="16">
      <c r="A16" s="16">
        <f>IF($C16="","",IFERROR(IF(INDEX(tbl_Finance[Latest Invoice Date],MATCH($AE16,tbl_Finance[Row ID],0))="","",INDEX(tbl_Finance[Latest Invoice Date],MATCH($AE16,tbl_Finance[Row ID],0))),""))</f>
        <v/>
      </c>
      <c r="B16" s="10">
        <f>IF($C16="","",IFERROR(INDEX(tbl_Finance[Invoice Numbers],MATCH($AE16,tbl_Finance[Row ID],0))&amp;"",""))</f>
        <v/>
      </c>
      <c r="C16" s="37" t="n"/>
      <c r="D16" s="10">
        <f>IF($C16="","",IF(COUNTIF(lst_Jobs,$C16&amp;"")&gt;0,"OK","CHECK"))</f>
        <v/>
      </c>
      <c r="E16" s="10">
        <f>IF($C16="","",IFERROR(INDEX(lst_JobName,MATCH($C16&amp;"",lst_Jobs,0)),""))</f>
        <v/>
      </c>
      <c r="F16" s="37" t="n"/>
      <c r="G16" s="37" t="n"/>
      <c r="H16" s="37" t="n"/>
      <c r="I16" s="37" t="n"/>
      <c r="J16" s="37" t="n"/>
      <c r="K16" s="38">
        <f>IF($C16="","",IFERROR(N(INDEX(tbl_Finance[Invoice Count],MATCH($AE16,tbl_Finance[Row ID],0))),""))</f>
        <v/>
      </c>
      <c r="L16" s="11">
        <f>IF($C16="","",IFERROR(N(INDEX(tbl_Finance[Xero Invoiced Ex GST],MATCH($AE16,tbl_Finance[Row ID],0))),""))</f>
        <v/>
      </c>
      <c r="M16" s="10">
        <f>IF($C16="","",IFERROR(INDEX(tbl_Finance[Compare],MATCH($AE16,tbl_Finance[Row ID],0))&amp;"",""))</f>
        <v/>
      </c>
      <c r="N16" s="11">
        <f>IF($C16="","",MAX(0,N(O16)-N(L16)))</f>
        <v/>
      </c>
      <c r="O16" s="39" t="n"/>
      <c r="P16" s="40">
        <f>IF($C16="","",IF((IF(F16="",", Client","")&amp;IF(G16="",", Description","")&amp;IF(H16="",", Cost Centre","")&amp;IF(I16="",", Invoice Type","")&amp;IF(J16="",", Tax Code","")&amp;IF(O16="",", Expected Revenue","")&amp;IF(COUNTIF(tbl_Finance[Job Number],$C16&amp;"")&gt;1,", Job number used twice",""))="","Complete","Fix: "&amp;MID(IF(F16="",", Client","")&amp;IF(G16="",", Description","")&amp;IF(H16="",", Cost Centre","")&amp;IF(I16="",", Invoice Type","")&amp;IF(J16="",", Tax Code","")&amp;IF(O16="",", Expected Revenue","")&amp;IF(COUNTIF(tbl_Finance[Job Number],$C16&amp;"")&gt;1,", Job number used twice",""),3,300)))</f>
        <v/>
      </c>
      <c r="Q16" s="10">
        <f>IF($C16="","",IF(H16="","(no cost centre)",H16&amp;" - GL "&amp;IFERROR(INDEX(lst_CCtoGL,MATCH(H16,lst_CCforGL,0)),"?")))</f>
        <v/>
      </c>
      <c r="R16" s="37" t="n"/>
      <c r="S16" s="10">
        <f>IF(R16="","",HYPERLINK(IF(LEFT(R16,4)="http",R16,set_QwilrBase&amp;R16),"Open quote"))</f>
        <v/>
      </c>
      <c r="T16" s="39" t="n"/>
      <c r="U16" s="39" t="n"/>
      <c r="V16" s="39" t="n"/>
      <c r="W16" s="10">
        <f>IF(C16="","",IF(N(T16)+N(U16)+N(V16)=0,"Not split",IF(ROUND(N(T16)+N(U16)+N(V16),2)=ROUND(MAX(N(L16),N(O16)),2),"OK","MISMATCH")))</f>
        <v/>
      </c>
      <c r="X16" s="39" t="n"/>
      <c r="Y16" s="39" t="n"/>
      <c r="Z16" s="39" t="n"/>
      <c r="AA16" s="11">
        <f>IF(C16="","",N(X16)+N(Y16)+N(Z16))</f>
        <v/>
      </c>
      <c r="AB16" s="11">
        <f>IF(C16="","",MAX(N(L16),N(O16))-N(AA16))</f>
        <v/>
      </c>
      <c r="AC16" s="43">
        <f>IFERROR(IF(MAX(N(L16),N(O16))=0,"",AB16/MAX(N(L16),N(O16))),"")</f>
        <v/>
      </c>
      <c r="AD16" s="37" t="n"/>
      <c r="AE16" s="10" t="inlineStr">
        <is>
          <t>CON-0012</t>
        </is>
      </c>
    </row>
    <row r="17">
      <c r="A17" s="16">
        <f>IF($C17="","",IFERROR(IF(INDEX(tbl_Finance[Latest Invoice Date],MATCH($AE17,tbl_Finance[Row ID],0))="","",INDEX(tbl_Finance[Latest Invoice Date],MATCH($AE17,tbl_Finance[Row ID],0))),""))</f>
        <v/>
      </c>
      <c r="B17" s="10">
        <f>IF($C17="","",IFERROR(INDEX(tbl_Finance[Invoice Numbers],MATCH($AE17,tbl_Finance[Row ID],0))&amp;"",""))</f>
        <v/>
      </c>
      <c r="C17" s="37" t="n"/>
      <c r="D17" s="10">
        <f>IF($C17="","",IF(COUNTIF(lst_Jobs,$C17&amp;"")&gt;0,"OK","CHECK"))</f>
        <v/>
      </c>
      <c r="E17" s="10">
        <f>IF($C17="","",IFERROR(INDEX(lst_JobName,MATCH($C17&amp;"",lst_Jobs,0)),""))</f>
        <v/>
      </c>
      <c r="F17" s="37" t="n"/>
      <c r="G17" s="37" t="n"/>
      <c r="H17" s="37" t="n"/>
      <c r="I17" s="37" t="n"/>
      <c r="J17" s="37" t="n"/>
      <c r="K17" s="38">
        <f>IF($C17="","",IFERROR(N(INDEX(tbl_Finance[Invoice Count],MATCH($AE17,tbl_Finance[Row ID],0))),""))</f>
        <v/>
      </c>
      <c r="L17" s="11">
        <f>IF($C17="","",IFERROR(N(INDEX(tbl_Finance[Xero Invoiced Ex GST],MATCH($AE17,tbl_Finance[Row ID],0))),""))</f>
        <v/>
      </c>
      <c r="M17" s="10">
        <f>IF($C17="","",IFERROR(INDEX(tbl_Finance[Compare],MATCH($AE17,tbl_Finance[Row ID],0))&amp;"",""))</f>
        <v/>
      </c>
      <c r="N17" s="11">
        <f>IF($C17="","",MAX(0,N(O17)-N(L17)))</f>
        <v/>
      </c>
      <c r="O17" s="39" t="n"/>
      <c r="P17" s="40">
        <f>IF($C17="","",IF((IF(F17="",", Client","")&amp;IF(G17="",", Description","")&amp;IF(H17="",", Cost Centre","")&amp;IF(I17="",", Invoice Type","")&amp;IF(J17="",", Tax Code","")&amp;IF(O17="",", Expected Revenue","")&amp;IF(COUNTIF(tbl_Finance[Job Number],$C17&amp;"")&gt;1,", Job number used twice",""))="","Complete","Fix: "&amp;MID(IF(F17="",", Client","")&amp;IF(G17="",", Description","")&amp;IF(H17="",", Cost Centre","")&amp;IF(I17="",", Invoice Type","")&amp;IF(J17="",", Tax Code","")&amp;IF(O17="",", Expected Revenue","")&amp;IF(COUNTIF(tbl_Finance[Job Number],$C17&amp;"")&gt;1,", Job number used twice",""),3,300)))</f>
        <v/>
      </c>
      <c r="Q17" s="10">
        <f>IF($C17="","",IF(H17="","(no cost centre)",H17&amp;" - GL "&amp;IFERROR(INDEX(lst_CCtoGL,MATCH(H17,lst_CCforGL,0)),"?")))</f>
        <v/>
      </c>
      <c r="R17" s="37" t="n"/>
      <c r="S17" s="10">
        <f>IF(R17="","",HYPERLINK(IF(LEFT(R17,4)="http",R17,set_QwilrBase&amp;R17),"Open quote"))</f>
        <v/>
      </c>
      <c r="T17" s="39" t="n"/>
      <c r="U17" s="39" t="n"/>
      <c r="V17" s="39" t="n"/>
      <c r="W17" s="10">
        <f>IF(C17="","",IF(N(T17)+N(U17)+N(V17)=0,"Not split",IF(ROUND(N(T17)+N(U17)+N(V17),2)=ROUND(MAX(N(L17),N(O17)),2),"OK","MISMATCH")))</f>
        <v/>
      </c>
      <c r="X17" s="39" t="n"/>
      <c r="Y17" s="39" t="n"/>
      <c r="Z17" s="39" t="n"/>
      <c r="AA17" s="11">
        <f>IF(C17="","",N(X17)+N(Y17)+N(Z17))</f>
        <v/>
      </c>
      <c r="AB17" s="11">
        <f>IF(C17="","",MAX(N(L17),N(O17))-N(AA17))</f>
        <v/>
      </c>
      <c r="AC17" s="43">
        <f>IFERROR(IF(MAX(N(L17),N(O17))=0,"",AB17/MAX(N(L17),N(O17))),"")</f>
        <v/>
      </c>
      <c r="AD17" s="37" t="n"/>
      <c r="AE17" s="10" t="inlineStr">
        <is>
          <t>CON-0013</t>
        </is>
      </c>
    </row>
    <row r="18">
      <c r="A18" s="16">
        <f>IF($C18="","",IFERROR(IF(INDEX(tbl_Finance[Latest Invoice Date],MATCH($AE18,tbl_Finance[Row ID],0))="","",INDEX(tbl_Finance[Latest Invoice Date],MATCH($AE18,tbl_Finance[Row ID],0))),""))</f>
        <v/>
      </c>
      <c r="B18" s="10">
        <f>IF($C18="","",IFERROR(INDEX(tbl_Finance[Invoice Numbers],MATCH($AE18,tbl_Finance[Row ID],0))&amp;"",""))</f>
        <v/>
      </c>
      <c r="C18" s="37" t="n"/>
      <c r="D18" s="10">
        <f>IF($C18="","",IF(COUNTIF(lst_Jobs,$C18&amp;"")&gt;0,"OK","CHECK"))</f>
        <v/>
      </c>
      <c r="E18" s="10">
        <f>IF($C18="","",IFERROR(INDEX(lst_JobName,MATCH($C18&amp;"",lst_Jobs,0)),""))</f>
        <v/>
      </c>
      <c r="F18" s="37" t="n"/>
      <c r="G18" s="37" t="n"/>
      <c r="H18" s="37" t="n"/>
      <c r="I18" s="37" t="n"/>
      <c r="J18" s="37" t="n"/>
      <c r="K18" s="38">
        <f>IF($C18="","",IFERROR(N(INDEX(tbl_Finance[Invoice Count],MATCH($AE18,tbl_Finance[Row ID],0))),""))</f>
        <v/>
      </c>
      <c r="L18" s="11">
        <f>IF($C18="","",IFERROR(N(INDEX(tbl_Finance[Xero Invoiced Ex GST],MATCH($AE18,tbl_Finance[Row ID],0))),""))</f>
        <v/>
      </c>
      <c r="M18" s="10">
        <f>IF($C18="","",IFERROR(INDEX(tbl_Finance[Compare],MATCH($AE18,tbl_Finance[Row ID],0))&amp;"",""))</f>
        <v/>
      </c>
      <c r="N18" s="11">
        <f>IF($C18="","",MAX(0,N(O18)-N(L18)))</f>
        <v/>
      </c>
      <c r="O18" s="39" t="n"/>
      <c r="P18" s="40">
        <f>IF($C18="","",IF((IF(F18="",", Client","")&amp;IF(G18="",", Description","")&amp;IF(H18="",", Cost Centre","")&amp;IF(I18="",", Invoice Type","")&amp;IF(J18="",", Tax Code","")&amp;IF(O18="",", Expected Revenue","")&amp;IF(COUNTIF(tbl_Finance[Job Number],$C18&amp;"")&gt;1,", Job number used twice",""))="","Complete","Fix: "&amp;MID(IF(F18="",", Client","")&amp;IF(G18="",", Description","")&amp;IF(H18="",", Cost Centre","")&amp;IF(I18="",", Invoice Type","")&amp;IF(J18="",", Tax Code","")&amp;IF(O18="",", Expected Revenue","")&amp;IF(COUNTIF(tbl_Finance[Job Number],$C18&amp;"")&gt;1,", Job number used twice",""),3,300)))</f>
        <v/>
      </c>
      <c r="Q18" s="10">
        <f>IF($C18="","",IF(H18="","(no cost centre)",H18&amp;" - GL "&amp;IFERROR(INDEX(lst_CCtoGL,MATCH(H18,lst_CCforGL,0)),"?")))</f>
        <v/>
      </c>
      <c r="R18" s="37" t="n"/>
      <c r="S18" s="10">
        <f>IF(R18="","",HYPERLINK(IF(LEFT(R18,4)="http",R18,set_QwilrBase&amp;R18),"Open quote"))</f>
        <v/>
      </c>
      <c r="T18" s="39" t="n"/>
      <c r="U18" s="39" t="n"/>
      <c r="V18" s="39" t="n"/>
      <c r="W18" s="10">
        <f>IF(C18="","",IF(N(T18)+N(U18)+N(V18)=0,"Not split",IF(ROUND(N(T18)+N(U18)+N(V18),2)=ROUND(MAX(N(L18),N(O18)),2),"OK","MISMATCH")))</f>
        <v/>
      </c>
      <c r="X18" s="39" t="n"/>
      <c r="Y18" s="39" t="n"/>
      <c r="Z18" s="39" t="n"/>
      <c r="AA18" s="11">
        <f>IF(C18="","",N(X18)+N(Y18)+N(Z18))</f>
        <v/>
      </c>
      <c r="AB18" s="11">
        <f>IF(C18="","",MAX(N(L18),N(O18))-N(AA18))</f>
        <v/>
      </c>
      <c r="AC18" s="43">
        <f>IFERROR(IF(MAX(N(L18),N(O18))=0,"",AB18/MAX(N(L18),N(O18))),"")</f>
        <v/>
      </c>
      <c r="AD18" s="37" t="n"/>
      <c r="AE18" s="10" t="inlineStr">
        <is>
          <t>CON-0014</t>
        </is>
      </c>
    </row>
    <row r="19">
      <c r="A19" s="16">
        <f>IF($C19="","",IFERROR(IF(INDEX(tbl_Finance[Latest Invoice Date],MATCH($AE19,tbl_Finance[Row ID],0))="","",INDEX(tbl_Finance[Latest Invoice Date],MATCH($AE19,tbl_Finance[Row ID],0))),""))</f>
        <v/>
      </c>
      <c r="B19" s="10">
        <f>IF($C19="","",IFERROR(INDEX(tbl_Finance[Invoice Numbers],MATCH($AE19,tbl_Finance[Row ID],0))&amp;"",""))</f>
        <v/>
      </c>
      <c r="C19" s="37" t="n"/>
      <c r="D19" s="10">
        <f>IF($C19="","",IF(COUNTIF(lst_Jobs,$C19&amp;"")&gt;0,"OK","CHECK"))</f>
        <v/>
      </c>
      <c r="E19" s="10">
        <f>IF($C19="","",IFERROR(INDEX(lst_JobName,MATCH($C19&amp;"",lst_Jobs,0)),""))</f>
        <v/>
      </c>
      <c r="F19" s="37" t="n"/>
      <c r="G19" s="37" t="n"/>
      <c r="H19" s="37" t="n"/>
      <c r="I19" s="37" t="n"/>
      <c r="J19" s="37" t="n"/>
      <c r="K19" s="38">
        <f>IF($C19="","",IFERROR(N(INDEX(tbl_Finance[Invoice Count],MATCH($AE19,tbl_Finance[Row ID],0))),""))</f>
        <v/>
      </c>
      <c r="L19" s="11">
        <f>IF($C19="","",IFERROR(N(INDEX(tbl_Finance[Xero Invoiced Ex GST],MATCH($AE19,tbl_Finance[Row ID],0))),""))</f>
        <v/>
      </c>
      <c r="M19" s="10">
        <f>IF($C19="","",IFERROR(INDEX(tbl_Finance[Compare],MATCH($AE19,tbl_Finance[Row ID],0))&amp;"",""))</f>
        <v/>
      </c>
      <c r="N19" s="11">
        <f>IF($C19="","",MAX(0,N(O19)-N(L19)))</f>
        <v/>
      </c>
      <c r="O19" s="39" t="n"/>
      <c r="P19" s="40">
        <f>IF($C19="","",IF((IF(F19="",", Client","")&amp;IF(G19="",", Description","")&amp;IF(H19="",", Cost Centre","")&amp;IF(I19="",", Invoice Type","")&amp;IF(J19="",", Tax Code","")&amp;IF(O19="",", Expected Revenue","")&amp;IF(COUNTIF(tbl_Finance[Job Number],$C19&amp;"")&gt;1,", Job number used twice",""))="","Complete","Fix: "&amp;MID(IF(F19="",", Client","")&amp;IF(G19="",", Description","")&amp;IF(H19="",", Cost Centre","")&amp;IF(I19="",", Invoice Type","")&amp;IF(J19="",", Tax Code","")&amp;IF(O19="",", Expected Revenue","")&amp;IF(COUNTIF(tbl_Finance[Job Number],$C19&amp;"")&gt;1,", Job number used twice",""),3,300)))</f>
        <v/>
      </c>
      <c r="Q19" s="10">
        <f>IF($C19="","",IF(H19="","(no cost centre)",H19&amp;" - GL "&amp;IFERROR(INDEX(lst_CCtoGL,MATCH(H19,lst_CCforGL,0)),"?")))</f>
        <v/>
      </c>
      <c r="R19" s="37" t="n"/>
      <c r="S19" s="10">
        <f>IF(R19="","",HYPERLINK(IF(LEFT(R19,4)="http",R19,set_QwilrBase&amp;R19),"Open quote"))</f>
        <v/>
      </c>
      <c r="T19" s="39" t="n"/>
      <c r="U19" s="39" t="n"/>
      <c r="V19" s="39" t="n"/>
      <c r="W19" s="10">
        <f>IF(C19="","",IF(N(T19)+N(U19)+N(V19)=0,"Not split",IF(ROUND(N(T19)+N(U19)+N(V19),2)=ROUND(MAX(N(L19),N(O19)),2),"OK","MISMATCH")))</f>
        <v/>
      </c>
      <c r="X19" s="39" t="n"/>
      <c r="Y19" s="39" t="n"/>
      <c r="Z19" s="39" t="n"/>
      <c r="AA19" s="11">
        <f>IF(C19="","",N(X19)+N(Y19)+N(Z19))</f>
        <v/>
      </c>
      <c r="AB19" s="11">
        <f>IF(C19="","",MAX(N(L19),N(O19))-N(AA19))</f>
        <v/>
      </c>
      <c r="AC19" s="43">
        <f>IFERROR(IF(MAX(N(L19),N(O19))=0,"",AB19/MAX(N(L19),N(O19))),"")</f>
        <v/>
      </c>
      <c r="AD19" s="37" t="n"/>
      <c r="AE19" s="10" t="inlineStr">
        <is>
          <t>CON-0015</t>
        </is>
      </c>
    </row>
    <row r="20">
      <c r="A20" s="16">
        <f>IF($C20="","",IFERROR(IF(INDEX(tbl_Finance[Latest Invoice Date],MATCH($AE20,tbl_Finance[Row ID],0))="","",INDEX(tbl_Finance[Latest Invoice Date],MATCH($AE20,tbl_Finance[Row ID],0))),""))</f>
        <v/>
      </c>
      <c r="B20" s="10">
        <f>IF($C20="","",IFERROR(INDEX(tbl_Finance[Invoice Numbers],MATCH($AE20,tbl_Finance[Row ID],0))&amp;"",""))</f>
        <v/>
      </c>
      <c r="C20" s="37" t="n"/>
      <c r="D20" s="10">
        <f>IF($C20="","",IF(COUNTIF(lst_Jobs,$C20&amp;"")&gt;0,"OK","CHECK"))</f>
        <v/>
      </c>
      <c r="E20" s="10">
        <f>IF($C20="","",IFERROR(INDEX(lst_JobName,MATCH($C20&amp;"",lst_Jobs,0)),""))</f>
        <v/>
      </c>
      <c r="F20" s="37" t="n"/>
      <c r="G20" s="37" t="n"/>
      <c r="H20" s="37" t="n"/>
      <c r="I20" s="37" t="n"/>
      <c r="J20" s="37" t="n"/>
      <c r="K20" s="38">
        <f>IF($C20="","",IFERROR(N(INDEX(tbl_Finance[Invoice Count],MATCH($AE20,tbl_Finance[Row ID],0))),""))</f>
        <v/>
      </c>
      <c r="L20" s="11">
        <f>IF($C20="","",IFERROR(N(INDEX(tbl_Finance[Xero Invoiced Ex GST],MATCH($AE20,tbl_Finance[Row ID],0))),""))</f>
        <v/>
      </c>
      <c r="M20" s="10">
        <f>IF($C20="","",IFERROR(INDEX(tbl_Finance[Compare],MATCH($AE20,tbl_Finance[Row ID],0))&amp;"",""))</f>
        <v/>
      </c>
      <c r="N20" s="11">
        <f>IF($C20="","",MAX(0,N(O20)-N(L20)))</f>
        <v/>
      </c>
      <c r="O20" s="39" t="n"/>
      <c r="P20" s="40">
        <f>IF($C20="","",IF((IF(F20="",", Client","")&amp;IF(G20="",", Description","")&amp;IF(H20="",", Cost Centre","")&amp;IF(I20="",", Invoice Type","")&amp;IF(J20="",", Tax Code","")&amp;IF(O20="",", Expected Revenue","")&amp;IF(COUNTIF(tbl_Finance[Job Number],$C20&amp;"")&gt;1,", Job number used twice",""))="","Complete","Fix: "&amp;MID(IF(F20="",", Client","")&amp;IF(G20="",", Description","")&amp;IF(H20="",", Cost Centre","")&amp;IF(I20="",", Invoice Type","")&amp;IF(J20="",", Tax Code","")&amp;IF(O20="",", Expected Revenue","")&amp;IF(COUNTIF(tbl_Finance[Job Number],$C20&amp;"")&gt;1,", Job number used twice",""),3,300)))</f>
        <v/>
      </c>
      <c r="Q20" s="10">
        <f>IF($C20="","",IF(H20="","(no cost centre)",H20&amp;" - GL "&amp;IFERROR(INDEX(lst_CCtoGL,MATCH(H20,lst_CCforGL,0)),"?")))</f>
        <v/>
      </c>
      <c r="R20" s="37" t="n"/>
      <c r="S20" s="10">
        <f>IF(R20="","",HYPERLINK(IF(LEFT(R20,4)="http",R20,set_QwilrBase&amp;R20),"Open quote"))</f>
        <v/>
      </c>
      <c r="T20" s="39" t="n"/>
      <c r="U20" s="39" t="n"/>
      <c r="V20" s="39" t="n"/>
      <c r="W20" s="10">
        <f>IF(C20="","",IF(N(T20)+N(U20)+N(V20)=0,"Not split",IF(ROUND(N(T20)+N(U20)+N(V20),2)=ROUND(MAX(N(L20),N(O20)),2),"OK","MISMATCH")))</f>
        <v/>
      </c>
      <c r="X20" s="39" t="n"/>
      <c r="Y20" s="39" t="n"/>
      <c r="Z20" s="39" t="n"/>
      <c r="AA20" s="11">
        <f>IF(C20="","",N(X20)+N(Y20)+N(Z20))</f>
        <v/>
      </c>
      <c r="AB20" s="11">
        <f>IF(C20="","",MAX(N(L20),N(O20))-N(AA20))</f>
        <v/>
      </c>
      <c r="AC20" s="43">
        <f>IFERROR(IF(MAX(N(L20),N(O20))=0,"",AB20/MAX(N(L20),N(O20))),"")</f>
        <v/>
      </c>
      <c r="AD20" s="37" t="n"/>
      <c r="AE20" s="10" t="inlineStr">
        <is>
          <t>CON-0016</t>
        </is>
      </c>
    </row>
    <row r="21">
      <c r="A21" s="16">
        <f>IF($C21="","",IFERROR(IF(INDEX(tbl_Finance[Latest Invoice Date],MATCH($AE21,tbl_Finance[Row ID],0))="","",INDEX(tbl_Finance[Latest Invoice Date],MATCH($AE21,tbl_Finance[Row ID],0))),""))</f>
        <v/>
      </c>
      <c r="B21" s="10">
        <f>IF($C21="","",IFERROR(INDEX(tbl_Finance[Invoice Numbers],MATCH($AE21,tbl_Finance[Row ID],0))&amp;"",""))</f>
        <v/>
      </c>
      <c r="C21" s="37" t="n"/>
      <c r="D21" s="10">
        <f>IF($C21="","",IF(COUNTIF(lst_Jobs,$C21&amp;"")&gt;0,"OK","CHECK"))</f>
        <v/>
      </c>
      <c r="E21" s="10">
        <f>IF($C21="","",IFERROR(INDEX(lst_JobName,MATCH($C21&amp;"",lst_Jobs,0)),""))</f>
        <v/>
      </c>
      <c r="F21" s="37" t="n"/>
      <c r="G21" s="37" t="n"/>
      <c r="H21" s="37" t="n"/>
      <c r="I21" s="37" t="n"/>
      <c r="J21" s="37" t="n"/>
      <c r="K21" s="38">
        <f>IF($C21="","",IFERROR(N(INDEX(tbl_Finance[Invoice Count],MATCH($AE21,tbl_Finance[Row ID],0))),""))</f>
        <v/>
      </c>
      <c r="L21" s="11">
        <f>IF($C21="","",IFERROR(N(INDEX(tbl_Finance[Xero Invoiced Ex GST],MATCH($AE21,tbl_Finance[Row ID],0))),""))</f>
        <v/>
      </c>
      <c r="M21" s="10">
        <f>IF($C21="","",IFERROR(INDEX(tbl_Finance[Compare],MATCH($AE21,tbl_Finance[Row ID],0))&amp;"",""))</f>
        <v/>
      </c>
      <c r="N21" s="11">
        <f>IF($C21="","",MAX(0,N(O21)-N(L21)))</f>
        <v/>
      </c>
      <c r="O21" s="39" t="n"/>
      <c r="P21" s="40">
        <f>IF($C21="","",IF((IF(F21="",", Client","")&amp;IF(G21="",", Description","")&amp;IF(H21="",", Cost Centre","")&amp;IF(I21="",", Invoice Type","")&amp;IF(J21="",", Tax Code","")&amp;IF(O21="",", Expected Revenue","")&amp;IF(COUNTIF(tbl_Finance[Job Number],$C21&amp;"")&gt;1,", Job number used twice",""))="","Complete","Fix: "&amp;MID(IF(F21="",", Client","")&amp;IF(G21="",", Description","")&amp;IF(H21="",", Cost Centre","")&amp;IF(I21="",", Invoice Type","")&amp;IF(J21="",", Tax Code","")&amp;IF(O21="",", Expected Revenue","")&amp;IF(COUNTIF(tbl_Finance[Job Number],$C21&amp;"")&gt;1,", Job number used twice",""),3,300)))</f>
        <v/>
      </c>
      <c r="Q21" s="10">
        <f>IF($C21="","",IF(H21="","(no cost centre)",H21&amp;" - GL "&amp;IFERROR(INDEX(lst_CCtoGL,MATCH(H21,lst_CCforGL,0)),"?")))</f>
        <v/>
      </c>
      <c r="R21" s="37" t="n"/>
      <c r="S21" s="10">
        <f>IF(R21="","",HYPERLINK(IF(LEFT(R21,4)="http",R21,set_QwilrBase&amp;R21),"Open quote"))</f>
        <v/>
      </c>
      <c r="T21" s="39" t="n"/>
      <c r="U21" s="39" t="n"/>
      <c r="V21" s="39" t="n"/>
      <c r="W21" s="10">
        <f>IF(C21="","",IF(N(T21)+N(U21)+N(V21)=0,"Not split",IF(ROUND(N(T21)+N(U21)+N(V21),2)=ROUND(MAX(N(L21),N(O21)),2),"OK","MISMATCH")))</f>
        <v/>
      </c>
      <c r="X21" s="39" t="n"/>
      <c r="Y21" s="39" t="n"/>
      <c r="Z21" s="39" t="n"/>
      <c r="AA21" s="11">
        <f>IF(C21="","",N(X21)+N(Y21)+N(Z21))</f>
        <v/>
      </c>
      <c r="AB21" s="11">
        <f>IF(C21="","",MAX(N(L21),N(O21))-N(AA21))</f>
        <v/>
      </c>
      <c r="AC21" s="43">
        <f>IFERROR(IF(MAX(N(L21),N(O21))=0,"",AB21/MAX(N(L21),N(O21))),"")</f>
        <v/>
      </c>
      <c r="AD21" s="37" t="n"/>
      <c r="AE21" s="10" t="inlineStr">
        <is>
          <t>CON-0017</t>
        </is>
      </c>
    </row>
    <row r="22">
      <c r="A22" s="16">
        <f>IF($C22="","",IFERROR(IF(INDEX(tbl_Finance[Latest Invoice Date],MATCH($AE22,tbl_Finance[Row ID],0))="","",INDEX(tbl_Finance[Latest Invoice Date],MATCH($AE22,tbl_Finance[Row ID],0))),""))</f>
        <v/>
      </c>
      <c r="B22" s="10">
        <f>IF($C22="","",IFERROR(INDEX(tbl_Finance[Invoice Numbers],MATCH($AE22,tbl_Finance[Row ID],0))&amp;"",""))</f>
        <v/>
      </c>
      <c r="C22" s="37" t="n"/>
      <c r="D22" s="10">
        <f>IF($C22="","",IF(COUNTIF(lst_Jobs,$C22&amp;"")&gt;0,"OK","CHECK"))</f>
        <v/>
      </c>
      <c r="E22" s="10">
        <f>IF($C22="","",IFERROR(INDEX(lst_JobName,MATCH($C22&amp;"",lst_Jobs,0)),""))</f>
        <v/>
      </c>
      <c r="F22" s="37" t="n"/>
      <c r="G22" s="37" t="n"/>
      <c r="H22" s="37" t="n"/>
      <c r="I22" s="37" t="n"/>
      <c r="J22" s="37" t="n"/>
      <c r="K22" s="38">
        <f>IF($C22="","",IFERROR(N(INDEX(tbl_Finance[Invoice Count],MATCH($AE22,tbl_Finance[Row ID],0))),""))</f>
        <v/>
      </c>
      <c r="L22" s="11">
        <f>IF($C22="","",IFERROR(N(INDEX(tbl_Finance[Xero Invoiced Ex GST],MATCH($AE22,tbl_Finance[Row ID],0))),""))</f>
        <v/>
      </c>
      <c r="M22" s="10">
        <f>IF($C22="","",IFERROR(INDEX(tbl_Finance[Compare],MATCH($AE22,tbl_Finance[Row ID],0))&amp;"",""))</f>
        <v/>
      </c>
      <c r="N22" s="11">
        <f>IF($C22="","",MAX(0,N(O22)-N(L22)))</f>
        <v/>
      </c>
      <c r="O22" s="39" t="n"/>
      <c r="P22" s="40">
        <f>IF($C22="","",IF((IF(F22="",", Client","")&amp;IF(G22="",", Description","")&amp;IF(H22="",", Cost Centre","")&amp;IF(I22="",", Invoice Type","")&amp;IF(J22="",", Tax Code","")&amp;IF(O22="",", Expected Revenue","")&amp;IF(COUNTIF(tbl_Finance[Job Number],$C22&amp;"")&gt;1,", Job number used twice",""))="","Complete","Fix: "&amp;MID(IF(F22="",", Client","")&amp;IF(G22="",", Description","")&amp;IF(H22="",", Cost Centre","")&amp;IF(I22="",", Invoice Type","")&amp;IF(J22="",", Tax Code","")&amp;IF(O22="",", Expected Revenue","")&amp;IF(COUNTIF(tbl_Finance[Job Number],$C22&amp;"")&gt;1,", Job number used twice",""),3,300)))</f>
        <v/>
      </c>
      <c r="Q22" s="10">
        <f>IF($C22="","",IF(H22="","(no cost centre)",H22&amp;" - GL "&amp;IFERROR(INDEX(lst_CCtoGL,MATCH(H22,lst_CCforGL,0)),"?")))</f>
        <v/>
      </c>
      <c r="R22" s="37" t="n"/>
      <c r="S22" s="10">
        <f>IF(R22="","",HYPERLINK(IF(LEFT(R22,4)="http",R22,set_QwilrBase&amp;R22),"Open quote"))</f>
        <v/>
      </c>
      <c r="T22" s="39" t="n"/>
      <c r="U22" s="39" t="n"/>
      <c r="V22" s="39" t="n"/>
      <c r="W22" s="10">
        <f>IF(C22="","",IF(N(T22)+N(U22)+N(V22)=0,"Not split",IF(ROUND(N(T22)+N(U22)+N(V22),2)=ROUND(MAX(N(L22),N(O22)),2),"OK","MISMATCH")))</f>
        <v/>
      </c>
      <c r="X22" s="39" t="n"/>
      <c r="Y22" s="39" t="n"/>
      <c r="Z22" s="39" t="n"/>
      <c r="AA22" s="11">
        <f>IF(C22="","",N(X22)+N(Y22)+N(Z22))</f>
        <v/>
      </c>
      <c r="AB22" s="11">
        <f>IF(C22="","",MAX(N(L22),N(O22))-N(AA22))</f>
        <v/>
      </c>
      <c r="AC22" s="43">
        <f>IFERROR(IF(MAX(N(L22),N(O22))=0,"",AB22/MAX(N(L22),N(O22))),"")</f>
        <v/>
      </c>
      <c r="AD22" s="37" t="n"/>
      <c r="AE22" s="10" t="inlineStr">
        <is>
          <t>CON-0018</t>
        </is>
      </c>
    </row>
    <row r="23">
      <c r="A23" s="16">
        <f>IF($C23="","",IFERROR(IF(INDEX(tbl_Finance[Latest Invoice Date],MATCH($AE23,tbl_Finance[Row ID],0))="","",INDEX(tbl_Finance[Latest Invoice Date],MATCH($AE23,tbl_Finance[Row ID],0))),""))</f>
        <v/>
      </c>
      <c r="B23" s="10">
        <f>IF($C23="","",IFERROR(INDEX(tbl_Finance[Invoice Numbers],MATCH($AE23,tbl_Finance[Row ID],0))&amp;"",""))</f>
        <v/>
      </c>
      <c r="C23" s="37" t="n"/>
      <c r="D23" s="10">
        <f>IF($C23="","",IF(COUNTIF(lst_Jobs,$C23&amp;"")&gt;0,"OK","CHECK"))</f>
        <v/>
      </c>
      <c r="E23" s="10">
        <f>IF($C23="","",IFERROR(INDEX(lst_JobName,MATCH($C23&amp;"",lst_Jobs,0)),""))</f>
        <v/>
      </c>
      <c r="F23" s="37" t="n"/>
      <c r="G23" s="37" t="n"/>
      <c r="H23" s="37" t="n"/>
      <c r="I23" s="37" t="n"/>
      <c r="J23" s="37" t="n"/>
      <c r="K23" s="38">
        <f>IF($C23="","",IFERROR(N(INDEX(tbl_Finance[Invoice Count],MATCH($AE23,tbl_Finance[Row ID],0))),""))</f>
        <v/>
      </c>
      <c r="L23" s="11">
        <f>IF($C23="","",IFERROR(N(INDEX(tbl_Finance[Xero Invoiced Ex GST],MATCH($AE23,tbl_Finance[Row ID],0))),""))</f>
        <v/>
      </c>
      <c r="M23" s="10">
        <f>IF($C23="","",IFERROR(INDEX(tbl_Finance[Compare],MATCH($AE23,tbl_Finance[Row ID],0))&amp;"",""))</f>
        <v/>
      </c>
      <c r="N23" s="11">
        <f>IF($C23="","",MAX(0,N(O23)-N(L23)))</f>
        <v/>
      </c>
      <c r="O23" s="39" t="n"/>
      <c r="P23" s="40">
        <f>IF($C23="","",IF((IF(F23="",", Client","")&amp;IF(G23="",", Description","")&amp;IF(H23="",", Cost Centre","")&amp;IF(I23="",", Invoice Type","")&amp;IF(J23="",", Tax Code","")&amp;IF(O23="",", Expected Revenue","")&amp;IF(COUNTIF(tbl_Finance[Job Number],$C23&amp;"")&gt;1,", Job number used twice",""))="","Complete","Fix: "&amp;MID(IF(F23="",", Client","")&amp;IF(G23="",", Description","")&amp;IF(H23="",", Cost Centre","")&amp;IF(I23="",", Invoice Type","")&amp;IF(J23="",", Tax Code","")&amp;IF(O23="",", Expected Revenue","")&amp;IF(COUNTIF(tbl_Finance[Job Number],$C23&amp;"")&gt;1,", Job number used twice",""),3,300)))</f>
        <v/>
      </c>
      <c r="Q23" s="10">
        <f>IF($C23="","",IF(H23="","(no cost centre)",H23&amp;" - GL "&amp;IFERROR(INDEX(lst_CCtoGL,MATCH(H23,lst_CCforGL,0)),"?")))</f>
        <v/>
      </c>
      <c r="R23" s="37" t="n"/>
      <c r="S23" s="10">
        <f>IF(R23="","",HYPERLINK(IF(LEFT(R23,4)="http",R23,set_QwilrBase&amp;R23),"Open quote"))</f>
        <v/>
      </c>
      <c r="T23" s="39" t="n"/>
      <c r="U23" s="39" t="n"/>
      <c r="V23" s="39" t="n"/>
      <c r="W23" s="10">
        <f>IF(C23="","",IF(N(T23)+N(U23)+N(V23)=0,"Not split",IF(ROUND(N(T23)+N(U23)+N(V23),2)=ROUND(MAX(N(L23),N(O23)),2),"OK","MISMATCH")))</f>
        <v/>
      </c>
      <c r="X23" s="39" t="n"/>
      <c r="Y23" s="39" t="n"/>
      <c r="Z23" s="39" t="n"/>
      <c r="AA23" s="11">
        <f>IF(C23="","",N(X23)+N(Y23)+N(Z23))</f>
        <v/>
      </c>
      <c r="AB23" s="11">
        <f>IF(C23="","",MAX(N(L23),N(O23))-N(AA23))</f>
        <v/>
      </c>
      <c r="AC23" s="43">
        <f>IFERROR(IF(MAX(N(L23),N(O23))=0,"",AB23/MAX(N(L23),N(O23))),"")</f>
        <v/>
      </c>
      <c r="AD23" s="37" t="n"/>
      <c r="AE23" s="10" t="inlineStr">
        <is>
          <t>CON-0019</t>
        </is>
      </c>
    </row>
    <row r="24">
      <c r="A24" s="16">
        <f>IF($C24="","",IFERROR(IF(INDEX(tbl_Finance[Latest Invoice Date],MATCH($AE24,tbl_Finance[Row ID],0))="","",INDEX(tbl_Finance[Latest Invoice Date],MATCH($AE24,tbl_Finance[Row ID],0))),""))</f>
        <v/>
      </c>
      <c r="B24" s="10">
        <f>IF($C24="","",IFERROR(INDEX(tbl_Finance[Invoice Numbers],MATCH($AE24,tbl_Finance[Row ID],0))&amp;"",""))</f>
        <v/>
      </c>
      <c r="C24" s="37" t="n"/>
      <c r="D24" s="10">
        <f>IF($C24="","",IF(COUNTIF(lst_Jobs,$C24&amp;"")&gt;0,"OK","CHECK"))</f>
        <v/>
      </c>
      <c r="E24" s="10">
        <f>IF($C24="","",IFERROR(INDEX(lst_JobName,MATCH($C24&amp;"",lst_Jobs,0)),""))</f>
        <v/>
      </c>
      <c r="F24" s="37" t="n"/>
      <c r="G24" s="37" t="n"/>
      <c r="H24" s="37" t="n"/>
      <c r="I24" s="37" t="n"/>
      <c r="J24" s="37" t="n"/>
      <c r="K24" s="38">
        <f>IF($C24="","",IFERROR(N(INDEX(tbl_Finance[Invoice Count],MATCH($AE24,tbl_Finance[Row ID],0))),""))</f>
        <v/>
      </c>
      <c r="L24" s="11">
        <f>IF($C24="","",IFERROR(N(INDEX(tbl_Finance[Xero Invoiced Ex GST],MATCH($AE24,tbl_Finance[Row ID],0))),""))</f>
        <v/>
      </c>
      <c r="M24" s="10">
        <f>IF($C24="","",IFERROR(INDEX(tbl_Finance[Compare],MATCH($AE24,tbl_Finance[Row ID],0))&amp;"",""))</f>
        <v/>
      </c>
      <c r="N24" s="11">
        <f>IF($C24="","",MAX(0,N(O24)-N(L24)))</f>
        <v/>
      </c>
      <c r="O24" s="39" t="n"/>
      <c r="P24" s="40">
        <f>IF($C24="","",IF((IF(F24="",", Client","")&amp;IF(G24="",", Description","")&amp;IF(H24="",", Cost Centre","")&amp;IF(I24="",", Invoice Type","")&amp;IF(J24="",", Tax Code","")&amp;IF(O24="",", Expected Revenue","")&amp;IF(COUNTIF(tbl_Finance[Job Number],$C24&amp;"")&gt;1,", Job number used twice",""))="","Complete","Fix: "&amp;MID(IF(F24="",", Client","")&amp;IF(G24="",", Description","")&amp;IF(H24="",", Cost Centre","")&amp;IF(I24="",", Invoice Type","")&amp;IF(J24="",", Tax Code","")&amp;IF(O24="",", Expected Revenue","")&amp;IF(COUNTIF(tbl_Finance[Job Number],$C24&amp;"")&gt;1,", Job number used twice",""),3,300)))</f>
        <v/>
      </c>
      <c r="Q24" s="10">
        <f>IF($C24="","",IF(H24="","(no cost centre)",H24&amp;" - GL "&amp;IFERROR(INDEX(lst_CCtoGL,MATCH(H24,lst_CCforGL,0)),"?")))</f>
        <v/>
      </c>
      <c r="R24" s="37" t="n"/>
      <c r="S24" s="10">
        <f>IF(R24="","",HYPERLINK(IF(LEFT(R24,4)="http",R24,set_QwilrBase&amp;R24),"Open quote"))</f>
        <v/>
      </c>
      <c r="T24" s="39" t="n"/>
      <c r="U24" s="39" t="n"/>
      <c r="V24" s="39" t="n"/>
      <c r="W24" s="10">
        <f>IF(C24="","",IF(N(T24)+N(U24)+N(V24)=0,"Not split",IF(ROUND(N(T24)+N(U24)+N(V24),2)=ROUND(MAX(N(L24),N(O24)),2),"OK","MISMATCH")))</f>
        <v/>
      </c>
      <c r="X24" s="39" t="n"/>
      <c r="Y24" s="39" t="n"/>
      <c r="Z24" s="39" t="n"/>
      <c r="AA24" s="11">
        <f>IF(C24="","",N(X24)+N(Y24)+N(Z24))</f>
        <v/>
      </c>
      <c r="AB24" s="11">
        <f>IF(C24="","",MAX(N(L24),N(O24))-N(AA24))</f>
        <v/>
      </c>
      <c r="AC24" s="43">
        <f>IFERROR(IF(MAX(N(L24),N(O24))=0,"",AB24/MAX(N(L24),N(O24))),"")</f>
        <v/>
      </c>
      <c r="AD24" s="37" t="n"/>
      <c r="AE24" s="10" t="inlineStr">
        <is>
          <t>CON-0020</t>
        </is>
      </c>
    </row>
    <row r="25">
      <c r="A25" s="16">
        <f>IF($C25="","",IFERROR(IF(INDEX(tbl_Finance[Latest Invoice Date],MATCH($AE25,tbl_Finance[Row ID],0))="","",INDEX(tbl_Finance[Latest Invoice Date],MATCH($AE25,tbl_Finance[Row ID],0))),""))</f>
        <v/>
      </c>
      <c r="B25" s="10">
        <f>IF($C25="","",IFERROR(INDEX(tbl_Finance[Invoice Numbers],MATCH($AE25,tbl_Finance[Row ID],0))&amp;"",""))</f>
        <v/>
      </c>
      <c r="C25" s="37" t="n"/>
      <c r="D25" s="10">
        <f>IF($C25="","",IF(COUNTIF(lst_Jobs,$C25&amp;"")&gt;0,"OK","CHECK"))</f>
        <v/>
      </c>
      <c r="E25" s="10">
        <f>IF($C25="","",IFERROR(INDEX(lst_JobName,MATCH($C25&amp;"",lst_Jobs,0)),""))</f>
        <v/>
      </c>
      <c r="F25" s="37" t="n"/>
      <c r="G25" s="37" t="n"/>
      <c r="H25" s="37" t="n"/>
      <c r="I25" s="37" t="n"/>
      <c r="J25" s="37" t="n"/>
      <c r="K25" s="38">
        <f>IF($C25="","",IFERROR(N(INDEX(tbl_Finance[Invoice Count],MATCH($AE25,tbl_Finance[Row ID],0))),""))</f>
        <v/>
      </c>
      <c r="L25" s="11">
        <f>IF($C25="","",IFERROR(N(INDEX(tbl_Finance[Xero Invoiced Ex GST],MATCH($AE25,tbl_Finance[Row ID],0))),""))</f>
        <v/>
      </c>
      <c r="M25" s="10">
        <f>IF($C25="","",IFERROR(INDEX(tbl_Finance[Compare],MATCH($AE25,tbl_Finance[Row ID],0))&amp;"",""))</f>
        <v/>
      </c>
      <c r="N25" s="11">
        <f>IF($C25="","",MAX(0,N(O25)-N(L25)))</f>
        <v/>
      </c>
      <c r="O25" s="39" t="n"/>
      <c r="P25" s="40">
        <f>IF($C25="","",IF((IF(F25="",", Client","")&amp;IF(G25="",", Description","")&amp;IF(H25="",", Cost Centre","")&amp;IF(I25="",", Invoice Type","")&amp;IF(J25="",", Tax Code","")&amp;IF(O25="",", Expected Revenue","")&amp;IF(COUNTIF(tbl_Finance[Job Number],$C25&amp;"")&gt;1,", Job number used twice",""))="","Complete","Fix: "&amp;MID(IF(F25="",", Client","")&amp;IF(G25="",", Description","")&amp;IF(H25="",", Cost Centre","")&amp;IF(I25="",", Invoice Type","")&amp;IF(J25="",", Tax Code","")&amp;IF(O25="",", Expected Revenue","")&amp;IF(COUNTIF(tbl_Finance[Job Number],$C25&amp;"")&gt;1,", Job number used twice",""),3,300)))</f>
        <v/>
      </c>
      <c r="Q25" s="10">
        <f>IF($C25="","",IF(H25="","(no cost centre)",H25&amp;" - GL "&amp;IFERROR(INDEX(lst_CCtoGL,MATCH(H25,lst_CCforGL,0)),"?")))</f>
        <v/>
      </c>
      <c r="R25" s="37" t="n"/>
      <c r="S25" s="10">
        <f>IF(R25="","",HYPERLINK(IF(LEFT(R25,4)="http",R25,set_QwilrBase&amp;R25),"Open quote"))</f>
        <v/>
      </c>
      <c r="T25" s="39" t="n"/>
      <c r="U25" s="39" t="n"/>
      <c r="V25" s="39" t="n"/>
      <c r="W25" s="10">
        <f>IF(C25="","",IF(N(T25)+N(U25)+N(V25)=0,"Not split",IF(ROUND(N(T25)+N(U25)+N(V25),2)=ROUND(MAX(N(L25),N(O25)),2),"OK","MISMATCH")))</f>
        <v/>
      </c>
      <c r="X25" s="39" t="n"/>
      <c r="Y25" s="39" t="n"/>
      <c r="Z25" s="39" t="n"/>
      <c r="AA25" s="11">
        <f>IF(C25="","",N(X25)+N(Y25)+N(Z25))</f>
        <v/>
      </c>
      <c r="AB25" s="11">
        <f>IF(C25="","",MAX(N(L25),N(O25))-N(AA25))</f>
        <v/>
      </c>
      <c r="AC25" s="43">
        <f>IFERROR(IF(MAX(N(L25),N(O25))=0,"",AB25/MAX(N(L25),N(O25))),"")</f>
        <v/>
      </c>
      <c r="AD25" s="37" t="n"/>
      <c r="AE25" s="10" t="inlineStr">
        <is>
          <t>CON-0021</t>
        </is>
      </c>
    </row>
    <row r="26">
      <c r="A26" s="16">
        <f>IF($C26="","",IFERROR(IF(INDEX(tbl_Finance[Latest Invoice Date],MATCH($AE26,tbl_Finance[Row ID],0))="","",INDEX(tbl_Finance[Latest Invoice Date],MATCH($AE26,tbl_Finance[Row ID],0))),""))</f>
        <v/>
      </c>
      <c r="B26" s="10">
        <f>IF($C26="","",IFERROR(INDEX(tbl_Finance[Invoice Numbers],MATCH($AE26,tbl_Finance[Row ID],0))&amp;"",""))</f>
        <v/>
      </c>
      <c r="C26" s="37" t="n"/>
      <c r="D26" s="10">
        <f>IF($C26="","",IF(COUNTIF(lst_Jobs,$C26&amp;"")&gt;0,"OK","CHECK"))</f>
        <v/>
      </c>
      <c r="E26" s="10">
        <f>IF($C26="","",IFERROR(INDEX(lst_JobName,MATCH($C26&amp;"",lst_Jobs,0)),""))</f>
        <v/>
      </c>
      <c r="F26" s="37" t="n"/>
      <c r="G26" s="37" t="n"/>
      <c r="H26" s="37" t="n"/>
      <c r="I26" s="37" t="n"/>
      <c r="J26" s="37" t="n"/>
      <c r="K26" s="38">
        <f>IF($C26="","",IFERROR(N(INDEX(tbl_Finance[Invoice Count],MATCH($AE26,tbl_Finance[Row ID],0))),""))</f>
        <v/>
      </c>
      <c r="L26" s="11">
        <f>IF($C26="","",IFERROR(N(INDEX(tbl_Finance[Xero Invoiced Ex GST],MATCH($AE26,tbl_Finance[Row ID],0))),""))</f>
        <v/>
      </c>
      <c r="M26" s="10">
        <f>IF($C26="","",IFERROR(INDEX(tbl_Finance[Compare],MATCH($AE26,tbl_Finance[Row ID],0))&amp;"",""))</f>
        <v/>
      </c>
      <c r="N26" s="11">
        <f>IF($C26="","",MAX(0,N(O26)-N(L26)))</f>
        <v/>
      </c>
      <c r="O26" s="39" t="n"/>
      <c r="P26" s="40">
        <f>IF($C26="","",IF((IF(F26="",", Client","")&amp;IF(G26="",", Description","")&amp;IF(H26="",", Cost Centre","")&amp;IF(I26="",", Invoice Type","")&amp;IF(J26="",", Tax Code","")&amp;IF(O26="",", Expected Revenue","")&amp;IF(COUNTIF(tbl_Finance[Job Number],$C26&amp;"")&gt;1,", Job number used twice",""))="","Complete","Fix: "&amp;MID(IF(F26="",", Client","")&amp;IF(G26="",", Description","")&amp;IF(H26="",", Cost Centre","")&amp;IF(I26="",", Invoice Type","")&amp;IF(J26="",", Tax Code","")&amp;IF(O26="",", Expected Revenue","")&amp;IF(COUNTIF(tbl_Finance[Job Number],$C26&amp;"")&gt;1,", Job number used twice",""),3,300)))</f>
        <v/>
      </c>
      <c r="Q26" s="10">
        <f>IF($C26="","",IF(H26="","(no cost centre)",H26&amp;" - GL "&amp;IFERROR(INDEX(lst_CCtoGL,MATCH(H26,lst_CCforGL,0)),"?")))</f>
        <v/>
      </c>
      <c r="R26" s="37" t="n"/>
      <c r="S26" s="10">
        <f>IF(R26="","",HYPERLINK(IF(LEFT(R26,4)="http",R26,set_QwilrBase&amp;R26),"Open quote"))</f>
        <v/>
      </c>
      <c r="T26" s="39" t="n"/>
      <c r="U26" s="39" t="n"/>
      <c r="V26" s="39" t="n"/>
      <c r="W26" s="10">
        <f>IF(C26="","",IF(N(T26)+N(U26)+N(V26)=0,"Not split",IF(ROUND(N(T26)+N(U26)+N(V26),2)=ROUND(MAX(N(L26),N(O26)),2),"OK","MISMATCH")))</f>
        <v/>
      </c>
      <c r="X26" s="39" t="n"/>
      <c r="Y26" s="39" t="n"/>
      <c r="Z26" s="39" t="n"/>
      <c r="AA26" s="11">
        <f>IF(C26="","",N(X26)+N(Y26)+N(Z26))</f>
        <v/>
      </c>
      <c r="AB26" s="11">
        <f>IF(C26="","",MAX(N(L26),N(O26))-N(AA26))</f>
        <v/>
      </c>
      <c r="AC26" s="43">
        <f>IFERROR(IF(MAX(N(L26),N(O26))=0,"",AB26/MAX(N(L26),N(O26))),"")</f>
        <v/>
      </c>
      <c r="AD26" s="37" t="n"/>
      <c r="AE26" s="10" t="inlineStr">
        <is>
          <t>CON-0022</t>
        </is>
      </c>
    </row>
    <row r="27">
      <c r="A27" s="16">
        <f>IF($C27="","",IFERROR(IF(INDEX(tbl_Finance[Latest Invoice Date],MATCH($AE27,tbl_Finance[Row ID],0))="","",INDEX(tbl_Finance[Latest Invoice Date],MATCH($AE27,tbl_Finance[Row ID],0))),""))</f>
        <v/>
      </c>
      <c r="B27" s="10">
        <f>IF($C27="","",IFERROR(INDEX(tbl_Finance[Invoice Numbers],MATCH($AE27,tbl_Finance[Row ID],0))&amp;"",""))</f>
        <v/>
      </c>
      <c r="C27" s="37" t="n"/>
      <c r="D27" s="10">
        <f>IF($C27="","",IF(COUNTIF(lst_Jobs,$C27&amp;"")&gt;0,"OK","CHECK"))</f>
        <v/>
      </c>
      <c r="E27" s="10">
        <f>IF($C27="","",IFERROR(INDEX(lst_JobName,MATCH($C27&amp;"",lst_Jobs,0)),""))</f>
        <v/>
      </c>
      <c r="F27" s="37" t="n"/>
      <c r="G27" s="37" t="n"/>
      <c r="H27" s="37" t="n"/>
      <c r="I27" s="37" t="n"/>
      <c r="J27" s="37" t="n"/>
      <c r="K27" s="38">
        <f>IF($C27="","",IFERROR(N(INDEX(tbl_Finance[Invoice Count],MATCH($AE27,tbl_Finance[Row ID],0))),""))</f>
        <v/>
      </c>
      <c r="L27" s="11">
        <f>IF($C27="","",IFERROR(N(INDEX(tbl_Finance[Xero Invoiced Ex GST],MATCH($AE27,tbl_Finance[Row ID],0))),""))</f>
        <v/>
      </c>
      <c r="M27" s="10">
        <f>IF($C27="","",IFERROR(INDEX(tbl_Finance[Compare],MATCH($AE27,tbl_Finance[Row ID],0))&amp;"",""))</f>
        <v/>
      </c>
      <c r="N27" s="11">
        <f>IF($C27="","",MAX(0,N(O27)-N(L27)))</f>
        <v/>
      </c>
      <c r="O27" s="39" t="n"/>
      <c r="P27" s="40">
        <f>IF($C27="","",IF((IF(F27="",", Client","")&amp;IF(G27="",", Description","")&amp;IF(H27="",", Cost Centre","")&amp;IF(I27="",", Invoice Type","")&amp;IF(J27="",", Tax Code","")&amp;IF(O27="",", Expected Revenue","")&amp;IF(COUNTIF(tbl_Finance[Job Number],$C27&amp;"")&gt;1,", Job number used twice",""))="","Complete","Fix: "&amp;MID(IF(F27="",", Client","")&amp;IF(G27="",", Description","")&amp;IF(H27="",", Cost Centre","")&amp;IF(I27="",", Invoice Type","")&amp;IF(J27="",", Tax Code","")&amp;IF(O27="",", Expected Revenue","")&amp;IF(COUNTIF(tbl_Finance[Job Number],$C27&amp;"")&gt;1,", Job number used twice",""),3,300)))</f>
        <v/>
      </c>
      <c r="Q27" s="10">
        <f>IF($C27="","",IF(H27="","(no cost centre)",H27&amp;" - GL "&amp;IFERROR(INDEX(lst_CCtoGL,MATCH(H27,lst_CCforGL,0)),"?")))</f>
        <v/>
      </c>
      <c r="R27" s="37" t="n"/>
      <c r="S27" s="10">
        <f>IF(R27="","",HYPERLINK(IF(LEFT(R27,4)="http",R27,set_QwilrBase&amp;R27),"Open quote"))</f>
        <v/>
      </c>
      <c r="T27" s="39" t="n"/>
      <c r="U27" s="39" t="n"/>
      <c r="V27" s="39" t="n"/>
      <c r="W27" s="10">
        <f>IF(C27="","",IF(N(T27)+N(U27)+N(V27)=0,"Not split",IF(ROUND(N(T27)+N(U27)+N(V27),2)=ROUND(MAX(N(L27),N(O27)),2),"OK","MISMATCH")))</f>
        <v/>
      </c>
      <c r="X27" s="39" t="n"/>
      <c r="Y27" s="39" t="n"/>
      <c r="Z27" s="39" t="n"/>
      <c r="AA27" s="11">
        <f>IF(C27="","",N(X27)+N(Y27)+N(Z27))</f>
        <v/>
      </c>
      <c r="AB27" s="11">
        <f>IF(C27="","",MAX(N(L27),N(O27))-N(AA27))</f>
        <v/>
      </c>
      <c r="AC27" s="43">
        <f>IFERROR(IF(MAX(N(L27),N(O27))=0,"",AB27/MAX(N(L27),N(O27))),"")</f>
        <v/>
      </c>
      <c r="AD27" s="37" t="n"/>
      <c r="AE27" s="10" t="inlineStr">
        <is>
          <t>CON-0023</t>
        </is>
      </c>
    </row>
    <row r="28">
      <c r="A28" s="16">
        <f>IF($C28="","",IFERROR(IF(INDEX(tbl_Finance[Latest Invoice Date],MATCH($AE28,tbl_Finance[Row ID],0))="","",INDEX(tbl_Finance[Latest Invoice Date],MATCH($AE28,tbl_Finance[Row ID],0))),""))</f>
        <v/>
      </c>
      <c r="B28" s="10">
        <f>IF($C28="","",IFERROR(INDEX(tbl_Finance[Invoice Numbers],MATCH($AE28,tbl_Finance[Row ID],0))&amp;"",""))</f>
        <v/>
      </c>
      <c r="C28" s="37" t="n"/>
      <c r="D28" s="10">
        <f>IF($C28="","",IF(COUNTIF(lst_Jobs,$C28&amp;"")&gt;0,"OK","CHECK"))</f>
        <v/>
      </c>
      <c r="E28" s="10">
        <f>IF($C28="","",IFERROR(INDEX(lst_JobName,MATCH($C28&amp;"",lst_Jobs,0)),""))</f>
        <v/>
      </c>
      <c r="F28" s="37" t="n"/>
      <c r="G28" s="37" t="n"/>
      <c r="H28" s="37" t="n"/>
      <c r="I28" s="37" t="n"/>
      <c r="J28" s="37" t="n"/>
      <c r="K28" s="38">
        <f>IF($C28="","",IFERROR(N(INDEX(tbl_Finance[Invoice Count],MATCH($AE28,tbl_Finance[Row ID],0))),""))</f>
        <v/>
      </c>
      <c r="L28" s="11">
        <f>IF($C28="","",IFERROR(N(INDEX(tbl_Finance[Xero Invoiced Ex GST],MATCH($AE28,tbl_Finance[Row ID],0))),""))</f>
        <v/>
      </c>
      <c r="M28" s="10">
        <f>IF($C28="","",IFERROR(INDEX(tbl_Finance[Compare],MATCH($AE28,tbl_Finance[Row ID],0))&amp;"",""))</f>
        <v/>
      </c>
      <c r="N28" s="11">
        <f>IF($C28="","",MAX(0,N(O28)-N(L28)))</f>
        <v/>
      </c>
      <c r="O28" s="39" t="n"/>
      <c r="P28" s="40">
        <f>IF($C28="","",IF((IF(F28="",", Client","")&amp;IF(G28="",", Description","")&amp;IF(H28="",", Cost Centre","")&amp;IF(I28="",", Invoice Type","")&amp;IF(J28="",", Tax Code","")&amp;IF(O28="",", Expected Revenue","")&amp;IF(COUNTIF(tbl_Finance[Job Number],$C28&amp;"")&gt;1,", Job number used twice",""))="","Complete","Fix: "&amp;MID(IF(F28="",", Client","")&amp;IF(G28="",", Description","")&amp;IF(H28="",", Cost Centre","")&amp;IF(I28="",", Invoice Type","")&amp;IF(J28="",", Tax Code","")&amp;IF(O28="",", Expected Revenue","")&amp;IF(COUNTIF(tbl_Finance[Job Number],$C28&amp;"")&gt;1,", Job number used twice",""),3,300)))</f>
        <v/>
      </c>
      <c r="Q28" s="10">
        <f>IF($C28="","",IF(H28="","(no cost centre)",H28&amp;" - GL "&amp;IFERROR(INDEX(lst_CCtoGL,MATCH(H28,lst_CCforGL,0)),"?")))</f>
        <v/>
      </c>
      <c r="R28" s="37" t="n"/>
      <c r="S28" s="10">
        <f>IF(R28="","",HYPERLINK(IF(LEFT(R28,4)="http",R28,set_QwilrBase&amp;R28),"Open quote"))</f>
        <v/>
      </c>
      <c r="T28" s="39" t="n"/>
      <c r="U28" s="39" t="n"/>
      <c r="V28" s="39" t="n"/>
      <c r="W28" s="10">
        <f>IF(C28="","",IF(N(T28)+N(U28)+N(V28)=0,"Not split",IF(ROUND(N(T28)+N(U28)+N(V28),2)=ROUND(MAX(N(L28),N(O28)),2),"OK","MISMATCH")))</f>
        <v/>
      </c>
      <c r="X28" s="39" t="n"/>
      <c r="Y28" s="39" t="n"/>
      <c r="Z28" s="39" t="n"/>
      <c r="AA28" s="11">
        <f>IF(C28="","",N(X28)+N(Y28)+N(Z28))</f>
        <v/>
      </c>
      <c r="AB28" s="11">
        <f>IF(C28="","",MAX(N(L28),N(O28))-N(AA28))</f>
        <v/>
      </c>
      <c r="AC28" s="43">
        <f>IFERROR(IF(MAX(N(L28),N(O28))=0,"",AB28/MAX(N(L28),N(O28))),"")</f>
        <v/>
      </c>
      <c r="AD28" s="37" t="n"/>
      <c r="AE28" s="10" t="inlineStr">
        <is>
          <t>CON-0024</t>
        </is>
      </c>
    </row>
    <row r="29">
      <c r="A29" s="16">
        <f>IF($C29="","",IFERROR(IF(INDEX(tbl_Finance[Latest Invoice Date],MATCH($AE29,tbl_Finance[Row ID],0))="","",INDEX(tbl_Finance[Latest Invoice Date],MATCH($AE29,tbl_Finance[Row ID],0))),""))</f>
        <v/>
      </c>
      <c r="B29" s="10">
        <f>IF($C29="","",IFERROR(INDEX(tbl_Finance[Invoice Numbers],MATCH($AE29,tbl_Finance[Row ID],0))&amp;"",""))</f>
        <v/>
      </c>
      <c r="C29" s="37" t="n"/>
      <c r="D29" s="10">
        <f>IF($C29="","",IF(COUNTIF(lst_Jobs,$C29&amp;"")&gt;0,"OK","CHECK"))</f>
        <v/>
      </c>
      <c r="E29" s="10">
        <f>IF($C29="","",IFERROR(INDEX(lst_JobName,MATCH($C29&amp;"",lst_Jobs,0)),""))</f>
        <v/>
      </c>
      <c r="F29" s="37" t="n"/>
      <c r="G29" s="37" t="n"/>
      <c r="H29" s="37" t="n"/>
      <c r="I29" s="37" t="n"/>
      <c r="J29" s="37" t="n"/>
      <c r="K29" s="38">
        <f>IF($C29="","",IFERROR(N(INDEX(tbl_Finance[Invoice Count],MATCH($AE29,tbl_Finance[Row ID],0))),""))</f>
        <v/>
      </c>
      <c r="L29" s="11">
        <f>IF($C29="","",IFERROR(N(INDEX(tbl_Finance[Xero Invoiced Ex GST],MATCH($AE29,tbl_Finance[Row ID],0))),""))</f>
        <v/>
      </c>
      <c r="M29" s="10">
        <f>IF($C29="","",IFERROR(INDEX(tbl_Finance[Compare],MATCH($AE29,tbl_Finance[Row ID],0))&amp;"",""))</f>
        <v/>
      </c>
      <c r="N29" s="11">
        <f>IF($C29="","",MAX(0,N(O29)-N(L29)))</f>
        <v/>
      </c>
      <c r="O29" s="39" t="n"/>
      <c r="P29" s="40">
        <f>IF($C29="","",IF((IF(F29="",", Client","")&amp;IF(G29="",", Description","")&amp;IF(H29="",", Cost Centre","")&amp;IF(I29="",", Invoice Type","")&amp;IF(J29="",", Tax Code","")&amp;IF(O29="",", Expected Revenue","")&amp;IF(COUNTIF(tbl_Finance[Job Number],$C29&amp;"")&gt;1,", Job number used twice",""))="","Complete","Fix: "&amp;MID(IF(F29="",", Client","")&amp;IF(G29="",", Description","")&amp;IF(H29="",", Cost Centre","")&amp;IF(I29="",", Invoice Type","")&amp;IF(J29="",", Tax Code","")&amp;IF(O29="",", Expected Revenue","")&amp;IF(COUNTIF(tbl_Finance[Job Number],$C29&amp;"")&gt;1,", Job number used twice",""),3,300)))</f>
        <v/>
      </c>
      <c r="Q29" s="10">
        <f>IF($C29="","",IF(H29="","(no cost centre)",H29&amp;" - GL "&amp;IFERROR(INDEX(lst_CCtoGL,MATCH(H29,lst_CCforGL,0)),"?")))</f>
        <v/>
      </c>
      <c r="R29" s="37" t="n"/>
      <c r="S29" s="10">
        <f>IF(R29="","",HYPERLINK(IF(LEFT(R29,4)="http",R29,set_QwilrBase&amp;R29),"Open quote"))</f>
        <v/>
      </c>
      <c r="T29" s="39" t="n"/>
      <c r="U29" s="39" t="n"/>
      <c r="V29" s="39" t="n"/>
      <c r="W29" s="10">
        <f>IF(C29="","",IF(N(T29)+N(U29)+N(V29)=0,"Not split",IF(ROUND(N(T29)+N(U29)+N(V29),2)=ROUND(MAX(N(L29),N(O29)),2),"OK","MISMATCH")))</f>
        <v/>
      </c>
      <c r="X29" s="39" t="n"/>
      <c r="Y29" s="39" t="n"/>
      <c r="Z29" s="39" t="n"/>
      <c r="AA29" s="11">
        <f>IF(C29="","",N(X29)+N(Y29)+N(Z29))</f>
        <v/>
      </c>
      <c r="AB29" s="11">
        <f>IF(C29="","",MAX(N(L29),N(O29))-N(AA29))</f>
        <v/>
      </c>
      <c r="AC29" s="43">
        <f>IFERROR(IF(MAX(N(L29),N(O29))=0,"",AB29/MAX(N(L29),N(O29))),"")</f>
        <v/>
      </c>
      <c r="AD29" s="37" t="n"/>
      <c r="AE29" s="10" t="inlineStr">
        <is>
          <t>CON-0025</t>
        </is>
      </c>
    </row>
    <row r="30">
      <c r="A30" s="16">
        <f>IF($C30="","",IFERROR(IF(INDEX(tbl_Finance[Latest Invoice Date],MATCH($AE30,tbl_Finance[Row ID],0))="","",INDEX(tbl_Finance[Latest Invoice Date],MATCH($AE30,tbl_Finance[Row ID],0))),""))</f>
        <v/>
      </c>
      <c r="B30" s="10">
        <f>IF($C30="","",IFERROR(INDEX(tbl_Finance[Invoice Numbers],MATCH($AE30,tbl_Finance[Row ID],0))&amp;"",""))</f>
        <v/>
      </c>
      <c r="C30" s="37" t="n"/>
      <c r="D30" s="10">
        <f>IF($C30="","",IF(COUNTIF(lst_Jobs,$C30&amp;"")&gt;0,"OK","CHECK"))</f>
        <v/>
      </c>
      <c r="E30" s="10">
        <f>IF($C30="","",IFERROR(INDEX(lst_JobName,MATCH($C30&amp;"",lst_Jobs,0)),""))</f>
        <v/>
      </c>
      <c r="F30" s="37" t="n"/>
      <c r="G30" s="37" t="n"/>
      <c r="H30" s="37" t="n"/>
      <c r="I30" s="37" t="n"/>
      <c r="J30" s="37" t="n"/>
      <c r="K30" s="38">
        <f>IF($C30="","",IFERROR(N(INDEX(tbl_Finance[Invoice Count],MATCH($AE30,tbl_Finance[Row ID],0))),""))</f>
        <v/>
      </c>
      <c r="L30" s="11">
        <f>IF($C30="","",IFERROR(N(INDEX(tbl_Finance[Xero Invoiced Ex GST],MATCH($AE30,tbl_Finance[Row ID],0))),""))</f>
        <v/>
      </c>
      <c r="M30" s="10">
        <f>IF($C30="","",IFERROR(INDEX(tbl_Finance[Compare],MATCH($AE30,tbl_Finance[Row ID],0))&amp;"",""))</f>
        <v/>
      </c>
      <c r="N30" s="11">
        <f>IF($C30="","",MAX(0,N(O30)-N(L30)))</f>
        <v/>
      </c>
      <c r="O30" s="39" t="n"/>
      <c r="P30" s="40">
        <f>IF($C30="","",IF((IF(F30="",", Client","")&amp;IF(G30="",", Description","")&amp;IF(H30="",", Cost Centre","")&amp;IF(I30="",", Invoice Type","")&amp;IF(J30="",", Tax Code","")&amp;IF(O30="",", Expected Revenue","")&amp;IF(COUNTIF(tbl_Finance[Job Number],$C30&amp;"")&gt;1,", Job number used twice",""))="","Complete","Fix: "&amp;MID(IF(F30="",", Client","")&amp;IF(G30="",", Description","")&amp;IF(H30="",", Cost Centre","")&amp;IF(I30="",", Invoice Type","")&amp;IF(J30="",", Tax Code","")&amp;IF(O30="",", Expected Revenue","")&amp;IF(COUNTIF(tbl_Finance[Job Number],$C30&amp;"")&gt;1,", Job number used twice",""),3,300)))</f>
        <v/>
      </c>
      <c r="Q30" s="10">
        <f>IF($C30="","",IF(H30="","(no cost centre)",H30&amp;" - GL "&amp;IFERROR(INDEX(lst_CCtoGL,MATCH(H30,lst_CCforGL,0)),"?")))</f>
        <v/>
      </c>
      <c r="R30" s="37" t="n"/>
      <c r="S30" s="10">
        <f>IF(R30="","",HYPERLINK(IF(LEFT(R30,4)="http",R30,set_QwilrBase&amp;R30),"Open quote"))</f>
        <v/>
      </c>
      <c r="T30" s="39" t="n"/>
      <c r="U30" s="39" t="n"/>
      <c r="V30" s="39" t="n"/>
      <c r="W30" s="10">
        <f>IF(C30="","",IF(N(T30)+N(U30)+N(V30)=0,"Not split",IF(ROUND(N(T30)+N(U30)+N(V30),2)=ROUND(MAX(N(L30),N(O30)),2),"OK","MISMATCH")))</f>
        <v/>
      </c>
      <c r="X30" s="39" t="n"/>
      <c r="Y30" s="39" t="n"/>
      <c r="Z30" s="39" t="n"/>
      <c r="AA30" s="11">
        <f>IF(C30="","",N(X30)+N(Y30)+N(Z30))</f>
        <v/>
      </c>
      <c r="AB30" s="11">
        <f>IF(C30="","",MAX(N(L30),N(O30))-N(AA30))</f>
        <v/>
      </c>
      <c r="AC30" s="43">
        <f>IFERROR(IF(MAX(N(L30),N(O30))=0,"",AB30/MAX(N(L30),N(O30))),"")</f>
        <v/>
      </c>
      <c r="AD30" s="37" t="n"/>
      <c r="AE30" s="10" t="inlineStr">
        <is>
          <t>CON-0026</t>
        </is>
      </c>
    </row>
    <row r="31">
      <c r="A31" s="16">
        <f>IF($C31="","",IFERROR(IF(INDEX(tbl_Finance[Latest Invoice Date],MATCH($AE31,tbl_Finance[Row ID],0))="","",INDEX(tbl_Finance[Latest Invoice Date],MATCH($AE31,tbl_Finance[Row ID],0))),""))</f>
        <v/>
      </c>
      <c r="B31" s="10">
        <f>IF($C31="","",IFERROR(INDEX(tbl_Finance[Invoice Numbers],MATCH($AE31,tbl_Finance[Row ID],0))&amp;"",""))</f>
        <v/>
      </c>
      <c r="C31" s="37" t="n"/>
      <c r="D31" s="10">
        <f>IF($C31="","",IF(COUNTIF(lst_Jobs,$C31&amp;"")&gt;0,"OK","CHECK"))</f>
        <v/>
      </c>
      <c r="E31" s="10">
        <f>IF($C31="","",IFERROR(INDEX(lst_JobName,MATCH($C31&amp;"",lst_Jobs,0)),""))</f>
        <v/>
      </c>
      <c r="F31" s="37" t="n"/>
      <c r="G31" s="37" t="n"/>
      <c r="H31" s="37" t="n"/>
      <c r="I31" s="37" t="n"/>
      <c r="J31" s="37" t="n"/>
      <c r="K31" s="38">
        <f>IF($C31="","",IFERROR(N(INDEX(tbl_Finance[Invoice Count],MATCH($AE31,tbl_Finance[Row ID],0))),""))</f>
        <v/>
      </c>
      <c r="L31" s="11">
        <f>IF($C31="","",IFERROR(N(INDEX(tbl_Finance[Xero Invoiced Ex GST],MATCH($AE31,tbl_Finance[Row ID],0))),""))</f>
        <v/>
      </c>
      <c r="M31" s="10">
        <f>IF($C31="","",IFERROR(INDEX(tbl_Finance[Compare],MATCH($AE31,tbl_Finance[Row ID],0))&amp;"",""))</f>
        <v/>
      </c>
      <c r="N31" s="11">
        <f>IF($C31="","",MAX(0,N(O31)-N(L31)))</f>
        <v/>
      </c>
      <c r="O31" s="39" t="n"/>
      <c r="P31" s="40">
        <f>IF($C31="","",IF((IF(F31="",", Client","")&amp;IF(G31="",", Description","")&amp;IF(H31="",", Cost Centre","")&amp;IF(I31="",", Invoice Type","")&amp;IF(J31="",", Tax Code","")&amp;IF(O31="",", Expected Revenue","")&amp;IF(COUNTIF(tbl_Finance[Job Number],$C31&amp;"")&gt;1,", Job number used twice",""))="","Complete","Fix: "&amp;MID(IF(F31="",", Client","")&amp;IF(G31="",", Description","")&amp;IF(H31="",", Cost Centre","")&amp;IF(I31="",", Invoice Type","")&amp;IF(J31="",", Tax Code","")&amp;IF(O31="",", Expected Revenue","")&amp;IF(COUNTIF(tbl_Finance[Job Number],$C31&amp;"")&gt;1,", Job number used twice",""),3,300)))</f>
        <v/>
      </c>
      <c r="Q31" s="10">
        <f>IF($C31="","",IF(H31="","(no cost centre)",H31&amp;" - GL "&amp;IFERROR(INDEX(lst_CCtoGL,MATCH(H31,lst_CCforGL,0)),"?")))</f>
        <v/>
      </c>
      <c r="R31" s="37" t="n"/>
      <c r="S31" s="10">
        <f>IF(R31="","",HYPERLINK(IF(LEFT(R31,4)="http",R31,set_QwilrBase&amp;R31),"Open quote"))</f>
        <v/>
      </c>
      <c r="T31" s="39" t="n"/>
      <c r="U31" s="39" t="n"/>
      <c r="V31" s="39" t="n"/>
      <c r="W31" s="10">
        <f>IF(C31="","",IF(N(T31)+N(U31)+N(V31)=0,"Not split",IF(ROUND(N(T31)+N(U31)+N(V31),2)=ROUND(MAX(N(L31),N(O31)),2),"OK","MISMATCH")))</f>
        <v/>
      </c>
      <c r="X31" s="39" t="n"/>
      <c r="Y31" s="39" t="n"/>
      <c r="Z31" s="39" t="n"/>
      <c r="AA31" s="11">
        <f>IF(C31="","",N(X31)+N(Y31)+N(Z31))</f>
        <v/>
      </c>
      <c r="AB31" s="11">
        <f>IF(C31="","",MAX(N(L31),N(O31))-N(AA31))</f>
        <v/>
      </c>
      <c r="AC31" s="43">
        <f>IFERROR(IF(MAX(N(L31),N(O31))=0,"",AB31/MAX(N(L31),N(O31))),"")</f>
        <v/>
      </c>
      <c r="AD31" s="37" t="n"/>
      <c r="AE31" s="10" t="inlineStr">
        <is>
          <t>CON-0027</t>
        </is>
      </c>
    </row>
    <row r="32">
      <c r="A32" s="16">
        <f>IF($C32="","",IFERROR(IF(INDEX(tbl_Finance[Latest Invoice Date],MATCH($AE32,tbl_Finance[Row ID],0))="","",INDEX(tbl_Finance[Latest Invoice Date],MATCH($AE32,tbl_Finance[Row ID],0))),""))</f>
        <v/>
      </c>
      <c r="B32" s="10">
        <f>IF($C32="","",IFERROR(INDEX(tbl_Finance[Invoice Numbers],MATCH($AE32,tbl_Finance[Row ID],0))&amp;"",""))</f>
        <v/>
      </c>
      <c r="C32" s="37" t="n"/>
      <c r="D32" s="10">
        <f>IF($C32="","",IF(COUNTIF(lst_Jobs,$C32&amp;"")&gt;0,"OK","CHECK"))</f>
        <v/>
      </c>
      <c r="E32" s="10">
        <f>IF($C32="","",IFERROR(INDEX(lst_JobName,MATCH($C32&amp;"",lst_Jobs,0)),""))</f>
        <v/>
      </c>
      <c r="F32" s="37" t="n"/>
      <c r="G32" s="37" t="n"/>
      <c r="H32" s="37" t="n"/>
      <c r="I32" s="37" t="n"/>
      <c r="J32" s="37" t="n"/>
      <c r="K32" s="38">
        <f>IF($C32="","",IFERROR(N(INDEX(tbl_Finance[Invoice Count],MATCH($AE32,tbl_Finance[Row ID],0))),""))</f>
        <v/>
      </c>
      <c r="L32" s="11">
        <f>IF($C32="","",IFERROR(N(INDEX(tbl_Finance[Xero Invoiced Ex GST],MATCH($AE32,tbl_Finance[Row ID],0))),""))</f>
        <v/>
      </c>
      <c r="M32" s="10">
        <f>IF($C32="","",IFERROR(INDEX(tbl_Finance[Compare],MATCH($AE32,tbl_Finance[Row ID],0))&amp;"",""))</f>
        <v/>
      </c>
      <c r="N32" s="11">
        <f>IF($C32="","",MAX(0,N(O32)-N(L32)))</f>
        <v/>
      </c>
      <c r="O32" s="39" t="n"/>
      <c r="P32" s="40">
        <f>IF($C32="","",IF((IF(F32="",", Client","")&amp;IF(G32="",", Description","")&amp;IF(H32="",", Cost Centre","")&amp;IF(I32="",", Invoice Type","")&amp;IF(J32="",", Tax Code","")&amp;IF(O32="",", Expected Revenue","")&amp;IF(COUNTIF(tbl_Finance[Job Number],$C32&amp;"")&gt;1,", Job number used twice",""))="","Complete","Fix: "&amp;MID(IF(F32="",", Client","")&amp;IF(G32="",", Description","")&amp;IF(H32="",", Cost Centre","")&amp;IF(I32="",", Invoice Type","")&amp;IF(J32="",", Tax Code","")&amp;IF(O32="",", Expected Revenue","")&amp;IF(COUNTIF(tbl_Finance[Job Number],$C32&amp;"")&gt;1,", Job number used twice",""),3,300)))</f>
        <v/>
      </c>
      <c r="Q32" s="10">
        <f>IF($C32="","",IF(H32="","(no cost centre)",H32&amp;" - GL "&amp;IFERROR(INDEX(lst_CCtoGL,MATCH(H32,lst_CCforGL,0)),"?")))</f>
        <v/>
      </c>
      <c r="R32" s="37" t="n"/>
      <c r="S32" s="10">
        <f>IF(R32="","",HYPERLINK(IF(LEFT(R32,4)="http",R32,set_QwilrBase&amp;R32),"Open quote"))</f>
        <v/>
      </c>
      <c r="T32" s="39" t="n"/>
      <c r="U32" s="39" t="n"/>
      <c r="V32" s="39" t="n"/>
      <c r="W32" s="10">
        <f>IF(C32="","",IF(N(T32)+N(U32)+N(V32)=0,"Not split",IF(ROUND(N(T32)+N(U32)+N(V32),2)=ROUND(MAX(N(L32),N(O32)),2),"OK","MISMATCH")))</f>
        <v/>
      </c>
      <c r="X32" s="39" t="n"/>
      <c r="Y32" s="39" t="n"/>
      <c r="Z32" s="39" t="n"/>
      <c r="AA32" s="11">
        <f>IF(C32="","",N(X32)+N(Y32)+N(Z32))</f>
        <v/>
      </c>
      <c r="AB32" s="11">
        <f>IF(C32="","",MAX(N(L32),N(O32))-N(AA32))</f>
        <v/>
      </c>
      <c r="AC32" s="43">
        <f>IFERROR(IF(MAX(N(L32),N(O32))=0,"",AB32/MAX(N(L32),N(O32))),"")</f>
        <v/>
      </c>
      <c r="AD32" s="37" t="n"/>
      <c r="AE32" s="10" t="inlineStr">
        <is>
          <t>CON-0028</t>
        </is>
      </c>
    </row>
    <row r="33">
      <c r="A33" s="16">
        <f>IF($C33="","",IFERROR(IF(INDEX(tbl_Finance[Latest Invoice Date],MATCH($AE33,tbl_Finance[Row ID],0))="","",INDEX(tbl_Finance[Latest Invoice Date],MATCH($AE33,tbl_Finance[Row ID],0))),""))</f>
        <v/>
      </c>
      <c r="B33" s="10">
        <f>IF($C33="","",IFERROR(INDEX(tbl_Finance[Invoice Numbers],MATCH($AE33,tbl_Finance[Row ID],0))&amp;"",""))</f>
        <v/>
      </c>
      <c r="C33" s="37" t="n"/>
      <c r="D33" s="10">
        <f>IF($C33="","",IF(COUNTIF(lst_Jobs,$C33&amp;"")&gt;0,"OK","CHECK"))</f>
        <v/>
      </c>
      <c r="E33" s="10">
        <f>IF($C33="","",IFERROR(INDEX(lst_JobName,MATCH($C33&amp;"",lst_Jobs,0)),""))</f>
        <v/>
      </c>
      <c r="F33" s="37" t="n"/>
      <c r="G33" s="37" t="n"/>
      <c r="H33" s="37" t="n"/>
      <c r="I33" s="37" t="n"/>
      <c r="J33" s="37" t="n"/>
      <c r="K33" s="38">
        <f>IF($C33="","",IFERROR(N(INDEX(tbl_Finance[Invoice Count],MATCH($AE33,tbl_Finance[Row ID],0))),""))</f>
        <v/>
      </c>
      <c r="L33" s="11">
        <f>IF($C33="","",IFERROR(N(INDEX(tbl_Finance[Xero Invoiced Ex GST],MATCH($AE33,tbl_Finance[Row ID],0))),""))</f>
        <v/>
      </c>
      <c r="M33" s="10">
        <f>IF($C33="","",IFERROR(INDEX(tbl_Finance[Compare],MATCH($AE33,tbl_Finance[Row ID],0))&amp;"",""))</f>
        <v/>
      </c>
      <c r="N33" s="11">
        <f>IF($C33="","",MAX(0,N(O33)-N(L33)))</f>
        <v/>
      </c>
      <c r="O33" s="39" t="n"/>
      <c r="P33" s="40">
        <f>IF($C33="","",IF((IF(F33="",", Client","")&amp;IF(G33="",", Description","")&amp;IF(H33="",", Cost Centre","")&amp;IF(I33="",", Invoice Type","")&amp;IF(J33="",", Tax Code","")&amp;IF(O33="",", Expected Revenue","")&amp;IF(COUNTIF(tbl_Finance[Job Number],$C33&amp;"")&gt;1,", Job number used twice",""))="","Complete","Fix: "&amp;MID(IF(F33="",", Client","")&amp;IF(G33="",", Description","")&amp;IF(H33="",", Cost Centre","")&amp;IF(I33="",", Invoice Type","")&amp;IF(J33="",", Tax Code","")&amp;IF(O33="",", Expected Revenue","")&amp;IF(COUNTIF(tbl_Finance[Job Number],$C33&amp;"")&gt;1,", Job number used twice",""),3,300)))</f>
        <v/>
      </c>
      <c r="Q33" s="10">
        <f>IF($C33="","",IF(H33="","(no cost centre)",H33&amp;" - GL "&amp;IFERROR(INDEX(lst_CCtoGL,MATCH(H33,lst_CCforGL,0)),"?")))</f>
        <v/>
      </c>
      <c r="R33" s="37" t="n"/>
      <c r="S33" s="10">
        <f>IF(R33="","",HYPERLINK(IF(LEFT(R33,4)="http",R33,set_QwilrBase&amp;R33),"Open quote"))</f>
        <v/>
      </c>
      <c r="T33" s="39" t="n"/>
      <c r="U33" s="39" t="n"/>
      <c r="V33" s="39" t="n"/>
      <c r="W33" s="10">
        <f>IF(C33="","",IF(N(T33)+N(U33)+N(V33)=0,"Not split",IF(ROUND(N(T33)+N(U33)+N(V33),2)=ROUND(MAX(N(L33),N(O33)),2),"OK","MISMATCH")))</f>
        <v/>
      </c>
      <c r="X33" s="39" t="n"/>
      <c r="Y33" s="39" t="n"/>
      <c r="Z33" s="39" t="n"/>
      <c r="AA33" s="11">
        <f>IF(C33="","",N(X33)+N(Y33)+N(Z33))</f>
        <v/>
      </c>
      <c r="AB33" s="11">
        <f>IF(C33="","",MAX(N(L33),N(O33))-N(AA33))</f>
        <v/>
      </c>
      <c r="AC33" s="43">
        <f>IFERROR(IF(MAX(N(L33),N(O33))=0,"",AB33/MAX(N(L33),N(O33))),"")</f>
        <v/>
      </c>
      <c r="AD33" s="37" t="n"/>
      <c r="AE33" s="10" t="inlineStr">
        <is>
          <t>CON-0029</t>
        </is>
      </c>
    </row>
    <row r="34">
      <c r="A34" s="16">
        <f>IF($C34="","",IFERROR(IF(INDEX(tbl_Finance[Latest Invoice Date],MATCH($AE34,tbl_Finance[Row ID],0))="","",INDEX(tbl_Finance[Latest Invoice Date],MATCH($AE34,tbl_Finance[Row ID],0))),""))</f>
        <v/>
      </c>
      <c r="B34" s="10">
        <f>IF($C34="","",IFERROR(INDEX(tbl_Finance[Invoice Numbers],MATCH($AE34,tbl_Finance[Row ID],0))&amp;"",""))</f>
        <v/>
      </c>
      <c r="C34" s="37" t="n"/>
      <c r="D34" s="10">
        <f>IF($C34="","",IF(COUNTIF(lst_Jobs,$C34&amp;"")&gt;0,"OK","CHECK"))</f>
        <v/>
      </c>
      <c r="E34" s="10">
        <f>IF($C34="","",IFERROR(INDEX(lst_JobName,MATCH($C34&amp;"",lst_Jobs,0)),""))</f>
        <v/>
      </c>
      <c r="F34" s="37" t="n"/>
      <c r="G34" s="37" t="n"/>
      <c r="H34" s="37" t="n"/>
      <c r="I34" s="37" t="n"/>
      <c r="J34" s="37" t="n"/>
      <c r="K34" s="38">
        <f>IF($C34="","",IFERROR(N(INDEX(tbl_Finance[Invoice Count],MATCH($AE34,tbl_Finance[Row ID],0))),""))</f>
        <v/>
      </c>
      <c r="L34" s="11">
        <f>IF($C34="","",IFERROR(N(INDEX(tbl_Finance[Xero Invoiced Ex GST],MATCH($AE34,tbl_Finance[Row ID],0))),""))</f>
        <v/>
      </c>
      <c r="M34" s="10">
        <f>IF($C34="","",IFERROR(INDEX(tbl_Finance[Compare],MATCH($AE34,tbl_Finance[Row ID],0))&amp;"",""))</f>
        <v/>
      </c>
      <c r="N34" s="11">
        <f>IF($C34="","",MAX(0,N(O34)-N(L34)))</f>
        <v/>
      </c>
      <c r="O34" s="39" t="n"/>
      <c r="P34" s="40">
        <f>IF($C34="","",IF((IF(F34="",", Client","")&amp;IF(G34="",", Description","")&amp;IF(H34="",", Cost Centre","")&amp;IF(I34="",", Invoice Type","")&amp;IF(J34="",", Tax Code","")&amp;IF(O34="",", Expected Revenue","")&amp;IF(COUNTIF(tbl_Finance[Job Number],$C34&amp;"")&gt;1,", Job number used twice",""))="","Complete","Fix: "&amp;MID(IF(F34="",", Client","")&amp;IF(G34="",", Description","")&amp;IF(H34="",", Cost Centre","")&amp;IF(I34="",", Invoice Type","")&amp;IF(J34="",", Tax Code","")&amp;IF(O34="",", Expected Revenue","")&amp;IF(COUNTIF(tbl_Finance[Job Number],$C34&amp;"")&gt;1,", Job number used twice",""),3,300)))</f>
        <v/>
      </c>
      <c r="Q34" s="10">
        <f>IF($C34="","",IF(H34="","(no cost centre)",H34&amp;" - GL "&amp;IFERROR(INDEX(lst_CCtoGL,MATCH(H34,lst_CCforGL,0)),"?")))</f>
        <v/>
      </c>
      <c r="R34" s="37" t="n"/>
      <c r="S34" s="10">
        <f>IF(R34="","",HYPERLINK(IF(LEFT(R34,4)="http",R34,set_QwilrBase&amp;R34),"Open quote"))</f>
        <v/>
      </c>
      <c r="T34" s="39" t="n"/>
      <c r="U34" s="39" t="n"/>
      <c r="V34" s="39" t="n"/>
      <c r="W34" s="10">
        <f>IF(C34="","",IF(N(T34)+N(U34)+N(V34)=0,"Not split",IF(ROUND(N(T34)+N(U34)+N(V34),2)=ROUND(MAX(N(L34),N(O34)),2),"OK","MISMATCH")))</f>
        <v/>
      </c>
      <c r="X34" s="39" t="n"/>
      <c r="Y34" s="39" t="n"/>
      <c r="Z34" s="39" t="n"/>
      <c r="AA34" s="11">
        <f>IF(C34="","",N(X34)+N(Y34)+N(Z34))</f>
        <v/>
      </c>
      <c r="AB34" s="11">
        <f>IF(C34="","",MAX(N(L34),N(O34))-N(AA34))</f>
        <v/>
      </c>
      <c r="AC34" s="43">
        <f>IFERROR(IF(MAX(N(L34),N(O34))=0,"",AB34/MAX(N(L34),N(O34))),"")</f>
        <v/>
      </c>
      <c r="AD34" s="37" t="n"/>
      <c r="AE34" s="10" t="inlineStr">
        <is>
          <t>CON-0030</t>
        </is>
      </c>
    </row>
    <row r="35">
      <c r="A35" s="16">
        <f>IF($C35="","",IFERROR(IF(INDEX(tbl_Finance[Latest Invoice Date],MATCH($AE35,tbl_Finance[Row ID],0))="","",INDEX(tbl_Finance[Latest Invoice Date],MATCH($AE35,tbl_Finance[Row ID],0))),""))</f>
        <v/>
      </c>
      <c r="B35" s="10">
        <f>IF($C35="","",IFERROR(INDEX(tbl_Finance[Invoice Numbers],MATCH($AE35,tbl_Finance[Row ID],0))&amp;"",""))</f>
        <v/>
      </c>
      <c r="C35" s="37" t="n"/>
      <c r="D35" s="10">
        <f>IF($C35="","",IF(COUNTIF(lst_Jobs,$C35&amp;"")&gt;0,"OK","CHECK"))</f>
        <v/>
      </c>
      <c r="E35" s="10">
        <f>IF($C35="","",IFERROR(INDEX(lst_JobName,MATCH($C35&amp;"",lst_Jobs,0)),""))</f>
        <v/>
      </c>
      <c r="F35" s="37" t="n"/>
      <c r="G35" s="37" t="n"/>
      <c r="H35" s="37" t="n"/>
      <c r="I35" s="37" t="n"/>
      <c r="J35" s="37" t="n"/>
      <c r="K35" s="38">
        <f>IF($C35="","",IFERROR(N(INDEX(tbl_Finance[Invoice Count],MATCH($AE35,tbl_Finance[Row ID],0))),""))</f>
        <v/>
      </c>
      <c r="L35" s="11">
        <f>IF($C35="","",IFERROR(N(INDEX(tbl_Finance[Xero Invoiced Ex GST],MATCH($AE35,tbl_Finance[Row ID],0))),""))</f>
        <v/>
      </c>
      <c r="M35" s="10">
        <f>IF($C35="","",IFERROR(INDEX(tbl_Finance[Compare],MATCH($AE35,tbl_Finance[Row ID],0))&amp;"",""))</f>
        <v/>
      </c>
      <c r="N35" s="11">
        <f>IF($C35="","",MAX(0,N(O35)-N(L35)))</f>
        <v/>
      </c>
      <c r="O35" s="39" t="n"/>
      <c r="P35" s="40">
        <f>IF($C35="","",IF((IF(F35="",", Client","")&amp;IF(G35="",", Description","")&amp;IF(H35="",", Cost Centre","")&amp;IF(I35="",", Invoice Type","")&amp;IF(J35="",", Tax Code","")&amp;IF(O35="",", Expected Revenue","")&amp;IF(COUNTIF(tbl_Finance[Job Number],$C35&amp;"")&gt;1,", Job number used twice",""))="","Complete","Fix: "&amp;MID(IF(F35="",", Client","")&amp;IF(G35="",", Description","")&amp;IF(H35="",", Cost Centre","")&amp;IF(I35="",", Invoice Type","")&amp;IF(J35="",", Tax Code","")&amp;IF(O35="",", Expected Revenue","")&amp;IF(COUNTIF(tbl_Finance[Job Number],$C35&amp;"")&gt;1,", Job number used twice",""),3,300)))</f>
        <v/>
      </c>
      <c r="Q35" s="10">
        <f>IF($C35="","",IF(H35="","(no cost centre)",H35&amp;" - GL "&amp;IFERROR(INDEX(lst_CCtoGL,MATCH(H35,lst_CCforGL,0)),"?")))</f>
        <v/>
      </c>
      <c r="R35" s="37" t="n"/>
      <c r="S35" s="10">
        <f>IF(R35="","",HYPERLINK(IF(LEFT(R35,4)="http",R35,set_QwilrBase&amp;R35),"Open quote"))</f>
        <v/>
      </c>
      <c r="T35" s="39" t="n"/>
      <c r="U35" s="39" t="n"/>
      <c r="V35" s="39" t="n"/>
      <c r="W35" s="10">
        <f>IF(C35="","",IF(N(T35)+N(U35)+N(V35)=0,"Not split",IF(ROUND(N(T35)+N(U35)+N(V35),2)=ROUND(MAX(N(L35),N(O35)),2),"OK","MISMATCH")))</f>
        <v/>
      </c>
      <c r="X35" s="39" t="n"/>
      <c r="Y35" s="39" t="n"/>
      <c r="Z35" s="39" t="n"/>
      <c r="AA35" s="11">
        <f>IF(C35="","",N(X35)+N(Y35)+N(Z35))</f>
        <v/>
      </c>
      <c r="AB35" s="11">
        <f>IF(C35="","",MAX(N(L35),N(O35))-N(AA35))</f>
        <v/>
      </c>
      <c r="AC35" s="43">
        <f>IFERROR(IF(MAX(N(L35),N(O35))=0,"",AB35/MAX(N(L35),N(O35))),"")</f>
        <v/>
      </c>
      <c r="AD35" s="37" t="n"/>
      <c r="AE35" s="10" t="inlineStr">
        <is>
          <t>CON-0031</t>
        </is>
      </c>
    </row>
    <row r="36">
      <c r="A36" s="16">
        <f>IF($C36="","",IFERROR(IF(INDEX(tbl_Finance[Latest Invoice Date],MATCH($AE36,tbl_Finance[Row ID],0))="","",INDEX(tbl_Finance[Latest Invoice Date],MATCH($AE36,tbl_Finance[Row ID],0))),""))</f>
        <v/>
      </c>
      <c r="B36" s="10">
        <f>IF($C36="","",IFERROR(INDEX(tbl_Finance[Invoice Numbers],MATCH($AE36,tbl_Finance[Row ID],0))&amp;"",""))</f>
        <v/>
      </c>
      <c r="C36" s="37" t="n"/>
      <c r="D36" s="10">
        <f>IF($C36="","",IF(COUNTIF(lst_Jobs,$C36&amp;"")&gt;0,"OK","CHECK"))</f>
        <v/>
      </c>
      <c r="E36" s="10">
        <f>IF($C36="","",IFERROR(INDEX(lst_JobName,MATCH($C36&amp;"",lst_Jobs,0)),""))</f>
        <v/>
      </c>
      <c r="F36" s="37" t="n"/>
      <c r="G36" s="37" t="n"/>
      <c r="H36" s="37" t="n"/>
      <c r="I36" s="37" t="n"/>
      <c r="J36" s="37" t="n"/>
      <c r="K36" s="38">
        <f>IF($C36="","",IFERROR(N(INDEX(tbl_Finance[Invoice Count],MATCH($AE36,tbl_Finance[Row ID],0))),""))</f>
        <v/>
      </c>
      <c r="L36" s="11">
        <f>IF($C36="","",IFERROR(N(INDEX(tbl_Finance[Xero Invoiced Ex GST],MATCH($AE36,tbl_Finance[Row ID],0))),""))</f>
        <v/>
      </c>
      <c r="M36" s="10">
        <f>IF($C36="","",IFERROR(INDEX(tbl_Finance[Compare],MATCH($AE36,tbl_Finance[Row ID],0))&amp;"",""))</f>
        <v/>
      </c>
      <c r="N36" s="11">
        <f>IF($C36="","",MAX(0,N(O36)-N(L36)))</f>
        <v/>
      </c>
      <c r="O36" s="39" t="n"/>
      <c r="P36" s="40">
        <f>IF($C36="","",IF((IF(F36="",", Client","")&amp;IF(G36="",", Description","")&amp;IF(H36="",", Cost Centre","")&amp;IF(I36="",", Invoice Type","")&amp;IF(J36="",", Tax Code","")&amp;IF(O36="",", Expected Revenue","")&amp;IF(COUNTIF(tbl_Finance[Job Number],$C36&amp;"")&gt;1,", Job number used twice",""))="","Complete","Fix: "&amp;MID(IF(F36="",", Client","")&amp;IF(G36="",", Description","")&amp;IF(H36="",", Cost Centre","")&amp;IF(I36="",", Invoice Type","")&amp;IF(J36="",", Tax Code","")&amp;IF(O36="",", Expected Revenue","")&amp;IF(COUNTIF(tbl_Finance[Job Number],$C36&amp;"")&gt;1,", Job number used twice",""),3,300)))</f>
        <v/>
      </c>
      <c r="Q36" s="10">
        <f>IF($C36="","",IF(H36="","(no cost centre)",H36&amp;" - GL "&amp;IFERROR(INDEX(lst_CCtoGL,MATCH(H36,lst_CCforGL,0)),"?")))</f>
        <v/>
      </c>
      <c r="R36" s="37" t="n"/>
      <c r="S36" s="10">
        <f>IF(R36="","",HYPERLINK(IF(LEFT(R36,4)="http",R36,set_QwilrBase&amp;R36),"Open quote"))</f>
        <v/>
      </c>
      <c r="T36" s="39" t="n"/>
      <c r="U36" s="39" t="n"/>
      <c r="V36" s="39" t="n"/>
      <c r="W36" s="10">
        <f>IF(C36="","",IF(N(T36)+N(U36)+N(V36)=0,"Not split",IF(ROUND(N(T36)+N(U36)+N(V36),2)=ROUND(MAX(N(L36),N(O36)),2),"OK","MISMATCH")))</f>
        <v/>
      </c>
      <c r="X36" s="39" t="n"/>
      <c r="Y36" s="39" t="n"/>
      <c r="Z36" s="39" t="n"/>
      <c r="AA36" s="11">
        <f>IF(C36="","",N(X36)+N(Y36)+N(Z36))</f>
        <v/>
      </c>
      <c r="AB36" s="11">
        <f>IF(C36="","",MAX(N(L36),N(O36))-N(AA36))</f>
        <v/>
      </c>
      <c r="AC36" s="43">
        <f>IFERROR(IF(MAX(N(L36),N(O36))=0,"",AB36/MAX(N(L36),N(O36))),"")</f>
        <v/>
      </c>
      <c r="AD36" s="37" t="n"/>
      <c r="AE36" s="10" t="inlineStr">
        <is>
          <t>CON-0032</t>
        </is>
      </c>
    </row>
    <row r="37">
      <c r="A37" s="16">
        <f>IF($C37="","",IFERROR(IF(INDEX(tbl_Finance[Latest Invoice Date],MATCH($AE37,tbl_Finance[Row ID],0))="","",INDEX(tbl_Finance[Latest Invoice Date],MATCH($AE37,tbl_Finance[Row ID],0))),""))</f>
        <v/>
      </c>
      <c r="B37" s="10">
        <f>IF($C37="","",IFERROR(INDEX(tbl_Finance[Invoice Numbers],MATCH($AE37,tbl_Finance[Row ID],0))&amp;"",""))</f>
        <v/>
      </c>
      <c r="C37" s="37" t="n"/>
      <c r="D37" s="10">
        <f>IF($C37="","",IF(COUNTIF(lst_Jobs,$C37&amp;"")&gt;0,"OK","CHECK"))</f>
        <v/>
      </c>
      <c r="E37" s="10">
        <f>IF($C37="","",IFERROR(INDEX(lst_JobName,MATCH($C37&amp;"",lst_Jobs,0)),""))</f>
        <v/>
      </c>
      <c r="F37" s="37" t="n"/>
      <c r="G37" s="37" t="n"/>
      <c r="H37" s="37" t="n"/>
      <c r="I37" s="37" t="n"/>
      <c r="J37" s="37" t="n"/>
      <c r="K37" s="38">
        <f>IF($C37="","",IFERROR(N(INDEX(tbl_Finance[Invoice Count],MATCH($AE37,tbl_Finance[Row ID],0))),""))</f>
        <v/>
      </c>
      <c r="L37" s="11">
        <f>IF($C37="","",IFERROR(N(INDEX(tbl_Finance[Xero Invoiced Ex GST],MATCH($AE37,tbl_Finance[Row ID],0))),""))</f>
        <v/>
      </c>
      <c r="M37" s="10">
        <f>IF($C37="","",IFERROR(INDEX(tbl_Finance[Compare],MATCH($AE37,tbl_Finance[Row ID],0))&amp;"",""))</f>
        <v/>
      </c>
      <c r="N37" s="11">
        <f>IF($C37="","",MAX(0,N(O37)-N(L37)))</f>
        <v/>
      </c>
      <c r="O37" s="39" t="n"/>
      <c r="P37" s="40">
        <f>IF($C37="","",IF((IF(F37="",", Client","")&amp;IF(G37="",", Description","")&amp;IF(H37="",", Cost Centre","")&amp;IF(I37="",", Invoice Type","")&amp;IF(J37="",", Tax Code","")&amp;IF(O37="",", Expected Revenue","")&amp;IF(COUNTIF(tbl_Finance[Job Number],$C37&amp;"")&gt;1,", Job number used twice",""))="","Complete","Fix: "&amp;MID(IF(F37="",", Client","")&amp;IF(G37="",", Description","")&amp;IF(H37="",", Cost Centre","")&amp;IF(I37="",", Invoice Type","")&amp;IF(J37="",", Tax Code","")&amp;IF(O37="",", Expected Revenue","")&amp;IF(COUNTIF(tbl_Finance[Job Number],$C37&amp;"")&gt;1,", Job number used twice",""),3,300)))</f>
        <v/>
      </c>
      <c r="Q37" s="10">
        <f>IF($C37="","",IF(H37="","(no cost centre)",H37&amp;" - GL "&amp;IFERROR(INDEX(lst_CCtoGL,MATCH(H37,lst_CCforGL,0)),"?")))</f>
        <v/>
      </c>
      <c r="R37" s="37" t="n"/>
      <c r="S37" s="10">
        <f>IF(R37="","",HYPERLINK(IF(LEFT(R37,4)="http",R37,set_QwilrBase&amp;R37),"Open quote"))</f>
        <v/>
      </c>
      <c r="T37" s="39" t="n"/>
      <c r="U37" s="39" t="n"/>
      <c r="V37" s="39" t="n"/>
      <c r="W37" s="10">
        <f>IF(C37="","",IF(N(T37)+N(U37)+N(V37)=0,"Not split",IF(ROUND(N(T37)+N(U37)+N(V37),2)=ROUND(MAX(N(L37),N(O37)),2),"OK","MISMATCH")))</f>
        <v/>
      </c>
      <c r="X37" s="39" t="n"/>
      <c r="Y37" s="39" t="n"/>
      <c r="Z37" s="39" t="n"/>
      <c r="AA37" s="11">
        <f>IF(C37="","",N(X37)+N(Y37)+N(Z37))</f>
        <v/>
      </c>
      <c r="AB37" s="11">
        <f>IF(C37="","",MAX(N(L37),N(O37))-N(AA37))</f>
        <v/>
      </c>
      <c r="AC37" s="43">
        <f>IFERROR(IF(MAX(N(L37),N(O37))=0,"",AB37/MAX(N(L37),N(O37))),"")</f>
        <v/>
      </c>
      <c r="AD37" s="37" t="n"/>
      <c r="AE37" s="10" t="inlineStr">
        <is>
          <t>CON-0033</t>
        </is>
      </c>
    </row>
    <row r="38">
      <c r="A38" s="16">
        <f>IF($C38="","",IFERROR(IF(INDEX(tbl_Finance[Latest Invoice Date],MATCH($AE38,tbl_Finance[Row ID],0))="","",INDEX(tbl_Finance[Latest Invoice Date],MATCH($AE38,tbl_Finance[Row ID],0))),""))</f>
        <v/>
      </c>
      <c r="B38" s="10">
        <f>IF($C38="","",IFERROR(INDEX(tbl_Finance[Invoice Numbers],MATCH($AE38,tbl_Finance[Row ID],0))&amp;"",""))</f>
        <v/>
      </c>
      <c r="C38" s="37" t="n"/>
      <c r="D38" s="10">
        <f>IF($C38="","",IF(COUNTIF(lst_Jobs,$C38&amp;"")&gt;0,"OK","CHECK"))</f>
        <v/>
      </c>
      <c r="E38" s="10">
        <f>IF($C38="","",IFERROR(INDEX(lst_JobName,MATCH($C38&amp;"",lst_Jobs,0)),""))</f>
        <v/>
      </c>
      <c r="F38" s="37" t="n"/>
      <c r="G38" s="37" t="n"/>
      <c r="H38" s="37" t="n"/>
      <c r="I38" s="37" t="n"/>
      <c r="J38" s="37" t="n"/>
      <c r="K38" s="38">
        <f>IF($C38="","",IFERROR(N(INDEX(tbl_Finance[Invoice Count],MATCH($AE38,tbl_Finance[Row ID],0))),""))</f>
        <v/>
      </c>
      <c r="L38" s="11">
        <f>IF($C38="","",IFERROR(N(INDEX(tbl_Finance[Xero Invoiced Ex GST],MATCH($AE38,tbl_Finance[Row ID],0))),""))</f>
        <v/>
      </c>
      <c r="M38" s="10">
        <f>IF($C38="","",IFERROR(INDEX(tbl_Finance[Compare],MATCH($AE38,tbl_Finance[Row ID],0))&amp;"",""))</f>
        <v/>
      </c>
      <c r="N38" s="11">
        <f>IF($C38="","",MAX(0,N(O38)-N(L38)))</f>
        <v/>
      </c>
      <c r="O38" s="39" t="n"/>
      <c r="P38" s="40">
        <f>IF($C38="","",IF((IF(F38="",", Client","")&amp;IF(G38="",", Description","")&amp;IF(H38="",", Cost Centre","")&amp;IF(I38="",", Invoice Type","")&amp;IF(J38="",", Tax Code","")&amp;IF(O38="",", Expected Revenue","")&amp;IF(COUNTIF(tbl_Finance[Job Number],$C38&amp;"")&gt;1,", Job number used twice",""))="","Complete","Fix: "&amp;MID(IF(F38="",", Client","")&amp;IF(G38="",", Description","")&amp;IF(H38="",", Cost Centre","")&amp;IF(I38="",", Invoice Type","")&amp;IF(J38="",", Tax Code","")&amp;IF(O38="",", Expected Revenue","")&amp;IF(COUNTIF(tbl_Finance[Job Number],$C38&amp;"")&gt;1,", Job number used twice",""),3,300)))</f>
        <v/>
      </c>
      <c r="Q38" s="10">
        <f>IF($C38="","",IF(H38="","(no cost centre)",H38&amp;" - GL "&amp;IFERROR(INDEX(lst_CCtoGL,MATCH(H38,lst_CCforGL,0)),"?")))</f>
        <v/>
      </c>
      <c r="R38" s="37" t="n"/>
      <c r="S38" s="10">
        <f>IF(R38="","",HYPERLINK(IF(LEFT(R38,4)="http",R38,set_QwilrBase&amp;R38),"Open quote"))</f>
        <v/>
      </c>
      <c r="T38" s="39" t="n"/>
      <c r="U38" s="39" t="n"/>
      <c r="V38" s="39" t="n"/>
      <c r="W38" s="10">
        <f>IF(C38="","",IF(N(T38)+N(U38)+N(V38)=0,"Not split",IF(ROUND(N(T38)+N(U38)+N(V38),2)=ROUND(MAX(N(L38),N(O38)),2),"OK","MISMATCH")))</f>
        <v/>
      </c>
      <c r="X38" s="39" t="n"/>
      <c r="Y38" s="39" t="n"/>
      <c r="Z38" s="39" t="n"/>
      <c r="AA38" s="11">
        <f>IF(C38="","",N(X38)+N(Y38)+N(Z38))</f>
        <v/>
      </c>
      <c r="AB38" s="11">
        <f>IF(C38="","",MAX(N(L38),N(O38))-N(AA38))</f>
        <v/>
      </c>
      <c r="AC38" s="43">
        <f>IFERROR(IF(MAX(N(L38),N(O38))=0,"",AB38/MAX(N(L38),N(O38))),"")</f>
        <v/>
      </c>
      <c r="AD38" s="37" t="n"/>
      <c r="AE38" s="10" t="inlineStr">
        <is>
          <t>CON-0034</t>
        </is>
      </c>
    </row>
    <row r="39">
      <c r="A39" s="16">
        <f>IF($C39="","",IFERROR(IF(INDEX(tbl_Finance[Latest Invoice Date],MATCH($AE39,tbl_Finance[Row ID],0))="","",INDEX(tbl_Finance[Latest Invoice Date],MATCH($AE39,tbl_Finance[Row ID],0))),""))</f>
        <v/>
      </c>
      <c r="B39" s="10">
        <f>IF($C39="","",IFERROR(INDEX(tbl_Finance[Invoice Numbers],MATCH($AE39,tbl_Finance[Row ID],0))&amp;"",""))</f>
        <v/>
      </c>
      <c r="C39" s="37" t="n"/>
      <c r="D39" s="10">
        <f>IF($C39="","",IF(COUNTIF(lst_Jobs,$C39&amp;"")&gt;0,"OK","CHECK"))</f>
        <v/>
      </c>
      <c r="E39" s="10">
        <f>IF($C39="","",IFERROR(INDEX(lst_JobName,MATCH($C39&amp;"",lst_Jobs,0)),""))</f>
        <v/>
      </c>
      <c r="F39" s="37" t="n"/>
      <c r="G39" s="37" t="n"/>
      <c r="H39" s="37" t="n"/>
      <c r="I39" s="37" t="n"/>
      <c r="J39" s="37" t="n"/>
      <c r="K39" s="38">
        <f>IF($C39="","",IFERROR(N(INDEX(tbl_Finance[Invoice Count],MATCH($AE39,tbl_Finance[Row ID],0))),""))</f>
        <v/>
      </c>
      <c r="L39" s="11">
        <f>IF($C39="","",IFERROR(N(INDEX(tbl_Finance[Xero Invoiced Ex GST],MATCH($AE39,tbl_Finance[Row ID],0))),""))</f>
        <v/>
      </c>
      <c r="M39" s="10">
        <f>IF($C39="","",IFERROR(INDEX(tbl_Finance[Compare],MATCH($AE39,tbl_Finance[Row ID],0))&amp;"",""))</f>
        <v/>
      </c>
      <c r="N39" s="11">
        <f>IF($C39="","",MAX(0,N(O39)-N(L39)))</f>
        <v/>
      </c>
      <c r="O39" s="39" t="n"/>
      <c r="P39" s="40">
        <f>IF($C39="","",IF((IF(F39="",", Client","")&amp;IF(G39="",", Description","")&amp;IF(H39="",", Cost Centre","")&amp;IF(I39="",", Invoice Type","")&amp;IF(J39="",", Tax Code","")&amp;IF(O39="",", Expected Revenue","")&amp;IF(COUNTIF(tbl_Finance[Job Number],$C39&amp;"")&gt;1,", Job number used twice",""))="","Complete","Fix: "&amp;MID(IF(F39="",", Client","")&amp;IF(G39="",", Description","")&amp;IF(H39="",", Cost Centre","")&amp;IF(I39="",", Invoice Type","")&amp;IF(J39="",", Tax Code","")&amp;IF(O39="",", Expected Revenue","")&amp;IF(COUNTIF(tbl_Finance[Job Number],$C39&amp;"")&gt;1,", Job number used twice",""),3,300)))</f>
        <v/>
      </c>
      <c r="Q39" s="10">
        <f>IF($C39="","",IF(H39="","(no cost centre)",H39&amp;" - GL "&amp;IFERROR(INDEX(lst_CCtoGL,MATCH(H39,lst_CCforGL,0)),"?")))</f>
        <v/>
      </c>
      <c r="R39" s="37" t="n"/>
      <c r="S39" s="10">
        <f>IF(R39="","",HYPERLINK(IF(LEFT(R39,4)="http",R39,set_QwilrBase&amp;R39),"Open quote"))</f>
        <v/>
      </c>
      <c r="T39" s="39" t="n"/>
      <c r="U39" s="39" t="n"/>
      <c r="V39" s="39" t="n"/>
      <c r="W39" s="10">
        <f>IF(C39="","",IF(N(T39)+N(U39)+N(V39)=0,"Not split",IF(ROUND(N(T39)+N(U39)+N(V39),2)=ROUND(MAX(N(L39),N(O39)),2),"OK","MISMATCH")))</f>
        <v/>
      </c>
      <c r="X39" s="39" t="n"/>
      <c r="Y39" s="39" t="n"/>
      <c r="Z39" s="39" t="n"/>
      <c r="AA39" s="11">
        <f>IF(C39="","",N(X39)+N(Y39)+N(Z39))</f>
        <v/>
      </c>
      <c r="AB39" s="11">
        <f>IF(C39="","",MAX(N(L39),N(O39))-N(AA39))</f>
        <v/>
      </c>
      <c r="AC39" s="43">
        <f>IFERROR(IF(MAX(N(L39),N(O39))=0,"",AB39/MAX(N(L39),N(O39))),"")</f>
        <v/>
      </c>
      <c r="AD39" s="37" t="n"/>
      <c r="AE39" s="10" t="inlineStr">
        <is>
          <t>CON-0035</t>
        </is>
      </c>
    </row>
    <row r="40">
      <c r="A40" s="16">
        <f>IF($C40="","",IFERROR(IF(INDEX(tbl_Finance[Latest Invoice Date],MATCH($AE40,tbl_Finance[Row ID],0))="","",INDEX(tbl_Finance[Latest Invoice Date],MATCH($AE40,tbl_Finance[Row ID],0))),""))</f>
        <v/>
      </c>
      <c r="B40" s="10">
        <f>IF($C40="","",IFERROR(INDEX(tbl_Finance[Invoice Numbers],MATCH($AE40,tbl_Finance[Row ID],0))&amp;"",""))</f>
        <v/>
      </c>
      <c r="C40" s="37" t="n"/>
      <c r="D40" s="10">
        <f>IF($C40="","",IF(COUNTIF(lst_Jobs,$C40&amp;"")&gt;0,"OK","CHECK"))</f>
        <v/>
      </c>
      <c r="E40" s="10">
        <f>IF($C40="","",IFERROR(INDEX(lst_JobName,MATCH($C40&amp;"",lst_Jobs,0)),""))</f>
        <v/>
      </c>
      <c r="F40" s="37" t="n"/>
      <c r="G40" s="37" t="n"/>
      <c r="H40" s="37" t="n"/>
      <c r="I40" s="37" t="n"/>
      <c r="J40" s="37" t="n"/>
      <c r="K40" s="38">
        <f>IF($C40="","",IFERROR(N(INDEX(tbl_Finance[Invoice Count],MATCH($AE40,tbl_Finance[Row ID],0))),""))</f>
        <v/>
      </c>
      <c r="L40" s="11">
        <f>IF($C40="","",IFERROR(N(INDEX(tbl_Finance[Xero Invoiced Ex GST],MATCH($AE40,tbl_Finance[Row ID],0))),""))</f>
        <v/>
      </c>
      <c r="M40" s="10">
        <f>IF($C40="","",IFERROR(INDEX(tbl_Finance[Compare],MATCH($AE40,tbl_Finance[Row ID],0))&amp;"",""))</f>
        <v/>
      </c>
      <c r="N40" s="11">
        <f>IF($C40="","",MAX(0,N(O40)-N(L40)))</f>
        <v/>
      </c>
      <c r="O40" s="39" t="n"/>
      <c r="P40" s="40">
        <f>IF($C40="","",IF((IF(F40="",", Client","")&amp;IF(G40="",", Description","")&amp;IF(H40="",", Cost Centre","")&amp;IF(I40="",", Invoice Type","")&amp;IF(J40="",", Tax Code","")&amp;IF(O40="",", Expected Revenue","")&amp;IF(COUNTIF(tbl_Finance[Job Number],$C40&amp;"")&gt;1,", Job number used twice",""))="","Complete","Fix: "&amp;MID(IF(F40="",", Client","")&amp;IF(G40="",", Description","")&amp;IF(H40="",", Cost Centre","")&amp;IF(I40="",", Invoice Type","")&amp;IF(J40="",", Tax Code","")&amp;IF(O40="",", Expected Revenue","")&amp;IF(COUNTIF(tbl_Finance[Job Number],$C40&amp;"")&gt;1,", Job number used twice",""),3,300)))</f>
        <v/>
      </c>
      <c r="Q40" s="10">
        <f>IF($C40="","",IF(H40="","(no cost centre)",H40&amp;" - GL "&amp;IFERROR(INDEX(lst_CCtoGL,MATCH(H40,lst_CCforGL,0)),"?")))</f>
        <v/>
      </c>
      <c r="R40" s="37" t="n"/>
      <c r="S40" s="10">
        <f>IF(R40="","",HYPERLINK(IF(LEFT(R40,4)="http",R40,set_QwilrBase&amp;R40),"Open quote"))</f>
        <v/>
      </c>
      <c r="T40" s="39" t="n"/>
      <c r="U40" s="39" t="n"/>
      <c r="V40" s="39" t="n"/>
      <c r="W40" s="10">
        <f>IF(C40="","",IF(N(T40)+N(U40)+N(V40)=0,"Not split",IF(ROUND(N(T40)+N(U40)+N(V40),2)=ROUND(MAX(N(L40),N(O40)),2),"OK","MISMATCH")))</f>
        <v/>
      </c>
      <c r="X40" s="39" t="n"/>
      <c r="Y40" s="39" t="n"/>
      <c r="Z40" s="39" t="n"/>
      <c r="AA40" s="11">
        <f>IF(C40="","",N(X40)+N(Y40)+N(Z40))</f>
        <v/>
      </c>
      <c r="AB40" s="11">
        <f>IF(C40="","",MAX(N(L40),N(O40))-N(AA40))</f>
        <v/>
      </c>
      <c r="AC40" s="43">
        <f>IFERROR(IF(MAX(N(L40),N(O40))=0,"",AB40/MAX(N(L40),N(O40))),"")</f>
        <v/>
      </c>
      <c r="AD40" s="37" t="n"/>
      <c r="AE40" s="10" t="inlineStr">
        <is>
          <t>CON-0036</t>
        </is>
      </c>
    </row>
    <row r="41">
      <c r="A41" s="16">
        <f>IF($C41="","",IFERROR(IF(INDEX(tbl_Finance[Latest Invoice Date],MATCH($AE41,tbl_Finance[Row ID],0))="","",INDEX(tbl_Finance[Latest Invoice Date],MATCH($AE41,tbl_Finance[Row ID],0))),""))</f>
        <v/>
      </c>
      <c r="B41" s="10">
        <f>IF($C41="","",IFERROR(INDEX(tbl_Finance[Invoice Numbers],MATCH($AE41,tbl_Finance[Row ID],0))&amp;"",""))</f>
        <v/>
      </c>
      <c r="C41" s="37" t="n"/>
      <c r="D41" s="10">
        <f>IF($C41="","",IF(COUNTIF(lst_Jobs,$C41&amp;"")&gt;0,"OK","CHECK"))</f>
        <v/>
      </c>
      <c r="E41" s="10">
        <f>IF($C41="","",IFERROR(INDEX(lst_JobName,MATCH($C41&amp;"",lst_Jobs,0)),""))</f>
        <v/>
      </c>
      <c r="F41" s="37" t="n"/>
      <c r="G41" s="37" t="n"/>
      <c r="H41" s="37" t="n"/>
      <c r="I41" s="37" t="n"/>
      <c r="J41" s="37" t="n"/>
      <c r="K41" s="38">
        <f>IF($C41="","",IFERROR(N(INDEX(tbl_Finance[Invoice Count],MATCH($AE41,tbl_Finance[Row ID],0))),""))</f>
        <v/>
      </c>
      <c r="L41" s="11">
        <f>IF($C41="","",IFERROR(N(INDEX(tbl_Finance[Xero Invoiced Ex GST],MATCH($AE41,tbl_Finance[Row ID],0))),""))</f>
        <v/>
      </c>
      <c r="M41" s="10">
        <f>IF($C41="","",IFERROR(INDEX(tbl_Finance[Compare],MATCH($AE41,tbl_Finance[Row ID],0))&amp;"",""))</f>
        <v/>
      </c>
      <c r="N41" s="11">
        <f>IF($C41="","",MAX(0,N(O41)-N(L41)))</f>
        <v/>
      </c>
      <c r="O41" s="39" t="n"/>
      <c r="P41" s="40">
        <f>IF($C41="","",IF((IF(F41="",", Client","")&amp;IF(G41="",", Description","")&amp;IF(H41="",", Cost Centre","")&amp;IF(I41="",", Invoice Type","")&amp;IF(J41="",", Tax Code","")&amp;IF(O41="",", Expected Revenue","")&amp;IF(COUNTIF(tbl_Finance[Job Number],$C41&amp;"")&gt;1,", Job number used twice",""))="","Complete","Fix: "&amp;MID(IF(F41="",", Client","")&amp;IF(G41="",", Description","")&amp;IF(H41="",", Cost Centre","")&amp;IF(I41="",", Invoice Type","")&amp;IF(J41="",", Tax Code","")&amp;IF(O41="",", Expected Revenue","")&amp;IF(COUNTIF(tbl_Finance[Job Number],$C41&amp;"")&gt;1,", Job number used twice",""),3,300)))</f>
        <v/>
      </c>
      <c r="Q41" s="10">
        <f>IF($C41="","",IF(H41="","(no cost centre)",H41&amp;" - GL "&amp;IFERROR(INDEX(lst_CCtoGL,MATCH(H41,lst_CCforGL,0)),"?")))</f>
        <v/>
      </c>
      <c r="R41" s="37" t="n"/>
      <c r="S41" s="10">
        <f>IF(R41="","",HYPERLINK(IF(LEFT(R41,4)="http",R41,set_QwilrBase&amp;R41),"Open quote"))</f>
        <v/>
      </c>
      <c r="T41" s="39" t="n"/>
      <c r="U41" s="39" t="n"/>
      <c r="V41" s="39" t="n"/>
      <c r="W41" s="10">
        <f>IF(C41="","",IF(N(T41)+N(U41)+N(V41)=0,"Not split",IF(ROUND(N(T41)+N(U41)+N(V41),2)=ROUND(MAX(N(L41),N(O41)),2),"OK","MISMATCH")))</f>
        <v/>
      </c>
      <c r="X41" s="39" t="n"/>
      <c r="Y41" s="39" t="n"/>
      <c r="Z41" s="39" t="n"/>
      <c r="AA41" s="11">
        <f>IF(C41="","",N(X41)+N(Y41)+N(Z41))</f>
        <v/>
      </c>
      <c r="AB41" s="11">
        <f>IF(C41="","",MAX(N(L41),N(O41))-N(AA41))</f>
        <v/>
      </c>
      <c r="AC41" s="43">
        <f>IFERROR(IF(MAX(N(L41),N(O41))=0,"",AB41/MAX(N(L41),N(O41))),"")</f>
        <v/>
      </c>
      <c r="AD41" s="37" t="n"/>
      <c r="AE41" s="10" t="inlineStr">
        <is>
          <t>CON-0037</t>
        </is>
      </c>
    </row>
    <row r="42">
      <c r="A42" s="16">
        <f>IF($C42="","",IFERROR(IF(INDEX(tbl_Finance[Latest Invoice Date],MATCH($AE42,tbl_Finance[Row ID],0))="","",INDEX(tbl_Finance[Latest Invoice Date],MATCH($AE42,tbl_Finance[Row ID],0))),""))</f>
        <v/>
      </c>
      <c r="B42" s="10">
        <f>IF($C42="","",IFERROR(INDEX(tbl_Finance[Invoice Numbers],MATCH($AE42,tbl_Finance[Row ID],0))&amp;"",""))</f>
        <v/>
      </c>
      <c r="C42" s="37" t="n"/>
      <c r="D42" s="10">
        <f>IF($C42="","",IF(COUNTIF(lst_Jobs,$C42&amp;"")&gt;0,"OK","CHECK"))</f>
        <v/>
      </c>
      <c r="E42" s="10">
        <f>IF($C42="","",IFERROR(INDEX(lst_JobName,MATCH($C42&amp;"",lst_Jobs,0)),""))</f>
        <v/>
      </c>
      <c r="F42" s="37" t="n"/>
      <c r="G42" s="37" t="n"/>
      <c r="H42" s="37" t="n"/>
      <c r="I42" s="37" t="n"/>
      <c r="J42" s="37" t="n"/>
      <c r="K42" s="38">
        <f>IF($C42="","",IFERROR(N(INDEX(tbl_Finance[Invoice Count],MATCH($AE42,tbl_Finance[Row ID],0))),""))</f>
        <v/>
      </c>
      <c r="L42" s="11">
        <f>IF($C42="","",IFERROR(N(INDEX(tbl_Finance[Xero Invoiced Ex GST],MATCH($AE42,tbl_Finance[Row ID],0))),""))</f>
        <v/>
      </c>
      <c r="M42" s="10">
        <f>IF($C42="","",IFERROR(INDEX(tbl_Finance[Compare],MATCH($AE42,tbl_Finance[Row ID],0))&amp;"",""))</f>
        <v/>
      </c>
      <c r="N42" s="11">
        <f>IF($C42="","",MAX(0,N(O42)-N(L42)))</f>
        <v/>
      </c>
      <c r="O42" s="39" t="n"/>
      <c r="P42" s="40">
        <f>IF($C42="","",IF((IF(F42="",", Client","")&amp;IF(G42="",", Description","")&amp;IF(H42="",", Cost Centre","")&amp;IF(I42="",", Invoice Type","")&amp;IF(J42="",", Tax Code","")&amp;IF(O42="",", Expected Revenue","")&amp;IF(COUNTIF(tbl_Finance[Job Number],$C42&amp;"")&gt;1,", Job number used twice",""))="","Complete","Fix: "&amp;MID(IF(F42="",", Client","")&amp;IF(G42="",", Description","")&amp;IF(H42="",", Cost Centre","")&amp;IF(I42="",", Invoice Type","")&amp;IF(J42="",", Tax Code","")&amp;IF(O42="",", Expected Revenue","")&amp;IF(COUNTIF(tbl_Finance[Job Number],$C42&amp;"")&gt;1,", Job number used twice",""),3,300)))</f>
        <v/>
      </c>
      <c r="Q42" s="10">
        <f>IF($C42="","",IF(H42="","(no cost centre)",H42&amp;" - GL "&amp;IFERROR(INDEX(lst_CCtoGL,MATCH(H42,lst_CCforGL,0)),"?")))</f>
        <v/>
      </c>
      <c r="R42" s="37" t="n"/>
      <c r="S42" s="10">
        <f>IF(R42="","",HYPERLINK(IF(LEFT(R42,4)="http",R42,set_QwilrBase&amp;R42),"Open quote"))</f>
        <v/>
      </c>
      <c r="T42" s="39" t="n"/>
      <c r="U42" s="39" t="n"/>
      <c r="V42" s="39" t="n"/>
      <c r="W42" s="10">
        <f>IF(C42="","",IF(N(T42)+N(U42)+N(V42)=0,"Not split",IF(ROUND(N(T42)+N(U42)+N(V42),2)=ROUND(MAX(N(L42),N(O42)),2),"OK","MISMATCH")))</f>
        <v/>
      </c>
      <c r="X42" s="39" t="n"/>
      <c r="Y42" s="39" t="n"/>
      <c r="Z42" s="39" t="n"/>
      <c r="AA42" s="11">
        <f>IF(C42="","",N(X42)+N(Y42)+N(Z42))</f>
        <v/>
      </c>
      <c r="AB42" s="11">
        <f>IF(C42="","",MAX(N(L42),N(O42))-N(AA42))</f>
        <v/>
      </c>
      <c r="AC42" s="43">
        <f>IFERROR(IF(MAX(N(L42),N(O42))=0,"",AB42/MAX(N(L42),N(O42))),"")</f>
        <v/>
      </c>
      <c r="AD42" s="37" t="n"/>
      <c r="AE42" s="10" t="inlineStr">
        <is>
          <t>CON-0038</t>
        </is>
      </c>
    </row>
    <row r="43">
      <c r="A43" s="16">
        <f>IF($C43="","",IFERROR(IF(INDEX(tbl_Finance[Latest Invoice Date],MATCH($AE43,tbl_Finance[Row ID],0))="","",INDEX(tbl_Finance[Latest Invoice Date],MATCH($AE43,tbl_Finance[Row ID],0))),""))</f>
        <v/>
      </c>
      <c r="B43" s="10">
        <f>IF($C43="","",IFERROR(INDEX(tbl_Finance[Invoice Numbers],MATCH($AE43,tbl_Finance[Row ID],0))&amp;"",""))</f>
        <v/>
      </c>
      <c r="C43" s="37" t="n"/>
      <c r="D43" s="10">
        <f>IF($C43="","",IF(COUNTIF(lst_Jobs,$C43&amp;"")&gt;0,"OK","CHECK"))</f>
        <v/>
      </c>
      <c r="E43" s="10">
        <f>IF($C43="","",IFERROR(INDEX(lst_JobName,MATCH($C43&amp;"",lst_Jobs,0)),""))</f>
        <v/>
      </c>
      <c r="F43" s="37" t="n"/>
      <c r="G43" s="37" t="n"/>
      <c r="H43" s="37" t="n"/>
      <c r="I43" s="37" t="n"/>
      <c r="J43" s="37" t="n"/>
      <c r="K43" s="38">
        <f>IF($C43="","",IFERROR(N(INDEX(tbl_Finance[Invoice Count],MATCH($AE43,tbl_Finance[Row ID],0))),""))</f>
        <v/>
      </c>
      <c r="L43" s="11">
        <f>IF($C43="","",IFERROR(N(INDEX(tbl_Finance[Xero Invoiced Ex GST],MATCH($AE43,tbl_Finance[Row ID],0))),""))</f>
        <v/>
      </c>
      <c r="M43" s="10">
        <f>IF($C43="","",IFERROR(INDEX(tbl_Finance[Compare],MATCH($AE43,tbl_Finance[Row ID],0))&amp;"",""))</f>
        <v/>
      </c>
      <c r="N43" s="11">
        <f>IF($C43="","",MAX(0,N(O43)-N(L43)))</f>
        <v/>
      </c>
      <c r="O43" s="39" t="n"/>
      <c r="P43" s="40">
        <f>IF($C43="","",IF((IF(F43="",", Client","")&amp;IF(G43="",", Description","")&amp;IF(H43="",", Cost Centre","")&amp;IF(I43="",", Invoice Type","")&amp;IF(J43="",", Tax Code","")&amp;IF(O43="",", Expected Revenue","")&amp;IF(COUNTIF(tbl_Finance[Job Number],$C43&amp;"")&gt;1,", Job number used twice",""))="","Complete","Fix: "&amp;MID(IF(F43="",", Client","")&amp;IF(G43="",", Description","")&amp;IF(H43="",", Cost Centre","")&amp;IF(I43="",", Invoice Type","")&amp;IF(J43="",", Tax Code","")&amp;IF(O43="",", Expected Revenue","")&amp;IF(COUNTIF(tbl_Finance[Job Number],$C43&amp;"")&gt;1,", Job number used twice",""),3,300)))</f>
        <v/>
      </c>
      <c r="Q43" s="10">
        <f>IF($C43="","",IF(H43="","(no cost centre)",H43&amp;" - GL "&amp;IFERROR(INDEX(lst_CCtoGL,MATCH(H43,lst_CCforGL,0)),"?")))</f>
        <v/>
      </c>
      <c r="R43" s="37" t="n"/>
      <c r="S43" s="10">
        <f>IF(R43="","",HYPERLINK(IF(LEFT(R43,4)="http",R43,set_QwilrBase&amp;R43),"Open quote"))</f>
        <v/>
      </c>
      <c r="T43" s="39" t="n"/>
      <c r="U43" s="39" t="n"/>
      <c r="V43" s="39" t="n"/>
      <c r="W43" s="10">
        <f>IF(C43="","",IF(N(T43)+N(U43)+N(V43)=0,"Not split",IF(ROUND(N(T43)+N(U43)+N(V43),2)=ROUND(MAX(N(L43),N(O43)),2),"OK","MISMATCH")))</f>
        <v/>
      </c>
      <c r="X43" s="39" t="n"/>
      <c r="Y43" s="39" t="n"/>
      <c r="Z43" s="39" t="n"/>
      <c r="AA43" s="11">
        <f>IF(C43="","",N(X43)+N(Y43)+N(Z43))</f>
        <v/>
      </c>
      <c r="AB43" s="11">
        <f>IF(C43="","",MAX(N(L43),N(O43))-N(AA43))</f>
        <v/>
      </c>
      <c r="AC43" s="43">
        <f>IFERROR(IF(MAX(N(L43),N(O43))=0,"",AB43/MAX(N(L43),N(O43))),"")</f>
        <v/>
      </c>
      <c r="AD43" s="37" t="n"/>
      <c r="AE43" s="10" t="inlineStr">
        <is>
          <t>CON-0039</t>
        </is>
      </c>
    </row>
    <row r="44">
      <c r="A44" s="16">
        <f>IF($C44="","",IFERROR(IF(INDEX(tbl_Finance[Latest Invoice Date],MATCH($AE44,tbl_Finance[Row ID],0))="","",INDEX(tbl_Finance[Latest Invoice Date],MATCH($AE44,tbl_Finance[Row ID],0))),""))</f>
        <v/>
      </c>
      <c r="B44" s="10">
        <f>IF($C44="","",IFERROR(INDEX(tbl_Finance[Invoice Numbers],MATCH($AE44,tbl_Finance[Row ID],0))&amp;"",""))</f>
        <v/>
      </c>
      <c r="C44" s="37" t="n"/>
      <c r="D44" s="10">
        <f>IF($C44="","",IF(COUNTIF(lst_Jobs,$C44&amp;"")&gt;0,"OK","CHECK"))</f>
        <v/>
      </c>
      <c r="E44" s="10">
        <f>IF($C44="","",IFERROR(INDEX(lst_JobName,MATCH($C44&amp;"",lst_Jobs,0)),""))</f>
        <v/>
      </c>
      <c r="F44" s="37" t="n"/>
      <c r="G44" s="37" t="n"/>
      <c r="H44" s="37" t="n"/>
      <c r="I44" s="37" t="n"/>
      <c r="J44" s="37" t="n"/>
      <c r="K44" s="38">
        <f>IF($C44="","",IFERROR(N(INDEX(tbl_Finance[Invoice Count],MATCH($AE44,tbl_Finance[Row ID],0))),""))</f>
        <v/>
      </c>
      <c r="L44" s="11">
        <f>IF($C44="","",IFERROR(N(INDEX(tbl_Finance[Xero Invoiced Ex GST],MATCH($AE44,tbl_Finance[Row ID],0))),""))</f>
        <v/>
      </c>
      <c r="M44" s="10">
        <f>IF($C44="","",IFERROR(INDEX(tbl_Finance[Compare],MATCH($AE44,tbl_Finance[Row ID],0))&amp;"",""))</f>
        <v/>
      </c>
      <c r="N44" s="11">
        <f>IF($C44="","",MAX(0,N(O44)-N(L44)))</f>
        <v/>
      </c>
      <c r="O44" s="39" t="n"/>
      <c r="P44" s="40">
        <f>IF($C44="","",IF((IF(F44="",", Client","")&amp;IF(G44="",", Description","")&amp;IF(H44="",", Cost Centre","")&amp;IF(I44="",", Invoice Type","")&amp;IF(J44="",", Tax Code","")&amp;IF(O44="",", Expected Revenue","")&amp;IF(COUNTIF(tbl_Finance[Job Number],$C44&amp;"")&gt;1,", Job number used twice",""))="","Complete","Fix: "&amp;MID(IF(F44="",", Client","")&amp;IF(G44="",", Description","")&amp;IF(H44="",", Cost Centre","")&amp;IF(I44="",", Invoice Type","")&amp;IF(J44="",", Tax Code","")&amp;IF(O44="",", Expected Revenue","")&amp;IF(COUNTIF(tbl_Finance[Job Number],$C44&amp;"")&gt;1,", Job number used twice",""),3,300)))</f>
        <v/>
      </c>
      <c r="Q44" s="10">
        <f>IF($C44="","",IF(H44="","(no cost centre)",H44&amp;" - GL "&amp;IFERROR(INDEX(lst_CCtoGL,MATCH(H44,lst_CCforGL,0)),"?")))</f>
        <v/>
      </c>
      <c r="R44" s="37" t="n"/>
      <c r="S44" s="10">
        <f>IF(R44="","",HYPERLINK(IF(LEFT(R44,4)="http",R44,set_QwilrBase&amp;R44),"Open quote"))</f>
        <v/>
      </c>
      <c r="T44" s="39" t="n"/>
      <c r="U44" s="39" t="n"/>
      <c r="V44" s="39" t="n"/>
      <c r="W44" s="10">
        <f>IF(C44="","",IF(N(T44)+N(U44)+N(V44)=0,"Not split",IF(ROUND(N(T44)+N(U44)+N(V44),2)=ROUND(MAX(N(L44),N(O44)),2),"OK","MISMATCH")))</f>
        <v/>
      </c>
      <c r="X44" s="39" t="n"/>
      <c r="Y44" s="39" t="n"/>
      <c r="Z44" s="39" t="n"/>
      <c r="AA44" s="11">
        <f>IF(C44="","",N(X44)+N(Y44)+N(Z44))</f>
        <v/>
      </c>
      <c r="AB44" s="11">
        <f>IF(C44="","",MAX(N(L44),N(O44))-N(AA44))</f>
        <v/>
      </c>
      <c r="AC44" s="43">
        <f>IFERROR(IF(MAX(N(L44),N(O44))=0,"",AB44/MAX(N(L44),N(O44))),"")</f>
        <v/>
      </c>
      <c r="AD44" s="37" t="n"/>
      <c r="AE44" s="10" t="inlineStr">
        <is>
          <t>CON-0040</t>
        </is>
      </c>
    </row>
    <row r="45">
      <c r="A45" s="16">
        <f>IF($C45="","",IFERROR(IF(INDEX(tbl_Finance[Latest Invoice Date],MATCH($AE45,tbl_Finance[Row ID],0))="","",INDEX(tbl_Finance[Latest Invoice Date],MATCH($AE45,tbl_Finance[Row ID],0))),""))</f>
        <v/>
      </c>
      <c r="B45" s="10">
        <f>IF($C45="","",IFERROR(INDEX(tbl_Finance[Invoice Numbers],MATCH($AE45,tbl_Finance[Row ID],0))&amp;"",""))</f>
        <v/>
      </c>
      <c r="C45" s="37" t="n"/>
      <c r="D45" s="10">
        <f>IF($C45="","",IF(COUNTIF(lst_Jobs,$C45&amp;"")&gt;0,"OK","CHECK"))</f>
        <v/>
      </c>
      <c r="E45" s="10">
        <f>IF($C45="","",IFERROR(INDEX(lst_JobName,MATCH($C45&amp;"",lst_Jobs,0)),""))</f>
        <v/>
      </c>
      <c r="F45" s="37" t="n"/>
      <c r="G45" s="37" t="n"/>
      <c r="H45" s="37" t="n"/>
      <c r="I45" s="37" t="n"/>
      <c r="J45" s="37" t="n"/>
      <c r="K45" s="38">
        <f>IF($C45="","",IFERROR(N(INDEX(tbl_Finance[Invoice Count],MATCH($AE45,tbl_Finance[Row ID],0))),""))</f>
        <v/>
      </c>
      <c r="L45" s="11">
        <f>IF($C45="","",IFERROR(N(INDEX(tbl_Finance[Xero Invoiced Ex GST],MATCH($AE45,tbl_Finance[Row ID],0))),""))</f>
        <v/>
      </c>
      <c r="M45" s="10">
        <f>IF($C45="","",IFERROR(INDEX(tbl_Finance[Compare],MATCH($AE45,tbl_Finance[Row ID],0))&amp;"",""))</f>
        <v/>
      </c>
      <c r="N45" s="11">
        <f>IF($C45="","",MAX(0,N(O45)-N(L45)))</f>
        <v/>
      </c>
      <c r="O45" s="39" t="n"/>
      <c r="P45" s="40">
        <f>IF($C45="","",IF((IF(F45="",", Client","")&amp;IF(G45="",", Description","")&amp;IF(H45="",", Cost Centre","")&amp;IF(I45="",", Invoice Type","")&amp;IF(J45="",", Tax Code","")&amp;IF(O45="",", Expected Revenue","")&amp;IF(COUNTIF(tbl_Finance[Job Number],$C45&amp;"")&gt;1,", Job number used twice",""))="","Complete","Fix: "&amp;MID(IF(F45="",", Client","")&amp;IF(G45="",", Description","")&amp;IF(H45="",", Cost Centre","")&amp;IF(I45="",", Invoice Type","")&amp;IF(J45="",", Tax Code","")&amp;IF(O45="",", Expected Revenue","")&amp;IF(COUNTIF(tbl_Finance[Job Number],$C45&amp;"")&gt;1,", Job number used twice",""),3,300)))</f>
        <v/>
      </c>
      <c r="Q45" s="10">
        <f>IF($C45="","",IF(H45="","(no cost centre)",H45&amp;" - GL "&amp;IFERROR(INDEX(lst_CCtoGL,MATCH(H45,lst_CCforGL,0)),"?")))</f>
        <v/>
      </c>
      <c r="R45" s="37" t="n"/>
      <c r="S45" s="10">
        <f>IF(R45="","",HYPERLINK(IF(LEFT(R45,4)="http",R45,set_QwilrBase&amp;R45),"Open quote"))</f>
        <v/>
      </c>
      <c r="T45" s="39" t="n"/>
      <c r="U45" s="39" t="n"/>
      <c r="V45" s="39" t="n"/>
      <c r="W45" s="10">
        <f>IF(C45="","",IF(N(T45)+N(U45)+N(V45)=0,"Not split",IF(ROUND(N(T45)+N(U45)+N(V45),2)=ROUND(MAX(N(L45),N(O45)),2),"OK","MISMATCH")))</f>
        <v/>
      </c>
      <c r="X45" s="39" t="n"/>
      <c r="Y45" s="39" t="n"/>
      <c r="Z45" s="39" t="n"/>
      <c r="AA45" s="11">
        <f>IF(C45="","",N(X45)+N(Y45)+N(Z45))</f>
        <v/>
      </c>
      <c r="AB45" s="11">
        <f>IF(C45="","",MAX(N(L45),N(O45))-N(AA45))</f>
        <v/>
      </c>
      <c r="AC45" s="43">
        <f>IFERROR(IF(MAX(N(L45),N(O45))=0,"",AB45/MAX(N(L45),N(O45))),"")</f>
        <v/>
      </c>
      <c r="AD45" s="37" t="n"/>
      <c r="AE45" s="10" t="inlineStr">
        <is>
          <t>CON-0041</t>
        </is>
      </c>
    </row>
    <row r="46">
      <c r="A46" s="16">
        <f>IF($C46="","",IFERROR(IF(INDEX(tbl_Finance[Latest Invoice Date],MATCH($AE46,tbl_Finance[Row ID],0))="","",INDEX(tbl_Finance[Latest Invoice Date],MATCH($AE46,tbl_Finance[Row ID],0))),""))</f>
        <v/>
      </c>
      <c r="B46" s="10">
        <f>IF($C46="","",IFERROR(INDEX(tbl_Finance[Invoice Numbers],MATCH($AE46,tbl_Finance[Row ID],0))&amp;"",""))</f>
        <v/>
      </c>
      <c r="C46" s="37" t="n"/>
      <c r="D46" s="10">
        <f>IF($C46="","",IF(COUNTIF(lst_Jobs,$C46&amp;"")&gt;0,"OK","CHECK"))</f>
        <v/>
      </c>
      <c r="E46" s="10">
        <f>IF($C46="","",IFERROR(INDEX(lst_JobName,MATCH($C46&amp;"",lst_Jobs,0)),""))</f>
        <v/>
      </c>
      <c r="F46" s="37" t="n"/>
      <c r="G46" s="37" t="n"/>
      <c r="H46" s="37" t="n"/>
      <c r="I46" s="37" t="n"/>
      <c r="J46" s="37" t="n"/>
      <c r="K46" s="38">
        <f>IF($C46="","",IFERROR(N(INDEX(tbl_Finance[Invoice Count],MATCH($AE46,tbl_Finance[Row ID],0))),""))</f>
        <v/>
      </c>
      <c r="L46" s="11">
        <f>IF($C46="","",IFERROR(N(INDEX(tbl_Finance[Xero Invoiced Ex GST],MATCH($AE46,tbl_Finance[Row ID],0))),""))</f>
        <v/>
      </c>
      <c r="M46" s="10">
        <f>IF($C46="","",IFERROR(INDEX(tbl_Finance[Compare],MATCH($AE46,tbl_Finance[Row ID],0))&amp;"",""))</f>
        <v/>
      </c>
      <c r="N46" s="11">
        <f>IF($C46="","",MAX(0,N(O46)-N(L46)))</f>
        <v/>
      </c>
      <c r="O46" s="39" t="n"/>
      <c r="P46" s="40">
        <f>IF($C46="","",IF((IF(F46="",", Client","")&amp;IF(G46="",", Description","")&amp;IF(H46="",", Cost Centre","")&amp;IF(I46="",", Invoice Type","")&amp;IF(J46="",", Tax Code","")&amp;IF(O46="",", Expected Revenue","")&amp;IF(COUNTIF(tbl_Finance[Job Number],$C46&amp;"")&gt;1,", Job number used twice",""))="","Complete","Fix: "&amp;MID(IF(F46="",", Client","")&amp;IF(G46="",", Description","")&amp;IF(H46="",", Cost Centre","")&amp;IF(I46="",", Invoice Type","")&amp;IF(J46="",", Tax Code","")&amp;IF(O46="",", Expected Revenue","")&amp;IF(COUNTIF(tbl_Finance[Job Number],$C46&amp;"")&gt;1,", Job number used twice",""),3,300)))</f>
        <v/>
      </c>
      <c r="Q46" s="10">
        <f>IF($C46="","",IF(H46="","(no cost centre)",H46&amp;" - GL "&amp;IFERROR(INDEX(lst_CCtoGL,MATCH(H46,lst_CCforGL,0)),"?")))</f>
        <v/>
      </c>
      <c r="R46" s="37" t="n"/>
      <c r="S46" s="10">
        <f>IF(R46="","",HYPERLINK(IF(LEFT(R46,4)="http",R46,set_QwilrBase&amp;R46),"Open quote"))</f>
        <v/>
      </c>
      <c r="T46" s="39" t="n"/>
      <c r="U46" s="39" t="n"/>
      <c r="V46" s="39" t="n"/>
      <c r="W46" s="10">
        <f>IF(C46="","",IF(N(T46)+N(U46)+N(V46)=0,"Not split",IF(ROUND(N(T46)+N(U46)+N(V46),2)=ROUND(MAX(N(L46),N(O46)),2),"OK","MISMATCH")))</f>
        <v/>
      </c>
      <c r="X46" s="39" t="n"/>
      <c r="Y46" s="39" t="n"/>
      <c r="Z46" s="39" t="n"/>
      <c r="AA46" s="11">
        <f>IF(C46="","",N(X46)+N(Y46)+N(Z46))</f>
        <v/>
      </c>
      <c r="AB46" s="11">
        <f>IF(C46="","",MAX(N(L46),N(O46))-N(AA46))</f>
        <v/>
      </c>
      <c r="AC46" s="43">
        <f>IFERROR(IF(MAX(N(L46),N(O46))=0,"",AB46/MAX(N(L46),N(O46))),"")</f>
        <v/>
      </c>
      <c r="AD46" s="37" t="n"/>
      <c r="AE46" s="10" t="inlineStr">
        <is>
          <t>CON-0042</t>
        </is>
      </c>
    </row>
    <row r="47">
      <c r="A47" s="16">
        <f>IF($C47="","",IFERROR(IF(INDEX(tbl_Finance[Latest Invoice Date],MATCH($AE47,tbl_Finance[Row ID],0))="","",INDEX(tbl_Finance[Latest Invoice Date],MATCH($AE47,tbl_Finance[Row ID],0))),""))</f>
        <v/>
      </c>
      <c r="B47" s="10">
        <f>IF($C47="","",IFERROR(INDEX(tbl_Finance[Invoice Numbers],MATCH($AE47,tbl_Finance[Row ID],0))&amp;"",""))</f>
        <v/>
      </c>
      <c r="C47" s="37" t="n"/>
      <c r="D47" s="10">
        <f>IF($C47="","",IF(COUNTIF(lst_Jobs,$C47&amp;"")&gt;0,"OK","CHECK"))</f>
        <v/>
      </c>
      <c r="E47" s="10">
        <f>IF($C47="","",IFERROR(INDEX(lst_JobName,MATCH($C47&amp;"",lst_Jobs,0)),""))</f>
        <v/>
      </c>
      <c r="F47" s="37" t="n"/>
      <c r="G47" s="37" t="n"/>
      <c r="H47" s="37" t="n"/>
      <c r="I47" s="37" t="n"/>
      <c r="J47" s="37" t="n"/>
      <c r="K47" s="38">
        <f>IF($C47="","",IFERROR(N(INDEX(tbl_Finance[Invoice Count],MATCH($AE47,tbl_Finance[Row ID],0))),""))</f>
        <v/>
      </c>
      <c r="L47" s="11">
        <f>IF($C47="","",IFERROR(N(INDEX(tbl_Finance[Xero Invoiced Ex GST],MATCH($AE47,tbl_Finance[Row ID],0))),""))</f>
        <v/>
      </c>
      <c r="M47" s="10">
        <f>IF($C47="","",IFERROR(INDEX(tbl_Finance[Compare],MATCH($AE47,tbl_Finance[Row ID],0))&amp;"",""))</f>
        <v/>
      </c>
      <c r="N47" s="11">
        <f>IF($C47="","",MAX(0,N(O47)-N(L47)))</f>
        <v/>
      </c>
      <c r="O47" s="39" t="n"/>
      <c r="P47" s="40">
        <f>IF($C47="","",IF((IF(F47="",", Client","")&amp;IF(G47="",", Description","")&amp;IF(H47="",", Cost Centre","")&amp;IF(I47="",", Invoice Type","")&amp;IF(J47="",", Tax Code","")&amp;IF(O47="",", Expected Revenue","")&amp;IF(COUNTIF(tbl_Finance[Job Number],$C47&amp;"")&gt;1,", Job number used twice",""))="","Complete","Fix: "&amp;MID(IF(F47="",", Client","")&amp;IF(G47="",", Description","")&amp;IF(H47="",", Cost Centre","")&amp;IF(I47="",", Invoice Type","")&amp;IF(J47="",", Tax Code","")&amp;IF(O47="",", Expected Revenue","")&amp;IF(COUNTIF(tbl_Finance[Job Number],$C47&amp;"")&gt;1,", Job number used twice",""),3,300)))</f>
        <v/>
      </c>
      <c r="Q47" s="10">
        <f>IF($C47="","",IF(H47="","(no cost centre)",H47&amp;" - GL "&amp;IFERROR(INDEX(lst_CCtoGL,MATCH(H47,lst_CCforGL,0)),"?")))</f>
        <v/>
      </c>
      <c r="R47" s="37" t="n"/>
      <c r="S47" s="10">
        <f>IF(R47="","",HYPERLINK(IF(LEFT(R47,4)="http",R47,set_QwilrBase&amp;R47),"Open quote"))</f>
        <v/>
      </c>
      <c r="T47" s="39" t="n"/>
      <c r="U47" s="39" t="n"/>
      <c r="V47" s="39" t="n"/>
      <c r="W47" s="10">
        <f>IF(C47="","",IF(N(T47)+N(U47)+N(V47)=0,"Not split",IF(ROUND(N(T47)+N(U47)+N(V47),2)=ROUND(MAX(N(L47),N(O47)),2),"OK","MISMATCH")))</f>
        <v/>
      </c>
      <c r="X47" s="39" t="n"/>
      <c r="Y47" s="39" t="n"/>
      <c r="Z47" s="39" t="n"/>
      <c r="AA47" s="11">
        <f>IF(C47="","",N(X47)+N(Y47)+N(Z47))</f>
        <v/>
      </c>
      <c r="AB47" s="11">
        <f>IF(C47="","",MAX(N(L47),N(O47))-N(AA47))</f>
        <v/>
      </c>
      <c r="AC47" s="43">
        <f>IFERROR(IF(MAX(N(L47),N(O47))=0,"",AB47/MAX(N(L47),N(O47))),"")</f>
        <v/>
      </c>
      <c r="AD47" s="37" t="n"/>
      <c r="AE47" s="10" t="inlineStr">
        <is>
          <t>CON-0043</t>
        </is>
      </c>
    </row>
    <row r="48">
      <c r="A48" s="16">
        <f>IF($C48="","",IFERROR(IF(INDEX(tbl_Finance[Latest Invoice Date],MATCH($AE48,tbl_Finance[Row ID],0))="","",INDEX(tbl_Finance[Latest Invoice Date],MATCH($AE48,tbl_Finance[Row ID],0))),""))</f>
        <v/>
      </c>
      <c r="B48" s="10">
        <f>IF($C48="","",IFERROR(INDEX(tbl_Finance[Invoice Numbers],MATCH($AE48,tbl_Finance[Row ID],0))&amp;"",""))</f>
        <v/>
      </c>
      <c r="C48" s="37" t="n"/>
      <c r="D48" s="10">
        <f>IF($C48="","",IF(COUNTIF(lst_Jobs,$C48&amp;"")&gt;0,"OK","CHECK"))</f>
        <v/>
      </c>
      <c r="E48" s="10">
        <f>IF($C48="","",IFERROR(INDEX(lst_JobName,MATCH($C48&amp;"",lst_Jobs,0)),""))</f>
        <v/>
      </c>
      <c r="F48" s="37" t="n"/>
      <c r="G48" s="37" t="n"/>
      <c r="H48" s="37" t="n"/>
      <c r="I48" s="37" t="n"/>
      <c r="J48" s="37" t="n"/>
      <c r="K48" s="38">
        <f>IF($C48="","",IFERROR(N(INDEX(tbl_Finance[Invoice Count],MATCH($AE48,tbl_Finance[Row ID],0))),""))</f>
        <v/>
      </c>
      <c r="L48" s="11">
        <f>IF($C48="","",IFERROR(N(INDEX(tbl_Finance[Xero Invoiced Ex GST],MATCH($AE48,tbl_Finance[Row ID],0))),""))</f>
        <v/>
      </c>
      <c r="M48" s="10">
        <f>IF($C48="","",IFERROR(INDEX(tbl_Finance[Compare],MATCH($AE48,tbl_Finance[Row ID],0))&amp;"",""))</f>
        <v/>
      </c>
      <c r="N48" s="11">
        <f>IF($C48="","",MAX(0,N(O48)-N(L48)))</f>
        <v/>
      </c>
      <c r="O48" s="39" t="n"/>
      <c r="P48" s="40">
        <f>IF($C48="","",IF((IF(F48="",", Client","")&amp;IF(G48="",", Description","")&amp;IF(H48="",", Cost Centre","")&amp;IF(I48="",", Invoice Type","")&amp;IF(J48="",", Tax Code","")&amp;IF(O48="",", Expected Revenue","")&amp;IF(COUNTIF(tbl_Finance[Job Number],$C48&amp;"")&gt;1,", Job number used twice",""))="","Complete","Fix: "&amp;MID(IF(F48="",", Client","")&amp;IF(G48="",", Description","")&amp;IF(H48="",", Cost Centre","")&amp;IF(I48="",", Invoice Type","")&amp;IF(J48="",", Tax Code","")&amp;IF(O48="",", Expected Revenue","")&amp;IF(COUNTIF(tbl_Finance[Job Number],$C48&amp;"")&gt;1,", Job number used twice",""),3,300)))</f>
        <v/>
      </c>
      <c r="Q48" s="10">
        <f>IF($C48="","",IF(H48="","(no cost centre)",H48&amp;" - GL "&amp;IFERROR(INDEX(lst_CCtoGL,MATCH(H48,lst_CCforGL,0)),"?")))</f>
        <v/>
      </c>
      <c r="R48" s="37" t="n"/>
      <c r="S48" s="10">
        <f>IF(R48="","",HYPERLINK(IF(LEFT(R48,4)="http",R48,set_QwilrBase&amp;R48),"Open quote"))</f>
        <v/>
      </c>
      <c r="T48" s="39" t="n"/>
      <c r="U48" s="39" t="n"/>
      <c r="V48" s="39" t="n"/>
      <c r="W48" s="10">
        <f>IF(C48="","",IF(N(T48)+N(U48)+N(V48)=0,"Not split",IF(ROUND(N(T48)+N(U48)+N(V48),2)=ROUND(MAX(N(L48),N(O48)),2),"OK","MISMATCH")))</f>
        <v/>
      </c>
      <c r="X48" s="39" t="n"/>
      <c r="Y48" s="39" t="n"/>
      <c r="Z48" s="39" t="n"/>
      <c r="AA48" s="11">
        <f>IF(C48="","",N(X48)+N(Y48)+N(Z48))</f>
        <v/>
      </c>
      <c r="AB48" s="11">
        <f>IF(C48="","",MAX(N(L48),N(O48))-N(AA48))</f>
        <v/>
      </c>
      <c r="AC48" s="43">
        <f>IFERROR(IF(MAX(N(L48),N(O48))=0,"",AB48/MAX(N(L48),N(O48))),"")</f>
        <v/>
      </c>
      <c r="AD48" s="37" t="n"/>
      <c r="AE48" s="10" t="inlineStr">
        <is>
          <t>CON-0044</t>
        </is>
      </c>
    </row>
    <row r="49">
      <c r="A49" s="16">
        <f>IF($C49="","",IFERROR(IF(INDEX(tbl_Finance[Latest Invoice Date],MATCH($AE49,tbl_Finance[Row ID],0))="","",INDEX(tbl_Finance[Latest Invoice Date],MATCH($AE49,tbl_Finance[Row ID],0))),""))</f>
        <v/>
      </c>
      <c r="B49" s="10">
        <f>IF($C49="","",IFERROR(INDEX(tbl_Finance[Invoice Numbers],MATCH($AE49,tbl_Finance[Row ID],0))&amp;"",""))</f>
        <v/>
      </c>
      <c r="C49" s="37" t="n"/>
      <c r="D49" s="10">
        <f>IF($C49="","",IF(COUNTIF(lst_Jobs,$C49&amp;"")&gt;0,"OK","CHECK"))</f>
        <v/>
      </c>
      <c r="E49" s="10">
        <f>IF($C49="","",IFERROR(INDEX(lst_JobName,MATCH($C49&amp;"",lst_Jobs,0)),""))</f>
        <v/>
      </c>
      <c r="F49" s="37" t="n"/>
      <c r="G49" s="37" t="n"/>
      <c r="H49" s="37" t="n"/>
      <c r="I49" s="37" t="n"/>
      <c r="J49" s="37" t="n"/>
      <c r="K49" s="38">
        <f>IF($C49="","",IFERROR(N(INDEX(tbl_Finance[Invoice Count],MATCH($AE49,tbl_Finance[Row ID],0))),""))</f>
        <v/>
      </c>
      <c r="L49" s="11">
        <f>IF($C49="","",IFERROR(N(INDEX(tbl_Finance[Xero Invoiced Ex GST],MATCH($AE49,tbl_Finance[Row ID],0))),""))</f>
        <v/>
      </c>
      <c r="M49" s="10">
        <f>IF($C49="","",IFERROR(INDEX(tbl_Finance[Compare],MATCH($AE49,tbl_Finance[Row ID],0))&amp;"",""))</f>
        <v/>
      </c>
      <c r="N49" s="11">
        <f>IF($C49="","",MAX(0,N(O49)-N(L49)))</f>
        <v/>
      </c>
      <c r="O49" s="39" t="n"/>
      <c r="P49" s="40">
        <f>IF($C49="","",IF((IF(F49="",", Client","")&amp;IF(G49="",", Description","")&amp;IF(H49="",", Cost Centre","")&amp;IF(I49="",", Invoice Type","")&amp;IF(J49="",", Tax Code","")&amp;IF(O49="",", Expected Revenue","")&amp;IF(COUNTIF(tbl_Finance[Job Number],$C49&amp;"")&gt;1,", Job number used twice",""))="","Complete","Fix: "&amp;MID(IF(F49="",", Client","")&amp;IF(G49="",", Description","")&amp;IF(H49="",", Cost Centre","")&amp;IF(I49="",", Invoice Type","")&amp;IF(J49="",", Tax Code","")&amp;IF(O49="",", Expected Revenue","")&amp;IF(COUNTIF(tbl_Finance[Job Number],$C49&amp;"")&gt;1,", Job number used twice",""),3,300)))</f>
        <v/>
      </c>
      <c r="Q49" s="10">
        <f>IF($C49="","",IF(H49="","(no cost centre)",H49&amp;" - GL "&amp;IFERROR(INDEX(lst_CCtoGL,MATCH(H49,lst_CCforGL,0)),"?")))</f>
        <v/>
      </c>
      <c r="R49" s="37" t="n"/>
      <c r="S49" s="10">
        <f>IF(R49="","",HYPERLINK(IF(LEFT(R49,4)="http",R49,set_QwilrBase&amp;R49),"Open quote"))</f>
        <v/>
      </c>
      <c r="T49" s="39" t="n"/>
      <c r="U49" s="39" t="n"/>
      <c r="V49" s="39" t="n"/>
      <c r="W49" s="10">
        <f>IF(C49="","",IF(N(T49)+N(U49)+N(V49)=0,"Not split",IF(ROUND(N(T49)+N(U49)+N(V49),2)=ROUND(MAX(N(L49),N(O49)),2),"OK","MISMATCH")))</f>
        <v/>
      </c>
      <c r="X49" s="39" t="n"/>
      <c r="Y49" s="39" t="n"/>
      <c r="Z49" s="39" t="n"/>
      <c r="AA49" s="11">
        <f>IF(C49="","",N(X49)+N(Y49)+N(Z49))</f>
        <v/>
      </c>
      <c r="AB49" s="11">
        <f>IF(C49="","",MAX(N(L49),N(O49))-N(AA49))</f>
        <v/>
      </c>
      <c r="AC49" s="43">
        <f>IFERROR(IF(MAX(N(L49),N(O49))=0,"",AB49/MAX(N(L49),N(O49))),"")</f>
        <v/>
      </c>
      <c r="AD49" s="37" t="n"/>
      <c r="AE49" s="10" t="inlineStr">
        <is>
          <t>CON-0045</t>
        </is>
      </c>
    </row>
    <row r="50">
      <c r="A50" s="16">
        <f>IF($C50="","",IFERROR(IF(INDEX(tbl_Finance[Latest Invoice Date],MATCH($AE50,tbl_Finance[Row ID],0))="","",INDEX(tbl_Finance[Latest Invoice Date],MATCH($AE50,tbl_Finance[Row ID],0))),""))</f>
        <v/>
      </c>
      <c r="B50" s="10">
        <f>IF($C50="","",IFERROR(INDEX(tbl_Finance[Invoice Numbers],MATCH($AE50,tbl_Finance[Row ID],0))&amp;"",""))</f>
        <v/>
      </c>
      <c r="C50" s="37" t="n"/>
      <c r="D50" s="10">
        <f>IF($C50="","",IF(COUNTIF(lst_Jobs,$C50&amp;"")&gt;0,"OK","CHECK"))</f>
        <v/>
      </c>
      <c r="E50" s="10">
        <f>IF($C50="","",IFERROR(INDEX(lst_JobName,MATCH($C50&amp;"",lst_Jobs,0)),""))</f>
        <v/>
      </c>
      <c r="F50" s="37" t="n"/>
      <c r="G50" s="37" t="n"/>
      <c r="H50" s="37" t="n"/>
      <c r="I50" s="37" t="n"/>
      <c r="J50" s="37" t="n"/>
      <c r="K50" s="38">
        <f>IF($C50="","",IFERROR(N(INDEX(tbl_Finance[Invoice Count],MATCH($AE50,tbl_Finance[Row ID],0))),""))</f>
        <v/>
      </c>
      <c r="L50" s="11">
        <f>IF($C50="","",IFERROR(N(INDEX(tbl_Finance[Xero Invoiced Ex GST],MATCH($AE50,tbl_Finance[Row ID],0))),""))</f>
        <v/>
      </c>
      <c r="M50" s="10">
        <f>IF($C50="","",IFERROR(INDEX(tbl_Finance[Compare],MATCH($AE50,tbl_Finance[Row ID],0))&amp;"",""))</f>
        <v/>
      </c>
      <c r="N50" s="11">
        <f>IF($C50="","",MAX(0,N(O50)-N(L50)))</f>
        <v/>
      </c>
      <c r="O50" s="39" t="n"/>
      <c r="P50" s="40">
        <f>IF($C50="","",IF((IF(F50="",", Client","")&amp;IF(G50="",", Description","")&amp;IF(H50="",", Cost Centre","")&amp;IF(I50="",", Invoice Type","")&amp;IF(J50="",", Tax Code","")&amp;IF(O50="",", Expected Revenue","")&amp;IF(COUNTIF(tbl_Finance[Job Number],$C50&amp;"")&gt;1,", Job number used twice",""))="","Complete","Fix: "&amp;MID(IF(F50="",", Client","")&amp;IF(G50="",", Description","")&amp;IF(H50="",", Cost Centre","")&amp;IF(I50="",", Invoice Type","")&amp;IF(J50="",", Tax Code","")&amp;IF(O50="",", Expected Revenue","")&amp;IF(COUNTIF(tbl_Finance[Job Number],$C50&amp;"")&gt;1,", Job number used twice",""),3,300)))</f>
        <v/>
      </c>
      <c r="Q50" s="10">
        <f>IF($C50="","",IF(H50="","(no cost centre)",H50&amp;" - GL "&amp;IFERROR(INDEX(lst_CCtoGL,MATCH(H50,lst_CCforGL,0)),"?")))</f>
        <v/>
      </c>
      <c r="R50" s="37" t="n"/>
      <c r="S50" s="10">
        <f>IF(R50="","",HYPERLINK(IF(LEFT(R50,4)="http",R50,set_QwilrBase&amp;R50),"Open quote"))</f>
        <v/>
      </c>
      <c r="T50" s="39" t="n"/>
      <c r="U50" s="39" t="n"/>
      <c r="V50" s="39" t="n"/>
      <c r="W50" s="10">
        <f>IF(C50="","",IF(N(T50)+N(U50)+N(V50)=0,"Not split",IF(ROUND(N(T50)+N(U50)+N(V50),2)=ROUND(MAX(N(L50),N(O50)),2),"OK","MISMATCH")))</f>
        <v/>
      </c>
      <c r="X50" s="39" t="n"/>
      <c r="Y50" s="39" t="n"/>
      <c r="Z50" s="39" t="n"/>
      <c r="AA50" s="11">
        <f>IF(C50="","",N(X50)+N(Y50)+N(Z50))</f>
        <v/>
      </c>
      <c r="AB50" s="11">
        <f>IF(C50="","",MAX(N(L50),N(O50))-N(AA50))</f>
        <v/>
      </c>
      <c r="AC50" s="43">
        <f>IFERROR(IF(MAX(N(L50),N(O50))=0,"",AB50/MAX(N(L50),N(O50))),"")</f>
        <v/>
      </c>
      <c r="AD50" s="37" t="n"/>
      <c r="AE50" s="10" t="inlineStr">
        <is>
          <t>CON-0046</t>
        </is>
      </c>
    </row>
    <row r="51">
      <c r="A51" s="16">
        <f>IF($C51="","",IFERROR(IF(INDEX(tbl_Finance[Latest Invoice Date],MATCH($AE51,tbl_Finance[Row ID],0))="","",INDEX(tbl_Finance[Latest Invoice Date],MATCH($AE51,tbl_Finance[Row ID],0))),""))</f>
        <v/>
      </c>
      <c r="B51" s="10">
        <f>IF($C51="","",IFERROR(INDEX(tbl_Finance[Invoice Numbers],MATCH($AE51,tbl_Finance[Row ID],0))&amp;"",""))</f>
        <v/>
      </c>
      <c r="C51" s="37" t="n"/>
      <c r="D51" s="10">
        <f>IF($C51="","",IF(COUNTIF(lst_Jobs,$C51&amp;"")&gt;0,"OK","CHECK"))</f>
        <v/>
      </c>
      <c r="E51" s="10">
        <f>IF($C51="","",IFERROR(INDEX(lst_JobName,MATCH($C51&amp;"",lst_Jobs,0)),""))</f>
        <v/>
      </c>
      <c r="F51" s="37" t="n"/>
      <c r="G51" s="37" t="n"/>
      <c r="H51" s="37" t="n"/>
      <c r="I51" s="37" t="n"/>
      <c r="J51" s="37" t="n"/>
      <c r="K51" s="38">
        <f>IF($C51="","",IFERROR(N(INDEX(tbl_Finance[Invoice Count],MATCH($AE51,tbl_Finance[Row ID],0))),""))</f>
        <v/>
      </c>
      <c r="L51" s="11">
        <f>IF($C51="","",IFERROR(N(INDEX(tbl_Finance[Xero Invoiced Ex GST],MATCH($AE51,tbl_Finance[Row ID],0))),""))</f>
        <v/>
      </c>
      <c r="M51" s="10">
        <f>IF($C51="","",IFERROR(INDEX(tbl_Finance[Compare],MATCH($AE51,tbl_Finance[Row ID],0))&amp;"",""))</f>
        <v/>
      </c>
      <c r="N51" s="11">
        <f>IF($C51="","",MAX(0,N(O51)-N(L51)))</f>
        <v/>
      </c>
      <c r="O51" s="39" t="n"/>
      <c r="P51" s="40">
        <f>IF($C51="","",IF((IF(F51="",", Client","")&amp;IF(G51="",", Description","")&amp;IF(H51="",", Cost Centre","")&amp;IF(I51="",", Invoice Type","")&amp;IF(J51="",", Tax Code","")&amp;IF(O51="",", Expected Revenue","")&amp;IF(COUNTIF(tbl_Finance[Job Number],$C51&amp;"")&gt;1,", Job number used twice",""))="","Complete","Fix: "&amp;MID(IF(F51="",", Client","")&amp;IF(G51="",", Description","")&amp;IF(H51="",", Cost Centre","")&amp;IF(I51="",", Invoice Type","")&amp;IF(J51="",", Tax Code","")&amp;IF(O51="",", Expected Revenue","")&amp;IF(COUNTIF(tbl_Finance[Job Number],$C51&amp;"")&gt;1,", Job number used twice",""),3,300)))</f>
        <v/>
      </c>
      <c r="Q51" s="10">
        <f>IF($C51="","",IF(H51="","(no cost centre)",H51&amp;" - GL "&amp;IFERROR(INDEX(lst_CCtoGL,MATCH(H51,lst_CCforGL,0)),"?")))</f>
        <v/>
      </c>
      <c r="R51" s="37" t="n"/>
      <c r="S51" s="10">
        <f>IF(R51="","",HYPERLINK(IF(LEFT(R51,4)="http",R51,set_QwilrBase&amp;R51),"Open quote"))</f>
        <v/>
      </c>
      <c r="T51" s="39" t="n"/>
      <c r="U51" s="39" t="n"/>
      <c r="V51" s="39" t="n"/>
      <c r="W51" s="10">
        <f>IF(C51="","",IF(N(T51)+N(U51)+N(V51)=0,"Not split",IF(ROUND(N(T51)+N(U51)+N(V51),2)=ROUND(MAX(N(L51),N(O51)),2),"OK","MISMATCH")))</f>
        <v/>
      </c>
      <c r="X51" s="39" t="n"/>
      <c r="Y51" s="39" t="n"/>
      <c r="Z51" s="39" t="n"/>
      <c r="AA51" s="11">
        <f>IF(C51="","",N(X51)+N(Y51)+N(Z51))</f>
        <v/>
      </c>
      <c r="AB51" s="11">
        <f>IF(C51="","",MAX(N(L51),N(O51))-N(AA51))</f>
        <v/>
      </c>
      <c r="AC51" s="43">
        <f>IFERROR(IF(MAX(N(L51),N(O51))=0,"",AB51/MAX(N(L51),N(O51))),"")</f>
        <v/>
      </c>
      <c r="AD51" s="37" t="n"/>
      <c r="AE51" s="10" t="inlineStr">
        <is>
          <t>CON-0047</t>
        </is>
      </c>
    </row>
    <row r="52">
      <c r="A52" s="16">
        <f>IF($C52="","",IFERROR(IF(INDEX(tbl_Finance[Latest Invoice Date],MATCH($AE52,tbl_Finance[Row ID],0))="","",INDEX(tbl_Finance[Latest Invoice Date],MATCH($AE52,tbl_Finance[Row ID],0))),""))</f>
        <v/>
      </c>
      <c r="B52" s="10">
        <f>IF($C52="","",IFERROR(INDEX(tbl_Finance[Invoice Numbers],MATCH($AE52,tbl_Finance[Row ID],0))&amp;"",""))</f>
        <v/>
      </c>
      <c r="C52" s="37" t="n"/>
      <c r="D52" s="10">
        <f>IF($C52="","",IF(COUNTIF(lst_Jobs,$C52&amp;"")&gt;0,"OK","CHECK"))</f>
        <v/>
      </c>
      <c r="E52" s="10">
        <f>IF($C52="","",IFERROR(INDEX(lst_JobName,MATCH($C52&amp;"",lst_Jobs,0)),""))</f>
        <v/>
      </c>
      <c r="F52" s="37" t="n"/>
      <c r="G52" s="37" t="n"/>
      <c r="H52" s="37" t="n"/>
      <c r="I52" s="37" t="n"/>
      <c r="J52" s="37" t="n"/>
      <c r="K52" s="38">
        <f>IF($C52="","",IFERROR(N(INDEX(tbl_Finance[Invoice Count],MATCH($AE52,tbl_Finance[Row ID],0))),""))</f>
        <v/>
      </c>
      <c r="L52" s="11">
        <f>IF($C52="","",IFERROR(N(INDEX(tbl_Finance[Xero Invoiced Ex GST],MATCH($AE52,tbl_Finance[Row ID],0))),""))</f>
        <v/>
      </c>
      <c r="M52" s="10">
        <f>IF($C52="","",IFERROR(INDEX(tbl_Finance[Compare],MATCH($AE52,tbl_Finance[Row ID],0))&amp;"",""))</f>
        <v/>
      </c>
      <c r="N52" s="11">
        <f>IF($C52="","",MAX(0,N(O52)-N(L52)))</f>
        <v/>
      </c>
      <c r="O52" s="39" t="n"/>
      <c r="P52" s="40">
        <f>IF($C52="","",IF((IF(F52="",", Client","")&amp;IF(G52="",", Description","")&amp;IF(H52="",", Cost Centre","")&amp;IF(I52="",", Invoice Type","")&amp;IF(J52="",", Tax Code","")&amp;IF(O52="",", Expected Revenue","")&amp;IF(COUNTIF(tbl_Finance[Job Number],$C52&amp;"")&gt;1,", Job number used twice",""))="","Complete","Fix: "&amp;MID(IF(F52="",", Client","")&amp;IF(G52="",", Description","")&amp;IF(H52="",", Cost Centre","")&amp;IF(I52="",", Invoice Type","")&amp;IF(J52="",", Tax Code","")&amp;IF(O52="",", Expected Revenue","")&amp;IF(COUNTIF(tbl_Finance[Job Number],$C52&amp;"")&gt;1,", Job number used twice",""),3,300)))</f>
        <v/>
      </c>
      <c r="Q52" s="10">
        <f>IF($C52="","",IF(H52="","(no cost centre)",H52&amp;" - GL "&amp;IFERROR(INDEX(lst_CCtoGL,MATCH(H52,lst_CCforGL,0)),"?")))</f>
        <v/>
      </c>
      <c r="R52" s="37" t="n"/>
      <c r="S52" s="10">
        <f>IF(R52="","",HYPERLINK(IF(LEFT(R52,4)="http",R52,set_QwilrBase&amp;R52),"Open quote"))</f>
        <v/>
      </c>
      <c r="T52" s="39" t="n"/>
      <c r="U52" s="39" t="n"/>
      <c r="V52" s="39" t="n"/>
      <c r="W52" s="10">
        <f>IF(C52="","",IF(N(T52)+N(U52)+N(V52)=0,"Not split",IF(ROUND(N(T52)+N(U52)+N(V52),2)=ROUND(MAX(N(L52),N(O52)),2),"OK","MISMATCH")))</f>
        <v/>
      </c>
      <c r="X52" s="39" t="n"/>
      <c r="Y52" s="39" t="n"/>
      <c r="Z52" s="39" t="n"/>
      <c r="AA52" s="11">
        <f>IF(C52="","",N(X52)+N(Y52)+N(Z52))</f>
        <v/>
      </c>
      <c r="AB52" s="11">
        <f>IF(C52="","",MAX(N(L52),N(O52))-N(AA52))</f>
        <v/>
      </c>
      <c r="AC52" s="43">
        <f>IFERROR(IF(MAX(N(L52),N(O52))=0,"",AB52/MAX(N(L52),N(O52))),"")</f>
        <v/>
      </c>
      <c r="AD52" s="37" t="n"/>
      <c r="AE52" s="10" t="inlineStr">
        <is>
          <t>CON-0048</t>
        </is>
      </c>
    </row>
    <row r="53">
      <c r="A53" s="16">
        <f>IF($C53="","",IFERROR(IF(INDEX(tbl_Finance[Latest Invoice Date],MATCH($AE53,tbl_Finance[Row ID],0))="","",INDEX(tbl_Finance[Latest Invoice Date],MATCH($AE53,tbl_Finance[Row ID],0))),""))</f>
        <v/>
      </c>
      <c r="B53" s="10">
        <f>IF($C53="","",IFERROR(INDEX(tbl_Finance[Invoice Numbers],MATCH($AE53,tbl_Finance[Row ID],0))&amp;"",""))</f>
        <v/>
      </c>
      <c r="C53" s="37" t="n"/>
      <c r="D53" s="10">
        <f>IF($C53="","",IF(COUNTIF(lst_Jobs,$C53&amp;"")&gt;0,"OK","CHECK"))</f>
        <v/>
      </c>
      <c r="E53" s="10">
        <f>IF($C53="","",IFERROR(INDEX(lst_JobName,MATCH($C53&amp;"",lst_Jobs,0)),""))</f>
        <v/>
      </c>
      <c r="F53" s="37" t="n"/>
      <c r="G53" s="37" t="n"/>
      <c r="H53" s="37" t="n"/>
      <c r="I53" s="37" t="n"/>
      <c r="J53" s="37" t="n"/>
      <c r="K53" s="38">
        <f>IF($C53="","",IFERROR(N(INDEX(tbl_Finance[Invoice Count],MATCH($AE53,tbl_Finance[Row ID],0))),""))</f>
        <v/>
      </c>
      <c r="L53" s="11">
        <f>IF($C53="","",IFERROR(N(INDEX(tbl_Finance[Xero Invoiced Ex GST],MATCH($AE53,tbl_Finance[Row ID],0))),""))</f>
        <v/>
      </c>
      <c r="M53" s="10">
        <f>IF($C53="","",IFERROR(INDEX(tbl_Finance[Compare],MATCH($AE53,tbl_Finance[Row ID],0))&amp;"",""))</f>
        <v/>
      </c>
      <c r="N53" s="11">
        <f>IF($C53="","",MAX(0,N(O53)-N(L53)))</f>
        <v/>
      </c>
      <c r="O53" s="39" t="n"/>
      <c r="P53" s="40">
        <f>IF($C53="","",IF((IF(F53="",", Client","")&amp;IF(G53="",", Description","")&amp;IF(H53="",", Cost Centre","")&amp;IF(I53="",", Invoice Type","")&amp;IF(J53="",", Tax Code","")&amp;IF(O53="",", Expected Revenue","")&amp;IF(COUNTIF(tbl_Finance[Job Number],$C53&amp;"")&gt;1,", Job number used twice",""))="","Complete","Fix: "&amp;MID(IF(F53="",", Client","")&amp;IF(G53="",", Description","")&amp;IF(H53="",", Cost Centre","")&amp;IF(I53="",", Invoice Type","")&amp;IF(J53="",", Tax Code","")&amp;IF(O53="",", Expected Revenue","")&amp;IF(COUNTIF(tbl_Finance[Job Number],$C53&amp;"")&gt;1,", Job number used twice",""),3,300)))</f>
        <v/>
      </c>
      <c r="Q53" s="10">
        <f>IF($C53="","",IF(H53="","(no cost centre)",H53&amp;" - GL "&amp;IFERROR(INDEX(lst_CCtoGL,MATCH(H53,lst_CCforGL,0)),"?")))</f>
        <v/>
      </c>
      <c r="R53" s="37" t="n"/>
      <c r="S53" s="10">
        <f>IF(R53="","",HYPERLINK(IF(LEFT(R53,4)="http",R53,set_QwilrBase&amp;R53),"Open quote"))</f>
        <v/>
      </c>
      <c r="T53" s="39" t="n"/>
      <c r="U53" s="39" t="n"/>
      <c r="V53" s="39" t="n"/>
      <c r="W53" s="10">
        <f>IF(C53="","",IF(N(T53)+N(U53)+N(V53)=0,"Not split",IF(ROUND(N(T53)+N(U53)+N(V53),2)=ROUND(MAX(N(L53),N(O53)),2),"OK","MISMATCH")))</f>
        <v/>
      </c>
      <c r="X53" s="39" t="n"/>
      <c r="Y53" s="39" t="n"/>
      <c r="Z53" s="39" t="n"/>
      <c r="AA53" s="11">
        <f>IF(C53="","",N(X53)+N(Y53)+N(Z53))</f>
        <v/>
      </c>
      <c r="AB53" s="11">
        <f>IF(C53="","",MAX(N(L53),N(O53))-N(AA53))</f>
        <v/>
      </c>
      <c r="AC53" s="43">
        <f>IFERROR(IF(MAX(N(L53),N(O53))=0,"",AB53/MAX(N(L53),N(O53))),"")</f>
        <v/>
      </c>
      <c r="AD53" s="37" t="n"/>
      <c r="AE53" s="10" t="inlineStr">
        <is>
          <t>CON-0049</t>
        </is>
      </c>
    </row>
    <row r="54">
      <c r="A54" s="16">
        <f>IF($C54="","",IFERROR(IF(INDEX(tbl_Finance[Latest Invoice Date],MATCH($AE54,tbl_Finance[Row ID],0))="","",INDEX(tbl_Finance[Latest Invoice Date],MATCH($AE54,tbl_Finance[Row ID],0))),""))</f>
        <v/>
      </c>
      <c r="B54" s="10">
        <f>IF($C54="","",IFERROR(INDEX(tbl_Finance[Invoice Numbers],MATCH($AE54,tbl_Finance[Row ID],0))&amp;"",""))</f>
        <v/>
      </c>
      <c r="C54" s="37" t="n"/>
      <c r="D54" s="10">
        <f>IF($C54="","",IF(COUNTIF(lst_Jobs,$C54&amp;"")&gt;0,"OK","CHECK"))</f>
        <v/>
      </c>
      <c r="E54" s="10">
        <f>IF($C54="","",IFERROR(INDEX(lst_JobName,MATCH($C54&amp;"",lst_Jobs,0)),""))</f>
        <v/>
      </c>
      <c r="F54" s="37" t="n"/>
      <c r="G54" s="37" t="n"/>
      <c r="H54" s="37" t="n"/>
      <c r="I54" s="37" t="n"/>
      <c r="J54" s="37" t="n"/>
      <c r="K54" s="38">
        <f>IF($C54="","",IFERROR(N(INDEX(tbl_Finance[Invoice Count],MATCH($AE54,tbl_Finance[Row ID],0))),""))</f>
        <v/>
      </c>
      <c r="L54" s="11">
        <f>IF($C54="","",IFERROR(N(INDEX(tbl_Finance[Xero Invoiced Ex GST],MATCH($AE54,tbl_Finance[Row ID],0))),""))</f>
        <v/>
      </c>
      <c r="M54" s="10">
        <f>IF($C54="","",IFERROR(INDEX(tbl_Finance[Compare],MATCH($AE54,tbl_Finance[Row ID],0))&amp;"",""))</f>
        <v/>
      </c>
      <c r="N54" s="11">
        <f>IF($C54="","",MAX(0,N(O54)-N(L54)))</f>
        <v/>
      </c>
      <c r="O54" s="39" t="n"/>
      <c r="P54" s="40">
        <f>IF($C54="","",IF((IF(F54="",", Client","")&amp;IF(G54="",", Description","")&amp;IF(H54="",", Cost Centre","")&amp;IF(I54="",", Invoice Type","")&amp;IF(J54="",", Tax Code","")&amp;IF(O54="",", Expected Revenue","")&amp;IF(COUNTIF(tbl_Finance[Job Number],$C54&amp;"")&gt;1,", Job number used twice",""))="","Complete","Fix: "&amp;MID(IF(F54="",", Client","")&amp;IF(G54="",", Description","")&amp;IF(H54="",", Cost Centre","")&amp;IF(I54="",", Invoice Type","")&amp;IF(J54="",", Tax Code","")&amp;IF(O54="",", Expected Revenue","")&amp;IF(COUNTIF(tbl_Finance[Job Number],$C54&amp;"")&gt;1,", Job number used twice",""),3,300)))</f>
        <v/>
      </c>
      <c r="Q54" s="10">
        <f>IF($C54="","",IF(H54="","(no cost centre)",H54&amp;" - GL "&amp;IFERROR(INDEX(lst_CCtoGL,MATCH(H54,lst_CCforGL,0)),"?")))</f>
        <v/>
      </c>
      <c r="R54" s="37" t="n"/>
      <c r="S54" s="10">
        <f>IF(R54="","",HYPERLINK(IF(LEFT(R54,4)="http",R54,set_QwilrBase&amp;R54),"Open quote"))</f>
        <v/>
      </c>
      <c r="T54" s="39" t="n"/>
      <c r="U54" s="39" t="n"/>
      <c r="V54" s="39" t="n"/>
      <c r="W54" s="10">
        <f>IF(C54="","",IF(N(T54)+N(U54)+N(V54)=0,"Not split",IF(ROUND(N(T54)+N(U54)+N(V54),2)=ROUND(MAX(N(L54),N(O54)),2),"OK","MISMATCH")))</f>
        <v/>
      </c>
      <c r="X54" s="39" t="n"/>
      <c r="Y54" s="39" t="n"/>
      <c r="Z54" s="39" t="n"/>
      <c r="AA54" s="11">
        <f>IF(C54="","",N(X54)+N(Y54)+N(Z54))</f>
        <v/>
      </c>
      <c r="AB54" s="11">
        <f>IF(C54="","",MAX(N(L54),N(O54))-N(AA54))</f>
        <v/>
      </c>
      <c r="AC54" s="43">
        <f>IFERROR(IF(MAX(N(L54),N(O54))=0,"",AB54/MAX(N(L54),N(O54))),"")</f>
        <v/>
      </c>
      <c r="AD54" s="37" t="n"/>
      <c r="AE54" s="10" t="inlineStr">
        <is>
          <t>CON-0050</t>
        </is>
      </c>
    </row>
    <row r="55">
      <c r="A55" s="16">
        <f>IF($C55="","",IFERROR(IF(INDEX(tbl_Finance[Latest Invoice Date],MATCH($AE55,tbl_Finance[Row ID],0))="","",INDEX(tbl_Finance[Latest Invoice Date],MATCH($AE55,tbl_Finance[Row ID],0))),""))</f>
        <v/>
      </c>
      <c r="B55" s="10">
        <f>IF($C55="","",IFERROR(INDEX(tbl_Finance[Invoice Numbers],MATCH($AE55,tbl_Finance[Row ID],0))&amp;"",""))</f>
        <v/>
      </c>
      <c r="C55" s="37" t="n"/>
      <c r="D55" s="10">
        <f>IF($C55="","",IF(COUNTIF(lst_Jobs,$C55&amp;"")&gt;0,"OK","CHECK"))</f>
        <v/>
      </c>
      <c r="E55" s="10">
        <f>IF($C55="","",IFERROR(INDEX(lst_JobName,MATCH($C55&amp;"",lst_Jobs,0)),""))</f>
        <v/>
      </c>
      <c r="F55" s="37" t="n"/>
      <c r="G55" s="37" t="n"/>
      <c r="H55" s="37" t="n"/>
      <c r="I55" s="37" t="n"/>
      <c r="J55" s="37" t="n"/>
      <c r="K55" s="38">
        <f>IF($C55="","",IFERROR(N(INDEX(tbl_Finance[Invoice Count],MATCH($AE55,tbl_Finance[Row ID],0))),""))</f>
        <v/>
      </c>
      <c r="L55" s="11">
        <f>IF($C55="","",IFERROR(N(INDEX(tbl_Finance[Xero Invoiced Ex GST],MATCH($AE55,tbl_Finance[Row ID],0))),""))</f>
        <v/>
      </c>
      <c r="M55" s="10">
        <f>IF($C55="","",IFERROR(INDEX(tbl_Finance[Compare],MATCH($AE55,tbl_Finance[Row ID],0))&amp;"",""))</f>
        <v/>
      </c>
      <c r="N55" s="11">
        <f>IF($C55="","",MAX(0,N(O55)-N(L55)))</f>
        <v/>
      </c>
      <c r="O55" s="39" t="n"/>
      <c r="P55" s="40">
        <f>IF($C55="","",IF((IF(F55="",", Client","")&amp;IF(G55="",", Description","")&amp;IF(H55="",", Cost Centre","")&amp;IF(I55="",", Invoice Type","")&amp;IF(J55="",", Tax Code","")&amp;IF(O55="",", Expected Revenue","")&amp;IF(COUNTIF(tbl_Finance[Job Number],$C55&amp;"")&gt;1,", Job number used twice",""))="","Complete","Fix: "&amp;MID(IF(F55="",", Client","")&amp;IF(G55="",", Description","")&amp;IF(H55="",", Cost Centre","")&amp;IF(I55="",", Invoice Type","")&amp;IF(J55="",", Tax Code","")&amp;IF(O55="",", Expected Revenue","")&amp;IF(COUNTIF(tbl_Finance[Job Number],$C55&amp;"")&gt;1,", Job number used twice",""),3,300)))</f>
        <v/>
      </c>
      <c r="Q55" s="10">
        <f>IF($C55="","",IF(H55="","(no cost centre)",H55&amp;" - GL "&amp;IFERROR(INDEX(lst_CCtoGL,MATCH(H55,lst_CCforGL,0)),"?")))</f>
        <v/>
      </c>
      <c r="R55" s="37" t="n"/>
      <c r="S55" s="10">
        <f>IF(R55="","",HYPERLINK(IF(LEFT(R55,4)="http",R55,set_QwilrBase&amp;R55),"Open quote"))</f>
        <v/>
      </c>
      <c r="T55" s="39" t="n"/>
      <c r="U55" s="39" t="n"/>
      <c r="V55" s="39" t="n"/>
      <c r="W55" s="10">
        <f>IF(C55="","",IF(N(T55)+N(U55)+N(V55)=0,"Not split",IF(ROUND(N(T55)+N(U55)+N(V55),2)=ROUND(MAX(N(L55),N(O55)),2),"OK","MISMATCH")))</f>
        <v/>
      </c>
      <c r="X55" s="39" t="n"/>
      <c r="Y55" s="39" t="n"/>
      <c r="Z55" s="39" t="n"/>
      <c r="AA55" s="11">
        <f>IF(C55="","",N(X55)+N(Y55)+N(Z55))</f>
        <v/>
      </c>
      <c r="AB55" s="11">
        <f>IF(C55="","",MAX(N(L55),N(O55))-N(AA55))</f>
        <v/>
      </c>
      <c r="AC55" s="43">
        <f>IFERROR(IF(MAX(N(L55),N(O55))=0,"",AB55/MAX(N(L55),N(O55))),"")</f>
        <v/>
      </c>
      <c r="AD55" s="37" t="n"/>
      <c r="AE55" s="10" t="inlineStr">
        <is>
          <t>CON-0051</t>
        </is>
      </c>
    </row>
    <row r="56">
      <c r="A56" s="16">
        <f>IF($C56="","",IFERROR(IF(INDEX(tbl_Finance[Latest Invoice Date],MATCH($AE56,tbl_Finance[Row ID],0))="","",INDEX(tbl_Finance[Latest Invoice Date],MATCH($AE56,tbl_Finance[Row ID],0))),""))</f>
        <v/>
      </c>
      <c r="B56" s="10">
        <f>IF($C56="","",IFERROR(INDEX(tbl_Finance[Invoice Numbers],MATCH($AE56,tbl_Finance[Row ID],0))&amp;"",""))</f>
        <v/>
      </c>
      <c r="C56" s="37" t="n"/>
      <c r="D56" s="10">
        <f>IF($C56="","",IF(COUNTIF(lst_Jobs,$C56&amp;"")&gt;0,"OK","CHECK"))</f>
        <v/>
      </c>
      <c r="E56" s="10">
        <f>IF($C56="","",IFERROR(INDEX(lst_JobName,MATCH($C56&amp;"",lst_Jobs,0)),""))</f>
        <v/>
      </c>
      <c r="F56" s="37" t="n"/>
      <c r="G56" s="37" t="n"/>
      <c r="H56" s="37" t="n"/>
      <c r="I56" s="37" t="n"/>
      <c r="J56" s="37" t="n"/>
      <c r="K56" s="38">
        <f>IF($C56="","",IFERROR(N(INDEX(tbl_Finance[Invoice Count],MATCH($AE56,tbl_Finance[Row ID],0))),""))</f>
        <v/>
      </c>
      <c r="L56" s="11">
        <f>IF($C56="","",IFERROR(N(INDEX(tbl_Finance[Xero Invoiced Ex GST],MATCH($AE56,tbl_Finance[Row ID],0))),""))</f>
        <v/>
      </c>
      <c r="M56" s="10">
        <f>IF($C56="","",IFERROR(INDEX(tbl_Finance[Compare],MATCH($AE56,tbl_Finance[Row ID],0))&amp;"",""))</f>
        <v/>
      </c>
      <c r="N56" s="11">
        <f>IF($C56="","",MAX(0,N(O56)-N(L56)))</f>
        <v/>
      </c>
      <c r="O56" s="39" t="n"/>
      <c r="P56" s="40">
        <f>IF($C56="","",IF((IF(F56="",", Client","")&amp;IF(G56="",", Description","")&amp;IF(H56="",", Cost Centre","")&amp;IF(I56="",", Invoice Type","")&amp;IF(J56="",", Tax Code","")&amp;IF(O56="",", Expected Revenue","")&amp;IF(COUNTIF(tbl_Finance[Job Number],$C56&amp;"")&gt;1,", Job number used twice",""))="","Complete","Fix: "&amp;MID(IF(F56="",", Client","")&amp;IF(G56="",", Description","")&amp;IF(H56="",", Cost Centre","")&amp;IF(I56="",", Invoice Type","")&amp;IF(J56="",", Tax Code","")&amp;IF(O56="",", Expected Revenue","")&amp;IF(COUNTIF(tbl_Finance[Job Number],$C56&amp;"")&gt;1,", Job number used twice",""),3,300)))</f>
        <v/>
      </c>
      <c r="Q56" s="10">
        <f>IF($C56="","",IF(H56="","(no cost centre)",H56&amp;" - GL "&amp;IFERROR(INDEX(lst_CCtoGL,MATCH(H56,lst_CCforGL,0)),"?")))</f>
        <v/>
      </c>
      <c r="R56" s="37" t="n"/>
      <c r="S56" s="10">
        <f>IF(R56="","",HYPERLINK(IF(LEFT(R56,4)="http",R56,set_QwilrBase&amp;R56),"Open quote"))</f>
        <v/>
      </c>
      <c r="T56" s="39" t="n"/>
      <c r="U56" s="39" t="n"/>
      <c r="V56" s="39" t="n"/>
      <c r="W56" s="10">
        <f>IF(C56="","",IF(N(T56)+N(U56)+N(V56)=0,"Not split",IF(ROUND(N(T56)+N(U56)+N(V56),2)=ROUND(MAX(N(L56),N(O56)),2),"OK","MISMATCH")))</f>
        <v/>
      </c>
      <c r="X56" s="39" t="n"/>
      <c r="Y56" s="39" t="n"/>
      <c r="Z56" s="39" t="n"/>
      <c r="AA56" s="11">
        <f>IF(C56="","",N(X56)+N(Y56)+N(Z56))</f>
        <v/>
      </c>
      <c r="AB56" s="11">
        <f>IF(C56="","",MAX(N(L56),N(O56))-N(AA56))</f>
        <v/>
      </c>
      <c r="AC56" s="43">
        <f>IFERROR(IF(MAX(N(L56),N(O56))=0,"",AB56/MAX(N(L56),N(O56))),"")</f>
        <v/>
      </c>
      <c r="AD56" s="37" t="n"/>
      <c r="AE56" s="10" t="inlineStr">
        <is>
          <t>CON-0052</t>
        </is>
      </c>
    </row>
    <row r="57">
      <c r="A57" s="16">
        <f>IF($C57="","",IFERROR(IF(INDEX(tbl_Finance[Latest Invoice Date],MATCH($AE57,tbl_Finance[Row ID],0))="","",INDEX(tbl_Finance[Latest Invoice Date],MATCH($AE57,tbl_Finance[Row ID],0))),""))</f>
        <v/>
      </c>
      <c r="B57" s="10">
        <f>IF($C57="","",IFERROR(INDEX(tbl_Finance[Invoice Numbers],MATCH($AE57,tbl_Finance[Row ID],0))&amp;"",""))</f>
        <v/>
      </c>
      <c r="C57" s="37" t="n"/>
      <c r="D57" s="10">
        <f>IF($C57="","",IF(COUNTIF(lst_Jobs,$C57&amp;"")&gt;0,"OK","CHECK"))</f>
        <v/>
      </c>
      <c r="E57" s="10">
        <f>IF($C57="","",IFERROR(INDEX(lst_JobName,MATCH($C57&amp;"",lst_Jobs,0)),""))</f>
        <v/>
      </c>
      <c r="F57" s="37" t="n"/>
      <c r="G57" s="37" t="n"/>
      <c r="H57" s="37" t="n"/>
      <c r="I57" s="37" t="n"/>
      <c r="J57" s="37" t="n"/>
      <c r="K57" s="38">
        <f>IF($C57="","",IFERROR(N(INDEX(tbl_Finance[Invoice Count],MATCH($AE57,tbl_Finance[Row ID],0))),""))</f>
        <v/>
      </c>
      <c r="L57" s="11">
        <f>IF($C57="","",IFERROR(N(INDEX(tbl_Finance[Xero Invoiced Ex GST],MATCH($AE57,tbl_Finance[Row ID],0))),""))</f>
        <v/>
      </c>
      <c r="M57" s="10">
        <f>IF($C57="","",IFERROR(INDEX(tbl_Finance[Compare],MATCH($AE57,tbl_Finance[Row ID],0))&amp;"",""))</f>
        <v/>
      </c>
      <c r="N57" s="11">
        <f>IF($C57="","",MAX(0,N(O57)-N(L57)))</f>
        <v/>
      </c>
      <c r="O57" s="39" t="n"/>
      <c r="P57" s="40">
        <f>IF($C57="","",IF((IF(F57="",", Client","")&amp;IF(G57="",", Description","")&amp;IF(H57="",", Cost Centre","")&amp;IF(I57="",", Invoice Type","")&amp;IF(J57="",", Tax Code","")&amp;IF(O57="",", Expected Revenue","")&amp;IF(COUNTIF(tbl_Finance[Job Number],$C57&amp;"")&gt;1,", Job number used twice",""))="","Complete","Fix: "&amp;MID(IF(F57="",", Client","")&amp;IF(G57="",", Description","")&amp;IF(H57="",", Cost Centre","")&amp;IF(I57="",", Invoice Type","")&amp;IF(J57="",", Tax Code","")&amp;IF(O57="",", Expected Revenue","")&amp;IF(COUNTIF(tbl_Finance[Job Number],$C57&amp;"")&gt;1,", Job number used twice",""),3,300)))</f>
        <v/>
      </c>
      <c r="Q57" s="10">
        <f>IF($C57="","",IF(H57="","(no cost centre)",H57&amp;" - GL "&amp;IFERROR(INDEX(lst_CCtoGL,MATCH(H57,lst_CCforGL,0)),"?")))</f>
        <v/>
      </c>
      <c r="R57" s="37" t="n"/>
      <c r="S57" s="10">
        <f>IF(R57="","",HYPERLINK(IF(LEFT(R57,4)="http",R57,set_QwilrBase&amp;R57),"Open quote"))</f>
        <v/>
      </c>
      <c r="T57" s="39" t="n"/>
      <c r="U57" s="39" t="n"/>
      <c r="V57" s="39" t="n"/>
      <c r="W57" s="10">
        <f>IF(C57="","",IF(N(T57)+N(U57)+N(V57)=0,"Not split",IF(ROUND(N(T57)+N(U57)+N(V57),2)=ROUND(MAX(N(L57),N(O57)),2),"OK","MISMATCH")))</f>
        <v/>
      </c>
      <c r="X57" s="39" t="n"/>
      <c r="Y57" s="39" t="n"/>
      <c r="Z57" s="39" t="n"/>
      <c r="AA57" s="11">
        <f>IF(C57="","",N(X57)+N(Y57)+N(Z57))</f>
        <v/>
      </c>
      <c r="AB57" s="11">
        <f>IF(C57="","",MAX(N(L57),N(O57))-N(AA57))</f>
        <v/>
      </c>
      <c r="AC57" s="43">
        <f>IFERROR(IF(MAX(N(L57),N(O57))=0,"",AB57/MAX(N(L57),N(O57))),"")</f>
        <v/>
      </c>
      <c r="AD57" s="37" t="n"/>
      <c r="AE57" s="10" t="inlineStr">
        <is>
          <t>CON-0053</t>
        </is>
      </c>
    </row>
    <row r="58">
      <c r="A58" s="16">
        <f>IF($C58="","",IFERROR(IF(INDEX(tbl_Finance[Latest Invoice Date],MATCH($AE58,tbl_Finance[Row ID],0))="","",INDEX(tbl_Finance[Latest Invoice Date],MATCH($AE58,tbl_Finance[Row ID],0))),""))</f>
        <v/>
      </c>
      <c r="B58" s="10">
        <f>IF($C58="","",IFERROR(INDEX(tbl_Finance[Invoice Numbers],MATCH($AE58,tbl_Finance[Row ID],0))&amp;"",""))</f>
        <v/>
      </c>
      <c r="C58" s="37" t="n"/>
      <c r="D58" s="10">
        <f>IF($C58="","",IF(COUNTIF(lst_Jobs,$C58&amp;"")&gt;0,"OK","CHECK"))</f>
        <v/>
      </c>
      <c r="E58" s="10">
        <f>IF($C58="","",IFERROR(INDEX(lst_JobName,MATCH($C58&amp;"",lst_Jobs,0)),""))</f>
        <v/>
      </c>
      <c r="F58" s="37" t="n"/>
      <c r="G58" s="37" t="n"/>
      <c r="H58" s="37" t="n"/>
      <c r="I58" s="37" t="n"/>
      <c r="J58" s="37" t="n"/>
      <c r="K58" s="38">
        <f>IF($C58="","",IFERROR(N(INDEX(tbl_Finance[Invoice Count],MATCH($AE58,tbl_Finance[Row ID],0))),""))</f>
        <v/>
      </c>
      <c r="L58" s="11">
        <f>IF($C58="","",IFERROR(N(INDEX(tbl_Finance[Xero Invoiced Ex GST],MATCH($AE58,tbl_Finance[Row ID],0))),""))</f>
        <v/>
      </c>
      <c r="M58" s="10">
        <f>IF($C58="","",IFERROR(INDEX(tbl_Finance[Compare],MATCH($AE58,tbl_Finance[Row ID],0))&amp;"",""))</f>
        <v/>
      </c>
      <c r="N58" s="11">
        <f>IF($C58="","",MAX(0,N(O58)-N(L58)))</f>
        <v/>
      </c>
      <c r="O58" s="39" t="n"/>
      <c r="P58" s="40">
        <f>IF($C58="","",IF((IF(F58="",", Client","")&amp;IF(G58="",", Description","")&amp;IF(H58="",", Cost Centre","")&amp;IF(I58="",", Invoice Type","")&amp;IF(J58="",", Tax Code","")&amp;IF(O58="",", Expected Revenue","")&amp;IF(COUNTIF(tbl_Finance[Job Number],$C58&amp;"")&gt;1,", Job number used twice",""))="","Complete","Fix: "&amp;MID(IF(F58="",", Client","")&amp;IF(G58="",", Description","")&amp;IF(H58="",", Cost Centre","")&amp;IF(I58="",", Invoice Type","")&amp;IF(J58="",", Tax Code","")&amp;IF(O58="",", Expected Revenue","")&amp;IF(COUNTIF(tbl_Finance[Job Number],$C58&amp;"")&gt;1,", Job number used twice",""),3,300)))</f>
        <v/>
      </c>
      <c r="Q58" s="10">
        <f>IF($C58="","",IF(H58="","(no cost centre)",H58&amp;" - GL "&amp;IFERROR(INDEX(lst_CCtoGL,MATCH(H58,lst_CCforGL,0)),"?")))</f>
        <v/>
      </c>
      <c r="R58" s="37" t="n"/>
      <c r="S58" s="10">
        <f>IF(R58="","",HYPERLINK(IF(LEFT(R58,4)="http",R58,set_QwilrBase&amp;R58),"Open quote"))</f>
        <v/>
      </c>
      <c r="T58" s="39" t="n"/>
      <c r="U58" s="39" t="n"/>
      <c r="V58" s="39" t="n"/>
      <c r="W58" s="10">
        <f>IF(C58="","",IF(N(T58)+N(U58)+N(V58)=0,"Not split",IF(ROUND(N(T58)+N(U58)+N(V58),2)=ROUND(MAX(N(L58),N(O58)),2),"OK","MISMATCH")))</f>
        <v/>
      </c>
      <c r="X58" s="39" t="n"/>
      <c r="Y58" s="39" t="n"/>
      <c r="Z58" s="39" t="n"/>
      <c r="AA58" s="11">
        <f>IF(C58="","",N(X58)+N(Y58)+N(Z58))</f>
        <v/>
      </c>
      <c r="AB58" s="11">
        <f>IF(C58="","",MAX(N(L58),N(O58))-N(AA58))</f>
        <v/>
      </c>
      <c r="AC58" s="43">
        <f>IFERROR(IF(MAX(N(L58),N(O58))=0,"",AB58/MAX(N(L58),N(O58))),"")</f>
        <v/>
      </c>
      <c r="AD58" s="37" t="n"/>
      <c r="AE58" s="10" t="inlineStr">
        <is>
          <t>CON-0054</t>
        </is>
      </c>
    </row>
    <row r="59">
      <c r="A59" s="16">
        <f>IF($C59="","",IFERROR(IF(INDEX(tbl_Finance[Latest Invoice Date],MATCH($AE59,tbl_Finance[Row ID],0))="","",INDEX(tbl_Finance[Latest Invoice Date],MATCH($AE59,tbl_Finance[Row ID],0))),""))</f>
        <v/>
      </c>
      <c r="B59" s="10">
        <f>IF($C59="","",IFERROR(INDEX(tbl_Finance[Invoice Numbers],MATCH($AE59,tbl_Finance[Row ID],0))&amp;"",""))</f>
        <v/>
      </c>
      <c r="C59" s="37" t="n"/>
      <c r="D59" s="10">
        <f>IF($C59="","",IF(COUNTIF(lst_Jobs,$C59&amp;"")&gt;0,"OK","CHECK"))</f>
        <v/>
      </c>
      <c r="E59" s="10">
        <f>IF($C59="","",IFERROR(INDEX(lst_JobName,MATCH($C59&amp;"",lst_Jobs,0)),""))</f>
        <v/>
      </c>
      <c r="F59" s="37" t="n"/>
      <c r="G59" s="37" t="n"/>
      <c r="H59" s="37" t="n"/>
      <c r="I59" s="37" t="n"/>
      <c r="J59" s="37" t="n"/>
      <c r="K59" s="38">
        <f>IF($C59="","",IFERROR(N(INDEX(tbl_Finance[Invoice Count],MATCH($AE59,tbl_Finance[Row ID],0))),""))</f>
        <v/>
      </c>
      <c r="L59" s="11">
        <f>IF($C59="","",IFERROR(N(INDEX(tbl_Finance[Xero Invoiced Ex GST],MATCH($AE59,tbl_Finance[Row ID],0))),""))</f>
        <v/>
      </c>
      <c r="M59" s="10">
        <f>IF($C59="","",IFERROR(INDEX(tbl_Finance[Compare],MATCH($AE59,tbl_Finance[Row ID],0))&amp;"",""))</f>
        <v/>
      </c>
      <c r="N59" s="11">
        <f>IF($C59="","",MAX(0,N(O59)-N(L59)))</f>
        <v/>
      </c>
      <c r="O59" s="39" t="n"/>
      <c r="P59" s="40">
        <f>IF($C59="","",IF((IF(F59="",", Client","")&amp;IF(G59="",", Description","")&amp;IF(H59="",", Cost Centre","")&amp;IF(I59="",", Invoice Type","")&amp;IF(J59="",", Tax Code","")&amp;IF(O59="",", Expected Revenue","")&amp;IF(COUNTIF(tbl_Finance[Job Number],$C59&amp;"")&gt;1,", Job number used twice",""))="","Complete","Fix: "&amp;MID(IF(F59="",", Client","")&amp;IF(G59="",", Description","")&amp;IF(H59="",", Cost Centre","")&amp;IF(I59="",", Invoice Type","")&amp;IF(J59="",", Tax Code","")&amp;IF(O59="",", Expected Revenue","")&amp;IF(COUNTIF(tbl_Finance[Job Number],$C59&amp;"")&gt;1,", Job number used twice",""),3,300)))</f>
        <v/>
      </c>
      <c r="Q59" s="10">
        <f>IF($C59="","",IF(H59="","(no cost centre)",H59&amp;" - GL "&amp;IFERROR(INDEX(lst_CCtoGL,MATCH(H59,lst_CCforGL,0)),"?")))</f>
        <v/>
      </c>
      <c r="R59" s="37" t="n"/>
      <c r="S59" s="10">
        <f>IF(R59="","",HYPERLINK(IF(LEFT(R59,4)="http",R59,set_QwilrBase&amp;R59),"Open quote"))</f>
        <v/>
      </c>
      <c r="T59" s="39" t="n"/>
      <c r="U59" s="39" t="n"/>
      <c r="V59" s="39" t="n"/>
      <c r="W59" s="10">
        <f>IF(C59="","",IF(N(T59)+N(U59)+N(V59)=0,"Not split",IF(ROUND(N(T59)+N(U59)+N(V59),2)=ROUND(MAX(N(L59),N(O59)),2),"OK","MISMATCH")))</f>
        <v/>
      </c>
      <c r="X59" s="39" t="n"/>
      <c r="Y59" s="39" t="n"/>
      <c r="Z59" s="39" t="n"/>
      <c r="AA59" s="11">
        <f>IF(C59="","",N(X59)+N(Y59)+N(Z59))</f>
        <v/>
      </c>
      <c r="AB59" s="11">
        <f>IF(C59="","",MAX(N(L59),N(O59))-N(AA59))</f>
        <v/>
      </c>
      <c r="AC59" s="43">
        <f>IFERROR(IF(MAX(N(L59),N(O59))=0,"",AB59/MAX(N(L59),N(O59))),"")</f>
        <v/>
      </c>
      <c r="AD59" s="37" t="n"/>
      <c r="AE59" s="10" t="inlineStr">
        <is>
          <t>CON-0055</t>
        </is>
      </c>
    </row>
    <row r="60">
      <c r="A60" s="16">
        <f>IF($C60="","",IFERROR(IF(INDEX(tbl_Finance[Latest Invoice Date],MATCH($AE60,tbl_Finance[Row ID],0))="","",INDEX(tbl_Finance[Latest Invoice Date],MATCH($AE60,tbl_Finance[Row ID],0))),""))</f>
        <v/>
      </c>
      <c r="B60" s="10">
        <f>IF($C60="","",IFERROR(INDEX(tbl_Finance[Invoice Numbers],MATCH($AE60,tbl_Finance[Row ID],0))&amp;"",""))</f>
        <v/>
      </c>
      <c r="C60" s="37" t="n"/>
      <c r="D60" s="10">
        <f>IF($C60="","",IF(COUNTIF(lst_Jobs,$C60&amp;"")&gt;0,"OK","CHECK"))</f>
        <v/>
      </c>
      <c r="E60" s="10">
        <f>IF($C60="","",IFERROR(INDEX(lst_JobName,MATCH($C60&amp;"",lst_Jobs,0)),""))</f>
        <v/>
      </c>
      <c r="F60" s="37" t="n"/>
      <c r="G60" s="37" t="n"/>
      <c r="H60" s="37" t="n"/>
      <c r="I60" s="37" t="n"/>
      <c r="J60" s="37" t="n"/>
      <c r="K60" s="38">
        <f>IF($C60="","",IFERROR(N(INDEX(tbl_Finance[Invoice Count],MATCH($AE60,tbl_Finance[Row ID],0))),""))</f>
        <v/>
      </c>
      <c r="L60" s="11">
        <f>IF($C60="","",IFERROR(N(INDEX(tbl_Finance[Xero Invoiced Ex GST],MATCH($AE60,tbl_Finance[Row ID],0))),""))</f>
        <v/>
      </c>
      <c r="M60" s="10">
        <f>IF($C60="","",IFERROR(INDEX(tbl_Finance[Compare],MATCH($AE60,tbl_Finance[Row ID],0))&amp;"",""))</f>
        <v/>
      </c>
      <c r="N60" s="11">
        <f>IF($C60="","",MAX(0,N(O60)-N(L60)))</f>
        <v/>
      </c>
      <c r="O60" s="39" t="n"/>
      <c r="P60" s="40">
        <f>IF($C60="","",IF((IF(F60="",", Client","")&amp;IF(G60="",", Description","")&amp;IF(H60="",", Cost Centre","")&amp;IF(I60="",", Invoice Type","")&amp;IF(J60="",", Tax Code","")&amp;IF(O60="",", Expected Revenue","")&amp;IF(COUNTIF(tbl_Finance[Job Number],$C60&amp;"")&gt;1,", Job number used twice",""))="","Complete","Fix: "&amp;MID(IF(F60="",", Client","")&amp;IF(G60="",", Description","")&amp;IF(H60="",", Cost Centre","")&amp;IF(I60="",", Invoice Type","")&amp;IF(J60="",", Tax Code","")&amp;IF(O60="",", Expected Revenue","")&amp;IF(COUNTIF(tbl_Finance[Job Number],$C60&amp;"")&gt;1,", Job number used twice",""),3,300)))</f>
        <v/>
      </c>
      <c r="Q60" s="10">
        <f>IF($C60="","",IF(H60="","(no cost centre)",H60&amp;" - GL "&amp;IFERROR(INDEX(lst_CCtoGL,MATCH(H60,lst_CCforGL,0)),"?")))</f>
        <v/>
      </c>
      <c r="R60" s="37" t="n"/>
      <c r="S60" s="10">
        <f>IF(R60="","",HYPERLINK(IF(LEFT(R60,4)="http",R60,set_QwilrBase&amp;R60),"Open quote"))</f>
        <v/>
      </c>
      <c r="T60" s="39" t="n"/>
      <c r="U60" s="39" t="n"/>
      <c r="V60" s="39" t="n"/>
      <c r="W60" s="10">
        <f>IF(C60="","",IF(N(T60)+N(U60)+N(V60)=0,"Not split",IF(ROUND(N(T60)+N(U60)+N(V60),2)=ROUND(MAX(N(L60),N(O60)),2),"OK","MISMATCH")))</f>
        <v/>
      </c>
      <c r="X60" s="39" t="n"/>
      <c r="Y60" s="39" t="n"/>
      <c r="Z60" s="39" t="n"/>
      <c r="AA60" s="11">
        <f>IF(C60="","",N(X60)+N(Y60)+N(Z60))</f>
        <v/>
      </c>
      <c r="AB60" s="11">
        <f>IF(C60="","",MAX(N(L60),N(O60))-N(AA60))</f>
        <v/>
      </c>
      <c r="AC60" s="43">
        <f>IFERROR(IF(MAX(N(L60),N(O60))=0,"",AB60/MAX(N(L60),N(O60))),"")</f>
        <v/>
      </c>
      <c r="AD60" s="37" t="n"/>
      <c r="AE60" s="10" t="inlineStr">
        <is>
          <t>CON-0056</t>
        </is>
      </c>
    </row>
    <row r="61">
      <c r="A61" s="16">
        <f>IF($C61="","",IFERROR(IF(INDEX(tbl_Finance[Latest Invoice Date],MATCH($AE61,tbl_Finance[Row ID],0))="","",INDEX(tbl_Finance[Latest Invoice Date],MATCH($AE61,tbl_Finance[Row ID],0))),""))</f>
        <v/>
      </c>
      <c r="B61" s="10">
        <f>IF($C61="","",IFERROR(INDEX(tbl_Finance[Invoice Numbers],MATCH($AE61,tbl_Finance[Row ID],0))&amp;"",""))</f>
        <v/>
      </c>
      <c r="C61" s="37" t="n"/>
      <c r="D61" s="10">
        <f>IF($C61="","",IF(COUNTIF(lst_Jobs,$C61&amp;"")&gt;0,"OK","CHECK"))</f>
        <v/>
      </c>
      <c r="E61" s="10">
        <f>IF($C61="","",IFERROR(INDEX(lst_JobName,MATCH($C61&amp;"",lst_Jobs,0)),""))</f>
        <v/>
      </c>
      <c r="F61" s="37" t="n"/>
      <c r="G61" s="37" t="n"/>
      <c r="H61" s="37" t="n"/>
      <c r="I61" s="37" t="n"/>
      <c r="J61" s="37" t="n"/>
      <c r="K61" s="38">
        <f>IF($C61="","",IFERROR(N(INDEX(tbl_Finance[Invoice Count],MATCH($AE61,tbl_Finance[Row ID],0))),""))</f>
        <v/>
      </c>
      <c r="L61" s="11">
        <f>IF($C61="","",IFERROR(N(INDEX(tbl_Finance[Xero Invoiced Ex GST],MATCH($AE61,tbl_Finance[Row ID],0))),""))</f>
        <v/>
      </c>
      <c r="M61" s="10">
        <f>IF($C61="","",IFERROR(INDEX(tbl_Finance[Compare],MATCH($AE61,tbl_Finance[Row ID],0))&amp;"",""))</f>
        <v/>
      </c>
      <c r="N61" s="11">
        <f>IF($C61="","",MAX(0,N(O61)-N(L61)))</f>
        <v/>
      </c>
      <c r="O61" s="39" t="n"/>
      <c r="P61" s="40">
        <f>IF($C61="","",IF((IF(F61="",", Client","")&amp;IF(G61="",", Description","")&amp;IF(H61="",", Cost Centre","")&amp;IF(I61="",", Invoice Type","")&amp;IF(J61="",", Tax Code","")&amp;IF(O61="",", Expected Revenue","")&amp;IF(COUNTIF(tbl_Finance[Job Number],$C61&amp;"")&gt;1,", Job number used twice",""))="","Complete","Fix: "&amp;MID(IF(F61="",", Client","")&amp;IF(G61="",", Description","")&amp;IF(H61="",", Cost Centre","")&amp;IF(I61="",", Invoice Type","")&amp;IF(J61="",", Tax Code","")&amp;IF(O61="",", Expected Revenue","")&amp;IF(COUNTIF(tbl_Finance[Job Number],$C61&amp;"")&gt;1,", Job number used twice",""),3,300)))</f>
        <v/>
      </c>
      <c r="Q61" s="10">
        <f>IF($C61="","",IF(H61="","(no cost centre)",H61&amp;" - GL "&amp;IFERROR(INDEX(lst_CCtoGL,MATCH(H61,lst_CCforGL,0)),"?")))</f>
        <v/>
      </c>
      <c r="R61" s="37" t="n"/>
      <c r="S61" s="10">
        <f>IF(R61="","",HYPERLINK(IF(LEFT(R61,4)="http",R61,set_QwilrBase&amp;R61),"Open quote"))</f>
        <v/>
      </c>
      <c r="T61" s="39" t="n"/>
      <c r="U61" s="39" t="n"/>
      <c r="V61" s="39" t="n"/>
      <c r="W61" s="10">
        <f>IF(C61="","",IF(N(T61)+N(U61)+N(V61)=0,"Not split",IF(ROUND(N(T61)+N(U61)+N(V61),2)=ROUND(MAX(N(L61),N(O61)),2),"OK","MISMATCH")))</f>
        <v/>
      </c>
      <c r="X61" s="39" t="n"/>
      <c r="Y61" s="39" t="n"/>
      <c r="Z61" s="39" t="n"/>
      <c r="AA61" s="11">
        <f>IF(C61="","",N(X61)+N(Y61)+N(Z61))</f>
        <v/>
      </c>
      <c r="AB61" s="11">
        <f>IF(C61="","",MAX(N(L61),N(O61))-N(AA61))</f>
        <v/>
      </c>
      <c r="AC61" s="43">
        <f>IFERROR(IF(MAX(N(L61),N(O61))=0,"",AB61/MAX(N(L61),N(O61))),"")</f>
        <v/>
      </c>
      <c r="AD61" s="37" t="n"/>
      <c r="AE61" s="10" t="inlineStr">
        <is>
          <t>CON-0057</t>
        </is>
      </c>
    </row>
    <row r="62">
      <c r="A62" s="16">
        <f>IF($C62="","",IFERROR(IF(INDEX(tbl_Finance[Latest Invoice Date],MATCH($AE62,tbl_Finance[Row ID],0))="","",INDEX(tbl_Finance[Latest Invoice Date],MATCH($AE62,tbl_Finance[Row ID],0))),""))</f>
        <v/>
      </c>
      <c r="B62" s="10">
        <f>IF($C62="","",IFERROR(INDEX(tbl_Finance[Invoice Numbers],MATCH($AE62,tbl_Finance[Row ID],0))&amp;"",""))</f>
        <v/>
      </c>
      <c r="C62" s="37" t="n"/>
      <c r="D62" s="10">
        <f>IF($C62="","",IF(COUNTIF(lst_Jobs,$C62&amp;"")&gt;0,"OK","CHECK"))</f>
        <v/>
      </c>
      <c r="E62" s="10">
        <f>IF($C62="","",IFERROR(INDEX(lst_JobName,MATCH($C62&amp;"",lst_Jobs,0)),""))</f>
        <v/>
      </c>
      <c r="F62" s="37" t="n"/>
      <c r="G62" s="37" t="n"/>
      <c r="H62" s="37" t="n"/>
      <c r="I62" s="37" t="n"/>
      <c r="J62" s="37" t="n"/>
      <c r="K62" s="38">
        <f>IF($C62="","",IFERROR(N(INDEX(tbl_Finance[Invoice Count],MATCH($AE62,tbl_Finance[Row ID],0))),""))</f>
        <v/>
      </c>
      <c r="L62" s="11">
        <f>IF($C62="","",IFERROR(N(INDEX(tbl_Finance[Xero Invoiced Ex GST],MATCH($AE62,tbl_Finance[Row ID],0))),""))</f>
        <v/>
      </c>
      <c r="M62" s="10">
        <f>IF($C62="","",IFERROR(INDEX(tbl_Finance[Compare],MATCH($AE62,tbl_Finance[Row ID],0))&amp;"",""))</f>
        <v/>
      </c>
      <c r="N62" s="11">
        <f>IF($C62="","",MAX(0,N(O62)-N(L62)))</f>
        <v/>
      </c>
      <c r="O62" s="39" t="n"/>
      <c r="P62" s="40">
        <f>IF($C62="","",IF((IF(F62="",", Client","")&amp;IF(G62="",", Description","")&amp;IF(H62="",", Cost Centre","")&amp;IF(I62="",", Invoice Type","")&amp;IF(J62="",", Tax Code","")&amp;IF(O62="",", Expected Revenue","")&amp;IF(COUNTIF(tbl_Finance[Job Number],$C62&amp;"")&gt;1,", Job number used twice",""))="","Complete","Fix: "&amp;MID(IF(F62="",", Client","")&amp;IF(G62="",", Description","")&amp;IF(H62="",", Cost Centre","")&amp;IF(I62="",", Invoice Type","")&amp;IF(J62="",", Tax Code","")&amp;IF(O62="",", Expected Revenue","")&amp;IF(COUNTIF(tbl_Finance[Job Number],$C62&amp;"")&gt;1,", Job number used twice",""),3,300)))</f>
        <v/>
      </c>
      <c r="Q62" s="10">
        <f>IF($C62="","",IF(H62="","(no cost centre)",H62&amp;" - GL "&amp;IFERROR(INDEX(lst_CCtoGL,MATCH(H62,lst_CCforGL,0)),"?")))</f>
        <v/>
      </c>
      <c r="R62" s="37" t="n"/>
      <c r="S62" s="10">
        <f>IF(R62="","",HYPERLINK(IF(LEFT(R62,4)="http",R62,set_QwilrBase&amp;R62),"Open quote"))</f>
        <v/>
      </c>
      <c r="T62" s="39" t="n"/>
      <c r="U62" s="39" t="n"/>
      <c r="V62" s="39" t="n"/>
      <c r="W62" s="10">
        <f>IF(C62="","",IF(N(T62)+N(U62)+N(V62)=0,"Not split",IF(ROUND(N(T62)+N(U62)+N(V62),2)=ROUND(MAX(N(L62),N(O62)),2),"OK","MISMATCH")))</f>
        <v/>
      </c>
      <c r="X62" s="39" t="n"/>
      <c r="Y62" s="39" t="n"/>
      <c r="Z62" s="39" t="n"/>
      <c r="AA62" s="11">
        <f>IF(C62="","",N(X62)+N(Y62)+N(Z62))</f>
        <v/>
      </c>
      <c r="AB62" s="11">
        <f>IF(C62="","",MAX(N(L62),N(O62))-N(AA62))</f>
        <v/>
      </c>
      <c r="AC62" s="43">
        <f>IFERROR(IF(MAX(N(L62),N(O62))=0,"",AB62/MAX(N(L62),N(O62))),"")</f>
        <v/>
      </c>
      <c r="AD62" s="37" t="n"/>
      <c r="AE62" s="10" t="inlineStr">
        <is>
          <t>CON-0058</t>
        </is>
      </c>
    </row>
    <row r="63">
      <c r="A63" s="16">
        <f>IF($C63="","",IFERROR(IF(INDEX(tbl_Finance[Latest Invoice Date],MATCH($AE63,tbl_Finance[Row ID],0))="","",INDEX(tbl_Finance[Latest Invoice Date],MATCH($AE63,tbl_Finance[Row ID],0))),""))</f>
        <v/>
      </c>
      <c r="B63" s="10">
        <f>IF($C63="","",IFERROR(INDEX(tbl_Finance[Invoice Numbers],MATCH($AE63,tbl_Finance[Row ID],0))&amp;"",""))</f>
        <v/>
      </c>
      <c r="C63" s="37" t="n"/>
      <c r="D63" s="10">
        <f>IF($C63="","",IF(COUNTIF(lst_Jobs,$C63&amp;"")&gt;0,"OK","CHECK"))</f>
        <v/>
      </c>
      <c r="E63" s="10">
        <f>IF($C63="","",IFERROR(INDEX(lst_JobName,MATCH($C63&amp;"",lst_Jobs,0)),""))</f>
        <v/>
      </c>
      <c r="F63" s="37" t="n"/>
      <c r="G63" s="37" t="n"/>
      <c r="H63" s="37" t="n"/>
      <c r="I63" s="37" t="n"/>
      <c r="J63" s="37" t="n"/>
      <c r="K63" s="38">
        <f>IF($C63="","",IFERROR(N(INDEX(tbl_Finance[Invoice Count],MATCH($AE63,tbl_Finance[Row ID],0))),""))</f>
        <v/>
      </c>
      <c r="L63" s="11">
        <f>IF($C63="","",IFERROR(N(INDEX(tbl_Finance[Xero Invoiced Ex GST],MATCH($AE63,tbl_Finance[Row ID],0))),""))</f>
        <v/>
      </c>
      <c r="M63" s="10">
        <f>IF($C63="","",IFERROR(INDEX(tbl_Finance[Compare],MATCH($AE63,tbl_Finance[Row ID],0))&amp;"",""))</f>
        <v/>
      </c>
      <c r="N63" s="11">
        <f>IF($C63="","",MAX(0,N(O63)-N(L63)))</f>
        <v/>
      </c>
      <c r="O63" s="39" t="n"/>
      <c r="P63" s="40">
        <f>IF($C63="","",IF((IF(F63="",", Client","")&amp;IF(G63="",", Description","")&amp;IF(H63="",", Cost Centre","")&amp;IF(I63="",", Invoice Type","")&amp;IF(J63="",", Tax Code","")&amp;IF(O63="",", Expected Revenue","")&amp;IF(COUNTIF(tbl_Finance[Job Number],$C63&amp;"")&gt;1,", Job number used twice",""))="","Complete","Fix: "&amp;MID(IF(F63="",", Client","")&amp;IF(G63="",", Description","")&amp;IF(H63="",", Cost Centre","")&amp;IF(I63="",", Invoice Type","")&amp;IF(J63="",", Tax Code","")&amp;IF(O63="",", Expected Revenue","")&amp;IF(COUNTIF(tbl_Finance[Job Number],$C63&amp;"")&gt;1,", Job number used twice",""),3,300)))</f>
        <v/>
      </c>
      <c r="Q63" s="10">
        <f>IF($C63="","",IF(H63="","(no cost centre)",H63&amp;" - GL "&amp;IFERROR(INDEX(lst_CCtoGL,MATCH(H63,lst_CCforGL,0)),"?")))</f>
        <v/>
      </c>
      <c r="R63" s="37" t="n"/>
      <c r="S63" s="10">
        <f>IF(R63="","",HYPERLINK(IF(LEFT(R63,4)="http",R63,set_QwilrBase&amp;R63),"Open quote"))</f>
        <v/>
      </c>
      <c r="T63" s="39" t="n"/>
      <c r="U63" s="39" t="n"/>
      <c r="V63" s="39" t="n"/>
      <c r="W63" s="10">
        <f>IF(C63="","",IF(N(T63)+N(U63)+N(V63)=0,"Not split",IF(ROUND(N(T63)+N(U63)+N(V63),2)=ROUND(MAX(N(L63),N(O63)),2),"OK","MISMATCH")))</f>
        <v/>
      </c>
      <c r="X63" s="39" t="n"/>
      <c r="Y63" s="39" t="n"/>
      <c r="Z63" s="39" t="n"/>
      <c r="AA63" s="11">
        <f>IF(C63="","",N(X63)+N(Y63)+N(Z63))</f>
        <v/>
      </c>
      <c r="AB63" s="11">
        <f>IF(C63="","",MAX(N(L63),N(O63))-N(AA63))</f>
        <v/>
      </c>
      <c r="AC63" s="43">
        <f>IFERROR(IF(MAX(N(L63),N(O63))=0,"",AB63/MAX(N(L63),N(O63))),"")</f>
        <v/>
      </c>
      <c r="AD63" s="37" t="n"/>
      <c r="AE63" s="10" t="inlineStr">
        <is>
          <t>CON-0059</t>
        </is>
      </c>
    </row>
    <row r="64">
      <c r="A64" s="16">
        <f>IF($C64="","",IFERROR(IF(INDEX(tbl_Finance[Latest Invoice Date],MATCH($AE64,tbl_Finance[Row ID],0))="","",INDEX(tbl_Finance[Latest Invoice Date],MATCH($AE64,tbl_Finance[Row ID],0))),""))</f>
        <v/>
      </c>
      <c r="B64" s="10">
        <f>IF($C64="","",IFERROR(INDEX(tbl_Finance[Invoice Numbers],MATCH($AE64,tbl_Finance[Row ID],0))&amp;"",""))</f>
        <v/>
      </c>
      <c r="C64" s="37" t="n"/>
      <c r="D64" s="10">
        <f>IF($C64="","",IF(COUNTIF(lst_Jobs,$C64&amp;"")&gt;0,"OK","CHECK"))</f>
        <v/>
      </c>
      <c r="E64" s="10">
        <f>IF($C64="","",IFERROR(INDEX(lst_JobName,MATCH($C64&amp;"",lst_Jobs,0)),""))</f>
        <v/>
      </c>
      <c r="F64" s="37" t="n"/>
      <c r="G64" s="37" t="n"/>
      <c r="H64" s="37" t="n"/>
      <c r="I64" s="37" t="n"/>
      <c r="J64" s="37" t="n"/>
      <c r="K64" s="38">
        <f>IF($C64="","",IFERROR(N(INDEX(tbl_Finance[Invoice Count],MATCH($AE64,tbl_Finance[Row ID],0))),""))</f>
        <v/>
      </c>
      <c r="L64" s="11">
        <f>IF($C64="","",IFERROR(N(INDEX(tbl_Finance[Xero Invoiced Ex GST],MATCH($AE64,tbl_Finance[Row ID],0))),""))</f>
        <v/>
      </c>
      <c r="M64" s="10">
        <f>IF($C64="","",IFERROR(INDEX(tbl_Finance[Compare],MATCH($AE64,tbl_Finance[Row ID],0))&amp;"",""))</f>
        <v/>
      </c>
      <c r="N64" s="11">
        <f>IF($C64="","",MAX(0,N(O64)-N(L64)))</f>
        <v/>
      </c>
      <c r="O64" s="39" t="n"/>
      <c r="P64" s="40">
        <f>IF($C64="","",IF((IF(F64="",", Client","")&amp;IF(G64="",", Description","")&amp;IF(H64="",", Cost Centre","")&amp;IF(I64="",", Invoice Type","")&amp;IF(J64="",", Tax Code","")&amp;IF(O64="",", Expected Revenue","")&amp;IF(COUNTIF(tbl_Finance[Job Number],$C64&amp;"")&gt;1,", Job number used twice",""))="","Complete","Fix: "&amp;MID(IF(F64="",", Client","")&amp;IF(G64="",", Description","")&amp;IF(H64="",", Cost Centre","")&amp;IF(I64="",", Invoice Type","")&amp;IF(J64="",", Tax Code","")&amp;IF(O64="",", Expected Revenue","")&amp;IF(COUNTIF(tbl_Finance[Job Number],$C64&amp;"")&gt;1,", Job number used twice",""),3,300)))</f>
        <v/>
      </c>
      <c r="Q64" s="10">
        <f>IF($C64="","",IF(H64="","(no cost centre)",H64&amp;" - GL "&amp;IFERROR(INDEX(lst_CCtoGL,MATCH(H64,lst_CCforGL,0)),"?")))</f>
        <v/>
      </c>
      <c r="R64" s="37" t="n"/>
      <c r="S64" s="10">
        <f>IF(R64="","",HYPERLINK(IF(LEFT(R64,4)="http",R64,set_QwilrBase&amp;R64),"Open quote"))</f>
        <v/>
      </c>
      <c r="T64" s="39" t="n"/>
      <c r="U64" s="39" t="n"/>
      <c r="V64" s="39" t="n"/>
      <c r="W64" s="10">
        <f>IF(C64="","",IF(N(T64)+N(U64)+N(V64)=0,"Not split",IF(ROUND(N(T64)+N(U64)+N(V64),2)=ROUND(MAX(N(L64),N(O64)),2),"OK","MISMATCH")))</f>
        <v/>
      </c>
      <c r="X64" s="39" t="n"/>
      <c r="Y64" s="39" t="n"/>
      <c r="Z64" s="39" t="n"/>
      <c r="AA64" s="11">
        <f>IF(C64="","",N(X64)+N(Y64)+N(Z64))</f>
        <v/>
      </c>
      <c r="AB64" s="11">
        <f>IF(C64="","",MAX(N(L64),N(O64))-N(AA64))</f>
        <v/>
      </c>
      <c r="AC64" s="43">
        <f>IFERROR(IF(MAX(N(L64),N(O64))=0,"",AB64/MAX(N(L64),N(O64))),"")</f>
        <v/>
      </c>
      <c r="AD64" s="37" t="n"/>
      <c r="AE64" s="10" t="inlineStr">
        <is>
          <t>CON-0060</t>
        </is>
      </c>
    </row>
    <row r="65">
      <c r="A65" s="16">
        <f>IF($C65="","",IFERROR(IF(INDEX(tbl_Finance[Latest Invoice Date],MATCH($AE65,tbl_Finance[Row ID],0))="","",INDEX(tbl_Finance[Latest Invoice Date],MATCH($AE65,tbl_Finance[Row ID],0))),""))</f>
        <v/>
      </c>
      <c r="B65" s="10">
        <f>IF($C65="","",IFERROR(INDEX(tbl_Finance[Invoice Numbers],MATCH($AE65,tbl_Finance[Row ID],0))&amp;"",""))</f>
        <v/>
      </c>
      <c r="C65" s="37" t="n"/>
      <c r="D65" s="10">
        <f>IF($C65="","",IF(COUNTIF(lst_Jobs,$C65&amp;"")&gt;0,"OK","CHECK"))</f>
        <v/>
      </c>
      <c r="E65" s="10">
        <f>IF($C65="","",IFERROR(INDEX(lst_JobName,MATCH($C65&amp;"",lst_Jobs,0)),""))</f>
        <v/>
      </c>
      <c r="F65" s="37" t="n"/>
      <c r="G65" s="37" t="n"/>
      <c r="H65" s="37" t="n"/>
      <c r="I65" s="37" t="n"/>
      <c r="J65" s="37" t="n"/>
      <c r="K65" s="38">
        <f>IF($C65="","",IFERROR(N(INDEX(tbl_Finance[Invoice Count],MATCH($AE65,tbl_Finance[Row ID],0))),""))</f>
        <v/>
      </c>
      <c r="L65" s="11">
        <f>IF($C65="","",IFERROR(N(INDEX(tbl_Finance[Xero Invoiced Ex GST],MATCH($AE65,tbl_Finance[Row ID],0))),""))</f>
        <v/>
      </c>
      <c r="M65" s="10">
        <f>IF($C65="","",IFERROR(INDEX(tbl_Finance[Compare],MATCH($AE65,tbl_Finance[Row ID],0))&amp;"",""))</f>
        <v/>
      </c>
      <c r="N65" s="11">
        <f>IF($C65="","",MAX(0,N(O65)-N(L65)))</f>
        <v/>
      </c>
      <c r="O65" s="39" t="n"/>
      <c r="P65" s="40">
        <f>IF($C65="","",IF((IF(F65="",", Client","")&amp;IF(G65="",", Description","")&amp;IF(H65="",", Cost Centre","")&amp;IF(I65="",", Invoice Type","")&amp;IF(J65="",", Tax Code","")&amp;IF(O65="",", Expected Revenue","")&amp;IF(COUNTIF(tbl_Finance[Job Number],$C65&amp;"")&gt;1,", Job number used twice",""))="","Complete","Fix: "&amp;MID(IF(F65="",", Client","")&amp;IF(G65="",", Description","")&amp;IF(H65="",", Cost Centre","")&amp;IF(I65="",", Invoice Type","")&amp;IF(J65="",", Tax Code","")&amp;IF(O65="",", Expected Revenue","")&amp;IF(COUNTIF(tbl_Finance[Job Number],$C65&amp;"")&gt;1,", Job number used twice",""),3,300)))</f>
        <v/>
      </c>
      <c r="Q65" s="10">
        <f>IF($C65="","",IF(H65="","(no cost centre)",H65&amp;" - GL "&amp;IFERROR(INDEX(lst_CCtoGL,MATCH(H65,lst_CCforGL,0)),"?")))</f>
        <v/>
      </c>
      <c r="R65" s="37" t="n"/>
      <c r="S65" s="10">
        <f>IF(R65="","",HYPERLINK(IF(LEFT(R65,4)="http",R65,set_QwilrBase&amp;R65),"Open quote"))</f>
        <v/>
      </c>
      <c r="T65" s="39" t="n"/>
      <c r="U65" s="39" t="n"/>
      <c r="V65" s="39" t="n"/>
      <c r="W65" s="10">
        <f>IF(C65="","",IF(N(T65)+N(U65)+N(V65)=0,"Not split",IF(ROUND(N(T65)+N(U65)+N(V65),2)=ROUND(MAX(N(L65),N(O65)),2),"OK","MISMATCH")))</f>
        <v/>
      </c>
      <c r="X65" s="39" t="n"/>
      <c r="Y65" s="39" t="n"/>
      <c r="Z65" s="39" t="n"/>
      <c r="AA65" s="11">
        <f>IF(C65="","",N(X65)+N(Y65)+N(Z65))</f>
        <v/>
      </c>
      <c r="AB65" s="11">
        <f>IF(C65="","",MAX(N(L65),N(O65))-N(AA65))</f>
        <v/>
      </c>
      <c r="AC65" s="43">
        <f>IFERROR(IF(MAX(N(L65),N(O65))=0,"",AB65/MAX(N(L65),N(O65))),"")</f>
        <v/>
      </c>
      <c r="AD65" s="37" t="n"/>
      <c r="AE65" s="10" t="inlineStr">
        <is>
          <t>CON-0061</t>
        </is>
      </c>
    </row>
    <row r="66">
      <c r="A66" s="16">
        <f>IF($C66="","",IFERROR(IF(INDEX(tbl_Finance[Latest Invoice Date],MATCH($AE66,tbl_Finance[Row ID],0))="","",INDEX(tbl_Finance[Latest Invoice Date],MATCH($AE66,tbl_Finance[Row ID],0))),""))</f>
        <v/>
      </c>
      <c r="B66" s="10">
        <f>IF($C66="","",IFERROR(INDEX(tbl_Finance[Invoice Numbers],MATCH($AE66,tbl_Finance[Row ID],0))&amp;"",""))</f>
        <v/>
      </c>
      <c r="C66" s="37" t="n"/>
      <c r="D66" s="10">
        <f>IF($C66="","",IF(COUNTIF(lst_Jobs,$C66&amp;"")&gt;0,"OK","CHECK"))</f>
        <v/>
      </c>
      <c r="E66" s="10">
        <f>IF($C66="","",IFERROR(INDEX(lst_JobName,MATCH($C66&amp;"",lst_Jobs,0)),""))</f>
        <v/>
      </c>
      <c r="F66" s="37" t="n"/>
      <c r="G66" s="37" t="n"/>
      <c r="H66" s="37" t="n"/>
      <c r="I66" s="37" t="n"/>
      <c r="J66" s="37" t="n"/>
      <c r="K66" s="38">
        <f>IF($C66="","",IFERROR(N(INDEX(tbl_Finance[Invoice Count],MATCH($AE66,tbl_Finance[Row ID],0))),""))</f>
        <v/>
      </c>
      <c r="L66" s="11">
        <f>IF($C66="","",IFERROR(N(INDEX(tbl_Finance[Xero Invoiced Ex GST],MATCH($AE66,tbl_Finance[Row ID],0))),""))</f>
        <v/>
      </c>
      <c r="M66" s="10">
        <f>IF($C66="","",IFERROR(INDEX(tbl_Finance[Compare],MATCH($AE66,tbl_Finance[Row ID],0))&amp;"",""))</f>
        <v/>
      </c>
      <c r="N66" s="11">
        <f>IF($C66="","",MAX(0,N(O66)-N(L66)))</f>
        <v/>
      </c>
      <c r="O66" s="39" t="n"/>
      <c r="P66" s="40">
        <f>IF($C66="","",IF((IF(F66="",", Client","")&amp;IF(G66="",", Description","")&amp;IF(H66="",", Cost Centre","")&amp;IF(I66="",", Invoice Type","")&amp;IF(J66="",", Tax Code","")&amp;IF(O66="",", Expected Revenue","")&amp;IF(COUNTIF(tbl_Finance[Job Number],$C66&amp;"")&gt;1,", Job number used twice",""))="","Complete","Fix: "&amp;MID(IF(F66="",", Client","")&amp;IF(G66="",", Description","")&amp;IF(H66="",", Cost Centre","")&amp;IF(I66="",", Invoice Type","")&amp;IF(J66="",", Tax Code","")&amp;IF(O66="",", Expected Revenue","")&amp;IF(COUNTIF(tbl_Finance[Job Number],$C66&amp;"")&gt;1,", Job number used twice",""),3,300)))</f>
        <v/>
      </c>
      <c r="Q66" s="10">
        <f>IF($C66="","",IF(H66="","(no cost centre)",H66&amp;" - GL "&amp;IFERROR(INDEX(lst_CCtoGL,MATCH(H66,lst_CCforGL,0)),"?")))</f>
        <v/>
      </c>
      <c r="R66" s="37" t="n"/>
      <c r="S66" s="10">
        <f>IF(R66="","",HYPERLINK(IF(LEFT(R66,4)="http",R66,set_QwilrBase&amp;R66),"Open quote"))</f>
        <v/>
      </c>
      <c r="T66" s="39" t="n"/>
      <c r="U66" s="39" t="n"/>
      <c r="V66" s="39" t="n"/>
      <c r="W66" s="10">
        <f>IF(C66="","",IF(N(T66)+N(U66)+N(V66)=0,"Not split",IF(ROUND(N(T66)+N(U66)+N(V66),2)=ROUND(MAX(N(L66),N(O66)),2),"OK","MISMATCH")))</f>
        <v/>
      </c>
      <c r="X66" s="39" t="n"/>
      <c r="Y66" s="39" t="n"/>
      <c r="Z66" s="39" t="n"/>
      <c r="AA66" s="11">
        <f>IF(C66="","",N(X66)+N(Y66)+N(Z66))</f>
        <v/>
      </c>
      <c r="AB66" s="11">
        <f>IF(C66="","",MAX(N(L66),N(O66))-N(AA66))</f>
        <v/>
      </c>
      <c r="AC66" s="43">
        <f>IFERROR(IF(MAX(N(L66),N(O66))=0,"",AB66/MAX(N(L66),N(O66))),"")</f>
        <v/>
      </c>
      <c r="AD66" s="37" t="n"/>
      <c r="AE66" s="10" t="inlineStr">
        <is>
          <t>CON-0062</t>
        </is>
      </c>
    </row>
    <row r="67">
      <c r="A67" s="16">
        <f>IF($C67="","",IFERROR(IF(INDEX(tbl_Finance[Latest Invoice Date],MATCH($AE67,tbl_Finance[Row ID],0))="","",INDEX(tbl_Finance[Latest Invoice Date],MATCH($AE67,tbl_Finance[Row ID],0))),""))</f>
        <v/>
      </c>
      <c r="B67" s="10">
        <f>IF($C67="","",IFERROR(INDEX(tbl_Finance[Invoice Numbers],MATCH($AE67,tbl_Finance[Row ID],0))&amp;"",""))</f>
        <v/>
      </c>
      <c r="C67" s="37" t="n"/>
      <c r="D67" s="10">
        <f>IF($C67="","",IF(COUNTIF(lst_Jobs,$C67&amp;"")&gt;0,"OK","CHECK"))</f>
        <v/>
      </c>
      <c r="E67" s="10">
        <f>IF($C67="","",IFERROR(INDEX(lst_JobName,MATCH($C67&amp;"",lst_Jobs,0)),""))</f>
        <v/>
      </c>
      <c r="F67" s="37" t="n"/>
      <c r="G67" s="37" t="n"/>
      <c r="H67" s="37" t="n"/>
      <c r="I67" s="37" t="n"/>
      <c r="J67" s="37" t="n"/>
      <c r="K67" s="38">
        <f>IF($C67="","",IFERROR(N(INDEX(tbl_Finance[Invoice Count],MATCH($AE67,tbl_Finance[Row ID],0))),""))</f>
        <v/>
      </c>
      <c r="L67" s="11">
        <f>IF($C67="","",IFERROR(N(INDEX(tbl_Finance[Xero Invoiced Ex GST],MATCH($AE67,tbl_Finance[Row ID],0))),""))</f>
        <v/>
      </c>
      <c r="M67" s="10">
        <f>IF($C67="","",IFERROR(INDEX(tbl_Finance[Compare],MATCH($AE67,tbl_Finance[Row ID],0))&amp;"",""))</f>
        <v/>
      </c>
      <c r="N67" s="11">
        <f>IF($C67="","",MAX(0,N(O67)-N(L67)))</f>
        <v/>
      </c>
      <c r="O67" s="39" t="n"/>
      <c r="P67" s="40">
        <f>IF($C67="","",IF((IF(F67="",", Client","")&amp;IF(G67="",", Description","")&amp;IF(H67="",", Cost Centre","")&amp;IF(I67="",", Invoice Type","")&amp;IF(J67="",", Tax Code","")&amp;IF(O67="",", Expected Revenue","")&amp;IF(COUNTIF(tbl_Finance[Job Number],$C67&amp;"")&gt;1,", Job number used twice",""))="","Complete","Fix: "&amp;MID(IF(F67="",", Client","")&amp;IF(G67="",", Description","")&amp;IF(H67="",", Cost Centre","")&amp;IF(I67="",", Invoice Type","")&amp;IF(J67="",", Tax Code","")&amp;IF(O67="",", Expected Revenue","")&amp;IF(COUNTIF(tbl_Finance[Job Number],$C67&amp;"")&gt;1,", Job number used twice",""),3,300)))</f>
        <v/>
      </c>
      <c r="Q67" s="10">
        <f>IF($C67="","",IF(H67="","(no cost centre)",H67&amp;" - GL "&amp;IFERROR(INDEX(lst_CCtoGL,MATCH(H67,lst_CCforGL,0)),"?")))</f>
        <v/>
      </c>
      <c r="R67" s="37" t="n"/>
      <c r="S67" s="10">
        <f>IF(R67="","",HYPERLINK(IF(LEFT(R67,4)="http",R67,set_QwilrBase&amp;R67),"Open quote"))</f>
        <v/>
      </c>
      <c r="T67" s="39" t="n"/>
      <c r="U67" s="39" t="n"/>
      <c r="V67" s="39" t="n"/>
      <c r="W67" s="10">
        <f>IF(C67="","",IF(N(T67)+N(U67)+N(V67)=0,"Not split",IF(ROUND(N(T67)+N(U67)+N(V67),2)=ROUND(MAX(N(L67),N(O67)),2),"OK","MISMATCH")))</f>
        <v/>
      </c>
      <c r="X67" s="39" t="n"/>
      <c r="Y67" s="39" t="n"/>
      <c r="Z67" s="39" t="n"/>
      <c r="AA67" s="11">
        <f>IF(C67="","",N(X67)+N(Y67)+N(Z67))</f>
        <v/>
      </c>
      <c r="AB67" s="11">
        <f>IF(C67="","",MAX(N(L67),N(O67))-N(AA67))</f>
        <v/>
      </c>
      <c r="AC67" s="43">
        <f>IFERROR(IF(MAX(N(L67),N(O67))=0,"",AB67/MAX(N(L67),N(O67))),"")</f>
        <v/>
      </c>
      <c r="AD67" s="37" t="n"/>
      <c r="AE67" s="10" t="inlineStr">
        <is>
          <t>CON-0063</t>
        </is>
      </c>
    </row>
    <row r="68">
      <c r="A68" s="16">
        <f>IF($C68="","",IFERROR(IF(INDEX(tbl_Finance[Latest Invoice Date],MATCH($AE68,tbl_Finance[Row ID],0))="","",INDEX(tbl_Finance[Latest Invoice Date],MATCH($AE68,tbl_Finance[Row ID],0))),""))</f>
        <v/>
      </c>
      <c r="B68" s="10">
        <f>IF($C68="","",IFERROR(INDEX(tbl_Finance[Invoice Numbers],MATCH($AE68,tbl_Finance[Row ID],0))&amp;"",""))</f>
        <v/>
      </c>
      <c r="C68" s="37" t="n"/>
      <c r="D68" s="10">
        <f>IF($C68="","",IF(COUNTIF(lst_Jobs,$C68&amp;"")&gt;0,"OK","CHECK"))</f>
        <v/>
      </c>
      <c r="E68" s="10">
        <f>IF($C68="","",IFERROR(INDEX(lst_JobName,MATCH($C68&amp;"",lst_Jobs,0)),""))</f>
        <v/>
      </c>
      <c r="F68" s="37" t="n"/>
      <c r="G68" s="37" t="n"/>
      <c r="H68" s="37" t="n"/>
      <c r="I68" s="37" t="n"/>
      <c r="J68" s="37" t="n"/>
      <c r="K68" s="38">
        <f>IF($C68="","",IFERROR(N(INDEX(tbl_Finance[Invoice Count],MATCH($AE68,tbl_Finance[Row ID],0))),""))</f>
        <v/>
      </c>
      <c r="L68" s="11">
        <f>IF($C68="","",IFERROR(N(INDEX(tbl_Finance[Xero Invoiced Ex GST],MATCH($AE68,tbl_Finance[Row ID],0))),""))</f>
        <v/>
      </c>
      <c r="M68" s="10">
        <f>IF($C68="","",IFERROR(INDEX(tbl_Finance[Compare],MATCH($AE68,tbl_Finance[Row ID],0))&amp;"",""))</f>
        <v/>
      </c>
      <c r="N68" s="11">
        <f>IF($C68="","",MAX(0,N(O68)-N(L68)))</f>
        <v/>
      </c>
      <c r="O68" s="39" t="n"/>
      <c r="P68" s="40">
        <f>IF($C68="","",IF((IF(F68="",", Client","")&amp;IF(G68="",", Description","")&amp;IF(H68="",", Cost Centre","")&amp;IF(I68="",", Invoice Type","")&amp;IF(J68="",", Tax Code","")&amp;IF(O68="",", Expected Revenue","")&amp;IF(COUNTIF(tbl_Finance[Job Number],$C68&amp;"")&gt;1,", Job number used twice",""))="","Complete","Fix: "&amp;MID(IF(F68="",", Client","")&amp;IF(G68="",", Description","")&amp;IF(H68="",", Cost Centre","")&amp;IF(I68="",", Invoice Type","")&amp;IF(J68="",", Tax Code","")&amp;IF(O68="",", Expected Revenue","")&amp;IF(COUNTIF(tbl_Finance[Job Number],$C68&amp;"")&gt;1,", Job number used twice",""),3,300)))</f>
        <v/>
      </c>
      <c r="Q68" s="10">
        <f>IF($C68="","",IF(H68="","(no cost centre)",H68&amp;" - GL "&amp;IFERROR(INDEX(lst_CCtoGL,MATCH(H68,lst_CCforGL,0)),"?")))</f>
        <v/>
      </c>
      <c r="R68" s="37" t="n"/>
      <c r="S68" s="10">
        <f>IF(R68="","",HYPERLINK(IF(LEFT(R68,4)="http",R68,set_QwilrBase&amp;R68),"Open quote"))</f>
        <v/>
      </c>
      <c r="T68" s="39" t="n"/>
      <c r="U68" s="39" t="n"/>
      <c r="V68" s="39" t="n"/>
      <c r="W68" s="10">
        <f>IF(C68="","",IF(N(T68)+N(U68)+N(V68)=0,"Not split",IF(ROUND(N(T68)+N(U68)+N(V68),2)=ROUND(MAX(N(L68),N(O68)),2),"OK","MISMATCH")))</f>
        <v/>
      </c>
      <c r="X68" s="39" t="n"/>
      <c r="Y68" s="39" t="n"/>
      <c r="Z68" s="39" t="n"/>
      <c r="AA68" s="11">
        <f>IF(C68="","",N(X68)+N(Y68)+N(Z68))</f>
        <v/>
      </c>
      <c r="AB68" s="11">
        <f>IF(C68="","",MAX(N(L68),N(O68))-N(AA68))</f>
        <v/>
      </c>
      <c r="AC68" s="43">
        <f>IFERROR(IF(MAX(N(L68),N(O68))=0,"",AB68/MAX(N(L68),N(O68))),"")</f>
        <v/>
      </c>
      <c r="AD68" s="37" t="n"/>
      <c r="AE68" s="10" t="inlineStr">
        <is>
          <t>CON-0064</t>
        </is>
      </c>
    </row>
    <row r="69">
      <c r="A69" s="16">
        <f>IF($C69="","",IFERROR(IF(INDEX(tbl_Finance[Latest Invoice Date],MATCH($AE69,tbl_Finance[Row ID],0))="","",INDEX(tbl_Finance[Latest Invoice Date],MATCH($AE69,tbl_Finance[Row ID],0))),""))</f>
        <v/>
      </c>
      <c r="B69" s="10">
        <f>IF($C69="","",IFERROR(INDEX(tbl_Finance[Invoice Numbers],MATCH($AE69,tbl_Finance[Row ID],0))&amp;"",""))</f>
        <v/>
      </c>
      <c r="C69" s="37" t="n"/>
      <c r="D69" s="10">
        <f>IF($C69="","",IF(COUNTIF(lst_Jobs,$C69&amp;"")&gt;0,"OK","CHECK"))</f>
        <v/>
      </c>
      <c r="E69" s="10">
        <f>IF($C69="","",IFERROR(INDEX(lst_JobName,MATCH($C69&amp;"",lst_Jobs,0)),""))</f>
        <v/>
      </c>
      <c r="F69" s="37" t="n"/>
      <c r="G69" s="37" t="n"/>
      <c r="H69" s="37" t="n"/>
      <c r="I69" s="37" t="n"/>
      <c r="J69" s="37" t="n"/>
      <c r="K69" s="38">
        <f>IF($C69="","",IFERROR(N(INDEX(tbl_Finance[Invoice Count],MATCH($AE69,tbl_Finance[Row ID],0))),""))</f>
        <v/>
      </c>
      <c r="L69" s="11">
        <f>IF($C69="","",IFERROR(N(INDEX(tbl_Finance[Xero Invoiced Ex GST],MATCH($AE69,tbl_Finance[Row ID],0))),""))</f>
        <v/>
      </c>
      <c r="M69" s="10">
        <f>IF($C69="","",IFERROR(INDEX(tbl_Finance[Compare],MATCH($AE69,tbl_Finance[Row ID],0))&amp;"",""))</f>
        <v/>
      </c>
      <c r="N69" s="11">
        <f>IF($C69="","",MAX(0,N(O69)-N(L69)))</f>
        <v/>
      </c>
      <c r="O69" s="39" t="n"/>
      <c r="P69" s="40">
        <f>IF($C69="","",IF((IF(F69="",", Client","")&amp;IF(G69="",", Description","")&amp;IF(H69="",", Cost Centre","")&amp;IF(I69="",", Invoice Type","")&amp;IF(J69="",", Tax Code","")&amp;IF(O69="",", Expected Revenue","")&amp;IF(COUNTIF(tbl_Finance[Job Number],$C69&amp;"")&gt;1,", Job number used twice",""))="","Complete","Fix: "&amp;MID(IF(F69="",", Client","")&amp;IF(G69="",", Description","")&amp;IF(H69="",", Cost Centre","")&amp;IF(I69="",", Invoice Type","")&amp;IF(J69="",", Tax Code","")&amp;IF(O69="",", Expected Revenue","")&amp;IF(COUNTIF(tbl_Finance[Job Number],$C69&amp;"")&gt;1,", Job number used twice",""),3,300)))</f>
        <v/>
      </c>
      <c r="Q69" s="10">
        <f>IF($C69="","",IF(H69="","(no cost centre)",H69&amp;" - GL "&amp;IFERROR(INDEX(lst_CCtoGL,MATCH(H69,lst_CCforGL,0)),"?")))</f>
        <v/>
      </c>
      <c r="R69" s="37" t="n"/>
      <c r="S69" s="10">
        <f>IF(R69="","",HYPERLINK(IF(LEFT(R69,4)="http",R69,set_QwilrBase&amp;R69),"Open quote"))</f>
        <v/>
      </c>
      <c r="T69" s="39" t="n"/>
      <c r="U69" s="39" t="n"/>
      <c r="V69" s="39" t="n"/>
      <c r="W69" s="10">
        <f>IF(C69="","",IF(N(T69)+N(U69)+N(V69)=0,"Not split",IF(ROUND(N(T69)+N(U69)+N(V69),2)=ROUND(MAX(N(L69),N(O69)),2),"OK","MISMATCH")))</f>
        <v/>
      </c>
      <c r="X69" s="39" t="n"/>
      <c r="Y69" s="39" t="n"/>
      <c r="Z69" s="39" t="n"/>
      <c r="AA69" s="11">
        <f>IF(C69="","",N(X69)+N(Y69)+N(Z69))</f>
        <v/>
      </c>
      <c r="AB69" s="11">
        <f>IF(C69="","",MAX(N(L69),N(O69))-N(AA69))</f>
        <v/>
      </c>
      <c r="AC69" s="43">
        <f>IFERROR(IF(MAX(N(L69),N(O69))=0,"",AB69/MAX(N(L69),N(O69))),"")</f>
        <v/>
      </c>
      <c r="AD69" s="37" t="n"/>
      <c r="AE69" s="10" t="inlineStr">
        <is>
          <t>CON-0065</t>
        </is>
      </c>
    </row>
    <row r="70">
      <c r="A70" s="16">
        <f>IF($C70="","",IFERROR(IF(INDEX(tbl_Finance[Latest Invoice Date],MATCH($AE70,tbl_Finance[Row ID],0))="","",INDEX(tbl_Finance[Latest Invoice Date],MATCH($AE70,tbl_Finance[Row ID],0))),""))</f>
        <v/>
      </c>
      <c r="B70" s="10">
        <f>IF($C70="","",IFERROR(INDEX(tbl_Finance[Invoice Numbers],MATCH($AE70,tbl_Finance[Row ID],0))&amp;"",""))</f>
        <v/>
      </c>
      <c r="C70" s="37" t="n"/>
      <c r="D70" s="10">
        <f>IF($C70="","",IF(COUNTIF(lst_Jobs,$C70&amp;"")&gt;0,"OK","CHECK"))</f>
        <v/>
      </c>
      <c r="E70" s="10">
        <f>IF($C70="","",IFERROR(INDEX(lst_JobName,MATCH($C70&amp;"",lst_Jobs,0)),""))</f>
        <v/>
      </c>
      <c r="F70" s="37" t="n"/>
      <c r="G70" s="37" t="n"/>
      <c r="H70" s="37" t="n"/>
      <c r="I70" s="37" t="n"/>
      <c r="J70" s="37" t="n"/>
      <c r="K70" s="38">
        <f>IF($C70="","",IFERROR(N(INDEX(tbl_Finance[Invoice Count],MATCH($AE70,tbl_Finance[Row ID],0))),""))</f>
        <v/>
      </c>
      <c r="L70" s="11">
        <f>IF($C70="","",IFERROR(N(INDEX(tbl_Finance[Xero Invoiced Ex GST],MATCH($AE70,tbl_Finance[Row ID],0))),""))</f>
        <v/>
      </c>
      <c r="M70" s="10">
        <f>IF($C70="","",IFERROR(INDEX(tbl_Finance[Compare],MATCH($AE70,tbl_Finance[Row ID],0))&amp;"",""))</f>
        <v/>
      </c>
      <c r="N70" s="11">
        <f>IF($C70="","",MAX(0,N(O70)-N(L70)))</f>
        <v/>
      </c>
      <c r="O70" s="39" t="n"/>
      <c r="P70" s="40">
        <f>IF($C70="","",IF((IF(F70="",", Client","")&amp;IF(G70="",", Description","")&amp;IF(H70="",", Cost Centre","")&amp;IF(I70="",", Invoice Type","")&amp;IF(J70="",", Tax Code","")&amp;IF(O70="",", Expected Revenue","")&amp;IF(COUNTIF(tbl_Finance[Job Number],$C70&amp;"")&gt;1,", Job number used twice",""))="","Complete","Fix: "&amp;MID(IF(F70="",", Client","")&amp;IF(G70="",", Description","")&amp;IF(H70="",", Cost Centre","")&amp;IF(I70="",", Invoice Type","")&amp;IF(J70="",", Tax Code","")&amp;IF(O70="",", Expected Revenue","")&amp;IF(COUNTIF(tbl_Finance[Job Number],$C70&amp;"")&gt;1,", Job number used twice",""),3,300)))</f>
        <v/>
      </c>
      <c r="Q70" s="10">
        <f>IF($C70="","",IF(H70="","(no cost centre)",H70&amp;" - GL "&amp;IFERROR(INDEX(lst_CCtoGL,MATCH(H70,lst_CCforGL,0)),"?")))</f>
        <v/>
      </c>
      <c r="R70" s="37" t="n"/>
      <c r="S70" s="10">
        <f>IF(R70="","",HYPERLINK(IF(LEFT(R70,4)="http",R70,set_QwilrBase&amp;R70),"Open quote"))</f>
        <v/>
      </c>
      <c r="T70" s="39" t="n"/>
      <c r="U70" s="39" t="n"/>
      <c r="V70" s="39" t="n"/>
      <c r="W70" s="10">
        <f>IF(C70="","",IF(N(T70)+N(U70)+N(V70)=0,"Not split",IF(ROUND(N(T70)+N(U70)+N(V70),2)=ROUND(MAX(N(L70),N(O70)),2),"OK","MISMATCH")))</f>
        <v/>
      </c>
      <c r="X70" s="39" t="n"/>
      <c r="Y70" s="39" t="n"/>
      <c r="Z70" s="39" t="n"/>
      <c r="AA70" s="11">
        <f>IF(C70="","",N(X70)+N(Y70)+N(Z70))</f>
        <v/>
      </c>
      <c r="AB70" s="11">
        <f>IF(C70="","",MAX(N(L70),N(O70))-N(AA70))</f>
        <v/>
      </c>
      <c r="AC70" s="43">
        <f>IFERROR(IF(MAX(N(L70),N(O70))=0,"",AB70/MAX(N(L70),N(O70))),"")</f>
        <v/>
      </c>
      <c r="AD70" s="37" t="n"/>
      <c r="AE70" s="10" t="inlineStr">
        <is>
          <t>CON-0066</t>
        </is>
      </c>
    </row>
    <row r="71">
      <c r="A71" s="16">
        <f>IF($C71="","",IFERROR(IF(INDEX(tbl_Finance[Latest Invoice Date],MATCH($AE71,tbl_Finance[Row ID],0))="","",INDEX(tbl_Finance[Latest Invoice Date],MATCH($AE71,tbl_Finance[Row ID],0))),""))</f>
        <v/>
      </c>
      <c r="B71" s="10">
        <f>IF($C71="","",IFERROR(INDEX(tbl_Finance[Invoice Numbers],MATCH($AE71,tbl_Finance[Row ID],0))&amp;"",""))</f>
        <v/>
      </c>
      <c r="C71" s="37" t="n"/>
      <c r="D71" s="10">
        <f>IF($C71="","",IF(COUNTIF(lst_Jobs,$C71&amp;"")&gt;0,"OK","CHECK"))</f>
        <v/>
      </c>
      <c r="E71" s="10">
        <f>IF($C71="","",IFERROR(INDEX(lst_JobName,MATCH($C71&amp;"",lst_Jobs,0)),""))</f>
        <v/>
      </c>
      <c r="F71" s="37" t="n"/>
      <c r="G71" s="37" t="n"/>
      <c r="H71" s="37" t="n"/>
      <c r="I71" s="37" t="n"/>
      <c r="J71" s="37" t="n"/>
      <c r="K71" s="38">
        <f>IF($C71="","",IFERROR(N(INDEX(tbl_Finance[Invoice Count],MATCH($AE71,tbl_Finance[Row ID],0))),""))</f>
        <v/>
      </c>
      <c r="L71" s="11">
        <f>IF($C71="","",IFERROR(N(INDEX(tbl_Finance[Xero Invoiced Ex GST],MATCH($AE71,tbl_Finance[Row ID],0))),""))</f>
        <v/>
      </c>
      <c r="M71" s="10">
        <f>IF($C71="","",IFERROR(INDEX(tbl_Finance[Compare],MATCH($AE71,tbl_Finance[Row ID],0))&amp;"",""))</f>
        <v/>
      </c>
      <c r="N71" s="11">
        <f>IF($C71="","",MAX(0,N(O71)-N(L71)))</f>
        <v/>
      </c>
      <c r="O71" s="39" t="n"/>
      <c r="P71" s="40">
        <f>IF($C71="","",IF((IF(F71="",", Client","")&amp;IF(G71="",", Description","")&amp;IF(H71="",", Cost Centre","")&amp;IF(I71="",", Invoice Type","")&amp;IF(J71="",", Tax Code","")&amp;IF(O71="",", Expected Revenue","")&amp;IF(COUNTIF(tbl_Finance[Job Number],$C71&amp;"")&gt;1,", Job number used twice",""))="","Complete","Fix: "&amp;MID(IF(F71="",", Client","")&amp;IF(G71="",", Description","")&amp;IF(H71="",", Cost Centre","")&amp;IF(I71="",", Invoice Type","")&amp;IF(J71="",", Tax Code","")&amp;IF(O71="",", Expected Revenue","")&amp;IF(COUNTIF(tbl_Finance[Job Number],$C71&amp;"")&gt;1,", Job number used twice",""),3,300)))</f>
        <v/>
      </c>
      <c r="Q71" s="10">
        <f>IF($C71="","",IF(H71="","(no cost centre)",H71&amp;" - GL "&amp;IFERROR(INDEX(lst_CCtoGL,MATCH(H71,lst_CCforGL,0)),"?")))</f>
        <v/>
      </c>
      <c r="R71" s="37" t="n"/>
      <c r="S71" s="10">
        <f>IF(R71="","",HYPERLINK(IF(LEFT(R71,4)="http",R71,set_QwilrBase&amp;R71),"Open quote"))</f>
        <v/>
      </c>
      <c r="T71" s="39" t="n"/>
      <c r="U71" s="39" t="n"/>
      <c r="V71" s="39" t="n"/>
      <c r="W71" s="10">
        <f>IF(C71="","",IF(N(T71)+N(U71)+N(V71)=0,"Not split",IF(ROUND(N(T71)+N(U71)+N(V71),2)=ROUND(MAX(N(L71),N(O71)),2),"OK","MISMATCH")))</f>
        <v/>
      </c>
      <c r="X71" s="39" t="n"/>
      <c r="Y71" s="39" t="n"/>
      <c r="Z71" s="39" t="n"/>
      <c r="AA71" s="11">
        <f>IF(C71="","",N(X71)+N(Y71)+N(Z71))</f>
        <v/>
      </c>
      <c r="AB71" s="11">
        <f>IF(C71="","",MAX(N(L71),N(O71))-N(AA71))</f>
        <v/>
      </c>
      <c r="AC71" s="43">
        <f>IFERROR(IF(MAX(N(L71),N(O71))=0,"",AB71/MAX(N(L71),N(O71))),"")</f>
        <v/>
      </c>
      <c r="AD71" s="37" t="n"/>
      <c r="AE71" s="10" t="inlineStr">
        <is>
          <t>CON-0067</t>
        </is>
      </c>
    </row>
    <row r="72">
      <c r="A72" s="16">
        <f>IF($C72="","",IFERROR(IF(INDEX(tbl_Finance[Latest Invoice Date],MATCH($AE72,tbl_Finance[Row ID],0))="","",INDEX(tbl_Finance[Latest Invoice Date],MATCH($AE72,tbl_Finance[Row ID],0))),""))</f>
        <v/>
      </c>
      <c r="B72" s="10">
        <f>IF($C72="","",IFERROR(INDEX(tbl_Finance[Invoice Numbers],MATCH($AE72,tbl_Finance[Row ID],0))&amp;"",""))</f>
        <v/>
      </c>
      <c r="C72" s="37" t="n"/>
      <c r="D72" s="10">
        <f>IF($C72="","",IF(COUNTIF(lst_Jobs,$C72&amp;"")&gt;0,"OK","CHECK"))</f>
        <v/>
      </c>
      <c r="E72" s="10">
        <f>IF($C72="","",IFERROR(INDEX(lst_JobName,MATCH($C72&amp;"",lst_Jobs,0)),""))</f>
        <v/>
      </c>
      <c r="F72" s="37" t="n"/>
      <c r="G72" s="37" t="n"/>
      <c r="H72" s="37" t="n"/>
      <c r="I72" s="37" t="n"/>
      <c r="J72" s="37" t="n"/>
      <c r="K72" s="38">
        <f>IF($C72="","",IFERROR(N(INDEX(tbl_Finance[Invoice Count],MATCH($AE72,tbl_Finance[Row ID],0))),""))</f>
        <v/>
      </c>
      <c r="L72" s="11">
        <f>IF($C72="","",IFERROR(N(INDEX(tbl_Finance[Xero Invoiced Ex GST],MATCH($AE72,tbl_Finance[Row ID],0))),""))</f>
        <v/>
      </c>
      <c r="M72" s="10">
        <f>IF($C72="","",IFERROR(INDEX(tbl_Finance[Compare],MATCH($AE72,tbl_Finance[Row ID],0))&amp;"",""))</f>
        <v/>
      </c>
      <c r="N72" s="11">
        <f>IF($C72="","",MAX(0,N(O72)-N(L72)))</f>
        <v/>
      </c>
      <c r="O72" s="39" t="n"/>
      <c r="P72" s="40">
        <f>IF($C72="","",IF((IF(F72="",", Client","")&amp;IF(G72="",", Description","")&amp;IF(H72="",", Cost Centre","")&amp;IF(I72="",", Invoice Type","")&amp;IF(J72="",", Tax Code","")&amp;IF(O72="",", Expected Revenue","")&amp;IF(COUNTIF(tbl_Finance[Job Number],$C72&amp;"")&gt;1,", Job number used twice",""))="","Complete","Fix: "&amp;MID(IF(F72="",", Client","")&amp;IF(G72="",", Description","")&amp;IF(H72="",", Cost Centre","")&amp;IF(I72="",", Invoice Type","")&amp;IF(J72="",", Tax Code","")&amp;IF(O72="",", Expected Revenue","")&amp;IF(COUNTIF(tbl_Finance[Job Number],$C72&amp;"")&gt;1,", Job number used twice",""),3,300)))</f>
        <v/>
      </c>
      <c r="Q72" s="10">
        <f>IF($C72="","",IF(H72="","(no cost centre)",H72&amp;" - GL "&amp;IFERROR(INDEX(lst_CCtoGL,MATCH(H72,lst_CCforGL,0)),"?")))</f>
        <v/>
      </c>
      <c r="R72" s="37" t="n"/>
      <c r="S72" s="10">
        <f>IF(R72="","",HYPERLINK(IF(LEFT(R72,4)="http",R72,set_QwilrBase&amp;R72),"Open quote"))</f>
        <v/>
      </c>
      <c r="T72" s="39" t="n"/>
      <c r="U72" s="39" t="n"/>
      <c r="V72" s="39" t="n"/>
      <c r="W72" s="10">
        <f>IF(C72="","",IF(N(T72)+N(U72)+N(V72)=0,"Not split",IF(ROUND(N(T72)+N(U72)+N(V72),2)=ROUND(MAX(N(L72),N(O72)),2),"OK","MISMATCH")))</f>
        <v/>
      </c>
      <c r="X72" s="39" t="n"/>
      <c r="Y72" s="39" t="n"/>
      <c r="Z72" s="39" t="n"/>
      <c r="AA72" s="11">
        <f>IF(C72="","",N(X72)+N(Y72)+N(Z72))</f>
        <v/>
      </c>
      <c r="AB72" s="11">
        <f>IF(C72="","",MAX(N(L72),N(O72))-N(AA72))</f>
        <v/>
      </c>
      <c r="AC72" s="43">
        <f>IFERROR(IF(MAX(N(L72),N(O72))=0,"",AB72/MAX(N(L72),N(O72))),"")</f>
        <v/>
      </c>
      <c r="AD72" s="37" t="n"/>
      <c r="AE72" s="10" t="inlineStr">
        <is>
          <t>CON-0068</t>
        </is>
      </c>
    </row>
    <row r="73">
      <c r="A73" s="16">
        <f>IF($C73="","",IFERROR(IF(INDEX(tbl_Finance[Latest Invoice Date],MATCH($AE73,tbl_Finance[Row ID],0))="","",INDEX(tbl_Finance[Latest Invoice Date],MATCH($AE73,tbl_Finance[Row ID],0))),""))</f>
        <v/>
      </c>
      <c r="B73" s="10">
        <f>IF($C73="","",IFERROR(INDEX(tbl_Finance[Invoice Numbers],MATCH($AE73,tbl_Finance[Row ID],0))&amp;"",""))</f>
        <v/>
      </c>
      <c r="C73" s="37" t="n"/>
      <c r="D73" s="10">
        <f>IF($C73="","",IF(COUNTIF(lst_Jobs,$C73&amp;"")&gt;0,"OK","CHECK"))</f>
        <v/>
      </c>
      <c r="E73" s="10">
        <f>IF($C73="","",IFERROR(INDEX(lst_JobName,MATCH($C73&amp;"",lst_Jobs,0)),""))</f>
        <v/>
      </c>
      <c r="F73" s="37" t="n"/>
      <c r="G73" s="37" t="n"/>
      <c r="H73" s="37" t="n"/>
      <c r="I73" s="37" t="n"/>
      <c r="J73" s="37" t="n"/>
      <c r="K73" s="38">
        <f>IF($C73="","",IFERROR(N(INDEX(tbl_Finance[Invoice Count],MATCH($AE73,tbl_Finance[Row ID],0))),""))</f>
        <v/>
      </c>
      <c r="L73" s="11">
        <f>IF($C73="","",IFERROR(N(INDEX(tbl_Finance[Xero Invoiced Ex GST],MATCH($AE73,tbl_Finance[Row ID],0))),""))</f>
        <v/>
      </c>
      <c r="M73" s="10">
        <f>IF($C73="","",IFERROR(INDEX(tbl_Finance[Compare],MATCH($AE73,tbl_Finance[Row ID],0))&amp;"",""))</f>
        <v/>
      </c>
      <c r="N73" s="11">
        <f>IF($C73="","",MAX(0,N(O73)-N(L73)))</f>
        <v/>
      </c>
      <c r="O73" s="39" t="n"/>
      <c r="P73" s="40">
        <f>IF($C73="","",IF((IF(F73="",", Client","")&amp;IF(G73="",", Description","")&amp;IF(H73="",", Cost Centre","")&amp;IF(I73="",", Invoice Type","")&amp;IF(J73="",", Tax Code","")&amp;IF(O73="",", Expected Revenue","")&amp;IF(COUNTIF(tbl_Finance[Job Number],$C73&amp;"")&gt;1,", Job number used twice",""))="","Complete","Fix: "&amp;MID(IF(F73="",", Client","")&amp;IF(G73="",", Description","")&amp;IF(H73="",", Cost Centre","")&amp;IF(I73="",", Invoice Type","")&amp;IF(J73="",", Tax Code","")&amp;IF(O73="",", Expected Revenue","")&amp;IF(COUNTIF(tbl_Finance[Job Number],$C73&amp;"")&gt;1,", Job number used twice",""),3,300)))</f>
        <v/>
      </c>
      <c r="Q73" s="10">
        <f>IF($C73="","",IF(H73="","(no cost centre)",H73&amp;" - GL "&amp;IFERROR(INDEX(lst_CCtoGL,MATCH(H73,lst_CCforGL,0)),"?")))</f>
        <v/>
      </c>
      <c r="R73" s="37" t="n"/>
      <c r="S73" s="10">
        <f>IF(R73="","",HYPERLINK(IF(LEFT(R73,4)="http",R73,set_QwilrBase&amp;R73),"Open quote"))</f>
        <v/>
      </c>
      <c r="T73" s="39" t="n"/>
      <c r="U73" s="39" t="n"/>
      <c r="V73" s="39" t="n"/>
      <c r="W73" s="10">
        <f>IF(C73="","",IF(N(T73)+N(U73)+N(V73)=0,"Not split",IF(ROUND(N(T73)+N(U73)+N(V73),2)=ROUND(MAX(N(L73),N(O73)),2),"OK","MISMATCH")))</f>
        <v/>
      </c>
      <c r="X73" s="39" t="n"/>
      <c r="Y73" s="39" t="n"/>
      <c r="Z73" s="39" t="n"/>
      <c r="AA73" s="11">
        <f>IF(C73="","",N(X73)+N(Y73)+N(Z73))</f>
        <v/>
      </c>
      <c r="AB73" s="11">
        <f>IF(C73="","",MAX(N(L73),N(O73))-N(AA73))</f>
        <v/>
      </c>
      <c r="AC73" s="43">
        <f>IFERROR(IF(MAX(N(L73),N(O73))=0,"",AB73/MAX(N(L73),N(O73))),"")</f>
        <v/>
      </c>
      <c r="AD73" s="37" t="n"/>
      <c r="AE73" s="10" t="inlineStr">
        <is>
          <t>CON-0069</t>
        </is>
      </c>
    </row>
    <row r="74">
      <c r="A74" s="16">
        <f>IF($C74="","",IFERROR(IF(INDEX(tbl_Finance[Latest Invoice Date],MATCH($AE74,tbl_Finance[Row ID],0))="","",INDEX(tbl_Finance[Latest Invoice Date],MATCH($AE74,tbl_Finance[Row ID],0))),""))</f>
        <v/>
      </c>
      <c r="B74" s="10">
        <f>IF($C74="","",IFERROR(INDEX(tbl_Finance[Invoice Numbers],MATCH($AE74,tbl_Finance[Row ID],0))&amp;"",""))</f>
        <v/>
      </c>
      <c r="C74" s="37" t="n"/>
      <c r="D74" s="10">
        <f>IF($C74="","",IF(COUNTIF(lst_Jobs,$C74&amp;"")&gt;0,"OK","CHECK"))</f>
        <v/>
      </c>
      <c r="E74" s="10">
        <f>IF($C74="","",IFERROR(INDEX(lst_JobName,MATCH($C74&amp;"",lst_Jobs,0)),""))</f>
        <v/>
      </c>
      <c r="F74" s="37" t="n"/>
      <c r="G74" s="37" t="n"/>
      <c r="H74" s="37" t="n"/>
      <c r="I74" s="37" t="n"/>
      <c r="J74" s="37" t="n"/>
      <c r="K74" s="38">
        <f>IF($C74="","",IFERROR(N(INDEX(tbl_Finance[Invoice Count],MATCH($AE74,tbl_Finance[Row ID],0))),""))</f>
        <v/>
      </c>
      <c r="L74" s="11">
        <f>IF($C74="","",IFERROR(N(INDEX(tbl_Finance[Xero Invoiced Ex GST],MATCH($AE74,tbl_Finance[Row ID],0))),""))</f>
        <v/>
      </c>
      <c r="M74" s="10">
        <f>IF($C74="","",IFERROR(INDEX(tbl_Finance[Compare],MATCH($AE74,tbl_Finance[Row ID],0))&amp;"",""))</f>
        <v/>
      </c>
      <c r="N74" s="11">
        <f>IF($C74="","",MAX(0,N(O74)-N(L74)))</f>
        <v/>
      </c>
      <c r="O74" s="39" t="n"/>
      <c r="P74" s="40">
        <f>IF($C74="","",IF((IF(F74="",", Client","")&amp;IF(G74="",", Description","")&amp;IF(H74="",", Cost Centre","")&amp;IF(I74="",", Invoice Type","")&amp;IF(J74="",", Tax Code","")&amp;IF(O74="",", Expected Revenue","")&amp;IF(COUNTIF(tbl_Finance[Job Number],$C74&amp;"")&gt;1,", Job number used twice",""))="","Complete","Fix: "&amp;MID(IF(F74="",", Client","")&amp;IF(G74="",", Description","")&amp;IF(H74="",", Cost Centre","")&amp;IF(I74="",", Invoice Type","")&amp;IF(J74="",", Tax Code","")&amp;IF(O74="",", Expected Revenue","")&amp;IF(COUNTIF(tbl_Finance[Job Number],$C74&amp;"")&gt;1,", Job number used twice",""),3,300)))</f>
        <v/>
      </c>
      <c r="Q74" s="10">
        <f>IF($C74="","",IF(H74="","(no cost centre)",H74&amp;" - GL "&amp;IFERROR(INDEX(lst_CCtoGL,MATCH(H74,lst_CCforGL,0)),"?")))</f>
        <v/>
      </c>
      <c r="R74" s="37" t="n"/>
      <c r="S74" s="10">
        <f>IF(R74="","",HYPERLINK(IF(LEFT(R74,4)="http",R74,set_QwilrBase&amp;R74),"Open quote"))</f>
        <v/>
      </c>
      <c r="T74" s="39" t="n"/>
      <c r="U74" s="39" t="n"/>
      <c r="V74" s="39" t="n"/>
      <c r="W74" s="10">
        <f>IF(C74="","",IF(N(T74)+N(U74)+N(V74)=0,"Not split",IF(ROUND(N(T74)+N(U74)+N(V74),2)=ROUND(MAX(N(L74),N(O74)),2),"OK","MISMATCH")))</f>
        <v/>
      </c>
      <c r="X74" s="39" t="n"/>
      <c r="Y74" s="39" t="n"/>
      <c r="Z74" s="39" t="n"/>
      <c r="AA74" s="11">
        <f>IF(C74="","",N(X74)+N(Y74)+N(Z74))</f>
        <v/>
      </c>
      <c r="AB74" s="11">
        <f>IF(C74="","",MAX(N(L74),N(O74))-N(AA74))</f>
        <v/>
      </c>
      <c r="AC74" s="43">
        <f>IFERROR(IF(MAX(N(L74),N(O74))=0,"",AB74/MAX(N(L74),N(O74))),"")</f>
        <v/>
      </c>
      <c r="AD74" s="37" t="n"/>
      <c r="AE74" s="10" t="inlineStr">
        <is>
          <t>CON-0070</t>
        </is>
      </c>
    </row>
    <row r="75">
      <c r="A75" s="16">
        <f>IF($C75="","",IFERROR(IF(INDEX(tbl_Finance[Latest Invoice Date],MATCH($AE75,tbl_Finance[Row ID],0))="","",INDEX(tbl_Finance[Latest Invoice Date],MATCH($AE75,tbl_Finance[Row ID],0))),""))</f>
        <v/>
      </c>
      <c r="B75" s="10">
        <f>IF($C75="","",IFERROR(INDEX(tbl_Finance[Invoice Numbers],MATCH($AE75,tbl_Finance[Row ID],0))&amp;"",""))</f>
        <v/>
      </c>
      <c r="C75" s="37" t="n"/>
      <c r="D75" s="10">
        <f>IF($C75="","",IF(COUNTIF(lst_Jobs,$C75&amp;"")&gt;0,"OK","CHECK"))</f>
        <v/>
      </c>
      <c r="E75" s="10">
        <f>IF($C75="","",IFERROR(INDEX(lst_JobName,MATCH($C75&amp;"",lst_Jobs,0)),""))</f>
        <v/>
      </c>
      <c r="F75" s="37" t="n"/>
      <c r="G75" s="37" t="n"/>
      <c r="H75" s="37" t="n"/>
      <c r="I75" s="37" t="n"/>
      <c r="J75" s="37" t="n"/>
      <c r="K75" s="38">
        <f>IF($C75="","",IFERROR(N(INDEX(tbl_Finance[Invoice Count],MATCH($AE75,tbl_Finance[Row ID],0))),""))</f>
        <v/>
      </c>
      <c r="L75" s="11">
        <f>IF($C75="","",IFERROR(N(INDEX(tbl_Finance[Xero Invoiced Ex GST],MATCH($AE75,tbl_Finance[Row ID],0))),""))</f>
        <v/>
      </c>
      <c r="M75" s="10">
        <f>IF($C75="","",IFERROR(INDEX(tbl_Finance[Compare],MATCH($AE75,tbl_Finance[Row ID],0))&amp;"",""))</f>
        <v/>
      </c>
      <c r="N75" s="11">
        <f>IF($C75="","",MAX(0,N(O75)-N(L75)))</f>
        <v/>
      </c>
      <c r="O75" s="39" t="n"/>
      <c r="P75" s="40">
        <f>IF($C75="","",IF((IF(F75="",", Client","")&amp;IF(G75="",", Description","")&amp;IF(H75="",", Cost Centre","")&amp;IF(I75="",", Invoice Type","")&amp;IF(J75="",", Tax Code","")&amp;IF(O75="",", Expected Revenue","")&amp;IF(COUNTIF(tbl_Finance[Job Number],$C75&amp;"")&gt;1,", Job number used twice",""))="","Complete","Fix: "&amp;MID(IF(F75="",", Client","")&amp;IF(G75="",", Description","")&amp;IF(H75="",", Cost Centre","")&amp;IF(I75="",", Invoice Type","")&amp;IF(J75="",", Tax Code","")&amp;IF(O75="",", Expected Revenue","")&amp;IF(COUNTIF(tbl_Finance[Job Number],$C75&amp;"")&gt;1,", Job number used twice",""),3,300)))</f>
        <v/>
      </c>
      <c r="Q75" s="10">
        <f>IF($C75="","",IF(H75="","(no cost centre)",H75&amp;" - GL "&amp;IFERROR(INDEX(lst_CCtoGL,MATCH(H75,lst_CCforGL,0)),"?")))</f>
        <v/>
      </c>
      <c r="R75" s="37" t="n"/>
      <c r="S75" s="10">
        <f>IF(R75="","",HYPERLINK(IF(LEFT(R75,4)="http",R75,set_QwilrBase&amp;R75),"Open quote"))</f>
        <v/>
      </c>
      <c r="T75" s="39" t="n"/>
      <c r="U75" s="39" t="n"/>
      <c r="V75" s="39" t="n"/>
      <c r="W75" s="10">
        <f>IF(C75="","",IF(N(T75)+N(U75)+N(V75)=0,"Not split",IF(ROUND(N(T75)+N(U75)+N(V75),2)=ROUND(MAX(N(L75),N(O75)),2),"OK","MISMATCH")))</f>
        <v/>
      </c>
      <c r="X75" s="39" t="n"/>
      <c r="Y75" s="39" t="n"/>
      <c r="Z75" s="39" t="n"/>
      <c r="AA75" s="11">
        <f>IF(C75="","",N(X75)+N(Y75)+N(Z75))</f>
        <v/>
      </c>
      <c r="AB75" s="11">
        <f>IF(C75="","",MAX(N(L75),N(O75))-N(AA75))</f>
        <v/>
      </c>
      <c r="AC75" s="43">
        <f>IFERROR(IF(MAX(N(L75),N(O75))=0,"",AB75/MAX(N(L75),N(O75))),"")</f>
        <v/>
      </c>
      <c r="AD75" s="37" t="n"/>
      <c r="AE75" s="10" t="inlineStr">
        <is>
          <t>CON-0071</t>
        </is>
      </c>
    </row>
    <row r="76">
      <c r="A76" s="16">
        <f>IF($C76="","",IFERROR(IF(INDEX(tbl_Finance[Latest Invoice Date],MATCH($AE76,tbl_Finance[Row ID],0))="","",INDEX(tbl_Finance[Latest Invoice Date],MATCH($AE76,tbl_Finance[Row ID],0))),""))</f>
        <v/>
      </c>
      <c r="B76" s="10">
        <f>IF($C76="","",IFERROR(INDEX(tbl_Finance[Invoice Numbers],MATCH($AE76,tbl_Finance[Row ID],0))&amp;"",""))</f>
        <v/>
      </c>
      <c r="C76" s="37" t="n"/>
      <c r="D76" s="10">
        <f>IF($C76="","",IF(COUNTIF(lst_Jobs,$C76&amp;"")&gt;0,"OK","CHECK"))</f>
        <v/>
      </c>
      <c r="E76" s="10">
        <f>IF($C76="","",IFERROR(INDEX(lst_JobName,MATCH($C76&amp;"",lst_Jobs,0)),""))</f>
        <v/>
      </c>
      <c r="F76" s="37" t="n"/>
      <c r="G76" s="37" t="n"/>
      <c r="H76" s="37" t="n"/>
      <c r="I76" s="37" t="n"/>
      <c r="J76" s="37" t="n"/>
      <c r="K76" s="38">
        <f>IF($C76="","",IFERROR(N(INDEX(tbl_Finance[Invoice Count],MATCH($AE76,tbl_Finance[Row ID],0))),""))</f>
        <v/>
      </c>
      <c r="L76" s="11">
        <f>IF($C76="","",IFERROR(N(INDEX(tbl_Finance[Xero Invoiced Ex GST],MATCH($AE76,tbl_Finance[Row ID],0))),""))</f>
        <v/>
      </c>
      <c r="M76" s="10">
        <f>IF($C76="","",IFERROR(INDEX(tbl_Finance[Compare],MATCH($AE76,tbl_Finance[Row ID],0))&amp;"",""))</f>
        <v/>
      </c>
      <c r="N76" s="11">
        <f>IF($C76="","",MAX(0,N(O76)-N(L76)))</f>
        <v/>
      </c>
      <c r="O76" s="39" t="n"/>
      <c r="P76" s="40">
        <f>IF($C76="","",IF((IF(F76="",", Client","")&amp;IF(G76="",", Description","")&amp;IF(H76="",", Cost Centre","")&amp;IF(I76="",", Invoice Type","")&amp;IF(J76="",", Tax Code","")&amp;IF(O76="",", Expected Revenue","")&amp;IF(COUNTIF(tbl_Finance[Job Number],$C76&amp;"")&gt;1,", Job number used twice",""))="","Complete","Fix: "&amp;MID(IF(F76="",", Client","")&amp;IF(G76="",", Description","")&amp;IF(H76="",", Cost Centre","")&amp;IF(I76="",", Invoice Type","")&amp;IF(J76="",", Tax Code","")&amp;IF(O76="",", Expected Revenue","")&amp;IF(COUNTIF(tbl_Finance[Job Number],$C76&amp;"")&gt;1,", Job number used twice",""),3,300)))</f>
        <v/>
      </c>
      <c r="Q76" s="10">
        <f>IF($C76="","",IF(H76="","(no cost centre)",H76&amp;" - GL "&amp;IFERROR(INDEX(lst_CCtoGL,MATCH(H76,lst_CCforGL,0)),"?")))</f>
        <v/>
      </c>
      <c r="R76" s="37" t="n"/>
      <c r="S76" s="10">
        <f>IF(R76="","",HYPERLINK(IF(LEFT(R76,4)="http",R76,set_QwilrBase&amp;R76),"Open quote"))</f>
        <v/>
      </c>
      <c r="T76" s="39" t="n"/>
      <c r="U76" s="39" t="n"/>
      <c r="V76" s="39" t="n"/>
      <c r="W76" s="10">
        <f>IF(C76="","",IF(N(T76)+N(U76)+N(V76)=0,"Not split",IF(ROUND(N(T76)+N(U76)+N(V76),2)=ROUND(MAX(N(L76),N(O76)),2),"OK","MISMATCH")))</f>
        <v/>
      </c>
      <c r="X76" s="39" t="n"/>
      <c r="Y76" s="39" t="n"/>
      <c r="Z76" s="39" t="n"/>
      <c r="AA76" s="11">
        <f>IF(C76="","",N(X76)+N(Y76)+N(Z76))</f>
        <v/>
      </c>
      <c r="AB76" s="11">
        <f>IF(C76="","",MAX(N(L76),N(O76))-N(AA76))</f>
        <v/>
      </c>
      <c r="AC76" s="43">
        <f>IFERROR(IF(MAX(N(L76),N(O76))=0,"",AB76/MAX(N(L76),N(O76))),"")</f>
        <v/>
      </c>
      <c r="AD76" s="37" t="n"/>
      <c r="AE76" s="10" t="inlineStr">
        <is>
          <t>CON-0072</t>
        </is>
      </c>
    </row>
    <row r="77">
      <c r="A77" s="16">
        <f>IF($C77="","",IFERROR(IF(INDEX(tbl_Finance[Latest Invoice Date],MATCH($AE77,tbl_Finance[Row ID],0))="","",INDEX(tbl_Finance[Latest Invoice Date],MATCH($AE77,tbl_Finance[Row ID],0))),""))</f>
        <v/>
      </c>
      <c r="B77" s="10">
        <f>IF($C77="","",IFERROR(INDEX(tbl_Finance[Invoice Numbers],MATCH($AE77,tbl_Finance[Row ID],0))&amp;"",""))</f>
        <v/>
      </c>
      <c r="C77" s="37" t="n"/>
      <c r="D77" s="10">
        <f>IF($C77="","",IF(COUNTIF(lst_Jobs,$C77&amp;"")&gt;0,"OK","CHECK"))</f>
        <v/>
      </c>
      <c r="E77" s="10">
        <f>IF($C77="","",IFERROR(INDEX(lst_JobName,MATCH($C77&amp;"",lst_Jobs,0)),""))</f>
        <v/>
      </c>
      <c r="F77" s="37" t="n"/>
      <c r="G77" s="37" t="n"/>
      <c r="H77" s="37" t="n"/>
      <c r="I77" s="37" t="n"/>
      <c r="J77" s="37" t="n"/>
      <c r="K77" s="38">
        <f>IF($C77="","",IFERROR(N(INDEX(tbl_Finance[Invoice Count],MATCH($AE77,tbl_Finance[Row ID],0))),""))</f>
        <v/>
      </c>
      <c r="L77" s="11">
        <f>IF($C77="","",IFERROR(N(INDEX(tbl_Finance[Xero Invoiced Ex GST],MATCH($AE77,tbl_Finance[Row ID],0))),""))</f>
        <v/>
      </c>
      <c r="M77" s="10">
        <f>IF($C77="","",IFERROR(INDEX(tbl_Finance[Compare],MATCH($AE77,tbl_Finance[Row ID],0))&amp;"",""))</f>
        <v/>
      </c>
      <c r="N77" s="11">
        <f>IF($C77="","",MAX(0,N(O77)-N(L77)))</f>
        <v/>
      </c>
      <c r="O77" s="39" t="n"/>
      <c r="P77" s="40">
        <f>IF($C77="","",IF((IF(F77="",", Client","")&amp;IF(G77="",", Description","")&amp;IF(H77="",", Cost Centre","")&amp;IF(I77="",", Invoice Type","")&amp;IF(J77="",", Tax Code","")&amp;IF(O77="",", Expected Revenue","")&amp;IF(COUNTIF(tbl_Finance[Job Number],$C77&amp;"")&gt;1,", Job number used twice",""))="","Complete","Fix: "&amp;MID(IF(F77="",", Client","")&amp;IF(G77="",", Description","")&amp;IF(H77="",", Cost Centre","")&amp;IF(I77="",", Invoice Type","")&amp;IF(J77="",", Tax Code","")&amp;IF(O77="",", Expected Revenue","")&amp;IF(COUNTIF(tbl_Finance[Job Number],$C77&amp;"")&gt;1,", Job number used twice",""),3,300)))</f>
        <v/>
      </c>
      <c r="Q77" s="10">
        <f>IF($C77="","",IF(H77="","(no cost centre)",H77&amp;" - GL "&amp;IFERROR(INDEX(lst_CCtoGL,MATCH(H77,lst_CCforGL,0)),"?")))</f>
        <v/>
      </c>
      <c r="R77" s="37" t="n"/>
      <c r="S77" s="10">
        <f>IF(R77="","",HYPERLINK(IF(LEFT(R77,4)="http",R77,set_QwilrBase&amp;R77),"Open quote"))</f>
        <v/>
      </c>
      <c r="T77" s="39" t="n"/>
      <c r="U77" s="39" t="n"/>
      <c r="V77" s="39" t="n"/>
      <c r="W77" s="10">
        <f>IF(C77="","",IF(N(T77)+N(U77)+N(V77)=0,"Not split",IF(ROUND(N(T77)+N(U77)+N(V77),2)=ROUND(MAX(N(L77),N(O77)),2),"OK","MISMATCH")))</f>
        <v/>
      </c>
      <c r="X77" s="39" t="n"/>
      <c r="Y77" s="39" t="n"/>
      <c r="Z77" s="39" t="n"/>
      <c r="AA77" s="11">
        <f>IF(C77="","",N(X77)+N(Y77)+N(Z77))</f>
        <v/>
      </c>
      <c r="AB77" s="11">
        <f>IF(C77="","",MAX(N(L77),N(O77))-N(AA77))</f>
        <v/>
      </c>
      <c r="AC77" s="43">
        <f>IFERROR(IF(MAX(N(L77),N(O77))=0,"",AB77/MAX(N(L77),N(O77))),"")</f>
        <v/>
      </c>
      <c r="AD77" s="37" t="n"/>
      <c r="AE77" s="10" t="inlineStr">
        <is>
          <t>CON-0073</t>
        </is>
      </c>
    </row>
    <row r="78">
      <c r="A78" s="16">
        <f>IF($C78="","",IFERROR(IF(INDEX(tbl_Finance[Latest Invoice Date],MATCH($AE78,tbl_Finance[Row ID],0))="","",INDEX(tbl_Finance[Latest Invoice Date],MATCH($AE78,tbl_Finance[Row ID],0))),""))</f>
        <v/>
      </c>
      <c r="B78" s="10">
        <f>IF($C78="","",IFERROR(INDEX(tbl_Finance[Invoice Numbers],MATCH($AE78,tbl_Finance[Row ID],0))&amp;"",""))</f>
        <v/>
      </c>
      <c r="C78" s="37" t="n"/>
      <c r="D78" s="10">
        <f>IF($C78="","",IF(COUNTIF(lst_Jobs,$C78&amp;"")&gt;0,"OK","CHECK"))</f>
        <v/>
      </c>
      <c r="E78" s="10">
        <f>IF($C78="","",IFERROR(INDEX(lst_JobName,MATCH($C78&amp;"",lst_Jobs,0)),""))</f>
        <v/>
      </c>
      <c r="F78" s="37" t="n"/>
      <c r="G78" s="37" t="n"/>
      <c r="H78" s="37" t="n"/>
      <c r="I78" s="37" t="n"/>
      <c r="J78" s="37" t="n"/>
      <c r="K78" s="38">
        <f>IF($C78="","",IFERROR(N(INDEX(tbl_Finance[Invoice Count],MATCH($AE78,tbl_Finance[Row ID],0))),""))</f>
        <v/>
      </c>
      <c r="L78" s="11">
        <f>IF($C78="","",IFERROR(N(INDEX(tbl_Finance[Xero Invoiced Ex GST],MATCH($AE78,tbl_Finance[Row ID],0))),""))</f>
        <v/>
      </c>
      <c r="M78" s="10">
        <f>IF($C78="","",IFERROR(INDEX(tbl_Finance[Compare],MATCH($AE78,tbl_Finance[Row ID],0))&amp;"",""))</f>
        <v/>
      </c>
      <c r="N78" s="11">
        <f>IF($C78="","",MAX(0,N(O78)-N(L78)))</f>
        <v/>
      </c>
      <c r="O78" s="39" t="n"/>
      <c r="P78" s="40">
        <f>IF($C78="","",IF((IF(F78="",", Client","")&amp;IF(G78="",", Description","")&amp;IF(H78="",", Cost Centre","")&amp;IF(I78="",", Invoice Type","")&amp;IF(J78="",", Tax Code","")&amp;IF(O78="",", Expected Revenue","")&amp;IF(COUNTIF(tbl_Finance[Job Number],$C78&amp;"")&gt;1,", Job number used twice",""))="","Complete","Fix: "&amp;MID(IF(F78="",", Client","")&amp;IF(G78="",", Description","")&amp;IF(H78="",", Cost Centre","")&amp;IF(I78="",", Invoice Type","")&amp;IF(J78="",", Tax Code","")&amp;IF(O78="",", Expected Revenue","")&amp;IF(COUNTIF(tbl_Finance[Job Number],$C78&amp;"")&gt;1,", Job number used twice",""),3,300)))</f>
        <v/>
      </c>
      <c r="Q78" s="10">
        <f>IF($C78="","",IF(H78="","(no cost centre)",H78&amp;" - GL "&amp;IFERROR(INDEX(lst_CCtoGL,MATCH(H78,lst_CCforGL,0)),"?")))</f>
        <v/>
      </c>
      <c r="R78" s="37" t="n"/>
      <c r="S78" s="10">
        <f>IF(R78="","",HYPERLINK(IF(LEFT(R78,4)="http",R78,set_QwilrBase&amp;R78),"Open quote"))</f>
        <v/>
      </c>
      <c r="T78" s="39" t="n"/>
      <c r="U78" s="39" t="n"/>
      <c r="V78" s="39" t="n"/>
      <c r="W78" s="10">
        <f>IF(C78="","",IF(N(T78)+N(U78)+N(V78)=0,"Not split",IF(ROUND(N(T78)+N(U78)+N(V78),2)=ROUND(MAX(N(L78),N(O78)),2),"OK","MISMATCH")))</f>
        <v/>
      </c>
      <c r="X78" s="39" t="n"/>
      <c r="Y78" s="39" t="n"/>
      <c r="Z78" s="39" t="n"/>
      <c r="AA78" s="11">
        <f>IF(C78="","",N(X78)+N(Y78)+N(Z78))</f>
        <v/>
      </c>
      <c r="AB78" s="11">
        <f>IF(C78="","",MAX(N(L78),N(O78))-N(AA78))</f>
        <v/>
      </c>
      <c r="AC78" s="43">
        <f>IFERROR(IF(MAX(N(L78),N(O78))=0,"",AB78/MAX(N(L78),N(O78))),"")</f>
        <v/>
      </c>
      <c r="AD78" s="37" t="n"/>
      <c r="AE78" s="10" t="inlineStr">
        <is>
          <t>CON-0074</t>
        </is>
      </c>
    </row>
    <row r="79">
      <c r="A79" s="16">
        <f>IF($C79="","",IFERROR(IF(INDEX(tbl_Finance[Latest Invoice Date],MATCH($AE79,tbl_Finance[Row ID],0))="","",INDEX(tbl_Finance[Latest Invoice Date],MATCH($AE79,tbl_Finance[Row ID],0))),""))</f>
        <v/>
      </c>
      <c r="B79" s="10">
        <f>IF($C79="","",IFERROR(INDEX(tbl_Finance[Invoice Numbers],MATCH($AE79,tbl_Finance[Row ID],0))&amp;"",""))</f>
        <v/>
      </c>
      <c r="C79" s="37" t="n"/>
      <c r="D79" s="10">
        <f>IF($C79="","",IF(COUNTIF(lst_Jobs,$C79&amp;"")&gt;0,"OK","CHECK"))</f>
        <v/>
      </c>
      <c r="E79" s="10">
        <f>IF($C79="","",IFERROR(INDEX(lst_JobName,MATCH($C79&amp;"",lst_Jobs,0)),""))</f>
        <v/>
      </c>
      <c r="F79" s="37" t="n"/>
      <c r="G79" s="37" t="n"/>
      <c r="H79" s="37" t="n"/>
      <c r="I79" s="37" t="n"/>
      <c r="J79" s="37" t="n"/>
      <c r="K79" s="38">
        <f>IF($C79="","",IFERROR(N(INDEX(tbl_Finance[Invoice Count],MATCH($AE79,tbl_Finance[Row ID],0))),""))</f>
        <v/>
      </c>
      <c r="L79" s="11">
        <f>IF($C79="","",IFERROR(N(INDEX(tbl_Finance[Xero Invoiced Ex GST],MATCH($AE79,tbl_Finance[Row ID],0))),""))</f>
        <v/>
      </c>
      <c r="M79" s="10">
        <f>IF($C79="","",IFERROR(INDEX(tbl_Finance[Compare],MATCH($AE79,tbl_Finance[Row ID],0))&amp;"",""))</f>
        <v/>
      </c>
      <c r="N79" s="11">
        <f>IF($C79="","",MAX(0,N(O79)-N(L79)))</f>
        <v/>
      </c>
      <c r="O79" s="39" t="n"/>
      <c r="P79" s="40">
        <f>IF($C79="","",IF((IF(F79="",", Client","")&amp;IF(G79="",", Description","")&amp;IF(H79="",", Cost Centre","")&amp;IF(I79="",", Invoice Type","")&amp;IF(J79="",", Tax Code","")&amp;IF(O79="",", Expected Revenue","")&amp;IF(COUNTIF(tbl_Finance[Job Number],$C79&amp;"")&gt;1,", Job number used twice",""))="","Complete","Fix: "&amp;MID(IF(F79="",", Client","")&amp;IF(G79="",", Description","")&amp;IF(H79="",", Cost Centre","")&amp;IF(I79="",", Invoice Type","")&amp;IF(J79="",", Tax Code","")&amp;IF(O79="",", Expected Revenue","")&amp;IF(COUNTIF(tbl_Finance[Job Number],$C79&amp;"")&gt;1,", Job number used twice",""),3,300)))</f>
        <v/>
      </c>
      <c r="Q79" s="10">
        <f>IF($C79="","",IF(H79="","(no cost centre)",H79&amp;" - GL "&amp;IFERROR(INDEX(lst_CCtoGL,MATCH(H79,lst_CCforGL,0)),"?")))</f>
        <v/>
      </c>
      <c r="R79" s="37" t="n"/>
      <c r="S79" s="10">
        <f>IF(R79="","",HYPERLINK(IF(LEFT(R79,4)="http",R79,set_QwilrBase&amp;R79),"Open quote"))</f>
        <v/>
      </c>
      <c r="T79" s="39" t="n"/>
      <c r="U79" s="39" t="n"/>
      <c r="V79" s="39" t="n"/>
      <c r="W79" s="10">
        <f>IF(C79="","",IF(N(T79)+N(U79)+N(V79)=0,"Not split",IF(ROUND(N(T79)+N(U79)+N(V79),2)=ROUND(MAX(N(L79),N(O79)),2),"OK","MISMATCH")))</f>
        <v/>
      </c>
      <c r="X79" s="39" t="n"/>
      <c r="Y79" s="39" t="n"/>
      <c r="Z79" s="39" t="n"/>
      <c r="AA79" s="11">
        <f>IF(C79="","",N(X79)+N(Y79)+N(Z79))</f>
        <v/>
      </c>
      <c r="AB79" s="11">
        <f>IF(C79="","",MAX(N(L79),N(O79))-N(AA79))</f>
        <v/>
      </c>
      <c r="AC79" s="43">
        <f>IFERROR(IF(MAX(N(L79),N(O79))=0,"",AB79/MAX(N(L79),N(O79))),"")</f>
        <v/>
      </c>
      <c r="AD79" s="37" t="n"/>
      <c r="AE79" s="10" t="inlineStr">
        <is>
          <t>CON-0075</t>
        </is>
      </c>
    </row>
    <row r="80">
      <c r="A80" s="16">
        <f>IF($C80="","",IFERROR(IF(INDEX(tbl_Finance[Latest Invoice Date],MATCH($AE80,tbl_Finance[Row ID],0))="","",INDEX(tbl_Finance[Latest Invoice Date],MATCH($AE80,tbl_Finance[Row ID],0))),""))</f>
        <v/>
      </c>
      <c r="B80" s="10">
        <f>IF($C80="","",IFERROR(INDEX(tbl_Finance[Invoice Numbers],MATCH($AE80,tbl_Finance[Row ID],0))&amp;"",""))</f>
        <v/>
      </c>
      <c r="C80" s="37" t="n"/>
      <c r="D80" s="10">
        <f>IF($C80="","",IF(COUNTIF(lst_Jobs,$C80&amp;"")&gt;0,"OK","CHECK"))</f>
        <v/>
      </c>
      <c r="E80" s="10">
        <f>IF($C80="","",IFERROR(INDEX(lst_JobName,MATCH($C80&amp;"",lst_Jobs,0)),""))</f>
        <v/>
      </c>
      <c r="F80" s="37" t="n"/>
      <c r="G80" s="37" t="n"/>
      <c r="H80" s="37" t="n"/>
      <c r="I80" s="37" t="n"/>
      <c r="J80" s="37" t="n"/>
      <c r="K80" s="38">
        <f>IF($C80="","",IFERROR(N(INDEX(tbl_Finance[Invoice Count],MATCH($AE80,tbl_Finance[Row ID],0))),""))</f>
        <v/>
      </c>
      <c r="L80" s="11">
        <f>IF($C80="","",IFERROR(N(INDEX(tbl_Finance[Xero Invoiced Ex GST],MATCH($AE80,tbl_Finance[Row ID],0))),""))</f>
        <v/>
      </c>
      <c r="M80" s="10">
        <f>IF($C80="","",IFERROR(INDEX(tbl_Finance[Compare],MATCH($AE80,tbl_Finance[Row ID],0))&amp;"",""))</f>
        <v/>
      </c>
      <c r="N80" s="11">
        <f>IF($C80="","",MAX(0,N(O80)-N(L80)))</f>
        <v/>
      </c>
      <c r="O80" s="39" t="n"/>
      <c r="P80" s="40">
        <f>IF($C80="","",IF((IF(F80="",", Client","")&amp;IF(G80="",", Description","")&amp;IF(H80="",", Cost Centre","")&amp;IF(I80="",", Invoice Type","")&amp;IF(J80="",", Tax Code","")&amp;IF(O80="",", Expected Revenue","")&amp;IF(COUNTIF(tbl_Finance[Job Number],$C80&amp;"")&gt;1,", Job number used twice",""))="","Complete","Fix: "&amp;MID(IF(F80="",", Client","")&amp;IF(G80="",", Description","")&amp;IF(H80="",", Cost Centre","")&amp;IF(I80="",", Invoice Type","")&amp;IF(J80="",", Tax Code","")&amp;IF(O80="",", Expected Revenue","")&amp;IF(COUNTIF(tbl_Finance[Job Number],$C80&amp;"")&gt;1,", Job number used twice",""),3,300)))</f>
        <v/>
      </c>
      <c r="Q80" s="10">
        <f>IF($C80="","",IF(H80="","(no cost centre)",H80&amp;" - GL "&amp;IFERROR(INDEX(lst_CCtoGL,MATCH(H80,lst_CCforGL,0)),"?")))</f>
        <v/>
      </c>
      <c r="R80" s="37" t="n"/>
      <c r="S80" s="10">
        <f>IF(R80="","",HYPERLINK(IF(LEFT(R80,4)="http",R80,set_QwilrBase&amp;R80),"Open quote"))</f>
        <v/>
      </c>
      <c r="T80" s="39" t="n"/>
      <c r="U80" s="39" t="n"/>
      <c r="V80" s="39" t="n"/>
      <c r="W80" s="10">
        <f>IF(C80="","",IF(N(T80)+N(U80)+N(V80)=0,"Not split",IF(ROUND(N(T80)+N(U80)+N(V80),2)=ROUND(MAX(N(L80),N(O80)),2),"OK","MISMATCH")))</f>
        <v/>
      </c>
      <c r="X80" s="39" t="n"/>
      <c r="Y80" s="39" t="n"/>
      <c r="Z80" s="39" t="n"/>
      <c r="AA80" s="11">
        <f>IF(C80="","",N(X80)+N(Y80)+N(Z80))</f>
        <v/>
      </c>
      <c r="AB80" s="11">
        <f>IF(C80="","",MAX(N(L80),N(O80))-N(AA80))</f>
        <v/>
      </c>
      <c r="AC80" s="43">
        <f>IFERROR(IF(MAX(N(L80),N(O80))=0,"",AB80/MAX(N(L80),N(O80))),"")</f>
        <v/>
      </c>
      <c r="AD80" s="37" t="n"/>
      <c r="AE80" s="10" t="inlineStr">
        <is>
          <t>CON-0076</t>
        </is>
      </c>
    </row>
    <row r="81">
      <c r="A81" s="16">
        <f>IF($C81="","",IFERROR(IF(INDEX(tbl_Finance[Latest Invoice Date],MATCH($AE81,tbl_Finance[Row ID],0))="","",INDEX(tbl_Finance[Latest Invoice Date],MATCH($AE81,tbl_Finance[Row ID],0))),""))</f>
        <v/>
      </c>
      <c r="B81" s="10">
        <f>IF($C81="","",IFERROR(INDEX(tbl_Finance[Invoice Numbers],MATCH($AE81,tbl_Finance[Row ID],0))&amp;"",""))</f>
        <v/>
      </c>
      <c r="C81" s="37" t="n"/>
      <c r="D81" s="10">
        <f>IF($C81="","",IF(COUNTIF(lst_Jobs,$C81&amp;"")&gt;0,"OK","CHECK"))</f>
        <v/>
      </c>
      <c r="E81" s="10">
        <f>IF($C81="","",IFERROR(INDEX(lst_JobName,MATCH($C81&amp;"",lst_Jobs,0)),""))</f>
        <v/>
      </c>
      <c r="F81" s="37" t="n"/>
      <c r="G81" s="37" t="n"/>
      <c r="H81" s="37" t="n"/>
      <c r="I81" s="37" t="n"/>
      <c r="J81" s="37" t="n"/>
      <c r="K81" s="38">
        <f>IF($C81="","",IFERROR(N(INDEX(tbl_Finance[Invoice Count],MATCH($AE81,tbl_Finance[Row ID],0))),""))</f>
        <v/>
      </c>
      <c r="L81" s="11">
        <f>IF($C81="","",IFERROR(N(INDEX(tbl_Finance[Xero Invoiced Ex GST],MATCH($AE81,tbl_Finance[Row ID],0))),""))</f>
        <v/>
      </c>
      <c r="M81" s="10">
        <f>IF($C81="","",IFERROR(INDEX(tbl_Finance[Compare],MATCH($AE81,tbl_Finance[Row ID],0))&amp;"",""))</f>
        <v/>
      </c>
      <c r="N81" s="11">
        <f>IF($C81="","",MAX(0,N(O81)-N(L81)))</f>
        <v/>
      </c>
      <c r="O81" s="39" t="n"/>
      <c r="P81" s="40">
        <f>IF($C81="","",IF((IF(F81="",", Client","")&amp;IF(G81="",", Description","")&amp;IF(H81="",", Cost Centre","")&amp;IF(I81="",", Invoice Type","")&amp;IF(J81="",", Tax Code","")&amp;IF(O81="",", Expected Revenue","")&amp;IF(COUNTIF(tbl_Finance[Job Number],$C81&amp;"")&gt;1,", Job number used twice",""))="","Complete","Fix: "&amp;MID(IF(F81="",", Client","")&amp;IF(G81="",", Description","")&amp;IF(H81="",", Cost Centre","")&amp;IF(I81="",", Invoice Type","")&amp;IF(J81="",", Tax Code","")&amp;IF(O81="",", Expected Revenue","")&amp;IF(COUNTIF(tbl_Finance[Job Number],$C81&amp;"")&gt;1,", Job number used twice",""),3,300)))</f>
        <v/>
      </c>
      <c r="Q81" s="10">
        <f>IF($C81="","",IF(H81="","(no cost centre)",H81&amp;" - GL "&amp;IFERROR(INDEX(lst_CCtoGL,MATCH(H81,lst_CCforGL,0)),"?")))</f>
        <v/>
      </c>
      <c r="R81" s="37" t="n"/>
      <c r="S81" s="10">
        <f>IF(R81="","",HYPERLINK(IF(LEFT(R81,4)="http",R81,set_QwilrBase&amp;R81),"Open quote"))</f>
        <v/>
      </c>
      <c r="T81" s="39" t="n"/>
      <c r="U81" s="39" t="n"/>
      <c r="V81" s="39" t="n"/>
      <c r="W81" s="10">
        <f>IF(C81="","",IF(N(T81)+N(U81)+N(V81)=0,"Not split",IF(ROUND(N(T81)+N(U81)+N(V81),2)=ROUND(MAX(N(L81),N(O81)),2),"OK","MISMATCH")))</f>
        <v/>
      </c>
      <c r="X81" s="39" t="n"/>
      <c r="Y81" s="39" t="n"/>
      <c r="Z81" s="39" t="n"/>
      <c r="AA81" s="11">
        <f>IF(C81="","",N(X81)+N(Y81)+N(Z81))</f>
        <v/>
      </c>
      <c r="AB81" s="11">
        <f>IF(C81="","",MAX(N(L81),N(O81))-N(AA81))</f>
        <v/>
      </c>
      <c r="AC81" s="43">
        <f>IFERROR(IF(MAX(N(L81),N(O81))=0,"",AB81/MAX(N(L81),N(O81))),"")</f>
        <v/>
      </c>
      <c r="AD81" s="37" t="n"/>
      <c r="AE81" s="10" t="inlineStr">
        <is>
          <t>CON-0077</t>
        </is>
      </c>
    </row>
    <row r="82">
      <c r="A82" s="16">
        <f>IF($C82="","",IFERROR(IF(INDEX(tbl_Finance[Latest Invoice Date],MATCH($AE82,tbl_Finance[Row ID],0))="","",INDEX(tbl_Finance[Latest Invoice Date],MATCH($AE82,tbl_Finance[Row ID],0))),""))</f>
        <v/>
      </c>
      <c r="B82" s="10">
        <f>IF($C82="","",IFERROR(INDEX(tbl_Finance[Invoice Numbers],MATCH($AE82,tbl_Finance[Row ID],0))&amp;"",""))</f>
        <v/>
      </c>
      <c r="C82" s="37" t="n"/>
      <c r="D82" s="10">
        <f>IF($C82="","",IF(COUNTIF(lst_Jobs,$C82&amp;"")&gt;0,"OK","CHECK"))</f>
        <v/>
      </c>
      <c r="E82" s="10">
        <f>IF($C82="","",IFERROR(INDEX(lst_JobName,MATCH($C82&amp;"",lst_Jobs,0)),""))</f>
        <v/>
      </c>
      <c r="F82" s="37" t="n"/>
      <c r="G82" s="37" t="n"/>
      <c r="H82" s="37" t="n"/>
      <c r="I82" s="37" t="n"/>
      <c r="J82" s="37" t="n"/>
      <c r="K82" s="38">
        <f>IF($C82="","",IFERROR(N(INDEX(tbl_Finance[Invoice Count],MATCH($AE82,tbl_Finance[Row ID],0))),""))</f>
        <v/>
      </c>
      <c r="L82" s="11">
        <f>IF($C82="","",IFERROR(N(INDEX(tbl_Finance[Xero Invoiced Ex GST],MATCH($AE82,tbl_Finance[Row ID],0))),""))</f>
        <v/>
      </c>
      <c r="M82" s="10">
        <f>IF($C82="","",IFERROR(INDEX(tbl_Finance[Compare],MATCH($AE82,tbl_Finance[Row ID],0))&amp;"",""))</f>
        <v/>
      </c>
      <c r="N82" s="11">
        <f>IF($C82="","",MAX(0,N(O82)-N(L82)))</f>
        <v/>
      </c>
      <c r="O82" s="39" t="n"/>
      <c r="P82" s="40">
        <f>IF($C82="","",IF((IF(F82="",", Client","")&amp;IF(G82="",", Description","")&amp;IF(H82="",", Cost Centre","")&amp;IF(I82="",", Invoice Type","")&amp;IF(J82="",", Tax Code","")&amp;IF(O82="",", Expected Revenue","")&amp;IF(COUNTIF(tbl_Finance[Job Number],$C82&amp;"")&gt;1,", Job number used twice",""))="","Complete","Fix: "&amp;MID(IF(F82="",", Client","")&amp;IF(G82="",", Description","")&amp;IF(H82="",", Cost Centre","")&amp;IF(I82="",", Invoice Type","")&amp;IF(J82="",", Tax Code","")&amp;IF(O82="",", Expected Revenue","")&amp;IF(COUNTIF(tbl_Finance[Job Number],$C82&amp;"")&gt;1,", Job number used twice",""),3,300)))</f>
        <v/>
      </c>
      <c r="Q82" s="10">
        <f>IF($C82="","",IF(H82="","(no cost centre)",H82&amp;" - GL "&amp;IFERROR(INDEX(lst_CCtoGL,MATCH(H82,lst_CCforGL,0)),"?")))</f>
        <v/>
      </c>
      <c r="R82" s="37" t="n"/>
      <c r="S82" s="10">
        <f>IF(R82="","",HYPERLINK(IF(LEFT(R82,4)="http",R82,set_QwilrBase&amp;R82),"Open quote"))</f>
        <v/>
      </c>
      <c r="T82" s="39" t="n"/>
      <c r="U82" s="39" t="n"/>
      <c r="V82" s="39" t="n"/>
      <c r="W82" s="10">
        <f>IF(C82="","",IF(N(T82)+N(U82)+N(V82)=0,"Not split",IF(ROUND(N(T82)+N(U82)+N(V82),2)=ROUND(MAX(N(L82),N(O82)),2),"OK","MISMATCH")))</f>
        <v/>
      </c>
      <c r="X82" s="39" t="n"/>
      <c r="Y82" s="39" t="n"/>
      <c r="Z82" s="39" t="n"/>
      <c r="AA82" s="11">
        <f>IF(C82="","",N(X82)+N(Y82)+N(Z82))</f>
        <v/>
      </c>
      <c r="AB82" s="11">
        <f>IF(C82="","",MAX(N(L82),N(O82))-N(AA82))</f>
        <v/>
      </c>
      <c r="AC82" s="43">
        <f>IFERROR(IF(MAX(N(L82),N(O82))=0,"",AB82/MAX(N(L82),N(O82))),"")</f>
        <v/>
      </c>
      <c r="AD82" s="37" t="n"/>
      <c r="AE82" s="10" t="inlineStr">
        <is>
          <t>CON-0078</t>
        </is>
      </c>
    </row>
    <row r="83">
      <c r="A83" s="16">
        <f>IF($C83="","",IFERROR(IF(INDEX(tbl_Finance[Latest Invoice Date],MATCH($AE83,tbl_Finance[Row ID],0))="","",INDEX(tbl_Finance[Latest Invoice Date],MATCH($AE83,tbl_Finance[Row ID],0))),""))</f>
        <v/>
      </c>
      <c r="B83" s="10">
        <f>IF($C83="","",IFERROR(INDEX(tbl_Finance[Invoice Numbers],MATCH($AE83,tbl_Finance[Row ID],0))&amp;"",""))</f>
        <v/>
      </c>
      <c r="C83" s="37" t="n"/>
      <c r="D83" s="10">
        <f>IF($C83="","",IF(COUNTIF(lst_Jobs,$C83&amp;"")&gt;0,"OK","CHECK"))</f>
        <v/>
      </c>
      <c r="E83" s="10">
        <f>IF($C83="","",IFERROR(INDEX(lst_JobName,MATCH($C83&amp;"",lst_Jobs,0)),""))</f>
        <v/>
      </c>
      <c r="F83" s="37" t="n"/>
      <c r="G83" s="37" t="n"/>
      <c r="H83" s="37" t="n"/>
      <c r="I83" s="37" t="n"/>
      <c r="J83" s="37" t="n"/>
      <c r="K83" s="38">
        <f>IF($C83="","",IFERROR(N(INDEX(tbl_Finance[Invoice Count],MATCH($AE83,tbl_Finance[Row ID],0))),""))</f>
        <v/>
      </c>
      <c r="L83" s="11">
        <f>IF($C83="","",IFERROR(N(INDEX(tbl_Finance[Xero Invoiced Ex GST],MATCH($AE83,tbl_Finance[Row ID],0))),""))</f>
        <v/>
      </c>
      <c r="M83" s="10">
        <f>IF($C83="","",IFERROR(INDEX(tbl_Finance[Compare],MATCH($AE83,tbl_Finance[Row ID],0))&amp;"",""))</f>
        <v/>
      </c>
      <c r="N83" s="11">
        <f>IF($C83="","",MAX(0,N(O83)-N(L83)))</f>
        <v/>
      </c>
      <c r="O83" s="39" t="n"/>
      <c r="P83" s="40">
        <f>IF($C83="","",IF((IF(F83="",", Client","")&amp;IF(G83="",", Description","")&amp;IF(H83="",", Cost Centre","")&amp;IF(I83="",", Invoice Type","")&amp;IF(J83="",", Tax Code","")&amp;IF(O83="",", Expected Revenue","")&amp;IF(COUNTIF(tbl_Finance[Job Number],$C83&amp;"")&gt;1,", Job number used twice",""))="","Complete","Fix: "&amp;MID(IF(F83="",", Client","")&amp;IF(G83="",", Description","")&amp;IF(H83="",", Cost Centre","")&amp;IF(I83="",", Invoice Type","")&amp;IF(J83="",", Tax Code","")&amp;IF(O83="",", Expected Revenue","")&amp;IF(COUNTIF(tbl_Finance[Job Number],$C83&amp;"")&gt;1,", Job number used twice",""),3,300)))</f>
        <v/>
      </c>
      <c r="Q83" s="10">
        <f>IF($C83="","",IF(H83="","(no cost centre)",H83&amp;" - GL "&amp;IFERROR(INDEX(lst_CCtoGL,MATCH(H83,lst_CCforGL,0)),"?")))</f>
        <v/>
      </c>
      <c r="R83" s="37" t="n"/>
      <c r="S83" s="10">
        <f>IF(R83="","",HYPERLINK(IF(LEFT(R83,4)="http",R83,set_QwilrBase&amp;R83),"Open quote"))</f>
        <v/>
      </c>
      <c r="T83" s="39" t="n"/>
      <c r="U83" s="39" t="n"/>
      <c r="V83" s="39" t="n"/>
      <c r="W83" s="10">
        <f>IF(C83="","",IF(N(T83)+N(U83)+N(V83)=0,"Not split",IF(ROUND(N(T83)+N(U83)+N(V83),2)=ROUND(MAX(N(L83),N(O83)),2),"OK","MISMATCH")))</f>
        <v/>
      </c>
      <c r="X83" s="39" t="n"/>
      <c r="Y83" s="39" t="n"/>
      <c r="Z83" s="39" t="n"/>
      <c r="AA83" s="11">
        <f>IF(C83="","",N(X83)+N(Y83)+N(Z83))</f>
        <v/>
      </c>
      <c r="AB83" s="11">
        <f>IF(C83="","",MAX(N(L83),N(O83))-N(AA83))</f>
        <v/>
      </c>
      <c r="AC83" s="43">
        <f>IFERROR(IF(MAX(N(L83),N(O83))=0,"",AB83/MAX(N(L83),N(O83))),"")</f>
        <v/>
      </c>
      <c r="AD83" s="37" t="n"/>
      <c r="AE83" s="10" t="inlineStr">
        <is>
          <t>CON-0079</t>
        </is>
      </c>
    </row>
    <row r="84">
      <c r="A84" s="16">
        <f>IF($C84="","",IFERROR(IF(INDEX(tbl_Finance[Latest Invoice Date],MATCH($AE84,tbl_Finance[Row ID],0))="","",INDEX(tbl_Finance[Latest Invoice Date],MATCH($AE84,tbl_Finance[Row ID],0))),""))</f>
        <v/>
      </c>
      <c r="B84" s="10">
        <f>IF($C84="","",IFERROR(INDEX(tbl_Finance[Invoice Numbers],MATCH($AE84,tbl_Finance[Row ID],0))&amp;"",""))</f>
        <v/>
      </c>
      <c r="C84" s="37" t="n"/>
      <c r="D84" s="10">
        <f>IF($C84="","",IF(COUNTIF(lst_Jobs,$C84&amp;"")&gt;0,"OK","CHECK"))</f>
        <v/>
      </c>
      <c r="E84" s="10">
        <f>IF($C84="","",IFERROR(INDEX(lst_JobName,MATCH($C84&amp;"",lst_Jobs,0)),""))</f>
        <v/>
      </c>
      <c r="F84" s="37" t="n"/>
      <c r="G84" s="37" t="n"/>
      <c r="H84" s="37" t="n"/>
      <c r="I84" s="37" t="n"/>
      <c r="J84" s="37" t="n"/>
      <c r="K84" s="38">
        <f>IF($C84="","",IFERROR(N(INDEX(tbl_Finance[Invoice Count],MATCH($AE84,tbl_Finance[Row ID],0))),""))</f>
        <v/>
      </c>
      <c r="L84" s="11">
        <f>IF($C84="","",IFERROR(N(INDEX(tbl_Finance[Xero Invoiced Ex GST],MATCH($AE84,tbl_Finance[Row ID],0))),""))</f>
        <v/>
      </c>
      <c r="M84" s="10">
        <f>IF($C84="","",IFERROR(INDEX(tbl_Finance[Compare],MATCH($AE84,tbl_Finance[Row ID],0))&amp;"",""))</f>
        <v/>
      </c>
      <c r="N84" s="11">
        <f>IF($C84="","",MAX(0,N(O84)-N(L84)))</f>
        <v/>
      </c>
      <c r="O84" s="39" t="n"/>
      <c r="P84" s="40">
        <f>IF($C84="","",IF((IF(F84="",", Client","")&amp;IF(G84="",", Description","")&amp;IF(H84="",", Cost Centre","")&amp;IF(I84="",", Invoice Type","")&amp;IF(J84="",", Tax Code","")&amp;IF(O84="",", Expected Revenue","")&amp;IF(COUNTIF(tbl_Finance[Job Number],$C84&amp;"")&gt;1,", Job number used twice",""))="","Complete","Fix: "&amp;MID(IF(F84="",", Client","")&amp;IF(G84="",", Description","")&amp;IF(H84="",", Cost Centre","")&amp;IF(I84="",", Invoice Type","")&amp;IF(J84="",", Tax Code","")&amp;IF(O84="",", Expected Revenue","")&amp;IF(COUNTIF(tbl_Finance[Job Number],$C84&amp;"")&gt;1,", Job number used twice",""),3,300)))</f>
        <v/>
      </c>
      <c r="Q84" s="10">
        <f>IF($C84="","",IF(H84="","(no cost centre)",H84&amp;" - GL "&amp;IFERROR(INDEX(lst_CCtoGL,MATCH(H84,lst_CCforGL,0)),"?")))</f>
        <v/>
      </c>
      <c r="R84" s="37" t="n"/>
      <c r="S84" s="10">
        <f>IF(R84="","",HYPERLINK(IF(LEFT(R84,4)="http",R84,set_QwilrBase&amp;R84),"Open quote"))</f>
        <v/>
      </c>
      <c r="T84" s="39" t="n"/>
      <c r="U84" s="39" t="n"/>
      <c r="V84" s="39" t="n"/>
      <c r="W84" s="10">
        <f>IF(C84="","",IF(N(T84)+N(U84)+N(V84)=0,"Not split",IF(ROUND(N(T84)+N(U84)+N(V84),2)=ROUND(MAX(N(L84),N(O84)),2),"OK","MISMATCH")))</f>
        <v/>
      </c>
      <c r="X84" s="39" t="n"/>
      <c r="Y84" s="39" t="n"/>
      <c r="Z84" s="39" t="n"/>
      <c r="AA84" s="11">
        <f>IF(C84="","",N(X84)+N(Y84)+N(Z84))</f>
        <v/>
      </c>
      <c r="AB84" s="11">
        <f>IF(C84="","",MAX(N(L84),N(O84))-N(AA84))</f>
        <v/>
      </c>
      <c r="AC84" s="43">
        <f>IFERROR(IF(MAX(N(L84),N(O84))=0,"",AB84/MAX(N(L84),N(O84))),"")</f>
        <v/>
      </c>
      <c r="AD84" s="37" t="n"/>
      <c r="AE84" s="10" t="inlineStr">
        <is>
          <t>CON-0080</t>
        </is>
      </c>
    </row>
    <row r="85">
      <c r="A85" s="16">
        <f>IF($C85="","",IFERROR(IF(INDEX(tbl_Finance[Latest Invoice Date],MATCH($AE85,tbl_Finance[Row ID],0))="","",INDEX(tbl_Finance[Latest Invoice Date],MATCH($AE85,tbl_Finance[Row ID],0))),""))</f>
        <v/>
      </c>
      <c r="B85" s="10">
        <f>IF($C85="","",IFERROR(INDEX(tbl_Finance[Invoice Numbers],MATCH($AE85,tbl_Finance[Row ID],0))&amp;"",""))</f>
        <v/>
      </c>
      <c r="C85" s="37" t="n"/>
      <c r="D85" s="10">
        <f>IF($C85="","",IF(COUNTIF(lst_Jobs,$C85&amp;"")&gt;0,"OK","CHECK"))</f>
        <v/>
      </c>
      <c r="E85" s="10">
        <f>IF($C85="","",IFERROR(INDEX(lst_JobName,MATCH($C85&amp;"",lst_Jobs,0)),""))</f>
        <v/>
      </c>
      <c r="F85" s="37" t="n"/>
      <c r="G85" s="37" t="n"/>
      <c r="H85" s="37" t="n"/>
      <c r="I85" s="37" t="n"/>
      <c r="J85" s="37" t="n"/>
      <c r="K85" s="38">
        <f>IF($C85="","",IFERROR(N(INDEX(tbl_Finance[Invoice Count],MATCH($AE85,tbl_Finance[Row ID],0))),""))</f>
        <v/>
      </c>
      <c r="L85" s="11">
        <f>IF($C85="","",IFERROR(N(INDEX(tbl_Finance[Xero Invoiced Ex GST],MATCH($AE85,tbl_Finance[Row ID],0))),""))</f>
        <v/>
      </c>
      <c r="M85" s="10">
        <f>IF($C85="","",IFERROR(INDEX(tbl_Finance[Compare],MATCH($AE85,tbl_Finance[Row ID],0))&amp;"",""))</f>
        <v/>
      </c>
      <c r="N85" s="11">
        <f>IF($C85="","",MAX(0,N(O85)-N(L85)))</f>
        <v/>
      </c>
      <c r="O85" s="39" t="n"/>
      <c r="P85" s="40">
        <f>IF($C85="","",IF((IF(F85="",", Client","")&amp;IF(G85="",", Description","")&amp;IF(H85="",", Cost Centre","")&amp;IF(I85="",", Invoice Type","")&amp;IF(J85="",", Tax Code","")&amp;IF(O85="",", Expected Revenue","")&amp;IF(COUNTIF(tbl_Finance[Job Number],$C85&amp;"")&gt;1,", Job number used twice",""))="","Complete","Fix: "&amp;MID(IF(F85="",", Client","")&amp;IF(G85="",", Description","")&amp;IF(H85="",", Cost Centre","")&amp;IF(I85="",", Invoice Type","")&amp;IF(J85="",", Tax Code","")&amp;IF(O85="",", Expected Revenue","")&amp;IF(COUNTIF(tbl_Finance[Job Number],$C85&amp;"")&gt;1,", Job number used twice",""),3,300)))</f>
        <v/>
      </c>
      <c r="Q85" s="10">
        <f>IF($C85="","",IF(H85="","(no cost centre)",H85&amp;" - GL "&amp;IFERROR(INDEX(lst_CCtoGL,MATCH(H85,lst_CCforGL,0)),"?")))</f>
        <v/>
      </c>
      <c r="R85" s="37" t="n"/>
      <c r="S85" s="10">
        <f>IF(R85="","",HYPERLINK(IF(LEFT(R85,4)="http",R85,set_QwilrBase&amp;R85),"Open quote"))</f>
        <v/>
      </c>
      <c r="T85" s="39" t="n"/>
      <c r="U85" s="39" t="n"/>
      <c r="V85" s="39" t="n"/>
      <c r="W85" s="10">
        <f>IF(C85="","",IF(N(T85)+N(U85)+N(V85)=0,"Not split",IF(ROUND(N(T85)+N(U85)+N(V85),2)=ROUND(MAX(N(L85),N(O85)),2),"OK","MISMATCH")))</f>
        <v/>
      </c>
      <c r="X85" s="39" t="n"/>
      <c r="Y85" s="39" t="n"/>
      <c r="Z85" s="39" t="n"/>
      <c r="AA85" s="11">
        <f>IF(C85="","",N(X85)+N(Y85)+N(Z85))</f>
        <v/>
      </c>
      <c r="AB85" s="11">
        <f>IF(C85="","",MAX(N(L85),N(O85))-N(AA85))</f>
        <v/>
      </c>
      <c r="AC85" s="43">
        <f>IFERROR(IF(MAX(N(L85),N(O85))=0,"",AB85/MAX(N(L85),N(O85))),"")</f>
        <v/>
      </c>
      <c r="AD85" s="37" t="n"/>
      <c r="AE85" s="10" t="inlineStr">
        <is>
          <t>CON-0081</t>
        </is>
      </c>
    </row>
    <row r="86">
      <c r="A86" s="16">
        <f>IF($C86="","",IFERROR(IF(INDEX(tbl_Finance[Latest Invoice Date],MATCH($AE86,tbl_Finance[Row ID],0))="","",INDEX(tbl_Finance[Latest Invoice Date],MATCH($AE86,tbl_Finance[Row ID],0))),""))</f>
        <v/>
      </c>
      <c r="B86" s="10">
        <f>IF($C86="","",IFERROR(INDEX(tbl_Finance[Invoice Numbers],MATCH($AE86,tbl_Finance[Row ID],0))&amp;"",""))</f>
        <v/>
      </c>
      <c r="C86" s="37" t="n"/>
      <c r="D86" s="10">
        <f>IF($C86="","",IF(COUNTIF(lst_Jobs,$C86&amp;"")&gt;0,"OK","CHECK"))</f>
        <v/>
      </c>
      <c r="E86" s="10">
        <f>IF($C86="","",IFERROR(INDEX(lst_JobName,MATCH($C86&amp;"",lst_Jobs,0)),""))</f>
        <v/>
      </c>
      <c r="F86" s="37" t="n"/>
      <c r="G86" s="37" t="n"/>
      <c r="H86" s="37" t="n"/>
      <c r="I86" s="37" t="n"/>
      <c r="J86" s="37" t="n"/>
      <c r="K86" s="38">
        <f>IF($C86="","",IFERROR(N(INDEX(tbl_Finance[Invoice Count],MATCH($AE86,tbl_Finance[Row ID],0))),""))</f>
        <v/>
      </c>
      <c r="L86" s="11">
        <f>IF($C86="","",IFERROR(N(INDEX(tbl_Finance[Xero Invoiced Ex GST],MATCH($AE86,tbl_Finance[Row ID],0))),""))</f>
        <v/>
      </c>
      <c r="M86" s="10">
        <f>IF($C86="","",IFERROR(INDEX(tbl_Finance[Compare],MATCH($AE86,tbl_Finance[Row ID],0))&amp;"",""))</f>
        <v/>
      </c>
      <c r="N86" s="11">
        <f>IF($C86="","",MAX(0,N(O86)-N(L86)))</f>
        <v/>
      </c>
      <c r="O86" s="39" t="n"/>
      <c r="P86" s="40">
        <f>IF($C86="","",IF((IF(F86="",", Client","")&amp;IF(G86="",", Description","")&amp;IF(H86="",", Cost Centre","")&amp;IF(I86="",", Invoice Type","")&amp;IF(J86="",", Tax Code","")&amp;IF(O86="",", Expected Revenue","")&amp;IF(COUNTIF(tbl_Finance[Job Number],$C86&amp;"")&gt;1,", Job number used twice",""))="","Complete","Fix: "&amp;MID(IF(F86="",", Client","")&amp;IF(G86="",", Description","")&amp;IF(H86="",", Cost Centre","")&amp;IF(I86="",", Invoice Type","")&amp;IF(J86="",", Tax Code","")&amp;IF(O86="",", Expected Revenue","")&amp;IF(COUNTIF(tbl_Finance[Job Number],$C86&amp;"")&gt;1,", Job number used twice",""),3,300)))</f>
        <v/>
      </c>
      <c r="Q86" s="10">
        <f>IF($C86="","",IF(H86="","(no cost centre)",H86&amp;" - GL "&amp;IFERROR(INDEX(lst_CCtoGL,MATCH(H86,lst_CCforGL,0)),"?")))</f>
        <v/>
      </c>
      <c r="R86" s="37" t="n"/>
      <c r="S86" s="10">
        <f>IF(R86="","",HYPERLINK(IF(LEFT(R86,4)="http",R86,set_QwilrBase&amp;R86),"Open quote"))</f>
        <v/>
      </c>
      <c r="T86" s="39" t="n"/>
      <c r="U86" s="39" t="n"/>
      <c r="V86" s="39" t="n"/>
      <c r="W86" s="10">
        <f>IF(C86="","",IF(N(T86)+N(U86)+N(V86)=0,"Not split",IF(ROUND(N(T86)+N(U86)+N(V86),2)=ROUND(MAX(N(L86),N(O86)),2),"OK","MISMATCH")))</f>
        <v/>
      </c>
      <c r="X86" s="39" t="n"/>
      <c r="Y86" s="39" t="n"/>
      <c r="Z86" s="39" t="n"/>
      <c r="AA86" s="11">
        <f>IF(C86="","",N(X86)+N(Y86)+N(Z86))</f>
        <v/>
      </c>
      <c r="AB86" s="11">
        <f>IF(C86="","",MAX(N(L86),N(O86))-N(AA86))</f>
        <v/>
      </c>
      <c r="AC86" s="43">
        <f>IFERROR(IF(MAX(N(L86),N(O86))=0,"",AB86/MAX(N(L86),N(O86))),"")</f>
        <v/>
      </c>
      <c r="AD86" s="37" t="n"/>
      <c r="AE86" s="10" t="inlineStr">
        <is>
          <t>CON-0082</t>
        </is>
      </c>
    </row>
    <row r="87">
      <c r="A87" s="16">
        <f>IF($C87="","",IFERROR(IF(INDEX(tbl_Finance[Latest Invoice Date],MATCH($AE87,tbl_Finance[Row ID],0))="","",INDEX(tbl_Finance[Latest Invoice Date],MATCH($AE87,tbl_Finance[Row ID],0))),""))</f>
        <v/>
      </c>
      <c r="B87" s="10">
        <f>IF($C87="","",IFERROR(INDEX(tbl_Finance[Invoice Numbers],MATCH($AE87,tbl_Finance[Row ID],0))&amp;"",""))</f>
        <v/>
      </c>
      <c r="C87" s="37" t="n"/>
      <c r="D87" s="10">
        <f>IF($C87="","",IF(COUNTIF(lst_Jobs,$C87&amp;"")&gt;0,"OK","CHECK"))</f>
        <v/>
      </c>
      <c r="E87" s="10">
        <f>IF($C87="","",IFERROR(INDEX(lst_JobName,MATCH($C87&amp;"",lst_Jobs,0)),""))</f>
        <v/>
      </c>
      <c r="F87" s="37" t="n"/>
      <c r="G87" s="37" t="n"/>
      <c r="H87" s="37" t="n"/>
      <c r="I87" s="37" t="n"/>
      <c r="J87" s="37" t="n"/>
      <c r="K87" s="38">
        <f>IF($C87="","",IFERROR(N(INDEX(tbl_Finance[Invoice Count],MATCH($AE87,tbl_Finance[Row ID],0))),""))</f>
        <v/>
      </c>
      <c r="L87" s="11">
        <f>IF($C87="","",IFERROR(N(INDEX(tbl_Finance[Xero Invoiced Ex GST],MATCH($AE87,tbl_Finance[Row ID],0))),""))</f>
        <v/>
      </c>
      <c r="M87" s="10">
        <f>IF($C87="","",IFERROR(INDEX(tbl_Finance[Compare],MATCH($AE87,tbl_Finance[Row ID],0))&amp;"",""))</f>
        <v/>
      </c>
      <c r="N87" s="11">
        <f>IF($C87="","",MAX(0,N(O87)-N(L87)))</f>
        <v/>
      </c>
      <c r="O87" s="39" t="n"/>
      <c r="P87" s="40">
        <f>IF($C87="","",IF((IF(F87="",", Client","")&amp;IF(G87="",", Description","")&amp;IF(H87="",", Cost Centre","")&amp;IF(I87="",", Invoice Type","")&amp;IF(J87="",", Tax Code","")&amp;IF(O87="",", Expected Revenue","")&amp;IF(COUNTIF(tbl_Finance[Job Number],$C87&amp;"")&gt;1,", Job number used twice",""))="","Complete","Fix: "&amp;MID(IF(F87="",", Client","")&amp;IF(G87="",", Description","")&amp;IF(H87="",", Cost Centre","")&amp;IF(I87="",", Invoice Type","")&amp;IF(J87="",", Tax Code","")&amp;IF(O87="",", Expected Revenue","")&amp;IF(COUNTIF(tbl_Finance[Job Number],$C87&amp;"")&gt;1,", Job number used twice",""),3,300)))</f>
        <v/>
      </c>
      <c r="Q87" s="10">
        <f>IF($C87="","",IF(H87="","(no cost centre)",H87&amp;" - GL "&amp;IFERROR(INDEX(lst_CCtoGL,MATCH(H87,lst_CCforGL,0)),"?")))</f>
        <v/>
      </c>
      <c r="R87" s="37" t="n"/>
      <c r="S87" s="10">
        <f>IF(R87="","",HYPERLINK(IF(LEFT(R87,4)="http",R87,set_QwilrBase&amp;R87),"Open quote"))</f>
        <v/>
      </c>
      <c r="T87" s="39" t="n"/>
      <c r="U87" s="39" t="n"/>
      <c r="V87" s="39" t="n"/>
      <c r="W87" s="10">
        <f>IF(C87="","",IF(N(T87)+N(U87)+N(V87)=0,"Not split",IF(ROUND(N(T87)+N(U87)+N(V87),2)=ROUND(MAX(N(L87),N(O87)),2),"OK","MISMATCH")))</f>
        <v/>
      </c>
      <c r="X87" s="39" t="n"/>
      <c r="Y87" s="39" t="n"/>
      <c r="Z87" s="39" t="n"/>
      <c r="AA87" s="11">
        <f>IF(C87="","",N(X87)+N(Y87)+N(Z87))</f>
        <v/>
      </c>
      <c r="AB87" s="11">
        <f>IF(C87="","",MAX(N(L87),N(O87))-N(AA87))</f>
        <v/>
      </c>
      <c r="AC87" s="43">
        <f>IFERROR(IF(MAX(N(L87),N(O87))=0,"",AB87/MAX(N(L87),N(O87))),"")</f>
        <v/>
      </c>
      <c r="AD87" s="37" t="n"/>
      <c r="AE87" s="10" t="inlineStr">
        <is>
          <t>CON-0083</t>
        </is>
      </c>
    </row>
    <row r="88">
      <c r="A88" s="16">
        <f>IF($C88="","",IFERROR(IF(INDEX(tbl_Finance[Latest Invoice Date],MATCH($AE88,tbl_Finance[Row ID],0))="","",INDEX(tbl_Finance[Latest Invoice Date],MATCH($AE88,tbl_Finance[Row ID],0))),""))</f>
        <v/>
      </c>
      <c r="B88" s="10">
        <f>IF($C88="","",IFERROR(INDEX(tbl_Finance[Invoice Numbers],MATCH($AE88,tbl_Finance[Row ID],0))&amp;"",""))</f>
        <v/>
      </c>
      <c r="C88" s="37" t="n"/>
      <c r="D88" s="10">
        <f>IF($C88="","",IF(COUNTIF(lst_Jobs,$C88&amp;"")&gt;0,"OK","CHECK"))</f>
        <v/>
      </c>
      <c r="E88" s="10">
        <f>IF($C88="","",IFERROR(INDEX(lst_JobName,MATCH($C88&amp;"",lst_Jobs,0)),""))</f>
        <v/>
      </c>
      <c r="F88" s="37" t="n"/>
      <c r="G88" s="37" t="n"/>
      <c r="H88" s="37" t="n"/>
      <c r="I88" s="37" t="n"/>
      <c r="J88" s="37" t="n"/>
      <c r="K88" s="38">
        <f>IF($C88="","",IFERROR(N(INDEX(tbl_Finance[Invoice Count],MATCH($AE88,tbl_Finance[Row ID],0))),""))</f>
        <v/>
      </c>
      <c r="L88" s="11">
        <f>IF($C88="","",IFERROR(N(INDEX(tbl_Finance[Xero Invoiced Ex GST],MATCH($AE88,tbl_Finance[Row ID],0))),""))</f>
        <v/>
      </c>
      <c r="M88" s="10">
        <f>IF($C88="","",IFERROR(INDEX(tbl_Finance[Compare],MATCH($AE88,tbl_Finance[Row ID],0))&amp;"",""))</f>
        <v/>
      </c>
      <c r="N88" s="11">
        <f>IF($C88="","",MAX(0,N(O88)-N(L88)))</f>
        <v/>
      </c>
      <c r="O88" s="39" t="n"/>
      <c r="P88" s="40">
        <f>IF($C88="","",IF((IF(F88="",", Client","")&amp;IF(G88="",", Description","")&amp;IF(H88="",", Cost Centre","")&amp;IF(I88="",", Invoice Type","")&amp;IF(J88="",", Tax Code","")&amp;IF(O88="",", Expected Revenue","")&amp;IF(COUNTIF(tbl_Finance[Job Number],$C88&amp;"")&gt;1,", Job number used twice",""))="","Complete","Fix: "&amp;MID(IF(F88="",", Client","")&amp;IF(G88="",", Description","")&amp;IF(H88="",", Cost Centre","")&amp;IF(I88="",", Invoice Type","")&amp;IF(J88="",", Tax Code","")&amp;IF(O88="",", Expected Revenue","")&amp;IF(COUNTIF(tbl_Finance[Job Number],$C88&amp;"")&gt;1,", Job number used twice",""),3,300)))</f>
        <v/>
      </c>
      <c r="Q88" s="10">
        <f>IF($C88="","",IF(H88="","(no cost centre)",H88&amp;" - GL "&amp;IFERROR(INDEX(lst_CCtoGL,MATCH(H88,lst_CCforGL,0)),"?")))</f>
        <v/>
      </c>
      <c r="R88" s="37" t="n"/>
      <c r="S88" s="10">
        <f>IF(R88="","",HYPERLINK(IF(LEFT(R88,4)="http",R88,set_QwilrBase&amp;R88),"Open quote"))</f>
        <v/>
      </c>
      <c r="T88" s="39" t="n"/>
      <c r="U88" s="39" t="n"/>
      <c r="V88" s="39" t="n"/>
      <c r="W88" s="10">
        <f>IF(C88="","",IF(N(T88)+N(U88)+N(V88)=0,"Not split",IF(ROUND(N(T88)+N(U88)+N(V88),2)=ROUND(MAX(N(L88),N(O88)),2),"OK","MISMATCH")))</f>
        <v/>
      </c>
      <c r="X88" s="39" t="n"/>
      <c r="Y88" s="39" t="n"/>
      <c r="Z88" s="39" t="n"/>
      <c r="AA88" s="11">
        <f>IF(C88="","",N(X88)+N(Y88)+N(Z88))</f>
        <v/>
      </c>
      <c r="AB88" s="11">
        <f>IF(C88="","",MAX(N(L88),N(O88))-N(AA88))</f>
        <v/>
      </c>
      <c r="AC88" s="43">
        <f>IFERROR(IF(MAX(N(L88),N(O88))=0,"",AB88/MAX(N(L88),N(O88))),"")</f>
        <v/>
      </c>
      <c r="AD88" s="37" t="n"/>
      <c r="AE88" s="10" t="inlineStr">
        <is>
          <t>CON-0084</t>
        </is>
      </c>
    </row>
    <row r="89">
      <c r="A89" s="16">
        <f>IF($C89="","",IFERROR(IF(INDEX(tbl_Finance[Latest Invoice Date],MATCH($AE89,tbl_Finance[Row ID],0))="","",INDEX(tbl_Finance[Latest Invoice Date],MATCH($AE89,tbl_Finance[Row ID],0))),""))</f>
        <v/>
      </c>
      <c r="B89" s="10">
        <f>IF($C89="","",IFERROR(INDEX(tbl_Finance[Invoice Numbers],MATCH($AE89,tbl_Finance[Row ID],0))&amp;"",""))</f>
        <v/>
      </c>
      <c r="C89" s="37" t="n"/>
      <c r="D89" s="10">
        <f>IF($C89="","",IF(COUNTIF(lst_Jobs,$C89&amp;"")&gt;0,"OK","CHECK"))</f>
        <v/>
      </c>
      <c r="E89" s="10">
        <f>IF($C89="","",IFERROR(INDEX(lst_JobName,MATCH($C89&amp;"",lst_Jobs,0)),""))</f>
        <v/>
      </c>
      <c r="F89" s="37" t="n"/>
      <c r="G89" s="37" t="n"/>
      <c r="H89" s="37" t="n"/>
      <c r="I89" s="37" t="n"/>
      <c r="J89" s="37" t="n"/>
      <c r="K89" s="38">
        <f>IF($C89="","",IFERROR(N(INDEX(tbl_Finance[Invoice Count],MATCH($AE89,tbl_Finance[Row ID],0))),""))</f>
        <v/>
      </c>
      <c r="L89" s="11">
        <f>IF($C89="","",IFERROR(N(INDEX(tbl_Finance[Xero Invoiced Ex GST],MATCH($AE89,tbl_Finance[Row ID],0))),""))</f>
        <v/>
      </c>
      <c r="M89" s="10">
        <f>IF($C89="","",IFERROR(INDEX(tbl_Finance[Compare],MATCH($AE89,tbl_Finance[Row ID],0))&amp;"",""))</f>
        <v/>
      </c>
      <c r="N89" s="11">
        <f>IF($C89="","",MAX(0,N(O89)-N(L89)))</f>
        <v/>
      </c>
      <c r="O89" s="39" t="n"/>
      <c r="P89" s="40">
        <f>IF($C89="","",IF((IF(F89="",", Client","")&amp;IF(G89="",", Description","")&amp;IF(H89="",", Cost Centre","")&amp;IF(I89="",", Invoice Type","")&amp;IF(J89="",", Tax Code","")&amp;IF(O89="",", Expected Revenue","")&amp;IF(COUNTIF(tbl_Finance[Job Number],$C89&amp;"")&gt;1,", Job number used twice",""))="","Complete","Fix: "&amp;MID(IF(F89="",", Client","")&amp;IF(G89="",", Description","")&amp;IF(H89="",", Cost Centre","")&amp;IF(I89="",", Invoice Type","")&amp;IF(J89="",", Tax Code","")&amp;IF(O89="",", Expected Revenue","")&amp;IF(COUNTIF(tbl_Finance[Job Number],$C89&amp;"")&gt;1,", Job number used twice",""),3,300)))</f>
        <v/>
      </c>
      <c r="Q89" s="10">
        <f>IF($C89="","",IF(H89="","(no cost centre)",H89&amp;" - GL "&amp;IFERROR(INDEX(lst_CCtoGL,MATCH(H89,lst_CCforGL,0)),"?")))</f>
        <v/>
      </c>
      <c r="R89" s="37" t="n"/>
      <c r="S89" s="10">
        <f>IF(R89="","",HYPERLINK(IF(LEFT(R89,4)="http",R89,set_QwilrBase&amp;R89),"Open quote"))</f>
        <v/>
      </c>
      <c r="T89" s="39" t="n"/>
      <c r="U89" s="39" t="n"/>
      <c r="V89" s="39" t="n"/>
      <c r="W89" s="10">
        <f>IF(C89="","",IF(N(T89)+N(U89)+N(V89)=0,"Not split",IF(ROUND(N(T89)+N(U89)+N(V89),2)=ROUND(MAX(N(L89),N(O89)),2),"OK","MISMATCH")))</f>
        <v/>
      </c>
      <c r="X89" s="39" t="n"/>
      <c r="Y89" s="39" t="n"/>
      <c r="Z89" s="39" t="n"/>
      <c r="AA89" s="11">
        <f>IF(C89="","",N(X89)+N(Y89)+N(Z89))</f>
        <v/>
      </c>
      <c r="AB89" s="11">
        <f>IF(C89="","",MAX(N(L89),N(O89))-N(AA89))</f>
        <v/>
      </c>
      <c r="AC89" s="43">
        <f>IFERROR(IF(MAX(N(L89),N(O89))=0,"",AB89/MAX(N(L89),N(O89))),"")</f>
        <v/>
      </c>
      <c r="AD89" s="37" t="n"/>
      <c r="AE89" s="10" t="inlineStr">
        <is>
          <t>CON-0085</t>
        </is>
      </c>
    </row>
    <row r="90">
      <c r="A90" s="16">
        <f>IF($C90="","",IFERROR(IF(INDEX(tbl_Finance[Latest Invoice Date],MATCH($AE90,tbl_Finance[Row ID],0))="","",INDEX(tbl_Finance[Latest Invoice Date],MATCH($AE90,tbl_Finance[Row ID],0))),""))</f>
        <v/>
      </c>
      <c r="B90" s="10">
        <f>IF($C90="","",IFERROR(INDEX(tbl_Finance[Invoice Numbers],MATCH($AE90,tbl_Finance[Row ID],0))&amp;"",""))</f>
        <v/>
      </c>
      <c r="C90" s="37" t="n"/>
      <c r="D90" s="10">
        <f>IF($C90="","",IF(COUNTIF(lst_Jobs,$C90&amp;"")&gt;0,"OK","CHECK"))</f>
        <v/>
      </c>
      <c r="E90" s="10">
        <f>IF($C90="","",IFERROR(INDEX(lst_JobName,MATCH($C90&amp;"",lst_Jobs,0)),""))</f>
        <v/>
      </c>
      <c r="F90" s="37" t="n"/>
      <c r="G90" s="37" t="n"/>
      <c r="H90" s="37" t="n"/>
      <c r="I90" s="37" t="n"/>
      <c r="J90" s="37" t="n"/>
      <c r="K90" s="38">
        <f>IF($C90="","",IFERROR(N(INDEX(tbl_Finance[Invoice Count],MATCH($AE90,tbl_Finance[Row ID],0))),""))</f>
        <v/>
      </c>
      <c r="L90" s="11">
        <f>IF($C90="","",IFERROR(N(INDEX(tbl_Finance[Xero Invoiced Ex GST],MATCH($AE90,tbl_Finance[Row ID],0))),""))</f>
        <v/>
      </c>
      <c r="M90" s="10">
        <f>IF($C90="","",IFERROR(INDEX(tbl_Finance[Compare],MATCH($AE90,tbl_Finance[Row ID],0))&amp;"",""))</f>
        <v/>
      </c>
      <c r="N90" s="11">
        <f>IF($C90="","",MAX(0,N(O90)-N(L90)))</f>
        <v/>
      </c>
      <c r="O90" s="39" t="n"/>
      <c r="P90" s="40">
        <f>IF($C90="","",IF((IF(F90="",", Client","")&amp;IF(G90="",", Description","")&amp;IF(H90="",", Cost Centre","")&amp;IF(I90="",", Invoice Type","")&amp;IF(J90="",", Tax Code","")&amp;IF(O90="",", Expected Revenue","")&amp;IF(COUNTIF(tbl_Finance[Job Number],$C90&amp;"")&gt;1,", Job number used twice",""))="","Complete","Fix: "&amp;MID(IF(F90="",", Client","")&amp;IF(G90="",", Description","")&amp;IF(H90="",", Cost Centre","")&amp;IF(I90="",", Invoice Type","")&amp;IF(J90="",", Tax Code","")&amp;IF(O90="",", Expected Revenue","")&amp;IF(COUNTIF(tbl_Finance[Job Number],$C90&amp;"")&gt;1,", Job number used twice",""),3,300)))</f>
        <v/>
      </c>
      <c r="Q90" s="10">
        <f>IF($C90="","",IF(H90="","(no cost centre)",H90&amp;" - GL "&amp;IFERROR(INDEX(lst_CCtoGL,MATCH(H90,lst_CCforGL,0)),"?")))</f>
        <v/>
      </c>
      <c r="R90" s="37" t="n"/>
      <c r="S90" s="10">
        <f>IF(R90="","",HYPERLINK(IF(LEFT(R90,4)="http",R90,set_QwilrBase&amp;R90),"Open quote"))</f>
        <v/>
      </c>
      <c r="T90" s="39" t="n"/>
      <c r="U90" s="39" t="n"/>
      <c r="V90" s="39" t="n"/>
      <c r="W90" s="10">
        <f>IF(C90="","",IF(N(T90)+N(U90)+N(V90)=0,"Not split",IF(ROUND(N(T90)+N(U90)+N(V90),2)=ROUND(MAX(N(L90),N(O90)),2),"OK","MISMATCH")))</f>
        <v/>
      </c>
      <c r="X90" s="39" t="n"/>
      <c r="Y90" s="39" t="n"/>
      <c r="Z90" s="39" t="n"/>
      <c r="AA90" s="11">
        <f>IF(C90="","",N(X90)+N(Y90)+N(Z90))</f>
        <v/>
      </c>
      <c r="AB90" s="11">
        <f>IF(C90="","",MAX(N(L90),N(O90))-N(AA90))</f>
        <v/>
      </c>
      <c r="AC90" s="43">
        <f>IFERROR(IF(MAX(N(L90),N(O90))=0,"",AB90/MAX(N(L90),N(O90))),"")</f>
        <v/>
      </c>
      <c r="AD90" s="37" t="n"/>
      <c r="AE90" s="10" t="inlineStr">
        <is>
          <t>CON-0086</t>
        </is>
      </c>
    </row>
    <row r="91">
      <c r="A91" s="16">
        <f>IF($C91="","",IFERROR(IF(INDEX(tbl_Finance[Latest Invoice Date],MATCH($AE91,tbl_Finance[Row ID],0))="","",INDEX(tbl_Finance[Latest Invoice Date],MATCH($AE91,tbl_Finance[Row ID],0))),""))</f>
        <v/>
      </c>
      <c r="B91" s="10">
        <f>IF($C91="","",IFERROR(INDEX(tbl_Finance[Invoice Numbers],MATCH($AE91,tbl_Finance[Row ID],0))&amp;"",""))</f>
        <v/>
      </c>
      <c r="C91" s="37" t="n"/>
      <c r="D91" s="10">
        <f>IF($C91="","",IF(COUNTIF(lst_Jobs,$C91&amp;"")&gt;0,"OK","CHECK"))</f>
        <v/>
      </c>
      <c r="E91" s="10">
        <f>IF($C91="","",IFERROR(INDEX(lst_JobName,MATCH($C91&amp;"",lst_Jobs,0)),""))</f>
        <v/>
      </c>
      <c r="F91" s="37" t="n"/>
      <c r="G91" s="37" t="n"/>
      <c r="H91" s="37" t="n"/>
      <c r="I91" s="37" t="n"/>
      <c r="J91" s="37" t="n"/>
      <c r="K91" s="38">
        <f>IF($C91="","",IFERROR(N(INDEX(tbl_Finance[Invoice Count],MATCH($AE91,tbl_Finance[Row ID],0))),""))</f>
        <v/>
      </c>
      <c r="L91" s="11">
        <f>IF($C91="","",IFERROR(N(INDEX(tbl_Finance[Xero Invoiced Ex GST],MATCH($AE91,tbl_Finance[Row ID],0))),""))</f>
        <v/>
      </c>
      <c r="M91" s="10">
        <f>IF($C91="","",IFERROR(INDEX(tbl_Finance[Compare],MATCH($AE91,tbl_Finance[Row ID],0))&amp;"",""))</f>
        <v/>
      </c>
      <c r="N91" s="11">
        <f>IF($C91="","",MAX(0,N(O91)-N(L91)))</f>
        <v/>
      </c>
      <c r="O91" s="39" t="n"/>
      <c r="P91" s="40">
        <f>IF($C91="","",IF((IF(F91="",", Client","")&amp;IF(G91="",", Description","")&amp;IF(H91="",", Cost Centre","")&amp;IF(I91="",", Invoice Type","")&amp;IF(J91="",", Tax Code","")&amp;IF(O91="",", Expected Revenue","")&amp;IF(COUNTIF(tbl_Finance[Job Number],$C91&amp;"")&gt;1,", Job number used twice",""))="","Complete","Fix: "&amp;MID(IF(F91="",", Client","")&amp;IF(G91="",", Description","")&amp;IF(H91="",", Cost Centre","")&amp;IF(I91="",", Invoice Type","")&amp;IF(J91="",", Tax Code","")&amp;IF(O91="",", Expected Revenue","")&amp;IF(COUNTIF(tbl_Finance[Job Number],$C91&amp;"")&gt;1,", Job number used twice",""),3,300)))</f>
        <v/>
      </c>
      <c r="Q91" s="10">
        <f>IF($C91="","",IF(H91="","(no cost centre)",H91&amp;" - GL "&amp;IFERROR(INDEX(lst_CCtoGL,MATCH(H91,lst_CCforGL,0)),"?")))</f>
        <v/>
      </c>
      <c r="R91" s="37" t="n"/>
      <c r="S91" s="10">
        <f>IF(R91="","",HYPERLINK(IF(LEFT(R91,4)="http",R91,set_QwilrBase&amp;R91),"Open quote"))</f>
        <v/>
      </c>
      <c r="T91" s="39" t="n"/>
      <c r="U91" s="39" t="n"/>
      <c r="V91" s="39" t="n"/>
      <c r="W91" s="10">
        <f>IF(C91="","",IF(N(T91)+N(U91)+N(V91)=0,"Not split",IF(ROUND(N(T91)+N(U91)+N(V91),2)=ROUND(MAX(N(L91),N(O91)),2),"OK","MISMATCH")))</f>
        <v/>
      </c>
      <c r="X91" s="39" t="n"/>
      <c r="Y91" s="39" t="n"/>
      <c r="Z91" s="39" t="n"/>
      <c r="AA91" s="11">
        <f>IF(C91="","",N(X91)+N(Y91)+N(Z91))</f>
        <v/>
      </c>
      <c r="AB91" s="11">
        <f>IF(C91="","",MAX(N(L91),N(O91))-N(AA91))</f>
        <v/>
      </c>
      <c r="AC91" s="43">
        <f>IFERROR(IF(MAX(N(L91),N(O91))=0,"",AB91/MAX(N(L91),N(O91))),"")</f>
        <v/>
      </c>
      <c r="AD91" s="37" t="n"/>
      <c r="AE91" s="10" t="inlineStr">
        <is>
          <t>CON-0087</t>
        </is>
      </c>
    </row>
    <row r="92">
      <c r="A92" s="16">
        <f>IF($C92="","",IFERROR(IF(INDEX(tbl_Finance[Latest Invoice Date],MATCH($AE92,tbl_Finance[Row ID],0))="","",INDEX(tbl_Finance[Latest Invoice Date],MATCH($AE92,tbl_Finance[Row ID],0))),""))</f>
        <v/>
      </c>
      <c r="B92" s="10">
        <f>IF($C92="","",IFERROR(INDEX(tbl_Finance[Invoice Numbers],MATCH($AE92,tbl_Finance[Row ID],0))&amp;"",""))</f>
        <v/>
      </c>
      <c r="C92" s="37" t="n"/>
      <c r="D92" s="10">
        <f>IF($C92="","",IF(COUNTIF(lst_Jobs,$C92&amp;"")&gt;0,"OK","CHECK"))</f>
        <v/>
      </c>
      <c r="E92" s="10">
        <f>IF($C92="","",IFERROR(INDEX(lst_JobName,MATCH($C92&amp;"",lst_Jobs,0)),""))</f>
        <v/>
      </c>
      <c r="F92" s="37" t="n"/>
      <c r="G92" s="37" t="n"/>
      <c r="H92" s="37" t="n"/>
      <c r="I92" s="37" t="n"/>
      <c r="J92" s="37" t="n"/>
      <c r="K92" s="38">
        <f>IF($C92="","",IFERROR(N(INDEX(tbl_Finance[Invoice Count],MATCH($AE92,tbl_Finance[Row ID],0))),""))</f>
        <v/>
      </c>
      <c r="L92" s="11">
        <f>IF($C92="","",IFERROR(N(INDEX(tbl_Finance[Xero Invoiced Ex GST],MATCH($AE92,tbl_Finance[Row ID],0))),""))</f>
        <v/>
      </c>
      <c r="M92" s="10">
        <f>IF($C92="","",IFERROR(INDEX(tbl_Finance[Compare],MATCH($AE92,tbl_Finance[Row ID],0))&amp;"",""))</f>
        <v/>
      </c>
      <c r="N92" s="11">
        <f>IF($C92="","",MAX(0,N(O92)-N(L92)))</f>
        <v/>
      </c>
      <c r="O92" s="39" t="n"/>
      <c r="P92" s="40">
        <f>IF($C92="","",IF((IF(F92="",", Client","")&amp;IF(G92="",", Description","")&amp;IF(H92="",", Cost Centre","")&amp;IF(I92="",", Invoice Type","")&amp;IF(J92="",", Tax Code","")&amp;IF(O92="",", Expected Revenue","")&amp;IF(COUNTIF(tbl_Finance[Job Number],$C92&amp;"")&gt;1,", Job number used twice",""))="","Complete","Fix: "&amp;MID(IF(F92="",", Client","")&amp;IF(G92="",", Description","")&amp;IF(H92="",", Cost Centre","")&amp;IF(I92="",", Invoice Type","")&amp;IF(J92="",", Tax Code","")&amp;IF(O92="",", Expected Revenue","")&amp;IF(COUNTIF(tbl_Finance[Job Number],$C92&amp;"")&gt;1,", Job number used twice",""),3,300)))</f>
        <v/>
      </c>
      <c r="Q92" s="10">
        <f>IF($C92="","",IF(H92="","(no cost centre)",H92&amp;" - GL "&amp;IFERROR(INDEX(lst_CCtoGL,MATCH(H92,lst_CCforGL,0)),"?")))</f>
        <v/>
      </c>
      <c r="R92" s="37" t="n"/>
      <c r="S92" s="10">
        <f>IF(R92="","",HYPERLINK(IF(LEFT(R92,4)="http",R92,set_QwilrBase&amp;R92),"Open quote"))</f>
        <v/>
      </c>
      <c r="T92" s="39" t="n"/>
      <c r="U92" s="39" t="n"/>
      <c r="V92" s="39" t="n"/>
      <c r="W92" s="10">
        <f>IF(C92="","",IF(N(T92)+N(U92)+N(V92)=0,"Not split",IF(ROUND(N(T92)+N(U92)+N(V92),2)=ROUND(MAX(N(L92),N(O92)),2),"OK","MISMATCH")))</f>
        <v/>
      </c>
      <c r="X92" s="39" t="n"/>
      <c r="Y92" s="39" t="n"/>
      <c r="Z92" s="39" t="n"/>
      <c r="AA92" s="11">
        <f>IF(C92="","",N(X92)+N(Y92)+N(Z92))</f>
        <v/>
      </c>
      <c r="AB92" s="11">
        <f>IF(C92="","",MAX(N(L92),N(O92))-N(AA92))</f>
        <v/>
      </c>
      <c r="AC92" s="43">
        <f>IFERROR(IF(MAX(N(L92),N(O92))=0,"",AB92/MAX(N(L92),N(O92))),"")</f>
        <v/>
      </c>
      <c r="AD92" s="37" t="n"/>
      <c r="AE92" s="10" t="inlineStr">
        <is>
          <t>CON-0088</t>
        </is>
      </c>
    </row>
    <row r="93">
      <c r="A93" s="16">
        <f>IF($C93="","",IFERROR(IF(INDEX(tbl_Finance[Latest Invoice Date],MATCH($AE93,tbl_Finance[Row ID],0))="","",INDEX(tbl_Finance[Latest Invoice Date],MATCH($AE93,tbl_Finance[Row ID],0))),""))</f>
        <v/>
      </c>
      <c r="B93" s="10">
        <f>IF($C93="","",IFERROR(INDEX(tbl_Finance[Invoice Numbers],MATCH($AE93,tbl_Finance[Row ID],0))&amp;"",""))</f>
        <v/>
      </c>
      <c r="C93" s="37" t="n"/>
      <c r="D93" s="10">
        <f>IF($C93="","",IF(COUNTIF(lst_Jobs,$C93&amp;"")&gt;0,"OK","CHECK"))</f>
        <v/>
      </c>
      <c r="E93" s="10">
        <f>IF($C93="","",IFERROR(INDEX(lst_JobName,MATCH($C93&amp;"",lst_Jobs,0)),""))</f>
        <v/>
      </c>
      <c r="F93" s="37" t="n"/>
      <c r="G93" s="37" t="n"/>
      <c r="H93" s="37" t="n"/>
      <c r="I93" s="37" t="n"/>
      <c r="J93" s="37" t="n"/>
      <c r="K93" s="38">
        <f>IF($C93="","",IFERROR(N(INDEX(tbl_Finance[Invoice Count],MATCH($AE93,tbl_Finance[Row ID],0))),""))</f>
        <v/>
      </c>
      <c r="L93" s="11">
        <f>IF($C93="","",IFERROR(N(INDEX(tbl_Finance[Xero Invoiced Ex GST],MATCH($AE93,tbl_Finance[Row ID],0))),""))</f>
        <v/>
      </c>
      <c r="M93" s="10">
        <f>IF($C93="","",IFERROR(INDEX(tbl_Finance[Compare],MATCH($AE93,tbl_Finance[Row ID],0))&amp;"",""))</f>
        <v/>
      </c>
      <c r="N93" s="11">
        <f>IF($C93="","",MAX(0,N(O93)-N(L93)))</f>
        <v/>
      </c>
      <c r="O93" s="39" t="n"/>
      <c r="P93" s="40">
        <f>IF($C93="","",IF((IF(F93="",", Client","")&amp;IF(G93="",", Description","")&amp;IF(H93="",", Cost Centre","")&amp;IF(I93="",", Invoice Type","")&amp;IF(J93="",", Tax Code","")&amp;IF(O93="",", Expected Revenue","")&amp;IF(COUNTIF(tbl_Finance[Job Number],$C93&amp;"")&gt;1,", Job number used twice",""))="","Complete","Fix: "&amp;MID(IF(F93="",", Client","")&amp;IF(G93="",", Description","")&amp;IF(H93="",", Cost Centre","")&amp;IF(I93="",", Invoice Type","")&amp;IF(J93="",", Tax Code","")&amp;IF(O93="",", Expected Revenue","")&amp;IF(COUNTIF(tbl_Finance[Job Number],$C93&amp;"")&gt;1,", Job number used twice",""),3,300)))</f>
        <v/>
      </c>
      <c r="Q93" s="10">
        <f>IF($C93="","",IF(H93="","(no cost centre)",H93&amp;" - GL "&amp;IFERROR(INDEX(lst_CCtoGL,MATCH(H93,lst_CCforGL,0)),"?")))</f>
        <v/>
      </c>
      <c r="R93" s="37" t="n"/>
      <c r="S93" s="10">
        <f>IF(R93="","",HYPERLINK(IF(LEFT(R93,4)="http",R93,set_QwilrBase&amp;R93),"Open quote"))</f>
        <v/>
      </c>
      <c r="T93" s="39" t="n"/>
      <c r="U93" s="39" t="n"/>
      <c r="V93" s="39" t="n"/>
      <c r="W93" s="10">
        <f>IF(C93="","",IF(N(T93)+N(U93)+N(V93)=0,"Not split",IF(ROUND(N(T93)+N(U93)+N(V93),2)=ROUND(MAX(N(L93),N(O93)),2),"OK","MISMATCH")))</f>
        <v/>
      </c>
      <c r="X93" s="39" t="n"/>
      <c r="Y93" s="39" t="n"/>
      <c r="Z93" s="39" t="n"/>
      <c r="AA93" s="11">
        <f>IF(C93="","",N(X93)+N(Y93)+N(Z93))</f>
        <v/>
      </c>
      <c r="AB93" s="11">
        <f>IF(C93="","",MAX(N(L93),N(O93))-N(AA93))</f>
        <v/>
      </c>
      <c r="AC93" s="43">
        <f>IFERROR(IF(MAX(N(L93),N(O93))=0,"",AB93/MAX(N(L93),N(O93))),"")</f>
        <v/>
      </c>
      <c r="AD93" s="37" t="n"/>
      <c r="AE93" s="10" t="inlineStr">
        <is>
          <t>CON-0089</t>
        </is>
      </c>
    </row>
    <row r="94">
      <c r="A94" s="16">
        <f>IF($C94="","",IFERROR(IF(INDEX(tbl_Finance[Latest Invoice Date],MATCH($AE94,tbl_Finance[Row ID],0))="","",INDEX(tbl_Finance[Latest Invoice Date],MATCH($AE94,tbl_Finance[Row ID],0))),""))</f>
        <v/>
      </c>
      <c r="B94" s="10">
        <f>IF($C94="","",IFERROR(INDEX(tbl_Finance[Invoice Numbers],MATCH($AE94,tbl_Finance[Row ID],0))&amp;"",""))</f>
        <v/>
      </c>
      <c r="C94" s="37" t="n"/>
      <c r="D94" s="10">
        <f>IF($C94="","",IF(COUNTIF(lst_Jobs,$C94&amp;"")&gt;0,"OK","CHECK"))</f>
        <v/>
      </c>
      <c r="E94" s="10">
        <f>IF($C94="","",IFERROR(INDEX(lst_JobName,MATCH($C94&amp;"",lst_Jobs,0)),""))</f>
        <v/>
      </c>
      <c r="F94" s="37" t="n"/>
      <c r="G94" s="37" t="n"/>
      <c r="H94" s="37" t="n"/>
      <c r="I94" s="37" t="n"/>
      <c r="J94" s="37" t="n"/>
      <c r="K94" s="38">
        <f>IF($C94="","",IFERROR(N(INDEX(tbl_Finance[Invoice Count],MATCH($AE94,tbl_Finance[Row ID],0))),""))</f>
        <v/>
      </c>
      <c r="L94" s="11">
        <f>IF($C94="","",IFERROR(N(INDEX(tbl_Finance[Xero Invoiced Ex GST],MATCH($AE94,tbl_Finance[Row ID],0))),""))</f>
        <v/>
      </c>
      <c r="M94" s="10">
        <f>IF($C94="","",IFERROR(INDEX(tbl_Finance[Compare],MATCH($AE94,tbl_Finance[Row ID],0))&amp;"",""))</f>
        <v/>
      </c>
      <c r="N94" s="11">
        <f>IF($C94="","",MAX(0,N(O94)-N(L94)))</f>
        <v/>
      </c>
      <c r="O94" s="39" t="n"/>
      <c r="P94" s="40">
        <f>IF($C94="","",IF((IF(F94="",", Client","")&amp;IF(G94="",", Description","")&amp;IF(H94="",", Cost Centre","")&amp;IF(I94="",", Invoice Type","")&amp;IF(J94="",", Tax Code","")&amp;IF(O94="",", Expected Revenue","")&amp;IF(COUNTIF(tbl_Finance[Job Number],$C94&amp;"")&gt;1,", Job number used twice",""))="","Complete","Fix: "&amp;MID(IF(F94="",", Client","")&amp;IF(G94="",", Description","")&amp;IF(H94="",", Cost Centre","")&amp;IF(I94="",", Invoice Type","")&amp;IF(J94="",", Tax Code","")&amp;IF(O94="",", Expected Revenue","")&amp;IF(COUNTIF(tbl_Finance[Job Number],$C94&amp;"")&gt;1,", Job number used twice",""),3,300)))</f>
        <v/>
      </c>
      <c r="Q94" s="10">
        <f>IF($C94="","",IF(H94="","(no cost centre)",H94&amp;" - GL "&amp;IFERROR(INDEX(lst_CCtoGL,MATCH(H94,lst_CCforGL,0)),"?")))</f>
        <v/>
      </c>
      <c r="R94" s="37" t="n"/>
      <c r="S94" s="10">
        <f>IF(R94="","",HYPERLINK(IF(LEFT(R94,4)="http",R94,set_QwilrBase&amp;R94),"Open quote"))</f>
        <v/>
      </c>
      <c r="T94" s="39" t="n"/>
      <c r="U94" s="39" t="n"/>
      <c r="V94" s="39" t="n"/>
      <c r="W94" s="10">
        <f>IF(C94="","",IF(N(T94)+N(U94)+N(V94)=0,"Not split",IF(ROUND(N(T94)+N(U94)+N(V94),2)=ROUND(MAX(N(L94),N(O94)),2),"OK","MISMATCH")))</f>
        <v/>
      </c>
      <c r="X94" s="39" t="n"/>
      <c r="Y94" s="39" t="n"/>
      <c r="Z94" s="39" t="n"/>
      <c r="AA94" s="11">
        <f>IF(C94="","",N(X94)+N(Y94)+N(Z94))</f>
        <v/>
      </c>
      <c r="AB94" s="11">
        <f>IF(C94="","",MAX(N(L94),N(O94))-N(AA94))</f>
        <v/>
      </c>
      <c r="AC94" s="43">
        <f>IFERROR(IF(MAX(N(L94),N(O94))=0,"",AB94/MAX(N(L94),N(O94))),"")</f>
        <v/>
      </c>
      <c r="AD94" s="37" t="n"/>
      <c r="AE94" s="10" t="inlineStr">
        <is>
          <t>CON-0090</t>
        </is>
      </c>
    </row>
    <row r="95">
      <c r="A95" s="16">
        <f>IF($C95="","",IFERROR(IF(INDEX(tbl_Finance[Latest Invoice Date],MATCH($AE95,tbl_Finance[Row ID],0))="","",INDEX(tbl_Finance[Latest Invoice Date],MATCH($AE95,tbl_Finance[Row ID],0))),""))</f>
        <v/>
      </c>
      <c r="B95" s="10">
        <f>IF($C95="","",IFERROR(INDEX(tbl_Finance[Invoice Numbers],MATCH($AE95,tbl_Finance[Row ID],0))&amp;"",""))</f>
        <v/>
      </c>
      <c r="C95" s="37" t="n"/>
      <c r="D95" s="10">
        <f>IF($C95="","",IF(COUNTIF(lst_Jobs,$C95&amp;"")&gt;0,"OK","CHECK"))</f>
        <v/>
      </c>
      <c r="E95" s="10">
        <f>IF($C95="","",IFERROR(INDEX(lst_JobName,MATCH($C95&amp;"",lst_Jobs,0)),""))</f>
        <v/>
      </c>
      <c r="F95" s="37" t="n"/>
      <c r="G95" s="37" t="n"/>
      <c r="H95" s="37" t="n"/>
      <c r="I95" s="37" t="n"/>
      <c r="J95" s="37" t="n"/>
      <c r="K95" s="38">
        <f>IF($C95="","",IFERROR(N(INDEX(tbl_Finance[Invoice Count],MATCH($AE95,tbl_Finance[Row ID],0))),""))</f>
        <v/>
      </c>
      <c r="L95" s="11">
        <f>IF($C95="","",IFERROR(N(INDEX(tbl_Finance[Xero Invoiced Ex GST],MATCH($AE95,tbl_Finance[Row ID],0))),""))</f>
        <v/>
      </c>
      <c r="M95" s="10">
        <f>IF($C95="","",IFERROR(INDEX(tbl_Finance[Compare],MATCH($AE95,tbl_Finance[Row ID],0))&amp;"",""))</f>
        <v/>
      </c>
      <c r="N95" s="11">
        <f>IF($C95="","",MAX(0,N(O95)-N(L95)))</f>
        <v/>
      </c>
      <c r="O95" s="39" t="n"/>
      <c r="P95" s="40">
        <f>IF($C95="","",IF((IF(F95="",", Client","")&amp;IF(G95="",", Description","")&amp;IF(H95="",", Cost Centre","")&amp;IF(I95="",", Invoice Type","")&amp;IF(J95="",", Tax Code","")&amp;IF(O95="",", Expected Revenue","")&amp;IF(COUNTIF(tbl_Finance[Job Number],$C95&amp;"")&gt;1,", Job number used twice",""))="","Complete","Fix: "&amp;MID(IF(F95="",", Client","")&amp;IF(G95="",", Description","")&amp;IF(H95="",", Cost Centre","")&amp;IF(I95="",", Invoice Type","")&amp;IF(J95="",", Tax Code","")&amp;IF(O95="",", Expected Revenue","")&amp;IF(COUNTIF(tbl_Finance[Job Number],$C95&amp;"")&gt;1,", Job number used twice",""),3,300)))</f>
        <v/>
      </c>
      <c r="Q95" s="10">
        <f>IF($C95="","",IF(H95="","(no cost centre)",H95&amp;" - GL "&amp;IFERROR(INDEX(lst_CCtoGL,MATCH(H95,lst_CCforGL,0)),"?")))</f>
        <v/>
      </c>
      <c r="R95" s="37" t="n"/>
      <c r="S95" s="10">
        <f>IF(R95="","",HYPERLINK(IF(LEFT(R95,4)="http",R95,set_QwilrBase&amp;R95),"Open quote"))</f>
        <v/>
      </c>
      <c r="T95" s="39" t="n"/>
      <c r="U95" s="39" t="n"/>
      <c r="V95" s="39" t="n"/>
      <c r="W95" s="10">
        <f>IF(C95="","",IF(N(T95)+N(U95)+N(V95)=0,"Not split",IF(ROUND(N(T95)+N(U95)+N(V95),2)=ROUND(MAX(N(L95),N(O95)),2),"OK","MISMATCH")))</f>
        <v/>
      </c>
      <c r="X95" s="39" t="n"/>
      <c r="Y95" s="39" t="n"/>
      <c r="Z95" s="39" t="n"/>
      <c r="AA95" s="11">
        <f>IF(C95="","",N(X95)+N(Y95)+N(Z95))</f>
        <v/>
      </c>
      <c r="AB95" s="11">
        <f>IF(C95="","",MAX(N(L95),N(O95))-N(AA95))</f>
        <v/>
      </c>
      <c r="AC95" s="43">
        <f>IFERROR(IF(MAX(N(L95),N(O95))=0,"",AB95/MAX(N(L95),N(O95))),"")</f>
        <v/>
      </c>
      <c r="AD95" s="37" t="n"/>
      <c r="AE95" s="10" t="inlineStr">
        <is>
          <t>CON-0091</t>
        </is>
      </c>
    </row>
    <row r="96">
      <c r="A96" s="16">
        <f>IF($C96="","",IFERROR(IF(INDEX(tbl_Finance[Latest Invoice Date],MATCH($AE96,tbl_Finance[Row ID],0))="","",INDEX(tbl_Finance[Latest Invoice Date],MATCH($AE96,tbl_Finance[Row ID],0))),""))</f>
        <v/>
      </c>
      <c r="B96" s="10">
        <f>IF($C96="","",IFERROR(INDEX(tbl_Finance[Invoice Numbers],MATCH($AE96,tbl_Finance[Row ID],0))&amp;"",""))</f>
        <v/>
      </c>
      <c r="C96" s="37" t="n"/>
      <c r="D96" s="10">
        <f>IF($C96="","",IF(COUNTIF(lst_Jobs,$C96&amp;"")&gt;0,"OK","CHECK"))</f>
        <v/>
      </c>
      <c r="E96" s="10">
        <f>IF($C96="","",IFERROR(INDEX(lst_JobName,MATCH($C96&amp;"",lst_Jobs,0)),""))</f>
        <v/>
      </c>
      <c r="F96" s="37" t="n"/>
      <c r="G96" s="37" t="n"/>
      <c r="H96" s="37" t="n"/>
      <c r="I96" s="37" t="n"/>
      <c r="J96" s="37" t="n"/>
      <c r="K96" s="38">
        <f>IF($C96="","",IFERROR(N(INDEX(tbl_Finance[Invoice Count],MATCH($AE96,tbl_Finance[Row ID],0))),""))</f>
        <v/>
      </c>
      <c r="L96" s="11">
        <f>IF($C96="","",IFERROR(N(INDEX(tbl_Finance[Xero Invoiced Ex GST],MATCH($AE96,tbl_Finance[Row ID],0))),""))</f>
        <v/>
      </c>
      <c r="M96" s="10">
        <f>IF($C96="","",IFERROR(INDEX(tbl_Finance[Compare],MATCH($AE96,tbl_Finance[Row ID],0))&amp;"",""))</f>
        <v/>
      </c>
      <c r="N96" s="11">
        <f>IF($C96="","",MAX(0,N(O96)-N(L96)))</f>
        <v/>
      </c>
      <c r="O96" s="39" t="n"/>
      <c r="P96" s="40">
        <f>IF($C96="","",IF((IF(F96="",", Client","")&amp;IF(G96="",", Description","")&amp;IF(H96="",", Cost Centre","")&amp;IF(I96="",", Invoice Type","")&amp;IF(J96="",", Tax Code","")&amp;IF(O96="",", Expected Revenue","")&amp;IF(COUNTIF(tbl_Finance[Job Number],$C96&amp;"")&gt;1,", Job number used twice",""))="","Complete","Fix: "&amp;MID(IF(F96="",", Client","")&amp;IF(G96="",", Description","")&amp;IF(H96="",", Cost Centre","")&amp;IF(I96="",", Invoice Type","")&amp;IF(J96="",", Tax Code","")&amp;IF(O96="",", Expected Revenue","")&amp;IF(COUNTIF(tbl_Finance[Job Number],$C96&amp;"")&gt;1,", Job number used twice",""),3,300)))</f>
        <v/>
      </c>
      <c r="Q96" s="10">
        <f>IF($C96="","",IF(H96="","(no cost centre)",H96&amp;" - GL "&amp;IFERROR(INDEX(lst_CCtoGL,MATCH(H96,lst_CCforGL,0)),"?")))</f>
        <v/>
      </c>
      <c r="R96" s="37" t="n"/>
      <c r="S96" s="10">
        <f>IF(R96="","",HYPERLINK(IF(LEFT(R96,4)="http",R96,set_QwilrBase&amp;R96),"Open quote"))</f>
        <v/>
      </c>
      <c r="T96" s="39" t="n"/>
      <c r="U96" s="39" t="n"/>
      <c r="V96" s="39" t="n"/>
      <c r="W96" s="10">
        <f>IF(C96="","",IF(N(T96)+N(U96)+N(V96)=0,"Not split",IF(ROUND(N(T96)+N(U96)+N(V96),2)=ROUND(MAX(N(L96),N(O96)),2),"OK","MISMATCH")))</f>
        <v/>
      </c>
      <c r="X96" s="39" t="n"/>
      <c r="Y96" s="39" t="n"/>
      <c r="Z96" s="39" t="n"/>
      <c r="AA96" s="11">
        <f>IF(C96="","",N(X96)+N(Y96)+N(Z96))</f>
        <v/>
      </c>
      <c r="AB96" s="11">
        <f>IF(C96="","",MAX(N(L96),N(O96))-N(AA96))</f>
        <v/>
      </c>
      <c r="AC96" s="43">
        <f>IFERROR(IF(MAX(N(L96),N(O96))=0,"",AB96/MAX(N(L96),N(O96))),"")</f>
        <v/>
      </c>
      <c r="AD96" s="37" t="n"/>
      <c r="AE96" s="10" t="inlineStr">
        <is>
          <t>CON-0092</t>
        </is>
      </c>
    </row>
    <row r="97">
      <c r="A97" s="16">
        <f>IF($C97="","",IFERROR(IF(INDEX(tbl_Finance[Latest Invoice Date],MATCH($AE97,tbl_Finance[Row ID],0))="","",INDEX(tbl_Finance[Latest Invoice Date],MATCH($AE97,tbl_Finance[Row ID],0))),""))</f>
        <v/>
      </c>
      <c r="B97" s="10">
        <f>IF($C97="","",IFERROR(INDEX(tbl_Finance[Invoice Numbers],MATCH($AE97,tbl_Finance[Row ID],0))&amp;"",""))</f>
        <v/>
      </c>
      <c r="C97" s="37" t="n"/>
      <c r="D97" s="10">
        <f>IF($C97="","",IF(COUNTIF(lst_Jobs,$C97&amp;"")&gt;0,"OK","CHECK"))</f>
        <v/>
      </c>
      <c r="E97" s="10">
        <f>IF($C97="","",IFERROR(INDEX(lst_JobName,MATCH($C97&amp;"",lst_Jobs,0)),""))</f>
        <v/>
      </c>
      <c r="F97" s="37" t="n"/>
      <c r="G97" s="37" t="n"/>
      <c r="H97" s="37" t="n"/>
      <c r="I97" s="37" t="n"/>
      <c r="J97" s="37" t="n"/>
      <c r="K97" s="38">
        <f>IF($C97="","",IFERROR(N(INDEX(tbl_Finance[Invoice Count],MATCH($AE97,tbl_Finance[Row ID],0))),""))</f>
        <v/>
      </c>
      <c r="L97" s="11">
        <f>IF($C97="","",IFERROR(N(INDEX(tbl_Finance[Xero Invoiced Ex GST],MATCH($AE97,tbl_Finance[Row ID],0))),""))</f>
        <v/>
      </c>
      <c r="M97" s="10">
        <f>IF($C97="","",IFERROR(INDEX(tbl_Finance[Compare],MATCH($AE97,tbl_Finance[Row ID],0))&amp;"",""))</f>
        <v/>
      </c>
      <c r="N97" s="11">
        <f>IF($C97="","",MAX(0,N(O97)-N(L97)))</f>
        <v/>
      </c>
      <c r="O97" s="39" t="n"/>
      <c r="P97" s="40">
        <f>IF($C97="","",IF((IF(F97="",", Client","")&amp;IF(G97="",", Description","")&amp;IF(H97="",", Cost Centre","")&amp;IF(I97="",", Invoice Type","")&amp;IF(J97="",", Tax Code","")&amp;IF(O97="",", Expected Revenue","")&amp;IF(COUNTIF(tbl_Finance[Job Number],$C97&amp;"")&gt;1,", Job number used twice",""))="","Complete","Fix: "&amp;MID(IF(F97="",", Client","")&amp;IF(G97="",", Description","")&amp;IF(H97="",", Cost Centre","")&amp;IF(I97="",", Invoice Type","")&amp;IF(J97="",", Tax Code","")&amp;IF(O97="",", Expected Revenue","")&amp;IF(COUNTIF(tbl_Finance[Job Number],$C97&amp;"")&gt;1,", Job number used twice",""),3,300)))</f>
        <v/>
      </c>
      <c r="Q97" s="10">
        <f>IF($C97="","",IF(H97="","(no cost centre)",H97&amp;" - GL "&amp;IFERROR(INDEX(lst_CCtoGL,MATCH(H97,lst_CCforGL,0)),"?")))</f>
        <v/>
      </c>
      <c r="R97" s="37" t="n"/>
      <c r="S97" s="10">
        <f>IF(R97="","",HYPERLINK(IF(LEFT(R97,4)="http",R97,set_QwilrBase&amp;R97),"Open quote"))</f>
        <v/>
      </c>
      <c r="T97" s="39" t="n"/>
      <c r="U97" s="39" t="n"/>
      <c r="V97" s="39" t="n"/>
      <c r="W97" s="10">
        <f>IF(C97="","",IF(N(T97)+N(U97)+N(V97)=0,"Not split",IF(ROUND(N(T97)+N(U97)+N(V97),2)=ROUND(MAX(N(L97),N(O97)),2),"OK","MISMATCH")))</f>
        <v/>
      </c>
      <c r="X97" s="39" t="n"/>
      <c r="Y97" s="39" t="n"/>
      <c r="Z97" s="39" t="n"/>
      <c r="AA97" s="11">
        <f>IF(C97="","",N(X97)+N(Y97)+N(Z97))</f>
        <v/>
      </c>
      <c r="AB97" s="11">
        <f>IF(C97="","",MAX(N(L97),N(O97))-N(AA97))</f>
        <v/>
      </c>
      <c r="AC97" s="43">
        <f>IFERROR(IF(MAX(N(L97),N(O97))=0,"",AB97/MAX(N(L97),N(O97))),"")</f>
        <v/>
      </c>
      <c r="AD97" s="37" t="n"/>
      <c r="AE97" s="10" t="inlineStr">
        <is>
          <t>CON-0093</t>
        </is>
      </c>
    </row>
    <row r="98">
      <c r="A98" s="16">
        <f>IF($C98="","",IFERROR(IF(INDEX(tbl_Finance[Latest Invoice Date],MATCH($AE98,tbl_Finance[Row ID],0))="","",INDEX(tbl_Finance[Latest Invoice Date],MATCH($AE98,tbl_Finance[Row ID],0))),""))</f>
        <v/>
      </c>
      <c r="B98" s="10">
        <f>IF($C98="","",IFERROR(INDEX(tbl_Finance[Invoice Numbers],MATCH($AE98,tbl_Finance[Row ID],0))&amp;"",""))</f>
        <v/>
      </c>
      <c r="C98" s="37" t="n"/>
      <c r="D98" s="10">
        <f>IF($C98="","",IF(COUNTIF(lst_Jobs,$C98&amp;"")&gt;0,"OK","CHECK"))</f>
        <v/>
      </c>
      <c r="E98" s="10">
        <f>IF($C98="","",IFERROR(INDEX(lst_JobName,MATCH($C98&amp;"",lst_Jobs,0)),""))</f>
        <v/>
      </c>
      <c r="F98" s="37" t="n"/>
      <c r="G98" s="37" t="n"/>
      <c r="H98" s="37" t="n"/>
      <c r="I98" s="37" t="n"/>
      <c r="J98" s="37" t="n"/>
      <c r="K98" s="38">
        <f>IF($C98="","",IFERROR(N(INDEX(tbl_Finance[Invoice Count],MATCH($AE98,tbl_Finance[Row ID],0))),""))</f>
        <v/>
      </c>
      <c r="L98" s="11">
        <f>IF($C98="","",IFERROR(N(INDEX(tbl_Finance[Xero Invoiced Ex GST],MATCH($AE98,tbl_Finance[Row ID],0))),""))</f>
        <v/>
      </c>
      <c r="M98" s="10">
        <f>IF($C98="","",IFERROR(INDEX(tbl_Finance[Compare],MATCH($AE98,tbl_Finance[Row ID],0))&amp;"",""))</f>
        <v/>
      </c>
      <c r="N98" s="11">
        <f>IF($C98="","",MAX(0,N(O98)-N(L98)))</f>
        <v/>
      </c>
      <c r="O98" s="39" t="n"/>
      <c r="P98" s="40">
        <f>IF($C98="","",IF((IF(F98="",", Client","")&amp;IF(G98="",", Description","")&amp;IF(H98="",", Cost Centre","")&amp;IF(I98="",", Invoice Type","")&amp;IF(J98="",", Tax Code","")&amp;IF(O98="",", Expected Revenue","")&amp;IF(COUNTIF(tbl_Finance[Job Number],$C98&amp;"")&gt;1,", Job number used twice",""))="","Complete","Fix: "&amp;MID(IF(F98="",", Client","")&amp;IF(G98="",", Description","")&amp;IF(H98="",", Cost Centre","")&amp;IF(I98="",", Invoice Type","")&amp;IF(J98="",", Tax Code","")&amp;IF(O98="",", Expected Revenue","")&amp;IF(COUNTIF(tbl_Finance[Job Number],$C98&amp;"")&gt;1,", Job number used twice",""),3,300)))</f>
        <v/>
      </c>
      <c r="Q98" s="10">
        <f>IF($C98="","",IF(H98="","(no cost centre)",H98&amp;" - GL "&amp;IFERROR(INDEX(lst_CCtoGL,MATCH(H98,lst_CCforGL,0)),"?")))</f>
        <v/>
      </c>
      <c r="R98" s="37" t="n"/>
      <c r="S98" s="10">
        <f>IF(R98="","",HYPERLINK(IF(LEFT(R98,4)="http",R98,set_QwilrBase&amp;R98),"Open quote"))</f>
        <v/>
      </c>
      <c r="T98" s="39" t="n"/>
      <c r="U98" s="39" t="n"/>
      <c r="V98" s="39" t="n"/>
      <c r="W98" s="10">
        <f>IF(C98="","",IF(N(T98)+N(U98)+N(V98)=0,"Not split",IF(ROUND(N(T98)+N(U98)+N(V98),2)=ROUND(MAX(N(L98),N(O98)),2),"OK","MISMATCH")))</f>
        <v/>
      </c>
      <c r="X98" s="39" t="n"/>
      <c r="Y98" s="39" t="n"/>
      <c r="Z98" s="39" t="n"/>
      <c r="AA98" s="11">
        <f>IF(C98="","",N(X98)+N(Y98)+N(Z98))</f>
        <v/>
      </c>
      <c r="AB98" s="11">
        <f>IF(C98="","",MAX(N(L98),N(O98))-N(AA98))</f>
        <v/>
      </c>
      <c r="AC98" s="43">
        <f>IFERROR(IF(MAX(N(L98),N(O98))=0,"",AB98/MAX(N(L98),N(O98))),"")</f>
        <v/>
      </c>
      <c r="AD98" s="37" t="n"/>
      <c r="AE98" s="10" t="inlineStr">
        <is>
          <t>CON-0094</t>
        </is>
      </c>
    </row>
    <row r="99">
      <c r="A99" s="16">
        <f>IF($C99="","",IFERROR(IF(INDEX(tbl_Finance[Latest Invoice Date],MATCH($AE99,tbl_Finance[Row ID],0))="","",INDEX(tbl_Finance[Latest Invoice Date],MATCH($AE99,tbl_Finance[Row ID],0))),""))</f>
        <v/>
      </c>
      <c r="B99" s="10">
        <f>IF($C99="","",IFERROR(INDEX(tbl_Finance[Invoice Numbers],MATCH($AE99,tbl_Finance[Row ID],0))&amp;"",""))</f>
        <v/>
      </c>
      <c r="C99" s="37" t="n"/>
      <c r="D99" s="10">
        <f>IF($C99="","",IF(COUNTIF(lst_Jobs,$C99&amp;"")&gt;0,"OK","CHECK"))</f>
        <v/>
      </c>
      <c r="E99" s="10">
        <f>IF($C99="","",IFERROR(INDEX(lst_JobName,MATCH($C99&amp;"",lst_Jobs,0)),""))</f>
        <v/>
      </c>
      <c r="F99" s="37" t="n"/>
      <c r="G99" s="37" t="n"/>
      <c r="H99" s="37" t="n"/>
      <c r="I99" s="37" t="n"/>
      <c r="J99" s="37" t="n"/>
      <c r="K99" s="38">
        <f>IF($C99="","",IFERROR(N(INDEX(tbl_Finance[Invoice Count],MATCH($AE99,tbl_Finance[Row ID],0))),""))</f>
        <v/>
      </c>
      <c r="L99" s="11">
        <f>IF($C99="","",IFERROR(N(INDEX(tbl_Finance[Xero Invoiced Ex GST],MATCH($AE99,tbl_Finance[Row ID],0))),""))</f>
        <v/>
      </c>
      <c r="M99" s="10">
        <f>IF($C99="","",IFERROR(INDEX(tbl_Finance[Compare],MATCH($AE99,tbl_Finance[Row ID],0))&amp;"",""))</f>
        <v/>
      </c>
      <c r="N99" s="11">
        <f>IF($C99="","",MAX(0,N(O99)-N(L99)))</f>
        <v/>
      </c>
      <c r="O99" s="39" t="n"/>
      <c r="P99" s="40">
        <f>IF($C99="","",IF((IF(F99="",", Client","")&amp;IF(G99="",", Description","")&amp;IF(H99="",", Cost Centre","")&amp;IF(I99="",", Invoice Type","")&amp;IF(J99="",", Tax Code","")&amp;IF(O99="",", Expected Revenue","")&amp;IF(COUNTIF(tbl_Finance[Job Number],$C99&amp;"")&gt;1,", Job number used twice",""))="","Complete","Fix: "&amp;MID(IF(F99="",", Client","")&amp;IF(G99="",", Description","")&amp;IF(H99="",", Cost Centre","")&amp;IF(I99="",", Invoice Type","")&amp;IF(J99="",", Tax Code","")&amp;IF(O99="",", Expected Revenue","")&amp;IF(COUNTIF(tbl_Finance[Job Number],$C99&amp;"")&gt;1,", Job number used twice",""),3,300)))</f>
        <v/>
      </c>
      <c r="Q99" s="10">
        <f>IF($C99="","",IF(H99="","(no cost centre)",H99&amp;" - GL "&amp;IFERROR(INDEX(lst_CCtoGL,MATCH(H99,lst_CCforGL,0)),"?")))</f>
        <v/>
      </c>
      <c r="R99" s="37" t="n"/>
      <c r="S99" s="10">
        <f>IF(R99="","",HYPERLINK(IF(LEFT(R99,4)="http",R99,set_QwilrBase&amp;R99),"Open quote"))</f>
        <v/>
      </c>
      <c r="T99" s="39" t="n"/>
      <c r="U99" s="39" t="n"/>
      <c r="V99" s="39" t="n"/>
      <c r="W99" s="10">
        <f>IF(C99="","",IF(N(T99)+N(U99)+N(V99)=0,"Not split",IF(ROUND(N(T99)+N(U99)+N(V99),2)=ROUND(MAX(N(L99),N(O99)),2),"OK","MISMATCH")))</f>
        <v/>
      </c>
      <c r="X99" s="39" t="n"/>
      <c r="Y99" s="39" t="n"/>
      <c r="Z99" s="39" t="n"/>
      <c r="AA99" s="11">
        <f>IF(C99="","",N(X99)+N(Y99)+N(Z99))</f>
        <v/>
      </c>
      <c r="AB99" s="11">
        <f>IF(C99="","",MAX(N(L99),N(O99))-N(AA99))</f>
        <v/>
      </c>
      <c r="AC99" s="43">
        <f>IFERROR(IF(MAX(N(L99),N(O99))=0,"",AB99/MAX(N(L99),N(O99))),"")</f>
        <v/>
      </c>
      <c r="AD99" s="37" t="n"/>
      <c r="AE99" s="10" t="inlineStr">
        <is>
          <t>CON-0095</t>
        </is>
      </c>
    </row>
    <row r="100">
      <c r="A100" s="16">
        <f>IF($C100="","",IFERROR(IF(INDEX(tbl_Finance[Latest Invoice Date],MATCH($AE100,tbl_Finance[Row ID],0))="","",INDEX(tbl_Finance[Latest Invoice Date],MATCH($AE100,tbl_Finance[Row ID],0))),""))</f>
        <v/>
      </c>
      <c r="B100" s="10">
        <f>IF($C100="","",IFERROR(INDEX(tbl_Finance[Invoice Numbers],MATCH($AE100,tbl_Finance[Row ID],0))&amp;"",""))</f>
        <v/>
      </c>
      <c r="C100" s="37" t="n"/>
      <c r="D100" s="10">
        <f>IF($C100="","",IF(COUNTIF(lst_Jobs,$C100&amp;"")&gt;0,"OK","CHECK"))</f>
        <v/>
      </c>
      <c r="E100" s="10">
        <f>IF($C100="","",IFERROR(INDEX(lst_JobName,MATCH($C100&amp;"",lst_Jobs,0)),""))</f>
        <v/>
      </c>
      <c r="F100" s="37" t="n"/>
      <c r="G100" s="37" t="n"/>
      <c r="H100" s="37" t="n"/>
      <c r="I100" s="37" t="n"/>
      <c r="J100" s="37" t="n"/>
      <c r="K100" s="38">
        <f>IF($C100="","",IFERROR(N(INDEX(tbl_Finance[Invoice Count],MATCH($AE100,tbl_Finance[Row ID],0))),""))</f>
        <v/>
      </c>
      <c r="L100" s="11">
        <f>IF($C100="","",IFERROR(N(INDEX(tbl_Finance[Xero Invoiced Ex GST],MATCH($AE100,tbl_Finance[Row ID],0))),""))</f>
        <v/>
      </c>
      <c r="M100" s="10">
        <f>IF($C100="","",IFERROR(INDEX(tbl_Finance[Compare],MATCH($AE100,tbl_Finance[Row ID],0))&amp;"",""))</f>
        <v/>
      </c>
      <c r="N100" s="11">
        <f>IF($C100="","",MAX(0,N(O100)-N(L100)))</f>
        <v/>
      </c>
      <c r="O100" s="39" t="n"/>
      <c r="P100" s="40">
        <f>IF($C100="","",IF((IF(F100="",", Client","")&amp;IF(G100="",", Description","")&amp;IF(H100="",", Cost Centre","")&amp;IF(I100="",", Invoice Type","")&amp;IF(J100="",", Tax Code","")&amp;IF(O100="",", Expected Revenue","")&amp;IF(COUNTIF(tbl_Finance[Job Number],$C100&amp;"")&gt;1,", Job number used twice",""))="","Complete","Fix: "&amp;MID(IF(F100="",", Client","")&amp;IF(G100="",", Description","")&amp;IF(H100="",", Cost Centre","")&amp;IF(I100="",", Invoice Type","")&amp;IF(J100="",", Tax Code","")&amp;IF(O100="",", Expected Revenue","")&amp;IF(COUNTIF(tbl_Finance[Job Number],$C100&amp;"")&gt;1,", Job number used twice",""),3,300)))</f>
        <v/>
      </c>
      <c r="Q100" s="10">
        <f>IF($C100="","",IF(H100="","(no cost centre)",H100&amp;" - GL "&amp;IFERROR(INDEX(lst_CCtoGL,MATCH(H100,lst_CCforGL,0)),"?")))</f>
        <v/>
      </c>
      <c r="R100" s="37" t="n"/>
      <c r="S100" s="10">
        <f>IF(R100="","",HYPERLINK(IF(LEFT(R100,4)="http",R100,set_QwilrBase&amp;R100),"Open quote"))</f>
        <v/>
      </c>
      <c r="T100" s="39" t="n"/>
      <c r="U100" s="39" t="n"/>
      <c r="V100" s="39" t="n"/>
      <c r="W100" s="10">
        <f>IF(C100="","",IF(N(T100)+N(U100)+N(V100)=0,"Not split",IF(ROUND(N(T100)+N(U100)+N(V100),2)=ROUND(MAX(N(L100),N(O100)),2),"OK","MISMATCH")))</f>
        <v/>
      </c>
      <c r="X100" s="39" t="n"/>
      <c r="Y100" s="39" t="n"/>
      <c r="Z100" s="39" t="n"/>
      <c r="AA100" s="11">
        <f>IF(C100="","",N(X100)+N(Y100)+N(Z100))</f>
        <v/>
      </c>
      <c r="AB100" s="11">
        <f>IF(C100="","",MAX(N(L100),N(O100))-N(AA100))</f>
        <v/>
      </c>
      <c r="AC100" s="43">
        <f>IFERROR(IF(MAX(N(L100),N(O100))=0,"",AB100/MAX(N(L100),N(O100))),"")</f>
        <v/>
      </c>
      <c r="AD100" s="37" t="n"/>
      <c r="AE100" s="10" t="inlineStr">
        <is>
          <t>CON-0096</t>
        </is>
      </c>
    </row>
    <row r="101">
      <c r="A101" s="16">
        <f>IF($C101="","",IFERROR(IF(INDEX(tbl_Finance[Latest Invoice Date],MATCH($AE101,tbl_Finance[Row ID],0))="","",INDEX(tbl_Finance[Latest Invoice Date],MATCH($AE101,tbl_Finance[Row ID],0))),""))</f>
        <v/>
      </c>
      <c r="B101" s="10">
        <f>IF($C101="","",IFERROR(INDEX(tbl_Finance[Invoice Numbers],MATCH($AE101,tbl_Finance[Row ID],0))&amp;"",""))</f>
        <v/>
      </c>
      <c r="C101" s="37" t="n"/>
      <c r="D101" s="10">
        <f>IF($C101="","",IF(COUNTIF(lst_Jobs,$C101&amp;"")&gt;0,"OK","CHECK"))</f>
        <v/>
      </c>
      <c r="E101" s="10">
        <f>IF($C101="","",IFERROR(INDEX(lst_JobName,MATCH($C101&amp;"",lst_Jobs,0)),""))</f>
        <v/>
      </c>
      <c r="F101" s="37" t="n"/>
      <c r="G101" s="37" t="n"/>
      <c r="H101" s="37" t="n"/>
      <c r="I101" s="37" t="n"/>
      <c r="J101" s="37" t="n"/>
      <c r="K101" s="38">
        <f>IF($C101="","",IFERROR(N(INDEX(tbl_Finance[Invoice Count],MATCH($AE101,tbl_Finance[Row ID],0))),""))</f>
        <v/>
      </c>
      <c r="L101" s="11">
        <f>IF($C101="","",IFERROR(N(INDEX(tbl_Finance[Xero Invoiced Ex GST],MATCH($AE101,tbl_Finance[Row ID],0))),""))</f>
        <v/>
      </c>
      <c r="M101" s="10">
        <f>IF($C101="","",IFERROR(INDEX(tbl_Finance[Compare],MATCH($AE101,tbl_Finance[Row ID],0))&amp;"",""))</f>
        <v/>
      </c>
      <c r="N101" s="11">
        <f>IF($C101="","",MAX(0,N(O101)-N(L101)))</f>
        <v/>
      </c>
      <c r="O101" s="39" t="n"/>
      <c r="P101" s="40">
        <f>IF($C101="","",IF((IF(F101="",", Client","")&amp;IF(G101="",", Description","")&amp;IF(H101="",", Cost Centre","")&amp;IF(I101="",", Invoice Type","")&amp;IF(J101="",", Tax Code","")&amp;IF(O101="",", Expected Revenue","")&amp;IF(COUNTIF(tbl_Finance[Job Number],$C101&amp;"")&gt;1,", Job number used twice",""))="","Complete","Fix: "&amp;MID(IF(F101="",", Client","")&amp;IF(G101="",", Description","")&amp;IF(H101="",", Cost Centre","")&amp;IF(I101="",", Invoice Type","")&amp;IF(J101="",", Tax Code","")&amp;IF(O101="",", Expected Revenue","")&amp;IF(COUNTIF(tbl_Finance[Job Number],$C101&amp;"")&gt;1,", Job number used twice",""),3,300)))</f>
        <v/>
      </c>
      <c r="Q101" s="10">
        <f>IF($C101="","",IF(H101="","(no cost centre)",H101&amp;" - GL "&amp;IFERROR(INDEX(lst_CCtoGL,MATCH(H101,lst_CCforGL,0)),"?")))</f>
        <v/>
      </c>
      <c r="R101" s="37" t="n"/>
      <c r="S101" s="10">
        <f>IF(R101="","",HYPERLINK(IF(LEFT(R101,4)="http",R101,set_QwilrBase&amp;R101),"Open quote"))</f>
        <v/>
      </c>
      <c r="T101" s="39" t="n"/>
      <c r="U101" s="39" t="n"/>
      <c r="V101" s="39" t="n"/>
      <c r="W101" s="10">
        <f>IF(C101="","",IF(N(T101)+N(U101)+N(V101)=0,"Not split",IF(ROUND(N(T101)+N(U101)+N(V101),2)=ROUND(MAX(N(L101),N(O101)),2),"OK","MISMATCH")))</f>
        <v/>
      </c>
      <c r="X101" s="39" t="n"/>
      <c r="Y101" s="39" t="n"/>
      <c r="Z101" s="39" t="n"/>
      <c r="AA101" s="11">
        <f>IF(C101="","",N(X101)+N(Y101)+N(Z101))</f>
        <v/>
      </c>
      <c r="AB101" s="11">
        <f>IF(C101="","",MAX(N(L101),N(O101))-N(AA101))</f>
        <v/>
      </c>
      <c r="AC101" s="43">
        <f>IFERROR(IF(MAX(N(L101),N(O101))=0,"",AB101/MAX(N(L101),N(O101))),"")</f>
        <v/>
      </c>
      <c r="AD101" s="37" t="n"/>
      <c r="AE101" s="10" t="inlineStr">
        <is>
          <t>CON-0097</t>
        </is>
      </c>
    </row>
    <row r="102">
      <c r="A102" s="16">
        <f>IF($C102="","",IFERROR(IF(INDEX(tbl_Finance[Latest Invoice Date],MATCH($AE102,tbl_Finance[Row ID],0))="","",INDEX(tbl_Finance[Latest Invoice Date],MATCH($AE102,tbl_Finance[Row ID],0))),""))</f>
        <v/>
      </c>
      <c r="B102" s="10">
        <f>IF($C102="","",IFERROR(INDEX(tbl_Finance[Invoice Numbers],MATCH($AE102,tbl_Finance[Row ID],0))&amp;"",""))</f>
        <v/>
      </c>
      <c r="C102" s="37" t="n"/>
      <c r="D102" s="10">
        <f>IF($C102="","",IF(COUNTIF(lst_Jobs,$C102&amp;"")&gt;0,"OK","CHECK"))</f>
        <v/>
      </c>
      <c r="E102" s="10">
        <f>IF($C102="","",IFERROR(INDEX(lst_JobName,MATCH($C102&amp;"",lst_Jobs,0)),""))</f>
        <v/>
      </c>
      <c r="F102" s="37" t="n"/>
      <c r="G102" s="37" t="n"/>
      <c r="H102" s="37" t="n"/>
      <c r="I102" s="37" t="n"/>
      <c r="J102" s="37" t="n"/>
      <c r="K102" s="38">
        <f>IF($C102="","",IFERROR(N(INDEX(tbl_Finance[Invoice Count],MATCH($AE102,tbl_Finance[Row ID],0))),""))</f>
        <v/>
      </c>
      <c r="L102" s="11">
        <f>IF($C102="","",IFERROR(N(INDEX(tbl_Finance[Xero Invoiced Ex GST],MATCH($AE102,tbl_Finance[Row ID],0))),""))</f>
        <v/>
      </c>
      <c r="M102" s="10">
        <f>IF($C102="","",IFERROR(INDEX(tbl_Finance[Compare],MATCH($AE102,tbl_Finance[Row ID],0))&amp;"",""))</f>
        <v/>
      </c>
      <c r="N102" s="11">
        <f>IF($C102="","",MAX(0,N(O102)-N(L102)))</f>
        <v/>
      </c>
      <c r="O102" s="39" t="n"/>
      <c r="P102" s="40">
        <f>IF($C102="","",IF((IF(F102="",", Client","")&amp;IF(G102="",", Description","")&amp;IF(H102="",", Cost Centre","")&amp;IF(I102="",", Invoice Type","")&amp;IF(J102="",", Tax Code","")&amp;IF(O102="",", Expected Revenue","")&amp;IF(COUNTIF(tbl_Finance[Job Number],$C102&amp;"")&gt;1,", Job number used twice",""))="","Complete","Fix: "&amp;MID(IF(F102="",", Client","")&amp;IF(G102="",", Description","")&amp;IF(H102="",", Cost Centre","")&amp;IF(I102="",", Invoice Type","")&amp;IF(J102="",", Tax Code","")&amp;IF(O102="",", Expected Revenue","")&amp;IF(COUNTIF(tbl_Finance[Job Number],$C102&amp;"")&gt;1,", Job number used twice",""),3,300)))</f>
        <v/>
      </c>
      <c r="Q102" s="10">
        <f>IF($C102="","",IF(H102="","(no cost centre)",H102&amp;" - GL "&amp;IFERROR(INDEX(lst_CCtoGL,MATCH(H102,lst_CCforGL,0)),"?")))</f>
        <v/>
      </c>
      <c r="R102" s="37" t="n"/>
      <c r="S102" s="10">
        <f>IF(R102="","",HYPERLINK(IF(LEFT(R102,4)="http",R102,set_QwilrBase&amp;R102),"Open quote"))</f>
        <v/>
      </c>
      <c r="T102" s="39" t="n"/>
      <c r="U102" s="39" t="n"/>
      <c r="V102" s="39" t="n"/>
      <c r="W102" s="10">
        <f>IF(C102="","",IF(N(T102)+N(U102)+N(V102)=0,"Not split",IF(ROUND(N(T102)+N(U102)+N(V102),2)=ROUND(MAX(N(L102),N(O102)),2),"OK","MISMATCH")))</f>
        <v/>
      </c>
      <c r="X102" s="39" t="n"/>
      <c r="Y102" s="39" t="n"/>
      <c r="Z102" s="39" t="n"/>
      <c r="AA102" s="11">
        <f>IF(C102="","",N(X102)+N(Y102)+N(Z102))</f>
        <v/>
      </c>
      <c r="AB102" s="11">
        <f>IF(C102="","",MAX(N(L102),N(O102))-N(AA102))</f>
        <v/>
      </c>
      <c r="AC102" s="43">
        <f>IFERROR(IF(MAX(N(L102),N(O102))=0,"",AB102/MAX(N(L102),N(O102))),"")</f>
        <v/>
      </c>
      <c r="AD102" s="37" t="n"/>
      <c r="AE102" s="10" t="inlineStr">
        <is>
          <t>CON-0098</t>
        </is>
      </c>
    </row>
    <row r="103">
      <c r="A103" s="16">
        <f>IF($C103="","",IFERROR(IF(INDEX(tbl_Finance[Latest Invoice Date],MATCH($AE103,tbl_Finance[Row ID],0))="","",INDEX(tbl_Finance[Latest Invoice Date],MATCH($AE103,tbl_Finance[Row ID],0))),""))</f>
        <v/>
      </c>
      <c r="B103" s="10">
        <f>IF($C103="","",IFERROR(INDEX(tbl_Finance[Invoice Numbers],MATCH($AE103,tbl_Finance[Row ID],0))&amp;"",""))</f>
        <v/>
      </c>
      <c r="C103" s="37" t="n"/>
      <c r="D103" s="10">
        <f>IF($C103="","",IF(COUNTIF(lst_Jobs,$C103&amp;"")&gt;0,"OK","CHECK"))</f>
        <v/>
      </c>
      <c r="E103" s="10">
        <f>IF($C103="","",IFERROR(INDEX(lst_JobName,MATCH($C103&amp;"",lst_Jobs,0)),""))</f>
        <v/>
      </c>
      <c r="F103" s="37" t="n"/>
      <c r="G103" s="37" t="n"/>
      <c r="H103" s="37" t="n"/>
      <c r="I103" s="37" t="n"/>
      <c r="J103" s="37" t="n"/>
      <c r="K103" s="38">
        <f>IF($C103="","",IFERROR(N(INDEX(tbl_Finance[Invoice Count],MATCH($AE103,tbl_Finance[Row ID],0))),""))</f>
        <v/>
      </c>
      <c r="L103" s="11">
        <f>IF($C103="","",IFERROR(N(INDEX(tbl_Finance[Xero Invoiced Ex GST],MATCH($AE103,tbl_Finance[Row ID],0))),""))</f>
        <v/>
      </c>
      <c r="M103" s="10">
        <f>IF($C103="","",IFERROR(INDEX(tbl_Finance[Compare],MATCH($AE103,tbl_Finance[Row ID],0))&amp;"",""))</f>
        <v/>
      </c>
      <c r="N103" s="11">
        <f>IF($C103="","",MAX(0,N(O103)-N(L103)))</f>
        <v/>
      </c>
      <c r="O103" s="39" t="n"/>
      <c r="P103" s="40">
        <f>IF($C103="","",IF((IF(F103="",", Client","")&amp;IF(G103="",", Description","")&amp;IF(H103="",", Cost Centre","")&amp;IF(I103="",", Invoice Type","")&amp;IF(J103="",", Tax Code","")&amp;IF(O103="",", Expected Revenue","")&amp;IF(COUNTIF(tbl_Finance[Job Number],$C103&amp;"")&gt;1,", Job number used twice",""))="","Complete","Fix: "&amp;MID(IF(F103="",", Client","")&amp;IF(G103="",", Description","")&amp;IF(H103="",", Cost Centre","")&amp;IF(I103="",", Invoice Type","")&amp;IF(J103="",", Tax Code","")&amp;IF(O103="",", Expected Revenue","")&amp;IF(COUNTIF(tbl_Finance[Job Number],$C103&amp;"")&gt;1,", Job number used twice",""),3,300)))</f>
        <v/>
      </c>
      <c r="Q103" s="10">
        <f>IF($C103="","",IF(H103="","(no cost centre)",H103&amp;" - GL "&amp;IFERROR(INDEX(lst_CCtoGL,MATCH(H103,lst_CCforGL,0)),"?")))</f>
        <v/>
      </c>
      <c r="R103" s="37" t="n"/>
      <c r="S103" s="10">
        <f>IF(R103="","",HYPERLINK(IF(LEFT(R103,4)="http",R103,set_QwilrBase&amp;R103),"Open quote"))</f>
        <v/>
      </c>
      <c r="T103" s="39" t="n"/>
      <c r="U103" s="39" t="n"/>
      <c r="V103" s="39" t="n"/>
      <c r="W103" s="10">
        <f>IF(C103="","",IF(N(T103)+N(U103)+N(V103)=0,"Not split",IF(ROUND(N(T103)+N(U103)+N(V103),2)=ROUND(MAX(N(L103),N(O103)),2),"OK","MISMATCH")))</f>
        <v/>
      </c>
      <c r="X103" s="39" t="n"/>
      <c r="Y103" s="39" t="n"/>
      <c r="Z103" s="39" t="n"/>
      <c r="AA103" s="11">
        <f>IF(C103="","",N(X103)+N(Y103)+N(Z103))</f>
        <v/>
      </c>
      <c r="AB103" s="11">
        <f>IF(C103="","",MAX(N(L103),N(O103))-N(AA103))</f>
        <v/>
      </c>
      <c r="AC103" s="43">
        <f>IFERROR(IF(MAX(N(L103),N(O103))=0,"",AB103/MAX(N(L103),N(O103))),"")</f>
        <v/>
      </c>
      <c r="AD103" s="37" t="n"/>
      <c r="AE103" s="10" t="inlineStr">
        <is>
          <t>CON-0099</t>
        </is>
      </c>
    </row>
    <row r="104">
      <c r="A104" s="16">
        <f>IF($C104="","",IFERROR(IF(INDEX(tbl_Finance[Latest Invoice Date],MATCH($AE104,tbl_Finance[Row ID],0))="","",INDEX(tbl_Finance[Latest Invoice Date],MATCH($AE104,tbl_Finance[Row ID],0))),""))</f>
        <v/>
      </c>
      <c r="B104" s="10">
        <f>IF($C104="","",IFERROR(INDEX(tbl_Finance[Invoice Numbers],MATCH($AE104,tbl_Finance[Row ID],0))&amp;"",""))</f>
        <v/>
      </c>
      <c r="C104" s="37" t="n"/>
      <c r="D104" s="10">
        <f>IF($C104="","",IF(COUNTIF(lst_Jobs,$C104&amp;"")&gt;0,"OK","CHECK"))</f>
        <v/>
      </c>
      <c r="E104" s="10">
        <f>IF($C104="","",IFERROR(INDEX(lst_JobName,MATCH($C104&amp;"",lst_Jobs,0)),""))</f>
        <v/>
      </c>
      <c r="F104" s="37" t="n"/>
      <c r="G104" s="37" t="n"/>
      <c r="H104" s="37" t="n"/>
      <c r="I104" s="37" t="n"/>
      <c r="J104" s="37" t="n"/>
      <c r="K104" s="38">
        <f>IF($C104="","",IFERROR(N(INDEX(tbl_Finance[Invoice Count],MATCH($AE104,tbl_Finance[Row ID],0))),""))</f>
        <v/>
      </c>
      <c r="L104" s="11">
        <f>IF($C104="","",IFERROR(N(INDEX(tbl_Finance[Xero Invoiced Ex GST],MATCH($AE104,tbl_Finance[Row ID],0))),""))</f>
        <v/>
      </c>
      <c r="M104" s="10">
        <f>IF($C104="","",IFERROR(INDEX(tbl_Finance[Compare],MATCH($AE104,tbl_Finance[Row ID],0))&amp;"",""))</f>
        <v/>
      </c>
      <c r="N104" s="11">
        <f>IF($C104="","",MAX(0,N(O104)-N(L104)))</f>
        <v/>
      </c>
      <c r="O104" s="39" t="n"/>
      <c r="P104" s="40">
        <f>IF($C104="","",IF((IF(F104="",", Client","")&amp;IF(G104="",", Description","")&amp;IF(H104="",", Cost Centre","")&amp;IF(I104="",", Invoice Type","")&amp;IF(J104="",", Tax Code","")&amp;IF(O104="",", Expected Revenue","")&amp;IF(COUNTIF(tbl_Finance[Job Number],$C104&amp;"")&gt;1,", Job number used twice",""))="","Complete","Fix: "&amp;MID(IF(F104="",", Client","")&amp;IF(G104="",", Description","")&amp;IF(H104="",", Cost Centre","")&amp;IF(I104="",", Invoice Type","")&amp;IF(J104="",", Tax Code","")&amp;IF(O104="",", Expected Revenue","")&amp;IF(COUNTIF(tbl_Finance[Job Number],$C104&amp;"")&gt;1,", Job number used twice",""),3,300)))</f>
        <v/>
      </c>
      <c r="Q104" s="10">
        <f>IF($C104="","",IF(H104="","(no cost centre)",H104&amp;" - GL "&amp;IFERROR(INDEX(lst_CCtoGL,MATCH(H104,lst_CCforGL,0)),"?")))</f>
        <v/>
      </c>
      <c r="R104" s="37" t="n"/>
      <c r="S104" s="10">
        <f>IF(R104="","",HYPERLINK(IF(LEFT(R104,4)="http",R104,set_QwilrBase&amp;R104),"Open quote"))</f>
        <v/>
      </c>
      <c r="T104" s="39" t="n"/>
      <c r="U104" s="39" t="n"/>
      <c r="V104" s="39" t="n"/>
      <c r="W104" s="10">
        <f>IF(C104="","",IF(N(T104)+N(U104)+N(V104)=0,"Not split",IF(ROUND(N(T104)+N(U104)+N(V104),2)=ROUND(MAX(N(L104),N(O104)),2),"OK","MISMATCH")))</f>
        <v/>
      </c>
      <c r="X104" s="39" t="n"/>
      <c r="Y104" s="39" t="n"/>
      <c r="Z104" s="39" t="n"/>
      <c r="AA104" s="11">
        <f>IF(C104="","",N(X104)+N(Y104)+N(Z104))</f>
        <v/>
      </c>
      <c r="AB104" s="11">
        <f>IF(C104="","",MAX(N(L104),N(O104))-N(AA104))</f>
        <v/>
      </c>
      <c r="AC104" s="43">
        <f>IFERROR(IF(MAX(N(L104),N(O104))=0,"",AB104/MAX(N(L104),N(O104))),"")</f>
        <v/>
      </c>
      <c r="AD104" s="37" t="n"/>
      <c r="AE104" s="10" t="inlineStr">
        <is>
          <t>CON-0100</t>
        </is>
      </c>
    </row>
    <row r="105">
      <c r="A105" s="16">
        <f>IF($C105="","",IFERROR(IF(INDEX(tbl_Finance[Latest Invoice Date],MATCH($AE105,tbl_Finance[Row ID],0))="","",INDEX(tbl_Finance[Latest Invoice Date],MATCH($AE105,tbl_Finance[Row ID],0))),""))</f>
        <v/>
      </c>
      <c r="B105" s="10">
        <f>IF($C105="","",IFERROR(INDEX(tbl_Finance[Invoice Numbers],MATCH($AE105,tbl_Finance[Row ID],0))&amp;"",""))</f>
        <v/>
      </c>
      <c r="C105" s="37" t="n"/>
      <c r="D105" s="10">
        <f>IF($C105="","",IF(COUNTIF(lst_Jobs,$C105&amp;"")&gt;0,"OK","CHECK"))</f>
        <v/>
      </c>
      <c r="E105" s="10">
        <f>IF($C105="","",IFERROR(INDEX(lst_JobName,MATCH($C105&amp;"",lst_Jobs,0)),""))</f>
        <v/>
      </c>
      <c r="F105" s="37" t="n"/>
      <c r="G105" s="37" t="n"/>
      <c r="H105" s="37" t="n"/>
      <c r="I105" s="37" t="n"/>
      <c r="J105" s="37" t="n"/>
      <c r="K105" s="38">
        <f>IF($C105="","",IFERROR(N(INDEX(tbl_Finance[Invoice Count],MATCH($AE105,tbl_Finance[Row ID],0))),""))</f>
        <v/>
      </c>
      <c r="L105" s="11">
        <f>IF($C105="","",IFERROR(N(INDEX(tbl_Finance[Xero Invoiced Ex GST],MATCH($AE105,tbl_Finance[Row ID],0))),""))</f>
        <v/>
      </c>
      <c r="M105" s="10">
        <f>IF($C105="","",IFERROR(INDEX(tbl_Finance[Compare],MATCH($AE105,tbl_Finance[Row ID],0))&amp;"",""))</f>
        <v/>
      </c>
      <c r="N105" s="11">
        <f>IF($C105="","",MAX(0,N(O105)-N(L105)))</f>
        <v/>
      </c>
      <c r="O105" s="39" t="n"/>
      <c r="P105" s="40">
        <f>IF($C105="","",IF((IF(F105="",", Client","")&amp;IF(G105="",", Description","")&amp;IF(H105="",", Cost Centre","")&amp;IF(I105="",", Invoice Type","")&amp;IF(J105="",", Tax Code","")&amp;IF(O105="",", Expected Revenue","")&amp;IF(COUNTIF(tbl_Finance[Job Number],$C105&amp;"")&gt;1,", Job number used twice",""))="","Complete","Fix: "&amp;MID(IF(F105="",", Client","")&amp;IF(G105="",", Description","")&amp;IF(H105="",", Cost Centre","")&amp;IF(I105="",", Invoice Type","")&amp;IF(J105="",", Tax Code","")&amp;IF(O105="",", Expected Revenue","")&amp;IF(COUNTIF(tbl_Finance[Job Number],$C105&amp;"")&gt;1,", Job number used twice",""),3,300)))</f>
        <v/>
      </c>
      <c r="Q105" s="10">
        <f>IF($C105="","",IF(H105="","(no cost centre)",H105&amp;" - GL "&amp;IFERROR(INDEX(lst_CCtoGL,MATCH(H105,lst_CCforGL,0)),"?")))</f>
        <v/>
      </c>
      <c r="R105" s="37" t="n"/>
      <c r="S105" s="10">
        <f>IF(R105="","",HYPERLINK(IF(LEFT(R105,4)="http",R105,set_QwilrBase&amp;R105),"Open quote"))</f>
        <v/>
      </c>
      <c r="T105" s="39" t="n"/>
      <c r="U105" s="39" t="n"/>
      <c r="V105" s="39" t="n"/>
      <c r="W105" s="10">
        <f>IF(C105="","",IF(N(T105)+N(U105)+N(V105)=0,"Not split",IF(ROUND(N(T105)+N(U105)+N(V105),2)=ROUND(MAX(N(L105),N(O105)),2),"OK","MISMATCH")))</f>
        <v/>
      </c>
      <c r="X105" s="39" t="n"/>
      <c r="Y105" s="39" t="n"/>
      <c r="Z105" s="39" t="n"/>
      <c r="AA105" s="11">
        <f>IF(C105="","",N(X105)+N(Y105)+N(Z105))</f>
        <v/>
      </c>
      <c r="AB105" s="11">
        <f>IF(C105="","",MAX(N(L105),N(O105))-N(AA105))</f>
        <v/>
      </c>
      <c r="AC105" s="43">
        <f>IFERROR(IF(MAX(N(L105),N(O105))=0,"",AB105/MAX(N(L105),N(O105))),"")</f>
        <v/>
      </c>
      <c r="AD105" s="37" t="n"/>
      <c r="AE105" s="10" t="inlineStr">
        <is>
          <t>CON-0101</t>
        </is>
      </c>
    </row>
    <row r="106">
      <c r="A106" s="16">
        <f>IF($C106="","",IFERROR(IF(INDEX(tbl_Finance[Latest Invoice Date],MATCH($AE106,tbl_Finance[Row ID],0))="","",INDEX(tbl_Finance[Latest Invoice Date],MATCH($AE106,tbl_Finance[Row ID],0))),""))</f>
        <v/>
      </c>
      <c r="B106" s="10">
        <f>IF($C106="","",IFERROR(INDEX(tbl_Finance[Invoice Numbers],MATCH($AE106,tbl_Finance[Row ID],0))&amp;"",""))</f>
        <v/>
      </c>
      <c r="C106" s="37" t="n"/>
      <c r="D106" s="10">
        <f>IF($C106="","",IF(COUNTIF(lst_Jobs,$C106&amp;"")&gt;0,"OK","CHECK"))</f>
        <v/>
      </c>
      <c r="E106" s="10">
        <f>IF($C106="","",IFERROR(INDEX(lst_JobName,MATCH($C106&amp;"",lst_Jobs,0)),""))</f>
        <v/>
      </c>
      <c r="F106" s="37" t="n"/>
      <c r="G106" s="37" t="n"/>
      <c r="H106" s="37" t="n"/>
      <c r="I106" s="37" t="n"/>
      <c r="J106" s="37" t="n"/>
      <c r="K106" s="38">
        <f>IF($C106="","",IFERROR(N(INDEX(tbl_Finance[Invoice Count],MATCH($AE106,tbl_Finance[Row ID],0))),""))</f>
        <v/>
      </c>
      <c r="L106" s="11">
        <f>IF($C106="","",IFERROR(N(INDEX(tbl_Finance[Xero Invoiced Ex GST],MATCH($AE106,tbl_Finance[Row ID],0))),""))</f>
        <v/>
      </c>
      <c r="M106" s="10">
        <f>IF($C106="","",IFERROR(INDEX(tbl_Finance[Compare],MATCH($AE106,tbl_Finance[Row ID],0))&amp;"",""))</f>
        <v/>
      </c>
      <c r="N106" s="11">
        <f>IF($C106="","",MAX(0,N(O106)-N(L106)))</f>
        <v/>
      </c>
      <c r="O106" s="39" t="n"/>
      <c r="P106" s="40">
        <f>IF($C106="","",IF((IF(F106="",", Client","")&amp;IF(G106="",", Description","")&amp;IF(H106="",", Cost Centre","")&amp;IF(I106="",", Invoice Type","")&amp;IF(J106="",", Tax Code","")&amp;IF(O106="",", Expected Revenue","")&amp;IF(COUNTIF(tbl_Finance[Job Number],$C106&amp;"")&gt;1,", Job number used twice",""))="","Complete","Fix: "&amp;MID(IF(F106="",", Client","")&amp;IF(G106="",", Description","")&amp;IF(H106="",", Cost Centre","")&amp;IF(I106="",", Invoice Type","")&amp;IF(J106="",", Tax Code","")&amp;IF(O106="",", Expected Revenue","")&amp;IF(COUNTIF(tbl_Finance[Job Number],$C106&amp;"")&gt;1,", Job number used twice",""),3,300)))</f>
        <v/>
      </c>
      <c r="Q106" s="10">
        <f>IF($C106="","",IF(H106="","(no cost centre)",H106&amp;" - GL "&amp;IFERROR(INDEX(lst_CCtoGL,MATCH(H106,lst_CCforGL,0)),"?")))</f>
        <v/>
      </c>
      <c r="R106" s="37" t="n"/>
      <c r="S106" s="10">
        <f>IF(R106="","",HYPERLINK(IF(LEFT(R106,4)="http",R106,set_QwilrBase&amp;R106),"Open quote"))</f>
        <v/>
      </c>
      <c r="T106" s="39" t="n"/>
      <c r="U106" s="39" t="n"/>
      <c r="V106" s="39" t="n"/>
      <c r="W106" s="10">
        <f>IF(C106="","",IF(N(T106)+N(U106)+N(V106)=0,"Not split",IF(ROUND(N(T106)+N(U106)+N(V106),2)=ROUND(MAX(N(L106),N(O106)),2),"OK","MISMATCH")))</f>
        <v/>
      </c>
      <c r="X106" s="39" t="n"/>
      <c r="Y106" s="39" t="n"/>
      <c r="Z106" s="39" t="n"/>
      <c r="AA106" s="11">
        <f>IF(C106="","",N(X106)+N(Y106)+N(Z106))</f>
        <v/>
      </c>
      <c r="AB106" s="11">
        <f>IF(C106="","",MAX(N(L106),N(O106))-N(AA106))</f>
        <v/>
      </c>
      <c r="AC106" s="43">
        <f>IFERROR(IF(MAX(N(L106),N(O106))=0,"",AB106/MAX(N(L106),N(O106))),"")</f>
        <v/>
      </c>
      <c r="AD106" s="37" t="n"/>
      <c r="AE106" s="10" t="inlineStr">
        <is>
          <t>CON-0102</t>
        </is>
      </c>
    </row>
    <row r="107">
      <c r="A107" s="16">
        <f>IF($C107="","",IFERROR(IF(INDEX(tbl_Finance[Latest Invoice Date],MATCH($AE107,tbl_Finance[Row ID],0))="","",INDEX(tbl_Finance[Latest Invoice Date],MATCH($AE107,tbl_Finance[Row ID],0))),""))</f>
        <v/>
      </c>
      <c r="B107" s="10">
        <f>IF($C107="","",IFERROR(INDEX(tbl_Finance[Invoice Numbers],MATCH($AE107,tbl_Finance[Row ID],0))&amp;"",""))</f>
        <v/>
      </c>
      <c r="C107" s="37" t="n"/>
      <c r="D107" s="10">
        <f>IF($C107="","",IF(COUNTIF(lst_Jobs,$C107&amp;"")&gt;0,"OK","CHECK"))</f>
        <v/>
      </c>
      <c r="E107" s="10">
        <f>IF($C107="","",IFERROR(INDEX(lst_JobName,MATCH($C107&amp;"",lst_Jobs,0)),""))</f>
        <v/>
      </c>
      <c r="F107" s="37" t="n"/>
      <c r="G107" s="37" t="n"/>
      <c r="H107" s="37" t="n"/>
      <c r="I107" s="37" t="n"/>
      <c r="J107" s="37" t="n"/>
      <c r="K107" s="38">
        <f>IF($C107="","",IFERROR(N(INDEX(tbl_Finance[Invoice Count],MATCH($AE107,tbl_Finance[Row ID],0))),""))</f>
        <v/>
      </c>
      <c r="L107" s="11">
        <f>IF($C107="","",IFERROR(N(INDEX(tbl_Finance[Xero Invoiced Ex GST],MATCH($AE107,tbl_Finance[Row ID],0))),""))</f>
        <v/>
      </c>
      <c r="M107" s="10">
        <f>IF($C107="","",IFERROR(INDEX(tbl_Finance[Compare],MATCH($AE107,tbl_Finance[Row ID],0))&amp;"",""))</f>
        <v/>
      </c>
      <c r="N107" s="11">
        <f>IF($C107="","",MAX(0,N(O107)-N(L107)))</f>
        <v/>
      </c>
      <c r="O107" s="39" t="n"/>
      <c r="P107" s="40">
        <f>IF($C107="","",IF((IF(F107="",", Client","")&amp;IF(G107="",", Description","")&amp;IF(H107="",", Cost Centre","")&amp;IF(I107="",", Invoice Type","")&amp;IF(J107="",", Tax Code","")&amp;IF(O107="",", Expected Revenue","")&amp;IF(COUNTIF(tbl_Finance[Job Number],$C107&amp;"")&gt;1,", Job number used twice",""))="","Complete","Fix: "&amp;MID(IF(F107="",", Client","")&amp;IF(G107="",", Description","")&amp;IF(H107="",", Cost Centre","")&amp;IF(I107="",", Invoice Type","")&amp;IF(J107="",", Tax Code","")&amp;IF(O107="",", Expected Revenue","")&amp;IF(COUNTIF(tbl_Finance[Job Number],$C107&amp;"")&gt;1,", Job number used twice",""),3,300)))</f>
        <v/>
      </c>
      <c r="Q107" s="10">
        <f>IF($C107="","",IF(H107="","(no cost centre)",H107&amp;" - GL "&amp;IFERROR(INDEX(lst_CCtoGL,MATCH(H107,lst_CCforGL,0)),"?")))</f>
        <v/>
      </c>
      <c r="R107" s="37" t="n"/>
      <c r="S107" s="10">
        <f>IF(R107="","",HYPERLINK(IF(LEFT(R107,4)="http",R107,set_QwilrBase&amp;R107),"Open quote"))</f>
        <v/>
      </c>
      <c r="T107" s="39" t="n"/>
      <c r="U107" s="39" t="n"/>
      <c r="V107" s="39" t="n"/>
      <c r="W107" s="10">
        <f>IF(C107="","",IF(N(T107)+N(U107)+N(V107)=0,"Not split",IF(ROUND(N(T107)+N(U107)+N(V107),2)=ROUND(MAX(N(L107),N(O107)),2),"OK","MISMATCH")))</f>
        <v/>
      </c>
      <c r="X107" s="39" t="n"/>
      <c r="Y107" s="39" t="n"/>
      <c r="Z107" s="39" t="n"/>
      <c r="AA107" s="11">
        <f>IF(C107="","",N(X107)+N(Y107)+N(Z107))</f>
        <v/>
      </c>
      <c r="AB107" s="11">
        <f>IF(C107="","",MAX(N(L107),N(O107))-N(AA107))</f>
        <v/>
      </c>
      <c r="AC107" s="43">
        <f>IFERROR(IF(MAX(N(L107),N(O107))=0,"",AB107/MAX(N(L107),N(O107))),"")</f>
        <v/>
      </c>
      <c r="AD107" s="37" t="n"/>
      <c r="AE107" s="10" t="inlineStr">
        <is>
          <t>CON-0103</t>
        </is>
      </c>
    </row>
    <row r="108">
      <c r="A108" s="16">
        <f>IF($C108="","",IFERROR(IF(INDEX(tbl_Finance[Latest Invoice Date],MATCH($AE108,tbl_Finance[Row ID],0))="","",INDEX(tbl_Finance[Latest Invoice Date],MATCH($AE108,tbl_Finance[Row ID],0))),""))</f>
        <v/>
      </c>
      <c r="B108" s="10">
        <f>IF($C108="","",IFERROR(INDEX(tbl_Finance[Invoice Numbers],MATCH($AE108,tbl_Finance[Row ID],0))&amp;"",""))</f>
        <v/>
      </c>
      <c r="C108" s="37" t="n"/>
      <c r="D108" s="10">
        <f>IF($C108="","",IF(COUNTIF(lst_Jobs,$C108&amp;"")&gt;0,"OK","CHECK"))</f>
        <v/>
      </c>
      <c r="E108" s="10">
        <f>IF($C108="","",IFERROR(INDEX(lst_JobName,MATCH($C108&amp;"",lst_Jobs,0)),""))</f>
        <v/>
      </c>
      <c r="F108" s="37" t="n"/>
      <c r="G108" s="37" t="n"/>
      <c r="H108" s="37" t="n"/>
      <c r="I108" s="37" t="n"/>
      <c r="J108" s="37" t="n"/>
      <c r="K108" s="38">
        <f>IF($C108="","",IFERROR(N(INDEX(tbl_Finance[Invoice Count],MATCH($AE108,tbl_Finance[Row ID],0))),""))</f>
        <v/>
      </c>
      <c r="L108" s="11">
        <f>IF($C108="","",IFERROR(N(INDEX(tbl_Finance[Xero Invoiced Ex GST],MATCH($AE108,tbl_Finance[Row ID],0))),""))</f>
        <v/>
      </c>
      <c r="M108" s="10">
        <f>IF($C108="","",IFERROR(INDEX(tbl_Finance[Compare],MATCH($AE108,tbl_Finance[Row ID],0))&amp;"",""))</f>
        <v/>
      </c>
      <c r="N108" s="11">
        <f>IF($C108="","",MAX(0,N(O108)-N(L108)))</f>
        <v/>
      </c>
      <c r="O108" s="39" t="n"/>
      <c r="P108" s="40">
        <f>IF($C108="","",IF((IF(F108="",", Client","")&amp;IF(G108="",", Description","")&amp;IF(H108="",", Cost Centre","")&amp;IF(I108="",", Invoice Type","")&amp;IF(J108="",", Tax Code","")&amp;IF(O108="",", Expected Revenue","")&amp;IF(COUNTIF(tbl_Finance[Job Number],$C108&amp;"")&gt;1,", Job number used twice",""))="","Complete","Fix: "&amp;MID(IF(F108="",", Client","")&amp;IF(G108="",", Description","")&amp;IF(H108="",", Cost Centre","")&amp;IF(I108="",", Invoice Type","")&amp;IF(J108="",", Tax Code","")&amp;IF(O108="",", Expected Revenue","")&amp;IF(COUNTIF(tbl_Finance[Job Number],$C108&amp;"")&gt;1,", Job number used twice",""),3,300)))</f>
        <v/>
      </c>
      <c r="Q108" s="10">
        <f>IF($C108="","",IF(H108="","(no cost centre)",H108&amp;" - GL "&amp;IFERROR(INDEX(lst_CCtoGL,MATCH(H108,lst_CCforGL,0)),"?")))</f>
        <v/>
      </c>
      <c r="R108" s="37" t="n"/>
      <c r="S108" s="10">
        <f>IF(R108="","",HYPERLINK(IF(LEFT(R108,4)="http",R108,set_QwilrBase&amp;R108),"Open quote"))</f>
        <v/>
      </c>
      <c r="T108" s="39" t="n"/>
      <c r="U108" s="39" t="n"/>
      <c r="V108" s="39" t="n"/>
      <c r="W108" s="10">
        <f>IF(C108="","",IF(N(T108)+N(U108)+N(V108)=0,"Not split",IF(ROUND(N(T108)+N(U108)+N(V108),2)=ROUND(MAX(N(L108),N(O108)),2),"OK","MISMATCH")))</f>
        <v/>
      </c>
      <c r="X108" s="39" t="n"/>
      <c r="Y108" s="39" t="n"/>
      <c r="Z108" s="39" t="n"/>
      <c r="AA108" s="11">
        <f>IF(C108="","",N(X108)+N(Y108)+N(Z108))</f>
        <v/>
      </c>
      <c r="AB108" s="11">
        <f>IF(C108="","",MAX(N(L108),N(O108))-N(AA108))</f>
        <v/>
      </c>
      <c r="AC108" s="43">
        <f>IFERROR(IF(MAX(N(L108),N(O108))=0,"",AB108/MAX(N(L108),N(O108))),"")</f>
        <v/>
      </c>
      <c r="AD108" s="37" t="n"/>
      <c r="AE108" s="10" t="inlineStr">
        <is>
          <t>CON-0104</t>
        </is>
      </c>
    </row>
    <row r="109">
      <c r="A109" s="16">
        <f>IF($C109="","",IFERROR(IF(INDEX(tbl_Finance[Latest Invoice Date],MATCH($AE109,tbl_Finance[Row ID],0))="","",INDEX(tbl_Finance[Latest Invoice Date],MATCH($AE109,tbl_Finance[Row ID],0))),""))</f>
        <v/>
      </c>
      <c r="B109" s="10">
        <f>IF($C109="","",IFERROR(INDEX(tbl_Finance[Invoice Numbers],MATCH($AE109,tbl_Finance[Row ID],0))&amp;"",""))</f>
        <v/>
      </c>
      <c r="C109" s="37" t="n"/>
      <c r="D109" s="10">
        <f>IF($C109="","",IF(COUNTIF(lst_Jobs,$C109&amp;"")&gt;0,"OK","CHECK"))</f>
        <v/>
      </c>
      <c r="E109" s="10">
        <f>IF($C109="","",IFERROR(INDEX(lst_JobName,MATCH($C109&amp;"",lst_Jobs,0)),""))</f>
        <v/>
      </c>
      <c r="F109" s="37" t="n"/>
      <c r="G109" s="37" t="n"/>
      <c r="H109" s="37" t="n"/>
      <c r="I109" s="37" t="n"/>
      <c r="J109" s="37" t="n"/>
      <c r="K109" s="38">
        <f>IF($C109="","",IFERROR(N(INDEX(tbl_Finance[Invoice Count],MATCH($AE109,tbl_Finance[Row ID],0))),""))</f>
        <v/>
      </c>
      <c r="L109" s="11">
        <f>IF($C109="","",IFERROR(N(INDEX(tbl_Finance[Xero Invoiced Ex GST],MATCH($AE109,tbl_Finance[Row ID],0))),""))</f>
        <v/>
      </c>
      <c r="M109" s="10">
        <f>IF($C109="","",IFERROR(INDEX(tbl_Finance[Compare],MATCH($AE109,tbl_Finance[Row ID],0))&amp;"",""))</f>
        <v/>
      </c>
      <c r="N109" s="11">
        <f>IF($C109="","",MAX(0,N(O109)-N(L109)))</f>
        <v/>
      </c>
      <c r="O109" s="39" t="n"/>
      <c r="P109" s="40">
        <f>IF($C109="","",IF((IF(F109="",", Client","")&amp;IF(G109="",", Description","")&amp;IF(H109="",", Cost Centre","")&amp;IF(I109="",", Invoice Type","")&amp;IF(J109="",", Tax Code","")&amp;IF(O109="",", Expected Revenue","")&amp;IF(COUNTIF(tbl_Finance[Job Number],$C109&amp;"")&gt;1,", Job number used twice",""))="","Complete","Fix: "&amp;MID(IF(F109="",", Client","")&amp;IF(G109="",", Description","")&amp;IF(H109="",", Cost Centre","")&amp;IF(I109="",", Invoice Type","")&amp;IF(J109="",", Tax Code","")&amp;IF(O109="",", Expected Revenue","")&amp;IF(COUNTIF(tbl_Finance[Job Number],$C109&amp;"")&gt;1,", Job number used twice",""),3,300)))</f>
        <v/>
      </c>
      <c r="Q109" s="10">
        <f>IF($C109="","",IF(H109="","(no cost centre)",H109&amp;" - GL "&amp;IFERROR(INDEX(lst_CCtoGL,MATCH(H109,lst_CCforGL,0)),"?")))</f>
        <v/>
      </c>
      <c r="R109" s="37" t="n"/>
      <c r="S109" s="10">
        <f>IF(R109="","",HYPERLINK(IF(LEFT(R109,4)="http",R109,set_QwilrBase&amp;R109),"Open quote"))</f>
        <v/>
      </c>
      <c r="T109" s="39" t="n"/>
      <c r="U109" s="39" t="n"/>
      <c r="V109" s="39" t="n"/>
      <c r="W109" s="10">
        <f>IF(C109="","",IF(N(T109)+N(U109)+N(V109)=0,"Not split",IF(ROUND(N(T109)+N(U109)+N(V109),2)=ROUND(MAX(N(L109),N(O109)),2),"OK","MISMATCH")))</f>
        <v/>
      </c>
      <c r="X109" s="39" t="n"/>
      <c r="Y109" s="39" t="n"/>
      <c r="Z109" s="39" t="n"/>
      <c r="AA109" s="11">
        <f>IF(C109="","",N(X109)+N(Y109)+N(Z109))</f>
        <v/>
      </c>
      <c r="AB109" s="11">
        <f>IF(C109="","",MAX(N(L109),N(O109))-N(AA109))</f>
        <v/>
      </c>
      <c r="AC109" s="43">
        <f>IFERROR(IF(MAX(N(L109),N(O109))=0,"",AB109/MAX(N(L109),N(O109))),"")</f>
        <v/>
      </c>
      <c r="AD109" s="37" t="n"/>
      <c r="AE109" s="10" t="inlineStr">
        <is>
          <t>CON-0105</t>
        </is>
      </c>
    </row>
    <row r="110">
      <c r="A110" s="16">
        <f>IF($C110="","",IFERROR(IF(INDEX(tbl_Finance[Latest Invoice Date],MATCH($AE110,tbl_Finance[Row ID],0))="","",INDEX(tbl_Finance[Latest Invoice Date],MATCH($AE110,tbl_Finance[Row ID],0))),""))</f>
        <v/>
      </c>
      <c r="B110" s="10">
        <f>IF($C110="","",IFERROR(INDEX(tbl_Finance[Invoice Numbers],MATCH($AE110,tbl_Finance[Row ID],0))&amp;"",""))</f>
        <v/>
      </c>
      <c r="C110" s="37" t="n"/>
      <c r="D110" s="10">
        <f>IF($C110="","",IF(COUNTIF(lst_Jobs,$C110&amp;"")&gt;0,"OK","CHECK"))</f>
        <v/>
      </c>
      <c r="E110" s="10">
        <f>IF($C110="","",IFERROR(INDEX(lst_JobName,MATCH($C110&amp;"",lst_Jobs,0)),""))</f>
        <v/>
      </c>
      <c r="F110" s="37" t="n"/>
      <c r="G110" s="37" t="n"/>
      <c r="H110" s="37" t="n"/>
      <c r="I110" s="37" t="n"/>
      <c r="J110" s="37" t="n"/>
      <c r="K110" s="38">
        <f>IF($C110="","",IFERROR(N(INDEX(tbl_Finance[Invoice Count],MATCH($AE110,tbl_Finance[Row ID],0))),""))</f>
        <v/>
      </c>
      <c r="L110" s="11">
        <f>IF($C110="","",IFERROR(N(INDEX(tbl_Finance[Xero Invoiced Ex GST],MATCH($AE110,tbl_Finance[Row ID],0))),""))</f>
        <v/>
      </c>
      <c r="M110" s="10">
        <f>IF($C110="","",IFERROR(INDEX(tbl_Finance[Compare],MATCH($AE110,tbl_Finance[Row ID],0))&amp;"",""))</f>
        <v/>
      </c>
      <c r="N110" s="11">
        <f>IF($C110="","",MAX(0,N(O110)-N(L110)))</f>
        <v/>
      </c>
      <c r="O110" s="39" t="n"/>
      <c r="P110" s="40">
        <f>IF($C110="","",IF((IF(F110="",", Client","")&amp;IF(G110="",", Description","")&amp;IF(H110="",", Cost Centre","")&amp;IF(I110="",", Invoice Type","")&amp;IF(J110="",", Tax Code","")&amp;IF(O110="",", Expected Revenue","")&amp;IF(COUNTIF(tbl_Finance[Job Number],$C110&amp;"")&gt;1,", Job number used twice",""))="","Complete","Fix: "&amp;MID(IF(F110="",", Client","")&amp;IF(G110="",", Description","")&amp;IF(H110="",", Cost Centre","")&amp;IF(I110="",", Invoice Type","")&amp;IF(J110="",", Tax Code","")&amp;IF(O110="",", Expected Revenue","")&amp;IF(COUNTIF(tbl_Finance[Job Number],$C110&amp;"")&gt;1,", Job number used twice",""),3,300)))</f>
        <v/>
      </c>
      <c r="Q110" s="10">
        <f>IF($C110="","",IF(H110="","(no cost centre)",H110&amp;" - GL "&amp;IFERROR(INDEX(lst_CCtoGL,MATCH(H110,lst_CCforGL,0)),"?")))</f>
        <v/>
      </c>
      <c r="R110" s="37" t="n"/>
      <c r="S110" s="10">
        <f>IF(R110="","",HYPERLINK(IF(LEFT(R110,4)="http",R110,set_QwilrBase&amp;R110),"Open quote"))</f>
        <v/>
      </c>
      <c r="T110" s="39" t="n"/>
      <c r="U110" s="39" t="n"/>
      <c r="V110" s="39" t="n"/>
      <c r="W110" s="10">
        <f>IF(C110="","",IF(N(T110)+N(U110)+N(V110)=0,"Not split",IF(ROUND(N(T110)+N(U110)+N(V110),2)=ROUND(MAX(N(L110),N(O110)),2),"OK","MISMATCH")))</f>
        <v/>
      </c>
      <c r="X110" s="39" t="n"/>
      <c r="Y110" s="39" t="n"/>
      <c r="Z110" s="39" t="n"/>
      <c r="AA110" s="11">
        <f>IF(C110="","",N(X110)+N(Y110)+N(Z110))</f>
        <v/>
      </c>
      <c r="AB110" s="11">
        <f>IF(C110="","",MAX(N(L110),N(O110))-N(AA110))</f>
        <v/>
      </c>
      <c r="AC110" s="43">
        <f>IFERROR(IF(MAX(N(L110),N(O110))=0,"",AB110/MAX(N(L110),N(O110))),"")</f>
        <v/>
      </c>
      <c r="AD110" s="37" t="n"/>
      <c r="AE110" s="10" t="inlineStr">
        <is>
          <t>CON-0106</t>
        </is>
      </c>
    </row>
    <row r="111">
      <c r="A111" s="16">
        <f>IF($C111="","",IFERROR(IF(INDEX(tbl_Finance[Latest Invoice Date],MATCH($AE111,tbl_Finance[Row ID],0))="","",INDEX(tbl_Finance[Latest Invoice Date],MATCH($AE111,tbl_Finance[Row ID],0))),""))</f>
        <v/>
      </c>
      <c r="B111" s="10">
        <f>IF($C111="","",IFERROR(INDEX(tbl_Finance[Invoice Numbers],MATCH($AE111,tbl_Finance[Row ID],0))&amp;"",""))</f>
        <v/>
      </c>
      <c r="C111" s="37" t="n"/>
      <c r="D111" s="10">
        <f>IF($C111="","",IF(COUNTIF(lst_Jobs,$C111&amp;"")&gt;0,"OK","CHECK"))</f>
        <v/>
      </c>
      <c r="E111" s="10">
        <f>IF($C111="","",IFERROR(INDEX(lst_JobName,MATCH($C111&amp;"",lst_Jobs,0)),""))</f>
        <v/>
      </c>
      <c r="F111" s="37" t="n"/>
      <c r="G111" s="37" t="n"/>
      <c r="H111" s="37" t="n"/>
      <c r="I111" s="37" t="n"/>
      <c r="J111" s="37" t="n"/>
      <c r="K111" s="38">
        <f>IF($C111="","",IFERROR(N(INDEX(tbl_Finance[Invoice Count],MATCH($AE111,tbl_Finance[Row ID],0))),""))</f>
        <v/>
      </c>
      <c r="L111" s="11">
        <f>IF($C111="","",IFERROR(N(INDEX(tbl_Finance[Xero Invoiced Ex GST],MATCH($AE111,tbl_Finance[Row ID],0))),""))</f>
        <v/>
      </c>
      <c r="M111" s="10">
        <f>IF($C111="","",IFERROR(INDEX(tbl_Finance[Compare],MATCH($AE111,tbl_Finance[Row ID],0))&amp;"",""))</f>
        <v/>
      </c>
      <c r="N111" s="11">
        <f>IF($C111="","",MAX(0,N(O111)-N(L111)))</f>
        <v/>
      </c>
      <c r="O111" s="39" t="n"/>
      <c r="P111" s="40">
        <f>IF($C111="","",IF((IF(F111="",", Client","")&amp;IF(G111="",", Description","")&amp;IF(H111="",", Cost Centre","")&amp;IF(I111="",", Invoice Type","")&amp;IF(J111="",", Tax Code","")&amp;IF(O111="",", Expected Revenue","")&amp;IF(COUNTIF(tbl_Finance[Job Number],$C111&amp;"")&gt;1,", Job number used twice",""))="","Complete","Fix: "&amp;MID(IF(F111="",", Client","")&amp;IF(G111="",", Description","")&amp;IF(H111="",", Cost Centre","")&amp;IF(I111="",", Invoice Type","")&amp;IF(J111="",", Tax Code","")&amp;IF(O111="",", Expected Revenue","")&amp;IF(COUNTIF(tbl_Finance[Job Number],$C111&amp;"")&gt;1,", Job number used twice",""),3,300)))</f>
        <v/>
      </c>
      <c r="Q111" s="10">
        <f>IF($C111="","",IF(H111="","(no cost centre)",H111&amp;" - GL "&amp;IFERROR(INDEX(lst_CCtoGL,MATCH(H111,lst_CCforGL,0)),"?")))</f>
        <v/>
      </c>
      <c r="R111" s="37" t="n"/>
      <c r="S111" s="10">
        <f>IF(R111="","",HYPERLINK(IF(LEFT(R111,4)="http",R111,set_QwilrBase&amp;R111),"Open quote"))</f>
        <v/>
      </c>
      <c r="T111" s="39" t="n"/>
      <c r="U111" s="39" t="n"/>
      <c r="V111" s="39" t="n"/>
      <c r="W111" s="10">
        <f>IF(C111="","",IF(N(T111)+N(U111)+N(V111)=0,"Not split",IF(ROUND(N(T111)+N(U111)+N(V111),2)=ROUND(MAX(N(L111),N(O111)),2),"OK","MISMATCH")))</f>
        <v/>
      </c>
      <c r="X111" s="39" t="n"/>
      <c r="Y111" s="39" t="n"/>
      <c r="Z111" s="39" t="n"/>
      <c r="AA111" s="11">
        <f>IF(C111="","",N(X111)+N(Y111)+N(Z111))</f>
        <v/>
      </c>
      <c r="AB111" s="11">
        <f>IF(C111="","",MAX(N(L111),N(O111))-N(AA111))</f>
        <v/>
      </c>
      <c r="AC111" s="43">
        <f>IFERROR(IF(MAX(N(L111),N(O111))=0,"",AB111/MAX(N(L111),N(O111))),"")</f>
        <v/>
      </c>
      <c r="AD111" s="37" t="n"/>
      <c r="AE111" s="10" t="inlineStr">
        <is>
          <t>CON-0107</t>
        </is>
      </c>
    </row>
    <row r="112">
      <c r="A112" s="16">
        <f>IF($C112="","",IFERROR(IF(INDEX(tbl_Finance[Latest Invoice Date],MATCH($AE112,tbl_Finance[Row ID],0))="","",INDEX(tbl_Finance[Latest Invoice Date],MATCH($AE112,tbl_Finance[Row ID],0))),""))</f>
        <v/>
      </c>
      <c r="B112" s="10">
        <f>IF($C112="","",IFERROR(INDEX(tbl_Finance[Invoice Numbers],MATCH($AE112,tbl_Finance[Row ID],0))&amp;"",""))</f>
        <v/>
      </c>
      <c r="C112" s="37" t="n"/>
      <c r="D112" s="10">
        <f>IF($C112="","",IF(COUNTIF(lst_Jobs,$C112&amp;"")&gt;0,"OK","CHECK"))</f>
        <v/>
      </c>
      <c r="E112" s="10">
        <f>IF($C112="","",IFERROR(INDEX(lst_JobName,MATCH($C112&amp;"",lst_Jobs,0)),""))</f>
        <v/>
      </c>
      <c r="F112" s="37" t="n"/>
      <c r="G112" s="37" t="n"/>
      <c r="H112" s="37" t="n"/>
      <c r="I112" s="37" t="n"/>
      <c r="J112" s="37" t="n"/>
      <c r="K112" s="38">
        <f>IF($C112="","",IFERROR(N(INDEX(tbl_Finance[Invoice Count],MATCH($AE112,tbl_Finance[Row ID],0))),""))</f>
        <v/>
      </c>
      <c r="L112" s="11">
        <f>IF($C112="","",IFERROR(N(INDEX(tbl_Finance[Xero Invoiced Ex GST],MATCH($AE112,tbl_Finance[Row ID],0))),""))</f>
        <v/>
      </c>
      <c r="M112" s="10">
        <f>IF($C112="","",IFERROR(INDEX(tbl_Finance[Compare],MATCH($AE112,tbl_Finance[Row ID],0))&amp;"",""))</f>
        <v/>
      </c>
      <c r="N112" s="11">
        <f>IF($C112="","",MAX(0,N(O112)-N(L112)))</f>
        <v/>
      </c>
      <c r="O112" s="39" t="n"/>
      <c r="P112" s="40">
        <f>IF($C112="","",IF((IF(F112="",", Client","")&amp;IF(G112="",", Description","")&amp;IF(H112="",", Cost Centre","")&amp;IF(I112="",", Invoice Type","")&amp;IF(J112="",", Tax Code","")&amp;IF(O112="",", Expected Revenue","")&amp;IF(COUNTIF(tbl_Finance[Job Number],$C112&amp;"")&gt;1,", Job number used twice",""))="","Complete","Fix: "&amp;MID(IF(F112="",", Client","")&amp;IF(G112="",", Description","")&amp;IF(H112="",", Cost Centre","")&amp;IF(I112="",", Invoice Type","")&amp;IF(J112="",", Tax Code","")&amp;IF(O112="",", Expected Revenue","")&amp;IF(COUNTIF(tbl_Finance[Job Number],$C112&amp;"")&gt;1,", Job number used twice",""),3,300)))</f>
        <v/>
      </c>
      <c r="Q112" s="10">
        <f>IF($C112="","",IF(H112="","(no cost centre)",H112&amp;" - GL "&amp;IFERROR(INDEX(lst_CCtoGL,MATCH(H112,lst_CCforGL,0)),"?")))</f>
        <v/>
      </c>
      <c r="R112" s="37" t="n"/>
      <c r="S112" s="10">
        <f>IF(R112="","",HYPERLINK(IF(LEFT(R112,4)="http",R112,set_QwilrBase&amp;R112),"Open quote"))</f>
        <v/>
      </c>
      <c r="T112" s="39" t="n"/>
      <c r="U112" s="39" t="n"/>
      <c r="V112" s="39" t="n"/>
      <c r="W112" s="10">
        <f>IF(C112="","",IF(N(T112)+N(U112)+N(V112)=0,"Not split",IF(ROUND(N(T112)+N(U112)+N(V112),2)=ROUND(MAX(N(L112),N(O112)),2),"OK","MISMATCH")))</f>
        <v/>
      </c>
      <c r="X112" s="39" t="n"/>
      <c r="Y112" s="39" t="n"/>
      <c r="Z112" s="39" t="n"/>
      <c r="AA112" s="11">
        <f>IF(C112="","",N(X112)+N(Y112)+N(Z112))</f>
        <v/>
      </c>
      <c r="AB112" s="11">
        <f>IF(C112="","",MAX(N(L112),N(O112))-N(AA112))</f>
        <v/>
      </c>
      <c r="AC112" s="43">
        <f>IFERROR(IF(MAX(N(L112),N(O112))=0,"",AB112/MAX(N(L112),N(O112))),"")</f>
        <v/>
      </c>
      <c r="AD112" s="37" t="n"/>
      <c r="AE112" s="10" t="inlineStr">
        <is>
          <t>CON-0108</t>
        </is>
      </c>
    </row>
    <row r="113">
      <c r="A113" s="16">
        <f>IF($C113="","",IFERROR(IF(INDEX(tbl_Finance[Latest Invoice Date],MATCH($AE113,tbl_Finance[Row ID],0))="","",INDEX(tbl_Finance[Latest Invoice Date],MATCH($AE113,tbl_Finance[Row ID],0))),""))</f>
        <v/>
      </c>
      <c r="B113" s="10">
        <f>IF($C113="","",IFERROR(INDEX(tbl_Finance[Invoice Numbers],MATCH($AE113,tbl_Finance[Row ID],0))&amp;"",""))</f>
        <v/>
      </c>
      <c r="C113" s="37" t="n"/>
      <c r="D113" s="10">
        <f>IF($C113="","",IF(COUNTIF(lst_Jobs,$C113&amp;"")&gt;0,"OK","CHECK"))</f>
        <v/>
      </c>
      <c r="E113" s="10">
        <f>IF($C113="","",IFERROR(INDEX(lst_JobName,MATCH($C113&amp;"",lst_Jobs,0)),""))</f>
        <v/>
      </c>
      <c r="F113" s="37" t="n"/>
      <c r="G113" s="37" t="n"/>
      <c r="H113" s="37" t="n"/>
      <c r="I113" s="37" t="n"/>
      <c r="J113" s="37" t="n"/>
      <c r="K113" s="38">
        <f>IF($C113="","",IFERROR(N(INDEX(tbl_Finance[Invoice Count],MATCH($AE113,tbl_Finance[Row ID],0))),""))</f>
        <v/>
      </c>
      <c r="L113" s="11">
        <f>IF($C113="","",IFERROR(N(INDEX(tbl_Finance[Xero Invoiced Ex GST],MATCH($AE113,tbl_Finance[Row ID],0))),""))</f>
        <v/>
      </c>
      <c r="M113" s="10">
        <f>IF($C113="","",IFERROR(INDEX(tbl_Finance[Compare],MATCH($AE113,tbl_Finance[Row ID],0))&amp;"",""))</f>
        <v/>
      </c>
      <c r="N113" s="11">
        <f>IF($C113="","",MAX(0,N(O113)-N(L113)))</f>
        <v/>
      </c>
      <c r="O113" s="39" t="n"/>
      <c r="P113" s="40">
        <f>IF($C113="","",IF((IF(F113="",", Client","")&amp;IF(G113="",", Description","")&amp;IF(H113="",", Cost Centre","")&amp;IF(I113="",", Invoice Type","")&amp;IF(J113="",", Tax Code","")&amp;IF(O113="",", Expected Revenue","")&amp;IF(COUNTIF(tbl_Finance[Job Number],$C113&amp;"")&gt;1,", Job number used twice",""))="","Complete","Fix: "&amp;MID(IF(F113="",", Client","")&amp;IF(G113="",", Description","")&amp;IF(H113="",", Cost Centre","")&amp;IF(I113="",", Invoice Type","")&amp;IF(J113="",", Tax Code","")&amp;IF(O113="",", Expected Revenue","")&amp;IF(COUNTIF(tbl_Finance[Job Number],$C113&amp;"")&gt;1,", Job number used twice",""),3,300)))</f>
        <v/>
      </c>
      <c r="Q113" s="10">
        <f>IF($C113="","",IF(H113="","(no cost centre)",H113&amp;" - GL "&amp;IFERROR(INDEX(lst_CCtoGL,MATCH(H113,lst_CCforGL,0)),"?")))</f>
        <v/>
      </c>
      <c r="R113" s="37" t="n"/>
      <c r="S113" s="10">
        <f>IF(R113="","",HYPERLINK(IF(LEFT(R113,4)="http",R113,set_QwilrBase&amp;R113),"Open quote"))</f>
        <v/>
      </c>
      <c r="T113" s="39" t="n"/>
      <c r="U113" s="39" t="n"/>
      <c r="V113" s="39" t="n"/>
      <c r="W113" s="10">
        <f>IF(C113="","",IF(N(T113)+N(U113)+N(V113)=0,"Not split",IF(ROUND(N(T113)+N(U113)+N(V113),2)=ROUND(MAX(N(L113),N(O113)),2),"OK","MISMATCH")))</f>
        <v/>
      </c>
      <c r="X113" s="39" t="n"/>
      <c r="Y113" s="39" t="n"/>
      <c r="Z113" s="39" t="n"/>
      <c r="AA113" s="11">
        <f>IF(C113="","",N(X113)+N(Y113)+N(Z113))</f>
        <v/>
      </c>
      <c r="AB113" s="11">
        <f>IF(C113="","",MAX(N(L113),N(O113))-N(AA113))</f>
        <v/>
      </c>
      <c r="AC113" s="43">
        <f>IFERROR(IF(MAX(N(L113),N(O113))=0,"",AB113/MAX(N(L113),N(O113))),"")</f>
        <v/>
      </c>
      <c r="AD113" s="37" t="n"/>
      <c r="AE113" s="10" t="inlineStr">
        <is>
          <t>CON-0109</t>
        </is>
      </c>
    </row>
    <row r="114">
      <c r="A114" s="16">
        <f>IF($C114="","",IFERROR(IF(INDEX(tbl_Finance[Latest Invoice Date],MATCH($AE114,tbl_Finance[Row ID],0))="","",INDEX(tbl_Finance[Latest Invoice Date],MATCH($AE114,tbl_Finance[Row ID],0))),""))</f>
        <v/>
      </c>
      <c r="B114" s="10">
        <f>IF($C114="","",IFERROR(INDEX(tbl_Finance[Invoice Numbers],MATCH($AE114,tbl_Finance[Row ID],0))&amp;"",""))</f>
        <v/>
      </c>
      <c r="C114" s="37" t="n"/>
      <c r="D114" s="10">
        <f>IF($C114="","",IF(COUNTIF(lst_Jobs,$C114&amp;"")&gt;0,"OK","CHECK"))</f>
        <v/>
      </c>
      <c r="E114" s="10">
        <f>IF($C114="","",IFERROR(INDEX(lst_JobName,MATCH($C114&amp;"",lst_Jobs,0)),""))</f>
        <v/>
      </c>
      <c r="F114" s="37" t="n"/>
      <c r="G114" s="37" t="n"/>
      <c r="H114" s="37" t="n"/>
      <c r="I114" s="37" t="n"/>
      <c r="J114" s="37" t="n"/>
      <c r="K114" s="38">
        <f>IF($C114="","",IFERROR(N(INDEX(tbl_Finance[Invoice Count],MATCH($AE114,tbl_Finance[Row ID],0))),""))</f>
        <v/>
      </c>
      <c r="L114" s="11">
        <f>IF($C114="","",IFERROR(N(INDEX(tbl_Finance[Xero Invoiced Ex GST],MATCH($AE114,tbl_Finance[Row ID],0))),""))</f>
        <v/>
      </c>
      <c r="M114" s="10">
        <f>IF($C114="","",IFERROR(INDEX(tbl_Finance[Compare],MATCH($AE114,tbl_Finance[Row ID],0))&amp;"",""))</f>
        <v/>
      </c>
      <c r="N114" s="11">
        <f>IF($C114="","",MAX(0,N(O114)-N(L114)))</f>
        <v/>
      </c>
      <c r="O114" s="39" t="n"/>
      <c r="P114" s="40">
        <f>IF($C114="","",IF((IF(F114="",", Client","")&amp;IF(G114="",", Description","")&amp;IF(H114="",", Cost Centre","")&amp;IF(I114="",", Invoice Type","")&amp;IF(J114="",", Tax Code","")&amp;IF(O114="",", Expected Revenue","")&amp;IF(COUNTIF(tbl_Finance[Job Number],$C114&amp;"")&gt;1,", Job number used twice",""))="","Complete","Fix: "&amp;MID(IF(F114="",", Client","")&amp;IF(G114="",", Description","")&amp;IF(H114="",", Cost Centre","")&amp;IF(I114="",", Invoice Type","")&amp;IF(J114="",", Tax Code","")&amp;IF(O114="",", Expected Revenue","")&amp;IF(COUNTIF(tbl_Finance[Job Number],$C114&amp;"")&gt;1,", Job number used twice",""),3,300)))</f>
        <v/>
      </c>
      <c r="Q114" s="10">
        <f>IF($C114="","",IF(H114="","(no cost centre)",H114&amp;" - GL "&amp;IFERROR(INDEX(lst_CCtoGL,MATCH(H114,lst_CCforGL,0)),"?")))</f>
        <v/>
      </c>
      <c r="R114" s="37" t="n"/>
      <c r="S114" s="10">
        <f>IF(R114="","",HYPERLINK(IF(LEFT(R114,4)="http",R114,set_QwilrBase&amp;R114),"Open quote"))</f>
        <v/>
      </c>
      <c r="T114" s="39" t="n"/>
      <c r="U114" s="39" t="n"/>
      <c r="V114" s="39" t="n"/>
      <c r="W114" s="10">
        <f>IF(C114="","",IF(N(T114)+N(U114)+N(V114)=0,"Not split",IF(ROUND(N(T114)+N(U114)+N(V114),2)=ROUND(MAX(N(L114),N(O114)),2),"OK","MISMATCH")))</f>
        <v/>
      </c>
      <c r="X114" s="39" t="n"/>
      <c r="Y114" s="39" t="n"/>
      <c r="Z114" s="39" t="n"/>
      <c r="AA114" s="11">
        <f>IF(C114="","",N(X114)+N(Y114)+N(Z114))</f>
        <v/>
      </c>
      <c r="AB114" s="11">
        <f>IF(C114="","",MAX(N(L114),N(O114))-N(AA114))</f>
        <v/>
      </c>
      <c r="AC114" s="43">
        <f>IFERROR(IF(MAX(N(L114),N(O114))=0,"",AB114/MAX(N(L114),N(O114))),"")</f>
        <v/>
      </c>
      <c r="AD114" s="37" t="n"/>
      <c r="AE114" s="10" t="inlineStr">
        <is>
          <t>CON-0110</t>
        </is>
      </c>
    </row>
    <row r="115">
      <c r="A115" s="16">
        <f>IF($C115="","",IFERROR(IF(INDEX(tbl_Finance[Latest Invoice Date],MATCH($AE115,tbl_Finance[Row ID],0))="","",INDEX(tbl_Finance[Latest Invoice Date],MATCH($AE115,tbl_Finance[Row ID],0))),""))</f>
        <v/>
      </c>
      <c r="B115" s="10">
        <f>IF($C115="","",IFERROR(INDEX(tbl_Finance[Invoice Numbers],MATCH($AE115,tbl_Finance[Row ID],0))&amp;"",""))</f>
        <v/>
      </c>
      <c r="C115" s="37" t="n"/>
      <c r="D115" s="10">
        <f>IF($C115="","",IF(COUNTIF(lst_Jobs,$C115&amp;"")&gt;0,"OK","CHECK"))</f>
        <v/>
      </c>
      <c r="E115" s="10">
        <f>IF($C115="","",IFERROR(INDEX(lst_JobName,MATCH($C115&amp;"",lst_Jobs,0)),""))</f>
        <v/>
      </c>
      <c r="F115" s="37" t="n"/>
      <c r="G115" s="37" t="n"/>
      <c r="H115" s="37" t="n"/>
      <c r="I115" s="37" t="n"/>
      <c r="J115" s="37" t="n"/>
      <c r="K115" s="38">
        <f>IF($C115="","",IFERROR(N(INDEX(tbl_Finance[Invoice Count],MATCH($AE115,tbl_Finance[Row ID],0))),""))</f>
        <v/>
      </c>
      <c r="L115" s="11">
        <f>IF($C115="","",IFERROR(N(INDEX(tbl_Finance[Xero Invoiced Ex GST],MATCH($AE115,tbl_Finance[Row ID],0))),""))</f>
        <v/>
      </c>
      <c r="M115" s="10">
        <f>IF($C115="","",IFERROR(INDEX(tbl_Finance[Compare],MATCH($AE115,tbl_Finance[Row ID],0))&amp;"",""))</f>
        <v/>
      </c>
      <c r="N115" s="11">
        <f>IF($C115="","",MAX(0,N(O115)-N(L115)))</f>
        <v/>
      </c>
      <c r="O115" s="39" t="n"/>
      <c r="P115" s="40">
        <f>IF($C115="","",IF((IF(F115="",", Client","")&amp;IF(G115="",", Description","")&amp;IF(H115="",", Cost Centre","")&amp;IF(I115="",", Invoice Type","")&amp;IF(J115="",", Tax Code","")&amp;IF(O115="",", Expected Revenue","")&amp;IF(COUNTIF(tbl_Finance[Job Number],$C115&amp;"")&gt;1,", Job number used twice",""))="","Complete","Fix: "&amp;MID(IF(F115="",", Client","")&amp;IF(G115="",", Description","")&amp;IF(H115="",", Cost Centre","")&amp;IF(I115="",", Invoice Type","")&amp;IF(J115="",", Tax Code","")&amp;IF(O115="",", Expected Revenue","")&amp;IF(COUNTIF(tbl_Finance[Job Number],$C115&amp;"")&gt;1,", Job number used twice",""),3,300)))</f>
        <v/>
      </c>
      <c r="Q115" s="10">
        <f>IF($C115="","",IF(H115="","(no cost centre)",H115&amp;" - GL "&amp;IFERROR(INDEX(lst_CCtoGL,MATCH(H115,lst_CCforGL,0)),"?")))</f>
        <v/>
      </c>
      <c r="R115" s="37" t="n"/>
      <c r="S115" s="10">
        <f>IF(R115="","",HYPERLINK(IF(LEFT(R115,4)="http",R115,set_QwilrBase&amp;R115),"Open quote"))</f>
        <v/>
      </c>
      <c r="T115" s="39" t="n"/>
      <c r="U115" s="39" t="n"/>
      <c r="V115" s="39" t="n"/>
      <c r="W115" s="10">
        <f>IF(C115="","",IF(N(T115)+N(U115)+N(V115)=0,"Not split",IF(ROUND(N(T115)+N(U115)+N(V115),2)=ROUND(MAX(N(L115),N(O115)),2),"OK","MISMATCH")))</f>
        <v/>
      </c>
      <c r="X115" s="39" t="n"/>
      <c r="Y115" s="39" t="n"/>
      <c r="Z115" s="39" t="n"/>
      <c r="AA115" s="11">
        <f>IF(C115="","",N(X115)+N(Y115)+N(Z115))</f>
        <v/>
      </c>
      <c r="AB115" s="11">
        <f>IF(C115="","",MAX(N(L115),N(O115))-N(AA115))</f>
        <v/>
      </c>
      <c r="AC115" s="43">
        <f>IFERROR(IF(MAX(N(L115),N(O115))=0,"",AB115/MAX(N(L115),N(O115))),"")</f>
        <v/>
      </c>
      <c r="AD115" s="37" t="n"/>
      <c r="AE115" s="10" t="inlineStr">
        <is>
          <t>CON-0111</t>
        </is>
      </c>
    </row>
    <row r="116">
      <c r="A116" s="16">
        <f>IF($C116="","",IFERROR(IF(INDEX(tbl_Finance[Latest Invoice Date],MATCH($AE116,tbl_Finance[Row ID],0))="","",INDEX(tbl_Finance[Latest Invoice Date],MATCH($AE116,tbl_Finance[Row ID],0))),""))</f>
        <v/>
      </c>
      <c r="B116" s="10">
        <f>IF($C116="","",IFERROR(INDEX(tbl_Finance[Invoice Numbers],MATCH($AE116,tbl_Finance[Row ID],0))&amp;"",""))</f>
        <v/>
      </c>
      <c r="C116" s="37" t="n"/>
      <c r="D116" s="10">
        <f>IF($C116="","",IF(COUNTIF(lst_Jobs,$C116&amp;"")&gt;0,"OK","CHECK"))</f>
        <v/>
      </c>
      <c r="E116" s="10">
        <f>IF($C116="","",IFERROR(INDEX(lst_JobName,MATCH($C116&amp;"",lst_Jobs,0)),""))</f>
        <v/>
      </c>
      <c r="F116" s="37" t="n"/>
      <c r="G116" s="37" t="n"/>
      <c r="H116" s="37" t="n"/>
      <c r="I116" s="37" t="n"/>
      <c r="J116" s="37" t="n"/>
      <c r="K116" s="38">
        <f>IF($C116="","",IFERROR(N(INDEX(tbl_Finance[Invoice Count],MATCH($AE116,tbl_Finance[Row ID],0))),""))</f>
        <v/>
      </c>
      <c r="L116" s="11">
        <f>IF($C116="","",IFERROR(N(INDEX(tbl_Finance[Xero Invoiced Ex GST],MATCH($AE116,tbl_Finance[Row ID],0))),""))</f>
        <v/>
      </c>
      <c r="M116" s="10">
        <f>IF($C116="","",IFERROR(INDEX(tbl_Finance[Compare],MATCH($AE116,tbl_Finance[Row ID],0))&amp;"",""))</f>
        <v/>
      </c>
      <c r="N116" s="11">
        <f>IF($C116="","",MAX(0,N(O116)-N(L116)))</f>
        <v/>
      </c>
      <c r="O116" s="39" t="n"/>
      <c r="P116" s="40">
        <f>IF($C116="","",IF((IF(F116="",", Client","")&amp;IF(G116="",", Description","")&amp;IF(H116="",", Cost Centre","")&amp;IF(I116="",", Invoice Type","")&amp;IF(J116="",", Tax Code","")&amp;IF(O116="",", Expected Revenue","")&amp;IF(COUNTIF(tbl_Finance[Job Number],$C116&amp;"")&gt;1,", Job number used twice",""))="","Complete","Fix: "&amp;MID(IF(F116="",", Client","")&amp;IF(G116="",", Description","")&amp;IF(H116="",", Cost Centre","")&amp;IF(I116="",", Invoice Type","")&amp;IF(J116="",", Tax Code","")&amp;IF(O116="",", Expected Revenue","")&amp;IF(COUNTIF(tbl_Finance[Job Number],$C116&amp;"")&gt;1,", Job number used twice",""),3,300)))</f>
        <v/>
      </c>
      <c r="Q116" s="10">
        <f>IF($C116="","",IF(H116="","(no cost centre)",H116&amp;" - GL "&amp;IFERROR(INDEX(lst_CCtoGL,MATCH(H116,lst_CCforGL,0)),"?")))</f>
        <v/>
      </c>
      <c r="R116" s="37" t="n"/>
      <c r="S116" s="10">
        <f>IF(R116="","",HYPERLINK(IF(LEFT(R116,4)="http",R116,set_QwilrBase&amp;R116),"Open quote"))</f>
        <v/>
      </c>
      <c r="T116" s="39" t="n"/>
      <c r="U116" s="39" t="n"/>
      <c r="V116" s="39" t="n"/>
      <c r="W116" s="10">
        <f>IF(C116="","",IF(N(T116)+N(U116)+N(V116)=0,"Not split",IF(ROUND(N(T116)+N(U116)+N(V116),2)=ROUND(MAX(N(L116),N(O116)),2),"OK","MISMATCH")))</f>
        <v/>
      </c>
      <c r="X116" s="39" t="n"/>
      <c r="Y116" s="39" t="n"/>
      <c r="Z116" s="39" t="n"/>
      <c r="AA116" s="11">
        <f>IF(C116="","",N(X116)+N(Y116)+N(Z116))</f>
        <v/>
      </c>
      <c r="AB116" s="11">
        <f>IF(C116="","",MAX(N(L116),N(O116))-N(AA116))</f>
        <v/>
      </c>
      <c r="AC116" s="43">
        <f>IFERROR(IF(MAX(N(L116),N(O116))=0,"",AB116/MAX(N(L116),N(O116))),"")</f>
        <v/>
      </c>
      <c r="AD116" s="37" t="n"/>
      <c r="AE116" s="10" t="inlineStr">
        <is>
          <t>CON-0112</t>
        </is>
      </c>
    </row>
    <row r="117">
      <c r="A117" s="16">
        <f>IF($C117="","",IFERROR(IF(INDEX(tbl_Finance[Latest Invoice Date],MATCH($AE117,tbl_Finance[Row ID],0))="","",INDEX(tbl_Finance[Latest Invoice Date],MATCH($AE117,tbl_Finance[Row ID],0))),""))</f>
        <v/>
      </c>
      <c r="B117" s="10">
        <f>IF($C117="","",IFERROR(INDEX(tbl_Finance[Invoice Numbers],MATCH($AE117,tbl_Finance[Row ID],0))&amp;"",""))</f>
        <v/>
      </c>
      <c r="C117" s="37" t="n"/>
      <c r="D117" s="10">
        <f>IF($C117="","",IF(COUNTIF(lst_Jobs,$C117&amp;"")&gt;0,"OK","CHECK"))</f>
        <v/>
      </c>
      <c r="E117" s="10">
        <f>IF($C117="","",IFERROR(INDEX(lst_JobName,MATCH($C117&amp;"",lst_Jobs,0)),""))</f>
        <v/>
      </c>
      <c r="F117" s="37" t="n"/>
      <c r="G117" s="37" t="n"/>
      <c r="H117" s="37" t="n"/>
      <c r="I117" s="37" t="n"/>
      <c r="J117" s="37" t="n"/>
      <c r="K117" s="38">
        <f>IF($C117="","",IFERROR(N(INDEX(tbl_Finance[Invoice Count],MATCH($AE117,tbl_Finance[Row ID],0))),""))</f>
        <v/>
      </c>
      <c r="L117" s="11">
        <f>IF($C117="","",IFERROR(N(INDEX(tbl_Finance[Xero Invoiced Ex GST],MATCH($AE117,tbl_Finance[Row ID],0))),""))</f>
        <v/>
      </c>
      <c r="M117" s="10">
        <f>IF($C117="","",IFERROR(INDEX(tbl_Finance[Compare],MATCH($AE117,tbl_Finance[Row ID],0))&amp;"",""))</f>
        <v/>
      </c>
      <c r="N117" s="11">
        <f>IF($C117="","",MAX(0,N(O117)-N(L117)))</f>
        <v/>
      </c>
      <c r="O117" s="39" t="n"/>
      <c r="P117" s="40">
        <f>IF($C117="","",IF((IF(F117="",", Client","")&amp;IF(G117="",", Description","")&amp;IF(H117="",", Cost Centre","")&amp;IF(I117="",", Invoice Type","")&amp;IF(J117="",", Tax Code","")&amp;IF(O117="",", Expected Revenue","")&amp;IF(COUNTIF(tbl_Finance[Job Number],$C117&amp;"")&gt;1,", Job number used twice",""))="","Complete","Fix: "&amp;MID(IF(F117="",", Client","")&amp;IF(G117="",", Description","")&amp;IF(H117="",", Cost Centre","")&amp;IF(I117="",", Invoice Type","")&amp;IF(J117="",", Tax Code","")&amp;IF(O117="",", Expected Revenue","")&amp;IF(COUNTIF(tbl_Finance[Job Number],$C117&amp;"")&gt;1,", Job number used twice",""),3,300)))</f>
        <v/>
      </c>
      <c r="Q117" s="10">
        <f>IF($C117="","",IF(H117="","(no cost centre)",H117&amp;" - GL "&amp;IFERROR(INDEX(lst_CCtoGL,MATCH(H117,lst_CCforGL,0)),"?")))</f>
        <v/>
      </c>
      <c r="R117" s="37" t="n"/>
      <c r="S117" s="10">
        <f>IF(R117="","",HYPERLINK(IF(LEFT(R117,4)="http",R117,set_QwilrBase&amp;R117),"Open quote"))</f>
        <v/>
      </c>
      <c r="T117" s="39" t="n"/>
      <c r="U117" s="39" t="n"/>
      <c r="V117" s="39" t="n"/>
      <c r="W117" s="10">
        <f>IF(C117="","",IF(N(T117)+N(U117)+N(V117)=0,"Not split",IF(ROUND(N(T117)+N(U117)+N(V117),2)=ROUND(MAX(N(L117),N(O117)),2),"OK","MISMATCH")))</f>
        <v/>
      </c>
      <c r="X117" s="39" t="n"/>
      <c r="Y117" s="39" t="n"/>
      <c r="Z117" s="39" t="n"/>
      <c r="AA117" s="11">
        <f>IF(C117="","",N(X117)+N(Y117)+N(Z117))</f>
        <v/>
      </c>
      <c r="AB117" s="11">
        <f>IF(C117="","",MAX(N(L117),N(O117))-N(AA117))</f>
        <v/>
      </c>
      <c r="AC117" s="43">
        <f>IFERROR(IF(MAX(N(L117),N(O117))=0,"",AB117/MAX(N(L117),N(O117))),"")</f>
        <v/>
      </c>
      <c r="AD117" s="37" t="n"/>
      <c r="AE117" s="10" t="inlineStr">
        <is>
          <t>CON-0113</t>
        </is>
      </c>
    </row>
    <row r="118">
      <c r="A118" s="16">
        <f>IF($C118="","",IFERROR(IF(INDEX(tbl_Finance[Latest Invoice Date],MATCH($AE118,tbl_Finance[Row ID],0))="","",INDEX(tbl_Finance[Latest Invoice Date],MATCH($AE118,tbl_Finance[Row ID],0))),""))</f>
        <v/>
      </c>
      <c r="B118" s="10">
        <f>IF($C118="","",IFERROR(INDEX(tbl_Finance[Invoice Numbers],MATCH($AE118,tbl_Finance[Row ID],0))&amp;"",""))</f>
        <v/>
      </c>
      <c r="C118" s="37" t="n"/>
      <c r="D118" s="10">
        <f>IF($C118="","",IF(COUNTIF(lst_Jobs,$C118&amp;"")&gt;0,"OK","CHECK"))</f>
        <v/>
      </c>
      <c r="E118" s="10">
        <f>IF($C118="","",IFERROR(INDEX(lst_JobName,MATCH($C118&amp;"",lst_Jobs,0)),""))</f>
        <v/>
      </c>
      <c r="F118" s="37" t="n"/>
      <c r="G118" s="37" t="n"/>
      <c r="H118" s="37" t="n"/>
      <c r="I118" s="37" t="n"/>
      <c r="J118" s="37" t="n"/>
      <c r="K118" s="38">
        <f>IF($C118="","",IFERROR(N(INDEX(tbl_Finance[Invoice Count],MATCH($AE118,tbl_Finance[Row ID],0))),""))</f>
        <v/>
      </c>
      <c r="L118" s="11">
        <f>IF($C118="","",IFERROR(N(INDEX(tbl_Finance[Xero Invoiced Ex GST],MATCH($AE118,tbl_Finance[Row ID],0))),""))</f>
        <v/>
      </c>
      <c r="M118" s="10">
        <f>IF($C118="","",IFERROR(INDEX(tbl_Finance[Compare],MATCH($AE118,tbl_Finance[Row ID],0))&amp;"",""))</f>
        <v/>
      </c>
      <c r="N118" s="11">
        <f>IF($C118="","",MAX(0,N(O118)-N(L118)))</f>
        <v/>
      </c>
      <c r="O118" s="39" t="n"/>
      <c r="P118" s="40">
        <f>IF($C118="","",IF((IF(F118="",", Client","")&amp;IF(G118="",", Description","")&amp;IF(H118="",", Cost Centre","")&amp;IF(I118="",", Invoice Type","")&amp;IF(J118="",", Tax Code","")&amp;IF(O118="",", Expected Revenue","")&amp;IF(COUNTIF(tbl_Finance[Job Number],$C118&amp;"")&gt;1,", Job number used twice",""))="","Complete","Fix: "&amp;MID(IF(F118="",", Client","")&amp;IF(G118="",", Description","")&amp;IF(H118="",", Cost Centre","")&amp;IF(I118="",", Invoice Type","")&amp;IF(J118="",", Tax Code","")&amp;IF(O118="",", Expected Revenue","")&amp;IF(COUNTIF(tbl_Finance[Job Number],$C118&amp;"")&gt;1,", Job number used twice",""),3,300)))</f>
        <v/>
      </c>
      <c r="Q118" s="10">
        <f>IF($C118="","",IF(H118="","(no cost centre)",H118&amp;" - GL "&amp;IFERROR(INDEX(lst_CCtoGL,MATCH(H118,lst_CCforGL,0)),"?")))</f>
        <v/>
      </c>
      <c r="R118" s="37" t="n"/>
      <c r="S118" s="10">
        <f>IF(R118="","",HYPERLINK(IF(LEFT(R118,4)="http",R118,set_QwilrBase&amp;R118),"Open quote"))</f>
        <v/>
      </c>
      <c r="T118" s="39" t="n"/>
      <c r="U118" s="39" t="n"/>
      <c r="V118" s="39" t="n"/>
      <c r="W118" s="10">
        <f>IF(C118="","",IF(N(T118)+N(U118)+N(V118)=0,"Not split",IF(ROUND(N(T118)+N(U118)+N(V118),2)=ROUND(MAX(N(L118),N(O118)),2),"OK","MISMATCH")))</f>
        <v/>
      </c>
      <c r="X118" s="39" t="n"/>
      <c r="Y118" s="39" t="n"/>
      <c r="Z118" s="39" t="n"/>
      <c r="AA118" s="11">
        <f>IF(C118="","",N(X118)+N(Y118)+N(Z118))</f>
        <v/>
      </c>
      <c r="AB118" s="11">
        <f>IF(C118="","",MAX(N(L118),N(O118))-N(AA118))</f>
        <v/>
      </c>
      <c r="AC118" s="43">
        <f>IFERROR(IF(MAX(N(L118),N(O118))=0,"",AB118/MAX(N(L118),N(O118))),"")</f>
        <v/>
      </c>
      <c r="AD118" s="37" t="n"/>
      <c r="AE118" s="10" t="inlineStr">
        <is>
          <t>CON-0114</t>
        </is>
      </c>
    </row>
    <row r="119">
      <c r="A119" s="16">
        <f>IF($C119="","",IFERROR(IF(INDEX(tbl_Finance[Latest Invoice Date],MATCH($AE119,tbl_Finance[Row ID],0))="","",INDEX(tbl_Finance[Latest Invoice Date],MATCH($AE119,tbl_Finance[Row ID],0))),""))</f>
        <v/>
      </c>
      <c r="B119" s="10">
        <f>IF($C119="","",IFERROR(INDEX(tbl_Finance[Invoice Numbers],MATCH($AE119,tbl_Finance[Row ID],0))&amp;"",""))</f>
        <v/>
      </c>
      <c r="C119" s="37" t="n"/>
      <c r="D119" s="10">
        <f>IF($C119="","",IF(COUNTIF(lst_Jobs,$C119&amp;"")&gt;0,"OK","CHECK"))</f>
        <v/>
      </c>
      <c r="E119" s="10">
        <f>IF($C119="","",IFERROR(INDEX(lst_JobName,MATCH($C119&amp;"",lst_Jobs,0)),""))</f>
        <v/>
      </c>
      <c r="F119" s="37" t="n"/>
      <c r="G119" s="37" t="n"/>
      <c r="H119" s="37" t="n"/>
      <c r="I119" s="37" t="n"/>
      <c r="J119" s="37" t="n"/>
      <c r="K119" s="38">
        <f>IF($C119="","",IFERROR(N(INDEX(tbl_Finance[Invoice Count],MATCH($AE119,tbl_Finance[Row ID],0))),""))</f>
        <v/>
      </c>
      <c r="L119" s="11">
        <f>IF($C119="","",IFERROR(N(INDEX(tbl_Finance[Xero Invoiced Ex GST],MATCH($AE119,tbl_Finance[Row ID],0))),""))</f>
        <v/>
      </c>
      <c r="M119" s="10">
        <f>IF($C119="","",IFERROR(INDEX(tbl_Finance[Compare],MATCH($AE119,tbl_Finance[Row ID],0))&amp;"",""))</f>
        <v/>
      </c>
      <c r="N119" s="11">
        <f>IF($C119="","",MAX(0,N(O119)-N(L119)))</f>
        <v/>
      </c>
      <c r="O119" s="39" t="n"/>
      <c r="P119" s="40">
        <f>IF($C119="","",IF((IF(F119="",", Client","")&amp;IF(G119="",", Description","")&amp;IF(H119="",", Cost Centre","")&amp;IF(I119="",", Invoice Type","")&amp;IF(J119="",", Tax Code","")&amp;IF(O119="",", Expected Revenue","")&amp;IF(COUNTIF(tbl_Finance[Job Number],$C119&amp;"")&gt;1,", Job number used twice",""))="","Complete","Fix: "&amp;MID(IF(F119="",", Client","")&amp;IF(G119="",", Description","")&amp;IF(H119="",", Cost Centre","")&amp;IF(I119="",", Invoice Type","")&amp;IF(J119="",", Tax Code","")&amp;IF(O119="",", Expected Revenue","")&amp;IF(COUNTIF(tbl_Finance[Job Number],$C119&amp;"")&gt;1,", Job number used twice",""),3,300)))</f>
        <v/>
      </c>
      <c r="Q119" s="10">
        <f>IF($C119="","",IF(H119="","(no cost centre)",H119&amp;" - GL "&amp;IFERROR(INDEX(lst_CCtoGL,MATCH(H119,lst_CCforGL,0)),"?")))</f>
        <v/>
      </c>
      <c r="R119" s="37" t="n"/>
      <c r="S119" s="10">
        <f>IF(R119="","",HYPERLINK(IF(LEFT(R119,4)="http",R119,set_QwilrBase&amp;R119),"Open quote"))</f>
        <v/>
      </c>
      <c r="T119" s="39" t="n"/>
      <c r="U119" s="39" t="n"/>
      <c r="V119" s="39" t="n"/>
      <c r="W119" s="10">
        <f>IF(C119="","",IF(N(T119)+N(U119)+N(V119)=0,"Not split",IF(ROUND(N(T119)+N(U119)+N(V119),2)=ROUND(MAX(N(L119),N(O119)),2),"OK","MISMATCH")))</f>
        <v/>
      </c>
      <c r="X119" s="39" t="n"/>
      <c r="Y119" s="39" t="n"/>
      <c r="Z119" s="39" t="n"/>
      <c r="AA119" s="11">
        <f>IF(C119="","",N(X119)+N(Y119)+N(Z119))</f>
        <v/>
      </c>
      <c r="AB119" s="11">
        <f>IF(C119="","",MAX(N(L119),N(O119))-N(AA119))</f>
        <v/>
      </c>
      <c r="AC119" s="43">
        <f>IFERROR(IF(MAX(N(L119),N(O119))=0,"",AB119/MAX(N(L119),N(O119))),"")</f>
        <v/>
      </c>
      <c r="AD119" s="37" t="n"/>
      <c r="AE119" s="10" t="inlineStr">
        <is>
          <t>CON-0115</t>
        </is>
      </c>
    </row>
    <row r="120">
      <c r="A120" s="16">
        <f>IF($C120="","",IFERROR(IF(INDEX(tbl_Finance[Latest Invoice Date],MATCH($AE120,tbl_Finance[Row ID],0))="","",INDEX(tbl_Finance[Latest Invoice Date],MATCH($AE120,tbl_Finance[Row ID],0))),""))</f>
        <v/>
      </c>
      <c r="B120" s="10">
        <f>IF($C120="","",IFERROR(INDEX(tbl_Finance[Invoice Numbers],MATCH($AE120,tbl_Finance[Row ID],0))&amp;"",""))</f>
        <v/>
      </c>
      <c r="C120" s="37" t="n"/>
      <c r="D120" s="10">
        <f>IF($C120="","",IF(COUNTIF(lst_Jobs,$C120&amp;"")&gt;0,"OK","CHECK"))</f>
        <v/>
      </c>
      <c r="E120" s="10">
        <f>IF($C120="","",IFERROR(INDEX(lst_JobName,MATCH($C120&amp;"",lst_Jobs,0)),""))</f>
        <v/>
      </c>
      <c r="F120" s="37" t="n"/>
      <c r="G120" s="37" t="n"/>
      <c r="H120" s="37" t="n"/>
      <c r="I120" s="37" t="n"/>
      <c r="J120" s="37" t="n"/>
      <c r="K120" s="38">
        <f>IF($C120="","",IFERROR(N(INDEX(tbl_Finance[Invoice Count],MATCH($AE120,tbl_Finance[Row ID],0))),""))</f>
        <v/>
      </c>
      <c r="L120" s="11">
        <f>IF($C120="","",IFERROR(N(INDEX(tbl_Finance[Xero Invoiced Ex GST],MATCH($AE120,tbl_Finance[Row ID],0))),""))</f>
        <v/>
      </c>
      <c r="M120" s="10">
        <f>IF($C120="","",IFERROR(INDEX(tbl_Finance[Compare],MATCH($AE120,tbl_Finance[Row ID],0))&amp;"",""))</f>
        <v/>
      </c>
      <c r="N120" s="11">
        <f>IF($C120="","",MAX(0,N(O120)-N(L120)))</f>
        <v/>
      </c>
      <c r="O120" s="39" t="n"/>
      <c r="P120" s="40">
        <f>IF($C120="","",IF((IF(F120="",", Client","")&amp;IF(G120="",", Description","")&amp;IF(H120="",", Cost Centre","")&amp;IF(I120="",", Invoice Type","")&amp;IF(J120="",", Tax Code","")&amp;IF(O120="",", Expected Revenue","")&amp;IF(COUNTIF(tbl_Finance[Job Number],$C120&amp;"")&gt;1,", Job number used twice",""))="","Complete","Fix: "&amp;MID(IF(F120="",", Client","")&amp;IF(G120="",", Description","")&amp;IF(H120="",", Cost Centre","")&amp;IF(I120="",", Invoice Type","")&amp;IF(J120="",", Tax Code","")&amp;IF(O120="",", Expected Revenue","")&amp;IF(COUNTIF(tbl_Finance[Job Number],$C120&amp;"")&gt;1,", Job number used twice",""),3,300)))</f>
        <v/>
      </c>
      <c r="Q120" s="10">
        <f>IF($C120="","",IF(H120="","(no cost centre)",H120&amp;" - GL "&amp;IFERROR(INDEX(lst_CCtoGL,MATCH(H120,lst_CCforGL,0)),"?")))</f>
        <v/>
      </c>
      <c r="R120" s="37" t="n"/>
      <c r="S120" s="10">
        <f>IF(R120="","",HYPERLINK(IF(LEFT(R120,4)="http",R120,set_QwilrBase&amp;R120),"Open quote"))</f>
        <v/>
      </c>
      <c r="T120" s="39" t="n"/>
      <c r="U120" s="39" t="n"/>
      <c r="V120" s="39" t="n"/>
      <c r="W120" s="10">
        <f>IF(C120="","",IF(N(T120)+N(U120)+N(V120)=0,"Not split",IF(ROUND(N(T120)+N(U120)+N(V120),2)=ROUND(MAX(N(L120),N(O120)),2),"OK","MISMATCH")))</f>
        <v/>
      </c>
      <c r="X120" s="39" t="n"/>
      <c r="Y120" s="39" t="n"/>
      <c r="Z120" s="39" t="n"/>
      <c r="AA120" s="11">
        <f>IF(C120="","",N(X120)+N(Y120)+N(Z120))</f>
        <v/>
      </c>
      <c r="AB120" s="11">
        <f>IF(C120="","",MAX(N(L120),N(O120))-N(AA120))</f>
        <v/>
      </c>
      <c r="AC120" s="43">
        <f>IFERROR(IF(MAX(N(L120),N(O120))=0,"",AB120/MAX(N(L120),N(O120))),"")</f>
        <v/>
      </c>
      <c r="AD120" s="37" t="n"/>
      <c r="AE120" s="10" t="inlineStr">
        <is>
          <t>CON-0116</t>
        </is>
      </c>
    </row>
    <row r="121">
      <c r="A121" s="16">
        <f>IF($C121="","",IFERROR(IF(INDEX(tbl_Finance[Latest Invoice Date],MATCH($AE121,tbl_Finance[Row ID],0))="","",INDEX(tbl_Finance[Latest Invoice Date],MATCH($AE121,tbl_Finance[Row ID],0))),""))</f>
        <v/>
      </c>
      <c r="B121" s="10">
        <f>IF($C121="","",IFERROR(INDEX(tbl_Finance[Invoice Numbers],MATCH($AE121,tbl_Finance[Row ID],0))&amp;"",""))</f>
        <v/>
      </c>
      <c r="C121" s="37" t="n"/>
      <c r="D121" s="10">
        <f>IF($C121="","",IF(COUNTIF(lst_Jobs,$C121&amp;"")&gt;0,"OK","CHECK"))</f>
        <v/>
      </c>
      <c r="E121" s="10">
        <f>IF($C121="","",IFERROR(INDEX(lst_JobName,MATCH($C121&amp;"",lst_Jobs,0)),""))</f>
        <v/>
      </c>
      <c r="F121" s="37" t="n"/>
      <c r="G121" s="37" t="n"/>
      <c r="H121" s="37" t="n"/>
      <c r="I121" s="37" t="n"/>
      <c r="J121" s="37" t="n"/>
      <c r="K121" s="38">
        <f>IF($C121="","",IFERROR(N(INDEX(tbl_Finance[Invoice Count],MATCH($AE121,tbl_Finance[Row ID],0))),""))</f>
        <v/>
      </c>
      <c r="L121" s="11">
        <f>IF($C121="","",IFERROR(N(INDEX(tbl_Finance[Xero Invoiced Ex GST],MATCH($AE121,tbl_Finance[Row ID],0))),""))</f>
        <v/>
      </c>
      <c r="M121" s="10">
        <f>IF($C121="","",IFERROR(INDEX(tbl_Finance[Compare],MATCH($AE121,tbl_Finance[Row ID],0))&amp;"",""))</f>
        <v/>
      </c>
      <c r="N121" s="11">
        <f>IF($C121="","",MAX(0,N(O121)-N(L121)))</f>
        <v/>
      </c>
      <c r="O121" s="39" t="n"/>
      <c r="P121" s="40">
        <f>IF($C121="","",IF((IF(F121="",", Client","")&amp;IF(G121="",", Description","")&amp;IF(H121="",", Cost Centre","")&amp;IF(I121="",", Invoice Type","")&amp;IF(J121="",", Tax Code","")&amp;IF(O121="",", Expected Revenue","")&amp;IF(COUNTIF(tbl_Finance[Job Number],$C121&amp;"")&gt;1,", Job number used twice",""))="","Complete","Fix: "&amp;MID(IF(F121="",", Client","")&amp;IF(G121="",", Description","")&amp;IF(H121="",", Cost Centre","")&amp;IF(I121="",", Invoice Type","")&amp;IF(J121="",", Tax Code","")&amp;IF(O121="",", Expected Revenue","")&amp;IF(COUNTIF(tbl_Finance[Job Number],$C121&amp;"")&gt;1,", Job number used twice",""),3,300)))</f>
        <v/>
      </c>
      <c r="Q121" s="10">
        <f>IF($C121="","",IF(H121="","(no cost centre)",H121&amp;" - GL "&amp;IFERROR(INDEX(lst_CCtoGL,MATCH(H121,lst_CCforGL,0)),"?")))</f>
        <v/>
      </c>
      <c r="R121" s="37" t="n"/>
      <c r="S121" s="10">
        <f>IF(R121="","",HYPERLINK(IF(LEFT(R121,4)="http",R121,set_QwilrBase&amp;R121),"Open quote"))</f>
        <v/>
      </c>
      <c r="T121" s="39" t="n"/>
      <c r="U121" s="39" t="n"/>
      <c r="V121" s="39" t="n"/>
      <c r="W121" s="10">
        <f>IF(C121="","",IF(N(T121)+N(U121)+N(V121)=0,"Not split",IF(ROUND(N(T121)+N(U121)+N(V121),2)=ROUND(MAX(N(L121),N(O121)),2),"OK","MISMATCH")))</f>
        <v/>
      </c>
      <c r="X121" s="39" t="n"/>
      <c r="Y121" s="39" t="n"/>
      <c r="Z121" s="39" t="n"/>
      <c r="AA121" s="11">
        <f>IF(C121="","",N(X121)+N(Y121)+N(Z121))</f>
        <v/>
      </c>
      <c r="AB121" s="11">
        <f>IF(C121="","",MAX(N(L121),N(O121))-N(AA121))</f>
        <v/>
      </c>
      <c r="AC121" s="43">
        <f>IFERROR(IF(MAX(N(L121),N(O121))=0,"",AB121/MAX(N(L121),N(O121))),"")</f>
        <v/>
      </c>
      <c r="AD121" s="37" t="n"/>
      <c r="AE121" s="10" t="inlineStr">
        <is>
          <t>CON-0117</t>
        </is>
      </c>
    </row>
    <row r="122">
      <c r="A122" s="16">
        <f>IF($C122="","",IFERROR(IF(INDEX(tbl_Finance[Latest Invoice Date],MATCH($AE122,tbl_Finance[Row ID],0))="","",INDEX(tbl_Finance[Latest Invoice Date],MATCH($AE122,tbl_Finance[Row ID],0))),""))</f>
        <v/>
      </c>
      <c r="B122" s="10">
        <f>IF($C122="","",IFERROR(INDEX(tbl_Finance[Invoice Numbers],MATCH($AE122,tbl_Finance[Row ID],0))&amp;"",""))</f>
        <v/>
      </c>
      <c r="C122" s="37" t="n"/>
      <c r="D122" s="10">
        <f>IF($C122="","",IF(COUNTIF(lst_Jobs,$C122&amp;"")&gt;0,"OK","CHECK"))</f>
        <v/>
      </c>
      <c r="E122" s="10">
        <f>IF($C122="","",IFERROR(INDEX(lst_JobName,MATCH($C122&amp;"",lst_Jobs,0)),""))</f>
        <v/>
      </c>
      <c r="F122" s="37" t="n"/>
      <c r="G122" s="37" t="n"/>
      <c r="H122" s="37" t="n"/>
      <c r="I122" s="37" t="n"/>
      <c r="J122" s="37" t="n"/>
      <c r="K122" s="38">
        <f>IF($C122="","",IFERROR(N(INDEX(tbl_Finance[Invoice Count],MATCH($AE122,tbl_Finance[Row ID],0))),""))</f>
        <v/>
      </c>
      <c r="L122" s="11">
        <f>IF($C122="","",IFERROR(N(INDEX(tbl_Finance[Xero Invoiced Ex GST],MATCH($AE122,tbl_Finance[Row ID],0))),""))</f>
        <v/>
      </c>
      <c r="M122" s="10">
        <f>IF($C122="","",IFERROR(INDEX(tbl_Finance[Compare],MATCH($AE122,tbl_Finance[Row ID],0))&amp;"",""))</f>
        <v/>
      </c>
      <c r="N122" s="11">
        <f>IF($C122="","",MAX(0,N(O122)-N(L122)))</f>
        <v/>
      </c>
      <c r="O122" s="39" t="n"/>
      <c r="P122" s="40">
        <f>IF($C122="","",IF((IF(F122="",", Client","")&amp;IF(G122="",", Description","")&amp;IF(H122="",", Cost Centre","")&amp;IF(I122="",", Invoice Type","")&amp;IF(J122="",", Tax Code","")&amp;IF(O122="",", Expected Revenue","")&amp;IF(COUNTIF(tbl_Finance[Job Number],$C122&amp;"")&gt;1,", Job number used twice",""))="","Complete","Fix: "&amp;MID(IF(F122="",", Client","")&amp;IF(G122="",", Description","")&amp;IF(H122="",", Cost Centre","")&amp;IF(I122="",", Invoice Type","")&amp;IF(J122="",", Tax Code","")&amp;IF(O122="",", Expected Revenue","")&amp;IF(COUNTIF(tbl_Finance[Job Number],$C122&amp;"")&gt;1,", Job number used twice",""),3,300)))</f>
        <v/>
      </c>
      <c r="Q122" s="10">
        <f>IF($C122="","",IF(H122="","(no cost centre)",H122&amp;" - GL "&amp;IFERROR(INDEX(lst_CCtoGL,MATCH(H122,lst_CCforGL,0)),"?")))</f>
        <v/>
      </c>
      <c r="R122" s="37" t="n"/>
      <c r="S122" s="10">
        <f>IF(R122="","",HYPERLINK(IF(LEFT(R122,4)="http",R122,set_QwilrBase&amp;R122),"Open quote"))</f>
        <v/>
      </c>
      <c r="T122" s="39" t="n"/>
      <c r="U122" s="39" t="n"/>
      <c r="V122" s="39" t="n"/>
      <c r="W122" s="10">
        <f>IF(C122="","",IF(N(T122)+N(U122)+N(V122)=0,"Not split",IF(ROUND(N(T122)+N(U122)+N(V122),2)=ROUND(MAX(N(L122),N(O122)),2),"OK","MISMATCH")))</f>
        <v/>
      </c>
      <c r="X122" s="39" t="n"/>
      <c r="Y122" s="39" t="n"/>
      <c r="Z122" s="39" t="n"/>
      <c r="AA122" s="11">
        <f>IF(C122="","",N(X122)+N(Y122)+N(Z122))</f>
        <v/>
      </c>
      <c r="AB122" s="11">
        <f>IF(C122="","",MAX(N(L122),N(O122))-N(AA122))</f>
        <v/>
      </c>
      <c r="AC122" s="43">
        <f>IFERROR(IF(MAX(N(L122),N(O122))=0,"",AB122/MAX(N(L122),N(O122))),"")</f>
        <v/>
      </c>
      <c r="AD122" s="37" t="n"/>
      <c r="AE122" s="10" t="inlineStr">
        <is>
          <t>CON-0118</t>
        </is>
      </c>
    </row>
    <row r="123">
      <c r="A123" s="16">
        <f>IF($C123="","",IFERROR(IF(INDEX(tbl_Finance[Latest Invoice Date],MATCH($AE123,tbl_Finance[Row ID],0))="","",INDEX(tbl_Finance[Latest Invoice Date],MATCH($AE123,tbl_Finance[Row ID],0))),""))</f>
        <v/>
      </c>
      <c r="B123" s="10">
        <f>IF($C123="","",IFERROR(INDEX(tbl_Finance[Invoice Numbers],MATCH($AE123,tbl_Finance[Row ID],0))&amp;"",""))</f>
        <v/>
      </c>
      <c r="C123" s="37" t="n"/>
      <c r="D123" s="10">
        <f>IF($C123="","",IF(COUNTIF(lst_Jobs,$C123&amp;"")&gt;0,"OK","CHECK"))</f>
        <v/>
      </c>
      <c r="E123" s="10">
        <f>IF($C123="","",IFERROR(INDEX(lst_JobName,MATCH($C123&amp;"",lst_Jobs,0)),""))</f>
        <v/>
      </c>
      <c r="F123" s="37" t="n"/>
      <c r="G123" s="37" t="n"/>
      <c r="H123" s="37" t="n"/>
      <c r="I123" s="37" t="n"/>
      <c r="J123" s="37" t="n"/>
      <c r="K123" s="38">
        <f>IF($C123="","",IFERROR(N(INDEX(tbl_Finance[Invoice Count],MATCH($AE123,tbl_Finance[Row ID],0))),""))</f>
        <v/>
      </c>
      <c r="L123" s="11">
        <f>IF($C123="","",IFERROR(N(INDEX(tbl_Finance[Xero Invoiced Ex GST],MATCH($AE123,tbl_Finance[Row ID],0))),""))</f>
        <v/>
      </c>
      <c r="M123" s="10">
        <f>IF($C123="","",IFERROR(INDEX(tbl_Finance[Compare],MATCH($AE123,tbl_Finance[Row ID],0))&amp;"",""))</f>
        <v/>
      </c>
      <c r="N123" s="11">
        <f>IF($C123="","",MAX(0,N(O123)-N(L123)))</f>
        <v/>
      </c>
      <c r="O123" s="39" t="n"/>
      <c r="P123" s="40">
        <f>IF($C123="","",IF((IF(F123="",", Client","")&amp;IF(G123="",", Description","")&amp;IF(H123="",", Cost Centre","")&amp;IF(I123="",", Invoice Type","")&amp;IF(J123="",", Tax Code","")&amp;IF(O123="",", Expected Revenue","")&amp;IF(COUNTIF(tbl_Finance[Job Number],$C123&amp;"")&gt;1,", Job number used twice",""))="","Complete","Fix: "&amp;MID(IF(F123="",", Client","")&amp;IF(G123="",", Description","")&amp;IF(H123="",", Cost Centre","")&amp;IF(I123="",", Invoice Type","")&amp;IF(J123="",", Tax Code","")&amp;IF(O123="",", Expected Revenue","")&amp;IF(COUNTIF(tbl_Finance[Job Number],$C123&amp;"")&gt;1,", Job number used twice",""),3,300)))</f>
        <v/>
      </c>
      <c r="Q123" s="10">
        <f>IF($C123="","",IF(H123="","(no cost centre)",H123&amp;" - GL "&amp;IFERROR(INDEX(lst_CCtoGL,MATCH(H123,lst_CCforGL,0)),"?")))</f>
        <v/>
      </c>
      <c r="R123" s="37" t="n"/>
      <c r="S123" s="10">
        <f>IF(R123="","",HYPERLINK(IF(LEFT(R123,4)="http",R123,set_QwilrBase&amp;R123),"Open quote"))</f>
        <v/>
      </c>
      <c r="T123" s="39" t="n"/>
      <c r="U123" s="39" t="n"/>
      <c r="V123" s="39" t="n"/>
      <c r="W123" s="10">
        <f>IF(C123="","",IF(N(T123)+N(U123)+N(V123)=0,"Not split",IF(ROUND(N(T123)+N(U123)+N(V123),2)=ROUND(MAX(N(L123),N(O123)),2),"OK","MISMATCH")))</f>
        <v/>
      </c>
      <c r="X123" s="39" t="n"/>
      <c r="Y123" s="39" t="n"/>
      <c r="Z123" s="39" t="n"/>
      <c r="AA123" s="11">
        <f>IF(C123="","",N(X123)+N(Y123)+N(Z123))</f>
        <v/>
      </c>
      <c r="AB123" s="11">
        <f>IF(C123="","",MAX(N(L123),N(O123))-N(AA123))</f>
        <v/>
      </c>
      <c r="AC123" s="43">
        <f>IFERROR(IF(MAX(N(L123),N(O123))=0,"",AB123/MAX(N(L123),N(O123))),"")</f>
        <v/>
      </c>
      <c r="AD123" s="37" t="n"/>
      <c r="AE123" s="10" t="inlineStr">
        <is>
          <t>CON-0119</t>
        </is>
      </c>
    </row>
    <row r="124">
      <c r="A124" s="16">
        <f>IF($C124="","",IFERROR(IF(INDEX(tbl_Finance[Latest Invoice Date],MATCH($AE124,tbl_Finance[Row ID],0))="","",INDEX(tbl_Finance[Latest Invoice Date],MATCH($AE124,tbl_Finance[Row ID],0))),""))</f>
        <v/>
      </c>
      <c r="B124" s="10">
        <f>IF($C124="","",IFERROR(INDEX(tbl_Finance[Invoice Numbers],MATCH($AE124,tbl_Finance[Row ID],0))&amp;"",""))</f>
        <v/>
      </c>
      <c r="C124" s="37" t="n"/>
      <c r="D124" s="10">
        <f>IF($C124="","",IF(COUNTIF(lst_Jobs,$C124&amp;"")&gt;0,"OK","CHECK"))</f>
        <v/>
      </c>
      <c r="E124" s="10">
        <f>IF($C124="","",IFERROR(INDEX(lst_JobName,MATCH($C124&amp;"",lst_Jobs,0)),""))</f>
        <v/>
      </c>
      <c r="F124" s="37" t="n"/>
      <c r="G124" s="37" t="n"/>
      <c r="H124" s="37" t="n"/>
      <c r="I124" s="37" t="n"/>
      <c r="J124" s="37" t="n"/>
      <c r="K124" s="38">
        <f>IF($C124="","",IFERROR(N(INDEX(tbl_Finance[Invoice Count],MATCH($AE124,tbl_Finance[Row ID],0))),""))</f>
        <v/>
      </c>
      <c r="L124" s="11">
        <f>IF($C124="","",IFERROR(N(INDEX(tbl_Finance[Xero Invoiced Ex GST],MATCH($AE124,tbl_Finance[Row ID],0))),""))</f>
        <v/>
      </c>
      <c r="M124" s="10">
        <f>IF($C124="","",IFERROR(INDEX(tbl_Finance[Compare],MATCH($AE124,tbl_Finance[Row ID],0))&amp;"",""))</f>
        <v/>
      </c>
      <c r="N124" s="11">
        <f>IF($C124="","",MAX(0,N(O124)-N(L124)))</f>
        <v/>
      </c>
      <c r="O124" s="39" t="n"/>
      <c r="P124" s="40">
        <f>IF($C124="","",IF((IF(F124="",", Client","")&amp;IF(G124="",", Description","")&amp;IF(H124="",", Cost Centre","")&amp;IF(I124="",", Invoice Type","")&amp;IF(J124="",", Tax Code","")&amp;IF(O124="",", Expected Revenue","")&amp;IF(COUNTIF(tbl_Finance[Job Number],$C124&amp;"")&gt;1,", Job number used twice",""))="","Complete","Fix: "&amp;MID(IF(F124="",", Client","")&amp;IF(G124="",", Description","")&amp;IF(H124="",", Cost Centre","")&amp;IF(I124="",", Invoice Type","")&amp;IF(J124="",", Tax Code","")&amp;IF(O124="",", Expected Revenue","")&amp;IF(COUNTIF(tbl_Finance[Job Number],$C124&amp;"")&gt;1,", Job number used twice",""),3,300)))</f>
        <v/>
      </c>
      <c r="Q124" s="10">
        <f>IF($C124="","",IF(H124="","(no cost centre)",H124&amp;" - GL "&amp;IFERROR(INDEX(lst_CCtoGL,MATCH(H124,lst_CCforGL,0)),"?")))</f>
        <v/>
      </c>
      <c r="R124" s="37" t="n"/>
      <c r="S124" s="10">
        <f>IF(R124="","",HYPERLINK(IF(LEFT(R124,4)="http",R124,set_QwilrBase&amp;R124),"Open quote"))</f>
        <v/>
      </c>
      <c r="T124" s="39" t="n"/>
      <c r="U124" s="39" t="n"/>
      <c r="V124" s="39" t="n"/>
      <c r="W124" s="10">
        <f>IF(C124="","",IF(N(T124)+N(U124)+N(V124)=0,"Not split",IF(ROUND(N(T124)+N(U124)+N(V124),2)=ROUND(MAX(N(L124),N(O124)),2),"OK","MISMATCH")))</f>
        <v/>
      </c>
      <c r="X124" s="39" t="n"/>
      <c r="Y124" s="39" t="n"/>
      <c r="Z124" s="39" t="n"/>
      <c r="AA124" s="11">
        <f>IF(C124="","",N(X124)+N(Y124)+N(Z124))</f>
        <v/>
      </c>
      <c r="AB124" s="11">
        <f>IF(C124="","",MAX(N(L124),N(O124))-N(AA124))</f>
        <v/>
      </c>
      <c r="AC124" s="43">
        <f>IFERROR(IF(MAX(N(L124),N(O124))=0,"",AB124/MAX(N(L124),N(O124))),"")</f>
        <v/>
      </c>
      <c r="AD124" s="37" t="n"/>
      <c r="AE124" s="10" t="inlineStr">
        <is>
          <t>CON-0120</t>
        </is>
      </c>
    </row>
    <row r="125">
      <c r="A125" s="16">
        <f>IF($C125="","",IFERROR(IF(INDEX(tbl_Finance[Latest Invoice Date],MATCH($AE125,tbl_Finance[Row ID],0))="","",INDEX(tbl_Finance[Latest Invoice Date],MATCH($AE125,tbl_Finance[Row ID],0))),""))</f>
        <v/>
      </c>
      <c r="B125" s="10">
        <f>IF($C125="","",IFERROR(INDEX(tbl_Finance[Invoice Numbers],MATCH($AE125,tbl_Finance[Row ID],0))&amp;"",""))</f>
        <v/>
      </c>
      <c r="C125" s="37" t="n"/>
      <c r="D125" s="10">
        <f>IF($C125="","",IF(COUNTIF(lst_Jobs,$C125&amp;"")&gt;0,"OK","CHECK"))</f>
        <v/>
      </c>
      <c r="E125" s="10">
        <f>IF($C125="","",IFERROR(INDEX(lst_JobName,MATCH($C125&amp;"",lst_Jobs,0)),""))</f>
        <v/>
      </c>
      <c r="F125" s="37" t="n"/>
      <c r="G125" s="37" t="n"/>
      <c r="H125" s="37" t="n"/>
      <c r="I125" s="37" t="n"/>
      <c r="J125" s="37" t="n"/>
      <c r="K125" s="38">
        <f>IF($C125="","",IFERROR(N(INDEX(tbl_Finance[Invoice Count],MATCH($AE125,tbl_Finance[Row ID],0))),""))</f>
        <v/>
      </c>
      <c r="L125" s="11">
        <f>IF($C125="","",IFERROR(N(INDEX(tbl_Finance[Xero Invoiced Ex GST],MATCH($AE125,tbl_Finance[Row ID],0))),""))</f>
        <v/>
      </c>
      <c r="M125" s="10">
        <f>IF($C125="","",IFERROR(INDEX(tbl_Finance[Compare],MATCH($AE125,tbl_Finance[Row ID],0))&amp;"",""))</f>
        <v/>
      </c>
      <c r="N125" s="11">
        <f>IF($C125="","",MAX(0,N(O125)-N(L125)))</f>
        <v/>
      </c>
      <c r="O125" s="39" t="n"/>
      <c r="P125" s="40">
        <f>IF($C125="","",IF((IF(F125="",", Client","")&amp;IF(G125="",", Description","")&amp;IF(H125="",", Cost Centre","")&amp;IF(I125="",", Invoice Type","")&amp;IF(J125="",", Tax Code","")&amp;IF(O125="",", Expected Revenue","")&amp;IF(COUNTIF(tbl_Finance[Job Number],$C125&amp;"")&gt;1,", Job number used twice",""))="","Complete","Fix: "&amp;MID(IF(F125="",", Client","")&amp;IF(G125="",", Description","")&amp;IF(H125="",", Cost Centre","")&amp;IF(I125="",", Invoice Type","")&amp;IF(J125="",", Tax Code","")&amp;IF(O125="",", Expected Revenue","")&amp;IF(COUNTIF(tbl_Finance[Job Number],$C125&amp;"")&gt;1,", Job number used twice",""),3,300)))</f>
        <v/>
      </c>
      <c r="Q125" s="10">
        <f>IF($C125="","",IF(H125="","(no cost centre)",H125&amp;" - GL "&amp;IFERROR(INDEX(lst_CCtoGL,MATCH(H125,lst_CCforGL,0)),"?")))</f>
        <v/>
      </c>
      <c r="R125" s="37" t="n"/>
      <c r="S125" s="10">
        <f>IF(R125="","",HYPERLINK(IF(LEFT(R125,4)="http",R125,set_QwilrBase&amp;R125),"Open quote"))</f>
        <v/>
      </c>
      <c r="T125" s="39" t="n"/>
      <c r="U125" s="39" t="n"/>
      <c r="V125" s="39" t="n"/>
      <c r="W125" s="10">
        <f>IF(C125="","",IF(N(T125)+N(U125)+N(V125)=0,"Not split",IF(ROUND(N(T125)+N(U125)+N(V125),2)=ROUND(MAX(N(L125),N(O125)),2),"OK","MISMATCH")))</f>
        <v/>
      </c>
      <c r="X125" s="39" t="n"/>
      <c r="Y125" s="39" t="n"/>
      <c r="Z125" s="39" t="n"/>
      <c r="AA125" s="11">
        <f>IF(C125="","",N(X125)+N(Y125)+N(Z125))</f>
        <v/>
      </c>
      <c r="AB125" s="11">
        <f>IF(C125="","",MAX(N(L125),N(O125))-N(AA125))</f>
        <v/>
      </c>
      <c r="AC125" s="43">
        <f>IFERROR(IF(MAX(N(L125),N(O125))=0,"",AB125/MAX(N(L125),N(O125))),"")</f>
        <v/>
      </c>
      <c r="AD125" s="37" t="n"/>
      <c r="AE125" s="10" t="inlineStr">
        <is>
          <t>CON-0121</t>
        </is>
      </c>
    </row>
    <row r="126">
      <c r="A126" s="16">
        <f>IF($C126="","",IFERROR(IF(INDEX(tbl_Finance[Latest Invoice Date],MATCH($AE126,tbl_Finance[Row ID],0))="","",INDEX(tbl_Finance[Latest Invoice Date],MATCH($AE126,tbl_Finance[Row ID],0))),""))</f>
        <v/>
      </c>
      <c r="B126" s="10">
        <f>IF($C126="","",IFERROR(INDEX(tbl_Finance[Invoice Numbers],MATCH($AE126,tbl_Finance[Row ID],0))&amp;"",""))</f>
        <v/>
      </c>
      <c r="C126" s="37" t="n"/>
      <c r="D126" s="10">
        <f>IF($C126="","",IF(COUNTIF(lst_Jobs,$C126&amp;"")&gt;0,"OK","CHECK"))</f>
        <v/>
      </c>
      <c r="E126" s="10">
        <f>IF($C126="","",IFERROR(INDEX(lst_JobName,MATCH($C126&amp;"",lst_Jobs,0)),""))</f>
        <v/>
      </c>
      <c r="F126" s="37" t="n"/>
      <c r="G126" s="37" t="n"/>
      <c r="H126" s="37" t="n"/>
      <c r="I126" s="37" t="n"/>
      <c r="J126" s="37" t="n"/>
      <c r="K126" s="38">
        <f>IF($C126="","",IFERROR(N(INDEX(tbl_Finance[Invoice Count],MATCH($AE126,tbl_Finance[Row ID],0))),""))</f>
        <v/>
      </c>
      <c r="L126" s="11">
        <f>IF($C126="","",IFERROR(N(INDEX(tbl_Finance[Xero Invoiced Ex GST],MATCH($AE126,tbl_Finance[Row ID],0))),""))</f>
        <v/>
      </c>
      <c r="M126" s="10">
        <f>IF($C126="","",IFERROR(INDEX(tbl_Finance[Compare],MATCH($AE126,tbl_Finance[Row ID],0))&amp;"",""))</f>
        <v/>
      </c>
      <c r="N126" s="11">
        <f>IF($C126="","",MAX(0,N(O126)-N(L126)))</f>
        <v/>
      </c>
      <c r="O126" s="39" t="n"/>
      <c r="P126" s="40">
        <f>IF($C126="","",IF((IF(F126="",", Client","")&amp;IF(G126="",", Description","")&amp;IF(H126="",", Cost Centre","")&amp;IF(I126="",", Invoice Type","")&amp;IF(J126="",", Tax Code","")&amp;IF(O126="",", Expected Revenue","")&amp;IF(COUNTIF(tbl_Finance[Job Number],$C126&amp;"")&gt;1,", Job number used twice",""))="","Complete","Fix: "&amp;MID(IF(F126="",", Client","")&amp;IF(G126="",", Description","")&amp;IF(H126="",", Cost Centre","")&amp;IF(I126="",", Invoice Type","")&amp;IF(J126="",", Tax Code","")&amp;IF(O126="",", Expected Revenue","")&amp;IF(COUNTIF(tbl_Finance[Job Number],$C126&amp;"")&gt;1,", Job number used twice",""),3,300)))</f>
        <v/>
      </c>
      <c r="Q126" s="10">
        <f>IF($C126="","",IF(H126="","(no cost centre)",H126&amp;" - GL "&amp;IFERROR(INDEX(lst_CCtoGL,MATCH(H126,lst_CCforGL,0)),"?")))</f>
        <v/>
      </c>
      <c r="R126" s="37" t="n"/>
      <c r="S126" s="10">
        <f>IF(R126="","",HYPERLINK(IF(LEFT(R126,4)="http",R126,set_QwilrBase&amp;R126),"Open quote"))</f>
        <v/>
      </c>
      <c r="T126" s="39" t="n"/>
      <c r="U126" s="39" t="n"/>
      <c r="V126" s="39" t="n"/>
      <c r="W126" s="10">
        <f>IF(C126="","",IF(N(T126)+N(U126)+N(V126)=0,"Not split",IF(ROUND(N(T126)+N(U126)+N(V126),2)=ROUND(MAX(N(L126),N(O126)),2),"OK","MISMATCH")))</f>
        <v/>
      </c>
      <c r="X126" s="39" t="n"/>
      <c r="Y126" s="39" t="n"/>
      <c r="Z126" s="39" t="n"/>
      <c r="AA126" s="11">
        <f>IF(C126="","",N(X126)+N(Y126)+N(Z126))</f>
        <v/>
      </c>
      <c r="AB126" s="11">
        <f>IF(C126="","",MAX(N(L126),N(O126))-N(AA126))</f>
        <v/>
      </c>
      <c r="AC126" s="43">
        <f>IFERROR(IF(MAX(N(L126),N(O126))=0,"",AB126/MAX(N(L126),N(O126))),"")</f>
        <v/>
      </c>
      <c r="AD126" s="37" t="n"/>
      <c r="AE126" s="10" t="inlineStr">
        <is>
          <t>CON-0122</t>
        </is>
      </c>
    </row>
    <row r="127">
      <c r="A127" s="16">
        <f>IF($C127="","",IFERROR(IF(INDEX(tbl_Finance[Latest Invoice Date],MATCH($AE127,tbl_Finance[Row ID],0))="","",INDEX(tbl_Finance[Latest Invoice Date],MATCH($AE127,tbl_Finance[Row ID],0))),""))</f>
        <v/>
      </c>
      <c r="B127" s="10">
        <f>IF($C127="","",IFERROR(INDEX(tbl_Finance[Invoice Numbers],MATCH($AE127,tbl_Finance[Row ID],0))&amp;"",""))</f>
        <v/>
      </c>
      <c r="C127" s="37" t="n"/>
      <c r="D127" s="10">
        <f>IF($C127="","",IF(COUNTIF(lst_Jobs,$C127&amp;"")&gt;0,"OK","CHECK"))</f>
        <v/>
      </c>
      <c r="E127" s="10">
        <f>IF($C127="","",IFERROR(INDEX(lst_JobName,MATCH($C127&amp;"",lst_Jobs,0)),""))</f>
        <v/>
      </c>
      <c r="F127" s="37" t="n"/>
      <c r="G127" s="37" t="n"/>
      <c r="H127" s="37" t="n"/>
      <c r="I127" s="37" t="n"/>
      <c r="J127" s="37" t="n"/>
      <c r="K127" s="38">
        <f>IF($C127="","",IFERROR(N(INDEX(tbl_Finance[Invoice Count],MATCH($AE127,tbl_Finance[Row ID],0))),""))</f>
        <v/>
      </c>
      <c r="L127" s="11">
        <f>IF($C127="","",IFERROR(N(INDEX(tbl_Finance[Xero Invoiced Ex GST],MATCH($AE127,tbl_Finance[Row ID],0))),""))</f>
        <v/>
      </c>
      <c r="M127" s="10">
        <f>IF($C127="","",IFERROR(INDEX(tbl_Finance[Compare],MATCH($AE127,tbl_Finance[Row ID],0))&amp;"",""))</f>
        <v/>
      </c>
      <c r="N127" s="11">
        <f>IF($C127="","",MAX(0,N(O127)-N(L127)))</f>
        <v/>
      </c>
      <c r="O127" s="39" t="n"/>
      <c r="P127" s="40">
        <f>IF($C127="","",IF((IF(F127="",", Client","")&amp;IF(G127="",", Description","")&amp;IF(H127="",", Cost Centre","")&amp;IF(I127="",", Invoice Type","")&amp;IF(J127="",", Tax Code","")&amp;IF(O127="",", Expected Revenue","")&amp;IF(COUNTIF(tbl_Finance[Job Number],$C127&amp;"")&gt;1,", Job number used twice",""))="","Complete","Fix: "&amp;MID(IF(F127="",", Client","")&amp;IF(G127="",", Description","")&amp;IF(H127="",", Cost Centre","")&amp;IF(I127="",", Invoice Type","")&amp;IF(J127="",", Tax Code","")&amp;IF(O127="",", Expected Revenue","")&amp;IF(COUNTIF(tbl_Finance[Job Number],$C127&amp;"")&gt;1,", Job number used twice",""),3,300)))</f>
        <v/>
      </c>
      <c r="Q127" s="10">
        <f>IF($C127="","",IF(H127="","(no cost centre)",H127&amp;" - GL "&amp;IFERROR(INDEX(lst_CCtoGL,MATCH(H127,lst_CCforGL,0)),"?")))</f>
        <v/>
      </c>
      <c r="R127" s="37" t="n"/>
      <c r="S127" s="10">
        <f>IF(R127="","",HYPERLINK(IF(LEFT(R127,4)="http",R127,set_QwilrBase&amp;R127),"Open quote"))</f>
        <v/>
      </c>
      <c r="T127" s="39" t="n"/>
      <c r="U127" s="39" t="n"/>
      <c r="V127" s="39" t="n"/>
      <c r="W127" s="10">
        <f>IF(C127="","",IF(N(T127)+N(U127)+N(V127)=0,"Not split",IF(ROUND(N(T127)+N(U127)+N(V127),2)=ROUND(MAX(N(L127),N(O127)),2),"OK","MISMATCH")))</f>
        <v/>
      </c>
      <c r="X127" s="39" t="n"/>
      <c r="Y127" s="39" t="n"/>
      <c r="Z127" s="39" t="n"/>
      <c r="AA127" s="11">
        <f>IF(C127="","",N(X127)+N(Y127)+N(Z127))</f>
        <v/>
      </c>
      <c r="AB127" s="11">
        <f>IF(C127="","",MAX(N(L127),N(O127))-N(AA127))</f>
        <v/>
      </c>
      <c r="AC127" s="43">
        <f>IFERROR(IF(MAX(N(L127),N(O127))=0,"",AB127/MAX(N(L127),N(O127))),"")</f>
        <v/>
      </c>
      <c r="AD127" s="37" t="n"/>
      <c r="AE127" s="10" t="inlineStr">
        <is>
          <t>CON-0123</t>
        </is>
      </c>
    </row>
    <row r="128">
      <c r="A128" s="16">
        <f>IF($C128="","",IFERROR(IF(INDEX(tbl_Finance[Latest Invoice Date],MATCH($AE128,tbl_Finance[Row ID],0))="","",INDEX(tbl_Finance[Latest Invoice Date],MATCH($AE128,tbl_Finance[Row ID],0))),""))</f>
        <v/>
      </c>
      <c r="B128" s="10">
        <f>IF($C128="","",IFERROR(INDEX(tbl_Finance[Invoice Numbers],MATCH($AE128,tbl_Finance[Row ID],0))&amp;"",""))</f>
        <v/>
      </c>
      <c r="C128" s="37" t="n"/>
      <c r="D128" s="10">
        <f>IF($C128="","",IF(COUNTIF(lst_Jobs,$C128&amp;"")&gt;0,"OK","CHECK"))</f>
        <v/>
      </c>
      <c r="E128" s="10">
        <f>IF($C128="","",IFERROR(INDEX(lst_JobName,MATCH($C128&amp;"",lst_Jobs,0)),""))</f>
        <v/>
      </c>
      <c r="F128" s="37" t="n"/>
      <c r="G128" s="37" t="n"/>
      <c r="H128" s="37" t="n"/>
      <c r="I128" s="37" t="n"/>
      <c r="J128" s="37" t="n"/>
      <c r="K128" s="38">
        <f>IF($C128="","",IFERROR(N(INDEX(tbl_Finance[Invoice Count],MATCH($AE128,tbl_Finance[Row ID],0))),""))</f>
        <v/>
      </c>
      <c r="L128" s="11">
        <f>IF($C128="","",IFERROR(N(INDEX(tbl_Finance[Xero Invoiced Ex GST],MATCH($AE128,tbl_Finance[Row ID],0))),""))</f>
        <v/>
      </c>
      <c r="M128" s="10">
        <f>IF($C128="","",IFERROR(INDEX(tbl_Finance[Compare],MATCH($AE128,tbl_Finance[Row ID],0))&amp;"",""))</f>
        <v/>
      </c>
      <c r="N128" s="11">
        <f>IF($C128="","",MAX(0,N(O128)-N(L128)))</f>
        <v/>
      </c>
      <c r="O128" s="39" t="n"/>
      <c r="P128" s="40">
        <f>IF($C128="","",IF((IF(F128="",", Client","")&amp;IF(G128="",", Description","")&amp;IF(H128="",", Cost Centre","")&amp;IF(I128="",", Invoice Type","")&amp;IF(J128="",", Tax Code","")&amp;IF(O128="",", Expected Revenue","")&amp;IF(COUNTIF(tbl_Finance[Job Number],$C128&amp;"")&gt;1,", Job number used twice",""))="","Complete","Fix: "&amp;MID(IF(F128="",", Client","")&amp;IF(G128="",", Description","")&amp;IF(H128="",", Cost Centre","")&amp;IF(I128="",", Invoice Type","")&amp;IF(J128="",", Tax Code","")&amp;IF(O128="",", Expected Revenue","")&amp;IF(COUNTIF(tbl_Finance[Job Number],$C128&amp;"")&gt;1,", Job number used twice",""),3,300)))</f>
        <v/>
      </c>
      <c r="Q128" s="10">
        <f>IF($C128="","",IF(H128="","(no cost centre)",H128&amp;" - GL "&amp;IFERROR(INDEX(lst_CCtoGL,MATCH(H128,lst_CCforGL,0)),"?")))</f>
        <v/>
      </c>
      <c r="R128" s="37" t="n"/>
      <c r="S128" s="10">
        <f>IF(R128="","",HYPERLINK(IF(LEFT(R128,4)="http",R128,set_QwilrBase&amp;R128),"Open quote"))</f>
        <v/>
      </c>
      <c r="T128" s="39" t="n"/>
      <c r="U128" s="39" t="n"/>
      <c r="V128" s="39" t="n"/>
      <c r="W128" s="10">
        <f>IF(C128="","",IF(N(T128)+N(U128)+N(V128)=0,"Not split",IF(ROUND(N(T128)+N(U128)+N(V128),2)=ROUND(MAX(N(L128),N(O128)),2),"OK","MISMATCH")))</f>
        <v/>
      </c>
      <c r="X128" s="39" t="n"/>
      <c r="Y128" s="39" t="n"/>
      <c r="Z128" s="39" t="n"/>
      <c r="AA128" s="11">
        <f>IF(C128="","",N(X128)+N(Y128)+N(Z128))</f>
        <v/>
      </c>
      <c r="AB128" s="11">
        <f>IF(C128="","",MAX(N(L128),N(O128))-N(AA128))</f>
        <v/>
      </c>
      <c r="AC128" s="43">
        <f>IFERROR(IF(MAX(N(L128),N(O128))=0,"",AB128/MAX(N(L128),N(O128))),"")</f>
        <v/>
      </c>
      <c r="AD128" s="37" t="n"/>
      <c r="AE128" s="10" t="inlineStr">
        <is>
          <t>CON-0124</t>
        </is>
      </c>
    </row>
    <row r="129">
      <c r="A129" s="16">
        <f>IF($C129="","",IFERROR(IF(INDEX(tbl_Finance[Latest Invoice Date],MATCH($AE129,tbl_Finance[Row ID],0))="","",INDEX(tbl_Finance[Latest Invoice Date],MATCH($AE129,tbl_Finance[Row ID],0))),""))</f>
        <v/>
      </c>
      <c r="B129" s="10">
        <f>IF($C129="","",IFERROR(INDEX(tbl_Finance[Invoice Numbers],MATCH($AE129,tbl_Finance[Row ID],0))&amp;"",""))</f>
        <v/>
      </c>
      <c r="C129" s="37" t="n"/>
      <c r="D129" s="10">
        <f>IF($C129="","",IF(COUNTIF(lst_Jobs,$C129&amp;"")&gt;0,"OK","CHECK"))</f>
        <v/>
      </c>
      <c r="E129" s="10">
        <f>IF($C129="","",IFERROR(INDEX(lst_JobName,MATCH($C129&amp;"",lst_Jobs,0)),""))</f>
        <v/>
      </c>
      <c r="F129" s="37" t="n"/>
      <c r="G129" s="37" t="n"/>
      <c r="H129" s="37" t="n"/>
      <c r="I129" s="37" t="n"/>
      <c r="J129" s="37" t="n"/>
      <c r="K129" s="38">
        <f>IF($C129="","",IFERROR(N(INDEX(tbl_Finance[Invoice Count],MATCH($AE129,tbl_Finance[Row ID],0))),""))</f>
        <v/>
      </c>
      <c r="L129" s="11">
        <f>IF($C129="","",IFERROR(N(INDEX(tbl_Finance[Xero Invoiced Ex GST],MATCH($AE129,tbl_Finance[Row ID],0))),""))</f>
        <v/>
      </c>
      <c r="M129" s="10">
        <f>IF($C129="","",IFERROR(INDEX(tbl_Finance[Compare],MATCH($AE129,tbl_Finance[Row ID],0))&amp;"",""))</f>
        <v/>
      </c>
      <c r="N129" s="11">
        <f>IF($C129="","",MAX(0,N(O129)-N(L129)))</f>
        <v/>
      </c>
      <c r="O129" s="39" t="n"/>
      <c r="P129" s="40">
        <f>IF($C129="","",IF((IF(F129="",", Client","")&amp;IF(G129="",", Description","")&amp;IF(H129="",", Cost Centre","")&amp;IF(I129="",", Invoice Type","")&amp;IF(J129="",", Tax Code","")&amp;IF(O129="",", Expected Revenue","")&amp;IF(COUNTIF(tbl_Finance[Job Number],$C129&amp;"")&gt;1,", Job number used twice",""))="","Complete","Fix: "&amp;MID(IF(F129="",", Client","")&amp;IF(G129="",", Description","")&amp;IF(H129="",", Cost Centre","")&amp;IF(I129="",", Invoice Type","")&amp;IF(J129="",", Tax Code","")&amp;IF(O129="",", Expected Revenue","")&amp;IF(COUNTIF(tbl_Finance[Job Number],$C129&amp;"")&gt;1,", Job number used twice",""),3,300)))</f>
        <v/>
      </c>
      <c r="Q129" s="10">
        <f>IF($C129="","",IF(H129="","(no cost centre)",H129&amp;" - GL "&amp;IFERROR(INDEX(lst_CCtoGL,MATCH(H129,lst_CCforGL,0)),"?")))</f>
        <v/>
      </c>
      <c r="R129" s="37" t="n"/>
      <c r="S129" s="10">
        <f>IF(R129="","",HYPERLINK(IF(LEFT(R129,4)="http",R129,set_QwilrBase&amp;R129),"Open quote"))</f>
        <v/>
      </c>
      <c r="T129" s="39" t="n"/>
      <c r="U129" s="39" t="n"/>
      <c r="V129" s="39" t="n"/>
      <c r="W129" s="10">
        <f>IF(C129="","",IF(N(T129)+N(U129)+N(V129)=0,"Not split",IF(ROUND(N(T129)+N(U129)+N(V129),2)=ROUND(MAX(N(L129),N(O129)),2),"OK","MISMATCH")))</f>
        <v/>
      </c>
      <c r="X129" s="39" t="n"/>
      <c r="Y129" s="39" t="n"/>
      <c r="Z129" s="39" t="n"/>
      <c r="AA129" s="11">
        <f>IF(C129="","",N(X129)+N(Y129)+N(Z129))</f>
        <v/>
      </c>
      <c r="AB129" s="11">
        <f>IF(C129="","",MAX(N(L129),N(O129))-N(AA129))</f>
        <v/>
      </c>
      <c r="AC129" s="43">
        <f>IFERROR(IF(MAX(N(L129),N(O129))=0,"",AB129/MAX(N(L129),N(O129))),"")</f>
        <v/>
      </c>
      <c r="AD129" s="37" t="n"/>
      <c r="AE129" s="10" t="inlineStr">
        <is>
          <t>CON-0125</t>
        </is>
      </c>
    </row>
    <row r="130">
      <c r="A130" s="16">
        <f>IF($C130="","",IFERROR(IF(INDEX(tbl_Finance[Latest Invoice Date],MATCH($AE130,tbl_Finance[Row ID],0))="","",INDEX(tbl_Finance[Latest Invoice Date],MATCH($AE130,tbl_Finance[Row ID],0))),""))</f>
        <v/>
      </c>
      <c r="B130" s="10">
        <f>IF($C130="","",IFERROR(INDEX(tbl_Finance[Invoice Numbers],MATCH($AE130,tbl_Finance[Row ID],0))&amp;"",""))</f>
        <v/>
      </c>
      <c r="C130" s="37" t="n"/>
      <c r="D130" s="10">
        <f>IF($C130="","",IF(COUNTIF(lst_Jobs,$C130&amp;"")&gt;0,"OK","CHECK"))</f>
        <v/>
      </c>
      <c r="E130" s="10">
        <f>IF($C130="","",IFERROR(INDEX(lst_JobName,MATCH($C130&amp;"",lst_Jobs,0)),""))</f>
        <v/>
      </c>
      <c r="F130" s="37" t="n"/>
      <c r="G130" s="37" t="n"/>
      <c r="H130" s="37" t="n"/>
      <c r="I130" s="37" t="n"/>
      <c r="J130" s="37" t="n"/>
      <c r="K130" s="38">
        <f>IF($C130="","",IFERROR(N(INDEX(tbl_Finance[Invoice Count],MATCH($AE130,tbl_Finance[Row ID],0))),""))</f>
        <v/>
      </c>
      <c r="L130" s="11">
        <f>IF($C130="","",IFERROR(N(INDEX(tbl_Finance[Xero Invoiced Ex GST],MATCH($AE130,tbl_Finance[Row ID],0))),""))</f>
        <v/>
      </c>
      <c r="M130" s="10">
        <f>IF($C130="","",IFERROR(INDEX(tbl_Finance[Compare],MATCH($AE130,tbl_Finance[Row ID],0))&amp;"",""))</f>
        <v/>
      </c>
      <c r="N130" s="11">
        <f>IF($C130="","",MAX(0,N(O130)-N(L130)))</f>
        <v/>
      </c>
      <c r="O130" s="39" t="n"/>
      <c r="P130" s="40">
        <f>IF($C130="","",IF((IF(F130="",", Client","")&amp;IF(G130="",", Description","")&amp;IF(H130="",", Cost Centre","")&amp;IF(I130="",", Invoice Type","")&amp;IF(J130="",", Tax Code","")&amp;IF(O130="",", Expected Revenue","")&amp;IF(COUNTIF(tbl_Finance[Job Number],$C130&amp;"")&gt;1,", Job number used twice",""))="","Complete","Fix: "&amp;MID(IF(F130="",", Client","")&amp;IF(G130="",", Description","")&amp;IF(H130="",", Cost Centre","")&amp;IF(I130="",", Invoice Type","")&amp;IF(J130="",", Tax Code","")&amp;IF(O130="",", Expected Revenue","")&amp;IF(COUNTIF(tbl_Finance[Job Number],$C130&amp;"")&gt;1,", Job number used twice",""),3,300)))</f>
        <v/>
      </c>
      <c r="Q130" s="10">
        <f>IF($C130="","",IF(H130="","(no cost centre)",H130&amp;" - GL "&amp;IFERROR(INDEX(lst_CCtoGL,MATCH(H130,lst_CCforGL,0)),"?")))</f>
        <v/>
      </c>
      <c r="R130" s="37" t="n"/>
      <c r="S130" s="10">
        <f>IF(R130="","",HYPERLINK(IF(LEFT(R130,4)="http",R130,set_QwilrBase&amp;R130),"Open quote"))</f>
        <v/>
      </c>
      <c r="T130" s="39" t="n"/>
      <c r="U130" s="39" t="n"/>
      <c r="V130" s="39" t="n"/>
      <c r="W130" s="10">
        <f>IF(C130="","",IF(N(T130)+N(U130)+N(V130)=0,"Not split",IF(ROUND(N(T130)+N(U130)+N(V130),2)=ROUND(MAX(N(L130),N(O130)),2),"OK","MISMATCH")))</f>
        <v/>
      </c>
      <c r="X130" s="39" t="n"/>
      <c r="Y130" s="39" t="n"/>
      <c r="Z130" s="39" t="n"/>
      <c r="AA130" s="11">
        <f>IF(C130="","",N(X130)+N(Y130)+N(Z130))</f>
        <v/>
      </c>
      <c r="AB130" s="11">
        <f>IF(C130="","",MAX(N(L130),N(O130))-N(AA130))</f>
        <v/>
      </c>
      <c r="AC130" s="43">
        <f>IFERROR(IF(MAX(N(L130),N(O130))=0,"",AB130/MAX(N(L130),N(O130))),"")</f>
        <v/>
      </c>
      <c r="AD130" s="37" t="n"/>
      <c r="AE130" s="10" t="inlineStr">
        <is>
          <t>CON-0126</t>
        </is>
      </c>
    </row>
    <row r="131">
      <c r="A131" s="16">
        <f>IF($C131="","",IFERROR(IF(INDEX(tbl_Finance[Latest Invoice Date],MATCH($AE131,tbl_Finance[Row ID],0))="","",INDEX(tbl_Finance[Latest Invoice Date],MATCH($AE131,tbl_Finance[Row ID],0))),""))</f>
        <v/>
      </c>
      <c r="B131" s="10">
        <f>IF($C131="","",IFERROR(INDEX(tbl_Finance[Invoice Numbers],MATCH($AE131,tbl_Finance[Row ID],0))&amp;"",""))</f>
        <v/>
      </c>
      <c r="C131" s="37" t="n"/>
      <c r="D131" s="10">
        <f>IF($C131="","",IF(COUNTIF(lst_Jobs,$C131&amp;"")&gt;0,"OK","CHECK"))</f>
        <v/>
      </c>
      <c r="E131" s="10">
        <f>IF($C131="","",IFERROR(INDEX(lst_JobName,MATCH($C131&amp;"",lst_Jobs,0)),""))</f>
        <v/>
      </c>
      <c r="F131" s="37" t="n"/>
      <c r="G131" s="37" t="n"/>
      <c r="H131" s="37" t="n"/>
      <c r="I131" s="37" t="n"/>
      <c r="J131" s="37" t="n"/>
      <c r="K131" s="38">
        <f>IF($C131="","",IFERROR(N(INDEX(tbl_Finance[Invoice Count],MATCH($AE131,tbl_Finance[Row ID],0))),""))</f>
        <v/>
      </c>
      <c r="L131" s="11">
        <f>IF($C131="","",IFERROR(N(INDEX(tbl_Finance[Xero Invoiced Ex GST],MATCH($AE131,tbl_Finance[Row ID],0))),""))</f>
        <v/>
      </c>
      <c r="M131" s="10">
        <f>IF($C131="","",IFERROR(INDEX(tbl_Finance[Compare],MATCH($AE131,tbl_Finance[Row ID],0))&amp;"",""))</f>
        <v/>
      </c>
      <c r="N131" s="11">
        <f>IF($C131="","",MAX(0,N(O131)-N(L131)))</f>
        <v/>
      </c>
      <c r="O131" s="39" t="n"/>
      <c r="P131" s="40">
        <f>IF($C131="","",IF((IF(F131="",", Client","")&amp;IF(G131="",", Description","")&amp;IF(H131="",", Cost Centre","")&amp;IF(I131="",", Invoice Type","")&amp;IF(J131="",", Tax Code","")&amp;IF(O131="",", Expected Revenue","")&amp;IF(COUNTIF(tbl_Finance[Job Number],$C131&amp;"")&gt;1,", Job number used twice",""))="","Complete","Fix: "&amp;MID(IF(F131="",", Client","")&amp;IF(G131="",", Description","")&amp;IF(H131="",", Cost Centre","")&amp;IF(I131="",", Invoice Type","")&amp;IF(J131="",", Tax Code","")&amp;IF(O131="",", Expected Revenue","")&amp;IF(COUNTIF(tbl_Finance[Job Number],$C131&amp;"")&gt;1,", Job number used twice",""),3,300)))</f>
        <v/>
      </c>
      <c r="Q131" s="10">
        <f>IF($C131="","",IF(H131="","(no cost centre)",H131&amp;" - GL "&amp;IFERROR(INDEX(lst_CCtoGL,MATCH(H131,lst_CCforGL,0)),"?")))</f>
        <v/>
      </c>
      <c r="R131" s="37" t="n"/>
      <c r="S131" s="10">
        <f>IF(R131="","",HYPERLINK(IF(LEFT(R131,4)="http",R131,set_QwilrBase&amp;R131),"Open quote"))</f>
        <v/>
      </c>
      <c r="T131" s="39" t="n"/>
      <c r="U131" s="39" t="n"/>
      <c r="V131" s="39" t="n"/>
      <c r="W131" s="10">
        <f>IF(C131="","",IF(N(T131)+N(U131)+N(V131)=0,"Not split",IF(ROUND(N(T131)+N(U131)+N(V131),2)=ROUND(MAX(N(L131),N(O131)),2),"OK","MISMATCH")))</f>
        <v/>
      </c>
      <c r="X131" s="39" t="n"/>
      <c r="Y131" s="39" t="n"/>
      <c r="Z131" s="39" t="n"/>
      <c r="AA131" s="11">
        <f>IF(C131="","",N(X131)+N(Y131)+N(Z131))</f>
        <v/>
      </c>
      <c r="AB131" s="11">
        <f>IF(C131="","",MAX(N(L131),N(O131))-N(AA131))</f>
        <v/>
      </c>
      <c r="AC131" s="43">
        <f>IFERROR(IF(MAX(N(L131),N(O131))=0,"",AB131/MAX(N(L131),N(O131))),"")</f>
        <v/>
      </c>
      <c r="AD131" s="37" t="n"/>
      <c r="AE131" s="10" t="inlineStr">
        <is>
          <t>CON-0127</t>
        </is>
      </c>
    </row>
    <row r="132">
      <c r="A132" s="16">
        <f>IF($C132="","",IFERROR(IF(INDEX(tbl_Finance[Latest Invoice Date],MATCH($AE132,tbl_Finance[Row ID],0))="","",INDEX(tbl_Finance[Latest Invoice Date],MATCH($AE132,tbl_Finance[Row ID],0))),""))</f>
        <v/>
      </c>
      <c r="B132" s="10">
        <f>IF($C132="","",IFERROR(INDEX(tbl_Finance[Invoice Numbers],MATCH($AE132,tbl_Finance[Row ID],0))&amp;"",""))</f>
        <v/>
      </c>
      <c r="C132" s="37" t="n"/>
      <c r="D132" s="10">
        <f>IF($C132="","",IF(COUNTIF(lst_Jobs,$C132&amp;"")&gt;0,"OK","CHECK"))</f>
        <v/>
      </c>
      <c r="E132" s="10">
        <f>IF($C132="","",IFERROR(INDEX(lst_JobName,MATCH($C132&amp;"",lst_Jobs,0)),""))</f>
        <v/>
      </c>
      <c r="F132" s="37" t="n"/>
      <c r="G132" s="37" t="n"/>
      <c r="H132" s="37" t="n"/>
      <c r="I132" s="37" t="n"/>
      <c r="J132" s="37" t="n"/>
      <c r="K132" s="38">
        <f>IF($C132="","",IFERROR(N(INDEX(tbl_Finance[Invoice Count],MATCH($AE132,tbl_Finance[Row ID],0))),""))</f>
        <v/>
      </c>
      <c r="L132" s="11">
        <f>IF($C132="","",IFERROR(N(INDEX(tbl_Finance[Xero Invoiced Ex GST],MATCH($AE132,tbl_Finance[Row ID],0))),""))</f>
        <v/>
      </c>
      <c r="M132" s="10">
        <f>IF($C132="","",IFERROR(INDEX(tbl_Finance[Compare],MATCH($AE132,tbl_Finance[Row ID],0))&amp;"",""))</f>
        <v/>
      </c>
      <c r="N132" s="11">
        <f>IF($C132="","",MAX(0,N(O132)-N(L132)))</f>
        <v/>
      </c>
      <c r="O132" s="39" t="n"/>
      <c r="P132" s="40">
        <f>IF($C132="","",IF((IF(F132="",", Client","")&amp;IF(G132="",", Description","")&amp;IF(H132="",", Cost Centre","")&amp;IF(I132="",", Invoice Type","")&amp;IF(J132="",", Tax Code","")&amp;IF(O132="",", Expected Revenue","")&amp;IF(COUNTIF(tbl_Finance[Job Number],$C132&amp;"")&gt;1,", Job number used twice",""))="","Complete","Fix: "&amp;MID(IF(F132="",", Client","")&amp;IF(G132="",", Description","")&amp;IF(H132="",", Cost Centre","")&amp;IF(I132="",", Invoice Type","")&amp;IF(J132="",", Tax Code","")&amp;IF(O132="",", Expected Revenue","")&amp;IF(COUNTIF(tbl_Finance[Job Number],$C132&amp;"")&gt;1,", Job number used twice",""),3,300)))</f>
        <v/>
      </c>
      <c r="Q132" s="10">
        <f>IF($C132="","",IF(H132="","(no cost centre)",H132&amp;" - GL "&amp;IFERROR(INDEX(lst_CCtoGL,MATCH(H132,lst_CCforGL,0)),"?")))</f>
        <v/>
      </c>
      <c r="R132" s="37" t="n"/>
      <c r="S132" s="10">
        <f>IF(R132="","",HYPERLINK(IF(LEFT(R132,4)="http",R132,set_QwilrBase&amp;R132),"Open quote"))</f>
        <v/>
      </c>
      <c r="T132" s="39" t="n"/>
      <c r="U132" s="39" t="n"/>
      <c r="V132" s="39" t="n"/>
      <c r="W132" s="10">
        <f>IF(C132="","",IF(N(T132)+N(U132)+N(V132)=0,"Not split",IF(ROUND(N(T132)+N(U132)+N(V132),2)=ROUND(MAX(N(L132),N(O132)),2),"OK","MISMATCH")))</f>
        <v/>
      </c>
      <c r="X132" s="39" t="n"/>
      <c r="Y132" s="39" t="n"/>
      <c r="Z132" s="39" t="n"/>
      <c r="AA132" s="11">
        <f>IF(C132="","",N(X132)+N(Y132)+N(Z132))</f>
        <v/>
      </c>
      <c r="AB132" s="11">
        <f>IF(C132="","",MAX(N(L132),N(O132))-N(AA132))</f>
        <v/>
      </c>
      <c r="AC132" s="43">
        <f>IFERROR(IF(MAX(N(L132),N(O132))=0,"",AB132/MAX(N(L132),N(O132))),"")</f>
        <v/>
      </c>
      <c r="AD132" s="37" t="n"/>
      <c r="AE132" s="10" t="inlineStr">
        <is>
          <t>CON-0128</t>
        </is>
      </c>
    </row>
    <row r="133">
      <c r="A133" s="16">
        <f>IF($C133="","",IFERROR(IF(INDEX(tbl_Finance[Latest Invoice Date],MATCH($AE133,tbl_Finance[Row ID],0))="","",INDEX(tbl_Finance[Latest Invoice Date],MATCH($AE133,tbl_Finance[Row ID],0))),""))</f>
        <v/>
      </c>
      <c r="B133" s="10">
        <f>IF($C133="","",IFERROR(INDEX(tbl_Finance[Invoice Numbers],MATCH($AE133,tbl_Finance[Row ID],0))&amp;"",""))</f>
        <v/>
      </c>
      <c r="C133" s="37" t="n"/>
      <c r="D133" s="10">
        <f>IF($C133="","",IF(COUNTIF(lst_Jobs,$C133&amp;"")&gt;0,"OK","CHECK"))</f>
        <v/>
      </c>
      <c r="E133" s="10">
        <f>IF($C133="","",IFERROR(INDEX(lst_JobName,MATCH($C133&amp;"",lst_Jobs,0)),""))</f>
        <v/>
      </c>
      <c r="F133" s="37" t="n"/>
      <c r="G133" s="37" t="n"/>
      <c r="H133" s="37" t="n"/>
      <c r="I133" s="37" t="n"/>
      <c r="J133" s="37" t="n"/>
      <c r="K133" s="38">
        <f>IF($C133="","",IFERROR(N(INDEX(tbl_Finance[Invoice Count],MATCH($AE133,tbl_Finance[Row ID],0))),""))</f>
        <v/>
      </c>
      <c r="L133" s="11">
        <f>IF($C133="","",IFERROR(N(INDEX(tbl_Finance[Xero Invoiced Ex GST],MATCH($AE133,tbl_Finance[Row ID],0))),""))</f>
        <v/>
      </c>
      <c r="M133" s="10">
        <f>IF($C133="","",IFERROR(INDEX(tbl_Finance[Compare],MATCH($AE133,tbl_Finance[Row ID],0))&amp;"",""))</f>
        <v/>
      </c>
      <c r="N133" s="11">
        <f>IF($C133="","",MAX(0,N(O133)-N(L133)))</f>
        <v/>
      </c>
      <c r="O133" s="39" t="n"/>
      <c r="P133" s="40">
        <f>IF($C133="","",IF((IF(F133="",", Client","")&amp;IF(G133="",", Description","")&amp;IF(H133="",", Cost Centre","")&amp;IF(I133="",", Invoice Type","")&amp;IF(J133="",", Tax Code","")&amp;IF(O133="",", Expected Revenue","")&amp;IF(COUNTIF(tbl_Finance[Job Number],$C133&amp;"")&gt;1,", Job number used twice",""))="","Complete","Fix: "&amp;MID(IF(F133="",", Client","")&amp;IF(G133="",", Description","")&amp;IF(H133="",", Cost Centre","")&amp;IF(I133="",", Invoice Type","")&amp;IF(J133="",", Tax Code","")&amp;IF(O133="",", Expected Revenue","")&amp;IF(COUNTIF(tbl_Finance[Job Number],$C133&amp;"")&gt;1,", Job number used twice",""),3,300)))</f>
        <v/>
      </c>
      <c r="Q133" s="10">
        <f>IF($C133="","",IF(H133="","(no cost centre)",H133&amp;" - GL "&amp;IFERROR(INDEX(lst_CCtoGL,MATCH(H133,lst_CCforGL,0)),"?")))</f>
        <v/>
      </c>
      <c r="R133" s="37" t="n"/>
      <c r="S133" s="10">
        <f>IF(R133="","",HYPERLINK(IF(LEFT(R133,4)="http",R133,set_QwilrBase&amp;R133),"Open quote"))</f>
        <v/>
      </c>
      <c r="T133" s="39" t="n"/>
      <c r="U133" s="39" t="n"/>
      <c r="V133" s="39" t="n"/>
      <c r="W133" s="10">
        <f>IF(C133="","",IF(N(T133)+N(U133)+N(V133)=0,"Not split",IF(ROUND(N(T133)+N(U133)+N(V133),2)=ROUND(MAX(N(L133),N(O133)),2),"OK","MISMATCH")))</f>
        <v/>
      </c>
      <c r="X133" s="39" t="n"/>
      <c r="Y133" s="39" t="n"/>
      <c r="Z133" s="39" t="n"/>
      <c r="AA133" s="11">
        <f>IF(C133="","",N(X133)+N(Y133)+N(Z133))</f>
        <v/>
      </c>
      <c r="AB133" s="11">
        <f>IF(C133="","",MAX(N(L133),N(O133))-N(AA133))</f>
        <v/>
      </c>
      <c r="AC133" s="43">
        <f>IFERROR(IF(MAX(N(L133),N(O133))=0,"",AB133/MAX(N(L133),N(O133))),"")</f>
        <v/>
      </c>
      <c r="AD133" s="37" t="n"/>
      <c r="AE133" s="10" t="inlineStr">
        <is>
          <t>CON-0129</t>
        </is>
      </c>
    </row>
    <row r="134">
      <c r="A134" s="16">
        <f>IF($C134="","",IFERROR(IF(INDEX(tbl_Finance[Latest Invoice Date],MATCH($AE134,tbl_Finance[Row ID],0))="","",INDEX(tbl_Finance[Latest Invoice Date],MATCH($AE134,tbl_Finance[Row ID],0))),""))</f>
        <v/>
      </c>
      <c r="B134" s="10">
        <f>IF($C134="","",IFERROR(INDEX(tbl_Finance[Invoice Numbers],MATCH($AE134,tbl_Finance[Row ID],0))&amp;"",""))</f>
        <v/>
      </c>
      <c r="C134" s="37" t="n"/>
      <c r="D134" s="10">
        <f>IF($C134="","",IF(COUNTIF(lst_Jobs,$C134&amp;"")&gt;0,"OK","CHECK"))</f>
        <v/>
      </c>
      <c r="E134" s="10">
        <f>IF($C134="","",IFERROR(INDEX(lst_JobName,MATCH($C134&amp;"",lst_Jobs,0)),""))</f>
        <v/>
      </c>
      <c r="F134" s="37" t="n"/>
      <c r="G134" s="37" t="n"/>
      <c r="H134" s="37" t="n"/>
      <c r="I134" s="37" t="n"/>
      <c r="J134" s="37" t="n"/>
      <c r="K134" s="38">
        <f>IF($C134="","",IFERROR(N(INDEX(tbl_Finance[Invoice Count],MATCH($AE134,tbl_Finance[Row ID],0))),""))</f>
        <v/>
      </c>
      <c r="L134" s="11">
        <f>IF($C134="","",IFERROR(N(INDEX(tbl_Finance[Xero Invoiced Ex GST],MATCH($AE134,tbl_Finance[Row ID],0))),""))</f>
        <v/>
      </c>
      <c r="M134" s="10">
        <f>IF($C134="","",IFERROR(INDEX(tbl_Finance[Compare],MATCH($AE134,tbl_Finance[Row ID],0))&amp;"",""))</f>
        <v/>
      </c>
      <c r="N134" s="11">
        <f>IF($C134="","",MAX(0,N(O134)-N(L134)))</f>
        <v/>
      </c>
      <c r="O134" s="39" t="n"/>
      <c r="P134" s="40">
        <f>IF($C134="","",IF((IF(F134="",", Client","")&amp;IF(G134="",", Description","")&amp;IF(H134="",", Cost Centre","")&amp;IF(I134="",", Invoice Type","")&amp;IF(J134="",", Tax Code","")&amp;IF(O134="",", Expected Revenue","")&amp;IF(COUNTIF(tbl_Finance[Job Number],$C134&amp;"")&gt;1,", Job number used twice",""))="","Complete","Fix: "&amp;MID(IF(F134="",", Client","")&amp;IF(G134="",", Description","")&amp;IF(H134="",", Cost Centre","")&amp;IF(I134="",", Invoice Type","")&amp;IF(J134="",", Tax Code","")&amp;IF(O134="",", Expected Revenue","")&amp;IF(COUNTIF(tbl_Finance[Job Number],$C134&amp;"")&gt;1,", Job number used twice",""),3,300)))</f>
        <v/>
      </c>
      <c r="Q134" s="10">
        <f>IF($C134="","",IF(H134="","(no cost centre)",H134&amp;" - GL "&amp;IFERROR(INDEX(lst_CCtoGL,MATCH(H134,lst_CCforGL,0)),"?")))</f>
        <v/>
      </c>
      <c r="R134" s="37" t="n"/>
      <c r="S134" s="10">
        <f>IF(R134="","",HYPERLINK(IF(LEFT(R134,4)="http",R134,set_QwilrBase&amp;R134),"Open quote"))</f>
        <v/>
      </c>
      <c r="T134" s="39" t="n"/>
      <c r="U134" s="39" t="n"/>
      <c r="V134" s="39" t="n"/>
      <c r="W134" s="10">
        <f>IF(C134="","",IF(N(T134)+N(U134)+N(V134)=0,"Not split",IF(ROUND(N(T134)+N(U134)+N(V134),2)=ROUND(MAX(N(L134),N(O134)),2),"OK","MISMATCH")))</f>
        <v/>
      </c>
      <c r="X134" s="39" t="n"/>
      <c r="Y134" s="39" t="n"/>
      <c r="Z134" s="39" t="n"/>
      <c r="AA134" s="11">
        <f>IF(C134="","",N(X134)+N(Y134)+N(Z134))</f>
        <v/>
      </c>
      <c r="AB134" s="11">
        <f>IF(C134="","",MAX(N(L134),N(O134))-N(AA134))</f>
        <v/>
      </c>
      <c r="AC134" s="43">
        <f>IFERROR(IF(MAX(N(L134),N(O134))=0,"",AB134/MAX(N(L134),N(O134))),"")</f>
        <v/>
      </c>
      <c r="AD134" s="37" t="n"/>
      <c r="AE134" s="10" t="inlineStr">
        <is>
          <t>CON-0130</t>
        </is>
      </c>
    </row>
    <row r="135">
      <c r="A135" s="16">
        <f>IF($C135="","",IFERROR(IF(INDEX(tbl_Finance[Latest Invoice Date],MATCH($AE135,tbl_Finance[Row ID],0))="","",INDEX(tbl_Finance[Latest Invoice Date],MATCH($AE135,tbl_Finance[Row ID],0))),""))</f>
        <v/>
      </c>
      <c r="B135" s="10">
        <f>IF($C135="","",IFERROR(INDEX(tbl_Finance[Invoice Numbers],MATCH($AE135,tbl_Finance[Row ID],0))&amp;"",""))</f>
        <v/>
      </c>
      <c r="C135" s="37" t="n"/>
      <c r="D135" s="10">
        <f>IF($C135="","",IF(COUNTIF(lst_Jobs,$C135&amp;"")&gt;0,"OK","CHECK"))</f>
        <v/>
      </c>
      <c r="E135" s="10">
        <f>IF($C135="","",IFERROR(INDEX(lst_JobName,MATCH($C135&amp;"",lst_Jobs,0)),""))</f>
        <v/>
      </c>
      <c r="F135" s="37" t="n"/>
      <c r="G135" s="37" t="n"/>
      <c r="H135" s="37" t="n"/>
      <c r="I135" s="37" t="n"/>
      <c r="J135" s="37" t="n"/>
      <c r="K135" s="38">
        <f>IF($C135="","",IFERROR(N(INDEX(tbl_Finance[Invoice Count],MATCH($AE135,tbl_Finance[Row ID],0))),""))</f>
        <v/>
      </c>
      <c r="L135" s="11">
        <f>IF($C135="","",IFERROR(N(INDEX(tbl_Finance[Xero Invoiced Ex GST],MATCH($AE135,tbl_Finance[Row ID],0))),""))</f>
        <v/>
      </c>
      <c r="M135" s="10">
        <f>IF($C135="","",IFERROR(INDEX(tbl_Finance[Compare],MATCH($AE135,tbl_Finance[Row ID],0))&amp;"",""))</f>
        <v/>
      </c>
      <c r="N135" s="11">
        <f>IF($C135="","",MAX(0,N(O135)-N(L135)))</f>
        <v/>
      </c>
      <c r="O135" s="39" t="n"/>
      <c r="P135" s="40">
        <f>IF($C135="","",IF((IF(F135="",", Client","")&amp;IF(G135="",", Description","")&amp;IF(H135="",", Cost Centre","")&amp;IF(I135="",", Invoice Type","")&amp;IF(J135="",", Tax Code","")&amp;IF(O135="",", Expected Revenue","")&amp;IF(COUNTIF(tbl_Finance[Job Number],$C135&amp;"")&gt;1,", Job number used twice",""))="","Complete","Fix: "&amp;MID(IF(F135="",", Client","")&amp;IF(G135="",", Description","")&amp;IF(H135="",", Cost Centre","")&amp;IF(I135="",", Invoice Type","")&amp;IF(J135="",", Tax Code","")&amp;IF(O135="",", Expected Revenue","")&amp;IF(COUNTIF(tbl_Finance[Job Number],$C135&amp;"")&gt;1,", Job number used twice",""),3,300)))</f>
        <v/>
      </c>
      <c r="Q135" s="10">
        <f>IF($C135="","",IF(H135="","(no cost centre)",H135&amp;" - GL "&amp;IFERROR(INDEX(lst_CCtoGL,MATCH(H135,lst_CCforGL,0)),"?")))</f>
        <v/>
      </c>
      <c r="R135" s="37" t="n"/>
      <c r="S135" s="10">
        <f>IF(R135="","",HYPERLINK(IF(LEFT(R135,4)="http",R135,set_QwilrBase&amp;R135),"Open quote"))</f>
        <v/>
      </c>
      <c r="T135" s="39" t="n"/>
      <c r="U135" s="39" t="n"/>
      <c r="V135" s="39" t="n"/>
      <c r="W135" s="10">
        <f>IF(C135="","",IF(N(T135)+N(U135)+N(V135)=0,"Not split",IF(ROUND(N(T135)+N(U135)+N(V135),2)=ROUND(MAX(N(L135),N(O135)),2),"OK","MISMATCH")))</f>
        <v/>
      </c>
      <c r="X135" s="39" t="n"/>
      <c r="Y135" s="39" t="n"/>
      <c r="Z135" s="39" t="n"/>
      <c r="AA135" s="11">
        <f>IF(C135="","",N(X135)+N(Y135)+N(Z135))</f>
        <v/>
      </c>
      <c r="AB135" s="11">
        <f>IF(C135="","",MAX(N(L135),N(O135))-N(AA135))</f>
        <v/>
      </c>
      <c r="AC135" s="43">
        <f>IFERROR(IF(MAX(N(L135),N(O135))=0,"",AB135/MAX(N(L135),N(O135))),"")</f>
        <v/>
      </c>
      <c r="AD135" s="37" t="n"/>
      <c r="AE135" s="10" t="inlineStr">
        <is>
          <t>CON-0131</t>
        </is>
      </c>
    </row>
    <row r="136">
      <c r="A136" s="16">
        <f>IF($C136="","",IFERROR(IF(INDEX(tbl_Finance[Latest Invoice Date],MATCH($AE136,tbl_Finance[Row ID],0))="","",INDEX(tbl_Finance[Latest Invoice Date],MATCH($AE136,tbl_Finance[Row ID],0))),""))</f>
        <v/>
      </c>
      <c r="B136" s="10">
        <f>IF($C136="","",IFERROR(INDEX(tbl_Finance[Invoice Numbers],MATCH($AE136,tbl_Finance[Row ID],0))&amp;"",""))</f>
        <v/>
      </c>
      <c r="C136" s="37" t="n"/>
      <c r="D136" s="10">
        <f>IF($C136="","",IF(COUNTIF(lst_Jobs,$C136&amp;"")&gt;0,"OK","CHECK"))</f>
        <v/>
      </c>
      <c r="E136" s="10">
        <f>IF($C136="","",IFERROR(INDEX(lst_JobName,MATCH($C136&amp;"",lst_Jobs,0)),""))</f>
        <v/>
      </c>
      <c r="F136" s="37" t="n"/>
      <c r="G136" s="37" t="n"/>
      <c r="H136" s="37" t="n"/>
      <c r="I136" s="37" t="n"/>
      <c r="J136" s="37" t="n"/>
      <c r="K136" s="38">
        <f>IF($C136="","",IFERROR(N(INDEX(tbl_Finance[Invoice Count],MATCH($AE136,tbl_Finance[Row ID],0))),""))</f>
        <v/>
      </c>
      <c r="L136" s="11">
        <f>IF($C136="","",IFERROR(N(INDEX(tbl_Finance[Xero Invoiced Ex GST],MATCH($AE136,tbl_Finance[Row ID],0))),""))</f>
        <v/>
      </c>
      <c r="M136" s="10">
        <f>IF($C136="","",IFERROR(INDEX(tbl_Finance[Compare],MATCH($AE136,tbl_Finance[Row ID],0))&amp;"",""))</f>
        <v/>
      </c>
      <c r="N136" s="11">
        <f>IF($C136="","",MAX(0,N(O136)-N(L136)))</f>
        <v/>
      </c>
      <c r="O136" s="39" t="n"/>
      <c r="P136" s="40">
        <f>IF($C136="","",IF((IF(F136="",", Client","")&amp;IF(G136="",", Description","")&amp;IF(H136="",", Cost Centre","")&amp;IF(I136="",", Invoice Type","")&amp;IF(J136="",", Tax Code","")&amp;IF(O136="",", Expected Revenue","")&amp;IF(COUNTIF(tbl_Finance[Job Number],$C136&amp;"")&gt;1,", Job number used twice",""))="","Complete","Fix: "&amp;MID(IF(F136="",", Client","")&amp;IF(G136="",", Description","")&amp;IF(H136="",", Cost Centre","")&amp;IF(I136="",", Invoice Type","")&amp;IF(J136="",", Tax Code","")&amp;IF(O136="",", Expected Revenue","")&amp;IF(COUNTIF(tbl_Finance[Job Number],$C136&amp;"")&gt;1,", Job number used twice",""),3,300)))</f>
        <v/>
      </c>
      <c r="Q136" s="10">
        <f>IF($C136="","",IF(H136="","(no cost centre)",H136&amp;" - GL "&amp;IFERROR(INDEX(lst_CCtoGL,MATCH(H136,lst_CCforGL,0)),"?")))</f>
        <v/>
      </c>
      <c r="R136" s="37" t="n"/>
      <c r="S136" s="10">
        <f>IF(R136="","",HYPERLINK(IF(LEFT(R136,4)="http",R136,set_QwilrBase&amp;R136),"Open quote"))</f>
        <v/>
      </c>
      <c r="T136" s="39" t="n"/>
      <c r="U136" s="39" t="n"/>
      <c r="V136" s="39" t="n"/>
      <c r="W136" s="10">
        <f>IF(C136="","",IF(N(T136)+N(U136)+N(V136)=0,"Not split",IF(ROUND(N(T136)+N(U136)+N(V136),2)=ROUND(MAX(N(L136),N(O136)),2),"OK","MISMATCH")))</f>
        <v/>
      </c>
      <c r="X136" s="39" t="n"/>
      <c r="Y136" s="39" t="n"/>
      <c r="Z136" s="39" t="n"/>
      <c r="AA136" s="11">
        <f>IF(C136="","",N(X136)+N(Y136)+N(Z136))</f>
        <v/>
      </c>
      <c r="AB136" s="11">
        <f>IF(C136="","",MAX(N(L136),N(O136))-N(AA136))</f>
        <v/>
      </c>
      <c r="AC136" s="43">
        <f>IFERROR(IF(MAX(N(L136),N(O136))=0,"",AB136/MAX(N(L136),N(O136))),"")</f>
        <v/>
      </c>
      <c r="AD136" s="37" t="n"/>
      <c r="AE136" s="10" t="inlineStr">
        <is>
          <t>CON-0132</t>
        </is>
      </c>
    </row>
    <row r="137">
      <c r="A137" s="16">
        <f>IF($C137="","",IFERROR(IF(INDEX(tbl_Finance[Latest Invoice Date],MATCH($AE137,tbl_Finance[Row ID],0))="","",INDEX(tbl_Finance[Latest Invoice Date],MATCH($AE137,tbl_Finance[Row ID],0))),""))</f>
        <v/>
      </c>
      <c r="B137" s="10">
        <f>IF($C137="","",IFERROR(INDEX(tbl_Finance[Invoice Numbers],MATCH($AE137,tbl_Finance[Row ID],0))&amp;"",""))</f>
        <v/>
      </c>
      <c r="C137" s="37" t="n"/>
      <c r="D137" s="10">
        <f>IF($C137="","",IF(COUNTIF(lst_Jobs,$C137&amp;"")&gt;0,"OK","CHECK"))</f>
        <v/>
      </c>
      <c r="E137" s="10">
        <f>IF($C137="","",IFERROR(INDEX(lst_JobName,MATCH($C137&amp;"",lst_Jobs,0)),""))</f>
        <v/>
      </c>
      <c r="F137" s="37" t="n"/>
      <c r="G137" s="37" t="n"/>
      <c r="H137" s="37" t="n"/>
      <c r="I137" s="37" t="n"/>
      <c r="J137" s="37" t="n"/>
      <c r="K137" s="38">
        <f>IF($C137="","",IFERROR(N(INDEX(tbl_Finance[Invoice Count],MATCH($AE137,tbl_Finance[Row ID],0))),""))</f>
        <v/>
      </c>
      <c r="L137" s="11">
        <f>IF($C137="","",IFERROR(N(INDEX(tbl_Finance[Xero Invoiced Ex GST],MATCH($AE137,tbl_Finance[Row ID],0))),""))</f>
        <v/>
      </c>
      <c r="M137" s="10">
        <f>IF($C137="","",IFERROR(INDEX(tbl_Finance[Compare],MATCH($AE137,tbl_Finance[Row ID],0))&amp;"",""))</f>
        <v/>
      </c>
      <c r="N137" s="11">
        <f>IF($C137="","",MAX(0,N(O137)-N(L137)))</f>
        <v/>
      </c>
      <c r="O137" s="39" t="n"/>
      <c r="P137" s="40">
        <f>IF($C137="","",IF((IF(F137="",", Client","")&amp;IF(G137="",", Description","")&amp;IF(H137="",", Cost Centre","")&amp;IF(I137="",", Invoice Type","")&amp;IF(J137="",", Tax Code","")&amp;IF(O137="",", Expected Revenue","")&amp;IF(COUNTIF(tbl_Finance[Job Number],$C137&amp;"")&gt;1,", Job number used twice",""))="","Complete","Fix: "&amp;MID(IF(F137="",", Client","")&amp;IF(G137="",", Description","")&amp;IF(H137="",", Cost Centre","")&amp;IF(I137="",", Invoice Type","")&amp;IF(J137="",", Tax Code","")&amp;IF(O137="",", Expected Revenue","")&amp;IF(COUNTIF(tbl_Finance[Job Number],$C137&amp;"")&gt;1,", Job number used twice",""),3,300)))</f>
        <v/>
      </c>
      <c r="Q137" s="10">
        <f>IF($C137="","",IF(H137="","(no cost centre)",H137&amp;" - GL "&amp;IFERROR(INDEX(lst_CCtoGL,MATCH(H137,lst_CCforGL,0)),"?")))</f>
        <v/>
      </c>
      <c r="R137" s="37" t="n"/>
      <c r="S137" s="10">
        <f>IF(R137="","",HYPERLINK(IF(LEFT(R137,4)="http",R137,set_QwilrBase&amp;R137),"Open quote"))</f>
        <v/>
      </c>
      <c r="T137" s="39" t="n"/>
      <c r="U137" s="39" t="n"/>
      <c r="V137" s="39" t="n"/>
      <c r="W137" s="10">
        <f>IF(C137="","",IF(N(T137)+N(U137)+N(V137)=0,"Not split",IF(ROUND(N(T137)+N(U137)+N(V137),2)=ROUND(MAX(N(L137),N(O137)),2),"OK","MISMATCH")))</f>
        <v/>
      </c>
      <c r="X137" s="39" t="n"/>
      <c r="Y137" s="39" t="n"/>
      <c r="Z137" s="39" t="n"/>
      <c r="AA137" s="11">
        <f>IF(C137="","",N(X137)+N(Y137)+N(Z137))</f>
        <v/>
      </c>
      <c r="AB137" s="11">
        <f>IF(C137="","",MAX(N(L137),N(O137))-N(AA137))</f>
        <v/>
      </c>
      <c r="AC137" s="43">
        <f>IFERROR(IF(MAX(N(L137),N(O137))=0,"",AB137/MAX(N(L137),N(O137))),"")</f>
        <v/>
      </c>
      <c r="AD137" s="37" t="n"/>
      <c r="AE137" s="10" t="inlineStr">
        <is>
          <t>CON-0133</t>
        </is>
      </c>
    </row>
    <row r="138">
      <c r="A138" s="16">
        <f>IF($C138="","",IFERROR(IF(INDEX(tbl_Finance[Latest Invoice Date],MATCH($AE138,tbl_Finance[Row ID],0))="","",INDEX(tbl_Finance[Latest Invoice Date],MATCH($AE138,tbl_Finance[Row ID],0))),""))</f>
        <v/>
      </c>
      <c r="B138" s="10">
        <f>IF($C138="","",IFERROR(INDEX(tbl_Finance[Invoice Numbers],MATCH($AE138,tbl_Finance[Row ID],0))&amp;"",""))</f>
        <v/>
      </c>
      <c r="C138" s="37" t="n"/>
      <c r="D138" s="10">
        <f>IF($C138="","",IF(COUNTIF(lst_Jobs,$C138&amp;"")&gt;0,"OK","CHECK"))</f>
        <v/>
      </c>
      <c r="E138" s="10">
        <f>IF($C138="","",IFERROR(INDEX(lst_JobName,MATCH($C138&amp;"",lst_Jobs,0)),""))</f>
        <v/>
      </c>
      <c r="F138" s="37" t="n"/>
      <c r="G138" s="37" t="n"/>
      <c r="H138" s="37" t="n"/>
      <c r="I138" s="37" t="n"/>
      <c r="J138" s="37" t="n"/>
      <c r="K138" s="38">
        <f>IF($C138="","",IFERROR(N(INDEX(tbl_Finance[Invoice Count],MATCH($AE138,tbl_Finance[Row ID],0))),""))</f>
        <v/>
      </c>
      <c r="L138" s="11">
        <f>IF($C138="","",IFERROR(N(INDEX(tbl_Finance[Xero Invoiced Ex GST],MATCH($AE138,tbl_Finance[Row ID],0))),""))</f>
        <v/>
      </c>
      <c r="M138" s="10">
        <f>IF($C138="","",IFERROR(INDEX(tbl_Finance[Compare],MATCH($AE138,tbl_Finance[Row ID],0))&amp;"",""))</f>
        <v/>
      </c>
      <c r="N138" s="11">
        <f>IF($C138="","",MAX(0,N(O138)-N(L138)))</f>
        <v/>
      </c>
      <c r="O138" s="39" t="n"/>
      <c r="P138" s="40">
        <f>IF($C138="","",IF((IF(F138="",", Client","")&amp;IF(G138="",", Description","")&amp;IF(H138="",", Cost Centre","")&amp;IF(I138="",", Invoice Type","")&amp;IF(J138="",", Tax Code","")&amp;IF(O138="",", Expected Revenue","")&amp;IF(COUNTIF(tbl_Finance[Job Number],$C138&amp;"")&gt;1,", Job number used twice",""))="","Complete","Fix: "&amp;MID(IF(F138="",", Client","")&amp;IF(G138="",", Description","")&amp;IF(H138="",", Cost Centre","")&amp;IF(I138="",", Invoice Type","")&amp;IF(J138="",", Tax Code","")&amp;IF(O138="",", Expected Revenue","")&amp;IF(COUNTIF(tbl_Finance[Job Number],$C138&amp;"")&gt;1,", Job number used twice",""),3,300)))</f>
        <v/>
      </c>
      <c r="Q138" s="10">
        <f>IF($C138="","",IF(H138="","(no cost centre)",H138&amp;" - GL "&amp;IFERROR(INDEX(lst_CCtoGL,MATCH(H138,lst_CCforGL,0)),"?")))</f>
        <v/>
      </c>
      <c r="R138" s="37" t="n"/>
      <c r="S138" s="10">
        <f>IF(R138="","",HYPERLINK(IF(LEFT(R138,4)="http",R138,set_QwilrBase&amp;R138),"Open quote"))</f>
        <v/>
      </c>
      <c r="T138" s="39" t="n"/>
      <c r="U138" s="39" t="n"/>
      <c r="V138" s="39" t="n"/>
      <c r="W138" s="10">
        <f>IF(C138="","",IF(N(T138)+N(U138)+N(V138)=0,"Not split",IF(ROUND(N(T138)+N(U138)+N(V138),2)=ROUND(MAX(N(L138),N(O138)),2),"OK","MISMATCH")))</f>
        <v/>
      </c>
      <c r="X138" s="39" t="n"/>
      <c r="Y138" s="39" t="n"/>
      <c r="Z138" s="39" t="n"/>
      <c r="AA138" s="11">
        <f>IF(C138="","",N(X138)+N(Y138)+N(Z138))</f>
        <v/>
      </c>
      <c r="AB138" s="11">
        <f>IF(C138="","",MAX(N(L138),N(O138))-N(AA138))</f>
        <v/>
      </c>
      <c r="AC138" s="43">
        <f>IFERROR(IF(MAX(N(L138),N(O138))=0,"",AB138/MAX(N(L138),N(O138))),"")</f>
        <v/>
      </c>
      <c r="AD138" s="37" t="n"/>
      <c r="AE138" s="10" t="inlineStr">
        <is>
          <t>CON-0134</t>
        </is>
      </c>
    </row>
    <row r="139">
      <c r="A139" s="16">
        <f>IF($C139="","",IFERROR(IF(INDEX(tbl_Finance[Latest Invoice Date],MATCH($AE139,tbl_Finance[Row ID],0))="","",INDEX(tbl_Finance[Latest Invoice Date],MATCH($AE139,tbl_Finance[Row ID],0))),""))</f>
        <v/>
      </c>
      <c r="B139" s="10">
        <f>IF($C139="","",IFERROR(INDEX(tbl_Finance[Invoice Numbers],MATCH($AE139,tbl_Finance[Row ID],0))&amp;"",""))</f>
        <v/>
      </c>
      <c r="C139" s="37" t="n"/>
      <c r="D139" s="10">
        <f>IF($C139="","",IF(COUNTIF(lst_Jobs,$C139&amp;"")&gt;0,"OK","CHECK"))</f>
        <v/>
      </c>
      <c r="E139" s="10">
        <f>IF($C139="","",IFERROR(INDEX(lst_JobName,MATCH($C139&amp;"",lst_Jobs,0)),""))</f>
        <v/>
      </c>
      <c r="F139" s="37" t="n"/>
      <c r="G139" s="37" t="n"/>
      <c r="H139" s="37" t="n"/>
      <c r="I139" s="37" t="n"/>
      <c r="J139" s="37" t="n"/>
      <c r="K139" s="38">
        <f>IF($C139="","",IFERROR(N(INDEX(tbl_Finance[Invoice Count],MATCH($AE139,tbl_Finance[Row ID],0))),""))</f>
        <v/>
      </c>
      <c r="L139" s="11">
        <f>IF($C139="","",IFERROR(N(INDEX(tbl_Finance[Xero Invoiced Ex GST],MATCH($AE139,tbl_Finance[Row ID],0))),""))</f>
        <v/>
      </c>
      <c r="M139" s="10">
        <f>IF($C139="","",IFERROR(INDEX(tbl_Finance[Compare],MATCH($AE139,tbl_Finance[Row ID],0))&amp;"",""))</f>
        <v/>
      </c>
      <c r="N139" s="11">
        <f>IF($C139="","",MAX(0,N(O139)-N(L139)))</f>
        <v/>
      </c>
      <c r="O139" s="39" t="n"/>
      <c r="P139" s="40">
        <f>IF($C139="","",IF((IF(F139="",", Client","")&amp;IF(G139="",", Description","")&amp;IF(H139="",", Cost Centre","")&amp;IF(I139="",", Invoice Type","")&amp;IF(J139="",", Tax Code","")&amp;IF(O139="",", Expected Revenue","")&amp;IF(COUNTIF(tbl_Finance[Job Number],$C139&amp;"")&gt;1,", Job number used twice",""))="","Complete","Fix: "&amp;MID(IF(F139="",", Client","")&amp;IF(G139="",", Description","")&amp;IF(H139="",", Cost Centre","")&amp;IF(I139="",", Invoice Type","")&amp;IF(J139="",", Tax Code","")&amp;IF(O139="",", Expected Revenue","")&amp;IF(COUNTIF(tbl_Finance[Job Number],$C139&amp;"")&gt;1,", Job number used twice",""),3,300)))</f>
        <v/>
      </c>
      <c r="Q139" s="10">
        <f>IF($C139="","",IF(H139="","(no cost centre)",H139&amp;" - GL "&amp;IFERROR(INDEX(lst_CCtoGL,MATCH(H139,lst_CCforGL,0)),"?")))</f>
        <v/>
      </c>
      <c r="R139" s="37" t="n"/>
      <c r="S139" s="10">
        <f>IF(R139="","",HYPERLINK(IF(LEFT(R139,4)="http",R139,set_QwilrBase&amp;R139),"Open quote"))</f>
        <v/>
      </c>
      <c r="T139" s="39" t="n"/>
      <c r="U139" s="39" t="n"/>
      <c r="V139" s="39" t="n"/>
      <c r="W139" s="10">
        <f>IF(C139="","",IF(N(T139)+N(U139)+N(V139)=0,"Not split",IF(ROUND(N(T139)+N(U139)+N(V139),2)=ROUND(MAX(N(L139),N(O139)),2),"OK","MISMATCH")))</f>
        <v/>
      </c>
      <c r="X139" s="39" t="n"/>
      <c r="Y139" s="39" t="n"/>
      <c r="Z139" s="39" t="n"/>
      <c r="AA139" s="11">
        <f>IF(C139="","",N(X139)+N(Y139)+N(Z139))</f>
        <v/>
      </c>
      <c r="AB139" s="11">
        <f>IF(C139="","",MAX(N(L139),N(O139))-N(AA139))</f>
        <v/>
      </c>
      <c r="AC139" s="43">
        <f>IFERROR(IF(MAX(N(L139),N(O139))=0,"",AB139/MAX(N(L139),N(O139))),"")</f>
        <v/>
      </c>
      <c r="AD139" s="37" t="n"/>
      <c r="AE139" s="10" t="inlineStr">
        <is>
          <t>CON-0135</t>
        </is>
      </c>
    </row>
    <row r="140">
      <c r="A140" s="16">
        <f>IF($C140="","",IFERROR(IF(INDEX(tbl_Finance[Latest Invoice Date],MATCH($AE140,tbl_Finance[Row ID],0))="","",INDEX(tbl_Finance[Latest Invoice Date],MATCH($AE140,tbl_Finance[Row ID],0))),""))</f>
        <v/>
      </c>
      <c r="B140" s="10">
        <f>IF($C140="","",IFERROR(INDEX(tbl_Finance[Invoice Numbers],MATCH($AE140,tbl_Finance[Row ID],0))&amp;"",""))</f>
        <v/>
      </c>
      <c r="C140" s="37" t="n"/>
      <c r="D140" s="10">
        <f>IF($C140="","",IF(COUNTIF(lst_Jobs,$C140&amp;"")&gt;0,"OK","CHECK"))</f>
        <v/>
      </c>
      <c r="E140" s="10">
        <f>IF($C140="","",IFERROR(INDEX(lst_JobName,MATCH($C140&amp;"",lst_Jobs,0)),""))</f>
        <v/>
      </c>
      <c r="F140" s="37" t="n"/>
      <c r="G140" s="37" t="n"/>
      <c r="H140" s="37" t="n"/>
      <c r="I140" s="37" t="n"/>
      <c r="J140" s="37" t="n"/>
      <c r="K140" s="38">
        <f>IF($C140="","",IFERROR(N(INDEX(tbl_Finance[Invoice Count],MATCH($AE140,tbl_Finance[Row ID],0))),""))</f>
        <v/>
      </c>
      <c r="L140" s="11">
        <f>IF($C140="","",IFERROR(N(INDEX(tbl_Finance[Xero Invoiced Ex GST],MATCH($AE140,tbl_Finance[Row ID],0))),""))</f>
        <v/>
      </c>
      <c r="M140" s="10">
        <f>IF($C140="","",IFERROR(INDEX(tbl_Finance[Compare],MATCH($AE140,tbl_Finance[Row ID],0))&amp;"",""))</f>
        <v/>
      </c>
      <c r="N140" s="11">
        <f>IF($C140="","",MAX(0,N(O140)-N(L140)))</f>
        <v/>
      </c>
      <c r="O140" s="39" t="n"/>
      <c r="P140" s="40">
        <f>IF($C140="","",IF((IF(F140="",", Client","")&amp;IF(G140="",", Description","")&amp;IF(H140="",", Cost Centre","")&amp;IF(I140="",", Invoice Type","")&amp;IF(J140="",", Tax Code","")&amp;IF(O140="",", Expected Revenue","")&amp;IF(COUNTIF(tbl_Finance[Job Number],$C140&amp;"")&gt;1,", Job number used twice",""))="","Complete","Fix: "&amp;MID(IF(F140="",", Client","")&amp;IF(G140="",", Description","")&amp;IF(H140="",", Cost Centre","")&amp;IF(I140="",", Invoice Type","")&amp;IF(J140="",", Tax Code","")&amp;IF(O140="",", Expected Revenue","")&amp;IF(COUNTIF(tbl_Finance[Job Number],$C140&amp;"")&gt;1,", Job number used twice",""),3,300)))</f>
        <v/>
      </c>
      <c r="Q140" s="10">
        <f>IF($C140="","",IF(H140="","(no cost centre)",H140&amp;" - GL "&amp;IFERROR(INDEX(lst_CCtoGL,MATCH(H140,lst_CCforGL,0)),"?")))</f>
        <v/>
      </c>
      <c r="R140" s="37" t="n"/>
      <c r="S140" s="10">
        <f>IF(R140="","",HYPERLINK(IF(LEFT(R140,4)="http",R140,set_QwilrBase&amp;R140),"Open quote"))</f>
        <v/>
      </c>
      <c r="T140" s="39" t="n"/>
      <c r="U140" s="39" t="n"/>
      <c r="V140" s="39" t="n"/>
      <c r="W140" s="10">
        <f>IF(C140="","",IF(N(T140)+N(U140)+N(V140)=0,"Not split",IF(ROUND(N(T140)+N(U140)+N(V140),2)=ROUND(MAX(N(L140),N(O140)),2),"OK","MISMATCH")))</f>
        <v/>
      </c>
      <c r="X140" s="39" t="n"/>
      <c r="Y140" s="39" t="n"/>
      <c r="Z140" s="39" t="n"/>
      <c r="AA140" s="11">
        <f>IF(C140="","",N(X140)+N(Y140)+N(Z140))</f>
        <v/>
      </c>
      <c r="AB140" s="11">
        <f>IF(C140="","",MAX(N(L140),N(O140))-N(AA140))</f>
        <v/>
      </c>
      <c r="AC140" s="43">
        <f>IFERROR(IF(MAX(N(L140),N(O140))=0,"",AB140/MAX(N(L140),N(O140))),"")</f>
        <v/>
      </c>
      <c r="AD140" s="37" t="n"/>
      <c r="AE140" s="10" t="inlineStr">
        <is>
          <t>CON-0136</t>
        </is>
      </c>
    </row>
    <row r="141">
      <c r="A141" s="16">
        <f>IF($C141="","",IFERROR(IF(INDEX(tbl_Finance[Latest Invoice Date],MATCH($AE141,tbl_Finance[Row ID],0))="","",INDEX(tbl_Finance[Latest Invoice Date],MATCH($AE141,tbl_Finance[Row ID],0))),""))</f>
        <v/>
      </c>
      <c r="B141" s="10">
        <f>IF($C141="","",IFERROR(INDEX(tbl_Finance[Invoice Numbers],MATCH($AE141,tbl_Finance[Row ID],0))&amp;"",""))</f>
        <v/>
      </c>
      <c r="C141" s="37" t="n"/>
      <c r="D141" s="10">
        <f>IF($C141="","",IF(COUNTIF(lst_Jobs,$C141&amp;"")&gt;0,"OK","CHECK"))</f>
        <v/>
      </c>
      <c r="E141" s="10">
        <f>IF($C141="","",IFERROR(INDEX(lst_JobName,MATCH($C141&amp;"",lst_Jobs,0)),""))</f>
        <v/>
      </c>
      <c r="F141" s="37" t="n"/>
      <c r="G141" s="37" t="n"/>
      <c r="H141" s="37" t="n"/>
      <c r="I141" s="37" t="n"/>
      <c r="J141" s="37" t="n"/>
      <c r="K141" s="38">
        <f>IF($C141="","",IFERROR(N(INDEX(tbl_Finance[Invoice Count],MATCH($AE141,tbl_Finance[Row ID],0))),""))</f>
        <v/>
      </c>
      <c r="L141" s="11">
        <f>IF($C141="","",IFERROR(N(INDEX(tbl_Finance[Xero Invoiced Ex GST],MATCH($AE141,tbl_Finance[Row ID],0))),""))</f>
        <v/>
      </c>
      <c r="M141" s="10">
        <f>IF($C141="","",IFERROR(INDEX(tbl_Finance[Compare],MATCH($AE141,tbl_Finance[Row ID],0))&amp;"",""))</f>
        <v/>
      </c>
      <c r="N141" s="11">
        <f>IF($C141="","",MAX(0,N(O141)-N(L141)))</f>
        <v/>
      </c>
      <c r="O141" s="39" t="n"/>
      <c r="P141" s="40">
        <f>IF($C141="","",IF((IF(F141="",", Client","")&amp;IF(G141="",", Description","")&amp;IF(H141="",", Cost Centre","")&amp;IF(I141="",", Invoice Type","")&amp;IF(J141="",", Tax Code","")&amp;IF(O141="",", Expected Revenue","")&amp;IF(COUNTIF(tbl_Finance[Job Number],$C141&amp;"")&gt;1,", Job number used twice",""))="","Complete","Fix: "&amp;MID(IF(F141="",", Client","")&amp;IF(G141="",", Description","")&amp;IF(H141="",", Cost Centre","")&amp;IF(I141="",", Invoice Type","")&amp;IF(J141="",", Tax Code","")&amp;IF(O141="",", Expected Revenue","")&amp;IF(COUNTIF(tbl_Finance[Job Number],$C141&amp;"")&gt;1,", Job number used twice",""),3,300)))</f>
        <v/>
      </c>
      <c r="Q141" s="10">
        <f>IF($C141="","",IF(H141="","(no cost centre)",H141&amp;" - GL "&amp;IFERROR(INDEX(lst_CCtoGL,MATCH(H141,lst_CCforGL,0)),"?")))</f>
        <v/>
      </c>
      <c r="R141" s="37" t="n"/>
      <c r="S141" s="10">
        <f>IF(R141="","",HYPERLINK(IF(LEFT(R141,4)="http",R141,set_QwilrBase&amp;R141),"Open quote"))</f>
        <v/>
      </c>
      <c r="T141" s="39" t="n"/>
      <c r="U141" s="39" t="n"/>
      <c r="V141" s="39" t="n"/>
      <c r="W141" s="10">
        <f>IF(C141="","",IF(N(T141)+N(U141)+N(V141)=0,"Not split",IF(ROUND(N(T141)+N(U141)+N(V141),2)=ROUND(MAX(N(L141),N(O141)),2),"OK","MISMATCH")))</f>
        <v/>
      </c>
      <c r="X141" s="39" t="n"/>
      <c r="Y141" s="39" t="n"/>
      <c r="Z141" s="39" t="n"/>
      <c r="AA141" s="11">
        <f>IF(C141="","",N(X141)+N(Y141)+N(Z141))</f>
        <v/>
      </c>
      <c r="AB141" s="11">
        <f>IF(C141="","",MAX(N(L141),N(O141))-N(AA141))</f>
        <v/>
      </c>
      <c r="AC141" s="43">
        <f>IFERROR(IF(MAX(N(L141),N(O141))=0,"",AB141/MAX(N(L141),N(O141))),"")</f>
        <v/>
      </c>
      <c r="AD141" s="37" t="n"/>
      <c r="AE141" s="10" t="inlineStr">
        <is>
          <t>CON-0137</t>
        </is>
      </c>
    </row>
    <row r="142">
      <c r="A142" s="16">
        <f>IF($C142="","",IFERROR(IF(INDEX(tbl_Finance[Latest Invoice Date],MATCH($AE142,tbl_Finance[Row ID],0))="","",INDEX(tbl_Finance[Latest Invoice Date],MATCH($AE142,tbl_Finance[Row ID],0))),""))</f>
        <v/>
      </c>
      <c r="B142" s="10">
        <f>IF($C142="","",IFERROR(INDEX(tbl_Finance[Invoice Numbers],MATCH($AE142,tbl_Finance[Row ID],0))&amp;"",""))</f>
        <v/>
      </c>
      <c r="C142" s="37" t="n"/>
      <c r="D142" s="10">
        <f>IF($C142="","",IF(COUNTIF(lst_Jobs,$C142&amp;"")&gt;0,"OK","CHECK"))</f>
        <v/>
      </c>
      <c r="E142" s="10">
        <f>IF($C142="","",IFERROR(INDEX(lst_JobName,MATCH($C142&amp;"",lst_Jobs,0)),""))</f>
        <v/>
      </c>
      <c r="F142" s="37" t="n"/>
      <c r="G142" s="37" t="n"/>
      <c r="H142" s="37" t="n"/>
      <c r="I142" s="37" t="n"/>
      <c r="J142" s="37" t="n"/>
      <c r="K142" s="38">
        <f>IF($C142="","",IFERROR(N(INDEX(tbl_Finance[Invoice Count],MATCH($AE142,tbl_Finance[Row ID],0))),""))</f>
        <v/>
      </c>
      <c r="L142" s="11">
        <f>IF($C142="","",IFERROR(N(INDEX(tbl_Finance[Xero Invoiced Ex GST],MATCH($AE142,tbl_Finance[Row ID],0))),""))</f>
        <v/>
      </c>
      <c r="M142" s="10">
        <f>IF($C142="","",IFERROR(INDEX(tbl_Finance[Compare],MATCH($AE142,tbl_Finance[Row ID],0))&amp;"",""))</f>
        <v/>
      </c>
      <c r="N142" s="11">
        <f>IF($C142="","",MAX(0,N(O142)-N(L142)))</f>
        <v/>
      </c>
      <c r="O142" s="39" t="n"/>
      <c r="P142" s="40">
        <f>IF($C142="","",IF((IF(F142="",", Client","")&amp;IF(G142="",", Description","")&amp;IF(H142="",", Cost Centre","")&amp;IF(I142="",", Invoice Type","")&amp;IF(J142="",", Tax Code","")&amp;IF(O142="",", Expected Revenue","")&amp;IF(COUNTIF(tbl_Finance[Job Number],$C142&amp;"")&gt;1,", Job number used twice",""))="","Complete","Fix: "&amp;MID(IF(F142="",", Client","")&amp;IF(G142="",", Description","")&amp;IF(H142="",", Cost Centre","")&amp;IF(I142="",", Invoice Type","")&amp;IF(J142="",", Tax Code","")&amp;IF(O142="",", Expected Revenue","")&amp;IF(COUNTIF(tbl_Finance[Job Number],$C142&amp;"")&gt;1,", Job number used twice",""),3,300)))</f>
        <v/>
      </c>
      <c r="Q142" s="10">
        <f>IF($C142="","",IF(H142="","(no cost centre)",H142&amp;" - GL "&amp;IFERROR(INDEX(lst_CCtoGL,MATCH(H142,lst_CCforGL,0)),"?")))</f>
        <v/>
      </c>
      <c r="R142" s="37" t="n"/>
      <c r="S142" s="10">
        <f>IF(R142="","",HYPERLINK(IF(LEFT(R142,4)="http",R142,set_QwilrBase&amp;R142),"Open quote"))</f>
        <v/>
      </c>
      <c r="T142" s="39" t="n"/>
      <c r="U142" s="39" t="n"/>
      <c r="V142" s="39" t="n"/>
      <c r="W142" s="10">
        <f>IF(C142="","",IF(N(T142)+N(U142)+N(V142)=0,"Not split",IF(ROUND(N(T142)+N(U142)+N(V142),2)=ROUND(MAX(N(L142),N(O142)),2),"OK","MISMATCH")))</f>
        <v/>
      </c>
      <c r="X142" s="39" t="n"/>
      <c r="Y142" s="39" t="n"/>
      <c r="Z142" s="39" t="n"/>
      <c r="AA142" s="11">
        <f>IF(C142="","",N(X142)+N(Y142)+N(Z142))</f>
        <v/>
      </c>
      <c r="AB142" s="11">
        <f>IF(C142="","",MAX(N(L142),N(O142))-N(AA142))</f>
        <v/>
      </c>
      <c r="AC142" s="43">
        <f>IFERROR(IF(MAX(N(L142),N(O142))=0,"",AB142/MAX(N(L142),N(O142))),"")</f>
        <v/>
      </c>
      <c r="AD142" s="37" t="n"/>
      <c r="AE142" s="10" t="inlineStr">
        <is>
          <t>CON-0138</t>
        </is>
      </c>
    </row>
    <row r="143">
      <c r="A143" s="16">
        <f>IF($C143="","",IFERROR(IF(INDEX(tbl_Finance[Latest Invoice Date],MATCH($AE143,tbl_Finance[Row ID],0))="","",INDEX(tbl_Finance[Latest Invoice Date],MATCH($AE143,tbl_Finance[Row ID],0))),""))</f>
        <v/>
      </c>
      <c r="B143" s="10">
        <f>IF($C143="","",IFERROR(INDEX(tbl_Finance[Invoice Numbers],MATCH($AE143,tbl_Finance[Row ID],0))&amp;"",""))</f>
        <v/>
      </c>
      <c r="C143" s="37" t="n"/>
      <c r="D143" s="10">
        <f>IF($C143="","",IF(COUNTIF(lst_Jobs,$C143&amp;"")&gt;0,"OK","CHECK"))</f>
        <v/>
      </c>
      <c r="E143" s="10">
        <f>IF($C143="","",IFERROR(INDEX(lst_JobName,MATCH($C143&amp;"",lst_Jobs,0)),""))</f>
        <v/>
      </c>
      <c r="F143" s="37" t="n"/>
      <c r="G143" s="37" t="n"/>
      <c r="H143" s="37" t="n"/>
      <c r="I143" s="37" t="n"/>
      <c r="J143" s="37" t="n"/>
      <c r="K143" s="38">
        <f>IF($C143="","",IFERROR(N(INDEX(tbl_Finance[Invoice Count],MATCH($AE143,tbl_Finance[Row ID],0))),""))</f>
        <v/>
      </c>
      <c r="L143" s="11">
        <f>IF($C143="","",IFERROR(N(INDEX(tbl_Finance[Xero Invoiced Ex GST],MATCH($AE143,tbl_Finance[Row ID],0))),""))</f>
        <v/>
      </c>
      <c r="M143" s="10">
        <f>IF($C143="","",IFERROR(INDEX(tbl_Finance[Compare],MATCH($AE143,tbl_Finance[Row ID],0))&amp;"",""))</f>
        <v/>
      </c>
      <c r="N143" s="11">
        <f>IF($C143="","",MAX(0,N(O143)-N(L143)))</f>
        <v/>
      </c>
      <c r="O143" s="39" t="n"/>
      <c r="P143" s="40">
        <f>IF($C143="","",IF((IF(F143="",", Client","")&amp;IF(G143="",", Description","")&amp;IF(H143="",", Cost Centre","")&amp;IF(I143="",", Invoice Type","")&amp;IF(J143="",", Tax Code","")&amp;IF(O143="",", Expected Revenue","")&amp;IF(COUNTIF(tbl_Finance[Job Number],$C143&amp;"")&gt;1,", Job number used twice",""))="","Complete","Fix: "&amp;MID(IF(F143="",", Client","")&amp;IF(G143="",", Description","")&amp;IF(H143="",", Cost Centre","")&amp;IF(I143="",", Invoice Type","")&amp;IF(J143="",", Tax Code","")&amp;IF(O143="",", Expected Revenue","")&amp;IF(COUNTIF(tbl_Finance[Job Number],$C143&amp;"")&gt;1,", Job number used twice",""),3,300)))</f>
        <v/>
      </c>
      <c r="Q143" s="10">
        <f>IF($C143="","",IF(H143="","(no cost centre)",H143&amp;" - GL "&amp;IFERROR(INDEX(lst_CCtoGL,MATCH(H143,lst_CCforGL,0)),"?")))</f>
        <v/>
      </c>
      <c r="R143" s="37" t="n"/>
      <c r="S143" s="10">
        <f>IF(R143="","",HYPERLINK(IF(LEFT(R143,4)="http",R143,set_QwilrBase&amp;R143),"Open quote"))</f>
        <v/>
      </c>
      <c r="T143" s="39" t="n"/>
      <c r="U143" s="39" t="n"/>
      <c r="V143" s="39" t="n"/>
      <c r="W143" s="10">
        <f>IF(C143="","",IF(N(T143)+N(U143)+N(V143)=0,"Not split",IF(ROUND(N(T143)+N(U143)+N(V143),2)=ROUND(MAX(N(L143),N(O143)),2),"OK","MISMATCH")))</f>
        <v/>
      </c>
      <c r="X143" s="39" t="n"/>
      <c r="Y143" s="39" t="n"/>
      <c r="Z143" s="39" t="n"/>
      <c r="AA143" s="11">
        <f>IF(C143="","",N(X143)+N(Y143)+N(Z143))</f>
        <v/>
      </c>
      <c r="AB143" s="11">
        <f>IF(C143="","",MAX(N(L143),N(O143))-N(AA143))</f>
        <v/>
      </c>
      <c r="AC143" s="43">
        <f>IFERROR(IF(MAX(N(L143),N(O143))=0,"",AB143/MAX(N(L143),N(O143))),"")</f>
        <v/>
      </c>
      <c r="AD143" s="37" t="n"/>
      <c r="AE143" s="10" t="inlineStr">
        <is>
          <t>CON-0139</t>
        </is>
      </c>
    </row>
    <row r="144">
      <c r="A144" s="16">
        <f>IF($C144="","",IFERROR(IF(INDEX(tbl_Finance[Latest Invoice Date],MATCH($AE144,tbl_Finance[Row ID],0))="","",INDEX(tbl_Finance[Latest Invoice Date],MATCH($AE144,tbl_Finance[Row ID],0))),""))</f>
        <v/>
      </c>
      <c r="B144" s="10">
        <f>IF($C144="","",IFERROR(INDEX(tbl_Finance[Invoice Numbers],MATCH($AE144,tbl_Finance[Row ID],0))&amp;"",""))</f>
        <v/>
      </c>
      <c r="C144" s="37" t="n"/>
      <c r="D144" s="10">
        <f>IF($C144="","",IF(COUNTIF(lst_Jobs,$C144&amp;"")&gt;0,"OK","CHECK"))</f>
        <v/>
      </c>
      <c r="E144" s="10">
        <f>IF($C144="","",IFERROR(INDEX(lst_JobName,MATCH($C144&amp;"",lst_Jobs,0)),""))</f>
        <v/>
      </c>
      <c r="F144" s="37" t="n"/>
      <c r="G144" s="37" t="n"/>
      <c r="H144" s="37" t="n"/>
      <c r="I144" s="37" t="n"/>
      <c r="J144" s="37" t="n"/>
      <c r="K144" s="38">
        <f>IF($C144="","",IFERROR(N(INDEX(tbl_Finance[Invoice Count],MATCH($AE144,tbl_Finance[Row ID],0))),""))</f>
        <v/>
      </c>
      <c r="L144" s="11">
        <f>IF($C144="","",IFERROR(N(INDEX(tbl_Finance[Xero Invoiced Ex GST],MATCH($AE144,tbl_Finance[Row ID],0))),""))</f>
        <v/>
      </c>
      <c r="M144" s="10">
        <f>IF($C144="","",IFERROR(INDEX(tbl_Finance[Compare],MATCH($AE144,tbl_Finance[Row ID],0))&amp;"",""))</f>
        <v/>
      </c>
      <c r="N144" s="11">
        <f>IF($C144="","",MAX(0,N(O144)-N(L144)))</f>
        <v/>
      </c>
      <c r="O144" s="39" t="n"/>
      <c r="P144" s="40">
        <f>IF($C144="","",IF((IF(F144="",", Client","")&amp;IF(G144="",", Description","")&amp;IF(H144="",", Cost Centre","")&amp;IF(I144="",", Invoice Type","")&amp;IF(J144="",", Tax Code","")&amp;IF(O144="",", Expected Revenue","")&amp;IF(COUNTIF(tbl_Finance[Job Number],$C144&amp;"")&gt;1,", Job number used twice",""))="","Complete","Fix: "&amp;MID(IF(F144="",", Client","")&amp;IF(G144="",", Description","")&amp;IF(H144="",", Cost Centre","")&amp;IF(I144="",", Invoice Type","")&amp;IF(J144="",", Tax Code","")&amp;IF(O144="",", Expected Revenue","")&amp;IF(COUNTIF(tbl_Finance[Job Number],$C144&amp;"")&gt;1,", Job number used twice",""),3,300)))</f>
        <v/>
      </c>
      <c r="Q144" s="10">
        <f>IF($C144="","",IF(H144="","(no cost centre)",H144&amp;" - GL "&amp;IFERROR(INDEX(lst_CCtoGL,MATCH(H144,lst_CCforGL,0)),"?")))</f>
        <v/>
      </c>
      <c r="R144" s="37" t="n"/>
      <c r="S144" s="10">
        <f>IF(R144="","",HYPERLINK(IF(LEFT(R144,4)="http",R144,set_QwilrBase&amp;R144),"Open quote"))</f>
        <v/>
      </c>
      <c r="T144" s="39" t="n"/>
      <c r="U144" s="39" t="n"/>
      <c r="V144" s="39" t="n"/>
      <c r="W144" s="10">
        <f>IF(C144="","",IF(N(T144)+N(U144)+N(V144)=0,"Not split",IF(ROUND(N(T144)+N(U144)+N(V144),2)=ROUND(MAX(N(L144),N(O144)),2),"OK","MISMATCH")))</f>
        <v/>
      </c>
      <c r="X144" s="39" t="n"/>
      <c r="Y144" s="39" t="n"/>
      <c r="Z144" s="39" t="n"/>
      <c r="AA144" s="11">
        <f>IF(C144="","",N(X144)+N(Y144)+N(Z144))</f>
        <v/>
      </c>
      <c r="AB144" s="11">
        <f>IF(C144="","",MAX(N(L144),N(O144))-N(AA144))</f>
        <v/>
      </c>
      <c r="AC144" s="43">
        <f>IFERROR(IF(MAX(N(L144),N(O144))=0,"",AB144/MAX(N(L144),N(O144))),"")</f>
        <v/>
      </c>
      <c r="AD144" s="37" t="n"/>
      <c r="AE144" s="10" t="inlineStr">
        <is>
          <t>CON-0140</t>
        </is>
      </c>
    </row>
    <row r="145">
      <c r="A145" s="16">
        <f>IF($C145="","",IFERROR(IF(INDEX(tbl_Finance[Latest Invoice Date],MATCH($AE145,tbl_Finance[Row ID],0))="","",INDEX(tbl_Finance[Latest Invoice Date],MATCH($AE145,tbl_Finance[Row ID],0))),""))</f>
        <v/>
      </c>
      <c r="B145" s="10">
        <f>IF($C145="","",IFERROR(INDEX(tbl_Finance[Invoice Numbers],MATCH($AE145,tbl_Finance[Row ID],0))&amp;"",""))</f>
        <v/>
      </c>
      <c r="C145" s="37" t="n"/>
      <c r="D145" s="10">
        <f>IF($C145="","",IF(COUNTIF(lst_Jobs,$C145&amp;"")&gt;0,"OK","CHECK"))</f>
        <v/>
      </c>
      <c r="E145" s="10">
        <f>IF($C145="","",IFERROR(INDEX(lst_JobName,MATCH($C145&amp;"",lst_Jobs,0)),""))</f>
        <v/>
      </c>
      <c r="F145" s="37" t="n"/>
      <c r="G145" s="37" t="n"/>
      <c r="H145" s="37" t="n"/>
      <c r="I145" s="37" t="n"/>
      <c r="J145" s="37" t="n"/>
      <c r="K145" s="38">
        <f>IF($C145="","",IFERROR(N(INDEX(tbl_Finance[Invoice Count],MATCH($AE145,tbl_Finance[Row ID],0))),""))</f>
        <v/>
      </c>
      <c r="L145" s="11">
        <f>IF($C145="","",IFERROR(N(INDEX(tbl_Finance[Xero Invoiced Ex GST],MATCH($AE145,tbl_Finance[Row ID],0))),""))</f>
        <v/>
      </c>
      <c r="M145" s="10">
        <f>IF($C145="","",IFERROR(INDEX(tbl_Finance[Compare],MATCH($AE145,tbl_Finance[Row ID],0))&amp;"",""))</f>
        <v/>
      </c>
      <c r="N145" s="11">
        <f>IF($C145="","",MAX(0,N(O145)-N(L145)))</f>
        <v/>
      </c>
      <c r="O145" s="39" t="n"/>
      <c r="P145" s="40">
        <f>IF($C145="","",IF((IF(F145="",", Client","")&amp;IF(G145="",", Description","")&amp;IF(H145="",", Cost Centre","")&amp;IF(I145="",", Invoice Type","")&amp;IF(J145="",", Tax Code","")&amp;IF(O145="",", Expected Revenue","")&amp;IF(COUNTIF(tbl_Finance[Job Number],$C145&amp;"")&gt;1,", Job number used twice",""))="","Complete","Fix: "&amp;MID(IF(F145="",", Client","")&amp;IF(G145="",", Description","")&amp;IF(H145="",", Cost Centre","")&amp;IF(I145="",", Invoice Type","")&amp;IF(J145="",", Tax Code","")&amp;IF(O145="",", Expected Revenue","")&amp;IF(COUNTIF(tbl_Finance[Job Number],$C145&amp;"")&gt;1,", Job number used twice",""),3,300)))</f>
        <v/>
      </c>
      <c r="Q145" s="10">
        <f>IF($C145="","",IF(H145="","(no cost centre)",H145&amp;" - GL "&amp;IFERROR(INDEX(lst_CCtoGL,MATCH(H145,lst_CCforGL,0)),"?")))</f>
        <v/>
      </c>
      <c r="R145" s="37" t="n"/>
      <c r="S145" s="10">
        <f>IF(R145="","",HYPERLINK(IF(LEFT(R145,4)="http",R145,set_QwilrBase&amp;R145),"Open quote"))</f>
        <v/>
      </c>
      <c r="T145" s="39" t="n"/>
      <c r="U145" s="39" t="n"/>
      <c r="V145" s="39" t="n"/>
      <c r="W145" s="10">
        <f>IF(C145="","",IF(N(T145)+N(U145)+N(V145)=0,"Not split",IF(ROUND(N(T145)+N(U145)+N(V145),2)=ROUND(MAX(N(L145),N(O145)),2),"OK","MISMATCH")))</f>
        <v/>
      </c>
      <c r="X145" s="39" t="n"/>
      <c r="Y145" s="39" t="n"/>
      <c r="Z145" s="39" t="n"/>
      <c r="AA145" s="11">
        <f>IF(C145="","",N(X145)+N(Y145)+N(Z145))</f>
        <v/>
      </c>
      <c r="AB145" s="11">
        <f>IF(C145="","",MAX(N(L145),N(O145))-N(AA145))</f>
        <v/>
      </c>
      <c r="AC145" s="43">
        <f>IFERROR(IF(MAX(N(L145),N(O145))=0,"",AB145/MAX(N(L145),N(O145))),"")</f>
        <v/>
      </c>
      <c r="AD145" s="37" t="n"/>
      <c r="AE145" s="10" t="inlineStr">
        <is>
          <t>CON-0141</t>
        </is>
      </c>
    </row>
    <row r="146">
      <c r="A146" s="16">
        <f>IF($C146="","",IFERROR(IF(INDEX(tbl_Finance[Latest Invoice Date],MATCH($AE146,tbl_Finance[Row ID],0))="","",INDEX(tbl_Finance[Latest Invoice Date],MATCH($AE146,tbl_Finance[Row ID],0))),""))</f>
        <v/>
      </c>
      <c r="B146" s="10">
        <f>IF($C146="","",IFERROR(INDEX(tbl_Finance[Invoice Numbers],MATCH($AE146,tbl_Finance[Row ID],0))&amp;"",""))</f>
        <v/>
      </c>
      <c r="C146" s="37" t="n"/>
      <c r="D146" s="10">
        <f>IF($C146="","",IF(COUNTIF(lst_Jobs,$C146&amp;"")&gt;0,"OK","CHECK"))</f>
        <v/>
      </c>
      <c r="E146" s="10">
        <f>IF($C146="","",IFERROR(INDEX(lst_JobName,MATCH($C146&amp;"",lst_Jobs,0)),""))</f>
        <v/>
      </c>
      <c r="F146" s="37" t="n"/>
      <c r="G146" s="37" t="n"/>
      <c r="H146" s="37" t="n"/>
      <c r="I146" s="37" t="n"/>
      <c r="J146" s="37" t="n"/>
      <c r="K146" s="38">
        <f>IF($C146="","",IFERROR(N(INDEX(tbl_Finance[Invoice Count],MATCH($AE146,tbl_Finance[Row ID],0))),""))</f>
        <v/>
      </c>
      <c r="L146" s="11">
        <f>IF($C146="","",IFERROR(N(INDEX(tbl_Finance[Xero Invoiced Ex GST],MATCH($AE146,tbl_Finance[Row ID],0))),""))</f>
        <v/>
      </c>
      <c r="M146" s="10">
        <f>IF($C146="","",IFERROR(INDEX(tbl_Finance[Compare],MATCH($AE146,tbl_Finance[Row ID],0))&amp;"",""))</f>
        <v/>
      </c>
      <c r="N146" s="11">
        <f>IF($C146="","",MAX(0,N(O146)-N(L146)))</f>
        <v/>
      </c>
      <c r="O146" s="39" t="n"/>
      <c r="P146" s="40">
        <f>IF($C146="","",IF((IF(F146="",", Client","")&amp;IF(G146="",", Description","")&amp;IF(H146="",", Cost Centre","")&amp;IF(I146="",", Invoice Type","")&amp;IF(J146="",", Tax Code","")&amp;IF(O146="",", Expected Revenue","")&amp;IF(COUNTIF(tbl_Finance[Job Number],$C146&amp;"")&gt;1,", Job number used twice",""))="","Complete","Fix: "&amp;MID(IF(F146="",", Client","")&amp;IF(G146="",", Description","")&amp;IF(H146="",", Cost Centre","")&amp;IF(I146="",", Invoice Type","")&amp;IF(J146="",", Tax Code","")&amp;IF(O146="",", Expected Revenue","")&amp;IF(COUNTIF(tbl_Finance[Job Number],$C146&amp;"")&gt;1,", Job number used twice",""),3,300)))</f>
        <v/>
      </c>
      <c r="Q146" s="10">
        <f>IF($C146="","",IF(H146="","(no cost centre)",H146&amp;" - GL "&amp;IFERROR(INDEX(lst_CCtoGL,MATCH(H146,lst_CCforGL,0)),"?")))</f>
        <v/>
      </c>
      <c r="R146" s="37" t="n"/>
      <c r="S146" s="10">
        <f>IF(R146="","",HYPERLINK(IF(LEFT(R146,4)="http",R146,set_QwilrBase&amp;R146),"Open quote"))</f>
        <v/>
      </c>
      <c r="T146" s="39" t="n"/>
      <c r="U146" s="39" t="n"/>
      <c r="V146" s="39" t="n"/>
      <c r="W146" s="10">
        <f>IF(C146="","",IF(N(T146)+N(U146)+N(V146)=0,"Not split",IF(ROUND(N(T146)+N(U146)+N(V146),2)=ROUND(MAX(N(L146),N(O146)),2),"OK","MISMATCH")))</f>
        <v/>
      </c>
      <c r="X146" s="39" t="n"/>
      <c r="Y146" s="39" t="n"/>
      <c r="Z146" s="39" t="n"/>
      <c r="AA146" s="11">
        <f>IF(C146="","",N(X146)+N(Y146)+N(Z146))</f>
        <v/>
      </c>
      <c r="AB146" s="11">
        <f>IF(C146="","",MAX(N(L146),N(O146))-N(AA146))</f>
        <v/>
      </c>
      <c r="AC146" s="43">
        <f>IFERROR(IF(MAX(N(L146),N(O146))=0,"",AB146/MAX(N(L146),N(O146))),"")</f>
        <v/>
      </c>
      <c r="AD146" s="37" t="n"/>
      <c r="AE146" s="10" t="inlineStr">
        <is>
          <t>CON-0142</t>
        </is>
      </c>
    </row>
    <row r="147">
      <c r="A147" s="16">
        <f>IF($C147="","",IFERROR(IF(INDEX(tbl_Finance[Latest Invoice Date],MATCH($AE147,tbl_Finance[Row ID],0))="","",INDEX(tbl_Finance[Latest Invoice Date],MATCH($AE147,tbl_Finance[Row ID],0))),""))</f>
        <v/>
      </c>
      <c r="B147" s="10">
        <f>IF($C147="","",IFERROR(INDEX(tbl_Finance[Invoice Numbers],MATCH($AE147,tbl_Finance[Row ID],0))&amp;"",""))</f>
        <v/>
      </c>
      <c r="C147" s="37" t="n"/>
      <c r="D147" s="10">
        <f>IF($C147="","",IF(COUNTIF(lst_Jobs,$C147&amp;"")&gt;0,"OK","CHECK"))</f>
        <v/>
      </c>
      <c r="E147" s="10">
        <f>IF($C147="","",IFERROR(INDEX(lst_JobName,MATCH($C147&amp;"",lst_Jobs,0)),""))</f>
        <v/>
      </c>
      <c r="F147" s="37" t="n"/>
      <c r="G147" s="37" t="n"/>
      <c r="H147" s="37" t="n"/>
      <c r="I147" s="37" t="n"/>
      <c r="J147" s="37" t="n"/>
      <c r="K147" s="38">
        <f>IF($C147="","",IFERROR(N(INDEX(tbl_Finance[Invoice Count],MATCH($AE147,tbl_Finance[Row ID],0))),""))</f>
        <v/>
      </c>
      <c r="L147" s="11">
        <f>IF($C147="","",IFERROR(N(INDEX(tbl_Finance[Xero Invoiced Ex GST],MATCH($AE147,tbl_Finance[Row ID],0))),""))</f>
        <v/>
      </c>
      <c r="M147" s="10">
        <f>IF($C147="","",IFERROR(INDEX(tbl_Finance[Compare],MATCH($AE147,tbl_Finance[Row ID],0))&amp;"",""))</f>
        <v/>
      </c>
      <c r="N147" s="11">
        <f>IF($C147="","",MAX(0,N(O147)-N(L147)))</f>
        <v/>
      </c>
      <c r="O147" s="39" t="n"/>
      <c r="P147" s="40">
        <f>IF($C147="","",IF((IF(F147="",", Client","")&amp;IF(G147="",", Description","")&amp;IF(H147="",", Cost Centre","")&amp;IF(I147="",", Invoice Type","")&amp;IF(J147="",", Tax Code","")&amp;IF(O147="",", Expected Revenue","")&amp;IF(COUNTIF(tbl_Finance[Job Number],$C147&amp;"")&gt;1,", Job number used twice",""))="","Complete","Fix: "&amp;MID(IF(F147="",", Client","")&amp;IF(G147="",", Description","")&amp;IF(H147="",", Cost Centre","")&amp;IF(I147="",", Invoice Type","")&amp;IF(J147="",", Tax Code","")&amp;IF(O147="",", Expected Revenue","")&amp;IF(COUNTIF(tbl_Finance[Job Number],$C147&amp;"")&gt;1,", Job number used twice",""),3,300)))</f>
        <v/>
      </c>
      <c r="Q147" s="10">
        <f>IF($C147="","",IF(H147="","(no cost centre)",H147&amp;" - GL "&amp;IFERROR(INDEX(lst_CCtoGL,MATCH(H147,lst_CCforGL,0)),"?")))</f>
        <v/>
      </c>
      <c r="R147" s="37" t="n"/>
      <c r="S147" s="10">
        <f>IF(R147="","",HYPERLINK(IF(LEFT(R147,4)="http",R147,set_QwilrBase&amp;R147),"Open quote"))</f>
        <v/>
      </c>
      <c r="T147" s="39" t="n"/>
      <c r="U147" s="39" t="n"/>
      <c r="V147" s="39" t="n"/>
      <c r="W147" s="10">
        <f>IF(C147="","",IF(N(T147)+N(U147)+N(V147)=0,"Not split",IF(ROUND(N(T147)+N(U147)+N(V147),2)=ROUND(MAX(N(L147),N(O147)),2),"OK","MISMATCH")))</f>
        <v/>
      </c>
      <c r="X147" s="39" t="n"/>
      <c r="Y147" s="39" t="n"/>
      <c r="Z147" s="39" t="n"/>
      <c r="AA147" s="11">
        <f>IF(C147="","",N(X147)+N(Y147)+N(Z147))</f>
        <v/>
      </c>
      <c r="AB147" s="11">
        <f>IF(C147="","",MAX(N(L147),N(O147))-N(AA147))</f>
        <v/>
      </c>
      <c r="AC147" s="43">
        <f>IFERROR(IF(MAX(N(L147),N(O147))=0,"",AB147/MAX(N(L147),N(O147))),"")</f>
        <v/>
      </c>
      <c r="AD147" s="37" t="n"/>
      <c r="AE147" s="10" t="inlineStr">
        <is>
          <t>CON-0143</t>
        </is>
      </c>
    </row>
    <row r="148">
      <c r="A148" s="16">
        <f>IF($C148="","",IFERROR(IF(INDEX(tbl_Finance[Latest Invoice Date],MATCH($AE148,tbl_Finance[Row ID],0))="","",INDEX(tbl_Finance[Latest Invoice Date],MATCH($AE148,tbl_Finance[Row ID],0))),""))</f>
        <v/>
      </c>
      <c r="B148" s="10">
        <f>IF($C148="","",IFERROR(INDEX(tbl_Finance[Invoice Numbers],MATCH($AE148,tbl_Finance[Row ID],0))&amp;"",""))</f>
        <v/>
      </c>
      <c r="C148" s="37" t="n"/>
      <c r="D148" s="10">
        <f>IF($C148="","",IF(COUNTIF(lst_Jobs,$C148&amp;"")&gt;0,"OK","CHECK"))</f>
        <v/>
      </c>
      <c r="E148" s="10">
        <f>IF($C148="","",IFERROR(INDEX(lst_JobName,MATCH($C148&amp;"",lst_Jobs,0)),""))</f>
        <v/>
      </c>
      <c r="F148" s="37" t="n"/>
      <c r="G148" s="37" t="n"/>
      <c r="H148" s="37" t="n"/>
      <c r="I148" s="37" t="n"/>
      <c r="J148" s="37" t="n"/>
      <c r="K148" s="38">
        <f>IF($C148="","",IFERROR(N(INDEX(tbl_Finance[Invoice Count],MATCH($AE148,tbl_Finance[Row ID],0))),""))</f>
        <v/>
      </c>
      <c r="L148" s="11">
        <f>IF($C148="","",IFERROR(N(INDEX(tbl_Finance[Xero Invoiced Ex GST],MATCH($AE148,tbl_Finance[Row ID],0))),""))</f>
        <v/>
      </c>
      <c r="M148" s="10">
        <f>IF($C148="","",IFERROR(INDEX(tbl_Finance[Compare],MATCH($AE148,tbl_Finance[Row ID],0))&amp;"",""))</f>
        <v/>
      </c>
      <c r="N148" s="11">
        <f>IF($C148="","",MAX(0,N(O148)-N(L148)))</f>
        <v/>
      </c>
      <c r="O148" s="39" t="n"/>
      <c r="P148" s="40">
        <f>IF($C148="","",IF((IF(F148="",", Client","")&amp;IF(G148="",", Description","")&amp;IF(H148="",", Cost Centre","")&amp;IF(I148="",", Invoice Type","")&amp;IF(J148="",", Tax Code","")&amp;IF(O148="",", Expected Revenue","")&amp;IF(COUNTIF(tbl_Finance[Job Number],$C148&amp;"")&gt;1,", Job number used twice",""))="","Complete","Fix: "&amp;MID(IF(F148="",", Client","")&amp;IF(G148="",", Description","")&amp;IF(H148="",", Cost Centre","")&amp;IF(I148="",", Invoice Type","")&amp;IF(J148="",", Tax Code","")&amp;IF(O148="",", Expected Revenue","")&amp;IF(COUNTIF(tbl_Finance[Job Number],$C148&amp;"")&gt;1,", Job number used twice",""),3,300)))</f>
        <v/>
      </c>
      <c r="Q148" s="10">
        <f>IF($C148="","",IF(H148="","(no cost centre)",H148&amp;" - GL "&amp;IFERROR(INDEX(lst_CCtoGL,MATCH(H148,lst_CCforGL,0)),"?")))</f>
        <v/>
      </c>
      <c r="R148" s="37" t="n"/>
      <c r="S148" s="10">
        <f>IF(R148="","",HYPERLINK(IF(LEFT(R148,4)="http",R148,set_QwilrBase&amp;R148),"Open quote"))</f>
        <v/>
      </c>
      <c r="T148" s="39" t="n"/>
      <c r="U148" s="39" t="n"/>
      <c r="V148" s="39" t="n"/>
      <c r="W148" s="10">
        <f>IF(C148="","",IF(N(T148)+N(U148)+N(V148)=0,"Not split",IF(ROUND(N(T148)+N(U148)+N(V148),2)=ROUND(MAX(N(L148),N(O148)),2),"OK","MISMATCH")))</f>
        <v/>
      </c>
      <c r="X148" s="39" t="n"/>
      <c r="Y148" s="39" t="n"/>
      <c r="Z148" s="39" t="n"/>
      <c r="AA148" s="11">
        <f>IF(C148="","",N(X148)+N(Y148)+N(Z148))</f>
        <v/>
      </c>
      <c r="AB148" s="11">
        <f>IF(C148="","",MAX(N(L148),N(O148))-N(AA148))</f>
        <v/>
      </c>
      <c r="AC148" s="43">
        <f>IFERROR(IF(MAX(N(L148),N(O148))=0,"",AB148/MAX(N(L148),N(O148))),"")</f>
        <v/>
      </c>
      <c r="AD148" s="37" t="n"/>
      <c r="AE148" s="10" t="inlineStr">
        <is>
          <t>CON-0144</t>
        </is>
      </c>
    </row>
    <row r="149">
      <c r="A149" s="16">
        <f>IF($C149="","",IFERROR(IF(INDEX(tbl_Finance[Latest Invoice Date],MATCH($AE149,tbl_Finance[Row ID],0))="","",INDEX(tbl_Finance[Latest Invoice Date],MATCH($AE149,tbl_Finance[Row ID],0))),""))</f>
        <v/>
      </c>
      <c r="B149" s="10">
        <f>IF($C149="","",IFERROR(INDEX(tbl_Finance[Invoice Numbers],MATCH($AE149,tbl_Finance[Row ID],0))&amp;"",""))</f>
        <v/>
      </c>
      <c r="C149" s="37" t="n"/>
      <c r="D149" s="10">
        <f>IF($C149="","",IF(COUNTIF(lst_Jobs,$C149&amp;"")&gt;0,"OK","CHECK"))</f>
        <v/>
      </c>
      <c r="E149" s="10">
        <f>IF($C149="","",IFERROR(INDEX(lst_JobName,MATCH($C149&amp;"",lst_Jobs,0)),""))</f>
        <v/>
      </c>
      <c r="F149" s="37" t="n"/>
      <c r="G149" s="37" t="n"/>
      <c r="H149" s="37" t="n"/>
      <c r="I149" s="37" t="n"/>
      <c r="J149" s="37" t="n"/>
      <c r="K149" s="38">
        <f>IF($C149="","",IFERROR(N(INDEX(tbl_Finance[Invoice Count],MATCH($AE149,tbl_Finance[Row ID],0))),""))</f>
        <v/>
      </c>
      <c r="L149" s="11">
        <f>IF($C149="","",IFERROR(N(INDEX(tbl_Finance[Xero Invoiced Ex GST],MATCH($AE149,tbl_Finance[Row ID],0))),""))</f>
        <v/>
      </c>
      <c r="M149" s="10">
        <f>IF($C149="","",IFERROR(INDEX(tbl_Finance[Compare],MATCH($AE149,tbl_Finance[Row ID],0))&amp;"",""))</f>
        <v/>
      </c>
      <c r="N149" s="11">
        <f>IF($C149="","",MAX(0,N(O149)-N(L149)))</f>
        <v/>
      </c>
      <c r="O149" s="39" t="n"/>
      <c r="P149" s="40">
        <f>IF($C149="","",IF((IF(F149="",", Client","")&amp;IF(G149="",", Description","")&amp;IF(H149="",", Cost Centre","")&amp;IF(I149="",", Invoice Type","")&amp;IF(J149="",", Tax Code","")&amp;IF(O149="",", Expected Revenue","")&amp;IF(COUNTIF(tbl_Finance[Job Number],$C149&amp;"")&gt;1,", Job number used twice",""))="","Complete","Fix: "&amp;MID(IF(F149="",", Client","")&amp;IF(G149="",", Description","")&amp;IF(H149="",", Cost Centre","")&amp;IF(I149="",", Invoice Type","")&amp;IF(J149="",", Tax Code","")&amp;IF(O149="",", Expected Revenue","")&amp;IF(COUNTIF(tbl_Finance[Job Number],$C149&amp;"")&gt;1,", Job number used twice",""),3,300)))</f>
        <v/>
      </c>
      <c r="Q149" s="10">
        <f>IF($C149="","",IF(H149="","(no cost centre)",H149&amp;" - GL "&amp;IFERROR(INDEX(lst_CCtoGL,MATCH(H149,lst_CCforGL,0)),"?")))</f>
        <v/>
      </c>
      <c r="R149" s="37" t="n"/>
      <c r="S149" s="10">
        <f>IF(R149="","",HYPERLINK(IF(LEFT(R149,4)="http",R149,set_QwilrBase&amp;R149),"Open quote"))</f>
        <v/>
      </c>
      <c r="T149" s="39" t="n"/>
      <c r="U149" s="39" t="n"/>
      <c r="V149" s="39" t="n"/>
      <c r="W149" s="10">
        <f>IF(C149="","",IF(N(T149)+N(U149)+N(V149)=0,"Not split",IF(ROUND(N(T149)+N(U149)+N(V149),2)=ROUND(MAX(N(L149),N(O149)),2),"OK","MISMATCH")))</f>
        <v/>
      </c>
      <c r="X149" s="39" t="n"/>
      <c r="Y149" s="39" t="n"/>
      <c r="Z149" s="39" t="n"/>
      <c r="AA149" s="11">
        <f>IF(C149="","",N(X149)+N(Y149)+N(Z149))</f>
        <v/>
      </c>
      <c r="AB149" s="11">
        <f>IF(C149="","",MAX(N(L149),N(O149))-N(AA149))</f>
        <v/>
      </c>
      <c r="AC149" s="43">
        <f>IFERROR(IF(MAX(N(L149),N(O149))=0,"",AB149/MAX(N(L149),N(O149))),"")</f>
        <v/>
      </c>
      <c r="AD149" s="37" t="n"/>
      <c r="AE149" s="10" t="inlineStr">
        <is>
          <t>CON-0145</t>
        </is>
      </c>
    </row>
    <row r="150">
      <c r="A150" s="16">
        <f>IF($C150="","",IFERROR(IF(INDEX(tbl_Finance[Latest Invoice Date],MATCH($AE150,tbl_Finance[Row ID],0))="","",INDEX(tbl_Finance[Latest Invoice Date],MATCH($AE150,tbl_Finance[Row ID],0))),""))</f>
        <v/>
      </c>
      <c r="B150" s="10">
        <f>IF($C150="","",IFERROR(INDEX(tbl_Finance[Invoice Numbers],MATCH($AE150,tbl_Finance[Row ID],0))&amp;"",""))</f>
        <v/>
      </c>
      <c r="C150" s="37" t="n"/>
      <c r="D150" s="10">
        <f>IF($C150="","",IF(COUNTIF(lst_Jobs,$C150&amp;"")&gt;0,"OK","CHECK"))</f>
        <v/>
      </c>
      <c r="E150" s="10">
        <f>IF($C150="","",IFERROR(INDEX(lst_JobName,MATCH($C150&amp;"",lst_Jobs,0)),""))</f>
        <v/>
      </c>
      <c r="F150" s="37" t="n"/>
      <c r="G150" s="37" t="n"/>
      <c r="H150" s="37" t="n"/>
      <c r="I150" s="37" t="n"/>
      <c r="J150" s="37" t="n"/>
      <c r="K150" s="38">
        <f>IF($C150="","",IFERROR(N(INDEX(tbl_Finance[Invoice Count],MATCH($AE150,tbl_Finance[Row ID],0))),""))</f>
        <v/>
      </c>
      <c r="L150" s="11">
        <f>IF($C150="","",IFERROR(N(INDEX(tbl_Finance[Xero Invoiced Ex GST],MATCH($AE150,tbl_Finance[Row ID],0))),""))</f>
        <v/>
      </c>
      <c r="M150" s="10">
        <f>IF($C150="","",IFERROR(INDEX(tbl_Finance[Compare],MATCH($AE150,tbl_Finance[Row ID],0))&amp;"",""))</f>
        <v/>
      </c>
      <c r="N150" s="11">
        <f>IF($C150="","",MAX(0,N(O150)-N(L150)))</f>
        <v/>
      </c>
      <c r="O150" s="39" t="n"/>
      <c r="P150" s="40">
        <f>IF($C150="","",IF((IF(F150="",", Client","")&amp;IF(G150="",", Description","")&amp;IF(H150="",", Cost Centre","")&amp;IF(I150="",", Invoice Type","")&amp;IF(J150="",", Tax Code","")&amp;IF(O150="",", Expected Revenue","")&amp;IF(COUNTIF(tbl_Finance[Job Number],$C150&amp;"")&gt;1,", Job number used twice",""))="","Complete","Fix: "&amp;MID(IF(F150="",", Client","")&amp;IF(G150="",", Description","")&amp;IF(H150="",", Cost Centre","")&amp;IF(I150="",", Invoice Type","")&amp;IF(J150="",", Tax Code","")&amp;IF(O150="",", Expected Revenue","")&amp;IF(COUNTIF(tbl_Finance[Job Number],$C150&amp;"")&gt;1,", Job number used twice",""),3,300)))</f>
        <v/>
      </c>
      <c r="Q150" s="10">
        <f>IF($C150="","",IF(H150="","(no cost centre)",H150&amp;" - GL "&amp;IFERROR(INDEX(lst_CCtoGL,MATCH(H150,lst_CCforGL,0)),"?")))</f>
        <v/>
      </c>
      <c r="R150" s="37" t="n"/>
      <c r="S150" s="10">
        <f>IF(R150="","",HYPERLINK(IF(LEFT(R150,4)="http",R150,set_QwilrBase&amp;R150),"Open quote"))</f>
        <v/>
      </c>
      <c r="T150" s="39" t="n"/>
      <c r="U150" s="39" t="n"/>
      <c r="V150" s="39" t="n"/>
      <c r="W150" s="10">
        <f>IF(C150="","",IF(N(T150)+N(U150)+N(V150)=0,"Not split",IF(ROUND(N(T150)+N(U150)+N(V150),2)=ROUND(MAX(N(L150),N(O150)),2),"OK","MISMATCH")))</f>
        <v/>
      </c>
      <c r="X150" s="39" t="n"/>
      <c r="Y150" s="39" t="n"/>
      <c r="Z150" s="39" t="n"/>
      <c r="AA150" s="11">
        <f>IF(C150="","",N(X150)+N(Y150)+N(Z150))</f>
        <v/>
      </c>
      <c r="AB150" s="11">
        <f>IF(C150="","",MAX(N(L150),N(O150))-N(AA150))</f>
        <v/>
      </c>
      <c r="AC150" s="43">
        <f>IFERROR(IF(MAX(N(L150),N(O150))=0,"",AB150/MAX(N(L150),N(O150))),"")</f>
        <v/>
      </c>
      <c r="AD150" s="37" t="n"/>
      <c r="AE150" s="10" t="inlineStr">
        <is>
          <t>CON-0146</t>
        </is>
      </c>
    </row>
    <row r="151">
      <c r="A151" s="16">
        <f>IF($C151="","",IFERROR(IF(INDEX(tbl_Finance[Latest Invoice Date],MATCH($AE151,tbl_Finance[Row ID],0))="","",INDEX(tbl_Finance[Latest Invoice Date],MATCH($AE151,tbl_Finance[Row ID],0))),""))</f>
        <v/>
      </c>
      <c r="B151" s="10">
        <f>IF($C151="","",IFERROR(INDEX(tbl_Finance[Invoice Numbers],MATCH($AE151,tbl_Finance[Row ID],0))&amp;"",""))</f>
        <v/>
      </c>
      <c r="C151" s="37" t="n"/>
      <c r="D151" s="10">
        <f>IF($C151="","",IF(COUNTIF(lst_Jobs,$C151&amp;"")&gt;0,"OK","CHECK"))</f>
        <v/>
      </c>
      <c r="E151" s="10">
        <f>IF($C151="","",IFERROR(INDEX(lst_JobName,MATCH($C151&amp;"",lst_Jobs,0)),""))</f>
        <v/>
      </c>
      <c r="F151" s="37" t="n"/>
      <c r="G151" s="37" t="n"/>
      <c r="H151" s="37" t="n"/>
      <c r="I151" s="37" t="n"/>
      <c r="J151" s="37" t="n"/>
      <c r="K151" s="38">
        <f>IF($C151="","",IFERROR(N(INDEX(tbl_Finance[Invoice Count],MATCH($AE151,tbl_Finance[Row ID],0))),""))</f>
        <v/>
      </c>
      <c r="L151" s="11">
        <f>IF($C151="","",IFERROR(N(INDEX(tbl_Finance[Xero Invoiced Ex GST],MATCH($AE151,tbl_Finance[Row ID],0))),""))</f>
        <v/>
      </c>
      <c r="M151" s="10">
        <f>IF($C151="","",IFERROR(INDEX(tbl_Finance[Compare],MATCH($AE151,tbl_Finance[Row ID],0))&amp;"",""))</f>
        <v/>
      </c>
      <c r="N151" s="11">
        <f>IF($C151="","",MAX(0,N(O151)-N(L151)))</f>
        <v/>
      </c>
      <c r="O151" s="39" t="n"/>
      <c r="P151" s="40">
        <f>IF($C151="","",IF((IF(F151="",", Client","")&amp;IF(G151="",", Description","")&amp;IF(H151="",", Cost Centre","")&amp;IF(I151="",", Invoice Type","")&amp;IF(J151="",", Tax Code","")&amp;IF(O151="",", Expected Revenue","")&amp;IF(COUNTIF(tbl_Finance[Job Number],$C151&amp;"")&gt;1,", Job number used twice",""))="","Complete","Fix: "&amp;MID(IF(F151="",", Client","")&amp;IF(G151="",", Description","")&amp;IF(H151="",", Cost Centre","")&amp;IF(I151="",", Invoice Type","")&amp;IF(J151="",", Tax Code","")&amp;IF(O151="",", Expected Revenue","")&amp;IF(COUNTIF(tbl_Finance[Job Number],$C151&amp;"")&gt;1,", Job number used twice",""),3,300)))</f>
        <v/>
      </c>
      <c r="Q151" s="10">
        <f>IF($C151="","",IF(H151="","(no cost centre)",H151&amp;" - GL "&amp;IFERROR(INDEX(lst_CCtoGL,MATCH(H151,lst_CCforGL,0)),"?")))</f>
        <v/>
      </c>
      <c r="R151" s="37" t="n"/>
      <c r="S151" s="10">
        <f>IF(R151="","",HYPERLINK(IF(LEFT(R151,4)="http",R151,set_QwilrBase&amp;R151),"Open quote"))</f>
        <v/>
      </c>
      <c r="T151" s="39" t="n"/>
      <c r="U151" s="39" t="n"/>
      <c r="V151" s="39" t="n"/>
      <c r="W151" s="10">
        <f>IF(C151="","",IF(N(T151)+N(U151)+N(V151)=0,"Not split",IF(ROUND(N(T151)+N(U151)+N(V151),2)=ROUND(MAX(N(L151),N(O151)),2),"OK","MISMATCH")))</f>
        <v/>
      </c>
      <c r="X151" s="39" t="n"/>
      <c r="Y151" s="39" t="n"/>
      <c r="Z151" s="39" t="n"/>
      <c r="AA151" s="11">
        <f>IF(C151="","",N(X151)+N(Y151)+N(Z151))</f>
        <v/>
      </c>
      <c r="AB151" s="11">
        <f>IF(C151="","",MAX(N(L151),N(O151))-N(AA151))</f>
        <v/>
      </c>
      <c r="AC151" s="43">
        <f>IFERROR(IF(MAX(N(L151),N(O151))=0,"",AB151/MAX(N(L151),N(O151))),"")</f>
        <v/>
      </c>
      <c r="AD151" s="37" t="n"/>
      <c r="AE151" s="10" t="inlineStr">
        <is>
          <t>CON-0147</t>
        </is>
      </c>
    </row>
    <row r="152">
      <c r="A152" s="16">
        <f>IF($C152="","",IFERROR(IF(INDEX(tbl_Finance[Latest Invoice Date],MATCH($AE152,tbl_Finance[Row ID],0))="","",INDEX(tbl_Finance[Latest Invoice Date],MATCH($AE152,tbl_Finance[Row ID],0))),""))</f>
        <v/>
      </c>
      <c r="B152" s="10">
        <f>IF($C152="","",IFERROR(INDEX(tbl_Finance[Invoice Numbers],MATCH($AE152,tbl_Finance[Row ID],0))&amp;"",""))</f>
        <v/>
      </c>
      <c r="C152" s="37" t="n"/>
      <c r="D152" s="10">
        <f>IF($C152="","",IF(COUNTIF(lst_Jobs,$C152&amp;"")&gt;0,"OK","CHECK"))</f>
        <v/>
      </c>
      <c r="E152" s="10">
        <f>IF($C152="","",IFERROR(INDEX(lst_JobName,MATCH($C152&amp;"",lst_Jobs,0)),""))</f>
        <v/>
      </c>
      <c r="F152" s="37" t="n"/>
      <c r="G152" s="37" t="n"/>
      <c r="H152" s="37" t="n"/>
      <c r="I152" s="37" t="n"/>
      <c r="J152" s="37" t="n"/>
      <c r="K152" s="38">
        <f>IF($C152="","",IFERROR(N(INDEX(tbl_Finance[Invoice Count],MATCH($AE152,tbl_Finance[Row ID],0))),""))</f>
        <v/>
      </c>
      <c r="L152" s="11">
        <f>IF($C152="","",IFERROR(N(INDEX(tbl_Finance[Xero Invoiced Ex GST],MATCH($AE152,tbl_Finance[Row ID],0))),""))</f>
        <v/>
      </c>
      <c r="M152" s="10">
        <f>IF($C152="","",IFERROR(INDEX(tbl_Finance[Compare],MATCH($AE152,tbl_Finance[Row ID],0))&amp;"",""))</f>
        <v/>
      </c>
      <c r="N152" s="11">
        <f>IF($C152="","",MAX(0,N(O152)-N(L152)))</f>
        <v/>
      </c>
      <c r="O152" s="39" t="n"/>
      <c r="P152" s="40">
        <f>IF($C152="","",IF((IF(F152="",", Client","")&amp;IF(G152="",", Description","")&amp;IF(H152="",", Cost Centre","")&amp;IF(I152="",", Invoice Type","")&amp;IF(J152="",", Tax Code","")&amp;IF(O152="",", Expected Revenue","")&amp;IF(COUNTIF(tbl_Finance[Job Number],$C152&amp;"")&gt;1,", Job number used twice",""))="","Complete","Fix: "&amp;MID(IF(F152="",", Client","")&amp;IF(G152="",", Description","")&amp;IF(H152="",", Cost Centre","")&amp;IF(I152="",", Invoice Type","")&amp;IF(J152="",", Tax Code","")&amp;IF(O152="",", Expected Revenue","")&amp;IF(COUNTIF(tbl_Finance[Job Number],$C152&amp;"")&gt;1,", Job number used twice",""),3,300)))</f>
        <v/>
      </c>
      <c r="Q152" s="10">
        <f>IF($C152="","",IF(H152="","(no cost centre)",H152&amp;" - GL "&amp;IFERROR(INDEX(lst_CCtoGL,MATCH(H152,lst_CCforGL,0)),"?")))</f>
        <v/>
      </c>
      <c r="R152" s="37" t="n"/>
      <c r="S152" s="10">
        <f>IF(R152="","",HYPERLINK(IF(LEFT(R152,4)="http",R152,set_QwilrBase&amp;R152),"Open quote"))</f>
        <v/>
      </c>
      <c r="T152" s="39" t="n"/>
      <c r="U152" s="39" t="n"/>
      <c r="V152" s="39" t="n"/>
      <c r="W152" s="10">
        <f>IF(C152="","",IF(N(T152)+N(U152)+N(V152)=0,"Not split",IF(ROUND(N(T152)+N(U152)+N(V152),2)=ROUND(MAX(N(L152),N(O152)),2),"OK","MISMATCH")))</f>
        <v/>
      </c>
      <c r="X152" s="39" t="n"/>
      <c r="Y152" s="39" t="n"/>
      <c r="Z152" s="39" t="n"/>
      <c r="AA152" s="11">
        <f>IF(C152="","",N(X152)+N(Y152)+N(Z152))</f>
        <v/>
      </c>
      <c r="AB152" s="11">
        <f>IF(C152="","",MAX(N(L152),N(O152))-N(AA152))</f>
        <v/>
      </c>
      <c r="AC152" s="43">
        <f>IFERROR(IF(MAX(N(L152),N(O152))=0,"",AB152/MAX(N(L152),N(O152))),"")</f>
        <v/>
      </c>
      <c r="AD152" s="37" t="n"/>
      <c r="AE152" s="10" t="inlineStr">
        <is>
          <t>CON-0148</t>
        </is>
      </c>
    </row>
    <row r="153">
      <c r="A153" s="16">
        <f>IF($C153="","",IFERROR(IF(INDEX(tbl_Finance[Latest Invoice Date],MATCH($AE153,tbl_Finance[Row ID],0))="","",INDEX(tbl_Finance[Latest Invoice Date],MATCH($AE153,tbl_Finance[Row ID],0))),""))</f>
        <v/>
      </c>
      <c r="B153" s="10">
        <f>IF($C153="","",IFERROR(INDEX(tbl_Finance[Invoice Numbers],MATCH($AE153,tbl_Finance[Row ID],0))&amp;"",""))</f>
        <v/>
      </c>
      <c r="C153" s="37" t="n"/>
      <c r="D153" s="10">
        <f>IF($C153="","",IF(COUNTIF(lst_Jobs,$C153&amp;"")&gt;0,"OK","CHECK"))</f>
        <v/>
      </c>
      <c r="E153" s="10">
        <f>IF($C153="","",IFERROR(INDEX(lst_JobName,MATCH($C153&amp;"",lst_Jobs,0)),""))</f>
        <v/>
      </c>
      <c r="F153" s="37" t="n"/>
      <c r="G153" s="37" t="n"/>
      <c r="H153" s="37" t="n"/>
      <c r="I153" s="37" t="n"/>
      <c r="J153" s="37" t="n"/>
      <c r="K153" s="38">
        <f>IF($C153="","",IFERROR(N(INDEX(tbl_Finance[Invoice Count],MATCH($AE153,tbl_Finance[Row ID],0))),""))</f>
        <v/>
      </c>
      <c r="L153" s="11">
        <f>IF($C153="","",IFERROR(N(INDEX(tbl_Finance[Xero Invoiced Ex GST],MATCH($AE153,tbl_Finance[Row ID],0))),""))</f>
        <v/>
      </c>
      <c r="M153" s="10">
        <f>IF($C153="","",IFERROR(INDEX(tbl_Finance[Compare],MATCH($AE153,tbl_Finance[Row ID],0))&amp;"",""))</f>
        <v/>
      </c>
      <c r="N153" s="11">
        <f>IF($C153="","",MAX(0,N(O153)-N(L153)))</f>
        <v/>
      </c>
      <c r="O153" s="39" t="n"/>
      <c r="P153" s="40">
        <f>IF($C153="","",IF((IF(F153="",", Client","")&amp;IF(G153="",", Description","")&amp;IF(H153="",", Cost Centre","")&amp;IF(I153="",", Invoice Type","")&amp;IF(J153="",", Tax Code","")&amp;IF(O153="",", Expected Revenue","")&amp;IF(COUNTIF(tbl_Finance[Job Number],$C153&amp;"")&gt;1,", Job number used twice",""))="","Complete","Fix: "&amp;MID(IF(F153="",", Client","")&amp;IF(G153="",", Description","")&amp;IF(H153="",", Cost Centre","")&amp;IF(I153="",", Invoice Type","")&amp;IF(J153="",", Tax Code","")&amp;IF(O153="",", Expected Revenue","")&amp;IF(COUNTIF(tbl_Finance[Job Number],$C153&amp;"")&gt;1,", Job number used twice",""),3,300)))</f>
        <v/>
      </c>
      <c r="Q153" s="10">
        <f>IF($C153="","",IF(H153="","(no cost centre)",H153&amp;" - GL "&amp;IFERROR(INDEX(lst_CCtoGL,MATCH(H153,lst_CCforGL,0)),"?")))</f>
        <v/>
      </c>
      <c r="R153" s="37" t="n"/>
      <c r="S153" s="10">
        <f>IF(R153="","",HYPERLINK(IF(LEFT(R153,4)="http",R153,set_QwilrBase&amp;R153),"Open quote"))</f>
        <v/>
      </c>
      <c r="T153" s="39" t="n"/>
      <c r="U153" s="39" t="n"/>
      <c r="V153" s="39" t="n"/>
      <c r="W153" s="10">
        <f>IF(C153="","",IF(N(T153)+N(U153)+N(V153)=0,"Not split",IF(ROUND(N(T153)+N(U153)+N(V153),2)=ROUND(MAX(N(L153),N(O153)),2),"OK","MISMATCH")))</f>
        <v/>
      </c>
      <c r="X153" s="39" t="n"/>
      <c r="Y153" s="39" t="n"/>
      <c r="Z153" s="39" t="n"/>
      <c r="AA153" s="11">
        <f>IF(C153="","",N(X153)+N(Y153)+N(Z153))</f>
        <v/>
      </c>
      <c r="AB153" s="11">
        <f>IF(C153="","",MAX(N(L153),N(O153))-N(AA153))</f>
        <v/>
      </c>
      <c r="AC153" s="43">
        <f>IFERROR(IF(MAX(N(L153),N(O153))=0,"",AB153/MAX(N(L153),N(O153))),"")</f>
        <v/>
      </c>
      <c r="AD153" s="37" t="n"/>
      <c r="AE153" s="10" t="inlineStr">
        <is>
          <t>CON-0149</t>
        </is>
      </c>
    </row>
    <row r="154">
      <c r="A154" s="16">
        <f>IF($C154="","",IFERROR(IF(INDEX(tbl_Finance[Latest Invoice Date],MATCH($AE154,tbl_Finance[Row ID],0))="","",INDEX(tbl_Finance[Latest Invoice Date],MATCH($AE154,tbl_Finance[Row ID],0))),""))</f>
        <v/>
      </c>
      <c r="B154" s="10">
        <f>IF($C154="","",IFERROR(INDEX(tbl_Finance[Invoice Numbers],MATCH($AE154,tbl_Finance[Row ID],0))&amp;"",""))</f>
        <v/>
      </c>
      <c r="C154" s="37" t="n"/>
      <c r="D154" s="10">
        <f>IF($C154="","",IF(COUNTIF(lst_Jobs,$C154&amp;"")&gt;0,"OK","CHECK"))</f>
        <v/>
      </c>
      <c r="E154" s="10">
        <f>IF($C154="","",IFERROR(INDEX(lst_JobName,MATCH($C154&amp;"",lst_Jobs,0)),""))</f>
        <v/>
      </c>
      <c r="F154" s="37" t="n"/>
      <c r="G154" s="37" t="n"/>
      <c r="H154" s="37" t="n"/>
      <c r="I154" s="37" t="n"/>
      <c r="J154" s="37" t="n"/>
      <c r="K154" s="38">
        <f>IF($C154="","",IFERROR(N(INDEX(tbl_Finance[Invoice Count],MATCH($AE154,tbl_Finance[Row ID],0))),""))</f>
        <v/>
      </c>
      <c r="L154" s="11">
        <f>IF($C154="","",IFERROR(N(INDEX(tbl_Finance[Xero Invoiced Ex GST],MATCH($AE154,tbl_Finance[Row ID],0))),""))</f>
        <v/>
      </c>
      <c r="M154" s="10">
        <f>IF($C154="","",IFERROR(INDEX(tbl_Finance[Compare],MATCH($AE154,tbl_Finance[Row ID],0))&amp;"",""))</f>
        <v/>
      </c>
      <c r="N154" s="11">
        <f>IF($C154="","",MAX(0,N(O154)-N(L154)))</f>
        <v/>
      </c>
      <c r="O154" s="39" t="n"/>
      <c r="P154" s="40">
        <f>IF($C154="","",IF((IF(F154="",", Client","")&amp;IF(G154="",", Description","")&amp;IF(H154="",", Cost Centre","")&amp;IF(I154="",", Invoice Type","")&amp;IF(J154="",", Tax Code","")&amp;IF(O154="",", Expected Revenue","")&amp;IF(COUNTIF(tbl_Finance[Job Number],$C154&amp;"")&gt;1,", Job number used twice",""))="","Complete","Fix: "&amp;MID(IF(F154="",", Client","")&amp;IF(G154="",", Description","")&amp;IF(H154="",", Cost Centre","")&amp;IF(I154="",", Invoice Type","")&amp;IF(J154="",", Tax Code","")&amp;IF(O154="",", Expected Revenue","")&amp;IF(COUNTIF(tbl_Finance[Job Number],$C154&amp;"")&gt;1,", Job number used twice",""),3,300)))</f>
        <v/>
      </c>
      <c r="Q154" s="10">
        <f>IF($C154="","",IF(H154="","(no cost centre)",H154&amp;" - GL "&amp;IFERROR(INDEX(lst_CCtoGL,MATCH(H154,lst_CCforGL,0)),"?")))</f>
        <v/>
      </c>
      <c r="R154" s="37" t="n"/>
      <c r="S154" s="10">
        <f>IF(R154="","",HYPERLINK(IF(LEFT(R154,4)="http",R154,set_QwilrBase&amp;R154),"Open quote"))</f>
        <v/>
      </c>
      <c r="T154" s="39" t="n"/>
      <c r="U154" s="39" t="n"/>
      <c r="V154" s="39" t="n"/>
      <c r="W154" s="10">
        <f>IF(C154="","",IF(N(T154)+N(U154)+N(V154)=0,"Not split",IF(ROUND(N(T154)+N(U154)+N(V154),2)=ROUND(MAX(N(L154),N(O154)),2),"OK","MISMATCH")))</f>
        <v/>
      </c>
      <c r="X154" s="39" t="n"/>
      <c r="Y154" s="39" t="n"/>
      <c r="Z154" s="39" t="n"/>
      <c r="AA154" s="11">
        <f>IF(C154="","",N(X154)+N(Y154)+N(Z154))</f>
        <v/>
      </c>
      <c r="AB154" s="11">
        <f>IF(C154="","",MAX(N(L154),N(O154))-N(AA154))</f>
        <v/>
      </c>
      <c r="AC154" s="43">
        <f>IFERROR(IF(MAX(N(L154),N(O154))=0,"",AB154/MAX(N(L154),N(O154))),"")</f>
        <v/>
      </c>
      <c r="AD154" s="37" t="n"/>
      <c r="AE154" s="10" t="inlineStr">
        <is>
          <t>CON-0150</t>
        </is>
      </c>
    </row>
    <row r="155">
      <c r="A155" s="16">
        <f>IF($C155="","",IFERROR(IF(INDEX(tbl_Finance[Latest Invoice Date],MATCH($AE155,tbl_Finance[Row ID],0))="","",INDEX(tbl_Finance[Latest Invoice Date],MATCH($AE155,tbl_Finance[Row ID],0))),""))</f>
        <v/>
      </c>
      <c r="B155" s="10">
        <f>IF($C155="","",IFERROR(INDEX(tbl_Finance[Invoice Numbers],MATCH($AE155,tbl_Finance[Row ID],0))&amp;"",""))</f>
        <v/>
      </c>
      <c r="C155" s="37" t="n"/>
      <c r="D155" s="10">
        <f>IF($C155="","",IF(COUNTIF(lst_Jobs,$C155&amp;"")&gt;0,"OK","CHECK"))</f>
        <v/>
      </c>
      <c r="E155" s="10">
        <f>IF($C155="","",IFERROR(INDEX(lst_JobName,MATCH($C155&amp;"",lst_Jobs,0)),""))</f>
        <v/>
      </c>
      <c r="F155" s="37" t="n"/>
      <c r="G155" s="37" t="n"/>
      <c r="H155" s="37" t="n"/>
      <c r="I155" s="37" t="n"/>
      <c r="J155" s="37" t="n"/>
      <c r="K155" s="38">
        <f>IF($C155="","",IFERROR(N(INDEX(tbl_Finance[Invoice Count],MATCH($AE155,tbl_Finance[Row ID],0))),""))</f>
        <v/>
      </c>
      <c r="L155" s="11">
        <f>IF($C155="","",IFERROR(N(INDEX(tbl_Finance[Xero Invoiced Ex GST],MATCH($AE155,tbl_Finance[Row ID],0))),""))</f>
        <v/>
      </c>
      <c r="M155" s="10">
        <f>IF($C155="","",IFERROR(INDEX(tbl_Finance[Compare],MATCH($AE155,tbl_Finance[Row ID],0))&amp;"",""))</f>
        <v/>
      </c>
      <c r="N155" s="11">
        <f>IF($C155="","",MAX(0,N(O155)-N(L155)))</f>
        <v/>
      </c>
      <c r="O155" s="39" t="n"/>
      <c r="P155" s="40">
        <f>IF($C155="","",IF((IF(F155="",", Client","")&amp;IF(G155="",", Description","")&amp;IF(H155="",", Cost Centre","")&amp;IF(I155="",", Invoice Type","")&amp;IF(J155="",", Tax Code","")&amp;IF(O155="",", Expected Revenue","")&amp;IF(COUNTIF(tbl_Finance[Job Number],$C155&amp;"")&gt;1,", Job number used twice",""))="","Complete","Fix: "&amp;MID(IF(F155="",", Client","")&amp;IF(G155="",", Description","")&amp;IF(H155="",", Cost Centre","")&amp;IF(I155="",", Invoice Type","")&amp;IF(J155="",", Tax Code","")&amp;IF(O155="",", Expected Revenue","")&amp;IF(COUNTIF(tbl_Finance[Job Number],$C155&amp;"")&gt;1,", Job number used twice",""),3,300)))</f>
        <v/>
      </c>
      <c r="Q155" s="10">
        <f>IF($C155="","",IF(H155="","(no cost centre)",H155&amp;" - GL "&amp;IFERROR(INDEX(lst_CCtoGL,MATCH(H155,lst_CCforGL,0)),"?")))</f>
        <v/>
      </c>
      <c r="R155" s="37" t="n"/>
      <c r="S155" s="10">
        <f>IF(R155="","",HYPERLINK(IF(LEFT(R155,4)="http",R155,set_QwilrBase&amp;R155),"Open quote"))</f>
        <v/>
      </c>
      <c r="T155" s="39" t="n"/>
      <c r="U155" s="39" t="n"/>
      <c r="V155" s="39" t="n"/>
      <c r="W155" s="10">
        <f>IF(C155="","",IF(N(T155)+N(U155)+N(V155)=0,"Not split",IF(ROUND(N(T155)+N(U155)+N(V155),2)=ROUND(MAX(N(L155),N(O155)),2),"OK","MISMATCH")))</f>
        <v/>
      </c>
      <c r="X155" s="39" t="n"/>
      <c r="Y155" s="39" t="n"/>
      <c r="Z155" s="39" t="n"/>
      <c r="AA155" s="11">
        <f>IF(C155="","",N(X155)+N(Y155)+N(Z155))</f>
        <v/>
      </c>
      <c r="AB155" s="11">
        <f>IF(C155="","",MAX(N(L155),N(O155))-N(AA155))</f>
        <v/>
      </c>
      <c r="AC155" s="43">
        <f>IFERROR(IF(MAX(N(L155),N(O155))=0,"",AB155/MAX(N(L155),N(O155))),"")</f>
        <v/>
      </c>
      <c r="AD155" s="37" t="n"/>
      <c r="AE155" s="10" t="inlineStr">
        <is>
          <t>CON-0151</t>
        </is>
      </c>
    </row>
    <row r="156">
      <c r="A156" s="16">
        <f>IF($C156="","",IFERROR(IF(INDEX(tbl_Finance[Latest Invoice Date],MATCH($AE156,tbl_Finance[Row ID],0))="","",INDEX(tbl_Finance[Latest Invoice Date],MATCH($AE156,tbl_Finance[Row ID],0))),""))</f>
        <v/>
      </c>
      <c r="B156" s="10">
        <f>IF($C156="","",IFERROR(INDEX(tbl_Finance[Invoice Numbers],MATCH($AE156,tbl_Finance[Row ID],0))&amp;"",""))</f>
        <v/>
      </c>
      <c r="C156" s="37" t="n"/>
      <c r="D156" s="10">
        <f>IF($C156="","",IF(COUNTIF(lst_Jobs,$C156&amp;"")&gt;0,"OK","CHECK"))</f>
        <v/>
      </c>
      <c r="E156" s="10">
        <f>IF($C156="","",IFERROR(INDEX(lst_JobName,MATCH($C156&amp;"",lst_Jobs,0)),""))</f>
        <v/>
      </c>
      <c r="F156" s="37" t="n"/>
      <c r="G156" s="37" t="n"/>
      <c r="H156" s="37" t="n"/>
      <c r="I156" s="37" t="n"/>
      <c r="J156" s="37" t="n"/>
      <c r="K156" s="38">
        <f>IF($C156="","",IFERROR(N(INDEX(tbl_Finance[Invoice Count],MATCH($AE156,tbl_Finance[Row ID],0))),""))</f>
        <v/>
      </c>
      <c r="L156" s="11">
        <f>IF($C156="","",IFERROR(N(INDEX(tbl_Finance[Xero Invoiced Ex GST],MATCH($AE156,tbl_Finance[Row ID],0))),""))</f>
        <v/>
      </c>
      <c r="M156" s="10">
        <f>IF($C156="","",IFERROR(INDEX(tbl_Finance[Compare],MATCH($AE156,tbl_Finance[Row ID],0))&amp;"",""))</f>
        <v/>
      </c>
      <c r="N156" s="11">
        <f>IF($C156="","",MAX(0,N(O156)-N(L156)))</f>
        <v/>
      </c>
      <c r="O156" s="39" t="n"/>
      <c r="P156" s="40">
        <f>IF($C156="","",IF((IF(F156="",", Client","")&amp;IF(G156="",", Description","")&amp;IF(H156="",", Cost Centre","")&amp;IF(I156="",", Invoice Type","")&amp;IF(J156="",", Tax Code","")&amp;IF(O156="",", Expected Revenue","")&amp;IF(COUNTIF(tbl_Finance[Job Number],$C156&amp;"")&gt;1,", Job number used twice",""))="","Complete","Fix: "&amp;MID(IF(F156="",", Client","")&amp;IF(G156="",", Description","")&amp;IF(H156="",", Cost Centre","")&amp;IF(I156="",", Invoice Type","")&amp;IF(J156="",", Tax Code","")&amp;IF(O156="",", Expected Revenue","")&amp;IF(COUNTIF(tbl_Finance[Job Number],$C156&amp;"")&gt;1,", Job number used twice",""),3,300)))</f>
        <v/>
      </c>
      <c r="Q156" s="10">
        <f>IF($C156="","",IF(H156="","(no cost centre)",H156&amp;" - GL "&amp;IFERROR(INDEX(lst_CCtoGL,MATCH(H156,lst_CCforGL,0)),"?")))</f>
        <v/>
      </c>
      <c r="R156" s="37" t="n"/>
      <c r="S156" s="10">
        <f>IF(R156="","",HYPERLINK(IF(LEFT(R156,4)="http",R156,set_QwilrBase&amp;R156),"Open quote"))</f>
        <v/>
      </c>
      <c r="T156" s="39" t="n"/>
      <c r="U156" s="39" t="n"/>
      <c r="V156" s="39" t="n"/>
      <c r="W156" s="10">
        <f>IF(C156="","",IF(N(T156)+N(U156)+N(V156)=0,"Not split",IF(ROUND(N(T156)+N(U156)+N(V156),2)=ROUND(MAX(N(L156),N(O156)),2),"OK","MISMATCH")))</f>
        <v/>
      </c>
      <c r="X156" s="39" t="n"/>
      <c r="Y156" s="39" t="n"/>
      <c r="Z156" s="39" t="n"/>
      <c r="AA156" s="11">
        <f>IF(C156="","",N(X156)+N(Y156)+N(Z156))</f>
        <v/>
      </c>
      <c r="AB156" s="11">
        <f>IF(C156="","",MAX(N(L156),N(O156))-N(AA156))</f>
        <v/>
      </c>
      <c r="AC156" s="43">
        <f>IFERROR(IF(MAX(N(L156),N(O156))=0,"",AB156/MAX(N(L156),N(O156))),"")</f>
        <v/>
      </c>
      <c r="AD156" s="37" t="n"/>
      <c r="AE156" s="10" t="inlineStr">
        <is>
          <t>CON-0152</t>
        </is>
      </c>
    </row>
    <row r="157">
      <c r="A157" s="16">
        <f>IF($C157="","",IFERROR(IF(INDEX(tbl_Finance[Latest Invoice Date],MATCH($AE157,tbl_Finance[Row ID],0))="","",INDEX(tbl_Finance[Latest Invoice Date],MATCH($AE157,tbl_Finance[Row ID],0))),""))</f>
        <v/>
      </c>
      <c r="B157" s="10">
        <f>IF($C157="","",IFERROR(INDEX(tbl_Finance[Invoice Numbers],MATCH($AE157,tbl_Finance[Row ID],0))&amp;"",""))</f>
        <v/>
      </c>
      <c r="C157" s="37" t="n"/>
      <c r="D157" s="10">
        <f>IF($C157="","",IF(COUNTIF(lst_Jobs,$C157&amp;"")&gt;0,"OK","CHECK"))</f>
        <v/>
      </c>
      <c r="E157" s="10">
        <f>IF($C157="","",IFERROR(INDEX(lst_JobName,MATCH($C157&amp;"",lst_Jobs,0)),""))</f>
        <v/>
      </c>
      <c r="F157" s="37" t="n"/>
      <c r="G157" s="37" t="n"/>
      <c r="H157" s="37" t="n"/>
      <c r="I157" s="37" t="n"/>
      <c r="J157" s="37" t="n"/>
      <c r="K157" s="38">
        <f>IF($C157="","",IFERROR(N(INDEX(tbl_Finance[Invoice Count],MATCH($AE157,tbl_Finance[Row ID],0))),""))</f>
        <v/>
      </c>
      <c r="L157" s="11">
        <f>IF($C157="","",IFERROR(N(INDEX(tbl_Finance[Xero Invoiced Ex GST],MATCH($AE157,tbl_Finance[Row ID],0))),""))</f>
        <v/>
      </c>
      <c r="M157" s="10">
        <f>IF($C157="","",IFERROR(INDEX(tbl_Finance[Compare],MATCH($AE157,tbl_Finance[Row ID],0))&amp;"",""))</f>
        <v/>
      </c>
      <c r="N157" s="11">
        <f>IF($C157="","",MAX(0,N(O157)-N(L157)))</f>
        <v/>
      </c>
      <c r="O157" s="39" t="n"/>
      <c r="P157" s="40">
        <f>IF($C157="","",IF((IF(F157="",", Client","")&amp;IF(G157="",", Description","")&amp;IF(H157="",", Cost Centre","")&amp;IF(I157="",", Invoice Type","")&amp;IF(J157="",", Tax Code","")&amp;IF(O157="",", Expected Revenue","")&amp;IF(COUNTIF(tbl_Finance[Job Number],$C157&amp;"")&gt;1,", Job number used twice",""))="","Complete","Fix: "&amp;MID(IF(F157="",", Client","")&amp;IF(G157="",", Description","")&amp;IF(H157="",", Cost Centre","")&amp;IF(I157="",", Invoice Type","")&amp;IF(J157="",", Tax Code","")&amp;IF(O157="",", Expected Revenue","")&amp;IF(COUNTIF(tbl_Finance[Job Number],$C157&amp;"")&gt;1,", Job number used twice",""),3,300)))</f>
        <v/>
      </c>
      <c r="Q157" s="10">
        <f>IF($C157="","",IF(H157="","(no cost centre)",H157&amp;" - GL "&amp;IFERROR(INDEX(lst_CCtoGL,MATCH(H157,lst_CCforGL,0)),"?")))</f>
        <v/>
      </c>
      <c r="R157" s="37" t="n"/>
      <c r="S157" s="10">
        <f>IF(R157="","",HYPERLINK(IF(LEFT(R157,4)="http",R157,set_QwilrBase&amp;R157),"Open quote"))</f>
        <v/>
      </c>
      <c r="T157" s="39" t="n"/>
      <c r="U157" s="39" t="n"/>
      <c r="V157" s="39" t="n"/>
      <c r="W157" s="10">
        <f>IF(C157="","",IF(N(T157)+N(U157)+N(V157)=0,"Not split",IF(ROUND(N(T157)+N(U157)+N(V157),2)=ROUND(MAX(N(L157),N(O157)),2),"OK","MISMATCH")))</f>
        <v/>
      </c>
      <c r="X157" s="39" t="n"/>
      <c r="Y157" s="39" t="n"/>
      <c r="Z157" s="39" t="n"/>
      <c r="AA157" s="11">
        <f>IF(C157="","",N(X157)+N(Y157)+N(Z157))</f>
        <v/>
      </c>
      <c r="AB157" s="11">
        <f>IF(C157="","",MAX(N(L157),N(O157))-N(AA157))</f>
        <v/>
      </c>
      <c r="AC157" s="43">
        <f>IFERROR(IF(MAX(N(L157),N(O157))=0,"",AB157/MAX(N(L157),N(O157))),"")</f>
        <v/>
      </c>
      <c r="AD157" s="37" t="n"/>
      <c r="AE157" s="10" t="inlineStr">
        <is>
          <t>CON-0153</t>
        </is>
      </c>
    </row>
    <row r="158">
      <c r="A158" s="16">
        <f>IF($C158="","",IFERROR(IF(INDEX(tbl_Finance[Latest Invoice Date],MATCH($AE158,tbl_Finance[Row ID],0))="","",INDEX(tbl_Finance[Latest Invoice Date],MATCH($AE158,tbl_Finance[Row ID],0))),""))</f>
        <v/>
      </c>
      <c r="B158" s="10">
        <f>IF($C158="","",IFERROR(INDEX(tbl_Finance[Invoice Numbers],MATCH($AE158,tbl_Finance[Row ID],0))&amp;"",""))</f>
        <v/>
      </c>
      <c r="C158" s="37" t="n"/>
      <c r="D158" s="10">
        <f>IF($C158="","",IF(COUNTIF(lst_Jobs,$C158&amp;"")&gt;0,"OK","CHECK"))</f>
        <v/>
      </c>
      <c r="E158" s="10">
        <f>IF($C158="","",IFERROR(INDEX(lst_JobName,MATCH($C158&amp;"",lst_Jobs,0)),""))</f>
        <v/>
      </c>
      <c r="F158" s="37" t="n"/>
      <c r="G158" s="37" t="n"/>
      <c r="H158" s="37" t="n"/>
      <c r="I158" s="37" t="n"/>
      <c r="J158" s="37" t="n"/>
      <c r="K158" s="38">
        <f>IF($C158="","",IFERROR(N(INDEX(tbl_Finance[Invoice Count],MATCH($AE158,tbl_Finance[Row ID],0))),""))</f>
        <v/>
      </c>
      <c r="L158" s="11">
        <f>IF($C158="","",IFERROR(N(INDEX(tbl_Finance[Xero Invoiced Ex GST],MATCH($AE158,tbl_Finance[Row ID],0))),""))</f>
        <v/>
      </c>
      <c r="M158" s="10">
        <f>IF($C158="","",IFERROR(INDEX(tbl_Finance[Compare],MATCH($AE158,tbl_Finance[Row ID],0))&amp;"",""))</f>
        <v/>
      </c>
      <c r="N158" s="11">
        <f>IF($C158="","",MAX(0,N(O158)-N(L158)))</f>
        <v/>
      </c>
      <c r="O158" s="39" t="n"/>
      <c r="P158" s="40">
        <f>IF($C158="","",IF((IF(F158="",", Client","")&amp;IF(G158="",", Description","")&amp;IF(H158="",", Cost Centre","")&amp;IF(I158="",", Invoice Type","")&amp;IF(J158="",", Tax Code","")&amp;IF(O158="",", Expected Revenue","")&amp;IF(COUNTIF(tbl_Finance[Job Number],$C158&amp;"")&gt;1,", Job number used twice",""))="","Complete","Fix: "&amp;MID(IF(F158="",", Client","")&amp;IF(G158="",", Description","")&amp;IF(H158="",", Cost Centre","")&amp;IF(I158="",", Invoice Type","")&amp;IF(J158="",", Tax Code","")&amp;IF(O158="",", Expected Revenue","")&amp;IF(COUNTIF(tbl_Finance[Job Number],$C158&amp;"")&gt;1,", Job number used twice",""),3,300)))</f>
        <v/>
      </c>
      <c r="Q158" s="10">
        <f>IF($C158="","",IF(H158="","(no cost centre)",H158&amp;" - GL "&amp;IFERROR(INDEX(lst_CCtoGL,MATCH(H158,lst_CCforGL,0)),"?")))</f>
        <v/>
      </c>
      <c r="R158" s="37" t="n"/>
      <c r="S158" s="10">
        <f>IF(R158="","",HYPERLINK(IF(LEFT(R158,4)="http",R158,set_QwilrBase&amp;R158),"Open quote"))</f>
        <v/>
      </c>
      <c r="T158" s="39" t="n"/>
      <c r="U158" s="39" t="n"/>
      <c r="V158" s="39" t="n"/>
      <c r="W158" s="10">
        <f>IF(C158="","",IF(N(T158)+N(U158)+N(V158)=0,"Not split",IF(ROUND(N(T158)+N(U158)+N(V158),2)=ROUND(MAX(N(L158),N(O158)),2),"OK","MISMATCH")))</f>
        <v/>
      </c>
      <c r="X158" s="39" t="n"/>
      <c r="Y158" s="39" t="n"/>
      <c r="Z158" s="39" t="n"/>
      <c r="AA158" s="11">
        <f>IF(C158="","",N(X158)+N(Y158)+N(Z158))</f>
        <v/>
      </c>
      <c r="AB158" s="11">
        <f>IF(C158="","",MAX(N(L158),N(O158))-N(AA158))</f>
        <v/>
      </c>
      <c r="AC158" s="43">
        <f>IFERROR(IF(MAX(N(L158),N(O158))=0,"",AB158/MAX(N(L158),N(O158))),"")</f>
        <v/>
      </c>
      <c r="AD158" s="37" t="n"/>
      <c r="AE158" s="10" t="inlineStr">
        <is>
          <t>CON-0154</t>
        </is>
      </c>
    </row>
    <row r="159">
      <c r="A159" s="16">
        <f>IF($C159="","",IFERROR(IF(INDEX(tbl_Finance[Latest Invoice Date],MATCH($AE159,tbl_Finance[Row ID],0))="","",INDEX(tbl_Finance[Latest Invoice Date],MATCH($AE159,tbl_Finance[Row ID],0))),""))</f>
        <v/>
      </c>
      <c r="B159" s="10">
        <f>IF($C159="","",IFERROR(INDEX(tbl_Finance[Invoice Numbers],MATCH($AE159,tbl_Finance[Row ID],0))&amp;"",""))</f>
        <v/>
      </c>
      <c r="C159" s="37" t="n"/>
      <c r="D159" s="10">
        <f>IF($C159="","",IF(COUNTIF(lst_Jobs,$C159&amp;"")&gt;0,"OK","CHECK"))</f>
        <v/>
      </c>
      <c r="E159" s="10">
        <f>IF($C159="","",IFERROR(INDEX(lst_JobName,MATCH($C159&amp;"",lst_Jobs,0)),""))</f>
        <v/>
      </c>
      <c r="F159" s="37" t="n"/>
      <c r="G159" s="37" t="n"/>
      <c r="H159" s="37" t="n"/>
      <c r="I159" s="37" t="n"/>
      <c r="J159" s="37" t="n"/>
      <c r="K159" s="38">
        <f>IF($C159="","",IFERROR(N(INDEX(tbl_Finance[Invoice Count],MATCH($AE159,tbl_Finance[Row ID],0))),""))</f>
        <v/>
      </c>
      <c r="L159" s="11">
        <f>IF($C159="","",IFERROR(N(INDEX(tbl_Finance[Xero Invoiced Ex GST],MATCH($AE159,tbl_Finance[Row ID],0))),""))</f>
        <v/>
      </c>
      <c r="M159" s="10">
        <f>IF($C159="","",IFERROR(INDEX(tbl_Finance[Compare],MATCH($AE159,tbl_Finance[Row ID],0))&amp;"",""))</f>
        <v/>
      </c>
      <c r="N159" s="11">
        <f>IF($C159="","",MAX(0,N(O159)-N(L159)))</f>
        <v/>
      </c>
      <c r="O159" s="39" t="n"/>
      <c r="P159" s="40">
        <f>IF($C159="","",IF((IF(F159="",", Client","")&amp;IF(G159="",", Description","")&amp;IF(H159="",", Cost Centre","")&amp;IF(I159="",", Invoice Type","")&amp;IF(J159="",", Tax Code","")&amp;IF(O159="",", Expected Revenue","")&amp;IF(COUNTIF(tbl_Finance[Job Number],$C159&amp;"")&gt;1,", Job number used twice",""))="","Complete","Fix: "&amp;MID(IF(F159="",", Client","")&amp;IF(G159="",", Description","")&amp;IF(H159="",", Cost Centre","")&amp;IF(I159="",", Invoice Type","")&amp;IF(J159="",", Tax Code","")&amp;IF(O159="",", Expected Revenue","")&amp;IF(COUNTIF(tbl_Finance[Job Number],$C159&amp;"")&gt;1,", Job number used twice",""),3,300)))</f>
        <v/>
      </c>
      <c r="Q159" s="10">
        <f>IF($C159="","",IF(H159="","(no cost centre)",H159&amp;" - GL "&amp;IFERROR(INDEX(lst_CCtoGL,MATCH(H159,lst_CCforGL,0)),"?")))</f>
        <v/>
      </c>
      <c r="R159" s="37" t="n"/>
      <c r="S159" s="10">
        <f>IF(R159="","",HYPERLINK(IF(LEFT(R159,4)="http",R159,set_QwilrBase&amp;R159),"Open quote"))</f>
        <v/>
      </c>
      <c r="T159" s="39" t="n"/>
      <c r="U159" s="39" t="n"/>
      <c r="V159" s="39" t="n"/>
      <c r="W159" s="10">
        <f>IF(C159="","",IF(N(T159)+N(U159)+N(V159)=0,"Not split",IF(ROUND(N(T159)+N(U159)+N(V159),2)=ROUND(MAX(N(L159),N(O159)),2),"OK","MISMATCH")))</f>
        <v/>
      </c>
      <c r="X159" s="39" t="n"/>
      <c r="Y159" s="39" t="n"/>
      <c r="Z159" s="39" t="n"/>
      <c r="AA159" s="11">
        <f>IF(C159="","",N(X159)+N(Y159)+N(Z159))</f>
        <v/>
      </c>
      <c r="AB159" s="11">
        <f>IF(C159="","",MAX(N(L159),N(O159))-N(AA159))</f>
        <v/>
      </c>
      <c r="AC159" s="43">
        <f>IFERROR(IF(MAX(N(L159),N(O159))=0,"",AB159/MAX(N(L159),N(O159))),"")</f>
        <v/>
      </c>
      <c r="AD159" s="37" t="n"/>
      <c r="AE159" s="10" t="inlineStr">
        <is>
          <t>CON-0155</t>
        </is>
      </c>
    </row>
    <row r="160">
      <c r="A160" s="16">
        <f>IF($C160="","",IFERROR(IF(INDEX(tbl_Finance[Latest Invoice Date],MATCH($AE160,tbl_Finance[Row ID],0))="","",INDEX(tbl_Finance[Latest Invoice Date],MATCH($AE160,tbl_Finance[Row ID],0))),""))</f>
        <v/>
      </c>
      <c r="B160" s="10">
        <f>IF($C160="","",IFERROR(INDEX(tbl_Finance[Invoice Numbers],MATCH($AE160,tbl_Finance[Row ID],0))&amp;"",""))</f>
        <v/>
      </c>
      <c r="C160" s="37" t="n"/>
      <c r="D160" s="10">
        <f>IF($C160="","",IF(COUNTIF(lst_Jobs,$C160&amp;"")&gt;0,"OK","CHECK"))</f>
        <v/>
      </c>
      <c r="E160" s="10">
        <f>IF($C160="","",IFERROR(INDEX(lst_JobName,MATCH($C160&amp;"",lst_Jobs,0)),""))</f>
        <v/>
      </c>
      <c r="F160" s="37" t="n"/>
      <c r="G160" s="37" t="n"/>
      <c r="H160" s="37" t="n"/>
      <c r="I160" s="37" t="n"/>
      <c r="J160" s="37" t="n"/>
      <c r="K160" s="38">
        <f>IF($C160="","",IFERROR(N(INDEX(tbl_Finance[Invoice Count],MATCH($AE160,tbl_Finance[Row ID],0))),""))</f>
        <v/>
      </c>
      <c r="L160" s="11">
        <f>IF($C160="","",IFERROR(N(INDEX(tbl_Finance[Xero Invoiced Ex GST],MATCH($AE160,tbl_Finance[Row ID],0))),""))</f>
        <v/>
      </c>
      <c r="M160" s="10">
        <f>IF($C160="","",IFERROR(INDEX(tbl_Finance[Compare],MATCH($AE160,tbl_Finance[Row ID],0))&amp;"",""))</f>
        <v/>
      </c>
      <c r="N160" s="11">
        <f>IF($C160="","",MAX(0,N(O160)-N(L160)))</f>
        <v/>
      </c>
      <c r="O160" s="39" t="n"/>
      <c r="P160" s="40">
        <f>IF($C160="","",IF((IF(F160="",", Client","")&amp;IF(G160="",", Description","")&amp;IF(H160="",", Cost Centre","")&amp;IF(I160="",", Invoice Type","")&amp;IF(J160="",", Tax Code","")&amp;IF(O160="",", Expected Revenue","")&amp;IF(COUNTIF(tbl_Finance[Job Number],$C160&amp;"")&gt;1,", Job number used twice",""))="","Complete","Fix: "&amp;MID(IF(F160="",", Client","")&amp;IF(G160="",", Description","")&amp;IF(H160="",", Cost Centre","")&amp;IF(I160="",", Invoice Type","")&amp;IF(J160="",", Tax Code","")&amp;IF(O160="",", Expected Revenue","")&amp;IF(COUNTIF(tbl_Finance[Job Number],$C160&amp;"")&gt;1,", Job number used twice",""),3,300)))</f>
        <v/>
      </c>
      <c r="Q160" s="10">
        <f>IF($C160="","",IF(H160="","(no cost centre)",H160&amp;" - GL "&amp;IFERROR(INDEX(lst_CCtoGL,MATCH(H160,lst_CCforGL,0)),"?")))</f>
        <v/>
      </c>
      <c r="R160" s="37" t="n"/>
      <c r="S160" s="10">
        <f>IF(R160="","",HYPERLINK(IF(LEFT(R160,4)="http",R160,set_QwilrBase&amp;R160),"Open quote"))</f>
        <v/>
      </c>
      <c r="T160" s="39" t="n"/>
      <c r="U160" s="39" t="n"/>
      <c r="V160" s="39" t="n"/>
      <c r="W160" s="10">
        <f>IF(C160="","",IF(N(T160)+N(U160)+N(V160)=0,"Not split",IF(ROUND(N(T160)+N(U160)+N(V160),2)=ROUND(MAX(N(L160),N(O160)),2),"OK","MISMATCH")))</f>
        <v/>
      </c>
      <c r="X160" s="39" t="n"/>
      <c r="Y160" s="39" t="n"/>
      <c r="Z160" s="39" t="n"/>
      <c r="AA160" s="11">
        <f>IF(C160="","",N(X160)+N(Y160)+N(Z160))</f>
        <v/>
      </c>
      <c r="AB160" s="11">
        <f>IF(C160="","",MAX(N(L160),N(O160))-N(AA160))</f>
        <v/>
      </c>
      <c r="AC160" s="43">
        <f>IFERROR(IF(MAX(N(L160),N(O160))=0,"",AB160/MAX(N(L160),N(O160))),"")</f>
        <v/>
      </c>
      <c r="AD160" s="37" t="n"/>
      <c r="AE160" s="10" t="inlineStr">
        <is>
          <t>CON-0156</t>
        </is>
      </c>
    </row>
    <row r="161">
      <c r="A161" s="16">
        <f>IF($C161="","",IFERROR(IF(INDEX(tbl_Finance[Latest Invoice Date],MATCH($AE161,tbl_Finance[Row ID],0))="","",INDEX(tbl_Finance[Latest Invoice Date],MATCH($AE161,tbl_Finance[Row ID],0))),""))</f>
        <v/>
      </c>
      <c r="B161" s="10">
        <f>IF($C161="","",IFERROR(INDEX(tbl_Finance[Invoice Numbers],MATCH($AE161,tbl_Finance[Row ID],0))&amp;"",""))</f>
        <v/>
      </c>
      <c r="C161" s="37" t="n"/>
      <c r="D161" s="10">
        <f>IF($C161="","",IF(COUNTIF(lst_Jobs,$C161&amp;"")&gt;0,"OK","CHECK"))</f>
        <v/>
      </c>
      <c r="E161" s="10">
        <f>IF($C161="","",IFERROR(INDEX(lst_JobName,MATCH($C161&amp;"",lst_Jobs,0)),""))</f>
        <v/>
      </c>
      <c r="F161" s="37" t="n"/>
      <c r="G161" s="37" t="n"/>
      <c r="H161" s="37" t="n"/>
      <c r="I161" s="37" t="n"/>
      <c r="J161" s="37" t="n"/>
      <c r="K161" s="38">
        <f>IF($C161="","",IFERROR(N(INDEX(tbl_Finance[Invoice Count],MATCH($AE161,tbl_Finance[Row ID],0))),""))</f>
        <v/>
      </c>
      <c r="L161" s="11">
        <f>IF($C161="","",IFERROR(N(INDEX(tbl_Finance[Xero Invoiced Ex GST],MATCH($AE161,tbl_Finance[Row ID],0))),""))</f>
        <v/>
      </c>
      <c r="M161" s="10">
        <f>IF($C161="","",IFERROR(INDEX(tbl_Finance[Compare],MATCH($AE161,tbl_Finance[Row ID],0))&amp;"",""))</f>
        <v/>
      </c>
      <c r="N161" s="11">
        <f>IF($C161="","",MAX(0,N(O161)-N(L161)))</f>
        <v/>
      </c>
      <c r="O161" s="39" t="n"/>
      <c r="P161" s="40">
        <f>IF($C161="","",IF((IF(F161="",", Client","")&amp;IF(G161="",", Description","")&amp;IF(H161="",", Cost Centre","")&amp;IF(I161="",", Invoice Type","")&amp;IF(J161="",", Tax Code","")&amp;IF(O161="",", Expected Revenue","")&amp;IF(COUNTIF(tbl_Finance[Job Number],$C161&amp;"")&gt;1,", Job number used twice",""))="","Complete","Fix: "&amp;MID(IF(F161="",", Client","")&amp;IF(G161="",", Description","")&amp;IF(H161="",", Cost Centre","")&amp;IF(I161="",", Invoice Type","")&amp;IF(J161="",", Tax Code","")&amp;IF(O161="",", Expected Revenue","")&amp;IF(COUNTIF(tbl_Finance[Job Number],$C161&amp;"")&gt;1,", Job number used twice",""),3,300)))</f>
        <v/>
      </c>
      <c r="Q161" s="10">
        <f>IF($C161="","",IF(H161="","(no cost centre)",H161&amp;" - GL "&amp;IFERROR(INDEX(lst_CCtoGL,MATCH(H161,lst_CCforGL,0)),"?")))</f>
        <v/>
      </c>
      <c r="R161" s="37" t="n"/>
      <c r="S161" s="10">
        <f>IF(R161="","",HYPERLINK(IF(LEFT(R161,4)="http",R161,set_QwilrBase&amp;R161),"Open quote"))</f>
        <v/>
      </c>
      <c r="T161" s="39" t="n"/>
      <c r="U161" s="39" t="n"/>
      <c r="V161" s="39" t="n"/>
      <c r="W161" s="10">
        <f>IF(C161="","",IF(N(T161)+N(U161)+N(V161)=0,"Not split",IF(ROUND(N(T161)+N(U161)+N(V161),2)=ROUND(MAX(N(L161),N(O161)),2),"OK","MISMATCH")))</f>
        <v/>
      </c>
      <c r="X161" s="39" t="n"/>
      <c r="Y161" s="39" t="n"/>
      <c r="Z161" s="39" t="n"/>
      <c r="AA161" s="11">
        <f>IF(C161="","",N(X161)+N(Y161)+N(Z161))</f>
        <v/>
      </c>
      <c r="AB161" s="11">
        <f>IF(C161="","",MAX(N(L161),N(O161))-N(AA161))</f>
        <v/>
      </c>
      <c r="AC161" s="43">
        <f>IFERROR(IF(MAX(N(L161),N(O161))=0,"",AB161/MAX(N(L161),N(O161))),"")</f>
        <v/>
      </c>
      <c r="AD161" s="37" t="n"/>
      <c r="AE161" s="10" t="inlineStr">
        <is>
          <t>CON-0157</t>
        </is>
      </c>
    </row>
    <row r="162">
      <c r="A162" s="16">
        <f>IF($C162="","",IFERROR(IF(INDEX(tbl_Finance[Latest Invoice Date],MATCH($AE162,tbl_Finance[Row ID],0))="","",INDEX(tbl_Finance[Latest Invoice Date],MATCH($AE162,tbl_Finance[Row ID],0))),""))</f>
        <v/>
      </c>
      <c r="B162" s="10">
        <f>IF($C162="","",IFERROR(INDEX(tbl_Finance[Invoice Numbers],MATCH($AE162,tbl_Finance[Row ID],0))&amp;"",""))</f>
        <v/>
      </c>
      <c r="C162" s="37" t="n"/>
      <c r="D162" s="10">
        <f>IF($C162="","",IF(COUNTIF(lst_Jobs,$C162&amp;"")&gt;0,"OK","CHECK"))</f>
        <v/>
      </c>
      <c r="E162" s="10">
        <f>IF($C162="","",IFERROR(INDEX(lst_JobName,MATCH($C162&amp;"",lst_Jobs,0)),""))</f>
        <v/>
      </c>
      <c r="F162" s="37" t="n"/>
      <c r="G162" s="37" t="n"/>
      <c r="H162" s="37" t="n"/>
      <c r="I162" s="37" t="n"/>
      <c r="J162" s="37" t="n"/>
      <c r="K162" s="38">
        <f>IF($C162="","",IFERROR(N(INDEX(tbl_Finance[Invoice Count],MATCH($AE162,tbl_Finance[Row ID],0))),""))</f>
        <v/>
      </c>
      <c r="L162" s="11">
        <f>IF($C162="","",IFERROR(N(INDEX(tbl_Finance[Xero Invoiced Ex GST],MATCH($AE162,tbl_Finance[Row ID],0))),""))</f>
        <v/>
      </c>
      <c r="M162" s="10">
        <f>IF($C162="","",IFERROR(INDEX(tbl_Finance[Compare],MATCH($AE162,tbl_Finance[Row ID],0))&amp;"",""))</f>
        <v/>
      </c>
      <c r="N162" s="11">
        <f>IF($C162="","",MAX(0,N(O162)-N(L162)))</f>
        <v/>
      </c>
      <c r="O162" s="39" t="n"/>
      <c r="P162" s="40">
        <f>IF($C162="","",IF((IF(F162="",", Client","")&amp;IF(G162="",", Description","")&amp;IF(H162="",", Cost Centre","")&amp;IF(I162="",", Invoice Type","")&amp;IF(J162="",", Tax Code","")&amp;IF(O162="",", Expected Revenue","")&amp;IF(COUNTIF(tbl_Finance[Job Number],$C162&amp;"")&gt;1,", Job number used twice",""))="","Complete","Fix: "&amp;MID(IF(F162="",", Client","")&amp;IF(G162="",", Description","")&amp;IF(H162="",", Cost Centre","")&amp;IF(I162="",", Invoice Type","")&amp;IF(J162="",", Tax Code","")&amp;IF(O162="",", Expected Revenue","")&amp;IF(COUNTIF(tbl_Finance[Job Number],$C162&amp;"")&gt;1,", Job number used twice",""),3,300)))</f>
        <v/>
      </c>
      <c r="Q162" s="10">
        <f>IF($C162="","",IF(H162="","(no cost centre)",H162&amp;" - GL "&amp;IFERROR(INDEX(lst_CCtoGL,MATCH(H162,lst_CCforGL,0)),"?")))</f>
        <v/>
      </c>
      <c r="R162" s="37" t="n"/>
      <c r="S162" s="10">
        <f>IF(R162="","",HYPERLINK(IF(LEFT(R162,4)="http",R162,set_QwilrBase&amp;R162),"Open quote"))</f>
        <v/>
      </c>
      <c r="T162" s="39" t="n"/>
      <c r="U162" s="39" t="n"/>
      <c r="V162" s="39" t="n"/>
      <c r="W162" s="10">
        <f>IF(C162="","",IF(N(T162)+N(U162)+N(V162)=0,"Not split",IF(ROUND(N(T162)+N(U162)+N(V162),2)=ROUND(MAX(N(L162),N(O162)),2),"OK","MISMATCH")))</f>
        <v/>
      </c>
      <c r="X162" s="39" t="n"/>
      <c r="Y162" s="39" t="n"/>
      <c r="Z162" s="39" t="n"/>
      <c r="AA162" s="11">
        <f>IF(C162="","",N(X162)+N(Y162)+N(Z162))</f>
        <v/>
      </c>
      <c r="AB162" s="11">
        <f>IF(C162="","",MAX(N(L162),N(O162))-N(AA162))</f>
        <v/>
      </c>
      <c r="AC162" s="43">
        <f>IFERROR(IF(MAX(N(L162),N(O162))=0,"",AB162/MAX(N(L162),N(O162))),"")</f>
        <v/>
      </c>
      <c r="AD162" s="37" t="n"/>
      <c r="AE162" s="10" t="inlineStr">
        <is>
          <t>CON-0158</t>
        </is>
      </c>
    </row>
    <row r="163">
      <c r="A163" s="16">
        <f>IF($C163="","",IFERROR(IF(INDEX(tbl_Finance[Latest Invoice Date],MATCH($AE163,tbl_Finance[Row ID],0))="","",INDEX(tbl_Finance[Latest Invoice Date],MATCH($AE163,tbl_Finance[Row ID],0))),""))</f>
        <v/>
      </c>
      <c r="B163" s="10">
        <f>IF($C163="","",IFERROR(INDEX(tbl_Finance[Invoice Numbers],MATCH($AE163,tbl_Finance[Row ID],0))&amp;"",""))</f>
        <v/>
      </c>
      <c r="C163" s="37" t="n"/>
      <c r="D163" s="10">
        <f>IF($C163="","",IF(COUNTIF(lst_Jobs,$C163&amp;"")&gt;0,"OK","CHECK"))</f>
        <v/>
      </c>
      <c r="E163" s="10">
        <f>IF($C163="","",IFERROR(INDEX(lst_JobName,MATCH($C163&amp;"",lst_Jobs,0)),""))</f>
        <v/>
      </c>
      <c r="F163" s="37" t="n"/>
      <c r="G163" s="37" t="n"/>
      <c r="H163" s="37" t="n"/>
      <c r="I163" s="37" t="n"/>
      <c r="J163" s="37" t="n"/>
      <c r="K163" s="38">
        <f>IF($C163="","",IFERROR(N(INDEX(tbl_Finance[Invoice Count],MATCH($AE163,tbl_Finance[Row ID],0))),""))</f>
        <v/>
      </c>
      <c r="L163" s="11">
        <f>IF($C163="","",IFERROR(N(INDEX(tbl_Finance[Xero Invoiced Ex GST],MATCH($AE163,tbl_Finance[Row ID],0))),""))</f>
        <v/>
      </c>
      <c r="M163" s="10">
        <f>IF($C163="","",IFERROR(INDEX(tbl_Finance[Compare],MATCH($AE163,tbl_Finance[Row ID],0))&amp;"",""))</f>
        <v/>
      </c>
      <c r="N163" s="11">
        <f>IF($C163="","",MAX(0,N(O163)-N(L163)))</f>
        <v/>
      </c>
      <c r="O163" s="39" t="n"/>
      <c r="P163" s="40">
        <f>IF($C163="","",IF((IF(F163="",", Client","")&amp;IF(G163="",", Description","")&amp;IF(H163="",", Cost Centre","")&amp;IF(I163="",", Invoice Type","")&amp;IF(J163="",", Tax Code","")&amp;IF(O163="",", Expected Revenue","")&amp;IF(COUNTIF(tbl_Finance[Job Number],$C163&amp;"")&gt;1,", Job number used twice",""))="","Complete","Fix: "&amp;MID(IF(F163="",", Client","")&amp;IF(G163="",", Description","")&amp;IF(H163="",", Cost Centre","")&amp;IF(I163="",", Invoice Type","")&amp;IF(J163="",", Tax Code","")&amp;IF(O163="",", Expected Revenue","")&amp;IF(COUNTIF(tbl_Finance[Job Number],$C163&amp;"")&gt;1,", Job number used twice",""),3,300)))</f>
        <v/>
      </c>
      <c r="Q163" s="10">
        <f>IF($C163="","",IF(H163="","(no cost centre)",H163&amp;" - GL "&amp;IFERROR(INDEX(lst_CCtoGL,MATCH(H163,lst_CCforGL,0)),"?")))</f>
        <v/>
      </c>
      <c r="R163" s="37" t="n"/>
      <c r="S163" s="10">
        <f>IF(R163="","",HYPERLINK(IF(LEFT(R163,4)="http",R163,set_QwilrBase&amp;R163),"Open quote"))</f>
        <v/>
      </c>
      <c r="T163" s="39" t="n"/>
      <c r="U163" s="39" t="n"/>
      <c r="V163" s="39" t="n"/>
      <c r="W163" s="10">
        <f>IF(C163="","",IF(N(T163)+N(U163)+N(V163)=0,"Not split",IF(ROUND(N(T163)+N(U163)+N(V163),2)=ROUND(MAX(N(L163),N(O163)),2),"OK","MISMATCH")))</f>
        <v/>
      </c>
      <c r="X163" s="39" t="n"/>
      <c r="Y163" s="39" t="n"/>
      <c r="Z163" s="39" t="n"/>
      <c r="AA163" s="11">
        <f>IF(C163="","",N(X163)+N(Y163)+N(Z163))</f>
        <v/>
      </c>
      <c r="AB163" s="11">
        <f>IF(C163="","",MAX(N(L163),N(O163))-N(AA163))</f>
        <v/>
      </c>
      <c r="AC163" s="43">
        <f>IFERROR(IF(MAX(N(L163),N(O163))=0,"",AB163/MAX(N(L163),N(O163))),"")</f>
        <v/>
      </c>
      <c r="AD163" s="37" t="n"/>
      <c r="AE163" s="10" t="inlineStr">
        <is>
          <t>CON-0159</t>
        </is>
      </c>
    </row>
    <row r="164">
      <c r="A164" s="16">
        <f>IF($C164="","",IFERROR(IF(INDEX(tbl_Finance[Latest Invoice Date],MATCH($AE164,tbl_Finance[Row ID],0))="","",INDEX(tbl_Finance[Latest Invoice Date],MATCH($AE164,tbl_Finance[Row ID],0))),""))</f>
        <v/>
      </c>
      <c r="B164" s="10">
        <f>IF($C164="","",IFERROR(INDEX(tbl_Finance[Invoice Numbers],MATCH($AE164,tbl_Finance[Row ID],0))&amp;"",""))</f>
        <v/>
      </c>
      <c r="C164" s="37" t="n"/>
      <c r="D164" s="10">
        <f>IF($C164="","",IF(COUNTIF(lst_Jobs,$C164&amp;"")&gt;0,"OK","CHECK"))</f>
        <v/>
      </c>
      <c r="E164" s="10">
        <f>IF($C164="","",IFERROR(INDEX(lst_JobName,MATCH($C164&amp;"",lst_Jobs,0)),""))</f>
        <v/>
      </c>
      <c r="F164" s="37" t="n"/>
      <c r="G164" s="37" t="n"/>
      <c r="H164" s="37" t="n"/>
      <c r="I164" s="37" t="n"/>
      <c r="J164" s="37" t="n"/>
      <c r="K164" s="38">
        <f>IF($C164="","",IFERROR(N(INDEX(tbl_Finance[Invoice Count],MATCH($AE164,tbl_Finance[Row ID],0))),""))</f>
        <v/>
      </c>
      <c r="L164" s="11">
        <f>IF($C164="","",IFERROR(N(INDEX(tbl_Finance[Xero Invoiced Ex GST],MATCH($AE164,tbl_Finance[Row ID],0))),""))</f>
        <v/>
      </c>
      <c r="M164" s="10">
        <f>IF($C164="","",IFERROR(INDEX(tbl_Finance[Compare],MATCH($AE164,tbl_Finance[Row ID],0))&amp;"",""))</f>
        <v/>
      </c>
      <c r="N164" s="11">
        <f>IF($C164="","",MAX(0,N(O164)-N(L164)))</f>
        <v/>
      </c>
      <c r="O164" s="39" t="n"/>
      <c r="P164" s="40">
        <f>IF($C164="","",IF((IF(F164="",", Client","")&amp;IF(G164="",", Description","")&amp;IF(H164="",", Cost Centre","")&amp;IF(I164="",", Invoice Type","")&amp;IF(J164="",", Tax Code","")&amp;IF(O164="",", Expected Revenue","")&amp;IF(COUNTIF(tbl_Finance[Job Number],$C164&amp;"")&gt;1,", Job number used twice",""))="","Complete","Fix: "&amp;MID(IF(F164="",", Client","")&amp;IF(G164="",", Description","")&amp;IF(H164="",", Cost Centre","")&amp;IF(I164="",", Invoice Type","")&amp;IF(J164="",", Tax Code","")&amp;IF(O164="",", Expected Revenue","")&amp;IF(COUNTIF(tbl_Finance[Job Number],$C164&amp;"")&gt;1,", Job number used twice",""),3,300)))</f>
        <v/>
      </c>
      <c r="Q164" s="10">
        <f>IF($C164="","",IF(H164="","(no cost centre)",H164&amp;" - GL "&amp;IFERROR(INDEX(lst_CCtoGL,MATCH(H164,lst_CCforGL,0)),"?")))</f>
        <v/>
      </c>
      <c r="R164" s="37" t="n"/>
      <c r="S164" s="10">
        <f>IF(R164="","",HYPERLINK(IF(LEFT(R164,4)="http",R164,set_QwilrBase&amp;R164),"Open quote"))</f>
        <v/>
      </c>
      <c r="T164" s="39" t="n"/>
      <c r="U164" s="39" t="n"/>
      <c r="V164" s="39" t="n"/>
      <c r="W164" s="10">
        <f>IF(C164="","",IF(N(T164)+N(U164)+N(V164)=0,"Not split",IF(ROUND(N(T164)+N(U164)+N(V164),2)=ROUND(MAX(N(L164),N(O164)),2),"OK","MISMATCH")))</f>
        <v/>
      </c>
      <c r="X164" s="39" t="n"/>
      <c r="Y164" s="39" t="n"/>
      <c r="Z164" s="39" t="n"/>
      <c r="AA164" s="11">
        <f>IF(C164="","",N(X164)+N(Y164)+N(Z164))</f>
        <v/>
      </c>
      <c r="AB164" s="11">
        <f>IF(C164="","",MAX(N(L164),N(O164))-N(AA164))</f>
        <v/>
      </c>
      <c r="AC164" s="43">
        <f>IFERROR(IF(MAX(N(L164),N(O164))=0,"",AB164/MAX(N(L164),N(O164))),"")</f>
        <v/>
      </c>
      <c r="AD164" s="37" t="n"/>
      <c r="AE164" s="10" t="inlineStr">
        <is>
          <t>CON-0160</t>
        </is>
      </c>
    </row>
    <row r="165">
      <c r="A165" s="16">
        <f>IF($C165="","",IFERROR(IF(INDEX(tbl_Finance[Latest Invoice Date],MATCH($AE165,tbl_Finance[Row ID],0))="","",INDEX(tbl_Finance[Latest Invoice Date],MATCH($AE165,tbl_Finance[Row ID],0))),""))</f>
        <v/>
      </c>
      <c r="B165" s="10">
        <f>IF($C165="","",IFERROR(INDEX(tbl_Finance[Invoice Numbers],MATCH($AE165,tbl_Finance[Row ID],0))&amp;"",""))</f>
        <v/>
      </c>
      <c r="C165" s="37" t="n"/>
      <c r="D165" s="10">
        <f>IF($C165="","",IF(COUNTIF(lst_Jobs,$C165&amp;"")&gt;0,"OK","CHECK"))</f>
        <v/>
      </c>
      <c r="E165" s="10">
        <f>IF($C165="","",IFERROR(INDEX(lst_JobName,MATCH($C165&amp;"",lst_Jobs,0)),""))</f>
        <v/>
      </c>
      <c r="F165" s="37" t="n"/>
      <c r="G165" s="37" t="n"/>
      <c r="H165" s="37" t="n"/>
      <c r="I165" s="37" t="n"/>
      <c r="J165" s="37" t="n"/>
      <c r="K165" s="38">
        <f>IF($C165="","",IFERROR(N(INDEX(tbl_Finance[Invoice Count],MATCH($AE165,tbl_Finance[Row ID],0))),""))</f>
        <v/>
      </c>
      <c r="L165" s="11">
        <f>IF($C165="","",IFERROR(N(INDEX(tbl_Finance[Xero Invoiced Ex GST],MATCH($AE165,tbl_Finance[Row ID],0))),""))</f>
        <v/>
      </c>
      <c r="M165" s="10">
        <f>IF($C165="","",IFERROR(INDEX(tbl_Finance[Compare],MATCH($AE165,tbl_Finance[Row ID],0))&amp;"",""))</f>
        <v/>
      </c>
      <c r="N165" s="11">
        <f>IF($C165="","",MAX(0,N(O165)-N(L165)))</f>
        <v/>
      </c>
      <c r="O165" s="39" t="n"/>
      <c r="P165" s="40">
        <f>IF($C165="","",IF((IF(F165="",", Client","")&amp;IF(G165="",", Description","")&amp;IF(H165="",", Cost Centre","")&amp;IF(I165="",", Invoice Type","")&amp;IF(J165="",", Tax Code","")&amp;IF(O165="",", Expected Revenue","")&amp;IF(COUNTIF(tbl_Finance[Job Number],$C165&amp;"")&gt;1,", Job number used twice",""))="","Complete","Fix: "&amp;MID(IF(F165="",", Client","")&amp;IF(G165="",", Description","")&amp;IF(H165="",", Cost Centre","")&amp;IF(I165="",", Invoice Type","")&amp;IF(J165="",", Tax Code","")&amp;IF(O165="",", Expected Revenue","")&amp;IF(COUNTIF(tbl_Finance[Job Number],$C165&amp;"")&gt;1,", Job number used twice",""),3,300)))</f>
        <v/>
      </c>
      <c r="Q165" s="10">
        <f>IF($C165="","",IF(H165="","(no cost centre)",H165&amp;" - GL "&amp;IFERROR(INDEX(lst_CCtoGL,MATCH(H165,lst_CCforGL,0)),"?")))</f>
        <v/>
      </c>
      <c r="R165" s="37" t="n"/>
      <c r="S165" s="10">
        <f>IF(R165="","",HYPERLINK(IF(LEFT(R165,4)="http",R165,set_QwilrBase&amp;R165),"Open quote"))</f>
        <v/>
      </c>
      <c r="T165" s="39" t="n"/>
      <c r="U165" s="39" t="n"/>
      <c r="V165" s="39" t="n"/>
      <c r="W165" s="10">
        <f>IF(C165="","",IF(N(T165)+N(U165)+N(V165)=0,"Not split",IF(ROUND(N(T165)+N(U165)+N(V165),2)=ROUND(MAX(N(L165),N(O165)),2),"OK","MISMATCH")))</f>
        <v/>
      </c>
      <c r="X165" s="39" t="n"/>
      <c r="Y165" s="39" t="n"/>
      <c r="Z165" s="39" t="n"/>
      <c r="AA165" s="11">
        <f>IF(C165="","",N(X165)+N(Y165)+N(Z165))</f>
        <v/>
      </c>
      <c r="AB165" s="11">
        <f>IF(C165="","",MAX(N(L165),N(O165))-N(AA165))</f>
        <v/>
      </c>
      <c r="AC165" s="43">
        <f>IFERROR(IF(MAX(N(L165),N(O165))=0,"",AB165/MAX(N(L165),N(O165))),"")</f>
        <v/>
      </c>
      <c r="AD165" s="37" t="n"/>
      <c r="AE165" s="10" t="inlineStr">
        <is>
          <t>CON-0161</t>
        </is>
      </c>
    </row>
    <row r="166">
      <c r="A166" s="16">
        <f>IF($C166="","",IFERROR(IF(INDEX(tbl_Finance[Latest Invoice Date],MATCH($AE166,tbl_Finance[Row ID],0))="","",INDEX(tbl_Finance[Latest Invoice Date],MATCH($AE166,tbl_Finance[Row ID],0))),""))</f>
        <v/>
      </c>
      <c r="B166" s="10">
        <f>IF($C166="","",IFERROR(INDEX(tbl_Finance[Invoice Numbers],MATCH($AE166,tbl_Finance[Row ID],0))&amp;"",""))</f>
        <v/>
      </c>
      <c r="C166" s="37" t="n"/>
      <c r="D166" s="10">
        <f>IF($C166="","",IF(COUNTIF(lst_Jobs,$C166&amp;"")&gt;0,"OK","CHECK"))</f>
        <v/>
      </c>
      <c r="E166" s="10">
        <f>IF($C166="","",IFERROR(INDEX(lst_JobName,MATCH($C166&amp;"",lst_Jobs,0)),""))</f>
        <v/>
      </c>
      <c r="F166" s="37" t="n"/>
      <c r="G166" s="37" t="n"/>
      <c r="H166" s="37" t="n"/>
      <c r="I166" s="37" t="n"/>
      <c r="J166" s="37" t="n"/>
      <c r="K166" s="38">
        <f>IF($C166="","",IFERROR(N(INDEX(tbl_Finance[Invoice Count],MATCH($AE166,tbl_Finance[Row ID],0))),""))</f>
        <v/>
      </c>
      <c r="L166" s="11">
        <f>IF($C166="","",IFERROR(N(INDEX(tbl_Finance[Xero Invoiced Ex GST],MATCH($AE166,tbl_Finance[Row ID],0))),""))</f>
        <v/>
      </c>
      <c r="M166" s="10">
        <f>IF($C166="","",IFERROR(INDEX(tbl_Finance[Compare],MATCH($AE166,tbl_Finance[Row ID],0))&amp;"",""))</f>
        <v/>
      </c>
      <c r="N166" s="11">
        <f>IF($C166="","",MAX(0,N(O166)-N(L166)))</f>
        <v/>
      </c>
      <c r="O166" s="39" t="n"/>
      <c r="P166" s="40">
        <f>IF($C166="","",IF((IF(F166="",", Client","")&amp;IF(G166="",", Description","")&amp;IF(H166="",", Cost Centre","")&amp;IF(I166="",", Invoice Type","")&amp;IF(J166="",", Tax Code","")&amp;IF(O166="",", Expected Revenue","")&amp;IF(COUNTIF(tbl_Finance[Job Number],$C166&amp;"")&gt;1,", Job number used twice",""))="","Complete","Fix: "&amp;MID(IF(F166="",", Client","")&amp;IF(G166="",", Description","")&amp;IF(H166="",", Cost Centre","")&amp;IF(I166="",", Invoice Type","")&amp;IF(J166="",", Tax Code","")&amp;IF(O166="",", Expected Revenue","")&amp;IF(COUNTIF(tbl_Finance[Job Number],$C166&amp;"")&gt;1,", Job number used twice",""),3,300)))</f>
        <v/>
      </c>
      <c r="Q166" s="10">
        <f>IF($C166="","",IF(H166="","(no cost centre)",H166&amp;" - GL "&amp;IFERROR(INDEX(lst_CCtoGL,MATCH(H166,lst_CCforGL,0)),"?")))</f>
        <v/>
      </c>
      <c r="R166" s="37" t="n"/>
      <c r="S166" s="10">
        <f>IF(R166="","",HYPERLINK(IF(LEFT(R166,4)="http",R166,set_QwilrBase&amp;R166),"Open quote"))</f>
        <v/>
      </c>
      <c r="T166" s="39" t="n"/>
      <c r="U166" s="39" t="n"/>
      <c r="V166" s="39" t="n"/>
      <c r="W166" s="10">
        <f>IF(C166="","",IF(N(T166)+N(U166)+N(V166)=0,"Not split",IF(ROUND(N(T166)+N(U166)+N(V166),2)=ROUND(MAX(N(L166),N(O166)),2),"OK","MISMATCH")))</f>
        <v/>
      </c>
      <c r="X166" s="39" t="n"/>
      <c r="Y166" s="39" t="n"/>
      <c r="Z166" s="39" t="n"/>
      <c r="AA166" s="11">
        <f>IF(C166="","",N(X166)+N(Y166)+N(Z166))</f>
        <v/>
      </c>
      <c r="AB166" s="11">
        <f>IF(C166="","",MAX(N(L166),N(O166))-N(AA166))</f>
        <v/>
      </c>
      <c r="AC166" s="43">
        <f>IFERROR(IF(MAX(N(L166),N(O166))=0,"",AB166/MAX(N(L166),N(O166))),"")</f>
        <v/>
      </c>
      <c r="AD166" s="37" t="n"/>
      <c r="AE166" s="10" t="inlineStr">
        <is>
          <t>CON-0162</t>
        </is>
      </c>
    </row>
    <row r="167">
      <c r="A167" s="16">
        <f>IF($C167="","",IFERROR(IF(INDEX(tbl_Finance[Latest Invoice Date],MATCH($AE167,tbl_Finance[Row ID],0))="","",INDEX(tbl_Finance[Latest Invoice Date],MATCH($AE167,tbl_Finance[Row ID],0))),""))</f>
        <v/>
      </c>
      <c r="B167" s="10">
        <f>IF($C167="","",IFERROR(INDEX(tbl_Finance[Invoice Numbers],MATCH($AE167,tbl_Finance[Row ID],0))&amp;"",""))</f>
        <v/>
      </c>
      <c r="C167" s="37" t="n"/>
      <c r="D167" s="10">
        <f>IF($C167="","",IF(COUNTIF(lst_Jobs,$C167&amp;"")&gt;0,"OK","CHECK"))</f>
        <v/>
      </c>
      <c r="E167" s="10">
        <f>IF($C167="","",IFERROR(INDEX(lst_JobName,MATCH($C167&amp;"",lst_Jobs,0)),""))</f>
        <v/>
      </c>
      <c r="F167" s="37" t="n"/>
      <c r="G167" s="37" t="n"/>
      <c r="H167" s="37" t="n"/>
      <c r="I167" s="37" t="n"/>
      <c r="J167" s="37" t="n"/>
      <c r="K167" s="38">
        <f>IF($C167="","",IFERROR(N(INDEX(tbl_Finance[Invoice Count],MATCH($AE167,tbl_Finance[Row ID],0))),""))</f>
        <v/>
      </c>
      <c r="L167" s="11">
        <f>IF($C167="","",IFERROR(N(INDEX(tbl_Finance[Xero Invoiced Ex GST],MATCH($AE167,tbl_Finance[Row ID],0))),""))</f>
        <v/>
      </c>
      <c r="M167" s="10">
        <f>IF($C167="","",IFERROR(INDEX(tbl_Finance[Compare],MATCH($AE167,tbl_Finance[Row ID],0))&amp;"",""))</f>
        <v/>
      </c>
      <c r="N167" s="11">
        <f>IF($C167="","",MAX(0,N(O167)-N(L167)))</f>
        <v/>
      </c>
      <c r="O167" s="39" t="n"/>
      <c r="P167" s="40">
        <f>IF($C167="","",IF((IF(F167="",", Client","")&amp;IF(G167="",", Description","")&amp;IF(H167="",", Cost Centre","")&amp;IF(I167="",", Invoice Type","")&amp;IF(J167="",", Tax Code","")&amp;IF(O167="",", Expected Revenue","")&amp;IF(COUNTIF(tbl_Finance[Job Number],$C167&amp;"")&gt;1,", Job number used twice",""))="","Complete","Fix: "&amp;MID(IF(F167="",", Client","")&amp;IF(G167="",", Description","")&amp;IF(H167="",", Cost Centre","")&amp;IF(I167="",", Invoice Type","")&amp;IF(J167="",", Tax Code","")&amp;IF(O167="",", Expected Revenue","")&amp;IF(COUNTIF(tbl_Finance[Job Number],$C167&amp;"")&gt;1,", Job number used twice",""),3,300)))</f>
        <v/>
      </c>
      <c r="Q167" s="10">
        <f>IF($C167="","",IF(H167="","(no cost centre)",H167&amp;" - GL "&amp;IFERROR(INDEX(lst_CCtoGL,MATCH(H167,lst_CCforGL,0)),"?")))</f>
        <v/>
      </c>
      <c r="R167" s="37" t="n"/>
      <c r="S167" s="10">
        <f>IF(R167="","",HYPERLINK(IF(LEFT(R167,4)="http",R167,set_QwilrBase&amp;R167),"Open quote"))</f>
        <v/>
      </c>
      <c r="T167" s="39" t="n"/>
      <c r="U167" s="39" t="n"/>
      <c r="V167" s="39" t="n"/>
      <c r="W167" s="10">
        <f>IF(C167="","",IF(N(T167)+N(U167)+N(V167)=0,"Not split",IF(ROUND(N(T167)+N(U167)+N(V167),2)=ROUND(MAX(N(L167),N(O167)),2),"OK","MISMATCH")))</f>
        <v/>
      </c>
      <c r="X167" s="39" t="n"/>
      <c r="Y167" s="39" t="n"/>
      <c r="Z167" s="39" t="n"/>
      <c r="AA167" s="11">
        <f>IF(C167="","",N(X167)+N(Y167)+N(Z167))</f>
        <v/>
      </c>
      <c r="AB167" s="11">
        <f>IF(C167="","",MAX(N(L167),N(O167))-N(AA167))</f>
        <v/>
      </c>
      <c r="AC167" s="43">
        <f>IFERROR(IF(MAX(N(L167),N(O167))=0,"",AB167/MAX(N(L167),N(O167))),"")</f>
        <v/>
      </c>
      <c r="AD167" s="37" t="n"/>
      <c r="AE167" s="10" t="inlineStr">
        <is>
          <t>CON-0163</t>
        </is>
      </c>
    </row>
    <row r="168">
      <c r="A168" s="16">
        <f>IF($C168="","",IFERROR(IF(INDEX(tbl_Finance[Latest Invoice Date],MATCH($AE168,tbl_Finance[Row ID],0))="","",INDEX(tbl_Finance[Latest Invoice Date],MATCH($AE168,tbl_Finance[Row ID],0))),""))</f>
        <v/>
      </c>
      <c r="B168" s="10">
        <f>IF($C168="","",IFERROR(INDEX(tbl_Finance[Invoice Numbers],MATCH($AE168,tbl_Finance[Row ID],0))&amp;"",""))</f>
        <v/>
      </c>
      <c r="C168" s="37" t="n"/>
      <c r="D168" s="10">
        <f>IF($C168="","",IF(COUNTIF(lst_Jobs,$C168&amp;"")&gt;0,"OK","CHECK"))</f>
        <v/>
      </c>
      <c r="E168" s="10">
        <f>IF($C168="","",IFERROR(INDEX(lst_JobName,MATCH($C168&amp;"",lst_Jobs,0)),""))</f>
        <v/>
      </c>
      <c r="F168" s="37" t="n"/>
      <c r="G168" s="37" t="n"/>
      <c r="H168" s="37" t="n"/>
      <c r="I168" s="37" t="n"/>
      <c r="J168" s="37" t="n"/>
      <c r="K168" s="38">
        <f>IF($C168="","",IFERROR(N(INDEX(tbl_Finance[Invoice Count],MATCH($AE168,tbl_Finance[Row ID],0))),""))</f>
        <v/>
      </c>
      <c r="L168" s="11">
        <f>IF($C168="","",IFERROR(N(INDEX(tbl_Finance[Xero Invoiced Ex GST],MATCH($AE168,tbl_Finance[Row ID],0))),""))</f>
        <v/>
      </c>
      <c r="M168" s="10">
        <f>IF($C168="","",IFERROR(INDEX(tbl_Finance[Compare],MATCH($AE168,tbl_Finance[Row ID],0))&amp;"",""))</f>
        <v/>
      </c>
      <c r="N168" s="11">
        <f>IF($C168="","",MAX(0,N(O168)-N(L168)))</f>
        <v/>
      </c>
      <c r="O168" s="39" t="n"/>
      <c r="P168" s="40">
        <f>IF($C168="","",IF((IF(F168="",", Client","")&amp;IF(G168="",", Description","")&amp;IF(H168="",", Cost Centre","")&amp;IF(I168="",", Invoice Type","")&amp;IF(J168="",", Tax Code","")&amp;IF(O168="",", Expected Revenue","")&amp;IF(COUNTIF(tbl_Finance[Job Number],$C168&amp;"")&gt;1,", Job number used twice",""))="","Complete","Fix: "&amp;MID(IF(F168="",", Client","")&amp;IF(G168="",", Description","")&amp;IF(H168="",", Cost Centre","")&amp;IF(I168="",", Invoice Type","")&amp;IF(J168="",", Tax Code","")&amp;IF(O168="",", Expected Revenue","")&amp;IF(COUNTIF(tbl_Finance[Job Number],$C168&amp;"")&gt;1,", Job number used twice",""),3,300)))</f>
        <v/>
      </c>
      <c r="Q168" s="10">
        <f>IF($C168="","",IF(H168="","(no cost centre)",H168&amp;" - GL "&amp;IFERROR(INDEX(lst_CCtoGL,MATCH(H168,lst_CCforGL,0)),"?")))</f>
        <v/>
      </c>
      <c r="R168" s="37" t="n"/>
      <c r="S168" s="10">
        <f>IF(R168="","",HYPERLINK(IF(LEFT(R168,4)="http",R168,set_QwilrBase&amp;R168),"Open quote"))</f>
        <v/>
      </c>
      <c r="T168" s="39" t="n"/>
      <c r="U168" s="39" t="n"/>
      <c r="V168" s="39" t="n"/>
      <c r="W168" s="10">
        <f>IF(C168="","",IF(N(T168)+N(U168)+N(V168)=0,"Not split",IF(ROUND(N(T168)+N(U168)+N(V168),2)=ROUND(MAX(N(L168),N(O168)),2),"OK","MISMATCH")))</f>
        <v/>
      </c>
      <c r="X168" s="39" t="n"/>
      <c r="Y168" s="39" t="n"/>
      <c r="Z168" s="39" t="n"/>
      <c r="AA168" s="11">
        <f>IF(C168="","",N(X168)+N(Y168)+N(Z168))</f>
        <v/>
      </c>
      <c r="AB168" s="11">
        <f>IF(C168="","",MAX(N(L168),N(O168))-N(AA168))</f>
        <v/>
      </c>
      <c r="AC168" s="43">
        <f>IFERROR(IF(MAX(N(L168),N(O168))=0,"",AB168/MAX(N(L168),N(O168))),"")</f>
        <v/>
      </c>
      <c r="AD168" s="37" t="n"/>
      <c r="AE168" s="10" t="inlineStr">
        <is>
          <t>CON-0164</t>
        </is>
      </c>
    </row>
    <row r="169">
      <c r="A169" s="16">
        <f>IF($C169="","",IFERROR(IF(INDEX(tbl_Finance[Latest Invoice Date],MATCH($AE169,tbl_Finance[Row ID],0))="","",INDEX(tbl_Finance[Latest Invoice Date],MATCH($AE169,tbl_Finance[Row ID],0))),""))</f>
        <v/>
      </c>
      <c r="B169" s="10">
        <f>IF($C169="","",IFERROR(INDEX(tbl_Finance[Invoice Numbers],MATCH($AE169,tbl_Finance[Row ID],0))&amp;"",""))</f>
        <v/>
      </c>
      <c r="C169" s="37" t="n"/>
      <c r="D169" s="10">
        <f>IF($C169="","",IF(COUNTIF(lst_Jobs,$C169&amp;"")&gt;0,"OK","CHECK"))</f>
        <v/>
      </c>
      <c r="E169" s="10">
        <f>IF($C169="","",IFERROR(INDEX(lst_JobName,MATCH($C169&amp;"",lst_Jobs,0)),""))</f>
        <v/>
      </c>
      <c r="F169" s="37" t="n"/>
      <c r="G169" s="37" t="n"/>
      <c r="H169" s="37" t="n"/>
      <c r="I169" s="37" t="n"/>
      <c r="J169" s="37" t="n"/>
      <c r="K169" s="38">
        <f>IF($C169="","",IFERROR(N(INDEX(tbl_Finance[Invoice Count],MATCH($AE169,tbl_Finance[Row ID],0))),""))</f>
        <v/>
      </c>
      <c r="L169" s="11">
        <f>IF($C169="","",IFERROR(N(INDEX(tbl_Finance[Xero Invoiced Ex GST],MATCH($AE169,tbl_Finance[Row ID],0))),""))</f>
        <v/>
      </c>
      <c r="M169" s="10">
        <f>IF($C169="","",IFERROR(INDEX(tbl_Finance[Compare],MATCH($AE169,tbl_Finance[Row ID],0))&amp;"",""))</f>
        <v/>
      </c>
      <c r="N169" s="11">
        <f>IF($C169="","",MAX(0,N(O169)-N(L169)))</f>
        <v/>
      </c>
      <c r="O169" s="39" t="n"/>
      <c r="P169" s="40">
        <f>IF($C169="","",IF((IF(F169="",", Client","")&amp;IF(G169="",", Description","")&amp;IF(H169="",", Cost Centre","")&amp;IF(I169="",", Invoice Type","")&amp;IF(J169="",", Tax Code","")&amp;IF(O169="",", Expected Revenue","")&amp;IF(COUNTIF(tbl_Finance[Job Number],$C169&amp;"")&gt;1,", Job number used twice",""))="","Complete","Fix: "&amp;MID(IF(F169="",", Client","")&amp;IF(G169="",", Description","")&amp;IF(H169="",", Cost Centre","")&amp;IF(I169="",", Invoice Type","")&amp;IF(J169="",", Tax Code","")&amp;IF(O169="",", Expected Revenue","")&amp;IF(COUNTIF(tbl_Finance[Job Number],$C169&amp;"")&gt;1,", Job number used twice",""),3,300)))</f>
        <v/>
      </c>
      <c r="Q169" s="10">
        <f>IF($C169="","",IF(H169="","(no cost centre)",H169&amp;" - GL "&amp;IFERROR(INDEX(lst_CCtoGL,MATCH(H169,lst_CCforGL,0)),"?")))</f>
        <v/>
      </c>
      <c r="R169" s="37" t="n"/>
      <c r="S169" s="10">
        <f>IF(R169="","",HYPERLINK(IF(LEFT(R169,4)="http",R169,set_QwilrBase&amp;R169),"Open quote"))</f>
        <v/>
      </c>
      <c r="T169" s="39" t="n"/>
      <c r="U169" s="39" t="n"/>
      <c r="V169" s="39" t="n"/>
      <c r="W169" s="10">
        <f>IF(C169="","",IF(N(T169)+N(U169)+N(V169)=0,"Not split",IF(ROUND(N(T169)+N(U169)+N(V169),2)=ROUND(MAX(N(L169),N(O169)),2),"OK","MISMATCH")))</f>
        <v/>
      </c>
      <c r="X169" s="39" t="n"/>
      <c r="Y169" s="39" t="n"/>
      <c r="Z169" s="39" t="n"/>
      <c r="AA169" s="11">
        <f>IF(C169="","",N(X169)+N(Y169)+N(Z169))</f>
        <v/>
      </c>
      <c r="AB169" s="11">
        <f>IF(C169="","",MAX(N(L169),N(O169))-N(AA169))</f>
        <v/>
      </c>
      <c r="AC169" s="43">
        <f>IFERROR(IF(MAX(N(L169),N(O169))=0,"",AB169/MAX(N(L169),N(O169))),"")</f>
        <v/>
      </c>
      <c r="AD169" s="37" t="n"/>
      <c r="AE169" s="10" t="inlineStr">
        <is>
          <t>CON-0165</t>
        </is>
      </c>
    </row>
    <row r="170">
      <c r="A170" s="16">
        <f>IF($C170="","",IFERROR(IF(INDEX(tbl_Finance[Latest Invoice Date],MATCH($AE170,tbl_Finance[Row ID],0))="","",INDEX(tbl_Finance[Latest Invoice Date],MATCH($AE170,tbl_Finance[Row ID],0))),""))</f>
        <v/>
      </c>
      <c r="B170" s="10">
        <f>IF($C170="","",IFERROR(INDEX(tbl_Finance[Invoice Numbers],MATCH($AE170,tbl_Finance[Row ID],0))&amp;"",""))</f>
        <v/>
      </c>
      <c r="C170" s="37" t="n"/>
      <c r="D170" s="10">
        <f>IF($C170="","",IF(COUNTIF(lst_Jobs,$C170&amp;"")&gt;0,"OK","CHECK"))</f>
        <v/>
      </c>
      <c r="E170" s="10">
        <f>IF($C170="","",IFERROR(INDEX(lst_JobName,MATCH($C170&amp;"",lst_Jobs,0)),""))</f>
        <v/>
      </c>
      <c r="F170" s="37" t="n"/>
      <c r="G170" s="37" t="n"/>
      <c r="H170" s="37" t="n"/>
      <c r="I170" s="37" t="n"/>
      <c r="J170" s="37" t="n"/>
      <c r="K170" s="38">
        <f>IF($C170="","",IFERROR(N(INDEX(tbl_Finance[Invoice Count],MATCH($AE170,tbl_Finance[Row ID],0))),""))</f>
        <v/>
      </c>
      <c r="L170" s="11">
        <f>IF($C170="","",IFERROR(N(INDEX(tbl_Finance[Xero Invoiced Ex GST],MATCH($AE170,tbl_Finance[Row ID],0))),""))</f>
        <v/>
      </c>
      <c r="M170" s="10">
        <f>IF($C170="","",IFERROR(INDEX(tbl_Finance[Compare],MATCH($AE170,tbl_Finance[Row ID],0))&amp;"",""))</f>
        <v/>
      </c>
      <c r="N170" s="11">
        <f>IF($C170="","",MAX(0,N(O170)-N(L170)))</f>
        <v/>
      </c>
      <c r="O170" s="39" t="n"/>
      <c r="P170" s="40">
        <f>IF($C170="","",IF((IF(F170="",", Client","")&amp;IF(G170="",", Description","")&amp;IF(H170="",", Cost Centre","")&amp;IF(I170="",", Invoice Type","")&amp;IF(J170="",", Tax Code","")&amp;IF(O170="",", Expected Revenue","")&amp;IF(COUNTIF(tbl_Finance[Job Number],$C170&amp;"")&gt;1,", Job number used twice",""))="","Complete","Fix: "&amp;MID(IF(F170="",", Client","")&amp;IF(G170="",", Description","")&amp;IF(H170="",", Cost Centre","")&amp;IF(I170="",", Invoice Type","")&amp;IF(J170="",", Tax Code","")&amp;IF(O170="",", Expected Revenue","")&amp;IF(COUNTIF(tbl_Finance[Job Number],$C170&amp;"")&gt;1,", Job number used twice",""),3,300)))</f>
        <v/>
      </c>
      <c r="Q170" s="10">
        <f>IF($C170="","",IF(H170="","(no cost centre)",H170&amp;" - GL "&amp;IFERROR(INDEX(lst_CCtoGL,MATCH(H170,lst_CCforGL,0)),"?")))</f>
        <v/>
      </c>
      <c r="R170" s="37" t="n"/>
      <c r="S170" s="10">
        <f>IF(R170="","",HYPERLINK(IF(LEFT(R170,4)="http",R170,set_QwilrBase&amp;R170),"Open quote"))</f>
        <v/>
      </c>
      <c r="T170" s="39" t="n"/>
      <c r="U170" s="39" t="n"/>
      <c r="V170" s="39" t="n"/>
      <c r="W170" s="10">
        <f>IF(C170="","",IF(N(T170)+N(U170)+N(V170)=0,"Not split",IF(ROUND(N(T170)+N(U170)+N(V170),2)=ROUND(MAX(N(L170),N(O170)),2),"OK","MISMATCH")))</f>
        <v/>
      </c>
      <c r="X170" s="39" t="n"/>
      <c r="Y170" s="39" t="n"/>
      <c r="Z170" s="39" t="n"/>
      <c r="AA170" s="11">
        <f>IF(C170="","",N(X170)+N(Y170)+N(Z170))</f>
        <v/>
      </c>
      <c r="AB170" s="11">
        <f>IF(C170="","",MAX(N(L170),N(O170))-N(AA170))</f>
        <v/>
      </c>
      <c r="AC170" s="43">
        <f>IFERROR(IF(MAX(N(L170),N(O170))=0,"",AB170/MAX(N(L170),N(O170))),"")</f>
        <v/>
      </c>
      <c r="AD170" s="37" t="n"/>
      <c r="AE170" s="10" t="inlineStr">
        <is>
          <t>CON-0166</t>
        </is>
      </c>
    </row>
    <row r="171">
      <c r="A171" s="16">
        <f>IF($C171="","",IFERROR(IF(INDEX(tbl_Finance[Latest Invoice Date],MATCH($AE171,tbl_Finance[Row ID],0))="","",INDEX(tbl_Finance[Latest Invoice Date],MATCH($AE171,tbl_Finance[Row ID],0))),""))</f>
        <v/>
      </c>
      <c r="B171" s="10">
        <f>IF($C171="","",IFERROR(INDEX(tbl_Finance[Invoice Numbers],MATCH($AE171,tbl_Finance[Row ID],0))&amp;"",""))</f>
        <v/>
      </c>
      <c r="C171" s="37" t="n"/>
      <c r="D171" s="10">
        <f>IF($C171="","",IF(COUNTIF(lst_Jobs,$C171&amp;"")&gt;0,"OK","CHECK"))</f>
        <v/>
      </c>
      <c r="E171" s="10">
        <f>IF($C171="","",IFERROR(INDEX(lst_JobName,MATCH($C171&amp;"",lst_Jobs,0)),""))</f>
        <v/>
      </c>
      <c r="F171" s="37" t="n"/>
      <c r="G171" s="37" t="n"/>
      <c r="H171" s="37" t="n"/>
      <c r="I171" s="37" t="n"/>
      <c r="J171" s="37" t="n"/>
      <c r="K171" s="38">
        <f>IF($C171="","",IFERROR(N(INDEX(tbl_Finance[Invoice Count],MATCH($AE171,tbl_Finance[Row ID],0))),""))</f>
        <v/>
      </c>
      <c r="L171" s="11">
        <f>IF($C171="","",IFERROR(N(INDEX(tbl_Finance[Xero Invoiced Ex GST],MATCH($AE171,tbl_Finance[Row ID],0))),""))</f>
        <v/>
      </c>
      <c r="M171" s="10">
        <f>IF($C171="","",IFERROR(INDEX(tbl_Finance[Compare],MATCH($AE171,tbl_Finance[Row ID],0))&amp;"",""))</f>
        <v/>
      </c>
      <c r="N171" s="11">
        <f>IF($C171="","",MAX(0,N(O171)-N(L171)))</f>
        <v/>
      </c>
      <c r="O171" s="39" t="n"/>
      <c r="P171" s="40">
        <f>IF($C171="","",IF((IF(F171="",", Client","")&amp;IF(G171="",", Description","")&amp;IF(H171="",", Cost Centre","")&amp;IF(I171="",", Invoice Type","")&amp;IF(J171="",", Tax Code","")&amp;IF(O171="",", Expected Revenue","")&amp;IF(COUNTIF(tbl_Finance[Job Number],$C171&amp;"")&gt;1,", Job number used twice",""))="","Complete","Fix: "&amp;MID(IF(F171="",", Client","")&amp;IF(G171="",", Description","")&amp;IF(H171="",", Cost Centre","")&amp;IF(I171="",", Invoice Type","")&amp;IF(J171="",", Tax Code","")&amp;IF(O171="",", Expected Revenue","")&amp;IF(COUNTIF(tbl_Finance[Job Number],$C171&amp;"")&gt;1,", Job number used twice",""),3,300)))</f>
        <v/>
      </c>
      <c r="Q171" s="10">
        <f>IF($C171="","",IF(H171="","(no cost centre)",H171&amp;" - GL "&amp;IFERROR(INDEX(lst_CCtoGL,MATCH(H171,lst_CCforGL,0)),"?")))</f>
        <v/>
      </c>
      <c r="R171" s="37" t="n"/>
      <c r="S171" s="10">
        <f>IF(R171="","",HYPERLINK(IF(LEFT(R171,4)="http",R171,set_QwilrBase&amp;R171),"Open quote"))</f>
        <v/>
      </c>
      <c r="T171" s="39" t="n"/>
      <c r="U171" s="39" t="n"/>
      <c r="V171" s="39" t="n"/>
      <c r="W171" s="10">
        <f>IF(C171="","",IF(N(T171)+N(U171)+N(V171)=0,"Not split",IF(ROUND(N(T171)+N(U171)+N(V171),2)=ROUND(MAX(N(L171),N(O171)),2),"OK","MISMATCH")))</f>
        <v/>
      </c>
      <c r="X171" s="39" t="n"/>
      <c r="Y171" s="39" t="n"/>
      <c r="Z171" s="39" t="n"/>
      <c r="AA171" s="11">
        <f>IF(C171="","",N(X171)+N(Y171)+N(Z171))</f>
        <v/>
      </c>
      <c r="AB171" s="11">
        <f>IF(C171="","",MAX(N(L171),N(O171))-N(AA171))</f>
        <v/>
      </c>
      <c r="AC171" s="43">
        <f>IFERROR(IF(MAX(N(L171),N(O171))=0,"",AB171/MAX(N(L171),N(O171))),"")</f>
        <v/>
      </c>
      <c r="AD171" s="37" t="n"/>
      <c r="AE171" s="10" t="inlineStr">
        <is>
          <t>CON-0167</t>
        </is>
      </c>
    </row>
    <row r="172">
      <c r="A172" s="16">
        <f>IF($C172="","",IFERROR(IF(INDEX(tbl_Finance[Latest Invoice Date],MATCH($AE172,tbl_Finance[Row ID],0))="","",INDEX(tbl_Finance[Latest Invoice Date],MATCH($AE172,tbl_Finance[Row ID],0))),""))</f>
        <v/>
      </c>
      <c r="B172" s="10">
        <f>IF($C172="","",IFERROR(INDEX(tbl_Finance[Invoice Numbers],MATCH($AE172,tbl_Finance[Row ID],0))&amp;"",""))</f>
        <v/>
      </c>
      <c r="C172" s="37" t="n"/>
      <c r="D172" s="10">
        <f>IF($C172="","",IF(COUNTIF(lst_Jobs,$C172&amp;"")&gt;0,"OK","CHECK"))</f>
        <v/>
      </c>
      <c r="E172" s="10">
        <f>IF($C172="","",IFERROR(INDEX(lst_JobName,MATCH($C172&amp;"",lst_Jobs,0)),""))</f>
        <v/>
      </c>
      <c r="F172" s="37" t="n"/>
      <c r="G172" s="37" t="n"/>
      <c r="H172" s="37" t="n"/>
      <c r="I172" s="37" t="n"/>
      <c r="J172" s="37" t="n"/>
      <c r="K172" s="38">
        <f>IF($C172="","",IFERROR(N(INDEX(tbl_Finance[Invoice Count],MATCH($AE172,tbl_Finance[Row ID],0))),""))</f>
        <v/>
      </c>
      <c r="L172" s="11">
        <f>IF($C172="","",IFERROR(N(INDEX(tbl_Finance[Xero Invoiced Ex GST],MATCH($AE172,tbl_Finance[Row ID],0))),""))</f>
        <v/>
      </c>
      <c r="M172" s="10">
        <f>IF($C172="","",IFERROR(INDEX(tbl_Finance[Compare],MATCH($AE172,tbl_Finance[Row ID],0))&amp;"",""))</f>
        <v/>
      </c>
      <c r="N172" s="11">
        <f>IF($C172="","",MAX(0,N(O172)-N(L172)))</f>
        <v/>
      </c>
      <c r="O172" s="39" t="n"/>
      <c r="P172" s="40">
        <f>IF($C172="","",IF((IF(F172="",", Client","")&amp;IF(G172="",", Description","")&amp;IF(H172="",", Cost Centre","")&amp;IF(I172="",", Invoice Type","")&amp;IF(J172="",", Tax Code","")&amp;IF(O172="",", Expected Revenue","")&amp;IF(COUNTIF(tbl_Finance[Job Number],$C172&amp;"")&gt;1,", Job number used twice",""))="","Complete","Fix: "&amp;MID(IF(F172="",", Client","")&amp;IF(G172="",", Description","")&amp;IF(H172="",", Cost Centre","")&amp;IF(I172="",", Invoice Type","")&amp;IF(J172="",", Tax Code","")&amp;IF(O172="",", Expected Revenue","")&amp;IF(COUNTIF(tbl_Finance[Job Number],$C172&amp;"")&gt;1,", Job number used twice",""),3,300)))</f>
        <v/>
      </c>
      <c r="Q172" s="10">
        <f>IF($C172="","",IF(H172="","(no cost centre)",H172&amp;" - GL "&amp;IFERROR(INDEX(lst_CCtoGL,MATCH(H172,lst_CCforGL,0)),"?")))</f>
        <v/>
      </c>
      <c r="R172" s="37" t="n"/>
      <c r="S172" s="10">
        <f>IF(R172="","",HYPERLINK(IF(LEFT(R172,4)="http",R172,set_QwilrBase&amp;R172),"Open quote"))</f>
        <v/>
      </c>
      <c r="T172" s="39" t="n"/>
      <c r="U172" s="39" t="n"/>
      <c r="V172" s="39" t="n"/>
      <c r="W172" s="10">
        <f>IF(C172="","",IF(N(T172)+N(U172)+N(V172)=0,"Not split",IF(ROUND(N(T172)+N(U172)+N(V172),2)=ROUND(MAX(N(L172),N(O172)),2),"OK","MISMATCH")))</f>
        <v/>
      </c>
      <c r="X172" s="39" t="n"/>
      <c r="Y172" s="39" t="n"/>
      <c r="Z172" s="39" t="n"/>
      <c r="AA172" s="11">
        <f>IF(C172="","",N(X172)+N(Y172)+N(Z172))</f>
        <v/>
      </c>
      <c r="AB172" s="11">
        <f>IF(C172="","",MAX(N(L172),N(O172))-N(AA172))</f>
        <v/>
      </c>
      <c r="AC172" s="43">
        <f>IFERROR(IF(MAX(N(L172),N(O172))=0,"",AB172/MAX(N(L172),N(O172))),"")</f>
        <v/>
      </c>
      <c r="AD172" s="37" t="n"/>
      <c r="AE172" s="10" t="inlineStr">
        <is>
          <t>CON-0168</t>
        </is>
      </c>
    </row>
    <row r="173">
      <c r="A173" s="16">
        <f>IF($C173="","",IFERROR(IF(INDEX(tbl_Finance[Latest Invoice Date],MATCH($AE173,tbl_Finance[Row ID],0))="","",INDEX(tbl_Finance[Latest Invoice Date],MATCH($AE173,tbl_Finance[Row ID],0))),""))</f>
        <v/>
      </c>
      <c r="B173" s="10">
        <f>IF($C173="","",IFERROR(INDEX(tbl_Finance[Invoice Numbers],MATCH($AE173,tbl_Finance[Row ID],0))&amp;"",""))</f>
        <v/>
      </c>
      <c r="C173" s="37" t="n"/>
      <c r="D173" s="10">
        <f>IF($C173="","",IF(COUNTIF(lst_Jobs,$C173&amp;"")&gt;0,"OK","CHECK"))</f>
        <v/>
      </c>
      <c r="E173" s="10">
        <f>IF($C173="","",IFERROR(INDEX(lst_JobName,MATCH($C173&amp;"",lst_Jobs,0)),""))</f>
        <v/>
      </c>
      <c r="F173" s="37" t="n"/>
      <c r="G173" s="37" t="n"/>
      <c r="H173" s="37" t="n"/>
      <c r="I173" s="37" t="n"/>
      <c r="J173" s="37" t="n"/>
      <c r="K173" s="38">
        <f>IF($C173="","",IFERROR(N(INDEX(tbl_Finance[Invoice Count],MATCH($AE173,tbl_Finance[Row ID],0))),""))</f>
        <v/>
      </c>
      <c r="L173" s="11">
        <f>IF($C173="","",IFERROR(N(INDEX(tbl_Finance[Xero Invoiced Ex GST],MATCH($AE173,tbl_Finance[Row ID],0))),""))</f>
        <v/>
      </c>
      <c r="M173" s="10">
        <f>IF($C173="","",IFERROR(INDEX(tbl_Finance[Compare],MATCH($AE173,tbl_Finance[Row ID],0))&amp;"",""))</f>
        <v/>
      </c>
      <c r="N173" s="11">
        <f>IF($C173="","",MAX(0,N(O173)-N(L173)))</f>
        <v/>
      </c>
      <c r="O173" s="39" t="n"/>
      <c r="P173" s="40">
        <f>IF($C173="","",IF((IF(F173="",", Client","")&amp;IF(G173="",", Description","")&amp;IF(H173="",", Cost Centre","")&amp;IF(I173="",", Invoice Type","")&amp;IF(J173="",", Tax Code","")&amp;IF(O173="",", Expected Revenue","")&amp;IF(COUNTIF(tbl_Finance[Job Number],$C173&amp;"")&gt;1,", Job number used twice",""))="","Complete","Fix: "&amp;MID(IF(F173="",", Client","")&amp;IF(G173="",", Description","")&amp;IF(H173="",", Cost Centre","")&amp;IF(I173="",", Invoice Type","")&amp;IF(J173="",", Tax Code","")&amp;IF(O173="",", Expected Revenue","")&amp;IF(COUNTIF(tbl_Finance[Job Number],$C173&amp;"")&gt;1,", Job number used twice",""),3,300)))</f>
        <v/>
      </c>
      <c r="Q173" s="10">
        <f>IF($C173="","",IF(H173="","(no cost centre)",H173&amp;" - GL "&amp;IFERROR(INDEX(lst_CCtoGL,MATCH(H173,lst_CCforGL,0)),"?")))</f>
        <v/>
      </c>
      <c r="R173" s="37" t="n"/>
      <c r="S173" s="10">
        <f>IF(R173="","",HYPERLINK(IF(LEFT(R173,4)="http",R173,set_QwilrBase&amp;R173),"Open quote"))</f>
        <v/>
      </c>
      <c r="T173" s="39" t="n"/>
      <c r="U173" s="39" t="n"/>
      <c r="V173" s="39" t="n"/>
      <c r="W173" s="10">
        <f>IF(C173="","",IF(N(T173)+N(U173)+N(V173)=0,"Not split",IF(ROUND(N(T173)+N(U173)+N(V173),2)=ROUND(MAX(N(L173),N(O173)),2),"OK","MISMATCH")))</f>
        <v/>
      </c>
      <c r="X173" s="39" t="n"/>
      <c r="Y173" s="39" t="n"/>
      <c r="Z173" s="39" t="n"/>
      <c r="AA173" s="11">
        <f>IF(C173="","",N(X173)+N(Y173)+N(Z173))</f>
        <v/>
      </c>
      <c r="AB173" s="11">
        <f>IF(C173="","",MAX(N(L173),N(O173))-N(AA173))</f>
        <v/>
      </c>
      <c r="AC173" s="43">
        <f>IFERROR(IF(MAX(N(L173),N(O173))=0,"",AB173/MAX(N(L173),N(O173))),"")</f>
        <v/>
      </c>
      <c r="AD173" s="37" t="n"/>
      <c r="AE173" s="10" t="inlineStr">
        <is>
          <t>CON-0169</t>
        </is>
      </c>
    </row>
    <row r="174">
      <c r="A174" s="16">
        <f>IF($C174="","",IFERROR(IF(INDEX(tbl_Finance[Latest Invoice Date],MATCH($AE174,tbl_Finance[Row ID],0))="","",INDEX(tbl_Finance[Latest Invoice Date],MATCH($AE174,tbl_Finance[Row ID],0))),""))</f>
        <v/>
      </c>
      <c r="B174" s="10">
        <f>IF($C174="","",IFERROR(INDEX(tbl_Finance[Invoice Numbers],MATCH($AE174,tbl_Finance[Row ID],0))&amp;"",""))</f>
        <v/>
      </c>
      <c r="C174" s="37" t="n"/>
      <c r="D174" s="10">
        <f>IF($C174="","",IF(COUNTIF(lst_Jobs,$C174&amp;"")&gt;0,"OK","CHECK"))</f>
        <v/>
      </c>
      <c r="E174" s="10">
        <f>IF($C174="","",IFERROR(INDEX(lst_JobName,MATCH($C174&amp;"",lst_Jobs,0)),""))</f>
        <v/>
      </c>
      <c r="F174" s="37" t="n"/>
      <c r="G174" s="37" t="n"/>
      <c r="H174" s="37" t="n"/>
      <c r="I174" s="37" t="n"/>
      <c r="J174" s="37" t="n"/>
      <c r="K174" s="38">
        <f>IF($C174="","",IFERROR(N(INDEX(tbl_Finance[Invoice Count],MATCH($AE174,tbl_Finance[Row ID],0))),""))</f>
        <v/>
      </c>
      <c r="L174" s="11">
        <f>IF($C174="","",IFERROR(N(INDEX(tbl_Finance[Xero Invoiced Ex GST],MATCH($AE174,tbl_Finance[Row ID],0))),""))</f>
        <v/>
      </c>
      <c r="M174" s="10">
        <f>IF($C174="","",IFERROR(INDEX(tbl_Finance[Compare],MATCH($AE174,tbl_Finance[Row ID],0))&amp;"",""))</f>
        <v/>
      </c>
      <c r="N174" s="11">
        <f>IF($C174="","",MAX(0,N(O174)-N(L174)))</f>
        <v/>
      </c>
      <c r="O174" s="39" t="n"/>
      <c r="P174" s="40">
        <f>IF($C174="","",IF((IF(F174="",", Client","")&amp;IF(G174="",", Description","")&amp;IF(H174="",", Cost Centre","")&amp;IF(I174="",", Invoice Type","")&amp;IF(J174="",", Tax Code","")&amp;IF(O174="",", Expected Revenue","")&amp;IF(COUNTIF(tbl_Finance[Job Number],$C174&amp;"")&gt;1,", Job number used twice",""))="","Complete","Fix: "&amp;MID(IF(F174="",", Client","")&amp;IF(G174="",", Description","")&amp;IF(H174="",", Cost Centre","")&amp;IF(I174="",", Invoice Type","")&amp;IF(J174="",", Tax Code","")&amp;IF(O174="",", Expected Revenue","")&amp;IF(COUNTIF(tbl_Finance[Job Number],$C174&amp;"")&gt;1,", Job number used twice",""),3,300)))</f>
        <v/>
      </c>
      <c r="Q174" s="10">
        <f>IF($C174="","",IF(H174="","(no cost centre)",H174&amp;" - GL "&amp;IFERROR(INDEX(lst_CCtoGL,MATCH(H174,lst_CCforGL,0)),"?")))</f>
        <v/>
      </c>
      <c r="R174" s="37" t="n"/>
      <c r="S174" s="10">
        <f>IF(R174="","",HYPERLINK(IF(LEFT(R174,4)="http",R174,set_QwilrBase&amp;R174),"Open quote"))</f>
        <v/>
      </c>
      <c r="T174" s="39" t="n"/>
      <c r="U174" s="39" t="n"/>
      <c r="V174" s="39" t="n"/>
      <c r="W174" s="10">
        <f>IF(C174="","",IF(N(T174)+N(U174)+N(V174)=0,"Not split",IF(ROUND(N(T174)+N(U174)+N(V174),2)=ROUND(MAX(N(L174),N(O174)),2),"OK","MISMATCH")))</f>
        <v/>
      </c>
      <c r="X174" s="39" t="n"/>
      <c r="Y174" s="39" t="n"/>
      <c r="Z174" s="39" t="n"/>
      <c r="AA174" s="11">
        <f>IF(C174="","",N(X174)+N(Y174)+N(Z174))</f>
        <v/>
      </c>
      <c r="AB174" s="11">
        <f>IF(C174="","",MAX(N(L174),N(O174))-N(AA174))</f>
        <v/>
      </c>
      <c r="AC174" s="43">
        <f>IFERROR(IF(MAX(N(L174),N(O174))=0,"",AB174/MAX(N(L174),N(O174))),"")</f>
        <v/>
      </c>
      <c r="AD174" s="37" t="n"/>
      <c r="AE174" s="10" t="inlineStr">
        <is>
          <t>CON-0170</t>
        </is>
      </c>
    </row>
    <row r="175">
      <c r="A175" s="16">
        <f>IF($C175="","",IFERROR(IF(INDEX(tbl_Finance[Latest Invoice Date],MATCH($AE175,tbl_Finance[Row ID],0))="","",INDEX(tbl_Finance[Latest Invoice Date],MATCH($AE175,tbl_Finance[Row ID],0))),""))</f>
        <v/>
      </c>
      <c r="B175" s="10">
        <f>IF($C175="","",IFERROR(INDEX(tbl_Finance[Invoice Numbers],MATCH($AE175,tbl_Finance[Row ID],0))&amp;"",""))</f>
        <v/>
      </c>
      <c r="C175" s="37" t="n"/>
      <c r="D175" s="10">
        <f>IF($C175="","",IF(COUNTIF(lst_Jobs,$C175&amp;"")&gt;0,"OK","CHECK"))</f>
        <v/>
      </c>
      <c r="E175" s="10">
        <f>IF($C175="","",IFERROR(INDEX(lst_JobName,MATCH($C175&amp;"",lst_Jobs,0)),""))</f>
        <v/>
      </c>
      <c r="F175" s="37" t="n"/>
      <c r="G175" s="37" t="n"/>
      <c r="H175" s="37" t="n"/>
      <c r="I175" s="37" t="n"/>
      <c r="J175" s="37" t="n"/>
      <c r="K175" s="38">
        <f>IF($C175="","",IFERROR(N(INDEX(tbl_Finance[Invoice Count],MATCH($AE175,tbl_Finance[Row ID],0))),""))</f>
        <v/>
      </c>
      <c r="L175" s="11">
        <f>IF($C175="","",IFERROR(N(INDEX(tbl_Finance[Xero Invoiced Ex GST],MATCH($AE175,tbl_Finance[Row ID],0))),""))</f>
        <v/>
      </c>
      <c r="M175" s="10">
        <f>IF($C175="","",IFERROR(INDEX(tbl_Finance[Compare],MATCH($AE175,tbl_Finance[Row ID],0))&amp;"",""))</f>
        <v/>
      </c>
      <c r="N175" s="11">
        <f>IF($C175="","",MAX(0,N(O175)-N(L175)))</f>
        <v/>
      </c>
      <c r="O175" s="39" t="n"/>
      <c r="P175" s="40">
        <f>IF($C175="","",IF((IF(F175="",", Client","")&amp;IF(G175="",", Description","")&amp;IF(H175="",", Cost Centre","")&amp;IF(I175="",", Invoice Type","")&amp;IF(J175="",", Tax Code","")&amp;IF(O175="",", Expected Revenue","")&amp;IF(COUNTIF(tbl_Finance[Job Number],$C175&amp;"")&gt;1,", Job number used twice",""))="","Complete","Fix: "&amp;MID(IF(F175="",", Client","")&amp;IF(G175="",", Description","")&amp;IF(H175="",", Cost Centre","")&amp;IF(I175="",", Invoice Type","")&amp;IF(J175="",", Tax Code","")&amp;IF(O175="",", Expected Revenue","")&amp;IF(COUNTIF(tbl_Finance[Job Number],$C175&amp;"")&gt;1,", Job number used twice",""),3,300)))</f>
        <v/>
      </c>
      <c r="Q175" s="10">
        <f>IF($C175="","",IF(H175="","(no cost centre)",H175&amp;" - GL "&amp;IFERROR(INDEX(lst_CCtoGL,MATCH(H175,lst_CCforGL,0)),"?")))</f>
        <v/>
      </c>
      <c r="R175" s="37" t="n"/>
      <c r="S175" s="10">
        <f>IF(R175="","",HYPERLINK(IF(LEFT(R175,4)="http",R175,set_QwilrBase&amp;R175),"Open quote"))</f>
        <v/>
      </c>
      <c r="T175" s="39" t="n"/>
      <c r="U175" s="39" t="n"/>
      <c r="V175" s="39" t="n"/>
      <c r="W175" s="10">
        <f>IF(C175="","",IF(N(T175)+N(U175)+N(V175)=0,"Not split",IF(ROUND(N(T175)+N(U175)+N(V175),2)=ROUND(MAX(N(L175),N(O175)),2),"OK","MISMATCH")))</f>
        <v/>
      </c>
      <c r="X175" s="39" t="n"/>
      <c r="Y175" s="39" t="n"/>
      <c r="Z175" s="39" t="n"/>
      <c r="AA175" s="11">
        <f>IF(C175="","",N(X175)+N(Y175)+N(Z175))</f>
        <v/>
      </c>
      <c r="AB175" s="11">
        <f>IF(C175="","",MAX(N(L175),N(O175))-N(AA175))</f>
        <v/>
      </c>
      <c r="AC175" s="43">
        <f>IFERROR(IF(MAX(N(L175),N(O175))=0,"",AB175/MAX(N(L175),N(O175))),"")</f>
        <v/>
      </c>
      <c r="AD175" s="37" t="n"/>
      <c r="AE175" s="10" t="inlineStr">
        <is>
          <t>CON-0171</t>
        </is>
      </c>
    </row>
    <row r="176">
      <c r="A176" s="16">
        <f>IF($C176="","",IFERROR(IF(INDEX(tbl_Finance[Latest Invoice Date],MATCH($AE176,tbl_Finance[Row ID],0))="","",INDEX(tbl_Finance[Latest Invoice Date],MATCH($AE176,tbl_Finance[Row ID],0))),""))</f>
        <v/>
      </c>
      <c r="B176" s="10">
        <f>IF($C176="","",IFERROR(INDEX(tbl_Finance[Invoice Numbers],MATCH($AE176,tbl_Finance[Row ID],0))&amp;"",""))</f>
        <v/>
      </c>
      <c r="C176" s="37" t="n"/>
      <c r="D176" s="10">
        <f>IF($C176="","",IF(COUNTIF(lst_Jobs,$C176&amp;"")&gt;0,"OK","CHECK"))</f>
        <v/>
      </c>
      <c r="E176" s="10">
        <f>IF($C176="","",IFERROR(INDEX(lst_JobName,MATCH($C176&amp;"",lst_Jobs,0)),""))</f>
        <v/>
      </c>
      <c r="F176" s="37" t="n"/>
      <c r="G176" s="37" t="n"/>
      <c r="H176" s="37" t="n"/>
      <c r="I176" s="37" t="n"/>
      <c r="J176" s="37" t="n"/>
      <c r="K176" s="38">
        <f>IF($C176="","",IFERROR(N(INDEX(tbl_Finance[Invoice Count],MATCH($AE176,tbl_Finance[Row ID],0))),""))</f>
        <v/>
      </c>
      <c r="L176" s="11">
        <f>IF($C176="","",IFERROR(N(INDEX(tbl_Finance[Xero Invoiced Ex GST],MATCH($AE176,tbl_Finance[Row ID],0))),""))</f>
        <v/>
      </c>
      <c r="M176" s="10">
        <f>IF($C176="","",IFERROR(INDEX(tbl_Finance[Compare],MATCH($AE176,tbl_Finance[Row ID],0))&amp;"",""))</f>
        <v/>
      </c>
      <c r="N176" s="11">
        <f>IF($C176="","",MAX(0,N(O176)-N(L176)))</f>
        <v/>
      </c>
      <c r="O176" s="39" t="n"/>
      <c r="P176" s="40">
        <f>IF($C176="","",IF((IF(F176="",", Client","")&amp;IF(G176="",", Description","")&amp;IF(H176="",", Cost Centre","")&amp;IF(I176="",", Invoice Type","")&amp;IF(J176="",", Tax Code","")&amp;IF(O176="",", Expected Revenue","")&amp;IF(COUNTIF(tbl_Finance[Job Number],$C176&amp;"")&gt;1,", Job number used twice",""))="","Complete","Fix: "&amp;MID(IF(F176="",", Client","")&amp;IF(G176="",", Description","")&amp;IF(H176="",", Cost Centre","")&amp;IF(I176="",", Invoice Type","")&amp;IF(J176="",", Tax Code","")&amp;IF(O176="",", Expected Revenue","")&amp;IF(COUNTIF(tbl_Finance[Job Number],$C176&amp;"")&gt;1,", Job number used twice",""),3,300)))</f>
        <v/>
      </c>
      <c r="Q176" s="10">
        <f>IF($C176="","",IF(H176="","(no cost centre)",H176&amp;" - GL "&amp;IFERROR(INDEX(lst_CCtoGL,MATCH(H176,lst_CCforGL,0)),"?")))</f>
        <v/>
      </c>
      <c r="R176" s="37" t="n"/>
      <c r="S176" s="10">
        <f>IF(R176="","",HYPERLINK(IF(LEFT(R176,4)="http",R176,set_QwilrBase&amp;R176),"Open quote"))</f>
        <v/>
      </c>
      <c r="T176" s="39" t="n"/>
      <c r="U176" s="39" t="n"/>
      <c r="V176" s="39" t="n"/>
      <c r="W176" s="10">
        <f>IF(C176="","",IF(N(T176)+N(U176)+N(V176)=0,"Not split",IF(ROUND(N(T176)+N(U176)+N(V176),2)=ROUND(MAX(N(L176),N(O176)),2),"OK","MISMATCH")))</f>
        <v/>
      </c>
      <c r="X176" s="39" t="n"/>
      <c r="Y176" s="39" t="n"/>
      <c r="Z176" s="39" t="n"/>
      <c r="AA176" s="11">
        <f>IF(C176="","",N(X176)+N(Y176)+N(Z176))</f>
        <v/>
      </c>
      <c r="AB176" s="11">
        <f>IF(C176="","",MAX(N(L176),N(O176))-N(AA176))</f>
        <v/>
      </c>
      <c r="AC176" s="43">
        <f>IFERROR(IF(MAX(N(L176),N(O176))=0,"",AB176/MAX(N(L176),N(O176))),"")</f>
        <v/>
      </c>
      <c r="AD176" s="37" t="n"/>
      <c r="AE176" s="10" t="inlineStr">
        <is>
          <t>CON-0172</t>
        </is>
      </c>
    </row>
    <row r="177">
      <c r="A177" s="16">
        <f>IF($C177="","",IFERROR(IF(INDEX(tbl_Finance[Latest Invoice Date],MATCH($AE177,tbl_Finance[Row ID],0))="","",INDEX(tbl_Finance[Latest Invoice Date],MATCH($AE177,tbl_Finance[Row ID],0))),""))</f>
        <v/>
      </c>
      <c r="B177" s="10">
        <f>IF($C177="","",IFERROR(INDEX(tbl_Finance[Invoice Numbers],MATCH($AE177,tbl_Finance[Row ID],0))&amp;"",""))</f>
        <v/>
      </c>
      <c r="C177" s="37" t="n"/>
      <c r="D177" s="10">
        <f>IF($C177="","",IF(COUNTIF(lst_Jobs,$C177&amp;"")&gt;0,"OK","CHECK"))</f>
        <v/>
      </c>
      <c r="E177" s="10">
        <f>IF($C177="","",IFERROR(INDEX(lst_JobName,MATCH($C177&amp;"",lst_Jobs,0)),""))</f>
        <v/>
      </c>
      <c r="F177" s="37" t="n"/>
      <c r="G177" s="37" t="n"/>
      <c r="H177" s="37" t="n"/>
      <c r="I177" s="37" t="n"/>
      <c r="J177" s="37" t="n"/>
      <c r="K177" s="38">
        <f>IF($C177="","",IFERROR(N(INDEX(tbl_Finance[Invoice Count],MATCH($AE177,tbl_Finance[Row ID],0))),""))</f>
        <v/>
      </c>
      <c r="L177" s="11">
        <f>IF($C177="","",IFERROR(N(INDEX(tbl_Finance[Xero Invoiced Ex GST],MATCH($AE177,tbl_Finance[Row ID],0))),""))</f>
        <v/>
      </c>
      <c r="M177" s="10">
        <f>IF($C177="","",IFERROR(INDEX(tbl_Finance[Compare],MATCH($AE177,tbl_Finance[Row ID],0))&amp;"",""))</f>
        <v/>
      </c>
      <c r="N177" s="11">
        <f>IF($C177="","",MAX(0,N(O177)-N(L177)))</f>
        <v/>
      </c>
      <c r="O177" s="39" t="n"/>
      <c r="P177" s="40">
        <f>IF($C177="","",IF((IF(F177="",", Client","")&amp;IF(G177="",", Description","")&amp;IF(H177="",", Cost Centre","")&amp;IF(I177="",", Invoice Type","")&amp;IF(J177="",", Tax Code","")&amp;IF(O177="",", Expected Revenue","")&amp;IF(COUNTIF(tbl_Finance[Job Number],$C177&amp;"")&gt;1,", Job number used twice",""))="","Complete","Fix: "&amp;MID(IF(F177="",", Client","")&amp;IF(G177="",", Description","")&amp;IF(H177="",", Cost Centre","")&amp;IF(I177="",", Invoice Type","")&amp;IF(J177="",", Tax Code","")&amp;IF(O177="",", Expected Revenue","")&amp;IF(COUNTIF(tbl_Finance[Job Number],$C177&amp;"")&gt;1,", Job number used twice",""),3,300)))</f>
        <v/>
      </c>
      <c r="Q177" s="10">
        <f>IF($C177="","",IF(H177="","(no cost centre)",H177&amp;" - GL "&amp;IFERROR(INDEX(lst_CCtoGL,MATCH(H177,lst_CCforGL,0)),"?")))</f>
        <v/>
      </c>
      <c r="R177" s="37" t="n"/>
      <c r="S177" s="10">
        <f>IF(R177="","",HYPERLINK(IF(LEFT(R177,4)="http",R177,set_QwilrBase&amp;R177),"Open quote"))</f>
        <v/>
      </c>
      <c r="T177" s="39" t="n"/>
      <c r="U177" s="39" t="n"/>
      <c r="V177" s="39" t="n"/>
      <c r="W177" s="10">
        <f>IF(C177="","",IF(N(T177)+N(U177)+N(V177)=0,"Not split",IF(ROUND(N(T177)+N(U177)+N(V177),2)=ROUND(MAX(N(L177),N(O177)),2),"OK","MISMATCH")))</f>
        <v/>
      </c>
      <c r="X177" s="39" t="n"/>
      <c r="Y177" s="39" t="n"/>
      <c r="Z177" s="39" t="n"/>
      <c r="AA177" s="11">
        <f>IF(C177="","",N(X177)+N(Y177)+N(Z177))</f>
        <v/>
      </c>
      <c r="AB177" s="11">
        <f>IF(C177="","",MAX(N(L177),N(O177))-N(AA177))</f>
        <v/>
      </c>
      <c r="AC177" s="43">
        <f>IFERROR(IF(MAX(N(L177),N(O177))=0,"",AB177/MAX(N(L177),N(O177))),"")</f>
        <v/>
      </c>
      <c r="AD177" s="37" t="n"/>
      <c r="AE177" s="10" t="inlineStr">
        <is>
          <t>CON-0173</t>
        </is>
      </c>
    </row>
    <row r="178">
      <c r="A178" s="16">
        <f>IF($C178="","",IFERROR(IF(INDEX(tbl_Finance[Latest Invoice Date],MATCH($AE178,tbl_Finance[Row ID],0))="","",INDEX(tbl_Finance[Latest Invoice Date],MATCH($AE178,tbl_Finance[Row ID],0))),""))</f>
        <v/>
      </c>
      <c r="B178" s="10">
        <f>IF($C178="","",IFERROR(INDEX(tbl_Finance[Invoice Numbers],MATCH($AE178,tbl_Finance[Row ID],0))&amp;"",""))</f>
        <v/>
      </c>
      <c r="C178" s="37" t="n"/>
      <c r="D178" s="10">
        <f>IF($C178="","",IF(COUNTIF(lst_Jobs,$C178&amp;"")&gt;0,"OK","CHECK"))</f>
        <v/>
      </c>
      <c r="E178" s="10">
        <f>IF($C178="","",IFERROR(INDEX(lst_JobName,MATCH($C178&amp;"",lst_Jobs,0)),""))</f>
        <v/>
      </c>
      <c r="F178" s="37" t="n"/>
      <c r="G178" s="37" t="n"/>
      <c r="H178" s="37" t="n"/>
      <c r="I178" s="37" t="n"/>
      <c r="J178" s="37" t="n"/>
      <c r="K178" s="38">
        <f>IF($C178="","",IFERROR(N(INDEX(tbl_Finance[Invoice Count],MATCH($AE178,tbl_Finance[Row ID],0))),""))</f>
        <v/>
      </c>
      <c r="L178" s="11">
        <f>IF($C178="","",IFERROR(N(INDEX(tbl_Finance[Xero Invoiced Ex GST],MATCH($AE178,tbl_Finance[Row ID],0))),""))</f>
        <v/>
      </c>
      <c r="M178" s="10">
        <f>IF($C178="","",IFERROR(INDEX(tbl_Finance[Compare],MATCH($AE178,tbl_Finance[Row ID],0))&amp;"",""))</f>
        <v/>
      </c>
      <c r="N178" s="11">
        <f>IF($C178="","",MAX(0,N(O178)-N(L178)))</f>
        <v/>
      </c>
      <c r="O178" s="39" t="n"/>
      <c r="P178" s="40">
        <f>IF($C178="","",IF((IF(F178="",", Client","")&amp;IF(G178="",", Description","")&amp;IF(H178="",", Cost Centre","")&amp;IF(I178="",", Invoice Type","")&amp;IF(J178="",", Tax Code","")&amp;IF(O178="",", Expected Revenue","")&amp;IF(COUNTIF(tbl_Finance[Job Number],$C178&amp;"")&gt;1,", Job number used twice",""))="","Complete","Fix: "&amp;MID(IF(F178="",", Client","")&amp;IF(G178="",", Description","")&amp;IF(H178="",", Cost Centre","")&amp;IF(I178="",", Invoice Type","")&amp;IF(J178="",", Tax Code","")&amp;IF(O178="",", Expected Revenue","")&amp;IF(COUNTIF(tbl_Finance[Job Number],$C178&amp;"")&gt;1,", Job number used twice",""),3,300)))</f>
        <v/>
      </c>
      <c r="Q178" s="10">
        <f>IF($C178="","",IF(H178="","(no cost centre)",H178&amp;" - GL "&amp;IFERROR(INDEX(lst_CCtoGL,MATCH(H178,lst_CCforGL,0)),"?")))</f>
        <v/>
      </c>
      <c r="R178" s="37" t="n"/>
      <c r="S178" s="10">
        <f>IF(R178="","",HYPERLINK(IF(LEFT(R178,4)="http",R178,set_QwilrBase&amp;R178),"Open quote"))</f>
        <v/>
      </c>
      <c r="T178" s="39" t="n"/>
      <c r="U178" s="39" t="n"/>
      <c r="V178" s="39" t="n"/>
      <c r="W178" s="10">
        <f>IF(C178="","",IF(N(T178)+N(U178)+N(V178)=0,"Not split",IF(ROUND(N(T178)+N(U178)+N(V178),2)=ROUND(MAX(N(L178),N(O178)),2),"OK","MISMATCH")))</f>
        <v/>
      </c>
      <c r="X178" s="39" t="n"/>
      <c r="Y178" s="39" t="n"/>
      <c r="Z178" s="39" t="n"/>
      <c r="AA178" s="11">
        <f>IF(C178="","",N(X178)+N(Y178)+N(Z178))</f>
        <v/>
      </c>
      <c r="AB178" s="11">
        <f>IF(C178="","",MAX(N(L178),N(O178))-N(AA178))</f>
        <v/>
      </c>
      <c r="AC178" s="43">
        <f>IFERROR(IF(MAX(N(L178),N(O178))=0,"",AB178/MAX(N(L178),N(O178))),"")</f>
        <v/>
      </c>
      <c r="AD178" s="37" t="n"/>
      <c r="AE178" s="10" t="inlineStr">
        <is>
          <t>CON-0174</t>
        </is>
      </c>
    </row>
    <row r="179">
      <c r="A179" s="16">
        <f>IF($C179="","",IFERROR(IF(INDEX(tbl_Finance[Latest Invoice Date],MATCH($AE179,tbl_Finance[Row ID],0))="","",INDEX(tbl_Finance[Latest Invoice Date],MATCH($AE179,tbl_Finance[Row ID],0))),""))</f>
        <v/>
      </c>
      <c r="B179" s="10">
        <f>IF($C179="","",IFERROR(INDEX(tbl_Finance[Invoice Numbers],MATCH($AE179,tbl_Finance[Row ID],0))&amp;"",""))</f>
        <v/>
      </c>
      <c r="C179" s="37" t="n"/>
      <c r="D179" s="10">
        <f>IF($C179="","",IF(COUNTIF(lst_Jobs,$C179&amp;"")&gt;0,"OK","CHECK"))</f>
        <v/>
      </c>
      <c r="E179" s="10">
        <f>IF($C179="","",IFERROR(INDEX(lst_JobName,MATCH($C179&amp;"",lst_Jobs,0)),""))</f>
        <v/>
      </c>
      <c r="F179" s="37" t="n"/>
      <c r="G179" s="37" t="n"/>
      <c r="H179" s="37" t="n"/>
      <c r="I179" s="37" t="n"/>
      <c r="J179" s="37" t="n"/>
      <c r="K179" s="38">
        <f>IF($C179="","",IFERROR(N(INDEX(tbl_Finance[Invoice Count],MATCH($AE179,tbl_Finance[Row ID],0))),""))</f>
        <v/>
      </c>
      <c r="L179" s="11">
        <f>IF($C179="","",IFERROR(N(INDEX(tbl_Finance[Xero Invoiced Ex GST],MATCH($AE179,tbl_Finance[Row ID],0))),""))</f>
        <v/>
      </c>
      <c r="M179" s="10">
        <f>IF($C179="","",IFERROR(INDEX(tbl_Finance[Compare],MATCH($AE179,tbl_Finance[Row ID],0))&amp;"",""))</f>
        <v/>
      </c>
      <c r="N179" s="11">
        <f>IF($C179="","",MAX(0,N(O179)-N(L179)))</f>
        <v/>
      </c>
      <c r="O179" s="39" t="n"/>
      <c r="P179" s="40">
        <f>IF($C179="","",IF((IF(F179="",", Client","")&amp;IF(G179="",", Description","")&amp;IF(H179="",", Cost Centre","")&amp;IF(I179="",", Invoice Type","")&amp;IF(J179="",", Tax Code","")&amp;IF(O179="",", Expected Revenue","")&amp;IF(COUNTIF(tbl_Finance[Job Number],$C179&amp;"")&gt;1,", Job number used twice",""))="","Complete","Fix: "&amp;MID(IF(F179="",", Client","")&amp;IF(G179="",", Description","")&amp;IF(H179="",", Cost Centre","")&amp;IF(I179="",", Invoice Type","")&amp;IF(J179="",", Tax Code","")&amp;IF(O179="",", Expected Revenue","")&amp;IF(COUNTIF(tbl_Finance[Job Number],$C179&amp;"")&gt;1,", Job number used twice",""),3,300)))</f>
        <v/>
      </c>
      <c r="Q179" s="10">
        <f>IF($C179="","",IF(H179="","(no cost centre)",H179&amp;" - GL "&amp;IFERROR(INDEX(lst_CCtoGL,MATCH(H179,lst_CCforGL,0)),"?")))</f>
        <v/>
      </c>
      <c r="R179" s="37" t="n"/>
      <c r="S179" s="10">
        <f>IF(R179="","",HYPERLINK(IF(LEFT(R179,4)="http",R179,set_QwilrBase&amp;R179),"Open quote"))</f>
        <v/>
      </c>
      <c r="T179" s="39" t="n"/>
      <c r="U179" s="39" t="n"/>
      <c r="V179" s="39" t="n"/>
      <c r="W179" s="10">
        <f>IF(C179="","",IF(N(T179)+N(U179)+N(V179)=0,"Not split",IF(ROUND(N(T179)+N(U179)+N(V179),2)=ROUND(MAX(N(L179),N(O179)),2),"OK","MISMATCH")))</f>
        <v/>
      </c>
      <c r="X179" s="39" t="n"/>
      <c r="Y179" s="39" t="n"/>
      <c r="Z179" s="39" t="n"/>
      <c r="AA179" s="11">
        <f>IF(C179="","",N(X179)+N(Y179)+N(Z179))</f>
        <v/>
      </c>
      <c r="AB179" s="11">
        <f>IF(C179="","",MAX(N(L179),N(O179))-N(AA179))</f>
        <v/>
      </c>
      <c r="AC179" s="43">
        <f>IFERROR(IF(MAX(N(L179),N(O179))=0,"",AB179/MAX(N(L179),N(O179))),"")</f>
        <v/>
      </c>
      <c r="AD179" s="37" t="n"/>
      <c r="AE179" s="10" t="inlineStr">
        <is>
          <t>CON-0175</t>
        </is>
      </c>
    </row>
    <row r="180">
      <c r="A180" s="16">
        <f>IF($C180="","",IFERROR(IF(INDEX(tbl_Finance[Latest Invoice Date],MATCH($AE180,tbl_Finance[Row ID],0))="","",INDEX(tbl_Finance[Latest Invoice Date],MATCH($AE180,tbl_Finance[Row ID],0))),""))</f>
        <v/>
      </c>
      <c r="B180" s="10">
        <f>IF($C180="","",IFERROR(INDEX(tbl_Finance[Invoice Numbers],MATCH($AE180,tbl_Finance[Row ID],0))&amp;"",""))</f>
        <v/>
      </c>
      <c r="C180" s="37" t="n"/>
      <c r="D180" s="10">
        <f>IF($C180="","",IF(COUNTIF(lst_Jobs,$C180&amp;"")&gt;0,"OK","CHECK"))</f>
        <v/>
      </c>
      <c r="E180" s="10">
        <f>IF($C180="","",IFERROR(INDEX(lst_JobName,MATCH($C180&amp;"",lst_Jobs,0)),""))</f>
        <v/>
      </c>
      <c r="F180" s="37" t="n"/>
      <c r="G180" s="37" t="n"/>
      <c r="H180" s="37" t="n"/>
      <c r="I180" s="37" t="n"/>
      <c r="J180" s="37" t="n"/>
      <c r="K180" s="38">
        <f>IF($C180="","",IFERROR(N(INDEX(tbl_Finance[Invoice Count],MATCH($AE180,tbl_Finance[Row ID],0))),""))</f>
        <v/>
      </c>
      <c r="L180" s="11">
        <f>IF($C180="","",IFERROR(N(INDEX(tbl_Finance[Xero Invoiced Ex GST],MATCH($AE180,tbl_Finance[Row ID],0))),""))</f>
        <v/>
      </c>
      <c r="M180" s="10">
        <f>IF($C180="","",IFERROR(INDEX(tbl_Finance[Compare],MATCH($AE180,tbl_Finance[Row ID],0))&amp;"",""))</f>
        <v/>
      </c>
      <c r="N180" s="11">
        <f>IF($C180="","",MAX(0,N(O180)-N(L180)))</f>
        <v/>
      </c>
      <c r="O180" s="39" t="n"/>
      <c r="P180" s="40">
        <f>IF($C180="","",IF((IF(F180="",", Client","")&amp;IF(G180="",", Description","")&amp;IF(H180="",", Cost Centre","")&amp;IF(I180="",", Invoice Type","")&amp;IF(J180="",", Tax Code","")&amp;IF(O180="",", Expected Revenue","")&amp;IF(COUNTIF(tbl_Finance[Job Number],$C180&amp;"")&gt;1,", Job number used twice",""))="","Complete","Fix: "&amp;MID(IF(F180="",", Client","")&amp;IF(G180="",", Description","")&amp;IF(H180="",", Cost Centre","")&amp;IF(I180="",", Invoice Type","")&amp;IF(J180="",", Tax Code","")&amp;IF(O180="",", Expected Revenue","")&amp;IF(COUNTIF(tbl_Finance[Job Number],$C180&amp;"")&gt;1,", Job number used twice",""),3,300)))</f>
        <v/>
      </c>
      <c r="Q180" s="10">
        <f>IF($C180="","",IF(H180="","(no cost centre)",H180&amp;" - GL "&amp;IFERROR(INDEX(lst_CCtoGL,MATCH(H180,lst_CCforGL,0)),"?")))</f>
        <v/>
      </c>
      <c r="R180" s="37" t="n"/>
      <c r="S180" s="10">
        <f>IF(R180="","",HYPERLINK(IF(LEFT(R180,4)="http",R180,set_QwilrBase&amp;R180),"Open quote"))</f>
        <v/>
      </c>
      <c r="T180" s="39" t="n"/>
      <c r="U180" s="39" t="n"/>
      <c r="V180" s="39" t="n"/>
      <c r="W180" s="10">
        <f>IF(C180="","",IF(N(T180)+N(U180)+N(V180)=0,"Not split",IF(ROUND(N(T180)+N(U180)+N(V180),2)=ROUND(MAX(N(L180),N(O180)),2),"OK","MISMATCH")))</f>
        <v/>
      </c>
      <c r="X180" s="39" t="n"/>
      <c r="Y180" s="39" t="n"/>
      <c r="Z180" s="39" t="n"/>
      <c r="AA180" s="11">
        <f>IF(C180="","",N(X180)+N(Y180)+N(Z180))</f>
        <v/>
      </c>
      <c r="AB180" s="11">
        <f>IF(C180="","",MAX(N(L180),N(O180))-N(AA180))</f>
        <v/>
      </c>
      <c r="AC180" s="43">
        <f>IFERROR(IF(MAX(N(L180),N(O180))=0,"",AB180/MAX(N(L180),N(O180))),"")</f>
        <v/>
      </c>
      <c r="AD180" s="37" t="n"/>
      <c r="AE180" s="10" t="inlineStr">
        <is>
          <t>CON-0176</t>
        </is>
      </c>
    </row>
    <row r="181">
      <c r="A181" s="16">
        <f>IF($C181="","",IFERROR(IF(INDEX(tbl_Finance[Latest Invoice Date],MATCH($AE181,tbl_Finance[Row ID],0))="","",INDEX(tbl_Finance[Latest Invoice Date],MATCH($AE181,tbl_Finance[Row ID],0))),""))</f>
        <v/>
      </c>
      <c r="B181" s="10">
        <f>IF($C181="","",IFERROR(INDEX(tbl_Finance[Invoice Numbers],MATCH($AE181,tbl_Finance[Row ID],0))&amp;"",""))</f>
        <v/>
      </c>
      <c r="C181" s="37" t="n"/>
      <c r="D181" s="10">
        <f>IF($C181="","",IF(COUNTIF(lst_Jobs,$C181&amp;"")&gt;0,"OK","CHECK"))</f>
        <v/>
      </c>
      <c r="E181" s="10">
        <f>IF($C181="","",IFERROR(INDEX(lst_JobName,MATCH($C181&amp;"",lst_Jobs,0)),""))</f>
        <v/>
      </c>
      <c r="F181" s="37" t="n"/>
      <c r="G181" s="37" t="n"/>
      <c r="H181" s="37" t="n"/>
      <c r="I181" s="37" t="n"/>
      <c r="J181" s="37" t="n"/>
      <c r="K181" s="38">
        <f>IF($C181="","",IFERROR(N(INDEX(tbl_Finance[Invoice Count],MATCH($AE181,tbl_Finance[Row ID],0))),""))</f>
        <v/>
      </c>
      <c r="L181" s="11">
        <f>IF($C181="","",IFERROR(N(INDEX(tbl_Finance[Xero Invoiced Ex GST],MATCH($AE181,tbl_Finance[Row ID],0))),""))</f>
        <v/>
      </c>
      <c r="M181" s="10">
        <f>IF($C181="","",IFERROR(INDEX(tbl_Finance[Compare],MATCH($AE181,tbl_Finance[Row ID],0))&amp;"",""))</f>
        <v/>
      </c>
      <c r="N181" s="11">
        <f>IF($C181="","",MAX(0,N(O181)-N(L181)))</f>
        <v/>
      </c>
      <c r="O181" s="39" t="n"/>
      <c r="P181" s="40">
        <f>IF($C181="","",IF((IF(F181="",", Client","")&amp;IF(G181="",", Description","")&amp;IF(H181="",", Cost Centre","")&amp;IF(I181="",", Invoice Type","")&amp;IF(J181="",", Tax Code","")&amp;IF(O181="",", Expected Revenue","")&amp;IF(COUNTIF(tbl_Finance[Job Number],$C181&amp;"")&gt;1,", Job number used twice",""))="","Complete","Fix: "&amp;MID(IF(F181="",", Client","")&amp;IF(G181="",", Description","")&amp;IF(H181="",", Cost Centre","")&amp;IF(I181="",", Invoice Type","")&amp;IF(J181="",", Tax Code","")&amp;IF(O181="",", Expected Revenue","")&amp;IF(COUNTIF(tbl_Finance[Job Number],$C181&amp;"")&gt;1,", Job number used twice",""),3,300)))</f>
        <v/>
      </c>
      <c r="Q181" s="10">
        <f>IF($C181="","",IF(H181="","(no cost centre)",H181&amp;" - GL "&amp;IFERROR(INDEX(lst_CCtoGL,MATCH(H181,lst_CCforGL,0)),"?")))</f>
        <v/>
      </c>
      <c r="R181" s="37" t="n"/>
      <c r="S181" s="10">
        <f>IF(R181="","",HYPERLINK(IF(LEFT(R181,4)="http",R181,set_QwilrBase&amp;R181),"Open quote"))</f>
        <v/>
      </c>
      <c r="T181" s="39" t="n"/>
      <c r="U181" s="39" t="n"/>
      <c r="V181" s="39" t="n"/>
      <c r="W181" s="10">
        <f>IF(C181="","",IF(N(T181)+N(U181)+N(V181)=0,"Not split",IF(ROUND(N(T181)+N(U181)+N(V181),2)=ROUND(MAX(N(L181),N(O181)),2),"OK","MISMATCH")))</f>
        <v/>
      </c>
      <c r="X181" s="39" t="n"/>
      <c r="Y181" s="39" t="n"/>
      <c r="Z181" s="39" t="n"/>
      <c r="AA181" s="11">
        <f>IF(C181="","",N(X181)+N(Y181)+N(Z181))</f>
        <v/>
      </c>
      <c r="AB181" s="11">
        <f>IF(C181="","",MAX(N(L181),N(O181))-N(AA181))</f>
        <v/>
      </c>
      <c r="AC181" s="43">
        <f>IFERROR(IF(MAX(N(L181),N(O181))=0,"",AB181/MAX(N(L181),N(O181))),"")</f>
        <v/>
      </c>
      <c r="AD181" s="37" t="n"/>
      <c r="AE181" s="10" t="inlineStr">
        <is>
          <t>CON-0177</t>
        </is>
      </c>
    </row>
    <row r="182">
      <c r="A182" s="16">
        <f>IF($C182="","",IFERROR(IF(INDEX(tbl_Finance[Latest Invoice Date],MATCH($AE182,tbl_Finance[Row ID],0))="","",INDEX(tbl_Finance[Latest Invoice Date],MATCH($AE182,tbl_Finance[Row ID],0))),""))</f>
        <v/>
      </c>
      <c r="B182" s="10">
        <f>IF($C182="","",IFERROR(INDEX(tbl_Finance[Invoice Numbers],MATCH($AE182,tbl_Finance[Row ID],0))&amp;"",""))</f>
        <v/>
      </c>
      <c r="C182" s="37" t="n"/>
      <c r="D182" s="10">
        <f>IF($C182="","",IF(COUNTIF(lst_Jobs,$C182&amp;"")&gt;0,"OK","CHECK"))</f>
        <v/>
      </c>
      <c r="E182" s="10">
        <f>IF($C182="","",IFERROR(INDEX(lst_JobName,MATCH($C182&amp;"",lst_Jobs,0)),""))</f>
        <v/>
      </c>
      <c r="F182" s="37" t="n"/>
      <c r="G182" s="37" t="n"/>
      <c r="H182" s="37" t="n"/>
      <c r="I182" s="37" t="n"/>
      <c r="J182" s="37" t="n"/>
      <c r="K182" s="38">
        <f>IF($C182="","",IFERROR(N(INDEX(tbl_Finance[Invoice Count],MATCH($AE182,tbl_Finance[Row ID],0))),""))</f>
        <v/>
      </c>
      <c r="L182" s="11">
        <f>IF($C182="","",IFERROR(N(INDEX(tbl_Finance[Xero Invoiced Ex GST],MATCH($AE182,tbl_Finance[Row ID],0))),""))</f>
        <v/>
      </c>
      <c r="M182" s="10">
        <f>IF($C182="","",IFERROR(INDEX(tbl_Finance[Compare],MATCH($AE182,tbl_Finance[Row ID],0))&amp;"",""))</f>
        <v/>
      </c>
      <c r="N182" s="11">
        <f>IF($C182="","",MAX(0,N(O182)-N(L182)))</f>
        <v/>
      </c>
      <c r="O182" s="39" t="n"/>
      <c r="P182" s="40">
        <f>IF($C182="","",IF((IF(F182="",", Client","")&amp;IF(G182="",", Description","")&amp;IF(H182="",", Cost Centre","")&amp;IF(I182="",", Invoice Type","")&amp;IF(J182="",", Tax Code","")&amp;IF(O182="",", Expected Revenue","")&amp;IF(COUNTIF(tbl_Finance[Job Number],$C182&amp;"")&gt;1,", Job number used twice",""))="","Complete","Fix: "&amp;MID(IF(F182="",", Client","")&amp;IF(G182="",", Description","")&amp;IF(H182="",", Cost Centre","")&amp;IF(I182="",", Invoice Type","")&amp;IF(J182="",", Tax Code","")&amp;IF(O182="",", Expected Revenue","")&amp;IF(COUNTIF(tbl_Finance[Job Number],$C182&amp;"")&gt;1,", Job number used twice",""),3,300)))</f>
        <v/>
      </c>
      <c r="Q182" s="10">
        <f>IF($C182="","",IF(H182="","(no cost centre)",H182&amp;" - GL "&amp;IFERROR(INDEX(lst_CCtoGL,MATCH(H182,lst_CCforGL,0)),"?")))</f>
        <v/>
      </c>
      <c r="R182" s="37" t="n"/>
      <c r="S182" s="10">
        <f>IF(R182="","",HYPERLINK(IF(LEFT(R182,4)="http",R182,set_QwilrBase&amp;R182),"Open quote"))</f>
        <v/>
      </c>
      <c r="T182" s="39" t="n"/>
      <c r="U182" s="39" t="n"/>
      <c r="V182" s="39" t="n"/>
      <c r="W182" s="10">
        <f>IF(C182="","",IF(N(T182)+N(U182)+N(V182)=0,"Not split",IF(ROUND(N(T182)+N(U182)+N(V182),2)=ROUND(MAX(N(L182),N(O182)),2),"OK","MISMATCH")))</f>
        <v/>
      </c>
      <c r="X182" s="39" t="n"/>
      <c r="Y182" s="39" t="n"/>
      <c r="Z182" s="39" t="n"/>
      <c r="AA182" s="11">
        <f>IF(C182="","",N(X182)+N(Y182)+N(Z182))</f>
        <v/>
      </c>
      <c r="AB182" s="11">
        <f>IF(C182="","",MAX(N(L182),N(O182))-N(AA182))</f>
        <v/>
      </c>
      <c r="AC182" s="43">
        <f>IFERROR(IF(MAX(N(L182),N(O182))=0,"",AB182/MAX(N(L182),N(O182))),"")</f>
        <v/>
      </c>
      <c r="AD182" s="37" t="n"/>
      <c r="AE182" s="10" t="inlineStr">
        <is>
          <t>CON-0178</t>
        </is>
      </c>
    </row>
    <row r="183">
      <c r="A183" s="16">
        <f>IF($C183="","",IFERROR(IF(INDEX(tbl_Finance[Latest Invoice Date],MATCH($AE183,tbl_Finance[Row ID],0))="","",INDEX(tbl_Finance[Latest Invoice Date],MATCH($AE183,tbl_Finance[Row ID],0))),""))</f>
        <v/>
      </c>
      <c r="B183" s="10">
        <f>IF($C183="","",IFERROR(INDEX(tbl_Finance[Invoice Numbers],MATCH($AE183,tbl_Finance[Row ID],0))&amp;"",""))</f>
        <v/>
      </c>
      <c r="C183" s="37" t="n"/>
      <c r="D183" s="10">
        <f>IF($C183="","",IF(COUNTIF(lst_Jobs,$C183&amp;"")&gt;0,"OK","CHECK"))</f>
        <v/>
      </c>
      <c r="E183" s="10">
        <f>IF($C183="","",IFERROR(INDEX(lst_JobName,MATCH($C183&amp;"",lst_Jobs,0)),""))</f>
        <v/>
      </c>
      <c r="F183" s="37" t="n"/>
      <c r="G183" s="37" t="n"/>
      <c r="H183" s="37" t="n"/>
      <c r="I183" s="37" t="n"/>
      <c r="J183" s="37" t="n"/>
      <c r="K183" s="38">
        <f>IF($C183="","",IFERROR(N(INDEX(tbl_Finance[Invoice Count],MATCH($AE183,tbl_Finance[Row ID],0))),""))</f>
        <v/>
      </c>
      <c r="L183" s="11">
        <f>IF($C183="","",IFERROR(N(INDEX(tbl_Finance[Xero Invoiced Ex GST],MATCH($AE183,tbl_Finance[Row ID],0))),""))</f>
        <v/>
      </c>
      <c r="M183" s="10">
        <f>IF($C183="","",IFERROR(INDEX(tbl_Finance[Compare],MATCH($AE183,tbl_Finance[Row ID],0))&amp;"",""))</f>
        <v/>
      </c>
      <c r="N183" s="11">
        <f>IF($C183="","",MAX(0,N(O183)-N(L183)))</f>
        <v/>
      </c>
      <c r="O183" s="39" t="n"/>
      <c r="P183" s="40">
        <f>IF($C183="","",IF((IF(F183="",", Client","")&amp;IF(G183="",", Description","")&amp;IF(H183="",", Cost Centre","")&amp;IF(I183="",", Invoice Type","")&amp;IF(J183="",", Tax Code","")&amp;IF(O183="",", Expected Revenue","")&amp;IF(COUNTIF(tbl_Finance[Job Number],$C183&amp;"")&gt;1,", Job number used twice",""))="","Complete","Fix: "&amp;MID(IF(F183="",", Client","")&amp;IF(G183="",", Description","")&amp;IF(H183="",", Cost Centre","")&amp;IF(I183="",", Invoice Type","")&amp;IF(J183="",", Tax Code","")&amp;IF(O183="",", Expected Revenue","")&amp;IF(COUNTIF(tbl_Finance[Job Number],$C183&amp;"")&gt;1,", Job number used twice",""),3,300)))</f>
        <v/>
      </c>
      <c r="Q183" s="10">
        <f>IF($C183="","",IF(H183="","(no cost centre)",H183&amp;" - GL "&amp;IFERROR(INDEX(lst_CCtoGL,MATCH(H183,lst_CCforGL,0)),"?")))</f>
        <v/>
      </c>
      <c r="R183" s="37" t="n"/>
      <c r="S183" s="10">
        <f>IF(R183="","",HYPERLINK(IF(LEFT(R183,4)="http",R183,set_QwilrBase&amp;R183),"Open quote"))</f>
        <v/>
      </c>
      <c r="T183" s="39" t="n"/>
      <c r="U183" s="39" t="n"/>
      <c r="V183" s="39" t="n"/>
      <c r="W183" s="10">
        <f>IF(C183="","",IF(N(T183)+N(U183)+N(V183)=0,"Not split",IF(ROUND(N(T183)+N(U183)+N(V183),2)=ROUND(MAX(N(L183),N(O183)),2),"OK","MISMATCH")))</f>
        <v/>
      </c>
      <c r="X183" s="39" t="n"/>
      <c r="Y183" s="39" t="n"/>
      <c r="Z183" s="39" t="n"/>
      <c r="AA183" s="11">
        <f>IF(C183="","",N(X183)+N(Y183)+N(Z183))</f>
        <v/>
      </c>
      <c r="AB183" s="11">
        <f>IF(C183="","",MAX(N(L183),N(O183))-N(AA183))</f>
        <v/>
      </c>
      <c r="AC183" s="43">
        <f>IFERROR(IF(MAX(N(L183),N(O183))=0,"",AB183/MAX(N(L183),N(O183))),"")</f>
        <v/>
      </c>
      <c r="AD183" s="37" t="n"/>
      <c r="AE183" s="10" t="inlineStr">
        <is>
          <t>CON-0179</t>
        </is>
      </c>
    </row>
    <row r="184">
      <c r="A184" s="16">
        <f>IF($C184="","",IFERROR(IF(INDEX(tbl_Finance[Latest Invoice Date],MATCH($AE184,tbl_Finance[Row ID],0))="","",INDEX(tbl_Finance[Latest Invoice Date],MATCH($AE184,tbl_Finance[Row ID],0))),""))</f>
        <v/>
      </c>
      <c r="B184" s="10">
        <f>IF($C184="","",IFERROR(INDEX(tbl_Finance[Invoice Numbers],MATCH($AE184,tbl_Finance[Row ID],0))&amp;"",""))</f>
        <v/>
      </c>
      <c r="C184" s="37" t="n"/>
      <c r="D184" s="10">
        <f>IF($C184="","",IF(COUNTIF(lst_Jobs,$C184&amp;"")&gt;0,"OK","CHECK"))</f>
        <v/>
      </c>
      <c r="E184" s="10">
        <f>IF($C184="","",IFERROR(INDEX(lst_JobName,MATCH($C184&amp;"",lst_Jobs,0)),""))</f>
        <v/>
      </c>
      <c r="F184" s="37" t="n"/>
      <c r="G184" s="37" t="n"/>
      <c r="H184" s="37" t="n"/>
      <c r="I184" s="37" t="n"/>
      <c r="J184" s="37" t="n"/>
      <c r="K184" s="38">
        <f>IF($C184="","",IFERROR(N(INDEX(tbl_Finance[Invoice Count],MATCH($AE184,tbl_Finance[Row ID],0))),""))</f>
        <v/>
      </c>
      <c r="L184" s="11">
        <f>IF($C184="","",IFERROR(N(INDEX(tbl_Finance[Xero Invoiced Ex GST],MATCH($AE184,tbl_Finance[Row ID],0))),""))</f>
        <v/>
      </c>
      <c r="M184" s="10">
        <f>IF($C184="","",IFERROR(INDEX(tbl_Finance[Compare],MATCH($AE184,tbl_Finance[Row ID],0))&amp;"",""))</f>
        <v/>
      </c>
      <c r="N184" s="11">
        <f>IF($C184="","",MAX(0,N(O184)-N(L184)))</f>
        <v/>
      </c>
      <c r="O184" s="39" t="n"/>
      <c r="P184" s="40">
        <f>IF($C184="","",IF((IF(F184="",", Client","")&amp;IF(G184="",", Description","")&amp;IF(H184="",", Cost Centre","")&amp;IF(I184="",", Invoice Type","")&amp;IF(J184="",", Tax Code","")&amp;IF(O184="",", Expected Revenue","")&amp;IF(COUNTIF(tbl_Finance[Job Number],$C184&amp;"")&gt;1,", Job number used twice",""))="","Complete","Fix: "&amp;MID(IF(F184="",", Client","")&amp;IF(G184="",", Description","")&amp;IF(H184="",", Cost Centre","")&amp;IF(I184="",", Invoice Type","")&amp;IF(J184="",", Tax Code","")&amp;IF(O184="",", Expected Revenue","")&amp;IF(COUNTIF(tbl_Finance[Job Number],$C184&amp;"")&gt;1,", Job number used twice",""),3,300)))</f>
        <v/>
      </c>
      <c r="Q184" s="10">
        <f>IF($C184="","",IF(H184="","(no cost centre)",H184&amp;" - GL "&amp;IFERROR(INDEX(lst_CCtoGL,MATCH(H184,lst_CCforGL,0)),"?")))</f>
        <v/>
      </c>
      <c r="R184" s="37" t="n"/>
      <c r="S184" s="10">
        <f>IF(R184="","",HYPERLINK(IF(LEFT(R184,4)="http",R184,set_QwilrBase&amp;R184),"Open quote"))</f>
        <v/>
      </c>
      <c r="T184" s="39" t="n"/>
      <c r="U184" s="39" t="n"/>
      <c r="V184" s="39" t="n"/>
      <c r="W184" s="10">
        <f>IF(C184="","",IF(N(T184)+N(U184)+N(V184)=0,"Not split",IF(ROUND(N(T184)+N(U184)+N(V184),2)=ROUND(MAX(N(L184),N(O184)),2),"OK","MISMATCH")))</f>
        <v/>
      </c>
      <c r="X184" s="39" t="n"/>
      <c r="Y184" s="39" t="n"/>
      <c r="Z184" s="39" t="n"/>
      <c r="AA184" s="11">
        <f>IF(C184="","",N(X184)+N(Y184)+N(Z184))</f>
        <v/>
      </c>
      <c r="AB184" s="11">
        <f>IF(C184="","",MAX(N(L184),N(O184))-N(AA184))</f>
        <v/>
      </c>
      <c r="AC184" s="43">
        <f>IFERROR(IF(MAX(N(L184),N(O184))=0,"",AB184/MAX(N(L184),N(O184))),"")</f>
        <v/>
      </c>
      <c r="AD184" s="37" t="n"/>
      <c r="AE184" s="10" t="inlineStr">
        <is>
          <t>CON-0180</t>
        </is>
      </c>
    </row>
    <row r="185">
      <c r="A185" s="16">
        <f>IF($C185="","",IFERROR(IF(INDEX(tbl_Finance[Latest Invoice Date],MATCH($AE185,tbl_Finance[Row ID],0))="","",INDEX(tbl_Finance[Latest Invoice Date],MATCH($AE185,tbl_Finance[Row ID],0))),""))</f>
        <v/>
      </c>
      <c r="B185" s="10">
        <f>IF($C185="","",IFERROR(INDEX(tbl_Finance[Invoice Numbers],MATCH($AE185,tbl_Finance[Row ID],0))&amp;"",""))</f>
        <v/>
      </c>
      <c r="C185" s="37" t="n"/>
      <c r="D185" s="10">
        <f>IF($C185="","",IF(COUNTIF(lst_Jobs,$C185&amp;"")&gt;0,"OK","CHECK"))</f>
        <v/>
      </c>
      <c r="E185" s="10">
        <f>IF($C185="","",IFERROR(INDEX(lst_JobName,MATCH($C185&amp;"",lst_Jobs,0)),""))</f>
        <v/>
      </c>
      <c r="F185" s="37" t="n"/>
      <c r="G185" s="37" t="n"/>
      <c r="H185" s="37" t="n"/>
      <c r="I185" s="37" t="n"/>
      <c r="J185" s="37" t="n"/>
      <c r="K185" s="38">
        <f>IF($C185="","",IFERROR(N(INDEX(tbl_Finance[Invoice Count],MATCH($AE185,tbl_Finance[Row ID],0))),""))</f>
        <v/>
      </c>
      <c r="L185" s="11">
        <f>IF($C185="","",IFERROR(N(INDEX(tbl_Finance[Xero Invoiced Ex GST],MATCH($AE185,tbl_Finance[Row ID],0))),""))</f>
        <v/>
      </c>
      <c r="M185" s="10">
        <f>IF($C185="","",IFERROR(INDEX(tbl_Finance[Compare],MATCH($AE185,tbl_Finance[Row ID],0))&amp;"",""))</f>
        <v/>
      </c>
      <c r="N185" s="11">
        <f>IF($C185="","",MAX(0,N(O185)-N(L185)))</f>
        <v/>
      </c>
      <c r="O185" s="39" t="n"/>
      <c r="P185" s="40">
        <f>IF($C185="","",IF((IF(F185="",", Client","")&amp;IF(G185="",", Description","")&amp;IF(H185="",", Cost Centre","")&amp;IF(I185="",", Invoice Type","")&amp;IF(J185="",", Tax Code","")&amp;IF(O185="",", Expected Revenue","")&amp;IF(COUNTIF(tbl_Finance[Job Number],$C185&amp;"")&gt;1,", Job number used twice",""))="","Complete","Fix: "&amp;MID(IF(F185="",", Client","")&amp;IF(G185="",", Description","")&amp;IF(H185="",", Cost Centre","")&amp;IF(I185="",", Invoice Type","")&amp;IF(J185="",", Tax Code","")&amp;IF(O185="",", Expected Revenue","")&amp;IF(COUNTIF(tbl_Finance[Job Number],$C185&amp;"")&gt;1,", Job number used twice",""),3,300)))</f>
        <v/>
      </c>
      <c r="Q185" s="10">
        <f>IF($C185="","",IF(H185="","(no cost centre)",H185&amp;" - GL "&amp;IFERROR(INDEX(lst_CCtoGL,MATCH(H185,lst_CCforGL,0)),"?")))</f>
        <v/>
      </c>
      <c r="R185" s="37" t="n"/>
      <c r="S185" s="10">
        <f>IF(R185="","",HYPERLINK(IF(LEFT(R185,4)="http",R185,set_QwilrBase&amp;R185),"Open quote"))</f>
        <v/>
      </c>
      <c r="T185" s="39" t="n"/>
      <c r="U185" s="39" t="n"/>
      <c r="V185" s="39" t="n"/>
      <c r="W185" s="10">
        <f>IF(C185="","",IF(N(T185)+N(U185)+N(V185)=0,"Not split",IF(ROUND(N(T185)+N(U185)+N(V185),2)=ROUND(MAX(N(L185),N(O185)),2),"OK","MISMATCH")))</f>
        <v/>
      </c>
      <c r="X185" s="39" t="n"/>
      <c r="Y185" s="39" t="n"/>
      <c r="Z185" s="39" t="n"/>
      <c r="AA185" s="11">
        <f>IF(C185="","",N(X185)+N(Y185)+N(Z185))</f>
        <v/>
      </c>
      <c r="AB185" s="11">
        <f>IF(C185="","",MAX(N(L185),N(O185))-N(AA185))</f>
        <v/>
      </c>
      <c r="AC185" s="43">
        <f>IFERROR(IF(MAX(N(L185),N(O185))=0,"",AB185/MAX(N(L185),N(O185))),"")</f>
        <v/>
      </c>
      <c r="AD185" s="37" t="n"/>
      <c r="AE185" s="10" t="inlineStr">
        <is>
          <t>CON-0181</t>
        </is>
      </c>
    </row>
    <row r="186">
      <c r="A186" s="16">
        <f>IF($C186="","",IFERROR(IF(INDEX(tbl_Finance[Latest Invoice Date],MATCH($AE186,tbl_Finance[Row ID],0))="","",INDEX(tbl_Finance[Latest Invoice Date],MATCH($AE186,tbl_Finance[Row ID],0))),""))</f>
        <v/>
      </c>
      <c r="B186" s="10">
        <f>IF($C186="","",IFERROR(INDEX(tbl_Finance[Invoice Numbers],MATCH($AE186,tbl_Finance[Row ID],0))&amp;"",""))</f>
        <v/>
      </c>
      <c r="C186" s="37" t="n"/>
      <c r="D186" s="10">
        <f>IF($C186="","",IF(COUNTIF(lst_Jobs,$C186&amp;"")&gt;0,"OK","CHECK"))</f>
        <v/>
      </c>
      <c r="E186" s="10">
        <f>IF($C186="","",IFERROR(INDEX(lst_JobName,MATCH($C186&amp;"",lst_Jobs,0)),""))</f>
        <v/>
      </c>
      <c r="F186" s="37" t="n"/>
      <c r="G186" s="37" t="n"/>
      <c r="H186" s="37" t="n"/>
      <c r="I186" s="37" t="n"/>
      <c r="J186" s="37" t="n"/>
      <c r="K186" s="38">
        <f>IF($C186="","",IFERROR(N(INDEX(tbl_Finance[Invoice Count],MATCH($AE186,tbl_Finance[Row ID],0))),""))</f>
        <v/>
      </c>
      <c r="L186" s="11">
        <f>IF($C186="","",IFERROR(N(INDEX(tbl_Finance[Xero Invoiced Ex GST],MATCH($AE186,tbl_Finance[Row ID],0))),""))</f>
        <v/>
      </c>
      <c r="M186" s="10">
        <f>IF($C186="","",IFERROR(INDEX(tbl_Finance[Compare],MATCH($AE186,tbl_Finance[Row ID],0))&amp;"",""))</f>
        <v/>
      </c>
      <c r="N186" s="11">
        <f>IF($C186="","",MAX(0,N(O186)-N(L186)))</f>
        <v/>
      </c>
      <c r="O186" s="39" t="n"/>
      <c r="P186" s="40">
        <f>IF($C186="","",IF((IF(F186="",", Client","")&amp;IF(G186="",", Description","")&amp;IF(H186="",", Cost Centre","")&amp;IF(I186="",", Invoice Type","")&amp;IF(J186="",", Tax Code","")&amp;IF(O186="",", Expected Revenue","")&amp;IF(COUNTIF(tbl_Finance[Job Number],$C186&amp;"")&gt;1,", Job number used twice",""))="","Complete","Fix: "&amp;MID(IF(F186="",", Client","")&amp;IF(G186="",", Description","")&amp;IF(H186="",", Cost Centre","")&amp;IF(I186="",", Invoice Type","")&amp;IF(J186="",", Tax Code","")&amp;IF(O186="",", Expected Revenue","")&amp;IF(COUNTIF(tbl_Finance[Job Number],$C186&amp;"")&gt;1,", Job number used twice",""),3,300)))</f>
        <v/>
      </c>
      <c r="Q186" s="10">
        <f>IF($C186="","",IF(H186="","(no cost centre)",H186&amp;" - GL "&amp;IFERROR(INDEX(lst_CCtoGL,MATCH(H186,lst_CCforGL,0)),"?")))</f>
        <v/>
      </c>
      <c r="R186" s="37" t="n"/>
      <c r="S186" s="10">
        <f>IF(R186="","",HYPERLINK(IF(LEFT(R186,4)="http",R186,set_QwilrBase&amp;R186),"Open quote"))</f>
        <v/>
      </c>
      <c r="T186" s="39" t="n"/>
      <c r="U186" s="39" t="n"/>
      <c r="V186" s="39" t="n"/>
      <c r="W186" s="10">
        <f>IF(C186="","",IF(N(T186)+N(U186)+N(V186)=0,"Not split",IF(ROUND(N(T186)+N(U186)+N(V186),2)=ROUND(MAX(N(L186),N(O186)),2),"OK","MISMATCH")))</f>
        <v/>
      </c>
      <c r="X186" s="39" t="n"/>
      <c r="Y186" s="39" t="n"/>
      <c r="Z186" s="39" t="n"/>
      <c r="AA186" s="11">
        <f>IF(C186="","",N(X186)+N(Y186)+N(Z186))</f>
        <v/>
      </c>
      <c r="AB186" s="11">
        <f>IF(C186="","",MAX(N(L186),N(O186))-N(AA186))</f>
        <v/>
      </c>
      <c r="AC186" s="43">
        <f>IFERROR(IF(MAX(N(L186),N(O186))=0,"",AB186/MAX(N(L186),N(O186))),"")</f>
        <v/>
      </c>
      <c r="AD186" s="37" t="n"/>
      <c r="AE186" s="10" t="inlineStr">
        <is>
          <t>CON-0182</t>
        </is>
      </c>
    </row>
    <row r="187">
      <c r="A187" s="16">
        <f>IF($C187="","",IFERROR(IF(INDEX(tbl_Finance[Latest Invoice Date],MATCH($AE187,tbl_Finance[Row ID],0))="","",INDEX(tbl_Finance[Latest Invoice Date],MATCH($AE187,tbl_Finance[Row ID],0))),""))</f>
        <v/>
      </c>
      <c r="B187" s="10">
        <f>IF($C187="","",IFERROR(INDEX(tbl_Finance[Invoice Numbers],MATCH($AE187,tbl_Finance[Row ID],0))&amp;"",""))</f>
        <v/>
      </c>
      <c r="C187" s="37" t="n"/>
      <c r="D187" s="10">
        <f>IF($C187="","",IF(COUNTIF(lst_Jobs,$C187&amp;"")&gt;0,"OK","CHECK"))</f>
        <v/>
      </c>
      <c r="E187" s="10">
        <f>IF($C187="","",IFERROR(INDEX(lst_JobName,MATCH($C187&amp;"",lst_Jobs,0)),""))</f>
        <v/>
      </c>
      <c r="F187" s="37" t="n"/>
      <c r="G187" s="37" t="n"/>
      <c r="H187" s="37" t="n"/>
      <c r="I187" s="37" t="n"/>
      <c r="J187" s="37" t="n"/>
      <c r="K187" s="38">
        <f>IF($C187="","",IFERROR(N(INDEX(tbl_Finance[Invoice Count],MATCH($AE187,tbl_Finance[Row ID],0))),""))</f>
        <v/>
      </c>
      <c r="L187" s="11">
        <f>IF($C187="","",IFERROR(N(INDEX(tbl_Finance[Xero Invoiced Ex GST],MATCH($AE187,tbl_Finance[Row ID],0))),""))</f>
        <v/>
      </c>
      <c r="M187" s="10">
        <f>IF($C187="","",IFERROR(INDEX(tbl_Finance[Compare],MATCH($AE187,tbl_Finance[Row ID],0))&amp;"",""))</f>
        <v/>
      </c>
      <c r="N187" s="11">
        <f>IF($C187="","",MAX(0,N(O187)-N(L187)))</f>
        <v/>
      </c>
      <c r="O187" s="39" t="n"/>
      <c r="P187" s="40">
        <f>IF($C187="","",IF((IF(F187="",", Client","")&amp;IF(G187="",", Description","")&amp;IF(H187="",", Cost Centre","")&amp;IF(I187="",", Invoice Type","")&amp;IF(J187="",", Tax Code","")&amp;IF(O187="",", Expected Revenue","")&amp;IF(COUNTIF(tbl_Finance[Job Number],$C187&amp;"")&gt;1,", Job number used twice",""))="","Complete","Fix: "&amp;MID(IF(F187="",", Client","")&amp;IF(G187="",", Description","")&amp;IF(H187="",", Cost Centre","")&amp;IF(I187="",", Invoice Type","")&amp;IF(J187="",", Tax Code","")&amp;IF(O187="",", Expected Revenue","")&amp;IF(COUNTIF(tbl_Finance[Job Number],$C187&amp;"")&gt;1,", Job number used twice",""),3,300)))</f>
        <v/>
      </c>
      <c r="Q187" s="10">
        <f>IF($C187="","",IF(H187="","(no cost centre)",H187&amp;" - GL "&amp;IFERROR(INDEX(lst_CCtoGL,MATCH(H187,lst_CCforGL,0)),"?")))</f>
        <v/>
      </c>
      <c r="R187" s="37" t="n"/>
      <c r="S187" s="10">
        <f>IF(R187="","",HYPERLINK(IF(LEFT(R187,4)="http",R187,set_QwilrBase&amp;R187),"Open quote"))</f>
        <v/>
      </c>
      <c r="T187" s="39" t="n"/>
      <c r="U187" s="39" t="n"/>
      <c r="V187" s="39" t="n"/>
      <c r="W187" s="10">
        <f>IF(C187="","",IF(N(T187)+N(U187)+N(V187)=0,"Not split",IF(ROUND(N(T187)+N(U187)+N(V187),2)=ROUND(MAX(N(L187),N(O187)),2),"OK","MISMATCH")))</f>
        <v/>
      </c>
      <c r="X187" s="39" t="n"/>
      <c r="Y187" s="39" t="n"/>
      <c r="Z187" s="39" t="n"/>
      <c r="AA187" s="11">
        <f>IF(C187="","",N(X187)+N(Y187)+N(Z187))</f>
        <v/>
      </c>
      <c r="AB187" s="11">
        <f>IF(C187="","",MAX(N(L187),N(O187))-N(AA187))</f>
        <v/>
      </c>
      <c r="AC187" s="43">
        <f>IFERROR(IF(MAX(N(L187),N(O187))=0,"",AB187/MAX(N(L187),N(O187))),"")</f>
        <v/>
      </c>
      <c r="AD187" s="37" t="n"/>
      <c r="AE187" s="10" t="inlineStr">
        <is>
          <t>CON-0183</t>
        </is>
      </c>
    </row>
    <row r="188">
      <c r="A188" s="16">
        <f>IF($C188="","",IFERROR(IF(INDEX(tbl_Finance[Latest Invoice Date],MATCH($AE188,tbl_Finance[Row ID],0))="","",INDEX(tbl_Finance[Latest Invoice Date],MATCH($AE188,tbl_Finance[Row ID],0))),""))</f>
        <v/>
      </c>
      <c r="B188" s="10">
        <f>IF($C188="","",IFERROR(INDEX(tbl_Finance[Invoice Numbers],MATCH($AE188,tbl_Finance[Row ID],0))&amp;"",""))</f>
        <v/>
      </c>
      <c r="C188" s="37" t="n"/>
      <c r="D188" s="10">
        <f>IF($C188="","",IF(COUNTIF(lst_Jobs,$C188&amp;"")&gt;0,"OK","CHECK"))</f>
        <v/>
      </c>
      <c r="E188" s="10">
        <f>IF($C188="","",IFERROR(INDEX(lst_JobName,MATCH($C188&amp;"",lst_Jobs,0)),""))</f>
        <v/>
      </c>
      <c r="F188" s="37" t="n"/>
      <c r="G188" s="37" t="n"/>
      <c r="H188" s="37" t="n"/>
      <c r="I188" s="37" t="n"/>
      <c r="J188" s="37" t="n"/>
      <c r="K188" s="38">
        <f>IF($C188="","",IFERROR(N(INDEX(tbl_Finance[Invoice Count],MATCH($AE188,tbl_Finance[Row ID],0))),""))</f>
        <v/>
      </c>
      <c r="L188" s="11">
        <f>IF($C188="","",IFERROR(N(INDEX(tbl_Finance[Xero Invoiced Ex GST],MATCH($AE188,tbl_Finance[Row ID],0))),""))</f>
        <v/>
      </c>
      <c r="M188" s="10">
        <f>IF($C188="","",IFERROR(INDEX(tbl_Finance[Compare],MATCH($AE188,tbl_Finance[Row ID],0))&amp;"",""))</f>
        <v/>
      </c>
      <c r="N188" s="11">
        <f>IF($C188="","",MAX(0,N(O188)-N(L188)))</f>
        <v/>
      </c>
      <c r="O188" s="39" t="n"/>
      <c r="P188" s="40">
        <f>IF($C188="","",IF((IF(F188="",", Client","")&amp;IF(G188="",", Description","")&amp;IF(H188="",", Cost Centre","")&amp;IF(I188="",", Invoice Type","")&amp;IF(J188="",", Tax Code","")&amp;IF(O188="",", Expected Revenue","")&amp;IF(COUNTIF(tbl_Finance[Job Number],$C188&amp;"")&gt;1,", Job number used twice",""))="","Complete","Fix: "&amp;MID(IF(F188="",", Client","")&amp;IF(G188="",", Description","")&amp;IF(H188="",", Cost Centre","")&amp;IF(I188="",", Invoice Type","")&amp;IF(J188="",", Tax Code","")&amp;IF(O188="",", Expected Revenue","")&amp;IF(COUNTIF(tbl_Finance[Job Number],$C188&amp;"")&gt;1,", Job number used twice",""),3,300)))</f>
        <v/>
      </c>
      <c r="Q188" s="10">
        <f>IF($C188="","",IF(H188="","(no cost centre)",H188&amp;" - GL "&amp;IFERROR(INDEX(lst_CCtoGL,MATCH(H188,lst_CCforGL,0)),"?")))</f>
        <v/>
      </c>
      <c r="R188" s="37" t="n"/>
      <c r="S188" s="10">
        <f>IF(R188="","",HYPERLINK(IF(LEFT(R188,4)="http",R188,set_QwilrBase&amp;R188),"Open quote"))</f>
        <v/>
      </c>
      <c r="T188" s="39" t="n"/>
      <c r="U188" s="39" t="n"/>
      <c r="V188" s="39" t="n"/>
      <c r="W188" s="10">
        <f>IF(C188="","",IF(N(T188)+N(U188)+N(V188)=0,"Not split",IF(ROUND(N(T188)+N(U188)+N(V188),2)=ROUND(MAX(N(L188),N(O188)),2),"OK","MISMATCH")))</f>
        <v/>
      </c>
      <c r="X188" s="39" t="n"/>
      <c r="Y188" s="39" t="n"/>
      <c r="Z188" s="39" t="n"/>
      <c r="AA188" s="11">
        <f>IF(C188="","",N(X188)+N(Y188)+N(Z188))</f>
        <v/>
      </c>
      <c r="AB188" s="11">
        <f>IF(C188="","",MAX(N(L188),N(O188))-N(AA188))</f>
        <v/>
      </c>
      <c r="AC188" s="43">
        <f>IFERROR(IF(MAX(N(L188),N(O188))=0,"",AB188/MAX(N(L188),N(O188))),"")</f>
        <v/>
      </c>
      <c r="AD188" s="37" t="n"/>
      <c r="AE188" s="10" t="inlineStr">
        <is>
          <t>CON-0184</t>
        </is>
      </c>
    </row>
    <row r="189">
      <c r="A189" s="16">
        <f>IF($C189="","",IFERROR(IF(INDEX(tbl_Finance[Latest Invoice Date],MATCH($AE189,tbl_Finance[Row ID],0))="","",INDEX(tbl_Finance[Latest Invoice Date],MATCH($AE189,tbl_Finance[Row ID],0))),""))</f>
        <v/>
      </c>
      <c r="B189" s="10">
        <f>IF($C189="","",IFERROR(INDEX(tbl_Finance[Invoice Numbers],MATCH($AE189,tbl_Finance[Row ID],0))&amp;"",""))</f>
        <v/>
      </c>
      <c r="C189" s="37" t="n"/>
      <c r="D189" s="10">
        <f>IF($C189="","",IF(COUNTIF(lst_Jobs,$C189&amp;"")&gt;0,"OK","CHECK"))</f>
        <v/>
      </c>
      <c r="E189" s="10">
        <f>IF($C189="","",IFERROR(INDEX(lst_JobName,MATCH($C189&amp;"",lst_Jobs,0)),""))</f>
        <v/>
      </c>
      <c r="F189" s="37" t="n"/>
      <c r="G189" s="37" t="n"/>
      <c r="H189" s="37" t="n"/>
      <c r="I189" s="37" t="n"/>
      <c r="J189" s="37" t="n"/>
      <c r="K189" s="38">
        <f>IF($C189="","",IFERROR(N(INDEX(tbl_Finance[Invoice Count],MATCH($AE189,tbl_Finance[Row ID],0))),""))</f>
        <v/>
      </c>
      <c r="L189" s="11">
        <f>IF($C189="","",IFERROR(N(INDEX(tbl_Finance[Xero Invoiced Ex GST],MATCH($AE189,tbl_Finance[Row ID],0))),""))</f>
        <v/>
      </c>
      <c r="M189" s="10">
        <f>IF($C189="","",IFERROR(INDEX(tbl_Finance[Compare],MATCH($AE189,tbl_Finance[Row ID],0))&amp;"",""))</f>
        <v/>
      </c>
      <c r="N189" s="11">
        <f>IF($C189="","",MAX(0,N(O189)-N(L189)))</f>
        <v/>
      </c>
      <c r="O189" s="39" t="n"/>
      <c r="P189" s="40">
        <f>IF($C189="","",IF((IF(F189="",", Client","")&amp;IF(G189="",", Description","")&amp;IF(H189="",", Cost Centre","")&amp;IF(I189="",", Invoice Type","")&amp;IF(J189="",", Tax Code","")&amp;IF(O189="",", Expected Revenue","")&amp;IF(COUNTIF(tbl_Finance[Job Number],$C189&amp;"")&gt;1,", Job number used twice",""))="","Complete","Fix: "&amp;MID(IF(F189="",", Client","")&amp;IF(G189="",", Description","")&amp;IF(H189="",", Cost Centre","")&amp;IF(I189="",", Invoice Type","")&amp;IF(J189="",", Tax Code","")&amp;IF(O189="",", Expected Revenue","")&amp;IF(COUNTIF(tbl_Finance[Job Number],$C189&amp;"")&gt;1,", Job number used twice",""),3,300)))</f>
        <v/>
      </c>
      <c r="Q189" s="10">
        <f>IF($C189="","",IF(H189="","(no cost centre)",H189&amp;" - GL "&amp;IFERROR(INDEX(lst_CCtoGL,MATCH(H189,lst_CCforGL,0)),"?")))</f>
        <v/>
      </c>
      <c r="R189" s="37" t="n"/>
      <c r="S189" s="10">
        <f>IF(R189="","",HYPERLINK(IF(LEFT(R189,4)="http",R189,set_QwilrBase&amp;R189),"Open quote"))</f>
        <v/>
      </c>
      <c r="T189" s="39" t="n"/>
      <c r="U189" s="39" t="n"/>
      <c r="V189" s="39" t="n"/>
      <c r="W189" s="10">
        <f>IF(C189="","",IF(N(T189)+N(U189)+N(V189)=0,"Not split",IF(ROUND(N(T189)+N(U189)+N(V189),2)=ROUND(MAX(N(L189),N(O189)),2),"OK","MISMATCH")))</f>
        <v/>
      </c>
      <c r="X189" s="39" t="n"/>
      <c r="Y189" s="39" t="n"/>
      <c r="Z189" s="39" t="n"/>
      <c r="AA189" s="11">
        <f>IF(C189="","",N(X189)+N(Y189)+N(Z189))</f>
        <v/>
      </c>
      <c r="AB189" s="11">
        <f>IF(C189="","",MAX(N(L189),N(O189))-N(AA189))</f>
        <v/>
      </c>
      <c r="AC189" s="43">
        <f>IFERROR(IF(MAX(N(L189),N(O189))=0,"",AB189/MAX(N(L189),N(O189))),"")</f>
        <v/>
      </c>
      <c r="AD189" s="37" t="n"/>
      <c r="AE189" s="10" t="inlineStr">
        <is>
          <t>CON-0185</t>
        </is>
      </c>
    </row>
    <row r="190">
      <c r="A190" s="16">
        <f>IF($C190="","",IFERROR(IF(INDEX(tbl_Finance[Latest Invoice Date],MATCH($AE190,tbl_Finance[Row ID],0))="","",INDEX(tbl_Finance[Latest Invoice Date],MATCH($AE190,tbl_Finance[Row ID],0))),""))</f>
        <v/>
      </c>
      <c r="B190" s="10">
        <f>IF($C190="","",IFERROR(INDEX(tbl_Finance[Invoice Numbers],MATCH($AE190,tbl_Finance[Row ID],0))&amp;"",""))</f>
        <v/>
      </c>
      <c r="C190" s="37" t="n"/>
      <c r="D190" s="10">
        <f>IF($C190="","",IF(COUNTIF(lst_Jobs,$C190&amp;"")&gt;0,"OK","CHECK"))</f>
        <v/>
      </c>
      <c r="E190" s="10">
        <f>IF($C190="","",IFERROR(INDEX(lst_JobName,MATCH($C190&amp;"",lst_Jobs,0)),""))</f>
        <v/>
      </c>
      <c r="F190" s="37" t="n"/>
      <c r="G190" s="37" t="n"/>
      <c r="H190" s="37" t="n"/>
      <c r="I190" s="37" t="n"/>
      <c r="J190" s="37" t="n"/>
      <c r="K190" s="38">
        <f>IF($C190="","",IFERROR(N(INDEX(tbl_Finance[Invoice Count],MATCH($AE190,tbl_Finance[Row ID],0))),""))</f>
        <v/>
      </c>
      <c r="L190" s="11">
        <f>IF($C190="","",IFERROR(N(INDEX(tbl_Finance[Xero Invoiced Ex GST],MATCH($AE190,tbl_Finance[Row ID],0))),""))</f>
        <v/>
      </c>
      <c r="M190" s="10">
        <f>IF($C190="","",IFERROR(INDEX(tbl_Finance[Compare],MATCH($AE190,tbl_Finance[Row ID],0))&amp;"",""))</f>
        <v/>
      </c>
      <c r="N190" s="11">
        <f>IF($C190="","",MAX(0,N(O190)-N(L190)))</f>
        <v/>
      </c>
      <c r="O190" s="39" t="n"/>
      <c r="P190" s="40">
        <f>IF($C190="","",IF((IF(F190="",", Client","")&amp;IF(G190="",", Description","")&amp;IF(H190="",", Cost Centre","")&amp;IF(I190="",", Invoice Type","")&amp;IF(J190="",", Tax Code","")&amp;IF(O190="",", Expected Revenue","")&amp;IF(COUNTIF(tbl_Finance[Job Number],$C190&amp;"")&gt;1,", Job number used twice",""))="","Complete","Fix: "&amp;MID(IF(F190="",", Client","")&amp;IF(G190="",", Description","")&amp;IF(H190="",", Cost Centre","")&amp;IF(I190="",", Invoice Type","")&amp;IF(J190="",", Tax Code","")&amp;IF(O190="",", Expected Revenue","")&amp;IF(COUNTIF(tbl_Finance[Job Number],$C190&amp;"")&gt;1,", Job number used twice",""),3,300)))</f>
        <v/>
      </c>
      <c r="Q190" s="10">
        <f>IF($C190="","",IF(H190="","(no cost centre)",H190&amp;" - GL "&amp;IFERROR(INDEX(lst_CCtoGL,MATCH(H190,lst_CCforGL,0)),"?")))</f>
        <v/>
      </c>
      <c r="R190" s="37" t="n"/>
      <c r="S190" s="10">
        <f>IF(R190="","",HYPERLINK(IF(LEFT(R190,4)="http",R190,set_QwilrBase&amp;R190),"Open quote"))</f>
        <v/>
      </c>
      <c r="T190" s="39" t="n"/>
      <c r="U190" s="39" t="n"/>
      <c r="V190" s="39" t="n"/>
      <c r="W190" s="10">
        <f>IF(C190="","",IF(N(T190)+N(U190)+N(V190)=0,"Not split",IF(ROUND(N(T190)+N(U190)+N(V190),2)=ROUND(MAX(N(L190),N(O190)),2),"OK","MISMATCH")))</f>
        <v/>
      </c>
      <c r="X190" s="39" t="n"/>
      <c r="Y190" s="39" t="n"/>
      <c r="Z190" s="39" t="n"/>
      <c r="AA190" s="11">
        <f>IF(C190="","",N(X190)+N(Y190)+N(Z190))</f>
        <v/>
      </c>
      <c r="AB190" s="11">
        <f>IF(C190="","",MAX(N(L190),N(O190))-N(AA190))</f>
        <v/>
      </c>
      <c r="AC190" s="43">
        <f>IFERROR(IF(MAX(N(L190),N(O190))=0,"",AB190/MAX(N(L190),N(O190))),"")</f>
        <v/>
      </c>
      <c r="AD190" s="37" t="n"/>
      <c r="AE190" s="10" t="inlineStr">
        <is>
          <t>CON-0186</t>
        </is>
      </c>
    </row>
    <row r="191">
      <c r="A191" s="16">
        <f>IF($C191="","",IFERROR(IF(INDEX(tbl_Finance[Latest Invoice Date],MATCH($AE191,tbl_Finance[Row ID],0))="","",INDEX(tbl_Finance[Latest Invoice Date],MATCH($AE191,tbl_Finance[Row ID],0))),""))</f>
        <v/>
      </c>
      <c r="B191" s="10">
        <f>IF($C191="","",IFERROR(INDEX(tbl_Finance[Invoice Numbers],MATCH($AE191,tbl_Finance[Row ID],0))&amp;"",""))</f>
        <v/>
      </c>
      <c r="C191" s="37" t="n"/>
      <c r="D191" s="10">
        <f>IF($C191="","",IF(COUNTIF(lst_Jobs,$C191&amp;"")&gt;0,"OK","CHECK"))</f>
        <v/>
      </c>
      <c r="E191" s="10">
        <f>IF($C191="","",IFERROR(INDEX(lst_JobName,MATCH($C191&amp;"",lst_Jobs,0)),""))</f>
        <v/>
      </c>
      <c r="F191" s="37" t="n"/>
      <c r="G191" s="37" t="n"/>
      <c r="H191" s="37" t="n"/>
      <c r="I191" s="37" t="n"/>
      <c r="J191" s="37" t="n"/>
      <c r="K191" s="38">
        <f>IF($C191="","",IFERROR(N(INDEX(tbl_Finance[Invoice Count],MATCH($AE191,tbl_Finance[Row ID],0))),""))</f>
        <v/>
      </c>
      <c r="L191" s="11">
        <f>IF($C191="","",IFERROR(N(INDEX(tbl_Finance[Xero Invoiced Ex GST],MATCH($AE191,tbl_Finance[Row ID],0))),""))</f>
        <v/>
      </c>
      <c r="M191" s="10">
        <f>IF($C191="","",IFERROR(INDEX(tbl_Finance[Compare],MATCH($AE191,tbl_Finance[Row ID],0))&amp;"",""))</f>
        <v/>
      </c>
      <c r="N191" s="11">
        <f>IF($C191="","",MAX(0,N(O191)-N(L191)))</f>
        <v/>
      </c>
      <c r="O191" s="39" t="n"/>
      <c r="P191" s="40">
        <f>IF($C191="","",IF((IF(F191="",", Client","")&amp;IF(G191="",", Description","")&amp;IF(H191="",", Cost Centre","")&amp;IF(I191="",", Invoice Type","")&amp;IF(J191="",", Tax Code","")&amp;IF(O191="",", Expected Revenue","")&amp;IF(COUNTIF(tbl_Finance[Job Number],$C191&amp;"")&gt;1,", Job number used twice",""))="","Complete","Fix: "&amp;MID(IF(F191="",", Client","")&amp;IF(G191="",", Description","")&amp;IF(H191="",", Cost Centre","")&amp;IF(I191="",", Invoice Type","")&amp;IF(J191="",", Tax Code","")&amp;IF(O191="",", Expected Revenue","")&amp;IF(COUNTIF(tbl_Finance[Job Number],$C191&amp;"")&gt;1,", Job number used twice",""),3,300)))</f>
        <v/>
      </c>
      <c r="Q191" s="10">
        <f>IF($C191="","",IF(H191="","(no cost centre)",H191&amp;" - GL "&amp;IFERROR(INDEX(lst_CCtoGL,MATCH(H191,lst_CCforGL,0)),"?")))</f>
        <v/>
      </c>
      <c r="R191" s="37" t="n"/>
      <c r="S191" s="10">
        <f>IF(R191="","",HYPERLINK(IF(LEFT(R191,4)="http",R191,set_QwilrBase&amp;R191),"Open quote"))</f>
        <v/>
      </c>
      <c r="T191" s="39" t="n"/>
      <c r="U191" s="39" t="n"/>
      <c r="V191" s="39" t="n"/>
      <c r="W191" s="10">
        <f>IF(C191="","",IF(N(T191)+N(U191)+N(V191)=0,"Not split",IF(ROUND(N(T191)+N(U191)+N(V191),2)=ROUND(MAX(N(L191),N(O191)),2),"OK","MISMATCH")))</f>
        <v/>
      </c>
      <c r="X191" s="39" t="n"/>
      <c r="Y191" s="39" t="n"/>
      <c r="Z191" s="39" t="n"/>
      <c r="AA191" s="11">
        <f>IF(C191="","",N(X191)+N(Y191)+N(Z191))</f>
        <v/>
      </c>
      <c r="AB191" s="11">
        <f>IF(C191="","",MAX(N(L191),N(O191))-N(AA191))</f>
        <v/>
      </c>
      <c r="AC191" s="43">
        <f>IFERROR(IF(MAX(N(L191),N(O191))=0,"",AB191/MAX(N(L191),N(O191))),"")</f>
        <v/>
      </c>
      <c r="AD191" s="37" t="n"/>
      <c r="AE191" s="10" t="inlineStr">
        <is>
          <t>CON-0187</t>
        </is>
      </c>
    </row>
    <row r="192">
      <c r="A192" s="16">
        <f>IF($C192="","",IFERROR(IF(INDEX(tbl_Finance[Latest Invoice Date],MATCH($AE192,tbl_Finance[Row ID],0))="","",INDEX(tbl_Finance[Latest Invoice Date],MATCH($AE192,tbl_Finance[Row ID],0))),""))</f>
        <v/>
      </c>
      <c r="B192" s="10">
        <f>IF($C192="","",IFERROR(INDEX(tbl_Finance[Invoice Numbers],MATCH($AE192,tbl_Finance[Row ID],0))&amp;"",""))</f>
        <v/>
      </c>
      <c r="C192" s="37" t="n"/>
      <c r="D192" s="10">
        <f>IF($C192="","",IF(COUNTIF(lst_Jobs,$C192&amp;"")&gt;0,"OK","CHECK"))</f>
        <v/>
      </c>
      <c r="E192" s="10">
        <f>IF($C192="","",IFERROR(INDEX(lst_JobName,MATCH($C192&amp;"",lst_Jobs,0)),""))</f>
        <v/>
      </c>
      <c r="F192" s="37" t="n"/>
      <c r="G192" s="37" t="n"/>
      <c r="H192" s="37" t="n"/>
      <c r="I192" s="37" t="n"/>
      <c r="J192" s="37" t="n"/>
      <c r="K192" s="38">
        <f>IF($C192="","",IFERROR(N(INDEX(tbl_Finance[Invoice Count],MATCH($AE192,tbl_Finance[Row ID],0))),""))</f>
        <v/>
      </c>
      <c r="L192" s="11">
        <f>IF($C192="","",IFERROR(N(INDEX(tbl_Finance[Xero Invoiced Ex GST],MATCH($AE192,tbl_Finance[Row ID],0))),""))</f>
        <v/>
      </c>
      <c r="M192" s="10">
        <f>IF($C192="","",IFERROR(INDEX(tbl_Finance[Compare],MATCH($AE192,tbl_Finance[Row ID],0))&amp;"",""))</f>
        <v/>
      </c>
      <c r="N192" s="11">
        <f>IF($C192="","",MAX(0,N(O192)-N(L192)))</f>
        <v/>
      </c>
      <c r="O192" s="39" t="n"/>
      <c r="P192" s="40">
        <f>IF($C192="","",IF((IF(F192="",", Client","")&amp;IF(G192="",", Description","")&amp;IF(H192="",", Cost Centre","")&amp;IF(I192="",", Invoice Type","")&amp;IF(J192="",", Tax Code","")&amp;IF(O192="",", Expected Revenue","")&amp;IF(COUNTIF(tbl_Finance[Job Number],$C192&amp;"")&gt;1,", Job number used twice",""))="","Complete","Fix: "&amp;MID(IF(F192="",", Client","")&amp;IF(G192="",", Description","")&amp;IF(H192="",", Cost Centre","")&amp;IF(I192="",", Invoice Type","")&amp;IF(J192="",", Tax Code","")&amp;IF(O192="",", Expected Revenue","")&amp;IF(COUNTIF(tbl_Finance[Job Number],$C192&amp;"")&gt;1,", Job number used twice",""),3,300)))</f>
        <v/>
      </c>
      <c r="Q192" s="10">
        <f>IF($C192="","",IF(H192="","(no cost centre)",H192&amp;" - GL "&amp;IFERROR(INDEX(lst_CCtoGL,MATCH(H192,lst_CCforGL,0)),"?")))</f>
        <v/>
      </c>
      <c r="R192" s="37" t="n"/>
      <c r="S192" s="10">
        <f>IF(R192="","",HYPERLINK(IF(LEFT(R192,4)="http",R192,set_QwilrBase&amp;R192),"Open quote"))</f>
        <v/>
      </c>
      <c r="T192" s="39" t="n"/>
      <c r="U192" s="39" t="n"/>
      <c r="V192" s="39" t="n"/>
      <c r="W192" s="10">
        <f>IF(C192="","",IF(N(T192)+N(U192)+N(V192)=0,"Not split",IF(ROUND(N(T192)+N(U192)+N(V192),2)=ROUND(MAX(N(L192),N(O192)),2),"OK","MISMATCH")))</f>
        <v/>
      </c>
      <c r="X192" s="39" t="n"/>
      <c r="Y192" s="39" t="n"/>
      <c r="Z192" s="39" t="n"/>
      <c r="AA192" s="11">
        <f>IF(C192="","",N(X192)+N(Y192)+N(Z192))</f>
        <v/>
      </c>
      <c r="AB192" s="11">
        <f>IF(C192="","",MAX(N(L192),N(O192))-N(AA192))</f>
        <v/>
      </c>
      <c r="AC192" s="43">
        <f>IFERROR(IF(MAX(N(L192),N(O192))=0,"",AB192/MAX(N(L192),N(O192))),"")</f>
        <v/>
      </c>
      <c r="AD192" s="37" t="n"/>
      <c r="AE192" s="10" t="inlineStr">
        <is>
          <t>CON-0188</t>
        </is>
      </c>
    </row>
    <row r="193">
      <c r="A193" s="16">
        <f>IF($C193="","",IFERROR(IF(INDEX(tbl_Finance[Latest Invoice Date],MATCH($AE193,tbl_Finance[Row ID],0))="","",INDEX(tbl_Finance[Latest Invoice Date],MATCH($AE193,tbl_Finance[Row ID],0))),""))</f>
        <v/>
      </c>
      <c r="B193" s="10">
        <f>IF($C193="","",IFERROR(INDEX(tbl_Finance[Invoice Numbers],MATCH($AE193,tbl_Finance[Row ID],0))&amp;"",""))</f>
        <v/>
      </c>
      <c r="C193" s="37" t="n"/>
      <c r="D193" s="10">
        <f>IF($C193="","",IF(COUNTIF(lst_Jobs,$C193&amp;"")&gt;0,"OK","CHECK"))</f>
        <v/>
      </c>
      <c r="E193" s="10">
        <f>IF($C193="","",IFERROR(INDEX(lst_JobName,MATCH($C193&amp;"",lst_Jobs,0)),""))</f>
        <v/>
      </c>
      <c r="F193" s="37" t="n"/>
      <c r="G193" s="37" t="n"/>
      <c r="H193" s="37" t="n"/>
      <c r="I193" s="37" t="n"/>
      <c r="J193" s="37" t="n"/>
      <c r="K193" s="38">
        <f>IF($C193="","",IFERROR(N(INDEX(tbl_Finance[Invoice Count],MATCH($AE193,tbl_Finance[Row ID],0))),""))</f>
        <v/>
      </c>
      <c r="L193" s="11">
        <f>IF($C193="","",IFERROR(N(INDEX(tbl_Finance[Xero Invoiced Ex GST],MATCH($AE193,tbl_Finance[Row ID],0))),""))</f>
        <v/>
      </c>
      <c r="M193" s="10">
        <f>IF($C193="","",IFERROR(INDEX(tbl_Finance[Compare],MATCH($AE193,tbl_Finance[Row ID],0))&amp;"",""))</f>
        <v/>
      </c>
      <c r="N193" s="11">
        <f>IF($C193="","",MAX(0,N(O193)-N(L193)))</f>
        <v/>
      </c>
      <c r="O193" s="39" t="n"/>
      <c r="P193" s="40">
        <f>IF($C193="","",IF((IF(F193="",", Client","")&amp;IF(G193="",", Description","")&amp;IF(H193="",", Cost Centre","")&amp;IF(I193="",", Invoice Type","")&amp;IF(J193="",", Tax Code","")&amp;IF(O193="",", Expected Revenue","")&amp;IF(COUNTIF(tbl_Finance[Job Number],$C193&amp;"")&gt;1,", Job number used twice",""))="","Complete","Fix: "&amp;MID(IF(F193="",", Client","")&amp;IF(G193="",", Description","")&amp;IF(H193="",", Cost Centre","")&amp;IF(I193="",", Invoice Type","")&amp;IF(J193="",", Tax Code","")&amp;IF(O193="",", Expected Revenue","")&amp;IF(COUNTIF(tbl_Finance[Job Number],$C193&amp;"")&gt;1,", Job number used twice",""),3,300)))</f>
        <v/>
      </c>
      <c r="Q193" s="10">
        <f>IF($C193="","",IF(H193="","(no cost centre)",H193&amp;" - GL "&amp;IFERROR(INDEX(lst_CCtoGL,MATCH(H193,lst_CCforGL,0)),"?")))</f>
        <v/>
      </c>
      <c r="R193" s="37" t="n"/>
      <c r="S193" s="10">
        <f>IF(R193="","",HYPERLINK(IF(LEFT(R193,4)="http",R193,set_QwilrBase&amp;R193),"Open quote"))</f>
        <v/>
      </c>
      <c r="T193" s="39" t="n"/>
      <c r="U193" s="39" t="n"/>
      <c r="V193" s="39" t="n"/>
      <c r="W193" s="10">
        <f>IF(C193="","",IF(N(T193)+N(U193)+N(V193)=0,"Not split",IF(ROUND(N(T193)+N(U193)+N(V193),2)=ROUND(MAX(N(L193),N(O193)),2),"OK","MISMATCH")))</f>
        <v/>
      </c>
      <c r="X193" s="39" t="n"/>
      <c r="Y193" s="39" t="n"/>
      <c r="Z193" s="39" t="n"/>
      <c r="AA193" s="11">
        <f>IF(C193="","",N(X193)+N(Y193)+N(Z193))</f>
        <v/>
      </c>
      <c r="AB193" s="11">
        <f>IF(C193="","",MAX(N(L193),N(O193))-N(AA193))</f>
        <v/>
      </c>
      <c r="AC193" s="43">
        <f>IFERROR(IF(MAX(N(L193),N(O193))=0,"",AB193/MAX(N(L193),N(O193))),"")</f>
        <v/>
      </c>
      <c r="AD193" s="37" t="n"/>
      <c r="AE193" s="10" t="inlineStr">
        <is>
          <t>CON-0189</t>
        </is>
      </c>
    </row>
    <row r="194">
      <c r="A194" s="16">
        <f>IF($C194="","",IFERROR(IF(INDEX(tbl_Finance[Latest Invoice Date],MATCH($AE194,tbl_Finance[Row ID],0))="","",INDEX(tbl_Finance[Latest Invoice Date],MATCH($AE194,tbl_Finance[Row ID],0))),""))</f>
        <v/>
      </c>
      <c r="B194" s="10">
        <f>IF($C194="","",IFERROR(INDEX(tbl_Finance[Invoice Numbers],MATCH($AE194,tbl_Finance[Row ID],0))&amp;"",""))</f>
        <v/>
      </c>
      <c r="C194" s="37" t="n"/>
      <c r="D194" s="10">
        <f>IF($C194="","",IF(COUNTIF(lst_Jobs,$C194&amp;"")&gt;0,"OK","CHECK"))</f>
        <v/>
      </c>
      <c r="E194" s="10">
        <f>IF($C194="","",IFERROR(INDEX(lst_JobName,MATCH($C194&amp;"",lst_Jobs,0)),""))</f>
        <v/>
      </c>
      <c r="F194" s="37" t="n"/>
      <c r="G194" s="37" t="n"/>
      <c r="H194" s="37" t="n"/>
      <c r="I194" s="37" t="n"/>
      <c r="J194" s="37" t="n"/>
      <c r="K194" s="38">
        <f>IF($C194="","",IFERROR(N(INDEX(tbl_Finance[Invoice Count],MATCH($AE194,tbl_Finance[Row ID],0))),""))</f>
        <v/>
      </c>
      <c r="L194" s="11">
        <f>IF($C194="","",IFERROR(N(INDEX(tbl_Finance[Xero Invoiced Ex GST],MATCH($AE194,tbl_Finance[Row ID],0))),""))</f>
        <v/>
      </c>
      <c r="M194" s="10">
        <f>IF($C194="","",IFERROR(INDEX(tbl_Finance[Compare],MATCH($AE194,tbl_Finance[Row ID],0))&amp;"",""))</f>
        <v/>
      </c>
      <c r="N194" s="11">
        <f>IF($C194="","",MAX(0,N(O194)-N(L194)))</f>
        <v/>
      </c>
      <c r="O194" s="39" t="n"/>
      <c r="P194" s="40">
        <f>IF($C194="","",IF((IF(F194="",", Client","")&amp;IF(G194="",", Description","")&amp;IF(H194="",", Cost Centre","")&amp;IF(I194="",", Invoice Type","")&amp;IF(J194="",", Tax Code","")&amp;IF(O194="",", Expected Revenue","")&amp;IF(COUNTIF(tbl_Finance[Job Number],$C194&amp;"")&gt;1,", Job number used twice",""))="","Complete","Fix: "&amp;MID(IF(F194="",", Client","")&amp;IF(G194="",", Description","")&amp;IF(H194="",", Cost Centre","")&amp;IF(I194="",", Invoice Type","")&amp;IF(J194="",", Tax Code","")&amp;IF(O194="",", Expected Revenue","")&amp;IF(COUNTIF(tbl_Finance[Job Number],$C194&amp;"")&gt;1,", Job number used twice",""),3,300)))</f>
        <v/>
      </c>
      <c r="Q194" s="10">
        <f>IF($C194="","",IF(H194="","(no cost centre)",H194&amp;" - GL "&amp;IFERROR(INDEX(lst_CCtoGL,MATCH(H194,lst_CCforGL,0)),"?")))</f>
        <v/>
      </c>
      <c r="R194" s="37" t="n"/>
      <c r="S194" s="10">
        <f>IF(R194="","",HYPERLINK(IF(LEFT(R194,4)="http",R194,set_QwilrBase&amp;R194),"Open quote"))</f>
        <v/>
      </c>
      <c r="T194" s="39" t="n"/>
      <c r="U194" s="39" t="n"/>
      <c r="V194" s="39" t="n"/>
      <c r="W194" s="10">
        <f>IF(C194="","",IF(N(T194)+N(U194)+N(V194)=0,"Not split",IF(ROUND(N(T194)+N(U194)+N(V194),2)=ROUND(MAX(N(L194),N(O194)),2),"OK","MISMATCH")))</f>
        <v/>
      </c>
      <c r="X194" s="39" t="n"/>
      <c r="Y194" s="39" t="n"/>
      <c r="Z194" s="39" t="n"/>
      <c r="AA194" s="11">
        <f>IF(C194="","",N(X194)+N(Y194)+N(Z194))</f>
        <v/>
      </c>
      <c r="AB194" s="11">
        <f>IF(C194="","",MAX(N(L194),N(O194))-N(AA194))</f>
        <v/>
      </c>
      <c r="AC194" s="43">
        <f>IFERROR(IF(MAX(N(L194),N(O194))=0,"",AB194/MAX(N(L194),N(O194))),"")</f>
        <v/>
      </c>
      <c r="AD194" s="37" t="n"/>
      <c r="AE194" s="10" t="inlineStr">
        <is>
          <t>CON-0190</t>
        </is>
      </c>
    </row>
    <row r="195">
      <c r="A195" s="16">
        <f>IF($C195="","",IFERROR(IF(INDEX(tbl_Finance[Latest Invoice Date],MATCH($AE195,tbl_Finance[Row ID],0))="","",INDEX(tbl_Finance[Latest Invoice Date],MATCH($AE195,tbl_Finance[Row ID],0))),""))</f>
        <v/>
      </c>
      <c r="B195" s="10">
        <f>IF($C195="","",IFERROR(INDEX(tbl_Finance[Invoice Numbers],MATCH($AE195,tbl_Finance[Row ID],0))&amp;"",""))</f>
        <v/>
      </c>
      <c r="C195" s="37" t="n"/>
      <c r="D195" s="10">
        <f>IF($C195="","",IF(COUNTIF(lst_Jobs,$C195&amp;"")&gt;0,"OK","CHECK"))</f>
        <v/>
      </c>
      <c r="E195" s="10">
        <f>IF($C195="","",IFERROR(INDEX(lst_JobName,MATCH($C195&amp;"",lst_Jobs,0)),""))</f>
        <v/>
      </c>
      <c r="F195" s="37" t="n"/>
      <c r="G195" s="37" t="n"/>
      <c r="H195" s="37" t="n"/>
      <c r="I195" s="37" t="n"/>
      <c r="J195" s="37" t="n"/>
      <c r="K195" s="38">
        <f>IF($C195="","",IFERROR(N(INDEX(tbl_Finance[Invoice Count],MATCH($AE195,tbl_Finance[Row ID],0))),""))</f>
        <v/>
      </c>
      <c r="L195" s="11">
        <f>IF($C195="","",IFERROR(N(INDEX(tbl_Finance[Xero Invoiced Ex GST],MATCH($AE195,tbl_Finance[Row ID],0))),""))</f>
        <v/>
      </c>
      <c r="M195" s="10">
        <f>IF($C195="","",IFERROR(INDEX(tbl_Finance[Compare],MATCH($AE195,tbl_Finance[Row ID],0))&amp;"",""))</f>
        <v/>
      </c>
      <c r="N195" s="11">
        <f>IF($C195="","",MAX(0,N(O195)-N(L195)))</f>
        <v/>
      </c>
      <c r="O195" s="39" t="n"/>
      <c r="P195" s="40">
        <f>IF($C195="","",IF((IF(F195="",", Client","")&amp;IF(G195="",", Description","")&amp;IF(H195="",", Cost Centre","")&amp;IF(I195="",", Invoice Type","")&amp;IF(J195="",", Tax Code","")&amp;IF(O195="",", Expected Revenue","")&amp;IF(COUNTIF(tbl_Finance[Job Number],$C195&amp;"")&gt;1,", Job number used twice",""))="","Complete","Fix: "&amp;MID(IF(F195="",", Client","")&amp;IF(G195="",", Description","")&amp;IF(H195="",", Cost Centre","")&amp;IF(I195="",", Invoice Type","")&amp;IF(J195="",", Tax Code","")&amp;IF(O195="",", Expected Revenue","")&amp;IF(COUNTIF(tbl_Finance[Job Number],$C195&amp;"")&gt;1,", Job number used twice",""),3,300)))</f>
        <v/>
      </c>
      <c r="Q195" s="10">
        <f>IF($C195="","",IF(H195="","(no cost centre)",H195&amp;" - GL "&amp;IFERROR(INDEX(lst_CCtoGL,MATCH(H195,lst_CCforGL,0)),"?")))</f>
        <v/>
      </c>
      <c r="R195" s="37" t="n"/>
      <c r="S195" s="10">
        <f>IF(R195="","",HYPERLINK(IF(LEFT(R195,4)="http",R195,set_QwilrBase&amp;R195),"Open quote"))</f>
        <v/>
      </c>
      <c r="T195" s="39" t="n"/>
      <c r="U195" s="39" t="n"/>
      <c r="V195" s="39" t="n"/>
      <c r="W195" s="10">
        <f>IF(C195="","",IF(N(T195)+N(U195)+N(V195)=0,"Not split",IF(ROUND(N(T195)+N(U195)+N(V195),2)=ROUND(MAX(N(L195),N(O195)),2),"OK","MISMATCH")))</f>
        <v/>
      </c>
      <c r="X195" s="39" t="n"/>
      <c r="Y195" s="39" t="n"/>
      <c r="Z195" s="39" t="n"/>
      <c r="AA195" s="11">
        <f>IF(C195="","",N(X195)+N(Y195)+N(Z195))</f>
        <v/>
      </c>
      <c r="AB195" s="11">
        <f>IF(C195="","",MAX(N(L195),N(O195))-N(AA195))</f>
        <v/>
      </c>
      <c r="AC195" s="43">
        <f>IFERROR(IF(MAX(N(L195),N(O195))=0,"",AB195/MAX(N(L195),N(O195))),"")</f>
        <v/>
      </c>
      <c r="AD195" s="37" t="n"/>
      <c r="AE195" s="10" t="inlineStr">
        <is>
          <t>CON-0191</t>
        </is>
      </c>
    </row>
    <row r="196">
      <c r="A196" s="16">
        <f>IF($C196="","",IFERROR(IF(INDEX(tbl_Finance[Latest Invoice Date],MATCH($AE196,tbl_Finance[Row ID],0))="","",INDEX(tbl_Finance[Latest Invoice Date],MATCH($AE196,tbl_Finance[Row ID],0))),""))</f>
        <v/>
      </c>
      <c r="B196" s="10">
        <f>IF($C196="","",IFERROR(INDEX(tbl_Finance[Invoice Numbers],MATCH($AE196,tbl_Finance[Row ID],0))&amp;"",""))</f>
        <v/>
      </c>
      <c r="C196" s="37" t="n"/>
      <c r="D196" s="10">
        <f>IF($C196="","",IF(COUNTIF(lst_Jobs,$C196&amp;"")&gt;0,"OK","CHECK"))</f>
        <v/>
      </c>
      <c r="E196" s="10">
        <f>IF($C196="","",IFERROR(INDEX(lst_JobName,MATCH($C196&amp;"",lst_Jobs,0)),""))</f>
        <v/>
      </c>
      <c r="F196" s="37" t="n"/>
      <c r="G196" s="37" t="n"/>
      <c r="H196" s="37" t="n"/>
      <c r="I196" s="37" t="n"/>
      <c r="J196" s="37" t="n"/>
      <c r="K196" s="38">
        <f>IF($C196="","",IFERROR(N(INDEX(tbl_Finance[Invoice Count],MATCH($AE196,tbl_Finance[Row ID],0))),""))</f>
        <v/>
      </c>
      <c r="L196" s="11">
        <f>IF($C196="","",IFERROR(N(INDEX(tbl_Finance[Xero Invoiced Ex GST],MATCH($AE196,tbl_Finance[Row ID],0))),""))</f>
        <v/>
      </c>
      <c r="M196" s="10">
        <f>IF($C196="","",IFERROR(INDEX(tbl_Finance[Compare],MATCH($AE196,tbl_Finance[Row ID],0))&amp;"",""))</f>
        <v/>
      </c>
      <c r="N196" s="11">
        <f>IF($C196="","",MAX(0,N(O196)-N(L196)))</f>
        <v/>
      </c>
      <c r="O196" s="39" t="n"/>
      <c r="P196" s="40">
        <f>IF($C196="","",IF((IF(F196="",", Client","")&amp;IF(G196="",", Description","")&amp;IF(H196="",", Cost Centre","")&amp;IF(I196="",", Invoice Type","")&amp;IF(J196="",", Tax Code","")&amp;IF(O196="",", Expected Revenue","")&amp;IF(COUNTIF(tbl_Finance[Job Number],$C196&amp;"")&gt;1,", Job number used twice",""))="","Complete","Fix: "&amp;MID(IF(F196="",", Client","")&amp;IF(G196="",", Description","")&amp;IF(H196="",", Cost Centre","")&amp;IF(I196="",", Invoice Type","")&amp;IF(J196="",", Tax Code","")&amp;IF(O196="",", Expected Revenue","")&amp;IF(COUNTIF(tbl_Finance[Job Number],$C196&amp;"")&gt;1,", Job number used twice",""),3,300)))</f>
        <v/>
      </c>
      <c r="Q196" s="10">
        <f>IF($C196="","",IF(H196="","(no cost centre)",H196&amp;" - GL "&amp;IFERROR(INDEX(lst_CCtoGL,MATCH(H196,lst_CCforGL,0)),"?")))</f>
        <v/>
      </c>
      <c r="R196" s="37" t="n"/>
      <c r="S196" s="10">
        <f>IF(R196="","",HYPERLINK(IF(LEFT(R196,4)="http",R196,set_QwilrBase&amp;R196),"Open quote"))</f>
        <v/>
      </c>
      <c r="T196" s="39" t="n"/>
      <c r="U196" s="39" t="n"/>
      <c r="V196" s="39" t="n"/>
      <c r="W196" s="10">
        <f>IF(C196="","",IF(N(T196)+N(U196)+N(V196)=0,"Not split",IF(ROUND(N(T196)+N(U196)+N(V196),2)=ROUND(MAX(N(L196),N(O196)),2),"OK","MISMATCH")))</f>
        <v/>
      </c>
      <c r="X196" s="39" t="n"/>
      <c r="Y196" s="39" t="n"/>
      <c r="Z196" s="39" t="n"/>
      <c r="AA196" s="11">
        <f>IF(C196="","",N(X196)+N(Y196)+N(Z196))</f>
        <v/>
      </c>
      <c r="AB196" s="11">
        <f>IF(C196="","",MAX(N(L196),N(O196))-N(AA196))</f>
        <v/>
      </c>
      <c r="AC196" s="43">
        <f>IFERROR(IF(MAX(N(L196),N(O196))=0,"",AB196/MAX(N(L196),N(O196))),"")</f>
        <v/>
      </c>
      <c r="AD196" s="37" t="n"/>
      <c r="AE196" s="10" t="inlineStr">
        <is>
          <t>CON-0192</t>
        </is>
      </c>
    </row>
    <row r="197">
      <c r="A197" s="16">
        <f>IF($C197="","",IFERROR(IF(INDEX(tbl_Finance[Latest Invoice Date],MATCH($AE197,tbl_Finance[Row ID],0))="","",INDEX(tbl_Finance[Latest Invoice Date],MATCH($AE197,tbl_Finance[Row ID],0))),""))</f>
        <v/>
      </c>
      <c r="B197" s="10">
        <f>IF($C197="","",IFERROR(INDEX(tbl_Finance[Invoice Numbers],MATCH($AE197,tbl_Finance[Row ID],0))&amp;"",""))</f>
        <v/>
      </c>
      <c r="C197" s="37" t="n"/>
      <c r="D197" s="10">
        <f>IF($C197="","",IF(COUNTIF(lst_Jobs,$C197&amp;"")&gt;0,"OK","CHECK"))</f>
        <v/>
      </c>
      <c r="E197" s="10">
        <f>IF($C197="","",IFERROR(INDEX(lst_JobName,MATCH($C197&amp;"",lst_Jobs,0)),""))</f>
        <v/>
      </c>
      <c r="F197" s="37" t="n"/>
      <c r="G197" s="37" t="n"/>
      <c r="H197" s="37" t="n"/>
      <c r="I197" s="37" t="n"/>
      <c r="J197" s="37" t="n"/>
      <c r="K197" s="38">
        <f>IF($C197="","",IFERROR(N(INDEX(tbl_Finance[Invoice Count],MATCH($AE197,tbl_Finance[Row ID],0))),""))</f>
        <v/>
      </c>
      <c r="L197" s="11">
        <f>IF($C197="","",IFERROR(N(INDEX(tbl_Finance[Xero Invoiced Ex GST],MATCH($AE197,tbl_Finance[Row ID],0))),""))</f>
        <v/>
      </c>
      <c r="M197" s="10">
        <f>IF($C197="","",IFERROR(INDEX(tbl_Finance[Compare],MATCH($AE197,tbl_Finance[Row ID],0))&amp;"",""))</f>
        <v/>
      </c>
      <c r="N197" s="11">
        <f>IF($C197="","",MAX(0,N(O197)-N(L197)))</f>
        <v/>
      </c>
      <c r="O197" s="39" t="n"/>
      <c r="P197" s="40">
        <f>IF($C197="","",IF((IF(F197="",", Client","")&amp;IF(G197="",", Description","")&amp;IF(H197="",", Cost Centre","")&amp;IF(I197="",", Invoice Type","")&amp;IF(J197="",", Tax Code","")&amp;IF(O197="",", Expected Revenue","")&amp;IF(COUNTIF(tbl_Finance[Job Number],$C197&amp;"")&gt;1,", Job number used twice",""))="","Complete","Fix: "&amp;MID(IF(F197="",", Client","")&amp;IF(G197="",", Description","")&amp;IF(H197="",", Cost Centre","")&amp;IF(I197="",", Invoice Type","")&amp;IF(J197="",", Tax Code","")&amp;IF(O197="",", Expected Revenue","")&amp;IF(COUNTIF(tbl_Finance[Job Number],$C197&amp;"")&gt;1,", Job number used twice",""),3,300)))</f>
        <v/>
      </c>
      <c r="Q197" s="10">
        <f>IF($C197="","",IF(H197="","(no cost centre)",H197&amp;" - GL "&amp;IFERROR(INDEX(lst_CCtoGL,MATCH(H197,lst_CCforGL,0)),"?")))</f>
        <v/>
      </c>
      <c r="R197" s="37" t="n"/>
      <c r="S197" s="10">
        <f>IF(R197="","",HYPERLINK(IF(LEFT(R197,4)="http",R197,set_QwilrBase&amp;R197),"Open quote"))</f>
        <v/>
      </c>
      <c r="T197" s="39" t="n"/>
      <c r="U197" s="39" t="n"/>
      <c r="V197" s="39" t="n"/>
      <c r="W197" s="10">
        <f>IF(C197="","",IF(N(T197)+N(U197)+N(V197)=0,"Not split",IF(ROUND(N(T197)+N(U197)+N(V197),2)=ROUND(MAX(N(L197),N(O197)),2),"OK","MISMATCH")))</f>
        <v/>
      </c>
      <c r="X197" s="39" t="n"/>
      <c r="Y197" s="39" t="n"/>
      <c r="Z197" s="39" t="n"/>
      <c r="AA197" s="11">
        <f>IF(C197="","",N(X197)+N(Y197)+N(Z197))</f>
        <v/>
      </c>
      <c r="AB197" s="11">
        <f>IF(C197="","",MAX(N(L197),N(O197))-N(AA197))</f>
        <v/>
      </c>
      <c r="AC197" s="43">
        <f>IFERROR(IF(MAX(N(L197),N(O197))=0,"",AB197/MAX(N(L197),N(O197))),"")</f>
        <v/>
      </c>
      <c r="AD197" s="37" t="n"/>
      <c r="AE197" s="10" t="inlineStr">
        <is>
          <t>CON-0193</t>
        </is>
      </c>
    </row>
    <row r="198">
      <c r="A198" s="16">
        <f>IF($C198="","",IFERROR(IF(INDEX(tbl_Finance[Latest Invoice Date],MATCH($AE198,tbl_Finance[Row ID],0))="","",INDEX(tbl_Finance[Latest Invoice Date],MATCH($AE198,tbl_Finance[Row ID],0))),""))</f>
        <v/>
      </c>
      <c r="B198" s="10">
        <f>IF($C198="","",IFERROR(INDEX(tbl_Finance[Invoice Numbers],MATCH($AE198,tbl_Finance[Row ID],0))&amp;"",""))</f>
        <v/>
      </c>
      <c r="C198" s="37" t="n"/>
      <c r="D198" s="10">
        <f>IF($C198="","",IF(COUNTIF(lst_Jobs,$C198&amp;"")&gt;0,"OK","CHECK"))</f>
        <v/>
      </c>
      <c r="E198" s="10">
        <f>IF($C198="","",IFERROR(INDEX(lst_JobName,MATCH($C198&amp;"",lst_Jobs,0)),""))</f>
        <v/>
      </c>
      <c r="F198" s="37" t="n"/>
      <c r="G198" s="37" t="n"/>
      <c r="H198" s="37" t="n"/>
      <c r="I198" s="37" t="n"/>
      <c r="J198" s="37" t="n"/>
      <c r="K198" s="38">
        <f>IF($C198="","",IFERROR(N(INDEX(tbl_Finance[Invoice Count],MATCH($AE198,tbl_Finance[Row ID],0))),""))</f>
        <v/>
      </c>
      <c r="L198" s="11">
        <f>IF($C198="","",IFERROR(N(INDEX(tbl_Finance[Xero Invoiced Ex GST],MATCH($AE198,tbl_Finance[Row ID],0))),""))</f>
        <v/>
      </c>
      <c r="M198" s="10">
        <f>IF($C198="","",IFERROR(INDEX(tbl_Finance[Compare],MATCH($AE198,tbl_Finance[Row ID],0))&amp;"",""))</f>
        <v/>
      </c>
      <c r="N198" s="11">
        <f>IF($C198="","",MAX(0,N(O198)-N(L198)))</f>
        <v/>
      </c>
      <c r="O198" s="39" t="n"/>
      <c r="P198" s="40">
        <f>IF($C198="","",IF((IF(F198="",", Client","")&amp;IF(G198="",", Description","")&amp;IF(H198="",", Cost Centre","")&amp;IF(I198="",", Invoice Type","")&amp;IF(J198="",", Tax Code","")&amp;IF(O198="",", Expected Revenue","")&amp;IF(COUNTIF(tbl_Finance[Job Number],$C198&amp;"")&gt;1,", Job number used twice",""))="","Complete","Fix: "&amp;MID(IF(F198="",", Client","")&amp;IF(G198="",", Description","")&amp;IF(H198="",", Cost Centre","")&amp;IF(I198="",", Invoice Type","")&amp;IF(J198="",", Tax Code","")&amp;IF(O198="",", Expected Revenue","")&amp;IF(COUNTIF(tbl_Finance[Job Number],$C198&amp;"")&gt;1,", Job number used twice",""),3,300)))</f>
        <v/>
      </c>
      <c r="Q198" s="10">
        <f>IF($C198="","",IF(H198="","(no cost centre)",H198&amp;" - GL "&amp;IFERROR(INDEX(lst_CCtoGL,MATCH(H198,lst_CCforGL,0)),"?")))</f>
        <v/>
      </c>
      <c r="R198" s="37" t="n"/>
      <c r="S198" s="10">
        <f>IF(R198="","",HYPERLINK(IF(LEFT(R198,4)="http",R198,set_QwilrBase&amp;R198),"Open quote"))</f>
        <v/>
      </c>
      <c r="T198" s="39" t="n"/>
      <c r="U198" s="39" t="n"/>
      <c r="V198" s="39" t="n"/>
      <c r="W198" s="10">
        <f>IF(C198="","",IF(N(T198)+N(U198)+N(V198)=0,"Not split",IF(ROUND(N(T198)+N(U198)+N(V198),2)=ROUND(MAX(N(L198),N(O198)),2),"OK","MISMATCH")))</f>
        <v/>
      </c>
      <c r="X198" s="39" t="n"/>
      <c r="Y198" s="39" t="n"/>
      <c r="Z198" s="39" t="n"/>
      <c r="AA198" s="11">
        <f>IF(C198="","",N(X198)+N(Y198)+N(Z198))</f>
        <v/>
      </c>
      <c r="AB198" s="11">
        <f>IF(C198="","",MAX(N(L198),N(O198))-N(AA198))</f>
        <v/>
      </c>
      <c r="AC198" s="43">
        <f>IFERROR(IF(MAX(N(L198),N(O198))=0,"",AB198/MAX(N(L198),N(O198))),"")</f>
        <v/>
      </c>
      <c r="AD198" s="37" t="n"/>
      <c r="AE198" s="10" t="inlineStr">
        <is>
          <t>CON-0194</t>
        </is>
      </c>
    </row>
    <row r="199">
      <c r="A199" s="16">
        <f>IF($C199="","",IFERROR(IF(INDEX(tbl_Finance[Latest Invoice Date],MATCH($AE199,tbl_Finance[Row ID],0))="","",INDEX(tbl_Finance[Latest Invoice Date],MATCH($AE199,tbl_Finance[Row ID],0))),""))</f>
        <v/>
      </c>
      <c r="B199" s="10">
        <f>IF($C199="","",IFERROR(INDEX(tbl_Finance[Invoice Numbers],MATCH($AE199,tbl_Finance[Row ID],0))&amp;"",""))</f>
        <v/>
      </c>
      <c r="C199" s="37" t="n"/>
      <c r="D199" s="10">
        <f>IF($C199="","",IF(COUNTIF(lst_Jobs,$C199&amp;"")&gt;0,"OK","CHECK"))</f>
        <v/>
      </c>
      <c r="E199" s="10">
        <f>IF($C199="","",IFERROR(INDEX(lst_JobName,MATCH($C199&amp;"",lst_Jobs,0)),""))</f>
        <v/>
      </c>
      <c r="F199" s="37" t="n"/>
      <c r="G199" s="37" t="n"/>
      <c r="H199" s="37" t="n"/>
      <c r="I199" s="37" t="n"/>
      <c r="J199" s="37" t="n"/>
      <c r="K199" s="38">
        <f>IF($C199="","",IFERROR(N(INDEX(tbl_Finance[Invoice Count],MATCH($AE199,tbl_Finance[Row ID],0))),""))</f>
        <v/>
      </c>
      <c r="L199" s="11">
        <f>IF($C199="","",IFERROR(N(INDEX(tbl_Finance[Xero Invoiced Ex GST],MATCH($AE199,tbl_Finance[Row ID],0))),""))</f>
        <v/>
      </c>
      <c r="M199" s="10">
        <f>IF($C199="","",IFERROR(INDEX(tbl_Finance[Compare],MATCH($AE199,tbl_Finance[Row ID],0))&amp;"",""))</f>
        <v/>
      </c>
      <c r="N199" s="11">
        <f>IF($C199="","",MAX(0,N(O199)-N(L199)))</f>
        <v/>
      </c>
      <c r="O199" s="39" t="n"/>
      <c r="P199" s="40">
        <f>IF($C199="","",IF((IF(F199="",", Client","")&amp;IF(G199="",", Description","")&amp;IF(H199="",", Cost Centre","")&amp;IF(I199="",", Invoice Type","")&amp;IF(J199="",", Tax Code","")&amp;IF(O199="",", Expected Revenue","")&amp;IF(COUNTIF(tbl_Finance[Job Number],$C199&amp;"")&gt;1,", Job number used twice",""))="","Complete","Fix: "&amp;MID(IF(F199="",", Client","")&amp;IF(G199="",", Description","")&amp;IF(H199="",", Cost Centre","")&amp;IF(I199="",", Invoice Type","")&amp;IF(J199="",", Tax Code","")&amp;IF(O199="",", Expected Revenue","")&amp;IF(COUNTIF(tbl_Finance[Job Number],$C199&amp;"")&gt;1,", Job number used twice",""),3,300)))</f>
        <v/>
      </c>
      <c r="Q199" s="10">
        <f>IF($C199="","",IF(H199="","(no cost centre)",H199&amp;" - GL "&amp;IFERROR(INDEX(lst_CCtoGL,MATCH(H199,lst_CCforGL,0)),"?")))</f>
        <v/>
      </c>
      <c r="R199" s="37" t="n"/>
      <c r="S199" s="10">
        <f>IF(R199="","",HYPERLINK(IF(LEFT(R199,4)="http",R199,set_QwilrBase&amp;R199),"Open quote"))</f>
        <v/>
      </c>
      <c r="T199" s="39" t="n"/>
      <c r="U199" s="39" t="n"/>
      <c r="V199" s="39" t="n"/>
      <c r="W199" s="10">
        <f>IF(C199="","",IF(N(T199)+N(U199)+N(V199)=0,"Not split",IF(ROUND(N(T199)+N(U199)+N(V199),2)=ROUND(MAX(N(L199),N(O199)),2),"OK","MISMATCH")))</f>
        <v/>
      </c>
      <c r="X199" s="39" t="n"/>
      <c r="Y199" s="39" t="n"/>
      <c r="Z199" s="39" t="n"/>
      <c r="AA199" s="11">
        <f>IF(C199="","",N(X199)+N(Y199)+N(Z199))</f>
        <v/>
      </c>
      <c r="AB199" s="11">
        <f>IF(C199="","",MAX(N(L199),N(O199))-N(AA199))</f>
        <v/>
      </c>
      <c r="AC199" s="43">
        <f>IFERROR(IF(MAX(N(L199),N(O199))=0,"",AB199/MAX(N(L199),N(O199))),"")</f>
        <v/>
      </c>
      <c r="AD199" s="37" t="n"/>
      <c r="AE199" s="10" t="inlineStr">
        <is>
          <t>CON-0195</t>
        </is>
      </c>
    </row>
    <row r="200">
      <c r="A200" s="16">
        <f>IF($C200="","",IFERROR(IF(INDEX(tbl_Finance[Latest Invoice Date],MATCH($AE200,tbl_Finance[Row ID],0))="","",INDEX(tbl_Finance[Latest Invoice Date],MATCH($AE200,tbl_Finance[Row ID],0))),""))</f>
        <v/>
      </c>
      <c r="B200" s="10">
        <f>IF($C200="","",IFERROR(INDEX(tbl_Finance[Invoice Numbers],MATCH($AE200,tbl_Finance[Row ID],0))&amp;"",""))</f>
        <v/>
      </c>
      <c r="C200" s="37" t="n"/>
      <c r="D200" s="10">
        <f>IF($C200="","",IF(COUNTIF(lst_Jobs,$C200&amp;"")&gt;0,"OK","CHECK"))</f>
        <v/>
      </c>
      <c r="E200" s="10">
        <f>IF($C200="","",IFERROR(INDEX(lst_JobName,MATCH($C200&amp;"",lst_Jobs,0)),""))</f>
        <v/>
      </c>
      <c r="F200" s="37" t="n"/>
      <c r="G200" s="37" t="n"/>
      <c r="H200" s="37" t="n"/>
      <c r="I200" s="37" t="n"/>
      <c r="J200" s="37" t="n"/>
      <c r="K200" s="38">
        <f>IF($C200="","",IFERROR(N(INDEX(tbl_Finance[Invoice Count],MATCH($AE200,tbl_Finance[Row ID],0))),""))</f>
        <v/>
      </c>
      <c r="L200" s="11">
        <f>IF($C200="","",IFERROR(N(INDEX(tbl_Finance[Xero Invoiced Ex GST],MATCH($AE200,tbl_Finance[Row ID],0))),""))</f>
        <v/>
      </c>
      <c r="M200" s="10">
        <f>IF($C200="","",IFERROR(INDEX(tbl_Finance[Compare],MATCH($AE200,tbl_Finance[Row ID],0))&amp;"",""))</f>
        <v/>
      </c>
      <c r="N200" s="11">
        <f>IF($C200="","",MAX(0,N(O200)-N(L200)))</f>
        <v/>
      </c>
      <c r="O200" s="39" t="n"/>
      <c r="P200" s="40">
        <f>IF($C200="","",IF((IF(F200="",", Client","")&amp;IF(G200="",", Description","")&amp;IF(H200="",", Cost Centre","")&amp;IF(I200="",", Invoice Type","")&amp;IF(J200="",", Tax Code","")&amp;IF(O200="",", Expected Revenue","")&amp;IF(COUNTIF(tbl_Finance[Job Number],$C200&amp;"")&gt;1,", Job number used twice",""))="","Complete","Fix: "&amp;MID(IF(F200="",", Client","")&amp;IF(G200="",", Description","")&amp;IF(H200="",", Cost Centre","")&amp;IF(I200="",", Invoice Type","")&amp;IF(J200="",", Tax Code","")&amp;IF(O200="",", Expected Revenue","")&amp;IF(COUNTIF(tbl_Finance[Job Number],$C200&amp;"")&gt;1,", Job number used twice",""),3,300)))</f>
        <v/>
      </c>
      <c r="Q200" s="10">
        <f>IF($C200="","",IF(H200="","(no cost centre)",H200&amp;" - GL "&amp;IFERROR(INDEX(lst_CCtoGL,MATCH(H200,lst_CCforGL,0)),"?")))</f>
        <v/>
      </c>
      <c r="R200" s="37" t="n"/>
      <c r="S200" s="10">
        <f>IF(R200="","",HYPERLINK(IF(LEFT(R200,4)="http",R200,set_QwilrBase&amp;R200),"Open quote"))</f>
        <v/>
      </c>
      <c r="T200" s="39" t="n"/>
      <c r="U200" s="39" t="n"/>
      <c r="V200" s="39" t="n"/>
      <c r="W200" s="10">
        <f>IF(C200="","",IF(N(T200)+N(U200)+N(V200)=0,"Not split",IF(ROUND(N(T200)+N(U200)+N(V200),2)=ROUND(MAX(N(L200),N(O200)),2),"OK","MISMATCH")))</f>
        <v/>
      </c>
      <c r="X200" s="39" t="n"/>
      <c r="Y200" s="39" t="n"/>
      <c r="Z200" s="39" t="n"/>
      <c r="AA200" s="11">
        <f>IF(C200="","",N(X200)+N(Y200)+N(Z200))</f>
        <v/>
      </c>
      <c r="AB200" s="11">
        <f>IF(C200="","",MAX(N(L200),N(O200))-N(AA200))</f>
        <v/>
      </c>
      <c r="AC200" s="43">
        <f>IFERROR(IF(MAX(N(L200),N(O200))=0,"",AB200/MAX(N(L200),N(O200))),"")</f>
        <v/>
      </c>
      <c r="AD200" s="37" t="n"/>
      <c r="AE200" s="10" t="inlineStr">
        <is>
          <t>CON-0196</t>
        </is>
      </c>
    </row>
    <row r="201">
      <c r="A201" s="16">
        <f>IF($C201="","",IFERROR(IF(INDEX(tbl_Finance[Latest Invoice Date],MATCH($AE201,tbl_Finance[Row ID],0))="","",INDEX(tbl_Finance[Latest Invoice Date],MATCH($AE201,tbl_Finance[Row ID],0))),""))</f>
        <v/>
      </c>
      <c r="B201" s="10">
        <f>IF($C201="","",IFERROR(INDEX(tbl_Finance[Invoice Numbers],MATCH($AE201,tbl_Finance[Row ID],0))&amp;"",""))</f>
        <v/>
      </c>
      <c r="C201" s="37" t="n"/>
      <c r="D201" s="10">
        <f>IF($C201="","",IF(COUNTIF(lst_Jobs,$C201&amp;"")&gt;0,"OK","CHECK"))</f>
        <v/>
      </c>
      <c r="E201" s="10">
        <f>IF($C201="","",IFERROR(INDEX(lst_JobName,MATCH($C201&amp;"",lst_Jobs,0)),""))</f>
        <v/>
      </c>
      <c r="F201" s="37" t="n"/>
      <c r="G201" s="37" t="n"/>
      <c r="H201" s="37" t="n"/>
      <c r="I201" s="37" t="n"/>
      <c r="J201" s="37" t="n"/>
      <c r="K201" s="38">
        <f>IF($C201="","",IFERROR(N(INDEX(tbl_Finance[Invoice Count],MATCH($AE201,tbl_Finance[Row ID],0))),""))</f>
        <v/>
      </c>
      <c r="L201" s="11">
        <f>IF($C201="","",IFERROR(N(INDEX(tbl_Finance[Xero Invoiced Ex GST],MATCH($AE201,tbl_Finance[Row ID],0))),""))</f>
        <v/>
      </c>
      <c r="M201" s="10">
        <f>IF($C201="","",IFERROR(INDEX(tbl_Finance[Compare],MATCH($AE201,tbl_Finance[Row ID],0))&amp;"",""))</f>
        <v/>
      </c>
      <c r="N201" s="11">
        <f>IF($C201="","",MAX(0,N(O201)-N(L201)))</f>
        <v/>
      </c>
      <c r="O201" s="39" t="n"/>
      <c r="P201" s="40">
        <f>IF($C201="","",IF((IF(F201="",", Client","")&amp;IF(G201="",", Description","")&amp;IF(H201="",", Cost Centre","")&amp;IF(I201="",", Invoice Type","")&amp;IF(J201="",", Tax Code","")&amp;IF(O201="",", Expected Revenue","")&amp;IF(COUNTIF(tbl_Finance[Job Number],$C201&amp;"")&gt;1,", Job number used twice",""))="","Complete","Fix: "&amp;MID(IF(F201="",", Client","")&amp;IF(G201="",", Description","")&amp;IF(H201="",", Cost Centre","")&amp;IF(I201="",", Invoice Type","")&amp;IF(J201="",", Tax Code","")&amp;IF(O201="",", Expected Revenue","")&amp;IF(COUNTIF(tbl_Finance[Job Number],$C201&amp;"")&gt;1,", Job number used twice",""),3,300)))</f>
        <v/>
      </c>
      <c r="Q201" s="10">
        <f>IF($C201="","",IF(H201="","(no cost centre)",H201&amp;" - GL "&amp;IFERROR(INDEX(lst_CCtoGL,MATCH(H201,lst_CCforGL,0)),"?")))</f>
        <v/>
      </c>
      <c r="R201" s="37" t="n"/>
      <c r="S201" s="10">
        <f>IF(R201="","",HYPERLINK(IF(LEFT(R201,4)="http",R201,set_QwilrBase&amp;R201),"Open quote"))</f>
        <v/>
      </c>
      <c r="T201" s="39" t="n"/>
      <c r="U201" s="39" t="n"/>
      <c r="V201" s="39" t="n"/>
      <c r="W201" s="10">
        <f>IF(C201="","",IF(N(T201)+N(U201)+N(V201)=0,"Not split",IF(ROUND(N(T201)+N(U201)+N(V201),2)=ROUND(MAX(N(L201),N(O201)),2),"OK","MISMATCH")))</f>
        <v/>
      </c>
      <c r="X201" s="39" t="n"/>
      <c r="Y201" s="39" t="n"/>
      <c r="Z201" s="39" t="n"/>
      <c r="AA201" s="11">
        <f>IF(C201="","",N(X201)+N(Y201)+N(Z201))</f>
        <v/>
      </c>
      <c r="AB201" s="11">
        <f>IF(C201="","",MAX(N(L201),N(O201))-N(AA201))</f>
        <v/>
      </c>
      <c r="AC201" s="43">
        <f>IFERROR(IF(MAX(N(L201),N(O201))=0,"",AB201/MAX(N(L201),N(O201))),"")</f>
        <v/>
      </c>
      <c r="AD201" s="37" t="n"/>
      <c r="AE201" s="10" t="inlineStr">
        <is>
          <t>CON-0197</t>
        </is>
      </c>
    </row>
    <row r="202">
      <c r="A202" s="16">
        <f>IF($C202="","",IFERROR(IF(INDEX(tbl_Finance[Latest Invoice Date],MATCH($AE202,tbl_Finance[Row ID],0))="","",INDEX(tbl_Finance[Latest Invoice Date],MATCH($AE202,tbl_Finance[Row ID],0))),""))</f>
        <v/>
      </c>
      <c r="B202" s="10">
        <f>IF($C202="","",IFERROR(INDEX(tbl_Finance[Invoice Numbers],MATCH($AE202,tbl_Finance[Row ID],0))&amp;"",""))</f>
        <v/>
      </c>
      <c r="C202" s="37" t="n"/>
      <c r="D202" s="10">
        <f>IF($C202="","",IF(COUNTIF(lst_Jobs,$C202&amp;"")&gt;0,"OK","CHECK"))</f>
        <v/>
      </c>
      <c r="E202" s="10">
        <f>IF($C202="","",IFERROR(INDEX(lst_JobName,MATCH($C202&amp;"",lst_Jobs,0)),""))</f>
        <v/>
      </c>
      <c r="F202" s="37" t="n"/>
      <c r="G202" s="37" t="n"/>
      <c r="H202" s="37" t="n"/>
      <c r="I202" s="37" t="n"/>
      <c r="J202" s="37" t="n"/>
      <c r="K202" s="38">
        <f>IF($C202="","",IFERROR(N(INDEX(tbl_Finance[Invoice Count],MATCH($AE202,tbl_Finance[Row ID],0))),""))</f>
        <v/>
      </c>
      <c r="L202" s="11">
        <f>IF($C202="","",IFERROR(N(INDEX(tbl_Finance[Xero Invoiced Ex GST],MATCH($AE202,tbl_Finance[Row ID],0))),""))</f>
        <v/>
      </c>
      <c r="M202" s="10">
        <f>IF($C202="","",IFERROR(INDEX(tbl_Finance[Compare],MATCH($AE202,tbl_Finance[Row ID],0))&amp;"",""))</f>
        <v/>
      </c>
      <c r="N202" s="11">
        <f>IF($C202="","",MAX(0,N(O202)-N(L202)))</f>
        <v/>
      </c>
      <c r="O202" s="39" t="n"/>
      <c r="P202" s="40">
        <f>IF($C202="","",IF((IF(F202="",", Client","")&amp;IF(G202="",", Description","")&amp;IF(H202="",", Cost Centre","")&amp;IF(I202="",", Invoice Type","")&amp;IF(J202="",", Tax Code","")&amp;IF(O202="",", Expected Revenue","")&amp;IF(COUNTIF(tbl_Finance[Job Number],$C202&amp;"")&gt;1,", Job number used twice",""))="","Complete","Fix: "&amp;MID(IF(F202="",", Client","")&amp;IF(G202="",", Description","")&amp;IF(H202="",", Cost Centre","")&amp;IF(I202="",", Invoice Type","")&amp;IF(J202="",", Tax Code","")&amp;IF(O202="",", Expected Revenue","")&amp;IF(COUNTIF(tbl_Finance[Job Number],$C202&amp;"")&gt;1,", Job number used twice",""),3,300)))</f>
        <v/>
      </c>
      <c r="Q202" s="10">
        <f>IF($C202="","",IF(H202="","(no cost centre)",H202&amp;" - GL "&amp;IFERROR(INDEX(lst_CCtoGL,MATCH(H202,lst_CCforGL,0)),"?")))</f>
        <v/>
      </c>
      <c r="R202" s="37" t="n"/>
      <c r="S202" s="10">
        <f>IF(R202="","",HYPERLINK(IF(LEFT(R202,4)="http",R202,set_QwilrBase&amp;R202),"Open quote"))</f>
        <v/>
      </c>
      <c r="T202" s="39" t="n"/>
      <c r="U202" s="39" t="n"/>
      <c r="V202" s="39" t="n"/>
      <c r="W202" s="10">
        <f>IF(C202="","",IF(N(T202)+N(U202)+N(V202)=0,"Not split",IF(ROUND(N(T202)+N(U202)+N(V202),2)=ROUND(MAX(N(L202),N(O202)),2),"OK","MISMATCH")))</f>
        <v/>
      </c>
      <c r="X202" s="39" t="n"/>
      <c r="Y202" s="39" t="n"/>
      <c r="Z202" s="39" t="n"/>
      <c r="AA202" s="11">
        <f>IF(C202="","",N(X202)+N(Y202)+N(Z202))</f>
        <v/>
      </c>
      <c r="AB202" s="11">
        <f>IF(C202="","",MAX(N(L202),N(O202))-N(AA202))</f>
        <v/>
      </c>
      <c r="AC202" s="43">
        <f>IFERROR(IF(MAX(N(L202),N(O202))=0,"",AB202/MAX(N(L202),N(O202))),"")</f>
        <v/>
      </c>
      <c r="AD202" s="37" t="n"/>
      <c r="AE202" s="10" t="inlineStr">
        <is>
          <t>CON-0198</t>
        </is>
      </c>
    </row>
    <row r="203">
      <c r="A203" s="16">
        <f>IF($C203="","",IFERROR(IF(INDEX(tbl_Finance[Latest Invoice Date],MATCH($AE203,tbl_Finance[Row ID],0))="","",INDEX(tbl_Finance[Latest Invoice Date],MATCH($AE203,tbl_Finance[Row ID],0))),""))</f>
        <v/>
      </c>
      <c r="B203" s="10">
        <f>IF($C203="","",IFERROR(INDEX(tbl_Finance[Invoice Numbers],MATCH($AE203,tbl_Finance[Row ID],0))&amp;"",""))</f>
        <v/>
      </c>
      <c r="C203" s="37" t="n"/>
      <c r="D203" s="10">
        <f>IF($C203="","",IF(COUNTIF(lst_Jobs,$C203&amp;"")&gt;0,"OK","CHECK"))</f>
        <v/>
      </c>
      <c r="E203" s="10">
        <f>IF($C203="","",IFERROR(INDEX(lst_JobName,MATCH($C203&amp;"",lst_Jobs,0)),""))</f>
        <v/>
      </c>
      <c r="F203" s="37" t="n"/>
      <c r="G203" s="37" t="n"/>
      <c r="H203" s="37" t="n"/>
      <c r="I203" s="37" t="n"/>
      <c r="J203" s="37" t="n"/>
      <c r="K203" s="38">
        <f>IF($C203="","",IFERROR(N(INDEX(tbl_Finance[Invoice Count],MATCH($AE203,tbl_Finance[Row ID],0))),""))</f>
        <v/>
      </c>
      <c r="L203" s="11">
        <f>IF($C203="","",IFERROR(N(INDEX(tbl_Finance[Xero Invoiced Ex GST],MATCH($AE203,tbl_Finance[Row ID],0))),""))</f>
        <v/>
      </c>
      <c r="M203" s="10">
        <f>IF($C203="","",IFERROR(INDEX(tbl_Finance[Compare],MATCH($AE203,tbl_Finance[Row ID],0))&amp;"",""))</f>
        <v/>
      </c>
      <c r="N203" s="11">
        <f>IF($C203="","",MAX(0,N(O203)-N(L203)))</f>
        <v/>
      </c>
      <c r="O203" s="39" t="n"/>
      <c r="P203" s="40">
        <f>IF($C203="","",IF((IF(F203="",", Client","")&amp;IF(G203="",", Description","")&amp;IF(H203="",", Cost Centre","")&amp;IF(I203="",", Invoice Type","")&amp;IF(J203="",", Tax Code","")&amp;IF(O203="",", Expected Revenue","")&amp;IF(COUNTIF(tbl_Finance[Job Number],$C203&amp;"")&gt;1,", Job number used twice",""))="","Complete","Fix: "&amp;MID(IF(F203="",", Client","")&amp;IF(G203="",", Description","")&amp;IF(H203="",", Cost Centre","")&amp;IF(I203="",", Invoice Type","")&amp;IF(J203="",", Tax Code","")&amp;IF(O203="",", Expected Revenue","")&amp;IF(COUNTIF(tbl_Finance[Job Number],$C203&amp;"")&gt;1,", Job number used twice",""),3,300)))</f>
        <v/>
      </c>
      <c r="Q203" s="10">
        <f>IF($C203="","",IF(H203="","(no cost centre)",H203&amp;" - GL "&amp;IFERROR(INDEX(lst_CCtoGL,MATCH(H203,lst_CCforGL,0)),"?")))</f>
        <v/>
      </c>
      <c r="R203" s="37" t="n"/>
      <c r="S203" s="10">
        <f>IF(R203="","",HYPERLINK(IF(LEFT(R203,4)="http",R203,set_QwilrBase&amp;R203),"Open quote"))</f>
        <v/>
      </c>
      <c r="T203" s="39" t="n"/>
      <c r="U203" s="39" t="n"/>
      <c r="V203" s="39" t="n"/>
      <c r="W203" s="10">
        <f>IF(C203="","",IF(N(T203)+N(U203)+N(V203)=0,"Not split",IF(ROUND(N(T203)+N(U203)+N(V203),2)=ROUND(MAX(N(L203),N(O203)),2),"OK","MISMATCH")))</f>
        <v/>
      </c>
      <c r="X203" s="39" t="n"/>
      <c r="Y203" s="39" t="n"/>
      <c r="Z203" s="39" t="n"/>
      <c r="AA203" s="11">
        <f>IF(C203="","",N(X203)+N(Y203)+N(Z203))</f>
        <v/>
      </c>
      <c r="AB203" s="11">
        <f>IF(C203="","",MAX(N(L203),N(O203))-N(AA203))</f>
        <v/>
      </c>
      <c r="AC203" s="43">
        <f>IFERROR(IF(MAX(N(L203),N(O203))=0,"",AB203/MAX(N(L203),N(O203))),"")</f>
        <v/>
      </c>
      <c r="AD203" s="37" t="n"/>
      <c r="AE203" s="10" t="inlineStr">
        <is>
          <t>CON-0199</t>
        </is>
      </c>
    </row>
    <row r="204">
      <c r="A204" s="16">
        <f>IF($C204="","",IFERROR(IF(INDEX(tbl_Finance[Latest Invoice Date],MATCH($AE204,tbl_Finance[Row ID],0))="","",INDEX(tbl_Finance[Latest Invoice Date],MATCH($AE204,tbl_Finance[Row ID],0))),""))</f>
        <v/>
      </c>
      <c r="B204" s="10">
        <f>IF($C204="","",IFERROR(INDEX(tbl_Finance[Invoice Numbers],MATCH($AE204,tbl_Finance[Row ID],0))&amp;"",""))</f>
        <v/>
      </c>
      <c r="C204" s="37" t="n"/>
      <c r="D204" s="10">
        <f>IF($C204="","",IF(COUNTIF(lst_Jobs,$C204&amp;"")&gt;0,"OK","CHECK"))</f>
        <v/>
      </c>
      <c r="E204" s="10">
        <f>IF($C204="","",IFERROR(INDEX(lst_JobName,MATCH($C204&amp;"",lst_Jobs,0)),""))</f>
        <v/>
      </c>
      <c r="F204" s="37" t="n"/>
      <c r="G204" s="37" t="n"/>
      <c r="H204" s="37" t="n"/>
      <c r="I204" s="37" t="n"/>
      <c r="J204" s="37" t="n"/>
      <c r="K204" s="38">
        <f>IF($C204="","",IFERROR(N(INDEX(tbl_Finance[Invoice Count],MATCH($AE204,tbl_Finance[Row ID],0))),""))</f>
        <v/>
      </c>
      <c r="L204" s="11">
        <f>IF($C204="","",IFERROR(N(INDEX(tbl_Finance[Xero Invoiced Ex GST],MATCH($AE204,tbl_Finance[Row ID],0))),""))</f>
        <v/>
      </c>
      <c r="M204" s="10">
        <f>IF($C204="","",IFERROR(INDEX(tbl_Finance[Compare],MATCH($AE204,tbl_Finance[Row ID],0))&amp;"",""))</f>
        <v/>
      </c>
      <c r="N204" s="11">
        <f>IF($C204="","",MAX(0,N(O204)-N(L204)))</f>
        <v/>
      </c>
      <c r="O204" s="39" t="n"/>
      <c r="P204" s="40">
        <f>IF($C204="","",IF((IF(F204="",", Client","")&amp;IF(G204="",", Description","")&amp;IF(H204="",", Cost Centre","")&amp;IF(I204="",", Invoice Type","")&amp;IF(J204="",", Tax Code","")&amp;IF(O204="",", Expected Revenue","")&amp;IF(COUNTIF(tbl_Finance[Job Number],$C204&amp;"")&gt;1,", Job number used twice",""))="","Complete","Fix: "&amp;MID(IF(F204="",", Client","")&amp;IF(G204="",", Description","")&amp;IF(H204="",", Cost Centre","")&amp;IF(I204="",", Invoice Type","")&amp;IF(J204="",", Tax Code","")&amp;IF(O204="",", Expected Revenue","")&amp;IF(COUNTIF(tbl_Finance[Job Number],$C204&amp;"")&gt;1,", Job number used twice",""),3,300)))</f>
        <v/>
      </c>
      <c r="Q204" s="10">
        <f>IF($C204="","",IF(H204="","(no cost centre)",H204&amp;" - GL "&amp;IFERROR(INDEX(lst_CCtoGL,MATCH(H204,lst_CCforGL,0)),"?")))</f>
        <v/>
      </c>
      <c r="R204" s="37" t="n"/>
      <c r="S204" s="10">
        <f>IF(R204="","",HYPERLINK(IF(LEFT(R204,4)="http",R204,set_QwilrBase&amp;R204),"Open quote"))</f>
        <v/>
      </c>
      <c r="T204" s="39" t="n"/>
      <c r="U204" s="39" t="n"/>
      <c r="V204" s="39" t="n"/>
      <c r="W204" s="10">
        <f>IF(C204="","",IF(N(T204)+N(U204)+N(V204)=0,"Not split",IF(ROUND(N(T204)+N(U204)+N(V204),2)=ROUND(MAX(N(L204),N(O204)),2),"OK","MISMATCH")))</f>
        <v/>
      </c>
      <c r="X204" s="39" t="n"/>
      <c r="Y204" s="39" t="n"/>
      <c r="Z204" s="39" t="n"/>
      <c r="AA204" s="11">
        <f>IF(C204="","",N(X204)+N(Y204)+N(Z204))</f>
        <v/>
      </c>
      <c r="AB204" s="11">
        <f>IF(C204="","",MAX(N(L204),N(O204))-N(AA204))</f>
        <v/>
      </c>
      <c r="AC204" s="43">
        <f>IFERROR(IF(MAX(N(L204),N(O204))=0,"",AB204/MAX(N(L204),N(O204))),"")</f>
        <v/>
      </c>
      <c r="AD204" s="37" t="n"/>
      <c r="AE204" s="10" t="inlineStr">
        <is>
          <t>CON-0200</t>
        </is>
      </c>
    </row>
    <row r="205">
      <c r="A205" s="16">
        <f>IF($C205="","",IFERROR(IF(INDEX(tbl_Finance[Latest Invoice Date],MATCH($AE205,tbl_Finance[Row ID],0))="","",INDEX(tbl_Finance[Latest Invoice Date],MATCH($AE205,tbl_Finance[Row ID],0))),""))</f>
        <v/>
      </c>
      <c r="B205" s="10">
        <f>IF($C205="","",IFERROR(INDEX(tbl_Finance[Invoice Numbers],MATCH($AE205,tbl_Finance[Row ID],0))&amp;"",""))</f>
        <v/>
      </c>
      <c r="C205" s="37" t="n"/>
      <c r="D205" s="10">
        <f>IF($C205="","",IF(COUNTIF(lst_Jobs,$C205&amp;"")&gt;0,"OK","CHECK"))</f>
        <v/>
      </c>
      <c r="E205" s="10">
        <f>IF($C205="","",IFERROR(INDEX(lst_JobName,MATCH($C205&amp;"",lst_Jobs,0)),""))</f>
        <v/>
      </c>
      <c r="F205" s="37" t="n"/>
      <c r="G205" s="37" t="n"/>
      <c r="H205" s="37" t="n"/>
      <c r="I205" s="37" t="n"/>
      <c r="J205" s="37" t="n"/>
      <c r="K205" s="38">
        <f>IF($C205="","",IFERROR(N(INDEX(tbl_Finance[Invoice Count],MATCH($AE205,tbl_Finance[Row ID],0))),""))</f>
        <v/>
      </c>
      <c r="L205" s="11">
        <f>IF($C205="","",IFERROR(N(INDEX(tbl_Finance[Xero Invoiced Ex GST],MATCH($AE205,tbl_Finance[Row ID],0))),""))</f>
        <v/>
      </c>
      <c r="M205" s="10">
        <f>IF($C205="","",IFERROR(INDEX(tbl_Finance[Compare],MATCH($AE205,tbl_Finance[Row ID],0))&amp;"",""))</f>
        <v/>
      </c>
      <c r="N205" s="11">
        <f>IF($C205="","",MAX(0,N(O205)-N(L205)))</f>
        <v/>
      </c>
      <c r="O205" s="39" t="n"/>
      <c r="P205" s="40">
        <f>IF($C205="","",IF((IF(F205="",", Client","")&amp;IF(G205="",", Description","")&amp;IF(H205="",", Cost Centre","")&amp;IF(I205="",", Invoice Type","")&amp;IF(J205="",", Tax Code","")&amp;IF(O205="",", Expected Revenue","")&amp;IF(COUNTIF(tbl_Finance[Job Number],$C205&amp;"")&gt;1,", Job number used twice",""))="","Complete","Fix: "&amp;MID(IF(F205="",", Client","")&amp;IF(G205="",", Description","")&amp;IF(H205="",", Cost Centre","")&amp;IF(I205="",", Invoice Type","")&amp;IF(J205="",", Tax Code","")&amp;IF(O205="",", Expected Revenue","")&amp;IF(COUNTIF(tbl_Finance[Job Number],$C205&amp;"")&gt;1,", Job number used twice",""),3,300)))</f>
        <v/>
      </c>
      <c r="Q205" s="10">
        <f>IF($C205="","",IF(H205="","(no cost centre)",H205&amp;" - GL "&amp;IFERROR(INDEX(lst_CCtoGL,MATCH(H205,lst_CCforGL,0)),"?")))</f>
        <v/>
      </c>
      <c r="R205" s="37" t="n"/>
      <c r="S205" s="10">
        <f>IF(R205="","",HYPERLINK(IF(LEFT(R205,4)="http",R205,set_QwilrBase&amp;R205),"Open quote"))</f>
        <v/>
      </c>
      <c r="T205" s="39" t="n"/>
      <c r="U205" s="39" t="n"/>
      <c r="V205" s="39" t="n"/>
      <c r="W205" s="10">
        <f>IF(C205="","",IF(N(T205)+N(U205)+N(V205)=0,"Not split",IF(ROUND(N(T205)+N(U205)+N(V205),2)=ROUND(MAX(N(L205),N(O205)),2),"OK","MISMATCH")))</f>
        <v/>
      </c>
      <c r="X205" s="39" t="n"/>
      <c r="Y205" s="39" t="n"/>
      <c r="Z205" s="39" t="n"/>
      <c r="AA205" s="11">
        <f>IF(C205="","",N(X205)+N(Y205)+N(Z205))</f>
        <v/>
      </c>
      <c r="AB205" s="11">
        <f>IF(C205="","",MAX(N(L205),N(O205))-N(AA205))</f>
        <v/>
      </c>
      <c r="AC205" s="43">
        <f>IFERROR(IF(MAX(N(L205),N(O205))=0,"",AB205/MAX(N(L205),N(O205))),"")</f>
        <v/>
      </c>
      <c r="AD205" s="37" t="n"/>
      <c r="AE205" s="10" t="inlineStr">
        <is>
          <t>CON-0201</t>
        </is>
      </c>
    </row>
    <row r="206">
      <c r="A206" s="16">
        <f>IF($C206="","",IFERROR(IF(INDEX(tbl_Finance[Latest Invoice Date],MATCH($AE206,tbl_Finance[Row ID],0))="","",INDEX(tbl_Finance[Latest Invoice Date],MATCH($AE206,tbl_Finance[Row ID],0))),""))</f>
        <v/>
      </c>
      <c r="B206" s="10">
        <f>IF($C206="","",IFERROR(INDEX(tbl_Finance[Invoice Numbers],MATCH($AE206,tbl_Finance[Row ID],0))&amp;"",""))</f>
        <v/>
      </c>
      <c r="C206" s="37" t="n"/>
      <c r="D206" s="10">
        <f>IF($C206="","",IF(COUNTIF(lst_Jobs,$C206&amp;"")&gt;0,"OK","CHECK"))</f>
        <v/>
      </c>
      <c r="E206" s="10">
        <f>IF($C206="","",IFERROR(INDEX(lst_JobName,MATCH($C206&amp;"",lst_Jobs,0)),""))</f>
        <v/>
      </c>
      <c r="F206" s="37" t="n"/>
      <c r="G206" s="37" t="n"/>
      <c r="H206" s="37" t="n"/>
      <c r="I206" s="37" t="n"/>
      <c r="J206" s="37" t="n"/>
      <c r="K206" s="38">
        <f>IF($C206="","",IFERROR(N(INDEX(tbl_Finance[Invoice Count],MATCH($AE206,tbl_Finance[Row ID],0))),""))</f>
        <v/>
      </c>
      <c r="L206" s="11">
        <f>IF($C206="","",IFERROR(N(INDEX(tbl_Finance[Xero Invoiced Ex GST],MATCH($AE206,tbl_Finance[Row ID],0))),""))</f>
        <v/>
      </c>
      <c r="M206" s="10">
        <f>IF($C206="","",IFERROR(INDEX(tbl_Finance[Compare],MATCH($AE206,tbl_Finance[Row ID],0))&amp;"",""))</f>
        <v/>
      </c>
      <c r="N206" s="11">
        <f>IF($C206="","",MAX(0,N(O206)-N(L206)))</f>
        <v/>
      </c>
      <c r="O206" s="39" t="n"/>
      <c r="P206" s="40">
        <f>IF($C206="","",IF((IF(F206="",", Client","")&amp;IF(G206="",", Description","")&amp;IF(H206="",", Cost Centre","")&amp;IF(I206="",", Invoice Type","")&amp;IF(J206="",", Tax Code","")&amp;IF(O206="",", Expected Revenue","")&amp;IF(COUNTIF(tbl_Finance[Job Number],$C206&amp;"")&gt;1,", Job number used twice",""))="","Complete","Fix: "&amp;MID(IF(F206="",", Client","")&amp;IF(G206="",", Description","")&amp;IF(H206="",", Cost Centre","")&amp;IF(I206="",", Invoice Type","")&amp;IF(J206="",", Tax Code","")&amp;IF(O206="",", Expected Revenue","")&amp;IF(COUNTIF(tbl_Finance[Job Number],$C206&amp;"")&gt;1,", Job number used twice",""),3,300)))</f>
        <v/>
      </c>
      <c r="Q206" s="10">
        <f>IF($C206="","",IF(H206="","(no cost centre)",H206&amp;" - GL "&amp;IFERROR(INDEX(lst_CCtoGL,MATCH(H206,lst_CCforGL,0)),"?")))</f>
        <v/>
      </c>
      <c r="R206" s="37" t="n"/>
      <c r="S206" s="10">
        <f>IF(R206="","",HYPERLINK(IF(LEFT(R206,4)="http",R206,set_QwilrBase&amp;R206),"Open quote"))</f>
        <v/>
      </c>
      <c r="T206" s="39" t="n"/>
      <c r="U206" s="39" t="n"/>
      <c r="V206" s="39" t="n"/>
      <c r="W206" s="10">
        <f>IF(C206="","",IF(N(T206)+N(U206)+N(V206)=0,"Not split",IF(ROUND(N(T206)+N(U206)+N(V206),2)=ROUND(MAX(N(L206),N(O206)),2),"OK","MISMATCH")))</f>
        <v/>
      </c>
      <c r="X206" s="39" t="n"/>
      <c r="Y206" s="39" t="n"/>
      <c r="Z206" s="39" t="n"/>
      <c r="AA206" s="11">
        <f>IF(C206="","",N(X206)+N(Y206)+N(Z206))</f>
        <v/>
      </c>
      <c r="AB206" s="11">
        <f>IF(C206="","",MAX(N(L206),N(O206))-N(AA206))</f>
        <v/>
      </c>
      <c r="AC206" s="43">
        <f>IFERROR(IF(MAX(N(L206),N(O206))=0,"",AB206/MAX(N(L206),N(O206))),"")</f>
        <v/>
      </c>
      <c r="AD206" s="37" t="n"/>
      <c r="AE206" s="10" t="inlineStr">
        <is>
          <t>CON-0202</t>
        </is>
      </c>
    </row>
    <row r="207">
      <c r="A207" s="16">
        <f>IF($C207="","",IFERROR(IF(INDEX(tbl_Finance[Latest Invoice Date],MATCH($AE207,tbl_Finance[Row ID],0))="","",INDEX(tbl_Finance[Latest Invoice Date],MATCH($AE207,tbl_Finance[Row ID],0))),""))</f>
        <v/>
      </c>
      <c r="B207" s="10">
        <f>IF($C207="","",IFERROR(INDEX(tbl_Finance[Invoice Numbers],MATCH($AE207,tbl_Finance[Row ID],0))&amp;"",""))</f>
        <v/>
      </c>
      <c r="C207" s="37" t="n"/>
      <c r="D207" s="10">
        <f>IF($C207="","",IF(COUNTIF(lst_Jobs,$C207&amp;"")&gt;0,"OK","CHECK"))</f>
        <v/>
      </c>
      <c r="E207" s="10">
        <f>IF($C207="","",IFERROR(INDEX(lst_JobName,MATCH($C207&amp;"",lst_Jobs,0)),""))</f>
        <v/>
      </c>
      <c r="F207" s="37" t="n"/>
      <c r="G207" s="37" t="n"/>
      <c r="H207" s="37" t="n"/>
      <c r="I207" s="37" t="n"/>
      <c r="J207" s="37" t="n"/>
      <c r="K207" s="38">
        <f>IF($C207="","",IFERROR(N(INDEX(tbl_Finance[Invoice Count],MATCH($AE207,tbl_Finance[Row ID],0))),""))</f>
        <v/>
      </c>
      <c r="L207" s="11">
        <f>IF($C207="","",IFERROR(N(INDEX(tbl_Finance[Xero Invoiced Ex GST],MATCH($AE207,tbl_Finance[Row ID],0))),""))</f>
        <v/>
      </c>
      <c r="M207" s="10">
        <f>IF($C207="","",IFERROR(INDEX(tbl_Finance[Compare],MATCH($AE207,tbl_Finance[Row ID],0))&amp;"",""))</f>
        <v/>
      </c>
      <c r="N207" s="11">
        <f>IF($C207="","",MAX(0,N(O207)-N(L207)))</f>
        <v/>
      </c>
      <c r="O207" s="39" t="n"/>
      <c r="P207" s="40">
        <f>IF($C207="","",IF((IF(F207="",", Client","")&amp;IF(G207="",", Description","")&amp;IF(H207="",", Cost Centre","")&amp;IF(I207="",", Invoice Type","")&amp;IF(J207="",", Tax Code","")&amp;IF(O207="",", Expected Revenue","")&amp;IF(COUNTIF(tbl_Finance[Job Number],$C207&amp;"")&gt;1,", Job number used twice",""))="","Complete","Fix: "&amp;MID(IF(F207="",", Client","")&amp;IF(G207="",", Description","")&amp;IF(H207="",", Cost Centre","")&amp;IF(I207="",", Invoice Type","")&amp;IF(J207="",", Tax Code","")&amp;IF(O207="",", Expected Revenue","")&amp;IF(COUNTIF(tbl_Finance[Job Number],$C207&amp;"")&gt;1,", Job number used twice",""),3,300)))</f>
        <v/>
      </c>
      <c r="Q207" s="10">
        <f>IF($C207="","",IF(H207="","(no cost centre)",H207&amp;" - GL "&amp;IFERROR(INDEX(lst_CCtoGL,MATCH(H207,lst_CCforGL,0)),"?")))</f>
        <v/>
      </c>
      <c r="R207" s="37" t="n"/>
      <c r="S207" s="10">
        <f>IF(R207="","",HYPERLINK(IF(LEFT(R207,4)="http",R207,set_QwilrBase&amp;R207),"Open quote"))</f>
        <v/>
      </c>
      <c r="T207" s="39" t="n"/>
      <c r="U207" s="39" t="n"/>
      <c r="V207" s="39" t="n"/>
      <c r="W207" s="10">
        <f>IF(C207="","",IF(N(T207)+N(U207)+N(V207)=0,"Not split",IF(ROUND(N(T207)+N(U207)+N(V207),2)=ROUND(MAX(N(L207),N(O207)),2),"OK","MISMATCH")))</f>
        <v/>
      </c>
      <c r="X207" s="39" t="n"/>
      <c r="Y207" s="39" t="n"/>
      <c r="Z207" s="39" t="n"/>
      <c r="AA207" s="11">
        <f>IF(C207="","",N(X207)+N(Y207)+N(Z207))</f>
        <v/>
      </c>
      <c r="AB207" s="11">
        <f>IF(C207="","",MAX(N(L207),N(O207))-N(AA207))</f>
        <v/>
      </c>
      <c r="AC207" s="43">
        <f>IFERROR(IF(MAX(N(L207),N(O207))=0,"",AB207/MAX(N(L207),N(O207))),"")</f>
        <v/>
      </c>
      <c r="AD207" s="37" t="n"/>
      <c r="AE207" s="10" t="inlineStr">
        <is>
          <t>CON-0203</t>
        </is>
      </c>
    </row>
    <row r="208">
      <c r="A208" s="16">
        <f>IF($C208="","",IFERROR(IF(INDEX(tbl_Finance[Latest Invoice Date],MATCH($AE208,tbl_Finance[Row ID],0))="","",INDEX(tbl_Finance[Latest Invoice Date],MATCH($AE208,tbl_Finance[Row ID],0))),""))</f>
        <v/>
      </c>
      <c r="B208" s="10">
        <f>IF($C208="","",IFERROR(INDEX(tbl_Finance[Invoice Numbers],MATCH($AE208,tbl_Finance[Row ID],0))&amp;"",""))</f>
        <v/>
      </c>
      <c r="C208" s="37" t="n"/>
      <c r="D208" s="10">
        <f>IF($C208="","",IF(COUNTIF(lst_Jobs,$C208&amp;"")&gt;0,"OK","CHECK"))</f>
        <v/>
      </c>
      <c r="E208" s="10">
        <f>IF($C208="","",IFERROR(INDEX(lst_JobName,MATCH($C208&amp;"",lst_Jobs,0)),""))</f>
        <v/>
      </c>
      <c r="F208" s="37" t="n"/>
      <c r="G208" s="37" t="n"/>
      <c r="H208" s="37" t="n"/>
      <c r="I208" s="37" t="n"/>
      <c r="J208" s="37" t="n"/>
      <c r="K208" s="38">
        <f>IF($C208="","",IFERROR(N(INDEX(tbl_Finance[Invoice Count],MATCH($AE208,tbl_Finance[Row ID],0))),""))</f>
        <v/>
      </c>
      <c r="L208" s="11">
        <f>IF($C208="","",IFERROR(N(INDEX(tbl_Finance[Xero Invoiced Ex GST],MATCH($AE208,tbl_Finance[Row ID],0))),""))</f>
        <v/>
      </c>
      <c r="M208" s="10">
        <f>IF($C208="","",IFERROR(INDEX(tbl_Finance[Compare],MATCH($AE208,tbl_Finance[Row ID],0))&amp;"",""))</f>
        <v/>
      </c>
      <c r="N208" s="11">
        <f>IF($C208="","",MAX(0,N(O208)-N(L208)))</f>
        <v/>
      </c>
      <c r="O208" s="39" t="n"/>
      <c r="P208" s="40">
        <f>IF($C208="","",IF((IF(F208="",", Client","")&amp;IF(G208="",", Description","")&amp;IF(H208="",", Cost Centre","")&amp;IF(I208="",", Invoice Type","")&amp;IF(J208="",", Tax Code","")&amp;IF(O208="",", Expected Revenue","")&amp;IF(COUNTIF(tbl_Finance[Job Number],$C208&amp;"")&gt;1,", Job number used twice",""))="","Complete","Fix: "&amp;MID(IF(F208="",", Client","")&amp;IF(G208="",", Description","")&amp;IF(H208="",", Cost Centre","")&amp;IF(I208="",", Invoice Type","")&amp;IF(J208="",", Tax Code","")&amp;IF(O208="",", Expected Revenue","")&amp;IF(COUNTIF(tbl_Finance[Job Number],$C208&amp;"")&gt;1,", Job number used twice",""),3,300)))</f>
        <v/>
      </c>
      <c r="Q208" s="10">
        <f>IF($C208="","",IF(H208="","(no cost centre)",H208&amp;" - GL "&amp;IFERROR(INDEX(lst_CCtoGL,MATCH(H208,lst_CCforGL,0)),"?")))</f>
        <v/>
      </c>
      <c r="R208" s="37" t="n"/>
      <c r="S208" s="10">
        <f>IF(R208="","",HYPERLINK(IF(LEFT(R208,4)="http",R208,set_QwilrBase&amp;R208),"Open quote"))</f>
        <v/>
      </c>
      <c r="T208" s="39" t="n"/>
      <c r="U208" s="39" t="n"/>
      <c r="V208" s="39" t="n"/>
      <c r="W208" s="10">
        <f>IF(C208="","",IF(N(T208)+N(U208)+N(V208)=0,"Not split",IF(ROUND(N(T208)+N(U208)+N(V208),2)=ROUND(MAX(N(L208),N(O208)),2),"OK","MISMATCH")))</f>
        <v/>
      </c>
      <c r="X208" s="39" t="n"/>
      <c r="Y208" s="39" t="n"/>
      <c r="Z208" s="39" t="n"/>
      <c r="AA208" s="11">
        <f>IF(C208="","",N(X208)+N(Y208)+N(Z208))</f>
        <v/>
      </c>
      <c r="AB208" s="11">
        <f>IF(C208="","",MAX(N(L208),N(O208))-N(AA208))</f>
        <v/>
      </c>
      <c r="AC208" s="43">
        <f>IFERROR(IF(MAX(N(L208),N(O208))=0,"",AB208/MAX(N(L208),N(O208))),"")</f>
        <v/>
      </c>
      <c r="AD208" s="37" t="n"/>
      <c r="AE208" s="10" t="inlineStr">
        <is>
          <t>CON-0204</t>
        </is>
      </c>
    </row>
    <row r="209">
      <c r="A209" s="16">
        <f>IF($C209="","",IFERROR(IF(INDEX(tbl_Finance[Latest Invoice Date],MATCH($AE209,tbl_Finance[Row ID],0))="","",INDEX(tbl_Finance[Latest Invoice Date],MATCH($AE209,tbl_Finance[Row ID],0))),""))</f>
        <v/>
      </c>
      <c r="B209" s="10">
        <f>IF($C209="","",IFERROR(INDEX(tbl_Finance[Invoice Numbers],MATCH($AE209,tbl_Finance[Row ID],0))&amp;"",""))</f>
        <v/>
      </c>
      <c r="C209" s="37" t="n"/>
      <c r="D209" s="10">
        <f>IF($C209="","",IF(COUNTIF(lst_Jobs,$C209&amp;"")&gt;0,"OK","CHECK"))</f>
        <v/>
      </c>
      <c r="E209" s="10">
        <f>IF($C209="","",IFERROR(INDEX(lst_JobName,MATCH($C209&amp;"",lst_Jobs,0)),""))</f>
        <v/>
      </c>
      <c r="F209" s="37" t="n"/>
      <c r="G209" s="37" t="n"/>
      <c r="H209" s="37" t="n"/>
      <c r="I209" s="37" t="n"/>
      <c r="J209" s="37" t="n"/>
      <c r="K209" s="38">
        <f>IF($C209="","",IFERROR(N(INDEX(tbl_Finance[Invoice Count],MATCH($AE209,tbl_Finance[Row ID],0))),""))</f>
        <v/>
      </c>
      <c r="L209" s="11">
        <f>IF($C209="","",IFERROR(N(INDEX(tbl_Finance[Xero Invoiced Ex GST],MATCH($AE209,tbl_Finance[Row ID],0))),""))</f>
        <v/>
      </c>
      <c r="M209" s="10">
        <f>IF($C209="","",IFERROR(INDEX(tbl_Finance[Compare],MATCH($AE209,tbl_Finance[Row ID],0))&amp;"",""))</f>
        <v/>
      </c>
      <c r="N209" s="11">
        <f>IF($C209="","",MAX(0,N(O209)-N(L209)))</f>
        <v/>
      </c>
      <c r="O209" s="39" t="n"/>
      <c r="P209" s="40">
        <f>IF($C209="","",IF((IF(F209="",", Client","")&amp;IF(G209="",", Description","")&amp;IF(H209="",", Cost Centre","")&amp;IF(I209="",", Invoice Type","")&amp;IF(J209="",", Tax Code","")&amp;IF(O209="",", Expected Revenue","")&amp;IF(COUNTIF(tbl_Finance[Job Number],$C209&amp;"")&gt;1,", Job number used twice",""))="","Complete","Fix: "&amp;MID(IF(F209="",", Client","")&amp;IF(G209="",", Description","")&amp;IF(H209="",", Cost Centre","")&amp;IF(I209="",", Invoice Type","")&amp;IF(J209="",", Tax Code","")&amp;IF(O209="",", Expected Revenue","")&amp;IF(COUNTIF(tbl_Finance[Job Number],$C209&amp;"")&gt;1,", Job number used twice",""),3,300)))</f>
        <v/>
      </c>
      <c r="Q209" s="10">
        <f>IF($C209="","",IF(H209="","(no cost centre)",H209&amp;" - GL "&amp;IFERROR(INDEX(lst_CCtoGL,MATCH(H209,lst_CCforGL,0)),"?")))</f>
        <v/>
      </c>
      <c r="R209" s="37" t="n"/>
      <c r="S209" s="10">
        <f>IF(R209="","",HYPERLINK(IF(LEFT(R209,4)="http",R209,set_QwilrBase&amp;R209),"Open quote"))</f>
        <v/>
      </c>
      <c r="T209" s="39" t="n"/>
      <c r="U209" s="39" t="n"/>
      <c r="V209" s="39" t="n"/>
      <c r="W209" s="10">
        <f>IF(C209="","",IF(N(T209)+N(U209)+N(V209)=0,"Not split",IF(ROUND(N(T209)+N(U209)+N(V209),2)=ROUND(MAX(N(L209),N(O209)),2),"OK","MISMATCH")))</f>
        <v/>
      </c>
      <c r="X209" s="39" t="n"/>
      <c r="Y209" s="39" t="n"/>
      <c r="Z209" s="39" t="n"/>
      <c r="AA209" s="11">
        <f>IF(C209="","",N(X209)+N(Y209)+N(Z209))</f>
        <v/>
      </c>
      <c r="AB209" s="11">
        <f>IF(C209="","",MAX(N(L209),N(O209))-N(AA209))</f>
        <v/>
      </c>
      <c r="AC209" s="43">
        <f>IFERROR(IF(MAX(N(L209),N(O209))=0,"",AB209/MAX(N(L209),N(O209))),"")</f>
        <v/>
      </c>
      <c r="AD209" s="37" t="n"/>
      <c r="AE209" s="10" t="inlineStr">
        <is>
          <t>CON-0205</t>
        </is>
      </c>
    </row>
    <row r="210">
      <c r="A210" s="16">
        <f>IF($C210="","",IFERROR(IF(INDEX(tbl_Finance[Latest Invoice Date],MATCH($AE210,tbl_Finance[Row ID],0))="","",INDEX(tbl_Finance[Latest Invoice Date],MATCH($AE210,tbl_Finance[Row ID],0))),""))</f>
        <v/>
      </c>
      <c r="B210" s="10">
        <f>IF($C210="","",IFERROR(INDEX(tbl_Finance[Invoice Numbers],MATCH($AE210,tbl_Finance[Row ID],0))&amp;"",""))</f>
        <v/>
      </c>
      <c r="C210" s="37" t="n"/>
      <c r="D210" s="10">
        <f>IF($C210="","",IF(COUNTIF(lst_Jobs,$C210&amp;"")&gt;0,"OK","CHECK"))</f>
        <v/>
      </c>
      <c r="E210" s="10">
        <f>IF($C210="","",IFERROR(INDEX(lst_JobName,MATCH($C210&amp;"",lst_Jobs,0)),""))</f>
        <v/>
      </c>
      <c r="F210" s="37" t="n"/>
      <c r="G210" s="37" t="n"/>
      <c r="H210" s="37" t="n"/>
      <c r="I210" s="37" t="n"/>
      <c r="J210" s="37" t="n"/>
      <c r="K210" s="38">
        <f>IF($C210="","",IFERROR(N(INDEX(tbl_Finance[Invoice Count],MATCH($AE210,tbl_Finance[Row ID],0))),""))</f>
        <v/>
      </c>
      <c r="L210" s="11">
        <f>IF($C210="","",IFERROR(N(INDEX(tbl_Finance[Xero Invoiced Ex GST],MATCH($AE210,tbl_Finance[Row ID],0))),""))</f>
        <v/>
      </c>
      <c r="M210" s="10">
        <f>IF($C210="","",IFERROR(INDEX(tbl_Finance[Compare],MATCH($AE210,tbl_Finance[Row ID],0))&amp;"",""))</f>
        <v/>
      </c>
      <c r="N210" s="11">
        <f>IF($C210="","",MAX(0,N(O210)-N(L210)))</f>
        <v/>
      </c>
      <c r="O210" s="39" t="n"/>
      <c r="P210" s="40">
        <f>IF($C210="","",IF((IF(F210="",", Client","")&amp;IF(G210="",", Description","")&amp;IF(H210="",", Cost Centre","")&amp;IF(I210="",", Invoice Type","")&amp;IF(J210="",", Tax Code","")&amp;IF(O210="",", Expected Revenue","")&amp;IF(COUNTIF(tbl_Finance[Job Number],$C210&amp;"")&gt;1,", Job number used twice",""))="","Complete","Fix: "&amp;MID(IF(F210="",", Client","")&amp;IF(G210="",", Description","")&amp;IF(H210="",", Cost Centre","")&amp;IF(I210="",", Invoice Type","")&amp;IF(J210="",", Tax Code","")&amp;IF(O210="",", Expected Revenue","")&amp;IF(COUNTIF(tbl_Finance[Job Number],$C210&amp;"")&gt;1,", Job number used twice",""),3,300)))</f>
        <v/>
      </c>
      <c r="Q210" s="10">
        <f>IF($C210="","",IF(H210="","(no cost centre)",H210&amp;" - GL "&amp;IFERROR(INDEX(lst_CCtoGL,MATCH(H210,lst_CCforGL,0)),"?")))</f>
        <v/>
      </c>
      <c r="R210" s="37" t="n"/>
      <c r="S210" s="10">
        <f>IF(R210="","",HYPERLINK(IF(LEFT(R210,4)="http",R210,set_QwilrBase&amp;R210),"Open quote"))</f>
        <v/>
      </c>
      <c r="T210" s="39" t="n"/>
      <c r="U210" s="39" t="n"/>
      <c r="V210" s="39" t="n"/>
      <c r="W210" s="10">
        <f>IF(C210="","",IF(N(T210)+N(U210)+N(V210)=0,"Not split",IF(ROUND(N(T210)+N(U210)+N(V210),2)=ROUND(MAX(N(L210),N(O210)),2),"OK","MISMATCH")))</f>
        <v/>
      </c>
      <c r="X210" s="39" t="n"/>
      <c r="Y210" s="39" t="n"/>
      <c r="Z210" s="39" t="n"/>
      <c r="AA210" s="11">
        <f>IF(C210="","",N(X210)+N(Y210)+N(Z210))</f>
        <v/>
      </c>
      <c r="AB210" s="11">
        <f>IF(C210="","",MAX(N(L210),N(O210))-N(AA210))</f>
        <v/>
      </c>
      <c r="AC210" s="43">
        <f>IFERROR(IF(MAX(N(L210),N(O210))=0,"",AB210/MAX(N(L210),N(O210))),"")</f>
        <v/>
      </c>
      <c r="AD210" s="37" t="n"/>
      <c r="AE210" s="10" t="inlineStr">
        <is>
          <t>CON-0206</t>
        </is>
      </c>
    </row>
    <row r="211">
      <c r="A211" s="16">
        <f>IF($C211="","",IFERROR(IF(INDEX(tbl_Finance[Latest Invoice Date],MATCH($AE211,tbl_Finance[Row ID],0))="","",INDEX(tbl_Finance[Latest Invoice Date],MATCH($AE211,tbl_Finance[Row ID],0))),""))</f>
        <v/>
      </c>
      <c r="B211" s="10">
        <f>IF($C211="","",IFERROR(INDEX(tbl_Finance[Invoice Numbers],MATCH($AE211,tbl_Finance[Row ID],0))&amp;"",""))</f>
        <v/>
      </c>
      <c r="C211" s="37" t="n"/>
      <c r="D211" s="10">
        <f>IF($C211="","",IF(COUNTIF(lst_Jobs,$C211&amp;"")&gt;0,"OK","CHECK"))</f>
        <v/>
      </c>
      <c r="E211" s="10">
        <f>IF($C211="","",IFERROR(INDEX(lst_JobName,MATCH($C211&amp;"",lst_Jobs,0)),""))</f>
        <v/>
      </c>
      <c r="F211" s="37" t="n"/>
      <c r="G211" s="37" t="n"/>
      <c r="H211" s="37" t="n"/>
      <c r="I211" s="37" t="n"/>
      <c r="J211" s="37" t="n"/>
      <c r="K211" s="38">
        <f>IF($C211="","",IFERROR(N(INDEX(tbl_Finance[Invoice Count],MATCH($AE211,tbl_Finance[Row ID],0))),""))</f>
        <v/>
      </c>
      <c r="L211" s="11">
        <f>IF($C211="","",IFERROR(N(INDEX(tbl_Finance[Xero Invoiced Ex GST],MATCH($AE211,tbl_Finance[Row ID],0))),""))</f>
        <v/>
      </c>
      <c r="M211" s="10">
        <f>IF($C211="","",IFERROR(INDEX(tbl_Finance[Compare],MATCH($AE211,tbl_Finance[Row ID],0))&amp;"",""))</f>
        <v/>
      </c>
      <c r="N211" s="11">
        <f>IF($C211="","",MAX(0,N(O211)-N(L211)))</f>
        <v/>
      </c>
      <c r="O211" s="39" t="n"/>
      <c r="P211" s="40">
        <f>IF($C211="","",IF((IF(F211="",", Client","")&amp;IF(G211="",", Description","")&amp;IF(H211="",", Cost Centre","")&amp;IF(I211="",", Invoice Type","")&amp;IF(J211="",", Tax Code","")&amp;IF(O211="",", Expected Revenue","")&amp;IF(COUNTIF(tbl_Finance[Job Number],$C211&amp;"")&gt;1,", Job number used twice",""))="","Complete","Fix: "&amp;MID(IF(F211="",", Client","")&amp;IF(G211="",", Description","")&amp;IF(H211="",", Cost Centre","")&amp;IF(I211="",", Invoice Type","")&amp;IF(J211="",", Tax Code","")&amp;IF(O211="",", Expected Revenue","")&amp;IF(COUNTIF(tbl_Finance[Job Number],$C211&amp;"")&gt;1,", Job number used twice",""),3,300)))</f>
        <v/>
      </c>
      <c r="Q211" s="10">
        <f>IF($C211="","",IF(H211="","(no cost centre)",H211&amp;" - GL "&amp;IFERROR(INDEX(lst_CCtoGL,MATCH(H211,lst_CCforGL,0)),"?")))</f>
        <v/>
      </c>
      <c r="R211" s="37" t="n"/>
      <c r="S211" s="10">
        <f>IF(R211="","",HYPERLINK(IF(LEFT(R211,4)="http",R211,set_QwilrBase&amp;R211),"Open quote"))</f>
        <v/>
      </c>
      <c r="T211" s="39" t="n"/>
      <c r="U211" s="39" t="n"/>
      <c r="V211" s="39" t="n"/>
      <c r="W211" s="10">
        <f>IF(C211="","",IF(N(T211)+N(U211)+N(V211)=0,"Not split",IF(ROUND(N(T211)+N(U211)+N(V211),2)=ROUND(MAX(N(L211),N(O211)),2),"OK","MISMATCH")))</f>
        <v/>
      </c>
      <c r="X211" s="39" t="n"/>
      <c r="Y211" s="39" t="n"/>
      <c r="Z211" s="39" t="n"/>
      <c r="AA211" s="11">
        <f>IF(C211="","",N(X211)+N(Y211)+N(Z211))</f>
        <v/>
      </c>
      <c r="AB211" s="11">
        <f>IF(C211="","",MAX(N(L211),N(O211))-N(AA211))</f>
        <v/>
      </c>
      <c r="AC211" s="43">
        <f>IFERROR(IF(MAX(N(L211),N(O211))=0,"",AB211/MAX(N(L211),N(O211))),"")</f>
        <v/>
      </c>
      <c r="AD211" s="37" t="n"/>
      <c r="AE211" s="10" t="inlineStr">
        <is>
          <t>CON-0207</t>
        </is>
      </c>
    </row>
    <row r="212">
      <c r="A212" s="16">
        <f>IF($C212="","",IFERROR(IF(INDEX(tbl_Finance[Latest Invoice Date],MATCH($AE212,tbl_Finance[Row ID],0))="","",INDEX(tbl_Finance[Latest Invoice Date],MATCH($AE212,tbl_Finance[Row ID],0))),""))</f>
        <v/>
      </c>
      <c r="B212" s="10">
        <f>IF($C212="","",IFERROR(INDEX(tbl_Finance[Invoice Numbers],MATCH($AE212,tbl_Finance[Row ID],0))&amp;"",""))</f>
        <v/>
      </c>
      <c r="C212" s="37" t="n"/>
      <c r="D212" s="10">
        <f>IF($C212="","",IF(COUNTIF(lst_Jobs,$C212&amp;"")&gt;0,"OK","CHECK"))</f>
        <v/>
      </c>
      <c r="E212" s="10">
        <f>IF($C212="","",IFERROR(INDEX(lst_JobName,MATCH($C212&amp;"",lst_Jobs,0)),""))</f>
        <v/>
      </c>
      <c r="F212" s="37" t="n"/>
      <c r="G212" s="37" t="n"/>
      <c r="H212" s="37" t="n"/>
      <c r="I212" s="37" t="n"/>
      <c r="J212" s="37" t="n"/>
      <c r="K212" s="38">
        <f>IF($C212="","",IFERROR(N(INDEX(tbl_Finance[Invoice Count],MATCH($AE212,tbl_Finance[Row ID],0))),""))</f>
        <v/>
      </c>
      <c r="L212" s="11">
        <f>IF($C212="","",IFERROR(N(INDEX(tbl_Finance[Xero Invoiced Ex GST],MATCH($AE212,tbl_Finance[Row ID],0))),""))</f>
        <v/>
      </c>
      <c r="M212" s="10">
        <f>IF($C212="","",IFERROR(INDEX(tbl_Finance[Compare],MATCH($AE212,tbl_Finance[Row ID],0))&amp;"",""))</f>
        <v/>
      </c>
      <c r="N212" s="11">
        <f>IF($C212="","",MAX(0,N(O212)-N(L212)))</f>
        <v/>
      </c>
      <c r="O212" s="39" t="n"/>
      <c r="P212" s="40">
        <f>IF($C212="","",IF((IF(F212="",", Client","")&amp;IF(G212="",", Description","")&amp;IF(H212="",", Cost Centre","")&amp;IF(I212="",", Invoice Type","")&amp;IF(J212="",", Tax Code","")&amp;IF(O212="",", Expected Revenue","")&amp;IF(COUNTIF(tbl_Finance[Job Number],$C212&amp;"")&gt;1,", Job number used twice",""))="","Complete","Fix: "&amp;MID(IF(F212="",", Client","")&amp;IF(G212="",", Description","")&amp;IF(H212="",", Cost Centre","")&amp;IF(I212="",", Invoice Type","")&amp;IF(J212="",", Tax Code","")&amp;IF(O212="",", Expected Revenue","")&amp;IF(COUNTIF(tbl_Finance[Job Number],$C212&amp;"")&gt;1,", Job number used twice",""),3,300)))</f>
        <v/>
      </c>
      <c r="Q212" s="10">
        <f>IF($C212="","",IF(H212="","(no cost centre)",H212&amp;" - GL "&amp;IFERROR(INDEX(lst_CCtoGL,MATCH(H212,lst_CCforGL,0)),"?")))</f>
        <v/>
      </c>
      <c r="R212" s="37" t="n"/>
      <c r="S212" s="10">
        <f>IF(R212="","",HYPERLINK(IF(LEFT(R212,4)="http",R212,set_QwilrBase&amp;R212),"Open quote"))</f>
        <v/>
      </c>
      <c r="T212" s="39" t="n"/>
      <c r="U212" s="39" t="n"/>
      <c r="V212" s="39" t="n"/>
      <c r="W212" s="10">
        <f>IF(C212="","",IF(N(T212)+N(U212)+N(V212)=0,"Not split",IF(ROUND(N(T212)+N(U212)+N(V212),2)=ROUND(MAX(N(L212),N(O212)),2),"OK","MISMATCH")))</f>
        <v/>
      </c>
      <c r="X212" s="39" t="n"/>
      <c r="Y212" s="39" t="n"/>
      <c r="Z212" s="39" t="n"/>
      <c r="AA212" s="11">
        <f>IF(C212="","",N(X212)+N(Y212)+N(Z212))</f>
        <v/>
      </c>
      <c r="AB212" s="11">
        <f>IF(C212="","",MAX(N(L212),N(O212))-N(AA212))</f>
        <v/>
      </c>
      <c r="AC212" s="43">
        <f>IFERROR(IF(MAX(N(L212),N(O212))=0,"",AB212/MAX(N(L212),N(O212))),"")</f>
        <v/>
      </c>
      <c r="AD212" s="37" t="n"/>
      <c r="AE212" s="10" t="inlineStr">
        <is>
          <t>CON-0208</t>
        </is>
      </c>
    </row>
    <row r="213">
      <c r="A213" s="16">
        <f>IF($C213="","",IFERROR(IF(INDEX(tbl_Finance[Latest Invoice Date],MATCH($AE213,tbl_Finance[Row ID],0))="","",INDEX(tbl_Finance[Latest Invoice Date],MATCH($AE213,tbl_Finance[Row ID],0))),""))</f>
        <v/>
      </c>
      <c r="B213" s="10">
        <f>IF($C213="","",IFERROR(INDEX(tbl_Finance[Invoice Numbers],MATCH($AE213,tbl_Finance[Row ID],0))&amp;"",""))</f>
        <v/>
      </c>
      <c r="C213" s="37" t="n"/>
      <c r="D213" s="10">
        <f>IF($C213="","",IF(COUNTIF(lst_Jobs,$C213&amp;"")&gt;0,"OK","CHECK"))</f>
        <v/>
      </c>
      <c r="E213" s="10">
        <f>IF($C213="","",IFERROR(INDEX(lst_JobName,MATCH($C213&amp;"",lst_Jobs,0)),""))</f>
        <v/>
      </c>
      <c r="F213" s="37" t="n"/>
      <c r="G213" s="37" t="n"/>
      <c r="H213" s="37" t="n"/>
      <c r="I213" s="37" t="n"/>
      <c r="J213" s="37" t="n"/>
      <c r="K213" s="38">
        <f>IF($C213="","",IFERROR(N(INDEX(tbl_Finance[Invoice Count],MATCH($AE213,tbl_Finance[Row ID],0))),""))</f>
        <v/>
      </c>
      <c r="L213" s="11">
        <f>IF($C213="","",IFERROR(N(INDEX(tbl_Finance[Xero Invoiced Ex GST],MATCH($AE213,tbl_Finance[Row ID],0))),""))</f>
        <v/>
      </c>
      <c r="M213" s="10">
        <f>IF($C213="","",IFERROR(INDEX(tbl_Finance[Compare],MATCH($AE213,tbl_Finance[Row ID],0))&amp;"",""))</f>
        <v/>
      </c>
      <c r="N213" s="11">
        <f>IF($C213="","",MAX(0,N(O213)-N(L213)))</f>
        <v/>
      </c>
      <c r="O213" s="39" t="n"/>
      <c r="P213" s="40">
        <f>IF($C213="","",IF((IF(F213="",", Client","")&amp;IF(G213="",", Description","")&amp;IF(H213="",", Cost Centre","")&amp;IF(I213="",", Invoice Type","")&amp;IF(J213="",", Tax Code","")&amp;IF(O213="",", Expected Revenue","")&amp;IF(COUNTIF(tbl_Finance[Job Number],$C213&amp;"")&gt;1,", Job number used twice",""))="","Complete","Fix: "&amp;MID(IF(F213="",", Client","")&amp;IF(G213="",", Description","")&amp;IF(H213="",", Cost Centre","")&amp;IF(I213="",", Invoice Type","")&amp;IF(J213="",", Tax Code","")&amp;IF(O213="",", Expected Revenue","")&amp;IF(COUNTIF(tbl_Finance[Job Number],$C213&amp;"")&gt;1,", Job number used twice",""),3,300)))</f>
        <v/>
      </c>
      <c r="Q213" s="10">
        <f>IF($C213="","",IF(H213="","(no cost centre)",H213&amp;" - GL "&amp;IFERROR(INDEX(lst_CCtoGL,MATCH(H213,lst_CCforGL,0)),"?")))</f>
        <v/>
      </c>
      <c r="R213" s="37" t="n"/>
      <c r="S213" s="10">
        <f>IF(R213="","",HYPERLINK(IF(LEFT(R213,4)="http",R213,set_QwilrBase&amp;R213),"Open quote"))</f>
        <v/>
      </c>
      <c r="T213" s="39" t="n"/>
      <c r="U213" s="39" t="n"/>
      <c r="V213" s="39" t="n"/>
      <c r="W213" s="10">
        <f>IF(C213="","",IF(N(T213)+N(U213)+N(V213)=0,"Not split",IF(ROUND(N(T213)+N(U213)+N(V213),2)=ROUND(MAX(N(L213),N(O213)),2),"OK","MISMATCH")))</f>
        <v/>
      </c>
      <c r="X213" s="39" t="n"/>
      <c r="Y213" s="39" t="n"/>
      <c r="Z213" s="39" t="n"/>
      <c r="AA213" s="11">
        <f>IF(C213="","",N(X213)+N(Y213)+N(Z213))</f>
        <v/>
      </c>
      <c r="AB213" s="11">
        <f>IF(C213="","",MAX(N(L213),N(O213))-N(AA213))</f>
        <v/>
      </c>
      <c r="AC213" s="43">
        <f>IFERROR(IF(MAX(N(L213),N(O213))=0,"",AB213/MAX(N(L213),N(O213))),"")</f>
        <v/>
      </c>
      <c r="AD213" s="37" t="n"/>
      <c r="AE213" s="10" t="inlineStr">
        <is>
          <t>CON-0209</t>
        </is>
      </c>
    </row>
    <row r="214">
      <c r="A214" s="16">
        <f>IF($C214="","",IFERROR(IF(INDEX(tbl_Finance[Latest Invoice Date],MATCH($AE214,tbl_Finance[Row ID],0))="","",INDEX(tbl_Finance[Latest Invoice Date],MATCH($AE214,tbl_Finance[Row ID],0))),""))</f>
        <v/>
      </c>
      <c r="B214" s="10">
        <f>IF($C214="","",IFERROR(INDEX(tbl_Finance[Invoice Numbers],MATCH($AE214,tbl_Finance[Row ID],0))&amp;"",""))</f>
        <v/>
      </c>
      <c r="C214" s="37" t="n"/>
      <c r="D214" s="10">
        <f>IF($C214="","",IF(COUNTIF(lst_Jobs,$C214&amp;"")&gt;0,"OK","CHECK"))</f>
        <v/>
      </c>
      <c r="E214" s="10">
        <f>IF($C214="","",IFERROR(INDEX(lst_JobName,MATCH($C214&amp;"",lst_Jobs,0)),""))</f>
        <v/>
      </c>
      <c r="F214" s="37" t="n"/>
      <c r="G214" s="37" t="n"/>
      <c r="H214" s="37" t="n"/>
      <c r="I214" s="37" t="n"/>
      <c r="J214" s="37" t="n"/>
      <c r="K214" s="38">
        <f>IF($C214="","",IFERROR(N(INDEX(tbl_Finance[Invoice Count],MATCH($AE214,tbl_Finance[Row ID],0))),""))</f>
        <v/>
      </c>
      <c r="L214" s="11">
        <f>IF($C214="","",IFERROR(N(INDEX(tbl_Finance[Xero Invoiced Ex GST],MATCH($AE214,tbl_Finance[Row ID],0))),""))</f>
        <v/>
      </c>
      <c r="M214" s="10">
        <f>IF($C214="","",IFERROR(INDEX(tbl_Finance[Compare],MATCH($AE214,tbl_Finance[Row ID],0))&amp;"",""))</f>
        <v/>
      </c>
      <c r="N214" s="11">
        <f>IF($C214="","",MAX(0,N(O214)-N(L214)))</f>
        <v/>
      </c>
      <c r="O214" s="39" t="n"/>
      <c r="P214" s="40">
        <f>IF($C214="","",IF((IF(F214="",", Client","")&amp;IF(G214="",", Description","")&amp;IF(H214="",", Cost Centre","")&amp;IF(I214="",", Invoice Type","")&amp;IF(J214="",", Tax Code","")&amp;IF(O214="",", Expected Revenue","")&amp;IF(COUNTIF(tbl_Finance[Job Number],$C214&amp;"")&gt;1,", Job number used twice",""))="","Complete","Fix: "&amp;MID(IF(F214="",", Client","")&amp;IF(G214="",", Description","")&amp;IF(H214="",", Cost Centre","")&amp;IF(I214="",", Invoice Type","")&amp;IF(J214="",", Tax Code","")&amp;IF(O214="",", Expected Revenue","")&amp;IF(COUNTIF(tbl_Finance[Job Number],$C214&amp;"")&gt;1,", Job number used twice",""),3,300)))</f>
        <v/>
      </c>
      <c r="Q214" s="10">
        <f>IF($C214="","",IF(H214="","(no cost centre)",H214&amp;" - GL "&amp;IFERROR(INDEX(lst_CCtoGL,MATCH(H214,lst_CCforGL,0)),"?")))</f>
        <v/>
      </c>
      <c r="R214" s="37" t="n"/>
      <c r="S214" s="10">
        <f>IF(R214="","",HYPERLINK(IF(LEFT(R214,4)="http",R214,set_QwilrBase&amp;R214),"Open quote"))</f>
        <v/>
      </c>
      <c r="T214" s="39" t="n"/>
      <c r="U214" s="39" t="n"/>
      <c r="V214" s="39" t="n"/>
      <c r="W214" s="10">
        <f>IF(C214="","",IF(N(T214)+N(U214)+N(V214)=0,"Not split",IF(ROUND(N(T214)+N(U214)+N(V214),2)=ROUND(MAX(N(L214),N(O214)),2),"OK","MISMATCH")))</f>
        <v/>
      </c>
      <c r="X214" s="39" t="n"/>
      <c r="Y214" s="39" t="n"/>
      <c r="Z214" s="39" t="n"/>
      <c r="AA214" s="11">
        <f>IF(C214="","",N(X214)+N(Y214)+N(Z214))</f>
        <v/>
      </c>
      <c r="AB214" s="11">
        <f>IF(C214="","",MAX(N(L214),N(O214))-N(AA214))</f>
        <v/>
      </c>
      <c r="AC214" s="43">
        <f>IFERROR(IF(MAX(N(L214),N(O214))=0,"",AB214/MAX(N(L214),N(O214))),"")</f>
        <v/>
      </c>
      <c r="AD214" s="37" t="n"/>
      <c r="AE214" s="10" t="inlineStr">
        <is>
          <t>CON-0210</t>
        </is>
      </c>
    </row>
    <row r="215">
      <c r="A215" s="16">
        <f>IF($C215="","",IFERROR(IF(INDEX(tbl_Finance[Latest Invoice Date],MATCH($AE215,tbl_Finance[Row ID],0))="","",INDEX(tbl_Finance[Latest Invoice Date],MATCH($AE215,tbl_Finance[Row ID],0))),""))</f>
        <v/>
      </c>
      <c r="B215" s="10">
        <f>IF($C215="","",IFERROR(INDEX(tbl_Finance[Invoice Numbers],MATCH($AE215,tbl_Finance[Row ID],0))&amp;"",""))</f>
        <v/>
      </c>
      <c r="C215" s="37" t="n"/>
      <c r="D215" s="10">
        <f>IF($C215="","",IF(COUNTIF(lst_Jobs,$C215&amp;"")&gt;0,"OK","CHECK"))</f>
        <v/>
      </c>
      <c r="E215" s="10">
        <f>IF($C215="","",IFERROR(INDEX(lst_JobName,MATCH($C215&amp;"",lst_Jobs,0)),""))</f>
        <v/>
      </c>
      <c r="F215" s="37" t="n"/>
      <c r="G215" s="37" t="n"/>
      <c r="H215" s="37" t="n"/>
      <c r="I215" s="37" t="n"/>
      <c r="J215" s="37" t="n"/>
      <c r="K215" s="38">
        <f>IF($C215="","",IFERROR(N(INDEX(tbl_Finance[Invoice Count],MATCH($AE215,tbl_Finance[Row ID],0))),""))</f>
        <v/>
      </c>
      <c r="L215" s="11">
        <f>IF($C215="","",IFERROR(N(INDEX(tbl_Finance[Xero Invoiced Ex GST],MATCH($AE215,tbl_Finance[Row ID],0))),""))</f>
        <v/>
      </c>
      <c r="M215" s="10">
        <f>IF($C215="","",IFERROR(INDEX(tbl_Finance[Compare],MATCH($AE215,tbl_Finance[Row ID],0))&amp;"",""))</f>
        <v/>
      </c>
      <c r="N215" s="11">
        <f>IF($C215="","",MAX(0,N(O215)-N(L215)))</f>
        <v/>
      </c>
      <c r="O215" s="39" t="n"/>
      <c r="P215" s="40">
        <f>IF($C215="","",IF((IF(F215="",", Client","")&amp;IF(G215="",", Description","")&amp;IF(H215="",", Cost Centre","")&amp;IF(I215="",", Invoice Type","")&amp;IF(J215="",", Tax Code","")&amp;IF(O215="",", Expected Revenue","")&amp;IF(COUNTIF(tbl_Finance[Job Number],$C215&amp;"")&gt;1,", Job number used twice",""))="","Complete","Fix: "&amp;MID(IF(F215="",", Client","")&amp;IF(G215="",", Description","")&amp;IF(H215="",", Cost Centre","")&amp;IF(I215="",", Invoice Type","")&amp;IF(J215="",", Tax Code","")&amp;IF(O215="",", Expected Revenue","")&amp;IF(COUNTIF(tbl_Finance[Job Number],$C215&amp;"")&gt;1,", Job number used twice",""),3,300)))</f>
        <v/>
      </c>
      <c r="Q215" s="10">
        <f>IF($C215="","",IF(H215="","(no cost centre)",H215&amp;" - GL "&amp;IFERROR(INDEX(lst_CCtoGL,MATCH(H215,lst_CCforGL,0)),"?")))</f>
        <v/>
      </c>
      <c r="R215" s="37" t="n"/>
      <c r="S215" s="10">
        <f>IF(R215="","",HYPERLINK(IF(LEFT(R215,4)="http",R215,set_QwilrBase&amp;R215),"Open quote"))</f>
        <v/>
      </c>
      <c r="T215" s="39" t="n"/>
      <c r="U215" s="39" t="n"/>
      <c r="V215" s="39" t="n"/>
      <c r="W215" s="10">
        <f>IF(C215="","",IF(N(T215)+N(U215)+N(V215)=0,"Not split",IF(ROUND(N(T215)+N(U215)+N(V215),2)=ROUND(MAX(N(L215),N(O215)),2),"OK","MISMATCH")))</f>
        <v/>
      </c>
      <c r="X215" s="39" t="n"/>
      <c r="Y215" s="39" t="n"/>
      <c r="Z215" s="39" t="n"/>
      <c r="AA215" s="11">
        <f>IF(C215="","",N(X215)+N(Y215)+N(Z215))</f>
        <v/>
      </c>
      <c r="AB215" s="11">
        <f>IF(C215="","",MAX(N(L215),N(O215))-N(AA215))</f>
        <v/>
      </c>
      <c r="AC215" s="43">
        <f>IFERROR(IF(MAX(N(L215),N(O215))=0,"",AB215/MAX(N(L215),N(O215))),"")</f>
        <v/>
      </c>
      <c r="AD215" s="37" t="n"/>
      <c r="AE215" s="10" t="inlineStr">
        <is>
          <t>CON-0211</t>
        </is>
      </c>
    </row>
    <row r="216">
      <c r="A216" s="16">
        <f>IF($C216="","",IFERROR(IF(INDEX(tbl_Finance[Latest Invoice Date],MATCH($AE216,tbl_Finance[Row ID],0))="","",INDEX(tbl_Finance[Latest Invoice Date],MATCH($AE216,tbl_Finance[Row ID],0))),""))</f>
        <v/>
      </c>
      <c r="B216" s="10">
        <f>IF($C216="","",IFERROR(INDEX(tbl_Finance[Invoice Numbers],MATCH($AE216,tbl_Finance[Row ID],0))&amp;"",""))</f>
        <v/>
      </c>
      <c r="C216" s="37" t="n"/>
      <c r="D216" s="10">
        <f>IF($C216="","",IF(COUNTIF(lst_Jobs,$C216&amp;"")&gt;0,"OK","CHECK"))</f>
        <v/>
      </c>
      <c r="E216" s="10">
        <f>IF($C216="","",IFERROR(INDEX(lst_JobName,MATCH($C216&amp;"",lst_Jobs,0)),""))</f>
        <v/>
      </c>
      <c r="F216" s="37" t="n"/>
      <c r="G216" s="37" t="n"/>
      <c r="H216" s="37" t="n"/>
      <c r="I216" s="37" t="n"/>
      <c r="J216" s="37" t="n"/>
      <c r="K216" s="38">
        <f>IF($C216="","",IFERROR(N(INDEX(tbl_Finance[Invoice Count],MATCH($AE216,tbl_Finance[Row ID],0))),""))</f>
        <v/>
      </c>
      <c r="L216" s="11">
        <f>IF($C216="","",IFERROR(N(INDEX(tbl_Finance[Xero Invoiced Ex GST],MATCH($AE216,tbl_Finance[Row ID],0))),""))</f>
        <v/>
      </c>
      <c r="M216" s="10">
        <f>IF($C216="","",IFERROR(INDEX(tbl_Finance[Compare],MATCH($AE216,tbl_Finance[Row ID],0))&amp;"",""))</f>
        <v/>
      </c>
      <c r="N216" s="11">
        <f>IF($C216="","",MAX(0,N(O216)-N(L216)))</f>
        <v/>
      </c>
      <c r="O216" s="39" t="n"/>
      <c r="P216" s="40">
        <f>IF($C216="","",IF((IF(F216="",", Client","")&amp;IF(G216="",", Description","")&amp;IF(H216="",", Cost Centre","")&amp;IF(I216="",", Invoice Type","")&amp;IF(J216="",", Tax Code","")&amp;IF(O216="",", Expected Revenue","")&amp;IF(COUNTIF(tbl_Finance[Job Number],$C216&amp;"")&gt;1,", Job number used twice",""))="","Complete","Fix: "&amp;MID(IF(F216="",", Client","")&amp;IF(G216="",", Description","")&amp;IF(H216="",", Cost Centre","")&amp;IF(I216="",", Invoice Type","")&amp;IF(J216="",", Tax Code","")&amp;IF(O216="",", Expected Revenue","")&amp;IF(COUNTIF(tbl_Finance[Job Number],$C216&amp;"")&gt;1,", Job number used twice",""),3,300)))</f>
        <v/>
      </c>
      <c r="Q216" s="10">
        <f>IF($C216="","",IF(H216="","(no cost centre)",H216&amp;" - GL "&amp;IFERROR(INDEX(lst_CCtoGL,MATCH(H216,lst_CCforGL,0)),"?")))</f>
        <v/>
      </c>
      <c r="R216" s="37" t="n"/>
      <c r="S216" s="10">
        <f>IF(R216="","",HYPERLINK(IF(LEFT(R216,4)="http",R216,set_QwilrBase&amp;R216),"Open quote"))</f>
        <v/>
      </c>
      <c r="T216" s="39" t="n"/>
      <c r="U216" s="39" t="n"/>
      <c r="V216" s="39" t="n"/>
      <c r="W216" s="10">
        <f>IF(C216="","",IF(N(T216)+N(U216)+N(V216)=0,"Not split",IF(ROUND(N(T216)+N(U216)+N(V216),2)=ROUND(MAX(N(L216),N(O216)),2),"OK","MISMATCH")))</f>
        <v/>
      </c>
      <c r="X216" s="39" t="n"/>
      <c r="Y216" s="39" t="n"/>
      <c r="Z216" s="39" t="n"/>
      <c r="AA216" s="11">
        <f>IF(C216="","",N(X216)+N(Y216)+N(Z216))</f>
        <v/>
      </c>
      <c r="AB216" s="11">
        <f>IF(C216="","",MAX(N(L216),N(O216))-N(AA216))</f>
        <v/>
      </c>
      <c r="AC216" s="43">
        <f>IFERROR(IF(MAX(N(L216),N(O216))=0,"",AB216/MAX(N(L216),N(O216))),"")</f>
        <v/>
      </c>
      <c r="AD216" s="37" t="n"/>
      <c r="AE216" s="10" t="inlineStr">
        <is>
          <t>CON-0212</t>
        </is>
      </c>
    </row>
    <row r="217">
      <c r="A217" s="16">
        <f>IF($C217="","",IFERROR(IF(INDEX(tbl_Finance[Latest Invoice Date],MATCH($AE217,tbl_Finance[Row ID],0))="","",INDEX(tbl_Finance[Latest Invoice Date],MATCH($AE217,tbl_Finance[Row ID],0))),""))</f>
        <v/>
      </c>
      <c r="B217" s="10">
        <f>IF($C217="","",IFERROR(INDEX(tbl_Finance[Invoice Numbers],MATCH($AE217,tbl_Finance[Row ID],0))&amp;"",""))</f>
        <v/>
      </c>
      <c r="C217" s="37" t="n"/>
      <c r="D217" s="10">
        <f>IF($C217="","",IF(COUNTIF(lst_Jobs,$C217&amp;"")&gt;0,"OK","CHECK"))</f>
        <v/>
      </c>
      <c r="E217" s="10">
        <f>IF($C217="","",IFERROR(INDEX(lst_JobName,MATCH($C217&amp;"",lst_Jobs,0)),""))</f>
        <v/>
      </c>
      <c r="F217" s="37" t="n"/>
      <c r="G217" s="37" t="n"/>
      <c r="H217" s="37" t="n"/>
      <c r="I217" s="37" t="n"/>
      <c r="J217" s="37" t="n"/>
      <c r="K217" s="38">
        <f>IF($C217="","",IFERROR(N(INDEX(tbl_Finance[Invoice Count],MATCH($AE217,tbl_Finance[Row ID],0))),""))</f>
        <v/>
      </c>
      <c r="L217" s="11">
        <f>IF($C217="","",IFERROR(N(INDEX(tbl_Finance[Xero Invoiced Ex GST],MATCH($AE217,tbl_Finance[Row ID],0))),""))</f>
        <v/>
      </c>
      <c r="M217" s="10">
        <f>IF($C217="","",IFERROR(INDEX(tbl_Finance[Compare],MATCH($AE217,tbl_Finance[Row ID],0))&amp;"",""))</f>
        <v/>
      </c>
      <c r="N217" s="11">
        <f>IF($C217="","",MAX(0,N(O217)-N(L217)))</f>
        <v/>
      </c>
      <c r="O217" s="39" t="n"/>
      <c r="P217" s="40">
        <f>IF($C217="","",IF((IF(F217="",", Client","")&amp;IF(G217="",", Description","")&amp;IF(H217="",", Cost Centre","")&amp;IF(I217="",", Invoice Type","")&amp;IF(J217="",", Tax Code","")&amp;IF(O217="",", Expected Revenue","")&amp;IF(COUNTIF(tbl_Finance[Job Number],$C217&amp;"")&gt;1,", Job number used twice",""))="","Complete","Fix: "&amp;MID(IF(F217="",", Client","")&amp;IF(G217="",", Description","")&amp;IF(H217="",", Cost Centre","")&amp;IF(I217="",", Invoice Type","")&amp;IF(J217="",", Tax Code","")&amp;IF(O217="",", Expected Revenue","")&amp;IF(COUNTIF(tbl_Finance[Job Number],$C217&amp;"")&gt;1,", Job number used twice",""),3,300)))</f>
        <v/>
      </c>
      <c r="Q217" s="10">
        <f>IF($C217="","",IF(H217="","(no cost centre)",H217&amp;" - GL "&amp;IFERROR(INDEX(lst_CCtoGL,MATCH(H217,lst_CCforGL,0)),"?")))</f>
        <v/>
      </c>
      <c r="R217" s="37" t="n"/>
      <c r="S217" s="10">
        <f>IF(R217="","",HYPERLINK(IF(LEFT(R217,4)="http",R217,set_QwilrBase&amp;R217),"Open quote"))</f>
        <v/>
      </c>
      <c r="T217" s="39" t="n"/>
      <c r="U217" s="39" t="n"/>
      <c r="V217" s="39" t="n"/>
      <c r="W217" s="10">
        <f>IF(C217="","",IF(N(T217)+N(U217)+N(V217)=0,"Not split",IF(ROUND(N(T217)+N(U217)+N(V217),2)=ROUND(MAX(N(L217),N(O217)),2),"OK","MISMATCH")))</f>
        <v/>
      </c>
      <c r="X217" s="39" t="n"/>
      <c r="Y217" s="39" t="n"/>
      <c r="Z217" s="39" t="n"/>
      <c r="AA217" s="11">
        <f>IF(C217="","",N(X217)+N(Y217)+N(Z217))</f>
        <v/>
      </c>
      <c r="AB217" s="11">
        <f>IF(C217="","",MAX(N(L217),N(O217))-N(AA217))</f>
        <v/>
      </c>
      <c r="AC217" s="43">
        <f>IFERROR(IF(MAX(N(L217),N(O217))=0,"",AB217/MAX(N(L217),N(O217))),"")</f>
        <v/>
      </c>
      <c r="AD217" s="37" t="n"/>
      <c r="AE217" s="10" t="inlineStr">
        <is>
          <t>CON-0213</t>
        </is>
      </c>
    </row>
    <row r="218">
      <c r="A218" s="16">
        <f>IF($C218="","",IFERROR(IF(INDEX(tbl_Finance[Latest Invoice Date],MATCH($AE218,tbl_Finance[Row ID],0))="","",INDEX(tbl_Finance[Latest Invoice Date],MATCH($AE218,tbl_Finance[Row ID],0))),""))</f>
        <v/>
      </c>
      <c r="B218" s="10">
        <f>IF($C218="","",IFERROR(INDEX(tbl_Finance[Invoice Numbers],MATCH($AE218,tbl_Finance[Row ID],0))&amp;"",""))</f>
        <v/>
      </c>
      <c r="C218" s="37" t="n"/>
      <c r="D218" s="10">
        <f>IF($C218="","",IF(COUNTIF(lst_Jobs,$C218&amp;"")&gt;0,"OK","CHECK"))</f>
        <v/>
      </c>
      <c r="E218" s="10">
        <f>IF($C218="","",IFERROR(INDEX(lst_JobName,MATCH($C218&amp;"",lst_Jobs,0)),""))</f>
        <v/>
      </c>
      <c r="F218" s="37" t="n"/>
      <c r="G218" s="37" t="n"/>
      <c r="H218" s="37" t="n"/>
      <c r="I218" s="37" t="n"/>
      <c r="J218" s="37" t="n"/>
      <c r="K218" s="38">
        <f>IF($C218="","",IFERROR(N(INDEX(tbl_Finance[Invoice Count],MATCH($AE218,tbl_Finance[Row ID],0))),""))</f>
        <v/>
      </c>
      <c r="L218" s="11">
        <f>IF($C218="","",IFERROR(N(INDEX(tbl_Finance[Xero Invoiced Ex GST],MATCH($AE218,tbl_Finance[Row ID],0))),""))</f>
        <v/>
      </c>
      <c r="M218" s="10">
        <f>IF($C218="","",IFERROR(INDEX(tbl_Finance[Compare],MATCH($AE218,tbl_Finance[Row ID],0))&amp;"",""))</f>
        <v/>
      </c>
      <c r="N218" s="11">
        <f>IF($C218="","",MAX(0,N(O218)-N(L218)))</f>
        <v/>
      </c>
      <c r="O218" s="39" t="n"/>
      <c r="P218" s="40">
        <f>IF($C218="","",IF((IF(F218="",", Client","")&amp;IF(G218="",", Description","")&amp;IF(H218="",", Cost Centre","")&amp;IF(I218="",", Invoice Type","")&amp;IF(J218="",", Tax Code","")&amp;IF(O218="",", Expected Revenue","")&amp;IF(COUNTIF(tbl_Finance[Job Number],$C218&amp;"")&gt;1,", Job number used twice",""))="","Complete","Fix: "&amp;MID(IF(F218="",", Client","")&amp;IF(G218="",", Description","")&amp;IF(H218="",", Cost Centre","")&amp;IF(I218="",", Invoice Type","")&amp;IF(J218="",", Tax Code","")&amp;IF(O218="",", Expected Revenue","")&amp;IF(COUNTIF(tbl_Finance[Job Number],$C218&amp;"")&gt;1,", Job number used twice",""),3,300)))</f>
        <v/>
      </c>
      <c r="Q218" s="10">
        <f>IF($C218="","",IF(H218="","(no cost centre)",H218&amp;" - GL "&amp;IFERROR(INDEX(lst_CCtoGL,MATCH(H218,lst_CCforGL,0)),"?")))</f>
        <v/>
      </c>
      <c r="R218" s="37" t="n"/>
      <c r="S218" s="10">
        <f>IF(R218="","",HYPERLINK(IF(LEFT(R218,4)="http",R218,set_QwilrBase&amp;R218),"Open quote"))</f>
        <v/>
      </c>
      <c r="T218" s="39" t="n"/>
      <c r="U218" s="39" t="n"/>
      <c r="V218" s="39" t="n"/>
      <c r="W218" s="10">
        <f>IF(C218="","",IF(N(T218)+N(U218)+N(V218)=0,"Not split",IF(ROUND(N(T218)+N(U218)+N(V218),2)=ROUND(MAX(N(L218),N(O218)),2),"OK","MISMATCH")))</f>
        <v/>
      </c>
      <c r="X218" s="39" t="n"/>
      <c r="Y218" s="39" t="n"/>
      <c r="Z218" s="39" t="n"/>
      <c r="AA218" s="11">
        <f>IF(C218="","",N(X218)+N(Y218)+N(Z218))</f>
        <v/>
      </c>
      <c r="AB218" s="11">
        <f>IF(C218="","",MAX(N(L218),N(O218))-N(AA218))</f>
        <v/>
      </c>
      <c r="AC218" s="43">
        <f>IFERROR(IF(MAX(N(L218),N(O218))=0,"",AB218/MAX(N(L218),N(O218))),"")</f>
        <v/>
      </c>
      <c r="AD218" s="37" t="n"/>
      <c r="AE218" s="10" t="inlineStr">
        <is>
          <t>CON-0214</t>
        </is>
      </c>
    </row>
    <row r="219">
      <c r="A219" s="16">
        <f>IF($C219="","",IFERROR(IF(INDEX(tbl_Finance[Latest Invoice Date],MATCH($AE219,tbl_Finance[Row ID],0))="","",INDEX(tbl_Finance[Latest Invoice Date],MATCH($AE219,tbl_Finance[Row ID],0))),""))</f>
        <v/>
      </c>
      <c r="B219" s="10">
        <f>IF($C219="","",IFERROR(INDEX(tbl_Finance[Invoice Numbers],MATCH($AE219,tbl_Finance[Row ID],0))&amp;"",""))</f>
        <v/>
      </c>
      <c r="C219" s="37" t="n"/>
      <c r="D219" s="10">
        <f>IF($C219="","",IF(COUNTIF(lst_Jobs,$C219&amp;"")&gt;0,"OK","CHECK"))</f>
        <v/>
      </c>
      <c r="E219" s="10">
        <f>IF($C219="","",IFERROR(INDEX(lst_JobName,MATCH($C219&amp;"",lst_Jobs,0)),""))</f>
        <v/>
      </c>
      <c r="F219" s="37" t="n"/>
      <c r="G219" s="37" t="n"/>
      <c r="H219" s="37" t="n"/>
      <c r="I219" s="37" t="n"/>
      <c r="J219" s="37" t="n"/>
      <c r="K219" s="38">
        <f>IF($C219="","",IFERROR(N(INDEX(tbl_Finance[Invoice Count],MATCH($AE219,tbl_Finance[Row ID],0))),""))</f>
        <v/>
      </c>
      <c r="L219" s="11">
        <f>IF($C219="","",IFERROR(N(INDEX(tbl_Finance[Xero Invoiced Ex GST],MATCH($AE219,tbl_Finance[Row ID],0))),""))</f>
        <v/>
      </c>
      <c r="M219" s="10">
        <f>IF($C219="","",IFERROR(INDEX(tbl_Finance[Compare],MATCH($AE219,tbl_Finance[Row ID],0))&amp;"",""))</f>
        <v/>
      </c>
      <c r="N219" s="11">
        <f>IF($C219="","",MAX(0,N(O219)-N(L219)))</f>
        <v/>
      </c>
      <c r="O219" s="39" t="n"/>
      <c r="P219" s="40">
        <f>IF($C219="","",IF((IF(F219="",", Client","")&amp;IF(G219="",", Description","")&amp;IF(H219="",", Cost Centre","")&amp;IF(I219="",", Invoice Type","")&amp;IF(J219="",", Tax Code","")&amp;IF(O219="",", Expected Revenue","")&amp;IF(COUNTIF(tbl_Finance[Job Number],$C219&amp;"")&gt;1,", Job number used twice",""))="","Complete","Fix: "&amp;MID(IF(F219="",", Client","")&amp;IF(G219="",", Description","")&amp;IF(H219="",", Cost Centre","")&amp;IF(I219="",", Invoice Type","")&amp;IF(J219="",", Tax Code","")&amp;IF(O219="",", Expected Revenue","")&amp;IF(COUNTIF(tbl_Finance[Job Number],$C219&amp;"")&gt;1,", Job number used twice",""),3,300)))</f>
        <v/>
      </c>
      <c r="Q219" s="10">
        <f>IF($C219="","",IF(H219="","(no cost centre)",H219&amp;" - GL "&amp;IFERROR(INDEX(lst_CCtoGL,MATCH(H219,lst_CCforGL,0)),"?")))</f>
        <v/>
      </c>
      <c r="R219" s="37" t="n"/>
      <c r="S219" s="10">
        <f>IF(R219="","",HYPERLINK(IF(LEFT(R219,4)="http",R219,set_QwilrBase&amp;R219),"Open quote"))</f>
        <v/>
      </c>
      <c r="T219" s="39" t="n"/>
      <c r="U219" s="39" t="n"/>
      <c r="V219" s="39" t="n"/>
      <c r="W219" s="10">
        <f>IF(C219="","",IF(N(T219)+N(U219)+N(V219)=0,"Not split",IF(ROUND(N(T219)+N(U219)+N(V219),2)=ROUND(MAX(N(L219),N(O219)),2),"OK","MISMATCH")))</f>
        <v/>
      </c>
      <c r="X219" s="39" t="n"/>
      <c r="Y219" s="39" t="n"/>
      <c r="Z219" s="39" t="n"/>
      <c r="AA219" s="11">
        <f>IF(C219="","",N(X219)+N(Y219)+N(Z219))</f>
        <v/>
      </c>
      <c r="AB219" s="11">
        <f>IF(C219="","",MAX(N(L219),N(O219))-N(AA219))</f>
        <v/>
      </c>
      <c r="AC219" s="43">
        <f>IFERROR(IF(MAX(N(L219),N(O219))=0,"",AB219/MAX(N(L219),N(O219))),"")</f>
        <v/>
      </c>
      <c r="AD219" s="37" t="n"/>
      <c r="AE219" s="10" t="inlineStr">
        <is>
          <t>CON-0215</t>
        </is>
      </c>
    </row>
    <row r="220">
      <c r="A220" s="16">
        <f>IF($C220="","",IFERROR(IF(INDEX(tbl_Finance[Latest Invoice Date],MATCH($AE220,tbl_Finance[Row ID],0))="","",INDEX(tbl_Finance[Latest Invoice Date],MATCH($AE220,tbl_Finance[Row ID],0))),""))</f>
        <v/>
      </c>
      <c r="B220" s="10">
        <f>IF($C220="","",IFERROR(INDEX(tbl_Finance[Invoice Numbers],MATCH($AE220,tbl_Finance[Row ID],0))&amp;"",""))</f>
        <v/>
      </c>
      <c r="C220" s="37" t="n"/>
      <c r="D220" s="10">
        <f>IF($C220="","",IF(COUNTIF(lst_Jobs,$C220&amp;"")&gt;0,"OK","CHECK"))</f>
        <v/>
      </c>
      <c r="E220" s="10">
        <f>IF($C220="","",IFERROR(INDEX(lst_JobName,MATCH($C220&amp;"",lst_Jobs,0)),""))</f>
        <v/>
      </c>
      <c r="F220" s="37" t="n"/>
      <c r="G220" s="37" t="n"/>
      <c r="H220" s="37" t="n"/>
      <c r="I220" s="37" t="n"/>
      <c r="J220" s="37" t="n"/>
      <c r="K220" s="38">
        <f>IF($C220="","",IFERROR(N(INDEX(tbl_Finance[Invoice Count],MATCH($AE220,tbl_Finance[Row ID],0))),""))</f>
        <v/>
      </c>
      <c r="L220" s="11">
        <f>IF($C220="","",IFERROR(N(INDEX(tbl_Finance[Xero Invoiced Ex GST],MATCH($AE220,tbl_Finance[Row ID],0))),""))</f>
        <v/>
      </c>
      <c r="M220" s="10">
        <f>IF($C220="","",IFERROR(INDEX(tbl_Finance[Compare],MATCH($AE220,tbl_Finance[Row ID],0))&amp;"",""))</f>
        <v/>
      </c>
      <c r="N220" s="11">
        <f>IF($C220="","",MAX(0,N(O220)-N(L220)))</f>
        <v/>
      </c>
      <c r="O220" s="39" t="n"/>
      <c r="P220" s="40">
        <f>IF($C220="","",IF((IF(F220="",", Client","")&amp;IF(G220="",", Description","")&amp;IF(H220="",", Cost Centre","")&amp;IF(I220="",", Invoice Type","")&amp;IF(J220="",", Tax Code","")&amp;IF(O220="",", Expected Revenue","")&amp;IF(COUNTIF(tbl_Finance[Job Number],$C220&amp;"")&gt;1,", Job number used twice",""))="","Complete","Fix: "&amp;MID(IF(F220="",", Client","")&amp;IF(G220="",", Description","")&amp;IF(H220="",", Cost Centre","")&amp;IF(I220="",", Invoice Type","")&amp;IF(J220="",", Tax Code","")&amp;IF(O220="",", Expected Revenue","")&amp;IF(COUNTIF(tbl_Finance[Job Number],$C220&amp;"")&gt;1,", Job number used twice",""),3,300)))</f>
        <v/>
      </c>
      <c r="Q220" s="10">
        <f>IF($C220="","",IF(H220="","(no cost centre)",H220&amp;" - GL "&amp;IFERROR(INDEX(lst_CCtoGL,MATCH(H220,lst_CCforGL,0)),"?")))</f>
        <v/>
      </c>
      <c r="R220" s="37" t="n"/>
      <c r="S220" s="10">
        <f>IF(R220="","",HYPERLINK(IF(LEFT(R220,4)="http",R220,set_QwilrBase&amp;R220),"Open quote"))</f>
        <v/>
      </c>
      <c r="T220" s="39" t="n"/>
      <c r="U220" s="39" t="n"/>
      <c r="V220" s="39" t="n"/>
      <c r="W220" s="10">
        <f>IF(C220="","",IF(N(T220)+N(U220)+N(V220)=0,"Not split",IF(ROUND(N(T220)+N(U220)+N(V220),2)=ROUND(MAX(N(L220),N(O220)),2),"OK","MISMATCH")))</f>
        <v/>
      </c>
      <c r="X220" s="39" t="n"/>
      <c r="Y220" s="39" t="n"/>
      <c r="Z220" s="39" t="n"/>
      <c r="AA220" s="11">
        <f>IF(C220="","",N(X220)+N(Y220)+N(Z220))</f>
        <v/>
      </c>
      <c r="AB220" s="11">
        <f>IF(C220="","",MAX(N(L220),N(O220))-N(AA220))</f>
        <v/>
      </c>
      <c r="AC220" s="43">
        <f>IFERROR(IF(MAX(N(L220),N(O220))=0,"",AB220/MAX(N(L220),N(O220))),"")</f>
        <v/>
      </c>
      <c r="AD220" s="37" t="n"/>
      <c r="AE220" s="10" t="inlineStr">
        <is>
          <t>CON-0216</t>
        </is>
      </c>
    </row>
    <row r="221">
      <c r="A221" s="16">
        <f>IF($C221="","",IFERROR(IF(INDEX(tbl_Finance[Latest Invoice Date],MATCH($AE221,tbl_Finance[Row ID],0))="","",INDEX(tbl_Finance[Latest Invoice Date],MATCH($AE221,tbl_Finance[Row ID],0))),""))</f>
        <v/>
      </c>
      <c r="B221" s="10">
        <f>IF($C221="","",IFERROR(INDEX(tbl_Finance[Invoice Numbers],MATCH($AE221,tbl_Finance[Row ID],0))&amp;"",""))</f>
        <v/>
      </c>
      <c r="C221" s="37" t="n"/>
      <c r="D221" s="10">
        <f>IF($C221="","",IF(COUNTIF(lst_Jobs,$C221&amp;"")&gt;0,"OK","CHECK"))</f>
        <v/>
      </c>
      <c r="E221" s="10">
        <f>IF($C221="","",IFERROR(INDEX(lst_JobName,MATCH($C221&amp;"",lst_Jobs,0)),""))</f>
        <v/>
      </c>
      <c r="F221" s="37" t="n"/>
      <c r="G221" s="37" t="n"/>
      <c r="H221" s="37" t="n"/>
      <c r="I221" s="37" t="n"/>
      <c r="J221" s="37" t="n"/>
      <c r="K221" s="38">
        <f>IF($C221="","",IFERROR(N(INDEX(tbl_Finance[Invoice Count],MATCH($AE221,tbl_Finance[Row ID],0))),""))</f>
        <v/>
      </c>
      <c r="L221" s="11">
        <f>IF($C221="","",IFERROR(N(INDEX(tbl_Finance[Xero Invoiced Ex GST],MATCH($AE221,tbl_Finance[Row ID],0))),""))</f>
        <v/>
      </c>
      <c r="M221" s="10">
        <f>IF($C221="","",IFERROR(INDEX(tbl_Finance[Compare],MATCH($AE221,tbl_Finance[Row ID],0))&amp;"",""))</f>
        <v/>
      </c>
      <c r="N221" s="11">
        <f>IF($C221="","",MAX(0,N(O221)-N(L221)))</f>
        <v/>
      </c>
      <c r="O221" s="39" t="n"/>
      <c r="P221" s="40">
        <f>IF($C221="","",IF((IF(F221="",", Client","")&amp;IF(G221="",", Description","")&amp;IF(H221="",", Cost Centre","")&amp;IF(I221="",", Invoice Type","")&amp;IF(J221="",", Tax Code","")&amp;IF(O221="",", Expected Revenue","")&amp;IF(COUNTIF(tbl_Finance[Job Number],$C221&amp;"")&gt;1,", Job number used twice",""))="","Complete","Fix: "&amp;MID(IF(F221="",", Client","")&amp;IF(G221="",", Description","")&amp;IF(H221="",", Cost Centre","")&amp;IF(I221="",", Invoice Type","")&amp;IF(J221="",", Tax Code","")&amp;IF(O221="",", Expected Revenue","")&amp;IF(COUNTIF(tbl_Finance[Job Number],$C221&amp;"")&gt;1,", Job number used twice",""),3,300)))</f>
        <v/>
      </c>
      <c r="Q221" s="10">
        <f>IF($C221="","",IF(H221="","(no cost centre)",H221&amp;" - GL "&amp;IFERROR(INDEX(lst_CCtoGL,MATCH(H221,lst_CCforGL,0)),"?")))</f>
        <v/>
      </c>
      <c r="R221" s="37" t="n"/>
      <c r="S221" s="10">
        <f>IF(R221="","",HYPERLINK(IF(LEFT(R221,4)="http",R221,set_QwilrBase&amp;R221),"Open quote"))</f>
        <v/>
      </c>
      <c r="T221" s="39" t="n"/>
      <c r="U221" s="39" t="n"/>
      <c r="V221" s="39" t="n"/>
      <c r="W221" s="10">
        <f>IF(C221="","",IF(N(T221)+N(U221)+N(V221)=0,"Not split",IF(ROUND(N(T221)+N(U221)+N(V221),2)=ROUND(MAX(N(L221),N(O221)),2),"OK","MISMATCH")))</f>
        <v/>
      </c>
      <c r="X221" s="39" t="n"/>
      <c r="Y221" s="39" t="n"/>
      <c r="Z221" s="39" t="n"/>
      <c r="AA221" s="11">
        <f>IF(C221="","",N(X221)+N(Y221)+N(Z221))</f>
        <v/>
      </c>
      <c r="AB221" s="11">
        <f>IF(C221="","",MAX(N(L221),N(O221))-N(AA221))</f>
        <v/>
      </c>
      <c r="AC221" s="43">
        <f>IFERROR(IF(MAX(N(L221),N(O221))=0,"",AB221/MAX(N(L221),N(O221))),"")</f>
        <v/>
      </c>
      <c r="AD221" s="37" t="n"/>
      <c r="AE221" s="10" t="inlineStr">
        <is>
          <t>CON-0217</t>
        </is>
      </c>
    </row>
    <row r="222">
      <c r="A222" s="16">
        <f>IF($C222="","",IFERROR(IF(INDEX(tbl_Finance[Latest Invoice Date],MATCH($AE222,tbl_Finance[Row ID],0))="","",INDEX(tbl_Finance[Latest Invoice Date],MATCH($AE222,tbl_Finance[Row ID],0))),""))</f>
        <v/>
      </c>
      <c r="B222" s="10">
        <f>IF($C222="","",IFERROR(INDEX(tbl_Finance[Invoice Numbers],MATCH($AE222,tbl_Finance[Row ID],0))&amp;"",""))</f>
        <v/>
      </c>
      <c r="C222" s="37" t="n"/>
      <c r="D222" s="10">
        <f>IF($C222="","",IF(COUNTIF(lst_Jobs,$C222&amp;"")&gt;0,"OK","CHECK"))</f>
        <v/>
      </c>
      <c r="E222" s="10">
        <f>IF($C222="","",IFERROR(INDEX(lst_JobName,MATCH($C222&amp;"",lst_Jobs,0)),""))</f>
        <v/>
      </c>
      <c r="F222" s="37" t="n"/>
      <c r="G222" s="37" t="n"/>
      <c r="H222" s="37" t="n"/>
      <c r="I222" s="37" t="n"/>
      <c r="J222" s="37" t="n"/>
      <c r="K222" s="38">
        <f>IF($C222="","",IFERROR(N(INDEX(tbl_Finance[Invoice Count],MATCH($AE222,tbl_Finance[Row ID],0))),""))</f>
        <v/>
      </c>
      <c r="L222" s="11">
        <f>IF($C222="","",IFERROR(N(INDEX(tbl_Finance[Xero Invoiced Ex GST],MATCH($AE222,tbl_Finance[Row ID],0))),""))</f>
        <v/>
      </c>
      <c r="M222" s="10">
        <f>IF($C222="","",IFERROR(INDEX(tbl_Finance[Compare],MATCH($AE222,tbl_Finance[Row ID],0))&amp;"",""))</f>
        <v/>
      </c>
      <c r="N222" s="11">
        <f>IF($C222="","",MAX(0,N(O222)-N(L222)))</f>
        <v/>
      </c>
      <c r="O222" s="39" t="n"/>
      <c r="P222" s="40">
        <f>IF($C222="","",IF((IF(F222="",", Client","")&amp;IF(G222="",", Description","")&amp;IF(H222="",", Cost Centre","")&amp;IF(I222="",", Invoice Type","")&amp;IF(J222="",", Tax Code","")&amp;IF(O222="",", Expected Revenue","")&amp;IF(COUNTIF(tbl_Finance[Job Number],$C222&amp;"")&gt;1,", Job number used twice",""))="","Complete","Fix: "&amp;MID(IF(F222="",", Client","")&amp;IF(G222="",", Description","")&amp;IF(H222="",", Cost Centre","")&amp;IF(I222="",", Invoice Type","")&amp;IF(J222="",", Tax Code","")&amp;IF(O222="",", Expected Revenue","")&amp;IF(COUNTIF(tbl_Finance[Job Number],$C222&amp;"")&gt;1,", Job number used twice",""),3,300)))</f>
        <v/>
      </c>
      <c r="Q222" s="10">
        <f>IF($C222="","",IF(H222="","(no cost centre)",H222&amp;" - GL "&amp;IFERROR(INDEX(lst_CCtoGL,MATCH(H222,lst_CCforGL,0)),"?")))</f>
        <v/>
      </c>
      <c r="R222" s="37" t="n"/>
      <c r="S222" s="10">
        <f>IF(R222="","",HYPERLINK(IF(LEFT(R222,4)="http",R222,set_QwilrBase&amp;R222),"Open quote"))</f>
        <v/>
      </c>
      <c r="T222" s="39" t="n"/>
      <c r="U222" s="39" t="n"/>
      <c r="V222" s="39" t="n"/>
      <c r="W222" s="10">
        <f>IF(C222="","",IF(N(T222)+N(U222)+N(V222)=0,"Not split",IF(ROUND(N(T222)+N(U222)+N(V222),2)=ROUND(MAX(N(L222),N(O222)),2),"OK","MISMATCH")))</f>
        <v/>
      </c>
      <c r="X222" s="39" t="n"/>
      <c r="Y222" s="39" t="n"/>
      <c r="Z222" s="39" t="n"/>
      <c r="AA222" s="11">
        <f>IF(C222="","",N(X222)+N(Y222)+N(Z222))</f>
        <v/>
      </c>
      <c r="AB222" s="11">
        <f>IF(C222="","",MAX(N(L222),N(O222))-N(AA222))</f>
        <v/>
      </c>
      <c r="AC222" s="43">
        <f>IFERROR(IF(MAX(N(L222),N(O222))=0,"",AB222/MAX(N(L222),N(O222))),"")</f>
        <v/>
      </c>
      <c r="AD222" s="37" t="n"/>
      <c r="AE222" s="10" t="inlineStr">
        <is>
          <t>CON-0218</t>
        </is>
      </c>
    </row>
    <row r="223">
      <c r="A223" s="16">
        <f>IF($C223="","",IFERROR(IF(INDEX(tbl_Finance[Latest Invoice Date],MATCH($AE223,tbl_Finance[Row ID],0))="","",INDEX(tbl_Finance[Latest Invoice Date],MATCH($AE223,tbl_Finance[Row ID],0))),""))</f>
        <v/>
      </c>
      <c r="B223" s="10">
        <f>IF($C223="","",IFERROR(INDEX(tbl_Finance[Invoice Numbers],MATCH($AE223,tbl_Finance[Row ID],0))&amp;"",""))</f>
        <v/>
      </c>
      <c r="C223" s="37" t="n"/>
      <c r="D223" s="10">
        <f>IF($C223="","",IF(COUNTIF(lst_Jobs,$C223&amp;"")&gt;0,"OK","CHECK"))</f>
        <v/>
      </c>
      <c r="E223" s="10">
        <f>IF($C223="","",IFERROR(INDEX(lst_JobName,MATCH($C223&amp;"",lst_Jobs,0)),""))</f>
        <v/>
      </c>
      <c r="F223" s="37" t="n"/>
      <c r="G223" s="37" t="n"/>
      <c r="H223" s="37" t="n"/>
      <c r="I223" s="37" t="n"/>
      <c r="J223" s="37" t="n"/>
      <c r="K223" s="38">
        <f>IF($C223="","",IFERROR(N(INDEX(tbl_Finance[Invoice Count],MATCH($AE223,tbl_Finance[Row ID],0))),""))</f>
        <v/>
      </c>
      <c r="L223" s="11">
        <f>IF($C223="","",IFERROR(N(INDEX(tbl_Finance[Xero Invoiced Ex GST],MATCH($AE223,tbl_Finance[Row ID],0))),""))</f>
        <v/>
      </c>
      <c r="M223" s="10">
        <f>IF($C223="","",IFERROR(INDEX(tbl_Finance[Compare],MATCH($AE223,tbl_Finance[Row ID],0))&amp;"",""))</f>
        <v/>
      </c>
      <c r="N223" s="11">
        <f>IF($C223="","",MAX(0,N(O223)-N(L223)))</f>
        <v/>
      </c>
      <c r="O223" s="39" t="n"/>
      <c r="P223" s="40">
        <f>IF($C223="","",IF((IF(F223="",", Client","")&amp;IF(G223="",", Description","")&amp;IF(H223="",", Cost Centre","")&amp;IF(I223="",", Invoice Type","")&amp;IF(J223="",", Tax Code","")&amp;IF(O223="",", Expected Revenue","")&amp;IF(COUNTIF(tbl_Finance[Job Number],$C223&amp;"")&gt;1,", Job number used twice",""))="","Complete","Fix: "&amp;MID(IF(F223="",", Client","")&amp;IF(G223="",", Description","")&amp;IF(H223="",", Cost Centre","")&amp;IF(I223="",", Invoice Type","")&amp;IF(J223="",", Tax Code","")&amp;IF(O223="",", Expected Revenue","")&amp;IF(COUNTIF(tbl_Finance[Job Number],$C223&amp;"")&gt;1,", Job number used twice",""),3,300)))</f>
        <v/>
      </c>
      <c r="Q223" s="10">
        <f>IF($C223="","",IF(H223="","(no cost centre)",H223&amp;" - GL "&amp;IFERROR(INDEX(lst_CCtoGL,MATCH(H223,lst_CCforGL,0)),"?")))</f>
        <v/>
      </c>
      <c r="R223" s="37" t="n"/>
      <c r="S223" s="10">
        <f>IF(R223="","",HYPERLINK(IF(LEFT(R223,4)="http",R223,set_QwilrBase&amp;R223),"Open quote"))</f>
        <v/>
      </c>
      <c r="T223" s="39" t="n"/>
      <c r="U223" s="39" t="n"/>
      <c r="V223" s="39" t="n"/>
      <c r="W223" s="10">
        <f>IF(C223="","",IF(N(T223)+N(U223)+N(V223)=0,"Not split",IF(ROUND(N(T223)+N(U223)+N(V223),2)=ROUND(MAX(N(L223),N(O223)),2),"OK","MISMATCH")))</f>
        <v/>
      </c>
      <c r="X223" s="39" t="n"/>
      <c r="Y223" s="39" t="n"/>
      <c r="Z223" s="39" t="n"/>
      <c r="AA223" s="11">
        <f>IF(C223="","",N(X223)+N(Y223)+N(Z223))</f>
        <v/>
      </c>
      <c r="AB223" s="11">
        <f>IF(C223="","",MAX(N(L223),N(O223))-N(AA223))</f>
        <v/>
      </c>
      <c r="AC223" s="43">
        <f>IFERROR(IF(MAX(N(L223),N(O223))=0,"",AB223/MAX(N(L223),N(O223))),"")</f>
        <v/>
      </c>
      <c r="AD223" s="37" t="n"/>
      <c r="AE223" s="10" t="inlineStr">
        <is>
          <t>CON-0219</t>
        </is>
      </c>
    </row>
    <row r="224">
      <c r="A224" s="16">
        <f>IF($C224="","",IFERROR(IF(INDEX(tbl_Finance[Latest Invoice Date],MATCH($AE224,tbl_Finance[Row ID],0))="","",INDEX(tbl_Finance[Latest Invoice Date],MATCH($AE224,tbl_Finance[Row ID],0))),""))</f>
        <v/>
      </c>
      <c r="B224" s="10">
        <f>IF($C224="","",IFERROR(INDEX(tbl_Finance[Invoice Numbers],MATCH($AE224,tbl_Finance[Row ID],0))&amp;"",""))</f>
        <v/>
      </c>
      <c r="C224" s="37" t="n"/>
      <c r="D224" s="10">
        <f>IF($C224="","",IF(COUNTIF(lst_Jobs,$C224&amp;"")&gt;0,"OK","CHECK"))</f>
        <v/>
      </c>
      <c r="E224" s="10">
        <f>IF($C224="","",IFERROR(INDEX(lst_JobName,MATCH($C224&amp;"",lst_Jobs,0)),""))</f>
        <v/>
      </c>
      <c r="F224" s="37" t="n"/>
      <c r="G224" s="37" t="n"/>
      <c r="H224" s="37" t="n"/>
      <c r="I224" s="37" t="n"/>
      <c r="J224" s="37" t="n"/>
      <c r="K224" s="38">
        <f>IF($C224="","",IFERROR(N(INDEX(tbl_Finance[Invoice Count],MATCH($AE224,tbl_Finance[Row ID],0))),""))</f>
        <v/>
      </c>
      <c r="L224" s="11">
        <f>IF($C224="","",IFERROR(N(INDEX(tbl_Finance[Xero Invoiced Ex GST],MATCH($AE224,tbl_Finance[Row ID],0))),""))</f>
        <v/>
      </c>
      <c r="M224" s="10">
        <f>IF($C224="","",IFERROR(INDEX(tbl_Finance[Compare],MATCH($AE224,tbl_Finance[Row ID],0))&amp;"",""))</f>
        <v/>
      </c>
      <c r="N224" s="11">
        <f>IF($C224="","",MAX(0,N(O224)-N(L224)))</f>
        <v/>
      </c>
      <c r="O224" s="39" t="n"/>
      <c r="P224" s="40">
        <f>IF($C224="","",IF((IF(F224="",", Client","")&amp;IF(G224="",", Description","")&amp;IF(H224="",", Cost Centre","")&amp;IF(I224="",", Invoice Type","")&amp;IF(J224="",", Tax Code","")&amp;IF(O224="",", Expected Revenue","")&amp;IF(COUNTIF(tbl_Finance[Job Number],$C224&amp;"")&gt;1,", Job number used twice",""))="","Complete","Fix: "&amp;MID(IF(F224="",", Client","")&amp;IF(G224="",", Description","")&amp;IF(H224="",", Cost Centre","")&amp;IF(I224="",", Invoice Type","")&amp;IF(J224="",", Tax Code","")&amp;IF(O224="",", Expected Revenue","")&amp;IF(COUNTIF(tbl_Finance[Job Number],$C224&amp;"")&gt;1,", Job number used twice",""),3,300)))</f>
        <v/>
      </c>
      <c r="Q224" s="10">
        <f>IF($C224="","",IF(H224="","(no cost centre)",H224&amp;" - GL "&amp;IFERROR(INDEX(lst_CCtoGL,MATCH(H224,lst_CCforGL,0)),"?")))</f>
        <v/>
      </c>
      <c r="R224" s="37" t="n"/>
      <c r="S224" s="10">
        <f>IF(R224="","",HYPERLINK(IF(LEFT(R224,4)="http",R224,set_QwilrBase&amp;R224),"Open quote"))</f>
        <v/>
      </c>
      <c r="T224" s="39" t="n"/>
      <c r="U224" s="39" t="n"/>
      <c r="V224" s="39" t="n"/>
      <c r="W224" s="10">
        <f>IF(C224="","",IF(N(T224)+N(U224)+N(V224)=0,"Not split",IF(ROUND(N(T224)+N(U224)+N(V224),2)=ROUND(MAX(N(L224),N(O224)),2),"OK","MISMATCH")))</f>
        <v/>
      </c>
      <c r="X224" s="39" t="n"/>
      <c r="Y224" s="39" t="n"/>
      <c r="Z224" s="39" t="n"/>
      <c r="AA224" s="11">
        <f>IF(C224="","",N(X224)+N(Y224)+N(Z224))</f>
        <v/>
      </c>
      <c r="AB224" s="11">
        <f>IF(C224="","",MAX(N(L224),N(O224))-N(AA224))</f>
        <v/>
      </c>
      <c r="AC224" s="43">
        <f>IFERROR(IF(MAX(N(L224),N(O224))=0,"",AB224/MAX(N(L224),N(O224))),"")</f>
        <v/>
      </c>
      <c r="AD224" s="37" t="n"/>
      <c r="AE224" s="10" t="inlineStr">
        <is>
          <t>CON-0220</t>
        </is>
      </c>
    </row>
    <row r="225">
      <c r="A225" s="16">
        <f>IF($C225="","",IFERROR(IF(INDEX(tbl_Finance[Latest Invoice Date],MATCH($AE225,tbl_Finance[Row ID],0))="","",INDEX(tbl_Finance[Latest Invoice Date],MATCH($AE225,tbl_Finance[Row ID],0))),""))</f>
        <v/>
      </c>
      <c r="B225" s="10">
        <f>IF($C225="","",IFERROR(INDEX(tbl_Finance[Invoice Numbers],MATCH($AE225,tbl_Finance[Row ID],0))&amp;"",""))</f>
        <v/>
      </c>
      <c r="C225" s="37" t="n"/>
      <c r="D225" s="10">
        <f>IF($C225="","",IF(COUNTIF(lst_Jobs,$C225&amp;"")&gt;0,"OK","CHECK"))</f>
        <v/>
      </c>
      <c r="E225" s="10">
        <f>IF($C225="","",IFERROR(INDEX(lst_JobName,MATCH($C225&amp;"",lst_Jobs,0)),""))</f>
        <v/>
      </c>
      <c r="F225" s="37" t="n"/>
      <c r="G225" s="37" t="n"/>
      <c r="H225" s="37" t="n"/>
      <c r="I225" s="37" t="n"/>
      <c r="J225" s="37" t="n"/>
      <c r="K225" s="38">
        <f>IF($C225="","",IFERROR(N(INDEX(tbl_Finance[Invoice Count],MATCH($AE225,tbl_Finance[Row ID],0))),""))</f>
        <v/>
      </c>
      <c r="L225" s="11">
        <f>IF($C225="","",IFERROR(N(INDEX(tbl_Finance[Xero Invoiced Ex GST],MATCH($AE225,tbl_Finance[Row ID],0))),""))</f>
        <v/>
      </c>
      <c r="M225" s="10">
        <f>IF($C225="","",IFERROR(INDEX(tbl_Finance[Compare],MATCH($AE225,tbl_Finance[Row ID],0))&amp;"",""))</f>
        <v/>
      </c>
      <c r="N225" s="11">
        <f>IF($C225="","",MAX(0,N(O225)-N(L225)))</f>
        <v/>
      </c>
      <c r="O225" s="39" t="n"/>
      <c r="P225" s="40">
        <f>IF($C225="","",IF((IF(F225="",", Client","")&amp;IF(G225="",", Description","")&amp;IF(H225="",", Cost Centre","")&amp;IF(I225="",", Invoice Type","")&amp;IF(J225="",", Tax Code","")&amp;IF(O225="",", Expected Revenue","")&amp;IF(COUNTIF(tbl_Finance[Job Number],$C225&amp;"")&gt;1,", Job number used twice",""))="","Complete","Fix: "&amp;MID(IF(F225="",", Client","")&amp;IF(G225="",", Description","")&amp;IF(H225="",", Cost Centre","")&amp;IF(I225="",", Invoice Type","")&amp;IF(J225="",", Tax Code","")&amp;IF(O225="",", Expected Revenue","")&amp;IF(COUNTIF(tbl_Finance[Job Number],$C225&amp;"")&gt;1,", Job number used twice",""),3,300)))</f>
        <v/>
      </c>
      <c r="Q225" s="10">
        <f>IF($C225="","",IF(H225="","(no cost centre)",H225&amp;" - GL "&amp;IFERROR(INDEX(lst_CCtoGL,MATCH(H225,lst_CCforGL,0)),"?")))</f>
        <v/>
      </c>
      <c r="R225" s="37" t="n"/>
      <c r="S225" s="10">
        <f>IF(R225="","",HYPERLINK(IF(LEFT(R225,4)="http",R225,set_QwilrBase&amp;R225),"Open quote"))</f>
        <v/>
      </c>
      <c r="T225" s="39" t="n"/>
      <c r="U225" s="39" t="n"/>
      <c r="V225" s="39" t="n"/>
      <c r="W225" s="10">
        <f>IF(C225="","",IF(N(T225)+N(U225)+N(V225)=0,"Not split",IF(ROUND(N(T225)+N(U225)+N(V225),2)=ROUND(MAX(N(L225),N(O225)),2),"OK","MISMATCH")))</f>
        <v/>
      </c>
      <c r="X225" s="39" t="n"/>
      <c r="Y225" s="39" t="n"/>
      <c r="Z225" s="39" t="n"/>
      <c r="AA225" s="11">
        <f>IF(C225="","",N(X225)+N(Y225)+N(Z225))</f>
        <v/>
      </c>
      <c r="AB225" s="11">
        <f>IF(C225="","",MAX(N(L225),N(O225))-N(AA225))</f>
        <v/>
      </c>
      <c r="AC225" s="43">
        <f>IFERROR(IF(MAX(N(L225),N(O225))=0,"",AB225/MAX(N(L225),N(O225))),"")</f>
        <v/>
      </c>
      <c r="AD225" s="37" t="n"/>
      <c r="AE225" s="10" t="inlineStr">
        <is>
          <t>CON-0221</t>
        </is>
      </c>
    </row>
    <row r="226">
      <c r="A226" s="16">
        <f>IF($C226="","",IFERROR(IF(INDEX(tbl_Finance[Latest Invoice Date],MATCH($AE226,tbl_Finance[Row ID],0))="","",INDEX(tbl_Finance[Latest Invoice Date],MATCH($AE226,tbl_Finance[Row ID],0))),""))</f>
        <v/>
      </c>
      <c r="B226" s="10">
        <f>IF($C226="","",IFERROR(INDEX(tbl_Finance[Invoice Numbers],MATCH($AE226,tbl_Finance[Row ID],0))&amp;"",""))</f>
        <v/>
      </c>
      <c r="C226" s="37" t="n"/>
      <c r="D226" s="10">
        <f>IF($C226="","",IF(COUNTIF(lst_Jobs,$C226&amp;"")&gt;0,"OK","CHECK"))</f>
        <v/>
      </c>
      <c r="E226" s="10">
        <f>IF($C226="","",IFERROR(INDEX(lst_JobName,MATCH($C226&amp;"",lst_Jobs,0)),""))</f>
        <v/>
      </c>
      <c r="F226" s="37" t="n"/>
      <c r="G226" s="37" t="n"/>
      <c r="H226" s="37" t="n"/>
      <c r="I226" s="37" t="n"/>
      <c r="J226" s="37" t="n"/>
      <c r="K226" s="38">
        <f>IF($C226="","",IFERROR(N(INDEX(tbl_Finance[Invoice Count],MATCH($AE226,tbl_Finance[Row ID],0))),""))</f>
        <v/>
      </c>
      <c r="L226" s="11">
        <f>IF($C226="","",IFERROR(N(INDEX(tbl_Finance[Xero Invoiced Ex GST],MATCH($AE226,tbl_Finance[Row ID],0))),""))</f>
        <v/>
      </c>
      <c r="M226" s="10">
        <f>IF($C226="","",IFERROR(INDEX(tbl_Finance[Compare],MATCH($AE226,tbl_Finance[Row ID],0))&amp;"",""))</f>
        <v/>
      </c>
      <c r="N226" s="11">
        <f>IF($C226="","",MAX(0,N(O226)-N(L226)))</f>
        <v/>
      </c>
      <c r="O226" s="39" t="n"/>
      <c r="P226" s="40">
        <f>IF($C226="","",IF((IF(F226="",", Client","")&amp;IF(G226="",", Description","")&amp;IF(H226="",", Cost Centre","")&amp;IF(I226="",", Invoice Type","")&amp;IF(J226="",", Tax Code","")&amp;IF(O226="",", Expected Revenue","")&amp;IF(COUNTIF(tbl_Finance[Job Number],$C226&amp;"")&gt;1,", Job number used twice",""))="","Complete","Fix: "&amp;MID(IF(F226="",", Client","")&amp;IF(G226="",", Description","")&amp;IF(H226="",", Cost Centre","")&amp;IF(I226="",", Invoice Type","")&amp;IF(J226="",", Tax Code","")&amp;IF(O226="",", Expected Revenue","")&amp;IF(COUNTIF(tbl_Finance[Job Number],$C226&amp;"")&gt;1,", Job number used twice",""),3,300)))</f>
        <v/>
      </c>
      <c r="Q226" s="10">
        <f>IF($C226="","",IF(H226="","(no cost centre)",H226&amp;" - GL "&amp;IFERROR(INDEX(lst_CCtoGL,MATCH(H226,lst_CCforGL,0)),"?")))</f>
        <v/>
      </c>
      <c r="R226" s="37" t="n"/>
      <c r="S226" s="10">
        <f>IF(R226="","",HYPERLINK(IF(LEFT(R226,4)="http",R226,set_QwilrBase&amp;R226),"Open quote"))</f>
        <v/>
      </c>
      <c r="T226" s="39" t="n"/>
      <c r="U226" s="39" t="n"/>
      <c r="V226" s="39" t="n"/>
      <c r="W226" s="10">
        <f>IF(C226="","",IF(N(T226)+N(U226)+N(V226)=0,"Not split",IF(ROUND(N(T226)+N(U226)+N(V226),2)=ROUND(MAX(N(L226),N(O226)),2),"OK","MISMATCH")))</f>
        <v/>
      </c>
      <c r="X226" s="39" t="n"/>
      <c r="Y226" s="39" t="n"/>
      <c r="Z226" s="39" t="n"/>
      <c r="AA226" s="11">
        <f>IF(C226="","",N(X226)+N(Y226)+N(Z226))</f>
        <v/>
      </c>
      <c r="AB226" s="11">
        <f>IF(C226="","",MAX(N(L226),N(O226))-N(AA226))</f>
        <v/>
      </c>
      <c r="AC226" s="43">
        <f>IFERROR(IF(MAX(N(L226),N(O226))=0,"",AB226/MAX(N(L226),N(O226))),"")</f>
        <v/>
      </c>
      <c r="AD226" s="37" t="n"/>
      <c r="AE226" s="10" t="inlineStr">
        <is>
          <t>CON-0222</t>
        </is>
      </c>
    </row>
    <row r="227">
      <c r="A227" s="16">
        <f>IF($C227="","",IFERROR(IF(INDEX(tbl_Finance[Latest Invoice Date],MATCH($AE227,tbl_Finance[Row ID],0))="","",INDEX(tbl_Finance[Latest Invoice Date],MATCH($AE227,tbl_Finance[Row ID],0))),""))</f>
        <v/>
      </c>
      <c r="B227" s="10">
        <f>IF($C227="","",IFERROR(INDEX(tbl_Finance[Invoice Numbers],MATCH($AE227,tbl_Finance[Row ID],0))&amp;"",""))</f>
        <v/>
      </c>
      <c r="C227" s="37" t="n"/>
      <c r="D227" s="10">
        <f>IF($C227="","",IF(COUNTIF(lst_Jobs,$C227&amp;"")&gt;0,"OK","CHECK"))</f>
        <v/>
      </c>
      <c r="E227" s="10">
        <f>IF($C227="","",IFERROR(INDEX(lst_JobName,MATCH($C227&amp;"",lst_Jobs,0)),""))</f>
        <v/>
      </c>
      <c r="F227" s="37" t="n"/>
      <c r="G227" s="37" t="n"/>
      <c r="H227" s="37" t="n"/>
      <c r="I227" s="37" t="n"/>
      <c r="J227" s="37" t="n"/>
      <c r="K227" s="38">
        <f>IF($C227="","",IFERROR(N(INDEX(tbl_Finance[Invoice Count],MATCH($AE227,tbl_Finance[Row ID],0))),""))</f>
        <v/>
      </c>
      <c r="L227" s="11">
        <f>IF($C227="","",IFERROR(N(INDEX(tbl_Finance[Xero Invoiced Ex GST],MATCH($AE227,tbl_Finance[Row ID],0))),""))</f>
        <v/>
      </c>
      <c r="M227" s="10">
        <f>IF($C227="","",IFERROR(INDEX(tbl_Finance[Compare],MATCH($AE227,tbl_Finance[Row ID],0))&amp;"",""))</f>
        <v/>
      </c>
      <c r="N227" s="11">
        <f>IF($C227="","",MAX(0,N(O227)-N(L227)))</f>
        <v/>
      </c>
      <c r="O227" s="39" t="n"/>
      <c r="P227" s="40">
        <f>IF($C227="","",IF((IF(F227="",", Client","")&amp;IF(G227="",", Description","")&amp;IF(H227="",", Cost Centre","")&amp;IF(I227="",", Invoice Type","")&amp;IF(J227="",", Tax Code","")&amp;IF(O227="",", Expected Revenue","")&amp;IF(COUNTIF(tbl_Finance[Job Number],$C227&amp;"")&gt;1,", Job number used twice",""))="","Complete","Fix: "&amp;MID(IF(F227="",", Client","")&amp;IF(G227="",", Description","")&amp;IF(H227="",", Cost Centre","")&amp;IF(I227="",", Invoice Type","")&amp;IF(J227="",", Tax Code","")&amp;IF(O227="",", Expected Revenue","")&amp;IF(COUNTIF(tbl_Finance[Job Number],$C227&amp;"")&gt;1,", Job number used twice",""),3,300)))</f>
        <v/>
      </c>
      <c r="Q227" s="10">
        <f>IF($C227="","",IF(H227="","(no cost centre)",H227&amp;" - GL "&amp;IFERROR(INDEX(lst_CCtoGL,MATCH(H227,lst_CCforGL,0)),"?")))</f>
        <v/>
      </c>
      <c r="R227" s="37" t="n"/>
      <c r="S227" s="10">
        <f>IF(R227="","",HYPERLINK(IF(LEFT(R227,4)="http",R227,set_QwilrBase&amp;R227),"Open quote"))</f>
        <v/>
      </c>
      <c r="T227" s="39" t="n"/>
      <c r="U227" s="39" t="n"/>
      <c r="V227" s="39" t="n"/>
      <c r="W227" s="10">
        <f>IF(C227="","",IF(N(T227)+N(U227)+N(V227)=0,"Not split",IF(ROUND(N(T227)+N(U227)+N(V227),2)=ROUND(MAX(N(L227),N(O227)),2),"OK","MISMATCH")))</f>
        <v/>
      </c>
      <c r="X227" s="39" t="n"/>
      <c r="Y227" s="39" t="n"/>
      <c r="Z227" s="39" t="n"/>
      <c r="AA227" s="11">
        <f>IF(C227="","",N(X227)+N(Y227)+N(Z227))</f>
        <v/>
      </c>
      <c r="AB227" s="11">
        <f>IF(C227="","",MAX(N(L227),N(O227))-N(AA227))</f>
        <v/>
      </c>
      <c r="AC227" s="43">
        <f>IFERROR(IF(MAX(N(L227),N(O227))=0,"",AB227/MAX(N(L227),N(O227))),"")</f>
        <v/>
      </c>
      <c r="AD227" s="37" t="n"/>
      <c r="AE227" s="10" t="inlineStr">
        <is>
          <t>CON-0223</t>
        </is>
      </c>
    </row>
    <row r="228">
      <c r="A228" s="16">
        <f>IF($C228="","",IFERROR(IF(INDEX(tbl_Finance[Latest Invoice Date],MATCH($AE228,tbl_Finance[Row ID],0))="","",INDEX(tbl_Finance[Latest Invoice Date],MATCH($AE228,tbl_Finance[Row ID],0))),""))</f>
        <v/>
      </c>
      <c r="B228" s="10">
        <f>IF($C228="","",IFERROR(INDEX(tbl_Finance[Invoice Numbers],MATCH($AE228,tbl_Finance[Row ID],0))&amp;"",""))</f>
        <v/>
      </c>
      <c r="C228" s="37" t="n"/>
      <c r="D228" s="10">
        <f>IF($C228="","",IF(COUNTIF(lst_Jobs,$C228&amp;"")&gt;0,"OK","CHECK"))</f>
        <v/>
      </c>
      <c r="E228" s="10">
        <f>IF($C228="","",IFERROR(INDEX(lst_JobName,MATCH($C228&amp;"",lst_Jobs,0)),""))</f>
        <v/>
      </c>
      <c r="F228" s="37" t="n"/>
      <c r="G228" s="37" t="n"/>
      <c r="H228" s="37" t="n"/>
      <c r="I228" s="37" t="n"/>
      <c r="J228" s="37" t="n"/>
      <c r="K228" s="38">
        <f>IF($C228="","",IFERROR(N(INDEX(tbl_Finance[Invoice Count],MATCH($AE228,tbl_Finance[Row ID],0))),""))</f>
        <v/>
      </c>
      <c r="L228" s="11">
        <f>IF($C228="","",IFERROR(N(INDEX(tbl_Finance[Xero Invoiced Ex GST],MATCH($AE228,tbl_Finance[Row ID],0))),""))</f>
        <v/>
      </c>
      <c r="M228" s="10">
        <f>IF($C228="","",IFERROR(INDEX(tbl_Finance[Compare],MATCH($AE228,tbl_Finance[Row ID],0))&amp;"",""))</f>
        <v/>
      </c>
      <c r="N228" s="11">
        <f>IF($C228="","",MAX(0,N(O228)-N(L228)))</f>
        <v/>
      </c>
      <c r="O228" s="39" t="n"/>
      <c r="P228" s="40">
        <f>IF($C228="","",IF((IF(F228="",", Client","")&amp;IF(G228="",", Description","")&amp;IF(H228="",", Cost Centre","")&amp;IF(I228="",", Invoice Type","")&amp;IF(J228="",", Tax Code","")&amp;IF(O228="",", Expected Revenue","")&amp;IF(COUNTIF(tbl_Finance[Job Number],$C228&amp;"")&gt;1,", Job number used twice",""))="","Complete","Fix: "&amp;MID(IF(F228="",", Client","")&amp;IF(G228="",", Description","")&amp;IF(H228="",", Cost Centre","")&amp;IF(I228="",", Invoice Type","")&amp;IF(J228="",", Tax Code","")&amp;IF(O228="",", Expected Revenue","")&amp;IF(COUNTIF(tbl_Finance[Job Number],$C228&amp;"")&gt;1,", Job number used twice",""),3,300)))</f>
        <v/>
      </c>
      <c r="Q228" s="10">
        <f>IF($C228="","",IF(H228="","(no cost centre)",H228&amp;" - GL "&amp;IFERROR(INDEX(lst_CCtoGL,MATCH(H228,lst_CCforGL,0)),"?")))</f>
        <v/>
      </c>
      <c r="R228" s="37" t="n"/>
      <c r="S228" s="10">
        <f>IF(R228="","",HYPERLINK(IF(LEFT(R228,4)="http",R228,set_QwilrBase&amp;R228),"Open quote"))</f>
        <v/>
      </c>
      <c r="T228" s="39" t="n"/>
      <c r="U228" s="39" t="n"/>
      <c r="V228" s="39" t="n"/>
      <c r="W228" s="10">
        <f>IF(C228="","",IF(N(T228)+N(U228)+N(V228)=0,"Not split",IF(ROUND(N(T228)+N(U228)+N(V228),2)=ROUND(MAX(N(L228),N(O228)),2),"OK","MISMATCH")))</f>
        <v/>
      </c>
      <c r="X228" s="39" t="n"/>
      <c r="Y228" s="39" t="n"/>
      <c r="Z228" s="39" t="n"/>
      <c r="AA228" s="11">
        <f>IF(C228="","",N(X228)+N(Y228)+N(Z228))</f>
        <v/>
      </c>
      <c r="AB228" s="11">
        <f>IF(C228="","",MAX(N(L228),N(O228))-N(AA228))</f>
        <v/>
      </c>
      <c r="AC228" s="43">
        <f>IFERROR(IF(MAX(N(L228),N(O228))=0,"",AB228/MAX(N(L228),N(O228))),"")</f>
        <v/>
      </c>
      <c r="AD228" s="37" t="n"/>
      <c r="AE228" s="10" t="inlineStr">
        <is>
          <t>CON-0224</t>
        </is>
      </c>
    </row>
    <row r="229">
      <c r="A229" s="16">
        <f>IF($C229="","",IFERROR(IF(INDEX(tbl_Finance[Latest Invoice Date],MATCH($AE229,tbl_Finance[Row ID],0))="","",INDEX(tbl_Finance[Latest Invoice Date],MATCH($AE229,tbl_Finance[Row ID],0))),""))</f>
        <v/>
      </c>
      <c r="B229" s="10">
        <f>IF($C229="","",IFERROR(INDEX(tbl_Finance[Invoice Numbers],MATCH($AE229,tbl_Finance[Row ID],0))&amp;"",""))</f>
        <v/>
      </c>
      <c r="C229" s="37" t="n"/>
      <c r="D229" s="10">
        <f>IF($C229="","",IF(COUNTIF(lst_Jobs,$C229&amp;"")&gt;0,"OK","CHECK"))</f>
        <v/>
      </c>
      <c r="E229" s="10">
        <f>IF($C229="","",IFERROR(INDEX(lst_JobName,MATCH($C229&amp;"",lst_Jobs,0)),""))</f>
        <v/>
      </c>
      <c r="F229" s="37" t="n"/>
      <c r="G229" s="37" t="n"/>
      <c r="H229" s="37" t="n"/>
      <c r="I229" s="37" t="n"/>
      <c r="J229" s="37" t="n"/>
      <c r="K229" s="38">
        <f>IF($C229="","",IFERROR(N(INDEX(tbl_Finance[Invoice Count],MATCH($AE229,tbl_Finance[Row ID],0))),""))</f>
        <v/>
      </c>
      <c r="L229" s="11">
        <f>IF($C229="","",IFERROR(N(INDEX(tbl_Finance[Xero Invoiced Ex GST],MATCH($AE229,tbl_Finance[Row ID],0))),""))</f>
        <v/>
      </c>
      <c r="M229" s="10">
        <f>IF($C229="","",IFERROR(INDEX(tbl_Finance[Compare],MATCH($AE229,tbl_Finance[Row ID],0))&amp;"",""))</f>
        <v/>
      </c>
      <c r="N229" s="11">
        <f>IF($C229="","",MAX(0,N(O229)-N(L229)))</f>
        <v/>
      </c>
      <c r="O229" s="39" t="n"/>
      <c r="P229" s="40">
        <f>IF($C229="","",IF((IF(F229="",", Client","")&amp;IF(G229="",", Description","")&amp;IF(H229="",", Cost Centre","")&amp;IF(I229="",", Invoice Type","")&amp;IF(J229="",", Tax Code","")&amp;IF(O229="",", Expected Revenue","")&amp;IF(COUNTIF(tbl_Finance[Job Number],$C229&amp;"")&gt;1,", Job number used twice",""))="","Complete","Fix: "&amp;MID(IF(F229="",", Client","")&amp;IF(G229="",", Description","")&amp;IF(H229="",", Cost Centre","")&amp;IF(I229="",", Invoice Type","")&amp;IF(J229="",", Tax Code","")&amp;IF(O229="",", Expected Revenue","")&amp;IF(COUNTIF(tbl_Finance[Job Number],$C229&amp;"")&gt;1,", Job number used twice",""),3,300)))</f>
        <v/>
      </c>
      <c r="Q229" s="10">
        <f>IF($C229="","",IF(H229="","(no cost centre)",H229&amp;" - GL "&amp;IFERROR(INDEX(lst_CCtoGL,MATCH(H229,lst_CCforGL,0)),"?")))</f>
        <v/>
      </c>
      <c r="R229" s="37" t="n"/>
      <c r="S229" s="10">
        <f>IF(R229="","",HYPERLINK(IF(LEFT(R229,4)="http",R229,set_QwilrBase&amp;R229),"Open quote"))</f>
        <v/>
      </c>
      <c r="T229" s="39" t="n"/>
      <c r="U229" s="39" t="n"/>
      <c r="V229" s="39" t="n"/>
      <c r="W229" s="10">
        <f>IF(C229="","",IF(N(T229)+N(U229)+N(V229)=0,"Not split",IF(ROUND(N(T229)+N(U229)+N(V229),2)=ROUND(MAX(N(L229),N(O229)),2),"OK","MISMATCH")))</f>
        <v/>
      </c>
      <c r="X229" s="39" t="n"/>
      <c r="Y229" s="39" t="n"/>
      <c r="Z229" s="39" t="n"/>
      <c r="AA229" s="11">
        <f>IF(C229="","",N(X229)+N(Y229)+N(Z229))</f>
        <v/>
      </c>
      <c r="AB229" s="11">
        <f>IF(C229="","",MAX(N(L229),N(O229))-N(AA229))</f>
        <v/>
      </c>
      <c r="AC229" s="43">
        <f>IFERROR(IF(MAX(N(L229),N(O229))=0,"",AB229/MAX(N(L229),N(O229))),"")</f>
        <v/>
      </c>
      <c r="AD229" s="37" t="n"/>
      <c r="AE229" s="10" t="inlineStr">
        <is>
          <t>CON-0225</t>
        </is>
      </c>
    </row>
    <row r="230">
      <c r="A230" s="16">
        <f>IF($C230="","",IFERROR(IF(INDEX(tbl_Finance[Latest Invoice Date],MATCH($AE230,tbl_Finance[Row ID],0))="","",INDEX(tbl_Finance[Latest Invoice Date],MATCH($AE230,tbl_Finance[Row ID],0))),""))</f>
        <v/>
      </c>
      <c r="B230" s="10">
        <f>IF($C230="","",IFERROR(INDEX(tbl_Finance[Invoice Numbers],MATCH($AE230,tbl_Finance[Row ID],0))&amp;"",""))</f>
        <v/>
      </c>
      <c r="C230" s="37" t="n"/>
      <c r="D230" s="10">
        <f>IF($C230="","",IF(COUNTIF(lst_Jobs,$C230&amp;"")&gt;0,"OK","CHECK"))</f>
        <v/>
      </c>
      <c r="E230" s="10">
        <f>IF($C230="","",IFERROR(INDEX(lst_JobName,MATCH($C230&amp;"",lst_Jobs,0)),""))</f>
        <v/>
      </c>
      <c r="F230" s="37" t="n"/>
      <c r="G230" s="37" t="n"/>
      <c r="H230" s="37" t="n"/>
      <c r="I230" s="37" t="n"/>
      <c r="J230" s="37" t="n"/>
      <c r="K230" s="38">
        <f>IF($C230="","",IFERROR(N(INDEX(tbl_Finance[Invoice Count],MATCH($AE230,tbl_Finance[Row ID],0))),""))</f>
        <v/>
      </c>
      <c r="L230" s="11">
        <f>IF($C230="","",IFERROR(N(INDEX(tbl_Finance[Xero Invoiced Ex GST],MATCH($AE230,tbl_Finance[Row ID],0))),""))</f>
        <v/>
      </c>
      <c r="M230" s="10">
        <f>IF($C230="","",IFERROR(INDEX(tbl_Finance[Compare],MATCH($AE230,tbl_Finance[Row ID],0))&amp;"",""))</f>
        <v/>
      </c>
      <c r="N230" s="11">
        <f>IF($C230="","",MAX(0,N(O230)-N(L230)))</f>
        <v/>
      </c>
      <c r="O230" s="39" t="n"/>
      <c r="P230" s="40">
        <f>IF($C230="","",IF((IF(F230="",", Client","")&amp;IF(G230="",", Description","")&amp;IF(H230="",", Cost Centre","")&amp;IF(I230="",", Invoice Type","")&amp;IF(J230="",", Tax Code","")&amp;IF(O230="",", Expected Revenue","")&amp;IF(COUNTIF(tbl_Finance[Job Number],$C230&amp;"")&gt;1,", Job number used twice",""))="","Complete","Fix: "&amp;MID(IF(F230="",", Client","")&amp;IF(G230="",", Description","")&amp;IF(H230="",", Cost Centre","")&amp;IF(I230="",", Invoice Type","")&amp;IF(J230="",", Tax Code","")&amp;IF(O230="",", Expected Revenue","")&amp;IF(COUNTIF(tbl_Finance[Job Number],$C230&amp;"")&gt;1,", Job number used twice",""),3,300)))</f>
        <v/>
      </c>
      <c r="Q230" s="10">
        <f>IF($C230="","",IF(H230="","(no cost centre)",H230&amp;" - GL "&amp;IFERROR(INDEX(lst_CCtoGL,MATCH(H230,lst_CCforGL,0)),"?")))</f>
        <v/>
      </c>
      <c r="R230" s="37" t="n"/>
      <c r="S230" s="10">
        <f>IF(R230="","",HYPERLINK(IF(LEFT(R230,4)="http",R230,set_QwilrBase&amp;R230),"Open quote"))</f>
        <v/>
      </c>
      <c r="T230" s="39" t="n"/>
      <c r="U230" s="39" t="n"/>
      <c r="V230" s="39" t="n"/>
      <c r="W230" s="10">
        <f>IF(C230="","",IF(N(T230)+N(U230)+N(V230)=0,"Not split",IF(ROUND(N(T230)+N(U230)+N(V230),2)=ROUND(MAX(N(L230),N(O230)),2),"OK","MISMATCH")))</f>
        <v/>
      </c>
      <c r="X230" s="39" t="n"/>
      <c r="Y230" s="39" t="n"/>
      <c r="Z230" s="39" t="n"/>
      <c r="AA230" s="11">
        <f>IF(C230="","",N(X230)+N(Y230)+N(Z230))</f>
        <v/>
      </c>
      <c r="AB230" s="11">
        <f>IF(C230="","",MAX(N(L230),N(O230))-N(AA230))</f>
        <v/>
      </c>
      <c r="AC230" s="43">
        <f>IFERROR(IF(MAX(N(L230),N(O230))=0,"",AB230/MAX(N(L230),N(O230))),"")</f>
        <v/>
      </c>
      <c r="AD230" s="37" t="n"/>
      <c r="AE230" s="10" t="inlineStr">
        <is>
          <t>CON-0226</t>
        </is>
      </c>
    </row>
    <row r="231">
      <c r="A231" s="16">
        <f>IF($C231="","",IFERROR(IF(INDEX(tbl_Finance[Latest Invoice Date],MATCH($AE231,tbl_Finance[Row ID],0))="","",INDEX(tbl_Finance[Latest Invoice Date],MATCH($AE231,tbl_Finance[Row ID],0))),""))</f>
        <v/>
      </c>
      <c r="B231" s="10">
        <f>IF($C231="","",IFERROR(INDEX(tbl_Finance[Invoice Numbers],MATCH($AE231,tbl_Finance[Row ID],0))&amp;"",""))</f>
        <v/>
      </c>
      <c r="C231" s="37" t="n"/>
      <c r="D231" s="10">
        <f>IF($C231="","",IF(COUNTIF(lst_Jobs,$C231&amp;"")&gt;0,"OK","CHECK"))</f>
        <v/>
      </c>
      <c r="E231" s="10">
        <f>IF($C231="","",IFERROR(INDEX(lst_JobName,MATCH($C231&amp;"",lst_Jobs,0)),""))</f>
        <v/>
      </c>
      <c r="F231" s="37" t="n"/>
      <c r="G231" s="37" t="n"/>
      <c r="H231" s="37" t="n"/>
      <c r="I231" s="37" t="n"/>
      <c r="J231" s="37" t="n"/>
      <c r="K231" s="38">
        <f>IF($C231="","",IFERROR(N(INDEX(tbl_Finance[Invoice Count],MATCH($AE231,tbl_Finance[Row ID],0))),""))</f>
        <v/>
      </c>
      <c r="L231" s="11">
        <f>IF($C231="","",IFERROR(N(INDEX(tbl_Finance[Xero Invoiced Ex GST],MATCH($AE231,tbl_Finance[Row ID],0))),""))</f>
        <v/>
      </c>
      <c r="M231" s="10">
        <f>IF($C231="","",IFERROR(INDEX(tbl_Finance[Compare],MATCH($AE231,tbl_Finance[Row ID],0))&amp;"",""))</f>
        <v/>
      </c>
      <c r="N231" s="11">
        <f>IF($C231="","",MAX(0,N(O231)-N(L231)))</f>
        <v/>
      </c>
      <c r="O231" s="39" t="n"/>
      <c r="P231" s="40">
        <f>IF($C231="","",IF((IF(F231="",", Client","")&amp;IF(G231="",", Description","")&amp;IF(H231="",", Cost Centre","")&amp;IF(I231="",", Invoice Type","")&amp;IF(J231="",", Tax Code","")&amp;IF(O231="",", Expected Revenue","")&amp;IF(COUNTIF(tbl_Finance[Job Number],$C231&amp;"")&gt;1,", Job number used twice",""))="","Complete","Fix: "&amp;MID(IF(F231="",", Client","")&amp;IF(G231="",", Description","")&amp;IF(H231="",", Cost Centre","")&amp;IF(I231="",", Invoice Type","")&amp;IF(J231="",", Tax Code","")&amp;IF(O231="",", Expected Revenue","")&amp;IF(COUNTIF(tbl_Finance[Job Number],$C231&amp;"")&gt;1,", Job number used twice",""),3,300)))</f>
        <v/>
      </c>
      <c r="Q231" s="10">
        <f>IF($C231="","",IF(H231="","(no cost centre)",H231&amp;" - GL "&amp;IFERROR(INDEX(lst_CCtoGL,MATCH(H231,lst_CCforGL,0)),"?")))</f>
        <v/>
      </c>
      <c r="R231" s="37" t="n"/>
      <c r="S231" s="10">
        <f>IF(R231="","",HYPERLINK(IF(LEFT(R231,4)="http",R231,set_QwilrBase&amp;R231),"Open quote"))</f>
        <v/>
      </c>
      <c r="T231" s="39" t="n"/>
      <c r="U231" s="39" t="n"/>
      <c r="V231" s="39" t="n"/>
      <c r="W231" s="10">
        <f>IF(C231="","",IF(N(T231)+N(U231)+N(V231)=0,"Not split",IF(ROUND(N(T231)+N(U231)+N(V231),2)=ROUND(MAX(N(L231),N(O231)),2),"OK","MISMATCH")))</f>
        <v/>
      </c>
      <c r="X231" s="39" t="n"/>
      <c r="Y231" s="39" t="n"/>
      <c r="Z231" s="39" t="n"/>
      <c r="AA231" s="11">
        <f>IF(C231="","",N(X231)+N(Y231)+N(Z231))</f>
        <v/>
      </c>
      <c r="AB231" s="11">
        <f>IF(C231="","",MAX(N(L231),N(O231))-N(AA231))</f>
        <v/>
      </c>
      <c r="AC231" s="43">
        <f>IFERROR(IF(MAX(N(L231),N(O231))=0,"",AB231/MAX(N(L231),N(O231))),"")</f>
        <v/>
      </c>
      <c r="AD231" s="37" t="n"/>
      <c r="AE231" s="10" t="inlineStr">
        <is>
          <t>CON-0227</t>
        </is>
      </c>
    </row>
    <row r="232">
      <c r="A232" s="16">
        <f>IF($C232="","",IFERROR(IF(INDEX(tbl_Finance[Latest Invoice Date],MATCH($AE232,tbl_Finance[Row ID],0))="","",INDEX(tbl_Finance[Latest Invoice Date],MATCH($AE232,tbl_Finance[Row ID],0))),""))</f>
        <v/>
      </c>
      <c r="B232" s="10">
        <f>IF($C232="","",IFERROR(INDEX(tbl_Finance[Invoice Numbers],MATCH($AE232,tbl_Finance[Row ID],0))&amp;"",""))</f>
        <v/>
      </c>
      <c r="C232" s="37" t="n"/>
      <c r="D232" s="10">
        <f>IF($C232="","",IF(COUNTIF(lst_Jobs,$C232&amp;"")&gt;0,"OK","CHECK"))</f>
        <v/>
      </c>
      <c r="E232" s="10">
        <f>IF($C232="","",IFERROR(INDEX(lst_JobName,MATCH($C232&amp;"",lst_Jobs,0)),""))</f>
        <v/>
      </c>
      <c r="F232" s="37" t="n"/>
      <c r="G232" s="37" t="n"/>
      <c r="H232" s="37" t="n"/>
      <c r="I232" s="37" t="n"/>
      <c r="J232" s="37" t="n"/>
      <c r="K232" s="38">
        <f>IF($C232="","",IFERROR(N(INDEX(tbl_Finance[Invoice Count],MATCH($AE232,tbl_Finance[Row ID],0))),""))</f>
        <v/>
      </c>
      <c r="L232" s="11">
        <f>IF($C232="","",IFERROR(N(INDEX(tbl_Finance[Xero Invoiced Ex GST],MATCH($AE232,tbl_Finance[Row ID],0))),""))</f>
        <v/>
      </c>
      <c r="M232" s="10">
        <f>IF($C232="","",IFERROR(INDEX(tbl_Finance[Compare],MATCH($AE232,tbl_Finance[Row ID],0))&amp;"",""))</f>
        <v/>
      </c>
      <c r="N232" s="11">
        <f>IF($C232="","",MAX(0,N(O232)-N(L232)))</f>
        <v/>
      </c>
      <c r="O232" s="39" t="n"/>
      <c r="P232" s="40">
        <f>IF($C232="","",IF((IF(F232="",", Client","")&amp;IF(G232="",", Description","")&amp;IF(H232="",", Cost Centre","")&amp;IF(I232="",", Invoice Type","")&amp;IF(J232="",", Tax Code","")&amp;IF(O232="",", Expected Revenue","")&amp;IF(COUNTIF(tbl_Finance[Job Number],$C232&amp;"")&gt;1,", Job number used twice",""))="","Complete","Fix: "&amp;MID(IF(F232="",", Client","")&amp;IF(G232="",", Description","")&amp;IF(H232="",", Cost Centre","")&amp;IF(I232="",", Invoice Type","")&amp;IF(J232="",", Tax Code","")&amp;IF(O232="",", Expected Revenue","")&amp;IF(COUNTIF(tbl_Finance[Job Number],$C232&amp;"")&gt;1,", Job number used twice",""),3,300)))</f>
        <v/>
      </c>
      <c r="Q232" s="10">
        <f>IF($C232="","",IF(H232="","(no cost centre)",H232&amp;" - GL "&amp;IFERROR(INDEX(lst_CCtoGL,MATCH(H232,lst_CCforGL,0)),"?")))</f>
        <v/>
      </c>
      <c r="R232" s="37" t="n"/>
      <c r="S232" s="10">
        <f>IF(R232="","",HYPERLINK(IF(LEFT(R232,4)="http",R232,set_QwilrBase&amp;R232),"Open quote"))</f>
        <v/>
      </c>
      <c r="T232" s="39" t="n"/>
      <c r="U232" s="39" t="n"/>
      <c r="V232" s="39" t="n"/>
      <c r="W232" s="10">
        <f>IF(C232="","",IF(N(T232)+N(U232)+N(V232)=0,"Not split",IF(ROUND(N(T232)+N(U232)+N(V232),2)=ROUND(MAX(N(L232),N(O232)),2),"OK","MISMATCH")))</f>
        <v/>
      </c>
      <c r="X232" s="39" t="n"/>
      <c r="Y232" s="39" t="n"/>
      <c r="Z232" s="39" t="n"/>
      <c r="AA232" s="11">
        <f>IF(C232="","",N(X232)+N(Y232)+N(Z232))</f>
        <v/>
      </c>
      <c r="AB232" s="11">
        <f>IF(C232="","",MAX(N(L232),N(O232))-N(AA232))</f>
        <v/>
      </c>
      <c r="AC232" s="43">
        <f>IFERROR(IF(MAX(N(L232),N(O232))=0,"",AB232/MAX(N(L232),N(O232))),"")</f>
        <v/>
      </c>
      <c r="AD232" s="37" t="n"/>
      <c r="AE232" s="10" t="inlineStr">
        <is>
          <t>CON-0228</t>
        </is>
      </c>
    </row>
    <row r="233">
      <c r="A233" s="16">
        <f>IF($C233="","",IFERROR(IF(INDEX(tbl_Finance[Latest Invoice Date],MATCH($AE233,tbl_Finance[Row ID],0))="","",INDEX(tbl_Finance[Latest Invoice Date],MATCH($AE233,tbl_Finance[Row ID],0))),""))</f>
        <v/>
      </c>
      <c r="B233" s="10">
        <f>IF($C233="","",IFERROR(INDEX(tbl_Finance[Invoice Numbers],MATCH($AE233,tbl_Finance[Row ID],0))&amp;"",""))</f>
        <v/>
      </c>
      <c r="C233" s="37" t="n"/>
      <c r="D233" s="10">
        <f>IF($C233="","",IF(COUNTIF(lst_Jobs,$C233&amp;"")&gt;0,"OK","CHECK"))</f>
        <v/>
      </c>
      <c r="E233" s="10">
        <f>IF($C233="","",IFERROR(INDEX(lst_JobName,MATCH($C233&amp;"",lst_Jobs,0)),""))</f>
        <v/>
      </c>
      <c r="F233" s="37" t="n"/>
      <c r="G233" s="37" t="n"/>
      <c r="H233" s="37" t="n"/>
      <c r="I233" s="37" t="n"/>
      <c r="J233" s="37" t="n"/>
      <c r="K233" s="38">
        <f>IF($C233="","",IFERROR(N(INDEX(tbl_Finance[Invoice Count],MATCH($AE233,tbl_Finance[Row ID],0))),""))</f>
        <v/>
      </c>
      <c r="L233" s="11">
        <f>IF($C233="","",IFERROR(N(INDEX(tbl_Finance[Xero Invoiced Ex GST],MATCH($AE233,tbl_Finance[Row ID],0))),""))</f>
        <v/>
      </c>
      <c r="M233" s="10">
        <f>IF($C233="","",IFERROR(INDEX(tbl_Finance[Compare],MATCH($AE233,tbl_Finance[Row ID],0))&amp;"",""))</f>
        <v/>
      </c>
      <c r="N233" s="11">
        <f>IF($C233="","",MAX(0,N(O233)-N(L233)))</f>
        <v/>
      </c>
      <c r="O233" s="39" t="n"/>
      <c r="P233" s="40">
        <f>IF($C233="","",IF((IF(F233="",", Client","")&amp;IF(G233="",", Description","")&amp;IF(H233="",", Cost Centre","")&amp;IF(I233="",", Invoice Type","")&amp;IF(J233="",", Tax Code","")&amp;IF(O233="",", Expected Revenue","")&amp;IF(COUNTIF(tbl_Finance[Job Number],$C233&amp;"")&gt;1,", Job number used twice",""))="","Complete","Fix: "&amp;MID(IF(F233="",", Client","")&amp;IF(G233="",", Description","")&amp;IF(H233="",", Cost Centre","")&amp;IF(I233="",", Invoice Type","")&amp;IF(J233="",", Tax Code","")&amp;IF(O233="",", Expected Revenue","")&amp;IF(COUNTIF(tbl_Finance[Job Number],$C233&amp;"")&gt;1,", Job number used twice",""),3,300)))</f>
        <v/>
      </c>
      <c r="Q233" s="10">
        <f>IF($C233="","",IF(H233="","(no cost centre)",H233&amp;" - GL "&amp;IFERROR(INDEX(lst_CCtoGL,MATCH(H233,lst_CCforGL,0)),"?")))</f>
        <v/>
      </c>
      <c r="R233" s="37" t="n"/>
      <c r="S233" s="10">
        <f>IF(R233="","",HYPERLINK(IF(LEFT(R233,4)="http",R233,set_QwilrBase&amp;R233),"Open quote"))</f>
        <v/>
      </c>
      <c r="T233" s="39" t="n"/>
      <c r="U233" s="39" t="n"/>
      <c r="V233" s="39" t="n"/>
      <c r="W233" s="10">
        <f>IF(C233="","",IF(N(T233)+N(U233)+N(V233)=0,"Not split",IF(ROUND(N(T233)+N(U233)+N(V233),2)=ROUND(MAX(N(L233),N(O233)),2),"OK","MISMATCH")))</f>
        <v/>
      </c>
      <c r="X233" s="39" t="n"/>
      <c r="Y233" s="39" t="n"/>
      <c r="Z233" s="39" t="n"/>
      <c r="AA233" s="11">
        <f>IF(C233="","",N(X233)+N(Y233)+N(Z233))</f>
        <v/>
      </c>
      <c r="AB233" s="11">
        <f>IF(C233="","",MAX(N(L233),N(O233))-N(AA233))</f>
        <v/>
      </c>
      <c r="AC233" s="43">
        <f>IFERROR(IF(MAX(N(L233),N(O233))=0,"",AB233/MAX(N(L233),N(O233))),"")</f>
        <v/>
      </c>
      <c r="AD233" s="37" t="n"/>
      <c r="AE233" s="10" t="inlineStr">
        <is>
          <t>CON-0229</t>
        </is>
      </c>
    </row>
    <row r="234">
      <c r="A234" s="16">
        <f>IF($C234="","",IFERROR(IF(INDEX(tbl_Finance[Latest Invoice Date],MATCH($AE234,tbl_Finance[Row ID],0))="","",INDEX(tbl_Finance[Latest Invoice Date],MATCH($AE234,tbl_Finance[Row ID],0))),""))</f>
        <v/>
      </c>
      <c r="B234" s="10">
        <f>IF($C234="","",IFERROR(INDEX(tbl_Finance[Invoice Numbers],MATCH($AE234,tbl_Finance[Row ID],0))&amp;"",""))</f>
        <v/>
      </c>
      <c r="C234" s="37" t="n"/>
      <c r="D234" s="10">
        <f>IF($C234="","",IF(COUNTIF(lst_Jobs,$C234&amp;"")&gt;0,"OK","CHECK"))</f>
        <v/>
      </c>
      <c r="E234" s="10">
        <f>IF($C234="","",IFERROR(INDEX(lst_JobName,MATCH($C234&amp;"",lst_Jobs,0)),""))</f>
        <v/>
      </c>
      <c r="F234" s="37" t="n"/>
      <c r="G234" s="37" t="n"/>
      <c r="H234" s="37" t="n"/>
      <c r="I234" s="37" t="n"/>
      <c r="J234" s="37" t="n"/>
      <c r="K234" s="38">
        <f>IF($C234="","",IFERROR(N(INDEX(tbl_Finance[Invoice Count],MATCH($AE234,tbl_Finance[Row ID],0))),""))</f>
        <v/>
      </c>
      <c r="L234" s="11">
        <f>IF($C234="","",IFERROR(N(INDEX(tbl_Finance[Xero Invoiced Ex GST],MATCH($AE234,tbl_Finance[Row ID],0))),""))</f>
        <v/>
      </c>
      <c r="M234" s="10">
        <f>IF($C234="","",IFERROR(INDEX(tbl_Finance[Compare],MATCH($AE234,tbl_Finance[Row ID],0))&amp;"",""))</f>
        <v/>
      </c>
      <c r="N234" s="11">
        <f>IF($C234="","",MAX(0,N(O234)-N(L234)))</f>
        <v/>
      </c>
      <c r="O234" s="39" t="n"/>
      <c r="P234" s="40">
        <f>IF($C234="","",IF((IF(F234="",", Client","")&amp;IF(G234="",", Description","")&amp;IF(H234="",", Cost Centre","")&amp;IF(I234="",", Invoice Type","")&amp;IF(J234="",", Tax Code","")&amp;IF(O234="",", Expected Revenue","")&amp;IF(COUNTIF(tbl_Finance[Job Number],$C234&amp;"")&gt;1,", Job number used twice",""))="","Complete","Fix: "&amp;MID(IF(F234="",", Client","")&amp;IF(G234="",", Description","")&amp;IF(H234="",", Cost Centre","")&amp;IF(I234="",", Invoice Type","")&amp;IF(J234="",", Tax Code","")&amp;IF(O234="",", Expected Revenue","")&amp;IF(COUNTIF(tbl_Finance[Job Number],$C234&amp;"")&gt;1,", Job number used twice",""),3,300)))</f>
        <v/>
      </c>
      <c r="Q234" s="10">
        <f>IF($C234="","",IF(H234="","(no cost centre)",H234&amp;" - GL "&amp;IFERROR(INDEX(lst_CCtoGL,MATCH(H234,lst_CCforGL,0)),"?")))</f>
        <v/>
      </c>
      <c r="R234" s="37" t="n"/>
      <c r="S234" s="10">
        <f>IF(R234="","",HYPERLINK(IF(LEFT(R234,4)="http",R234,set_QwilrBase&amp;R234),"Open quote"))</f>
        <v/>
      </c>
      <c r="T234" s="39" t="n"/>
      <c r="U234" s="39" t="n"/>
      <c r="V234" s="39" t="n"/>
      <c r="W234" s="10">
        <f>IF(C234="","",IF(N(T234)+N(U234)+N(V234)=0,"Not split",IF(ROUND(N(T234)+N(U234)+N(V234),2)=ROUND(MAX(N(L234),N(O234)),2),"OK","MISMATCH")))</f>
        <v/>
      </c>
      <c r="X234" s="39" t="n"/>
      <c r="Y234" s="39" t="n"/>
      <c r="Z234" s="39" t="n"/>
      <c r="AA234" s="11">
        <f>IF(C234="","",N(X234)+N(Y234)+N(Z234))</f>
        <v/>
      </c>
      <c r="AB234" s="11">
        <f>IF(C234="","",MAX(N(L234),N(O234))-N(AA234))</f>
        <v/>
      </c>
      <c r="AC234" s="43">
        <f>IFERROR(IF(MAX(N(L234),N(O234))=0,"",AB234/MAX(N(L234),N(O234))),"")</f>
        <v/>
      </c>
      <c r="AD234" s="37" t="n"/>
      <c r="AE234" s="10" t="inlineStr">
        <is>
          <t>CON-0230</t>
        </is>
      </c>
    </row>
    <row r="235">
      <c r="A235" s="16">
        <f>IF($C235="","",IFERROR(IF(INDEX(tbl_Finance[Latest Invoice Date],MATCH($AE235,tbl_Finance[Row ID],0))="","",INDEX(tbl_Finance[Latest Invoice Date],MATCH($AE235,tbl_Finance[Row ID],0))),""))</f>
        <v/>
      </c>
      <c r="B235" s="10">
        <f>IF($C235="","",IFERROR(INDEX(tbl_Finance[Invoice Numbers],MATCH($AE235,tbl_Finance[Row ID],0))&amp;"",""))</f>
        <v/>
      </c>
      <c r="C235" s="37" t="n"/>
      <c r="D235" s="10">
        <f>IF($C235="","",IF(COUNTIF(lst_Jobs,$C235&amp;"")&gt;0,"OK","CHECK"))</f>
        <v/>
      </c>
      <c r="E235" s="10">
        <f>IF($C235="","",IFERROR(INDEX(lst_JobName,MATCH($C235&amp;"",lst_Jobs,0)),""))</f>
        <v/>
      </c>
      <c r="F235" s="37" t="n"/>
      <c r="G235" s="37" t="n"/>
      <c r="H235" s="37" t="n"/>
      <c r="I235" s="37" t="n"/>
      <c r="J235" s="37" t="n"/>
      <c r="K235" s="38">
        <f>IF($C235="","",IFERROR(N(INDEX(tbl_Finance[Invoice Count],MATCH($AE235,tbl_Finance[Row ID],0))),""))</f>
        <v/>
      </c>
      <c r="L235" s="11">
        <f>IF($C235="","",IFERROR(N(INDEX(tbl_Finance[Xero Invoiced Ex GST],MATCH($AE235,tbl_Finance[Row ID],0))),""))</f>
        <v/>
      </c>
      <c r="M235" s="10">
        <f>IF($C235="","",IFERROR(INDEX(tbl_Finance[Compare],MATCH($AE235,tbl_Finance[Row ID],0))&amp;"",""))</f>
        <v/>
      </c>
      <c r="N235" s="11">
        <f>IF($C235="","",MAX(0,N(O235)-N(L235)))</f>
        <v/>
      </c>
      <c r="O235" s="39" t="n"/>
      <c r="P235" s="40">
        <f>IF($C235="","",IF((IF(F235="",", Client","")&amp;IF(G235="",", Description","")&amp;IF(H235="",", Cost Centre","")&amp;IF(I235="",", Invoice Type","")&amp;IF(J235="",", Tax Code","")&amp;IF(O235="",", Expected Revenue","")&amp;IF(COUNTIF(tbl_Finance[Job Number],$C235&amp;"")&gt;1,", Job number used twice",""))="","Complete","Fix: "&amp;MID(IF(F235="",", Client","")&amp;IF(G235="",", Description","")&amp;IF(H235="",", Cost Centre","")&amp;IF(I235="",", Invoice Type","")&amp;IF(J235="",", Tax Code","")&amp;IF(O235="",", Expected Revenue","")&amp;IF(COUNTIF(tbl_Finance[Job Number],$C235&amp;"")&gt;1,", Job number used twice",""),3,300)))</f>
        <v/>
      </c>
      <c r="Q235" s="10">
        <f>IF($C235="","",IF(H235="","(no cost centre)",H235&amp;" - GL "&amp;IFERROR(INDEX(lst_CCtoGL,MATCH(H235,lst_CCforGL,0)),"?")))</f>
        <v/>
      </c>
      <c r="R235" s="37" t="n"/>
      <c r="S235" s="10">
        <f>IF(R235="","",HYPERLINK(IF(LEFT(R235,4)="http",R235,set_QwilrBase&amp;R235),"Open quote"))</f>
        <v/>
      </c>
      <c r="T235" s="39" t="n"/>
      <c r="U235" s="39" t="n"/>
      <c r="V235" s="39" t="n"/>
      <c r="W235" s="10">
        <f>IF(C235="","",IF(N(T235)+N(U235)+N(V235)=0,"Not split",IF(ROUND(N(T235)+N(U235)+N(V235),2)=ROUND(MAX(N(L235),N(O235)),2),"OK","MISMATCH")))</f>
        <v/>
      </c>
      <c r="X235" s="39" t="n"/>
      <c r="Y235" s="39" t="n"/>
      <c r="Z235" s="39" t="n"/>
      <c r="AA235" s="11">
        <f>IF(C235="","",N(X235)+N(Y235)+N(Z235))</f>
        <v/>
      </c>
      <c r="AB235" s="11">
        <f>IF(C235="","",MAX(N(L235),N(O235))-N(AA235))</f>
        <v/>
      </c>
      <c r="AC235" s="43">
        <f>IFERROR(IF(MAX(N(L235),N(O235))=0,"",AB235/MAX(N(L235),N(O235))),"")</f>
        <v/>
      </c>
      <c r="AD235" s="37" t="n"/>
      <c r="AE235" s="10" t="inlineStr">
        <is>
          <t>CON-0231</t>
        </is>
      </c>
    </row>
    <row r="236">
      <c r="A236" s="16">
        <f>IF($C236="","",IFERROR(IF(INDEX(tbl_Finance[Latest Invoice Date],MATCH($AE236,tbl_Finance[Row ID],0))="","",INDEX(tbl_Finance[Latest Invoice Date],MATCH($AE236,tbl_Finance[Row ID],0))),""))</f>
        <v/>
      </c>
      <c r="B236" s="10">
        <f>IF($C236="","",IFERROR(INDEX(tbl_Finance[Invoice Numbers],MATCH($AE236,tbl_Finance[Row ID],0))&amp;"",""))</f>
        <v/>
      </c>
      <c r="C236" s="37" t="n"/>
      <c r="D236" s="10">
        <f>IF($C236="","",IF(COUNTIF(lst_Jobs,$C236&amp;"")&gt;0,"OK","CHECK"))</f>
        <v/>
      </c>
      <c r="E236" s="10">
        <f>IF($C236="","",IFERROR(INDEX(lst_JobName,MATCH($C236&amp;"",lst_Jobs,0)),""))</f>
        <v/>
      </c>
      <c r="F236" s="37" t="n"/>
      <c r="G236" s="37" t="n"/>
      <c r="H236" s="37" t="n"/>
      <c r="I236" s="37" t="n"/>
      <c r="J236" s="37" t="n"/>
      <c r="K236" s="38">
        <f>IF($C236="","",IFERROR(N(INDEX(tbl_Finance[Invoice Count],MATCH($AE236,tbl_Finance[Row ID],0))),""))</f>
        <v/>
      </c>
      <c r="L236" s="11">
        <f>IF($C236="","",IFERROR(N(INDEX(tbl_Finance[Xero Invoiced Ex GST],MATCH($AE236,tbl_Finance[Row ID],0))),""))</f>
        <v/>
      </c>
      <c r="M236" s="10">
        <f>IF($C236="","",IFERROR(INDEX(tbl_Finance[Compare],MATCH($AE236,tbl_Finance[Row ID],0))&amp;"",""))</f>
        <v/>
      </c>
      <c r="N236" s="11">
        <f>IF($C236="","",MAX(0,N(O236)-N(L236)))</f>
        <v/>
      </c>
      <c r="O236" s="39" t="n"/>
      <c r="P236" s="40">
        <f>IF($C236="","",IF((IF(F236="",", Client","")&amp;IF(G236="",", Description","")&amp;IF(H236="",", Cost Centre","")&amp;IF(I236="",", Invoice Type","")&amp;IF(J236="",", Tax Code","")&amp;IF(O236="",", Expected Revenue","")&amp;IF(COUNTIF(tbl_Finance[Job Number],$C236&amp;"")&gt;1,", Job number used twice",""))="","Complete","Fix: "&amp;MID(IF(F236="",", Client","")&amp;IF(G236="",", Description","")&amp;IF(H236="",", Cost Centre","")&amp;IF(I236="",", Invoice Type","")&amp;IF(J236="",", Tax Code","")&amp;IF(O236="",", Expected Revenue","")&amp;IF(COUNTIF(tbl_Finance[Job Number],$C236&amp;"")&gt;1,", Job number used twice",""),3,300)))</f>
        <v/>
      </c>
      <c r="Q236" s="10">
        <f>IF($C236="","",IF(H236="","(no cost centre)",H236&amp;" - GL "&amp;IFERROR(INDEX(lst_CCtoGL,MATCH(H236,lst_CCforGL,0)),"?")))</f>
        <v/>
      </c>
      <c r="R236" s="37" t="n"/>
      <c r="S236" s="10">
        <f>IF(R236="","",HYPERLINK(IF(LEFT(R236,4)="http",R236,set_QwilrBase&amp;R236),"Open quote"))</f>
        <v/>
      </c>
      <c r="T236" s="39" t="n"/>
      <c r="U236" s="39" t="n"/>
      <c r="V236" s="39" t="n"/>
      <c r="W236" s="10">
        <f>IF(C236="","",IF(N(T236)+N(U236)+N(V236)=0,"Not split",IF(ROUND(N(T236)+N(U236)+N(V236),2)=ROUND(MAX(N(L236),N(O236)),2),"OK","MISMATCH")))</f>
        <v/>
      </c>
      <c r="X236" s="39" t="n"/>
      <c r="Y236" s="39" t="n"/>
      <c r="Z236" s="39" t="n"/>
      <c r="AA236" s="11">
        <f>IF(C236="","",N(X236)+N(Y236)+N(Z236))</f>
        <v/>
      </c>
      <c r="AB236" s="11">
        <f>IF(C236="","",MAX(N(L236),N(O236))-N(AA236))</f>
        <v/>
      </c>
      <c r="AC236" s="43">
        <f>IFERROR(IF(MAX(N(L236),N(O236))=0,"",AB236/MAX(N(L236),N(O236))),"")</f>
        <v/>
      </c>
      <c r="AD236" s="37" t="n"/>
      <c r="AE236" s="10" t="inlineStr">
        <is>
          <t>CON-0232</t>
        </is>
      </c>
    </row>
    <row r="237">
      <c r="A237" s="16">
        <f>IF($C237="","",IFERROR(IF(INDEX(tbl_Finance[Latest Invoice Date],MATCH($AE237,tbl_Finance[Row ID],0))="","",INDEX(tbl_Finance[Latest Invoice Date],MATCH($AE237,tbl_Finance[Row ID],0))),""))</f>
        <v/>
      </c>
      <c r="B237" s="10">
        <f>IF($C237="","",IFERROR(INDEX(tbl_Finance[Invoice Numbers],MATCH($AE237,tbl_Finance[Row ID],0))&amp;"",""))</f>
        <v/>
      </c>
      <c r="C237" s="37" t="n"/>
      <c r="D237" s="10">
        <f>IF($C237="","",IF(COUNTIF(lst_Jobs,$C237&amp;"")&gt;0,"OK","CHECK"))</f>
        <v/>
      </c>
      <c r="E237" s="10">
        <f>IF($C237="","",IFERROR(INDEX(lst_JobName,MATCH($C237&amp;"",lst_Jobs,0)),""))</f>
        <v/>
      </c>
      <c r="F237" s="37" t="n"/>
      <c r="G237" s="37" t="n"/>
      <c r="H237" s="37" t="n"/>
      <c r="I237" s="37" t="n"/>
      <c r="J237" s="37" t="n"/>
      <c r="K237" s="38">
        <f>IF($C237="","",IFERROR(N(INDEX(tbl_Finance[Invoice Count],MATCH($AE237,tbl_Finance[Row ID],0))),""))</f>
        <v/>
      </c>
      <c r="L237" s="11">
        <f>IF($C237="","",IFERROR(N(INDEX(tbl_Finance[Xero Invoiced Ex GST],MATCH($AE237,tbl_Finance[Row ID],0))),""))</f>
        <v/>
      </c>
      <c r="M237" s="10">
        <f>IF($C237="","",IFERROR(INDEX(tbl_Finance[Compare],MATCH($AE237,tbl_Finance[Row ID],0))&amp;"",""))</f>
        <v/>
      </c>
      <c r="N237" s="11">
        <f>IF($C237="","",MAX(0,N(O237)-N(L237)))</f>
        <v/>
      </c>
      <c r="O237" s="39" t="n"/>
      <c r="P237" s="40">
        <f>IF($C237="","",IF((IF(F237="",", Client","")&amp;IF(G237="",", Description","")&amp;IF(H237="",", Cost Centre","")&amp;IF(I237="",", Invoice Type","")&amp;IF(J237="",", Tax Code","")&amp;IF(O237="",", Expected Revenue","")&amp;IF(COUNTIF(tbl_Finance[Job Number],$C237&amp;"")&gt;1,", Job number used twice",""))="","Complete","Fix: "&amp;MID(IF(F237="",", Client","")&amp;IF(G237="",", Description","")&amp;IF(H237="",", Cost Centre","")&amp;IF(I237="",", Invoice Type","")&amp;IF(J237="",", Tax Code","")&amp;IF(O237="",", Expected Revenue","")&amp;IF(COUNTIF(tbl_Finance[Job Number],$C237&amp;"")&gt;1,", Job number used twice",""),3,300)))</f>
        <v/>
      </c>
      <c r="Q237" s="10">
        <f>IF($C237="","",IF(H237="","(no cost centre)",H237&amp;" - GL "&amp;IFERROR(INDEX(lst_CCtoGL,MATCH(H237,lst_CCforGL,0)),"?")))</f>
        <v/>
      </c>
      <c r="R237" s="37" t="n"/>
      <c r="S237" s="10">
        <f>IF(R237="","",HYPERLINK(IF(LEFT(R237,4)="http",R237,set_QwilrBase&amp;R237),"Open quote"))</f>
        <v/>
      </c>
      <c r="T237" s="39" t="n"/>
      <c r="U237" s="39" t="n"/>
      <c r="V237" s="39" t="n"/>
      <c r="W237" s="10">
        <f>IF(C237="","",IF(N(T237)+N(U237)+N(V237)=0,"Not split",IF(ROUND(N(T237)+N(U237)+N(V237),2)=ROUND(MAX(N(L237),N(O237)),2),"OK","MISMATCH")))</f>
        <v/>
      </c>
      <c r="X237" s="39" t="n"/>
      <c r="Y237" s="39" t="n"/>
      <c r="Z237" s="39" t="n"/>
      <c r="AA237" s="11">
        <f>IF(C237="","",N(X237)+N(Y237)+N(Z237))</f>
        <v/>
      </c>
      <c r="AB237" s="11">
        <f>IF(C237="","",MAX(N(L237),N(O237))-N(AA237))</f>
        <v/>
      </c>
      <c r="AC237" s="43">
        <f>IFERROR(IF(MAX(N(L237),N(O237))=0,"",AB237/MAX(N(L237),N(O237))),"")</f>
        <v/>
      </c>
      <c r="AD237" s="37" t="n"/>
      <c r="AE237" s="10" t="inlineStr">
        <is>
          <t>CON-0233</t>
        </is>
      </c>
    </row>
    <row r="238">
      <c r="A238" s="16">
        <f>IF($C238="","",IFERROR(IF(INDEX(tbl_Finance[Latest Invoice Date],MATCH($AE238,tbl_Finance[Row ID],0))="","",INDEX(tbl_Finance[Latest Invoice Date],MATCH($AE238,tbl_Finance[Row ID],0))),""))</f>
        <v/>
      </c>
      <c r="B238" s="10">
        <f>IF($C238="","",IFERROR(INDEX(tbl_Finance[Invoice Numbers],MATCH($AE238,tbl_Finance[Row ID],0))&amp;"",""))</f>
        <v/>
      </c>
      <c r="C238" s="37" t="n"/>
      <c r="D238" s="10">
        <f>IF($C238="","",IF(COUNTIF(lst_Jobs,$C238&amp;"")&gt;0,"OK","CHECK"))</f>
        <v/>
      </c>
      <c r="E238" s="10">
        <f>IF($C238="","",IFERROR(INDEX(lst_JobName,MATCH($C238&amp;"",lst_Jobs,0)),""))</f>
        <v/>
      </c>
      <c r="F238" s="37" t="n"/>
      <c r="G238" s="37" t="n"/>
      <c r="H238" s="37" t="n"/>
      <c r="I238" s="37" t="n"/>
      <c r="J238" s="37" t="n"/>
      <c r="K238" s="38">
        <f>IF($C238="","",IFERROR(N(INDEX(tbl_Finance[Invoice Count],MATCH($AE238,tbl_Finance[Row ID],0))),""))</f>
        <v/>
      </c>
      <c r="L238" s="11">
        <f>IF($C238="","",IFERROR(N(INDEX(tbl_Finance[Xero Invoiced Ex GST],MATCH($AE238,tbl_Finance[Row ID],0))),""))</f>
        <v/>
      </c>
      <c r="M238" s="10">
        <f>IF($C238="","",IFERROR(INDEX(tbl_Finance[Compare],MATCH($AE238,tbl_Finance[Row ID],0))&amp;"",""))</f>
        <v/>
      </c>
      <c r="N238" s="11">
        <f>IF($C238="","",MAX(0,N(O238)-N(L238)))</f>
        <v/>
      </c>
      <c r="O238" s="39" t="n"/>
      <c r="P238" s="40">
        <f>IF($C238="","",IF((IF(F238="",", Client","")&amp;IF(G238="",", Description","")&amp;IF(H238="",", Cost Centre","")&amp;IF(I238="",", Invoice Type","")&amp;IF(J238="",", Tax Code","")&amp;IF(O238="",", Expected Revenue","")&amp;IF(COUNTIF(tbl_Finance[Job Number],$C238&amp;"")&gt;1,", Job number used twice",""))="","Complete","Fix: "&amp;MID(IF(F238="",", Client","")&amp;IF(G238="",", Description","")&amp;IF(H238="",", Cost Centre","")&amp;IF(I238="",", Invoice Type","")&amp;IF(J238="",", Tax Code","")&amp;IF(O238="",", Expected Revenue","")&amp;IF(COUNTIF(tbl_Finance[Job Number],$C238&amp;"")&gt;1,", Job number used twice",""),3,300)))</f>
        <v/>
      </c>
      <c r="Q238" s="10">
        <f>IF($C238="","",IF(H238="","(no cost centre)",H238&amp;" - GL "&amp;IFERROR(INDEX(lst_CCtoGL,MATCH(H238,lst_CCforGL,0)),"?")))</f>
        <v/>
      </c>
      <c r="R238" s="37" t="n"/>
      <c r="S238" s="10">
        <f>IF(R238="","",HYPERLINK(IF(LEFT(R238,4)="http",R238,set_QwilrBase&amp;R238),"Open quote"))</f>
        <v/>
      </c>
      <c r="T238" s="39" t="n"/>
      <c r="U238" s="39" t="n"/>
      <c r="V238" s="39" t="n"/>
      <c r="W238" s="10">
        <f>IF(C238="","",IF(N(T238)+N(U238)+N(V238)=0,"Not split",IF(ROUND(N(T238)+N(U238)+N(V238),2)=ROUND(MAX(N(L238),N(O238)),2),"OK","MISMATCH")))</f>
        <v/>
      </c>
      <c r="X238" s="39" t="n"/>
      <c r="Y238" s="39" t="n"/>
      <c r="Z238" s="39" t="n"/>
      <c r="AA238" s="11">
        <f>IF(C238="","",N(X238)+N(Y238)+N(Z238))</f>
        <v/>
      </c>
      <c r="AB238" s="11">
        <f>IF(C238="","",MAX(N(L238),N(O238))-N(AA238))</f>
        <v/>
      </c>
      <c r="AC238" s="43">
        <f>IFERROR(IF(MAX(N(L238),N(O238))=0,"",AB238/MAX(N(L238),N(O238))),"")</f>
        <v/>
      </c>
      <c r="AD238" s="37" t="n"/>
      <c r="AE238" s="10" t="inlineStr">
        <is>
          <t>CON-0234</t>
        </is>
      </c>
    </row>
    <row r="239">
      <c r="A239" s="16">
        <f>IF($C239="","",IFERROR(IF(INDEX(tbl_Finance[Latest Invoice Date],MATCH($AE239,tbl_Finance[Row ID],0))="","",INDEX(tbl_Finance[Latest Invoice Date],MATCH($AE239,tbl_Finance[Row ID],0))),""))</f>
        <v/>
      </c>
      <c r="B239" s="10">
        <f>IF($C239="","",IFERROR(INDEX(tbl_Finance[Invoice Numbers],MATCH($AE239,tbl_Finance[Row ID],0))&amp;"",""))</f>
        <v/>
      </c>
      <c r="C239" s="37" t="n"/>
      <c r="D239" s="10">
        <f>IF($C239="","",IF(COUNTIF(lst_Jobs,$C239&amp;"")&gt;0,"OK","CHECK"))</f>
        <v/>
      </c>
      <c r="E239" s="10">
        <f>IF($C239="","",IFERROR(INDEX(lst_JobName,MATCH($C239&amp;"",lst_Jobs,0)),""))</f>
        <v/>
      </c>
      <c r="F239" s="37" t="n"/>
      <c r="G239" s="37" t="n"/>
      <c r="H239" s="37" t="n"/>
      <c r="I239" s="37" t="n"/>
      <c r="J239" s="37" t="n"/>
      <c r="K239" s="38">
        <f>IF($C239="","",IFERROR(N(INDEX(tbl_Finance[Invoice Count],MATCH($AE239,tbl_Finance[Row ID],0))),""))</f>
        <v/>
      </c>
      <c r="L239" s="11">
        <f>IF($C239="","",IFERROR(N(INDEX(tbl_Finance[Xero Invoiced Ex GST],MATCH($AE239,tbl_Finance[Row ID],0))),""))</f>
        <v/>
      </c>
      <c r="M239" s="10">
        <f>IF($C239="","",IFERROR(INDEX(tbl_Finance[Compare],MATCH($AE239,tbl_Finance[Row ID],0))&amp;"",""))</f>
        <v/>
      </c>
      <c r="N239" s="11">
        <f>IF($C239="","",MAX(0,N(O239)-N(L239)))</f>
        <v/>
      </c>
      <c r="O239" s="39" t="n"/>
      <c r="P239" s="40">
        <f>IF($C239="","",IF((IF(F239="",", Client","")&amp;IF(G239="",", Description","")&amp;IF(H239="",", Cost Centre","")&amp;IF(I239="",", Invoice Type","")&amp;IF(J239="",", Tax Code","")&amp;IF(O239="",", Expected Revenue","")&amp;IF(COUNTIF(tbl_Finance[Job Number],$C239&amp;"")&gt;1,", Job number used twice",""))="","Complete","Fix: "&amp;MID(IF(F239="",", Client","")&amp;IF(G239="",", Description","")&amp;IF(H239="",", Cost Centre","")&amp;IF(I239="",", Invoice Type","")&amp;IF(J239="",", Tax Code","")&amp;IF(O239="",", Expected Revenue","")&amp;IF(COUNTIF(tbl_Finance[Job Number],$C239&amp;"")&gt;1,", Job number used twice",""),3,300)))</f>
        <v/>
      </c>
      <c r="Q239" s="10">
        <f>IF($C239="","",IF(H239="","(no cost centre)",H239&amp;" - GL "&amp;IFERROR(INDEX(lst_CCtoGL,MATCH(H239,lst_CCforGL,0)),"?")))</f>
        <v/>
      </c>
      <c r="R239" s="37" t="n"/>
      <c r="S239" s="10">
        <f>IF(R239="","",HYPERLINK(IF(LEFT(R239,4)="http",R239,set_QwilrBase&amp;R239),"Open quote"))</f>
        <v/>
      </c>
      <c r="T239" s="39" t="n"/>
      <c r="U239" s="39" t="n"/>
      <c r="V239" s="39" t="n"/>
      <c r="W239" s="10">
        <f>IF(C239="","",IF(N(T239)+N(U239)+N(V239)=0,"Not split",IF(ROUND(N(T239)+N(U239)+N(V239),2)=ROUND(MAX(N(L239),N(O239)),2),"OK","MISMATCH")))</f>
        <v/>
      </c>
      <c r="X239" s="39" t="n"/>
      <c r="Y239" s="39" t="n"/>
      <c r="Z239" s="39" t="n"/>
      <c r="AA239" s="11">
        <f>IF(C239="","",N(X239)+N(Y239)+N(Z239))</f>
        <v/>
      </c>
      <c r="AB239" s="11">
        <f>IF(C239="","",MAX(N(L239),N(O239))-N(AA239))</f>
        <v/>
      </c>
      <c r="AC239" s="43">
        <f>IFERROR(IF(MAX(N(L239),N(O239))=0,"",AB239/MAX(N(L239),N(O239))),"")</f>
        <v/>
      </c>
      <c r="AD239" s="37" t="n"/>
      <c r="AE239" s="10" t="inlineStr">
        <is>
          <t>CON-0235</t>
        </is>
      </c>
    </row>
    <row r="240">
      <c r="A240" s="16">
        <f>IF($C240="","",IFERROR(IF(INDEX(tbl_Finance[Latest Invoice Date],MATCH($AE240,tbl_Finance[Row ID],0))="","",INDEX(tbl_Finance[Latest Invoice Date],MATCH($AE240,tbl_Finance[Row ID],0))),""))</f>
        <v/>
      </c>
      <c r="B240" s="10">
        <f>IF($C240="","",IFERROR(INDEX(tbl_Finance[Invoice Numbers],MATCH($AE240,tbl_Finance[Row ID],0))&amp;"",""))</f>
        <v/>
      </c>
      <c r="C240" s="37" t="n"/>
      <c r="D240" s="10">
        <f>IF($C240="","",IF(COUNTIF(lst_Jobs,$C240&amp;"")&gt;0,"OK","CHECK"))</f>
        <v/>
      </c>
      <c r="E240" s="10">
        <f>IF($C240="","",IFERROR(INDEX(lst_JobName,MATCH($C240&amp;"",lst_Jobs,0)),""))</f>
        <v/>
      </c>
      <c r="F240" s="37" t="n"/>
      <c r="G240" s="37" t="n"/>
      <c r="H240" s="37" t="n"/>
      <c r="I240" s="37" t="n"/>
      <c r="J240" s="37" t="n"/>
      <c r="K240" s="38">
        <f>IF($C240="","",IFERROR(N(INDEX(tbl_Finance[Invoice Count],MATCH($AE240,tbl_Finance[Row ID],0))),""))</f>
        <v/>
      </c>
      <c r="L240" s="11">
        <f>IF($C240="","",IFERROR(N(INDEX(tbl_Finance[Xero Invoiced Ex GST],MATCH($AE240,tbl_Finance[Row ID],0))),""))</f>
        <v/>
      </c>
      <c r="M240" s="10">
        <f>IF($C240="","",IFERROR(INDEX(tbl_Finance[Compare],MATCH($AE240,tbl_Finance[Row ID],0))&amp;"",""))</f>
        <v/>
      </c>
      <c r="N240" s="11">
        <f>IF($C240="","",MAX(0,N(O240)-N(L240)))</f>
        <v/>
      </c>
      <c r="O240" s="39" t="n"/>
      <c r="P240" s="40">
        <f>IF($C240="","",IF((IF(F240="",", Client","")&amp;IF(G240="",", Description","")&amp;IF(H240="",", Cost Centre","")&amp;IF(I240="",", Invoice Type","")&amp;IF(J240="",", Tax Code","")&amp;IF(O240="",", Expected Revenue","")&amp;IF(COUNTIF(tbl_Finance[Job Number],$C240&amp;"")&gt;1,", Job number used twice",""))="","Complete","Fix: "&amp;MID(IF(F240="",", Client","")&amp;IF(G240="",", Description","")&amp;IF(H240="",", Cost Centre","")&amp;IF(I240="",", Invoice Type","")&amp;IF(J240="",", Tax Code","")&amp;IF(O240="",", Expected Revenue","")&amp;IF(COUNTIF(tbl_Finance[Job Number],$C240&amp;"")&gt;1,", Job number used twice",""),3,300)))</f>
        <v/>
      </c>
      <c r="Q240" s="10">
        <f>IF($C240="","",IF(H240="","(no cost centre)",H240&amp;" - GL "&amp;IFERROR(INDEX(lst_CCtoGL,MATCH(H240,lst_CCforGL,0)),"?")))</f>
        <v/>
      </c>
      <c r="R240" s="37" t="n"/>
      <c r="S240" s="10">
        <f>IF(R240="","",HYPERLINK(IF(LEFT(R240,4)="http",R240,set_QwilrBase&amp;R240),"Open quote"))</f>
        <v/>
      </c>
      <c r="T240" s="39" t="n"/>
      <c r="U240" s="39" t="n"/>
      <c r="V240" s="39" t="n"/>
      <c r="W240" s="10">
        <f>IF(C240="","",IF(N(T240)+N(U240)+N(V240)=0,"Not split",IF(ROUND(N(T240)+N(U240)+N(V240),2)=ROUND(MAX(N(L240),N(O240)),2),"OK","MISMATCH")))</f>
        <v/>
      </c>
      <c r="X240" s="39" t="n"/>
      <c r="Y240" s="39" t="n"/>
      <c r="Z240" s="39" t="n"/>
      <c r="AA240" s="11">
        <f>IF(C240="","",N(X240)+N(Y240)+N(Z240))</f>
        <v/>
      </c>
      <c r="AB240" s="11">
        <f>IF(C240="","",MAX(N(L240),N(O240))-N(AA240))</f>
        <v/>
      </c>
      <c r="AC240" s="43">
        <f>IFERROR(IF(MAX(N(L240),N(O240))=0,"",AB240/MAX(N(L240),N(O240))),"")</f>
        <v/>
      </c>
      <c r="AD240" s="37" t="n"/>
      <c r="AE240" s="10" t="inlineStr">
        <is>
          <t>CON-0236</t>
        </is>
      </c>
    </row>
    <row r="241">
      <c r="A241" s="16">
        <f>IF($C241="","",IFERROR(IF(INDEX(tbl_Finance[Latest Invoice Date],MATCH($AE241,tbl_Finance[Row ID],0))="","",INDEX(tbl_Finance[Latest Invoice Date],MATCH($AE241,tbl_Finance[Row ID],0))),""))</f>
        <v/>
      </c>
      <c r="B241" s="10">
        <f>IF($C241="","",IFERROR(INDEX(tbl_Finance[Invoice Numbers],MATCH($AE241,tbl_Finance[Row ID],0))&amp;"",""))</f>
        <v/>
      </c>
      <c r="C241" s="37" t="n"/>
      <c r="D241" s="10">
        <f>IF($C241="","",IF(COUNTIF(lst_Jobs,$C241&amp;"")&gt;0,"OK","CHECK"))</f>
        <v/>
      </c>
      <c r="E241" s="10">
        <f>IF($C241="","",IFERROR(INDEX(lst_JobName,MATCH($C241&amp;"",lst_Jobs,0)),""))</f>
        <v/>
      </c>
      <c r="F241" s="37" t="n"/>
      <c r="G241" s="37" t="n"/>
      <c r="H241" s="37" t="n"/>
      <c r="I241" s="37" t="n"/>
      <c r="J241" s="37" t="n"/>
      <c r="K241" s="38">
        <f>IF($C241="","",IFERROR(N(INDEX(tbl_Finance[Invoice Count],MATCH($AE241,tbl_Finance[Row ID],0))),""))</f>
        <v/>
      </c>
      <c r="L241" s="11">
        <f>IF($C241="","",IFERROR(N(INDEX(tbl_Finance[Xero Invoiced Ex GST],MATCH($AE241,tbl_Finance[Row ID],0))),""))</f>
        <v/>
      </c>
      <c r="M241" s="10">
        <f>IF($C241="","",IFERROR(INDEX(tbl_Finance[Compare],MATCH($AE241,tbl_Finance[Row ID],0))&amp;"",""))</f>
        <v/>
      </c>
      <c r="N241" s="11">
        <f>IF($C241="","",MAX(0,N(O241)-N(L241)))</f>
        <v/>
      </c>
      <c r="O241" s="39" t="n"/>
      <c r="P241" s="40">
        <f>IF($C241="","",IF((IF(F241="",", Client","")&amp;IF(G241="",", Description","")&amp;IF(H241="",", Cost Centre","")&amp;IF(I241="",", Invoice Type","")&amp;IF(J241="",", Tax Code","")&amp;IF(O241="",", Expected Revenue","")&amp;IF(COUNTIF(tbl_Finance[Job Number],$C241&amp;"")&gt;1,", Job number used twice",""))="","Complete","Fix: "&amp;MID(IF(F241="",", Client","")&amp;IF(G241="",", Description","")&amp;IF(H241="",", Cost Centre","")&amp;IF(I241="",", Invoice Type","")&amp;IF(J241="",", Tax Code","")&amp;IF(O241="",", Expected Revenue","")&amp;IF(COUNTIF(tbl_Finance[Job Number],$C241&amp;"")&gt;1,", Job number used twice",""),3,300)))</f>
        <v/>
      </c>
      <c r="Q241" s="10">
        <f>IF($C241="","",IF(H241="","(no cost centre)",H241&amp;" - GL "&amp;IFERROR(INDEX(lst_CCtoGL,MATCH(H241,lst_CCforGL,0)),"?")))</f>
        <v/>
      </c>
      <c r="R241" s="37" t="n"/>
      <c r="S241" s="10">
        <f>IF(R241="","",HYPERLINK(IF(LEFT(R241,4)="http",R241,set_QwilrBase&amp;R241),"Open quote"))</f>
        <v/>
      </c>
      <c r="T241" s="39" t="n"/>
      <c r="U241" s="39" t="n"/>
      <c r="V241" s="39" t="n"/>
      <c r="W241" s="10">
        <f>IF(C241="","",IF(N(T241)+N(U241)+N(V241)=0,"Not split",IF(ROUND(N(T241)+N(U241)+N(V241),2)=ROUND(MAX(N(L241),N(O241)),2),"OK","MISMATCH")))</f>
        <v/>
      </c>
      <c r="X241" s="39" t="n"/>
      <c r="Y241" s="39" t="n"/>
      <c r="Z241" s="39" t="n"/>
      <c r="AA241" s="11">
        <f>IF(C241="","",N(X241)+N(Y241)+N(Z241))</f>
        <v/>
      </c>
      <c r="AB241" s="11">
        <f>IF(C241="","",MAX(N(L241),N(O241))-N(AA241))</f>
        <v/>
      </c>
      <c r="AC241" s="43">
        <f>IFERROR(IF(MAX(N(L241),N(O241))=0,"",AB241/MAX(N(L241),N(O241))),"")</f>
        <v/>
      </c>
      <c r="AD241" s="37" t="n"/>
      <c r="AE241" s="10" t="inlineStr">
        <is>
          <t>CON-0237</t>
        </is>
      </c>
    </row>
    <row r="242">
      <c r="A242" s="16">
        <f>IF($C242="","",IFERROR(IF(INDEX(tbl_Finance[Latest Invoice Date],MATCH($AE242,tbl_Finance[Row ID],0))="","",INDEX(tbl_Finance[Latest Invoice Date],MATCH($AE242,tbl_Finance[Row ID],0))),""))</f>
        <v/>
      </c>
      <c r="B242" s="10">
        <f>IF($C242="","",IFERROR(INDEX(tbl_Finance[Invoice Numbers],MATCH($AE242,tbl_Finance[Row ID],0))&amp;"",""))</f>
        <v/>
      </c>
      <c r="C242" s="37" t="n"/>
      <c r="D242" s="10">
        <f>IF($C242="","",IF(COUNTIF(lst_Jobs,$C242&amp;"")&gt;0,"OK","CHECK"))</f>
        <v/>
      </c>
      <c r="E242" s="10">
        <f>IF($C242="","",IFERROR(INDEX(lst_JobName,MATCH($C242&amp;"",lst_Jobs,0)),""))</f>
        <v/>
      </c>
      <c r="F242" s="37" t="n"/>
      <c r="G242" s="37" t="n"/>
      <c r="H242" s="37" t="n"/>
      <c r="I242" s="37" t="n"/>
      <c r="J242" s="37" t="n"/>
      <c r="K242" s="38">
        <f>IF($C242="","",IFERROR(N(INDEX(tbl_Finance[Invoice Count],MATCH($AE242,tbl_Finance[Row ID],0))),""))</f>
        <v/>
      </c>
      <c r="L242" s="11">
        <f>IF($C242="","",IFERROR(N(INDEX(tbl_Finance[Xero Invoiced Ex GST],MATCH($AE242,tbl_Finance[Row ID],0))),""))</f>
        <v/>
      </c>
      <c r="M242" s="10">
        <f>IF($C242="","",IFERROR(INDEX(tbl_Finance[Compare],MATCH($AE242,tbl_Finance[Row ID],0))&amp;"",""))</f>
        <v/>
      </c>
      <c r="N242" s="11">
        <f>IF($C242="","",MAX(0,N(O242)-N(L242)))</f>
        <v/>
      </c>
      <c r="O242" s="39" t="n"/>
      <c r="P242" s="40">
        <f>IF($C242="","",IF((IF(F242="",", Client","")&amp;IF(G242="",", Description","")&amp;IF(H242="",", Cost Centre","")&amp;IF(I242="",", Invoice Type","")&amp;IF(J242="",", Tax Code","")&amp;IF(O242="",", Expected Revenue","")&amp;IF(COUNTIF(tbl_Finance[Job Number],$C242&amp;"")&gt;1,", Job number used twice",""))="","Complete","Fix: "&amp;MID(IF(F242="",", Client","")&amp;IF(G242="",", Description","")&amp;IF(H242="",", Cost Centre","")&amp;IF(I242="",", Invoice Type","")&amp;IF(J242="",", Tax Code","")&amp;IF(O242="",", Expected Revenue","")&amp;IF(COUNTIF(tbl_Finance[Job Number],$C242&amp;"")&gt;1,", Job number used twice",""),3,300)))</f>
        <v/>
      </c>
      <c r="Q242" s="10">
        <f>IF($C242="","",IF(H242="","(no cost centre)",H242&amp;" - GL "&amp;IFERROR(INDEX(lst_CCtoGL,MATCH(H242,lst_CCforGL,0)),"?")))</f>
        <v/>
      </c>
      <c r="R242" s="37" t="n"/>
      <c r="S242" s="10">
        <f>IF(R242="","",HYPERLINK(IF(LEFT(R242,4)="http",R242,set_QwilrBase&amp;R242),"Open quote"))</f>
        <v/>
      </c>
      <c r="T242" s="39" t="n"/>
      <c r="U242" s="39" t="n"/>
      <c r="V242" s="39" t="n"/>
      <c r="W242" s="10">
        <f>IF(C242="","",IF(N(T242)+N(U242)+N(V242)=0,"Not split",IF(ROUND(N(T242)+N(U242)+N(V242),2)=ROUND(MAX(N(L242),N(O242)),2),"OK","MISMATCH")))</f>
        <v/>
      </c>
      <c r="X242" s="39" t="n"/>
      <c r="Y242" s="39" t="n"/>
      <c r="Z242" s="39" t="n"/>
      <c r="AA242" s="11">
        <f>IF(C242="","",N(X242)+N(Y242)+N(Z242))</f>
        <v/>
      </c>
      <c r="AB242" s="11">
        <f>IF(C242="","",MAX(N(L242),N(O242))-N(AA242))</f>
        <v/>
      </c>
      <c r="AC242" s="43">
        <f>IFERROR(IF(MAX(N(L242),N(O242))=0,"",AB242/MAX(N(L242),N(O242))),"")</f>
        <v/>
      </c>
      <c r="AD242" s="37" t="n"/>
      <c r="AE242" s="10" t="inlineStr">
        <is>
          <t>CON-0238</t>
        </is>
      </c>
    </row>
    <row r="243">
      <c r="A243" s="16">
        <f>IF($C243="","",IFERROR(IF(INDEX(tbl_Finance[Latest Invoice Date],MATCH($AE243,tbl_Finance[Row ID],0))="","",INDEX(tbl_Finance[Latest Invoice Date],MATCH($AE243,tbl_Finance[Row ID],0))),""))</f>
        <v/>
      </c>
      <c r="B243" s="10">
        <f>IF($C243="","",IFERROR(INDEX(tbl_Finance[Invoice Numbers],MATCH($AE243,tbl_Finance[Row ID],0))&amp;"",""))</f>
        <v/>
      </c>
      <c r="C243" s="37" t="n"/>
      <c r="D243" s="10">
        <f>IF($C243="","",IF(COUNTIF(lst_Jobs,$C243&amp;"")&gt;0,"OK","CHECK"))</f>
        <v/>
      </c>
      <c r="E243" s="10">
        <f>IF($C243="","",IFERROR(INDEX(lst_JobName,MATCH($C243&amp;"",lst_Jobs,0)),""))</f>
        <v/>
      </c>
      <c r="F243" s="37" t="n"/>
      <c r="G243" s="37" t="n"/>
      <c r="H243" s="37" t="n"/>
      <c r="I243" s="37" t="n"/>
      <c r="J243" s="37" t="n"/>
      <c r="K243" s="38">
        <f>IF($C243="","",IFERROR(N(INDEX(tbl_Finance[Invoice Count],MATCH($AE243,tbl_Finance[Row ID],0))),""))</f>
        <v/>
      </c>
      <c r="L243" s="11">
        <f>IF($C243="","",IFERROR(N(INDEX(tbl_Finance[Xero Invoiced Ex GST],MATCH($AE243,tbl_Finance[Row ID],0))),""))</f>
        <v/>
      </c>
      <c r="M243" s="10">
        <f>IF($C243="","",IFERROR(INDEX(tbl_Finance[Compare],MATCH($AE243,tbl_Finance[Row ID],0))&amp;"",""))</f>
        <v/>
      </c>
      <c r="N243" s="11">
        <f>IF($C243="","",MAX(0,N(O243)-N(L243)))</f>
        <v/>
      </c>
      <c r="O243" s="39" t="n"/>
      <c r="P243" s="40">
        <f>IF($C243="","",IF((IF(F243="",", Client","")&amp;IF(G243="",", Description","")&amp;IF(H243="",", Cost Centre","")&amp;IF(I243="",", Invoice Type","")&amp;IF(J243="",", Tax Code","")&amp;IF(O243="",", Expected Revenue","")&amp;IF(COUNTIF(tbl_Finance[Job Number],$C243&amp;"")&gt;1,", Job number used twice",""))="","Complete","Fix: "&amp;MID(IF(F243="",", Client","")&amp;IF(G243="",", Description","")&amp;IF(H243="",", Cost Centre","")&amp;IF(I243="",", Invoice Type","")&amp;IF(J243="",", Tax Code","")&amp;IF(O243="",", Expected Revenue","")&amp;IF(COUNTIF(tbl_Finance[Job Number],$C243&amp;"")&gt;1,", Job number used twice",""),3,300)))</f>
        <v/>
      </c>
      <c r="Q243" s="10">
        <f>IF($C243="","",IF(H243="","(no cost centre)",H243&amp;" - GL "&amp;IFERROR(INDEX(lst_CCtoGL,MATCH(H243,lst_CCforGL,0)),"?")))</f>
        <v/>
      </c>
      <c r="R243" s="37" t="n"/>
      <c r="S243" s="10">
        <f>IF(R243="","",HYPERLINK(IF(LEFT(R243,4)="http",R243,set_QwilrBase&amp;R243),"Open quote"))</f>
        <v/>
      </c>
      <c r="T243" s="39" t="n"/>
      <c r="U243" s="39" t="n"/>
      <c r="V243" s="39" t="n"/>
      <c r="W243" s="10">
        <f>IF(C243="","",IF(N(T243)+N(U243)+N(V243)=0,"Not split",IF(ROUND(N(T243)+N(U243)+N(V243),2)=ROUND(MAX(N(L243),N(O243)),2),"OK","MISMATCH")))</f>
        <v/>
      </c>
      <c r="X243" s="39" t="n"/>
      <c r="Y243" s="39" t="n"/>
      <c r="Z243" s="39" t="n"/>
      <c r="AA243" s="11">
        <f>IF(C243="","",N(X243)+N(Y243)+N(Z243))</f>
        <v/>
      </c>
      <c r="AB243" s="11">
        <f>IF(C243="","",MAX(N(L243),N(O243))-N(AA243))</f>
        <v/>
      </c>
      <c r="AC243" s="43">
        <f>IFERROR(IF(MAX(N(L243),N(O243))=0,"",AB243/MAX(N(L243),N(O243))),"")</f>
        <v/>
      </c>
      <c r="AD243" s="37" t="n"/>
      <c r="AE243" s="10" t="inlineStr">
        <is>
          <t>CON-0239</t>
        </is>
      </c>
    </row>
    <row r="244">
      <c r="A244" s="16">
        <f>IF($C244="","",IFERROR(IF(INDEX(tbl_Finance[Latest Invoice Date],MATCH($AE244,tbl_Finance[Row ID],0))="","",INDEX(tbl_Finance[Latest Invoice Date],MATCH($AE244,tbl_Finance[Row ID],0))),""))</f>
        <v/>
      </c>
      <c r="B244" s="10">
        <f>IF($C244="","",IFERROR(INDEX(tbl_Finance[Invoice Numbers],MATCH($AE244,tbl_Finance[Row ID],0))&amp;"",""))</f>
        <v/>
      </c>
      <c r="C244" s="37" t="n"/>
      <c r="D244" s="10">
        <f>IF($C244="","",IF(COUNTIF(lst_Jobs,$C244&amp;"")&gt;0,"OK","CHECK"))</f>
        <v/>
      </c>
      <c r="E244" s="10">
        <f>IF($C244="","",IFERROR(INDEX(lst_JobName,MATCH($C244&amp;"",lst_Jobs,0)),""))</f>
        <v/>
      </c>
      <c r="F244" s="37" t="n"/>
      <c r="G244" s="37" t="n"/>
      <c r="H244" s="37" t="n"/>
      <c r="I244" s="37" t="n"/>
      <c r="J244" s="37" t="n"/>
      <c r="K244" s="38">
        <f>IF($C244="","",IFERROR(N(INDEX(tbl_Finance[Invoice Count],MATCH($AE244,tbl_Finance[Row ID],0))),""))</f>
        <v/>
      </c>
      <c r="L244" s="11">
        <f>IF($C244="","",IFERROR(N(INDEX(tbl_Finance[Xero Invoiced Ex GST],MATCH($AE244,tbl_Finance[Row ID],0))),""))</f>
        <v/>
      </c>
      <c r="M244" s="10">
        <f>IF($C244="","",IFERROR(INDEX(tbl_Finance[Compare],MATCH($AE244,tbl_Finance[Row ID],0))&amp;"",""))</f>
        <v/>
      </c>
      <c r="N244" s="11">
        <f>IF($C244="","",MAX(0,N(O244)-N(L244)))</f>
        <v/>
      </c>
      <c r="O244" s="39" t="n"/>
      <c r="P244" s="40">
        <f>IF($C244="","",IF((IF(F244="",", Client","")&amp;IF(G244="",", Description","")&amp;IF(H244="",", Cost Centre","")&amp;IF(I244="",", Invoice Type","")&amp;IF(J244="",", Tax Code","")&amp;IF(O244="",", Expected Revenue","")&amp;IF(COUNTIF(tbl_Finance[Job Number],$C244&amp;"")&gt;1,", Job number used twice",""))="","Complete","Fix: "&amp;MID(IF(F244="",", Client","")&amp;IF(G244="",", Description","")&amp;IF(H244="",", Cost Centre","")&amp;IF(I244="",", Invoice Type","")&amp;IF(J244="",", Tax Code","")&amp;IF(O244="",", Expected Revenue","")&amp;IF(COUNTIF(tbl_Finance[Job Number],$C244&amp;"")&gt;1,", Job number used twice",""),3,300)))</f>
        <v/>
      </c>
      <c r="Q244" s="10">
        <f>IF($C244="","",IF(H244="","(no cost centre)",H244&amp;" - GL "&amp;IFERROR(INDEX(lst_CCtoGL,MATCH(H244,lst_CCforGL,0)),"?")))</f>
        <v/>
      </c>
      <c r="R244" s="37" t="n"/>
      <c r="S244" s="10">
        <f>IF(R244="","",HYPERLINK(IF(LEFT(R244,4)="http",R244,set_QwilrBase&amp;R244),"Open quote"))</f>
        <v/>
      </c>
      <c r="T244" s="39" t="n"/>
      <c r="U244" s="39" t="n"/>
      <c r="V244" s="39" t="n"/>
      <c r="W244" s="10">
        <f>IF(C244="","",IF(N(T244)+N(U244)+N(V244)=0,"Not split",IF(ROUND(N(T244)+N(U244)+N(V244),2)=ROUND(MAX(N(L244),N(O244)),2),"OK","MISMATCH")))</f>
        <v/>
      </c>
      <c r="X244" s="39" t="n"/>
      <c r="Y244" s="39" t="n"/>
      <c r="Z244" s="39" t="n"/>
      <c r="AA244" s="11">
        <f>IF(C244="","",N(X244)+N(Y244)+N(Z244))</f>
        <v/>
      </c>
      <c r="AB244" s="11">
        <f>IF(C244="","",MAX(N(L244),N(O244))-N(AA244))</f>
        <v/>
      </c>
      <c r="AC244" s="43">
        <f>IFERROR(IF(MAX(N(L244),N(O244))=0,"",AB244/MAX(N(L244),N(O244))),"")</f>
        <v/>
      </c>
      <c r="AD244" s="37" t="n"/>
      <c r="AE244" s="10" t="inlineStr">
        <is>
          <t>CON-0240</t>
        </is>
      </c>
    </row>
    <row r="245">
      <c r="A245" s="16">
        <f>IF($C245="","",IFERROR(IF(INDEX(tbl_Finance[Latest Invoice Date],MATCH($AE245,tbl_Finance[Row ID],0))="","",INDEX(tbl_Finance[Latest Invoice Date],MATCH($AE245,tbl_Finance[Row ID],0))),""))</f>
        <v/>
      </c>
      <c r="B245" s="10">
        <f>IF($C245="","",IFERROR(INDEX(tbl_Finance[Invoice Numbers],MATCH($AE245,tbl_Finance[Row ID],0))&amp;"",""))</f>
        <v/>
      </c>
      <c r="C245" s="37" t="n"/>
      <c r="D245" s="10">
        <f>IF($C245="","",IF(COUNTIF(lst_Jobs,$C245&amp;"")&gt;0,"OK","CHECK"))</f>
        <v/>
      </c>
      <c r="E245" s="10">
        <f>IF($C245="","",IFERROR(INDEX(lst_JobName,MATCH($C245&amp;"",lst_Jobs,0)),""))</f>
        <v/>
      </c>
      <c r="F245" s="37" t="n"/>
      <c r="G245" s="37" t="n"/>
      <c r="H245" s="37" t="n"/>
      <c r="I245" s="37" t="n"/>
      <c r="J245" s="37" t="n"/>
      <c r="K245" s="38">
        <f>IF($C245="","",IFERROR(N(INDEX(tbl_Finance[Invoice Count],MATCH($AE245,tbl_Finance[Row ID],0))),""))</f>
        <v/>
      </c>
      <c r="L245" s="11">
        <f>IF($C245="","",IFERROR(N(INDEX(tbl_Finance[Xero Invoiced Ex GST],MATCH($AE245,tbl_Finance[Row ID],0))),""))</f>
        <v/>
      </c>
      <c r="M245" s="10">
        <f>IF($C245="","",IFERROR(INDEX(tbl_Finance[Compare],MATCH($AE245,tbl_Finance[Row ID],0))&amp;"",""))</f>
        <v/>
      </c>
      <c r="N245" s="11">
        <f>IF($C245="","",MAX(0,N(O245)-N(L245)))</f>
        <v/>
      </c>
      <c r="O245" s="39" t="n"/>
      <c r="P245" s="40">
        <f>IF($C245="","",IF((IF(F245="",", Client","")&amp;IF(G245="",", Description","")&amp;IF(H245="",", Cost Centre","")&amp;IF(I245="",", Invoice Type","")&amp;IF(J245="",", Tax Code","")&amp;IF(O245="",", Expected Revenue","")&amp;IF(COUNTIF(tbl_Finance[Job Number],$C245&amp;"")&gt;1,", Job number used twice",""))="","Complete","Fix: "&amp;MID(IF(F245="",", Client","")&amp;IF(G245="",", Description","")&amp;IF(H245="",", Cost Centre","")&amp;IF(I245="",", Invoice Type","")&amp;IF(J245="",", Tax Code","")&amp;IF(O245="",", Expected Revenue","")&amp;IF(COUNTIF(tbl_Finance[Job Number],$C245&amp;"")&gt;1,", Job number used twice",""),3,300)))</f>
        <v/>
      </c>
      <c r="Q245" s="10">
        <f>IF($C245="","",IF(H245="","(no cost centre)",H245&amp;" - GL "&amp;IFERROR(INDEX(lst_CCtoGL,MATCH(H245,lst_CCforGL,0)),"?")))</f>
        <v/>
      </c>
      <c r="R245" s="37" t="n"/>
      <c r="S245" s="10">
        <f>IF(R245="","",HYPERLINK(IF(LEFT(R245,4)="http",R245,set_QwilrBase&amp;R245),"Open quote"))</f>
        <v/>
      </c>
      <c r="T245" s="39" t="n"/>
      <c r="U245" s="39" t="n"/>
      <c r="V245" s="39" t="n"/>
      <c r="W245" s="10">
        <f>IF(C245="","",IF(N(T245)+N(U245)+N(V245)=0,"Not split",IF(ROUND(N(T245)+N(U245)+N(V245),2)=ROUND(MAX(N(L245),N(O245)),2),"OK","MISMATCH")))</f>
        <v/>
      </c>
      <c r="X245" s="39" t="n"/>
      <c r="Y245" s="39" t="n"/>
      <c r="Z245" s="39" t="n"/>
      <c r="AA245" s="11">
        <f>IF(C245="","",N(X245)+N(Y245)+N(Z245))</f>
        <v/>
      </c>
      <c r="AB245" s="11">
        <f>IF(C245="","",MAX(N(L245),N(O245))-N(AA245))</f>
        <v/>
      </c>
      <c r="AC245" s="43">
        <f>IFERROR(IF(MAX(N(L245),N(O245))=0,"",AB245/MAX(N(L245),N(O245))),"")</f>
        <v/>
      </c>
      <c r="AD245" s="37" t="n"/>
      <c r="AE245" s="10" t="inlineStr">
        <is>
          <t>CON-0241</t>
        </is>
      </c>
    </row>
    <row r="246">
      <c r="A246" s="16">
        <f>IF($C246="","",IFERROR(IF(INDEX(tbl_Finance[Latest Invoice Date],MATCH($AE246,tbl_Finance[Row ID],0))="","",INDEX(tbl_Finance[Latest Invoice Date],MATCH($AE246,tbl_Finance[Row ID],0))),""))</f>
        <v/>
      </c>
      <c r="B246" s="10">
        <f>IF($C246="","",IFERROR(INDEX(tbl_Finance[Invoice Numbers],MATCH($AE246,tbl_Finance[Row ID],0))&amp;"",""))</f>
        <v/>
      </c>
      <c r="C246" s="37" t="n"/>
      <c r="D246" s="10">
        <f>IF($C246="","",IF(COUNTIF(lst_Jobs,$C246&amp;"")&gt;0,"OK","CHECK"))</f>
        <v/>
      </c>
      <c r="E246" s="10">
        <f>IF($C246="","",IFERROR(INDEX(lst_JobName,MATCH($C246&amp;"",lst_Jobs,0)),""))</f>
        <v/>
      </c>
      <c r="F246" s="37" t="n"/>
      <c r="G246" s="37" t="n"/>
      <c r="H246" s="37" t="n"/>
      <c r="I246" s="37" t="n"/>
      <c r="J246" s="37" t="n"/>
      <c r="K246" s="38">
        <f>IF($C246="","",IFERROR(N(INDEX(tbl_Finance[Invoice Count],MATCH($AE246,tbl_Finance[Row ID],0))),""))</f>
        <v/>
      </c>
      <c r="L246" s="11">
        <f>IF($C246="","",IFERROR(N(INDEX(tbl_Finance[Xero Invoiced Ex GST],MATCH($AE246,tbl_Finance[Row ID],0))),""))</f>
        <v/>
      </c>
      <c r="M246" s="10">
        <f>IF($C246="","",IFERROR(INDEX(tbl_Finance[Compare],MATCH($AE246,tbl_Finance[Row ID],0))&amp;"",""))</f>
        <v/>
      </c>
      <c r="N246" s="11">
        <f>IF($C246="","",MAX(0,N(O246)-N(L246)))</f>
        <v/>
      </c>
      <c r="O246" s="39" t="n"/>
      <c r="P246" s="40">
        <f>IF($C246="","",IF((IF(F246="",", Client","")&amp;IF(G246="",", Description","")&amp;IF(H246="",", Cost Centre","")&amp;IF(I246="",", Invoice Type","")&amp;IF(J246="",", Tax Code","")&amp;IF(O246="",", Expected Revenue","")&amp;IF(COUNTIF(tbl_Finance[Job Number],$C246&amp;"")&gt;1,", Job number used twice",""))="","Complete","Fix: "&amp;MID(IF(F246="",", Client","")&amp;IF(G246="",", Description","")&amp;IF(H246="",", Cost Centre","")&amp;IF(I246="",", Invoice Type","")&amp;IF(J246="",", Tax Code","")&amp;IF(O246="",", Expected Revenue","")&amp;IF(COUNTIF(tbl_Finance[Job Number],$C246&amp;"")&gt;1,", Job number used twice",""),3,300)))</f>
        <v/>
      </c>
      <c r="Q246" s="10">
        <f>IF($C246="","",IF(H246="","(no cost centre)",H246&amp;" - GL "&amp;IFERROR(INDEX(lst_CCtoGL,MATCH(H246,lst_CCforGL,0)),"?")))</f>
        <v/>
      </c>
      <c r="R246" s="37" t="n"/>
      <c r="S246" s="10">
        <f>IF(R246="","",HYPERLINK(IF(LEFT(R246,4)="http",R246,set_QwilrBase&amp;R246),"Open quote"))</f>
        <v/>
      </c>
      <c r="T246" s="39" t="n"/>
      <c r="U246" s="39" t="n"/>
      <c r="V246" s="39" t="n"/>
      <c r="W246" s="10">
        <f>IF(C246="","",IF(N(T246)+N(U246)+N(V246)=0,"Not split",IF(ROUND(N(T246)+N(U246)+N(V246),2)=ROUND(MAX(N(L246),N(O246)),2),"OK","MISMATCH")))</f>
        <v/>
      </c>
      <c r="X246" s="39" t="n"/>
      <c r="Y246" s="39" t="n"/>
      <c r="Z246" s="39" t="n"/>
      <c r="AA246" s="11">
        <f>IF(C246="","",N(X246)+N(Y246)+N(Z246))</f>
        <v/>
      </c>
      <c r="AB246" s="11">
        <f>IF(C246="","",MAX(N(L246),N(O246))-N(AA246))</f>
        <v/>
      </c>
      <c r="AC246" s="43">
        <f>IFERROR(IF(MAX(N(L246),N(O246))=0,"",AB246/MAX(N(L246),N(O246))),"")</f>
        <v/>
      </c>
      <c r="AD246" s="37" t="n"/>
      <c r="AE246" s="10" t="inlineStr">
        <is>
          <t>CON-0242</t>
        </is>
      </c>
    </row>
    <row r="247">
      <c r="A247" s="16">
        <f>IF($C247="","",IFERROR(IF(INDEX(tbl_Finance[Latest Invoice Date],MATCH($AE247,tbl_Finance[Row ID],0))="","",INDEX(tbl_Finance[Latest Invoice Date],MATCH($AE247,tbl_Finance[Row ID],0))),""))</f>
        <v/>
      </c>
      <c r="B247" s="10">
        <f>IF($C247="","",IFERROR(INDEX(tbl_Finance[Invoice Numbers],MATCH($AE247,tbl_Finance[Row ID],0))&amp;"",""))</f>
        <v/>
      </c>
      <c r="C247" s="37" t="n"/>
      <c r="D247" s="10">
        <f>IF($C247="","",IF(COUNTIF(lst_Jobs,$C247&amp;"")&gt;0,"OK","CHECK"))</f>
        <v/>
      </c>
      <c r="E247" s="10">
        <f>IF($C247="","",IFERROR(INDEX(lst_JobName,MATCH($C247&amp;"",lst_Jobs,0)),""))</f>
        <v/>
      </c>
      <c r="F247" s="37" t="n"/>
      <c r="G247" s="37" t="n"/>
      <c r="H247" s="37" t="n"/>
      <c r="I247" s="37" t="n"/>
      <c r="J247" s="37" t="n"/>
      <c r="K247" s="38">
        <f>IF($C247="","",IFERROR(N(INDEX(tbl_Finance[Invoice Count],MATCH($AE247,tbl_Finance[Row ID],0))),""))</f>
        <v/>
      </c>
      <c r="L247" s="11">
        <f>IF($C247="","",IFERROR(N(INDEX(tbl_Finance[Xero Invoiced Ex GST],MATCH($AE247,tbl_Finance[Row ID],0))),""))</f>
        <v/>
      </c>
      <c r="M247" s="10">
        <f>IF($C247="","",IFERROR(INDEX(tbl_Finance[Compare],MATCH($AE247,tbl_Finance[Row ID],0))&amp;"",""))</f>
        <v/>
      </c>
      <c r="N247" s="11">
        <f>IF($C247="","",MAX(0,N(O247)-N(L247)))</f>
        <v/>
      </c>
      <c r="O247" s="39" t="n"/>
      <c r="P247" s="40">
        <f>IF($C247="","",IF((IF(F247="",", Client","")&amp;IF(G247="",", Description","")&amp;IF(H247="",", Cost Centre","")&amp;IF(I247="",", Invoice Type","")&amp;IF(J247="",", Tax Code","")&amp;IF(O247="",", Expected Revenue","")&amp;IF(COUNTIF(tbl_Finance[Job Number],$C247&amp;"")&gt;1,", Job number used twice",""))="","Complete","Fix: "&amp;MID(IF(F247="",", Client","")&amp;IF(G247="",", Description","")&amp;IF(H247="",", Cost Centre","")&amp;IF(I247="",", Invoice Type","")&amp;IF(J247="",", Tax Code","")&amp;IF(O247="",", Expected Revenue","")&amp;IF(COUNTIF(tbl_Finance[Job Number],$C247&amp;"")&gt;1,", Job number used twice",""),3,300)))</f>
        <v/>
      </c>
      <c r="Q247" s="10">
        <f>IF($C247="","",IF(H247="","(no cost centre)",H247&amp;" - GL "&amp;IFERROR(INDEX(lst_CCtoGL,MATCH(H247,lst_CCforGL,0)),"?")))</f>
        <v/>
      </c>
      <c r="R247" s="37" t="n"/>
      <c r="S247" s="10">
        <f>IF(R247="","",HYPERLINK(IF(LEFT(R247,4)="http",R247,set_QwilrBase&amp;R247),"Open quote"))</f>
        <v/>
      </c>
      <c r="T247" s="39" t="n"/>
      <c r="U247" s="39" t="n"/>
      <c r="V247" s="39" t="n"/>
      <c r="W247" s="10">
        <f>IF(C247="","",IF(N(T247)+N(U247)+N(V247)=0,"Not split",IF(ROUND(N(T247)+N(U247)+N(V247),2)=ROUND(MAX(N(L247),N(O247)),2),"OK","MISMATCH")))</f>
        <v/>
      </c>
      <c r="X247" s="39" t="n"/>
      <c r="Y247" s="39" t="n"/>
      <c r="Z247" s="39" t="n"/>
      <c r="AA247" s="11">
        <f>IF(C247="","",N(X247)+N(Y247)+N(Z247))</f>
        <v/>
      </c>
      <c r="AB247" s="11">
        <f>IF(C247="","",MAX(N(L247),N(O247))-N(AA247))</f>
        <v/>
      </c>
      <c r="AC247" s="43">
        <f>IFERROR(IF(MAX(N(L247),N(O247))=0,"",AB247/MAX(N(L247),N(O247))),"")</f>
        <v/>
      </c>
      <c r="AD247" s="37" t="n"/>
      <c r="AE247" s="10" t="inlineStr">
        <is>
          <t>CON-0243</t>
        </is>
      </c>
    </row>
    <row r="248">
      <c r="A248" s="16">
        <f>IF($C248="","",IFERROR(IF(INDEX(tbl_Finance[Latest Invoice Date],MATCH($AE248,tbl_Finance[Row ID],0))="","",INDEX(tbl_Finance[Latest Invoice Date],MATCH($AE248,tbl_Finance[Row ID],0))),""))</f>
        <v/>
      </c>
      <c r="B248" s="10">
        <f>IF($C248="","",IFERROR(INDEX(tbl_Finance[Invoice Numbers],MATCH($AE248,tbl_Finance[Row ID],0))&amp;"",""))</f>
        <v/>
      </c>
      <c r="C248" s="37" t="n"/>
      <c r="D248" s="10">
        <f>IF($C248="","",IF(COUNTIF(lst_Jobs,$C248&amp;"")&gt;0,"OK","CHECK"))</f>
        <v/>
      </c>
      <c r="E248" s="10">
        <f>IF($C248="","",IFERROR(INDEX(lst_JobName,MATCH($C248&amp;"",lst_Jobs,0)),""))</f>
        <v/>
      </c>
      <c r="F248" s="37" t="n"/>
      <c r="G248" s="37" t="n"/>
      <c r="H248" s="37" t="n"/>
      <c r="I248" s="37" t="n"/>
      <c r="J248" s="37" t="n"/>
      <c r="K248" s="38">
        <f>IF($C248="","",IFERROR(N(INDEX(tbl_Finance[Invoice Count],MATCH($AE248,tbl_Finance[Row ID],0))),""))</f>
        <v/>
      </c>
      <c r="L248" s="11">
        <f>IF($C248="","",IFERROR(N(INDEX(tbl_Finance[Xero Invoiced Ex GST],MATCH($AE248,tbl_Finance[Row ID],0))),""))</f>
        <v/>
      </c>
      <c r="M248" s="10">
        <f>IF($C248="","",IFERROR(INDEX(tbl_Finance[Compare],MATCH($AE248,tbl_Finance[Row ID],0))&amp;"",""))</f>
        <v/>
      </c>
      <c r="N248" s="11">
        <f>IF($C248="","",MAX(0,N(O248)-N(L248)))</f>
        <v/>
      </c>
      <c r="O248" s="39" t="n"/>
      <c r="P248" s="40">
        <f>IF($C248="","",IF((IF(F248="",", Client","")&amp;IF(G248="",", Description","")&amp;IF(H248="",", Cost Centre","")&amp;IF(I248="",", Invoice Type","")&amp;IF(J248="",", Tax Code","")&amp;IF(O248="",", Expected Revenue","")&amp;IF(COUNTIF(tbl_Finance[Job Number],$C248&amp;"")&gt;1,", Job number used twice",""))="","Complete","Fix: "&amp;MID(IF(F248="",", Client","")&amp;IF(G248="",", Description","")&amp;IF(H248="",", Cost Centre","")&amp;IF(I248="",", Invoice Type","")&amp;IF(J248="",", Tax Code","")&amp;IF(O248="",", Expected Revenue","")&amp;IF(COUNTIF(tbl_Finance[Job Number],$C248&amp;"")&gt;1,", Job number used twice",""),3,300)))</f>
        <v/>
      </c>
      <c r="Q248" s="10">
        <f>IF($C248="","",IF(H248="","(no cost centre)",H248&amp;" - GL "&amp;IFERROR(INDEX(lst_CCtoGL,MATCH(H248,lst_CCforGL,0)),"?")))</f>
        <v/>
      </c>
      <c r="R248" s="37" t="n"/>
      <c r="S248" s="10">
        <f>IF(R248="","",HYPERLINK(IF(LEFT(R248,4)="http",R248,set_QwilrBase&amp;R248),"Open quote"))</f>
        <v/>
      </c>
      <c r="T248" s="39" t="n"/>
      <c r="U248" s="39" t="n"/>
      <c r="V248" s="39" t="n"/>
      <c r="W248" s="10">
        <f>IF(C248="","",IF(N(T248)+N(U248)+N(V248)=0,"Not split",IF(ROUND(N(T248)+N(U248)+N(V248),2)=ROUND(MAX(N(L248),N(O248)),2),"OK","MISMATCH")))</f>
        <v/>
      </c>
      <c r="X248" s="39" t="n"/>
      <c r="Y248" s="39" t="n"/>
      <c r="Z248" s="39" t="n"/>
      <c r="AA248" s="11">
        <f>IF(C248="","",N(X248)+N(Y248)+N(Z248))</f>
        <v/>
      </c>
      <c r="AB248" s="11">
        <f>IF(C248="","",MAX(N(L248),N(O248))-N(AA248))</f>
        <v/>
      </c>
      <c r="AC248" s="43">
        <f>IFERROR(IF(MAX(N(L248),N(O248))=0,"",AB248/MAX(N(L248),N(O248))),"")</f>
        <v/>
      </c>
      <c r="AD248" s="37" t="n"/>
      <c r="AE248" s="10" t="inlineStr">
        <is>
          <t>CON-0244</t>
        </is>
      </c>
    </row>
    <row r="249">
      <c r="A249" s="16">
        <f>IF($C249="","",IFERROR(IF(INDEX(tbl_Finance[Latest Invoice Date],MATCH($AE249,tbl_Finance[Row ID],0))="","",INDEX(tbl_Finance[Latest Invoice Date],MATCH($AE249,tbl_Finance[Row ID],0))),""))</f>
        <v/>
      </c>
      <c r="B249" s="10">
        <f>IF($C249="","",IFERROR(INDEX(tbl_Finance[Invoice Numbers],MATCH($AE249,tbl_Finance[Row ID],0))&amp;"",""))</f>
        <v/>
      </c>
      <c r="C249" s="37" t="n"/>
      <c r="D249" s="10">
        <f>IF($C249="","",IF(COUNTIF(lst_Jobs,$C249&amp;"")&gt;0,"OK","CHECK"))</f>
        <v/>
      </c>
      <c r="E249" s="10">
        <f>IF($C249="","",IFERROR(INDEX(lst_JobName,MATCH($C249&amp;"",lst_Jobs,0)),""))</f>
        <v/>
      </c>
      <c r="F249" s="37" t="n"/>
      <c r="G249" s="37" t="n"/>
      <c r="H249" s="37" t="n"/>
      <c r="I249" s="37" t="n"/>
      <c r="J249" s="37" t="n"/>
      <c r="K249" s="38">
        <f>IF($C249="","",IFERROR(N(INDEX(tbl_Finance[Invoice Count],MATCH($AE249,tbl_Finance[Row ID],0))),""))</f>
        <v/>
      </c>
      <c r="L249" s="11">
        <f>IF($C249="","",IFERROR(N(INDEX(tbl_Finance[Xero Invoiced Ex GST],MATCH($AE249,tbl_Finance[Row ID],0))),""))</f>
        <v/>
      </c>
      <c r="M249" s="10">
        <f>IF($C249="","",IFERROR(INDEX(tbl_Finance[Compare],MATCH($AE249,tbl_Finance[Row ID],0))&amp;"",""))</f>
        <v/>
      </c>
      <c r="N249" s="11">
        <f>IF($C249="","",MAX(0,N(O249)-N(L249)))</f>
        <v/>
      </c>
      <c r="O249" s="39" t="n"/>
      <c r="P249" s="40">
        <f>IF($C249="","",IF((IF(F249="",", Client","")&amp;IF(G249="",", Description","")&amp;IF(H249="",", Cost Centre","")&amp;IF(I249="",", Invoice Type","")&amp;IF(J249="",", Tax Code","")&amp;IF(O249="",", Expected Revenue","")&amp;IF(COUNTIF(tbl_Finance[Job Number],$C249&amp;"")&gt;1,", Job number used twice",""))="","Complete","Fix: "&amp;MID(IF(F249="",", Client","")&amp;IF(G249="",", Description","")&amp;IF(H249="",", Cost Centre","")&amp;IF(I249="",", Invoice Type","")&amp;IF(J249="",", Tax Code","")&amp;IF(O249="",", Expected Revenue","")&amp;IF(COUNTIF(tbl_Finance[Job Number],$C249&amp;"")&gt;1,", Job number used twice",""),3,300)))</f>
        <v/>
      </c>
      <c r="Q249" s="10">
        <f>IF($C249="","",IF(H249="","(no cost centre)",H249&amp;" - GL "&amp;IFERROR(INDEX(lst_CCtoGL,MATCH(H249,lst_CCforGL,0)),"?")))</f>
        <v/>
      </c>
      <c r="R249" s="37" t="n"/>
      <c r="S249" s="10">
        <f>IF(R249="","",HYPERLINK(IF(LEFT(R249,4)="http",R249,set_QwilrBase&amp;R249),"Open quote"))</f>
        <v/>
      </c>
      <c r="T249" s="39" t="n"/>
      <c r="U249" s="39" t="n"/>
      <c r="V249" s="39" t="n"/>
      <c r="W249" s="10">
        <f>IF(C249="","",IF(N(T249)+N(U249)+N(V249)=0,"Not split",IF(ROUND(N(T249)+N(U249)+N(V249),2)=ROUND(MAX(N(L249),N(O249)),2),"OK","MISMATCH")))</f>
        <v/>
      </c>
      <c r="X249" s="39" t="n"/>
      <c r="Y249" s="39" t="n"/>
      <c r="Z249" s="39" t="n"/>
      <c r="AA249" s="11">
        <f>IF(C249="","",N(X249)+N(Y249)+N(Z249))</f>
        <v/>
      </c>
      <c r="AB249" s="11">
        <f>IF(C249="","",MAX(N(L249),N(O249))-N(AA249))</f>
        <v/>
      </c>
      <c r="AC249" s="43">
        <f>IFERROR(IF(MAX(N(L249),N(O249))=0,"",AB249/MAX(N(L249),N(O249))),"")</f>
        <v/>
      </c>
      <c r="AD249" s="37" t="n"/>
      <c r="AE249" s="10" t="inlineStr">
        <is>
          <t>CON-0245</t>
        </is>
      </c>
    </row>
    <row r="250">
      <c r="A250" s="16">
        <f>IF($C250="","",IFERROR(IF(INDEX(tbl_Finance[Latest Invoice Date],MATCH($AE250,tbl_Finance[Row ID],0))="","",INDEX(tbl_Finance[Latest Invoice Date],MATCH($AE250,tbl_Finance[Row ID],0))),""))</f>
        <v/>
      </c>
      <c r="B250" s="10">
        <f>IF($C250="","",IFERROR(INDEX(tbl_Finance[Invoice Numbers],MATCH($AE250,tbl_Finance[Row ID],0))&amp;"",""))</f>
        <v/>
      </c>
      <c r="C250" s="37" t="n"/>
      <c r="D250" s="10">
        <f>IF($C250="","",IF(COUNTIF(lst_Jobs,$C250&amp;"")&gt;0,"OK","CHECK"))</f>
        <v/>
      </c>
      <c r="E250" s="10">
        <f>IF($C250="","",IFERROR(INDEX(lst_JobName,MATCH($C250&amp;"",lst_Jobs,0)),""))</f>
        <v/>
      </c>
      <c r="F250" s="37" t="n"/>
      <c r="G250" s="37" t="n"/>
      <c r="H250" s="37" t="n"/>
      <c r="I250" s="37" t="n"/>
      <c r="J250" s="37" t="n"/>
      <c r="K250" s="38">
        <f>IF($C250="","",IFERROR(N(INDEX(tbl_Finance[Invoice Count],MATCH($AE250,tbl_Finance[Row ID],0))),""))</f>
        <v/>
      </c>
      <c r="L250" s="11">
        <f>IF($C250="","",IFERROR(N(INDEX(tbl_Finance[Xero Invoiced Ex GST],MATCH($AE250,tbl_Finance[Row ID],0))),""))</f>
        <v/>
      </c>
      <c r="M250" s="10">
        <f>IF($C250="","",IFERROR(INDEX(tbl_Finance[Compare],MATCH($AE250,tbl_Finance[Row ID],0))&amp;"",""))</f>
        <v/>
      </c>
      <c r="N250" s="11">
        <f>IF($C250="","",MAX(0,N(O250)-N(L250)))</f>
        <v/>
      </c>
      <c r="O250" s="39" t="n"/>
      <c r="P250" s="40">
        <f>IF($C250="","",IF((IF(F250="",", Client","")&amp;IF(G250="",", Description","")&amp;IF(H250="",", Cost Centre","")&amp;IF(I250="",", Invoice Type","")&amp;IF(J250="",", Tax Code","")&amp;IF(O250="",", Expected Revenue","")&amp;IF(COUNTIF(tbl_Finance[Job Number],$C250&amp;"")&gt;1,", Job number used twice",""))="","Complete","Fix: "&amp;MID(IF(F250="",", Client","")&amp;IF(G250="",", Description","")&amp;IF(H250="",", Cost Centre","")&amp;IF(I250="",", Invoice Type","")&amp;IF(J250="",", Tax Code","")&amp;IF(O250="",", Expected Revenue","")&amp;IF(COUNTIF(tbl_Finance[Job Number],$C250&amp;"")&gt;1,", Job number used twice",""),3,300)))</f>
        <v/>
      </c>
      <c r="Q250" s="10">
        <f>IF($C250="","",IF(H250="","(no cost centre)",H250&amp;" - GL "&amp;IFERROR(INDEX(lst_CCtoGL,MATCH(H250,lst_CCforGL,0)),"?")))</f>
        <v/>
      </c>
      <c r="R250" s="37" t="n"/>
      <c r="S250" s="10">
        <f>IF(R250="","",HYPERLINK(IF(LEFT(R250,4)="http",R250,set_QwilrBase&amp;R250),"Open quote"))</f>
        <v/>
      </c>
      <c r="T250" s="39" t="n"/>
      <c r="U250" s="39" t="n"/>
      <c r="V250" s="39" t="n"/>
      <c r="W250" s="10">
        <f>IF(C250="","",IF(N(T250)+N(U250)+N(V250)=0,"Not split",IF(ROUND(N(T250)+N(U250)+N(V250),2)=ROUND(MAX(N(L250),N(O250)),2),"OK","MISMATCH")))</f>
        <v/>
      </c>
      <c r="X250" s="39" t="n"/>
      <c r="Y250" s="39" t="n"/>
      <c r="Z250" s="39" t="n"/>
      <c r="AA250" s="11">
        <f>IF(C250="","",N(X250)+N(Y250)+N(Z250))</f>
        <v/>
      </c>
      <c r="AB250" s="11">
        <f>IF(C250="","",MAX(N(L250),N(O250))-N(AA250))</f>
        <v/>
      </c>
      <c r="AC250" s="43">
        <f>IFERROR(IF(MAX(N(L250),N(O250))=0,"",AB250/MAX(N(L250),N(O250))),"")</f>
        <v/>
      </c>
      <c r="AD250" s="37" t="n"/>
      <c r="AE250" s="10" t="inlineStr">
        <is>
          <t>CON-0246</t>
        </is>
      </c>
    </row>
    <row r="251">
      <c r="A251" s="16">
        <f>IF($C251="","",IFERROR(IF(INDEX(tbl_Finance[Latest Invoice Date],MATCH($AE251,tbl_Finance[Row ID],0))="","",INDEX(tbl_Finance[Latest Invoice Date],MATCH($AE251,tbl_Finance[Row ID],0))),""))</f>
        <v/>
      </c>
      <c r="B251" s="10">
        <f>IF($C251="","",IFERROR(INDEX(tbl_Finance[Invoice Numbers],MATCH($AE251,tbl_Finance[Row ID],0))&amp;"",""))</f>
        <v/>
      </c>
      <c r="C251" s="37" t="n"/>
      <c r="D251" s="10">
        <f>IF($C251="","",IF(COUNTIF(lst_Jobs,$C251&amp;"")&gt;0,"OK","CHECK"))</f>
        <v/>
      </c>
      <c r="E251" s="10">
        <f>IF($C251="","",IFERROR(INDEX(lst_JobName,MATCH($C251&amp;"",lst_Jobs,0)),""))</f>
        <v/>
      </c>
      <c r="F251" s="37" t="n"/>
      <c r="G251" s="37" t="n"/>
      <c r="H251" s="37" t="n"/>
      <c r="I251" s="37" t="n"/>
      <c r="J251" s="37" t="n"/>
      <c r="K251" s="38">
        <f>IF($C251="","",IFERROR(N(INDEX(tbl_Finance[Invoice Count],MATCH($AE251,tbl_Finance[Row ID],0))),""))</f>
        <v/>
      </c>
      <c r="L251" s="11">
        <f>IF($C251="","",IFERROR(N(INDEX(tbl_Finance[Xero Invoiced Ex GST],MATCH($AE251,tbl_Finance[Row ID],0))),""))</f>
        <v/>
      </c>
      <c r="M251" s="10">
        <f>IF($C251="","",IFERROR(INDEX(tbl_Finance[Compare],MATCH($AE251,tbl_Finance[Row ID],0))&amp;"",""))</f>
        <v/>
      </c>
      <c r="N251" s="11">
        <f>IF($C251="","",MAX(0,N(O251)-N(L251)))</f>
        <v/>
      </c>
      <c r="O251" s="39" t="n"/>
      <c r="P251" s="40">
        <f>IF($C251="","",IF((IF(F251="",", Client","")&amp;IF(G251="",", Description","")&amp;IF(H251="",", Cost Centre","")&amp;IF(I251="",", Invoice Type","")&amp;IF(J251="",", Tax Code","")&amp;IF(O251="",", Expected Revenue","")&amp;IF(COUNTIF(tbl_Finance[Job Number],$C251&amp;"")&gt;1,", Job number used twice",""))="","Complete","Fix: "&amp;MID(IF(F251="",", Client","")&amp;IF(G251="",", Description","")&amp;IF(H251="",", Cost Centre","")&amp;IF(I251="",", Invoice Type","")&amp;IF(J251="",", Tax Code","")&amp;IF(O251="",", Expected Revenue","")&amp;IF(COUNTIF(tbl_Finance[Job Number],$C251&amp;"")&gt;1,", Job number used twice",""),3,300)))</f>
        <v/>
      </c>
      <c r="Q251" s="10">
        <f>IF($C251="","",IF(H251="","(no cost centre)",H251&amp;" - GL "&amp;IFERROR(INDEX(lst_CCtoGL,MATCH(H251,lst_CCforGL,0)),"?")))</f>
        <v/>
      </c>
      <c r="R251" s="37" t="n"/>
      <c r="S251" s="10">
        <f>IF(R251="","",HYPERLINK(IF(LEFT(R251,4)="http",R251,set_QwilrBase&amp;R251),"Open quote"))</f>
        <v/>
      </c>
      <c r="T251" s="39" t="n"/>
      <c r="U251" s="39" t="n"/>
      <c r="V251" s="39" t="n"/>
      <c r="W251" s="10">
        <f>IF(C251="","",IF(N(T251)+N(U251)+N(V251)=0,"Not split",IF(ROUND(N(T251)+N(U251)+N(V251),2)=ROUND(MAX(N(L251),N(O251)),2),"OK","MISMATCH")))</f>
        <v/>
      </c>
      <c r="X251" s="39" t="n"/>
      <c r="Y251" s="39" t="n"/>
      <c r="Z251" s="39" t="n"/>
      <c r="AA251" s="11">
        <f>IF(C251="","",N(X251)+N(Y251)+N(Z251))</f>
        <v/>
      </c>
      <c r="AB251" s="11">
        <f>IF(C251="","",MAX(N(L251),N(O251))-N(AA251))</f>
        <v/>
      </c>
      <c r="AC251" s="43">
        <f>IFERROR(IF(MAX(N(L251),N(O251))=0,"",AB251/MAX(N(L251),N(O251))),"")</f>
        <v/>
      </c>
      <c r="AD251" s="37" t="n"/>
      <c r="AE251" s="10" t="inlineStr">
        <is>
          <t>CON-0247</t>
        </is>
      </c>
    </row>
    <row r="252">
      <c r="A252" s="16">
        <f>IF($C252="","",IFERROR(IF(INDEX(tbl_Finance[Latest Invoice Date],MATCH($AE252,tbl_Finance[Row ID],0))="","",INDEX(tbl_Finance[Latest Invoice Date],MATCH($AE252,tbl_Finance[Row ID],0))),""))</f>
        <v/>
      </c>
      <c r="B252" s="10">
        <f>IF($C252="","",IFERROR(INDEX(tbl_Finance[Invoice Numbers],MATCH($AE252,tbl_Finance[Row ID],0))&amp;"",""))</f>
        <v/>
      </c>
      <c r="C252" s="37" t="n"/>
      <c r="D252" s="10">
        <f>IF($C252="","",IF(COUNTIF(lst_Jobs,$C252&amp;"")&gt;0,"OK","CHECK"))</f>
        <v/>
      </c>
      <c r="E252" s="10">
        <f>IF($C252="","",IFERROR(INDEX(lst_JobName,MATCH($C252&amp;"",lst_Jobs,0)),""))</f>
        <v/>
      </c>
      <c r="F252" s="37" t="n"/>
      <c r="G252" s="37" t="n"/>
      <c r="H252" s="37" t="n"/>
      <c r="I252" s="37" t="n"/>
      <c r="J252" s="37" t="n"/>
      <c r="K252" s="38">
        <f>IF($C252="","",IFERROR(N(INDEX(tbl_Finance[Invoice Count],MATCH($AE252,tbl_Finance[Row ID],0))),""))</f>
        <v/>
      </c>
      <c r="L252" s="11">
        <f>IF($C252="","",IFERROR(N(INDEX(tbl_Finance[Xero Invoiced Ex GST],MATCH($AE252,tbl_Finance[Row ID],0))),""))</f>
        <v/>
      </c>
      <c r="M252" s="10">
        <f>IF($C252="","",IFERROR(INDEX(tbl_Finance[Compare],MATCH($AE252,tbl_Finance[Row ID],0))&amp;"",""))</f>
        <v/>
      </c>
      <c r="N252" s="11">
        <f>IF($C252="","",MAX(0,N(O252)-N(L252)))</f>
        <v/>
      </c>
      <c r="O252" s="39" t="n"/>
      <c r="P252" s="40">
        <f>IF($C252="","",IF((IF(F252="",", Client","")&amp;IF(G252="",", Description","")&amp;IF(H252="",", Cost Centre","")&amp;IF(I252="",", Invoice Type","")&amp;IF(J252="",", Tax Code","")&amp;IF(O252="",", Expected Revenue","")&amp;IF(COUNTIF(tbl_Finance[Job Number],$C252&amp;"")&gt;1,", Job number used twice",""))="","Complete","Fix: "&amp;MID(IF(F252="",", Client","")&amp;IF(G252="",", Description","")&amp;IF(H252="",", Cost Centre","")&amp;IF(I252="",", Invoice Type","")&amp;IF(J252="",", Tax Code","")&amp;IF(O252="",", Expected Revenue","")&amp;IF(COUNTIF(tbl_Finance[Job Number],$C252&amp;"")&gt;1,", Job number used twice",""),3,300)))</f>
        <v/>
      </c>
      <c r="Q252" s="10">
        <f>IF($C252="","",IF(H252="","(no cost centre)",H252&amp;" - GL "&amp;IFERROR(INDEX(lst_CCtoGL,MATCH(H252,lst_CCforGL,0)),"?")))</f>
        <v/>
      </c>
      <c r="R252" s="37" t="n"/>
      <c r="S252" s="10">
        <f>IF(R252="","",HYPERLINK(IF(LEFT(R252,4)="http",R252,set_QwilrBase&amp;R252),"Open quote"))</f>
        <v/>
      </c>
      <c r="T252" s="39" t="n"/>
      <c r="U252" s="39" t="n"/>
      <c r="V252" s="39" t="n"/>
      <c r="W252" s="10">
        <f>IF(C252="","",IF(N(T252)+N(U252)+N(V252)=0,"Not split",IF(ROUND(N(T252)+N(U252)+N(V252),2)=ROUND(MAX(N(L252),N(O252)),2),"OK","MISMATCH")))</f>
        <v/>
      </c>
      <c r="X252" s="39" t="n"/>
      <c r="Y252" s="39" t="n"/>
      <c r="Z252" s="39" t="n"/>
      <c r="AA252" s="11">
        <f>IF(C252="","",N(X252)+N(Y252)+N(Z252))</f>
        <v/>
      </c>
      <c r="AB252" s="11">
        <f>IF(C252="","",MAX(N(L252),N(O252))-N(AA252))</f>
        <v/>
      </c>
      <c r="AC252" s="43">
        <f>IFERROR(IF(MAX(N(L252),N(O252))=0,"",AB252/MAX(N(L252),N(O252))),"")</f>
        <v/>
      </c>
      <c r="AD252" s="37" t="n"/>
      <c r="AE252" s="10" t="inlineStr">
        <is>
          <t>CON-0248</t>
        </is>
      </c>
    </row>
    <row r="253">
      <c r="A253" s="16">
        <f>IF($C253="","",IFERROR(IF(INDEX(tbl_Finance[Latest Invoice Date],MATCH($AE253,tbl_Finance[Row ID],0))="","",INDEX(tbl_Finance[Latest Invoice Date],MATCH($AE253,tbl_Finance[Row ID],0))),""))</f>
        <v/>
      </c>
      <c r="B253" s="10">
        <f>IF($C253="","",IFERROR(INDEX(tbl_Finance[Invoice Numbers],MATCH($AE253,tbl_Finance[Row ID],0))&amp;"",""))</f>
        <v/>
      </c>
      <c r="C253" s="37" t="n"/>
      <c r="D253" s="10">
        <f>IF($C253="","",IF(COUNTIF(lst_Jobs,$C253&amp;"")&gt;0,"OK","CHECK"))</f>
        <v/>
      </c>
      <c r="E253" s="10">
        <f>IF($C253="","",IFERROR(INDEX(lst_JobName,MATCH($C253&amp;"",lst_Jobs,0)),""))</f>
        <v/>
      </c>
      <c r="F253" s="37" t="n"/>
      <c r="G253" s="37" t="n"/>
      <c r="H253" s="37" t="n"/>
      <c r="I253" s="37" t="n"/>
      <c r="J253" s="37" t="n"/>
      <c r="K253" s="38">
        <f>IF($C253="","",IFERROR(N(INDEX(tbl_Finance[Invoice Count],MATCH($AE253,tbl_Finance[Row ID],0))),""))</f>
        <v/>
      </c>
      <c r="L253" s="11">
        <f>IF($C253="","",IFERROR(N(INDEX(tbl_Finance[Xero Invoiced Ex GST],MATCH($AE253,tbl_Finance[Row ID],0))),""))</f>
        <v/>
      </c>
      <c r="M253" s="10">
        <f>IF($C253="","",IFERROR(INDEX(tbl_Finance[Compare],MATCH($AE253,tbl_Finance[Row ID],0))&amp;"",""))</f>
        <v/>
      </c>
      <c r="N253" s="11">
        <f>IF($C253="","",MAX(0,N(O253)-N(L253)))</f>
        <v/>
      </c>
      <c r="O253" s="39" t="n"/>
      <c r="P253" s="40">
        <f>IF($C253="","",IF((IF(F253="",", Client","")&amp;IF(G253="",", Description","")&amp;IF(H253="",", Cost Centre","")&amp;IF(I253="",", Invoice Type","")&amp;IF(J253="",", Tax Code","")&amp;IF(O253="",", Expected Revenue","")&amp;IF(COUNTIF(tbl_Finance[Job Number],$C253&amp;"")&gt;1,", Job number used twice",""))="","Complete","Fix: "&amp;MID(IF(F253="",", Client","")&amp;IF(G253="",", Description","")&amp;IF(H253="",", Cost Centre","")&amp;IF(I253="",", Invoice Type","")&amp;IF(J253="",", Tax Code","")&amp;IF(O253="",", Expected Revenue","")&amp;IF(COUNTIF(tbl_Finance[Job Number],$C253&amp;"")&gt;1,", Job number used twice",""),3,300)))</f>
        <v/>
      </c>
      <c r="Q253" s="10">
        <f>IF($C253="","",IF(H253="","(no cost centre)",H253&amp;" - GL "&amp;IFERROR(INDEX(lst_CCtoGL,MATCH(H253,lst_CCforGL,0)),"?")))</f>
        <v/>
      </c>
      <c r="R253" s="37" t="n"/>
      <c r="S253" s="10">
        <f>IF(R253="","",HYPERLINK(IF(LEFT(R253,4)="http",R253,set_QwilrBase&amp;R253),"Open quote"))</f>
        <v/>
      </c>
      <c r="T253" s="39" t="n"/>
      <c r="U253" s="39" t="n"/>
      <c r="V253" s="39" t="n"/>
      <c r="W253" s="10">
        <f>IF(C253="","",IF(N(T253)+N(U253)+N(V253)=0,"Not split",IF(ROUND(N(T253)+N(U253)+N(V253),2)=ROUND(MAX(N(L253),N(O253)),2),"OK","MISMATCH")))</f>
        <v/>
      </c>
      <c r="X253" s="39" t="n"/>
      <c r="Y253" s="39" t="n"/>
      <c r="Z253" s="39" t="n"/>
      <c r="AA253" s="11">
        <f>IF(C253="","",N(X253)+N(Y253)+N(Z253))</f>
        <v/>
      </c>
      <c r="AB253" s="11">
        <f>IF(C253="","",MAX(N(L253),N(O253))-N(AA253))</f>
        <v/>
      </c>
      <c r="AC253" s="43">
        <f>IFERROR(IF(MAX(N(L253),N(O253))=0,"",AB253/MAX(N(L253),N(O253))),"")</f>
        <v/>
      </c>
      <c r="AD253" s="37" t="n"/>
      <c r="AE253" s="10" t="inlineStr">
        <is>
          <t>CON-0249</t>
        </is>
      </c>
    </row>
    <row r="254">
      <c r="A254" s="16">
        <f>IF($C254="","",IFERROR(IF(INDEX(tbl_Finance[Latest Invoice Date],MATCH($AE254,tbl_Finance[Row ID],0))="","",INDEX(tbl_Finance[Latest Invoice Date],MATCH($AE254,tbl_Finance[Row ID],0))),""))</f>
        <v/>
      </c>
      <c r="B254" s="10">
        <f>IF($C254="","",IFERROR(INDEX(tbl_Finance[Invoice Numbers],MATCH($AE254,tbl_Finance[Row ID],0))&amp;"",""))</f>
        <v/>
      </c>
      <c r="C254" s="37" t="n"/>
      <c r="D254" s="10">
        <f>IF($C254="","",IF(COUNTIF(lst_Jobs,$C254&amp;"")&gt;0,"OK","CHECK"))</f>
        <v/>
      </c>
      <c r="E254" s="10">
        <f>IF($C254="","",IFERROR(INDEX(lst_JobName,MATCH($C254&amp;"",lst_Jobs,0)),""))</f>
        <v/>
      </c>
      <c r="F254" s="37" t="n"/>
      <c r="G254" s="37" t="n"/>
      <c r="H254" s="37" t="n"/>
      <c r="I254" s="37" t="n"/>
      <c r="J254" s="37" t="n"/>
      <c r="K254" s="38">
        <f>IF($C254="","",IFERROR(N(INDEX(tbl_Finance[Invoice Count],MATCH($AE254,tbl_Finance[Row ID],0))),""))</f>
        <v/>
      </c>
      <c r="L254" s="11">
        <f>IF($C254="","",IFERROR(N(INDEX(tbl_Finance[Xero Invoiced Ex GST],MATCH($AE254,tbl_Finance[Row ID],0))),""))</f>
        <v/>
      </c>
      <c r="M254" s="10">
        <f>IF($C254="","",IFERROR(INDEX(tbl_Finance[Compare],MATCH($AE254,tbl_Finance[Row ID],0))&amp;"",""))</f>
        <v/>
      </c>
      <c r="N254" s="11">
        <f>IF($C254="","",MAX(0,N(O254)-N(L254)))</f>
        <v/>
      </c>
      <c r="O254" s="39" t="n"/>
      <c r="P254" s="40">
        <f>IF($C254="","",IF((IF(F254="",", Client","")&amp;IF(G254="",", Description","")&amp;IF(H254="",", Cost Centre","")&amp;IF(I254="",", Invoice Type","")&amp;IF(J254="",", Tax Code","")&amp;IF(O254="",", Expected Revenue","")&amp;IF(COUNTIF(tbl_Finance[Job Number],$C254&amp;"")&gt;1,", Job number used twice",""))="","Complete","Fix: "&amp;MID(IF(F254="",", Client","")&amp;IF(G254="",", Description","")&amp;IF(H254="",", Cost Centre","")&amp;IF(I254="",", Invoice Type","")&amp;IF(J254="",", Tax Code","")&amp;IF(O254="",", Expected Revenue","")&amp;IF(COUNTIF(tbl_Finance[Job Number],$C254&amp;"")&gt;1,", Job number used twice",""),3,300)))</f>
        <v/>
      </c>
      <c r="Q254" s="10">
        <f>IF($C254="","",IF(H254="","(no cost centre)",H254&amp;" - GL "&amp;IFERROR(INDEX(lst_CCtoGL,MATCH(H254,lst_CCforGL,0)),"?")))</f>
        <v/>
      </c>
      <c r="R254" s="37" t="n"/>
      <c r="S254" s="10">
        <f>IF(R254="","",HYPERLINK(IF(LEFT(R254,4)="http",R254,set_QwilrBase&amp;R254),"Open quote"))</f>
        <v/>
      </c>
      <c r="T254" s="39" t="n"/>
      <c r="U254" s="39" t="n"/>
      <c r="V254" s="39" t="n"/>
      <c r="W254" s="10">
        <f>IF(C254="","",IF(N(T254)+N(U254)+N(V254)=0,"Not split",IF(ROUND(N(T254)+N(U254)+N(V254),2)=ROUND(MAX(N(L254),N(O254)),2),"OK","MISMATCH")))</f>
        <v/>
      </c>
      <c r="X254" s="39" t="n"/>
      <c r="Y254" s="39" t="n"/>
      <c r="Z254" s="39" t="n"/>
      <c r="AA254" s="11">
        <f>IF(C254="","",N(X254)+N(Y254)+N(Z254))</f>
        <v/>
      </c>
      <c r="AB254" s="11">
        <f>IF(C254="","",MAX(N(L254),N(O254))-N(AA254))</f>
        <v/>
      </c>
      <c r="AC254" s="43">
        <f>IFERROR(IF(MAX(N(L254),N(O254))=0,"",AB254/MAX(N(L254),N(O254))),"")</f>
        <v/>
      </c>
      <c r="AD254" s="37" t="n"/>
      <c r="AE254" s="10" t="inlineStr">
        <is>
          <t>CON-0250</t>
        </is>
      </c>
    </row>
    <row r="255">
      <c r="A255" s="16">
        <f>IF($C255="","",IFERROR(IF(INDEX(tbl_Finance[Latest Invoice Date],MATCH($AE255,tbl_Finance[Row ID],0))="","",INDEX(tbl_Finance[Latest Invoice Date],MATCH($AE255,tbl_Finance[Row ID],0))),""))</f>
        <v/>
      </c>
      <c r="B255" s="10">
        <f>IF($C255="","",IFERROR(INDEX(tbl_Finance[Invoice Numbers],MATCH($AE255,tbl_Finance[Row ID],0))&amp;"",""))</f>
        <v/>
      </c>
      <c r="C255" s="37" t="n"/>
      <c r="D255" s="10">
        <f>IF($C255="","",IF(COUNTIF(lst_Jobs,$C255&amp;"")&gt;0,"OK","CHECK"))</f>
        <v/>
      </c>
      <c r="E255" s="10">
        <f>IF($C255="","",IFERROR(INDEX(lst_JobName,MATCH($C255&amp;"",lst_Jobs,0)),""))</f>
        <v/>
      </c>
      <c r="F255" s="37" t="n"/>
      <c r="G255" s="37" t="n"/>
      <c r="H255" s="37" t="n"/>
      <c r="I255" s="37" t="n"/>
      <c r="J255" s="37" t="n"/>
      <c r="K255" s="38">
        <f>IF($C255="","",IFERROR(N(INDEX(tbl_Finance[Invoice Count],MATCH($AE255,tbl_Finance[Row ID],0))),""))</f>
        <v/>
      </c>
      <c r="L255" s="11">
        <f>IF($C255="","",IFERROR(N(INDEX(tbl_Finance[Xero Invoiced Ex GST],MATCH($AE255,tbl_Finance[Row ID],0))),""))</f>
        <v/>
      </c>
      <c r="M255" s="10">
        <f>IF($C255="","",IFERROR(INDEX(tbl_Finance[Compare],MATCH($AE255,tbl_Finance[Row ID],0))&amp;"",""))</f>
        <v/>
      </c>
      <c r="N255" s="11">
        <f>IF($C255="","",MAX(0,N(O255)-N(L255)))</f>
        <v/>
      </c>
      <c r="O255" s="39" t="n"/>
      <c r="P255" s="40">
        <f>IF($C255="","",IF((IF(F255="",", Client","")&amp;IF(G255="",", Description","")&amp;IF(H255="",", Cost Centre","")&amp;IF(I255="",", Invoice Type","")&amp;IF(J255="",", Tax Code","")&amp;IF(O255="",", Expected Revenue","")&amp;IF(COUNTIF(tbl_Finance[Job Number],$C255&amp;"")&gt;1,", Job number used twice",""))="","Complete","Fix: "&amp;MID(IF(F255="",", Client","")&amp;IF(G255="",", Description","")&amp;IF(H255="",", Cost Centre","")&amp;IF(I255="",", Invoice Type","")&amp;IF(J255="",", Tax Code","")&amp;IF(O255="",", Expected Revenue","")&amp;IF(COUNTIF(tbl_Finance[Job Number],$C255&amp;"")&gt;1,", Job number used twice",""),3,300)))</f>
        <v/>
      </c>
      <c r="Q255" s="10">
        <f>IF($C255="","",IF(H255="","(no cost centre)",H255&amp;" - GL "&amp;IFERROR(INDEX(lst_CCtoGL,MATCH(H255,lst_CCforGL,0)),"?")))</f>
        <v/>
      </c>
      <c r="R255" s="37" t="n"/>
      <c r="S255" s="10">
        <f>IF(R255="","",HYPERLINK(IF(LEFT(R255,4)="http",R255,set_QwilrBase&amp;R255),"Open quote"))</f>
        <v/>
      </c>
      <c r="T255" s="39" t="n"/>
      <c r="U255" s="39" t="n"/>
      <c r="V255" s="39" t="n"/>
      <c r="W255" s="10">
        <f>IF(C255="","",IF(N(T255)+N(U255)+N(V255)=0,"Not split",IF(ROUND(N(T255)+N(U255)+N(V255),2)=ROUND(MAX(N(L255),N(O255)),2),"OK","MISMATCH")))</f>
        <v/>
      </c>
      <c r="X255" s="39" t="n"/>
      <c r="Y255" s="39" t="n"/>
      <c r="Z255" s="39" t="n"/>
      <c r="AA255" s="11">
        <f>IF(C255="","",N(X255)+N(Y255)+N(Z255))</f>
        <v/>
      </c>
      <c r="AB255" s="11">
        <f>IF(C255="","",MAX(N(L255),N(O255))-N(AA255))</f>
        <v/>
      </c>
      <c r="AC255" s="43">
        <f>IFERROR(IF(MAX(N(L255),N(O255))=0,"",AB255/MAX(N(L255),N(O255))),"")</f>
        <v/>
      </c>
      <c r="AD255" s="37" t="n"/>
      <c r="AE255" s="10" t="inlineStr">
        <is>
          <t>CON-0251</t>
        </is>
      </c>
    </row>
    <row r="256">
      <c r="A256" s="16">
        <f>IF($C256="","",IFERROR(IF(INDEX(tbl_Finance[Latest Invoice Date],MATCH($AE256,tbl_Finance[Row ID],0))="","",INDEX(tbl_Finance[Latest Invoice Date],MATCH($AE256,tbl_Finance[Row ID],0))),""))</f>
        <v/>
      </c>
      <c r="B256" s="10">
        <f>IF($C256="","",IFERROR(INDEX(tbl_Finance[Invoice Numbers],MATCH($AE256,tbl_Finance[Row ID],0))&amp;"",""))</f>
        <v/>
      </c>
      <c r="C256" s="37" t="n"/>
      <c r="D256" s="10">
        <f>IF($C256="","",IF(COUNTIF(lst_Jobs,$C256&amp;"")&gt;0,"OK","CHECK"))</f>
        <v/>
      </c>
      <c r="E256" s="10">
        <f>IF($C256="","",IFERROR(INDEX(lst_JobName,MATCH($C256&amp;"",lst_Jobs,0)),""))</f>
        <v/>
      </c>
      <c r="F256" s="37" t="n"/>
      <c r="G256" s="37" t="n"/>
      <c r="H256" s="37" t="n"/>
      <c r="I256" s="37" t="n"/>
      <c r="J256" s="37" t="n"/>
      <c r="K256" s="38">
        <f>IF($C256="","",IFERROR(N(INDEX(tbl_Finance[Invoice Count],MATCH($AE256,tbl_Finance[Row ID],0))),""))</f>
        <v/>
      </c>
      <c r="L256" s="11">
        <f>IF($C256="","",IFERROR(N(INDEX(tbl_Finance[Xero Invoiced Ex GST],MATCH($AE256,tbl_Finance[Row ID],0))),""))</f>
        <v/>
      </c>
      <c r="M256" s="10">
        <f>IF($C256="","",IFERROR(INDEX(tbl_Finance[Compare],MATCH($AE256,tbl_Finance[Row ID],0))&amp;"",""))</f>
        <v/>
      </c>
      <c r="N256" s="11">
        <f>IF($C256="","",MAX(0,N(O256)-N(L256)))</f>
        <v/>
      </c>
      <c r="O256" s="39" t="n"/>
      <c r="P256" s="40">
        <f>IF($C256="","",IF((IF(F256="",", Client","")&amp;IF(G256="",", Description","")&amp;IF(H256="",", Cost Centre","")&amp;IF(I256="",", Invoice Type","")&amp;IF(J256="",", Tax Code","")&amp;IF(O256="",", Expected Revenue","")&amp;IF(COUNTIF(tbl_Finance[Job Number],$C256&amp;"")&gt;1,", Job number used twice",""))="","Complete","Fix: "&amp;MID(IF(F256="",", Client","")&amp;IF(G256="",", Description","")&amp;IF(H256="",", Cost Centre","")&amp;IF(I256="",", Invoice Type","")&amp;IF(J256="",", Tax Code","")&amp;IF(O256="",", Expected Revenue","")&amp;IF(COUNTIF(tbl_Finance[Job Number],$C256&amp;"")&gt;1,", Job number used twice",""),3,300)))</f>
        <v/>
      </c>
      <c r="Q256" s="10">
        <f>IF($C256="","",IF(H256="","(no cost centre)",H256&amp;" - GL "&amp;IFERROR(INDEX(lst_CCtoGL,MATCH(H256,lst_CCforGL,0)),"?")))</f>
        <v/>
      </c>
      <c r="R256" s="37" t="n"/>
      <c r="S256" s="10">
        <f>IF(R256="","",HYPERLINK(IF(LEFT(R256,4)="http",R256,set_QwilrBase&amp;R256),"Open quote"))</f>
        <v/>
      </c>
      <c r="T256" s="39" t="n"/>
      <c r="U256" s="39" t="n"/>
      <c r="V256" s="39" t="n"/>
      <c r="W256" s="10">
        <f>IF(C256="","",IF(N(T256)+N(U256)+N(V256)=0,"Not split",IF(ROUND(N(T256)+N(U256)+N(V256),2)=ROUND(MAX(N(L256),N(O256)),2),"OK","MISMATCH")))</f>
        <v/>
      </c>
      <c r="X256" s="39" t="n"/>
      <c r="Y256" s="39" t="n"/>
      <c r="Z256" s="39" t="n"/>
      <c r="AA256" s="11">
        <f>IF(C256="","",N(X256)+N(Y256)+N(Z256))</f>
        <v/>
      </c>
      <c r="AB256" s="11">
        <f>IF(C256="","",MAX(N(L256),N(O256))-N(AA256))</f>
        <v/>
      </c>
      <c r="AC256" s="43">
        <f>IFERROR(IF(MAX(N(L256),N(O256))=0,"",AB256/MAX(N(L256),N(O256))),"")</f>
        <v/>
      </c>
      <c r="AD256" s="37" t="n"/>
      <c r="AE256" s="10" t="inlineStr">
        <is>
          <t>CON-0252</t>
        </is>
      </c>
    </row>
    <row r="257">
      <c r="A257" s="16">
        <f>IF($C257="","",IFERROR(IF(INDEX(tbl_Finance[Latest Invoice Date],MATCH($AE257,tbl_Finance[Row ID],0))="","",INDEX(tbl_Finance[Latest Invoice Date],MATCH($AE257,tbl_Finance[Row ID],0))),""))</f>
        <v/>
      </c>
      <c r="B257" s="10">
        <f>IF($C257="","",IFERROR(INDEX(tbl_Finance[Invoice Numbers],MATCH($AE257,tbl_Finance[Row ID],0))&amp;"",""))</f>
        <v/>
      </c>
      <c r="C257" s="37" t="n"/>
      <c r="D257" s="10">
        <f>IF($C257="","",IF(COUNTIF(lst_Jobs,$C257&amp;"")&gt;0,"OK","CHECK"))</f>
        <v/>
      </c>
      <c r="E257" s="10">
        <f>IF($C257="","",IFERROR(INDEX(lst_JobName,MATCH($C257&amp;"",lst_Jobs,0)),""))</f>
        <v/>
      </c>
      <c r="F257" s="37" t="n"/>
      <c r="G257" s="37" t="n"/>
      <c r="H257" s="37" t="n"/>
      <c r="I257" s="37" t="n"/>
      <c r="J257" s="37" t="n"/>
      <c r="K257" s="38">
        <f>IF($C257="","",IFERROR(N(INDEX(tbl_Finance[Invoice Count],MATCH($AE257,tbl_Finance[Row ID],0))),""))</f>
        <v/>
      </c>
      <c r="L257" s="11">
        <f>IF($C257="","",IFERROR(N(INDEX(tbl_Finance[Xero Invoiced Ex GST],MATCH($AE257,tbl_Finance[Row ID],0))),""))</f>
        <v/>
      </c>
      <c r="M257" s="10">
        <f>IF($C257="","",IFERROR(INDEX(tbl_Finance[Compare],MATCH($AE257,tbl_Finance[Row ID],0))&amp;"",""))</f>
        <v/>
      </c>
      <c r="N257" s="11">
        <f>IF($C257="","",MAX(0,N(O257)-N(L257)))</f>
        <v/>
      </c>
      <c r="O257" s="39" t="n"/>
      <c r="P257" s="40">
        <f>IF($C257="","",IF((IF(F257="",", Client","")&amp;IF(G257="",", Description","")&amp;IF(H257="",", Cost Centre","")&amp;IF(I257="",", Invoice Type","")&amp;IF(J257="",", Tax Code","")&amp;IF(O257="",", Expected Revenue","")&amp;IF(COUNTIF(tbl_Finance[Job Number],$C257&amp;"")&gt;1,", Job number used twice",""))="","Complete","Fix: "&amp;MID(IF(F257="",", Client","")&amp;IF(G257="",", Description","")&amp;IF(H257="",", Cost Centre","")&amp;IF(I257="",", Invoice Type","")&amp;IF(J257="",", Tax Code","")&amp;IF(O257="",", Expected Revenue","")&amp;IF(COUNTIF(tbl_Finance[Job Number],$C257&amp;"")&gt;1,", Job number used twice",""),3,300)))</f>
        <v/>
      </c>
      <c r="Q257" s="10">
        <f>IF($C257="","",IF(H257="","(no cost centre)",H257&amp;" - GL "&amp;IFERROR(INDEX(lst_CCtoGL,MATCH(H257,lst_CCforGL,0)),"?")))</f>
        <v/>
      </c>
      <c r="R257" s="37" t="n"/>
      <c r="S257" s="10">
        <f>IF(R257="","",HYPERLINK(IF(LEFT(R257,4)="http",R257,set_QwilrBase&amp;R257),"Open quote"))</f>
        <v/>
      </c>
      <c r="T257" s="39" t="n"/>
      <c r="U257" s="39" t="n"/>
      <c r="V257" s="39" t="n"/>
      <c r="W257" s="10">
        <f>IF(C257="","",IF(N(T257)+N(U257)+N(V257)=0,"Not split",IF(ROUND(N(T257)+N(U257)+N(V257),2)=ROUND(MAX(N(L257),N(O257)),2),"OK","MISMATCH")))</f>
        <v/>
      </c>
      <c r="X257" s="39" t="n"/>
      <c r="Y257" s="39" t="n"/>
      <c r="Z257" s="39" t="n"/>
      <c r="AA257" s="11">
        <f>IF(C257="","",N(X257)+N(Y257)+N(Z257))</f>
        <v/>
      </c>
      <c r="AB257" s="11">
        <f>IF(C257="","",MAX(N(L257),N(O257))-N(AA257))</f>
        <v/>
      </c>
      <c r="AC257" s="43">
        <f>IFERROR(IF(MAX(N(L257),N(O257))=0,"",AB257/MAX(N(L257),N(O257))),"")</f>
        <v/>
      </c>
      <c r="AD257" s="37" t="n"/>
      <c r="AE257" s="10" t="inlineStr">
        <is>
          <t>CON-0253</t>
        </is>
      </c>
    </row>
    <row r="258">
      <c r="A258" s="16">
        <f>IF($C258="","",IFERROR(IF(INDEX(tbl_Finance[Latest Invoice Date],MATCH($AE258,tbl_Finance[Row ID],0))="","",INDEX(tbl_Finance[Latest Invoice Date],MATCH($AE258,tbl_Finance[Row ID],0))),""))</f>
        <v/>
      </c>
      <c r="B258" s="10">
        <f>IF($C258="","",IFERROR(INDEX(tbl_Finance[Invoice Numbers],MATCH($AE258,tbl_Finance[Row ID],0))&amp;"",""))</f>
        <v/>
      </c>
      <c r="C258" s="37" t="n"/>
      <c r="D258" s="10">
        <f>IF($C258="","",IF(COUNTIF(lst_Jobs,$C258&amp;"")&gt;0,"OK","CHECK"))</f>
        <v/>
      </c>
      <c r="E258" s="10">
        <f>IF($C258="","",IFERROR(INDEX(lst_JobName,MATCH($C258&amp;"",lst_Jobs,0)),""))</f>
        <v/>
      </c>
      <c r="F258" s="37" t="n"/>
      <c r="G258" s="37" t="n"/>
      <c r="H258" s="37" t="n"/>
      <c r="I258" s="37" t="n"/>
      <c r="J258" s="37" t="n"/>
      <c r="K258" s="38">
        <f>IF($C258="","",IFERROR(N(INDEX(tbl_Finance[Invoice Count],MATCH($AE258,tbl_Finance[Row ID],0))),""))</f>
        <v/>
      </c>
      <c r="L258" s="11">
        <f>IF($C258="","",IFERROR(N(INDEX(tbl_Finance[Xero Invoiced Ex GST],MATCH($AE258,tbl_Finance[Row ID],0))),""))</f>
        <v/>
      </c>
      <c r="M258" s="10">
        <f>IF($C258="","",IFERROR(INDEX(tbl_Finance[Compare],MATCH($AE258,tbl_Finance[Row ID],0))&amp;"",""))</f>
        <v/>
      </c>
      <c r="N258" s="11">
        <f>IF($C258="","",MAX(0,N(O258)-N(L258)))</f>
        <v/>
      </c>
      <c r="O258" s="39" t="n"/>
      <c r="P258" s="40">
        <f>IF($C258="","",IF((IF(F258="",", Client","")&amp;IF(G258="",", Description","")&amp;IF(H258="",", Cost Centre","")&amp;IF(I258="",", Invoice Type","")&amp;IF(J258="",", Tax Code","")&amp;IF(O258="",", Expected Revenue","")&amp;IF(COUNTIF(tbl_Finance[Job Number],$C258&amp;"")&gt;1,", Job number used twice",""))="","Complete","Fix: "&amp;MID(IF(F258="",", Client","")&amp;IF(G258="",", Description","")&amp;IF(H258="",", Cost Centre","")&amp;IF(I258="",", Invoice Type","")&amp;IF(J258="",", Tax Code","")&amp;IF(O258="",", Expected Revenue","")&amp;IF(COUNTIF(tbl_Finance[Job Number],$C258&amp;"")&gt;1,", Job number used twice",""),3,300)))</f>
        <v/>
      </c>
      <c r="Q258" s="10">
        <f>IF($C258="","",IF(H258="","(no cost centre)",H258&amp;" - GL "&amp;IFERROR(INDEX(lst_CCtoGL,MATCH(H258,lst_CCforGL,0)),"?")))</f>
        <v/>
      </c>
      <c r="R258" s="37" t="n"/>
      <c r="S258" s="10">
        <f>IF(R258="","",HYPERLINK(IF(LEFT(R258,4)="http",R258,set_QwilrBase&amp;R258),"Open quote"))</f>
        <v/>
      </c>
      <c r="T258" s="39" t="n"/>
      <c r="U258" s="39" t="n"/>
      <c r="V258" s="39" t="n"/>
      <c r="W258" s="10">
        <f>IF(C258="","",IF(N(T258)+N(U258)+N(V258)=0,"Not split",IF(ROUND(N(T258)+N(U258)+N(V258),2)=ROUND(MAX(N(L258),N(O258)),2),"OK","MISMATCH")))</f>
        <v/>
      </c>
      <c r="X258" s="39" t="n"/>
      <c r="Y258" s="39" t="n"/>
      <c r="Z258" s="39" t="n"/>
      <c r="AA258" s="11">
        <f>IF(C258="","",N(X258)+N(Y258)+N(Z258))</f>
        <v/>
      </c>
      <c r="AB258" s="11">
        <f>IF(C258="","",MAX(N(L258),N(O258))-N(AA258))</f>
        <v/>
      </c>
      <c r="AC258" s="43">
        <f>IFERROR(IF(MAX(N(L258),N(O258))=0,"",AB258/MAX(N(L258),N(O258))),"")</f>
        <v/>
      </c>
      <c r="AD258" s="37" t="n"/>
      <c r="AE258" s="10" t="inlineStr">
        <is>
          <t>CON-0254</t>
        </is>
      </c>
    </row>
    <row r="259">
      <c r="A259" s="16">
        <f>IF($C259="","",IFERROR(IF(INDEX(tbl_Finance[Latest Invoice Date],MATCH($AE259,tbl_Finance[Row ID],0))="","",INDEX(tbl_Finance[Latest Invoice Date],MATCH($AE259,tbl_Finance[Row ID],0))),""))</f>
        <v/>
      </c>
      <c r="B259" s="10">
        <f>IF($C259="","",IFERROR(INDEX(tbl_Finance[Invoice Numbers],MATCH($AE259,tbl_Finance[Row ID],0))&amp;"",""))</f>
        <v/>
      </c>
      <c r="C259" s="37" t="n"/>
      <c r="D259" s="10">
        <f>IF($C259="","",IF(COUNTIF(lst_Jobs,$C259&amp;"")&gt;0,"OK","CHECK"))</f>
        <v/>
      </c>
      <c r="E259" s="10">
        <f>IF($C259="","",IFERROR(INDEX(lst_JobName,MATCH($C259&amp;"",lst_Jobs,0)),""))</f>
        <v/>
      </c>
      <c r="F259" s="37" t="n"/>
      <c r="G259" s="37" t="n"/>
      <c r="H259" s="37" t="n"/>
      <c r="I259" s="37" t="n"/>
      <c r="J259" s="37" t="n"/>
      <c r="K259" s="38">
        <f>IF($C259="","",IFERROR(N(INDEX(tbl_Finance[Invoice Count],MATCH($AE259,tbl_Finance[Row ID],0))),""))</f>
        <v/>
      </c>
      <c r="L259" s="11">
        <f>IF($C259="","",IFERROR(N(INDEX(tbl_Finance[Xero Invoiced Ex GST],MATCH($AE259,tbl_Finance[Row ID],0))),""))</f>
        <v/>
      </c>
      <c r="M259" s="10">
        <f>IF($C259="","",IFERROR(INDEX(tbl_Finance[Compare],MATCH($AE259,tbl_Finance[Row ID],0))&amp;"",""))</f>
        <v/>
      </c>
      <c r="N259" s="11">
        <f>IF($C259="","",MAX(0,N(O259)-N(L259)))</f>
        <v/>
      </c>
      <c r="O259" s="39" t="n"/>
      <c r="P259" s="40">
        <f>IF($C259="","",IF((IF(F259="",", Client","")&amp;IF(G259="",", Description","")&amp;IF(H259="",", Cost Centre","")&amp;IF(I259="",", Invoice Type","")&amp;IF(J259="",", Tax Code","")&amp;IF(O259="",", Expected Revenue","")&amp;IF(COUNTIF(tbl_Finance[Job Number],$C259&amp;"")&gt;1,", Job number used twice",""))="","Complete","Fix: "&amp;MID(IF(F259="",", Client","")&amp;IF(G259="",", Description","")&amp;IF(H259="",", Cost Centre","")&amp;IF(I259="",", Invoice Type","")&amp;IF(J259="",", Tax Code","")&amp;IF(O259="",", Expected Revenue","")&amp;IF(COUNTIF(tbl_Finance[Job Number],$C259&amp;"")&gt;1,", Job number used twice",""),3,300)))</f>
        <v/>
      </c>
      <c r="Q259" s="10">
        <f>IF($C259="","",IF(H259="","(no cost centre)",H259&amp;" - GL "&amp;IFERROR(INDEX(lst_CCtoGL,MATCH(H259,lst_CCforGL,0)),"?")))</f>
        <v/>
      </c>
      <c r="R259" s="37" t="n"/>
      <c r="S259" s="10">
        <f>IF(R259="","",HYPERLINK(IF(LEFT(R259,4)="http",R259,set_QwilrBase&amp;R259),"Open quote"))</f>
        <v/>
      </c>
      <c r="T259" s="39" t="n"/>
      <c r="U259" s="39" t="n"/>
      <c r="V259" s="39" t="n"/>
      <c r="W259" s="10">
        <f>IF(C259="","",IF(N(T259)+N(U259)+N(V259)=0,"Not split",IF(ROUND(N(T259)+N(U259)+N(V259),2)=ROUND(MAX(N(L259),N(O259)),2),"OK","MISMATCH")))</f>
        <v/>
      </c>
      <c r="X259" s="39" t="n"/>
      <c r="Y259" s="39" t="n"/>
      <c r="Z259" s="39" t="n"/>
      <c r="AA259" s="11">
        <f>IF(C259="","",N(X259)+N(Y259)+N(Z259))</f>
        <v/>
      </c>
      <c r="AB259" s="11">
        <f>IF(C259="","",MAX(N(L259),N(O259))-N(AA259))</f>
        <v/>
      </c>
      <c r="AC259" s="43">
        <f>IFERROR(IF(MAX(N(L259),N(O259))=0,"",AB259/MAX(N(L259),N(O259))),"")</f>
        <v/>
      </c>
      <c r="AD259" s="37" t="n"/>
      <c r="AE259" s="10" t="inlineStr">
        <is>
          <t>CON-0255</t>
        </is>
      </c>
    </row>
    <row r="260">
      <c r="A260" s="16">
        <f>IF($C260="","",IFERROR(IF(INDEX(tbl_Finance[Latest Invoice Date],MATCH($AE260,tbl_Finance[Row ID],0))="","",INDEX(tbl_Finance[Latest Invoice Date],MATCH($AE260,tbl_Finance[Row ID],0))),""))</f>
        <v/>
      </c>
      <c r="B260" s="10">
        <f>IF($C260="","",IFERROR(INDEX(tbl_Finance[Invoice Numbers],MATCH($AE260,tbl_Finance[Row ID],0))&amp;"",""))</f>
        <v/>
      </c>
      <c r="C260" s="37" t="n"/>
      <c r="D260" s="10">
        <f>IF($C260="","",IF(COUNTIF(lst_Jobs,$C260&amp;"")&gt;0,"OK","CHECK"))</f>
        <v/>
      </c>
      <c r="E260" s="10">
        <f>IF($C260="","",IFERROR(INDEX(lst_JobName,MATCH($C260&amp;"",lst_Jobs,0)),""))</f>
        <v/>
      </c>
      <c r="F260" s="37" t="n"/>
      <c r="G260" s="37" t="n"/>
      <c r="H260" s="37" t="n"/>
      <c r="I260" s="37" t="n"/>
      <c r="J260" s="37" t="n"/>
      <c r="K260" s="38">
        <f>IF($C260="","",IFERROR(N(INDEX(tbl_Finance[Invoice Count],MATCH($AE260,tbl_Finance[Row ID],0))),""))</f>
        <v/>
      </c>
      <c r="L260" s="11">
        <f>IF($C260="","",IFERROR(N(INDEX(tbl_Finance[Xero Invoiced Ex GST],MATCH($AE260,tbl_Finance[Row ID],0))),""))</f>
        <v/>
      </c>
      <c r="M260" s="10">
        <f>IF($C260="","",IFERROR(INDEX(tbl_Finance[Compare],MATCH($AE260,tbl_Finance[Row ID],0))&amp;"",""))</f>
        <v/>
      </c>
      <c r="N260" s="11">
        <f>IF($C260="","",MAX(0,N(O260)-N(L260)))</f>
        <v/>
      </c>
      <c r="O260" s="39" t="n"/>
      <c r="P260" s="40">
        <f>IF($C260="","",IF((IF(F260="",", Client","")&amp;IF(G260="",", Description","")&amp;IF(H260="",", Cost Centre","")&amp;IF(I260="",", Invoice Type","")&amp;IF(J260="",", Tax Code","")&amp;IF(O260="",", Expected Revenue","")&amp;IF(COUNTIF(tbl_Finance[Job Number],$C260&amp;"")&gt;1,", Job number used twice",""))="","Complete","Fix: "&amp;MID(IF(F260="",", Client","")&amp;IF(G260="",", Description","")&amp;IF(H260="",", Cost Centre","")&amp;IF(I260="",", Invoice Type","")&amp;IF(J260="",", Tax Code","")&amp;IF(O260="",", Expected Revenue","")&amp;IF(COUNTIF(tbl_Finance[Job Number],$C260&amp;"")&gt;1,", Job number used twice",""),3,300)))</f>
        <v/>
      </c>
      <c r="Q260" s="10">
        <f>IF($C260="","",IF(H260="","(no cost centre)",H260&amp;" - GL "&amp;IFERROR(INDEX(lst_CCtoGL,MATCH(H260,lst_CCforGL,0)),"?")))</f>
        <v/>
      </c>
      <c r="R260" s="37" t="n"/>
      <c r="S260" s="10">
        <f>IF(R260="","",HYPERLINK(IF(LEFT(R260,4)="http",R260,set_QwilrBase&amp;R260),"Open quote"))</f>
        <v/>
      </c>
      <c r="T260" s="39" t="n"/>
      <c r="U260" s="39" t="n"/>
      <c r="V260" s="39" t="n"/>
      <c r="W260" s="10">
        <f>IF(C260="","",IF(N(T260)+N(U260)+N(V260)=0,"Not split",IF(ROUND(N(T260)+N(U260)+N(V260),2)=ROUND(MAX(N(L260),N(O260)),2),"OK","MISMATCH")))</f>
        <v/>
      </c>
      <c r="X260" s="39" t="n"/>
      <c r="Y260" s="39" t="n"/>
      <c r="Z260" s="39" t="n"/>
      <c r="AA260" s="11">
        <f>IF(C260="","",N(X260)+N(Y260)+N(Z260))</f>
        <v/>
      </c>
      <c r="AB260" s="11">
        <f>IF(C260="","",MAX(N(L260),N(O260))-N(AA260))</f>
        <v/>
      </c>
      <c r="AC260" s="43">
        <f>IFERROR(IF(MAX(N(L260),N(O260))=0,"",AB260/MAX(N(L260),N(O260))),"")</f>
        <v/>
      </c>
      <c r="AD260" s="37" t="n"/>
      <c r="AE260" s="10" t="inlineStr">
        <is>
          <t>CON-0256</t>
        </is>
      </c>
    </row>
    <row r="261">
      <c r="A261" s="16">
        <f>IF($C261="","",IFERROR(IF(INDEX(tbl_Finance[Latest Invoice Date],MATCH($AE261,tbl_Finance[Row ID],0))="","",INDEX(tbl_Finance[Latest Invoice Date],MATCH($AE261,tbl_Finance[Row ID],0))),""))</f>
        <v/>
      </c>
      <c r="B261" s="10">
        <f>IF($C261="","",IFERROR(INDEX(tbl_Finance[Invoice Numbers],MATCH($AE261,tbl_Finance[Row ID],0))&amp;"",""))</f>
        <v/>
      </c>
      <c r="C261" s="37" t="n"/>
      <c r="D261" s="10">
        <f>IF($C261="","",IF(COUNTIF(lst_Jobs,$C261&amp;"")&gt;0,"OK","CHECK"))</f>
        <v/>
      </c>
      <c r="E261" s="10">
        <f>IF($C261="","",IFERROR(INDEX(lst_JobName,MATCH($C261&amp;"",lst_Jobs,0)),""))</f>
        <v/>
      </c>
      <c r="F261" s="37" t="n"/>
      <c r="G261" s="37" t="n"/>
      <c r="H261" s="37" t="n"/>
      <c r="I261" s="37" t="n"/>
      <c r="J261" s="37" t="n"/>
      <c r="K261" s="38">
        <f>IF($C261="","",IFERROR(N(INDEX(tbl_Finance[Invoice Count],MATCH($AE261,tbl_Finance[Row ID],0))),""))</f>
        <v/>
      </c>
      <c r="L261" s="11">
        <f>IF($C261="","",IFERROR(N(INDEX(tbl_Finance[Xero Invoiced Ex GST],MATCH($AE261,tbl_Finance[Row ID],0))),""))</f>
        <v/>
      </c>
      <c r="M261" s="10">
        <f>IF($C261="","",IFERROR(INDEX(tbl_Finance[Compare],MATCH($AE261,tbl_Finance[Row ID],0))&amp;"",""))</f>
        <v/>
      </c>
      <c r="N261" s="11">
        <f>IF($C261="","",MAX(0,N(O261)-N(L261)))</f>
        <v/>
      </c>
      <c r="O261" s="39" t="n"/>
      <c r="P261" s="40">
        <f>IF($C261="","",IF((IF(F261="",", Client","")&amp;IF(G261="",", Description","")&amp;IF(H261="",", Cost Centre","")&amp;IF(I261="",", Invoice Type","")&amp;IF(J261="",", Tax Code","")&amp;IF(O261="",", Expected Revenue","")&amp;IF(COUNTIF(tbl_Finance[Job Number],$C261&amp;"")&gt;1,", Job number used twice",""))="","Complete","Fix: "&amp;MID(IF(F261="",", Client","")&amp;IF(G261="",", Description","")&amp;IF(H261="",", Cost Centre","")&amp;IF(I261="",", Invoice Type","")&amp;IF(J261="",", Tax Code","")&amp;IF(O261="",", Expected Revenue","")&amp;IF(COUNTIF(tbl_Finance[Job Number],$C261&amp;"")&gt;1,", Job number used twice",""),3,300)))</f>
        <v/>
      </c>
      <c r="Q261" s="10">
        <f>IF($C261="","",IF(H261="","(no cost centre)",H261&amp;" - GL "&amp;IFERROR(INDEX(lst_CCtoGL,MATCH(H261,lst_CCforGL,0)),"?")))</f>
        <v/>
      </c>
      <c r="R261" s="37" t="n"/>
      <c r="S261" s="10">
        <f>IF(R261="","",HYPERLINK(IF(LEFT(R261,4)="http",R261,set_QwilrBase&amp;R261),"Open quote"))</f>
        <v/>
      </c>
      <c r="T261" s="39" t="n"/>
      <c r="U261" s="39" t="n"/>
      <c r="V261" s="39" t="n"/>
      <c r="W261" s="10">
        <f>IF(C261="","",IF(N(T261)+N(U261)+N(V261)=0,"Not split",IF(ROUND(N(T261)+N(U261)+N(V261),2)=ROUND(MAX(N(L261),N(O261)),2),"OK","MISMATCH")))</f>
        <v/>
      </c>
      <c r="X261" s="39" t="n"/>
      <c r="Y261" s="39" t="n"/>
      <c r="Z261" s="39" t="n"/>
      <c r="AA261" s="11">
        <f>IF(C261="","",N(X261)+N(Y261)+N(Z261))</f>
        <v/>
      </c>
      <c r="AB261" s="11">
        <f>IF(C261="","",MAX(N(L261),N(O261))-N(AA261))</f>
        <v/>
      </c>
      <c r="AC261" s="43">
        <f>IFERROR(IF(MAX(N(L261),N(O261))=0,"",AB261/MAX(N(L261),N(O261))),"")</f>
        <v/>
      </c>
      <c r="AD261" s="37" t="n"/>
      <c r="AE261" s="10" t="inlineStr">
        <is>
          <t>CON-0257</t>
        </is>
      </c>
    </row>
    <row r="262">
      <c r="A262" s="16">
        <f>IF($C262="","",IFERROR(IF(INDEX(tbl_Finance[Latest Invoice Date],MATCH($AE262,tbl_Finance[Row ID],0))="","",INDEX(tbl_Finance[Latest Invoice Date],MATCH($AE262,tbl_Finance[Row ID],0))),""))</f>
        <v/>
      </c>
      <c r="B262" s="10">
        <f>IF($C262="","",IFERROR(INDEX(tbl_Finance[Invoice Numbers],MATCH($AE262,tbl_Finance[Row ID],0))&amp;"",""))</f>
        <v/>
      </c>
      <c r="C262" s="37" t="n"/>
      <c r="D262" s="10">
        <f>IF($C262="","",IF(COUNTIF(lst_Jobs,$C262&amp;"")&gt;0,"OK","CHECK"))</f>
        <v/>
      </c>
      <c r="E262" s="10">
        <f>IF($C262="","",IFERROR(INDEX(lst_JobName,MATCH($C262&amp;"",lst_Jobs,0)),""))</f>
        <v/>
      </c>
      <c r="F262" s="37" t="n"/>
      <c r="G262" s="37" t="n"/>
      <c r="H262" s="37" t="n"/>
      <c r="I262" s="37" t="n"/>
      <c r="J262" s="37" t="n"/>
      <c r="K262" s="38">
        <f>IF($C262="","",IFERROR(N(INDEX(tbl_Finance[Invoice Count],MATCH($AE262,tbl_Finance[Row ID],0))),""))</f>
        <v/>
      </c>
      <c r="L262" s="11">
        <f>IF($C262="","",IFERROR(N(INDEX(tbl_Finance[Xero Invoiced Ex GST],MATCH($AE262,tbl_Finance[Row ID],0))),""))</f>
        <v/>
      </c>
      <c r="M262" s="10">
        <f>IF($C262="","",IFERROR(INDEX(tbl_Finance[Compare],MATCH($AE262,tbl_Finance[Row ID],0))&amp;"",""))</f>
        <v/>
      </c>
      <c r="N262" s="11">
        <f>IF($C262="","",MAX(0,N(O262)-N(L262)))</f>
        <v/>
      </c>
      <c r="O262" s="39" t="n"/>
      <c r="P262" s="40">
        <f>IF($C262="","",IF((IF(F262="",", Client","")&amp;IF(G262="",", Description","")&amp;IF(H262="",", Cost Centre","")&amp;IF(I262="",", Invoice Type","")&amp;IF(J262="",", Tax Code","")&amp;IF(O262="",", Expected Revenue","")&amp;IF(COUNTIF(tbl_Finance[Job Number],$C262&amp;"")&gt;1,", Job number used twice",""))="","Complete","Fix: "&amp;MID(IF(F262="",", Client","")&amp;IF(G262="",", Description","")&amp;IF(H262="",", Cost Centre","")&amp;IF(I262="",", Invoice Type","")&amp;IF(J262="",", Tax Code","")&amp;IF(O262="",", Expected Revenue","")&amp;IF(COUNTIF(tbl_Finance[Job Number],$C262&amp;"")&gt;1,", Job number used twice",""),3,300)))</f>
        <v/>
      </c>
      <c r="Q262" s="10">
        <f>IF($C262="","",IF(H262="","(no cost centre)",H262&amp;" - GL "&amp;IFERROR(INDEX(lst_CCtoGL,MATCH(H262,lst_CCforGL,0)),"?")))</f>
        <v/>
      </c>
      <c r="R262" s="37" t="n"/>
      <c r="S262" s="10">
        <f>IF(R262="","",HYPERLINK(IF(LEFT(R262,4)="http",R262,set_QwilrBase&amp;R262),"Open quote"))</f>
        <v/>
      </c>
      <c r="T262" s="39" t="n"/>
      <c r="U262" s="39" t="n"/>
      <c r="V262" s="39" t="n"/>
      <c r="W262" s="10">
        <f>IF(C262="","",IF(N(T262)+N(U262)+N(V262)=0,"Not split",IF(ROUND(N(T262)+N(U262)+N(V262),2)=ROUND(MAX(N(L262),N(O262)),2),"OK","MISMATCH")))</f>
        <v/>
      </c>
      <c r="X262" s="39" t="n"/>
      <c r="Y262" s="39" t="n"/>
      <c r="Z262" s="39" t="n"/>
      <c r="AA262" s="11">
        <f>IF(C262="","",N(X262)+N(Y262)+N(Z262))</f>
        <v/>
      </c>
      <c r="AB262" s="11">
        <f>IF(C262="","",MAX(N(L262),N(O262))-N(AA262))</f>
        <v/>
      </c>
      <c r="AC262" s="43">
        <f>IFERROR(IF(MAX(N(L262),N(O262))=0,"",AB262/MAX(N(L262),N(O262))),"")</f>
        <v/>
      </c>
      <c r="AD262" s="37" t="n"/>
      <c r="AE262" s="10" t="inlineStr">
        <is>
          <t>CON-0258</t>
        </is>
      </c>
    </row>
    <row r="263">
      <c r="A263" s="16">
        <f>IF($C263="","",IFERROR(IF(INDEX(tbl_Finance[Latest Invoice Date],MATCH($AE263,tbl_Finance[Row ID],0))="","",INDEX(tbl_Finance[Latest Invoice Date],MATCH($AE263,tbl_Finance[Row ID],0))),""))</f>
        <v/>
      </c>
      <c r="B263" s="10">
        <f>IF($C263="","",IFERROR(INDEX(tbl_Finance[Invoice Numbers],MATCH($AE263,tbl_Finance[Row ID],0))&amp;"",""))</f>
        <v/>
      </c>
      <c r="C263" s="37" t="n"/>
      <c r="D263" s="10">
        <f>IF($C263="","",IF(COUNTIF(lst_Jobs,$C263&amp;"")&gt;0,"OK","CHECK"))</f>
        <v/>
      </c>
      <c r="E263" s="10">
        <f>IF($C263="","",IFERROR(INDEX(lst_JobName,MATCH($C263&amp;"",lst_Jobs,0)),""))</f>
        <v/>
      </c>
      <c r="F263" s="37" t="n"/>
      <c r="G263" s="37" t="n"/>
      <c r="H263" s="37" t="n"/>
      <c r="I263" s="37" t="n"/>
      <c r="J263" s="37" t="n"/>
      <c r="K263" s="38">
        <f>IF($C263="","",IFERROR(N(INDEX(tbl_Finance[Invoice Count],MATCH($AE263,tbl_Finance[Row ID],0))),""))</f>
        <v/>
      </c>
      <c r="L263" s="11">
        <f>IF($C263="","",IFERROR(N(INDEX(tbl_Finance[Xero Invoiced Ex GST],MATCH($AE263,tbl_Finance[Row ID],0))),""))</f>
        <v/>
      </c>
      <c r="M263" s="10">
        <f>IF($C263="","",IFERROR(INDEX(tbl_Finance[Compare],MATCH($AE263,tbl_Finance[Row ID],0))&amp;"",""))</f>
        <v/>
      </c>
      <c r="N263" s="11">
        <f>IF($C263="","",MAX(0,N(O263)-N(L263)))</f>
        <v/>
      </c>
      <c r="O263" s="39" t="n"/>
      <c r="P263" s="40">
        <f>IF($C263="","",IF((IF(F263="",", Client","")&amp;IF(G263="",", Description","")&amp;IF(H263="",", Cost Centre","")&amp;IF(I263="",", Invoice Type","")&amp;IF(J263="",", Tax Code","")&amp;IF(O263="",", Expected Revenue","")&amp;IF(COUNTIF(tbl_Finance[Job Number],$C263&amp;"")&gt;1,", Job number used twice",""))="","Complete","Fix: "&amp;MID(IF(F263="",", Client","")&amp;IF(G263="",", Description","")&amp;IF(H263="",", Cost Centre","")&amp;IF(I263="",", Invoice Type","")&amp;IF(J263="",", Tax Code","")&amp;IF(O263="",", Expected Revenue","")&amp;IF(COUNTIF(tbl_Finance[Job Number],$C263&amp;"")&gt;1,", Job number used twice",""),3,300)))</f>
        <v/>
      </c>
      <c r="Q263" s="10">
        <f>IF($C263="","",IF(H263="","(no cost centre)",H263&amp;" - GL "&amp;IFERROR(INDEX(lst_CCtoGL,MATCH(H263,lst_CCforGL,0)),"?")))</f>
        <v/>
      </c>
      <c r="R263" s="37" t="n"/>
      <c r="S263" s="10">
        <f>IF(R263="","",HYPERLINK(IF(LEFT(R263,4)="http",R263,set_QwilrBase&amp;R263),"Open quote"))</f>
        <v/>
      </c>
      <c r="T263" s="39" t="n"/>
      <c r="U263" s="39" t="n"/>
      <c r="V263" s="39" t="n"/>
      <c r="W263" s="10">
        <f>IF(C263="","",IF(N(T263)+N(U263)+N(V263)=0,"Not split",IF(ROUND(N(T263)+N(U263)+N(V263),2)=ROUND(MAX(N(L263),N(O263)),2),"OK","MISMATCH")))</f>
        <v/>
      </c>
      <c r="X263" s="39" t="n"/>
      <c r="Y263" s="39" t="n"/>
      <c r="Z263" s="39" t="n"/>
      <c r="AA263" s="11">
        <f>IF(C263="","",N(X263)+N(Y263)+N(Z263))</f>
        <v/>
      </c>
      <c r="AB263" s="11">
        <f>IF(C263="","",MAX(N(L263),N(O263))-N(AA263))</f>
        <v/>
      </c>
      <c r="AC263" s="43">
        <f>IFERROR(IF(MAX(N(L263),N(O263))=0,"",AB263/MAX(N(L263),N(O263))),"")</f>
        <v/>
      </c>
      <c r="AD263" s="37" t="n"/>
      <c r="AE263" s="10" t="inlineStr">
        <is>
          <t>CON-0259</t>
        </is>
      </c>
    </row>
    <row r="264">
      <c r="A264" s="16">
        <f>IF($C264="","",IFERROR(IF(INDEX(tbl_Finance[Latest Invoice Date],MATCH($AE264,tbl_Finance[Row ID],0))="","",INDEX(tbl_Finance[Latest Invoice Date],MATCH($AE264,tbl_Finance[Row ID],0))),""))</f>
        <v/>
      </c>
      <c r="B264" s="10">
        <f>IF($C264="","",IFERROR(INDEX(tbl_Finance[Invoice Numbers],MATCH($AE264,tbl_Finance[Row ID],0))&amp;"",""))</f>
        <v/>
      </c>
      <c r="C264" s="37" t="n"/>
      <c r="D264" s="10">
        <f>IF($C264="","",IF(COUNTIF(lst_Jobs,$C264&amp;"")&gt;0,"OK","CHECK"))</f>
        <v/>
      </c>
      <c r="E264" s="10">
        <f>IF($C264="","",IFERROR(INDEX(lst_JobName,MATCH($C264&amp;"",lst_Jobs,0)),""))</f>
        <v/>
      </c>
      <c r="F264" s="37" t="n"/>
      <c r="G264" s="37" t="n"/>
      <c r="H264" s="37" t="n"/>
      <c r="I264" s="37" t="n"/>
      <c r="J264" s="37" t="n"/>
      <c r="K264" s="38">
        <f>IF($C264="","",IFERROR(N(INDEX(tbl_Finance[Invoice Count],MATCH($AE264,tbl_Finance[Row ID],0))),""))</f>
        <v/>
      </c>
      <c r="L264" s="11">
        <f>IF($C264="","",IFERROR(N(INDEX(tbl_Finance[Xero Invoiced Ex GST],MATCH($AE264,tbl_Finance[Row ID],0))),""))</f>
        <v/>
      </c>
      <c r="M264" s="10">
        <f>IF($C264="","",IFERROR(INDEX(tbl_Finance[Compare],MATCH($AE264,tbl_Finance[Row ID],0))&amp;"",""))</f>
        <v/>
      </c>
      <c r="N264" s="11">
        <f>IF($C264="","",MAX(0,N(O264)-N(L264)))</f>
        <v/>
      </c>
      <c r="O264" s="39" t="n"/>
      <c r="P264" s="40">
        <f>IF($C264="","",IF((IF(F264="",", Client","")&amp;IF(G264="",", Description","")&amp;IF(H264="",", Cost Centre","")&amp;IF(I264="",", Invoice Type","")&amp;IF(J264="",", Tax Code","")&amp;IF(O264="",", Expected Revenue","")&amp;IF(COUNTIF(tbl_Finance[Job Number],$C264&amp;"")&gt;1,", Job number used twice",""))="","Complete","Fix: "&amp;MID(IF(F264="",", Client","")&amp;IF(G264="",", Description","")&amp;IF(H264="",", Cost Centre","")&amp;IF(I264="",", Invoice Type","")&amp;IF(J264="",", Tax Code","")&amp;IF(O264="",", Expected Revenue","")&amp;IF(COUNTIF(tbl_Finance[Job Number],$C264&amp;"")&gt;1,", Job number used twice",""),3,300)))</f>
        <v/>
      </c>
      <c r="Q264" s="10">
        <f>IF($C264="","",IF(H264="","(no cost centre)",H264&amp;" - GL "&amp;IFERROR(INDEX(lst_CCtoGL,MATCH(H264,lst_CCforGL,0)),"?")))</f>
        <v/>
      </c>
      <c r="R264" s="37" t="n"/>
      <c r="S264" s="10">
        <f>IF(R264="","",HYPERLINK(IF(LEFT(R264,4)="http",R264,set_QwilrBase&amp;R264),"Open quote"))</f>
        <v/>
      </c>
      <c r="T264" s="39" t="n"/>
      <c r="U264" s="39" t="n"/>
      <c r="V264" s="39" t="n"/>
      <c r="W264" s="10">
        <f>IF(C264="","",IF(N(T264)+N(U264)+N(V264)=0,"Not split",IF(ROUND(N(T264)+N(U264)+N(V264),2)=ROUND(MAX(N(L264),N(O264)),2),"OK","MISMATCH")))</f>
        <v/>
      </c>
      <c r="X264" s="39" t="n"/>
      <c r="Y264" s="39" t="n"/>
      <c r="Z264" s="39" t="n"/>
      <c r="AA264" s="11">
        <f>IF(C264="","",N(X264)+N(Y264)+N(Z264))</f>
        <v/>
      </c>
      <c r="AB264" s="11">
        <f>IF(C264="","",MAX(N(L264),N(O264))-N(AA264))</f>
        <v/>
      </c>
      <c r="AC264" s="43">
        <f>IFERROR(IF(MAX(N(L264),N(O264))=0,"",AB264/MAX(N(L264),N(O264))),"")</f>
        <v/>
      </c>
      <c r="AD264" s="37" t="n"/>
      <c r="AE264" s="10" t="inlineStr">
        <is>
          <t>CON-0260</t>
        </is>
      </c>
    </row>
    <row r="265">
      <c r="A265" s="16">
        <f>IF($C265="","",IFERROR(IF(INDEX(tbl_Finance[Latest Invoice Date],MATCH($AE265,tbl_Finance[Row ID],0))="","",INDEX(tbl_Finance[Latest Invoice Date],MATCH($AE265,tbl_Finance[Row ID],0))),""))</f>
        <v/>
      </c>
      <c r="B265" s="10">
        <f>IF($C265="","",IFERROR(INDEX(tbl_Finance[Invoice Numbers],MATCH($AE265,tbl_Finance[Row ID],0))&amp;"",""))</f>
        <v/>
      </c>
      <c r="C265" s="37" t="n"/>
      <c r="D265" s="10">
        <f>IF($C265="","",IF(COUNTIF(lst_Jobs,$C265&amp;"")&gt;0,"OK","CHECK"))</f>
        <v/>
      </c>
      <c r="E265" s="10">
        <f>IF($C265="","",IFERROR(INDEX(lst_JobName,MATCH($C265&amp;"",lst_Jobs,0)),""))</f>
        <v/>
      </c>
      <c r="F265" s="37" t="n"/>
      <c r="G265" s="37" t="n"/>
      <c r="H265" s="37" t="n"/>
      <c r="I265" s="37" t="n"/>
      <c r="J265" s="37" t="n"/>
      <c r="K265" s="38">
        <f>IF($C265="","",IFERROR(N(INDEX(tbl_Finance[Invoice Count],MATCH($AE265,tbl_Finance[Row ID],0))),""))</f>
        <v/>
      </c>
      <c r="L265" s="11">
        <f>IF($C265="","",IFERROR(N(INDEX(tbl_Finance[Xero Invoiced Ex GST],MATCH($AE265,tbl_Finance[Row ID],0))),""))</f>
        <v/>
      </c>
      <c r="M265" s="10">
        <f>IF($C265="","",IFERROR(INDEX(tbl_Finance[Compare],MATCH($AE265,tbl_Finance[Row ID],0))&amp;"",""))</f>
        <v/>
      </c>
      <c r="N265" s="11">
        <f>IF($C265="","",MAX(0,N(O265)-N(L265)))</f>
        <v/>
      </c>
      <c r="O265" s="39" t="n"/>
      <c r="P265" s="40">
        <f>IF($C265="","",IF((IF(F265="",", Client","")&amp;IF(G265="",", Description","")&amp;IF(H265="",", Cost Centre","")&amp;IF(I265="",", Invoice Type","")&amp;IF(J265="",", Tax Code","")&amp;IF(O265="",", Expected Revenue","")&amp;IF(COUNTIF(tbl_Finance[Job Number],$C265&amp;"")&gt;1,", Job number used twice",""))="","Complete","Fix: "&amp;MID(IF(F265="",", Client","")&amp;IF(G265="",", Description","")&amp;IF(H265="",", Cost Centre","")&amp;IF(I265="",", Invoice Type","")&amp;IF(J265="",", Tax Code","")&amp;IF(O265="",", Expected Revenue","")&amp;IF(COUNTIF(tbl_Finance[Job Number],$C265&amp;"")&gt;1,", Job number used twice",""),3,300)))</f>
        <v/>
      </c>
      <c r="Q265" s="10">
        <f>IF($C265="","",IF(H265="","(no cost centre)",H265&amp;" - GL "&amp;IFERROR(INDEX(lst_CCtoGL,MATCH(H265,lst_CCforGL,0)),"?")))</f>
        <v/>
      </c>
      <c r="R265" s="37" t="n"/>
      <c r="S265" s="10">
        <f>IF(R265="","",HYPERLINK(IF(LEFT(R265,4)="http",R265,set_QwilrBase&amp;R265),"Open quote"))</f>
        <v/>
      </c>
      <c r="T265" s="39" t="n"/>
      <c r="U265" s="39" t="n"/>
      <c r="V265" s="39" t="n"/>
      <c r="W265" s="10">
        <f>IF(C265="","",IF(N(T265)+N(U265)+N(V265)=0,"Not split",IF(ROUND(N(T265)+N(U265)+N(V265),2)=ROUND(MAX(N(L265),N(O265)),2),"OK","MISMATCH")))</f>
        <v/>
      </c>
      <c r="X265" s="39" t="n"/>
      <c r="Y265" s="39" t="n"/>
      <c r="Z265" s="39" t="n"/>
      <c r="AA265" s="11">
        <f>IF(C265="","",N(X265)+N(Y265)+N(Z265))</f>
        <v/>
      </c>
      <c r="AB265" s="11">
        <f>IF(C265="","",MAX(N(L265),N(O265))-N(AA265))</f>
        <v/>
      </c>
      <c r="AC265" s="43">
        <f>IFERROR(IF(MAX(N(L265),N(O265))=0,"",AB265/MAX(N(L265),N(O265))),"")</f>
        <v/>
      </c>
      <c r="AD265" s="37" t="n"/>
      <c r="AE265" s="10" t="inlineStr">
        <is>
          <t>CON-0261</t>
        </is>
      </c>
    </row>
    <row r="266">
      <c r="A266" s="16">
        <f>IF($C266="","",IFERROR(IF(INDEX(tbl_Finance[Latest Invoice Date],MATCH($AE266,tbl_Finance[Row ID],0))="","",INDEX(tbl_Finance[Latest Invoice Date],MATCH($AE266,tbl_Finance[Row ID],0))),""))</f>
        <v/>
      </c>
      <c r="B266" s="10">
        <f>IF($C266="","",IFERROR(INDEX(tbl_Finance[Invoice Numbers],MATCH($AE266,tbl_Finance[Row ID],0))&amp;"",""))</f>
        <v/>
      </c>
      <c r="C266" s="37" t="n"/>
      <c r="D266" s="10">
        <f>IF($C266="","",IF(COUNTIF(lst_Jobs,$C266&amp;"")&gt;0,"OK","CHECK"))</f>
        <v/>
      </c>
      <c r="E266" s="10">
        <f>IF($C266="","",IFERROR(INDEX(lst_JobName,MATCH($C266&amp;"",lst_Jobs,0)),""))</f>
        <v/>
      </c>
      <c r="F266" s="37" t="n"/>
      <c r="G266" s="37" t="n"/>
      <c r="H266" s="37" t="n"/>
      <c r="I266" s="37" t="n"/>
      <c r="J266" s="37" t="n"/>
      <c r="K266" s="38">
        <f>IF($C266="","",IFERROR(N(INDEX(tbl_Finance[Invoice Count],MATCH($AE266,tbl_Finance[Row ID],0))),""))</f>
        <v/>
      </c>
      <c r="L266" s="11">
        <f>IF($C266="","",IFERROR(N(INDEX(tbl_Finance[Xero Invoiced Ex GST],MATCH($AE266,tbl_Finance[Row ID],0))),""))</f>
        <v/>
      </c>
      <c r="M266" s="10">
        <f>IF($C266="","",IFERROR(INDEX(tbl_Finance[Compare],MATCH($AE266,tbl_Finance[Row ID],0))&amp;"",""))</f>
        <v/>
      </c>
      <c r="N266" s="11">
        <f>IF($C266="","",MAX(0,N(O266)-N(L266)))</f>
        <v/>
      </c>
      <c r="O266" s="39" t="n"/>
      <c r="P266" s="40">
        <f>IF($C266="","",IF((IF(F266="",", Client","")&amp;IF(G266="",", Description","")&amp;IF(H266="",", Cost Centre","")&amp;IF(I266="",", Invoice Type","")&amp;IF(J266="",", Tax Code","")&amp;IF(O266="",", Expected Revenue","")&amp;IF(COUNTIF(tbl_Finance[Job Number],$C266&amp;"")&gt;1,", Job number used twice",""))="","Complete","Fix: "&amp;MID(IF(F266="",", Client","")&amp;IF(G266="",", Description","")&amp;IF(H266="",", Cost Centre","")&amp;IF(I266="",", Invoice Type","")&amp;IF(J266="",", Tax Code","")&amp;IF(O266="",", Expected Revenue","")&amp;IF(COUNTIF(tbl_Finance[Job Number],$C266&amp;"")&gt;1,", Job number used twice",""),3,300)))</f>
        <v/>
      </c>
      <c r="Q266" s="10">
        <f>IF($C266="","",IF(H266="","(no cost centre)",H266&amp;" - GL "&amp;IFERROR(INDEX(lst_CCtoGL,MATCH(H266,lst_CCforGL,0)),"?")))</f>
        <v/>
      </c>
      <c r="R266" s="37" t="n"/>
      <c r="S266" s="10">
        <f>IF(R266="","",HYPERLINK(IF(LEFT(R266,4)="http",R266,set_QwilrBase&amp;R266),"Open quote"))</f>
        <v/>
      </c>
      <c r="T266" s="39" t="n"/>
      <c r="U266" s="39" t="n"/>
      <c r="V266" s="39" t="n"/>
      <c r="W266" s="10">
        <f>IF(C266="","",IF(N(T266)+N(U266)+N(V266)=0,"Not split",IF(ROUND(N(T266)+N(U266)+N(V266),2)=ROUND(MAX(N(L266),N(O266)),2),"OK","MISMATCH")))</f>
        <v/>
      </c>
      <c r="X266" s="39" t="n"/>
      <c r="Y266" s="39" t="n"/>
      <c r="Z266" s="39" t="n"/>
      <c r="AA266" s="11">
        <f>IF(C266="","",N(X266)+N(Y266)+N(Z266))</f>
        <v/>
      </c>
      <c r="AB266" s="11">
        <f>IF(C266="","",MAX(N(L266),N(O266))-N(AA266))</f>
        <v/>
      </c>
      <c r="AC266" s="43">
        <f>IFERROR(IF(MAX(N(L266),N(O266))=0,"",AB266/MAX(N(L266),N(O266))),"")</f>
        <v/>
      </c>
      <c r="AD266" s="37" t="n"/>
      <c r="AE266" s="10" t="inlineStr">
        <is>
          <t>CON-0262</t>
        </is>
      </c>
    </row>
    <row r="267">
      <c r="A267" s="16">
        <f>IF($C267="","",IFERROR(IF(INDEX(tbl_Finance[Latest Invoice Date],MATCH($AE267,tbl_Finance[Row ID],0))="","",INDEX(tbl_Finance[Latest Invoice Date],MATCH($AE267,tbl_Finance[Row ID],0))),""))</f>
        <v/>
      </c>
      <c r="B267" s="10">
        <f>IF($C267="","",IFERROR(INDEX(tbl_Finance[Invoice Numbers],MATCH($AE267,tbl_Finance[Row ID],0))&amp;"",""))</f>
        <v/>
      </c>
      <c r="C267" s="37" t="n"/>
      <c r="D267" s="10">
        <f>IF($C267="","",IF(COUNTIF(lst_Jobs,$C267&amp;"")&gt;0,"OK","CHECK"))</f>
        <v/>
      </c>
      <c r="E267" s="10">
        <f>IF($C267="","",IFERROR(INDEX(lst_JobName,MATCH($C267&amp;"",lst_Jobs,0)),""))</f>
        <v/>
      </c>
      <c r="F267" s="37" t="n"/>
      <c r="G267" s="37" t="n"/>
      <c r="H267" s="37" t="n"/>
      <c r="I267" s="37" t="n"/>
      <c r="J267" s="37" t="n"/>
      <c r="K267" s="38">
        <f>IF($C267="","",IFERROR(N(INDEX(tbl_Finance[Invoice Count],MATCH($AE267,tbl_Finance[Row ID],0))),""))</f>
        <v/>
      </c>
      <c r="L267" s="11">
        <f>IF($C267="","",IFERROR(N(INDEX(tbl_Finance[Xero Invoiced Ex GST],MATCH($AE267,tbl_Finance[Row ID],0))),""))</f>
        <v/>
      </c>
      <c r="M267" s="10">
        <f>IF($C267="","",IFERROR(INDEX(tbl_Finance[Compare],MATCH($AE267,tbl_Finance[Row ID],0))&amp;"",""))</f>
        <v/>
      </c>
      <c r="N267" s="11">
        <f>IF($C267="","",MAX(0,N(O267)-N(L267)))</f>
        <v/>
      </c>
      <c r="O267" s="39" t="n"/>
      <c r="P267" s="40">
        <f>IF($C267="","",IF((IF(F267="",", Client","")&amp;IF(G267="",", Description","")&amp;IF(H267="",", Cost Centre","")&amp;IF(I267="",", Invoice Type","")&amp;IF(J267="",", Tax Code","")&amp;IF(O267="",", Expected Revenue","")&amp;IF(COUNTIF(tbl_Finance[Job Number],$C267&amp;"")&gt;1,", Job number used twice",""))="","Complete","Fix: "&amp;MID(IF(F267="",", Client","")&amp;IF(G267="",", Description","")&amp;IF(H267="",", Cost Centre","")&amp;IF(I267="",", Invoice Type","")&amp;IF(J267="",", Tax Code","")&amp;IF(O267="",", Expected Revenue","")&amp;IF(COUNTIF(tbl_Finance[Job Number],$C267&amp;"")&gt;1,", Job number used twice",""),3,300)))</f>
        <v/>
      </c>
      <c r="Q267" s="10">
        <f>IF($C267="","",IF(H267="","(no cost centre)",H267&amp;" - GL "&amp;IFERROR(INDEX(lst_CCtoGL,MATCH(H267,lst_CCforGL,0)),"?")))</f>
        <v/>
      </c>
      <c r="R267" s="37" t="n"/>
      <c r="S267" s="10">
        <f>IF(R267="","",HYPERLINK(IF(LEFT(R267,4)="http",R267,set_QwilrBase&amp;R267),"Open quote"))</f>
        <v/>
      </c>
      <c r="T267" s="39" t="n"/>
      <c r="U267" s="39" t="n"/>
      <c r="V267" s="39" t="n"/>
      <c r="W267" s="10">
        <f>IF(C267="","",IF(N(T267)+N(U267)+N(V267)=0,"Not split",IF(ROUND(N(T267)+N(U267)+N(V267),2)=ROUND(MAX(N(L267),N(O267)),2),"OK","MISMATCH")))</f>
        <v/>
      </c>
      <c r="X267" s="39" t="n"/>
      <c r="Y267" s="39" t="n"/>
      <c r="Z267" s="39" t="n"/>
      <c r="AA267" s="11">
        <f>IF(C267="","",N(X267)+N(Y267)+N(Z267))</f>
        <v/>
      </c>
      <c r="AB267" s="11">
        <f>IF(C267="","",MAX(N(L267),N(O267))-N(AA267))</f>
        <v/>
      </c>
      <c r="AC267" s="43">
        <f>IFERROR(IF(MAX(N(L267),N(O267))=0,"",AB267/MAX(N(L267),N(O267))),"")</f>
        <v/>
      </c>
      <c r="AD267" s="37" t="n"/>
      <c r="AE267" s="10" t="inlineStr">
        <is>
          <t>CON-0263</t>
        </is>
      </c>
    </row>
    <row r="268">
      <c r="A268" s="16">
        <f>IF($C268="","",IFERROR(IF(INDEX(tbl_Finance[Latest Invoice Date],MATCH($AE268,tbl_Finance[Row ID],0))="","",INDEX(tbl_Finance[Latest Invoice Date],MATCH($AE268,tbl_Finance[Row ID],0))),""))</f>
        <v/>
      </c>
      <c r="B268" s="10">
        <f>IF($C268="","",IFERROR(INDEX(tbl_Finance[Invoice Numbers],MATCH($AE268,tbl_Finance[Row ID],0))&amp;"",""))</f>
        <v/>
      </c>
      <c r="C268" s="37" t="n"/>
      <c r="D268" s="10">
        <f>IF($C268="","",IF(COUNTIF(lst_Jobs,$C268&amp;"")&gt;0,"OK","CHECK"))</f>
        <v/>
      </c>
      <c r="E268" s="10">
        <f>IF($C268="","",IFERROR(INDEX(lst_JobName,MATCH($C268&amp;"",lst_Jobs,0)),""))</f>
        <v/>
      </c>
      <c r="F268" s="37" t="n"/>
      <c r="G268" s="37" t="n"/>
      <c r="H268" s="37" t="n"/>
      <c r="I268" s="37" t="n"/>
      <c r="J268" s="37" t="n"/>
      <c r="K268" s="38">
        <f>IF($C268="","",IFERROR(N(INDEX(tbl_Finance[Invoice Count],MATCH($AE268,tbl_Finance[Row ID],0))),""))</f>
        <v/>
      </c>
      <c r="L268" s="11">
        <f>IF($C268="","",IFERROR(N(INDEX(tbl_Finance[Xero Invoiced Ex GST],MATCH($AE268,tbl_Finance[Row ID],0))),""))</f>
        <v/>
      </c>
      <c r="M268" s="10">
        <f>IF($C268="","",IFERROR(INDEX(tbl_Finance[Compare],MATCH($AE268,tbl_Finance[Row ID],0))&amp;"",""))</f>
        <v/>
      </c>
      <c r="N268" s="11">
        <f>IF($C268="","",MAX(0,N(O268)-N(L268)))</f>
        <v/>
      </c>
      <c r="O268" s="39" t="n"/>
      <c r="P268" s="40">
        <f>IF($C268="","",IF((IF(F268="",", Client","")&amp;IF(G268="",", Description","")&amp;IF(H268="",", Cost Centre","")&amp;IF(I268="",", Invoice Type","")&amp;IF(J268="",", Tax Code","")&amp;IF(O268="",", Expected Revenue","")&amp;IF(COUNTIF(tbl_Finance[Job Number],$C268&amp;"")&gt;1,", Job number used twice",""))="","Complete","Fix: "&amp;MID(IF(F268="",", Client","")&amp;IF(G268="",", Description","")&amp;IF(H268="",", Cost Centre","")&amp;IF(I268="",", Invoice Type","")&amp;IF(J268="",", Tax Code","")&amp;IF(O268="",", Expected Revenue","")&amp;IF(COUNTIF(tbl_Finance[Job Number],$C268&amp;"")&gt;1,", Job number used twice",""),3,300)))</f>
        <v/>
      </c>
      <c r="Q268" s="10">
        <f>IF($C268="","",IF(H268="","(no cost centre)",H268&amp;" - GL "&amp;IFERROR(INDEX(lst_CCtoGL,MATCH(H268,lst_CCforGL,0)),"?")))</f>
        <v/>
      </c>
      <c r="R268" s="37" t="n"/>
      <c r="S268" s="10">
        <f>IF(R268="","",HYPERLINK(IF(LEFT(R268,4)="http",R268,set_QwilrBase&amp;R268),"Open quote"))</f>
        <v/>
      </c>
      <c r="T268" s="39" t="n"/>
      <c r="U268" s="39" t="n"/>
      <c r="V268" s="39" t="n"/>
      <c r="W268" s="10">
        <f>IF(C268="","",IF(N(T268)+N(U268)+N(V268)=0,"Not split",IF(ROUND(N(T268)+N(U268)+N(V268),2)=ROUND(MAX(N(L268),N(O268)),2),"OK","MISMATCH")))</f>
        <v/>
      </c>
      <c r="X268" s="39" t="n"/>
      <c r="Y268" s="39" t="n"/>
      <c r="Z268" s="39" t="n"/>
      <c r="AA268" s="11">
        <f>IF(C268="","",N(X268)+N(Y268)+N(Z268))</f>
        <v/>
      </c>
      <c r="AB268" s="11">
        <f>IF(C268="","",MAX(N(L268),N(O268))-N(AA268))</f>
        <v/>
      </c>
      <c r="AC268" s="43">
        <f>IFERROR(IF(MAX(N(L268),N(O268))=0,"",AB268/MAX(N(L268),N(O268))),"")</f>
        <v/>
      </c>
      <c r="AD268" s="37" t="n"/>
      <c r="AE268" s="10" t="inlineStr">
        <is>
          <t>CON-0264</t>
        </is>
      </c>
    </row>
    <row r="269">
      <c r="A269" s="16">
        <f>IF($C269="","",IFERROR(IF(INDEX(tbl_Finance[Latest Invoice Date],MATCH($AE269,tbl_Finance[Row ID],0))="","",INDEX(tbl_Finance[Latest Invoice Date],MATCH($AE269,tbl_Finance[Row ID],0))),""))</f>
        <v/>
      </c>
      <c r="B269" s="10">
        <f>IF($C269="","",IFERROR(INDEX(tbl_Finance[Invoice Numbers],MATCH($AE269,tbl_Finance[Row ID],0))&amp;"",""))</f>
        <v/>
      </c>
      <c r="C269" s="37" t="n"/>
      <c r="D269" s="10">
        <f>IF($C269="","",IF(COUNTIF(lst_Jobs,$C269&amp;"")&gt;0,"OK","CHECK"))</f>
        <v/>
      </c>
      <c r="E269" s="10">
        <f>IF($C269="","",IFERROR(INDEX(lst_JobName,MATCH($C269&amp;"",lst_Jobs,0)),""))</f>
        <v/>
      </c>
      <c r="F269" s="37" t="n"/>
      <c r="G269" s="37" t="n"/>
      <c r="H269" s="37" t="n"/>
      <c r="I269" s="37" t="n"/>
      <c r="J269" s="37" t="n"/>
      <c r="K269" s="38">
        <f>IF($C269="","",IFERROR(N(INDEX(tbl_Finance[Invoice Count],MATCH($AE269,tbl_Finance[Row ID],0))),""))</f>
        <v/>
      </c>
      <c r="L269" s="11">
        <f>IF($C269="","",IFERROR(N(INDEX(tbl_Finance[Xero Invoiced Ex GST],MATCH($AE269,tbl_Finance[Row ID],0))),""))</f>
        <v/>
      </c>
      <c r="M269" s="10">
        <f>IF($C269="","",IFERROR(INDEX(tbl_Finance[Compare],MATCH($AE269,tbl_Finance[Row ID],0))&amp;"",""))</f>
        <v/>
      </c>
      <c r="N269" s="11">
        <f>IF($C269="","",MAX(0,N(O269)-N(L269)))</f>
        <v/>
      </c>
      <c r="O269" s="39" t="n"/>
      <c r="P269" s="40">
        <f>IF($C269="","",IF((IF(F269="",", Client","")&amp;IF(G269="",", Description","")&amp;IF(H269="",", Cost Centre","")&amp;IF(I269="",", Invoice Type","")&amp;IF(J269="",", Tax Code","")&amp;IF(O269="",", Expected Revenue","")&amp;IF(COUNTIF(tbl_Finance[Job Number],$C269&amp;"")&gt;1,", Job number used twice",""))="","Complete","Fix: "&amp;MID(IF(F269="",", Client","")&amp;IF(G269="",", Description","")&amp;IF(H269="",", Cost Centre","")&amp;IF(I269="",", Invoice Type","")&amp;IF(J269="",", Tax Code","")&amp;IF(O269="",", Expected Revenue","")&amp;IF(COUNTIF(tbl_Finance[Job Number],$C269&amp;"")&gt;1,", Job number used twice",""),3,300)))</f>
        <v/>
      </c>
      <c r="Q269" s="10">
        <f>IF($C269="","",IF(H269="","(no cost centre)",H269&amp;" - GL "&amp;IFERROR(INDEX(lst_CCtoGL,MATCH(H269,lst_CCforGL,0)),"?")))</f>
        <v/>
      </c>
      <c r="R269" s="37" t="n"/>
      <c r="S269" s="10">
        <f>IF(R269="","",HYPERLINK(IF(LEFT(R269,4)="http",R269,set_QwilrBase&amp;R269),"Open quote"))</f>
        <v/>
      </c>
      <c r="T269" s="39" t="n"/>
      <c r="U269" s="39" t="n"/>
      <c r="V269" s="39" t="n"/>
      <c r="W269" s="10">
        <f>IF(C269="","",IF(N(T269)+N(U269)+N(V269)=0,"Not split",IF(ROUND(N(T269)+N(U269)+N(V269),2)=ROUND(MAX(N(L269),N(O269)),2),"OK","MISMATCH")))</f>
        <v/>
      </c>
      <c r="X269" s="39" t="n"/>
      <c r="Y269" s="39" t="n"/>
      <c r="Z269" s="39" t="n"/>
      <c r="AA269" s="11">
        <f>IF(C269="","",N(X269)+N(Y269)+N(Z269))</f>
        <v/>
      </c>
      <c r="AB269" s="11">
        <f>IF(C269="","",MAX(N(L269),N(O269))-N(AA269))</f>
        <v/>
      </c>
      <c r="AC269" s="43">
        <f>IFERROR(IF(MAX(N(L269),N(O269))=0,"",AB269/MAX(N(L269),N(O269))),"")</f>
        <v/>
      </c>
      <c r="AD269" s="37" t="n"/>
      <c r="AE269" s="10" t="inlineStr">
        <is>
          <t>CON-0265</t>
        </is>
      </c>
    </row>
    <row r="270">
      <c r="A270" s="16">
        <f>IF($C270="","",IFERROR(IF(INDEX(tbl_Finance[Latest Invoice Date],MATCH($AE270,tbl_Finance[Row ID],0))="","",INDEX(tbl_Finance[Latest Invoice Date],MATCH($AE270,tbl_Finance[Row ID],0))),""))</f>
        <v/>
      </c>
      <c r="B270" s="10">
        <f>IF($C270="","",IFERROR(INDEX(tbl_Finance[Invoice Numbers],MATCH($AE270,tbl_Finance[Row ID],0))&amp;"",""))</f>
        <v/>
      </c>
      <c r="C270" s="37" t="n"/>
      <c r="D270" s="10">
        <f>IF($C270="","",IF(COUNTIF(lst_Jobs,$C270&amp;"")&gt;0,"OK","CHECK"))</f>
        <v/>
      </c>
      <c r="E270" s="10">
        <f>IF($C270="","",IFERROR(INDEX(lst_JobName,MATCH($C270&amp;"",lst_Jobs,0)),""))</f>
        <v/>
      </c>
      <c r="F270" s="37" t="n"/>
      <c r="G270" s="37" t="n"/>
      <c r="H270" s="37" t="n"/>
      <c r="I270" s="37" t="n"/>
      <c r="J270" s="37" t="n"/>
      <c r="K270" s="38">
        <f>IF($C270="","",IFERROR(N(INDEX(tbl_Finance[Invoice Count],MATCH($AE270,tbl_Finance[Row ID],0))),""))</f>
        <v/>
      </c>
      <c r="L270" s="11">
        <f>IF($C270="","",IFERROR(N(INDEX(tbl_Finance[Xero Invoiced Ex GST],MATCH($AE270,tbl_Finance[Row ID],0))),""))</f>
        <v/>
      </c>
      <c r="M270" s="10">
        <f>IF($C270="","",IFERROR(INDEX(tbl_Finance[Compare],MATCH($AE270,tbl_Finance[Row ID],0))&amp;"",""))</f>
        <v/>
      </c>
      <c r="N270" s="11">
        <f>IF($C270="","",MAX(0,N(O270)-N(L270)))</f>
        <v/>
      </c>
      <c r="O270" s="39" t="n"/>
      <c r="P270" s="40">
        <f>IF($C270="","",IF((IF(F270="",", Client","")&amp;IF(G270="",", Description","")&amp;IF(H270="",", Cost Centre","")&amp;IF(I270="",", Invoice Type","")&amp;IF(J270="",", Tax Code","")&amp;IF(O270="",", Expected Revenue","")&amp;IF(COUNTIF(tbl_Finance[Job Number],$C270&amp;"")&gt;1,", Job number used twice",""))="","Complete","Fix: "&amp;MID(IF(F270="",", Client","")&amp;IF(G270="",", Description","")&amp;IF(H270="",", Cost Centre","")&amp;IF(I270="",", Invoice Type","")&amp;IF(J270="",", Tax Code","")&amp;IF(O270="",", Expected Revenue","")&amp;IF(COUNTIF(tbl_Finance[Job Number],$C270&amp;"")&gt;1,", Job number used twice",""),3,300)))</f>
        <v/>
      </c>
      <c r="Q270" s="10">
        <f>IF($C270="","",IF(H270="","(no cost centre)",H270&amp;" - GL "&amp;IFERROR(INDEX(lst_CCtoGL,MATCH(H270,lst_CCforGL,0)),"?")))</f>
        <v/>
      </c>
      <c r="R270" s="37" t="n"/>
      <c r="S270" s="10">
        <f>IF(R270="","",HYPERLINK(IF(LEFT(R270,4)="http",R270,set_QwilrBase&amp;R270),"Open quote"))</f>
        <v/>
      </c>
      <c r="T270" s="39" t="n"/>
      <c r="U270" s="39" t="n"/>
      <c r="V270" s="39" t="n"/>
      <c r="W270" s="10">
        <f>IF(C270="","",IF(N(T270)+N(U270)+N(V270)=0,"Not split",IF(ROUND(N(T270)+N(U270)+N(V270),2)=ROUND(MAX(N(L270),N(O270)),2),"OK","MISMATCH")))</f>
        <v/>
      </c>
      <c r="X270" s="39" t="n"/>
      <c r="Y270" s="39" t="n"/>
      <c r="Z270" s="39" t="n"/>
      <c r="AA270" s="11">
        <f>IF(C270="","",N(X270)+N(Y270)+N(Z270))</f>
        <v/>
      </c>
      <c r="AB270" s="11">
        <f>IF(C270="","",MAX(N(L270),N(O270))-N(AA270))</f>
        <v/>
      </c>
      <c r="AC270" s="43">
        <f>IFERROR(IF(MAX(N(L270),N(O270))=0,"",AB270/MAX(N(L270),N(O270))),"")</f>
        <v/>
      </c>
      <c r="AD270" s="37" t="n"/>
      <c r="AE270" s="10" t="inlineStr">
        <is>
          <t>CON-0266</t>
        </is>
      </c>
    </row>
    <row r="271">
      <c r="A271" s="16">
        <f>IF($C271="","",IFERROR(IF(INDEX(tbl_Finance[Latest Invoice Date],MATCH($AE271,tbl_Finance[Row ID],0))="","",INDEX(tbl_Finance[Latest Invoice Date],MATCH($AE271,tbl_Finance[Row ID],0))),""))</f>
        <v/>
      </c>
      <c r="B271" s="10">
        <f>IF($C271="","",IFERROR(INDEX(tbl_Finance[Invoice Numbers],MATCH($AE271,tbl_Finance[Row ID],0))&amp;"",""))</f>
        <v/>
      </c>
      <c r="C271" s="37" t="n"/>
      <c r="D271" s="10">
        <f>IF($C271="","",IF(COUNTIF(lst_Jobs,$C271&amp;"")&gt;0,"OK","CHECK"))</f>
        <v/>
      </c>
      <c r="E271" s="10">
        <f>IF($C271="","",IFERROR(INDEX(lst_JobName,MATCH($C271&amp;"",lst_Jobs,0)),""))</f>
        <v/>
      </c>
      <c r="F271" s="37" t="n"/>
      <c r="G271" s="37" t="n"/>
      <c r="H271" s="37" t="n"/>
      <c r="I271" s="37" t="n"/>
      <c r="J271" s="37" t="n"/>
      <c r="K271" s="38">
        <f>IF($C271="","",IFERROR(N(INDEX(tbl_Finance[Invoice Count],MATCH($AE271,tbl_Finance[Row ID],0))),""))</f>
        <v/>
      </c>
      <c r="L271" s="11">
        <f>IF($C271="","",IFERROR(N(INDEX(tbl_Finance[Xero Invoiced Ex GST],MATCH($AE271,tbl_Finance[Row ID],0))),""))</f>
        <v/>
      </c>
      <c r="M271" s="10">
        <f>IF($C271="","",IFERROR(INDEX(tbl_Finance[Compare],MATCH($AE271,tbl_Finance[Row ID],0))&amp;"",""))</f>
        <v/>
      </c>
      <c r="N271" s="11">
        <f>IF($C271="","",MAX(0,N(O271)-N(L271)))</f>
        <v/>
      </c>
      <c r="O271" s="39" t="n"/>
      <c r="P271" s="40">
        <f>IF($C271="","",IF((IF(F271="",", Client","")&amp;IF(G271="",", Description","")&amp;IF(H271="",", Cost Centre","")&amp;IF(I271="",", Invoice Type","")&amp;IF(J271="",", Tax Code","")&amp;IF(O271="",", Expected Revenue","")&amp;IF(COUNTIF(tbl_Finance[Job Number],$C271&amp;"")&gt;1,", Job number used twice",""))="","Complete","Fix: "&amp;MID(IF(F271="",", Client","")&amp;IF(G271="",", Description","")&amp;IF(H271="",", Cost Centre","")&amp;IF(I271="",", Invoice Type","")&amp;IF(J271="",", Tax Code","")&amp;IF(O271="",", Expected Revenue","")&amp;IF(COUNTIF(tbl_Finance[Job Number],$C271&amp;"")&gt;1,", Job number used twice",""),3,300)))</f>
        <v/>
      </c>
      <c r="Q271" s="10">
        <f>IF($C271="","",IF(H271="","(no cost centre)",H271&amp;" - GL "&amp;IFERROR(INDEX(lst_CCtoGL,MATCH(H271,lst_CCforGL,0)),"?")))</f>
        <v/>
      </c>
      <c r="R271" s="37" t="n"/>
      <c r="S271" s="10">
        <f>IF(R271="","",HYPERLINK(IF(LEFT(R271,4)="http",R271,set_QwilrBase&amp;R271),"Open quote"))</f>
        <v/>
      </c>
      <c r="T271" s="39" t="n"/>
      <c r="U271" s="39" t="n"/>
      <c r="V271" s="39" t="n"/>
      <c r="W271" s="10">
        <f>IF(C271="","",IF(N(T271)+N(U271)+N(V271)=0,"Not split",IF(ROUND(N(T271)+N(U271)+N(V271),2)=ROUND(MAX(N(L271),N(O271)),2),"OK","MISMATCH")))</f>
        <v/>
      </c>
      <c r="X271" s="39" t="n"/>
      <c r="Y271" s="39" t="n"/>
      <c r="Z271" s="39" t="n"/>
      <c r="AA271" s="11">
        <f>IF(C271="","",N(X271)+N(Y271)+N(Z271))</f>
        <v/>
      </c>
      <c r="AB271" s="11">
        <f>IF(C271="","",MAX(N(L271),N(O271))-N(AA271))</f>
        <v/>
      </c>
      <c r="AC271" s="43">
        <f>IFERROR(IF(MAX(N(L271),N(O271))=0,"",AB271/MAX(N(L271),N(O271))),"")</f>
        <v/>
      </c>
      <c r="AD271" s="37" t="n"/>
      <c r="AE271" s="10" t="inlineStr">
        <is>
          <t>CON-0267</t>
        </is>
      </c>
    </row>
    <row r="272">
      <c r="A272" s="16">
        <f>IF($C272="","",IFERROR(IF(INDEX(tbl_Finance[Latest Invoice Date],MATCH($AE272,tbl_Finance[Row ID],0))="","",INDEX(tbl_Finance[Latest Invoice Date],MATCH($AE272,tbl_Finance[Row ID],0))),""))</f>
        <v/>
      </c>
      <c r="B272" s="10">
        <f>IF($C272="","",IFERROR(INDEX(tbl_Finance[Invoice Numbers],MATCH($AE272,tbl_Finance[Row ID],0))&amp;"",""))</f>
        <v/>
      </c>
      <c r="C272" s="37" t="n"/>
      <c r="D272" s="10">
        <f>IF($C272="","",IF(COUNTIF(lst_Jobs,$C272&amp;"")&gt;0,"OK","CHECK"))</f>
        <v/>
      </c>
      <c r="E272" s="10">
        <f>IF($C272="","",IFERROR(INDEX(lst_JobName,MATCH($C272&amp;"",lst_Jobs,0)),""))</f>
        <v/>
      </c>
      <c r="F272" s="37" t="n"/>
      <c r="G272" s="37" t="n"/>
      <c r="H272" s="37" t="n"/>
      <c r="I272" s="37" t="n"/>
      <c r="J272" s="37" t="n"/>
      <c r="K272" s="38">
        <f>IF($C272="","",IFERROR(N(INDEX(tbl_Finance[Invoice Count],MATCH($AE272,tbl_Finance[Row ID],0))),""))</f>
        <v/>
      </c>
      <c r="L272" s="11">
        <f>IF($C272="","",IFERROR(N(INDEX(tbl_Finance[Xero Invoiced Ex GST],MATCH($AE272,tbl_Finance[Row ID],0))),""))</f>
        <v/>
      </c>
      <c r="M272" s="10">
        <f>IF($C272="","",IFERROR(INDEX(tbl_Finance[Compare],MATCH($AE272,tbl_Finance[Row ID],0))&amp;"",""))</f>
        <v/>
      </c>
      <c r="N272" s="11">
        <f>IF($C272="","",MAX(0,N(O272)-N(L272)))</f>
        <v/>
      </c>
      <c r="O272" s="39" t="n"/>
      <c r="P272" s="40">
        <f>IF($C272="","",IF((IF(F272="",", Client","")&amp;IF(G272="",", Description","")&amp;IF(H272="",", Cost Centre","")&amp;IF(I272="",", Invoice Type","")&amp;IF(J272="",", Tax Code","")&amp;IF(O272="",", Expected Revenue","")&amp;IF(COUNTIF(tbl_Finance[Job Number],$C272&amp;"")&gt;1,", Job number used twice",""))="","Complete","Fix: "&amp;MID(IF(F272="",", Client","")&amp;IF(G272="",", Description","")&amp;IF(H272="",", Cost Centre","")&amp;IF(I272="",", Invoice Type","")&amp;IF(J272="",", Tax Code","")&amp;IF(O272="",", Expected Revenue","")&amp;IF(COUNTIF(tbl_Finance[Job Number],$C272&amp;"")&gt;1,", Job number used twice",""),3,300)))</f>
        <v/>
      </c>
      <c r="Q272" s="10">
        <f>IF($C272="","",IF(H272="","(no cost centre)",H272&amp;" - GL "&amp;IFERROR(INDEX(lst_CCtoGL,MATCH(H272,lst_CCforGL,0)),"?")))</f>
        <v/>
      </c>
      <c r="R272" s="37" t="n"/>
      <c r="S272" s="10">
        <f>IF(R272="","",HYPERLINK(IF(LEFT(R272,4)="http",R272,set_QwilrBase&amp;R272),"Open quote"))</f>
        <v/>
      </c>
      <c r="T272" s="39" t="n"/>
      <c r="U272" s="39" t="n"/>
      <c r="V272" s="39" t="n"/>
      <c r="W272" s="10">
        <f>IF(C272="","",IF(N(T272)+N(U272)+N(V272)=0,"Not split",IF(ROUND(N(T272)+N(U272)+N(V272),2)=ROUND(MAX(N(L272),N(O272)),2),"OK","MISMATCH")))</f>
        <v/>
      </c>
      <c r="X272" s="39" t="n"/>
      <c r="Y272" s="39" t="n"/>
      <c r="Z272" s="39" t="n"/>
      <c r="AA272" s="11">
        <f>IF(C272="","",N(X272)+N(Y272)+N(Z272))</f>
        <v/>
      </c>
      <c r="AB272" s="11">
        <f>IF(C272="","",MAX(N(L272),N(O272))-N(AA272))</f>
        <v/>
      </c>
      <c r="AC272" s="43">
        <f>IFERROR(IF(MAX(N(L272),N(O272))=0,"",AB272/MAX(N(L272),N(O272))),"")</f>
        <v/>
      </c>
      <c r="AD272" s="37" t="n"/>
      <c r="AE272" s="10" t="inlineStr">
        <is>
          <t>CON-0268</t>
        </is>
      </c>
    </row>
    <row r="273">
      <c r="A273" s="16">
        <f>IF($C273="","",IFERROR(IF(INDEX(tbl_Finance[Latest Invoice Date],MATCH($AE273,tbl_Finance[Row ID],0))="","",INDEX(tbl_Finance[Latest Invoice Date],MATCH($AE273,tbl_Finance[Row ID],0))),""))</f>
        <v/>
      </c>
      <c r="B273" s="10">
        <f>IF($C273="","",IFERROR(INDEX(tbl_Finance[Invoice Numbers],MATCH($AE273,tbl_Finance[Row ID],0))&amp;"",""))</f>
        <v/>
      </c>
      <c r="C273" s="37" t="n"/>
      <c r="D273" s="10">
        <f>IF($C273="","",IF(COUNTIF(lst_Jobs,$C273&amp;"")&gt;0,"OK","CHECK"))</f>
        <v/>
      </c>
      <c r="E273" s="10">
        <f>IF($C273="","",IFERROR(INDEX(lst_JobName,MATCH($C273&amp;"",lst_Jobs,0)),""))</f>
        <v/>
      </c>
      <c r="F273" s="37" t="n"/>
      <c r="G273" s="37" t="n"/>
      <c r="H273" s="37" t="n"/>
      <c r="I273" s="37" t="n"/>
      <c r="J273" s="37" t="n"/>
      <c r="K273" s="38">
        <f>IF($C273="","",IFERROR(N(INDEX(tbl_Finance[Invoice Count],MATCH($AE273,tbl_Finance[Row ID],0))),""))</f>
        <v/>
      </c>
      <c r="L273" s="11">
        <f>IF($C273="","",IFERROR(N(INDEX(tbl_Finance[Xero Invoiced Ex GST],MATCH($AE273,tbl_Finance[Row ID],0))),""))</f>
        <v/>
      </c>
      <c r="M273" s="10">
        <f>IF($C273="","",IFERROR(INDEX(tbl_Finance[Compare],MATCH($AE273,tbl_Finance[Row ID],0))&amp;"",""))</f>
        <v/>
      </c>
      <c r="N273" s="11">
        <f>IF($C273="","",MAX(0,N(O273)-N(L273)))</f>
        <v/>
      </c>
      <c r="O273" s="39" t="n"/>
      <c r="P273" s="40">
        <f>IF($C273="","",IF((IF(F273="",", Client","")&amp;IF(G273="",", Description","")&amp;IF(H273="",", Cost Centre","")&amp;IF(I273="",", Invoice Type","")&amp;IF(J273="",", Tax Code","")&amp;IF(O273="",", Expected Revenue","")&amp;IF(COUNTIF(tbl_Finance[Job Number],$C273&amp;"")&gt;1,", Job number used twice",""))="","Complete","Fix: "&amp;MID(IF(F273="",", Client","")&amp;IF(G273="",", Description","")&amp;IF(H273="",", Cost Centre","")&amp;IF(I273="",", Invoice Type","")&amp;IF(J273="",", Tax Code","")&amp;IF(O273="",", Expected Revenue","")&amp;IF(COUNTIF(tbl_Finance[Job Number],$C273&amp;"")&gt;1,", Job number used twice",""),3,300)))</f>
        <v/>
      </c>
      <c r="Q273" s="10">
        <f>IF($C273="","",IF(H273="","(no cost centre)",H273&amp;" - GL "&amp;IFERROR(INDEX(lst_CCtoGL,MATCH(H273,lst_CCforGL,0)),"?")))</f>
        <v/>
      </c>
      <c r="R273" s="37" t="n"/>
      <c r="S273" s="10">
        <f>IF(R273="","",HYPERLINK(IF(LEFT(R273,4)="http",R273,set_QwilrBase&amp;R273),"Open quote"))</f>
        <v/>
      </c>
      <c r="T273" s="39" t="n"/>
      <c r="U273" s="39" t="n"/>
      <c r="V273" s="39" t="n"/>
      <c r="W273" s="10">
        <f>IF(C273="","",IF(N(T273)+N(U273)+N(V273)=0,"Not split",IF(ROUND(N(T273)+N(U273)+N(V273),2)=ROUND(MAX(N(L273),N(O273)),2),"OK","MISMATCH")))</f>
        <v/>
      </c>
      <c r="X273" s="39" t="n"/>
      <c r="Y273" s="39" t="n"/>
      <c r="Z273" s="39" t="n"/>
      <c r="AA273" s="11">
        <f>IF(C273="","",N(X273)+N(Y273)+N(Z273))</f>
        <v/>
      </c>
      <c r="AB273" s="11">
        <f>IF(C273="","",MAX(N(L273),N(O273))-N(AA273))</f>
        <v/>
      </c>
      <c r="AC273" s="43">
        <f>IFERROR(IF(MAX(N(L273),N(O273))=0,"",AB273/MAX(N(L273),N(O273))),"")</f>
        <v/>
      </c>
      <c r="AD273" s="37" t="n"/>
      <c r="AE273" s="10" t="inlineStr">
        <is>
          <t>CON-0269</t>
        </is>
      </c>
    </row>
    <row r="274">
      <c r="A274" s="16">
        <f>IF($C274="","",IFERROR(IF(INDEX(tbl_Finance[Latest Invoice Date],MATCH($AE274,tbl_Finance[Row ID],0))="","",INDEX(tbl_Finance[Latest Invoice Date],MATCH($AE274,tbl_Finance[Row ID],0))),""))</f>
        <v/>
      </c>
      <c r="B274" s="10">
        <f>IF($C274="","",IFERROR(INDEX(tbl_Finance[Invoice Numbers],MATCH($AE274,tbl_Finance[Row ID],0))&amp;"",""))</f>
        <v/>
      </c>
      <c r="C274" s="37" t="n"/>
      <c r="D274" s="10">
        <f>IF($C274="","",IF(COUNTIF(lst_Jobs,$C274&amp;"")&gt;0,"OK","CHECK"))</f>
        <v/>
      </c>
      <c r="E274" s="10">
        <f>IF($C274="","",IFERROR(INDEX(lst_JobName,MATCH($C274&amp;"",lst_Jobs,0)),""))</f>
        <v/>
      </c>
      <c r="F274" s="37" t="n"/>
      <c r="G274" s="37" t="n"/>
      <c r="H274" s="37" t="n"/>
      <c r="I274" s="37" t="n"/>
      <c r="J274" s="37" t="n"/>
      <c r="K274" s="38">
        <f>IF($C274="","",IFERROR(N(INDEX(tbl_Finance[Invoice Count],MATCH($AE274,tbl_Finance[Row ID],0))),""))</f>
        <v/>
      </c>
      <c r="L274" s="11">
        <f>IF($C274="","",IFERROR(N(INDEX(tbl_Finance[Xero Invoiced Ex GST],MATCH($AE274,tbl_Finance[Row ID],0))),""))</f>
        <v/>
      </c>
      <c r="M274" s="10">
        <f>IF($C274="","",IFERROR(INDEX(tbl_Finance[Compare],MATCH($AE274,tbl_Finance[Row ID],0))&amp;"",""))</f>
        <v/>
      </c>
      <c r="N274" s="11">
        <f>IF($C274="","",MAX(0,N(O274)-N(L274)))</f>
        <v/>
      </c>
      <c r="O274" s="39" t="n"/>
      <c r="P274" s="40">
        <f>IF($C274="","",IF((IF(F274="",", Client","")&amp;IF(G274="",", Description","")&amp;IF(H274="",", Cost Centre","")&amp;IF(I274="",", Invoice Type","")&amp;IF(J274="",", Tax Code","")&amp;IF(O274="",", Expected Revenue","")&amp;IF(COUNTIF(tbl_Finance[Job Number],$C274&amp;"")&gt;1,", Job number used twice",""))="","Complete","Fix: "&amp;MID(IF(F274="",", Client","")&amp;IF(G274="",", Description","")&amp;IF(H274="",", Cost Centre","")&amp;IF(I274="",", Invoice Type","")&amp;IF(J274="",", Tax Code","")&amp;IF(O274="",", Expected Revenue","")&amp;IF(COUNTIF(tbl_Finance[Job Number],$C274&amp;"")&gt;1,", Job number used twice",""),3,300)))</f>
        <v/>
      </c>
      <c r="Q274" s="10">
        <f>IF($C274="","",IF(H274="","(no cost centre)",H274&amp;" - GL "&amp;IFERROR(INDEX(lst_CCtoGL,MATCH(H274,lst_CCforGL,0)),"?")))</f>
        <v/>
      </c>
      <c r="R274" s="37" t="n"/>
      <c r="S274" s="10">
        <f>IF(R274="","",HYPERLINK(IF(LEFT(R274,4)="http",R274,set_QwilrBase&amp;R274),"Open quote"))</f>
        <v/>
      </c>
      <c r="T274" s="39" t="n"/>
      <c r="U274" s="39" t="n"/>
      <c r="V274" s="39" t="n"/>
      <c r="W274" s="10">
        <f>IF(C274="","",IF(N(T274)+N(U274)+N(V274)=0,"Not split",IF(ROUND(N(T274)+N(U274)+N(V274),2)=ROUND(MAX(N(L274),N(O274)),2),"OK","MISMATCH")))</f>
        <v/>
      </c>
      <c r="X274" s="39" t="n"/>
      <c r="Y274" s="39" t="n"/>
      <c r="Z274" s="39" t="n"/>
      <c r="AA274" s="11">
        <f>IF(C274="","",N(X274)+N(Y274)+N(Z274))</f>
        <v/>
      </c>
      <c r="AB274" s="11">
        <f>IF(C274="","",MAX(N(L274),N(O274))-N(AA274))</f>
        <v/>
      </c>
      <c r="AC274" s="43">
        <f>IFERROR(IF(MAX(N(L274),N(O274))=0,"",AB274/MAX(N(L274),N(O274))),"")</f>
        <v/>
      </c>
      <c r="AD274" s="37" t="n"/>
      <c r="AE274" s="10" t="inlineStr">
        <is>
          <t>CON-0270</t>
        </is>
      </c>
    </row>
    <row r="275">
      <c r="A275" s="16">
        <f>IF($C275="","",IFERROR(IF(INDEX(tbl_Finance[Latest Invoice Date],MATCH($AE275,tbl_Finance[Row ID],0))="","",INDEX(tbl_Finance[Latest Invoice Date],MATCH($AE275,tbl_Finance[Row ID],0))),""))</f>
        <v/>
      </c>
      <c r="B275" s="10">
        <f>IF($C275="","",IFERROR(INDEX(tbl_Finance[Invoice Numbers],MATCH($AE275,tbl_Finance[Row ID],0))&amp;"",""))</f>
        <v/>
      </c>
      <c r="C275" s="37" t="n"/>
      <c r="D275" s="10">
        <f>IF($C275="","",IF(COUNTIF(lst_Jobs,$C275&amp;"")&gt;0,"OK","CHECK"))</f>
        <v/>
      </c>
      <c r="E275" s="10">
        <f>IF($C275="","",IFERROR(INDEX(lst_JobName,MATCH($C275&amp;"",lst_Jobs,0)),""))</f>
        <v/>
      </c>
      <c r="F275" s="37" t="n"/>
      <c r="G275" s="37" t="n"/>
      <c r="H275" s="37" t="n"/>
      <c r="I275" s="37" t="n"/>
      <c r="J275" s="37" t="n"/>
      <c r="K275" s="38">
        <f>IF($C275="","",IFERROR(N(INDEX(tbl_Finance[Invoice Count],MATCH($AE275,tbl_Finance[Row ID],0))),""))</f>
        <v/>
      </c>
      <c r="L275" s="11">
        <f>IF($C275="","",IFERROR(N(INDEX(tbl_Finance[Xero Invoiced Ex GST],MATCH($AE275,tbl_Finance[Row ID],0))),""))</f>
        <v/>
      </c>
      <c r="M275" s="10">
        <f>IF($C275="","",IFERROR(INDEX(tbl_Finance[Compare],MATCH($AE275,tbl_Finance[Row ID],0))&amp;"",""))</f>
        <v/>
      </c>
      <c r="N275" s="11">
        <f>IF($C275="","",MAX(0,N(O275)-N(L275)))</f>
        <v/>
      </c>
      <c r="O275" s="39" t="n"/>
      <c r="P275" s="40">
        <f>IF($C275="","",IF((IF(F275="",", Client","")&amp;IF(G275="",", Description","")&amp;IF(H275="",", Cost Centre","")&amp;IF(I275="",", Invoice Type","")&amp;IF(J275="",", Tax Code","")&amp;IF(O275="",", Expected Revenue","")&amp;IF(COUNTIF(tbl_Finance[Job Number],$C275&amp;"")&gt;1,", Job number used twice",""))="","Complete","Fix: "&amp;MID(IF(F275="",", Client","")&amp;IF(G275="",", Description","")&amp;IF(H275="",", Cost Centre","")&amp;IF(I275="",", Invoice Type","")&amp;IF(J275="",", Tax Code","")&amp;IF(O275="",", Expected Revenue","")&amp;IF(COUNTIF(tbl_Finance[Job Number],$C275&amp;"")&gt;1,", Job number used twice",""),3,300)))</f>
        <v/>
      </c>
      <c r="Q275" s="10">
        <f>IF($C275="","",IF(H275="","(no cost centre)",H275&amp;" - GL "&amp;IFERROR(INDEX(lst_CCtoGL,MATCH(H275,lst_CCforGL,0)),"?")))</f>
        <v/>
      </c>
      <c r="R275" s="37" t="n"/>
      <c r="S275" s="10">
        <f>IF(R275="","",HYPERLINK(IF(LEFT(R275,4)="http",R275,set_QwilrBase&amp;R275),"Open quote"))</f>
        <v/>
      </c>
      <c r="T275" s="39" t="n"/>
      <c r="U275" s="39" t="n"/>
      <c r="V275" s="39" t="n"/>
      <c r="W275" s="10">
        <f>IF(C275="","",IF(N(T275)+N(U275)+N(V275)=0,"Not split",IF(ROUND(N(T275)+N(U275)+N(V275),2)=ROUND(MAX(N(L275),N(O275)),2),"OK","MISMATCH")))</f>
        <v/>
      </c>
      <c r="X275" s="39" t="n"/>
      <c r="Y275" s="39" t="n"/>
      <c r="Z275" s="39" t="n"/>
      <c r="AA275" s="11">
        <f>IF(C275="","",N(X275)+N(Y275)+N(Z275))</f>
        <v/>
      </c>
      <c r="AB275" s="11">
        <f>IF(C275="","",MAX(N(L275),N(O275))-N(AA275))</f>
        <v/>
      </c>
      <c r="AC275" s="43">
        <f>IFERROR(IF(MAX(N(L275),N(O275))=0,"",AB275/MAX(N(L275),N(O275))),"")</f>
        <v/>
      </c>
      <c r="AD275" s="37" t="n"/>
      <c r="AE275" s="10" t="inlineStr">
        <is>
          <t>CON-0271</t>
        </is>
      </c>
    </row>
    <row r="276">
      <c r="A276" s="16">
        <f>IF($C276="","",IFERROR(IF(INDEX(tbl_Finance[Latest Invoice Date],MATCH($AE276,tbl_Finance[Row ID],0))="","",INDEX(tbl_Finance[Latest Invoice Date],MATCH($AE276,tbl_Finance[Row ID],0))),""))</f>
        <v/>
      </c>
      <c r="B276" s="10">
        <f>IF($C276="","",IFERROR(INDEX(tbl_Finance[Invoice Numbers],MATCH($AE276,tbl_Finance[Row ID],0))&amp;"",""))</f>
        <v/>
      </c>
      <c r="C276" s="37" t="n"/>
      <c r="D276" s="10">
        <f>IF($C276="","",IF(COUNTIF(lst_Jobs,$C276&amp;"")&gt;0,"OK","CHECK"))</f>
        <v/>
      </c>
      <c r="E276" s="10">
        <f>IF($C276="","",IFERROR(INDEX(lst_JobName,MATCH($C276&amp;"",lst_Jobs,0)),""))</f>
        <v/>
      </c>
      <c r="F276" s="37" t="n"/>
      <c r="G276" s="37" t="n"/>
      <c r="H276" s="37" t="n"/>
      <c r="I276" s="37" t="n"/>
      <c r="J276" s="37" t="n"/>
      <c r="K276" s="38">
        <f>IF($C276="","",IFERROR(N(INDEX(tbl_Finance[Invoice Count],MATCH($AE276,tbl_Finance[Row ID],0))),""))</f>
        <v/>
      </c>
      <c r="L276" s="11">
        <f>IF($C276="","",IFERROR(N(INDEX(tbl_Finance[Xero Invoiced Ex GST],MATCH($AE276,tbl_Finance[Row ID],0))),""))</f>
        <v/>
      </c>
      <c r="M276" s="10">
        <f>IF($C276="","",IFERROR(INDEX(tbl_Finance[Compare],MATCH($AE276,tbl_Finance[Row ID],0))&amp;"",""))</f>
        <v/>
      </c>
      <c r="N276" s="11">
        <f>IF($C276="","",MAX(0,N(O276)-N(L276)))</f>
        <v/>
      </c>
      <c r="O276" s="39" t="n"/>
      <c r="P276" s="40">
        <f>IF($C276="","",IF((IF(F276="",", Client","")&amp;IF(G276="",", Description","")&amp;IF(H276="",", Cost Centre","")&amp;IF(I276="",", Invoice Type","")&amp;IF(J276="",", Tax Code","")&amp;IF(O276="",", Expected Revenue","")&amp;IF(COUNTIF(tbl_Finance[Job Number],$C276&amp;"")&gt;1,", Job number used twice",""))="","Complete","Fix: "&amp;MID(IF(F276="",", Client","")&amp;IF(G276="",", Description","")&amp;IF(H276="",", Cost Centre","")&amp;IF(I276="",", Invoice Type","")&amp;IF(J276="",", Tax Code","")&amp;IF(O276="",", Expected Revenue","")&amp;IF(COUNTIF(tbl_Finance[Job Number],$C276&amp;"")&gt;1,", Job number used twice",""),3,300)))</f>
        <v/>
      </c>
      <c r="Q276" s="10">
        <f>IF($C276="","",IF(H276="","(no cost centre)",H276&amp;" - GL "&amp;IFERROR(INDEX(lst_CCtoGL,MATCH(H276,lst_CCforGL,0)),"?")))</f>
        <v/>
      </c>
      <c r="R276" s="37" t="n"/>
      <c r="S276" s="10">
        <f>IF(R276="","",HYPERLINK(IF(LEFT(R276,4)="http",R276,set_QwilrBase&amp;R276),"Open quote"))</f>
        <v/>
      </c>
      <c r="T276" s="39" t="n"/>
      <c r="U276" s="39" t="n"/>
      <c r="V276" s="39" t="n"/>
      <c r="W276" s="10">
        <f>IF(C276="","",IF(N(T276)+N(U276)+N(V276)=0,"Not split",IF(ROUND(N(T276)+N(U276)+N(V276),2)=ROUND(MAX(N(L276),N(O276)),2),"OK","MISMATCH")))</f>
        <v/>
      </c>
      <c r="X276" s="39" t="n"/>
      <c r="Y276" s="39" t="n"/>
      <c r="Z276" s="39" t="n"/>
      <c r="AA276" s="11">
        <f>IF(C276="","",N(X276)+N(Y276)+N(Z276))</f>
        <v/>
      </c>
      <c r="AB276" s="11">
        <f>IF(C276="","",MAX(N(L276),N(O276))-N(AA276))</f>
        <v/>
      </c>
      <c r="AC276" s="43">
        <f>IFERROR(IF(MAX(N(L276),N(O276))=0,"",AB276/MAX(N(L276),N(O276))),"")</f>
        <v/>
      </c>
      <c r="AD276" s="37" t="n"/>
      <c r="AE276" s="10" t="inlineStr">
        <is>
          <t>CON-0272</t>
        </is>
      </c>
    </row>
    <row r="277">
      <c r="A277" s="16">
        <f>IF($C277="","",IFERROR(IF(INDEX(tbl_Finance[Latest Invoice Date],MATCH($AE277,tbl_Finance[Row ID],0))="","",INDEX(tbl_Finance[Latest Invoice Date],MATCH($AE277,tbl_Finance[Row ID],0))),""))</f>
        <v/>
      </c>
      <c r="B277" s="10">
        <f>IF($C277="","",IFERROR(INDEX(tbl_Finance[Invoice Numbers],MATCH($AE277,tbl_Finance[Row ID],0))&amp;"",""))</f>
        <v/>
      </c>
      <c r="C277" s="37" t="n"/>
      <c r="D277" s="10">
        <f>IF($C277="","",IF(COUNTIF(lst_Jobs,$C277&amp;"")&gt;0,"OK","CHECK"))</f>
        <v/>
      </c>
      <c r="E277" s="10">
        <f>IF($C277="","",IFERROR(INDEX(lst_JobName,MATCH($C277&amp;"",lst_Jobs,0)),""))</f>
        <v/>
      </c>
      <c r="F277" s="37" t="n"/>
      <c r="G277" s="37" t="n"/>
      <c r="H277" s="37" t="n"/>
      <c r="I277" s="37" t="n"/>
      <c r="J277" s="37" t="n"/>
      <c r="K277" s="38">
        <f>IF($C277="","",IFERROR(N(INDEX(tbl_Finance[Invoice Count],MATCH($AE277,tbl_Finance[Row ID],0))),""))</f>
        <v/>
      </c>
      <c r="L277" s="11">
        <f>IF($C277="","",IFERROR(N(INDEX(tbl_Finance[Xero Invoiced Ex GST],MATCH($AE277,tbl_Finance[Row ID],0))),""))</f>
        <v/>
      </c>
      <c r="M277" s="10">
        <f>IF($C277="","",IFERROR(INDEX(tbl_Finance[Compare],MATCH($AE277,tbl_Finance[Row ID],0))&amp;"",""))</f>
        <v/>
      </c>
      <c r="N277" s="11">
        <f>IF($C277="","",MAX(0,N(O277)-N(L277)))</f>
        <v/>
      </c>
      <c r="O277" s="39" t="n"/>
      <c r="P277" s="40">
        <f>IF($C277="","",IF((IF(F277="",", Client","")&amp;IF(G277="",", Description","")&amp;IF(H277="",", Cost Centre","")&amp;IF(I277="",", Invoice Type","")&amp;IF(J277="",", Tax Code","")&amp;IF(O277="",", Expected Revenue","")&amp;IF(COUNTIF(tbl_Finance[Job Number],$C277&amp;"")&gt;1,", Job number used twice",""))="","Complete","Fix: "&amp;MID(IF(F277="",", Client","")&amp;IF(G277="",", Description","")&amp;IF(H277="",", Cost Centre","")&amp;IF(I277="",", Invoice Type","")&amp;IF(J277="",", Tax Code","")&amp;IF(O277="",", Expected Revenue","")&amp;IF(COUNTIF(tbl_Finance[Job Number],$C277&amp;"")&gt;1,", Job number used twice",""),3,300)))</f>
        <v/>
      </c>
      <c r="Q277" s="10">
        <f>IF($C277="","",IF(H277="","(no cost centre)",H277&amp;" - GL "&amp;IFERROR(INDEX(lst_CCtoGL,MATCH(H277,lst_CCforGL,0)),"?")))</f>
        <v/>
      </c>
      <c r="R277" s="37" t="n"/>
      <c r="S277" s="10">
        <f>IF(R277="","",HYPERLINK(IF(LEFT(R277,4)="http",R277,set_QwilrBase&amp;R277),"Open quote"))</f>
        <v/>
      </c>
      <c r="T277" s="39" t="n"/>
      <c r="U277" s="39" t="n"/>
      <c r="V277" s="39" t="n"/>
      <c r="W277" s="10">
        <f>IF(C277="","",IF(N(T277)+N(U277)+N(V277)=0,"Not split",IF(ROUND(N(T277)+N(U277)+N(V277),2)=ROUND(MAX(N(L277),N(O277)),2),"OK","MISMATCH")))</f>
        <v/>
      </c>
      <c r="X277" s="39" t="n"/>
      <c r="Y277" s="39" t="n"/>
      <c r="Z277" s="39" t="n"/>
      <c r="AA277" s="11">
        <f>IF(C277="","",N(X277)+N(Y277)+N(Z277))</f>
        <v/>
      </c>
      <c r="AB277" s="11">
        <f>IF(C277="","",MAX(N(L277),N(O277))-N(AA277))</f>
        <v/>
      </c>
      <c r="AC277" s="43">
        <f>IFERROR(IF(MAX(N(L277),N(O277))=0,"",AB277/MAX(N(L277),N(O277))),"")</f>
        <v/>
      </c>
      <c r="AD277" s="37" t="n"/>
      <c r="AE277" s="10" t="inlineStr">
        <is>
          <t>CON-0273</t>
        </is>
      </c>
    </row>
    <row r="278">
      <c r="A278" s="16">
        <f>IF($C278="","",IFERROR(IF(INDEX(tbl_Finance[Latest Invoice Date],MATCH($AE278,tbl_Finance[Row ID],0))="","",INDEX(tbl_Finance[Latest Invoice Date],MATCH($AE278,tbl_Finance[Row ID],0))),""))</f>
        <v/>
      </c>
      <c r="B278" s="10">
        <f>IF($C278="","",IFERROR(INDEX(tbl_Finance[Invoice Numbers],MATCH($AE278,tbl_Finance[Row ID],0))&amp;"",""))</f>
        <v/>
      </c>
      <c r="C278" s="37" t="n"/>
      <c r="D278" s="10">
        <f>IF($C278="","",IF(COUNTIF(lst_Jobs,$C278&amp;"")&gt;0,"OK","CHECK"))</f>
        <v/>
      </c>
      <c r="E278" s="10">
        <f>IF($C278="","",IFERROR(INDEX(lst_JobName,MATCH($C278&amp;"",lst_Jobs,0)),""))</f>
        <v/>
      </c>
      <c r="F278" s="37" t="n"/>
      <c r="G278" s="37" t="n"/>
      <c r="H278" s="37" t="n"/>
      <c r="I278" s="37" t="n"/>
      <c r="J278" s="37" t="n"/>
      <c r="K278" s="38">
        <f>IF($C278="","",IFERROR(N(INDEX(tbl_Finance[Invoice Count],MATCH($AE278,tbl_Finance[Row ID],0))),""))</f>
        <v/>
      </c>
      <c r="L278" s="11">
        <f>IF($C278="","",IFERROR(N(INDEX(tbl_Finance[Xero Invoiced Ex GST],MATCH($AE278,tbl_Finance[Row ID],0))),""))</f>
        <v/>
      </c>
      <c r="M278" s="10">
        <f>IF($C278="","",IFERROR(INDEX(tbl_Finance[Compare],MATCH($AE278,tbl_Finance[Row ID],0))&amp;"",""))</f>
        <v/>
      </c>
      <c r="N278" s="11">
        <f>IF($C278="","",MAX(0,N(O278)-N(L278)))</f>
        <v/>
      </c>
      <c r="O278" s="39" t="n"/>
      <c r="P278" s="40">
        <f>IF($C278="","",IF((IF(F278="",", Client","")&amp;IF(G278="",", Description","")&amp;IF(H278="",", Cost Centre","")&amp;IF(I278="",", Invoice Type","")&amp;IF(J278="",", Tax Code","")&amp;IF(O278="",", Expected Revenue","")&amp;IF(COUNTIF(tbl_Finance[Job Number],$C278&amp;"")&gt;1,", Job number used twice",""))="","Complete","Fix: "&amp;MID(IF(F278="",", Client","")&amp;IF(G278="",", Description","")&amp;IF(H278="",", Cost Centre","")&amp;IF(I278="",", Invoice Type","")&amp;IF(J278="",", Tax Code","")&amp;IF(O278="",", Expected Revenue","")&amp;IF(COUNTIF(tbl_Finance[Job Number],$C278&amp;"")&gt;1,", Job number used twice",""),3,300)))</f>
        <v/>
      </c>
      <c r="Q278" s="10">
        <f>IF($C278="","",IF(H278="","(no cost centre)",H278&amp;" - GL "&amp;IFERROR(INDEX(lst_CCtoGL,MATCH(H278,lst_CCforGL,0)),"?")))</f>
        <v/>
      </c>
      <c r="R278" s="37" t="n"/>
      <c r="S278" s="10">
        <f>IF(R278="","",HYPERLINK(IF(LEFT(R278,4)="http",R278,set_QwilrBase&amp;R278),"Open quote"))</f>
        <v/>
      </c>
      <c r="T278" s="39" t="n"/>
      <c r="U278" s="39" t="n"/>
      <c r="V278" s="39" t="n"/>
      <c r="W278" s="10">
        <f>IF(C278="","",IF(N(T278)+N(U278)+N(V278)=0,"Not split",IF(ROUND(N(T278)+N(U278)+N(V278),2)=ROUND(MAX(N(L278),N(O278)),2),"OK","MISMATCH")))</f>
        <v/>
      </c>
      <c r="X278" s="39" t="n"/>
      <c r="Y278" s="39" t="n"/>
      <c r="Z278" s="39" t="n"/>
      <c r="AA278" s="11">
        <f>IF(C278="","",N(X278)+N(Y278)+N(Z278))</f>
        <v/>
      </c>
      <c r="AB278" s="11">
        <f>IF(C278="","",MAX(N(L278),N(O278))-N(AA278))</f>
        <v/>
      </c>
      <c r="AC278" s="43">
        <f>IFERROR(IF(MAX(N(L278),N(O278))=0,"",AB278/MAX(N(L278),N(O278))),"")</f>
        <v/>
      </c>
      <c r="AD278" s="37" t="n"/>
      <c r="AE278" s="10" t="inlineStr">
        <is>
          <t>CON-0274</t>
        </is>
      </c>
    </row>
    <row r="279">
      <c r="A279" s="16">
        <f>IF($C279="","",IFERROR(IF(INDEX(tbl_Finance[Latest Invoice Date],MATCH($AE279,tbl_Finance[Row ID],0))="","",INDEX(tbl_Finance[Latest Invoice Date],MATCH($AE279,tbl_Finance[Row ID],0))),""))</f>
        <v/>
      </c>
      <c r="B279" s="10">
        <f>IF($C279="","",IFERROR(INDEX(tbl_Finance[Invoice Numbers],MATCH($AE279,tbl_Finance[Row ID],0))&amp;"",""))</f>
        <v/>
      </c>
      <c r="C279" s="37" t="n"/>
      <c r="D279" s="10">
        <f>IF($C279="","",IF(COUNTIF(lst_Jobs,$C279&amp;"")&gt;0,"OK","CHECK"))</f>
        <v/>
      </c>
      <c r="E279" s="10">
        <f>IF($C279="","",IFERROR(INDEX(lst_JobName,MATCH($C279&amp;"",lst_Jobs,0)),""))</f>
        <v/>
      </c>
      <c r="F279" s="37" t="n"/>
      <c r="G279" s="37" t="n"/>
      <c r="H279" s="37" t="n"/>
      <c r="I279" s="37" t="n"/>
      <c r="J279" s="37" t="n"/>
      <c r="K279" s="38">
        <f>IF($C279="","",IFERROR(N(INDEX(tbl_Finance[Invoice Count],MATCH($AE279,tbl_Finance[Row ID],0))),""))</f>
        <v/>
      </c>
      <c r="L279" s="11">
        <f>IF($C279="","",IFERROR(N(INDEX(tbl_Finance[Xero Invoiced Ex GST],MATCH($AE279,tbl_Finance[Row ID],0))),""))</f>
        <v/>
      </c>
      <c r="M279" s="10">
        <f>IF($C279="","",IFERROR(INDEX(tbl_Finance[Compare],MATCH($AE279,tbl_Finance[Row ID],0))&amp;"",""))</f>
        <v/>
      </c>
      <c r="N279" s="11">
        <f>IF($C279="","",MAX(0,N(O279)-N(L279)))</f>
        <v/>
      </c>
      <c r="O279" s="39" t="n"/>
      <c r="P279" s="40">
        <f>IF($C279="","",IF((IF(F279="",", Client","")&amp;IF(G279="",", Description","")&amp;IF(H279="",", Cost Centre","")&amp;IF(I279="",", Invoice Type","")&amp;IF(J279="",", Tax Code","")&amp;IF(O279="",", Expected Revenue","")&amp;IF(COUNTIF(tbl_Finance[Job Number],$C279&amp;"")&gt;1,", Job number used twice",""))="","Complete","Fix: "&amp;MID(IF(F279="",", Client","")&amp;IF(G279="",", Description","")&amp;IF(H279="",", Cost Centre","")&amp;IF(I279="",", Invoice Type","")&amp;IF(J279="",", Tax Code","")&amp;IF(O279="",", Expected Revenue","")&amp;IF(COUNTIF(tbl_Finance[Job Number],$C279&amp;"")&gt;1,", Job number used twice",""),3,300)))</f>
        <v/>
      </c>
      <c r="Q279" s="10">
        <f>IF($C279="","",IF(H279="","(no cost centre)",H279&amp;" - GL "&amp;IFERROR(INDEX(lst_CCtoGL,MATCH(H279,lst_CCforGL,0)),"?")))</f>
        <v/>
      </c>
      <c r="R279" s="37" t="n"/>
      <c r="S279" s="10">
        <f>IF(R279="","",HYPERLINK(IF(LEFT(R279,4)="http",R279,set_QwilrBase&amp;R279),"Open quote"))</f>
        <v/>
      </c>
      <c r="T279" s="39" t="n"/>
      <c r="U279" s="39" t="n"/>
      <c r="V279" s="39" t="n"/>
      <c r="W279" s="10">
        <f>IF(C279="","",IF(N(T279)+N(U279)+N(V279)=0,"Not split",IF(ROUND(N(T279)+N(U279)+N(V279),2)=ROUND(MAX(N(L279),N(O279)),2),"OK","MISMATCH")))</f>
        <v/>
      </c>
      <c r="X279" s="39" t="n"/>
      <c r="Y279" s="39" t="n"/>
      <c r="Z279" s="39" t="n"/>
      <c r="AA279" s="11">
        <f>IF(C279="","",N(X279)+N(Y279)+N(Z279))</f>
        <v/>
      </c>
      <c r="AB279" s="11">
        <f>IF(C279="","",MAX(N(L279),N(O279))-N(AA279))</f>
        <v/>
      </c>
      <c r="AC279" s="43">
        <f>IFERROR(IF(MAX(N(L279),N(O279))=0,"",AB279/MAX(N(L279),N(O279))),"")</f>
        <v/>
      </c>
      <c r="AD279" s="37" t="n"/>
      <c r="AE279" s="10" t="inlineStr">
        <is>
          <t>CON-0275</t>
        </is>
      </c>
    </row>
    <row r="280">
      <c r="A280" s="16">
        <f>IF($C280="","",IFERROR(IF(INDEX(tbl_Finance[Latest Invoice Date],MATCH($AE280,tbl_Finance[Row ID],0))="","",INDEX(tbl_Finance[Latest Invoice Date],MATCH($AE280,tbl_Finance[Row ID],0))),""))</f>
        <v/>
      </c>
      <c r="B280" s="10">
        <f>IF($C280="","",IFERROR(INDEX(tbl_Finance[Invoice Numbers],MATCH($AE280,tbl_Finance[Row ID],0))&amp;"",""))</f>
        <v/>
      </c>
      <c r="C280" s="37" t="n"/>
      <c r="D280" s="10">
        <f>IF($C280="","",IF(COUNTIF(lst_Jobs,$C280&amp;"")&gt;0,"OK","CHECK"))</f>
        <v/>
      </c>
      <c r="E280" s="10">
        <f>IF($C280="","",IFERROR(INDEX(lst_JobName,MATCH($C280&amp;"",lst_Jobs,0)),""))</f>
        <v/>
      </c>
      <c r="F280" s="37" t="n"/>
      <c r="G280" s="37" t="n"/>
      <c r="H280" s="37" t="n"/>
      <c r="I280" s="37" t="n"/>
      <c r="J280" s="37" t="n"/>
      <c r="K280" s="38">
        <f>IF($C280="","",IFERROR(N(INDEX(tbl_Finance[Invoice Count],MATCH($AE280,tbl_Finance[Row ID],0))),""))</f>
        <v/>
      </c>
      <c r="L280" s="11">
        <f>IF($C280="","",IFERROR(N(INDEX(tbl_Finance[Xero Invoiced Ex GST],MATCH($AE280,tbl_Finance[Row ID],0))),""))</f>
        <v/>
      </c>
      <c r="M280" s="10">
        <f>IF($C280="","",IFERROR(INDEX(tbl_Finance[Compare],MATCH($AE280,tbl_Finance[Row ID],0))&amp;"",""))</f>
        <v/>
      </c>
      <c r="N280" s="11">
        <f>IF($C280="","",MAX(0,N(O280)-N(L280)))</f>
        <v/>
      </c>
      <c r="O280" s="39" t="n"/>
      <c r="P280" s="40">
        <f>IF($C280="","",IF((IF(F280="",", Client","")&amp;IF(G280="",", Description","")&amp;IF(H280="",", Cost Centre","")&amp;IF(I280="",", Invoice Type","")&amp;IF(J280="",", Tax Code","")&amp;IF(O280="",", Expected Revenue","")&amp;IF(COUNTIF(tbl_Finance[Job Number],$C280&amp;"")&gt;1,", Job number used twice",""))="","Complete","Fix: "&amp;MID(IF(F280="",", Client","")&amp;IF(G280="",", Description","")&amp;IF(H280="",", Cost Centre","")&amp;IF(I280="",", Invoice Type","")&amp;IF(J280="",", Tax Code","")&amp;IF(O280="",", Expected Revenue","")&amp;IF(COUNTIF(tbl_Finance[Job Number],$C280&amp;"")&gt;1,", Job number used twice",""),3,300)))</f>
        <v/>
      </c>
      <c r="Q280" s="10">
        <f>IF($C280="","",IF(H280="","(no cost centre)",H280&amp;" - GL "&amp;IFERROR(INDEX(lst_CCtoGL,MATCH(H280,lst_CCforGL,0)),"?")))</f>
        <v/>
      </c>
      <c r="R280" s="37" t="n"/>
      <c r="S280" s="10">
        <f>IF(R280="","",HYPERLINK(IF(LEFT(R280,4)="http",R280,set_QwilrBase&amp;R280),"Open quote"))</f>
        <v/>
      </c>
      <c r="T280" s="39" t="n"/>
      <c r="U280" s="39" t="n"/>
      <c r="V280" s="39" t="n"/>
      <c r="W280" s="10">
        <f>IF(C280="","",IF(N(T280)+N(U280)+N(V280)=0,"Not split",IF(ROUND(N(T280)+N(U280)+N(V280),2)=ROUND(MAX(N(L280),N(O280)),2),"OK","MISMATCH")))</f>
        <v/>
      </c>
      <c r="X280" s="39" t="n"/>
      <c r="Y280" s="39" t="n"/>
      <c r="Z280" s="39" t="n"/>
      <c r="AA280" s="11">
        <f>IF(C280="","",N(X280)+N(Y280)+N(Z280))</f>
        <v/>
      </c>
      <c r="AB280" s="11">
        <f>IF(C280="","",MAX(N(L280),N(O280))-N(AA280))</f>
        <v/>
      </c>
      <c r="AC280" s="43">
        <f>IFERROR(IF(MAX(N(L280),N(O280))=0,"",AB280/MAX(N(L280),N(O280))),"")</f>
        <v/>
      </c>
      <c r="AD280" s="37" t="n"/>
      <c r="AE280" s="10" t="inlineStr">
        <is>
          <t>CON-0276</t>
        </is>
      </c>
    </row>
    <row r="281">
      <c r="A281" s="16">
        <f>IF($C281="","",IFERROR(IF(INDEX(tbl_Finance[Latest Invoice Date],MATCH($AE281,tbl_Finance[Row ID],0))="","",INDEX(tbl_Finance[Latest Invoice Date],MATCH($AE281,tbl_Finance[Row ID],0))),""))</f>
        <v/>
      </c>
      <c r="B281" s="10">
        <f>IF($C281="","",IFERROR(INDEX(tbl_Finance[Invoice Numbers],MATCH($AE281,tbl_Finance[Row ID],0))&amp;"",""))</f>
        <v/>
      </c>
      <c r="C281" s="37" t="n"/>
      <c r="D281" s="10">
        <f>IF($C281="","",IF(COUNTIF(lst_Jobs,$C281&amp;"")&gt;0,"OK","CHECK"))</f>
        <v/>
      </c>
      <c r="E281" s="10">
        <f>IF($C281="","",IFERROR(INDEX(lst_JobName,MATCH($C281&amp;"",lst_Jobs,0)),""))</f>
        <v/>
      </c>
      <c r="F281" s="37" t="n"/>
      <c r="G281" s="37" t="n"/>
      <c r="H281" s="37" t="n"/>
      <c r="I281" s="37" t="n"/>
      <c r="J281" s="37" t="n"/>
      <c r="K281" s="38">
        <f>IF($C281="","",IFERROR(N(INDEX(tbl_Finance[Invoice Count],MATCH($AE281,tbl_Finance[Row ID],0))),""))</f>
        <v/>
      </c>
      <c r="L281" s="11">
        <f>IF($C281="","",IFERROR(N(INDEX(tbl_Finance[Xero Invoiced Ex GST],MATCH($AE281,tbl_Finance[Row ID],0))),""))</f>
        <v/>
      </c>
      <c r="M281" s="10">
        <f>IF($C281="","",IFERROR(INDEX(tbl_Finance[Compare],MATCH($AE281,tbl_Finance[Row ID],0))&amp;"",""))</f>
        <v/>
      </c>
      <c r="N281" s="11">
        <f>IF($C281="","",MAX(0,N(O281)-N(L281)))</f>
        <v/>
      </c>
      <c r="O281" s="39" t="n"/>
      <c r="P281" s="40">
        <f>IF($C281="","",IF((IF(F281="",", Client","")&amp;IF(G281="",", Description","")&amp;IF(H281="",", Cost Centre","")&amp;IF(I281="",", Invoice Type","")&amp;IF(J281="",", Tax Code","")&amp;IF(O281="",", Expected Revenue","")&amp;IF(COUNTIF(tbl_Finance[Job Number],$C281&amp;"")&gt;1,", Job number used twice",""))="","Complete","Fix: "&amp;MID(IF(F281="",", Client","")&amp;IF(G281="",", Description","")&amp;IF(H281="",", Cost Centre","")&amp;IF(I281="",", Invoice Type","")&amp;IF(J281="",", Tax Code","")&amp;IF(O281="",", Expected Revenue","")&amp;IF(COUNTIF(tbl_Finance[Job Number],$C281&amp;"")&gt;1,", Job number used twice",""),3,300)))</f>
        <v/>
      </c>
      <c r="Q281" s="10">
        <f>IF($C281="","",IF(H281="","(no cost centre)",H281&amp;" - GL "&amp;IFERROR(INDEX(lst_CCtoGL,MATCH(H281,lst_CCforGL,0)),"?")))</f>
        <v/>
      </c>
      <c r="R281" s="37" t="n"/>
      <c r="S281" s="10">
        <f>IF(R281="","",HYPERLINK(IF(LEFT(R281,4)="http",R281,set_QwilrBase&amp;R281),"Open quote"))</f>
        <v/>
      </c>
      <c r="T281" s="39" t="n"/>
      <c r="U281" s="39" t="n"/>
      <c r="V281" s="39" t="n"/>
      <c r="W281" s="10">
        <f>IF(C281="","",IF(N(T281)+N(U281)+N(V281)=0,"Not split",IF(ROUND(N(T281)+N(U281)+N(V281),2)=ROUND(MAX(N(L281),N(O281)),2),"OK","MISMATCH")))</f>
        <v/>
      </c>
      <c r="X281" s="39" t="n"/>
      <c r="Y281" s="39" t="n"/>
      <c r="Z281" s="39" t="n"/>
      <c r="AA281" s="11">
        <f>IF(C281="","",N(X281)+N(Y281)+N(Z281))</f>
        <v/>
      </c>
      <c r="AB281" s="11">
        <f>IF(C281="","",MAX(N(L281),N(O281))-N(AA281))</f>
        <v/>
      </c>
      <c r="AC281" s="43">
        <f>IFERROR(IF(MAX(N(L281),N(O281))=0,"",AB281/MAX(N(L281),N(O281))),"")</f>
        <v/>
      </c>
      <c r="AD281" s="37" t="n"/>
      <c r="AE281" s="10" t="inlineStr">
        <is>
          <t>CON-0277</t>
        </is>
      </c>
    </row>
    <row r="282">
      <c r="A282" s="16">
        <f>IF($C282="","",IFERROR(IF(INDEX(tbl_Finance[Latest Invoice Date],MATCH($AE282,tbl_Finance[Row ID],0))="","",INDEX(tbl_Finance[Latest Invoice Date],MATCH($AE282,tbl_Finance[Row ID],0))),""))</f>
        <v/>
      </c>
      <c r="B282" s="10">
        <f>IF($C282="","",IFERROR(INDEX(tbl_Finance[Invoice Numbers],MATCH($AE282,tbl_Finance[Row ID],0))&amp;"",""))</f>
        <v/>
      </c>
      <c r="C282" s="37" t="n"/>
      <c r="D282" s="10">
        <f>IF($C282="","",IF(COUNTIF(lst_Jobs,$C282&amp;"")&gt;0,"OK","CHECK"))</f>
        <v/>
      </c>
      <c r="E282" s="10">
        <f>IF($C282="","",IFERROR(INDEX(lst_JobName,MATCH($C282&amp;"",lst_Jobs,0)),""))</f>
        <v/>
      </c>
      <c r="F282" s="37" t="n"/>
      <c r="G282" s="37" t="n"/>
      <c r="H282" s="37" t="n"/>
      <c r="I282" s="37" t="n"/>
      <c r="J282" s="37" t="n"/>
      <c r="K282" s="38">
        <f>IF($C282="","",IFERROR(N(INDEX(tbl_Finance[Invoice Count],MATCH($AE282,tbl_Finance[Row ID],0))),""))</f>
        <v/>
      </c>
      <c r="L282" s="11">
        <f>IF($C282="","",IFERROR(N(INDEX(tbl_Finance[Xero Invoiced Ex GST],MATCH($AE282,tbl_Finance[Row ID],0))),""))</f>
        <v/>
      </c>
      <c r="M282" s="10">
        <f>IF($C282="","",IFERROR(INDEX(tbl_Finance[Compare],MATCH($AE282,tbl_Finance[Row ID],0))&amp;"",""))</f>
        <v/>
      </c>
      <c r="N282" s="11">
        <f>IF($C282="","",MAX(0,N(O282)-N(L282)))</f>
        <v/>
      </c>
      <c r="O282" s="39" t="n"/>
      <c r="P282" s="40">
        <f>IF($C282="","",IF((IF(F282="",", Client","")&amp;IF(G282="",", Description","")&amp;IF(H282="",", Cost Centre","")&amp;IF(I282="",", Invoice Type","")&amp;IF(J282="",", Tax Code","")&amp;IF(O282="",", Expected Revenue","")&amp;IF(COUNTIF(tbl_Finance[Job Number],$C282&amp;"")&gt;1,", Job number used twice",""))="","Complete","Fix: "&amp;MID(IF(F282="",", Client","")&amp;IF(G282="",", Description","")&amp;IF(H282="",", Cost Centre","")&amp;IF(I282="",", Invoice Type","")&amp;IF(J282="",", Tax Code","")&amp;IF(O282="",", Expected Revenue","")&amp;IF(COUNTIF(tbl_Finance[Job Number],$C282&amp;"")&gt;1,", Job number used twice",""),3,300)))</f>
        <v/>
      </c>
      <c r="Q282" s="10">
        <f>IF($C282="","",IF(H282="","(no cost centre)",H282&amp;" - GL "&amp;IFERROR(INDEX(lst_CCtoGL,MATCH(H282,lst_CCforGL,0)),"?")))</f>
        <v/>
      </c>
      <c r="R282" s="37" t="n"/>
      <c r="S282" s="10">
        <f>IF(R282="","",HYPERLINK(IF(LEFT(R282,4)="http",R282,set_QwilrBase&amp;R282),"Open quote"))</f>
        <v/>
      </c>
      <c r="T282" s="39" t="n"/>
      <c r="U282" s="39" t="n"/>
      <c r="V282" s="39" t="n"/>
      <c r="W282" s="10">
        <f>IF(C282="","",IF(N(T282)+N(U282)+N(V282)=0,"Not split",IF(ROUND(N(T282)+N(U282)+N(V282),2)=ROUND(MAX(N(L282),N(O282)),2),"OK","MISMATCH")))</f>
        <v/>
      </c>
      <c r="X282" s="39" t="n"/>
      <c r="Y282" s="39" t="n"/>
      <c r="Z282" s="39" t="n"/>
      <c r="AA282" s="11">
        <f>IF(C282="","",N(X282)+N(Y282)+N(Z282))</f>
        <v/>
      </c>
      <c r="AB282" s="11">
        <f>IF(C282="","",MAX(N(L282),N(O282))-N(AA282))</f>
        <v/>
      </c>
      <c r="AC282" s="43">
        <f>IFERROR(IF(MAX(N(L282),N(O282))=0,"",AB282/MAX(N(L282),N(O282))),"")</f>
        <v/>
      </c>
      <c r="AD282" s="37" t="n"/>
      <c r="AE282" s="10" t="inlineStr">
        <is>
          <t>CON-0278</t>
        </is>
      </c>
    </row>
    <row r="283">
      <c r="A283" s="16">
        <f>IF($C283="","",IFERROR(IF(INDEX(tbl_Finance[Latest Invoice Date],MATCH($AE283,tbl_Finance[Row ID],0))="","",INDEX(tbl_Finance[Latest Invoice Date],MATCH($AE283,tbl_Finance[Row ID],0))),""))</f>
        <v/>
      </c>
      <c r="B283" s="10">
        <f>IF($C283="","",IFERROR(INDEX(tbl_Finance[Invoice Numbers],MATCH($AE283,tbl_Finance[Row ID],0))&amp;"",""))</f>
        <v/>
      </c>
      <c r="C283" s="37" t="n"/>
      <c r="D283" s="10">
        <f>IF($C283="","",IF(COUNTIF(lst_Jobs,$C283&amp;"")&gt;0,"OK","CHECK"))</f>
        <v/>
      </c>
      <c r="E283" s="10">
        <f>IF($C283="","",IFERROR(INDEX(lst_JobName,MATCH($C283&amp;"",lst_Jobs,0)),""))</f>
        <v/>
      </c>
      <c r="F283" s="37" t="n"/>
      <c r="G283" s="37" t="n"/>
      <c r="H283" s="37" t="n"/>
      <c r="I283" s="37" t="n"/>
      <c r="J283" s="37" t="n"/>
      <c r="K283" s="38">
        <f>IF($C283="","",IFERROR(N(INDEX(tbl_Finance[Invoice Count],MATCH($AE283,tbl_Finance[Row ID],0))),""))</f>
        <v/>
      </c>
      <c r="L283" s="11">
        <f>IF($C283="","",IFERROR(N(INDEX(tbl_Finance[Xero Invoiced Ex GST],MATCH($AE283,tbl_Finance[Row ID],0))),""))</f>
        <v/>
      </c>
      <c r="M283" s="10">
        <f>IF($C283="","",IFERROR(INDEX(tbl_Finance[Compare],MATCH($AE283,tbl_Finance[Row ID],0))&amp;"",""))</f>
        <v/>
      </c>
      <c r="N283" s="11">
        <f>IF($C283="","",MAX(0,N(O283)-N(L283)))</f>
        <v/>
      </c>
      <c r="O283" s="39" t="n"/>
      <c r="P283" s="40">
        <f>IF($C283="","",IF((IF(F283="",", Client","")&amp;IF(G283="",", Description","")&amp;IF(H283="",", Cost Centre","")&amp;IF(I283="",", Invoice Type","")&amp;IF(J283="",", Tax Code","")&amp;IF(O283="",", Expected Revenue","")&amp;IF(COUNTIF(tbl_Finance[Job Number],$C283&amp;"")&gt;1,", Job number used twice",""))="","Complete","Fix: "&amp;MID(IF(F283="",", Client","")&amp;IF(G283="",", Description","")&amp;IF(H283="",", Cost Centre","")&amp;IF(I283="",", Invoice Type","")&amp;IF(J283="",", Tax Code","")&amp;IF(O283="",", Expected Revenue","")&amp;IF(COUNTIF(tbl_Finance[Job Number],$C283&amp;"")&gt;1,", Job number used twice",""),3,300)))</f>
        <v/>
      </c>
      <c r="Q283" s="10">
        <f>IF($C283="","",IF(H283="","(no cost centre)",H283&amp;" - GL "&amp;IFERROR(INDEX(lst_CCtoGL,MATCH(H283,lst_CCforGL,0)),"?")))</f>
        <v/>
      </c>
      <c r="R283" s="37" t="n"/>
      <c r="S283" s="10">
        <f>IF(R283="","",HYPERLINK(IF(LEFT(R283,4)="http",R283,set_QwilrBase&amp;R283),"Open quote"))</f>
        <v/>
      </c>
      <c r="T283" s="39" t="n"/>
      <c r="U283" s="39" t="n"/>
      <c r="V283" s="39" t="n"/>
      <c r="W283" s="10">
        <f>IF(C283="","",IF(N(T283)+N(U283)+N(V283)=0,"Not split",IF(ROUND(N(T283)+N(U283)+N(V283),2)=ROUND(MAX(N(L283),N(O283)),2),"OK","MISMATCH")))</f>
        <v/>
      </c>
      <c r="X283" s="39" t="n"/>
      <c r="Y283" s="39" t="n"/>
      <c r="Z283" s="39" t="n"/>
      <c r="AA283" s="11">
        <f>IF(C283="","",N(X283)+N(Y283)+N(Z283))</f>
        <v/>
      </c>
      <c r="AB283" s="11">
        <f>IF(C283="","",MAX(N(L283),N(O283))-N(AA283))</f>
        <v/>
      </c>
      <c r="AC283" s="43">
        <f>IFERROR(IF(MAX(N(L283),N(O283))=0,"",AB283/MAX(N(L283),N(O283))),"")</f>
        <v/>
      </c>
      <c r="AD283" s="37" t="n"/>
      <c r="AE283" s="10" t="inlineStr">
        <is>
          <t>CON-0279</t>
        </is>
      </c>
    </row>
    <row r="284">
      <c r="A284" s="16">
        <f>IF($C284="","",IFERROR(IF(INDEX(tbl_Finance[Latest Invoice Date],MATCH($AE284,tbl_Finance[Row ID],0))="","",INDEX(tbl_Finance[Latest Invoice Date],MATCH($AE284,tbl_Finance[Row ID],0))),""))</f>
        <v/>
      </c>
      <c r="B284" s="10">
        <f>IF($C284="","",IFERROR(INDEX(tbl_Finance[Invoice Numbers],MATCH($AE284,tbl_Finance[Row ID],0))&amp;"",""))</f>
        <v/>
      </c>
      <c r="C284" s="37" t="n"/>
      <c r="D284" s="10">
        <f>IF($C284="","",IF(COUNTIF(lst_Jobs,$C284&amp;"")&gt;0,"OK","CHECK"))</f>
        <v/>
      </c>
      <c r="E284" s="10">
        <f>IF($C284="","",IFERROR(INDEX(lst_JobName,MATCH($C284&amp;"",lst_Jobs,0)),""))</f>
        <v/>
      </c>
      <c r="F284" s="37" t="n"/>
      <c r="G284" s="37" t="n"/>
      <c r="H284" s="37" t="n"/>
      <c r="I284" s="37" t="n"/>
      <c r="J284" s="37" t="n"/>
      <c r="K284" s="38">
        <f>IF($C284="","",IFERROR(N(INDEX(tbl_Finance[Invoice Count],MATCH($AE284,tbl_Finance[Row ID],0))),""))</f>
        <v/>
      </c>
      <c r="L284" s="11">
        <f>IF($C284="","",IFERROR(N(INDEX(tbl_Finance[Xero Invoiced Ex GST],MATCH($AE284,tbl_Finance[Row ID],0))),""))</f>
        <v/>
      </c>
      <c r="M284" s="10">
        <f>IF($C284="","",IFERROR(INDEX(tbl_Finance[Compare],MATCH($AE284,tbl_Finance[Row ID],0))&amp;"",""))</f>
        <v/>
      </c>
      <c r="N284" s="11">
        <f>IF($C284="","",MAX(0,N(O284)-N(L284)))</f>
        <v/>
      </c>
      <c r="O284" s="39" t="n"/>
      <c r="P284" s="40">
        <f>IF($C284="","",IF((IF(F284="",", Client","")&amp;IF(G284="",", Description","")&amp;IF(H284="",", Cost Centre","")&amp;IF(I284="",", Invoice Type","")&amp;IF(J284="",", Tax Code","")&amp;IF(O284="",", Expected Revenue","")&amp;IF(COUNTIF(tbl_Finance[Job Number],$C284&amp;"")&gt;1,", Job number used twice",""))="","Complete","Fix: "&amp;MID(IF(F284="",", Client","")&amp;IF(G284="",", Description","")&amp;IF(H284="",", Cost Centre","")&amp;IF(I284="",", Invoice Type","")&amp;IF(J284="",", Tax Code","")&amp;IF(O284="",", Expected Revenue","")&amp;IF(COUNTIF(tbl_Finance[Job Number],$C284&amp;"")&gt;1,", Job number used twice",""),3,300)))</f>
        <v/>
      </c>
      <c r="Q284" s="10">
        <f>IF($C284="","",IF(H284="","(no cost centre)",H284&amp;" - GL "&amp;IFERROR(INDEX(lst_CCtoGL,MATCH(H284,lst_CCforGL,0)),"?")))</f>
        <v/>
      </c>
      <c r="R284" s="37" t="n"/>
      <c r="S284" s="10">
        <f>IF(R284="","",HYPERLINK(IF(LEFT(R284,4)="http",R284,set_QwilrBase&amp;R284),"Open quote"))</f>
        <v/>
      </c>
      <c r="T284" s="39" t="n"/>
      <c r="U284" s="39" t="n"/>
      <c r="V284" s="39" t="n"/>
      <c r="W284" s="10">
        <f>IF(C284="","",IF(N(T284)+N(U284)+N(V284)=0,"Not split",IF(ROUND(N(T284)+N(U284)+N(V284),2)=ROUND(MAX(N(L284),N(O284)),2),"OK","MISMATCH")))</f>
        <v/>
      </c>
      <c r="X284" s="39" t="n"/>
      <c r="Y284" s="39" t="n"/>
      <c r="Z284" s="39" t="n"/>
      <c r="AA284" s="11">
        <f>IF(C284="","",N(X284)+N(Y284)+N(Z284))</f>
        <v/>
      </c>
      <c r="AB284" s="11">
        <f>IF(C284="","",MAX(N(L284),N(O284))-N(AA284))</f>
        <v/>
      </c>
      <c r="AC284" s="43">
        <f>IFERROR(IF(MAX(N(L284),N(O284))=0,"",AB284/MAX(N(L284),N(O284))),"")</f>
        <v/>
      </c>
      <c r="AD284" s="37" t="n"/>
      <c r="AE284" s="10" t="inlineStr">
        <is>
          <t>CON-0280</t>
        </is>
      </c>
    </row>
    <row r="285">
      <c r="A285" s="16">
        <f>IF($C285="","",IFERROR(IF(INDEX(tbl_Finance[Latest Invoice Date],MATCH($AE285,tbl_Finance[Row ID],0))="","",INDEX(tbl_Finance[Latest Invoice Date],MATCH($AE285,tbl_Finance[Row ID],0))),""))</f>
        <v/>
      </c>
      <c r="B285" s="10">
        <f>IF($C285="","",IFERROR(INDEX(tbl_Finance[Invoice Numbers],MATCH($AE285,tbl_Finance[Row ID],0))&amp;"",""))</f>
        <v/>
      </c>
      <c r="C285" s="37" t="n"/>
      <c r="D285" s="10">
        <f>IF($C285="","",IF(COUNTIF(lst_Jobs,$C285&amp;"")&gt;0,"OK","CHECK"))</f>
        <v/>
      </c>
      <c r="E285" s="10">
        <f>IF($C285="","",IFERROR(INDEX(lst_JobName,MATCH($C285&amp;"",lst_Jobs,0)),""))</f>
        <v/>
      </c>
      <c r="F285" s="37" t="n"/>
      <c r="G285" s="37" t="n"/>
      <c r="H285" s="37" t="n"/>
      <c r="I285" s="37" t="n"/>
      <c r="J285" s="37" t="n"/>
      <c r="K285" s="38">
        <f>IF($C285="","",IFERROR(N(INDEX(tbl_Finance[Invoice Count],MATCH($AE285,tbl_Finance[Row ID],0))),""))</f>
        <v/>
      </c>
      <c r="L285" s="11">
        <f>IF($C285="","",IFERROR(N(INDEX(tbl_Finance[Xero Invoiced Ex GST],MATCH($AE285,tbl_Finance[Row ID],0))),""))</f>
        <v/>
      </c>
      <c r="M285" s="10">
        <f>IF($C285="","",IFERROR(INDEX(tbl_Finance[Compare],MATCH($AE285,tbl_Finance[Row ID],0))&amp;"",""))</f>
        <v/>
      </c>
      <c r="N285" s="11">
        <f>IF($C285="","",MAX(0,N(O285)-N(L285)))</f>
        <v/>
      </c>
      <c r="O285" s="39" t="n"/>
      <c r="P285" s="40">
        <f>IF($C285="","",IF((IF(F285="",", Client","")&amp;IF(G285="",", Description","")&amp;IF(H285="",", Cost Centre","")&amp;IF(I285="",", Invoice Type","")&amp;IF(J285="",", Tax Code","")&amp;IF(O285="",", Expected Revenue","")&amp;IF(COUNTIF(tbl_Finance[Job Number],$C285&amp;"")&gt;1,", Job number used twice",""))="","Complete","Fix: "&amp;MID(IF(F285="",", Client","")&amp;IF(G285="",", Description","")&amp;IF(H285="",", Cost Centre","")&amp;IF(I285="",", Invoice Type","")&amp;IF(J285="",", Tax Code","")&amp;IF(O285="",", Expected Revenue","")&amp;IF(COUNTIF(tbl_Finance[Job Number],$C285&amp;"")&gt;1,", Job number used twice",""),3,300)))</f>
        <v/>
      </c>
      <c r="Q285" s="10">
        <f>IF($C285="","",IF(H285="","(no cost centre)",H285&amp;" - GL "&amp;IFERROR(INDEX(lst_CCtoGL,MATCH(H285,lst_CCforGL,0)),"?")))</f>
        <v/>
      </c>
      <c r="R285" s="37" t="n"/>
      <c r="S285" s="10">
        <f>IF(R285="","",HYPERLINK(IF(LEFT(R285,4)="http",R285,set_QwilrBase&amp;R285),"Open quote"))</f>
        <v/>
      </c>
      <c r="T285" s="39" t="n"/>
      <c r="U285" s="39" t="n"/>
      <c r="V285" s="39" t="n"/>
      <c r="W285" s="10">
        <f>IF(C285="","",IF(N(T285)+N(U285)+N(V285)=0,"Not split",IF(ROUND(N(T285)+N(U285)+N(V285),2)=ROUND(MAX(N(L285),N(O285)),2),"OK","MISMATCH")))</f>
        <v/>
      </c>
      <c r="X285" s="39" t="n"/>
      <c r="Y285" s="39" t="n"/>
      <c r="Z285" s="39" t="n"/>
      <c r="AA285" s="11">
        <f>IF(C285="","",N(X285)+N(Y285)+N(Z285))</f>
        <v/>
      </c>
      <c r="AB285" s="11">
        <f>IF(C285="","",MAX(N(L285),N(O285))-N(AA285))</f>
        <v/>
      </c>
      <c r="AC285" s="43">
        <f>IFERROR(IF(MAX(N(L285),N(O285))=0,"",AB285/MAX(N(L285),N(O285))),"")</f>
        <v/>
      </c>
      <c r="AD285" s="37" t="n"/>
      <c r="AE285" s="10" t="inlineStr">
        <is>
          <t>CON-0281</t>
        </is>
      </c>
    </row>
    <row r="286">
      <c r="A286" s="16">
        <f>IF($C286="","",IFERROR(IF(INDEX(tbl_Finance[Latest Invoice Date],MATCH($AE286,tbl_Finance[Row ID],0))="","",INDEX(tbl_Finance[Latest Invoice Date],MATCH($AE286,tbl_Finance[Row ID],0))),""))</f>
        <v/>
      </c>
      <c r="B286" s="10">
        <f>IF($C286="","",IFERROR(INDEX(tbl_Finance[Invoice Numbers],MATCH($AE286,tbl_Finance[Row ID],0))&amp;"",""))</f>
        <v/>
      </c>
      <c r="C286" s="37" t="n"/>
      <c r="D286" s="10">
        <f>IF($C286="","",IF(COUNTIF(lst_Jobs,$C286&amp;"")&gt;0,"OK","CHECK"))</f>
        <v/>
      </c>
      <c r="E286" s="10">
        <f>IF($C286="","",IFERROR(INDEX(lst_JobName,MATCH($C286&amp;"",lst_Jobs,0)),""))</f>
        <v/>
      </c>
      <c r="F286" s="37" t="n"/>
      <c r="G286" s="37" t="n"/>
      <c r="H286" s="37" t="n"/>
      <c r="I286" s="37" t="n"/>
      <c r="J286" s="37" t="n"/>
      <c r="K286" s="38">
        <f>IF($C286="","",IFERROR(N(INDEX(tbl_Finance[Invoice Count],MATCH($AE286,tbl_Finance[Row ID],0))),""))</f>
        <v/>
      </c>
      <c r="L286" s="11">
        <f>IF($C286="","",IFERROR(N(INDEX(tbl_Finance[Xero Invoiced Ex GST],MATCH($AE286,tbl_Finance[Row ID],0))),""))</f>
        <v/>
      </c>
      <c r="M286" s="10">
        <f>IF($C286="","",IFERROR(INDEX(tbl_Finance[Compare],MATCH($AE286,tbl_Finance[Row ID],0))&amp;"",""))</f>
        <v/>
      </c>
      <c r="N286" s="11">
        <f>IF($C286="","",MAX(0,N(O286)-N(L286)))</f>
        <v/>
      </c>
      <c r="O286" s="39" t="n"/>
      <c r="P286" s="40">
        <f>IF($C286="","",IF((IF(F286="",", Client","")&amp;IF(G286="",", Description","")&amp;IF(H286="",", Cost Centre","")&amp;IF(I286="",", Invoice Type","")&amp;IF(J286="",", Tax Code","")&amp;IF(O286="",", Expected Revenue","")&amp;IF(COUNTIF(tbl_Finance[Job Number],$C286&amp;"")&gt;1,", Job number used twice",""))="","Complete","Fix: "&amp;MID(IF(F286="",", Client","")&amp;IF(G286="",", Description","")&amp;IF(H286="",", Cost Centre","")&amp;IF(I286="",", Invoice Type","")&amp;IF(J286="",", Tax Code","")&amp;IF(O286="",", Expected Revenue","")&amp;IF(COUNTIF(tbl_Finance[Job Number],$C286&amp;"")&gt;1,", Job number used twice",""),3,300)))</f>
        <v/>
      </c>
      <c r="Q286" s="10">
        <f>IF($C286="","",IF(H286="","(no cost centre)",H286&amp;" - GL "&amp;IFERROR(INDEX(lst_CCtoGL,MATCH(H286,lst_CCforGL,0)),"?")))</f>
        <v/>
      </c>
      <c r="R286" s="37" t="n"/>
      <c r="S286" s="10">
        <f>IF(R286="","",HYPERLINK(IF(LEFT(R286,4)="http",R286,set_QwilrBase&amp;R286),"Open quote"))</f>
        <v/>
      </c>
      <c r="T286" s="39" t="n"/>
      <c r="U286" s="39" t="n"/>
      <c r="V286" s="39" t="n"/>
      <c r="W286" s="10">
        <f>IF(C286="","",IF(N(T286)+N(U286)+N(V286)=0,"Not split",IF(ROUND(N(T286)+N(U286)+N(V286),2)=ROUND(MAX(N(L286),N(O286)),2),"OK","MISMATCH")))</f>
        <v/>
      </c>
      <c r="X286" s="39" t="n"/>
      <c r="Y286" s="39" t="n"/>
      <c r="Z286" s="39" t="n"/>
      <c r="AA286" s="11">
        <f>IF(C286="","",N(X286)+N(Y286)+N(Z286))</f>
        <v/>
      </c>
      <c r="AB286" s="11">
        <f>IF(C286="","",MAX(N(L286),N(O286))-N(AA286))</f>
        <v/>
      </c>
      <c r="AC286" s="43">
        <f>IFERROR(IF(MAX(N(L286),N(O286))=0,"",AB286/MAX(N(L286),N(O286))),"")</f>
        <v/>
      </c>
      <c r="AD286" s="37" t="n"/>
      <c r="AE286" s="10" t="inlineStr">
        <is>
          <t>CON-0282</t>
        </is>
      </c>
    </row>
    <row r="287">
      <c r="A287" s="16">
        <f>IF($C287="","",IFERROR(IF(INDEX(tbl_Finance[Latest Invoice Date],MATCH($AE287,tbl_Finance[Row ID],0))="","",INDEX(tbl_Finance[Latest Invoice Date],MATCH($AE287,tbl_Finance[Row ID],0))),""))</f>
        <v/>
      </c>
      <c r="B287" s="10">
        <f>IF($C287="","",IFERROR(INDEX(tbl_Finance[Invoice Numbers],MATCH($AE287,tbl_Finance[Row ID],0))&amp;"",""))</f>
        <v/>
      </c>
      <c r="C287" s="37" t="n"/>
      <c r="D287" s="10">
        <f>IF($C287="","",IF(COUNTIF(lst_Jobs,$C287&amp;"")&gt;0,"OK","CHECK"))</f>
        <v/>
      </c>
      <c r="E287" s="10">
        <f>IF($C287="","",IFERROR(INDEX(lst_JobName,MATCH($C287&amp;"",lst_Jobs,0)),""))</f>
        <v/>
      </c>
      <c r="F287" s="37" t="n"/>
      <c r="G287" s="37" t="n"/>
      <c r="H287" s="37" t="n"/>
      <c r="I287" s="37" t="n"/>
      <c r="J287" s="37" t="n"/>
      <c r="K287" s="38">
        <f>IF($C287="","",IFERROR(N(INDEX(tbl_Finance[Invoice Count],MATCH($AE287,tbl_Finance[Row ID],0))),""))</f>
        <v/>
      </c>
      <c r="L287" s="11">
        <f>IF($C287="","",IFERROR(N(INDEX(tbl_Finance[Xero Invoiced Ex GST],MATCH($AE287,tbl_Finance[Row ID],0))),""))</f>
        <v/>
      </c>
      <c r="M287" s="10">
        <f>IF($C287="","",IFERROR(INDEX(tbl_Finance[Compare],MATCH($AE287,tbl_Finance[Row ID],0))&amp;"",""))</f>
        <v/>
      </c>
      <c r="N287" s="11">
        <f>IF($C287="","",MAX(0,N(O287)-N(L287)))</f>
        <v/>
      </c>
      <c r="O287" s="39" t="n"/>
      <c r="P287" s="40">
        <f>IF($C287="","",IF((IF(F287="",", Client","")&amp;IF(G287="",", Description","")&amp;IF(H287="",", Cost Centre","")&amp;IF(I287="",", Invoice Type","")&amp;IF(J287="",", Tax Code","")&amp;IF(O287="",", Expected Revenue","")&amp;IF(COUNTIF(tbl_Finance[Job Number],$C287&amp;"")&gt;1,", Job number used twice",""))="","Complete","Fix: "&amp;MID(IF(F287="",", Client","")&amp;IF(G287="",", Description","")&amp;IF(H287="",", Cost Centre","")&amp;IF(I287="",", Invoice Type","")&amp;IF(J287="",", Tax Code","")&amp;IF(O287="",", Expected Revenue","")&amp;IF(COUNTIF(tbl_Finance[Job Number],$C287&amp;"")&gt;1,", Job number used twice",""),3,300)))</f>
        <v/>
      </c>
      <c r="Q287" s="10">
        <f>IF($C287="","",IF(H287="","(no cost centre)",H287&amp;" - GL "&amp;IFERROR(INDEX(lst_CCtoGL,MATCH(H287,lst_CCforGL,0)),"?")))</f>
        <v/>
      </c>
      <c r="R287" s="37" t="n"/>
      <c r="S287" s="10">
        <f>IF(R287="","",HYPERLINK(IF(LEFT(R287,4)="http",R287,set_QwilrBase&amp;R287),"Open quote"))</f>
        <v/>
      </c>
      <c r="T287" s="39" t="n"/>
      <c r="U287" s="39" t="n"/>
      <c r="V287" s="39" t="n"/>
      <c r="W287" s="10">
        <f>IF(C287="","",IF(N(T287)+N(U287)+N(V287)=0,"Not split",IF(ROUND(N(T287)+N(U287)+N(V287),2)=ROUND(MAX(N(L287),N(O287)),2),"OK","MISMATCH")))</f>
        <v/>
      </c>
      <c r="X287" s="39" t="n"/>
      <c r="Y287" s="39" t="n"/>
      <c r="Z287" s="39" t="n"/>
      <c r="AA287" s="11">
        <f>IF(C287="","",N(X287)+N(Y287)+N(Z287))</f>
        <v/>
      </c>
      <c r="AB287" s="11">
        <f>IF(C287="","",MAX(N(L287),N(O287))-N(AA287))</f>
        <v/>
      </c>
      <c r="AC287" s="43">
        <f>IFERROR(IF(MAX(N(L287),N(O287))=0,"",AB287/MAX(N(L287),N(O287))),"")</f>
        <v/>
      </c>
      <c r="AD287" s="37" t="n"/>
      <c r="AE287" s="10" t="inlineStr">
        <is>
          <t>CON-0283</t>
        </is>
      </c>
    </row>
    <row r="288">
      <c r="A288" s="16">
        <f>IF($C288="","",IFERROR(IF(INDEX(tbl_Finance[Latest Invoice Date],MATCH($AE288,tbl_Finance[Row ID],0))="","",INDEX(tbl_Finance[Latest Invoice Date],MATCH($AE288,tbl_Finance[Row ID],0))),""))</f>
        <v/>
      </c>
      <c r="B288" s="10">
        <f>IF($C288="","",IFERROR(INDEX(tbl_Finance[Invoice Numbers],MATCH($AE288,tbl_Finance[Row ID],0))&amp;"",""))</f>
        <v/>
      </c>
      <c r="C288" s="37" t="n"/>
      <c r="D288" s="10">
        <f>IF($C288="","",IF(COUNTIF(lst_Jobs,$C288&amp;"")&gt;0,"OK","CHECK"))</f>
        <v/>
      </c>
      <c r="E288" s="10">
        <f>IF($C288="","",IFERROR(INDEX(lst_JobName,MATCH($C288&amp;"",lst_Jobs,0)),""))</f>
        <v/>
      </c>
      <c r="F288" s="37" t="n"/>
      <c r="G288" s="37" t="n"/>
      <c r="H288" s="37" t="n"/>
      <c r="I288" s="37" t="n"/>
      <c r="J288" s="37" t="n"/>
      <c r="K288" s="38">
        <f>IF($C288="","",IFERROR(N(INDEX(tbl_Finance[Invoice Count],MATCH($AE288,tbl_Finance[Row ID],0))),""))</f>
        <v/>
      </c>
      <c r="L288" s="11">
        <f>IF($C288="","",IFERROR(N(INDEX(tbl_Finance[Xero Invoiced Ex GST],MATCH($AE288,tbl_Finance[Row ID],0))),""))</f>
        <v/>
      </c>
      <c r="M288" s="10">
        <f>IF($C288="","",IFERROR(INDEX(tbl_Finance[Compare],MATCH($AE288,tbl_Finance[Row ID],0))&amp;"",""))</f>
        <v/>
      </c>
      <c r="N288" s="11">
        <f>IF($C288="","",MAX(0,N(O288)-N(L288)))</f>
        <v/>
      </c>
      <c r="O288" s="39" t="n"/>
      <c r="P288" s="40">
        <f>IF($C288="","",IF((IF(F288="",", Client","")&amp;IF(G288="",", Description","")&amp;IF(H288="",", Cost Centre","")&amp;IF(I288="",", Invoice Type","")&amp;IF(J288="",", Tax Code","")&amp;IF(O288="",", Expected Revenue","")&amp;IF(COUNTIF(tbl_Finance[Job Number],$C288&amp;"")&gt;1,", Job number used twice",""))="","Complete","Fix: "&amp;MID(IF(F288="",", Client","")&amp;IF(G288="",", Description","")&amp;IF(H288="",", Cost Centre","")&amp;IF(I288="",", Invoice Type","")&amp;IF(J288="",", Tax Code","")&amp;IF(O288="",", Expected Revenue","")&amp;IF(COUNTIF(tbl_Finance[Job Number],$C288&amp;"")&gt;1,", Job number used twice",""),3,300)))</f>
        <v/>
      </c>
      <c r="Q288" s="10">
        <f>IF($C288="","",IF(H288="","(no cost centre)",H288&amp;" - GL "&amp;IFERROR(INDEX(lst_CCtoGL,MATCH(H288,lst_CCforGL,0)),"?")))</f>
        <v/>
      </c>
      <c r="R288" s="37" t="n"/>
      <c r="S288" s="10">
        <f>IF(R288="","",HYPERLINK(IF(LEFT(R288,4)="http",R288,set_QwilrBase&amp;R288),"Open quote"))</f>
        <v/>
      </c>
      <c r="T288" s="39" t="n"/>
      <c r="U288" s="39" t="n"/>
      <c r="V288" s="39" t="n"/>
      <c r="W288" s="10">
        <f>IF(C288="","",IF(N(T288)+N(U288)+N(V288)=0,"Not split",IF(ROUND(N(T288)+N(U288)+N(V288),2)=ROUND(MAX(N(L288),N(O288)),2),"OK","MISMATCH")))</f>
        <v/>
      </c>
      <c r="X288" s="39" t="n"/>
      <c r="Y288" s="39" t="n"/>
      <c r="Z288" s="39" t="n"/>
      <c r="AA288" s="11">
        <f>IF(C288="","",N(X288)+N(Y288)+N(Z288))</f>
        <v/>
      </c>
      <c r="AB288" s="11">
        <f>IF(C288="","",MAX(N(L288),N(O288))-N(AA288))</f>
        <v/>
      </c>
      <c r="AC288" s="43">
        <f>IFERROR(IF(MAX(N(L288),N(O288))=0,"",AB288/MAX(N(L288),N(O288))),"")</f>
        <v/>
      </c>
      <c r="AD288" s="37" t="n"/>
      <c r="AE288" s="10" t="inlineStr">
        <is>
          <t>CON-0284</t>
        </is>
      </c>
    </row>
    <row r="289">
      <c r="A289" s="16">
        <f>IF($C289="","",IFERROR(IF(INDEX(tbl_Finance[Latest Invoice Date],MATCH($AE289,tbl_Finance[Row ID],0))="","",INDEX(tbl_Finance[Latest Invoice Date],MATCH($AE289,tbl_Finance[Row ID],0))),""))</f>
        <v/>
      </c>
      <c r="B289" s="10">
        <f>IF($C289="","",IFERROR(INDEX(tbl_Finance[Invoice Numbers],MATCH($AE289,tbl_Finance[Row ID],0))&amp;"",""))</f>
        <v/>
      </c>
      <c r="C289" s="37" t="n"/>
      <c r="D289" s="10">
        <f>IF($C289="","",IF(COUNTIF(lst_Jobs,$C289&amp;"")&gt;0,"OK","CHECK"))</f>
        <v/>
      </c>
      <c r="E289" s="10">
        <f>IF($C289="","",IFERROR(INDEX(lst_JobName,MATCH($C289&amp;"",lst_Jobs,0)),""))</f>
        <v/>
      </c>
      <c r="F289" s="37" t="n"/>
      <c r="G289" s="37" t="n"/>
      <c r="H289" s="37" t="n"/>
      <c r="I289" s="37" t="n"/>
      <c r="J289" s="37" t="n"/>
      <c r="K289" s="38">
        <f>IF($C289="","",IFERROR(N(INDEX(tbl_Finance[Invoice Count],MATCH($AE289,tbl_Finance[Row ID],0))),""))</f>
        <v/>
      </c>
      <c r="L289" s="11">
        <f>IF($C289="","",IFERROR(N(INDEX(tbl_Finance[Xero Invoiced Ex GST],MATCH($AE289,tbl_Finance[Row ID],0))),""))</f>
        <v/>
      </c>
      <c r="M289" s="10">
        <f>IF($C289="","",IFERROR(INDEX(tbl_Finance[Compare],MATCH($AE289,tbl_Finance[Row ID],0))&amp;"",""))</f>
        <v/>
      </c>
      <c r="N289" s="11">
        <f>IF($C289="","",MAX(0,N(O289)-N(L289)))</f>
        <v/>
      </c>
      <c r="O289" s="39" t="n"/>
      <c r="P289" s="40">
        <f>IF($C289="","",IF((IF(F289="",", Client","")&amp;IF(G289="",", Description","")&amp;IF(H289="",", Cost Centre","")&amp;IF(I289="",", Invoice Type","")&amp;IF(J289="",", Tax Code","")&amp;IF(O289="",", Expected Revenue","")&amp;IF(COUNTIF(tbl_Finance[Job Number],$C289&amp;"")&gt;1,", Job number used twice",""))="","Complete","Fix: "&amp;MID(IF(F289="",", Client","")&amp;IF(G289="",", Description","")&amp;IF(H289="",", Cost Centre","")&amp;IF(I289="",", Invoice Type","")&amp;IF(J289="",", Tax Code","")&amp;IF(O289="",", Expected Revenue","")&amp;IF(COUNTIF(tbl_Finance[Job Number],$C289&amp;"")&gt;1,", Job number used twice",""),3,300)))</f>
        <v/>
      </c>
      <c r="Q289" s="10">
        <f>IF($C289="","",IF(H289="","(no cost centre)",H289&amp;" - GL "&amp;IFERROR(INDEX(lst_CCtoGL,MATCH(H289,lst_CCforGL,0)),"?")))</f>
        <v/>
      </c>
      <c r="R289" s="37" t="n"/>
      <c r="S289" s="10">
        <f>IF(R289="","",HYPERLINK(IF(LEFT(R289,4)="http",R289,set_QwilrBase&amp;R289),"Open quote"))</f>
        <v/>
      </c>
      <c r="T289" s="39" t="n"/>
      <c r="U289" s="39" t="n"/>
      <c r="V289" s="39" t="n"/>
      <c r="W289" s="10">
        <f>IF(C289="","",IF(N(T289)+N(U289)+N(V289)=0,"Not split",IF(ROUND(N(T289)+N(U289)+N(V289),2)=ROUND(MAX(N(L289),N(O289)),2),"OK","MISMATCH")))</f>
        <v/>
      </c>
      <c r="X289" s="39" t="n"/>
      <c r="Y289" s="39" t="n"/>
      <c r="Z289" s="39" t="n"/>
      <c r="AA289" s="11">
        <f>IF(C289="","",N(X289)+N(Y289)+N(Z289))</f>
        <v/>
      </c>
      <c r="AB289" s="11">
        <f>IF(C289="","",MAX(N(L289),N(O289))-N(AA289))</f>
        <v/>
      </c>
      <c r="AC289" s="43">
        <f>IFERROR(IF(MAX(N(L289),N(O289))=0,"",AB289/MAX(N(L289),N(O289))),"")</f>
        <v/>
      </c>
      <c r="AD289" s="37" t="n"/>
      <c r="AE289" s="10" t="inlineStr">
        <is>
          <t>CON-0285</t>
        </is>
      </c>
    </row>
    <row r="290">
      <c r="A290" s="16">
        <f>IF($C290="","",IFERROR(IF(INDEX(tbl_Finance[Latest Invoice Date],MATCH($AE290,tbl_Finance[Row ID],0))="","",INDEX(tbl_Finance[Latest Invoice Date],MATCH($AE290,tbl_Finance[Row ID],0))),""))</f>
        <v/>
      </c>
      <c r="B290" s="10">
        <f>IF($C290="","",IFERROR(INDEX(tbl_Finance[Invoice Numbers],MATCH($AE290,tbl_Finance[Row ID],0))&amp;"",""))</f>
        <v/>
      </c>
      <c r="C290" s="37" t="n"/>
      <c r="D290" s="10">
        <f>IF($C290="","",IF(COUNTIF(lst_Jobs,$C290&amp;"")&gt;0,"OK","CHECK"))</f>
        <v/>
      </c>
      <c r="E290" s="10">
        <f>IF($C290="","",IFERROR(INDEX(lst_JobName,MATCH($C290&amp;"",lst_Jobs,0)),""))</f>
        <v/>
      </c>
      <c r="F290" s="37" t="n"/>
      <c r="G290" s="37" t="n"/>
      <c r="H290" s="37" t="n"/>
      <c r="I290" s="37" t="n"/>
      <c r="J290" s="37" t="n"/>
      <c r="K290" s="38">
        <f>IF($C290="","",IFERROR(N(INDEX(tbl_Finance[Invoice Count],MATCH($AE290,tbl_Finance[Row ID],0))),""))</f>
        <v/>
      </c>
      <c r="L290" s="11">
        <f>IF($C290="","",IFERROR(N(INDEX(tbl_Finance[Xero Invoiced Ex GST],MATCH($AE290,tbl_Finance[Row ID],0))),""))</f>
        <v/>
      </c>
      <c r="M290" s="10">
        <f>IF($C290="","",IFERROR(INDEX(tbl_Finance[Compare],MATCH($AE290,tbl_Finance[Row ID],0))&amp;"",""))</f>
        <v/>
      </c>
      <c r="N290" s="11">
        <f>IF($C290="","",MAX(0,N(O290)-N(L290)))</f>
        <v/>
      </c>
      <c r="O290" s="39" t="n"/>
      <c r="P290" s="40">
        <f>IF($C290="","",IF((IF(F290="",", Client","")&amp;IF(G290="",", Description","")&amp;IF(H290="",", Cost Centre","")&amp;IF(I290="",", Invoice Type","")&amp;IF(J290="",", Tax Code","")&amp;IF(O290="",", Expected Revenue","")&amp;IF(COUNTIF(tbl_Finance[Job Number],$C290&amp;"")&gt;1,", Job number used twice",""))="","Complete","Fix: "&amp;MID(IF(F290="",", Client","")&amp;IF(G290="",", Description","")&amp;IF(H290="",", Cost Centre","")&amp;IF(I290="",", Invoice Type","")&amp;IF(J290="",", Tax Code","")&amp;IF(O290="",", Expected Revenue","")&amp;IF(COUNTIF(tbl_Finance[Job Number],$C290&amp;"")&gt;1,", Job number used twice",""),3,300)))</f>
        <v/>
      </c>
      <c r="Q290" s="10">
        <f>IF($C290="","",IF(H290="","(no cost centre)",H290&amp;" - GL "&amp;IFERROR(INDEX(lst_CCtoGL,MATCH(H290,lst_CCforGL,0)),"?")))</f>
        <v/>
      </c>
      <c r="R290" s="37" t="n"/>
      <c r="S290" s="10">
        <f>IF(R290="","",HYPERLINK(IF(LEFT(R290,4)="http",R290,set_QwilrBase&amp;R290),"Open quote"))</f>
        <v/>
      </c>
      <c r="T290" s="39" t="n"/>
      <c r="U290" s="39" t="n"/>
      <c r="V290" s="39" t="n"/>
      <c r="W290" s="10">
        <f>IF(C290="","",IF(N(T290)+N(U290)+N(V290)=0,"Not split",IF(ROUND(N(T290)+N(U290)+N(V290),2)=ROUND(MAX(N(L290),N(O290)),2),"OK","MISMATCH")))</f>
        <v/>
      </c>
      <c r="X290" s="39" t="n"/>
      <c r="Y290" s="39" t="n"/>
      <c r="Z290" s="39" t="n"/>
      <c r="AA290" s="11">
        <f>IF(C290="","",N(X290)+N(Y290)+N(Z290))</f>
        <v/>
      </c>
      <c r="AB290" s="11">
        <f>IF(C290="","",MAX(N(L290),N(O290))-N(AA290))</f>
        <v/>
      </c>
      <c r="AC290" s="43">
        <f>IFERROR(IF(MAX(N(L290),N(O290))=0,"",AB290/MAX(N(L290),N(O290))),"")</f>
        <v/>
      </c>
      <c r="AD290" s="37" t="n"/>
      <c r="AE290" s="10" t="inlineStr">
        <is>
          <t>CON-0286</t>
        </is>
      </c>
    </row>
    <row r="291">
      <c r="A291" s="16">
        <f>IF($C291="","",IFERROR(IF(INDEX(tbl_Finance[Latest Invoice Date],MATCH($AE291,tbl_Finance[Row ID],0))="","",INDEX(tbl_Finance[Latest Invoice Date],MATCH($AE291,tbl_Finance[Row ID],0))),""))</f>
        <v/>
      </c>
      <c r="B291" s="10">
        <f>IF($C291="","",IFERROR(INDEX(tbl_Finance[Invoice Numbers],MATCH($AE291,tbl_Finance[Row ID],0))&amp;"",""))</f>
        <v/>
      </c>
      <c r="C291" s="37" t="n"/>
      <c r="D291" s="10">
        <f>IF($C291="","",IF(COUNTIF(lst_Jobs,$C291&amp;"")&gt;0,"OK","CHECK"))</f>
        <v/>
      </c>
      <c r="E291" s="10">
        <f>IF($C291="","",IFERROR(INDEX(lst_JobName,MATCH($C291&amp;"",lst_Jobs,0)),""))</f>
        <v/>
      </c>
      <c r="F291" s="37" t="n"/>
      <c r="G291" s="37" t="n"/>
      <c r="H291" s="37" t="n"/>
      <c r="I291" s="37" t="n"/>
      <c r="J291" s="37" t="n"/>
      <c r="K291" s="38">
        <f>IF($C291="","",IFERROR(N(INDEX(tbl_Finance[Invoice Count],MATCH($AE291,tbl_Finance[Row ID],0))),""))</f>
        <v/>
      </c>
      <c r="L291" s="11">
        <f>IF($C291="","",IFERROR(N(INDEX(tbl_Finance[Xero Invoiced Ex GST],MATCH($AE291,tbl_Finance[Row ID],0))),""))</f>
        <v/>
      </c>
      <c r="M291" s="10">
        <f>IF($C291="","",IFERROR(INDEX(tbl_Finance[Compare],MATCH($AE291,tbl_Finance[Row ID],0))&amp;"",""))</f>
        <v/>
      </c>
      <c r="N291" s="11">
        <f>IF($C291="","",MAX(0,N(O291)-N(L291)))</f>
        <v/>
      </c>
      <c r="O291" s="39" t="n"/>
      <c r="P291" s="40">
        <f>IF($C291="","",IF((IF(F291="",", Client","")&amp;IF(G291="",", Description","")&amp;IF(H291="",", Cost Centre","")&amp;IF(I291="",", Invoice Type","")&amp;IF(J291="",", Tax Code","")&amp;IF(O291="",", Expected Revenue","")&amp;IF(COUNTIF(tbl_Finance[Job Number],$C291&amp;"")&gt;1,", Job number used twice",""))="","Complete","Fix: "&amp;MID(IF(F291="",", Client","")&amp;IF(G291="",", Description","")&amp;IF(H291="",", Cost Centre","")&amp;IF(I291="",", Invoice Type","")&amp;IF(J291="",", Tax Code","")&amp;IF(O291="",", Expected Revenue","")&amp;IF(COUNTIF(tbl_Finance[Job Number],$C291&amp;"")&gt;1,", Job number used twice",""),3,300)))</f>
        <v/>
      </c>
      <c r="Q291" s="10">
        <f>IF($C291="","",IF(H291="","(no cost centre)",H291&amp;" - GL "&amp;IFERROR(INDEX(lst_CCtoGL,MATCH(H291,lst_CCforGL,0)),"?")))</f>
        <v/>
      </c>
      <c r="R291" s="37" t="n"/>
      <c r="S291" s="10">
        <f>IF(R291="","",HYPERLINK(IF(LEFT(R291,4)="http",R291,set_QwilrBase&amp;R291),"Open quote"))</f>
        <v/>
      </c>
      <c r="T291" s="39" t="n"/>
      <c r="U291" s="39" t="n"/>
      <c r="V291" s="39" t="n"/>
      <c r="W291" s="10">
        <f>IF(C291="","",IF(N(T291)+N(U291)+N(V291)=0,"Not split",IF(ROUND(N(T291)+N(U291)+N(V291),2)=ROUND(MAX(N(L291),N(O291)),2),"OK","MISMATCH")))</f>
        <v/>
      </c>
      <c r="X291" s="39" t="n"/>
      <c r="Y291" s="39" t="n"/>
      <c r="Z291" s="39" t="n"/>
      <c r="AA291" s="11">
        <f>IF(C291="","",N(X291)+N(Y291)+N(Z291))</f>
        <v/>
      </c>
      <c r="AB291" s="11">
        <f>IF(C291="","",MAX(N(L291),N(O291))-N(AA291))</f>
        <v/>
      </c>
      <c r="AC291" s="43">
        <f>IFERROR(IF(MAX(N(L291),N(O291))=0,"",AB291/MAX(N(L291),N(O291))),"")</f>
        <v/>
      </c>
      <c r="AD291" s="37" t="n"/>
      <c r="AE291" s="10" t="inlineStr">
        <is>
          <t>CON-0287</t>
        </is>
      </c>
    </row>
    <row r="292">
      <c r="A292" s="16">
        <f>IF($C292="","",IFERROR(IF(INDEX(tbl_Finance[Latest Invoice Date],MATCH($AE292,tbl_Finance[Row ID],0))="","",INDEX(tbl_Finance[Latest Invoice Date],MATCH($AE292,tbl_Finance[Row ID],0))),""))</f>
        <v/>
      </c>
      <c r="B292" s="10">
        <f>IF($C292="","",IFERROR(INDEX(tbl_Finance[Invoice Numbers],MATCH($AE292,tbl_Finance[Row ID],0))&amp;"",""))</f>
        <v/>
      </c>
      <c r="C292" s="37" t="n"/>
      <c r="D292" s="10">
        <f>IF($C292="","",IF(COUNTIF(lst_Jobs,$C292&amp;"")&gt;0,"OK","CHECK"))</f>
        <v/>
      </c>
      <c r="E292" s="10">
        <f>IF($C292="","",IFERROR(INDEX(lst_JobName,MATCH($C292&amp;"",lst_Jobs,0)),""))</f>
        <v/>
      </c>
      <c r="F292" s="37" t="n"/>
      <c r="G292" s="37" t="n"/>
      <c r="H292" s="37" t="n"/>
      <c r="I292" s="37" t="n"/>
      <c r="J292" s="37" t="n"/>
      <c r="K292" s="38">
        <f>IF($C292="","",IFERROR(N(INDEX(tbl_Finance[Invoice Count],MATCH($AE292,tbl_Finance[Row ID],0))),""))</f>
        <v/>
      </c>
      <c r="L292" s="11">
        <f>IF($C292="","",IFERROR(N(INDEX(tbl_Finance[Xero Invoiced Ex GST],MATCH($AE292,tbl_Finance[Row ID],0))),""))</f>
        <v/>
      </c>
      <c r="M292" s="10">
        <f>IF($C292="","",IFERROR(INDEX(tbl_Finance[Compare],MATCH($AE292,tbl_Finance[Row ID],0))&amp;"",""))</f>
        <v/>
      </c>
      <c r="N292" s="11">
        <f>IF($C292="","",MAX(0,N(O292)-N(L292)))</f>
        <v/>
      </c>
      <c r="O292" s="39" t="n"/>
      <c r="P292" s="40">
        <f>IF($C292="","",IF((IF(F292="",", Client","")&amp;IF(G292="",", Description","")&amp;IF(H292="",", Cost Centre","")&amp;IF(I292="",", Invoice Type","")&amp;IF(J292="",", Tax Code","")&amp;IF(O292="",", Expected Revenue","")&amp;IF(COUNTIF(tbl_Finance[Job Number],$C292&amp;"")&gt;1,", Job number used twice",""))="","Complete","Fix: "&amp;MID(IF(F292="",", Client","")&amp;IF(G292="",", Description","")&amp;IF(H292="",", Cost Centre","")&amp;IF(I292="",", Invoice Type","")&amp;IF(J292="",", Tax Code","")&amp;IF(O292="",", Expected Revenue","")&amp;IF(COUNTIF(tbl_Finance[Job Number],$C292&amp;"")&gt;1,", Job number used twice",""),3,300)))</f>
        <v/>
      </c>
      <c r="Q292" s="10">
        <f>IF($C292="","",IF(H292="","(no cost centre)",H292&amp;" - GL "&amp;IFERROR(INDEX(lst_CCtoGL,MATCH(H292,lst_CCforGL,0)),"?")))</f>
        <v/>
      </c>
      <c r="R292" s="37" t="n"/>
      <c r="S292" s="10">
        <f>IF(R292="","",HYPERLINK(IF(LEFT(R292,4)="http",R292,set_QwilrBase&amp;R292),"Open quote"))</f>
        <v/>
      </c>
      <c r="T292" s="39" t="n"/>
      <c r="U292" s="39" t="n"/>
      <c r="V292" s="39" t="n"/>
      <c r="W292" s="10">
        <f>IF(C292="","",IF(N(T292)+N(U292)+N(V292)=0,"Not split",IF(ROUND(N(T292)+N(U292)+N(V292),2)=ROUND(MAX(N(L292),N(O292)),2),"OK","MISMATCH")))</f>
        <v/>
      </c>
      <c r="X292" s="39" t="n"/>
      <c r="Y292" s="39" t="n"/>
      <c r="Z292" s="39" t="n"/>
      <c r="AA292" s="11">
        <f>IF(C292="","",N(X292)+N(Y292)+N(Z292))</f>
        <v/>
      </c>
      <c r="AB292" s="11">
        <f>IF(C292="","",MAX(N(L292),N(O292))-N(AA292))</f>
        <v/>
      </c>
      <c r="AC292" s="43">
        <f>IFERROR(IF(MAX(N(L292),N(O292))=0,"",AB292/MAX(N(L292),N(O292))),"")</f>
        <v/>
      </c>
      <c r="AD292" s="37" t="n"/>
      <c r="AE292" s="10" t="inlineStr">
        <is>
          <t>CON-0288</t>
        </is>
      </c>
    </row>
    <row r="293">
      <c r="A293" s="16">
        <f>IF($C293="","",IFERROR(IF(INDEX(tbl_Finance[Latest Invoice Date],MATCH($AE293,tbl_Finance[Row ID],0))="","",INDEX(tbl_Finance[Latest Invoice Date],MATCH($AE293,tbl_Finance[Row ID],0))),""))</f>
        <v/>
      </c>
      <c r="B293" s="10">
        <f>IF($C293="","",IFERROR(INDEX(tbl_Finance[Invoice Numbers],MATCH($AE293,tbl_Finance[Row ID],0))&amp;"",""))</f>
        <v/>
      </c>
      <c r="C293" s="37" t="n"/>
      <c r="D293" s="10">
        <f>IF($C293="","",IF(COUNTIF(lst_Jobs,$C293&amp;"")&gt;0,"OK","CHECK"))</f>
        <v/>
      </c>
      <c r="E293" s="10">
        <f>IF($C293="","",IFERROR(INDEX(lst_JobName,MATCH($C293&amp;"",lst_Jobs,0)),""))</f>
        <v/>
      </c>
      <c r="F293" s="37" t="n"/>
      <c r="G293" s="37" t="n"/>
      <c r="H293" s="37" t="n"/>
      <c r="I293" s="37" t="n"/>
      <c r="J293" s="37" t="n"/>
      <c r="K293" s="38">
        <f>IF($C293="","",IFERROR(N(INDEX(tbl_Finance[Invoice Count],MATCH($AE293,tbl_Finance[Row ID],0))),""))</f>
        <v/>
      </c>
      <c r="L293" s="11">
        <f>IF($C293="","",IFERROR(N(INDEX(tbl_Finance[Xero Invoiced Ex GST],MATCH($AE293,tbl_Finance[Row ID],0))),""))</f>
        <v/>
      </c>
      <c r="M293" s="10">
        <f>IF($C293="","",IFERROR(INDEX(tbl_Finance[Compare],MATCH($AE293,tbl_Finance[Row ID],0))&amp;"",""))</f>
        <v/>
      </c>
      <c r="N293" s="11">
        <f>IF($C293="","",MAX(0,N(O293)-N(L293)))</f>
        <v/>
      </c>
      <c r="O293" s="39" t="n"/>
      <c r="P293" s="40">
        <f>IF($C293="","",IF((IF(F293="",", Client","")&amp;IF(G293="",", Description","")&amp;IF(H293="",", Cost Centre","")&amp;IF(I293="",", Invoice Type","")&amp;IF(J293="",", Tax Code","")&amp;IF(O293="",", Expected Revenue","")&amp;IF(COUNTIF(tbl_Finance[Job Number],$C293&amp;"")&gt;1,", Job number used twice",""))="","Complete","Fix: "&amp;MID(IF(F293="",", Client","")&amp;IF(G293="",", Description","")&amp;IF(H293="",", Cost Centre","")&amp;IF(I293="",", Invoice Type","")&amp;IF(J293="",", Tax Code","")&amp;IF(O293="",", Expected Revenue","")&amp;IF(COUNTIF(tbl_Finance[Job Number],$C293&amp;"")&gt;1,", Job number used twice",""),3,300)))</f>
        <v/>
      </c>
      <c r="Q293" s="10">
        <f>IF($C293="","",IF(H293="","(no cost centre)",H293&amp;" - GL "&amp;IFERROR(INDEX(lst_CCtoGL,MATCH(H293,lst_CCforGL,0)),"?")))</f>
        <v/>
      </c>
      <c r="R293" s="37" t="n"/>
      <c r="S293" s="10">
        <f>IF(R293="","",HYPERLINK(IF(LEFT(R293,4)="http",R293,set_QwilrBase&amp;R293),"Open quote"))</f>
        <v/>
      </c>
      <c r="T293" s="39" t="n"/>
      <c r="U293" s="39" t="n"/>
      <c r="V293" s="39" t="n"/>
      <c r="W293" s="10">
        <f>IF(C293="","",IF(N(T293)+N(U293)+N(V293)=0,"Not split",IF(ROUND(N(T293)+N(U293)+N(V293),2)=ROUND(MAX(N(L293),N(O293)),2),"OK","MISMATCH")))</f>
        <v/>
      </c>
      <c r="X293" s="39" t="n"/>
      <c r="Y293" s="39" t="n"/>
      <c r="Z293" s="39" t="n"/>
      <c r="AA293" s="11">
        <f>IF(C293="","",N(X293)+N(Y293)+N(Z293))</f>
        <v/>
      </c>
      <c r="AB293" s="11">
        <f>IF(C293="","",MAX(N(L293),N(O293))-N(AA293))</f>
        <v/>
      </c>
      <c r="AC293" s="43">
        <f>IFERROR(IF(MAX(N(L293),N(O293))=0,"",AB293/MAX(N(L293),N(O293))),"")</f>
        <v/>
      </c>
      <c r="AD293" s="37" t="n"/>
      <c r="AE293" s="10" t="inlineStr">
        <is>
          <t>CON-0289</t>
        </is>
      </c>
    </row>
    <row r="294">
      <c r="A294" s="16">
        <f>IF($C294="","",IFERROR(IF(INDEX(tbl_Finance[Latest Invoice Date],MATCH($AE294,tbl_Finance[Row ID],0))="","",INDEX(tbl_Finance[Latest Invoice Date],MATCH($AE294,tbl_Finance[Row ID],0))),""))</f>
        <v/>
      </c>
      <c r="B294" s="10">
        <f>IF($C294="","",IFERROR(INDEX(tbl_Finance[Invoice Numbers],MATCH($AE294,tbl_Finance[Row ID],0))&amp;"",""))</f>
        <v/>
      </c>
      <c r="C294" s="37" t="n"/>
      <c r="D294" s="10">
        <f>IF($C294="","",IF(COUNTIF(lst_Jobs,$C294&amp;"")&gt;0,"OK","CHECK"))</f>
        <v/>
      </c>
      <c r="E294" s="10">
        <f>IF($C294="","",IFERROR(INDEX(lst_JobName,MATCH($C294&amp;"",lst_Jobs,0)),""))</f>
        <v/>
      </c>
      <c r="F294" s="37" t="n"/>
      <c r="G294" s="37" t="n"/>
      <c r="H294" s="37" t="n"/>
      <c r="I294" s="37" t="n"/>
      <c r="J294" s="37" t="n"/>
      <c r="K294" s="38">
        <f>IF($C294="","",IFERROR(N(INDEX(tbl_Finance[Invoice Count],MATCH($AE294,tbl_Finance[Row ID],0))),""))</f>
        <v/>
      </c>
      <c r="L294" s="11">
        <f>IF($C294="","",IFERROR(N(INDEX(tbl_Finance[Xero Invoiced Ex GST],MATCH($AE294,tbl_Finance[Row ID],0))),""))</f>
        <v/>
      </c>
      <c r="M294" s="10">
        <f>IF($C294="","",IFERROR(INDEX(tbl_Finance[Compare],MATCH($AE294,tbl_Finance[Row ID],0))&amp;"",""))</f>
        <v/>
      </c>
      <c r="N294" s="11">
        <f>IF($C294="","",MAX(0,N(O294)-N(L294)))</f>
        <v/>
      </c>
      <c r="O294" s="39" t="n"/>
      <c r="P294" s="40">
        <f>IF($C294="","",IF((IF(F294="",", Client","")&amp;IF(G294="",", Description","")&amp;IF(H294="",", Cost Centre","")&amp;IF(I294="",", Invoice Type","")&amp;IF(J294="",", Tax Code","")&amp;IF(O294="",", Expected Revenue","")&amp;IF(COUNTIF(tbl_Finance[Job Number],$C294&amp;"")&gt;1,", Job number used twice",""))="","Complete","Fix: "&amp;MID(IF(F294="",", Client","")&amp;IF(G294="",", Description","")&amp;IF(H294="",", Cost Centre","")&amp;IF(I294="",", Invoice Type","")&amp;IF(J294="",", Tax Code","")&amp;IF(O294="",", Expected Revenue","")&amp;IF(COUNTIF(tbl_Finance[Job Number],$C294&amp;"")&gt;1,", Job number used twice",""),3,300)))</f>
        <v/>
      </c>
      <c r="Q294" s="10">
        <f>IF($C294="","",IF(H294="","(no cost centre)",H294&amp;" - GL "&amp;IFERROR(INDEX(lst_CCtoGL,MATCH(H294,lst_CCforGL,0)),"?")))</f>
        <v/>
      </c>
      <c r="R294" s="37" t="n"/>
      <c r="S294" s="10">
        <f>IF(R294="","",HYPERLINK(IF(LEFT(R294,4)="http",R294,set_QwilrBase&amp;R294),"Open quote"))</f>
        <v/>
      </c>
      <c r="T294" s="39" t="n"/>
      <c r="U294" s="39" t="n"/>
      <c r="V294" s="39" t="n"/>
      <c r="W294" s="10">
        <f>IF(C294="","",IF(N(T294)+N(U294)+N(V294)=0,"Not split",IF(ROUND(N(T294)+N(U294)+N(V294),2)=ROUND(MAX(N(L294),N(O294)),2),"OK","MISMATCH")))</f>
        <v/>
      </c>
      <c r="X294" s="39" t="n"/>
      <c r="Y294" s="39" t="n"/>
      <c r="Z294" s="39" t="n"/>
      <c r="AA294" s="11">
        <f>IF(C294="","",N(X294)+N(Y294)+N(Z294))</f>
        <v/>
      </c>
      <c r="AB294" s="11">
        <f>IF(C294="","",MAX(N(L294),N(O294))-N(AA294))</f>
        <v/>
      </c>
      <c r="AC294" s="43">
        <f>IFERROR(IF(MAX(N(L294),N(O294))=0,"",AB294/MAX(N(L294),N(O294))),"")</f>
        <v/>
      </c>
      <c r="AD294" s="37" t="n"/>
      <c r="AE294" s="10" t="inlineStr">
        <is>
          <t>CON-0290</t>
        </is>
      </c>
    </row>
    <row r="295">
      <c r="A295" s="16">
        <f>IF($C295="","",IFERROR(IF(INDEX(tbl_Finance[Latest Invoice Date],MATCH($AE295,tbl_Finance[Row ID],0))="","",INDEX(tbl_Finance[Latest Invoice Date],MATCH($AE295,tbl_Finance[Row ID],0))),""))</f>
        <v/>
      </c>
      <c r="B295" s="10">
        <f>IF($C295="","",IFERROR(INDEX(tbl_Finance[Invoice Numbers],MATCH($AE295,tbl_Finance[Row ID],0))&amp;"",""))</f>
        <v/>
      </c>
      <c r="C295" s="37" t="n"/>
      <c r="D295" s="10">
        <f>IF($C295="","",IF(COUNTIF(lst_Jobs,$C295&amp;"")&gt;0,"OK","CHECK"))</f>
        <v/>
      </c>
      <c r="E295" s="10">
        <f>IF($C295="","",IFERROR(INDEX(lst_JobName,MATCH($C295&amp;"",lst_Jobs,0)),""))</f>
        <v/>
      </c>
      <c r="F295" s="37" t="n"/>
      <c r="G295" s="37" t="n"/>
      <c r="H295" s="37" t="n"/>
      <c r="I295" s="37" t="n"/>
      <c r="J295" s="37" t="n"/>
      <c r="K295" s="38">
        <f>IF($C295="","",IFERROR(N(INDEX(tbl_Finance[Invoice Count],MATCH($AE295,tbl_Finance[Row ID],0))),""))</f>
        <v/>
      </c>
      <c r="L295" s="11">
        <f>IF($C295="","",IFERROR(N(INDEX(tbl_Finance[Xero Invoiced Ex GST],MATCH($AE295,tbl_Finance[Row ID],0))),""))</f>
        <v/>
      </c>
      <c r="M295" s="10">
        <f>IF($C295="","",IFERROR(INDEX(tbl_Finance[Compare],MATCH($AE295,tbl_Finance[Row ID],0))&amp;"",""))</f>
        <v/>
      </c>
      <c r="N295" s="11">
        <f>IF($C295="","",MAX(0,N(O295)-N(L295)))</f>
        <v/>
      </c>
      <c r="O295" s="39" t="n"/>
      <c r="P295" s="40">
        <f>IF($C295="","",IF((IF(F295="",", Client","")&amp;IF(G295="",", Description","")&amp;IF(H295="",", Cost Centre","")&amp;IF(I295="",", Invoice Type","")&amp;IF(J295="",", Tax Code","")&amp;IF(O295="",", Expected Revenue","")&amp;IF(COUNTIF(tbl_Finance[Job Number],$C295&amp;"")&gt;1,", Job number used twice",""))="","Complete","Fix: "&amp;MID(IF(F295="",", Client","")&amp;IF(G295="",", Description","")&amp;IF(H295="",", Cost Centre","")&amp;IF(I295="",", Invoice Type","")&amp;IF(J295="",", Tax Code","")&amp;IF(O295="",", Expected Revenue","")&amp;IF(COUNTIF(tbl_Finance[Job Number],$C295&amp;"")&gt;1,", Job number used twice",""),3,300)))</f>
        <v/>
      </c>
      <c r="Q295" s="10">
        <f>IF($C295="","",IF(H295="","(no cost centre)",H295&amp;" - GL "&amp;IFERROR(INDEX(lst_CCtoGL,MATCH(H295,lst_CCforGL,0)),"?")))</f>
        <v/>
      </c>
      <c r="R295" s="37" t="n"/>
      <c r="S295" s="10">
        <f>IF(R295="","",HYPERLINK(IF(LEFT(R295,4)="http",R295,set_QwilrBase&amp;R295),"Open quote"))</f>
        <v/>
      </c>
      <c r="T295" s="39" t="n"/>
      <c r="U295" s="39" t="n"/>
      <c r="V295" s="39" t="n"/>
      <c r="W295" s="10">
        <f>IF(C295="","",IF(N(T295)+N(U295)+N(V295)=0,"Not split",IF(ROUND(N(T295)+N(U295)+N(V295),2)=ROUND(MAX(N(L295),N(O295)),2),"OK","MISMATCH")))</f>
        <v/>
      </c>
      <c r="X295" s="39" t="n"/>
      <c r="Y295" s="39" t="n"/>
      <c r="Z295" s="39" t="n"/>
      <c r="AA295" s="11">
        <f>IF(C295="","",N(X295)+N(Y295)+N(Z295))</f>
        <v/>
      </c>
      <c r="AB295" s="11">
        <f>IF(C295="","",MAX(N(L295),N(O295))-N(AA295))</f>
        <v/>
      </c>
      <c r="AC295" s="43">
        <f>IFERROR(IF(MAX(N(L295),N(O295))=0,"",AB295/MAX(N(L295),N(O295))),"")</f>
        <v/>
      </c>
      <c r="AD295" s="37" t="n"/>
      <c r="AE295" s="10" t="inlineStr">
        <is>
          <t>CON-0291</t>
        </is>
      </c>
    </row>
    <row r="296">
      <c r="A296" s="16">
        <f>IF($C296="","",IFERROR(IF(INDEX(tbl_Finance[Latest Invoice Date],MATCH($AE296,tbl_Finance[Row ID],0))="","",INDEX(tbl_Finance[Latest Invoice Date],MATCH($AE296,tbl_Finance[Row ID],0))),""))</f>
        <v/>
      </c>
      <c r="B296" s="10">
        <f>IF($C296="","",IFERROR(INDEX(tbl_Finance[Invoice Numbers],MATCH($AE296,tbl_Finance[Row ID],0))&amp;"",""))</f>
        <v/>
      </c>
      <c r="C296" s="37" t="n"/>
      <c r="D296" s="10">
        <f>IF($C296="","",IF(COUNTIF(lst_Jobs,$C296&amp;"")&gt;0,"OK","CHECK"))</f>
        <v/>
      </c>
      <c r="E296" s="10">
        <f>IF($C296="","",IFERROR(INDEX(lst_JobName,MATCH($C296&amp;"",lst_Jobs,0)),""))</f>
        <v/>
      </c>
      <c r="F296" s="37" t="n"/>
      <c r="G296" s="37" t="n"/>
      <c r="H296" s="37" t="n"/>
      <c r="I296" s="37" t="n"/>
      <c r="J296" s="37" t="n"/>
      <c r="K296" s="38">
        <f>IF($C296="","",IFERROR(N(INDEX(tbl_Finance[Invoice Count],MATCH($AE296,tbl_Finance[Row ID],0))),""))</f>
        <v/>
      </c>
      <c r="L296" s="11">
        <f>IF($C296="","",IFERROR(N(INDEX(tbl_Finance[Xero Invoiced Ex GST],MATCH($AE296,tbl_Finance[Row ID],0))),""))</f>
        <v/>
      </c>
      <c r="M296" s="10">
        <f>IF($C296="","",IFERROR(INDEX(tbl_Finance[Compare],MATCH($AE296,tbl_Finance[Row ID],0))&amp;"",""))</f>
        <v/>
      </c>
      <c r="N296" s="11">
        <f>IF($C296="","",MAX(0,N(O296)-N(L296)))</f>
        <v/>
      </c>
      <c r="O296" s="39" t="n"/>
      <c r="P296" s="40">
        <f>IF($C296="","",IF((IF(F296="",", Client","")&amp;IF(G296="",", Description","")&amp;IF(H296="",", Cost Centre","")&amp;IF(I296="",", Invoice Type","")&amp;IF(J296="",", Tax Code","")&amp;IF(O296="",", Expected Revenue","")&amp;IF(COUNTIF(tbl_Finance[Job Number],$C296&amp;"")&gt;1,", Job number used twice",""))="","Complete","Fix: "&amp;MID(IF(F296="",", Client","")&amp;IF(G296="",", Description","")&amp;IF(H296="",", Cost Centre","")&amp;IF(I296="",", Invoice Type","")&amp;IF(J296="",", Tax Code","")&amp;IF(O296="",", Expected Revenue","")&amp;IF(COUNTIF(tbl_Finance[Job Number],$C296&amp;"")&gt;1,", Job number used twice",""),3,300)))</f>
        <v/>
      </c>
      <c r="Q296" s="10">
        <f>IF($C296="","",IF(H296="","(no cost centre)",H296&amp;" - GL "&amp;IFERROR(INDEX(lst_CCtoGL,MATCH(H296,lst_CCforGL,0)),"?")))</f>
        <v/>
      </c>
      <c r="R296" s="37" t="n"/>
      <c r="S296" s="10">
        <f>IF(R296="","",HYPERLINK(IF(LEFT(R296,4)="http",R296,set_QwilrBase&amp;R296),"Open quote"))</f>
        <v/>
      </c>
      <c r="T296" s="39" t="n"/>
      <c r="U296" s="39" t="n"/>
      <c r="V296" s="39" t="n"/>
      <c r="W296" s="10">
        <f>IF(C296="","",IF(N(T296)+N(U296)+N(V296)=0,"Not split",IF(ROUND(N(T296)+N(U296)+N(V296),2)=ROUND(MAX(N(L296),N(O296)),2),"OK","MISMATCH")))</f>
        <v/>
      </c>
      <c r="X296" s="39" t="n"/>
      <c r="Y296" s="39" t="n"/>
      <c r="Z296" s="39" t="n"/>
      <c r="AA296" s="11">
        <f>IF(C296="","",N(X296)+N(Y296)+N(Z296))</f>
        <v/>
      </c>
      <c r="AB296" s="11">
        <f>IF(C296="","",MAX(N(L296),N(O296))-N(AA296))</f>
        <v/>
      </c>
      <c r="AC296" s="43">
        <f>IFERROR(IF(MAX(N(L296),N(O296))=0,"",AB296/MAX(N(L296),N(O296))),"")</f>
        <v/>
      </c>
      <c r="AD296" s="37" t="n"/>
      <c r="AE296" s="10" t="inlineStr">
        <is>
          <t>CON-0292</t>
        </is>
      </c>
    </row>
    <row r="297">
      <c r="A297" s="16">
        <f>IF($C297="","",IFERROR(IF(INDEX(tbl_Finance[Latest Invoice Date],MATCH($AE297,tbl_Finance[Row ID],0))="","",INDEX(tbl_Finance[Latest Invoice Date],MATCH($AE297,tbl_Finance[Row ID],0))),""))</f>
        <v/>
      </c>
      <c r="B297" s="10">
        <f>IF($C297="","",IFERROR(INDEX(tbl_Finance[Invoice Numbers],MATCH($AE297,tbl_Finance[Row ID],0))&amp;"",""))</f>
        <v/>
      </c>
      <c r="C297" s="37" t="n"/>
      <c r="D297" s="10">
        <f>IF($C297="","",IF(COUNTIF(lst_Jobs,$C297&amp;"")&gt;0,"OK","CHECK"))</f>
        <v/>
      </c>
      <c r="E297" s="10">
        <f>IF($C297="","",IFERROR(INDEX(lst_JobName,MATCH($C297&amp;"",lst_Jobs,0)),""))</f>
        <v/>
      </c>
      <c r="F297" s="37" t="n"/>
      <c r="G297" s="37" t="n"/>
      <c r="H297" s="37" t="n"/>
      <c r="I297" s="37" t="n"/>
      <c r="J297" s="37" t="n"/>
      <c r="K297" s="38">
        <f>IF($C297="","",IFERROR(N(INDEX(tbl_Finance[Invoice Count],MATCH($AE297,tbl_Finance[Row ID],0))),""))</f>
        <v/>
      </c>
      <c r="L297" s="11">
        <f>IF($C297="","",IFERROR(N(INDEX(tbl_Finance[Xero Invoiced Ex GST],MATCH($AE297,tbl_Finance[Row ID],0))),""))</f>
        <v/>
      </c>
      <c r="M297" s="10">
        <f>IF($C297="","",IFERROR(INDEX(tbl_Finance[Compare],MATCH($AE297,tbl_Finance[Row ID],0))&amp;"",""))</f>
        <v/>
      </c>
      <c r="N297" s="11">
        <f>IF($C297="","",MAX(0,N(O297)-N(L297)))</f>
        <v/>
      </c>
      <c r="O297" s="39" t="n"/>
      <c r="P297" s="40">
        <f>IF($C297="","",IF((IF(F297="",", Client","")&amp;IF(G297="",", Description","")&amp;IF(H297="",", Cost Centre","")&amp;IF(I297="",", Invoice Type","")&amp;IF(J297="",", Tax Code","")&amp;IF(O297="",", Expected Revenue","")&amp;IF(COUNTIF(tbl_Finance[Job Number],$C297&amp;"")&gt;1,", Job number used twice",""))="","Complete","Fix: "&amp;MID(IF(F297="",", Client","")&amp;IF(G297="",", Description","")&amp;IF(H297="",", Cost Centre","")&amp;IF(I297="",", Invoice Type","")&amp;IF(J297="",", Tax Code","")&amp;IF(O297="",", Expected Revenue","")&amp;IF(COUNTIF(tbl_Finance[Job Number],$C297&amp;"")&gt;1,", Job number used twice",""),3,300)))</f>
        <v/>
      </c>
      <c r="Q297" s="10">
        <f>IF($C297="","",IF(H297="","(no cost centre)",H297&amp;" - GL "&amp;IFERROR(INDEX(lst_CCtoGL,MATCH(H297,lst_CCforGL,0)),"?")))</f>
        <v/>
      </c>
      <c r="R297" s="37" t="n"/>
      <c r="S297" s="10">
        <f>IF(R297="","",HYPERLINK(IF(LEFT(R297,4)="http",R297,set_QwilrBase&amp;R297),"Open quote"))</f>
        <v/>
      </c>
      <c r="T297" s="39" t="n"/>
      <c r="U297" s="39" t="n"/>
      <c r="V297" s="39" t="n"/>
      <c r="W297" s="10">
        <f>IF(C297="","",IF(N(T297)+N(U297)+N(V297)=0,"Not split",IF(ROUND(N(T297)+N(U297)+N(V297),2)=ROUND(MAX(N(L297),N(O297)),2),"OK","MISMATCH")))</f>
        <v/>
      </c>
      <c r="X297" s="39" t="n"/>
      <c r="Y297" s="39" t="n"/>
      <c r="Z297" s="39" t="n"/>
      <c r="AA297" s="11">
        <f>IF(C297="","",N(X297)+N(Y297)+N(Z297))</f>
        <v/>
      </c>
      <c r="AB297" s="11">
        <f>IF(C297="","",MAX(N(L297),N(O297))-N(AA297))</f>
        <v/>
      </c>
      <c r="AC297" s="43">
        <f>IFERROR(IF(MAX(N(L297),N(O297))=0,"",AB297/MAX(N(L297),N(O297))),"")</f>
        <v/>
      </c>
      <c r="AD297" s="37" t="n"/>
      <c r="AE297" s="10" t="inlineStr">
        <is>
          <t>CON-0293</t>
        </is>
      </c>
    </row>
    <row r="298">
      <c r="A298" s="16">
        <f>IF($C298="","",IFERROR(IF(INDEX(tbl_Finance[Latest Invoice Date],MATCH($AE298,tbl_Finance[Row ID],0))="","",INDEX(tbl_Finance[Latest Invoice Date],MATCH($AE298,tbl_Finance[Row ID],0))),""))</f>
        <v/>
      </c>
      <c r="B298" s="10">
        <f>IF($C298="","",IFERROR(INDEX(tbl_Finance[Invoice Numbers],MATCH($AE298,tbl_Finance[Row ID],0))&amp;"",""))</f>
        <v/>
      </c>
      <c r="C298" s="37" t="n"/>
      <c r="D298" s="10">
        <f>IF($C298="","",IF(COUNTIF(lst_Jobs,$C298&amp;"")&gt;0,"OK","CHECK"))</f>
        <v/>
      </c>
      <c r="E298" s="10">
        <f>IF($C298="","",IFERROR(INDEX(lst_JobName,MATCH($C298&amp;"",lst_Jobs,0)),""))</f>
        <v/>
      </c>
      <c r="F298" s="37" t="n"/>
      <c r="G298" s="37" t="n"/>
      <c r="H298" s="37" t="n"/>
      <c r="I298" s="37" t="n"/>
      <c r="J298" s="37" t="n"/>
      <c r="K298" s="38">
        <f>IF($C298="","",IFERROR(N(INDEX(tbl_Finance[Invoice Count],MATCH($AE298,tbl_Finance[Row ID],0))),""))</f>
        <v/>
      </c>
      <c r="L298" s="11">
        <f>IF($C298="","",IFERROR(N(INDEX(tbl_Finance[Xero Invoiced Ex GST],MATCH($AE298,tbl_Finance[Row ID],0))),""))</f>
        <v/>
      </c>
      <c r="M298" s="10">
        <f>IF($C298="","",IFERROR(INDEX(tbl_Finance[Compare],MATCH($AE298,tbl_Finance[Row ID],0))&amp;"",""))</f>
        <v/>
      </c>
      <c r="N298" s="11">
        <f>IF($C298="","",MAX(0,N(O298)-N(L298)))</f>
        <v/>
      </c>
      <c r="O298" s="39" t="n"/>
      <c r="P298" s="40">
        <f>IF($C298="","",IF((IF(F298="",", Client","")&amp;IF(G298="",", Description","")&amp;IF(H298="",", Cost Centre","")&amp;IF(I298="",", Invoice Type","")&amp;IF(J298="",", Tax Code","")&amp;IF(O298="",", Expected Revenue","")&amp;IF(COUNTIF(tbl_Finance[Job Number],$C298&amp;"")&gt;1,", Job number used twice",""))="","Complete","Fix: "&amp;MID(IF(F298="",", Client","")&amp;IF(G298="",", Description","")&amp;IF(H298="",", Cost Centre","")&amp;IF(I298="",", Invoice Type","")&amp;IF(J298="",", Tax Code","")&amp;IF(O298="",", Expected Revenue","")&amp;IF(COUNTIF(tbl_Finance[Job Number],$C298&amp;"")&gt;1,", Job number used twice",""),3,300)))</f>
        <v/>
      </c>
      <c r="Q298" s="10">
        <f>IF($C298="","",IF(H298="","(no cost centre)",H298&amp;" - GL "&amp;IFERROR(INDEX(lst_CCtoGL,MATCH(H298,lst_CCforGL,0)),"?")))</f>
        <v/>
      </c>
      <c r="R298" s="37" t="n"/>
      <c r="S298" s="10">
        <f>IF(R298="","",HYPERLINK(IF(LEFT(R298,4)="http",R298,set_QwilrBase&amp;R298),"Open quote"))</f>
        <v/>
      </c>
      <c r="T298" s="39" t="n"/>
      <c r="U298" s="39" t="n"/>
      <c r="V298" s="39" t="n"/>
      <c r="W298" s="10">
        <f>IF(C298="","",IF(N(T298)+N(U298)+N(V298)=0,"Not split",IF(ROUND(N(T298)+N(U298)+N(V298),2)=ROUND(MAX(N(L298),N(O298)),2),"OK","MISMATCH")))</f>
        <v/>
      </c>
      <c r="X298" s="39" t="n"/>
      <c r="Y298" s="39" t="n"/>
      <c r="Z298" s="39" t="n"/>
      <c r="AA298" s="11">
        <f>IF(C298="","",N(X298)+N(Y298)+N(Z298))</f>
        <v/>
      </c>
      <c r="AB298" s="11">
        <f>IF(C298="","",MAX(N(L298),N(O298))-N(AA298))</f>
        <v/>
      </c>
      <c r="AC298" s="43">
        <f>IFERROR(IF(MAX(N(L298),N(O298))=0,"",AB298/MAX(N(L298),N(O298))),"")</f>
        <v/>
      </c>
      <c r="AD298" s="37" t="n"/>
      <c r="AE298" s="10" t="inlineStr">
        <is>
          <t>CON-0294</t>
        </is>
      </c>
    </row>
    <row r="299">
      <c r="A299" s="16">
        <f>IF($C299="","",IFERROR(IF(INDEX(tbl_Finance[Latest Invoice Date],MATCH($AE299,tbl_Finance[Row ID],0))="","",INDEX(tbl_Finance[Latest Invoice Date],MATCH($AE299,tbl_Finance[Row ID],0))),""))</f>
        <v/>
      </c>
      <c r="B299" s="10">
        <f>IF($C299="","",IFERROR(INDEX(tbl_Finance[Invoice Numbers],MATCH($AE299,tbl_Finance[Row ID],0))&amp;"",""))</f>
        <v/>
      </c>
      <c r="C299" s="37" t="n"/>
      <c r="D299" s="10">
        <f>IF($C299="","",IF(COUNTIF(lst_Jobs,$C299&amp;"")&gt;0,"OK","CHECK"))</f>
        <v/>
      </c>
      <c r="E299" s="10">
        <f>IF($C299="","",IFERROR(INDEX(lst_JobName,MATCH($C299&amp;"",lst_Jobs,0)),""))</f>
        <v/>
      </c>
      <c r="F299" s="37" t="n"/>
      <c r="G299" s="37" t="n"/>
      <c r="H299" s="37" t="n"/>
      <c r="I299" s="37" t="n"/>
      <c r="J299" s="37" t="n"/>
      <c r="K299" s="38">
        <f>IF($C299="","",IFERROR(N(INDEX(tbl_Finance[Invoice Count],MATCH($AE299,tbl_Finance[Row ID],0))),""))</f>
        <v/>
      </c>
      <c r="L299" s="11">
        <f>IF($C299="","",IFERROR(N(INDEX(tbl_Finance[Xero Invoiced Ex GST],MATCH($AE299,tbl_Finance[Row ID],0))),""))</f>
        <v/>
      </c>
      <c r="M299" s="10">
        <f>IF($C299="","",IFERROR(INDEX(tbl_Finance[Compare],MATCH($AE299,tbl_Finance[Row ID],0))&amp;"",""))</f>
        <v/>
      </c>
      <c r="N299" s="11">
        <f>IF($C299="","",MAX(0,N(O299)-N(L299)))</f>
        <v/>
      </c>
      <c r="O299" s="39" t="n"/>
      <c r="P299" s="40">
        <f>IF($C299="","",IF((IF(F299="",", Client","")&amp;IF(G299="",", Description","")&amp;IF(H299="",", Cost Centre","")&amp;IF(I299="",", Invoice Type","")&amp;IF(J299="",", Tax Code","")&amp;IF(O299="",", Expected Revenue","")&amp;IF(COUNTIF(tbl_Finance[Job Number],$C299&amp;"")&gt;1,", Job number used twice",""))="","Complete","Fix: "&amp;MID(IF(F299="",", Client","")&amp;IF(G299="",", Description","")&amp;IF(H299="",", Cost Centre","")&amp;IF(I299="",", Invoice Type","")&amp;IF(J299="",", Tax Code","")&amp;IF(O299="",", Expected Revenue","")&amp;IF(COUNTIF(tbl_Finance[Job Number],$C299&amp;"")&gt;1,", Job number used twice",""),3,300)))</f>
        <v/>
      </c>
      <c r="Q299" s="10">
        <f>IF($C299="","",IF(H299="","(no cost centre)",H299&amp;" - GL "&amp;IFERROR(INDEX(lst_CCtoGL,MATCH(H299,lst_CCforGL,0)),"?")))</f>
        <v/>
      </c>
      <c r="R299" s="37" t="n"/>
      <c r="S299" s="10">
        <f>IF(R299="","",HYPERLINK(IF(LEFT(R299,4)="http",R299,set_QwilrBase&amp;R299),"Open quote"))</f>
        <v/>
      </c>
      <c r="T299" s="39" t="n"/>
      <c r="U299" s="39" t="n"/>
      <c r="V299" s="39" t="n"/>
      <c r="W299" s="10">
        <f>IF(C299="","",IF(N(T299)+N(U299)+N(V299)=0,"Not split",IF(ROUND(N(T299)+N(U299)+N(V299),2)=ROUND(MAX(N(L299),N(O299)),2),"OK","MISMATCH")))</f>
        <v/>
      </c>
      <c r="X299" s="39" t="n"/>
      <c r="Y299" s="39" t="n"/>
      <c r="Z299" s="39" t="n"/>
      <c r="AA299" s="11">
        <f>IF(C299="","",N(X299)+N(Y299)+N(Z299))</f>
        <v/>
      </c>
      <c r="AB299" s="11">
        <f>IF(C299="","",MAX(N(L299),N(O299))-N(AA299))</f>
        <v/>
      </c>
      <c r="AC299" s="43">
        <f>IFERROR(IF(MAX(N(L299),N(O299))=0,"",AB299/MAX(N(L299),N(O299))),"")</f>
        <v/>
      </c>
      <c r="AD299" s="37" t="n"/>
      <c r="AE299" s="10" t="inlineStr">
        <is>
          <t>CON-0295</t>
        </is>
      </c>
    </row>
    <row r="300">
      <c r="A300" s="16">
        <f>IF($C300="","",IFERROR(IF(INDEX(tbl_Finance[Latest Invoice Date],MATCH($AE300,tbl_Finance[Row ID],0))="","",INDEX(tbl_Finance[Latest Invoice Date],MATCH($AE300,tbl_Finance[Row ID],0))),""))</f>
        <v/>
      </c>
      <c r="B300" s="10">
        <f>IF($C300="","",IFERROR(INDEX(tbl_Finance[Invoice Numbers],MATCH($AE300,tbl_Finance[Row ID],0))&amp;"",""))</f>
        <v/>
      </c>
      <c r="C300" s="37" t="n"/>
      <c r="D300" s="10">
        <f>IF($C300="","",IF(COUNTIF(lst_Jobs,$C300&amp;"")&gt;0,"OK","CHECK"))</f>
        <v/>
      </c>
      <c r="E300" s="10">
        <f>IF($C300="","",IFERROR(INDEX(lst_JobName,MATCH($C300&amp;"",lst_Jobs,0)),""))</f>
        <v/>
      </c>
      <c r="F300" s="37" t="n"/>
      <c r="G300" s="37" t="n"/>
      <c r="H300" s="37" t="n"/>
      <c r="I300" s="37" t="n"/>
      <c r="J300" s="37" t="n"/>
      <c r="K300" s="38">
        <f>IF($C300="","",IFERROR(N(INDEX(tbl_Finance[Invoice Count],MATCH($AE300,tbl_Finance[Row ID],0))),""))</f>
        <v/>
      </c>
      <c r="L300" s="11">
        <f>IF($C300="","",IFERROR(N(INDEX(tbl_Finance[Xero Invoiced Ex GST],MATCH($AE300,tbl_Finance[Row ID],0))),""))</f>
        <v/>
      </c>
      <c r="M300" s="10">
        <f>IF($C300="","",IFERROR(INDEX(tbl_Finance[Compare],MATCH($AE300,tbl_Finance[Row ID],0))&amp;"",""))</f>
        <v/>
      </c>
      <c r="N300" s="11">
        <f>IF($C300="","",MAX(0,N(O300)-N(L300)))</f>
        <v/>
      </c>
      <c r="O300" s="39" t="n"/>
      <c r="P300" s="40">
        <f>IF($C300="","",IF((IF(F300="",", Client","")&amp;IF(G300="",", Description","")&amp;IF(H300="",", Cost Centre","")&amp;IF(I300="",", Invoice Type","")&amp;IF(J300="",", Tax Code","")&amp;IF(O300="",", Expected Revenue","")&amp;IF(COUNTIF(tbl_Finance[Job Number],$C300&amp;"")&gt;1,", Job number used twice",""))="","Complete","Fix: "&amp;MID(IF(F300="",", Client","")&amp;IF(G300="",", Description","")&amp;IF(H300="",", Cost Centre","")&amp;IF(I300="",", Invoice Type","")&amp;IF(J300="",", Tax Code","")&amp;IF(O300="",", Expected Revenue","")&amp;IF(COUNTIF(tbl_Finance[Job Number],$C300&amp;"")&gt;1,", Job number used twice",""),3,300)))</f>
        <v/>
      </c>
      <c r="Q300" s="10">
        <f>IF($C300="","",IF(H300="","(no cost centre)",H300&amp;" - GL "&amp;IFERROR(INDEX(lst_CCtoGL,MATCH(H300,lst_CCforGL,0)),"?")))</f>
        <v/>
      </c>
      <c r="R300" s="37" t="n"/>
      <c r="S300" s="10">
        <f>IF(R300="","",HYPERLINK(IF(LEFT(R300,4)="http",R300,set_QwilrBase&amp;R300),"Open quote"))</f>
        <v/>
      </c>
      <c r="T300" s="39" t="n"/>
      <c r="U300" s="39" t="n"/>
      <c r="V300" s="39" t="n"/>
      <c r="W300" s="10">
        <f>IF(C300="","",IF(N(T300)+N(U300)+N(V300)=0,"Not split",IF(ROUND(N(T300)+N(U300)+N(V300),2)=ROUND(MAX(N(L300),N(O300)),2),"OK","MISMATCH")))</f>
        <v/>
      </c>
      <c r="X300" s="39" t="n"/>
      <c r="Y300" s="39" t="n"/>
      <c r="Z300" s="39" t="n"/>
      <c r="AA300" s="11">
        <f>IF(C300="","",N(X300)+N(Y300)+N(Z300))</f>
        <v/>
      </c>
      <c r="AB300" s="11">
        <f>IF(C300="","",MAX(N(L300),N(O300))-N(AA300))</f>
        <v/>
      </c>
      <c r="AC300" s="43">
        <f>IFERROR(IF(MAX(N(L300),N(O300))=0,"",AB300/MAX(N(L300),N(O300))),"")</f>
        <v/>
      </c>
      <c r="AD300" s="37" t="n"/>
      <c r="AE300" s="10" t="inlineStr">
        <is>
          <t>CON-0296</t>
        </is>
      </c>
    </row>
    <row r="301">
      <c r="A301" s="16">
        <f>IF($C301="","",IFERROR(IF(INDEX(tbl_Finance[Latest Invoice Date],MATCH($AE301,tbl_Finance[Row ID],0))="","",INDEX(tbl_Finance[Latest Invoice Date],MATCH($AE301,tbl_Finance[Row ID],0))),""))</f>
        <v/>
      </c>
      <c r="B301" s="10">
        <f>IF($C301="","",IFERROR(INDEX(tbl_Finance[Invoice Numbers],MATCH($AE301,tbl_Finance[Row ID],0))&amp;"",""))</f>
        <v/>
      </c>
      <c r="C301" s="37" t="n"/>
      <c r="D301" s="10">
        <f>IF($C301="","",IF(COUNTIF(lst_Jobs,$C301&amp;"")&gt;0,"OK","CHECK"))</f>
        <v/>
      </c>
      <c r="E301" s="10">
        <f>IF($C301="","",IFERROR(INDEX(lst_JobName,MATCH($C301&amp;"",lst_Jobs,0)),""))</f>
        <v/>
      </c>
      <c r="F301" s="37" t="n"/>
      <c r="G301" s="37" t="n"/>
      <c r="H301" s="37" t="n"/>
      <c r="I301" s="37" t="n"/>
      <c r="J301" s="37" t="n"/>
      <c r="K301" s="38">
        <f>IF($C301="","",IFERROR(N(INDEX(tbl_Finance[Invoice Count],MATCH($AE301,tbl_Finance[Row ID],0))),""))</f>
        <v/>
      </c>
      <c r="L301" s="11">
        <f>IF($C301="","",IFERROR(N(INDEX(tbl_Finance[Xero Invoiced Ex GST],MATCH($AE301,tbl_Finance[Row ID],0))),""))</f>
        <v/>
      </c>
      <c r="M301" s="10">
        <f>IF($C301="","",IFERROR(INDEX(tbl_Finance[Compare],MATCH($AE301,tbl_Finance[Row ID],0))&amp;"",""))</f>
        <v/>
      </c>
      <c r="N301" s="11">
        <f>IF($C301="","",MAX(0,N(O301)-N(L301)))</f>
        <v/>
      </c>
      <c r="O301" s="39" t="n"/>
      <c r="P301" s="40">
        <f>IF($C301="","",IF((IF(F301="",", Client","")&amp;IF(G301="",", Description","")&amp;IF(H301="",", Cost Centre","")&amp;IF(I301="",", Invoice Type","")&amp;IF(J301="",", Tax Code","")&amp;IF(O301="",", Expected Revenue","")&amp;IF(COUNTIF(tbl_Finance[Job Number],$C301&amp;"")&gt;1,", Job number used twice",""))="","Complete","Fix: "&amp;MID(IF(F301="",", Client","")&amp;IF(G301="",", Description","")&amp;IF(H301="",", Cost Centre","")&amp;IF(I301="",", Invoice Type","")&amp;IF(J301="",", Tax Code","")&amp;IF(O301="",", Expected Revenue","")&amp;IF(COUNTIF(tbl_Finance[Job Number],$C301&amp;"")&gt;1,", Job number used twice",""),3,300)))</f>
        <v/>
      </c>
      <c r="Q301" s="10">
        <f>IF($C301="","",IF(H301="","(no cost centre)",H301&amp;" - GL "&amp;IFERROR(INDEX(lst_CCtoGL,MATCH(H301,lst_CCforGL,0)),"?")))</f>
        <v/>
      </c>
      <c r="R301" s="37" t="n"/>
      <c r="S301" s="10">
        <f>IF(R301="","",HYPERLINK(IF(LEFT(R301,4)="http",R301,set_QwilrBase&amp;R301),"Open quote"))</f>
        <v/>
      </c>
      <c r="T301" s="39" t="n"/>
      <c r="U301" s="39" t="n"/>
      <c r="V301" s="39" t="n"/>
      <c r="W301" s="10">
        <f>IF(C301="","",IF(N(T301)+N(U301)+N(V301)=0,"Not split",IF(ROUND(N(T301)+N(U301)+N(V301),2)=ROUND(MAX(N(L301),N(O301)),2),"OK","MISMATCH")))</f>
        <v/>
      </c>
      <c r="X301" s="39" t="n"/>
      <c r="Y301" s="39" t="n"/>
      <c r="Z301" s="39" t="n"/>
      <c r="AA301" s="11">
        <f>IF(C301="","",N(X301)+N(Y301)+N(Z301))</f>
        <v/>
      </c>
      <c r="AB301" s="11">
        <f>IF(C301="","",MAX(N(L301),N(O301))-N(AA301))</f>
        <v/>
      </c>
      <c r="AC301" s="43">
        <f>IFERROR(IF(MAX(N(L301),N(O301))=0,"",AB301/MAX(N(L301),N(O301))),"")</f>
        <v/>
      </c>
      <c r="AD301" s="37" t="n"/>
      <c r="AE301" s="10" t="inlineStr">
        <is>
          <t>CON-0297</t>
        </is>
      </c>
    </row>
    <row r="302">
      <c r="A302" s="16">
        <f>IF($C302="","",IFERROR(IF(INDEX(tbl_Finance[Latest Invoice Date],MATCH($AE302,tbl_Finance[Row ID],0))="","",INDEX(tbl_Finance[Latest Invoice Date],MATCH($AE302,tbl_Finance[Row ID],0))),""))</f>
        <v/>
      </c>
      <c r="B302" s="10">
        <f>IF($C302="","",IFERROR(INDEX(tbl_Finance[Invoice Numbers],MATCH($AE302,tbl_Finance[Row ID],0))&amp;"",""))</f>
        <v/>
      </c>
      <c r="C302" s="37" t="n"/>
      <c r="D302" s="10">
        <f>IF($C302="","",IF(COUNTIF(lst_Jobs,$C302&amp;"")&gt;0,"OK","CHECK"))</f>
        <v/>
      </c>
      <c r="E302" s="10">
        <f>IF($C302="","",IFERROR(INDEX(lst_JobName,MATCH($C302&amp;"",lst_Jobs,0)),""))</f>
        <v/>
      </c>
      <c r="F302" s="37" t="n"/>
      <c r="G302" s="37" t="n"/>
      <c r="H302" s="37" t="n"/>
      <c r="I302" s="37" t="n"/>
      <c r="J302" s="37" t="n"/>
      <c r="K302" s="38">
        <f>IF($C302="","",IFERROR(N(INDEX(tbl_Finance[Invoice Count],MATCH($AE302,tbl_Finance[Row ID],0))),""))</f>
        <v/>
      </c>
      <c r="L302" s="11">
        <f>IF($C302="","",IFERROR(N(INDEX(tbl_Finance[Xero Invoiced Ex GST],MATCH($AE302,tbl_Finance[Row ID],0))),""))</f>
        <v/>
      </c>
      <c r="M302" s="10">
        <f>IF($C302="","",IFERROR(INDEX(tbl_Finance[Compare],MATCH($AE302,tbl_Finance[Row ID],0))&amp;"",""))</f>
        <v/>
      </c>
      <c r="N302" s="11">
        <f>IF($C302="","",MAX(0,N(O302)-N(L302)))</f>
        <v/>
      </c>
      <c r="O302" s="39" t="n"/>
      <c r="P302" s="40">
        <f>IF($C302="","",IF((IF(F302="",", Client","")&amp;IF(G302="",", Description","")&amp;IF(H302="",", Cost Centre","")&amp;IF(I302="",", Invoice Type","")&amp;IF(J302="",", Tax Code","")&amp;IF(O302="",", Expected Revenue","")&amp;IF(COUNTIF(tbl_Finance[Job Number],$C302&amp;"")&gt;1,", Job number used twice",""))="","Complete","Fix: "&amp;MID(IF(F302="",", Client","")&amp;IF(G302="",", Description","")&amp;IF(H302="",", Cost Centre","")&amp;IF(I302="",", Invoice Type","")&amp;IF(J302="",", Tax Code","")&amp;IF(O302="",", Expected Revenue","")&amp;IF(COUNTIF(tbl_Finance[Job Number],$C302&amp;"")&gt;1,", Job number used twice",""),3,300)))</f>
        <v/>
      </c>
      <c r="Q302" s="10">
        <f>IF($C302="","",IF(H302="","(no cost centre)",H302&amp;" - GL "&amp;IFERROR(INDEX(lst_CCtoGL,MATCH(H302,lst_CCforGL,0)),"?")))</f>
        <v/>
      </c>
      <c r="R302" s="37" t="n"/>
      <c r="S302" s="10">
        <f>IF(R302="","",HYPERLINK(IF(LEFT(R302,4)="http",R302,set_QwilrBase&amp;R302),"Open quote"))</f>
        <v/>
      </c>
      <c r="T302" s="39" t="n"/>
      <c r="U302" s="39" t="n"/>
      <c r="V302" s="39" t="n"/>
      <c r="W302" s="10">
        <f>IF(C302="","",IF(N(T302)+N(U302)+N(V302)=0,"Not split",IF(ROUND(N(T302)+N(U302)+N(V302),2)=ROUND(MAX(N(L302),N(O302)),2),"OK","MISMATCH")))</f>
        <v/>
      </c>
      <c r="X302" s="39" t="n"/>
      <c r="Y302" s="39" t="n"/>
      <c r="Z302" s="39" t="n"/>
      <c r="AA302" s="11">
        <f>IF(C302="","",N(X302)+N(Y302)+N(Z302))</f>
        <v/>
      </c>
      <c r="AB302" s="11">
        <f>IF(C302="","",MAX(N(L302),N(O302))-N(AA302))</f>
        <v/>
      </c>
      <c r="AC302" s="43">
        <f>IFERROR(IF(MAX(N(L302),N(O302))=0,"",AB302/MAX(N(L302),N(O302))),"")</f>
        <v/>
      </c>
      <c r="AD302" s="37" t="n"/>
      <c r="AE302" s="10" t="inlineStr">
        <is>
          <t>CON-0298</t>
        </is>
      </c>
    </row>
    <row r="303">
      <c r="A303" s="16">
        <f>IF($C303="","",IFERROR(IF(INDEX(tbl_Finance[Latest Invoice Date],MATCH($AE303,tbl_Finance[Row ID],0))="","",INDEX(tbl_Finance[Latest Invoice Date],MATCH($AE303,tbl_Finance[Row ID],0))),""))</f>
        <v/>
      </c>
      <c r="B303" s="10">
        <f>IF($C303="","",IFERROR(INDEX(tbl_Finance[Invoice Numbers],MATCH($AE303,tbl_Finance[Row ID],0))&amp;"",""))</f>
        <v/>
      </c>
      <c r="C303" s="37" t="n"/>
      <c r="D303" s="10">
        <f>IF($C303="","",IF(COUNTIF(lst_Jobs,$C303&amp;"")&gt;0,"OK","CHECK"))</f>
        <v/>
      </c>
      <c r="E303" s="10">
        <f>IF($C303="","",IFERROR(INDEX(lst_JobName,MATCH($C303&amp;"",lst_Jobs,0)),""))</f>
        <v/>
      </c>
      <c r="F303" s="37" t="n"/>
      <c r="G303" s="37" t="n"/>
      <c r="H303" s="37" t="n"/>
      <c r="I303" s="37" t="n"/>
      <c r="J303" s="37" t="n"/>
      <c r="K303" s="38">
        <f>IF($C303="","",IFERROR(N(INDEX(tbl_Finance[Invoice Count],MATCH($AE303,tbl_Finance[Row ID],0))),""))</f>
        <v/>
      </c>
      <c r="L303" s="11">
        <f>IF($C303="","",IFERROR(N(INDEX(tbl_Finance[Xero Invoiced Ex GST],MATCH($AE303,tbl_Finance[Row ID],0))),""))</f>
        <v/>
      </c>
      <c r="M303" s="10">
        <f>IF($C303="","",IFERROR(INDEX(tbl_Finance[Compare],MATCH($AE303,tbl_Finance[Row ID],0))&amp;"",""))</f>
        <v/>
      </c>
      <c r="N303" s="11">
        <f>IF($C303="","",MAX(0,N(O303)-N(L303)))</f>
        <v/>
      </c>
      <c r="O303" s="39" t="n"/>
      <c r="P303" s="40">
        <f>IF($C303="","",IF((IF(F303="",", Client","")&amp;IF(G303="",", Description","")&amp;IF(H303="",", Cost Centre","")&amp;IF(I303="",", Invoice Type","")&amp;IF(J303="",", Tax Code","")&amp;IF(O303="",", Expected Revenue","")&amp;IF(COUNTIF(tbl_Finance[Job Number],$C303&amp;"")&gt;1,", Job number used twice",""))="","Complete","Fix: "&amp;MID(IF(F303="",", Client","")&amp;IF(G303="",", Description","")&amp;IF(H303="",", Cost Centre","")&amp;IF(I303="",", Invoice Type","")&amp;IF(J303="",", Tax Code","")&amp;IF(O303="",", Expected Revenue","")&amp;IF(COUNTIF(tbl_Finance[Job Number],$C303&amp;"")&gt;1,", Job number used twice",""),3,300)))</f>
        <v/>
      </c>
      <c r="Q303" s="10">
        <f>IF($C303="","",IF(H303="","(no cost centre)",H303&amp;" - GL "&amp;IFERROR(INDEX(lst_CCtoGL,MATCH(H303,lst_CCforGL,0)),"?")))</f>
        <v/>
      </c>
      <c r="R303" s="37" t="n"/>
      <c r="S303" s="10">
        <f>IF(R303="","",HYPERLINK(IF(LEFT(R303,4)="http",R303,set_QwilrBase&amp;R303),"Open quote"))</f>
        <v/>
      </c>
      <c r="T303" s="39" t="n"/>
      <c r="U303" s="39" t="n"/>
      <c r="V303" s="39" t="n"/>
      <c r="W303" s="10">
        <f>IF(C303="","",IF(N(T303)+N(U303)+N(V303)=0,"Not split",IF(ROUND(N(T303)+N(U303)+N(V303),2)=ROUND(MAX(N(L303),N(O303)),2),"OK","MISMATCH")))</f>
        <v/>
      </c>
      <c r="X303" s="39" t="n"/>
      <c r="Y303" s="39" t="n"/>
      <c r="Z303" s="39" t="n"/>
      <c r="AA303" s="11">
        <f>IF(C303="","",N(X303)+N(Y303)+N(Z303))</f>
        <v/>
      </c>
      <c r="AB303" s="11">
        <f>IF(C303="","",MAX(N(L303),N(O303))-N(AA303))</f>
        <v/>
      </c>
      <c r="AC303" s="43">
        <f>IFERROR(IF(MAX(N(L303),N(O303))=0,"",AB303/MAX(N(L303),N(O303))),"")</f>
        <v/>
      </c>
      <c r="AD303" s="37" t="n"/>
      <c r="AE303" s="10" t="inlineStr">
        <is>
          <t>CON-0299</t>
        </is>
      </c>
    </row>
    <row r="304">
      <c r="A304" s="16">
        <f>IF($C304="","",IFERROR(IF(INDEX(tbl_Finance[Latest Invoice Date],MATCH($AE304,tbl_Finance[Row ID],0))="","",INDEX(tbl_Finance[Latest Invoice Date],MATCH($AE304,tbl_Finance[Row ID],0))),""))</f>
        <v/>
      </c>
      <c r="B304" s="10">
        <f>IF($C304="","",IFERROR(INDEX(tbl_Finance[Invoice Numbers],MATCH($AE304,tbl_Finance[Row ID],0))&amp;"",""))</f>
        <v/>
      </c>
      <c r="C304" s="37" t="n"/>
      <c r="D304" s="10">
        <f>IF($C304="","",IF(COUNTIF(lst_Jobs,$C304&amp;"")&gt;0,"OK","CHECK"))</f>
        <v/>
      </c>
      <c r="E304" s="10">
        <f>IF($C304="","",IFERROR(INDEX(lst_JobName,MATCH($C304&amp;"",lst_Jobs,0)),""))</f>
        <v/>
      </c>
      <c r="F304" s="37" t="n"/>
      <c r="G304" s="37" t="n"/>
      <c r="H304" s="37" t="n"/>
      <c r="I304" s="37" t="n"/>
      <c r="J304" s="37" t="n"/>
      <c r="K304" s="38">
        <f>IF($C304="","",IFERROR(N(INDEX(tbl_Finance[Invoice Count],MATCH($AE304,tbl_Finance[Row ID],0))),""))</f>
        <v/>
      </c>
      <c r="L304" s="11">
        <f>IF($C304="","",IFERROR(N(INDEX(tbl_Finance[Xero Invoiced Ex GST],MATCH($AE304,tbl_Finance[Row ID],0))),""))</f>
        <v/>
      </c>
      <c r="M304" s="10">
        <f>IF($C304="","",IFERROR(INDEX(tbl_Finance[Compare],MATCH($AE304,tbl_Finance[Row ID],0))&amp;"",""))</f>
        <v/>
      </c>
      <c r="N304" s="11">
        <f>IF($C304="","",MAX(0,N(O304)-N(L304)))</f>
        <v/>
      </c>
      <c r="O304" s="39" t="n"/>
      <c r="P304" s="40">
        <f>IF($C304="","",IF((IF(F304="",", Client","")&amp;IF(G304="",", Description","")&amp;IF(H304="",", Cost Centre","")&amp;IF(I304="",", Invoice Type","")&amp;IF(J304="",", Tax Code","")&amp;IF(O304="",", Expected Revenue","")&amp;IF(COUNTIF(tbl_Finance[Job Number],$C304&amp;"")&gt;1,", Job number used twice",""))="","Complete","Fix: "&amp;MID(IF(F304="",", Client","")&amp;IF(G304="",", Description","")&amp;IF(H304="",", Cost Centre","")&amp;IF(I304="",", Invoice Type","")&amp;IF(J304="",", Tax Code","")&amp;IF(O304="",", Expected Revenue","")&amp;IF(COUNTIF(tbl_Finance[Job Number],$C304&amp;"")&gt;1,", Job number used twice",""),3,300)))</f>
        <v/>
      </c>
      <c r="Q304" s="10">
        <f>IF($C304="","",IF(H304="","(no cost centre)",H304&amp;" - GL "&amp;IFERROR(INDEX(lst_CCtoGL,MATCH(H304,lst_CCforGL,0)),"?")))</f>
        <v/>
      </c>
      <c r="R304" s="37" t="n"/>
      <c r="S304" s="10">
        <f>IF(R304="","",HYPERLINK(IF(LEFT(R304,4)="http",R304,set_QwilrBase&amp;R304),"Open quote"))</f>
        <v/>
      </c>
      <c r="T304" s="39" t="n"/>
      <c r="U304" s="39" t="n"/>
      <c r="V304" s="39" t="n"/>
      <c r="W304" s="10">
        <f>IF(C304="","",IF(N(T304)+N(U304)+N(V304)=0,"Not split",IF(ROUND(N(T304)+N(U304)+N(V304),2)=ROUND(MAX(N(L304),N(O304)),2),"OK","MISMATCH")))</f>
        <v/>
      </c>
      <c r="X304" s="39" t="n"/>
      <c r="Y304" s="39" t="n"/>
      <c r="Z304" s="39" t="n"/>
      <c r="AA304" s="11">
        <f>IF(C304="","",N(X304)+N(Y304)+N(Z304))</f>
        <v/>
      </c>
      <c r="AB304" s="11">
        <f>IF(C304="","",MAX(N(L304),N(O304))-N(AA304))</f>
        <v/>
      </c>
      <c r="AC304" s="43">
        <f>IFERROR(IF(MAX(N(L304),N(O304))=0,"",AB304/MAX(N(L304),N(O304))),"")</f>
        <v/>
      </c>
      <c r="AD304" s="37" t="n"/>
      <c r="AE304" s="10" t="inlineStr">
        <is>
          <t>CON-0300</t>
        </is>
      </c>
    </row>
    <row r="305">
      <c r="A305" s="16">
        <f>IF($C305="","",IFERROR(IF(INDEX(tbl_Finance[Latest Invoice Date],MATCH($AE305,tbl_Finance[Row ID],0))="","",INDEX(tbl_Finance[Latest Invoice Date],MATCH($AE305,tbl_Finance[Row ID],0))),""))</f>
        <v/>
      </c>
      <c r="B305" s="10">
        <f>IF($C305="","",IFERROR(INDEX(tbl_Finance[Invoice Numbers],MATCH($AE305,tbl_Finance[Row ID],0))&amp;"",""))</f>
        <v/>
      </c>
      <c r="C305" s="37" t="n"/>
      <c r="D305" s="10">
        <f>IF($C305="","",IF(COUNTIF(lst_Jobs,$C305&amp;"")&gt;0,"OK","CHECK"))</f>
        <v/>
      </c>
      <c r="E305" s="10">
        <f>IF($C305="","",IFERROR(INDEX(lst_JobName,MATCH($C305&amp;"",lst_Jobs,0)),""))</f>
        <v/>
      </c>
      <c r="F305" s="37" t="n"/>
      <c r="G305" s="37" t="n"/>
      <c r="H305" s="37" t="n"/>
      <c r="I305" s="37" t="n"/>
      <c r="J305" s="37" t="n"/>
      <c r="K305" s="38">
        <f>IF($C305="","",IFERROR(N(INDEX(tbl_Finance[Invoice Count],MATCH($AE305,tbl_Finance[Row ID],0))),""))</f>
        <v/>
      </c>
      <c r="L305" s="11">
        <f>IF($C305="","",IFERROR(N(INDEX(tbl_Finance[Xero Invoiced Ex GST],MATCH($AE305,tbl_Finance[Row ID],0))),""))</f>
        <v/>
      </c>
      <c r="M305" s="10">
        <f>IF($C305="","",IFERROR(INDEX(tbl_Finance[Compare],MATCH($AE305,tbl_Finance[Row ID],0))&amp;"",""))</f>
        <v/>
      </c>
      <c r="N305" s="11">
        <f>IF($C305="","",MAX(0,N(O305)-N(L305)))</f>
        <v/>
      </c>
      <c r="O305" s="39" t="n"/>
      <c r="P305" s="40">
        <f>IF($C305="","",IF((IF(F305="",", Client","")&amp;IF(G305="",", Description","")&amp;IF(H305="",", Cost Centre","")&amp;IF(I305="",", Invoice Type","")&amp;IF(J305="",", Tax Code","")&amp;IF(O305="",", Expected Revenue","")&amp;IF(COUNTIF(tbl_Finance[Job Number],$C305&amp;"")&gt;1,", Job number used twice",""))="","Complete","Fix: "&amp;MID(IF(F305="",", Client","")&amp;IF(G305="",", Description","")&amp;IF(H305="",", Cost Centre","")&amp;IF(I305="",", Invoice Type","")&amp;IF(J305="",", Tax Code","")&amp;IF(O305="",", Expected Revenue","")&amp;IF(COUNTIF(tbl_Finance[Job Number],$C305&amp;"")&gt;1,", Job number used twice",""),3,300)))</f>
        <v/>
      </c>
      <c r="Q305" s="10">
        <f>IF($C305="","",IF(H305="","(no cost centre)",H305&amp;" - GL "&amp;IFERROR(INDEX(lst_CCtoGL,MATCH(H305,lst_CCforGL,0)),"?")))</f>
        <v/>
      </c>
      <c r="R305" s="37" t="n"/>
      <c r="S305" s="10">
        <f>IF(R305="","",HYPERLINK(IF(LEFT(R305,4)="http",R305,set_QwilrBase&amp;R305),"Open quote"))</f>
        <v/>
      </c>
      <c r="T305" s="39" t="n"/>
      <c r="U305" s="39" t="n"/>
      <c r="V305" s="39" t="n"/>
      <c r="W305" s="10">
        <f>IF(C305="","",IF(N(T305)+N(U305)+N(V305)=0,"Not split",IF(ROUND(N(T305)+N(U305)+N(V305),2)=ROUND(MAX(N(L305),N(O305)),2),"OK","MISMATCH")))</f>
        <v/>
      </c>
      <c r="X305" s="39" t="n"/>
      <c r="Y305" s="39" t="n"/>
      <c r="Z305" s="39" t="n"/>
      <c r="AA305" s="11">
        <f>IF(C305="","",N(X305)+N(Y305)+N(Z305))</f>
        <v/>
      </c>
      <c r="AB305" s="11">
        <f>IF(C305="","",MAX(N(L305),N(O305))-N(AA305))</f>
        <v/>
      </c>
      <c r="AC305" s="43">
        <f>IFERROR(IF(MAX(N(L305),N(O305))=0,"",AB305/MAX(N(L305),N(O305))),"")</f>
        <v/>
      </c>
      <c r="AD305" s="37" t="n"/>
      <c r="AE305" s="10" t="inlineStr">
        <is>
          <t>CON-0301</t>
        </is>
      </c>
    </row>
    <row r="306">
      <c r="A306" s="16">
        <f>IF($C306="","",IFERROR(IF(INDEX(tbl_Finance[Latest Invoice Date],MATCH($AE306,tbl_Finance[Row ID],0))="","",INDEX(tbl_Finance[Latest Invoice Date],MATCH($AE306,tbl_Finance[Row ID],0))),""))</f>
        <v/>
      </c>
      <c r="B306" s="10">
        <f>IF($C306="","",IFERROR(INDEX(tbl_Finance[Invoice Numbers],MATCH($AE306,tbl_Finance[Row ID],0))&amp;"",""))</f>
        <v/>
      </c>
      <c r="C306" s="37" t="n"/>
      <c r="D306" s="10">
        <f>IF($C306="","",IF(COUNTIF(lst_Jobs,$C306&amp;"")&gt;0,"OK","CHECK"))</f>
        <v/>
      </c>
      <c r="E306" s="10">
        <f>IF($C306="","",IFERROR(INDEX(lst_JobName,MATCH($C306&amp;"",lst_Jobs,0)),""))</f>
        <v/>
      </c>
      <c r="F306" s="37" t="n"/>
      <c r="G306" s="37" t="n"/>
      <c r="H306" s="37" t="n"/>
      <c r="I306" s="37" t="n"/>
      <c r="J306" s="37" t="n"/>
      <c r="K306" s="38">
        <f>IF($C306="","",IFERROR(N(INDEX(tbl_Finance[Invoice Count],MATCH($AE306,tbl_Finance[Row ID],0))),""))</f>
        <v/>
      </c>
      <c r="L306" s="11">
        <f>IF($C306="","",IFERROR(N(INDEX(tbl_Finance[Xero Invoiced Ex GST],MATCH($AE306,tbl_Finance[Row ID],0))),""))</f>
        <v/>
      </c>
      <c r="M306" s="10">
        <f>IF($C306="","",IFERROR(INDEX(tbl_Finance[Compare],MATCH($AE306,tbl_Finance[Row ID],0))&amp;"",""))</f>
        <v/>
      </c>
      <c r="N306" s="11">
        <f>IF($C306="","",MAX(0,N(O306)-N(L306)))</f>
        <v/>
      </c>
      <c r="O306" s="39" t="n"/>
      <c r="P306" s="40">
        <f>IF($C306="","",IF((IF(F306="",", Client","")&amp;IF(G306="",", Description","")&amp;IF(H306="",", Cost Centre","")&amp;IF(I306="",", Invoice Type","")&amp;IF(J306="",", Tax Code","")&amp;IF(O306="",", Expected Revenue","")&amp;IF(COUNTIF(tbl_Finance[Job Number],$C306&amp;"")&gt;1,", Job number used twice",""))="","Complete","Fix: "&amp;MID(IF(F306="",", Client","")&amp;IF(G306="",", Description","")&amp;IF(H306="",", Cost Centre","")&amp;IF(I306="",", Invoice Type","")&amp;IF(J306="",", Tax Code","")&amp;IF(O306="",", Expected Revenue","")&amp;IF(COUNTIF(tbl_Finance[Job Number],$C306&amp;"")&gt;1,", Job number used twice",""),3,300)))</f>
        <v/>
      </c>
      <c r="Q306" s="10">
        <f>IF($C306="","",IF(H306="","(no cost centre)",H306&amp;" - GL "&amp;IFERROR(INDEX(lst_CCtoGL,MATCH(H306,lst_CCforGL,0)),"?")))</f>
        <v/>
      </c>
      <c r="R306" s="37" t="n"/>
      <c r="S306" s="10">
        <f>IF(R306="","",HYPERLINK(IF(LEFT(R306,4)="http",R306,set_QwilrBase&amp;R306),"Open quote"))</f>
        <v/>
      </c>
      <c r="T306" s="39" t="n"/>
      <c r="U306" s="39" t="n"/>
      <c r="V306" s="39" t="n"/>
      <c r="W306" s="10">
        <f>IF(C306="","",IF(N(T306)+N(U306)+N(V306)=0,"Not split",IF(ROUND(N(T306)+N(U306)+N(V306),2)=ROUND(MAX(N(L306),N(O306)),2),"OK","MISMATCH")))</f>
        <v/>
      </c>
      <c r="X306" s="39" t="n"/>
      <c r="Y306" s="39" t="n"/>
      <c r="Z306" s="39" t="n"/>
      <c r="AA306" s="11">
        <f>IF(C306="","",N(X306)+N(Y306)+N(Z306))</f>
        <v/>
      </c>
      <c r="AB306" s="11">
        <f>IF(C306="","",MAX(N(L306),N(O306))-N(AA306))</f>
        <v/>
      </c>
      <c r="AC306" s="43">
        <f>IFERROR(IF(MAX(N(L306),N(O306))=0,"",AB306/MAX(N(L306),N(O306))),"")</f>
        <v/>
      </c>
      <c r="AD306" s="37" t="n"/>
      <c r="AE306" s="10" t="inlineStr">
        <is>
          <t>CON-0302</t>
        </is>
      </c>
    </row>
    <row r="307">
      <c r="A307" s="16">
        <f>IF($C307="","",IFERROR(IF(INDEX(tbl_Finance[Latest Invoice Date],MATCH($AE307,tbl_Finance[Row ID],0))="","",INDEX(tbl_Finance[Latest Invoice Date],MATCH($AE307,tbl_Finance[Row ID],0))),""))</f>
        <v/>
      </c>
      <c r="B307" s="10">
        <f>IF($C307="","",IFERROR(INDEX(tbl_Finance[Invoice Numbers],MATCH($AE307,tbl_Finance[Row ID],0))&amp;"",""))</f>
        <v/>
      </c>
      <c r="C307" s="37" t="n"/>
      <c r="D307" s="10">
        <f>IF($C307="","",IF(COUNTIF(lst_Jobs,$C307&amp;"")&gt;0,"OK","CHECK"))</f>
        <v/>
      </c>
      <c r="E307" s="10">
        <f>IF($C307="","",IFERROR(INDEX(lst_JobName,MATCH($C307&amp;"",lst_Jobs,0)),""))</f>
        <v/>
      </c>
      <c r="F307" s="37" t="n"/>
      <c r="G307" s="37" t="n"/>
      <c r="H307" s="37" t="n"/>
      <c r="I307" s="37" t="n"/>
      <c r="J307" s="37" t="n"/>
      <c r="K307" s="38">
        <f>IF($C307="","",IFERROR(N(INDEX(tbl_Finance[Invoice Count],MATCH($AE307,tbl_Finance[Row ID],0))),""))</f>
        <v/>
      </c>
      <c r="L307" s="11">
        <f>IF($C307="","",IFERROR(N(INDEX(tbl_Finance[Xero Invoiced Ex GST],MATCH($AE307,tbl_Finance[Row ID],0))),""))</f>
        <v/>
      </c>
      <c r="M307" s="10">
        <f>IF($C307="","",IFERROR(INDEX(tbl_Finance[Compare],MATCH($AE307,tbl_Finance[Row ID],0))&amp;"",""))</f>
        <v/>
      </c>
      <c r="N307" s="11">
        <f>IF($C307="","",MAX(0,N(O307)-N(L307)))</f>
        <v/>
      </c>
      <c r="O307" s="39" t="n"/>
      <c r="P307" s="40">
        <f>IF($C307="","",IF((IF(F307="",", Client","")&amp;IF(G307="",", Description","")&amp;IF(H307="",", Cost Centre","")&amp;IF(I307="",", Invoice Type","")&amp;IF(J307="",", Tax Code","")&amp;IF(O307="",", Expected Revenue","")&amp;IF(COUNTIF(tbl_Finance[Job Number],$C307&amp;"")&gt;1,", Job number used twice",""))="","Complete","Fix: "&amp;MID(IF(F307="",", Client","")&amp;IF(G307="",", Description","")&amp;IF(H307="",", Cost Centre","")&amp;IF(I307="",", Invoice Type","")&amp;IF(J307="",", Tax Code","")&amp;IF(O307="",", Expected Revenue","")&amp;IF(COUNTIF(tbl_Finance[Job Number],$C307&amp;"")&gt;1,", Job number used twice",""),3,300)))</f>
        <v/>
      </c>
      <c r="Q307" s="10">
        <f>IF($C307="","",IF(H307="","(no cost centre)",H307&amp;" - GL "&amp;IFERROR(INDEX(lst_CCtoGL,MATCH(H307,lst_CCforGL,0)),"?")))</f>
        <v/>
      </c>
      <c r="R307" s="37" t="n"/>
      <c r="S307" s="10">
        <f>IF(R307="","",HYPERLINK(IF(LEFT(R307,4)="http",R307,set_QwilrBase&amp;R307),"Open quote"))</f>
        <v/>
      </c>
      <c r="T307" s="39" t="n"/>
      <c r="U307" s="39" t="n"/>
      <c r="V307" s="39" t="n"/>
      <c r="W307" s="10">
        <f>IF(C307="","",IF(N(T307)+N(U307)+N(V307)=0,"Not split",IF(ROUND(N(T307)+N(U307)+N(V307),2)=ROUND(MAX(N(L307),N(O307)),2),"OK","MISMATCH")))</f>
        <v/>
      </c>
      <c r="X307" s="39" t="n"/>
      <c r="Y307" s="39" t="n"/>
      <c r="Z307" s="39" t="n"/>
      <c r="AA307" s="11">
        <f>IF(C307="","",N(X307)+N(Y307)+N(Z307))</f>
        <v/>
      </c>
      <c r="AB307" s="11">
        <f>IF(C307="","",MAX(N(L307),N(O307))-N(AA307))</f>
        <v/>
      </c>
      <c r="AC307" s="43">
        <f>IFERROR(IF(MAX(N(L307),N(O307))=0,"",AB307/MAX(N(L307),N(O307))),"")</f>
        <v/>
      </c>
      <c r="AD307" s="37" t="n"/>
      <c r="AE307" s="10" t="inlineStr">
        <is>
          <t>CON-0303</t>
        </is>
      </c>
    </row>
    <row r="308">
      <c r="A308" s="16">
        <f>IF($C308="","",IFERROR(IF(INDEX(tbl_Finance[Latest Invoice Date],MATCH($AE308,tbl_Finance[Row ID],0))="","",INDEX(tbl_Finance[Latest Invoice Date],MATCH($AE308,tbl_Finance[Row ID],0))),""))</f>
        <v/>
      </c>
      <c r="B308" s="10">
        <f>IF($C308="","",IFERROR(INDEX(tbl_Finance[Invoice Numbers],MATCH($AE308,tbl_Finance[Row ID],0))&amp;"",""))</f>
        <v/>
      </c>
      <c r="C308" s="37" t="n"/>
      <c r="D308" s="10">
        <f>IF($C308="","",IF(COUNTIF(lst_Jobs,$C308&amp;"")&gt;0,"OK","CHECK"))</f>
        <v/>
      </c>
      <c r="E308" s="10">
        <f>IF($C308="","",IFERROR(INDEX(lst_JobName,MATCH($C308&amp;"",lst_Jobs,0)),""))</f>
        <v/>
      </c>
      <c r="F308" s="37" t="n"/>
      <c r="G308" s="37" t="n"/>
      <c r="H308" s="37" t="n"/>
      <c r="I308" s="37" t="n"/>
      <c r="J308" s="37" t="n"/>
      <c r="K308" s="38">
        <f>IF($C308="","",IFERROR(N(INDEX(tbl_Finance[Invoice Count],MATCH($AE308,tbl_Finance[Row ID],0))),""))</f>
        <v/>
      </c>
      <c r="L308" s="11">
        <f>IF($C308="","",IFERROR(N(INDEX(tbl_Finance[Xero Invoiced Ex GST],MATCH($AE308,tbl_Finance[Row ID],0))),""))</f>
        <v/>
      </c>
      <c r="M308" s="10">
        <f>IF($C308="","",IFERROR(INDEX(tbl_Finance[Compare],MATCH($AE308,tbl_Finance[Row ID],0))&amp;"",""))</f>
        <v/>
      </c>
      <c r="N308" s="11">
        <f>IF($C308="","",MAX(0,N(O308)-N(L308)))</f>
        <v/>
      </c>
      <c r="O308" s="39" t="n"/>
      <c r="P308" s="40">
        <f>IF($C308="","",IF((IF(F308="",", Client","")&amp;IF(G308="",", Description","")&amp;IF(H308="",", Cost Centre","")&amp;IF(I308="",", Invoice Type","")&amp;IF(J308="",", Tax Code","")&amp;IF(O308="",", Expected Revenue","")&amp;IF(COUNTIF(tbl_Finance[Job Number],$C308&amp;"")&gt;1,", Job number used twice",""))="","Complete","Fix: "&amp;MID(IF(F308="",", Client","")&amp;IF(G308="",", Description","")&amp;IF(H308="",", Cost Centre","")&amp;IF(I308="",", Invoice Type","")&amp;IF(J308="",", Tax Code","")&amp;IF(O308="",", Expected Revenue","")&amp;IF(COUNTIF(tbl_Finance[Job Number],$C308&amp;"")&gt;1,", Job number used twice",""),3,300)))</f>
        <v/>
      </c>
      <c r="Q308" s="10">
        <f>IF($C308="","",IF(H308="","(no cost centre)",H308&amp;" - GL "&amp;IFERROR(INDEX(lst_CCtoGL,MATCH(H308,lst_CCforGL,0)),"?")))</f>
        <v/>
      </c>
      <c r="R308" s="37" t="n"/>
      <c r="S308" s="10">
        <f>IF(R308="","",HYPERLINK(IF(LEFT(R308,4)="http",R308,set_QwilrBase&amp;R308),"Open quote"))</f>
        <v/>
      </c>
      <c r="T308" s="39" t="n"/>
      <c r="U308" s="39" t="n"/>
      <c r="V308" s="39" t="n"/>
      <c r="W308" s="10">
        <f>IF(C308="","",IF(N(T308)+N(U308)+N(V308)=0,"Not split",IF(ROUND(N(T308)+N(U308)+N(V308),2)=ROUND(MAX(N(L308),N(O308)),2),"OK","MISMATCH")))</f>
        <v/>
      </c>
      <c r="X308" s="39" t="n"/>
      <c r="Y308" s="39" t="n"/>
      <c r="Z308" s="39" t="n"/>
      <c r="AA308" s="11">
        <f>IF(C308="","",N(X308)+N(Y308)+N(Z308))</f>
        <v/>
      </c>
      <c r="AB308" s="11">
        <f>IF(C308="","",MAX(N(L308),N(O308))-N(AA308))</f>
        <v/>
      </c>
      <c r="AC308" s="43">
        <f>IFERROR(IF(MAX(N(L308),N(O308))=0,"",AB308/MAX(N(L308),N(O308))),"")</f>
        <v/>
      </c>
      <c r="AD308" s="37" t="n"/>
      <c r="AE308" s="10" t="inlineStr">
        <is>
          <t>CON-0304</t>
        </is>
      </c>
    </row>
    <row r="309">
      <c r="A309" s="16">
        <f>IF($C309="","",IFERROR(IF(INDEX(tbl_Finance[Latest Invoice Date],MATCH($AE309,tbl_Finance[Row ID],0))="","",INDEX(tbl_Finance[Latest Invoice Date],MATCH($AE309,tbl_Finance[Row ID],0))),""))</f>
        <v/>
      </c>
      <c r="B309" s="10">
        <f>IF($C309="","",IFERROR(INDEX(tbl_Finance[Invoice Numbers],MATCH($AE309,tbl_Finance[Row ID],0))&amp;"",""))</f>
        <v/>
      </c>
      <c r="C309" s="37" t="n"/>
      <c r="D309" s="10">
        <f>IF($C309="","",IF(COUNTIF(lst_Jobs,$C309&amp;"")&gt;0,"OK","CHECK"))</f>
        <v/>
      </c>
      <c r="E309" s="10">
        <f>IF($C309="","",IFERROR(INDEX(lst_JobName,MATCH($C309&amp;"",lst_Jobs,0)),""))</f>
        <v/>
      </c>
      <c r="F309" s="37" t="n"/>
      <c r="G309" s="37" t="n"/>
      <c r="H309" s="37" t="n"/>
      <c r="I309" s="37" t="n"/>
      <c r="J309" s="37" t="n"/>
      <c r="K309" s="38">
        <f>IF($C309="","",IFERROR(N(INDEX(tbl_Finance[Invoice Count],MATCH($AE309,tbl_Finance[Row ID],0))),""))</f>
        <v/>
      </c>
      <c r="L309" s="11">
        <f>IF($C309="","",IFERROR(N(INDEX(tbl_Finance[Xero Invoiced Ex GST],MATCH($AE309,tbl_Finance[Row ID],0))),""))</f>
        <v/>
      </c>
      <c r="M309" s="10">
        <f>IF($C309="","",IFERROR(INDEX(tbl_Finance[Compare],MATCH($AE309,tbl_Finance[Row ID],0))&amp;"",""))</f>
        <v/>
      </c>
      <c r="N309" s="11">
        <f>IF($C309="","",MAX(0,N(O309)-N(L309)))</f>
        <v/>
      </c>
      <c r="O309" s="39" t="n"/>
      <c r="P309" s="40">
        <f>IF($C309="","",IF((IF(F309="",", Client","")&amp;IF(G309="",", Description","")&amp;IF(H309="",", Cost Centre","")&amp;IF(I309="",", Invoice Type","")&amp;IF(J309="",", Tax Code","")&amp;IF(O309="",", Expected Revenue","")&amp;IF(COUNTIF(tbl_Finance[Job Number],$C309&amp;"")&gt;1,", Job number used twice",""))="","Complete","Fix: "&amp;MID(IF(F309="",", Client","")&amp;IF(G309="",", Description","")&amp;IF(H309="",", Cost Centre","")&amp;IF(I309="",", Invoice Type","")&amp;IF(J309="",", Tax Code","")&amp;IF(O309="",", Expected Revenue","")&amp;IF(COUNTIF(tbl_Finance[Job Number],$C309&amp;"")&gt;1,", Job number used twice",""),3,300)))</f>
        <v/>
      </c>
      <c r="Q309" s="10">
        <f>IF($C309="","",IF(H309="","(no cost centre)",H309&amp;" - GL "&amp;IFERROR(INDEX(lst_CCtoGL,MATCH(H309,lst_CCforGL,0)),"?")))</f>
        <v/>
      </c>
      <c r="R309" s="37" t="n"/>
      <c r="S309" s="10">
        <f>IF(R309="","",HYPERLINK(IF(LEFT(R309,4)="http",R309,set_QwilrBase&amp;R309),"Open quote"))</f>
        <v/>
      </c>
      <c r="T309" s="39" t="n"/>
      <c r="U309" s="39" t="n"/>
      <c r="V309" s="39" t="n"/>
      <c r="W309" s="10">
        <f>IF(C309="","",IF(N(T309)+N(U309)+N(V309)=0,"Not split",IF(ROUND(N(T309)+N(U309)+N(V309),2)=ROUND(MAX(N(L309),N(O309)),2),"OK","MISMATCH")))</f>
        <v/>
      </c>
      <c r="X309" s="39" t="n"/>
      <c r="Y309" s="39" t="n"/>
      <c r="Z309" s="39" t="n"/>
      <c r="AA309" s="11">
        <f>IF(C309="","",N(X309)+N(Y309)+N(Z309))</f>
        <v/>
      </c>
      <c r="AB309" s="11">
        <f>IF(C309="","",MAX(N(L309),N(O309))-N(AA309))</f>
        <v/>
      </c>
      <c r="AC309" s="43">
        <f>IFERROR(IF(MAX(N(L309),N(O309))=0,"",AB309/MAX(N(L309),N(O309))),"")</f>
        <v/>
      </c>
      <c r="AD309" s="37" t="n"/>
      <c r="AE309" s="10" t="inlineStr">
        <is>
          <t>CON-0305</t>
        </is>
      </c>
    </row>
    <row r="310">
      <c r="A310" s="16">
        <f>IF($C310="","",IFERROR(IF(INDEX(tbl_Finance[Latest Invoice Date],MATCH($AE310,tbl_Finance[Row ID],0))="","",INDEX(tbl_Finance[Latest Invoice Date],MATCH($AE310,tbl_Finance[Row ID],0))),""))</f>
        <v/>
      </c>
      <c r="B310" s="10">
        <f>IF($C310="","",IFERROR(INDEX(tbl_Finance[Invoice Numbers],MATCH($AE310,tbl_Finance[Row ID],0))&amp;"",""))</f>
        <v/>
      </c>
      <c r="C310" s="37" t="n"/>
      <c r="D310" s="10">
        <f>IF($C310="","",IF(COUNTIF(lst_Jobs,$C310&amp;"")&gt;0,"OK","CHECK"))</f>
        <v/>
      </c>
      <c r="E310" s="10">
        <f>IF($C310="","",IFERROR(INDEX(lst_JobName,MATCH($C310&amp;"",lst_Jobs,0)),""))</f>
        <v/>
      </c>
      <c r="F310" s="37" t="n"/>
      <c r="G310" s="37" t="n"/>
      <c r="H310" s="37" t="n"/>
      <c r="I310" s="37" t="n"/>
      <c r="J310" s="37" t="n"/>
      <c r="K310" s="38">
        <f>IF($C310="","",IFERROR(N(INDEX(tbl_Finance[Invoice Count],MATCH($AE310,tbl_Finance[Row ID],0))),""))</f>
        <v/>
      </c>
      <c r="L310" s="11">
        <f>IF($C310="","",IFERROR(N(INDEX(tbl_Finance[Xero Invoiced Ex GST],MATCH($AE310,tbl_Finance[Row ID],0))),""))</f>
        <v/>
      </c>
      <c r="M310" s="10">
        <f>IF($C310="","",IFERROR(INDEX(tbl_Finance[Compare],MATCH($AE310,tbl_Finance[Row ID],0))&amp;"",""))</f>
        <v/>
      </c>
      <c r="N310" s="11">
        <f>IF($C310="","",MAX(0,N(O310)-N(L310)))</f>
        <v/>
      </c>
      <c r="O310" s="39" t="n"/>
      <c r="P310" s="40">
        <f>IF($C310="","",IF((IF(F310="",", Client","")&amp;IF(G310="",", Description","")&amp;IF(H310="",", Cost Centre","")&amp;IF(I310="",", Invoice Type","")&amp;IF(J310="",", Tax Code","")&amp;IF(O310="",", Expected Revenue","")&amp;IF(COUNTIF(tbl_Finance[Job Number],$C310&amp;"")&gt;1,", Job number used twice",""))="","Complete","Fix: "&amp;MID(IF(F310="",", Client","")&amp;IF(G310="",", Description","")&amp;IF(H310="",", Cost Centre","")&amp;IF(I310="",", Invoice Type","")&amp;IF(J310="",", Tax Code","")&amp;IF(O310="",", Expected Revenue","")&amp;IF(COUNTIF(tbl_Finance[Job Number],$C310&amp;"")&gt;1,", Job number used twice",""),3,300)))</f>
        <v/>
      </c>
      <c r="Q310" s="10">
        <f>IF($C310="","",IF(H310="","(no cost centre)",H310&amp;" - GL "&amp;IFERROR(INDEX(lst_CCtoGL,MATCH(H310,lst_CCforGL,0)),"?")))</f>
        <v/>
      </c>
      <c r="R310" s="37" t="n"/>
      <c r="S310" s="10">
        <f>IF(R310="","",HYPERLINK(IF(LEFT(R310,4)="http",R310,set_QwilrBase&amp;R310),"Open quote"))</f>
        <v/>
      </c>
      <c r="T310" s="39" t="n"/>
      <c r="U310" s="39" t="n"/>
      <c r="V310" s="39" t="n"/>
      <c r="W310" s="10">
        <f>IF(C310="","",IF(N(T310)+N(U310)+N(V310)=0,"Not split",IF(ROUND(N(T310)+N(U310)+N(V310),2)=ROUND(MAX(N(L310),N(O310)),2),"OK","MISMATCH")))</f>
        <v/>
      </c>
      <c r="X310" s="39" t="n"/>
      <c r="Y310" s="39" t="n"/>
      <c r="Z310" s="39" t="n"/>
      <c r="AA310" s="11">
        <f>IF(C310="","",N(X310)+N(Y310)+N(Z310))</f>
        <v/>
      </c>
      <c r="AB310" s="11">
        <f>IF(C310="","",MAX(N(L310),N(O310))-N(AA310))</f>
        <v/>
      </c>
      <c r="AC310" s="43">
        <f>IFERROR(IF(MAX(N(L310),N(O310))=0,"",AB310/MAX(N(L310),N(O310))),"")</f>
        <v/>
      </c>
      <c r="AD310" s="37" t="n"/>
      <c r="AE310" s="10" t="inlineStr">
        <is>
          <t>CON-0306</t>
        </is>
      </c>
    </row>
    <row r="311">
      <c r="A311" s="16">
        <f>IF($C311="","",IFERROR(IF(INDEX(tbl_Finance[Latest Invoice Date],MATCH($AE311,tbl_Finance[Row ID],0))="","",INDEX(tbl_Finance[Latest Invoice Date],MATCH($AE311,tbl_Finance[Row ID],0))),""))</f>
        <v/>
      </c>
      <c r="B311" s="10">
        <f>IF($C311="","",IFERROR(INDEX(tbl_Finance[Invoice Numbers],MATCH($AE311,tbl_Finance[Row ID],0))&amp;"",""))</f>
        <v/>
      </c>
      <c r="C311" s="37" t="n"/>
      <c r="D311" s="10">
        <f>IF($C311="","",IF(COUNTIF(lst_Jobs,$C311&amp;"")&gt;0,"OK","CHECK"))</f>
        <v/>
      </c>
      <c r="E311" s="10">
        <f>IF($C311="","",IFERROR(INDEX(lst_JobName,MATCH($C311&amp;"",lst_Jobs,0)),""))</f>
        <v/>
      </c>
      <c r="F311" s="37" t="n"/>
      <c r="G311" s="37" t="n"/>
      <c r="H311" s="37" t="n"/>
      <c r="I311" s="37" t="n"/>
      <c r="J311" s="37" t="n"/>
      <c r="K311" s="38">
        <f>IF($C311="","",IFERROR(N(INDEX(tbl_Finance[Invoice Count],MATCH($AE311,tbl_Finance[Row ID],0))),""))</f>
        <v/>
      </c>
      <c r="L311" s="11">
        <f>IF($C311="","",IFERROR(N(INDEX(tbl_Finance[Xero Invoiced Ex GST],MATCH($AE311,tbl_Finance[Row ID],0))),""))</f>
        <v/>
      </c>
      <c r="M311" s="10">
        <f>IF($C311="","",IFERROR(INDEX(tbl_Finance[Compare],MATCH($AE311,tbl_Finance[Row ID],0))&amp;"",""))</f>
        <v/>
      </c>
      <c r="N311" s="11">
        <f>IF($C311="","",MAX(0,N(O311)-N(L311)))</f>
        <v/>
      </c>
      <c r="O311" s="39" t="n"/>
      <c r="P311" s="40">
        <f>IF($C311="","",IF((IF(F311="",", Client","")&amp;IF(G311="",", Description","")&amp;IF(H311="",", Cost Centre","")&amp;IF(I311="",", Invoice Type","")&amp;IF(J311="",", Tax Code","")&amp;IF(O311="",", Expected Revenue","")&amp;IF(COUNTIF(tbl_Finance[Job Number],$C311&amp;"")&gt;1,", Job number used twice",""))="","Complete","Fix: "&amp;MID(IF(F311="",", Client","")&amp;IF(G311="",", Description","")&amp;IF(H311="",", Cost Centre","")&amp;IF(I311="",", Invoice Type","")&amp;IF(J311="",", Tax Code","")&amp;IF(O311="",", Expected Revenue","")&amp;IF(COUNTIF(tbl_Finance[Job Number],$C311&amp;"")&gt;1,", Job number used twice",""),3,300)))</f>
        <v/>
      </c>
      <c r="Q311" s="10">
        <f>IF($C311="","",IF(H311="","(no cost centre)",H311&amp;" - GL "&amp;IFERROR(INDEX(lst_CCtoGL,MATCH(H311,lst_CCforGL,0)),"?")))</f>
        <v/>
      </c>
      <c r="R311" s="37" t="n"/>
      <c r="S311" s="10">
        <f>IF(R311="","",HYPERLINK(IF(LEFT(R311,4)="http",R311,set_QwilrBase&amp;R311),"Open quote"))</f>
        <v/>
      </c>
      <c r="T311" s="39" t="n"/>
      <c r="U311" s="39" t="n"/>
      <c r="V311" s="39" t="n"/>
      <c r="W311" s="10">
        <f>IF(C311="","",IF(N(T311)+N(U311)+N(V311)=0,"Not split",IF(ROUND(N(T311)+N(U311)+N(V311),2)=ROUND(MAX(N(L311),N(O311)),2),"OK","MISMATCH")))</f>
        <v/>
      </c>
      <c r="X311" s="39" t="n"/>
      <c r="Y311" s="39" t="n"/>
      <c r="Z311" s="39" t="n"/>
      <c r="AA311" s="11">
        <f>IF(C311="","",N(X311)+N(Y311)+N(Z311))</f>
        <v/>
      </c>
      <c r="AB311" s="11">
        <f>IF(C311="","",MAX(N(L311),N(O311))-N(AA311))</f>
        <v/>
      </c>
      <c r="AC311" s="43">
        <f>IFERROR(IF(MAX(N(L311),N(O311))=0,"",AB311/MAX(N(L311),N(O311))),"")</f>
        <v/>
      </c>
      <c r="AD311" s="37" t="n"/>
      <c r="AE311" s="10" t="inlineStr">
        <is>
          <t>CON-0307</t>
        </is>
      </c>
    </row>
    <row r="312">
      <c r="A312" s="16">
        <f>IF($C312="","",IFERROR(IF(INDEX(tbl_Finance[Latest Invoice Date],MATCH($AE312,tbl_Finance[Row ID],0))="","",INDEX(tbl_Finance[Latest Invoice Date],MATCH($AE312,tbl_Finance[Row ID],0))),""))</f>
        <v/>
      </c>
      <c r="B312" s="10">
        <f>IF($C312="","",IFERROR(INDEX(tbl_Finance[Invoice Numbers],MATCH($AE312,tbl_Finance[Row ID],0))&amp;"",""))</f>
        <v/>
      </c>
      <c r="C312" s="37" t="n"/>
      <c r="D312" s="10">
        <f>IF($C312="","",IF(COUNTIF(lst_Jobs,$C312&amp;"")&gt;0,"OK","CHECK"))</f>
        <v/>
      </c>
      <c r="E312" s="10">
        <f>IF($C312="","",IFERROR(INDEX(lst_JobName,MATCH($C312&amp;"",lst_Jobs,0)),""))</f>
        <v/>
      </c>
      <c r="F312" s="37" t="n"/>
      <c r="G312" s="37" t="n"/>
      <c r="H312" s="37" t="n"/>
      <c r="I312" s="37" t="n"/>
      <c r="J312" s="37" t="n"/>
      <c r="K312" s="38">
        <f>IF($C312="","",IFERROR(N(INDEX(tbl_Finance[Invoice Count],MATCH($AE312,tbl_Finance[Row ID],0))),""))</f>
        <v/>
      </c>
      <c r="L312" s="11">
        <f>IF($C312="","",IFERROR(N(INDEX(tbl_Finance[Xero Invoiced Ex GST],MATCH($AE312,tbl_Finance[Row ID],0))),""))</f>
        <v/>
      </c>
      <c r="M312" s="10">
        <f>IF($C312="","",IFERROR(INDEX(tbl_Finance[Compare],MATCH($AE312,tbl_Finance[Row ID],0))&amp;"",""))</f>
        <v/>
      </c>
      <c r="N312" s="11">
        <f>IF($C312="","",MAX(0,N(O312)-N(L312)))</f>
        <v/>
      </c>
      <c r="O312" s="39" t="n"/>
      <c r="P312" s="40">
        <f>IF($C312="","",IF((IF(F312="",", Client","")&amp;IF(G312="",", Description","")&amp;IF(H312="",", Cost Centre","")&amp;IF(I312="",", Invoice Type","")&amp;IF(J312="",", Tax Code","")&amp;IF(O312="",", Expected Revenue","")&amp;IF(COUNTIF(tbl_Finance[Job Number],$C312&amp;"")&gt;1,", Job number used twice",""))="","Complete","Fix: "&amp;MID(IF(F312="",", Client","")&amp;IF(G312="",", Description","")&amp;IF(H312="",", Cost Centre","")&amp;IF(I312="",", Invoice Type","")&amp;IF(J312="",", Tax Code","")&amp;IF(O312="",", Expected Revenue","")&amp;IF(COUNTIF(tbl_Finance[Job Number],$C312&amp;"")&gt;1,", Job number used twice",""),3,300)))</f>
        <v/>
      </c>
      <c r="Q312" s="10">
        <f>IF($C312="","",IF(H312="","(no cost centre)",H312&amp;" - GL "&amp;IFERROR(INDEX(lst_CCtoGL,MATCH(H312,lst_CCforGL,0)),"?")))</f>
        <v/>
      </c>
      <c r="R312" s="37" t="n"/>
      <c r="S312" s="10">
        <f>IF(R312="","",HYPERLINK(IF(LEFT(R312,4)="http",R312,set_QwilrBase&amp;R312),"Open quote"))</f>
        <v/>
      </c>
      <c r="T312" s="39" t="n"/>
      <c r="U312" s="39" t="n"/>
      <c r="V312" s="39" t="n"/>
      <c r="W312" s="10">
        <f>IF(C312="","",IF(N(T312)+N(U312)+N(V312)=0,"Not split",IF(ROUND(N(T312)+N(U312)+N(V312),2)=ROUND(MAX(N(L312),N(O312)),2),"OK","MISMATCH")))</f>
        <v/>
      </c>
      <c r="X312" s="39" t="n"/>
      <c r="Y312" s="39" t="n"/>
      <c r="Z312" s="39" t="n"/>
      <c r="AA312" s="11">
        <f>IF(C312="","",N(X312)+N(Y312)+N(Z312))</f>
        <v/>
      </c>
      <c r="AB312" s="11">
        <f>IF(C312="","",MAX(N(L312),N(O312))-N(AA312))</f>
        <v/>
      </c>
      <c r="AC312" s="43">
        <f>IFERROR(IF(MAX(N(L312),N(O312))=0,"",AB312/MAX(N(L312),N(O312))),"")</f>
        <v/>
      </c>
      <c r="AD312" s="37" t="n"/>
      <c r="AE312" s="10" t="inlineStr">
        <is>
          <t>CON-0308</t>
        </is>
      </c>
    </row>
    <row r="313">
      <c r="A313" s="16">
        <f>IF($C313="","",IFERROR(IF(INDEX(tbl_Finance[Latest Invoice Date],MATCH($AE313,tbl_Finance[Row ID],0))="","",INDEX(tbl_Finance[Latest Invoice Date],MATCH($AE313,tbl_Finance[Row ID],0))),""))</f>
        <v/>
      </c>
      <c r="B313" s="10">
        <f>IF($C313="","",IFERROR(INDEX(tbl_Finance[Invoice Numbers],MATCH($AE313,tbl_Finance[Row ID],0))&amp;"",""))</f>
        <v/>
      </c>
      <c r="C313" s="37" t="n"/>
      <c r="D313" s="10">
        <f>IF($C313="","",IF(COUNTIF(lst_Jobs,$C313&amp;"")&gt;0,"OK","CHECK"))</f>
        <v/>
      </c>
      <c r="E313" s="10">
        <f>IF($C313="","",IFERROR(INDEX(lst_JobName,MATCH($C313&amp;"",lst_Jobs,0)),""))</f>
        <v/>
      </c>
      <c r="F313" s="37" t="n"/>
      <c r="G313" s="37" t="n"/>
      <c r="H313" s="37" t="n"/>
      <c r="I313" s="37" t="n"/>
      <c r="J313" s="37" t="n"/>
      <c r="K313" s="38">
        <f>IF($C313="","",IFERROR(N(INDEX(tbl_Finance[Invoice Count],MATCH($AE313,tbl_Finance[Row ID],0))),""))</f>
        <v/>
      </c>
      <c r="L313" s="11">
        <f>IF($C313="","",IFERROR(N(INDEX(tbl_Finance[Xero Invoiced Ex GST],MATCH($AE313,tbl_Finance[Row ID],0))),""))</f>
        <v/>
      </c>
      <c r="M313" s="10">
        <f>IF($C313="","",IFERROR(INDEX(tbl_Finance[Compare],MATCH($AE313,tbl_Finance[Row ID],0))&amp;"",""))</f>
        <v/>
      </c>
      <c r="N313" s="11">
        <f>IF($C313="","",MAX(0,N(O313)-N(L313)))</f>
        <v/>
      </c>
      <c r="O313" s="39" t="n"/>
      <c r="P313" s="40">
        <f>IF($C313="","",IF((IF(F313="",", Client","")&amp;IF(G313="",", Description","")&amp;IF(H313="",", Cost Centre","")&amp;IF(I313="",", Invoice Type","")&amp;IF(J313="",", Tax Code","")&amp;IF(O313="",", Expected Revenue","")&amp;IF(COUNTIF(tbl_Finance[Job Number],$C313&amp;"")&gt;1,", Job number used twice",""))="","Complete","Fix: "&amp;MID(IF(F313="",", Client","")&amp;IF(G313="",", Description","")&amp;IF(H313="",", Cost Centre","")&amp;IF(I313="",", Invoice Type","")&amp;IF(J313="",", Tax Code","")&amp;IF(O313="",", Expected Revenue","")&amp;IF(COUNTIF(tbl_Finance[Job Number],$C313&amp;"")&gt;1,", Job number used twice",""),3,300)))</f>
        <v/>
      </c>
      <c r="Q313" s="10">
        <f>IF($C313="","",IF(H313="","(no cost centre)",H313&amp;" - GL "&amp;IFERROR(INDEX(lst_CCtoGL,MATCH(H313,lst_CCforGL,0)),"?")))</f>
        <v/>
      </c>
      <c r="R313" s="37" t="n"/>
      <c r="S313" s="10">
        <f>IF(R313="","",HYPERLINK(IF(LEFT(R313,4)="http",R313,set_QwilrBase&amp;R313),"Open quote"))</f>
        <v/>
      </c>
      <c r="T313" s="39" t="n"/>
      <c r="U313" s="39" t="n"/>
      <c r="V313" s="39" t="n"/>
      <c r="W313" s="10">
        <f>IF(C313="","",IF(N(T313)+N(U313)+N(V313)=0,"Not split",IF(ROUND(N(T313)+N(U313)+N(V313),2)=ROUND(MAX(N(L313),N(O313)),2),"OK","MISMATCH")))</f>
        <v/>
      </c>
      <c r="X313" s="39" t="n"/>
      <c r="Y313" s="39" t="n"/>
      <c r="Z313" s="39" t="n"/>
      <c r="AA313" s="11">
        <f>IF(C313="","",N(X313)+N(Y313)+N(Z313))</f>
        <v/>
      </c>
      <c r="AB313" s="11">
        <f>IF(C313="","",MAX(N(L313),N(O313))-N(AA313))</f>
        <v/>
      </c>
      <c r="AC313" s="43">
        <f>IFERROR(IF(MAX(N(L313),N(O313))=0,"",AB313/MAX(N(L313),N(O313))),"")</f>
        <v/>
      </c>
      <c r="AD313" s="37" t="n"/>
      <c r="AE313" s="10" t="inlineStr">
        <is>
          <t>CON-0309</t>
        </is>
      </c>
    </row>
    <row r="314">
      <c r="A314" s="16">
        <f>IF($C314="","",IFERROR(IF(INDEX(tbl_Finance[Latest Invoice Date],MATCH($AE314,tbl_Finance[Row ID],0))="","",INDEX(tbl_Finance[Latest Invoice Date],MATCH($AE314,tbl_Finance[Row ID],0))),""))</f>
        <v/>
      </c>
      <c r="B314" s="10">
        <f>IF($C314="","",IFERROR(INDEX(tbl_Finance[Invoice Numbers],MATCH($AE314,tbl_Finance[Row ID],0))&amp;"",""))</f>
        <v/>
      </c>
      <c r="C314" s="37" t="n"/>
      <c r="D314" s="10">
        <f>IF($C314="","",IF(COUNTIF(lst_Jobs,$C314&amp;"")&gt;0,"OK","CHECK"))</f>
        <v/>
      </c>
      <c r="E314" s="10">
        <f>IF($C314="","",IFERROR(INDEX(lst_JobName,MATCH($C314&amp;"",lst_Jobs,0)),""))</f>
        <v/>
      </c>
      <c r="F314" s="37" t="n"/>
      <c r="G314" s="37" t="n"/>
      <c r="H314" s="37" t="n"/>
      <c r="I314" s="37" t="n"/>
      <c r="J314" s="37" t="n"/>
      <c r="K314" s="38">
        <f>IF($C314="","",IFERROR(N(INDEX(tbl_Finance[Invoice Count],MATCH($AE314,tbl_Finance[Row ID],0))),""))</f>
        <v/>
      </c>
      <c r="L314" s="11">
        <f>IF($C314="","",IFERROR(N(INDEX(tbl_Finance[Xero Invoiced Ex GST],MATCH($AE314,tbl_Finance[Row ID],0))),""))</f>
        <v/>
      </c>
      <c r="M314" s="10">
        <f>IF($C314="","",IFERROR(INDEX(tbl_Finance[Compare],MATCH($AE314,tbl_Finance[Row ID],0))&amp;"",""))</f>
        <v/>
      </c>
      <c r="N314" s="11">
        <f>IF($C314="","",MAX(0,N(O314)-N(L314)))</f>
        <v/>
      </c>
      <c r="O314" s="39" t="n"/>
      <c r="P314" s="40">
        <f>IF($C314="","",IF((IF(F314="",", Client","")&amp;IF(G314="",", Description","")&amp;IF(H314="",", Cost Centre","")&amp;IF(I314="",", Invoice Type","")&amp;IF(J314="",", Tax Code","")&amp;IF(O314="",", Expected Revenue","")&amp;IF(COUNTIF(tbl_Finance[Job Number],$C314&amp;"")&gt;1,", Job number used twice",""))="","Complete","Fix: "&amp;MID(IF(F314="",", Client","")&amp;IF(G314="",", Description","")&amp;IF(H314="",", Cost Centre","")&amp;IF(I314="",", Invoice Type","")&amp;IF(J314="",", Tax Code","")&amp;IF(O314="",", Expected Revenue","")&amp;IF(COUNTIF(tbl_Finance[Job Number],$C314&amp;"")&gt;1,", Job number used twice",""),3,300)))</f>
        <v/>
      </c>
      <c r="Q314" s="10">
        <f>IF($C314="","",IF(H314="","(no cost centre)",H314&amp;" - GL "&amp;IFERROR(INDEX(lst_CCtoGL,MATCH(H314,lst_CCforGL,0)),"?")))</f>
        <v/>
      </c>
      <c r="R314" s="37" t="n"/>
      <c r="S314" s="10">
        <f>IF(R314="","",HYPERLINK(IF(LEFT(R314,4)="http",R314,set_QwilrBase&amp;R314),"Open quote"))</f>
        <v/>
      </c>
      <c r="T314" s="39" t="n"/>
      <c r="U314" s="39" t="n"/>
      <c r="V314" s="39" t="n"/>
      <c r="W314" s="10">
        <f>IF(C314="","",IF(N(T314)+N(U314)+N(V314)=0,"Not split",IF(ROUND(N(T314)+N(U314)+N(V314),2)=ROUND(MAX(N(L314),N(O314)),2),"OK","MISMATCH")))</f>
        <v/>
      </c>
      <c r="X314" s="39" t="n"/>
      <c r="Y314" s="39" t="n"/>
      <c r="Z314" s="39" t="n"/>
      <c r="AA314" s="11">
        <f>IF(C314="","",N(X314)+N(Y314)+N(Z314))</f>
        <v/>
      </c>
      <c r="AB314" s="11">
        <f>IF(C314="","",MAX(N(L314),N(O314))-N(AA314))</f>
        <v/>
      </c>
      <c r="AC314" s="43">
        <f>IFERROR(IF(MAX(N(L314),N(O314))=0,"",AB314/MAX(N(L314),N(O314))),"")</f>
        <v/>
      </c>
      <c r="AD314" s="37" t="n"/>
      <c r="AE314" s="10" t="inlineStr">
        <is>
          <t>CON-0310</t>
        </is>
      </c>
    </row>
    <row r="315">
      <c r="A315" s="16">
        <f>IF($C315="","",IFERROR(IF(INDEX(tbl_Finance[Latest Invoice Date],MATCH($AE315,tbl_Finance[Row ID],0))="","",INDEX(tbl_Finance[Latest Invoice Date],MATCH($AE315,tbl_Finance[Row ID],0))),""))</f>
        <v/>
      </c>
      <c r="B315" s="10">
        <f>IF($C315="","",IFERROR(INDEX(tbl_Finance[Invoice Numbers],MATCH($AE315,tbl_Finance[Row ID],0))&amp;"",""))</f>
        <v/>
      </c>
      <c r="C315" s="37" t="n"/>
      <c r="D315" s="10">
        <f>IF($C315="","",IF(COUNTIF(lst_Jobs,$C315&amp;"")&gt;0,"OK","CHECK"))</f>
        <v/>
      </c>
      <c r="E315" s="10">
        <f>IF($C315="","",IFERROR(INDEX(lst_JobName,MATCH($C315&amp;"",lst_Jobs,0)),""))</f>
        <v/>
      </c>
      <c r="F315" s="37" t="n"/>
      <c r="G315" s="37" t="n"/>
      <c r="H315" s="37" t="n"/>
      <c r="I315" s="37" t="n"/>
      <c r="J315" s="37" t="n"/>
      <c r="K315" s="38">
        <f>IF($C315="","",IFERROR(N(INDEX(tbl_Finance[Invoice Count],MATCH($AE315,tbl_Finance[Row ID],0))),""))</f>
        <v/>
      </c>
      <c r="L315" s="11">
        <f>IF($C315="","",IFERROR(N(INDEX(tbl_Finance[Xero Invoiced Ex GST],MATCH($AE315,tbl_Finance[Row ID],0))),""))</f>
        <v/>
      </c>
      <c r="M315" s="10">
        <f>IF($C315="","",IFERROR(INDEX(tbl_Finance[Compare],MATCH($AE315,tbl_Finance[Row ID],0))&amp;"",""))</f>
        <v/>
      </c>
      <c r="N315" s="11">
        <f>IF($C315="","",MAX(0,N(O315)-N(L315)))</f>
        <v/>
      </c>
      <c r="O315" s="39" t="n"/>
      <c r="P315" s="40">
        <f>IF($C315="","",IF((IF(F315="",", Client","")&amp;IF(G315="",", Description","")&amp;IF(H315="",", Cost Centre","")&amp;IF(I315="",", Invoice Type","")&amp;IF(J315="",", Tax Code","")&amp;IF(O315="",", Expected Revenue","")&amp;IF(COUNTIF(tbl_Finance[Job Number],$C315&amp;"")&gt;1,", Job number used twice",""))="","Complete","Fix: "&amp;MID(IF(F315="",", Client","")&amp;IF(G315="",", Description","")&amp;IF(H315="",", Cost Centre","")&amp;IF(I315="",", Invoice Type","")&amp;IF(J315="",", Tax Code","")&amp;IF(O315="",", Expected Revenue","")&amp;IF(COUNTIF(tbl_Finance[Job Number],$C315&amp;"")&gt;1,", Job number used twice",""),3,300)))</f>
        <v/>
      </c>
      <c r="Q315" s="10">
        <f>IF($C315="","",IF(H315="","(no cost centre)",H315&amp;" - GL "&amp;IFERROR(INDEX(lst_CCtoGL,MATCH(H315,lst_CCforGL,0)),"?")))</f>
        <v/>
      </c>
      <c r="R315" s="37" t="n"/>
      <c r="S315" s="10">
        <f>IF(R315="","",HYPERLINK(IF(LEFT(R315,4)="http",R315,set_QwilrBase&amp;R315),"Open quote"))</f>
        <v/>
      </c>
      <c r="T315" s="39" t="n"/>
      <c r="U315" s="39" t="n"/>
      <c r="V315" s="39" t="n"/>
      <c r="W315" s="10">
        <f>IF(C315="","",IF(N(T315)+N(U315)+N(V315)=0,"Not split",IF(ROUND(N(T315)+N(U315)+N(V315),2)=ROUND(MAX(N(L315),N(O315)),2),"OK","MISMATCH")))</f>
        <v/>
      </c>
      <c r="X315" s="39" t="n"/>
      <c r="Y315" s="39" t="n"/>
      <c r="Z315" s="39" t="n"/>
      <c r="AA315" s="11">
        <f>IF(C315="","",N(X315)+N(Y315)+N(Z315))</f>
        <v/>
      </c>
      <c r="AB315" s="11">
        <f>IF(C315="","",MAX(N(L315),N(O315))-N(AA315))</f>
        <v/>
      </c>
      <c r="AC315" s="43">
        <f>IFERROR(IF(MAX(N(L315),N(O315))=0,"",AB315/MAX(N(L315),N(O315))),"")</f>
        <v/>
      </c>
      <c r="AD315" s="37" t="n"/>
      <c r="AE315" s="10" t="inlineStr">
        <is>
          <t>CON-0311</t>
        </is>
      </c>
    </row>
    <row r="316">
      <c r="A316" s="16">
        <f>IF($C316="","",IFERROR(IF(INDEX(tbl_Finance[Latest Invoice Date],MATCH($AE316,tbl_Finance[Row ID],0))="","",INDEX(tbl_Finance[Latest Invoice Date],MATCH($AE316,tbl_Finance[Row ID],0))),""))</f>
        <v/>
      </c>
      <c r="B316" s="10">
        <f>IF($C316="","",IFERROR(INDEX(tbl_Finance[Invoice Numbers],MATCH($AE316,tbl_Finance[Row ID],0))&amp;"",""))</f>
        <v/>
      </c>
      <c r="C316" s="37" t="n"/>
      <c r="D316" s="10">
        <f>IF($C316="","",IF(COUNTIF(lst_Jobs,$C316&amp;"")&gt;0,"OK","CHECK"))</f>
        <v/>
      </c>
      <c r="E316" s="10">
        <f>IF($C316="","",IFERROR(INDEX(lst_JobName,MATCH($C316&amp;"",lst_Jobs,0)),""))</f>
        <v/>
      </c>
      <c r="F316" s="37" t="n"/>
      <c r="G316" s="37" t="n"/>
      <c r="H316" s="37" t="n"/>
      <c r="I316" s="37" t="n"/>
      <c r="J316" s="37" t="n"/>
      <c r="K316" s="38">
        <f>IF($C316="","",IFERROR(N(INDEX(tbl_Finance[Invoice Count],MATCH($AE316,tbl_Finance[Row ID],0))),""))</f>
        <v/>
      </c>
      <c r="L316" s="11">
        <f>IF($C316="","",IFERROR(N(INDEX(tbl_Finance[Xero Invoiced Ex GST],MATCH($AE316,tbl_Finance[Row ID],0))),""))</f>
        <v/>
      </c>
      <c r="M316" s="10">
        <f>IF($C316="","",IFERROR(INDEX(tbl_Finance[Compare],MATCH($AE316,tbl_Finance[Row ID],0))&amp;"",""))</f>
        <v/>
      </c>
      <c r="N316" s="11">
        <f>IF($C316="","",MAX(0,N(O316)-N(L316)))</f>
        <v/>
      </c>
      <c r="O316" s="39" t="n"/>
      <c r="P316" s="40">
        <f>IF($C316="","",IF((IF(F316="",", Client","")&amp;IF(G316="",", Description","")&amp;IF(H316="",", Cost Centre","")&amp;IF(I316="",", Invoice Type","")&amp;IF(J316="",", Tax Code","")&amp;IF(O316="",", Expected Revenue","")&amp;IF(COUNTIF(tbl_Finance[Job Number],$C316&amp;"")&gt;1,", Job number used twice",""))="","Complete","Fix: "&amp;MID(IF(F316="",", Client","")&amp;IF(G316="",", Description","")&amp;IF(H316="",", Cost Centre","")&amp;IF(I316="",", Invoice Type","")&amp;IF(J316="",", Tax Code","")&amp;IF(O316="",", Expected Revenue","")&amp;IF(COUNTIF(tbl_Finance[Job Number],$C316&amp;"")&gt;1,", Job number used twice",""),3,300)))</f>
        <v/>
      </c>
      <c r="Q316" s="10">
        <f>IF($C316="","",IF(H316="","(no cost centre)",H316&amp;" - GL "&amp;IFERROR(INDEX(lst_CCtoGL,MATCH(H316,lst_CCforGL,0)),"?")))</f>
        <v/>
      </c>
      <c r="R316" s="37" t="n"/>
      <c r="S316" s="10">
        <f>IF(R316="","",HYPERLINK(IF(LEFT(R316,4)="http",R316,set_QwilrBase&amp;R316),"Open quote"))</f>
        <v/>
      </c>
      <c r="T316" s="39" t="n"/>
      <c r="U316" s="39" t="n"/>
      <c r="V316" s="39" t="n"/>
      <c r="W316" s="10">
        <f>IF(C316="","",IF(N(T316)+N(U316)+N(V316)=0,"Not split",IF(ROUND(N(T316)+N(U316)+N(V316),2)=ROUND(MAX(N(L316),N(O316)),2),"OK","MISMATCH")))</f>
        <v/>
      </c>
      <c r="X316" s="39" t="n"/>
      <c r="Y316" s="39" t="n"/>
      <c r="Z316" s="39" t="n"/>
      <c r="AA316" s="11">
        <f>IF(C316="","",N(X316)+N(Y316)+N(Z316))</f>
        <v/>
      </c>
      <c r="AB316" s="11">
        <f>IF(C316="","",MAX(N(L316),N(O316))-N(AA316))</f>
        <v/>
      </c>
      <c r="AC316" s="43">
        <f>IFERROR(IF(MAX(N(L316),N(O316))=0,"",AB316/MAX(N(L316),N(O316))),"")</f>
        <v/>
      </c>
      <c r="AD316" s="37" t="n"/>
      <c r="AE316" s="10" t="inlineStr">
        <is>
          <t>CON-0312</t>
        </is>
      </c>
    </row>
    <row r="317">
      <c r="A317" s="16">
        <f>IF($C317="","",IFERROR(IF(INDEX(tbl_Finance[Latest Invoice Date],MATCH($AE317,tbl_Finance[Row ID],0))="","",INDEX(tbl_Finance[Latest Invoice Date],MATCH($AE317,tbl_Finance[Row ID],0))),""))</f>
        <v/>
      </c>
      <c r="B317" s="10">
        <f>IF($C317="","",IFERROR(INDEX(tbl_Finance[Invoice Numbers],MATCH($AE317,tbl_Finance[Row ID],0))&amp;"",""))</f>
        <v/>
      </c>
      <c r="C317" s="37" t="n"/>
      <c r="D317" s="10">
        <f>IF($C317="","",IF(COUNTIF(lst_Jobs,$C317&amp;"")&gt;0,"OK","CHECK"))</f>
        <v/>
      </c>
      <c r="E317" s="10">
        <f>IF($C317="","",IFERROR(INDEX(lst_JobName,MATCH($C317&amp;"",lst_Jobs,0)),""))</f>
        <v/>
      </c>
      <c r="F317" s="37" t="n"/>
      <c r="G317" s="37" t="n"/>
      <c r="H317" s="37" t="n"/>
      <c r="I317" s="37" t="n"/>
      <c r="J317" s="37" t="n"/>
      <c r="K317" s="38">
        <f>IF($C317="","",IFERROR(N(INDEX(tbl_Finance[Invoice Count],MATCH($AE317,tbl_Finance[Row ID],0))),""))</f>
        <v/>
      </c>
      <c r="L317" s="11">
        <f>IF($C317="","",IFERROR(N(INDEX(tbl_Finance[Xero Invoiced Ex GST],MATCH($AE317,tbl_Finance[Row ID],0))),""))</f>
        <v/>
      </c>
      <c r="M317" s="10">
        <f>IF($C317="","",IFERROR(INDEX(tbl_Finance[Compare],MATCH($AE317,tbl_Finance[Row ID],0))&amp;"",""))</f>
        <v/>
      </c>
      <c r="N317" s="11">
        <f>IF($C317="","",MAX(0,N(O317)-N(L317)))</f>
        <v/>
      </c>
      <c r="O317" s="39" t="n"/>
      <c r="P317" s="40">
        <f>IF($C317="","",IF((IF(F317="",", Client","")&amp;IF(G317="",", Description","")&amp;IF(H317="",", Cost Centre","")&amp;IF(I317="",", Invoice Type","")&amp;IF(J317="",", Tax Code","")&amp;IF(O317="",", Expected Revenue","")&amp;IF(COUNTIF(tbl_Finance[Job Number],$C317&amp;"")&gt;1,", Job number used twice",""))="","Complete","Fix: "&amp;MID(IF(F317="",", Client","")&amp;IF(G317="",", Description","")&amp;IF(H317="",", Cost Centre","")&amp;IF(I317="",", Invoice Type","")&amp;IF(J317="",", Tax Code","")&amp;IF(O317="",", Expected Revenue","")&amp;IF(COUNTIF(tbl_Finance[Job Number],$C317&amp;"")&gt;1,", Job number used twice",""),3,300)))</f>
        <v/>
      </c>
      <c r="Q317" s="10">
        <f>IF($C317="","",IF(H317="","(no cost centre)",H317&amp;" - GL "&amp;IFERROR(INDEX(lst_CCtoGL,MATCH(H317,lst_CCforGL,0)),"?")))</f>
        <v/>
      </c>
      <c r="R317" s="37" t="n"/>
      <c r="S317" s="10">
        <f>IF(R317="","",HYPERLINK(IF(LEFT(R317,4)="http",R317,set_QwilrBase&amp;R317),"Open quote"))</f>
        <v/>
      </c>
      <c r="T317" s="39" t="n"/>
      <c r="U317" s="39" t="n"/>
      <c r="V317" s="39" t="n"/>
      <c r="W317" s="10">
        <f>IF(C317="","",IF(N(T317)+N(U317)+N(V317)=0,"Not split",IF(ROUND(N(T317)+N(U317)+N(V317),2)=ROUND(MAX(N(L317),N(O317)),2),"OK","MISMATCH")))</f>
        <v/>
      </c>
      <c r="X317" s="39" t="n"/>
      <c r="Y317" s="39" t="n"/>
      <c r="Z317" s="39" t="n"/>
      <c r="AA317" s="11">
        <f>IF(C317="","",N(X317)+N(Y317)+N(Z317))</f>
        <v/>
      </c>
      <c r="AB317" s="11">
        <f>IF(C317="","",MAX(N(L317),N(O317))-N(AA317))</f>
        <v/>
      </c>
      <c r="AC317" s="43">
        <f>IFERROR(IF(MAX(N(L317),N(O317))=0,"",AB317/MAX(N(L317),N(O317))),"")</f>
        <v/>
      </c>
      <c r="AD317" s="37" t="n"/>
      <c r="AE317" s="10" t="inlineStr">
        <is>
          <t>CON-0313</t>
        </is>
      </c>
    </row>
    <row r="318">
      <c r="A318" s="16">
        <f>IF($C318="","",IFERROR(IF(INDEX(tbl_Finance[Latest Invoice Date],MATCH($AE318,tbl_Finance[Row ID],0))="","",INDEX(tbl_Finance[Latest Invoice Date],MATCH($AE318,tbl_Finance[Row ID],0))),""))</f>
        <v/>
      </c>
      <c r="B318" s="10">
        <f>IF($C318="","",IFERROR(INDEX(tbl_Finance[Invoice Numbers],MATCH($AE318,tbl_Finance[Row ID],0))&amp;"",""))</f>
        <v/>
      </c>
      <c r="C318" s="37" t="n"/>
      <c r="D318" s="10">
        <f>IF($C318="","",IF(COUNTIF(lst_Jobs,$C318&amp;"")&gt;0,"OK","CHECK"))</f>
        <v/>
      </c>
      <c r="E318" s="10">
        <f>IF($C318="","",IFERROR(INDEX(lst_JobName,MATCH($C318&amp;"",lst_Jobs,0)),""))</f>
        <v/>
      </c>
      <c r="F318" s="37" t="n"/>
      <c r="G318" s="37" t="n"/>
      <c r="H318" s="37" t="n"/>
      <c r="I318" s="37" t="n"/>
      <c r="J318" s="37" t="n"/>
      <c r="K318" s="38">
        <f>IF($C318="","",IFERROR(N(INDEX(tbl_Finance[Invoice Count],MATCH($AE318,tbl_Finance[Row ID],0))),""))</f>
        <v/>
      </c>
      <c r="L318" s="11">
        <f>IF($C318="","",IFERROR(N(INDEX(tbl_Finance[Xero Invoiced Ex GST],MATCH($AE318,tbl_Finance[Row ID],0))),""))</f>
        <v/>
      </c>
      <c r="M318" s="10">
        <f>IF($C318="","",IFERROR(INDEX(tbl_Finance[Compare],MATCH($AE318,tbl_Finance[Row ID],0))&amp;"",""))</f>
        <v/>
      </c>
      <c r="N318" s="11">
        <f>IF($C318="","",MAX(0,N(O318)-N(L318)))</f>
        <v/>
      </c>
      <c r="O318" s="39" t="n"/>
      <c r="P318" s="40">
        <f>IF($C318="","",IF((IF(F318="",", Client","")&amp;IF(G318="",", Description","")&amp;IF(H318="",", Cost Centre","")&amp;IF(I318="",", Invoice Type","")&amp;IF(J318="",", Tax Code","")&amp;IF(O318="",", Expected Revenue","")&amp;IF(COUNTIF(tbl_Finance[Job Number],$C318&amp;"")&gt;1,", Job number used twice",""))="","Complete","Fix: "&amp;MID(IF(F318="",", Client","")&amp;IF(G318="",", Description","")&amp;IF(H318="",", Cost Centre","")&amp;IF(I318="",", Invoice Type","")&amp;IF(J318="",", Tax Code","")&amp;IF(O318="",", Expected Revenue","")&amp;IF(COUNTIF(tbl_Finance[Job Number],$C318&amp;"")&gt;1,", Job number used twice",""),3,300)))</f>
        <v/>
      </c>
      <c r="Q318" s="10">
        <f>IF($C318="","",IF(H318="","(no cost centre)",H318&amp;" - GL "&amp;IFERROR(INDEX(lst_CCtoGL,MATCH(H318,lst_CCforGL,0)),"?")))</f>
        <v/>
      </c>
      <c r="R318" s="37" t="n"/>
      <c r="S318" s="10">
        <f>IF(R318="","",HYPERLINK(IF(LEFT(R318,4)="http",R318,set_QwilrBase&amp;R318),"Open quote"))</f>
        <v/>
      </c>
      <c r="T318" s="39" t="n"/>
      <c r="U318" s="39" t="n"/>
      <c r="V318" s="39" t="n"/>
      <c r="W318" s="10">
        <f>IF(C318="","",IF(N(T318)+N(U318)+N(V318)=0,"Not split",IF(ROUND(N(T318)+N(U318)+N(V318),2)=ROUND(MAX(N(L318),N(O318)),2),"OK","MISMATCH")))</f>
        <v/>
      </c>
      <c r="X318" s="39" t="n"/>
      <c r="Y318" s="39" t="n"/>
      <c r="Z318" s="39" t="n"/>
      <c r="AA318" s="11">
        <f>IF(C318="","",N(X318)+N(Y318)+N(Z318))</f>
        <v/>
      </c>
      <c r="AB318" s="11">
        <f>IF(C318="","",MAX(N(L318),N(O318))-N(AA318))</f>
        <v/>
      </c>
      <c r="AC318" s="43">
        <f>IFERROR(IF(MAX(N(L318),N(O318))=0,"",AB318/MAX(N(L318),N(O318))),"")</f>
        <v/>
      </c>
      <c r="AD318" s="37" t="n"/>
      <c r="AE318" s="10" t="inlineStr">
        <is>
          <t>CON-0314</t>
        </is>
      </c>
    </row>
    <row r="319">
      <c r="A319" s="16">
        <f>IF($C319="","",IFERROR(IF(INDEX(tbl_Finance[Latest Invoice Date],MATCH($AE319,tbl_Finance[Row ID],0))="","",INDEX(tbl_Finance[Latest Invoice Date],MATCH($AE319,tbl_Finance[Row ID],0))),""))</f>
        <v/>
      </c>
      <c r="B319" s="10">
        <f>IF($C319="","",IFERROR(INDEX(tbl_Finance[Invoice Numbers],MATCH($AE319,tbl_Finance[Row ID],0))&amp;"",""))</f>
        <v/>
      </c>
      <c r="C319" s="37" t="n"/>
      <c r="D319" s="10">
        <f>IF($C319="","",IF(COUNTIF(lst_Jobs,$C319&amp;"")&gt;0,"OK","CHECK"))</f>
        <v/>
      </c>
      <c r="E319" s="10">
        <f>IF($C319="","",IFERROR(INDEX(lst_JobName,MATCH($C319&amp;"",lst_Jobs,0)),""))</f>
        <v/>
      </c>
      <c r="F319" s="37" t="n"/>
      <c r="G319" s="37" t="n"/>
      <c r="H319" s="37" t="n"/>
      <c r="I319" s="37" t="n"/>
      <c r="J319" s="37" t="n"/>
      <c r="K319" s="38">
        <f>IF($C319="","",IFERROR(N(INDEX(tbl_Finance[Invoice Count],MATCH($AE319,tbl_Finance[Row ID],0))),""))</f>
        <v/>
      </c>
      <c r="L319" s="11">
        <f>IF($C319="","",IFERROR(N(INDEX(tbl_Finance[Xero Invoiced Ex GST],MATCH($AE319,tbl_Finance[Row ID],0))),""))</f>
        <v/>
      </c>
      <c r="M319" s="10">
        <f>IF($C319="","",IFERROR(INDEX(tbl_Finance[Compare],MATCH($AE319,tbl_Finance[Row ID],0))&amp;"",""))</f>
        <v/>
      </c>
      <c r="N319" s="11">
        <f>IF($C319="","",MAX(0,N(O319)-N(L319)))</f>
        <v/>
      </c>
      <c r="O319" s="39" t="n"/>
      <c r="P319" s="40">
        <f>IF($C319="","",IF((IF(F319="",", Client","")&amp;IF(G319="",", Description","")&amp;IF(H319="",", Cost Centre","")&amp;IF(I319="",", Invoice Type","")&amp;IF(J319="",", Tax Code","")&amp;IF(O319="",", Expected Revenue","")&amp;IF(COUNTIF(tbl_Finance[Job Number],$C319&amp;"")&gt;1,", Job number used twice",""))="","Complete","Fix: "&amp;MID(IF(F319="",", Client","")&amp;IF(G319="",", Description","")&amp;IF(H319="",", Cost Centre","")&amp;IF(I319="",", Invoice Type","")&amp;IF(J319="",", Tax Code","")&amp;IF(O319="",", Expected Revenue","")&amp;IF(COUNTIF(tbl_Finance[Job Number],$C319&amp;"")&gt;1,", Job number used twice",""),3,300)))</f>
        <v/>
      </c>
      <c r="Q319" s="10">
        <f>IF($C319="","",IF(H319="","(no cost centre)",H319&amp;" - GL "&amp;IFERROR(INDEX(lst_CCtoGL,MATCH(H319,lst_CCforGL,0)),"?")))</f>
        <v/>
      </c>
      <c r="R319" s="37" t="n"/>
      <c r="S319" s="10">
        <f>IF(R319="","",HYPERLINK(IF(LEFT(R319,4)="http",R319,set_QwilrBase&amp;R319),"Open quote"))</f>
        <v/>
      </c>
      <c r="T319" s="39" t="n"/>
      <c r="U319" s="39" t="n"/>
      <c r="V319" s="39" t="n"/>
      <c r="W319" s="10">
        <f>IF(C319="","",IF(N(T319)+N(U319)+N(V319)=0,"Not split",IF(ROUND(N(T319)+N(U319)+N(V319),2)=ROUND(MAX(N(L319),N(O319)),2),"OK","MISMATCH")))</f>
        <v/>
      </c>
      <c r="X319" s="39" t="n"/>
      <c r="Y319" s="39" t="n"/>
      <c r="Z319" s="39" t="n"/>
      <c r="AA319" s="11">
        <f>IF(C319="","",N(X319)+N(Y319)+N(Z319))</f>
        <v/>
      </c>
      <c r="AB319" s="11">
        <f>IF(C319="","",MAX(N(L319),N(O319))-N(AA319))</f>
        <v/>
      </c>
      <c r="AC319" s="43">
        <f>IFERROR(IF(MAX(N(L319),N(O319))=0,"",AB319/MAX(N(L319),N(O319))),"")</f>
        <v/>
      </c>
      <c r="AD319" s="37" t="n"/>
      <c r="AE319" s="10" t="inlineStr">
        <is>
          <t>CON-0315</t>
        </is>
      </c>
    </row>
    <row r="320">
      <c r="A320" s="16">
        <f>IF($C320="","",IFERROR(IF(INDEX(tbl_Finance[Latest Invoice Date],MATCH($AE320,tbl_Finance[Row ID],0))="","",INDEX(tbl_Finance[Latest Invoice Date],MATCH($AE320,tbl_Finance[Row ID],0))),""))</f>
        <v/>
      </c>
      <c r="B320" s="10">
        <f>IF($C320="","",IFERROR(INDEX(tbl_Finance[Invoice Numbers],MATCH($AE320,tbl_Finance[Row ID],0))&amp;"",""))</f>
        <v/>
      </c>
      <c r="C320" s="37" t="n"/>
      <c r="D320" s="10">
        <f>IF($C320="","",IF(COUNTIF(lst_Jobs,$C320&amp;"")&gt;0,"OK","CHECK"))</f>
        <v/>
      </c>
      <c r="E320" s="10">
        <f>IF($C320="","",IFERROR(INDEX(lst_JobName,MATCH($C320&amp;"",lst_Jobs,0)),""))</f>
        <v/>
      </c>
      <c r="F320" s="37" t="n"/>
      <c r="G320" s="37" t="n"/>
      <c r="H320" s="37" t="n"/>
      <c r="I320" s="37" t="n"/>
      <c r="J320" s="37" t="n"/>
      <c r="K320" s="38">
        <f>IF($C320="","",IFERROR(N(INDEX(tbl_Finance[Invoice Count],MATCH($AE320,tbl_Finance[Row ID],0))),""))</f>
        <v/>
      </c>
      <c r="L320" s="11">
        <f>IF($C320="","",IFERROR(N(INDEX(tbl_Finance[Xero Invoiced Ex GST],MATCH($AE320,tbl_Finance[Row ID],0))),""))</f>
        <v/>
      </c>
      <c r="M320" s="10">
        <f>IF($C320="","",IFERROR(INDEX(tbl_Finance[Compare],MATCH($AE320,tbl_Finance[Row ID],0))&amp;"",""))</f>
        <v/>
      </c>
      <c r="N320" s="11">
        <f>IF($C320="","",MAX(0,N(O320)-N(L320)))</f>
        <v/>
      </c>
      <c r="O320" s="39" t="n"/>
      <c r="P320" s="40">
        <f>IF($C320="","",IF((IF(F320="",", Client","")&amp;IF(G320="",", Description","")&amp;IF(H320="",", Cost Centre","")&amp;IF(I320="",", Invoice Type","")&amp;IF(J320="",", Tax Code","")&amp;IF(O320="",", Expected Revenue","")&amp;IF(COUNTIF(tbl_Finance[Job Number],$C320&amp;"")&gt;1,", Job number used twice",""))="","Complete","Fix: "&amp;MID(IF(F320="",", Client","")&amp;IF(G320="",", Description","")&amp;IF(H320="",", Cost Centre","")&amp;IF(I320="",", Invoice Type","")&amp;IF(J320="",", Tax Code","")&amp;IF(O320="",", Expected Revenue","")&amp;IF(COUNTIF(tbl_Finance[Job Number],$C320&amp;"")&gt;1,", Job number used twice",""),3,300)))</f>
        <v/>
      </c>
      <c r="Q320" s="10">
        <f>IF($C320="","",IF(H320="","(no cost centre)",H320&amp;" - GL "&amp;IFERROR(INDEX(lst_CCtoGL,MATCH(H320,lst_CCforGL,0)),"?")))</f>
        <v/>
      </c>
      <c r="R320" s="37" t="n"/>
      <c r="S320" s="10">
        <f>IF(R320="","",HYPERLINK(IF(LEFT(R320,4)="http",R320,set_QwilrBase&amp;R320),"Open quote"))</f>
        <v/>
      </c>
      <c r="T320" s="39" t="n"/>
      <c r="U320" s="39" t="n"/>
      <c r="V320" s="39" t="n"/>
      <c r="W320" s="10">
        <f>IF(C320="","",IF(N(T320)+N(U320)+N(V320)=0,"Not split",IF(ROUND(N(T320)+N(U320)+N(V320),2)=ROUND(MAX(N(L320),N(O320)),2),"OK","MISMATCH")))</f>
        <v/>
      </c>
      <c r="X320" s="39" t="n"/>
      <c r="Y320" s="39" t="n"/>
      <c r="Z320" s="39" t="n"/>
      <c r="AA320" s="11">
        <f>IF(C320="","",N(X320)+N(Y320)+N(Z320))</f>
        <v/>
      </c>
      <c r="AB320" s="11">
        <f>IF(C320="","",MAX(N(L320),N(O320))-N(AA320))</f>
        <v/>
      </c>
      <c r="AC320" s="43">
        <f>IFERROR(IF(MAX(N(L320),N(O320))=0,"",AB320/MAX(N(L320),N(O320))),"")</f>
        <v/>
      </c>
      <c r="AD320" s="37" t="n"/>
      <c r="AE320" s="10" t="inlineStr">
        <is>
          <t>CON-0316</t>
        </is>
      </c>
    </row>
    <row r="321">
      <c r="A321" s="16">
        <f>IF($C321="","",IFERROR(IF(INDEX(tbl_Finance[Latest Invoice Date],MATCH($AE321,tbl_Finance[Row ID],0))="","",INDEX(tbl_Finance[Latest Invoice Date],MATCH($AE321,tbl_Finance[Row ID],0))),""))</f>
        <v/>
      </c>
      <c r="B321" s="10">
        <f>IF($C321="","",IFERROR(INDEX(tbl_Finance[Invoice Numbers],MATCH($AE321,tbl_Finance[Row ID],0))&amp;"",""))</f>
        <v/>
      </c>
      <c r="C321" s="37" t="n"/>
      <c r="D321" s="10">
        <f>IF($C321="","",IF(COUNTIF(lst_Jobs,$C321&amp;"")&gt;0,"OK","CHECK"))</f>
        <v/>
      </c>
      <c r="E321" s="10">
        <f>IF($C321="","",IFERROR(INDEX(lst_JobName,MATCH($C321&amp;"",lst_Jobs,0)),""))</f>
        <v/>
      </c>
      <c r="F321" s="37" t="n"/>
      <c r="G321" s="37" t="n"/>
      <c r="H321" s="37" t="n"/>
      <c r="I321" s="37" t="n"/>
      <c r="J321" s="37" t="n"/>
      <c r="K321" s="38">
        <f>IF($C321="","",IFERROR(N(INDEX(tbl_Finance[Invoice Count],MATCH($AE321,tbl_Finance[Row ID],0))),""))</f>
        <v/>
      </c>
      <c r="L321" s="11">
        <f>IF($C321="","",IFERROR(N(INDEX(tbl_Finance[Xero Invoiced Ex GST],MATCH($AE321,tbl_Finance[Row ID],0))),""))</f>
        <v/>
      </c>
      <c r="M321" s="10">
        <f>IF($C321="","",IFERROR(INDEX(tbl_Finance[Compare],MATCH($AE321,tbl_Finance[Row ID],0))&amp;"",""))</f>
        <v/>
      </c>
      <c r="N321" s="11">
        <f>IF($C321="","",MAX(0,N(O321)-N(L321)))</f>
        <v/>
      </c>
      <c r="O321" s="39" t="n"/>
      <c r="P321" s="40">
        <f>IF($C321="","",IF((IF(F321="",", Client","")&amp;IF(G321="",", Description","")&amp;IF(H321="",", Cost Centre","")&amp;IF(I321="",", Invoice Type","")&amp;IF(J321="",", Tax Code","")&amp;IF(O321="",", Expected Revenue","")&amp;IF(COUNTIF(tbl_Finance[Job Number],$C321&amp;"")&gt;1,", Job number used twice",""))="","Complete","Fix: "&amp;MID(IF(F321="",", Client","")&amp;IF(G321="",", Description","")&amp;IF(H321="",", Cost Centre","")&amp;IF(I321="",", Invoice Type","")&amp;IF(J321="",", Tax Code","")&amp;IF(O321="",", Expected Revenue","")&amp;IF(COUNTIF(tbl_Finance[Job Number],$C321&amp;"")&gt;1,", Job number used twice",""),3,300)))</f>
        <v/>
      </c>
      <c r="Q321" s="10">
        <f>IF($C321="","",IF(H321="","(no cost centre)",H321&amp;" - GL "&amp;IFERROR(INDEX(lst_CCtoGL,MATCH(H321,lst_CCforGL,0)),"?")))</f>
        <v/>
      </c>
      <c r="R321" s="37" t="n"/>
      <c r="S321" s="10">
        <f>IF(R321="","",HYPERLINK(IF(LEFT(R321,4)="http",R321,set_QwilrBase&amp;R321),"Open quote"))</f>
        <v/>
      </c>
      <c r="T321" s="39" t="n"/>
      <c r="U321" s="39" t="n"/>
      <c r="V321" s="39" t="n"/>
      <c r="W321" s="10">
        <f>IF(C321="","",IF(N(T321)+N(U321)+N(V321)=0,"Not split",IF(ROUND(N(T321)+N(U321)+N(V321),2)=ROUND(MAX(N(L321),N(O321)),2),"OK","MISMATCH")))</f>
        <v/>
      </c>
      <c r="X321" s="39" t="n"/>
      <c r="Y321" s="39" t="n"/>
      <c r="Z321" s="39" t="n"/>
      <c r="AA321" s="11">
        <f>IF(C321="","",N(X321)+N(Y321)+N(Z321))</f>
        <v/>
      </c>
      <c r="AB321" s="11">
        <f>IF(C321="","",MAX(N(L321),N(O321))-N(AA321))</f>
        <v/>
      </c>
      <c r="AC321" s="43">
        <f>IFERROR(IF(MAX(N(L321),N(O321))=0,"",AB321/MAX(N(L321),N(O321))),"")</f>
        <v/>
      </c>
      <c r="AD321" s="37" t="n"/>
      <c r="AE321" s="10" t="inlineStr">
        <is>
          <t>CON-0317</t>
        </is>
      </c>
    </row>
    <row r="322">
      <c r="A322" s="16">
        <f>IF($C322="","",IFERROR(IF(INDEX(tbl_Finance[Latest Invoice Date],MATCH($AE322,tbl_Finance[Row ID],0))="","",INDEX(tbl_Finance[Latest Invoice Date],MATCH($AE322,tbl_Finance[Row ID],0))),""))</f>
        <v/>
      </c>
      <c r="B322" s="10">
        <f>IF($C322="","",IFERROR(INDEX(tbl_Finance[Invoice Numbers],MATCH($AE322,tbl_Finance[Row ID],0))&amp;"",""))</f>
        <v/>
      </c>
      <c r="C322" s="37" t="n"/>
      <c r="D322" s="10">
        <f>IF($C322="","",IF(COUNTIF(lst_Jobs,$C322&amp;"")&gt;0,"OK","CHECK"))</f>
        <v/>
      </c>
      <c r="E322" s="10">
        <f>IF($C322="","",IFERROR(INDEX(lst_JobName,MATCH($C322&amp;"",lst_Jobs,0)),""))</f>
        <v/>
      </c>
      <c r="F322" s="37" t="n"/>
      <c r="G322" s="37" t="n"/>
      <c r="H322" s="37" t="n"/>
      <c r="I322" s="37" t="n"/>
      <c r="J322" s="37" t="n"/>
      <c r="K322" s="38">
        <f>IF($C322="","",IFERROR(N(INDEX(tbl_Finance[Invoice Count],MATCH($AE322,tbl_Finance[Row ID],0))),""))</f>
        <v/>
      </c>
      <c r="L322" s="11">
        <f>IF($C322="","",IFERROR(N(INDEX(tbl_Finance[Xero Invoiced Ex GST],MATCH($AE322,tbl_Finance[Row ID],0))),""))</f>
        <v/>
      </c>
      <c r="M322" s="10">
        <f>IF($C322="","",IFERROR(INDEX(tbl_Finance[Compare],MATCH($AE322,tbl_Finance[Row ID],0))&amp;"",""))</f>
        <v/>
      </c>
      <c r="N322" s="11">
        <f>IF($C322="","",MAX(0,N(O322)-N(L322)))</f>
        <v/>
      </c>
      <c r="O322" s="39" t="n"/>
      <c r="P322" s="40">
        <f>IF($C322="","",IF((IF(F322="",", Client","")&amp;IF(G322="",", Description","")&amp;IF(H322="",", Cost Centre","")&amp;IF(I322="",", Invoice Type","")&amp;IF(J322="",", Tax Code","")&amp;IF(O322="",", Expected Revenue","")&amp;IF(COUNTIF(tbl_Finance[Job Number],$C322&amp;"")&gt;1,", Job number used twice",""))="","Complete","Fix: "&amp;MID(IF(F322="",", Client","")&amp;IF(G322="",", Description","")&amp;IF(H322="",", Cost Centre","")&amp;IF(I322="",", Invoice Type","")&amp;IF(J322="",", Tax Code","")&amp;IF(O322="",", Expected Revenue","")&amp;IF(COUNTIF(tbl_Finance[Job Number],$C322&amp;"")&gt;1,", Job number used twice",""),3,300)))</f>
        <v/>
      </c>
      <c r="Q322" s="10">
        <f>IF($C322="","",IF(H322="","(no cost centre)",H322&amp;" - GL "&amp;IFERROR(INDEX(lst_CCtoGL,MATCH(H322,lst_CCforGL,0)),"?")))</f>
        <v/>
      </c>
      <c r="R322" s="37" t="n"/>
      <c r="S322" s="10">
        <f>IF(R322="","",HYPERLINK(IF(LEFT(R322,4)="http",R322,set_QwilrBase&amp;R322),"Open quote"))</f>
        <v/>
      </c>
      <c r="T322" s="39" t="n"/>
      <c r="U322" s="39" t="n"/>
      <c r="V322" s="39" t="n"/>
      <c r="W322" s="10">
        <f>IF(C322="","",IF(N(T322)+N(U322)+N(V322)=0,"Not split",IF(ROUND(N(T322)+N(U322)+N(V322),2)=ROUND(MAX(N(L322),N(O322)),2),"OK","MISMATCH")))</f>
        <v/>
      </c>
      <c r="X322" s="39" t="n"/>
      <c r="Y322" s="39" t="n"/>
      <c r="Z322" s="39" t="n"/>
      <c r="AA322" s="11">
        <f>IF(C322="","",N(X322)+N(Y322)+N(Z322))</f>
        <v/>
      </c>
      <c r="AB322" s="11">
        <f>IF(C322="","",MAX(N(L322),N(O322))-N(AA322))</f>
        <v/>
      </c>
      <c r="AC322" s="43">
        <f>IFERROR(IF(MAX(N(L322),N(O322))=0,"",AB322/MAX(N(L322),N(O322))),"")</f>
        <v/>
      </c>
      <c r="AD322" s="37" t="n"/>
      <c r="AE322" s="10" t="inlineStr">
        <is>
          <t>CON-0318</t>
        </is>
      </c>
    </row>
    <row r="323">
      <c r="A323" s="16">
        <f>IF($C323="","",IFERROR(IF(INDEX(tbl_Finance[Latest Invoice Date],MATCH($AE323,tbl_Finance[Row ID],0))="","",INDEX(tbl_Finance[Latest Invoice Date],MATCH($AE323,tbl_Finance[Row ID],0))),""))</f>
        <v/>
      </c>
      <c r="B323" s="10">
        <f>IF($C323="","",IFERROR(INDEX(tbl_Finance[Invoice Numbers],MATCH($AE323,tbl_Finance[Row ID],0))&amp;"",""))</f>
        <v/>
      </c>
      <c r="C323" s="37" t="n"/>
      <c r="D323" s="10">
        <f>IF($C323="","",IF(COUNTIF(lst_Jobs,$C323&amp;"")&gt;0,"OK","CHECK"))</f>
        <v/>
      </c>
      <c r="E323" s="10">
        <f>IF($C323="","",IFERROR(INDEX(lst_JobName,MATCH($C323&amp;"",lst_Jobs,0)),""))</f>
        <v/>
      </c>
      <c r="F323" s="37" t="n"/>
      <c r="G323" s="37" t="n"/>
      <c r="H323" s="37" t="n"/>
      <c r="I323" s="37" t="n"/>
      <c r="J323" s="37" t="n"/>
      <c r="K323" s="38">
        <f>IF($C323="","",IFERROR(N(INDEX(tbl_Finance[Invoice Count],MATCH($AE323,tbl_Finance[Row ID],0))),""))</f>
        <v/>
      </c>
      <c r="L323" s="11">
        <f>IF($C323="","",IFERROR(N(INDEX(tbl_Finance[Xero Invoiced Ex GST],MATCH($AE323,tbl_Finance[Row ID],0))),""))</f>
        <v/>
      </c>
      <c r="M323" s="10">
        <f>IF($C323="","",IFERROR(INDEX(tbl_Finance[Compare],MATCH($AE323,tbl_Finance[Row ID],0))&amp;"",""))</f>
        <v/>
      </c>
      <c r="N323" s="11">
        <f>IF($C323="","",MAX(0,N(O323)-N(L323)))</f>
        <v/>
      </c>
      <c r="O323" s="39" t="n"/>
      <c r="P323" s="40">
        <f>IF($C323="","",IF((IF(F323="",", Client","")&amp;IF(G323="",", Description","")&amp;IF(H323="",", Cost Centre","")&amp;IF(I323="",", Invoice Type","")&amp;IF(J323="",", Tax Code","")&amp;IF(O323="",", Expected Revenue","")&amp;IF(COUNTIF(tbl_Finance[Job Number],$C323&amp;"")&gt;1,", Job number used twice",""))="","Complete","Fix: "&amp;MID(IF(F323="",", Client","")&amp;IF(G323="",", Description","")&amp;IF(H323="",", Cost Centre","")&amp;IF(I323="",", Invoice Type","")&amp;IF(J323="",", Tax Code","")&amp;IF(O323="",", Expected Revenue","")&amp;IF(COUNTIF(tbl_Finance[Job Number],$C323&amp;"")&gt;1,", Job number used twice",""),3,300)))</f>
        <v/>
      </c>
      <c r="Q323" s="10">
        <f>IF($C323="","",IF(H323="","(no cost centre)",H323&amp;" - GL "&amp;IFERROR(INDEX(lst_CCtoGL,MATCH(H323,lst_CCforGL,0)),"?")))</f>
        <v/>
      </c>
      <c r="R323" s="37" t="n"/>
      <c r="S323" s="10">
        <f>IF(R323="","",HYPERLINK(IF(LEFT(R323,4)="http",R323,set_QwilrBase&amp;R323),"Open quote"))</f>
        <v/>
      </c>
      <c r="T323" s="39" t="n"/>
      <c r="U323" s="39" t="n"/>
      <c r="V323" s="39" t="n"/>
      <c r="W323" s="10">
        <f>IF(C323="","",IF(N(T323)+N(U323)+N(V323)=0,"Not split",IF(ROUND(N(T323)+N(U323)+N(V323),2)=ROUND(MAX(N(L323),N(O323)),2),"OK","MISMATCH")))</f>
        <v/>
      </c>
      <c r="X323" s="39" t="n"/>
      <c r="Y323" s="39" t="n"/>
      <c r="Z323" s="39" t="n"/>
      <c r="AA323" s="11">
        <f>IF(C323="","",N(X323)+N(Y323)+N(Z323))</f>
        <v/>
      </c>
      <c r="AB323" s="11">
        <f>IF(C323="","",MAX(N(L323),N(O323))-N(AA323))</f>
        <v/>
      </c>
      <c r="AC323" s="43">
        <f>IFERROR(IF(MAX(N(L323),N(O323))=0,"",AB323/MAX(N(L323),N(O323))),"")</f>
        <v/>
      </c>
      <c r="AD323" s="37" t="n"/>
      <c r="AE323" s="10" t="inlineStr">
        <is>
          <t>CON-0319</t>
        </is>
      </c>
    </row>
    <row r="324">
      <c r="A324" s="16">
        <f>IF($C324="","",IFERROR(IF(INDEX(tbl_Finance[Latest Invoice Date],MATCH($AE324,tbl_Finance[Row ID],0))="","",INDEX(tbl_Finance[Latest Invoice Date],MATCH($AE324,tbl_Finance[Row ID],0))),""))</f>
        <v/>
      </c>
      <c r="B324" s="10">
        <f>IF($C324="","",IFERROR(INDEX(tbl_Finance[Invoice Numbers],MATCH($AE324,tbl_Finance[Row ID],0))&amp;"",""))</f>
        <v/>
      </c>
      <c r="C324" s="37" t="n"/>
      <c r="D324" s="10">
        <f>IF($C324="","",IF(COUNTIF(lst_Jobs,$C324&amp;"")&gt;0,"OK","CHECK"))</f>
        <v/>
      </c>
      <c r="E324" s="10">
        <f>IF($C324="","",IFERROR(INDEX(lst_JobName,MATCH($C324&amp;"",lst_Jobs,0)),""))</f>
        <v/>
      </c>
      <c r="F324" s="37" t="n"/>
      <c r="G324" s="37" t="n"/>
      <c r="H324" s="37" t="n"/>
      <c r="I324" s="37" t="n"/>
      <c r="J324" s="37" t="n"/>
      <c r="K324" s="38">
        <f>IF($C324="","",IFERROR(N(INDEX(tbl_Finance[Invoice Count],MATCH($AE324,tbl_Finance[Row ID],0))),""))</f>
        <v/>
      </c>
      <c r="L324" s="11">
        <f>IF($C324="","",IFERROR(N(INDEX(tbl_Finance[Xero Invoiced Ex GST],MATCH($AE324,tbl_Finance[Row ID],0))),""))</f>
        <v/>
      </c>
      <c r="M324" s="10">
        <f>IF($C324="","",IFERROR(INDEX(tbl_Finance[Compare],MATCH($AE324,tbl_Finance[Row ID],0))&amp;"",""))</f>
        <v/>
      </c>
      <c r="N324" s="11">
        <f>IF($C324="","",MAX(0,N(O324)-N(L324)))</f>
        <v/>
      </c>
      <c r="O324" s="39" t="n"/>
      <c r="P324" s="40">
        <f>IF($C324="","",IF((IF(F324="",", Client","")&amp;IF(G324="",", Description","")&amp;IF(H324="",", Cost Centre","")&amp;IF(I324="",", Invoice Type","")&amp;IF(J324="",", Tax Code","")&amp;IF(O324="",", Expected Revenue","")&amp;IF(COUNTIF(tbl_Finance[Job Number],$C324&amp;"")&gt;1,", Job number used twice",""))="","Complete","Fix: "&amp;MID(IF(F324="",", Client","")&amp;IF(G324="",", Description","")&amp;IF(H324="",", Cost Centre","")&amp;IF(I324="",", Invoice Type","")&amp;IF(J324="",", Tax Code","")&amp;IF(O324="",", Expected Revenue","")&amp;IF(COUNTIF(tbl_Finance[Job Number],$C324&amp;"")&gt;1,", Job number used twice",""),3,300)))</f>
        <v/>
      </c>
      <c r="Q324" s="10">
        <f>IF($C324="","",IF(H324="","(no cost centre)",H324&amp;" - GL "&amp;IFERROR(INDEX(lst_CCtoGL,MATCH(H324,lst_CCforGL,0)),"?")))</f>
        <v/>
      </c>
      <c r="R324" s="37" t="n"/>
      <c r="S324" s="10">
        <f>IF(R324="","",HYPERLINK(IF(LEFT(R324,4)="http",R324,set_QwilrBase&amp;R324),"Open quote"))</f>
        <v/>
      </c>
      <c r="T324" s="39" t="n"/>
      <c r="U324" s="39" t="n"/>
      <c r="V324" s="39" t="n"/>
      <c r="W324" s="10">
        <f>IF(C324="","",IF(N(T324)+N(U324)+N(V324)=0,"Not split",IF(ROUND(N(T324)+N(U324)+N(V324),2)=ROUND(MAX(N(L324),N(O324)),2),"OK","MISMATCH")))</f>
        <v/>
      </c>
      <c r="X324" s="39" t="n"/>
      <c r="Y324" s="39" t="n"/>
      <c r="Z324" s="39" t="n"/>
      <c r="AA324" s="11">
        <f>IF(C324="","",N(X324)+N(Y324)+N(Z324))</f>
        <v/>
      </c>
      <c r="AB324" s="11">
        <f>IF(C324="","",MAX(N(L324),N(O324))-N(AA324))</f>
        <v/>
      </c>
      <c r="AC324" s="43">
        <f>IFERROR(IF(MAX(N(L324),N(O324))=0,"",AB324/MAX(N(L324),N(O324))),"")</f>
        <v/>
      </c>
      <c r="AD324" s="37" t="n"/>
      <c r="AE324" s="10" t="inlineStr">
        <is>
          <t>CON-0320</t>
        </is>
      </c>
    </row>
    <row r="325">
      <c r="A325" s="16">
        <f>IF($C325="","",IFERROR(IF(INDEX(tbl_Finance[Latest Invoice Date],MATCH($AE325,tbl_Finance[Row ID],0))="","",INDEX(tbl_Finance[Latest Invoice Date],MATCH($AE325,tbl_Finance[Row ID],0))),""))</f>
        <v/>
      </c>
      <c r="B325" s="10">
        <f>IF($C325="","",IFERROR(INDEX(tbl_Finance[Invoice Numbers],MATCH($AE325,tbl_Finance[Row ID],0))&amp;"",""))</f>
        <v/>
      </c>
      <c r="C325" s="37" t="n"/>
      <c r="D325" s="10">
        <f>IF($C325="","",IF(COUNTIF(lst_Jobs,$C325&amp;"")&gt;0,"OK","CHECK"))</f>
        <v/>
      </c>
      <c r="E325" s="10">
        <f>IF($C325="","",IFERROR(INDEX(lst_JobName,MATCH($C325&amp;"",lst_Jobs,0)),""))</f>
        <v/>
      </c>
      <c r="F325" s="37" t="n"/>
      <c r="G325" s="37" t="n"/>
      <c r="H325" s="37" t="n"/>
      <c r="I325" s="37" t="n"/>
      <c r="J325" s="37" t="n"/>
      <c r="K325" s="38">
        <f>IF($C325="","",IFERROR(N(INDEX(tbl_Finance[Invoice Count],MATCH($AE325,tbl_Finance[Row ID],0))),""))</f>
        <v/>
      </c>
      <c r="L325" s="11">
        <f>IF($C325="","",IFERROR(N(INDEX(tbl_Finance[Xero Invoiced Ex GST],MATCH($AE325,tbl_Finance[Row ID],0))),""))</f>
        <v/>
      </c>
      <c r="M325" s="10">
        <f>IF($C325="","",IFERROR(INDEX(tbl_Finance[Compare],MATCH($AE325,tbl_Finance[Row ID],0))&amp;"",""))</f>
        <v/>
      </c>
      <c r="N325" s="11">
        <f>IF($C325="","",MAX(0,N(O325)-N(L325)))</f>
        <v/>
      </c>
      <c r="O325" s="39" t="n"/>
      <c r="P325" s="40">
        <f>IF($C325="","",IF((IF(F325="",", Client","")&amp;IF(G325="",", Description","")&amp;IF(H325="",", Cost Centre","")&amp;IF(I325="",", Invoice Type","")&amp;IF(J325="",", Tax Code","")&amp;IF(O325="",", Expected Revenue","")&amp;IF(COUNTIF(tbl_Finance[Job Number],$C325&amp;"")&gt;1,", Job number used twice",""))="","Complete","Fix: "&amp;MID(IF(F325="",", Client","")&amp;IF(G325="",", Description","")&amp;IF(H325="",", Cost Centre","")&amp;IF(I325="",", Invoice Type","")&amp;IF(J325="",", Tax Code","")&amp;IF(O325="",", Expected Revenue","")&amp;IF(COUNTIF(tbl_Finance[Job Number],$C325&amp;"")&gt;1,", Job number used twice",""),3,300)))</f>
        <v/>
      </c>
      <c r="Q325" s="10">
        <f>IF($C325="","",IF(H325="","(no cost centre)",H325&amp;" - GL "&amp;IFERROR(INDEX(lst_CCtoGL,MATCH(H325,lst_CCforGL,0)),"?")))</f>
        <v/>
      </c>
      <c r="R325" s="37" t="n"/>
      <c r="S325" s="10">
        <f>IF(R325="","",HYPERLINK(IF(LEFT(R325,4)="http",R325,set_QwilrBase&amp;R325),"Open quote"))</f>
        <v/>
      </c>
      <c r="T325" s="39" t="n"/>
      <c r="U325" s="39" t="n"/>
      <c r="V325" s="39" t="n"/>
      <c r="W325" s="10">
        <f>IF(C325="","",IF(N(T325)+N(U325)+N(V325)=0,"Not split",IF(ROUND(N(T325)+N(U325)+N(V325),2)=ROUND(MAX(N(L325),N(O325)),2),"OK","MISMATCH")))</f>
        <v/>
      </c>
      <c r="X325" s="39" t="n"/>
      <c r="Y325" s="39" t="n"/>
      <c r="Z325" s="39" t="n"/>
      <c r="AA325" s="11">
        <f>IF(C325="","",N(X325)+N(Y325)+N(Z325))</f>
        <v/>
      </c>
      <c r="AB325" s="11">
        <f>IF(C325="","",MAX(N(L325),N(O325))-N(AA325))</f>
        <v/>
      </c>
      <c r="AC325" s="43">
        <f>IFERROR(IF(MAX(N(L325),N(O325))=0,"",AB325/MAX(N(L325),N(O325))),"")</f>
        <v/>
      </c>
      <c r="AD325" s="37" t="n"/>
      <c r="AE325" s="10" t="inlineStr">
        <is>
          <t>CON-0321</t>
        </is>
      </c>
    </row>
    <row r="326">
      <c r="A326" s="16">
        <f>IF($C326="","",IFERROR(IF(INDEX(tbl_Finance[Latest Invoice Date],MATCH($AE326,tbl_Finance[Row ID],0))="","",INDEX(tbl_Finance[Latest Invoice Date],MATCH($AE326,tbl_Finance[Row ID],0))),""))</f>
        <v/>
      </c>
      <c r="B326" s="10">
        <f>IF($C326="","",IFERROR(INDEX(tbl_Finance[Invoice Numbers],MATCH($AE326,tbl_Finance[Row ID],0))&amp;"",""))</f>
        <v/>
      </c>
      <c r="C326" s="37" t="n"/>
      <c r="D326" s="10">
        <f>IF($C326="","",IF(COUNTIF(lst_Jobs,$C326&amp;"")&gt;0,"OK","CHECK"))</f>
        <v/>
      </c>
      <c r="E326" s="10">
        <f>IF($C326="","",IFERROR(INDEX(lst_JobName,MATCH($C326&amp;"",lst_Jobs,0)),""))</f>
        <v/>
      </c>
      <c r="F326" s="37" t="n"/>
      <c r="G326" s="37" t="n"/>
      <c r="H326" s="37" t="n"/>
      <c r="I326" s="37" t="n"/>
      <c r="J326" s="37" t="n"/>
      <c r="K326" s="38">
        <f>IF($C326="","",IFERROR(N(INDEX(tbl_Finance[Invoice Count],MATCH($AE326,tbl_Finance[Row ID],0))),""))</f>
        <v/>
      </c>
      <c r="L326" s="11">
        <f>IF($C326="","",IFERROR(N(INDEX(tbl_Finance[Xero Invoiced Ex GST],MATCH($AE326,tbl_Finance[Row ID],0))),""))</f>
        <v/>
      </c>
      <c r="M326" s="10">
        <f>IF($C326="","",IFERROR(INDEX(tbl_Finance[Compare],MATCH($AE326,tbl_Finance[Row ID],0))&amp;"",""))</f>
        <v/>
      </c>
      <c r="N326" s="11">
        <f>IF($C326="","",MAX(0,N(O326)-N(L326)))</f>
        <v/>
      </c>
      <c r="O326" s="39" t="n"/>
      <c r="P326" s="40">
        <f>IF($C326="","",IF((IF(F326="",", Client","")&amp;IF(G326="",", Description","")&amp;IF(H326="",", Cost Centre","")&amp;IF(I326="",", Invoice Type","")&amp;IF(J326="",", Tax Code","")&amp;IF(O326="",", Expected Revenue","")&amp;IF(COUNTIF(tbl_Finance[Job Number],$C326&amp;"")&gt;1,", Job number used twice",""))="","Complete","Fix: "&amp;MID(IF(F326="",", Client","")&amp;IF(G326="",", Description","")&amp;IF(H326="",", Cost Centre","")&amp;IF(I326="",", Invoice Type","")&amp;IF(J326="",", Tax Code","")&amp;IF(O326="",", Expected Revenue","")&amp;IF(COUNTIF(tbl_Finance[Job Number],$C326&amp;"")&gt;1,", Job number used twice",""),3,300)))</f>
        <v/>
      </c>
      <c r="Q326" s="10">
        <f>IF($C326="","",IF(H326="","(no cost centre)",H326&amp;" - GL "&amp;IFERROR(INDEX(lst_CCtoGL,MATCH(H326,lst_CCforGL,0)),"?")))</f>
        <v/>
      </c>
      <c r="R326" s="37" t="n"/>
      <c r="S326" s="10">
        <f>IF(R326="","",HYPERLINK(IF(LEFT(R326,4)="http",R326,set_QwilrBase&amp;R326),"Open quote"))</f>
        <v/>
      </c>
      <c r="T326" s="39" t="n"/>
      <c r="U326" s="39" t="n"/>
      <c r="V326" s="39" t="n"/>
      <c r="W326" s="10">
        <f>IF(C326="","",IF(N(T326)+N(U326)+N(V326)=0,"Not split",IF(ROUND(N(T326)+N(U326)+N(V326),2)=ROUND(MAX(N(L326),N(O326)),2),"OK","MISMATCH")))</f>
        <v/>
      </c>
      <c r="X326" s="39" t="n"/>
      <c r="Y326" s="39" t="n"/>
      <c r="Z326" s="39" t="n"/>
      <c r="AA326" s="11">
        <f>IF(C326="","",N(X326)+N(Y326)+N(Z326))</f>
        <v/>
      </c>
      <c r="AB326" s="11">
        <f>IF(C326="","",MAX(N(L326),N(O326))-N(AA326))</f>
        <v/>
      </c>
      <c r="AC326" s="43">
        <f>IFERROR(IF(MAX(N(L326),N(O326))=0,"",AB326/MAX(N(L326),N(O326))),"")</f>
        <v/>
      </c>
      <c r="AD326" s="37" t="n"/>
      <c r="AE326" s="10" t="inlineStr">
        <is>
          <t>CON-0322</t>
        </is>
      </c>
    </row>
    <row r="327">
      <c r="A327" s="16">
        <f>IF($C327="","",IFERROR(IF(INDEX(tbl_Finance[Latest Invoice Date],MATCH($AE327,tbl_Finance[Row ID],0))="","",INDEX(tbl_Finance[Latest Invoice Date],MATCH($AE327,tbl_Finance[Row ID],0))),""))</f>
        <v/>
      </c>
      <c r="B327" s="10">
        <f>IF($C327="","",IFERROR(INDEX(tbl_Finance[Invoice Numbers],MATCH($AE327,tbl_Finance[Row ID],0))&amp;"",""))</f>
        <v/>
      </c>
      <c r="C327" s="37" t="n"/>
      <c r="D327" s="10">
        <f>IF($C327="","",IF(COUNTIF(lst_Jobs,$C327&amp;"")&gt;0,"OK","CHECK"))</f>
        <v/>
      </c>
      <c r="E327" s="10">
        <f>IF($C327="","",IFERROR(INDEX(lst_JobName,MATCH($C327&amp;"",lst_Jobs,0)),""))</f>
        <v/>
      </c>
      <c r="F327" s="37" t="n"/>
      <c r="G327" s="37" t="n"/>
      <c r="H327" s="37" t="n"/>
      <c r="I327" s="37" t="n"/>
      <c r="J327" s="37" t="n"/>
      <c r="K327" s="38">
        <f>IF($C327="","",IFERROR(N(INDEX(tbl_Finance[Invoice Count],MATCH($AE327,tbl_Finance[Row ID],0))),""))</f>
        <v/>
      </c>
      <c r="L327" s="11">
        <f>IF($C327="","",IFERROR(N(INDEX(tbl_Finance[Xero Invoiced Ex GST],MATCH($AE327,tbl_Finance[Row ID],0))),""))</f>
        <v/>
      </c>
      <c r="M327" s="10">
        <f>IF($C327="","",IFERROR(INDEX(tbl_Finance[Compare],MATCH($AE327,tbl_Finance[Row ID],0))&amp;"",""))</f>
        <v/>
      </c>
      <c r="N327" s="11">
        <f>IF($C327="","",MAX(0,N(O327)-N(L327)))</f>
        <v/>
      </c>
      <c r="O327" s="39" t="n"/>
      <c r="P327" s="40">
        <f>IF($C327="","",IF((IF(F327="",", Client","")&amp;IF(G327="",", Description","")&amp;IF(H327="",", Cost Centre","")&amp;IF(I327="",", Invoice Type","")&amp;IF(J327="",", Tax Code","")&amp;IF(O327="",", Expected Revenue","")&amp;IF(COUNTIF(tbl_Finance[Job Number],$C327&amp;"")&gt;1,", Job number used twice",""))="","Complete","Fix: "&amp;MID(IF(F327="",", Client","")&amp;IF(G327="",", Description","")&amp;IF(H327="",", Cost Centre","")&amp;IF(I327="",", Invoice Type","")&amp;IF(J327="",", Tax Code","")&amp;IF(O327="",", Expected Revenue","")&amp;IF(COUNTIF(tbl_Finance[Job Number],$C327&amp;"")&gt;1,", Job number used twice",""),3,300)))</f>
        <v/>
      </c>
      <c r="Q327" s="10">
        <f>IF($C327="","",IF(H327="","(no cost centre)",H327&amp;" - GL "&amp;IFERROR(INDEX(lst_CCtoGL,MATCH(H327,lst_CCforGL,0)),"?")))</f>
        <v/>
      </c>
      <c r="R327" s="37" t="n"/>
      <c r="S327" s="10">
        <f>IF(R327="","",HYPERLINK(IF(LEFT(R327,4)="http",R327,set_QwilrBase&amp;R327),"Open quote"))</f>
        <v/>
      </c>
      <c r="T327" s="39" t="n"/>
      <c r="U327" s="39" t="n"/>
      <c r="V327" s="39" t="n"/>
      <c r="W327" s="10">
        <f>IF(C327="","",IF(N(T327)+N(U327)+N(V327)=0,"Not split",IF(ROUND(N(T327)+N(U327)+N(V327),2)=ROUND(MAX(N(L327),N(O327)),2),"OK","MISMATCH")))</f>
        <v/>
      </c>
      <c r="X327" s="39" t="n"/>
      <c r="Y327" s="39" t="n"/>
      <c r="Z327" s="39" t="n"/>
      <c r="AA327" s="11">
        <f>IF(C327="","",N(X327)+N(Y327)+N(Z327))</f>
        <v/>
      </c>
      <c r="AB327" s="11">
        <f>IF(C327="","",MAX(N(L327),N(O327))-N(AA327))</f>
        <v/>
      </c>
      <c r="AC327" s="43">
        <f>IFERROR(IF(MAX(N(L327),N(O327))=0,"",AB327/MAX(N(L327),N(O327))),"")</f>
        <v/>
      </c>
      <c r="AD327" s="37" t="n"/>
      <c r="AE327" s="10" t="inlineStr">
        <is>
          <t>CON-0323</t>
        </is>
      </c>
    </row>
    <row r="328">
      <c r="A328" s="16">
        <f>IF($C328="","",IFERROR(IF(INDEX(tbl_Finance[Latest Invoice Date],MATCH($AE328,tbl_Finance[Row ID],0))="","",INDEX(tbl_Finance[Latest Invoice Date],MATCH($AE328,tbl_Finance[Row ID],0))),""))</f>
        <v/>
      </c>
      <c r="B328" s="10">
        <f>IF($C328="","",IFERROR(INDEX(tbl_Finance[Invoice Numbers],MATCH($AE328,tbl_Finance[Row ID],0))&amp;"",""))</f>
        <v/>
      </c>
      <c r="C328" s="37" t="n"/>
      <c r="D328" s="10">
        <f>IF($C328="","",IF(COUNTIF(lst_Jobs,$C328&amp;"")&gt;0,"OK","CHECK"))</f>
        <v/>
      </c>
      <c r="E328" s="10">
        <f>IF($C328="","",IFERROR(INDEX(lst_JobName,MATCH($C328&amp;"",lst_Jobs,0)),""))</f>
        <v/>
      </c>
      <c r="F328" s="37" t="n"/>
      <c r="G328" s="37" t="n"/>
      <c r="H328" s="37" t="n"/>
      <c r="I328" s="37" t="n"/>
      <c r="J328" s="37" t="n"/>
      <c r="K328" s="38">
        <f>IF($C328="","",IFERROR(N(INDEX(tbl_Finance[Invoice Count],MATCH($AE328,tbl_Finance[Row ID],0))),""))</f>
        <v/>
      </c>
      <c r="L328" s="11">
        <f>IF($C328="","",IFERROR(N(INDEX(tbl_Finance[Xero Invoiced Ex GST],MATCH($AE328,tbl_Finance[Row ID],0))),""))</f>
        <v/>
      </c>
      <c r="M328" s="10">
        <f>IF($C328="","",IFERROR(INDEX(tbl_Finance[Compare],MATCH($AE328,tbl_Finance[Row ID],0))&amp;"",""))</f>
        <v/>
      </c>
      <c r="N328" s="11">
        <f>IF($C328="","",MAX(0,N(O328)-N(L328)))</f>
        <v/>
      </c>
      <c r="O328" s="39" t="n"/>
      <c r="P328" s="40">
        <f>IF($C328="","",IF((IF(F328="",", Client","")&amp;IF(G328="",", Description","")&amp;IF(H328="",", Cost Centre","")&amp;IF(I328="",", Invoice Type","")&amp;IF(J328="",", Tax Code","")&amp;IF(O328="",", Expected Revenue","")&amp;IF(COUNTIF(tbl_Finance[Job Number],$C328&amp;"")&gt;1,", Job number used twice",""))="","Complete","Fix: "&amp;MID(IF(F328="",", Client","")&amp;IF(G328="",", Description","")&amp;IF(H328="",", Cost Centre","")&amp;IF(I328="",", Invoice Type","")&amp;IF(J328="",", Tax Code","")&amp;IF(O328="",", Expected Revenue","")&amp;IF(COUNTIF(tbl_Finance[Job Number],$C328&amp;"")&gt;1,", Job number used twice",""),3,300)))</f>
        <v/>
      </c>
      <c r="Q328" s="10">
        <f>IF($C328="","",IF(H328="","(no cost centre)",H328&amp;" - GL "&amp;IFERROR(INDEX(lst_CCtoGL,MATCH(H328,lst_CCforGL,0)),"?")))</f>
        <v/>
      </c>
      <c r="R328" s="37" t="n"/>
      <c r="S328" s="10">
        <f>IF(R328="","",HYPERLINK(IF(LEFT(R328,4)="http",R328,set_QwilrBase&amp;R328),"Open quote"))</f>
        <v/>
      </c>
      <c r="T328" s="39" t="n"/>
      <c r="U328" s="39" t="n"/>
      <c r="V328" s="39" t="n"/>
      <c r="W328" s="10">
        <f>IF(C328="","",IF(N(T328)+N(U328)+N(V328)=0,"Not split",IF(ROUND(N(T328)+N(U328)+N(V328),2)=ROUND(MAX(N(L328),N(O328)),2),"OK","MISMATCH")))</f>
        <v/>
      </c>
      <c r="X328" s="39" t="n"/>
      <c r="Y328" s="39" t="n"/>
      <c r="Z328" s="39" t="n"/>
      <c r="AA328" s="11">
        <f>IF(C328="","",N(X328)+N(Y328)+N(Z328))</f>
        <v/>
      </c>
      <c r="AB328" s="11">
        <f>IF(C328="","",MAX(N(L328),N(O328))-N(AA328))</f>
        <v/>
      </c>
      <c r="AC328" s="43">
        <f>IFERROR(IF(MAX(N(L328),N(O328))=0,"",AB328/MAX(N(L328),N(O328))),"")</f>
        <v/>
      </c>
      <c r="AD328" s="37" t="n"/>
      <c r="AE328" s="10" t="inlineStr">
        <is>
          <t>CON-0324</t>
        </is>
      </c>
    </row>
    <row r="329">
      <c r="A329" s="16">
        <f>IF($C329="","",IFERROR(IF(INDEX(tbl_Finance[Latest Invoice Date],MATCH($AE329,tbl_Finance[Row ID],0))="","",INDEX(tbl_Finance[Latest Invoice Date],MATCH($AE329,tbl_Finance[Row ID],0))),""))</f>
        <v/>
      </c>
      <c r="B329" s="10">
        <f>IF($C329="","",IFERROR(INDEX(tbl_Finance[Invoice Numbers],MATCH($AE329,tbl_Finance[Row ID],0))&amp;"",""))</f>
        <v/>
      </c>
      <c r="C329" s="37" t="n"/>
      <c r="D329" s="10">
        <f>IF($C329="","",IF(COUNTIF(lst_Jobs,$C329&amp;"")&gt;0,"OK","CHECK"))</f>
        <v/>
      </c>
      <c r="E329" s="10">
        <f>IF($C329="","",IFERROR(INDEX(lst_JobName,MATCH($C329&amp;"",lst_Jobs,0)),""))</f>
        <v/>
      </c>
      <c r="F329" s="37" t="n"/>
      <c r="G329" s="37" t="n"/>
      <c r="H329" s="37" t="n"/>
      <c r="I329" s="37" t="n"/>
      <c r="J329" s="37" t="n"/>
      <c r="K329" s="38">
        <f>IF($C329="","",IFERROR(N(INDEX(tbl_Finance[Invoice Count],MATCH($AE329,tbl_Finance[Row ID],0))),""))</f>
        <v/>
      </c>
      <c r="L329" s="11">
        <f>IF($C329="","",IFERROR(N(INDEX(tbl_Finance[Xero Invoiced Ex GST],MATCH($AE329,tbl_Finance[Row ID],0))),""))</f>
        <v/>
      </c>
      <c r="M329" s="10">
        <f>IF($C329="","",IFERROR(INDEX(tbl_Finance[Compare],MATCH($AE329,tbl_Finance[Row ID],0))&amp;"",""))</f>
        <v/>
      </c>
      <c r="N329" s="11">
        <f>IF($C329="","",MAX(0,N(O329)-N(L329)))</f>
        <v/>
      </c>
      <c r="O329" s="39" t="n"/>
      <c r="P329" s="40">
        <f>IF($C329="","",IF((IF(F329="",", Client","")&amp;IF(G329="",", Description","")&amp;IF(H329="",", Cost Centre","")&amp;IF(I329="",", Invoice Type","")&amp;IF(J329="",", Tax Code","")&amp;IF(O329="",", Expected Revenue","")&amp;IF(COUNTIF(tbl_Finance[Job Number],$C329&amp;"")&gt;1,", Job number used twice",""))="","Complete","Fix: "&amp;MID(IF(F329="",", Client","")&amp;IF(G329="",", Description","")&amp;IF(H329="",", Cost Centre","")&amp;IF(I329="",", Invoice Type","")&amp;IF(J329="",", Tax Code","")&amp;IF(O329="",", Expected Revenue","")&amp;IF(COUNTIF(tbl_Finance[Job Number],$C329&amp;"")&gt;1,", Job number used twice",""),3,300)))</f>
        <v/>
      </c>
      <c r="Q329" s="10">
        <f>IF($C329="","",IF(H329="","(no cost centre)",H329&amp;" - GL "&amp;IFERROR(INDEX(lst_CCtoGL,MATCH(H329,lst_CCforGL,0)),"?")))</f>
        <v/>
      </c>
      <c r="R329" s="37" t="n"/>
      <c r="S329" s="10">
        <f>IF(R329="","",HYPERLINK(IF(LEFT(R329,4)="http",R329,set_QwilrBase&amp;R329),"Open quote"))</f>
        <v/>
      </c>
      <c r="T329" s="39" t="n"/>
      <c r="U329" s="39" t="n"/>
      <c r="V329" s="39" t="n"/>
      <c r="W329" s="10">
        <f>IF(C329="","",IF(N(T329)+N(U329)+N(V329)=0,"Not split",IF(ROUND(N(T329)+N(U329)+N(V329),2)=ROUND(MAX(N(L329),N(O329)),2),"OK","MISMATCH")))</f>
        <v/>
      </c>
      <c r="X329" s="39" t="n"/>
      <c r="Y329" s="39" t="n"/>
      <c r="Z329" s="39" t="n"/>
      <c r="AA329" s="11">
        <f>IF(C329="","",N(X329)+N(Y329)+N(Z329))</f>
        <v/>
      </c>
      <c r="AB329" s="11">
        <f>IF(C329="","",MAX(N(L329),N(O329))-N(AA329))</f>
        <v/>
      </c>
      <c r="AC329" s="43">
        <f>IFERROR(IF(MAX(N(L329),N(O329))=0,"",AB329/MAX(N(L329),N(O329))),"")</f>
        <v/>
      </c>
      <c r="AD329" s="37" t="n"/>
      <c r="AE329" s="10" t="inlineStr">
        <is>
          <t>CON-0325</t>
        </is>
      </c>
    </row>
    <row r="330">
      <c r="A330" s="16">
        <f>IF($C330="","",IFERROR(IF(INDEX(tbl_Finance[Latest Invoice Date],MATCH($AE330,tbl_Finance[Row ID],0))="","",INDEX(tbl_Finance[Latest Invoice Date],MATCH($AE330,tbl_Finance[Row ID],0))),""))</f>
        <v/>
      </c>
      <c r="B330" s="10">
        <f>IF($C330="","",IFERROR(INDEX(tbl_Finance[Invoice Numbers],MATCH($AE330,tbl_Finance[Row ID],0))&amp;"",""))</f>
        <v/>
      </c>
      <c r="C330" s="37" t="n"/>
      <c r="D330" s="10">
        <f>IF($C330="","",IF(COUNTIF(lst_Jobs,$C330&amp;"")&gt;0,"OK","CHECK"))</f>
        <v/>
      </c>
      <c r="E330" s="10">
        <f>IF($C330="","",IFERROR(INDEX(lst_JobName,MATCH($C330&amp;"",lst_Jobs,0)),""))</f>
        <v/>
      </c>
      <c r="F330" s="37" t="n"/>
      <c r="G330" s="37" t="n"/>
      <c r="H330" s="37" t="n"/>
      <c r="I330" s="37" t="n"/>
      <c r="J330" s="37" t="n"/>
      <c r="K330" s="38">
        <f>IF($C330="","",IFERROR(N(INDEX(tbl_Finance[Invoice Count],MATCH($AE330,tbl_Finance[Row ID],0))),""))</f>
        <v/>
      </c>
      <c r="L330" s="11">
        <f>IF($C330="","",IFERROR(N(INDEX(tbl_Finance[Xero Invoiced Ex GST],MATCH($AE330,tbl_Finance[Row ID],0))),""))</f>
        <v/>
      </c>
      <c r="M330" s="10">
        <f>IF($C330="","",IFERROR(INDEX(tbl_Finance[Compare],MATCH($AE330,tbl_Finance[Row ID],0))&amp;"",""))</f>
        <v/>
      </c>
      <c r="N330" s="11">
        <f>IF($C330="","",MAX(0,N(O330)-N(L330)))</f>
        <v/>
      </c>
      <c r="O330" s="39" t="n"/>
      <c r="P330" s="40">
        <f>IF($C330="","",IF((IF(F330="",", Client","")&amp;IF(G330="",", Description","")&amp;IF(H330="",", Cost Centre","")&amp;IF(I330="",", Invoice Type","")&amp;IF(J330="",", Tax Code","")&amp;IF(O330="",", Expected Revenue","")&amp;IF(COUNTIF(tbl_Finance[Job Number],$C330&amp;"")&gt;1,", Job number used twice",""))="","Complete","Fix: "&amp;MID(IF(F330="",", Client","")&amp;IF(G330="",", Description","")&amp;IF(H330="",", Cost Centre","")&amp;IF(I330="",", Invoice Type","")&amp;IF(J330="",", Tax Code","")&amp;IF(O330="",", Expected Revenue","")&amp;IF(COUNTIF(tbl_Finance[Job Number],$C330&amp;"")&gt;1,", Job number used twice",""),3,300)))</f>
        <v/>
      </c>
      <c r="Q330" s="10">
        <f>IF($C330="","",IF(H330="","(no cost centre)",H330&amp;" - GL "&amp;IFERROR(INDEX(lst_CCtoGL,MATCH(H330,lst_CCforGL,0)),"?")))</f>
        <v/>
      </c>
      <c r="R330" s="37" t="n"/>
      <c r="S330" s="10">
        <f>IF(R330="","",HYPERLINK(IF(LEFT(R330,4)="http",R330,set_QwilrBase&amp;R330),"Open quote"))</f>
        <v/>
      </c>
      <c r="T330" s="39" t="n"/>
      <c r="U330" s="39" t="n"/>
      <c r="V330" s="39" t="n"/>
      <c r="W330" s="10">
        <f>IF(C330="","",IF(N(T330)+N(U330)+N(V330)=0,"Not split",IF(ROUND(N(T330)+N(U330)+N(V330),2)=ROUND(MAX(N(L330),N(O330)),2),"OK","MISMATCH")))</f>
        <v/>
      </c>
      <c r="X330" s="39" t="n"/>
      <c r="Y330" s="39" t="n"/>
      <c r="Z330" s="39" t="n"/>
      <c r="AA330" s="11">
        <f>IF(C330="","",N(X330)+N(Y330)+N(Z330))</f>
        <v/>
      </c>
      <c r="AB330" s="11">
        <f>IF(C330="","",MAX(N(L330),N(O330))-N(AA330))</f>
        <v/>
      </c>
      <c r="AC330" s="43">
        <f>IFERROR(IF(MAX(N(L330),N(O330))=0,"",AB330/MAX(N(L330),N(O330))),"")</f>
        <v/>
      </c>
      <c r="AD330" s="37" t="n"/>
      <c r="AE330" s="10" t="inlineStr">
        <is>
          <t>CON-0326</t>
        </is>
      </c>
    </row>
    <row r="331">
      <c r="A331" s="16">
        <f>IF($C331="","",IFERROR(IF(INDEX(tbl_Finance[Latest Invoice Date],MATCH($AE331,tbl_Finance[Row ID],0))="","",INDEX(tbl_Finance[Latest Invoice Date],MATCH($AE331,tbl_Finance[Row ID],0))),""))</f>
        <v/>
      </c>
      <c r="B331" s="10">
        <f>IF($C331="","",IFERROR(INDEX(tbl_Finance[Invoice Numbers],MATCH($AE331,tbl_Finance[Row ID],0))&amp;"",""))</f>
        <v/>
      </c>
      <c r="C331" s="37" t="n"/>
      <c r="D331" s="10">
        <f>IF($C331="","",IF(COUNTIF(lst_Jobs,$C331&amp;"")&gt;0,"OK","CHECK"))</f>
        <v/>
      </c>
      <c r="E331" s="10">
        <f>IF($C331="","",IFERROR(INDEX(lst_JobName,MATCH($C331&amp;"",lst_Jobs,0)),""))</f>
        <v/>
      </c>
      <c r="F331" s="37" t="n"/>
      <c r="G331" s="37" t="n"/>
      <c r="H331" s="37" t="n"/>
      <c r="I331" s="37" t="n"/>
      <c r="J331" s="37" t="n"/>
      <c r="K331" s="38">
        <f>IF($C331="","",IFERROR(N(INDEX(tbl_Finance[Invoice Count],MATCH($AE331,tbl_Finance[Row ID],0))),""))</f>
        <v/>
      </c>
      <c r="L331" s="11">
        <f>IF($C331="","",IFERROR(N(INDEX(tbl_Finance[Xero Invoiced Ex GST],MATCH($AE331,tbl_Finance[Row ID],0))),""))</f>
        <v/>
      </c>
      <c r="M331" s="10">
        <f>IF($C331="","",IFERROR(INDEX(tbl_Finance[Compare],MATCH($AE331,tbl_Finance[Row ID],0))&amp;"",""))</f>
        <v/>
      </c>
      <c r="N331" s="11">
        <f>IF($C331="","",MAX(0,N(O331)-N(L331)))</f>
        <v/>
      </c>
      <c r="O331" s="39" t="n"/>
      <c r="P331" s="40">
        <f>IF($C331="","",IF((IF(F331="",", Client","")&amp;IF(G331="",", Description","")&amp;IF(H331="",", Cost Centre","")&amp;IF(I331="",", Invoice Type","")&amp;IF(J331="",", Tax Code","")&amp;IF(O331="",", Expected Revenue","")&amp;IF(COUNTIF(tbl_Finance[Job Number],$C331&amp;"")&gt;1,", Job number used twice",""))="","Complete","Fix: "&amp;MID(IF(F331="",", Client","")&amp;IF(G331="",", Description","")&amp;IF(H331="",", Cost Centre","")&amp;IF(I331="",", Invoice Type","")&amp;IF(J331="",", Tax Code","")&amp;IF(O331="",", Expected Revenue","")&amp;IF(COUNTIF(tbl_Finance[Job Number],$C331&amp;"")&gt;1,", Job number used twice",""),3,300)))</f>
        <v/>
      </c>
      <c r="Q331" s="10">
        <f>IF($C331="","",IF(H331="","(no cost centre)",H331&amp;" - GL "&amp;IFERROR(INDEX(lst_CCtoGL,MATCH(H331,lst_CCforGL,0)),"?")))</f>
        <v/>
      </c>
      <c r="R331" s="37" t="n"/>
      <c r="S331" s="10">
        <f>IF(R331="","",HYPERLINK(IF(LEFT(R331,4)="http",R331,set_QwilrBase&amp;R331),"Open quote"))</f>
        <v/>
      </c>
      <c r="T331" s="39" t="n"/>
      <c r="U331" s="39" t="n"/>
      <c r="V331" s="39" t="n"/>
      <c r="W331" s="10">
        <f>IF(C331="","",IF(N(T331)+N(U331)+N(V331)=0,"Not split",IF(ROUND(N(T331)+N(U331)+N(V331),2)=ROUND(MAX(N(L331),N(O331)),2),"OK","MISMATCH")))</f>
        <v/>
      </c>
      <c r="X331" s="39" t="n"/>
      <c r="Y331" s="39" t="n"/>
      <c r="Z331" s="39" t="n"/>
      <c r="AA331" s="11">
        <f>IF(C331="","",N(X331)+N(Y331)+N(Z331))</f>
        <v/>
      </c>
      <c r="AB331" s="11">
        <f>IF(C331="","",MAX(N(L331),N(O331))-N(AA331))</f>
        <v/>
      </c>
      <c r="AC331" s="43">
        <f>IFERROR(IF(MAX(N(L331),N(O331))=0,"",AB331/MAX(N(L331),N(O331))),"")</f>
        <v/>
      </c>
      <c r="AD331" s="37" t="n"/>
      <c r="AE331" s="10" t="inlineStr">
        <is>
          <t>CON-0327</t>
        </is>
      </c>
    </row>
    <row r="332">
      <c r="A332" s="16">
        <f>IF($C332="","",IFERROR(IF(INDEX(tbl_Finance[Latest Invoice Date],MATCH($AE332,tbl_Finance[Row ID],0))="","",INDEX(tbl_Finance[Latest Invoice Date],MATCH($AE332,tbl_Finance[Row ID],0))),""))</f>
        <v/>
      </c>
      <c r="B332" s="10">
        <f>IF($C332="","",IFERROR(INDEX(tbl_Finance[Invoice Numbers],MATCH($AE332,tbl_Finance[Row ID],0))&amp;"",""))</f>
        <v/>
      </c>
      <c r="C332" s="37" t="n"/>
      <c r="D332" s="10">
        <f>IF($C332="","",IF(COUNTIF(lst_Jobs,$C332&amp;"")&gt;0,"OK","CHECK"))</f>
        <v/>
      </c>
      <c r="E332" s="10">
        <f>IF($C332="","",IFERROR(INDEX(lst_JobName,MATCH($C332&amp;"",lst_Jobs,0)),""))</f>
        <v/>
      </c>
      <c r="F332" s="37" t="n"/>
      <c r="G332" s="37" t="n"/>
      <c r="H332" s="37" t="n"/>
      <c r="I332" s="37" t="n"/>
      <c r="J332" s="37" t="n"/>
      <c r="K332" s="38">
        <f>IF($C332="","",IFERROR(N(INDEX(tbl_Finance[Invoice Count],MATCH($AE332,tbl_Finance[Row ID],0))),""))</f>
        <v/>
      </c>
      <c r="L332" s="11">
        <f>IF($C332="","",IFERROR(N(INDEX(tbl_Finance[Xero Invoiced Ex GST],MATCH($AE332,tbl_Finance[Row ID],0))),""))</f>
        <v/>
      </c>
      <c r="M332" s="10">
        <f>IF($C332="","",IFERROR(INDEX(tbl_Finance[Compare],MATCH($AE332,tbl_Finance[Row ID],0))&amp;"",""))</f>
        <v/>
      </c>
      <c r="N332" s="11">
        <f>IF($C332="","",MAX(0,N(O332)-N(L332)))</f>
        <v/>
      </c>
      <c r="O332" s="39" t="n"/>
      <c r="P332" s="40">
        <f>IF($C332="","",IF((IF(F332="",", Client","")&amp;IF(G332="",", Description","")&amp;IF(H332="",", Cost Centre","")&amp;IF(I332="",", Invoice Type","")&amp;IF(J332="",", Tax Code","")&amp;IF(O332="",", Expected Revenue","")&amp;IF(COUNTIF(tbl_Finance[Job Number],$C332&amp;"")&gt;1,", Job number used twice",""))="","Complete","Fix: "&amp;MID(IF(F332="",", Client","")&amp;IF(G332="",", Description","")&amp;IF(H332="",", Cost Centre","")&amp;IF(I332="",", Invoice Type","")&amp;IF(J332="",", Tax Code","")&amp;IF(O332="",", Expected Revenue","")&amp;IF(COUNTIF(tbl_Finance[Job Number],$C332&amp;"")&gt;1,", Job number used twice",""),3,300)))</f>
        <v/>
      </c>
      <c r="Q332" s="10">
        <f>IF($C332="","",IF(H332="","(no cost centre)",H332&amp;" - GL "&amp;IFERROR(INDEX(lst_CCtoGL,MATCH(H332,lst_CCforGL,0)),"?")))</f>
        <v/>
      </c>
      <c r="R332" s="37" t="n"/>
      <c r="S332" s="10">
        <f>IF(R332="","",HYPERLINK(IF(LEFT(R332,4)="http",R332,set_QwilrBase&amp;R332),"Open quote"))</f>
        <v/>
      </c>
      <c r="T332" s="39" t="n"/>
      <c r="U332" s="39" t="n"/>
      <c r="V332" s="39" t="n"/>
      <c r="W332" s="10">
        <f>IF(C332="","",IF(N(T332)+N(U332)+N(V332)=0,"Not split",IF(ROUND(N(T332)+N(U332)+N(V332),2)=ROUND(MAX(N(L332),N(O332)),2),"OK","MISMATCH")))</f>
        <v/>
      </c>
      <c r="X332" s="39" t="n"/>
      <c r="Y332" s="39" t="n"/>
      <c r="Z332" s="39" t="n"/>
      <c r="AA332" s="11">
        <f>IF(C332="","",N(X332)+N(Y332)+N(Z332))</f>
        <v/>
      </c>
      <c r="AB332" s="11">
        <f>IF(C332="","",MAX(N(L332),N(O332))-N(AA332))</f>
        <v/>
      </c>
      <c r="AC332" s="43">
        <f>IFERROR(IF(MAX(N(L332),N(O332))=0,"",AB332/MAX(N(L332),N(O332))),"")</f>
        <v/>
      </c>
      <c r="AD332" s="37" t="n"/>
      <c r="AE332" s="10" t="inlineStr">
        <is>
          <t>CON-0328</t>
        </is>
      </c>
    </row>
    <row r="333">
      <c r="A333" s="16">
        <f>IF($C333="","",IFERROR(IF(INDEX(tbl_Finance[Latest Invoice Date],MATCH($AE333,tbl_Finance[Row ID],0))="","",INDEX(tbl_Finance[Latest Invoice Date],MATCH($AE333,tbl_Finance[Row ID],0))),""))</f>
        <v/>
      </c>
      <c r="B333" s="10">
        <f>IF($C333="","",IFERROR(INDEX(tbl_Finance[Invoice Numbers],MATCH($AE333,tbl_Finance[Row ID],0))&amp;"",""))</f>
        <v/>
      </c>
      <c r="C333" s="37" t="n"/>
      <c r="D333" s="10">
        <f>IF($C333="","",IF(COUNTIF(lst_Jobs,$C333&amp;"")&gt;0,"OK","CHECK"))</f>
        <v/>
      </c>
      <c r="E333" s="10">
        <f>IF($C333="","",IFERROR(INDEX(lst_JobName,MATCH($C333&amp;"",lst_Jobs,0)),""))</f>
        <v/>
      </c>
      <c r="F333" s="37" t="n"/>
      <c r="G333" s="37" t="n"/>
      <c r="H333" s="37" t="n"/>
      <c r="I333" s="37" t="n"/>
      <c r="J333" s="37" t="n"/>
      <c r="K333" s="38">
        <f>IF($C333="","",IFERROR(N(INDEX(tbl_Finance[Invoice Count],MATCH($AE333,tbl_Finance[Row ID],0))),""))</f>
        <v/>
      </c>
      <c r="L333" s="11">
        <f>IF($C333="","",IFERROR(N(INDEX(tbl_Finance[Xero Invoiced Ex GST],MATCH($AE333,tbl_Finance[Row ID],0))),""))</f>
        <v/>
      </c>
      <c r="M333" s="10">
        <f>IF($C333="","",IFERROR(INDEX(tbl_Finance[Compare],MATCH($AE333,tbl_Finance[Row ID],0))&amp;"",""))</f>
        <v/>
      </c>
      <c r="N333" s="11">
        <f>IF($C333="","",MAX(0,N(O333)-N(L333)))</f>
        <v/>
      </c>
      <c r="O333" s="39" t="n"/>
      <c r="P333" s="40">
        <f>IF($C333="","",IF((IF(F333="",", Client","")&amp;IF(G333="",", Description","")&amp;IF(H333="",", Cost Centre","")&amp;IF(I333="",", Invoice Type","")&amp;IF(J333="",", Tax Code","")&amp;IF(O333="",", Expected Revenue","")&amp;IF(COUNTIF(tbl_Finance[Job Number],$C333&amp;"")&gt;1,", Job number used twice",""))="","Complete","Fix: "&amp;MID(IF(F333="",", Client","")&amp;IF(G333="",", Description","")&amp;IF(H333="",", Cost Centre","")&amp;IF(I333="",", Invoice Type","")&amp;IF(J333="",", Tax Code","")&amp;IF(O333="",", Expected Revenue","")&amp;IF(COUNTIF(tbl_Finance[Job Number],$C333&amp;"")&gt;1,", Job number used twice",""),3,300)))</f>
        <v/>
      </c>
      <c r="Q333" s="10">
        <f>IF($C333="","",IF(H333="","(no cost centre)",H333&amp;" - GL "&amp;IFERROR(INDEX(lst_CCtoGL,MATCH(H333,lst_CCforGL,0)),"?")))</f>
        <v/>
      </c>
      <c r="R333" s="37" t="n"/>
      <c r="S333" s="10">
        <f>IF(R333="","",HYPERLINK(IF(LEFT(R333,4)="http",R333,set_QwilrBase&amp;R333),"Open quote"))</f>
        <v/>
      </c>
      <c r="T333" s="39" t="n"/>
      <c r="U333" s="39" t="n"/>
      <c r="V333" s="39" t="n"/>
      <c r="W333" s="10">
        <f>IF(C333="","",IF(N(T333)+N(U333)+N(V333)=0,"Not split",IF(ROUND(N(T333)+N(U333)+N(V333),2)=ROUND(MAX(N(L333),N(O333)),2),"OK","MISMATCH")))</f>
        <v/>
      </c>
      <c r="X333" s="39" t="n"/>
      <c r="Y333" s="39" t="n"/>
      <c r="Z333" s="39" t="n"/>
      <c r="AA333" s="11">
        <f>IF(C333="","",N(X333)+N(Y333)+N(Z333))</f>
        <v/>
      </c>
      <c r="AB333" s="11">
        <f>IF(C333="","",MAX(N(L333),N(O333))-N(AA333))</f>
        <v/>
      </c>
      <c r="AC333" s="43">
        <f>IFERROR(IF(MAX(N(L333),N(O333))=0,"",AB333/MAX(N(L333),N(O333))),"")</f>
        <v/>
      </c>
      <c r="AD333" s="37" t="n"/>
      <c r="AE333" s="10" t="inlineStr">
        <is>
          <t>CON-0329</t>
        </is>
      </c>
    </row>
    <row r="334">
      <c r="A334" s="16">
        <f>IF($C334="","",IFERROR(IF(INDEX(tbl_Finance[Latest Invoice Date],MATCH($AE334,tbl_Finance[Row ID],0))="","",INDEX(tbl_Finance[Latest Invoice Date],MATCH($AE334,tbl_Finance[Row ID],0))),""))</f>
        <v/>
      </c>
      <c r="B334" s="10">
        <f>IF($C334="","",IFERROR(INDEX(tbl_Finance[Invoice Numbers],MATCH($AE334,tbl_Finance[Row ID],0))&amp;"",""))</f>
        <v/>
      </c>
      <c r="C334" s="37" t="n"/>
      <c r="D334" s="10">
        <f>IF($C334="","",IF(COUNTIF(lst_Jobs,$C334&amp;"")&gt;0,"OK","CHECK"))</f>
        <v/>
      </c>
      <c r="E334" s="10">
        <f>IF($C334="","",IFERROR(INDEX(lst_JobName,MATCH($C334&amp;"",lst_Jobs,0)),""))</f>
        <v/>
      </c>
      <c r="F334" s="37" t="n"/>
      <c r="G334" s="37" t="n"/>
      <c r="H334" s="37" t="n"/>
      <c r="I334" s="37" t="n"/>
      <c r="J334" s="37" t="n"/>
      <c r="K334" s="38">
        <f>IF($C334="","",IFERROR(N(INDEX(tbl_Finance[Invoice Count],MATCH($AE334,tbl_Finance[Row ID],0))),""))</f>
        <v/>
      </c>
      <c r="L334" s="11">
        <f>IF($C334="","",IFERROR(N(INDEX(tbl_Finance[Xero Invoiced Ex GST],MATCH($AE334,tbl_Finance[Row ID],0))),""))</f>
        <v/>
      </c>
      <c r="M334" s="10">
        <f>IF($C334="","",IFERROR(INDEX(tbl_Finance[Compare],MATCH($AE334,tbl_Finance[Row ID],0))&amp;"",""))</f>
        <v/>
      </c>
      <c r="N334" s="11">
        <f>IF($C334="","",MAX(0,N(O334)-N(L334)))</f>
        <v/>
      </c>
      <c r="O334" s="39" t="n"/>
      <c r="P334" s="40">
        <f>IF($C334="","",IF((IF(F334="",", Client","")&amp;IF(G334="",", Description","")&amp;IF(H334="",", Cost Centre","")&amp;IF(I334="",", Invoice Type","")&amp;IF(J334="",", Tax Code","")&amp;IF(O334="",", Expected Revenue","")&amp;IF(COUNTIF(tbl_Finance[Job Number],$C334&amp;"")&gt;1,", Job number used twice",""))="","Complete","Fix: "&amp;MID(IF(F334="",", Client","")&amp;IF(G334="",", Description","")&amp;IF(H334="",", Cost Centre","")&amp;IF(I334="",", Invoice Type","")&amp;IF(J334="",", Tax Code","")&amp;IF(O334="",", Expected Revenue","")&amp;IF(COUNTIF(tbl_Finance[Job Number],$C334&amp;"")&gt;1,", Job number used twice",""),3,300)))</f>
        <v/>
      </c>
      <c r="Q334" s="10">
        <f>IF($C334="","",IF(H334="","(no cost centre)",H334&amp;" - GL "&amp;IFERROR(INDEX(lst_CCtoGL,MATCH(H334,lst_CCforGL,0)),"?")))</f>
        <v/>
      </c>
      <c r="R334" s="37" t="n"/>
      <c r="S334" s="10">
        <f>IF(R334="","",HYPERLINK(IF(LEFT(R334,4)="http",R334,set_QwilrBase&amp;R334),"Open quote"))</f>
        <v/>
      </c>
      <c r="T334" s="39" t="n"/>
      <c r="U334" s="39" t="n"/>
      <c r="V334" s="39" t="n"/>
      <c r="W334" s="10">
        <f>IF(C334="","",IF(N(T334)+N(U334)+N(V334)=0,"Not split",IF(ROUND(N(T334)+N(U334)+N(V334),2)=ROUND(MAX(N(L334),N(O334)),2),"OK","MISMATCH")))</f>
        <v/>
      </c>
      <c r="X334" s="39" t="n"/>
      <c r="Y334" s="39" t="n"/>
      <c r="Z334" s="39" t="n"/>
      <c r="AA334" s="11">
        <f>IF(C334="","",N(X334)+N(Y334)+N(Z334))</f>
        <v/>
      </c>
      <c r="AB334" s="11">
        <f>IF(C334="","",MAX(N(L334),N(O334))-N(AA334))</f>
        <v/>
      </c>
      <c r="AC334" s="43">
        <f>IFERROR(IF(MAX(N(L334),N(O334))=0,"",AB334/MAX(N(L334),N(O334))),"")</f>
        <v/>
      </c>
      <c r="AD334" s="37" t="n"/>
      <c r="AE334" s="10" t="inlineStr">
        <is>
          <t>CON-0330</t>
        </is>
      </c>
    </row>
    <row r="335">
      <c r="A335" s="16">
        <f>IF($C335="","",IFERROR(IF(INDEX(tbl_Finance[Latest Invoice Date],MATCH($AE335,tbl_Finance[Row ID],0))="","",INDEX(tbl_Finance[Latest Invoice Date],MATCH($AE335,tbl_Finance[Row ID],0))),""))</f>
        <v/>
      </c>
      <c r="B335" s="10">
        <f>IF($C335="","",IFERROR(INDEX(tbl_Finance[Invoice Numbers],MATCH($AE335,tbl_Finance[Row ID],0))&amp;"",""))</f>
        <v/>
      </c>
      <c r="C335" s="37" t="n"/>
      <c r="D335" s="10">
        <f>IF($C335="","",IF(COUNTIF(lst_Jobs,$C335&amp;"")&gt;0,"OK","CHECK"))</f>
        <v/>
      </c>
      <c r="E335" s="10">
        <f>IF($C335="","",IFERROR(INDEX(lst_JobName,MATCH($C335&amp;"",lst_Jobs,0)),""))</f>
        <v/>
      </c>
      <c r="F335" s="37" t="n"/>
      <c r="G335" s="37" t="n"/>
      <c r="H335" s="37" t="n"/>
      <c r="I335" s="37" t="n"/>
      <c r="J335" s="37" t="n"/>
      <c r="K335" s="38">
        <f>IF($C335="","",IFERROR(N(INDEX(tbl_Finance[Invoice Count],MATCH($AE335,tbl_Finance[Row ID],0))),""))</f>
        <v/>
      </c>
      <c r="L335" s="11">
        <f>IF($C335="","",IFERROR(N(INDEX(tbl_Finance[Xero Invoiced Ex GST],MATCH($AE335,tbl_Finance[Row ID],0))),""))</f>
        <v/>
      </c>
      <c r="M335" s="10">
        <f>IF($C335="","",IFERROR(INDEX(tbl_Finance[Compare],MATCH($AE335,tbl_Finance[Row ID],0))&amp;"",""))</f>
        <v/>
      </c>
      <c r="N335" s="11">
        <f>IF($C335="","",MAX(0,N(O335)-N(L335)))</f>
        <v/>
      </c>
      <c r="O335" s="39" t="n"/>
      <c r="P335" s="40">
        <f>IF($C335="","",IF((IF(F335="",", Client","")&amp;IF(G335="",", Description","")&amp;IF(H335="",", Cost Centre","")&amp;IF(I335="",", Invoice Type","")&amp;IF(J335="",", Tax Code","")&amp;IF(O335="",", Expected Revenue","")&amp;IF(COUNTIF(tbl_Finance[Job Number],$C335&amp;"")&gt;1,", Job number used twice",""))="","Complete","Fix: "&amp;MID(IF(F335="",", Client","")&amp;IF(G335="",", Description","")&amp;IF(H335="",", Cost Centre","")&amp;IF(I335="",", Invoice Type","")&amp;IF(J335="",", Tax Code","")&amp;IF(O335="",", Expected Revenue","")&amp;IF(COUNTIF(tbl_Finance[Job Number],$C335&amp;"")&gt;1,", Job number used twice",""),3,300)))</f>
        <v/>
      </c>
      <c r="Q335" s="10">
        <f>IF($C335="","",IF(H335="","(no cost centre)",H335&amp;" - GL "&amp;IFERROR(INDEX(lst_CCtoGL,MATCH(H335,lst_CCforGL,0)),"?")))</f>
        <v/>
      </c>
      <c r="R335" s="37" t="n"/>
      <c r="S335" s="10">
        <f>IF(R335="","",HYPERLINK(IF(LEFT(R335,4)="http",R335,set_QwilrBase&amp;R335),"Open quote"))</f>
        <v/>
      </c>
      <c r="T335" s="39" t="n"/>
      <c r="U335" s="39" t="n"/>
      <c r="V335" s="39" t="n"/>
      <c r="W335" s="10">
        <f>IF(C335="","",IF(N(T335)+N(U335)+N(V335)=0,"Not split",IF(ROUND(N(T335)+N(U335)+N(V335),2)=ROUND(MAX(N(L335),N(O335)),2),"OK","MISMATCH")))</f>
        <v/>
      </c>
      <c r="X335" s="39" t="n"/>
      <c r="Y335" s="39" t="n"/>
      <c r="Z335" s="39" t="n"/>
      <c r="AA335" s="11">
        <f>IF(C335="","",N(X335)+N(Y335)+N(Z335))</f>
        <v/>
      </c>
      <c r="AB335" s="11">
        <f>IF(C335="","",MAX(N(L335),N(O335))-N(AA335))</f>
        <v/>
      </c>
      <c r="AC335" s="43">
        <f>IFERROR(IF(MAX(N(L335),N(O335))=0,"",AB335/MAX(N(L335),N(O335))),"")</f>
        <v/>
      </c>
      <c r="AD335" s="37" t="n"/>
      <c r="AE335" s="10" t="inlineStr">
        <is>
          <t>CON-0331</t>
        </is>
      </c>
    </row>
    <row r="336">
      <c r="A336" s="16">
        <f>IF($C336="","",IFERROR(IF(INDEX(tbl_Finance[Latest Invoice Date],MATCH($AE336,tbl_Finance[Row ID],0))="","",INDEX(tbl_Finance[Latest Invoice Date],MATCH($AE336,tbl_Finance[Row ID],0))),""))</f>
        <v/>
      </c>
      <c r="B336" s="10">
        <f>IF($C336="","",IFERROR(INDEX(tbl_Finance[Invoice Numbers],MATCH($AE336,tbl_Finance[Row ID],0))&amp;"",""))</f>
        <v/>
      </c>
      <c r="C336" s="37" t="n"/>
      <c r="D336" s="10">
        <f>IF($C336="","",IF(COUNTIF(lst_Jobs,$C336&amp;"")&gt;0,"OK","CHECK"))</f>
        <v/>
      </c>
      <c r="E336" s="10">
        <f>IF($C336="","",IFERROR(INDEX(lst_JobName,MATCH($C336&amp;"",lst_Jobs,0)),""))</f>
        <v/>
      </c>
      <c r="F336" s="37" t="n"/>
      <c r="G336" s="37" t="n"/>
      <c r="H336" s="37" t="n"/>
      <c r="I336" s="37" t="n"/>
      <c r="J336" s="37" t="n"/>
      <c r="K336" s="38">
        <f>IF($C336="","",IFERROR(N(INDEX(tbl_Finance[Invoice Count],MATCH($AE336,tbl_Finance[Row ID],0))),""))</f>
        <v/>
      </c>
      <c r="L336" s="11">
        <f>IF($C336="","",IFERROR(N(INDEX(tbl_Finance[Xero Invoiced Ex GST],MATCH($AE336,tbl_Finance[Row ID],0))),""))</f>
        <v/>
      </c>
      <c r="M336" s="10">
        <f>IF($C336="","",IFERROR(INDEX(tbl_Finance[Compare],MATCH($AE336,tbl_Finance[Row ID],0))&amp;"",""))</f>
        <v/>
      </c>
      <c r="N336" s="11">
        <f>IF($C336="","",MAX(0,N(O336)-N(L336)))</f>
        <v/>
      </c>
      <c r="O336" s="39" t="n"/>
      <c r="P336" s="40">
        <f>IF($C336="","",IF((IF(F336="",", Client","")&amp;IF(G336="",", Description","")&amp;IF(H336="",", Cost Centre","")&amp;IF(I336="",", Invoice Type","")&amp;IF(J336="",", Tax Code","")&amp;IF(O336="",", Expected Revenue","")&amp;IF(COUNTIF(tbl_Finance[Job Number],$C336&amp;"")&gt;1,", Job number used twice",""))="","Complete","Fix: "&amp;MID(IF(F336="",", Client","")&amp;IF(G336="",", Description","")&amp;IF(H336="",", Cost Centre","")&amp;IF(I336="",", Invoice Type","")&amp;IF(J336="",", Tax Code","")&amp;IF(O336="",", Expected Revenue","")&amp;IF(COUNTIF(tbl_Finance[Job Number],$C336&amp;"")&gt;1,", Job number used twice",""),3,300)))</f>
        <v/>
      </c>
      <c r="Q336" s="10">
        <f>IF($C336="","",IF(H336="","(no cost centre)",H336&amp;" - GL "&amp;IFERROR(INDEX(lst_CCtoGL,MATCH(H336,lst_CCforGL,0)),"?")))</f>
        <v/>
      </c>
      <c r="R336" s="37" t="n"/>
      <c r="S336" s="10">
        <f>IF(R336="","",HYPERLINK(IF(LEFT(R336,4)="http",R336,set_QwilrBase&amp;R336),"Open quote"))</f>
        <v/>
      </c>
      <c r="T336" s="39" t="n"/>
      <c r="U336" s="39" t="n"/>
      <c r="V336" s="39" t="n"/>
      <c r="W336" s="10">
        <f>IF(C336="","",IF(N(T336)+N(U336)+N(V336)=0,"Not split",IF(ROUND(N(T336)+N(U336)+N(V336),2)=ROUND(MAX(N(L336),N(O336)),2),"OK","MISMATCH")))</f>
        <v/>
      </c>
      <c r="X336" s="39" t="n"/>
      <c r="Y336" s="39" t="n"/>
      <c r="Z336" s="39" t="n"/>
      <c r="AA336" s="11">
        <f>IF(C336="","",N(X336)+N(Y336)+N(Z336))</f>
        <v/>
      </c>
      <c r="AB336" s="11">
        <f>IF(C336="","",MAX(N(L336),N(O336))-N(AA336))</f>
        <v/>
      </c>
      <c r="AC336" s="43">
        <f>IFERROR(IF(MAX(N(L336),N(O336))=0,"",AB336/MAX(N(L336),N(O336))),"")</f>
        <v/>
      </c>
      <c r="AD336" s="37" t="n"/>
      <c r="AE336" s="10" t="inlineStr">
        <is>
          <t>CON-0332</t>
        </is>
      </c>
    </row>
    <row r="337">
      <c r="A337" s="16">
        <f>IF($C337="","",IFERROR(IF(INDEX(tbl_Finance[Latest Invoice Date],MATCH($AE337,tbl_Finance[Row ID],0))="","",INDEX(tbl_Finance[Latest Invoice Date],MATCH($AE337,tbl_Finance[Row ID],0))),""))</f>
        <v/>
      </c>
      <c r="B337" s="10">
        <f>IF($C337="","",IFERROR(INDEX(tbl_Finance[Invoice Numbers],MATCH($AE337,tbl_Finance[Row ID],0))&amp;"",""))</f>
        <v/>
      </c>
      <c r="C337" s="37" t="n"/>
      <c r="D337" s="10">
        <f>IF($C337="","",IF(COUNTIF(lst_Jobs,$C337&amp;"")&gt;0,"OK","CHECK"))</f>
        <v/>
      </c>
      <c r="E337" s="10">
        <f>IF($C337="","",IFERROR(INDEX(lst_JobName,MATCH($C337&amp;"",lst_Jobs,0)),""))</f>
        <v/>
      </c>
      <c r="F337" s="37" t="n"/>
      <c r="G337" s="37" t="n"/>
      <c r="H337" s="37" t="n"/>
      <c r="I337" s="37" t="n"/>
      <c r="J337" s="37" t="n"/>
      <c r="K337" s="38">
        <f>IF($C337="","",IFERROR(N(INDEX(tbl_Finance[Invoice Count],MATCH($AE337,tbl_Finance[Row ID],0))),""))</f>
        <v/>
      </c>
      <c r="L337" s="11">
        <f>IF($C337="","",IFERROR(N(INDEX(tbl_Finance[Xero Invoiced Ex GST],MATCH($AE337,tbl_Finance[Row ID],0))),""))</f>
        <v/>
      </c>
      <c r="M337" s="10">
        <f>IF($C337="","",IFERROR(INDEX(tbl_Finance[Compare],MATCH($AE337,tbl_Finance[Row ID],0))&amp;"",""))</f>
        <v/>
      </c>
      <c r="N337" s="11">
        <f>IF($C337="","",MAX(0,N(O337)-N(L337)))</f>
        <v/>
      </c>
      <c r="O337" s="39" t="n"/>
      <c r="P337" s="40">
        <f>IF($C337="","",IF((IF(F337="",", Client","")&amp;IF(G337="",", Description","")&amp;IF(H337="",", Cost Centre","")&amp;IF(I337="",", Invoice Type","")&amp;IF(J337="",", Tax Code","")&amp;IF(O337="",", Expected Revenue","")&amp;IF(COUNTIF(tbl_Finance[Job Number],$C337&amp;"")&gt;1,", Job number used twice",""))="","Complete","Fix: "&amp;MID(IF(F337="",", Client","")&amp;IF(G337="",", Description","")&amp;IF(H337="",", Cost Centre","")&amp;IF(I337="",", Invoice Type","")&amp;IF(J337="",", Tax Code","")&amp;IF(O337="",", Expected Revenue","")&amp;IF(COUNTIF(tbl_Finance[Job Number],$C337&amp;"")&gt;1,", Job number used twice",""),3,300)))</f>
        <v/>
      </c>
      <c r="Q337" s="10">
        <f>IF($C337="","",IF(H337="","(no cost centre)",H337&amp;" - GL "&amp;IFERROR(INDEX(lst_CCtoGL,MATCH(H337,lst_CCforGL,0)),"?")))</f>
        <v/>
      </c>
      <c r="R337" s="37" t="n"/>
      <c r="S337" s="10">
        <f>IF(R337="","",HYPERLINK(IF(LEFT(R337,4)="http",R337,set_QwilrBase&amp;R337),"Open quote"))</f>
        <v/>
      </c>
      <c r="T337" s="39" t="n"/>
      <c r="U337" s="39" t="n"/>
      <c r="V337" s="39" t="n"/>
      <c r="W337" s="10">
        <f>IF(C337="","",IF(N(T337)+N(U337)+N(V337)=0,"Not split",IF(ROUND(N(T337)+N(U337)+N(V337),2)=ROUND(MAX(N(L337),N(O337)),2),"OK","MISMATCH")))</f>
        <v/>
      </c>
      <c r="X337" s="39" t="n"/>
      <c r="Y337" s="39" t="n"/>
      <c r="Z337" s="39" t="n"/>
      <c r="AA337" s="11">
        <f>IF(C337="","",N(X337)+N(Y337)+N(Z337))</f>
        <v/>
      </c>
      <c r="AB337" s="11">
        <f>IF(C337="","",MAX(N(L337),N(O337))-N(AA337))</f>
        <v/>
      </c>
      <c r="AC337" s="43">
        <f>IFERROR(IF(MAX(N(L337),N(O337))=0,"",AB337/MAX(N(L337),N(O337))),"")</f>
        <v/>
      </c>
      <c r="AD337" s="37" t="n"/>
      <c r="AE337" s="10" t="inlineStr">
        <is>
          <t>CON-0333</t>
        </is>
      </c>
    </row>
    <row r="338">
      <c r="A338" s="16">
        <f>IF($C338="","",IFERROR(IF(INDEX(tbl_Finance[Latest Invoice Date],MATCH($AE338,tbl_Finance[Row ID],0))="","",INDEX(tbl_Finance[Latest Invoice Date],MATCH($AE338,tbl_Finance[Row ID],0))),""))</f>
        <v/>
      </c>
      <c r="B338" s="10">
        <f>IF($C338="","",IFERROR(INDEX(tbl_Finance[Invoice Numbers],MATCH($AE338,tbl_Finance[Row ID],0))&amp;"",""))</f>
        <v/>
      </c>
      <c r="C338" s="37" t="n"/>
      <c r="D338" s="10">
        <f>IF($C338="","",IF(COUNTIF(lst_Jobs,$C338&amp;"")&gt;0,"OK","CHECK"))</f>
        <v/>
      </c>
      <c r="E338" s="10">
        <f>IF($C338="","",IFERROR(INDEX(lst_JobName,MATCH($C338&amp;"",lst_Jobs,0)),""))</f>
        <v/>
      </c>
      <c r="F338" s="37" t="n"/>
      <c r="G338" s="37" t="n"/>
      <c r="H338" s="37" t="n"/>
      <c r="I338" s="37" t="n"/>
      <c r="J338" s="37" t="n"/>
      <c r="K338" s="38">
        <f>IF($C338="","",IFERROR(N(INDEX(tbl_Finance[Invoice Count],MATCH($AE338,tbl_Finance[Row ID],0))),""))</f>
        <v/>
      </c>
      <c r="L338" s="11">
        <f>IF($C338="","",IFERROR(N(INDEX(tbl_Finance[Xero Invoiced Ex GST],MATCH($AE338,tbl_Finance[Row ID],0))),""))</f>
        <v/>
      </c>
      <c r="M338" s="10">
        <f>IF($C338="","",IFERROR(INDEX(tbl_Finance[Compare],MATCH($AE338,tbl_Finance[Row ID],0))&amp;"",""))</f>
        <v/>
      </c>
      <c r="N338" s="11">
        <f>IF($C338="","",MAX(0,N(O338)-N(L338)))</f>
        <v/>
      </c>
      <c r="O338" s="39" t="n"/>
      <c r="P338" s="40">
        <f>IF($C338="","",IF((IF(F338="",", Client","")&amp;IF(G338="",", Description","")&amp;IF(H338="",", Cost Centre","")&amp;IF(I338="",", Invoice Type","")&amp;IF(J338="",", Tax Code","")&amp;IF(O338="",", Expected Revenue","")&amp;IF(COUNTIF(tbl_Finance[Job Number],$C338&amp;"")&gt;1,", Job number used twice",""))="","Complete","Fix: "&amp;MID(IF(F338="",", Client","")&amp;IF(G338="",", Description","")&amp;IF(H338="",", Cost Centre","")&amp;IF(I338="",", Invoice Type","")&amp;IF(J338="",", Tax Code","")&amp;IF(O338="",", Expected Revenue","")&amp;IF(COUNTIF(tbl_Finance[Job Number],$C338&amp;"")&gt;1,", Job number used twice",""),3,300)))</f>
        <v/>
      </c>
      <c r="Q338" s="10">
        <f>IF($C338="","",IF(H338="","(no cost centre)",H338&amp;" - GL "&amp;IFERROR(INDEX(lst_CCtoGL,MATCH(H338,lst_CCforGL,0)),"?")))</f>
        <v/>
      </c>
      <c r="R338" s="37" t="n"/>
      <c r="S338" s="10">
        <f>IF(R338="","",HYPERLINK(IF(LEFT(R338,4)="http",R338,set_QwilrBase&amp;R338),"Open quote"))</f>
        <v/>
      </c>
      <c r="T338" s="39" t="n"/>
      <c r="U338" s="39" t="n"/>
      <c r="V338" s="39" t="n"/>
      <c r="W338" s="10">
        <f>IF(C338="","",IF(N(T338)+N(U338)+N(V338)=0,"Not split",IF(ROUND(N(T338)+N(U338)+N(V338),2)=ROUND(MAX(N(L338),N(O338)),2),"OK","MISMATCH")))</f>
        <v/>
      </c>
      <c r="X338" s="39" t="n"/>
      <c r="Y338" s="39" t="n"/>
      <c r="Z338" s="39" t="n"/>
      <c r="AA338" s="11">
        <f>IF(C338="","",N(X338)+N(Y338)+N(Z338))</f>
        <v/>
      </c>
      <c r="AB338" s="11">
        <f>IF(C338="","",MAX(N(L338),N(O338))-N(AA338))</f>
        <v/>
      </c>
      <c r="AC338" s="43">
        <f>IFERROR(IF(MAX(N(L338),N(O338))=0,"",AB338/MAX(N(L338),N(O338))),"")</f>
        <v/>
      </c>
      <c r="AD338" s="37" t="n"/>
      <c r="AE338" s="10" t="inlineStr">
        <is>
          <t>CON-0334</t>
        </is>
      </c>
    </row>
    <row r="339">
      <c r="A339" s="16">
        <f>IF($C339="","",IFERROR(IF(INDEX(tbl_Finance[Latest Invoice Date],MATCH($AE339,tbl_Finance[Row ID],0))="","",INDEX(tbl_Finance[Latest Invoice Date],MATCH($AE339,tbl_Finance[Row ID],0))),""))</f>
        <v/>
      </c>
      <c r="B339" s="10">
        <f>IF($C339="","",IFERROR(INDEX(tbl_Finance[Invoice Numbers],MATCH($AE339,tbl_Finance[Row ID],0))&amp;"",""))</f>
        <v/>
      </c>
      <c r="C339" s="37" t="n"/>
      <c r="D339" s="10">
        <f>IF($C339="","",IF(COUNTIF(lst_Jobs,$C339&amp;"")&gt;0,"OK","CHECK"))</f>
        <v/>
      </c>
      <c r="E339" s="10">
        <f>IF($C339="","",IFERROR(INDEX(lst_JobName,MATCH($C339&amp;"",lst_Jobs,0)),""))</f>
        <v/>
      </c>
      <c r="F339" s="37" t="n"/>
      <c r="G339" s="37" t="n"/>
      <c r="H339" s="37" t="n"/>
      <c r="I339" s="37" t="n"/>
      <c r="J339" s="37" t="n"/>
      <c r="K339" s="38">
        <f>IF($C339="","",IFERROR(N(INDEX(tbl_Finance[Invoice Count],MATCH($AE339,tbl_Finance[Row ID],0))),""))</f>
        <v/>
      </c>
      <c r="L339" s="11">
        <f>IF($C339="","",IFERROR(N(INDEX(tbl_Finance[Xero Invoiced Ex GST],MATCH($AE339,tbl_Finance[Row ID],0))),""))</f>
        <v/>
      </c>
      <c r="M339" s="10">
        <f>IF($C339="","",IFERROR(INDEX(tbl_Finance[Compare],MATCH($AE339,tbl_Finance[Row ID],0))&amp;"",""))</f>
        <v/>
      </c>
      <c r="N339" s="11">
        <f>IF($C339="","",MAX(0,N(O339)-N(L339)))</f>
        <v/>
      </c>
      <c r="O339" s="39" t="n"/>
      <c r="P339" s="40">
        <f>IF($C339="","",IF((IF(F339="",", Client","")&amp;IF(G339="",", Description","")&amp;IF(H339="",", Cost Centre","")&amp;IF(I339="",", Invoice Type","")&amp;IF(J339="",", Tax Code","")&amp;IF(O339="",", Expected Revenue","")&amp;IF(COUNTIF(tbl_Finance[Job Number],$C339&amp;"")&gt;1,", Job number used twice",""))="","Complete","Fix: "&amp;MID(IF(F339="",", Client","")&amp;IF(G339="",", Description","")&amp;IF(H339="",", Cost Centre","")&amp;IF(I339="",", Invoice Type","")&amp;IF(J339="",", Tax Code","")&amp;IF(O339="",", Expected Revenue","")&amp;IF(COUNTIF(tbl_Finance[Job Number],$C339&amp;"")&gt;1,", Job number used twice",""),3,300)))</f>
        <v/>
      </c>
      <c r="Q339" s="10">
        <f>IF($C339="","",IF(H339="","(no cost centre)",H339&amp;" - GL "&amp;IFERROR(INDEX(lst_CCtoGL,MATCH(H339,lst_CCforGL,0)),"?")))</f>
        <v/>
      </c>
      <c r="R339" s="37" t="n"/>
      <c r="S339" s="10">
        <f>IF(R339="","",HYPERLINK(IF(LEFT(R339,4)="http",R339,set_QwilrBase&amp;R339),"Open quote"))</f>
        <v/>
      </c>
      <c r="T339" s="39" t="n"/>
      <c r="U339" s="39" t="n"/>
      <c r="V339" s="39" t="n"/>
      <c r="W339" s="10">
        <f>IF(C339="","",IF(N(T339)+N(U339)+N(V339)=0,"Not split",IF(ROUND(N(T339)+N(U339)+N(V339),2)=ROUND(MAX(N(L339),N(O339)),2),"OK","MISMATCH")))</f>
        <v/>
      </c>
      <c r="X339" s="39" t="n"/>
      <c r="Y339" s="39" t="n"/>
      <c r="Z339" s="39" t="n"/>
      <c r="AA339" s="11">
        <f>IF(C339="","",N(X339)+N(Y339)+N(Z339))</f>
        <v/>
      </c>
      <c r="AB339" s="11">
        <f>IF(C339="","",MAX(N(L339),N(O339))-N(AA339))</f>
        <v/>
      </c>
      <c r="AC339" s="43">
        <f>IFERROR(IF(MAX(N(L339),N(O339))=0,"",AB339/MAX(N(L339),N(O339))),"")</f>
        <v/>
      </c>
      <c r="AD339" s="37" t="n"/>
      <c r="AE339" s="10" t="inlineStr">
        <is>
          <t>CON-0335</t>
        </is>
      </c>
    </row>
    <row r="340">
      <c r="A340" s="16">
        <f>IF($C340="","",IFERROR(IF(INDEX(tbl_Finance[Latest Invoice Date],MATCH($AE340,tbl_Finance[Row ID],0))="","",INDEX(tbl_Finance[Latest Invoice Date],MATCH($AE340,tbl_Finance[Row ID],0))),""))</f>
        <v/>
      </c>
      <c r="B340" s="10">
        <f>IF($C340="","",IFERROR(INDEX(tbl_Finance[Invoice Numbers],MATCH($AE340,tbl_Finance[Row ID],0))&amp;"",""))</f>
        <v/>
      </c>
      <c r="C340" s="37" t="n"/>
      <c r="D340" s="10">
        <f>IF($C340="","",IF(COUNTIF(lst_Jobs,$C340&amp;"")&gt;0,"OK","CHECK"))</f>
        <v/>
      </c>
      <c r="E340" s="10">
        <f>IF($C340="","",IFERROR(INDEX(lst_JobName,MATCH($C340&amp;"",lst_Jobs,0)),""))</f>
        <v/>
      </c>
      <c r="F340" s="37" t="n"/>
      <c r="G340" s="37" t="n"/>
      <c r="H340" s="37" t="n"/>
      <c r="I340" s="37" t="n"/>
      <c r="J340" s="37" t="n"/>
      <c r="K340" s="38">
        <f>IF($C340="","",IFERROR(N(INDEX(tbl_Finance[Invoice Count],MATCH($AE340,tbl_Finance[Row ID],0))),""))</f>
        <v/>
      </c>
      <c r="L340" s="11">
        <f>IF($C340="","",IFERROR(N(INDEX(tbl_Finance[Xero Invoiced Ex GST],MATCH($AE340,tbl_Finance[Row ID],0))),""))</f>
        <v/>
      </c>
      <c r="M340" s="10">
        <f>IF($C340="","",IFERROR(INDEX(tbl_Finance[Compare],MATCH($AE340,tbl_Finance[Row ID],0))&amp;"",""))</f>
        <v/>
      </c>
      <c r="N340" s="11">
        <f>IF($C340="","",MAX(0,N(O340)-N(L340)))</f>
        <v/>
      </c>
      <c r="O340" s="39" t="n"/>
      <c r="P340" s="40">
        <f>IF($C340="","",IF((IF(F340="",", Client","")&amp;IF(G340="",", Description","")&amp;IF(H340="",", Cost Centre","")&amp;IF(I340="",", Invoice Type","")&amp;IF(J340="",", Tax Code","")&amp;IF(O340="",", Expected Revenue","")&amp;IF(COUNTIF(tbl_Finance[Job Number],$C340&amp;"")&gt;1,", Job number used twice",""))="","Complete","Fix: "&amp;MID(IF(F340="",", Client","")&amp;IF(G340="",", Description","")&amp;IF(H340="",", Cost Centre","")&amp;IF(I340="",", Invoice Type","")&amp;IF(J340="",", Tax Code","")&amp;IF(O340="",", Expected Revenue","")&amp;IF(COUNTIF(tbl_Finance[Job Number],$C340&amp;"")&gt;1,", Job number used twice",""),3,300)))</f>
        <v/>
      </c>
      <c r="Q340" s="10">
        <f>IF($C340="","",IF(H340="","(no cost centre)",H340&amp;" - GL "&amp;IFERROR(INDEX(lst_CCtoGL,MATCH(H340,lst_CCforGL,0)),"?")))</f>
        <v/>
      </c>
      <c r="R340" s="37" t="n"/>
      <c r="S340" s="10">
        <f>IF(R340="","",HYPERLINK(IF(LEFT(R340,4)="http",R340,set_QwilrBase&amp;R340),"Open quote"))</f>
        <v/>
      </c>
      <c r="T340" s="39" t="n"/>
      <c r="U340" s="39" t="n"/>
      <c r="V340" s="39" t="n"/>
      <c r="W340" s="10">
        <f>IF(C340="","",IF(N(T340)+N(U340)+N(V340)=0,"Not split",IF(ROUND(N(T340)+N(U340)+N(V340),2)=ROUND(MAX(N(L340),N(O340)),2),"OK","MISMATCH")))</f>
        <v/>
      </c>
      <c r="X340" s="39" t="n"/>
      <c r="Y340" s="39" t="n"/>
      <c r="Z340" s="39" t="n"/>
      <c r="AA340" s="11">
        <f>IF(C340="","",N(X340)+N(Y340)+N(Z340))</f>
        <v/>
      </c>
      <c r="AB340" s="11">
        <f>IF(C340="","",MAX(N(L340),N(O340))-N(AA340))</f>
        <v/>
      </c>
      <c r="AC340" s="43">
        <f>IFERROR(IF(MAX(N(L340),N(O340))=0,"",AB340/MAX(N(L340),N(O340))),"")</f>
        <v/>
      </c>
      <c r="AD340" s="37" t="n"/>
      <c r="AE340" s="10" t="inlineStr">
        <is>
          <t>CON-0336</t>
        </is>
      </c>
    </row>
    <row r="341">
      <c r="A341" s="16">
        <f>IF($C341="","",IFERROR(IF(INDEX(tbl_Finance[Latest Invoice Date],MATCH($AE341,tbl_Finance[Row ID],0))="","",INDEX(tbl_Finance[Latest Invoice Date],MATCH($AE341,tbl_Finance[Row ID],0))),""))</f>
        <v/>
      </c>
      <c r="B341" s="10">
        <f>IF($C341="","",IFERROR(INDEX(tbl_Finance[Invoice Numbers],MATCH($AE341,tbl_Finance[Row ID],0))&amp;"",""))</f>
        <v/>
      </c>
      <c r="C341" s="37" t="n"/>
      <c r="D341" s="10">
        <f>IF($C341="","",IF(COUNTIF(lst_Jobs,$C341&amp;"")&gt;0,"OK","CHECK"))</f>
        <v/>
      </c>
      <c r="E341" s="10">
        <f>IF($C341="","",IFERROR(INDEX(lst_JobName,MATCH($C341&amp;"",lst_Jobs,0)),""))</f>
        <v/>
      </c>
      <c r="F341" s="37" t="n"/>
      <c r="G341" s="37" t="n"/>
      <c r="H341" s="37" t="n"/>
      <c r="I341" s="37" t="n"/>
      <c r="J341" s="37" t="n"/>
      <c r="K341" s="38">
        <f>IF($C341="","",IFERROR(N(INDEX(tbl_Finance[Invoice Count],MATCH($AE341,tbl_Finance[Row ID],0))),""))</f>
        <v/>
      </c>
      <c r="L341" s="11">
        <f>IF($C341="","",IFERROR(N(INDEX(tbl_Finance[Xero Invoiced Ex GST],MATCH($AE341,tbl_Finance[Row ID],0))),""))</f>
        <v/>
      </c>
      <c r="M341" s="10">
        <f>IF($C341="","",IFERROR(INDEX(tbl_Finance[Compare],MATCH($AE341,tbl_Finance[Row ID],0))&amp;"",""))</f>
        <v/>
      </c>
      <c r="N341" s="11">
        <f>IF($C341="","",MAX(0,N(O341)-N(L341)))</f>
        <v/>
      </c>
      <c r="O341" s="39" t="n"/>
      <c r="P341" s="40">
        <f>IF($C341="","",IF((IF(F341="",", Client","")&amp;IF(G341="",", Description","")&amp;IF(H341="",", Cost Centre","")&amp;IF(I341="",", Invoice Type","")&amp;IF(J341="",", Tax Code","")&amp;IF(O341="",", Expected Revenue","")&amp;IF(COUNTIF(tbl_Finance[Job Number],$C341&amp;"")&gt;1,", Job number used twice",""))="","Complete","Fix: "&amp;MID(IF(F341="",", Client","")&amp;IF(G341="",", Description","")&amp;IF(H341="",", Cost Centre","")&amp;IF(I341="",", Invoice Type","")&amp;IF(J341="",", Tax Code","")&amp;IF(O341="",", Expected Revenue","")&amp;IF(COUNTIF(tbl_Finance[Job Number],$C341&amp;"")&gt;1,", Job number used twice",""),3,300)))</f>
        <v/>
      </c>
      <c r="Q341" s="10">
        <f>IF($C341="","",IF(H341="","(no cost centre)",H341&amp;" - GL "&amp;IFERROR(INDEX(lst_CCtoGL,MATCH(H341,lst_CCforGL,0)),"?")))</f>
        <v/>
      </c>
      <c r="R341" s="37" t="n"/>
      <c r="S341" s="10">
        <f>IF(R341="","",HYPERLINK(IF(LEFT(R341,4)="http",R341,set_QwilrBase&amp;R341),"Open quote"))</f>
        <v/>
      </c>
      <c r="T341" s="39" t="n"/>
      <c r="U341" s="39" t="n"/>
      <c r="V341" s="39" t="n"/>
      <c r="W341" s="10">
        <f>IF(C341="","",IF(N(T341)+N(U341)+N(V341)=0,"Not split",IF(ROUND(N(T341)+N(U341)+N(V341),2)=ROUND(MAX(N(L341),N(O341)),2),"OK","MISMATCH")))</f>
        <v/>
      </c>
      <c r="X341" s="39" t="n"/>
      <c r="Y341" s="39" t="n"/>
      <c r="Z341" s="39" t="n"/>
      <c r="AA341" s="11">
        <f>IF(C341="","",N(X341)+N(Y341)+N(Z341))</f>
        <v/>
      </c>
      <c r="AB341" s="11">
        <f>IF(C341="","",MAX(N(L341),N(O341))-N(AA341))</f>
        <v/>
      </c>
      <c r="AC341" s="43">
        <f>IFERROR(IF(MAX(N(L341),N(O341))=0,"",AB341/MAX(N(L341),N(O341))),"")</f>
        <v/>
      </c>
      <c r="AD341" s="37" t="n"/>
      <c r="AE341" s="10" t="inlineStr">
        <is>
          <t>CON-0337</t>
        </is>
      </c>
    </row>
    <row r="342">
      <c r="A342" s="16">
        <f>IF($C342="","",IFERROR(IF(INDEX(tbl_Finance[Latest Invoice Date],MATCH($AE342,tbl_Finance[Row ID],0))="","",INDEX(tbl_Finance[Latest Invoice Date],MATCH($AE342,tbl_Finance[Row ID],0))),""))</f>
        <v/>
      </c>
      <c r="B342" s="10">
        <f>IF($C342="","",IFERROR(INDEX(tbl_Finance[Invoice Numbers],MATCH($AE342,tbl_Finance[Row ID],0))&amp;"",""))</f>
        <v/>
      </c>
      <c r="C342" s="37" t="n"/>
      <c r="D342" s="10">
        <f>IF($C342="","",IF(COUNTIF(lst_Jobs,$C342&amp;"")&gt;0,"OK","CHECK"))</f>
        <v/>
      </c>
      <c r="E342" s="10">
        <f>IF($C342="","",IFERROR(INDEX(lst_JobName,MATCH($C342&amp;"",lst_Jobs,0)),""))</f>
        <v/>
      </c>
      <c r="F342" s="37" t="n"/>
      <c r="G342" s="37" t="n"/>
      <c r="H342" s="37" t="n"/>
      <c r="I342" s="37" t="n"/>
      <c r="J342" s="37" t="n"/>
      <c r="K342" s="38">
        <f>IF($C342="","",IFERROR(N(INDEX(tbl_Finance[Invoice Count],MATCH($AE342,tbl_Finance[Row ID],0))),""))</f>
        <v/>
      </c>
      <c r="L342" s="11">
        <f>IF($C342="","",IFERROR(N(INDEX(tbl_Finance[Xero Invoiced Ex GST],MATCH($AE342,tbl_Finance[Row ID],0))),""))</f>
        <v/>
      </c>
      <c r="M342" s="10">
        <f>IF($C342="","",IFERROR(INDEX(tbl_Finance[Compare],MATCH($AE342,tbl_Finance[Row ID],0))&amp;"",""))</f>
        <v/>
      </c>
      <c r="N342" s="11">
        <f>IF($C342="","",MAX(0,N(O342)-N(L342)))</f>
        <v/>
      </c>
      <c r="O342" s="39" t="n"/>
      <c r="P342" s="40">
        <f>IF($C342="","",IF((IF(F342="",", Client","")&amp;IF(G342="",", Description","")&amp;IF(H342="",", Cost Centre","")&amp;IF(I342="",", Invoice Type","")&amp;IF(J342="",", Tax Code","")&amp;IF(O342="",", Expected Revenue","")&amp;IF(COUNTIF(tbl_Finance[Job Number],$C342&amp;"")&gt;1,", Job number used twice",""))="","Complete","Fix: "&amp;MID(IF(F342="",", Client","")&amp;IF(G342="",", Description","")&amp;IF(H342="",", Cost Centre","")&amp;IF(I342="",", Invoice Type","")&amp;IF(J342="",", Tax Code","")&amp;IF(O342="",", Expected Revenue","")&amp;IF(COUNTIF(tbl_Finance[Job Number],$C342&amp;"")&gt;1,", Job number used twice",""),3,300)))</f>
        <v/>
      </c>
      <c r="Q342" s="10">
        <f>IF($C342="","",IF(H342="","(no cost centre)",H342&amp;" - GL "&amp;IFERROR(INDEX(lst_CCtoGL,MATCH(H342,lst_CCforGL,0)),"?")))</f>
        <v/>
      </c>
      <c r="R342" s="37" t="n"/>
      <c r="S342" s="10">
        <f>IF(R342="","",HYPERLINK(IF(LEFT(R342,4)="http",R342,set_QwilrBase&amp;R342),"Open quote"))</f>
        <v/>
      </c>
      <c r="T342" s="39" t="n"/>
      <c r="U342" s="39" t="n"/>
      <c r="V342" s="39" t="n"/>
      <c r="W342" s="10">
        <f>IF(C342="","",IF(N(T342)+N(U342)+N(V342)=0,"Not split",IF(ROUND(N(T342)+N(U342)+N(V342),2)=ROUND(MAX(N(L342),N(O342)),2),"OK","MISMATCH")))</f>
        <v/>
      </c>
      <c r="X342" s="39" t="n"/>
      <c r="Y342" s="39" t="n"/>
      <c r="Z342" s="39" t="n"/>
      <c r="AA342" s="11">
        <f>IF(C342="","",N(X342)+N(Y342)+N(Z342))</f>
        <v/>
      </c>
      <c r="AB342" s="11">
        <f>IF(C342="","",MAX(N(L342),N(O342))-N(AA342))</f>
        <v/>
      </c>
      <c r="AC342" s="43">
        <f>IFERROR(IF(MAX(N(L342),N(O342))=0,"",AB342/MAX(N(L342),N(O342))),"")</f>
        <v/>
      </c>
      <c r="AD342" s="37" t="n"/>
      <c r="AE342" s="10" t="inlineStr">
        <is>
          <t>CON-0338</t>
        </is>
      </c>
    </row>
    <row r="343">
      <c r="A343" s="16">
        <f>IF($C343="","",IFERROR(IF(INDEX(tbl_Finance[Latest Invoice Date],MATCH($AE343,tbl_Finance[Row ID],0))="","",INDEX(tbl_Finance[Latest Invoice Date],MATCH($AE343,tbl_Finance[Row ID],0))),""))</f>
        <v/>
      </c>
      <c r="B343" s="10">
        <f>IF($C343="","",IFERROR(INDEX(tbl_Finance[Invoice Numbers],MATCH($AE343,tbl_Finance[Row ID],0))&amp;"",""))</f>
        <v/>
      </c>
      <c r="C343" s="37" t="n"/>
      <c r="D343" s="10">
        <f>IF($C343="","",IF(COUNTIF(lst_Jobs,$C343&amp;"")&gt;0,"OK","CHECK"))</f>
        <v/>
      </c>
      <c r="E343" s="10">
        <f>IF($C343="","",IFERROR(INDEX(lst_JobName,MATCH($C343&amp;"",lst_Jobs,0)),""))</f>
        <v/>
      </c>
      <c r="F343" s="37" t="n"/>
      <c r="G343" s="37" t="n"/>
      <c r="H343" s="37" t="n"/>
      <c r="I343" s="37" t="n"/>
      <c r="J343" s="37" t="n"/>
      <c r="K343" s="38">
        <f>IF($C343="","",IFERROR(N(INDEX(tbl_Finance[Invoice Count],MATCH($AE343,tbl_Finance[Row ID],0))),""))</f>
        <v/>
      </c>
      <c r="L343" s="11">
        <f>IF($C343="","",IFERROR(N(INDEX(tbl_Finance[Xero Invoiced Ex GST],MATCH($AE343,tbl_Finance[Row ID],0))),""))</f>
        <v/>
      </c>
      <c r="M343" s="10">
        <f>IF($C343="","",IFERROR(INDEX(tbl_Finance[Compare],MATCH($AE343,tbl_Finance[Row ID],0))&amp;"",""))</f>
        <v/>
      </c>
      <c r="N343" s="11">
        <f>IF($C343="","",MAX(0,N(O343)-N(L343)))</f>
        <v/>
      </c>
      <c r="O343" s="39" t="n"/>
      <c r="P343" s="40">
        <f>IF($C343="","",IF((IF(F343="",", Client","")&amp;IF(G343="",", Description","")&amp;IF(H343="",", Cost Centre","")&amp;IF(I343="",", Invoice Type","")&amp;IF(J343="",", Tax Code","")&amp;IF(O343="",", Expected Revenue","")&amp;IF(COUNTIF(tbl_Finance[Job Number],$C343&amp;"")&gt;1,", Job number used twice",""))="","Complete","Fix: "&amp;MID(IF(F343="",", Client","")&amp;IF(G343="",", Description","")&amp;IF(H343="",", Cost Centre","")&amp;IF(I343="",", Invoice Type","")&amp;IF(J343="",", Tax Code","")&amp;IF(O343="",", Expected Revenue","")&amp;IF(COUNTIF(tbl_Finance[Job Number],$C343&amp;"")&gt;1,", Job number used twice",""),3,300)))</f>
        <v/>
      </c>
      <c r="Q343" s="10">
        <f>IF($C343="","",IF(H343="","(no cost centre)",H343&amp;" - GL "&amp;IFERROR(INDEX(lst_CCtoGL,MATCH(H343,lst_CCforGL,0)),"?")))</f>
        <v/>
      </c>
      <c r="R343" s="37" t="n"/>
      <c r="S343" s="10">
        <f>IF(R343="","",HYPERLINK(IF(LEFT(R343,4)="http",R343,set_QwilrBase&amp;R343),"Open quote"))</f>
        <v/>
      </c>
      <c r="T343" s="39" t="n"/>
      <c r="U343" s="39" t="n"/>
      <c r="V343" s="39" t="n"/>
      <c r="W343" s="10">
        <f>IF(C343="","",IF(N(T343)+N(U343)+N(V343)=0,"Not split",IF(ROUND(N(T343)+N(U343)+N(V343),2)=ROUND(MAX(N(L343),N(O343)),2),"OK","MISMATCH")))</f>
        <v/>
      </c>
      <c r="X343" s="39" t="n"/>
      <c r="Y343" s="39" t="n"/>
      <c r="Z343" s="39" t="n"/>
      <c r="AA343" s="11">
        <f>IF(C343="","",N(X343)+N(Y343)+N(Z343))</f>
        <v/>
      </c>
      <c r="AB343" s="11">
        <f>IF(C343="","",MAX(N(L343),N(O343))-N(AA343))</f>
        <v/>
      </c>
      <c r="AC343" s="43">
        <f>IFERROR(IF(MAX(N(L343),N(O343))=0,"",AB343/MAX(N(L343),N(O343))),"")</f>
        <v/>
      </c>
      <c r="AD343" s="37" t="n"/>
      <c r="AE343" s="10" t="inlineStr">
        <is>
          <t>CON-0339</t>
        </is>
      </c>
    </row>
    <row r="344">
      <c r="A344" s="16">
        <f>IF($C344="","",IFERROR(IF(INDEX(tbl_Finance[Latest Invoice Date],MATCH($AE344,tbl_Finance[Row ID],0))="","",INDEX(tbl_Finance[Latest Invoice Date],MATCH($AE344,tbl_Finance[Row ID],0))),""))</f>
        <v/>
      </c>
      <c r="B344" s="10">
        <f>IF($C344="","",IFERROR(INDEX(tbl_Finance[Invoice Numbers],MATCH($AE344,tbl_Finance[Row ID],0))&amp;"",""))</f>
        <v/>
      </c>
      <c r="C344" s="37" t="n"/>
      <c r="D344" s="10">
        <f>IF($C344="","",IF(COUNTIF(lst_Jobs,$C344&amp;"")&gt;0,"OK","CHECK"))</f>
        <v/>
      </c>
      <c r="E344" s="10">
        <f>IF($C344="","",IFERROR(INDEX(lst_JobName,MATCH($C344&amp;"",lst_Jobs,0)),""))</f>
        <v/>
      </c>
      <c r="F344" s="37" t="n"/>
      <c r="G344" s="37" t="n"/>
      <c r="H344" s="37" t="n"/>
      <c r="I344" s="37" t="n"/>
      <c r="J344" s="37" t="n"/>
      <c r="K344" s="38">
        <f>IF($C344="","",IFERROR(N(INDEX(tbl_Finance[Invoice Count],MATCH($AE344,tbl_Finance[Row ID],0))),""))</f>
        <v/>
      </c>
      <c r="L344" s="11">
        <f>IF($C344="","",IFERROR(N(INDEX(tbl_Finance[Xero Invoiced Ex GST],MATCH($AE344,tbl_Finance[Row ID],0))),""))</f>
        <v/>
      </c>
      <c r="M344" s="10">
        <f>IF($C344="","",IFERROR(INDEX(tbl_Finance[Compare],MATCH($AE344,tbl_Finance[Row ID],0))&amp;"",""))</f>
        <v/>
      </c>
      <c r="N344" s="11">
        <f>IF($C344="","",MAX(0,N(O344)-N(L344)))</f>
        <v/>
      </c>
      <c r="O344" s="39" t="n"/>
      <c r="P344" s="40">
        <f>IF($C344="","",IF((IF(F344="",", Client","")&amp;IF(G344="",", Description","")&amp;IF(H344="",", Cost Centre","")&amp;IF(I344="",", Invoice Type","")&amp;IF(J344="",", Tax Code","")&amp;IF(O344="",", Expected Revenue","")&amp;IF(COUNTIF(tbl_Finance[Job Number],$C344&amp;"")&gt;1,", Job number used twice",""))="","Complete","Fix: "&amp;MID(IF(F344="",", Client","")&amp;IF(G344="",", Description","")&amp;IF(H344="",", Cost Centre","")&amp;IF(I344="",", Invoice Type","")&amp;IF(J344="",", Tax Code","")&amp;IF(O344="",", Expected Revenue","")&amp;IF(COUNTIF(tbl_Finance[Job Number],$C344&amp;"")&gt;1,", Job number used twice",""),3,300)))</f>
        <v/>
      </c>
      <c r="Q344" s="10">
        <f>IF($C344="","",IF(H344="","(no cost centre)",H344&amp;" - GL "&amp;IFERROR(INDEX(lst_CCtoGL,MATCH(H344,lst_CCforGL,0)),"?")))</f>
        <v/>
      </c>
      <c r="R344" s="37" t="n"/>
      <c r="S344" s="10">
        <f>IF(R344="","",HYPERLINK(IF(LEFT(R344,4)="http",R344,set_QwilrBase&amp;R344),"Open quote"))</f>
        <v/>
      </c>
      <c r="T344" s="39" t="n"/>
      <c r="U344" s="39" t="n"/>
      <c r="V344" s="39" t="n"/>
      <c r="W344" s="10">
        <f>IF(C344="","",IF(N(T344)+N(U344)+N(V344)=0,"Not split",IF(ROUND(N(T344)+N(U344)+N(V344),2)=ROUND(MAX(N(L344),N(O344)),2),"OK","MISMATCH")))</f>
        <v/>
      </c>
      <c r="X344" s="39" t="n"/>
      <c r="Y344" s="39" t="n"/>
      <c r="Z344" s="39" t="n"/>
      <c r="AA344" s="11">
        <f>IF(C344="","",N(X344)+N(Y344)+N(Z344))</f>
        <v/>
      </c>
      <c r="AB344" s="11">
        <f>IF(C344="","",MAX(N(L344),N(O344))-N(AA344))</f>
        <v/>
      </c>
      <c r="AC344" s="43">
        <f>IFERROR(IF(MAX(N(L344),N(O344))=0,"",AB344/MAX(N(L344),N(O344))),"")</f>
        <v/>
      </c>
      <c r="AD344" s="37" t="n"/>
      <c r="AE344" s="10" t="inlineStr">
        <is>
          <t>CON-0340</t>
        </is>
      </c>
    </row>
    <row r="345">
      <c r="A345" s="16">
        <f>IF($C345="","",IFERROR(IF(INDEX(tbl_Finance[Latest Invoice Date],MATCH($AE345,tbl_Finance[Row ID],0))="","",INDEX(tbl_Finance[Latest Invoice Date],MATCH($AE345,tbl_Finance[Row ID],0))),""))</f>
        <v/>
      </c>
      <c r="B345" s="10">
        <f>IF($C345="","",IFERROR(INDEX(tbl_Finance[Invoice Numbers],MATCH($AE345,tbl_Finance[Row ID],0))&amp;"",""))</f>
        <v/>
      </c>
      <c r="C345" s="37" t="n"/>
      <c r="D345" s="10">
        <f>IF($C345="","",IF(COUNTIF(lst_Jobs,$C345&amp;"")&gt;0,"OK","CHECK"))</f>
        <v/>
      </c>
      <c r="E345" s="10">
        <f>IF($C345="","",IFERROR(INDEX(lst_JobName,MATCH($C345&amp;"",lst_Jobs,0)),""))</f>
        <v/>
      </c>
      <c r="F345" s="37" t="n"/>
      <c r="G345" s="37" t="n"/>
      <c r="H345" s="37" t="n"/>
      <c r="I345" s="37" t="n"/>
      <c r="J345" s="37" t="n"/>
      <c r="K345" s="38">
        <f>IF($C345="","",IFERROR(N(INDEX(tbl_Finance[Invoice Count],MATCH($AE345,tbl_Finance[Row ID],0))),""))</f>
        <v/>
      </c>
      <c r="L345" s="11">
        <f>IF($C345="","",IFERROR(N(INDEX(tbl_Finance[Xero Invoiced Ex GST],MATCH($AE345,tbl_Finance[Row ID],0))),""))</f>
        <v/>
      </c>
      <c r="M345" s="10">
        <f>IF($C345="","",IFERROR(INDEX(tbl_Finance[Compare],MATCH($AE345,tbl_Finance[Row ID],0))&amp;"",""))</f>
        <v/>
      </c>
      <c r="N345" s="11">
        <f>IF($C345="","",MAX(0,N(O345)-N(L345)))</f>
        <v/>
      </c>
      <c r="O345" s="39" t="n"/>
      <c r="P345" s="40">
        <f>IF($C345="","",IF((IF(F345="",", Client","")&amp;IF(G345="",", Description","")&amp;IF(H345="",", Cost Centre","")&amp;IF(I345="",", Invoice Type","")&amp;IF(J345="",", Tax Code","")&amp;IF(O345="",", Expected Revenue","")&amp;IF(COUNTIF(tbl_Finance[Job Number],$C345&amp;"")&gt;1,", Job number used twice",""))="","Complete","Fix: "&amp;MID(IF(F345="",", Client","")&amp;IF(G345="",", Description","")&amp;IF(H345="",", Cost Centre","")&amp;IF(I345="",", Invoice Type","")&amp;IF(J345="",", Tax Code","")&amp;IF(O345="",", Expected Revenue","")&amp;IF(COUNTIF(tbl_Finance[Job Number],$C345&amp;"")&gt;1,", Job number used twice",""),3,300)))</f>
        <v/>
      </c>
      <c r="Q345" s="10">
        <f>IF($C345="","",IF(H345="","(no cost centre)",H345&amp;" - GL "&amp;IFERROR(INDEX(lst_CCtoGL,MATCH(H345,lst_CCforGL,0)),"?")))</f>
        <v/>
      </c>
      <c r="R345" s="37" t="n"/>
      <c r="S345" s="10">
        <f>IF(R345="","",HYPERLINK(IF(LEFT(R345,4)="http",R345,set_QwilrBase&amp;R345),"Open quote"))</f>
        <v/>
      </c>
      <c r="T345" s="39" t="n"/>
      <c r="U345" s="39" t="n"/>
      <c r="V345" s="39" t="n"/>
      <c r="W345" s="10">
        <f>IF(C345="","",IF(N(T345)+N(U345)+N(V345)=0,"Not split",IF(ROUND(N(T345)+N(U345)+N(V345),2)=ROUND(MAX(N(L345),N(O345)),2),"OK","MISMATCH")))</f>
        <v/>
      </c>
      <c r="X345" s="39" t="n"/>
      <c r="Y345" s="39" t="n"/>
      <c r="Z345" s="39" t="n"/>
      <c r="AA345" s="11">
        <f>IF(C345="","",N(X345)+N(Y345)+N(Z345))</f>
        <v/>
      </c>
      <c r="AB345" s="11">
        <f>IF(C345="","",MAX(N(L345),N(O345))-N(AA345))</f>
        <v/>
      </c>
      <c r="AC345" s="43">
        <f>IFERROR(IF(MAX(N(L345),N(O345))=0,"",AB345/MAX(N(L345),N(O345))),"")</f>
        <v/>
      </c>
      <c r="AD345" s="37" t="n"/>
      <c r="AE345" s="10" t="inlineStr">
        <is>
          <t>CON-0341</t>
        </is>
      </c>
    </row>
    <row r="346">
      <c r="A346" s="16">
        <f>IF($C346="","",IFERROR(IF(INDEX(tbl_Finance[Latest Invoice Date],MATCH($AE346,tbl_Finance[Row ID],0))="","",INDEX(tbl_Finance[Latest Invoice Date],MATCH($AE346,tbl_Finance[Row ID],0))),""))</f>
        <v/>
      </c>
      <c r="B346" s="10">
        <f>IF($C346="","",IFERROR(INDEX(tbl_Finance[Invoice Numbers],MATCH($AE346,tbl_Finance[Row ID],0))&amp;"",""))</f>
        <v/>
      </c>
      <c r="C346" s="37" t="n"/>
      <c r="D346" s="10">
        <f>IF($C346="","",IF(COUNTIF(lst_Jobs,$C346&amp;"")&gt;0,"OK","CHECK"))</f>
        <v/>
      </c>
      <c r="E346" s="10">
        <f>IF($C346="","",IFERROR(INDEX(lst_JobName,MATCH($C346&amp;"",lst_Jobs,0)),""))</f>
        <v/>
      </c>
      <c r="F346" s="37" t="n"/>
      <c r="G346" s="37" t="n"/>
      <c r="H346" s="37" t="n"/>
      <c r="I346" s="37" t="n"/>
      <c r="J346" s="37" t="n"/>
      <c r="K346" s="38">
        <f>IF($C346="","",IFERROR(N(INDEX(tbl_Finance[Invoice Count],MATCH($AE346,tbl_Finance[Row ID],0))),""))</f>
        <v/>
      </c>
      <c r="L346" s="11">
        <f>IF($C346="","",IFERROR(N(INDEX(tbl_Finance[Xero Invoiced Ex GST],MATCH($AE346,tbl_Finance[Row ID],0))),""))</f>
        <v/>
      </c>
      <c r="M346" s="10">
        <f>IF($C346="","",IFERROR(INDEX(tbl_Finance[Compare],MATCH($AE346,tbl_Finance[Row ID],0))&amp;"",""))</f>
        <v/>
      </c>
      <c r="N346" s="11">
        <f>IF($C346="","",MAX(0,N(O346)-N(L346)))</f>
        <v/>
      </c>
      <c r="O346" s="39" t="n"/>
      <c r="P346" s="40">
        <f>IF($C346="","",IF((IF(F346="",", Client","")&amp;IF(G346="",", Description","")&amp;IF(H346="",", Cost Centre","")&amp;IF(I346="",", Invoice Type","")&amp;IF(J346="",", Tax Code","")&amp;IF(O346="",", Expected Revenue","")&amp;IF(COUNTIF(tbl_Finance[Job Number],$C346&amp;"")&gt;1,", Job number used twice",""))="","Complete","Fix: "&amp;MID(IF(F346="",", Client","")&amp;IF(G346="",", Description","")&amp;IF(H346="",", Cost Centre","")&amp;IF(I346="",", Invoice Type","")&amp;IF(J346="",", Tax Code","")&amp;IF(O346="",", Expected Revenue","")&amp;IF(COUNTIF(tbl_Finance[Job Number],$C346&amp;"")&gt;1,", Job number used twice",""),3,300)))</f>
        <v/>
      </c>
      <c r="Q346" s="10">
        <f>IF($C346="","",IF(H346="","(no cost centre)",H346&amp;" - GL "&amp;IFERROR(INDEX(lst_CCtoGL,MATCH(H346,lst_CCforGL,0)),"?")))</f>
        <v/>
      </c>
      <c r="R346" s="37" t="n"/>
      <c r="S346" s="10">
        <f>IF(R346="","",HYPERLINK(IF(LEFT(R346,4)="http",R346,set_QwilrBase&amp;R346),"Open quote"))</f>
        <v/>
      </c>
      <c r="T346" s="39" t="n"/>
      <c r="U346" s="39" t="n"/>
      <c r="V346" s="39" t="n"/>
      <c r="W346" s="10">
        <f>IF(C346="","",IF(N(T346)+N(U346)+N(V346)=0,"Not split",IF(ROUND(N(T346)+N(U346)+N(V346),2)=ROUND(MAX(N(L346),N(O346)),2),"OK","MISMATCH")))</f>
        <v/>
      </c>
      <c r="X346" s="39" t="n"/>
      <c r="Y346" s="39" t="n"/>
      <c r="Z346" s="39" t="n"/>
      <c r="AA346" s="11">
        <f>IF(C346="","",N(X346)+N(Y346)+N(Z346))</f>
        <v/>
      </c>
      <c r="AB346" s="11">
        <f>IF(C346="","",MAX(N(L346),N(O346))-N(AA346))</f>
        <v/>
      </c>
      <c r="AC346" s="43">
        <f>IFERROR(IF(MAX(N(L346),N(O346))=0,"",AB346/MAX(N(L346),N(O346))),"")</f>
        <v/>
      </c>
      <c r="AD346" s="37" t="n"/>
      <c r="AE346" s="10" t="inlineStr">
        <is>
          <t>CON-0342</t>
        </is>
      </c>
    </row>
    <row r="347">
      <c r="A347" s="16">
        <f>IF($C347="","",IFERROR(IF(INDEX(tbl_Finance[Latest Invoice Date],MATCH($AE347,tbl_Finance[Row ID],0))="","",INDEX(tbl_Finance[Latest Invoice Date],MATCH($AE347,tbl_Finance[Row ID],0))),""))</f>
        <v/>
      </c>
      <c r="B347" s="10">
        <f>IF($C347="","",IFERROR(INDEX(tbl_Finance[Invoice Numbers],MATCH($AE347,tbl_Finance[Row ID],0))&amp;"",""))</f>
        <v/>
      </c>
      <c r="C347" s="37" t="n"/>
      <c r="D347" s="10">
        <f>IF($C347="","",IF(COUNTIF(lst_Jobs,$C347&amp;"")&gt;0,"OK","CHECK"))</f>
        <v/>
      </c>
      <c r="E347" s="10">
        <f>IF($C347="","",IFERROR(INDEX(lst_JobName,MATCH($C347&amp;"",lst_Jobs,0)),""))</f>
        <v/>
      </c>
      <c r="F347" s="37" t="n"/>
      <c r="G347" s="37" t="n"/>
      <c r="H347" s="37" t="n"/>
      <c r="I347" s="37" t="n"/>
      <c r="J347" s="37" t="n"/>
      <c r="K347" s="38">
        <f>IF($C347="","",IFERROR(N(INDEX(tbl_Finance[Invoice Count],MATCH($AE347,tbl_Finance[Row ID],0))),""))</f>
        <v/>
      </c>
      <c r="L347" s="11">
        <f>IF($C347="","",IFERROR(N(INDEX(tbl_Finance[Xero Invoiced Ex GST],MATCH($AE347,tbl_Finance[Row ID],0))),""))</f>
        <v/>
      </c>
      <c r="M347" s="10">
        <f>IF($C347="","",IFERROR(INDEX(tbl_Finance[Compare],MATCH($AE347,tbl_Finance[Row ID],0))&amp;"",""))</f>
        <v/>
      </c>
      <c r="N347" s="11">
        <f>IF($C347="","",MAX(0,N(O347)-N(L347)))</f>
        <v/>
      </c>
      <c r="O347" s="39" t="n"/>
      <c r="P347" s="40">
        <f>IF($C347="","",IF((IF(F347="",", Client","")&amp;IF(G347="",", Description","")&amp;IF(H347="",", Cost Centre","")&amp;IF(I347="",", Invoice Type","")&amp;IF(J347="",", Tax Code","")&amp;IF(O347="",", Expected Revenue","")&amp;IF(COUNTIF(tbl_Finance[Job Number],$C347&amp;"")&gt;1,", Job number used twice",""))="","Complete","Fix: "&amp;MID(IF(F347="",", Client","")&amp;IF(G347="",", Description","")&amp;IF(H347="",", Cost Centre","")&amp;IF(I347="",", Invoice Type","")&amp;IF(J347="",", Tax Code","")&amp;IF(O347="",", Expected Revenue","")&amp;IF(COUNTIF(tbl_Finance[Job Number],$C347&amp;"")&gt;1,", Job number used twice",""),3,300)))</f>
        <v/>
      </c>
      <c r="Q347" s="10">
        <f>IF($C347="","",IF(H347="","(no cost centre)",H347&amp;" - GL "&amp;IFERROR(INDEX(lst_CCtoGL,MATCH(H347,lst_CCforGL,0)),"?")))</f>
        <v/>
      </c>
      <c r="R347" s="37" t="n"/>
      <c r="S347" s="10">
        <f>IF(R347="","",HYPERLINK(IF(LEFT(R347,4)="http",R347,set_QwilrBase&amp;R347),"Open quote"))</f>
        <v/>
      </c>
      <c r="T347" s="39" t="n"/>
      <c r="U347" s="39" t="n"/>
      <c r="V347" s="39" t="n"/>
      <c r="W347" s="10">
        <f>IF(C347="","",IF(N(T347)+N(U347)+N(V347)=0,"Not split",IF(ROUND(N(T347)+N(U347)+N(V347),2)=ROUND(MAX(N(L347),N(O347)),2),"OK","MISMATCH")))</f>
        <v/>
      </c>
      <c r="X347" s="39" t="n"/>
      <c r="Y347" s="39" t="n"/>
      <c r="Z347" s="39" t="n"/>
      <c r="AA347" s="11">
        <f>IF(C347="","",N(X347)+N(Y347)+N(Z347))</f>
        <v/>
      </c>
      <c r="AB347" s="11">
        <f>IF(C347="","",MAX(N(L347),N(O347))-N(AA347))</f>
        <v/>
      </c>
      <c r="AC347" s="43">
        <f>IFERROR(IF(MAX(N(L347),N(O347))=0,"",AB347/MAX(N(L347),N(O347))),"")</f>
        <v/>
      </c>
      <c r="AD347" s="37" t="n"/>
      <c r="AE347" s="10" t="inlineStr">
        <is>
          <t>CON-0343</t>
        </is>
      </c>
    </row>
    <row r="348">
      <c r="A348" s="16">
        <f>IF($C348="","",IFERROR(IF(INDEX(tbl_Finance[Latest Invoice Date],MATCH($AE348,tbl_Finance[Row ID],0))="","",INDEX(tbl_Finance[Latest Invoice Date],MATCH($AE348,tbl_Finance[Row ID],0))),""))</f>
        <v/>
      </c>
      <c r="B348" s="10">
        <f>IF($C348="","",IFERROR(INDEX(tbl_Finance[Invoice Numbers],MATCH($AE348,tbl_Finance[Row ID],0))&amp;"",""))</f>
        <v/>
      </c>
      <c r="C348" s="37" t="n"/>
      <c r="D348" s="10">
        <f>IF($C348="","",IF(COUNTIF(lst_Jobs,$C348&amp;"")&gt;0,"OK","CHECK"))</f>
        <v/>
      </c>
      <c r="E348" s="10">
        <f>IF($C348="","",IFERROR(INDEX(lst_JobName,MATCH($C348&amp;"",lst_Jobs,0)),""))</f>
        <v/>
      </c>
      <c r="F348" s="37" t="n"/>
      <c r="G348" s="37" t="n"/>
      <c r="H348" s="37" t="n"/>
      <c r="I348" s="37" t="n"/>
      <c r="J348" s="37" t="n"/>
      <c r="K348" s="38">
        <f>IF($C348="","",IFERROR(N(INDEX(tbl_Finance[Invoice Count],MATCH($AE348,tbl_Finance[Row ID],0))),""))</f>
        <v/>
      </c>
      <c r="L348" s="11">
        <f>IF($C348="","",IFERROR(N(INDEX(tbl_Finance[Xero Invoiced Ex GST],MATCH($AE348,tbl_Finance[Row ID],0))),""))</f>
        <v/>
      </c>
      <c r="M348" s="10">
        <f>IF($C348="","",IFERROR(INDEX(tbl_Finance[Compare],MATCH($AE348,tbl_Finance[Row ID],0))&amp;"",""))</f>
        <v/>
      </c>
      <c r="N348" s="11">
        <f>IF($C348="","",MAX(0,N(O348)-N(L348)))</f>
        <v/>
      </c>
      <c r="O348" s="39" t="n"/>
      <c r="P348" s="40">
        <f>IF($C348="","",IF((IF(F348="",", Client","")&amp;IF(G348="",", Description","")&amp;IF(H348="",", Cost Centre","")&amp;IF(I348="",", Invoice Type","")&amp;IF(J348="",", Tax Code","")&amp;IF(O348="",", Expected Revenue","")&amp;IF(COUNTIF(tbl_Finance[Job Number],$C348&amp;"")&gt;1,", Job number used twice",""))="","Complete","Fix: "&amp;MID(IF(F348="",", Client","")&amp;IF(G348="",", Description","")&amp;IF(H348="",", Cost Centre","")&amp;IF(I348="",", Invoice Type","")&amp;IF(J348="",", Tax Code","")&amp;IF(O348="",", Expected Revenue","")&amp;IF(COUNTIF(tbl_Finance[Job Number],$C348&amp;"")&gt;1,", Job number used twice",""),3,300)))</f>
        <v/>
      </c>
      <c r="Q348" s="10">
        <f>IF($C348="","",IF(H348="","(no cost centre)",H348&amp;" - GL "&amp;IFERROR(INDEX(lst_CCtoGL,MATCH(H348,lst_CCforGL,0)),"?")))</f>
        <v/>
      </c>
      <c r="R348" s="37" t="n"/>
      <c r="S348" s="10">
        <f>IF(R348="","",HYPERLINK(IF(LEFT(R348,4)="http",R348,set_QwilrBase&amp;R348),"Open quote"))</f>
        <v/>
      </c>
      <c r="T348" s="39" t="n"/>
      <c r="U348" s="39" t="n"/>
      <c r="V348" s="39" t="n"/>
      <c r="W348" s="10">
        <f>IF(C348="","",IF(N(T348)+N(U348)+N(V348)=0,"Not split",IF(ROUND(N(T348)+N(U348)+N(V348),2)=ROUND(MAX(N(L348),N(O348)),2),"OK","MISMATCH")))</f>
        <v/>
      </c>
      <c r="X348" s="39" t="n"/>
      <c r="Y348" s="39" t="n"/>
      <c r="Z348" s="39" t="n"/>
      <c r="AA348" s="11">
        <f>IF(C348="","",N(X348)+N(Y348)+N(Z348))</f>
        <v/>
      </c>
      <c r="AB348" s="11">
        <f>IF(C348="","",MAX(N(L348),N(O348))-N(AA348))</f>
        <v/>
      </c>
      <c r="AC348" s="43">
        <f>IFERROR(IF(MAX(N(L348),N(O348))=0,"",AB348/MAX(N(L348),N(O348))),"")</f>
        <v/>
      </c>
      <c r="AD348" s="37" t="n"/>
      <c r="AE348" s="10" t="inlineStr">
        <is>
          <t>CON-0344</t>
        </is>
      </c>
    </row>
    <row r="349">
      <c r="A349" s="16">
        <f>IF($C349="","",IFERROR(IF(INDEX(tbl_Finance[Latest Invoice Date],MATCH($AE349,tbl_Finance[Row ID],0))="","",INDEX(tbl_Finance[Latest Invoice Date],MATCH($AE349,tbl_Finance[Row ID],0))),""))</f>
        <v/>
      </c>
      <c r="B349" s="10">
        <f>IF($C349="","",IFERROR(INDEX(tbl_Finance[Invoice Numbers],MATCH($AE349,tbl_Finance[Row ID],0))&amp;"",""))</f>
        <v/>
      </c>
      <c r="C349" s="37" t="n"/>
      <c r="D349" s="10">
        <f>IF($C349="","",IF(COUNTIF(lst_Jobs,$C349&amp;"")&gt;0,"OK","CHECK"))</f>
        <v/>
      </c>
      <c r="E349" s="10">
        <f>IF($C349="","",IFERROR(INDEX(lst_JobName,MATCH($C349&amp;"",lst_Jobs,0)),""))</f>
        <v/>
      </c>
      <c r="F349" s="37" t="n"/>
      <c r="G349" s="37" t="n"/>
      <c r="H349" s="37" t="n"/>
      <c r="I349" s="37" t="n"/>
      <c r="J349" s="37" t="n"/>
      <c r="K349" s="38">
        <f>IF($C349="","",IFERROR(N(INDEX(tbl_Finance[Invoice Count],MATCH($AE349,tbl_Finance[Row ID],0))),""))</f>
        <v/>
      </c>
      <c r="L349" s="11">
        <f>IF($C349="","",IFERROR(N(INDEX(tbl_Finance[Xero Invoiced Ex GST],MATCH($AE349,tbl_Finance[Row ID],0))),""))</f>
        <v/>
      </c>
      <c r="M349" s="10">
        <f>IF($C349="","",IFERROR(INDEX(tbl_Finance[Compare],MATCH($AE349,tbl_Finance[Row ID],0))&amp;"",""))</f>
        <v/>
      </c>
      <c r="N349" s="11">
        <f>IF($C349="","",MAX(0,N(O349)-N(L349)))</f>
        <v/>
      </c>
      <c r="O349" s="39" t="n"/>
      <c r="P349" s="40">
        <f>IF($C349="","",IF((IF(F349="",", Client","")&amp;IF(G349="",", Description","")&amp;IF(H349="",", Cost Centre","")&amp;IF(I349="",", Invoice Type","")&amp;IF(J349="",", Tax Code","")&amp;IF(O349="",", Expected Revenue","")&amp;IF(COUNTIF(tbl_Finance[Job Number],$C349&amp;"")&gt;1,", Job number used twice",""))="","Complete","Fix: "&amp;MID(IF(F349="",", Client","")&amp;IF(G349="",", Description","")&amp;IF(H349="",", Cost Centre","")&amp;IF(I349="",", Invoice Type","")&amp;IF(J349="",", Tax Code","")&amp;IF(O349="",", Expected Revenue","")&amp;IF(COUNTIF(tbl_Finance[Job Number],$C349&amp;"")&gt;1,", Job number used twice",""),3,300)))</f>
        <v/>
      </c>
      <c r="Q349" s="10">
        <f>IF($C349="","",IF(H349="","(no cost centre)",H349&amp;" - GL "&amp;IFERROR(INDEX(lst_CCtoGL,MATCH(H349,lst_CCforGL,0)),"?")))</f>
        <v/>
      </c>
      <c r="R349" s="37" t="n"/>
      <c r="S349" s="10">
        <f>IF(R349="","",HYPERLINK(IF(LEFT(R349,4)="http",R349,set_QwilrBase&amp;R349),"Open quote"))</f>
        <v/>
      </c>
      <c r="T349" s="39" t="n"/>
      <c r="U349" s="39" t="n"/>
      <c r="V349" s="39" t="n"/>
      <c r="W349" s="10">
        <f>IF(C349="","",IF(N(T349)+N(U349)+N(V349)=0,"Not split",IF(ROUND(N(T349)+N(U349)+N(V349),2)=ROUND(MAX(N(L349),N(O349)),2),"OK","MISMATCH")))</f>
        <v/>
      </c>
      <c r="X349" s="39" t="n"/>
      <c r="Y349" s="39" t="n"/>
      <c r="Z349" s="39" t="n"/>
      <c r="AA349" s="11">
        <f>IF(C349="","",N(X349)+N(Y349)+N(Z349))</f>
        <v/>
      </c>
      <c r="AB349" s="11">
        <f>IF(C349="","",MAX(N(L349),N(O349))-N(AA349))</f>
        <v/>
      </c>
      <c r="AC349" s="43">
        <f>IFERROR(IF(MAX(N(L349),N(O349))=0,"",AB349/MAX(N(L349),N(O349))),"")</f>
        <v/>
      </c>
      <c r="AD349" s="37" t="n"/>
      <c r="AE349" s="10" t="inlineStr">
        <is>
          <t>CON-0345</t>
        </is>
      </c>
    </row>
    <row r="350">
      <c r="A350" s="16">
        <f>IF($C350="","",IFERROR(IF(INDEX(tbl_Finance[Latest Invoice Date],MATCH($AE350,tbl_Finance[Row ID],0))="","",INDEX(tbl_Finance[Latest Invoice Date],MATCH($AE350,tbl_Finance[Row ID],0))),""))</f>
        <v/>
      </c>
      <c r="B350" s="10">
        <f>IF($C350="","",IFERROR(INDEX(tbl_Finance[Invoice Numbers],MATCH($AE350,tbl_Finance[Row ID],0))&amp;"",""))</f>
        <v/>
      </c>
      <c r="C350" s="37" t="n"/>
      <c r="D350" s="10">
        <f>IF($C350="","",IF(COUNTIF(lst_Jobs,$C350&amp;"")&gt;0,"OK","CHECK"))</f>
        <v/>
      </c>
      <c r="E350" s="10">
        <f>IF($C350="","",IFERROR(INDEX(lst_JobName,MATCH($C350&amp;"",lst_Jobs,0)),""))</f>
        <v/>
      </c>
      <c r="F350" s="37" t="n"/>
      <c r="G350" s="37" t="n"/>
      <c r="H350" s="37" t="n"/>
      <c r="I350" s="37" t="n"/>
      <c r="J350" s="37" t="n"/>
      <c r="K350" s="38">
        <f>IF($C350="","",IFERROR(N(INDEX(tbl_Finance[Invoice Count],MATCH($AE350,tbl_Finance[Row ID],0))),""))</f>
        <v/>
      </c>
      <c r="L350" s="11">
        <f>IF($C350="","",IFERROR(N(INDEX(tbl_Finance[Xero Invoiced Ex GST],MATCH($AE350,tbl_Finance[Row ID],0))),""))</f>
        <v/>
      </c>
      <c r="M350" s="10">
        <f>IF($C350="","",IFERROR(INDEX(tbl_Finance[Compare],MATCH($AE350,tbl_Finance[Row ID],0))&amp;"",""))</f>
        <v/>
      </c>
      <c r="N350" s="11">
        <f>IF($C350="","",MAX(0,N(O350)-N(L350)))</f>
        <v/>
      </c>
      <c r="O350" s="39" t="n"/>
      <c r="P350" s="40">
        <f>IF($C350="","",IF((IF(F350="",", Client","")&amp;IF(G350="",", Description","")&amp;IF(H350="",", Cost Centre","")&amp;IF(I350="",", Invoice Type","")&amp;IF(J350="",", Tax Code","")&amp;IF(O350="",", Expected Revenue","")&amp;IF(COUNTIF(tbl_Finance[Job Number],$C350&amp;"")&gt;1,", Job number used twice",""))="","Complete","Fix: "&amp;MID(IF(F350="",", Client","")&amp;IF(G350="",", Description","")&amp;IF(H350="",", Cost Centre","")&amp;IF(I350="",", Invoice Type","")&amp;IF(J350="",", Tax Code","")&amp;IF(O350="",", Expected Revenue","")&amp;IF(COUNTIF(tbl_Finance[Job Number],$C350&amp;"")&gt;1,", Job number used twice",""),3,300)))</f>
        <v/>
      </c>
      <c r="Q350" s="10">
        <f>IF($C350="","",IF(H350="","(no cost centre)",H350&amp;" - GL "&amp;IFERROR(INDEX(lst_CCtoGL,MATCH(H350,lst_CCforGL,0)),"?")))</f>
        <v/>
      </c>
      <c r="R350" s="37" t="n"/>
      <c r="S350" s="10">
        <f>IF(R350="","",HYPERLINK(IF(LEFT(R350,4)="http",R350,set_QwilrBase&amp;R350),"Open quote"))</f>
        <v/>
      </c>
      <c r="T350" s="39" t="n"/>
      <c r="U350" s="39" t="n"/>
      <c r="V350" s="39" t="n"/>
      <c r="W350" s="10">
        <f>IF(C350="","",IF(N(T350)+N(U350)+N(V350)=0,"Not split",IF(ROUND(N(T350)+N(U350)+N(V350),2)=ROUND(MAX(N(L350),N(O350)),2),"OK","MISMATCH")))</f>
        <v/>
      </c>
      <c r="X350" s="39" t="n"/>
      <c r="Y350" s="39" t="n"/>
      <c r="Z350" s="39" t="n"/>
      <c r="AA350" s="11">
        <f>IF(C350="","",N(X350)+N(Y350)+N(Z350))</f>
        <v/>
      </c>
      <c r="AB350" s="11">
        <f>IF(C350="","",MAX(N(L350),N(O350))-N(AA350))</f>
        <v/>
      </c>
      <c r="AC350" s="43">
        <f>IFERROR(IF(MAX(N(L350),N(O350))=0,"",AB350/MAX(N(L350),N(O350))),"")</f>
        <v/>
      </c>
      <c r="AD350" s="37" t="n"/>
      <c r="AE350" s="10" t="inlineStr">
        <is>
          <t>CON-0346</t>
        </is>
      </c>
    </row>
    <row r="351">
      <c r="A351" s="16">
        <f>IF($C351="","",IFERROR(IF(INDEX(tbl_Finance[Latest Invoice Date],MATCH($AE351,tbl_Finance[Row ID],0))="","",INDEX(tbl_Finance[Latest Invoice Date],MATCH($AE351,tbl_Finance[Row ID],0))),""))</f>
        <v/>
      </c>
      <c r="B351" s="10">
        <f>IF($C351="","",IFERROR(INDEX(tbl_Finance[Invoice Numbers],MATCH($AE351,tbl_Finance[Row ID],0))&amp;"",""))</f>
        <v/>
      </c>
      <c r="C351" s="37" t="n"/>
      <c r="D351" s="10">
        <f>IF($C351="","",IF(COUNTIF(lst_Jobs,$C351&amp;"")&gt;0,"OK","CHECK"))</f>
        <v/>
      </c>
      <c r="E351" s="10">
        <f>IF($C351="","",IFERROR(INDEX(lst_JobName,MATCH($C351&amp;"",lst_Jobs,0)),""))</f>
        <v/>
      </c>
      <c r="F351" s="37" t="n"/>
      <c r="G351" s="37" t="n"/>
      <c r="H351" s="37" t="n"/>
      <c r="I351" s="37" t="n"/>
      <c r="J351" s="37" t="n"/>
      <c r="K351" s="38">
        <f>IF($C351="","",IFERROR(N(INDEX(tbl_Finance[Invoice Count],MATCH($AE351,tbl_Finance[Row ID],0))),""))</f>
        <v/>
      </c>
      <c r="L351" s="11">
        <f>IF($C351="","",IFERROR(N(INDEX(tbl_Finance[Xero Invoiced Ex GST],MATCH($AE351,tbl_Finance[Row ID],0))),""))</f>
        <v/>
      </c>
      <c r="M351" s="10">
        <f>IF($C351="","",IFERROR(INDEX(tbl_Finance[Compare],MATCH($AE351,tbl_Finance[Row ID],0))&amp;"",""))</f>
        <v/>
      </c>
      <c r="N351" s="11">
        <f>IF($C351="","",MAX(0,N(O351)-N(L351)))</f>
        <v/>
      </c>
      <c r="O351" s="39" t="n"/>
      <c r="P351" s="40">
        <f>IF($C351="","",IF((IF(F351="",", Client","")&amp;IF(G351="",", Description","")&amp;IF(H351="",", Cost Centre","")&amp;IF(I351="",", Invoice Type","")&amp;IF(J351="",", Tax Code","")&amp;IF(O351="",", Expected Revenue","")&amp;IF(COUNTIF(tbl_Finance[Job Number],$C351&amp;"")&gt;1,", Job number used twice",""))="","Complete","Fix: "&amp;MID(IF(F351="",", Client","")&amp;IF(G351="",", Description","")&amp;IF(H351="",", Cost Centre","")&amp;IF(I351="",", Invoice Type","")&amp;IF(J351="",", Tax Code","")&amp;IF(O351="",", Expected Revenue","")&amp;IF(COUNTIF(tbl_Finance[Job Number],$C351&amp;"")&gt;1,", Job number used twice",""),3,300)))</f>
        <v/>
      </c>
      <c r="Q351" s="10">
        <f>IF($C351="","",IF(H351="","(no cost centre)",H351&amp;" - GL "&amp;IFERROR(INDEX(lst_CCtoGL,MATCH(H351,lst_CCforGL,0)),"?")))</f>
        <v/>
      </c>
      <c r="R351" s="37" t="n"/>
      <c r="S351" s="10">
        <f>IF(R351="","",HYPERLINK(IF(LEFT(R351,4)="http",R351,set_QwilrBase&amp;R351),"Open quote"))</f>
        <v/>
      </c>
      <c r="T351" s="39" t="n"/>
      <c r="U351" s="39" t="n"/>
      <c r="V351" s="39" t="n"/>
      <c r="W351" s="10">
        <f>IF(C351="","",IF(N(T351)+N(U351)+N(V351)=0,"Not split",IF(ROUND(N(T351)+N(U351)+N(V351),2)=ROUND(MAX(N(L351),N(O351)),2),"OK","MISMATCH")))</f>
        <v/>
      </c>
      <c r="X351" s="39" t="n"/>
      <c r="Y351" s="39" t="n"/>
      <c r="Z351" s="39" t="n"/>
      <c r="AA351" s="11">
        <f>IF(C351="","",N(X351)+N(Y351)+N(Z351))</f>
        <v/>
      </c>
      <c r="AB351" s="11">
        <f>IF(C351="","",MAX(N(L351),N(O351))-N(AA351))</f>
        <v/>
      </c>
      <c r="AC351" s="43">
        <f>IFERROR(IF(MAX(N(L351),N(O351))=0,"",AB351/MAX(N(L351),N(O351))),"")</f>
        <v/>
      </c>
      <c r="AD351" s="37" t="n"/>
      <c r="AE351" s="10" t="inlineStr">
        <is>
          <t>CON-0347</t>
        </is>
      </c>
    </row>
    <row r="352">
      <c r="A352" s="16">
        <f>IF($C352="","",IFERROR(IF(INDEX(tbl_Finance[Latest Invoice Date],MATCH($AE352,tbl_Finance[Row ID],0))="","",INDEX(tbl_Finance[Latest Invoice Date],MATCH($AE352,tbl_Finance[Row ID],0))),""))</f>
        <v/>
      </c>
      <c r="B352" s="10">
        <f>IF($C352="","",IFERROR(INDEX(tbl_Finance[Invoice Numbers],MATCH($AE352,tbl_Finance[Row ID],0))&amp;"",""))</f>
        <v/>
      </c>
      <c r="C352" s="37" t="n"/>
      <c r="D352" s="10">
        <f>IF($C352="","",IF(COUNTIF(lst_Jobs,$C352&amp;"")&gt;0,"OK","CHECK"))</f>
        <v/>
      </c>
      <c r="E352" s="10">
        <f>IF($C352="","",IFERROR(INDEX(lst_JobName,MATCH($C352&amp;"",lst_Jobs,0)),""))</f>
        <v/>
      </c>
      <c r="F352" s="37" t="n"/>
      <c r="G352" s="37" t="n"/>
      <c r="H352" s="37" t="n"/>
      <c r="I352" s="37" t="n"/>
      <c r="J352" s="37" t="n"/>
      <c r="K352" s="38">
        <f>IF($C352="","",IFERROR(N(INDEX(tbl_Finance[Invoice Count],MATCH($AE352,tbl_Finance[Row ID],0))),""))</f>
        <v/>
      </c>
      <c r="L352" s="11">
        <f>IF($C352="","",IFERROR(N(INDEX(tbl_Finance[Xero Invoiced Ex GST],MATCH($AE352,tbl_Finance[Row ID],0))),""))</f>
        <v/>
      </c>
      <c r="M352" s="10">
        <f>IF($C352="","",IFERROR(INDEX(tbl_Finance[Compare],MATCH($AE352,tbl_Finance[Row ID],0))&amp;"",""))</f>
        <v/>
      </c>
      <c r="N352" s="11">
        <f>IF($C352="","",MAX(0,N(O352)-N(L352)))</f>
        <v/>
      </c>
      <c r="O352" s="39" t="n"/>
      <c r="P352" s="40">
        <f>IF($C352="","",IF((IF(F352="",", Client","")&amp;IF(G352="",", Description","")&amp;IF(H352="",", Cost Centre","")&amp;IF(I352="",", Invoice Type","")&amp;IF(J352="",", Tax Code","")&amp;IF(O352="",", Expected Revenue","")&amp;IF(COUNTIF(tbl_Finance[Job Number],$C352&amp;"")&gt;1,", Job number used twice",""))="","Complete","Fix: "&amp;MID(IF(F352="",", Client","")&amp;IF(G352="",", Description","")&amp;IF(H352="",", Cost Centre","")&amp;IF(I352="",", Invoice Type","")&amp;IF(J352="",", Tax Code","")&amp;IF(O352="",", Expected Revenue","")&amp;IF(COUNTIF(tbl_Finance[Job Number],$C352&amp;"")&gt;1,", Job number used twice",""),3,300)))</f>
        <v/>
      </c>
      <c r="Q352" s="10">
        <f>IF($C352="","",IF(H352="","(no cost centre)",H352&amp;" - GL "&amp;IFERROR(INDEX(lst_CCtoGL,MATCH(H352,lst_CCforGL,0)),"?")))</f>
        <v/>
      </c>
      <c r="R352" s="37" t="n"/>
      <c r="S352" s="10">
        <f>IF(R352="","",HYPERLINK(IF(LEFT(R352,4)="http",R352,set_QwilrBase&amp;R352),"Open quote"))</f>
        <v/>
      </c>
      <c r="T352" s="39" t="n"/>
      <c r="U352" s="39" t="n"/>
      <c r="V352" s="39" t="n"/>
      <c r="W352" s="10">
        <f>IF(C352="","",IF(N(T352)+N(U352)+N(V352)=0,"Not split",IF(ROUND(N(T352)+N(U352)+N(V352),2)=ROUND(MAX(N(L352),N(O352)),2),"OK","MISMATCH")))</f>
        <v/>
      </c>
      <c r="X352" s="39" t="n"/>
      <c r="Y352" s="39" t="n"/>
      <c r="Z352" s="39" t="n"/>
      <c r="AA352" s="11">
        <f>IF(C352="","",N(X352)+N(Y352)+N(Z352))</f>
        <v/>
      </c>
      <c r="AB352" s="11">
        <f>IF(C352="","",MAX(N(L352),N(O352))-N(AA352))</f>
        <v/>
      </c>
      <c r="AC352" s="43">
        <f>IFERROR(IF(MAX(N(L352),N(O352))=0,"",AB352/MAX(N(L352),N(O352))),"")</f>
        <v/>
      </c>
      <c r="AD352" s="37" t="n"/>
      <c r="AE352" s="10" t="inlineStr">
        <is>
          <t>CON-0348</t>
        </is>
      </c>
    </row>
    <row r="353">
      <c r="A353" s="16">
        <f>IF($C353="","",IFERROR(IF(INDEX(tbl_Finance[Latest Invoice Date],MATCH($AE353,tbl_Finance[Row ID],0))="","",INDEX(tbl_Finance[Latest Invoice Date],MATCH($AE353,tbl_Finance[Row ID],0))),""))</f>
        <v/>
      </c>
      <c r="B353" s="10">
        <f>IF($C353="","",IFERROR(INDEX(tbl_Finance[Invoice Numbers],MATCH($AE353,tbl_Finance[Row ID],0))&amp;"",""))</f>
        <v/>
      </c>
      <c r="C353" s="37" t="n"/>
      <c r="D353" s="10">
        <f>IF($C353="","",IF(COUNTIF(lst_Jobs,$C353&amp;"")&gt;0,"OK","CHECK"))</f>
        <v/>
      </c>
      <c r="E353" s="10">
        <f>IF($C353="","",IFERROR(INDEX(lst_JobName,MATCH($C353&amp;"",lst_Jobs,0)),""))</f>
        <v/>
      </c>
      <c r="F353" s="37" t="n"/>
      <c r="G353" s="37" t="n"/>
      <c r="H353" s="37" t="n"/>
      <c r="I353" s="37" t="n"/>
      <c r="J353" s="37" t="n"/>
      <c r="K353" s="38">
        <f>IF($C353="","",IFERROR(N(INDEX(tbl_Finance[Invoice Count],MATCH($AE353,tbl_Finance[Row ID],0))),""))</f>
        <v/>
      </c>
      <c r="L353" s="11">
        <f>IF($C353="","",IFERROR(N(INDEX(tbl_Finance[Xero Invoiced Ex GST],MATCH($AE353,tbl_Finance[Row ID],0))),""))</f>
        <v/>
      </c>
      <c r="M353" s="10">
        <f>IF($C353="","",IFERROR(INDEX(tbl_Finance[Compare],MATCH($AE353,tbl_Finance[Row ID],0))&amp;"",""))</f>
        <v/>
      </c>
      <c r="N353" s="11">
        <f>IF($C353="","",MAX(0,N(O353)-N(L353)))</f>
        <v/>
      </c>
      <c r="O353" s="39" t="n"/>
      <c r="P353" s="40">
        <f>IF($C353="","",IF((IF(F353="",", Client","")&amp;IF(G353="",", Description","")&amp;IF(H353="",", Cost Centre","")&amp;IF(I353="",", Invoice Type","")&amp;IF(J353="",", Tax Code","")&amp;IF(O353="",", Expected Revenue","")&amp;IF(COUNTIF(tbl_Finance[Job Number],$C353&amp;"")&gt;1,", Job number used twice",""))="","Complete","Fix: "&amp;MID(IF(F353="",", Client","")&amp;IF(G353="",", Description","")&amp;IF(H353="",", Cost Centre","")&amp;IF(I353="",", Invoice Type","")&amp;IF(J353="",", Tax Code","")&amp;IF(O353="",", Expected Revenue","")&amp;IF(COUNTIF(tbl_Finance[Job Number],$C353&amp;"")&gt;1,", Job number used twice",""),3,300)))</f>
        <v/>
      </c>
      <c r="Q353" s="10">
        <f>IF($C353="","",IF(H353="","(no cost centre)",H353&amp;" - GL "&amp;IFERROR(INDEX(lst_CCtoGL,MATCH(H353,lst_CCforGL,0)),"?")))</f>
        <v/>
      </c>
      <c r="R353" s="37" t="n"/>
      <c r="S353" s="10">
        <f>IF(R353="","",HYPERLINK(IF(LEFT(R353,4)="http",R353,set_QwilrBase&amp;R353),"Open quote"))</f>
        <v/>
      </c>
      <c r="T353" s="39" t="n"/>
      <c r="U353" s="39" t="n"/>
      <c r="V353" s="39" t="n"/>
      <c r="W353" s="10">
        <f>IF(C353="","",IF(N(T353)+N(U353)+N(V353)=0,"Not split",IF(ROUND(N(T353)+N(U353)+N(V353),2)=ROUND(MAX(N(L353),N(O353)),2),"OK","MISMATCH")))</f>
        <v/>
      </c>
      <c r="X353" s="39" t="n"/>
      <c r="Y353" s="39" t="n"/>
      <c r="Z353" s="39" t="n"/>
      <c r="AA353" s="11">
        <f>IF(C353="","",N(X353)+N(Y353)+N(Z353))</f>
        <v/>
      </c>
      <c r="AB353" s="11">
        <f>IF(C353="","",MAX(N(L353),N(O353))-N(AA353))</f>
        <v/>
      </c>
      <c r="AC353" s="43">
        <f>IFERROR(IF(MAX(N(L353),N(O353))=0,"",AB353/MAX(N(L353),N(O353))),"")</f>
        <v/>
      </c>
      <c r="AD353" s="37" t="n"/>
      <c r="AE353" s="10" t="inlineStr">
        <is>
          <t>CON-0349</t>
        </is>
      </c>
    </row>
    <row r="354">
      <c r="A354" s="16">
        <f>IF($C354="","",IFERROR(IF(INDEX(tbl_Finance[Latest Invoice Date],MATCH($AE354,tbl_Finance[Row ID],0))="","",INDEX(tbl_Finance[Latest Invoice Date],MATCH($AE354,tbl_Finance[Row ID],0))),""))</f>
        <v/>
      </c>
      <c r="B354" s="10">
        <f>IF($C354="","",IFERROR(INDEX(tbl_Finance[Invoice Numbers],MATCH($AE354,tbl_Finance[Row ID],0))&amp;"",""))</f>
        <v/>
      </c>
      <c r="C354" s="37" t="n"/>
      <c r="D354" s="10">
        <f>IF($C354="","",IF(COUNTIF(lst_Jobs,$C354&amp;"")&gt;0,"OK","CHECK"))</f>
        <v/>
      </c>
      <c r="E354" s="10">
        <f>IF($C354="","",IFERROR(INDEX(lst_JobName,MATCH($C354&amp;"",lst_Jobs,0)),""))</f>
        <v/>
      </c>
      <c r="F354" s="37" t="n"/>
      <c r="G354" s="37" t="n"/>
      <c r="H354" s="37" t="n"/>
      <c r="I354" s="37" t="n"/>
      <c r="J354" s="37" t="n"/>
      <c r="K354" s="38">
        <f>IF($C354="","",IFERROR(N(INDEX(tbl_Finance[Invoice Count],MATCH($AE354,tbl_Finance[Row ID],0))),""))</f>
        <v/>
      </c>
      <c r="L354" s="11">
        <f>IF($C354="","",IFERROR(N(INDEX(tbl_Finance[Xero Invoiced Ex GST],MATCH($AE354,tbl_Finance[Row ID],0))),""))</f>
        <v/>
      </c>
      <c r="M354" s="10">
        <f>IF($C354="","",IFERROR(INDEX(tbl_Finance[Compare],MATCH($AE354,tbl_Finance[Row ID],0))&amp;"",""))</f>
        <v/>
      </c>
      <c r="N354" s="11">
        <f>IF($C354="","",MAX(0,N(O354)-N(L354)))</f>
        <v/>
      </c>
      <c r="O354" s="39" t="n"/>
      <c r="P354" s="40">
        <f>IF($C354="","",IF((IF(F354="",", Client","")&amp;IF(G354="",", Description","")&amp;IF(H354="",", Cost Centre","")&amp;IF(I354="",", Invoice Type","")&amp;IF(J354="",", Tax Code","")&amp;IF(O354="",", Expected Revenue","")&amp;IF(COUNTIF(tbl_Finance[Job Number],$C354&amp;"")&gt;1,", Job number used twice",""))="","Complete","Fix: "&amp;MID(IF(F354="",", Client","")&amp;IF(G354="",", Description","")&amp;IF(H354="",", Cost Centre","")&amp;IF(I354="",", Invoice Type","")&amp;IF(J354="",", Tax Code","")&amp;IF(O354="",", Expected Revenue","")&amp;IF(COUNTIF(tbl_Finance[Job Number],$C354&amp;"")&gt;1,", Job number used twice",""),3,300)))</f>
        <v/>
      </c>
      <c r="Q354" s="10">
        <f>IF($C354="","",IF(H354="","(no cost centre)",H354&amp;" - GL "&amp;IFERROR(INDEX(lst_CCtoGL,MATCH(H354,lst_CCforGL,0)),"?")))</f>
        <v/>
      </c>
      <c r="R354" s="37" t="n"/>
      <c r="S354" s="10">
        <f>IF(R354="","",HYPERLINK(IF(LEFT(R354,4)="http",R354,set_QwilrBase&amp;R354),"Open quote"))</f>
        <v/>
      </c>
      <c r="T354" s="39" t="n"/>
      <c r="U354" s="39" t="n"/>
      <c r="V354" s="39" t="n"/>
      <c r="W354" s="10">
        <f>IF(C354="","",IF(N(T354)+N(U354)+N(V354)=0,"Not split",IF(ROUND(N(T354)+N(U354)+N(V354),2)=ROUND(MAX(N(L354),N(O354)),2),"OK","MISMATCH")))</f>
        <v/>
      </c>
      <c r="X354" s="39" t="n"/>
      <c r="Y354" s="39" t="n"/>
      <c r="Z354" s="39" t="n"/>
      <c r="AA354" s="11">
        <f>IF(C354="","",N(X354)+N(Y354)+N(Z354))</f>
        <v/>
      </c>
      <c r="AB354" s="11">
        <f>IF(C354="","",MAX(N(L354),N(O354))-N(AA354))</f>
        <v/>
      </c>
      <c r="AC354" s="43">
        <f>IFERROR(IF(MAX(N(L354),N(O354))=0,"",AB354/MAX(N(L354),N(O354))),"")</f>
        <v/>
      </c>
      <c r="AD354" s="37" t="n"/>
      <c r="AE354" s="10" t="inlineStr">
        <is>
          <t>CON-0350</t>
        </is>
      </c>
    </row>
    <row r="355">
      <c r="A355" s="16">
        <f>IF($C355="","",IFERROR(IF(INDEX(tbl_Finance[Latest Invoice Date],MATCH($AE355,tbl_Finance[Row ID],0))="","",INDEX(tbl_Finance[Latest Invoice Date],MATCH($AE355,tbl_Finance[Row ID],0))),""))</f>
        <v/>
      </c>
      <c r="B355" s="10">
        <f>IF($C355="","",IFERROR(INDEX(tbl_Finance[Invoice Numbers],MATCH($AE355,tbl_Finance[Row ID],0))&amp;"",""))</f>
        <v/>
      </c>
      <c r="C355" s="37" t="n"/>
      <c r="D355" s="10">
        <f>IF($C355="","",IF(COUNTIF(lst_Jobs,$C355&amp;"")&gt;0,"OK","CHECK"))</f>
        <v/>
      </c>
      <c r="E355" s="10">
        <f>IF($C355="","",IFERROR(INDEX(lst_JobName,MATCH($C355&amp;"",lst_Jobs,0)),""))</f>
        <v/>
      </c>
      <c r="F355" s="37" t="n"/>
      <c r="G355" s="37" t="n"/>
      <c r="H355" s="37" t="n"/>
      <c r="I355" s="37" t="n"/>
      <c r="J355" s="37" t="n"/>
      <c r="K355" s="38">
        <f>IF($C355="","",IFERROR(N(INDEX(tbl_Finance[Invoice Count],MATCH($AE355,tbl_Finance[Row ID],0))),""))</f>
        <v/>
      </c>
      <c r="L355" s="11">
        <f>IF($C355="","",IFERROR(N(INDEX(tbl_Finance[Xero Invoiced Ex GST],MATCH($AE355,tbl_Finance[Row ID],0))),""))</f>
        <v/>
      </c>
      <c r="M355" s="10">
        <f>IF($C355="","",IFERROR(INDEX(tbl_Finance[Compare],MATCH($AE355,tbl_Finance[Row ID],0))&amp;"",""))</f>
        <v/>
      </c>
      <c r="N355" s="11">
        <f>IF($C355="","",MAX(0,N(O355)-N(L355)))</f>
        <v/>
      </c>
      <c r="O355" s="39" t="n"/>
      <c r="P355" s="40">
        <f>IF($C355="","",IF((IF(F355="",", Client","")&amp;IF(G355="",", Description","")&amp;IF(H355="",", Cost Centre","")&amp;IF(I355="",", Invoice Type","")&amp;IF(J355="",", Tax Code","")&amp;IF(O355="",", Expected Revenue","")&amp;IF(COUNTIF(tbl_Finance[Job Number],$C355&amp;"")&gt;1,", Job number used twice",""))="","Complete","Fix: "&amp;MID(IF(F355="",", Client","")&amp;IF(G355="",", Description","")&amp;IF(H355="",", Cost Centre","")&amp;IF(I355="",", Invoice Type","")&amp;IF(J355="",", Tax Code","")&amp;IF(O355="",", Expected Revenue","")&amp;IF(COUNTIF(tbl_Finance[Job Number],$C355&amp;"")&gt;1,", Job number used twice",""),3,300)))</f>
        <v/>
      </c>
      <c r="Q355" s="10">
        <f>IF($C355="","",IF(H355="","(no cost centre)",H355&amp;" - GL "&amp;IFERROR(INDEX(lst_CCtoGL,MATCH(H355,lst_CCforGL,0)),"?")))</f>
        <v/>
      </c>
      <c r="R355" s="37" t="n"/>
      <c r="S355" s="10">
        <f>IF(R355="","",HYPERLINK(IF(LEFT(R355,4)="http",R355,set_QwilrBase&amp;R355),"Open quote"))</f>
        <v/>
      </c>
      <c r="T355" s="39" t="n"/>
      <c r="U355" s="39" t="n"/>
      <c r="V355" s="39" t="n"/>
      <c r="W355" s="10">
        <f>IF(C355="","",IF(N(T355)+N(U355)+N(V355)=0,"Not split",IF(ROUND(N(T355)+N(U355)+N(V355),2)=ROUND(MAX(N(L355),N(O355)),2),"OK","MISMATCH")))</f>
        <v/>
      </c>
      <c r="X355" s="39" t="n"/>
      <c r="Y355" s="39" t="n"/>
      <c r="Z355" s="39" t="n"/>
      <c r="AA355" s="11">
        <f>IF(C355="","",N(X355)+N(Y355)+N(Z355))</f>
        <v/>
      </c>
      <c r="AB355" s="11">
        <f>IF(C355="","",MAX(N(L355),N(O355))-N(AA355))</f>
        <v/>
      </c>
      <c r="AC355" s="43">
        <f>IFERROR(IF(MAX(N(L355),N(O355))=0,"",AB355/MAX(N(L355),N(O355))),"")</f>
        <v/>
      </c>
      <c r="AD355" s="37" t="n"/>
      <c r="AE355" s="10" t="inlineStr">
        <is>
          <t>CON-0351</t>
        </is>
      </c>
    </row>
    <row r="356">
      <c r="A356" s="16">
        <f>IF($C356="","",IFERROR(IF(INDEX(tbl_Finance[Latest Invoice Date],MATCH($AE356,tbl_Finance[Row ID],0))="","",INDEX(tbl_Finance[Latest Invoice Date],MATCH($AE356,tbl_Finance[Row ID],0))),""))</f>
        <v/>
      </c>
      <c r="B356" s="10">
        <f>IF($C356="","",IFERROR(INDEX(tbl_Finance[Invoice Numbers],MATCH($AE356,tbl_Finance[Row ID],0))&amp;"",""))</f>
        <v/>
      </c>
      <c r="C356" s="37" t="n"/>
      <c r="D356" s="10">
        <f>IF($C356="","",IF(COUNTIF(lst_Jobs,$C356&amp;"")&gt;0,"OK","CHECK"))</f>
        <v/>
      </c>
      <c r="E356" s="10">
        <f>IF($C356="","",IFERROR(INDEX(lst_JobName,MATCH($C356&amp;"",lst_Jobs,0)),""))</f>
        <v/>
      </c>
      <c r="F356" s="37" t="n"/>
      <c r="G356" s="37" t="n"/>
      <c r="H356" s="37" t="n"/>
      <c r="I356" s="37" t="n"/>
      <c r="J356" s="37" t="n"/>
      <c r="K356" s="38">
        <f>IF($C356="","",IFERROR(N(INDEX(tbl_Finance[Invoice Count],MATCH($AE356,tbl_Finance[Row ID],0))),""))</f>
        <v/>
      </c>
      <c r="L356" s="11">
        <f>IF($C356="","",IFERROR(N(INDEX(tbl_Finance[Xero Invoiced Ex GST],MATCH($AE356,tbl_Finance[Row ID],0))),""))</f>
        <v/>
      </c>
      <c r="M356" s="10">
        <f>IF($C356="","",IFERROR(INDEX(tbl_Finance[Compare],MATCH($AE356,tbl_Finance[Row ID],0))&amp;"",""))</f>
        <v/>
      </c>
      <c r="N356" s="11">
        <f>IF($C356="","",MAX(0,N(O356)-N(L356)))</f>
        <v/>
      </c>
      <c r="O356" s="39" t="n"/>
      <c r="P356" s="40">
        <f>IF($C356="","",IF((IF(F356="",", Client","")&amp;IF(G356="",", Description","")&amp;IF(H356="",", Cost Centre","")&amp;IF(I356="",", Invoice Type","")&amp;IF(J356="",", Tax Code","")&amp;IF(O356="",", Expected Revenue","")&amp;IF(COUNTIF(tbl_Finance[Job Number],$C356&amp;"")&gt;1,", Job number used twice",""))="","Complete","Fix: "&amp;MID(IF(F356="",", Client","")&amp;IF(G356="",", Description","")&amp;IF(H356="",", Cost Centre","")&amp;IF(I356="",", Invoice Type","")&amp;IF(J356="",", Tax Code","")&amp;IF(O356="",", Expected Revenue","")&amp;IF(COUNTIF(tbl_Finance[Job Number],$C356&amp;"")&gt;1,", Job number used twice",""),3,300)))</f>
        <v/>
      </c>
      <c r="Q356" s="10">
        <f>IF($C356="","",IF(H356="","(no cost centre)",H356&amp;" - GL "&amp;IFERROR(INDEX(lst_CCtoGL,MATCH(H356,lst_CCforGL,0)),"?")))</f>
        <v/>
      </c>
      <c r="R356" s="37" t="n"/>
      <c r="S356" s="10">
        <f>IF(R356="","",HYPERLINK(IF(LEFT(R356,4)="http",R356,set_QwilrBase&amp;R356),"Open quote"))</f>
        <v/>
      </c>
      <c r="T356" s="39" t="n"/>
      <c r="U356" s="39" t="n"/>
      <c r="V356" s="39" t="n"/>
      <c r="W356" s="10">
        <f>IF(C356="","",IF(N(T356)+N(U356)+N(V356)=0,"Not split",IF(ROUND(N(T356)+N(U356)+N(V356),2)=ROUND(MAX(N(L356),N(O356)),2),"OK","MISMATCH")))</f>
        <v/>
      </c>
      <c r="X356" s="39" t="n"/>
      <c r="Y356" s="39" t="n"/>
      <c r="Z356" s="39" t="n"/>
      <c r="AA356" s="11">
        <f>IF(C356="","",N(X356)+N(Y356)+N(Z356))</f>
        <v/>
      </c>
      <c r="AB356" s="11">
        <f>IF(C356="","",MAX(N(L356),N(O356))-N(AA356))</f>
        <v/>
      </c>
      <c r="AC356" s="43">
        <f>IFERROR(IF(MAX(N(L356),N(O356))=0,"",AB356/MAX(N(L356),N(O356))),"")</f>
        <v/>
      </c>
      <c r="AD356" s="37" t="n"/>
      <c r="AE356" s="10" t="inlineStr">
        <is>
          <t>CON-0352</t>
        </is>
      </c>
    </row>
    <row r="357">
      <c r="A357" s="16">
        <f>IF($C357="","",IFERROR(IF(INDEX(tbl_Finance[Latest Invoice Date],MATCH($AE357,tbl_Finance[Row ID],0))="","",INDEX(tbl_Finance[Latest Invoice Date],MATCH($AE357,tbl_Finance[Row ID],0))),""))</f>
        <v/>
      </c>
      <c r="B357" s="10">
        <f>IF($C357="","",IFERROR(INDEX(tbl_Finance[Invoice Numbers],MATCH($AE357,tbl_Finance[Row ID],0))&amp;"",""))</f>
        <v/>
      </c>
      <c r="C357" s="37" t="n"/>
      <c r="D357" s="10">
        <f>IF($C357="","",IF(COUNTIF(lst_Jobs,$C357&amp;"")&gt;0,"OK","CHECK"))</f>
        <v/>
      </c>
      <c r="E357" s="10">
        <f>IF($C357="","",IFERROR(INDEX(lst_JobName,MATCH($C357&amp;"",lst_Jobs,0)),""))</f>
        <v/>
      </c>
      <c r="F357" s="37" t="n"/>
      <c r="G357" s="37" t="n"/>
      <c r="H357" s="37" t="n"/>
      <c r="I357" s="37" t="n"/>
      <c r="J357" s="37" t="n"/>
      <c r="K357" s="38">
        <f>IF($C357="","",IFERROR(N(INDEX(tbl_Finance[Invoice Count],MATCH($AE357,tbl_Finance[Row ID],0))),""))</f>
        <v/>
      </c>
      <c r="L357" s="11">
        <f>IF($C357="","",IFERROR(N(INDEX(tbl_Finance[Xero Invoiced Ex GST],MATCH($AE357,tbl_Finance[Row ID],0))),""))</f>
        <v/>
      </c>
      <c r="M357" s="10">
        <f>IF($C357="","",IFERROR(INDEX(tbl_Finance[Compare],MATCH($AE357,tbl_Finance[Row ID],0))&amp;"",""))</f>
        <v/>
      </c>
      <c r="N357" s="11">
        <f>IF($C357="","",MAX(0,N(O357)-N(L357)))</f>
        <v/>
      </c>
      <c r="O357" s="39" t="n"/>
      <c r="P357" s="40">
        <f>IF($C357="","",IF((IF(F357="",", Client","")&amp;IF(G357="",", Description","")&amp;IF(H357="",", Cost Centre","")&amp;IF(I357="",", Invoice Type","")&amp;IF(J357="",", Tax Code","")&amp;IF(O357="",", Expected Revenue","")&amp;IF(COUNTIF(tbl_Finance[Job Number],$C357&amp;"")&gt;1,", Job number used twice",""))="","Complete","Fix: "&amp;MID(IF(F357="",", Client","")&amp;IF(G357="",", Description","")&amp;IF(H357="",", Cost Centre","")&amp;IF(I357="",", Invoice Type","")&amp;IF(J357="",", Tax Code","")&amp;IF(O357="",", Expected Revenue","")&amp;IF(COUNTIF(tbl_Finance[Job Number],$C357&amp;"")&gt;1,", Job number used twice",""),3,300)))</f>
        <v/>
      </c>
      <c r="Q357" s="10">
        <f>IF($C357="","",IF(H357="","(no cost centre)",H357&amp;" - GL "&amp;IFERROR(INDEX(lst_CCtoGL,MATCH(H357,lst_CCforGL,0)),"?")))</f>
        <v/>
      </c>
      <c r="R357" s="37" t="n"/>
      <c r="S357" s="10">
        <f>IF(R357="","",HYPERLINK(IF(LEFT(R357,4)="http",R357,set_QwilrBase&amp;R357),"Open quote"))</f>
        <v/>
      </c>
      <c r="T357" s="39" t="n"/>
      <c r="U357" s="39" t="n"/>
      <c r="V357" s="39" t="n"/>
      <c r="W357" s="10">
        <f>IF(C357="","",IF(N(T357)+N(U357)+N(V357)=0,"Not split",IF(ROUND(N(T357)+N(U357)+N(V357),2)=ROUND(MAX(N(L357),N(O357)),2),"OK","MISMATCH")))</f>
        <v/>
      </c>
      <c r="X357" s="39" t="n"/>
      <c r="Y357" s="39" t="n"/>
      <c r="Z357" s="39" t="n"/>
      <c r="AA357" s="11">
        <f>IF(C357="","",N(X357)+N(Y357)+N(Z357))</f>
        <v/>
      </c>
      <c r="AB357" s="11">
        <f>IF(C357="","",MAX(N(L357),N(O357))-N(AA357))</f>
        <v/>
      </c>
      <c r="AC357" s="43">
        <f>IFERROR(IF(MAX(N(L357),N(O357))=0,"",AB357/MAX(N(L357),N(O357))),"")</f>
        <v/>
      </c>
      <c r="AD357" s="37" t="n"/>
      <c r="AE357" s="10" t="inlineStr">
        <is>
          <t>CON-0353</t>
        </is>
      </c>
    </row>
    <row r="358">
      <c r="A358" s="16">
        <f>IF($C358="","",IFERROR(IF(INDEX(tbl_Finance[Latest Invoice Date],MATCH($AE358,tbl_Finance[Row ID],0))="","",INDEX(tbl_Finance[Latest Invoice Date],MATCH($AE358,tbl_Finance[Row ID],0))),""))</f>
        <v/>
      </c>
      <c r="B358" s="10">
        <f>IF($C358="","",IFERROR(INDEX(tbl_Finance[Invoice Numbers],MATCH($AE358,tbl_Finance[Row ID],0))&amp;"",""))</f>
        <v/>
      </c>
      <c r="C358" s="37" t="n"/>
      <c r="D358" s="10">
        <f>IF($C358="","",IF(COUNTIF(lst_Jobs,$C358&amp;"")&gt;0,"OK","CHECK"))</f>
        <v/>
      </c>
      <c r="E358" s="10">
        <f>IF($C358="","",IFERROR(INDEX(lst_JobName,MATCH($C358&amp;"",lst_Jobs,0)),""))</f>
        <v/>
      </c>
      <c r="F358" s="37" t="n"/>
      <c r="G358" s="37" t="n"/>
      <c r="H358" s="37" t="n"/>
      <c r="I358" s="37" t="n"/>
      <c r="J358" s="37" t="n"/>
      <c r="K358" s="38">
        <f>IF($C358="","",IFERROR(N(INDEX(tbl_Finance[Invoice Count],MATCH($AE358,tbl_Finance[Row ID],0))),""))</f>
        <v/>
      </c>
      <c r="L358" s="11">
        <f>IF($C358="","",IFERROR(N(INDEX(tbl_Finance[Xero Invoiced Ex GST],MATCH($AE358,tbl_Finance[Row ID],0))),""))</f>
        <v/>
      </c>
      <c r="M358" s="10">
        <f>IF($C358="","",IFERROR(INDEX(tbl_Finance[Compare],MATCH($AE358,tbl_Finance[Row ID],0))&amp;"",""))</f>
        <v/>
      </c>
      <c r="N358" s="11">
        <f>IF($C358="","",MAX(0,N(O358)-N(L358)))</f>
        <v/>
      </c>
      <c r="O358" s="39" t="n"/>
      <c r="P358" s="40">
        <f>IF($C358="","",IF((IF(F358="",", Client","")&amp;IF(G358="",", Description","")&amp;IF(H358="",", Cost Centre","")&amp;IF(I358="",", Invoice Type","")&amp;IF(J358="",", Tax Code","")&amp;IF(O358="",", Expected Revenue","")&amp;IF(COUNTIF(tbl_Finance[Job Number],$C358&amp;"")&gt;1,", Job number used twice",""))="","Complete","Fix: "&amp;MID(IF(F358="",", Client","")&amp;IF(G358="",", Description","")&amp;IF(H358="",", Cost Centre","")&amp;IF(I358="",", Invoice Type","")&amp;IF(J358="",", Tax Code","")&amp;IF(O358="",", Expected Revenue","")&amp;IF(COUNTIF(tbl_Finance[Job Number],$C358&amp;"")&gt;1,", Job number used twice",""),3,300)))</f>
        <v/>
      </c>
      <c r="Q358" s="10">
        <f>IF($C358="","",IF(H358="","(no cost centre)",H358&amp;" - GL "&amp;IFERROR(INDEX(lst_CCtoGL,MATCH(H358,lst_CCforGL,0)),"?")))</f>
        <v/>
      </c>
      <c r="R358" s="37" t="n"/>
      <c r="S358" s="10">
        <f>IF(R358="","",HYPERLINK(IF(LEFT(R358,4)="http",R358,set_QwilrBase&amp;R358),"Open quote"))</f>
        <v/>
      </c>
      <c r="T358" s="39" t="n"/>
      <c r="U358" s="39" t="n"/>
      <c r="V358" s="39" t="n"/>
      <c r="W358" s="10">
        <f>IF(C358="","",IF(N(T358)+N(U358)+N(V358)=0,"Not split",IF(ROUND(N(T358)+N(U358)+N(V358),2)=ROUND(MAX(N(L358),N(O358)),2),"OK","MISMATCH")))</f>
        <v/>
      </c>
      <c r="X358" s="39" t="n"/>
      <c r="Y358" s="39" t="n"/>
      <c r="Z358" s="39" t="n"/>
      <c r="AA358" s="11">
        <f>IF(C358="","",N(X358)+N(Y358)+N(Z358))</f>
        <v/>
      </c>
      <c r="AB358" s="11">
        <f>IF(C358="","",MAX(N(L358),N(O358))-N(AA358))</f>
        <v/>
      </c>
      <c r="AC358" s="43">
        <f>IFERROR(IF(MAX(N(L358),N(O358))=0,"",AB358/MAX(N(L358),N(O358))),"")</f>
        <v/>
      </c>
      <c r="AD358" s="37" t="n"/>
      <c r="AE358" s="10" t="inlineStr">
        <is>
          <t>CON-0354</t>
        </is>
      </c>
    </row>
    <row r="359">
      <c r="A359" s="16">
        <f>IF($C359="","",IFERROR(IF(INDEX(tbl_Finance[Latest Invoice Date],MATCH($AE359,tbl_Finance[Row ID],0))="","",INDEX(tbl_Finance[Latest Invoice Date],MATCH($AE359,tbl_Finance[Row ID],0))),""))</f>
        <v/>
      </c>
      <c r="B359" s="10">
        <f>IF($C359="","",IFERROR(INDEX(tbl_Finance[Invoice Numbers],MATCH($AE359,tbl_Finance[Row ID],0))&amp;"",""))</f>
        <v/>
      </c>
      <c r="C359" s="37" t="n"/>
      <c r="D359" s="10">
        <f>IF($C359="","",IF(COUNTIF(lst_Jobs,$C359&amp;"")&gt;0,"OK","CHECK"))</f>
        <v/>
      </c>
      <c r="E359" s="10">
        <f>IF($C359="","",IFERROR(INDEX(lst_JobName,MATCH($C359&amp;"",lst_Jobs,0)),""))</f>
        <v/>
      </c>
      <c r="F359" s="37" t="n"/>
      <c r="G359" s="37" t="n"/>
      <c r="H359" s="37" t="n"/>
      <c r="I359" s="37" t="n"/>
      <c r="J359" s="37" t="n"/>
      <c r="K359" s="38">
        <f>IF($C359="","",IFERROR(N(INDEX(tbl_Finance[Invoice Count],MATCH($AE359,tbl_Finance[Row ID],0))),""))</f>
        <v/>
      </c>
      <c r="L359" s="11">
        <f>IF($C359="","",IFERROR(N(INDEX(tbl_Finance[Xero Invoiced Ex GST],MATCH($AE359,tbl_Finance[Row ID],0))),""))</f>
        <v/>
      </c>
      <c r="M359" s="10">
        <f>IF($C359="","",IFERROR(INDEX(tbl_Finance[Compare],MATCH($AE359,tbl_Finance[Row ID],0))&amp;"",""))</f>
        <v/>
      </c>
      <c r="N359" s="11">
        <f>IF($C359="","",MAX(0,N(O359)-N(L359)))</f>
        <v/>
      </c>
      <c r="O359" s="39" t="n"/>
      <c r="P359" s="40">
        <f>IF($C359="","",IF((IF(F359="",", Client","")&amp;IF(G359="",", Description","")&amp;IF(H359="",", Cost Centre","")&amp;IF(I359="",", Invoice Type","")&amp;IF(J359="",", Tax Code","")&amp;IF(O359="",", Expected Revenue","")&amp;IF(COUNTIF(tbl_Finance[Job Number],$C359&amp;"")&gt;1,", Job number used twice",""))="","Complete","Fix: "&amp;MID(IF(F359="",", Client","")&amp;IF(G359="",", Description","")&amp;IF(H359="",", Cost Centre","")&amp;IF(I359="",", Invoice Type","")&amp;IF(J359="",", Tax Code","")&amp;IF(O359="",", Expected Revenue","")&amp;IF(COUNTIF(tbl_Finance[Job Number],$C359&amp;"")&gt;1,", Job number used twice",""),3,300)))</f>
        <v/>
      </c>
      <c r="Q359" s="10">
        <f>IF($C359="","",IF(H359="","(no cost centre)",H359&amp;" - GL "&amp;IFERROR(INDEX(lst_CCtoGL,MATCH(H359,lst_CCforGL,0)),"?")))</f>
        <v/>
      </c>
      <c r="R359" s="37" t="n"/>
      <c r="S359" s="10">
        <f>IF(R359="","",HYPERLINK(IF(LEFT(R359,4)="http",R359,set_QwilrBase&amp;R359),"Open quote"))</f>
        <v/>
      </c>
      <c r="T359" s="39" t="n"/>
      <c r="U359" s="39" t="n"/>
      <c r="V359" s="39" t="n"/>
      <c r="W359" s="10">
        <f>IF(C359="","",IF(N(T359)+N(U359)+N(V359)=0,"Not split",IF(ROUND(N(T359)+N(U359)+N(V359),2)=ROUND(MAX(N(L359),N(O359)),2),"OK","MISMATCH")))</f>
        <v/>
      </c>
      <c r="X359" s="39" t="n"/>
      <c r="Y359" s="39" t="n"/>
      <c r="Z359" s="39" t="n"/>
      <c r="AA359" s="11">
        <f>IF(C359="","",N(X359)+N(Y359)+N(Z359))</f>
        <v/>
      </c>
      <c r="AB359" s="11">
        <f>IF(C359="","",MAX(N(L359),N(O359))-N(AA359))</f>
        <v/>
      </c>
      <c r="AC359" s="43">
        <f>IFERROR(IF(MAX(N(L359),N(O359))=0,"",AB359/MAX(N(L359),N(O359))),"")</f>
        <v/>
      </c>
      <c r="AD359" s="37" t="n"/>
      <c r="AE359" s="10" t="inlineStr">
        <is>
          <t>CON-0355</t>
        </is>
      </c>
    </row>
    <row r="360">
      <c r="A360" s="16">
        <f>IF($C360="","",IFERROR(IF(INDEX(tbl_Finance[Latest Invoice Date],MATCH($AE360,tbl_Finance[Row ID],0))="","",INDEX(tbl_Finance[Latest Invoice Date],MATCH($AE360,tbl_Finance[Row ID],0))),""))</f>
        <v/>
      </c>
      <c r="B360" s="10">
        <f>IF($C360="","",IFERROR(INDEX(tbl_Finance[Invoice Numbers],MATCH($AE360,tbl_Finance[Row ID],0))&amp;"",""))</f>
        <v/>
      </c>
      <c r="C360" s="37" t="n"/>
      <c r="D360" s="10">
        <f>IF($C360="","",IF(COUNTIF(lst_Jobs,$C360&amp;"")&gt;0,"OK","CHECK"))</f>
        <v/>
      </c>
      <c r="E360" s="10">
        <f>IF($C360="","",IFERROR(INDEX(lst_JobName,MATCH($C360&amp;"",lst_Jobs,0)),""))</f>
        <v/>
      </c>
      <c r="F360" s="37" t="n"/>
      <c r="G360" s="37" t="n"/>
      <c r="H360" s="37" t="n"/>
      <c r="I360" s="37" t="n"/>
      <c r="J360" s="37" t="n"/>
      <c r="K360" s="38">
        <f>IF($C360="","",IFERROR(N(INDEX(tbl_Finance[Invoice Count],MATCH($AE360,tbl_Finance[Row ID],0))),""))</f>
        <v/>
      </c>
      <c r="L360" s="11">
        <f>IF($C360="","",IFERROR(N(INDEX(tbl_Finance[Xero Invoiced Ex GST],MATCH($AE360,tbl_Finance[Row ID],0))),""))</f>
        <v/>
      </c>
      <c r="M360" s="10">
        <f>IF($C360="","",IFERROR(INDEX(tbl_Finance[Compare],MATCH($AE360,tbl_Finance[Row ID],0))&amp;"",""))</f>
        <v/>
      </c>
      <c r="N360" s="11">
        <f>IF($C360="","",MAX(0,N(O360)-N(L360)))</f>
        <v/>
      </c>
      <c r="O360" s="39" t="n"/>
      <c r="P360" s="40">
        <f>IF($C360="","",IF((IF(F360="",", Client","")&amp;IF(G360="",", Description","")&amp;IF(H360="",", Cost Centre","")&amp;IF(I360="",", Invoice Type","")&amp;IF(J360="",", Tax Code","")&amp;IF(O360="",", Expected Revenue","")&amp;IF(COUNTIF(tbl_Finance[Job Number],$C360&amp;"")&gt;1,", Job number used twice",""))="","Complete","Fix: "&amp;MID(IF(F360="",", Client","")&amp;IF(G360="",", Description","")&amp;IF(H360="",", Cost Centre","")&amp;IF(I360="",", Invoice Type","")&amp;IF(J360="",", Tax Code","")&amp;IF(O360="",", Expected Revenue","")&amp;IF(COUNTIF(tbl_Finance[Job Number],$C360&amp;"")&gt;1,", Job number used twice",""),3,300)))</f>
        <v/>
      </c>
      <c r="Q360" s="10">
        <f>IF($C360="","",IF(H360="","(no cost centre)",H360&amp;" - GL "&amp;IFERROR(INDEX(lst_CCtoGL,MATCH(H360,lst_CCforGL,0)),"?")))</f>
        <v/>
      </c>
      <c r="R360" s="37" t="n"/>
      <c r="S360" s="10">
        <f>IF(R360="","",HYPERLINK(IF(LEFT(R360,4)="http",R360,set_QwilrBase&amp;R360),"Open quote"))</f>
        <v/>
      </c>
      <c r="T360" s="39" t="n"/>
      <c r="U360" s="39" t="n"/>
      <c r="V360" s="39" t="n"/>
      <c r="W360" s="10">
        <f>IF(C360="","",IF(N(T360)+N(U360)+N(V360)=0,"Not split",IF(ROUND(N(T360)+N(U360)+N(V360),2)=ROUND(MAX(N(L360),N(O360)),2),"OK","MISMATCH")))</f>
        <v/>
      </c>
      <c r="X360" s="39" t="n"/>
      <c r="Y360" s="39" t="n"/>
      <c r="Z360" s="39" t="n"/>
      <c r="AA360" s="11">
        <f>IF(C360="","",N(X360)+N(Y360)+N(Z360))</f>
        <v/>
      </c>
      <c r="AB360" s="11">
        <f>IF(C360="","",MAX(N(L360),N(O360))-N(AA360))</f>
        <v/>
      </c>
      <c r="AC360" s="43">
        <f>IFERROR(IF(MAX(N(L360),N(O360))=0,"",AB360/MAX(N(L360),N(O360))),"")</f>
        <v/>
      </c>
      <c r="AD360" s="37" t="n"/>
      <c r="AE360" s="10" t="inlineStr">
        <is>
          <t>CON-0356</t>
        </is>
      </c>
    </row>
    <row r="361">
      <c r="A361" s="16">
        <f>IF($C361="","",IFERROR(IF(INDEX(tbl_Finance[Latest Invoice Date],MATCH($AE361,tbl_Finance[Row ID],0))="","",INDEX(tbl_Finance[Latest Invoice Date],MATCH($AE361,tbl_Finance[Row ID],0))),""))</f>
        <v/>
      </c>
      <c r="B361" s="10">
        <f>IF($C361="","",IFERROR(INDEX(tbl_Finance[Invoice Numbers],MATCH($AE361,tbl_Finance[Row ID],0))&amp;"",""))</f>
        <v/>
      </c>
      <c r="C361" s="37" t="n"/>
      <c r="D361" s="10">
        <f>IF($C361="","",IF(COUNTIF(lst_Jobs,$C361&amp;"")&gt;0,"OK","CHECK"))</f>
        <v/>
      </c>
      <c r="E361" s="10">
        <f>IF($C361="","",IFERROR(INDEX(lst_JobName,MATCH($C361&amp;"",lst_Jobs,0)),""))</f>
        <v/>
      </c>
      <c r="F361" s="37" t="n"/>
      <c r="G361" s="37" t="n"/>
      <c r="H361" s="37" t="n"/>
      <c r="I361" s="37" t="n"/>
      <c r="J361" s="37" t="n"/>
      <c r="K361" s="38">
        <f>IF($C361="","",IFERROR(N(INDEX(tbl_Finance[Invoice Count],MATCH($AE361,tbl_Finance[Row ID],0))),""))</f>
        <v/>
      </c>
      <c r="L361" s="11">
        <f>IF($C361="","",IFERROR(N(INDEX(tbl_Finance[Xero Invoiced Ex GST],MATCH($AE361,tbl_Finance[Row ID],0))),""))</f>
        <v/>
      </c>
      <c r="M361" s="10">
        <f>IF($C361="","",IFERROR(INDEX(tbl_Finance[Compare],MATCH($AE361,tbl_Finance[Row ID],0))&amp;"",""))</f>
        <v/>
      </c>
      <c r="N361" s="11">
        <f>IF($C361="","",MAX(0,N(O361)-N(L361)))</f>
        <v/>
      </c>
      <c r="O361" s="39" t="n"/>
      <c r="P361" s="40">
        <f>IF($C361="","",IF((IF(F361="",", Client","")&amp;IF(G361="",", Description","")&amp;IF(H361="",", Cost Centre","")&amp;IF(I361="",", Invoice Type","")&amp;IF(J361="",", Tax Code","")&amp;IF(O361="",", Expected Revenue","")&amp;IF(COUNTIF(tbl_Finance[Job Number],$C361&amp;"")&gt;1,", Job number used twice",""))="","Complete","Fix: "&amp;MID(IF(F361="",", Client","")&amp;IF(G361="",", Description","")&amp;IF(H361="",", Cost Centre","")&amp;IF(I361="",", Invoice Type","")&amp;IF(J361="",", Tax Code","")&amp;IF(O361="",", Expected Revenue","")&amp;IF(COUNTIF(tbl_Finance[Job Number],$C361&amp;"")&gt;1,", Job number used twice",""),3,300)))</f>
        <v/>
      </c>
      <c r="Q361" s="10">
        <f>IF($C361="","",IF(H361="","(no cost centre)",H361&amp;" - GL "&amp;IFERROR(INDEX(lst_CCtoGL,MATCH(H361,lst_CCforGL,0)),"?")))</f>
        <v/>
      </c>
      <c r="R361" s="37" t="n"/>
      <c r="S361" s="10">
        <f>IF(R361="","",HYPERLINK(IF(LEFT(R361,4)="http",R361,set_QwilrBase&amp;R361),"Open quote"))</f>
        <v/>
      </c>
      <c r="T361" s="39" t="n"/>
      <c r="U361" s="39" t="n"/>
      <c r="V361" s="39" t="n"/>
      <c r="W361" s="10">
        <f>IF(C361="","",IF(N(T361)+N(U361)+N(V361)=0,"Not split",IF(ROUND(N(T361)+N(U361)+N(V361),2)=ROUND(MAX(N(L361),N(O361)),2),"OK","MISMATCH")))</f>
        <v/>
      </c>
      <c r="X361" s="39" t="n"/>
      <c r="Y361" s="39" t="n"/>
      <c r="Z361" s="39" t="n"/>
      <c r="AA361" s="11">
        <f>IF(C361="","",N(X361)+N(Y361)+N(Z361))</f>
        <v/>
      </c>
      <c r="AB361" s="11">
        <f>IF(C361="","",MAX(N(L361),N(O361))-N(AA361))</f>
        <v/>
      </c>
      <c r="AC361" s="43">
        <f>IFERROR(IF(MAX(N(L361),N(O361))=0,"",AB361/MAX(N(L361),N(O361))),"")</f>
        <v/>
      </c>
      <c r="AD361" s="37" t="n"/>
      <c r="AE361" s="10" t="inlineStr">
        <is>
          <t>CON-0357</t>
        </is>
      </c>
    </row>
    <row r="362">
      <c r="A362" s="16">
        <f>IF($C362="","",IFERROR(IF(INDEX(tbl_Finance[Latest Invoice Date],MATCH($AE362,tbl_Finance[Row ID],0))="","",INDEX(tbl_Finance[Latest Invoice Date],MATCH($AE362,tbl_Finance[Row ID],0))),""))</f>
        <v/>
      </c>
      <c r="B362" s="10">
        <f>IF($C362="","",IFERROR(INDEX(tbl_Finance[Invoice Numbers],MATCH($AE362,tbl_Finance[Row ID],0))&amp;"",""))</f>
        <v/>
      </c>
      <c r="C362" s="37" t="n"/>
      <c r="D362" s="10">
        <f>IF($C362="","",IF(COUNTIF(lst_Jobs,$C362&amp;"")&gt;0,"OK","CHECK"))</f>
        <v/>
      </c>
      <c r="E362" s="10">
        <f>IF($C362="","",IFERROR(INDEX(lst_JobName,MATCH($C362&amp;"",lst_Jobs,0)),""))</f>
        <v/>
      </c>
      <c r="F362" s="37" t="n"/>
      <c r="G362" s="37" t="n"/>
      <c r="H362" s="37" t="n"/>
      <c r="I362" s="37" t="n"/>
      <c r="J362" s="37" t="n"/>
      <c r="K362" s="38">
        <f>IF($C362="","",IFERROR(N(INDEX(tbl_Finance[Invoice Count],MATCH($AE362,tbl_Finance[Row ID],0))),""))</f>
        <v/>
      </c>
      <c r="L362" s="11">
        <f>IF($C362="","",IFERROR(N(INDEX(tbl_Finance[Xero Invoiced Ex GST],MATCH($AE362,tbl_Finance[Row ID],0))),""))</f>
        <v/>
      </c>
      <c r="M362" s="10">
        <f>IF($C362="","",IFERROR(INDEX(tbl_Finance[Compare],MATCH($AE362,tbl_Finance[Row ID],0))&amp;"",""))</f>
        <v/>
      </c>
      <c r="N362" s="11">
        <f>IF($C362="","",MAX(0,N(O362)-N(L362)))</f>
        <v/>
      </c>
      <c r="O362" s="39" t="n"/>
      <c r="P362" s="40">
        <f>IF($C362="","",IF((IF(F362="",", Client","")&amp;IF(G362="",", Description","")&amp;IF(H362="",", Cost Centre","")&amp;IF(I362="",", Invoice Type","")&amp;IF(J362="",", Tax Code","")&amp;IF(O362="",", Expected Revenue","")&amp;IF(COUNTIF(tbl_Finance[Job Number],$C362&amp;"")&gt;1,", Job number used twice",""))="","Complete","Fix: "&amp;MID(IF(F362="",", Client","")&amp;IF(G362="",", Description","")&amp;IF(H362="",", Cost Centre","")&amp;IF(I362="",", Invoice Type","")&amp;IF(J362="",", Tax Code","")&amp;IF(O362="",", Expected Revenue","")&amp;IF(COUNTIF(tbl_Finance[Job Number],$C362&amp;"")&gt;1,", Job number used twice",""),3,300)))</f>
        <v/>
      </c>
      <c r="Q362" s="10">
        <f>IF($C362="","",IF(H362="","(no cost centre)",H362&amp;" - GL "&amp;IFERROR(INDEX(lst_CCtoGL,MATCH(H362,lst_CCforGL,0)),"?")))</f>
        <v/>
      </c>
      <c r="R362" s="37" t="n"/>
      <c r="S362" s="10">
        <f>IF(R362="","",HYPERLINK(IF(LEFT(R362,4)="http",R362,set_QwilrBase&amp;R362),"Open quote"))</f>
        <v/>
      </c>
      <c r="T362" s="39" t="n"/>
      <c r="U362" s="39" t="n"/>
      <c r="V362" s="39" t="n"/>
      <c r="W362" s="10">
        <f>IF(C362="","",IF(N(T362)+N(U362)+N(V362)=0,"Not split",IF(ROUND(N(T362)+N(U362)+N(V362),2)=ROUND(MAX(N(L362),N(O362)),2),"OK","MISMATCH")))</f>
        <v/>
      </c>
      <c r="X362" s="39" t="n"/>
      <c r="Y362" s="39" t="n"/>
      <c r="Z362" s="39" t="n"/>
      <c r="AA362" s="11">
        <f>IF(C362="","",N(X362)+N(Y362)+N(Z362))</f>
        <v/>
      </c>
      <c r="AB362" s="11">
        <f>IF(C362="","",MAX(N(L362),N(O362))-N(AA362))</f>
        <v/>
      </c>
      <c r="AC362" s="43">
        <f>IFERROR(IF(MAX(N(L362),N(O362))=0,"",AB362/MAX(N(L362),N(O362))),"")</f>
        <v/>
      </c>
      <c r="AD362" s="37" t="n"/>
      <c r="AE362" s="10" t="inlineStr">
        <is>
          <t>CON-0358</t>
        </is>
      </c>
    </row>
    <row r="363">
      <c r="A363" s="16">
        <f>IF($C363="","",IFERROR(IF(INDEX(tbl_Finance[Latest Invoice Date],MATCH($AE363,tbl_Finance[Row ID],0))="","",INDEX(tbl_Finance[Latest Invoice Date],MATCH($AE363,tbl_Finance[Row ID],0))),""))</f>
        <v/>
      </c>
      <c r="B363" s="10">
        <f>IF($C363="","",IFERROR(INDEX(tbl_Finance[Invoice Numbers],MATCH($AE363,tbl_Finance[Row ID],0))&amp;"",""))</f>
        <v/>
      </c>
      <c r="C363" s="37" t="n"/>
      <c r="D363" s="10">
        <f>IF($C363="","",IF(COUNTIF(lst_Jobs,$C363&amp;"")&gt;0,"OK","CHECK"))</f>
        <v/>
      </c>
      <c r="E363" s="10">
        <f>IF($C363="","",IFERROR(INDEX(lst_JobName,MATCH($C363&amp;"",lst_Jobs,0)),""))</f>
        <v/>
      </c>
      <c r="F363" s="37" t="n"/>
      <c r="G363" s="37" t="n"/>
      <c r="H363" s="37" t="n"/>
      <c r="I363" s="37" t="n"/>
      <c r="J363" s="37" t="n"/>
      <c r="K363" s="38">
        <f>IF($C363="","",IFERROR(N(INDEX(tbl_Finance[Invoice Count],MATCH($AE363,tbl_Finance[Row ID],0))),""))</f>
        <v/>
      </c>
      <c r="L363" s="11">
        <f>IF($C363="","",IFERROR(N(INDEX(tbl_Finance[Xero Invoiced Ex GST],MATCH($AE363,tbl_Finance[Row ID],0))),""))</f>
        <v/>
      </c>
      <c r="M363" s="10">
        <f>IF($C363="","",IFERROR(INDEX(tbl_Finance[Compare],MATCH($AE363,tbl_Finance[Row ID],0))&amp;"",""))</f>
        <v/>
      </c>
      <c r="N363" s="11">
        <f>IF($C363="","",MAX(0,N(O363)-N(L363)))</f>
        <v/>
      </c>
      <c r="O363" s="39" t="n"/>
      <c r="P363" s="40">
        <f>IF($C363="","",IF((IF(F363="",", Client","")&amp;IF(G363="",", Description","")&amp;IF(H363="",", Cost Centre","")&amp;IF(I363="",", Invoice Type","")&amp;IF(J363="",", Tax Code","")&amp;IF(O363="",", Expected Revenue","")&amp;IF(COUNTIF(tbl_Finance[Job Number],$C363&amp;"")&gt;1,", Job number used twice",""))="","Complete","Fix: "&amp;MID(IF(F363="",", Client","")&amp;IF(G363="",", Description","")&amp;IF(H363="",", Cost Centre","")&amp;IF(I363="",", Invoice Type","")&amp;IF(J363="",", Tax Code","")&amp;IF(O363="",", Expected Revenue","")&amp;IF(COUNTIF(tbl_Finance[Job Number],$C363&amp;"")&gt;1,", Job number used twice",""),3,300)))</f>
        <v/>
      </c>
      <c r="Q363" s="10">
        <f>IF($C363="","",IF(H363="","(no cost centre)",H363&amp;" - GL "&amp;IFERROR(INDEX(lst_CCtoGL,MATCH(H363,lst_CCforGL,0)),"?")))</f>
        <v/>
      </c>
      <c r="R363" s="37" t="n"/>
      <c r="S363" s="10">
        <f>IF(R363="","",HYPERLINK(IF(LEFT(R363,4)="http",R363,set_QwilrBase&amp;R363),"Open quote"))</f>
        <v/>
      </c>
      <c r="T363" s="39" t="n"/>
      <c r="U363" s="39" t="n"/>
      <c r="V363" s="39" t="n"/>
      <c r="W363" s="10">
        <f>IF(C363="","",IF(N(T363)+N(U363)+N(V363)=0,"Not split",IF(ROUND(N(T363)+N(U363)+N(V363),2)=ROUND(MAX(N(L363),N(O363)),2),"OK","MISMATCH")))</f>
        <v/>
      </c>
      <c r="X363" s="39" t="n"/>
      <c r="Y363" s="39" t="n"/>
      <c r="Z363" s="39" t="n"/>
      <c r="AA363" s="11">
        <f>IF(C363="","",N(X363)+N(Y363)+N(Z363))</f>
        <v/>
      </c>
      <c r="AB363" s="11">
        <f>IF(C363="","",MAX(N(L363),N(O363))-N(AA363))</f>
        <v/>
      </c>
      <c r="AC363" s="43">
        <f>IFERROR(IF(MAX(N(L363),N(O363))=0,"",AB363/MAX(N(L363),N(O363))),"")</f>
        <v/>
      </c>
      <c r="AD363" s="37" t="n"/>
      <c r="AE363" s="10" t="inlineStr">
        <is>
          <t>CON-0359</t>
        </is>
      </c>
    </row>
    <row r="364">
      <c r="A364" s="16">
        <f>IF($C364="","",IFERROR(IF(INDEX(tbl_Finance[Latest Invoice Date],MATCH($AE364,tbl_Finance[Row ID],0))="","",INDEX(tbl_Finance[Latest Invoice Date],MATCH($AE364,tbl_Finance[Row ID],0))),""))</f>
        <v/>
      </c>
      <c r="B364" s="10">
        <f>IF($C364="","",IFERROR(INDEX(tbl_Finance[Invoice Numbers],MATCH($AE364,tbl_Finance[Row ID],0))&amp;"",""))</f>
        <v/>
      </c>
      <c r="C364" s="37" t="n"/>
      <c r="D364" s="10">
        <f>IF($C364="","",IF(COUNTIF(lst_Jobs,$C364&amp;"")&gt;0,"OK","CHECK"))</f>
        <v/>
      </c>
      <c r="E364" s="10">
        <f>IF($C364="","",IFERROR(INDEX(lst_JobName,MATCH($C364&amp;"",lst_Jobs,0)),""))</f>
        <v/>
      </c>
      <c r="F364" s="37" t="n"/>
      <c r="G364" s="37" t="n"/>
      <c r="H364" s="37" t="n"/>
      <c r="I364" s="37" t="n"/>
      <c r="J364" s="37" t="n"/>
      <c r="K364" s="38">
        <f>IF($C364="","",IFERROR(N(INDEX(tbl_Finance[Invoice Count],MATCH($AE364,tbl_Finance[Row ID],0))),""))</f>
        <v/>
      </c>
      <c r="L364" s="11">
        <f>IF($C364="","",IFERROR(N(INDEX(tbl_Finance[Xero Invoiced Ex GST],MATCH($AE364,tbl_Finance[Row ID],0))),""))</f>
        <v/>
      </c>
      <c r="M364" s="10">
        <f>IF($C364="","",IFERROR(INDEX(tbl_Finance[Compare],MATCH($AE364,tbl_Finance[Row ID],0))&amp;"",""))</f>
        <v/>
      </c>
      <c r="N364" s="11">
        <f>IF($C364="","",MAX(0,N(O364)-N(L364)))</f>
        <v/>
      </c>
      <c r="O364" s="39" t="n"/>
      <c r="P364" s="40">
        <f>IF($C364="","",IF((IF(F364="",", Client","")&amp;IF(G364="",", Description","")&amp;IF(H364="",", Cost Centre","")&amp;IF(I364="",", Invoice Type","")&amp;IF(J364="",", Tax Code","")&amp;IF(O364="",", Expected Revenue","")&amp;IF(COUNTIF(tbl_Finance[Job Number],$C364&amp;"")&gt;1,", Job number used twice",""))="","Complete","Fix: "&amp;MID(IF(F364="",", Client","")&amp;IF(G364="",", Description","")&amp;IF(H364="",", Cost Centre","")&amp;IF(I364="",", Invoice Type","")&amp;IF(J364="",", Tax Code","")&amp;IF(O364="",", Expected Revenue","")&amp;IF(COUNTIF(tbl_Finance[Job Number],$C364&amp;"")&gt;1,", Job number used twice",""),3,300)))</f>
        <v/>
      </c>
      <c r="Q364" s="10">
        <f>IF($C364="","",IF(H364="","(no cost centre)",H364&amp;" - GL "&amp;IFERROR(INDEX(lst_CCtoGL,MATCH(H364,lst_CCforGL,0)),"?")))</f>
        <v/>
      </c>
      <c r="R364" s="37" t="n"/>
      <c r="S364" s="10">
        <f>IF(R364="","",HYPERLINK(IF(LEFT(R364,4)="http",R364,set_QwilrBase&amp;R364),"Open quote"))</f>
        <v/>
      </c>
      <c r="T364" s="39" t="n"/>
      <c r="U364" s="39" t="n"/>
      <c r="V364" s="39" t="n"/>
      <c r="W364" s="10">
        <f>IF(C364="","",IF(N(T364)+N(U364)+N(V364)=0,"Not split",IF(ROUND(N(T364)+N(U364)+N(V364),2)=ROUND(MAX(N(L364),N(O364)),2),"OK","MISMATCH")))</f>
        <v/>
      </c>
      <c r="X364" s="39" t="n"/>
      <c r="Y364" s="39" t="n"/>
      <c r="Z364" s="39" t="n"/>
      <c r="AA364" s="11">
        <f>IF(C364="","",N(X364)+N(Y364)+N(Z364))</f>
        <v/>
      </c>
      <c r="AB364" s="11">
        <f>IF(C364="","",MAX(N(L364),N(O364))-N(AA364))</f>
        <v/>
      </c>
      <c r="AC364" s="43">
        <f>IFERROR(IF(MAX(N(L364),N(O364))=0,"",AB364/MAX(N(L364),N(O364))),"")</f>
        <v/>
      </c>
      <c r="AD364" s="37" t="n"/>
      <c r="AE364" s="10" t="inlineStr">
        <is>
          <t>CON-0360</t>
        </is>
      </c>
    </row>
    <row r="365">
      <c r="A365" s="16">
        <f>IF($C365="","",IFERROR(IF(INDEX(tbl_Finance[Latest Invoice Date],MATCH($AE365,tbl_Finance[Row ID],0))="","",INDEX(tbl_Finance[Latest Invoice Date],MATCH($AE365,tbl_Finance[Row ID],0))),""))</f>
        <v/>
      </c>
      <c r="B365" s="10">
        <f>IF($C365="","",IFERROR(INDEX(tbl_Finance[Invoice Numbers],MATCH($AE365,tbl_Finance[Row ID],0))&amp;"",""))</f>
        <v/>
      </c>
      <c r="C365" s="37" t="n"/>
      <c r="D365" s="10">
        <f>IF($C365="","",IF(COUNTIF(lst_Jobs,$C365&amp;"")&gt;0,"OK","CHECK"))</f>
        <v/>
      </c>
      <c r="E365" s="10">
        <f>IF($C365="","",IFERROR(INDEX(lst_JobName,MATCH($C365&amp;"",lst_Jobs,0)),""))</f>
        <v/>
      </c>
      <c r="F365" s="37" t="n"/>
      <c r="G365" s="37" t="n"/>
      <c r="H365" s="37" t="n"/>
      <c r="I365" s="37" t="n"/>
      <c r="J365" s="37" t="n"/>
      <c r="K365" s="38">
        <f>IF($C365="","",IFERROR(N(INDEX(tbl_Finance[Invoice Count],MATCH($AE365,tbl_Finance[Row ID],0))),""))</f>
        <v/>
      </c>
      <c r="L365" s="11">
        <f>IF($C365="","",IFERROR(N(INDEX(tbl_Finance[Xero Invoiced Ex GST],MATCH($AE365,tbl_Finance[Row ID],0))),""))</f>
        <v/>
      </c>
      <c r="M365" s="10">
        <f>IF($C365="","",IFERROR(INDEX(tbl_Finance[Compare],MATCH($AE365,tbl_Finance[Row ID],0))&amp;"",""))</f>
        <v/>
      </c>
      <c r="N365" s="11">
        <f>IF($C365="","",MAX(0,N(O365)-N(L365)))</f>
        <v/>
      </c>
      <c r="O365" s="39" t="n"/>
      <c r="P365" s="40">
        <f>IF($C365="","",IF((IF(F365="",", Client","")&amp;IF(G365="",", Description","")&amp;IF(H365="",", Cost Centre","")&amp;IF(I365="",", Invoice Type","")&amp;IF(J365="",", Tax Code","")&amp;IF(O365="",", Expected Revenue","")&amp;IF(COUNTIF(tbl_Finance[Job Number],$C365&amp;"")&gt;1,", Job number used twice",""))="","Complete","Fix: "&amp;MID(IF(F365="",", Client","")&amp;IF(G365="",", Description","")&amp;IF(H365="",", Cost Centre","")&amp;IF(I365="",", Invoice Type","")&amp;IF(J365="",", Tax Code","")&amp;IF(O365="",", Expected Revenue","")&amp;IF(COUNTIF(tbl_Finance[Job Number],$C365&amp;"")&gt;1,", Job number used twice",""),3,300)))</f>
        <v/>
      </c>
      <c r="Q365" s="10">
        <f>IF($C365="","",IF(H365="","(no cost centre)",H365&amp;" - GL "&amp;IFERROR(INDEX(lst_CCtoGL,MATCH(H365,lst_CCforGL,0)),"?")))</f>
        <v/>
      </c>
      <c r="R365" s="37" t="n"/>
      <c r="S365" s="10">
        <f>IF(R365="","",HYPERLINK(IF(LEFT(R365,4)="http",R365,set_QwilrBase&amp;R365),"Open quote"))</f>
        <v/>
      </c>
      <c r="T365" s="39" t="n"/>
      <c r="U365" s="39" t="n"/>
      <c r="V365" s="39" t="n"/>
      <c r="W365" s="10">
        <f>IF(C365="","",IF(N(T365)+N(U365)+N(V365)=0,"Not split",IF(ROUND(N(T365)+N(U365)+N(V365),2)=ROUND(MAX(N(L365),N(O365)),2),"OK","MISMATCH")))</f>
        <v/>
      </c>
      <c r="X365" s="39" t="n"/>
      <c r="Y365" s="39" t="n"/>
      <c r="Z365" s="39" t="n"/>
      <c r="AA365" s="11">
        <f>IF(C365="","",N(X365)+N(Y365)+N(Z365))</f>
        <v/>
      </c>
      <c r="AB365" s="11">
        <f>IF(C365="","",MAX(N(L365),N(O365))-N(AA365))</f>
        <v/>
      </c>
      <c r="AC365" s="43">
        <f>IFERROR(IF(MAX(N(L365),N(O365))=0,"",AB365/MAX(N(L365),N(O365))),"")</f>
        <v/>
      </c>
      <c r="AD365" s="37" t="n"/>
      <c r="AE365" s="10" t="inlineStr">
        <is>
          <t>CON-0361</t>
        </is>
      </c>
    </row>
    <row r="366">
      <c r="A366" s="16">
        <f>IF($C366="","",IFERROR(IF(INDEX(tbl_Finance[Latest Invoice Date],MATCH($AE366,tbl_Finance[Row ID],0))="","",INDEX(tbl_Finance[Latest Invoice Date],MATCH($AE366,tbl_Finance[Row ID],0))),""))</f>
        <v/>
      </c>
      <c r="B366" s="10">
        <f>IF($C366="","",IFERROR(INDEX(tbl_Finance[Invoice Numbers],MATCH($AE366,tbl_Finance[Row ID],0))&amp;"",""))</f>
        <v/>
      </c>
      <c r="C366" s="37" t="n"/>
      <c r="D366" s="10">
        <f>IF($C366="","",IF(COUNTIF(lst_Jobs,$C366&amp;"")&gt;0,"OK","CHECK"))</f>
        <v/>
      </c>
      <c r="E366" s="10">
        <f>IF($C366="","",IFERROR(INDEX(lst_JobName,MATCH($C366&amp;"",lst_Jobs,0)),""))</f>
        <v/>
      </c>
      <c r="F366" s="37" t="n"/>
      <c r="G366" s="37" t="n"/>
      <c r="H366" s="37" t="n"/>
      <c r="I366" s="37" t="n"/>
      <c r="J366" s="37" t="n"/>
      <c r="K366" s="38">
        <f>IF($C366="","",IFERROR(N(INDEX(tbl_Finance[Invoice Count],MATCH($AE366,tbl_Finance[Row ID],0))),""))</f>
        <v/>
      </c>
      <c r="L366" s="11">
        <f>IF($C366="","",IFERROR(N(INDEX(tbl_Finance[Xero Invoiced Ex GST],MATCH($AE366,tbl_Finance[Row ID],0))),""))</f>
        <v/>
      </c>
      <c r="M366" s="10">
        <f>IF($C366="","",IFERROR(INDEX(tbl_Finance[Compare],MATCH($AE366,tbl_Finance[Row ID],0))&amp;"",""))</f>
        <v/>
      </c>
      <c r="N366" s="11">
        <f>IF($C366="","",MAX(0,N(O366)-N(L366)))</f>
        <v/>
      </c>
      <c r="O366" s="39" t="n"/>
      <c r="P366" s="40">
        <f>IF($C366="","",IF((IF(F366="",", Client","")&amp;IF(G366="",", Description","")&amp;IF(H366="",", Cost Centre","")&amp;IF(I366="",", Invoice Type","")&amp;IF(J366="",", Tax Code","")&amp;IF(O366="",", Expected Revenue","")&amp;IF(COUNTIF(tbl_Finance[Job Number],$C366&amp;"")&gt;1,", Job number used twice",""))="","Complete","Fix: "&amp;MID(IF(F366="",", Client","")&amp;IF(G366="",", Description","")&amp;IF(H366="",", Cost Centre","")&amp;IF(I366="",", Invoice Type","")&amp;IF(J366="",", Tax Code","")&amp;IF(O366="",", Expected Revenue","")&amp;IF(COUNTIF(tbl_Finance[Job Number],$C366&amp;"")&gt;1,", Job number used twice",""),3,300)))</f>
        <v/>
      </c>
      <c r="Q366" s="10">
        <f>IF($C366="","",IF(H366="","(no cost centre)",H366&amp;" - GL "&amp;IFERROR(INDEX(lst_CCtoGL,MATCH(H366,lst_CCforGL,0)),"?")))</f>
        <v/>
      </c>
      <c r="R366" s="37" t="n"/>
      <c r="S366" s="10">
        <f>IF(R366="","",HYPERLINK(IF(LEFT(R366,4)="http",R366,set_QwilrBase&amp;R366),"Open quote"))</f>
        <v/>
      </c>
      <c r="T366" s="39" t="n"/>
      <c r="U366" s="39" t="n"/>
      <c r="V366" s="39" t="n"/>
      <c r="W366" s="10">
        <f>IF(C366="","",IF(N(T366)+N(U366)+N(V366)=0,"Not split",IF(ROUND(N(T366)+N(U366)+N(V366),2)=ROUND(MAX(N(L366),N(O366)),2),"OK","MISMATCH")))</f>
        <v/>
      </c>
      <c r="X366" s="39" t="n"/>
      <c r="Y366" s="39" t="n"/>
      <c r="Z366" s="39" t="n"/>
      <c r="AA366" s="11">
        <f>IF(C366="","",N(X366)+N(Y366)+N(Z366))</f>
        <v/>
      </c>
      <c r="AB366" s="11">
        <f>IF(C366="","",MAX(N(L366),N(O366))-N(AA366))</f>
        <v/>
      </c>
      <c r="AC366" s="43">
        <f>IFERROR(IF(MAX(N(L366),N(O366))=0,"",AB366/MAX(N(L366),N(O366))),"")</f>
        <v/>
      </c>
      <c r="AD366" s="37" t="n"/>
      <c r="AE366" s="10" t="inlineStr">
        <is>
          <t>CON-0362</t>
        </is>
      </c>
    </row>
    <row r="367">
      <c r="A367" s="16">
        <f>IF($C367="","",IFERROR(IF(INDEX(tbl_Finance[Latest Invoice Date],MATCH($AE367,tbl_Finance[Row ID],0))="","",INDEX(tbl_Finance[Latest Invoice Date],MATCH($AE367,tbl_Finance[Row ID],0))),""))</f>
        <v/>
      </c>
      <c r="B367" s="10">
        <f>IF($C367="","",IFERROR(INDEX(tbl_Finance[Invoice Numbers],MATCH($AE367,tbl_Finance[Row ID],0))&amp;"",""))</f>
        <v/>
      </c>
      <c r="C367" s="37" t="n"/>
      <c r="D367" s="10">
        <f>IF($C367="","",IF(COUNTIF(lst_Jobs,$C367&amp;"")&gt;0,"OK","CHECK"))</f>
        <v/>
      </c>
      <c r="E367" s="10">
        <f>IF($C367="","",IFERROR(INDEX(lst_JobName,MATCH($C367&amp;"",lst_Jobs,0)),""))</f>
        <v/>
      </c>
      <c r="F367" s="37" t="n"/>
      <c r="G367" s="37" t="n"/>
      <c r="H367" s="37" t="n"/>
      <c r="I367" s="37" t="n"/>
      <c r="J367" s="37" t="n"/>
      <c r="K367" s="38">
        <f>IF($C367="","",IFERROR(N(INDEX(tbl_Finance[Invoice Count],MATCH($AE367,tbl_Finance[Row ID],0))),""))</f>
        <v/>
      </c>
      <c r="L367" s="11">
        <f>IF($C367="","",IFERROR(N(INDEX(tbl_Finance[Xero Invoiced Ex GST],MATCH($AE367,tbl_Finance[Row ID],0))),""))</f>
        <v/>
      </c>
      <c r="M367" s="10">
        <f>IF($C367="","",IFERROR(INDEX(tbl_Finance[Compare],MATCH($AE367,tbl_Finance[Row ID],0))&amp;"",""))</f>
        <v/>
      </c>
      <c r="N367" s="11">
        <f>IF($C367="","",MAX(0,N(O367)-N(L367)))</f>
        <v/>
      </c>
      <c r="O367" s="39" t="n"/>
      <c r="P367" s="40">
        <f>IF($C367="","",IF((IF(F367="",", Client","")&amp;IF(G367="",", Description","")&amp;IF(H367="",", Cost Centre","")&amp;IF(I367="",", Invoice Type","")&amp;IF(J367="",", Tax Code","")&amp;IF(O367="",", Expected Revenue","")&amp;IF(COUNTIF(tbl_Finance[Job Number],$C367&amp;"")&gt;1,", Job number used twice",""))="","Complete","Fix: "&amp;MID(IF(F367="",", Client","")&amp;IF(G367="",", Description","")&amp;IF(H367="",", Cost Centre","")&amp;IF(I367="",", Invoice Type","")&amp;IF(J367="",", Tax Code","")&amp;IF(O367="",", Expected Revenue","")&amp;IF(COUNTIF(tbl_Finance[Job Number],$C367&amp;"")&gt;1,", Job number used twice",""),3,300)))</f>
        <v/>
      </c>
      <c r="Q367" s="10">
        <f>IF($C367="","",IF(H367="","(no cost centre)",H367&amp;" - GL "&amp;IFERROR(INDEX(lst_CCtoGL,MATCH(H367,lst_CCforGL,0)),"?")))</f>
        <v/>
      </c>
      <c r="R367" s="37" t="n"/>
      <c r="S367" s="10">
        <f>IF(R367="","",HYPERLINK(IF(LEFT(R367,4)="http",R367,set_QwilrBase&amp;R367),"Open quote"))</f>
        <v/>
      </c>
      <c r="T367" s="39" t="n"/>
      <c r="U367" s="39" t="n"/>
      <c r="V367" s="39" t="n"/>
      <c r="W367" s="10">
        <f>IF(C367="","",IF(N(T367)+N(U367)+N(V367)=0,"Not split",IF(ROUND(N(T367)+N(U367)+N(V367),2)=ROUND(MAX(N(L367),N(O367)),2),"OK","MISMATCH")))</f>
        <v/>
      </c>
      <c r="X367" s="39" t="n"/>
      <c r="Y367" s="39" t="n"/>
      <c r="Z367" s="39" t="n"/>
      <c r="AA367" s="11">
        <f>IF(C367="","",N(X367)+N(Y367)+N(Z367))</f>
        <v/>
      </c>
      <c r="AB367" s="11">
        <f>IF(C367="","",MAX(N(L367),N(O367))-N(AA367))</f>
        <v/>
      </c>
      <c r="AC367" s="43">
        <f>IFERROR(IF(MAX(N(L367),N(O367))=0,"",AB367/MAX(N(L367),N(O367))),"")</f>
        <v/>
      </c>
      <c r="AD367" s="37" t="n"/>
      <c r="AE367" s="10" t="inlineStr">
        <is>
          <t>CON-0363</t>
        </is>
      </c>
    </row>
    <row r="368">
      <c r="A368" s="16">
        <f>IF($C368="","",IFERROR(IF(INDEX(tbl_Finance[Latest Invoice Date],MATCH($AE368,tbl_Finance[Row ID],0))="","",INDEX(tbl_Finance[Latest Invoice Date],MATCH($AE368,tbl_Finance[Row ID],0))),""))</f>
        <v/>
      </c>
      <c r="B368" s="10">
        <f>IF($C368="","",IFERROR(INDEX(tbl_Finance[Invoice Numbers],MATCH($AE368,tbl_Finance[Row ID],0))&amp;"",""))</f>
        <v/>
      </c>
      <c r="C368" s="37" t="n"/>
      <c r="D368" s="10">
        <f>IF($C368="","",IF(COUNTIF(lst_Jobs,$C368&amp;"")&gt;0,"OK","CHECK"))</f>
        <v/>
      </c>
      <c r="E368" s="10">
        <f>IF($C368="","",IFERROR(INDEX(lst_JobName,MATCH($C368&amp;"",lst_Jobs,0)),""))</f>
        <v/>
      </c>
      <c r="F368" s="37" t="n"/>
      <c r="G368" s="37" t="n"/>
      <c r="H368" s="37" t="n"/>
      <c r="I368" s="37" t="n"/>
      <c r="J368" s="37" t="n"/>
      <c r="K368" s="38">
        <f>IF($C368="","",IFERROR(N(INDEX(tbl_Finance[Invoice Count],MATCH($AE368,tbl_Finance[Row ID],0))),""))</f>
        <v/>
      </c>
      <c r="L368" s="11">
        <f>IF($C368="","",IFERROR(N(INDEX(tbl_Finance[Xero Invoiced Ex GST],MATCH($AE368,tbl_Finance[Row ID],0))),""))</f>
        <v/>
      </c>
      <c r="M368" s="10">
        <f>IF($C368="","",IFERROR(INDEX(tbl_Finance[Compare],MATCH($AE368,tbl_Finance[Row ID],0))&amp;"",""))</f>
        <v/>
      </c>
      <c r="N368" s="11">
        <f>IF($C368="","",MAX(0,N(O368)-N(L368)))</f>
        <v/>
      </c>
      <c r="O368" s="39" t="n"/>
      <c r="P368" s="40">
        <f>IF($C368="","",IF((IF(F368="",", Client","")&amp;IF(G368="",", Description","")&amp;IF(H368="",", Cost Centre","")&amp;IF(I368="",", Invoice Type","")&amp;IF(J368="",", Tax Code","")&amp;IF(O368="",", Expected Revenue","")&amp;IF(COUNTIF(tbl_Finance[Job Number],$C368&amp;"")&gt;1,", Job number used twice",""))="","Complete","Fix: "&amp;MID(IF(F368="",", Client","")&amp;IF(G368="",", Description","")&amp;IF(H368="",", Cost Centre","")&amp;IF(I368="",", Invoice Type","")&amp;IF(J368="",", Tax Code","")&amp;IF(O368="",", Expected Revenue","")&amp;IF(COUNTIF(tbl_Finance[Job Number],$C368&amp;"")&gt;1,", Job number used twice",""),3,300)))</f>
        <v/>
      </c>
      <c r="Q368" s="10">
        <f>IF($C368="","",IF(H368="","(no cost centre)",H368&amp;" - GL "&amp;IFERROR(INDEX(lst_CCtoGL,MATCH(H368,lst_CCforGL,0)),"?")))</f>
        <v/>
      </c>
      <c r="R368" s="37" t="n"/>
      <c r="S368" s="10">
        <f>IF(R368="","",HYPERLINK(IF(LEFT(R368,4)="http",R368,set_QwilrBase&amp;R368),"Open quote"))</f>
        <v/>
      </c>
      <c r="T368" s="39" t="n"/>
      <c r="U368" s="39" t="n"/>
      <c r="V368" s="39" t="n"/>
      <c r="W368" s="10">
        <f>IF(C368="","",IF(N(T368)+N(U368)+N(V368)=0,"Not split",IF(ROUND(N(T368)+N(U368)+N(V368),2)=ROUND(MAX(N(L368),N(O368)),2),"OK","MISMATCH")))</f>
        <v/>
      </c>
      <c r="X368" s="39" t="n"/>
      <c r="Y368" s="39" t="n"/>
      <c r="Z368" s="39" t="n"/>
      <c r="AA368" s="11">
        <f>IF(C368="","",N(X368)+N(Y368)+N(Z368))</f>
        <v/>
      </c>
      <c r="AB368" s="11">
        <f>IF(C368="","",MAX(N(L368),N(O368))-N(AA368))</f>
        <v/>
      </c>
      <c r="AC368" s="43">
        <f>IFERROR(IF(MAX(N(L368),N(O368))=0,"",AB368/MAX(N(L368),N(O368))),"")</f>
        <v/>
      </c>
      <c r="AD368" s="37" t="n"/>
      <c r="AE368" s="10" t="inlineStr">
        <is>
          <t>CON-0364</t>
        </is>
      </c>
    </row>
    <row r="369">
      <c r="A369" s="16">
        <f>IF($C369="","",IFERROR(IF(INDEX(tbl_Finance[Latest Invoice Date],MATCH($AE369,tbl_Finance[Row ID],0))="","",INDEX(tbl_Finance[Latest Invoice Date],MATCH($AE369,tbl_Finance[Row ID],0))),""))</f>
        <v/>
      </c>
      <c r="B369" s="10">
        <f>IF($C369="","",IFERROR(INDEX(tbl_Finance[Invoice Numbers],MATCH($AE369,tbl_Finance[Row ID],0))&amp;"",""))</f>
        <v/>
      </c>
      <c r="C369" s="37" t="n"/>
      <c r="D369" s="10">
        <f>IF($C369="","",IF(COUNTIF(lst_Jobs,$C369&amp;"")&gt;0,"OK","CHECK"))</f>
        <v/>
      </c>
      <c r="E369" s="10">
        <f>IF($C369="","",IFERROR(INDEX(lst_JobName,MATCH($C369&amp;"",lst_Jobs,0)),""))</f>
        <v/>
      </c>
      <c r="F369" s="37" t="n"/>
      <c r="G369" s="37" t="n"/>
      <c r="H369" s="37" t="n"/>
      <c r="I369" s="37" t="n"/>
      <c r="J369" s="37" t="n"/>
      <c r="K369" s="38">
        <f>IF($C369="","",IFERROR(N(INDEX(tbl_Finance[Invoice Count],MATCH($AE369,tbl_Finance[Row ID],0))),""))</f>
        <v/>
      </c>
      <c r="L369" s="11">
        <f>IF($C369="","",IFERROR(N(INDEX(tbl_Finance[Xero Invoiced Ex GST],MATCH($AE369,tbl_Finance[Row ID],0))),""))</f>
        <v/>
      </c>
      <c r="M369" s="10">
        <f>IF($C369="","",IFERROR(INDEX(tbl_Finance[Compare],MATCH($AE369,tbl_Finance[Row ID],0))&amp;"",""))</f>
        <v/>
      </c>
      <c r="N369" s="11">
        <f>IF($C369="","",MAX(0,N(O369)-N(L369)))</f>
        <v/>
      </c>
      <c r="O369" s="39" t="n"/>
      <c r="P369" s="40">
        <f>IF($C369="","",IF((IF(F369="",", Client","")&amp;IF(G369="",", Description","")&amp;IF(H369="",", Cost Centre","")&amp;IF(I369="",", Invoice Type","")&amp;IF(J369="",", Tax Code","")&amp;IF(O369="",", Expected Revenue","")&amp;IF(COUNTIF(tbl_Finance[Job Number],$C369&amp;"")&gt;1,", Job number used twice",""))="","Complete","Fix: "&amp;MID(IF(F369="",", Client","")&amp;IF(G369="",", Description","")&amp;IF(H369="",", Cost Centre","")&amp;IF(I369="",", Invoice Type","")&amp;IF(J369="",", Tax Code","")&amp;IF(O369="",", Expected Revenue","")&amp;IF(COUNTIF(tbl_Finance[Job Number],$C369&amp;"")&gt;1,", Job number used twice",""),3,300)))</f>
        <v/>
      </c>
      <c r="Q369" s="10">
        <f>IF($C369="","",IF(H369="","(no cost centre)",H369&amp;" - GL "&amp;IFERROR(INDEX(lst_CCtoGL,MATCH(H369,lst_CCforGL,0)),"?")))</f>
        <v/>
      </c>
      <c r="R369" s="37" t="n"/>
      <c r="S369" s="10">
        <f>IF(R369="","",HYPERLINK(IF(LEFT(R369,4)="http",R369,set_QwilrBase&amp;R369),"Open quote"))</f>
        <v/>
      </c>
      <c r="T369" s="39" t="n"/>
      <c r="U369" s="39" t="n"/>
      <c r="V369" s="39" t="n"/>
      <c r="W369" s="10">
        <f>IF(C369="","",IF(N(T369)+N(U369)+N(V369)=0,"Not split",IF(ROUND(N(T369)+N(U369)+N(V369),2)=ROUND(MAX(N(L369),N(O369)),2),"OK","MISMATCH")))</f>
        <v/>
      </c>
      <c r="X369" s="39" t="n"/>
      <c r="Y369" s="39" t="n"/>
      <c r="Z369" s="39" t="n"/>
      <c r="AA369" s="11">
        <f>IF(C369="","",N(X369)+N(Y369)+N(Z369))</f>
        <v/>
      </c>
      <c r="AB369" s="11">
        <f>IF(C369="","",MAX(N(L369),N(O369))-N(AA369))</f>
        <v/>
      </c>
      <c r="AC369" s="43">
        <f>IFERROR(IF(MAX(N(L369),N(O369))=0,"",AB369/MAX(N(L369),N(O369))),"")</f>
        <v/>
      </c>
      <c r="AD369" s="37" t="n"/>
      <c r="AE369" s="10" t="inlineStr">
        <is>
          <t>CON-0365</t>
        </is>
      </c>
    </row>
    <row r="370">
      <c r="A370" s="16">
        <f>IF($C370="","",IFERROR(IF(INDEX(tbl_Finance[Latest Invoice Date],MATCH($AE370,tbl_Finance[Row ID],0))="","",INDEX(tbl_Finance[Latest Invoice Date],MATCH($AE370,tbl_Finance[Row ID],0))),""))</f>
        <v/>
      </c>
      <c r="B370" s="10">
        <f>IF($C370="","",IFERROR(INDEX(tbl_Finance[Invoice Numbers],MATCH($AE370,tbl_Finance[Row ID],0))&amp;"",""))</f>
        <v/>
      </c>
      <c r="C370" s="37" t="n"/>
      <c r="D370" s="10">
        <f>IF($C370="","",IF(COUNTIF(lst_Jobs,$C370&amp;"")&gt;0,"OK","CHECK"))</f>
        <v/>
      </c>
      <c r="E370" s="10">
        <f>IF($C370="","",IFERROR(INDEX(lst_JobName,MATCH($C370&amp;"",lst_Jobs,0)),""))</f>
        <v/>
      </c>
      <c r="F370" s="37" t="n"/>
      <c r="G370" s="37" t="n"/>
      <c r="H370" s="37" t="n"/>
      <c r="I370" s="37" t="n"/>
      <c r="J370" s="37" t="n"/>
      <c r="K370" s="38">
        <f>IF($C370="","",IFERROR(N(INDEX(tbl_Finance[Invoice Count],MATCH($AE370,tbl_Finance[Row ID],0))),""))</f>
        <v/>
      </c>
      <c r="L370" s="11">
        <f>IF($C370="","",IFERROR(N(INDEX(tbl_Finance[Xero Invoiced Ex GST],MATCH($AE370,tbl_Finance[Row ID],0))),""))</f>
        <v/>
      </c>
      <c r="M370" s="10">
        <f>IF($C370="","",IFERROR(INDEX(tbl_Finance[Compare],MATCH($AE370,tbl_Finance[Row ID],0))&amp;"",""))</f>
        <v/>
      </c>
      <c r="N370" s="11">
        <f>IF($C370="","",MAX(0,N(O370)-N(L370)))</f>
        <v/>
      </c>
      <c r="O370" s="39" t="n"/>
      <c r="P370" s="40">
        <f>IF($C370="","",IF((IF(F370="",", Client","")&amp;IF(G370="",", Description","")&amp;IF(H370="",", Cost Centre","")&amp;IF(I370="",", Invoice Type","")&amp;IF(J370="",", Tax Code","")&amp;IF(O370="",", Expected Revenue","")&amp;IF(COUNTIF(tbl_Finance[Job Number],$C370&amp;"")&gt;1,", Job number used twice",""))="","Complete","Fix: "&amp;MID(IF(F370="",", Client","")&amp;IF(G370="",", Description","")&amp;IF(H370="",", Cost Centre","")&amp;IF(I370="",", Invoice Type","")&amp;IF(J370="",", Tax Code","")&amp;IF(O370="",", Expected Revenue","")&amp;IF(COUNTIF(tbl_Finance[Job Number],$C370&amp;"")&gt;1,", Job number used twice",""),3,300)))</f>
        <v/>
      </c>
      <c r="Q370" s="10">
        <f>IF($C370="","",IF(H370="","(no cost centre)",H370&amp;" - GL "&amp;IFERROR(INDEX(lst_CCtoGL,MATCH(H370,lst_CCforGL,0)),"?")))</f>
        <v/>
      </c>
      <c r="R370" s="37" t="n"/>
      <c r="S370" s="10">
        <f>IF(R370="","",HYPERLINK(IF(LEFT(R370,4)="http",R370,set_QwilrBase&amp;R370),"Open quote"))</f>
        <v/>
      </c>
      <c r="T370" s="39" t="n"/>
      <c r="U370" s="39" t="n"/>
      <c r="V370" s="39" t="n"/>
      <c r="W370" s="10">
        <f>IF(C370="","",IF(N(T370)+N(U370)+N(V370)=0,"Not split",IF(ROUND(N(T370)+N(U370)+N(V370),2)=ROUND(MAX(N(L370),N(O370)),2),"OK","MISMATCH")))</f>
        <v/>
      </c>
      <c r="X370" s="39" t="n"/>
      <c r="Y370" s="39" t="n"/>
      <c r="Z370" s="39" t="n"/>
      <c r="AA370" s="11">
        <f>IF(C370="","",N(X370)+N(Y370)+N(Z370))</f>
        <v/>
      </c>
      <c r="AB370" s="11">
        <f>IF(C370="","",MAX(N(L370),N(O370))-N(AA370))</f>
        <v/>
      </c>
      <c r="AC370" s="43">
        <f>IFERROR(IF(MAX(N(L370),N(O370))=0,"",AB370/MAX(N(L370),N(O370))),"")</f>
        <v/>
      </c>
      <c r="AD370" s="37" t="n"/>
      <c r="AE370" s="10" t="inlineStr">
        <is>
          <t>CON-0366</t>
        </is>
      </c>
    </row>
    <row r="371">
      <c r="A371" s="16">
        <f>IF($C371="","",IFERROR(IF(INDEX(tbl_Finance[Latest Invoice Date],MATCH($AE371,tbl_Finance[Row ID],0))="","",INDEX(tbl_Finance[Latest Invoice Date],MATCH($AE371,tbl_Finance[Row ID],0))),""))</f>
        <v/>
      </c>
      <c r="B371" s="10">
        <f>IF($C371="","",IFERROR(INDEX(tbl_Finance[Invoice Numbers],MATCH($AE371,tbl_Finance[Row ID],0))&amp;"",""))</f>
        <v/>
      </c>
      <c r="C371" s="37" t="n"/>
      <c r="D371" s="10">
        <f>IF($C371="","",IF(COUNTIF(lst_Jobs,$C371&amp;"")&gt;0,"OK","CHECK"))</f>
        <v/>
      </c>
      <c r="E371" s="10">
        <f>IF($C371="","",IFERROR(INDEX(lst_JobName,MATCH($C371&amp;"",lst_Jobs,0)),""))</f>
        <v/>
      </c>
      <c r="F371" s="37" t="n"/>
      <c r="G371" s="37" t="n"/>
      <c r="H371" s="37" t="n"/>
      <c r="I371" s="37" t="n"/>
      <c r="J371" s="37" t="n"/>
      <c r="K371" s="38">
        <f>IF($C371="","",IFERROR(N(INDEX(tbl_Finance[Invoice Count],MATCH($AE371,tbl_Finance[Row ID],0))),""))</f>
        <v/>
      </c>
      <c r="L371" s="11">
        <f>IF($C371="","",IFERROR(N(INDEX(tbl_Finance[Xero Invoiced Ex GST],MATCH($AE371,tbl_Finance[Row ID],0))),""))</f>
        <v/>
      </c>
      <c r="M371" s="10">
        <f>IF($C371="","",IFERROR(INDEX(tbl_Finance[Compare],MATCH($AE371,tbl_Finance[Row ID],0))&amp;"",""))</f>
        <v/>
      </c>
      <c r="N371" s="11">
        <f>IF($C371="","",MAX(0,N(O371)-N(L371)))</f>
        <v/>
      </c>
      <c r="O371" s="39" t="n"/>
      <c r="P371" s="40">
        <f>IF($C371="","",IF((IF(F371="",", Client","")&amp;IF(G371="",", Description","")&amp;IF(H371="",", Cost Centre","")&amp;IF(I371="",", Invoice Type","")&amp;IF(J371="",", Tax Code","")&amp;IF(O371="",", Expected Revenue","")&amp;IF(COUNTIF(tbl_Finance[Job Number],$C371&amp;"")&gt;1,", Job number used twice",""))="","Complete","Fix: "&amp;MID(IF(F371="",", Client","")&amp;IF(G371="",", Description","")&amp;IF(H371="",", Cost Centre","")&amp;IF(I371="",", Invoice Type","")&amp;IF(J371="",", Tax Code","")&amp;IF(O371="",", Expected Revenue","")&amp;IF(COUNTIF(tbl_Finance[Job Number],$C371&amp;"")&gt;1,", Job number used twice",""),3,300)))</f>
        <v/>
      </c>
      <c r="Q371" s="10">
        <f>IF($C371="","",IF(H371="","(no cost centre)",H371&amp;" - GL "&amp;IFERROR(INDEX(lst_CCtoGL,MATCH(H371,lst_CCforGL,0)),"?")))</f>
        <v/>
      </c>
      <c r="R371" s="37" t="n"/>
      <c r="S371" s="10">
        <f>IF(R371="","",HYPERLINK(IF(LEFT(R371,4)="http",R371,set_QwilrBase&amp;R371),"Open quote"))</f>
        <v/>
      </c>
      <c r="T371" s="39" t="n"/>
      <c r="U371" s="39" t="n"/>
      <c r="V371" s="39" t="n"/>
      <c r="W371" s="10">
        <f>IF(C371="","",IF(N(T371)+N(U371)+N(V371)=0,"Not split",IF(ROUND(N(T371)+N(U371)+N(V371),2)=ROUND(MAX(N(L371),N(O371)),2),"OK","MISMATCH")))</f>
        <v/>
      </c>
      <c r="X371" s="39" t="n"/>
      <c r="Y371" s="39" t="n"/>
      <c r="Z371" s="39" t="n"/>
      <c r="AA371" s="11">
        <f>IF(C371="","",N(X371)+N(Y371)+N(Z371))</f>
        <v/>
      </c>
      <c r="AB371" s="11">
        <f>IF(C371="","",MAX(N(L371),N(O371))-N(AA371))</f>
        <v/>
      </c>
      <c r="AC371" s="43">
        <f>IFERROR(IF(MAX(N(L371),N(O371))=0,"",AB371/MAX(N(L371),N(O371))),"")</f>
        <v/>
      </c>
      <c r="AD371" s="37" t="n"/>
      <c r="AE371" s="10" t="inlineStr">
        <is>
          <t>CON-0367</t>
        </is>
      </c>
    </row>
    <row r="372">
      <c r="A372" s="16">
        <f>IF($C372="","",IFERROR(IF(INDEX(tbl_Finance[Latest Invoice Date],MATCH($AE372,tbl_Finance[Row ID],0))="","",INDEX(tbl_Finance[Latest Invoice Date],MATCH($AE372,tbl_Finance[Row ID],0))),""))</f>
        <v/>
      </c>
      <c r="B372" s="10">
        <f>IF($C372="","",IFERROR(INDEX(tbl_Finance[Invoice Numbers],MATCH($AE372,tbl_Finance[Row ID],0))&amp;"",""))</f>
        <v/>
      </c>
      <c r="C372" s="37" t="n"/>
      <c r="D372" s="10">
        <f>IF($C372="","",IF(COUNTIF(lst_Jobs,$C372&amp;"")&gt;0,"OK","CHECK"))</f>
        <v/>
      </c>
      <c r="E372" s="10">
        <f>IF($C372="","",IFERROR(INDEX(lst_JobName,MATCH($C372&amp;"",lst_Jobs,0)),""))</f>
        <v/>
      </c>
      <c r="F372" s="37" t="n"/>
      <c r="G372" s="37" t="n"/>
      <c r="H372" s="37" t="n"/>
      <c r="I372" s="37" t="n"/>
      <c r="J372" s="37" t="n"/>
      <c r="K372" s="38">
        <f>IF($C372="","",IFERROR(N(INDEX(tbl_Finance[Invoice Count],MATCH($AE372,tbl_Finance[Row ID],0))),""))</f>
        <v/>
      </c>
      <c r="L372" s="11">
        <f>IF($C372="","",IFERROR(N(INDEX(tbl_Finance[Xero Invoiced Ex GST],MATCH($AE372,tbl_Finance[Row ID],0))),""))</f>
        <v/>
      </c>
      <c r="M372" s="10">
        <f>IF($C372="","",IFERROR(INDEX(tbl_Finance[Compare],MATCH($AE372,tbl_Finance[Row ID],0))&amp;"",""))</f>
        <v/>
      </c>
      <c r="N372" s="11">
        <f>IF($C372="","",MAX(0,N(O372)-N(L372)))</f>
        <v/>
      </c>
      <c r="O372" s="39" t="n"/>
      <c r="P372" s="40">
        <f>IF($C372="","",IF((IF(F372="",", Client","")&amp;IF(G372="",", Description","")&amp;IF(H372="",", Cost Centre","")&amp;IF(I372="",", Invoice Type","")&amp;IF(J372="",", Tax Code","")&amp;IF(O372="",", Expected Revenue","")&amp;IF(COUNTIF(tbl_Finance[Job Number],$C372&amp;"")&gt;1,", Job number used twice",""))="","Complete","Fix: "&amp;MID(IF(F372="",", Client","")&amp;IF(G372="",", Description","")&amp;IF(H372="",", Cost Centre","")&amp;IF(I372="",", Invoice Type","")&amp;IF(J372="",", Tax Code","")&amp;IF(O372="",", Expected Revenue","")&amp;IF(COUNTIF(tbl_Finance[Job Number],$C372&amp;"")&gt;1,", Job number used twice",""),3,300)))</f>
        <v/>
      </c>
      <c r="Q372" s="10">
        <f>IF($C372="","",IF(H372="","(no cost centre)",H372&amp;" - GL "&amp;IFERROR(INDEX(lst_CCtoGL,MATCH(H372,lst_CCforGL,0)),"?")))</f>
        <v/>
      </c>
      <c r="R372" s="37" t="n"/>
      <c r="S372" s="10">
        <f>IF(R372="","",HYPERLINK(IF(LEFT(R372,4)="http",R372,set_QwilrBase&amp;R372),"Open quote"))</f>
        <v/>
      </c>
      <c r="T372" s="39" t="n"/>
      <c r="U372" s="39" t="n"/>
      <c r="V372" s="39" t="n"/>
      <c r="W372" s="10">
        <f>IF(C372="","",IF(N(T372)+N(U372)+N(V372)=0,"Not split",IF(ROUND(N(T372)+N(U372)+N(V372),2)=ROUND(MAX(N(L372),N(O372)),2),"OK","MISMATCH")))</f>
        <v/>
      </c>
      <c r="X372" s="39" t="n"/>
      <c r="Y372" s="39" t="n"/>
      <c r="Z372" s="39" t="n"/>
      <c r="AA372" s="11">
        <f>IF(C372="","",N(X372)+N(Y372)+N(Z372))</f>
        <v/>
      </c>
      <c r="AB372" s="11">
        <f>IF(C372="","",MAX(N(L372),N(O372))-N(AA372))</f>
        <v/>
      </c>
      <c r="AC372" s="43">
        <f>IFERROR(IF(MAX(N(L372),N(O372))=0,"",AB372/MAX(N(L372),N(O372))),"")</f>
        <v/>
      </c>
      <c r="AD372" s="37" t="n"/>
      <c r="AE372" s="10" t="inlineStr">
        <is>
          <t>CON-0368</t>
        </is>
      </c>
    </row>
    <row r="373">
      <c r="A373" s="16">
        <f>IF($C373="","",IFERROR(IF(INDEX(tbl_Finance[Latest Invoice Date],MATCH($AE373,tbl_Finance[Row ID],0))="","",INDEX(tbl_Finance[Latest Invoice Date],MATCH($AE373,tbl_Finance[Row ID],0))),""))</f>
        <v/>
      </c>
      <c r="B373" s="10">
        <f>IF($C373="","",IFERROR(INDEX(tbl_Finance[Invoice Numbers],MATCH($AE373,tbl_Finance[Row ID],0))&amp;"",""))</f>
        <v/>
      </c>
      <c r="C373" s="37" t="n"/>
      <c r="D373" s="10">
        <f>IF($C373="","",IF(COUNTIF(lst_Jobs,$C373&amp;"")&gt;0,"OK","CHECK"))</f>
        <v/>
      </c>
      <c r="E373" s="10">
        <f>IF($C373="","",IFERROR(INDEX(lst_JobName,MATCH($C373&amp;"",lst_Jobs,0)),""))</f>
        <v/>
      </c>
      <c r="F373" s="37" t="n"/>
      <c r="G373" s="37" t="n"/>
      <c r="H373" s="37" t="n"/>
      <c r="I373" s="37" t="n"/>
      <c r="J373" s="37" t="n"/>
      <c r="K373" s="38">
        <f>IF($C373="","",IFERROR(N(INDEX(tbl_Finance[Invoice Count],MATCH($AE373,tbl_Finance[Row ID],0))),""))</f>
        <v/>
      </c>
      <c r="L373" s="11">
        <f>IF($C373="","",IFERROR(N(INDEX(tbl_Finance[Xero Invoiced Ex GST],MATCH($AE373,tbl_Finance[Row ID],0))),""))</f>
        <v/>
      </c>
      <c r="M373" s="10">
        <f>IF($C373="","",IFERROR(INDEX(tbl_Finance[Compare],MATCH($AE373,tbl_Finance[Row ID],0))&amp;"",""))</f>
        <v/>
      </c>
      <c r="N373" s="11">
        <f>IF($C373="","",MAX(0,N(O373)-N(L373)))</f>
        <v/>
      </c>
      <c r="O373" s="39" t="n"/>
      <c r="P373" s="40">
        <f>IF($C373="","",IF((IF(F373="",", Client","")&amp;IF(G373="",", Description","")&amp;IF(H373="",", Cost Centre","")&amp;IF(I373="",", Invoice Type","")&amp;IF(J373="",", Tax Code","")&amp;IF(O373="",", Expected Revenue","")&amp;IF(COUNTIF(tbl_Finance[Job Number],$C373&amp;"")&gt;1,", Job number used twice",""))="","Complete","Fix: "&amp;MID(IF(F373="",", Client","")&amp;IF(G373="",", Description","")&amp;IF(H373="",", Cost Centre","")&amp;IF(I373="",", Invoice Type","")&amp;IF(J373="",", Tax Code","")&amp;IF(O373="",", Expected Revenue","")&amp;IF(COUNTIF(tbl_Finance[Job Number],$C373&amp;"")&gt;1,", Job number used twice",""),3,300)))</f>
        <v/>
      </c>
      <c r="Q373" s="10">
        <f>IF($C373="","",IF(H373="","(no cost centre)",H373&amp;" - GL "&amp;IFERROR(INDEX(lst_CCtoGL,MATCH(H373,lst_CCforGL,0)),"?")))</f>
        <v/>
      </c>
      <c r="R373" s="37" t="n"/>
      <c r="S373" s="10">
        <f>IF(R373="","",HYPERLINK(IF(LEFT(R373,4)="http",R373,set_QwilrBase&amp;R373),"Open quote"))</f>
        <v/>
      </c>
      <c r="T373" s="39" t="n"/>
      <c r="U373" s="39" t="n"/>
      <c r="V373" s="39" t="n"/>
      <c r="W373" s="10">
        <f>IF(C373="","",IF(N(T373)+N(U373)+N(V373)=0,"Not split",IF(ROUND(N(T373)+N(U373)+N(V373),2)=ROUND(MAX(N(L373),N(O373)),2),"OK","MISMATCH")))</f>
        <v/>
      </c>
      <c r="X373" s="39" t="n"/>
      <c r="Y373" s="39" t="n"/>
      <c r="Z373" s="39" t="n"/>
      <c r="AA373" s="11">
        <f>IF(C373="","",N(X373)+N(Y373)+N(Z373))</f>
        <v/>
      </c>
      <c r="AB373" s="11">
        <f>IF(C373="","",MAX(N(L373),N(O373))-N(AA373))</f>
        <v/>
      </c>
      <c r="AC373" s="43">
        <f>IFERROR(IF(MAX(N(L373),N(O373))=0,"",AB373/MAX(N(L373),N(O373))),"")</f>
        <v/>
      </c>
      <c r="AD373" s="37" t="n"/>
      <c r="AE373" s="10" t="inlineStr">
        <is>
          <t>CON-0369</t>
        </is>
      </c>
    </row>
    <row r="374">
      <c r="A374" s="16">
        <f>IF($C374="","",IFERROR(IF(INDEX(tbl_Finance[Latest Invoice Date],MATCH($AE374,tbl_Finance[Row ID],0))="","",INDEX(tbl_Finance[Latest Invoice Date],MATCH($AE374,tbl_Finance[Row ID],0))),""))</f>
        <v/>
      </c>
      <c r="B374" s="10">
        <f>IF($C374="","",IFERROR(INDEX(tbl_Finance[Invoice Numbers],MATCH($AE374,tbl_Finance[Row ID],0))&amp;"",""))</f>
        <v/>
      </c>
      <c r="C374" s="37" t="n"/>
      <c r="D374" s="10">
        <f>IF($C374="","",IF(COUNTIF(lst_Jobs,$C374&amp;"")&gt;0,"OK","CHECK"))</f>
        <v/>
      </c>
      <c r="E374" s="10">
        <f>IF($C374="","",IFERROR(INDEX(lst_JobName,MATCH($C374&amp;"",lst_Jobs,0)),""))</f>
        <v/>
      </c>
      <c r="F374" s="37" t="n"/>
      <c r="G374" s="37" t="n"/>
      <c r="H374" s="37" t="n"/>
      <c r="I374" s="37" t="n"/>
      <c r="J374" s="37" t="n"/>
      <c r="K374" s="38">
        <f>IF($C374="","",IFERROR(N(INDEX(tbl_Finance[Invoice Count],MATCH($AE374,tbl_Finance[Row ID],0))),""))</f>
        <v/>
      </c>
      <c r="L374" s="11">
        <f>IF($C374="","",IFERROR(N(INDEX(tbl_Finance[Xero Invoiced Ex GST],MATCH($AE374,tbl_Finance[Row ID],0))),""))</f>
        <v/>
      </c>
      <c r="M374" s="10">
        <f>IF($C374="","",IFERROR(INDEX(tbl_Finance[Compare],MATCH($AE374,tbl_Finance[Row ID],0))&amp;"",""))</f>
        <v/>
      </c>
      <c r="N374" s="11">
        <f>IF($C374="","",MAX(0,N(O374)-N(L374)))</f>
        <v/>
      </c>
      <c r="O374" s="39" t="n"/>
      <c r="P374" s="40">
        <f>IF($C374="","",IF((IF(F374="",", Client","")&amp;IF(G374="",", Description","")&amp;IF(H374="",", Cost Centre","")&amp;IF(I374="",", Invoice Type","")&amp;IF(J374="",", Tax Code","")&amp;IF(O374="",", Expected Revenue","")&amp;IF(COUNTIF(tbl_Finance[Job Number],$C374&amp;"")&gt;1,", Job number used twice",""))="","Complete","Fix: "&amp;MID(IF(F374="",", Client","")&amp;IF(G374="",", Description","")&amp;IF(H374="",", Cost Centre","")&amp;IF(I374="",", Invoice Type","")&amp;IF(J374="",", Tax Code","")&amp;IF(O374="",", Expected Revenue","")&amp;IF(COUNTIF(tbl_Finance[Job Number],$C374&amp;"")&gt;1,", Job number used twice",""),3,300)))</f>
        <v/>
      </c>
      <c r="Q374" s="10">
        <f>IF($C374="","",IF(H374="","(no cost centre)",H374&amp;" - GL "&amp;IFERROR(INDEX(lst_CCtoGL,MATCH(H374,lst_CCforGL,0)),"?")))</f>
        <v/>
      </c>
      <c r="R374" s="37" t="n"/>
      <c r="S374" s="10">
        <f>IF(R374="","",HYPERLINK(IF(LEFT(R374,4)="http",R374,set_QwilrBase&amp;R374),"Open quote"))</f>
        <v/>
      </c>
      <c r="T374" s="39" t="n"/>
      <c r="U374" s="39" t="n"/>
      <c r="V374" s="39" t="n"/>
      <c r="W374" s="10">
        <f>IF(C374="","",IF(N(T374)+N(U374)+N(V374)=0,"Not split",IF(ROUND(N(T374)+N(U374)+N(V374),2)=ROUND(MAX(N(L374),N(O374)),2),"OK","MISMATCH")))</f>
        <v/>
      </c>
      <c r="X374" s="39" t="n"/>
      <c r="Y374" s="39" t="n"/>
      <c r="Z374" s="39" t="n"/>
      <c r="AA374" s="11">
        <f>IF(C374="","",N(X374)+N(Y374)+N(Z374))</f>
        <v/>
      </c>
      <c r="AB374" s="11">
        <f>IF(C374="","",MAX(N(L374),N(O374))-N(AA374))</f>
        <v/>
      </c>
      <c r="AC374" s="43">
        <f>IFERROR(IF(MAX(N(L374),N(O374))=0,"",AB374/MAX(N(L374),N(O374))),"")</f>
        <v/>
      </c>
      <c r="AD374" s="37" t="n"/>
      <c r="AE374" s="10" t="inlineStr">
        <is>
          <t>CON-0370</t>
        </is>
      </c>
    </row>
    <row r="375">
      <c r="A375" s="16">
        <f>IF($C375="","",IFERROR(IF(INDEX(tbl_Finance[Latest Invoice Date],MATCH($AE375,tbl_Finance[Row ID],0))="","",INDEX(tbl_Finance[Latest Invoice Date],MATCH($AE375,tbl_Finance[Row ID],0))),""))</f>
        <v/>
      </c>
      <c r="B375" s="10">
        <f>IF($C375="","",IFERROR(INDEX(tbl_Finance[Invoice Numbers],MATCH($AE375,tbl_Finance[Row ID],0))&amp;"",""))</f>
        <v/>
      </c>
      <c r="C375" s="37" t="n"/>
      <c r="D375" s="10">
        <f>IF($C375="","",IF(COUNTIF(lst_Jobs,$C375&amp;"")&gt;0,"OK","CHECK"))</f>
        <v/>
      </c>
      <c r="E375" s="10">
        <f>IF($C375="","",IFERROR(INDEX(lst_JobName,MATCH($C375&amp;"",lst_Jobs,0)),""))</f>
        <v/>
      </c>
      <c r="F375" s="37" t="n"/>
      <c r="G375" s="37" t="n"/>
      <c r="H375" s="37" t="n"/>
      <c r="I375" s="37" t="n"/>
      <c r="J375" s="37" t="n"/>
      <c r="K375" s="38">
        <f>IF($C375="","",IFERROR(N(INDEX(tbl_Finance[Invoice Count],MATCH($AE375,tbl_Finance[Row ID],0))),""))</f>
        <v/>
      </c>
      <c r="L375" s="11">
        <f>IF($C375="","",IFERROR(N(INDEX(tbl_Finance[Xero Invoiced Ex GST],MATCH($AE375,tbl_Finance[Row ID],0))),""))</f>
        <v/>
      </c>
      <c r="M375" s="10">
        <f>IF($C375="","",IFERROR(INDEX(tbl_Finance[Compare],MATCH($AE375,tbl_Finance[Row ID],0))&amp;"",""))</f>
        <v/>
      </c>
      <c r="N375" s="11">
        <f>IF($C375="","",MAX(0,N(O375)-N(L375)))</f>
        <v/>
      </c>
      <c r="O375" s="39" t="n"/>
      <c r="P375" s="40">
        <f>IF($C375="","",IF((IF(F375="",", Client","")&amp;IF(G375="",", Description","")&amp;IF(H375="",", Cost Centre","")&amp;IF(I375="",", Invoice Type","")&amp;IF(J375="",", Tax Code","")&amp;IF(O375="",", Expected Revenue","")&amp;IF(COUNTIF(tbl_Finance[Job Number],$C375&amp;"")&gt;1,", Job number used twice",""))="","Complete","Fix: "&amp;MID(IF(F375="",", Client","")&amp;IF(G375="",", Description","")&amp;IF(H375="",", Cost Centre","")&amp;IF(I375="",", Invoice Type","")&amp;IF(J375="",", Tax Code","")&amp;IF(O375="",", Expected Revenue","")&amp;IF(COUNTIF(tbl_Finance[Job Number],$C375&amp;"")&gt;1,", Job number used twice",""),3,300)))</f>
        <v/>
      </c>
      <c r="Q375" s="10">
        <f>IF($C375="","",IF(H375="","(no cost centre)",H375&amp;" - GL "&amp;IFERROR(INDEX(lst_CCtoGL,MATCH(H375,lst_CCforGL,0)),"?")))</f>
        <v/>
      </c>
      <c r="R375" s="37" t="n"/>
      <c r="S375" s="10">
        <f>IF(R375="","",HYPERLINK(IF(LEFT(R375,4)="http",R375,set_QwilrBase&amp;R375),"Open quote"))</f>
        <v/>
      </c>
      <c r="T375" s="39" t="n"/>
      <c r="U375" s="39" t="n"/>
      <c r="V375" s="39" t="n"/>
      <c r="W375" s="10">
        <f>IF(C375="","",IF(N(T375)+N(U375)+N(V375)=0,"Not split",IF(ROUND(N(T375)+N(U375)+N(V375),2)=ROUND(MAX(N(L375),N(O375)),2),"OK","MISMATCH")))</f>
        <v/>
      </c>
      <c r="X375" s="39" t="n"/>
      <c r="Y375" s="39" t="n"/>
      <c r="Z375" s="39" t="n"/>
      <c r="AA375" s="11">
        <f>IF(C375="","",N(X375)+N(Y375)+N(Z375))</f>
        <v/>
      </c>
      <c r="AB375" s="11">
        <f>IF(C375="","",MAX(N(L375),N(O375))-N(AA375))</f>
        <v/>
      </c>
      <c r="AC375" s="43">
        <f>IFERROR(IF(MAX(N(L375),N(O375))=0,"",AB375/MAX(N(L375),N(O375))),"")</f>
        <v/>
      </c>
      <c r="AD375" s="37" t="n"/>
      <c r="AE375" s="10" t="inlineStr">
        <is>
          <t>CON-0371</t>
        </is>
      </c>
    </row>
    <row r="376">
      <c r="A376" s="16">
        <f>IF($C376="","",IFERROR(IF(INDEX(tbl_Finance[Latest Invoice Date],MATCH($AE376,tbl_Finance[Row ID],0))="","",INDEX(tbl_Finance[Latest Invoice Date],MATCH($AE376,tbl_Finance[Row ID],0))),""))</f>
        <v/>
      </c>
      <c r="B376" s="10">
        <f>IF($C376="","",IFERROR(INDEX(tbl_Finance[Invoice Numbers],MATCH($AE376,tbl_Finance[Row ID],0))&amp;"",""))</f>
        <v/>
      </c>
      <c r="C376" s="37" t="n"/>
      <c r="D376" s="10">
        <f>IF($C376="","",IF(COUNTIF(lst_Jobs,$C376&amp;"")&gt;0,"OK","CHECK"))</f>
        <v/>
      </c>
      <c r="E376" s="10">
        <f>IF($C376="","",IFERROR(INDEX(lst_JobName,MATCH($C376&amp;"",lst_Jobs,0)),""))</f>
        <v/>
      </c>
      <c r="F376" s="37" t="n"/>
      <c r="G376" s="37" t="n"/>
      <c r="H376" s="37" t="n"/>
      <c r="I376" s="37" t="n"/>
      <c r="J376" s="37" t="n"/>
      <c r="K376" s="38">
        <f>IF($C376="","",IFERROR(N(INDEX(tbl_Finance[Invoice Count],MATCH($AE376,tbl_Finance[Row ID],0))),""))</f>
        <v/>
      </c>
      <c r="L376" s="11">
        <f>IF($C376="","",IFERROR(N(INDEX(tbl_Finance[Xero Invoiced Ex GST],MATCH($AE376,tbl_Finance[Row ID],0))),""))</f>
        <v/>
      </c>
      <c r="M376" s="10">
        <f>IF($C376="","",IFERROR(INDEX(tbl_Finance[Compare],MATCH($AE376,tbl_Finance[Row ID],0))&amp;"",""))</f>
        <v/>
      </c>
      <c r="N376" s="11">
        <f>IF($C376="","",MAX(0,N(O376)-N(L376)))</f>
        <v/>
      </c>
      <c r="O376" s="39" t="n"/>
      <c r="P376" s="40">
        <f>IF($C376="","",IF((IF(F376="",", Client","")&amp;IF(G376="",", Description","")&amp;IF(H376="",", Cost Centre","")&amp;IF(I376="",", Invoice Type","")&amp;IF(J376="",", Tax Code","")&amp;IF(O376="",", Expected Revenue","")&amp;IF(COUNTIF(tbl_Finance[Job Number],$C376&amp;"")&gt;1,", Job number used twice",""))="","Complete","Fix: "&amp;MID(IF(F376="",", Client","")&amp;IF(G376="",", Description","")&amp;IF(H376="",", Cost Centre","")&amp;IF(I376="",", Invoice Type","")&amp;IF(J376="",", Tax Code","")&amp;IF(O376="",", Expected Revenue","")&amp;IF(COUNTIF(tbl_Finance[Job Number],$C376&amp;"")&gt;1,", Job number used twice",""),3,300)))</f>
        <v/>
      </c>
      <c r="Q376" s="10">
        <f>IF($C376="","",IF(H376="","(no cost centre)",H376&amp;" - GL "&amp;IFERROR(INDEX(lst_CCtoGL,MATCH(H376,lst_CCforGL,0)),"?")))</f>
        <v/>
      </c>
      <c r="R376" s="37" t="n"/>
      <c r="S376" s="10">
        <f>IF(R376="","",HYPERLINK(IF(LEFT(R376,4)="http",R376,set_QwilrBase&amp;R376),"Open quote"))</f>
        <v/>
      </c>
      <c r="T376" s="39" t="n"/>
      <c r="U376" s="39" t="n"/>
      <c r="V376" s="39" t="n"/>
      <c r="W376" s="10">
        <f>IF(C376="","",IF(N(T376)+N(U376)+N(V376)=0,"Not split",IF(ROUND(N(T376)+N(U376)+N(V376),2)=ROUND(MAX(N(L376),N(O376)),2),"OK","MISMATCH")))</f>
        <v/>
      </c>
      <c r="X376" s="39" t="n"/>
      <c r="Y376" s="39" t="n"/>
      <c r="Z376" s="39" t="n"/>
      <c r="AA376" s="11">
        <f>IF(C376="","",N(X376)+N(Y376)+N(Z376))</f>
        <v/>
      </c>
      <c r="AB376" s="11">
        <f>IF(C376="","",MAX(N(L376),N(O376))-N(AA376))</f>
        <v/>
      </c>
      <c r="AC376" s="43">
        <f>IFERROR(IF(MAX(N(L376),N(O376))=0,"",AB376/MAX(N(L376),N(O376))),"")</f>
        <v/>
      </c>
      <c r="AD376" s="37" t="n"/>
      <c r="AE376" s="10" t="inlineStr">
        <is>
          <t>CON-0372</t>
        </is>
      </c>
    </row>
    <row r="377">
      <c r="A377" s="16">
        <f>IF($C377="","",IFERROR(IF(INDEX(tbl_Finance[Latest Invoice Date],MATCH($AE377,tbl_Finance[Row ID],0))="","",INDEX(tbl_Finance[Latest Invoice Date],MATCH($AE377,tbl_Finance[Row ID],0))),""))</f>
        <v/>
      </c>
      <c r="B377" s="10">
        <f>IF($C377="","",IFERROR(INDEX(tbl_Finance[Invoice Numbers],MATCH($AE377,tbl_Finance[Row ID],0))&amp;"",""))</f>
        <v/>
      </c>
      <c r="C377" s="37" t="n"/>
      <c r="D377" s="10">
        <f>IF($C377="","",IF(COUNTIF(lst_Jobs,$C377&amp;"")&gt;0,"OK","CHECK"))</f>
        <v/>
      </c>
      <c r="E377" s="10">
        <f>IF($C377="","",IFERROR(INDEX(lst_JobName,MATCH($C377&amp;"",lst_Jobs,0)),""))</f>
        <v/>
      </c>
      <c r="F377" s="37" t="n"/>
      <c r="G377" s="37" t="n"/>
      <c r="H377" s="37" t="n"/>
      <c r="I377" s="37" t="n"/>
      <c r="J377" s="37" t="n"/>
      <c r="K377" s="38">
        <f>IF($C377="","",IFERROR(N(INDEX(tbl_Finance[Invoice Count],MATCH($AE377,tbl_Finance[Row ID],0))),""))</f>
        <v/>
      </c>
      <c r="L377" s="11">
        <f>IF($C377="","",IFERROR(N(INDEX(tbl_Finance[Xero Invoiced Ex GST],MATCH($AE377,tbl_Finance[Row ID],0))),""))</f>
        <v/>
      </c>
      <c r="M377" s="10">
        <f>IF($C377="","",IFERROR(INDEX(tbl_Finance[Compare],MATCH($AE377,tbl_Finance[Row ID],0))&amp;"",""))</f>
        <v/>
      </c>
      <c r="N377" s="11">
        <f>IF($C377="","",MAX(0,N(O377)-N(L377)))</f>
        <v/>
      </c>
      <c r="O377" s="39" t="n"/>
      <c r="P377" s="40">
        <f>IF($C377="","",IF((IF(F377="",", Client","")&amp;IF(G377="",", Description","")&amp;IF(H377="",", Cost Centre","")&amp;IF(I377="",", Invoice Type","")&amp;IF(J377="",", Tax Code","")&amp;IF(O377="",", Expected Revenue","")&amp;IF(COUNTIF(tbl_Finance[Job Number],$C377&amp;"")&gt;1,", Job number used twice",""))="","Complete","Fix: "&amp;MID(IF(F377="",", Client","")&amp;IF(G377="",", Description","")&amp;IF(H377="",", Cost Centre","")&amp;IF(I377="",", Invoice Type","")&amp;IF(J377="",", Tax Code","")&amp;IF(O377="",", Expected Revenue","")&amp;IF(COUNTIF(tbl_Finance[Job Number],$C377&amp;"")&gt;1,", Job number used twice",""),3,300)))</f>
        <v/>
      </c>
      <c r="Q377" s="10">
        <f>IF($C377="","",IF(H377="","(no cost centre)",H377&amp;" - GL "&amp;IFERROR(INDEX(lst_CCtoGL,MATCH(H377,lst_CCforGL,0)),"?")))</f>
        <v/>
      </c>
      <c r="R377" s="37" t="n"/>
      <c r="S377" s="10">
        <f>IF(R377="","",HYPERLINK(IF(LEFT(R377,4)="http",R377,set_QwilrBase&amp;R377),"Open quote"))</f>
        <v/>
      </c>
      <c r="T377" s="39" t="n"/>
      <c r="U377" s="39" t="n"/>
      <c r="V377" s="39" t="n"/>
      <c r="W377" s="10">
        <f>IF(C377="","",IF(N(T377)+N(U377)+N(V377)=0,"Not split",IF(ROUND(N(T377)+N(U377)+N(V377),2)=ROUND(MAX(N(L377),N(O377)),2),"OK","MISMATCH")))</f>
        <v/>
      </c>
      <c r="X377" s="39" t="n"/>
      <c r="Y377" s="39" t="n"/>
      <c r="Z377" s="39" t="n"/>
      <c r="AA377" s="11">
        <f>IF(C377="","",N(X377)+N(Y377)+N(Z377))</f>
        <v/>
      </c>
      <c r="AB377" s="11">
        <f>IF(C377="","",MAX(N(L377),N(O377))-N(AA377))</f>
        <v/>
      </c>
      <c r="AC377" s="43">
        <f>IFERROR(IF(MAX(N(L377),N(O377))=0,"",AB377/MAX(N(L377),N(O377))),"")</f>
        <v/>
      </c>
      <c r="AD377" s="37" t="n"/>
      <c r="AE377" s="10" t="inlineStr">
        <is>
          <t>CON-0373</t>
        </is>
      </c>
    </row>
    <row r="378">
      <c r="A378" s="16">
        <f>IF($C378="","",IFERROR(IF(INDEX(tbl_Finance[Latest Invoice Date],MATCH($AE378,tbl_Finance[Row ID],0))="","",INDEX(tbl_Finance[Latest Invoice Date],MATCH($AE378,tbl_Finance[Row ID],0))),""))</f>
        <v/>
      </c>
      <c r="B378" s="10">
        <f>IF($C378="","",IFERROR(INDEX(tbl_Finance[Invoice Numbers],MATCH($AE378,tbl_Finance[Row ID],0))&amp;"",""))</f>
        <v/>
      </c>
      <c r="C378" s="37" t="n"/>
      <c r="D378" s="10">
        <f>IF($C378="","",IF(COUNTIF(lst_Jobs,$C378&amp;"")&gt;0,"OK","CHECK"))</f>
        <v/>
      </c>
      <c r="E378" s="10">
        <f>IF($C378="","",IFERROR(INDEX(lst_JobName,MATCH($C378&amp;"",lst_Jobs,0)),""))</f>
        <v/>
      </c>
      <c r="F378" s="37" t="n"/>
      <c r="G378" s="37" t="n"/>
      <c r="H378" s="37" t="n"/>
      <c r="I378" s="37" t="n"/>
      <c r="J378" s="37" t="n"/>
      <c r="K378" s="38">
        <f>IF($C378="","",IFERROR(N(INDEX(tbl_Finance[Invoice Count],MATCH($AE378,tbl_Finance[Row ID],0))),""))</f>
        <v/>
      </c>
      <c r="L378" s="11">
        <f>IF($C378="","",IFERROR(N(INDEX(tbl_Finance[Xero Invoiced Ex GST],MATCH($AE378,tbl_Finance[Row ID],0))),""))</f>
        <v/>
      </c>
      <c r="M378" s="10">
        <f>IF($C378="","",IFERROR(INDEX(tbl_Finance[Compare],MATCH($AE378,tbl_Finance[Row ID],0))&amp;"",""))</f>
        <v/>
      </c>
      <c r="N378" s="11">
        <f>IF($C378="","",MAX(0,N(O378)-N(L378)))</f>
        <v/>
      </c>
      <c r="O378" s="39" t="n"/>
      <c r="P378" s="40">
        <f>IF($C378="","",IF((IF(F378="",", Client","")&amp;IF(G378="",", Description","")&amp;IF(H378="",", Cost Centre","")&amp;IF(I378="",", Invoice Type","")&amp;IF(J378="",", Tax Code","")&amp;IF(O378="",", Expected Revenue","")&amp;IF(COUNTIF(tbl_Finance[Job Number],$C378&amp;"")&gt;1,", Job number used twice",""))="","Complete","Fix: "&amp;MID(IF(F378="",", Client","")&amp;IF(G378="",", Description","")&amp;IF(H378="",", Cost Centre","")&amp;IF(I378="",", Invoice Type","")&amp;IF(J378="",", Tax Code","")&amp;IF(O378="",", Expected Revenue","")&amp;IF(COUNTIF(tbl_Finance[Job Number],$C378&amp;"")&gt;1,", Job number used twice",""),3,300)))</f>
        <v/>
      </c>
      <c r="Q378" s="10">
        <f>IF($C378="","",IF(H378="","(no cost centre)",H378&amp;" - GL "&amp;IFERROR(INDEX(lst_CCtoGL,MATCH(H378,lst_CCforGL,0)),"?")))</f>
        <v/>
      </c>
      <c r="R378" s="37" t="n"/>
      <c r="S378" s="10">
        <f>IF(R378="","",HYPERLINK(IF(LEFT(R378,4)="http",R378,set_QwilrBase&amp;R378),"Open quote"))</f>
        <v/>
      </c>
      <c r="T378" s="39" t="n"/>
      <c r="U378" s="39" t="n"/>
      <c r="V378" s="39" t="n"/>
      <c r="W378" s="10">
        <f>IF(C378="","",IF(N(T378)+N(U378)+N(V378)=0,"Not split",IF(ROUND(N(T378)+N(U378)+N(V378),2)=ROUND(MAX(N(L378),N(O378)),2),"OK","MISMATCH")))</f>
        <v/>
      </c>
      <c r="X378" s="39" t="n"/>
      <c r="Y378" s="39" t="n"/>
      <c r="Z378" s="39" t="n"/>
      <c r="AA378" s="11">
        <f>IF(C378="","",N(X378)+N(Y378)+N(Z378))</f>
        <v/>
      </c>
      <c r="AB378" s="11">
        <f>IF(C378="","",MAX(N(L378),N(O378))-N(AA378))</f>
        <v/>
      </c>
      <c r="AC378" s="43">
        <f>IFERROR(IF(MAX(N(L378),N(O378))=0,"",AB378/MAX(N(L378),N(O378))),"")</f>
        <v/>
      </c>
      <c r="AD378" s="37" t="n"/>
      <c r="AE378" s="10" t="inlineStr">
        <is>
          <t>CON-0374</t>
        </is>
      </c>
    </row>
    <row r="379">
      <c r="A379" s="16">
        <f>IF($C379="","",IFERROR(IF(INDEX(tbl_Finance[Latest Invoice Date],MATCH($AE379,tbl_Finance[Row ID],0))="","",INDEX(tbl_Finance[Latest Invoice Date],MATCH($AE379,tbl_Finance[Row ID],0))),""))</f>
        <v/>
      </c>
      <c r="B379" s="10">
        <f>IF($C379="","",IFERROR(INDEX(tbl_Finance[Invoice Numbers],MATCH($AE379,tbl_Finance[Row ID],0))&amp;"",""))</f>
        <v/>
      </c>
      <c r="C379" s="37" t="n"/>
      <c r="D379" s="10">
        <f>IF($C379="","",IF(COUNTIF(lst_Jobs,$C379&amp;"")&gt;0,"OK","CHECK"))</f>
        <v/>
      </c>
      <c r="E379" s="10">
        <f>IF($C379="","",IFERROR(INDEX(lst_JobName,MATCH($C379&amp;"",lst_Jobs,0)),""))</f>
        <v/>
      </c>
      <c r="F379" s="37" t="n"/>
      <c r="G379" s="37" t="n"/>
      <c r="H379" s="37" t="n"/>
      <c r="I379" s="37" t="n"/>
      <c r="J379" s="37" t="n"/>
      <c r="K379" s="38">
        <f>IF($C379="","",IFERROR(N(INDEX(tbl_Finance[Invoice Count],MATCH($AE379,tbl_Finance[Row ID],0))),""))</f>
        <v/>
      </c>
      <c r="L379" s="11">
        <f>IF($C379="","",IFERROR(N(INDEX(tbl_Finance[Xero Invoiced Ex GST],MATCH($AE379,tbl_Finance[Row ID],0))),""))</f>
        <v/>
      </c>
      <c r="M379" s="10">
        <f>IF($C379="","",IFERROR(INDEX(tbl_Finance[Compare],MATCH($AE379,tbl_Finance[Row ID],0))&amp;"",""))</f>
        <v/>
      </c>
      <c r="N379" s="11">
        <f>IF($C379="","",MAX(0,N(O379)-N(L379)))</f>
        <v/>
      </c>
      <c r="O379" s="39" t="n"/>
      <c r="P379" s="40">
        <f>IF($C379="","",IF((IF(F379="",", Client","")&amp;IF(G379="",", Description","")&amp;IF(H379="",", Cost Centre","")&amp;IF(I379="",", Invoice Type","")&amp;IF(J379="",", Tax Code","")&amp;IF(O379="",", Expected Revenue","")&amp;IF(COUNTIF(tbl_Finance[Job Number],$C379&amp;"")&gt;1,", Job number used twice",""))="","Complete","Fix: "&amp;MID(IF(F379="",", Client","")&amp;IF(G379="",", Description","")&amp;IF(H379="",", Cost Centre","")&amp;IF(I379="",", Invoice Type","")&amp;IF(J379="",", Tax Code","")&amp;IF(O379="",", Expected Revenue","")&amp;IF(COUNTIF(tbl_Finance[Job Number],$C379&amp;"")&gt;1,", Job number used twice",""),3,300)))</f>
        <v/>
      </c>
      <c r="Q379" s="10">
        <f>IF($C379="","",IF(H379="","(no cost centre)",H379&amp;" - GL "&amp;IFERROR(INDEX(lst_CCtoGL,MATCH(H379,lst_CCforGL,0)),"?")))</f>
        <v/>
      </c>
      <c r="R379" s="37" t="n"/>
      <c r="S379" s="10">
        <f>IF(R379="","",HYPERLINK(IF(LEFT(R379,4)="http",R379,set_QwilrBase&amp;R379),"Open quote"))</f>
        <v/>
      </c>
      <c r="T379" s="39" t="n"/>
      <c r="U379" s="39" t="n"/>
      <c r="V379" s="39" t="n"/>
      <c r="W379" s="10">
        <f>IF(C379="","",IF(N(T379)+N(U379)+N(V379)=0,"Not split",IF(ROUND(N(T379)+N(U379)+N(V379),2)=ROUND(MAX(N(L379),N(O379)),2),"OK","MISMATCH")))</f>
        <v/>
      </c>
      <c r="X379" s="39" t="n"/>
      <c r="Y379" s="39" t="n"/>
      <c r="Z379" s="39" t="n"/>
      <c r="AA379" s="11">
        <f>IF(C379="","",N(X379)+N(Y379)+N(Z379))</f>
        <v/>
      </c>
      <c r="AB379" s="11">
        <f>IF(C379="","",MAX(N(L379),N(O379))-N(AA379))</f>
        <v/>
      </c>
      <c r="AC379" s="43">
        <f>IFERROR(IF(MAX(N(L379),N(O379))=0,"",AB379/MAX(N(L379),N(O379))),"")</f>
        <v/>
      </c>
      <c r="AD379" s="37" t="n"/>
      <c r="AE379" s="10" t="inlineStr">
        <is>
          <t>CON-0375</t>
        </is>
      </c>
    </row>
    <row r="380">
      <c r="A380" s="16">
        <f>IF($C380="","",IFERROR(IF(INDEX(tbl_Finance[Latest Invoice Date],MATCH($AE380,tbl_Finance[Row ID],0))="","",INDEX(tbl_Finance[Latest Invoice Date],MATCH($AE380,tbl_Finance[Row ID],0))),""))</f>
        <v/>
      </c>
      <c r="B380" s="10">
        <f>IF($C380="","",IFERROR(INDEX(tbl_Finance[Invoice Numbers],MATCH($AE380,tbl_Finance[Row ID],0))&amp;"",""))</f>
        <v/>
      </c>
      <c r="C380" s="37" t="n"/>
      <c r="D380" s="10">
        <f>IF($C380="","",IF(COUNTIF(lst_Jobs,$C380&amp;"")&gt;0,"OK","CHECK"))</f>
        <v/>
      </c>
      <c r="E380" s="10">
        <f>IF($C380="","",IFERROR(INDEX(lst_JobName,MATCH($C380&amp;"",lst_Jobs,0)),""))</f>
        <v/>
      </c>
      <c r="F380" s="37" t="n"/>
      <c r="G380" s="37" t="n"/>
      <c r="H380" s="37" t="n"/>
      <c r="I380" s="37" t="n"/>
      <c r="J380" s="37" t="n"/>
      <c r="K380" s="38">
        <f>IF($C380="","",IFERROR(N(INDEX(tbl_Finance[Invoice Count],MATCH($AE380,tbl_Finance[Row ID],0))),""))</f>
        <v/>
      </c>
      <c r="L380" s="11">
        <f>IF($C380="","",IFERROR(N(INDEX(tbl_Finance[Xero Invoiced Ex GST],MATCH($AE380,tbl_Finance[Row ID],0))),""))</f>
        <v/>
      </c>
      <c r="M380" s="10">
        <f>IF($C380="","",IFERROR(INDEX(tbl_Finance[Compare],MATCH($AE380,tbl_Finance[Row ID],0))&amp;"",""))</f>
        <v/>
      </c>
      <c r="N380" s="11">
        <f>IF($C380="","",MAX(0,N(O380)-N(L380)))</f>
        <v/>
      </c>
      <c r="O380" s="39" t="n"/>
      <c r="P380" s="40">
        <f>IF($C380="","",IF((IF(F380="",", Client","")&amp;IF(G380="",", Description","")&amp;IF(H380="",", Cost Centre","")&amp;IF(I380="",", Invoice Type","")&amp;IF(J380="",", Tax Code","")&amp;IF(O380="",", Expected Revenue","")&amp;IF(COUNTIF(tbl_Finance[Job Number],$C380&amp;"")&gt;1,", Job number used twice",""))="","Complete","Fix: "&amp;MID(IF(F380="",", Client","")&amp;IF(G380="",", Description","")&amp;IF(H380="",", Cost Centre","")&amp;IF(I380="",", Invoice Type","")&amp;IF(J380="",", Tax Code","")&amp;IF(O380="",", Expected Revenue","")&amp;IF(COUNTIF(tbl_Finance[Job Number],$C380&amp;"")&gt;1,", Job number used twice",""),3,300)))</f>
        <v/>
      </c>
      <c r="Q380" s="10">
        <f>IF($C380="","",IF(H380="","(no cost centre)",H380&amp;" - GL "&amp;IFERROR(INDEX(lst_CCtoGL,MATCH(H380,lst_CCforGL,0)),"?")))</f>
        <v/>
      </c>
      <c r="R380" s="37" t="n"/>
      <c r="S380" s="10">
        <f>IF(R380="","",HYPERLINK(IF(LEFT(R380,4)="http",R380,set_QwilrBase&amp;R380),"Open quote"))</f>
        <v/>
      </c>
      <c r="T380" s="39" t="n"/>
      <c r="U380" s="39" t="n"/>
      <c r="V380" s="39" t="n"/>
      <c r="W380" s="10">
        <f>IF(C380="","",IF(N(T380)+N(U380)+N(V380)=0,"Not split",IF(ROUND(N(T380)+N(U380)+N(V380),2)=ROUND(MAX(N(L380),N(O380)),2),"OK","MISMATCH")))</f>
        <v/>
      </c>
      <c r="X380" s="39" t="n"/>
      <c r="Y380" s="39" t="n"/>
      <c r="Z380" s="39" t="n"/>
      <c r="AA380" s="11">
        <f>IF(C380="","",N(X380)+N(Y380)+N(Z380))</f>
        <v/>
      </c>
      <c r="AB380" s="11">
        <f>IF(C380="","",MAX(N(L380),N(O380))-N(AA380))</f>
        <v/>
      </c>
      <c r="AC380" s="43">
        <f>IFERROR(IF(MAX(N(L380),N(O380))=0,"",AB380/MAX(N(L380),N(O380))),"")</f>
        <v/>
      </c>
      <c r="AD380" s="37" t="n"/>
      <c r="AE380" s="10" t="inlineStr">
        <is>
          <t>CON-0376</t>
        </is>
      </c>
    </row>
    <row r="381">
      <c r="A381" s="16">
        <f>IF($C381="","",IFERROR(IF(INDEX(tbl_Finance[Latest Invoice Date],MATCH($AE381,tbl_Finance[Row ID],0))="","",INDEX(tbl_Finance[Latest Invoice Date],MATCH($AE381,tbl_Finance[Row ID],0))),""))</f>
        <v/>
      </c>
      <c r="B381" s="10">
        <f>IF($C381="","",IFERROR(INDEX(tbl_Finance[Invoice Numbers],MATCH($AE381,tbl_Finance[Row ID],0))&amp;"",""))</f>
        <v/>
      </c>
      <c r="C381" s="37" t="n"/>
      <c r="D381" s="10">
        <f>IF($C381="","",IF(COUNTIF(lst_Jobs,$C381&amp;"")&gt;0,"OK","CHECK"))</f>
        <v/>
      </c>
      <c r="E381" s="10">
        <f>IF($C381="","",IFERROR(INDEX(lst_JobName,MATCH($C381&amp;"",lst_Jobs,0)),""))</f>
        <v/>
      </c>
      <c r="F381" s="37" t="n"/>
      <c r="G381" s="37" t="n"/>
      <c r="H381" s="37" t="n"/>
      <c r="I381" s="37" t="n"/>
      <c r="J381" s="37" t="n"/>
      <c r="K381" s="38">
        <f>IF($C381="","",IFERROR(N(INDEX(tbl_Finance[Invoice Count],MATCH($AE381,tbl_Finance[Row ID],0))),""))</f>
        <v/>
      </c>
      <c r="L381" s="11">
        <f>IF($C381="","",IFERROR(N(INDEX(tbl_Finance[Xero Invoiced Ex GST],MATCH($AE381,tbl_Finance[Row ID],0))),""))</f>
        <v/>
      </c>
      <c r="M381" s="10">
        <f>IF($C381="","",IFERROR(INDEX(tbl_Finance[Compare],MATCH($AE381,tbl_Finance[Row ID],0))&amp;"",""))</f>
        <v/>
      </c>
      <c r="N381" s="11">
        <f>IF($C381="","",MAX(0,N(O381)-N(L381)))</f>
        <v/>
      </c>
      <c r="O381" s="39" t="n"/>
      <c r="P381" s="40">
        <f>IF($C381="","",IF((IF(F381="",", Client","")&amp;IF(G381="",", Description","")&amp;IF(H381="",", Cost Centre","")&amp;IF(I381="",", Invoice Type","")&amp;IF(J381="",", Tax Code","")&amp;IF(O381="",", Expected Revenue","")&amp;IF(COUNTIF(tbl_Finance[Job Number],$C381&amp;"")&gt;1,", Job number used twice",""))="","Complete","Fix: "&amp;MID(IF(F381="",", Client","")&amp;IF(G381="",", Description","")&amp;IF(H381="",", Cost Centre","")&amp;IF(I381="",", Invoice Type","")&amp;IF(J381="",", Tax Code","")&amp;IF(O381="",", Expected Revenue","")&amp;IF(COUNTIF(tbl_Finance[Job Number],$C381&amp;"")&gt;1,", Job number used twice",""),3,300)))</f>
        <v/>
      </c>
      <c r="Q381" s="10">
        <f>IF($C381="","",IF(H381="","(no cost centre)",H381&amp;" - GL "&amp;IFERROR(INDEX(lst_CCtoGL,MATCH(H381,lst_CCforGL,0)),"?")))</f>
        <v/>
      </c>
      <c r="R381" s="37" t="n"/>
      <c r="S381" s="10">
        <f>IF(R381="","",HYPERLINK(IF(LEFT(R381,4)="http",R381,set_QwilrBase&amp;R381),"Open quote"))</f>
        <v/>
      </c>
      <c r="T381" s="39" t="n"/>
      <c r="U381" s="39" t="n"/>
      <c r="V381" s="39" t="n"/>
      <c r="W381" s="10">
        <f>IF(C381="","",IF(N(T381)+N(U381)+N(V381)=0,"Not split",IF(ROUND(N(T381)+N(U381)+N(V381),2)=ROUND(MAX(N(L381),N(O381)),2),"OK","MISMATCH")))</f>
        <v/>
      </c>
      <c r="X381" s="39" t="n"/>
      <c r="Y381" s="39" t="n"/>
      <c r="Z381" s="39" t="n"/>
      <c r="AA381" s="11">
        <f>IF(C381="","",N(X381)+N(Y381)+N(Z381))</f>
        <v/>
      </c>
      <c r="AB381" s="11">
        <f>IF(C381="","",MAX(N(L381),N(O381))-N(AA381))</f>
        <v/>
      </c>
      <c r="AC381" s="43">
        <f>IFERROR(IF(MAX(N(L381),N(O381))=0,"",AB381/MAX(N(L381),N(O381))),"")</f>
        <v/>
      </c>
      <c r="AD381" s="37" t="n"/>
      <c r="AE381" s="10" t="inlineStr">
        <is>
          <t>CON-0377</t>
        </is>
      </c>
    </row>
    <row r="382">
      <c r="A382" s="16">
        <f>IF($C382="","",IFERROR(IF(INDEX(tbl_Finance[Latest Invoice Date],MATCH($AE382,tbl_Finance[Row ID],0))="","",INDEX(tbl_Finance[Latest Invoice Date],MATCH($AE382,tbl_Finance[Row ID],0))),""))</f>
        <v/>
      </c>
      <c r="B382" s="10">
        <f>IF($C382="","",IFERROR(INDEX(tbl_Finance[Invoice Numbers],MATCH($AE382,tbl_Finance[Row ID],0))&amp;"",""))</f>
        <v/>
      </c>
      <c r="C382" s="37" t="n"/>
      <c r="D382" s="10">
        <f>IF($C382="","",IF(COUNTIF(lst_Jobs,$C382&amp;"")&gt;0,"OK","CHECK"))</f>
        <v/>
      </c>
      <c r="E382" s="10">
        <f>IF($C382="","",IFERROR(INDEX(lst_JobName,MATCH($C382&amp;"",lst_Jobs,0)),""))</f>
        <v/>
      </c>
      <c r="F382" s="37" t="n"/>
      <c r="G382" s="37" t="n"/>
      <c r="H382" s="37" t="n"/>
      <c r="I382" s="37" t="n"/>
      <c r="J382" s="37" t="n"/>
      <c r="K382" s="38">
        <f>IF($C382="","",IFERROR(N(INDEX(tbl_Finance[Invoice Count],MATCH($AE382,tbl_Finance[Row ID],0))),""))</f>
        <v/>
      </c>
      <c r="L382" s="11">
        <f>IF($C382="","",IFERROR(N(INDEX(tbl_Finance[Xero Invoiced Ex GST],MATCH($AE382,tbl_Finance[Row ID],0))),""))</f>
        <v/>
      </c>
      <c r="M382" s="10">
        <f>IF($C382="","",IFERROR(INDEX(tbl_Finance[Compare],MATCH($AE382,tbl_Finance[Row ID],0))&amp;"",""))</f>
        <v/>
      </c>
      <c r="N382" s="11">
        <f>IF($C382="","",MAX(0,N(O382)-N(L382)))</f>
        <v/>
      </c>
      <c r="O382" s="39" t="n"/>
      <c r="P382" s="40">
        <f>IF($C382="","",IF((IF(F382="",", Client","")&amp;IF(G382="",", Description","")&amp;IF(H382="",", Cost Centre","")&amp;IF(I382="",", Invoice Type","")&amp;IF(J382="",", Tax Code","")&amp;IF(O382="",", Expected Revenue","")&amp;IF(COUNTIF(tbl_Finance[Job Number],$C382&amp;"")&gt;1,", Job number used twice",""))="","Complete","Fix: "&amp;MID(IF(F382="",", Client","")&amp;IF(G382="",", Description","")&amp;IF(H382="",", Cost Centre","")&amp;IF(I382="",", Invoice Type","")&amp;IF(J382="",", Tax Code","")&amp;IF(O382="",", Expected Revenue","")&amp;IF(COUNTIF(tbl_Finance[Job Number],$C382&amp;"")&gt;1,", Job number used twice",""),3,300)))</f>
        <v/>
      </c>
      <c r="Q382" s="10">
        <f>IF($C382="","",IF(H382="","(no cost centre)",H382&amp;" - GL "&amp;IFERROR(INDEX(lst_CCtoGL,MATCH(H382,lst_CCforGL,0)),"?")))</f>
        <v/>
      </c>
      <c r="R382" s="37" t="n"/>
      <c r="S382" s="10">
        <f>IF(R382="","",HYPERLINK(IF(LEFT(R382,4)="http",R382,set_QwilrBase&amp;R382),"Open quote"))</f>
        <v/>
      </c>
      <c r="T382" s="39" t="n"/>
      <c r="U382" s="39" t="n"/>
      <c r="V382" s="39" t="n"/>
      <c r="W382" s="10">
        <f>IF(C382="","",IF(N(T382)+N(U382)+N(V382)=0,"Not split",IF(ROUND(N(T382)+N(U382)+N(V382),2)=ROUND(MAX(N(L382),N(O382)),2),"OK","MISMATCH")))</f>
        <v/>
      </c>
      <c r="X382" s="39" t="n"/>
      <c r="Y382" s="39" t="n"/>
      <c r="Z382" s="39" t="n"/>
      <c r="AA382" s="11">
        <f>IF(C382="","",N(X382)+N(Y382)+N(Z382))</f>
        <v/>
      </c>
      <c r="AB382" s="11">
        <f>IF(C382="","",MAX(N(L382),N(O382))-N(AA382))</f>
        <v/>
      </c>
      <c r="AC382" s="43">
        <f>IFERROR(IF(MAX(N(L382),N(O382))=0,"",AB382/MAX(N(L382),N(O382))),"")</f>
        <v/>
      </c>
      <c r="AD382" s="37" t="n"/>
      <c r="AE382" s="10" t="inlineStr">
        <is>
          <t>CON-0378</t>
        </is>
      </c>
    </row>
    <row r="383">
      <c r="A383" s="16">
        <f>IF($C383="","",IFERROR(IF(INDEX(tbl_Finance[Latest Invoice Date],MATCH($AE383,tbl_Finance[Row ID],0))="","",INDEX(tbl_Finance[Latest Invoice Date],MATCH($AE383,tbl_Finance[Row ID],0))),""))</f>
        <v/>
      </c>
      <c r="B383" s="10">
        <f>IF($C383="","",IFERROR(INDEX(tbl_Finance[Invoice Numbers],MATCH($AE383,tbl_Finance[Row ID],0))&amp;"",""))</f>
        <v/>
      </c>
      <c r="C383" s="37" t="n"/>
      <c r="D383" s="10">
        <f>IF($C383="","",IF(COUNTIF(lst_Jobs,$C383&amp;"")&gt;0,"OK","CHECK"))</f>
        <v/>
      </c>
      <c r="E383" s="10">
        <f>IF($C383="","",IFERROR(INDEX(lst_JobName,MATCH($C383&amp;"",lst_Jobs,0)),""))</f>
        <v/>
      </c>
      <c r="F383" s="37" t="n"/>
      <c r="G383" s="37" t="n"/>
      <c r="H383" s="37" t="n"/>
      <c r="I383" s="37" t="n"/>
      <c r="J383" s="37" t="n"/>
      <c r="K383" s="38">
        <f>IF($C383="","",IFERROR(N(INDEX(tbl_Finance[Invoice Count],MATCH($AE383,tbl_Finance[Row ID],0))),""))</f>
        <v/>
      </c>
      <c r="L383" s="11">
        <f>IF($C383="","",IFERROR(N(INDEX(tbl_Finance[Xero Invoiced Ex GST],MATCH($AE383,tbl_Finance[Row ID],0))),""))</f>
        <v/>
      </c>
      <c r="M383" s="10">
        <f>IF($C383="","",IFERROR(INDEX(tbl_Finance[Compare],MATCH($AE383,tbl_Finance[Row ID],0))&amp;"",""))</f>
        <v/>
      </c>
      <c r="N383" s="11">
        <f>IF($C383="","",MAX(0,N(O383)-N(L383)))</f>
        <v/>
      </c>
      <c r="O383" s="39" t="n"/>
      <c r="P383" s="40">
        <f>IF($C383="","",IF((IF(F383="",", Client","")&amp;IF(G383="",", Description","")&amp;IF(H383="",", Cost Centre","")&amp;IF(I383="",", Invoice Type","")&amp;IF(J383="",", Tax Code","")&amp;IF(O383="",", Expected Revenue","")&amp;IF(COUNTIF(tbl_Finance[Job Number],$C383&amp;"")&gt;1,", Job number used twice",""))="","Complete","Fix: "&amp;MID(IF(F383="",", Client","")&amp;IF(G383="",", Description","")&amp;IF(H383="",", Cost Centre","")&amp;IF(I383="",", Invoice Type","")&amp;IF(J383="",", Tax Code","")&amp;IF(O383="",", Expected Revenue","")&amp;IF(COUNTIF(tbl_Finance[Job Number],$C383&amp;"")&gt;1,", Job number used twice",""),3,300)))</f>
        <v/>
      </c>
      <c r="Q383" s="10">
        <f>IF($C383="","",IF(H383="","(no cost centre)",H383&amp;" - GL "&amp;IFERROR(INDEX(lst_CCtoGL,MATCH(H383,lst_CCforGL,0)),"?")))</f>
        <v/>
      </c>
      <c r="R383" s="37" t="n"/>
      <c r="S383" s="10">
        <f>IF(R383="","",HYPERLINK(IF(LEFT(R383,4)="http",R383,set_QwilrBase&amp;R383),"Open quote"))</f>
        <v/>
      </c>
      <c r="T383" s="39" t="n"/>
      <c r="U383" s="39" t="n"/>
      <c r="V383" s="39" t="n"/>
      <c r="W383" s="10">
        <f>IF(C383="","",IF(N(T383)+N(U383)+N(V383)=0,"Not split",IF(ROUND(N(T383)+N(U383)+N(V383),2)=ROUND(MAX(N(L383),N(O383)),2),"OK","MISMATCH")))</f>
        <v/>
      </c>
      <c r="X383" s="39" t="n"/>
      <c r="Y383" s="39" t="n"/>
      <c r="Z383" s="39" t="n"/>
      <c r="AA383" s="11">
        <f>IF(C383="","",N(X383)+N(Y383)+N(Z383))</f>
        <v/>
      </c>
      <c r="AB383" s="11">
        <f>IF(C383="","",MAX(N(L383),N(O383))-N(AA383))</f>
        <v/>
      </c>
      <c r="AC383" s="43">
        <f>IFERROR(IF(MAX(N(L383),N(O383))=0,"",AB383/MAX(N(L383),N(O383))),"")</f>
        <v/>
      </c>
      <c r="AD383" s="37" t="n"/>
      <c r="AE383" s="10" t="inlineStr">
        <is>
          <t>CON-0379</t>
        </is>
      </c>
    </row>
    <row r="384">
      <c r="A384" s="16">
        <f>IF($C384="","",IFERROR(IF(INDEX(tbl_Finance[Latest Invoice Date],MATCH($AE384,tbl_Finance[Row ID],0))="","",INDEX(tbl_Finance[Latest Invoice Date],MATCH($AE384,tbl_Finance[Row ID],0))),""))</f>
        <v/>
      </c>
      <c r="B384" s="10">
        <f>IF($C384="","",IFERROR(INDEX(tbl_Finance[Invoice Numbers],MATCH($AE384,tbl_Finance[Row ID],0))&amp;"",""))</f>
        <v/>
      </c>
      <c r="C384" s="37" t="n"/>
      <c r="D384" s="10">
        <f>IF($C384="","",IF(COUNTIF(lst_Jobs,$C384&amp;"")&gt;0,"OK","CHECK"))</f>
        <v/>
      </c>
      <c r="E384" s="10">
        <f>IF($C384="","",IFERROR(INDEX(lst_JobName,MATCH($C384&amp;"",lst_Jobs,0)),""))</f>
        <v/>
      </c>
      <c r="F384" s="37" t="n"/>
      <c r="G384" s="37" t="n"/>
      <c r="H384" s="37" t="n"/>
      <c r="I384" s="37" t="n"/>
      <c r="J384" s="37" t="n"/>
      <c r="K384" s="38">
        <f>IF($C384="","",IFERROR(N(INDEX(tbl_Finance[Invoice Count],MATCH($AE384,tbl_Finance[Row ID],0))),""))</f>
        <v/>
      </c>
      <c r="L384" s="11">
        <f>IF($C384="","",IFERROR(N(INDEX(tbl_Finance[Xero Invoiced Ex GST],MATCH($AE384,tbl_Finance[Row ID],0))),""))</f>
        <v/>
      </c>
      <c r="M384" s="10">
        <f>IF($C384="","",IFERROR(INDEX(tbl_Finance[Compare],MATCH($AE384,tbl_Finance[Row ID],0))&amp;"",""))</f>
        <v/>
      </c>
      <c r="N384" s="11">
        <f>IF($C384="","",MAX(0,N(O384)-N(L384)))</f>
        <v/>
      </c>
      <c r="O384" s="39" t="n"/>
      <c r="P384" s="40">
        <f>IF($C384="","",IF((IF(F384="",", Client","")&amp;IF(G384="",", Description","")&amp;IF(H384="",", Cost Centre","")&amp;IF(I384="",", Invoice Type","")&amp;IF(J384="",", Tax Code","")&amp;IF(O384="",", Expected Revenue","")&amp;IF(COUNTIF(tbl_Finance[Job Number],$C384&amp;"")&gt;1,", Job number used twice",""))="","Complete","Fix: "&amp;MID(IF(F384="",", Client","")&amp;IF(G384="",", Description","")&amp;IF(H384="",", Cost Centre","")&amp;IF(I384="",", Invoice Type","")&amp;IF(J384="",", Tax Code","")&amp;IF(O384="",", Expected Revenue","")&amp;IF(COUNTIF(tbl_Finance[Job Number],$C384&amp;"")&gt;1,", Job number used twice",""),3,300)))</f>
        <v/>
      </c>
      <c r="Q384" s="10">
        <f>IF($C384="","",IF(H384="","(no cost centre)",H384&amp;" - GL "&amp;IFERROR(INDEX(lst_CCtoGL,MATCH(H384,lst_CCforGL,0)),"?")))</f>
        <v/>
      </c>
      <c r="R384" s="37" t="n"/>
      <c r="S384" s="10">
        <f>IF(R384="","",HYPERLINK(IF(LEFT(R384,4)="http",R384,set_QwilrBase&amp;R384),"Open quote"))</f>
        <v/>
      </c>
      <c r="T384" s="39" t="n"/>
      <c r="U384" s="39" t="n"/>
      <c r="V384" s="39" t="n"/>
      <c r="W384" s="10">
        <f>IF(C384="","",IF(N(T384)+N(U384)+N(V384)=0,"Not split",IF(ROUND(N(T384)+N(U384)+N(V384),2)=ROUND(MAX(N(L384),N(O384)),2),"OK","MISMATCH")))</f>
        <v/>
      </c>
      <c r="X384" s="39" t="n"/>
      <c r="Y384" s="39" t="n"/>
      <c r="Z384" s="39" t="n"/>
      <c r="AA384" s="11">
        <f>IF(C384="","",N(X384)+N(Y384)+N(Z384))</f>
        <v/>
      </c>
      <c r="AB384" s="11">
        <f>IF(C384="","",MAX(N(L384),N(O384))-N(AA384))</f>
        <v/>
      </c>
      <c r="AC384" s="43">
        <f>IFERROR(IF(MAX(N(L384),N(O384))=0,"",AB384/MAX(N(L384),N(O384))),"")</f>
        <v/>
      </c>
      <c r="AD384" s="37" t="n"/>
      <c r="AE384" s="10" t="inlineStr">
        <is>
          <t>CON-0380</t>
        </is>
      </c>
    </row>
    <row r="385">
      <c r="A385" s="16">
        <f>IF($C385="","",IFERROR(IF(INDEX(tbl_Finance[Latest Invoice Date],MATCH($AE385,tbl_Finance[Row ID],0))="","",INDEX(tbl_Finance[Latest Invoice Date],MATCH($AE385,tbl_Finance[Row ID],0))),""))</f>
        <v/>
      </c>
      <c r="B385" s="10">
        <f>IF($C385="","",IFERROR(INDEX(tbl_Finance[Invoice Numbers],MATCH($AE385,tbl_Finance[Row ID],0))&amp;"",""))</f>
        <v/>
      </c>
      <c r="C385" s="37" t="n"/>
      <c r="D385" s="10">
        <f>IF($C385="","",IF(COUNTIF(lst_Jobs,$C385&amp;"")&gt;0,"OK","CHECK"))</f>
        <v/>
      </c>
      <c r="E385" s="10">
        <f>IF($C385="","",IFERROR(INDEX(lst_JobName,MATCH($C385&amp;"",lst_Jobs,0)),""))</f>
        <v/>
      </c>
      <c r="F385" s="37" t="n"/>
      <c r="G385" s="37" t="n"/>
      <c r="H385" s="37" t="n"/>
      <c r="I385" s="37" t="n"/>
      <c r="J385" s="37" t="n"/>
      <c r="K385" s="38">
        <f>IF($C385="","",IFERROR(N(INDEX(tbl_Finance[Invoice Count],MATCH($AE385,tbl_Finance[Row ID],0))),""))</f>
        <v/>
      </c>
      <c r="L385" s="11">
        <f>IF($C385="","",IFERROR(N(INDEX(tbl_Finance[Xero Invoiced Ex GST],MATCH($AE385,tbl_Finance[Row ID],0))),""))</f>
        <v/>
      </c>
      <c r="M385" s="10">
        <f>IF($C385="","",IFERROR(INDEX(tbl_Finance[Compare],MATCH($AE385,tbl_Finance[Row ID],0))&amp;"",""))</f>
        <v/>
      </c>
      <c r="N385" s="11">
        <f>IF($C385="","",MAX(0,N(O385)-N(L385)))</f>
        <v/>
      </c>
      <c r="O385" s="39" t="n"/>
      <c r="P385" s="40">
        <f>IF($C385="","",IF((IF(F385="",", Client","")&amp;IF(G385="",", Description","")&amp;IF(H385="",", Cost Centre","")&amp;IF(I385="",", Invoice Type","")&amp;IF(J385="",", Tax Code","")&amp;IF(O385="",", Expected Revenue","")&amp;IF(COUNTIF(tbl_Finance[Job Number],$C385&amp;"")&gt;1,", Job number used twice",""))="","Complete","Fix: "&amp;MID(IF(F385="",", Client","")&amp;IF(G385="",", Description","")&amp;IF(H385="",", Cost Centre","")&amp;IF(I385="",", Invoice Type","")&amp;IF(J385="",", Tax Code","")&amp;IF(O385="",", Expected Revenue","")&amp;IF(COUNTIF(tbl_Finance[Job Number],$C385&amp;"")&gt;1,", Job number used twice",""),3,300)))</f>
        <v/>
      </c>
      <c r="Q385" s="10">
        <f>IF($C385="","",IF(H385="","(no cost centre)",H385&amp;" - GL "&amp;IFERROR(INDEX(lst_CCtoGL,MATCH(H385,lst_CCforGL,0)),"?")))</f>
        <v/>
      </c>
      <c r="R385" s="37" t="n"/>
      <c r="S385" s="10">
        <f>IF(R385="","",HYPERLINK(IF(LEFT(R385,4)="http",R385,set_QwilrBase&amp;R385),"Open quote"))</f>
        <v/>
      </c>
      <c r="T385" s="39" t="n"/>
      <c r="U385" s="39" t="n"/>
      <c r="V385" s="39" t="n"/>
      <c r="W385" s="10">
        <f>IF(C385="","",IF(N(T385)+N(U385)+N(V385)=0,"Not split",IF(ROUND(N(T385)+N(U385)+N(V385),2)=ROUND(MAX(N(L385),N(O385)),2),"OK","MISMATCH")))</f>
        <v/>
      </c>
      <c r="X385" s="39" t="n"/>
      <c r="Y385" s="39" t="n"/>
      <c r="Z385" s="39" t="n"/>
      <c r="AA385" s="11">
        <f>IF(C385="","",N(X385)+N(Y385)+N(Z385))</f>
        <v/>
      </c>
      <c r="AB385" s="11">
        <f>IF(C385="","",MAX(N(L385),N(O385))-N(AA385))</f>
        <v/>
      </c>
      <c r="AC385" s="43">
        <f>IFERROR(IF(MAX(N(L385),N(O385))=0,"",AB385/MAX(N(L385),N(O385))),"")</f>
        <v/>
      </c>
      <c r="AD385" s="37" t="n"/>
      <c r="AE385" s="10" t="inlineStr">
        <is>
          <t>CON-0381</t>
        </is>
      </c>
    </row>
    <row r="386">
      <c r="A386" s="16">
        <f>IF($C386="","",IFERROR(IF(INDEX(tbl_Finance[Latest Invoice Date],MATCH($AE386,tbl_Finance[Row ID],0))="","",INDEX(tbl_Finance[Latest Invoice Date],MATCH($AE386,tbl_Finance[Row ID],0))),""))</f>
        <v/>
      </c>
      <c r="B386" s="10">
        <f>IF($C386="","",IFERROR(INDEX(tbl_Finance[Invoice Numbers],MATCH($AE386,tbl_Finance[Row ID],0))&amp;"",""))</f>
        <v/>
      </c>
      <c r="C386" s="37" t="n"/>
      <c r="D386" s="10">
        <f>IF($C386="","",IF(COUNTIF(lst_Jobs,$C386&amp;"")&gt;0,"OK","CHECK"))</f>
        <v/>
      </c>
      <c r="E386" s="10">
        <f>IF($C386="","",IFERROR(INDEX(lst_JobName,MATCH($C386&amp;"",lst_Jobs,0)),""))</f>
        <v/>
      </c>
      <c r="F386" s="37" t="n"/>
      <c r="G386" s="37" t="n"/>
      <c r="H386" s="37" t="n"/>
      <c r="I386" s="37" t="n"/>
      <c r="J386" s="37" t="n"/>
      <c r="K386" s="38">
        <f>IF($C386="","",IFERROR(N(INDEX(tbl_Finance[Invoice Count],MATCH($AE386,tbl_Finance[Row ID],0))),""))</f>
        <v/>
      </c>
      <c r="L386" s="11">
        <f>IF($C386="","",IFERROR(N(INDEX(tbl_Finance[Xero Invoiced Ex GST],MATCH($AE386,tbl_Finance[Row ID],0))),""))</f>
        <v/>
      </c>
      <c r="M386" s="10">
        <f>IF($C386="","",IFERROR(INDEX(tbl_Finance[Compare],MATCH($AE386,tbl_Finance[Row ID],0))&amp;"",""))</f>
        <v/>
      </c>
      <c r="N386" s="11">
        <f>IF($C386="","",MAX(0,N(O386)-N(L386)))</f>
        <v/>
      </c>
      <c r="O386" s="39" t="n"/>
      <c r="P386" s="40">
        <f>IF($C386="","",IF((IF(F386="",", Client","")&amp;IF(G386="",", Description","")&amp;IF(H386="",", Cost Centre","")&amp;IF(I386="",", Invoice Type","")&amp;IF(J386="",", Tax Code","")&amp;IF(O386="",", Expected Revenue","")&amp;IF(COUNTIF(tbl_Finance[Job Number],$C386&amp;"")&gt;1,", Job number used twice",""))="","Complete","Fix: "&amp;MID(IF(F386="",", Client","")&amp;IF(G386="",", Description","")&amp;IF(H386="",", Cost Centre","")&amp;IF(I386="",", Invoice Type","")&amp;IF(J386="",", Tax Code","")&amp;IF(O386="",", Expected Revenue","")&amp;IF(COUNTIF(tbl_Finance[Job Number],$C386&amp;"")&gt;1,", Job number used twice",""),3,300)))</f>
        <v/>
      </c>
      <c r="Q386" s="10">
        <f>IF($C386="","",IF(H386="","(no cost centre)",H386&amp;" - GL "&amp;IFERROR(INDEX(lst_CCtoGL,MATCH(H386,lst_CCforGL,0)),"?")))</f>
        <v/>
      </c>
      <c r="R386" s="37" t="n"/>
      <c r="S386" s="10">
        <f>IF(R386="","",HYPERLINK(IF(LEFT(R386,4)="http",R386,set_QwilrBase&amp;R386),"Open quote"))</f>
        <v/>
      </c>
      <c r="T386" s="39" t="n"/>
      <c r="U386" s="39" t="n"/>
      <c r="V386" s="39" t="n"/>
      <c r="W386" s="10">
        <f>IF(C386="","",IF(N(T386)+N(U386)+N(V386)=0,"Not split",IF(ROUND(N(T386)+N(U386)+N(V386),2)=ROUND(MAX(N(L386),N(O386)),2),"OK","MISMATCH")))</f>
        <v/>
      </c>
      <c r="X386" s="39" t="n"/>
      <c r="Y386" s="39" t="n"/>
      <c r="Z386" s="39" t="n"/>
      <c r="AA386" s="11">
        <f>IF(C386="","",N(X386)+N(Y386)+N(Z386))</f>
        <v/>
      </c>
      <c r="AB386" s="11">
        <f>IF(C386="","",MAX(N(L386),N(O386))-N(AA386))</f>
        <v/>
      </c>
      <c r="AC386" s="43">
        <f>IFERROR(IF(MAX(N(L386),N(O386))=0,"",AB386/MAX(N(L386),N(O386))),"")</f>
        <v/>
      </c>
      <c r="AD386" s="37" t="n"/>
      <c r="AE386" s="10" t="inlineStr">
        <is>
          <t>CON-0382</t>
        </is>
      </c>
    </row>
    <row r="387">
      <c r="A387" s="16">
        <f>IF($C387="","",IFERROR(IF(INDEX(tbl_Finance[Latest Invoice Date],MATCH($AE387,tbl_Finance[Row ID],0))="","",INDEX(tbl_Finance[Latest Invoice Date],MATCH($AE387,tbl_Finance[Row ID],0))),""))</f>
        <v/>
      </c>
      <c r="B387" s="10">
        <f>IF($C387="","",IFERROR(INDEX(tbl_Finance[Invoice Numbers],MATCH($AE387,tbl_Finance[Row ID],0))&amp;"",""))</f>
        <v/>
      </c>
      <c r="C387" s="37" t="n"/>
      <c r="D387" s="10">
        <f>IF($C387="","",IF(COUNTIF(lst_Jobs,$C387&amp;"")&gt;0,"OK","CHECK"))</f>
        <v/>
      </c>
      <c r="E387" s="10">
        <f>IF($C387="","",IFERROR(INDEX(lst_JobName,MATCH($C387&amp;"",lst_Jobs,0)),""))</f>
        <v/>
      </c>
      <c r="F387" s="37" t="n"/>
      <c r="G387" s="37" t="n"/>
      <c r="H387" s="37" t="n"/>
      <c r="I387" s="37" t="n"/>
      <c r="J387" s="37" t="n"/>
      <c r="K387" s="38">
        <f>IF($C387="","",IFERROR(N(INDEX(tbl_Finance[Invoice Count],MATCH($AE387,tbl_Finance[Row ID],0))),""))</f>
        <v/>
      </c>
      <c r="L387" s="11">
        <f>IF($C387="","",IFERROR(N(INDEX(tbl_Finance[Xero Invoiced Ex GST],MATCH($AE387,tbl_Finance[Row ID],0))),""))</f>
        <v/>
      </c>
      <c r="M387" s="10">
        <f>IF($C387="","",IFERROR(INDEX(tbl_Finance[Compare],MATCH($AE387,tbl_Finance[Row ID],0))&amp;"",""))</f>
        <v/>
      </c>
      <c r="N387" s="11">
        <f>IF($C387="","",MAX(0,N(O387)-N(L387)))</f>
        <v/>
      </c>
      <c r="O387" s="39" t="n"/>
      <c r="P387" s="40">
        <f>IF($C387="","",IF((IF(F387="",", Client","")&amp;IF(G387="",", Description","")&amp;IF(H387="",", Cost Centre","")&amp;IF(I387="",", Invoice Type","")&amp;IF(J387="",", Tax Code","")&amp;IF(O387="",", Expected Revenue","")&amp;IF(COUNTIF(tbl_Finance[Job Number],$C387&amp;"")&gt;1,", Job number used twice",""))="","Complete","Fix: "&amp;MID(IF(F387="",", Client","")&amp;IF(G387="",", Description","")&amp;IF(H387="",", Cost Centre","")&amp;IF(I387="",", Invoice Type","")&amp;IF(J387="",", Tax Code","")&amp;IF(O387="",", Expected Revenue","")&amp;IF(COUNTIF(tbl_Finance[Job Number],$C387&amp;"")&gt;1,", Job number used twice",""),3,300)))</f>
        <v/>
      </c>
      <c r="Q387" s="10">
        <f>IF($C387="","",IF(H387="","(no cost centre)",H387&amp;" - GL "&amp;IFERROR(INDEX(lst_CCtoGL,MATCH(H387,lst_CCforGL,0)),"?")))</f>
        <v/>
      </c>
      <c r="R387" s="37" t="n"/>
      <c r="S387" s="10">
        <f>IF(R387="","",HYPERLINK(IF(LEFT(R387,4)="http",R387,set_QwilrBase&amp;R387),"Open quote"))</f>
        <v/>
      </c>
      <c r="T387" s="39" t="n"/>
      <c r="U387" s="39" t="n"/>
      <c r="V387" s="39" t="n"/>
      <c r="W387" s="10">
        <f>IF(C387="","",IF(N(T387)+N(U387)+N(V387)=0,"Not split",IF(ROUND(N(T387)+N(U387)+N(V387),2)=ROUND(MAX(N(L387),N(O387)),2),"OK","MISMATCH")))</f>
        <v/>
      </c>
      <c r="X387" s="39" t="n"/>
      <c r="Y387" s="39" t="n"/>
      <c r="Z387" s="39" t="n"/>
      <c r="AA387" s="11">
        <f>IF(C387="","",N(X387)+N(Y387)+N(Z387))</f>
        <v/>
      </c>
      <c r="AB387" s="11">
        <f>IF(C387="","",MAX(N(L387),N(O387))-N(AA387))</f>
        <v/>
      </c>
      <c r="AC387" s="43">
        <f>IFERROR(IF(MAX(N(L387),N(O387))=0,"",AB387/MAX(N(L387),N(O387))),"")</f>
        <v/>
      </c>
      <c r="AD387" s="37" t="n"/>
      <c r="AE387" s="10" t="inlineStr">
        <is>
          <t>CON-0383</t>
        </is>
      </c>
    </row>
    <row r="388">
      <c r="A388" s="16">
        <f>IF($C388="","",IFERROR(IF(INDEX(tbl_Finance[Latest Invoice Date],MATCH($AE388,tbl_Finance[Row ID],0))="","",INDEX(tbl_Finance[Latest Invoice Date],MATCH($AE388,tbl_Finance[Row ID],0))),""))</f>
        <v/>
      </c>
      <c r="B388" s="10">
        <f>IF($C388="","",IFERROR(INDEX(tbl_Finance[Invoice Numbers],MATCH($AE388,tbl_Finance[Row ID],0))&amp;"",""))</f>
        <v/>
      </c>
      <c r="C388" s="37" t="n"/>
      <c r="D388" s="10">
        <f>IF($C388="","",IF(COUNTIF(lst_Jobs,$C388&amp;"")&gt;0,"OK","CHECK"))</f>
        <v/>
      </c>
      <c r="E388" s="10">
        <f>IF($C388="","",IFERROR(INDEX(lst_JobName,MATCH($C388&amp;"",lst_Jobs,0)),""))</f>
        <v/>
      </c>
      <c r="F388" s="37" t="n"/>
      <c r="G388" s="37" t="n"/>
      <c r="H388" s="37" t="n"/>
      <c r="I388" s="37" t="n"/>
      <c r="J388" s="37" t="n"/>
      <c r="K388" s="38">
        <f>IF($C388="","",IFERROR(N(INDEX(tbl_Finance[Invoice Count],MATCH($AE388,tbl_Finance[Row ID],0))),""))</f>
        <v/>
      </c>
      <c r="L388" s="11">
        <f>IF($C388="","",IFERROR(N(INDEX(tbl_Finance[Xero Invoiced Ex GST],MATCH($AE388,tbl_Finance[Row ID],0))),""))</f>
        <v/>
      </c>
      <c r="M388" s="10">
        <f>IF($C388="","",IFERROR(INDEX(tbl_Finance[Compare],MATCH($AE388,tbl_Finance[Row ID],0))&amp;"",""))</f>
        <v/>
      </c>
      <c r="N388" s="11">
        <f>IF($C388="","",MAX(0,N(O388)-N(L388)))</f>
        <v/>
      </c>
      <c r="O388" s="39" t="n"/>
      <c r="P388" s="40">
        <f>IF($C388="","",IF((IF(F388="",", Client","")&amp;IF(G388="",", Description","")&amp;IF(H388="",", Cost Centre","")&amp;IF(I388="",", Invoice Type","")&amp;IF(J388="",", Tax Code","")&amp;IF(O388="",", Expected Revenue","")&amp;IF(COUNTIF(tbl_Finance[Job Number],$C388&amp;"")&gt;1,", Job number used twice",""))="","Complete","Fix: "&amp;MID(IF(F388="",", Client","")&amp;IF(G388="",", Description","")&amp;IF(H388="",", Cost Centre","")&amp;IF(I388="",", Invoice Type","")&amp;IF(J388="",", Tax Code","")&amp;IF(O388="",", Expected Revenue","")&amp;IF(COUNTIF(tbl_Finance[Job Number],$C388&amp;"")&gt;1,", Job number used twice",""),3,300)))</f>
        <v/>
      </c>
      <c r="Q388" s="10">
        <f>IF($C388="","",IF(H388="","(no cost centre)",H388&amp;" - GL "&amp;IFERROR(INDEX(lst_CCtoGL,MATCH(H388,lst_CCforGL,0)),"?")))</f>
        <v/>
      </c>
      <c r="R388" s="37" t="n"/>
      <c r="S388" s="10">
        <f>IF(R388="","",HYPERLINK(IF(LEFT(R388,4)="http",R388,set_QwilrBase&amp;R388),"Open quote"))</f>
        <v/>
      </c>
      <c r="T388" s="39" t="n"/>
      <c r="U388" s="39" t="n"/>
      <c r="V388" s="39" t="n"/>
      <c r="W388" s="10">
        <f>IF(C388="","",IF(N(T388)+N(U388)+N(V388)=0,"Not split",IF(ROUND(N(T388)+N(U388)+N(V388),2)=ROUND(MAX(N(L388),N(O388)),2),"OK","MISMATCH")))</f>
        <v/>
      </c>
      <c r="X388" s="39" t="n"/>
      <c r="Y388" s="39" t="n"/>
      <c r="Z388" s="39" t="n"/>
      <c r="AA388" s="11">
        <f>IF(C388="","",N(X388)+N(Y388)+N(Z388))</f>
        <v/>
      </c>
      <c r="AB388" s="11">
        <f>IF(C388="","",MAX(N(L388),N(O388))-N(AA388))</f>
        <v/>
      </c>
      <c r="AC388" s="43">
        <f>IFERROR(IF(MAX(N(L388),N(O388))=0,"",AB388/MAX(N(L388),N(O388))),"")</f>
        <v/>
      </c>
      <c r="AD388" s="37" t="n"/>
      <c r="AE388" s="10" t="inlineStr">
        <is>
          <t>CON-0384</t>
        </is>
      </c>
    </row>
    <row r="389">
      <c r="A389" s="16">
        <f>IF($C389="","",IFERROR(IF(INDEX(tbl_Finance[Latest Invoice Date],MATCH($AE389,tbl_Finance[Row ID],0))="","",INDEX(tbl_Finance[Latest Invoice Date],MATCH($AE389,tbl_Finance[Row ID],0))),""))</f>
        <v/>
      </c>
      <c r="B389" s="10">
        <f>IF($C389="","",IFERROR(INDEX(tbl_Finance[Invoice Numbers],MATCH($AE389,tbl_Finance[Row ID],0))&amp;"",""))</f>
        <v/>
      </c>
      <c r="C389" s="37" t="n"/>
      <c r="D389" s="10">
        <f>IF($C389="","",IF(COUNTIF(lst_Jobs,$C389&amp;"")&gt;0,"OK","CHECK"))</f>
        <v/>
      </c>
      <c r="E389" s="10">
        <f>IF($C389="","",IFERROR(INDEX(lst_JobName,MATCH($C389&amp;"",lst_Jobs,0)),""))</f>
        <v/>
      </c>
      <c r="F389" s="37" t="n"/>
      <c r="G389" s="37" t="n"/>
      <c r="H389" s="37" t="n"/>
      <c r="I389" s="37" t="n"/>
      <c r="J389" s="37" t="n"/>
      <c r="K389" s="38">
        <f>IF($C389="","",IFERROR(N(INDEX(tbl_Finance[Invoice Count],MATCH($AE389,tbl_Finance[Row ID],0))),""))</f>
        <v/>
      </c>
      <c r="L389" s="11">
        <f>IF($C389="","",IFERROR(N(INDEX(tbl_Finance[Xero Invoiced Ex GST],MATCH($AE389,tbl_Finance[Row ID],0))),""))</f>
        <v/>
      </c>
      <c r="M389" s="10">
        <f>IF($C389="","",IFERROR(INDEX(tbl_Finance[Compare],MATCH($AE389,tbl_Finance[Row ID],0))&amp;"",""))</f>
        <v/>
      </c>
      <c r="N389" s="11">
        <f>IF($C389="","",MAX(0,N(O389)-N(L389)))</f>
        <v/>
      </c>
      <c r="O389" s="39" t="n"/>
      <c r="P389" s="40">
        <f>IF($C389="","",IF((IF(F389="",", Client","")&amp;IF(G389="",", Description","")&amp;IF(H389="",", Cost Centre","")&amp;IF(I389="",", Invoice Type","")&amp;IF(J389="",", Tax Code","")&amp;IF(O389="",", Expected Revenue","")&amp;IF(COUNTIF(tbl_Finance[Job Number],$C389&amp;"")&gt;1,", Job number used twice",""))="","Complete","Fix: "&amp;MID(IF(F389="",", Client","")&amp;IF(G389="",", Description","")&amp;IF(H389="",", Cost Centre","")&amp;IF(I389="",", Invoice Type","")&amp;IF(J389="",", Tax Code","")&amp;IF(O389="",", Expected Revenue","")&amp;IF(COUNTIF(tbl_Finance[Job Number],$C389&amp;"")&gt;1,", Job number used twice",""),3,300)))</f>
        <v/>
      </c>
      <c r="Q389" s="10">
        <f>IF($C389="","",IF(H389="","(no cost centre)",H389&amp;" - GL "&amp;IFERROR(INDEX(lst_CCtoGL,MATCH(H389,lst_CCforGL,0)),"?")))</f>
        <v/>
      </c>
      <c r="R389" s="37" t="n"/>
      <c r="S389" s="10">
        <f>IF(R389="","",HYPERLINK(IF(LEFT(R389,4)="http",R389,set_QwilrBase&amp;R389),"Open quote"))</f>
        <v/>
      </c>
      <c r="T389" s="39" t="n"/>
      <c r="U389" s="39" t="n"/>
      <c r="V389" s="39" t="n"/>
      <c r="W389" s="10">
        <f>IF(C389="","",IF(N(T389)+N(U389)+N(V389)=0,"Not split",IF(ROUND(N(T389)+N(U389)+N(V389),2)=ROUND(MAX(N(L389),N(O389)),2),"OK","MISMATCH")))</f>
        <v/>
      </c>
      <c r="X389" s="39" t="n"/>
      <c r="Y389" s="39" t="n"/>
      <c r="Z389" s="39" t="n"/>
      <c r="AA389" s="11">
        <f>IF(C389="","",N(X389)+N(Y389)+N(Z389))</f>
        <v/>
      </c>
      <c r="AB389" s="11">
        <f>IF(C389="","",MAX(N(L389),N(O389))-N(AA389))</f>
        <v/>
      </c>
      <c r="AC389" s="43">
        <f>IFERROR(IF(MAX(N(L389),N(O389))=0,"",AB389/MAX(N(L389),N(O389))),"")</f>
        <v/>
      </c>
      <c r="AD389" s="37" t="n"/>
      <c r="AE389" s="10" t="inlineStr">
        <is>
          <t>CON-0385</t>
        </is>
      </c>
    </row>
    <row r="390">
      <c r="A390" s="16">
        <f>IF($C390="","",IFERROR(IF(INDEX(tbl_Finance[Latest Invoice Date],MATCH($AE390,tbl_Finance[Row ID],0))="","",INDEX(tbl_Finance[Latest Invoice Date],MATCH($AE390,tbl_Finance[Row ID],0))),""))</f>
        <v/>
      </c>
      <c r="B390" s="10">
        <f>IF($C390="","",IFERROR(INDEX(tbl_Finance[Invoice Numbers],MATCH($AE390,tbl_Finance[Row ID],0))&amp;"",""))</f>
        <v/>
      </c>
      <c r="C390" s="37" t="n"/>
      <c r="D390" s="10">
        <f>IF($C390="","",IF(COUNTIF(lst_Jobs,$C390&amp;"")&gt;0,"OK","CHECK"))</f>
        <v/>
      </c>
      <c r="E390" s="10">
        <f>IF($C390="","",IFERROR(INDEX(lst_JobName,MATCH($C390&amp;"",lst_Jobs,0)),""))</f>
        <v/>
      </c>
      <c r="F390" s="37" t="n"/>
      <c r="G390" s="37" t="n"/>
      <c r="H390" s="37" t="n"/>
      <c r="I390" s="37" t="n"/>
      <c r="J390" s="37" t="n"/>
      <c r="K390" s="38">
        <f>IF($C390="","",IFERROR(N(INDEX(tbl_Finance[Invoice Count],MATCH($AE390,tbl_Finance[Row ID],0))),""))</f>
        <v/>
      </c>
      <c r="L390" s="11">
        <f>IF($C390="","",IFERROR(N(INDEX(tbl_Finance[Xero Invoiced Ex GST],MATCH($AE390,tbl_Finance[Row ID],0))),""))</f>
        <v/>
      </c>
      <c r="M390" s="10">
        <f>IF($C390="","",IFERROR(INDEX(tbl_Finance[Compare],MATCH($AE390,tbl_Finance[Row ID],0))&amp;"",""))</f>
        <v/>
      </c>
      <c r="N390" s="11">
        <f>IF($C390="","",MAX(0,N(O390)-N(L390)))</f>
        <v/>
      </c>
      <c r="O390" s="39" t="n"/>
      <c r="P390" s="40">
        <f>IF($C390="","",IF((IF(F390="",", Client","")&amp;IF(G390="",", Description","")&amp;IF(H390="",", Cost Centre","")&amp;IF(I390="",", Invoice Type","")&amp;IF(J390="",", Tax Code","")&amp;IF(O390="",", Expected Revenue","")&amp;IF(COUNTIF(tbl_Finance[Job Number],$C390&amp;"")&gt;1,", Job number used twice",""))="","Complete","Fix: "&amp;MID(IF(F390="",", Client","")&amp;IF(G390="",", Description","")&amp;IF(H390="",", Cost Centre","")&amp;IF(I390="",", Invoice Type","")&amp;IF(J390="",", Tax Code","")&amp;IF(O390="",", Expected Revenue","")&amp;IF(COUNTIF(tbl_Finance[Job Number],$C390&amp;"")&gt;1,", Job number used twice",""),3,300)))</f>
        <v/>
      </c>
      <c r="Q390" s="10">
        <f>IF($C390="","",IF(H390="","(no cost centre)",H390&amp;" - GL "&amp;IFERROR(INDEX(lst_CCtoGL,MATCH(H390,lst_CCforGL,0)),"?")))</f>
        <v/>
      </c>
      <c r="R390" s="37" t="n"/>
      <c r="S390" s="10">
        <f>IF(R390="","",HYPERLINK(IF(LEFT(R390,4)="http",R390,set_QwilrBase&amp;R390),"Open quote"))</f>
        <v/>
      </c>
      <c r="T390" s="39" t="n"/>
      <c r="U390" s="39" t="n"/>
      <c r="V390" s="39" t="n"/>
      <c r="W390" s="10">
        <f>IF(C390="","",IF(N(T390)+N(U390)+N(V390)=0,"Not split",IF(ROUND(N(T390)+N(U390)+N(V390),2)=ROUND(MAX(N(L390),N(O390)),2),"OK","MISMATCH")))</f>
        <v/>
      </c>
      <c r="X390" s="39" t="n"/>
      <c r="Y390" s="39" t="n"/>
      <c r="Z390" s="39" t="n"/>
      <c r="AA390" s="11">
        <f>IF(C390="","",N(X390)+N(Y390)+N(Z390))</f>
        <v/>
      </c>
      <c r="AB390" s="11">
        <f>IF(C390="","",MAX(N(L390),N(O390))-N(AA390))</f>
        <v/>
      </c>
      <c r="AC390" s="43">
        <f>IFERROR(IF(MAX(N(L390),N(O390))=0,"",AB390/MAX(N(L390),N(O390))),"")</f>
        <v/>
      </c>
      <c r="AD390" s="37" t="n"/>
      <c r="AE390" s="10" t="inlineStr">
        <is>
          <t>CON-0386</t>
        </is>
      </c>
    </row>
    <row r="391">
      <c r="A391" s="16">
        <f>IF($C391="","",IFERROR(IF(INDEX(tbl_Finance[Latest Invoice Date],MATCH($AE391,tbl_Finance[Row ID],0))="","",INDEX(tbl_Finance[Latest Invoice Date],MATCH($AE391,tbl_Finance[Row ID],0))),""))</f>
        <v/>
      </c>
      <c r="B391" s="10">
        <f>IF($C391="","",IFERROR(INDEX(tbl_Finance[Invoice Numbers],MATCH($AE391,tbl_Finance[Row ID],0))&amp;"",""))</f>
        <v/>
      </c>
      <c r="C391" s="37" t="n"/>
      <c r="D391" s="10">
        <f>IF($C391="","",IF(COUNTIF(lst_Jobs,$C391&amp;"")&gt;0,"OK","CHECK"))</f>
        <v/>
      </c>
      <c r="E391" s="10">
        <f>IF($C391="","",IFERROR(INDEX(lst_JobName,MATCH($C391&amp;"",lst_Jobs,0)),""))</f>
        <v/>
      </c>
      <c r="F391" s="37" t="n"/>
      <c r="G391" s="37" t="n"/>
      <c r="H391" s="37" t="n"/>
      <c r="I391" s="37" t="n"/>
      <c r="J391" s="37" t="n"/>
      <c r="K391" s="38">
        <f>IF($C391="","",IFERROR(N(INDEX(tbl_Finance[Invoice Count],MATCH($AE391,tbl_Finance[Row ID],0))),""))</f>
        <v/>
      </c>
      <c r="L391" s="11">
        <f>IF($C391="","",IFERROR(N(INDEX(tbl_Finance[Xero Invoiced Ex GST],MATCH($AE391,tbl_Finance[Row ID],0))),""))</f>
        <v/>
      </c>
      <c r="M391" s="10">
        <f>IF($C391="","",IFERROR(INDEX(tbl_Finance[Compare],MATCH($AE391,tbl_Finance[Row ID],0))&amp;"",""))</f>
        <v/>
      </c>
      <c r="N391" s="11">
        <f>IF($C391="","",MAX(0,N(O391)-N(L391)))</f>
        <v/>
      </c>
      <c r="O391" s="39" t="n"/>
      <c r="P391" s="40">
        <f>IF($C391="","",IF((IF(F391="",", Client","")&amp;IF(G391="",", Description","")&amp;IF(H391="",", Cost Centre","")&amp;IF(I391="",", Invoice Type","")&amp;IF(J391="",", Tax Code","")&amp;IF(O391="",", Expected Revenue","")&amp;IF(COUNTIF(tbl_Finance[Job Number],$C391&amp;"")&gt;1,", Job number used twice",""))="","Complete","Fix: "&amp;MID(IF(F391="",", Client","")&amp;IF(G391="",", Description","")&amp;IF(H391="",", Cost Centre","")&amp;IF(I391="",", Invoice Type","")&amp;IF(J391="",", Tax Code","")&amp;IF(O391="",", Expected Revenue","")&amp;IF(COUNTIF(tbl_Finance[Job Number],$C391&amp;"")&gt;1,", Job number used twice",""),3,300)))</f>
        <v/>
      </c>
      <c r="Q391" s="10">
        <f>IF($C391="","",IF(H391="","(no cost centre)",H391&amp;" - GL "&amp;IFERROR(INDEX(lst_CCtoGL,MATCH(H391,lst_CCforGL,0)),"?")))</f>
        <v/>
      </c>
      <c r="R391" s="37" t="n"/>
      <c r="S391" s="10">
        <f>IF(R391="","",HYPERLINK(IF(LEFT(R391,4)="http",R391,set_QwilrBase&amp;R391),"Open quote"))</f>
        <v/>
      </c>
      <c r="T391" s="39" t="n"/>
      <c r="U391" s="39" t="n"/>
      <c r="V391" s="39" t="n"/>
      <c r="W391" s="10">
        <f>IF(C391="","",IF(N(T391)+N(U391)+N(V391)=0,"Not split",IF(ROUND(N(T391)+N(U391)+N(V391),2)=ROUND(MAX(N(L391),N(O391)),2),"OK","MISMATCH")))</f>
        <v/>
      </c>
      <c r="X391" s="39" t="n"/>
      <c r="Y391" s="39" t="n"/>
      <c r="Z391" s="39" t="n"/>
      <c r="AA391" s="11">
        <f>IF(C391="","",N(X391)+N(Y391)+N(Z391))</f>
        <v/>
      </c>
      <c r="AB391" s="11">
        <f>IF(C391="","",MAX(N(L391),N(O391))-N(AA391))</f>
        <v/>
      </c>
      <c r="AC391" s="43">
        <f>IFERROR(IF(MAX(N(L391),N(O391))=0,"",AB391/MAX(N(L391),N(O391))),"")</f>
        <v/>
      </c>
      <c r="AD391" s="37" t="n"/>
      <c r="AE391" s="10" t="inlineStr">
        <is>
          <t>CON-0387</t>
        </is>
      </c>
    </row>
    <row r="392">
      <c r="A392" s="16">
        <f>IF($C392="","",IFERROR(IF(INDEX(tbl_Finance[Latest Invoice Date],MATCH($AE392,tbl_Finance[Row ID],0))="","",INDEX(tbl_Finance[Latest Invoice Date],MATCH($AE392,tbl_Finance[Row ID],0))),""))</f>
        <v/>
      </c>
      <c r="B392" s="10">
        <f>IF($C392="","",IFERROR(INDEX(tbl_Finance[Invoice Numbers],MATCH($AE392,tbl_Finance[Row ID],0))&amp;"",""))</f>
        <v/>
      </c>
      <c r="C392" s="37" t="n"/>
      <c r="D392" s="10">
        <f>IF($C392="","",IF(COUNTIF(lst_Jobs,$C392&amp;"")&gt;0,"OK","CHECK"))</f>
        <v/>
      </c>
      <c r="E392" s="10">
        <f>IF($C392="","",IFERROR(INDEX(lst_JobName,MATCH($C392&amp;"",lst_Jobs,0)),""))</f>
        <v/>
      </c>
      <c r="F392" s="37" t="n"/>
      <c r="G392" s="37" t="n"/>
      <c r="H392" s="37" t="n"/>
      <c r="I392" s="37" t="n"/>
      <c r="J392" s="37" t="n"/>
      <c r="K392" s="38">
        <f>IF($C392="","",IFERROR(N(INDEX(tbl_Finance[Invoice Count],MATCH($AE392,tbl_Finance[Row ID],0))),""))</f>
        <v/>
      </c>
      <c r="L392" s="11">
        <f>IF($C392="","",IFERROR(N(INDEX(tbl_Finance[Xero Invoiced Ex GST],MATCH($AE392,tbl_Finance[Row ID],0))),""))</f>
        <v/>
      </c>
      <c r="M392" s="10">
        <f>IF($C392="","",IFERROR(INDEX(tbl_Finance[Compare],MATCH($AE392,tbl_Finance[Row ID],0))&amp;"",""))</f>
        <v/>
      </c>
      <c r="N392" s="11">
        <f>IF($C392="","",MAX(0,N(O392)-N(L392)))</f>
        <v/>
      </c>
      <c r="O392" s="39" t="n"/>
      <c r="P392" s="40">
        <f>IF($C392="","",IF((IF(F392="",", Client","")&amp;IF(G392="",", Description","")&amp;IF(H392="",", Cost Centre","")&amp;IF(I392="",", Invoice Type","")&amp;IF(J392="",", Tax Code","")&amp;IF(O392="",", Expected Revenue","")&amp;IF(COUNTIF(tbl_Finance[Job Number],$C392&amp;"")&gt;1,", Job number used twice",""))="","Complete","Fix: "&amp;MID(IF(F392="",", Client","")&amp;IF(G392="",", Description","")&amp;IF(H392="",", Cost Centre","")&amp;IF(I392="",", Invoice Type","")&amp;IF(J392="",", Tax Code","")&amp;IF(O392="",", Expected Revenue","")&amp;IF(COUNTIF(tbl_Finance[Job Number],$C392&amp;"")&gt;1,", Job number used twice",""),3,300)))</f>
        <v/>
      </c>
      <c r="Q392" s="10">
        <f>IF($C392="","",IF(H392="","(no cost centre)",H392&amp;" - GL "&amp;IFERROR(INDEX(lst_CCtoGL,MATCH(H392,lst_CCforGL,0)),"?")))</f>
        <v/>
      </c>
      <c r="R392" s="37" t="n"/>
      <c r="S392" s="10">
        <f>IF(R392="","",HYPERLINK(IF(LEFT(R392,4)="http",R392,set_QwilrBase&amp;R392),"Open quote"))</f>
        <v/>
      </c>
      <c r="T392" s="39" t="n"/>
      <c r="U392" s="39" t="n"/>
      <c r="V392" s="39" t="n"/>
      <c r="W392" s="10">
        <f>IF(C392="","",IF(N(T392)+N(U392)+N(V392)=0,"Not split",IF(ROUND(N(T392)+N(U392)+N(V392),2)=ROUND(MAX(N(L392),N(O392)),2),"OK","MISMATCH")))</f>
        <v/>
      </c>
      <c r="X392" s="39" t="n"/>
      <c r="Y392" s="39" t="n"/>
      <c r="Z392" s="39" t="n"/>
      <c r="AA392" s="11">
        <f>IF(C392="","",N(X392)+N(Y392)+N(Z392))</f>
        <v/>
      </c>
      <c r="AB392" s="11">
        <f>IF(C392="","",MAX(N(L392),N(O392))-N(AA392))</f>
        <v/>
      </c>
      <c r="AC392" s="43">
        <f>IFERROR(IF(MAX(N(L392),N(O392))=0,"",AB392/MAX(N(L392),N(O392))),"")</f>
        <v/>
      </c>
      <c r="AD392" s="37" t="n"/>
      <c r="AE392" s="10" t="inlineStr">
        <is>
          <t>CON-0388</t>
        </is>
      </c>
    </row>
    <row r="393">
      <c r="A393" s="16">
        <f>IF($C393="","",IFERROR(IF(INDEX(tbl_Finance[Latest Invoice Date],MATCH($AE393,tbl_Finance[Row ID],0))="","",INDEX(tbl_Finance[Latest Invoice Date],MATCH($AE393,tbl_Finance[Row ID],0))),""))</f>
        <v/>
      </c>
      <c r="B393" s="10">
        <f>IF($C393="","",IFERROR(INDEX(tbl_Finance[Invoice Numbers],MATCH($AE393,tbl_Finance[Row ID],0))&amp;"",""))</f>
        <v/>
      </c>
      <c r="C393" s="37" t="n"/>
      <c r="D393" s="10">
        <f>IF($C393="","",IF(COUNTIF(lst_Jobs,$C393&amp;"")&gt;0,"OK","CHECK"))</f>
        <v/>
      </c>
      <c r="E393" s="10">
        <f>IF($C393="","",IFERROR(INDEX(lst_JobName,MATCH($C393&amp;"",lst_Jobs,0)),""))</f>
        <v/>
      </c>
      <c r="F393" s="37" t="n"/>
      <c r="G393" s="37" t="n"/>
      <c r="H393" s="37" t="n"/>
      <c r="I393" s="37" t="n"/>
      <c r="J393" s="37" t="n"/>
      <c r="K393" s="38">
        <f>IF($C393="","",IFERROR(N(INDEX(tbl_Finance[Invoice Count],MATCH($AE393,tbl_Finance[Row ID],0))),""))</f>
        <v/>
      </c>
      <c r="L393" s="11">
        <f>IF($C393="","",IFERROR(N(INDEX(tbl_Finance[Xero Invoiced Ex GST],MATCH($AE393,tbl_Finance[Row ID],0))),""))</f>
        <v/>
      </c>
      <c r="M393" s="10">
        <f>IF($C393="","",IFERROR(INDEX(tbl_Finance[Compare],MATCH($AE393,tbl_Finance[Row ID],0))&amp;"",""))</f>
        <v/>
      </c>
      <c r="N393" s="11">
        <f>IF($C393="","",MAX(0,N(O393)-N(L393)))</f>
        <v/>
      </c>
      <c r="O393" s="39" t="n"/>
      <c r="P393" s="40">
        <f>IF($C393="","",IF((IF(F393="",", Client","")&amp;IF(G393="",", Description","")&amp;IF(H393="",", Cost Centre","")&amp;IF(I393="",", Invoice Type","")&amp;IF(J393="",", Tax Code","")&amp;IF(O393="",", Expected Revenue","")&amp;IF(COUNTIF(tbl_Finance[Job Number],$C393&amp;"")&gt;1,", Job number used twice",""))="","Complete","Fix: "&amp;MID(IF(F393="",", Client","")&amp;IF(G393="",", Description","")&amp;IF(H393="",", Cost Centre","")&amp;IF(I393="",", Invoice Type","")&amp;IF(J393="",", Tax Code","")&amp;IF(O393="",", Expected Revenue","")&amp;IF(COUNTIF(tbl_Finance[Job Number],$C393&amp;"")&gt;1,", Job number used twice",""),3,300)))</f>
        <v/>
      </c>
      <c r="Q393" s="10">
        <f>IF($C393="","",IF(H393="","(no cost centre)",H393&amp;" - GL "&amp;IFERROR(INDEX(lst_CCtoGL,MATCH(H393,lst_CCforGL,0)),"?")))</f>
        <v/>
      </c>
      <c r="R393" s="37" t="n"/>
      <c r="S393" s="10">
        <f>IF(R393="","",HYPERLINK(IF(LEFT(R393,4)="http",R393,set_QwilrBase&amp;R393),"Open quote"))</f>
        <v/>
      </c>
      <c r="T393" s="39" t="n"/>
      <c r="U393" s="39" t="n"/>
      <c r="V393" s="39" t="n"/>
      <c r="W393" s="10">
        <f>IF(C393="","",IF(N(T393)+N(U393)+N(V393)=0,"Not split",IF(ROUND(N(T393)+N(U393)+N(V393),2)=ROUND(MAX(N(L393),N(O393)),2),"OK","MISMATCH")))</f>
        <v/>
      </c>
      <c r="X393" s="39" t="n"/>
      <c r="Y393" s="39" t="n"/>
      <c r="Z393" s="39" t="n"/>
      <c r="AA393" s="11">
        <f>IF(C393="","",N(X393)+N(Y393)+N(Z393))</f>
        <v/>
      </c>
      <c r="AB393" s="11">
        <f>IF(C393="","",MAX(N(L393),N(O393))-N(AA393))</f>
        <v/>
      </c>
      <c r="AC393" s="43">
        <f>IFERROR(IF(MAX(N(L393),N(O393))=0,"",AB393/MAX(N(L393),N(O393))),"")</f>
        <v/>
      </c>
      <c r="AD393" s="37" t="n"/>
      <c r="AE393" s="10" t="inlineStr">
        <is>
          <t>CON-0389</t>
        </is>
      </c>
    </row>
    <row r="394">
      <c r="A394" s="16">
        <f>IF($C394="","",IFERROR(IF(INDEX(tbl_Finance[Latest Invoice Date],MATCH($AE394,tbl_Finance[Row ID],0))="","",INDEX(tbl_Finance[Latest Invoice Date],MATCH($AE394,tbl_Finance[Row ID],0))),""))</f>
        <v/>
      </c>
      <c r="B394" s="10">
        <f>IF($C394="","",IFERROR(INDEX(tbl_Finance[Invoice Numbers],MATCH($AE394,tbl_Finance[Row ID],0))&amp;"",""))</f>
        <v/>
      </c>
      <c r="C394" s="37" t="n"/>
      <c r="D394" s="10">
        <f>IF($C394="","",IF(COUNTIF(lst_Jobs,$C394&amp;"")&gt;0,"OK","CHECK"))</f>
        <v/>
      </c>
      <c r="E394" s="10">
        <f>IF($C394="","",IFERROR(INDEX(lst_JobName,MATCH($C394&amp;"",lst_Jobs,0)),""))</f>
        <v/>
      </c>
      <c r="F394" s="37" t="n"/>
      <c r="G394" s="37" t="n"/>
      <c r="H394" s="37" t="n"/>
      <c r="I394" s="37" t="n"/>
      <c r="J394" s="37" t="n"/>
      <c r="K394" s="38">
        <f>IF($C394="","",IFERROR(N(INDEX(tbl_Finance[Invoice Count],MATCH($AE394,tbl_Finance[Row ID],0))),""))</f>
        <v/>
      </c>
      <c r="L394" s="11">
        <f>IF($C394="","",IFERROR(N(INDEX(tbl_Finance[Xero Invoiced Ex GST],MATCH($AE394,tbl_Finance[Row ID],0))),""))</f>
        <v/>
      </c>
      <c r="M394" s="10">
        <f>IF($C394="","",IFERROR(INDEX(tbl_Finance[Compare],MATCH($AE394,tbl_Finance[Row ID],0))&amp;"",""))</f>
        <v/>
      </c>
      <c r="N394" s="11">
        <f>IF($C394="","",MAX(0,N(O394)-N(L394)))</f>
        <v/>
      </c>
      <c r="O394" s="39" t="n"/>
      <c r="P394" s="40">
        <f>IF($C394="","",IF((IF(F394="",", Client","")&amp;IF(G394="",", Description","")&amp;IF(H394="",", Cost Centre","")&amp;IF(I394="",", Invoice Type","")&amp;IF(J394="",", Tax Code","")&amp;IF(O394="",", Expected Revenue","")&amp;IF(COUNTIF(tbl_Finance[Job Number],$C394&amp;"")&gt;1,", Job number used twice",""))="","Complete","Fix: "&amp;MID(IF(F394="",", Client","")&amp;IF(G394="",", Description","")&amp;IF(H394="",", Cost Centre","")&amp;IF(I394="",", Invoice Type","")&amp;IF(J394="",", Tax Code","")&amp;IF(O394="",", Expected Revenue","")&amp;IF(COUNTIF(tbl_Finance[Job Number],$C394&amp;"")&gt;1,", Job number used twice",""),3,300)))</f>
        <v/>
      </c>
      <c r="Q394" s="10">
        <f>IF($C394="","",IF(H394="","(no cost centre)",H394&amp;" - GL "&amp;IFERROR(INDEX(lst_CCtoGL,MATCH(H394,lst_CCforGL,0)),"?")))</f>
        <v/>
      </c>
      <c r="R394" s="37" t="n"/>
      <c r="S394" s="10">
        <f>IF(R394="","",HYPERLINK(IF(LEFT(R394,4)="http",R394,set_QwilrBase&amp;R394),"Open quote"))</f>
        <v/>
      </c>
      <c r="T394" s="39" t="n"/>
      <c r="U394" s="39" t="n"/>
      <c r="V394" s="39" t="n"/>
      <c r="W394" s="10">
        <f>IF(C394="","",IF(N(T394)+N(U394)+N(V394)=0,"Not split",IF(ROUND(N(T394)+N(U394)+N(V394),2)=ROUND(MAX(N(L394),N(O394)),2),"OK","MISMATCH")))</f>
        <v/>
      </c>
      <c r="X394" s="39" t="n"/>
      <c r="Y394" s="39" t="n"/>
      <c r="Z394" s="39" t="n"/>
      <c r="AA394" s="11">
        <f>IF(C394="","",N(X394)+N(Y394)+N(Z394))</f>
        <v/>
      </c>
      <c r="AB394" s="11">
        <f>IF(C394="","",MAX(N(L394),N(O394))-N(AA394))</f>
        <v/>
      </c>
      <c r="AC394" s="43">
        <f>IFERROR(IF(MAX(N(L394),N(O394))=0,"",AB394/MAX(N(L394),N(O394))),"")</f>
        <v/>
      </c>
      <c r="AD394" s="37" t="n"/>
      <c r="AE394" s="10" t="inlineStr">
        <is>
          <t>CON-0390</t>
        </is>
      </c>
    </row>
    <row r="395">
      <c r="A395" s="16">
        <f>IF($C395="","",IFERROR(IF(INDEX(tbl_Finance[Latest Invoice Date],MATCH($AE395,tbl_Finance[Row ID],0))="","",INDEX(tbl_Finance[Latest Invoice Date],MATCH($AE395,tbl_Finance[Row ID],0))),""))</f>
        <v/>
      </c>
      <c r="B395" s="10">
        <f>IF($C395="","",IFERROR(INDEX(tbl_Finance[Invoice Numbers],MATCH($AE395,tbl_Finance[Row ID],0))&amp;"",""))</f>
        <v/>
      </c>
      <c r="C395" s="37" t="n"/>
      <c r="D395" s="10">
        <f>IF($C395="","",IF(COUNTIF(lst_Jobs,$C395&amp;"")&gt;0,"OK","CHECK"))</f>
        <v/>
      </c>
      <c r="E395" s="10">
        <f>IF($C395="","",IFERROR(INDEX(lst_JobName,MATCH($C395&amp;"",lst_Jobs,0)),""))</f>
        <v/>
      </c>
      <c r="F395" s="37" t="n"/>
      <c r="G395" s="37" t="n"/>
      <c r="H395" s="37" t="n"/>
      <c r="I395" s="37" t="n"/>
      <c r="J395" s="37" t="n"/>
      <c r="K395" s="38">
        <f>IF($C395="","",IFERROR(N(INDEX(tbl_Finance[Invoice Count],MATCH($AE395,tbl_Finance[Row ID],0))),""))</f>
        <v/>
      </c>
      <c r="L395" s="11">
        <f>IF($C395="","",IFERROR(N(INDEX(tbl_Finance[Xero Invoiced Ex GST],MATCH($AE395,tbl_Finance[Row ID],0))),""))</f>
        <v/>
      </c>
      <c r="M395" s="10">
        <f>IF($C395="","",IFERROR(INDEX(tbl_Finance[Compare],MATCH($AE395,tbl_Finance[Row ID],0))&amp;"",""))</f>
        <v/>
      </c>
      <c r="N395" s="11">
        <f>IF($C395="","",MAX(0,N(O395)-N(L395)))</f>
        <v/>
      </c>
      <c r="O395" s="39" t="n"/>
      <c r="P395" s="40">
        <f>IF($C395="","",IF((IF(F395="",", Client","")&amp;IF(G395="",", Description","")&amp;IF(H395="",", Cost Centre","")&amp;IF(I395="",", Invoice Type","")&amp;IF(J395="",", Tax Code","")&amp;IF(O395="",", Expected Revenue","")&amp;IF(COUNTIF(tbl_Finance[Job Number],$C395&amp;"")&gt;1,", Job number used twice",""))="","Complete","Fix: "&amp;MID(IF(F395="",", Client","")&amp;IF(G395="",", Description","")&amp;IF(H395="",", Cost Centre","")&amp;IF(I395="",", Invoice Type","")&amp;IF(J395="",", Tax Code","")&amp;IF(O395="",", Expected Revenue","")&amp;IF(COUNTIF(tbl_Finance[Job Number],$C395&amp;"")&gt;1,", Job number used twice",""),3,300)))</f>
        <v/>
      </c>
      <c r="Q395" s="10">
        <f>IF($C395="","",IF(H395="","(no cost centre)",H395&amp;" - GL "&amp;IFERROR(INDEX(lst_CCtoGL,MATCH(H395,lst_CCforGL,0)),"?")))</f>
        <v/>
      </c>
      <c r="R395" s="37" t="n"/>
      <c r="S395" s="10">
        <f>IF(R395="","",HYPERLINK(IF(LEFT(R395,4)="http",R395,set_QwilrBase&amp;R395),"Open quote"))</f>
        <v/>
      </c>
      <c r="T395" s="39" t="n"/>
      <c r="U395" s="39" t="n"/>
      <c r="V395" s="39" t="n"/>
      <c r="W395" s="10">
        <f>IF(C395="","",IF(N(T395)+N(U395)+N(V395)=0,"Not split",IF(ROUND(N(T395)+N(U395)+N(V395),2)=ROUND(MAX(N(L395),N(O395)),2),"OK","MISMATCH")))</f>
        <v/>
      </c>
      <c r="X395" s="39" t="n"/>
      <c r="Y395" s="39" t="n"/>
      <c r="Z395" s="39" t="n"/>
      <c r="AA395" s="11">
        <f>IF(C395="","",N(X395)+N(Y395)+N(Z395))</f>
        <v/>
      </c>
      <c r="AB395" s="11">
        <f>IF(C395="","",MAX(N(L395),N(O395))-N(AA395))</f>
        <v/>
      </c>
      <c r="AC395" s="43">
        <f>IFERROR(IF(MAX(N(L395),N(O395))=0,"",AB395/MAX(N(L395),N(O395))),"")</f>
        <v/>
      </c>
      <c r="AD395" s="37" t="n"/>
      <c r="AE395" s="10" t="inlineStr">
        <is>
          <t>CON-0391</t>
        </is>
      </c>
    </row>
    <row r="396">
      <c r="A396" s="16">
        <f>IF($C396="","",IFERROR(IF(INDEX(tbl_Finance[Latest Invoice Date],MATCH($AE396,tbl_Finance[Row ID],0))="","",INDEX(tbl_Finance[Latest Invoice Date],MATCH($AE396,tbl_Finance[Row ID],0))),""))</f>
        <v/>
      </c>
      <c r="B396" s="10">
        <f>IF($C396="","",IFERROR(INDEX(tbl_Finance[Invoice Numbers],MATCH($AE396,tbl_Finance[Row ID],0))&amp;"",""))</f>
        <v/>
      </c>
      <c r="C396" s="37" t="n"/>
      <c r="D396" s="10">
        <f>IF($C396="","",IF(COUNTIF(lst_Jobs,$C396&amp;"")&gt;0,"OK","CHECK"))</f>
        <v/>
      </c>
      <c r="E396" s="10">
        <f>IF($C396="","",IFERROR(INDEX(lst_JobName,MATCH($C396&amp;"",lst_Jobs,0)),""))</f>
        <v/>
      </c>
      <c r="F396" s="37" t="n"/>
      <c r="G396" s="37" t="n"/>
      <c r="H396" s="37" t="n"/>
      <c r="I396" s="37" t="n"/>
      <c r="J396" s="37" t="n"/>
      <c r="K396" s="38">
        <f>IF($C396="","",IFERROR(N(INDEX(tbl_Finance[Invoice Count],MATCH($AE396,tbl_Finance[Row ID],0))),""))</f>
        <v/>
      </c>
      <c r="L396" s="11">
        <f>IF($C396="","",IFERROR(N(INDEX(tbl_Finance[Xero Invoiced Ex GST],MATCH($AE396,tbl_Finance[Row ID],0))),""))</f>
        <v/>
      </c>
      <c r="M396" s="10">
        <f>IF($C396="","",IFERROR(INDEX(tbl_Finance[Compare],MATCH($AE396,tbl_Finance[Row ID],0))&amp;"",""))</f>
        <v/>
      </c>
      <c r="N396" s="11">
        <f>IF($C396="","",MAX(0,N(O396)-N(L396)))</f>
        <v/>
      </c>
      <c r="O396" s="39" t="n"/>
      <c r="P396" s="40">
        <f>IF($C396="","",IF((IF(F396="",", Client","")&amp;IF(G396="",", Description","")&amp;IF(H396="",", Cost Centre","")&amp;IF(I396="",", Invoice Type","")&amp;IF(J396="",", Tax Code","")&amp;IF(O396="",", Expected Revenue","")&amp;IF(COUNTIF(tbl_Finance[Job Number],$C396&amp;"")&gt;1,", Job number used twice",""))="","Complete","Fix: "&amp;MID(IF(F396="",", Client","")&amp;IF(G396="",", Description","")&amp;IF(H396="",", Cost Centre","")&amp;IF(I396="",", Invoice Type","")&amp;IF(J396="",", Tax Code","")&amp;IF(O396="",", Expected Revenue","")&amp;IF(COUNTIF(tbl_Finance[Job Number],$C396&amp;"")&gt;1,", Job number used twice",""),3,300)))</f>
        <v/>
      </c>
      <c r="Q396" s="10">
        <f>IF($C396="","",IF(H396="","(no cost centre)",H396&amp;" - GL "&amp;IFERROR(INDEX(lst_CCtoGL,MATCH(H396,lst_CCforGL,0)),"?")))</f>
        <v/>
      </c>
      <c r="R396" s="37" t="n"/>
      <c r="S396" s="10">
        <f>IF(R396="","",HYPERLINK(IF(LEFT(R396,4)="http",R396,set_QwilrBase&amp;R396),"Open quote"))</f>
        <v/>
      </c>
      <c r="T396" s="39" t="n"/>
      <c r="U396" s="39" t="n"/>
      <c r="V396" s="39" t="n"/>
      <c r="W396" s="10">
        <f>IF(C396="","",IF(N(T396)+N(U396)+N(V396)=0,"Not split",IF(ROUND(N(T396)+N(U396)+N(V396),2)=ROUND(MAX(N(L396),N(O396)),2),"OK","MISMATCH")))</f>
        <v/>
      </c>
      <c r="X396" s="39" t="n"/>
      <c r="Y396" s="39" t="n"/>
      <c r="Z396" s="39" t="n"/>
      <c r="AA396" s="11">
        <f>IF(C396="","",N(X396)+N(Y396)+N(Z396))</f>
        <v/>
      </c>
      <c r="AB396" s="11">
        <f>IF(C396="","",MAX(N(L396),N(O396))-N(AA396))</f>
        <v/>
      </c>
      <c r="AC396" s="43">
        <f>IFERROR(IF(MAX(N(L396),N(O396))=0,"",AB396/MAX(N(L396),N(O396))),"")</f>
        <v/>
      </c>
      <c r="AD396" s="37" t="n"/>
      <c r="AE396" s="10" t="inlineStr">
        <is>
          <t>CON-0392</t>
        </is>
      </c>
    </row>
    <row r="397">
      <c r="A397" s="16">
        <f>IF($C397="","",IFERROR(IF(INDEX(tbl_Finance[Latest Invoice Date],MATCH($AE397,tbl_Finance[Row ID],0))="","",INDEX(tbl_Finance[Latest Invoice Date],MATCH($AE397,tbl_Finance[Row ID],0))),""))</f>
        <v/>
      </c>
      <c r="B397" s="10">
        <f>IF($C397="","",IFERROR(INDEX(tbl_Finance[Invoice Numbers],MATCH($AE397,tbl_Finance[Row ID],0))&amp;"",""))</f>
        <v/>
      </c>
      <c r="C397" s="37" t="n"/>
      <c r="D397" s="10">
        <f>IF($C397="","",IF(COUNTIF(lst_Jobs,$C397&amp;"")&gt;0,"OK","CHECK"))</f>
        <v/>
      </c>
      <c r="E397" s="10">
        <f>IF($C397="","",IFERROR(INDEX(lst_JobName,MATCH($C397&amp;"",lst_Jobs,0)),""))</f>
        <v/>
      </c>
      <c r="F397" s="37" t="n"/>
      <c r="G397" s="37" t="n"/>
      <c r="H397" s="37" t="n"/>
      <c r="I397" s="37" t="n"/>
      <c r="J397" s="37" t="n"/>
      <c r="K397" s="38">
        <f>IF($C397="","",IFERROR(N(INDEX(tbl_Finance[Invoice Count],MATCH($AE397,tbl_Finance[Row ID],0))),""))</f>
        <v/>
      </c>
      <c r="L397" s="11">
        <f>IF($C397="","",IFERROR(N(INDEX(tbl_Finance[Xero Invoiced Ex GST],MATCH($AE397,tbl_Finance[Row ID],0))),""))</f>
        <v/>
      </c>
      <c r="M397" s="10">
        <f>IF($C397="","",IFERROR(INDEX(tbl_Finance[Compare],MATCH($AE397,tbl_Finance[Row ID],0))&amp;"",""))</f>
        <v/>
      </c>
      <c r="N397" s="11">
        <f>IF($C397="","",MAX(0,N(O397)-N(L397)))</f>
        <v/>
      </c>
      <c r="O397" s="39" t="n"/>
      <c r="P397" s="40">
        <f>IF($C397="","",IF((IF(F397="",", Client","")&amp;IF(G397="",", Description","")&amp;IF(H397="",", Cost Centre","")&amp;IF(I397="",", Invoice Type","")&amp;IF(J397="",", Tax Code","")&amp;IF(O397="",", Expected Revenue","")&amp;IF(COUNTIF(tbl_Finance[Job Number],$C397&amp;"")&gt;1,", Job number used twice",""))="","Complete","Fix: "&amp;MID(IF(F397="",", Client","")&amp;IF(G397="",", Description","")&amp;IF(H397="",", Cost Centre","")&amp;IF(I397="",", Invoice Type","")&amp;IF(J397="",", Tax Code","")&amp;IF(O397="",", Expected Revenue","")&amp;IF(COUNTIF(tbl_Finance[Job Number],$C397&amp;"")&gt;1,", Job number used twice",""),3,300)))</f>
        <v/>
      </c>
      <c r="Q397" s="10">
        <f>IF($C397="","",IF(H397="","(no cost centre)",H397&amp;" - GL "&amp;IFERROR(INDEX(lst_CCtoGL,MATCH(H397,lst_CCforGL,0)),"?")))</f>
        <v/>
      </c>
      <c r="R397" s="37" t="n"/>
      <c r="S397" s="10">
        <f>IF(R397="","",HYPERLINK(IF(LEFT(R397,4)="http",R397,set_QwilrBase&amp;R397),"Open quote"))</f>
        <v/>
      </c>
      <c r="T397" s="39" t="n"/>
      <c r="U397" s="39" t="n"/>
      <c r="V397" s="39" t="n"/>
      <c r="W397" s="10">
        <f>IF(C397="","",IF(N(T397)+N(U397)+N(V397)=0,"Not split",IF(ROUND(N(T397)+N(U397)+N(V397),2)=ROUND(MAX(N(L397),N(O397)),2),"OK","MISMATCH")))</f>
        <v/>
      </c>
      <c r="X397" s="39" t="n"/>
      <c r="Y397" s="39" t="n"/>
      <c r="Z397" s="39" t="n"/>
      <c r="AA397" s="11">
        <f>IF(C397="","",N(X397)+N(Y397)+N(Z397))</f>
        <v/>
      </c>
      <c r="AB397" s="11">
        <f>IF(C397="","",MAX(N(L397),N(O397))-N(AA397))</f>
        <v/>
      </c>
      <c r="AC397" s="43">
        <f>IFERROR(IF(MAX(N(L397),N(O397))=0,"",AB397/MAX(N(L397),N(O397))),"")</f>
        <v/>
      </c>
      <c r="AD397" s="37" t="n"/>
      <c r="AE397" s="10" t="inlineStr">
        <is>
          <t>CON-0393</t>
        </is>
      </c>
    </row>
    <row r="398">
      <c r="A398" s="16">
        <f>IF($C398="","",IFERROR(IF(INDEX(tbl_Finance[Latest Invoice Date],MATCH($AE398,tbl_Finance[Row ID],0))="","",INDEX(tbl_Finance[Latest Invoice Date],MATCH($AE398,tbl_Finance[Row ID],0))),""))</f>
        <v/>
      </c>
      <c r="B398" s="10">
        <f>IF($C398="","",IFERROR(INDEX(tbl_Finance[Invoice Numbers],MATCH($AE398,tbl_Finance[Row ID],0))&amp;"",""))</f>
        <v/>
      </c>
      <c r="C398" s="37" t="n"/>
      <c r="D398" s="10">
        <f>IF($C398="","",IF(COUNTIF(lst_Jobs,$C398&amp;"")&gt;0,"OK","CHECK"))</f>
        <v/>
      </c>
      <c r="E398" s="10">
        <f>IF($C398="","",IFERROR(INDEX(lst_JobName,MATCH($C398&amp;"",lst_Jobs,0)),""))</f>
        <v/>
      </c>
      <c r="F398" s="37" t="n"/>
      <c r="G398" s="37" t="n"/>
      <c r="H398" s="37" t="n"/>
      <c r="I398" s="37" t="n"/>
      <c r="J398" s="37" t="n"/>
      <c r="K398" s="38">
        <f>IF($C398="","",IFERROR(N(INDEX(tbl_Finance[Invoice Count],MATCH($AE398,tbl_Finance[Row ID],0))),""))</f>
        <v/>
      </c>
      <c r="L398" s="11">
        <f>IF($C398="","",IFERROR(N(INDEX(tbl_Finance[Xero Invoiced Ex GST],MATCH($AE398,tbl_Finance[Row ID],0))),""))</f>
        <v/>
      </c>
      <c r="M398" s="10">
        <f>IF($C398="","",IFERROR(INDEX(tbl_Finance[Compare],MATCH($AE398,tbl_Finance[Row ID],0))&amp;"",""))</f>
        <v/>
      </c>
      <c r="N398" s="11">
        <f>IF($C398="","",MAX(0,N(O398)-N(L398)))</f>
        <v/>
      </c>
      <c r="O398" s="39" t="n"/>
      <c r="P398" s="40">
        <f>IF($C398="","",IF((IF(F398="",", Client","")&amp;IF(G398="",", Description","")&amp;IF(H398="",", Cost Centre","")&amp;IF(I398="",", Invoice Type","")&amp;IF(J398="",", Tax Code","")&amp;IF(O398="",", Expected Revenue","")&amp;IF(COUNTIF(tbl_Finance[Job Number],$C398&amp;"")&gt;1,", Job number used twice",""))="","Complete","Fix: "&amp;MID(IF(F398="",", Client","")&amp;IF(G398="",", Description","")&amp;IF(H398="",", Cost Centre","")&amp;IF(I398="",", Invoice Type","")&amp;IF(J398="",", Tax Code","")&amp;IF(O398="",", Expected Revenue","")&amp;IF(COUNTIF(tbl_Finance[Job Number],$C398&amp;"")&gt;1,", Job number used twice",""),3,300)))</f>
        <v/>
      </c>
      <c r="Q398" s="10">
        <f>IF($C398="","",IF(H398="","(no cost centre)",H398&amp;" - GL "&amp;IFERROR(INDEX(lst_CCtoGL,MATCH(H398,lst_CCforGL,0)),"?")))</f>
        <v/>
      </c>
      <c r="R398" s="37" t="n"/>
      <c r="S398" s="10">
        <f>IF(R398="","",HYPERLINK(IF(LEFT(R398,4)="http",R398,set_QwilrBase&amp;R398),"Open quote"))</f>
        <v/>
      </c>
      <c r="T398" s="39" t="n"/>
      <c r="U398" s="39" t="n"/>
      <c r="V398" s="39" t="n"/>
      <c r="W398" s="10">
        <f>IF(C398="","",IF(N(T398)+N(U398)+N(V398)=0,"Not split",IF(ROUND(N(T398)+N(U398)+N(V398),2)=ROUND(MAX(N(L398),N(O398)),2),"OK","MISMATCH")))</f>
        <v/>
      </c>
      <c r="X398" s="39" t="n"/>
      <c r="Y398" s="39" t="n"/>
      <c r="Z398" s="39" t="n"/>
      <c r="AA398" s="11">
        <f>IF(C398="","",N(X398)+N(Y398)+N(Z398))</f>
        <v/>
      </c>
      <c r="AB398" s="11">
        <f>IF(C398="","",MAX(N(L398),N(O398))-N(AA398))</f>
        <v/>
      </c>
      <c r="AC398" s="43">
        <f>IFERROR(IF(MAX(N(L398),N(O398))=0,"",AB398/MAX(N(L398),N(O398))),"")</f>
        <v/>
      </c>
      <c r="AD398" s="37" t="n"/>
      <c r="AE398" s="10" t="inlineStr">
        <is>
          <t>CON-0394</t>
        </is>
      </c>
    </row>
    <row r="399">
      <c r="A399" s="16">
        <f>IF($C399="","",IFERROR(IF(INDEX(tbl_Finance[Latest Invoice Date],MATCH($AE399,tbl_Finance[Row ID],0))="","",INDEX(tbl_Finance[Latest Invoice Date],MATCH($AE399,tbl_Finance[Row ID],0))),""))</f>
        <v/>
      </c>
      <c r="B399" s="10">
        <f>IF($C399="","",IFERROR(INDEX(tbl_Finance[Invoice Numbers],MATCH($AE399,tbl_Finance[Row ID],0))&amp;"",""))</f>
        <v/>
      </c>
      <c r="C399" s="37" t="n"/>
      <c r="D399" s="10">
        <f>IF($C399="","",IF(COUNTIF(lst_Jobs,$C399&amp;"")&gt;0,"OK","CHECK"))</f>
        <v/>
      </c>
      <c r="E399" s="10">
        <f>IF($C399="","",IFERROR(INDEX(lst_JobName,MATCH($C399&amp;"",lst_Jobs,0)),""))</f>
        <v/>
      </c>
      <c r="F399" s="37" t="n"/>
      <c r="G399" s="37" t="n"/>
      <c r="H399" s="37" t="n"/>
      <c r="I399" s="37" t="n"/>
      <c r="J399" s="37" t="n"/>
      <c r="K399" s="38">
        <f>IF($C399="","",IFERROR(N(INDEX(tbl_Finance[Invoice Count],MATCH($AE399,tbl_Finance[Row ID],0))),""))</f>
        <v/>
      </c>
      <c r="L399" s="11">
        <f>IF($C399="","",IFERROR(N(INDEX(tbl_Finance[Xero Invoiced Ex GST],MATCH($AE399,tbl_Finance[Row ID],0))),""))</f>
        <v/>
      </c>
      <c r="M399" s="10">
        <f>IF($C399="","",IFERROR(INDEX(tbl_Finance[Compare],MATCH($AE399,tbl_Finance[Row ID],0))&amp;"",""))</f>
        <v/>
      </c>
      <c r="N399" s="11">
        <f>IF($C399="","",MAX(0,N(O399)-N(L399)))</f>
        <v/>
      </c>
      <c r="O399" s="39" t="n"/>
      <c r="P399" s="40">
        <f>IF($C399="","",IF((IF(F399="",", Client","")&amp;IF(G399="",", Description","")&amp;IF(H399="",", Cost Centre","")&amp;IF(I399="",", Invoice Type","")&amp;IF(J399="",", Tax Code","")&amp;IF(O399="",", Expected Revenue","")&amp;IF(COUNTIF(tbl_Finance[Job Number],$C399&amp;"")&gt;1,", Job number used twice",""))="","Complete","Fix: "&amp;MID(IF(F399="",", Client","")&amp;IF(G399="",", Description","")&amp;IF(H399="",", Cost Centre","")&amp;IF(I399="",", Invoice Type","")&amp;IF(J399="",", Tax Code","")&amp;IF(O399="",", Expected Revenue","")&amp;IF(COUNTIF(tbl_Finance[Job Number],$C399&amp;"")&gt;1,", Job number used twice",""),3,300)))</f>
        <v/>
      </c>
      <c r="Q399" s="10">
        <f>IF($C399="","",IF(H399="","(no cost centre)",H399&amp;" - GL "&amp;IFERROR(INDEX(lst_CCtoGL,MATCH(H399,lst_CCforGL,0)),"?")))</f>
        <v/>
      </c>
      <c r="R399" s="37" t="n"/>
      <c r="S399" s="10">
        <f>IF(R399="","",HYPERLINK(IF(LEFT(R399,4)="http",R399,set_QwilrBase&amp;R399),"Open quote"))</f>
        <v/>
      </c>
      <c r="T399" s="39" t="n"/>
      <c r="U399" s="39" t="n"/>
      <c r="V399" s="39" t="n"/>
      <c r="W399" s="10">
        <f>IF(C399="","",IF(N(T399)+N(U399)+N(V399)=0,"Not split",IF(ROUND(N(T399)+N(U399)+N(V399),2)=ROUND(MAX(N(L399),N(O399)),2),"OK","MISMATCH")))</f>
        <v/>
      </c>
      <c r="X399" s="39" t="n"/>
      <c r="Y399" s="39" t="n"/>
      <c r="Z399" s="39" t="n"/>
      <c r="AA399" s="11">
        <f>IF(C399="","",N(X399)+N(Y399)+N(Z399))</f>
        <v/>
      </c>
      <c r="AB399" s="11">
        <f>IF(C399="","",MAX(N(L399),N(O399))-N(AA399))</f>
        <v/>
      </c>
      <c r="AC399" s="43">
        <f>IFERROR(IF(MAX(N(L399),N(O399))=0,"",AB399/MAX(N(L399),N(O399))),"")</f>
        <v/>
      </c>
      <c r="AD399" s="37" t="n"/>
      <c r="AE399" s="10" t="inlineStr">
        <is>
          <t>CON-0395</t>
        </is>
      </c>
    </row>
    <row r="400">
      <c r="A400" s="16">
        <f>IF($C400="","",IFERROR(IF(INDEX(tbl_Finance[Latest Invoice Date],MATCH($AE400,tbl_Finance[Row ID],0))="","",INDEX(tbl_Finance[Latest Invoice Date],MATCH($AE400,tbl_Finance[Row ID],0))),""))</f>
        <v/>
      </c>
      <c r="B400" s="10">
        <f>IF($C400="","",IFERROR(INDEX(tbl_Finance[Invoice Numbers],MATCH($AE400,tbl_Finance[Row ID],0))&amp;"",""))</f>
        <v/>
      </c>
      <c r="C400" s="37" t="n"/>
      <c r="D400" s="10">
        <f>IF($C400="","",IF(COUNTIF(lst_Jobs,$C400&amp;"")&gt;0,"OK","CHECK"))</f>
        <v/>
      </c>
      <c r="E400" s="10">
        <f>IF($C400="","",IFERROR(INDEX(lst_JobName,MATCH($C400&amp;"",lst_Jobs,0)),""))</f>
        <v/>
      </c>
      <c r="F400" s="37" t="n"/>
      <c r="G400" s="37" t="n"/>
      <c r="H400" s="37" t="n"/>
      <c r="I400" s="37" t="n"/>
      <c r="J400" s="37" t="n"/>
      <c r="K400" s="38">
        <f>IF($C400="","",IFERROR(N(INDEX(tbl_Finance[Invoice Count],MATCH($AE400,tbl_Finance[Row ID],0))),""))</f>
        <v/>
      </c>
      <c r="L400" s="11">
        <f>IF($C400="","",IFERROR(N(INDEX(tbl_Finance[Xero Invoiced Ex GST],MATCH($AE400,tbl_Finance[Row ID],0))),""))</f>
        <v/>
      </c>
      <c r="M400" s="10">
        <f>IF($C400="","",IFERROR(INDEX(tbl_Finance[Compare],MATCH($AE400,tbl_Finance[Row ID],0))&amp;"",""))</f>
        <v/>
      </c>
      <c r="N400" s="11">
        <f>IF($C400="","",MAX(0,N(O400)-N(L400)))</f>
        <v/>
      </c>
      <c r="O400" s="39" t="n"/>
      <c r="P400" s="40">
        <f>IF($C400="","",IF((IF(F400="",", Client","")&amp;IF(G400="",", Description","")&amp;IF(H400="",", Cost Centre","")&amp;IF(I400="",", Invoice Type","")&amp;IF(J400="",", Tax Code","")&amp;IF(O400="",", Expected Revenue","")&amp;IF(COUNTIF(tbl_Finance[Job Number],$C400&amp;"")&gt;1,", Job number used twice",""))="","Complete","Fix: "&amp;MID(IF(F400="",", Client","")&amp;IF(G400="",", Description","")&amp;IF(H400="",", Cost Centre","")&amp;IF(I400="",", Invoice Type","")&amp;IF(J400="",", Tax Code","")&amp;IF(O400="",", Expected Revenue","")&amp;IF(COUNTIF(tbl_Finance[Job Number],$C400&amp;"")&gt;1,", Job number used twice",""),3,300)))</f>
        <v/>
      </c>
      <c r="Q400" s="10">
        <f>IF($C400="","",IF(H400="","(no cost centre)",H400&amp;" - GL "&amp;IFERROR(INDEX(lst_CCtoGL,MATCH(H400,lst_CCforGL,0)),"?")))</f>
        <v/>
      </c>
      <c r="R400" s="37" t="n"/>
      <c r="S400" s="10">
        <f>IF(R400="","",HYPERLINK(IF(LEFT(R400,4)="http",R400,set_QwilrBase&amp;R400),"Open quote"))</f>
        <v/>
      </c>
      <c r="T400" s="39" t="n"/>
      <c r="U400" s="39" t="n"/>
      <c r="V400" s="39" t="n"/>
      <c r="W400" s="10">
        <f>IF(C400="","",IF(N(T400)+N(U400)+N(V400)=0,"Not split",IF(ROUND(N(T400)+N(U400)+N(V400),2)=ROUND(MAX(N(L400),N(O400)),2),"OK","MISMATCH")))</f>
        <v/>
      </c>
      <c r="X400" s="39" t="n"/>
      <c r="Y400" s="39" t="n"/>
      <c r="Z400" s="39" t="n"/>
      <c r="AA400" s="11">
        <f>IF(C400="","",N(X400)+N(Y400)+N(Z400))</f>
        <v/>
      </c>
      <c r="AB400" s="11">
        <f>IF(C400="","",MAX(N(L400),N(O400))-N(AA400))</f>
        <v/>
      </c>
      <c r="AC400" s="43">
        <f>IFERROR(IF(MAX(N(L400),N(O400))=0,"",AB400/MAX(N(L400),N(O400))),"")</f>
        <v/>
      </c>
      <c r="AD400" s="37" t="n"/>
      <c r="AE400" s="10" t="inlineStr">
        <is>
          <t>CON-0396</t>
        </is>
      </c>
    </row>
    <row r="401">
      <c r="A401" s="16">
        <f>IF($C401="","",IFERROR(IF(INDEX(tbl_Finance[Latest Invoice Date],MATCH($AE401,tbl_Finance[Row ID],0))="","",INDEX(tbl_Finance[Latest Invoice Date],MATCH($AE401,tbl_Finance[Row ID],0))),""))</f>
        <v/>
      </c>
      <c r="B401" s="10">
        <f>IF($C401="","",IFERROR(INDEX(tbl_Finance[Invoice Numbers],MATCH($AE401,tbl_Finance[Row ID],0))&amp;"",""))</f>
        <v/>
      </c>
      <c r="C401" s="37" t="n"/>
      <c r="D401" s="10">
        <f>IF($C401="","",IF(COUNTIF(lst_Jobs,$C401&amp;"")&gt;0,"OK","CHECK"))</f>
        <v/>
      </c>
      <c r="E401" s="10">
        <f>IF($C401="","",IFERROR(INDEX(lst_JobName,MATCH($C401&amp;"",lst_Jobs,0)),""))</f>
        <v/>
      </c>
      <c r="F401" s="37" t="n"/>
      <c r="G401" s="37" t="n"/>
      <c r="H401" s="37" t="n"/>
      <c r="I401" s="37" t="n"/>
      <c r="J401" s="37" t="n"/>
      <c r="K401" s="38">
        <f>IF($C401="","",IFERROR(N(INDEX(tbl_Finance[Invoice Count],MATCH($AE401,tbl_Finance[Row ID],0))),""))</f>
        <v/>
      </c>
      <c r="L401" s="11">
        <f>IF($C401="","",IFERROR(N(INDEX(tbl_Finance[Xero Invoiced Ex GST],MATCH($AE401,tbl_Finance[Row ID],0))),""))</f>
        <v/>
      </c>
      <c r="M401" s="10">
        <f>IF($C401="","",IFERROR(INDEX(tbl_Finance[Compare],MATCH($AE401,tbl_Finance[Row ID],0))&amp;"",""))</f>
        <v/>
      </c>
      <c r="N401" s="11">
        <f>IF($C401="","",MAX(0,N(O401)-N(L401)))</f>
        <v/>
      </c>
      <c r="O401" s="39" t="n"/>
      <c r="P401" s="40">
        <f>IF($C401="","",IF((IF(F401="",", Client","")&amp;IF(G401="",", Description","")&amp;IF(H401="",", Cost Centre","")&amp;IF(I401="",", Invoice Type","")&amp;IF(J401="",", Tax Code","")&amp;IF(O401="",", Expected Revenue","")&amp;IF(COUNTIF(tbl_Finance[Job Number],$C401&amp;"")&gt;1,", Job number used twice",""))="","Complete","Fix: "&amp;MID(IF(F401="",", Client","")&amp;IF(G401="",", Description","")&amp;IF(H401="",", Cost Centre","")&amp;IF(I401="",", Invoice Type","")&amp;IF(J401="",", Tax Code","")&amp;IF(O401="",", Expected Revenue","")&amp;IF(COUNTIF(tbl_Finance[Job Number],$C401&amp;"")&gt;1,", Job number used twice",""),3,300)))</f>
        <v/>
      </c>
      <c r="Q401" s="10">
        <f>IF($C401="","",IF(H401="","(no cost centre)",H401&amp;" - GL "&amp;IFERROR(INDEX(lst_CCtoGL,MATCH(H401,lst_CCforGL,0)),"?")))</f>
        <v/>
      </c>
      <c r="R401" s="37" t="n"/>
      <c r="S401" s="10">
        <f>IF(R401="","",HYPERLINK(IF(LEFT(R401,4)="http",R401,set_QwilrBase&amp;R401),"Open quote"))</f>
        <v/>
      </c>
      <c r="T401" s="39" t="n"/>
      <c r="U401" s="39" t="n"/>
      <c r="V401" s="39" t="n"/>
      <c r="W401" s="10">
        <f>IF(C401="","",IF(N(T401)+N(U401)+N(V401)=0,"Not split",IF(ROUND(N(T401)+N(U401)+N(V401),2)=ROUND(MAX(N(L401),N(O401)),2),"OK","MISMATCH")))</f>
        <v/>
      </c>
      <c r="X401" s="39" t="n"/>
      <c r="Y401" s="39" t="n"/>
      <c r="Z401" s="39" t="n"/>
      <c r="AA401" s="11">
        <f>IF(C401="","",N(X401)+N(Y401)+N(Z401))</f>
        <v/>
      </c>
      <c r="AB401" s="11">
        <f>IF(C401="","",MAX(N(L401),N(O401))-N(AA401))</f>
        <v/>
      </c>
      <c r="AC401" s="43">
        <f>IFERROR(IF(MAX(N(L401),N(O401))=0,"",AB401/MAX(N(L401),N(O401))),"")</f>
        <v/>
      </c>
      <c r="AD401" s="37" t="n"/>
      <c r="AE401" s="10" t="inlineStr">
        <is>
          <t>CON-0397</t>
        </is>
      </c>
    </row>
    <row r="402">
      <c r="A402" s="16">
        <f>IF($C402="","",IFERROR(IF(INDEX(tbl_Finance[Latest Invoice Date],MATCH($AE402,tbl_Finance[Row ID],0))="","",INDEX(tbl_Finance[Latest Invoice Date],MATCH($AE402,tbl_Finance[Row ID],0))),""))</f>
        <v/>
      </c>
      <c r="B402" s="10">
        <f>IF($C402="","",IFERROR(INDEX(tbl_Finance[Invoice Numbers],MATCH($AE402,tbl_Finance[Row ID],0))&amp;"",""))</f>
        <v/>
      </c>
      <c r="C402" s="37" t="n"/>
      <c r="D402" s="10">
        <f>IF($C402="","",IF(COUNTIF(lst_Jobs,$C402&amp;"")&gt;0,"OK","CHECK"))</f>
        <v/>
      </c>
      <c r="E402" s="10">
        <f>IF($C402="","",IFERROR(INDEX(lst_JobName,MATCH($C402&amp;"",lst_Jobs,0)),""))</f>
        <v/>
      </c>
      <c r="F402" s="37" t="n"/>
      <c r="G402" s="37" t="n"/>
      <c r="H402" s="37" t="n"/>
      <c r="I402" s="37" t="n"/>
      <c r="J402" s="37" t="n"/>
      <c r="K402" s="38">
        <f>IF($C402="","",IFERROR(N(INDEX(tbl_Finance[Invoice Count],MATCH($AE402,tbl_Finance[Row ID],0))),""))</f>
        <v/>
      </c>
      <c r="L402" s="11">
        <f>IF($C402="","",IFERROR(N(INDEX(tbl_Finance[Xero Invoiced Ex GST],MATCH($AE402,tbl_Finance[Row ID],0))),""))</f>
        <v/>
      </c>
      <c r="M402" s="10">
        <f>IF($C402="","",IFERROR(INDEX(tbl_Finance[Compare],MATCH($AE402,tbl_Finance[Row ID],0))&amp;"",""))</f>
        <v/>
      </c>
      <c r="N402" s="11">
        <f>IF($C402="","",MAX(0,N(O402)-N(L402)))</f>
        <v/>
      </c>
      <c r="O402" s="39" t="n"/>
      <c r="P402" s="40">
        <f>IF($C402="","",IF((IF(F402="",", Client","")&amp;IF(G402="",", Description","")&amp;IF(H402="",", Cost Centre","")&amp;IF(I402="",", Invoice Type","")&amp;IF(J402="",", Tax Code","")&amp;IF(O402="",", Expected Revenue","")&amp;IF(COUNTIF(tbl_Finance[Job Number],$C402&amp;"")&gt;1,", Job number used twice",""))="","Complete","Fix: "&amp;MID(IF(F402="",", Client","")&amp;IF(G402="",", Description","")&amp;IF(H402="",", Cost Centre","")&amp;IF(I402="",", Invoice Type","")&amp;IF(J402="",", Tax Code","")&amp;IF(O402="",", Expected Revenue","")&amp;IF(COUNTIF(tbl_Finance[Job Number],$C402&amp;"")&gt;1,", Job number used twice",""),3,300)))</f>
        <v/>
      </c>
      <c r="Q402" s="10">
        <f>IF($C402="","",IF(H402="","(no cost centre)",H402&amp;" - GL "&amp;IFERROR(INDEX(lst_CCtoGL,MATCH(H402,lst_CCforGL,0)),"?")))</f>
        <v/>
      </c>
      <c r="R402" s="37" t="n"/>
      <c r="S402" s="10">
        <f>IF(R402="","",HYPERLINK(IF(LEFT(R402,4)="http",R402,set_QwilrBase&amp;R402),"Open quote"))</f>
        <v/>
      </c>
      <c r="T402" s="39" t="n"/>
      <c r="U402" s="39" t="n"/>
      <c r="V402" s="39" t="n"/>
      <c r="W402" s="10">
        <f>IF(C402="","",IF(N(T402)+N(U402)+N(V402)=0,"Not split",IF(ROUND(N(T402)+N(U402)+N(V402),2)=ROUND(MAX(N(L402),N(O402)),2),"OK","MISMATCH")))</f>
        <v/>
      </c>
      <c r="X402" s="39" t="n"/>
      <c r="Y402" s="39" t="n"/>
      <c r="Z402" s="39" t="n"/>
      <c r="AA402" s="11">
        <f>IF(C402="","",N(X402)+N(Y402)+N(Z402))</f>
        <v/>
      </c>
      <c r="AB402" s="11">
        <f>IF(C402="","",MAX(N(L402),N(O402))-N(AA402))</f>
        <v/>
      </c>
      <c r="AC402" s="43">
        <f>IFERROR(IF(MAX(N(L402),N(O402))=0,"",AB402/MAX(N(L402),N(O402))),"")</f>
        <v/>
      </c>
      <c r="AD402" s="37" t="n"/>
      <c r="AE402" s="10" t="inlineStr">
        <is>
          <t>CON-0398</t>
        </is>
      </c>
    </row>
    <row r="403">
      <c r="A403" s="16">
        <f>IF($C403="","",IFERROR(IF(INDEX(tbl_Finance[Latest Invoice Date],MATCH($AE403,tbl_Finance[Row ID],0))="","",INDEX(tbl_Finance[Latest Invoice Date],MATCH($AE403,tbl_Finance[Row ID],0))),""))</f>
        <v/>
      </c>
      <c r="B403" s="10">
        <f>IF($C403="","",IFERROR(INDEX(tbl_Finance[Invoice Numbers],MATCH($AE403,tbl_Finance[Row ID],0))&amp;"",""))</f>
        <v/>
      </c>
      <c r="C403" s="37" t="n"/>
      <c r="D403" s="10">
        <f>IF($C403="","",IF(COUNTIF(lst_Jobs,$C403&amp;"")&gt;0,"OK","CHECK"))</f>
        <v/>
      </c>
      <c r="E403" s="10">
        <f>IF($C403="","",IFERROR(INDEX(lst_JobName,MATCH($C403&amp;"",lst_Jobs,0)),""))</f>
        <v/>
      </c>
      <c r="F403" s="37" t="n"/>
      <c r="G403" s="37" t="n"/>
      <c r="H403" s="37" t="n"/>
      <c r="I403" s="37" t="n"/>
      <c r="J403" s="37" t="n"/>
      <c r="K403" s="38">
        <f>IF($C403="","",IFERROR(N(INDEX(tbl_Finance[Invoice Count],MATCH($AE403,tbl_Finance[Row ID],0))),""))</f>
        <v/>
      </c>
      <c r="L403" s="11">
        <f>IF($C403="","",IFERROR(N(INDEX(tbl_Finance[Xero Invoiced Ex GST],MATCH($AE403,tbl_Finance[Row ID],0))),""))</f>
        <v/>
      </c>
      <c r="M403" s="10">
        <f>IF($C403="","",IFERROR(INDEX(tbl_Finance[Compare],MATCH($AE403,tbl_Finance[Row ID],0))&amp;"",""))</f>
        <v/>
      </c>
      <c r="N403" s="11">
        <f>IF($C403="","",MAX(0,N(O403)-N(L403)))</f>
        <v/>
      </c>
      <c r="O403" s="39" t="n"/>
      <c r="P403" s="40">
        <f>IF($C403="","",IF((IF(F403="",", Client","")&amp;IF(G403="",", Description","")&amp;IF(H403="",", Cost Centre","")&amp;IF(I403="",", Invoice Type","")&amp;IF(J403="",", Tax Code","")&amp;IF(O403="",", Expected Revenue","")&amp;IF(COUNTIF(tbl_Finance[Job Number],$C403&amp;"")&gt;1,", Job number used twice",""))="","Complete","Fix: "&amp;MID(IF(F403="",", Client","")&amp;IF(G403="",", Description","")&amp;IF(H403="",", Cost Centre","")&amp;IF(I403="",", Invoice Type","")&amp;IF(J403="",", Tax Code","")&amp;IF(O403="",", Expected Revenue","")&amp;IF(COUNTIF(tbl_Finance[Job Number],$C403&amp;"")&gt;1,", Job number used twice",""),3,300)))</f>
        <v/>
      </c>
      <c r="Q403" s="10">
        <f>IF($C403="","",IF(H403="","(no cost centre)",H403&amp;" - GL "&amp;IFERROR(INDEX(lst_CCtoGL,MATCH(H403,lst_CCforGL,0)),"?")))</f>
        <v/>
      </c>
      <c r="R403" s="37" t="n"/>
      <c r="S403" s="10">
        <f>IF(R403="","",HYPERLINK(IF(LEFT(R403,4)="http",R403,set_QwilrBase&amp;R403),"Open quote"))</f>
        <v/>
      </c>
      <c r="T403" s="39" t="n"/>
      <c r="U403" s="39" t="n"/>
      <c r="V403" s="39" t="n"/>
      <c r="W403" s="10">
        <f>IF(C403="","",IF(N(T403)+N(U403)+N(V403)=0,"Not split",IF(ROUND(N(T403)+N(U403)+N(V403),2)=ROUND(MAX(N(L403),N(O403)),2),"OK","MISMATCH")))</f>
        <v/>
      </c>
      <c r="X403" s="39" t="n"/>
      <c r="Y403" s="39" t="n"/>
      <c r="Z403" s="39" t="n"/>
      <c r="AA403" s="11">
        <f>IF(C403="","",N(X403)+N(Y403)+N(Z403))</f>
        <v/>
      </c>
      <c r="AB403" s="11">
        <f>IF(C403="","",MAX(N(L403),N(O403))-N(AA403))</f>
        <v/>
      </c>
      <c r="AC403" s="43">
        <f>IFERROR(IF(MAX(N(L403),N(O403))=0,"",AB403/MAX(N(L403),N(O403))),"")</f>
        <v/>
      </c>
      <c r="AD403" s="37" t="n"/>
      <c r="AE403" s="10" t="inlineStr">
        <is>
          <t>CON-0399</t>
        </is>
      </c>
    </row>
    <row r="404">
      <c r="A404" s="16">
        <f>IF($C404="","",IFERROR(IF(INDEX(tbl_Finance[Latest Invoice Date],MATCH($AE404,tbl_Finance[Row ID],0))="","",INDEX(tbl_Finance[Latest Invoice Date],MATCH($AE404,tbl_Finance[Row ID],0))),""))</f>
        <v/>
      </c>
      <c r="B404" s="10">
        <f>IF($C404="","",IFERROR(INDEX(tbl_Finance[Invoice Numbers],MATCH($AE404,tbl_Finance[Row ID],0))&amp;"",""))</f>
        <v/>
      </c>
      <c r="C404" s="37" t="n"/>
      <c r="D404" s="10">
        <f>IF($C404="","",IF(COUNTIF(lst_Jobs,$C404&amp;"")&gt;0,"OK","CHECK"))</f>
        <v/>
      </c>
      <c r="E404" s="10">
        <f>IF($C404="","",IFERROR(INDEX(lst_JobName,MATCH($C404&amp;"",lst_Jobs,0)),""))</f>
        <v/>
      </c>
      <c r="F404" s="37" t="n"/>
      <c r="G404" s="37" t="n"/>
      <c r="H404" s="37" t="n"/>
      <c r="I404" s="37" t="n"/>
      <c r="J404" s="37" t="n"/>
      <c r="K404" s="38">
        <f>IF($C404="","",IFERROR(N(INDEX(tbl_Finance[Invoice Count],MATCH($AE404,tbl_Finance[Row ID],0))),""))</f>
        <v/>
      </c>
      <c r="L404" s="11">
        <f>IF($C404="","",IFERROR(N(INDEX(tbl_Finance[Xero Invoiced Ex GST],MATCH($AE404,tbl_Finance[Row ID],0))),""))</f>
        <v/>
      </c>
      <c r="M404" s="10">
        <f>IF($C404="","",IFERROR(INDEX(tbl_Finance[Compare],MATCH($AE404,tbl_Finance[Row ID],0))&amp;"",""))</f>
        <v/>
      </c>
      <c r="N404" s="11">
        <f>IF($C404="","",MAX(0,N(O404)-N(L404)))</f>
        <v/>
      </c>
      <c r="O404" s="39" t="n"/>
      <c r="P404" s="40">
        <f>IF($C404="","",IF((IF(F404="",", Client","")&amp;IF(G404="",", Description","")&amp;IF(H404="",", Cost Centre","")&amp;IF(I404="",", Invoice Type","")&amp;IF(J404="",", Tax Code","")&amp;IF(O404="",", Expected Revenue","")&amp;IF(COUNTIF(tbl_Finance[Job Number],$C404&amp;"")&gt;1,", Job number used twice",""))="","Complete","Fix: "&amp;MID(IF(F404="",", Client","")&amp;IF(G404="",", Description","")&amp;IF(H404="",", Cost Centre","")&amp;IF(I404="",", Invoice Type","")&amp;IF(J404="",", Tax Code","")&amp;IF(O404="",", Expected Revenue","")&amp;IF(COUNTIF(tbl_Finance[Job Number],$C404&amp;"")&gt;1,", Job number used twice",""),3,300)))</f>
        <v/>
      </c>
      <c r="Q404" s="10">
        <f>IF($C404="","",IF(H404="","(no cost centre)",H404&amp;" - GL "&amp;IFERROR(INDEX(lst_CCtoGL,MATCH(H404,lst_CCforGL,0)),"?")))</f>
        <v/>
      </c>
      <c r="R404" s="37" t="n"/>
      <c r="S404" s="10">
        <f>IF(R404="","",HYPERLINK(IF(LEFT(R404,4)="http",R404,set_QwilrBase&amp;R404),"Open quote"))</f>
        <v/>
      </c>
      <c r="T404" s="39" t="n"/>
      <c r="U404" s="39" t="n"/>
      <c r="V404" s="39" t="n"/>
      <c r="W404" s="10">
        <f>IF(C404="","",IF(N(T404)+N(U404)+N(V404)=0,"Not split",IF(ROUND(N(T404)+N(U404)+N(V404),2)=ROUND(MAX(N(L404),N(O404)),2),"OK","MISMATCH")))</f>
        <v/>
      </c>
      <c r="X404" s="39" t="n"/>
      <c r="Y404" s="39" t="n"/>
      <c r="Z404" s="39" t="n"/>
      <c r="AA404" s="11">
        <f>IF(C404="","",N(X404)+N(Y404)+N(Z404))</f>
        <v/>
      </c>
      <c r="AB404" s="11">
        <f>IF(C404="","",MAX(N(L404),N(O404))-N(AA404))</f>
        <v/>
      </c>
      <c r="AC404" s="43">
        <f>IFERROR(IF(MAX(N(L404),N(O404))=0,"",AB404/MAX(N(L404),N(O404))),"")</f>
        <v/>
      </c>
      <c r="AD404" s="37" t="n"/>
      <c r="AE404" s="10" t="inlineStr">
        <is>
          <t>CON-0400</t>
        </is>
      </c>
    </row>
    <row r="405">
      <c r="A405" s="16">
        <f>IF($C405="","",IFERROR(IF(INDEX(tbl_Finance[Latest Invoice Date],MATCH($AE405,tbl_Finance[Row ID],0))="","",INDEX(tbl_Finance[Latest Invoice Date],MATCH($AE405,tbl_Finance[Row ID],0))),""))</f>
        <v/>
      </c>
      <c r="B405" s="10">
        <f>IF($C405="","",IFERROR(INDEX(tbl_Finance[Invoice Numbers],MATCH($AE405,tbl_Finance[Row ID],0))&amp;"",""))</f>
        <v/>
      </c>
      <c r="C405" s="37" t="n"/>
      <c r="D405" s="10">
        <f>IF($C405="","",IF(COUNTIF(lst_Jobs,$C405&amp;"")&gt;0,"OK","CHECK"))</f>
        <v/>
      </c>
      <c r="E405" s="10">
        <f>IF($C405="","",IFERROR(INDEX(lst_JobName,MATCH($C405&amp;"",lst_Jobs,0)),""))</f>
        <v/>
      </c>
      <c r="F405" s="37" t="n"/>
      <c r="G405" s="37" t="n"/>
      <c r="H405" s="37" t="n"/>
      <c r="I405" s="37" t="n"/>
      <c r="J405" s="37" t="n"/>
      <c r="K405" s="38">
        <f>IF($C405="","",IFERROR(N(INDEX(tbl_Finance[Invoice Count],MATCH($AE405,tbl_Finance[Row ID],0))),""))</f>
        <v/>
      </c>
      <c r="L405" s="11">
        <f>IF($C405="","",IFERROR(N(INDEX(tbl_Finance[Xero Invoiced Ex GST],MATCH($AE405,tbl_Finance[Row ID],0))),""))</f>
        <v/>
      </c>
      <c r="M405" s="10">
        <f>IF($C405="","",IFERROR(INDEX(tbl_Finance[Compare],MATCH($AE405,tbl_Finance[Row ID],0))&amp;"",""))</f>
        <v/>
      </c>
      <c r="N405" s="11">
        <f>IF($C405="","",MAX(0,N(O405)-N(L405)))</f>
        <v/>
      </c>
      <c r="O405" s="39" t="n"/>
      <c r="P405" s="40">
        <f>IF($C405="","",IF((IF(F405="",", Client","")&amp;IF(G405="",", Description","")&amp;IF(H405="",", Cost Centre","")&amp;IF(I405="",", Invoice Type","")&amp;IF(J405="",", Tax Code","")&amp;IF(O405="",", Expected Revenue","")&amp;IF(COUNTIF(tbl_Finance[Job Number],$C405&amp;"")&gt;1,", Job number used twice",""))="","Complete","Fix: "&amp;MID(IF(F405="",", Client","")&amp;IF(G405="",", Description","")&amp;IF(H405="",", Cost Centre","")&amp;IF(I405="",", Invoice Type","")&amp;IF(J405="",", Tax Code","")&amp;IF(O405="",", Expected Revenue","")&amp;IF(COUNTIF(tbl_Finance[Job Number],$C405&amp;"")&gt;1,", Job number used twice",""),3,300)))</f>
        <v/>
      </c>
      <c r="Q405" s="10">
        <f>IF($C405="","",IF(H405="","(no cost centre)",H405&amp;" - GL "&amp;IFERROR(INDEX(lst_CCtoGL,MATCH(H405,lst_CCforGL,0)),"?")))</f>
        <v/>
      </c>
      <c r="R405" s="37" t="n"/>
      <c r="S405" s="10">
        <f>IF(R405="","",HYPERLINK(IF(LEFT(R405,4)="http",R405,set_QwilrBase&amp;R405),"Open quote"))</f>
        <v/>
      </c>
      <c r="T405" s="39" t="n"/>
      <c r="U405" s="39" t="n"/>
      <c r="V405" s="39" t="n"/>
      <c r="W405" s="10">
        <f>IF(C405="","",IF(N(T405)+N(U405)+N(V405)=0,"Not split",IF(ROUND(N(T405)+N(U405)+N(V405),2)=ROUND(MAX(N(L405),N(O405)),2),"OK","MISMATCH")))</f>
        <v/>
      </c>
      <c r="X405" s="39" t="n"/>
      <c r="Y405" s="39" t="n"/>
      <c r="Z405" s="39" t="n"/>
      <c r="AA405" s="11">
        <f>IF(C405="","",N(X405)+N(Y405)+N(Z405))</f>
        <v/>
      </c>
      <c r="AB405" s="11">
        <f>IF(C405="","",MAX(N(L405),N(O405))-N(AA405))</f>
        <v/>
      </c>
      <c r="AC405" s="43">
        <f>IFERROR(IF(MAX(N(L405),N(O405))=0,"",AB405/MAX(N(L405),N(O405))),"")</f>
        <v/>
      </c>
      <c r="AD405" s="37" t="n"/>
      <c r="AE405" s="10" t="inlineStr">
        <is>
          <t>CON-0401</t>
        </is>
      </c>
    </row>
    <row r="406">
      <c r="A406" s="16">
        <f>IF($C406="","",IFERROR(IF(INDEX(tbl_Finance[Latest Invoice Date],MATCH($AE406,tbl_Finance[Row ID],0))="","",INDEX(tbl_Finance[Latest Invoice Date],MATCH($AE406,tbl_Finance[Row ID],0))),""))</f>
        <v/>
      </c>
      <c r="B406" s="10">
        <f>IF($C406="","",IFERROR(INDEX(tbl_Finance[Invoice Numbers],MATCH($AE406,tbl_Finance[Row ID],0))&amp;"",""))</f>
        <v/>
      </c>
      <c r="C406" s="37" t="n"/>
      <c r="D406" s="10">
        <f>IF($C406="","",IF(COUNTIF(lst_Jobs,$C406&amp;"")&gt;0,"OK","CHECK"))</f>
        <v/>
      </c>
      <c r="E406" s="10">
        <f>IF($C406="","",IFERROR(INDEX(lst_JobName,MATCH($C406&amp;"",lst_Jobs,0)),""))</f>
        <v/>
      </c>
      <c r="F406" s="37" t="n"/>
      <c r="G406" s="37" t="n"/>
      <c r="H406" s="37" t="n"/>
      <c r="I406" s="37" t="n"/>
      <c r="J406" s="37" t="n"/>
      <c r="K406" s="38">
        <f>IF($C406="","",IFERROR(N(INDEX(tbl_Finance[Invoice Count],MATCH($AE406,tbl_Finance[Row ID],0))),""))</f>
        <v/>
      </c>
      <c r="L406" s="11">
        <f>IF($C406="","",IFERROR(N(INDEX(tbl_Finance[Xero Invoiced Ex GST],MATCH($AE406,tbl_Finance[Row ID],0))),""))</f>
        <v/>
      </c>
      <c r="M406" s="10">
        <f>IF($C406="","",IFERROR(INDEX(tbl_Finance[Compare],MATCH($AE406,tbl_Finance[Row ID],0))&amp;"",""))</f>
        <v/>
      </c>
      <c r="N406" s="11">
        <f>IF($C406="","",MAX(0,N(O406)-N(L406)))</f>
        <v/>
      </c>
      <c r="O406" s="39" t="n"/>
      <c r="P406" s="40">
        <f>IF($C406="","",IF((IF(F406="",", Client","")&amp;IF(G406="",", Description","")&amp;IF(H406="",", Cost Centre","")&amp;IF(I406="",", Invoice Type","")&amp;IF(J406="",", Tax Code","")&amp;IF(O406="",", Expected Revenue","")&amp;IF(COUNTIF(tbl_Finance[Job Number],$C406&amp;"")&gt;1,", Job number used twice",""))="","Complete","Fix: "&amp;MID(IF(F406="",", Client","")&amp;IF(G406="",", Description","")&amp;IF(H406="",", Cost Centre","")&amp;IF(I406="",", Invoice Type","")&amp;IF(J406="",", Tax Code","")&amp;IF(O406="",", Expected Revenue","")&amp;IF(COUNTIF(tbl_Finance[Job Number],$C406&amp;"")&gt;1,", Job number used twice",""),3,300)))</f>
        <v/>
      </c>
      <c r="Q406" s="10">
        <f>IF($C406="","",IF(H406="","(no cost centre)",H406&amp;" - GL "&amp;IFERROR(INDEX(lst_CCtoGL,MATCH(H406,lst_CCforGL,0)),"?")))</f>
        <v/>
      </c>
      <c r="R406" s="37" t="n"/>
      <c r="S406" s="10">
        <f>IF(R406="","",HYPERLINK(IF(LEFT(R406,4)="http",R406,set_QwilrBase&amp;R406),"Open quote"))</f>
        <v/>
      </c>
      <c r="T406" s="39" t="n"/>
      <c r="U406" s="39" t="n"/>
      <c r="V406" s="39" t="n"/>
      <c r="W406" s="10">
        <f>IF(C406="","",IF(N(T406)+N(U406)+N(V406)=0,"Not split",IF(ROUND(N(T406)+N(U406)+N(V406),2)=ROUND(MAX(N(L406),N(O406)),2),"OK","MISMATCH")))</f>
        <v/>
      </c>
      <c r="X406" s="39" t="n"/>
      <c r="Y406" s="39" t="n"/>
      <c r="Z406" s="39" t="n"/>
      <c r="AA406" s="11">
        <f>IF(C406="","",N(X406)+N(Y406)+N(Z406))</f>
        <v/>
      </c>
      <c r="AB406" s="11">
        <f>IF(C406="","",MAX(N(L406),N(O406))-N(AA406))</f>
        <v/>
      </c>
      <c r="AC406" s="43">
        <f>IFERROR(IF(MAX(N(L406),N(O406))=0,"",AB406/MAX(N(L406),N(O406))),"")</f>
        <v/>
      </c>
      <c r="AD406" s="37" t="n"/>
      <c r="AE406" s="10" t="inlineStr">
        <is>
          <t>CON-0402</t>
        </is>
      </c>
    </row>
    <row r="407">
      <c r="A407" s="16">
        <f>IF($C407="","",IFERROR(IF(INDEX(tbl_Finance[Latest Invoice Date],MATCH($AE407,tbl_Finance[Row ID],0))="","",INDEX(tbl_Finance[Latest Invoice Date],MATCH($AE407,tbl_Finance[Row ID],0))),""))</f>
        <v/>
      </c>
      <c r="B407" s="10">
        <f>IF($C407="","",IFERROR(INDEX(tbl_Finance[Invoice Numbers],MATCH($AE407,tbl_Finance[Row ID],0))&amp;"",""))</f>
        <v/>
      </c>
      <c r="C407" s="37" t="n"/>
      <c r="D407" s="10">
        <f>IF($C407="","",IF(COUNTIF(lst_Jobs,$C407&amp;"")&gt;0,"OK","CHECK"))</f>
        <v/>
      </c>
      <c r="E407" s="10">
        <f>IF($C407="","",IFERROR(INDEX(lst_JobName,MATCH($C407&amp;"",lst_Jobs,0)),""))</f>
        <v/>
      </c>
      <c r="F407" s="37" t="n"/>
      <c r="G407" s="37" t="n"/>
      <c r="H407" s="37" t="n"/>
      <c r="I407" s="37" t="n"/>
      <c r="J407" s="37" t="n"/>
      <c r="K407" s="38">
        <f>IF($C407="","",IFERROR(N(INDEX(tbl_Finance[Invoice Count],MATCH($AE407,tbl_Finance[Row ID],0))),""))</f>
        <v/>
      </c>
      <c r="L407" s="11">
        <f>IF($C407="","",IFERROR(N(INDEX(tbl_Finance[Xero Invoiced Ex GST],MATCH($AE407,tbl_Finance[Row ID],0))),""))</f>
        <v/>
      </c>
      <c r="M407" s="10">
        <f>IF($C407="","",IFERROR(INDEX(tbl_Finance[Compare],MATCH($AE407,tbl_Finance[Row ID],0))&amp;"",""))</f>
        <v/>
      </c>
      <c r="N407" s="11">
        <f>IF($C407="","",MAX(0,N(O407)-N(L407)))</f>
        <v/>
      </c>
      <c r="O407" s="39" t="n"/>
      <c r="P407" s="40">
        <f>IF($C407="","",IF((IF(F407="",", Client","")&amp;IF(G407="",", Description","")&amp;IF(H407="",", Cost Centre","")&amp;IF(I407="",", Invoice Type","")&amp;IF(J407="",", Tax Code","")&amp;IF(O407="",", Expected Revenue","")&amp;IF(COUNTIF(tbl_Finance[Job Number],$C407&amp;"")&gt;1,", Job number used twice",""))="","Complete","Fix: "&amp;MID(IF(F407="",", Client","")&amp;IF(G407="",", Description","")&amp;IF(H407="",", Cost Centre","")&amp;IF(I407="",", Invoice Type","")&amp;IF(J407="",", Tax Code","")&amp;IF(O407="",", Expected Revenue","")&amp;IF(COUNTIF(tbl_Finance[Job Number],$C407&amp;"")&gt;1,", Job number used twice",""),3,300)))</f>
        <v/>
      </c>
      <c r="Q407" s="10">
        <f>IF($C407="","",IF(H407="","(no cost centre)",H407&amp;" - GL "&amp;IFERROR(INDEX(lst_CCtoGL,MATCH(H407,lst_CCforGL,0)),"?")))</f>
        <v/>
      </c>
      <c r="R407" s="37" t="n"/>
      <c r="S407" s="10">
        <f>IF(R407="","",HYPERLINK(IF(LEFT(R407,4)="http",R407,set_QwilrBase&amp;R407),"Open quote"))</f>
        <v/>
      </c>
      <c r="T407" s="39" t="n"/>
      <c r="U407" s="39" t="n"/>
      <c r="V407" s="39" t="n"/>
      <c r="W407" s="10">
        <f>IF(C407="","",IF(N(T407)+N(U407)+N(V407)=0,"Not split",IF(ROUND(N(T407)+N(U407)+N(V407),2)=ROUND(MAX(N(L407),N(O407)),2),"OK","MISMATCH")))</f>
        <v/>
      </c>
      <c r="X407" s="39" t="n"/>
      <c r="Y407" s="39" t="n"/>
      <c r="Z407" s="39" t="n"/>
      <c r="AA407" s="11">
        <f>IF(C407="","",N(X407)+N(Y407)+N(Z407))</f>
        <v/>
      </c>
      <c r="AB407" s="11">
        <f>IF(C407="","",MAX(N(L407),N(O407))-N(AA407))</f>
        <v/>
      </c>
      <c r="AC407" s="43">
        <f>IFERROR(IF(MAX(N(L407),N(O407))=0,"",AB407/MAX(N(L407),N(O407))),"")</f>
        <v/>
      </c>
      <c r="AD407" s="37" t="n"/>
      <c r="AE407" s="10" t="inlineStr">
        <is>
          <t>CON-0403</t>
        </is>
      </c>
    </row>
    <row r="408">
      <c r="A408" s="16">
        <f>IF($C408="","",IFERROR(IF(INDEX(tbl_Finance[Latest Invoice Date],MATCH($AE408,tbl_Finance[Row ID],0))="","",INDEX(tbl_Finance[Latest Invoice Date],MATCH($AE408,tbl_Finance[Row ID],0))),""))</f>
        <v/>
      </c>
      <c r="B408" s="10">
        <f>IF($C408="","",IFERROR(INDEX(tbl_Finance[Invoice Numbers],MATCH($AE408,tbl_Finance[Row ID],0))&amp;"",""))</f>
        <v/>
      </c>
      <c r="C408" s="37" t="n"/>
      <c r="D408" s="10">
        <f>IF($C408="","",IF(COUNTIF(lst_Jobs,$C408&amp;"")&gt;0,"OK","CHECK"))</f>
        <v/>
      </c>
      <c r="E408" s="10">
        <f>IF($C408="","",IFERROR(INDEX(lst_JobName,MATCH($C408&amp;"",lst_Jobs,0)),""))</f>
        <v/>
      </c>
      <c r="F408" s="37" t="n"/>
      <c r="G408" s="37" t="n"/>
      <c r="H408" s="37" t="n"/>
      <c r="I408" s="37" t="n"/>
      <c r="J408" s="37" t="n"/>
      <c r="K408" s="38">
        <f>IF($C408="","",IFERROR(N(INDEX(tbl_Finance[Invoice Count],MATCH($AE408,tbl_Finance[Row ID],0))),""))</f>
        <v/>
      </c>
      <c r="L408" s="11">
        <f>IF($C408="","",IFERROR(N(INDEX(tbl_Finance[Xero Invoiced Ex GST],MATCH($AE408,tbl_Finance[Row ID],0))),""))</f>
        <v/>
      </c>
      <c r="M408" s="10">
        <f>IF($C408="","",IFERROR(INDEX(tbl_Finance[Compare],MATCH($AE408,tbl_Finance[Row ID],0))&amp;"",""))</f>
        <v/>
      </c>
      <c r="N408" s="11">
        <f>IF($C408="","",MAX(0,N(O408)-N(L408)))</f>
        <v/>
      </c>
      <c r="O408" s="39" t="n"/>
      <c r="P408" s="40">
        <f>IF($C408="","",IF((IF(F408="",", Client","")&amp;IF(G408="",", Description","")&amp;IF(H408="",", Cost Centre","")&amp;IF(I408="",", Invoice Type","")&amp;IF(J408="",", Tax Code","")&amp;IF(O408="",", Expected Revenue","")&amp;IF(COUNTIF(tbl_Finance[Job Number],$C408&amp;"")&gt;1,", Job number used twice",""))="","Complete","Fix: "&amp;MID(IF(F408="",", Client","")&amp;IF(G408="",", Description","")&amp;IF(H408="",", Cost Centre","")&amp;IF(I408="",", Invoice Type","")&amp;IF(J408="",", Tax Code","")&amp;IF(O408="",", Expected Revenue","")&amp;IF(COUNTIF(tbl_Finance[Job Number],$C408&amp;"")&gt;1,", Job number used twice",""),3,300)))</f>
        <v/>
      </c>
      <c r="Q408" s="10">
        <f>IF($C408="","",IF(H408="","(no cost centre)",H408&amp;" - GL "&amp;IFERROR(INDEX(lst_CCtoGL,MATCH(H408,lst_CCforGL,0)),"?")))</f>
        <v/>
      </c>
      <c r="R408" s="37" t="n"/>
      <c r="S408" s="10">
        <f>IF(R408="","",HYPERLINK(IF(LEFT(R408,4)="http",R408,set_QwilrBase&amp;R408),"Open quote"))</f>
        <v/>
      </c>
      <c r="T408" s="39" t="n"/>
      <c r="U408" s="39" t="n"/>
      <c r="V408" s="39" t="n"/>
      <c r="W408" s="10">
        <f>IF(C408="","",IF(N(T408)+N(U408)+N(V408)=0,"Not split",IF(ROUND(N(T408)+N(U408)+N(V408),2)=ROUND(MAX(N(L408),N(O408)),2),"OK","MISMATCH")))</f>
        <v/>
      </c>
      <c r="X408" s="39" t="n"/>
      <c r="Y408" s="39" t="n"/>
      <c r="Z408" s="39" t="n"/>
      <c r="AA408" s="11">
        <f>IF(C408="","",N(X408)+N(Y408)+N(Z408))</f>
        <v/>
      </c>
      <c r="AB408" s="11">
        <f>IF(C408="","",MAX(N(L408),N(O408))-N(AA408))</f>
        <v/>
      </c>
      <c r="AC408" s="43">
        <f>IFERROR(IF(MAX(N(L408),N(O408))=0,"",AB408/MAX(N(L408),N(O408))),"")</f>
        <v/>
      </c>
      <c r="AD408" s="37" t="n"/>
      <c r="AE408" s="10" t="inlineStr">
        <is>
          <t>CON-0404</t>
        </is>
      </c>
    </row>
    <row r="409">
      <c r="A409" s="16">
        <f>IF($C409="","",IFERROR(IF(INDEX(tbl_Finance[Latest Invoice Date],MATCH($AE409,tbl_Finance[Row ID],0))="","",INDEX(tbl_Finance[Latest Invoice Date],MATCH($AE409,tbl_Finance[Row ID],0))),""))</f>
        <v/>
      </c>
      <c r="B409" s="10">
        <f>IF($C409="","",IFERROR(INDEX(tbl_Finance[Invoice Numbers],MATCH($AE409,tbl_Finance[Row ID],0))&amp;"",""))</f>
        <v/>
      </c>
      <c r="C409" s="37" t="n"/>
      <c r="D409" s="10">
        <f>IF($C409="","",IF(COUNTIF(lst_Jobs,$C409&amp;"")&gt;0,"OK","CHECK"))</f>
        <v/>
      </c>
      <c r="E409" s="10">
        <f>IF($C409="","",IFERROR(INDEX(lst_JobName,MATCH($C409&amp;"",lst_Jobs,0)),""))</f>
        <v/>
      </c>
      <c r="F409" s="37" t="n"/>
      <c r="G409" s="37" t="n"/>
      <c r="H409" s="37" t="n"/>
      <c r="I409" s="37" t="n"/>
      <c r="J409" s="37" t="n"/>
      <c r="K409" s="38">
        <f>IF($C409="","",IFERROR(N(INDEX(tbl_Finance[Invoice Count],MATCH($AE409,tbl_Finance[Row ID],0))),""))</f>
        <v/>
      </c>
      <c r="L409" s="11">
        <f>IF($C409="","",IFERROR(N(INDEX(tbl_Finance[Xero Invoiced Ex GST],MATCH($AE409,tbl_Finance[Row ID],0))),""))</f>
        <v/>
      </c>
      <c r="M409" s="10">
        <f>IF($C409="","",IFERROR(INDEX(tbl_Finance[Compare],MATCH($AE409,tbl_Finance[Row ID],0))&amp;"",""))</f>
        <v/>
      </c>
      <c r="N409" s="11">
        <f>IF($C409="","",MAX(0,N(O409)-N(L409)))</f>
        <v/>
      </c>
      <c r="O409" s="39" t="n"/>
      <c r="P409" s="40">
        <f>IF($C409="","",IF((IF(F409="",", Client","")&amp;IF(G409="",", Description","")&amp;IF(H409="",", Cost Centre","")&amp;IF(I409="",", Invoice Type","")&amp;IF(J409="",", Tax Code","")&amp;IF(O409="",", Expected Revenue","")&amp;IF(COUNTIF(tbl_Finance[Job Number],$C409&amp;"")&gt;1,", Job number used twice",""))="","Complete","Fix: "&amp;MID(IF(F409="",", Client","")&amp;IF(G409="",", Description","")&amp;IF(H409="",", Cost Centre","")&amp;IF(I409="",", Invoice Type","")&amp;IF(J409="",", Tax Code","")&amp;IF(O409="",", Expected Revenue","")&amp;IF(COUNTIF(tbl_Finance[Job Number],$C409&amp;"")&gt;1,", Job number used twice",""),3,300)))</f>
        <v/>
      </c>
      <c r="Q409" s="10">
        <f>IF($C409="","",IF(H409="","(no cost centre)",H409&amp;" - GL "&amp;IFERROR(INDEX(lst_CCtoGL,MATCH(H409,lst_CCforGL,0)),"?")))</f>
        <v/>
      </c>
      <c r="R409" s="37" t="n"/>
      <c r="S409" s="10">
        <f>IF(R409="","",HYPERLINK(IF(LEFT(R409,4)="http",R409,set_QwilrBase&amp;R409),"Open quote"))</f>
        <v/>
      </c>
      <c r="T409" s="39" t="n"/>
      <c r="U409" s="39" t="n"/>
      <c r="V409" s="39" t="n"/>
      <c r="W409" s="10">
        <f>IF(C409="","",IF(N(T409)+N(U409)+N(V409)=0,"Not split",IF(ROUND(N(T409)+N(U409)+N(V409),2)=ROUND(MAX(N(L409),N(O409)),2),"OK","MISMATCH")))</f>
        <v/>
      </c>
      <c r="X409" s="39" t="n"/>
      <c r="Y409" s="39" t="n"/>
      <c r="Z409" s="39" t="n"/>
      <c r="AA409" s="11">
        <f>IF(C409="","",N(X409)+N(Y409)+N(Z409))</f>
        <v/>
      </c>
      <c r="AB409" s="11">
        <f>IF(C409="","",MAX(N(L409),N(O409))-N(AA409))</f>
        <v/>
      </c>
      <c r="AC409" s="43">
        <f>IFERROR(IF(MAX(N(L409),N(O409))=0,"",AB409/MAX(N(L409),N(O409))),"")</f>
        <v/>
      </c>
      <c r="AD409" s="37" t="n"/>
      <c r="AE409" s="10" t="inlineStr">
        <is>
          <t>CON-0405</t>
        </is>
      </c>
    </row>
    <row r="410">
      <c r="A410" s="16">
        <f>IF($C410="","",IFERROR(IF(INDEX(tbl_Finance[Latest Invoice Date],MATCH($AE410,tbl_Finance[Row ID],0))="","",INDEX(tbl_Finance[Latest Invoice Date],MATCH($AE410,tbl_Finance[Row ID],0))),""))</f>
        <v/>
      </c>
      <c r="B410" s="10">
        <f>IF($C410="","",IFERROR(INDEX(tbl_Finance[Invoice Numbers],MATCH($AE410,tbl_Finance[Row ID],0))&amp;"",""))</f>
        <v/>
      </c>
      <c r="C410" s="37" t="n"/>
      <c r="D410" s="10">
        <f>IF($C410="","",IF(COUNTIF(lst_Jobs,$C410&amp;"")&gt;0,"OK","CHECK"))</f>
        <v/>
      </c>
      <c r="E410" s="10">
        <f>IF($C410="","",IFERROR(INDEX(lst_JobName,MATCH($C410&amp;"",lst_Jobs,0)),""))</f>
        <v/>
      </c>
      <c r="F410" s="37" t="n"/>
      <c r="G410" s="37" t="n"/>
      <c r="H410" s="37" t="n"/>
      <c r="I410" s="37" t="n"/>
      <c r="J410" s="37" t="n"/>
      <c r="K410" s="38">
        <f>IF($C410="","",IFERROR(N(INDEX(tbl_Finance[Invoice Count],MATCH($AE410,tbl_Finance[Row ID],0))),""))</f>
        <v/>
      </c>
      <c r="L410" s="11">
        <f>IF($C410="","",IFERROR(N(INDEX(tbl_Finance[Xero Invoiced Ex GST],MATCH($AE410,tbl_Finance[Row ID],0))),""))</f>
        <v/>
      </c>
      <c r="M410" s="10">
        <f>IF($C410="","",IFERROR(INDEX(tbl_Finance[Compare],MATCH($AE410,tbl_Finance[Row ID],0))&amp;"",""))</f>
        <v/>
      </c>
      <c r="N410" s="11">
        <f>IF($C410="","",MAX(0,N(O410)-N(L410)))</f>
        <v/>
      </c>
      <c r="O410" s="39" t="n"/>
      <c r="P410" s="40">
        <f>IF($C410="","",IF((IF(F410="",", Client","")&amp;IF(G410="",", Description","")&amp;IF(H410="",", Cost Centre","")&amp;IF(I410="",", Invoice Type","")&amp;IF(J410="",", Tax Code","")&amp;IF(O410="",", Expected Revenue","")&amp;IF(COUNTIF(tbl_Finance[Job Number],$C410&amp;"")&gt;1,", Job number used twice",""))="","Complete","Fix: "&amp;MID(IF(F410="",", Client","")&amp;IF(G410="",", Description","")&amp;IF(H410="",", Cost Centre","")&amp;IF(I410="",", Invoice Type","")&amp;IF(J410="",", Tax Code","")&amp;IF(O410="",", Expected Revenue","")&amp;IF(COUNTIF(tbl_Finance[Job Number],$C410&amp;"")&gt;1,", Job number used twice",""),3,300)))</f>
        <v/>
      </c>
      <c r="Q410" s="10">
        <f>IF($C410="","",IF(H410="","(no cost centre)",H410&amp;" - GL "&amp;IFERROR(INDEX(lst_CCtoGL,MATCH(H410,lst_CCforGL,0)),"?")))</f>
        <v/>
      </c>
      <c r="R410" s="37" t="n"/>
      <c r="S410" s="10">
        <f>IF(R410="","",HYPERLINK(IF(LEFT(R410,4)="http",R410,set_QwilrBase&amp;R410),"Open quote"))</f>
        <v/>
      </c>
      <c r="T410" s="39" t="n"/>
      <c r="U410" s="39" t="n"/>
      <c r="V410" s="39" t="n"/>
      <c r="W410" s="10">
        <f>IF(C410="","",IF(N(T410)+N(U410)+N(V410)=0,"Not split",IF(ROUND(N(T410)+N(U410)+N(V410),2)=ROUND(MAX(N(L410),N(O410)),2),"OK","MISMATCH")))</f>
        <v/>
      </c>
      <c r="X410" s="39" t="n"/>
      <c r="Y410" s="39" t="n"/>
      <c r="Z410" s="39" t="n"/>
      <c r="AA410" s="11">
        <f>IF(C410="","",N(X410)+N(Y410)+N(Z410))</f>
        <v/>
      </c>
      <c r="AB410" s="11">
        <f>IF(C410="","",MAX(N(L410),N(O410))-N(AA410))</f>
        <v/>
      </c>
      <c r="AC410" s="43">
        <f>IFERROR(IF(MAX(N(L410),N(O410))=0,"",AB410/MAX(N(L410),N(O410))),"")</f>
        <v/>
      </c>
      <c r="AD410" s="37" t="n"/>
      <c r="AE410" s="10" t="inlineStr">
        <is>
          <t>CON-0406</t>
        </is>
      </c>
    </row>
    <row r="411">
      <c r="A411" s="16">
        <f>IF($C411="","",IFERROR(IF(INDEX(tbl_Finance[Latest Invoice Date],MATCH($AE411,tbl_Finance[Row ID],0))="","",INDEX(tbl_Finance[Latest Invoice Date],MATCH($AE411,tbl_Finance[Row ID],0))),""))</f>
        <v/>
      </c>
      <c r="B411" s="10">
        <f>IF($C411="","",IFERROR(INDEX(tbl_Finance[Invoice Numbers],MATCH($AE411,tbl_Finance[Row ID],0))&amp;"",""))</f>
        <v/>
      </c>
      <c r="C411" s="37" t="n"/>
      <c r="D411" s="10">
        <f>IF($C411="","",IF(COUNTIF(lst_Jobs,$C411&amp;"")&gt;0,"OK","CHECK"))</f>
        <v/>
      </c>
      <c r="E411" s="10">
        <f>IF($C411="","",IFERROR(INDEX(lst_JobName,MATCH($C411&amp;"",lst_Jobs,0)),""))</f>
        <v/>
      </c>
      <c r="F411" s="37" t="n"/>
      <c r="G411" s="37" t="n"/>
      <c r="H411" s="37" t="n"/>
      <c r="I411" s="37" t="n"/>
      <c r="J411" s="37" t="n"/>
      <c r="K411" s="38">
        <f>IF($C411="","",IFERROR(N(INDEX(tbl_Finance[Invoice Count],MATCH($AE411,tbl_Finance[Row ID],0))),""))</f>
        <v/>
      </c>
      <c r="L411" s="11">
        <f>IF($C411="","",IFERROR(N(INDEX(tbl_Finance[Xero Invoiced Ex GST],MATCH($AE411,tbl_Finance[Row ID],0))),""))</f>
        <v/>
      </c>
      <c r="M411" s="10">
        <f>IF($C411="","",IFERROR(INDEX(tbl_Finance[Compare],MATCH($AE411,tbl_Finance[Row ID],0))&amp;"",""))</f>
        <v/>
      </c>
      <c r="N411" s="11">
        <f>IF($C411="","",MAX(0,N(O411)-N(L411)))</f>
        <v/>
      </c>
      <c r="O411" s="39" t="n"/>
      <c r="P411" s="40">
        <f>IF($C411="","",IF((IF(F411="",", Client","")&amp;IF(G411="",", Description","")&amp;IF(H411="",", Cost Centre","")&amp;IF(I411="",", Invoice Type","")&amp;IF(J411="",", Tax Code","")&amp;IF(O411="",", Expected Revenue","")&amp;IF(COUNTIF(tbl_Finance[Job Number],$C411&amp;"")&gt;1,", Job number used twice",""))="","Complete","Fix: "&amp;MID(IF(F411="",", Client","")&amp;IF(G411="",", Description","")&amp;IF(H411="",", Cost Centre","")&amp;IF(I411="",", Invoice Type","")&amp;IF(J411="",", Tax Code","")&amp;IF(O411="",", Expected Revenue","")&amp;IF(COUNTIF(tbl_Finance[Job Number],$C411&amp;"")&gt;1,", Job number used twice",""),3,300)))</f>
        <v/>
      </c>
      <c r="Q411" s="10">
        <f>IF($C411="","",IF(H411="","(no cost centre)",H411&amp;" - GL "&amp;IFERROR(INDEX(lst_CCtoGL,MATCH(H411,lst_CCforGL,0)),"?")))</f>
        <v/>
      </c>
      <c r="R411" s="37" t="n"/>
      <c r="S411" s="10">
        <f>IF(R411="","",HYPERLINK(IF(LEFT(R411,4)="http",R411,set_QwilrBase&amp;R411),"Open quote"))</f>
        <v/>
      </c>
      <c r="T411" s="39" t="n"/>
      <c r="U411" s="39" t="n"/>
      <c r="V411" s="39" t="n"/>
      <c r="W411" s="10">
        <f>IF(C411="","",IF(N(T411)+N(U411)+N(V411)=0,"Not split",IF(ROUND(N(T411)+N(U411)+N(V411),2)=ROUND(MAX(N(L411),N(O411)),2),"OK","MISMATCH")))</f>
        <v/>
      </c>
      <c r="X411" s="39" t="n"/>
      <c r="Y411" s="39" t="n"/>
      <c r="Z411" s="39" t="n"/>
      <c r="AA411" s="11">
        <f>IF(C411="","",N(X411)+N(Y411)+N(Z411))</f>
        <v/>
      </c>
      <c r="AB411" s="11">
        <f>IF(C411="","",MAX(N(L411),N(O411))-N(AA411))</f>
        <v/>
      </c>
      <c r="AC411" s="43">
        <f>IFERROR(IF(MAX(N(L411),N(O411))=0,"",AB411/MAX(N(L411),N(O411))),"")</f>
        <v/>
      </c>
      <c r="AD411" s="37" t="n"/>
      <c r="AE411" s="10" t="inlineStr">
        <is>
          <t>CON-0407</t>
        </is>
      </c>
    </row>
    <row r="412">
      <c r="A412" s="16">
        <f>IF($C412="","",IFERROR(IF(INDEX(tbl_Finance[Latest Invoice Date],MATCH($AE412,tbl_Finance[Row ID],0))="","",INDEX(tbl_Finance[Latest Invoice Date],MATCH($AE412,tbl_Finance[Row ID],0))),""))</f>
        <v/>
      </c>
      <c r="B412" s="10">
        <f>IF($C412="","",IFERROR(INDEX(tbl_Finance[Invoice Numbers],MATCH($AE412,tbl_Finance[Row ID],0))&amp;"",""))</f>
        <v/>
      </c>
      <c r="C412" s="37" t="n"/>
      <c r="D412" s="10">
        <f>IF($C412="","",IF(COUNTIF(lst_Jobs,$C412&amp;"")&gt;0,"OK","CHECK"))</f>
        <v/>
      </c>
      <c r="E412" s="10">
        <f>IF($C412="","",IFERROR(INDEX(lst_JobName,MATCH($C412&amp;"",lst_Jobs,0)),""))</f>
        <v/>
      </c>
      <c r="F412" s="37" t="n"/>
      <c r="G412" s="37" t="n"/>
      <c r="H412" s="37" t="n"/>
      <c r="I412" s="37" t="n"/>
      <c r="J412" s="37" t="n"/>
      <c r="K412" s="38">
        <f>IF($C412="","",IFERROR(N(INDEX(tbl_Finance[Invoice Count],MATCH($AE412,tbl_Finance[Row ID],0))),""))</f>
        <v/>
      </c>
      <c r="L412" s="11">
        <f>IF($C412="","",IFERROR(N(INDEX(tbl_Finance[Xero Invoiced Ex GST],MATCH($AE412,tbl_Finance[Row ID],0))),""))</f>
        <v/>
      </c>
      <c r="M412" s="10">
        <f>IF($C412="","",IFERROR(INDEX(tbl_Finance[Compare],MATCH($AE412,tbl_Finance[Row ID],0))&amp;"",""))</f>
        <v/>
      </c>
      <c r="N412" s="11">
        <f>IF($C412="","",MAX(0,N(O412)-N(L412)))</f>
        <v/>
      </c>
      <c r="O412" s="39" t="n"/>
      <c r="P412" s="40">
        <f>IF($C412="","",IF((IF(F412="",", Client","")&amp;IF(G412="",", Description","")&amp;IF(H412="",", Cost Centre","")&amp;IF(I412="",", Invoice Type","")&amp;IF(J412="",", Tax Code","")&amp;IF(O412="",", Expected Revenue","")&amp;IF(COUNTIF(tbl_Finance[Job Number],$C412&amp;"")&gt;1,", Job number used twice",""))="","Complete","Fix: "&amp;MID(IF(F412="",", Client","")&amp;IF(G412="",", Description","")&amp;IF(H412="",", Cost Centre","")&amp;IF(I412="",", Invoice Type","")&amp;IF(J412="",", Tax Code","")&amp;IF(O412="",", Expected Revenue","")&amp;IF(COUNTIF(tbl_Finance[Job Number],$C412&amp;"")&gt;1,", Job number used twice",""),3,300)))</f>
        <v/>
      </c>
      <c r="Q412" s="10">
        <f>IF($C412="","",IF(H412="","(no cost centre)",H412&amp;" - GL "&amp;IFERROR(INDEX(lst_CCtoGL,MATCH(H412,lst_CCforGL,0)),"?")))</f>
        <v/>
      </c>
      <c r="R412" s="37" t="n"/>
      <c r="S412" s="10">
        <f>IF(R412="","",HYPERLINK(IF(LEFT(R412,4)="http",R412,set_QwilrBase&amp;R412),"Open quote"))</f>
        <v/>
      </c>
      <c r="T412" s="39" t="n"/>
      <c r="U412" s="39" t="n"/>
      <c r="V412" s="39" t="n"/>
      <c r="W412" s="10">
        <f>IF(C412="","",IF(N(T412)+N(U412)+N(V412)=0,"Not split",IF(ROUND(N(T412)+N(U412)+N(V412),2)=ROUND(MAX(N(L412),N(O412)),2),"OK","MISMATCH")))</f>
        <v/>
      </c>
      <c r="X412" s="39" t="n"/>
      <c r="Y412" s="39" t="n"/>
      <c r="Z412" s="39" t="n"/>
      <c r="AA412" s="11">
        <f>IF(C412="","",N(X412)+N(Y412)+N(Z412))</f>
        <v/>
      </c>
      <c r="AB412" s="11">
        <f>IF(C412="","",MAX(N(L412),N(O412))-N(AA412))</f>
        <v/>
      </c>
      <c r="AC412" s="43">
        <f>IFERROR(IF(MAX(N(L412),N(O412))=0,"",AB412/MAX(N(L412),N(O412))),"")</f>
        <v/>
      </c>
      <c r="AD412" s="37" t="n"/>
      <c r="AE412" s="10" t="inlineStr">
        <is>
          <t>CON-0408</t>
        </is>
      </c>
    </row>
    <row r="413">
      <c r="A413" s="16">
        <f>IF($C413="","",IFERROR(IF(INDEX(tbl_Finance[Latest Invoice Date],MATCH($AE413,tbl_Finance[Row ID],0))="","",INDEX(tbl_Finance[Latest Invoice Date],MATCH($AE413,tbl_Finance[Row ID],0))),""))</f>
        <v/>
      </c>
      <c r="B413" s="10">
        <f>IF($C413="","",IFERROR(INDEX(tbl_Finance[Invoice Numbers],MATCH($AE413,tbl_Finance[Row ID],0))&amp;"",""))</f>
        <v/>
      </c>
      <c r="C413" s="37" t="n"/>
      <c r="D413" s="10">
        <f>IF($C413="","",IF(COUNTIF(lst_Jobs,$C413&amp;"")&gt;0,"OK","CHECK"))</f>
        <v/>
      </c>
      <c r="E413" s="10">
        <f>IF($C413="","",IFERROR(INDEX(lst_JobName,MATCH($C413&amp;"",lst_Jobs,0)),""))</f>
        <v/>
      </c>
      <c r="F413" s="37" t="n"/>
      <c r="G413" s="37" t="n"/>
      <c r="H413" s="37" t="n"/>
      <c r="I413" s="37" t="n"/>
      <c r="J413" s="37" t="n"/>
      <c r="K413" s="38">
        <f>IF($C413="","",IFERROR(N(INDEX(tbl_Finance[Invoice Count],MATCH($AE413,tbl_Finance[Row ID],0))),""))</f>
        <v/>
      </c>
      <c r="L413" s="11">
        <f>IF($C413="","",IFERROR(N(INDEX(tbl_Finance[Xero Invoiced Ex GST],MATCH($AE413,tbl_Finance[Row ID],0))),""))</f>
        <v/>
      </c>
      <c r="M413" s="10">
        <f>IF($C413="","",IFERROR(INDEX(tbl_Finance[Compare],MATCH($AE413,tbl_Finance[Row ID],0))&amp;"",""))</f>
        <v/>
      </c>
      <c r="N413" s="11">
        <f>IF($C413="","",MAX(0,N(O413)-N(L413)))</f>
        <v/>
      </c>
      <c r="O413" s="39" t="n"/>
      <c r="P413" s="40">
        <f>IF($C413="","",IF((IF(F413="",", Client","")&amp;IF(G413="",", Description","")&amp;IF(H413="",", Cost Centre","")&amp;IF(I413="",", Invoice Type","")&amp;IF(J413="",", Tax Code","")&amp;IF(O413="",", Expected Revenue","")&amp;IF(COUNTIF(tbl_Finance[Job Number],$C413&amp;"")&gt;1,", Job number used twice",""))="","Complete","Fix: "&amp;MID(IF(F413="",", Client","")&amp;IF(G413="",", Description","")&amp;IF(H413="",", Cost Centre","")&amp;IF(I413="",", Invoice Type","")&amp;IF(J413="",", Tax Code","")&amp;IF(O413="",", Expected Revenue","")&amp;IF(COUNTIF(tbl_Finance[Job Number],$C413&amp;"")&gt;1,", Job number used twice",""),3,300)))</f>
        <v/>
      </c>
      <c r="Q413" s="10">
        <f>IF($C413="","",IF(H413="","(no cost centre)",H413&amp;" - GL "&amp;IFERROR(INDEX(lst_CCtoGL,MATCH(H413,lst_CCforGL,0)),"?")))</f>
        <v/>
      </c>
      <c r="R413" s="37" t="n"/>
      <c r="S413" s="10">
        <f>IF(R413="","",HYPERLINK(IF(LEFT(R413,4)="http",R413,set_QwilrBase&amp;R413),"Open quote"))</f>
        <v/>
      </c>
      <c r="T413" s="39" t="n"/>
      <c r="U413" s="39" t="n"/>
      <c r="V413" s="39" t="n"/>
      <c r="W413" s="10">
        <f>IF(C413="","",IF(N(T413)+N(U413)+N(V413)=0,"Not split",IF(ROUND(N(T413)+N(U413)+N(V413),2)=ROUND(MAX(N(L413),N(O413)),2),"OK","MISMATCH")))</f>
        <v/>
      </c>
      <c r="X413" s="39" t="n"/>
      <c r="Y413" s="39" t="n"/>
      <c r="Z413" s="39" t="n"/>
      <c r="AA413" s="11">
        <f>IF(C413="","",N(X413)+N(Y413)+N(Z413))</f>
        <v/>
      </c>
      <c r="AB413" s="11">
        <f>IF(C413="","",MAX(N(L413),N(O413))-N(AA413))</f>
        <v/>
      </c>
      <c r="AC413" s="43">
        <f>IFERROR(IF(MAX(N(L413),N(O413))=0,"",AB413/MAX(N(L413),N(O413))),"")</f>
        <v/>
      </c>
      <c r="AD413" s="37" t="n"/>
      <c r="AE413" s="10" t="inlineStr">
        <is>
          <t>CON-0409</t>
        </is>
      </c>
    </row>
    <row r="414">
      <c r="A414" s="16">
        <f>IF($C414="","",IFERROR(IF(INDEX(tbl_Finance[Latest Invoice Date],MATCH($AE414,tbl_Finance[Row ID],0))="","",INDEX(tbl_Finance[Latest Invoice Date],MATCH($AE414,tbl_Finance[Row ID],0))),""))</f>
        <v/>
      </c>
      <c r="B414" s="10">
        <f>IF($C414="","",IFERROR(INDEX(tbl_Finance[Invoice Numbers],MATCH($AE414,tbl_Finance[Row ID],0))&amp;"",""))</f>
        <v/>
      </c>
      <c r="C414" s="37" t="n"/>
      <c r="D414" s="10">
        <f>IF($C414="","",IF(COUNTIF(lst_Jobs,$C414&amp;"")&gt;0,"OK","CHECK"))</f>
        <v/>
      </c>
      <c r="E414" s="10">
        <f>IF($C414="","",IFERROR(INDEX(lst_JobName,MATCH($C414&amp;"",lst_Jobs,0)),""))</f>
        <v/>
      </c>
      <c r="F414" s="37" t="n"/>
      <c r="G414" s="37" t="n"/>
      <c r="H414" s="37" t="n"/>
      <c r="I414" s="37" t="n"/>
      <c r="J414" s="37" t="n"/>
      <c r="K414" s="38">
        <f>IF($C414="","",IFERROR(N(INDEX(tbl_Finance[Invoice Count],MATCH($AE414,tbl_Finance[Row ID],0))),""))</f>
        <v/>
      </c>
      <c r="L414" s="11">
        <f>IF($C414="","",IFERROR(N(INDEX(tbl_Finance[Xero Invoiced Ex GST],MATCH($AE414,tbl_Finance[Row ID],0))),""))</f>
        <v/>
      </c>
      <c r="M414" s="10">
        <f>IF($C414="","",IFERROR(INDEX(tbl_Finance[Compare],MATCH($AE414,tbl_Finance[Row ID],0))&amp;"",""))</f>
        <v/>
      </c>
      <c r="N414" s="11">
        <f>IF($C414="","",MAX(0,N(O414)-N(L414)))</f>
        <v/>
      </c>
      <c r="O414" s="39" t="n"/>
      <c r="P414" s="40">
        <f>IF($C414="","",IF((IF(F414="",", Client","")&amp;IF(G414="",", Description","")&amp;IF(H414="",", Cost Centre","")&amp;IF(I414="",", Invoice Type","")&amp;IF(J414="",", Tax Code","")&amp;IF(O414="",", Expected Revenue","")&amp;IF(COUNTIF(tbl_Finance[Job Number],$C414&amp;"")&gt;1,", Job number used twice",""))="","Complete","Fix: "&amp;MID(IF(F414="",", Client","")&amp;IF(G414="",", Description","")&amp;IF(H414="",", Cost Centre","")&amp;IF(I414="",", Invoice Type","")&amp;IF(J414="",", Tax Code","")&amp;IF(O414="",", Expected Revenue","")&amp;IF(COUNTIF(tbl_Finance[Job Number],$C414&amp;"")&gt;1,", Job number used twice",""),3,300)))</f>
        <v/>
      </c>
      <c r="Q414" s="10">
        <f>IF($C414="","",IF(H414="","(no cost centre)",H414&amp;" - GL "&amp;IFERROR(INDEX(lst_CCtoGL,MATCH(H414,lst_CCforGL,0)),"?")))</f>
        <v/>
      </c>
      <c r="R414" s="37" t="n"/>
      <c r="S414" s="10">
        <f>IF(R414="","",HYPERLINK(IF(LEFT(R414,4)="http",R414,set_QwilrBase&amp;R414),"Open quote"))</f>
        <v/>
      </c>
      <c r="T414" s="39" t="n"/>
      <c r="U414" s="39" t="n"/>
      <c r="V414" s="39" t="n"/>
      <c r="W414" s="10">
        <f>IF(C414="","",IF(N(T414)+N(U414)+N(V414)=0,"Not split",IF(ROUND(N(T414)+N(U414)+N(V414),2)=ROUND(MAX(N(L414),N(O414)),2),"OK","MISMATCH")))</f>
        <v/>
      </c>
      <c r="X414" s="39" t="n"/>
      <c r="Y414" s="39" t="n"/>
      <c r="Z414" s="39" t="n"/>
      <c r="AA414" s="11">
        <f>IF(C414="","",N(X414)+N(Y414)+N(Z414))</f>
        <v/>
      </c>
      <c r="AB414" s="11">
        <f>IF(C414="","",MAX(N(L414),N(O414))-N(AA414))</f>
        <v/>
      </c>
      <c r="AC414" s="43">
        <f>IFERROR(IF(MAX(N(L414),N(O414))=0,"",AB414/MAX(N(L414),N(O414))),"")</f>
        <v/>
      </c>
      <c r="AD414" s="37" t="n"/>
      <c r="AE414" s="10" t="inlineStr">
        <is>
          <t>CON-0410</t>
        </is>
      </c>
    </row>
    <row r="415">
      <c r="A415" s="16">
        <f>IF($C415="","",IFERROR(IF(INDEX(tbl_Finance[Latest Invoice Date],MATCH($AE415,tbl_Finance[Row ID],0))="","",INDEX(tbl_Finance[Latest Invoice Date],MATCH($AE415,tbl_Finance[Row ID],0))),""))</f>
        <v/>
      </c>
      <c r="B415" s="10">
        <f>IF($C415="","",IFERROR(INDEX(tbl_Finance[Invoice Numbers],MATCH($AE415,tbl_Finance[Row ID],0))&amp;"",""))</f>
        <v/>
      </c>
      <c r="C415" s="37" t="n"/>
      <c r="D415" s="10">
        <f>IF($C415="","",IF(COUNTIF(lst_Jobs,$C415&amp;"")&gt;0,"OK","CHECK"))</f>
        <v/>
      </c>
      <c r="E415" s="10">
        <f>IF($C415="","",IFERROR(INDEX(lst_JobName,MATCH($C415&amp;"",lst_Jobs,0)),""))</f>
        <v/>
      </c>
      <c r="F415" s="37" t="n"/>
      <c r="G415" s="37" t="n"/>
      <c r="H415" s="37" t="n"/>
      <c r="I415" s="37" t="n"/>
      <c r="J415" s="37" t="n"/>
      <c r="K415" s="38">
        <f>IF($C415="","",IFERROR(N(INDEX(tbl_Finance[Invoice Count],MATCH($AE415,tbl_Finance[Row ID],0))),""))</f>
        <v/>
      </c>
      <c r="L415" s="11">
        <f>IF($C415="","",IFERROR(N(INDEX(tbl_Finance[Xero Invoiced Ex GST],MATCH($AE415,tbl_Finance[Row ID],0))),""))</f>
        <v/>
      </c>
      <c r="M415" s="10">
        <f>IF($C415="","",IFERROR(INDEX(tbl_Finance[Compare],MATCH($AE415,tbl_Finance[Row ID],0))&amp;"",""))</f>
        <v/>
      </c>
      <c r="N415" s="11">
        <f>IF($C415="","",MAX(0,N(O415)-N(L415)))</f>
        <v/>
      </c>
      <c r="O415" s="39" t="n"/>
      <c r="P415" s="40">
        <f>IF($C415="","",IF((IF(F415="",", Client","")&amp;IF(G415="",", Description","")&amp;IF(H415="",", Cost Centre","")&amp;IF(I415="",", Invoice Type","")&amp;IF(J415="",", Tax Code","")&amp;IF(O415="",", Expected Revenue","")&amp;IF(COUNTIF(tbl_Finance[Job Number],$C415&amp;"")&gt;1,", Job number used twice",""))="","Complete","Fix: "&amp;MID(IF(F415="",", Client","")&amp;IF(G415="",", Description","")&amp;IF(H415="",", Cost Centre","")&amp;IF(I415="",", Invoice Type","")&amp;IF(J415="",", Tax Code","")&amp;IF(O415="",", Expected Revenue","")&amp;IF(COUNTIF(tbl_Finance[Job Number],$C415&amp;"")&gt;1,", Job number used twice",""),3,300)))</f>
        <v/>
      </c>
      <c r="Q415" s="10">
        <f>IF($C415="","",IF(H415="","(no cost centre)",H415&amp;" - GL "&amp;IFERROR(INDEX(lst_CCtoGL,MATCH(H415,lst_CCforGL,0)),"?")))</f>
        <v/>
      </c>
      <c r="R415" s="37" t="n"/>
      <c r="S415" s="10">
        <f>IF(R415="","",HYPERLINK(IF(LEFT(R415,4)="http",R415,set_QwilrBase&amp;R415),"Open quote"))</f>
        <v/>
      </c>
      <c r="T415" s="39" t="n"/>
      <c r="U415" s="39" t="n"/>
      <c r="V415" s="39" t="n"/>
      <c r="W415" s="10">
        <f>IF(C415="","",IF(N(T415)+N(U415)+N(V415)=0,"Not split",IF(ROUND(N(T415)+N(U415)+N(V415),2)=ROUND(MAX(N(L415),N(O415)),2),"OK","MISMATCH")))</f>
        <v/>
      </c>
      <c r="X415" s="39" t="n"/>
      <c r="Y415" s="39" t="n"/>
      <c r="Z415" s="39" t="n"/>
      <c r="AA415" s="11">
        <f>IF(C415="","",N(X415)+N(Y415)+N(Z415))</f>
        <v/>
      </c>
      <c r="AB415" s="11">
        <f>IF(C415="","",MAX(N(L415),N(O415))-N(AA415))</f>
        <v/>
      </c>
      <c r="AC415" s="43">
        <f>IFERROR(IF(MAX(N(L415),N(O415))=0,"",AB415/MAX(N(L415),N(O415))),"")</f>
        <v/>
      </c>
      <c r="AD415" s="37" t="n"/>
      <c r="AE415" s="10" t="inlineStr">
        <is>
          <t>CON-0411</t>
        </is>
      </c>
    </row>
    <row r="416">
      <c r="A416" s="16">
        <f>IF($C416="","",IFERROR(IF(INDEX(tbl_Finance[Latest Invoice Date],MATCH($AE416,tbl_Finance[Row ID],0))="","",INDEX(tbl_Finance[Latest Invoice Date],MATCH($AE416,tbl_Finance[Row ID],0))),""))</f>
        <v/>
      </c>
      <c r="B416" s="10">
        <f>IF($C416="","",IFERROR(INDEX(tbl_Finance[Invoice Numbers],MATCH($AE416,tbl_Finance[Row ID],0))&amp;"",""))</f>
        <v/>
      </c>
      <c r="C416" s="37" t="n"/>
      <c r="D416" s="10">
        <f>IF($C416="","",IF(COUNTIF(lst_Jobs,$C416&amp;"")&gt;0,"OK","CHECK"))</f>
        <v/>
      </c>
      <c r="E416" s="10">
        <f>IF($C416="","",IFERROR(INDEX(lst_JobName,MATCH($C416&amp;"",lst_Jobs,0)),""))</f>
        <v/>
      </c>
      <c r="F416" s="37" t="n"/>
      <c r="G416" s="37" t="n"/>
      <c r="H416" s="37" t="n"/>
      <c r="I416" s="37" t="n"/>
      <c r="J416" s="37" t="n"/>
      <c r="K416" s="38">
        <f>IF($C416="","",IFERROR(N(INDEX(tbl_Finance[Invoice Count],MATCH($AE416,tbl_Finance[Row ID],0))),""))</f>
        <v/>
      </c>
      <c r="L416" s="11">
        <f>IF($C416="","",IFERROR(N(INDEX(tbl_Finance[Xero Invoiced Ex GST],MATCH($AE416,tbl_Finance[Row ID],0))),""))</f>
        <v/>
      </c>
      <c r="M416" s="10">
        <f>IF($C416="","",IFERROR(INDEX(tbl_Finance[Compare],MATCH($AE416,tbl_Finance[Row ID],0))&amp;"",""))</f>
        <v/>
      </c>
      <c r="N416" s="11">
        <f>IF($C416="","",MAX(0,N(O416)-N(L416)))</f>
        <v/>
      </c>
      <c r="O416" s="39" t="n"/>
      <c r="P416" s="40">
        <f>IF($C416="","",IF((IF(F416="",", Client","")&amp;IF(G416="",", Description","")&amp;IF(H416="",", Cost Centre","")&amp;IF(I416="",", Invoice Type","")&amp;IF(J416="",", Tax Code","")&amp;IF(O416="",", Expected Revenue","")&amp;IF(COUNTIF(tbl_Finance[Job Number],$C416&amp;"")&gt;1,", Job number used twice",""))="","Complete","Fix: "&amp;MID(IF(F416="",", Client","")&amp;IF(G416="",", Description","")&amp;IF(H416="",", Cost Centre","")&amp;IF(I416="",", Invoice Type","")&amp;IF(J416="",", Tax Code","")&amp;IF(O416="",", Expected Revenue","")&amp;IF(COUNTIF(tbl_Finance[Job Number],$C416&amp;"")&gt;1,", Job number used twice",""),3,300)))</f>
        <v/>
      </c>
      <c r="Q416" s="10">
        <f>IF($C416="","",IF(H416="","(no cost centre)",H416&amp;" - GL "&amp;IFERROR(INDEX(lst_CCtoGL,MATCH(H416,lst_CCforGL,0)),"?")))</f>
        <v/>
      </c>
      <c r="R416" s="37" t="n"/>
      <c r="S416" s="10">
        <f>IF(R416="","",HYPERLINK(IF(LEFT(R416,4)="http",R416,set_QwilrBase&amp;R416),"Open quote"))</f>
        <v/>
      </c>
      <c r="T416" s="39" t="n"/>
      <c r="U416" s="39" t="n"/>
      <c r="V416" s="39" t="n"/>
      <c r="W416" s="10">
        <f>IF(C416="","",IF(N(T416)+N(U416)+N(V416)=0,"Not split",IF(ROUND(N(T416)+N(U416)+N(V416),2)=ROUND(MAX(N(L416),N(O416)),2),"OK","MISMATCH")))</f>
        <v/>
      </c>
      <c r="X416" s="39" t="n"/>
      <c r="Y416" s="39" t="n"/>
      <c r="Z416" s="39" t="n"/>
      <c r="AA416" s="11">
        <f>IF(C416="","",N(X416)+N(Y416)+N(Z416))</f>
        <v/>
      </c>
      <c r="AB416" s="11">
        <f>IF(C416="","",MAX(N(L416),N(O416))-N(AA416))</f>
        <v/>
      </c>
      <c r="AC416" s="43">
        <f>IFERROR(IF(MAX(N(L416),N(O416))=0,"",AB416/MAX(N(L416),N(O416))),"")</f>
        <v/>
      </c>
      <c r="AD416" s="37" t="n"/>
      <c r="AE416" s="10" t="inlineStr">
        <is>
          <t>CON-0412</t>
        </is>
      </c>
    </row>
    <row r="417">
      <c r="A417" s="16">
        <f>IF($C417="","",IFERROR(IF(INDEX(tbl_Finance[Latest Invoice Date],MATCH($AE417,tbl_Finance[Row ID],0))="","",INDEX(tbl_Finance[Latest Invoice Date],MATCH($AE417,tbl_Finance[Row ID],0))),""))</f>
        <v/>
      </c>
      <c r="B417" s="10">
        <f>IF($C417="","",IFERROR(INDEX(tbl_Finance[Invoice Numbers],MATCH($AE417,tbl_Finance[Row ID],0))&amp;"",""))</f>
        <v/>
      </c>
      <c r="C417" s="37" t="n"/>
      <c r="D417" s="10">
        <f>IF($C417="","",IF(COUNTIF(lst_Jobs,$C417&amp;"")&gt;0,"OK","CHECK"))</f>
        <v/>
      </c>
      <c r="E417" s="10">
        <f>IF($C417="","",IFERROR(INDEX(lst_JobName,MATCH($C417&amp;"",lst_Jobs,0)),""))</f>
        <v/>
      </c>
      <c r="F417" s="37" t="n"/>
      <c r="G417" s="37" t="n"/>
      <c r="H417" s="37" t="n"/>
      <c r="I417" s="37" t="n"/>
      <c r="J417" s="37" t="n"/>
      <c r="K417" s="38">
        <f>IF($C417="","",IFERROR(N(INDEX(tbl_Finance[Invoice Count],MATCH($AE417,tbl_Finance[Row ID],0))),""))</f>
        <v/>
      </c>
      <c r="L417" s="11">
        <f>IF($C417="","",IFERROR(N(INDEX(tbl_Finance[Xero Invoiced Ex GST],MATCH($AE417,tbl_Finance[Row ID],0))),""))</f>
        <v/>
      </c>
      <c r="M417" s="10">
        <f>IF($C417="","",IFERROR(INDEX(tbl_Finance[Compare],MATCH($AE417,tbl_Finance[Row ID],0))&amp;"",""))</f>
        <v/>
      </c>
      <c r="N417" s="11">
        <f>IF($C417="","",MAX(0,N(O417)-N(L417)))</f>
        <v/>
      </c>
      <c r="O417" s="39" t="n"/>
      <c r="P417" s="40">
        <f>IF($C417="","",IF((IF(F417="",", Client","")&amp;IF(G417="",", Description","")&amp;IF(H417="",", Cost Centre","")&amp;IF(I417="",", Invoice Type","")&amp;IF(J417="",", Tax Code","")&amp;IF(O417="",", Expected Revenue","")&amp;IF(COUNTIF(tbl_Finance[Job Number],$C417&amp;"")&gt;1,", Job number used twice",""))="","Complete","Fix: "&amp;MID(IF(F417="",", Client","")&amp;IF(G417="",", Description","")&amp;IF(H417="",", Cost Centre","")&amp;IF(I417="",", Invoice Type","")&amp;IF(J417="",", Tax Code","")&amp;IF(O417="",", Expected Revenue","")&amp;IF(COUNTIF(tbl_Finance[Job Number],$C417&amp;"")&gt;1,", Job number used twice",""),3,300)))</f>
        <v/>
      </c>
      <c r="Q417" s="10">
        <f>IF($C417="","",IF(H417="","(no cost centre)",H417&amp;" - GL "&amp;IFERROR(INDEX(lst_CCtoGL,MATCH(H417,lst_CCforGL,0)),"?")))</f>
        <v/>
      </c>
      <c r="R417" s="37" t="n"/>
      <c r="S417" s="10">
        <f>IF(R417="","",HYPERLINK(IF(LEFT(R417,4)="http",R417,set_QwilrBase&amp;R417),"Open quote"))</f>
        <v/>
      </c>
      <c r="T417" s="39" t="n"/>
      <c r="U417" s="39" t="n"/>
      <c r="V417" s="39" t="n"/>
      <c r="W417" s="10">
        <f>IF(C417="","",IF(N(T417)+N(U417)+N(V417)=0,"Not split",IF(ROUND(N(T417)+N(U417)+N(V417),2)=ROUND(MAX(N(L417),N(O417)),2),"OK","MISMATCH")))</f>
        <v/>
      </c>
      <c r="X417" s="39" t="n"/>
      <c r="Y417" s="39" t="n"/>
      <c r="Z417" s="39" t="n"/>
      <c r="AA417" s="11">
        <f>IF(C417="","",N(X417)+N(Y417)+N(Z417))</f>
        <v/>
      </c>
      <c r="AB417" s="11">
        <f>IF(C417="","",MAX(N(L417),N(O417))-N(AA417))</f>
        <v/>
      </c>
      <c r="AC417" s="43">
        <f>IFERROR(IF(MAX(N(L417),N(O417))=0,"",AB417/MAX(N(L417),N(O417))),"")</f>
        <v/>
      </c>
      <c r="AD417" s="37" t="n"/>
      <c r="AE417" s="10" t="inlineStr">
        <is>
          <t>CON-0413</t>
        </is>
      </c>
    </row>
    <row r="418">
      <c r="A418" s="16">
        <f>IF($C418="","",IFERROR(IF(INDEX(tbl_Finance[Latest Invoice Date],MATCH($AE418,tbl_Finance[Row ID],0))="","",INDEX(tbl_Finance[Latest Invoice Date],MATCH($AE418,tbl_Finance[Row ID],0))),""))</f>
        <v/>
      </c>
      <c r="B418" s="10">
        <f>IF($C418="","",IFERROR(INDEX(tbl_Finance[Invoice Numbers],MATCH($AE418,tbl_Finance[Row ID],0))&amp;"",""))</f>
        <v/>
      </c>
      <c r="C418" s="37" t="n"/>
      <c r="D418" s="10">
        <f>IF($C418="","",IF(COUNTIF(lst_Jobs,$C418&amp;"")&gt;0,"OK","CHECK"))</f>
        <v/>
      </c>
      <c r="E418" s="10">
        <f>IF($C418="","",IFERROR(INDEX(lst_JobName,MATCH($C418&amp;"",lst_Jobs,0)),""))</f>
        <v/>
      </c>
      <c r="F418" s="37" t="n"/>
      <c r="G418" s="37" t="n"/>
      <c r="H418" s="37" t="n"/>
      <c r="I418" s="37" t="n"/>
      <c r="J418" s="37" t="n"/>
      <c r="K418" s="38">
        <f>IF($C418="","",IFERROR(N(INDEX(tbl_Finance[Invoice Count],MATCH($AE418,tbl_Finance[Row ID],0))),""))</f>
        <v/>
      </c>
      <c r="L418" s="11">
        <f>IF($C418="","",IFERROR(N(INDEX(tbl_Finance[Xero Invoiced Ex GST],MATCH($AE418,tbl_Finance[Row ID],0))),""))</f>
        <v/>
      </c>
      <c r="M418" s="10">
        <f>IF($C418="","",IFERROR(INDEX(tbl_Finance[Compare],MATCH($AE418,tbl_Finance[Row ID],0))&amp;"",""))</f>
        <v/>
      </c>
      <c r="N418" s="11">
        <f>IF($C418="","",MAX(0,N(O418)-N(L418)))</f>
        <v/>
      </c>
      <c r="O418" s="39" t="n"/>
      <c r="P418" s="40">
        <f>IF($C418="","",IF((IF(F418="",", Client","")&amp;IF(G418="",", Description","")&amp;IF(H418="",", Cost Centre","")&amp;IF(I418="",", Invoice Type","")&amp;IF(J418="",", Tax Code","")&amp;IF(O418="",", Expected Revenue","")&amp;IF(COUNTIF(tbl_Finance[Job Number],$C418&amp;"")&gt;1,", Job number used twice",""))="","Complete","Fix: "&amp;MID(IF(F418="",", Client","")&amp;IF(G418="",", Description","")&amp;IF(H418="",", Cost Centre","")&amp;IF(I418="",", Invoice Type","")&amp;IF(J418="",", Tax Code","")&amp;IF(O418="",", Expected Revenue","")&amp;IF(COUNTIF(tbl_Finance[Job Number],$C418&amp;"")&gt;1,", Job number used twice",""),3,300)))</f>
        <v/>
      </c>
      <c r="Q418" s="10">
        <f>IF($C418="","",IF(H418="","(no cost centre)",H418&amp;" - GL "&amp;IFERROR(INDEX(lst_CCtoGL,MATCH(H418,lst_CCforGL,0)),"?")))</f>
        <v/>
      </c>
      <c r="R418" s="37" t="n"/>
      <c r="S418" s="10">
        <f>IF(R418="","",HYPERLINK(IF(LEFT(R418,4)="http",R418,set_QwilrBase&amp;R418),"Open quote"))</f>
        <v/>
      </c>
      <c r="T418" s="39" t="n"/>
      <c r="U418" s="39" t="n"/>
      <c r="V418" s="39" t="n"/>
      <c r="W418" s="10">
        <f>IF(C418="","",IF(N(T418)+N(U418)+N(V418)=0,"Not split",IF(ROUND(N(T418)+N(U418)+N(V418),2)=ROUND(MAX(N(L418),N(O418)),2),"OK","MISMATCH")))</f>
        <v/>
      </c>
      <c r="X418" s="39" t="n"/>
      <c r="Y418" s="39" t="n"/>
      <c r="Z418" s="39" t="n"/>
      <c r="AA418" s="11">
        <f>IF(C418="","",N(X418)+N(Y418)+N(Z418))</f>
        <v/>
      </c>
      <c r="AB418" s="11">
        <f>IF(C418="","",MAX(N(L418),N(O418))-N(AA418))</f>
        <v/>
      </c>
      <c r="AC418" s="43">
        <f>IFERROR(IF(MAX(N(L418),N(O418))=0,"",AB418/MAX(N(L418),N(O418))),"")</f>
        <v/>
      </c>
      <c r="AD418" s="37" t="n"/>
      <c r="AE418" s="10" t="inlineStr">
        <is>
          <t>CON-0414</t>
        </is>
      </c>
    </row>
    <row r="419">
      <c r="A419" s="16">
        <f>IF($C419="","",IFERROR(IF(INDEX(tbl_Finance[Latest Invoice Date],MATCH($AE419,tbl_Finance[Row ID],0))="","",INDEX(tbl_Finance[Latest Invoice Date],MATCH($AE419,tbl_Finance[Row ID],0))),""))</f>
        <v/>
      </c>
      <c r="B419" s="10">
        <f>IF($C419="","",IFERROR(INDEX(tbl_Finance[Invoice Numbers],MATCH($AE419,tbl_Finance[Row ID],0))&amp;"",""))</f>
        <v/>
      </c>
      <c r="C419" s="37" t="n"/>
      <c r="D419" s="10">
        <f>IF($C419="","",IF(COUNTIF(lst_Jobs,$C419&amp;"")&gt;0,"OK","CHECK"))</f>
        <v/>
      </c>
      <c r="E419" s="10">
        <f>IF($C419="","",IFERROR(INDEX(lst_JobName,MATCH($C419&amp;"",lst_Jobs,0)),""))</f>
        <v/>
      </c>
      <c r="F419" s="37" t="n"/>
      <c r="G419" s="37" t="n"/>
      <c r="H419" s="37" t="n"/>
      <c r="I419" s="37" t="n"/>
      <c r="J419" s="37" t="n"/>
      <c r="K419" s="38">
        <f>IF($C419="","",IFERROR(N(INDEX(tbl_Finance[Invoice Count],MATCH($AE419,tbl_Finance[Row ID],0))),""))</f>
        <v/>
      </c>
      <c r="L419" s="11">
        <f>IF($C419="","",IFERROR(N(INDEX(tbl_Finance[Xero Invoiced Ex GST],MATCH($AE419,tbl_Finance[Row ID],0))),""))</f>
        <v/>
      </c>
      <c r="M419" s="10">
        <f>IF($C419="","",IFERROR(INDEX(tbl_Finance[Compare],MATCH($AE419,tbl_Finance[Row ID],0))&amp;"",""))</f>
        <v/>
      </c>
      <c r="N419" s="11">
        <f>IF($C419="","",MAX(0,N(O419)-N(L419)))</f>
        <v/>
      </c>
      <c r="O419" s="39" t="n"/>
      <c r="P419" s="40">
        <f>IF($C419="","",IF((IF(F419="",", Client","")&amp;IF(G419="",", Description","")&amp;IF(H419="",", Cost Centre","")&amp;IF(I419="",", Invoice Type","")&amp;IF(J419="",", Tax Code","")&amp;IF(O419="",", Expected Revenue","")&amp;IF(COUNTIF(tbl_Finance[Job Number],$C419&amp;"")&gt;1,", Job number used twice",""))="","Complete","Fix: "&amp;MID(IF(F419="",", Client","")&amp;IF(G419="",", Description","")&amp;IF(H419="",", Cost Centre","")&amp;IF(I419="",", Invoice Type","")&amp;IF(J419="",", Tax Code","")&amp;IF(O419="",", Expected Revenue","")&amp;IF(COUNTIF(tbl_Finance[Job Number],$C419&amp;"")&gt;1,", Job number used twice",""),3,300)))</f>
        <v/>
      </c>
      <c r="Q419" s="10">
        <f>IF($C419="","",IF(H419="","(no cost centre)",H419&amp;" - GL "&amp;IFERROR(INDEX(lst_CCtoGL,MATCH(H419,lst_CCforGL,0)),"?")))</f>
        <v/>
      </c>
      <c r="R419" s="37" t="n"/>
      <c r="S419" s="10">
        <f>IF(R419="","",HYPERLINK(IF(LEFT(R419,4)="http",R419,set_QwilrBase&amp;R419),"Open quote"))</f>
        <v/>
      </c>
      <c r="T419" s="39" t="n"/>
      <c r="U419" s="39" t="n"/>
      <c r="V419" s="39" t="n"/>
      <c r="W419" s="10">
        <f>IF(C419="","",IF(N(T419)+N(U419)+N(V419)=0,"Not split",IF(ROUND(N(T419)+N(U419)+N(V419),2)=ROUND(MAX(N(L419),N(O419)),2),"OK","MISMATCH")))</f>
        <v/>
      </c>
      <c r="X419" s="39" t="n"/>
      <c r="Y419" s="39" t="n"/>
      <c r="Z419" s="39" t="n"/>
      <c r="AA419" s="11">
        <f>IF(C419="","",N(X419)+N(Y419)+N(Z419))</f>
        <v/>
      </c>
      <c r="AB419" s="11">
        <f>IF(C419="","",MAX(N(L419),N(O419))-N(AA419))</f>
        <v/>
      </c>
      <c r="AC419" s="43">
        <f>IFERROR(IF(MAX(N(L419),N(O419))=0,"",AB419/MAX(N(L419),N(O419))),"")</f>
        <v/>
      </c>
      <c r="AD419" s="37" t="n"/>
      <c r="AE419" s="10" t="inlineStr">
        <is>
          <t>CON-0415</t>
        </is>
      </c>
    </row>
    <row r="420">
      <c r="A420" s="16">
        <f>IF($C420="","",IFERROR(IF(INDEX(tbl_Finance[Latest Invoice Date],MATCH($AE420,tbl_Finance[Row ID],0))="","",INDEX(tbl_Finance[Latest Invoice Date],MATCH($AE420,tbl_Finance[Row ID],0))),""))</f>
        <v/>
      </c>
      <c r="B420" s="10">
        <f>IF($C420="","",IFERROR(INDEX(tbl_Finance[Invoice Numbers],MATCH($AE420,tbl_Finance[Row ID],0))&amp;"",""))</f>
        <v/>
      </c>
      <c r="C420" s="37" t="n"/>
      <c r="D420" s="10">
        <f>IF($C420="","",IF(COUNTIF(lst_Jobs,$C420&amp;"")&gt;0,"OK","CHECK"))</f>
        <v/>
      </c>
      <c r="E420" s="10">
        <f>IF($C420="","",IFERROR(INDEX(lst_JobName,MATCH($C420&amp;"",lst_Jobs,0)),""))</f>
        <v/>
      </c>
      <c r="F420" s="37" t="n"/>
      <c r="G420" s="37" t="n"/>
      <c r="H420" s="37" t="n"/>
      <c r="I420" s="37" t="n"/>
      <c r="J420" s="37" t="n"/>
      <c r="K420" s="38">
        <f>IF($C420="","",IFERROR(N(INDEX(tbl_Finance[Invoice Count],MATCH($AE420,tbl_Finance[Row ID],0))),""))</f>
        <v/>
      </c>
      <c r="L420" s="11">
        <f>IF($C420="","",IFERROR(N(INDEX(tbl_Finance[Xero Invoiced Ex GST],MATCH($AE420,tbl_Finance[Row ID],0))),""))</f>
        <v/>
      </c>
      <c r="M420" s="10">
        <f>IF($C420="","",IFERROR(INDEX(tbl_Finance[Compare],MATCH($AE420,tbl_Finance[Row ID],0))&amp;"",""))</f>
        <v/>
      </c>
      <c r="N420" s="11">
        <f>IF($C420="","",MAX(0,N(O420)-N(L420)))</f>
        <v/>
      </c>
      <c r="O420" s="39" t="n"/>
      <c r="P420" s="40">
        <f>IF($C420="","",IF((IF(F420="",", Client","")&amp;IF(G420="",", Description","")&amp;IF(H420="",", Cost Centre","")&amp;IF(I420="",", Invoice Type","")&amp;IF(J420="",", Tax Code","")&amp;IF(O420="",", Expected Revenue","")&amp;IF(COUNTIF(tbl_Finance[Job Number],$C420&amp;"")&gt;1,", Job number used twice",""))="","Complete","Fix: "&amp;MID(IF(F420="",", Client","")&amp;IF(G420="",", Description","")&amp;IF(H420="",", Cost Centre","")&amp;IF(I420="",", Invoice Type","")&amp;IF(J420="",", Tax Code","")&amp;IF(O420="",", Expected Revenue","")&amp;IF(COUNTIF(tbl_Finance[Job Number],$C420&amp;"")&gt;1,", Job number used twice",""),3,300)))</f>
        <v/>
      </c>
      <c r="Q420" s="10">
        <f>IF($C420="","",IF(H420="","(no cost centre)",H420&amp;" - GL "&amp;IFERROR(INDEX(lst_CCtoGL,MATCH(H420,lst_CCforGL,0)),"?")))</f>
        <v/>
      </c>
      <c r="R420" s="37" t="n"/>
      <c r="S420" s="10">
        <f>IF(R420="","",HYPERLINK(IF(LEFT(R420,4)="http",R420,set_QwilrBase&amp;R420),"Open quote"))</f>
        <v/>
      </c>
      <c r="T420" s="39" t="n"/>
      <c r="U420" s="39" t="n"/>
      <c r="V420" s="39" t="n"/>
      <c r="W420" s="10">
        <f>IF(C420="","",IF(N(T420)+N(U420)+N(V420)=0,"Not split",IF(ROUND(N(T420)+N(U420)+N(V420),2)=ROUND(MAX(N(L420),N(O420)),2),"OK","MISMATCH")))</f>
        <v/>
      </c>
      <c r="X420" s="39" t="n"/>
      <c r="Y420" s="39" t="n"/>
      <c r="Z420" s="39" t="n"/>
      <c r="AA420" s="11">
        <f>IF(C420="","",N(X420)+N(Y420)+N(Z420))</f>
        <v/>
      </c>
      <c r="AB420" s="11">
        <f>IF(C420="","",MAX(N(L420),N(O420))-N(AA420))</f>
        <v/>
      </c>
      <c r="AC420" s="43">
        <f>IFERROR(IF(MAX(N(L420),N(O420))=0,"",AB420/MAX(N(L420),N(O420))),"")</f>
        <v/>
      </c>
      <c r="AD420" s="37" t="n"/>
      <c r="AE420" s="10" t="inlineStr">
        <is>
          <t>CON-0416</t>
        </is>
      </c>
    </row>
    <row r="421">
      <c r="A421" s="16">
        <f>IF($C421="","",IFERROR(IF(INDEX(tbl_Finance[Latest Invoice Date],MATCH($AE421,tbl_Finance[Row ID],0))="","",INDEX(tbl_Finance[Latest Invoice Date],MATCH($AE421,tbl_Finance[Row ID],0))),""))</f>
        <v/>
      </c>
      <c r="B421" s="10">
        <f>IF($C421="","",IFERROR(INDEX(tbl_Finance[Invoice Numbers],MATCH($AE421,tbl_Finance[Row ID],0))&amp;"",""))</f>
        <v/>
      </c>
      <c r="C421" s="37" t="n"/>
      <c r="D421" s="10">
        <f>IF($C421="","",IF(COUNTIF(lst_Jobs,$C421&amp;"")&gt;0,"OK","CHECK"))</f>
        <v/>
      </c>
      <c r="E421" s="10">
        <f>IF($C421="","",IFERROR(INDEX(lst_JobName,MATCH($C421&amp;"",lst_Jobs,0)),""))</f>
        <v/>
      </c>
      <c r="F421" s="37" t="n"/>
      <c r="G421" s="37" t="n"/>
      <c r="H421" s="37" t="n"/>
      <c r="I421" s="37" t="n"/>
      <c r="J421" s="37" t="n"/>
      <c r="K421" s="38">
        <f>IF($C421="","",IFERROR(N(INDEX(tbl_Finance[Invoice Count],MATCH($AE421,tbl_Finance[Row ID],0))),""))</f>
        <v/>
      </c>
      <c r="L421" s="11">
        <f>IF($C421="","",IFERROR(N(INDEX(tbl_Finance[Xero Invoiced Ex GST],MATCH($AE421,tbl_Finance[Row ID],0))),""))</f>
        <v/>
      </c>
      <c r="M421" s="10">
        <f>IF($C421="","",IFERROR(INDEX(tbl_Finance[Compare],MATCH($AE421,tbl_Finance[Row ID],0))&amp;"",""))</f>
        <v/>
      </c>
      <c r="N421" s="11">
        <f>IF($C421="","",MAX(0,N(O421)-N(L421)))</f>
        <v/>
      </c>
      <c r="O421" s="39" t="n"/>
      <c r="P421" s="40">
        <f>IF($C421="","",IF((IF(F421="",", Client","")&amp;IF(G421="",", Description","")&amp;IF(H421="",", Cost Centre","")&amp;IF(I421="",", Invoice Type","")&amp;IF(J421="",", Tax Code","")&amp;IF(O421="",", Expected Revenue","")&amp;IF(COUNTIF(tbl_Finance[Job Number],$C421&amp;"")&gt;1,", Job number used twice",""))="","Complete","Fix: "&amp;MID(IF(F421="",", Client","")&amp;IF(G421="",", Description","")&amp;IF(H421="",", Cost Centre","")&amp;IF(I421="",", Invoice Type","")&amp;IF(J421="",", Tax Code","")&amp;IF(O421="",", Expected Revenue","")&amp;IF(COUNTIF(tbl_Finance[Job Number],$C421&amp;"")&gt;1,", Job number used twice",""),3,300)))</f>
        <v/>
      </c>
      <c r="Q421" s="10">
        <f>IF($C421="","",IF(H421="","(no cost centre)",H421&amp;" - GL "&amp;IFERROR(INDEX(lst_CCtoGL,MATCH(H421,lst_CCforGL,0)),"?")))</f>
        <v/>
      </c>
      <c r="R421" s="37" t="n"/>
      <c r="S421" s="10">
        <f>IF(R421="","",HYPERLINK(IF(LEFT(R421,4)="http",R421,set_QwilrBase&amp;R421),"Open quote"))</f>
        <v/>
      </c>
      <c r="T421" s="39" t="n"/>
      <c r="U421" s="39" t="n"/>
      <c r="V421" s="39" t="n"/>
      <c r="W421" s="10">
        <f>IF(C421="","",IF(N(T421)+N(U421)+N(V421)=0,"Not split",IF(ROUND(N(T421)+N(U421)+N(V421),2)=ROUND(MAX(N(L421),N(O421)),2),"OK","MISMATCH")))</f>
        <v/>
      </c>
      <c r="X421" s="39" t="n"/>
      <c r="Y421" s="39" t="n"/>
      <c r="Z421" s="39" t="n"/>
      <c r="AA421" s="11">
        <f>IF(C421="","",N(X421)+N(Y421)+N(Z421))</f>
        <v/>
      </c>
      <c r="AB421" s="11">
        <f>IF(C421="","",MAX(N(L421),N(O421))-N(AA421))</f>
        <v/>
      </c>
      <c r="AC421" s="43">
        <f>IFERROR(IF(MAX(N(L421),N(O421))=0,"",AB421/MAX(N(L421),N(O421))),"")</f>
        <v/>
      </c>
      <c r="AD421" s="37" t="n"/>
      <c r="AE421" s="10" t="inlineStr">
        <is>
          <t>CON-0417</t>
        </is>
      </c>
    </row>
    <row r="422">
      <c r="A422" s="16">
        <f>IF($C422="","",IFERROR(IF(INDEX(tbl_Finance[Latest Invoice Date],MATCH($AE422,tbl_Finance[Row ID],0))="","",INDEX(tbl_Finance[Latest Invoice Date],MATCH($AE422,tbl_Finance[Row ID],0))),""))</f>
        <v/>
      </c>
      <c r="B422" s="10">
        <f>IF($C422="","",IFERROR(INDEX(tbl_Finance[Invoice Numbers],MATCH($AE422,tbl_Finance[Row ID],0))&amp;"",""))</f>
        <v/>
      </c>
      <c r="C422" s="37" t="n"/>
      <c r="D422" s="10">
        <f>IF($C422="","",IF(COUNTIF(lst_Jobs,$C422&amp;"")&gt;0,"OK","CHECK"))</f>
        <v/>
      </c>
      <c r="E422" s="10">
        <f>IF($C422="","",IFERROR(INDEX(lst_JobName,MATCH($C422&amp;"",lst_Jobs,0)),""))</f>
        <v/>
      </c>
      <c r="F422" s="37" t="n"/>
      <c r="G422" s="37" t="n"/>
      <c r="H422" s="37" t="n"/>
      <c r="I422" s="37" t="n"/>
      <c r="J422" s="37" t="n"/>
      <c r="K422" s="38">
        <f>IF($C422="","",IFERROR(N(INDEX(tbl_Finance[Invoice Count],MATCH($AE422,tbl_Finance[Row ID],0))),""))</f>
        <v/>
      </c>
      <c r="L422" s="11">
        <f>IF($C422="","",IFERROR(N(INDEX(tbl_Finance[Xero Invoiced Ex GST],MATCH($AE422,tbl_Finance[Row ID],0))),""))</f>
        <v/>
      </c>
      <c r="M422" s="10">
        <f>IF($C422="","",IFERROR(INDEX(tbl_Finance[Compare],MATCH($AE422,tbl_Finance[Row ID],0))&amp;"",""))</f>
        <v/>
      </c>
      <c r="N422" s="11">
        <f>IF($C422="","",MAX(0,N(O422)-N(L422)))</f>
        <v/>
      </c>
      <c r="O422" s="39" t="n"/>
      <c r="P422" s="40">
        <f>IF($C422="","",IF((IF(F422="",", Client","")&amp;IF(G422="",", Description","")&amp;IF(H422="",", Cost Centre","")&amp;IF(I422="",", Invoice Type","")&amp;IF(J422="",", Tax Code","")&amp;IF(O422="",", Expected Revenue","")&amp;IF(COUNTIF(tbl_Finance[Job Number],$C422&amp;"")&gt;1,", Job number used twice",""))="","Complete","Fix: "&amp;MID(IF(F422="",", Client","")&amp;IF(G422="",", Description","")&amp;IF(H422="",", Cost Centre","")&amp;IF(I422="",", Invoice Type","")&amp;IF(J422="",", Tax Code","")&amp;IF(O422="",", Expected Revenue","")&amp;IF(COUNTIF(tbl_Finance[Job Number],$C422&amp;"")&gt;1,", Job number used twice",""),3,300)))</f>
        <v/>
      </c>
      <c r="Q422" s="10">
        <f>IF($C422="","",IF(H422="","(no cost centre)",H422&amp;" - GL "&amp;IFERROR(INDEX(lst_CCtoGL,MATCH(H422,lst_CCforGL,0)),"?")))</f>
        <v/>
      </c>
      <c r="R422" s="37" t="n"/>
      <c r="S422" s="10">
        <f>IF(R422="","",HYPERLINK(IF(LEFT(R422,4)="http",R422,set_QwilrBase&amp;R422),"Open quote"))</f>
        <v/>
      </c>
      <c r="T422" s="39" t="n"/>
      <c r="U422" s="39" t="n"/>
      <c r="V422" s="39" t="n"/>
      <c r="W422" s="10">
        <f>IF(C422="","",IF(N(T422)+N(U422)+N(V422)=0,"Not split",IF(ROUND(N(T422)+N(U422)+N(V422),2)=ROUND(MAX(N(L422),N(O422)),2),"OK","MISMATCH")))</f>
        <v/>
      </c>
      <c r="X422" s="39" t="n"/>
      <c r="Y422" s="39" t="n"/>
      <c r="Z422" s="39" t="n"/>
      <c r="AA422" s="11">
        <f>IF(C422="","",N(X422)+N(Y422)+N(Z422))</f>
        <v/>
      </c>
      <c r="AB422" s="11">
        <f>IF(C422="","",MAX(N(L422),N(O422))-N(AA422))</f>
        <v/>
      </c>
      <c r="AC422" s="43">
        <f>IFERROR(IF(MAX(N(L422),N(O422))=0,"",AB422/MAX(N(L422),N(O422))),"")</f>
        <v/>
      </c>
      <c r="AD422" s="37" t="n"/>
      <c r="AE422" s="10" t="inlineStr">
        <is>
          <t>CON-0418</t>
        </is>
      </c>
    </row>
    <row r="423">
      <c r="A423" s="16">
        <f>IF($C423="","",IFERROR(IF(INDEX(tbl_Finance[Latest Invoice Date],MATCH($AE423,tbl_Finance[Row ID],0))="","",INDEX(tbl_Finance[Latest Invoice Date],MATCH($AE423,tbl_Finance[Row ID],0))),""))</f>
        <v/>
      </c>
      <c r="B423" s="10">
        <f>IF($C423="","",IFERROR(INDEX(tbl_Finance[Invoice Numbers],MATCH($AE423,tbl_Finance[Row ID],0))&amp;"",""))</f>
        <v/>
      </c>
      <c r="C423" s="37" t="n"/>
      <c r="D423" s="10">
        <f>IF($C423="","",IF(COUNTIF(lst_Jobs,$C423&amp;"")&gt;0,"OK","CHECK"))</f>
        <v/>
      </c>
      <c r="E423" s="10">
        <f>IF($C423="","",IFERROR(INDEX(lst_JobName,MATCH($C423&amp;"",lst_Jobs,0)),""))</f>
        <v/>
      </c>
      <c r="F423" s="37" t="n"/>
      <c r="G423" s="37" t="n"/>
      <c r="H423" s="37" t="n"/>
      <c r="I423" s="37" t="n"/>
      <c r="J423" s="37" t="n"/>
      <c r="K423" s="38">
        <f>IF($C423="","",IFERROR(N(INDEX(tbl_Finance[Invoice Count],MATCH($AE423,tbl_Finance[Row ID],0))),""))</f>
        <v/>
      </c>
      <c r="L423" s="11">
        <f>IF($C423="","",IFERROR(N(INDEX(tbl_Finance[Xero Invoiced Ex GST],MATCH($AE423,tbl_Finance[Row ID],0))),""))</f>
        <v/>
      </c>
      <c r="M423" s="10">
        <f>IF($C423="","",IFERROR(INDEX(tbl_Finance[Compare],MATCH($AE423,tbl_Finance[Row ID],0))&amp;"",""))</f>
        <v/>
      </c>
      <c r="N423" s="11">
        <f>IF($C423="","",MAX(0,N(O423)-N(L423)))</f>
        <v/>
      </c>
      <c r="O423" s="39" t="n"/>
      <c r="P423" s="40">
        <f>IF($C423="","",IF((IF(F423="",", Client","")&amp;IF(G423="",", Description","")&amp;IF(H423="",", Cost Centre","")&amp;IF(I423="",", Invoice Type","")&amp;IF(J423="",", Tax Code","")&amp;IF(O423="",", Expected Revenue","")&amp;IF(COUNTIF(tbl_Finance[Job Number],$C423&amp;"")&gt;1,", Job number used twice",""))="","Complete","Fix: "&amp;MID(IF(F423="",", Client","")&amp;IF(G423="",", Description","")&amp;IF(H423="",", Cost Centre","")&amp;IF(I423="",", Invoice Type","")&amp;IF(J423="",", Tax Code","")&amp;IF(O423="",", Expected Revenue","")&amp;IF(COUNTIF(tbl_Finance[Job Number],$C423&amp;"")&gt;1,", Job number used twice",""),3,300)))</f>
        <v/>
      </c>
      <c r="Q423" s="10">
        <f>IF($C423="","",IF(H423="","(no cost centre)",H423&amp;" - GL "&amp;IFERROR(INDEX(lst_CCtoGL,MATCH(H423,lst_CCforGL,0)),"?")))</f>
        <v/>
      </c>
      <c r="R423" s="37" t="n"/>
      <c r="S423" s="10">
        <f>IF(R423="","",HYPERLINK(IF(LEFT(R423,4)="http",R423,set_QwilrBase&amp;R423),"Open quote"))</f>
        <v/>
      </c>
      <c r="T423" s="39" t="n"/>
      <c r="U423" s="39" t="n"/>
      <c r="V423" s="39" t="n"/>
      <c r="W423" s="10">
        <f>IF(C423="","",IF(N(T423)+N(U423)+N(V423)=0,"Not split",IF(ROUND(N(T423)+N(U423)+N(V423),2)=ROUND(MAX(N(L423),N(O423)),2),"OK","MISMATCH")))</f>
        <v/>
      </c>
      <c r="X423" s="39" t="n"/>
      <c r="Y423" s="39" t="n"/>
      <c r="Z423" s="39" t="n"/>
      <c r="AA423" s="11">
        <f>IF(C423="","",N(X423)+N(Y423)+N(Z423))</f>
        <v/>
      </c>
      <c r="AB423" s="11">
        <f>IF(C423="","",MAX(N(L423),N(O423))-N(AA423))</f>
        <v/>
      </c>
      <c r="AC423" s="43">
        <f>IFERROR(IF(MAX(N(L423),N(O423))=0,"",AB423/MAX(N(L423),N(O423))),"")</f>
        <v/>
      </c>
      <c r="AD423" s="37" t="n"/>
      <c r="AE423" s="10" t="inlineStr">
        <is>
          <t>CON-0419</t>
        </is>
      </c>
    </row>
    <row r="424">
      <c r="A424" s="16">
        <f>IF($C424="","",IFERROR(IF(INDEX(tbl_Finance[Latest Invoice Date],MATCH($AE424,tbl_Finance[Row ID],0))="","",INDEX(tbl_Finance[Latest Invoice Date],MATCH($AE424,tbl_Finance[Row ID],0))),""))</f>
        <v/>
      </c>
      <c r="B424" s="10">
        <f>IF($C424="","",IFERROR(INDEX(tbl_Finance[Invoice Numbers],MATCH($AE424,tbl_Finance[Row ID],0))&amp;"",""))</f>
        <v/>
      </c>
      <c r="C424" s="37" t="n"/>
      <c r="D424" s="10">
        <f>IF($C424="","",IF(COUNTIF(lst_Jobs,$C424&amp;"")&gt;0,"OK","CHECK"))</f>
        <v/>
      </c>
      <c r="E424" s="10">
        <f>IF($C424="","",IFERROR(INDEX(lst_JobName,MATCH($C424&amp;"",lst_Jobs,0)),""))</f>
        <v/>
      </c>
      <c r="F424" s="37" t="n"/>
      <c r="G424" s="37" t="n"/>
      <c r="H424" s="37" t="n"/>
      <c r="I424" s="37" t="n"/>
      <c r="J424" s="37" t="n"/>
      <c r="K424" s="38">
        <f>IF($C424="","",IFERROR(N(INDEX(tbl_Finance[Invoice Count],MATCH($AE424,tbl_Finance[Row ID],0))),""))</f>
        <v/>
      </c>
      <c r="L424" s="11">
        <f>IF($C424="","",IFERROR(N(INDEX(tbl_Finance[Xero Invoiced Ex GST],MATCH($AE424,tbl_Finance[Row ID],0))),""))</f>
        <v/>
      </c>
      <c r="M424" s="10">
        <f>IF($C424="","",IFERROR(INDEX(tbl_Finance[Compare],MATCH($AE424,tbl_Finance[Row ID],0))&amp;"",""))</f>
        <v/>
      </c>
      <c r="N424" s="11">
        <f>IF($C424="","",MAX(0,N(O424)-N(L424)))</f>
        <v/>
      </c>
      <c r="O424" s="39" t="n"/>
      <c r="P424" s="40">
        <f>IF($C424="","",IF((IF(F424="",", Client","")&amp;IF(G424="",", Description","")&amp;IF(H424="",", Cost Centre","")&amp;IF(I424="",", Invoice Type","")&amp;IF(J424="",", Tax Code","")&amp;IF(O424="",", Expected Revenue","")&amp;IF(COUNTIF(tbl_Finance[Job Number],$C424&amp;"")&gt;1,", Job number used twice",""))="","Complete","Fix: "&amp;MID(IF(F424="",", Client","")&amp;IF(G424="",", Description","")&amp;IF(H424="",", Cost Centre","")&amp;IF(I424="",", Invoice Type","")&amp;IF(J424="",", Tax Code","")&amp;IF(O424="",", Expected Revenue","")&amp;IF(COUNTIF(tbl_Finance[Job Number],$C424&amp;"")&gt;1,", Job number used twice",""),3,300)))</f>
        <v/>
      </c>
      <c r="Q424" s="10">
        <f>IF($C424="","",IF(H424="","(no cost centre)",H424&amp;" - GL "&amp;IFERROR(INDEX(lst_CCtoGL,MATCH(H424,lst_CCforGL,0)),"?")))</f>
        <v/>
      </c>
      <c r="R424" s="37" t="n"/>
      <c r="S424" s="10">
        <f>IF(R424="","",HYPERLINK(IF(LEFT(R424,4)="http",R424,set_QwilrBase&amp;R424),"Open quote"))</f>
        <v/>
      </c>
      <c r="T424" s="39" t="n"/>
      <c r="U424" s="39" t="n"/>
      <c r="V424" s="39" t="n"/>
      <c r="W424" s="10">
        <f>IF(C424="","",IF(N(T424)+N(U424)+N(V424)=0,"Not split",IF(ROUND(N(T424)+N(U424)+N(V424),2)=ROUND(MAX(N(L424),N(O424)),2),"OK","MISMATCH")))</f>
        <v/>
      </c>
      <c r="X424" s="39" t="n"/>
      <c r="Y424" s="39" t="n"/>
      <c r="Z424" s="39" t="n"/>
      <c r="AA424" s="11">
        <f>IF(C424="","",N(X424)+N(Y424)+N(Z424))</f>
        <v/>
      </c>
      <c r="AB424" s="11">
        <f>IF(C424="","",MAX(N(L424),N(O424))-N(AA424))</f>
        <v/>
      </c>
      <c r="AC424" s="43">
        <f>IFERROR(IF(MAX(N(L424),N(O424))=0,"",AB424/MAX(N(L424),N(O424))),"")</f>
        <v/>
      </c>
      <c r="AD424" s="37" t="n"/>
      <c r="AE424" s="10" t="inlineStr">
        <is>
          <t>CON-0420</t>
        </is>
      </c>
    </row>
    <row r="425">
      <c r="A425" s="16">
        <f>IF($C425="","",IFERROR(IF(INDEX(tbl_Finance[Latest Invoice Date],MATCH($AE425,tbl_Finance[Row ID],0))="","",INDEX(tbl_Finance[Latest Invoice Date],MATCH($AE425,tbl_Finance[Row ID],0))),""))</f>
        <v/>
      </c>
      <c r="B425" s="10">
        <f>IF($C425="","",IFERROR(INDEX(tbl_Finance[Invoice Numbers],MATCH($AE425,tbl_Finance[Row ID],0))&amp;"",""))</f>
        <v/>
      </c>
      <c r="C425" s="37" t="n"/>
      <c r="D425" s="10">
        <f>IF($C425="","",IF(COUNTIF(lst_Jobs,$C425&amp;"")&gt;0,"OK","CHECK"))</f>
        <v/>
      </c>
      <c r="E425" s="10">
        <f>IF($C425="","",IFERROR(INDEX(lst_JobName,MATCH($C425&amp;"",lst_Jobs,0)),""))</f>
        <v/>
      </c>
      <c r="F425" s="37" t="n"/>
      <c r="G425" s="37" t="n"/>
      <c r="H425" s="37" t="n"/>
      <c r="I425" s="37" t="n"/>
      <c r="J425" s="37" t="n"/>
      <c r="K425" s="38">
        <f>IF($C425="","",IFERROR(N(INDEX(tbl_Finance[Invoice Count],MATCH($AE425,tbl_Finance[Row ID],0))),""))</f>
        <v/>
      </c>
      <c r="L425" s="11">
        <f>IF($C425="","",IFERROR(N(INDEX(tbl_Finance[Xero Invoiced Ex GST],MATCH($AE425,tbl_Finance[Row ID],0))),""))</f>
        <v/>
      </c>
      <c r="M425" s="10">
        <f>IF($C425="","",IFERROR(INDEX(tbl_Finance[Compare],MATCH($AE425,tbl_Finance[Row ID],0))&amp;"",""))</f>
        <v/>
      </c>
      <c r="N425" s="11">
        <f>IF($C425="","",MAX(0,N(O425)-N(L425)))</f>
        <v/>
      </c>
      <c r="O425" s="39" t="n"/>
      <c r="P425" s="40">
        <f>IF($C425="","",IF((IF(F425="",", Client","")&amp;IF(G425="",", Description","")&amp;IF(H425="",", Cost Centre","")&amp;IF(I425="",", Invoice Type","")&amp;IF(J425="",", Tax Code","")&amp;IF(O425="",", Expected Revenue","")&amp;IF(COUNTIF(tbl_Finance[Job Number],$C425&amp;"")&gt;1,", Job number used twice",""))="","Complete","Fix: "&amp;MID(IF(F425="",", Client","")&amp;IF(G425="",", Description","")&amp;IF(H425="",", Cost Centre","")&amp;IF(I425="",", Invoice Type","")&amp;IF(J425="",", Tax Code","")&amp;IF(O425="",", Expected Revenue","")&amp;IF(COUNTIF(tbl_Finance[Job Number],$C425&amp;"")&gt;1,", Job number used twice",""),3,300)))</f>
        <v/>
      </c>
      <c r="Q425" s="10">
        <f>IF($C425="","",IF(H425="","(no cost centre)",H425&amp;" - GL "&amp;IFERROR(INDEX(lst_CCtoGL,MATCH(H425,lst_CCforGL,0)),"?")))</f>
        <v/>
      </c>
      <c r="R425" s="37" t="n"/>
      <c r="S425" s="10">
        <f>IF(R425="","",HYPERLINK(IF(LEFT(R425,4)="http",R425,set_QwilrBase&amp;R425),"Open quote"))</f>
        <v/>
      </c>
      <c r="T425" s="39" t="n"/>
      <c r="U425" s="39" t="n"/>
      <c r="V425" s="39" t="n"/>
      <c r="W425" s="10">
        <f>IF(C425="","",IF(N(T425)+N(U425)+N(V425)=0,"Not split",IF(ROUND(N(T425)+N(U425)+N(V425),2)=ROUND(MAX(N(L425),N(O425)),2),"OK","MISMATCH")))</f>
        <v/>
      </c>
      <c r="X425" s="39" t="n"/>
      <c r="Y425" s="39" t="n"/>
      <c r="Z425" s="39" t="n"/>
      <c r="AA425" s="11">
        <f>IF(C425="","",N(X425)+N(Y425)+N(Z425))</f>
        <v/>
      </c>
      <c r="AB425" s="11">
        <f>IF(C425="","",MAX(N(L425),N(O425))-N(AA425))</f>
        <v/>
      </c>
      <c r="AC425" s="43">
        <f>IFERROR(IF(MAX(N(L425),N(O425))=0,"",AB425/MAX(N(L425),N(O425))),"")</f>
        <v/>
      </c>
      <c r="AD425" s="37" t="n"/>
      <c r="AE425" s="10" t="inlineStr">
        <is>
          <t>CON-0421</t>
        </is>
      </c>
    </row>
    <row r="426">
      <c r="A426" s="16">
        <f>IF($C426="","",IFERROR(IF(INDEX(tbl_Finance[Latest Invoice Date],MATCH($AE426,tbl_Finance[Row ID],0))="","",INDEX(tbl_Finance[Latest Invoice Date],MATCH($AE426,tbl_Finance[Row ID],0))),""))</f>
        <v/>
      </c>
      <c r="B426" s="10">
        <f>IF($C426="","",IFERROR(INDEX(tbl_Finance[Invoice Numbers],MATCH($AE426,tbl_Finance[Row ID],0))&amp;"",""))</f>
        <v/>
      </c>
      <c r="C426" s="37" t="n"/>
      <c r="D426" s="10">
        <f>IF($C426="","",IF(COUNTIF(lst_Jobs,$C426&amp;"")&gt;0,"OK","CHECK"))</f>
        <v/>
      </c>
      <c r="E426" s="10">
        <f>IF($C426="","",IFERROR(INDEX(lst_JobName,MATCH($C426&amp;"",lst_Jobs,0)),""))</f>
        <v/>
      </c>
      <c r="F426" s="37" t="n"/>
      <c r="G426" s="37" t="n"/>
      <c r="H426" s="37" t="n"/>
      <c r="I426" s="37" t="n"/>
      <c r="J426" s="37" t="n"/>
      <c r="K426" s="38">
        <f>IF($C426="","",IFERROR(N(INDEX(tbl_Finance[Invoice Count],MATCH($AE426,tbl_Finance[Row ID],0))),""))</f>
        <v/>
      </c>
      <c r="L426" s="11">
        <f>IF($C426="","",IFERROR(N(INDEX(tbl_Finance[Xero Invoiced Ex GST],MATCH($AE426,tbl_Finance[Row ID],0))),""))</f>
        <v/>
      </c>
      <c r="M426" s="10">
        <f>IF($C426="","",IFERROR(INDEX(tbl_Finance[Compare],MATCH($AE426,tbl_Finance[Row ID],0))&amp;"",""))</f>
        <v/>
      </c>
      <c r="N426" s="11">
        <f>IF($C426="","",MAX(0,N(O426)-N(L426)))</f>
        <v/>
      </c>
      <c r="O426" s="39" t="n"/>
      <c r="P426" s="40">
        <f>IF($C426="","",IF((IF(F426="",", Client","")&amp;IF(G426="",", Description","")&amp;IF(H426="",", Cost Centre","")&amp;IF(I426="",", Invoice Type","")&amp;IF(J426="",", Tax Code","")&amp;IF(O426="",", Expected Revenue","")&amp;IF(COUNTIF(tbl_Finance[Job Number],$C426&amp;"")&gt;1,", Job number used twice",""))="","Complete","Fix: "&amp;MID(IF(F426="",", Client","")&amp;IF(G426="",", Description","")&amp;IF(H426="",", Cost Centre","")&amp;IF(I426="",", Invoice Type","")&amp;IF(J426="",", Tax Code","")&amp;IF(O426="",", Expected Revenue","")&amp;IF(COUNTIF(tbl_Finance[Job Number],$C426&amp;"")&gt;1,", Job number used twice",""),3,300)))</f>
        <v/>
      </c>
      <c r="Q426" s="10">
        <f>IF($C426="","",IF(H426="","(no cost centre)",H426&amp;" - GL "&amp;IFERROR(INDEX(lst_CCtoGL,MATCH(H426,lst_CCforGL,0)),"?")))</f>
        <v/>
      </c>
      <c r="R426" s="37" t="n"/>
      <c r="S426" s="10">
        <f>IF(R426="","",HYPERLINK(IF(LEFT(R426,4)="http",R426,set_QwilrBase&amp;R426),"Open quote"))</f>
        <v/>
      </c>
      <c r="T426" s="39" t="n"/>
      <c r="U426" s="39" t="n"/>
      <c r="V426" s="39" t="n"/>
      <c r="W426" s="10">
        <f>IF(C426="","",IF(N(T426)+N(U426)+N(V426)=0,"Not split",IF(ROUND(N(T426)+N(U426)+N(V426),2)=ROUND(MAX(N(L426),N(O426)),2),"OK","MISMATCH")))</f>
        <v/>
      </c>
      <c r="X426" s="39" t="n"/>
      <c r="Y426" s="39" t="n"/>
      <c r="Z426" s="39" t="n"/>
      <c r="AA426" s="11">
        <f>IF(C426="","",N(X426)+N(Y426)+N(Z426))</f>
        <v/>
      </c>
      <c r="AB426" s="11">
        <f>IF(C426="","",MAX(N(L426),N(O426))-N(AA426))</f>
        <v/>
      </c>
      <c r="AC426" s="43">
        <f>IFERROR(IF(MAX(N(L426),N(O426))=0,"",AB426/MAX(N(L426),N(O426))),"")</f>
        <v/>
      </c>
      <c r="AD426" s="37" t="n"/>
      <c r="AE426" s="10" t="inlineStr">
        <is>
          <t>CON-0422</t>
        </is>
      </c>
    </row>
    <row r="427">
      <c r="A427" s="16">
        <f>IF($C427="","",IFERROR(IF(INDEX(tbl_Finance[Latest Invoice Date],MATCH($AE427,tbl_Finance[Row ID],0))="","",INDEX(tbl_Finance[Latest Invoice Date],MATCH($AE427,tbl_Finance[Row ID],0))),""))</f>
        <v/>
      </c>
      <c r="B427" s="10">
        <f>IF($C427="","",IFERROR(INDEX(tbl_Finance[Invoice Numbers],MATCH($AE427,tbl_Finance[Row ID],0))&amp;"",""))</f>
        <v/>
      </c>
      <c r="C427" s="37" t="n"/>
      <c r="D427" s="10">
        <f>IF($C427="","",IF(COUNTIF(lst_Jobs,$C427&amp;"")&gt;0,"OK","CHECK"))</f>
        <v/>
      </c>
      <c r="E427" s="10">
        <f>IF($C427="","",IFERROR(INDEX(lst_JobName,MATCH($C427&amp;"",lst_Jobs,0)),""))</f>
        <v/>
      </c>
      <c r="F427" s="37" t="n"/>
      <c r="G427" s="37" t="n"/>
      <c r="H427" s="37" t="n"/>
      <c r="I427" s="37" t="n"/>
      <c r="J427" s="37" t="n"/>
      <c r="K427" s="38">
        <f>IF($C427="","",IFERROR(N(INDEX(tbl_Finance[Invoice Count],MATCH($AE427,tbl_Finance[Row ID],0))),""))</f>
        <v/>
      </c>
      <c r="L427" s="11">
        <f>IF($C427="","",IFERROR(N(INDEX(tbl_Finance[Xero Invoiced Ex GST],MATCH($AE427,tbl_Finance[Row ID],0))),""))</f>
        <v/>
      </c>
      <c r="M427" s="10">
        <f>IF($C427="","",IFERROR(INDEX(tbl_Finance[Compare],MATCH($AE427,tbl_Finance[Row ID],0))&amp;"",""))</f>
        <v/>
      </c>
      <c r="N427" s="11">
        <f>IF($C427="","",MAX(0,N(O427)-N(L427)))</f>
        <v/>
      </c>
      <c r="O427" s="39" t="n"/>
      <c r="P427" s="40">
        <f>IF($C427="","",IF((IF(F427="",", Client","")&amp;IF(G427="",", Description","")&amp;IF(H427="",", Cost Centre","")&amp;IF(I427="",", Invoice Type","")&amp;IF(J427="",", Tax Code","")&amp;IF(O427="",", Expected Revenue","")&amp;IF(COUNTIF(tbl_Finance[Job Number],$C427&amp;"")&gt;1,", Job number used twice",""))="","Complete","Fix: "&amp;MID(IF(F427="",", Client","")&amp;IF(G427="",", Description","")&amp;IF(H427="",", Cost Centre","")&amp;IF(I427="",", Invoice Type","")&amp;IF(J427="",", Tax Code","")&amp;IF(O427="",", Expected Revenue","")&amp;IF(COUNTIF(tbl_Finance[Job Number],$C427&amp;"")&gt;1,", Job number used twice",""),3,300)))</f>
        <v/>
      </c>
      <c r="Q427" s="10">
        <f>IF($C427="","",IF(H427="","(no cost centre)",H427&amp;" - GL "&amp;IFERROR(INDEX(lst_CCtoGL,MATCH(H427,lst_CCforGL,0)),"?")))</f>
        <v/>
      </c>
      <c r="R427" s="37" t="n"/>
      <c r="S427" s="10">
        <f>IF(R427="","",HYPERLINK(IF(LEFT(R427,4)="http",R427,set_QwilrBase&amp;R427),"Open quote"))</f>
        <v/>
      </c>
      <c r="T427" s="39" t="n"/>
      <c r="U427" s="39" t="n"/>
      <c r="V427" s="39" t="n"/>
      <c r="W427" s="10">
        <f>IF(C427="","",IF(N(T427)+N(U427)+N(V427)=0,"Not split",IF(ROUND(N(T427)+N(U427)+N(V427),2)=ROUND(MAX(N(L427),N(O427)),2),"OK","MISMATCH")))</f>
        <v/>
      </c>
      <c r="X427" s="39" t="n"/>
      <c r="Y427" s="39" t="n"/>
      <c r="Z427" s="39" t="n"/>
      <c r="AA427" s="11">
        <f>IF(C427="","",N(X427)+N(Y427)+N(Z427))</f>
        <v/>
      </c>
      <c r="AB427" s="11">
        <f>IF(C427="","",MAX(N(L427),N(O427))-N(AA427))</f>
        <v/>
      </c>
      <c r="AC427" s="43">
        <f>IFERROR(IF(MAX(N(L427),N(O427))=0,"",AB427/MAX(N(L427),N(O427))),"")</f>
        <v/>
      </c>
      <c r="AD427" s="37" t="n"/>
      <c r="AE427" s="10" t="inlineStr">
        <is>
          <t>CON-0423</t>
        </is>
      </c>
    </row>
    <row r="428">
      <c r="A428" s="16">
        <f>IF($C428="","",IFERROR(IF(INDEX(tbl_Finance[Latest Invoice Date],MATCH($AE428,tbl_Finance[Row ID],0))="","",INDEX(tbl_Finance[Latest Invoice Date],MATCH($AE428,tbl_Finance[Row ID],0))),""))</f>
        <v/>
      </c>
      <c r="B428" s="10">
        <f>IF($C428="","",IFERROR(INDEX(tbl_Finance[Invoice Numbers],MATCH($AE428,tbl_Finance[Row ID],0))&amp;"",""))</f>
        <v/>
      </c>
      <c r="C428" s="37" t="n"/>
      <c r="D428" s="10">
        <f>IF($C428="","",IF(COUNTIF(lst_Jobs,$C428&amp;"")&gt;0,"OK","CHECK"))</f>
        <v/>
      </c>
      <c r="E428" s="10">
        <f>IF($C428="","",IFERROR(INDEX(lst_JobName,MATCH($C428&amp;"",lst_Jobs,0)),""))</f>
        <v/>
      </c>
      <c r="F428" s="37" t="n"/>
      <c r="G428" s="37" t="n"/>
      <c r="H428" s="37" t="n"/>
      <c r="I428" s="37" t="n"/>
      <c r="J428" s="37" t="n"/>
      <c r="K428" s="38">
        <f>IF($C428="","",IFERROR(N(INDEX(tbl_Finance[Invoice Count],MATCH($AE428,tbl_Finance[Row ID],0))),""))</f>
        <v/>
      </c>
      <c r="L428" s="11">
        <f>IF($C428="","",IFERROR(N(INDEX(tbl_Finance[Xero Invoiced Ex GST],MATCH($AE428,tbl_Finance[Row ID],0))),""))</f>
        <v/>
      </c>
      <c r="M428" s="10">
        <f>IF($C428="","",IFERROR(INDEX(tbl_Finance[Compare],MATCH($AE428,tbl_Finance[Row ID],0))&amp;"",""))</f>
        <v/>
      </c>
      <c r="N428" s="11">
        <f>IF($C428="","",MAX(0,N(O428)-N(L428)))</f>
        <v/>
      </c>
      <c r="O428" s="39" t="n"/>
      <c r="P428" s="40">
        <f>IF($C428="","",IF((IF(F428="",", Client","")&amp;IF(G428="",", Description","")&amp;IF(H428="",", Cost Centre","")&amp;IF(I428="",", Invoice Type","")&amp;IF(J428="",", Tax Code","")&amp;IF(O428="",", Expected Revenue","")&amp;IF(COUNTIF(tbl_Finance[Job Number],$C428&amp;"")&gt;1,", Job number used twice",""))="","Complete","Fix: "&amp;MID(IF(F428="",", Client","")&amp;IF(G428="",", Description","")&amp;IF(H428="",", Cost Centre","")&amp;IF(I428="",", Invoice Type","")&amp;IF(J428="",", Tax Code","")&amp;IF(O428="",", Expected Revenue","")&amp;IF(COUNTIF(tbl_Finance[Job Number],$C428&amp;"")&gt;1,", Job number used twice",""),3,300)))</f>
        <v/>
      </c>
      <c r="Q428" s="10">
        <f>IF($C428="","",IF(H428="","(no cost centre)",H428&amp;" - GL "&amp;IFERROR(INDEX(lst_CCtoGL,MATCH(H428,lst_CCforGL,0)),"?")))</f>
        <v/>
      </c>
      <c r="R428" s="37" t="n"/>
      <c r="S428" s="10">
        <f>IF(R428="","",HYPERLINK(IF(LEFT(R428,4)="http",R428,set_QwilrBase&amp;R428),"Open quote"))</f>
        <v/>
      </c>
      <c r="T428" s="39" t="n"/>
      <c r="U428" s="39" t="n"/>
      <c r="V428" s="39" t="n"/>
      <c r="W428" s="10">
        <f>IF(C428="","",IF(N(T428)+N(U428)+N(V428)=0,"Not split",IF(ROUND(N(T428)+N(U428)+N(V428),2)=ROUND(MAX(N(L428),N(O428)),2),"OK","MISMATCH")))</f>
        <v/>
      </c>
      <c r="X428" s="39" t="n"/>
      <c r="Y428" s="39" t="n"/>
      <c r="Z428" s="39" t="n"/>
      <c r="AA428" s="11">
        <f>IF(C428="","",N(X428)+N(Y428)+N(Z428))</f>
        <v/>
      </c>
      <c r="AB428" s="11">
        <f>IF(C428="","",MAX(N(L428),N(O428))-N(AA428))</f>
        <v/>
      </c>
      <c r="AC428" s="43">
        <f>IFERROR(IF(MAX(N(L428),N(O428))=0,"",AB428/MAX(N(L428),N(O428))),"")</f>
        <v/>
      </c>
      <c r="AD428" s="37" t="n"/>
      <c r="AE428" s="10" t="inlineStr">
        <is>
          <t>CON-0424</t>
        </is>
      </c>
    </row>
    <row r="429">
      <c r="A429" s="16">
        <f>IF($C429="","",IFERROR(IF(INDEX(tbl_Finance[Latest Invoice Date],MATCH($AE429,tbl_Finance[Row ID],0))="","",INDEX(tbl_Finance[Latest Invoice Date],MATCH($AE429,tbl_Finance[Row ID],0))),""))</f>
        <v/>
      </c>
      <c r="B429" s="10">
        <f>IF($C429="","",IFERROR(INDEX(tbl_Finance[Invoice Numbers],MATCH($AE429,tbl_Finance[Row ID],0))&amp;"",""))</f>
        <v/>
      </c>
      <c r="C429" s="37" t="n"/>
      <c r="D429" s="10">
        <f>IF($C429="","",IF(COUNTIF(lst_Jobs,$C429&amp;"")&gt;0,"OK","CHECK"))</f>
        <v/>
      </c>
      <c r="E429" s="10">
        <f>IF($C429="","",IFERROR(INDEX(lst_JobName,MATCH($C429&amp;"",lst_Jobs,0)),""))</f>
        <v/>
      </c>
      <c r="F429" s="37" t="n"/>
      <c r="G429" s="37" t="n"/>
      <c r="H429" s="37" t="n"/>
      <c r="I429" s="37" t="n"/>
      <c r="J429" s="37" t="n"/>
      <c r="K429" s="38">
        <f>IF($C429="","",IFERROR(N(INDEX(tbl_Finance[Invoice Count],MATCH($AE429,tbl_Finance[Row ID],0))),""))</f>
        <v/>
      </c>
      <c r="L429" s="11">
        <f>IF($C429="","",IFERROR(N(INDEX(tbl_Finance[Xero Invoiced Ex GST],MATCH($AE429,tbl_Finance[Row ID],0))),""))</f>
        <v/>
      </c>
      <c r="M429" s="10">
        <f>IF($C429="","",IFERROR(INDEX(tbl_Finance[Compare],MATCH($AE429,tbl_Finance[Row ID],0))&amp;"",""))</f>
        <v/>
      </c>
      <c r="N429" s="11">
        <f>IF($C429="","",MAX(0,N(O429)-N(L429)))</f>
        <v/>
      </c>
      <c r="O429" s="39" t="n"/>
      <c r="P429" s="40">
        <f>IF($C429="","",IF((IF(F429="",", Client","")&amp;IF(G429="",", Description","")&amp;IF(H429="",", Cost Centre","")&amp;IF(I429="",", Invoice Type","")&amp;IF(J429="",", Tax Code","")&amp;IF(O429="",", Expected Revenue","")&amp;IF(COUNTIF(tbl_Finance[Job Number],$C429&amp;"")&gt;1,", Job number used twice",""))="","Complete","Fix: "&amp;MID(IF(F429="",", Client","")&amp;IF(G429="",", Description","")&amp;IF(H429="",", Cost Centre","")&amp;IF(I429="",", Invoice Type","")&amp;IF(J429="",", Tax Code","")&amp;IF(O429="",", Expected Revenue","")&amp;IF(COUNTIF(tbl_Finance[Job Number],$C429&amp;"")&gt;1,", Job number used twice",""),3,300)))</f>
        <v/>
      </c>
      <c r="Q429" s="10">
        <f>IF($C429="","",IF(H429="","(no cost centre)",H429&amp;" - GL "&amp;IFERROR(INDEX(lst_CCtoGL,MATCH(H429,lst_CCforGL,0)),"?")))</f>
        <v/>
      </c>
      <c r="R429" s="37" t="n"/>
      <c r="S429" s="10">
        <f>IF(R429="","",HYPERLINK(IF(LEFT(R429,4)="http",R429,set_QwilrBase&amp;R429),"Open quote"))</f>
        <v/>
      </c>
      <c r="T429" s="39" t="n"/>
      <c r="U429" s="39" t="n"/>
      <c r="V429" s="39" t="n"/>
      <c r="W429" s="10">
        <f>IF(C429="","",IF(N(T429)+N(U429)+N(V429)=0,"Not split",IF(ROUND(N(T429)+N(U429)+N(V429),2)=ROUND(MAX(N(L429),N(O429)),2),"OK","MISMATCH")))</f>
        <v/>
      </c>
      <c r="X429" s="39" t="n"/>
      <c r="Y429" s="39" t="n"/>
      <c r="Z429" s="39" t="n"/>
      <c r="AA429" s="11">
        <f>IF(C429="","",N(X429)+N(Y429)+N(Z429))</f>
        <v/>
      </c>
      <c r="AB429" s="11">
        <f>IF(C429="","",MAX(N(L429),N(O429))-N(AA429))</f>
        <v/>
      </c>
      <c r="AC429" s="43">
        <f>IFERROR(IF(MAX(N(L429),N(O429))=0,"",AB429/MAX(N(L429),N(O429))),"")</f>
        <v/>
      </c>
      <c r="AD429" s="37" t="n"/>
      <c r="AE429" s="10" t="inlineStr">
        <is>
          <t>CON-0425</t>
        </is>
      </c>
    </row>
    <row r="430">
      <c r="A430" s="16">
        <f>IF($C430="","",IFERROR(IF(INDEX(tbl_Finance[Latest Invoice Date],MATCH($AE430,tbl_Finance[Row ID],0))="","",INDEX(tbl_Finance[Latest Invoice Date],MATCH($AE430,tbl_Finance[Row ID],0))),""))</f>
        <v/>
      </c>
      <c r="B430" s="10">
        <f>IF($C430="","",IFERROR(INDEX(tbl_Finance[Invoice Numbers],MATCH($AE430,tbl_Finance[Row ID],0))&amp;"",""))</f>
        <v/>
      </c>
      <c r="C430" s="37" t="n"/>
      <c r="D430" s="10">
        <f>IF($C430="","",IF(COUNTIF(lst_Jobs,$C430&amp;"")&gt;0,"OK","CHECK"))</f>
        <v/>
      </c>
      <c r="E430" s="10">
        <f>IF($C430="","",IFERROR(INDEX(lst_JobName,MATCH($C430&amp;"",lst_Jobs,0)),""))</f>
        <v/>
      </c>
      <c r="F430" s="37" t="n"/>
      <c r="G430" s="37" t="n"/>
      <c r="H430" s="37" t="n"/>
      <c r="I430" s="37" t="n"/>
      <c r="J430" s="37" t="n"/>
      <c r="K430" s="38">
        <f>IF($C430="","",IFERROR(N(INDEX(tbl_Finance[Invoice Count],MATCH($AE430,tbl_Finance[Row ID],0))),""))</f>
        <v/>
      </c>
      <c r="L430" s="11">
        <f>IF($C430="","",IFERROR(N(INDEX(tbl_Finance[Xero Invoiced Ex GST],MATCH($AE430,tbl_Finance[Row ID],0))),""))</f>
        <v/>
      </c>
      <c r="M430" s="10">
        <f>IF($C430="","",IFERROR(INDEX(tbl_Finance[Compare],MATCH($AE430,tbl_Finance[Row ID],0))&amp;"",""))</f>
        <v/>
      </c>
      <c r="N430" s="11">
        <f>IF($C430="","",MAX(0,N(O430)-N(L430)))</f>
        <v/>
      </c>
      <c r="O430" s="39" t="n"/>
      <c r="P430" s="40">
        <f>IF($C430="","",IF((IF(F430="",", Client","")&amp;IF(G430="",", Description","")&amp;IF(H430="",", Cost Centre","")&amp;IF(I430="",", Invoice Type","")&amp;IF(J430="",", Tax Code","")&amp;IF(O430="",", Expected Revenue","")&amp;IF(COUNTIF(tbl_Finance[Job Number],$C430&amp;"")&gt;1,", Job number used twice",""))="","Complete","Fix: "&amp;MID(IF(F430="",", Client","")&amp;IF(G430="",", Description","")&amp;IF(H430="",", Cost Centre","")&amp;IF(I430="",", Invoice Type","")&amp;IF(J430="",", Tax Code","")&amp;IF(O430="",", Expected Revenue","")&amp;IF(COUNTIF(tbl_Finance[Job Number],$C430&amp;"")&gt;1,", Job number used twice",""),3,300)))</f>
        <v/>
      </c>
      <c r="Q430" s="10">
        <f>IF($C430="","",IF(H430="","(no cost centre)",H430&amp;" - GL "&amp;IFERROR(INDEX(lst_CCtoGL,MATCH(H430,lst_CCforGL,0)),"?")))</f>
        <v/>
      </c>
      <c r="R430" s="37" t="n"/>
      <c r="S430" s="10">
        <f>IF(R430="","",HYPERLINK(IF(LEFT(R430,4)="http",R430,set_QwilrBase&amp;R430),"Open quote"))</f>
        <v/>
      </c>
      <c r="T430" s="39" t="n"/>
      <c r="U430" s="39" t="n"/>
      <c r="V430" s="39" t="n"/>
      <c r="W430" s="10">
        <f>IF(C430="","",IF(N(T430)+N(U430)+N(V430)=0,"Not split",IF(ROUND(N(T430)+N(U430)+N(V430),2)=ROUND(MAX(N(L430),N(O430)),2),"OK","MISMATCH")))</f>
        <v/>
      </c>
      <c r="X430" s="39" t="n"/>
      <c r="Y430" s="39" t="n"/>
      <c r="Z430" s="39" t="n"/>
      <c r="AA430" s="11">
        <f>IF(C430="","",N(X430)+N(Y430)+N(Z430))</f>
        <v/>
      </c>
      <c r="AB430" s="11">
        <f>IF(C430="","",MAX(N(L430),N(O430))-N(AA430))</f>
        <v/>
      </c>
      <c r="AC430" s="43">
        <f>IFERROR(IF(MAX(N(L430),N(O430))=0,"",AB430/MAX(N(L430),N(O430))),"")</f>
        <v/>
      </c>
      <c r="AD430" s="37" t="n"/>
      <c r="AE430" s="10" t="inlineStr">
        <is>
          <t>CON-0426</t>
        </is>
      </c>
    </row>
    <row r="431">
      <c r="A431" s="16">
        <f>IF($C431="","",IFERROR(IF(INDEX(tbl_Finance[Latest Invoice Date],MATCH($AE431,tbl_Finance[Row ID],0))="","",INDEX(tbl_Finance[Latest Invoice Date],MATCH($AE431,tbl_Finance[Row ID],0))),""))</f>
        <v/>
      </c>
      <c r="B431" s="10">
        <f>IF($C431="","",IFERROR(INDEX(tbl_Finance[Invoice Numbers],MATCH($AE431,tbl_Finance[Row ID],0))&amp;"",""))</f>
        <v/>
      </c>
      <c r="C431" s="37" t="n"/>
      <c r="D431" s="10">
        <f>IF($C431="","",IF(COUNTIF(lst_Jobs,$C431&amp;"")&gt;0,"OK","CHECK"))</f>
        <v/>
      </c>
      <c r="E431" s="10">
        <f>IF($C431="","",IFERROR(INDEX(lst_JobName,MATCH($C431&amp;"",lst_Jobs,0)),""))</f>
        <v/>
      </c>
      <c r="F431" s="37" t="n"/>
      <c r="G431" s="37" t="n"/>
      <c r="H431" s="37" t="n"/>
      <c r="I431" s="37" t="n"/>
      <c r="J431" s="37" t="n"/>
      <c r="K431" s="38">
        <f>IF($C431="","",IFERROR(N(INDEX(tbl_Finance[Invoice Count],MATCH($AE431,tbl_Finance[Row ID],0))),""))</f>
        <v/>
      </c>
      <c r="L431" s="11">
        <f>IF($C431="","",IFERROR(N(INDEX(tbl_Finance[Xero Invoiced Ex GST],MATCH($AE431,tbl_Finance[Row ID],0))),""))</f>
        <v/>
      </c>
      <c r="M431" s="10">
        <f>IF($C431="","",IFERROR(INDEX(tbl_Finance[Compare],MATCH($AE431,tbl_Finance[Row ID],0))&amp;"",""))</f>
        <v/>
      </c>
      <c r="N431" s="11">
        <f>IF($C431="","",MAX(0,N(O431)-N(L431)))</f>
        <v/>
      </c>
      <c r="O431" s="39" t="n"/>
      <c r="P431" s="40">
        <f>IF($C431="","",IF((IF(F431="",", Client","")&amp;IF(G431="",", Description","")&amp;IF(H431="",", Cost Centre","")&amp;IF(I431="",", Invoice Type","")&amp;IF(J431="",", Tax Code","")&amp;IF(O431="",", Expected Revenue","")&amp;IF(COUNTIF(tbl_Finance[Job Number],$C431&amp;"")&gt;1,", Job number used twice",""))="","Complete","Fix: "&amp;MID(IF(F431="",", Client","")&amp;IF(G431="",", Description","")&amp;IF(H431="",", Cost Centre","")&amp;IF(I431="",", Invoice Type","")&amp;IF(J431="",", Tax Code","")&amp;IF(O431="",", Expected Revenue","")&amp;IF(COUNTIF(tbl_Finance[Job Number],$C431&amp;"")&gt;1,", Job number used twice",""),3,300)))</f>
        <v/>
      </c>
      <c r="Q431" s="10">
        <f>IF($C431="","",IF(H431="","(no cost centre)",H431&amp;" - GL "&amp;IFERROR(INDEX(lst_CCtoGL,MATCH(H431,lst_CCforGL,0)),"?")))</f>
        <v/>
      </c>
      <c r="R431" s="37" t="n"/>
      <c r="S431" s="10">
        <f>IF(R431="","",HYPERLINK(IF(LEFT(R431,4)="http",R431,set_QwilrBase&amp;R431),"Open quote"))</f>
        <v/>
      </c>
      <c r="T431" s="39" t="n"/>
      <c r="U431" s="39" t="n"/>
      <c r="V431" s="39" t="n"/>
      <c r="W431" s="10">
        <f>IF(C431="","",IF(N(T431)+N(U431)+N(V431)=0,"Not split",IF(ROUND(N(T431)+N(U431)+N(V431),2)=ROUND(MAX(N(L431),N(O431)),2),"OK","MISMATCH")))</f>
        <v/>
      </c>
      <c r="X431" s="39" t="n"/>
      <c r="Y431" s="39" t="n"/>
      <c r="Z431" s="39" t="n"/>
      <c r="AA431" s="11">
        <f>IF(C431="","",N(X431)+N(Y431)+N(Z431))</f>
        <v/>
      </c>
      <c r="AB431" s="11">
        <f>IF(C431="","",MAX(N(L431),N(O431))-N(AA431))</f>
        <v/>
      </c>
      <c r="AC431" s="43">
        <f>IFERROR(IF(MAX(N(L431),N(O431))=0,"",AB431/MAX(N(L431),N(O431))),"")</f>
        <v/>
      </c>
      <c r="AD431" s="37" t="n"/>
      <c r="AE431" s="10" t="inlineStr">
        <is>
          <t>CON-0427</t>
        </is>
      </c>
    </row>
    <row r="432">
      <c r="A432" s="16">
        <f>IF($C432="","",IFERROR(IF(INDEX(tbl_Finance[Latest Invoice Date],MATCH($AE432,tbl_Finance[Row ID],0))="","",INDEX(tbl_Finance[Latest Invoice Date],MATCH($AE432,tbl_Finance[Row ID],0))),""))</f>
        <v/>
      </c>
      <c r="B432" s="10">
        <f>IF($C432="","",IFERROR(INDEX(tbl_Finance[Invoice Numbers],MATCH($AE432,tbl_Finance[Row ID],0))&amp;"",""))</f>
        <v/>
      </c>
      <c r="C432" s="37" t="n"/>
      <c r="D432" s="10">
        <f>IF($C432="","",IF(COUNTIF(lst_Jobs,$C432&amp;"")&gt;0,"OK","CHECK"))</f>
        <v/>
      </c>
      <c r="E432" s="10">
        <f>IF($C432="","",IFERROR(INDEX(lst_JobName,MATCH($C432&amp;"",lst_Jobs,0)),""))</f>
        <v/>
      </c>
      <c r="F432" s="37" t="n"/>
      <c r="G432" s="37" t="n"/>
      <c r="H432" s="37" t="n"/>
      <c r="I432" s="37" t="n"/>
      <c r="J432" s="37" t="n"/>
      <c r="K432" s="38">
        <f>IF($C432="","",IFERROR(N(INDEX(tbl_Finance[Invoice Count],MATCH($AE432,tbl_Finance[Row ID],0))),""))</f>
        <v/>
      </c>
      <c r="L432" s="11">
        <f>IF($C432="","",IFERROR(N(INDEX(tbl_Finance[Xero Invoiced Ex GST],MATCH($AE432,tbl_Finance[Row ID],0))),""))</f>
        <v/>
      </c>
      <c r="M432" s="10">
        <f>IF($C432="","",IFERROR(INDEX(tbl_Finance[Compare],MATCH($AE432,tbl_Finance[Row ID],0))&amp;"",""))</f>
        <v/>
      </c>
      <c r="N432" s="11">
        <f>IF($C432="","",MAX(0,N(O432)-N(L432)))</f>
        <v/>
      </c>
      <c r="O432" s="39" t="n"/>
      <c r="P432" s="40">
        <f>IF($C432="","",IF((IF(F432="",", Client","")&amp;IF(G432="",", Description","")&amp;IF(H432="",", Cost Centre","")&amp;IF(I432="",", Invoice Type","")&amp;IF(J432="",", Tax Code","")&amp;IF(O432="",", Expected Revenue","")&amp;IF(COUNTIF(tbl_Finance[Job Number],$C432&amp;"")&gt;1,", Job number used twice",""))="","Complete","Fix: "&amp;MID(IF(F432="",", Client","")&amp;IF(G432="",", Description","")&amp;IF(H432="",", Cost Centre","")&amp;IF(I432="",", Invoice Type","")&amp;IF(J432="",", Tax Code","")&amp;IF(O432="",", Expected Revenue","")&amp;IF(COUNTIF(tbl_Finance[Job Number],$C432&amp;"")&gt;1,", Job number used twice",""),3,300)))</f>
        <v/>
      </c>
      <c r="Q432" s="10">
        <f>IF($C432="","",IF(H432="","(no cost centre)",H432&amp;" - GL "&amp;IFERROR(INDEX(lst_CCtoGL,MATCH(H432,lst_CCforGL,0)),"?")))</f>
        <v/>
      </c>
      <c r="R432" s="37" t="n"/>
      <c r="S432" s="10">
        <f>IF(R432="","",HYPERLINK(IF(LEFT(R432,4)="http",R432,set_QwilrBase&amp;R432),"Open quote"))</f>
        <v/>
      </c>
      <c r="T432" s="39" t="n"/>
      <c r="U432" s="39" t="n"/>
      <c r="V432" s="39" t="n"/>
      <c r="W432" s="10">
        <f>IF(C432="","",IF(N(T432)+N(U432)+N(V432)=0,"Not split",IF(ROUND(N(T432)+N(U432)+N(V432),2)=ROUND(MAX(N(L432),N(O432)),2),"OK","MISMATCH")))</f>
        <v/>
      </c>
      <c r="X432" s="39" t="n"/>
      <c r="Y432" s="39" t="n"/>
      <c r="Z432" s="39" t="n"/>
      <c r="AA432" s="11">
        <f>IF(C432="","",N(X432)+N(Y432)+N(Z432))</f>
        <v/>
      </c>
      <c r="AB432" s="11">
        <f>IF(C432="","",MAX(N(L432),N(O432))-N(AA432))</f>
        <v/>
      </c>
      <c r="AC432" s="43">
        <f>IFERROR(IF(MAX(N(L432),N(O432))=0,"",AB432/MAX(N(L432),N(O432))),"")</f>
        <v/>
      </c>
      <c r="AD432" s="37" t="n"/>
      <c r="AE432" s="10" t="inlineStr">
        <is>
          <t>CON-0428</t>
        </is>
      </c>
    </row>
    <row r="433">
      <c r="A433" s="16">
        <f>IF($C433="","",IFERROR(IF(INDEX(tbl_Finance[Latest Invoice Date],MATCH($AE433,tbl_Finance[Row ID],0))="","",INDEX(tbl_Finance[Latest Invoice Date],MATCH($AE433,tbl_Finance[Row ID],0))),""))</f>
        <v/>
      </c>
      <c r="B433" s="10">
        <f>IF($C433="","",IFERROR(INDEX(tbl_Finance[Invoice Numbers],MATCH($AE433,tbl_Finance[Row ID],0))&amp;"",""))</f>
        <v/>
      </c>
      <c r="C433" s="37" t="n"/>
      <c r="D433" s="10">
        <f>IF($C433="","",IF(COUNTIF(lst_Jobs,$C433&amp;"")&gt;0,"OK","CHECK"))</f>
        <v/>
      </c>
      <c r="E433" s="10">
        <f>IF($C433="","",IFERROR(INDEX(lst_JobName,MATCH($C433&amp;"",lst_Jobs,0)),""))</f>
        <v/>
      </c>
      <c r="F433" s="37" t="n"/>
      <c r="G433" s="37" t="n"/>
      <c r="H433" s="37" t="n"/>
      <c r="I433" s="37" t="n"/>
      <c r="J433" s="37" t="n"/>
      <c r="K433" s="38">
        <f>IF($C433="","",IFERROR(N(INDEX(tbl_Finance[Invoice Count],MATCH($AE433,tbl_Finance[Row ID],0))),""))</f>
        <v/>
      </c>
      <c r="L433" s="11">
        <f>IF($C433="","",IFERROR(N(INDEX(tbl_Finance[Xero Invoiced Ex GST],MATCH($AE433,tbl_Finance[Row ID],0))),""))</f>
        <v/>
      </c>
      <c r="M433" s="10">
        <f>IF($C433="","",IFERROR(INDEX(tbl_Finance[Compare],MATCH($AE433,tbl_Finance[Row ID],0))&amp;"",""))</f>
        <v/>
      </c>
      <c r="N433" s="11">
        <f>IF($C433="","",MAX(0,N(O433)-N(L433)))</f>
        <v/>
      </c>
      <c r="O433" s="39" t="n"/>
      <c r="P433" s="40">
        <f>IF($C433="","",IF((IF(F433="",", Client","")&amp;IF(G433="",", Description","")&amp;IF(H433="",", Cost Centre","")&amp;IF(I433="",", Invoice Type","")&amp;IF(J433="",", Tax Code","")&amp;IF(O433="",", Expected Revenue","")&amp;IF(COUNTIF(tbl_Finance[Job Number],$C433&amp;"")&gt;1,", Job number used twice",""))="","Complete","Fix: "&amp;MID(IF(F433="",", Client","")&amp;IF(G433="",", Description","")&amp;IF(H433="",", Cost Centre","")&amp;IF(I433="",", Invoice Type","")&amp;IF(J433="",", Tax Code","")&amp;IF(O433="",", Expected Revenue","")&amp;IF(COUNTIF(tbl_Finance[Job Number],$C433&amp;"")&gt;1,", Job number used twice",""),3,300)))</f>
        <v/>
      </c>
      <c r="Q433" s="10">
        <f>IF($C433="","",IF(H433="","(no cost centre)",H433&amp;" - GL "&amp;IFERROR(INDEX(lst_CCtoGL,MATCH(H433,lst_CCforGL,0)),"?")))</f>
        <v/>
      </c>
      <c r="R433" s="37" t="n"/>
      <c r="S433" s="10">
        <f>IF(R433="","",HYPERLINK(IF(LEFT(R433,4)="http",R433,set_QwilrBase&amp;R433),"Open quote"))</f>
        <v/>
      </c>
      <c r="T433" s="39" t="n"/>
      <c r="U433" s="39" t="n"/>
      <c r="V433" s="39" t="n"/>
      <c r="W433" s="10">
        <f>IF(C433="","",IF(N(T433)+N(U433)+N(V433)=0,"Not split",IF(ROUND(N(T433)+N(U433)+N(V433),2)=ROUND(MAX(N(L433),N(O433)),2),"OK","MISMATCH")))</f>
        <v/>
      </c>
      <c r="X433" s="39" t="n"/>
      <c r="Y433" s="39" t="n"/>
      <c r="Z433" s="39" t="n"/>
      <c r="AA433" s="11">
        <f>IF(C433="","",N(X433)+N(Y433)+N(Z433))</f>
        <v/>
      </c>
      <c r="AB433" s="11">
        <f>IF(C433="","",MAX(N(L433),N(O433))-N(AA433))</f>
        <v/>
      </c>
      <c r="AC433" s="43">
        <f>IFERROR(IF(MAX(N(L433),N(O433))=0,"",AB433/MAX(N(L433),N(O433))),"")</f>
        <v/>
      </c>
      <c r="AD433" s="37" t="n"/>
      <c r="AE433" s="10" t="inlineStr">
        <is>
          <t>CON-0429</t>
        </is>
      </c>
    </row>
    <row r="434">
      <c r="A434" s="16">
        <f>IF($C434="","",IFERROR(IF(INDEX(tbl_Finance[Latest Invoice Date],MATCH($AE434,tbl_Finance[Row ID],0))="","",INDEX(tbl_Finance[Latest Invoice Date],MATCH($AE434,tbl_Finance[Row ID],0))),""))</f>
        <v/>
      </c>
      <c r="B434" s="10">
        <f>IF($C434="","",IFERROR(INDEX(tbl_Finance[Invoice Numbers],MATCH($AE434,tbl_Finance[Row ID],0))&amp;"",""))</f>
        <v/>
      </c>
      <c r="C434" s="37" t="n"/>
      <c r="D434" s="10">
        <f>IF($C434="","",IF(COUNTIF(lst_Jobs,$C434&amp;"")&gt;0,"OK","CHECK"))</f>
        <v/>
      </c>
      <c r="E434" s="10">
        <f>IF($C434="","",IFERROR(INDEX(lst_JobName,MATCH($C434&amp;"",lst_Jobs,0)),""))</f>
        <v/>
      </c>
      <c r="F434" s="37" t="n"/>
      <c r="G434" s="37" t="n"/>
      <c r="H434" s="37" t="n"/>
      <c r="I434" s="37" t="n"/>
      <c r="J434" s="37" t="n"/>
      <c r="K434" s="38">
        <f>IF($C434="","",IFERROR(N(INDEX(tbl_Finance[Invoice Count],MATCH($AE434,tbl_Finance[Row ID],0))),""))</f>
        <v/>
      </c>
      <c r="L434" s="11">
        <f>IF($C434="","",IFERROR(N(INDEX(tbl_Finance[Xero Invoiced Ex GST],MATCH($AE434,tbl_Finance[Row ID],0))),""))</f>
        <v/>
      </c>
      <c r="M434" s="10">
        <f>IF($C434="","",IFERROR(INDEX(tbl_Finance[Compare],MATCH($AE434,tbl_Finance[Row ID],0))&amp;"",""))</f>
        <v/>
      </c>
      <c r="N434" s="11">
        <f>IF($C434="","",MAX(0,N(O434)-N(L434)))</f>
        <v/>
      </c>
      <c r="O434" s="39" t="n"/>
      <c r="P434" s="40">
        <f>IF($C434="","",IF((IF(F434="",", Client","")&amp;IF(G434="",", Description","")&amp;IF(H434="",", Cost Centre","")&amp;IF(I434="",", Invoice Type","")&amp;IF(J434="",", Tax Code","")&amp;IF(O434="",", Expected Revenue","")&amp;IF(COUNTIF(tbl_Finance[Job Number],$C434&amp;"")&gt;1,", Job number used twice",""))="","Complete","Fix: "&amp;MID(IF(F434="",", Client","")&amp;IF(G434="",", Description","")&amp;IF(H434="",", Cost Centre","")&amp;IF(I434="",", Invoice Type","")&amp;IF(J434="",", Tax Code","")&amp;IF(O434="",", Expected Revenue","")&amp;IF(COUNTIF(tbl_Finance[Job Number],$C434&amp;"")&gt;1,", Job number used twice",""),3,300)))</f>
        <v/>
      </c>
      <c r="Q434" s="10">
        <f>IF($C434="","",IF(H434="","(no cost centre)",H434&amp;" - GL "&amp;IFERROR(INDEX(lst_CCtoGL,MATCH(H434,lst_CCforGL,0)),"?")))</f>
        <v/>
      </c>
      <c r="R434" s="37" t="n"/>
      <c r="S434" s="10">
        <f>IF(R434="","",HYPERLINK(IF(LEFT(R434,4)="http",R434,set_QwilrBase&amp;R434),"Open quote"))</f>
        <v/>
      </c>
      <c r="T434" s="39" t="n"/>
      <c r="U434" s="39" t="n"/>
      <c r="V434" s="39" t="n"/>
      <c r="W434" s="10">
        <f>IF(C434="","",IF(N(T434)+N(U434)+N(V434)=0,"Not split",IF(ROUND(N(T434)+N(U434)+N(V434),2)=ROUND(MAX(N(L434),N(O434)),2),"OK","MISMATCH")))</f>
        <v/>
      </c>
      <c r="X434" s="39" t="n"/>
      <c r="Y434" s="39" t="n"/>
      <c r="Z434" s="39" t="n"/>
      <c r="AA434" s="11">
        <f>IF(C434="","",N(X434)+N(Y434)+N(Z434))</f>
        <v/>
      </c>
      <c r="AB434" s="11">
        <f>IF(C434="","",MAX(N(L434),N(O434))-N(AA434))</f>
        <v/>
      </c>
      <c r="AC434" s="43">
        <f>IFERROR(IF(MAX(N(L434),N(O434))=0,"",AB434/MAX(N(L434),N(O434))),"")</f>
        <v/>
      </c>
      <c r="AD434" s="37" t="n"/>
      <c r="AE434" s="10" t="inlineStr">
        <is>
          <t>CON-0430</t>
        </is>
      </c>
    </row>
    <row r="435">
      <c r="A435" s="16">
        <f>IF($C435="","",IFERROR(IF(INDEX(tbl_Finance[Latest Invoice Date],MATCH($AE435,tbl_Finance[Row ID],0))="","",INDEX(tbl_Finance[Latest Invoice Date],MATCH($AE435,tbl_Finance[Row ID],0))),""))</f>
        <v/>
      </c>
      <c r="B435" s="10">
        <f>IF($C435="","",IFERROR(INDEX(tbl_Finance[Invoice Numbers],MATCH($AE435,tbl_Finance[Row ID],0))&amp;"",""))</f>
        <v/>
      </c>
      <c r="C435" s="37" t="n"/>
      <c r="D435" s="10">
        <f>IF($C435="","",IF(COUNTIF(lst_Jobs,$C435&amp;"")&gt;0,"OK","CHECK"))</f>
        <v/>
      </c>
      <c r="E435" s="10">
        <f>IF($C435="","",IFERROR(INDEX(lst_JobName,MATCH($C435&amp;"",lst_Jobs,0)),""))</f>
        <v/>
      </c>
      <c r="F435" s="37" t="n"/>
      <c r="G435" s="37" t="n"/>
      <c r="H435" s="37" t="n"/>
      <c r="I435" s="37" t="n"/>
      <c r="J435" s="37" t="n"/>
      <c r="K435" s="38">
        <f>IF($C435="","",IFERROR(N(INDEX(tbl_Finance[Invoice Count],MATCH($AE435,tbl_Finance[Row ID],0))),""))</f>
        <v/>
      </c>
      <c r="L435" s="11">
        <f>IF($C435="","",IFERROR(N(INDEX(tbl_Finance[Xero Invoiced Ex GST],MATCH($AE435,tbl_Finance[Row ID],0))),""))</f>
        <v/>
      </c>
      <c r="M435" s="10">
        <f>IF($C435="","",IFERROR(INDEX(tbl_Finance[Compare],MATCH($AE435,tbl_Finance[Row ID],0))&amp;"",""))</f>
        <v/>
      </c>
      <c r="N435" s="11">
        <f>IF($C435="","",MAX(0,N(O435)-N(L435)))</f>
        <v/>
      </c>
      <c r="O435" s="39" t="n"/>
      <c r="P435" s="40">
        <f>IF($C435="","",IF((IF(F435="",", Client","")&amp;IF(G435="",", Description","")&amp;IF(H435="",", Cost Centre","")&amp;IF(I435="",", Invoice Type","")&amp;IF(J435="",", Tax Code","")&amp;IF(O435="",", Expected Revenue","")&amp;IF(COUNTIF(tbl_Finance[Job Number],$C435&amp;"")&gt;1,", Job number used twice",""))="","Complete","Fix: "&amp;MID(IF(F435="",", Client","")&amp;IF(G435="",", Description","")&amp;IF(H435="",", Cost Centre","")&amp;IF(I435="",", Invoice Type","")&amp;IF(J435="",", Tax Code","")&amp;IF(O435="",", Expected Revenue","")&amp;IF(COUNTIF(tbl_Finance[Job Number],$C435&amp;"")&gt;1,", Job number used twice",""),3,300)))</f>
        <v/>
      </c>
      <c r="Q435" s="10">
        <f>IF($C435="","",IF(H435="","(no cost centre)",H435&amp;" - GL "&amp;IFERROR(INDEX(lst_CCtoGL,MATCH(H435,lst_CCforGL,0)),"?")))</f>
        <v/>
      </c>
      <c r="R435" s="37" t="n"/>
      <c r="S435" s="10">
        <f>IF(R435="","",HYPERLINK(IF(LEFT(R435,4)="http",R435,set_QwilrBase&amp;R435),"Open quote"))</f>
        <v/>
      </c>
      <c r="T435" s="39" t="n"/>
      <c r="U435" s="39" t="n"/>
      <c r="V435" s="39" t="n"/>
      <c r="W435" s="10">
        <f>IF(C435="","",IF(N(T435)+N(U435)+N(V435)=0,"Not split",IF(ROUND(N(T435)+N(U435)+N(V435),2)=ROUND(MAX(N(L435),N(O435)),2),"OK","MISMATCH")))</f>
        <v/>
      </c>
      <c r="X435" s="39" t="n"/>
      <c r="Y435" s="39" t="n"/>
      <c r="Z435" s="39" t="n"/>
      <c r="AA435" s="11">
        <f>IF(C435="","",N(X435)+N(Y435)+N(Z435))</f>
        <v/>
      </c>
      <c r="AB435" s="11">
        <f>IF(C435="","",MAX(N(L435),N(O435))-N(AA435))</f>
        <v/>
      </c>
      <c r="AC435" s="43">
        <f>IFERROR(IF(MAX(N(L435),N(O435))=0,"",AB435/MAX(N(L435),N(O435))),"")</f>
        <v/>
      </c>
      <c r="AD435" s="37" t="n"/>
      <c r="AE435" s="10" t="inlineStr">
        <is>
          <t>CON-0431</t>
        </is>
      </c>
    </row>
    <row r="436">
      <c r="A436" s="16">
        <f>IF($C436="","",IFERROR(IF(INDEX(tbl_Finance[Latest Invoice Date],MATCH($AE436,tbl_Finance[Row ID],0))="","",INDEX(tbl_Finance[Latest Invoice Date],MATCH($AE436,tbl_Finance[Row ID],0))),""))</f>
        <v/>
      </c>
      <c r="B436" s="10">
        <f>IF($C436="","",IFERROR(INDEX(tbl_Finance[Invoice Numbers],MATCH($AE436,tbl_Finance[Row ID],0))&amp;"",""))</f>
        <v/>
      </c>
      <c r="C436" s="37" t="n"/>
      <c r="D436" s="10">
        <f>IF($C436="","",IF(COUNTIF(lst_Jobs,$C436&amp;"")&gt;0,"OK","CHECK"))</f>
        <v/>
      </c>
      <c r="E436" s="10">
        <f>IF($C436="","",IFERROR(INDEX(lst_JobName,MATCH($C436&amp;"",lst_Jobs,0)),""))</f>
        <v/>
      </c>
      <c r="F436" s="37" t="n"/>
      <c r="G436" s="37" t="n"/>
      <c r="H436" s="37" t="n"/>
      <c r="I436" s="37" t="n"/>
      <c r="J436" s="37" t="n"/>
      <c r="K436" s="38">
        <f>IF($C436="","",IFERROR(N(INDEX(tbl_Finance[Invoice Count],MATCH($AE436,tbl_Finance[Row ID],0))),""))</f>
        <v/>
      </c>
      <c r="L436" s="11">
        <f>IF($C436="","",IFERROR(N(INDEX(tbl_Finance[Xero Invoiced Ex GST],MATCH($AE436,tbl_Finance[Row ID],0))),""))</f>
        <v/>
      </c>
      <c r="M436" s="10">
        <f>IF($C436="","",IFERROR(INDEX(tbl_Finance[Compare],MATCH($AE436,tbl_Finance[Row ID],0))&amp;"",""))</f>
        <v/>
      </c>
      <c r="N436" s="11">
        <f>IF($C436="","",MAX(0,N(O436)-N(L436)))</f>
        <v/>
      </c>
      <c r="O436" s="39" t="n"/>
      <c r="P436" s="40">
        <f>IF($C436="","",IF((IF(F436="",", Client","")&amp;IF(G436="",", Description","")&amp;IF(H436="",", Cost Centre","")&amp;IF(I436="",", Invoice Type","")&amp;IF(J436="",", Tax Code","")&amp;IF(O436="",", Expected Revenue","")&amp;IF(COUNTIF(tbl_Finance[Job Number],$C436&amp;"")&gt;1,", Job number used twice",""))="","Complete","Fix: "&amp;MID(IF(F436="",", Client","")&amp;IF(G436="",", Description","")&amp;IF(H436="",", Cost Centre","")&amp;IF(I436="",", Invoice Type","")&amp;IF(J436="",", Tax Code","")&amp;IF(O436="",", Expected Revenue","")&amp;IF(COUNTIF(tbl_Finance[Job Number],$C436&amp;"")&gt;1,", Job number used twice",""),3,300)))</f>
        <v/>
      </c>
      <c r="Q436" s="10">
        <f>IF($C436="","",IF(H436="","(no cost centre)",H436&amp;" - GL "&amp;IFERROR(INDEX(lst_CCtoGL,MATCH(H436,lst_CCforGL,0)),"?")))</f>
        <v/>
      </c>
      <c r="R436" s="37" t="n"/>
      <c r="S436" s="10">
        <f>IF(R436="","",HYPERLINK(IF(LEFT(R436,4)="http",R436,set_QwilrBase&amp;R436),"Open quote"))</f>
        <v/>
      </c>
      <c r="T436" s="39" t="n"/>
      <c r="U436" s="39" t="n"/>
      <c r="V436" s="39" t="n"/>
      <c r="W436" s="10">
        <f>IF(C436="","",IF(N(T436)+N(U436)+N(V436)=0,"Not split",IF(ROUND(N(T436)+N(U436)+N(V436),2)=ROUND(MAX(N(L436),N(O436)),2),"OK","MISMATCH")))</f>
        <v/>
      </c>
      <c r="X436" s="39" t="n"/>
      <c r="Y436" s="39" t="n"/>
      <c r="Z436" s="39" t="n"/>
      <c r="AA436" s="11">
        <f>IF(C436="","",N(X436)+N(Y436)+N(Z436))</f>
        <v/>
      </c>
      <c r="AB436" s="11">
        <f>IF(C436="","",MAX(N(L436),N(O436))-N(AA436))</f>
        <v/>
      </c>
      <c r="AC436" s="43">
        <f>IFERROR(IF(MAX(N(L436),N(O436))=0,"",AB436/MAX(N(L436),N(O436))),"")</f>
        <v/>
      </c>
      <c r="AD436" s="37" t="n"/>
      <c r="AE436" s="10" t="inlineStr">
        <is>
          <t>CON-0432</t>
        </is>
      </c>
    </row>
    <row r="437">
      <c r="A437" s="16">
        <f>IF($C437="","",IFERROR(IF(INDEX(tbl_Finance[Latest Invoice Date],MATCH($AE437,tbl_Finance[Row ID],0))="","",INDEX(tbl_Finance[Latest Invoice Date],MATCH($AE437,tbl_Finance[Row ID],0))),""))</f>
        <v/>
      </c>
      <c r="B437" s="10">
        <f>IF($C437="","",IFERROR(INDEX(tbl_Finance[Invoice Numbers],MATCH($AE437,tbl_Finance[Row ID],0))&amp;"",""))</f>
        <v/>
      </c>
      <c r="C437" s="37" t="n"/>
      <c r="D437" s="10">
        <f>IF($C437="","",IF(COUNTIF(lst_Jobs,$C437&amp;"")&gt;0,"OK","CHECK"))</f>
        <v/>
      </c>
      <c r="E437" s="10">
        <f>IF($C437="","",IFERROR(INDEX(lst_JobName,MATCH($C437&amp;"",lst_Jobs,0)),""))</f>
        <v/>
      </c>
      <c r="F437" s="37" t="n"/>
      <c r="G437" s="37" t="n"/>
      <c r="H437" s="37" t="n"/>
      <c r="I437" s="37" t="n"/>
      <c r="J437" s="37" t="n"/>
      <c r="K437" s="38">
        <f>IF($C437="","",IFERROR(N(INDEX(tbl_Finance[Invoice Count],MATCH($AE437,tbl_Finance[Row ID],0))),""))</f>
        <v/>
      </c>
      <c r="L437" s="11">
        <f>IF($C437="","",IFERROR(N(INDEX(tbl_Finance[Xero Invoiced Ex GST],MATCH($AE437,tbl_Finance[Row ID],0))),""))</f>
        <v/>
      </c>
      <c r="M437" s="10">
        <f>IF($C437="","",IFERROR(INDEX(tbl_Finance[Compare],MATCH($AE437,tbl_Finance[Row ID],0))&amp;"",""))</f>
        <v/>
      </c>
      <c r="N437" s="11">
        <f>IF($C437="","",MAX(0,N(O437)-N(L437)))</f>
        <v/>
      </c>
      <c r="O437" s="39" t="n"/>
      <c r="P437" s="40">
        <f>IF($C437="","",IF((IF(F437="",", Client","")&amp;IF(G437="",", Description","")&amp;IF(H437="",", Cost Centre","")&amp;IF(I437="",", Invoice Type","")&amp;IF(J437="",", Tax Code","")&amp;IF(O437="",", Expected Revenue","")&amp;IF(COUNTIF(tbl_Finance[Job Number],$C437&amp;"")&gt;1,", Job number used twice",""))="","Complete","Fix: "&amp;MID(IF(F437="",", Client","")&amp;IF(G437="",", Description","")&amp;IF(H437="",", Cost Centre","")&amp;IF(I437="",", Invoice Type","")&amp;IF(J437="",", Tax Code","")&amp;IF(O437="",", Expected Revenue","")&amp;IF(COUNTIF(tbl_Finance[Job Number],$C437&amp;"")&gt;1,", Job number used twice",""),3,300)))</f>
        <v/>
      </c>
      <c r="Q437" s="10">
        <f>IF($C437="","",IF(H437="","(no cost centre)",H437&amp;" - GL "&amp;IFERROR(INDEX(lst_CCtoGL,MATCH(H437,lst_CCforGL,0)),"?")))</f>
        <v/>
      </c>
      <c r="R437" s="37" t="n"/>
      <c r="S437" s="10">
        <f>IF(R437="","",HYPERLINK(IF(LEFT(R437,4)="http",R437,set_QwilrBase&amp;R437),"Open quote"))</f>
        <v/>
      </c>
      <c r="T437" s="39" t="n"/>
      <c r="U437" s="39" t="n"/>
      <c r="V437" s="39" t="n"/>
      <c r="W437" s="10">
        <f>IF(C437="","",IF(N(T437)+N(U437)+N(V437)=0,"Not split",IF(ROUND(N(T437)+N(U437)+N(V437),2)=ROUND(MAX(N(L437),N(O437)),2),"OK","MISMATCH")))</f>
        <v/>
      </c>
      <c r="X437" s="39" t="n"/>
      <c r="Y437" s="39" t="n"/>
      <c r="Z437" s="39" t="n"/>
      <c r="AA437" s="11">
        <f>IF(C437="","",N(X437)+N(Y437)+N(Z437))</f>
        <v/>
      </c>
      <c r="AB437" s="11">
        <f>IF(C437="","",MAX(N(L437),N(O437))-N(AA437))</f>
        <v/>
      </c>
      <c r="AC437" s="43">
        <f>IFERROR(IF(MAX(N(L437),N(O437))=0,"",AB437/MAX(N(L437),N(O437))),"")</f>
        <v/>
      </c>
      <c r="AD437" s="37" t="n"/>
      <c r="AE437" s="10" t="inlineStr">
        <is>
          <t>CON-0433</t>
        </is>
      </c>
    </row>
    <row r="438">
      <c r="A438" s="16">
        <f>IF($C438="","",IFERROR(IF(INDEX(tbl_Finance[Latest Invoice Date],MATCH($AE438,tbl_Finance[Row ID],0))="","",INDEX(tbl_Finance[Latest Invoice Date],MATCH($AE438,tbl_Finance[Row ID],0))),""))</f>
        <v/>
      </c>
      <c r="B438" s="10">
        <f>IF($C438="","",IFERROR(INDEX(tbl_Finance[Invoice Numbers],MATCH($AE438,tbl_Finance[Row ID],0))&amp;"",""))</f>
        <v/>
      </c>
      <c r="C438" s="37" t="n"/>
      <c r="D438" s="10">
        <f>IF($C438="","",IF(COUNTIF(lst_Jobs,$C438&amp;"")&gt;0,"OK","CHECK"))</f>
        <v/>
      </c>
      <c r="E438" s="10">
        <f>IF($C438="","",IFERROR(INDEX(lst_JobName,MATCH($C438&amp;"",lst_Jobs,0)),""))</f>
        <v/>
      </c>
      <c r="F438" s="37" t="n"/>
      <c r="G438" s="37" t="n"/>
      <c r="H438" s="37" t="n"/>
      <c r="I438" s="37" t="n"/>
      <c r="J438" s="37" t="n"/>
      <c r="K438" s="38">
        <f>IF($C438="","",IFERROR(N(INDEX(tbl_Finance[Invoice Count],MATCH($AE438,tbl_Finance[Row ID],0))),""))</f>
        <v/>
      </c>
      <c r="L438" s="11">
        <f>IF($C438="","",IFERROR(N(INDEX(tbl_Finance[Xero Invoiced Ex GST],MATCH($AE438,tbl_Finance[Row ID],0))),""))</f>
        <v/>
      </c>
      <c r="M438" s="10">
        <f>IF($C438="","",IFERROR(INDEX(tbl_Finance[Compare],MATCH($AE438,tbl_Finance[Row ID],0))&amp;"",""))</f>
        <v/>
      </c>
      <c r="N438" s="11">
        <f>IF($C438="","",MAX(0,N(O438)-N(L438)))</f>
        <v/>
      </c>
      <c r="O438" s="39" t="n"/>
      <c r="P438" s="40">
        <f>IF($C438="","",IF((IF(F438="",", Client","")&amp;IF(G438="",", Description","")&amp;IF(H438="",", Cost Centre","")&amp;IF(I438="",", Invoice Type","")&amp;IF(J438="",", Tax Code","")&amp;IF(O438="",", Expected Revenue","")&amp;IF(COUNTIF(tbl_Finance[Job Number],$C438&amp;"")&gt;1,", Job number used twice",""))="","Complete","Fix: "&amp;MID(IF(F438="",", Client","")&amp;IF(G438="",", Description","")&amp;IF(H438="",", Cost Centre","")&amp;IF(I438="",", Invoice Type","")&amp;IF(J438="",", Tax Code","")&amp;IF(O438="",", Expected Revenue","")&amp;IF(COUNTIF(tbl_Finance[Job Number],$C438&amp;"")&gt;1,", Job number used twice",""),3,300)))</f>
        <v/>
      </c>
      <c r="Q438" s="10">
        <f>IF($C438="","",IF(H438="","(no cost centre)",H438&amp;" - GL "&amp;IFERROR(INDEX(lst_CCtoGL,MATCH(H438,lst_CCforGL,0)),"?")))</f>
        <v/>
      </c>
      <c r="R438" s="37" t="n"/>
      <c r="S438" s="10">
        <f>IF(R438="","",HYPERLINK(IF(LEFT(R438,4)="http",R438,set_QwilrBase&amp;R438),"Open quote"))</f>
        <v/>
      </c>
      <c r="T438" s="39" t="n"/>
      <c r="U438" s="39" t="n"/>
      <c r="V438" s="39" t="n"/>
      <c r="W438" s="10">
        <f>IF(C438="","",IF(N(T438)+N(U438)+N(V438)=0,"Not split",IF(ROUND(N(T438)+N(U438)+N(V438),2)=ROUND(MAX(N(L438),N(O438)),2),"OK","MISMATCH")))</f>
        <v/>
      </c>
      <c r="X438" s="39" t="n"/>
      <c r="Y438" s="39" t="n"/>
      <c r="Z438" s="39" t="n"/>
      <c r="AA438" s="11">
        <f>IF(C438="","",N(X438)+N(Y438)+N(Z438))</f>
        <v/>
      </c>
      <c r="AB438" s="11">
        <f>IF(C438="","",MAX(N(L438),N(O438))-N(AA438))</f>
        <v/>
      </c>
      <c r="AC438" s="43">
        <f>IFERROR(IF(MAX(N(L438),N(O438))=0,"",AB438/MAX(N(L438),N(O438))),"")</f>
        <v/>
      </c>
      <c r="AD438" s="37" t="n"/>
      <c r="AE438" s="10" t="inlineStr">
        <is>
          <t>CON-0434</t>
        </is>
      </c>
    </row>
    <row r="439">
      <c r="A439" s="16">
        <f>IF($C439="","",IFERROR(IF(INDEX(tbl_Finance[Latest Invoice Date],MATCH($AE439,tbl_Finance[Row ID],0))="","",INDEX(tbl_Finance[Latest Invoice Date],MATCH($AE439,tbl_Finance[Row ID],0))),""))</f>
        <v/>
      </c>
      <c r="B439" s="10">
        <f>IF($C439="","",IFERROR(INDEX(tbl_Finance[Invoice Numbers],MATCH($AE439,tbl_Finance[Row ID],0))&amp;"",""))</f>
        <v/>
      </c>
      <c r="C439" s="37" t="n"/>
      <c r="D439" s="10">
        <f>IF($C439="","",IF(COUNTIF(lst_Jobs,$C439&amp;"")&gt;0,"OK","CHECK"))</f>
        <v/>
      </c>
      <c r="E439" s="10">
        <f>IF($C439="","",IFERROR(INDEX(lst_JobName,MATCH($C439&amp;"",lst_Jobs,0)),""))</f>
        <v/>
      </c>
      <c r="F439" s="37" t="n"/>
      <c r="G439" s="37" t="n"/>
      <c r="H439" s="37" t="n"/>
      <c r="I439" s="37" t="n"/>
      <c r="J439" s="37" t="n"/>
      <c r="K439" s="38">
        <f>IF($C439="","",IFERROR(N(INDEX(tbl_Finance[Invoice Count],MATCH($AE439,tbl_Finance[Row ID],0))),""))</f>
        <v/>
      </c>
      <c r="L439" s="11">
        <f>IF($C439="","",IFERROR(N(INDEX(tbl_Finance[Xero Invoiced Ex GST],MATCH($AE439,tbl_Finance[Row ID],0))),""))</f>
        <v/>
      </c>
      <c r="M439" s="10">
        <f>IF($C439="","",IFERROR(INDEX(tbl_Finance[Compare],MATCH($AE439,tbl_Finance[Row ID],0))&amp;"",""))</f>
        <v/>
      </c>
      <c r="N439" s="11">
        <f>IF($C439="","",MAX(0,N(O439)-N(L439)))</f>
        <v/>
      </c>
      <c r="O439" s="39" t="n"/>
      <c r="P439" s="40">
        <f>IF($C439="","",IF((IF(F439="",", Client","")&amp;IF(G439="",", Description","")&amp;IF(H439="",", Cost Centre","")&amp;IF(I439="",", Invoice Type","")&amp;IF(J439="",", Tax Code","")&amp;IF(O439="",", Expected Revenue","")&amp;IF(COUNTIF(tbl_Finance[Job Number],$C439&amp;"")&gt;1,", Job number used twice",""))="","Complete","Fix: "&amp;MID(IF(F439="",", Client","")&amp;IF(G439="",", Description","")&amp;IF(H439="",", Cost Centre","")&amp;IF(I439="",", Invoice Type","")&amp;IF(J439="",", Tax Code","")&amp;IF(O439="",", Expected Revenue","")&amp;IF(COUNTIF(tbl_Finance[Job Number],$C439&amp;"")&gt;1,", Job number used twice",""),3,300)))</f>
        <v/>
      </c>
      <c r="Q439" s="10">
        <f>IF($C439="","",IF(H439="","(no cost centre)",H439&amp;" - GL "&amp;IFERROR(INDEX(lst_CCtoGL,MATCH(H439,lst_CCforGL,0)),"?")))</f>
        <v/>
      </c>
      <c r="R439" s="37" t="n"/>
      <c r="S439" s="10">
        <f>IF(R439="","",HYPERLINK(IF(LEFT(R439,4)="http",R439,set_QwilrBase&amp;R439),"Open quote"))</f>
        <v/>
      </c>
      <c r="T439" s="39" t="n"/>
      <c r="U439" s="39" t="n"/>
      <c r="V439" s="39" t="n"/>
      <c r="W439" s="10">
        <f>IF(C439="","",IF(N(T439)+N(U439)+N(V439)=0,"Not split",IF(ROUND(N(T439)+N(U439)+N(V439),2)=ROUND(MAX(N(L439),N(O439)),2),"OK","MISMATCH")))</f>
        <v/>
      </c>
      <c r="X439" s="39" t="n"/>
      <c r="Y439" s="39" t="n"/>
      <c r="Z439" s="39" t="n"/>
      <c r="AA439" s="11">
        <f>IF(C439="","",N(X439)+N(Y439)+N(Z439))</f>
        <v/>
      </c>
      <c r="AB439" s="11">
        <f>IF(C439="","",MAX(N(L439),N(O439))-N(AA439))</f>
        <v/>
      </c>
      <c r="AC439" s="43">
        <f>IFERROR(IF(MAX(N(L439),N(O439))=0,"",AB439/MAX(N(L439),N(O439))),"")</f>
        <v/>
      </c>
      <c r="AD439" s="37" t="n"/>
      <c r="AE439" s="10" t="inlineStr">
        <is>
          <t>CON-0435</t>
        </is>
      </c>
    </row>
    <row r="440">
      <c r="A440" s="16">
        <f>IF($C440="","",IFERROR(IF(INDEX(tbl_Finance[Latest Invoice Date],MATCH($AE440,tbl_Finance[Row ID],0))="","",INDEX(tbl_Finance[Latest Invoice Date],MATCH($AE440,tbl_Finance[Row ID],0))),""))</f>
        <v/>
      </c>
      <c r="B440" s="10">
        <f>IF($C440="","",IFERROR(INDEX(tbl_Finance[Invoice Numbers],MATCH($AE440,tbl_Finance[Row ID],0))&amp;"",""))</f>
        <v/>
      </c>
      <c r="C440" s="37" t="n"/>
      <c r="D440" s="10">
        <f>IF($C440="","",IF(COUNTIF(lst_Jobs,$C440&amp;"")&gt;0,"OK","CHECK"))</f>
        <v/>
      </c>
      <c r="E440" s="10">
        <f>IF($C440="","",IFERROR(INDEX(lst_JobName,MATCH($C440&amp;"",lst_Jobs,0)),""))</f>
        <v/>
      </c>
      <c r="F440" s="37" t="n"/>
      <c r="G440" s="37" t="n"/>
      <c r="H440" s="37" t="n"/>
      <c r="I440" s="37" t="n"/>
      <c r="J440" s="37" t="n"/>
      <c r="K440" s="38">
        <f>IF($C440="","",IFERROR(N(INDEX(tbl_Finance[Invoice Count],MATCH($AE440,tbl_Finance[Row ID],0))),""))</f>
        <v/>
      </c>
      <c r="L440" s="11">
        <f>IF($C440="","",IFERROR(N(INDEX(tbl_Finance[Xero Invoiced Ex GST],MATCH($AE440,tbl_Finance[Row ID],0))),""))</f>
        <v/>
      </c>
      <c r="M440" s="10">
        <f>IF($C440="","",IFERROR(INDEX(tbl_Finance[Compare],MATCH($AE440,tbl_Finance[Row ID],0))&amp;"",""))</f>
        <v/>
      </c>
      <c r="N440" s="11">
        <f>IF($C440="","",MAX(0,N(O440)-N(L440)))</f>
        <v/>
      </c>
      <c r="O440" s="39" t="n"/>
      <c r="P440" s="40">
        <f>IF($C440="","",IF((IF(F440="",", Client","")&amp;IF(G440="",", Description","")&amp;IF(H440="",", Cost Centre","")&amp;IF(I440="",", Invoice Type","")&amp;IF(J440="",", Tax Code","")&amp;IF(O440="",", Expected Revenue","")&amp;IF(COUNTIF(tbl_Finance[Job Number],$C440&amp;"")&gt;1,", Job number used twice",""))="","Complete","Fix: "&amp;MID(IF(F440="",", Client","")&amp;IF(G440="",", Description","")&amp;IF(H440="",", Cost Centre","")&amp;IF(I440="",", Invoice Type","")&amp;IF(J440="",", Tax Code","")&amp;IF(O440="",", Expected Revenue","")&amp;IF(COUNTIF(tbl_Finance[Job Number],$C440&amp;"")&gt;1,", Job number used twice",""),3,300)))</f>
        <v/>
      </c>
      <c r="Q440" s="10">
        <f>IF($C440="","",IF(H440="","(no cost centre)",H440&amp;" - GL "&amp;IFERROR(INDEX(lst_CCtoGL,MATCH(H440,lst_CCforGL,0)),"?")))</f>
        <v/>
      </c>
      <c r="R440" s="37" t="n"/>
      <c r="S440" s="10">
        <f>IF(R440="","",HYPERLINK(IF(LEFT(R440,4)="http",R440,set_QwilrBase&amp;R440),"Open quote"))</f>
        <v/>
      </c>
      <c r="T440" s="39" t="n"/>
      <c r="U440" s="39" t="n"/>
      <c r="V440" s="39" t="n"/>
      <c r="W440" s="10">
        <f>IF(C440="","",IF(N(T440)+N(U440)+N(V440)=0,"Not split",IF(ROUND(N(T440)+N(U440)+N(V440),2)=ROUND(MAX(N(L440),N(O440)),2),"OK","MISMATCH")))</f>
        <v/>
      </c>
      <c r="X440" s="39" t="n"/>
      <c r="Y440" s="39" t="n"/>
      <c r="Z440" s="39" t="n"/>
      <c r="AA440" s="11">
        <f>IF(C440="","",N(X440)+N(Y440)+N(Z440))</f>
        <v/>
      </c>
      <c r="AB440" s="11">
        <f>IF(C440="","",MAX(N(L440),N(O440))-N(AA440))</f>
        <v/>
      </c>
      <c r="AC440" s="43">
        <f>IFERROR(IF(MAX(N(L440),N(O440))=0,"",AB440/MAX(N(L440),N(O440))),"")</f>
        <v/>
      </c>
      <c r="AD440" s="37" t="n"/>
      <c r="AE440" s="10" t="inlineStr">
        <is>
          <t>CON-0436</t>
        </is>
      </c>
    </row>
    <row r="441">
      <c r="A441" s="16">
        <f>IF($C441="","",IFERROR(IF(INDEX(tbl_Finance[Latest Invoice Date],MATCH($AE441,tbl_Finance[Row ID],0))="","",INDEX(tbl_Finance[Latest Invoice Date],MATCH($AE441,tbl_Finance[Row ID],0))),""))</f>
        <v/>
      </c>
      <c r="B441" s="10">
        <f>IF($C441="","",IFERROR(INDEX(tbl_Finance[Invoice Numbers],MATCH($AE441,tbl_Finance[Row ID],0))&amp;"",""))</f>
        <v/>
      </c>
      <c r="C441" s="37" t="n"/>
      <c r="D441" s="10">
        <f>IF($C441="","",IF(COUNTIF(lst_Jobs,$C441&amp;"")&gt;0,"OK","CHECK"))</f>
        <v/>
      </c>
      <c r="E441" s="10">
        <f>IF($C441="","",IFERROR(INDEX(lst_JobName,MATCH($C441&amp;"",lst_Jobs,0)),""))</f>
        <v/>
      </c>
      <c r="F441" s="37" t="n"/>
      <c r="G441" s="37" t="n"/>
      <c r="H441" s="37" t="n"/>
      <c r="I441" s="37" t="n"/>
      <c r="J441" s="37" t="n"/>
      <c r="K441" s="38">
        <f>IF($C441="","",IFERROR(N(INDEX(tbl_Finance[Invoice Count],MATCH($AE441,tbl_Finance[Row ID],0))),""))</f>
        <v/>
      </c>
      <c r="L441" s="11">
        <f>IF($C441="","",IFERROR(N(INDEX(tbl_Finance[Xero Invoiced Ex GST],MATCH($AE441,tbl_Finance[Row ID],0))),""))</f>
        <v/>
      </c>
      <c r="M441" s="10">
        <f>IF($C441="","",IFERROR(INDEX(tbl_Finance[Compare],MATCH($AE441,tbl_Finance[Row ID],0))&amp;"",""))</f>
        <v/>
      </c>
      <c r="N441" s="11">
        <f>IF($C441="","",MAX(0,N(O441)-N(L441)))</f>
        <v/>
      </c>
      <c r="O441" s="39" t="n"/>
      <c r="P441" s="40">
        <f>IF($C441="","",IF((IF(F441="",", Client","")&amp;IF(G441="",", Description","")&amp;IF(H441="",", Cost Centre","")&amp;IF(I441="",", Invoice Type","")&amp;IF(J441="",", Tax Code","")&amp;IF(O441="",", Expected Revenue","")&amp;IF(COUNTIF(tbl_Finance[Job Number],$C441&amp;"")&gt;1,", Job number used twice",""))="","Complete","Fix: "&amp;MID(IF(F441="",", Client","")&amp;IF(G441="",", Description","")&amp;IF(H441="",", Cost Centre","")&amp;IF(I441="",", Invoice Type","")&amp;IF(J441="",", Tax Code","")&amp;IF(O441="",", Expected Revenue","")&amp;IF(COUNTIF(tbl_Finance[Job Number],$C441&amp;"")&gt;1,", Job number used twice",""),3,300)))</f>
        <v/>
      </c>
      <c r="Q441" s="10">
        <f>IF($C441="","",IF(H441="","(no cost centre)",H441&amp;" - GL "&amp;IFERROR(INDEX(lst_CCtoGL,MATCH(H441,lst_CCforGL,0)),"?")))</f>
        <v/>
      </c>
      <c r="R441" s="37" t="n"/>
      <c r="S441" s="10">
        <f>IF(R441="","",HYPERLINK(IF(LEFT(R441,4)="http",R441,set_QwilrBase&amp;R441),"Open quote"))</f>
        <v/>
      </c>
      <c r="T441" s="39" t="n"/>
      <c r="U441" s="39" t="n"/>
      <c r="V441" s="39" t="n"/>
      <c r="W441" s="10">
        <f>IF(C441="","",IF(N(T441)+N(U441)+N(V441)=0,"Not split",IF(ROUND(N(T441)+N(U441)+N(V441),2)=ROUND(MAX(N(L441),N(O441)),2),"OK","MISMATCH")))</f>
        <v/>
      </c>
      <c r="X441" s="39" t="n"/>
      <c r="Y441" s="39" t="n"/>
      <c r="Z441" s="39" t="n"/>
      <c r="AA441" s="11">
        <f>IF(C441="","",N(X441)+N(Y441)+N(Z441))</f>
        <v/>
      </c>
      <c r="AB441" s="11">
        <f>IF(C441="","",MAX(N(L441),N(O441))-N(AA441))</f>
        <v/>
      </c>
      <c r="AC441" s="43">
        <f>IFERROR(IF(MAX(N(L441),N(O441))=0,"",AB441/MAX(N(L441),N(O441))),"")</f>
        <v/>
      </c>
      <c r="AD441" s="37" t="n"/>
      <c r="AE441" s="10" t="inlineStr">
        <is>
          <t>CON-0437</t>
        </is>
      </c>
    </row>
    <row r="442">
      <c r="A442" s="16">
        <f>IF($C442="","",IFERROR(IF(INDEX(tbl_Finance[Latest Invoice Date],MATCH($AE442,tbl_Finance[Row ID],0))="","",INDEX(tbl_Finance[Latest Invoice Date],MATCH($AE442,tbl_Finance[Row ID],0))),""))</f>
        <v/>
      </c>
      <c r="B442" s="10">
        <f>IF($C442="","",IFERROR(INDEX(tbl_Finance[Invoice Numbers],MATCH($AE442,tbl_Finance[Row ID],0))&amp;"",""))</f>
        <v/>
      </c>
      <c r="C442" s="37" t="n"/>
      <c r="D442" s="10">
        <f>IF($C442="","",IF(COUNTIF(lst_Jobs,$C442&amp;"")&gt;0,"OK","CHECK"))</f>
        <v/>
      </c>
      <c r="E442" s="10">
        <f>IF($C442="","",IFERROR(INDEX(lst_JobName,MATCH($C442&amp;"",lst_Jobs,0)),""))</f>
        <v/>
      </c>
      <c r="F442" s="37" t="n"/>
      <c r="G442" s="37" t="n"/>
      <c r="H442" s="37" t="n"/>
      <c r="I442" s="37" t="n"/>
      <c r="J442" s="37" t="n"/>
      <c r="K442" s="38">
        <f>IF($C442="","",IFERROR(N(INDEX(tbl_Finance[Invoice Count],MATCH($AE442,tbl_Finance[Row ID],0))),""))</f>
        <v/>
      </c>
      <c r="L442" s="11">
        <f>IF($C442="","",IFERROR(N(INDEX(tbl_Finance[Xero Invoiced Ex GST],MATCH($AE442,tbl_Finance[Row ID],0))),""))</f>
        <v/>
      </c>
      <c r="M442" s="10">
        <f>IF($C442="","",IFERROR(INDEX(tbl_Finance[Compare],MATCH($AE442,tbl_Finance[Row ID],0))&amp;"",""))</f>
        <v/>
      </c>
      <c r="N442" s="11">
        <f>IF($C442="","",MAX(0,N(O442)-N(L442)))</f>
        <v/>
      </c>
      <c r="O442" s="39" t="n"/>
      <c r="P442" s="40">
        <f>IF($C442="","",IF((IF(F442="",", Client","")&amp;IF(G442="",", Description","")&amp;IF(H442="",", Cost Centre","")&amp;IF(I442="",", Invoice Type","")&amp;IF(J442="",", Tax Code","")&amp;IF(O442="",", Expected Revenue","")&amp;IF(COUNTIF(tbl_Finance[Job Number],$C442&amp;"")&gt;1,", Job number used twice",""))="","Complete","Fix: "&amp;MID(IF(F442="",", Client","")&amp;IF(G442="",", Description","")&amp;IF(H442="",", Cost Centre","")&amp;IF(I442="",", Invoice Type","")&amp;IF(J442="",", Tax Code","")&amp;IF(O442="",", Expected Revenue","")&amp;IF(COUNTIF(tbl_Finance[Job Number],$C442&amp;"")&gt;1,", Job number used twice",""),3,300)))</f>
        <v/>
      </c>
      <c r="Q442" s="10">
        <f>IF($C442="","",IF(H442="","(no cost centre)",H442&amp;" - GL "&amp;IFERROR(INDEX(lst_CCtoGL,MATCH(H442,lst_CCforGL,0)),"?")))</f>
        <v/>
      </c>
      <c r="R442" s="37" t="n"/>
      <c r="S442" s="10">
        <f>IF(R442="","",HYPERLINK(IF(LEFT(R442,4)="http",R442,set_QwilrBase&amp;R442),"Open quote"))</f>
        <v/>
      </c>
      <c r="T442" s="39" t="n"/>
      <c r="U442" s="39" t="n"/>
      <c r="V442" s="39" t="n"/>
      <c r="W442" s="10">
        <f>IF(C442="","",IF(N(T442)+N(U442)+N(V442)=0,"Not split",IF(ROUND(N(T442)+N(U442)+N(V442),2)=ROUND(MAX(N(L442),N(O442)),2),"OK","MISMATCH")))</f>
        <v/>
      </c>
      <c r="X442" s="39" t="n"/>
      <c r="Y442" s="39" t="n"/>
      <c r="Z442" s="39" t="n"/>
      <c r="AA442" s="11">
        <f>IF(C442="","",N(X442)+N(Y442)+N(Z442))</f>
        <v/>
      </c>
      <c r="AB442" s="11">
        <f>IF(C442="","",MAX(N(L442),N(O442))-N(AA442))</f>
        <v/>
      </c>
      <c r="AC442" s="43">
        <f>IFERROR(IF(MAX(N(L442),N(O442))=0,"",AB442/MAX(N(L442),N(O442))),"")</f>
        <v/>
      </c>
      <c r="AD442" s="37" t="n"/>
      <c r="AE442" s="10" t="inlineStr">
        <is>
          <t>CON-0438</t>
        </is>
      </c>
    </row>
    <row r="443">
      <c r="A443" s="16">
        <f>IF($C443="","",IFERROR(IF(INDEX(tbl_Finance[Latest Invoice Date],MATCH($AE443,tbl_Finance[Row ID],0))="","",INDEX(tbl_Finance[Latest Invoice Date],MATCH($AE443,tbl_Finance[Row ID],0))),""))</f>
        <v/>
      </c>
      <c r="B443" s="10">
        <f>IF($C443="","",IFERROR(INDEX(tbl_Finance[Invoice Numbers],MATCH($AE443,tbl_Finance[Row ID],0))&amp;"",""))</f>
        <v/>
      </c>
      <c r="C443" s="37" t="n"/>
      <c r="D443" s="10">
        <f>IF($C443="","",IF(COUNTIF(lst_Jobs,$C443&amp;"")&gt;0,"OK","CHECK"))</f>
        <v/>
      </c>
      <c r="E443" s="10">
        <f>IF($C443="","",IFERROR(INDEX(lst_JobName,MATCH($C443&amp;"",lst_Jobs,0)),""))</f>
        <v/>
      </c>
      <c r="F443" s="37" t="n"/>
      <c r="G443" s="37" t="n"/>
      <c r="H443" s="37" t="n"/>
      <c r="I443" s="37" t="n"/>
      <c r="J443" s="37" t="n"/>
      <c r="K443" s="38">
        <f>IF($C443="","",IFERROR(N(INDEX(tbl_Finance[Invoice Count],MATCH($AE443,tbl_Finance[Row ID],0))),""))</f>
        <v/>
      </c>
      <c r="L443" s="11">
        <f>IF($C443="","",IFERROR(N(INDEX(tbl_Finance[Xero Invoiced Ex GST],MATCH($AE443,tbl_Finance[Row ID],0))),""))</f>
        <v/>
      </c>
      <c r="M443" s="10">
        <f>IF($C443="","",IFERROR(INDEX(tbl_Finance[Compare],MATCH($AE443,tbl_Finance[Row ID],0))&amp;"",""))</f>
        <v/>
      </c>
      <c r="N443" s="11">
        <f>IF($C443="","",MAX(0,N(O443)-N(L443)))</f>
        <v/>
      </c>
      <c r="O443" s="39" t="n"/>
      <c r="P443" s="40">
        <f>IF($C443="","",IF((IF(F443="",", Client","")&amp;IF(G443="",", Description","")&amp;IF(H443="",", Cost Centre","")&amp;IF(I443="",", Invoice Type","")&amp;IF(J443="",", Tax Code","")&amp;IF(O443="",", Expected Revenue","")&amp;IF(COUNTIF(tbl_Finance[Job Number],$C443&amp;"")&gt;1,", Job number used twice",""))="","Complete","Fix: "&amp;MID(IF(F443="",", Client","")&amp;IF(G443="",", Description","")&amp;IF(H443="",", Cost Centre","")&amp;IF(I443="",", Invoice Type","")&amp;IF(J443="",", Tax Code","")&amp;IF(O443="",", Expected Revenue","")&amp;IF(COUNTIF(tbl_Finance[Job Number],$C443&amp;"")&gt;1,", Job number used twice",""),3,300)))</f>
        <v/>
      </c>
      <c r="Q443" s="10">
        <f>IF($C443="","",IF(H443="","(no cost centre)",H443&amp;" - GL "&amp;IFERROR(INDEX(lst_CCtoGL,MATCH(H443,lst_CCforGL,0)),"?")))</f>
        <v/>
      </c>
      <c r="R443" s="37" t="n"/>
      <c r="S443" s="10">
        <f>IF(R443="","",HYPERLINK(IF(LEFT(R443,4)="http",R443,set_QwilrBase&amp;R443),"Open quote"))</f>
        <v/>
      </c>
      <c r="T443" s="39" t="n"/>
      <c r="U443" s="39" t="n"/>
      <c r="V443" s="39" t="n"/>
      <c r="W443" s="10">
        <f>IF(C443="","",IF(N(T443)+N(U443)+N(V443)=0,"Not split",IF(ROUND(N(T443)+N(U443)+N(V443),2)=ROUND(MAX(N(L443),N(O443)),2),"OK","MISMATCH")))</f>
        <v/>
      </c>
      <c r="X443" s="39" t="n"/>
      <c r="Y443" s="39" t="n"/>
      <c r="Z443" s="39" t="n"/>
      <c r="AA443" s="11">
        <f>IF(C443="","",N(X443)+N(Y443)+N(Z443))</f>
        <v/>
      </c>
      <c r="AB443" s="11">
        <f>IF(C443="","",MAX(N(L443),N(O443))-N(AA443))</f>
        <v/>
      </c>
      <c r="AC443" s="43">
        <f>IFERROR(IF(MAX(N(L443),N(O443))=0,"",AB443/MAX(N(L443),N(O443))),"")</f>
        <v/>
      </c>
      <c r="AD443" s="37" t="n"/>
      <c r="AE443" s="10" t="inlineStr">
        <is>
          <t>CON-0439</t>
        </is>
      </c>
    </row>
    <row r="444">
      <c r="A444" s="16">
        <f>IF($C444="","",IFERROR(IF(INDEX(tbl_Finance[Latest Invoice Date],MATCH($AE444,tbl_Finance[Row ID],0))="","",INDEX(tbl_Finance[Latest Invoice Date],MATCH($AE444,tbl_Finance[Row ID],0))),""))</f>
        <v/>
      </c>
      <c r="B444" s="10">
        <f>IF($C444="","",IFERROR(INDEX(tbl_Finance[Invoice Numbers],MATCH($AE444,tbl_Finance[Row ID],0))&amp;"",""))</f>
        <v/>
      </c>
      <c r="C444" s="37" t="n"/>
      <c r="D444" s="10">
        <f>IF($C444="","",IF(COUNTIF(lst_Jobs,$C444&amp;"")&gt;0,"OK","CHECK"))</f>
        <v/>
      </c>
      <c r="E444" s="10">
        <f>IF($C444="","",IFERROR(INDEX(lst_JobName,MATCH($C444&amp;"",lst_Jobs,0)),""))</f>
        <v/>
      </c>
      <c r="F444" s="37" t="n"/>
      <c r="G444" s="37" t="n"/>
      <c r="H444" s="37" t="n"/>
      <c r="I444" s="37" t="n"/>
      <c r="J444" s="37" t="n"/>
      <c r="K444" s="38">
        <f>IF($C444="","",IFERROR(N(INDEX(tbl_Finance[Invoice Count],MATCH($AE444,tbl_Finance[Row ID],0))),""))</f>
        <v/>
      </c>
      <c r="L444" s="11">
        <f>IF($C444="","",IFERROR(N(INDEX(tbl_Finance[Xero Invoiced Ex GST],MATCH($AE444,tbl_Finance[Row ID],0))),""))</f>
        <v/>
      </c>
      <c r="M444" s="10">
        <f>IF($C444="","",IFERROR(INDEX(tbl_Finance[Compare],MATCH($AE444,tbl_Finance[Row ID],0))&amp;"",""))</f>
        <v/>
      </c>
      <c r="N444" s="11">
        <f>IF($C444="","",MAX(0,N(O444)-N(L444)))</f>
        <v/>
      </c>
      <c r="O444" s="39" t="n"/>
      <c r="P444" s="40">
        <f>IF($C444="","",IF((IF(F444="",", Client","")&amp;IF(G444="",", Description","")&amp;IF(H444="",", Cost Centre","")&amp;IF(I444="",", Invoice Type","")&amp;IF(J444="",", Tax Code","")&amp;IF(O444="",", Expected Revenue","")&amp;IF(COUNTIF(tbl_Finance[Job Number],$C444&amp;"")&gt;1,", Job number used twice",""))="","Complete","Fix: "&amp;MID(IF(F444="",", Client","")&amp;IF(G444="",", Description","")&amp;IF(H444="",", Cost Centre","")&amp;IF(I444="",", Invoice Type","")&amp;IF(J444="",", Tax Code","")&amp;IF(O444="",", Expected Revenue","")&amp;IF(COUNTIF(tbl_Finance[Job Number],$C444&amp;"")&gt;1,", Job number used twice",""),3,300)))</f>
        <v/>
      </c>
      <c r="Q444" s="10">
        <f>IF($C444="","",IF(H444="","(no cost centre)",H444&amp;" - GL "&amp;IFERROR(INDEX(lst_CCtoGL,MATCH(H444,lst_CCforGL,0)),"?")))</f>
        <v/>
      </c>
      <c r="R444" s="37" t="n"/>
      <c r="S444" s="10">
        <f>IF(R444="","",HYPERLINK(IF(LEFT(R444,4)="http",R444,set_QwilrBase&amp;R444),"Open quote"))</f>
        <v/>
      </c>
      <c r="T444" s="39" t="n"/>
      <c r="U444" s="39" t="n"/>
      <c r="V444" s="39" t="n"/>
      <c r="W444" s="10">
        <f>IF(C444="","",IF(N(T444)+N(U444)+N(V444)=0,"Not split",IF(ROUND(N(T444)+N(U444)+N(V444),2)=ROUND(MAX(N(L444),N(O444)),2),"OK","MISMATCH")))</f>
        <v/>
      </c>
      <c r="X444" s="39" t="n"/>
      <c r="Y444" s="39" t="n"/>
      <c r="Z444" s="39" t="n"/>
      <c r="AA444" s="11">
        <f>IF(C444="","",N(X444)+N(Y444)+N(Z444))</f>
        <v/>
      </c>
      <c r="AB444" s="11">
        <f>IF(C444="","",MAX(N(L444),N(O444))-N(AA444))</f>
        <v/>
      </c>
      <c r="AC444" s="43">
        <f>IFERROR(IF(MAX(N(L444),N(O444))=0,"",AB444/MAX(N(L444),N(O444))),"")</f>
        <v/>
      </c>
      <c r="AD444" s="37" t="n"/>
      <c r="AE444" s="10" t="inlineStr">
        <is>
          <t>CON-0440</t>
        </is>
      </c>
    </row>
    <row r="445">
      <c r="A445" s="16">
        <f>IF($C445="","",IFERROR(IF(INDEX(tbl_Finance[Latest Invoice Date],MATCH($AE445,tbl_Finance[Row ID],0))="","",INDEX(tbl_Finance[Latest Invoice Date],MATCH($AE445,tbl_Finance[Row ID],0))),""))</f>
        <v/>
      </c>
      <c r="B445" s="10">
        <f>IF($C445="","",IFERROR(INDEX(tbl_Finance[Invoice Numbers],MATCH($AE445,tbl_Finance[Row ID],0))&amp;"",""))</f>
        <v/>
      </c>
      <c r="C445" s="37" t="n"/>
      <c r="D445" s="10">
        <f>IF($C445="","",IF(COUNTIF(lst_Jobs,$C445&amp;"")&gt;0,"OK","CHECK"))</f>
        <v/>
      </c>
      <c r="E445" s="10">
        <f>IF($C445="","",IFERROR(INDEX(lst_JobName,MATCH($C445&amp;"",lst_Jobs,0)),""))</f>
        <v/>
      </c>
      <c r="F445" s="37" t="n"/>
      <c r="G445" s="37" t="n"/>
      <c r="H445" s="37" t="n"/>
      <c r="I445" s="37" t="n"/>
      <c r="J445" s="37" t="n"/>
      <c r="K445" s="38">
        <f>IF($C445="","",IFERROR(N(INDEX(tbl_Finance[Invoice Count],MATCH($AE445,tbl_Finance[Row ID],0))),""))</f>
        <v/>
      </c>
      <c r="L445" s="11">
        <f>IF($C445="","",IFERROR(N(INDEX(tbl_Finance[Xero Invoiced Ex GST],MATCH($AE445,tbl_Finance[Row ID],0))),""))</f>
        <v/>
      </c>
      <c r="M445" s="10">
        <f>IF($C445="","",IFERROR(INDEX(tbl_Finance[Compare],MATCH($AE445,tbl_Finance[Row ID],0))&amp;"",""))</f>
        <v/>
      </c>
      <c r="N445" s="11">
        <f>IF($C445="","",MAX(0,N(O445)-N(L445)))</f>
        <v/>
      </c>
      <c r="O445" s="39" t="n"/>
      <c r="P445" s="40">
        <f>IF($C445="","",IF((IF(F445="",", Client","")&amp;IF(G445="",", Description","")&amp;IF(H445="",", Cost Centre","")&amp;IF(I445="",", Invoice Type","")&amp;IF(J445="",", Tax Code","")&amp;IF(O445="",", Expected Revenue","")&amp;IF(COUNTIF(tbl_Finance[Job Number],$C445&amp;"")&gt;1,", Job number used twice",""))="","Complete","Fix: "&amp;MID(IF(F445="",", Client","")&amp;IF(G445="",", Description","")&amp;IF(H445="",", Cost Centre","")&amp;IF(I445="",", Invoice Type","")&amp;IF(J445="",", Tax Code","")&amp;IF(O445="",", Expected Revenue","")&amp;IF(COUNTIF(tbl_Finance[Job Number],$C445&amp;"")&gt;1,", Job number used twice",""),3,300)))</f>
        <v/>
      </c>
      <c r="Q445" s="10">
        <f>IF($C445="","",IF(H445="","(no cost centre)",H445&amp;" - GL "&amp;IFERROR(INDEX(lst_CCtoGL,MATCH(H445,lst_CCforGL,0)),"?")))</f>
        <v/>
      </c>
      <c r="R445" s="37" t="n"/>
      <c r="S445" s="10">
        <f>IF(R445="","",HYPERLINK(IF(LEFT(R445,4)="http",R445,set_QwilrBase&amp;R445),"Open quote"))</f>
        <v/>
      </c>
      <c r="T445" s="39" t="n"/>
      <c r="U445" s="39" t="n"/>
      <c r="V445" s="39" t="n"/>
      <c r="W445" s="10">
        <f>IF(C445="","",IF(N(T445)+N(U445)+N(V445)=0,"Not split",IF(ROUND(N(T445)+N(U445)+N(V445),2)=ROUND(MAX(N(L445),N(O445)),2),"OK","MISMATCH")))</f>
        <v/>
      </c>
      <c r="X445" s="39" t="n"/>
      <c r="Y445" s="39" t="n"/>
      <c r="Z445" s="39" t="n"/>
      <c r="AA445" s="11">
        <f>IF(C445="","",N(X445)+N(Y445)+N(Z445))</f>
        <v/>
      </c>
      <c r="AB445" s="11">
        <f>IF(C445="","",MAX(N(L445),N(O445))-N(AA445))</f>
        <v/>
      </c>
      <c r="AC445" s="43">
        <f>IFERROR(IF(MAX(N(L445),N(O445))=0,"",AB445/MAX(N(L445),N(O445))),"")</f>
        <v/>
      </c>
      <c r="AD445" s="37" t="n"/>
      <c r="AE445" s="10" t="inlineStr">
        <is>
          <t>CON-0441</t>
        </is>
      </c>
    </row>
    <row r="446">
      <c r="A446" s="16">
        <f>IF($C446="","",IFERROR(IF(INDEX(tbl_Finance[Latest Invoice Date],MATCH($AE446,tbl_Finance[Row ID],0))="","",INDEX(tbl_Finance[Latest Invoice Date],MATCH($AE446,tbl_Finance[Row ID],0))),""))</f>
        <v/>
      </c>
      <c r="B446" s="10">
        <f>IF($C446="","",IFERROR(INDEX(tbl_Finance[Invoice Numbers],MATCH($AE446,tbl_Finance[Row ID],0))&amp;"",""))</f>
        <v/>
      </c>
      <c r="C446" s="37" t="n"/>
      <c r="D446" s="10">
        <f>IF($C446="","",IF(COUNTIF(lst_Jobs,$C446&amp;"")&gt;0,"OK","CHECK"))</f>
        <v/>
      </c>
      <c r="E446" s="10">
        <f>IF($C446="","",IFERROR(INDEX(lst_JobName,MATCH($C446&amp;"",lst_Jobs,0)),""))</f>
        <v/>
      </c>
      <c r="F446" s="37" t="n"/>
      <c r="G446" s="37" t="n"/>
      <c r="H446" s="37" t="n"/>
      <c r="I446" s="37" t="n"/>
      <c r="J446" s="37" t="n"/>
      <c r="K446" s="38">
        <f>IF($C446="","",IFERROR(N(INDEX(tbl_Finance[Invoice Count],MATCH($AE446,tbl_Finance[Row ID],0))),""))</f>
        <v/>
      </c>
      <c r="L446" s="11">
        <f>IF($C446="","",IFERROR(N(INDEX(tbl_Finance[Xero Invoiced Ex GST],MATCH($AE446,tbl_Finance[Row ID],0))),""))</f>
        <v/>
      </c>
      <c r="M446" s="10">
        <f>IF($C446="","",IFERROR(INDEX(tbl_Finance[Compare],MATCH($AE446,tbl_Finance[Row ID],0))&amp;"",""))</f>
        <v/>
      </c>
      <c r="N446" s="11">
        <f>IF($C446="","",MAX(0,N(O446)-N(L446)))</f>
        <v/>
      </c>
      <c r="O446" s="39" t="n"/>
      <c r="P446" s="40">
        <f>IF($C446="","",IF((IF(F446="",", Client","")&amp;IF(G446="",", Description","")&amp;IF(H446="",", Cost Centre","")&amp;IF(I446="",", Invoice Type","")&amp;IF(J446="",", Tax Code","")&amp;IF(O446="",", Expected Revenue","")&amp;IF(COUNTIF(tbl_Finance[Job Number],$C446&amp;"")&gt;1,", Job number used twice",""))="","Complete","Fix: "&amp;MID(IF(F446="",", Client","")&amp;IF(G446="",", Description","")&amp;IF(H446="",", Cost Centre","")&amp;IF(I446="",", Invoice Type","")&amp;IF(J446="",", Tax Code","")&amp;IF(O446="",", Expected Revenue","")&amp;IF(COUNTIF(tbl_Finance[Job Number],$C446&amp;"")&gt;1,", Job number used twice",""),3,300)))</f>
        <v/>
      </c>
      <c r="Q446" s="10">
        <f>IF($C446="","",IF(H446="","(no cost centre)",H446&amp;" - GL "&amp;IFERROR(INDEX(lst_CCtoGL,MATCH(H446,lst_CCforGL,0)),"?")))</f>
        <v/>
      </c>
      <c r="R446" s="37" t="n"/>
      <c r="S446" s="10">
        <f>IF(R446="","",HYPERLINK(IF(LEFT(R446,4)="http",R446,set_QwilrBase&amp;R446),"Open quote"))</f>
        <v/>
      </c>
      <c r="T446" s="39" t="n"/>
      <c r="U446" s="39" t="n"/>
      <c r="V446" s="39" t="n"/>
      <c r="W446" s="10">
        <f>IF(C446="","",IF(N(T446)+N(U446)+N(V446)=0,"Not split",IF(ROUND(N(T446)+N(U446)+N(V446),2)=ROUND(MAX(N(L446),N(O446)),2),"OK","MISMATCH")))</f>
        <v/>
      </c>
      <c r="X446" s="39" t="n"/>
      <c r="Y446" s="39" t="n"/>
      <c r="Z446" s="39" t="n"/>
      <c r="AA446" s="11">
        <f>IF(C446="","",N(X446)+N(Y446)+N(Z446))</f>
        <v/>
      </c>
      <c r="AB446" s="11">
        <f>IF(C446="","",MAX(N(L446),N(O446))-N(AA446))</f>
        <v/>
      </c>
      <c r="AC446" s="43">
        <f>IFERROR(IF(MAX(N(L446),N(O446))=0,"",AB446/MAX(N(L446),N(O446))),"")</f>
        <v/>
      </c>
      <c r="AD446" s="37" t="n"/>
      <c r="AE446" s="10" t="inlineStr">
        <is>
          <t>CON-0442</t>
        </is>
      </c>
    </row>
    <row r="447">
      <c r="A447" s="16">
        <f>IF($C447="","",IFERROR(IF(INDEX(tbl_Finance[Latest Invoice Date],MATCH($AE447,tbl_Finance[Row ID],0))="","",INDEX(tbl_Finance[Latest Invoice Date],MATCH($AE447,tbl_Finance[Row ID],0))),""))</f>
        <v/>
      </c>
      <c r="B447" s="10">
        <f>IF($C447="","",IFERROR(INDEX(tbl_Finance[Invoice Numbers],MATCH($AE447,tbl_Finance[Row ID],0))&amp;"",""))</f>
        <v/>
      </c>
      <c r="C447" s="37" t="n"/>
      <c r="D447" s="10">
        <f>IF($C447="","",IF(COUNTIF(lst_Jobs,$C447&amp;"")&gt;0,"OK","CHECK"))</f>
        <v/>
      </c>
      <c r="E447" s="10">
        <f>IF($C447="","",IFERROR(INDEX(lst_JobName,MATCH($C447&amp;"",lst_Jobs,0)),""))</f>
        <v/>
      </c>
      <c r="F447" s="37" t="n"/>
      <c r="G447" s="37" t="n"/>
      <c r="H447" s="37" t="n"/>
      <c r="I447" s="37" t="n"/>
      <c r="J447" s="37" t="n"/>
      <c r="K447" s="38">
        <f>IF($C447="","",IFERROR(N(INDEX(tbl_Finance[Invoice Count],MATCH($AE447,tbl_Finance[Row ID],0))),""))</f>
        <v/>
      </c>
      <c r="L447" s="11">
        <f>IF($C447="","",IFERROR(N(INDEX(tbl_Finance[Xero Invoiced Ex GST],MATCH($AE447,tbl_Finance[Row ID],0))),""))</f>
        <v/>
      </c>
      <c r="M447" s="10">
        <f>IF($C447="","",IFERROR(INDEX(tbl_Finance[Compare],MATCH($AE447,tbl_Finance[Row ID],0))&amp;"",""))</f>
        <v/>
      </c>
      <c r="N447" s="11">
        <f>IF($C447="","",MAX(0,N(O447)-N(L447)))</f>
        <v/>
      </c>
      <c r="O447" s="39" t="n"/>
      <c r="P447" s="40">
        <f>IF($C447="","",IF((IF(F447="",", Client","")&amp;IF(G447="",", Description","")&amp;IF(H447="",", Cost Centre","")&amp;IF(I447="",", Invoice Type","")&amp;IF(J447="",", Tax Code","")&amp;IF(O447="",", Expected Revenue","")&amp;IF(COUNTIF(tbl_Finance[Job Number],$C447&amp;"")&gt;1,", Job number used twice",""))="","Complete","Fix: "&amp;MID(IF(F447="",", Client","")&amp;IF(G447="",", Description","")&amp;IF(H447="",", Cost Centre","")&amp;IF(I447="",", Invoice Type","")&amp;IF(J447="",", Tax Code","")&amp;IF(O447="",", Expected Revenue","")&amp;IF(COUNTIF(tbl_Finance[Job Number],$C447&amp;"")&gt;1,", Job number used twice",""),3,300)))</f>
        <v/>
      </c>
      <c r="Q447" s="10">
        <f>IF($C447="","",IF(H447="","(no cost centre)",H447&amp;" - GL "&amp;IFERROR(INDEX(lst_CCtoGL,MATCH(H447,lst_CCforGL,0)),"?")))</f>
        <v/>
      </c>
      <c r="R447" s="37" t="n"/>
      <c r="S447" s="10">
        <f>IF(R447="","",HYPERLINK(IF(LEFT(R447,4)="http",R447,set_QwilrBase&amp;R447),"Open quote"))</f>
        <v/>
      </c>
      <c r="T447" s="39" t="n"/>
      <c r="U447" s="39" t="n"/>
      <c r="V447" s="39" t="n"/>
      <c r="W447" s="10">
        <f>IF(C447="","",IF(N(T447)+N(U447)+N(V447)=0,"Not split",IF(ROUND(N(T447)+N(U447)+N(V447),2)=ROUND(MAX(N(L447),N(O447)),2),"OK","MISMATCH")))</f>
        <v/>
      </c>
      <c r="X447" s="39" t="n"/>
      <c r="Y447" s="39" t="n"/>
      <c r="Z447" s="39" t="n"/>
      <c r="AA447" s="11">
        <f>IF(C447="","",N(X447)+N(Y447)+N(Z447))</f>
        <v/>
      </c>
      <c r="AB447" s="11">
        <f>IF(C447="","",MAX(N(L447),N(O447))-N(AA447))</f>
        <v/>
      </c>
      <c r="AC447" s="43">
        <f>IFERROR(IF(MAX(N(L447),N(O447))=0,"",AB447/MAX(N(L447),N(O447))),"")</f>
        <v/>
      </c>
      <c r="AD447" s="37" t="n"/>
      <c r="AE447" s="10" t="inlineStr">
        <is>
          <t>CON-0443</t>
        </is>
      </c>
    </row>
    <row r="448">
      <c r="A448" s="16">
        <f>IF($C448="","",IFERROR(IF(INDEX(tbl_Finance[Latest Invoice Date],MATCH($AE448,tbl_Finance[Row ID],0))="","",INDEX(tbl_Finance[Latest Invoice Date],MATCH($AE448,tbl_Finance[Row ID],0))),""))</f>
        <v/>
      </c>
      <c r="B448" s="10">
        <f>IF($C448="","",IFERROR(INDEX(tbl_Finance[Invoice Numbers],MATCH($AE448,tbl_Finance[Row ID],0))&amp;"",""))</f>
        <v/>
      </c>
      <c r="C448" s="37" t="n"/>
      <c r="D448" s="10">
        <f>IF($C448="","",IF(COUNTIF(lst_Jobs,$C448&amp;"")&gt;0,"OK","CHECK"))</f>
        <v/>
      </c>
      <c r="E448" s="10">
        <f>IF($C448="","",IFERROR(INDEX(lst_JobName,MATCH($C448&amp;"",lst_Jobs,0)),""))</f>
        <v/>
      </c>
      <c r="F448" s="37" t="n"/>
      <c r="G448" s="37" t="n"/>
      <c r="H448" s="37" t="n"/>
      <c r="I448" s="37" t="n"/>
      <c r="J448" s="37" t="n"/>
      <c r="K448" s="38">
        <f>IF($C448="","",IFERROR(N(INDEX(tbl_Finance[Invoice Count],MATCH($AE448,tbl_Finance[Row ID],0))),""))</f>
        <v/>
      </c>
      <c r="L448" s="11">
        <f>IF($C448="","",IFERROR(N(INDEX(tbl_Finance[Xero Invoiced Ex GST],MATCH($AE448,tbl_Finance[Row ID],0))),""))</f>
        <v/>
      </c>
      <c r="M448" s="10">
        <f>IF($C448="","",IFERROR(INDEX(tbl_Finance[Compare],MATCH($AE448,tbl_Finance[Row ID],0))&amp;"",""))</f>
        <v/>
      </c>
      <c r="N448" s="11">
        <f>IF($C448="","",MAX(0,N(O448)-N(L448)))</f>
        <v/>
      </c>
      <c r="O448" s="39" t="n"/>
      <c r="P448" s="40">
        <f>IF($C448="","",IF((IF(F448="",", Client","")&amp;IF(G448="",", Description","")&amp;IF(H448="",", Cost Centre","")&amp;IF(I448="",", Invoice Type","")&amp;IF(J448="",", Tax Code","")&amp;IF(O448="",", Expected Revenue","")&amp;IF(COUNTIF(tbl_Finance[Job Number],$C448&amp;"")&gt;1,", Job number used twice",""))="","Complete","Fix: "&amp;MID(IF(F448="",", Client","")&amp;IF(G448="",", Description","")&amp;IF(H448="",", Cost Centre","")&amp;IF(I448="",", Invoice Type","")&amp;IF(J448="",", Tax Code","")&amp;IF(O448="",", Expected Revenue","")&amp;IF(COUNTIF(tbl_Finance[Job Number],$C448&amp;"")&gt;1,", Job number used twice",""),3,300)))</f>
        <v/>
      </c>
      <c r="Q448" s="10">
        <f>IF($C448="","",IF(H448="","(no cost centre)",H448&amp;" - GL "&amp;IFERROR(INDEX(lst_CCtoGL,MATCH(H448,lst_CCforGL,0)),"?")))</f>
        <v/>
      </c>
      <c r="R448" s="37" t="n"/>
      <c r="S448" s="10">
        <f>IF(R448="","",HYPERLINK(IF(LEFT(R448,4)="http",R448,set_QwilrBase&amp;R448),"Open quote"))</f>
        <v/>
      </c>
      <c r="T448" s="39" t="n"/>
      <c r="U448" s="39" t="n"/>
      <c r="V448" s="39" t="n"/>
      <c r="W448" s="10">
        <f>IF(C448="","",IF(N(T448)+N(U448)+N(V448)=0,"Not split",IF(ROUND(N(T448)+N(U448)+N(V448),2)=ROUND(MAX(N(L448),N(O448)),2),"OK","MISMATCH")))</f>
        <v/>
      </c>
      <c r="X448" s="39" t="n"/>
      <c r="Y448" s="39" t="n"/>
      <c r="Z448" s="39" t="n"/>
      <c r="AA448" s="11">
        <f>IF(C448="","",N(X448)+N(Y448)+N(Z448))</f>
        <v/>
      </c>
      <c r="AB448" s="11">
        <f>IF(C448="","",MAX(N(L448),N(O448))-N(AA448))</f>
        <v/>
      </c>
      <c r="AC448" s="43">
        <f>IFERROR(IF(MAX(N(L448),N(O448))=0,"",AB448/MAX(N(L448),N(O448))),"")</f>
        <v/>
      </c>
      <c r="AD448" s="37" t="n"/>
      <c r="AE448" s="10" t="inlineStr">
        <is>
          <t>CON-0444</t>
        </is>
      </c>
    </row>
    <row r="449">
      <c r="A449" s="16">
        <f>IF($C449="","",IFERROR(IF(INDEX(tbl_Finance[Latest Invoice Date],MATCH($AE449,tbl_Finance[Row ID],0))="","",INDEX(tbl_Finance[Latest Invoice Date],MATCH($AE449,tbl_Finance[Row ID],0))),""))</f>
        <v/>
      </c>
      <c r="B449" s="10">
        <f>IF($C449="","",IFERROR(INDEX(tbl_Finance[Invoice Numbers],MATCH($AE449,tbl_Finance[Row ID],0))&amp;"",""))</f>
        <v/>
      </c>
      <c r="C449" s="37" t="n"/>
      <c r="D449" s="10">
        <f>IF($C449="","",IF(COUNTIF(lst_Jobs,$C449&amp;"")&gt;0,"OK","CHECK"))</f>
        <v/>
      </c>
      <c r="E449" s="10">
        <f>IF($C449="","",IFERROR(INDEX(lst_JobName,MATCH($C449&amp;"",lst_Jobs,0)),""))</f>
        <v/>
      </c>
      <c r="F449" s="37" t="n"/>
      <c r="G449" s="37" t="n"/>
      <c r="H449" s="37" t="n"/>
      <c r="I449" s="37" t="n"/>
      <c r="J449" s="37" t="n"/>
      <c r="K449" s="38">
        <f>IF($C449="","",IFERROR(N(INDEX(tbl_Finance[Invoice Count],MATCH($AE449,tbl_Finance[Row ID],0))),""))</f>
        <v/>
      </c>
      <c r="L449" s="11">
        <f>IF($C449="","",IFERROR(N(INDEX(tbl_Finance[Xero Invoiced Ex GST],MATCH($AE449,tbl_Finance[Row ID],0))),""))</f>
        <v/>
      </c>
      <c r="M449" s="10">
        <f>IF($C449="","",IFERROR(INDEX(tbl_Finance[Compare],MATCH($AE449,tbl_Finance[Row ID],0))&amp;"",""))</f>
        <v/>
      </c>
      <c r="N449" s="11">
        <f>IF($C449="","",MAX(0,N(O449)-N(L449)))</f>
        <v/>
      </c>
      <c r="O449" s="39" t="n"/>
      <c r="P449" s="40">
        <f>IF($C449="","",IF((IF(F449="",", Client","")&amp;IF(G449="",", Description","")&amp;IF(H449="",", Cost Centre","")&amp;IF(I449="",", Invoice Type","")&amp;IF(J449="",", Tax Code","")&amp;IF(O449="",", Expected Revenue","")&amp;IF(COUNTIF(tbl_Finance[Job Number],$C449&amp;"")&gt;1,", Job number used twice",""))="","Complete","Fix: "&amp;MID(IF(F449="",", Client","")&amp;IF(G449="",", Description","")&amp;IF(H449="",", Cost Centre","")&amp;IF(I449="",", Invoice Type","")&amp;IF(J449="",", Tax Code","")&amp;IF(O449="",", Expected Revenue","")&amp;IF(COUNTIF(tbl_Finance[Job Number],$C449&amp;"")&gt;1,", Job number used twice",""),3,300)))</f>
        <v/>
      </c>
      <c r="Q449" s="10">
        <f>IF($C449="","",IF(H449="","(no cost centre)",H449&amp;" - GL "&amp;IFERROR(INDEX(lst_CCtoGL,MATCH(H449,lst_CCforGL,0)),"?")))</f>
        <v/>
      </c>
      <c r="R449" s="37" t="n"/>
      <c r="S449" s="10">
        <f>IF(R449="","",HYPERLINK(IF(LEFT(R449,4)="http",R449,set_QwilrBase&amp;R449),"Open quote"))</f>
        <v/>
      </c>
      <c r="T449" s="39" t="n"/>
      <c r="U449" s="39" t="n"/>
      <c r="V449" s="39" t="n"/>
      <c r="W449" s="10">
        <f>IF(C449="","",IF(N(T449)+N(U449)+N(V449)=0,"Not split",IF(ROUND(N(T449)+N(U449)+N(V449),2)=ROUND(MAX(N(L449),N(O449)),2),"OK","MISMATCH")))</f>
        <v/>
      </c>
      <c r="X449" s="39" t="n"/>
      <c r="Y449" s="39" t="n"/>
      <c r="Z449" s="39" t="n"/>
      <c r="AA449" s="11">
        <f>IF(C449="","",N(X449)+N(Y449)+N(Z449))</f>
        <v/>
      </c>
      <c r="AB449" s="11">
        <f>IF(C449="","",MAX(N(L449),N(O449))-N(AA449))</f>
        <v/>
      </c>
      <c r="AC449" s="43">
        <f>IFERROR(IF(MAX(N(L449),N(O449))=0,"",AB449/MAX(N(L449),N(O449))),"")</f>
        <v/>
      </c>
      <c r="AD449" s="37" t="n"/>
      <c r="AE449" s="10" t="inlineStr">
        <is>
          <t>CON-0445</t>
        </is>
      </c>
    </row>
    <row r="450">
      <c r="A450" s="16">
        <f>IF($C450="","",IFERROR(IF(INDEX(tbl_Finance[Latest Invoice Date],MATCH($AE450,tbl_Finance[Row ID],0))="","",INDEX(tbl_Finance[Latest Invoice Date],MATCH($AE450,tbl_Finance[Row ID],0))),""))</f>
        <v/>
      </c>
      <c r="B450" s="10">
        <f>IF($C450="","",IFERROR(INDEX(tbl_Finance[Invoice Numbers],MATCH($AE450,tbl_Finance[Row ID],0))&amp;"",""))</f>
        <v/>
      </c>
      <c r="C450" s="37" t="n"/>
      <c r="D450" s="10">
        <f>IF($C450="","",IF(COUNTIF(lst_Jobs,$C450&amp;"")&gt;0,"OK","CHECK"))</f>
        <v/>
      </c>
      <c r="E450" s="10">
        <f>IF($C450="","",IFERROR(INDEX(lst_JobName,MATCH($C450&amp;"",lst_Jobs,0)),""))</f>
        <v/>
      </c>
      <c r="F450" s="37" t="n"/>
      <c r="G450" s="37" t="n"/>
      <c r="H450" s="37" t="n"/>
      <c r="I450" s="37" t="n"/>
      <c r="J450" s="37" t="n"/>
      <c r="K450" s="38">
        <f>IF($C450="","",IFERROR(N(INDEX(tbl_Finance[Invoice Count],MATCH($AE450,tbl_Finance[Row ID],0))),""))</f>
        <v/>
      </c>
      <c r="L450" s="11">
        <f>IF($C450="","",IFERROR(N(INDEX(tbl_Finance[Xero Invoiced Ex GST],MATCH($AE450,tbl_Finance[Row ID],0))),""))</f>
        <v/>
      </c>
      <c r="M450" s="10">
        <f>IF($C450="","",IFERROR(INDEX(tbl_Finance[Compare],MATCH($AE450,tbl_Finance[Row ID],0))&amp;"",""))</f>
        <v/>
      </c>
      <c r="N450" s="11">
        <f>IF($C450="","",MAX(0,N(O450)-N(L450)))</f>
        <v/>
      </c>
      <c r="O450" s="39" t="n"/>
      <c r="P450" s="40">
        <f>IF($C450="","",IF((IF(F450="",", Client","")&amp;IF(G450="",", Description","")&amp;IF(H450="",", Cost Centre","")&amp;IF(I450="",", Invoice Type","")&amp;IF(J450="",", Tax Code","")&amp;IF(O450="",", Expected Revenue","")&amp;IF(COUNTIF(tbl_Finance[Job Number],$C450&amp;"")&gt;1,", Job number used twice",""))="","Complete","Fix: "&amp;MID(IF(F450="",", Client","")&amp;IF(G450="",", Description","")&amp;IF(H450="",", Cost Centre","")&amp;IF(I450="",", Invoice Type","")&amp;IF(J450="",", Tax Code","")&amp;IF(O450="",", Expected Revenue","")&amp;IF(COUNTIF(tbl_Finance[Job Number],$C450&amp;"")&gt;1,", Job number used twice",""),3,300)))</f>
        <v/>
      </c>
      <c r="Q450" s="10">
        <f>IF($C450="","",IF(H450="","(no cost centre)",H450&amp;" - GL "&amp;IFERROR(INDEX(lst_CCtoGL,MATCH(H450,lst_CCforGL,0)),"?")))</f>
        <v/>
      </c>
      <c r="R450" s="37" t="n"/>
      <c r="S450" s="10">
        <f>IF(R450="","",HYPERLINK(IF(LEFT(R450,4)="http",R450,set_QwilrBase&amp;R450),"Open quote"))</f>
        <v/>
      </c>
      <c r="T450" s="39" t="n"/>
      <c r="U450" s="39" t="n"/>
      <c r="V450" s="39" t="n"/>
      <c r="W450" s="10">
        <f>IF(C450="","",IF(N(T450)+N(U450)+N(V450)=0,"Not split",IF(ROUND(N(T450)+N(U450)+N(V450),2)=ROUND(MAX(N(L450),N(O450)),2),"OK","MISMATCH")))</f>
        <v/>
      </c>
      <c r="X450" s="39" t="n"/>
      <c r="Y450" s="39" t="n"/>
      <c r="Z450" s="39" t="n"/>
      <c r="AA450" s="11">
        <f>IF(C450="","",N(X450)+N(Y450)+N(Z450))</f>
        <v/>
      </c>
      <c r="AB450" s="11">
        <f>IF(C450="","",MAX(N(L450),N(O450))-N(AA450))</f>
        <v/>
      </c>
      <c r="AC450" s="43">
        <f>IFERROR(IF(MAX(N(L450),N(O450))=0,"",AB450/MAX(N(L450),N(O450))),"")</f>
        <v/>
      </c>
      <c r="AD450" s="37" t="n"/>
      <c r="AE450" s="10" t="inlineStr">
        <is>
          <t>CON-0446</t>
        </is>
      </c>
    </row>
    <row r="451">
      <c r="A451" s="16">
        <f>IF($C451="","",IFERROR(IF(INDEX(tbl_Finance[Latest Invoice Date],MATCH($AE451,tbl_Finance[Row ID],0))="","",INDEX(tbl_Finance[Latest Invoice Date],MATCH($AE451,tbl_Finance[Row ID],0))),""))</f>
        <v/>
      </c>
      <c r="B451" s="10">
        <f>IF($C451="","",IFERROR(INDEX(tbl_Finance[Invoice Numbers],MATCH($AE451,tbl_Finance[Row ID],0))&amp;"",""))</f>
        <v/>
      </c>
      <c r="C451" s="37" t="n"/>
      <c r="D451" s="10">
        <f>IF($C451="","",IF(COUNTIF(lst_Jobs,$C451&amp;"")&gt;0,"OK","CHECK"))</f>
        <v/>
      </c>
      <c r="E451" s="10">
        <f>IF($C451="","",IFERROR(INDEX(lst_JobName,MATCH($C451&amp;"",lst_Jobs,0)),""))</f>
        <v/>
      </c>
      <c r="F451" s="37" t="n"/>
      <c r="G451" s="37" t="n"/>
      <c r="H451" s="37" t="n"/>
      <c r="I451" s="37" t="n"/>
      <c r="J451" s="37" t="n"/>
      <c r="K451" s="38">
        <f>IF($C451="","",IFERROR(N(INDEX(tbl_Finance[Invoice Count],MATCH($AE451,tbl_Finance[Row ID],0))),""))</f>
        <v/>
      </c>
      <c r="L451" s="11">
        <f>IF($C451="","",IFERROR(N(INDEX(tbl_Finance[Xero Invoiced Ex GST],MATCH($AE451,tbl_Finance[Row ID],0))),""))</f>
        <v/>
      </c>
      <c r="M451" s="10">
        <f>IF($C451="","",IFERROR(INDEX(tbl_Finance[Compare],MATCH($AE451,tbl_Finance[Row ID],0))&amp;"",""))</f>
        <v/>
      </c>
      <c r="N451" s="11">
        <f>IF($C451="","",MAX(0,N(O451)-N(L451)))</f>
        <v/>
      </c>
      <c r="O451" s="39" t="n"/>
      <c r="P451" s="40">
        <f>IF($C451="","",IF((IF(F451="",", Client","")&amp;IF(G451="",", Description","")&amp;IF(H451="",", Cost Centre","")&amp;IF(I451="",", Invoice Type","")&amp;IF(J451="",", Tax Code","")&amp;IF(O451="",", Expected Revenue","")&amp;IF(COUNTIF(tbl_Finance[Job Number],$C451&amp;"")&gt;1,", Job number used twice",""))="","Complete","Fix: "&amp;MID(IF(F451="",", Client","")&amp;IF(G451="",", Description","")&amp;IF(H451="",", Cost Centre","")&amp;IF(I451="",", Invoice Type","")&amp;IF(J451="",", Tax Code","")&amp;IF(O451="",", Expected Revenue","")&amp;IF(COUNTIF(tbl_Finance[Job Number],$C451&amp;"")&gt;1,", Job number used twice",""),3,300)))</f>
        <v/>
      </c>
      <c r="Q451" s="10">
        <f>IF($C451="","",IF(H451="","(no cost centre)",H451&amp;" - GL "&amp;IFERROR(INDEX(lst_CCtoGL,MATCH(H451,lst_CCforGL,0)),"?")))</f>
        <v/>
      </c>
      <c r="R451" s="37" t="n"/>
      <c r="S451" s="10">
        <f>IF(R451="","",HYPERLINK(IF(LEFT(R451,4)="http",R451,set_QwilrBase&amp;R451),"Open quote"))</f>
        <v/>
      </c>
      <c r="T451" s="39" t="n"/>
      <c r="U451" s="39" t="n"/>
      <c r="V451" s="39" t="n"/>
      <c r="W451" s="10">
        <f>IF(C451="","",IF(N(T451)+N(U451)+N(V451)=0,"Not split",IF(ROUND(N(T451)+N(U451)+N(V451),2)=ROUND(MAX(N(L451),N(O451)),2),"OK","MISMATCH")))</f>
        <v/>
      </c>
      <c r="X451" s="39" t="n"/>
      <c r="Y451" s="39" t="n"/>
      <c r="Z451" s="39" t="n"/>
      <c r="AA451" s="11">
        <f>IF(C451="","",N(X451)+N(Y451)+N(Z451))</f>
        <v/>
      </c>
      <c r="AB451" s="11">
        <f>IF(C451="","",MAX(N(L451),N(O451))-N(AA451))</f>
        <v/>
      </c>
      <c r="AC451" s="43">
        <f>IFERROR(IF(MAX(N(L451),N(O451))=0,"",AB451/MAX(N(L451),N(O451))),"")</f>
        <v/>
      </c>
      <c r="AD451" s="37" t="n"/>
      <c r="AE451" s="10" t="inlineStr">
        <is>
          <t>CON-0447</t>
        </is>
      </c>
    </row>
    <row r="452">
      <c r="A452" s="16">
        <f>IF($C452="","",IFERROR(IF(INDEX(tbl_Finance[Latest Invoice Date],MATCH($AE452,tbl_Finance[Row ID],0))="","",INDEX(tbl_Finance[Latest Invoice Date],MATCH($AE452,tbl_Finance[Row ID],0))),""))</f>
        <v/>
      </c>
      <c r="B452" s="10">
        <f>IF($C452="","",IFERROR(INDEX(tbl_Finance[Invoice Numbers],MATCH($AE452,tbl_Finance[Row ID],0))&amp;"",""))</f>
        <v/>
      </c>
      <c r="C452" s="37" t="n"/>
      <c r="D452" s="10">
        <f>IF($C452="","",IF(COUNTIF(lst_Jobs,$C452&amp;"")&gt;0,"OK","CHECK"))</f>
        <v/>
      </c>
      <c r="E452" s="10">
        <f>IF($C452="","",IFERROR(INDEX(lst_JobName,MATCH($C452&amp;"",lst_Jobs,0)),""))</f>
        <v/>
      </c>
      <c r="F452" s="37" t="n"/>
      <c r="G452" s="37" t="n"/>
      <c r="H452" s="37" t="n"/>
      <c r="I452" s="37" t="n"/>
      <c r="J452" s="37" t="n"/>
      <c r="K452" s="38">
        <f>IF($C452="","",IFERROR(N(INDEX(tbl_Finance[Invoice Count],MATCH($AE452,tbl_Finance[Row ID],0))),""))</f>
        <v/>
      </c>
      <c r="L452" s="11">
        <f>IF($C452="","",IFERROR(N(INDEX(tbl_Finance[Xero Invoiced Ex GST],MATCH($AE452,tbl_Finance[Row ID],0))),""))</f>
        <v/>
      </c>
      <c r="M452" s="10">
        <f>IF($C452="","",IFERROR(INDEX(tbl_Finance[Compare],MATCH($AE452,tbl_Finance[Row ID],0))&amp;"",""))</f>
        <v/>
      </c>
      <c r="N452" s="11">
        <f>IF($C452="","",MAX(0,N(O452)-N(L452)))</f>
        <v/>
      </c>
      <c r="O452" s="39" t="n"/>
      <c r="P452" s="40">
        <f>IF($C452="","",IF((IF(F452="",", Client","")&amp;IF(G452="",", Description","")&amp;IF(H452="",", Cost Centre","")&amp;IF(I452="",", Invoice Type","")&amp;IF(J452="",", Tax Code","")&amp;IF(O452="",", Expected Revenue","")&amp;IF(COUNTIF(tbl_Finance[Job Number],$C452&amp;"")&gt;1,", Job number used twice",""))="","Complete","Fix: "&amp;MID(IF(F452="",", Client","")&amp;IF(G452="",", Description","")&amp;IF(H452="",", Cost Centre","")&amp;IF(I452="",", Invoice Type","")&amp;IF(J452="",", Tax Code","")&amp;IF(O452="",", Expected Revenue","")&amp;IF(COUNTIF(tbl_Finance[Job Number],$C452&amp;"")&gt;1,", Job number used twice",""),3,300)))</f>
        <v/>
      </c>
      <c r="Q452" s="10">
        <f>IF($C452="","",IF(H452="","(no cost centre)",H452&amp;" - GL "&amp;IFERROR(INDEX(lst_CCtoGL,MATCH(H452,lst_CCforGL,0)),"?")))</f>
        <v/>
      </c>
      <c r="R452" s="37" t="n"/>
      <c r="S452" s="10">
        <f>IF(R452="","",HYPERLINK(IF(LEFT(R452,4)="http",R452,set_QwilrBase&amp;R452),"Open quote"))</f>
        <v/>
      </c>
      <c r="T452" s="39" t="n"/>
      <c r="U452" s="39" t="n"/>
      <c r="V452" s="39" t="n"/>
      <c r="W452" s="10">
        <f>IF(C452="","",IF(N(T452)+N(U452)+N(V452)=0,"Not split",IF(ROUND(N(T452)+N(U452)+N(V452),2)=ROUND(MAX(N(L452),N(O452)),2),"OK","MISMATCH")))</f>
        <v/>
      </c>
      <c r="X452" s="39" t="n"/>
      <c r="Y452" s="39" t="n"/>
      <c r="Z452" s="39" t="n"/>
      <c r="AA452" s="11">
        <f>IF(C452="","",N(X452)+N(Y452)+N(Z452))</f>
        <v/>
      </c>
      <c r="AB452" s="11">
        <f>IF(C452="","",MAX(N(L452),N(O452))-N(AA452))</f>
        <v/>
      </c>
      <c r="AC452" s="43">
        <f>IFERROR(IF(MAX(N(L452),N(O452))=0,"",AB452/MAX(N(L452),N(O452))),"")</f>
        <v/>
      </c>
      <c r="AD452" s="37" t="n"/>
      <c r="AE452" s="10" t="inlineStr">
        <is>
          <t>CON-0448</t>
        </is>
      </c>
    </row>
    <row r="453">
      <c r="A453" s="16">
        <f>IF($C453="","",IFERROR(IF(INDEX(tbl_Finance[Latest Invoice Date],MATCH($AE453,tbl_Finance[Row ID],0))="","",INDEX(tbl_Finance[Latest Invoice Date],MATCH($AE453,tbl_Finance[Row ID],0))),""))</f>
        <v/>
      </c>
      <c r="B453" s="10">
        <f>IF($C453="","",IFERROR(INDEX(tbl_Finance[Invoice Numbers],MATCH($AE453,tbl_Finance[Row ID],0))&amp;"",""))</f>
        <v/>
      </c>
      <c r="C453" s="37" t="n"/>
      <c r="D453" s="10">
        <f>IF($C453="","",IF(COUNTIF(lst_Jobs,$C453&amp;"")&gt;0,"OK","CHECK"))</f>
        <v/>
      </c>
      <c r="E453" s="10">
        <f>IF($C453="","",IFERROR(INDEX(lst_JobName,MATCH($C453&amp;"",lst_Jobs,0)),""))</f>
        <v/>
      </c>
      <c r="F453" s="37" t="n"/>
      <c r="G453" s="37" t="n"/>
      <c r="H453" s="37" t="n"/>
      <c r="I453" s="37" t="n"/>
      <c r="J453" s="37" t="n"/>
      <c r="K453" s="38">
        <f>IF($C453="","",IFERROR(N(INDEX(tbl_Finance[Invoice Count],MATCH($AE453,tbl_Finance[Row ID],0))),""))</f>
        <v/>
      </c>
      <c r="L453" s="11">
        <f>IF($C453="","",IFERROR(N(INDEX(tbl_Finance[Xero Invoiced Ex GST],MATCH($AE453,tbl_Finance[Row ID],0))),""))</f>
        <v/>
      </c>
      <c r="M453" s="10">
        <f>IF($C453="","",IFERROR(INDEX(tbl_Finance[Compare],MATCH($AE453,tbl_Finance[Row ID],0))&amp;"",""))</f>
        <v/>
      </c>
      <c r="N453" s="11">
        <f>IF($C453="","",MAX(0,N(O453)-N(L453)))</f>
        <v/>
      </c>
      <c r="O453" s="39" t="n"/>
      <c r="P453" s="40">
        <f>IF($C453="","",IF((IF(F453="",", Client","")&amp;IF(G453="",", Description","")&amp;IF(H453="",", Cost Centre","")&amp;IF(I453="",", Invoice Type","")&amp;IF(J453="",", Tax Code","")&amp;IF(O453="",", Expected Revenue","")&amp;IF(COUNTIF(tbl_Finance[Job Number],$C453&amp;"")&gt;1,", Job number used twice",""))="","Complete","Fix: "&amp;MID(IF(F453="",", Client","")&amp;IF(G453="",", Description","")&amp;IF(H453="",", Cost Centre","")&amp;IF(I453="",", Invoice Type","")&amp;IF(J453="",", Tax Code","")&amp;IF(O453="",", Expected Revenue","")&amp;IF(COUNTIF(tbl_Finance[Job Number],$C453&amp;"")&gt;1,", Job number used twice",""),3,300)))</f>
        <v/>
      </c>
      <c r="Q453" s="10">
        <f>IF($C453="","",IF(H453="","(no cost centre)",H453&amp;" - GL "&amp;IFERROR(INDEX(lst_CCtoGL,MATCH(H453,lst_CCforGL,0)),"?")))</f>
        <v/>
      </c>
      <c r="R453" s="37" t="n"/>
      <c r="S453" s="10">
        <f>IF(R453="","",HYPERLINK(IF(LEFT(R453,4)="http",R453,set_QwilrBase&amp;R453),"Open quote"))</f>
        <v/>
      </c>
      <c r="T453" s="39" t="n"/>
      <c r="U453" s="39" t="n"/>
      <c r="V453" s="39" t="n"/>
      <c r="W453" s="10">
        <f>IF(C453="","",IF(N(T453)+N(U453)+N(V453)=0,"Not split",IF(ROUND(N(T453)+N(U453)+N(V453),2)=ROUND(MAX(N(L453),N(O453)),2),"OK","MISMATCH")))</f>
        <v/>
      </c>
      <c r="X453" s="39" t="n"/>
      <c r="Y453" s="39" t="n"/>
      <c r="Z453" s="39" t="n"/>
      <c r="AA453" s="11">
        <f>IF(C453="","",N(X453)+N(Y453)+N(Z453))</f>
        <v/>
      </c>
      <c r="AB453" s="11">
        <f>IF(C453="","",MAX(N(L453),N(O453))-N(AA453))</f>
        <v/>
      </c>
      <c r="AC453" s="43">
        <f>IFERROR(IF(MAX(N(L453),N(O453))=0,"",AB453/MAX(N(L453),N(O453))),"")</f>
        <v/>
      </c>
      <c r="AD453" s="37" t="n"/>
      <c r="AE453" s="10" t="inlineStr">
        <is>
          <t>CON-0449</t>
        </is>
      </c>
    </row>
    <row r="454">
      <c r="A454" s="16">
        <f>IF($C454="","",IFERROR(IF(INDEX(tbl_Finance[Latest Invoice Date],MATCH($AE454,tbl_Finance[Row ID],0))="","",INDEX(tbl_Finance[Latest Invoice Date],MATCH($AE454,tbl_Finance[Row ID],0))),""))</f>
        <v/>
      </c>
      <c r="B454" s="10">
        <f>IF($C454="","",IFERROR(INDEX(tbl_Finance[Invoice Numbers],MATCH($AE454,tbl_Finance[Row ID],0))&amp;"",""))</f>
        <v/>
      </c>
      <c r="C454" s="37" t="n"/>
      <c r="D454" s="10">
        <f>IF($C454="","",IF(COUNTIF(lst_Jobs,$C454&amp;"")&gt;0,"OK","CHECK"))</f>
        <v/>
      </c>
      <c r="E454" s="10">
        <f>IF($C454="","",IFERROR(INDEX(lst_JobName,MATCH($C454&amp;"",lst_Jobs,0)),""))</f>
        <v/>
      </c>
      <c r="F454" s="37" t="n"/>
      <c r="G454" s="37" t="n"/>
      <c r="H454" s="37" t="n"/>
      <c r="I454" s="37" t="n"/>
      <c r="J454" s="37" t="n"/>
      <c r="K454" s="38">
        <f>IF($C454="","",IFERROR(N(INDEX(tbl_Finance[Invoice Count],MATCH($AE454,tbl_Finance[Row ID],0))),""))</f>
        <v/>
      </c>
      <c r="L454" s="11">
        <f>IF($C454="","",IFERROR(N(INDEX(tbl_Finance[Xero Invoiced Ex GST],MATCH($AE454,tbl_Finance[Row ID],0))),""))</f>
        <v/>
      </c>
      <c r="M454" s="10">
        <f>IF($C454="","",IFERROR(INDEX(tbl_Finance[Compare],MATCH($AE454,tbl_Finance[Row ID],0))&amp;"",""))</f>
        <v/>
      </c>
      <c r="N454" s="11">
        <f>IF($C454="","",MAX(0,N(O454)-N(L454)))</f>
        <v/>
      </c>
      <c r="O454" s="39" t="n"/>
      <c r="P454" s="40">
        <f>IF($C454="","",IF((IF(F454="",", Client","")&amp;IF(G454="",", Description","")&amp;IF(H454="",", Cost Centre","")&amp;IF(I454="",", Invoice Type","")&amp;IF(J454="",", Tax Code","")&amp;IF(O454="",", Expected Revenue","")&amp;IF(COUNTIF(tbl_Finance[Job Number],$C454&amp;"")&gt;1,", Job number used twice",""))="","Complete","Fix: "&amp;MID(IF(F454="",", Client","")&amp;IF(G454="",", Description","")&amp;IF(H454="",", Cost Centre","")&amp;IF(I454="",", Invoice Type","")&amp;IF(J454="",", Tax Code","")&amp;IF(O454="",", Expected Revenue","")&amp;IF(COUNTIF(tbl_Finance[Job Number],$C454&amp;"")&gt;1,", Job number used twice",""),3,300)))</f>
        <v/>
      </c>
      <c r="Q454" s="10">
        <f>IF($C454="","",IF(H454="","(no cost centre)",H454&amp;" - GL "&amp;IFERROR(INDEX(lst_CCtoGL,MATCH(H454,lst_CCforGL,0)),"?")))</f>
        <v/>
      </c>
      <c r="R454" s="37" t="n"/>
      <c r="S454" s="10">
        <f>IF(R454="","",HYPERLINK(IF(LEFT(R454,4)="http",R454,set_QwilrBase&amp;R454),"Open quote"))</f>
        <v/>
      </c>
      <c r="T454" s="39" t="n"/>
      <c r="U454" s="39" t="n"/>
      <c r="V454" s="39" t="n"/>
      <c r="W454" s="10">
        <f>IF(C454="","",IF(N(T454)+N(U454)+N(V454)=0,"Not split",IF(ROUND(N(T454)+N(U454)+N(V454),2)=ROUND(MAX(N(L454),N(O454)),2),"OK","MISMATCH")))</f>
        <v/>
      </c>
      <c r="X454" s="39" t="n"/>
      <c r="Y454" s="39" t="n"/>
      <c r="Z454" s="39" t="n"/>
      <c r="AA454" s="11">
        <f>IF(C454="","",N(X454)+N(Y454)+N(Z454))</f>
        <v/>
      </c>
      <c r="AB454" s="11">
        <f>IF(C454="","",MAX(N(L454),N(O454))-N(AA454))</f>
        <v/>
      </c>
      <c r="AC454" s="43">
        <f>IFERROR(IF(MAX(N(L454),N(O454))=0,"",AB454/MAX(N(L454),N(O454))),"")</f>
        <v/>
      </c>
      <c r="AD454" s="37" t="n"/>
      <c r="AE454" s="10" t="inlineStr">
        <is>
          <t>CON-0450</t>
        </is>
      </c>
    </row>
    <row r="455">
      <c r="A455" s="16">
        <f>IF($C455="","",IFERROR(IF(INDEX(tbl_Finance[Latest Invoice Date],MATCH($AE455,tbl_Finance[Row ID],0))="","",INDEX(tbl_Finance[Latest Invoice Date],MATCH($AE455,tbl_Finance[Row ID],0))),""))</f>
        <v/>
      </c>
      <c r="B455" s="10">
        <f>IF($C455="","",IFERROR(INDEX(tbl_Finance[Invoice Numbers],MATCH($AE455,tbl_Finance[Row ID],0))&amp;"",""))</f>
        <v/>
      </c>
      <c r="C455" s="37" t="n"/>
      <c r="D455" s="10">
        <f>IF($C455="","",IF(COUNTIF(lst_Jobs,$C455&amp;"")&gt;0,"OK","CHECK"))</f>
        <v/>
      </c>
      <c r="E455" s="10">
        <f>IF($C455="","",IFERROR(INDEX(lst_JobName,MATCH($C455&amp;"",lst_Jobs,0)),""))</f>
        <v/>
      </c>
      <c r="F455" s="37" t="n"/>
      <c r="G455" s="37" t="n"/>
      <c r="H455" s="37" t="n"/>
      <c r="I455" s="37" t="n"/>
      <c r="J455" s="37" t="n"/>
      <c r="K455" s="38">
        <f>IF($C455="","",IFERROR(N(INDEX(tbl_Finance[Invoice Count],MATCH($AE455,tbl_Finance[Row ID],0))),""))</f>
        <v/>
      </c>
      <c r="L455" s="11">
        <f>IF($C455="","",IFERROR(N(INDEX(tbl_Finance[Xero Invoiced Ex GST],MATCH($AE455,tbl_Finance[Row ID],0))),""))</f>
        <v/>
      </c>
      <c r="M455" s="10">
        <f>IF($C455="","",IFERROR(INDEX(tbl_Finance[Compare],MATCH($AE455,tbl_Finance[Row ID],0))&amp;"",""))</f>
        <v/>
      </c>
      <c r="N455" s="11">
        <f>IF($C455="","",MAX(0,N(O455)-N(L455)))</f>
        <v/>
      </c>
      <c r="O455" s="39" t="n"/>
      <c r="P455" s="40">
        <f>IF($C455="","",IF((IF(F455="",", Client","")&amp;IF(G455="",", Description","")&amp;IF(H455="",", Cost Centre","")&amp;IF(I455="",", Invoice Type","")&amp;IF(J455="",", Tax Code","")&amp;IF(O455="",", Expected Revenue","")&amp;IF(COUNTIF(tbl_Finance[Job Number],$C455&amp;"")&gt;1,", Job number used twice",""))="","Complete","Fix: "&amp;MID(IF(F455="",", Client","")&amp;IF(G455="",", Description","")&amp;IF(H455="",", Cost Centre","")&amp;IF(I455="",", Invoice Type","")&amp;IF(J455="",", Tax Code","")&amp;IF(O455="",", Expected Revenue","")&amp;IF(COUNTIF(tbl_Finance[Job Number],$C455&amp;"")&gt;1,", Job number used twice",""),3,300)))</f>
        <v/>
      </c>
      <c r="Q455" s="10">
        <f>IF($C455="","",IF(H455="","(no cost centre)",H455&amp;" - GL "&amp;IFERROR(INDEX(lst_CCtoGL,MATCH(H455,lst_CCforGL,0)),"?")))</f>
        <v/>
      </c>
      <c r="R455" s="37" t="n"/>
      <c r="S455" s="10">
        <f>IF(R455="","",HYPERLINK(IF(LEFT(R455,4)="http",R455,set_QwilrBase&amp;R455),"Open quote"))</f>
        <v/>
      </c>
      <c r="T455" s="39" t="n"/>
      <c r="U455" s="39" t="n"/>
      <c r="V455" s="39" t="n"/>
      <c r="W455" s="10">
        <f>IF(C455="","",IF(N(T455)+N(U455)+N(V455)=0,"Not split",IF(ROUND(N(T455)+N(U455)+N(V455),2)=ROUND(MAX(N(L455),N(O455)),2),"OK","MISMATCH")))</f>
        <v/>
      </c>
      <c r="X455" s="39" t="n"/>
      <c r="Y455" s="39" t="n"/>
      <c r="Z455" s="39" t="n"/>
      <c r="AA455" s="11">
        <f>IF(C455="","",N(X455)+N(Y455)+N(Z455))</f>
        <v/>
      </c>
      <c r="AB455" s="11">
        <f>IF(C455="","",MAX(N(L455),N(O455))-N(AA455))</f>
        <v/>
      </c>
      <c r="AC455" s="43">
        <f>IFERROR(IF(MAX(N(L455),N(O455))=0,"",AB455/MAX(N(L455),N(O455))),"")</f>
        <v/>
      </c>
      <c r="AD455" s="37" t="n"/>
      <c r="AE455" s="10" t="inlineStr">
        <is>
          <t>CON-0451</t>
        </is>
      </c>
    </row>
    <row r="456">
      <c r="A456" s="16">
        <f>IF($C456="","",IFERROR(IF(INDEX(tbl_Finance[Latest Invoice Date],MATCH($AE456,tbl_Finance[Row ID],0))="","",INDEX(tbl_Finance[Latest Invoice Date],MATCH($AE456,tbl_Finance[Row ID],0))),""))</f>
        <v/>
      </c>
      <c r="B456" s="10">
        <f>IF($C456="","",IFERROR(INDEX(tbl_Finance[Invoice Numbers],MATCH($AE456,tbl_Finance[Row ID],0))&amp;"",""))</f>
        <v/>
      </c>
      <c r="C456" s="37" t="n"/>
      <c r="D456" s="10">
        <f>IF($C456="","",IF(COUNTIF(lst_Jobs,$C456&amp;"")&gt;0,"OK","CHECK"))</f>
        <v/>
      </c>
      <c r="E456" s="10">
        <f>IF($C456="","",IFERROR(INDEX(lst_JobName,MATCH($C456&amp;"",lst_Jobs,0)),""))</f>
        <v/>
      </c>
      <c r="F456" s="37" t="n"/>
      <c r="G456" s="37" t="n"/>
      <c r="H456" s="37" t="n"/>
      <c r="I456" s="37" t="n"/>
      <c r="J456" s="37" t="n"/>
      <c r="K456" s="38">
        <f>IF($C456="","",IFERROR(N(INDEX(tbl_Finance[Invoice Count],MATCH($AE456,tbl_Finance[Row ID],0))),""))</f>
        <v/>
      </c>
      <c r="L456" s="11">
        <f>IF($C456="","",IFERROR(N(INDEX(tbl_Finance[Xero Invoiced Ex GST],MATCH($AE456,tbl_Finance[Row ID],0))),""))</f>
        <v/>
      </c>
      <c r="M456" s="10">
        <f>IF($C456="","",IFERROR(INDEX(tbl_Finance[Compare],MATCH($AE456,tbl_Finance[Row ID],0))&amp;"",""))</f>
        <v/>
      </c>
      <c r="N456" s="11">
        <f>IF($C456="","",MAX(0,N(O456)-N(L456)))</f>
        <v/>
      </c>
      <c r="O456" s="39" t="n"/>
      <c r="P456" s="40">
        <f>IF($C456="","",IF((IF(F456="",", Client","")&amp;IF(G456="",", Description","")&amp;IF(H456="",", Cost Centre","")&amp;IF(I456="",", Invoice Type","")&amp;IF(J456="",", Tax Code","")&amp;IF(O456="",", Expected Revenue","")&amp;IF(COUNTIF(tbl_Finance[Job Number],$C456&amp;"")&gt;1,", Job number used twice",""))="","Complete","Fix: "&amp;MID(IF(F456="",", Client","")&amp;IF(G456="",", Description","")&amp;IF(H456="",", Cost Centre","")&amp;IF(I456="",", Invoice Type","")&amp;IF(J456="",", Tax Code","")&amp;IF(O456="",", Expected Revenue","")&amp;IF(COUNTIF(tbl_Finance[Job Number],$C456&amp;"")&gt;1,", Job number used twice",""),3,300)))</f>
        <v/>
      </c>
      <c r="Q456" s="10">
        <f>IF($C456="","",IF(H456="","(no cost centre)",H456&amp;" - GL "&amp;IFERROR(INDEX(lst_CCtoGL,MATCH(H456,lst_CCforGL,0)),"?")))</f>
        <v/>
      </c>
      <c r="R456" s="37" t="n"/>
      <c r="S456" s="10">
        <f>IF(R456="","",HYPERLINK(IF(LEFT(R456,4)="http",R456,set_QwilrBase&amp;R456),"Open quote"))</f>
        <v/>
      </c>
      <c r="T456" s="39" t="n"/>
      <c r="U456" s="39" t="n"/>
      <c r="V456" s="39" t="n"/>
      <c r="W456" s="10">
        <f>IF(C456="","",IF(N(T456)+N(U456)+N(V456)=0,"Not split",IF(ROUND(N(T456)+N(U456)+N(V456),2)=ROUND(MAX(N(L456),N(O456)),2),"OK","MISMATCH")))</f>
        <v/>
      </c>
      <c r="X456" s="39" t="n"/>
      <c r="Y456" s="39" t="n"/>
      <c r="Z456" s="39" t="n"/>
      <c r="AA456" s="11">
        <f>IF(C456="","",N(X456)+N(Y456)+N(Z456))</f>
        <v/>
      </c>
      <c r="AB456" s="11">
        <f>IF(C456="","",MAX(N(L456),N(O456))-N(AA456))</f>
        <v/>
      </c>
      <c r="AC456" s="43">
        <f>IFERROR(IF(MAX(N(L456),N(O456))=0,"",AB456/MAX(N(L456),N(O456))),"")</f>
        <v/>
      </c>
      <c r="AD456" s="37" t="n"/>
      <c r="AE456" s="10" t="inlineStr">
        <is>
          <t>CON-0452</t>
        </is>
      </c>
    </row>
    <row r="457">
      <c r="A457" s="16">
        <f>IF($C457="","",IFERROR(IF(INDEX(tbl_Finance[Latest Invoice Date],MATCH($AE457,tbl_Finance[Row ID],0))="","",INDEX(tbl_Finance[Latest Invoice Date],MATCH($AE457,tbl_Finance[Row ID],0))),""))</f>
        <v/>
      </c>
      <c r="B457" s="10">
        <f>IF($C457="","",IFERROR(INDEX(tbl_Finance[Invoice Numbers],MATCH($AE457,tbl_Finance[Row ID],0))&amp;"",""))</f>
        <v/>
      </c>
      <c r="C457" s="37" t="n"/>
      <c r="D457" s="10">
        <f>IF($C457="","",IF(COUNTIF(lst_Jobs,$C457&amp;"")&gt;0,"OK","CHECK"))</f>
        <v/>
      </c>
      <c r="E457" s="10">
        <f>IF($C457="","",IFERROR(INDEX(lst_JobName,MATCH($C457&amp;"",lst_Jobs,0)),""))</f>
        <v/>
      </c>
      <c r="F457" s="37" t="n"/>
      <c r="G457" s="37" t="n"/>
      <c r="H457" s="37" t="n"/>
      <c r="I457" s="37" t="n"/>
      <c r="J457" s="37" t="n"/>
      <c r="K457" s="38">
        <f>IF($C457="","",IFERROR(N(INDEX(tbl_Finance[Invoice Count],MATCH($AE457,tbl_Finance[Row ID],0))),""))</f>
        <v/>
      </c>
      <c r="L457" s="11">
        <f>IF($C457="","",IFERROR(N(INDEX(tbl_Finance[Xero Invoiced Ex GST],MATCH($AE457,tbl_Finance[Row ID],0))),""))</f>
        <v/>
      </c>
      <c r="M457" s="10">
        <f>IF($C457="","",IFERROR(INDEX(tbl_Finance[Compare],MATCH($AE457,tbl_Finance[Row ID],0))&amp;"",""))</f>
        <v/>
      </c>
      <c r="N457" s="11">
        <f>IF($C457="","",MAX(0,N(O457)-N(L457)))</f>
        <v/>
      </c>
      <c r="O457" s="39" t="n"/>
      <c r="P457" s="40">
        <f>IF($C457="","",IF((IF(F457="",", Client","")&amp;IF(G457="",", Description","")&amp;IF(H457="",", Cost Centre","")&amp;IF(I457="",", Invoice Type","")&amp;IF(J457="",", Tax Code","")&amp;IF(O457="",", Expected Revenue","")&amp;IF(COUNTIF(tbl_Finance[Job Number],$C457&amp;"")&gt;1,", Job number used twice",""))="","Complete","Fix: "&amp;MID(IF(F457="",", Client","")&amp;IF(G457="",", Description","")&amp;IF(H457="",", Cost Centre","")&amp;IF(I457="",", Invoice Type","")&amp;IF(J457="",", Tax Code","")&amp;IF(O457="",", Expected Revenue","")&amp;IF(COUNTIF(tbl_Finance[Job Number],$C457&amp;"")&gt;1,", Job number used twice",""),3,300)))</f>
        <v/>
      </c>
      <c r="Q457" s="10">
        <f>IF($C457="","",IF(H457="","(no cost centre)",H457&amp;" - GL "&amp;IFERROR(INDEX(lst_CCtoGL,MATCH(H457,lst_CCforGL,0)),"?")))</f>
        <v/>
      </c>
      <c r="R457" s="37" t="n"/>
      <c r="S457" s="10">
        <f>IF(R457="","",HYPERLINK(IF(LEFT(R457,4)="http",R457,set_QwilrBase&amp;R457),"Open quote"))</f>
        <v/>
      </c>
      <c r="T457" s="39" t="n"/>
      <c r="U457" s="39" t="n"/>
      <c r="V457" s="39" t="n"/>
      <c r="W457" s="10">
        <f>IF(C457="","",IF(N(T457)+N(U457)+N(V457)=0,"Not split",IF(ROUND(N(T457)+N(U457)+N(V457),2)=ROUND(MAX(N(L457),N(O457)),2),"OK","MISMATCH")))</f>
        <v/>
      </c>
      <c r="X457" s="39" t="n"/>
      <c r="Y457" s="39" t="n"/>
      <c r="Z457" s="39" t="n"/>
      <c r="AA457" s="11">
        <f>IF(C457="","",N(X457)+N(Y457)+N(Z457))</f>
        <v/>
      </c>
      <c r="AB457" s="11">
        <f>IF(C457="","",MAX(N(L457),N(O457))-N(AA457))</f>
        <v/>
      </c>
      <c r="AC457" s="43">
        <f>IFERROR(IF(MAX(N(L457),N(O457))=0,"",AB457/MAX(N(L457),N(O457))),"")</f>
        <v/>
      </c>
      <c r="AD457" s="37" t="n"/>
      <c r="AE457" s="10" t="inlineStr">
        <is>
          <t>CON-0453</t>
        </is>
      </c>
    </row>
    <row r="458">
      <c r="A458" s="16">
        <f>IF($C458="","",IFERROR(IF(INDEX(tbl_Finance[Latest Invoice Date],MATCH($AE458,tbl_Finance[Row ID],0))="","",INDEX(tbl_Finance[Latest Invoice Date],MATCH($AE458,tbl_Finance[Row ID],0))),""))</f>
        <v/>
      </c>
      <c r="B458" s="10">
        <f>IF($C458="","",IFERROR(INDEX(tbl_Finance[Invoice Numbers],MATCH($AE458,tbl_Finance[Row ID],0))&amp;"",""))</f>
        <v/>
      </c>
      <c r="C458" s="37" t="n"/>
      <c r="D458" s="10">
        <f>IF($C458="","",IF(COUNTIF(lst_Jobs,$C458&amp;"")&gt;0,"OK","CHECK"))</f>
        <v/>
      </c>
      <c r="E458" s="10">
        <f>IF($C458="","",IFERROR(INDEX(lst_JobName,MATCH($C458&amp;"",lst_Jobs,0)),""))</f>
        <v/>
      </c>
      <c r="F458" s="37" t="n"/>
      <c r="G458" s="37" t="n"/>
      <c r="H458" s="37" t="n"/>
      <c r="I458" s="37" t="n"/>
      <c r="J458" s="37" t="n"/>
      <c r="K458" s="38">
        <f>IF($C458="","",IFERROR(N(INDEX(tbl_Finance[Invoice Count],MATCH($AE458,tbl_Finance[Row ID],0))),""))</f>
        <v/>
      </c>
      <c r="L458" s="11">
        <f>IF($C458="","",IFERROR(N(INDEX(tbl_Finance[Xero Invoiced Ex GST],MATCH($AE458,tbl_Finance[Row ID],0))),""))</f>
        <v/>
      </c>
      <c r="M458" s="10">
        <f>IF($C458="","",IFERROR(INDEX(tbl_Finance[Compare],MATCH($AE458,tbl_Finance[Row ID],0))&amp;"",""))</f>
        <v/>
      </c>
      <c r="N458" s="11">
        <f>IF($C458="","",MAX(0,N(O458)-N(L458)))</f>
        <v/>
      </c>
      <c r="O458" s="39" t="n"/>
      <c r="P458" s="40">
        <f>IF($C458="","",IF((IF(F458="",", Client","")&amp;IF(G458="",", Description","")&amp;IF(H458="",", Cost Centre","")&amp;IF(I458="",", Invoice Type","")&amp;IF(J458="",", Tax Code","")&amp;IF(O458="",", Expected Revenue","")&amp;IF(COUNTIF(tbl_Finance[Job Number],$C458&amp;"")&gt;1,", Job number used twice",""))="","Complete","Fix: "&amp;MID(IF(F458="",", Client","")&amp;IF(G458="",", Description","")&amp;IF(H458="",", Cost Centre","")&amp;IF(I458="",", Invoice Type","")&amp;IF(J458="",", Tax Code","")&amp;IF(O458="",", Expected Revenue","")&amp;IF(COUNTIF(tbl_Finance[Job Number],$C458&amp;"")&gt;1,", Job number used twice",""),3,300)))</f>
        <v/>
      </c>
      <c r="Q458" s="10">
        <f>IF($C458="","",IF(H458="","(no cost centre)",H458&amp;" - GL "&amp;IFERROR(INDEX(lst_CCtoGL,MATCH(H458,lst_CCforGL,0)),"?")))</f>
        <v/>
      </c>
      <c r="R458" s="37" t="n"/>
      <c r="S458" s="10">
        <f>IF(R458="","",HYPERLINK(IF(LEFT(R458,4)="http",R458,set_QwilrBase&amp;R458),"Open quote"))</f>
        <v/>
      </c>
      <c r="T458" s="39" t="n"/>
      <c r="U458" s="39" t="n"/>
      <c r="V458" s="39" t="n"/>
      <c r="W458" s="10">
        <f>IF(C458="","",IF(N(T458)+N(U458)+N(V458)=0,"Not split",IF(ROUND(N(T458)+N(U458)+N(V458),2)=ROUND(MAX(N(L458),N(O458)),2),"OK","MISMATCH")))</f>
        <v/>
      </c>
      <c r="X458" s="39" t="n"/>
      <c r="Y458" s="39" t="n"/>
      <c r="Z458" s="39" t="n"/>
      <c r="AA458" s="11">
        <f>IF(C458="","",N(X458)+N(Y458)+N(Z458))</f>
        <v/>
      </c>
      <c r="AB458" s="11">
        <f>IF(C458="","",MAX(N(L458),N(O458))-N(AA458))</f>
        <v/>
      </c>
      <c r="AC458" s="43">
        <f>IFERROR(IF(MAX(N(L458),N(O458))=0,"",AB458/MAX(N(L458),N(O458))),"")</f>
        <v/>
      </c>
      <c r="AD458" s="37" t="n"/>
      <c r="AE458" s="10" t="inlineStr">
        <is>
          <t>CON-0454</t>
        </is>
      </c>
    </row>
    <row r="459">
      <c r="A459" s="16">
        <f>IF($C459="","",IFERROR(IF(INDEX(tbl_Finance[Latest Invoice Date],MATCH($AE459,tbl_Finance[Row ID],0))="","",INDEX(tbl_Finance[Latest Invoice Date],MATCH($AE459,tbl_Finance[Row ID],0))),""))</f>
        <v/>
      </c>
      <c r="B459" s="10">
        <f>IF($C459="","",IFERROR(INDEX(tbl_Finance[Invoice Numbers],MATCH($AE459,tbl_Finance[Row ID],0))&amp;"",""))</f>
        <v/>
      </c>
      <c r="C459" s="37" t="n"/>
      <c r="D459" s="10">
        <f>IF($C459="","",IF(COUNTIF(lst_Jobs,$C459&amp;"")&gt;0,"OK","CHECK"))</f>
        <v/>
      </c>
      <c r="E459" s="10">
        <f>IF($C459="","",IFERROR(INDEX(lst_JobName,MATCH($C459&amp;"",lst_Jobs,0)),""))</f>
        <v/>
      </c>
      <c r="F459" s="37" t="n"/>
      <c r="G459" s="37" t="n"/>
      <c r="H459" s="37" t="n"/>
      <c r="I459" s="37" t="n"/>
      <c r="J459" s="37" t="n"/>
      <c r="K459" s="38">
        <f>IF($C459="","",IFERROR(N(INDEX(tbl_Finance[Invoice Count],MATCH($AE459,tbl_Finance[Row ID],0))),""))</f>
        <v/>
      </c>
      <c r="L459" s="11">
        <f>IF($C459="","",IFERROR(N(INDEX(tbl_Finance[Xero Invoiced Ex GST],MATCH($AE459,tbl_Finance[Row ID],0))),""))</f>
        <v/>
      </c>
      <c r="M459" s="10">
        <f>IF($C459="","",IFERROR(INDEX(tbl_Finance[Compare],MATCH($AE459,tbl_Finance[Row ID],0))&amp;"",""))</f>
        <v/>
      </c>
      <c r="N459" s="11">
        <f>IF($C459="","",MAX(0,N(O459)-N(L459)))</f>
        <v/>
      </c>
      <c r="O459" s="39" t="n"/>
      <c r="P459" s="40">
        <f>IF($C459="","",IF((IF(F459="",", Client","")&amp;IF(G459="",", Description","")&amp;IF(H459="",", Cost Centre","")&amp;IF(I459="",", Invoice Type","")&amp;IF(J459="",", Tax Code","")&amp;IF(O459="",", Expected Revenue","")&amp;IF(COUNTIF(tbl_Finance[Job Number],$C459&amp;"")&gt;1,", Job number used twice",""))="","Complete","Fix: "&amp;MID(IF(F459="",", Client","")&amp;IF(G459="",", Description","")&amp;IF(H459="",", Cost Centre","")&amp;IF(I459="",", Invoice Type","")&amp;IF(J459="",", Tax Code","")&amp;IF(O459="",", Expected Revenue","")&amp;IF(COUNTIF(tbl_Finance[Job Number],$C459&amp;"")&gt;1,", Job number used twice",""),3,300)))</f>
        <v/>
      </c>
      <c r="Q459" s="10">
        <f>IF($C459="","",IF(H459="","(no cost centre)",H459&amp;" - GL "&amp;IFERROR(INDEX(lst_CCtoGL,MATCH(H459,lst_CCforGL,0)),"?")))</f>
        <v/>
      </c>
      <c r="R459" s="37" t="n"/>
      <c r="S459" s="10">
        <f>IF(R459="","",HYPERLINK(IF(LEFT(R459,4)="http",R459,set_QwilrBase&amp;R459),"Open quote"))</f>
        <v/>
      </c>
      <c r="T459" s="39" t="n"/>
      <c r="U459" s="39" t="n"/>
      <c r="V459" s="39" t="n"/>
      <c r="W459" s="10">
        <f>IF(C459="","",IF(N(T459)+N(U459)+N(V459)=0,"Not split",IF(ROUND(N(T459)+N(U459)+N(V459),2)=ROUND(MAX(N(L459),N(O459)),2),"OK","MISMATCH")))</f>
        <v/>
      </c>
      <c r="X459" s="39" t="n"/>
      <c r="Y459" s="39" t="n"/>
      <c r="Z459" s="39" t="n"/>
      <c r="AA459" s="11">
        <f>IF(C459="","",N(X459)+N(Y459)+N(Z459))</f>
        <v/>
      </c>
      <c r="AB459" s="11">
        <f>IF(C459="","",MAX(N(L459),N(O459))-N(AA459))</f>
        <v/>
      </c>
      <c r="AC459" s="43">
        <f>IFERROR(IF(MAX(N(L459),N(O459))=0,"",AB459/MAX(N(L459),N(O459))),"")</f>
        <v/>
      </c>
      <c r="AD459" s="37" t="n"/>
      <c r="AE459" s="10" t="inlineStr">
        <is>
          <t>CON-0455</t>
        </is>
      </c>
    </row>
    <row r="460">
      <c r="A460" s="16">
        <f>IF($C460="","",IFERROR(IF(INDEX(tbl_Finance[Latest Invoice Date],MATCH($AE460,tbl_Finance[Row ID],0))="","",INDEX(tbl_Finance[Latest Invoice Date],MATCH($AE460,tbl_Finance[Row ID],0))),""))</f>
        <v/>
      </c>
      <c r="B460" s="10">
        <f>IF($C460="","",IFERROR(INDEX(tbl_Finance[Invoice Numbers],MATCH($AE460,tbl_Finance[Row ID],0))&amp;"",""))</f>
        <v/>
      </c>
      <c r="C460" s="37" t="n"/>
      <c r="D460" s="10">
        <f>IF($C460="","",IF(COUNTIF(lst_Jobs,$C460&amp;"")&gt;0,"OK","CHECK"))</f>
        <v/>
      </c>
      <c r="E460" s="10">
        <f>IF($C460="","",IFERROR(INDEX(lst_JobName,MATCH($C460&amp;"",lst_Jobs,0)),""))</f>
        <v/>
      </c>
      <c r="F460" s="37" t="n"/>
      <c r="G460" s="37" t="n"/>
      <c r="H460" s="37" t="n"/>
      <c r="I460" s="37" t="n"/>
      <c r="J460" s="37" t="n"/>
      <c r="K460" s="38">
        <f>IF($C460="","",IFERROR(N(INDEX(tbl_Finance[Invoice Count],MATCH($AE460,tbl_Finance[Row ID],0))),""))</f>
        <v/>
      </c>
      <c r="L460" s="11">
        <f>IF($C460="","",IFERROR(N(INDEX(tbl_Finance[Xero Invoiced Ex GST],MATCH($AE460,tbl_Finance[Row ID],0))),""))</f>
        <v/>
      </c>
      <c r="M460" s="10">
        <f>IF($C460="","",IFERROR(INDEX(tbl_Finance[Compare],MATCH($AE460,tbl_Finance[Row ID],0))&amp;"",""))</f>
        <v/>
      </c>
      <c r="N460" s="11">
        <f>IF($C460="","",MAX(0,N(O460)-N(L460)))</f>
        <v/>
      </c>
      <c r="O460" s="39" t="n"/>
      <c r="P460" s="40">
        <f>IF($C460="","",IF((IF(F460="",", Client","")&amp;IF(G460="",", Description","")&amp;IF(H460="",", Cost Centre","")&amp;IF(I460="",", Invoice Type","")&amp;IF(J460="",", Tax Code","")&amp;IF(O460="",", Expected Revenue","")&amp;IF(COUNTIF(tbl_Finance[Job Number],$C460&amp;"")&gt;1,", Job number used twice",""))="","Complete","Fix: "&amp;MID(IF(F460="",", Client","")&amp;IF(G460="",", Description","")&amp;IF(H460="",", Cost Centre","")&amp;IF(I460="",", Invoice Type","")&amp;IF(J460="",", Tax Code","")&amp;IF(O460="",", Expected Revenue","")&amp;IF(COUNTIF(tbl_Finance[Job Number],$C460&amp;"")&gt;1,", Job number used twice",""),3,300)))</f>
        <v/>
      </c>
      <c r="Q460" s="10">
        <f>IF($C460="","",IF(H460="","(no cost centre)",H460&amp;" - GL "&amp;IFERROR(INDEX(lst_CCtoGL,MATCH(H460,lst_CCforGL,0)),"?")))</f>
        <v/>
      </c>
      <c r="R460" s="37" t="n"/>
      <c r="S460" s="10">
        <f>IF(R460="","",HYPERLINK(IF(LEFT(R460,4)="http",R460,set_QwilrBase&amp;R460),"Open quote"))</f>
        <v/>
      </c>
      <c r="T460" s="39" t="n"/>
      <c r="U460" s="39" t="n"/>
      <c r="V460" s="39" t="n"/>
      <c r="W460" s="10">
        <f>IF(C460="","",IF(N(T460)+N(U460)+N(V460)=0,"Not split",IF(ROUND(N(T460)+N(U460)+N(V460),2)=ROUND(MAX(N(L460),N(O460)),2),"OK","MISMATCH")))</f>
        <v/>
      </c>
      <c r="X460" s="39" t="n"/>
      <c r="Y460" s="39" t="n"/>
      <c r="Z460" s="39" t="n"/>
      <c r="AA460" s="11">
        <f>IF(C460="","",N(X460)+N(Y460)+N(Z460))</f>
        <v/>
      </c>
      <c r="AB460" s="11">
        <f>IF(C460="","",MAX(N(L460),N(O460))-N(AA460))</f>
        <v/>
      </c>
      <c r="AC460" s="43">
        <f>IFERROR(IF(MAX(N(L460),N(O460))=0,"",AB460/MAX(N(L460),N(O460))),"")</f>
        <v/>
      </c>
      <c r="AD460" s="37" t="n"/>
      <c r="AE460" s="10" t="inlineStr">
        <is>
          <t>CON-0456</t>
        </is>
      </c>
    </row>
    <row r="461">
      <c r="A461" s="16">
        <f>IF($C461="","",IFERROR(IF(INDEX(tbl_Finance[Latest Invoice Date],MATCH($AE461,tbl_Finance[Row ID],0))="","",INDEX(tbl_Finance[Latest Invoice Date],MATCH($AE461,tbl_Finance[Row ID],0))),""))</f>
        <v/>
      </c>
      <c r="B461" s="10">
        <f>IF($C461="","",IFERROR(INDEX(tbl_Finance[Invoice Numbers],MATCH($AE461,tbl_Finance[Row ID],0))&amp;"",""))</f>
        <v/>
      </c>
      <c r="C461" s="37" t="n"/>
      <c r="D461" s="10">
        <f>IF($C461="","",IF(COUNTIF(lst_Jobs,$C461&amp;"")&gt;0,"OK","CHECK"))</f>
        <v/>
      </c>
      <c r="E461" s="10">
        <f>IF($C461="","",IFERROR(INDEX(lst_JobName,MATCH($C461&amp;"",lst_Jobs,0)),""))</f>
        <v/>
      </c>
      <c r="F461" s="37" t="n"/>
      <c r="G461" s="37" t="n"/>
      <c r="H461" s="37" t="n"/>
      <c r="I461" s="37" t="n"/>
      <c r="J461" s="37" t="n"/>
      <c r="K461" s="38">
        <f>IF($C461="","",IFERROR(N(INDEX(tbl_Finance[Invoice Count],MATCH($AE461,tbl_Finance[Row ID],0))),""))</f>
        <v/>
      </c>
      <c r="L461" s="11">
        <f>IF($C461="","",IFERROR(N(INDEX(tbl_Finance[Xero Invoiced Ex GST],MATCH($AE461,tbl_Finance[Row ID],0))),""))</f>
        <v/>
      </c>
      <c r="M461" s="10">
        <f>IF($C461="","",IFERROR(INDEX(tbl_Finance[Compare],MATCH($AE461,tbl_Finance[Row ID],0))&amp;"",""))</f>
        <v/>
      </c>
      <c r="N461" s="11">
        <f>IF($C461="","",MAX(0,N(O461)-N(L461)))</f>
        <v/>
      </c>
      <c r="O461" s="39" t="n"/>
      <c r="P461" s="40">
        <f>IF($C461="","",IF((IF(F461="",", Client","")&amp;IF(G461="",", Description","")&amp;IF(H461="",", Cost Centre","")&amp;IF(I461="",", Invoice Type","")&amp;IF(J461="",", Tax Code","")&amp;IF(O461="",", Expected Revenue","")&amp;IF(COUNTIF(tbl_Finance[Job Number],$C461&amp;"")&gt;1,", Job number used twice",""))="","Complete","Fix: "&amp;MID(IF(F461="",", Client","")&amp;IF(G461="",", Description","")&amp;IF(H461="",", Cost Centre","")&amp;IF(I461="",", Invoice Type","")&amp;IF(J461="",", Tax Code","")&amp;IF(O461="",", Expected Revenue","")&amp;IF(COUNTIF(tbl_Finance[Job Number],$C461&amp;"")&gt;1,", Job number used twice",""),3,300)))</f>
        <v/>
      </c>
      <c r="Q461" s="10">
        <f>IF($C461="","",IF(H461="","(no cost centre)",H461&amp;" - GL "&amp;IFERROR(INDEX(lst_CCtoGL,MATCH(H461,lst_CCforGL,0)),"?")))</f>
        <v/>
      </c>
      <c r="R461" s="37" t="n"/>
      <c r="S461" s="10">
        <f>IF(R461="","",HYPERLINK(IF(LEFT(R461,4)="http",R461,set_QwilrBase&amp;R461),"Open quote"))</f>
        <v/>
      </c>
      <c r="T461" s="39" t="n"/>
      <c r="U461" s="39" t="n"/>
      <c r="V461" s="39" t="n"/>
      <c r="W461" s="10">
        <f>IF(C461="","",IF(N(T461)+N(U461)+N(V461)=0,"Not split",IF(ROUND(N(T461)+N(U461)+N(V461),2)=ROUND(MAX(N(L461),N(O461)),2),"OK","MISMATCH")))</f>
        <v/>
      </c>
      <c r="X461" s="39" t="n"/>
      <c r="Y461" s="39" t="n"/>
      <c r="Z461" s="39" t="n"/>
      <c r="AA461" s="11">
        <f>IF(C461="","",N(X461)+N(Y461)+N(Z461))</f>
        <v/>
      </c>
      <c r="AB461" s="11">
        <f>IF(C461="","",MAX(N(L461),N(O461))-N(AA461))</f>
        <v/>
      </c>
      <c r="AC461" s="43">
        <f>IFERROR(IF(MAX(N(L461),N(O461))=0,"",AB461/MAX(N(L461),N(O461))),"")</f>
        <v/>
      </c>
      <c r="AD461" s="37" t="n"/>
      <c r="AE461" s="10" t="inlineStr">
        <is>
          <t>CON-0457</t>
        </is>
      </c>
    </row>
    <row r="462">
      <c r="A462" s="16">
        <f>IF($C462="","",IFERROR(IF(INDEX(tbl_Finance[Latest Invoice Date],MATCH($AE462,tbl_Finance[Row ID],0))="","",INDEX(tbl_Finance[Latest Invoice Date],MATCH($AE462,tbl_Finance[Row ID],0))),""))</f>
        <v/>
      </c>
      <c r="B462" s="10">
        <f>IF($C462="","",IFERROR(INDEX(tbl_Finance[Invoice Numbers],MATCH($AE462,tbl_Finance[Row ID],0))&amp;"",""))</f>
        <v/>
      </c>
      <c r="C462" s="37" t="n"/>
      <c r="D462" s="10">
        <f>IF($C462="","",IF(COUNTIF(lst_Jobs,$C462&amp;"")&gt;0,"OK","CHECK"))</f>
        <v/>
      </c>
      <c r="E462" s="10">
        <f>IF($C462="","",IFERROR(INDEX(lst_JobName,MATCH($C462&amp;"",lst_Jobs,0)),""))</f>
        <v/>
      </c>
      <c r="F462" s="37" t="n"/>
      <c r="G462" s="37" t="n"/>
      <c r="H462" s="37" t="n"/>
      <c r="I462" s="37" t="n"/>
      <c r="J462" s="37" t="n"/>
      <c r="K462" s="38">
        <f>IF($C462="","",IFERROR(N(INDEX(tbl_Finance[Invoice Count],MATCH($AE462,tbl_Finance[Row ID],0))),""))</f>
        <v/>
      </c>
      <c r="L462" s="11">
        <f>IF($C462="","",IFERROR(N(INDEX(tbl_Finance[Xero Invoiced Ex GST],MATCH($AE462,tbl_Finance[Row ID],0))),""))</f>
        <v/>
      </c>
      <c r="M462" s="10">
        <f>IF($C462="","",IFERROR(INDEX(tbl_Finance[Compare],MATCH($AE462,tbl_Finance[Row ID],0))&amp;"",""))</f>
        <v/>
      </c>
      <c r="N462" s="11">
        <f>IF($C462="","",MAX(0,N(O462)-N(L462)))</f>
        <v/>
      </c>
      <c r="O462" s="39" t="n"/>
      <c r="P462" s="40">
        <f>IF($C462="","",IF((IF(F462="",", Client","")&amp;IF(G462="",", Description","")&amp;IF(H462="",", Cost Centre","")&amp;IF(I462="",", Invoice Type","")&amp;IF(J462="",", Tax Code","")&amp;IF(O462="",", Expected Revenue","")&amp;IF(COUNTIF(tbl_Finance[Job Number],$C462&amp;"")&gt;1,", Job number used twice",""))="","Complete","Fix: "&amp;MID(IF(F462="",", Client","")&amp;IF(G462="",", Description","")&amp;IF(H462="",", Cost Centre","")&amp;IF(I462="",", Invoice Type","")&amp;IF(J462="",", Tax Code","")&amp;IF(O462="",", Expected Revenue","")&amp;IF(COUNTIF(tbl_Finance[Job Number],$C462&amp;"")&gt;1,", Job number used twice",""),3,300)))</f>
        <v/>
      </c>
      <c r="Q462" s="10">
        <f>IF($C462="","",IF(H462="","(no cost centre)",H462&amp;" - GL "&amp;IFERROR(INDEX(lst_CCtoGL,MATCH(H462,lst_CCforGL,0)),"?")))</f>
        <v/>
      </c>
      <c r="R462" s="37" t="n"/>
      <c r="S462" s="10">
        <f>IF(R462="","",HYPERLINK(IF(LEFT(R462,4)="http",R462,set_QwilrBase&amp;R462),"Open quote"))</f>
        <v/>
      </c>
      <c r="T462" s="39" t="n"/>
      <c r="U462" s="39" t="n"/>
      <c r="V462" s="39" t="n"/>
      <c r="W462" s="10">
        <f>IF(C462="","",IF(N(T462)+N(U462)+N(V462)=0,"Not split",IF(ROUND(N(T462)+N(U462)+N(V462),2)=ROUND(MAX(N(L462),N(O462)),2),"OK","MISMATCH")))</f>
        <v/>
      </c>
      <c r="X462" s="39" t="n"/>
      <c r="Y462" s="39" t="n"/>
      <c r="Z462" s="39" t="n"/>
      <c r="AA462" s="11">
        <f>IF(C462="","",N(X462)+N(Y462)+N(Z462))</f>
        <v/>
      </c>
      <c r="AB462" s="11">
        <f>IF(C462="","",MAX(N(L462),N(O462))-N(AA462))</f>
        <v/>
      </c>
      <c r="AC462" s="43">
        <f>IFERROR(IF(MAX(N(L462),N(O462))=0,"",AB462/MAX(N(L462),N(O462))),"")</f>
        <v/>
      </c>
      <c r="AD462" s="37" t="n"/>
      <c r="AE462" s="10" t="inlineStr">
        <is>
          <t>CON-0458</t>
        </is>
      </c>
    </row>
    <row r="463">
      <c r="A463" s="16">
        <f>IF($C463="","",IFERROR(IF(INDEX(tbl_Finance[Latest Invoice Date],MATCH($AE463,tbl_Finance[Row ID],0))="","",INDEX(tbl_Finance[Latest Invoice Date],MATCH($AE463,tbl_Finance[Row ID],0))),""))</f>
        <v/>
      </c>
      <c r="B463" s="10">
        <f>IF($C463="","",IFERROR(INDEX(tbl_Finance[Invoice Numbers],MATCH($AE463,tbl_Finance[Row ID],0))&amp;"",""))</f>
        <v/>
      </c>
      <c r="C463" s="37" t="n"/>
      <c r="D463" s="10">
        <f>IF($C463="","",IF(COUNTIF(lst_Jobs,$C463&amp;"")&gt;0,"OK","CHECK"))</f>
        <v/>
      </c>
      <c r="E463" s="10">
        <f>IF($C463="","",IFERROR(INDEX(lst_JobName,MATCH($C463&amp;"",lst_Jobs,0)),""))</f>
        <v/>
      </c>
      <c r="F463" s="37" t="n"/>
      <c r="G463" s="37" t="n"/>
      <c r="H463" s="37" t="n"/>
      <c r="I463" s="37" t="n"/>
      <c r="J463" s="37" t="n"/>
      <c r="K463" s="38">
        <f>IF($C463="","",IFERROR(N(INDEX(tbl_Finance[Invoice Count],MATCH($AE463,tbl_Finance[Row ID],0))),""))</f>
        <v/>
      </c>
      <c r="L463" s="11">
        <f>IF($C463="","",IFERROR(N(INDEX(tbl_Finance[Xero Invoiced Ex GST],MATCH($AE463,tbl_Finance[Row ID],0))),""))</f>
        <v/>
      </c>
      <c r="M463" s="10">
        <f>IF($C463="","",IFERROR(INDEX(tbl_Finance[Compare],MATCH($AE463,tbl_Finance[Row ID],0))&amp;"",""))</f>
        <v/>
      </c>
      <c r="N463" s="11">
        <f>IF($C463="","",MAX(0,N(O463)-N(L463)))</f>
        <v/>
      </c>
      <c r="O463" s="39" t="n"/>
      <c r="P463" s="40">
        <f>IF($C463="","",IF((IF(F463="",", Client","")&amp;IF(G463="",", Description","")&amp;IF(H463="",", Cost Centre","")&amp;IF(I463="",", Invoice Type","")&amp;IF(J463="",", Tax Code","")&amp;IF(O463="",", Expected Revenue","")&amp;IF(COUNTIF(tbl_Finance[Job Number],$C463&amp;"")&gt;1,", Job number used twice",""))="","Complete","Fix: "&amp;MID(IF(F463="",", Client","")&amp;IF(G463="",", Description","")&amp;IF(H463="",", Cost Centre","")&amp;IF(I463="",", Invoice Type","")&amp;IF(J463="",", Tax Code","")&amp;IF(O463="",", Expected Revenue","")&amp;IF(COUNTIF(tbl_Finance[Job Number],$C463&amp;"")&gt;1,", Job number used twice",""),3,300)))</f>
        <v/>
      </c>
      <c r="Q463" s="10">
        <f>IF($C463="","",IF(H463="","(no cost centre)",H463&amp;" - GL "&amp;IFERROR(INDEX(lst_CCtoGL,MATCH(H463,lst_CCforGL,0)),"?")))</f>
        <v/>
      </c>
      <c r="R463" s="37" t="n"/>
      <c r="S463" s="10">
        <f>IF(R463="","",HYPERLINK(IF(LEFT(R463,4)="http",R463,set_QwilrBase&amp;R463),"Open quote"))</f>
        <v/>
      </c>
      <c r="T463" s="39" t="n"/>
      <c r="U463" s="39" t="n"/>
      <c r="V463" s="39" t="n"/>
      <c r="W463" s="10">
        <f>IF(C463="","",IF(N(T463)+N(U463)+N(V463)=0,"Not split",IF(ROUND(N(T463)+N(U463)+N(V463),2)=ROUND(MAX(N(L463),N(O463)),2),"OK","MISMATCH")))</f>
        <v/>
      </c>
      <c r="X463" s="39" t="n"/>
      <c r="Y463" s="39" t="n"/>
      <c r="Z463" s="39" t="n"/>
      <c r="AA463" s="11">
        <f>IF(C463="","",N(X463)+N(Y463)+N(Z463))</f>
        <v/>
      </c>
      <c r="AB463" s="11">
        <f>IF(C463="","",MAX(N(L463),N(O463))-N(AA463))</f>
        <v/>
      </c>
      <c r="AC463" s="43">
        <f>IFERROR(IF(MAX(N(L463),N(O463))=0,"",AB463/MAX(N(L463),N(O463))),"")</f>
        <v/>
      </c>
      <c r="AD463" s="37" t="n"/>
      <c r="AE463" s="10" t="inlineStr">
        <is>
          <t>CON-0459</t>
        </is>
      </c>
    </row>
    <row r="464">
      <c r="A464" s="16">
        <f>IF($C464="","",IFERROR(IF(INDEX(tbl_Finance[Latest Invoice Date],MATCH($AE464,tbl_Finance[Row ID],0))="","",INDEX(tbl_Finance[Latest Invoice Date],MATCH($AE464,tbl_Finance[Row ID],0))),""))</f>
        <v/>
      </c>
      <c r="B464" s="10">
        <f>IF($C464="","",IFERROR(INDEX(tbl_Finance[Invoice Numbers],MATCH($AE464,tbl_Finance[Row ID],0))&amp;"",""))</f>
        <v/>
      </c>
      <c r="C464" s="37" t="n"/>
      <c r="D464" s="10">
        <f>IF($C464="","",IF(COUNTIF(lst_Jobs,$C464&amp;"")&gt;0,"OK","CHECK"))</f>
        <v/>
      </c>
      <c r="E464" s="10">
        <f>IF($C464="","",IFERROR(INDEX(lst_JobName,MATCH($C464&amp;"",lst_Jobs,0)),""))</f>
        <v/>
      </c>
      <c r="F464" s="37" t="n"/>
      <c r="G464" s="37" t="n"/>
      <c r="H464" s="37" t="n"/>
      <c r="I464" s="37" t="n"/>
      <c r="J464" s="37" t="n"/>
      <c r="K464" s="38">
        <f>IF($C464="","",IFERROR(N(INDEX(tbl_Finance[Invoice Count],MATCH($AE464,tbl_Finance[Row ID],0))),""))</f>
        <v/>
      </c>
      <c r="L464" s="11">
        <f>IF($C464="","",IFERROR(N(INDEX(tbl_Finance[Xero Invoiced Ex GST],MATCH($AE464,tbl_Finance[Row ID],0))),""))</f>
        <v/>
      </c>
      <c r="M464" s="10">
        <f>IF($C464="","",IFERROR(INDEX(tbl_Finance[Compare],MATCH($AE464,tbl_Finance[Row ID],0))&amp;"",""))</f>
        <v/>
      </c>
      <c r="N464" s="11">
        <f>IF($C464="","",MAX(0,N(O464)-N(L464)))</f>
        <v/>
      </c>
      <c r="O464" s="39" t="n"/>
      <c r="P464" s="40">
        <f>IF($C464="","",IF((IF(F464="",", Client","")&amp;IF(G464="",", Description","")&amp;IF(H464="",", Cost Centre","")&amp;IF(I464="",", Invoice Type","")&amp;IF(J464="",", Tax Code","")&amp;IF(O464="",", Expected Revenue","")&amp;IF(COUNTIF(tbl_Finance[Job Number],$C464&amp;"")&gt;1,", Job number used twice",""))="","Complete","Fix: "&amp;MID(IF(F464="",", Client","")&amp;IF(G464="",", Description","")&amp;IF(H464="",", Cost Centre","")&amp;IF(I464="",", Invoice Type","")&amp;IF(J464="",", Tax Code","")&amp;IF(O464="",", Expected Revenue","")&amp;IF(COUNTIF(tbl_Finance[Job Number],$C464&amp;"")&gt;1,", Job number used twice",""),3,300)))</f>
        <v/>
      </c>
      <c r="Q464" s="10">
        <f>IF($C464="","",IF(H464="","(no cost centre)",H464&amp;" - GL "&amp;IFERROR(INDEX(lst_CCtoGL,MATCH(H464,lst_CCforGL,0)),"?")))</f>
        <v/>
      </c>
      <c r="R464" s="37" t="n"/>
      <c r="S464" s="10">
        <f>IF(R464="","",HYPERLINK(IF(LEFT(R464,4)="http",R464,set_QwilrBase&amp;R464),"Open quote"))</f>
        <v/>
      </c>
      <c r="T464" s="39" t="n"/>
      <c r="U464" s="39" t="n"/>
      <c r="V464" s="39" t="n"/>
      <c r="W464" s="10">
        <f>IF(C464="","",IF(N(T464)+N(U464)+N(V464)=0,"Not split",IF(ROUND(N(T464)+N(U464)+N(V464),2)=ROUND(MAX(N(L464),N(O464)),2),"OK","MISMATCH")))</f>
        <v/>
      </c>
      <c r="X464" s="39" t="n"/>
      <c r="Y464" s="39" t="n"/>
      <c r="Z464" s="39" t="n"/>
      <c r="AA464" s="11">
        <f>IF(C464="","",N(X464)+N(Y464)+N(Z464))</f>
        <v/>
      </c>
      <c r="AB464" s="11">
        <f>IF(C464="","",MAX(N(L464),N(O464))-N(AA464))</f>
        <v/>
      </c>
      <c r="AC464" s="43">
        <f>IFERROR(IF(MAX(N(L464),N(O464))=0,"",AB464/MAX(N(L464),N(O464))),"")</f>
        <v/>
      </c>
      <c r="AD464" s="37" t="n"/>
      <c r="AE464" s="10" t="inlineStr">
        <is>
          <t>CON-0460</t>
        </is>
      </c>
    </row>
    <row r="465">
      <c r="A465" s="16">
        <f>IF($C465="","",IFERROR(IF(INDEX(tbl_Finance[Latest Invoice Date],MATCH($AE465,tbl_Finance[Row ID],0))="","",INDEX(tbl_Finance[Latest Invoice Date],MATCH($AE465,tbl_Finance[Row ID],0))),""))</f>
        <v/>
      </c>
      <c r="B465" s="10">
        <f>IF($C465="","",IFERROR(INDEX(tbl_Finance[Invoice Numbers],MATCH($AE465,tbl_Finance[Row ID],0))&amp;"",""))</f>
        <v/>
      </c>
      <c r="C465" s="37" t="n"/>
      <c r="D465" s="10">
        <f>IF($C465="","",IF(COUNTIF(lst_Jobs,$C465&amp;"")&gt;0,"OK","CHECK"))</f>
        <v/>
      </c>
      <c r="E465" s="10">
        <f>IF($C465="","",IFERROR(INDEX(lst_JobName,MATCH($C465&amp;"",lst_Jobs,0)),""))</f>
        <v/>
      </c>
      <c r="F465" s="37" t="n"/>
      <c r="G465" s="37" t="n"/>
      <c r="H465" s="37" t="n"/>
      <c r="I465" s="37" t="n"/>
      <c r="J465" s="37" t="n"/>
      <c r="K465" s="38">
        <f>IF($C465="","",IFERROR(N(INDEX(tbl_Finance[Invoice Count],MATCH($AE465,tbl_Finance[Row ID],0))),""))</f>
        <v/>
      </c>
      <c r="L465" s="11">
        <f>IF($C465="","",IFERROR(N(INDEX(tbl_Finance[Xero Invoiced Ex GST],MATCH($AE465,tbl_Finance[Row ID],0))),""))</f>
        <v/>
      </c>
      <c r="M465" s="10">
        <f>IF($C465="","",IFERROR(INDEX(tbl_Finance[Compare],MATCH($AE465,tbl_Finance[Row ID],0))&amp;"",""))</f>
        <v/>
      </c>
      <c r="N465" s="11">
        <f>IF($C465="","",MAX(0,N(O465)-N(L465)))</f>
        <v/>
      </c>
      <c r="O465" s="39" t="n"/>
      <c r="P465" s="40">
        <f>IF($C465="","",IF((IF(F465="",", Client","")&amp;IF(G465="",", Description","")&amp;IF(H465="",", Cost Centre","")&amp;IF(I465="",", Invoice Type","")&amp;IF(J465="",", Tax Code","")&amp;IF(O465="",", Expected Revenue","")&amp;IF(COUNTIF(tbl_Finance[Job Number],$C465&amp;"")&gt;1,", Job number used twice",""))="","Complete","Fix: "&amp;MID(IF(F465="",", Client","")&amp;IF(G465="",", Description","")&amp;IF(H465="",", Cost Centre","")&amp;IF(I465="",", Invoice Type","")&amp;IF(J465="",", Tax Code","")&amp;IF(O465="",", Expected Revenue","")&amp;IF(COUNTIF(tbl_Finance[Job Number],$C465&amp;"")&gt;1,", Job number used twice",""),3,300)))</f>
        <v/>
      </c>
      <c r="Q465" s="10">
        <f>IF($C465="","",IF(H465="","(no cost centre)",H465&amp;" - GL "&amp;IFERROR(INDEX(lst_CCtoGL,MATCH(H465,lst_CCforGL,0)),"?")))</f>
        <v/>
      </c>
      <c r="R465" s="37" t="n"/>
      <c r="S465" s="10">
        <f>IF(R465="","",HYPERLINK(IF(LEFT(R465,4)="http",R465,set_QwilrBase&amp;R465),"Open quote"))</f>
        <v/>
      </c>
      <c r="T465" s="39" t="n"/>
      <c r="U465" s="39" t="n"/>
      <c r="V465" s="39" t="n"/>
      <c r="W465" s="10">
        <f>IF(C465="","",IF(N(T465)+N(U465)+N(V465)=0,"Not split",IF(ROUND(N(T465)+N(U465)+N(V465),2)=ROUND(MAX(N(L465),N(O465)),2),"OK","MISMATCH")))</f>
        <v/>
      </c>
      <c r="X465" s="39" t="n"/>
      <c r="Y465" s="39" t="n"/>
      <c r="Z465" s="39" t="n"/>
      <c r="AA465" s="11">
        <f>IF(C465="","",N(X465)+N(Y465)+N(Z465))</f>
        <v/>
      </c>
      <c r="AB465" s="11">
        <f>IF(C465="","",MAX(N(L465),N(O465))-N(AA465))</f>
        <v/>
      </c>
      <c r="AC465" s="43">
        <f>IFERROR(IF(MAX(N(L465),N(O465))=0,"",AB465/MAX(N(L465),N(O465))),"")</f>
        <v/>
      </c>
      <c r="AD465" s="37" t="n"/>
      <c r="AE465" s="10" t="inlineStr">
        <is>
          <t>CON-0461</t>
        </is>
      </c>
    </row>
    <row r="466">
      <c r="A466" s="16">
        <f>IF($C466="","",IFERROR(IF(INDEX(tbl_Finance[Latest Invoice Date],MATCH($AE466,tbl_Finance[Row ID],0))="","",INDEX(tbl_Finance[Latest Invoice Date],MATCH($AE466,tbl_Finance[Row ID],0))),""))</f>
        <v/>
      </c>
      <c r="B466" s="10">
        <f>IF($C466="","",IFERROR(INDEX(tbl_Finance[Invoice Numbers],MATCH($AE466,tbl_Finance[Row ID],0))&amp;"",""))</f>
        <v/>
      </c>
      <c r="C466" s="37" t="n"/>
      <c r="D466" s="10">
        <f>IF($C466="","",IF(COUNTIF(lst_Jobs,$C466&amp;"")&gt;0,"OK","CHECK"))</f>
        <v/>
      </c>
      <c r="E466" s="10">
        <f>IF($C466="","",IFERROR(INDEX(lst_JobName,MATCH($C466&amp;"",lst_Jobs,0)),""))</f>
        <v/>
      </c>
      <c r="F466" s="37" t="n"/>
      <c r="G466" s="37" t="n"/>
      <c r="H466" s="37" t="n"/>
      <c r="I466" s="37" t="n"/>
      <c r="J466" s="37" t="n"/>
      <c r="K466" s="38">
        <f>IF($C466="","",IFERROR(N(INDEX(tbl_Finance[Invoice Count],MATCH($AE466,tbl_Finance[Row ID],0))),""))</f>
        <v/>
      </c>
      <c r="L466" s="11">
        <f>IF($C466="","",IFERROR(N(INDEX(tbl_Finance[Xero Invoiced Ex GST],MATCH($AE466,tbl_Finance[Row ID],0))),""))</f>
        <v/>
      </c>
      <c r="M466" s="10">
        <f>IF($C466="","",IFERROR(INDEX(tbl_Finance[Compare],MATCH($AE466,tbl_Finance[Row ID],0))&amp;"",""))</f>
        <v/>
      </c>
      <c r="N466" s="11">
        <f>IF($C466="","",MAX(0,N(O466)-N(L466)))</f>
        <v/>
      </c>
      <c r="O466" s="39" t="n"/>
      <c r="P466" s="40">
        <f>IF($C466="","",IF((IF(F466="",", Client","")&amp;IF(G466="",", Description","")&amp;IF(H466="",", Cost Centre","")&amp;IF(I466="",", Invoice Type","")&amp;IF(J466="",", Tax Code","")&amp;IF(O466="",", Expected Revenue","")&amp;IF(COUNTIF(tbl_Finance[Job Number],$C466&amp;"")&gt;1,", Job number used twice",""))="","Complete","Fix: "&amp;MID(IF(F466="",", Client","")&amp;IF(G466="",", Description","")&amp;IF(H466="",", Cost Centre","")&amp;IF(I466="",", Invoice Type","")&amp;IF(J466="",", Tax Code","")&amp;IF(O466="",", Expected Revenue","")&amp;IF(COUNTIF(tbl_Finance[Job Number],$C466&amp;"")&gt;1,", Job number used twice",""),3,300)))</f>
        <v/>
      </c>
      <c r="Q466" s="10">
        <f>IF($C466="","",IF(H466="","(no cost centre)",H466&amp;" - GL "&amp;IFERROR(INDEX(lst_CCtoGL,MATCH(H466,lst_CCforGL,0)),"?")))</f>
        <v/>
      </c>
      <c r="R466" s="37" t="n"/>
      <c r="S466" s="10">
        <f>IF(R466="","",HYPERLINK(IF(LEFT(R466,4)="http",R466,set_QwilrBase&amp;R466),"Open quote"))</f>
        <v/>
      </c>
      <c r="T466" s="39" t="n"/>
      <c r="U466" s="39" t="n"/>
      <c r="V466" s="39" t="n"/>
      <c r="W466" s="10">
        <f>IF(C466="","",IF(N(T466)+N(U466)+N(V466)=0,"Not split",IF(ROUND(N(T466)+N(U466)+N(V466),2)=ROUND(MAX(N(L466),N(O466)),2),"OK","MISMATCH")))</f>
        <v/>
      </c>
      <c r="X466" s="39" t="n"/>
      <c r="Y466" s="39" t="n"/>
      <c r="Z466" s="39" t="n"/>
      <c r="AA466" s="11">
        <f>IF(C466="","",N(X466)+N(Y466)+N(Z466))</f>
        <v/>
      </c>
      <c r="AB466" s="11">
        <f>IF(C466="","",MAX(N(L466),N(O466))-N(AA466))</f>
        <v/>
      </c>
      <c r="AC466" s="43">
        <f>IFERROR(IF(MAX(N(L466),N(O466))=0,"",AB466/MAX(N(L466),N(O466))),"")</f>
        <v/>
      </c>
      <c r="AD466" s="37" t="n"/>
      <c r="AE466" s="10" t="inlineStr">
        <is>
          <t>CON-0462</t>
        </is>
      </c>
    </row>
    <row r="467">
      <c r="A467" s="16">
        <f>IF($C467="","",IFERROR(IF(INDEX(tbl_Finance[Latest Invoice Date],MATCH($AE467,tbl_Finance[Row ID],0))="","",INDEX(tbl_Finance[Latest Invoice Date],MATCH($AE467,tbl_Finance[Row ID],0))),""))</f>
        <v/>
      </c>
      <c r="B467" s="10">
        <f>IF($C467="","",IFERROR(INDEX(tbl_Finance[Invoice Numbers],MATCH($AE467,tbl_Finance[Row ID],0))&amp;"",""))</f>
        <v/>
      </c>
      <c r="C467" s="37" t="n"/>
      <c r="D467" s="10">
        <f>IF($C467="","",IF(COUNTIF(lst_Jobs,$C467&amp;"")&gt;0,"OK","CHECK"))</f>
        <v/>
      </c>
      <c r="E467" s="10">
        <f>IF($C467="","",IFERROR(INDEX(lst_JobName,MATCH($C467&amp;"",lst_Jobs,0)),""))</f>
        <v/>
      </c>
      <c r="F467" s="37" t="n"/>
      <c r="G467" s="37" t="n"/>
      <c r="H467" s="37" t="n"/>
      <c r="I467" s="37" t="n"/>
      <c r="J467" s="37" t="n"/>
      <c r="K467" s="38">
        <f>IF($C467="","",IFERROR(N(INDEX(tbl_Finance[Invoice Count],MATCH($AE467,tbl_Finance[Row ID],0))),""))</f>
        <v/>
      </c>
      <c r="L467" s="11">
        <f>IF($C467="","",IFERROR(N(INDEX(tbl_Finance[Xero Invoiced Ex GST],MATCH($AE467,tbl_Finance[Row ID],0))),""))</f>
        <v/>
      </c>
      <c r="M467" s="10">
        <f>IF($C467="","",IFERROR(INDEX(tbl_Finance[Compare],MATCH($AE467,tbl_Finance[Row ID],0))&amp;"",""))</f>
        <v/>
      </c>
      <c r="N467" s="11">
        <f>IF($C467="","",MAX(0,N(O467)-N(L467)))</f>
        <v/>
      </c>
      <c r="O467" s="39" t="n"/>
      <c r="P467" s="40">
        <f>IF($C467="","",IF((IF(F467="",", Client","")&amp;IF(G467="",", Description","")&amp;IF(H467="",", Cost Centre","")&amp;IF(I467="",", Invoice Type","")&amp;IF(J467="",", Tax Code","")&amp;IF(O467="",", Expected Revenue","")&amp;IF(COUNTIF(tbl_Finance[Job Number],$C467&amp;"")&gt;1,", Job number used twice",""))="","Complete","Fix: "&amp;MID(IF(F467="",", Client","")&amp;IF(G467="",", Description","")&amp;IF(H467="",", Cost Centre","")&amp;IF(I467="",", Invoice Type","")&amp;IF(J467="",", Tax Code","")&amp;IF(O467="",", Expected Revenue","")&amp;IF(COUNTIF(tbl_Finance[Job Number],$C467&amp;"")&gt;1,", Job number used twice",""),3,300)))</f>
        <v/>
      </c>
      <c r="Q467" s="10">
        <f>IF($C467="","",IF(H467="","(no cost centre)",H467&amp;" - GL "&amp;IFERROR(INDEX(lst_CCtoGL,MATCH(H467,lst_CCforGL,0)),"?")))</f>
        <v/>
      </c>
      <c r="R467" s="37" t="n"/>
      <c r="S467" s="10">
        <f>IF(R467="","",HYPERLINK(IF(LEFT(R467,4)="http",R467,set_QwilrBase&amp;R467),"Open quote"))</f>
        <v/>
      </c>
      <c r="T467" s="39" t="n"/>
      <c r="U467" s="39" t="n"/>
      <c r="V467" s="39" t="n"/>
      <c r="W467" s="10">
        <f>IF(C467="","",IF(N(T467)+N(U467)+N(V467)=0,"Not split",IF(ROUND(N(T467)+N(U467)+N(V467),2)=ROUND(MAX(N(L467),N(O467)),2),"OK","MISMATCH")))</f>
        <v/>
      </c>
      <c r="X467" s="39" t="n"/>
      <c r="Y467" s="39" t="n"/>
      <c r="Z467" s="39" t="n"/>
      <c r="AA467" s="11">
        <f>IF(C467="","",N(X467)+N(Y467)+N(Z467))</f>
        <v/>
      </c>
      <c r="AB467" s="11">
        <f>IF(C467="","",MAX(N(L467),N(O467))-N(AA467))</f>
        <v/>
      </c>
      <c r="AC467" s="43">
        <f>IFERROR(IF(MAX(N(L467),N(O467))=0,"",AB467/MAX(N(L467),N(O467))),"")</f>
        <v/>
      </c>
      <c r="AD467" s="37" t="n"/>
      <c r="AE467" s="10" t="inlineStr">
        <is>
          <t>CON-0463</t>
        </is>
      </c>
    </row>
    <row r="468">
      <c r="A468" s="16">
        <f>IF($C468="","",IFERROR(IF(INDEX(tbl_Finance[Latest Invoice Date],MATCH($AE468,tbl_Finance[Row ID],0))="","",INDEX(tbl_Finance[Latest Invoice Date],MATCH($AE468,tbl_Finance[Row ID],0))),""))</f>
        <v/>
      </c>
      <c r="B468" s="10">
        <f>IF($C468="","",IFERROR(INDEX(tbl_Finance[Invoice Numbers],MATCH($AE468,tbl_Finance[Row ID],0))&amp;"",""))</f>
        <v/>
      </c>
      <c r="C468" s="37" t="n"/>
      <c r="D468" s="10">
        <f>IF($C468="","",IF(COUNTIF(lst_Jobs,$C468&amp;"")&gt;0,"OK","CHECK"))</f>
        <v/>
      </c>
      <c r="E468" s="10">
        <f>IF($C468="","",IFERROR(INDEX(lst_JobName,MATCH($C468&amp;"",lst_Jobs,0)),""))</f>
        <v/>
      </c>
      <c r="F468" s="37" t="n"/>
      <c r="G468" s="37" t="n"/>
      <c r="H468" s="37" t="n"/>
      <c r="I468" s="37" t="n"/>
      <c r="J468" s="37" t="n"/>
      <c r="K468" s="38">
        <f>IF($C468="","",IFERROR(N(INDEX(tbl_Finance[Invoice Count],MATCH($AE468,tbl_Finance[Row ID],0))),""))</f>
        <v/>
      </c>
      <c r="L468" s="11">
        <f>IF($C468="","",IFERROR(N(INDEX(tbl_Finance[Xero Invoiced Ex GST],MATCH($AE468,tbl_Finance[Row ID],0))),""))</f>
        <v/>
      </c>
      <c r="M468" s="10">
        <f>IF($C468="","",IFERROR(INDEX(tbl_Finance[Compare],MATCH($AE468,tbl_Finance[Row ID],0))&amp;"",""))</f>
        <v/>
      </c>
      <c r="N468" s="11">
        <f>IF($C468="","",MAX(0,N(O468)-N(L468)))</f>
        <v/>
      </c>
      <c r="O468" s="39" t="n"/>
      <c r="P468" s="40">
        <f>IF($C468="","",IF((IF(F468="",", Client","")&amp;IF(G468="",", Description","")&amp;IF(H468="",", Cost Centre","")&amp;IF(I468="",", Invoice Type","")&amp;IF(J468="",", Tax Code","")&amp;IF(O468="",", Expected Revenue","")&amp;IF(COUNTIF(tbl_Finance[Job Number],$C468&amp;"")&gt;1,", Job number used twice",""))="","Complete","Fix: "&amp;MID(IF(F468="",", Client","")&amp;IF(G468="",", Description","")&amp;IF(H468="",", Cost Centre","")&amp;IF(I468="",", Invoice Type","")&amp;IF(J468="",", Tax Code","")&amp;IF(O468="",", Expected Revenue","")&amp;IF(COUNTIF(tbl_Finance[Job Number],$C468&amp;"")&gt;1,", Job number used twice",""),3,300)))</f>
        <v/>
      </c>
      <c r="Q468" s="10">
        <f>IF($C468="","",IF(H468="","(no cost centre)",H468&amp;" - GL "&amp;IFERROR(INDEX(lst_CCtoGL,MATCH(H468,lst_CCforGL,0)),"?")))</f>
        <v/>
      </c>
      <c r="R468" s="37" t="n"/>
      <c r="S468" s="10">
        <f>IF(R468="","",HYPERLINK(IF(LEFT(R468,4)="http",R468,set_QwilrBase&amp;R468),"Open quote"))</f>
        <v/>
      </c>
      <c r="T468" s="39" t="n"/>
      <c r="U468" s="39" t="n"/>
      <c r="V468" s="39" t="n"/>
      <c r="W468" s="10">
        <f>IF(C468="","",IF(N(T468)+N(U468)+N(V468)=0,"Not split",IF(ROUND(N(T468)+N(U468)+N(V468),2)=ROUND(MAX(N(L468),N(O468)),2),"OK","MISMATCH")))</f>
        <v/>
      </c>
      <c r="X468" s="39" t="n"/>
      <c r="Y468" s="39" t="n"/>
      <c r="Z468" s="39" t="n"/>
      <c r="AA468" s="11">
        <f>IF(C468="","",N(X468)+N(Y468)+N(Z468))</f>
        <v/>
      </c>
      <c r="AB468" s="11">
        <f>IF(C468="","",MAX(N(L468),N(O468))-N(AA468))</f>
        <v/>
      </c>
      <c r="AC468" s="43">
        <f>IFERROR(IF(MAX(N(L468),N(O468))=0,"",AB468/MAX(N(L468),N(O468))),"")</f>
        <v/>
      </c>
      <c r="AD468" s="37" t="n"/>
      <c r="AE468" s="10" t="inlineStr">
        <is>
          <t>CON-0464</t>
        </is>
      </c>
    </row>
    <row r="469">
      <c r="A469" s="16">
        <f>IF($C469="","",IFERROR(IF(INDEX(tbl_Finance[Latest Invoice Date],MATCH($AE469,tbl_Finance[Row ID],0))="","",INDEX(tbl_Finance[Latest Invoice Date],MATCH($AE469,tbl_Finance[Row ID],0))),""))</f>
        <v/>
      </c>
      <c r="B469" s="10">
        <f>IF($C469="","",IFERROR(INDEX(tbl_Finance[Invoice Numbers],MATCH($AE469,tbl_Finance[Row ID],0))&amp;"",""))</f>
        <v/>
      </c>
      <c r="C469" s="37" t="n"/>
      <c r="D469" s="10">
        <f>IF($C469="","",IF(COUNTIF(lst_Jobs,$C469&amp;"")&gt;0,"OK","CHECK"))</f>
        <v/>
      </c>
      <c r="E469" s="10">
        <f>IF($C469="","",IFERROR(INDEX(lst_JobName,MATCH($C469&amp;"",lst_Jobs,0)),""))</f>
        <v/>
      </c>
      <c r="F469" s="37" t="n"/>
      <c r="G469" s="37" t="n"/>
      <c r="H469" s="37" t="n"/>
      <c r="I469" s="37" t="n"/>
      <c r="J469" s="37" t="n"/>
      <c r="K469" s="38">
        <f>IF($C469="","",IFERROR(N(INDEX(tbl_Finance[Invoice Count],MATCH($AE469,tbl_Finance[Row ID],0))),""))</f>
        <v/>
      </c>
      <c r="L469" s="11">
        <f>IF($C469="","",IFERROR(N(INDEX(tbl_Finance[Xero Invoiced Ex GST],MATCH($AE469,tbl_Finance[Row ID],0))),""))</f>
        <v/>
      </c>
      <c r="M469" s="10">
        <f>IF($C469="","",IFERROR(INDEX(tbl_Finance[Compare],MATCH($AE469,tbl_Finance[Row ID],0))&amp;"",""))</f>
        <v/>
      </c>
      <c r="N469" s="11">
        <f>IF($C469="","",MAX(0,N(O469)-N(L469)))</f>
        <v/>
      </c>
      <c r="O469" s="39" t="n"/>
      <c r="P469" s="40">
        <f>IF($C469="","",IF((IF(F469="",", Client","")&amp;IF(G469="",", Description","")&amp;IF(H469="",", Cost Centre","")&amp;IF(I469="",", Invoice Type","")&amp;IF(J469="",", Tax Code","")&amp;IF(O469="",", Expected Revenue","")&amp;IF(COUNTIF(tbl_Finance[Job Number],$C469&amp;"")&gt;1,", Job number used twice",""))="","Complete","Fix: "&amp;MID(IF(F469="",", Client","")&amp;IF(G469="",", Description","")&amp;IF(H469="",", Cost Centre","")&amp;IF(I469="",", Invoice Type","")&amp;IF(J469="",", Tax Code","")&amp;IF(O469="",", Expected Revenue","")&amp;IF(COUNTIF(tbl_Finance[Job Number],$C469&amp;"")&gt;1,", Job number used twice",""),3,300)))</f>
        <v/>
      </c>
      <c r="Q469" s="10">
        <f>IF($C469="","",IF(H469="","(no cost centre)",H469&amp;" - GL "&amp;IFERROR(INDEX(lst_CCtoGL,MATCH(H469,lst_CCforGL,0)),"?")))</f>
        <v/>
      </c>
      <c r="R469" s="37" t="n"/>
      <c r="S469" s="10">
        <f>IF(R469="","",HYPERLINK(IF(LEFT(R469,4)="http",R469,set_QwilrBase&amp;R469),"Open quote"))</f>
        <v/>
      </c>
      <c r="T469" s="39" t="n"/>
      <c r="U469" s="39" t="n"/>
      <c r="V469" s="39" t="n"/>
      <c r="W469" s="10">
        <f>IF(C469="","",IF(N(T469)+N(U469)+N(V469)=0,"Not split",IF(ROUND(N(T469)+N(U469)+N(V469),2)=ROUND(MAX(N(L469),N(O469)),2),"OK","MISMATCH")))</f>
        <v/>
      </c>
      <c r="X469" s="39" t="n"/>
      <c r="Y469" s="39" t="n"/>
      <c r="Z469" s="39" t="n"/>
      <c r="AA469" s="11">
        <f>IF(C469="","",N(X469)+N(Y469)+N(Z469))</f>
        <v/>
      </c>
      <c r="AB469" s="11">
        <f>IF(C469="","",MAX(N(L469),N(O469))-N(AA469))</f>
        <v/>
      </c>
      <c r="AC469" s="43">
        <f>IFERROR(IF(MAX(N(L469),N(O469))=0,"",AB469/MAX(N(L469),N(O469))),"")</f>
        <v/>
      </c>
      <c r="AD469" s="37" t="n"/>
      <c r="AE469" s="10" t="inlineStr">
        <is>
          <t>CON-0465</t>
        </is>
      </c>
    </row>
    <row r="470">
      <c r="A470" s="16">
        <f>IF($C470="","",IFERROR(IF(INDEX(tbl_Finance[Latest Invoice Date],MATCH($AE470,tbl_Finance[Row ID],0))="","",INDEX(tbl_Finance[Latest Invoice Date],MATCH($AE470,tbl_Finance[Row ID],0))),""))</f>
        <v/>
      </c>
      <c r="B470" s="10">
        <f>IF($C470="","",IFERROR(INDEX(tbl_Finance[Invoice Numbers],MATCH($AE470,tbl_Finance[Row ID],0))&amp;"",""))</f>
        <v/>
      </c>
      <c r="C470" s="37" t="n"/>
      <c r="D470" s="10">
        <f>IF($C470="","",IF(COUNTIF(lst_Jobs,$C470&amp;"")&gt;0,"OK","CHECK"))</f>
        <v/>
      </c>
      <c r="E470" s="10">
        <f>IF($C470="","",IFERROR(INDEX(lst_JobName,MATCH($C470&amp;"",lst_Jobs,0)),""))</f>
        <v/>
      </c>
      <c r="F470" s="37" t="n"/>
      <c r="G470" s="37" t="n"/>
      <c r="H470" s="37" t="n"/>
      <c r="I470" s="37" t="n"/>
      <c r="J470" s="37" t="n"/>
      <c r="K470" s="38">
        <f>IF($C470="","",IFERROR(N(INDEX(tbl_Finance[Invoice Count],MATCH($AE470,tbl_Finance[Row ID],0))),""))</f>
        <v/>
      </c>
      <c r="L470" s="11">
        <f>IF($C470="","",IFERROR(N(INDEX(tbl_Finance[Xero Invoiced Ex GST],MATCH($AE470,tbl_Finance[Row ID],0))),""))</f>
        <v/>
      </c>
      <c r="M470" s="10">
        <f>IF($C470="","",IFERROR(INDEX(tbl_Finance[Compare],MATCH($AE470,tbl_Finance[Row ID],0))&amp;"",""))</f>
        <v/>
      </c>
      <c r="N470" s="11">
        <f>IF($C470="","",MAX(0,N(O470)-N(L470)))</f>
        <v/>
      </c>
      <c r="O470" s="39" t="n"/>
      <c r="P470" s="40">
        <f>IF($C470="","",IF((IF(F470="",", Client","")&amp;IF(G470="",", Description","")&amp;IF(H470="",", Cost Centre","")&amp;IF(I470="",", Invoice Type","")&amp;IF(J470="",", Tax Code","")&amp;IF(O470="",", Expected Revenue","")&amp;IF(COUNTIF(tbl_Finance[Job Number],$C470&amp;"")&gt;1,", Job number used twice",""))="","Complete","Fix: "&amp;MID(IF(F470="",", Client","")&amp;IF(G470="",", Description","")&amp;IF(H470="",", Cost Centre","")&amp;IF(I470="",", Invoice Type","")&amp;IF(J470="",", Tax Code","")&amp;IF(O470="",", Expected Revenue","")&amp;IF(COUNTIF(tbl_Finance[Job Number],$C470&amp;"")&gt;1,", Job number used twice",""),3,300)))</f>
        <v/>
      </c>
      <c r="Q470" s="10">
        <f>IF($C470="","",IF(H470="","(no cost centre)",H470&amp;" - GL "&amp;IFERROR(INDEX(lst_CCtoGL,MATCH(H470,lst_CCforGL,0)),"?")))</f>
        <v/>
      </c>
      <c r="R470" s="37" t="n"/>
      <c r="S470" s="10">
        <f>IF(R470="","",HYPERLINK(IF(LEFT(R470,4)="http",R470,set_QwilrBase&amp;R470),"Open quote"))</f>
        <v/>
      </c>
      <c r="T470" s="39" t="n"/>
      <c r="U470" s="39" t="n"/>
      <c r="V470" s="39" t="n"/>
      <c r="W470" s="10">
        <f>IF(C470="","",IF(N(T470)+N(U470)+N(V470)=0,"Not split",IF(ROUND(N(T470)+N(U470)+N(V470),2)=ROUND(MAX(N(L470),N(O470)),2),"OK","MISMATCH")))</f>
        <v/>
      </c>
      <c r="X470" s="39" t="n"/>
      <c r="Y470" s="39" t="n"/>
      <c r="Z470" s="39" t="n"/>
      <c r="AA470" s="11">
        <f>IF(C470="","",N(X470)+N(Y470)+N(Z470))</f>
        <v/>
      </c>
      <c r="AB470" s="11">
        <f>IF(C470="","",MAX(N(L470),N(O470))-N(AA470))</f>
        <v/>
      </c>
      <c r="AC470" s="43">
        <f>IFERROR(IF(MAX(N(L470),N(O470))=0,"",AB470/MAX(N(L470),N(O470))),"")</f>
        <v/>
      </c>
      <c r="AD470" s="37" t="n"/>
      <c r="AE470" s="10" t="inlineStr">
        <is>
          <t>CON-0466</t>
        </is>
      </c>
    </row>
    <row r="471">
      <c r="A471" s="16">
        <f>IF($C471="","",IFERROR(IF(INDEX(tbl_Finance[Latest Invoice Date],MATCH($AE471,tbl_Finance[Row ID],0))="","",INDEX(tbl_Finance[Latest Invoice Date],MATCH($AE471,tbl_Finance[Row ID],0))),""))</f>
        <v/>
      </c>
      <c r="B471" s="10">
        <f>IF($C471="","",IFERROR(INDEX(tbl_Finance[Invoice Numbers],MATCH($AE471,tbl_Finance[Row ID],0))&amp;"",""))</f>
        <v/>
      </c>
      <c r="C471" s="37" t="n"/>
      <c r="D471" s="10">
        <f>IF($C471="","",IF(COUNTIF(lst_Jobs,$C471&amp;"")&gt;0,"OK","CHECK"))</f>
        <v/>
      </c>
      <c r="E471" s="10">
        <f>IF($C471="","",IFERROR(INDEX(lst_JobName,MATCH($C471&amp;"",lst_Jobs,0)),""))</f>
        <v/>
      </c>
      <c r="F471" s="37" t="n"/>
      <c r="G471" s="37" t="n"/>
      <c r="H471" s="37" t="n"/>
      <c r="I471" s="37" t="n"/>
      <c r="J471" s="37" t="n"/>
      <c r="K471" s="38">
        <f>IF($C471="","",IFERROR(N(INDEX(tbl_Finance[Invoice Count],MATCH($AE471,tbl_Finance[Row ID],0))),""))</f>
        <v/>
      </c>
      <c r="L471" s="11">
        <f>IF($C471="","",IFERROR(N(INDEX(tbl_Finance[Xero Invoiced Ex GST],MATCH($AE471,tbl_Finance[Row ID],0))),""))</f>
        <v/>
      </c>
      <c r="M471" s="10">
        <f>IF($C471="","",IFERROR(INDEX(tbl_Finance[Compare],MATCH($AE471,tbl_Finance[Row ID],0))&amp;"",""))</f>
        <v/>
      </c>
      <c r="N471" s="11">
        <f>IF($C471="","",MAX(0,N(O471)-N(L471)))</f>
        <v/>
      </c>
      <c r="O471" s="39" t="n"/>
      <c r="P471" s="40">
        <f>IF($C471="","",IF((IF(F471="",", Client","")&amp;IF(G471="",", Description","")&amp;IF(H471="",", Cost Centre","")&amp;IF(I471="",", Invoice Type","")&amp;IF(J471="",", Tax Code","")&amp;IF(O471="",", Expected Revenue","")&amp;IF(COUNTIF(tbl_Finance[Job Number],$C471&amp;"")&gt;1,", Job number used twice",""))="","Complete","Fix: "&amp;MID(IF(F471="",", Client","")&amp;IF(G471="",", Description","")&amp;IF(H471="",", Cost Centre","")&amp;IF(I471="",", Invoice Type","")&amp;IF(J471="",", Tax Code","")&amp;IF(O471="",", Expected Revenue","")&amp;IF(COUNTIF(tbl_Finance[Job Number],$C471&amp;"")&gt;1,", Job number used twice",""),3,300)))</f>
        <v/>
      </c>
      <c r="Q471" s="10">
        <f>IF($C471="","",IF(H471="","(no cost centre)",H471&amp;" - GL "&amp;IFERROR(INDEX(lst_CCtoGL,MATCH(H471,lst_CCforGL,0)),"?")))</f>
        <v/>
      </c>
      <c r="R471" s="37" t="n"/>
      <c r="S471" s="10">
        <f>IF(R471="","",HYPERLINK(IF(LEFT(R471,4)="http",R471,set_QwilrBase&amp;R471),"Open quote"))</f>
        <v/>
      </c>
      <c r="T471" s="39" t="n"/>
      <c r="U471" s="39" t="n"/>
      <c r="V471" s="39" t="n"/>
      <c r="W471" s="10">
        <f>IF(C471="","",IF(N(T471)+N(U471)+N(V471)=0,"Not split",IF(ROUND(N(T471)+N(U471)+N(V471),2)=ROUND(MAX(N(L471),N(O471)),2),"OK","MISMATCH")))</f>
        <v/>
      </c>
      <c r="X471" s="39" t="n"/>
      <c r="Y471" s="39" t="n"/>
      <c r="Z471" s="39" t="n"/>
      <c r="AA471" s="11">
        <f>IF(C471="","",N(X471)+N(Y471)+N(Z471))</f>
        <v/>
      </c>
      <c r="AB471" s="11">
        <f>IF(C471="","",MAX(N(L471),N(O471))-N(AA471))</f>
        <v/>
      </c>
      <c r="AC471" s="43">
        <f>IFERROR(IF(MAX(N(L471),N(O471))=0,"",AB471/MAX(N(L471),N(O471))),"")</f>
        <v/>
      </c>
      <c r="AD471" s="37" t="n"/>
      <c r="AE471" s="10" t="inlineStr">
        <is>
          <t>CON-0467</t>
        </is>
      </c>
    </row>
    <row r="472">
      <c r="A472" s="16">
        <f>IF($C472="","",IFERROR(IF(INDEX(tbl_Finance[Latest Invoice Date],MATCH($AE472,tbl_Finance[Row ID],0))="","",INDEX(tbl_Finance[Latest Invoice Date],MATCH($AE472,tbl_Finance[Row ID],0))),""))</f>
        <v/>
      </c>
      <c r="B472" s="10">
        <f>IF($C472="","",IFERROR(INDEX(tbl_Finance[Invoice Numbers],MATCH($AE472,tbl_Finance[Row ID],0))&amp;"",""))</f>
        <v/>
      </c>
      <c r="C472" s="37" t="n"/>
      <c r="D472" s="10">
        <f>IF($C472="","",IF(COUNTIF(lst_Jobs,$C472&amp;"")&gt;0,"OK","CHECK"))</f>
        <v/>
      </c>
      <c r="E472" s="10">
        <f>IF($C472="","",IFERROR(INDEX(lst_JobName,MATCH($C472&amp;"",lst_Jobs,0)),""))</f>
        <v/>
      </c>
      <c r="F472" s="37" t="n"/>
      <c r="G472" s="37" t="n"/>
      <c r="H472" s="37" t="n"/>
      <c r="I472" s="37" t="n"/>
      <c r="J472" s="37" t="n"/>
      <c r="K472" s="38">
        <f>IF($C472="","",IFERROR(N(INDEX(tbl_Finance[Invoice Count],MATCH($AE472,tbl_Finance[Row ID],0))),""))</f>
        <v/>
      </c>
      <c r="L472" s="11">
        <f>IF($C472="","",IFERROR(N(INDEX(tbl_Finance[Xero Invoiced Ex GST],MATCH($AE472,tbl_Finance[Row ID],0))),""))</f>
        <v/>
      </c>
      <c r="M472" s="10">
        <f>IF($C472="","",IFERROR(INDEX(tbl_Finance[Compare],MATCH($AE472,tbl_Finance[Row ID],0))&amp;"",""))</f>
        <v/>
      </c>
      <c r="N472" s="11">
        <f>IF($C472="","",MAX(0,N(O472)-N(L472)))</f>
        <v/>
      </c>
      <c r="O472" s="39" t="n"/>
      <c r="P472" s="40">
        <f>IF($C472="","",IF((IF(F472="",", Client","")&amp;IF(G472="",", Description","")&amp;IF(H472="",", Cost Centre","")&amp;IF(I472="",", Invoice Type","")&amp;IF(J472="",", Tax Code","")&amp;IF(O472="",", Expected Revenue","")&amp;IF(COUNTIF(tbl_Finance[Job Number],$C472&amp;"")&gt;1,", Job number used twice",""))="","Complete","Fix: "&amp;MID(IF(F472="",", Client","")&amp;IF(G472="",", Description","")&amp;IF(H472="",", Cost Centre","")&amp;IF(I472="",", Invoice Type","")&amp;IF(J472="",", Tax Code","")&amp;IF(O472="",", Expected Revenue","")&amp;IF(COUNTIF(tbl_Finance[Job Number],$C472&amp;"")&gt;1,", Job number used twice",""),3,300)))</f>
        <v/>
      </c>
      <c r="Q472" s="10">
        <f>IF($C472="","",IF(H472="","(no cost centre)",H472&amp;" - GL "&amp;IFERROR(INDEX(lst_CCtoGL,MATCH(H472,lst_CCforGL,0)),"?")))</f>
        <v/>
      </c>
      <c r="R472" s="37" t="n"/>
      <c r="S472" s="10">
        <f>IF(R472="","",HYPERLINK(IF(LEFT(R472,4)="http",R472,set_QwilrBase&amp;R472),"Open quote"))</f>
        <v/>
      </c>
      <c r="T472" s="39" t="n"/>
      <c r="U472" s="39" t="n"/>
      <c r="V472" s="39" t="n"/>
      <c r="W472" s="10">
        <f>IF(C472="","",IF(N(T472)+N(U472)+N(V472)=0,"Not split",IF(ROUND(N(T472)+N(U472)+N(V472),2)=ROUND(MAX(N(L472),N(O472)),2),"OK","MISMATCH")))</f>
        <v/>
      </c>
      <c r="X472" s="39" t="n"/>
      <c r="Y472" s="39" t="n"/>
      <c r="Z472" s="39" t="n"/>
      <c r="AA472" s="11">
        <f>IF(C472="","",N(X472)+N(Y472)+N(Z472))</f>
        <v/>
      </c>
      <c r="AB472" s="11">
        <f>IF(C472="","",MAX(N(L472),N(O472))-N(AA472))</f>
        <v/>
      </c>
      <c r="AC472" s="43">
        <f>IFERROR(IF(MAX(N(L472),N(O472))=0,"",AB472/MAX(N(L472),N(O472))),"")</f>
        <v/>
      </c>
      <c r="AD472" s="37" t="n"/>
      <c r="AE472" s="10" t="inlineStr">
        <is>
          <t>CON-0468</t>
        </is>
      </c>
    </row>
    <row r="473">
      <c r="A473" s="16">
        <f>IF($C473="","",IFERROR(IF(INDEX(tbl_Finance[Latest Invoice Date],MATCH($AE473,tbl_Finance[Row ID],0))="","",INDEX(tbl_Finance[Latest Invoice Date],MATCH($AE473,tbl_Finance[Row ID],0))),""))</f>
        <v/>
      </c>
      <c r="B473" s="10">
        <f>IF($C473="","",IFERROR(INDEX(tbl_Finance[Invoice Numbers],MATCH($AE473,tbl_Finance[Row ID],0))&amp;"",""))</f>
        <v/>
      </c>
      <c r="C473" s="37" t="n"/>
      <c r="D473" s="10">
        <f>IF($C473="","",IF(COUNTIF(lst_Jobs,$C473&amp;"")&gt;0,"OK","CHECK"))</f>
        <v/>
      </c>
      <c r="E473" s="10">
        <f>IF($C473="","",IFERROR(INDEX(lst_JobName,MATCH($C473&amp;"",lst_Jobs,0)),""))</f>
        <v/>
      </c>
      <c r="F473" s="37" t="n"/>
      <c r="G473" s="37" t="n"/>
      <c r="H473" s="37" t="n"/>
      <c r="I473" s="37" t="n"/>
      <c r="J473" s="37" t="n"/>
      <c r="K473" s="38">
        <f>IF($C473="","",IFERROR(N(INDEX(tbl_Finance[Invoice Count],MATCH($AE473,tbl_Finance[Row ID],0))),""))</f>
        <v/>
      </c>
      <c r="L473" s="11">
        <f>IF($C473="","",IFERROR(N(INDEX(tbl_Finance[Xero Invoiced Ex GST],MATCH($AE473,tbl_Finance[Row ID],0))),""))</f>
        <v/>
      </c>
      <c r="M473" s="10">
        <f>IF($C473="","",IFERROR(INDEX(tbl_Finance[Compare],MATCH($AE473,tbl_Finance[Row ID],0))&amp;"",""))</f>
        <v/>
      </c>
      <c r="N473" s="11">
        <f>IF($C473="","",MAX(0,N(O473)-N(L473)))</f>
        <v/>
      </c>
      <c r="O473" s="39" t="n"/>
      <c r="P473" s="40">
        <f>IF($C473="","",IF((IF(F473="",", Client","")&amp;IF(G473="",", Description","")&amp;IF(H473="",", Cost Centre","")&amp;IF(I473="",", Invoice Type","")&amp;IF(J473="",", Tax Code","")&amp;IF(O473="",", Expected Revenue","")&amp;IF(COUNTIF(tbl_Finance[Job Number],$C473&amp;"")&gt;1,", Job number used twice",""))="","Complete","Fix: "&amp;MID(IF(F473="",", Client","")&amp;IF(G473="",", Description","")&amp;IF(H473="",", Cost Centre","")&amp;IF(I473="",", Invoice Type","")&amp;IF(J473="",", Tax Code","")&amp;IF(O473="",", Expected Revenue","")&amp;IF(COUNTIF(tbl_Finance[Job Number],$C473&amp;"")&gt;1,", Job number used twice",""),3,300)))</f>
        <v/>
      </c>
      <c r="Q473" s="10">
        <f>IF($C473="","",IF(H473="","(no cost centre)",H473&amp;" - GL "&amp;IFERROR(INDEX(lst_CCtoGL,MATCH(H473,lst_CCforGL,0)),"?")))</f>
        <v/>
      </c>
      <c r="R473" s="37" t="n"/>
      <c r="S473" s="10">
        <f>IF(R473="","",HYPERLINK(IF(LEFT(R473,4)="http",R473,set_QwilrBase&amp;R473),"Open quote"))</f>
        <v/>
      </c>
      <c r="T473" s="39" t="n"/>
      <c r="U473" s="39" t="n"/>
      <c r="V473" s="39" t="n"/>
      <c r="W473" s="10">
        <f>IF(C473="","",IF(N(T473)+N(U473)+N(V473)=0,"Not split",IF(ROUND(N(T473)+N(U473)+N(V473),2)=ROUND(MAX(N(L473),N(O473)),2),"OK","MISMATCH")))</f>
        <v/>
      </c>
      <c r="X473" s="39" t="n"/>
      <c r="Y473" s="39" t="n"/>
      <c r="Z473" s="39" t="n"/>
      <c r="AA473" s="11">
        <f>IF(C473="","",N(X473)+N(Y473)+N(Z473))</f>
        <v/>
      </c>
      <c r="AB473" s="11">
        <f>IF(C473="","",MAX(N(L473),N(O473))-N(AA473))</f>
        <v/>
      </c>
      <c r="AC473" s="43">
        <f>IFERROR(IF(MAX(N(L473),N(O473))=0,"",AB473/MAX(N(L473),N(O473))),"")</f>
        <v/>
      </c>
      <c r="AD473" s="37" t="n"/>
      <c r="AE473" s="10" t="inlineStr">
        <is>
          <t>CON-0469</t>
        </is>
      </c>
    </row>
    <row r="474">
      <c r="A474" s="16">
        <f>IF($C474="","",IFERROR(IF(INDEX(tbl_Finance[Latest Invoice Date],MATCH($AE474,tbl_Finance[Row ID],0))="","",INDEX(tbl_Finance[Latest Invoice Date],MATCH($AE474,tbl_Finance[Row ID],0))),""))</f>
        <v/>
      </c>
      <c r="B474" s="10">
        <f>IF($C474="","",IFERROR(INDEX(tbl_Finance[Invoice Numbers],MATCH($AE474,tbl_Finance[Row ID],0))&amp;"",""))</f>
        <v/>
      </c>
      <c r="C474" s="37" t="n"/>
      <c r="D474" s="10">
        <f>IF($C474="","",IF(COUNTIF(lst_Jobs,$C474&amp;"")&gt;0,"OK","CHECK"))</f>
        <v/>
      </c>
      <c r="E474" s="10">
        <f>IF($C474="","",IFERROR(INDEX(lst_JobName,MATCH($C474&amp;"",lst_Jobs,0)),""))</f>
        <v/>
      </c>
      <c r="F474" s="37" t="n"/>
      <c r="G474" s="37" t="n"/>
      <c r="H474" s="37" t="n"/>
      <c r="I474" s="37" t="n"/>
      <c r="J474" s="37" t="n"/>
      <c r="K474" s="38">
        <f>IF($C474="","",IFERROR(N(INDEX(tbl_Finance[Invoice Count],MATCH($AE474,tbl_Finance[Row ID],0))),""))</f>
        <v/>
      </c>
      <c r="L474" s="11">
        <f>IF($C474="","",IFERROR(N(INDEX(tbl_Finance[Xero Invoiced Ex GST],MATCH($AE474,tbl_Finance[Row ID],0))),""))</f>
        <v/>
      </c>
      <c r="M474" s="10">
        <f>IF($C474="","",IFERROR(INDEX(tbl_Finance[Compare],MATCH($AE474,tbl_Finance[Row ID],0))&amp;"",""))</f>
        <v/>
      </c>
      <c r="N474" s="11">
        <f>IF($C474="","",MAX(0,N(O474)-N(L474)))</f>
        <v/>
      </c>
      <c r="O474" s="39" t="n"/>
      <c r="P474" s="40">
        <f>IF($C474="","",IF((IF(F474="",", Client","")&amp;IF(G474="",", Description","")&amp;IF(H474="",", Cost Centre","")&amp;IF(I474="",", Invoice Type","")&amp;IF(J474="",", Tax Code","")&amp;IF(O474="",", Expected Revenue","")&amp;IF(COUNTIF(tbl_Finance[Job Number],$C474&amp;"")&gt;1,", Job number used twice",""))="","Complete","Fix: "&amp;MID(IF(F474="",", Client","")&amp;IF(G474="",", Description","")&amp;IF(H474="",", Cost Centre","")&amp;IF(I474="",", Invoice Type","")&amp;IF(J474="",", Tax Code","")&amp;IF(O474="",", Expected Revenue","")&amp;IF(COUNTIF(tbl_Finance[Job Number],$C474&amp;"")&gt;1,", Job number used twice",""),3,300)))</f>
        <v/>
      </c>
      <c r="Q474" s="10">
        <f>IF($C474="","",IF(H474="","(no cost centre)",H474&amp;" - GL "&amp;IFERROR(INDEX(lst_CCtoGL,MATCH(H474,lst_CCforGL,0)),"?")))</f>
        <v/>
      </c>
      <c r="R474" s="37" t="n"/>
      <c r="S474" s="10">
        <f>IF(R474="","",HYPERLINK(IF(LEFT(R474,4)="http",R474,set_QwilrBase&amp;R474),"Open quote"))</f>
        <v/>
      </c>
      <c r="T474" s="39" t="n"/>
      <c r="U474" s="39" t="n"/>
      <c r="V474" s="39" t="n"/>
      <c r="W474" s="10">
        <f>IF(C474="","",IF(N(T474)+N(U474)+N(V474)=0,"Not split",IF(ROUND(N(T474)+N(U474)+N(V474),2)=ROUND(MAX(N(L474),N(O474)),2),"OK","MISMATCH")))</f>
        <v/>
      </c>
      <c r="X474" s="39" t="n"/>
      <c r="Y474" s="39" t="n"/>
      <c r="Z474" s="39" t="n"/>
      <c r="AA474" s="11">
        <f>IF(C474="","",N(X474)+N(Y474)+N(Z474))</f>
        <v/>
      </c>
      <c r="AB474" s="11">
        <f>IF(C474="","",MAX(N(L474),N(O474))-N(AA474))</f>
        <v/>
      </c>
      <c r="AC474" s="43">
        <f>IFERROR(IF(MAX(N(L474),N(O474))=0,"",AB474/MAX(N(L474),N(O474))),"")</f>
        <v/>
      </c>
      <c r="AD474" s="37" t="n"/>
      <c r="AE474" s="10" t="inlineStr">
        <is>
          <t>CON-0470</t>
        </is>
      </c>
    </row>
    <row r="475">
      <c r="A475" s="16">
        <f>IF($C475="","",IFERROR(IF(INDEX(tbl_Finance[Latest Invoice Date],MATCH($AE475,tbl_Finance[Row ID],0))="","",INDEX(tbl_Finance[Latest Invoice Date],MATCH($AE475,tbl_Finance[Row ID],0))),""))</f>
        <v/>
      </c>
      <c r="B475" s="10">
        <f>IF($C475="","",IFERROR(INDEX(tbl_Finance[Invoice Numbers],MATCH($AE475,tbl_Finance[Row ID],0))&amp;"",""))</f>
        <v/>
      </c>
      <c r="C475" s="37" t="n"/>
      <c r="D475" s="10">
        <f>IF($C475="","",IF(COUNTIF(lst_Jobs,$C475&amp;"")&gt;0,"OK","CHECK"))</f>
        <v/>
      </c>
      <c r="E475" s="10">
        <f>IF($C475="","",IFERROR(INDEX(lst_JobName,MATCH($C475&amp;"",lst_Jobs,0)),""))</f>
        <v/>
      </c>
      <c r="F475" s="37" t="n"/>
      <c r="G475" s="37" t="n"/>
      <c r="H475" s="37" t="n"/>
      <c r="I475" s="37" t="n"/>
      <c r="J475" s="37" t="n"/>
      <c r="K475" s="38">
        <f>IF($C475="","",IFERROR(N(INDEX(tbl_Finance[Invoice Count],MATCH($AE475,tbl_Finance[Row ID],0))),""))</f>
        <v/>
      </c>
      <c r="L475" s="11">
        <f>IF($C475="","",IFERROR(N(INDEX(tbl_Finance[Xero Invoiced Ex GST],MATCH($AE475,tbl_Finance[Row ID],0))),""))</f>
        <v/>
      </c>
      <c r="M475" s="10">
        <f>IF($C475="","",IFERROR(INDEX(tbl_Finance[Compare],MATCH($AE475,tbl_Finance[Row ID],0))&amp;"",""))</f>
        <v/>
      </c>
      <c r="N475" s="11">
        <f>IF($C475="","",MAX(0,N(O475)-N(L475)))</f>
        <v/>
      </c>
      <c r="O475" s="39" t="n"/>
      <c r="P475" s="40">
        <f>IF($C475="","",IF((IF(F475="",", Client","")&amp;IF(G475="",", Description","")&amp;IF(H475="",", Cost Centre","")&amp;IF(I475="",", Invoice Type","")&amp;IF(J475="",", Tax Code","")&amp;IF(O475="",", Expected Revenue","")&amp;IF(COUNTIF(tbl_Finance[Job Number],$C475&amp;"")&gt;1,", Job number used twice",""))="","Complete","Fix: "&amp;MID(IF(F475="",", Client","")&amp;IF(G475="",", Description","")&amp;IF(H475="",", Cost Centre","")&amp;IF(I475="",", Invoice Type","")&amp;IF(J475="",", Tax Code","")&amp;IF(O475="",", Expected Revenue","")&amp;IF(COUNTIF(tbl_Finance[Job Number],$C475&amp;"")&gt;1,", Job number used twice",""),3,300)))</f>
        <v/>
      </c>
      <c r="Q475" s="10">
        <f>IF($C475="","",IF(H475="","(no cost centre)",H475&amp;" - GL "&amp;IFERROR(INDEX(lst_CCtoGL,MATCH(H475,lst_CCforGL,0)),"?")))</f>
        <v/>
      </c>
      <c r="R475" s="37" t="n"/>
      <c r="S475" s="10">
        <f>IF(R475="","",HYPERLINK(IF(LEFT(R475,4)="http",R475,set_QwilrBase&amp;R475),"Open quote"))</f>
        <v/>
      </c>
      <c r="T475" s="39" t="n"/>
      <c r="U475" s="39" t="n"/>
      <c r="V475" s="39" t="n"/>
      <c r="W475" s="10">
        <f>IF(C475="","",IF(N(T475)+N(U475)+N(V475)=0,"Not split",IF(ROUND(N(T475)+N(U475)+N(V475),2)=ROUND(MAX(N(L475),N(O475)),2),"OK","MISMATCH")))</f>
        <v/>
      </c>
      <c r="X475" s="39" t="n"/>
      <c r="Y475" s="39" t="n"/>
      <c r="Z475" s="39" t="n"/>
      <c r="AA475" s="11">
        <f>IF(C475="","",N(X475)+N(Y475)+N(Z475))</f>
        <v/>
      </c>
      <c r="AB475" s="11">
        <f>IF(C475="","",MAX(N(L475),N(O475))-N(AA475))</f>
        <v/>
      </c>
      <c r="AC475" s="43">
        <f>IFERROR(IF(MAX(N(L475),N(O475))=0,"",AB475/MAX(N(L475),N(O475))),"")</f>
        <v/>
      </c>
      <c r="AD475" s="37" t="n"/>
      <c r="AE475" s="10" t="inlineStr">
        <is>
          <t>CON-0471</t>
        </is>
      </c>
    </row>
    <row r="476">
      <c r="A476" s="16">
        <f>IF($C476="","",IFERROR(IF(INDEX(tbl_Finance[Latest Invoice Date],MATCH($AE476,tbl_Finance[Row ID],0))="","",INDEX(tbl_Finance[Latest Invoice Date],MATCH($AE476,tbl_Finance[Row ID],0))),""))</f>
        <v/>
      </c>
      <c r="B476" s="10">
        <f>IF($C476="","",IFERROR(INDEX(tbl_Finance[Invoice Numbers],MATCH($AE476,tbl_Finance[Row ID],0))&amp;"",""))</f>
        <v/>
      </c>
      <c r="C476" s="37" t="n"/>
      <c r="D476" s="10">
        <f>IF($C476="","",IF(COUNTIF(lst_Jobs,$C476&amp;"")&gt;0,"OK","CHECK"))</f>
        <v/>
      </c>
      <c r="E476" s="10">
        <f>IF($C476="","",IFERROR(INDEX(lst_JobName,MATCH($C476&amp;"",lst_Jobs,0)),""))</f>
        <v/>
      </c>
      <c r="F476" s="37" t="n"/>
      <c r="G476" s="37" t="n"/>
      <c r="H476" s="37" t="n"/>
      <c r="I476" s="37" t="n"/>
      <c r="J476" s="37" t="n"/>
      <c r="K476" s="38">
        <f>IF($C476="","",IFERROR(N(INDEX(tbl_Finance[Invoice Count],MATCH($AE476,tbl_Finance[Row ID],0))),""))</f>
        <v/>
      </c>
      <c r="L476" s="11">
        <f>IF($C476="","",IFERROR(N(INDEX(tbl_Finance[Xero Invoiced Ex GST],MATCH($AE476,tbl_Finance[Row ID],0))),""))</f>
        <v/>
      </c>
      <c r="M476" s="10">
        <f>IF($C476="","",IFERROR(INDEX(tbl_Finance[Compare],MATCH($AE476,tbl_Finance[Row ID],0))&amp;"",""))</f>
        <v/>
      </c>
      <c r="N476" s="11">
        <f>IF($C476="","",MAX(0,N(O476)-N(L476)))</f>
        <v/>
      </c>
      <c r="O476" s="39" t="n"/>
      <c r="P476" s="40">
        <f>IF($C476="","",IF((IF(F476="",", Client","")&amp;IF(G476="",", Description","")&amp;IF(H476="",", Cost Centre","")&amp;IF(I476="",", Invoice Type","")&amp;IF(J476="",", Tax Code","")&amp;IF(O476="",", Expected Revenue","")&amp;IF(COUNTIF(tbl_Finance[Job Number],$C476&amp;"")&gt;1,", Job number used twice",""))="","Complete","Fix: "&amp;MID(IF(F476="",", Client","")&amp;IF(G476="",", Description","")&amp;IF(H476="",", Cost Centre","")&amp;IF(I476="",", Invoice Type","")&amp;IF(J476="",", Tax Code","")&amp;IF(O476="",", Expected Revenue","")&amp;IF(COUNTIF(tbl_Finance[Job Number],$C476&amp;"")&gt;1,", Job number used twice",""),3,300)))</f>
        <v/>
      </c>
      <c r="Q476" s="10">
        <f>IF($C476="","",IF(H476="","(no cost centre)",H476&amp;" - GL "&amp;IFERROR(INDEX(lst_CCtoGL,MATCH(H476,lst_CCforGL,0)),"?")))</f>
        <v/>
      </c>
      <c r="R476" s="37" t="n"/>
      <c r="S476" s="10">
        <f>IF(R476="","",HYPERLINK(IF(LEFT(R476,4)="http",R476,set_QwilrBase&amp;R476),"Open quote"))</f>
        <v/>
      </c>
      <c r="T476" s="39" t="n"/>
      <c r="U476" s="39" t="n"/>
      <c r="V476" s="39" t="n"/>
      <c r="W476" s="10">
        <f>IF(C476="","",IF(N(T476)+N(U476)+N(V476)=0,"Not split",IF(ROUND(N(T476)+N(U476)+N(V476),2)=ROUND(MAX(N(L476),N(O476)),2),"OK","MISMATCH")))</f>
        <v/>
      </c>
      <c r="X476" s="39" t="n"/>
      <c r="Y476" s="39" t="n"/>
      <c r="Z476" s="39" t="n"/>
      <c r="AA476" s="11">
        <f>IF(C476="","",N(X476)+N(Y476)+N(Z476))</f>
        <v/>
      </c>
      <c r="AB476" s="11">
        <f>IF(C476="","",MAX(N(L476),N(O476))-N(AA476))</f>
        <v/>
      </c>
      <c r="AC476" s="43">
        <f>IFERROR(IF(MAX(N(L476),N(O476))=0,"",AB476/MAX(N(L476),N(O476))),"")</f>
        <v/>
      </c>
      <c r="AD476" s="37" t="n"/>
      <c r="AE476" s="10" t="inlineStr">
        <is>
          <t>CON-0472</t>
        </is>
      </c>
    </row>
    <row r="477">
      <c r="A477" s="16">
        <f>IF($C477="","",IFERROR(IF(INDEX(tbl_Finance[Latest Invoice Date],MATCH($AE477,tbl_Finance[Row ID],0))="","",INDEX(tbl_Finance[Latest Invoice Date],MATCH($AE477,tbl_Finance[Row ID],0))),""))</f>
        <v/>
      </c>
      <c r="B477" s="10">
        <f>IF($C477="","",IFERROR(INDEX(tbl_Finance[Invoice Numbers],MATCH($AE477,tbl_Finance[Row ID],0))&amp;"",""))</f>
        <v/>
      </c>
      <c r="C477" s="37" t="n"/>
      <c r="D477" s="10">
        <f>IF($C477="","",IF(COUNTIF(lst_Jobs,$C477&amp;"")&gt;0,"OK","CHECK"))</f>
        <v/>
      </c>
      <c r="E477" s="10">
        <f>IF($C477="","",IFERROR(INDEX(lst_JobName,MATCH($C477&amp;"",lst_Jobs,0)),""))</f>
        <v/>
      </c>
      <c r="F477" s="37" t="n"/>
      <c r="G477" s="37" t="n"/>
      <c r="H477" s="37" t="n"/>
      <c r="I477" s="37" t="n"/>
      <c r="J477" s="37" t="n"/>
      <c r="K477" s="38">
        <f>IF($C477="","",IFERROR(N(INDEX(tbl_Finance[Invoice Count],MATCH($AE477,tbl_Finance[Row ID],0))),""))</f>
        <v/>
      </c>
      <c r="L477" s="11">
        <f>IF($C477="","",IFERROR(N(INDEX(tbl_Finance[Xero Invoiced Ex GST],MATCH($AE477,tbl_Finance[Row ID],0))),""))</f>
        <v/>
      </c>
      <c r="M477" s="10">
        <f>IF($C477="","",IFERROR(INDEX(tbl_Finance[Compare],MATCH($AE477,tbl_Finance[Row ID],0))&amp;"",""))</f>
        <v/>
      </c>
      <c r="N477" s="11">
        <f>IF($C477="","",MAX(0,N(O477)-N(L477)))</f>
        <v/>
      </c>
      <c r="O477" s="39" t="n"/>
      <c r="P477" s="40">
        <f>IF($C477="","",IF((IF(F477="",", Client","")&amp;IF(G477="",", Description","")&amp;IF(H477="",", Cost Centre","")&amp;IF(I477="",", Invoice Type","")&amp;IF(J477="",", Tax Code","")&amp;IF(O477="",", Expected Revenue","")&amp;IF(COUNTIF(tbl_Finance[Job Number],$C477&amp;"")&gt;1,", Job number used twice",""))="","Complete","Fix: "&amp;MID(IF(F477="",", Client","")&amp;IF(G477="",", Description","")&amp;IF(H477="",", Cost Centre","")&amp;IF(I477="",", Invoice Type","")&amp;IF(J477="",", Tax Code","")&amp;IF(O477="",", Expected Revenue","")&amp;IF(COUNTIF(tbl_Finance[Job Number],$C477&amp;"")&gt;1,", Job number used twice",""),3,300)))</f>
        <v/>
      </c>
      <c r="Q477" s="10">
        <f>IF($C477="","",IF(H477="","(no cost centre)",H477&amp;" - GL "&amp;IFERROR(INDEX(lst_CCtoGL,MATCH(H477,lst_CCforGL,0)),"?")))</f>
        <v/>
      </c>
      <c r="R477" s="37" t="n"/>
      <c r="S477" s="10">
        <f>IF(R477="","",HYPERLINK(IF(LEFT(R477,4)="http",R477,set_QwilrBase&amp;R477),"Open quote"))</f>
        <v/>
      </c>
      <c r="T477" s="39" t="n"/>
      <c r="U477" s="39" t="n"/>
      <c r="V477" s="39" t="n"/>
      <c r="W477" s="10">
        <f>IF(C477="","",IF(N(T477)+N(U477)+N(V477)=0,"Not split",IF(ROUND(N(T477)+N(U477)+N(V477),2)=ROUND(MAX(N(L477),N(O477)),2),"OK","MISMATCH")))</f>
        <v/>
      </c>
      <c r="X477" s="39" t="n"/>
      <c r="Y477" s="39" t="n"/>
      <c r="Z477" s="39" t="n"/>
      <c r="AA477" s="11">
        <f>IF(C477="","",N(X477)+N(Y477)+N(Z477))</f>
        <v/>
      </c>
      <c r="AB477" s="11">
        <f>IF(C477="","",MAX(N(L477),N(O477))-N(AA477))</f>
        <v/>
      </c>
      <c r="AC477" s="43">
        <f>IFERROR(IF(MAX(N(L477),N(O477))=0,"",AB477/MAX(N(L477),N(O477))),"")</f>
        <v/>
      </c>
      <c r="AD477" s="37" t="n"/>
      <c r="AE477" s="10" t="inlineStr">
        <is>
          <t>CON-0473</t>
        </is>
      </c>
    </row>
    <row r="478">
      <c r="A478" s="16">
        <f>IF($C478="","",IFERROR(IF(INDEX(tbl_Finance[Latest Invoice Date],MATCH($AE478,tbl_Finance[Row ID],0))="","",INDEX(tbl_Finance[Latest Invoice Date],MATCH($AE478,tbl_Finance[Row ID],0))),""))</f>
        <v/>
      </c>
      <c r="B478" s="10">
        <f>IF($C478="","",IFERROR(INDEX(tbl_Finance[Invoice Numbers],MATCH($AE478,tbl_Finance[Row ID],0))&amp;"",""))</f>
        <v/>
      </c>
      <c r="C478" s="37" t="n"/>
      <c r="D478" s="10">
        <f>IF($C478="","",IF(COUNTIF(lst_Jobs,$C478&amp;"")&gt;0,"OK","CHECK"))</f>
        <v/>
      </c>
      <c r="E478" s="10">
        <f>IF($C478="","",IFERROR(INDEX(lst_JobName,MATCH($C478&amp;"",lst_Jobs,0)),""))</f>
        <v/>
      </c>
      <c r="F478" s="37" t="n"/>
      <c r="G478" s="37" t="n"/>
      <c r="H478" s="37" t="n"/>
      <c r="I478" s="37" t="n"/>
      <c r="J478" s="37" t="n"/>
      <c r="K478" s="38">
        <f>IF($C478="","",IFERROR(N(INDEX(tbl_Finance[Invoice Count],MATCH($AE478,tbl_Finance[Row ID],0))),""))</f>
        <v/>
      </c>
      <c r="L478" s="11">
        <f>IF($C478="","",IFERROR(N(INDEX(tbl_Finance[Xero Invoiced Ex GST],MATCH($AE478,tbl_Finance[Row ID],0))),""))</f>
        <v/>
      </c>
      <c r="M478" s="10">
        <f>IF($C478="","",IFERROR(INDEX(tbl_Finance[Compare],MATCH($AE478,tbl_Finance[Row ID],0))&amp;"",""))</f>
        <v/>
      </c>
      <c r="N478" s="11">
        <f>IF($C478="","",MAX(0,N(O478)-N(L478)))</f>
        <v/>
      </c>
      <c r="O478" s="39" t="n"/>
      <c r="P478" s="40">
        <f>IF($C478="","",IF((IF(F478="",", Client","")&amp;IF(G478="",", Description","")&amp;IF(H478="",", Cost Centre","")&amp;IF(I478="",", Invoice Type","")&amp;IF(J478="",", Tax Code","")&amp;IF(O478="",", Expected Revenue","")&amp;IF(COUNTIF(tbl_Finance[Job Number],$C478&amp;"")&gt;1,", Job number used twice",""))="","Complete","Fix: "&amp;MID(IF(F478="",", Client","")&amp;IF(G478="",", Description","")&amp;IF(H478="",", Cost Centre","")&amp;IF(I478="",", Invoice Type","")&amp;IF(J478="",", Tax Code","")&amp;IF(O478="",", Expected Revenue","")&amp;IF(COUNTIF(tbl_Finance[Job Number],$C478&amp;"")&gt;1,", Job number used twice",""),3,300)))</f>
        <v/>
      </c>
      <c r="Q478" s="10">
        <f>IF($C478="","",IF(H478="","(no cost centre)",H478&amp;" - GL "&amp;IFERROR(INDEX(lst_CCtoGL,MATCH(H478,lst_CCforGL,0)),"?")))</f>
        <v/>
      </c>
      <c r="R478" s="37" t="n"/>
      <c r="S478" s="10">
        <f>IF(R478="","",HYPERLINK(IF(LEFT(R478,4)="http",R478,set_QwilrBase&amp;R478),"Open quote"))</f>
        <v/>
      </c>
      <c r="T478" s="39" t="n"/>
      <c r="U478" s="39" t="n"/>
      <c r="V478" s="39" t="n"/>
      <c r="W478" s="10">
        <f>IF(C478="","",IF(N(T478)+N(U478)+N(V478)=0,"Not split",IF(ROUND(N(T478)+N(U478)+N(V478),2)=ROUND(MAX(N(L478),N(O478)),2),"OK","MISMATCH")))</f>
        <v/>
      </c>
      <c r="X478" s="39" t="n"/>
      <c r="Y478" s="39" t="n"/>
      <c r="Z478" s="39" t="n"/>
      <c r="AA478" s="11">
        <f>IF(C478="","",N(X478)+N(Y478)+N(Z478))</f>
        <v/>
      </c>
      <c r="AB478" s="11">
        <f>IF(C478="","",MAX(N(L478),N(O478))-N(AA478))</f>
        <v/>
      </c>
      <c r="AC478" s="43">
        <f>IFERROR(IF(MAX(N(L478),N(O478))=0,"",AB478/MAX(N(L478),N(O478))),"")</f>
        <v/>
      </c>
      <c r="AD478" s="37" t="n"/>
      <c r="AE478" s="10" t="inlineStr">
        <is>
          <t>CON-0474</t>
        </is>
      </c>
    </row>
    <row r="479">
      <c r="A479" s="16">
        <f>IF($C479="","",IFERROR(IF(INDEX(tbl_Finance[Latest Invoice Date],MATCH($AE479,tbl_Finance[Row ID],0))="","",INDEX(tbl_Finance[Latest Invoice Date],MATCH($AE479,tbl_Finance[Row ID],0))),""))</f>
        <v/>
      </c>
      <c r="B479" s="10">
        <f>IF($C479="","",IFERROR(INDEX(tbl_Finance[Invoice Numbers],MATCH($AE479,tbl_Finance[Row ID],0))&amp;"",""))</f>
        <v/>
      </c>
      <c r="C479" s="37" t="n"/>
      <c r="D479" s="10">
        <f>IF($C479="","",IF(COUNTIF(lst_Jobs,$C479&amp;"")&gt;0,"OK","CHECK"))</f>
        <v/>
      </c>
      <c r="E479" s="10">
        <f>IF($C479="","",IFERROR(INDEX(lst_JobName,MATCH($C479&amp;"",lst_Jobs,0)),""))</f>
        <v/>
      </c>
      <c r="F479" s="37" t="n"/>
      <c r="G479" s="37" t="n"/>
      <c r="H479" s="37" t="n"/>
      <c r="I479" s="37" t="n"/>
      <c r="J479" s="37" t="n"/>
      <c r="K479" s="38">
        <f>IF($C479="","",IFERROR(N(INDEX(tbl_Finance[Invoice Count],MATCH($AE479,tbl_Finance[Row ID],0))),""))</f>
        <v/>
      </c>
      <c r="L479" s="11">
        <f>IF($C479="","",IFERROR(N(INDEX(tbl_Finance[Xero Invoiced Ex GST],MATCH($AE479,tbl_Finance[Row ID],0))),""))</f>
        <v/>
      </c>
      <c r="M479" s="10">
        <f>IF($C479="","",IFERROR(INDEX(tbl_Finance[Compare],MATCH($AE479,tbl_Finance[Row ID],0))&amp;"",""))</f>
        <v/>
      </c>
      <c r="N479" s="11">
        <f>IF($C479="","",MAX(0,N(O479)-N(L479)))</f>
        <v/>
      </c>
      <c r="O479" s="39" t="n"/>
      <c r="P479" s="40">
        <f>IF($C479="","",IF((IF(F479="",", Client","")&amp;IF(G479="",", Description","")&amp;IF(H479="",", Cost Centre","")&amp;IF(I479="",", Invoice Type","")&amp;IF(J479="",", Tax Code","")&amp;IF(O479="",", Expected Revenue","")&amp;IF(COUNTIF(tbl_Finance[Job Number],$C479&amp;"")&gt;1,", Job number used twice",""))="","Complete","Fix: "&amp;MID(IF(F479="",", Client","")&amp;IF(G479="",", Description","")&amp;IF(H479="",", Cost Centre","")&amp;IF(I479="",", Invoice Type","")&amp;IF(J479="",", Tax Code","")&amp;IF(O479="",", Expected Revenue","")&amp;IF(COUNTIF(tbl_Finance[Job Number],$C479&amp;"")&gt;1,", Job number used twice",""),3,300)))</f>
        <v/>
      </c>
      <c r="Q479" s="10">
        <f>IF($C479="","",IF(H479="","(no cost centre)",H479&amp;" - GL "&amp;IFERROR(INDEX(lst_CCtoGL,MATCH(H479,lst_CCforGL,0)),"?")))</f>
        <v/>
      </c>
      <c r="R479" s="37" t="n"/>
      <c r="S479" s="10">
        <f>IF(R479="","",HYPERLINK(IF(LEFT(R479,4)="http",R479,set_QwilrBase&amp;R479),"Open quote"))</f>
        <v/>
      </c>
      <c r="T479" s="39" t="n"/>
      <c r="U479" s="39" t="n"/>
      <c r="V479" s="39" t="n"/>
      <c r="W479" s="10">
        <f>IF(C479="","",IF(N(T479)+N(U479)+N(V479)=0,"Not split",IF(ROUND(N(T479)+N(U479)+N(V479),2)=ROUND(MAX(N(L479),N(O479)),2),"OK","MISMATCH")))</f>
        <v/>
      </c>
      <c r="X479" s="39" t="n"/>
      <c r="Y479" s="39" t="n"/>
      <c r="Z479" s="39" t="n"/>
      <c r="AA479" s="11">
        <f>IF(C479="","",N(X479)+N(Y479)+N(Z479))</f>
        <v/>
      </c>
      <c r="AB479" s="11">
        <f>IF(C479="","",MAX(N(L479),N(O479))-N(AA479))</f>
        <v/>
      </c>
      <c r="AC479" s="43">
        <f>IFERROR(IF(MAX(N(L479),N(O479))=0,"",AB479/MAX(N(L479),N(O479))),"")</f>
        <v/>
      </c>
      <c r="AD479" s="37" t="n"/>
      <c r="AE479" s="10" t="inlineStr">
        <is>
          <t>CON-0475</t>
        </is>
      </c>
    </row>
    <row r="480">
      <c r="A480" s="16">
        <f>IF($C480="","",IFERROR(IF(INDEX(tbl_Finance[Latest Invoice Date],MATCH($AE480,tbl_Finance[Row ID],0))="","",INDEX(tbl_Finance[Latest Invoice Date],MATCH($AE480,tbl_Finance[Row ID],0))),""))</f>
        <v/>
      </c>
      <c r="B480" s="10">
        <f>IF($C480="","",IFERROR(INDEX(tbl_Finance[Invoice Numbers],MATCH($AE480,tbl_Finance[Row ID],0))&amp;"",""))</f>
        <v/>
      </c>
      <c r="C480" s="37" t="n"/>
      <c r="D480" s="10">
        <f>IF($C480="","",IF(COUNTIF(lst_Jobs,$C480&amp;"")&gt;0,"OK","CHECK"))</f>
        <v/>
      </c>
      <c r="E480" s="10">
        <f>IF($C480="","",IFERROR(INDEX(lst_JobName,MATCH($C480&amp;"",lst_Jobs,0)),""))</f>
        <v/>
      </c>
      <c r="F480" s="37" t="n"/>
      <c r="G480" s="37" t="n"/>
      <c r="H480" s="37" t="n"/>
      <c r="I480" s="37" t="n"/>
      <c r="J480" s="37" t="n"/>
      <c r="K480" s="38">
        <f>IF($C480="","",IFERROR(N(INDEX(tbl_Finance[Invoice Count],MATCH($AE480,tbl_Finance[Row ID],0))),""))</f>
        <v/>
      </c>
      <c r="L480" s="11">
        <f>IF($C480="","",IFERROR(N(INDEX(tbl_Finance[Xero Invoiced Ex GST],MATCH($AE480,tbl_Finance[Row ID],0))),""))</f>
        <v/>
      </c>
      <c r="M480" s="10">
        <f>IF($C480="","",IFERROR(INDEX(tbl_Finance[Compare],MATCH($AE480,tbl_Finance[Row ID],0))&amp;"",""))</f>
        <v/>
      </c>
      <c r="N480" s="11">
        <f>IF($C480="","",MAX(0,N(O480)-N(L480)))</f>
        <v/>
      </c>
      <c r="O480" s="39" t="n"/>
      <c r="P480" s="40">
        <f>IF($C480="","",IF((IF(F480="",", Client","")&amp;IF(G480="",", Description","")&amp;IF(H480="",", Cost Centre","")&amp;IF(I480="",", Invoice Type","")&amp;IF(J480="",", Tax Code","")&amp;IF(O480="",", Expected Revenue","")&amp;IF(COUNTIF(tbl_Finance[Job Number],$C480&amp;"")&gt;1,", Job number used twice",""))="","Complete","Fix: "&amp;MID(IF(F480="",", Client","")&amp;IF(G480="",", Description","")&amp;IF(H480="",", Cost Centre","")&amp;IF(I480="",", Invoice Type","")&amp;IF(J480="",", Tax Code","")&amp;IF(O480="",", Expected Revenue","")&amp;IF(COUNTIF(tbl_Finance[Job Number],$C480&amp;"")&gt;1,", Job number used twice",""),3,300)))</f>
        <v/>
      </c>
      <c r="Q480" s="10">
        <f>IF($C480="","",IF(H480="","(no cost centre)",H480&amp;" - GL "&amp;IFERROR(INDEX(lst_CCtoGL,MATCH(H480,lst_CCforGL,0)),"?")))</f>
        <v/>
      </c>
      <c r="R480" s="37" t="n"/>
      <c r="S480" s="10">
        <f>IF(R480="","",HYPERLINK(IF(LEFT(R480,4)="http",R480,set_QwilrBase&amp;R480),"Open quote"))</f>
        <v/>
      </c>
      <c r="T480" s="39" t="n"/>
      <c r="U480" s="39" t="n"/>
      <c r="V480" s="39" t="n"/>
      <c r="W480" s="10">
        <f>IF(C480="","",IF(N(T480)+N(U480)+N(V480)=0,"Not split",IF(ROUND(N(T480)+N(U480)+N(V480),2)=ROUND(MAX(N(L480),N(O480)),2),"OK","MISMATCH")))</f>
        <v/>
      </c>
      <c r="X480" s="39" t="n"/>
      <c r="Y480" s="39" t="n"/>
      <c r="Z480" s="39" t="n"/>
      <c r="AA480" s="11">
        <f>IF(C480="","",N(X480)+N(Y480)+N(Z480))</f>
        <v/>
      </c>
      <c r="AB480" s="11">
        <f>IF(C480="","",MAX(N(L480),N(O480))-N(AA480))</f>
        <v/>
      </c>
      <c r="AC480" s="43">
        <f>IFERROR(IF(MAX(N(L480),N(O480))=0,"",AB480/MAX(N(L480),N(O480))),"")</f>
        <v/>
      </c>
      <c r="AD480" s="37" t="n"/>
      <c r="AE480" s="10" t="inlineStr">
        <is>
          <t>CON-0476</t>
        </is>
      </c>
    </row>
    <row r="481">
      <c r="A481" s="16">
        <f>IF($C481="","",IFERROR(IF(INDEX(tbl_Finance[Latest Invoice Date],MATCH($AE481,tbl_Finance[Row ID],0))="","",INDEX(tbl_Finance[Latest Invoice Date],MATCH($AE481,tbl_Finance[Row ID],0))),""))</f>
        <v/>
      </c>
      <c r="B481" s="10">
        <f>IF($C481="","",IFERROR(INDEX(tbl_Finance[Invoice Numbers],MATCH($AE481,tbl_Finance[Row ID],0))&amp;"",""))</f>
        <v/>
      </c>
      <c r="C481" s="37" t="n"/>
      <c r="D481" s="10">
        <f>IF($C481="","",IF(COUNTIF(lst_Jobs,$C481&amp;"")&gt;0,"OK","CHECK"))</f>
        <v/>
      </c>
      <c r="E481" s="10">
        <f>IF($C481="","",IFERROR(INDEX(lst_JobName,MATCH($C481&amp;"",lst_Jobs,0)),""))</f>
        <v/>
      </c>
      <c r="F481" s="37" t="n"/>
      <c r="G481" s="37" t="n"/>
      <c r="H481" s="37" t="n"/>
      <c r="I481" s="37" t="n"/>
      <c r="J481" s="37" t="n"/>
      <c r="K481" s="38">
        <f>IF($C481="","",IFERROR(N(INDEX(tbl_Finance[Invoice Count],MATCH($AE481,tbl_Finance[Row ID],0))),""))</f>
        <v/>
      </c>
      <c r="L481" s="11">
        <f>IF($C481="","",IFERROR(N(INDEX(tbl_Finance[Xero Invoiced Ex GST],MATCH($AE481,tbl_Finance[Row ID],0))),""))</f>
        <v/>
      </c>
      <c r="M481" s="10">
        <f>IF($C481="","",IFERROR(INDEX(tbl_Finance[Compare],MATCH($AE481,tbl_Finance[Row ID],0))&amp;"",""))</f>
        <v/>
      </c>
      <c r="N481" s="11">
        <f>IF($C481="","",MAX(0,N(O481)-N(L481)))</f>
        <v/>
      </c>
      <c r="O481" s="39" t="n"/>
      <c r="P481" s="40">
        <f>IF($C481="","",IF((IF(F481="",", Client","")&amp;IF(G481="",", Description","")&amp;IF(H481="",", Cost Centre","")&amp;IF(I481="",", Invoice Type","")&amp;IF(J481="",", Tax Code","")&amp;IF(O481="",", Expected Revenue","")&amp;IF(COUNTIF(tbl_Finance[Job Number],$C481&amp;"")&gt;1,", Job number used twice",""))="","Complete","Fix: "&amp;MID(IF(F481="",", Client","")&amp;IF(G481="",", Description","")&amp;IF(H481="",", Cost Centre","")&amp;IF(I481="",", Invoice Type","")&amp;IF(J481="",", Tax Code","")&amp;IF(O481="",", Expected Revenue","")&amp;IF(COUNTIF(tbl_Finance[Job Number],$C481&amp;"")&gt;1,", Job number used twice",""),3,300)))</f>
        <v/>
      </c>
      <c r="Q481" s="10">
        <f>IF($C481="","",IF(H481="","(no cost centre)",H481&amp;" - GL "&amp;IFERROR(INDEX(lst_CCtoGL,MATCH(H481,lst_CCforGL,0)),"?")))</f>
        <v/>
      </c>
      <c r="R481" s="37" t="n"/>
      <c r="S481" s="10">
        <f>IF(R481="","",HYPERLINK(IF(LEFT(R481,4)="http",R481,set_QwilrBase&amp;R481),"Open quote"))</f>
        <v/>
      </c>
      <c r="T481" s="39" t="n"/>
      <c r="U481" s="39" t="n"/>
      <c r="V481" s="39" t="n"/>
      <c r="W481" s="10">
        <f>IF(C481="","",IF(N(T481)+N(U481)+N(V481)=0,"Not split",IF(ROUND(N(T481)+N(U481)+N(V481),2)=ROUND(MAX(N(L481),N(O481)),2),"OK","MISMATCH")))</f>
        <v/>
      </c>
      <c r="X481" s="39" t="n"/>
      <c r="Y481" s="39" t="n"/>
      <c r="Z481" s="39" t="n"/>
      <c r="AA481" s="11">
        <f>IF(C481="","",N(X481)+N(Y481)+N(Z481))</f>
        <v/>
      </c>
      <c r="AB481" s="11">
        <f>IF(C481="","",MAX(N(L481),N(O481))-N(AA481))</f>
        <v/>
      </c>
      <c r="AC481" s="43">
        <f>IFERROR(IF(MAX(N(L481),N(O481))=0,"",AB481/MAX(N(L481),N(O481))),"")</f>
        <v/>
      </c>
      <c r="AD481" s="37" t="n"/>
      <c r="AE481" s="10" t="inlineStr">
        <is>
          <t>CON-0477</t>
        </is>
      </c>
    </row>
    <row r="482">
      <c r="A482" s="16">
        <f>IF($C482="","",IFERROR(IF(INDEX(tbl_Finance[Latest Invoice Date],MATCH($AE482,tbl_Finance[Row ID],0))="","",INDEX(tbl_Finance[Latest Invoice Date],MATCH($AE482,tbl_Finance[Row ID],0))),""))</f>
        <v/>
      </c>
      <c r="B482" s="10">
        <f>IF($C482="","",IFERROR(INDEX(tbl_Finance[Invoice Numbers],MATCH($AE482,tbl_Finance[Row ID],0))&amp;"",""))</f>
        <v/>
      </c>
      <c r="C482" s="37" t="n"/>
      <c r="D482" s="10">
        <f>IF($C482="","",IF(COUNTIF(lst_Jobs,$C482&amp;"")&gt;0,"OK","CHECK"))</f>
        <v/>
      </c>
      <c r="E482" s="10">
        <f>IF($C482="","",IFERROR(INDEX(lst_JobName,MATCH($C482&amp;"",lst_Jobs,0)),""))</f>
        <v/>
      </c>
      <c r="F482" s="37" t="n"/>
      <c r="G482" s="37" t="n"/>
      <c r="H482" s="37" t="n"/>
      <c r="I482" s="37" t="n"/>
      <c r="J482" s="37" t="n"/>
      <c r="K482" s="38">
        <f>IF($C482="","",IFERROR(N(INDEX(tbl_Finance[Invoice Count],MATCH($AE482,tbl_Finance[Row ID],0))),""))</f>
        <v/>
      </c>
      <c r="L482" s="11">
        <f>IF($C482="","",IFERROR(N(INDEX(tbl_Finance[Xero Invoiced Ex GST],MATCH($AE482,tbl_Finance[Row ID],0))),""))</f>
        <v/>
      </c>
      <c r="M482" s="10">
        <f>IF($C482="","",IFERROR(INDEX(tbl_Finance[Compare],MATCH($AE482,tbl_Finance[Row ID],0))&amp;"",""))</f>
        <v/>
      </c>
      <c r="N482" s="11">
        <f>IF($C482="","",MAX(0,N(O482)-N(L482)))</f>
        <v/>
      </c>
      <c r="O482" s="39" t="n"/>
      <c r="P482" s="40">
        <f>IF($C482="","",IF((IF(F482="",", Client","")&amp;IF(G482="",", Description","")&amp;IF(H482="",", Cost Centre","")&amp;IF(I482="",", Invoice Type","")&amp;IF(J482="",", Tax Code","")&amp;IF(O482="",", Expected Revenue","")&amp;IF(COUNTIF(tbl_Finance[Job Number],$C482&amp;"")&gt;1,", Job number used twice",""))="","Complete","Fix: "&amp;MID(IF(F482="",", Client","")&amp;IF(G482="",", Description","")&amp;IF(H482="",", Cost Centre","")&amp;IF(I482="",", Invoice Type","")&amp;IF(J482="",", Tax Code","")&amp;IF(O482="",", Expected Revenue","")&amp;IF(COUNTIF(tbl_Finance[Job Number],$C482&amp;"")&gt;1,", Job number used twice",""),3,300)))</f>
        <v/>
      </c>
      <c r="Q482" s="10">
        <f>IF($C482="","",IF(H482="","(no cost centre)",H482&amp;" - GL "&amp;IFERROR(INDEX(lst_CCtoGL,MATCH(H482,lst_CCforGL,0)),"?")))</f>
        <v/>
      </c>
      <c r="R482" s="37" t="n"/>
      <c r="S482" s="10">
        <f>IF(R482="","",HYPERLINK(IF(LEFT(R482,4)="http",R482,set_QwilrBase&amp;R482),"Open quote"))</f>
        <v/>
      </c>
      <c r="T482" s="39" t="n"/>
      <c r="U482" s="39" t="n"/>
      <c r="V482" s="39" t="n"/>
      <c r="W482" s="10">
        <f>IF(C482="","",IF(N(T482)+N(U482)+N(V482)=0,"Not split",IF(ROUND(N(T482)+N(U482)+N(V482),2)=ROUND(MAX(N(L482),N(O482)),2),"OK","MISMATCH")))</f>
        <v/>
      </c>
      <c r="X482" s="39" t="n"/>
      <c r="Y482" s="39" t="n"/>
      <c r="Z482" s="39" t="n"/>
      <c r="AA482" s="11">
        <f>IF(C482="","",N(X482)+N(Y482)+N(Z482))</f>
        <v/>
      </c>
      <c r="AB482" s="11">
        <f>IF(C482="","",MAX(N(L482),N(O482))-N(AA482))</f>
        <v/>
      </c>
      <c r="AC482" s="43">
        <f>IFERROR(IF(MAX(N(L482),N(O482))=0,"",AB482/MAX(N(L482),N(O482))),"")</f>
        <v/>
      </c>
      <c r="AD482" s="37" t="n"/>
      <c r="AE482" s="10" t="inlineStr">
        <is>
          <t>CON-0478</t>
        </is>
      </c>
    </row>
    <row r="483">
      <c r="A483" s="16">
        <f>IF($C483="","",IFERROR(IF(INDEX(tbl_Finance[Latest Invoice Date],MATCH($AE483,tbl_Finance[Row ID],0))="","",INDEX(tbl_Finance[Latest Invoice Date],MATCH($AE483,tbl_Finance[Row ID],0))),""))</f>
        <v/>
      </c>
      <c r="B483" s="10">
        <f>IF($C483="","",IFERROR(INDEX(tbl_Finance[Invoice Numbers],MATCH($AE483,tbl_Finance[Row ID],0))&amp;"",""))</f>
        <v/>
      </c>
      <c r="C483" s="37" t="n"/>
      <c r="D483" s="10">
        <f>IF($C483="","",IF(COUNTIF(lst_Jobs,$C483&amp;"")&gt;0,"OK","CHECK"))</f>
        <v/>
      </c>
      <c r="E483" s="10">
        <f>IF($C483="","",IFERROR(INDEX(lst_JobName,MATCH($C483&amp;"",lst_Jobs,0)),""))</f>
        <v/>
      </c>
      <c r="F483" s="37" t="n"/>
      <c r="G483" s="37" t="n"/>
      <c r="H483" s="37" t="n"/>
      <c r="I483" s="37" t="n"/>
      <c r="J483" s="37" t="n"/>
      <c r="K483" s="38">
        <f>IF($C483="","",IFERROR(N(INDEX(tbl_Finance[Invoice Count],MATCH($AE483,tbl_Finance[Row ID],0))),""))</f>
        <v/>
      </c>
      <c r="L483" s="11">
        <f>IF($C483="","",IFERROR(N(INDEX(tbl_Finance[Xero Invoiced Ex GST],MATCH($AE483,tbl_Finance[Row ID],0))),""))</f>
        <v/>
      </c>
      <c r="M483" s="10">
        <f>IF($C483="","",IFERROR(INDEX(tbl_Finance[Compare],MATCH($AE483,tbl_Finance[Row ID],0))&amp;"",""))</f>
        <v/>
      </c>
      <c r="N483" s="11">
        <f>IF($C483="","",MAX(0,N(O483)-N(L483)))</f>
        <v/>
      </c>
      <c r="O483" s="39" t="n"/>
      <c r="P483" s="40">
        <f>IF($C483="","",IF((IF(F483="",", Client","")&amp;IF(G483="",", Description","")&amp;IF(H483="",", Cost Centre","")&amp;IF(I483="",", Invoice Type","")&amp;IF(J483="",", Tax Code","")&amp;IF(O483="",", Expected Revenue","")&amp;IF(COUNTIF(tbl_Finance[Job Number],$C483&amp;"")&gt;1,", Job number used twice",""))="","Complete","Fix: "&amp;MID(IF(F483="",", Client","")&amp;IF(G483="",", Description","")&amp;IF(H483="",", Cost Centre","")&amp;IF(I483="",", Invoice Type","")&amp;IF(J483="",", Tax Code","")&amp;IF(O483="",", Expected Revenue","")&amp;IF(COUNTIF(tbl_Finance[Job Number],$C483&amp;"")&gt;1,", Job number used twice",""),3,300)))</f>
        <v/>
      </c>
      <c r="Q483" s="10">
        <f>IF($C483="","",IF(H483="","(no cost centre)",H483&amp;" - GL "&amp;IFERROR(INDEX(lst_CCtoGL,MATCH(H483,lst_CCforGL,0)),"?")))</f>
        <v/>
      </c>
      <c r="R483" s="37" t="n"/>
      <c r="S483" s="10">
        <f>IF(R483="","",HYPERLINK(IF(LEFT(R483,4)="http",R483,set_QwilrBase&amp;R483),"Open quote"))</f>
        <v/>
      </c>
      <c r="T483" s="39" t="n"/>
      <c r="U483" s="39" t="n"/>
      <c r="V483" s="39" t="n"/>
      <c r="W483" s="10">
        <f>IF(C483="","",IF(N(T483)+N(U483)+N(V483)=0,"Not split",IF(ROUND(N(T483)+N(U483)+N(V483),2)=ROUND(MAX(N(L483),N(O483)),2),"OK","MISMATCH")))</f>
        <v/>
      </c>
      <c r="X483" s="39" t="n"/>
      <c r="Y483" s="39" t="n"/>
      <c r="Z483" s="39" t="n"/>
      <c r="AA483" s="11">
        <f>IF(C483="","",N(X483)+N(Y483)+N(Z483))</f>
        <v/>
      </c>
      <c r="AB483" s="11">
        <f>IF(C483="","",MAX(N(L483),N(O483))-N(AA483))</f>
        <v/>
      </c>
      <c r="AC483" s="43">
        <f>IFERROR(IF(MAX(N(L483),N(O483))=0,"",AB483/MAX(N(L483),N(O483))),"")</f>
        <v/>
      </c>
      <c r="AD483" s="37" t="n"/>
      <c r="AE483" s="10" t="inlineStr">
        <is>
          <t>CON-0479</t>
        </is>
      </c>
    </row>
    <row r="484">
      <c r="A484" s="16">
        <f>IF($C484="","",IFERROR(IF(INDEX(tbl_Finance[Latest Invoice Date],MATCH($AE484,tbl_Finance[Row ID],0))="","",INDEX(tbl_Finance[Latest Invoice Date],MATCH($AE484,tbl_Finance[Row ID],0))),""))</f>
        <v/>
      </c>
      <c r="B484" s="10">
        <f>IF($C484="","",IFERROR(INDEX(tbl_Finance[Invoice Numbers],MATCH($AE484,tbl_Finance[Row ID],0))&amp;"",""))</f>
        <v/>
      </c>
      <c r="C484" s="37" t="n"/>
      <c r="D484" s="10">
        <f>IF($C484="","",IF(COUNTIF(lst_Jobs,$C484&amp;"")&gt;0,"OK","CHECK"))</f>
        <v/>
      </c>
      <c r="E484" s="10">
        <f>IF($C484="","",IFERROR(INDEX(lst_JobName,MATCH($C484&amp;"",lst_Jobs,0)),""))</f>
        <v/>
      </c>
      <c r="F484" s="37" t="n"/>
      <c r="G484" s="37" t="n"/>
      <c r="H484" s="37" t="n"/>
      <c r="I484" s="37" t="n"/>
      <c r="J484" s="37" t="n"/>
      <c r="K484" s="38">
        <f>IF($C484="","",IFERROR(N(INDEX(tbl_Finance[Invoice Count],MATCH($AE484,tbl_Finance[Row ID],0))),""))</f>
        <v/>
      </c>
      <c r="L484" s="11">
        <f>IF($C484="","",IFERROR(N(INDEX(tbl_Finance[Xero Invoiced Ex GST],MATCH($AE484,tbl_Finance[Row ID],0))),""))</f>
        <v/>
      </c>
      <c r="M484" s="10">
        <f>IF($C484="","",IFERROR(INDEX(tbl_Finance[Compare],MATCH($AE484,tbl_Finance[Row ID],0))&amp;"",""))</f>
        <v/>
      </c>
      <c r="N484" s="11">
        <f>IF($C484="","",MAX(0,N(O484)-N(L484)))</f>
        <v/>
      </c>
      <c r="O484" s="39" t="n"/>
      <c r="P484" s="40">
        <f>IF($C484="","",IF((IF(F484="",", Client","")&amp;IF(G484="",", Description","")&amp;IF(H484="",", Cost Centre","")&amp;IF(I484="",", Invoice Type","")&amp;IF(J484="",", Tax Code","")&amp;IF(O484="",", Expected Revenue","")&amp;IF(COUNTIF(tbl_Finance[Job Number],$C484&amp;"")&gt;1,", Job number used twice",""))="","Complete","Fix: "&amp;MID(IF(F484="",", Client","")&amp;IF(G484="",", Description","")&amp;IF(H484="",", Cost Centre","")&amp;IF(I484="",", Invoice Type","")&amp;IF(J484="",", Tax Code","")&amp;IF(O484="",", Expected Revenue","")&amp;IF(COUNTIF(tbl_Finance[Job Number],$C484&amp;"")&gt;1,", Job number used twice",""),3,300)))</f>
        <v/>
      </c>
      <c r="Q484" s="10">
        <f>IF($C484="","",IF(H484="","(no cost centre)",H484&amp;" - GL "&amp;IFERROR(INDEX(lst_CCtoGL,MATCH(H484,lst_CCforGL,0)),"?")))</f>
        <v/>
      </c>
      <c r="R484" s="37" t="n"/>
      <c r="S484" s="10">
        <f>IF(R484="","",HYPERLINK(IF(LEFT(R484,4)="http",R484,set_QwilrBase&amp;R484),"Open quote"))</f>
        <v/>
      </c>
      <c r="T484" s="39" t="n"/>
      <c r="U484" s="39" t="n"/>
      <c r="V484" s="39" t="n"/>
      <c r="W484" s="10">
        <f>IF(C484="","",IF(N(T484)+N(U484)+N(V484)=0,"Not split",IF(ROUND(N(T484)+N(U484)+N(V484),2)=ROUND(MAX(N(L484),N(O484)),2),"OK","MISMATCH")))</f>
        <v/>
      </c>
      <c r="X484" s="39" t="n"/>
      <c r="Y484" s="39" t="n"/>
      <c r="Z484" s="39" t="n"/>
      <c r="AA484" s="11">
        <f>IF(C484="","",N(X484)+N(Y484)+N(Z484))</f>
        <v/>
      </c>
      <c r="AB484" s="11">
        <f>IF(C484="","",MAX(N(L484),N(O484))-N(AA484))</f>
        <v/>
      </c>
      <c r="AC484" s="43">
        <f>IFERROR(IF(MAX(N(L484),N(O484))=0,"",AB484/MAX(N(L484),N(O484))),"")</f>
        <v/>
      </c>
      <c r="AD484" s="37" t="n"/>
      <c r="AE484" s="10" t="inlineStr">
        <is>
          <t>CON-0480</t>
        </is>
      </c>
    </row>
    <row r="485">
      <c r="A485" s="16">
        <f>IF($C485="","",IFERROR(IF(INDEX(tbl_Finance[Latest Invoice Date],MATCH($AE485,tbl_Finance[Row ID],0))="","",INDEX(tbl_Finance[Latest Invoice Date],MATCH($AE485,tbl_Finance[Row ID],0))),""))</f>
        <v/>
      </c>
      <c r="B485" s="10">
        <f>IF($C485="","",IFERROR(INDEX(tbl_Finance[Invoice Numbers],MATCH($AE485,tbl_Finance[Row ID],0))&amp;"",""))</f>
        <v/>
      </c>
      <c r="C485" s="37" t="n"/>
      <c r="D485" s="10">
        <f>IF($C485="","",IF(COUNTIF(lst_Jobs,$C485&amp;"")&gt;0,"OK","CHECK"))</f>
        <v/>
      </c>
      <c r="E485" s="10">
        <f>IF($C485="","",IFERROR(INDEX(lst_JobName,MATCH($C485&amp;"",lst_Jobs,0)),""))</f>
        <v/>
      </c>
      <c r="F485" s="37" t="n"/>
      <c r="G485" s="37" t="n"/>
      <c r="H485" s="37" t="n"/>
      <c r="I485" s="37" t="n"/>
      <c r="J485" s="37" t="n"/>
      <c r="K485" s="38">
        <f>IF($C485="","",IFERROR(N(INDEX(tbl_Finance[Invoice Count],MATCH($AE485,tbl_Finance[Row ID],0))),""))</f>
        <v/>
      </c>
      <c r="L485" s="11">
        <f>IF($C485="","",IFERROR(N(INDEX(tbl_Finance[Xero Invoiced Ex GST],MATCH($AE485,tbl_Finance[Row ID],0))),""))</f>
        <v/>
      </c>
      <c r="M485" s="10">
        <f>IF($C485="","",IFERROR(INDEX(tbl_Finance[Compare],MATCH($AE485,tbl_Finance[Row ID],0))&amp;"",""))</f>
        <v/>
      </c>
      <c r="N485" s="11">
        <f>IF($C485="","",MAX(0,N(O485)-N(L485)))</f>
        <v/>
      </c>
      <c r="O485" s="39" t="n"/>
      <c r="P485" s="40">
        <f>IF($C485="","",IF((IF(F485="",", Client","")&amp;IF(G485="",", Description","")&amp;IF(H485="",", Cost Centre","")&amp;IF(I485="",", Invoice Type","")&amp;IF(J485="",", Tax Code","")&amp;IF(O485="",", Expected Revenue","")&amp;IF(COUNTIF(tbl_Finance[Job Number],$C485&amp;"")&gt;1,", Job number used twice",""))="","Complete","Fix: "&amp;MID(IF(F485="",", Client","")&amp;IF(G485="",", Description","")&amp;IF(H485="",", Cost Centre","")&amp;IF(I485="",", Invoice Type","")&amp;IF(J485="",", Tax Code","")&amp;IF(O485="",", Expected Revenue","")&amp;IF(COUNTIF(tbl_Finance[Job Number],$C485&amp;"")&gt;1,", Job number used twice",""),3,300)))</f>
        <v/>
      </c>
      <c r="Q485" s="10">
        <f>IF($C485="","",IF(H485="","(no cost centre)",H485&amp;" - GL "&amp;IFERROR(INDEX(lst_CCtoGL,MATCH(H485,lst_CCforGL,0)),"?")))</f>
        <v/>
      </c>
      <c r="R485" s="37" t="n"/>
      <c r="S485" s="10">
        <f>IF(R485="","",HYPERLINK(IF(LEFT(R485,4)="http",R485,set_QwilrBase&amp;R485),"Open quote"))</f>
        <v/>
      </c>
      <c r="T485" s="39" t="n"/>
      <c r="U485" s="39" t="n"/>
      <c r="V485" s="39" t="n"/>
      <c r="W485" s="10">
        <f>IF(C485="","",IF(N(T485)+N(U485)+N(V485)=0,"Not split",IF(ROUND(N(T485)+N(U485)+N(V485),2)=ROUND(MAX(N(L485),N(O485)),2),"OK","MISMATCH")))</f>
        <v/>
      </c>
      <c r="X485" s="39" t="n"/>
      <c r="Y485" s="39" t="n"/>
      <c r="Z485" s="39" t="n"/>
      <c r="AA485" s="11">
        <f>IF(C485="","",N(X485)+N(Y485)+N(Z485))</f>
        <v/>
      </c>
      <c r="AB485" s="11">
        <f>IF(C485="","",MAX(N(L485),N(O485))-N(AA485))</f>
        <v/>
      </c>
      <c r="AC485" s="43">
        <f>IFERROR(IF(MAX(N(L485),N(O485))=0,"",AB485/MAX(N(L485),N(O485))),"")</f>
        <v/>
      </c>
      <c r="AD485" s="37" t="n"/>
      <c r="AE485" s="10" t="inlineStr">
        <is>
          <t>CON-0481</t>
        </is>
      </c>
    </row>
    <row r="486">
      <c r="A486" s="16">
        <f>IF($C486="","",IFERROR(IF(INDEX(tbl_Finance[Latest Invoice Date],MATCH($AE486,tbl_Finance[Row ID],0))="","",INDEX(tbl_Finance[Latest Invoice Date],MATCH($AE486,tbl_Finance[Row ID],0))),""))</f>
        <v/>
      </c>
      <c r="B486" s="10">
        <f>IF($C486="","",IFERROR(INDEX(tbl_Finance[Invoice Numbers],MATCH($AE486,tbl_Finance[Row ID],0))&amp;"",""))</f>
        <v/>
      </c>
      <c r="C486" s="37" t="n"/>
      <c r="D486" s="10">
        <f>IF($C486="","",IF(COUNTIF(lst_Jobs,$C486&amp;"")&gt;0,"OK","CHECK"))</f>
        <v/>
      </c>
      <c r="E486" s="10">
        <f>IF($C486="","",IFERROR(INDEX(lst_JobName,MATCH($C486&amp;"",lst_Jobs,0)),""))</f>
        <v/>
      </c>
      <c r="F486" s="37" t="n"/>
      <c r="G486" s="37" t="n"/>
      <c r="H486" s="37" t="n"/>
      <c r="I486" s="37" t="n"/>
      <c r="J486" s="37" t="n"/>
      <c r="K486" s="38">
        <f>IF($C486="","",IFERROR(N(INDEX(tbl_Finance[Invoice Count],MATCH($AE486,tbl_Finance[Row ID],0))),""))</f>
        <v/>
      </c>
      <c r="L486" s="11">
        <f>IF($C486="","",IFERROR(N(INDEX(tbl_Finance[Xero Invoiced Ex GST],MATCH($AE486,tbl_Finance[Row ID],0))),""))</f>
        <v/>
      </c>
      <c r="M486" s="10">
        <f>IF($C486="","",IFERROR(INDEX(tbl_Finance[Compare],MATCH($AE486,tbl_Finance[Row ID],0))&amp;"",""))</f>
        <v/>
      </c>
      <c r="N486" s="11">
        <f>IF($C486="","",MAX(0,N(O486)-N(L486)))</f>
        <v/>
      </c>
      <c r="O486" s="39" t="n"/>
      <c r="P486" s="40">
        <f>IF($C486="","",IF((IF(F486="",", Client","")&amp;IF(G486="",", Description","")&amp;IF(H486="",", Cost Centre","")&amp;IF(I486="",", Invoice Type","")&amp;IF(J486="",", Tax Code","")&amp;IF(O486="",", Expected Revenue","")&amp;IF(COUNTIF(tbl_Finance[Job Number],$C486&amp;"")&gt;1,", Job number used twice",""))="","Complete","Fix: "&amp;MID(IF(F486="",", Client","")&amp;IF(G486="",", Description","")&amp;IF(H486="",", Cost Centre","")&amp;IF(I486="",", Invoice Type","")&amp;IF(J486="",", Tax Code","")&amp;IF(O486="",", Expected Revenue","")&amp;IF(COUNTIF(tbl_Finance[Job Number],$C486&amp;"")&gt;1,", Job number used twice",""),3,300)))</f>
        <v/>
      </c>
      <c r="Q486" s="10">
        <f>IF($C486="","",IF(H486="","(no cost centre)",H486&amp;" - GL "&amp;IFERROR(INDEX(lst_CCtoGL,MATCH(H486,lst_CCforGL,0)),"?")))</f>
        <v/>
      </c>
      <c r="R486" s="37" t="n"/>
      <c r="S486" s="10">
        <f>IF(R486="","",HYPERLINK(IF(LEFT(R486,4)="http",R486,set_QwilrBase&amp;R486),"Open quote"))</f>
        <v/>
      </c>
      <c r="T486" s="39" t="n"/>
      <c r="U486" s="39" t="n"/>
      <c r="V486" s="39" t="n"/>
      <c r="W486" s="10">
        <f>IF(C486="","",IF(N(T486)+N(U486)+N(V486)=0,"Not split",IF(ROUND(N(T486)+N(U486)+N(V486),2)=ROUND(MAX(N(L486),N(O486)),2),"OK","MISMATCH")))</f>
        <v/>
      </c>
      <c r="X486" s="39" t="n"/>
      <c r="Y486" s="39" t="n"/>
      <c r="Z486" s="39" t="n"/>
      <c r="AA486" s="11">
        <f>IF(C486="","",N(X486)+N(Y486)+N(Z486))</f>
        <v/>
      </c>
      <c r="AB486" s="11">
        <f>IF(C486="","",MAX(N(L486),N(O486))-N(AA486))</f>
        <v/>
      </c>
      <c r="AC486" s="43">
        <f>IFERROR(IF(MAX(N(L486),N(O486))=0,"",AB486/MAX(N(L486),N(O486))),"")</f>
        <v/>
      </c>
      <c r="AD486" s="37" t="n"/>
      <c r="AE486" s="10" t="inlineStr">
        <is>
          <t>CON-0482</t>
        </is>
      </c>
    </row>
    <row r="487">
      <c r="A487" s="16">
        <f>IF($C487="","",IFERROR(IF(INDEX(tbl_Finance[Latest Invoice Date],MATCH($AE487,tbl_Finance[Row ID],0))="","",INDEX(tbl_Finance[Latest Invoice Date],MATCH($AE487,tbl_Finance[Row ID],0))),""))</f>
        <v/>
      </c>
      <c r="B487" s="10">
        <f>IF($C487="","",IFERROR(INDEX(tbl_Finance[Invoice Numbers],MATCH($AE487,tbl_Finance[Row ID],0))&amp;"",""))</f>
        <v/>
      </c>
      <c r="C487" s="37" t="n"/>
      <c r="D487" s="10">
        <f>IF($C487="","",IF(COUNTIF(lst_Jobs,$C487&amp;"")&gt;0,"OK","CHECK"))</f>
        <v/>
      </c>
      <c r="E487" s="10">
        <f>IF($C487="","",IFERROR(INDEX(lst_JobName,MATCH($C487&amp;"",lst_Jobs,0)),""))</f>
        <v/>
      </c>
      <c r="F487" s="37" t="n"/>
      <c r="G487" s="37" t="n"/>
      <c r="H487" s="37" t="n"/>
      <c r="I487" s="37" t="n"/>
      <c r="J487" s="37" t="n"/>
      <c r="K487" s="38">
        <f>IF($C487="","",IFERROR(N(INDEX(tbl_Finance[Invoice Count],MATCH($AE487,tbl_Finance[Row ID],0))),""))</f>
        <v/>
      </c>
      <c r="L487" s="11">
        <f>IF($C487="","",IFERROR(N(INDEX(tbl_Finance[Xero Invoiced Ex GST],MATCH($AE487,tbl_Finance[Row ID],0))),""))</f>
        <v/>
      </c>
      <c r="M487" s="10">
        <f>IF($C487="","",IFERROR(INDEX(tbl_Finance[Compare],MATCH($AE487,tbl_Finance[Row ID],0))&amp;"",""))</f>
        <v/>
      </c>
      <c r="N487" s="11">
        <f>IF($C487="","",MAX(0,N(O487)-N(L487)))</f>
        <v/>
      </c>
      <c r="O487" s="39" t="n"/>
      <c r="P487" s="40">
        <f>IF($C487="","",IF((IF(F487="",", Client","")&amp;IF(G487="",", Description","")&amp;IF(H487="",", Cost Centre","")&amp;IF(I487="",", Invoice Type","")&amp;IF(J487="",", Tax Code","")&amp;IF(O487="",", Expected Revenue","")&amp;IF(COUNTIF(tbl_Finance[Job Number],$C487&amp;"")&gt;1,", Job number used twice",""))="","Complete","Fix: "&amp;MID(IF(F487="",", Client","")&amp;IF(G487="",", Description","")&amp;IF(H487="",", Cost Centre","")&amp;IF(I487="",", Invoice Type","")&amp;IF(J487="",", Tax Code","")&amp;IF(O487="",", Expected Revenue","")&amp;IF(COUNTIF(tbl_Finance[Job Number],$C487&amp;"")&gt;1,", Job number used twice",""),3,300)))</f>
        <v/>
      </c>
      <c r="Q487" s="10">
        <f>IF($C487="","",IF(H487="","(no cost centre)",H487&amp;" - GL "&amp;IFERROR(INDEX(lst_CCtoGL,MATCH(H487,lst_CCforGL,0)),"?")))</f>
        <v/>
      </c>
      <c r="R487" s="37" t="n"/>
      <c r="S487" s="10">
        <f>IF(R487="","",HYPERLINK(IF(LEFT(R487,4)="http",R487,set_QwilrBase&amp;R487),"Open quote"))</f>
        <v/>
      </c>
      <c r="T487" s="39" t="n"/>
      <c r="U487" s="39" t="n"/>
      <c r="V487" s="39" t="n"/>
      <c r="W487" s="10">
        <f>IF(C487="","",IF(N(T487)+N(U487)+N(V487)=0,"Not split",IF(ROUND(N(T487)+N(U487)+N(V487),2)=ROUND(MAX(N(L487),N(O487)),2),"OK","MISMATCH")))</f>
        <v/>
      </c>
      <c r="X487" s="39" t="n"/>
      <c r="Y487" s="39" t="n"/>
      <c r="Z487" s="39" t="n"/>
      <c r="AA487" s="11">
        <f>IF(C487="","",N(X487)+N(Y487)+N(Z487))</f>
        <v/>
      </c>
      <c r="AB487" s="11">
        <f>IF(C487="","",MAX(N(L487),N(O487))-N(AA487))</f>
        <v/>
      </c>
      <c r="AC487" s="43">
        <f>IFERROR(IF(MAX(N(L487),N(O487))=0,"",AB487/MAX(N(L487),N(O487))),"")</f>
        <v/>
      </c>
      <c r="AD487" s="37" t="n"/>
      <c r="AE487" s="10" t="inlineStr">
        <is>
          <t>CON-0483</t>
        </is>
      </c>
    </row>
    <row r="488">
      <c r="A488" s="16">
        <f>IF($C488="","",IFERROR(IF(INDEX(tbl_Finance[Latest Invoice Date],MATCH($AE488,tbl_Finance[Row ID],0))="","",INDEX(tbl_Finance[Latest Invoice Date],MATCH($AE488,tbl_Finance[Row ID],0))),""))</f>
        <v/>
      </c>
      <c r="B488" s="10">
        <f>IF($C488="","",IFERROR(INDEX(tbl_Finance[Invoice Numbers],MATCH($AE488,tbl_Finance[Row ID],0))&amp;"",""))</f>
        <v/>
      </c>
      <c r="C488" s="37" t="n"/>
      <c r="D488" s="10">
        <f>IF($C488="","",IF(COUNTIF(lst_Jobs,$C488&amp;"")&gt;0,"OK","CHECK"))</f>
        <v/>
      </c>
      <c r="E488" s="10">
        <f>IF($C488="","",IFERROR(INDEX(lst_JobName,MATCH($C488&amp;"",lst_Jobs,0)),""))</f>
        <v/>
      </c>
      <c r="F488" s="37" t="n"/>
      <c r="G488" s="37" t="n"/>
      <c r="H488" s="37" t="n"/>
      <c r="I488" s="37" t="n"/>
      <c r="J488" s="37" t="n"/>
      <c r="K488" s="38">
        <f>IF($C488="","",IFERROR(N(INDEX(tbl_Finance[Invoice Count],MATCH($AE488,tbl_Finance[Row ID],0))),""))</f>
        <v/>
      </c>
      <c r="L488" s="11">
        <f>IF($C488="","",IFERROR(N(INDEX(tbl_Finance[Xero Invoiced Ex GST],MATCH($AE488,tbl_Finance[Row ID],0))),""))</f>
        <v/>
      </c>
      <c r="M488" s="10">
        <f>IF($C488="","",IFERROR(INDEX(tbl_Finance[Compare],MATCH($AE488,tbl_Finance[Row ID],0))&amp;"",""))</f>
        <v/>
      </c>
      <c r="N488" s="11">
        <f>IF($C488="","",MAX(0,N(O488)-N(L488)))</f>
        <v/>
      </c>
      <c r="O488" s="39" t="n"/>
      <c r="P488" s="40">
        <f>IF($C488="","",IF((IF(F488="",", Client","")&amp;IF(G488="",", Description","")&amp;IF(H488="",", Cost Centre","")&amp;IF(I488="",", Invoice Type","")&amp;IF(J488="",", Tax Code","")&amp;IF(O488="",", Expected Revenue","")&amp;IF(COUNTIF(tbl_Finance[Job Number],$C488&amp;"")&gt;1,", Job number used twice",""))="","Complete","Fix: "&amp;MID(IF(F488="",", Client","")&amp;IF(G488="",", Description","")&amp;IF(H488="",", Cost Centre","")&amp;IF(I488="",", Invoice Type","")&amp;IF(J488="",", Tax Code","")&amp;IF(O488="",", Expected Revenue","")&amp;IF(COUNTIF(tbl_Finance[Job Number],$C488&amp;"")&gt;1,", Job number used twice",""),3,300)))</f>
        <v/>
      </c>
      <c r="Q488" s="10">
        <f>IF($C488="","",IF(H488="","(no cost centre)",H488&amp;" - GL "&amp;IFERROR(INDEX(lst_CCtoGL,MATCH(H488,lst_CCforGL,0)),"?")))</f>
        <v/>
      </c>
      <c r="R488" s="37" t="n"/>
      <c r="S488" s="10">
        <f>IF(R488="","",HYPERLINK(IF(LEFT(R488,4)="http",R488,set_QwilrBase&amp;R488),"Open quote"))</f>
        <v/>
      </c>
      <c r="T488" s="39" t="n"/>
      <c r="U488" s="39" t="n"/>
      <c r="V488" s="39" t="n"/>
      <c r="W488" s="10">
        <f>IF(C488="","",IF(N(T488)+N(U488)+N(V488)=0,"Not split",IF(ROUND(N(T488)+N(U488)+N(V488),2)=ROUND(MAX(N(L488),N(O488)),2),"OK","MISMATCH")))</f>
        <v/>
      </c>
      <c r="X488" s="39" t="n"/>
      <c r="Y488" s="39" t="n"/>
      <c r="Z488" s="39" t="n"/>
      <c r="AA488" s="11">
        <f>IF(C488="","",N(X488)+N(Y488)+N(Z488))</f>
        <v/>
      </c>
      <c r="AB488" s="11">
        <f>IF(C488="","",MAX(N(L488),N(O488))-N(AA488))</f>
        <v/>
      </c>
      <c r="AC488" s="43">
        <f>IFERROR(IF(MAX(N(L488),N(O488))=0,"",AB488/MAX(N(L488),N(O488))),"")</f>
        <v/>
      </c>
      <c r="AD488" s="37" t="n"/>
      <c r="AE488" s="10" t="inlineStr">
        <is>
          <t>CON-0484</t>
        </is>
      </c>
    </row>
    <row r="489">
      <c r="A489" s="16">
        <f>IF($C489="","",IFERROR(IF(INDEX(tbl_Finance[Latest Invoice Date],MATCH($AE489,tbl_Finance[Row ID],0))="","",INDEX(tbl_Finance[Latest Invoice Date],MATCH($AE489,tbl_Finance[Row ID],0))),""))</f>
        <v/>
      </c>
      <c r="B489" s="10">
        <f>IF($C489="","",IFERROR(INDEX(tbl_Finance[Invoice Numbers],MATCH($AE489,tbl_Finance[Row ID],0))&amp;"",""))</f>
        <v/>
      </c>
      <c r="C489" s="37" t="n"/>
      <c r="D489" s="10">
        <f>IF($C489="","",IF(COUNTIF(lst_Jobs,$C489&amp;"")&gt;0,"OK","CHECK"))</f>
        <v/>
      </c>
      <c r="E489" s="10">
        <f>IF($C489="","",IFERROR(INDEX(lst_JobName,MATCH($C489&amp;"",lst_Jobs,0)),""))</f>
        <v/>
      </c>
      <c r="F489" s="37" t="n"/>
      <c r="G489" s="37" t="n"/>
      <c r="H489" s="37" t="n"/>
      <c r="I489" s="37" t="n"/>
      <c r="J489" s="37" t="n"/>
      <c r="K489" s="38">
        <f>IF($C489="","",IFERROR(N(INDEX(tbl_Finance[Invoice Count],MATCH($AE489,tbl_Finance[Row ID],0))),""))</f>
        <v/>
      </c>
      <c r="L489" s="11">
        <f>IF($C489="","",IFERROR(N(INDEX(tbl_Finance[Xero Invoiced Ex GST],MATCH($AE489,tbl_Finance[Row ID],0))),""))</f>
        <v/>
      </c>
      <c r="M489" s="10">
        <f>IF($C489="","",IFERROR(INDEX(tbl_Finance[Compare],MATCH($AE489,tbl_Finance[Row ID],0))&amp;"",""))</f>
        <v/>
      </c>
      <c r="N489" s="11">
        <f>IF($C489="","",MAX(0,N(O489)-N(L489)))</f>
        <v/>
      </c>
      <c r="O489" s="39" t="n"/>
      <c r="P489" s="40">
        <f>IF($C489="","",IF((IF(F489="",", Client","")&amp;IF(G489="",", Description","")&amp;IF(H489="",", Cost Centre","")&amp;IF(I489="",", Invoice Type","")&amp;IF(J489="",", Tax Code","")&amp;IF(O489="",", Expected Revenue","")&amp;IF(COUNTIF(tbl_Finance[Job Number],$C489&amp;"")&gt;1,", Job number used twice",""))="","Complete","Fix: "&amp;MID(IF(F489="",", Client","")&amp;IF(G489="",", Description","")&amp;IF(H489="",", Cost Centre","")&amp;IF(I489="",", Invoice Type","")&amp;IF(J489="",", Tax Code","")&amp;IF(O489="",", Expected Revenue","")&amp;IF(COUNTIF(tbl_Finance[Job Number],$C489&amp;"")&gt;1,", Job number used twice",""),3,300)))</f>
        <v/>
      </c>
      <c r="Q489" s="10">
        <f>IF($C489="","",IF(H489="","(no cost centre)",H489&amp;" - GL "&amp;IFERROR(INDEX(lst_CCtoGL,MATCH(H489,lst_CCforGL,0)),"?")))</f>
        <v/>
      </c>
      <c r="R489" s="37" t="n"/>
      <c r="S489" s="10">
        <f>IF(R489="","",HYPERLINK(IF(LEFT(R489,4)="http",R489,set_QwilrBase&amp;R489),"Open quote"))</f>
        <v/>
      </c>
      <c r="T489" s="39" t="n"/>
      <c r="U489" s="39" t="n"/>
      <c r="V489" s="39" t="n"/>
      <c r="W489" s="10">
        <f>IF(C489="","",IF(N(T489)+N(U489)+N(V489)=0,"Not split",IF(ROUND(N(T489)+N(U489)+N(V489),2)=ROUND(MAX(N(L489),N(O489)),2),"OK","MISMATCH")))</f>
        <v/>
      </c>
      <c r="X489" s="39" t="n"/>
      <c r="Y489" s="39" t="n"/>
      <c r="Z489" s="39" t="n"/>
      <c r="AA489" s="11">
        <f>IF(C489="","",N(X489)+N(Y489)+N(Z489))</f>
        <v/>
      </c>
      <c r="AB489" s="11">
        <f>IF(C489="","",MAX(N(L489),N(O489))-N(AA489))</f>
        <v/>
      </c>
      <c r="AC489" s="43">
        <f>IFERROR(IF(MAX(N(L489),N(O489))=0,"",AB489/MAX(N(L489),N(O489))),"")</f>
        <v/>
      </c>
      <c r="AD489" s="37" t="n"/>
      <c r="AE489" s="10" t="inlineStr">
        <is>
          <t>CON-0485</t>
        </is>
      </c>
    </row>
    <row r="490">
      <c r="A490" s="16">
        <f>IF($C490="","",IFERROR(IF(INDEX(tbl_Finance[Latest Invoice Date],MATCH($AE490,tbl_Finance[Row ID],0))="","",INDEX(tbl_Finance[Latest Invoice Date],MATCH($AE490,tbl_Finance[Row ID],0))),""))</f>
        <v/>
      </c>
      <c r="B490" s="10">
        <f>IF($C490="","",IFERROR(INDEX(tbl_Finance[Invoice Numbers],MATCH($AE490,tbl_Finance[Row ID],0))&amp;"",""))</f>
        <v/>
      </c>
      <c r="C490" s="37" t="n"/>
      <c r="D490" s="10">
        <f>IF($C490="","",IF(COUNTIF(lst_Jobs,$C490&amp;"")&gt;0,"OK","CHECK"))</f>
        <v/>
      </c>
      <c r="E490" s="10">
        <f>IF($C490="","",IFERROR(INDEX(lst_JobName,MATCH($C490&amp;"",lst_Jobs,0)),""))</f>
        <v/>
      </c>
      <c r="F490" s="37" t="n"/>
      <c r="G490" s="37" t="n"/>
      <c r="H490" s="37" t="n"/>
      <c r="I490" s="37" t="n"/>
      <c r="J490" s="37" t="n"/>
      <c r="K490" s="38">
        <f>IF($C490="","",IFERROR(N(INDEX(tbl_Finance[Invoice Count],MATCH($AE490,tbl_Finance[Row ID],0))),""))</f>
        <v/>
      </c>
      <c r="L490" s="11">
        <f>IF($C490="","",IFERROR(N(INDEX(tbl_Finance[Xero Invoiced Ex GST],MATCH($AE490,tbl_Finance[Row ID],0))),""))</f>
        <v/>
      </c>
      <c r="M490" s="10">
        <f>IF($C490="","",IFERROR(INDEX(tbl_Finance[Compare],MATCH($AE490,tbl_Finance[Row ID],0))&amp;"",""))</f>
        <v/>
      </c>
      <c r="N490" s="11">
        <f>IF($C490="","",MAX(0,N(O490)-N(L490)))</f>
        <v/>
      </c>
      <c r="O490" s="39" t="n"/>
      <c r="P490" s="40">
        <f>IF($C490="","",IF((IF(F490="",", Client","")&amp;IF(G490="",", Description","")&amp;IF(H490="",", Cost Centre","")&amp;IF(I490="",", Invoice Type","")&amp;IF(J490="",", Tax Code","")&amp;IF(O490="",", Expected Revenue","")&amp;IF(COUNTIF(tbl_Finance[Job Number],$C490&amp;"")&gt;1,", Job number used twice",""))="","Complete","Fix: "&amp;MID(IF(F490="",", Client","")&amp;IF(G490="",", Description","")&amp;IF(H490="",", Cost Centre","")&amp;IF(I490="",", Invoice Type","")&amp;IF(J490="",", Tax Code","")&amp;IF(O490="",", Expected Revenue","")&amp;IF(COUNTIF(tbl_Finance[Job Number],$C490&amp;"")&gt;1,", Job number used twice",""),3,300)))</f>
        <v/>
      </c>
      <c r="Q490" s="10">
        <f>IF($C490="","",IF(H490="","(no cost centre)",H490&amp;" - GL "&amp;IFERROR(INDEX(lst_CCtoGL,MATCH(H490,lst_CCforGL,0)),"?")))</f>
        <v/>
      </c>
      <c r="R490" s="37" t="n"/>
      <c r="S490" s="10">
        <f>IF(R490="","",HYPERLINK(IF(LEFT(R490,4)="http",R490,set_QwilrBase&amp;R490),"Open quote"))</f>
        <v/>
      </c>
      <c r="T490" s="39" t="n"/>
      <c r="U490" s="39" t="n"/>
      <c r="V490" s="39" t="n"/>
      <c r="W490" s="10">
        <f>IF(C490="","",IF(N(T490)+N(U490)+N(V490)=0,"Not split",IF(ROUND(N(T490)+N(U490)+N(V490),2)=ROUND(MAX(N(L490),N(O490)),2),"OK","MISMATCH")))</f>
        <v/>
      </c>
      <c r="X490" s="39" t="n"/>
      <c r="Y490" s="39" t="n"/>
      <c r="Z490" s="39" t="n"/>
      <c r="AA490" s="11">
        <f>IF(C490="","",N(X490)+N(Y490)+N(Z490))</f>
        <v/>
      </c>
      <c r="AB490" s="11">
        <f>IF(C490="","",MAX(N(L490),N(O490))-N(AA490))</f>
        <v/>
      </c>
      <c r="AC490" s="43">
        <f>IFERROR(IF(MAX(N(L490),N(O490))=0,"",AB490/MAX(N(L490),N(O490))),"")</f>
        <v/>
      </c>
      <c r="AD490" s="37" t="n"/>
      <c r="AE490" s="10" t="inlineStr">
        <is>
          <t>CON-0486</t>
        </is>
      </c>
    </row>
    <row r="491">
      <c r="A491" s="16">
        <f>IF($C491="","",IFERROR(IF(INDEX(tbl_Finance[Latest Invoice Date],MATCH($AE491,tbl_Finance[Row ID],0))="","",INDEX(tbl_Finance[Latest Invoice Date],MATCH($AE491,tbl_Finance[Row ID],0))),""))</f>
        <v/>
      </c>
      <c r="B491" s="10">
        <f>IF($C491="","",IFERROR(INDEX(tbl_Finance[Invoice Numbers],MATCH($AE491,tbl_Finance[Row ID],0))&amp;"",""))</f>
        <v/>
      </c>
      <c r="C491" s="37" t="n"/>
      <c r="D491" s="10">
        <f>IF($C491="","",IF(COUNTIF(lst_Jobs,$C491&amp;"")&gt;0,"OK","CHECK"))</f>
        <v/>
      </c>
      <c r="E491" s="10">
        <f>IF($C491="","",IFERROR(INDEX(lst_JobName,MATCH($C491&amp;"",lst_Jobs,0)),""))</f>
        <v/>
      </c>
      <c r="F491" s="37" t="n"/>
      <c r="G491" s="37" t="n"/>
      <c r="H491" s="37" t="n"/>
      <c r="I491" s="37" t="n"/>
      <c r="J491" s="37" t="n"/>
      <c r="K491" s="38">
        <f>IF($C491="","",IFERROR(N(INDEX(tbl_Finance[Invoice Count],MATCH($AE491,tbl_Finance[Row ID],0))),""))</f>
        <v/>
      </c>
      <c r="L491" s="11">
        <f>IF($C491="","",IFERROR(N(INDEX(tbl_Finance[Xero Invoiced Ex GST],MATCH($AE491,tbl_Finance[Row ID],0))),""))</f>
        <v/>
      </c>
      <c r="M491" s="10">
        <f>IF($C491="","",IFERROR(INDEX(tbl_Finance[Compare],MATCH($AE491,tbl_Finance[Row ID],0))&amp;"",""))</f>
        <v/>
      </c>
      <c r="N491" s="11">
        <f>IF($C491="","",MAX(0,N(O491)-N(L491)))</f>
        <v/>
      </c>
      <c r="O491" s="39" t="n"/>
      <c r="P491" s="40">
        <f>IF($C491="","",IF((IF(F491="",", Client","")&amp;IF(G491="",", Description","")&amp;IF(H491="",", Cost Centre","")&amp;IF(I491="",", Invoice Type","")&amp;IF(J491="",", Tax Code","")&amp;IF(O491="",", Expected Revenue","")&amp;IF(COUNTIF(tbl_Finance[Job Number],$C491&amp;"")&gt;1,", Job number used twice",""))="","Complete","Fix: "&amp;MID(IF(F491="",", Client","")&amp;IF(G491="",", Description","")&amp;IF(H491="",", Cost Centre","")&amp;IF(I491="",", Invoice Type","")&amp;IF(J491="",", Tax Code","")&amp;IF(O491="",", Expected Revenue","")&amp;IF(COUNTIF(tbl_Finance[Job Number],$C491&amp;"")&gt;1,", Job number used twice",""),3,300)))</f>
        <v/>
      </c>
      <c r="Q491" s="10">
        <f>IF($C491="","",IF(H491="","(no cost centre)",H491&amp;" - GL "&amp;IFERROR(INDEX(lst_CCtoGL,MATCH(H491,lst_CCforGL,0)),"?")))</f>
        <v/>
      </c>
      <c r="R491" s="37" t="n"/>
      <c r="S491" s="10">
        <f>IF(R491="","",HYPERLINK(IF(LEFT(R491,4)="http",R491,set_QwilrBase&amp;R491),"Open quote"))</f>
        <v/>
      </c>
      <c r="T491" s="39" t="n"/>
      <c r="U491" s="39" t="n"/>
      <c r="V491" s="39" t="n"/>
      <c r="W491" s="10">
        <f>IF(C491="","",IF(N(T491)+N(U491)+N(V491)=0,"Not split",IF(ROUND(N(T491)+N(U491)+N(V491),2)=ROUND(MAX(N(L491),N(O491)),2),"OK","MISMATCH")))</f>
        <v/>
      </c>
      <c r="X491" s="39" t="n"/>
      <c r="Y491" s="39" t="n"/>
      <c r="Z491" s="39" t="n"/>
      <c r="AA491" s="11">
        <f>IF(C491="","",N(X491)+N(Y491)+N(Z491))</f>
        <v/>
      </c>
      <c r="AB491" s="11">
        <f>IF(C491="","",MAX(N(L491),N(O491))-N(AA491))</f>
        <v/>
      </c>
      <c r="AC491" s="43">
        <f>IFERROR(IF(MAX(N(L491),N(O491))=0,"",AB491/MAX(N(L491),N(O491))),"")</f>
        <v/>
      </c>
      <c r="AD491" s="37" t="n"/>
      <c r="AE491" s="10" t="inlineStr">
        <is>
          <t>CON-0487</t>
        </is>
      </c>
    </row>
    <row r="492">
      <c r="A492" s="16">
        <f>IF($C492="","",IFERROR(IF(INDEX(tbl_Finance[Latest Invoice Date],MATCH($AE492,tbl_Finance[Row ID],0))="","",INDEX(tbl_Finance[Latest Invoice Date],MATCH($AE492,tbl_Finance[Row ID],0))),""))</f>
        <v/>
      </c>
      <c r="B492" s="10">
        <f>IF($C492="","",IFERROR(INDEX(tbl_Finance[Invoice Numbers],MATCH($AE492,tbl_Finance[Row ID],0))&amp;"",""))</f>
        <v/>
      </c>
      <c r="C492" s="37" t="n"/>
      <c r="D492" s="10">
        <f>IF($C492="","",IF(COUNTIF(lst_Jobs,$C492&amp;"")&gt;0,"OK","CHECK"))</f>
        <v/>
      </c>
      <c r="E492" s="10">
        <f>IF($C492="","",IFERROR(INDEX(lst_JobName,MATCH($C492&amp;"",lst_Jobs,0)),""))</f>
        <v/>
      </c>
      <c r="F492" s="37" t="n"/>
      <c r="G492" s="37" t="n"/>
      <c r="H492" s="37" t="n"/>
      <c r="I492" s="37" t="n"/>
      <c r="J492" s="37" t="n"/>
      <c r="K492" s="38">
        <f>IF($C492="","",IFERROR(N(INDEX(tbl_Finance[Invoice Count],MATCH($AE492,tbl_Finance[Row ID],0))),""))</f>
        <v/>
      </c>
      <c r="L492" s="11">
        <f>IF($C492="","",IFERROR(N(INDEX(tbl_Finance[Xero Invoiced Ex GST],MATCH($AE492,tbl_Finance[Row ID],0))),""))</f>
        <v/>
      </c>
      <c r="M492" s="10">
        <f>IF($C492="","",IFERROR(INDEX(tbl_Finance[Compare],MATCH($AE492,tbl_Finance[Row ID],0))&amp;"",""))</f>
        <v/>
      </c>
      <c r="N492" s="11">
        <f>IF($C492="","",MAX(0,N(O492)-N(L492)))</f>
        <v/>
      </c>
      <c r="O492" s="39" t="n"/>
      <c r="P492" s="40">
        <f>IF($C492="","",IF((IF(F492="",", Client","")&amp;IF(G492="",", Description","")&amp;IF(H492="",", Cost Centre","")&amp;IF(I492="",", Invoice Type","")&amp;IF(J492="",", Tax Code","")&amp;IF(O492="",", Expected Revenue","")&amp;IF(COUNTIF(tbl_Finance[Job Number],$C492&amp;"")&gt;1,", Job number used twice",""))="","Complete","Fix: "&amp;MID(IF(F492="",", Client","")&amp;IF(G492="",", Description","")&amp;IF(H492="",", Cost Centre","")&amp;IF(I492="",", Invoice Type","")&amp;IF(J492="",", Tax Code","")&amp;IF(O492="",", Expected Revenue","")&amp;IF(COUNTIF(tbl_Finance[Job Number],$C492&amp;"")&gt;1,", Job number used twice",""),3,300)))</f>
        <v/>
      </c>
      <c r="Q492" s="10">
        <f>IF($C492="","",IF(H492="","(no cost centre)",H492&amp;" - GL "&amp;IFERROR(INDEX(lst_CCtoGL,MATCH(H492,lst_CCforGL,0)),"?")))</f>
        <v/>
      </c>
      <c r="R492" s="37" t="n"/>
      <c r="S492" s="10">
        <f>IF(R492="","",HYPERLINK(IF(LEFT(R492,4)="http",R492,set_QwilrBase&amp;R492),"Open quote"))</f>
        <v/>
      </c>
      <c r="T492" s="39" t="n"/>
      <c r="U492" s="39" t="n"/>
      <c r="V492" s="39" t="n"/>
      <c r="W492" s="10">
        <f>IF(C492="","",IF(N(T492)+N(U492)+N(V492)=0,"Not split",IF(ROUND(N(T492)+N(U492)+N(V492),2)=ROUND(MAX(N(L492),N(O492)),2),"OK","MISMATCH")))</f>
        <v/>
      </c>
      <c r="X492" s="39" t="n"/>
      <c r="Y492" s="39" t="n"/>
      <c r="Z492" s="39" t="n"/>
      <c r="AA492" s="11">
        <f>IF(C492="","",N(X492)+N(Y492)+N(Z492))</f>
        <v/>
      </c>
      <c r="AB492" s="11">
        <f>IF(C492="","",MAX(N(L492),N(O492))-N(AA492))</f>
        <v/>
      </c>
      <c r="AC492" s="43">
        <f>IFERROR(IF(MAX(N(L492),N(O492))=0,"",AB492/MAX(N(L492),N(O492))),"")</f>
        <v/>
      </c>
      <c r="AD492" s="37" t="n"/>
      <c r="AE492" s="10" t="inlineStr">
        <is>
          <t>CON-0488</t>
        </is>
      </c>
    </row>
    <row r="493">
      <c r="A493" s="16">
        <f>IF($C493="","",IFERROR(IF(INDEX(tbl_Finance[Latest Invoice Date],MATCH($AE493,tbl_Finance[Row ID],0))="","",INDEX(tbl_Finance[Latest Invoice Date],MATCH($AE493,tbl_Finance[Row ID],0))),""))</f>
        <v/>
      </c>
      <c r="B493" s="10">
        <f>IF($C493="","",IFERROR(INDEX(tbl_Finance[Invoice Numbers],MATCH($AE493,tbl_Finance[Row ID],0))&amp;"",""))</f>
        <v/>
      </c>
      <c r="C493" s="37" t="n"/>
      <c r="D493" s="10">
        <f>IF($C493="","",IF(COUNTIF(lst_Jobs,$C493&amp;"")&gt;0,"OK","CHECK"))</f>
        <v/>
      </c>
      <c r="E493" s="10">
        <f>IF($C493="","",IFERROR(INDEX(lst_JobName,MATCH($C493&amp;"",lst_Jobs,0)),""))</f>
        <v/>
      </c>
      <c r="F493" s="37" t="n"/>
      <c r="G493" s="37" t="n"/>
      <c r="H493" s="37" t="n"/>
      <c r="I493" s="37" t="n"/>
      <c r="J493" s="37" t="n"/>
      <c r="K493" s="38">
        <f>IF($C493="","",IFERROR(N(INDEX(tbl_Finance[Invoice Count],MATCH($AE493,tbl_Finance[Row ID],0))),""))</f>
        <v/>
      </c>
      <c r="L493" s="11">
        <f>IF($C493="","",IFERROR(N(INDEX(tbl_Finance[Xero Invoiced Ex GST],MATCH($AE493,tbl_Finance[Row ID],0))),""))</f>
        <v/>
      </c>
      <c r="M493" s="10">
        <f>IF($C493="","",IFERROR(INDEX(tbl_Finance[Compare],MATCH($AE493,tbl_Finance[Row ID],0))&amp;"",""))</f>
        <v/>
      </c>
      <c r="N493" s="11">
        <f>IF($C493="","",MAX(0,N(O493)-N(L493)))</f>
        <v/>
      </c>
      <c r="O493" s="39" t="n"/>
      <c r="P493" s="40">
        <f>IF($C493="","",IF((IF(F493="",", Client","")&amp;IF(G493="",", Description","")&amp;IF(H493="",", Cost Centre","")&amp;IF(I493="",", Invoice Type","")&amp;IF(J493="",", Tax Code","")&amp;IF(O493="",", Expected Revenue","")&amp;IF(COUNTIF(tbl_Finance[Job Number],$C493&amp;"")&gt;1,", Job number used twice",""))="","Complete","Fix: "&amp;MID(IF(F493="",", Client","")&amp;IF(G493="",", Description","")&amp;IF(H493="",", Cost Centre","")&amp;IF(I493="",", Invoice Type","")&amp;IF(J493="",", Tax Code","")&amp;IF(O493="",", Expected Revenue","")&amp;IF(COUNTIF(tbl_Finance[Job Number],$C493&amp;"")&gt;1,", Job number used twice",""),3,300)))</f>
        <v/>
      </c>
      <c r="Q493" s="10">
        <f>IF($C493="","",IF(H493="","(no cost centre)",H493&amp;" - GL "&amp;IFERROR(INDEX(lst_CCtoGL,MATCH(H493,lst_CCforGL,0)),"?")))</f>
        <v/>
      </c>
      <c r="R493" s="37" t="n"/>
      <c r="S493" s="10">
        <f>IF(R493="","",HYPERLINK(IF(LEFT(R493,4)="http",R493,set_QwilrBase&amp;R493),"Open quote"))</f>
        <v/>
      </c>
      <c r="T493" s="39" t="n"/>
      <c r="U493" s="39" t="n"/>
      <c r="V493" s="39" t="n"/>
      <c r="W493" s="10">
        <f>IF(C493="","",IF(N(T493)+N(U493)+N(V493)=0,"Not split",IF(ROUND(N(T493)+N(U493)+N(V493),2)=ROUND(MAX(N(L493),N(O493)),2),"OK","MISMATCH")))</f>
        <v/>
      </c>
      <c r="X493" s="39" t="n"/>
      <c r="Y493" s="39" t="n"/>
      <c r="Z493" s="39" t="n"/>
      <c r="AA493" s="11">
        <f>IF(C493="","",N(X493)+N(Y493)+N(Z493))</f>
        <v/>
      </c>
      <c r="AB493" s="11">
        <f>IF(C493="","",MAX(N(L493),N(O493))-N(AA493))</f>
        <v/>
      </c>
      <c r="AC493" s="43">
        <f>IFERROR(IF(MAX(N(L493),N(O493))=0,"",AB493/MAX(N(L493),N(O493))),"")</f>
        <v/>
      </c>
      <c r="AD493" s="37" t="n"/>
      <c r="AE493" s="10" t="inlineStr">
        <is>
          <t>CON-0489</t>
        </is>
      </c>
    </row>
    <row r="494">
      <c r="A494" s="16">
        <f>IF($C494="","",IFERROR(IF(INDEX(tbl_Finance[Latest Invoice Date],MATCH($AE494,tbl_Finance[Row ID],0))="","",INDEX(tbl_Finance[Latest Invoice Date],MATCH($AE494,tbl_Finance[Row ID],0))),""))</f>
        <v/>
      </c>
      <c r="B494" s="10">
        <f>IF($C494="","",IFERROR(INDEX(tbl_Finance[Invoice Numbers],MATCH($AE494,tbl_Finance[Row ID],0))&amp;"",""))</f>
        <v/>
      </c>
      <c r="C494" s="37" t="n"/>
      <c r="D494" s="10">
        <f>IF($C494="","",IF(COUNTIF(lst_Jobs,$C494&amp;"")&gt;0,"OK","CHECK"))</f>
        <v/>
      </c>
      <c r="E494" s="10">
        <f>IF($C494="","",IFERROR(INDEX(lst_JobName,MATCH($C494&amp;"",lst_Jobs,0)),""))</f>
        <v/>
      </c>
      <c r="F494" s="37" t="n"/>
      <c r="G494" s="37" t="n"/>
      <c r="H494" s="37" t="n"/>
      <c r="I494" s="37" t="n"/>
      <c r="J494" s="37" t="n"/>
      <c r="K494" s="38">
        <f>IF($C494="","",IFERROR(N(INDEX(tbl_Finance[Invoice Count],MATCH($AE494,tbl_Finance[Row ID],0))),""))</f>
        <v/>
      </c>
      <c r="L494" s="11">
        <f>IF($C494="","",IFERROR(N(INDEX(tbl_Finance[Xero Invoiced Ex GST],MATCH($AE494,tbl_Finance[Row ID],0))),""))</f>
        <v/>
      </c>
      <c r="M494" s="10">
        <f>IF($C494="","",IFERROR(INDEX(tbl_Finance[Compare],MATCH($AE494,tbl_Finance[Row ID],0))&amp;"",""))</f>
        <v/>
      </c>
      <c r="N494" s="11">
        <f>IF($C494="","",MAX(0,N(O494)-N(L494)))</f>
        <v/>
      </c>
      <c r="O494" s="39" t="n"/>
      <c r="P494" s="40">
        <f>IF($C494="","",IF((IF(F494="",", Client","")&amp;IF(G494="",", Description","")&amp;IF(H494="",", Cost Centre","")&amp;IF(I494="",", Invoice Type","")&amp;IF(J494="",", Tax Code","")&amp;IF(O494="",", Expected Revenue","")&amp;IF(COUNTIF(tbl_Finance[Job Number],$C494&amp;"")&gt;1,", Job number used twice",""))="","Complete","Fix: "&amp;MID(IF(F494="",", Client","")&amp;IF(G494="",", Description","")&amp;IF(H494="",", Cost Centre","")&amp;IF(I494="",", Invoice Type","")&amp;IF(J494="",", Tax Code","")&amp;IF(O494="",", Expected Revenue","")&amp;IF(COUNTIF(tbl_Finance[Job Number],$C494&amp;"")&gt;1,", Job number used twice",""),3,300)))</f>
        <v/>
      </c>
      <c r="Q494" s="10">
        <f>IF($C494="","",IF(H494="","(no cost centre)",H494&amp;" - GL "&amp;IFERROR(INDEX(lst_CCtoGL,MATCH(H494,lst_CCforGL,0)),"?")))</f>
        <v/>
      </c>
      <c r="R494" s="37" t="n"/>
      <c r="S494" s="10">
        <f>IF(R494="","",HYPERLINK(IF(LEFT(R494,4)="http",R494,set_QwilrBase&amp;R494),"Open quote"))</f>
        <v/>
      </c>
      <c r="T494" s="39" t="n"/>
      <c r="U494" s="39" t="n"/>
      <c r="V494" s="39" t="n"/>
      <c r="W494" s="10">
        <f>IF(C494="","",IF(N(T494)+N(U494)+N(V494)=0,"Not split",IF(ROUND(N(T494)+N(U494)+N(V494),2)=ROUND(MAX(N(L494),N(O494)),2),"OK","MISMATCH")))</f>
        <v/>
      </c>
      <c r="X494" s="39" t="n"/>
      <c r="Y494" s="39" t="n"/>
      <c r="Z494" s="39" t="n"/>
      <c r="AA494" s="11">
        <f>IF(C494="","",N(X494)+N(Y494)+N(Z494))</f>
        <v/>
      </c>
      <c r="AB494" s="11">
        <f>IF(C494="","",MAX(N(L494),N(O494))-N(AA494))</f>
        <v/>
      </c>
      <c r="AC494" s="43">
        <f>IFERROR(IF(MAX(N(L494),N(O494))=0,"",AB494/MAX(N(L494),N(O494))),"")</f>
        <v/>
      </c>
      <c r="AD494" s="37" t="n"/>
      <c r="AE494" s="10" t="inlineStr">
        <is>
          <t>CON-0490</t>
        </is>
      </c>
    </row>
    <row r="495">
      <c r="A495" s="16">
        <f>IF($C495="","",IFERROR(IF(INDEX(tbl_Finance[Latest Invoice Date],MATCH($AE495,tbl_Finance[Row ID],0))="","",INDEX(tbl_Finance[Latest Invoice Date],MATCH($AE495,tbl_Finance[Row ID],0))),""))</f>
        <v/>
      </c>
      <c r="B495" s="10">
        <f>IF($C495="","",IFERROR(INDEX(tbl_Finance[Invoice Numbers],MATCH($AE495,tbl_Finance[Row ID],0))&amp;"",""))</f>
        <v/>
      </c>
      <c r="C495" s="37" t="n"/>
      <c r="D495" s="10">
        <f>IF($C495="","",IF(COUNTIF(lst_Jobs,$C495&amp;"")&gt;0,"OK","CHECK"))</f>
        <v/>
      </c>
      <c r="E495" s="10">
        <f>IF($C495="","",IFERROR(INDEX(lst_JobName,MATCH($C495&amp;"",lst_Jobs,0)),""))</f>
        <v/>
      </c>
      <c r="F495" s="37" t="n"/>
      <c r="G495" s="37" t="n"/>
      <c r="H495" s="37" t="n"/>
      <c r="I495" s="37" t="n"/>
      <c r="J495" s="37" t="n"/>
      <c r="K495" s="38">
        <f>IF($C495="","",IFERROR(N(INDEX(tbl_Finance[Invoice Count],MATCH($AE495,tbl_Finance[Row ID],0))),""))</f>
        <v/>
      </c>
      <c r="L495" s="11">
        <f>IF($C495="","",IFERROR(N(INDEX(tbl_Finance[Xero Invoiced Ex GST],MATCH($AE495,tbl_Finance[Row ID],0))),""))</f>
        <v/>
      </c>
      <c r="M495" s="10">
        <f>IF($C495="","",IFERROR(INDEX(tbl_Finance[Compare],MATCH($AE495,tbl_Finance[Row ID],0))&amp;"",""))</f>
        <v/>
      </c>
      <c r="N495" s="11">
        <f>IF($C495="","",MAX(0,N(O495)-N(L495)))</f>
        <v/>
      </c>
      <c r="O495" s="39" t="n"/>
      <c r="P495" s="40">
        <f>IF($C495="","",IF((IF(F495="",", Client","")&amp;IF(G495="",", Description","")&amp;IF(H495="",", Cost Centre","")&amp;IF(I495="",", Invoice Type","")&amp;IF(J495="",", Tax Code","")&amp;IF(O495="",", Expected Revenue","")&amp;IF(COUNTIF(tbl_Finance[Job Number],$C495&amp;"")&gt;1,", Job number used twice",""))="","Complete","Fix: "&amp;MID(IF(F495="",", Client","")&amp;IF(G495="",", Description","")&amp;IF(H495="",", Cost Centre","")&amp;IF(I495="",", Invoice Type","")&amp;IF(J495="",", Tax Code","")&amp;IF(O495="",", Expected Revenue","")&amp;IF(COUNTIF(tbl_Finance[Job Number],$C495&amp;"")&gt;1,", Job number used twice",""),3,300)))</f>
        <v/>
      </c>
      <c r="Q495" s="10">
        <f>IF($C495="","",IF(H495="","(no cost centre)",H495&amp;" - GL "&amp;IFERROR(INDEX(lst_CCtoGL,MATCH(H495,lst_CCforGL,0)),"?")))</f>
        <v/>
      </c>
      <c r="R495" s="37" t="n"/>
      <c r="S495" s="10">
        <f>IF(R495="","",HYPERLINK(IF(LEFT(R495,4)="http",R495,set_QwilrBase&amp;R495),"Open quote"))</f>
        <v/>
      </c>
      <c r="T495" s="39" t="n"/>
      <c r="U495" s="39" t="n"/>
      <c r="V495" s="39" t="n"/>
      <c r="W495" s="10">
        <f>IF(C495="","",IF(N(T495)+N(U495)+N(V495)=0,"Not split",IF(ROUND(N(T495)+N(U495)+N(V495),2)=ROUND(MAX(N(L495),N(O495)),2),"OK","MISMATCH")))</f>
        <v/>
      </c>
      <c r="X495" s="39" t="n"/>
      <c r="Y495" s="39" t="n"/>
      <c r="Z495" s="39" t="n"/>
      <c r="AA495" s="11">
        <f>IF(C495="","",N(X495)+N(Y495)+N(Z495))</f>
        <v/>
      </c>
      <c r="AB495" s="11">
        <f>IF(C495="","",MAX(N(L495),N(O495))-N(AA495))</f>
        <v/>
      </c>
      <c r="AC495" s="43">
        <f>IFERROR(IF(MAX(N(L495),N(O495))=0,"",AB495/MAX(N(L495),N(O495))),"")</f>
        <v/>
      </c>
      <c r="AD495" s="37" t="n"/>
      <c r="AE495" s="10" t="inlineStr">
        <is>
          <t>CON-0491</t>
        </is>
      </c>
    </row>
    <row r="496">
      <c r="A496" s="16">
        <f>IF($C496="","",IFERROR(IF(INDEX(tbl_Finance[Latest Invoice Date],MATCH($AE496,tbl_Finance[Row ID],0))="","",INDEX(tbl_Finance[Latest Invoice Date],MATCH($AE496,tbl_Finance[Row ID],0))),""))</f>
        <v/>
      </c>
      <c r="B496" s="10">
        <f>IF($C496="","",IFERROR(INDEX(tbl_Finance[Invoice Numbers],MATCH($AE496,tbl_Finance[Row ID],0))&amp;"",""))</f>
        <v/>
      </c>
      <c r="C496" s="37" t="n"/>
      <c r="D496" s="10">
        <f>IF($C496="","",IF(COUNTIF(lst_Jobs,$C496&amp;"")&gt;0,"OK","CHECK"))</f>
        <v/>
      </c>
      <c r="E496" s="10">
        <f>IF($C496="","",IFERROR(INDEX(lst_JobName,MATCH($C496&amp;"",lst_Jobs,0)),""))</f>
        <v/>
      </c>
      <c r="F496" s="37" t="n"/>
      <c r="G496" s="37" t="n"/>
      <c r="H496" s="37" t="n"/>
      <c r="I496" s="37" t="n"/>
      <c r="J496" s="37" t="n"/>
      <c r="K496" s="38">
        <f>IF($C496="","",IFERROR(N(INDEX(tbl_Finance[Invoice Count],MATCH($AE496,tbl_Finance[Row ID],0))),""))</f>
        <v/>
      </c>
      <c r="L496" s="11">
        <f>IF($C496="","",IFERROR(N(INDEX(tbl_Finance[Xero Invoiced Ex GST],MATCH($AE496,tbl_Finance[Row ID],0))),""))</f>
        <v/>
      </c>
      <c r="M496" s="10">
        <f>IF($C496="","",IFERROR(INDEX(tbl_Finance[Compare],MATCH($AE496,tbl_Finance[Row ID],0))&amp;"",""))</f>
        <v/>
      </c>
      <c r="N496" s="11">
        <f>IF($C496="","",MAX(0,N(O496)-N(L496)))</f>
        <v/>
      </c>
      <c r="O496" s="39" t="n"/>
      <c r="P496" s="40">
        <f>IF($C496="","",IF((IF(F496="",", Client","")&amp;IF(G496="",", Description","")&amp;IF(H496="",", Cost Centre","")&amp;IF(I496="",", Invoice Type","")&amp;IF(J496="",", Tax Code","")&amp;IF(O496="",", Expected Revenue","")&amp;IF(COUNTIF(tbl_Finance[Job Number],$C496&amp;"")&gt;1,", Job number used twice",""))="","Complete","Fix: "&amp;MID(IF(F496="",", Client","")&amp;IF(G496="",", Description","")&amp;IF(H496="",", Cost Centre","")&amp;IF(I496="",", Invoice Type","")&amp;IF(J496="",", Tax Code","")&amp;IF(O496="",", Expected Revenue","")&amp;IF(COUNTIF(tbl_Finance[Job Number],$C496&amp;"")&gt;1,", Job number used twice",""),3,300)))</f>
        <v/>
      </c>
      <c r="Q496" s="10">
        <f>IF($C496="","",IF(H496="","(no cost centre)",H496&amp;" - GL "&amp;IFERROR(INDEX(lst_CCtoGL,MATCH(H496,lst_CCforGL,0)),"?")))</f>
        <v/>
      </c>
      <c r="R496" s="37" t="n"/>
      <c r="S496" s="10">
        <f>IF(R496="","",HYPERLINK(IF(LEFT(R496,4)="http",R496,set_QwilrBase&amp;R496),"Open quote"))</f>
        <v/>
      </c>
      <c r="T496" s="39" t="n"/>
      <c r="U496" s="39" t="n"/>
      <c r="V496" s="39" t="n"/>
      <c r="W496" s="10">
        <f>IF(C496="","",IF(N(T496)+N(U496)+N(V496)=0,"Not split",IF(ROUND(N(T496)+N(U496)+N(V496),2)=ROUND(MAX(N(L496),N(O496)),2),"OK","MISMATCH")))</f>
        <v/>
      </c>
      <c r="X496" s="39" t="n"/>
      <c r="Y496" s="39" t="n"/>
      <c r="Z496" s="39" t="n"/>
      <c r="AA496" s="11">
        <f>IF(C496="","",N(X496)+N(Y496)+N(Z496))</f>
        <v/>
      </c>
      <c r="AB496" s="11">
        <f>IF(C496="","",MAX(N(L496),N(O496))-N(AA496))</f>
        <v/>
      </c>
      <c r="AC496" s="43">
        <f>IFERROR(IF(MAX(N(L496),N(O496))=0,"",AB496/MAX(N(L496),N(O496))),"")</f>
        <v/>
      </c>
      <c r="AD496" s="37" t="n"/>
      <c r="AE496" s="10" t="inlineStr">
        <is>
          <t>CON-0492</t>
        </is>
      </c>
    </row>
    <row r="497">
      <c r="A497" s="16">
        <f>IF($C497="","",IFERROR(IF(INDEX(tbl_Finance[Latest Invoice Date],MATCH($AE497,tbl_Finance[Row ID],0))="","",INDEX(tbl_Finance[Latest Invoice Date],MATCH($AE497,tbl_Finance[Row ID],0))),""))</f>
        <v/>
      </c>
      <c r="B497" s="10">
        <f>IF($C497="","",IFERROR(INDEX(tbl_Finance[Invoice Numbers],MATCH($AE497,tbl_Finance[Row ID],0))&amp;"",""))</f>
        <v/>
      </c>
      <c r="C497" s="37" t="n"/>
      <c r="D497" s="10">
        <f>IF($C497="","",IF(COUNTIF(lst_Jobs,$C497&amp;"")&gt;0,"OK","CHECK"))</f>
        <v/>
      </c>
      <c r="E497" s="10">
        <f>IF($C497="","",IFERROR(INDEX(lst_JobName,MATCH($C497&amp;"",lst_Jobs,0)),""))</f>
        <v/>
      </c>
      <c r="F497" s="37" t="n"/>
      <c r="G497" s="37" t="n"/>
      <c r="H497" s="37" t="n"/>
      <c r="I497" s="37" t="n"/>
      <c r="J497" s="37" t="n"/>
      <c r="K497" s="38">
        <f>IF($C497="","",IFERROR(N(INDEX(tbl_Finance[Invoice Count],MATCH($AE497,tbl_Finance[Row ID],0))),""))</f>
        <v/>
      </c>
      <c r="L497" s="11">
        <f>IF($C497="","",IFERROR(N(INDEX(tbl_Finance[Xero Invoiced Ex GST],MATCH($AE497,tbl_Finance[Row ID],0))),""))</f>
        <v/>
      </c>
      <c r="M497" s="10">
        <f>IF($C497="","",IFERROR(INDEX(tbl_Finance[Compare],MATCH($AE497,tbl_Finance[Row ID],0))&amp;"",""))</f>
        <v/>
      </c>
      <c r="N497" s="11">
        <f>IF($C497="","",MAX(0,N(O497)-N(L497)))</f>
        <v/>
      </c>
      <c r="O497" s="39" t="n"/>
      <c r="P497" s="40">
        <f>IF($C497="","",IF((IF(F497="",", Client","")&amp;IF(G497="",", Description","")&amp;IF(H497="",", Cost Centre","")&amp;IF(I497="",", Invoice Type","")&amp;IF(J497="",", Tax Code","")&amp;IF(O497="",", Expected Revenue","")&amp;IF(COUNTIF(tbl_Finance[Job Number],$C497&amp;"")&gt;1,", Job number used twice",""))="","Complete","Fix: "&amp;MID(IF(F497="",", Client","")&amp;IF(G497="",", Description","")&amp;IF(H497="",", Cost Centre","")&amp;IF(I497="",", Invoice Type","")&amp;IF(J497="",", Tax Code","")&amp;IF(O497="",", Expected Revenue","")&amp;IF(COUNTIF(tbl_Finance[Job Number],$C497&amp;"")&gt;1,", Job number used twice",""),3,300)))</f>
        <v/>
      </c>
      <c r="Q497" s="10">
        <f>IF($C497="","",IF(H497="","(no cost centre)",H497&amp;" - GL "&amp;IFERROR(INDEX(lst_CCtoGL,MATCH(H497,lst_CCforGL,0)),"?")))</f>
        <v/>
      </c>
      <c r="R497" s="37" t="n"/>
      <c r="S497" s="10">
        <f>IF(R497="","",HYPERLINK(IF(LEFT(R497,4)="http",R497,set_QwilrBase&amp;R497),"Open quote"))</f>
        <v/>
      </c>
      <c r="T497" s="39" t="n"/>
      <c r="U497" s="39" t="n"/>
      <c r="V497" s="39" t="n"/>
      <c r="W497" s="10">
        <f>IF(C497="","",IF(N(T497)+N(U497)+N(V497)=0,"Not split",IF(ROUND(N(T497)+N(U497)+N(V497),2)=ROUND(MAX(N(L497),N(O497)),2),"OK","MISMATCH")))</f>
        <v/>
      </c>
      <c r="X497" s="39" t="n"/>
      <c r="Y497" s="39" t="n"/>
      <c r="Z497" s="39" t="n"/>
      <c r="AA497" s="11">
        <f>IF(C497="","",N(X497)+N(Y497)+N(Z497))</f>
        <v/>
      </c>
      <c r="AB497" s="11">
        <f>IF(C497="","",MAX(N(L497),N(O497))-N(AA497))</f>
        <v/>
      </c>
      <c r="AC497" s="43">
        <f>IFERROR(IF(MAX(N(L497),N(O497))=0,"",AB497/MAX(N(L497),N(O497))),"")</f>
        <v/>
      </c>
      <c r="AD497" s="37" t="n"/>
      <c r="AE497" s="10" t="inlineStr">
        <is>
          <t>CON-0493</t>
        </is>
      </c>
    </row>
    <row r="498">
      <c r="A498" s="16">
        <f>IF($C498="","",IFERROR(IF(INDEX(tbl_Finance[Latest Invoice Date],MATCH($AE498,tbl_Finance[Row ID],0))="","",INDEX(tbl_Finance[Latest Invoice Date],MATCH($AE498,tbl_Finance[Row ID],0))),""))</f>
        <v/>
      </c>
      <c r="B498" s="10">
        <f>IF($C498="","",IFERROR(INDEX(tbl_Finance[Invoice Numbers],MATCH($AE498,tbl_Finance[Row ID],0))&amp;"",""))</f>
        <v/>
      </c>
      <c r="C498" s="37" t="n"/>
      <c r="D498" s="10">
        <f>IF($C498="","",IF(COUNTIF(lst_Jobs,$C498&amp;"")&gt;0,"OK","CHECK"))</f>
        <v/>
      </c>
      <c r="E498" s="10">
        <f>IF($C498="","",IFERROR(INDEX(lst_JobName,MATCH($C498&amp;"",lst_Jobs,0)),""))</f>
        <v/>
      </c>
      <c r="F498" s="37" t="n"/>
      <c r="G498" s="37" t="n"/>
      <c r="H498" s="37" t="n"/>
      <c r="I498" s="37" t="n"/>
      <c r="J498" s="37" t="n"/>
      <c r="K498" s="38">
        <f>IF($C498="","",IFERROR(N(INDEX(tbl_Finance[Invoice Count],MATCH($AE498,tbl_Finance[Row ID],0))),""))</f>
        <v/>
      </c>
      <c r="L498" s="11">
        <f>IF($C498="","",IFERROR(N(INDEX(tbl_Finance[Xero Invoiced Ex GST],MATCH($AE498,tbl_Finance[Row ID],0))),""))</f>
        <v/>
      </c>
      <c r="M498" s="10">
        <f>IF($C498="","",IFERROR(INDEX(tbl_Finance[Compare],MATCH($AE498,tbl_Finance[Row ID],0))&amp;"",""))</f>
        <v/>
      </c>
      <c r="N498" s="11">
        <f>IF($C498="","",MAX(0,N(O498)-N(L498)))</f>
        <v/>
      </c>
      <c r="O498" s="39" t="n"/>
      <c r="P498" s="40">
        <f>IF($C498="","",IF((IF(F498="",", Client","")&amp;IF(G498="",", Description","")&amp;IF(H498="",", Cost Centre","")&amp;IF(I498="",", Invoice Type","")&amp;IF(J498="",", Tax Code","")&amp;IF(O498="",", Expected Revenue","")&amp;IF(COUNTIF(tbl_Finance[Job Number],$C498&amp;"")&gt;1,", Job number used twice",""))="","Complete","Fix: "&amp;MID(IF(F498="",", Client","")&amp;IF(G498="",", Description","")&amp;IF(H498="",", Cost Centre","")&amp;IF(I498="",", Invoice Type","")&amp;IF(J498="",", Tax Code","")&amp;IF(O498="",", Expected Revenue","")&amp;IF(COUNTIF(tbl_Finance[Job Number],$C498&amp;"")&gt;1,", Job number used twice",""),3,300)))</f>
        <v/>
      </c>
      <c r="Q498" s="10">
        <f>IF($C498="","",IF(H498="","(no cost centre)",H498&amp;" - GL "&amp;IFERROR(INDEX(lst_CCtoGL,MATCH(H498,lst_CCforGL,0)),"?")))</f>
        <v/>
      </c>
      <c r="R498" s="37" t="n"/>
      <c r="S498" s="10">
        <f>IF(R498="","",HYPERLINK(IF(LEFT(R498,4)="http",R498,set_QwilrBase&amp;R498),"Open quote"))</f>
        <v/>
      </c>
      <c r="T498" s="39" t="n"/>
      <c r="U498" s="39" t="n"/>
      <c r="V498" s="39" t="n"/>
      <c r="W498" s="10">
        <f>IF(C498="","",IF(N(T498)+N(U498)+N(V498)=0,"Not split",IF(ROUND(N(T498)+N(U498)+N(V498),2)=ROUND(MAX(N(L498),N(O498)),2),"OK","MISMATCH")))</f>
        <v/>
      </c>
      <c r="X498" s="39" t="n"/>
      <c r="Y498" s="39" t="n"/>
      <c r="Z498" s="39" t="n"/>
      <c r="AA498" s="11">
        <f>IF(C498="","",N(X498)+N(Y498)+N(Z498))</f>
        <v/>
      </c>
      <c r="AB498" s="11">
        <f>IF(C498="","",MAX(N(L498),N(O498))-N(AA498))</f>
        <v/>
      </c>
      <c r="AC498" s="43">
        <f>IFERROR(IF(MAX(N(L498),N(O498))=0,"",AB498/MAX(N(L498),N(O498))),"")</f>
        <v/>
      </c>
      <c r="AD498" s="37" t="n"/>
      <c r="AE498" s="10" t="inlineStr">
        <is>
          <t>CON-0494</t>
        </is>
      </c>
    </row>
    <row r="499">
      <c r="A499" s="16">
        <f>IF($C499="","",IFERROR(IF(INDEX(tbl_Finance[Latest Invoice Date],MATCH($AE499,tbl_Finance[Row ID],0))="","",INDEX(tbl_Finance[Latest Invoice Date],MATCH($AE499,tbl_Finance[Row ID],0))),""))</f>
        <v/>
      </c>
      <c r="B499" s="10">
        <f>IF($C499="","",IFERROR(INDEX(tbl_Finance[Invoice Numbers],MATCH($AE499,tbl_Finance[Row ID],0))&amp;"",""))</f>
        <v/>
      </c>
      <c r="C499" s="37" t="n"/>
      <c r="D499" s="10">
        <f>IF($C499="","",IF(COUNTIF(lst_Jobs,$C499&amp;"")&gt;0,"OK","CHECK"))</f>
        <v/>
      </c>
      <c r="E499" s="10">
        <f>IF($C499="","",IFERROR(INDEX(lst_JobName,MATCH($C499&amp;"",lst_Jobs,0)),""))</f>
        <v/>
      </c>
      <c r="F499" s="37" t="n"/>
      <c r="G499" s="37" t="n"/>
      <c r="H499" s="37" t="n"/>
      <c r="I499" s="37" t="n"/>
      <c r="J499" s="37" t="n"/>
      <c r="K499" s="38">
        <f>IF($C499="","",IFERROR(N(INDEX(tbl_Finance[Invoice Count],MATCH($AE499,tbl_Finance[Row ID],0))),""))</f>
        <v/>
      </c>
      <c r="L499" s="11">
        <f>IF($C499="","",IFERROR(N(INDEX(tbl_Finance[Xero Invoiced Ex GST],MATCH($AE499,tbl_Finance[Row ID],0))),""))</f>
        <v/>
      </c>
      <c r="M499" s="10">
        <f>IF($C499="","",IFERROR(INDEX(tbl_Finance[Compare],MATCH($AE499,tbl_Finance[Row ID],0))&amp;"",""))</f>
        <v/>
      </c>
      <c r="N499" s="11">
        <f>IF($C499="","",MAX(0,N(O499)-N(L499)))</f>
        <v/>
      </c>
      <c r="O499" s="39" t="n"/>
      <c r="P499" s="40">
        <f>IF($C499="","",IF((IF(F499="",", Client","")&amp;IF(G499="",", Description","")&amp;IF(H499="",", Cost Centre","")&amp;IF(I499="",", Invoice Type","")&amp;IF(J499="",", Tax Code","")&amp;IF(O499="",", Expected Revenue","")&amp;IF(COUNTIF(tbl_Finance[Job Number],$C499&amp;"")&gt;1,", Job number used twice",""))="","Complete","Fix: "&amp;MID(IF(F499="",", Client","")&amp;IF(G499="",", Description","")&amp;IF(H499="",", Cost Centre","")&amp;IF(I499="",", Invoice Type","")&amp;IF(J499="",", Tax Code","")&amp;IF(O499="",", Expected Revenue","")&amp;IF(COUNTIF(tbl_Finance[Job Number],$C499&amp;"")&gt;1,", Job number used twice",""),3,300)))</f>
        <v/>
      </c>
      <c r="Q499" s="10">
        <f>IF($C499="","",IF(H499="","(no cost centre)",H499&amp;" - GL "&amp;IFERROR(INDEX(lst_CCtoGL,MATCH(H499,lst_CCforGL,0)),"?")))</f>
        <v/>
      </c>
      <c r="R499" s="37" t="n"/>
      <c r="S499" s="10">
        <f>IF(R499="","",HYPERLINK(IF(LEFT(R499,4)="http",R499,set_QwilrBase&amp;R499),"Open quote"))</f>
        <v/>
      </c>
      <c r="T499" s="39" t="n"/>
      <c r="U499" s="39" t="n"/>
      <c r="V499" s="39" t="n"/>
      <c r="W499" s="10">
        <f>IF(C499="","",IF(N(T499)+N(U499)+N(V499)=0,"Not split",IF(ROUND(N(T499)+N(U499)+N(V499),2)=ROUND(MAX(N(L499),N(O499)),2),"OK","MISMATCH")))</f>
        <v/>
      </c>
      <c r="X499" s="39" t="n"/>
      <c r="Y499" s="39" t="n"/>
      <c r="Z499" s="39" t="n"/>
      <c r="AA499" s="11">
        <f>IF(C499="","",N(X499)+N(Y499)+N(Z499))</f>
        <v/>
      </c>
      <c r="AB499" s="11">
        <f>IF(C499="","",MAX(N(L499),N(O499))-N(AA499))</f>
        <v/>
      </c>
      <c r="AC499" s="43">
        <f>IFERROR(IF(MAX(N(L499),N(O499))=0,"",AB499/MAX(N(L499),N(O499))),"")</f>
        <v/>
      </c>
      <c r="AD499" s="37" t="n"/>
      <c r="AE499" s="10" t="inlineStr">
        <is>
          <t>CON-0495</t>
        </is>
      </c>
    </row>
    <row r="500">
      <c r="A500" s="16">
        <f>IF($C500="","",IFERROR(IF(INDEX(tbl_Finance[Latest Invoice Date],MATCH($AE500,tbl_Finance[Row ID],0))="","",INDEX(tbl_Finance[Latest Invoice Date],MATCH($AE500,tbl_Finance[Row ID],0))),""))</f>
        <v/>
      </c>
      <c r="B500" s="10">
        <f>IF($C500="","",IFERROR(INDEX(tbl_Finance[Invoice Numbers],MATCH($AE500,tbl_Finance[Row ID],0))&amp;"",""))</f>
        <v/>
      </c>
      <c r="C500" s="37" t="n"/>
      <c r="D500" s="10">
        <f>IF($C500="","",IF(COUNTIF(lst_Jobs,$C500&amp;"")&gt;0,"OK","CHECK"))</f>
        <v/>
      </c>
      <c r="E500" s="10">
        <f>IF($C500="","",IFERROR(INDEX(lst_JobName,MATCH($C500&amp;"",lst_Jobs,0)),""))</f>
        <v/>
      </c>
      <c r="F500" s="37" t="n"/>
      <c r="G500" s="37" t="n"/>
      <c r="H500" s="37" t="n"/>
      <c r="I500" s="37" t="n"/>
      <c r="J500" s="37" t="n"/>
      <c r="K500" s="38">
        <f>IF($C500="","",IFERROR(N(INDEX(tbl_Finance[Invoice Count],MATCH($AE500,tbl_Finance[Row ID],0))),""))</f>
        <v/>
      </c>
      <c r="L500" s="11">
        <f>IF($C500="","",IFERROR(N(INDEX(tbl_Finance[Xero Invoiced Ex GST],MATCH($AE500,tbl_Finance[Row ID],0))),""))</f>
        <v/>
      </c>
      <c r="M500" s="10">
        <f>IF($C500="","",IFERROR(INDEX(tbl_Finance[Compare],MATCH($AE500,tbl_Finance[Row ID],0))&amp;"",""))</f>
        <v/>
      </c>
      <c r="N500" s="11">
        <f>IF($C500="","",MAX(0,N(O500)-N(L500)))</f>
        <v/>
      </c>
      <c r="O500" s="39" t="n"/>
      <c r="P500" s="40">
        <f>IF($C500="","",IF((IF(F500="",", Client","")&amp;IF(G500="",", Description","")&amp;IF(H500="",", Cost Centre","")&amp;IF(I500="",", Invoice Type","")&amp;IF(J500="",", Tax Code","")&amp;IF(O500="",", Expected Revenue","")&amp;IF(COUNTIF(tbl_Finance[Job Number],$C500&amp;"")&gt;1,", Job number used twice",""))="","Complete","Fix: "&amp;MID(IF(F500="",", Client","")&amp;IF(G500="",", Description","")&amp;IF(H500="",", Cost Centre","")&amp;IF(I500="",", Invoice Type","")&amp;IF(J500="",", Tax Code","")&amp;IF(O500="",", Expected Revenue","")&amp;IF(COUNTIF(tbl_Finance[Job Number],$C500&amp;"")&gt;1,", Job number used twice",""),3,300)))</f>
        <v/>
      </c>
      <c r="Q500" s="10">
        <f>IF($C500="","",IF(H500="","(no cost centre)",H500&amp;" - GL "&amp;IFERROR(INDEX(lst_CCtoGL,MATCH(H500,lst_CCforGL,0)),"?")))</f>
        <v/>
      </c>
      <c r="R500" s="37" t="n"/>
      <c r="S500" s="10">
        <f>IF(R500="","",HYPERLINK(IF(LEFT(R500,4)="http",R500,set_QwilrBase&amp;R500),"Open quote"))</f>
        <v/>
      </c>
      <c r="T500" s="39" t="n"/>
      <c r="U500" s="39" t="n"/>
      <c r="V500" s="39" t="n"/>
      <c r="W500" s="10">
        <f>IF(C500="","",IF(N(T500)+N(U500)+N(V500)=0,"Not split",IF(ROUND(N(T500)+N(U500)+N(V500),2)=ROUND(MAX(N(L500),N(O500)),2),"OK","MISMATCH")))</f>
        <v/>
      </c>
      <c r="X500" s="39" t="n"/>
      <c r="Y500" s="39" t="n"/>
      <c r="Z500" s="39" t="n"/>
      <c r="AA500" s="11">
        <f>IF(C500="","",N(X500)+N(Y500)+N(Z500))</f>
        <v/>
      </c>
      <c r="AB500" s="11">
        <f>IF(C500="","",MAX(N(L500),N(O500))-N(AA500))</f>
        <v/>
      </c>
      <c r="AC500" s="43">
        <f>IFERROR(IF(MAX(N(L500),N(O500))=0,"",AB500/MAX(N(L500),N(O500))),"")</f>
        <v/>
      </c>
      <c r="AD500" s="37" t="n"/>
      <c r="AE500" s="10" t="inlineStr">
        <is>
          <t>CON-0496</t>
        </is>
      </c>
    </row>
    <row r="501">
      <c r="A501" s="16">
        <f>IF($C501="","",IFERROR(IF(INDEX(tbl_Finance[Latest Invoice Date],MATCH($AE501,tbl_Finance[Row ID],0))="","",INDEX(tbl_Finance[Latest Invoice Date],MATCH($AE501,tbl_Finance[Row ID],0))),""))</f>
        <v/>
      </c>
      <c r="B501" s="10">
        <f>IF($C501="","",IFERROR(INDEX(tbl_Finance[Invoice Numbers],MATCH($AE501,tbl_Finance[Row ID],0))&amp;"",""))</f>
        <v/>
      </c>
      <c r="C501" s="37" t="n"/>
      <c r="D501" s="10">
        <f>IF($C501="","",IF(COUNTIF(lst_Jobs,$C501&amp;"")&gt;0,"OK","CHECK"))</f>
        <v/>
      </c>
      <c r="E501" s="10">
        <f>IF($C501="","",IFERROR(INDEX(lst_JobName,MATCH($C501&amp;"",lst_Jobs,0)),""))</f>
        <v/>
      </c>
      <c r="F501" s="37" t="n"/>
      <c r="G501" s="37" t="n"/>
      <c r="H501" s="37" t="n"/>
      <c r="I501" s="37" t="n"/>
      <c r="J501" s="37" t="n"/>
      <c r="K501" s="38">
        <f>IF($C501="","",IFERROR(N(INDEX(tbl_Finance[Invoice Count],MATCH($AE501,tbl_Finance[Row ID],0))),""))</f>
        <v/>
      </c>
      <c r="L501" s="11">
        <f>IF($C501="","",IFERROR(N(INDEX(tbl_Finance[Xero Invoiced Ex GST],MATCH($AE501,tbl_Finance[Row ID],0))),""))</f>
        <v/>
      </c>
      <c r="M501" s="10">
        <f>IF($C501="","",IFERROR(INDEX(tbl_Finance[Compare],MATCH($AE501,tbl_Finance[Row ID],0))&amp;"",""))</f>
        <v/>
      </c>
      <c r="N501" s="11">
        <f>IF($C501="","",MAX(0,N(O501)-N(L501)))</f>
        <v/>
      </c>
      <c r="O501" s="39" t="n"/>
      <c r="P501" s="40">
        <f>IF($C501="","",IF((IF(F501="",", Client","")&amp;IF(G501="",", Description","")&amp;IF(H501="",", Cost Centre","")&amp;IF(I501="",", Invoice Type","")&amp;IF(J501="",", Tax Code","")&amp;IF(O501="",", Expected Revenue","")&amp;IF(COUNTIF(tbl_Finance[Job Number],$C501&amp;"")&gt;1,", Job number used twice",""))="","Complete","Fix: "&amp;MID(IF(F501="",", Client","")&amp;IF(G501="",", Description","")&amp;IF(H501="",", Cost Centre","")&amp;IF(I501="",", Invoice Type","")&amp;IF(J501="",", Tax Code","")&amp;IF(O501="",", Expected Revenue","")&amp;IF(COUNTIF(tbl_Finance[Job Number],$C501&amp;"")&gt;1,", Job number used twice",""),3,300)))</f>
        <v/>
      </c>
      <c r="Q501" s="10">
        <f>IF($C501="","",IF(H501="","(no cost centre)",H501&amp;" - GL "&amp;IFERROR(INDEX(lst_CCtoGL,MATCH(H501,lst_CCforGL,0)),"?")))</f>
        <v/>
      </c>
      <c r="R501" s="37" t="n"/>
      <c r="S501" s="10">
        <f>IF(R501="","",HYPERLINK(IF(LEFT(R501,4)="http",R501,set_QwilrBase&amp;R501),"Open quote"))</f>
        <v/>
      </c>
      <c r="T501" s="39" t="n"/>
      <c r="U501" s="39" t="n"/>
      <c r="V501" s="39" t="n"/>
      <c r="W501" s="10">
        <f>IF(C501="","",IF(N(T501)+N(U501)+N(V501)=0,"Not split",IF(ROUND(N(T501)+N(U501)+N(V501),2)=ROUND(MAX(N(L501),N(O501)),2),"OK","MISMATCH")))</f>
        <v/>
      </c>
      <c r="X501" s="39" t="n"/>
      <c r="Y501" s="39" t="n"/>
      <c r="Z501" s="39" t="n"/>
      <c r="AA501" s="11">
        <f>IF(C501="","",N(X501)+N(Y501)+N(Z501))</f>
        <v/>
      </c>
      <c r="AB501" s="11">
        <f>IF(C501="","",MAX(N(L501),N(O501))-N(AA501))</f>
        <v/>
      </c>
      <c r="AC501" s="43">
        <f>IFERROR(IF(MAX(N(L501),N(O501))=0,"",AB501/MAX(N(L501),N(O501))),"")</f>
        <v/>
      </c>
      <c r="AD501" s="37" t="n"/>
      <c r="AE501" s="10" t="inlineStr">
        <is>
          <t>CON-0497</t>
        </is>
      </c>
    </row>
    <row r="502">
      <c r="A502" s="16">
        <f>IF($C502="","",IFERROR(IF(INDEX(tbl_Finance[Latest Invoice Date],MATCH($AE502,tbl_Finance[Row ID],0))="","",INDEX(tbl_Finance[Latest Invoice Date],MATCH($AE502,tbl_Finance[Row ID],0))),""))</f>
        <v/>
      </c>
      <c r="B502" s="10">
        <f>IF($C502="","",IFERROR(INDEX(tbl_Finance[Invoice Numbers],MATCH($AE502,tbl_Finance[Row ID],0))&amp;"",""))</f>
        <v/>
      </c>
      <c r="C502" s="37" t="n"/>
      <c r="D502" s="10">
        <f>IF($C502="","",IF(COUNTIF(lst_Jobs,$C502&amp;"")&gt;0,"OK","CHECK"))</f>
        <v/>
      </c>
      <c r="E502" s="10">
        <f>IF($C502="","",IFERROR(INDEX(lst_JobName,MATCH($C502&amp;"",lst_Jobs,0)),""))</f>
        <v/>
      </c>
      <c r="F502" s="37" t="n"/>
      <c r="G502" s="37" t="n"/>
      <c r="H502" s="37" t="n"/>
      <c r="I502" s="37" t="n"/>
      <c r="J502" s="37" t="n"/>
      <c r="K502" s="38">
        <f>IF($C502="","",IFERROR(N(INDEX(tbl_Finance[Invoice Count],MATCH($AE502,tbl_Finance[Row ID],0))),""))</f>
        <v/>
      </c>
      <c r="L502" s="11">
        <f>IF($C502="","",IFERROR(N(INDEX(tbl_Finance[Xero Invoiced Ex GST],MATCH($AE502,tbl_Finance[Row ID],0))),""))</f>
        <v/>
      </c>
      <c r="M502" s="10">
        <f>IF($C502="","",IFERROR(INDEX(tbl_Finance[Compare],MATCH($AE502,tbl_Finance[Row ID],0))&amp;"",""))</f>
        <v/>
      </c>
      <c r="N502" s="11">
        <f>IF($C502="","",MAX(0,N(O502)-N(L502)))</f>
        <v/>
      </c>
      <c r="O502" s="39" t="n"/>
      <c r="P502" s="40">
        <f>IF($C502="","",IF((IF(F502="",", Client","")&amp;IF(G502="",", Description","")&amp;IF(H502="",", Cost Centre","")&amp;IF(I502="",", Invoice Type","")&amp;IF(J502="",", Tax Code","")&amp;IF(O502="",", Expected Revenue","")&amp;IF(COUNTIF(tbl_Finance[Job Number],$C502&amp;"")&gt;1,", Job number used twice",""))="","Complete","Fix: "&amp;MID(IF(F502="",", Client","")&amp;IF(G502="",", Description","")&amp;IF(H502="",", Cost Centre","")&amp;IF(I502="",", Invoice Type","")&amp;IF(J502="",", Tax Code","")&amp;IF(O502="",", Expected Revenue","")&amp;IF(COUNTIF(tbl_Finance[Job Number],$C502&amp;"")&gt;1,", Job number used twice",""),3,300)))</f>
        <v/>
      </c>
      <c r="Q502" s="10">
        <f>IF($C502="","",IF(H502="","(no cost centre)",H502&amp;" - GL "&amp;IFERROR(INDEX(lst_CCtoGL,MATCH(H502,lst_CCforGL,0)),"?")))</f>
        <v/>
      </c>
      <c r="R502" s="37" t="n"/>
      <c r="S502" s="10">
        <f>IF(R502="","",HYPERLINK(IF(LEFT(R502,4)="http",R502,set_QwilrBase&amp;R502),"Open quote"))</f>
        <v/>
      </c>
      <c r="T502" s="39" t="n"/>
      <c r="U502" s="39" t="n"/>
      <c r="V502" s="39" t="n"/>
      <c r="W502" s="10">
        <f>IF(C502="","",IF(N(T502)+N(U502)+N(V502)=0,"Not split",IF(ROUND(N(T502)+N(U502)+N(V502),2)=ROUND(MAX(N(L502),N(O502)),2),"OK","MISMATCH")))</f>
        <v/>
      </c>
      <c r="X502" s="39" t="n"/>
      <c r="Y502" s="39" t="n"/>
      <c r="Z502" s="39" t="n"/>
      <c r="AA502" s="11">
        <f>IF(C502="","",N(X502)+N(Y502)+N(Z502))</f>
        <v/>
      </c>
      <c r="AB502" s="11">
        <f>IF(C502="","",MAX(N(L502),N(O502))-N(AA502))</f>
        <v/>
      </c>
      <c r="AC502" s="43">
        <f>IFERROR(IF(MAX(N(L502),N(O502))=0,"",AB502/MAX(N(L502),N(O502))),"")</f>
        <v/>
      </c>
      <c r="AD502" s="37" t="n"/>
      <c r="AE502" s="10" t="inlineStr">
        <is>
          <t>CON-0498</t>
        </is>
      </c>
    </row>
    <row r="503">
      <c r="A503" s="16">
        <f>IF($C503="","",IFERROR(IF(INDEX(tbl_Finance[Latest Invoice Date],MATCH($AE503,tbl_Finance[Row ID],0))="","",INDEX(tbl_Finance[Latest Invoice Date],MATCH($AE503,tbl_Finance[Row ID],0))),""))</f>
        <v/>
      </c>
      <c r="B503" s="10">
        <f>IF($C503="","",IFERROR(INDEX(tbl_Finance[Invoice Numbers],MATCH($AE503,tbl_Finance[Row ID],0))&amp;"",""))</f>
        <v/>
      </c>
      <c r="C503" s="37" t="n"/>
      <c r="D503" s="10">
        <f>IF($C503="","",IF(COUNTIF(lst_Jobs,$C503&amp;"")&gt;0,"OK","CHECK"))</f>
        <v/>
      </c>
      <c r="E503" s="10">
        <f>IF($C503="","",IFERROR(INDEX(lst_JobName,MATCH($C503&amp;"",lst_Jobs,0)),""))</f>
        <v/>
      </c>
      <c r="F503" s="37" t="n"/>
      <c r="G503" s="37" t="n"/>
      <c r="H503" s="37" t="n"/>
      <c r="I503" s="37" t="n"/>
      <c r="J503" s="37" t="n"/>
      <c r="K503" s="38">
        <f>IF($C503="","",IFERROR(N(INDEX(tbl_Finance[Invoice Count],MATCH($AE503,tbl_Finance[Row ID],0))),""))</f>
        <v/>
      </c>
      <c r="L503" s="11">
        <f>IF($C503="","",IFERROR(N(INDEX(tbl_Finance[Xero Invoiced Ex GST],MATCH($AE503,tbl_Finance[Row ID],0))),""))</f>
        <v/>
      </c>
      <c r="M503" s="10">
        <f>IF($C503="","",IFERROR(INDEX(tbl_Finance[Compare],MATCH($AE503,tbl_Finance[Row ID],0))&amp;"",""))</f>
        <v/>
      </c>
      <c r="N503" s="11">
        <f>IF($C503="","",MAX(0,N(O503)-N(L503)))</f>
        <v/>
      </c>
      <c r="O503" s="39" t="n"/>
      <c r="P503" s="40">
        <f>IF($C503="","",IF((IF(F503="",", Client","")&amp;IF(G503="",", Description","")&amp;IF(H503="",", Cost Centre","")&amp;IF(I503="",", Invoice Type","")&amp;IF(J503="",", Tax Code","")&amp;IF(O503="",", Expected Revenue","")&amp;IF(COUNTIF(tbl_Finance[Job Number],$C503&amp;"")&gt;1,", Job number used twice",""))="","Complete","Fix: "&amp;MID(IF(F503="",", Client","")&amp;IF(G503="",", Description","")&amp;IF(H503="",", Cost Centre","")&amp;IF(I503="",", Invoice Type","")&amp;IF(J503="",", Tax Code","")&amp;IF(O503="",", Expected Revenue","")&amp;IF(COUNTIF(tbl_Finance[Job Number],$C503&amp;"")&gt;1,", Job number used twice",""),3,300)))</f>
        <v/>
      </c>
      <c r="Q503" s="10">
        <f>IF($C503="","",IF(H503="","(no cost centre)",H503&amp;" - GL "&amp;IFERROR(INDEX(lst_CCtoGL,MATCH(H503,lst_CCforGL,0)),"?")))</f>
        <v/>
      </c>
      <c r="R503" s="37" t="n"/>
      <c r="S503" s="10">
        <f>IF(R503="","",HYPERLINK(IF(LEFT(R503,4)="http",R503,set_QwilrBase&amp;R503),"Open quote"))</f>
        <v/>
      </c>
      <c r="T503" s="39" t="n"/>
      <c r="U503" s="39" t="n"/>
      <c r="V503" s="39" t="n"/>
      <c r="W503" s="10">
        <f>IF(C503="","",IF(N(T503)+N(U503)+N(V503)=0,"Not split",IF(ROUND(N(T503)+N(U503)+N(V503),2)=ROUND(MAX(N(L503),N(O503)),2),"OK","MISMATCH")))</f>
        <v/>
      </c>
      <c r="X503" s="39" t="n"/>
      <c r="Y503" s="39" t="n"/>
      <c r="Z503" s="39" t="n"/>
      <c r="AA503" s="11">
        <f>IF(C503="","",N(X503)+N(Y503)+N(Z503))</f>
        <v/>
      </c>
      <c r="AB503" s="11">
        <f>IF(C503="","",MAX(N(L503),N(O503))-N(AA503))</f>
        <v/>
      </c>
      <c r="AC503" s="43">
        <f>IFERROR(IF(MAX(N(L503),N(O503))=0,"",AB503/MAX(N(L503),N(O503))),"")</f>
        <v/>
      </c>
      <c r="AD503" s="37" t="n"/>
      <c r="AE503" s="10" t="inlineStr">
        <is>
          <t>CON-0499</t>
        </is>
      </c>
    </row>
    <row r="504">
      <c r="A504" s="16">
        <f>IF($C504="","",IFERROR(IF(INDEX(tbl_Finance[Latest Invoice Date],MATCH($AE504,tbl_Finance[Row ID],0))="","",INDEX(tbl_Finance[Latest Invoice Date],MATCH($AE504,tbl_Finance[Row ID],0))),""))</f>
        <v/>
      </c>
      <c r="B504" s="10">
        <f>IF($C504="","",IFERROR(INDEX(tbl_Finance[Invoice Numbers],MATCH($AE504,tbl_Finance[Row ID],0))&amp;"",""))</f>
        <v/>
      </c>
      <c r="C504" s="37" t="n"/>
      <c r="D504" s="10">
        <f>IF($C504="","",IF(COUNTIF(lst_Jobs,$C504&amp;"")&gt;0,"OK","CHECK"))</f>
        <v/>
      </c>
      <c r="E504" s="10">
        <f>IF($C504="","",IFERROR(INDEX(lst_JobName,MATCH($C504&amp;"",lst_Jobs,0)),""))</f>
        <v/>
      </c>
      <c r="F504" s="37" t="n"/>
      <c r="G504" s="37" t="n"/>
      <c r="H504" s="37" t="n"/>
      <c r="I504" s="37" t="n"/>
      <c r="J504" s="37" t="n"/>
      <c r="K504" s="38">
        <f>IF($C504="","",IFERROR(N(INDEX(tbl_Finance[Invoice Count],MATCH($AE504,tbl_Finance[Row ID],0))),""))</f>
        <v/>
      </c>
      <c r="L504" s="11">
        <f>IF($C504="","",IFERROR(N(INDEX(tbl_Finance[Xero Invoiced Ex GST],MATCH($AE504,tbl_Finance[Row ID],0))),""))</f>
        <v/>
      </c>
      <c r="M504" s="10">
        <f>IF($C504="","",IFERROR(INDEX(tbl_Finance[Compare],MATCH($AE504,tbl_Finance[Row ID],0))&amp;"",""))</f>
        <v/>
      </c>
      <c r="N504" s="11">
        <f>IF($C504="","",MAX(0,N(O504)-N(L504)))</f>
        <v/>
      </c>
      <c r="O504" s="39" t="n"/>
      <c r="P504" s="40">
        <f>IF($C504="","",IF((IF(F504="",", Client","")&amp;IF(G504="",", Description","")&amp;IF(H504="",", Cost Centre","")&amp;IF(I504="",", Invoice Type","")&amp;IF(J504="",", Tax Code","")&amp;IF(O504="",", Expected Revenue","")&amp;IF(COUNTIF(tbl_Finance[Job Number],$C504&amp;"")&gt;1,", Job number used twice",""))="","Complete","Fix: "&amp;MID(IF(F504="",", Client","")&amp;IF(G504="",", Description","")&amp;IF(H504="",", Cost Centre","")&amp;IF(I504="",", Invoice Type","")&amp;IF(J504="",", Tax Code","")&amp;IF(O504="",", Expected Revenue","")&amp;IF(COUNTIF(tbl_Finance[Job Number],$C504&amp;"")&gt;1,", Job number used twice",""),3,300)))</f>
        <v/>
      </c>
      <c r="Q504" s="10">
        <f>IF($C504="","",IF(H504="","(no cost centre)",H504&amp;" - GL "&amp;IFERROR(INDEX(lst_CCtoGL,MATCH(H504,lst_CCforGL,0)),"?")))</f>
        <v/>
      </c>
      <c r="R504" s="37" t="n"/>
      <c r="S504" s="10">
        <f>IF(R504="","",HYPERLINK(IF(LEFT(R504,4)="http",R504,set_QwilrBase&amp;R504),"Open quote"))</f>
        <v/>
      </c>
      <c r="T504" s="39" t="n"/>
      <c r="U504" s="39" t="n"/>
      <c r="V504" s="39" t="n"/>
      <c r="W504" s="10">
        <f>IF(C504="","",IF(N(T504)+N(U504)+N(V504)=0,"Not split",IF(ROUND(N(T504)+N(U504)+N(V504),2)=ROUND(MAX(N(L504),N(O504)),2),"OK","MISMATCH")))</f>
        <v/>
      </c>
      <c r="X504" s="39" t="n"/>
      <c r="Y504" s="39" t="n"/>
      <c r="Z504" s="39" t="n"/>
      <c r="AA504" s="11">
        <f>IF(C504="","",N(X504)+N(Y504)+N(Z504))</f>
        <v/>
      </c>
      <c r="AB504" s="11">
        <f>IF(C504="","",MAX(N(L504),N(O504))-N(AA504))</f>
        <v/>
      </c>
      <c r="AC504" s="43">
        <f>IFERROR(IF(MAX(N(L504),N(O504))=0,"",AB504/MAX(N(L504),N(O504))),"")</f>
        <v/>
      </c>
      <c r="AD504" s="37" t="n"/>
      <c r="AE504" s="10" t="inlineStr">
        <is>
          <t>CON-0500</t>
        </is>
      </c>
    </row>
  </sheetData>
  <sheetProtection selectLockedCells="0" selectUnlockedCells="0" sheet="1" objects="0" insertRows="1" insertHyperlinks="1" autoFilter="0" scenarios="0" formatColumns="0" deleteColumns="1" insertColumns="1" pivotTables="1" deleteRows="1" formatCells="1" formatRows="0" sort="1" password="DE92"/>
  <mergeCells count="1">
    <mergeCell ref="A3:P3"/>
  </mergeCells>
  <conditionalFormatting sqref="D5:D504">
    <cfRule type="expression" priority="1" dxfId="1">
      <formula>D5="CHECK"</formula>
    </cfRule>
  </conditionalFormatting>
  <conditionalFormatting sqref="P5:P504">
    <cfRule type="expression" priority="2" dxfId="1">
      <formula>LEFT(P5,4)="Fix:"</formula>
    </cfRule>
  </conditionalFormatting>
  <conditionalFormatting sqref="M5:M504">
    <cfRule type="expression" priority="3" dxfId="0">
      <formula>M5="Agrees"</formula>
    </cfRule>
    <cfRule type="expression" priority="4" dxfId="1">
      <formula>LEFT(M5,4)="Xero"</formula>
    </cfRule>
    <cfRule type="expression" priority="5" dxfId="2">
      <formula>OR(LEFT(M5,4)="Dept",LEFT(M5,3)="Not")</formula>
    </cfRule>
  </conditionalFormatting>
  <conditionalFormatting sqref="W5:W504">
    <cfRule type="expression" priority="6" dxfId="1">
      <formula>W5="MISMATCH"</formula>
    </cfRule>
  </conditionalFormatting>
  <dataValidations count="4">
    <dataValidation sqref="H5:H504" showDropDown="0" showInputMessage="0" showErrorMessage="0" allowBlank="1" type="list">
      <formula1>lst_CostCentre</formula1>
    </dataValidation>
    <dataValidation sqref="I5:I504" showDropDown="0" showInputMessage="0" showErrorMessage="0" allowBlank="1" type="list">
      <formula1>lst_InvoiceType</formula1>
    </dataValidation>
    <dataValidation sqref="J5:J504" showDropDown="0" showInputMessage="0" showErrorMessage="0" allowBlank="1" type="list">
      <formula1>lst_TaxCode</formula1>
    </dataValidation>
    <dataValidation sqref="O5:O504" showDropDown="0" showInputMessage="0" showErrorMessage="1" allowBlank="1" error="Expected Revenue Ex GST must be a number." type="decimal" operator="greaterThanOrEqual">
      <formula1>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3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9" customWidth="1" min="3" max="3"/>
    <col width="24" customWidth="1" min="4" max="4"/>
    <col width="13" customWidth="1" min="5" max="5"/>
    <col width="13" customWidth="1" min="6" max="6"/>
    <col width="30" customWidth="1" min="7" max="7"/>
    <col width="22" customWidth="1" min="8" max="8"/>
    <col width="10" customWidth="1" min="9" max="9"/>
    <col width="14" customWidth="1" min="10" max="10"/>
    <col width="22" customWidth="1" min="11" max="11"/>
    <col width="24" customWidth="1" min="12" max="12"/>
    <col width="24" customWidth="1" min="13" max="13"/>
    <col width="14" customWidth="1" min="14" max="14"/>
    <col width="40" customWidth="1" min="15" max="15"/>
    <col width="12" customWidth="1" min="16" max="16"/>
    <col width="9" customWidth="1" min="17" max="17"/>
    <col width="30" customWidth="1" min="18" max="18"/>
  </cols>
  <sheetData>
    <row r="1">
      <c r="A1" s="1" t="inlineStr">
        <is>
          <t>WIP Movements</t>
        </is>
      </c>
    </row>
    <row r="2" ht="30" customHeight="1">
      <c r="A2" s="4" t="inlineStr">
        <is>
          <t>Every journal that moves revenue between the P&amp;L and GL 11300 Work in Progress. SIGN RULE: + = revenue put INTO this month (work done, not yet invoiced, or a deferral released). - = revenue pushed OUT of this month (invoiced in advance). One row per month per movement.</t>
        </is>
      </c>
    </row>
    <row r="3">
      <c r="A3" s="5">
        <f>"Amount  "&amp;TEXT(SUBTOTAL(109,tbl_WIP[Amount]),"$#,##0.00")</f>
        <v/>
      </c>
    </row>
    <row r="4" ht="34" customHeight="1">
      <c r="A4" s="36" t="inlineStr">
        <is>
          <t>Month</t>
        </is>
      </c>
      <c r="B4" s="36" t="inlineStr">
        <is>
          <t>Job Number</t>
        </is>
      </c>
      <c r="C4" s="8" t="inlineStr">
        <is>
          <t>Job in Xero?</t>
        </is>
      </c>
      <c r="D4" s="8" t="inlineStr">
        <is>
          <t>Client</t>
        </is>
      </c>
      <c r="E4" s="36" t="inlineStr">
        <is>
          <t>Cost Centre</t>
        </is>
      </c>
      <c r="F4" s="36" t="inlineStr">
        <is>
          <t>Xero Invoice No</t>
        </is>
      </c>
      <c r="G4" s="36" t="inlineStr">
        <is>
          <t>Description</t>
        </is>
      </c>
      <c r="H4" s="36" t="inlineStr">
        <is>
          <t>Type</t>
        </is>
      </c>
      <c r="I4" s="36" t="inlineStr">
        <is>
          <t>Revenue or Cost</t>
        </is>
      </c>
      <c r="J4" s="36" t="inlineStr">
        <is>
          <t>Amount</t>
        </is>
      </c>
      <c r="K4" s="36" t="inlineStr">
        <is>
          <t>P&amp;L Account</t>
        </is>
      </c>
      <c r="L4" s="8" t="inlineStr">
        <is>
          <t>Debit Account</t>
        </is>
      </c>
      <c r="M4" s="8" t="inlineStr">
        <is>
          <t>Credit Account</t>
        </is>
      </c>
      <c r="N4" s="8" t="inlineStr">
        <is>
          <t>Journal Amount</t>
        </is>
      </c>
      <c r="O4" s="8" t="inlineStr">
        <is>
          <t>Journal Narration</t>
        </is>
      </c>
      <c r="P4" s="36" t="inlineStr">
        <is>
          <t>Journal Ref</t>
        </is>
      </c>
      <c r="Q4" s="36" t="inlineStr">
        <is>
          <t>Posted to Xero</t>
        </is>
      </c>
      <c r="R4" s="36" t="inlineStr">
        <is>
          <t>Notes</t>
        </is>
      </c>
    </row>
    <row r="5">
      <c r="A5" s="44" t="n"/>
      <c r="B5" s="37" t="n"/>
      <c r="C5" s="10">
        <f>IF(B5="","",IF(COUNTIF(lst_Jobs,B5&amp;"")&gt;0,"OK","CHECK"))</f>
        <v/>
      </c>
      <c r="D5" s="10">
        <f>IF(B5="","",IFERROR(INDEX(tbl_Finance[Client],MATCH(B5&amp;"",tbl_Finance[Job Number],0)),""))</f>
        <v/>
      </c>
      <c r="E5" s="37" t="n"/>
      <c r="F5" s="37" t="n"/>
      <c r="G5" s="37" t="n"/>
      <c r="H5" s="37" t="n"/>
      <c r="I5" s="37" t="n"/>
      <c r="J5" s="39" t="n"/>
      <c r="K5" s="37" t="n"/>
      <c r="L5" s="10">
        <f>IF(N(J5)=0,"",IF(J5&gt;0,set_WIPAsset,IF(I5="Cost",IF(K5="","(set the P&amp;L Account)",K5),IF(K5="",set_WIPIncome,K5))))</f>
        <v/>
      </c>
      <c r="M5" s="10">
        <f>IF(N(J5)=0,"",IF(J5&gt;0,IF(I5="Cost",IF(K5="","(set the P&amp;L Account)",K5),IF(K5="",set_WIPIncome,K5)),set_WIPAsset))</f>
        <v/>
      </c>
      <c r="N5" s="11">
        <f>IF(N(J5)=0,"",ABS(J5))</f>
        <v/>
      </c>
      <c r="O5" s="10">
        <f>IF(N(J5)=0,"","WIP "&amp;H5&amp;IF(B5="",""," - "&amp;B5)&amp;IF(D5="",""," - "&amp;D5)&amp;IF(A5="",""," - "&amp;TEXT(A5,"mmm yyyy")))</f>
        <v/>
      </c>
      <c r="P5" s="37" t="n"/>
      <c r="Q5" s="37" t="n"/>
      <c r="R5" s="37" t="n"/>
    </row>
    <row r="6">
      <c r="A6" s="44" t="n"/>
      <c r="B6" s="37" t="n"/>
      <c r="C6" s="10">
        <f>IF(B6="","",IF(COUNTIF(lst_Jobs,B6&amp;"")&gt;0,"OK","CHECK"))</f>
        <v/>
      </c>
      <c r="D6" s="10">
        <f>IF(B6="","",IFERROR(INDEX(tbl_Finance[Client],MATCH(B6&amp;"",tbl_Finance[Job Number],0)),""))</f>
        <v/>
      </c>
      <c r="E6" s="37" t="n"/>
      <c r="F6" s="37" t="n"/>
      <c r="G6" s="37" t="n"/>
      <c r="H6" s="37" t="n"/>
      <c r="I6" s="37" t="n"/>
      <c r="J6" s="39" t="n"/>
      <c r="K6" s="37" t="n"/>
      <c r="L6" s="10">
        <f>IF(N(J6)=0,"",IF(J6&gt;0,set_WIPAsset,IF(I6="Cost",IF(K6="","(set the P&amp;L Account)",K6),IF(K6="",set_WIPIncome,K6))))</f>
        <v/>
      </c>
      <c r="M6" s="10">
        <f>IF(N(J6)=0,"",IF(J6&gt;0,IF(I6="Cost",IF(K6="","(set the P&amp;L Account)",K6),IF(K6="",set_WIPIncome,K6)),set_WIPAsset))</f>
        <v/>
      </c>
      <c r="N6" s="11">
        <f>IF(N(J6)=0,"",ABS(J6))</f>
        <v/>
      </c>
      <c r="O6" s="10">
        <f>IF(N(J6)=0,"","WIP "&amp;H6&amp;IF(B6="",""," - "&amp;B6)&amp;IF(D6="",""," - "&amp;D6)&amp;IF(A6="",""," - "&amp;TEXT(A6,"mmm yyyy")))</f>
        <v/>
      </c>
      <c r="P6" s="37" t="n"/>
      <c r="Q6" s="37" t="n"/>
      <c r="R6" s="37" t="n"/>
    </row>
    <row r="7">
      <c r="A7" s="44" t="n"/>
      <c r="B7" s="37" t="n"/>
      <c r="C7" s="10">
        <f>IF(B7="","",IF(COUNTIF(lst_Jobs,B7&amp;"")&gt;0,"OK","CHECK"))</f>
        <v/>
      </c>
      <c r="D7" s="10">
        <f>IF(B7="","",IFERROR(INDEX(tbl_Finance[Client],MATCH(B7&amp;"",tbl_Finance[Job Number],0)),""))</f>
        <v/>
      </c>
      <c r="E7" s="37" t="n"/>
      <c r="F7" s="37" t="n"/>
      <c r="G7" s="37" t="n"/>
      <c r="H7" s="37" t="n"/>
      <c r="I7" s="37" t="n"/>
      <c r="J7" s="39" t="n"/>
      <c r="K7" s="37" t="n"/>
      <c r="L7" s="10">
        <f>IF(N(J7)=0,"",IF(J7&gt;0,set_WIPAsset,IF(I7="Cost",IF(K7="","(set the P&amp;L Account)",K7),IF(K7="",set_WIPIncome,K7))))</f>
        <v/>
      </c>
      <c r="M7" s="10">
        <f>IF(N(J7)=0,"",IF(J7&gt;0,IF(I7="Cost",IF(K7="","(set the P&amp;L Account)",K7),IF(K7="",set_WIPIncome,K7)),set_WIPAsset))</f>
        <v/>
      </c>
      <c r="N7" s="11">
        <f>IF(N(J7)=0,"",ABS(J7))</f>
        <v/>
      </c>
      <c r="O7" s="10">
        <f>IF(N(J7)=0,"","WIP "&amp;H7&amp;IF(B7="",""," - "&amp;B7)&amp;IF(D7="",""," - "&amp;D7)&amp;IF(A7="",""," - "&amp;TEXT(A7,"mmm yyyy")))</f>
        <v/>
      </c>
      <c r="P7" s="37" t="n"/>
      <c r="Q7" s="37" t="n"/>
      <c r="R7" s="37" t="n"/>
    </row>
    <row r="8">
      <c r="A8" s="44" t="n"/>
      <c r="B8" s="37" t="n"/>
      <c r="C8" s="10">
        <f>IF(B8="","",IF(COUNTIF(lst_Jobs,B8&amp;"")&gt;0,"OK","CHECK"))</f>
        <v/>
      </c>
      <c r="D8" s="10">
        <f>IF(B8="","",IFERROR(INDEX(tbl_Finance[Client],MATCH(B8&amp;"",tbl_Finance[Job Number],0)),""))</f>
        <v/>
      </c>
      <c r="E8" s="37" t="n"/>
      <c r="F8" s="37" t="n"/>
      <c r="G8" s="37" t="n"/>
      <c r="H8" s="37" t="n"/>
      <c r="I8" s="37" t="n"/>
      <c r="J8" s="39" t="n"/>
      <c r="K8" s="37" t="n"/>
      <c r="L8" s="10">
        <f>IF(N(J8)=0,"",IF(J8&gt;0,set_WIPAsset,IF(I8="Cost",IF(K8="","(set the P&amp;L Account)",K8),IF(K8="",set_WIPIncome,K8))))</f>
        <v/>
      </c>
      <c r="M8" s="10">
        <f>IF(N(J8)=0,"",IF(J8&gt;0,IF(I8="Cost",IF(K8="","(set the P&amp;L Account)",K8),IF(K8="",set_WIPIncome,K8)),set_WIPAsset))</f>
        <v/>
      </c>
      <c r="N8" s="11">
        <f>IF(N(J8)=0,"",ABS(J8))</f>
        <v/>
      </c>
      <c r="O8" s="10">
        <f>IF(N(J8)=0,"","WIP "&amp;H8&amp;IF(B8="",""," - "&amp;B8)&amp;IF(D8="",""," - "&amp;D8)&amp;IF(A8="",""," - "&amp;TEXT(A8,"mmm yyyy")))</f>
        <v/>
      </c>
      <c r="P8" s="37" t="n"/>
      <c r="Q8" s="37" t="n"/>
      <c r="R8" s="37" t="n"/>
    </row>
    <row r="9">
      <c r="A9" s="44" t="n"/>
      <c r="B9" s="37" t="n"/>
      <c r="C9" s="10">
        <f>IF(B9="","",IF(COUNTIF(lst_Jobs,B9&amp;"")&gt;0,"OK","CHECK"))</f>
        <v/>
      </c>
      <c r="D9" s="10">
        <f>IF(B9="","",IFERROR(INDEX(tbl_Finance[Client],MATCH(B9&amp;"",tbl_Finance[Job Number],0)),""))</f>
        <v/>
      </c>
      <c r="E9" s="37" t="n"/>
      <c r="F9" s="37" t="n"/>
      <c r="G9" s="37" t="n"/>
      <c r="H9" s="37" t="n"/>
      <c r="I9" s="37" t="n"/>
      <c r="J9" s="39" t="n"/>
      <c r="K9" s="37" t="n"/>
      <c r="L9" s="10">
        <f>IF(N(J9)=0,"",IF(J9&gt;0,set_WIPAsset,IF(I9="Cost",IF(K9="","(set the P&amp;L Account)",K9),IF(K9="",set_WIPIncome,K9))))</f>
        <v/>
      </c>
      <c r="M9" s="10">
        <f>IF(N(J9)=0,"",IF(J9&gt;0,IF(I9="Cost",IF(K9="","(set the P&amp;L Account)",K9),IF(K9="",set_WIPIncome,K9)),set_WIPAsset))</f>
        <v/>
      </c>
      <c r="N9" s="11">
        <f>IF(N(J9)=0,"",ABS(J9))</f>
        <v/>
      </c>
      <c r="O9" s="10">
        <f>IF(N(J9)=0,"","WIP "&amp;H9&amp;IF(B9="",""," - "&amp;B9)&amp;IF(D9="",""," - "&amp;D9)&amp;IF(A9="",""," - "&amp;TEXT(A9,"mmm yyyy")))</f>
        <v/>
      </c>
      <c r="P9" s="37" t="n"/>
      <c r="Q9" s="37" t="n"/>
      <c r="R9" s="37" t="n"/>
    </row>
    <row r="10">
      <c r="A10" s="44" t="n"/>
      <c r="B10" s="37" t="n"/>
      <c r="C10" s="10">
        <f>IF(B10="","",IF(COUNTIF(lst_Jobs,B10&amp;"")&gt;0,"OK","CHECK"))</f>
        <v/>
      </c>
      <c r="D10" s="10">
        <f>IF(B10="","",IFERROR(INDEX(tbl_Finance[Client],MATCH(B10&amp;"",tbl_Finance[Job Number],0)),""))</f>
        <v/>
      </c>
      <c r="E10" s="37" t="n"/>
      <c r="F10" s="37" t="n"/>
      <c r="G10" s="37" t="n"/>
      <c r="H10" s="37" t="n"/>
      <c r="I10" s="37" t="n"/>
      <c r="J10" s="39" t="n"/>
      <c r="K10" s="37" t="n"/>
      <c r="L10" s="10">
        <f>IF(N(J10)=0,"",IF(J10&gt;0,set_WIPAsset,IF(I10="Cost",IF(K10="","(set the P&amp;L Account)",K10),IF(K10="",set_WIPIncome,K10))))</f>
        <v/>
      </c>
      <c r="M10" s="10">
        <f>IF(N(J10)=0,"",IF(J10&gt;0,IF(I10="Cost",IF(K10="","(set the P&amp;L Account)",K10),IF(K10="",set_WIPIncome,K10)),set_WIPAsset))</f>
        <v/>
      </c>
      <c r="N10" s="11">
        <f>IF(N(J10)=0,"",ABS(J10))</f>
        <v/>
      </c>
      <c r="O10" s="10">
        <f>IF(N(J10)=0,"","WIP "&amp;H10&amp;IF(B10="",""," - "&amp;B10)&amp;IF(D10="",""," - "&amp;D10)&amp;IF(A10="",""," - "&amp;TEXT(A10,"mmm yyyy")))</f>
        <v/>
      </c>
      <c r="P10" s="37" t="n"/>
      <c r="Q10" s="37" t="n"/>
      <c r="R10" s="37" t="n"/>
    </row>
    <row r="11">
      <c r="A11" s="44" t="n"/>
      <c r="B11" s="37" t="n"/>
      <c r="C11" s="10">
        <f>IF(B11="","",IF(COUNTIF(lst_Jobs,B11&amp;"")&gt;0,"OK","CHECK"))</f>
        <v/>
      </c>
      <c r="D11" s="10">
        <f>IF(B11="","",IFERROR(INDEX(tbl_Finance[Client],MATCH(B11&amp;"",tbl_Finance[Job Number],0)),""))</f>
        <v/>
      </c>
      <c r="E11" s="37" t="n"/>
      <c r="F11" s="37" t="n"/>
      <c r="G11" s="37" t="n"/>
      <c r="H11" s="37" t="n"/>
      <c r="I11" s="37" t="n"/>
      <c r="J11" s="39" t="n"/>
      <c r="K11" s="37" t="n"/>
      <c r="L11" s="10">
        <f>IF(N(J11)=0,"",IF(J11&gt;0,set_WIPAsset,IF(I11="Cost",IF(K11="","(set the P&amp;L Account)",K11),IF(K11="",set_WIPIncome,K11))))</f>
        <v/>
      </c>
      <c r="M11" s="10">
        <f>IF(N(J11)=0,"",IF(J11&gt;0,IF(I11="Cost",IF(K11="","(set the P&amp;L Account)",K11),IF(K11="",set_WIPIncome,K11)),set_WIPAsset))</f>
        <v/>
      </c>
      <c r="N11" s="11">
        <f>IF(N(J11)=0,"",ABS(J11))</f>
        <v/>
      </c>
      <c r="O11" s="10">
        <f>IF(N(J11)=0,"","WIP "&amp;H11&amp;IF(B11="",""," - "&amp;B11)&amp;IF(D11="",""," - "&amp;D11)&amp;IF(A11="",""," - "&amp;TEXT(A11,"mmm yyyy")))</f>
        <v/>
      </c>
      <c r="P11" s="37" t="n"/>
      <c r="Q11" s="37" t="n"/>
      <c r="R11" s="37" t="n"/>
    </row>
    <row r="12">
      <c r="A12" s="44" t="n"/>
      <c r="B12" s="37" t="n"/>
      <c r="C12" s="10">
        <f>IF(B12="","",IF(COUNTIF(lst_Jobs,B12&amp;"")&gt;0,"OK","CHECK"))</f>
        <v/>
      </c>
      <c r="D12" s="10">
        <f>IF(B12="","",IFERROR(INDEX(tbl_Finance[Client],MATCH(B12&amp;"",tbl_Finance[Job Number],0)),""))</f>
        <v/>
      </c>
      <c r="E12" s="37" t="n"/>
      <c r="F12" s="37" t="n"/>
      <c r="G12" s="37" t="n"/>
      <c r="H12" s="37" t="n"/>
      <c r="I12" s="37" t="n"/>
      <c r="J12" s="39" t="n"/>
      <c r="K12" s="37" t="n"/>
      <c r="L12" s="10">
        <f>IF(N(J12)=0,"",IF(J12&gt;0,set_WIPAsset,IF(I12="Cost",IF(K12="","(set the P&amp;L Account)",K12),IF(K12="",set_WIPIncome,K12))))</f>
        <v/>
      </c>
      <c r="M12" s="10">
        <f>IF(N(J12)=0,"",IF(J12&gt;0,IF(I12="Cost",IF(K12="","(set the P&amp;L Account)",K12),IF(K12="",set_WIPIncome,K12)),set_WIPAsset))</f>
        <v/>
      </c>
      <c r="N12" s="11">
        <f>IF(N(J12)=0,"",ABS(J12))</f>
        <v/>
      </c>
      <c r="O12" s="10">
        <f>IF(N(J12)=0,"","WIP "&amp;H12&amp;IF(B12="",""," - "&amp;B12)&amp;IF(D12="",""," - "&amp;D12)&amp;IF(A12="",""," - "&amp;TEXT(A12,"mmm yyyy")))</f>
        <v/>
      </c>
      <c r="P12" s="37" t="n"/>
      <c r="Q12" s="37" t="n"/>
      <c r="R12" s="37" t="n"/>
    </row>
    <row r="13">
      <c r="A13" s="44" t="n"/>
      <c r="B13" s="37" t="n"/>
      <c r="C13" s="10">
        <f>IF(B13="","",IF(COUNTIF(lst_Jobs,B13&amp;"")&gt;0,"OK","CHECK"))</f>
        <v/>
      </c>
      <c r="D13" s="10">
        <f>IF(B13="","",IFERROR(INDEX(tbl_Finance[Client],MATCH(B13&amp;"",tbl_Finance[Job Number],0)),""))</f>
        <v/>
      </c>
      <c r="E13" s="37" t="n"/>
      <c r="F13" s="37" t="n"/>
      <c r="G13" s="37" t="n"/>
      <c r="H13" s="37" t="n"/>
      <c r="I13" s="37" t="n"/>
      <c r="J13" s="39" t="n"/>
      <c r="K13" s="37" t="n"/>
      <c r="L13" s="10">
        <f>IF(N(J13)=0,"",IF(J13&gt;0,set_WIPAsset,IF(I13="Cost",IF(K13="","(set the P&amp;L Account)",K13),IF(K13="",set_WIPIncome,K13))))</f>
        <v/>
      </c>
      <c r="M13" s="10">
        <f>IF(N(J13)=0,"",IF(J13&gt;0,IF(I13="Cost",IF(K13="","(set the P&amp;L Account)",K13),IF(K13="",set_WIPIncome,K13)),set_WIPAsset))</f>
        <v/>
      </c>
      <c r="N13" s="11">
        <f>IF(N(J13)=0,"",ABS(J13))</f>
        <v/>
      </c>
      <c r="O13" s="10">
        <f>IF(N(J13)=0,"","WIP "&amp;H13&amp;IF(B13="",""," - "&amp;B13)&amp;IF(D13="",""," - "&amp;D13)&amp;IF(A13="",""," - "&amp;TEXT(A13,"mmm yyyy")))</f>
        <v/>
      </c>
      <c r="P13" s="37" t="n"/>
      <c r="Q13" s="37" t="n"/>
      <c r="R13" s="37" t="n"/>
    </row>
    <row r="14">
      <c r="A14" s="44" t="n"/>
      <c r="B14" s="37" t="n"/>
      <c r="C14" s="10">
        <f>IF(B14="","",IF(COUNTIF(lst_Jobs,B14&amp;"")&gt;0,"OK","CHECK"))</f>
        <v/>
      </c>
      <c r="D14" s="10">
        <f>IF(B14="","",IFERROR(INDEX(tbl_Finance[Client],MATCH(B14&amp;"",tbl_Finance[Job Number],0)),""))</f>
        <v/>
      </c>
      <c r="E14" s="37" t="n"/>
      <c r="F14" s="37" t="n"/>
      <c r="G14" s="37" t="n"/>
      <c r="H14" s="37" t="n"/>
      <c r="I14" s="37" t="n"/>
      <c r="J14" s="39" t="n"/>
      <c r="K14" s="37" t="n"/>
      <c r="L14" s="10">
        <f>IF(N(J14)=0,"",IF(J14&gt;0,set_WIPAsset,IF(I14="Cost",IF(K14="","(set the P&amp;L Account)",K14),IF(K14="",set_WIPIncome,K14))))</f>
        <v/>
      </c>
      <c r="M14" s="10">
        <f>IF(N(J14)=0,"",IF(J14&gt;0,IF(I14="Cost",IF(K14="","(set the P&amp;L Account)",K14),IF(K14="",set_WIPIncome,K14)),set_WIPAsset))</f>
        <v/>
      </c>
      <c r="N14" s="11">
        <f>IF(N(J14)=0,"",ABS(J14))</f>
        <v/>
      </c>
      <c r="O14" s="10">
        <f>IF(N(J14)=0,"","WIP "&amp;H14&amp;IF(B14="",""," - "&amp;B14)&amp;IF(D14="",""," - "&amp;D14)&amp;IF(A14="",""," - "&amp;TEXT(A14,"mmm yyyy")))</f>
        <v/>
      </c>
      <c r="P14" s="37" t="n"/>
      <c r="Q14" s="37" t="n"/>
      <c r="R14" s="37" t="n"/>
    </row>
    <row r="15">
      <c r="A15" s="44" t="n"/>
      <c r="B15" s="37" t="n"/>
      <c r="C15" s="10">
        <f>IF(B15="","",IF(COUNTIF(lst_Jobs,B15&amp;"")&gt;0,"OK","CHECK"))</f>
        <v/>
      </c>
      <c r="D15" s="10">
        <f>IF(B15="","",IFERROR(INDEX(tbl_Finance[Client],MATCH(B15&amp;"",tbl_Finance[Job Number],0)),""))</f>
        <v/>
      </c>
      <c r="E15" s="37" t="n"/>
      <c r="F15" s="37" t="n"/>
      <c r="G15" s="37" t="n"/>
      <c r="H15" s="37" t="n"/>
      <c r="I15" s="37" t="n"/>
      <c r="J15" s="39" t="n"/>
      <c r="K15" s="37" t="n"/>
      <c r="L15" s="10">
        <f>IF(N(J15)=0,"",IF(J15&gt;0,set_WIPAsset,IF(I15="Cost",IF(K15="","(set the P&amp;L Account)",K15),IF(K15="",set_WIPIncome,K15))))</f>
        <v/>
      </c>
      <c r="M15" s="10">
        <f>IF(N(J15)=0,"",IF(J15&gt;0,IF(I15="Cost",IF(K15="","(set the P&amp;L Account)",K15),IF(K15="",set_WIPIncome,K15)),set_WIPAsset))</f>
        <v/>
      </c>
      <c r="N15" s="11">
        <f>IF(N(J15)=0,"",ABS(J15))</f>
        <v/>
      </c>
      <c r="O15" s="10">
        <f>IF(N(J15)=0,"","WIP "&amp;H15&amp;IF(B15="",""," - "&amp;B15)&amp;IF(D15="",""," - "&amp;D15)&amp;IF(A15="",""," - "&amp;TEXT(A15,"mmm yyyy")))</f>
        <v/>
      </c>
      <c r="P15" s="37" t="n"/>
      <c r="Q15" s="37" t="n"/>
      <c r="R15" s="37" t="n"/>
    </row>
    <row r="16">
      <c r="A16" s="44" t="n"/>
      <c r="B16" s="37" t="n"/>
      <c r="C16" s="10">
        <f>IF(B16="","",IF(COUNTIF(lst_Jobs,B16&amp;"")&gt;0,"OK","CHECK"))</f>
        <v/>
      </c>
      <c r="D16" s="10">
        <f>IF(B16="","",IFERROR(INDEX(tbl_Finance[Client],MATCH(B16&amp;"",tbl_Finance[Job Number],0)),""))</f>
        <v/>
      </c>
      <c r="E16" s="37" t="n"/>
      <c r="F16" s="37" t="n"/>
      <c r="G16" s="37" t="n"/>
      <c r="H16" s="37" t="n"/>
      <c r="I16" s="37" t="n"/>
      <c r="J16" s="39" t="n"/>
      <c r="K16" s="37" t="n"/>
      <c r="L16" s="10">
        <f>IF(N(J16)=0,"",IF(J16&gt;0,set_WIPAsset,IF(I16="Cost",IF(K16="","(set the P&amp;L Account)",K16),IF(K16="",set_WIPIncome,K16))))</f>
        <v/>
      </c>
      <c r="M16" s="10">
        <f>IF(N(J16)=0,"",IF(J16&gt;0,IF(I16="Cost",IF(K16="","(set the P&amp;L Account)",K16),IF(K16="",set_WIPIncome,K16)),set_WIPAsset))</f>
        <v/>
      </c>
      <c r="N16" s="11">
        <f>IF(N(J16)=0,"",ABS(J16))</f>
        <v/>
      </c>
      <c r="O16" s="10">
        <f>IF(N(J16)=0,"","WIP "&amp;H16&amp;IF(B16="",""," - "&amp;B16)&amp;IF(D16="",""," - "&amp;D16)&amp;IF(A16="",""," - "&amp;TEXT(A16,"mmm yyyy")))</f>
        <v/>
      </c>
      <c r="P16" s="37" t="n"/>
      <c r="Q16" s="37" t="n"/>
      <c r="R16" s="37" t="n"/>
    </row>
    <row r="17">
      <c r="A17" s="44" t="n"/>
      <c r="B17" s="37" t="n"/>
      <c r="C17" s="10">
        <f>IF(B17="","",IF(COUNTIF(lst_Jobs,B17&amp;"")&gt;0,"OK","CHECK"))</f>
        <v/>
      </c>
      <c r="D17" s="10">
        <f>IF(B17="","",IFERROR(INDEX(tbl_Finance[Client],MATCH(B17&amp;"",tbl_Finance[Job Number],0)),""))</f>
        <v/>
      </c>
      <c r="E17" s="37" t="n"/>
      <c r="F17" s="37" t="n"/>
      <c r="G17" s="37" t="n"/>
      <c r="H17" s="37" t="n"/>
      <c r="I17" s="37" t="n"/>
      <c r="J17" s="39" t="n"/>
      <c r="K17" s="37" t="n"/>
      <c r="L17" s="10">
        <f>IF(N(J17)=0,"",IF(J17&gt;0,set_WIPAsset,IF(I17="Cost",IF(K17="","(set the P&amp;L Account)",K17),IF(K17="",set_WIPIncome,K17))))</f>
        <v/>
      </c>
      <c r="M17" s="10">
        <f>IF(N(J17)=0,"",IF(J17&gt;0,IF(I17="Cost",IF(K17="","(set the P&amp;L Account)",K17),IF(K17="",set_WIPIncome,K17)),set_WIPAsset))</f>
        <v/>
      </c>
      <c r="N17" s="11">
        <f>IF(N(J17)=0,"",ABS(J17))</f>
        <v/>
      </c>
      <c r="O17" s="10">
        <f>IF(N(J17)=0,"","WIP "&amp;H17&amp;IF(B17="",""," - "&amp;B17)&amp;IF(D17="",""," - "&amp;D17)&amp;IF(A17="",""," - "&amp;TEXT(A17,"mmm yyyy")))</f>
        <v/>
      </c>
      <c r="P17" s="37" t="n"/>
      <c r="Q17" s="37" t="n"/>
      <c r="R17" s="37" t="n"/>
    </row>
    <row r="18">
      <c r="A18" s="44" t="n"/>
      <c r="B18" s="37" t="n"/>
      <c r="C18" s="10">
        <f>IF(B18="","",IF(COUNTIF(lst_Jobs,B18&amp;"")&gt;0,"OK","CHECK"))</f>
        <v/>
      </c>
      <c r="D18" s="10">
        <f>IF(B18="","",IFERROR(INDEX(tbl_Finance[Client],MATCH(B18&amp;"",tbl_Finance[Job Number],0)),""))</f>
        <v/>
      </c>
      <c r="E18" s="37" t="n"/>
      <c r="F18" s="37" t="n"/>
      <c r="G18" s="37" t="n"/>
      <c r="H18" s="37" t="n"/>
      <c r="I18" s="37" t="n"/>
      <c r="J18" s="39" t="n"/>
      <c r="K18" s="37" t="n"/>
      <c r="L18" s="10">
        <f>IF(N(J18)=0,"",IF(J18&gt;0,set_WIPAsset,IF(I18="Cost",IF(K18="","(set the P&amp;L Account)",K18),IF(K18="",set_WIPIncome,K18))))</f>
        <v/>
      </c>
      <c r="M18" s="10">
        <f>IF(N(J18)=0,"",IF(J18&gt;0,IF(I18="Cost",IF(K18="","(set the P&amp;L Account)",K18),IF(K18="",set_WIPIncome,K18)),set_WIPAsset))</f>
        <v/>
      </c>
      <c r="N18" s="11">
        <f>IF(N(J18)=0,"",ABS(J18))</f>
        <v/>
      </c>
      <c r="O18" s="10">
        <f>IF(N(J18)=0,"","WIP "&amp;H18&amp;IF(B18="",""," - "&amp;B18)&amp;IF(D18="",""," - "&amp;D18)&amp;IF(A18="",""," - "&amp;TEXT(A18,"mmm yyyy")))</f>
        <v/>
      </c>
      <c r="P18" s="37" t="n"/>
      <c r="Q18" s="37" t="n"/>
      <c r="R18" s="37" t="n"/>
    </row>
    <row r="19">
      <c r="A19" s="44" t="n"/>
      <c r="B19" s="37" t="n"/>
      <c r="C19" s="10">
        <f>IF(B19="","",IF(COUNTIF(lst_Jobs,B19&amp;"")&gt;0,"OK","CHECK"))</f>
        <v/>
      </c>
      <c r="D19" s="10">
        <f>IF(B19="","",IFERROR(INDEX(tbl_Finance[Client],MATCH(B19&amp;"",tbl_Finance[Job Number],0)),""))</f>
        <v/>
      </c>
      <c r="E19" s="37" t="n"/>
      <c r="F19" s="37" t="n"/>
      <c r="G19" s="37" t="n"/>
      <c r="H19" s="37" t="n"/>
      <c r="I19" s="37" t="n"/>
      <c r="J19" s="39" t="n"/>
      <c r="K19" s="37" t="n"/>
      <c r="L19" s="10">
        <f>IF(N(J19)=0,"",IF(J19&gt;0,set_WIPAsset,IF(I19="Cost",IF(K19="","(set the P&amp;L Account)",K19),IF(K19="",set_WIPIncome,K19))))</f>
        <v/>
      </c>
      <c r="M19" s="10">
        <f>IF(N(J19)=0,"",IF(J19&gt;0,IF(I19="Cost",IF(K19="","(set the P&amp;L Account)",K19),IF(K19="",set_WIPIncome,K19)),set_WIPAsset))</f>
        <v/>
      </c>
      <c r="N19" s="11">
        <f>IF(N(J19)=0,"",ABS(J19))</f>
        <v/>
      </c>
      <c r="O19" s="10">
        <f>IF(N(J19)=0,"","WIP "&amp;H19&amp;IF(B19="",""," - "&amp;B19)&amp;IF(D19="",""," - "&amp;D19)&amp;IF(A19="",""," - "&amp;TEXT(A19,"mmm yyyy")))</f>
        <v/>
      </c>
      <c r="P19" s="37" t="n"/>
      <c r="Q19" s="37" t="n"/>
      <c r="R19" s="37" t="n"/>
    </row>
    <row r="20">
      <c r="A20" s="44" t="n"/>
      <c r="B20" s="37" t="n"/>
      <c r="C20" s="10">
        <f>IF(B20="","",IF(COUNTIF(lst_Jobs,B20&amp;"")&gt;0,"OK","CHECK"))</f>
        <v/>
      </c>
      <c r="D20" s="10">
        <f>IF(B20="","",IFERROR(INDEX(tbl_Finance[Client],MATCH(B20&amp;"",tbl_Finance[Job Number],0)),""))</f>
        <v/>
      </c>
      <c r="E20" s="37" t="n"/>
      <c r="F20" s="37" t="n"/>
      <c r="G20" s="37" t="n"/>
      <c r="H20" s="37" t="n"/>
      <c r="I20" s="37" t="n"/>
      <c r="J20" s="39" t="n"/>
      <c r="K20" s="37" t="n"/>
      <c r="L20" s="10">
        <f>IF(N(J20)=0,"",IF(J20&gt;0,set_WIPAsset,IF(I20="Cost",IF(K20="","(set the P&amp;L Account)",K20),IF(K20="",set_WIPIncome,K20))))</f>
        <v/>
      </c>
      <c r="M20" s="10">
        <f>IF(N(J20)=0,"",IF(J20&gt;0,IF(I20="Cost",IF(K20="","(set the P&amp;L Account)",K20),IF(K20="",set_WIPIncome,K20)),set_WIPAsset))</f>
        <v/>
      </c>
      <c r="N20" s="11">
        <f>IF(N(J20)=0,"",ABS(J20))</f>
        <v/>
      </c>
      <c r="O20" s="10">
        <f>IF(N(J20)=0,"","WIP "&amp;H20&amp;IF(B20="",""," - "&amp;B20)&amp;IF(D20="",""," - "&amp;D20)&amp;IF(A20="",""," - "&amp;TEXT(A20,"mmm yyyy")))</f>
        <v/>
      </c>
      <c r="P20" s="37" t="n"/>
      <c r="Q20" s="37" t="n"/>
      <c r="R20" s="37" t="n"/>
    </row>
    <row r="21">
      <c r="A21" s="44" t="n"/>
      <c r="B21" s="37" t="n"/>
      <c r="C21" s="10">
        <f>IF(B21="","",IF(COUNTIF(lst_Jobs,B21&amp;"")&gt;0,"OK","CHECK"))</f>
        <v/>
      </c>
      <c r="D21" s="10">
        <f>IF(B21="","",IFERROR(INDEX(tbl_Finance[Client],MATCH(B21&amp;"",tbl_Finance[Job Number],0)),""))</f>
        <v/>
      </c>
      <c r="E21" s="37" t="n"/>
      <c r="F21" s="37" t="n"/>
      <c r="G21" s="37" t="n"/>
      <c r="H21" s="37" t="n"/>
      <c r="I21" s="37" t="n"/>
      <c r="J21" s="39" t="n"/>
      <c r="K21" s="37" t="n"/>
      <c r="L21" s="10">
        <f>IF(N(J21)=0,"",IF(J21&gt;0,set_WIPAsset,IF(I21="Cost",IF(K21="","(set the P&amp;L Account)",K21),IF(K21="",set_WIPIncome,K21))))</f>
        <v/>
      </c>
      <c r="M21" s="10">
        <f>IF(N(J21)=0,"",IF(J21&gt;0,IF(I21="Cost",IF(K21="","(set the P&amp;L Account)",K21),IF(K21="",set_WIPIncome,K21)),set_WIPAsset))</f>
        <v/>
      </c>
      <c r="N21" s="11">
        <f>IF(N(J21)=0,"",ABS(J21))</f>
        <v/>
      </c>
      <c r="O21" s="10">
        <f>IF(N(J21)=0,"","WIP "&amp;H21&amp;IF(B21="",""," - "&amp;B21)&amp;IF(D21="",""," - "&amp;D21)&amp;IF(A21="",""," - "&amp;TEXT(A21,"mmm yyyy")))</f>
        <v/>
      </c>
      <c r="P21" s="37" t="n"/>
      <c r="Q21" s="37" t="n"/>
      <c r="R21" s="37" t="n"/>
    </row>
    <row r="22">
      <c r="A22" s="44" t="n"/>
      <c r="B22" s="37" t="n"/>
      <c r="C22" s="10">
        <f>IF(B22="","",IF(COUNTIF(lst_Jobs,B22&amp;"")&gt;0,"OK","CHECK"))</f>
        <v/>
      </c>
      <c r="D22" s="10">
        <f>IF(B22="","",IFERROR(INDEX(tbl_Finance[Client],MATCH(B22&amp;"",tbl_Finance[Job Number],0)),""))</f>
        <v/>
      </c>
      <c r="E22" s="37" t="n"/>
      <c r="F22" s="37" t="n"/>
      <c r="G22" s="37" t="n"/>
      <c r="H22" s="37" t="n"/>
      <c r="I22" s="37" t="n"/>
      <c r="J22" s="39" t="n"/>
      <c r="K22" s="37" t="n"/>
      <c r="L22" s="10">
        <f>IF(N(J22)=0,"",IF(J22&gt;0,set_WIPAsset,IF(I22="Cost",IF(K22="","(set the P&amp;L Account)",K22),IF(K22="",set_WIPIncome,K22))))</f>
        <v/>
      </c>
      <c r="M22" s="10">
        <f>IF(N(J22)=0,"",IF(J22&gt;0,IF(I22="Cost",IF(K22="","(set the P&amp;L Account)",K22),IF(K22="",set_WIPIncome,K22)),set_WIPAsset))</f>
        <v/>
      </c>
      <c r="N22" s="11">
        <f>IF(N(J22)=0,"",ABS(J22))</f>
        <v/>
      </c>
      <c r="O22" s="10">
        <f>IF(N(J22)=0,"","WIP "&amp;H22&amp;IF(B22="",""," - "&amp;B22)&amp;IF(D22="",""," - "&amp;D22)&amp;IF(A22="",""," - "&amp;TEXT(A22,"mmm yyyy")))</f>
        <v/>
      </c>
      <c r="P22" s="37" t="n"/>
      <c r="Q22" s="37" t="n"/>
      <c r="R22" s="37" t="n"/>
    </row>
    <row r="23">
      <c r="A23" s="44" t="n"/>
      <c r="B23" s="37" t="n"/>
      <c r="C23" s="10">
        <f>IF(B23="","",IF(COUNTIF(lst_Jobs,B23&amp;"")&gt;0,"OK","CHECK"))</f>
        <v/>
      </c>
      <c r="D23" s="10">
        <f>IF(B23="","",IFERROR(INDEX(tbl_Finance[Client],MATCH(B23&amp;"",tbl_Finance[Job Number],0)),""))</f>
        <v/>
      </c>
      <c r="E23" s="37" t="n"/>
      <c r="F23" s="37" t="n"/>
      <c r="G23" s="37" t="n"/>
      <c r="H23" s="37" t="n"/>
      <c r="I23" s="37" t="n"/>
      <c r="J23" s="39" t="n"/>
      <c r="K23" s="37" t="n"/>
      <c r="L23" s="10">
        <f>IF(N(J23)=0,"",IF(J23&gt;0,set_WIPAsset,IF(I23="Cost",IF(K23="","(set the P&amp;L Account)",K23),IF(K23="",set_WIPIncome,K23))))</f>
        <v/>
      </c>
      <c r="M23" s="10">
        <f>IF(N(J23)=0,"",IF(J23&gt;0,IF(I23="Cost",IF(K23="","(set the P&amp;L Account)",K23),IF(K23="",set_WIPIncome,K23)),set_WIPAsset))</f>
        <v/>
      </c>
      <c r="N23" s="11">
        <f>IF(N(J23)=0,"",ABS(J23))</f>
        <v/>
      </c>
      <c r="O23" s="10">
        <f>IF(N(J23)=0,"","WIP "&amp;H23&amp;IF(B23="",""," - "&amp;B23)&amp;IF(D23="",""," - "&amp;D23)&amp;IF(A23="",""," - "&amp;TEXT(A23,"mmm yyyy")))</f>
        <v/>
      </c>
      <c r="P23" s="37" t="n"/>
      <c r="Q23" s="37" t="n"/>
      <c r="R23" s="37" t="n"/>
    </row>
    <row r="24">
      <c r="A24" s="44" t="n"/>
      <c r="B24" s="37" t="n"/>
      <c r="C24" s="10">
        <f>IF(B24="","",IF(COUNTIF(lst_Jobs,B24&amp;"")&gt;0,"OK","CHECK"))</f>
        <v/>
      </c>
      <c r="D24" s="10">
        <f>IF(B24="","",IFERROR(INDEX(tbl_Finance[Client],MATCH(B24&amp;"",tbl_Finance[Job Number],0)),""))</f>
        <v/>
      </c>
      <c r="E24" s="37" t="n"/>
      <c r="F24" s="37" t="n"/>
      <c r="G24" s="37" t="n"/>
      <c r="H24" s="37" t="n"/>
      <c r="I24" s="37" t="n"/>
      <c r="J24" s="39" t="n"/>
      <c r="K24" s="37" t="n"/>
      <c r="L24" s="10">
        <f>IF(N(J24)=0,"",IF(J24&gt;0,set_WIPAsset,IF(I24="Cost",IF(K24="","(set the P&amp;L Account)",K24),IF(K24="",set_WIPIncome,K24))))</f>
        <v/>
      </c>
      <c r="M24" s="10">
        <f>IF(N(J24)=0,"",IF(J24&gt;0,IF(I24="Cost",IF(K24="","(set the P&amp;L Account)",K24),IF(K24="",set_WIPIncome,K24)),set_WIPAsset))</f>
        <v/>
      </c>
      <c r="N24" s="11">
        <f>IF(N(J24)=0,"",ABS(J24))</f>
        <v/>
      </c>
      <c r="O24" s="10">
        <f>IF(N(J24)=0,"","WIP "&amp;H24&amp;IF(B24="",""," - "&amp;B24)&amp;IF(D24="",""," - "&amp;D24)&amp;IF(A24="",""," - "&amp;TEXT(A24,"mmm yyyy")))</f>
        <v/>
      </c>
      <c r="P24" s="37" t="n"/>
      <c r="Q24" s="37" t="n"/>
      <c r="R24" s="37" t="n"/>
    </row>
    <row r="25">
      <c r="A25" s="44" t="n"/>
      <c r="B25" s="37" t="n"/>
      <c r="C25" s="10">
        <f>IF(B25="","",IF(COUNTIF(lst_Jobs,B25&amp;"")&gt;0,"OK","CHECK"))</f>
        <v/>
      </c>
      <c r="D25" s="10">
        <f>IF(B25="","",IFERROR(INDEX(tbl_Finance[Client],MATCH(B25&amp;"",tbl_Finance[Job Number],0)),""))</f>
        <v/>
      </c>
      <c r="E25" s="37" t="n"/>
      <c r="F25" s="37" t="n"/>
      <c r="G25" s="37" t="n"/>
      <c r="H25" s="37" t="n"/>
      <c r="I25" s="37" t="n"/>
      <c r="J25" s="39" t="n"/>
      <c r="K25" s="37" t="n"/>
      <c r="L25" s="10">
        <f>IF(N(J25)=0,"",IF(J25&gt;0,set_WIPAsset,IF(I25="Cost",IF(K25="","(set the P&amp;L Account)",K25),IF(K25="",set_WIPIncome,K25))))</f>
        <v/>
      </c>
      <c r="M25" s="10">
        <f>IF(N(J25)=0,"",IF(J25&gt;0,IF(I25="Cost",IF(K25="","(set the P&amp;L Account)",K25),IF(K25="",set_WIPIncome,K25)),set_WIPAsset))</f>
        <v/>
      </c>
      <c r="N25" s="11">
        <f>IF(N(J25)=0,"",ABS(J25))</f>
        <v/>
      </c>
      <c r="O25" s="10">
        <f>IF(N(J25)=0,"","WIP "&amp;H25&amp;IF(B25="",""," - "&amp;B25)&amp;IF(D25="",""," - "&amp;D25)&amp;IF(A25="",""," - "&amp;TEXT(A25,"mmm yyyy")))</f>
        <v/>
      </c>
      <c r="P25" s="37" t="n"/>
      <c r="Q25" s="37" t="n"/>
      <c r="R25" s="37" t="n"/>
    </row>
    <row r="26">
      <c r="A26" s="44" t="n"/>
      <c r="B26" s="37" t="n"/>
      <c r="C26" s="10">
        <f>IF(B26="","",IF(COUNTIF(lst_Jobs,B26&amp;"")&gt;0,"OK","CHECK"))</f>
        <v/>
      </c>
      <c r="D26" s="10">
        <f>IF(B26="","",IFERROR(INDEX(tbl_Finance[Client],MATCH(B26&amp;"",tbl_Finance[Job Number],0)),""))</f>
        <v/>
      </c>
      <c r="E26" s="37" t="n"/>
      <c r="F26" s="37" t="n"/>
      <c r="G26" s="37" t="n"/>
      <c r="H26" s="37" t="n"/>
      <c r="I26" s="37" t="n"/>
      <c r="J26" s="39" t="n"/>
      <c r="K26" s="37" t="n"/>
      <c r="L26" s="10">
        <f>IF(N(J26)=0,"",IF(J26&gt;0,set_WIPAsset,IF(I26="Cost",IF(K26="","(set the P&amp;L Account)",K26),IF(K26="",set_WIPIncome,K26))))</f>
        <v/>
      </c>
      <c r="M26" s="10">
        <f>IF(N(J26)=0,"",IF(J26&gt;0,IF(I26="Cost",IF(K26="","(set the P&amp;L Account)",K26),IF(K26="",set_WIPIncome,K26)),set_WIPAsset))</f>
        <v/>
      </c>
      <c r="N26" s="11">
        <f>IF(N(J26)=0,"",ABS(J26))</f>
        <v/>
      </c>
      <c r="O26" s="10">
        <f>IF(N(J26)=0,"","WIP "&amp;H26&amp;IF(B26="",""," - "&amp;B26)&amp;IF(D26="",""," - "&amp;D26)&amp;IF(A26="",""," - "&amp;TEXT(A26,"mmm yyyy")))</f>
        <v/>
      </c>
      <c r="P26" s="37" t="n"/>
      <c r="Q26" s="37" t="n"/>
      <c r="R26" s="37" t="n"/>
    </row>
    <row r="27">
      <c r="A27" s="44" t="n"/>
      <c r="B27" s="37" t="n"/>
      <c r="C27" s="10">
        <f>IF(B27="","",IF(COUNTIF(lst_Jobs,B27&amp;"")&gt;0,"OK","CHECK"))</f>
        <v/>
      </c>
      <c r="D27" s="10">
        <f>IF(B27="","",IFERROR(INDEX(tbl_Finance[Client],MATCH(B27&amp;"",tbl_Finance[Job Number],0)),""))</f>
        <v/>
      </c>
      <c r="E27" s="37" t="n"/>
      <c r="F27" s="37" t="n"/>
      <c r="G27" s="37" t="n"/>
      <c r="H27" s="37" t="n"/>
      <c r="I27" s="37" t="n"/>
      <c r="J27" s="39" t="n"/>
      <c r="K27" s="37" t="n"/>
      <c r="L27" s="10">
        <f>IF(N(J27)=0,"",IF(J27&gt;0,set_WIPAsset,IF(I27="Cost",IF(K27="","(set the P&amp;L Account)",K27),IF(K27="",set_WIPIncome,K27))))</f>
        <v/>
      </c>
      <c r="M27" s="10">
        <f>IF(N(J27)=0,"",IF(J27&gt;0,IF(I27="Cost",IF(K27="","(set the P&amp;L Account)",K27),IF(K27="",set_WIPIncome,K27)),set_WIPAsset))</f>
        <v/>
      </c>
      <c r="N27" s="11">
        <f>IF(N(J27)=0,"",ABS(J27))</f>
        <v/>
      </c>
      <c r="O27" s="10">
        <f>IF(N(J27)=0,"","WIP "&amp;H27&amp;IF(B27="",""," - "&amp;B27)&amp;IF(D27="",""," - "&amp;D27)&amp;IF(A27="",""," - "&amp;TEXT(A27,"mmm yyyy")))</f>
        <v/>
      </c>
      <c r="P27" s="37" t="n"/>
      <c r="Q27" s="37" t="n"/>
      <c r="R27" s="37" t="n"/>
    </row>
    <row r="28">
      <c r="A28" s="44" t="n"/>
      <c r="B28" s="37" t="n"/>
      <c r="C28" s="10">
        <f>IF(B28="","",IF(COUNTIF(lst_Jobs,B28&amp;"")&gt;0,"OK","CHECK"))</f>
        <v/>
      </c>
      <c r="D28" s="10">
        <f>IF(B28="","",IFERROR(INDEX(tbl_Finance[Client],MATCH(B28&amp;"",tbl_Finance[Job Number],0)),""))</f>
        <v/>
      </c>
      <c r="E28" s="37" t="n"/>
      <c r="F28" s="37" t="n"/>
      <c r="G28" s="37" t="n"/>
      <c r="H28" s="37" t="n"/>
      <c r="I28" s="37" t="n"/>
      <c r="J28" s="39" t="n"/>
      <c r="K28" s="37" t="n"/>
      <c r="L28" s="10">
        <f>IF(N(J28)=0,"",IF(J28&gt;0,set_WIPAsset,IF(I28="Cost",IF(K28="","(set the P&amp;L Account)",K28),IF(K28="",set_WIPIncome,K28))))</f>
        <v/>
      </c>
      <c r="M28" s="10">
        <f>IF(N(J28)=0,"",IF(J28&gt;0,IF(I28="Cost",IF(K28="","(set the P&amp;L Account)",K28),IF(K28="",set_WIPIncome,K28)),set_WIPAsset))</f>
        <v/>
      </c>
      <c r="N28" s="11">
        <f>IF(N(J28)=0,"",ABS(J28))</f>
        <v/>
      </c>
      <c r="O28" s="10">
        <f>IF(N(J28)=0,"","WIP "&amp;H28&amp;IF(B28="",""," - "&amp;B28)&amp;IF(D28="",""," - "&amp;D28)&amp;IF(A28="",""," - "&amp;TEXT(A28,"mmm yyyy")))</f>
        <v/>
      </c>
      <c r="P28" s="37" t="n"/>
      <c r="Q28" s="37" t="n"/>
      <c r="R28" s="37" t="n"/>
    </row>
    <row r="29">
      <c r="A29" s="44" t="n"/>
      <c r="B29" s="37" t="n"/>
      <c r="C29" s="10">
        <f>IF(B29="","",IF(COUNTIF(lst_Jobs,B29&amp;"")&gt;0,"OK","CHECK"))</f>
        <v/>
      </c>
      <c r="D29" s="10">
        <f>IF(B29="","",IFERROR(INDEX(tbl_Finance[Client],MATCH(B29&amp;"",tbl_Finance[Job Number],0)),""))</f>
        <v/>
      </c>
      <c r="E29" s="37" t="n"/>
      <c r="F29" s="37" t="n"/>
      <c r="G29" s="37" t="n"/>
      <c r="H29" s="37" t="n"/>
      <c r="I29" s="37" t="n"/>
      <c r="J29" s="39" t="n"/>
      <c r="K29" s="37" t="n"/>
      <c r="L29" s="10">
        <f>IF(N(J29)=0,"",IF(J29&gt;0,set_WIPAsset,IF(I29="Cost",IF(K29="","(set the P&amp;L Account)",K29),IF(K29="",set_WIPIncome,K29))))</f>
        <v/>
      </c>
      <c r="M29" s="10">
        <f>IF(N(J29)=0,"",IF(J29&gt;0,IF(I29="Cost",IF(K29="","(set the P&amp;L Account)",K29),IF(K29="",set_WIPIncome,K29)),set_WIPAsset))</f>
        <v/>
      </c>
      <c r="N29" s="11">
        <f>IF(N(J29)=0,"",ABS(J29))</f>
        <v/>
      </c>
      <c r="O29" s="10">
        <f>IF(N(J29)=0,"","WIP "&amp;H29&amp;IF(B29="",""," - "&amp;B29)&amp;IF(D29="",""," - "&amp;D29)&amp;IF(A29="",""," - "&amp;TEXT(A29,"mmm yyyy")))</f>
        <v/>
      </c>
      <c r="P29" s="37" t="n"/>
      <c r="Q29" s="37" t="n"/>
      <c r="R29" s="37" t="n"/>
    </row>
    <row r="30">
      <c r="A30" s="44" t="n"/>
      <c r="B30" s="37" t="n"/>
      <c r="C30" s="10">
        <f>IF(B30="","",IF(COUNTIF(lst_Jobs,B30&amp;"")&gt;0,"OK","CHECK"))</f>
        <v/>
      </c>
      <c r="D30" s="10">
        <f>IF(B30="","",IFERROR(INDEX(tbl_Finance[Client],MATCH(B30&amp;"",tbl_Finance[Job Number],0)),""))</f>
        <v/>
      </c>
      <c r="E30" s="37" t="n"/>
      <c r="F30" s="37" t="n"/>
      <c r="G30" s="37" t="n"/>
      <c r="H30" s="37" t="n"/>
      <c r="I30" s="37" t="n"/>
      <c r="J30" s="39" t="n"/>
      <c r="K30" s="37" t="n"/>
      <c r="L30" s="10">
        <f>IF(N(J30)=0,"",IF(J30&gt;0,set_WIPAsset,IF(I30="Cost",IF(K30="","(set the P&amp;L Account)",K30),IF(K30="",set_WIPIncome,K30))))</f>
        <v/>
      </c>
      <c r="M30" s="10">
        <f>IF(N(J30)=0,"",IF(J30&gt;0,IF(I30="Cost",IF(K30="","(set the P&amp;L Account)",K30),IF(K30="",set_WIPIncome,K30)),set_WIPAsset))</f>
        <v/>
      </c>
      <c r="N30" s="11">
        <f>IF(N(J30)=0,"",ABS(J30))</f>
        <v/>
      </c>
      <c r="O30" s="10">
        <f>IF(N(J30)=0,"","WIP "&amp;H30&amp;IF(B30="",""," - "&amp;B30)&amp;IF(D30="",""," - "&amp;D30)&amp;IF(A30="",""," - "&amp;TEXT(A30,"mmm yyyy")))</f>
        <v/>
      </c>
      <c r="P30" s="37" t="n"/>
      <c r="Q30" s="37" t="n"/>
      <c r="R30" s="37" t="n"/>
    </row>
    <row r="31">
      <c r="A31" s="44" t="n"/>
      <c r="B31" s="37" t="n"/>
      <c r="C31" s="10">
        <f>IF(B31="","",IF(COUNTIF(lst_Jobs,B31&amp;"")&gt;0,"OK","CHECK"))</f>
        <v/>
      </c>
      <c r="D31" s="10">
        <f>IF(B31="","",IFERROR(INDEX(tbl_Finance[Client],MATCH(B31&amp;"",tbl_Finance[Job Number],0)),""))</f>
        <v/>
      </c>
      <c r="E31" s="37" t="n"/>
      <c r="F31" s="37" t="n"/>
      <c r="G31" s="37" t="n"/>
      <c r="H31" s="37" t="n"/>
      <c r="I31" s="37" t="n"/>
      <c r="J31" s="39" t="n"/>
      <c r="K31" s="37" t="n"/>
      <c r="L31" s="10">
        <f>IF(N(J31)=0,"",IF(J31&gt;0,set_WIPAsset,IF(I31="Cost",IF(K31="","(set the P&amp;L Account)",K31),IF(K31="",set_WIPIncome,K31))))</f>
        <v/>
      </c>
      <c r="M31" s="10">
        <f>IF(N(J31)=0,"",IF(J31&gt;0,IF(I31="Cost",IF(K31="","(set the P&amp;L Account)",K31),IF(K31="",set_WIPIncome,K31)),set_WIPAsset))</f>
        <v/>
      </c>
      <c r="N31" s="11">
        <f>IF(N(J31)=0,"",ABS(J31))</f>
        <v/>
      </c>
      <c r="O31" s="10">
        <f>IF(N(J31)=0,"","WIP "&amp;H31&amp;IF(B31="",""," - "&amp;B31)&amp;IF(D31="",""," - "&amp;D31)&amp;IF(A31="",""," - "&amp;TEXT(A31,"mmm yyyy")))</f>
        <v/>
      </c>
      <c r="P31" s="37" t="n"/>
      <c r="Q31" s="37" t="n"/>
      <c r="R31" s="37" t="n"/>
    </row>
    <row r="32">
      <c r="A32" s="44" t="n"/>
      <c r="B32" s="37" t="n"/>
      <c r="C32" s="10">
        <f>IF(B32="","",IF(COUNTIF(lst_Jobs,B32&amp;"")&gt;0,"OK","CHECK"))</f>
        <v/>
      </c>
      <c r="D32" s="10">
        <f>IF(B32="","",IFERROR(INDEX(tbl_Finance[Client],MATCH(B32&amp;"",tbl_Finance[Job Number],0)),""))</f>
        <v/>
      </c>
      <c r="E32" s="37" t="n"/>
      <c r="F32" s="37" t="n"/>
      <c r="G32" s="37" t="n"/>
      <c r="H32" s="37" t="n"/>
      <c r="I32" s="37" t="n"/>
      <c r="J32" s="39" t="n"/>
      <c r="K32" s="37" t="n"/>
      <c r="L32" s="10">
        <f>IF(N(J32)=0,"",IF(J32&gt;0,set_WIPAsset,IF(I32="Cost",IF(K32="","(set the P&amp;L Account)",K32),IF(K32="",set_WIPIncome,K32))))</f>
        <v/>
      </c>
      <c r="M32" s="10">
        <f>IF(N(J32)=0,"",IF(J32&gt;0,IF(I32="Cost",IF(K32="","(set the P&amp;L Account)",K32),IF(K32="",set_WIPIncome,K32)),set_WIPAsset))</f>
        <v/>
      </c>
      <c r="N32" s="11">
        <f>IF(N(J32)=0,"",ABS(J32))</f>
        <v/>
      </c>
      <c r="O32" s="10">
        <f>IF(N(J32)=0,"","WIP "&amp;H32&amp;IF(B32="",""," - "&amp;B32)&amp;IF(D32="",""," - "&amp;D32)&amp;IF(A32="",""," - "&amp;TEXT(A32,"mmm yyyy")))</f>
        <v/>
      </c>
      <c r="P32" s="37" t="n"/>
      <c r="Q32" s="37" t="n"/>
      <c r="R32" s="37" t="n"/>
    </row>
    <row r="33">
      <c r="A33" s="44" t="n"/>
      <c r="B33" s="37" t="n"/>
      <c r="C33" s="10">
        <f>IF(B33="","",IF(COUNTIF(lst_Jobs,B33&amp;"")&gt;0,"OK","CHECK"))</f>
        <v/>
      </c>
      <c r="D33" s="10">
        <f>IF(B33="","",IFERROR(INDEX(tbl_Finance[Client],MATCH(B33&amp;"",tbl_Finance[Job Number],0)),""))</f>
        <v/>
      </c>
      <c r="E33" s="37" t="n"/>
      <c r="F33" s="37" t="n"/>
      <c r="G33" s="37" t="n"/>
      <c r="H33" s="37" t="n"/>
      <c r="I33" s="37" t="n"/>
      <c r="J33" s="39" t="n"/>
      <c r="K33" s="37" t="n"/>
      <c r="L33" s="10">
        <f>IF(N(J33)=0,"",IF(J33&gt;0,set_WIPAsset,IF(I33="Cost",IF(K33="","(set the P&amp;L Account)",K33),IF(K33="",set_WIPIncome,K33))))</f>
        <v/>
      </c>
      <c r="M33" s="10">
        <f>IF(N(J33)=0,"",IF(J33&gt;0,IF(I33="Cost",IF(K33="","(set the P&amp;L Account)",K33),IF(K33="",set_WIPIncome,K33)),set_WIPAsset))</f>
        <v/>
      </c>
      <c r="N33" s="11">
        <f>IF(N(J33)=0,"",ABS(J33))</f>
        <v/>
      </c>
      <c r="O33" s="10">
        <f>IF(N(J33)=0,"","WIP "&amp;H33&amp;IF(B33="",""," - "&amp;B33)&amp;IF(D33="",""," - "&amp;D33)&amp;IF(A33="",""," - "&amp;TEXT(A33,"mmm yyyy")))</f>
        <v/>
      </c>
      <c r="P33" s="37" t="n"/>
      <c r="Q33" s="37" t="n"/>
      <c r="R33" s="37" t="n"/>
    </row>
    <row r="34">
      <c r="A34" s="44" t="n"/>
      <c r="B34" s="37" t="n"/>
      <c r="C34" s="10">
        <f>IF(B34="","",IF(COUNTIF(lst_Jobs,B34&amp;"")&gt;0,"OK","CHECK"))</f>
        <v/>
      </c>
      <c r="D34" s="10">
        <f>IF(B34="","",IFERROR(INDEX(tbl_Finance[Client],MATCH(B34&amp;"",tbl_Finance[Job Number],0)),""))</f>
        <v/>
      </c>
      <c r="E34" s="37" t="n"/>
      <c r="F34" s="37" t="n"/>
      <c r="G34" s="37" t="n"/>
      <c r="H34" s="37" t="n"/>
      <c r="I34" s="37" t="n"/>
      <c r="J34" s="39" t="n"/>
      <c r="K34" s="37" t="n"/>
      <c r="L34" s="10">
        <f>IF(N(J34)=0,"",IF(J34&gt;0,set_WIPAsset,IF(I34="Cost",IF(K34="","(set the P&amp;L Account)",K34),IF(K34="",set_WIPIncome,K34))))</f>
        <v/>
      </c>
      <c r="M34" s="10">
        <f>IF(N(J34)=0,"",IF(J34&gt;0,IF(I34="Cost",IF(K34="","(set the P&amp;L Account)",K34),IF(K34="",set_WIPIncome,K34)),set_WIPAsset))</f>
        <v/>
      </c>
      <c r="N34" s="11">
        <f>IF(N(J34)=0,"",ABS(J34))</f>
        <v/>
      </c>
      <c r="O34" s="10">
        <f>IF(N(J34)=0,"","WIP "&amp;H34&amp;IF(B34="",""," - "&amp;B34)&amp;IF(D34="",""," - "&amp;D34)&amp;IF(A34="",""," - "&amp;TEXT(A34,"mmm yyyy")))</f>
        <v/>
      </c>
      <c r="P34" s="37" t="n"/>
      <c r="Q34" s="37" t="n"/>
      <c r="R34" s="37" t="n"/>
    </row>
    <row r="35">
      <c r="A35" s="44" t="n"/>
      <c r="B35" s="37" t="n"/>
      <c r="C35" s="10">
        <f>IF(B35="","",IF(COUNTIF(lst_Jobs,B35&amp;"")&gt;0,"OK","CHECK"))</f>
        <v/>
      </c>
      <c r="D35" s="10">
        <f>IF(B35="","",IFERROR(INDEX(tbl_Finance[Client],MATCH(B35&amp;"",tbl_Finance[Job Number],0)),""))</f>
        <v/>
      </c>
      <c r="E35" s="37" t="n"/>
      <c r="F35" s="37" t="n"/>
      <c r="G35" s="37" t="n"/>
      <c r="H35" s="37" t="n"/>
      <c r="I35" s="37" t="n"/>
      <c r="J35" s="39" t="n"/>
      <c r="K35" s="37" t="n"/>
      <c r="L35" s="10">
        <f>IF(N(J35)=0,"",IF(J35&gt;0,set_WIPAsset,IF(I35="Cost",IF(K35="","(set the P&amp;L Account)",K35),IF(K35="",set_WIPIncome,K35))))</f>
        <v/>
      </c>
      <c r="M35" s="10">
        <f>IF(N(J35)=0,"",IF(J35&gt;0,IF(I35="Cost",IF(K35="","(set the P&amp;L Account)",K35),IF(K35="",set_WIPIncome,K35)),set_WIPAsset))</f>
        <v/>
      </c>
      <c r="N35" s="11">
        <f>IF(N(J35)=0,"",ABS(J35))</f>
        <v/>
      </c>
      <c r="O35" s="10">
        <f>IF(N(J35)=0,"","WIP "&amp;H35&amp;IF(B35="",""," - "&amp;B35)&amp;IF(D35="",""," - "&amp;D35)&amp;IF(A35="",""," - "&amp;TEXT(A35,"mmm yyyy")))</f>
        <v/>
      </c>
      <c r="P35" s="37" t="n"/>
      <c r="Q35" s="37" t="n"/>
      <c r="R35" s="37" t="n"/>
    </row>
    <row r="36">
      <c r="A36" s="44" t="n"/>
      <c r="B36" s="37" t="n"/>
      <c r="C36" s="10">
        <f>IF(B36="","",IF(COUNTIF(lst_Jobs,B36&amp;"")&gt;0,"OK","CHECK"))</f>
        <v/>
      </c>
      <c r="D36" s="10">
        <f>IF(B36="","",IFERROR(INDEX(tbl_Finance[Client],MATCH(B36&amp;"",tbl_Finance[Job Number],0)),""))</f>
        <v/>
      </c>
      <c r="E36" s="37" t="n"/>
      <c r="F36" s="37" t="n"/>
      <c r="G36" s="37" t="n"/>
      <c r="H36" s="37" t="n"/>
      <c r="I36" s="37" t="n"/>
      <c r="J36" s="39" t="n"/>
      <c r="K36" s="37" t="n"/>
      <c r="L36" s="10">
        <f>IF(N(J36)=0,"",IF(J36&gt;0,set_WIPAsset,IF(I36="Cost",IF(K36="","(set the P&amp;L Account)",K36),IF(K36="",set_WIPIncome,K36))))</f>
        <v/>
      </c>
      <c r="M36" s="10">
        <f>IF(N(J36)=0,"",IF(J36&gt;0,IF(I36="Cost",IF(K36="","(set the P&amp;L Account)",K36),IF(K36="",set_WIPIncome,K36)),set_WIPAsset))</f>
        <v/>
      </c>
      <c r="N36" s="11">
        <f>IF(N(J36)=0,"",ABS(J36))</f>
        <v/>
      </c>
      <c r="O36" s="10">
        <f>IF(N(J36)=0,"","WIP "&amp;H36&amp;IF(B36="",""," - "&amp;B36)&amp;IF(D36="",""," - "&amp;D36)&amp;IF(A36="",""," - "&amp;TEXT(A36,"mmm yyyy")))</f>
        <v/>
      </c>
      <c r="P36" s="37" t="n"/>
      <c r="Q36" s="37" t="n"/>
      <c r="R36" s="37" t="n"/>
    </row>
    <row r="37">
      <c r="A37" s="44" t="n"/>
      <c r="B37" s="37" t="n"/>
      <c r="C37" s="10">
        <f>IF(B37="","",IF(COUNTIF(lst_Jobs,B37&amp;"")&gt;0,"OK","CHECK"))</f>
        <v/>
      </c>
      <c r="D37" s="10">
        <f>IF(B37="","",IFERROR(INDEX(tbl_Finance[Client],MATCH(B37&amp;"",tbl_Finance[Job Number],0)),""))</f>
        <v/>
      </c>
      <c r="E37" s="37" t="n"/>
      <c r="F37" s="37" t="n"/>
      <c r="G37" s="37" t="n"/>
      <c r="H37" s="37" t="n"/>
      <c r="I37" s="37" t="n"/>
      <c r="J37" s="39" t="n"/>
      <c r="K37" s="37" t="n"/>
      <c r="L37" s="10">
        <f>IF(N(J37)=0,"",IF(J37&gt;0,set_WIPAsset,IF(I37="Cost",IF(K37="","(set the P&amp;L Account)",K37),IF(K37="",set_WIPIncome,K37))))</f>
        <v/>
      </c>
      <c r="M37" s="10">
        <f>IF(N(J37)=0,"",IF(J37&gt;0,IF(I37="Cost",IF(K37="","(set the P&amp;L Account)",K37),IF(K37="",set_WIPIncome,K37)),set_WIPAsset))</f>
        <v/>
      </c>
      <c r="N37" s="11">
        <f>IF(N(J37)=0,"",ABS(J37))</f>
        <v/>
      </c>
      <c r="O37" s="10">
        <f>IF(N(J37)=0,"","WIP "&amp;H37&amp;IF(B37="",""," - "&amp;B37)&amp;IF(D37="",""," - "&amp;D37)&amp;IF(A37="",""," - "&amp;TEXT(A37,"mmm yyyy")))</f>
        <v/>
      </c>
      <c r="P37" s="37" t="n"/>
      <c r="Q37" s="37" t="n"/>
      <c r="R37" s="37" t="n"/>
    </row>
    <row r="38">
      <c r="A38" s="44" t="n"/>
      <c r="B38" s="37" t="n"/>
      <c r="C38" s="10">
        <f>IF(B38="","",IF(COUNTIF(lst_Jobs,B38&amp;"")&gt;0,"OK","CHECK"))</f>
        <v/>
      </c>
      <c r="D38" s="10">
        <f>IF(B38="","",IFERROR(INDEX(tbl_Finance[Client],MATCH(B38&amp;"",tbl_Finance[Job Number],0)),""))</f>
        <v/>
      </c>
      <c r="E38" s="37" t="n"/>
      <c r="F38" s="37" t="n"/>
      <c r="G38" s="37" t="n"/>
      <c r="H38" s="37" t="n"/>
      <c r="I38" s="37" t="n"/>
      <c r="J38" s="39" t="n"/>
      <c r="K38" s="37" t="n"/>
      <c r="L38" s="10">
        <f>IF(N(J38)=0,"",IF(J38&gt;0,set_WIPAsset,IF(I38="Cost",IF(K38="","(set the P&amp;L Account)",K38),IF(K38="",set_WIPIncome,K38))))</f>
        <v/>
      </c>
      <c r="M38" s="10">
        <f>IF(N(J38)=0,"",IF(J38&gt;0,IF(I38="Cost",IF(K38="","(set the P&amp;L Account)",K38),IF(K38="",set_WIPIncome,K38)),set_WIPAsset))</f>
        <v/>
      </c>
      <c r="N38" s="11">
        <f>IF(N(J38)=0,"",ABS(J38))</f>
        <v/>
      </c>
      <c r="O38" s="10">
        <f>IF(N(J38)=0,"","WIP "&amp;H38&amp;IF(B38="",""," - "&amp;B38)&amp;IF(D38="",""," - "&amp;D38)&amp;IF(A38="",""," - "&amp;TEXT(A38,"mmm yyyy")))</f>
        <v/>
      </c>
      <c r="P38" s="37" t="n"/>
      <c r="Q38" s="37" t="n"/>
      <c r="R38" s="37" t="n"/>
    </row>
    <row r="39">
      <c r="A39" s="44" t="n"/>
      <c r="B39" s="37" t="n"/>
      <c r="C39" s="10">
        <f>IF(B39="","",IF(COUNTIF(lst_Jobs,B39&amp;"")&gt;0,"OK","CHECK"))</f>
        <v/>
      </c>
      <c r="D39" s="10">
        <f>IF(B39="","",IFERROR(INDEX(tbl_Finance[Client],MATCH(B39&amp;"",tbl_Finance[Job Number],0)),""))</f>
        <v/>
      </c>
      <c r="E39" s="37" t="n"/>
      <c r="F39" s="37" t="n"/>
      <c r="G39" s="37" t="n"/>
      <c r="H39" s="37" t="n"/>
      <c r="I39" s="37" t="n"/>
      <c r="J39" s="39" t="n"/>
      <c r="K39" s="37" t="n"/>
      <c r="L39" s="10">
        <f>IF(N(J39)=0,"",IF(J39&gt;0,set_WIPAsset,IF(I39="Cost",IF(K39="","(set the P&amp;L Account)",K39),IF(K39="",set_WIPIncome,K39))))</f>
        <v/>
      </c>
      <c r="M39" s="10">
        <f>IF(N(J39)=0,"",IF(J39&gt;0,IF(I39="Cost",IF(K39="","(set the P&amp;L Account)",K39),IF(K39="",set_WIPIncome,K39)),set_WIPAsset))</f>
        <v/>
      </c>
      <c r="N39" s="11">
        <f>IF(N(J39)=0,"",ABS(J39))</f>
        <v/>
      </c>
      <c r="O39" s="10">
        <f>IF(N(J39)=0,"","WIP "&amp;H39&amp;IF(B39="",""," - "&amp;B39)&amp;IF(D39="",""," - "&amp;D39)&amp;IF(A39="",""," - "&amp;TEXT(A39,"mmm yyyy")))</f>
        <v/>
      </c>
      <c r="P39" s="37" t="n"/>
      <c r="Q39" s="37" t="n"/>
      <c r="R39" s="37" t="n"/>
    </row>
    <row r="40">
      <c r="A40" s="44" t="n"/>
      <c r="B40" s="37" t="n"/>
      <c r="C40" s="10">
        <f>IF(B40="","",IF(COUNTIF(lst_Jobs,B40&amp;"")&gt;0,"OK","CHECK"))</f>
        <v/>
      </c>
      <c r="D40" s="10">
        <f>IF(B40="","",IFERROR(INDEX(tbl_Finance[Client],MATCH(B40&amp;"",tbl_Finance[Job Number],0)),""))</f>
        <v/>
      </c>
      <c r="E40" s="37" t="n"/>
      <c r="F40" s="37" t="n"/>
      <c r="G40" s="37" t="n"/>
      <c r="H40" s="37" t="n"/>
      <c r="I40" s="37" t="n"/>
      <c r="J40" s="39" t="n"/>
      <c r="K40" s="37" t="n"/>
      <c r="L40" s="10">
        <f>IF(N(J40)=0,"",IF(J40&gt;0,set_WIPAsset,IF(I40="Cost",IF(K40="","(set the P&amp;L Account)",K40),IF(K40="",set_WIPIncome,K40))))</f>
        <v/>
      </c>
      <c r="M40" s="10">
        <f>IF(N(J40)=0,"",IF(J40&gt;0,IF(I40="Cost",IF(K40="","(set the P&amp;L Account)",K40),IF(K40="",set_WIPIncome,K40)),set_WIPAsset))</f>
        <v/>
      </c>
      <c r="N40" s="11">
        <f>IF(N(J40)=0,"",ABS(J40))</f>
        <v/>
      </c>
      <c r="O40" s="10">
        <f>IF(N(J40)=0,"","WIP "&amp;H40&amp;IF(B40="",""," - "&amp;B40)&amp;IF(D40="",""," - "&amp;D40)&amp;IF(A40="",""," - "&amp;TEXT(A40,"mmm yyyy")))</f>
        <v/>
      </c>
      <c r="P40" s="37" t="n"/>
      <c r="Q40" s="37" t="n"/>
      <c r="R40" s="37" t="n"/>
    </row>
    <row r="41">
      <c r="A41" s="44" t="n"/>
      <c r="B41" s="37" t="n"/>
      <c r="C41" s="10">
        <f>IF(B41="","",IF(COUNTIF(lst_Jobs,B41&amp;"")&gt;0,"OK","CHECK"))</f>
        <v/>
      </c>
      <c r="D41" s="10">
        <f>IF(B41="","",IFERROR(INDEX(tbl_Finance[Client],MATCH(B41&amp;"",tbl_Finance[Job Number],0)),""))</f>
        <v/>
      </c>
      <c r="E41" s="37" t="n"/>
      <c r="F41" s="37" t="n"/>
      <c r="G41" s="37" t="n"/>
      <c r="H41" s="37" t="n"/>
      <c r="I41" s="37" t="n"/>
      <c r="J41" s="39" t="n"/>
      <c r="K41" s="37" t="n"/>
      <c r="L41" s="10">
        <f>IF(N(J41)=0,"",IF(J41&gt;0,set_WIPAsset,IF(I41="Cost",IF(K41="","(set the P&amp;L Account)",K41),IF(K41="",set_WIPIncome,K41))))</f>
        <v/>
      </c>
      <c r="M41" s="10">
        <f>IF(N(J41)=0,"",IF(J41&gt;0,IF(I41="Cost",IF(K41="","(set the P&amp;L Account)",K41),IF(K41="",set_WIPIncome,K41)),set_WIPAsset))</f>
        <v/>
      </c>
      <c r="N41" s="11">
        <f>IF(N(J41)=0,"",ABS(J41))</f>
        <v/>
      </c>
      <c r="O41" s="10">
        <f>IF(N(J41)=0,"","WIP "&amp;H41&amp;IF(B41="",""," - "&amp;B41)&amp;IF(D41="",""," - "&amp;D41)&amp;IF(A41="",""," - "&amp;TEXT(A41,"mmm yyyy")))</f>
        <v/>
      </c>
      <c r="P41" s="37" t="n"/>
      <c r="Q41" s="37" t="n"/>
      <c r="R41" s="37" t="n"/>
    </row>
    <row r="42">
      <c r="A42" s="44" t="n"/>
      <c r="B42" s="37" t="n"/>
      <c r="C42" s="10">
        <f>IF(B42="","",IF(COUNTIF(lst_Jobs,B42&amp;"")&gt;0,"OK","CHECK"))</f>
        <v/>
      </c>
      <c r="D42" s="10">
        <f>IF(B42="","",IFERROR(INDEX(tbl_Finance[Client],MATCH(B42&amp;"",tbl_Finance[Job Number],0)),""))</f>
        <v/>
      </c>
      <c r="E42" s="37" t="n"/>
      <c r="F42" s="37" t="n"/>
      <c r="G42" s="37" t="n"/>
      <c r="H42" s="37" t="n"/>
      <c r="I42" s="37" t="n"/>
      <c r="J42" s="39" t="n"/>
      <c r="K42" s="37" t="n"/>
      <c r="L42" s="10">
        <f>IF(N(J42)=0,"",IF(J42&gt;0,set_WIPAsset,IF(I42="Cost",IF(K42="","(set the P&amp;L Account)",K42),IF(K42="",set_WIPIncome,K42))))</f>
        <v/>
      </c>
      <c r="M42" s="10">
        <f>IF(N(J42)=0,"",IF(J42&gt;0,IF(I42="Cost",IF(K42="","(set the P&amp;L Account)",K42),IF(K42="",set_WIPIncome,K42)),set_WIPAsset))</f>
        <v/>
      </c>
      <c r="N42" s="11">
        <f>IF(N(J42)=0,"",ABS(J42))</f>
        <v/>
      </c>
      <c r="O42" s="10">
        <f>IF(N(J42)=0,"","WIP "&amp;H42&amp;IF(B42="",""," - "&amp;B42)&amp;IF(D42="",""," - "&amp;D42)&amp;IF(A42="",""," - "&amp;TEXT(A42,"mmm yyyy")))</f>
        <v/>
      </c>
      <c r="P42" s="37" t="n"/>
      <c r="Q42" s="37" t="n"/>
      <c r="R42" s="37" t="n"/>
    </row>
    <row r="43">
      <c r="A43" s="44" t="n"/>
      <c r="B43" s="37" t="n"/>
      <c r="C43" s="10">
        <f>IF(B43="","",IF(COUNTIF(lst_Jobs,B43&amp;"")&gt;0,"OK","CHECK"))</f>
        <v/>
      </c>
      <c r="D43" s="10">
        <f>IF(B43="","",IFERROR(INDEX(tbl_Finance[Client],MATCH(B43&amp;"",tbl_Finance[Job Number],0)),""))</f>
        <v/>
      </c>
      <c r="E43" s="37" t="n"/>
      <c r="F43" s="37" t="n"/>
      <c r="G43" s="37" t="n"/>
      <c r="H43" s="37" t="n"/>
      <c r="I43" s="37" t="n"/>
      <c r="J43" s="39" t="n"/>
      <c r="K43" s="37" t="n"/>
      <c r="L43" s="10">
        <f>IF(N(J43)=0,"",IF(J43&gt;0,set_WIPAsset,IF(I43="Cost",IF(K43="","(set the P&amp;L Account)",K43),IF(K43="",set_WIPIncome,K43))))</f>
        <v/>
      </c>
      <c r="M43" s="10">
        <f>IF(N(J43)=0,"",IF(J43&gt;0,IF(I43="Cost",IF(K43="","(set the P&amp;L Account)",K43),IF(K43="",set_WIPIncome,K43)),set_WIPAsset))</f>
        <v/>
      </c>
      <c r="N43" s="11">
        <f>IF(N(J43)=0,"",ABS(J43))</f>
        <v/>
      </c>
      <c r="O43" s="10">
        <f>IF(N(J43)=0,"","WIP "&amp;H43&amp;IF(B43="",""," - "&amp;B43)&amp;IF(D43="",""," - "&amp;D43)&amp;IF(A43="",""," - "&amp;TEXT(A43,"mmm yyyy")))</f>
        <v/>
      </c>
      <c r="P43" s="37" t="n"/>
      <c r="Q43" s="37" t="n"/>
      <c r="R43" s="37" t="n"/>
    </row>
    <row r="44">
      <c r="A44" s="44" t="n"/>
      <c r="B44" s="37" t="n"/>
      <c r="C44" s="10">
        <f>IF(B44="","",IF(COUNTIF(lst_Jobs,B44&amp;"")&gt;0,"OK","CHECK"))</f>
        <v/>
      </c>
      <c r="D44" s="10">
        <f>IF(B44="","",IFERROR(INDEX(tbl_Finance[Client],MATCH(B44&amp;"",tbl_Finance[Job Number],0)),""))</f>
        <v/>
      </c>
      <c r="E44" s="37" t="n"/>
      <c r="F44" s="37" t="n"/>
      <c r="G44" s="37" t="n"/>
      <c r="H44" s="37" t="n"/>
      <c r="I44" s="37" t="n"/>
      <c r="J44" s="39" t="n"/>
      <c r="K44" s="37" t="n"/>
      <c r="L44" s="10">
        <f>IF(N(J44)=0,"",IF(J44&gt;0,set_WIPAsset,IF(I44="Cost",IF(K44="","(set the P&amp;L Account)",K44),IF(K44="",set_WIPIncome,K44))))</f>
        <v/>
      </c>
      <c r="M44" s="10">
        <f>IF(N(J44)=0,"",IF(J44&gt;0,IF(I44="Cost",IF(K44="","(set the P&amp;L Account)",K44),IF(K44="",set_WIPIncome,K44)),set_WIPAsset))</f>
        <v/>
      </c>
      <c r="N44" s="11">
        <f>IF(N(J44)=0,"",ABS(J44))</f>
        <v/>
      </c>
      <c r="O44" s="10">
        <f>IF(N(J44)=0,"","WIP "&amp;H44&amp;IF(B44="",""," - "&amp;B44)&amp;IF(D44="",""," - "&amp;D44)&amp;IF(A44="",""," - "&amp;TEXT(A44,"mmm yyyy")))</f>
        <v/>
      </c>
      <c r="P44" s="37" t="n"/>
      <c r="Q44" s="37" t="n"/>
      <c r="R44" s="37" t="n"/>
    </row>
    <row r="45">
      <c r="A45" s="44" t="n"/>
      <c r="B45" s="37" t="n"/>
      <c r="C45" s="10">
        <f>IF(B45="","",IF(COUNTIF(lst_Jobs,B45&amp;"")&gt;0,"OK","CHECK"))</f>
        <v/>
      </c>
      <c r="D45" s="10">
        <f>IF(B45="","",IFERROR(INDEX(tbl_Finance[Client],MATCH(B45&amp;"",tbl_Finance[Job Number],0)),""))</f>
        <v/>
      </c>
      <c r="E45" s="37" t="n"/>
      <c r="F45" s="37" t="n"/>
      <c r="G45" s="37" t="n"/>
      <c r="H45" s="37" t="n"/>
      <c r="I45" s="37" t="n"/>
      <c r="J45" s="39" t="n"/>
      <c r="K45" s="37" t="n"/>
      <c r="L45" s="10">
        <f>IF(N(J45)=0,"",IF(J45&gt;0,set_WIPAsset,IF(I45="Cost",IF(K45="","(set the P&amp;L Account)",K45),IF(K45="",set_WIPIncome,K45))))</f>
        <v/>
      </c>
      <c r="M45" s="10">
        <f>IF(N(J45)=0,"",IF(J45&gt;0,IF(I45="Cost",IF(K45="","(set the P&amp;L Account)",K45),IF(K45="",set_WIPIncome,K45)),set_WIPAsset))</f>
        <v/>
      </c>
      <c r="N45" s="11">
        <f>IF(N(J45)=0,"",ABS(J45))</f>
        <v/>
      </c>
      <c r="O45" s="10">
        <f>IF(N(J45)=0,"","WIP "&amp;H45&amp;IF(B45="",""," - "&amp;B45)&amp;IF(D45="",""," - "&amp;D45)&amp;IF(A45="",""," - "&amp;TEXT(A45,"mmm yyyy")))</f>
        <v/>
      </c>
      <c r="P45" s="37" t="n"/>
      <c r="Q45" s="37" t="n"/>
      <c r="R45" s="37" t="n"/>
    </row>
    <row r="46">
      <c r="A46" s="44" t="n"/>
      <c r="B46" s="37" t="n"/>
      <c r="C46" s="10">
        <f>IF(B46="","",IF(COUNTIF(lst_Jobs,B46&amp;"")&gt;0,"OK","CHECK"))</f>
        <v/>
      </c>
      <c r="D46" s="10">
        <f>IF(B46="","",IFERROR(INDEX(tbl_Finance[Client],MATCH(B46&amp;"",tbl_Finance[Job Number],0)),""))</f>
        <v/>
      </c>
      <c r="E46" s="37" t="n"/>
      <c r="F46" s="37" t="n"/>
      <c r="G46" s="37" t="n"/>
      <c r="H46" s="37" t="n"/>
      <c r="I46" s="37" t="n"/>
      <c r="J46" s="39" t="n"/>
      <c r="K46" s="37" t="n"/>
      <c r="L46" s="10">
        <f>IF(N(J46)=0,"",IF(J46&gt;0,set_WIPAsset,IF(I46="Cost",IF(K46="","(set the P&amp;L Account)",K46),IF(K46="",set_WIPIncome,K46))))</f>
        <v/>
      </c>
      <c r="M46" s="10">
        <f>IF(N(J46)=0,"",IF(J46&gt;0,IF(I46="Cost",IF(K46="","(set the P&amp;L Account)",K46),IF(K46="",set_WIPIncome,K46)),set_WIPAsset))</f>
        <v/>
      </c>
      <c r="N46" s="11">
        <f>IF(N(J46)=0,"",ABS(J46))</f>
        <v/>
      </c>
      <c r="O46" s="10">
        <f>IF(N(J46)=0,"","WIP "&amp;H46&amp;IF(B46="",""," - "&amp;B46)&amp;IF(D46="",""," - "&amp;D46)&amp;IF(A46="",""," - "&amp;TEXT(A46,"mmm yyyy")))</f>
        <v/>
      </c>
      <c r="P46" s="37" t="n"/>
      <c r="Q46" s="37" t="n"/>
      <c r="R46" s="37" t="n"/>
    </row>
    <row r="47">
      <c r="A47" s="44" t="n"/>
      <c r="B47" s="37" t="n"/>
      <c r="C47" s="10">
        <f>IF(B47="","",IF(COUNTIF(lst_Jobs,B47&amp;"")&gt;0,"OK","CHECK"))</f>
        <v/>
      </c>
      <c r="D47" s="10">
        <f>IF(B47="","",IFERROR(INDEX(tbl_Finance[Client],MATCH(B47&amp;"",tbl_Finance[Job Number],0)),""))</f>
        <v/>
      </c>
      <c r="E47" s="37" t="n"/>
      <c r="F47" s="37" t="n"/>
      <c r="G47" s="37" t="n"/>
      <c r="H47" s="37" t="n"/>
      <c r="I47" s="37" t="n"/>
      <c r="J47" s="39" t="n"/>
      <c r="K47" s="37" t="n"/>
      <c r="L47" s="10">
        <f>IF(N(J47)=0,"",IF(J47&gt;0,set_WIPAsset,IF(I47="Cost",IF(K47="","(set the P&amp;L Account)",K47),IF(K47="",set_WIPIncome,K47))))</f>
        <v/>
      </c>
      <c r="M47" s="10">
        <f>IF(N(J47)=0,"",IF(J47&gt;0,IF(I47="Cost",IF(K47="","(set the P&amp;L Account)",K47),IF(K47="",set_WIPIncome,K47)),set_WIPAsset))</f>
        <v/>
      </c>
      <c r="N47" s="11">
        <f>IF(N(J47)=0,"",ABS(J47))</f>
        <v/>
      </c>
      <c r="O47" s="10">
        <f>IF(N(J47)=0,"","WIP "&amp;H47&amp;IF(B47="",""," - "&amp;B47)&amp;IF(D47="",""," - "&amp;D47)&amp;IF(A47="",""," - "&amp;TEXT(A47,"mmm yyyy")))</f>
        <v/>
      </c>
      <c r="P47" s="37" t="n"/>
      <c r="Q47" s="37" t="n"/>
      <c r="R47" s="37" t="n"/>
    </row>
    <row r="48">
      <c r="A48" s="44" t="n"/>
      <c r="B48" s="37" t="n"/>
      <c r="C48" s="10">
        <f>IF(B48="","",IF(COUNTIF(lst_Jobs,B48&amp;"")&gt;0,"OK","CHECK"))</f>
        <v/>
      </c>
      <c r="D48" s="10">
        <f>IF(B48="","",IFERROR(INDEX(tbl_Finance[Client],MATCH(B48&amp;"",tbl_Finance[Job Number],0)),""))</f>
        <v/>
      </c>
      <c r="E48" s="37" t="n"/>
      <c r="F48" s="37" t="n"/>
      <c r="G48" s="37" t="n"/>
      <c r="H48" s="37" t="n"/>
      <c r="I48" s="37" t="n"/>
      <c r="J48" s="39" t="n"/>
      <c r="K48" s="37" t="n"/>
      <c r="L48" s="10">
        <f>IF(N(J48)=0,"",IF(J48&gt;0,set_WIPAsset,IF(I48="Cost",IF(K48="","(set the P&amp;L Account)",K48),IF(K48="",set_WIPIncome,K48))))</f>
        <v/>
      </c>
      <c r="M48" s="10">
        <f>IF(N(J48)=0,"",IF(J48&gt;0,IF(I48="Cost",IF(K48="","(set the P&amp;L Account)",K48),IF(K48="",set_WIPIncome,K48)),set_WIPAsset))</f>
        <v/>
      </c>
      <c r="N48" s="11">
        <f>IF(N(J48)=0,"",ABS(J48))</f>
        <v/>
      </c>
      <c r="O48" s="10">
        <f>IF(N(J48)=0,"","WIP "&amp;H48&amp;IF(B48="",""," - "&amp;B48)&amp;IF(D48="",""," - "&amp;D48)&amp;IF(A48="",""," - "&amp;TEXT(A48,"mmm yyyy")))</f>
        <v/>
      </c>
      <c r="P48" s="37" t="n"/>
      <c r="Q48" s="37" t="n"/>
      <c r="R48" s="37" t="n"/>
    </row>
    <row r="49">
      <c r="A49" s="44" t="n"/>
      <c r="B49" s="37" t="n"/>
      <c r="C49" s="10">
        <f>IF(B49="","",IF(COUNTIF(lst_Jobs,B49&amp;"")&gt;0,"OK","CHECK"))</f>
        <v/>
      </c>
      <c r="D49" s="10">
        <f>IF(B49="","",IFERROR(INDEX(tbl_Finance[Client],MATCH(B49&amp;"",tbl_Finance[Job Number],0)),""))</f>
        <v/>
      </c>
      <c r="E49" s="37" t="n"/>
      <c r="F49" s="37" t="n"/>
      <c r="G49" s="37" t="n"/>
      <c r="H49" s="37" t="n"/>
      <c r="I49" s="37" t="n"/>
      <c r="J49" s="39" t="n"/>
      <c r="K49" s="37" t="n"/>
      <c r="L49" s="10">
        <f>IF(N(J49)=0,"",IF(J49&gt;0,set_WIPAsset,IF(I49="Cost",IF(K49="","(set the P&amp;L Account)",K49),IF(K49="",set_WIPIncome,K49))))</f>
        <v/>
      </c>
      <c r="M49" s="10">
        <f>IF(N(J49)=0,"",IF(J49&gt;0,IF(I49="Cost",IF(K49="","(set the P&amp;L Account)",K49),IF(K49="",set_WIPIncome,K49)),set_WIPAsset))</f>
        <v/>
      </c>
      <c r="N49" s="11">
        <f>IF(N(J49)=0,"",ABS(J49))</f>
        <v/>
      </c>
      <c r="O49" s="10">
        <f>IF(N(J49)=0,"","WIP "&amp;H49&amp;IF(B49="",""," - "&amp;B49)&amp;IF(D49="",""," - "&amp;D49)&amp;IF(A49="",""," - "&amp;TEXT(A49,"mmm yyyy")))</f>
        <v/>
      </c>
      <c r="P49" s="37" t="n"/>
      <c r="Q49" s="37" t="n"/>
      <c r="R49" s="37" t="n"/>
    </row>
    <row r="50">
      <c r="A50" s="44" t="n"/>
      <c r="B50" s="37" t="n"/>
      <c r="C50" s="10">
        <f>IF(B50="","",IF(COUNTIF(lst_Jobs,B50&amp;"")&gt;0,"OK","CHECK"))</f>
        <v/>
      </c>
      <c r="D50" s="10">
        <f>IF(B50="","",IFERROR(INDEX(tbl_Finance[Client],MATCH(B50&amp;"",tbl_Finance[Job Number],0)),""))</f>
        <v/>
      </c>
      <c r="E50" s="37" t="n"/>
      <c r="F50" s="37" t="n"/>
      <c r="G50" s="37" t="n"/>
      <c r="H50" s="37" t="n"/>
      <c r="I50" s="37" t="n"/>
      <c r="J50" s="39" t="n"/>
      <c r="K50" s="37" t="n"/>
      <c r="L50" s="10">
        <f>IF(N(J50)=0,"",IF(J50&gt;0,set_WIPAsset,IF(I50="Cost",IF(K50="","(set the P&amp;L Account)",K50),IF(K50="",set_WIPIncome,K50))))</f>
        <v/>
      </c>
      <c r="M50" s="10">
        <f>IF(N(J50)=0,"",IF(J50&gt;0,IF(I50="Cost",IF(K50="","(set the P&amp;L Account)",K50),IF(K50="",set_WIPIncome,K50)),set_WIPAsset))</f>
        <v/>
      </c>
      <c r="N50" s="11">
        <f>IF(N(J50)=0,"",ABS(J50))</f>
        <v/>
      </c>
      <c r="O50" s="10">
        <f>IF(N(J50)=0,"","WIP "&amp;H50&amp;IF(B50="",""," - "&amp;B50)&amp;IF(D50="",""," - "&amp;D50)&amp;IF(A50="",""," - "&amp;TEXT(A50,"mmm yyyy")))</f>
        <v/>
      </c>
      <c r="P50" s="37" t="n"/>
      <c r="Q50" s="37" t="n"/>
      <c r="R50" s="37" t="n"/>
    </row>
    <row r="51">
      <c r="A51" s="44" t="n"/>
      <c r="B51" s="37" t="n"/>
      <c r="C51" s="10">
        <f>IF(B51="","",IF(COUNTIF(lst_Jobs,B51&amp;"")&gt;0,"OK","CHECK"))</f>
        <v/>
      </c>
      <c r="D51" s="10">
        <f>IF(B51="","",IFERROR(INDEX(tbl_Finance[Client],MATCH(B51&amp;"",tbl_Finance[Job Number],0)),""))</f>
        <v/>
      </c>
      <c r="E51" s="37" t="n"/>
      <c r="F51" s="37" t="n"/>
      <c r="G51" s="37" t="n"/>
      <c r="H51" s="37" t="n"/>
      <c r="I51" s="37" t="n"/>
      <c r="J51" s="39" t="n"/>
      <c r="K51" s="37" t="n"/>
      <c r="L51" s="10">
        <f>IF(N(J51)=0,"",IF(J51&gt;0,set_WIPAsset,IF(I51="Cost",IF(K51="","(set the P&amp;L Account)",K51),IF(K51="",set_WIPIncome,K51))))</f>
        <v/>
      </c>
      <c r="M51" s="10">
        <f>IF(N(J51)=0,"",IF(J51&gt;0,IF(I51="Cost",IF(K51="","(set the P&amp;L Account)",K51),IF(K51="",set_WIPIncome,K51)),set_WIPAsset))</f>
        <v/>
      </c>
      <c r="N51" s="11">
        <f>IF(N(J51)=0,"",ABS(J51))</f>
        <v/>
      </c>
      <c r="O51" s="10">
        <f>IF(N(J51)=0,"","WIP "&amp;H51&amp;IF(B51="",""," - "&amp;B51)&amp;IF(D51="",""," - "&amp;D51)&amp;IF(A51="",""," - "&amp;TEXT(A51,"mmm yyyy")))</f>
        <v/>
      </c>
      <c r="P51" s="37" t="n"/>
      <c r="Q51" s="37" t="n"/>
      <c r="R51" s="37" t="n"/>
    </row>
    <row r="52">
      <c r="A52" s="44" t="n"/>
      <c r="B52" s="37" t="n"/>
      <c r="C52" s="10">
        <f>IF(B52="","",IF(COUNTIF(lst_Jobs,B52&amp;"")&gt;0,"OK","CHECK"))</f>
        <v/>
      </c>
      <c r="D52" s="10">
        <f>IF(B52="","",IFERROR(INDEX(tbl_Finance[Client],MATCH(B52&amp;"",tbl_Finance[Job Number],0)),""))</f>
        <v/>
      </c>
      <c r="E52" s="37" t="n"/>
      <c r="F52" s="37" t="n"/>
      <c r="G52" s="37" t="n"/>
      <c r="H52" s="37" t="n"/>
      <c r="I52" s="37" t="n"/>
      <c r="J52" s="39" t="n"/>
      <c r="K52" s="37" t="n"/>
      <c r="L52" s="10">
        <f>IF(N(J52)=0,"",IF(J52&gt;0,set_WIPAsset,IF(I52="Cost",IF(K52="","(set the P&amp;L Account)",K52),IF(K52="",set_WIPIncome,K52))))</f>
        <v/>
      </c>
      <c r="M52" s="10">
        <f>IF(N(J52)=0,"",IF(J52&gt;0,IF(I52="Cost",IF(K52="","(set the P&amp;L Account)",K52),IF(K52="",set_WIPIncome,K52)),set_WIPAsset))</f>
        <v/>
      </c>
      <c r="N52" s="11">
        <f>IF(N(J52)=0,"",ABS(J52))</f>
        <v/>
      </c>
      <c r="O52" s="10">
        <f>IF(N(J52)=0,"","WIP "&amp;H52&amp;IF(B52="",""," - "&amp;B52)&amp;IF(D52="",""," - "&amp;D52)&amp;IF(A52="",""," - "&amp;TEXT(A52,"mmm yyyy")))</f>
        <v/>
      </c>
      <c r="P52" s="37" t="n"/>
      <c r="Q52" s="37" t="n"/>
      <c r="R52" s="37" t="n"/>
    </row>
    <row r="53">
      <c r="A53" s="44" t="n"/>
      <c r="B53" s="37" t="n"/>
      <c r="C53" s="10">
        <f>IF(B53="","",IF(COUNTIF(lst_Jobs,B53&amp;"")&gt;0,"OK","CHECK"))</f>
        <v/>
      </c>
      <c r="D53" s="10">
        <f>IF(B53="","",IFERROR(INDEX(tbl_Finance[Client],MATCH(B53&amp;"",tbl_Finance[Job Number],0)),""))</f>
        <v/>
      </c>
      <c r="E53" s="37" t="n"/>
      <c r="F53" s="37" t="n"/>
      <c r="G53" s="37" t="n"/>
      <c r="H53" s="37" t="n"/>
      <c r="I53" s="37" t="n"/>
      <c r="J53" s="39" t="n"/>
      <c r="K53" s="37" t="n"/>
      <c r="L53" s="10">
        <f>IF(N(J53)=0,"",IF(J53&gt;0,set_WIPAsset,IF(I53="Cost",IF(K53="","(set the P&amp;L Account)",K53),IF(K53="",set_WIPIncome,K53))))</f>
        <v/>
      </c>
      <c r="M53" s="10">
        <f>IF(N(J53)=0,"",IF(J53&gt;0,IF(I53="Cost",IF(K53="","(set the P&amp;L Account)",K53),IF(K53="",set_WIPIncome,K53)),set_WIPAsset))</f>
        <v/>
      </c>
      <c r="N53" s="11">
        <f>IF(N(J53)=0,"",ABS(J53))</f>
        <v/>
      </c>
      <c r="O53" s="10">
        <f>IF(N(J53)=0,"","WIP "&amp;H53&amp;IF(B53="",""," - "&amp;B53)&amp;IF(D53="",""," - "&amp;D53)&amp;IF(A53="",""," - "&amp;TEXT(A53,"mmm yyyy")))</f>
        <v/>
      </c>
      <c r="P53" s="37" t="n"/>
      <c r="Q53" s="37" t="n"/>
      <c r="R53" s="37" t="n"/>
    </row>
    <row r="54">
      <c r="A54" s="44" t="n"/>
      <c r="B54" s="37" t="n"/>
      <c r="C54" s="10">
        <f>IF(B54="","",IF(COUNTIF(lst_Jobs,B54&amp;"")&gt;0,"OK","CHECK"))</f>
        <v/>
      </c>
      <c r="D54" s="10">
        <f>IF(B54="","",IFERROR(INDEX(tbl_Finance[Client],MATCH(B54&amp;"",tbl_Finance[Job Number],0)),""))</f>
        <v/>
      </c>
      <c r="E54" s="37" t="n"/>
      <c r="F54" s="37" t="n"/>
      <c r="G54" s="37" t="n"/>
      <c r="H54" s="37" t="n"/>
      <c r="I54" s="37" t="n"/>
      <c r="J54" s="39" t="n"/>
      <c r="K54" s="37" t="n"/>
      <c r="L54" s="10">
        <f>IF(N(J54)=0,"",IF(J54&gt;0,set_WIPAsset,IF(I54="Cost",IF(K54="","(set the P&amp;L Account)",K54),IF(K54="",set_WIPIncome,K54))))</f>
        <v/>
      </c>
      <c r="M54" s="10">
        <f>IF(N(J54)=0,"",IF(J54&gt;0,IF(I54="Cost",IF(K54="","(set the P&amp;L Account)",K54),IF(K54="",set_WIPIncome,K54)),set_WIPAsset))</f>
        <v/>
      </c>
      <c r="N54" s="11">
        <f>IF(N(J54)=0,"",ABS(J54))</f>
        <v/>
      </c>
      <c r="O54" s="10">
        <f>IF(N(J54)=0,"","WIP "&amp;H54&amp;IF(B54="",""," - "&amp;B54)&amp;IF(D54="",""," - "&amp;D54)&amp;IF(A54="",""," - "&amp;TEXT(A54,"mmm yyyy")))</f>
        <v/>
      </c>
      <c r="P54" s="37" t="n"/>
      <c r="Q54" s="37" t="n"/>
      <c r="R54" s="37" t="n"/>
    </row>
    <row r="55">
      <c r="A55" s="44" t="n"/>
      <c r="B55" s="37" t="n"/>
      <c r="C55" s="10">
        <f>IF(B55="","",IF(COUNTIF(lst_Jobs,B55&amp;"")&gt;0,"OK","CHECK"))</f>
        <v/>
      </c>
      <c r="D55" s="10">
        <f>IF(B55="","",IFERROR(INDEX(tbl_Finance[Client],MATCH(B55&amp;"",tbl_Finance[Job Number],0)),""))</f>
        <v/>
      </c>
      <c r="E55" s="37" t="n"/>
      <c r="F55" s="37" t="n"/>
      <c r="G55" s="37" t="n"/>
      <c r="H55" s="37" t="n"/>
      <c r="I55" s="37" t="n"/>
      <c r="J55" s="39" t="n"/>
      <c r="K55" s="37" t="n"/>
      <c r="L55" s="10">
        <f>IF(N(J55)=0,"",IF(J55&gt;0,set_WIPAsset,IF(I55="Cost",IF(K55="","(set the P&amp;L Account)",K55),IF(K55="",set_WIPIncome,K55))))</f>
        <v/>
      </c>
      <c r="M55" s="10">
        <f>IF(N(J55)=0,"",IF(J55&gt;0,IF(I55="Cost",IF(K55="","(set the P&amp;L Account)",K55),IF(K55="",set_WIPIncome,K55)),set_WIPAsset))</f>
        <v/>
      </c>
      <c r="N55" s="11">
        <f>IF(N(J55)=0,"",ABS(J55))</f>
        <v/>
      </c>
      <c r="O55" s="10">
        <f>IF(N(J55)=0,"","WIP "&amp;H55&amp;IF(B55="",""," - "&amp;B55)&amp;IF(D55="",""," - "&amp;D55)&amp;IF(A55="",""," - "&amp;TEXT(A55,"mmm yyyy")))</f>
        <v/>
      </c>
      <c r="P55" s="37" t="n"/>
      <c r="Q55" s="37" t="n"/>
      <c r="R55" s="37" t="n"/>
    </row>
    <row r="56">
      <c r="A56" s="44" t="n"/>
      <c r="B56" s="37" t="n"/>
      <c r="C56" s="10">
        <f>IF(B56="","",IF(COUNTIF(lst_Jobs,B56&amp;"")&gt;0,"OK","CHECK"))</f>
        <v/>
      </c>
      <c r="D56" s="10">
        <f>IF(B56="","",IFERROR(INDEX(tbl_Finance[Client],MATCH(B56&amp;"",tbl_Finance[Job Number],0)),""))</f>
        <v/>
      </c>
      <c r="E56" s="37" t="n"/>
      <c r="F56" s="37" t="n"/>
      <c r="G56" s="37" t="n"/>
      <c r="H56" s="37" t="n"/>
      <c r="I56" s="37" t="n"/>
      <c r="J56" s="39" t="n"/>
      <c r="K56" s="37" t="n"/>
      <c r="L56" s="10">
        <f>IF(N(J56)=0,"",IF(J56&gt;0,set_WIPAsset,IF(I56="Cost",IF(K56="","(set the P&amp;L Account)",K56),IF(K56="",set_WIPIncome,K56))))</f>
        <v/>
      </c>
      <c r="M56" s="10">
        <f>IF(N(J56)=0,"",IF(J56&gt;0,IF(I56="Cost",IF(K56="","(set the P&amp;L Account)",K56),IF(K56="",set_WIPIncome,K56)),set_WIPAsset))</f>
        <v/>
      </c>
      <c r="N56" s="11">
        <f>IF(N(J56)=0,"",ABS(J56))</f>
        <v/>
      </c>
      <c r="O56" s="10">
        <f>IF(N(J56)=0,"","WIP "&amp;H56&amp;IF(B56="",""," - "&amp;B56)&amp;IF(D56="",""," - "&amp;D56)&amp;IF(A56="",""," - "&amp;TEXT(A56,"mmm yyyy")))</f>
        <v/>
      </c>
      <c r="P56" s="37" t="n"/>
      <c r="Q56" s="37" t="n"/>
      <c r="R56" s="37" t="n"/>
    </row>
    <row r="57">
      <c r="A57" s="44" t="n"/>
      <c r="B57" s="37" t="n"/>
      <c r="C57" s="10">
        <f>IF(B57="","",IF(COUNTIF(lst_Jobs,B57&amp;"")&gt;0,"OK","CHECK"))</f>
        <v/>
      </c>
      <c r="D57" s="10">
        <f>IF(B57="","",IFERROR(INDEX(tbl_Finance[Client],MATCH(B57&amp;"",tbl_Finance[Job Number],0)),""))</f>
        <v/>
      </c>
      <c r="E57" s="37" t="n"/>
      <c r="F57" s="37" t="n"/>
      <c r="G57" s="37" t="n"/>
      <c r="H57" s="37" t="n"/>
      <c r="I57" s="37" t="n"/>
      <c r="J57" s="39" t="n"/>
      <c r="K57" s="37" t="n"/>
      <c r="L57" s="10">
        <f>IF(N(J57)=0,"",IF(J57&gt;0,set_WIPAsset,IF(I57="Cost",IF(K57="","(set the P&amp;L Account)",K57),IF(K57="",set_WIPIncome,K57))))</f>
        <v/>
      </c>
      <c r="M57" s="10">
        <f>IF(N(J57)=0,"",IF(J57&gt;0,IF(I57="Cost",IF(K57="","(set the P&amp;L Account)",K57),IF(K57="",set_WIPIncome,K57)),set_WIPAsset))</f>
        <v/>
      </c>
      <c r="N57" s="11">
        <f>IF(N(J57)=0,"",ABS(J57))</f>
        <v/>
      </c>
      <c r="O57" s="10">
        <f>IF(N(J57)=0,"","WIP "&amp;H57&amp;IF(B57="",""," - "&amp;B57)&amp;IF(D57="",""," - "&amp;D57)&amp;IF(A57="",""," - "&amp;TEXT(A57,"mmm yyyy")))</f>
        <v/>
      </c>
      <c r="P57" s="37" t="n"/>
      <c r="Q57" s="37" t="n"/>
      <c r="R57" s="37" t="n"/>
    </row>
    <row r="58">
      <c r="A58" s="44" t="n"/>
      <c r="B58" s="37" t="n"/>
      <c r="C58" s="10">
        <f>IF(B58="","",IF(COUNTIF(lst_Jobs,B58&amp;"")&gt;0,"OK","CHECK"))</f>
        <v/>
      </c>
      <c r="D58" s="10">
        <f>IF(B58="","",IFERROR(INDEX(tbl_Finance[Client],MATCH(B58&amp;"",tbl_Finance[Job Number],0)),""))</f>
        <v/>
      </c>
      <c r="E58" s="37" t="n"/>
      <c r="F58" s="37" t="n"/>
      <c r="G58" s="37" t="n"/>
      <c r="H58" s="37" t="n"/>
      <c r="I58" s="37" t="n"/>
      <c r="J58" s="39" t="n"/>
      <c r="K58" s="37" t="n"/>
      <c r="L58" s="10">
        <f>IF(N(J58)=0,"",IF(J58&gt;0,set_WIPAsset,IF(I58="Cost",IF(K58="","(set the P&amp;L Account)",K58),IF(K58="",set_WIPIncome,K58))))</f>
        <v/>
      </c>
      <c r="M58" s="10">
        <f>IF(N(J58)=0,"",IF(J58&gt;0,IF(I58="Cost",IF(K58="","(set the P&amp;L Account)",K58),IF(K58="",set_WIPIncome,K58)),set_WIPAsset))</f>
        <v/>
      </c>
      <c r="N58" s="11">
        <f>IF(N(J58)=0,"",ABS(J58))</f>
        <v/>
      </c>
      <c r="O58" s="10">
        <f>IF(N(J58)=0,"","WIP "&amp;H58&amp;IF(B58="",""," - "&amp;B58)&amp;IF(D58="",""," - "&amp;D58)&amp;IF(A58="",""," - "&amp;TEXT(A58,"mmm yyyy")))</f>
        <v/>
      </c>
      <c r="P58" s="37" t="n"/>
      <c r="Q58" s="37" t="n"/>
      <c r="R58" s="37" t="n"/>
    </row>
    <row r="59">
      <c r="A59" s="44" t="n"/>
      <c r="B59" s="37" t="n"/>
      <c r="C59" s="10">
        <f>IF(B59="","",IF(COUNTIF(lst_Jobs,B59&amp;"")&gt;0,"OK","CHECK"))</f>
        <v/>
      </c>
      <c r="D59" s="10">
        <f>IF(B59="","",IFERROR(INDEX(tbl_Finance[Client],MATCH(B59&amp;"",tbl_Finance[Job Number],0)),""))</f>
        <v/>
      </c>
      <c r="E59" s="37" t="n"/>
      <c r="F59" s="37" t="n"/>
      <c r="G59" s="37" t="n"/>
      <c r="H59" s="37" t="n"/>
      <c r="I59" s="37" t="n"/>
      <c r="J59" s="39" t="n"/>
      <c r="K59" s="37" t="n"/>
      <c r="L59" s="10">
        <f>IF(N(J59)=0,"",IF(J59&gt;0,set_WIPAsset,IF(I59="Cost",IF(K59="","(set the P&amp;L Account)",K59),IF(K59="",set_WIPIncome,K59))))</f>
        <v/>
      </c>
      <c r="M59" s="10">
        <f>IF(N(J59)=0,"",IF(J59&gt;0,IF(I59="Cost",IF(K59="","(set the P&amp;L Account)",K59),IF(K59="",set_WIPIncome,K59)),set_WIPAsset))</f>
        <v/>
      </c>
      <c r="N59" s="11">
        <f>IF(N(J59)=0,"",ABS(J59))</f>
        <v/>
      </c>
      <c r="O59" s="10">
        <f>IF(N(J59)=0,"","WIP "&amp;H59&amp;IF(B59="",""," - "&amp;B59)&amp;IF(D59="",""," - "&amp;D59)&amp;IF(A59="",""," - "&amp;TEXT(A59,"mmm yyyy")))</f>
        <v/>
      </c>
      <c r="P59" s="37" t="n"/>
      <c r="Q59" s="37" t="n"/>
      <c r="R59" s="37" t="n"/>
    </row>
    <row r="60">
      <c r="A60" s="44" t="n"/>
      <c r="B60" s="37" t="n"/>
      <c r="C60" s="10">
        <f>IF(B60="","",IF(COUNTIF(lst_Jobs,B60&amp;"")&gt;0,"OK","CHECK"))</f>
        <v/>
      </c>
      <c r="D60" s="10">
        <f>IF(B60="","",IFERROR(INDEX(tbl_Finance[Client],MATCH(B60&amp;"",tbl_Finance[Job Number],0)),""))</f>
        <v/>
      </c>
      <c r="E60" s="37" t="n"/>
      <c r="F60" s="37" t="n"/>
      <c r="G60" s="37" t="n"/>
      <c r="H60" s="37" t="n"/>
      <c r="I60" s="37" t="n"/>
      <c r="J60" s="39" t="n"/>
      <c r="K60" s="37" t="n"/>
      <c r="L60" s="10">
        <f>IF(N(J60)=0,"",IF(J60&gt;0,set_WIPAsset,IF(I60="Cost",IF(K60="","(set the P&amp;L Account)",K60),IF(K60="",set_WIPIncome,K60))))</f>
        <v/>
      </c>
      <c r="M60" s="10">
        <f>IF(N(J60)=0,"",IF(J60&gt;0,IF(I60="Cost",IF(K60="","(set the P&amp;L Account)",K60),IF(K60="",set_WIPIncome,K60)),set_WIPAsset))</f>
        <v/>
      </c>
      <c r="N60" s="11">
        <f>IF(N(J60)=0,"",ABS(J60))</f>
        <v/>
      </c>
      <c r="O60" s="10">
        <f>IF(N(J60)=0,"","WIP "&amp;H60&amp;IF(B60="",""," - "&amp;B60)&amp;IF(D60="",""," - "&amp;D60)&amp;IF(A60="",""," - "&amp;TEXT(A60,"mmm yyyy")))</f>
        <v/>
      </c>
      <c r="P60" s="37" t="n"/>
      <c r="Q60" s="37" t="n"/>
      <c r="R60" s="37" t="n"/>
    </row>
    <row r="61">
      <c r="A61" s="44" t="n"/>
      <c r="B61" s="37" t="n"/>
      <c r="C61" s="10">
        <f>IF(B61="","",IF(COUNTIF(lst_Jobs,B61&amp;"")&gt;0,"OK","CHECK"))</f>
        <v/>
      </c>
      <c r="D61" s="10">
        <f>IF(B61="","",IFERROR(INDEX(tbl_Finance[Client],MATCH(B61&amp;"",tbl_Finance[Job Number],0)),""))</f>
        <v/>
      </c>
      <c r="E61" s="37" t="n"/>
      <c r="F61" s="37" t="n"/>
      <c r="G61" s="37" t="n"/>
      <c r="H61" s="37" t="n"/>
      <c r="I61" s="37" t="n"/>
      <c r="J61" s="39" t="n"/>
      <c r="K61" s="37" t="n"/>
      <c r="L61" s="10">
        <f>IF(N(J61)=0,"",IF(J61&gt;0,set_WIPAsset,IF(I61="Cost",IF(K61="","(set the P&amp;L Account)",K61),IF(K61="",set_WIPIncome,K61))))</f>
        <v/>
      </c>
      <c r="M61" s="10">
        <f>IF(N(J61)=0,"",IF(J61&gt;0,IF(I61="Cost",IF(K61="","(set the P&amp;L Account)",K61),IF(K61="",set_WIPIncome,K61)),set_WIPAsset))</f>
        <v/>
      </c>
      <c r="N61" s="11">
        <f>IF(N(J61)=0,"",ABS(J61))</f>
        <v/>
      </c>
      <c r="O61" s="10">
        <f>IF(N(J61)=0,"","WIP "&amp;H61&amp;IF(B61="",""," - "&amp;B61)&amp;IF(D61="",""," - "&amp;D61)&amp;IF(A61="",""," - "&amp;TEXT(A61,"mmm yyyy")))</f>
        <v/>
      </c>
      <c r="P61" s="37" t="n"/>
      <c r="Q61" s="37" t="n"/>
      <c r="R61" s="37" t="n"/>
    </row>
    <row r="62">
      <c r="A62" s="44" t="n"/>
      <c r="B62" s="37" t="n"/>
      <c r="C62" s="10">
        <f>IF(B62="","",IF(COUNTIF(lst_Jobs,B62&amp;"")&gt;0,"OK","CHECK"))</f>
        <v/>
      </c>
      <c r="D62" s="10">
        <f>IF(B62="","",IFERROR(INDEX(tbl_Finance[Client],MATCH(B62&amp;"",tbl_Finance[Job Number],0)),""))</f>
        <v/>
      </c>
      <c r="E62" s="37" t="n"/>
      <c r="F62" s="37" t="n"/>
      <c r="G62" s="37" t="n"/>
      <c r="H62" s="37" t="n"/>
      <c r="I62" s="37" t="n"/>
      <c r="J62" s="39" t="n"/>
      <c r="K62" s="37" t="n"/>
      <c r="L62" s="10">
        <f>IF(N(J62)=0,"",IF(J62&gt;0,set_WIPAsset,IF(I62="Cost",IF(K62="","(set the P&amp;L Account)",K62),IF(K62="",set_WIPIncome,K62))))</f>
        <v/>
      </c>
      <c r="M62" s="10">
        <f>IF(N(J62)=0,"",IF(J62&gt;0,IF(I62="Cost",IF(K62="","(set the P&amp;L Account)",K62),IF(K62="",set_WIPIncome,K62)),set_WIPAsset))</f>
        <v/>
      </c>
      <c r="N62" s="11">
        <f>IF(N(J62)=0,"",ABS(J62))</f>
        <v/>
      </c>
      <c r="O62" s="10">
        <f>IF(N(J62)=0,"","WIP "&amp;H62&amp;IF(B62="",""," - "&amp;B62)&amp;IF(D62="",""," - "&amp;D62)&amp;IF(A62="",""," - "&amp;TEXT(A62,"mmm yyyy")))</f>
        <v/>
      </c>
      <c r="P62" s="37" t="n"/>
      <c r="Q62" s="37" t="n"/>
      <c r="R62" s="37" t="n"/>
    </row>
    <row r="63">
      <c r="A63" s="44" t="n"/>
      <c r="B63" s="37" t="n"/>
      <c r="C63" s="10">
        <f>IF(B63="","",IF(COUNTIF(lst_Jobs,B63&amp;"")&gt;0,"OK","CHECK"))</f>
        <v/>
      </c>
      <c r="D63" s="10">
        <f>IF(B63="","",IFERROR(INDEX(tbl_Finance[Client],MATCH(B63&amp;"",tbl_Finance[Job Number],0)),""))</f>
        <v/>
      </c>
      <c r="E63" s="37" t="n"/>
      <c r="F63" s="37" t="n"/>
      <c r="G63" s="37" t="n"/>
      <c r="H63" s="37" t="n"/>
      <c r="I63" s="37" t="n"/>
      <c r="J63" s="39" t="n"/>
      <c r="K63" s="37" t="n"/>
      <c r="L63" s="10">
        <f>IF(N(J63)=0,"",IF(J63&gt;0,set_WIPAsset,IF(I63="Cost",IF(K63="","(set the P&amp;L Account)",K63),IF(K63="",set_WIPIncome,K63))))</f>
        <v/>
      </c>
      <c r="M63" s="10">
        <f>IF(N(J63)=0,"",IF(J63&gt;0,IF(I63="Cost",IF(K63="","(set the P&amp;L Account)",K63),IF(K63="",set_WIPIncome,K63)),set_WIPAsset))</f>
        <v/>
      </c>
      <c r="N63" s="11">
        <f>IF(N(J63)=0,"",ABS(J63))</f>
        <v/>
      </c>
      <c r="O63" s="10">
        <f>IF(N(J63)=0,"","WIP "&amp;H63&amp;IF(B63="",""," - "&amp;B63)&amp;IF(D63="",""," - "&amp;D63)&amp;IF(A63="",""," - "&amp;TEXT(A63,"mmm yyyy")))</f>
        <v/>
      </c>
      <c r="P63" s="37" t="n"/>
      <c r="Q63" s="37" t="n"/>
      <c r="R63" s="37" t="n"/>
    </row>
    <row r="64">
      <c r="A64" s="44" t="n"/>
      <c r="B64" s="37" t="n"/>
      <c r="C64" s="10">
        <f>IF(B64="","",IF(COUNTIF(lst_Jobs,B64&amp;"")&gt;0,"OK","CHECK"))</f>
        <v/>
      </c>
      <c r="D64" s="10">
        <f>IF(B64="","",IFERROR(INDEX(tbl_Finance[Client],MATCH(B64&amp;"",tbl_Finance[Job Number],0)),""))</f>
        <v/>
      </c>
      <c r="E64" s="37" t="n"/>
      <c r="F64" s="37" t="n"/>
      <c r="G64" s="37" t="n"/>
      <c r="H64" s="37" t="n"/>
      <c r="I64" s="37" t="n"/>
      <c r="J64" s="39" t="n"/>
      <c r="K64" s="37" t="n"/>
      <c r="L64" s="10">
        <f>IF(N(J64)=0,"",IF(J64&gt;0,set_WIPAsset,IF(I64="Cost",IF(K64="","(set the P&amp;L Account)",K64),IF(K64="",set_WIPIncome,K64))))</f>
        <v/>
      </c>
      <c r="M64" s="10">
        <f>IF(N(J64)=0,"",IF(J64&gt;0,IF(I64="Cost",IF(K64="","(set the P&amp;L Account)",K64),IF(K64="",set_WIPIncome,K64)),set_WIPAsset))</f>
        <v/>
      </c>
      <c r="N64" s="11">
        <f>IF(N(J64)=0,"",ABS(J64))</f>
        <v/>
      </c>
      <c r="O64" s="10">
        <f>IF(N(J64)=0,"","WIP "&amp;H64&amp;IF(B64="",""," - "&amp;B64)&amp;IF(D64="",""," - "&amp;D64)&amp;IF(A64="",""," - "&amp;TEXT(A64,"mmm yyyy")))</f>
        <v/>
      </c>
      <c r="P64" s="37" t="n"/>
      <c r="Q64" s="37" t="n"/>
      <c r="R64" s="37" t="n"/>
    </row>
    <row r="65">
      <c r="A65" s="44" t="n"/>
      <c r="B65" s="37" t="n"/>
      <c r="C65" s="10">
        <f>IF(B65="","",IF(COUNTIF(lst_Jobs,B65&amp;"")&gt;0,"OK","CHECK"))</f>
        <v/>
      </c>
      <c r="D65" s="10">
        <f>IF(B65="","",IFERROR(INDEX(tbl_Finance[Client],MATCH(B65&amp;"",tbl_Finance[Job Number],0)),""))</f>
        <v/>
      </c>
      <c r="E65" s="37" t="n"/>
      <c r="F65" s="37" t="n"/>
      <c r="G65" s="37" t="n"/>
      <c r="H65" s="37" t="n"/>
      <c r="I65" s="37" t="n"/>
      <c r="J65" s="39" t="n"/>
      <c r="K65" s="37" t="n"/>
      <c r="L65" s="10">
        <f>IF(N(J65)=0,"",IF(J65&gt;0,set_WIPAsset,IF(I65="Cost",IF(K65="","(set the P&amp;L Account)",K65),IF(K65="",set_WIPIncome,K65))))</f>
        <v/>
      </c>
      <c r="M65" s="10">
        <f>IF(N(J65)=0,"",IF(J65&gt;0,IF(I65="Cost",IF(K65="","(set the P&amp;L Account)",K65),IF(K65="",set_WIPIncome,K65)),set_WIPAsset))</f>
        <v/>
      </c>
      <c r="N65" s="11">
        <f>IF(N(J65)=0,"",ABS(J65))</f>
        <v/>
      </c>
      <c r="O65" s="10">
        <f>IF(N(J65)=0,"","WIP "&amp;H65&amp;IF(B65="",""," - "&amp;B65)&amp;IF(D65="",""," - "&amp;D65)&amp;IF(A65="",""," - "&amp;TEXT(A65,"mmm yyyy")))</f>
        <v/>
      </c>
      <c r="P65" s="37" t="n"/>
      <c r="Q65" s="37" t="n"/>
      <c r="R65" s="37" t="n"/>
    </row>
    <row r="66">
      <c r="A66" s="44" t="n"/>
      <c r="B66" s="37" t="n"/>
      <c r="C66" s="10">
        <f>IF(B66="","",IF(COUNTIF(lst_Jobs,B66&amp;"")&gt;0,"OK","CHECK"))</f>
        <v/>
      </c>
      <c r="D66" s="10">
        <f>IF(B66="","",IFERROR(INDEX(tbl_Finance[Client],MATCH(B66&amp;"",tbl_Finance[Job Number],0)),""))</f>
        <v/>
      </c>
      <c r="E66" s="37" t="n"/>
      <c r="F66" s="37" t="n"/>
      <c r="G66" s="37" t="n"/>
      <c r="H66" s="37" t="n"/>
      <c r="I66" s="37" t="n"/>
      <c r="J66" s="39" t="n"/>
      <c r="K66" s="37" t="n"/>
      <c r="L66" s="10">
        <f>IF(N(J66)=0,"",IF(J66&gt;0,set_WIPAsset,IF(I66="Cost",IF(K66="","(set the P&amp;L Account)",K66),IF(K66="",set_WIPIncome,K66))))</f>
        <v/>
      </c>
      <c r="M66" s="10">
        <f>IF(N(J66)=0,"",IF(J66&gt;0,IF(I66="Cost",IF(K66="","(set the P&amp;L Account)",K66),IF(K66="",set_WIPIncome,K66)),set_WIPAsset))</f>
        <v/>
      </c>
      <c r="N66" s="11">
        <f>IF(N(J66)=0,"",ABS(J66))</f>
        <v/>
      </c>
      <c r="O66" s="10">
        <f>IF(N(J66)=0,"","WIP "&amp;H66&amp;IF(B66="",""," - "&amp;B66)&amp;IF(D66="",""," - "&amp;D66)&amp;IF(A66="",""," - "&amp;TEXT(A66,"mmm yyyy")))</f>
        <v/>
      </c>
      <c r="P66" s="37" t="n"/>
      <c r="Q66" s="37" t="n"/>
      <c r="R66" s="37" t="n"/>
    </row>
    <row r="67">
      <c r="A67" s="44" t="n"/>
      <c r="B67" s="37" t="n"/>
      <c r="C67" s="10">
        <f>IF(B67="","",IF(COUNTIF(lst_Jobs,B67&amp;"")&gt;0,"OK","CHECK"))</f>
        <v/>
      </c>
      <c r="D67" s="10">
        <f>IF(B67="","",IFERROR(INDEX(tbl_Finance[Client],MATCH(B67&amp;"",tbl_Finance[Job Number],0)),""))</f>
        <v/>
      </c>
      <c r="E67" s="37" t="n"/>
      <c r="F67" s="37" t="n"/>
      <c r="G67" s="37" t="n"/>
      <c r="H67" s="37" t="n"/>
      <c r="I67" s="37" t="n"/>
      <c r="J67" s="39" t="n"/>
      <c r="K67" s="37" t="n"/>
      <c r="L67" s="10">
        <f>IF(N(J67)=0,"",IF(J67&gt;0,set_WIPAsset,IF(I67="Cost",IF(K67="","(set the P&amp;L Account)",K67),IF(K67="",set_WIPIncome,K67))))</f>
        <v/>
      </c>
      <c r="M67" s="10">
        <f>IF(N(J67)=0,"",IF(J67&gt;0,IF(I67="Cost",IF(K67="","(set the P&amp;L Account)",K67),IF(K67="",set_WIPIncome,K67)),set_WIPAsset))</f>
        <v/>
      </c>
      <c r="N67" s="11">
        <f>IF(N(J67)=0,"",ABS(J67))</f>
        <v/>
      </c>
      <c r="O67" s="10">
        <f>IF(N(J67)=0,"","WIP "&amp;H67&amp;IF(B67="",""," - "&amp;B67)&amp;IF(D67="",""," - "&amp;D67)&amp;IF(A67="",""," - "&amp;TEXT(A67,"mmm yyyy")))</f>
        <v/>
      </c>
      <c r="P67" s="37" t="n"/>
      <c r="Q67" s="37" t="n"/>
      <c r="R67" s="37" t="n"/>
    </row>
    <row r="68">
      <c r="A68" s="44" t="n"/>
      <c r="B68" s="37" t="n"/>
      <c r="C68" s="10">
        <f>IF(B68="","",IF(COUNTIF(lst_Jobs,B68&amp;"")&gt;0,"OK","CHECK"))</f>
        <v/>
      </c>
      <c r="D68" s="10">
        <f>IF(B68="","",IFERROR(INDEX(tbl_Finance[Client],MATCH(B68&amp;"",tbl_Finance[Job Number],0)),""))</f>
        <v/>
      </c>
      <c r="E68" s="37" t="n"/>
      <c r="F68" s="37" t="n"/>
      <c r="G68" s="37" t="n"/>
      <c r="H68" s="37" t="n"/>
      <c r="I68" s="37" t="n"/>
      <c r="J68" s="39" t="n"/>
      <c r="K68" s="37" t="n"/>
      <c r="L68" s="10">
        <f>IF(N(J68)=0,"",IF(J68&gt;0,set_WIPAsset,IF(I68="Cost",IF(K68="","(set the P&amp;L Account)",K68),IF(K68="",set_WIPIncome,K68))))</f>
        <v/>
      </c>
      <c r="M68" s="10">
        <f>IF(N(J68)=0,"",IF(J68&gt;0,IF(I68="Cost",IF(K68="","(set the P&amp;L Account)",K68),IF(K68="",set_WIPIncome,K68)),set_WIPAsset))</f>
        <v/>
      </c>
      <c r="N68" s="11">
        <f>IF(N(J68)=0,"",ABS(J68))</f>
        <v/>
      </c>
      <c r="O68" s="10">
        <f>IF(N(J68)=0,"","WIP "&amp;H68&amp;IF(B68="",""," - "&amp;B68)&amp;IF(D68="",""," - "&amp;D68)&amp;IF(A68="",""," - "&amp;TEXT(A68,"mmm yyyy")))</f>
        <v/>
      </c>
      <c r="P68" s="37" t="n"/>
      <c r="Q68" s="37" t="n"/>
      <c r="R68" s="37" t="n"/>
    </row>
    <row r="69">
      <c r="A69" s="44" t="n"/>
      <c r="B69" s="37" t="n"/>
      <c r="C69" s="10">
        <f>IF(B69="","",IF(COUNTIF(lst_Jobs,B69&amp;"")&gt;0,"OK","CHECK"))</f>
        <v/>
      </c>
      <c r="D69" s="10">
        <f>IF(B69="","",IFERROR(INDEX(tbl_Finance[Client],MATCH(B69&amp;"",tbl_Finance[Job Number],0)),""))</f>
        <v/>
      </c>
      <c r="E69" s="37" t="n"/>
      <c r="F69" s="37" t="n"/>
      <c r="G69" s="37" t="n"/>
      <c r="H69" s="37" t="n"/>
      <c r="I69" s="37" t="n"/>
      <c r="J69" s="39" t="n"/>
      <c r="K69" s="37" t="n"/>
      <c r="L69" s="10">
        <f>IF(N(J69)=0,"",IF(J69&gt;0,set_WIPAsset,IF(I69="Cost",IF(K69="","(set the P&amp;L Account)",K69),IF(K69="",set_WIPIncome,K69))))</f>
        <v/>
      </c>
      <c r="M69" s="10">
        <f>IF(N(J69)=0,"",IF(J69&gt;0,IF(I69="Cost",IF(K69="","(set the P&amp;L Account)",K69),IF(K69="",set_WIPIncome,K69)),set_WIPAsset))</f>
        <v/>
      </c>
      <c r="N69" s="11">
        <f>IF(N(J69)=0,"",ABS(J69))</f>
        <v/>
      </c>
      <c r="O69" s="10">
        <f>IF(N(J69)=0,"","WIP "&amp;H69&amp;IF(B69="",""," - "&amp;B69)&amp;IF(D69="",""," - "&amp;D69)&amp;IF(A69="",""," - "&amp;TEXT(A69,"mmm yyyy")))</f>
        <v/>
      </c>
      <c r="P69" s="37" t="n"/>
      <c r="Q69" s="37" t="n"/>
      <c r="R69" s="37" t="n"/>
    </row>
    <row r="70">
      <c r="A70" s="44" t="n"/>
      <c r="B70" s="37" t="n"/>
      <c r="C70" s="10">
        <f>IF(B70="","",IF(COUNTIF(lst_Jobs,B70&amp;"")&gt;0,"OK","CHECK"))</f>
        <v/>
      </c>
      <c r="D70" s="10">
        <f>IF(B70="","",IFERROR(INDEX(tbl_Finance[Client],MATCH(B70&amp;"",tbl_Finance[Job Number],0)),""))</f>
        <v/>
      </c>
      <c r="E70" s="37" t="n"/>
      <c r="F70" s="37" t="n"/>
      <c r="G70" s="37" t="n"/>
      <c r="H70" s="37" t="n"/>
      <c r="I70" s="37" t="n"/>
      <c r="J70" s="39" t="n"/>
      <c r="K70" s="37" t="n"/>
      <c r="L70" s="10">
        <f>IF(N(J70)=0,"",IF(J70&gt;0,set_WIPAsset,IF(I70="Cost",IF(K70="","(set the P&amp;L Account)",K70),IF(K70="",set_WIPIncome,K70))))</f>
        <v/>
      </c>
      <c r="M70" s="10">
        <f>IF(N(J70)=0,"",IF(J70&gt;0,IF(I70="Cost",IF(K70="","(set the P&amp;L Account)",K70),IF(K70="",set_WIPIncome,K70)),set_WIPAsset))</f>
        <v/>
      </c>
      <c r="N70" s="11">
        <f>IF(N(J70)=0,"",ABS(J70))</f>
        <v/>
      </c>
      <c r="O70" s="10">
        <f>IF(N(J70)=0,"","WIP "&amp;H70&amp;IF(B70="",""," - "&amp;B70)&amp;IF(D70="",""," - "&amp;D70)&amp;IF(A70="",""," - "&amp;TEXT(A70,"mmm yyyy")))</f>
        <v/>
      </c>
      <c r="P70" s="37" t="n"/>
      <c r="Q70" s="37" t="n"/>
      <c r="R70" s="37" t="n"/>
    </row>
    <row r="71">
      <c r="A71" s="44" t="n"/>
      <c r="B71" s="37" t="n"/>
      <c r="C71" s="10">
        <f>IF(B71="","",IF(COUNTIF(lst_Jobs,B71&amp;"")&gt;0,"OK","CHECK"))</f>
        <v/>
      </c>
      <c r="D71" s="10">
        <f>IF(B71="","",IFERROR(INDEX(tbl_Finance[Client],MATCH(B71&amp;"",tbl_Finance[Job Number],0)),""))</f>
        <v/>
      </c>
      <c r="E71" s="37" t="n"/>
      <c r="F71" s="37" t="n"/>
      <c r="G71" s="37" t="n"/>
      <c r="H71" s="37" t="n"/>
      <c r="I71" s="37" t="n"/>
      <c r="J71" s="39" t="n"/>
      <c r="K71" s="37" t="n"/>
      <c r="L71" s="10">
        <f>IF(N(J71)=0,"",IF(J71&gt;0,set_WIPAsset,IF(I71="Cost",IF(K71="","(set the P&amp;L Account)",K71),IF(K71="",set_WIPIncome,K71))))</f>
        <v/>
      </c>
      <c r="M71" s="10">
        <f>IF(N(J71)=0,"",IF(J71&gt;0,IF(I71="Cost",IF(K71="","(set the P&amp;L Account)",K71),IF(K71="",set_WIPIncome,K71)),set_WIPAsset))</f>
        <v/>
      </c>
      <c r="N71" s="11">
        <f>IF(N(J71)=0,"",ABS(J71))</f>
        <v/>
      </c>
      <c r="O71" s="10">
        <f>IF(N(J71)=0,"","WIP "&amp;H71&amp;IF(B71="",""," - "&amp;B71)&amp;IF(D71="",""," - "&amp;D71)&amp;IF(A71="",""," - "&amp;TEXT(A71,"mmm yyyy")))</f>
        <v/>
      </c>
      <c r="P71" s="37" t="n"/>
      <c r="Q71" s="37" t="n"/>
      <c r="R71" s="37" t="n"/>
    </row>
    <row r="72">
      <c r="A72" s="44" t="n"/>
      <c r="B72" s="37" t="n"/>
      <c r="C72" s="10">
        <f>IF(B72="","",IF(COUNTIF(lst_Jobs,B72&amp;"")&gt;0,"OK","CHECK"))</f>
        <v/>
      </c>
      <c r="D72" s="10">
        <f>IF(B72="","",IFERROR(INDEX(tbl_Finance[Client],MATCH(B72&amp;"",tbl_Finance[Job Number],0)),""))</f>
        <v/>
      </c>
      <c r="E72" s="37" t="n"/>
      <c r="F72" s="37" t="n"/>
      <c r="G72" s="37" t="n"/>
      <c r="H72" s="37" t="n"/>
      <c r="I72" s="37" t="n"/>
      <c r="J72" s="39" t="n"/>
      <c r="K72" s="37" t="n"/>
      <c r="L72" s="10">
        <f>IF(N(J72)=0,"",IF(J72&gt;0,set_WIPAsset,IF(I72="Cost",IF(K72="","(set the P&amp;L Account)",K72),IF(K72="",set_WIPIncome,K72))))</f>
        <v/>
      </c>
      <c r="M72" s="10">
        <f>IF(N(J72)=0,"",IF(J72&gt;0,IF(I72="Cost",IF(K72="","(set the P&amp;L Account)",K72),IF(K72="",set_WIPIncome,K72)),set_WIPAsset))</f>
        <v/>
      </c>
      <c r="N72" s="11">
        <f>IF(N(J72)=0,"",ABS(J72))</f>
        <v/>
      </c>
      <c r="O72" s="10">
        <f>IF(N(J72)=0,"","WIP "&amp;H72&amp;IF(B72="",""," - "&amp;B72)&amp;IF(D72="",""," - "&amp;D72)&amp;IF(A72="",""," - "&amp;TEXT(A72,"mmm yyyy")))</f>
        <v/>
      </c>
      <c r="P72" s="37" t="n"/>
      <c r="Q72" s="37" t="n"/>
      <c r="R72" s="37" t="n"/>
    </row>
    <row r="73">
      <c r="A73" s="44" t="n"/>
      <c r="B73" s="37" t="n"/>
      <c r="C73" s="10">
        <f>IF(B73="","",IF(COUNTIF(lst_Jobs,B73&amp;"")&gt;0,"OK","CHECK"))</f>
        <v/>
      </c>
      <c r="D73" s="10">
        <f>IF(B73="","",IFERROR(INDEX(tbl_Finance[Client],MATCH(B73&amp;"",tbl_Finance[Job Number],0)),""))</f>
        <v/>
      </c>
      <c r="E73" s="37" t="n"/>
      <c r="F73" s="37" t="n"/>
      <c r="G73" s="37" t="n"/>
      <c r="H73" s="37" t="n"/>
      <c r="I73" s="37" t="n"/>
      <c r="J73" s="39" t="n"/>
      <c r="K73" s="37" t="n"/>
      <c r="L73" s="10">
        <f>IF(N(J73)=0,"",IF(J73&gt;0,set_WIPAsset,IF(I73="Cost",IF(K73="","(set the P&amp;L Account)",K73),IF(K73="",set_WIPIncome,K73))))</f>
        <v/>
      </c>
      <c r="M73" s="10">
        <f>IF(N(J73)=0,"",IF(J73&gt;0,IF(I73="Cost",IF(K73="","(set the P&amp;L Account)",K73),IF(K73="",set_WIPIncome,K73)),set_WIPAsset))</f>
        <v/>
      </c>
      <c r="N73" s="11">
        <f>IF(N(J73)=0,"",ABS(J73))</f>
        <v/>
      </c>
      <c r="O73" s="10">
        <f>IF(N(J73)=0,"","WIP "&amp;H73&amp;IF(B73="",""," - "&amp;B73)&amp;IF(D73="",""," - "&amp;D73)&amp;IF(A73="",""," - "&amp;TEXT(A73,"mmm yyyy")))</f>
        <v/>
      </c>
      <c r="P73" s="37" t="n"/>
      <c r="Q73" s="37" t="n"/>
      <c r="R73" s="37" t="n"/>
    </row>
    <row r="74">
      <c r="A74" s="44" t="n"/>
      <c r="B74" s="37" t="n"/>
      <c r="C74" s="10">
        <f>IF(B74="","",IF(COUNTIF(lst_Jobs,B74&amp;"")&gt;0,"OK","CHECK"))</f>
        <v/>
      </c>
      <c r="D74" s="10">
        <f>IF(B74="","",IFERROR(INDEX(tbl_Finance[Client],MATCH(B74&amp;"",tbl_Finance[Job Number],0)),""))</f>
        <v/>
      </c>
      <c r="E74" s="37" t="n"/>
      <c r="F74" s="37" t="n"/>
      <c r="G74" s="37" t="n"/>
      <c r="H74" s="37" t="n"/>
      <c r="I74" s="37" t="n"/>
      <c r="J74" s="39" t="n"/>
      <c r="K74" s="37" t="n"/>
      <c r="L74" s="10">
        <f>IF(N(J74)=0,"",IF(J74&gt;0,set_WIPAsset,IF(I74="Cost",IF(K74="","(set the P&amp;L Account)",K74),IF(K74="",set_WIPIncome,K74))))</f>
        <v/>
      </c>
      <c r="M74" s="10">
        <f>IF(N(J74)=0,"",IF(J74&gt;0,IF(I74="Cost",IF(K74="","(set the P&amp;L Account)",K74),IF(K74="",set_WIPIncome,K74)),set_WIPAsset))</f>
        <v/>
      </c>
      <c r="N74" s="11">
        <f>IF(N(J74)=0,"",ABS(J74))</f>
        <v/>
      </c>
      <c r="O74" s="10">
        <f>IF(N(J74)=0,"","WIP "&amp;H74&amp;IF(B74="",""," - "&amp;B74)&amp;IF(D74="",""," - "&amp;D74)&amp;IF(A74="",""," - "&amp;TEXT(A74,"mmm yyyy")))</f>
        <v/>
      </c>
      <c r="P74" s="37" t="n"/>
      <c r="Q74" s="37" t="n"/>
      <c r="R74" s="37" t="n"/>
    </row>
    <row r="75">
      <c r="A75" s="44" t="n"/>
      <c r="B75" s="37" t="n"/>
      <c r="C75" s="10">
        <f>IF(B75="","",IF(COUNTIF(lst_Jobs,B75&amp;"")&gt;0,"OK","CHECK"))</f>
        <v/>
      </c>
      <c r="D75" s="10">
        <f>IF(B75="","",IFERROR(INDEX(tbl_Finance[Client],MATCH(B75&amp;"",tbl_Finance[Job Number],0)),""))</f>
        <v/>
      </c>
      <c r="E75" s="37" t="n"/>
      <c r="F75" s="37" t="n"/>
      <c r="G75" s="37" t="n"/>
      <c r="H75" s="37" t="n"/>
      <c r="I75" s="37" t="n"/>
      <c r="J75" s="39" t="n"/>
      <c r="K75" s="37" t="n"/>
      <c r="L75" s="10">
        <f>IF(N(J75)=0,"",IF(J75&gt;0,set_WIPAsset,IF(I75="Cost",IF(K75="","(set the P&amp;L Account)",K75),IF(K75="",set_WIPIncome,K75))))</f>
        <v/>
      </c>
      <c r="M75" s="10">
        <f>IF(N(J75)=0,"",IF(J75&gt;0,IF(I75="Cost",IF(K75="","(set the P&amp;L Account)",K75),IF(K75="",set_WIPIncome,K75)),set_WIPAsset))</f>
        <v/>
      </c>
      <c r="N75" s="11">
        <f>IF(N(J75)=0,"",ABS(J75))</f>
        <v/>
      </c>
      <c r="O75" s="10">
        <f>IF(N(J75)=0,"","WIP "&amp;H75&amp;IF(B75="",""," - "&amp;B75)&amp;IF(D75="",""," - "&amp;D75)&amp;IF(A75="",""," - "&amp;TEXT(A75,"mmm yyyy")))</f>
        <v/>
      </c>
      <c r="P75" s="37" t="n"/>
      <c r="Q75" s="37" t="n"/>
      <c r="R75" s="37" t="n"/>
    </row>
    <row r="76">
      <c r="A76" s="44" t="n"/>
      <c r="B76" s="37" t="n"/>
      <c r="C76" s="10">
        <f>IF(B76="","",IF(COUNTIF(lst_Jobs,B76&amp;"")&gt;0,"OK","CHECK"))</f>
        <v/>
      </c>
      <c r="D76" s="10">
        <f>IF(B76="","",IFERROR(INDEX(tbl_Finance[Client],MATCH(B76&amp;"",tbl_Finance[Job Number],0)),""))</f>
        <v/>
      </c>
      <c r="E76" s="37" t="n"/>
      <c r="F76" s="37" t="n"/>
      <c r="G76" s="37" t="n"/>
      <c r="H76" s="37" t="n"/>
      <c r="I76" s="37" t="n"/>
      <c r="J76" s="39" t="n"/>
      <c r="K76" s="37" t="n"/>
      <c r="L76" s="10">
        <f>IF(N(J76)=0,"",IF(J76&gt;0,set_WIPAsset,IF(I76="Cost",IF(K76="","(set the P&amp;L Account)",K76),IF(K76="",set_WIPIncome,K76))))</f>
        <v/>
      </c>
      <c r="M76" s="10">
        <f>IF(N(J76)=0,"",IF(J76&gt;0,IF(I76="Cost",IF(K76="","(set the P&amp;L Account)",K76),IF(K76="",set_WIPIncome,K76)),set_WIPAsset))</f>
        <v/>
      </c>
      <c r="N76" s="11">
        <f>IF(N(J76)=0,"",ABS(J76))</f>
        <v/>
      </c>
      <c r="O76" s="10">
        <f>IF(N(J76)=0,"","WIP "&amp;H76&amp;IF(B76="",""," - "&amp;B76)&amp;IF(D76="",""," - "&amp;D76)&amp;IF(A76="",""," - "&amp;TEXT(A76,"mmm yyyy")))</f>
        <v/>
      </c>
      <c r="P76" s="37" t="n"/>
      <c r="Q76" s="37" t="n"/>
      <c r="R76" s="37" t="n"/>
    </row>
    <row r="77">
      <c r="A77" s="44" t="n"/>
      <c r="B77" s="37" t="n"/>
      <c r="C77" s="10">
        <f>IF(B77="","",IF(COUNTIF(lst_Jobs,B77&amp;"")&gt;0,"OK","CHECK"))</f>
        <v/>
      </c>
      <c r="D77" s="10">
        <f>IF(B77="","",IFERROR(INDEX(tbl_Finance[Client],MATCH(B77&amp;"",tbl_Finance[Job Number],0)),""))</f>
        <v/>
      </c>
      <c r="E77" s="37" t="n"/>
      <c r="F77" s="37" t="n"/>
      <c r="G77" s="37" t="n"/>
      <c r="H77" s="37" t="n"/>
      <c r="I77" s="37" t="n"/>
      <c r="J77" s="39" t="n"/>
      <c r="K77" s="37" t="n"/>
      <c r="L77" s="10">
        <f>IF(N(J77)=0,"",IF(J77&gt;0,set_WIPAsset,IF(I77="Cost",IF(K77="","(set the P&amp;L Account)",K77),IF(K77="",set_WIPIncome,K77))))</f>
        <v/>
      </c>
      <c r="M77" s="10">
        <f>IF(N(J77)=0,"",IF(J77&gt;0,IF(I77="Cost",IF(K77="","(set the P&amp;L Account)",K77),IF(K77="",set_WIPIncome,K77)),set_WIPAsset))</f>
        <v/>
      </c>
      <c r="N77" s="11">
        <f>IF(N(J77)=0,"",ABS(J77))</f>
        <v/>
      </c>
      <c r="O77" s="10">
        <f>IF(N(J77)=0,"","WIP "&amp;H77&amp;IF(B77="",""," - "&amp;B77)&amp;IF(D77="",""," - "&amp;D77)&amp;IF(A77="",""," - "&amp;TEXT(A77,"mmm yyyy")))</f>
        <v/>
      </c>
      <c r="P77" s="37" t="n"/>
      <c r="Q77" s="37" t="n"/>
      <c r="R77" s="37" t="n"/>
    </row>
    <row r="78">
      <c r="A78" s="44" t="n"/>
      <c r="B78" s="37" t="n"/>
      <c r="C78" s="10">
        <f>IF(B78="","",IF(COUNTIF(lst_Jobs,B78&amp;"")&gt;0,"OK","CHECK"))</f>
        <v/>
      </c>
      <c r="D78" s="10">
        <f>IF(B78="","",IFERROR(INDEX(tbl_Finance[Client],MATCH(B78&amp;"",tbl_Finance[Job Number],0)),""))</f>
        <v/>
      </c>
      <c r="E78" s="37" t="n"/>
      <c r="F78" s="37" t="n"/>
      <c r="G78" s="37" t="n"/>
      <c r="H78" s="37" t="n"/>
      <c r="I78" s="37" t="n"/>
      <c r="J78" s="39" t="n"/>
      <c r="K78" s="37" t="n"/>
      <c r="L78" s="10">
        <f>IF(N(J78)=0,"",IF(J78&gt;0,set_WIPAsset,IF(I78="Cost",IF(K78="","(set the P&amp;L Account)",K78),IF(K78="",set_WIPIncome,K78))))</f>
        <v/>
      </c>
      <c r="M78" s="10">
        <f>IF(N(J78)=0,"",IF(J78&gt;0,IF(I78="Cost",IF(K78="","(set the P&amp;L Account)",K78),IF(K78="",set_WIPIncome,K78)),set_WIPAsset))</f>
        <v/>
      </c>
      <c r="N78" s="11">
        <f>IF(N(J78)=0,"",ABS(J78))</f>
        <v/>
      </c>
      <c r="O78" s="10">
        <f>IF(N(J78)=0,"","WIP "&amp;H78&amp;IF(B78="",""," - "&amp;B78)&amp;IF(D78="",""," - "&amp;D78)&amp;IF(A78="",""," - "&amp;TEXT(A78,"mmm yyyy")))</f>
        <v/>
      </c>
      <c r="P78" s="37" t="n"/>
      <c r="Q78" s="37" t="n"/>
      <c r="R78" s="37" t="n"/>
    </row>
    <row r="79">
      <c r="A79" s="44" t="n"/>
      <c r="B79" s="37" t="n"/>
      <c r="C79" s="10">
        <f>IF(B79="","",IF(COUNTIF(lst_Jobs,B79&amp;"")&gt;0,"OK","CHECK"))</f>
        <v/>
      </c>
      <c r="D79" s="10">
        <f>IF(B79="","",IFERROR(INDEX(tbl_Finance[Client],MATCH(B79&amp;"",tbl_Finance[Job Number],0)),""))</f>
        <v/>
      </c>
      <c r="E79" s="37" t="n"/>
      <c r="F79" s="37" t="n"/>
      <c r="G79" s="37" t="n"/>
      <c r="H79" s="37" t="n"/>
      <c r="I79" s="37" t="n"/>
      <c r="J79" s="39" t="n"/>
      <c r="K79" s="37" t="n"/>
      <c r="L79" s="10">
        <f>IF(N(J79)=0,"",IF(J79&gt;0,set_WIPAsset,IF(I79="Cost",IF(K79="","(set the P&amp;L Account)",K79),IF(K79="",set_WIPIncome,K79))))</f>
        <v/>
      </c>
      <c r="M79" s="10">
        <f>IF(N(J79)=0,"",IF(J79&gt;0,IF(I79="Cost",IF(K79="","(set the P&amp;L Account)",K79),IF(K79="",set_WIPIncome,K79)),set_WIPAsset))</f>
        <v/>
      </c>
      <c r="N79" s="11">
        <f>IF(N(J79)=0,"",ABS(J79))</f>
        <v/>
      </c>
      <c r="O79" s="10">
        <f>IF(N(J79)=0,"","WIP "&amp;H79&amp;IF(B79="",""," - "&amp;B79)&amp;IF(D79="",""," - "&amp;D79)&amp;IF(A79="",""," - "&amp;TEXT(A79,"mmm yyyy")))</f>
        <v/>
      </c>
      <c r="P79" s="37" t="n"/>
      <c r="Q79" s="37" t="n"/>
      <c r="R79" s="37" t="n"/>
    </row>
    <row r="80">
      <c r="A80" s="44" t="n"/>
      <c r="B80" s="37" t="n"/>
      <c r="C80" s="10">
        <f>IF(B80="","",IF(COUNTIF(lst_Jobs,B80&amp;"")&gt;0,"OK","CHECK"))</f>
        <v/>
      </c>
      <c r="D80" s="10">
        <f>IF(B80="","",IFERROR(INDEX(tbl_Finance[Client],MATCH(B80&amp;"",tbl_Finance[Job Number],0)),""))</f>
        <v/>
      </c>
      <c r="E80" s="37" t="n"/>
      <c r="F80" s="37" t="n"/>
      <c r="G80" s="37" t="n"/>
      <c r="H80" s="37" t="n"/>
      <c r="I80" s="37" t="n"/>
      <c r="J80" s="39" t="n"/>
      <c r="K80" s="37" t="n"/>
      <c r="L80" s="10">
        <f>IF(N(J80)=0,"",IF(J80&gt;0,set_WIPAsset,IF(I80="Cost",IF(K80="","(set the P&amp;L Account)",K80),IF(K80="",set_WIPIncome,K80))))</f>
        <v/>
      </c>
      <c r="M80" s="10">
        <f>IF(N(J80)=0,"",IF(J80&gt;0,IF(I80="Cost",IF(K80="","(set the P&amp;L Account)",K80),IF(K80="",set_WIPIncome,K80)),set_WIPAsset))</f>
        <v/>
      </c>
      <c r="N80" s="11">
        <f>IF(N(J80)=0,"",ABS(J80))</f>
        <v/>
      </c>
      <c r="O80" s="10">
        <f>IF(N(J80)=0,"","WIP "&amp;H80&amp;IF(B80="",""," - "&amp;B80)&amp;IF(D80="",""," - "&amp;D80)&amp;IF(A80="",""," - "&amp;TEXT(A80,"mmm yyyy")))</f>
        <v/>
      </c>
      <c r="P80" s="37" t="n"/>
      <c r="Q80" s="37" t="n"/>
      <c r="R80" s="37" t="n"/>
    </row>
    <row r="81">
      <c r="A81" s="44" t="n"/>
      <c r="B81" s="37" t="n"/>
      <c r="C81" s="10">
        <f>IF(B81="","",IF(COUNTIF(lst_Jobs,B81&amp;"")&gt;0,"OK","CHECK"))</f>
        <v/>
      </c>
      <c r="D81" s="10">
        <f>IF(B81="","",IFERROR(INDEX(tbl_Finance[Client],MATCH(B81&amp;"",tbl_Finance[Job Number],0)),""))</f>
        <v/>
      </c>
      <c r="E81" s="37" t="n"/>
      <c r="F81" s="37" t="n"/>
      <c r="G81" s="37" t="n"/>
      <c r="H81" s="37" t="n"/>
      <c r="I81" s="37" t="n"/>
      <c r="J81" s="39" t="n"/>
      <c r="K81" s="37" t="n"/>
      <c r="L81" s="10">
        <f>IF(N(J81)=0,"",IF(J81&gt;0,set_WIPAsset,IF(I81="Cost",IF(K81="","(set the P&amp;L Account)",K81),IF(K81="",set_WIPIncome,K81))))</f>
        <v/>
      </c>
      <c r="M81" s="10">
        <f>IF(N(J81)=0,"",IF(J81&gt;0,IF(I81="Cost",IF(K81="","(set the P&amp;L Account)",K81),IF(K81="",set_WIPIncome,K81)),set_WIPAsset))</f>
        <v/>
      </c>
      <c r="N81" s="11">
        <f>IF(N(J81)=0,"",ABS(J81))</f>
        <v/>
      </c>
      <c r="O81" s="10">
        <f>IF(N(J81)=0,"","WIP "&amp;H81&amp;IF(B81="",""," - "&amp;B81)&amp;IF(D81="",""," - "&amp;D81)&amp;IF(A81="",""," - "&amp;TEXT(A81,"mmm yyyy")))</f>
        <v/>
      </c>
      <c r="P81" s="37" t="n"/>
      <c r="Q81" s="37" t="n"/>
      <c r="R81" s="37" t="n"/>
    </row>
    <row r="82">
      <c r="A82" s="44" t="n"/>
      <c r="B82" s="37" t="n"/>
      <c r="C82" s="10">
        <f>IF(B82="","",IF(COUNTIF(lst_Jobs,B82&amp;"")&gt;0,"OK","CHECK"))</f>
        <v/>
      </c>
      <c r="D82" s="10">
        <f>IF(B82="","",IFERROR(INDEX(tbl_Finance[Client],MATCH(B82&amp;"",tbl_Finance[Job Number],0)),""))</f>
        <v/>
      </c>
      <c r="E82" s="37" t="n"/>
      <c r="F82" s="37" t="n"/>
      <c r="G82" s="37" t="n"/>
      <c r="H82" s="37" t="n"/>
      <c r="I82" s="37" t="n"/>
      <c r="J82" s="39" t="n"/>
      <c r="K82" s="37" t="n"/>
      <c r="L82" s="10">
        <f>IF(N(J82)=0,"",IF(J82&gt;0,set_WIPAsset,IF(I82="Cost",IF(K82="","(set the P&amp;L Account)",K82),IF(K82="",set_WIPIncome,K82))))</f>
        <v/>
      </c>
      <c r="M82" s="10">
        <f>IF(N(J82)=0,"",IF(J82&gt;0,IF(I82="Cost",IF(K82="","(set the P&amp;L Account)",K82),IF(K82="",set_WIPIncome,K82)),set_WIPAsset))</f>
        <v/>
      </c>
      <c r="N82" s="11">
        <f>IF(N(J82)=0,"",ABS(J82))</f>
        <v/>
      </c>
      <c r="O82" s="10">
        <f>IF(N(J82)=0,"","WIP "&amp;H82&amp;IF(B82="",""," - "&amp;B82)&amp;IF(D82="",""," - "&amp;D82)&amp;IF(A82="",""," - "&amp;TEXT(A82,"mmm yyyy")))</f>
        <v/>
      </c>
      <c r="P82" s="37" t="n"/>
      <c r="Q82" s="37" t="n"/>
      <c r="R82" s="37" t="n"/>
    </row>
    <row r="83">
      <c r="A83" s="44" t="n"/>
      <c r="B83" s="37" t="n"/>
      <c r="C83" s="10">
        <f>IF(B83="","",IF(COUNTIF(lst_Jobs,B83&amp;"")&gt;0,"OK","CHECK"))</f>
        <v/>
      </c>
      <c r="D83" s="10">
        <f>IF(B83="","",IFERROR(INDEX(tbl_Finance[Client],MATCH(B83&amp;"",tbl_Finance[Job Number],0)),""))</f>
        <v/>
      </c>
      <c r="E83" s="37" t="n"/>
      <c r="F83" s="37" t="n"/>
      <c r="G83" s="37" t="n"/>
      <c r="H83" s="37" t="n"/>
      <c r="I83" s="37" t="n"/>
      <c r="J83" s="39" t="n"/>
      <c r="K83" s="37" t="n"/>
      <c r="L83" s="10">
        <f>IF(N(J83)=0,"",IF(J83&gt;0,set_WIPAsset,IF(I83="Cost",IF(K83="","(set the P&amp;L Account)",K83),IF(K83="",set_WIPIncome,K83))))</f>
        <v/>
      </c>
      <c r="M83" s="10">
        <f>IF(N(J83)=0,"",IF(J83&gt;0,IF(I83="Cost",IF(K83="","(set the P&amp;L Account)",K83),IF(K83="",set_WIPIncome,K83)),set_WIPAsset))</f>
        <v/>
      </c>
      <c r="N83" s="11">
        <f>IF(N(J83)=0,"",ABS(J83))</f>
        <v/>
      </c>
      <c r="O83" s="10">
        <f>IF(N(J83)=0,"","WIP "&amp;H83&amp;IF(B83="",""," - "&amp;B83)&amp;IF(D83="",""," - "&amp;D83)&amp;IF(A83="",""," - "&amp;TEXT(A83,"mmm yyyy")))</f>
        <v/>
      </c>
      <c r="P83" s="37" t="n"/>
      <c r="Q83" s="37" t="n"/>
      <c r="R83" s="37" t="n"/>
    </row>
    <row r="84">
      <c r="A84" s="44" t="n"/>
      <c r="B84" s="37" t="n"/>
      <c r="C84" s="10">
        <f>IF(B84="","",IF(COUNTIF(lst_Jobs,B84&amp;"")&gt;0,"OK","CHECK"))</f>
        <v/>
      </c>
      <c r="D84" s="10">
        <f>IF(B84="","",IFERROR(INDEX(tbl_Finance[Client],MATCH(B84&amp;"",tbl_Finance[Job Number],0)),""))</f>
        <v/>
      </c>
      <c r="E84" s="37" t="n"/>
      <c r="F84" s="37" t="n"/>
      <c r="G84" s="37" t="n"/>
      <c r="H84" s="37" t="n"/>
      <c r="I84" s="37" t="n"/>
      <c r="J84" s="39" t="n"/>
      <c r="K84" s="37" t="n"/>
      <c r="L84" s="10">
        <f>IF(N(J84)=0,"",IF(J84&gt;0,set_WIPAsset,IF(I84="Cost",IF(K84="","(set the P&amp;L Account)",K84),IF(K84="",set_WIPIncome,K84))))</f>
        <v/>
      </c>
      <c r="M84" s="10">
        <f>IF(N(J84)=0,"",IF(J84&gt;0,IF(I84="Cost",IF(K84="","(set the P&amp;L Account)",K84),IF(K84="",set_WIPIncome,K84)),set_WIPAsset))</f>
        <v/>
      </c>
      <c r="N84" s="11">
        <f>IF(N(J84)=0,"",ABS(J84))</f>
        <v/>
      </c>
      <c r="O84" s="10">
        <f>IF(N(J84)=0,"","WIP "&amp;H84&amp;IF(B84="",""," - "&amp;B84)&amp;IF(D84="",""," - "&amp;D84)&amp;IF(A84="",""," - "&amp;TEXT(A84,"mmm yyyy")))</f>
        <v/>
      </c>
      <c r="P84" s="37" t="n"/>
      <c r="Q84" s="37" t="n"/>
      <c r="R84" s="37" t="n"/>
    </row>
    <row r="85">
      <c r="A85" s="44" t="n"/>
      <c r="B85" s="37" t="n"/>
      <c r="C85" s="10">
        <f>IF(B85="","",IF(COUNTIF(lst_Jobs,B85&amp;"")&gt;0,"OK","CHECK"))</f>
        <v/>
      </c>
      <c r="D85" s="10">
        <f>IF(B85="","",IFERROR(INDEX(tbl_Finance[Client],MATCH(B85&amp;"",tbl_Finance[Job Number],0)),""))</f>
        <v/>
      </c>
      <c r="E85" s="37" t="n"/>
      <c r="F85" s="37" t="n"/>
      <c r="G85" s="37" t="n"/>
      <c r="H85" s="37" t="n"/>
      <c r="I85" s="37" t="n"/>
      <c r="J85" s="39" t="n"/>
      <c r="K85" s="37" t="n"/>
      <c r="L85" s="10">
        <f>IF(N(J85)=0,"",IF(J85&gt;0,set_WIPAsset,IF(I85="Cost",IF(K85="","(set the P&amp;L Account)",K85),IF(K85="",set_WIPIncome,K85))))</f>
        <v/>
      </c>
      <c r="M85" s="10">
        <f>IF(N(J85)=0,"",IF(J85&gt;0,IF(I85="Cost",IF(K85="","(set the P&amp;L Account)",K85),IF(K85="",set_WIPIncome,K85)),set_WIPAsset))</f>
        <v/>
      </c>
      <c r="N85" s="11">
        <f>IF(N(J85)=0,"",ABS(J85))</f>
        <v/>
      </c>
      <c r="O85" s="10">
        <f>IF(N(J85)=0,"","WIP "&amp;H85&amp;IF(B85="",""," - "&amp;B85)&amp;IF(D85="",""," - "&amp;D85)&amp;IF(A85="",""," - "&amp;TEXT(A85,"mmm yyyy")))</f>
        <v/>
      </c>
      <c r="P85" s="37" t="n"/>
      <c r="Q85" s="37" t="n"/>
      <c r="R85" s="37" t="n"/>
    </row>
    <row r="86">
      <c r="A86" s="44" t="n"/>
      <c r="B86" s="37" t="n"/>
      <c r="C86" s="10">
        <f>IF(B86="","",IF(COUNTIF(lst_Jobs,B86&amp;"")&gt;0,"OK","CHECK"))</f>
        <v/>
      </c>
      <c r="D86" s="10">
        <f>IF(B86="","",IFERROR(INDEX(tbl_Finance[Client],MATCH(B86&amp;"",tbl_Finance[Job Number],0)),""))</f>
        <v/>
      </c>
      <c r="E86" s="37" t="n"/>
      <c r="F86" s="37" t="n"/>
      <c r="G86" s="37" t="n"/>
      <c r="H86" s="37" t="n"/>
      <c r="I86" s="37" t="n"/>
      <c r="J86" s="39" t="n"/>
      <c r="K86" s="37" t="n"/>
      <c r="L86" s="10">
        <f>IF(N(J86)=0,"",IF(J86&gt;0,set_WIPAsset,IF(I86="Cost",IF(K86="","(set the P&amp;L Account)",K86),IF(K86="",set_WIPIncome,K86))))</f>
        <v/>
      </c>
      <c r="M86" s="10">
        <f>IF(N(J86)=0,"",IF(J86&gt;0,IF(I86="Cost",IF(K86="","(set the P&amp;L Account)",K86),IF(K86="",set_WIPIncome,K86)),set_WIPAsset))</f>
        <v/>
      </c>
      <c r="N86" s="11">
        <f>IF(N(J86)=0,"",ABS(J86))</f>
        <v/>
      </c>
      <c r="O86" s="10">
        <f>IF(N(J86)=0,"","WIP "&amp;H86&amp;IF(B86="",""," - "&amp;B86)&amp;IF(D86="",""," - "&amp;D86)&amp;IF(A86="",""," - "&amp;TEXT(A86,"mmm yyyy")))</f>
        <v/>
      </c>
      <c r="P86" s="37" t="n"/>
      <c r="Q86" s="37" t="n"/>
      <c r="R86" s="37" t="n"/>
    </row>
    <row r="87">
      <c r="A87" s="44" t="n"/>
      <c r="B87" s="37" t="n"/>
      <c r="C87" s="10">
        <f>IF(B87="","",IF(COUNTIF(lst_Jobs,B87&amp;"")&gt;0,"OK","CHECK"))</f>
        <v/>
      </c>
      <c r="D87" s="10">
        <f>IF(B87="","",IFERROR(INDEX(tbl_Finance[Client],MATCH(B87&amp;"",tbl_Finance[Job Number],0)),""))</f>
        <v/>
      </c>
      <c r="E87" s="37" t="n"/>
      <c r="F87" s="37" t="n"/>
      <c r="G87" s="37" t="n"/>
      <c r="H87" s="37" t="n"/>
      <c r="I87" s="37" t="n"/>
      <c r="J87" s="39" t="n"/>
      <c r="K87" s="37" t="n"/>
      <c r="L87" s="10">
        <f>IF(N(J87)=0,"",IF(J87&gt;0,set_WIPAsset,IF(I87="Cost",IF(K87="","(set the P&amp;L Account)",K87),IF(K87="",set_WIPIncome,K87))))</f>
        <v/>
      </c>
      <c r="M87" s="10">
        <f>IF(N(J87)=0,"",IF(J87&gt;0,IF(I87="Cost",IF(K87="","(set the P&amp;L Account)",K87),IF(K87="",set_WIPIncome,K87)),set_WIPAsset))</f>
        <v/>
      </c>
      <c r="N87" s="11">
        <f>IF(N(J87)=0,"",ABS(J87))</f>
        <v/>
      </c>
      <c r="O87" s="10">
        <f>IF(N(J87)=0,"","WIP "&amp;H87&amp;IF(B87="",""," - "&amp;B87)&amp;IF(D87="",""," - "&amp;D87)&amp;IF(A87="",""," - "&amp;TEXT(A87,"mmm yyyy")))</f>
        <v/>
      </c>
      <c r="P87" s="37" t="n"/>
      <c r="Q87" s="37" t="n"/>
      <c r="R87" s="37" t="n"/>
    </row>
    <row r="88">
      <c r="A88" s="44" t="n"/>
      <c r="B88" s="37" t="n"/>
      <c r="C88" s="10">
        <f>IF(B88="","",IF(COUNTIF(lst_Jobs,B88&amp;"")&gt;0,"OK","CHECK"))</f>
        <v/>
      </c>
      <c r="D88" s="10">
        <f>IF(B88="","",IFERROR(INDEX(tbl_Finance[Client],MATCH(B88&amp;"",tbl_Finance[Job Number],0)),""))</f>
        <v/>
      </c>
      <c r="E88" s="37" t="n"/>
      <c r="F88" s="37" t="n"/>
      <c r="G88" s="37" t="n"/>
      <c r="H88" s="37" t="n"/>
      <c r="I88" s="37" t="n"/>
      <c r="J88" s="39" t="n"/>
      <c r="K88" s="37" t="n"/>
      <c r="L88" s="10">
        <f>IF(N(J88)=0,"",IF(J88&gt;0,set_WIPAsset,IF(I88="Cost",IF(K88="","(set the P&amp;L Account)",K88),IF(K88="",set_WIPIncome,K88))))</f>
        <v/>
      </c>
      <c r="M88" s="10">
        <f>IF(N(J88)=0,"",IF(J88&gt;0,IF(I88="Cost",IF(K88="","(set the P&amp;L Account)",K88),IF(K88="",set_WIPIncome,K88)),set_WIPAsset))</f>
        <v/>
      </c>
      <c r="N88" s="11">
        <f>IF(N(J88)=0,"",ABS(J88))</f>
        <v/>
      </c>
      <c r="O88" s="10">
        <f>IF(N(J88)=0,"","WIP "&amp;H88&amp;IF(B88="",""," - "&amp;B88)&amp;IF(D88="",""," - "&amp;D88)&amp;IF(A88="",""," - "&amp;TEXT(A88,"mmm yyyy")))</f>
        <v/>
      </c>
      <c r="P88" s="37" t="n"/>
      <c r="Q88" s="37" t="n"/>
      <c r="R88" s="37" t="n"/>
    </row>
    <row r="89">
      <c r="A89" s="44" t="n"/>
      <c r="B89" s="37" t="n"/>
      <c r="C89" s="10">
        <f>IF(B89="","",IF(COUNTIF(lst_Jobs,B89&amp;"")&gt;0,"OK","CHECK"))</f>
        <v/>
      </c>
      <c r="D89" s="10">
        <f>IF(B89="","",IFERROR(INDEX(tbl_Finance[Client],MATCH(B89&amp;"",tbl_Finance[Job Number],0)),""))</f>
        <v/>
      </c>
      <c r="E89" s="37" t="n"/>
      <c r="F89" s="37" t="n"/>
      <c r="G89" s="37" t="n"/>
      <c r="H89" s="37" t="n"/>
      <c r="I89" s="37" t="n"/>
      <c r="J89" s="39" t="n"/>
      <c r="K89" s="37" t="n"/>
      <c r="L89" s="10">
        <f>IF(N(J89)=0,"",IF(J89&gt;0,set_WIPAsset,IF(I89="Cost",IF(K89="","(set the P&amp;L Account)",K89),IF(K89="",set_WIPIncome,K89))))</f>
        <v/>
      </c>
      <c r="M89" s="10">
        <f>IF(N(J89)=0,"",IF(J89&gt;0,IF(I89="Cost",IF(K89="","(set the P&amp;L Account)",K89),IF(K89="",set_WIPIncome,K89)),set_WIPAsset))</f>
        <v/>
      </c>
      <c r="N89" s="11">
        <f>IF(N(J89)=0,"",ABS(J89))</f>
        <v/>
      </c>
      <c r="O89" s="10">
        <f>IF(N(J89)=0,"","WIP "&amp;H89&amp;IF(B89="",""," - "&amp;B89)&amp;IF(D89="",""," - "&amp;D89)&amp;IF(A89="",""," - "&amp;TEXT(A89,"mmm yyyy")))</f>
        <v/>
      </c>
      <c r="P89" s="37" t="n"/>
      <c r="Q89" s="37" t="n"/>
      <c r="R89" s="37" t="n"/>
    </row>
    <row r="90">
      <c r="A90" s="44" t="n"/>
      <c r="B90" s="37" t="n"/>
      <c r="C90" s="10">
        <f>IF(B90="","",IF(COUNTIF(lst_Jobs,B90&amp;"")&gt;0,"OK","CHECK"))</f>
        <v/>
      </c>
      <c r="D90" s="10">
        <f>IF(B90="","",IFERROR(INDEX(tbl_Finance[Client],MATCH(B90&amp;"",tbl_Finance[Job Number],0)),""))</f>
        <v/>
      </c>
      <c r="E90" s="37" t="n"/>
      <c r="F90" s="37" t="n"/>
      <c r="G90" s="37" t="n"/>
      <c r="H90" s="37" t="n"/>
      <c r="I90" s="37" t="n"/>
      <c r="J90" s="39" t="n"/>
      <c r="K90" s="37" t="n"/>
      <c r="L90" s="10">
        <f>IF(N(J90)=0,"",IF(J90&gt;0,set_WIPAsset,IF(I90="Cost",IF(K90="","(set the P&amp;L Account)",K90),IF(K90="",set_WIPIncome,K90))))</f>
        <v/>
      </c>
      <c r="M90" s="10">
        <f>IF(N(J90)=0,"",IF(J90&gt;0,IF(I90="Cost",IF(K90="","(set the P&amp;L Account)",K90),IF(K90="",set_WIPIncome,K90)),set_WIPAsset))</f>
        <v/>
      </c>
      <c r="N90" s="11">
        <f>IF(N(J90)=0,"",ABS(J90))</f>
        <v/>
      </c>
      <c r="O90" s="10">
        <f>IF(N(J90)=0,"","WIP "&amp;H90&amp;IF(B90="",""," - "&amp;B90)&amp;IF(D90="",""," - "&amp;D90)&amp;IF(A90="",""," - "&amp;TEXT(A90,"mmm yyyy")))</f>
        <v/>
      </c>
      <c r="P90" s="37" t="n"/>
      <c r="Q90" s="37" t="n"/>
      <c r="R90" s="37" t="n"/>
    </row>
    <row r="91">
      <c r="A91" s="44" t="n"/>
      <c r="B91" s="37" t="n"/>
      <c r="C91" s="10">
        <f>IF(B91="","",IF(COUNTIF(lst_Jobs,B91&amp;"")&gt;0,"OK","CHECK"))</f>
        <v/>
      </c>
      <c r="D91" s="10">
        <f>IF(B91="","",IFERROR(INDEX(tbl_Finance[Client],MATCH(B91&amp;"",tbl_Finance[Job Number],0)),""))</f>
        <v/>
      </c>
      <c r="E91" s="37" t="n"/>
      <c r="F91" s="37" t="n"/>
      <c r="G91" s="37" t="n"/>
      <c r="H91" s="37" t="n"/>
      <c r="I91" s="37" t="n"/>
      <c r="J91" s="39" t="n"/>
      <c r="K91" s="37" t="n"/>
      <c r="L91" s="10">
        <f>IF(N(J91)=0,"",IF(J91&gt;0,set_WIPAsset,IF(I91="Cost",IF(K91="","(set the P&amp;L Account)",K91),IF(K91="",set_WIPIncome,K91))))</f>
        <v/>
      </c>
      <c r="M91" s="10">
        <f>IF(N(J91)=0,"",IF(J91&gt;0,IF(I91="Cost",IF(K91="","(set the P&amp;L Account)",K91),IF(K91="",set_WIPIncome,K91)),set_WIPAsset))</f>
        <v/>
      </c>
      <c r="N91" s="11">
        <f>IF(N(J91)=0,"",ABS(J91))</f>
        <v/>
      </c>
      <c r="O91" s="10">
        <f>IF(N(J91)=0,"","WIP "&amp;H91&amp;IF(B91="",""," - "&amp;B91)&amp;IF(D91="",""," - "&amp;D91)&amp;IF(A91="",""," - "&amp;TEXT(A91,"mmm yyyy")))</f>
        <v/>
      </c>
      <c r="P91" s="37" t="n"/>
      <c r="Q91" s="37" t="n"/>
      <c r="R91" s="37" t="n"/>
    </row>
    <row r="92">
      <c r="A92" s="44" t="n"/>
      <c r="B92" s="37" t="n"/>
      <c r="C92" s="10">
        <f>IF(B92="","",IF(COUNTIF(lst_Jobs,B92&amp;"")&gt;0,"OK","CHECK"))</f>
        <v/>
      </c>
      <c r="D92" s="10">
        <f>IF(B92="","",IFERROR(INDEX(tbl_Finance[Client],MATCH(B92&amp;"",tbl_Finance[Job Number],0)),""))</f>
        <v/>
      </c>
      <c r="E92" s="37" t="n"/>
      <c r="F92" s="37" t="n"/>
      <c r="G92" s="37" t="n"/>
      <c r="H92" s="37" t="n"/>
      <c r="I92" s="37" t="n"/>
      <c r="J92" s="39" t="n"/>
      <c r="K92" s="37" t="n"/>
      <c r="L92" s="10">
        <f>IF(N(J92)=0,"",IF(J92&gt;0,set_WIPAsset,IF(I92="Cost",IF(K92="","(set the P&amp;L Account)",K92),IF(K92="",set_WIPIncome,K92))))</f>
        <v/>
      </c>
      <c r="M92" s="10">
        <f>IF(N(J92)=0,"",IF(J92&gt;0,IF(I92="Cost",IF(K92="","(set the P&amp;L Account)",K92),IF(K92="",set_WIPIncome,K92)),set_WIPAsset))</f>
        <v/>
      </c>
      <c r="N92" s="11">
        <f>IF(N(J92)=0,"",ABS(J92))</f>
        <v/>
      </c>
      <c r="O92" s="10">
        <f>IF(N(J92)=0,"","WIP "&amp;H92&amp;IF(B92="",""," - "&amp;B92)&amp;IF(D92="",""," - "&amp;D92)&amp;IF(A92="",""," - "&amp;TEXT(A92,"mmm yyyy")))</f>
        <v/>
      </c>
      <c r="P92" s="37" t="n"/>
      <c r="Q92" s="37" t="n"/>
      <c r="R92" s="37" t="n"/>
    </row>
    <row r="93">
      <c r="A93" s="44" t="n"/>
      <c r="B93" s="37" t="n"/>
      <c r="C93" s="10">
        <f>IF(B93="","",IF(COUNTIF(lst_Jobs,B93&amp;"")&gt;0,"OK","CHECK"))</f>
        <v/>
      </c>
      <c r="D93" s="10">
        <f>IF(B93="","",IFERROR(INDEX(tbl_Finance[Client],MATCH(B93&amp;"",tbl_Finance[Job Number],0)),""))</f>
        <v/>
      </c>
      <c r="E93" s="37" t="n"/>
      <c r="F93" s="37" t="n"/>
      <c r="G93" s="37" t="n"/>
      <c r="H93" s="37" t="n"/>
      <c r="I93" s="37" t="n"/>
      <c r="J93" s="39" t="n"/>
      <c r="K93" s="37" t="n"/>
      <c r="L93" s="10">
        <f>IF(N(J93)=0,"",IF(J93&gt;0,set_WIPAsset,IF(I93="Cost",IF(K93="","(set the P&amp;L Account)",K93),IF(K93="",set_WIPIncome,K93))))</f>
        <v/>
      </c>
      <c r="M93" s="10">
        <f>IF(N(J93)=0,"",IF(J93&gt;0,IF(I93="Cost",IF(K93="","(set the P&amp;L Account)",K93),IF(K93="",set_WIPIncome,K93)),set_WIPAsset))</f>
        <v/>
      </c>
      <c r="N93" s="11">
        <f>IF(N(J93)=0,"",ABS(J93))</f>
        <v/>
      </c>
      <c r="O93" s="10">
        <f>IF(N(J93)=0,"","WIP "&amp;H93&amp;IF(B93="",""," - "&amp;B93)&amp;IF(D93="",""," - "&amp;D93)&amp;IF(A93="",""," - "&amp;TEXT(A93,"mmm yyyy")))</f>
        <v/>
      </c>
      <c r="P93" s="37" t="n"/>
      <c r="Q93" s="37" t="n"/>
      <c r="R93" s="37" t="n"/>
    </row>
    <row r="94">
      <c r="A94" s="44" t="n"/>
      <c r="B94" s="37" t="n"/>
      <c r="C94" s="10">
        <f>IF(B94="","",IF(COUNTIF(lst_Jobs,B94&amp;"")&gt;0,"OK","CHECK"))</f>
        <v/>
      </c>
      <c r="D94" s="10">
        <f>IF(B94="","",IFERROR(INDEX(tbl_Finance[Client],MATCH(B94&amp;"",tbl_Finance[Job Number],0)),""))</f>
        <v/>
      </c>
      <c r="E94" s="37" t="n"/>
      <c r="F94" s="37" t="n"/>
      <c r="G94" s="37" t="n"/>
      <c r="H94" s="37" t="n"/>
      <c r="I94" s="37" t="n"/>
      <c r="J94" s="39" t="n"/>
      <c r="K94" s="37" t="n"/>
      <c r="L94" s="10">
        <f>IF(N(J94)=0,"",IF(J94&gt;0,set_WIPAsset,IF(I94="Cost",IF(K94="","(set the P&amp;L Account)",K94),IF(K94="",set_WIPIncome,K94))))</f>
        <v/>
      </c>
      <c r="M94" s="10">
        <f>IF(N(J94)=0,"",IF(J94&gt;0,IF(I94="Cost",IF(K94="","(set the P&amp;L Account)",K94),IF(K94="",set_WIPIncome,K94)),set_WIPAsset))</f>
        <v/>
      </c>
      <c r="N94" s="11">
        <f>IF(N(J94)=0,"",ABS(J94))</f>
        <v/>
      </c>
      <c r="O94" s="10">
        <f>IF(N(J94)=0,"","WIP "&amp;H94&amp;IF(B94="",""," - "&amp;B94)&amp;IF(D94="",""," - "&amp;D94)&amp;IF(A94="",""," - "&amp;TEXT(A94,"mmm yyyy")))</f>
        <v/>
      </c>
      <c r="P94" s="37" t="n"/>
      <c r="Q94" s="37" t="n"/>
      <c r="R94" s="37" t="n"/>
    </row>
    <row r="95">
      <c r="A95" s="44" t="n"/>
      <c r="B95" s="37" t="n"/>
      <c r="C95" s="10">
        <f>IF(B95="","",IF(COUNTIF(lst_Jobs,B95&amp;"")&gt;0,"OK","CHECK"))</f>
        <v/>
      </c>
      <c r="D95" s="10">
        <f>IF(B95="","",IFERROR(INDEX(tbl_Finance[Client],MATCH(B95&amp;"",tbl_Finance[Job Number],0)),""))</f>
        <v/>
      </c>
      <c r="E95" s="37" t="n"/>
      <c r="F95" s="37" t="n"/>
      <c r="G95" s="37" t="n"/>
      <c r="H95" s="37" t="n"/>
      <c r="I95" s="37" t="n"/>
      <c r="J95" s="39" t="n"/>
      <c r="K95" s="37" t="n"/>
      <c r="L95" s="10">
        <f>IF(N(J95)=0,"",IF(J95&gt;0,set_WIPAsset,IF(I95="Cost",IF(K95="","(set the P&amp;L Account)",K95),IF(K95="",set_WIPIncome,K95))))</f>
        <v/>
      </c>
      <c r="M95" s="10">
        <f>IF(N(J95)=0,"",IF(J95&gt;0,IF(I95="Cost",IF(K95="","(set the P&amp;L Account)",K95),IF(K95="",set_WIPIncome,K95)),set_WIPAsset))</f>
        <v/>
      </c>
      <c r="N95" s="11">
        <f>IF(N(J95)=0,"",ABS(J95))</f>
        <v/>
      </c>
      <c r="O95" s="10">
        <f>IF(N(J95)=0,"","WIP "&amp;H95&amp;IF(B95="",""," - "&amp;B95)&amp;IF(D95="",""," - "&amp;D95)&amp;IF(A95="",""," - "&amp;TEXT(A95,"mmm yyyy")))</f>
        <v/>
      </c>
      <c r="P95" s="37" t="n"/>
      <c r="Q95" s="37" t="n"/>
      <c r="R95" s="37" t="n"/>
    </row>
    <row r="96">
      <c r="A96" s="44" t="n"/>
      <c r="B96" s="37" t="n"/>
      <c r="C96" s="10">
        <f>IF(B96="","",IF(COUNTIF(lst_Jobs,B96&amp;"")&gt;0,"OK","CHECK"))</f>
        <v/>
      </c>
      <c r="D96" s="10">
        <f>IF(B96="","",IFERROR(INDEX(tbl_Finance[Client],MATCH(B96&amp;"",tbl_Finance[Job Number],0)),""))</f>
        <v/>
      </c>
      <c r="E96" s="37" t="n"/>
      <c r="F96" s="37" t="n"/>
      <c r="G96" s="37" t="n"/>
      <c r="H96" s="37" t="n"/>
      <c r="I96" s="37" t="n"/>
      <c r="J96" s="39" t="n"/>
      <c r="K96" s="37" t="n"/>
      <c r="L96" s="10">
        <f>IF(N(J96)=0,"",IF(J96&gt;0,set_WIPAsset,IF(I96="Cost",IF(K96="","(set the P&amp;L Account)",K96),IF(K96="",set_WIPIncome,K96))))</f>
        <v/>
      </c>
      <c r="M96" s="10">
        <f>IF(N(J96)=0,"",IF(J96&gt;0,IF(I96="Cost",IF(K96="","(set the P&amp;L Account)",K96),IF(K96="",set_WIPIncome,K96)),set_WIPAsset))</f>
        <v/>
      </c>
      <c r="N96" s="11">
        <f>IF(N(J96)=0,"",ABS(J96))</f>
        <v/>
      </c>
      <c r="O96" s="10">
        <f>IF(N(J96)=0,"","WIP "&amp;H96&amp;IF(B96="",""," - "&amp;B96)&amp;IF(D96="",""," - "&amp;D96)&amp;IF(A96="",""," - "&amp;TEXT(A96,"mmm yyyy")))</f>
        <v/>
      </c>
      <c r="P96" s="37" t="n"/>
      <c r="Q96" s="37" t="n"/>
      <c r="R96" s="37" t="n"/>
    </row>
    <row r="97">
      <c r="A97" s="44" t="n"/>
      <c r="B97" s="37" t="n"/>
      <c r="C97" s="10">
        <f>IF(B97="","",IF(COUNTIF(lst_Jobs,B97&amp;"")&gt;0,"OK","CHECK"))</f>
        <v/>
      </c>
      <c r="D97" s="10">
        <f>IF(B97="","",IFERROR(INDEX(tbl_Finance[Client],MATCH(B97&amp;"",tbl_Finance[Job Number],0)),""))</f>
        <v/>
      </c>
      <c r="E97" s="37" t="n"/>
      <c r="F97" s="37" t="n"/>
      <c r="G97" s="37" t="n"/>
      <c r="H97" s="37" t="n"/>
      <c r="I97" s="37" t="n"/>
      <c r="J97" s="39" t="n"/>
      <c r="K97" s="37" t="n"/>
      <c r="L97" s="10">
        <f>IF(N(J97)=0,"",IF(J97&gt;0,set_WIPAsset,IF(I97="Cost",IF(K97="","(set the P&amp;L Account)",K97),IF(K97="",set_WIPIncome,K97))))</f>
        <v/>
      </c>
      <c r="M97" s="10">
        <f>IF(N(J97)=0,"",IF(J97&gt;0,IF(I97="Cost",IF(K97="","(set the P&amp;L Account)",K97),IF(K97="",set_WIPIncome,K97)),set_WIPAsset))</f>
        <v/>
      </c>
      <c r="N97" s="11">
        <f>IF(N(J97)=0,"",ABS(J97))</f>
        <v/>
      </c>
      <c r="O97" s="10">
        <f>IF(N(J97)=0,"","WIP "&amp;H97&amp;IF(B97="",""," - "&amp;B97)&amp;IF(D97="",""," - "&amp;D97)&amp;IF(A97="",""," - "&amp;TEXT(A97,"mmm yyyy")))</f>
        <v/>
      </c>
      <c r="P97" s="37" t="n"/>
      <c r="Q97" s="37" t="n"/>
      <c r="R97" s="37" t="n"/>
    </row>
    <row r="98">
      <c r="A98" s="44" t="n"/>
      <c r="B98" s="37" t="n"/>
      <c r="C98" s="10">
        <f>IF(B98="","",IF(COUNTIF(lst_Jobs,B98&amp;"")&gt;0,"OK","CHECK"))</f>
        <v/>
      </c>
      <c r="D98" s="10">
        <f>IF(B98="","",IFERROR(INDEX(tbl_Finance[Client],MATCH(B98&amp;"",tbl_Finance[Job Number],0)),""))</f>
        <v/>
      </c>
      <c r="E98" s="37" t="n"/>
      <c r="F98" s="37" t="n"/>
      <c r="G98" s="37" t="n"/>
      <c r="H98" s="37" t="n"/>
      <c r="I98" s="37" t="n"/>
      <c r="J98" s="39" t="n"/>
      <c r="K98" s="37" t="n"/>
      <c r="L98" s="10">
        <f>IF(N(J98)=0,"",IF(J98&gt;0,set_WIPAsset,IF(I98="Cost",IF(K98="","(set the P&amp;L Account)",K98),IF(K98="",set_WIPIncome,K98))))</f>
        <v/>
      </c>
      <c r="M98" s="10">
        <f>IF(N(J98)=0,"",IF(J98&gt;0,IF(I98="Cost",IF(K98="","(set the P&amp;L Account)",K98),IF(K98="",set_WIPIncome,K98)),set_WIPAsset))</f>
        <v/>
      </c>
      <c r="N98" s="11">
        <f>IF(N(J98)=0,"",ABS(J98))</f>
        <v/>
      </c>
      <c r="O98" s="10">
        <f>IF(N(J98)=0,"","WIP "&amp;H98&amp;IF(B98="",""," - "&amp;B98)&amp;IF(D98="",""," - "&amp;D98)&amp;IF(A98="",""," - "&amp;TEXT(A98,"mmm yyyy")))</f>
        <v/>
      </c>
      <c r="P98" s="37" t="n"/>
      <c r="Q98" s="37" t="n"/>
      <c r="R98" s="37" t="n"/>
    </row>
    <row r="99">
      <c r="A99" s="44" t="n"/>
      <c r="B99" s="37" t="n"/>
      <c r="C99" s="10">
        <f>IF(B99="","",IF(COUNTIF(lst_Jobs,B99&amp;"")&gt;0,"OK","CHECK"))</f>
        <v/>
      </c>
      <c r="D99" s="10">
        <f>IF(B99="","",IFERROR(INDEX(tbl_Finance[Client],MATCH(B99&amp;"",tbl_Finance[Job Number],0)),""))</f>
        <v/>
      </c>
      <c r="E99" s="37" t="n"/>
      <c r="F99" s="37" t="n"/>
      <c r="G99" s="37" t="n"/>
      <c r="H99" s="37" t="n"/>
      <c r="I99" s="37" t="n"/>
      <c r="J99" s="39" t="n"/>
      <c r="K99" s="37" t="n"/>
      <c r="L99" s="10">
        <f>IF(N(J99)=0,"",IF(J99&gt;0,set_WIPAsset,IF(I99="Cost",IF(K99="","(set the P&amp;L Account)",K99),IF(K99="",set_WIPIncome,K99))))</f>
        <v/>
      </c>
      <c r="M99" s="10">
        <f>IF(N(J99)=0,"",IF(J99&gt;0,IF(I99="Cost",IF(K99="","(set the P&amp;L Account)",K99),IF(K99="",set_WIPIncome,K99)),set_WIPAsset))</f>
        <v/>
      </c>
      <c r="N99" s="11">
        <f>IF(N(J99)=0,"",ABS(J99))</f>
        <v/>
      </c>
      <c r="O99" s="10">
        <f>IF(N(J99)=0,"","WIP "&amp;H99&amp;IF(B99="",""," - "&amp;B99)&amp;IF(D99="",""," - "&amp;D99)&amp;IF(A99="",""," - "&amp;TEXT(A99,"mmm yyyy")))</f>
        <v/>
      </c>
      <c r="P99" s="37" t="n"/>
      <c r="Q99" s="37" t="n"/>
      <c r="R99" s="37" t="n"/>
    </row>
    <row r="100">
      <c r="A100" s="44" t="n"/>
      <c r="B100" s="37" t="n"/>
      <c r="C100" s="10">
        <f>IF(B100="","",IF(COUNTIF(lst_Jobs,B100&amp;"")&gt;0,"OK","CHECK"))</f>
        <v/>
      </c>
      <c r="D100" s="10">
        <f>IF(B100="","",IFERROR(INDEX(tbl_Finance[Client],MATCH(B100&amp;"",tbl_Finance[Job Number],0)),""))</f>
        <v/>
      </c>
      <c r="E100" s="37" t="n"/>
      <c r="F100" s="37" t="n"/>
      <c r="G100" s="37" t="n"/>
      <c r="H100" s="37" t="n"/>
      <c r="I100" s="37" t="n"/>
      <c r="J100" s="39" t="n"/>
      <c r="K100" s="37" t="n"/>
      <c r="L100" s="10">
        <f>IF(N(J100)=0,"",IF(J100&gt;0,set_WIPAsset,IF(I100="Cost",IF(K100="","(set the P&amp;L Account)",K100),IF(K100="",set_WIPIncome,K100))))</f>
        <v/>
      </c>
      <c r="M100" s="10">
        <f>IF(N(J100)=0,"",IF(J100&gt;0,IF(I100="Cost",IF(K100="","(set the P&amp;L Account)",K100),IF(K100="",set_WIPIncome,K100)),set_WIPAsset))</f>
        <v/>
      </c>
      <c r="N100" s="11">
        <f>IF(N(J100)=0,"",ABS(J100))</f>
        <v/>
      </c>
      <c r="O100" s="10">
        <f>IF(N(J100)=0,"","WIP "&amp;H100&amp;IF(B100="",""," - "&amp;B100)&amp;IF(D100="",""," - "&amp;D100)&amp;IF(A100="",""," - "&amp;TEXT(A100,"mmm yyyy")))</f>
        <v/>
      </c>
      <c r="P100" s="37" t="n"/>
      <c r="Q100" s="37" t="n"/>
      <c r="R100" s="37" t="n"/>
    </row>
    <row r="101">
      <c r="A101" s="44" t="n"/>
      <c r="B101" s="37" t="n"/>
      <c r="C101" s="10">
        <f>IF(B101="","",IF(COUNTIF(lst_Jobs,B101&amp;"")&gt;0,"OK","CHECK"))</f>
        <v/>
      </c>
      <c r="D101" s="10">
        <f>IF(B101="","",IFERROR(INDEX(tbl_Finance[Client],MATCH(B101&amp;"",tbl_Finance[Job Number],0)),""))</f>
        <v/>
      </c>
      <c r="E101" s="37" t="n"/>
      <c r="F101" s="37" t="n"/>
      <c r="G101" s="37" t="n"/>
      <c r="H101" s="37" t="n"/>
      <c r="I101" s="37" t="n"/>
      <c r="J101" s="39" t="n"/>
      <c r="K101" s="37" t="n"/>
      <c r="L101" s="10">
        <f>IF(N(J101)=0,"",IF(J101&gt;0,set_WIPAsset,IF(I101="Cost",IF(K101="","(set the P&amp;L Account)",K101),IF(K101="",set_WIPIncome,K101))))</f>
        <v/>
      </c>
      <c r="M101" s="10">
        <f>IF(N(J101)=0,"",IF(J101&gt;0,IF(I101="Cost",IF(K101="","(set the P&amp;L Account)",K101),IF(K101="",set_WIPIncome,K101)),set_WIPAsset))</f>
        <v/>
      </c>
      <c r="N101" s="11">
        <f>IF(N(J101)=0,"",ABS(J101))</f>
        <v/>
      </c>
      <c r="O101" s="10">
        <f>IF(N(J101)=0,"","WIP "&amp;H101&amp;IF(B101="",""," - "&amp;B101)&amp;IF(D101="",""," - "&amp;D101)&amp;IF(A101="",""," - "&amp;TEXT(A101,"mmm yyyy")))</f>
        <v/>
      </c>
      <c r="P101" s="37" t="n"/>
      <c r="Q101" s="37" t="n"/>
      <c r="R101" s="37" t="n"/>
    </row>
    <row r="102">
      <c r="A102" s="44" t="n"/>
      <c r="B102" s="37" t="n"/>
      <c r="C102" s="10">
        <f>IF(B102="","",IF(COUNTIF(lst_Jobs,B102&amp;"")&gt;0,"OK","CHECK"))</f>
        <v/>
      </c>
      <c r="D102" s="10">
        <f>IF(B102="","",IFERROR(INDEX(tbl_Finance[Client],MATCH(B102&amp;"",tbl_Finance[Job Number],0)),""))</f>
        <v/>
      </c>
      <c r="E102" s="37" t="n"/>
      <c r="F102" s="37" t="n"/>
      <c r="G102" s="37" t="n"/>
      <c r="H102" s="37" t="n"/>
      <c r="I102" s="37" t="n"/>
      <c r="J102" s="39" t="n"/>
      <c r="K102" s="37" t="n"/>
      <c r="L102" s="10">
        <f>IF(N(J102)=0,"",IF(J102&gt;0,set_WIPAsset,IF(I102="Cost",IF(K102="","(set the P&amp;L Account)",K102),IF(K102="",set_WIPIncome,K102))))</f>
        <v/>
      </c>
      <c r="M102" s="10">
        <f>IF(N(J102)=0,"",IF(J102&gt;0,IF(I102="Cost",IF(K102="","(set the P&amp;L Account)",K102),IF(K102="",set_WIPIncome,K102)),set_WIPAsset))</f>
        <v/>
      </c>
      <c r="N102" s="11">
        <f>IF(N(J102)=0,"",ABS(J102))</f>
        <v/>
      </c>
      <c r="O102" s="10">
        <f>IF(N(J102)=0,"","WIP "&amp;H102&amp;IF(B102="",""," - "&amp;B102)&amp;IF(D102="",""," - "&amp;D102)&amp;IF(A102="",""," - "&amp;TEXT(A102,"mmm yyyy")))</f>
        <v/>
      </c>
      <c r="P102" s="37" t="n"/>
      <c r="Q102" s="37" t="n"/>
      <c r="R102" s="37" t="n"/>
    </row>
    <row r="103">
      <c r="A103" s="44" t="n"/>
      <c r="B103" s="37" t="n"/>
      <c r="C103" s="10">
        <f>IF(B103="","",IF(COUNTIF(lst_Jobs,B103&amp;"")&gt;0,"OK","CHECK"))</f>
        <v/>
      </c>
      <c r="D103" s="10">
        <f>IF(B103="","",IFERROR(INDEX(tbl_Finance[Client],MATCH(B103&amp;"",tbl_Finance[Job Number],0)),""))</f>
        <v/>
      </c>
      <c r="E103" s="37" t="n"/>
      <c r="F103" s="37" t="n"/>
      <c r="G103" s="37" t="n"/>
      <c r="H103" s="37" t="n"/>
      <c r="I103" s="37" t="n"/>
      <c r="J103" s="39" t="n"/>
      <c r="K103" s="37" t="n"/>
      <c r="L103" s="10">
        <f>IF(N(J103)=0,"",IF(J103&gt;0,set_WIPAsset,IF(I103="Cost",IF(K103="","(set the P&amp;L Account)",K103),IF(K103="",set_WIPIncome,K103))))</f>
        <v/>
      </c>
      <c r="M103" s="10">
        <f>IF(N(J103)=0,"",IF(J103&gt;0,IF(I103="Cost",IF(K103="","(set the P&amp;L Account)",K103),IF(K103="",set_WIPIncome,K103)),set_WIPAsset))</f>
        <v/>
      </c>
      <c r="N103" s="11">
        <f>IF(N(J103)=0,"",ABS(J103))</f>
        <v/>
      </c>
      <c r="O103" s="10">
        <f>IF(N(J103)=0,"","WIP "&amp;H103&amp;IF(B103="",""," - "&amp;B103)&amp;IF(D103="",""," - "&amp;D103)&amp;IF(A103="",""," - "&amp;TEXT(A103,"mmm yyyy")))</f>
        <v/>
      </c>
      <c r="P103" s="37" t="n"/>
      <c r="Q103" s="37" t="n"/>
      <c r="R103" s="37" t="n"/>
    </row>
    <row r="104">
      <c r="A104" s="44" t="n"/>
      <c r="B104" s="37" t="n"/>
      <c r="C104" s="10">
        <f>IF(B104="","",IF(COUNTIF(lst_Jobs,B104&amp;"")&gt;0,"OK","CHECK"))</f>
        <v/>
      </c>
      <c r="D104" s="10">
        <f>IF(B104="","",IFERROR(INDEX(tbl_Finance[Client],MATCH(B104&amp;"",tbl_Finance[Job Number],0)),""))</f>
        <v/>
      </c>
      <c r="E104" s="37" t="n"/>
      <c r="F104" s="37" t="n"/>
      <c r="G104" s="37" t="n"/>
      <c r="H104" s="37" t="n"/>
      <c r="I104" s="37" t="n"/>
      <c r="J104" s="39" t="n"/>
      <c r="K104" s="37" t="n"/>
      <c r="L104" s="10">
        <f>IF(N(J104)=0,"",IF(J104&gt;0,set_WIPAsset,IF(I104="Cost",IF(K104="","(set the P&amp;L Account)",K104),IF(K104="",set_WIPIncome,K104))))</f>
        <v/>
      </c>
      <c r="M104" s="10">
        <f>IF(N(J104)=0,"",IF(J104&gt;0,IF(I104="Cost",IF(K104="","(set the P&amp;L Account)",K104),IF(K104="",set_WIPIncome,K104)),set_WIPAsset))</f>
        <v/>
      </c>
      <c r="N104" s="11">
        <f>IF(N(J104)=0,"",ABS(J104))</f>
        <v/>
      </c>
      <c r="O104" s="10">
        <f>IF(N(J104)=0,"","WIP "&amp;H104&amp;IF(B104="",""," - "&amp;B104)&amp;IF(D104="",""," - "&amp;D104)&amp;IF(A104="",""," - "&amp;TEXT(A104,"mmm yyyy")))</f>
        <v/>
      </c>
      <c r="P104" s="37" t="n"/>
      <c r="Q104" s="37" t="n"/>
      <c r="R104" s="37" t="n"/>
    </row>
    <row r="105">
      <c r="A105" s="44" t="n"/>
      <c r="B105" s="37" t="n"/>
      <c r="C105" s="10">
        <f>IF(B105="","",IF(COUNTIF(lst_Jobs,B105&amp;"")&gt;0,"OK","CHECK"))</f>
        <v/>
      </c>
      <c r="D105" s="10">
        <f>IF(B105="","",IFERROR(INDEX(tbl_Finance[Client],MATCH(B105&amp;"",tbl_Finance[Job Number],0)),""))</f>
        <v/>
      </c>
      <c r="E105" s="37" t="n"/>
      <c r="F105" s="37" t="n"/>
      <c r="G105" s="37" t="n"/>
      <c r="H105" s="37" t="n"/>
      <c r="I105" s="37" t="n"/>
      <c r="J105" s="39" t="n"/>
      <c r="K105" s="37" t="n"/>
      <c r="L105" s="10">
        <f>IF(N(J105)=0,"",IF(J105&gt;0,set_WIPAsset,IF(I105="Cost",IF(K105="","(set the P&amp;L Account)",K105),IF(K105="",set_WIPIncome,K105))))</f>
        <v/>
      </c>
      <c r="M105" s="10">
        <f>IF(N(J105)=0,"",IF(J105&gt;0,IF(I105="Cost",IF(K105="","(set the P&amp;L Account)",K105),IF(K105="",set_WIPIncome,K105)),set_WIPAsset))</f>
        <v/>
      </c>
      <c r="N105" s="11">
        <f>IF(N(J105)=0,"",ABS(J105))</f>
        <v/>
      </c>
      <c r="O105" s="10">
        <f>IF(N(J105)=0,"","WIP "&amp;H105&amp;IF(B105="",""," - "&amp;B105)&amp;IF(D105="",""," - "&amp;D105)&amp;IF(A105="",""," - "&amp;TEXT(A105,"mmm yyyy")))</f>
        <v/>
      </c>
      <c r="P105" s="37" t="n"/>
      <c r="Q105" s="37" t="n"/>
      <c r="R105" s="37" t="n"/>
    </row>
    <row r="106">
      <c r="A106" s="44" t="n"/>
      <c r="B106" s="37" t="n"/>
      <c r="C106" s="10">
        <f>IF(B106="","",IF(COUNTIF(lst_Jobs,B106&amp;"")&gt;0,"OK","CHECK"))</f>
        <v/>
      </c>
      <c r="D106" s="10">
        <f>IF(B106="","",IFERROR(INDEX(tbl_Finance[Client],MATCH(B106&amp;"",tbl_Finance[Job Number],0)),""))</f>
        <v/>
      </c>
      <c r="E106" s="37" t="n"/>
      <c r="F106" s="37" t="n"/>
      <c r="G106" s="37" t="n"/>
      <c r="H106" s="37" t="n"/>
      <c r="I106" s="37" t="n"/>
      <c r="J106" s="39" t="n"/>
      <c r="K106" s="37" t="n"/>
      <c r="L106" s="10">
        <f>IF(N(J106)=0,"",IF(J106&gt;0,set_WIPAsset,IF(I106="Cost",IF(K106="","(set the P&amp;L Account)",K106),IF(K106="",set_WIPIncome,K106))))</f>
        <v/>
      </c>
      <c r="M106" s="10">
        <f>IF(N(J106)=0,"",IF(J106&gt;0,IF(I106="Cost",IF(K106="","(set the P&amp;L Account)",K106),IF(K106="",set_WIPIncome,K106)),set_WIPAsset))</f>
        <v/>
      </c>
      <c r="N106" s="11">
        <f>IF(N(J106)=0,"",ABS(J106))</f>
        <v/>
      </c>
      <c r="O106" s="10">
        <f>IF(N(J106)=0,"","WIP "&amp;H106&amp;IF(B106="",""," - "&amp;B106)&amp;IF(D106="",""," - "&amp;D106)&amp;IF(A106="",""," - "&amp;TEXT(A106,"mmm yyyy")))</f>
        <v/>
      </c>
      <c r="P106" s="37" t="n"/>
      <c r="Q106" s="37" t="n"/>
      <c r="R106" s="37" t="n"/>
    </row>
    <row r="107">
      <c r="A107" s="44" t="n"/>
      <c r="B107" s="37" t="n"/>
      <c r="C107" s="10">
        <f>IF(B107="","",IF(COUNTIF(lst_Jobs,B107&amp;"")&gt;0,"OK","CHECK"))</f>
        <v/>
      </c>
      <c r="D107" s="10">
        <f>IF(B107="","",IFERROR(INDEX(tbl_Finance[Client],MATCH(B107&amp;"",tbl_Finance[Job Number],0)),""))</f>
        <v/>
      </c>
      <c r="E107" s="37" t="n"/>
      <c r="F107" s="37" t="n"/>
      <c r="G107" s="37" t="n"/>
      <c r="H107" s="37" t="n"/>
      <c r="I107" s="37" t="n"/>
      <c r="J107" s="39" t="n"/>
      <c r="K107" s="37" t="n"/>
      <c r="L107" s="10">
        <f>IF(N(J107)=0,"",IF(J107&gt;0,set_WIPAsset,IF(I107="Cost",IF(K107="","(set the P&amp;L Account)",K107),IF(K107="",set_WIPIncome,K107))))</f>
        <v/>
      </c>
      <c r="M107" s="10">
        <f>IF(N(J107)=0,"",IF(J107&gt;0,IF(I107="Cost",IF(K107="","(set the P&amp;L Account)",K107),IF(K107="",set_WIPIncome,K107)),set_WIPAsset))</f>
        <v/>
      </c>
      <c r="N107" s="11">
        <f>IF(N(J107)=0,"",ABS(J107))</f>
        <v/>
      </c>
      <c r="O107" s="10">
        <f>IF(N(J107)=0,"","WIP "&amp;H107&amp;IF(B107="",""," - "&amp;B107)&amp;IF(D107="",""," - "&amp;D107)&amp;IF(A107="",""," - "&amp;TEXT(A107,"mmm yyyy")))</f>
        <v/>
      </c>
      <c r="P107" s="37" t="n"/>
      <c r="Q107" s="37" t="n"/>
      <c r="R107" s="37" t="n"/>
    </row>
    <row r="108">
      <c r="A108" s="44" t="n"/>
      <c r="B108" s="37" t="n"/>
      <c r="C108" s="10">
        <f>IF(B108="","",IF(COUNTIF(lst_Jobs,B108&amp;"")&gt;0,"OK","CHECK"))</f>
        <v/>
      </c>
      <c r="D108" s="10">
        <f>IF(B108="","",IFERROR(INDEX(tbl_Finance[Client],MATCH(B108&amp;"",tbl_Finance[Job Number],0)),""))</f>
        <v/>
      </c>
      <c r="E108" s="37" t="n"/>
      <c r="F108" s="37" t="n"/>
      <c r="G108" s="37" t="n"/>
      <c r="H108" s="37" t="n"/>
      <c r="I108" s="37" t="n"/>
      <c r="J108" s="39" t="n"/>
      <c r="K108" s="37" t="n"/>
      <c r="L108" s="10">
        <f>IF(N(J108)=0,"",IF(J108&gt;0,set_WIPAsset,IF(I108="Cost",IF(K108="","(set the P&amp;L Account)",K108),IF(K108="",set_WIPIncome,K108))))</f>
        <v/>
      </c>
      <c r="M108" s="10">
        <f>IF(N(J108)=0,"",IF(J108&gt;0,IF(I108="Cost",IF(K108="","(set the P&amp;L Account)",K108),IF(K108="",set_WIPIncome,K108)),set_WIPAsset))</f>
        <v/>
      </c>
      <c r="N108" s="11">
        <f>IF(N(J108)=0,"",ABS(J108))</f>
        <v/>
      </c>
      <c r="O108" s="10">
        <f>IF(N(J108)=0,"","WIP "&amp;H108&amp;IF(B108="",""," - "&amp;B108)&amp;IF(D108="",""," - "&amp;D108)&amp;IF(A108="",""," - "&amp;TEXT(A108,"mmm yyyy")))</f>
        <v/>
      </c>
      <c r="P108" s="37" t="n"/>
      <c r="Q108" s="37" t="n"/>
      <c r="R108" s="37" t="n"/>
    </row>
    <row r="109">
      <c r="A109" s="44" t="n"/>
      <c r="B109" s="37" t="n"/>
      <c r="C109" s="10">
        <f>IF(B109="","",IF(COUNTIF(lst_Jobs,B109&amp;"")&gt;0,"OK","CHECK"))</f>
        <v/>
      </c>
      <c r="D109" s="10">
        <f>IF(B109="","",IFERROR(INDEX(tbl_Finance[Client],MATCH(B109&amp;"",tbl_Finance[Job Number],0)),""))</f>
        <v/>
      </c>
      <c r="E109" s="37" t="n"/>
      <c r="F109" s="37" t="n"/>
      <c r="G109" s="37" t="n"/>
      <c r="H109" s="37" t="n"/>
      <c r="I109" s="37" t="n"/>
      <c r="J109" s="39" t="n"/>
      <c r="K109" s="37" t="n"/>
      <c r="L109" s="10">
        <f>IF(N(J109)=0,"",IF(J109&gt;0,set_WIPAsset,IF(I109="Cost",IF(K109="","(set the P&amp;L Account)",K109),IF(K109="",set_WIPIncome,K109))))</f>
        <v/>
      </c>
      <c r="M109" s="10">
        <f>IF(N(J109)=0,"",IF(J109&gt;0,IF(I109="Cost",IF(K109="","(set the P&amp;L Account)",K109),IF(K109="",set_WIPIncome,K109)),set_WIPAsset))</f>
        <v/>
      </c>
      <c r="N109" s="11">
        <f>IF(N(J109)=0,"",ABS(J109))</f>
        <v/>
      </c>
      <c r="O109" s="10">
        <f>IF(N(J109)=0,"","WIP "&amp;H109&amp;IF(B109="",""," - "&amp;B109)&amp;IF(D109="",""," - "&amp;D109)&amp;IF(A109="",""," - "&amp;TEXT(A109,"mmm yyyy")))</f>
        <v/>
      </c>
      <c r="P109" s="37" t="n"/>
      <c r="Q109" s="37" t="n"/>
      <c r="R109" s="37" t="n"/>
    </row>
    <row r="110">
      <c r="A110" s="44" t="n"/>
      <c r="B110" s="37" t="n"/>
      <c r="C110" s="10">
        <f>IF(B110="","",IF(COUNTIF(lst_Jobs,B110&amp;"")&gt;0,"OK","CHECK"))</f>
        <v/>
      </c>
      <c r="D110" s="10">
        <f>IF(B110="","",IFERROR(INDEX(tbl_Finance[Client],MATCH(B110&amp;"",tbl_Finance[Job Number],0)),""))</f>
        <v/>
      </c>
      <c r="E110" s="37" t="n"/>
      <c r="F110" s="37" t="n"/>
      <c r="G110" s="37" t="n"/>
      <c r="H110" s="37" t="n"/>
      <c r="I110" s="37" t="n"/>
      <c r="J110" s="39" t="n"/>
      <c r="K110" s="37" t="n"/>
      <c r="L110" s="10">
        <f>IF(N(J110)=0,"",IF(J110&gt;0,set_WIPAsset,IF(I110="Cost",IF(K110="","(set the P&amp;L Account)",K110),IF(K110="",set_WIPIncome,K110))))</f>
        <v/>
      </c>
      <c r="M110" s="10">
        <f>IF(N(J110)=0,"",IF(J110&gt;0,IF(I110="Cost",IF(K110="","(set the P&amp;L Account)",K110),IF(K110="",set_WIPIncome,K110)),set_WIPAsset))</f>
        <v/>
      </c>
      <c r="N110" s="11">
        <f>IF(N(J110)=0,"",ABS(J110))</f>
        <v/>
      </c>
      <c r="O110" s="10">
        <f>IF(N(J110)=0,"","WIP "&amp;H110&amp;IF(B110="",""," - "&amp;B110)&amp;IF(D110="",""," - "&amp;D110)&amp;IF(A110="",""," - "&amp;TEXT(A110,"mmm yyyy")))</f>
        <v/>
      </c>
      <c r="P110" s="37" t="n"/>
      <c r="Q110" s="37" t="n"/>
      <c r="R110" s="37" t="n"/>
    </row>
    <row r="111">
      <c r="A111" s="44" t="n"/>
      <c r="B111" s="37" t="n"/>
      <c r="C111" s="10">
        <f>IF(B111="","",IF(COUNTIF(lst_Jobs,B111&amp;"")&gt;0,"OK","CHECK"))</f>
        <v/>
      </c>
      <c r="D111" s="10">
        <f>IF(B111="","",IFERROR(INDEX(tbl_Finance[Client],MATCH(B111&amp;"",tbl_Finance[Job Number],0)),""))</f>
        <v/>
      </c>
      <c r="E111" s="37" t="n"/>
      <c r="F111" s="37" t="n"/>
      <c r="G111" s="37" t="n"/>
      <c r="H111" s="37" t="n"/>
      <c r="I111" s="37" t="n"/>
      <c r="J111" s="39" t="n"/>
      <c r="K111" s="37" t="n"/>
      <c r="L111" s="10">
        <f>IF(N(J111)=0,"",IF(J111&gt;0,set_WIPAsset,IF(I111="Cost",IF(K111="","(set the P&amp;L Account)",K111),IF(K111="",set_WIPIncome,K111))))</f>
        <v/>
      </c>
      <c r="M111" s="10">
        <f>IF(N(J111)=0,"",IF(J111&gt;0,IF(I111="Cost",IF(K111="","(set the P&amp;L Account)",K111),IF(K111="",set_WIPIncome,K111)),set_WIPAsset))</f>
        <v/>
      </c>
      <c r="N111" s="11">
        <f>IF(N(J111)=0,"",ABS(J111))</f>
        <v/>
      </c>
      <c r="O111" s="10">
        <f>IF(N(J111)=0,"","WIP "&amp;H111&amp;IF(B111="",""," - "&amp;B111)&amp;IF(D111="",""," - "&amp;D111)&amp;IF(A111="",""," - "&amp;TEXT(A111,"mmm yyyy")))</f>
        <v/>
      </c>
      <c r="P111" s="37" t="n"/>
      <c r="Q111" s="37" t="n"/>
      <c r="R111" s="37" t="n"/>
    </row>
    <row r="112">
      <c r="A112" s="44" t="n"/>
      <c r="B112" s="37" t="n"/>
      <c r="C112" s="10">
        <f>IF(B112="","",IF(COUNTIF(lst_Jobs,B112&amp;"")&gt;0,"OK","CHECK"))</f>
        <v/>
      </c>
      <c r="D112" s="10">
        <f>IF(B112="","",IFERROR(INDEX(tbl_Finance[Client],MATCH(B112&amp;"",tbl_Finance[Job Number],0)),""))</f>
        <v/>
      </c>
      <c r="E112" s="37" t="n"/>
      <c r="F112" s="37" t="n"/>
      <c r="G112" s="37" t="n"/>
      <c r="H112" s="37" t="n"/>
      <c r="I112" s="37" t="n"/>
      <c r="J112" s="39" t="n"/>
      <c r="K112" s="37" t="n"/>
      <c r="L112" s="10">
        <f>IF(N(J112)=0,"",IF(J112&gt;0,set_WIPAsset,IF(I112="Cost",IF(K112="","(set the P&amp;L Account)",K112),IF(K112="",set_WIPIncome,K112))))</f>
        <v/>
      </c>
      <c r="M112" s="10">
        <f>IF(N(J112)=0,"",IF(J112&gt;0,IF(I112="Cost",IF(K112="","(set the P&amp;L Account)",K112),IF(K112="",set_WIPIncome,K112)),set_WIPAsset))</f>
        <v/>
      </c>
      <c r="N112" s="11">
        <f>IF(N(J112)=0,"",ABS(J112))</f>
        <v/>
      </c>
      <c r="O112" s="10">
        <f>IF(N(J112)=0,"","WIP "&amp;H112&amp;IF(B112="",""," - "&amp;B112)&amp;IF(D112="",""," - "&amp;D112)&amp;IF(A112="",""," - "&amp;TEXT(A112,"mmm yyyy")))</f>
        <v/>
      </c>
      <c r="P112" s="37" t="n"/>
      <c r="Q112" s="37" t="n"/>
      <c r="R112" s="37" t="n"/>
    </row>
    <row r="113">
      <c r="A113" s="44" t="n"/>
      <c r="B113" s="37" t="n"/>
      <c r="C113" s="10">
        <f>IF(B113="","",IF(COUNTIF(lst_Jobs,B113&amp;"")&gt;0,"OK","CHECK"))</f>
        <v/>
      </c>
      <c r="D113" s="10">
        <f>IF(B113="","",IFERROR(INDEX(tbl_Finance[Client],MATCH(B113&amp;"",tbl_Finance[Job Number],0)),""))</f>
        <v/>
      </c>
      <c r="E113" s="37" t="n"/>
      <c r="F113" s="37" t="n"/>
      <c r="G113" s="37" t="n"/>
      <c r="H113" s="37" t="n"/>
      <c r="I113" s="37" t="n"/>
      <c r="J113" s="39" t="n"/>
      <c r="K113" s="37" t="n"/>
      <c r="L113" s="10">
        <f>IF(N(J113)=0,"",IF(J113&gt;0,set_WIPAsset,IF(I113="Cost",IF(K113="","(set the P&amp;L Account)",K113),IF(K113="",set_WIPIncome,K113))))</f>
        <v/>
      </c>
      <c r="M113" s="10">
        <f>IF(N(J113)=0,"",IF(J113&gt;0,IF(I113="Cost",IF(K113="","(set the P&amp;L Account)",K113),IF(K113="",set_WIPIncome,K113)),set_WIPAsset))</f>
        <v/>
      </c>
      <c r="N113" s="11">
        <f>IF(N(J113)=0,"",ABS(J113))</f>
        <v/>
      </c>
      <c r="O113" s="10">
        <f>IF(N(J113)=0,"","WIP "&amp;H113&amp;IF(B113="",""," - "&amp;B113)&amp;IF(D113="",""," - "&amp;D113)&amp;IF(A113="",""," - "&amp;TEXT(A113,"mmm yyyy")))</f>
        <v/>
      </c>
      <c r="P113" s="37" t="n"/>
      <c r="Q113" s="37" t="n"/>
      <c r="R113" s="37" t="n"/>
    </row>
    <row r="114">
      <c r="A114" s="44" t="n"/>
      <c r="B114" s="37" t="n"/>
      <c r="C114" s="10">
        <f>IF(B114="","",IF(COUNTIF(lst_Jobs,B114&amp;"")&gt;0,"OK","CHECK"))</f>
        <v/>
      </c>
      <c r="D114" s="10">
        <f>IF(B114="","",IFERROR(INDEX(tbl_Finance[Client],MATCH(B114&amp;"",tbl_Finance[Job Number],0)),""))</f>
        <v/>
      </c>
      <c r="E114" s="37" t="n"/>
      <c r="F114" s="37" t="n"/>
      <c r="G114" s="37" t="n"/>
      <c r="H114" s="37" t="n"/>
      <c r="I114" s="37" t="n"/>
      <c r="J114" s="39" t="n"/>
      <c r="K114" s="37" t="n"/>
      <c r="L114" s="10">
        <f>IF(N(J114)=0,"",IF(J114&gt;0,set_WIPAsset,IF(I114="Cost",IF(K114="","(set the P&amp;L Account)",K114),IF(K114="",set_WIPIncome,K114))))</f>
        <v/>
      </c>
      <c r="M114" s="10">
        <f>IF(N(J114)=0,"",IF(J114&gt;0,IF(I114="Cost",IF(K114="","(set the P&amp;L Account)",K114),IF(K114="",set_WIPIncome,K114)),set_WIPAsset))</f>
        <v/>
      </c>
      <c r="N114" s="11">
        <f>IF(N(J114)=0,"",ABS(J114))</f>
        <v/>
      </c>
      <c r="O114" s="10">
        <f>IF(N(J114)=0,"","WIP "&amp;H114&amp;IF(B114="",""," - "&amp;B114)&amp;IF(D114="",""," - "&amp;D114)&amp;IF(A114="",""," - "&amp;TEXT(A114,"mmm yyyy")))</f>
        <v/>
      </c>
      <c r="P114" s="37" t="n"/>
      <c r="Q114" s="37" t="n"/>
      <c r="R114" s="37" t="n"/>
    </row>
    <row r="115">
      <c r="A115" s="44" t="n"/>
      <c r="B115" s="37" t="n"/>
      <c r="C115" s="10">
        <f>IF(B115="","",IF(COUNTIF(lst_Jobs,B115&amp;"")&gt;0,"OK","CHECK"))</f>
        <v/>
      </c>
      <c r="D115" s="10">
        <f>IF(B115="","",IFERROR(INDEX(tbl_Finance[Client],MATCH(B115&amp;"",tbl_Finance[Job Number],0)),""))</f>
        <v/>
      </c>
      <c r="E115" s="37" t="n"/>
      <c r="F115" s="37" t="n"/>
      <c r="G115" s="37" t="n"/>
      <c r="H115" s="37" t="n"/>
      <c r="I115" s="37" t="n"/>
      <c r="J115" s="39" t="n"/>
      <c r="K115" s="37" t="n"/>
      <c r="L115" s="10">
        <f>IF(N(J115)=0,"",IF(J115&gt;0,set_WIPAsset,IF(I115="Cost",IF(K115="","(set the P&amp;L Account)",K115),IF(K115="",set_WIPIncome,K115))))</f>
        <v/>
      </c>
      <c r="M115" s="10">
        <f>IF(N(J115)=0,"",IF(J115&gt;0,IF(I115="Cost",IF(K115="","(set the P&amp;L Account)",K115),IF(K115="",set_WIPIncome,K115)),set_WIPAsset))</f>
        <v/>
      </c>
      <c r="N115" s="11">
        <f>IF(N(J115)=0,"",ABS(J115))</f>
        <v/>
      </c>
      <c r="O115" s="10">
        <f>IF(N(J115)=0,"","WIP "&amp;H115&amp;IF(B115="",""," - "&amp;B115)&amp;IF(D115="",""," - "&amp;D115)&amp;IF(A115="",""," - "&amp;TEXT(A115,"mmm yyyy")))</f>
        <v/>
      </c>
      <c r="P115" s="37" t="n"/>
      <c r="Q115" s="37" t="n"/>
      <c r="R115" s="37" t="n"/>
    </row>
    <row r="116">
      <c r="A116" s="44" t="n"/>
      <c r="B116" s="37" t="n"/>
      <c r="C116" s="10">
        <f>IF(B116="","",IF(COUNTIF(lst_Jobs,B116&amp;"")&gt;0,"OK","CHECK"))</f>
        <v/>
      </c>
      <c r="D116" s="10">
        <f>IF(B116="","",IFERROR(INDEX(tbl_Finance[Client],MATCH(B116&amp;"",tbl_Finance[Job Number],0)),""))</f>
        <v/>
      </c>
      <c r="E116" s="37" t="n"/>
      <c r="F116" s="37" t="n"/>
      <c r="G116" s="37" t="n"/>
      <c r="H116" s="37" t="n"/>
      <c r="I116" s="37" t="n"/>
      <c r="J116" s="39" t="n"/>
      <c r="K116" s="37" t="n"/>
      <c r="L116" s="10">
        <f>IF(N(J116)=0,"",IF(J116&gt;0,set_WIPAsset,IF(I116="Cost",IF(K116="","(set the P&amp;L Account)",K116),IF(K116="",set_WIPIncome,K116))))</f>
        <v/>
      </c>
      <c r="M116" s="10">
        <f>IF(N(J116)=0,"",IF(J116&gt;0,IF(I116="Cost",IF(K116="","(set the P&amp;L Account)",K116),IF(K116="",set_WIPIncome,K116)),set_WIPAsset))</f>
        <v/>
      </c>
      <c r="N116" s="11">
        <f>IF(N(J116)=0,"",ABS(J116))</f>
        <v/>
      </c>
      <c r="O116" s="10">
        <f>IF(N(J116)=0,"","WIP "&amp;H116&amp;IF(B116="",""," - "&amp;B116)&amp;IF(D116="",""," - "&amp;D116)&amp;IF(A116="",""," - "&amp;TEXT(A116,"mmm yyyy")))</f>
        <v/>
      </c>
      <c r="P116" s="37" t="n"/>
      <c r="Q116" s="37" t="n"/>
      <c r="R116" s="37" t="n"/>
    </row>
    <row r="117">
      <c r="A117" s="44" t="n"/>
      <c r="B117" s="37" t="n"/>
      <c r="C117" s="10">
        <f>IF(B117="","",IF(COUNTIF(lst_Jobs,B117&amp;"")&gt;0,"OK","CHECK"))</f>
        <v/>
      </c>
      <c r="D117" s="10">
        <f>IF(B117="","",IFERROR(INDEX(tbl_Finance[Client],MATCH(B117&amp;"",tbl_Finance[Job Number],0)),""))</f>
        <v/>
      </c>
      <c r="E117" s="37" t="n"/>
      <c r="F117" s="37" t="n"/>
      <c r="G117" s="37" t="n"/>
      <c r="H117" s="37" t="n"/>
      <c r="I117" s="37" t="n"/>
      <c r="J117" s="39" t="n"/>
      <c r="K117" s="37" t="n"/>
      <c r="L117" s="10">
        <f>IF(N(J117)=0,"",IF(J117&gt;0,set_WIPAsset,IF(I117="Cost",IF(K117="","(set the P&amp;L Account)",K117),IF(K117="",set_WIPIncome,K117))))</f>
        <v/>
      </c>
      <c r="M117" s="10">
        <f>IF(N(J117)=0,"",IF(J117&gt;0,IF(I117="Cost",IF(K117="","(set the P&amp;L Account)",K117),IF(K117="",set_WIPIncome,K117)),set_WIPAsset))</f>
        <v/>
      </c>
      <c r="N117" s="11">
        <f>IF(N(J117)=0,"",ABS(J117))</f>
        <v/>
      </c>
      <c r="O117" s="10">
        <f>IF(N(J117)=0,"","WIP "&amp;H117&amp;IF(B117="",""," - "&amp;B117)&amp;IF(D117="",""," - "&amp;D117)&amp;IF(A117="",""," - "&amp;TEXT(A117,"mmm yyyy")))</f>
        <v/>
      </c>
      <c r="P117" s="37" t="n"/>
      <c r="Q117" s="37" t="n"/>
      <c r="R117" s="37" t="n"/>
    </row>
    <row r="118">
      <c r="A118" s="44" t="n"/>
      <c r="B118" s="37" t="n"/>
      <c r="C118" s="10">
        <f>IF(B118="","",IF(COUNTIF(lst_Jobs,B118&amp;"")&gt;0,"OK","CHECK"))</f>
        <v/>
      </c>
      <c r="D118" s="10">
        <f>IF(B118="","",IFERROR(INDEX(tbl_Finance[Client],MATCH(B118&amp;"",tbl_Finance[Job Number],0)),""))</f>
        <v/>
      </c>
      <c r="E118" s="37" t="n"/>
      <c r="F118" s="37" t="n"/>
      <c r="G118" s="37" t="n"/>
      <c r="H118" s="37" t="n"/>
      <c r="I118" s="37" t="n"/>
      <c r="J118" s="39" t="n"/>
      <c r="K118" s="37" t="n"/>
      <c r="L118" s="10">
        <f>IF(N(J118)=0,"",IF(J118&gt;0,set_WIPAsset,IF(I118="Cost",IF(K118="","(set the P&amp;L Account)",K118),IF(K118="",set_WIPIncome,K118))))</f>
        <v/>
      </c>
      <c r="M118" s="10">
        <f>IF(N(J118)=0,"",IF(J118&gt;0,IF(I118="Cost",IF(K118="","(set the P&amp;L Account)",K118),IF(K118="",set_WIPIncome,K118)),set_WIPAsset))</f>
        <v/>
      </c>
      <c r="N118" s="11">
        <f>IF(N(J118)=0,"",ABS(J118))</f>
        <v/>
      </c>
      <c r="O118" s="10">
        <f>IF(N(J118)=0,"","WIP "&amp;H118&amp;IF(B118="",""," - "&amp;B118)&amp;IF(D118="",""," - "&amp;D118)&amp;IF(A118="",""," - "&amp;TEXT(A118,"mmm yyyy")))</f>
        <v/>
      </c>
      <c r="P118" s="37" t="n"/>
      <c r="Q118" s="37" t="n"/>
      <c r="R118" s="37" t="n"/>
    </row>
    <row r="119">
      <c r="A119" s="44" t="n"/>
      <c r="B119" s="37" t="n"/>
      <c r="C119" s="10">
        <f>IF(B119="","",IF(COUNTIF(lst_Jobs,B119&amp;"")&gt;0,"OK","CHECK"))</f>
        <v/>
      </c>
      <c r="D119" s="10">
        <f>IF(B119="","",IFERROR(INDEX(tbl_Finance[Client],MATCH(B119&amp;"",tbl_Finance[Job Number],0)),""))</f>
        <v/>
      </c>
      <c r="E119" s="37" t="n"/>
      <c r="F119" s="37" t="n"/>
      <c r="G119" s="37" t="n"/>
      <c r="H119" s="37" t="n"/>
      <c r="I119" s="37" t="n"/>
      <c r="J119" s="39" t="n"/>
      <c r="K119" s="37" t="n"/>
      <c r="L119" s="10">
        <f>IF(N(J119)=0,"",IF(J119&gt;0,set_WIPAsset,IF(I119="Cost",IF(K119="","(set the P&amp;L Account)",K119),IF(K119="",set_WIPIncome,K119))))</f>
        <v/>
      </c>
      <c r="M119" s="10">
        <f>IF(N(J119)=0,"",IF(J119&gt;0,IF(I119="Cost",IF(K119="","(set the P&amp;L Account)",K119),IF(K119="",set_WIPIncome,K119)),set_WIPAsset))</f>
        <v/>
      </c>
      <c r="N119" s="11">
        <f>IF(N(J119)=0,"",ABS(J119))</f>
        <v/>
      </c>
      <c r="O119" s="10">
        <f>IF(N(J119)=0,"","WIP "&amp;H119&amp;IF(B119="",""," - "&amp;B119)&amp;IF(D119="",""," - "&amp;D119)&amp;IF(A119="",""," - "&amp;TEXT(A119,"mmm yyyy")))</f>
        <v/>
      </c>
      <c r="P119" s="37" t="n"/>
      <c r="Q119" s="37" t="n"/>
      <c r="R119" s="37" t="n"/>
    </row>
    <row r="120">
      <c r="A120" s="44" t="n"/>
      <c r="B120" s="37" t="n"/>
      <c r="C120" s="10">
        <f>IF(B120="","",IF(COUNTIF(lst_Jobs,B120&amp;"")&gt;0,"OK","CHECK"))</f>
        <v/>
      </c>
      <c r="D120" s="10">
        <f>IF(B120="","",IFERROR(INDEX(tbl_Finance[Client],MATCH(B120&amp;"",tbl_Finance[Job Number],0)),""))</f>
        <v/>
      </c>
      <c r="E120" s="37" t="n"/>
      <c r="F120" s="37" t="n"/>
      <c r="G120" s="37" t="n"/>
      <c r="H120" s="37" t="n"/>
      <c r="I120" s="37" t="n"/>
      <c r="J120" s="39" t="n"/>
      <c r="K120" s="37" t="n"/>
      <c r="L120" s="10">
        <f>IF(N(J120)=0,"",IF(J120&gt;0,set_WIPAsset,IF(I120="Cost",IF(K120="","(set the P&amp;L Account)",K120),IF(K120="",set_WIPIncome,K120))))</f>
        <v/>
      </c>
      <c r="M120" s="10">
        <f>IF(N(J120)=0,"",IF(J120&gt;0,IF(I120="Cost",IF(K120="","(set the P&amp;L Account)",K120),IF(K120="",set_WIPIncome,K120)),set_WIPAsset))</f>
        <v/>
      </c>
      <c r="N120" s="11">
        <f>IF(N(J120)=0,"",ABS(J120))</f>
        <v/>
      </c>
      <c r="O120" s="10">
        <f>IF(N(J120)=0,"","WIP "&amp;H120&amp;IF(B120="",""," - "&amp;B120)&amp;IF(D120="",""," - "&amp;D120)&amp;IF(A120="",""," - "&amp;TEXT(A120,"mmm yyyy")))</f>
        <v/>
      </c>
      <c r="P120" s="37" t="n"/>
      <c r="Q120" s="37" t="n"/>
      <c r="R120" s="37" t="n"/>
    </row>
    <row r="121">
      <c r="A121" s="44" t="n"/>
      <c r="B121" s="37" t="n"/>
      <c r="C121" s="10">
        <f>IF(B121="","",IF(COUNTIF(lst_Jobs,B121&amp;"")&gt;0,"OK","CHECK"))</f>
        <v/>
      </c>
      <c r="D121" s="10">
        <f>IF(B121="","",IFERROR(INDEX(tbl_Finance[Client],MATCH(B121&amp;"",tbl_Finance[Job Number],0)),""))</f>
        <v/>
      </c>
      <c r="E121" s="37" t="n"/>
      <c r="F121" s="37" t="n"/>
      <c r="G121" s="37" t="n"/>
      <c r="H121" s="37" t="n"/>
      <c r="I121" s="37" t="n"/>
      <c r="J121" s="39" t="n"/>
      <c r="K121" s="37" t="n"/>
      <c r="L121" s="10">
        <f>IF(N(J121)=0,"",IF(J121&gt;0,set_WIPAsset,IF(I121="Cost",IF(K121="","(set the P&amp;L Account)",K121),IF(K121="",set_WIPIncome,K121))))</f>
        <v/>
      </c>
      <c r="M121" s="10">
        <f>IF(N(J121)=0,"",IF(J121&gt;0,IF(I121="Cost",IF(K121="","(set the P&amp;L Account)",K121),IF(K121="",set_WIPIncome,K121)),set_WIPAsset))</f>
        <v/>
      </c>
      <c r="N121" s="11">
        <f>IF(N(J121)=0,"",ABS(J121))</f>
        <v/>
      </c>
      <c r="O121" s="10">
        <f>IF(N(J121)=0,"","WIP "&amp;H121&amp;IF(B121="",""," - "&amp;B121)&amp;IF(D121="",""," - "&amp;D121)&amp;IF(A121="",""," - "&amp;TEXT(A121,"mmm yyyy")))</f>
        <v/>
      </c>
      <c r="P121" s="37" t="n"/>
      <c r="Q121" s="37" t="n"/>
      <c r="R121" s="37" t="n"/>
    </row>
    <row r="122">
      <c r="A122" s="44" t="n"/>
      <c r="B122" s="37" t="n"/>
      <c r="C122" s="10">
        <f>IF(B122="","",IF(COUNTIF(lst_Jobs,B122&amp;"")&gt;0,"OK","CHECK"))</f>
        <v/>
      </c>
      <c r="D122" s="10">
        <f>IF(B122="","",IFERROR(INDEX(tbl_Finance[Client],MATCH(B122&amp;"",tbl_Finance[Job Number],0)),""))</f>
        <v/>
      </c>
      <c r="E122" s="37" t="n"/>
      <c r="F122" s="37" t="n"/>
      <c r="G122" s="37" t="n"/>
      <c r="H122" s="37" t="n"/>
      <c r="I122" s="37" t="n"/>
      <c r="J122" s="39" t="n"/>
      <c r="K122" s="37" t="n"/>
      <c r="L122" s="10">
        <f>IF(N(J122)=0,"",IF(J122&gt;0,set_WIPAsset,IF(I122="Cost",IF(K122="","(set the P&amp;L Account)",K122),IF(K122="",set_WIPIncome,K122))))</f>
        <v/>
      </c>
      <c r="M122" s="10">
        <f>IF(N(J122)=0,"",IF(J122&gt;0,IF(I122="Cost",IF(K122="","(set the P&amp;L Account)",K122),IF(K122="",set_WIPIncome,K122)),set_WIPAsset))</f>
        <v/>
      </c>
      <c r="N122" s="11">
        <f>IF(N(J122)=0,"",ABS(J122))</f>
        <v/>
      </c>
      <c r="O122" s="10">
        <f>IF(N(J122)=0,"","WIP "&amp;H122&amp;IF(B122="",""," - "&amp;B122)&amp;IF(D122="",""," - "&amp;D122)&amp;IF(A122="",""," - "&amp;TEXT(A122,"mmm yyyy")))</f>
        <v/>
      </c>
      <c r="P122" s="37" t="n"/>
      <c r="Q122" s="37" t="n"/>
      <c r="R122" s="37" t="n"/>
    </row>
    <row r="123">
      <c r="A123" s="44" t="n"/>
      <c r="B123" s="37" t="n"/>
      <c r="C123" s="10">
        <f>IF(B123="","",IF(COUNTIF(lst_Jobs,B123&amp;"")&gt;0,"OK","CHECK"))</f>
        <v/>
      </c>
      <c r="D123" s="10">
        <f>IF(B123="","",IFERROR(INDEX(tbl_Finance[Client],MATCH(B123&amp;"",tbl_Finance[Job Number],0)),""))</f>
        <v/>
      </c>
      <c r="E123" s="37" t="n"/>
      <c r="F123" s="37" t="n"/>
      <c r="G123" s="37" t="n"/>
      <c r="H123" s="37" t="n"/>
      <c r="I123" s="37" t="n"/>
      <c r="J123" s="39" t="n"/>
      <c r="K123" s="37" t="n"/>
      <c r="L123" s="10">
        <f>IF(N(J123)=0,"",IF(J123&gt;0,set_WIPAsset,IF(I123="Cost",IF(K123="","(set the P&amp;L Account)",K123),IF(K123="",set_WIPIncome,K123))))</f>
        <v/>
      </c>
      <c r="M123" s="10">
        <f>IF(N(J123)=0,"",IF(J123&gt;0,IF(I123="Cost",IF(K123="","(set the P&amp;L Account)",K123),IF(K123="",set_WIPIncome,K123)),set_WIPAsset))</f>
        <v/>
      </c>
      <c r="N123" s="11">
        <f>IF(N(J123)=0,"",ABS(J123))</f>
        <v/>
      </c>
      <c r="O123" s="10">
        <f>IF(N(J123)=0,"","WIP "&amp;H123&amp;IF(B123="",""," - "&amp;B123)&amp;IF(D123="",""," - "&amp;D123)&amp;IF(A123="",""," - "&amp;TEXT(A123,"mmm yyyy")))</f>
        <v/>
      </c>
      <c r="P123" s="37" t="n"/>
      <c r="Q123" s="37" t="n"/>
      <c r="R123" s="37" t="n"/>
    </row>
    <row r="124">
      <c r="A124" s="44" t="n"/>
      <c r="B124" s="37" t="n"/>
      <c r="C124" s="10">
        <f>IF(B124="","",IF(COUNTIF(lst_Jobs,B124&amp;"")&gt;0,"OK","CHECK"))</f>
        <v/>
      </c>
      <c r="D124" s="10">
        <f>IF(B124="","",IFERROR(INDEX(tbl_Finance[Client],MATCH(B124&amp;"",tbl_Finance[Job Number],0)),""))</f>
        <v/>
      </c>
      <c r="E124" s="37" t="n"/>
      <c r="F124" s="37" t="n"/>
      <c r="G124" s="37" t="n"/>
      <c r="H124" s="37" t="n"/>
      <c r="I124" s="37" t="n"/>
      <c r="J124" s="39" t="n"/>
      <c r="K124" s="37" t="n"/>
      <c r="L124" s="10">
        <f>IF(N(J124)=0,"",IF(J124&gt;0,set_WIPAsset,IF(I124="Cost",IF(K124="","(set the P&amp;L Account)",K124),IF(K124="",set_WIPIncome,K124))))</f>
        <v/>
      </c>
      <c r="M124" s="10">
        <f>IF(N(J124)=0,"",IF(J124&gt;0,IF(I124="Cost",IF(K124="","(set the P&amp;L Account)",K124),IF(K124="",set_WIPIncome,K124)),set_WIPAsset))</f>
        <v/>
      </c>
      <c r="N124" s="11">
        <f>IF(N(J124)=0,"",ABS(J124))</f>
        <v/>
      </c>
      <c r="O124" s="10">
        <f>IF(N(J124)=0,"","WIP "&amp;H124&amp;IF(B124="",""," - "&amp;B124)&amp;IF(D124="",""," - "&amp;D124)&amp;IF(A124="",""," - "&amp;TEXT(A124,"mmm yyyy")))</f>
        <v/>
      </c>
      <c r="P124" s="37" t="n"/>
      <c r="Q124" s="37" t="n"/>
      <c r="R124" s="37" t="n"/>
    </row>
    <row r="125">
      <c r="A125" s="44" t="n"/>
      <c r="B125" s="37" t="n"/>
      <c r="C125" s="10">
        <f>IF(B125="","",IF(COUNTIF(lst_Jobs,B125&amp;"")&gt;0,"OK","CHECK"))</f>
        <v/>
      </c>
      <c r="D125" s="10">
        <f>IF(B125="","",IFERROR(INDEX(tbl_Finance[Client],MATCH(B125&amp;"",tbl_Finance[Job Number],0)),""))</f>
        <v/>
      </c>
      <c r="E125" s="37" t="n"/>
      <c r="F125" s="37" t="n"/>
      <c r="G125" s="37" t="n"/>
      <c r="H125" s="37" t="n"/>
      <c r="I125" s="37" t="n"/>
      <c r="J125" s="39" t="n"/>
      <c r="K125" s="37" t="n"/>
      <c r="L125" s="10">
        <f>IF(N(J125)=0,"",IF(J125&gt;0,set_WIPAsset,IF(I125="Cost",IF(K125="","(set the P&amp;L Account)",K125),IF(K125="",set_WIPIncome,K125))))</f>
        <v/>
      </c>
      <c r="M125" s="10">
        <f>IF(N(J125)=0,"",IF(J125&gt;0,IF(I125="Cost",IF(K125="","(set the P&amp;L Account)",K125),IF(K125="",set_WIPIncome,K125)),set_WIPAsset))</f>
        <v/>
      </c>
      <c r="N125" s="11">
        <f>IF(N(J125)=0,"",ABS(J125))</f>
        <v/>
      </c>
      <c r="O125" s="10">
        <f>IF(N(J125)=0,"","WIP "&amp;H125&amp;IF(B125="",""," - "&amp;B125)&amp;IF(D125="",""," - "&amp;D125)&amp;IF(A125="",""," - "&amp;TEXT(A125,"mmm yyyy")))</f>
        <v/>
      </c>
      <c r="P125" s="37" t="n"/>
      <c r="Q125" s="37" t="n"/>
      <c r="R125" s="37" t="n"/>
    </row>
    <row r="126">
      <c r="A126" s="44" t="n"/>
      <c r="B126" s="37" t="n"/>
      <c r="C126" s="10">
        <f>IF(B126="","",IF(COUNTIF(lst_Jobs,B126&amp;"")&gt;0,"OK","CHECK"))</f>
        <v/>
      </c>
      <c r="D126" s="10">
        <f>IF(B126="","",IFERROR(INDEX(tbl_Finance[Client],MATCH(B126&amp;"",tbl_Finance[Job Number],0)),""))</f>
        <v/>
      </c>
      <c r="E126" s="37" t="n"/>
      <c r="F126" s="37" t="n"/>
      <c r="G126" s="37" t="n"/>
      <c r="H126" s="37" t="n"/>
      <c r="I126" s="37" t="n"/>
      <c r="J126" s="39" t="n"/>
      <c r="K126" s="37" t="n"/>
      <c r="L126" s="10">
        <f>IF(N(J126)=0,"",IF(J126&gt;0,set_WIPAsset,IF(I126="Cost",IF(K126="","(set the P&amp;L Account)",K126),IF(K126="",set_WIPIncome,K126))))</f>
        <v/>
      </c>
      <c r="M126" s="10">
        <f>IF(N(J126)=0,"",IF(J126&gt;0,IF(I126="Cost",IF(K126="","(set the P&amp;L Account)",K126),IF(K126="",set_WIPIncome,K126)),set_WIPAsset))</f>
        <v/>
      </c>
      <c r="N126" s="11">
        <f>IF(N(J126)=0,"",ABS(J126))</f>
        <v/>
      </c>
      <c r="O126" s="10">
        <f>IF(N(J126)=0,"","WIP "&amp;H126&amp;IF(B126="",""," - "&amp;B126)&amp;IF(D126="",""," - "&amp;D126)&amp;IF(A126="",""," - "&amp;TEXT(A126,"mmm yyyy")))</f>
        <v/>
      </c>
      <c r="P126" s="37" t="n"/>
      <c r="Q126" s="37" t="n"/>
      <c r="R126" s="37" t="n"/>
    </row>
    <row r="127">
      <c r="A127" s="44" t="n"/>
      <c r="B127" s="37" t="n"/>
      <c r="C127" s="10">
        <f>IF(B127="","",IF(COUNTIF(lst_Jobs,B127&amp;"")&gt;0,"OK","CHECK"))</f>
        <v/>
      </c>
      <c r="D127" s="10">
        <f>IF(B127="","",IFERROR(INDEX(tbl_Finance[Client],MATCH(B127&amp;"",tbl_Finance[Job Number],0)),""))</f>
        <v/>
      </c>
      <c r="E127" s="37" t="n"/>
      <c r="F127" s="37" t="n"/>
      <c r="G127" s="37" t="n"/>
      <c r="H127" s="37" t="n"/>
      <c r="I127" s="37" t="n"/>
      <c r="J127" s="39" t="n"/>
      <c r="K127" s="37" t="n"/>
      <c r="L127" s="10">
        <f>IF(N(J127)=0,"",IF(J127&gt;0,set_WIPAsset,IF(I127="Cost",IF(K127="","(set the P&amp;L Account)",K127),IF(K127="",set_WIPIncome,K127))))</f>
        <v/>
      </c>
      <c r="M127" s="10">
        <f>IF(N(J127)=0,"",IF(J127&gt;0,IF(I127="Cost",IF(K127="","(set the P&amp;L Account)",K127),IF(K127="",set_WIPIncome,K127)),set_WIPAsset))</f>
        <v/>
      </c>
      <c r="N127" s="11">
        <f>IF(N(J127)=0,"",ABS(J127))</f>
        <v/>
      </c>
      <c r="O127" s="10">
        <f>IF(N(J127)=0,"","WIP "&amp;H127&amp;IF(B127="",""," - "&amp;B127)&amp;IF(D127="",""," - "&amp;D127)&amp;IF(A127="",""," - "&amp;TEXT(A127,"mmm yyyy")))</f>
        <v/>
      </c>
      <c r="P127" s="37" t="n"/>
      <c r="Q127" s="37" t="n"/>
      <c r="R127" s="37" t="n"/>
    </row>
    <row r="128">
      <c r="A128" s="44" t="n"/>
      <c r="B128" s="37" t="n"/>
      <c r="C128" s="10">
        <f>IF(B128="","",IF(COUNTIF(lst_Jobs,B128&amp;"")&gt;0,"OK","CHECK"))</f>
        <v/>
      </c>
      <c r="D128" s="10">
        <f>IF(B128="","",IFERROR(INDEX(tbl_Finance[Client],MATCH(B128&amp;"",tbl_Finance[Job Number],0)),""))</f>
        <v/>
      </c>
      <c r="E128" s="37" t="n"/>
      <c r="F128" s="37" t="n"/>
      <c r="G128" s="37" t="n"/>
      <c r="H128" s="37" t="n"/>
      <c r="I128" s="37" t="n"/>
      <c r="J128" s="39" t="n"/>
      <c r="K128" s="37" t="n"/>
      <c r="L128" s="10">
        <f>IF(N(J128)=0,"",IF(J128&gt;0,set_WIPAsset,IF(I128="Cost",IF(K128="","(set the P&amp;L Account)",K128),IF(K128="",set_WIPIncome,K128))))</f>
        <v/>
      </c>
      <c r="M128" s="10">
        <f>IF(N(J128)=0,"",IF(J128&gt;0,IF(I128="Cost",IF(K128="","(set the P&amp;L Account)",K128),IF(K128="",set_WIPIncome,K128)),set_WIPAsset))</f>
        <v/>
      </c>
      <c r="N128" s="11">
        <f>IF(N(J128)=0,"",ABS(J128))</f>
        <v/>
      </c>
      <c r="O128" s="10">
        <f>IF(N(J128)=0,"","WIP "&amp;H128&amp;IF(B128="",""," - "&amp;B128)&amp;IF(D128="",""," - "&amp;D128)&amp;IF(A128="",""," - "&amp;TEXT(A128,"mmm yyyy")))</f>
        <v/>
      </c>
      <c r="P128" s="37" t="n"/>
      <c r="Q128" s="37" t="n"/>
      <c r="R128" s="37" t="n"/>
    </row>
    <row r="129">
      <c r="A129" s="44" t="n"/>
      <c r="B129" s="37" t="n"/>
      <c r="C129" s="10">
        <f>IF(B129="","",IF(COUNTIF(lst_Jobs,B129&amp;"")&gt;0,"OK","CHECK"))</f>
        <v/>
      </c>
      <c r="D129" s="10">
        <f>IF(B129="","",IFERROR(INDEX(tbl_Finance[Client],MATCH(B129&amp;"",tbl_Finance[Job Number],0)),""))</f>
        <v/>
      </c>
      <c r="E129" s="37" t="n"/>
      <c r="F129" s="37" t="n"/>
      <c r="G129" s="37" t="n"/>
      <c r="H129" s="37" t="n"/>
      <c r="I129" s="37" t="n"/>
      <c r="J129" s="39" t="n"/>
      <c r="K129" s="37" t="n"/>
      <c r="L129" s="10">
        <f>IF(N(J129)=0,"",IF(J129&gt;0,set_WIPAsset,IF(I129="Cost",IF(K129="","(set the P&amp;L Account)",K129),IF(K129="",set_WIPIncome,K129))))</f>
        <v/>
      </c>
      <c r="M129" s="10">
        <f>IF(N(J129)=0,"",IF(J129&gt;0,IF(I129="Cost",IF(K129="","(set the P&amp;L Account)",K129),IF(K129="",set_WIPIncome,K129)),set_WIPAsset))</f>
        <v/>
      </c>
      <c r="N129" s="11">
        <f>IF(N(J129)=0,"",ABS(J129))</f>
        <v/>
      </c>
      <c r="O129" s="10">
        <f>IF(N(J129)=0,"","WIP "&amp;H129&amp;IF(B129="",""," - "&amp;B129)&amp;IF(D129="",""," - "&amp;D129)&amp;IF(A129="",""," - "&amp;TEXT(A129,"mmm yyyy")))</f>
        <v/>
      </c>
      <c r="P129" s="37" t="n"/>
      <c r="Q129" s="37" t="n"/>
      <c r="R129" s="37" t="n"/>
    </row>
    <row r="130">
      <c r="A130" s="44" t="n"/>
      <c r="B130" s="37" t="n"/>
      <c r="C130" s="10">
        <f>IF(B130="","",IF(COUNTIF(lst_Jobs,B130&amp;"")&gt;0,"OK","CHECK"))</f>
        <v/>
      </c>
      <c r="D130" s="10">
        <f>IF(B130="","",IFERROR(INDEX(tbl_Finance[Client],MATCH(B130&amp;"",tbl_Finance[Job Number],0)),""))</f>
        <v/>
      </c>
      <c r="E130" s="37" t="n"/>
      <c r="F130" s="37" t="n"/>
      <c r="G130" s="37" t="n"/>
      <c r="H130" s="37" t="n"/>
      <c r="I130" s="37" t="n"/>
      <c r="J130" s="39" t="n"/>
      <c r="K130" s="37" t="n"/>
      <c r="L130" s="10">
        <f>IF(N(J130)=0,"",IF(J130&gt;0,set_WIPAsset,IF(I130="Cost",IF(K130="","(set the P&amp;L Account)",K130),IF(K130="",set_WIPIncome,K130))))</f>
        <v/>
      </c>
      <c r="M130" s="10">
        <f>IF(N(J130)=0,"",IF(J130&gt;0,IF(I130="Cost",IF(K130="","(set the P&amp;L Account)",K130),IF(K130="",set_WIPIncome,K130)),set_WIPAsset))</f>
        <v/>
      </c>
      <c r="N130" s="11">
        <f>IF(N(J130)=0,"",ABS(J130))</f>
        <v/>
      </c>
      <c r="O130" s="10">
        <f>IF(N(J130)=0,"","WIP "&amp;H130&amp;IF(B130="",""," - "&amp;B130)&amp;IF(D130="",""," - "&amp;D130)&amp;IF(A130="",""," - "&amp;TEXT(A130,"mmm yyyy")))</f>
        <v/>
      </c>
      <c r="P130" s="37" t="n"/>
      <c r="Q130" s="37" t="n"/>
      <c r="R130" s="37" t="n"/>
    </row>
    <row r="131">
      <c r="A131" s="44" t="n"/>
      <c r="B131" s="37" t="n"/>
      <c r="C131" s="10">
        <f>IF(B131="","",IF(COUNTIF(lst_Jobs,B131&amp;"")&gt;0,"OK","CHECK"))</f>
        <v/>
      </c>
      <c r="D131" s="10">
        <f>IF(B131="","",IFERROR(INDEX(tbl_Finance[Client],MATCH(B131&amp;"",tbl_Finance[Job Number],0)),""))</f>
        <v/>
      </c>
      <c r="E131" s="37" t="n"/>
      <c r="F131" s="37" t="n"/>
      <c r="G131" s="37" t="n"/>
      <c r="H131" s="37" t="n"/>
      <c r="I131" s="37" t="n"/>
      <c r="J131" s="39" t="n"/>
      <c r="K131" s="37" t="n"/>
      <c r="L131" s="10">
        <f>IF(N(J131)=0,"",IF(J131&gt;0,set_WIPAsset,IF(I131="Cost",IF(K131="","(set the P&amp;L Account)",K131),IF(K131="",set_WIPIncome,K131))))</f>
        <v/>
      </c>
      <c r="M131" s="10">
        <f>IF(N(J131)=0,"",IF(J131&gt;0,IF(I131="Cost",IF(K131="","(set the P&amp;L Account)",K131),IF(K131="",set_WIPIncome,K131)),set_WIPAsset))</f>
        <v/>
      </c>
      <c r="N131" s="11">
        <f>IF(N(J131)=0,"",ABS(J131))</f>
        <v/>
      </c>
      <c r="O131" s="10">
        <f>IF(N(J131)=0,"","WIP "&amp;H131&amp;IF(B131="",""," - "&amp;B131)&amp;IF(D131="",""," - "&amp;D131)&amp;IF(A131="",""," - "&amp;TEXT(A131,"mmm yyyy")))</f>
        <v/>
      </c>
      <c r="P131" s="37" t="n"/>
      <c r="Q131" s="37" t="n"/>
      <c r="R131" s="37" t="n"/>
    </row>
    <row r="132">
      <c r="A132" s="44" t="n"/>
      <c r="B132" s="37" t="n"/>
      <c r="C132" s="10">
        <f>IF(B132="","",IF(COUNTIF(lst_Jobs,B132&amp;"")&gt;0,"OK","CHECK"))</f>
        <v/>
      </c>
      <c r="D132" s="10">
        <f>IF(B132="","",IFERROR(INDEX(tbl_Finance[Client],MATCH(B132&amp;"",tbl_Finance[Job Number],0)),""))</f>
        <v/>
      </c>
      <c r="E132" s="37" t="n"/>
      <c r="F132" s="37" t="n"/>
      <c r="G132" s="37" t="n"/>
      <c r="H132" s="37" t="n"/>
      <c r="I132" s="37" t="n"/>
      <c r="J132" s="39" t="n"/>
      <c r="K132" s="37" t="n"/>
      <c r="L132" s="10">
        <f>IF(N(J132)=0,"",IF(J132&gt;0,set_WIPAsset,IF(I132="Cost",IF(K132="","(set the P&amp;L Account)",K132),IF(K132="",set_WIPIncome,K132))))</f>
        <v/>
      </c>
      <c r="M132" s="10">
        <f>IF(N(J132)=0,"",IF(J132&gt;0,IF(I132="Cost",IF(K132="","(set the P&amp;L Account)",K132),IF(K132="",set_WIPIncome,K132)),set_WIPAsset))</f>
        <v/>
      </c>
      <c r="N132" s="11">
        <f>IF(N(J132)=0,"",ABS(J132))</f>
        <v/>
      </c>
      <c r="O132" s="10">
        <f>IF(N(J132)=0,"","WIP "&amp;H132&amp;IF(B132="",""," - "&amp;B132)&amp;IF(D132="",""," - "&amp;D132)&amp;IF(A132="",""," - "&amp;TEXT(A132,"mmm yyyy")))</f>
        <v/>
      </c>
      <c r="P132" s="37" t="n"/>
      <c r="Q132" s="37" t="n"/>
      <c r="R132" s="37" t="n"/>
    </row>
    <row r="133">
      <c r="A133" s="44" t="n"/>
      <c r="B133" s="37" t="n"/>
      <c r="C133" s="10">
        <f>IF(B133="","",IF(COUNTIF(lst_Jobs,B133&amp;"")&gt;0,"OK","CHECK"))</f>
        <v/>
      </c>
      <c r="D133" s="10">
        <f>IF(B133="","",IFERROR(INDEX(tbl_Finance[Client],MATCH(B133&amp;"",tbl_Finance[Job Number],0)),""))</f>
        <v/>
      </c>
      <c r="E133" s="37" t="n"/>
      <c r="F133" s="37" t="n"/>
      <c r="G133" s="37" t="n"/>
      <c r="H133" s="37" t="n"/>
      <c r="I133" s="37" t="n"/>
      <c r="J133" s="39" t="n"/>
      <c r="K133" s="37" t="n"/>
      <c r="L133" s="10">
        <f>IF(N(J133)=0,"",IF(J133&gt;0,set_WIPAsset,IF(I133="Cost",IF(K133="","(set the P&amp;L Account)",K133),IF(K133="",set_WIPIncome,K133))))</f>
        <v/>
      </c>
      <c r="M133" s="10">
        <f>IF(N(J133)=0,"",IF(J133&gt;0,IF(I133="Cost",IF(K133="","(set the P&amp;L Account)",K133),IF(K133="",set_WIPIncome,K133)),set_WIPAsset))</f>
        <v/>
      </c>
      <c r="N133" s="11">
        <f>IF(N(J133)=0,"",ABS(J133))</f>
        <v/>
      </c>
      <c r="O133" s="10">
        <f>IF(N(J133)=0,"","WIP "&amp;H133&amp;IF(B133="",""," - "&amp;B133)&amp;IF(D133="",""," - "&amp;D133)&amp;IF(A133="",""," - "&amp;TEXT(A133,"mmm yyyy")))</f>
        <v/>
      </c>
      <c r="P133" s="37" t="n"/>
      <c r="Q133" s="37" t="n"/>
      <c r="R133" s="37" t="n"/>
    </row>
    <row r="134">
      <c r="A134" s="44" t="n"/>
      <c r="B134" s="37" t="n"/>
      <c r="C134" s="10">
        <f>IF(B134="","",IF(COUNTIF(lst_Jobs,B134&amp;"")&gt;0,"OK","CHECK"))</f>
        <v/>
      </c>
      <c r="D134" s="10">
        <f>IF(B134="","",IFERROR(INDEX(tbl_Finance[Client],MATCH(B134&amp;"",tbl_Finance[Job Number],0)),""))</f>
        <v/>
      </c>
      <c r="E134" s="37" t="n"/>
      <c r="F134" s="37" t="n"/>
      <c r="G134" s="37" t="n"/>
      <c r="H134" s="37" t="n"/>
      <c r="I134" s="37" t="n"/>
      <c r="J134" s="39" t="n"/>
      <c r="K134" s="37" t="n"/>
      <c r="L134" s="10">
        <f>IF(N(J134)=0,"",IF(J134&gt;0,set_WIPAsset,IF(I134="Cost",IF(K134="","(set the P&amp;L Account)",K134),IF(K134="",set_WIPIncome,K134))))</f>
        <v/>
      </c>
      <c r="M134" s="10">
        <f>IF(N(J134)=0,"",IF(J134&gt;0,IF(I134="Cost",IF(K134="","(set the P&amp;L Account)",K134),IF(K134="",set_WIPIncome,K134)),set_WIPAsset))</f>
        <v/>
      </c>
      <c r="N134" s="11">
        <f>IF(N(J134)=0,"",ABS(J134))</f>
        <v/>
      </c>
      <c r="O134" s="10">
        <f>IF(N(J134)=0,"","WIP "&amp;H134&amp;IF(B134="",""," - "&amp;B134)&amp;IF(D134="",""," - "&amp;D134)&amp;IF(A134="",""," - "&amp;TEXT(A134,"mmm yyyy")))</f>
        <v/>
      </c>
      <c r="P134" s="37" t="n"/>
      <c r="Q134" s="37" t="n"/>
      <c r="R134" s="37" t="n"/>
    </row>
    <row r="135">
      <c r="A135" s="44" t="n"/>
      <c r="B135" s="37" t="n"/>
      <c r="C135" s="10">
        <f>IF(B135="","",IF(COUNTIF(lst_Jobs,B135&amp;"")&gt;0,"OK","CHECK"))</f>
        <v/>
      </c>
      <c r="D135" s="10">
        <f>IF(B135="","",IFERROR(INDEX(tbl_Finance[Client],MATCH(B135&amp;"",tbl_Finance[Job Number],0)),""))</f>
        <v/>
      </c>
      <c r="E135" s="37" t="n"/>
      <c r="F135" s="37" t="n"/>
      <c r="G135" s="37" t="n"/>
      <c r="H135" s="37" t="n"/>
      <c r="I135" s="37" t="n"/>
      <c r="J135" s="39" t="n"/>
      <c r="K135" s="37" t="n"/>
      <c r="L135" s="10">
        <f>IF(N(J135)=0,"",IF(J135&gt;0,set_WIPAsset,IF(I135="Cost",IF(K135="","(set the P&amp;L Account)",K135),IF(K135="",set_WIPIncome,K135))))</f>
        <v/>
      </c>
      <c r="M135" s="10">
        <f>IF(N(J135)=0,"",IF(J135&gt;0,IF(I135="Cost",IF(K135="","(set the P&amp;L Account)",K135),IF(K135="",set_WIPIncome,K135)),set_WIPAsset))</f>
        <v/>
      </c>
      <c r="N135" s="11">
        <f>IF(N(J135)=0,"",ABS(J135))</f>
        <v/>
      </c>
      <c r="O135" s="10">
        <f>IF(N(J135)=0,"","WIP "&amp;H135&amp;IF(B135="",""," - "&amp;B135)&amp;IF(D135="",""," - "&amp;D135)&amp;IF(A135="",""," - "&amp;TEXT(A135,"mmm yyyy")))</f>
        <v/>
      </c>
      <c r="P135" s="37" t="n"/>
      <c r="Q135" s="37" t="n"/>
      <c r="R135" s="37" t="n"/>
    </row>
    <row r="136">
      <c r="A136" s="44" t="n"/>
      <c r="B136" s="37" t="n"/>
      <c r="C136" s="10">
        <f>IF(B136="","",IF(COUNTIF(lst_Jobs,B136&amp;"")&gt;0,"OK","CHECK"))</f>
        <v/>
      </c>
      <c r="D136" s="10">
        <f>IF(B136="","",IFERROR(INDEX(tbl_Finance[Client],MATCH(B136&amp;"",tbl_Finance[Job Number],0)),""))</f>
        <v/>
      </c>
      <c r="E136" s="37" t="n"/>
      <c r="F136" s="37" t="n"/>
      <c r="G136" s="37" t="n"/>
      <c r="H136" s="37" t="n"/>
      <c r="I136" s="37" t="n"/>
      <c r="J136" s="39" t="n"/>
      <c r="K136" s="37" t="n"/>
      <c r="L136" s="10">
        <f>IF(N(J136)=0,"",IF(J136&gt;0,set_WIPAsset,IF(I136="Cost",IF(K136="","(set the P&amp;L Account)",K136),IF(K136="",set_WIPIncome,K136))))</f>
        <v/>
      </c>
      <c r="M136" s="10">
        <f>IF(N(J136)=0,"",IF(J136&gt;0,IF(I136="Cost",IF(K136="","(set the P&amp;L Account)",K136),IF(K136="",set_WIPIncome,K136)),set_WIPAsset))</f>
        <v/>
      </c>
      <c r="N136" s="11">
        <f>IF(N(J136)=0,"",ABS(J136))</f>
        <v/>
      </c>
      <c r="O136" s="10">
        <f>IF(N(J136)=0,"","WIP "&amp;H136&amp;IF(B136="",""," - "&amp;B136)&amp;IF(D136="",""," - "&amp;D136)&amp;IF(A136="",""," - "&amp;TEXT(A136,"mmm yyyy")))</f>
        <v/>
      </c>
      <c r="P136" s="37" t="n"/>
      <c r="Q136" s="37" t="n"/>
      <c r="R136" s="37" t="n"/>
    </row>
    <row r="137">
      <c r="A137" s="44" t="n"/>
      <c r="B137" s="37" t="n"/>
      <c r="C137" s="10">
        <f>IF(B137="","",IF(COUNTIF(lst_Jobs,B137&amp;"")&gt;0,"OK","CHECK"))</f>
        <v/>
      </c>
      <c r="D137" s="10">
        <f>IF(B137="","",IFERROR(INDEX(tbl_Finance[Client],MATCH(B137&amp;"",tbl_Finance[Job Number],0)),""))</f>
        <v/>
      </c>
      <c r="E137" s="37" t="n"/>
      <c r="F137" s="37" t="n"/>
      <c r="G137" s="37" t="n"/>
      <c r="H137" s="37" t="n"/>
      <c r="I137" s="37" t="n"/>
      <c r="J137" s="39" t="n"/>
      <c r="K137" s="37" t="n"/>
      <c r="L137" s="10">
        <f>IF(N(J137)=0,"",IF(J137&gt;0,set_WIPAsset,IF(I137="Cost",IF(K137="","(set the P&amp;L Account)",K137),IF(K137="",set_WIPIncome,K137))))</f>
        <v/>
      </c>
      <c r="M137" s="10">
        <f>IF(N(J137)=0,"",IF(J137&gt;0,IF(I137="Cost",IF(K137="","(set the P&amp;L Account)",K137),IF(K137="",set_WIPIncome,K137)),set_WIPAsset))</f>
        <v/>
      </c>
      <c r="N137" s="11">
        <f>IF(N(J137)=0,"",ABS(J137))</f>
        <v/>
      </c>
      <c r="O137" s="10">
        <f>IF(N(J137)=0,"","WIP "&amp;H137&amp;IF(B137="",""," - "&amp;B137)&amp;IF(D137="",""," - "&amp;D137)&amp;IF(A137="",""," - "&amp;TEXT(A137,"mmm yyyy")))</f>
        <v/>
      </c>
      <c r="P137" s="37" t="n"/>
      <c r="Q137" s="37" t="n"/>
      <c r="R137" s="37" t="n"/>
    </row>
    <row r="138">
      <c r="A138" s="44" t="n"/>
      <c r="B138" s="37" t="n"/>
      <c r="C138" s="10">
        <f>IF(B138="","",IF(COUNTIF(lst_Jobs,B138&amp;"")&gt;0,"OK","CHECK"))</f>
        <v/>
      </c>
      <c r="D138" s="10">
        <f>IF(B138="","",IFERROR(INDEX(tbl_Finance[Client],MATCH(B138&amp;"",tbl_Finance[Job Number],0)),""))</f>
        <v/>
      </c>
      <c r="E138" s="37" t="n"/>
      <c r="F138" s="37" t="n"/>
      <c r="G138" s="37" t="n"/>
      <c r="H138" s="37" t="n"/>
      <c r="I138" s="37" t="n"/>
      <c r="J138" s="39" t="n"/>
      <c r="K138" s="37" t="n"/>
      <c r="L138" s="10">
        <f>IF(N(J138)=0,"",IF(J138&gt;0,set_WIPAsset,IF(I138="Cost",IF(K138="","(set the P&amp;L Account)",K138),IF(K138="",set_WIPIncome,K138))))</f>
        <v/>
      </c>
      <c r="M138" s="10">
        <f>IF(N(J138)=0,"",IF(J138&gt;0,IF(I138="Cost",IF(K138="","(set the P&amp;L Account)",K138),IF(K138="",set_WIPIncome,K138)),set_WIPAsset))</f>
        <v/>
      </c>
      <c r="N138" s="11">
        <f>IF(N(J138)=0,"",ABS(J138))</f>
        <v/>
      </c>
      <c r="O138" s="10">
        <f>IF(N(J138)=0,"","WIP "&amp;H138&amp;IF(B138="",""," - "&amp;B138)&amp;IF(D138="",""," - "&amp;D138)&amp;IF(A138="",""," - "&amp;TEXT(A138,"mmm yyyy")))</f>
        <v/>
      </c>
      <c r="P138" s="37" t="n"/>
      <c r="Q138" s="37" t="n"/>
      <c r="R138" s="37" t="n"/>
    </row>
    <row r="139">
      <c r="A139" s="44" t="n"/>
      <c r="B139" s="37" t="n"/>
      <c r="C139" s="10">
        <f>IF(B139="","",IF(COUNTIF(lst_Jobs,B139&amp;"")&gt;0,"OK","CHECK"))</f>
        <v/>
      </c>
      <c r="D139" s="10">
        <f>IF(B139="","",IFERROR(INDEX(tbl_Finance[Client],MATCH(B139&amp;"",tbl_Finance[Job Number],0)),""))</f>
        <v/>
      </c>
      <c r="E139" s="37" t="n"/>
      <c r="F139" s="37" t="n"/>
      <c r="G139" s="37" t="n"/>
      <c r="H139" s="37" t="n"/>
      <c r="I139" s="37" t="n"/>
      <c r="J139" s="39" t="n"/>
      <c r="K139" s="37" t="n"/>
      <c r="L139" s="10">
        <f>IF(N(J139)=0,"",IF(J139&gt;0,set_WIPAsset,IF(I139="Cost",IF(K139="","(set the P&amp;L Account)",K139),IF(K139="",set_WIPIncome,K139))))</f>
        <v/>
      </c>
      <c r="M139" s="10">
        <f>IF(N(J139)=0,"",IF(J139&gt;0,IF(I139="Cost",IF(K139="","(set the P&amp;L Account)",K139),IF(K139="",set_WIPIncome,K139)),set_WIPAsset))</f>
        <v/>
      </c>
      <c r="N139" s="11">
        <f>IF(N(J139)=0,"",ABS(J139))</f>
        <v/>
      </c>
      <c r="O139" s="10">
        <f>IF(N(J139)=0,"","WIP "&amp;H139&amp;IF(B139="",""," - "&amp;B139)&amp;IF(D139="",""," - "&amp;D139)&amp;IF(A139="",""," - "&amp;TEXT(A139,"mmm yyyy")))</f>
        <v/>
      </c>
      <c r="P139" s="37" t="n"/>
      <c r="Q139" s="37" t="n"/>
      <c r="R139" s="37" t="n"/>
    </row>
    <row r="140">
      <c r="A140" s="44" t="n"/>
      <c r="B140" s="37" t="n"/>
      <c r="C140" s="10">
        <f>IF(B140="","",IF(COUNTIF(lst_Jobs,B140&amp;"")&gt;0,"OK","CHECK"))</f>
        <v/>
      </c>
      <c r="D140" s="10">
        <f>IF(B140="","",IFERROR(INDEX(tbl_Finance[Client],MATCH(B140&amp;"",tbl_Finance[Job Number],0)),""))</f>
        <v/>
      </c>
      <c r="E140" s="37" t="n"/>
      <c r="F140" s="37" t="n"/>
      <c r="G140" s="37" t="n"/>
      <c r="H140" s="37" t="n"/>
      <c r="I140" s="37" t="n"/>
      <c r="J140" s="39" t="n"/>
      <c r="K140" s="37" t="n"/>
      <c r="L140" s="10">
        <f>IF(N(J140)=0,"",IF(J140&gt;0,set_WIPAsset,IF(I140="Cost",IF(K140="","(set the P&amp;L Account)",K140),IF(K140="",set_WIPIncome,K140))))</f>
        <v/>
      </c>
      <c r="M140" s="10">
        <f>IF(N(J140)=0,"",IF(J140&gt;0,IF(I140="Cost",IF(K140="","(set the P&amp;L Account)",K140),IF(K140="",set_WIPIncome,K140)),set_WIPAsset))</f>
        <v/>
      </c>
      <c r="N140" s="11">
        <f>IF(N(J140)=0,"",ABS(J140))</f>
        <v/>
      </c>
      <c r="O140" s="10">
        <f>IF(N(J140)=0,"","WIP "&amp;H140&amp;IF(B140="",""," - "&amp;B140)&amp;IF(D140="",""," - "&amp;D140)&amp;IF(A140="",""," - "&amp;TEXT(A140,"mmm yyyy")))</f>
        <v/>
      </c>
      <c r="P140" s="37" t="n"/>
      <c r="Q140" s="37" t="n"/>
      <c r="R140" s="37" t="n"/>
    </row>
    <row r="141">
      <c r="A141" s="44" t="n"/>
      <c r="B141" s="37" t="n"/>
      <c r="C141" s="10">
        <f>IF(B141="","",IF(COUNTIF(lst_Jobs,B141&amp;"")&gt;0,"OK","CHECK"))</f>
        <v/>
      </c>
      <c r="D141" s="10">
        <f>IF(B141="","",IFERROR(INDEX(tbl_Finance[Client],MATCH(B141&amp;"",tbl_Finance[Job Number],0)),""))</f>
        <v/>
      </c>
      <c r="E141" s="37" t="n"/>
      <c r="F141" s="37" t="n"/>
      <c r="G141" s="37" t="n"/>
      <c r="H141" s="37" t="n"/>
      <c r="I141" s="37" t="n"/>
      <c r="J141" s="39" t="n"/>
      <c r="K141" s="37" t="n"/>
      <c r="L141" s="10">
        <f>IF(N(J141)=0,"",IF(J141&gt;0,set_WIPAsset,IF(I141="Cost",IF(K141="","(set the P&amp;L Account)",K141),IF(K141="",set_WIPIncome,K141))))</f>
        <v/>
      </c>
      <c r="M141" s="10">
        <f>IF(N(J141)=0,"",IF(J141&gt;0,IF(I141="Cost",IF(K141="","(set the P&amp;L Account)",K141),IF(K141="",set_WIPIncome,K141)),set_WIPAsset))</f>
        <v/>
      </c>
      <c r="N141" s="11">
        <f>IF(N(J141)=0,"",ABS(J141))</f>
        <v/>
      </c>
      <c r="O141" s="10">
        <f>IF(N(J141)=0,"","WIP "&amp;H141&amp;IF(B141="",""," - "&amp;B141)&amp;IF(D141="",""," - "&amp;D141)&amp;IF(A141="",""," - "&amp;TEXT(A141,"mmm yyyy")))</f>
        <v/>
      </c>
      <c r="P141" s="37" t="n"/>
      <c r="Q141" s="37" t="n"/>
      <c r="R141" s="37" t="n"/>
    </row>
    <row r="142">
      <c r="A142" s="44" t="n"/>
      <c r="B142" s="37" t="n"/>
      <c r="C142" s="10">
        <f>IF(B142="","",IF(COUNTIF(lst_Jobs,B142&amp;"")&gt;0,"OK","CHECK"))</f>
        <v/>
      </c>
      <c r="D142" s="10">
        <f>IF(B142="","",IFERROR(INDEX(tbl_Finance[Client],MATCH(B142&amp;"",tbl_Finance[Job Number],0)),""))</f>
        <v/>
      </c>
      <c r="E142" s="37" t="n"/>
      <c r="F142" s="37" t="n"/>
      <c r="G142" s="37" t="n"/>
      <c r="H142" s="37" t="n"/>
      <c r="I142" s="37" t="n"/>
      <c r="J142" s="39" t="n"/>
      <c r="K142" s="37" t="n"/>
      <c r="L142" s="10">
        <f>IF(N(J142)=0,"",IF(J142&gt;0,set_WIPAsset,IF(I142="Cost",IF(K142="","(set the P&amp;L Account)",K142),IF(K142="",set_WIPIncome,K142))))</f>
        <v/>
      </c>
      <c r="M142" s="10">
        <f>IF(N(J142)=0,"",IF(J142&gt;0,IF(I142="Cost",IF(K142="","(set the P&amp;L Account)",K142),IF(K142="",set_WIPIncome,K142)),set_WIPAsset))</f>
        <v/>
      </c>
      <c r="N142" s="11">
        <f>IF(N(J142)=0,"",ABS(J142))</f>
        <v/>
      </c>
      <c r="O142" s="10">
        <f>IF(N(J142)=0,"","WIP "&amp;H142&amp;IF(B142="",""," - "&amp;B142)&amp;IF(D142="",""," - "&amp;D142)&amp;IF(A142="",""," - "&amp;TEXT(A142,"mmm yyyy")))</f>
        <v/>
      </c>
      <c r="P142" s="37" t="n"/>
      <c r="Q142" s="37" t="n"/>
      <c r="R142" s="37" t="n"/>
    </row>
    <row r="143">
      <c r="A143" s="44" t="n"/>
      <c r="B143" s="37" t="n"/>
      <c r="C143" s="10">
        <f>IF(B143="","",IF(COUNTIF(lst_Jobs,B143&amp;"")&gt;0,"OK","CHECK"))</f>
        <v/>
      </c>
      <c r="D143" s="10">
        <f>IF(B143="","",IFERROR(INDEX(tbl_Finance[Client],MATCH(B143&amp;"",tbl_Finance[Job Number],0)),""))</f>
        <v/>
      </c>
      <c r="E143" s="37" t="n"/>
      <c r="F143" s="37" t="n"/>
      <c r="G143" s="37" t="n"/>
      <c r="H143" s="37" t="n"/>
      <c r="I143" s="37" t="n"/>
      <c r="J143" s="39" t="n"/>
      <c r="K143" s="37" t="n"/>
      <c r="L143" s="10">
        <f>IF(N(J143)=0,"",IF(J143&gt;0,set_WIPAsset,IF(I143="Cost",IF(K143="","(set the P&amp;L Account)",K143),IF(K143="",set_WIPIncome,K143))))</f>
        <v/>
      </c>
      <c r="M143" s="10">
        <f>IF(N(J143)=0,"",IF(J143&gt;0,IF(I143="Cost",IF(K143="","(set the P&amp;L Account)",K143),IF(K143="",set_WIPIncome,K143)),set_WIPAsset))</f>
        <v/>
      </c>
      <c r="N143" s="11">
        <f>IF(N(J143)=0,"",ABS(J143))</f>
        <v/>
      </c>
      <c r="O143" s="10">
        <f>IF(N(J143)=0,"","WIP "&amp;H143&amp;IF(B143="",""," - "&amp;B143)&amp;IF(D143="",""," - "&amp;D143)&amp;IF(A143="",""," - "&amp;TEXT(A143,"mmm yyyy")))</f>
        <v/>
      </c>
      <c r="P143" s="37" t="n"/>
      <c r="Q143" s="37" t="n"/>
      <c r="R143" s="37" t="n"/>
    </row>
    <row r="144">
      <c r="A144" s="44" t="n"/>
      <c r="B144" s="37" t="n"/>
      <c r="C144" s="10">
        <f>IF(B144="","",IF(COUNTIF(lst_Jobs,B144&amp;"")&gt;0,"OK","CHECK"))</f>
        <v/>
      </c>
      <c r="D144" s="10">
        <f>IF(B144="","",IFERROR(INDEX(tbl_Finance[Client],MATCH(B144&amp;"",tbl_Finance[Job Number],0)),""))</f>
        <v/>
      </c>
      <c r="E144" s="37" t="n"/>
      <c r="F144" s="37" t="n"/>
      <c r="G144" s="37" t="n"/>
      <c r="H144" s="37" t="n"/>
      <c r="I144" s="37" t="n"/>
      <c r="J144" s="39" t="n"/>
      <c r="K144" s="37" t="n"/>
      <c r="L144" s="10">
        <f>IF(N(J144)=0,"",IF(J144&gt;0,set_WIPAsset,IF(I144="Cost",IF(K144="","(set the P&amp;L Account)",K144),IF(K144="",set_WIPIncome,K144))))</f>
        <v/>
      </c>
      <c r="M144" s="10">
        <f>IF(N(J144)=0,"",IF(J144&gt;0,IF(I144="Cost",IF(K144="","(set the P&amp;L Account)",K144),IF(K144="",set_WIPIncome,K144)),set_WIPAsset))</f>
        <v/>
      </c>
      <c r="N144" s="11">
        <f>IF(N(J144)=0,"",ABS(J144))</f>
        <v/>
      </c>
      <c r="O144" s="10">
        <f>IF(N(J144)=0,"","WIP "&amp;H144&amp;IF(B144="",""," - "&amp;B144)&amp;IF(D144="",""," - "&amp;D144)&amp;IF(A144="",""," - "&amp;TEXT(A144,"mmm yyyy")))</f>
        <v/>
      </c>
      <c r="P144" s="37" t="n"/>
      <c r="Q144" s="37" t="n"/>
      <c r="R144" s="37" t="n"/>
    </row>
    <row r="145">
      <c r="A145" s="44" t="n"/>
      <c r="B145" s="37" t="n"/>
      <c r="C145" s="10">
        <f>IF(B145="","",IF(COUNTIF(lst_Jobs,B145&amp;"")&gt;0,"OK","CHECK"))</f>
        <v/>
      </c>
      <c r="D145" s="10">
        <f>IF(B145="","",IFERROR(INDEX(tbl_Finance[Client],MATCH(B145&amp;"",tbl_Finance[Job Number],0)),""))</f>
        <v/>
      </c>
      <c r="E145" s="37" t="n"/>
      <c r="F145" s="37" t="n"/>
      <c r="G145" s="37" t="n"/>
      <c r="H145" s="37" t="n"/>
      <c r="I145" s="37" t="n"/>
      <c r="J145" s="39" t="n"/>
      <c r="K145" s="37" t="n"/>
      <c r="L145" s="10">
        <f>IF(N(J145)=0,"",IF(J145&gt;0,set_WIPAsset,IF(I145="Cost",IF(K145="","(set the P&amp;L Account)",K145),IF(K145="",set_WIPIncome,K145))))</f>
        <v/>
      </c>
      <c r="M145" s="10">
        <f>IF(N(J145)=0,"",IF(J145&gt;0,IF(I145="Cost",IF(K145="","(set the P&amp;L Account)",K145),IF(K145="",set_WIPIncome,K145)),set_WIPAsset))</f>
        <v/>
      </c>
      <c r="N145" s="11">
        <f>IF(N(J145)=0,"",ABS(J145))</f>
        <v/>
      </c>
      <c r="O145" s="10">
        <f>IF(N(J145)=0,"","WIP "&amp;H145&amp;IF(B145="",""," - "&amp;B145)&amp;IF(D145="",""," - "&amp;D145)&amp;IF(A145="",""," - "&amp;TEXT(A145,"mmm yyyy")))</f>
        <v/>
      </c>
      <c r="P145" s="37" t="n"/>
      <c r="Q145" s="37" t="n"/>
      <c r="R145" s="37" t="n"/>
    </row>
    <row r="146">
      <c r="A146" s="44" t="n"/>
      <c r="B146" s="37" t="n"/>
      <c r="C146" s="10">
        <f>IF(B146="","",IF(COUNTIF(lst_Jobs,B146&amp;"")&gt;0,"OK","CHECK"))</f>
        <v/>
      </c>
      <c r="D146" s="10">
        <f>IF(B146="","",IFERROR(INDEX(tbl_Finance[Client],MATCH(B146&amp;"",tbl_Finance[Job Number],0)),""))</f>
        <v/>
      </c>
      <c r="E146" s="37" t="n"/>
      <c r="F146" s="37" t="n"/>
      <c r="G146" s="37" t="n"/>
      <c r="H146" s="37" t="n"/>
      <c r="I146" s="37" t="n"/>
      <c r="J146" s="39" t="n"/>
      <c r="K146" s="37" t="n"/>
      <c r="L146" s="10">
        <f>IF(N(J146)=0,"",IF(J146&gt;0,set_WIPAsset,IF(I146="Cost",IF(K146="","(set the P&amp;L Account)",K146),IF(K146="",set_WIPIncome,K146))))</f>
        <v/>
      </c>
      <c r="M146" s="10">
        <f>IF(N(J146)=0,"",IF(J146&gt;0,IF(I146="Cost",IF(K146="","(set the P&amp;L Account)",K146),IF(K146="",set_WIPIncome,K146)),set_WIPAsset))</f>
        <v/>
      </c>
      <c r="N146" s="11">
        <f>IF(N(J146)=0,"",ABS(J146))</f>
        <v/>
      </c>
      <c r="O146" s="10">
        <f>IF(N(J146)=0,"","WIP "&amp;H146&amp;IF(B146="",""," - "&amp;B146)&amp;IF(D146="",""," - "&amp;D146)&amp;IF(A146="",""," - "&amp;TEXT(A146,"mmm yyyy")))</f>
        <v/>
      </c>
      <c r="P146" s="37" t="n"/>
      <c r="Q146" s="37" t="n"/>
      <c r="R146" s="37" t="n"/>
    </row>
    <row r="147">
      <c r="A147" s="44" t="n"/>
      <c r="B147" s="37" t="n"/>
      <c r="C147" s="10">
        <f>IF(B147="","",IF(COUNTIF(lst_Jobs,B147&amp;"")&gt;0,"OK","CHECK"))</f>
        <v/>
      </c>
      <c r="D147" s="10">
        <f>IF(B147="","",IFERROR(INDEX(tbl_Finance[Client],MATCH(B147&amp;"",tbl_Finance[Job Number],0)),""))</f>
        <v/>
      </c>
      <c r="E147" s="37" t="n"/>
      <c r="F147" s="37" t="n"/>
      <c r="G147" s="37" t="n"/>
      <c r="H147" s="37" t="n"/>
      <c r="I147" s="37" t="n"/>
      <c r="J147" s="39" t="n"/>
      <c r="K147" s="37" t="n"/>
      <c r="L147" s="10">
        <f>IF(N(J147)=0,"",IF(J147&gt;0,set_WIPAsset,IF(I147="Cost",IF(K147="","(set the P&amp;L Account)",K147),IF(K147="",set_WIPIncome,K147))))</f>
        <v/>
      </c>
      <c r="M147" s="10">
        <f>IF(N(J147)=0,"",IF(J147&gt;0,IF(I147="Cost",IF(K147="","(set the P&amp;L Account)",K147),IF(K147="",set_WIPIncome,K147)),set_WIPAsset))</f>
        <v/>
      </c>
      <c r="N147" s="11">
        <f>IF(N(J147)=0,"",ABS(J147))</f>
        <v/>
      </c>
      <c r="O147" s="10">
        <f>IF(N(J147)=0,"","WIP "&amp;H147&amp;IF(B147="",""," - "&amp;B147)&amp;IF(D147="",""," - "&amp;D147)&amp;IF(A147="",""," - "&amp;TEXT(A147,"mmm yyyy")))</f>
        <v/>
      </c>
      <c r="P147" s="37" t="n"/>
      <c r="Q147" s="37" t="n"/>
      <c r="R147" s="37" t="n"/>
    </row>
    <row r="148">
      <c r="A148" s="44" t="n"/>
      <c r="B148" s="37" t="n"/>
      <c r="C148" s="10">
        <f>IF(B148="","",IF(COUNTIF(lst_Jobs,B148&amp;"")&gt;0,"OK","CHECK"))</f>
        <v/>
      </c>
      <c r="D148" s="10">
        <f>IF(B148="","",IFERROR(INDEX(tbl_Finance[Client],MATCH(B148&amp;"",tbl_Finance[Job Number],0)),""))</f>
        <v/>
      </c>
      <c r="E148" s="37" t="n"/>
      <c r="F148" s="37" t="n"/>
      <c r="G148" s="37" t="n"/>
      <c r="H148" s="37" t="n"/>
      <c r="I148" s="37" t="n"/>
      <c r="J148" s="39" t="n"/>
      <c r="K148" s="37" t="n"/>
      <c r="L148" s="10">
        <f>IF(N(J148)=0,"",IF(J148&gt;0,set_WIPAsset,IF(I148="Cost",IF(K148="","(set the P&amp;L Account)",K148),IF(K148="",set_WIPIncome,K148))))</f>
        <v/>
      </c>
      <c r="M148" s="10">
        <f>IF(N(J148)=0,"",IF(J148&gt;0,IF(I148="Cost",IF(K148="","(set the P&amp;L Account)",K148),IF(K148="",set_WIPIncome,K148)),set_WIPAsset))</f>
        <v/>
      </c>
      <c r="N148" s="11">
        <f>IF(N(J148)=0,"",ABS(J148))</f>
        <v/>
      </c>
      <c r="O148" s="10">
        <f>IF(N(J148)=0,"","WIP "&amp;H148&amp;IF(B148="",""," - "&amp;B148)&amp;IF(D148="",""," - "&amp;D148)&amp;IF(A148="",""," - "&amp;TEXT(A148,"mmm yyyy")))</f>
        <v/>
      </c>
      <c r="P148" s="37" t="n"/>
      <c r="Q148" s="37" t="n"/>
      <c r="R148" s="37" t="n"/>
    </row>
    <row r="149">
      <c r="A149" s="44" t="n"/>
      <c r="B149" s="37" t="n"/>
      <c r="C149" s="10">
        <f>IF(B149="","",IF(COUNTIF(lst_Jobs,B149&amp;"")&gt;0,"OK","CHECK"))</f>
        <v/>
      </c>
      <c r="D149" s="10">
        <f>IF(B149="","",IFERROR(INDEX(tbl_Finance[Client],MATCH(B149&amp;"",tbl_Finance[Job Number],0)),""))</f>
        <v/>
      </c>
      <c r="E149" s="37" t="n"/>
      <c r="F149" s="37" t="n"/>
      <c r="G149" s="37" t="n"/>
      <c r="H149" s="37" t="n"/>
      <c r="I149" s="37" t="n"/>
      <c r="J149" s="39" t="n"/>
      <c r="K149" s="37" t="n"/>
      <c r="L149" s="10">
        <f>IF(N(J149)=0,"",IF(J149&gt;0,set_WIPAsset,IF(I149="Cost",IF(K149="","(set the P&amp;L Account)",K149),IF(K149="",set_WIPIncome,K149))))</f>
        <v/>
      </c>
      <c r="M149" s="10">
        <f>IF(N(J149)=0,"",IF(J149&gt;0,IF(I149="Cost",IF(K149="","(set the P&amp;L Account)",K149),IF(K149="",set_WIPIncome,K149)),set_WIPAsset))</f>
        <v/>
      </c>
      <c r="N149" s="11">
        <f>IF(N(J149)=0,"",ABS(J149))</f>
        <v/>
      </c>
      <c r="O149" s="10">
        <f>IF(N(J149)=0,"","WIP "&amp;H149&amp;IF(B149="",""," - "&amp;B149)&amp;IF(D149="",""," - "&amp;D149)&amp;IF(A149="",""," - "&amp;TEXT(A149,"mmm yyyy")))</f>
        <v/>
      </c>
      <c r="P149" s="37" t="n"/>
      <c r="Q149" s="37" t="n"/>
      <c r="R149" s="37" t="n"/>
    </row>
    <row r="150">
      <c r="A150" s="44" t="n"/>
      <c r="B150" s="37" t="n"/>
      <c r="C150" s="10">
        <f>IF(B150="","",IF(COUNTIF(lst_Jobs,B150&amp;"")&gt;0,"OK","CHECK"))</f>
        <v/>
      </c>
      <c r="D150" s="10">
        <f>IF(B150="","",IFERROR(INDEX(tbl_Finance[Client],MATCH(B150&amp;"",tbl_Finance[Job Number],0)),""))</f>
        <v/>
      </c>
      <c r="E150" s="37" t="n"/>
      <c r="F150" s="37" t="n"/>
      <c r="G150" s="37" t="n"/>
      <c r="H150" s="37" t="n"/>
      <c r="I150" s="37" t="n"/>
      <c r="J150" s="39" t="n"/>
      <c r="K150" s="37" t="n"/>
      <c r="L150" s="10">
        <f>IF(N(J150)=0,"",IF(J150&gt;0,set_WIPAsset,IF(I150="Cost",IF(K150="","(set the P&amp;L Account)",K150),IF(K150="",set_WIPIncome,K150))))</f>
        <v/>
      </c>
      <c r="M150" s="10">
        <f>IF(N(J150)=0,"",IF(J150&gt;0,IF(I150="Cost",IF(K150="","(set the P&amp;L Account)",K150),IF(K150="",set_WIPIncome,K150)),set_WIPAsset))</f>
        <v/>
      </c>
      <c r="N150" s="11">
        <f>IF(N(J150)=0,"",ABS(J150))</f>
        <v/>
      </c>
      <c r="O150" s="10">
        <f>IF(N(J150)=0,"","WIP "&amp;H150&amp;IF(B150="",""," - "&amp;B150)&amp;IF(D150="",""," - "&amp;D150)&amp;IF(A150="",""," - "&amp;TEXT(A150,"mmm yyyy")))</f>
        <v/>
      </c>
      <c r="P150" s="37" t="n"/>
      <c r="Q150" s="37" t="n"/>
      <c r="R150" s="37" t="n"/>
    </row>
    <row r="151">
      <c r="A151" s="44" t="n"/>
      <c r="B151" s="37" t="n"/>
      <c r="C151" s="10">
        <f>IF(B151="","",IF(COUNTIF(lst_Jobs,B151&amp;"")&gt;0,"OK","CHECK"))</f>
        <v/>
      </c>
      <c r="D151" s="10">
        <f>IF(B151="","",IFERROR(INDEX(tbl_Finance[Client],MATCH(B151&amp;"",tbl_Finance[Job Number],0)),""))</f>
        <v/>
      </c>
      <c r="E151" s="37" t="n"/>
      <c r="F151" s="37" t="n"/>
      <c r="G151" s="37" t="n"/>
      <c r="H151" s="37" t="n"/>
      <c r="I151" s="37" t="n"/>
      <c r="J151" s="39" t="n"/>
      <c r="K151" s="37" t="n"/>
      <c r="L151" s="10">
        <f>IF(N(J151)=0,"",IF(J151&gt;0,set_WIPAsset,IF(I151="Cost",IF(K151="","(set the P&amp;L Account)",K151),IF(K151="",set_WIPIncome,K151))))</f>
        <v/>
      </c>
      <c r="M151" s="10">
        <f>IF(N(J151)=0,"",IF(J151&gt;0,IF(I151="Cost",IF(K151="","(set the P&amp;L Account)",K151),IF(K151="",set_WIPIncome,K151)),set_WIPAsset))</f>
        <v/>
      </c>
      <c r="N151" s="11">
        <f>IF(N(J151)=0,"",ABS(J151))</f>
        <v/>
      </c>
      <c r="O151" s="10">
        <f>IF(N(J151)=0,"","WIP "&amp;H151&amp;IF(B151="",""," - "&amp;B151)&amp;IF(D151="",""," - "&amp;D151)&amp;IF(A151="",""," - "&amp;TEXT(A151,"mmm yyyy")))</f>
        <v/>
      </c>
      <c r="P151" s="37" t="n"/>
      <c r="Q151" s="37" t="n"/>
      <c r="R151" s="37" t="n"/>
    </row>
    <row r="152">
      <c r="A152" s="44" t="n"/>
      <c r="B152" s="37" t="n"/>
      <c r="C152" s="10">
        <f>IF(B152="","",IF(COUNTIF(lst_Jobs,B152&amp;"")&gt;0,"OK","CHECK"))</f>
        <v/>
      </c>
      <c r="D152" s="10">
        <f>IF(B152="","",IFERROR(INDEX(tbl_Finance[Client],MATCH(B152&amp;"",tbl_Finance[Job Number],0)),""))</f>
        <v/>
      </c>
      <c r="E152" s="37" t="n"/>
      <c r="F152" s="37" t="n"/>
      <c r="G152" s="37" t="n"/>
      <c r="H152" s="37" t="n"/>
      <c r="I152" s="37" t="n"/>
      <c r="J152" s="39" t="n"/>
      <c r="K152" s="37" t="n"/>
      <c r="L152" s="10">
        <f>IF(N(J152)=0,"",IF(J152&gt;0,set_WIPAsset,IF(I152="Cost",IF(K152="","(set the P&amp;L Account)",K152),IF(K152="",set_WIPIncome,K152))))</f>
        <v/>
      </c>
      <c r="M152" s="10">
        <f>IF(N(J152)=0,"",IF(J152&gt;0,IF(I152="Cost",IF(K152="","(set the P&amp;L Account)",K152),IF(K152="",set_WIPIncome,K152)),set_WIPAsset))</f>
        <v/>
      </c>
      <c r="N152" s="11">
        <f>IF(N(J152)=0,"",ABS(J152))</f>
        <v/>
      </c>
      <c r="O152" s="10">
        <f>IF(N(J152)=0,"","WIP "&amp;H152&amp;IF(B152="",""," - "&amp;B152)&amp;IF(D152="",""," - "&amp;D152)&amp;IF(A152="",""," - "&amp;TEXT(A152,"mmm yyyy")))</f>
        <v/>
      </c>
      <c r="P152" s="37" t="n"/>
      <c r="Q152" s="37" t="n"/>
      <c r="R152" s="37" t="n"/>
    </row>
    <row r="153">
      <c r="A153" s="44" t="n"/>
      <c r="B153" s="37" t="n"/>
      <c r="C153" s="10">
        <f>IF(B153="","",IF(COUNTIF(lst_Jobs,B153&amp;"")&gt;0,"OK","CHECK"))</f>
        <v/>
      </c>
      <c r="D153" s="10">
        <f>IF(B153="","",IFERROR(INDEX(tbl_Finance[Client],MATCH(B153&amp;"",tbl_Finance[Job Number],0)),""))</f>
        <v/>
      </c>
      <c r="E153" s="37" t="n"/>
      <c r="F153" s="37" t="n"/>
      <c r="G153" s="37" t="n"/>
      <c r="H153" s="37" t="n"/>
      <c r="I153" s="37" t="n"/>
      <c r="J153" s="39" t="n"/>
      <c r="K153" s="37" t="n"/>
      <c r="L153" s="10">
        <f>IF(N(J153)=0,"",IF(J153&gt;0,set_WIPAsset,IF(I153="Cost",IF(K153="","(set the P&amp;L Account)",K153),IF(K153="",set_WIPIncome,K153))))</f>
        <v/>
      </c>
      <c r="M153" s="10">
        <f>IF(N(J153)=0,"",IF(J153&gt;0,IF(I153="Cost",IF(K153="","(set the P&amp;L Account)",K153),IF(K153="",set_WIPIncome,K153)),set_WIPAsset))</f>
        <v/>
      </c>
      <c r="N153" s="11">
        <f>IF(N(J153)=0,"",ABS(J153))</f>
        <v/>
      </c>
      <c r="O153" s="10">
        <f>IF(N(J153)=0,"","WIP "&amp;H153&amp;IF(B153="",""," - "&amp;B153)&amp;IF(D153="",""," - "&amp;D153)&amp;IF(A153="",""," - "&amp;TEXT(A153,"mmm yyyy")))</f>
        <v/>
      </c>
      <c r="P153" s="37" t="n"/>
      <c r="Q153" s="37" t="n"/>
      <c r="R153" s="37" t="n"/>
    </row>
    <row r="154">
      <c r="A154" s="44" t="n"/>
      <c r="B154" s="37" t="n"/>
      <c r="C154" s="10">
        <f>IF(B154="","",IF(COUNTIF(lst_Jobs,B154&amp;"")&gt;0,"OK","CHECK"))</f>
        <v/>
      </c>
      <c r="D154" s="10">
        <f>IF(B154="","",IFERROR(INDEX(tbl_Finance[Client],MATCH(B154&amp;"",tbl_Finance[Job Number],0)),""))</f>
        <v/>
      </c>
      <c r="E154" s="37" t="n"/>
      <c r="F154" s="37" t="n"/>
      <c r="G154" s="37" t="n"/>
      <c r="H154" s="37" t="n"/>
      <c r="I154" s="37" t="n"/>
      <c r="J154" s="39" t="n"/>
      <c r="K154" s="37" t="n"/>
      <c r="L154" s="10">
        <f>IF(N(J154)=0,"",IF(J154&gt;0,set_WIPAsset,IF(I154="Cost",IF(K154="","(set the P&amp;L Account)",K154),IF(K154="",set_WIPIncome,K154))))</f>
        <v/>
      </c>
      <c r="M154" s="10">
        <f>IF(N(J154)=0,"",IF(J154&gt;0,IF(I154="Cost",IF(K154="","(set the P&amp;L Account)",K154),IF(K154="",set_WIPIncome,K154)),set_WIPAsset))</f>
        <v/>
      </c>
      <c r="N154" s="11">
        <f>IF(N(J154)=0,"",ABS(J154))</f>
        <v/>
      </c>
      <c r="O154" s="10">
        <f>IF(N(J154)=0,"","WIP "&amp;H154&amp;IF(B154="",""," - "&amp;B154)&amp;IF(D154="",""," - "&amp;D154)&amp;IF(A154="",""," - "&amp;TEXT(A154,"mmm yyyy")))</f>
        <v/>
      </c>
      <c r="P154" s="37" t="n"/>
      <c r="Q154" s="37" t="n"/>
      <c r="R154" s="37" t="n"/>
    </row>
    <row r="155">
      <c r="A155" s="44" t="n"/>
      <c r="B155" s="37" t="n"/>
      <c r="C155" s="10">
        <f>IF(B155="","",IF(COUNTIF(lst_Jobs,B155&amp;"")&gt;0,"OK","CHECK"))</f>
        <v/>
      </c>
      <c r="D155" s="10">
        <f>IF(B155="","",IFERROR(INDEX(tbl_Finance[Client],MATCH(B155&amp;"",tbl_Finance[Job Number],0)),""))</f>
        <v/>
      </c>
      <c r="E155" s="37" t="n"/>
      <c r="F155" s="37" t="n"/>
      <c r="G155" s="37" t="n"/>
      <c r="H155" s="37" t="n"/>
      <c r="I155" s="37" t="n"/>
      <c r="J155" s="39" t="n"/>
      <c r="K155" s="37" t="n"/>
      <c r="L155" s="10">
        <f>IF(N(J155)=0,"",IF(J155&gt;0,set_WIPAsset,IF(I155="Cost",IF(K155="","(set the P&amp;L Account)",K155),IF(K155="",set_WIPIncome,K155))))</f>
        <v/>
      </c>
      <c r="M155" s="10">
        <f>IF(N(J155)=0,"",IF(J155&gt;0,IF(I155="Cost",IF(K155="","(set the P&amp;L Account)",K155),IF(K155="",set_WIPIncome,K155)),set_WIPAsset))</f>
        <v/>
      </c>
      <c r="N155" s="11">
        <f>IF(N(J155)=0,"",ABS(J155))</f>
        <v/>
      </c>
      <c r="O155" s="10">
        <f>IF(N(J155)=0,"","WIP "&amp;H155&amp;IF(B155="",""," - "&amp;B155)&amp;IF(D155="",""," - "&amp;D155)&amp;IF(A155="",""," - "&amp;TEXT(A155,"mmm yyyy")))</f>
        <v/>
      </c>
      <c r="P155" s="37" t="n"/>
      <c r="Q155" s="37" t="n"/>
      <c r="R155" s="37" t="n"/>
    </row>
    <row r="156">
      <c r="A156" s="44" t="n"/>
      <c r="B156" s="37" t="n"/>
      <c r="C156" s="10">
        <f>IF(B156="","",IF(COUNTIF(lst_Jobs,B156&amp;"")&gt;0,"OK","CHECK"))</f>
        <v/>
      </c>
      <c r="D156" s="10">
        <f>IF(B156="","",IFERROR(INDEX(tbl_Finance[Client],MATCH(B156&amp;"",tbl_Finance[Job Number],0)),""))</f>
        <v/>
      </c>
      <c r="E156" s="37" t="n"/>
      <c r="F156" s="37" t="n"/>
      <c r="G156" s="37" t="n"/>
      <c r="H156" s="37" t="n"/>
      <c r="I156" s="37" t="n"/>
      <c r="J156" s="39" t="n"/>
      <c r="K156" s="37" t="n"/>
      <c r="L156" s="10">
        <f>IF(N(J156)=0,"",IF(J156&gt;0,set_WIPAsset,IF(I156="Cost",IF(K156="","(set the P&amp;L Account)",K156),IF(K156="",set_WIPIncome,K156))))</f>
        <v/>
      </c>
      <c r="M156" s="10">
        <f>IF(N(J156)=0,"",IF(J156&gt;0,IF(I156="Cost",IF(K156="","(set the P&amp;L Account)",K156),IF(K156="",set_WIPIncome,K156)),set_WIPAsset))</f>
        <v/>
      </c>
      <c r="N156" s="11">
        <f>IF(N(J156)=0,"",ABS(J156))</f>
        <v/>
      </c>
      <c r="O156" s="10">
        <f>IF(N(J156)=0,"","WIP "&amp;H156&amp;IF(B156="",""," - "&amp;B156)&amp;IF(D156="",""," - "&amp;D156)&amp;IF(A156="",""," - "&amp;TEXT(A156,"mmm yyyy")))</f>
        <v/>
      </c>
      <c r="P156" s="37" t="n"/>
      <c r="Q156" s="37" t="n"/>
      <c r="R156" s="37" t="n"/>
    </row>
    <row r="157">
      <c r="A157" s="44" t="n"/>
      <c r="B157" s="37" t="n"/>
      <c r="C157" s="10">
        <f>IF(B157="","",IF(COUNTIF(lst_Jobs,B157&amp;"")&gt;0,"OK","CHECK"))</f>
        <v/>
      </c>
      <c r="D157" s="10">
        <f>IF(B157="","",IFERROR(INDEX(tbl_Finance[Client],MATCH(B157&amp;"",tbl_Finance[Job Number],0)),""))</f>
        <v/>
      </c>
      <c r="E157" s="37" t="n"/>
      <c r="F157" s="37" t="n"/>
      <c r="G157" s="37" t="n"/>
      <c r="H157" s="37" t="n"/>
      <c r="I157" s="37" t="n"/>
      <c r="J157" s="39" t="n"/>
      <c r="K157" s="37" t="n"/>
      <c r="L157" s="10">
        <f>IF(N(J157)=0,"",IF(J157&gt;0,set_WIPAsset,IF(I157="Cost",IF(K157="","(set the P&amp;L Account)",K157),IF(K157="",set_WIPIncome,K157))))</f>
        <v/>
      </c>
      <c r="M157" s="10">
        <f>IF(N(J157)=0,"",IF(J157&gt;0,IF(I157="Cost",IF(K157="","(set the P&amp;L Account)",K157),IF(K157="",set_WIPIncome,K157)),set_WIPAsset))</f>
        <v/>
      </c>
      <c r="N157" s="11">
        <f>IF(N(J157)=0,"",ABS(J157))</f>
        <v/>
      </c>
      <c r="O157" s="10">
        <f>IF(N(J157)=0,"","WIP "&amp;H157&amp;IF(B157="",""," - "&amp;B157)&amp;IF(D157="",""," - "&amp;D157)&amp;IF(A157="",""," - "&amp;TEXT(A157,"mmm yyyy")))</f>
        <v/>
      </c>
      <c r="P157" s="37" t="n"/>
      <c r="Q157" s="37" t="n"/>
      <c r="R157" s="37" t="n"/>
    </row>
    <row r="158">
      <c r="A158" s="44" t="n"/>
      <c r="B158" s="37" t="n"/>
      <c r="C158" s="10">
        <f>IF(B158="","",IF(COUNTIF(lst_Jobs,B158&amp;"")&gt;0,"OK","CHECK"))</f>
        <v/>
      </c>
      <c r="D158" s="10">
        <f>IF(B158="","",IFERROR(INDEX(tbl_Finance[Client],MATCH(B158&amp;"",tbl_Finance[Job Number],0)),""))</f>
        <v/>
      </c>
      <c r="E158" s="37" t="n"/>
      <c r="F158" s="37" t="n"/>
      <c r="G158" s="37" t="n"/>
      <c r="H158" s="37" t="n"/>
      <c r="I158" s="37" t="n"/>
      <c r="J158" s="39" t="n"/>
      <c r="K158" s="37" t="n"/>
      <c r="L158" s="10">
        <f>IF(N(J158)=0,"",IF(J158&gt;0,set_WIPAsset,IF(I158="Cost",IF(K158="","(set the P&amp;L Account)",K158),IF(K158="",set_WIPIncome,K158))))</f>
        <v/>
      </c>
      <c r="M158" s="10">
        <f>IF(N(J158)=0,"",IF(J158&gt;0,IF(I158="Cost",IF(K158="","(set the P&amp;L Account)",K158),IF(K158="",set_WIPIncome,K158)),set_WIPAsset))</f>
        <v/>
      </c>
      <c r="N158" s="11">
        <f>IF(N(J158)=0,"",ABS(J158))</f>
        <v/>
      </c>
      <c r="O158" s="10">
        <f>IF(N(J158)=0,"","WIP "&amp;H158&amp;IF(B158="",""," - "&amp;B158)&amp;IF(D158="",""," - "&amp;D158)&amp;IF(A158="",""," - "&amp;TEXT(A158,"mmm yyyy")))</f>
        <v/>
      </c>
      <c r="P158" s="37" t="n"/>
      <c r="Q158" s="37" t="n"/>
      <c r="R158" s="37" t="n"/>
    </row>
    <row r="159">
      <c r="A159" s="44" t="n"/>
      <c r="B159" s="37" t="n"/>
      <c r="C159" s="10">
        <f>IF(B159="","",IF(COUNTIF(lst_Jobs,B159&amp;"")&gt;0,"OK","CHECK"))</f>
        <v/>
      </c>
      <c r="D159" s="10">
        <f>IF(B159="","",IFERROR(INDEX(tbl_Finance[Client],MATCH(B159&amp;"",tbl_Finance[Job Number],0)),""))</f>
        <v/>
      </c>
      <c r="E159" s="37" t="n"/>
      <c r="F159" s="37" t="n"/>
      <c r="G159" s="37" t="n"/>
      <c r="H159" s="37" t="n"/>
      <c r="I159" s="37" t="n"/>
      <c r="J159" s="39" t="n"/>
      <c r="K159" s="37" t="n"/>
      <c r="L159" s="10">
        <f>IF(N(J159)=0,"",IF(J159&gt;0,set_WIPAsset,IF(I159="Cost",IF(K159="","(set the P&amp;L Account)",K159),IF(K159="",set_WIPIncome,K159))))</f>
        <v/>
      </c>
      <c r="M159" s="10">
        <f>IF(N(J159)=0,"",IF(J159&gt;0,IF(I159="Cost",IF(K159="","(set the P&amp;L Account)",K159),IF(K159="",set_WIPIncome,K159)),set_WIPAsset))</f>
        <v/>
      </c>
      <c r="N159" s="11">
        <f>IF(N(J159)=0,"",ABS(J159))</f>
        <v/>
      </c>
      <c r="O159" s="10">
        <f>IF(N(J159)=0,"","WIP "&amp;H159&amp;IF(B159="",""," - "&amp;B159)&amp;IF(D159="",""," - "&amp;D159)&amp;IF(A159="",""," - "&amp;TEXT(A159,"mmm yyyy")))</f>
        <v/>
      </c>
      <c r="P159" s="37" t="n"/>
      <c r="Q159" s="37" t="n"/>
      <c r="R159" s="37" t="n"/>
    </row>
    <row r="160">
      <c r="A160" s="44" t="n"/>
      <c r="B160" s="37" t="n"/>
      <c r="C160" s="10">
        <f>IF(B160="","",IF(COUNTIF(lst_Jobs,B160&amp;"")&gt;0,"OK","CHECK"))</f>
        <v/>
      </c>
      <c r="D160" s="10">
        <f>IF(B160="","",IFERROR(INDEX(tbl_Finance[Client],MATCH(B160&amp;"",tbl_Finance[Job Number],0)),""))</f>
        <v/>
      </c>
      <c r="E160" s="37" t="n"/>
      <c r="F160" s="37" t="n"/>
      <c r="G160" s="37" t="n"/>
      <c r="H160" s="37" t="n"/>
      <c r="I160" s="37" t="n"/>
      <c r="J160" s="39" t="n"/>
      <c r="K160" s="37" t="n"/>
      <c r="L160" s="10">
        <f>IF(N(J160)=0,"",IF(J160&gt;0,set_WIPAsset,IF(I160="Cost",IF(K160="","(set the P&amp;L Account)",K160),IF(K160="",set_WIPIncome,K160))))</f>
        <v/>
      </c>
      <c r="M160" s="10">
        <f>IF(N(J160)=0,"",IF(J160&gt;0,IF(I160="Cost",IF(K160="","(set the P&amp;L Account)",K160),IF(K160="",set_WIPIncome,K160)),set_WIPAsset))</f>
        <v/>
      </c>
      <c r="N160" s="11">
        <f>IF(N(J160)=0,"",ABS(J160))</f>
        <v/>
      </c>
      <c r="O160" s="10">
        <f>IF(N(J160)=0,"","WIP "&amp;H160&amp;IF(B160="",""," - "&amp;B160)&amp;IF(D160="",""," - "&amp;D160)&amp;IF(A160="",""," - "&amp;TEXT(A160,"mmm yyyy")))</f>
        <v/>
      </c>
      <c r="P160" s="37" t="n"/>
      <c r="Q160" s="37" t="n"/>
      <c r="R160" s="37" t="n"/>
    </row>
    <row r="161">
      <c r="A161" s="44" t="n"/>
      <c r="B161" s="37" t="n"/>
      <c r="C161" s="10">
        <f>IF(B161="","",IF(COUNTIF(lst_Jobs,B161&amp;"")&gt;0,"OK","CHECK"))</f>
        <v/>
      </c>
      <c r="D161" s="10">
        <f>IF(B161="","",IFERROR(INDEX(tbl_Finance[Client],MATCH(B161&amp;"",tbl_Finance[Job Number],0)),""))</f>
        <v/>
      </c>
      <c r="E161" s="37" t="n"/>
      <c r="F161" s="37" t="n"/>
      <c r="G161" s="37" t="n"/>
      <c r="H161" s="37" t="n"/>
      <c r="I161" s="37" t="n"/>
      <c r="J161" s="39" t="n"/>
      <c r="K161" s="37" t="n"/>
      <c r="L161" s="10">
        <f>IF(N(J161)=0,"",IF(J161&gt;0,set_WIPAsset,IF(I161="Cost",IF(K161="","(set the P&amp;L Account)",K161),IF(K161="",set_WIPIncome,K161))))</f>
        <v/>
      </c>
      <c r="M161" s="10">
        <f>IF(N(J161)=0,"",IF(J161&gt;0,IF(I161="Cost",IF(K161="","(set the P&amp;L Account)",K161),IF(K161="",set_WIPIncome,K161)),set_WIPAsset))</f>
        <v/>
      </c>
      <c r="N161" s="11">
        <f>IF(N(J161)=0,"",ABS(J161))</f>
        <v/>
      </c>
      <c r="O161" s="10">
        <f>IF(N(J161)=0,"","WIP "&amp;H161&amp;IF(B161="",""," - "&amp;B161)&amp;IF(D161="",""," - "&amp;D161)&amp;IF(A161="",""," - "&amp;TEXT(A161,"mmm yyyy")))</f>
        <v/>
      </c>
      <c r="P161" s="37" t="n"/>
      <c r="Q161" s="37" t="n"/>
      <c r="R161" s="37" t="n"/>
    </row>
    <row r="162">
      <c r="A162" s="44" t="n"/>
      <c r="B162" s="37" t="n"/>
      <c r="C162" s="10">
        <f>IF(B162="","",IF(COUNTIF(lst_Jobs,B162&amp;"")&gt;0,"OK","CHECK"))</f>
        <v/>
      </c>
      <c r="D162" s="10">
        <f>IF(B162="","",IFERROR(INDEX(tbl_Finance[Client],MATCH(B162&amp;"",tbl_Finance[Job Number],0)),""))</f>
        <v/>
      </c>
      <c r="E162" s="37" t="n"/>
      <c r="F162" s="37" t="n"/>
      <c r="G162" s="37" t="n"/>
      <c r="H162" s="37" t="n"/>
      <c r="I162" s="37" t="n"/>
      <c r="J162" s="39" t="n"/>
      <c r="K162" s="37" t="n"/>
      <c r="L162" s="10">
        <f>IF(N(J162)=0,"",IF(J162&gt;0,set_WIPAsset,IF(I162="Cost",IF(K162="","(set the P&amp;L Account)",K162),IF(K162="",set_WIPIncome,K162))))</f>
        <v/>
      </c>
      <c r="M162" s="10">
        <f>IF(N(J162)=0,"",IF(J162&gt;0,IF(I162="Cost",IF(K162="","(set the P&amp;L Account)",K162),IF(K162="",set_WIPIncome,K162)),set_WIPAsset))</f>
        <v/>
      </c>
      <c r="N162" s="11">
        <f>IF(N(J162)=0,"",ABS(J162))</f>
        <v/>
      </c>
      <c r="O162" s="10">
        <f>IF(N(J162)=0,"","WIP "&amp;H162&amp;IF(B162="",""," - "&amp;B162)&amp;IF(D162="",""," - "&amp;D162)&amp;IF(A162="",""," - "&amp;TEXT(A162,"mmm yyyy")))</f>
        <v/>
      </c>
      <c r="P162" s="37" t="n"/>
      <c r="Q162" s="37" t="n"/>
      <c r="R162" s="37" t="n"/>
    </row>
    <row r="163">
      <c r="A163" s="44" t="n"/>
      <c r="B163" s="37" t="n"/>
      <c r="C163" s="10">
        <f>IF(B163="","",IF(COUNTIF(lst_Jobs,B163&amp;"")&gt;0,"OK","CHECK"))</f>
        <v/>
      </c>
      <c r="D163" s="10">
        <f>IF(B163="","",IFERROR(INDEX(tbl_Finance[Client],MATCH(B163&amp;"",tbl_Finance[Job Number],0)),""))</f>
        <v/>
      </c>
      <c r="E163" s="37" t="n"/>
      <c r="F163" s="37" t="n"/>
      <c r="G163" s="37" t="n"/>
      <c r="H163" s="37" t="n"/>
      <c r="I163" s="37" t="n"/>
      <c r="J163" s="39" t="n"/>
      <c r="K163" s="37" t="n"/>
      <c r="L163" s="10">
        <f>IF(N(J163)=0,"",IF(J163&gt;0,set_WIPAsset,IF(I163="Cost",IF(K163="","(set the P&amp;L Account)",K163),IF(K163="",set_WIPIncome,K163))))</f>
        <v/>
      </c>
      <c r="M163" s="10">
        <f>IF(N(J163)=0,"",IF(J163&gt;0,IF(I163="Cost",IF(K163="","(set the P&amp;L Account)",K163),IF(K163="",set_WIPIncome,K163)),set_WIPAsset))</f>
        <v/>
      </c>
      <c r="N163" s="11">
        <f>IF(N(J163)=0,"",ABS(J163))</f>
        <v/>
      </c>
      <c r="O163" s="10">
        <f>IF(N(J163)=0,"","WIP "&amp;H163&amp;IF(B163="",""," - "&amp;B163)&amp;IF(D163="",""," - "&amp;D163)&amp;IF(A163="",""," - "&amp;TEXT(A163,"mmm yyyy")))</f>
        <v/>
      </c>
      <c r="P163" s="37" t="n"/>
      <c r="Q163" s="37" t="n"/>
      <c r="R163" s="37" t="n"/>
    </row>
    <row r="164">
      <c r="A164" s="44" t="n"/>
      <c r="B164" s="37" t="n"/>
      <c r="C164" s="10">
        <f>IF(B164="","",IF(COUNTIF(lst_Jobs,B164&amp;"")&gt;0,"OK","CHECK"))</f>
        <v/>
      </c>
      <c r="D164" s="10">
        <f>IF(B164="","",IFERROR(INDEX(tbl_Finance[Client],MATCH(B164&amp;"",tbl_Finance[Job Number],0)),""))</f>
        <v/>
      </c>
      <c r="E164" s="37" t="n"/>
      <c r="F164" s="37" t="n"/>
      <c r="G164" s="37" t="n"/>
      <c r="H164" s="37" t="n"/>
      <c r="I164" s="37" t="n"/>
      <c r="J164" s="39" t="n"/>
      <c r="K164" s="37" t="n"/>
      <c r="L164" s="10">
        <f>IF(N(J164)=0,"",IF(J164&gt;0,set_WIPAsset,IF(I164="Cost",IF(K164="","(set the P&amp;L Account)",K164),IF(K164="",set_WIPIncome,K164))))</f>
        <v/>
      </c>
      <c r="M164" s="10">
        <f>IF(N(J164)=0,"",IF(J164&gt;0,IF(I164="Cost",IF(K164="","(set the P&amp;L Account)",K164),IF(K164="",set_WIPIncome,K164)),set_WIPAsset))</f>
        <v/>
      </c>
      <c r="N164" s="11">
        <f>IF(N(J164)=0,"",ABS(J164))</f>
        <v/>
      </c>
      <c r="O164" s="10">
        <f>IF(N(J164)=0,"","WIP "&amp;H164&amp;IF(B164="",""," - "&amp;B164)&amp;IF(D164="",""," - "&amp;D164)&amp;IF(A164="",""," - "&amp;TEXT(A164,"mmm yyyy")))</f>
        <v/>
      </c>
      <c r="P164" s="37" t="n"/>
      <c r="Q164" s="37" t="n"/>
      <c r="R164" s="37" t="n"/>
    </row>
    <row r="165">
      <c r="A165" s="44" t="n"/>
      <c r="B165" s="37" t="n"/>
      <c r="C165" s="10">
        <f>IF(B165="","",IF(COUNTIF(lst_Jobs,B165&amp;"")&gt;0,"OK","CHECK"))</f>
        <v/>
      </c>
      <c r="D165" s="10">
        <f>IF(B165="","",IFERROR(INDEX(tbl_Finance[Client],MATCH(B165&amp;"",tbl_Finance[Job Number],0)),""))</f>
        <v/>
      </c>
      <c r="E165" s="37" t="n"/>
      <c r="F165" s="37" t="n"/>
      <c r="G165" s="37" t="n"/>
      <c r="H165" s="37" t="n"/>
      <c r="I165" s="37" t="n"/>
      <c r="J165" s="39" t="n"/>
      <c r="K165" s="37" t="n"/>
      <c r="L165" s="10">
        <f>IF(N(J165)=0,"",IF(J165&gt;0,set_WIPAsset,IF(I165="Cost",IF(K165="","(set the P&amp;L Account)",K165),IF(K165="",set_WIPIncome,K165))))</f>
        <v/>
      </c>
      <c r="M165" s="10">
        <f>IF(N(J165)=0,"",IF(J165&gt;0,IF(I165="Cost",IF(K165="","(set the P&amp;L Account)",K165),IF(K165="",set_WIPIncome,K165)),set_WIPAsset))</f>
        <v/>
      </c>
      <c r="N165" s="11">
        <f>IF(N(J165)=0,"",ABS(J165))</f>
        <v/>
      </c>
      <c r="O165" s="10">
        <f>IF(N(J165)=0,"","WIP "&amp;H165&amp;IF(B165="",""," - "&amp;B165)&amp;IF(D165="",""," - "&amp;D165)&amp;IF(A165="",""," - "&amp;TEXT(A165,"mmm yyyy")))</f>
        <v/>
      </c>
      <c r="P165" s="37" t="n"/>
      <c r="Q165" s="37" t="n"/>
      <c r="R165" s="37" t="n"/>
    </row>
    <row r="166">
      <c r="A166" s="44" t="n"/>
      <c r="B166" s="37" t="n"/>
      <c r="C166" s="10">
        <f>IF(B166="","",IF(COUNTIF(lst_Jobs,B166&amp;"")&gt;0,"OK","CHECK"))</f>
        <v/>
      </c>
      <c r="D166" s="10">
        <f>IF(B166="","",IFERROR(INDEX(tbl_Finance[Client],MATCH(B166&amp;"",tbl_Finance[Job Number],0)),""))</f>
        <v/>
      </c>
      <c r="E166" s="37" t="n"/>
      <c r="F166" s="37" t="n"/>
      <c r="G166" s="37" t="n"/>
      <c r="H166" s="37" t="n"/>
      <c r="I166" s="37" t="n"/>
      <c r="J166" s="39" t="n"/>
      <c r="K166" s="37" t="n"/>
      <c r="L166" s="10">
        <f>IF(N(J166)=0,"",IF(J166&gt;0,set_WIPAsset,IF(I166="Cost",IF(K166="","(set the P&amp;L Account)",K166),IF(K166="",set_WIPIncome,K166))))</f>
        <v/>
      </c>
      <c r="M166" s="10">
        <f>IF(N(J166)=0,"",IF(J166&gt;0,IF(I166="Cost",IF(K166="","(set the P&amp;L Account)",K166),IF(K166="",set_WIPIncome,K166)),set_WIPAsset))</f>
        <v/>
      </c>
      <c r="N166" s="11">
        <f>IF(N(J166)=0,"",ABS(J166))</f>
        <v/>
      </c>
      <c r="O166" s="10">
        <f>IF(N(J166)=0,"","WIP "&amp;H166&amp;IF(B166="",""," - "&amp;B166)&amp;IF(D166="",""," - "&amp;D166)&amp;IF(A166="",""," - "&amp;TEXT(A166,"mmm yyyy")))</f>
        <v/>
      </c>
      <c r="P166" s="37" t="n"/>
      <c r="Q166" s="37" t="n"/>
      <c r="R166" s="37" t="n"/>
    </row>
    <row r="167">
      <c r="A167" s="44" t="n"/>
      <c r="B167" s="37" t="n"/>
      <c r="C167" s="10">
        <f>IF(B167="","",IF(COUNTIF(lst_Jobs,B167&amp;"")&gt;0,"OK","CHECK"))</f>
        <v/>
      </c>
      <c r="D167" s="10">
        <f>IF(B167="","",IFERROR(INDEX(tbl_Finance[Client],MATCH(B167&amp;"",tbl_Finance[Job Number],0)),""))</f>
        <v/>
      </c>
      <c r="E167" s="37" t="n"/>
      <c r="F167" s="37" t="n"/>
      <c r="G167" s="37" t="n"/>
      <c r="H167" s="37" t="n"/>
      <c r="I167" s="37" t="n"/>
      <c r="J167" s="39" t="n"/>
      <c r="K167" s="37" t="n"/>
      <c r="L167" s="10">
        <f>IF(N(J167)=0,"",IF(J167&gt;0,set_WIPAsset,IF(I167="Cost",IF(K167="","(set the P&amp;L Account)",K167),IF(K167="",set_WIPIncome,K167))))</f>
        <v/>
      </c>
      <c r="M167" s="10">
        <f>IF(N(J167)=0,"",IF(J167&gt;0,IF(I167="Cost",IF(K167="","(set the P&amp;L Account)",K167),IF(K167="",set_WIPIncome,K167)),set_WIPAsset))</f>
        <v/>
      </c>
      <c r="N167" s="11">
        <f>IF(N(J167)=0,"",ABS(J167))</f>
        <v/>
      </c>
      <c r="O167" s="10">
        <f>IF(N(J167)=0,"","WIP "&amp;H167&amp;IF(B167="",""," - "&amp;B167)&amp;IF(D167="",""," - "&amp;D167)&amp;IF(A167="",""," - "&amp;TEXT(A167,"mmm yyyy")))</f>
        <v/>
      </c>
      <c r="P167" s="37" t="n"/>
      <c r="Q167" s="37" t="n"/>
      <c r="R167" s="37" t="n"/>
    </row>
    <row r="168">
      <c r="A168" s="44" t="n"/>
      <c r="B168" s="37" t="n"/>
      <c r="C168" s="10">
        <f>IF(B168="","",IF(COUNTIF(lst_Jobs,B168&amp;"")&gt;0,"OK","CHECK"))</f>
        <v/>
      </c>
      <c r="D168" s="10">
        <f>IF(B168="","",IFERROR(INDEX(tbl_Finance[Client],MATCH(B168&amp;"",tbl_Finance[Job Number],0)),""))</f>
        <v/>
      </c>
      <c r="E168" s="37" t="n"/>
      <c r="F168" s="37" t="n"/>
      <c r="G168" s="37" t="n"/>
      <c r="H168" s="37" t="n"/>
      <c r="I168" s="37" t="n"/>
      <c r="J168" s="39" t="n"/>
      <c r="K168" s="37" t="n"/>
      <c r="L168" s="10">
        <f>IF(N(J168)=0,"",IF(J168&gt;0,set_WIPAsset,IF(I168="Cost",IF(K168="","(set the P&amp;L Account)",K168),IF(K168="",set_WIPIncome,K168))))</f>
        <v/>
      </c>
      <c r="M168" s="10">
        <f>IF(N(J168)=0,"",IF(J168&gt;0,IF(I168="Cost",IF(K168="","(set the P&amp;L Account)",K168),IF(K168="",set_WIPIncome,K168)),set_WIPAsset))</f>
        <v/>
      </c>
      <c r="N168" s="11">
        <f>IF(N(J168)=0,"",ABS(J168))</f>
        <v/>
      </c>
      <c r="O168" s="10">
        <f>IF(N(J168)=0,"","WIP "&amp;H168&amp;IF(B168="",""," - "&amp;B168)&amp;IF(D168="",""," - "&amp;D168)&amp;IF(A168="",""," - "&amp;TEXT(A168,"mmm yyyy")))</f>
        <v/>
      </c>
      <c r="P168" s="37" t="n"/>
      <c r="Q168" s="37" t="n"/>
      <c r="R168" s="37" t="n"/>
    </row>
    <row r="169">
      <c r="A169" s="44" t="n"/>
      <c r="B169" s="37" t="n"/>
      <c r="C169" s="10">
        <f>IF(B169="","",IF(COUNTIF(lst_Jobs,B169&amp;"")&gt;0,"OK","CHECK"))</f>
        <v/>
      </c>
      <c r="D169" s="10">
        <f>IF(B169="","",IFERROR(INDEX(tbl_Finance[Client],MATCH(B169&amp;"",tbl_Finance[Job Number],0)),""))</f>
        <v/>
      </c>
      <c r="E169" s="37" t="n"/>
      <c r="F169" s="37" t="n"/>
      <c r="G169" s="37" t="n"/>
      <c r="H169" s="37" t="n"/>
      <c r="I169" s="37" t="n"/>
      <c r="J169" s="39" t="n"/>
      <c r="K169" s="37" t="n"/>
      <c r="L169" s="10">
        <f>IF(N(J169)=0,"",IF(J169&gt;0,set_WIPAsset,IF(I169="Cost",IF(K169="","(set the P&amp;L Account)",K169),IF(K169="",set_WIPIncome,K169))))</f>
        <v/>
      </c>
      <c r="M169" s="10">
        <f>IF(N(J169)=0,"",IF(J169&gt;0,IF(I169="Cost",IF(K169="","(set the P&amp;L Account)",K169),IF(K169="",set_WIPIncome,K169)),set_WIPAsset))</f>
        <v/>
      </c>
      <c r="N169" s="11">
        <f>IF(N(J169)=0,"",ABS(J169))</f>
        <v/>
      </c>
      <c r="O169" s="10">
        <f>IF(N(J169)=0,"","WIP "&amp;H169&amp;IF(B169="",""," - "&amp;B169)&amp;IF(D169="",""," - "&amp;D169)&amp;IF(A169="",""," - "&amp;TEXT(A169,"mmm yyyy")))</f>
        <v/>
      </c>
      <c r="P169" s="37" t="n"/>
      <c r="Q169" s="37" t="n"/>
      <c r="R169" s="37" t="n"/>
    </row>
    <row r="170">
      <c r="A170" s="44" t="n"/>
      <c r="B170" s="37" t="n"/>
      <c r="C170" s="10">
        <f>IF(B170="","",IF(COUNTIF(lst_Jobs,B170&amp;"")&gt;0,"OK","CHECK"))</f>
        <v/>
      </c>
      <c r="D170" s="10">
        <f>IF(B170="","",IFERROR(INDEX(tbl_Finance[Client],MATCH(B170&amp;"",tbl_Finance[Job Number],0)),""))</f>
        <v/>
      </c>
      <c r="E170" s="37" t="n"/>
      <c r="F170" s="37" t="n"/>
      <c r="G170" s="37" t="n"/>
      <c r="H170" s="37" t="n"/>
      <c r="I170" s="37" t="n"/>
      <c r="J170" s="39" t="n"/>
      <c r="K170" s="37" t="n"/>
      <c r="L170" s="10">
        <f>IF(N(J170)=0,"",IF(J170&gt;0,set_WIPAsset,IF(I170="Cost",IF(K170="","(set the P&amp;L Account)",K170),IF(K170="",set_WIPIncome,K170))))</f>
        <v/>
      </c>
      <c r="M170" s="10">
        <f>IF(N(J170)=0,"",IF(J170&gt;0,IF(I170="Cost",IF(K170="","(set the P&amp;L Account)",K170),IF(K170="",set_WIPIncome,K170)),set_WIPAsset))</f>
        <v/>
      </c>
      <c r="N170" s="11">
        <f>IF(N(J170)=0,"",ABS(J170))</f>
        <v/>
      </c>
      <c r="O170" s="10">
        <f>IF(N(J170)=0,"","WIP "&amp;H170&amp;IF(B170="",""," - "&amp;B170)&amp;IF(D170="",""," - "&amp;D170)&amp;IF(A170="",""," - "&amp;TEXT(A170,"mmm yyyy")))</f>
        <v/>
      </c>
      <c r="P170" s="37" t="n"/>
      <c r="Q170" s="37" t="n"/>
      <c r="R170" s="37" t="n"/>
    </row>
    <row r="171">
      <c r="A171" s="44" t="n"/>
      <c r="B171" s="37" t="n"/>
      <c r="C171" s="10">
        <f>IF(B171="","",IF(COUNTIF(lst_Jobs,B171&amp;"")&gt;0,"OK","CHECK"))</f>
        <v/>
      </c>
      <c r="D171" s="10">
        <f>IF(B171="","",IFERROR(INDEX(tbl_Finance[Client],MATCH(B171&amp;"",tbl_Finance[Job Number],0)),""))</f>
        <v/>
      </c>
      <c r="E171" s="37" t="n"/>
      <c r="F171" s="37" t="n"/>
      <c r="G171" s="37" t="n"/>
      <c r="H171" s="37" t="n"/>
      <c r="I171" s="37" t="n"/>
      <c r="J171" s="39" t="n"/>
      <c r="K171" s="37" t="n"/>
      <c r="L171" s="10">
        <f>IF(N(J171)=0,"",IF(J171&gt;0,set_WIPAsset,IF(I171="Cost",IF(K171="","(set the P&amp;L Account)",K171),IF(K171="",set_WIPIncome,K171))))</f>
        <v/>
      </c>
      <c r="M171" s="10">
        <f>IF(N(J171)=0,"",IF(J171&gt;0,IF(I171="Cost",IF(K171="","(set the P&amp;L Account)",K171),IF(K171="",set_WIPIncome,K171)),set_WIPAsset))</f>
        <v/>
      </c>
      <c r="N171" s="11">
        <f>IF(N(J171)=0,"",ABS(J171))</f>
        <v/>
      </c>
      <c r="O171" s="10">
        <f>IF(N(J171)=0,"","WIP "&amp;H171&amp;IF(B171="",""," - "&amp;B171)&amp;IF(D171="",""," - "&amp;D171)&amp;IF(A171="",""," - "&amp;TEXT(A171,"mmm yyyy")))</f>
        <v/>
      </c>
      <c r="P171" s="37" t="n"/>
      <c r="Q171" s="37" t="n"/>
      <c r="R171" s="37" t="n"/>
    </row>
    <row r="172">
      <c r="A172" s="44" t="n"/>
      <c r="B172" s="37" t="n"/>
      <c r="C172" s="10">
        <f>IF(B172="","",IF(COUNTIF(lst_Jobs,B172&amp;"")&gt;0,"OK","CHECK"))</f>
        <v/>
      </c>
      <c r="D172" s="10">
        <f>IF(B172="","",IFERROR(INDEX(tbl_Finance[Client],MATCH(B172&amp;"",tbl_Finance[Job Number],0)),""))</f>
        <v/>
      </c>
      <c r="E172" s="37" t="n"/>
      <c r="F172" s="37" t="n"/>
      <c r="G172" s="37" t="n"/>
      <c r="H172" s="37" t="n"/>
      <c r="I172" s="37" t="n"/>
      <c r="J172" s="39" t="n"/>
      <c r="K172" s="37" t="n"/>
      <c r="L172" s="10">
        <f>IF(N(J172)=0,"",IF(J172&gt;0,set_WIPAsset,IF(I172="Cost",IF(K172="","(set the P&amp;L Account)",K172),IF(K172="",set_WIPIncome,K172))))</f>
        <v/>
      </c>
      <c r="M172" s="10">
        <f>IF(N(J172)=0,"",IF(J172&gt;0,IF(I172="Cost",IF(K172="","(set the P&amp;L Account)",K172),IF(K172="",set_WIPIncome,K172)),set_WIPAsset))</f>
        <v/>
      </c>
      <c r="N172" s="11">
        <f>IF(N(J172)=0,"",ABS(J172))</f>
        <v/>
      </c>
      <c r="O172" s="10">
        <f>IF(N(J172)=0,"","WIP "&amp;H172&amp;IF(B172="",""," - "&amp;B172)&amp;IF(D172="",""," - "&amp;D172)&amp;IF(A172="",""," - "&amp;TEXT(A172,"mmm yyyy")))</f>
        <v/>
      </c>
      <c r="P172" s="37" t="n"/>
      <c r="Q172" s="37" t="n"/>
      <c r="R172" s="37" t="n"/>
    </row>
    <row r="173">
      <c r="A173" s="44" t="n"/>
      <c r="B173" s="37" t="n"/>
      <c r="C173" s="10">
        <f>IF(B173="","",IF(COUNTIF(lst_Jobs,B173&amp;"")&gt;0,"OK","CHECK"))</f>
        <v/>
      </c>
      <c r="D173" s="10">
        <f>IF(B173="","",IFERROR(INDEX(tbl_Finance[Client],MATCH(B173&amp;"",tbl_Finance[Job Number],0)),""))</f>
        <v/>
      </c>
      <c r="E173" s="37" t="n"/>
      <c r="F173" s="37" t="n"/>
      <c r="G173" s="37" t="n"/>
      <c r="H173" s="37" t="n"/>
      <c r="I173" s="37" t="n"/>
      <c r="J173" s="39" t="n"/>
      <c r="K173" s="37" t="n"/>
      <c r="L173" s="10">
        <f>IF(N(J173)=0,"",IF(J173&gt;0,set_WIPAsset,IF(I173="Cost",IF(K173="","(set the P&amp;L Account)",K173),IF(K173="",set_WIPIncome,K173))))</f>
        <v/>
      </c>
      <c r="M173" s="10">
        <f>IF(N(J173)=0,"",IF(J173&gt;0,IF(I173="Cost",IF(K173="","(set the P&amp;L Account)",K173),IF(K173="",set_WIPIncome,K173)),set_WIPAsset))</f>
        <v/>
      </c>
      <c r="N173" s="11">
        <f>IF(N(J173)=0,"",ABS(J173))</f>
        <v/>
      </c>
      <c r="O173" s="10">
        <f>IF(N(J173)=0,"","WIP "&amp;H173&amp;IF(B173="",""," - "&amp;B173)&amp;IF(D173="",""," - "&amp;D173)&amp;IF(A173="",""," - "&amp;TEXT(A173,"mmm yyyy")))</f>
        <v/>
      </c>
      <c r="P173" s="37" t="n"/>
      <c r="Q173" s="37" t="n"/>
      <c r="R173" s="37" t="n"/>
    </row>
    <row r="174">
      <c r="A174" s="44" t="n"/>
      <c r="B174" s="37" t="n"/>
      <c r="C174" s="10">
        <f>IF(B174="","",IF(COUNTIF(lst_Jobs,B174&amp;"")&gt;0,"OK","CHECK"))</f>
        <v/>
      </c>
      <c r="D174" s="10">
        <f>IF(B174="","",IFERROR(INDEX(tbl_Finance[Client],MATCH(B174&amp;"",tbl_Finance[Job Number],0)),""))</f>
        <v/>
      </c>
      <c r="E174" s="37" t="n"/>
      <c r="F174" s="37" t="n"/>
      <c r="G174" s="37" t="n"/>
      <c r="H174" s="37" t="n"/>
      <c r="I174" s="37" t="n"/>
      <c r="J174" s="39" t="n"/>
      <c r="K174" s="37" t="n"/>
      <c r="L174" s="10">
        <f>IF(N(J174)=0,"",IF(J174&gt;0,set_WIPAsset,IF(I174="Cost",IF(K174="","(set the P&amp;L Account)",K174),IF(K174="",set_WIPIncome,K174))))</f>
        <v/>
      </c>
      <c r="M174" s="10">
        <f>IF(N(J174)=0,"",IF(J174&gt;0,IF(I174="Cost",IF(K174="","(set the P&amp;L Account)",K174),IF(K174="",set_WIPIncome,K174)),set_WIPAsset))</f>
        <v/>
      </c>
      <c r="N174" s="11">
        <f>IF(N(J174)=0,"",ABS(J174))</f>
        <v/>
      </c>
      <c r="O174" s="10">
        <f>IF(N(J174)=0,"","WIP "&amp;H174&amp;IF(B174="",""," - "&amp;B174)&amp;IF(D174="",""," - "&amp;D174)&amp;IF(A174="",""," - "&amp;TEXT(A174,"mmm yyyy")))</f>
        <v/>
      </c>
      <c r="P174" s="37" t="n"/>
      <c r="Q174" s="37" t="n"/>
      <c r="R174" s="37" t="n"/>
    </row>
    <row r="175">
      <c r="A175" s="44" t="n"/>
      <c r="B175" s="37" t="n"/>
      <c r="C175" s="10">
        <f>IF(B175="","",IF(COUNTIF(lst_Jobs,B175&amp;"")&gt;0,"OK","CHECK"))</f>
        <v/>
      </c>
      <c r="D175" s="10">
        <f>IF(B175="","",IFERROR(INDEX(tbl_Finance[Client],MATCH(B175&amp;"",tbl_Finance[Job Number],0)),""))</f>
        <v/>
      </c>
      <c r="E175" s="37" t="n"/>
      <c r="F175" s="37" t="n"/>
      <c r="G175" s="37" t="n"/>
      <c r="H175" s="37" t="n"/>
      <c r="I175" s="37" t="n"/>
      <c r="J175" s="39" t="n"/>
      <c r="K175" s="37" t="n"/>
      <c r="L175" s="10">
        <f>IF(N(J175)=0,"",IF(J175&gt;0,set_WIPAsset,IF(I175="Cost",IF(K175="","(set the P&amp;L Account)",K175),IF(K175="",set_WIPIncome,K175))))</f>
        <v/>
      </c>
      <c r="M175" s="10">
        <f>IF(N(J175)=0,"",IF(J175&gt;0,IF(I175="Cost",IF(K175="","(set the P&amp;L Account)",K175),IF(K175="",set_WIPIncome,K175)),set_WIPAsset))</f>
        <v/>
      </c>
      <c r="N175" s="11">
        <f>IF(N(J175)=0,"",ABS(J175))</f>
        <v/>
      </c>
      <c r="O175" s="10">
        <f>IF(N(J175)=0,"","WIP "&amp;H175&amp;IF(B175="",""," - "&amp;B175)&amp;IF(D175="",""," - "&amp;D175)&amp;IF(A175="",""," - "&amp;TEXT(A175,"mmm yyyy")))</f>
        <v/>
      </c>
      <c r="P175" s="37" t="n"/>
      <c r="Q175" s="37" t="n"/>
      <c r="R175" s="37" t="n"/>
    </row>
    <row r="176">
      <c r="A176" s="44" t="n"/>
      <c r="B176" s="37" t="n"/>
      <c r="C176" s="10">
        <f>IF(B176="","",IF(COUNTIF(lst_Jobs,B176&amp;"")&gt;0,"OK","CHECK"))</f>
        <v/>
      </c>
      <c r="D176" s="10">
        <f>IF(B176="","",IFERROR(INDEX(tbl_Finance[Client],MATCH(B176&amp;"",tbl_Finance[Job Number],0)),""))</f>
        <v/>
      </c>
      <c r="E176" s="37" t="n"/>
      <c r="F176" s="37" t="n"/>
      <c r="G176" s="37" t="n"/>
      <c r="H176" s="37" t="n"/>
      <c r="I176" s="37" t="n"/>
      <c r="J176" s="39" t="n"/>
      <c r="K176" s="37" t="n"/>
      <c r="L176" s="10">
        <f>IF(N(J176)=0,"",IF(J176&gt;0,set_WIPAsset,IF(I176="Cost",IF(K176="","(set the P&amp;L Account)",K176),IF(K176="",set_WIPIncome,K176))))</f>
        <v/>
      </c>
      <c r="M176" s="10">
        <f>IF(N(J176)=0,"",IF(J176&gt;0,IF(I176="Cost",IF(K176="","(set the P&amp;L Account)",K176),IF(K176="",set_WIPIncome,K176)),set_WIPAsset))</f>
        <v/>
      </c>
      <c r="N176" s="11">
        <f>IF(N(J176)=0,"",ABS(J176))</f>
        <v/>
      </c>
      <c r="O176" s="10">
        <f>IF(N(J176)=0,"","WIP "&amp;H176&amp;IF(B176="",""," - "&amp;B176)&amp;IF(D176="",""," - "&amp;D176)&amp;IF(A176="",""," - "&amp;TEXT(A176,"mmm yyyy")))</f>
        <v/>
      </c>
      <c r="P176" s="37" t="n"/>
      <c r="Q176" s="37" t="n"/>
      <c r="R176" s="37" t="n"/>
    </row>
    <row r="177">
      <c r="A177" s="44" t="n"/>
      <c r="B177" s="37" t="n"/>
      <c r="C177" s="10">
        <f>IF(B177="","",IF(COUNTIF(lst_Jobs,B177&amp;"")&gt;0,"OK","CHECK"))</f>
        <v/>
      </c>
      <c r="D177" s="10">
        <f>IF(B177="","",IFERROR(INDEX(tbl_Finance[Client],MATCH(B177&amp;"",tbl_Finance[Job Number],0)),""))</f>
        <v/>
      </c>
      <c r="E177" s="37" t="n"/>
      <c r="F177" s="37" t="n"/>
      <c r="G177" s="37" t="n"/>
      <c r="H177" s="37" t="n"/>
      <c r="I177" s="37" t="n"/>
      <c r="J177" s="39" t="n"/>
      <c r="K177" s="37" t="n"/>
      <c r="L177" s="10">
        <f>IF(N(J177)=0,"",IF(J177&gt;0,set_WIPAsset,IF(I177="Cost",IF(K177="","(set the P&amp;L Account)",K177),IF(K177="",set_WIPIncome,K177))))</f>
        <v/>
      </c>
      <c r="M177" s="10">
        <f>IF(N(J177)=0,"",IF(J177&gt;0,IF(I177="Cost",IF(K177="","(set the P&amp;L Account)",K177),IF(K177="",set_WIPIncome,K177)),set_WIPAsset))</f>
        <v/>
      </c>
      <c r="N177" s="11">
        <f>IF(N(J177)=0,"",ABS(J177))</f>
        <v/>
      </c>
      <c r="O177" s="10">
        <f>IF(N(J177)=0,"","WIP "&amp;H177&amp;IF(B177="",""," - "&amp;B177)&amp;IF(D177="",""," - "&amp;D177)&amp;IF(A177="",""," - "&amp;TEXT(A177,"mmm yyyy")))</f>
        <v/>
      </c>
      <c r="P177" s="37" t="n"/>
      <c r="Q177" s="37" t="n"/>
      <c r="R177" s="37" t="n"/>
    </row>
    <row r="178">
      <c r="A178" s="44" t="n"/>
      <c r="B178" s="37" t="n"/>
      <c r="C178" s="10">
        <f>IF(B178="","",IF(COUNTIF(lst_Jobs,B178&amp;"")&gt;0,"OK","CHECK"))</f>
        <v/>
      </c>
      <c r="D178" s="10">
        <f>IF(B178="","",IFERROR(INDEX(tbl_Finance[Client],MATCH(B178&amp;"",tbl_Finance[Job Number],0)),""))</f>
        <v/>
      </c>
      <c r="E178" s="37" t="n"/>
      <c r="F178" s="37" t="n"/>
      <c r="G178" s="37" t="n"/>
      <c r="H178" s="37" t="n"/>
      <c r="I178" s="37" t="n"/>
      <c r="J178" s="39" t="n"/>
      <c r="K178" s="37" t="n"/>
      <c r="L178" s="10">
        <f>IF(N(J178)=0,"",IF(J178&gt;0,set_WIPAsset,IF(I178="Cost",IF(K178="","(set the P&amp;L Account)",K178),IF(K178="",set_WIPIncome,K178))))</f>
        <v/>
      </c>
      <c r="M178" s="10">
        <f>IF(N(J178)=0,"",IF(J178&gt;0,IF(I178="Cost",IF(K178="","(set the P&amp;L Account)",K178),IF(K178="",set_WIPIncome,K178)),set_WIPAsset))</f>
        <v/>
      </c>
      <c r="N178" s="11">
        <f>IF(N(J178)=0,"",ABS(J178))</f>
        <v/>
      </c>
      <c r="O178" s="10">
        <f>IF(N(J178)=0,"","WIP "&amp;H178&amp;IF(B178="",""," - "&amp;B178)&amp;IF(D178="",""," - "&amp;D178)&amp;IF(A178="",""," - "&amp;TEXT(A178,"mmm yyyy")))</f>
        <v/>
      </c>
      <c r="P178" s="37" t="n"/>
      <c r="Q178" s="37" t="n"/>
      <c r="R178" s="37" t="n"/>
    </row>
    <row r="179">
      <c r="A179" s="44" t="n"/>
      <c r="B179" s="37" t="n"/>
      <c r="C179" s="10">
        <f>IF(B179="","",IF(COUNTIF(lst_Jobs,B179&amp;"")&gt;0,"OK","CHECK"))</f>
        <v/>
      </c>
      <c r="D179" s="10">
        <f>IF(B179="","",IFERROR(INDEX(tbl_Finance[Client],MATCH(B179&amp;"",tbl_Finance[Job Number],0)),""))</f>
        <v/>
      </c>
      <c r="E179" s="37" t="n"/>
      <c r="F179" s="37" t="n"/>
      <c r="G179" s="37" t="n"/>
      <c r="H179" s="37" t="n"/>
      <c r="I179" s="37" t="n"/>
      <c r="J179" s="39" t="n"/>
      <c r="K179" s="37" t="n"/>
      <c r="L179" s="10">
        <f>IF(N(J179)=0,"",IF(J179&gt;0,set_WIPAsset,IF(I179="Cost",IF(K179="","(set the P&amp;L Account)",K179),IF(K179="",set_WIPIncome,K179))))</f>
        <v/>
      </c>
      <c r="M179" s="10">
        <f>IF(N(J179)=0,"",IF(J179&gt;0,IF(I179="Cost",IF(K179="","(set the P&amp;L Account)",K179),IF(K179="",set_WIPIncome,K179)),set_WIPAsset))</f>
        <v/>
      </c>
      <c r="N179" s="11">
        <f>IF(N(J179)=0,"",ABS(J179))</f>
        <v/>
      </c>
      <c r="O179" s="10">
        <f>IF(N(J179)=0,"","WIP "&amp;H179&amp;IF(B179="",""," - "&amp;B179)&amp;IF(D179="",""," - "&amp;D179)&amp;IF(A179="",""," - "&amp;TEXT(A179,"mmm yyyy")))</f>
        <v/>
      </c>
      <c r="P179" s="37" t="n"/>
      <c r="Q179" s="37" t="n"/>
      <c r="R179" s="37" t="n"/>
    </row>
    <row r="180">
      <c r="A180" s="44" t="n"/>
      <c r="B180" s="37" t="n"/>
      <c r="C180" s="10">
        <f>IF(B180="","",IF(COUNTIF(lst_Jobs,B180&amp;"")&gt;0,"OK","CHECK"))</f>
        <v/>
      </c>
      <c r="D180" s="10">
        <f>IF(B180="","",IFERROR(INDEX(tbl_Finance[Client],MATCH(B180&amp;"",tbl_Finance[Job Number],0)),""))</f>
        <v/>
      </c>
      <c r="E180" s="37" t="n"/>
      <c r="F180" s="37" t="n"/>
      <c r="G180" s="37" t="n"/>
      <c r="H180" s="37" t="n"/>
      <c r="I180" s="37" t="n"/>
      <c r="J180" s="39" t="n"/>
      <c r="K180" s="37" t="n"/>
      <c r="L180" s="10">
        <f>IF(N(J180)=0,"",IF(J180&gt;0,set_WIPAsset,IF(I180="Cost",IF(K180="","(set the P&amp;L Account)",K180),IF(K180="",set_WIPIncome,K180))))</f>
        <v/>
      </c>
      <c r="M180" s="10">
        <f>IF(N(J180)=0,"",IF(J180&gt;0,IF(I180="Cost",IF(K180="","(set the P&amp;L Account)",K180),IF(K180="",set_WIPIncome,K180)),set_WIPAsset))</f>
        <v/>
      </c>
      <c r="N180" s="11">
        <f>IF(N(J180)=0,"",ABS(J180))</f>
        <v/>
      </c>
      <c r="O180" s="10">
        <f>IF(N(J180)=0,"","WIP "&amp;H180&amp;IF(B180="",""," - "&amp;B180)&amp;IF(D180="",""," - "&amp;D180)&amp;IF(A180="",""," - "&amp;TEXT(A180,"mmm yyyy")))</f>
        <v/>
      </c>
      <c r="P180" s="37" t="n"/>
      <c r="Q180" s="37" t="n"/>
      <c r="R180" s="37" t="n"/>
    </row>
    <row r="181">
      <c r="A181" s="44" t="n"/>
      <c r="B181" s="37" t="n"/>
      <c r="C181" s="10">
        <f>IF(B181="","",IF(COUNTIF(lst_Jobs,B181&amp;"")&gt;0,"OK","CHECK"))</f>
        <v/>
      </c>
      <c r="D181" s="10">
        <f>IF(B181="","",IFERROR(INDEX(tbl_Finance[Client],MATCH(B181&amp;"",tbl_Finance[Job Number],0)),""))</f>
        <v/>
      </c>
      <c r="E181" s="37" t="n"/>
      <c r="F181" s="37" t="n"/>
      <c r="G181" s="37" t="n"/>
      <c r="H181" s="37" t="n"/>
      <c r="I181" s="37" t="n"/>
      <c r="J181" s="39" t="n"/>
      <c r="K181" s="37" t="n"/>
      <c r="L181" s="10">
        <f>IF(N(J181)=0,"",IF(J181&gt;0,set_WIPAsset,IF(I181="Cost",IF(K181="","(set the P&amp;L Account)",K181),IF(K181="",set_WIPIncome,K181))))</f>
        <v/>
      </c>
      <c r="M181" s="10">
        <f>IF(N(J181)=0,"",IF(J181&gt;0,IF(I181="Cost",IF(K181="","(set the P&amp;L Account)",K181),IF(K181="",set_WIPIncome,K181)),set_WIPAsset))</f>
        <v/>
      </c>
      <c r="N181" s="11">
        <f>IF(N(J181)=0,"",ABS(J181))</f>
        <v/>
      </c>
      <c r="O181" s="10">
        <f>IF(N(J181)=0,"","WIP "&amp;H181&amp;IF(B181="",""," - "&amp;B181)&amp;IF(D181="",""," - "&amp;D181)&amp;IF(A181="",""," - "&amp;TEXT(A181,"mmm yyyy")))</f>
        <v/>
      </c>
      <c r="P181" s="37" t="n"/>
      <c r="Q181" s="37" t="n"/>
      <c r="R181" s="37" t="n"/>
    </row>
    <row r="182">
      <c r="A182" s="44" t="n"/>
      <c r="B182" s="37" t="n"/>
      <c r="C182" s="10">
        <f>IF(B182="","",IF(COUNTIF(lst_Jobs,B182&amp;"")&gt;0,"OK","CHECK"))</f>
        <v/>
      </c>
      <c r="D182" s="10">
        <f>IF(B182="","",IFERROR(INDEX(tbl_Finance[Client],MATCH(B182&amp;"",tbl_Finance[Job Number],0)),""))</f>
        <v/>
      </c>
      <c r="E182" s="37" t="n"/>
      <c r="F182" s="37" t="n"/>
      <c r="G182" s="37" t="n"/>
      <c r="H182" s="37" t="n"/>
      <c r="I182" s="37" t="n"/>
      <c r="J182" s="39" t="n"/>
      <c r="K182" s="37" t="n"/>
      <c r="L182" s="10">
        <f>IF(N(J182)=0,"",IF(J182&gt;0,set_WIPAsset,IF(I182="Cost",IF(K182="","(set the P&amp;L Account)",K182),IF(K182="",set_WIPIncome,K182))))</f>
        <v/>
      </c>
      <c r="M182" s="10">
        <f>IF(N(J182)=0,"",IF(J182&gt;0,IF(I182="Cost",IF(K182="","(set the P&amp;L Account)",K182),IF(K182="",set_WIPIncome,K182)),set_WIPAsset))</f>
        <v/>
      </c>
      <c r="N182" s="11">
        <f>IF(N(J182)=0,"",ABS(J182))</f>
        <v/>
      </c>
      <c r="O182" s="10">
        <f>IF(N(J182)=0,"","WIP "&amp;H182&amp;IF(B182="",""," - "&amp;B182)&amp;IF(D182="",""," - "&amp;D182)&amp;IF(A182="",""," - "&amp;TEXT(A182,"mmm yyyy")))</f>
        <v/>
      </c>
      <c r="P182" s="37" t="n"/>
      <c r="Q182" s="37" t="n"/>
      <c r="R182" s="37" t="n"/>
    </row>
    <row r="183">
      <c r="A183" s="44" t="n"/>
      <c r="B183" s="37" t="n"/>
      <c r="C183" s="10">
        <f>IF(B183="","",IF(COUNTIF(lst_Jobs,B183&amp;"")&gt;0,"OK","CHECK"))</f>
        <v/>
      </c>
      <c r="D183" s="10">
        <f>IF(B183="","",IFERROR(INDEX(tbl_Finance[Client],MATCH(B183&amp;"",tbl_Finance[Job Number],0)),""))</f>
        <v/>
      </c>
      <c r="E183" s="37" t="n"/>
      <c r="F183" s="37" t="n"/>
      <c r="G183" s="37" t="n"/>
      <c r="H183" s="37" t="n"/>
      <c r="I183" s="37" t="n"/>
      <c r="J183" s="39" t="n"/>
      <c r="K183" s="37" t="n"/>
      <c r="L183" s="10">
        <f>IF(N(J183)=0,"",IF(J183&gt;0,set_WIPAsset,IF(I183="Cost",IF(K183="","(set the P&amp;L Account)",K183),IF(K183="",set_WIPIncome,K183))))</f>
        <v/>
      </c>
      <c r="M183" s="10">
        <f>IF(N(J183)=0,"",IF(J183&gt;0,IF(I183="Cost",IF(K183="","(set the P&amp;L Account)",K183),IF(K183="",set_WIPIncome,K183)),set_WIPAsset))</f>
        <v/>
      </c>
      <c r="N183" s="11">
        <f>IF(N(J183)=0,"",ABS(J183))</f>
        <v/>
      </c>
      <c r="O183" s="10">
        <f>IF(N(J183)=0,"","WIP "&amp;H183&amp;IF(B183="",""," - "&amp;B183)&amp;IF(D183="",""," - "&amp;D183)&amp;IF(A183="",""," - "&amp;TEXT(A183,"mmm yyyy")))</f>
        <v/>
      </c>
      <c r="P183" s="37" t="n"/>
      <c r="Q183" s="37" t="n"/>
      <c r="R183" s="37" t="n"/>
    </row>
    <row r="184">
      <c r="A184" s="44" t="n"/>
      <c r="B184" s="37" t="n"/>
      <c r="C184" s="10">
        <f>IF(B184="","",IF(COUNTIF(lst_Jobs,B184&amp;"")&gt;0,"OK","CHECK"))</f>
        <v/>
      </c>
      <c r="D184" s="10">
        <f>IF(B184="","",IFERROR(INDEX(tbl_Finance[Client],MATCH(B184&amp;"",tbl_Finance[Job Number],0)),""))</f>
        <v/>
      </c>
      <c r="E184" s="37" t="n"/>
      <c r="F184" s="37" t="n"/>
      <c r="G184" s="37" t="n"/>
      <c r="H184" s="37" t="n"/>
      <c r="I184" s="37" t="n"/>
      <c r="J184" s="39" t="n"/>
      <c r="K184" s="37" t="n"/>
      <c r="L184" s="10">
        <f>IF(N(J184)=0,"",IF(J184&gt;0,set_WIPAsset,IF(I184="Cost",IF(K184="","(set the P&amp;L Account)",K184),IF(K184="",set_WIPIncome,K184))))</f>
        <v/>
      </c>
      <c r="M184" s="10">
        <f>IF(N(J184)=0,"",IF(J184&gt;0,IF(I184="Cost",IF(K184="","(set the P&amp;L Account)",K184),IF(K184="",set_WIPIncome,K184)),set_WIPAsset))</f>
        <v/>
      </c>
      <c r="N184" s="11">
        <f>IF(N(J184)=0,"",ABS(J184))</f>
        <v/>
      </c>
      <c r="O184" s="10">
        <f>IF(N(J184)=0,"","WIP "&amp;H184&amp;IF(B184="",""," - "&amp;B184)&amp;IF(D184="",""," - "&amp;D184)&amp;IF(A184="",""," - "&amp;TEXT(A184,"mmm yyyy")))</f>
        <v/>
      </c>
      <c r="P184" s="37" t="n"/>
      <c r="Q184" s="37" t="n"/>
      <c r="R184" s="37" t="n"/>
    </row>
    <row r="185">
      <c r="A185" s="44" t="n"/>
      <c r="B185" s="37" t="n"/>
      <c r="C185" s="10">
        <f>IF(B185="","",IF(COUNTIF(lst_Jobs,B185&amp;"")&gt;0,"OK","CHECK"))</f>
        <v/>
      </c>
      <c r="D185" s="10">
        <f>IF(B185="","",IFERROR(INDEX(tbl_Finance[Client],MATCH(B185&amp;"",tbl_Finance[Job Number],0)),""))</f>
        <v/>
      </c>
      <c r="E185" s="37" t="n"/>
      <c r="F185" s="37" t="n"/>
      <c r="G185" s="37" t="n"/>
      <c r="H185" s="37" t="n"/>
      <c r="I185" s="37" t="n"/>
      <c r="J185" s="39" t="n"/>
      <c r="K185" s="37" t="n"/>
      <c r="L185" s="10">
        <f>IF(N(J185)=0,"",IF(J185&gt;0,set_WIPAsset,IF(I185="Cost",IF(K185="","(set the P&amp;L Account)",K185),IF(K185="",set_WIPIncome,K185))))</f>
        <v/>
      </c>
      <c r="M185" s="10">
        <f>IF(N(J185)=0,"",IF(J185&gt;0,IF(I185="Cost",IF(K185="","(set the P&amp;L Account)",K185),IF(K185="",set_WIPIncome,K185)),set_WIPAsset))</f>
        <v/>
      </c>
      <c r="N185" s="11">
        <f>IF(N(J185)=0,"",ABS(J185))</f>
        <v/>
      </c>
      <c r="O185" s="10">
        <f>IF(N(J185)=0,"","WIP "&amp;H185&amp;IF(B185="",""," - "&amp;B185)&amp;IF(D185="",""," - "&amp;D185)&amp;IF(A185="",""," - "&amp;TEXT(A185,"mmm yyyy")))</f>
        <v/>
      </c>
      <c r="P185" s="37" t="n"/>
      <c r="Q185" s="37" t="n"/>
      <c r="R185" s="37" t="n"/>
    </row>
    <row r="186">
      <c r="A186" s="44" t="n"/>
      <c r="B186" s="37" t="n"/>
      <c r="C186" s="10">
        <f>IF(B186="","",IF(COUNTIF(lst_Jobs,B186&amp;"")&gt;0,"OK","CHECK"))</f>
        <v/>
      </c>
      <c r="D186" s="10">
        <f>IF(B186="","",IFERROR(INDEX(tbl_Finance[Client],MATCH(B186&amp;"",tbl_Finance[Job Number],0)),""))</f>
        <v/>
      </c>
      <c r="E186" s="37" t="n"/>
      <c r="F186" s="37" t="n"/>
      <c r="G186" s="37" t="n"/>
      <c r="H186" s="37" t="n"/>
      <c r="I186" s="37" t="n"/>
      <c r="J186" s="39" t="n"/>
      <c r="K186" s="37" t="n"/>
      <c r="L186" s="10">
        <f>IF(N(J186)=0,"",IF(J186&gt;0,set_WIPAsset,IF(I186="Cost",IF(K186="","(set the P&amp;L Account)",K186),IF(K186="",set_WIPIncome,K186))))</f>
        <v/>
      </c>
      <c r="M186" s="10">
        <f>IF(N(J186)=0,"",IF(J186&gt;0,IF(I186="Cost",IF(K186="","(set the P&amp;L Account)",K186),IF(K186="",set_WIPIncome,K186)),set_WIPAsset))</f>
        <v/>
      </c>
      <c r="N186" s="11">
        <f>IF(N(J186)=0,"",ABS(J186))</f>
        <v/>
      </c>
      <c r="O186" s="10">
        <f>IF(N(J186)=0,"","WIP "&amp;H186&amp;IF(B186="",""," - "&amp;B186)&amp;IF(D186="",""," - "&amp;D186)&amp;IF(A186="",""," - "&amp;TEXT(A186,"mmm yyyy")))</f>
        <v/>
      </c>
      <c r="P186" s="37" t="n"/>
      <c r="Q186" s="37" t="n"/>
      <c r="R186" s="37" t="n"/>
    </row>
    <row r="187">
      <c r="A187" s="44" t="n"/>
      <c r="B187" s="37" t="n"/>
      <c r="C187" s="10">
        <f>IF(B187="","",IF(COUNTIF(lst_Jobs,B187&amp;"")&gt;0,"OK","CHECK"))</f>
        <v/>
      </c>
      <c r="D187" s="10">
        <f>IF(B187="","",IFERROR(INDEX(tbl_Finance[Client],MATCH(B187&amp;"",tbl_Finance[Job Number],0)),""))</f>
        <v/>
      </c>
      <c r="E187" s="37" t="n"/>
      <c r="F187" s="37" t="n"/>
      <c r="G187" s="37" t="n"/>
      <c r="H187" s="37" t="n"/>
      <c r="I187" s="37" t="n"/>
      <c r="J187" s="39" t="n"/>
      <c r="K187" s="37" t="n"/>
      <c r="L187" s="10">
        <f>IF(N(J187)=0,"",IF(J187&gt;0,set_WIPAsset,IF(I187="Cost",IF(K187="","(set the P&amp;L Account)",K187),IF(K187="",set_WIPIncome,K187))))</f>
        <v/>
      </c>
      <c r="M187" s="10">
        <f>IF(N(J187)=0,"",IF(J187&gt;0,IF(I187="Cost",IF(K187="","(set the P&amp;L Account)",K187),IF(K187="",set_WIPIncome,K187)),set_WIPAsset))</f>
        <v/>
      </c>
      <c r="N187" s="11">
        <f>IF(N(J187)=0,"",ABS(J187))</f>
        <v/>
      </c>
      <c r="O187" s="10">
        <f>IF(N(J187)=0,"","WIP "&amp;H187&amp;IF(B187="",""," - "&amp;B187)&amp;IF(D187="",""," - "&amp;D187)&amp;IF(A187="",""," - "&amp;TEXT(A187,"mmm yyyy")))</f>
        <v/>
      </c>
      <c r="P187" s="37" t="n"/>
      <c r="Q187" s="37" t="n"/>
      <c r="R187" s="37" t="n"/>
    </row>
    <row r="188">
      <c r="A188" s="44" t="n"/>
      <c r="B188" s="37" t="n"/>
      <c r="C188" s="10">
        <f>IF(B188="","",IF(COUNTIF(lst_Jobs,B188&amp;"")&gt;0,"OK","CHECK"))</f>
        <v/>
      </c>
      <c r="D188" s="10">
        <f>IF(B188="","",IFERROR(INDEX(tbl_Finance[Client],MATCH(B188&amp;"",tbl_Finance[Job Number],0)),""))</f>
        <v/>
      </c>
      <c r="E188" s="37" t="n"/>
      <c r="F188" s="37" t="n"/>
      <c r="G188" s="37" t="n"/>
      <c r="H188" s="37" t="n"/>
      <c r="I188" s="37" t="n"/>
      <c r="J188" s="39" t="n"/>
      <c r="K188" s="37" t="n"/>
      <c r="L188" s="10">
        <f>IF(N(J188)=0,"",IF(J188&gt;0,set_WIPAsset,IF(I188="Cost",IF(K188="","(set the P&amp;L Account)",K188),IF(K188="",set_WIPIncome,K188))))</f>
        <v/>
      </c>
      <c r="M188" s="10">
        <f>IF(N(J188)=0,"",IF(J188&gt;0,IF(I188="Cost",IF(K188="","(set the P&amp;L Account)",K188),IF(K188="",set_WIPIncome,K188)),set_WIPAsset))</f>
        <v/>
      </c>
      <c r="N188" s="11">
        <f>IF(N(J188)=0,"",ABS(J188))</f>
        <v/>
      </c>
      <c r="O188" s="10">
        <f>IF(N(J188)=0,"","WIP "&amp;H188&amp;IF(B188="",""," - "&amp;B188)&amp;IF(D188="",""," - "&amp;D188)&amp;IF(A188="",""," - "&amp;TEXT(A188,"mmm yyyy")))</f>
        <v/>
      </c>
      <c r="P188" s="37" t="n"/>
      <c r="Q188" s="37" t="n"/>
      <c r="R188" s="37" t="n"/>
    </row>
    <row r="189">
      <c r="A189" s="44" t="n"/>
      <c r="B189" s="37" t="n"/>
      <c r="C189" s="10">
        <f>IF(B189="","",IF(COUNTIF(lst_Jobs,B189&amp;"")&gt;0,"OK","CHECK"))</f>
        <v/>
      </c>
      <c r="D189" s="10">
        <f>IF(B189="","",IFERROR(INDEX(tbl_Finance[Client],MATCH(B189&amp;"",tbl_Finance[Job Number],0)),""))</f>
        <v/>
      </c>
      <c r="E189" s="37" t="n"/>
      <c r="F189" s="37" t="n"/>
      <c r="G189" s="37" t="n"/>
      <c r="H189" s="37" t="n"/>
      <c r="I189" s="37" t="n"/>
      <c r="J189" s="39" t="n"/>
      <c r="K189" s="37" t="n"/>
      <c r="L189" s="10">
        <f>IF(N(J189)=0,"",IF(J189&gt;0,set_WIPAsset,IF(I189="Cost",IF(K189="","(set the P&amp;L Account)",K189),IF(K189="",set_WIPIncome,K189))))</f>
        <v/>
      </c>
      <c r="M189" s="10">
        <f>IF(N(J189)=0,"",IF(J189&gt;0,IF(I189="Cost",IF(K189="","(set the P&amp;L Account)",K189),IF(K189="",set_WIPIncome,K189)),set_WIPAsset))</f>
        <v/>
      </c>
      <c r="N189" s="11">
        <f>IF(N(J189)=0,"",ABS(J189))</f>
        <v/>
      </c>
      <c r="O189" s="10">
        <f>IF(N(J189)=0,"","WIP "&amp;H189&amp;IF(B189="",""," - "&amp;B189)&amp;IF(D189="",""," - "&amp;D189)&amp;IF(A189="",""," - "&amp;TEXT(A189,"mmm yyyy")))</f>
        <v/>
      </c>
      <c r="P189" s="37" t="n"/>
      <c r="Q189" s="37" t="n"/>
      <c r="R189" s="37" t="n"/>
    </row>
    <row r="190">
      <c r="A190" s="44" t="n"/>
      <c r="B190" s="37" t="n"/>
      <c r="C190" s="10">
        <f>IF(B190="","",IF(COUNTIF(lst_Jobs,B190&amp;"")&gt;0,"OK","CHECK"))</f>
        <v/>
      </c>
      <c r="D190" s="10">
        <f>IF(B190="","",IFERROR(INDEX(tbl_Finance[Client],MATCH(B190&amp;"",tbl_Finance[Job Number],0)),""))</f>
        <v/>
      </c>
      <c r="E190" s="37" t="n"/>
      <c r="F190" s="37" t="n"/>
      <c r="G190" s="37" t="n"/>
      <c r="H190" s="37" t="n"/>
      <c r="I190" s="37" t="n"/>
      <c r="J190" s="39" t="n"/>
      <c r="K190" s="37" t="n"/>
      <c r="L190" s="10">
        <f>IF(N(J190)=0,"",IF(J190&gt;0,set_WIPAsset,IF(I190="Cost",IF(K190="","(set the P&amp;L Account)",K190),IF(K190="",set_WIPIncome,K190))))</f>
        <v/>
      </c>
      <c r="M190" s="10">
        <f>IF(N(J190)=0,"",IF(J190&gt;0,IF(I190="Cost",IF(K190="","(set the P&amp;L Account)",K190),IF(K190="",set_WIPIncome,K190)),set_WIPAsset))</f>
        <v/>
      </c>
      <c r="N190" s="11">
        <f>IF(N(J190)=0,"",ABS(J190))</f>
        <v/>
      </c>
      <c r="O190" s="10">
        <f>IF(N(J190)=0,"","WIP "&amp;H190&amp;IF(B190="",""," - "&amp;B190)&amp;IF(D190="",""," - "&amp;D190)&amp;IF(A190="",""," - "&amp;TEXT(A190,"mmm yyyy")))</f>
        <v/>
      </c>
      <c r="P190" s="37" t="n"/>
      <c r="Q190" s="37" t="n"/>
      <c r="R190" s="37" t="n"/>
    </row>
    <row r="191">
      <c r="A191" s="44" t="n"/>
      <c r="B191" s="37" t="n"/>
      <c r="C191" s="10">
        <f>IF(B191="","",IF(COUNTIF(lst_Jobs,B191&amp;"")&gt;0,"OK","CHECK"))</f>
        <v/>
      </c>
      <c r="D191" s="10">
        <f>IF(B191="","",IFERROR(INDEX(tbl_Finance[Client],MATCH(B191&amp;"",tbl_Finance[Job Number],0)),""))</f>
        <v/>
      </c>
      <c r="E191" s="37" t="n"/>
      <c r="F191" s="37" t="n"/>
      <c r="G191" s="37" t="n"/>
      <c r="H191" s="37" t="n"/>
      <c r="I191" s="37" t="n"/>
      <c r="J191" s="39" t="n"/>
      <c r="K191" s="37" t="n"/>
      <c r="L191" s="10">
        <f>IF(N(J191)=0,"",IF(J191&gt;0,set_WIPAsset,IF(I191="Cost",IF(K191="","(set the P&amp;L Account)",K191),IF(K191="",set_WIPIncome,K191))))</f>
        <v/>
      </c>
      <c r="M191" s="10">
        <f>IF(N(J191)=0,"",IF(J191&gt;0,IF(I191="Cost",IF(K191="","(set the P&amp;L Account)",K191),IF(K191="",set_WIPIncome,K191)),set_WIPAsset))</f>
        <v/>
      </c>
      <c r="N191" s="11">
        <f>IF(N(J191)=0,"",ABS(J191))</f>
        <v/>
      </c>
      <c r="O191" s="10">
        <f>IF(N(J191)=0,"","WIP "&amp;H191&amp;IF(B191="",""," - "&amp;B191)&amp;IF(D191="",""," - "&amp;D191)&amp;IF(A191="",""," - "&amp;TEXT(A191,"mmm yyyy")))</f>
        <v/>
      </c>
      <c r="P191" s="37" t="n"/>
      <c r="Q191" s="37" t="n"/>
      <c r="R191" s="37" t="n"/>
    </row>
    <row r="192">
      <c r="A192" s="44" t="n"/>
      <c r="B192" s="37" t="n"/>
      <c r="C192" s="10">
        <f>IF(B192="","",IF(COUNTIF(lst_Jobs,B192&amp;"")&gt;0,"OK","CHECK"))</f>
        <v/>
      </c>
      <c r="D192" s="10">
        <f>IF(B192="","",IFERROR(INDEX(tbl_Finance[Client],MATCH(B192&amp;"",tbl_Finance[Job Number],0)),""))</f>
        <v/>
      </c>
      <c r="E192" s="37" t="n"/>
      <c r="F192" s="37" t="n"/>
      <c r="G192" s="37" t="n"/>
      <c r="H192" s="37" t="n"/>
      <c r="I192" s="37" t="n"/>
      <c r="J192" s="39" t="n"/>
      <c r="K192" s="37" t="n"/>
      <c r="L192" s="10">
        <f>IF(N(J192)=0,"",IF(J192&gt;0,set_WIPAsset,IF(I192="Cost",IF(K192="","(set the P&amp;L Account)",K192),IF(K192="",set_WIPIncome,K192))))</f>
        <v/>
      </c>
      <c r="M192" s="10">
        <f>IF(N(J192)=0,"",IF(J192&gt;0,IF(I192="Cost",IF(K192="","(set the P&amp;L Account)",K192),IF(K192="",set_WIPIncome,K192)),set_WIPAsset))</f>
        <v/>
      </c>
      <c r="N192" s="11">
        <f>IF(N(J192)=0,"",ABS(J192))</f>
        <v/>
      </c>
      <c r="O192" s="10">
        <f>IF(N(J192)=0,"","WIP "&amp;H192&amp;IF(B192="",""," - "&amp;B192)&amp;IF(D192="",""," - "&amp;D192)&amp;IF(A192="",""," - "&amp;TEXT(A192,"mmm yyyy")))</f>
        <v/>
      </c>
      <c r="P192" s="37" t="n"/>
      <c r="Q192" s="37" t="n"/>
      <c r="R192" s="37" t="n"/>
    </row>
    <row r="193">
      <c r="A193" s="44" t="n"/>
      <c r="B193" s="37" t="n"/>
      <c r="C193" s="10">
        <f>IF(B193="","",IF(COUNTIF(lst_Jobs,B193&amp;"")&gt;0,"OK","CHECK"))</f>
        <v/>
      </c>
      <c r="D193" s="10">
        <f>IF(B193="","",IFERROR(INDEX(tbl_Finance[Client],MATCH(B193&amp;"",tbl_Finance[Job Number],0)),""))</f>
        <v/>
      </c>
      <c r="E193" s="37" t="n"/>
      <c r="F193" s="37" t="n"/>
      <c r="G193" s="37" t="n"/>
      <c r="H193" s="37" t="n"/>
      <c r="I193" s="37" t="n"/>
      <c r="J193" s="39" t="n"/>
      <c r="K193" s="37" t="n"/>
      <c r="L193" s="10">
        <f>IF(N(J193)=0,"",IF(J193&gt;0,set_WIPAsset,IF(I193="Cost",IF(K193="","(set the P&amp;L Account)",K193),IF(K193="",set_WIPIncome,K193))))</f>
        <v/>
      </c>
      <c r="M193" s="10">
        <f>IF(N(J193)=0,"",IF(J193&gt;0,IF(I193="Cost",IF(K193="","(set the P&amp;L Account)",K193),IF(K193="",set_WIPIncome,K193)),set_WIPAsset))</f>
        <v/>
      </c>
      <c r="N193" s="11">
        <f>IF(N(J193)=0,"",ABS(J193))</f>
        <v/>
      </c>
      <c r="O193" s="10">
        <f>IF(N(J193)=0,"","WIP "&amp;H193&amp;IF(B193="",""," - "&amp;B193)&amp;IF(D193="",""," - "&amp;D193)&amp;IF(A193="",""," - "&amp;TEXT(A193,"mmm yyyy")))</f>
        <v/>
      </c>
      <c r="P193" s="37" t="n"/>
      <c r="Q193" s="37" t="n"/>
      <c r="R193" s="37" t="n"/>
    </row>
    <row r="194">
      <c r="A194" s="44" t="n"/>
      <c r="B194" s="37" t="n"/>
      <c r="C194" s="10">
        <f>IF(B194="","",IF(COUNTIF(lst_Jobs,B194&amp;"")&gt;0,"OK","CHECK"))</f>
        <v/>
      </c>
      <c r="D194" s="10">
        <f>IF(B194="","",IFERROR(INDEX(tbl_Finance[Client],MATCH(B194&amp;"",tbl_Finance[Job Number],0)),""))</f>
        <v/>
      </c>
      <c r="E194" s="37" t="n"/>
      <c r="F194" s="37" t="n"/>
      <c r="G194" s="37" t="n"/>
      <c r="H194" s="37" t="n"/>
      <c r="I194" s="37" t="n"/>
      <c r="J194" s="39" t="n"/>
      <c r="K194" s="37" t="n"/>
      <c r="L194" s="10">
        <f>IF(N(J194)=0,"",IF(J194&gt;0,set_WIPAsset,IF(I194="Cost",IF(K194="","(set the P&amp;L Account)",K194),IF(K194="",set_WIPIncome,K194))))</f>
        <v/>
      </c>
      <c r="M194" s="10">
        <f>IF(N(J194)=0,"",IF(J194&gt;0,IF(I194="Cost",IF(K194="","(set the P&amp;L Account)",K194),IF(K194="",set_WIPIncome,K194)),set_WIPAsset))</f>
        <v/>
      </c>
      <c r="N194" s="11">
        <f>IF(N(J194)=0,"",ABS(J194))</f>
        <v/>
      </c>
      <c r="O194" s="10">
        <f>IF(N(J194)=0,"","WIP "&amp;H194&amp;IF(B194="",""," - "&amp;B194)&amp;IF(D194="",""," - "&amp;D194)&amp;IF(A194="",""," - "&amp;TEXT(A194,"mmm yyyy")))</f>
        <v/>
      </c>
      <c r="P194" s="37" t="n"/>
      <c r="Q194" s="37" t="n"/>
      <c r="R194" s="37" t="n"/>
    </row>
    <row r="195">
      <c r="A195" s="44" t="n"/>
      <c r="B195" s="37" t="n"/>
      <c r="C195" s="10">
        <f>IF(B195="","",IF(COUNTIF(lst_Jobs,B195&amp;"")&gt;0,"OK","CHECK"))</f>
        <v/>
      </c>
      <c r="D195" s="10">
        <f>IF(B195="","",IFERROR(INDEX(tbl_Finance[Client],MATCH(B195&amp;"",tbl_Finance[Job Number],0)),""))</f>
        <v/>
      </c>
      <c r="E195" s="37" t="n"/>
      <c r="F195" s="37" t="n"/>
      <c r="G195" s="37" t="n"/>
      <c r="H195" s="37" t="n"/>
      <c r="I195" s="37" t="n"/>
      <c r="J195" s="39" t="n"/>
      <c r="K195" s="37" t="n"/>
      <c r="L195" s="10">
        <f>IF(N(J195)=0,"",IF(J195&gt;0,set_WIPAsset,IF(I195="Cost",IF(K195="","(set the P&amp;L Account)",K195),IF(K195="",set_WIPIncome,K195))))</f>
        <v/>
      </c>
      <c r="M195" s="10">
        <f>IF(N(J195)=0,"",IF(J195&gt;0,IF(I195="Cost",IF(K195="","(set the P&amp;L Account)",K195),IF(K195="",set_WIPIncome,K195)),set_WIPAsset))</f>
        <v/>
      </c>
      <c r="N195" s="11">
        <f>IF(N(J195)=0,"",ABS(J195))</f>
        <v/>
      </c>
      <c r="O195" s="10">
        <f>IF(N(J195)=0,"","WIP "&amp;H195&amp;IF(B195="",""," - "&amp;B195)&amp;IF(D195="",""," - "&amp;D195)&amp;IF(A195="",""," - "&amp;TEXT(A195,"mmm yyyy")))</f>
        <v/>
      </c>
      <c r="P195" s="37" t="n"/>
      <c r="Q195" s="37" t="n"/>
      <c r="R195" s="37" t="n"/>
    </row>
    <row r="196">
      <c r="A196" s="44" t="n"/>
      <c r="B196" s="37" t="n"/>
      <c r="C196" s="10">
        <f>IF(B196="","",IF(COUNTIF(lst_Jobs,B196&amp;"")&gt;0,"OK","CHECK"))</f>
        <v/>
      </c>
      <c r="D196" s="10">
        <f>IF(B196="","",IFERROR(INDEX(tbl_Finance[Client],MATCH(B196&amp;"",tbl_Finance[Job Number],0)),""))</f>
        <v/>
      </c>
      <c r="E196" s="37" t="n"/>
      <c r="F196" s="37" t="n"/>
      <c r="G196" s="37" t="n"/>
      <c r="H196" s="37" t="n"/>
      <c r="I196" s="37" t="n"/>
      <c r="J196" s="39" t="n"/>
      <c r="K196" s="37" t="n"/>
      <c r="L196" s="10">
        <f>IF(N(J196)=0,"",IF(J196&gt;0,set_WIPAsset,IF(I196="Cost",IF(K196="","(set the P&amp;L Account)",K196),IF(K196="",set_WIPIncome,K196))))</f>
        <v/>
      </c>
      <c r="M196" s="10">
        <f>IF(N(J196)=0,"",IF(J196&gt;0,IF(I196="Cost",IF(K196="","(set the P&amp;L Account)",K196),IF(K196="",set_WIPIncome,K196)),set_WIPAsset))</f>
        <v/>
      </c>
      <c r="N196" s="11">
        <f>IF(N(J196)=0,"",ABS(J196))</f>
        <v/>
      </c>
      <c r="O196" s="10">
        <f>IF(N(J196)=0,"","WIP "&amp;H196&amp;IF(B196="",""," - "&amp;B196)&amp;IF(D196="",""," - "&amp;D196)&amp;IF(A196="",""," - "&amp;TEXT(A196,"mmm yyyy")))</f>
        <v/>
      </c>
      <c r="P196" s="37" t="n"/>
      <c r="Q196" s="37" t="n"/>
      <c r="R196" s="37" t="n"/>
    </row>
    <row r="197">
      <c r="A197" s="44" t="n"/>
      <c r="B197" s="37" t="n"/>
      <c r="C197" s="10">
        <f>IF(B197="","",IF(COUNTIF(lst_Jobs,B197&amp;"")&gt;0,"OK","CHECK"))</f>
        <v/>
      </c>
      <c r="D197" s="10">
        <f>IF(B197="","",IFERROR(INDEX(tbl_Finance[Client],MATCH(B197&amp;"",tbl_Finance[Job Number],0)),""))</f>
        <v/>
      </c>
      <c r="E197" s="37" t="n"/>
      <c r="F197" s="37" t="n"/>
      <c r="G197" s="37" t="n"/>
      <c r="H197" s="37" t="n"/>
      <c r="I197" s="37" t="n"/>
      <c r="J197" s="39" t="n"/>
      <c r="K197" s="37" t="n"/>
      <c r="L197" s="10">
        <f>IF(N(J197)=0,"",IF(J197&gt;0,set_WIPAsset,IF(I197="Cost",IF(K197="","(set the P&amp;L Account)",K197),IF(K197="",set_WIPIncome,K197))))</f>
        <v/>
      </c>
      <c r="M197" s="10">
        <f>IF(N(J197)=0,"",IF(J197&gt;0,IF(I197="Cost",IF(K197="","(set the P&amp;L Account)",K197),IF(K197="",set_WIPIncome,K197)),set_WIPAsset))</f>
        <v/>
      </c>
      <c r="N197" s="11">
        <f>IF(N(J197)=0,"",ABS(J197))</f>
        <v/>
      </c>
      <c r="O197" s="10">
        <f>IF(N(J197)=0,"","WIP "&amp;H197&amp;IF(B197="",""," - "&amp;B197)&amp;IF(D197="",""," - "&amp;D197)&amp;IF(A197="",""," - "&amp;TEXT(A197,"mmm yyyy")))</f>
        <v/>
      </c>
      <c r="P197" s="37" t="n"/>
      <c r="Q197" s="37" t="n"/>
      <c r="R197" s="37" t="n"/>
    </row>
    <row r="198">
      <c r="A198" s="44" t="n"/>
      <c r="B198" s="37" t="n"/>
      <c r="C198" s="10">
        <f>IF(B198="","",IF(COUNTIF(lst_Jobs,B198&amp;"")&gt;0,"OK","CHECK"))</f>
        <v/>
      </c>
      <c r="D198" s="10">
        <f>IF(B198="","",IFERROR(INDEX(tbl_Finance[Client],MATCH(B198&amp;"",tbl_Finance[Job Number],0)),""))</f>
        <v/>
      </c>
      <c r="E198" s="37" t="n"/>
      <c r="F198" s="37" t="n"/>
      <c r="G198" s="37" t="n"/>
      <c r="H198" s="37" t="n"/>
      <c r="I198" s="37" t="n"/>
      <c r="J198" s="39" t="n"/>
      <c r="K198" s="37" t="n"/>
      <c r="L198" s="10">
        <f>IF(N(J198)=0,"",IF(J198&gt;0,set_WIPAsset,IF(I198="Cost",IF(K198="","(set the P&amp;L Account)",K198),IF(K198="",set_WIPIncome,K198))))</f>
        <v/>
      </c>
      <c r="M198" s="10">
        <f>IF(N(J198)=0,"",IF(J198&gt;0,IF(I198="Cost",IF(K198="","(set the P&amp;L Account)",K198),IF(K198="",set_WIPIncome,K198)),set_WIPAsset))</f>
        <v/>
      </c>
      <c r="N198" s="11">
        <f>IF(N(J198)=0,"",ABS(J198))</f>
        <v/>
      </c>
      <c r="O198" s="10">
        <f>IF(N(J198)=0,"","WIP "&amp;H198&amp;IF(B198="",""," - "&amp;B198)&amp;IF(D198="",""," - "&amp;D198)&amp;IF(A198="",""," - "&amp;TEXT(A198,"mmm yyyy")))</f>
        <v/>
      </c>
      <c r="P198" s="37" t="n"/>
      <c r="Q198" s="37" t="n"/>
      <c r="R198" s="37" t="n"/>
    </row>
    <row r="199">
      <c r="A199" s="44" t="n"/>
      <c r="B199" s="37" t="n"/>
      <c r="C199" s="10">
        <f>IF(B199="","",IF(COUNTIF(lst_Jobs,B199&amp;"")&gt;0,"OK","CHECK"))</f>
        <v/>
      </c>
      <c r="D199" s="10">
        <f>IF(B199="","",IFERROR(INDEX(tbl_Finance[Client],MATCH(B199&amp;"",tbl_Finance[Job Number],0)),""))</f>
        <v/>
      </c>
      <c r="E199" s="37" t="n"/>
      <c r="F199" s="37" t="n"/>
      <c r="G199" s="37" t="n"/>
      <c r="H199" s="37" t="n"/>
      <c r="I199" s="37" t="n"/>
      <c r="J199" s="39" t="n"/>
      <c r="K199" s="37" t="n"/>
      <c r="L199" s="10">
        <f>IF(N(J199)=0,"",IF(J199&gt;0,set_WIPAsset,IF(I199="Cost",IF(K199="","(set the P&amp;L Account)",K199),IF(K199="",set_WIPIncome,K199))))</f>
        <v/>
      </c>
      <c r="M199" s="10">
        <f>IF(N(J199)=0,"",IF(J199&gt;0,IF(I199="Cost",IF(K199="","(set the P&amp;L Account)",K199),IF(K199="",set_WIPIncome,K199)),set_WIPAsset))</f>
        <v/>
      </c>
      <c r="N199" s="11">
        <f>IF(N(J199)=0,"",ABS(J199))</f>
        <v/>
      </c>
      <c r="O199" s="10">
        <f>IF(N(J199)=0,"","WIP "&amp;H199&amp;IF(B199="",""," - "&amp;B199)&amp;IF(D199="",""," - "&amp;D199)&amp;IF(A199="",""," - "&amp;TEXT(A199,"mmm yyyy")))</f>
        <v/>
      </c>
      <c r="P199" s="37" t="n"/>
      <c r="Q199" s="37" t="n"/>
      <c r="R199" s="37" t="n"/>
    </row>
    <row r="200">
      <c r="A200" s="44" t="n"/>
      <c r="B200" s="37" t="n"/>
      <c r="C200" s="10">
        <f>IF(B200="","",IF(COUNTIF(lst_Jobs,B200&amp;"")&gt;0,"OK","CHECK"))</f>
        <v/>
      </c>
      <c r="D200" s="10">
        <f>IF(B200="","",IFERROR(INDEX(tbl_Finance[Client],MATCH(B200&amp;"",tbl_Finance[Job Number],0)),""))</f>
        <v/>
      </c>
      <c r="E200" s="37" t="n"/>
      <c r="F200" s="37" t="n"/>
      <c r="G200" s="37" t="n"/>
      <c r="H200" s="37" t="n"/>
      <c r="I200" s="37" t="n"/>
      <c r="J200" s="39" t="n"/>
      <c r="K200" s="37" t="n"/>
      <c r="L200" s="10">
        <f>IF(N(J200)=0,"",IF(J200&gt;0,set_WIPAsset,IF(I200="Cost",IF(K200="","(set the P&amp;L Account)",K200),IF(K200="",set_WIPIncome,K200))))</f>
        <v/>
      </c>
      <c r="M200" s="10">
        <f>IF(N(J200)=0,"",IF(J200&gt;0,IF(I200="Cost",IF(K200="","(set the P&amp;L Account)",K200),IF(K200="",set_WIPIncome,K200)),set_WIPAsset))</f>
        <v/>
      </c>
      <c r="N200" s="11">
        <f>IF(N(J200)=0,"",ABS(J200))</f>
        <v/>
      </c>
      <c r="O200" s="10">
        <f>IF(N(J200)=0,"","WIP "&amp;H200&amp;IF(B200="",""," - "&amp;B200)&amp;IF(D200="",""," - "&amp;D200)&amp;IF(A200="",""," - "&amp;TEXT(A200,"mmm yyyy")))</f>
        <v/>
      </c>
      <c r="P200" s="37" t="n"/>
      <c r="Q200" s="37" t="n"/>
      <c r="R200" s="37" t="n"/>
    </row>
    <row r="201">
      <c r="A201" s="44" t="n"/>
      <c r="B201" s="37" t="n"/>
      <c r="C201" s="10">
        <f>IF(B201="","",IF(COUNTIF(lst_Jobs,B201&amp;"")&gt;0,"OK","CHECK"))</f>
        <v/>
      </c>
      <c r="D201" s="10">
        <f>IF(B201="","",IFERROR(INDEX(tbl_Finance[Client],MATCH(B201&amp;"",tbl_Finance[Job Number],0)),""))</f>
        <v/>
      </c>
      <c r="E201" s="37" t="n"/>
      <c r="F201" s="37" t="n"/>
      <c r="G201" s="37" t="n"/>
      <c r="H201" s="37" t="n"/>
      <c r="I201" s="37" t="n"/>
      <c r="J201" s="39" t="n"/>
      <c r="K201" s="37" t="n"/>
      <c r="L201" s="10">
        <f>IF(N(J201)=0,"",IF(J201&gt;0,set_WIPAsset,IF(I201="Cost",IF(K201="","(set the P&amp;L Account)",K201),IF(K201="",set_WIPIncome,K201))))</f>
        <v/>
      </c>
      <c r="M201" s="10">
        <f>IF(N(J201)=0,"",IF(J201&gt;0,IF(I201="Cost",IF(K201="","(set the P&amp;L Account)",K201),IF(K201="",set_WIPIncome,K201)),set_WIPAsset))</f>
        <v/>
      </c>
      <c r="N201" s="11">
        <f>IF(N(J201)=0,"",ABS(J201))</f>
        <v/>
      </c>
      <c r="O201" s="10">
        <f>IF(N(J201)=0,"","WIP "&amp;H201&amp;IF(B201="",""," - "&amp;B201)&amp;IF(D201="",""," - "&amp;D201)&amp;IF(A201="",""," - "&amp;TEXT(A201,"mmm yyyy")))</f>
        <v/>
      </c>
      <c r="P201" s="37" t="n"/>
      <c r="Q201" s="37" t="n"/>
      <c r="R201" s="37" t="n"/>
    </row>
    <row r="202">
      <c r="A202" s="44" t="n"/>
      <c r="B202" s="37" t="n"/>
      <c r="C202" s="10">
        <f>IF(B202="","",IF(COUNTIF(lst_Jobs,B202&amp;"")&gt;0,"OK","CHECK"))</f>
        <v/>
      </c>
      <c r="D202" s="10">
        <f>IF(B202="","",IFERROR(INDEX(tbl_Finance[Client],MATCH(B202&amp;"",tbl_Finance[Job Number],0)),""))</f>
        <v/>
      </c>
      <c r="E202" s="37" t="n"/>
      <c r="F202" s="37" t="n"/>
      <c r="G202" s="37" t="n"/>
      <c r="H202" s="37" t="n"/>
      <c r="I202" s="37" t="n"/>
      <c r="J202" s="39" t="n"/>
      <c r="K202" s="37" t="n"/>
      <c r="L202" s="10">
        <f>IF(N(J202)=0,"",IF(J202&gt;0,set_WIPAsset,IF(I202="Cost",IF(K202="","(set the P&amp;L Account)",K202),IF(K202="",set_WIPIncome,K202))))</f>
        <v/>
      </c>
      <c r="M202" s="10">
        <f>IF(N(J202)=0,"",IF(J202&gt;0,IF(I202="Cost",IF(K202="","(set the P&amp;L Account)",K202),IF(K202="",set_WIPIncome,K202)),set_WIPAsset))</f>
        <v/>
      </c>
      <c r="N202" s="11">
        <f>IF(N(J202)=0,"",ABS(J202))</f>
        <v/>
      </c>
      <c r="O202" s="10">
        <f>IF(N(J202)=0,"","WIP "&amp;H202&amp;IF(B202="",""," - "&amp;B202)&amp;IF(D202="",""," - "&amp;D202)&amp;IF(A202="",""," - "&amp;TEXT(A202,"mmm yyyy")))</f>
        <v/>
      </c>
      <c r="P202" s="37" t="n"/>
      <c r="Q202" s="37" t="n"/>
      <c r="R202" s="37" t="n"/>
    </row>
    <row r="203">
      <c r="A203" s="44" t="n"/>
      <c r="B203" s="37" t="n"/>
      <c r="C203" s="10">
        <f>IF(B203="","",IF(COUNTIF(lst_Jobs,B203&amp;"")&gt;0,"OK","CHECK"))</f>
        <v/>
      </c>
      <c r="D203" s="10">
        <f>IF(B203="","",IFERROR(INDEX(tbl_Finance[Client],MATCH(B203&amp;"",tbl_Finance[Job Number],0)),""))</f>
        <v/>
      </c>
      <c r="E203" s="37" t="n"/>
      <c r="F203" s="37" t="n"/>
      <c r="G203" s="37" t="n"/>
      <c r="H203" s="37" t="n"/>
      <c r="I203" s="37" t="n"/>
      <c r="J203" s="39" t="n"/>
      <c r="K203" s="37" t="n"/>
      <c r="L203" s="10">
        <f>IF(N(J203)=0,"",IF(J203&gt;0,set_WIPAsset,IF(I203="Cost",IF(K203="","(set the P&amp;L Account)",K203),IF(K203="",set_WIPIncome,K203))))</f>
        <v/>
      </c>
      <c r="M203" s="10">
        <f>IF(N(J203)=0,"",IF(J203&gt;0,IF(I203="Cost",IF(K203="","(set the P&amp;L Account)",K203),IF(K203="",set_WIPIncome,K203)),set_WIPAsset))</f>
        <v/>
      </c>
      <c r="N203" s="11">
        <f>IF(N(J203)=0,"",ABS(J203))</f>
        <v/>
      </c>
      <c r="O203" s="10">
        <f>IF(N(J203)=0,"","WIP "&amp;H203&amp;IF(B203="",""," - "&amp;B203)&amp;IF(D203="",""," - "&amp;D203)&amp;IF(A203="",""," - "&amp;TEXT(A203,"mmm yyyy")))</f>
        <v/>
      </c>
      <c r="P203" s="37" t="n"/>
      <c r="Q203" s="37" t="n"/>
      <c r="R203" s="37" t="n"/>
    </row>
    <row r="204">
      <c r="A204" s="44" t="n"/>
      <c r="B204" s="37" t="n"/>
      <c r="C204" s="10">
        <f>IF(B204="","",IF(COUNTIF(lst_Jobs,B204&amp;"")&gt;0,"OK","CHECK"))</f>
        <v/>
      </c>
      <c r="D204" s="10">
        <f>IF(B204="","",IFERROR(INDEX(tbl_Finance[Client],MATCH(B204&amp;"",tbl_Finance[Job Number],0)),""))</f>
        <v/>
      </c>
      <c r="E204" s="37" t="n"/>
      <c r="F204" s="37" t="n"/>
      <c r="G204" s="37" t="n"/>
      <c r="H204" s="37" t="n"/>
      <c r="I204" s="37" t="n"/>
      <c r="J204" s="39" t="n"/>
      <c r="K204" s="37" t="n"/>
      <c r="L204" s="10">
        <f>IF(N(J204)=0,"",IF(J204&gt;0,set_WIPAsset,IF(I204="Cost",IF(K204="","(set the P&amp;L Account)",K204),IF(K204="",set_WIPIncome,K204))))</f>
        <v/>
      </c>
      <c r="M204" s="10">
        <f>IF(N(J204)=0,"",IF(J204&gt;0,IF(I204="Cost",IF(K204="","(set the P&amp;L Account)",K204),IF(K204="",set_WIPIncome,K204)),set_WIPAsset))</f>
        <v/>
      </c>
      <c r="N204" s="11">
        <f>IF(N(J204)=0,"",ABS(J204))</f>
        <v/>
      </c>
      <c r="O204" s="10">
        <f>IF(N(J204)=0,"","WIP "&amp;H204&amp;IF(B204="",""," - "&amp;B204)&amp;IF(D204="",""," - "&amp;D204)&amp;IF(A204="",""," - "&amp;TEXT(A204,"mmm yyyy")))</f>
        <v/>
      </c>
      <c r="P204" s="37" t="n"/>
      <c r="Q204" s="37" t="n"/>
      <c r="R204" s="37" t="n"/>
    </row>
    <row r="205">
      <c r="A205" s="44" t="n"/>
      <c r="B205" s="37" t="n"/>
      <c r="C205" s="10">
        <f>IF(B205="","",IF(COUNTIF(lst_Jobs,B205&amp;"")&gt;0,"OK","CHECK"))</f>
        <v/>
      </c>
      <c r="D205" s="10">
        <f>IF(B205="","",IFERROR(INDEX(tbl_Finance[Client],MATCH(B205&amp;"",tbl_Finance[Job Number],0)),""))</f>
        <v/>
      </c>
      <c r="E205" s="37" t="n"/>
      <c r="F205" s="37" t="n"/>
      <c r="G205" s="37" t="n"/>
      <c r="H205" s="37" t="n"/>
      <c r="I205" s="37" t="n"/>
      <c r="J205" s="39" t="n"/>
      <c r="K205" s="37" t="n"/>
      <c r="L205" s="10">
        <f>IF(N(J205)=0,"",IF(J205&gt;0,set_WIPAsset,IF(I205="Cost",IF(K205="","(set the P&amp;L Account)",K205),IF(K205="",set_WIPIncome,K205))))</f>
        <v/>
      </c>
      <c r="M205" s="10">
        <f>IF(N(J205)=0,"",IF(J205&gt;0,IF(I205="Cost",IF(K205="","(set the P&amp;L Account)",K205),IF(K205="",set_WIPIncome,K205)),set_WIPAsset))</f>
        <v/>
      </c>
      <c r="N205" s="11">
        <f>IF(N(J205)=0,"",ABS(J205))</f>
        <v/>
      </c>
      <c r="O205" s="10">
        <f>IF(N(J205)=0,"","WIP "&amp;H205&amp;IF(B205="",""," - "&amp;B205)&amp;IF(D205="",""," - "&amp;D205)&amp;IF(A205="",""," - "&amp;TEXT(A205,"mmm yyyy")))</f>
        <v/>
      </c>
      <c r="P205" s="37" t="n"/>
      <c r="Q205" s="37" t="n"/>
      <c r="R205" s="37" t="n"/>
    </row>
    <row r="206">
      <c r="A206" s="44" t="n"/>
      <c r="B206" s="37" t="n"/>
      <c r="C206" s="10">
        <f>IF(B206="","",IF(COUNTIF(lst_Jobs,B206&amp;"")&gt;0,"OK","CHECK"))</f>
        <v/>
      </c>
      <c r="D206" s="10">
        <f>IF(B206="","",IFERROR(INDEX(tbl_Finance[Client],MATCH(B206&amp;"",tbl_Finance[Job Number],0)),""))</f>
        <v/>
      </c>
      <c r="E206" s="37" t="n"/>
      <c r="F206" s="37" t="n"/>
      <c r="G206" s="37" t="n"/>
      <c r="H206" s="37" t="n"/>
      <c r="I206" s="37" t="n"/>
      <c r="J206" s="39" t="n"/>
      <c r="K206" s="37" t="n"/>
      <c r="L206" s="10">
        <f>IF(N(J206)=0,"",IF(J206&gt;0,set_WIPAsset,IF(I206="Cost",IF(K206="","(set the P&amp;L Account)",K206),IF(K206="",set_WIPIncome,K206))))</f>
        <v/>
      </c>
      <c r="M206" s="10">
        <f>IF(N(J206)=0,"",IF(J206&gt;0,IF(I206="Cost",IF(K206="","(set the P&amp;L Account)",K206),IF(K206="",set_WIPIncome,K206)),set_WIPAsset))</f>
        <v/>
      </c>
      <c r="N206" s="11">
        <f>IF(N(J206)=0,"",ABS(J206))</f>
        <v/>
      </c>
      <c r="O206" s="10">
        <f>IF(N(J206)=0,"","WIP "&amp;H206&amp;IF(B206="",""," - "&amp;B206)&amp;IF(D206="",""," - "&amp;D206)&amp;IF(A206="",""," - "&amp;TEXT(A206,"mmm yyyy")))</f>
        <v/>
      </c>
      <c r="P206" s="37" t="n"/>
      <c r="Q206" s="37" t="n"/>
      <c r="R206" s="37" t="n"/>
    </row>
    <row r="207">
      <c r="A207" s="44" t="n"/>
      <c r="B207" s="37" t="n"/>
      <c r="C207" s="10">
        <f>IF(B207="","",IF(COUNTIF(lst_Jobs,B207&amp;"")&gt;0,"OK","CHECK"))</f>
        <v/>
      </c>
      <c r="D207" s="10">
        <f>IF(B207="","",IFERROR(INDEX(tbl_Finance[Client],MATCH(B207&amp;"",tbl_Finance[Job Number],0)),""))</f>
        <v/>
      </c>
      <c r="E207" s="37" t="n"/>
      <c r="F207" s="37" t="n"/>
      <c r="G207" s="37" t="n"/>
      <c r="H207" s="37" t="n"/>
      <c r="I207" s="37" t="n"/>
      <c r="J207" s="39" t="n"/>
      <c r="K207" s="37" t="n"/>
      <c r="L207" s="10">
        <f>IF(N(J207)=0,"",IF(J207&gt;0,set_WIPAsset,IF(I207="Cost",IF(K207="","(set the P&amp;L Account)",K207),IF(K207="",set_WIPIncome,K207))))</f>
        <v/>
      </c>
      <c r="M207" s="10">
        <f>IF(N(J207)=0,"",IF(J207&gt;0,IF(I207="Cost",IF(K207="","(set the P&amp;L Account)",K207),IF(K207="",set_WIPIncome,K207)),set_WIPAsset))</f>
        <v/>
      </c>
      <c r="N207" s="11">
        <f>IF(N(J207)=0,"",ABS(J207))</f>
        <v/>
      </c>
      <c r="O207" s="10">
        <f>IF(N(J207)=0,"","WIP "&amp;H207&amp;IF(B207="",""," - "&amp;B207)&amp;IF(D207="",""," - "&amp;D207)&amp;IF(A207="",""," - "&amp;TEXT(A207,"mmm yyyy")))</f>
        <v/>
      </c>
      <c r="P207" s="37" t="n"/>
      <c r="Q207" s="37" t="n"/>
      <c r="R207" s="37" t="n"/>
    </row>
    <row r="208">
      <c r="A208" s="44" t="n"/>
      <c r="B208" s="37" t="n"/>
      <c r="C208" s="10">
        <f>IF(B208="","",IF(COUNTIF(lst_Jobs,B208&amp;"")&gt;0,"OK","CHECK"))</f>
        <v/>
      </c>
      <c r="D208" s="10">
        <f>IF(B208="","",IFERROR(INDEX(tbl_Finance[Client],MATCH(B208&amp;"",tbl_Finance[Job Number],0)),""))</f>
        <v/>
      </c>
      <c r="E208" s="37" t="n"/>
      <c r="F208" s="37" t="n"/>
      <c r="G208" s="37" t="n"/>
      <c r="H208" s="37" t="n"/>
      <c r="I208" s="37" t="n"/>
      <c r="J208" s="39" t="n"/>
      <c r="K208" s="37" t="n"/>
      <c r="L208" s="10">
        <f>IF(N(J208)=0,"",IF(J208&gt;0,set_WIPAsset,IF(I208="Cost",IF(K208="","(set the P&amp;L Account)",K208),IF(K208="",set_WIPIncome,K208))))</f>
        <v/>
      </c>
      <c r="M208" s="10">
        <f>IF(N(J208)=0,"",IF(J208&gt;0,IF(I208="Cost",IF(K208="","(set the P&amp;L Account)",K208),IF(K208="",set_WIPIncome,K208)),set_WIPAsset))</f>
        <v/>
      </c>
      <c r="N208" s="11">
        <f>IF(N(J208)=0,"",ABS(J208))</f>
        <v/>
      </c>
      <c r="O208" s="10">
        <f>IF(N(J208)=0,"","WIP "&amp;H208&amp;IF(B208="",""," - "&amp;B208)&amp;IF(D208="",""," - "&amp;D208)&amp;IF(A208="",""," - "&amp;TEXT(A208,"mmm yyyy")))</f>
        <v/>
      </c>
      <c r="P208" s="37" t="n"/>
      <c r="Q208" s="37" t="n"/>
      <c r="R208" s="37" t="n"/>
    </row>
    <row r="209">
      <c r="A209" s="44" t="n"/>
      <c r="B209" s="37" t="n"/>
      <c r="C209" s="10">
        <f>IF(B209="","",IF(COUNTIF(lst_Jobs,B209&amp;"")&gt;0,"OK","CHECK"))</f>
        <v/>
      </c>
      <c r="D209" s="10">
        <f>IF(B209="","",IFERROR(INDEX(tbl_Finance[Client],MATCH(B209&amp;"",tbl_Finance[Job Number],0)),""))</f>
        <v/>
      </c>
      <c r="E209" s="37" t="n"/>
      <c r="F209" s="37" t="n"/>
      <c r="G209" s="37" t="n"/>
      <c r="H209" s="37" t="n"/>
      <c r="I209" s="37" t="n"/>
      <c r="J209" s="39" t="n"/>
      <c r="K209" s="37" t="n"/>
      <c r="L209" s="10">
        <f>IF(N(J209)=0,"",IF(J209&gt;0,set_WIPAsset,IF(I209="Cost",IF(K209="","(set the P&amp;L Account)",K209),IF(K209="",set_WIPIncome,K209))))</f>
        <v/>
      </c>
      <c r="M209" s="10">
        <f>IF(N(J209)=0,"",IF(J209&gt;0,IF(I209="Cost",IF(K209="","(set the P&amp;L Account)",K209),IF(K209="",set_WIPIncome,K209)),set_WIPAsset))</f>
        <v/>
      </c>
      <c r="N209" s="11">
        <f>IF(N(J209)=0,"",ABS(J209))</f>
        <v/>
      </c>
      <c r="O209" s="10">
        <f>IF(N(J209)=0,"","WIP "&amp;H209&amp;IF(B209="",""," - "&amp;B209)&amp;IF(D209="",""," - "&amp;D209)&amp;IF(A209="",""," - "&amp;TEXT(A209,"mmm yyyy")))</f>
        <v/>
      </c>
      <c r="P209" s="37" t="n"/>
      <c r="Q209" s="37" t="n"/>
      <c r="R209" s="37" t="n"/>
    </row>
    <row r="210">
      <c r="A210" s="44" t="n"/>
      <c r="B210" s="37" t="n"/>
      <c r="C210" s="10">
        <f>IF(B210="","",IF(COUNTIF(lst_Jobs,B210&amp;"")&gt;0,"OK","CHECK"))</f>
        <v/>
      </c>
      <c r="D210" s="10">
        <f>IF(B210="","",IFERROR(INDEX(tbl_Finance[Client],MATCH(B210&amp;"",tbl_Finance[Job Number],0)),""))</f>
        <v/>
      </c>
      <c r="E210" s="37" t="n"/>
      <c r="F210" s="37" t="n"/>
      <c r="G210" s="37" t="n"/>
      <c r="H210" s="37" t="n"/>
      <c r="I210" s="37" t="n"/>
      <c r="J210" s="39" t="n"/>
      <c r="K210" s="37" t="n"/>
      <c r="L210" s="10">
        <f>IF(N(J210)=0,"",IF(J210&gt;0,set_WIPAsset,IF(I210="Cost",IF(K210="","(set the P&amp;L Account)",K210),IF(K210="",set_WIPIncome,K210))))</f>
        <v/>
      </c>
      <c r="M210" s="10">
        <f>IF(N(J210)=0,"",IF(J210&gt;0,IF(I210="Cost",IF(K210="","(set the P&amp;L Account)",K210),IF(K210="",set_WIPIncome,K210)),set_WIPAsset))</f>
        <v/>
      </c>
      <c r="N210" s="11">
        <f>IF(N(J210)=0,"",ABS(J210))</f>
        <v/>
      </c>
      <c r="O210" s="10">
        <f>IF(N(J210)=0,"","WIP "&amp;H210&amp;IF(B210="",""," - "&amp;B210)&amp;IF(D210="",""," - "&amp;D210)&amp;IF(A210="",""," - "&amp;TEXT(A210,"mmm yyyy")))</f>
        <v/>
      </c>
      <c r="P210" s="37" t="n"/>
      <c r="Q210" s="37" t="n"/>
      <c r="R210" s="37" t="n"/>
    </row>
    <row r="211">
      <c r="A211" s="44" t="n"/>
      <c r="B211" s="37" t="n"/>
      <c r="C211" s="10">
        <f>IF(B211="","",IF(COUNTIF(lst_Jobs,B211&amp;"")&gt;0,"OK","CHECK"))</f>
        <v/>
      </c>
      <c r="D211" s="10">
        <f>IF(B211="","",IFERROR(INDEX(tbl_Finance[Client],MATCH(B211&amp;"",tbl_Finance[Job Number],0)),""))</f>
        <v/>
      </c>
      <c r="E211" s="37" t="n"/>
      <c r="F211" s="37" t="n"/>
      <c r="G211" s="37" t="n"/>
      <c r="H211" s="37" t="n"/>
      <c r="I211" s="37" t="n"/>
      <c r="J211" s="39" t="n"/>
      <c r="K211" s="37" t="n"/>
      <c r="L211" s="10">
        <f>IF(N(J211)=0,"",IF(J211&gt;0,set_WIPAsset,IF(I211="Cost",IF(K211="","(set the P&amp;L Account)",K211),IF(K211="",set_WIPIncome,K211))))</f>
        <v/>
      </c>
      <c r="M211" s="10">
        <f>IF(N(J211)=0,"",IF(J211&gt;0,IF(I211="Cost",IF(K211="","(set the P&amp;L Account)",K211),IF(K211="",set_WIPIncome,K211)),set_WIPAsset))</f>
        <v/>
      </c>
      <c r="N211" s="11">
        <f>IF(N(J211)=0,"",ABS(J211))</f>
        <v/>
      </c>
      <c r="O211" s="10">
        <f>IF(N(J211)=0,"","WIP "&amp;H211&amp;IF(B211="",""," - "&amp;B211)&amp;IF(D211="",""," - "&amp;D211)&amp;IF(A211="",""," - "&amp;TEXT(A211,"mmm yyyy")))</f>
        <v/>
      </c>
      <c r="P211" s="37" t="n"/>
      <c r="Q211" s="37" t="n"/>
      <c r="R211" s="37" t="n"/>
    </row>
    <row r="212">
      <c r="A212" s="44" t="n"/>
      <c r="B212" s="37" t="n"/>
      <c r="C212" s="10">
        <f>IF(B212="","",IF(COUNTIF(lst_Jobs,B212&amp;"")&gt;0,"OK","CHECK"))</f>
        <v/>
      </c>
      <c r="D212" s="10">
        <f>IF(B212="","",IFERROR(INDEX(tbl_Finance[Client],MATCH(B212&amp;"",tbl_Finance[Job Number],0)),""))</f>
        <v/>
      </c>
      <c r="E212" s="37" t="n"/>
      <c r="F212" s="37" t="n"/>
      <c r="G212" s="37" t="n"/>
      <c r="H212" s="37" t="n"/>
      <c r="I212" s="37" t="n"/>
      <c r="J212" s="39" t="n"/>
      <c r="K212" s="37" t="n"/>
      <c r="L212" s="10">
        <f>IF(N(J212)=0,"",IF(J212&gt;0,set_WIPAsset,IF(I212="Cost",IF(K212="","(set the P&amp;L Account)",K212),IF(K212="",set_WIPIncome,K212))))</f>
        <v/>
      </c>
      <c r="M212" s="10">
        <f>IF(N(J212)=0,"",IF(J212&gt;0,IF(I212="Cost",IF(K212="","(set the P&amp;L Account)",K212),IF(K212="",set_WIPIncome,K212)),set_WIPAsset))</f>
        <v/>
      </c>
      <c r="N212" s="11">
        <f>IF(N(J212)=0,"",ABS(J212))</f>
        <v/>
      </c>
      <c r="O212" s="10">
        <f>IF(N(J212)=0,"","WIP "&amp;H212&amp;IF(B212="",""," - "&amp;B212)&amp;IF(D212="",""," - "&amp;D212)&amp;IF(A212="",""," - "&amp;TEXT(A212,"mmm yyyy")))</f>
        <v/>
      </c>
      <c r="P212" s="37" t="n"/>
      <c r="Q212" s="37" t="n"/>
      <c r="R212" s="37" t="n"/>
    </row>
    <row r="213">
      <c r="A213" s="44" t="n"/>
      <c r="B213" s="37" t="n"/>
      <c r="C213" s="10">
        <f>IF(B213="","",IF(COUNTIF(lst_Jobs,B213&amp;"")&gt;0,"OK","CHECK"))</f>
        <v/>
      </c>
      <c r="D213" s="10">
        <f>IF(B213="","",IFERROR(INDEX(tbl_Finance[Client],MATCH(B213&amp;"",tbl_Finance[Job Number],0)),""))</f>
        <v/>
      </c>
      <c r="E213" s="37" t="n"/>
      <c r="F213" s="37" t="n"/>
      <c r="G213" s="37" t="n"/>
      <c r="H213" s="37" t="n"/>
      <c r="I213" s="37" t="n"/>
      <c r="J213" s="39" t="n"/>
      <c r="K213" s="37" t="n"/>
      <c r="L213" s="10">
        <f>IF(N(J213)=0,"",IF(J213&gt;0,set_WIPAsset,IF(I213="Cost",IF(K213="","(set the P&amp;L Account)",K213),IF(K213="",set_WIPIncome,K213))))</f>
        <v/>
      </c>
      <c r="M213" s="10">
        <f>IF(N(J213)=0,"",IF(J213&gt;0,IF(I213="Cost",IF(K213="","(set the P&amp;L Account)",K213),IF(K213="",set_WIPIncome,K213)),set_WIPAsset))</f>
        <v/>
      </c>
      <c r="N213" s="11">
        <f>IF(N(J213)=0,"",ABS(J213))</f>
        <v/>
      </c>
      <c r="O213" s="10">
        <f>IF(N(J213)=0,"","WIP "&amp;H213&amp;IF(B213="",""," - "&amp;B213)&amp;IF(D213="",""," - "&amp;D213)&amp;IF(A213="",""," - "&amp;TEXT(A213,"mmm yyyy")))</f>
        <v/>
      </c>
      <c r="P213" s="37" t="n"/>
      <c r="Q213" s="37" t="n"/>
      <c r="R213" s="37" t="n"/>
    </row>
    <row r="214">
      <c r="A214" s="44" t="n"/>
      <c r="B214" s="37" t="n"/>
      <c r="C214" s="10">
        <f>IF(B214="","",IF(COUNTIF(lst_Jobs,B214&amp;"")&gt;0,"OK","CHECK"))</f>
        <v/>
      </c>
      <c r="D214" s="10">
        <f>IF(B214="","",IFERROR(INDEX(tbl_Finance[Client],MATCH(B214&amp;"",tbl_Finance[Job Number],0)),""))</f>
        <v/>
      </c>
      <c r="E214" s="37" t="n"/>
      <c r="F214" s="37" t="n"/>
      <c r="G214" s="37" t="n"/>
      <c r="H214" s="37" t="n"/>
      <c r="I214" s="37" t="n"/>
      <c r="J214" s="39" t="n"/>
      <c r="K214" s="37" t="n"/>
      <c r="L214" s="10">
        <f>IF(N(J214)=0,"",IF(J214&gt;0,set_WIPAsset,IF(I214="Cost",IF(K214="","(set the P&amp;L Account)",K214),IF(K214="",set_WIPIncome,K214))))</f>
        <v/>
      </c>
      <c r="M214" s="10">
        <f>IF(N(J214)=0,"",IF(J214&gt;0,IF(I214="Cost",IF(K214="","(set the P&amp;L Account)",K214),IF(K214="",set_WIPIncome,K214)),set_WIPAsset))</f>
        <v/>
      </c>
      <c r="N214" s="11">
        <f>IF(N(J214)=0,"",ABS(J214))</f>
        <v/>
      </c>
      <c r="O214" s="10">
        <f>IF(N(J214)=0,"","WIP "&amp;H214&amp;IF(B214="",""," - "&amp;B214)&amp;IF(D214="",""," - "&amp;D214)&amp;IF(A214="",""," - "&amp;TEXT(A214,"mmm yyyy")))</f>
        <v/>
      </c>
      <c r="P214" s="37" t="n"/>
      <c r="Q214" s="37" t="n"/>
      <c r="R214" s="37" t="n"/>
    </row>
    <row r="215">
      <c r="A215" s="44" t="n"/>
      <c r="B215" s="37" t="n"/>
      <c r="C215" s="10">
        <f>IF(B215="","",IF(COUNTIF(lst_Jobs,B215&amp;"")&gt;0,"OK","CHECK"))</f>
        <v/>
      </c>
      <c r="D215" s="10">
        <f>IF(B215="","",IFERROR(INDEX(tbl_Finance[Client],MATCH(B215&amp;"",tbl_Finance[Job Number],0)),""))</f>
        <v/>
      </c>
      <c r="E215" s="37" t="n"/>
      <c r="F215" s="37" t="n"/>
      <c r="G215" s="37" t="n"/>
      <c r="H215" s="37" t="n"/>
      <c r="I215" s="37" t="n"/>
      <c r="J215" s="39" t="n"/>
      <c r="K215" s="37" t="n"/>
      <c r="L215" s="10">
        <f>IF(N(J215)=0,"",IF(J215&gt;0,set_WIPAsset,IF(I215="Cost",IF(K215="","(set the P&amp;L Account)",K215),IF(K215="",set_WIPIncome,K215))))</f>
        <v/>
      </c>
      <c r="M215" s="10">
        <f>IF(N(J215)=0,"",IF(J215&gt;0,IF(I215="Cost",IF(K215="","(set the P&amp;L Account)",K215),IF(K215="",set_WIPIncome,K215)),set_WIPAsset))</f>
        <v/>
      </c>
      <c r="N215" s="11">
        <f>IF(N(J215)=0,"",ABS(J215))</f>
        <v/>
      </c>
      <c r="O215" s="10">
        <f>IF(N(J215)=0,"","WIP "&amp;H215&amp;IF(B215="",""," - "&amp;B215)&amp;IF(D215="",""," - "&amp;D215)&amp;IF(A215="",""," - "&amp;TEXT(A215,"mmm yyyy")))</f>
        <v/>
      </c>
      <c r="P215" s="37" t="n"/>
      <c r="Q215" s="37" t="n"/>
      <c r="R215" s="37" t="n"/>
    </row>
    <row r="216">
      <c r="A216" s="44" t="n"/>
      <c r="B216" s="37" t="n"/>
      <c r="C216" s="10">
        <f>IF(B216="","",IF(COUNTIF(lst_Jobs,B216&amp;"")&gt;0,"OK","CHECK"))</f>
        <v/>
      </c>
      <c r="D216" s="10">
        <f>IF(B216="","",IFERROR(INDEX(tbl_Finance[Client],MATCH(B216&amp;"",tbl_Finance[Job Number],0)),""))</f>
        <v/>
      </c>
      <c r="E216" s="37" t="n"/>
      <c r="F216" s="37" t="n"/>
      <c r="G216" s="37" t="n"/>
      <c r="H216" s="37" t="n"/>
      <c r="I216" s="37" t="n"/>
      <c r="J216" s="39" t="n"/>
      <c r="K216" s="37" t="n"/>
      <c r="L216" s="10">
        <f>IF(N(J216)=0,"",IF(J216&gt;0,set_WIPAsset,IF(I216="Cost",IF(K216="","(set the P&amp;L Account)",K216),IF(K216="",set_WIPIncome,K216))))</f>
        <v/>
      </c>
      <c r="M216" s="10">
        <f>IF(N(J216)=0,"",IF(J216&gt;0,IF(I216="Cost",IF(K216="","(set the P&amp;L Account)",K216),IF(K216="",set_WIPIncome,K216)),set_WIPAsset))</f>
        <v/>
      </c>
      <c r="N216" s="11">
        <f>IF(N(J216)=0,"",ABS(J216))</f>
        <v/>
      </c>
      <c r="O216" s="10">
        <f>IF(N(J216)=0,"","WIP "&amp;H216&amp;IF(B216="",""," - "&amp;B216)&amp;IF(D216="",""," - "&amp;D216)&amp;IF(A216="",""," - "&amp;TEXT(A216,"mmm yyyy")))</f>
        <v/>
      </c>
      <c r="P216" s="37" t="n"/>
      <c r="Q216" s="37" t="n"/>
      <c r="R216" s="37" t="n"/>
    </row>
    <row r="217">
      <c r="A217" s="44" t="n"/>
      <c r="B217" s="37" t="n"/>
      <c r="C217" s="10">
        <f>IF(B217="","",IF(COUNTIF(lst_Jobs,B217&amp;"")&gt;0,"OK","CHECK"))</f>
        <v/>
      </c>
      <c r="D217" s="10">
        <f>IF(B217="","",IFERROR(INDEX(tbl_Finance[Client],MATCH(B217&amp;"",tbl_Finance[Job Number],0)),""))</f>
        <v/>
      </c>
      <c r="E217" s="37" t="n"/>
      <c r="F217" s="37" t="n"/>
      <c r="G217" s="37" t="n"/>
      <c r="H217" s="37" t="n"/>
      <c r="I217" s="37" t="n"/>
      <c r="J217" s="39" t="n"/>
      <c r="K217" s="37" t="n"/>
      <c r="L217" s="10">
        <f>IF(N(J217)=0,"",IF(J217&gt;0,set_WIPAsset,IF(I217="Cost",IF(K217="","(set the P&amp;L Account)",K217),IF(K217="",set_WIPIncome,K217))))</f>
        <v/>
      </c>
      <c r="M217" s="10">
        <f>IF(N(J217)=0,"",IF(J217&gt;0,IF(I217="Cost",IF(K217="","(set the P&amp;L Account)",K217),IF(K217="",set_WIPIncome,K217)),set_WIPAsset))</f>
        <v/>
      </c>
      <c r="N217" s="11">
        <f>IF(N(J217)=0,"",ABS(J217))</f>
        <v/>
      </c>
      <c r="O217" s="10">
        <f>IF(N(J217)=0,"","WIP "&amp;H217&amp;IF(B217="",""," - "&amp;B217)&amp;IF(D217="",""," - "&amp;D217)&amp;IF(A217="",""," - "&amp;TEXT(A217,"mmm yyyy")))</f>
        <v/>
      </c>
      <c r="P217" s="37" t="n"/>
      <c r="Q217" s="37" t="n"/>
      <c r="R217" s="37" t="n"/>
    </row>
    <row r="218">
      <c r="A218" s="44" t="n"/>
      <c r="B218" s="37" t="n"/>
      <c r="C218" s="10">
        <f>IF(B218="","",IF(COUNTIF(lst_Jobs,B218&amp;"")&gt;0,"OK","CHECK"))</f>
        <v/>
      </c>
      <c r="D218" s="10">
        <f>IF(B218="","",IFERROR(INDEX(tbl_Finance[Client],MATCH(B218&amp;"",tbl_Finance[Job Number],0)),""))</f>
        <v/>
      </c>
      <c r="E218" s="37" t="n"/>
      <c r="F218" s="37" t="n"/>
      <c r="G218" s="37" t="n"/>
      <c r="H218" s="37" t="n"/>
      <c r="I218" s="37" t="n"/>
      <c r="J218" s="39" t="n"/>
      <c r="K218" s="37" t="n"/>
      <c r="L218" s="10">
        <f>IF(N(J218)=0,"",IF(J218&gt;0,set_WIPAsset,IF(I218="Cost",IF(K218="","(set the P&amp;L Account)",K218),IF(K218="",set_WIPIncome,K218))))</f>
        <v/>
      </c>
      <c r="M218" s="10">
        <f>IF(N(J218)=0,"",IF(J218&gt;0,IF(I218="Cost",IF(K218="","(set the P&amp;L Account)",K218),IF(K218="",set_WIPIncome,K218)),set_WIPAsset))</f>
        <v/>
      </c>
      <c r="N218" s="11">
        <f>IF(N(J218)=0,"",ABS(J218))</f>
        <v/>
      </c>
      <c r="O218" s="10">
        <f>IF(N(J218)=0,"","WIP "&amp;H218&amp;IF(B218="",""," - "&amp;B218)&amp;IF(D218="",""," - "&amp;D218)&amp;IF(A218="",""," - "&amp;TEXT(A218,"mmm yyyy")))</f>
        <v/>
      </c>
      <c r="P218" s="37" t="n"/>
      <c r="Q218" s="37" t="n"/>
      <c r="R218" s="37" t="n"/>
    </row>
    <row r="219">
      <c r="A219" s="44" t="n"/>
      <c r="B219" s="37" t="n"/>
      <c r="C219" s="10">
        <f>IF(B219="","",IF(COUNTIF(lst_Jobs,B219&amp;"")&gt;0,"OK","CHECK"))</f>
        <v/>
      </c>
      <c r="D219" s="10">
        <f>IF(B219="","",IFERROR(INDEX(tbl_Finance[Client],MATCH(B219&amp;"",tbl_Finance[Job Number],0)),""))</f>
        <v/>
      </c>
      <c r="E219" s="37" t="n"/>
      <c r="F219" s="37" t="n"/>
      <c r="G219" s="37" t="n"/>
      <c r="H219" s="37" t="n"/>
      <c r="I219" s="37" t="n"/>
      <c r="J219" s="39" t="n"/>
      <c r="K219" s="37" t="n"/>
      <c r="L219" s="10">
        <f>IF(N(J219)=0,"",IF(J219&gt;0,set_WIPAsset,IF(I219="Cost",IF(K219="","(set the P&amp;L Account)",K219),IF(K219="",set_WIPIncome,K219))))</f>
        <v/>
      </c>
      <c r="M219" s="10">
        <f>IF(N(J219)=0,"",IF(J219&gt;0,IF(I219="Cost",IF(K219="","(set the P&amp;L Account)",K219),IF(K219="",set_WIPIncome,K219)),set_WIPAsset))</f>
        <v/>
      </c>
      <c r="N219" s="11">
        <f>IF(N(J219)=0,"",ABS(J219))</f>
        <v/>
      </c>
      <c r="O219" s="10">
        <f>IF(N(J219)=0,"","WIP "&amp;H219&amp;IF(B219="",""," - "&amp;B219)&amp;IF(D219="",""," - "&amp;D219)&amp;IF(A219="",""," - "&amp;TEXT(A219,"mmm yyyy")))</f>
        <v/>
      </c>
      <c r="P219" s="37" t="n"/>
      <c r="Q219" s="37" t="n"/>
      <c r="R219" s="37" t="n"/>
    </row>
    <row r="220">
      <c r="A220" s="44" t="n"/>
      <c r="B220" s="37" t="n"/>
      <c r="C220" s="10">
        <f>IF(B220="","",IF(COUNTIF(lst_Jobs,B220&amp;"")&gt;0,"OK","CHECK"))</f>
        <v/>
      </c>
      <c r="D220" s="10">
        <f>IF(B220="","",IFERROR(INDEX(tbl_Finance[Client],MATCH(B220&amp;"",tbl_Finance[Job Number],0)),""))</f>
        <v/>
      </c>
      <c r="E220" s="37" t="n"/>
      <c r="F220" s="37" t="n"/>
      <c r="G220" s="37" t="n"/>
      <c r="H220" s="37" t="n"/>
      <c r="I220" s="37" t="n"/>
      <c r="J220" s="39" t="n"/>
      <c r="K220" s="37" t="n"/>
      <c r="L220" s="10">
        <f>IF(N(J220)=0,"",IF(J220&gt;0,set_WIPAsset,IF(I220="Cost",IF(K220="","(set the P&amp;L Account)",K220),IF(K220="",set_WIPIncome,K220))))</f>
        <v/>
      </c>
      <c r="M220" s="10">
        <f>IF(N(J220)=0,"",IF(J220&gt;0,IF(I220="Cost",IF(K220="","(set the P&amp;L Account)",K220),IF(K220="",set_WIPIncome,K220)),set_WIPAsset))</f>
        <v/>
      </c>
      <c r="N220" s="11">
        <f>IF(N(J220)=0,"",ABS(J220))</f>
        <v/>
      </c>
      <c r="O220" s="10">
        <f>IF(N(J220)=0,"","WIP "&amp;H220&amp;IF(B220="",""," - "&amp;B220)&amp;IF(D220="",""," - "&amp;D220)&amp;IF(A220="",""," - "&amp;TEXT(A220,"mmm yyyy")))</f>
        <v/>
      </c>
      <c r="P220" s="37" t="n"/>
      <c r="Q220" s="37" t="n"/>
      <c r="R220" s="37" t="n"/>
    </row>
    <row r="221">
      <c r="A221" s="44" t="n"/>
      <c r="B221" s="37" t="n"/>
      <c r="C221" s="10">
        <f>IF(B221="","",IF(COUNTIF(lst_Jobs,B221&amp;"")&gt;0,"OK","CHECK"))</f>
        <v/>
      </c>
      <c r="D221" s="10">
        <f>IF(B221="","",IFERROR(INDEX(tbl_Finance[Client],MATCH(B221&amp;"",tbl_Finance[Job Number],0)),""))</f>
        <v/>
      </c>
      <c r="E221" s="37" t="n"/>
      <c r="F221" s="37" t="n"/>
      <c r="G221" s="37" t="n"/>
      <c r="H221" s="37" t="n"/>
      <c r="I221" s="37" t="n"/>
      <c r="J221" s="39" t="n"/>
      <c r="K221" s="37" t="n"/>
      <c r="L221" s="10">
        <f>IF(N(J221)=0,"",IF(J221&gt;0,set_WIPAsset,IF(I221="Cost",IF(K221="","(set the P&amp;L Account)",K221),IF(K221="",set_WIPIncome,K221))))</f>
        <v/>
      </c>
      <c r="M221" s="10">
        <f>IF(N(J221)=0,"",IF(J221&gt;0,IF(I221="Cost",IF(K221="","(set the P&amp;L Account)",K221),IF(K221="",set_WIPIncome,K221)),set_WIPAsset))</f>
        <v/>
      </c>
      <c r="N221" s="11">
        <f>IF(N(J221)=0,"",ABS(J221))</f>
        <v/>
      </c>
      <c r="O221" s="10">
        <f>IF(N(J221)=0,"","WIP "&amp;H221&amp;IF(B221="",""," - "&amp;B221)&amp;IF(D221="",""," - "&amp;D221)&amp;IF(A221="",""," - "&amp;TEXT(A221,"mmm yyyy")))</f>
        <v/>
      </c>
      <c r="P221" s="37" t="n"/>
      <c r="Q221" s="37" t="n"/>
      <c r="R221" s="37" t="n"/>
    </row>
    <row r="222">
      <c r="A222" s="44" t="n"/>
      <c r="B222" s="37" t="n"/>
      <c r="C222" s="10">
        <f>IF(B222="","",IF(COUNTIF(lst_Jobs,B222&amp;"")&gt;0,"OK","CHECK"))</f>
        <v/>
      </c>
      <c r="D222" s="10">
        <f>IF(B222="","",IFERROR(INDEX(tbl_Finance[Client],MATCH(B222&amp;"",tbl_Finance[Job Number],0)),""))</f>
        <v/>
      </c>
      <c r="E222" s="37" t="n"/>
      <c r="F222" s="37" t="n"/>
      <c r="G222" s="37" t="n"/>
      <c r="H222" s="37" t="n"/>
      <c r="I222" s="37" t="n"/>
      <c r="J222" s="39" t="n"/>
      <c r="K222" s="37" t="n"/>
      <c r="L222" s="10">
        <f>IF(N(J222)=0,"",IF(J222&gt;0,set_WIPAsset,IF(I222="Cost",IF(K222="","(set the P&amp;L Account)",K222),IF(K222="",set_WIPIncome,K222))))</f>
        <v/>
      </c>
      <c r="M222" s="10">
        <f>IF(N(J222)=0,"",IF(J222&gt;0,IF(I222="Cost",IF(K222="","(set the P&amp;L Account)",K222),IF(K222="",set_WIPIncome,K222)),set_WIPAsset))</f>
        <v/>
      </c>
      <c r="N222" s="11">
        <f>IF(N(J222)=0,"",ABS(J222))</f>
        <v/>
      </c>
      <c r="O222" s="10">
        <f>IF(N(J222)=0,"","WIP "&amp;H222&amp;IF(B222="",""," - "&amp;B222)&amp;IF(D222="",""," - "&amp;D222)&amp;IF(A222="",""," - "&amp;TEXT(A222,"mmm yyyy")))</f>
        <v/>
      </c>
      <c r="P222" s="37" t="n"/>
      <c r="Q222" s="37" t="n"/>
      <c r="R222" s="37" t="n"/>
    </row>
    <row r="223">
      <c r="A223" s="44" t="n"/>
      <c r="B223" s="37" t="n"/>
      <c r="C223" s="10">
        <f>IF(B223="","",IF(COUNTIF(lst_Jobs,B223&amp;"")&gt;0,"OK","CHECK"))</f>
        <v/>
      </c>
      <c r="D223" s="10">
        <f>IF(B223="","",IFERROR(INDEX(tbl_Finance[Client],MATCH(B223&amp;"",tbl_Finance[Job Number],0)),""))</f>
        <v/>
      </c>
      <c r="E223" s="37" t="n"/>
      <c r="F223" s="37" t="n"/>
      <c r="G223" s="37" t="n"/>
      <c r="H223" s="37" t="n"/>
      <c r="I223" s="37" t="n"/>
      <c r="J223" s="39" t="n"/>
      <c r="K223" s="37" t="n"/>
      <c r="L223" s="10">
        <f>IF(N(J223)=0,"",IF(J223&gt;0,set_WIPAsset,IF(I223="Cost",IF(K223="","(set the P&amp;L Account)",K223),IF(K223="",set_WIPIncome,K223))))</f>
        <v/>
      </c>
      <c r="M223" s="10">
        <f>IF(N(J223)=0,"",IF(J223&gt;0,IF(I223="Cost",IF(K223="","(set the P&amp;L Account)",K223),IF(K223="",set_WIPIncome,K223)),set_WIPAsset))</f>
        <v/>
      </c>
      <c r="N223" s="11">
        <f>IF(N(J223)=0,"",ABS(J223))</f>
        <v/>
      </c>
      <c r="O223" s="10">
        <f>IF(N(J223)=0,"","WIP "&amp;H223&amp;IF(B223="",""," - "&amp;B223)&amp;IF(D223="",""," - "&amp;D223)&amp;IF(A223="",""," - "&amp;TEXT(A223,"mmm yyyy")))</f>
        <v/>
      </c>
      <c r="P223" s="37" t="n"/>
      <c r="Q223" s="37" t="n"/>
      <c r="R223" s="37" t="n"/>
    </row>
    <row r="224">
      <c r="A224" s="44" t="n"/>
      <c r="B224" s="37" t="n"/>
      <c r="C224" s="10">
        <f>IF(B224="","",IF(COUNTIF(lst_Jobs,B224&amp;"")&gt;0,"OK","CHECK"))</f>
        <v/>
      </c>
      <c r="D224" s="10">
        <f>IF(B224="","",IFERROR(INDEX(tbl_Finance[Client],MATCH(B224&amp;"",tbl_Finance[Job Number],0)),""))</f>
        <v/>
      </c>
      <c r="E224" s="37" t="n"/>
      <c r="F224" s="37" t="n"/>
      <c r="G224" s="37" t="n"/>
      <c r="H224" s="37" t="n"/>
      <c r="I224" s="37" t="n"/>
      <c r="J224" s="39" t="n"/>
      <c r="K224" s="37" t="n"/>
      <c r="L224" s="10">
        <f>IF(N(J224)=0,"",IF(J224&gt;0,set_WIPAsset,IF(I224="Cost",IF(K224="","(set the P&amp;L Account)",K224),IF(K224="",set_WIPIncome,K224))))</f>
        <v/>
      </c>
      <c r="M224" s="10">
        <f>IF(N(J224)=0,"",IF(J224&gt;0,IF(I224="Cost",IF(K224="","(set the P&amp;L Account)",K224),IF(K224="",set_WIPIncome,K224)),set_WIPAsset))</f>
        <v/>
      </c>
      <c r="N224" s="11">
        <f>IF(N(J224)=0,"",ABS(J224))</f>
        <v/>
      </c>
      <c r="O224" s="10">
        <f>IF(N(J224)=0,"","WIP "&amp;H224&amp;IF(B224="",""," - "&amp;B224)&amp;IF(D224="",""," - "&amp;D224)&amp;IF(A224="",""," - "&amp;TEXT(A224,"mmm yyyy")))</f>
        <v/>
      </c>
      <c r="P224" s="37" t="n"/>
      <c r="Q224" s="37" t="n"/>
      <c r="R224" s="37" t="n"/>
    </row>
    <row r="225">
      <c r="A225" s="44" t="n"/>
      <c r="B225" s="37" t="n"/>
      <c r="C225" s="10">
        <f>IF(B225="","",IF(COUNTIF(lst_Jobs,B225&amp;"")&gt;0,"OK","CHECK"))</f>
        <v/>
      </c>
      <c r="D225" s="10">
        <f>IF(B225="","",IFERROR(INDEX(tbl_Finance[Client],MATCH(B225&amp;"",tbl_Finance[Job Number],0)),""))</f>
        <v/>
      </c>
      <c r="E225" s="37" t="n"/>
      <c r="F225" s="37" t="n"/>
      <c r="G225" s="37" t="n"/>
      <c r="H225" s="37" t="n"/>
      <c r="I225" s="37" t="n"/>
      <c r="J225" s="39" t="n"/>
      <c r="K225" s="37" t="n"/>
      <c r="L225" s="10">
        <f>IF(N(J225)=0,"",IF(J225&gt;0,set_WIPAsset,IF(I225="Cost",IF(K225="","(set the P&amp;L Account)",K225),IF(K225="",set_WIPIncome,K225))))</f>
        <v/>
      </c>
      <c r="M225" s="10">
        <f>IF(N(J225)=0,"",IF(J225&gt;0,IF(I225="Cost",IF(K225="","(set the P&amp;L Account)",K225),IF(K225="",set_WIPIncome,K225)),set_WIPAsset))</f>
        <v/>
      </c>
      <c r="N225" s="11">
        <f>IF(N(J225)=0,"",ABS(J225))</f>
        <v/>
      </c>
      <c r="O225" s="10">
        <f>IF(N(J225)=0,"","WIP "&amp;H225&amp;IF(B225="",""," - "&amp;B225)&amp;IF(D225="",""," - "&amp;D225)&amp;IF(A225="",""," - "&amp;TEXT(A225,"mmm yyyy")))</f>
        <v/>
      </c>
      <c r="P225" s="37" t="n"/>
      <c r="Q225" s="37" t="n"/>
      <c r="R225" s="37" t="n"/>
    </row>
    <row r="226">
      <c r="A226" s="44" t="n"/>
      <c r="B226" s="37" t="n"/>
      <c r="C226" s="10">
        <f>IF(B226="","",IF(COUNTIF(lst_Jobs,B226&amp;"")&gt;0,"OK","CHECK"))</f>
        <v/>
      </c>
      <c r="D226" s="10">
        <f>IF(B226="","",IFERROR(INDEX(tbl_Finance[Client],MATCH(B226&amp;"",tbl_Finance[Job Number],0)),""))</f>
        <v/>
      </c>
      <c r="E226" s="37" t="n"/>
      <c r="F226" s="37" t="n"/>
      <c r="G226" s="37" t="n"/>
      <c r="H226" s="37" t="n"/>
      <c r="I226" s="37" t="n"/>
      <c r="J226" s="39" t="n"/>
      <c r="K226" s="37" t="n"/>
      <c r="L226" s="10">
        <f>IF(N(J226)=0,"",IF(J226&gt;0,set_WIPAsset,IF(I226="Cost",IF(K226="","(set the P&amp;L Account)",K226),IF(K226="",set_WIPIncome,K226))))</f>
        <v/>
      </c>
      <c r="M226" s="10">
        <f>IF(N(J226)=0,"",IF(J226&gt;0,IF(I226="Cost",IF(K226="","(set the P&amp;L Account)",K226),IF(K226="",set_WIPIncome,K226)),set_WIPAsset))</f>
        <v/>
      </c>
      <c r="N226" s="11">
        <f>IF(N(J226)=0,"",ABS(J226))</f>
        <v/>
      </c>
      <c r="O226" s="10">
        <f>IF(N(J226)=0,"","WIP "&amp;H226&amp;IF(B226="",""," - "&amp;B226)&amp;IF(D226="",""," - "&amp;D226)&amp;IF(A226="",""," - "&amp;TEXT(A226,"mmm yyyy")))</f>
        <v/>
      </c>
      <c r="P226" s="37" t="n"/>
      <c r="Q226" s="37" t="n"/>
      <c r="R226" s="37" t="n"/>
    </row>
    <row r="227">
      <c r="A227" s="44" t="n"/>
      <c r="B227" s="37" t="n"/>
      <c r="C227" s="10">
        <f>IF(B227="","",IF(COUNTIF(lst_Jobs,B227&amp;"")&gt;0,"OK","CHECK"))</f>
        <v/>
      </c>
      <c r="D227" s="10">
        <f>IF(B227="","",IFERROR(INDEX(tbl_Finance[Client],MATCH(B227&amp;"",tbl_Finance[Job Number],0)),""))</f>
        <v/>
      </c>
      <c r="E227" s="37" t="n"/>
      <c r="F227" s="37" t="n"/>
      <c r="G227" s="37" t="n"/>
      <c r="H227" s="37" t="n"/>
      <c r="I227" s="37" t="n"/>
      <c r="J227" s="39" t="n"/>
      <c r="K227" s="37" t="n"/>
      <c r="L227" s="10">
        <f>IF(N(J227)=0,"",IF(J227&gt;0,set_WIPAsset,IF(I227="Cost",IF(K227="","(set the P&amp;L Account)",K227),IF(K227="",set_WIPIncome,K227))))</f>
        <v/>
      </c>
      <c r="M227" s="10">
        <f>IF(N(J227)=0,"",IF(J227&gt;0,IF(I227="Cost",IF(K227="","(set the P&amp;L Account)",K227),IF(K227="",set_WIPIncome,K227)),set_WIPAsset))</f>
        <v/>
      </c>
      <c r="N227" s="11">
        <f>IF(N(J227)=0,"",ABS(J227))</f>
        <v/>
      </c>
      <c r="O227" s="10">
        <f>IF(N(J227)=0,"","WIP "&amp;H227&amp;IF(B227="",""," - "&amp;B227)&amp;IF(D227="",""," - "&amp;D227)&amp;IF(A227="",""," - "&amp;TEXT(A227,"mmm yyyy")))</f>
        <v/>
      </c>
      <c r="P227" s="37" t="n"/>
      <c r="Q227" s="37" t="n"/>
      <c r="R227" s="37" t="n"/>
    </row>
    <row r="228">
      <c r="A228" s="44" t="n"/>
      <c r="B228" s="37" t="n"/>
      <c r="C228" s="10">
        <f>IF(B228="","",IF(COUNTIF(lst_Jobs,B228&amp;"")&gt;0,"OK","CHECK"))</f>
        <v/>
      </c>
      <c r="D228" s="10">
        <f>IF(B228="","",IFERROR(INDEX(tbl_Finance[Client],MATCH(B228&amp;"",tbl_Finance[Job Number],0)),""))</f>
        <v/>
      </c>
      <c r="E228" s="37" t="n"/>
      <c r="F228" s="37" t="n"/>
      <c r="G228" s="37" t="n"/>
      <c r="H228" s="37" t="n"/>
      <c r="I228" s="37" t="n"/>
      <c r="J228" s="39" t="n"/>
      <c r="K228" s="37" t="n"/>
      <c r="L228" s="10">
        <f>IF(N(J228)=0,"",IF(J228&gt;0,set_WIPAsset,IF(I228="Cost",IF(K228="","(set the P&amp;L Account)",K228),IF(K228="",set_WIPIncome,K228))))</f>
        <v/>
      </c>
      <c r="M228" s="10">
        <f>IF(N(J228)=0,"",IF(J228&gt;0,IF(I228="Cost",IF(K228="","(set the P&amp;L Account)",K228),IF(K228="",set_WIPIncome,K228)),set_WIPAsset))</f>
        <v/>
      </c>
      <c r="N228" s="11">
        <f>IF(N(J228)=0,"",ABS(J228))</f>
        <v/>
      </c>
      <c r="O228" s="10">
        <f>IF(N(J228)=0,"","WIP "&amp;H228&amp;IF(B228="",""," - "&amp;B228)&amp;IF(D228="",""," - "&amp;D228)&amp;IF(A228="",""," - "&amp;TEXT(A228,"mmm yyyy")))</f>
        <v/>
      </c>
      <c r="P228" s="37" t="n"/>
      <c r="Q228" s="37" t="n"/>
      <c r="R228" s="37" t="n"/>
    </row>
    <row r="229">
      <c r="A229" s="44" t="n"/>
      <c r="B229" s="37" t="n"/>
      <c r="C229" s="10">
        <f>IF(B229="","",IF(COUNTIF(lst_Jobs,B229&amp;"")&gt;0,"OK","CHECK"))</f>
        <v/>
      </c>
      <c r="D229" s="10">
        <f>IF(B229="","",IFERROR(INDEX(tbl_Finance[Client],MATCH(B229&amp;"",tbl_Finance[Job Number],0)),""))</f>
        <v/>
      </c>
      <c r="E229" s="37" t="n"/>
      <c r="F229" s="37" t="n"/>
      <c r="G229" s="37" t="n"/>
      <c r="H229" s="37" t="n"/>
      <c r="I229" s="37" t="n"/>
      <c r="J229" s="39" t="n"/>
      <c r="K229" s="37" t="n"/>
      <c r="L229" s="10">
        <f>IF(N(J229)=0,"",IF(J229&gt;0,set_WIPAsset,IF(I229="Cost",IF(K229="","(set the P&amp;L Account)",K229),IF(K229="",set_WIPIncome,K229))))</f>
        <v/>
      </c>
      <c r="M229" s="10">
        <f>IF(N(J229)=0,"",IF(J229&gt;0,IF(I229="Cost",IF(K229="","(set the P&amp;L Account)",K229),IF(K229="",set_WIPIncome,K229)),set_WIPAsset))</f>
        <v/>
      </c>
      <c r="N229" s="11">
        <f>IF(N(J229)=0,"",ABS(J229))</f>
        <v/>
      </c>
      <c r="O229" s="10">
        <f>IF(N(J229)=0,"","WIP "&amp;H229&amp;IF(B229="",""," - "&amp;B229)&amp;IF(D229="",""," - "&amp;D229)&amp;IF(A229="",""," - "&amp;TEXT(A229,"mmm yyyy")))</f>
        <v/>
      </c>
      <c r="P229" s="37" t="n"/>
      <c r="Q229" s="37" t="n"/>
      <c r="R229" s="37" t="n"/>
    </row>
    <row r="230">
      <c r="A230" s="44" t="n"/>
      <c r="B230" s="37" t="n"/>
      <c r="C230" s="10">
        <f>IF(B230="","",IF(COUNTIF(lst_Jobs,B230&amp;"")&gt;0,"OK","CHECK"))</f>
        <v/>
      </c>
      <c r="D230" s="10">
        <f>IF(B230="","",IFERROR(INDEX(tbl_Finance[Client],MATCH(B230&amp;"",tbl_Finance[Job Number],0)),""))</f>
        <v/>
      </c>
      <c r="E230" s="37" t="n"/>
      <c r="F230" s="37" t="n"/>
      <c r="G230" s="37" t="n"/>
      <c r="H230" s="37" t="n"/>
      <c r="I230" s="37" t="n"/>
      <c r="J230" s="39" t="n"/>
      <c r="K230" s="37" t="n"/>
      <c r="L230" s="10">
        <f>IF(N(J230)=0,"",IF(J230&gt;0,set_WIPAsset,IF(I230="Cost",IF(K230="","(set the P&amp;L Account)",K230),IF(K230="",set_WIPIncome,K230))))</f>
        <v/>
      </c>
      <c r="M230" s="10">
        <f>IF(N(J230)=0,"",IF(J230&gt;0,IF(I230="Cost",IF(K230="","(set the P&amp;L Account)",K230),IF(K230="",set_WIPIncome,K230)),set_WIPAsset))</f>
        <v/>
      </c>
      <c r="N230" s="11">
        <f>IF(N(J230)=0,"",ABS(J230))</f>
        <v/>
      </c>
      <c r="O230" s="10">
        <f>IF(N(J230)=0,"","WIP "&amp;H230&amp;IF(B230="",""," - "&amp;B230)&amp;IF(D230="",""," - "&amp;D230)&amp;IF(A230="",""," - "&amp;TEXT(A230,"mmm yyyy")))</f>
        <v/>
      </c>
      <c r="P230" s="37" t="n"/>
      <c r="Q230" s="37" t="n"/>
      <c r="R230" s="37" t="n"/>
    </row>
    <row r="231">
      <c r="A231" s="44" t="n"/>
      <c r="B231" s="37" t="n"/>
      <c r="C231" s="10">
        <f>IF(B231="","",IF(COUNTIF(lst_Jobs,B231&amp;"")&gt;0,"OK","CHECK"))</f>
        <v/>
      </c>
      <c r="D231" s="10">
        <f>IF(B231="","",IFERROR(INDEX(tbl_Finance[Client],MATCH(B231&amp;"",tbl_Finance[Job Number],0)),""))</f>
        <v/>
      </c>
      <c r="E231" s="37" t="n"/>
      <c r="F231" s="37" t="n"/>
      <c r="G231" s="37" t="n"/>
      <c r="H231" s="37" t="n"/>
      <c r="I231" s="37" t="n"/>
      <c r="J231" s="39" t="n"/>
      <c r="K231" s="37" t="n"/>
      <c r="L231" s="10">
        <f>IF(N(J231)=0,"",IF(J231&gt;0,set_WIPAsset,IF(I231="Cost",IF(K231="","(set the P&amp;L Account)",K231),IF(K231="",set_WIPIncome,K231))))</f>
        <v/>
      </c>
      <c r="M231" s="10">
        <f>IF(N(J231)=0,"",IF(J231&gt;0,IF(I231="Cost",IF(K231="","(set the P&amp;L Account)",K231),IF(K231="",set_WIPIncome,K231)),set_WIPAsset))</f>
        <v/>
      </c>
      <c r="N231" s="11">
        <f>IF(N(J231)=0,"",ABS(J231))</f>
        <v/>
      </c>
      <c r="O231" s="10">
        <f>IF(N(J231)=0,"","WIP "&amp;H231&amp;IF(B231="",""," - "&amp;B231)&amp;IF(D231="",""," - "&amp;D231)&amp;IF(A231="",""," - "&amp;TEXT(A231,"mmm yyyy")))</f>
        <v/>
      </c>
      <c r="P231" s="37" t="n"/>
      <c r="Q231" s="37" t="n"/>
      <c r="R231" s="37" t="n"/>
    </row>
    <row r="232">
      <c r="A232" s="44" t="n"/>
      <c r="B232" s="37" t="n"/>
      <c r="C232" s="10">
        <f>IF(B232="","",IF(COUNTIF(lst_Jobs,B232&amp;"")&gt;0,"OK","CHECK"))</f>
        <v/>
      </c>
      <c r="D232" s="10">
        <f>IF(B232="","",IFERROR(INDEX(tbl_Finance[Client],MATCH(B232&amp;"",tbl_Finance[Job Number],0)),""))</f>
        <v/>
      </c>
      <c r="E232" s="37" t="n"/>
      <c r="F232" s="37" t="n"/>
      <c r="G232" s="37" t="n"/>
      <c r="H232" s="37" t="n"/>
      <c r="I232" s="37" t="n"/>
      <c r="J232" s="39" t="n"/>
      <c r="K232" s="37" t="n"/>
      <c r="L232" s="10">
        <f>IF(N(J232)=0,"",IF(J232&gt;0,set_WIPAsset,IF(I232="Cost",IF(K232="","(set the P&amp;L Account)",K232),IF(K232="",set_WIPIncome,K232))))</f>
        <v/>
      </c>
      <c r="M232" s="10">
        <f>IF(N(J232)=0,"",IF(J232&gt;0,IF(I232="Cost",IF(K232="","(set the P&amp;L Account)",K232),IF(K232="",set_WIPIncome,K232)),set_WIPAsset))</f>
        <v/>
      </c>
      <c r="N232" s="11">
        <f>IF(N(J232)=0,"",ABS(J232))</f>
        <v/>
      </c>
      <c r="O232" s="10">
        <f>IF(N(J232)=0,"","WIP "&amp;H232&amp;IF(B232="",""," - "&amp;B232)&amp;IF(D232="",""," - "&amp;D232)&amp;IF(A232="",""," - "&amp;TEXT(A232,"mmm yyyy")))</f>
        <v/>
      </c>
      <c r="P232" s="37" t="n"/>
      <c r="Q232" s="37" t="n"/>
      <c r="R232" s="37" t="n"/>
    </row>
    <row r="233">
      <c r="A233" s="44" t="n"/>
      <c r="B233" s="37" t="n"/>
      <c r="C233" s="10">
        <f>IF(B233="","",IF(COUNTIF(lst_Jobs,B233&amp;"")&gt;0,"OK","CHECK"))</f>
        <v/>
      </c>
      <c r="D233" s="10">
        <f>IF(B233="","",IFERROR(INDEX(tbl_Finance[Client],MATCH(B233&amp;"",tbl_Finance[Job Number],0)),""))</f>
        <v/>
      </c>
      <c r="E233" s="37" t="n"/>
      <c r="F233" s="37" t="n"/>
      <c r="G233" s="37" t="n"/>
      <c r="H233" s="37" t="n"/>
      <c r="I233" s="37" t="n"/>
      <c r="J233" s="39" t="n"/>
      <c r="K233" s="37" t="n"/>
      <c r="L233" s="10">
        <f>IF(N(J233)=0,"",IF(J233&gt;0,set_WIPAsset,IF(I233="Cost",IF(K233="","(set the P&amp;L Account)",K233),IF(K233="",set_WIPIncome,K233))))</f>
        <v/>
      </c>
      <c r="M233" s="10">
        <f>IF(N(J233)=0,"",IF(J233&gt;0,IF(I233="Cost",IF(K233="","(set the P&amp;L Account)",K233),IF(K233="",set_WIPIncome,K233)),set_WIPAsset))</f>
        <v/>
      </c>
      <c r="N233" s="11">
        <f>IF(N(J233)=0,"",ABS(J233))</f>
        <v/>
      </c>
      <c r="O233" s="10">
        <f>IF(N(J233)=0,"","WIP "&amp;H233&amp;IF(B233="",""," - "&amp;B233)&amp;IF(D233="",""," - "&amp;D233)&amp;IF(A233="",""," - "&amp;TEXT(A233,"mmm yyyy")))</f>
        <v/>
      </c>
      <c r="P233" s="37" t="n"/>
      <c r="Q233" s="37" t="n"/>
      <c r="R233" s="37" t="n"/>
    </row>
    <row r="234">
      <c r="A234" s="44" t="n"/>
      <c r="B234" s="37" t="n"/>
      <c r="C234" s="10">
        <f>IF(B234="","",IF(COUNTIF(lst_Jobs,B234&amp;"")&gt;0,"OK","CHECK"))</f>
        <v/>
      </c>
      <c r="D234" s="10">
        <f>IF(B234="","",IFERROR(INDEX(tbl_Finance[Client],MATCH(B234&amp;"",tbl_Finance[Job Number],0)),""))</f>
        <v/>
      </c>
      <c r="E234" s="37" t="n"/>
      <c r="F234" s="37" t="n"/>
      <c r="G234" s="37" t="n"/>
      <c r="H234" s="37" t="n"/>
      <c r="I234" s="37" t="n"/>
      <c r="J234" s="39" t="n"/>
      <c r="K234" s="37" t="n"/>
      <c r="L234" s="10">
        <f>IF(N(J234)=0,"",IF(J234&gt;0,set_WIPAsset,IF(I234="Cost",IF(K234="","(set the P&amp;L Account)",K234),IF(K234="",set_WIPIncome,K234))))</f>
        <v/>
      </c>
      <c r="M234" s="10">
        <f>IF(N(J234)=0,"",IF(J234&gt;0,IF(I234="Cost",IF(K234="","(set the P&amp;L Account)",K234),IF(K234="",set_WIPIncome,K234)),set_WIPAsset))</f>
        <v/>
      </c>
      <c r="N234" s="11">
        <f>IF(N(J234)=0,"",ABS(J234))</f>
        <v/>
      </c>
      <c r="O234" s="10">
        <f>IF(N(J234)=0,"","WIP "&amp;H234&amp;IF(B234="",""," - "&amp;B234)&amp;IF(D234="",""," - "&amp;D234)&amp;IF(A234="",""," - "&amp;TEXT(A234,"mmm yyyy")))</f>
        <v/>
      </c>
      <c r="P234" s="37" t="n"/>
      <c r="Q234" s="37" t="n"/>
      <c r="R234" s="37" t="n"/>
    </row>
    <row r="235">
      <c r="A235" s="44" t="n"/>
      <c r="B235" s="37" t="n"/>
      <c r="C235" s="10">
        <f>IF(B235="","",IF(COUNTIF(lst_Jobs,B235&amp;"")&gt;0,"OK","CHECK"))</f>
        <v/>
      </c>
      <c r="D235" s="10">
        <f>IF(B235="","",IFERROR(INDEX(tbl_Finance[Client],MATCH(B235&amp;"",tbl_Finance[Job Number],0)),""))</f>
        <v/>
      </c>
      <c r="E235" s="37" t="n"/>
      <c r="F235" s="37" t="n"/>
      <c r="G235" s="37" t="n"/>
      <c r="H235" s="37" t="n"/>
      <c r="I235" s="37" t="n"/>
      <c r="J235" s="39" t="n"/>
      <c r="K235" s="37" t="n"/>
      <c r="L235" s="10">
        <f>IF(N(J235)=0,"",IF(J235&gt;0,set_WIPAsset,IF(I235="Cost",IF(K235="","(set the P&amp;L Account)",K235),IF(K235="",set_WIPIncome,K235))))</f>
        <v/>
      </c>
      <c r="M235" s="10">
        <f>IF(N(J235)=0,"",IF(J235&gt;0,IF(I235="Cost",IF(K235="","(set the P&amp;L Account)",K235),IF(K235="",set_WIPIncome,K235)),set_WIPAsset))</f>
        <v/>
      </c>
      <c r="N235" s="11">
        <f>IF(N(J235)=0,"",ABS(J235))</f>
        <v/>
      </c>
      <c r="O235" s="10">
        <f>IF(N(J235)=0,"","WIP "&amp;H235&amp;IF(B235="",""," - "&amp;B235)&amp;IF(D235="",""," - "&amp;D235)&amp;IF(A235="",""," - "&amp;TEXT(A235,"mmm yyyy")))</f>
        <v/>
      </c>
      <c r="P235" s="37" t="n"/>
      <c r="Q235" s="37" t="n"/>
      <c r="R235" s="37" t="n"/>
    </row>
    <row r="236">
      <c r="A236" s="44" t="n"/>
      <c r="B236" s="37" t="n"/>
      <c r="C236" s="10">
        <f>IF(B236="","",IF(COUNTIF(lst_Jobs,B236&amp;"")&gt;0,"OK","CHECK"))</f>
        <v/>
      </c>
      <c r="D236" s="10">
        <f>IF(B236="","",IFERROR(INDEX(tbl_Finance[Client],MATCH(B236&amp;"",tbl_Finance[Job Number],0)),""))</f>
        <v/>
      </c>
      <c r="E236" s="37" t="n"/>
      <c r="F236" s="37" t="n"/>
      <c r="G236" s="37" t="n"/>
      <c r="H236" s="37" t="n"/>
      <c r="I236" s="37" t="n"/>
      <c r="J236" s="39" t="n"/>
      <c r="K236" s="37" t="n"/>
      <c r="L236" s="10">
        <f>IF(N(J236)=0,"",IF(J236&gt;0,set_WIPAsset,IF(I236="Cost",IF(K236="","(set the P&amp;L Account)",K236),IF(K236="",set_WIPIncome,K236))))</f>
        <v/>
      </c>
      <c r="M236" s="10">
        <f>IF(N(J236)=0,"",IF(J236&gt;0,IF(I236="Cost",IF(K236="","(set the P&amp;L Account)",K236),IF(K236="",set_WIPIncome,K236)),set_WIPAsset))</f>
        <v/>
      </c>
      <c r="N236" s="11">
        <f>IF(N(J236)=0,"",ABS(J236))</f>
        <v/>
      </c>
      <c r="O236" s="10">
        <f>IF(N(J236)=0,"","WIP "&amp;H236&amp;IF(B236="",""," - "&amp;B236)&amp;IF(D236="",""," - "&amp;D236)&amp;IF(A236="",""," - "&amp;TEXT(A236,"mmm yyyy")))</f>
        <v/>
      </c>
      <c r="P236" s="37" t="n"/>
      <c r="Q236" s="37" t="n"/>
      <c r="R236" s="37" t="n"/>
    </row>
    <row r="237">
      <c r="A237" s="44" t="n"/>
      <c r="B237" s="37" t="n"/>
      <c r="C237" s="10">
        <f>IF(B237="","",IF(COUNTIF(lst_Jobs,B237&amp;"")&gt;0,"OK","CHECK"))</f>
        <v/>
      </c>
      <c r="D237" s="10">
        <f>IF(B237="","",IFERROR(INDEX(tbl_Finance[Client],MATCH(B237&amp;"",tbl_Finance[Job Number],0)),""))</f>
        <v/>
      </c>
      <c r="E237" s="37" t="n"/>
      <c r="F237" s="37" t="n"/>
      <c r="G237" s="37" t="n"/>
      <c r="H237" s="37" t="n"/>
      <c r="I237" s="37" t="n"/>
      <c r="J237" s="39" t="n"/>
      <c r="K237" s="37" t="n"/>
      <c r="L237" s="10">
        <f>IF(N(J237)=0,"",IF(J237&gt;0,set_WIPAsset,IF(I237="Cost",IF(K237="","(set the P&amp;L Account)",K237),IF(K237="",set_WIPIncome,K237))))</f>
        <v/>
      </c>
      <c r="M237" s="10">
        <f>IF(N(J237)=0,"",IF(J237&gt;0,IF(I237="Cost",IF(K237="","(set the P&amp;L Account)",K237),IF(K237="",set_WIPIncome,K237)),set_WIPAsset))</f>
        <v/>
      </c>
      <c r="N237" s="11">
        <f>IF(N(J237)=0,"",ABS(J237))</f>
        <v/>
      </c>
      <c r="O237" s="10">
        <f>IF(N(J237)=0,"","WIP "&amp;H237&amp;IF(B237="",""," - "&amp;B237)&amp;IF(D237="",""," - "&amp;D237)&amp;IF(A237="",""," - "&amp;TEXT(A237,"mmm yyyy")))</f>
        <v/>
      </c>
      <c r="P237" s="37" t="n"/>
      <c r="Q237" s="37" t="n"/>
      <c r="R237" s="37" t="n"/>
    </row>
    <row r="238">
      <c r="A238" s="44" t="n"/>
      <c r="B238" s="37" t="n"/>
      <c r="C238" s="10">
        <f>IF(B238="","",IF(COUNTIF(lst_Jobs,B238&amp;"")&gt;0,"OK","CHECK"))</f>
        <v/>
      </c>
      <c r="D238" s="10">
        <f>IF(B238="","",IFERROR(INDEX(tbl_Finance[Client],MATCH(B238&amp;"",tbl_Finance[Job Number],0)),""))</f>
        <v/>
      </c>
      <c r="E238" s="37" t="n"/>
      <c r="F238" s="37" t="n"/>
      <c r="G238" s="37" t="n"/>
      <c r="H238" s="37" t="n"/>
      <c r="I238" s="37" t="n"/>
      <c r="J238" s="39" t="n"/>
      <c r="K238" s="37" t="n"/>
      <c r="L238" s="10">
        <f>IF(N(J238)=0,"",IF(J238&gt;0,set_WIPAsset,IF(I238="Cost",IF(K238="","(set the P&amp;L Account)",K238),IF(K238="",set_WIPIncome,K238))))</f>
        <v/>
      </c>
      <c r="M238" s="10">
        <f>IF(N(J238)=0,"",IF(J238&gt;0,IF(I238="Cost",IF(K238="","(set the P&amp;L Account)",K238),IF(K238="",set_WIPIncome,K238)),set_WIPAsset))</f>
        <v/>
      </c>
      <c r="N238" s="11">
        <f>IF(N(J238)=0,"",ABS(J238))</f>
        <v/>
      </c>
      <c r="O238" s="10">
        <f>IF(N(J238)=0,"","WIP "&amp;H238&amp;IF(B238="",""," - "&amp;B238)&amp;IF(D238="",""," - "&amp;D238)&amp;IF(A238="",""," - "&amp;TEXT(A238,"mmm yyyy")))</f>
        <v/>
      </c>
      <c r="P238" s="37" t="n"/>
      <c r="Q238" s="37" t="n"/>
      <c r="R238" s="37" t="n"/>
    </row>
    <row r="239">
      <c r="A239" s="44" t="n"/>
      <c r="B239" s="37" t="n"/>
      <c r="C239" s="10">
        <f>IF(B239="","",IF(COUNTIF(lst_Jobs,B239&amp;"")&gt;0,"OK","CHECK"))</f>
        <v/>
      </c>
      <c r="D239" s="10">
        <f>IF(B239="","",IFERROR(INDEX(tbl_Finance[Client],MATCH(B239&amp;"",tbl_Finance[Job Number],0)),""))</f>
        <v/>
      </c>
      <c r="E239" s="37" t="n"/>
      <c r="F239" s="37" t="n"/>
      <c r="G239" s="37" t="n"/>
      <c r="H239" s="37" t="n"/>
      <c r="I239" s="37" t="n"/>
      <c r="J239" s="39" t="n"/>
      <c r="K239" s="37" t="n"/>
      <c r="L239" s="10">
        <f>IF(N(J239)=0,"",IF(J239&gt;0,set_WIPAsset,IF(I239="Cost",IF(K239="","(set the P&amp;L Account)",K239),IF(K239="",set_WIPIncome,K239))))</f>
        <v/>
      </c>
      <c r="M239" s="10">
        <f>IF(N(J239)=0,"",IF(J239&gt;0,IF(I239="Cost",IF(K239="","(set the P&amp;L Account)",K239),IF(K239="",set_WIPIncome,K239)),set_WIPAsset))</f>
        <v/>
      </c>
      <c r="N239" s="11">
        <f>IF(N(J239)=0,"",ABS(J239))</f>
        <v/>
      </c>
      <c r="O239" s="10">
        <f>IF(N(J239)=0,"","WIP "&amp;H239&amp;IF(B239="",""," - "&amp;B239)&amp;IF(D239="",""," - "&amp;D239)&amp;IF(A239="",""," - "&amp;TEXT(A239,"mmm yyyy")))</f>
        <v/>
      </c>
      <c r="P239" s="37" t="n"/>
      <c r="Q239" s="37" t="n"/>
      <c r="R239" s="37" t="n"/>
    </row>
    <row r="240">
      <c r="A240" s="44" t="n"/>
      <c r="B240" s="37" t="n"/>
      <c r="C240" s="10">
        <f>IF(B240="","",IF(COUNTIF(lst_Jobs,B240&amp;"")&gt;0,"OK","CHECK"))</f>
        <v/>
      </c>
      <c r="D240" s="10">
        <f>IF(B240="","",IFERROR(INDEX(tbl_Finance[Client],MATCH(B240&amp;"",tbl_Finance[Job Number],0)),""))</f>
        <v/>
      </c>
      <c r="E240" s="37" t="n"/>
      <c r="F240" s="37" t="n"/>
      <c r="G240" s="37" t="n"/>
      <c r="H240" s="37" t="n"/>
      <c r="I240" s="37" t="n"/>
      <c r="J240" s="39" t="n"/>
      <c r="K240" s="37" t="n"/>
      <c r="L240" s="10">
        <f>IF(N(J240)=0,"",IF(J240&gt;0,set_WIPAsset,IF(I240="Cost",IF(K240="","(set the P&amp;L Account)",K240),IF(K240="",set_WIPIncome,K240))))</f>
        <v/>
      </c>
      <c r="M240" s="10">
        <f>IF(N(J240)=0,"",IF(J240&gt;0,IF(I240="Cost",IF(K240="","(set the P&amp;L Account)",K240),IF(K240="",set_WIPIncome,K240)),set_WIPAsset))</f>
        <v/>
      </c>
      <c r="N240" s="11">
        <f>IF(N(J240)=0,"",ABS(J240))</f>
        <v/>
      </c>
      <c r="O240" s="10">
        <f>IF(N(J240)=0,"","WIP "&amp;H240&amp;IF(B240="",""," - "&amp;B240)&amp;IF(D240="",""," - "&amp;D240)&amp;IF(A240="",""," - "&amp;TEXT(A240,"mmm yyyy")))</f>
        <v/>
      </c>
      <c r="P240" s="37" t="n"/>
      <c r="Q240" s="37" t="n"/>
      <c r="R240" s="37" t="n"/>
    </row>
    <row r="241">
      <c r="A241" s="44" t="n"/>
      <c r="B241" s="37" t="n"/>
      <c r="C241" s="10">
        <f>IF(B241="","",IF(COUNTIF(lst_Jobs,B241&amp;"")&gt;0,"OK","CHECK"))</f>
        <v/>
      </c>
      <c r="D241" s="10">
        <f>IF(B241="","",IFERROR(INDEX(tbl_Finance[Client],MATCH(B241&amp;"",tbl_Finance[Job Number],0)),""))</f>
        <v/>
      </c>
      <c r="E241" s="37" t="n"/>
      <c r="F241" s="37" t="n"/>
      <c r="G241" s="37" t="n"/>
      <c r="H241" s="37" t="n"/>
      <c r="I241" s="37" t="n"/>
      <c r="J241" s="39" t="n"/>
      <c r="K241" s="37" t="n"/>
      <c r="L241" s="10">
        <f>IF(N(J241)=0,"",IF(J241&gt;0,set_WIPAsset,IF(I241="Cost",IF(K241="","(set the P&amp;L Account)",K241),IF(K241="",set_WIPIncome,K241))))</f>
        <v/>
      </c>
      <c r="M241" s="10">
        <f>IF(N(J241)=0,"",IF(J241&gt;0,IF(I241="Cost",IF(K241="","(set the P&amp;L Account)",K241),IF(K241="",set_WIPIncome,K241)),set_WIPAsset))</f>
        <v/>
      </c>
      <c r="N241" s="11">
        <f>IF(N(J241)=0,"",ABS(J241))</f>
        <v/>
      </c>
      <c r="O241" s="10">
        <f>IF(N(J241)=0,"","WIP "&amp;H241&amp;IF(B241="",""," - "&amp;B241)&amp;IF(D241="",""," - "&amp;D241)&amp;IF(A241="",""," - "&amp;TEXT(A241,"mmm yyyy")))</f>
        <v/>
      </c>
      <c r="P241" s="37" t="n"/>
      <c r="Q241" s="37" t="n"/>
      <c r="R241" s="37" t="n"/>
    </row>
    <row r="242">
      <c r="A242" s="44" t="n"/>
      <c r="B242" s="37" t="n"/>
      <c r="C242" s="10">
        <f>IF(B242="","",IF(COUNTIF(lst_Jobs,B242&amp;"")&gt;0,"OK","CHECK"))</f>
        <v/>
      </c>
      <c r="D242" s="10">
        <f>IF(B242="","",IFERROR(INDEX(tbl_Finance[Client],MATCH(B242&amp;"",tbl_Finance[Job Number],0)),""))</f>
        <v/>
      </c>
      <c r="E242" s="37" t="n"/>
      <c r="F242" s="37" t="n"/>
      <c r="G242" s="37" t="n"/>
      <c r="H242" s="37" t="n"/>
      <c r="I242" s="37" t="n"/>
      <c r="J242" s="39" t="n"/>
      <c r="K242" s="37" t="n"/>
      <c r="L242" s="10">
        <f>IF(N(J242)=0,"",IF(J242&gt;0,set_WIPAsset,IF(I242="Cost",IF(K242="","(set the P&amp;L Account)",K242),IF(K242="",set_WIPIncome,K242))))</f>
        <v/>
      </c>
      <c r="M242" s="10">
        <f>IF(N(J242)=0,"",IF(J242&gt;0,IF(I242="Cost",IF(K242="","(set the P&amp;L Account)",K242),IF(K242="",set_WIPIncome,K242)),set_WIPAsset))</f>
        <v/>
      </c>
      <c r="N242" s="11">
        <f>IF(N(J242)=0,"",ABS(J242))</f>
        <v/>
      </c>
      <c r="O242" s="10">
        <f>IF(N(J242)=0,"","WIP "&amp;H242&amp;IF(B242="",""," - "&amp;B242)&amp;IF(D242="",""," - "&amp;D242)&amp;IF(A242="",""," - "&amp;TEXT(A242,"mmm yyyy")))</f>
        <v/>
      </c>
      <c r="P242" s="37" t="n"/>
      <c r="Q242" s="37" t="n"/>
      <c r="R242" s="37" t="n"/>
    </row>
    <row r="243">
      <c r="A243" s="44" t="n"/>
      <c r="B243" s="37" t="n"/>
      <c r="C243" s="10">
        <f>IF(B243="","",IF(COUNTIF(lst_Jobs,B243&amp;"")&gt;0,"OK","CHECK"))</f>
        <v/>
      </c>
      <c r="D243" s="10">
        <f>IF(B243="","",IFERROR(INDEX(tbl_Finance[Client],MATCH(B243&amp;"",tbl_Finance[Job Number],0)),""))</f>
        <v/>
      </c>
      <c r="E243" s="37" t="n"/>
      <c r="F243" s="37" t="n"/>
      <c r="G243" s="37" t="n"/>
      <c r="H243" s="37" t="n"/>
      <c r="I243" s="37" t="n"/>
      <c r="J243" s="39" t="n"/>
      <c r="K243" s="37" t="n"/>
      <c r="L243" s="10">
        <f>IF(N(J243)=0,"",IF(J243&gt;0,set_WIPAsset,IF(I243="Cost",IF(K243="","(set the P&amp;L Account)",K243),IF(K243="",set_WIPIncome,K243))))</f>
        <v/>
      </c>
      <c r="M243" s="10">
        <f>IF(N(J243)=0,"",IF(J243&gt;0,IF(I243="Cost",IF(K243="","(set the P&amp;L Account)",K243),IF(K243="",set_WIPIncome,K243)),set_WIPAsset))</f>
        <v/>
      </c>
      <c r="N243" s="11">
        <f>IF(N(J243)=0,"",ABS(J243))</f>
        <v/>
      </c>
      <c r="O243" s="10">
        <f>IF(N(J243)=0,"","WIP "&amp;H243&amp;IF(B243="",""," - "&amp;B243)&amp;IF(D243="",""," - "&amp;D243)&amp;IF(A243="",""," - "&amp;TEXT(A243,"mmm yyyy")))</f>
        <v/>
      </c>
      <c r="P243" s="37" t="n"/>
      <c r="Q243" s="37" t="n"/>
      <c r="R243" s="37" t="n"/>
    </row>
    <row r="244">
      <c r="A244" s="44" t="n"/>
      <c r="B244" s="37" t="n"/>
      <c r="C244" s="10">
        <f>IF(B244="","",IF(COUNTIF(lst_Jobs,B244&amp;"")&gt;0,"OK","CHECK"))</f>
        <v/>
      </c>
      <c r="D244" s="10">
        <f>IF(B244="","",IFERROR(INDEX(tbl_Finance[Client],MATCH(B244&amp;"",tbl_Finance[Job Number],0)),""))</f>
        <v/>
      </c>
      <c r="E244" s="37" t="n"/>
      <c r="F244" s="37" t="n"/>
      <c r="G244" s="37" t="n"/>
      <c r="H244" s="37" t="n"/>
      <c r="I244" s="37" t="n"/>
      <c r="J244" s="39" t="n"/>
      <c r="K244" s="37" t="n"/>
      <c r="L244" s="10">
        <f>IF(N(J244)=0,"",IF(J244&gt;0,set_WIPAsset,IF(I244="Cost",IF(K244="","(set the P&amp;L Account)",K244),IF(K244="",set_WIPIncome,K244))))</f>
        <v/>
      </c>
      <c r="M244" s="10">
        <f>IF(N(J244)=0,"",IF(J244&gt;0,IF(I244="Cost",IF(K244="","(set the P&amp;L Account)",K244),IF(K244="",set_WIPIncome,K244)),set_WIPAsset))</f>
        <v/>
      </c>
      <c r="N244" s="11">
        <f>IF(N(J244)=0,"",ABS(J244))</f>
        <v/>
      </c>
      <c r="O244" s="10">
        <f>IF(N(J244)=0,"","WIP "&amp;H244&amp;IF(B244="",""," - "&amp;B244)&amp;IF(D244="",""," - "&amp;D244)&amp;IF(A244="",""," - "&amp;TEXT(A244,"mmm yyyy")))</f>
        <v/>
      </c>
      <c r="P244" s="37" t="n"/>
      <c r="Q244" s="37" t="n"/>
      <c r="R244" s="37" t="n"/>
    </row>
    <row r="245">
      <c r="A245" s="44" t="n"/>
      <c r="B245" s="37" t="n"/>
      <c r="C245" s="10">
        <f>IF(B245="","",IF(COUNTIF(lst_Jobs,B245&amp;"")&gt;0,"OK","CHECK"))</f>
        <v/>
      </c>
      <c r="D245" s="10">
        <f>IF(B245="","",IFERROR(INDEX(tbl_Finance[Client],MATCH(B245&amp;"",tbl_Finance[Job Number],0)),""))</f>
        <v/>
      </c>
      <c r="E245" s="37" t="n"/>
      <c r="F245" s="37" t="n"/>
      <c r="G245" s="37" t="n"/>
      <c r="H245" s="37" t="n"/>
      <c r="I245" s="37" t="n"/>
      <c r="J245" s="39" t="n"/>
      <c r="K245" s="37" t="n"/>
      <c r="L245" s="10">
        <f>IF(N(J245)=0,"",IF(J245&gt;0,set_WIPAsset,IF(I245="Cost",IF(K245="","(set the P&amp;L Account)",K245),IF(K245="",set_WIPIncome,K245))))</f>
        <v/>
      </c>
      <c r="M245" s="10">
        <f>IF(N(J245)=0,"",IF(J245&gt;0,IF(I245="Cost",IF(K245="","(set the P&amp;L Account)",K245),IF(K245="",set_WIPIncome,K245)),set_WIPAsset))</f>
        <v/>
      </c>
      <c r="N245" s="11">
        <f>IF(N(J245)=0,"",ABS(J245))</f>
        <v/>
      </c>
      <c r="O245" s="10">
        <f>IF(N(J245)=0,"","WIP "&amp;H245&amp;IF(B245="",""," - "&amp;B245)&amp;IF(D245="",""," - "&amp;D245)&amp;IF(A245="",""," - "&amp;TEXT(A245,"mmm yyyy")))</f>
        <v/>
      </c>
      <c r="P245" s="37" t="n"/>
      <c r="Q245" s="37" t="n"/>
      <c r="R245" s="37" t="n"/>
    </row>
    <row r="246">
      <c r="A246" s="44" t="n"/>
      <c r="B246" s="37" t="n"/>
      <c r="C246" s="10">
        <f>IF(B246="","",IF(COUNTIF(lst_Jobs,B246&amp;"")&gt;0,"OK","CHECK"))</f>
        <v/>
      </c>
      <c r="D246" s="10">
        <f>IF(B246="","",IFERROR(INDEX(tbl_Finance[Client],MATCH(B246&amp;"",tbl_Finance[Job Number],0)),""))</f>
        <v/>
      </c>
      <c r="E246" s="37" t="n"/>
      <c r="F246" s="37" t="n"/>
      <c r="G246" s="37" t="n"/>
      <c r="H246" s="37" t="n"/>
      <c r="I246" s="37" t="n"/>
      <c r="J246" s="39" t="n"/>
      <c r="K246" s="37" t="n"/>
      <c r="L246" s="10">
        <f>IF(N(J246)=0,"",IF(J246&gt;0,set_WIPAsset,IF(I246="Cost",IF(K246="","(set the P&amp;L Account)",K246),IF(K246="",set_WIPIncome,K246))))</f>
        <v/>
      </c>
      <c r="M246" s="10">
        <f>IF(N(J246)=0,"",IF(J246&gt;0,IF(I246="Cost",IF(K246="","(set the P&amp;L Account)",K246),IF(K246="",set_WIPIncome,K246)),set_WIPAsset))</f>
        <v/>
      </c>
      <c r="N246" s="11">
        <f>IF(N(J246)=0,"",ABS(J246))</f>
        <v/>
      </c>
      <c r="O246" s="10">
        <f>IF(N(J246)=0,"","WIP "&amp;H246&amp;IF(B246="",""," - "&amp;B246)&amp;IF(D246="",""," - "&amp;D246)&amp;IF(A246="",""," - "&amp;TEXT(A246,"mmm yyyy")))</f>
        <v/>
      </c>
      <c r="P246" s="37" t="n"/>
      <c r="Q246" s="37" t="n"/>
      <c r="R246" s="37" t="n"/>
    </row>
    <row r="247">
      <c r="A247" s="44" t="n"/>
      <c r="B247" s="37" t="n"/>
      <c r="C247" s="10">
        <f>IF(B247="","",IF(COUNTIF(lst_Jobs,B247&amp;"")&gt;0,"OK","CHECK"))</f>
        <v/>
      </c>
      <c r="D247" s="10">
        <f>IF(B247="","",IFERROR(INDEX(tbl_Finance[Client],MATCH(B247&amp;"",tbl_Finance[Job Number],0)),""))</f>
        <v/>
      </c>
      <c r="E247" s="37" t="n"/>
      <c r="F247" s="37" t="n"/>
      <c r="G247" s="37" t="n"/>
      <c r="H247" s="37" t="n"/>
      <c r="I247" s="37" t="n"/>
      <c r="J247" s="39" t="n"/>
      <c r="K247" s="37" t="n"/>
      <c r="L247" s="10">
        <f>IF(N(J247)=0,"",IF(J247&gt;0,set_WIPAsset,IF(I247="Cost",IF(K247="","(set the P&amp;L Account)",K247),IF(K247="",set_WIPIncome,K247))))</f>
        <v/>
      </c>
      <c r="M247" s="10">
        <f>IF(N(J247)=0,"",IF(J247&gt;0,IF(I247="Cost",IF(K247="","(set the P&amp;L Account)",K247),IF(K247="",set_WIPIncome,K247)),set_WIPAsset))</f>
        <v/>
      </c>
      <c r="N247" s="11">
        <f>IF(N(J247)=0,"",ABS(J247))</f>
        <v/>
      </c>
      <c r="O247" s="10">
        <f>IF(N(J247)=0,"","WIP "&amp;H247&amp;IF(B247="",""," - "&amp;B247)&amp;IF(D247="",""," - "&amp;D247)&amp;IF(A247="",""," - "&amp;TEXT(A247,"mmm yyyy")))</f>
        <v/>
      </c>
      <c r="P247" s="37" t="n"/>
      <c r="Q247" s="37" t="n"/>
      <c r="R247" s="37" t="n"/>
    </row>
    <row r="248">
      <c r="A248" s="44" t="n"/>
      <c r="B248" s="37" t="n"/>
      <c r="C248" s="10">
        <f>IF(B248="","",IF(COUNTIF(lst_Jobs,B248&amp;"")&gt;0,"OK","CHECK"))</f>
        <v/>
      </c>
      <c r="D248" s="10">
        <f>IF(B248="","",IFERROR(INDEX(tbl_Finance[Client],MATCH(B248&amp;"",tbl_Finance[Job Number],0)),""))</f>
        <v/>
      </c>
      <c r="E248" s="37" t="n"/>
      <c r="F248" s="37" t="n"/>
      <c r="G248" s="37" t="n"/>
      <c r="H248" s="37" t="n"/>
      <c r="I248" s="37" t="n"/>
      <c r="J248" s="39" t="n"/>
      <c r="K248" s="37" t="n"/>
      <c r="L248" s="10">
        <f>IF(N(J248)=0,"",IF(J248&gt;0,set_WIPAsset,IF(I248="Cost",IF(K248="","(set the P&amp;L Account)",K248),IF(K248="",set_WIPIncome,K248))))</f>
        <v/>
      </c>
      <c r="M248" s="10">
        <f>IF(N(J248)=0,"",IF(J248&gt;0,IF(I248="Cost",IF(K248="","(set the P&amp;L Account)",K248),IF(K248="",set_WIPIncome,K248)),set_WIPAsset))</f>
        <v/>
      </c>
      <c r="N248" s="11">
        <f>IF(N(J248)=0,"",ABS(J248))</f>
        <v/>
      </c>
      <c r="O248" s="10">
        <f>IF(N(J248)=0,"","WIP "&amp;H248&amp;IF(B248="",""," - "&amp;B248)&amp;IF(D248="",""," - "&amp;D248)&amp;IF(A248="",""," - "&amp;TEXT(A248,"mmm yyyy")))</f>
        <v/>
      </c>
      <c r="P248" s="37" t="n"/>
      <c r="Q248" s="37" t="n"/>
      <c r="R248" s="37" t="n"/>
    </row>
    <row r="249">
      <c r="A249" s="44" t="n"/>
      <c r="B249" s="37" t="n"/>
      <c r="C249" s="10">
        <f>IF(B249="","",IF(COUNTIF(lst_Jobs,B249&amp;"")&gt;0,"OK","CHECK"))</f>
        <v/>
      </c>
      <c r="D249" s="10">
        <f>IF(B249="","",IFERROR(INDEX(tbl_Finance[Client],MATCH(B249&amp;"",tbl_Finance[Job Number],0)),""))</f>
        <v/>
      </c>
      <c r="E249" s="37" t="n"/>
      <c r="F249" s="37" t="n"/>
      <c r="G249" s="37" t="n"/>
      <c r="H249" s="37" t="n"/>
      <c r="I249" s="37" t="n"/>
      <c r="J249" s="39" t="n"/>
      <c r="K249" s="37" t="n"/>
      <c r="L249" s="10">
        <f>IF(N(J249)=0,"",IF(J249&gt;0,set_WIPAsset,IF(I249="Cost",IF(K249="","(set the P&amp;L Account)",K249),IF(K249="",set_WIPIncome,K249))))</f>
        <v/>
      </c>
      <c r="M249" s="10">
        <f>IF(N(J249)=0,"",IF(J249&gt;0,IF(I249="Cost",IF(K249="","(set the P&amp;L Account)",K249),IF(K249="",set_WIPIncome,K249)),set_WIPAsset))</f>
        <v/>
      </c>
      <c r="N249" s="11">
        <f>IF(N(J249)=0,"",ABS(J249))</f>
        <v/>
      </c>
      <c r="O249" s="10">
        <f>IF(N(J249)=0,"","WIP "&amp;H249&amp;IF(B249="",""," - "&amp;B249)&amp;IF(D249="",""," - "&amp;D249)&amp;IF(A249="",""," - "&amp;TEXT(A249,"mmm yyyy")))</f>
        <v/>
      </c>
      <c r="P249" s="37" t="n"/>
      <c r="Q249" s="37" t="n"/>
      <c r="R249" s="37" t="n"/>
    </row>
    <row r="250">
      <c r="A250" s="44" t="n"/>
      <c r="B250" s="37" t="n"/>
      <c r="C250" s="10">
        <f>IF(B250="","",IF(COUNTIF(lst_Jobs,B250&amp;"")&gt;0,"OK","CHECK"))</f>
        <v/>
      </c>
      <c r="D250" s="10">
        <f>IF(B250="","",IFERROR(INDEX(tbl_Finance[Client],MATCH(B250&amp;"",tbl_Finance[Job Number],0)),""))</f>
        <v/>
      </c>
      <c r="E250" s="37" t="n"/>
      <c r="F250" s="37" t="n"/>
      <c r="G250" s="37" t="n"/>
      <c r="H250" s="37" t="n"/>
      <c r="I250" s="37" t="n"/>
      <c r="J250" s="39" t="n"/>
      <c r="K250" s="37" t="n"/>
      <c r="L250" s="10">
        <f>IF(N(J250)=0,"",IF(J250&gt;0,set_WIPAsset,IF(I250="Cost",IF(K250="","(set the P&amp;L Account)",K250),IF(K250="",set_WIPIncome,K250))))</f>
        <v/>
      </c>
      <c r="M250" s="10">
        <f>IF(N(J250)=0,"",IF(J250&gt;0,IF(I250="Cost",IF(K250="","(set the P&amp;L Account)",K250),IF(K250="",set_WIPIncome,K250)),set_WIPAsset))</f>
        <v/>
      </c>
      <c r="N250" s="11">
        <f>IF(N(J250)=0,"",ABS(J250))</f>
        <v/>
      </c>
      <c r="O250" s="10">
        <f>IF(N(J250)=0,"","WIP "&amp;H250&amp;IF(B250="",""," - "&amp;B250)&amp;IF(D250="",""," - "&amp;D250)&amp;IF(A250="",""," - "&amp;TEXT(A250,"mmm yyyy")))</f>
        <v/>
      </c>
      <c r="P250" s="37" t="n"/>
      <c r="Q250" s="37" t="n"/>
      <c r="R250" s="37" t="n"/>
    </row>
    <row r="251">
      <c r="A251" s="44" t="n"/>
      <c r="B251" s="37" t="n"/>
      <c r="C251" s="10">
        <f>IF(B251="","",IF(COUNTIF(lst_Jobs,B251&amp;"")&gt;0,"OK","CHECK"))</f>
        <v/>
      </c>
      <c r="D251" s="10">
        <f>IF(B251="","",IFERROR(INDEX(tbl_Finance[Client],MATCH(B251&amp;"",tbl_Finance[Job Number],0)),""))</f>
        <v/>
      </c>
      <c r="E251" s="37" t="n"/>
      <c r="F251" s="37" t="n"/>
      <c r="G251" s="37" t="n"/>
      <c r="H251" s="37" t="n"/>
      <c r="I251" s="37" t="n"/>
      <c r="J251" s="39" t="n"/>
      <c r="K251" s="37" t="n"/>
      <c r="L251" s="10">
        <f>IF(N(J251)=0,"",IF(J251&gt;0,set_WIPAsset,IF(I251="Cost",IF(K251="","(set the P&amp;L Account)",K251),IF(K251="",set_WIPIncome,K251))))</f>
        <v/>
      </c>
      <c r="M251" s="10">
        <f>IF(N(J251)=0,"",IF(J251&gt;0,IF(I251="Cost",IF(K251="","(set the P&amp;L Account)",K251),IF(K251="",set_WIPIncome,K251)),set_WIPAsset))</f>
        <v/>
      </c>
      <c r="N251" s="11">
        <f>IF(N(J251)=0,"",ABS(J251))</f>
        <v/>
      </c>
      <c r="O251" s="10">
        <f>IF(N(J251)=0,"","WIP "&amp;H251&amp;IF(B251="",""," - "&amp;B251)&amp;IF(D251="",""," - "&amp;D251)&amp;IF(A251="",""," - "&amp;TEXT(A251,"mmm yyyy")))</f>
        <v/>
      </c>
      <c r="P251" s="37" t="n"/>
      <c r="Q251" s="37" t="n"/>
      <c r="R251" s="37" t="n"/>
    </row>
    <row r="252">
      <c r="A252" s="44" t="n"/>
      <c r="B252" s="37" t="n"/>
      <c r="C252" s="10">
        <f>IF(B252="","",IF(COUNTIF(lst_Jobs,B252&amp;"")&gt;0,"OK","CHECK"))</f>
        <v/>
      </c>
      <c r="D252" s="10">
        <f>IF(B252="","",IFERROR(INDEX(tbl_Finance[Client],MATCH(B252&amp;"",tbl_Finance[Job Number],0)),""))</f>
        <v/>
      </c>
      <c r="E252" s="37" t="n"/>
      <c r="F252" s="37" t="n"/>
      <c r="G252" s="37" t="n"/>
      <c r="H252" s="37" t="n"/>
      <c r="I252" s="37" t="n"/>
      <c r="J252" s="39" t="n"/>
      <c r="K252" s="37" t="n"/>
      <c r="L252" s="10">
        <f>IF(N(J252)=0,"",IF(J252&gt;0,set_WIPAsset,IF(I252="Cost",IF(K252="","(set the P&amp;L Account)",K252),IF(K252="",set_WIPIncome,K252))))</f>
        <v/>
      </c>
      <c r="M252" s="10">
        <f>IF(N(J252)=0,"",IF(J252&gt;0,IF(I252="Cost",IF(K252="","(set the P&amp;L Account)",K252),IF(K252="",set_WIPIncome,K252)),set_WIPAsset))</f>
        <v/>
      </c>
      <c r="N252" s="11">
        <f>IF(N(J252)=0,"",ABS(J252))</f>
        <v/>
      </c>
      <c r="O252" s="10">
        <f>IF(N(J252)=0,"","WIP "&amp;H252&amp;IF(B252="",""," - "&amp;B252)&amp;IF(D252="",""," - "&amp;D252)&amp;IF(A252="",""," - "&amp;TEXT(A252,"mmm yyyy")))</f>
        <v/>
      </c>
      <c r="P252" s="37" t="n"/>
      <c r="Q252" s="37" t="n"/>
      <c r="R252" s="37" t="n"/>
    </row>
    <row r="253">
      <c r="A253" s="44" t="n"/>
      <c r="B253" s="37" t="n"/>
      <c r="C253" s="10">
        <f>IF(B253="","",IF(COUNTIF(lst_Jobs,B253&amp;"")&gt;0,"OK","CHECK"))</f>
        <v/>
      </c>
      <c r="D253" s="10">
        <f>IF(B253="","",IFERROR(INDEX(tbl_Finance[Client],MATCH(B253&amp;"",tbl_Finance[Job Number],0)),""))</f>
        <v/>
      </c>
      <c r="E253" s="37" t="n"/>
      <c r="F253" s="37" t="n"/>
      <c r="G253" s="37" t="n"/>
      <c r="H253" s="37" t="n"/>
      <c r="I253" s="37" t="n"/>
      <c r="J253" s="39" t="n"/>
      <c r="K253" s="37" t="n"/>
      <c r="L253" s="10">
        <f>IF(N(J253)=0,"",IF(J253&gt;0,set_WIPAsset,IF(I253="Cost",IF(K253="","(set the P&amp;L Account)",K253),IF(K253="",set_WIPIncome,K253))))</f>
        <v/>
      </c>
      <c r="M253" s="10">
        <f>IF(N(J253)=0,"",IF(J253&gt;0,IF(I253="Cost",IF(K253="","(set the P&amp;L Account)",K253),IF(K253="",set_WIPIncome,K253)),set_WIPAsset))</f>
        <v/>
      </c>
      <c r="N253" s="11">
        <f>IF(N(J253)=0,"",ABS(J253))</f>
        <v/>
      </c>
      <c r="O253" s="10">
        <f>IF(N(J253)=0,"","WIP "&amp;H253&amp;IF(B253="",""," - "&amp;B253)&amp;IF(D253="",""," - "&amp;D253)&amp;IF(A253="",""," - "&amp;TEXT(A253,"mmm yyyy")))</f>
        <v/>
      </c>
      <c r="P253" s="37" t="n"/>
      <c r="Q253" s="37" t="n"/>
      <c r="R253" s="37" t="n"/>
    </row>
    <row r="254">
      <c r="A254" s="44" t="n"/>
      <c r="B254" s="37" t="n"/>
      <c r="C254" s="10">
        <f>IF(B254="","",IF(COUNTIF(lst_Jobs,B254&amp;"")&gt;0,"OK","CHECK"))</f>
        <v/>
      </c>
      <c r="D254" s="10">
        <f>IF(B254="","",IFERROR(INDEX(tbl_Finance[Client],MATCH(B254&amp;"",tbl_Finance[Job Number],0)),""))</f>
        <v/>
      </c>
      <c r="E254" s="37" t="n"/>
      <c r="F254" s="37" t="n"/>
      <c r="G254" s="37" t="n"/>
      <c r="H254" s="37" t="n"/>
      <c r="I254" s="37" t="n"/>
      <c r="J254" s="39" t="n"/>
      <c r="K254" s="37" t="n"/>
      <c r="L254" s="10">
        <f>IF(N(J254)=0,"",IF(J254&gt;0,set_WIPAsset,IF(I254="Cost",IF(K254="","(set the P&amp;L Account)",K254),IF(K254="",set_WIPIncome,K254))))</f>
        <v/>
      </c>
      <c r="M254" s="10">
        <f>IF(N(J254)=0,"",IF(J254&gt;0,IF(I254="Cost",IF(K254="","(set the P&amp;L Account)",K254),IF(K254="",set_WIPIncome,K254)),set_WIPAsset))</f>
        <v/>
      </c>
      <c r="N254" s="11">
        <f>IF(N(J254)=0,"",ABS(J254))</f>
        <v/>
      </c>
      <c r="O254" s="10">
        <f>IF(N(J254)=0,"","WIP "&amp;H254&amp;IF(B254="",""," - "&amp;B254)&amp;IF(D254="",""," - "&amp;D254)&amp;IF(A254="",""," - "&amp;TEXT(A254,"mmm yyyy")))</f>
        <v/>
      </c>
      <c r="P254" s="37" t="n"/>
      <c r="Q254" s="37" t="n"/>
      <c r="R254" s="37" t="n"/>
    </row>
    <row r="255">
      <c r="A255" s="44" t="n"/>
      <c r="B255" s="37" t="n"/>
      <c r="C255" s="10">
        <f>IF(B255="","",IF(COUNTIF(lst_Jobs,B255&amp;"")&gt;0,"OK","CHECK"))</f>
        <v/>
      </c>
      <c r="D255" s="10">
        <f>IF(B255="","",IFERROR(INDEX(tbl_Finance[Client],MATCH(B255&amp;"",tbl_Finance[Job Number],0)),""))</f>
        <v/>
      </c>
      <c r="E255" s="37" t="n"/>
      <c r="F255" s="37" t="n"/>
      <c r="G255" s="37" t="n"/>
      <c r="H255" s="37" t="n"/>
      <c r="I255" s="37" t="n"/>
      <c r="J255" s="39" t="n"/>
      <c r="K255" s="37" t="n"/>
      <c r="L255" s="10">
        <f>IF(N(J255)=0,"",IF(J255&gt;0,set_WIPAsset,IF(I255="Cost",IF(K255="","(set the P&amp;L Account)",K255),IF(K255="",set_WIPIncome,K255))))</f>
        <v/>
      </c>
      <c r="M255" s="10">
        <f>IF(N(J255)=0,"",IF(J255&gt;0,IF(I255="Cost",IF(K255="","(set the P&amp;L Account)",K255),IF(K255="",set_WIPIncome,K255)),set_WIPAsset))</f>
        <v/>
      </c>
      <c r="N255" s="11">
        <f>IF(N(J255)=0,"",ABS(J255))</f>
        <v/>
      </c>
      <c r="O255" s="10">
        <f>IF(N(J255)=0,"","WIP "&amp;H255&amp;IF(B255="",""," - "&amp;B255)&amp;IF(D255="",""," - "&amp;D255)&amp;IF(A255="",""," - "&amp;TEXT(A255,"mmm yyyy")))</f>
        <v/>
      </c>
      <c r="P255" s="37" t="n"/>
      <c r="Q255" s="37" t="n"/>
      <c r="R255" s="37" t="n"/>
    </row>
    <row r="256">
      <c r="A256" s="44" t="n"/>
      <c r="B256" s="37" t="n"/>
      <c r="C256" s="10">
        <f>IF(B256="","",IF(COUNTIF(lst_Jobs,B256&amp;"")&gt;0,"OK","CHECK"))</f>
        <v/>
      </c>
      <c r="D256" s="10">
        <f>IF(B256="","",IFERROR(INDEX(tbl_Finance[Client],MATCH(B256&amp;"",tbl_Finance[Job Number],0)),""))</f>
        <v/>
      </c>
      <c r="E256" s="37" t="n"/>
      <c r="F256" s="37" t="n"/>
      <c r="G256" s="37" t="n"/>
      <c r="H256" s="37" t="n"/>
      <c r="I256" s="37" t="n"/>
      <c r="J256" s="39" t="n"/>
      <c r="K256" s="37" t="n"/>
      <c r="L256" s="10">
        <f>IF(N(J256)=0,"",IF(J256&gt;0,set_WIPAsset,IF(I256="Cost",IF(K256="","(set the P&amp;L Account)",K256),IF(K256="",set_WIPIncome,K256))))</f>
        <v/>
      </c>
      <c r="M256" s="10">
        <f>IF(N(J256)=0,"",IF(J256&gt;0,IF(I256="Cost",IF(K256="","(set the P&amp;L Account)",K256),IF(K256="",set_WIPIncome,K256)),set_WIPAsset))</f>
        <v/>
      </c>
      <c r="N256" s="11">
        <f>IF(N(J256)=0,"",ABS(J256))</f>
        <v/>
      </c>
      <c r="O256" s="10">
        <f>IF(N(J256)=0,"","WIP "&amp;H256&amp;IF(B256="",""," - "&amp;B256)&amp;IF(D256="",""," - "&amp;D256)&amp;IF(A256="",""," - "&amp;TEXT(A256,"mmm yyyy")))</f>
        <v/>
      </c>
      <c r="P256" s="37" t="n"/>
      <c r="Q256" s="37" t="n"/>
      <c r="R256" s="37" t="n"/>
    </row>
    <row r="257">
      <c r="A257" s="44" t="n"/>
      <c r="B257" s="37" t="n"/>
      <c r="C257" s="10">
        <f>IF(B257="","",IF(COUNTIF(lst_Jobs,B257&amp;"")&gt;0,"OK","CHECK"))</f>
        <v/>
      </c>
      <c r="D257" s="10">
        <f>IF(B257="","",IFERROR(INDEX(tbl_Finance[Client],MATCH(B257&amp;"",tbl_Finance[Job Number],0)),""))</f>
        <v/>
      </c>
      <c r="E257" s="37" t="n"/>
      <c r="F257" s="37" t="n"/>
      <c r="G257" s="37" t="n"/>
      <c r="H257" s="37" t="n"/>
      <c r="I257" s="37" t="n"/>
      <c r="J257" s="39" t="n"/>
      <c r="K257" s="37" t="n"/>
      <c r="L257" s="10">
        <f>IF(N(J257)=0,"",IF(J257&gt;0,set_WIPAsset,IF(I257="Cost",IF(K257="","(set the P&amp;L Account)",K257),IF(K257="",set_WIPIncome,K257))))</f>
        <v/>
      </c>
      <c r="M257" s="10">
        <f>IF(N(J257)=0,"",IF(J257&gt;0,IF(I257="Cost",IF(K257="","(set the P&amp;L Account)",K257),IF(K257="",set_WIPIncome,K257)),set_WIPAsset))</f>
        <v/>
      </c>
      <c r="N257" s="11">
        <f>IF(N(J257)=0,"",ABS(J257))</f>
        <v/>
      </c>
      <c r="O257" s="10">
        <f>IF(N(J257)=0,"","WIP "&amp;H257&amp;IF(B257="",""," - "&amp;B257)&amp;IF(D257="",""," - "&amp;D257)&amp;IF(A257="",""," - "&amp;TEXT(A257,"mmm yyyy")))</f>
        <v/>
      </c>
      <c r="P257" s="37" t="n"/>
      <c r="Q257" s="37" t="n"/>
      <c r="R257" s="37" t="n"/>
    </row>
    <row r="258">
      <c r="A258" s="44" t="n"/>
      <c r="B258" s="37" t="n"/>
      <c r="C258" s="10">
        <f>IF(B258="","",IF(COUNTIF(lst_Jobs,B258&amp;"")&gt;0,"OK","CHECK"))</f>
        <v/>
      </c>
      <c r="D258" s="10">
        <f>IF(B258="","",IFERROR(INDEX(tbl_Finance[Client],MATCH(B258&amp;"",tbl_Finance[Job Number],0)),""))</f>
        <v/>
      </c>
      <c r="E258" s="37" t="n"/>
      <c r="F258" s="37" t="n"/>
      <c r="G258" s="37" t="n"/>
      <c r="H258" s="37" t="n"/>
      <c r="I258" s="37" t="n"/>
      <c r="J258" s="39" t="n"/>
      <c r="K258" s="37" t="n"/>
      <c r="L258" s="10">
        <f>IF(N(J258)=0,"",IF(J258&gt;0,set_WIPAsset,IF(I258="Cost",IF(K258="","(set the P&amp;L Account)",K258),IF(K258="",set_WIPIncome,K258))))</f>
        <v/>
      </c>
      <c r="M258" s="10">
        <f>IF(N(J258)=0,"",IF(J258&gt;0,IF(I258="Cost",IF(K258="","(set the P&amp;L Account)",K258),IF(K258="",set_WIPIncome,K258)),set_WIPAsset))</f>
        <v/>
      </c>
      <c r="N258" s="11">
        <f>IF(N(J258)=0,"",ABS(J258))</f>
        <v/>
      </c>
      <c r="O258" s="10">
        <f>IF(N(J258)=0,"","WIP "&amp;H258&amp;IF(B258="",""," - "&amp;B258)&amp;IF(D258="",""," - "&amp;D258)&amp;IF(A258="",""," - "&amp;TEXT(A258,"mmm yyyy")))</f>
        <v/>
      </c>
      <c r="P258" s="37" t="n"/>
      <c r="Q258" s="37" t="n"/>
      <c r="R258" s="37" t="n"/>
    </row>
    <row r="259">
      <c r="A259" s="44" t="n"/>
      <c r="B259" s="37" t="n"/>
      <c r="C259" s="10">
        <f>IF(B259="","",IF(COUNTIF(lst_Jobs,B259&amp;"")&gt;0,"OK","CHECK"))</f>
        <v/>
      </c>
      <c r="D259" s="10">
        <f>IF(B259="","",IFERROR(INDEX(tbl_Finance[Client],MATCH(B259&amp;"",tbl_Finance[Job Number],0)),""))</f>
        <v/>
      </c>
      <c r="E259" s="37" t="n"/>
      <c r="F259" s="37" t="n"/>
      <c r="G259" s="37" t="n"/>
      <c r="H259" s="37" t="n"/>
      <c r="I259" s="37" t="n"/>
      <c r="J259" s="39" t="n"/>
      <c r="K259" s="37" t="n"/>
      <c r="L259" s="10">
        <f>IF(N(J259)=0,"",IF(J259&gt;0,set_WIPAsset,IF(I259="Cost",IF(K259="","(set the P&amp;L Account)",K259),IF(K259="",set_WIPIncome,K259))))</f>
        <v/>
      </c>
      <c r="M259" s="10">
        <f>IF(N(J259)=0,"",IF(J259&gt;0,IF(I259="Cost",IF(K259="","(set the P&amp;L Account)",K259),IF(K259="",set_WIPIncome,K259)),set_WIPAsset))</f>
        <v/>
      </c>
      <c r="N259" s="11">
        <f>IF(N(J259)=0,"",ABS(J259))</f>
        <v/>
      </c>
      <c r="O259" s="10">
        <f>IF(N(J259)=0,"","WIP "&amp;H259&amp;IF(B259="",""," - "&amp;B259)&amp;IF(D259="",""," - "&amp;D259)&amp;IF(A259="",""," - "&amp;TEXT(A259,"mmm yyyy")))</f>
        <v/>
      </c>
      <c r="P259" s="37" t="n"/>
      <c r="Q259" s="37" t="n"/>
      <c r="R259" s="37" t="n"/>
    </row>
    <row r="260">
      <c r="A260" s="44" t="n"/>
      <c r="B260" s="37" t="n"/>
      <c r="C260" s="10">
        <f>IF(B260="","",IF(COUNTIF(lst_Jobs,B260&amp;"")&gt;0,"OK","CHECK"))</f>
        <v/>
      </c>
      <c r="D260" s="10">
        <f>IF(B260="","",IFERROR(INDEX(tbl_Finance[Client],MATCH(B260&amp;"",tbl_Finance[Job Number],0)),""))</f>
        <v/>
      </c>
      <c r="E260" s="37" t="n"/>
      <c r="F260" s="37" t="n"/>
      <c r="G260" s="37" t="n"/>
      <c r="H260" s="37" t="n"/>
      <c r="I260" s="37" t="n"/>
      <c r="J260" s="39" t="n"/>
      <c r="K260" s="37" t="n"/>
      <c r="L260" s="10">
        <f>IF(N(J260)=0,"",IF(J260&gt;0,set_WIPAsset,IF(I260="Cost",IF(K260="","(set the P&amp;L Account)",K260),IF(K260="",set_WIPIncome,K260))))</f>
        <v/>
      </c>
      <c r="M260" s="10">
        <f>IF(N(J260)=0,"",IF(J260&gt;0,IF(I260="Cost",IF(K260="","(set the P&amp;L Account)",K260),IF(K260="",set_WIPIncome,K260)),set_WIPAsset))</f>
        <v/>
      </c>
      <c r="N260" s="11">
        <f>IF(N(J260)=0,"",ABS(J260))</f>
        <v/>
      </c>
      <c r="O260" s="10">
        <f>IF(N(J260)=0,"","WIP "&amp;H260&amp;IF(B260="",""," - "&amp;B260)&amp;IF(D260="",""," - "&amp;D260)&amp;IF(A260="",""," - "&amp;TEXT(A260,"mmm yyyy")))</f>
        <v/>
      </c>
      <c r="P260" s="37" t="n"/>
      <c r="Q260" s="37" t="n"/>
      <c r="R260" s="37" t="n"/>
    </row>
    <row r="261">
      <c r="A261" s="44" t="n"/>
      <c r="B261" s="37" t="n"/>
      <c r="C261" s="10">
        <f>IF(B261="","",IF(COUNTIF(lst_Jobs,B261&amp;"")&gt;0,"OK","CHECK"))</f>
        <v/>
      </c>
      <c r="D261" s="10">
        <f>IF(B261="","",IFERROR(INDEX(tbl_Finance[Client],MATCH(B261&amp;"",tbl_Finance[Job Number],0)),""))</f>
        <v/>
      </c>
      <c r="E261" s="37" t="n"/>
      <c r="F261" s="37" t="n"/>
      <c r="G261" s="37" t="n"/>
      <c r="H261" s="37" t="n"/>
      <c r="I261" s="37" t="n"/>
      <c r="J261" s="39" t="n"/>
      <c r="K261" s="37" t="n"/>
      <c r="L261" s="10">
        <f>IF(N(J261)=0,"",IF(J261&gt;0,set_WIPAsset,IF(I261="Cost",IF(K261="","(set the P&amp;L Account)",K261),IF(K261="",set_WIPIncome,K261))))</f>
        <v/>
      </c>
      <c r="M261" s="10">
        <f>IF(N(J261)=0,"",IF(J261&gt;0,IF(I261="Cost",IF(K261="","(set the P&amp;L Account)",K261),IF(K261="",set_WIPIncome,K261)),set_WIPAsset))</f>
        <v/>
      </c>
      <c r="N261" s="11">
        <f>IF(N(J261)=0,"",ABS(J261))</f>
        <v/>
      </c>
      <c r="O261" s="10">
        <f>IF(N(J261)=0,"","WIP "&amp;H261&amp;IF(B261="",""," - "&amp;B261)&amp;IF(D261="",""," - "&amp;D261)&amp;IF(A261="",""," - "&amp;TEXT(A261,"mmm yyyy")))</f>
        <v/>
      </c>
      <c r="P261" s="37" t="n"/>
      <c r="Q261" s="37" t="n"/>
      <c r="R261" s="37" t="n"/>
    </row>
    <row r="262">
      <c r="A262" s="44" t="n"/>
      <c r="B262" s="37" t="n"/>
      <c r="C262" s="10">
        <f>IF(B262="","",IF(COUNTIF(lst_Jobs,B262&amp;"")&gt;0,"OK","CHECK"))</f>
        <v/>
      </c>
      <c r="D262" s="10">
        <f>IF(B262="","",IFERROR(INDEX(tbl_Finance[Client],MATCH(B262&amp;"",tbl_Finance[Job Number],0)),""))</f>
        <v/>
      </c>
      <c r="E262" s="37" t="n"/>
      <c r="F262" s="37" t="n"/>
      <c r="G262" s="37" t="n"/>
      <c r="H262" s="37" t="n"/>
      <c r="I262" s="37" t="n"/>
      <c r="J262" s="39" t="n"/>
      <c r="K262" s="37" t="n"/>
      <c r="L262" s="10">
        <f>IF(N(J262)=0,"",IF(J262&gt;0,set_WIPAsset,IF(I262="Cost",IF(K262="","(set the P&amp;L Account)",K262),IF(K262="",set_WIPIncome,K262))))</f>
        <v/>
      </c>
      <c r="M262" s="10">
        <f>IF(N(J262)=0,"",IF(J262&gt;0,IF(I262="Cost",IF(K262="","(set the P&amp;L Account)",K262),IF(K262="",set_WIPIncome,K262)),set_WIPAsset))</f>
        <v/>
      </c>
      <c r="N262" s="11">
        <f>IF(N(J262)=0,"",ABS(J262))</f>
        <v/>
      </c>
      <c r="O262" s="10">
        <f>IF(N(J262)=0,"","WIP "&amp;H262&amp;IF(B262="",""," - "&amp;B262)&amp;IF(D262="",""," - "&amp;D262)&amp;IF(A262="",""," - "&amp;TEXT(A262,"mmm yyyy")))</f>
        <v/>
      </c>
      <c r="P262" s="37" t="n"/>
      <c r="Q262" s="37" t="n"/>
      <c r="R262" s="37" t="n"/>
    </row>
    <row r="263">
      <c r="A263" s="44" t="n"/>
      <c r="B263" s="37" t="n"/>
      <c r="C263" s="10">
        <f>IF(B263="","",IF(COUNTIF(lst_Jobs,B263&amp;"")&gt;0,"OK","CHECK"))</f>
        <v/>
      </c>
      <c r="D263" s="10">
        <f>IF(B263="","",IFERROR(INDEX(tbl_Finance[Client],MATCH(B263&amp;"",tbl_Finance[Job Number],0)),""))</f>
        <v/>
      </c>
      <c r="E263" s="37" t="n"/>
      <c r="F263" s="37" t="n"/>
      <c r="G263" s="37" t="n"/>
      <c r="H263" s="37" t="n"/>
      <c r="I263" s="37" t="n"/>
      <c r="J263" s="39" t="n"/>
      <c r="K263" s="37" t="n"/>
      <c r="L263" s="10">
        <f>IF(N(J263)=0,"",IF(J263&gt;0,set_WIPAsset,IF(I263="Cost",IF(K263="","(set the P&amp;L Account)",K263),IF(K263="",set_WIPIncome,K263))))</f>
        <v/>
      </c>
      <c r="M263" s="10">
        <f>IF(N(J263)=0,"",IF(J263&gt;0,IF(I263="Cost",IF(K263="","(set the P&amp;L Account)",K263),IF(K263="",set_WIPIncome,K263)),set_WIPAsset))</f>
        <v/>
      </c>
      <c r="N263" s="11">
        <f>IF(N(J263)=0,"",ABS(J263))</f>
        <v/>
      </c>
      <c r="O263" s="10">
        <f>IF(N(J263)=0,"","WIP "&amp;H263&amp;IF(B263="",""," - "&amp;B263)&amp;IF(D263="",""," - "&amp;D263)&amp;IF(A263="",""," - "&amp;TEXT(A263,"mmm yyyy")))</f>
        <v/>
      </c>
      <c r="P263" s="37" t="n"/>
      <c r="Q263" s="37" t="n"/>
      <c r="R263" s="37" t="n"/>
    </row>
    <row r="264">
      <c r="A264" s="44" t="n"/>
      <c r="B264" s="37" t="n"/>
      <c r="C264" s="10">
        <f>IF(B264="","",IF(COUNTIF(lst_Jobs,B264&amp;"")&gt;0,"OK","CHECK"))</f>
        <v/>
      </c>
      <c r="D264" s="10">
        <f>IF(B264="","",IFERROR(INDEX(tbl_Finance[Client],MATCH(B264&amp;"",tbl_Finance[Job Number],0)),""))</f>
        <v/>
      </c>
      <c r="E264" s="37" t="n"/>
      <c r="F264" s="37" t="n"/>
      <c r="G264" s="37" t="n"/>
      <c r="H264" s="37" t="n"/>
      <c r="I264" s="37" t="n"/>
      <c r="J264" s="39" t="n"/>
      <c r="K264" s="37" t="n"/>
      <c r="L264" s="10">
        <f>IF(N(J264)=0,"",IF(J264&gt;0,set_WIPAsset,IF(I264="Cost",IF(K264="","(set the P&amp;L Account)",K264),IF(K264="",set_WIPIncome,K264))))</f>
        <v/>
      </c>
      <c r="M264" s="10">
        <f>IF(N(J264)=0,"",IF(J264&gt;0,IF(I264="Cost",IF(K264="","(set the P&amp;L Account)",K264),IF(K264="",set_WIPIncome,K264)),set_WIPAsset))</f>
        <v/>
      </c>
      <c r="N264" s="11">
        <f>IF(N(J264)=0,"",ABS(J264))</f>
        <v/>
      </c>
      <c r="O264" s="10">
        <f>IF(N(J264)=0,"","WIP "&amp;H264&amp;IF(B264="",""," - "&amp;B264)&amp;IF(D264="",""," - "&amp;D264)&amp;IF(A264="",""," - "&amp;TEXT(A264,"mmm yyyy")))</f>
        <v/>
      </c>
      <c r="P264" s="37" t="n"/>
      <c r="Q264" s="37" t="n"/>
      <c r="R264" s="37" t="n"/>
    </row>
    <row r="265">
      <c r="A265" s="44" t="n"/>
      <c r="B265" s="37" t="n"/>
      <c r="C265" s="10">
        <f>IF(B265="","",IF(COUNTIF(lst_Jobs,B265&amp;"")&gt;0,"OK","CHECK"))</f>
        <v/>
      </c>
      <c r="D265" s="10">
        <f>IF(B265="","",IFERROR(INDEX(tbl_Finance[Client],MATCH(B265&amp;"",tbl_Finance[Job Number],0)),""))</f>
        <v/>
      </c>
      <c r="E265" s="37" t="n"/>
      <c r="F265" s="37" t="n"/>
      <c r="G265" s="37" t="n"/>
      <c r="H265" s="37" t="n"/>
      <c r="I265" s="37" t="n"/>
      <c r="J265" s="39" t="n"/>
      <c r="K265" s="37" t="n"/>
      <c r="L265" s="10">
        <f>IF(N(J265)=0,"",IF(J265&gt;0,set_WIPAsset,IF(I265="Cost",IF(K265="","(set the P&amp;L Account)",K265),IF(K265="",set_WIPIncome,K265))))</f>
        <v/>
      </c>
      <c r="M265" s="10">
        <f>IF(N(J265)=0,"",IF(J265&gt;0,IF(I265="Cost",IF(K265="","(set the P&amp;L Account)",K265),IF(K265="",set_WIPIncome,K265)),set_WIPAsset))</f>
        <v/>
      </c>
      <c r="N265" s="11">
        <f>IF(N(J265)=0,"",ABS(J265))</f>
        <v/>
      </c>
      <c r="O265" s="10">
        <f>IF(N(J265)=0,"","WIP "&amp;H265&amp;IF(B265="",""," - "&amp;B265)&amp;IF(D265="",""," - "&amp;D265)&amp;IF(A265="",""," - "&amp;TEXT(A265,"mmm yyyy")))</f>
        <v/>
      </c>
      <c r="P265" s="37" t="n"/>
      <c r="Q265" s="37" t="n"/>
      <c r="R265" s="37" t="n"/>
    </row>
    <row r="266">
      <c r="A266" s="44" t="n"/>
      <c r="B266" s="37" t="n"/>
      <c r="C266" s="10">
        <f>IF(B266="","",IF(COUNTIF(lst_Jobs,B266&amp;"")&gt;0,"OK","CHECK"))</f>
        <v/>
      </c>
      <c r="D266" s="10">
        <f>IF(B266="","",IFERROR(INDEX(tbl_Finance[Client],MATCH(B266&amp;"",tbl_Finance[Job Number],0)),""))</f>
        <v/>
      </c>
      <c r="E266" s="37" t="n"/>
      <c r="F266" s="37" t="n"/>
      <c r="G266" s="37" t="n"/>
      <c r="H266" s="37" t="n"/>
      <c r="I266" s="37" t="n"/>
      <c r="J266" s="39" t="n"/>
      <c r="K266" s="37" t="n"/>
      <c r="L266" s="10">
        <f>IF(N(J266)=0,"",IF(J266&gt;0,set_WIPAsset,IF(I266="Cost",IF(K266="","(set the P&amp;L Account)",K266),IF(K266="",set_WIPIncome,K266))))</f>
        <v/>
      </c>
      <c r="M266" s="10">
        <f>IF(N(J266)=0,"",IF(J266&gt;0,IF(I266="Cost",IF(K266="","(set the P&amp;L Account)",K266),IF(K266="",set_WIPIncome,K266)),set_WIPAsset))</f>
        <v/>
      </c>
      <c r="N266" s="11">
        <f>IF(N(J266)=0,"",ABS(J266))</f>
        <v/>
      </c>
      <c r="O266" s="10">
        <f>IF(N(J266)=0,"","WIP "&amp;H266&amp;IF(B266="",""," - "&amp;B266)&amp;IF(D266="",""," - "&amp;D266)&amp;IF(A266="",""," - "&amp;TEXT(A266,"mmm yyyy")))</f>
        <v/>
      </c>
      <c r="P266" s="37" t="n"/>
      <c r="Q266" s="37" t="n"/>
      <c r="R266" s="37" t="n"/>
    </row>
    <row r="267">
      <c r="A267" s="44" t="n"/>
      <c r="B267" s="37" t="n"/>
      <c r="C267" s="10">
        <f>IF(B267="","",IF(COUNTIF(lst_Jobs,B267&amp;"")&gt;0,"OK","CHECK"))</f>
        <v/>
      </c>
      <c r="D267" s="10">
        <f>IF(B267="","",IFERROR(INDEX(tbl_Finance[Client],MATCH(B267&amp;"",tbl_Finance[Job Number],0)),""))</f>
        <v/>
      </c>
      <c r="E267" s="37" t="n"/>
      <c r="F267" s="37" t="n"/>
      <c r="G267" s="37" t="n"/>
      <c r="H267" s="37" t="n"/>
      <c r="I267" s="37" t="n"/>
      <c r="J267" s="39" t="n"/>
      <c r="K267" s="37" t="n"/>
      <c r="L267" s="10">
        <f>IF(N(J267)=0,"",IF(J267&gt;0,set_WIPAsset,IF(I267="Cost",IF(K267="","(set the P&amp;L Account)",K267),IF(K267="",set_WIPIncome,K267))))</f>
        <v/>
      </c>
      <c r="M267" s="10">
        <f>IF(N(J267)=0,"",IF(J267&gt;0,IF(I267="Cost",IF(K267="","(set the P&amp;L Account)",K267),IF(K267="",set_WIPIncome,K267)),set_WIPAsset))</f>
        <v/>
      </c>
      <c r="N267" s="11">
        <f>IF(N(J267)=0,"",ABS(J267))</f>
        <v/>
      </c>
      <c r="O267" s="10">
        <f>IF(N(J267)=0,"","WIP "&amp;H267&amp;IF(B267="",""," - "&amp;B267)&amp;IF(D267="",""," - "&amp;D267)&amp;IF(A267="",""," - "&amp;TEXT(A267,"mmm yyyy")))</f>
        <v/>
      </c>
      <c r="P267" s="37" t="n"/>
      <c r="Q267" s="37" t="n"/>
      <c r="R267" s="37" t="n"/>
    </row>
    <row r="268">
      <c r="A268" s="44" t="n"/>
      <c r="B268" s="37" t="n"/>
      <c r="C268" s="10">
        <f>IF(B268="","",IF(COUNTIF(lst_Jobs,B268&amp;"")&gt;0,"OK","CHECK"))</f>
        <v/>
      </c>
      <c r="D268" s="10">
        <f>IF(B268="","",IFERROR(INDEX(tbl_Finance[Client],MATCH(B268&amp;"",tbl_Finance[Job Number],0)),""))</f>
        <v/>
      </c>
      <c r="E268" s="37" t="n"/>
      <c r="F268" s="37" t="n"/>
      <c r="G268" s="37" t="n"/>
      <c r="H268" s="37" t="n"/>
      <c r="I268" s="37" t="n"/>
      <c r="J268" s="39" t="n"/>
      <c r="K268" s="37" t="n"/>
      <c r="L268" s="10">
        <f>IF(N(J268)=0,"",IF(J268&gt;0,set_WIPAsset,IF(I268="Cost",IF(K268="","(set the P&amp;L Account)",K268),IF(K268="",set_WIPIncome,K268))))</f>
        <v/>
      </c>
      <c r="M268" s="10">
        <f>IF(N(J268)=0,"",IF(J268&gt;0,IF(I268="Cost",IF(K268="","(set the P&amp;L Account)",K268),IF(K268="",set_WIPIncome,K268)),set_WIPAsset))</f>
        <v/>
      </c>
      <c r="N268" s="11">
        <f>IF(N(J268)=0,"",ABS(J268))</f>
        <v/>
      </c>
      <c r="O268" s="10">
        <f>IF(N(J268)=0,"","WIP "&amp;H268&amp;IF(B268="",""," - "&amp;B268)&amp;IF(D268="",""," - "&amp;D268)&amp;IF(A268="",""," - "&amp;TEXT(A268,"mmm yyyy")))</f>
        <v/>
      </c>
      <c r="P268" s="37" t="n"/>
      <c r="Q268" s="37" t="n"/>
      <c r="R268" s="37" t="n"/>
    </row>
    <row r="269">
      <c r="A269" s="44" t="n"/>
      <c r="B269" s="37" t="n"/>
      <c r="C269" s="10">
        <f>IF(B269="","",IF(COUNTIF(lst_Jobs,B269&amp;"")&gt;0,"OK","CHECK"))</f>
        <v/>
      </c>
      <c r="D269" s="10">
        <f>IF(B269="","",IFERROR(INDEX(tbl_Finance[Client],MATCH(B269&amp;"",tbl_Finance[Job Number],0)),""))</f>
        <v/>
      </c>
      <c r="E269" s="37" t="n"/>
      <c r="F269" s="37" t="n"/>
      <c r="G269" s="37" t="n"/>
      <c r="H269" s="37" t="n"/>
      <c r="I269" s="37" t="n"/>
      <c r="J269" s="39" t="n"/>
      <c r="K269" s="37" t="n"/>
      <c r="L269" s="10">
        <f>IF(N(J269)=0,"",IF(J269&gt;0,set_WIPAsset,IF(I269="Cost",IF(K269="","(set the P&amp;L Account)",K269),IF(K269="",set_WIPIncome,K269))))</f>
        <v/>
      </c>
      <c r="M269" s="10">
        <f>IF(N(J269)=0,"",IF(J269&gt;0,IF(I269="Cost",IF(K269="","(set the P&amp;L Account)",K269),IF(K269="",set_WIPIncome,K269)),set_WIPAsset))</f>
        <v/>
      </c>
      <c r="N269" s="11">
        <f>IF(N(J269)=0,"",ABS(J269))</f>
        <v/>
      </c>
      <c r="O269" s="10">
        <f>IF(N(J269)=0,"","WIP "&amp;H269&amp;IF(B269="",""," - "&amp;B269)&amp;IF(D269="",""," - "&amp;D269)&amp;IF(A269="",""," - "&amp;TEXT(A269,"mmm yyyy")))</f>
        <v/>
      </c>
      <c r="P269" s="37" t="n"/>
      <c r="Q269" s="37" t="n"/>
      <c r="R269" s="37" t="n"/>
    </row>
    <row r="270">
      <c r="A270" s="44" t="n"/>
      <c r="B270" s="37" t="n"/>
      <c r="C270" s="10">
        <f>IF(B270="","",IF(COUNTIF(lst_Jobs,B270&amp;"")&gt;0,"OK","CHECK"))</f>
        <v/>
      </c>
      <c r="D270" s="10">
        <f>IF(B270="","",IFERROR(INDEX(tbl_Finance[Client],MATCH(B270&amp;"",tbl_Finance[Job Number],0)),""))</f>
        <v/>
      </c>
      <c r="E270" s="37" t="n"/>
      <c r="F270" s="37" t="n"/>
      <c r="G270" s="37" t="n"/>
      <c r="H270" s="37" t="n"/>
      <c r="I270" s="37" t="n"/>
      <c r="J270" s="39" t="n"/>
      <c r="K270" s="37" t="n"/>
      <c r="L270" s="10">
        <f>IF(N(J270)=0,"",IF(J270&gt;0,set_WIPAsset,IF(I270="Cost",IF(K270="","(set the P&amp;L Account)",K270),IF(K270="",set_WIPIncome,K270))))</f>
        <v/>
      </c>
      <c r="M270" s="10">
        <f>IF(N(J270)=0,"",IF(J270&gt;0,IF(I270="Cost",IF(K270="","(set the P&amp;L Account)",K270),IF(K270="",set_WIPIncome,K270)),set_WIPAsset))</f>
        <v/>
      </c>
      <c r="N270" s="11">
        <f>IF(N(J270)=0,"",ABS(J270))</f>
        <v/>
      </c>
      <c r="O270" s="10">
        <f>IF(N(J270)=0,"","WIP "&amp;H270&amp;IF(B270="",""," - "&amp;B270)&amp;IF(D270="",""," - "&amp;D270)&amp;IF(A270="",""," - "&amp;TEXT(A270,"mmm yyyy")))</f>
        <v/>
      </c>
      <c r="P270" s="37" t="n"/>
      <c r="Q270" s="37" t="n"/>
      <c r="R270" s="37" t="n"/>
    </row>
    <row r="271">
      <c r="A271" s="44" t="n"/>
      <c r="B271" s="37" t="n"/>
      <c r="C271" s="10">
        <f>IF(B271="","",IF(COUNTIF(lst_Jobs,B271&amp;"")&gt;0,"OK","CHECK"))</f>
        <v/>
      </c>
      <c r="D271" s="10">
        <f>IF(B271="","",IFERROR(INDEX(tbl_Finance[Client],MATCH(B271&amp;"",tbl_Finance[Job Number],0)),""))</f>
        <v/>
      </c>
      <c r="E271" s="37" t="n"/>
      <c r="F271" s="37" t="n"/>
      <c r="G271" s="37" t="n"/>
      <c r="H271" s="37" t="n"/>
      <c r="I271" s="37" t="n"/>
      <c r="J271" s="39" t="n"/>
      <c r="K271" s="37" t="n"/>
      <c r="L271" s="10">
        <f>IF(N(J271)=0,"",IF(J271&gt;0,set_WIPAsset,IF(I271="Cost",IF(K271="","(set the P&amp;L Account)",K271),IF(K271="",set_WIPIncome,K271))))</f>
        <v/>
      </c>
      <c r="M271" s="10">
        <f>IF(N(J271)=0,"",IF(J271&gt;0,IF(I271="Cost",IF(K271="","(set the P&amp;L Account)",K271),IF(K271="",set_WIPIncome,K271)),set_WIPAsset))</f>
        <v/>
      </c>
      <c r="N271" s="11">
        <f>IF(N(J271)=0,"",ABS(J271))</f>
        <v/>
      </c>
      <c r="O271" s="10">
        <f>IF(N(J271)=0,"","WIP "&amp;H271&amp;IF(B271="",""," - "&amp;B271)&amp;IF(D271="",""," - "&amp;D271)&amp;IF(A271="",""," - "&amp;TEXT(A271,"mmm yyyy")))</f>
        <v/>
      </c>
      <c r="P271" s="37" t="n"/>
      <c r="Q271" s="37" t="n"/>
      <c r="R271" s="37" t="n"/>
    </row>
    <row r="272">
      <c r="A272" s="44" t="n"/>
      <c r="B272" s="37" t="n"/>
      <c r="C272" s="10">
        <f>IF(B272="","",IF(COUNTIF(lst_Jobs,B272&amp;"")&gt;0,"OK","CHECK"))</f>
        <v/>
      </c>
      <c r="D272" s="10">
        <f>IF(B272="","",IFERROR(INDEX(tbl_Finance[Client],MATCH(B272&amp;"",tbl_Finance[Job Number],0)),""))</f>
        <v/>
      </c>
      <c r="E272" s="37" t="n"/>
      <c r="F272" s="37" t="n"/>
      <c r="G272" s="37" t="n"/>
      <c r="H272" s="37" t="n"/>
      <c r="I272" s="37" t="n"/>
      <c r="J272" s="39" t="n"/>
      <c r="K272" s="37" t="n"/>
      <c r="L272" s="10">
        <f>IF(N(J272)=0,"",IF(J272&gt;0,set_WIPAsset,IF(I272="Cost",IF(K272="","(set the P&amp;L Account)",K272),IF(K272="",set_WIPIncome,K272))))</f>
        <v/>
      </c>
      <c r="M272" s="10">
        <f>IF(N(J272)=0,"",IF(J272&gt;0,IF(I272="Cost",IF(K272="","(set the P&amp;L Account)",K272),IF(K272="",set_WIPIncome,K272)),set_WIPAsset))</f>
        <v/>
      </c>
      <c r="N272" s="11">
        <f>IF(N(J272)=0,"",ABS(J272))</f>
        <v/>
      </c>
      <c r="O272" s="10">
        <f>IF(N(J272)=0,"","WIP "&amp;H272&amp;IF(B272="",""," - "&amp;B272)&amp;IF(D272="",""," - "&amp;D272)&amp;IF(A272="",""," - "&amp;TEXT(A272,"mmm yyyy")))</f>
        <v/>
      </c>
      <c r="P272" s="37" t="n"/>
      <c r="Q272" s="37" t="n"/>
      <c r="R272" s="37" t="n"/>
    </row>
    <row r="273">
      <c r="A273" s="44" t="n"/>
      <c r="B273" s="37" t="n"/>
      <c r="C273" s="10">
        <f>IF(B273="","",IF(COUNTIF(lst_Jobs,B273&amp;"")&gt;0,"OK","CHECK"))</f>
        <v/>
      </c>
      <c r="D273" s="10">
        <f>IF(B273="","",IFERROR(INDEX(tbl_Finance[Client],MATCH(B273&amp;"",tbl_Finance[Job Number],0)),""))</f>
        <v/>
      </c>
      <c r="E273" s="37" t="n"/>
      <c r="F273" s="37" t="n"/>
      <c r="G273" s="37" t="n"/>
      <c r="H273" s="37" t="n"/>
      <c r="I273" s="37" t="n"/>
      <c r="J273" s="39" t="n"/>
      <c r="K273" s="37" t="n"/>
      <c r="L273" s="10">
        <f>IF(N(J273)=0,"",IF(J273&gt;0,set_WIPAsset,IF(I273="Cost",IF(K273="","(set the P&amp;L Account)",K273),IF(K273="",set_WIPIncome,K273))))</f>
        <v/>
      </c>
      <c r="M273" s="10">
        <f>IF(N(J273)=0,"",IF(J273&gt;0,IF(I273="Cost",IF(K273="","(set the P&amp;L Account)",K273),IF(K273="",set_WIPIncome,K273)),set_WIPAsset))</f>
        <v/>
      </c>
      <c r="N273" s="11">
        <f>IF(N(J273)=0,"",ABS(J273))</f>
        <v/>
      </c>
      <c r="O273" s="10">
        <f>IF(N(J273)=0,"","WIP "&amp;H273&amp;IF(B273="",""," - "&amp;B273)&amp;IF(D273="",""," - "&amp;D273)&amp;IF(A273="",""," - "&amp;TEXT(A273,"mmm yyyy")))</f>
        <v/>
      </c>
      <c r="P273" s="37" t="n"/>
      <c r="Q273" s="37" t="n"/>
      <c r="R273" s="37" t="n"/>
    </row>
    <row r="274">
      <c r="A274" s="44" t="n"/>
      <c r="B274" s="37" t="n"/>
      <c r="C274" s="10">
        <f>IF(B274="","",IF(COUNTIF(lst_Jobs,B274&amp;"")&gt;0,"OK","CHECK"))</f>
        <v/>
      </c>
      <c r="D274" s="10">
        <f>IF(B274="","",IFERROR(INDEX(tbl_Finance[Client],MATCH(B274&amp;"",tbl_Finance[Job Number],0)),""))</f>
        <v/>
      </c>
      <c r="E274" s="37" t="n"/>
      <c r="F274" s="37" t="n"/>
      <c r="G274" s="37" t="n"/>
      <c r="H274" s="37" t="n"/>
      <c r="I274" s="37" t="n"/>
      <c r="J274" s="39" t="n"/>
      <c r="K274" s="37" t="n"/>
      <c r="L274" s="10">
        <f>IF(N(J274)=0,"",IF(J274&gt;0,set_WIPAsset,IF(I274="Cost",IF(K274="","(set the P&amp;L Account)",K274),IF(K274="",set_WIPIncome,K274))))</f>
        <v/>
      </c>
      <c r="M274" s="10">
        <f>IF(N(J274)=0,"",IF(J274&gt;0,IF(I274="Cost",IF(K274="","(set the P&amp;L Account)",K274),IF(K274="",set_WIPIncome,K274)),set_WIPAsset))</f>
        <v/>
      </c>
      <c r="N274" s="11">
        <f>IF(N(J274)=0,"",ABS(J274))</f>
        <v/>
      </c>
      <c r="O274" s="10">
        <f>IF(N(J274)=0,"","WIP "&amp;H274&amp;IF(B274="",""," - "&amp;B274)&amp;IF(D274="",""," - "&amp;D274)&amp;IF(A274="",""," - "&amp;TEXT(A274,"mmm yyyy")))</f>
        <v/>
      </c>
      <c r="P274" s="37" t="n"/>
      <c r="Q274" s="37" t="n"/>
      <c r="R274" s="37" t="n"/>
    </row>
    <row r="275">
      <c r="A275" s="44" t="n"/>
      <c r="B275" s="37" t="n"/>
      <c r="C275" s="10">
        <f>IF(B275="","",IF(COUNTIF(lst_Jobs,B275&amp;"")&gt;0,"OK","CHECK"))</f>
        <v/>
      </c>
      <c r="D275" s="10">
        <f>IF(B275="","",IFERROR(INDEX(tbl_Finance[Client],MATCH(B275&amp;"",tbl_Finance[Job Number],0)),""))</f>
        <v/>
      </c>
      <c r="E275" s="37" t="n"/>
      <c r="F275" s="37" t="n"/>
      <c r="G275" s="37" t="n"/>
      <c r="H275" s="37" t="n"/>
      <c r="I275" s="37" t="n"/>
      <c r="J275" s="39" t="n"/>
      <c r="K275" s="37" t="n"/>
      <c r="L275" s="10">
        <f>IF(N(J275)=0,"",IF(J275&gt;0,set_WIPAsset,IF(I275="Cost",IF(K275="","(set the P&amp;L Account)",K275),IF(K275="",set_WIPIncome,K275))))</f>
        <v/>
      </c>
      <c r="M275" s="10">
        <f>IF(N(J275)=0,"",IF(J275&gt;0,IF(I275="Cost",IF(K275="","(set the P&amp;L Account)",K275),IF(K275="",set_WIPIncome,K275)),set_WIPAsset))</f>
        <v/>
      </c>
      <c r="N275" s="11">
        <f>IF(N(J275)=0,"",ABS(J275))</f>
        <v/>
      </c>
      <c r="O275" s="10">
        <f>IF(N(J275)=0,"","WIP "&amp;H275&amp;IF(B275="",""," - "&amp;B275)&amp;IF(D275="",""," - "&amp;D275)&amp;IF(A275="",""," - "&amp;TEXT(A275,"mmm yyyy")))</f>
        <v/>
      </c>
      <c r="P275" s="37" t="n"/>
      <c r="Q275" s="37" t="n"/>
      <c r="R275" s="37" t="n"/>
    </row>
    <row r="276">
      <c r="A276" s="44" t="n"/>
      <c r="B276" s="37" t="n"/>
      <c r="C276" s="10">
        <f>IF(B276="","",IF(COUNTIF(lst_Jobs,B276&amp;"")&gt;0,"OK","CHECK"))</f>
        <v/>
      </c>
      <c r="D276" s="10">
        <f>IF(B276="","",IFERROR(INDEX(tbl_Finance[Client],MATCH(B276&amp;"",tbl_Finance[Job Number],0)),""))</f>
        <v/>
      </c>
      <c r="E276" s="37" t="n"/>
      <c r="F276" s="37" t="n"/>
      <c r="G276" s="37" t="n"/>
      <c r="H276" s="37" t="n"/>
      <c r="I276" s="37" t="n"/>
      <c r="J276" s="39" t="n"/>
      <c r="K276" s="37" t="n"/>
      <c r="L276" s="10">
        <f>IF(N(J276)=0,"",IF(J276&gt;0,set_WIPAsset,IF(I276="Cost",IF(K276="","(set the P&amp;L Account)",K276),IF(K276="",set_WIPIncome,K276))))</f>
        <v/>
      </c>
      <c r="M276" s="10">
        <f>IF(N(J276)=0,"",IF(J276&gt;0,IF(I276="Cost",IF(K276="","(set the P&amp;L Account)",K276),IF(K276="",set_WIPIncome,K276)),set_WIPAsset))</f>
        <v/>
      </c>
      <c r="N276" s="11">
        <f>IF(N(J276)=0,"",ABS(J276))</f>
        <v/>
      </c>
      <c r="O276" s="10">
        <f>IF(N(J276)=0,"","WIP "&amp;H276&amp;IF(B276="",""," - "&amp;B276)&amp;IF(D276="",""," - "&amp;D276)&amp;IF(A276="",""," - "&amp;TEXT(A276,"mmm yyyy")))</f>
        <v/>
      </c>
      <c r="P276" s="37" t="n"/>
      <c r="Q276" s="37" t="n"/>
      <c r="R276" s="37" t="n"/>
    </row>
    <row r="277">
      <c r="A277" s="44" t="n"/>
      <c r="B277" s="37" t="n"/>
      <c r="C277" s="10">
        <f>IF(B277="","",IF(COUNTIF(lst_Jobs,B277&amp;"")&gt;0,"OK","CHECK"))</f>
        <v/>
      </c>
      <c r="D277" s="10">
        <f>IF(B277="","",IFERROR(INDEX(tbl_Finance[Client],MATCH(B277&amp;"",tbl_Finance[Job Number],0)),""))</f>
        <v/>
      </c>
      <c r="E277" s="37" t="n"/>
      <c r="F277" s="37" t="n"/>
      <c r="G277" s="37" t="n"/>
      <c r="H277" s="37" t="n"/>
      <c r="I277" s="37" t="n"/>
      <c r="J277" s="39" t="n"/>
      <c r="K277" s="37" t="n"/>
      <c r="L277" s="10">
        <f>IF(N(J277)=0,"",IF(J277&gt;0,set_WIPAsset,IF(I277="Cost",IF(K277="","(set the P&amp;L Account)",K277),IF(K277="",set_WIPIncome,K277))))</f>
        <v/>
      </c>
      <c r="M277" s="10">
        <f>IF(N(J277)=0,"",IF(J277&gt;0,IF(I277="Cost",IF(K277="","(set the P&amp;L Account)",K277),IF(K277="",set_WIPIncome,K277)),set_WIPAsset))</f>
        <v/>
      </c>
      <c r="N277" s="11">
        <f>IF(N(J277)=0,"",ABS(J277))</f>
        <v/>
      </c>
      <c r="O277" s="10">
        <f>IF(N(J277)=0,"","WIP "&amp;H277&amp;IF(B277="",""," - "&amp;B277)&amp;IF(D277="",""," - "&amp;D277)&amp;IF(A277="",""," - "&amp;TEXT(A277,"mmm yyyy")))</f>
        <v/>
      </c>
      <c r="P277" s="37" t="n"/>
      <c r="Q277" s="37" t="n"/>
      <c r="R277" s="37" t="n"/>
    </row>
    <row r="278">
      <c r="A278" s="44" t="n"/>
      <c r="B278" s="37" t="n"/>
      <c r="C278" s="10">
        <f>IF(B278="","",IF(COUNTIF(lst_Jobs,B278&amp;"")&gt;0,"OK","CHECK"))</f>
        <v/>
      </c>
      <c r="D278" s="10">
        <f>IF(B278="","",IFERROR(INDEX(tbl_Finance[Client],MATCH(B278&amp;"",tbl_Finance[Job Number],0)),""))</f>
        <v/>
      </c>
      <c r="E278" s="37" t="n"/>
      <c r="F278" s="37" t="n"/>
      <c r="G278" s="37" t="n"/>
      <c r="H278" s="37" t="n"/>
      <c r="I278" s="37" t="n"/>
      <c r="J278" s="39" t="n"/>
      <c r="K278" s="37" t="n"/>
      <c r="L278" s="10">
        <f>IF(N(J278)=0,"",IF(J278&gt;0,set_WIPAsset,IF(I278="Cost",IF(K278="","(set the P&amp;L Account)",K278),IF(K278="",set_WIPIncome,K278))))</f>
        <v/>
      </c>
      <c r="M278" s="10">
        <f>IF(N(J278)=0,"",IF(J278&gt;0,IF(I278="Cost",IF(K278="","(set the P&amp;L Account)",K278),IF(K278="",set_WIPIncome,K278)),set_WIPAsset))</f>
        <v/>
      </c>
      <c r="N278" s="11">
        <f>IF(N(J278)=0,"",ABS(J278))</f>
        <v/>
      </c>
      <c r="O278" s="10">
        <f>IF(N(J278)=0,"","WIP "&amp;H278&amp;IF(B278="",""," - "&amp;B278)&amp;IF(D278="",""," - "&amp;D278)&amp;IF(A278="",""," - "&amp;TEXT(A278,"mmm yyyy")))</f>
        <v/>
      </c>
      <c r="P278" s="37" t="n"/>
      <c r="Q278" s="37" t="n"/>
      <c r="R278" s="37" t="n"/>
    </row>
    <row r="279">
      <c r="A279" s="44" t="n"/>
      <c r="B279" s="37" t="n"/>
      <c r="C279" s="10">
        <f>IF(B279="","",IF(COUNTIF(lst_Jobs,B279&amp;"")&gt;0,"OK","CHECK"))</f>
        <v/>
      </c>
      <c r="D279" s="10">
        <f>IF(B279="","",IFERROR(INDEX(tbl_Finance[Client],MATCH(B279&amp;"",tbl_Finance[Job Number],0)),""))</f>
        <v/>
      </c>
      <c r="E279" s="37" t="n"/>
      <c r="F279" s="37" t="n"/>
      <c r="G279" s="37" t="n"/>
      <c r="H279" s="37" t="n"/>
      <c r="I279" s="37" t="n"/>
      <c r="J279" s="39" t="n"/>
      <c r="K279" s="37" t="n"/>
      <c r="L279" s="10">
        <f>IF(N(J279)=0,"",IF(J279&gt;0,set_WIPAsset,IF(I279="Cost",IF(K279="","(set the P&amp;L Account)",K279),IF(K279="",set_WIPIncome,K279))))</f>
        <v/>
      </c>
      <c r="M279" s="10">
        <f>IF(N(J279)=0,"",IF(J279&gt;0,IF(I279="Cost",IF(K279="","(set the P&amp;L Account)",K279),IF(K279="",set_WIPIncome,K279)),set_WIPAsset))</f>
        <v/>
      </c>
      <c r="N279" s="11">
        <f>IF(N(J279)=0,"",ABS(J279))</f>
        <v/>
      </c>
      <c r="O279" s="10">
        <f>IF(N(J279)=0,"","WIP "&amp;H279&amp;IF(B279="",""," - "&amp;B279)&amp;IF(D279="",""," - "&amp;D279)&amp;IF(A279="",""," - "&amp;TEXT(A279,"mmm yyyy")))</f>
        <v/>
      </c>
      <c r="P279" s="37" t="n"/>
      <c r="Q279" s="37" t="n"/>
      <c r="R279" s="37" t="n"/>
    </row>
    <row r="280">
      <c r="A280" s="44" t="n"/>
      <c r="B280" s="37" t="n"/>
      <c r="C280" s="10">
        <f>IF(B280="","",IF(COUNTIF(lst_Jobs,B280&amp;"")&gt;0,"OK","CHECK"))</f>
        <v/>
      </c>
      <c r="D280" s="10">
        <f>IF(B280="","",IFERROR(INDEX(tbl_Finance[Client],MATCH(B280&amp;"",tbl_Finance[Job Number],0)),""))</f>
        <v/>
      </c>
      <c r="E280" s="37" t="n"/>
      <c r="F280" s="37" t="n"/>
      <c r="G280" s="37" t="n"/>
      <c r="H280" s="37" t="n"/>
      <c r="I280" s="37" t="n"/>
      <c r="J280" s="39" t="n"/>
      <c r="K280" s="37" t="n"/>
      <c r="L280" s="10">
        <f>IF(N(J280)=0,"",IF(J280&gt;0,set_WIPAsset,IF(I280="Cost",IF(K280="","(set the P&amp;L Account)",K280),IF(K280="",set_WIPIncome,K280))))</f>
        <v/>
      </c>
      <c r="M280" s="10">
        <f>IF(N(J280)=0,"",IF(J280&gt;0,IF(I280="Cost",IF(K280="","(set the P&amp;L Account)",K280),IF(K280="",set_WIPIncome,K280)),set_WIPAsset))</f>
        <v/>
      </c>
      <c r="N280" s="11">
        <f>IF(N(J280)=0,"",ABS(J280))</f>
        <v/>
      </c>
      <c r="O280" s="10">
        <f>IF(N(J280)=0,"","WIP "&amp;H280&amp;IF(B280="",""," - "&amp;B280)&amp;IF(D280="",""," - "&amp;D280)&amp;IF(A280="",""," - "&amp;TEXT(A280,"mmm yyyy")))</f>
        <v/>
      </c>
      <c r="P280" s="37" t="n"/>
      <c r="Q280" s="37" t="n"/>
      <c r="R280" s="37" t="n"/>
    </row>
    <row r="281">
      <c r="A281" s="44" t="n"/>
      <c r="B281" s="37" t="n"/>
      <c r="C281" s="10">
        <f>IF(B281="","",IF(COUNTIF(lst_Jobs,B281&amp;"")&gt;0,"OK","CHECK"))</f>
        <v/>
      </c>
      <c r="D281" s="10">
        <f>IF(B281="","",IFERROR(INDEX(tbl_Finance[Client],MATCH(B281&amp;"",tbl_Finance[Job Number],0)),""))</f>
        <v/>
      </c>
      <c r="E281" s="37" t="n"/>
      <c r="F281" s="37" t="n"/>
      <c r="G281" s="37" t="n"/>
      <c r="H281" s="37" t="n"/>
      <c r="I281" s="37" t="n"/>
      <c r="J281" s="39" t="n"/>
      <c r="K281" s="37" t="n"/>
      <c r="L281" s="10">
        <f>IF(N(J281)=0,"",IF(J281&gt;0,set_WIPAsset,IF(I281="Cost",IF(K281="","(set the P&amp;L Account)",K281),IF(K281="",set_WIPIncome,K281))))</f>
        <v/>
      </c>
      <c r="M281" s="10">
        <f>IF(N(J281)=0,"",IF(J281&gt;0,IF(I281="Cost",IF(K281="","(set the P&amp;L Account)",K281),IF(K281="",set_WIPIncome,K281)),set_WIPAsset))</f>
        <v/>
      </c>
      <c r="N281" s="11">
        <f>IF(N(J281)=0,"",ABS(J281))</f>
        <v/>
      </c>
      <c r="O281" s="10">
        <f>IF(N(J281)=0,"","WIP "&amp;H281&amp;IF(B281="",""," - "&amp;B281)&amp;IF(D281="",""," - "&amp;D281)&amp;IF(A281="",""," - "&amp;TEXT(A281,"mmm yyyy")))</f>
        <v/>
      </c>
      <c r="P281" s="37" t="n"/>
      <c r="Q281" s="37" t="n"/>
      <c r="R281" s="37" t="n"/>
    </row>
    <row r="282">
      <c r="A282" s="44" t="n"/>
      <c r="B282" s="37" t="n"/>
      <c r="C282" s="10">
        <f>IF(B282="","",IF(COUNTIF(lst_Jobs,B282&amp;"")&gt;0,"OK","CHECK"))</f>
        <v/>
      </c>
      <c r="D282" s="10">
        <f>IF(B282="","",IFERROR(INDEX(tbl_Finance[Client],MATCH(B282&amp;"",tbl_Finance[Job Number],0)),""))</f>
        <v/>
      </c>
      <c r="E282" s="37" t="n"/>
      <c r="F282" s="37" t="n"/>
      <c r="G282" s="37" t="n"/>
      <c r="H282" s="37" t="n"/>
      <c r="I282" s="37" t="n"/>
      <c r="J282" s="39" t="n"/>
      <c r="K282" s="37" t="n"/>
      <c r="L282" s="10">
        <f>IF(N(J282)=0,"",IF(J282&gt;0,set_WIPAsset,IF(I282="Cost",IF(K282="","(set the P&amp;L Account)",K282),IF(K282="",set_WIPIncome,K282))))</f>
        <v/>
      </c>
      <c r="M282" s="10">
        <f>IF(N(J282)=0,"",IF(J282&gt;0,IF(I282="Cost",IF(K282="","(set the P&amp;L Account)",K282),IF(K282="",set_WIPIncome,K282)),set_WIPAsset))</f>
        <v/>
      </c>
      <c r="N282" s="11">
        <f>IF(N(J282)=0,"",ABS(J282))</f>
        <v/>
      </c>
      <c r="O282" s="10">
        <f>IF(N(J282)=0,"","WIP "&amp;H282&amp;IF(B282="",""," - "&amp;B282)&amp;IF(D282="",""," - "&amp;D282)&amp;IF(A282="",""," - "&amp;TEXT(A282,"mmm yyyy")))</f>
        <v/>
      </c>
      <c r="P282" s="37" t="n"/>
      <c r="Q282" s="37" t="n"/>
      <c r="R282" s="37" t="n"/>
    </row>
    <row r="283">
      <c r="A283" s="44" t="n"/>
      <c r="B283" s="37" t="n"/>
      <c r="C283" s="10">
        <f>IF(B283="","",IF(COUNTIF(lst_Jobs,B283&amp;"")&gt;0,"OK","CHECK"))</f>
        <v/>
      </c>
      <c r="D283" s="10">
        <f>IF(B283="","",IFERROR(INDEX(tbl_Finance[Client],MATCH(B283&amp;"",tbl_Finance[Job Number],0)),""))</f>
        <v/>
      </c>
      <c r="E283" s="37" t="n"/>
      <c r="F283" s="37" t="n"/>
      <c r="G283" s="37" t="n"/>
      <c r="H283" s="37" t="n"/>
      <c r="I283" s="37" t="n"/>
      <c r="J283" s="39" t="n"/>
      <c r="K283" s="37" t="n"/>
      <c r="L283" s="10">
        <f>IF(N(J283)=0,"",IF(J283&gt;0,set_WIPAsset,IF(I283="Cost",IF(K283="","(set the P&amp;L Account)",K283),IF(K283="",set_WIPIncome,K283))))</f>
        <v/>
      </c>
      <c r="M283" s="10">
        <f>IF(N(J283)=0,"",IF(J283&gt;0,IF(I283="Cost",IF(K283="","(set the P&amp;L Account)",K283),IF(K283="",set_WIPIncome,K283)),set_WIPAsset))</f>
        <v/>
      </c>
      <c r="N283" s="11">
        <f>IF(N(J283)=0,"",ABS(J283))</f>
        <v/>
      </c>
      <c r="O283" s="10">
        <f>IF(N(J283)=0,"","WIP "&amp;H283&amp;IF(B283="",""," - "&amp;B283)&amp;IF(D283="",""," - "&amp;D283)&amp;IF(A283="",""," - "&amp;TEXT(A283,"mmm yyyy")))</f>
        <v/>
      </c>
      <c r="P283" s="37" t="n"/>
      <c r="Q283" s="37" t="n"/>
      <c r="R283" s="37" t="n"/>
    </row>
    <row r="284">
      <c r="A284" s="44" t="n"/>
      <c r="B284" s="37" t="n"/>
      <c r="C284" s="10">
        <f>IF(B284="","",IF(COUNTIF(lst_Jobs,B284&amp;"")&gt;0,"OK","CHECK"))</f>
        <v/>
      </c>
      <c r="D284" s="10">
        <f>IF(B284="","",IFERROR(INDEX(tbl_Finance[Client],MATCH(B284&amp;"",tbl_Finance[Job Number],0)),""))</f>
        <v/>
      </c>
      <c r="E284" s="37" t="n"/>
      <c r="F284" s="37" t="n"/>
      <c r="G284" s="37" t="n"/>
      <c r="H284" s="37" t="n"/>
      <c r="I284" s="37" t="n"/>
      <c r="J284" s="39" t="n"/>
      <c r="K284" s="37" t="n"/>
      <c r="L284" s="10">
        <f>IF(N(J284)=0,"",IF(J284&gt;0,set_WIPAsset,IF(I284="Cost",IF(K284="","(set the P&amp;L Account)",K284),IF(K284="",set_WIPIncome,K284))))</f>
        <v/>
      </c>
      <c r="M284" s="10">
        <f>IF(N(J284)=0,"",IF(J284&gt;0,IF(I284="Cost",IF(K284="","(set the P&amp;L Account)",K284),IF(K284="",set_WIPIncome,K284)),set_WIPAsset))</f>
        <v/>
      </c>
      <c r="N284" s="11">
        <f>IF(N(J284)=0,"",ABS(J284))</f>
        <v/>
      </c>
      <c r="O284" s="10">
        <f>IF(N(J284)=0,"","WIP "&amp;H284&amp;IF(B284="",""," - "&amp;B284)&amp;IF(D284="",""," - "&amp;D284)&amp;IF(A284="",""," - "&amp;TEXT(A284,"mmm yyyy")))</f>
        <v/>
      </c>
      <c r="P284" s="37" t="n"/>
      <c r="Q284" s="37" t="n"/>
      <c r="R284" s="37" t="n"/>
    </row>
    <row r="285">
      <c r="A285" s="44" t="n"/>
      <c r="B285" s="37" t="n"/>
      <c r="C285" s="10">
        <f>IF(B285="","",IF(COUNTIF(lst_Jobs,B285&amp;"")&gt;0,"OK","CHECK"))</f>
        <v/>
      </c>
      <c r="D285" s="10">
        <f>IF(B285="","",IFERROR(INDEX(tbl_Finance[Client],MATCH(B285&amp;"",tbl_Finance[Job Number],0)),""))</f>
        <v/>
      </c>
      <c r="E285" s="37" t="n"/>
      <c r="F285" s="37" t="n"/>
      <c r="G285" s="37" t="n"/>
      <c r="H285" s="37" t="n"/>
      <c r="I285" s="37" t="n"/>
      <c r="J285" s="39" t="n"/>
      <c r="K285" s="37" t="n"/>
      <c r="L285" s="10">
        <f>IF(N(J285)=0,"",IF(J285&gt;0,set_WIPAsset,IF(I285="Cost",IF(K285="","(set the P&amp;L Account)",K285),IF(K285="",set_WIPIncome,K285))))</f>
        <v/>
      </c>
      <c r="M285" s="10">
        <f>IF(N(J285)=0,"",IF(J285&gt;0,IF(I285="Cost",IF(K285="","(set the P&amp;L Account)",K285),IF(K285="",set_WIPIncome,K285)),set_WIPAsset))</f>
        <v/>
      </c>
      <c r="N285" s="11">
        <f>IF(N(J285)=0,"",ABS(J285))</f>
        <v/>
      </c>
      <c r="O285" s="10">
        <f>IF(N(J285)=0,"","WIP "&amp;H285&amp;IF(B285="",""," - "&amp;B285)&amp;IF(D285="",""," - "&amp;D285)&amp;IF(A285="",""," - "&amp;TEXT(A285,"mmm yyyy")))</f>
        <v/>
      </c>
      <c r="P285" s="37" t="n"/>
      <c r="Q285" s="37" t="n"/>
      <c r="R285" s="37" t="n"/>
    </row>
    <row r="286">
      <c r="A286" s="44" t="n"/>
      <c r="B286" s="37" t="n"/>
      <c r="C286" s="10">
        <f>IF(B286="","",IF(COUNTIF(lst_Jobs,B286&amp;"")&gt;0,"OK","CHECK"))</f>
        <v/>
      </c>
      <c r="D286" s="10">
        <f>IF(B286="","",IFERROR(INDEX(tbl_Finance[Client],MATCH(B286&amp;"",tbl_Finance[Job Number],0)),""))</f>
        <v/>
      </c>
      <c r="E286" s="37" t="n"/>
      <c r="F286" s="37" t="n"/>
      <c r="G286" s="37" t="n"/>
      <c r="H286" s="37" t="n"/>
      <c r="I286" s="37" t="n"/>
      <c r="J286" s="39" t="n"/>
      <c r="K286" s="37" t="n"/>
      <c r="L286" s="10">
        <f>IF(N(J286)=0,"",IF(J286&gt;0,set_WIPAsset,IF(I286="Cost",IF(K286="","(set the P&amp;L Account)",K286),IF(K286="",set_WIPIncome,K286))))</f>
        <v/>
      </c>
      <c r="M286" s="10">
        <f>IF(N(J286)=0,"",IF(J286&gt;0,IF(I286="Cost",IF(K286="","(set the P&amp;L Account)",K286),IF(K286="",set_WIPIncome,K286)),set_WIPAsset))</f>
        <v/>
      </c>
      <c r="N286" s="11">
        <f>IF(N(J286)=0,"",ABS(J286))</f>
        <v/>
      </c>
      <c r="O286" s="10">
        <f>IF(N(J286)=0,"","WIP "&amp;H286&amp;IF(B286="",""," - "&amp;B286)&amp;IF(D286="",""," - "&amp;D286)&amp;IF(A286="",""," - "&amp;TEXT(A286,"mmm yyyy")))</f>
        <v/>
      </c>
      <c r="P286" s="37" t="n"/>
      <c r="Q286" s="37" t="n"/>
      <c r="R286" s="37" t="n"/>
    </row>
    <row r="287">
      <c r="A287" s="44" t="n"/>
      <c r="B287" s="37" t="n"/>
      <c r="C287" s="10">
        <f>IF(B287="","",IF(COUNTIF(lst_Jobs,B287&amp;"")&gt;0,"OK","CHECK"))</f>
        <v/>
      </c>
      <c r="D287" s="10">
        <f>IF(B287="","",IFERROR(INDEX(tbl_Finance[Client],MATCH(B287&amp;"",tbl_Finance[Job Number],0)),""))</f>
        <v/>
      </c>
      <c r="E287" s="37" t="n"/>
      <c r="F287" s="37" t="n"/>
      <c r="G287" s="37" t="n"/>
      <c r="H287" s="37" t="n"/>
      <c r="I287" s="37" t="n"/>
      <c r="J287" s="39" t="n"/>
      <c r="K287" s="37" t="n"/>
      <c r="L287" s="10">
        <f>IF(N(J287)=0,"",IF(J287&gt;0,set_WIPAsset,IF(I287="Cost",IF(K287="","(set the P&amp;L Account)",K287),IF(K287="",set_WIPIncome,K287))))</f>
        <v/>
      </c>
      <c r="M287" s="10">
        <f>IF(N(J287)=0,"",IF(J287&gt;0,IF(I287="Cost",IF(K287="","(set the P&amp;L Account)",K287),IF(K287="",set_WIPIncome,K287)),set_WIPAsset))</f>
        <v/>
      </c>
      <c r="N287" s="11">
        <f>IF(N(J287)=0,"",ABS(J287))</f>
        <v/>
      </c>
      <c r="O287" s="10">
        <f>IF(N(J287)=0,"","WIP "&amp;H287&amp;IF(B287="",""," - "&amp;B287)&amp;IF(D287="",""," - "&amp;D287)&amp;IF(A287="",""," - "&amp;TEXT(A287,"mmm yyyy")))</f>
        <v/>
      </c>
      <c r="P287" s="37" t="n"/>
      <c r="Q287" s="37" t="n"/>
      <c r="R287" s="37" t="n"/>
    </row>
    <row r="288">
      <c r="A288" s="44" t="n"/>
      <c r="B288" s="37" t="n"/>
      <c r="C288" s="10">
        <f>IF(B288="","",IF(COUNTIF(lst_Jobs,B288&amp;"")&gt;0,"OK","CHECK"))</f>
        <v/>
      </c>
      <c r="D288" s="10">
        <f>IF(B288="","",IFERROR(INDEX(tbl_Finance[Client],MATCH(B288&amp;"",tbl_Finance[Job Number],0)),""))</f>
        <v/>
      </c>
      <c r="E288" s="37" t="n"/>
      <c r="F288" s="37" t="n"/>
      <c r="G288" s="37" t="n"/>
      <c r="H288" s="37" t="n"/>
      <c r="I288" s="37" t="n"/>
      <c r="J288" s="39" t="n"/>
      <c r="K288" s="37" t="n"/>
      <c r="L288" s="10">
        <f>IF(N(J288)=0,"",IF(J288&gt;0,set_WIPAsset,IF(I288="Cost",IF(K288="","(set the P&amp;L Account)",K288),IF(K288="",set_WIPIncome,K288))))</f>
        <v/>
      </c>
      <c r="M288" s="10">
        <f>IF(N(J288)=0,"",IF(J288&gt;0,IF(I288="Cost",IF(K288="","(set the P&amp;L Account)",K288),IF(K288="",set_WIPIncome,K288)),set_WIPAsset))</f>
        <v/>
      </c>
      <c r="N288" s="11">
        <f>IF(N(J288)=0,"",ABS(J288))</f>
        <v/>
      </c>
      <c r="O288" s="10">
        <f>IF(N(J288)=0,"","WIP "&amp;H288&amp;IF(B288="",""," - "&amp;B288)&amp;IF(D288="",""," - "&amp;D288)&amp;IF(A288="",""," - "&amp;TEXT(A288,"mmm yyyy")))</f>
        <v/>
      </c>
      <c r="P288" s="37" t="n"/>
      <c r="Q288" s="37" t="n"/>
      <c r="R288" s="37" t="n"/>
    </row>
    <row r="289">
      <c r="A289" s="44" t="n"/>
      <c r="B289" s="37" t="n"/>
      <c r="C289" s="10">
        <f>IF(B289="","",IF(COUNTIF(lst_Jobs,B289&amp;"")&gt;0,"OK","CHECK"))</f>
        <v/>
      </c>
      <c r="D289" s="10">
        <f>IF(B289="","",IFERROR(INDEX(tbl_Finance[Client],MATCH(B289&amp;"",tbl_Finance[Job Number],0)),""))</f>
        <v/>
      </c>
      <c r="E289" s="37" t="n"/>
      <c r="F289" s="37" t="n"/>
      <c r="G289" s="37" t="n"/>
      <c r="H289" s="37" t="n"/>
      <c r="I289" s="37" t="n"/>
      <c r="J289" s="39" t="n"/>
      <c r="K289" s="37" t="n"/>
      <c r="L289" s="10">
        <f>IF(N(J289)=0,"",IF(J289&gt;0,set_WIPAsset,IF(I289="Cost",IF(K289="","(set the P&amp;L Account)",K289),IF(K289="",set_WIPIncome,K289))))</f>
        <v/>
      </c>
      <c r="M289" s="10">
        <f>IF(N(J289)=0,"",IF(J289&gt;0,IF(I289="Cost",IF(K289="","(set the P&amp;L Account)",K289),IF(K289="",set_WIPIncome,K289)),set_WIPAsset))</f>
        <v/>
      </c>
      <c r="N289" s="11">
        <f>IF(N(J289)=0,"",ABS(J289))</f>
        <v/>
      </c>
      <c r="O289" s="10">
        <f>IF(N(J289)=0,"","WIP "&amp;H289&amp;IF(B289="",""," - "&amp;B289)&amp;IF(D289="",""," - "&amp;D289)&amp;IF(A289="",""," - "&amp;TEXT(A289,"mmm yyyy")))</f>
        <v/>
      </c>
      <c r="P289" s="37" t="n"/>
      <c r="Q289" s="37" t="n"/>
      <c r="R289" s="37" t="n"/>
    </row>
    <row r="290">
      <c r="A290" s="44" t="n"/>
      <c r="B290" s="37" t="n"/>
      <c r="C290" s="10">
        <f>IF(B290="","",IF(COUNTIF(lst_Jobs,B290&amp;"")&gt;0,"OK","CHECK"))</f>
        <v/>
      </c>
      <c r="D290" s="10">
        <f>IF(B290="","",IFERROR(INDEX(tbl_Finance[Client],MATCH(B290&amp;"",tbl_Finance[Job Number],0)),""))</f>
        <v/>
      </c>
      <c r="E290" s="37" t="n"/>
      <c r="F290" s="37" t="n"/>
      <c r="G290" s="37" t="n"/>
      <c r="H290" s="37" t="n"/>
      <c r="I290" s="37" t="n"/>
      <c r="J290" s="39" t="n"/>
      <c r="K290" s="37" t="n"/>
      <c r="L290" s="10">
        <f>IF(N(J290)=0,"",IF(J290&gt;0,set_WIPAsset,IF(I290="Cost",IF(K290="","(set the P&amp;L Account)",K290),IF(K290="",set_WIPIncome,K290))))</f>
        <v/>
      </c>
      <c r="M290" s="10">
        <f>IF(N(J290)=0,"",IF(J290&gt;0,IF(I290="Cost",IF(K290="","(set the P&amp;L Account)",K290),IF(K290="",set_WIPIncome,K290)),set_WIPAsset))</f>
        <v/>
      </c>
      <c r="N290" s="11">
        <f>IF(N(J290)=0,"",ABS(J290))</f>
        <v/>
      </c>
      <c r="O290" s="10">
        <f>IF(N(J290)=0,"","WIP "&amp;H290&amp;IF(B290="",""," - "&amp;B290)&amp;IF(D290="",""," - "&amp;D290)&amp;IF(A290="",""," - "&amp;TEXT(A290,"mmm yyyy")))</f>
        <v/>
      </c>
      <c r="P290" s="37" t="n"/>
      <c r="Q290" s="37" t="n"/>
      <c r="R290" s="37" t="n"/>
    </row>
    <row r="291">
      <c r="A291" s="44" t="n"/>
      <c r="B291" s="37" t="n"/>
      <c r="C291" s="10">
        <f>IF(B291="","",IF(COUNTIF(lst_Jobs,B291&amp;"")&gt;0,"OK","CHECK"))</f>
        <v/>
      </c>
      <c r="D291" s="10">
        <f>IF(B291="","",IFERROR(INDEX(tbl_Finance[Client],MATCH(B291&amp;"",tbl_Finance[Job Number],0)),""))</f>
        <v/>
      </c>
      <c r="E291" s="37" t="n"/>
      <c r="F291" s="37" t="n"/>
      <c r="G291" s="37" t="n"/>
      <c r="H291" s="37" t="n"/>
      <c r="I291" s="37" t="n"/>
      <c r="J291" s="39" t="n"/>
      <c r="K291" s="37" t="n"/>
      <c r="L291" s="10">
        <f>IF(N(J291)=0,"",IF(J291&gt;0,set_WIPAsset,IF(I291="Cost",IF(K291="","(set the P&amp;L Account)",K291),IF(K291="",set_WIPIncome,K291))))</f>
        <v/>
      </c>
      <c r="M291" s="10">
        <f>IF(N(J291)=0,"",IF(J291&gt;0,IF(I291="Cost",IF(K291="","(set the P&amp;L Account)",K291),IF(K291="",set_WIPIncome,K291)),set_WIPAsset))</f>
        <v/>
      </c>
      <c r="N291" s="11">
        <f>IF(N(J291)=0,"",ABS(J291))</f>
        <v/>
      </c>
      <c r="O291" s="10">
        <f>IF(N(J291)=0,"","WIP "&amp;H291&amp;IF(B291="",""," - "&amp;B291)&amp;IF(D291="",""," - "&amp;D291)&amp;IF(A291="",""," - "&amp;TEXT(A291,"mmm yyyy")))</f>
        <v/>
      </c>
      <c r="P291" s="37" t="n"/>
      <c r="Q291" s="37" t="n"/>
      <c r="R291" s="37" t="n"/>
    </row>
    <row r="292">
      <c r="A292" s="44" t="n"/>
      <c r="B292" s="37" t="n"/>
      <c r="C292" s="10">
        <f>IF(B292="","",IF(COUNTIF(lst_Jobs,B292&amp;"")&gt;0,"OK","CHECK"))</f>
        <v/>
      </c>
      <c r="D292" s="10">
        <f>IF(B292="","",IFERROR(INDEX(tbl_Finance[Client],MATCH(B292&amp;"",tbl_Finance[Job Number],0)),""))</f>
        <v/>
      </c>
      <c r="E292" s="37" t="n"/>
      <c r="F292" s="37" t="n"/>
      <c r="G292" s="37" t="n"/>
      <c r="H292" s="37" t="n"/>
      <c r="I292" s="37" t="n"/>
      <c r="J292" s="39" t="n"/>
      <c r="K292" s="37" t="n"/>
      <c r="L292" s="10">
        <f>IF(N(J292)=0,"",IF(J292&gt;0,set_WIPAsset,IF(I292="Cost",IF(K292="","(set the P&amp;L Account)",K292),IF(K292="",set_WIPIncome,K292))))</f>
        <v/>
      </c>
      <c r="M292" s="10">
        <f>IF(N(J292)=0,"",IF(J292&gt;0,IF(I292="Cost",IF(K292="","(set the P&amp;L Account)",K292),IF(K292="",set_WIPIncome,K292)),set_WIPAsset))</f>
        <v/>
      </c>
      <c r="N292" s="11">
        <f>IF(N(J292)=0,"",ABS(J292))</f>
        <v/>
      </c>
      <c r="O292" s="10">
        <f>IF(N(J292)=0,"","WIP "&amp;H292&amp;IF(B292="",""," - "&amp;B292)&amp;IF(D292="",""," - "&amp;D292)&amp;IF(A292="",""," - "&amp;TEXT(A292,"mmm yyyy")))</f>
        <v/>
      </c>
      <c r="P292" s="37" t="n"/>
      <c r="Q292" s="37" t="n"/>
      <c r="R292" s="37" t="n"/>
    </row>
    <row r="293">
      <c r="A293" s="44" t="n"/>
      <c r="B293" s="37" t="n"/>
      <c r="C293" s="10">
        <f>IF(B293="","",IF(COUNTIF(lst_Jobs,B293&amp;"")&gt;0,"OK","CHECK"))</f>
        <v/>
      </c>
      <c r="D293" s="10">
        <f>IF(B293="","",IFERROR(INDEX(tbl_Finance[Client],MATCH(B293&amp;"",tbl_Finance[Job Number],0)),""))</f>
        <v/>
      </c>
      <c r="E293" s="37" t="n"/>
      <c r="F293" s="37" t="n"/>
      <c r="G293" s="37" t="n"/>
      <c r="H293" s="37" t="n"/>
      <c r="I293" s="37" t="n"/>
      <c r="J293" s="39" t="n"/>
      <c r="K293" s="37" t="n"/>
      <c r="L293" s="10">
        <f>IF(N(J293)=0,"",IF(J293&gt;0,set_WIPAsset,IF(I293="Cost",IF(K293="","(set the P&amp;L Account)",K293),IF(K293="",set_WIPIncome,K293))))</f>
        <v/>
      </c>
      <c r="M293" s="10">
        <f>IF(N(J293)=0,"",IF(J293&gt;0,IF(I293="Cost",IF(K293="","(set the P&amp;L Account)",K293),IF(K293="",set_WIPIncome,K293)),set_WIPAsset))</f>
        <v/>
      </c>
      <c r="N293" s="11">
        <f>IF(N(J293)=0,"",ABS(J293))</f>
        <v/>
      </c>
      <c r="O293" s="10">
        <f>IF(N(J293)=0,"","WIP "&amp;H293&amp;IF(B293="",""," - "&amp;B293)&amp;IF(D293="",""," - "&amp;D293)&amp;IF(A293="",""," - "&amp;TEXT(A293,"mmm yyyy")))</f>
        <v/>
      </c>
      <c r="P293" s="37" t="n"/>
      <c r="Q293" s="37" t="n"/>
      <c r="R293" s="37" t="n"/>
    </row>
    <row r="294">
      <c r="A294" s="44" t="n"/>
      <c r="B294" s="37" t="n"/>
      <c r="C294" s="10">
        <f>IF(B294="","",IF(COUNTIF(lst_Jobs,B294&amp;"")&gt;0,"OK","CHECK"))</f>
        <v/>
      </c>
      <c r="D294" s="10">
        <f>IF(B294="","",IFERROR(INDEX(tbl_Finance[Client],MATCH(B294&amp;"",tbl_Finance[Job Number],0)),""))</f>
        <v/>
      </c>
      <c r="E294" s="37" t="n"/>
      <c r="F294" s="37" t="n"/>
      <c r="G294" s="37" t="n"/>
      <c r="H294" s="37" t="n"/>
      <c r="I294" s="37" t="n"/>
      <c r="J294" s="39" t="n"/>
      <c r="K294" s="37" t="n"/>
      <c r="L294" s="10">
        <f>IF(N(J294)=0,"",IF(J294&gt;0,set_WIPAsset,IF(I294="Cost",IF(K294="","(set the P&amp;L Account)",K294),IF(K294="",set_WIPIncome,K294))))</f>
        <v/>
      </c>
      <c r="M294" s="10">
        <f>IF(N(J294)=0,"",IF(J294&gt;0,IF(I294="Cost",IF(K294="","(set the P&amp;L Account)",K294),IF(K294="",set_WIPIncome,K294)),set_WIPAsset))</f>
        <v/>
      </c>
      <c r="N294" s="11">
        <f>IF(N(J294)=0,"",ABS(J294))</f>
        <v/>
      </c>
      <c r="O294" s="10">
        <f>IF(N(J294)=0,"","WIP "&amp;H294&amp;IF(B294="",""," - "&amp;B294)&amp;IF(D294="",""," - "&amp;D294)&amp;IF(A294="",""," - "&amp;TEXT(A294,"mmm yyyy")))</f>
        <v/>
      </c>
      <c r="P294" s="37" t="n"/>
      <c r="Q294" s="37" t="n"/>
      <c r="R294" s="37" t="n"/>
    </row>
    <row r="295">
      <c r="A295" s="44" t="n"/>
      <c r="B295" s="37" t="n"/>
      <c r="C295" s="10">
        <f>IF(B295="","",IF(COUNTIF(lst_Jobs,B295&amp;"")&gt;0,"OK","CHECK"))</f>
        <v/>
      </c>
      <c r="D295" s="10">
        <f>IF(B295="","",IFERROR(INDEX(tbl_Finance[Client],MATCH(B295&amp;"",tbl_Finance[Job Number],0)),""))</f>
        <v/>
      </c>
      <c r="E295" s="37" t="n"/>
      <c r="F295" s="37" t="n"/>
      <c r="G295" s="37" t="n"/>
      <c r="H295" s="37" t="n"/>
      <c r="I295" s="37" t="n"/>
      <c r="J295" s="39" t="n"/>
      <c r="K295" s="37" t="n"/>
      <c r="L295" s="10">
        <f>IF(N(J295)=0,"",IF(J295&gt;0,set_WIPAsset,IF(I295="Cost",IF(K295="","(set the P&amp;L Account)",K295),IF(K295="",set_WIPIncome,K295))))</f>
        <v/>
      </c>
      <c r="M295" s="10">
        <f>IF(N(J295)=0,"",IF(J295&gt;0,IF(I295="Cost",IF(K295="","(set the P&amp;L Account)",K295),IF(K295="",set_WIPIncome,K295)),set_WIPAsset))</f>
        <v/>
      </c>
      <c r="N295" s="11">
        <f>IF(N(J295)=0,"",ABS(J295))</f>
        <v/>
      </c>
      <c r="O295" s="10">
        <f>IF(N(J295)=0,"","WIP "&amp;H295&amp;IF(B295="",""," - "&amp;B295)&amp;IF(D295="",""," - "&amp;D295)&amp;IF(A295="",""," - "&amp;TEXT(A295,"mmm yyyy")))</f>
        <v/>
      </c>
      <c r="P295" s="37" t="n"/>
      <c r="Q295" s="37" t="n"/>
      <c r="R295" s="37" t="n"/>
    </row>
    <row r="296">
      <c r="A296" s="44" t="n"/>
      <c r="B296" s="37" t="n"/>
      <c r="C296" s="10">
        <f>IF(B296="","",IF(COUNTIF(lst_Jobs,B296&amp;"")&gt;0,"OK","CHECK"))</f>
        <v/>
      </c>
      <c r="D296" s="10">
        <f>IF(B296="","",IFERROR(INDEX(tbl_Finance[Client],MATCH(B296&amp;"",tbl_Finance[Job Number],0)),""))</f>
        <v/>
      </c>
      <c r="E296" s="37" t="n"/>
      <c r="F296" s="37" t="n"/>
      <c r="G296" s="37" t="n"/>
      <c r="H296" s="37" t="n"/>
      <c r="I296" s="37" t="n"/>
      <c r="J296" s="39" t="n"/>
      <c r="K296" s="37" t="n"/>
      <c r="L296" s="10">
        <f>IF(N(J296)=0,"",IF(J296&gt;0,set_WIPAsset,IF(I296="Cost",IF(K296="","(set the P&amp;L Account)",K296),IF(K296="",set_WIPIncome,K296))))</f>
        <v/>
      </c>
      <c r="M296" s="10">
        <f>IF(N(J296)=0,"",IF(J296&gt;0,IF(I296="Cost",IF(K296="","(set the P&amp;L Account)",K296),IF(K296="",set_WIPIncome,K296)),set_WIPAsset))</f>
        <v/>
      </c>
      <c r="N296" s="11">
        <f>IF(N(J296)=0,"",ABS(J296))</f>
        <v/>
      </c>
      <c r="O296" s="10">
        <f>IF(N(J296)=0,"","WIP "&amp;H296&amp;IF(B296="",""," - "&amp;B296)&amp;IF(D296="",""," - "&amp;D296)&amp;IF(A296="",""," - "&amp;TEXT(A296,"mmm yyyy")))</f>
        <v/>
      </c>
      <c r="P296" s="37" t="n"/>
      <c r="Q296" s="37" t="n"/>
      <c r="R296" s="37" t="n"/>
    </row>
    <row r="297">
      <c r="A297" s="44" t="n"/>
      <c r="B297" s="37" t="n"/>
      <c r="C297" s="10">
        <f>IF(B297="","",IF(COUNTIF(lst_Jobs,B297&amp;"")&gt;0,"OK","CHECK"))</f>
        <v/>
      </c>
      <c r="D297" s="10">
        <f>IF(B297="","",IFERROR(INDEX(tbl_Finance[Client],MATCH(B297&amp;"",tbl_Finance[Job Number],0)),""))</f>
        <v/>
      </c>
      <c r="E297" s="37" t="n"/>
      <c r="F297" s="37" t="n"/>
      <c r="G297" s="37" t="n"/>
      <c r="H297" s="37" t="n"/>
      <c r="I297" s="37" t="n"/>
      <c r="J297" s="39" t="n"/>
      <c r="K297" s="37" t="n"/>
      <c r="L297" s="10">
        <f>IF(N(J297)=0,"",IF(J297&gt;0,set_WIPAsset,IF(I297="Cost",IF(K297="","(set the P&amp;L Account)",K297),IF(K297="",set_WIPIncome,K297))))</f>
        <v/>
      </c>
      <c r="M297" s="10">
        <f>IF(N(J297)=0,"",IF(J297&gt;0,IF(I297="Cost",IF(K297="","(set the P&amp;L Account)",K297),IF(K297="",set_WIPIncome,K297)),set_WIPAsset))</f>
        <v/>
      </c>
      <c r="N297" s="11">
        <f>IF(N(J297)=0,"",ABS(J297))</f>
        <v/>
      </c>
      <c r="O297" s="10">
        <f>IF(N(J297)=0,"","WIP "&amp;H297&amp;IF(B297="",""," - "&amp;B297)&amp;IF(D297="",""," - "&amp;D297)&amp;IF(A297="",""," - "&amp;TEXT(A297,"mmm yyyy")))</f>
        <v/>
      </c>
      <c r="P297" s="37" t="n"/>
      <c r="Q297" s="37" t="n"/>
      <c r="R297" s="37" t="n"/>
    </row>
    <row r="298">
      <c r="A298" s="44" t="n"/>
      <c r="B298" s="37" t="n"/>
      <c r="C298" s="10">
        <f>IF(B298="","",IF(COUNTIF(lst_Jobs,B298&amp;"")&gt;0,"OK","CHECK"))</f>
        <v/>
      </c>
      <c r="D298" s="10">
        <f>IF(B298="","",IFERROR(INDEX(tbl_Finance[Client],MATCH(B298&amp;"",tbl_Finance[Job Number],0)),""))</f>
        <v/>
      </c>
      <c r="E298" s="37" t="n"/>
      <c r="F298" s="37" t="n"/>
      <c r="G298" s="37" t="n"/>
      <c r="H298" s="37" t="n"/>
      <c r="I298" s="37" t="n"/>
      <c r="J298" s="39" t="n"/>
      <c r="K298" s="37" t="n"/>
      <c r="L298" s="10">
        <f>IF(N(J298)=0,"",IF(J298&gt;0,set_WIPAsset,IF(I298="Cost",IF(K298="","(set the P&amp;L Account)",K298),IF(K298="",set_WIPIncome,K298))))</f>
        <v/>
      </c>
      <c r="M298" s="10">
        <f>IF(N(J298)=0,"",IF(J298&gt;0,IF(I298="Cost",IF(K298="","(set the P&amp;L Account)",K298),IF(K298="",set_WIPIncome,K298)),set_WIPAsset))</f>
        <v/>
      </c>
      <c r="N298" s="11">
        <f>IF(N(J298)=0,"",ABS(J298))</f>
        <v/>
      </c>
      <c r="O298" s="10">
        <f>IF(N(J298)=0,"","WIP "&amp;H298&amp;IF(B298="",""," - "&amp;B298)&amp;IF(D298="",""," - "&amp;D298)&amp;IF(A298="",""," - "&amp;TEXT(A298,"mmm yyyy")))</f>
        <v/>
      </c>
      <c r="P298" s="37" t="n"/>
      <c r="Q298" s="37" t="n"/>
      <c r="R298" s="37" t="n"/>
    </row>
    <row r="299">
      <c r="A299" s="44" t="n"/>
      <c r="B299" s="37" t="n"/>
      <c r="C299" s="10">
        <f>IF(B299="","",IF(COUNTIF(lst_Jobs,B299&amp;"")&gt;0,"OK","CHECK"))</f>
        <v/>
      </c>
      <c r="D299" s="10">
        <f>IF(B299="","",IFERROR(INDEX(tbl_Finance[Client],MATCH(B299&amp;"",tbl_Finance[Job Number],0)),""))</f>
        <v/>
      </c>
      <c r="E299" s="37" t="n"/>
      <c r="F299" s="37" t="n"/>
      <c r="G299" s="37" t="n"/>
      <c r="H299" s="37" t="n"/>
      <c r="I299" s="37" t="n"/>
      <c r="J299" s="39" t="n"/>
      <c r="K299" s="37" t="n"/>
      <c r="L299" s="10">
        <f>IF(N(J299)=0,"",IF(J299&gt;0,set_WIPAsset,IF(I299="Cost",IF(K299="","(set the P&amp;L Account)",K299),IF(K299="",set_WIPIncome,K299))))</f>
        <v/>
      </c>
      <c r="M299" s="10">
        <f>IF(N(J299)=0,"",IF(J299&gt;0,IF(I299="Cost",IF(K299="","(set the P&amp;L Account)",K299),IF(K299="",set_WIPIncome,K299)),set_WIPAsset))</f>
        <v/>
      </c>
      <c r="N299" s="11">
        <f>IF(N(J299)=0,"",ABS(J299))</f>
        <v/>
      </c>
      <c r="O299" s="10">
        <f>IF(N(J299)=0,"","WIP "&amp;H299&amp;IF(B299="",""," - "&amp;B299)&amp;IF(D299="",""," - "&amp;D299)&amp;IF(A299="",""," - "&amp;TEXT(A299,"mmm yyyy")))</f>
        <v/>
      </c>
      <c r="P299" s="37" t="n"/>
      <c r="Q299" s="37" t="n"/>
      <c r="R299" s="37" t="n"/>
    </row>
    <row r="300">
      <c r="A300" s="44" t="n"/>
      <c r="B300" s="37" t="n"/>
      <c r="C300" s="10">
        <f>IF(B300="","",IF(COUNTIF(lst_Jobs,B300&amp;"")&gt;0,"OK","CHECK"))</f>
        <v/>
      </c>
      <c r="D300" s="10">
        <f>IF(B300="","",IFERROR(INDEX(tbl_Finance[Client],MATCH(B300&amp;"",tbl_Finance[Job Number],0)),""))</f>
        <v/>
      </c>
      <c r="E300" s="37" t="n"/>
      <c r="F300" s="37" t="n"/>
      <c r="G300" s="37" t="n"/>
      <c r="H300" s="37" t="n"/>
      <c r="I300" s="37" t="n"/>
      <c r="J300" s="39" t="n"/>
      <c r="K300" s="37" t="n"/>
      <c r="L300" s="10">
        <f>IF(N(J300)=0,"",IF(J300&gt;0,set_WIPAsset,IF(I300="Cost",IF(K300="","(set the P&amp;L Account)",K300),IF(K300="",set_WIPIncome,K300))))</f>
        <v/>
      </c>
      <c r="M300" s="10">
        <f>IF(N(J300)=0,"",IF(J300&gt;0,IF(I300="Cost",IF(K300="","(set the P&amp;L Account)",K300),IF(K300="",set_WIPIncome,K300)),set_WIPAsset))</f>
        <v/>
      </c>
      <c r="N300" s="11">
        <f>IF(N(J300)=0,"",ABS(J300))</f>
        <v/>
      </c>
      <c r="O300" s="10">
        <f>IF(N(J300)=0,"","WIP "&amp;H300&amp;IF(B300="",""," - "&amp;B300)&amp;IF(D300="",""," - "&amp;D300)&amp;IF(A300="",""," - "&amp;TEXT(A300,"mmm yyyy")))</f>
        <v/>
      </c>
      <c r="P300" s="37" t="n"/>
      <c r="Q300" s="37" t="n"/>
      <c r="R300" s="37" t="n"/>
    </row>
    <row r="301">
      <c r="A301" s="44" t="n"/>
      <c r="B301" s="37" t="n"/>
      <c r="C301" s="10">
        <f>IF(B301="","",IF(COUNTIF(lst_Jobs,B301&amp;"")&gt;0,"OK","CHECK"))</f>
        <v/>
      </c>
      <c r="D301" s="10">
        <f>IF(B301="","",IFERROR(INDEX(tbl_Finance[Client],MATCH(B301&amp;"",tbl_Finance[Job Number],0)),""))</f>
        <v/>
      </c>
      <c r="E301" s="37" t="n"/>
      <c r="F301" s="37" t="n"/>
      <c r="G301" s="37" t="n"/>
      <c r="H301" s="37" t="n"/>
      <c r="I301" s="37" t="n"/>
      <c r="J301" s="39" t="n"/>
      <c r="K301" s="37" t="n"/>
      <c r="L301" s="10">
        <f>IF(N(J301)=0,"",IF(J301&gt;0,set_WIPAsset,IF(I301="Cost",IF(K301="","(set the P&amp;L Account)",K301),IF(K301="",set_WIPIncome,K301))))</f>
        <v/>
      </c>
      <c r="M301" s="10">
        <f>IF(N(J301)=0,"",IF(J301&gt;0,IF(I301="Cost",IF(K301="","(set the P&amp;L Account)",K301),IF(K301="",set_WIPIncome,K301)),set_WIPAsset))</f>
        <v/>
      </c>
      <c r="N301" s="11">
        <f>IF(N(J301)=0,"",ABS(J301))</f>
        <v/>
      </c>
      <c r="O301" s="10">
        <f>IF(N(J301)=0,"","WIP "&amp;H301&amp;IF(B301="",""," - "&amp;B301)&amp;IF(D301="",""," - "&amp;D301)&amp;IF(A301="",""," - "&amp;TEXT(A301,"mmm yyyy")))</f>
        <v/>
      </c>
      <c r="P301" s="37" t="n"/>
      <c r="Q301" s="37" t="n"/>
      <c r="R301" s="37" t="n"/>
    </row>
    <row r="302">
      <c r="A302" s="44" t="n"/>
      <c r="B302" s="37" t="n"/>
      <c r="C302" s="10">
        <f>IF(B302="","",IF(COUNTIF(lst_Jobs,B302&amp;"")&gt;0,"OK","CHECK"))</f>
        <v/>
      </c>
      <c r="D302" s="10">
        <f>IF(B302="","",IFERROR(INDEX(tbl_Finance[Client],MATCH(B302&amp;"",tbl_Finance[Job Number],0)),""))</f>
        <v/>
      </c>
      <c r="E302" s="37" t="n"/>
      <c r="F302" s="37" t="n"/>
      <c r="G302" s="37" t="n"/>
      <c r="H302" s="37" t="n"/>
      <c r="I302" s="37" t="n"/>
      <c r="J302" s="39" t="n"/>
      <c r="K302" s="37" t="n"/>
      <c r="L302" s="10">
        <f>IF(N(J302)=0,"",IF(J302&gt;0,set_WIPAsset,IF(I302="Cost",IF(K302="","(set the P&amp;L Account)",K302),IF(K302="",set_WIPIncome,K302))))</f>
        <v/>
      </c>
      <c r="M302" s="10">
        <f>IF(N(J302)=0,"",IF(J302&gt;0,IF(I302="Cost",IF(K302="","(set the P&amp;L Account)",K302),IF(K302="",set_WIPIncome,K302)),set_WIPAsset))</f>
        <v/>
      </c>
      <c r="N302" s="11">
        <f>IF(N(J302)=0,"",ABS(J302))</f>
        <v/>
      </c>
      <c r="O302" s="10">
        <f>IF(N(J302)=0,"","WIP "&amp;H302&amp;IF(B302="",""," - "&amp;B302)&amp;IF(D302="",""," - "&amp;D302)&amp;IF(A302="",""," - "&amp;TEXT(A302,"mmm yyyy")))</f>
        <v/>
      </c>
      <c r="P302" s="37" t="n"/>
      <c r="Q302" s="37" t="n"/>
      <c r="R302" s="37" t="n"/>
    </row>
    <row r="303">
      <c r="A303" s="44" t="n"/>
      <c r="B303" s="37" t="n"/>
      <c r="C303" s="10">
        <f>IF(B303="","",IF(COUNTIF(lst_Jobs,B303&amp;"")&gt;0,"OK","CHECK"))</f>
        <v/>
      </c>
      <c r="D303" s="10">
        <f>IF(B303="","",IFERROR(INDEX(tbl_Finance[Client],MATCH(B303&amp;"",tbl_Finance[Job Number],0)),""))</f>
        <v/>
      </c>
      <c r="E303" s="37" t="n"/>
      <c r="F303" s="37" t="n"/>
      <c r="G303" s="37" t="n"/>
      <c r="H303" s="37" t="n"/>
      <c r="I303" s="37" t="n"/>
      <c r="J303" s="39" t="n"/>
      <c r="K303" s="37" t="n"/>
      <c r="L303" s="10">
        <f>IF(N(J303)=0,"",IF(J303&gt;0,set_WIPAsset,IF(I303="Cost",IF(K303="","(set the P&amp;L Account)",K303),IF(K303="",set_WIPIncome,K303))))</f>
        <v/>
      </c>
      <c r="M303" s="10">
        <f>IF(N(J303)=0,"",IF(J303&gt;0,IF(I303="Cost",IF(K303="","(set the P&amp;L Account)",K303),IF(K303="",set_WIPIncome,K303)),set_WIPAsset))</f>
        <v/>
      </c>
      <c r="N303" s="11">
        <f>IF(N(J303)=0,"",ABS(J303))</f>
        <v/>
      </c>
      <c r="O303" s="10">
        <f>IF(N(J303)=0,"","WIP "&amp;H303&amp;IF(B303="",""," - "&amp;B303)&amp;IF(D303="",""," - "&amp;D303)&amp;IF(A303="",""," - "&amp;TEXT(A303,"mmm yyyy")))</f>
        <v/>
      </c>
      <c r="P303" s="37" t="n"/>
      <c r="Q303" s="37" t="n"/>
      <c r="R303" s="37" t="n"/>
    </row>
    <row r="304">
      <c r="A304" s="44" t="n"/>
      <c r="B304" s="37" t="n"/>
      <c r="C304" s="10">
        <f>IF(B304="","",IF(COUNTIF(lst_Jobs,B304&amp;"")&gt;0,"OK","CHECK"))</f>
        <v/>
      </c>
      <c r="D304" s="10">
        <f>IF(B304="","",IFERROR(INDEX(tbl_Finance[Client],MATCH(B304&amp;"",tbl_Finance[Job Number],0)),""))</f>
        <v/>
      </c>
      <c r="E304" s="37" t="n"/>
      <c r="F304" s="37" t="n"/>
      <c r="G304" s="37" t="n"/>
      <c r="H304" s="37" t="n"/>
      <c r="I304" s="37" t="n"/>
      <c r="J304" s="39" t="n"/>
      <c r="K304" s="37" t="n"/>
      <c r="L304" s="10">
        <f>IF(N(J304)=0,"",IF(J304&gt;0,set_WIPAsset,IF(I304="Cost",IF(K304="","(set the P&amp;L Account)",K304),IF(K304="",set_WIPIncome,K304))))</f>
        <v/>
      </c>
      <c r="M304" s="10">
        <f>IF(N(J304)=0,"",IF(J304&gt;0,IF(I304="Cost",IF(K304="","(set the P&amp;L Account)",K304),IF(K304="",set_WIPIncome,K304)),set_WIPAsset))</f>
        <v/>
      </c>
      <c r="N304" s="11">
        <f>IF(N(J304)=0,"",ABS(J304))</f>
        <v/>
      </c>
      <c r="O304" s="10">
        <f>IF(N(J304)=0,"","WIP "&amp;H304&amp;IF(B304="",""," - "&amp;B304)&amp;IF(D304="",""," - "&amp;D304)&amp;IF(A304="",""," - "&amp;TEXT(A304,"mmm yyyy")))</f>
        <v/>
      </c>
      <c r="P304" s="37" t="n"/>
      <c r="Q304" s="37" t="n"/>
      <c r="R304" s="37" t="n"/>
    </row>
  </sheetData>
  <sheetProtection selectLockedCells="0" selectUnlockedCells="0" sheet="1" objects="0" insertRows="1" insertHyperlinks="1" autoFilter="0" scenarios="0" formatColumns="0" deleteColumns="1" insertColumns="1" pivotTables="1" deleteRows="1" formatCells="1" formatRows="0" sort="1" password="DE92"/>
  <mergeCells count="1">
    <mergeCell ref="A3:L3"/>
  </mergeCells>
  <conditionalFormatting sqref="C5:C304">
    <cfRule type="expression" priority="1" dxfId="1">
      <formula>C5="CHECK"</formula>
    </cfRule>
  </conditionalFormatting>
  <conditionalFormatting sqref="Q5:Q304">
    <cfRule type="expression" priority="2" dxfId="1">
      <formula>Q5="N"</formula>
    </cfRule>
  </conditionalFormatting>
  <dataValidations count="5">
    <dataValidation sqref="A5:A304" showDropDown="0" showInputMessage="0" showErrorMessage="0" allowBlank="1" type="list">
      <formula1>lst_Months</formula1>
    </dataValidation>
    <dataValidation sqref="E5:E304" showDropDown="0" showInputMessage="0" showErrorMessage="0" allowBlank="1" type="list">
      <formula1>lst_CostCentre</formula1>
    </dataValidation>
    <dataValidation sqref="H5:H304" showDropDown="0" showInputMessage="0" showErrorMessage="0" allowBlank="1" type="list">
      <formula1>lst_WIPType</formula1>
    </dataValidation>
    <dataValidation sqref="I5:I304" showDropDown="0" showInputMessage="0" showErrorMessage="0" allowBlank="1" type="list">
      <formula1>lst_RevCost</formula1>
    </dataValidation>
    <dataValidation sqref="Q5:Q304" showDropDown="0" showInputMessage="0" showErrorMessage="0" allowBlank="1" type="list">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1509"/>
  <sheetViews>
    <sheetView workbookViewId="0">
      <pane ySplit="13" topLeftCell="A14" activePane="bottomLeft" state="frozen"/>
      <selection pane="bottomLeft" activeCell="A1" sqref="A1"/>
    </sheetView>
  </sheetViews>
  <sheetFormatPr baseColWidth="8" defaultRowHeight="15"/>
  <cols>
    <col width="44" customWidth="1" min="1" max="1"/>
    <col width="36" customWidth="1" min="2" max="2"/>
    <col width="14" customWidth="1" min="3" max="3"/>
    <col width="14" customWidth="1" min="4" max="4"/>
    <col width="14" customWidth="1" min="5" max="5"/>
    <col width="10" customWidth="1" min="6" max="6"/>
    <col width="16" customWidth="1" min="7" max="7"/>
    <col width="14" customWidth="1" min="8" max="8"/>
  </cols>
  <sheetData>
    <row r="1">
      <c r="A1" s="1" t="inlineStr">
        <is>
          <t>WIP Balance by Job</t>
        </is>
      </c>
    </row>
    <row r="2" ht="30" customHeight="1">
      <c r="A2" s="4" t="inlineStr">
        <is>
          <t>Job-level WIP for the month selected on Month-End. Paste the matching balance from the WIP Schedule file into column G and the variance shows which job is out.</t>
        </is>
      </c>
    </row>
    <row r="4">
      <c r="A4" t="inlineStr">
        <is>
          <t>Month</t>
        </is>
      </c>
      <c r="C4" s="45">
        <f>'Month-End'!C4</f>
        <v/>
      </c>
      <c r="D4" t="inlineStr">
        <is>
          <t>&lt;- set this on the Month-End sheet</t>
        </is>
      </c>
    </row>
    <row r="6">
      <c r="A6" t="inlineStr">
        <is>
          <t>Opening total</t>
        </is>
      </c>
      <c r="B6" s="46">
        <f>SUMIFS(tbl_WIP[Amount],tbl_WIP[Month],"&lt;"&amp;$C$4)</f>
        <v/>
      </c>
    </row>
    <row r="7">
      <c r="A7" t="inlineStr">
        <is>
          <t>Movement this month</t>
        </is>
      </c>
      <c r="B7" s="46">
        <f>SUMIFS(tbl_WIP[Amount],tbl_WIP[Month],$C$4)</f>
        <v/>
      </c>
    </row>
    <row r="8">
      <c r="A8" t="inlineStr">
        <is>
          <t>Closing total</t>
        </is>
      </c>
      <c r="B8" s="46">
        <f>B6+B7</f>
        <v/>
      </c>
    </row>
    <row r="9">
      <c r="A9" t="inlineStr">
        <is>
          <t>Of which is on a job Xero does not have - fix these</t>
        </is>
      </c>
      <c r="B9" s="46">
        <f>SUMIFS(tbl_WIP[Amount],tbl_WIP[Job in Xero?],"CHECK",tbl_WIP[Month],"&lt;="&amp;$C$4)</f>
        <v/>
      </c>
    </row>
    <row r="10">
      <c r="A10" t="inlineStr">
        <is>
          <t>Of which has no job number</t>
        </is>
      </c>
      <c r="B10" s="46">
        <f>SUMIFS(tbl_WIP[Amount],tbl_WIP[Job Number],"",tbl_WIP[Month],"&lt;="&amp;$C$4)</f>
        <v/>
      </c>
    </row>
    <row r="11">
      <c r="A11" t="inlineStr">
        <is>
          <t>Closing listed below, job by job</t>
        </is>
      </c>
      <c r="B11" s="46">
        <f>B8-B9-B10</f>
        <v/>
      </c>
    </row>
    <row r="13">
      <c r="A13" s="8" t="inlineStr">
        <is>
          <t>Job Number</t>
        </is>
      </c>
      <c r="B13" s="8" t="inlineStr">
        <is>
          <t>Job Name (Xero)</t>
        </is>
      </c>
      <c r="C13" s="8" t="inlineStr">
        <is>
          <t>Opening</t>
        </is>
      </c>
      <c r="D13" s="8" t="inlineStr">
        <is>
          <t>Movement</t>
        </is>
      </c>
      <c r="E13" s="8" t="inlineStr">
        <is>
          <t>Closing</t>
        </is>
      </c>
      <c r="F13" s="8" t="inlineStr">
        <is>
          <t>Any balance?</t>
        </is>
      </c>
      <c r="G13" s="36" t="inlineStr">
        <is>
          <t>Per WIP Schedule (paste in)</t>
        </is>
      </c>
      <c r="H13" s="8" t="inlineStr">
        <is>
          <t>Variance</t>
        </is>
      </c>
    </row>
    <row r="14">
      <c r="A14" s="10">
        <f>IF(INDEX(lst_Jobs,1)="","",INDEX(lst_Jobs,1)&amp;"")</f>
        <v/>
      </c>
      <c r="B14" s="10">
        <f>IF(A14="","",INDEX(lst_JobName,1)&amp;"")</f>
        <v/>
      </c>
      <c r="C14" s="11">
        <f>IF(A14="","",SUMIFS(tbl_WIP[Amount],tbl_WIP[Job Number],A14,tbl_WIP[Month],"&lt;"&amp;$C$4))</f>
        <v/>
      </c>
      <c r="D14" s="11">
        <f>IF(A14="","",SUMIFS(tbl_WIP[Amount],tbl_WIP[Job Number],A14,tbl_WIP[Month],$C$4))</f>
        <v/>
      </c>
      <c r="E14" s="11">
        <f>IF(A14="","",C14+D14)</f>
        <v/>
      </c>
      <c r="F14" s="10">
        <f>IF(A14="","",IF(AND(ROUND(C14,2)=0,ROUND(D14,2)=0),"","yes"))</f>
        <v/>
      </c>
      <c r="G14" s="39" t="n"/>
      <c r="H14" s="11">
        <f>IF(OR(A14="",G14=""),"",E14-G14)</f>
        <v/>
      </c>
    </row>
    <row r="15">
      <c r="A15" s="10">
        <f>IF(INDEX(lst_Jobs,2)="","",INDEX(lst_Jobs,2)&amp;"")</f>
        <v/>
      </c>
      <c r="B15" s="10">
        <f>IF(A15="","",INDEX(lst_JobName,2)&amp;"")</f>
        <v/>
      </c>
      <c r="C15" s="11">
        <f>IF(A15="","",SUMIFS(tbl_WIP[Amount],tbl_WIP[Job Number],A15,tbl_WIP[Month],"&lt;"&amp;$C$4))</f>
        <v/>
      </c>
      <c r="D15" s="11">
        <f>IF(A15="","",SUMIFS(tbl_WIP[Amount],tbl_WIP[Job Number],A15,tbl_WIP[Month],$C$4))</f>
        <v/>
      </c>
      <c r="E15" s="11">
        <f>IF(A15="","",C15+D15)</f>
        <v/>
      </c>
      <c r="F15" s="10">
        <f>IF(A15="","",IF(AND(ROUND(C15,2)=0,ROUND(D15,2)=0),"","yes"))</f>
        <v/>
      </c>
      <c r="G15" s="39" t="n"/>
      <c r="H15" s="11">
        <f>IF(OR(A15="",G15=""),"",E15-G15)</f>
        <v/>
      </c>
    </row>
    <row r="16">
      <c r="A16" s="10">
        <f>IF(INDEX(lst_Jobs,3)="","",INDEX(lst_Jobs,3)&amp;"")</f>
        <v/>
      </c>
      <c r="B16" s="10">
        <f>IF(A16="","",INDEX(lst_JobName,3)&amp;"")</f>
        <v/>
      </c>
      <c r="C16" s="11">
        <f>IF(A16="","",SUMIFS(tbl_WIP[Amount],tbl_WIP[Job Number],A16,tbl_WIP[Month],"&lt;"&amp;$C$4))</f>
        <v/>
      </c>
      <c r="D16" s="11">
        <f>IF(A16="","",SUMIFS(tbl_WIP[Amount],tbl_WIP[Job Number],A16,tbl_WIP[Month],$C$4))</f>
        <v/>
      </c>
      <c r="E16" s="11">
        <f>IF(A16="","",C16+D16)</f>
        <v/>
      </c>
      <c r="F16" s="10">
        <f>IF(A16="","",IF(AND(ROUND(C16,2)=0,ROUND(D16,2)=0),"","yes"))</f>
        <v/>
      </c>
      <c r="G16" s="39" t="n"/>
      <c r="H16" s="11">
        <f>IF(OR(A16="",G16=""),"",E16-G16)</f>
        <v/>
      </c>
    </row>
    <row r="17">
      <c r="A17" s="10">
        <f>IF(INDEX(lst_Jobs,4)="","",INDEX(lst_Jobs,4)&amp;"")</f>
        <v/>
      </c>
      <c r="B17" s="10">
        <f>IF(A17="","",INDEX(lst_JobName,4)&amp;"")</f>
        <v/>
      </c>
      <c r="C17" s="11">
        <f>IF(A17="","",SUMIFS(tbl_WIP[Amount],tbl_WIP[Job Number],A17,tbl_WIP[Month],"&lt;"&amp;$C$4))</f>
        <v/>
      </c>
      <c r="D17" s="11">
        <f>IF(A17="","",SUMIFS(tbl_WIP[Amount],tbl_WIP[Job Number],A17,tbl_WIP[Month],$C$4))</f>
        <v/>
      </c>
      <c r="E17" s="11">
        <f>IF(A17="","",C17+D17)</f>
        <v/>
      </c>
      <c r="F17" s="10">
        <f>IF(A17="","",IF(AND(ROUND(C17,2)=0,ROUND(D17,2)=0),"","yes"))</f>
        <v/>
      </c>
      <c r="G17" s="39" t="n"/>
      <c r="H17" s="11">
        <f>IF(OR(A17="",G17=""),"",E17-G17)</f>
        <v/>
      </c>
    </row>
    <row r="18">
      <c r="A18" s="10">
        <f>IF(INDEX(lst_Jobs,5)="","",INDEX(lst_Jobs,5)&amp;"")</f>
        <v/>
      </c>
      <c r="B18" s="10">
        <f>IF(A18="","",INDEX(lst_JobName,5)&amp;"")</f>
        <v/>
      </c>
      <c r="C18" s="11">
        <f>IF(A18="","",SUMIFS(tbl_WIP[Amount],tbl_WIP[Job Number],A18,tbl_WIP[Month],"&lt;"&amp;$C$4))</f>
        <v/>
      </c>
      <c r="D18" s="11">
        <f>IF(A18="","",SUMIFS(tbl_WIP[Amount],tbl_WIP[Job Number],A18,tbl_WIP[Month],$C$4))</f>
        <v/>
      </c>
      <c r="E18" s="11">
        <f>IF(A18="","",C18+D18)</f>
        <v/>
      </c>
      <c r="F18" s="10">
        <f>IF(A18="","",IF(AND(ROUND(C18,2)=0,ROUND(D18,2)=0),"","yes"))</f>
        <v/>
      </c>
      <c r="G18" s="39" t="n"/>
      <c r="H18" s="11">
        <f>IF(OR(A18="",G18=""),"",E18-G18)</f>
        <v/>
      </c>
    </row>
    <row r="19">
      <c r="A19" s="10">
        <f>IF(INDEX(lst_Jobs,6)="","",INDEX(lst_Jobs,6)&amp;"")</f>
        <v/>
      </c>
      <c r="B19" s="10">
        <f>IF(A19="","",INDEX(lst_JobName,6)&amp;"")</f>
        <v/>
      </c>
      <c r="C19" s="11">
        <f>IF(A19="","",SUMIFS(tbl_WIP[Amount],tbl_WIP[Job Number],A19,tbl_WIP[Month],"&lt;"&amp;$C$4))</f>
        <v/>
      </c>
      <c r="D19" s="11">
        <f>IF(A19="","",SUMIFS(tbl_WIP[Amount],tbl_WIP[Job Number],A19,tbl_WIP[Month],$C$4))</f>
        <v/>
      </c>
      <c r="E19" s="11">
        <f>IF(A19="","",C19+D19)</f>
        <v/>
      </c>
      <c r="F19" s="10">
        <f>IF(A19="","",IF(AND(ROUND(C19,2)=0,ROUND(D19,2)=0),"","yes"))</f>
        <v/>
      </c>
      <c r="G19" s="39" t="n"/>
      <c r="H19" s="11">
        <f>IF(OR(A19="",G19=""),"",E19-G19)</f>
        <v/>
      </c>
    </row>
    <row r="20">
      <c r="A20" s="10">
        <f>IF(INDEX(lst_Jobs,7)="","",INDEX(lst_Jobs,7)&amp;"")</f>
        <v/>
      </c>
      <c r="B20" s="10">
        <f>IF(A20="","",INDEX(lst_JobName,7)&amp;"")</f>
        <v/>
      </c>
      <c r="C20" s="11">
        <f>IF(A20="","",SUMIFS(tbl_WIP[Amount],tbl_WIP[Job Number],A20,tbl_WIP[Month],"&lt;"&amp;$C$4))</f>
        <v/>
      </c>
      <c r="D20" s="11">
        <f>IF(A20="","",SUMIFS(tbl_WIP[Amount],tbl_WIP[Job Number],A20,tbl_WIP[Month],$C$4))</f>
        <v/>
      </c>
      <c r="E20" s="11">
        <f>IF(A20="","",C20+D20)</f>
        <v/>
      </c>
      <c r="F20" s="10">
        <f>IF(A20="","",IF(AND(ROUND(C20,2)=0,ROUND(D20,2)=0),"","yes"))</f>
        <v/>
      </c>
      <c r="G20" s="39" t="n"/>
      <c r="H20" s="11">
        <f>IF(OR(A20="",G20=""),"",E20-G20)</f>
        <v/>
      </c>
    </row>
    <row r="21">
      <c r="A21" s="10">
        <f>IF(INDEX(lst_Jobs,8)="","",INDEX(lst_Jobs,8)&amp;"")</f>
        <v/>
      </c>
      <c r="B21" s="10">
        <f>IF(A21="","",INDEX(lst_JobName,8)&amp;"")</f>
        <v/>
      </c>
      <c r="C21" s="11">
        <f>IF(A21="","",SUMIFS(tbl_WIP[Amount],tbl_WIP[Job Number],A21,tbl_WIP[Month],"&lt;"&amp;$C$4))</f>
        <v/>
      </c>
      <c r="D21" s="11">
        <f>IF(A21="","",SUMIFS(tbl_WIP[Amount],tbl_WIP[Job Number],A21,tbl_WIP[Month],$C$4))</f>
        <v/>
      </c>
      <c r="E21" s="11">
        <f>IF(A21="","",C21+D21)</f>
        <v/>
      </c>
      <c r="F21" s="10">
        <f>IF(A21="","",IF(AND(ROUND(C21,2)=0,ROUND(D21,2)=0),"","yes"))</f>
        <v/>
      </c>
      <c r="G21" s="39" t="n"/>
      <c r="H21" s="11">
        <f>IF(OR(A21="",G21=""),"",E21-G21)</f>
        <v/>
      </c>
    </row>
    <row r="22">
      <c r="A22" s="10">
        <f>IF(INDEX(lst_Jobs,9)="","",INDEX(lst_Jobs,9)&amp;"")</f>
        <v/>
      </c>
      <c r="B22" s="10">
        <f>IF(A22="","",INDEX(lst_JobName,9)&amp;"")</f>
        <v/>
      </c>
      <c r="C22" s="11">
        <f>IF(A22="","",SUMIFS(tbl_WIP[Amount],tbl_WIP[Job Number],A22,tbl_WIP[Month],"&lt;"&amp;$C$4))</f>
        <v/>
      </c>
      <c r="D22" s="11">
        <f>IF(A22="","",SUMIFS(tbl_WIP[Amount],tbl_WIP[Job Number],A22,tbl_WIP[Month],$C$4))</f>
        <v/>
      </c>
      <c r="E22" s="11">
        <f>IF(A22="","",C22+D22)</f>
        <v/>
      </c>
      <c r="F22" s="10">
        <f>IF(A22="","",IF(AND(ROUND(C22,2)=0,ROUND(D22,2)=0),"","yes"))</f>
        <v/>
      </c>
      <c r="G22" s="39" t="n"/>
      <c r="H22" s="11">
        <f>IF(OR(A22="",G22=""),"",E22-G22)</f>
        <v/>
      </c>
    </row>
    <row r="23">
      <c r="A23" s="10">
        <f>IF(INDEX(lst_Jobs,10)="","",INDEX(lst_Jobs,10)&amp;"")</f>
        <v/>
      </c>
      <c r="B23" s="10">
        <f>IF(A23="","",INDEX(lst_JobName,10)&amp;"")</f>
        <v/>
      </c>
      <c r="C23" s="11">
        <f>IF(A23="","",SUMIFS(tbl_WIP[Amount],tbl_WIP[Job Number],A23,tbl_WIP[Month],"&lt;"&amp;$C$4))</f>
        <v/>
      </c>
      <c r="D23" s="11">
        <f>IF(A23="","",SUMIFS(tbl_WIP[Amount],tbl_WIP[Job Number],A23,tbl_WIP[Month],$C$4))</f>
        <v/>
      </c>
      <c r="E23" s="11">
        <f>IF(A23="","",C23+D23)</f>
        <v/>
      </c>
      <c r="F23" s="10">
        <f>IF(A23="","",IF(AND(ROUND(C23,2)=0,ROUND(D23,2)=0),"","yes"))</f>
        <v/>
      </c>
      <c r="G23" s="39" t="n"/>
      <c r="H23" s="11">
        <f>IF(OR(A23="",G23=""),"",E23-G23)</f>
        <v/>
      </c>
    </row>
    <row r="24">
      <c r="A24" s="10">
        <f>IF(INDEX(lst_Jobs,11)="","",INDEX(lst_Jobs,11)&amp;"")</f>
        <v/>
      </c>
      <c r="B24" s="10">
        <f>IF(A24="","",INDEX(lst_JobName,11)&amp;"")</f>
        <v/>
      </c>
      <c r="C24" s="11">
        <f>IF(A24="","",SUMIFS(tbl_WIP[Amount],tbl_WIP[Job Number],A24,tbl_WIP[Month],"&lt;"&amp;$C$4))</f>
        <v/>
      </c>
      <c r="D24" s="11">
        <f>IF(A24="","",SUMIFS(tbl_WIP[Amount],tbl_WIP[Job Number],A24,tbl_WIP[Month],$C$4))</f>
        <v/>
      </c>
      <c r="E24" s="11">
        <f>IF(A24="","",C24+D24)</f>
        <v/>
      </c>
      <c r="F24" s="10">
        <f>IF(A24="","",IF(AND(ROUND(C24,2)=0,ROUND(D24,2)=0),"","yes"))</f>
        <v/>
      </c>
      <c r="G24" s="39" t="n"/>
      <c r="H24" s="11">
        <f>IF(OR(A24="",G24=""),"",E24-G24)</f>
        <v/>
      </c>
    </row>
    <row r="25">
      <c r="A25" s="10">
        <f>IF(INDEX(lst_Jobs,12)="","",INDEX(lst_Jobs,12)&amp;"")</f>
        <v/>
      </c>
      <c r="B25" s="10">
        <f>IF(A25="","",INDEX(lst_JobName,12)&amp;"")</f>
        <v/>
      </c>
      <c r="C25" s="11">
        <f>IF(A25="","",SUMIFS(tbl_WIP[Amount],tbl_WIP[Job Number],A25,tbl_WIP[Month],"&lt;"&amp;$C$4))</f>
        <v/>
      </c>
      <c r="D25" s="11">
        <f>IF(A25="","",SUMIFS(tbl_WIP[Amount],tbl_WIP[Job Number],A25,tbl_WIP[Month],$C$4))</f>
        <v/>
      </c>
      <c r="E25" s="11">
        <f>IF(A25="","",C25+D25)</f>
        <v/>
      </c>
      <c r="F25" s="10">
        <f>IF(A25="","",IF(AND(ROUND(C25,2)=0,ROUND(D25,2)=0),"","yes"))</f>
        <v/>
      </c>
      <c r="G25" s="39" t="n"/>
      <c r="H25" s="11">
        <f>IF(OR(A25="",G25=""),"",E25-G25)</f>
        <v/>
      </c>
    </row>
    <row r="26">
      <c r="A26" s="10">
        <f>IF(INDEX(lst_Jobs,13)="","",INDEX(lst_Jobs,13)&amp;"")</f>
        <v/>
      </c>
      <c r="B26" s="10">
        <f>IF(A26="","",INDEX(lst_JobName,13)&amp;"")</f>
        <v/>
      </c>
      <c r="C26" s="11">
        <f>IF(A26="","",SUMIFS(tbl_WIP[Amount],tbl_WIP[Job Number],A26,tbl_WIP[Month],"&lt;"&amp;$C$4))</f>
        <v/>
      </c>
      <c r="D26" s="11">
        <f>IF(A26="","",SUMIFS(tbl_WIP[Amount],tbl_WIP[Job Number],A26,tbl_WIP[Month],$C$4))</f>
        <v/>
      </c>
      <c r="E26" s="11">
        <f>IF(A26="","",C26+D26)</f>
        <v/>
      </c>
      <c r="F26" s="10">
        <f>IF(A26="","",IF(AND(ROUND(C26,2)=0,ROUND(D26,2)=0),"","yes"))</f>
        <v/>
      </c>
      <c r="G26" s="39" t="n"/>
      <c r="H26" s="11">
        <f>IF(OR(A26="",G26=""),"",E26-G26)</f>
        <v/>
      </c>
    </row>
    <row r="27">
      <c r="A27" s="10">
        <f>IF(INDEX(lst_Jobs,14)="","",INDEX(lst_Jobs,14)&amp;"")</f>
        <v/>
      </c>
      <c r="B27" s="10">
        <f>IF(A27="","",INDEX(lst_JobName,14)&amp;"")</f>
        <v/>
      </c>
      <c r="C27" s="11">
        <f>IF(A27="","",SUMIFS(tbl_WIP[Amount],tbl_WIP[Job Number],A27,tbl_WIP[Month],"&lt;"&amp;$C$4))</f>
        <v/>
      </c>
      <c r="D27" s="11">
        <f>IF(A27="","",SUMIFS(tbl_WIP[Amount],tbl_WIP[Job Number],A27,tbl_WIP[Month],$C$4))</f>
        <v/>
      </c>
      <c r="E27" s="11">
        <f>IF(A27="","",C27+D27)</f>
        <v/>
      </c>
      <c r="F27" s="10">
        <f>IF(A27="","",IF(AND(ROUND(C27,2)=0,ROUND(D27,2)=0),"","yes"))</f>
        <v/>
      </c>
      <c r="G27" s="39" t="n"/>
      <c r="H27" s="11">
        <f>IF(OR(A27="",G27=""),"",E27-G27)</f>
        <v/>
      </c>
    </row>
    <row r="28">
      <c r="A28" s="10">
        <f>IF(INDEX(lst_Jobs,15)="","",INDEX(lst_Jobs,15)&amp;"")</f>
        <v/>
      </c>
      <c r="B28" s="10">
        <f>IF(A28="","",INDEX(lst_JobName,15)&amp;"")</f>
        <v/>
      </c>
      <c r="C28" s="11">
        <f>IF(A28="","",SUMIFS(tbl_WIP[Amount],tbl_WIP[Job Number],A28,tbl_WIP[Month],"&lt;"&amp;$C$4))</f>
        <v/>
      </c>
      <c r="D28" s="11">
        <f>IF(A28="","",SUMIFS(tbl_WIP[Amount],tbl_WIP[Job Number],A28,tbl_WIP[Month],$C$4))</f>
        <v/>
      </c>
      <c r="E28" s="11">
        <f>IF(A28="","",C28+D28)</f>
        <v/>
      </c>
      <c r="F28" s="10">
        <f>IF(A28="","",IF(AND(ROUND(C28,2)=0,ROUND(D28,2)=0),"","yes"))</f>
        <v/>
      </c>
      <c r="G28" s="39" t="n"/>
      <c r="H28" s="11">
        <f>IF(OR(A28="",G28=""),"",E28-G28)</f>
        <v/>
      </c>
    </row>
    <row r="29">
      <c r="A29" s="10">
        <f>IF(INDEX(lst_Jobs,16)="","",INDEX(lst_Jobs,16)&amp;"")</f>
        <v/>
      </c>
      <c r="B29" s="10">
        <f>IF(A29="","",INDEX(lst_JobName,16)&amp;"")</f>
        <v/>
      </c>
      <c r="C29" s="11">
        <f>IF(A29="","",SUMIFS(tbl_WIP[Amount],tbl_WIP[Job Number],A29,tbl_WIP[Month],"&lt;"&amp;$C$4))</f>
        <v/>
      </c>
      <c r="D29" s="11">
        <f>IF(A29="","",SUMIFS(tbl_WIP[Amount],tbl_WIP[Job Number],A29,tbl_WIP[Month],$C$4))</f>
        <v/>
      </c>
      <c r="E29" s="11">
        <f>IF(A29="","",C29+D29)</f>
        <v/>
      </c>
      <c r="F29" s="10">
        <f>IF(A29="","",IF(AND(ROUND(C29,2)=0,ROUND(D29,2)=0),"","yes"))</f>
        <v/>
      </c>
      <c r="G29" s="39" t="n"/>
      <c r="H29" s="11">
        <f>IF(OR(A29="",G29=""),"",E29-G29)</f>
        <v/>
      </c>
    </row>
    <row r="30">
      <c r="A30" s="10">
        <f>IF(INDEX(lst_Jobs,17)="","",INDEX(lst_Jobs,17)&amp;"")</f>
        <v/>
      </c>
      <c r="B30" s="10">
        <f>IF(A30="","",INDEX(lst_JobName,17)&amp;"")</f>
        <v/>
      </c>
      <c r="C30" s="11">
        <f>IF(A30="","",SUMIFS(tbl_WIP[Amount],tbl_WIP[Job Number],A30,tbl_WIP[Month],"&lt;"&amp;$C$4))</f>
        <v/>
      </c>
      <c r="D30" s="11">
        <f>IF(A30="","",SUMIFS(tbl_WIP[Amount],tbl_WIP[Job Number],A30,tbl_WIP[Month],$C$4))</f>
        <v/>
      </c>
      <c r="E30" s="11">
        <f>IF(A30="","",C30+D30)</f>
        <v/>
      </c>
      <c r="F30" s="10">
        <f>IF(A30="","",IF(AND(ROUND(C30,2)=0,ROUND(D30,2)=0),"","yes"))</f>
        <v/>
      </c>
      <c r="G30" s="39" t="n"/>
      <c r="H30" s="11">
        <f>IF(OR(A30="",G30=""),"",E30-G30)</f>
        <v/>
      </c>
    </row>
    <row r="31">
      <c r="A31" s="10">
        <f>IF(INDEX(lst_Jobs,18)="","",INDEX(lst_Jobs,18)&amp;"")</f>
        <v/>
      </c>
      <c r="B31" s="10">
        <f>IF(A31="","",INDEX(lst_JobName,18)&amp;"")</f>
        <v/>
      </c>
      <c r="C31" s="11">
        <f>IF(A31="","",SUMIFS(tbl_WIP[Amount],tbl_WIP[Job Number],A31,tbl_WIP[Month],"&lt;"&amp;$C$4))</f>
        <v/>
      </c>
      <c r="D31" s="11">
        <f>IF(A31="","",SUMIFS(tbl_WIP[Amount],tbl_WIP[Job Number],A31,tbl_WIP[Month],$C$4))</f>
        <v/>
      </c>
      <c r="E31" s="11">
        <f>IF(A31="","",C31+D31)</f>
        <v/>
      </c>
      <c r="F31" s="10">
        <f>IF(A31="","",IF(AND(ROUND(C31,2)=0,ROUND(D31,2)=0),"","yes"))</f>
        <v/>
      </c>
      <c r="G31" s="39" t="n"/>
      <c r="H31" s="11">
        <f>IF(OR(A31="",G31=""),"",E31-G31)</f>
        <v/>
      </c>
    </row>
    <row r="32">
      <c r="A32" s="10">
        <f>IF(INDEX(lst_Jobs,19)="","",INDEX(lst_Jobs,19)&amp;"")</f>
        <v/>
      </c>
      <c r="B32" s="10">
        <f>IF(A32="","",INDEX(lst_JobName,19)&amp;"")</f>
        <v/>
      </c>
      <c r="C32" s="11">
        <f>IF(A32="","",SUMIFS(tbl_WIP[Amount],tbl_WIP[Job Number],A32,tbl_WIP[Month],"&lt;"&amp;$C$4))</f>
        <v/>
      </c>
      <c r="D32" s="11">
        <f>IF(A32="","",SUMIFS(tbl_WIP[Amount],tbl_WIP[Job Number],A32,tbl_WIP[Month],$C$4))</f>
        <v/>
      </c>
      <c r="E32" s="11">
        <f>IF(A32="","",C32+D32)</f>
        <v/>
      </c>
      <c r="F32" s="10">
        <f>IF(A32="","",IF(AND(ROUND(C32,2)=0,ROUND(D32,2)=0),"","yes"))</f>
        <v/>
      </c>
      <c r="G32" s="39" t="n"/>
      <c r="H32" s="11">
        <f>IF(OR(A32="",G32=""),"",E32-G32)</f>
        <v/>
      </c>
    </row>
    <row r="33">
      <c r="A33" s="10">
        <f>IF(INDEX(lst_Jobs,20)="","",INDEX(lst_Jobs,20)&amp;"")</f>
        <v/>
      </c>
      <c r="B33" s="10">
        <f>IF(A33="","",INDEX(lst_JobName,20)&amp;"")</f>
        <v/>
      </c>
      <c r="C33" s="11">
        <f>IF(A33="","",SUMIFS(tbl_WIP[Amount],tbl_WIP[Job Number],A33,tbl_WIP[Month],"&lt;"&amp;$C$4))</f>
        <v/>
      </c>
      <c r="D33" s="11">
        <f>IF(A33="","",SUMIFS(tbl_WIP[Amount],tbl_WIP[Job Number],A33,tbl_WIP[Month],$C$4))</f>
        <v/>
      </c>
      <c r="E33" s="11">
        <f>IF(A33="","",C33+D33)</f>
        <v/>
      </c>
      <c r="F33" s="10">
        <f>IF(A33="","",IF(AND(ROUND(C33,2)=0,ROUND(D33,2)=0),"","yes"))</f>
        <v/>
      </c>
      <c r="G33" s="39" t="n"/>
      <c r="H33" s="11">
        <f>IF(OR(A33="",G33=""),"",E33-G33)</f>
        <v/>
      </c>
    </row>
    <row r="34">
      <c r="A34" s="10">
        <f>IF(INDEX(lst_Jobs,21)="","",INDEX(lst_Jobs,21)&amp;"")</f>
        <v/>
      </c>
      <c r="B34" s="10">
        <f>IF(A34="","",INDEX(lst_JobName,21)&amp;"")</f>
        <v/>
      </c>
      <c r="C34" s="11">
        <f>IF(A34="","",SUMIFS(tbl_WIP[Amount],tbl_WIP[Job Number],A34,tbl_WIP[Month],"&lt;"&amp;$C$4))</f>
        <v/>
      </c>
      <c r="D34" s="11">
        <f>IF(A34="","",SUMIFS(tbl_WIP[Amount],tbl_WIP[Job Number],A34,tbl_WIP[Month],$C$4))</f>
        <v/>
      </c>
      <c r="E34" s="11">
        <f>IF(A34="","",C34+D34)</f>
        <v/>
      </c>
      <c r="F34" s="10">
        <f>IF(A34="","",IF(AND(ROUND(C34,2)=0,ROUND(D34,2)=0),"","yes"))</f>
        <v/>
      </c>
      <c r="G34" s="39" t="n"/>
      <c r="H34" s="11">
        <f>IF(OR(A34="",G34=""),"",E34-G34)</f>
        <v/>
      </c>
    </row>
    <row r="35">
      <c r="A35" s="10">
        <f>IF(INDEX(lst_Jobs,22)="","",INDEX(lst_Jobs,22)&amp;"")</f>
        <v/>
      </c>
      <c r="B35" s="10">
        <f>IF(A35="","",INDEX(lst_JobName,22)&amp;"")</f>
        <v/>
      </c>
      <c r="C35" s="11">
        <f>IF(A35="","",SUMIFS(tbl_WIP[Amount],tbl_WIP[Job Number],A35,tbl_WIP[Month],"&lt;"&amp;$C$4))</f>
        <v/>
      </c>
      <c r="D35" s="11">
        <f>IF(A35="","",SUMIFS(tbl_WIP[Amount],tbl_WIP[Job Number],A35,tbl_WIP[Month],$C$4))</f>
        <v/>
      </c>
      <c r="E35" s="11">
        <f>IF(A35="","",C35+D35)</f>
        <v/>
      </c>
      <c r="F35" s="10">
        <f>IF(A35="","",IF(AND(ROUND(C35,2)=0,ROUND(D35,2)=0),"","yes"))</f>
        <v/>
      </c>
      <c r="G35" s="39" t="n"/>
      <c r="H35" s="11">
        <f>IF(OR(A35="",G35=""),"",E35-G35)</f>
        <v/>
      </c>
    </row>
    <row r="36">
      <c r="A36" s="10">
        <f>IF(INDEX(lst_Jobs,23)="","",INDEX(lst_Jobs,23)&amp;"")</f>
        <v/>
      </c>
      <c r="B36" s="10">
        <f>IF(A36="","",INDEX(lst_JobName,23)&amp;"")</f>
        <v/>
      </c>
      <c r="C36" s="11">
        <f>IF(A36="","",SUMIFS(tbl_WIP[Amount],tbl_WIP[Job Number],A36,tbl_WIP[Month],"&lt;"&amp;$C$4))</f>
        <v/>
      </c>
      <c r="D36" s="11">
        <f>IF(A36="","",SUMIFS(tbl_WIP[Amount],tbl_WIP[Job Number],A36,tbl_WIP[Month],$C$4))</f>
        <v/>
      </c>
      <c r="E36" s="11">
        <f>IF(A36="","",C36+D36)</f>
        <v/>
      </c>
      <c r="F36" s="10">
        <f>IF(A36="","",IF(AND(ROUND(C36,2)=0,ROUND(D36,2)=0),"","yes"))</f>
        <v/>
      </c>
      <c r="G36" s="39" t="n"/>
      <c r="H36" s="11">
        <f>IF(OR(A36="",G36=""),"",E36-G36)</f>
        <v/>
      </c>
    </row>
    <row r="37">
      <c r="A37" s="10">
        <f>IF(INDEX(lst_Jobs,24)="","",INDEX(lst_Jobs,24)&amp;"")</f>
        <v/>
      </c>
      <c r="B37" s="10">
        <f>IF(A37="","",INDEX(lst_JobName,24)&amp;"")</f>
        <v/>
      </c>
      <c r="C37" s="11">
        <f>IF(A37="","",SUMIFS(tbl_WIP[Amount],tbl_WIP[Job Number],A37,tbl_WIP[Month],"&lt;"&amp;$C$4))</f>
        <v/>
      </c>
      <c r="D37" s="11">
        <f>IF(A37="","",SUMIFS(tbl_WIP[Amount],tbl_WIP[Job Number],A37,tbl_WIP[Month],$C$4))</f>
        <v/>
      </c>
      <c r="E37" s="11">
        <f>IF(A37="","",C37+D37)</f>
        <v/>
      </c>
      <c r="F37" s="10">
        <f>IF(A37="","",IF(AND(ROUND(C37,2)=0,ROUND(D37,2)=0),"","yes"))</f>
        <v/>
      </c>
      <c r="G37" s="39" t="n"/>
      <c r="H37" s="11">
        <f>IF(OR(A37="",G37=""),"",E37-G37)</f>
        <v/>
      </c>
    </row>
    <row r="38">
      <c r="A38" s="10">
        <f>IF(INDEX(lst_Jobs,25)="","",INDEX(lst_Jobs,25)&amp;"")</f>
        <v/>
      </c>
      <c r="B38" s="10">
        <f>IF(A38="","",INDEX(lst_JobName,25)&amp;"")</f>
        <v/>
      </c>
      <c r="C38" s="11">
        <f>IF(A38="","",SUMIFS(tbl_WIP[Amount],tbl_WIP[Job Number],A38,tbl_WIP[Month],"&lt;"&amp;$C$4))</f>
        <v/>
      </c>
      <c r="D38" s="11">
        <f>IF(A38="","",SUMIFS(tbl_WIP[Amount],tbl_WIP[Job Number],A38,tbl_WIP[Month],$C$4))</f>
        <v/>
      </c>
      <c r="E38" s="11">
        <f>IF(A38="","",C38+D38)</f>
        <v/>
      </c>
      <c r="F38" s="10">
        <f>IF(A38="","",IF(AND(ROUND(C38,2)=0,ROUND(D38,2)=0),"","yes"))</f>
        <v/>
      </c>
      <c r="G38" s="39" t="n"/>
      <c r="H38" s="11">
        <f>IF(OR(A38="",G38=""),"",E38-G38)</f>
        <v/>
      </c>
    </row>
    <row r="39">
      <c r="A39" s="10">
        <f>IF(INDEX(lst_Jobs,26)="","",INDEX(lst_Jobs,26)&amp;"")</f>
        <v/>
      </c>
      <c r="B39" s="10">
        <f>IF(A39="","",INDEX(lst_JobName,26)&amp;"")</f>
        <v/>
      </c>
      <c r="C39" s="11">
        <f>IF(A39="","",SUMIFS(tbl_WIP[Amount],tbl_WIP[Job Number],A39,tbl_WIP[Month],"&lt;"&amp;$C$4))</f>
        <v/>
      </c>
      <c r="D39" s="11">
        <f>IF(A39="","",SUMIFS(tbl_WIP[Amount],tbl_WIP[Job Number],A39,tbl_WIP[Month],$C$4))</f>
        <v/>
      </c>
      <c r="E39" s="11">
        <f>IF(A39="","",C39+D39)</f>
        <v/>
      </c>
      <c r="F39" s="10">
        <f>IF(A39="","",IF(AND(ROUND(C39,2)=0,ROUND(D39,2)=0),"","yes"))</f>
        <v/>
      </c>
      <c r="G39" s="39" t="n"/>
      <c r="H39" s="11">
        <f>IF(OR(A39="",G39=""),"",E39-G39)</f>
        <v/>
      </c>
    </row>
    <row r="40">
      <c r="A40" s="10">
        <f>IF(INDEX(lst_Jobs,27)="","",INDEX(lst_Jobs,27)&amp;"")</f>
        <v/>
      </c>
      <c r="B40" s="10">
        <f>IF(A40="","",INDEX(lst_JobName,27)&amp;"")</f>
        <v/>
      </c>
      <c r="C40" s="11">
        <f>IF(A40="","",SUMIFS(tbl_WIP[Amount],tbl_WIP[Job Number],A40,tbl_WIP[Month],"&lt;"&amp;$C$4))</f>
        <v/>
      </c>
      <c r="D40" s="11">
        <f>IF(A40="","",SUMIFS(tbl_WIP[Amount],tbl_WIP[Job Number],A40,tbl_WIP[Month],$C$4))</f>
        <v/>
      </c>
      <c r="E40" s="11">
        <f>IF(A40="","",C40+D40)</f>
        <v/>
      </c>
      <c r="F40" s="10">
        <f>IF(A40="","",IF(AND(ROUND(C40,2)=0,ROUND(D40,2)=0),"","yes"))</f>
        <v/>
      </c>
      <c r="G40" s="39" t="n"/>
      <c r="H40" s="11">
        <f>IF(OR(A40="",G40=""),"",E40-G40)</f>
        <v/>
      </c>
    </row>
    <row r="41">
      <c r="A41" s="10">
        <f>IF(INDEX(lst_Jobs,28)="","",INDEX(lst_Jobs,28)&amp;"")</f>
        <v/>
      </c>
      <c r="B41" s="10">
        <f>IF(A41="","",INDEX(lst_JobName,28)&amp;"")</f>
        <v/>
      </c>
      <c r="C41" s="11">
        <f>IF(A41="","",SUMIFS(tbl_WIP[Amount],tbl_WIP[Job Number],A41,tbl_WIP[Month],"&lt;"&amp;$C$4))</f>
        <v/>
      </c>
      <c r="D41" s="11">
        <f>IF(A41="","",SUMIFS(tbl_WIP[Amount],tbl_WIP[Job Number],A41,tbl_WIP[Month],$C$4))</f>
        <v/>
      </c>
      <c r="E41" s="11">
        <f>IF(A41="","",C41+D41)</f>
        <v/>
      </c>
      <c r="F41" s="10">
        <f>IF(A41="","",IF(AND(ROUND(C41,2)=0,ROUND(D41,2)=0),"","yes"))</f>
        <v/>
      </c>
      <c r="G41" s="39" t="n"/>
      <c r="H41" s="11">
        <f>IF(OR(A41="",G41=""),"",E41-G41)</f>
        <v/>
      </c>
    </row>
    <row r="42">
      <c r="A42" s="10">
        <f>IF(INDEX(lst_Jobs,29)="","",INDEX(lst_Jobs,29)&amp;"")</f>
        <v/>
      </c>
      <c r="B42" s="10">
        <f>IF(A42="","",INDEX(lst_JobName,29)&amp;"")</f>
        <v/>
      </c>
      <c r="C42" s="11">
        <f>IF(A42="","",SUMIFS(tbl_WIP[Amount],tbl_WIP[Job Number],A42,tbl_WIP[Month],"&lt;"&amp;$C$4))</f>
        <v/>
      </c>
      <c r="D42" s="11">
        <f>IF(A42="","",SUMIFS(tbl_WIP[Amount],tbl_WIP[Job Number],A42,tbl_WIP[Month],$C$4))</f>
        <v/>
      </c>
      <c r="E42" s="11">
        <f>IF(A42="","",C42+D42)</f>
        <v/>
      </c>
      <c r="F42" s="10">
        <f>IF(A42="","",IF(AND(ROUND(C42,2)=0,ROUND(D42,2)=0),"","yes"))</f>
        <v/>
      </c>
      <c r="G42" s="39" t="n"/>
      <c r="H42" s="11">
        <f>IF(OR(A42="",G42=""),"",E42-G42)</f>
        <v/>
      </c>
    </row>
    <row r="43">
      <c r="A43" s="10">
        <f>IF(INDEX(lst_Jobs,30)="","",INDEX(lst_Jobs,30)&amp;"")</f>
        <v/>
      </c>
      <c r="B43" s="10">
        <f>IF(A43="","",INDEX(lst_JobName,30)&amp;"")</f>
        <v/>
      </c>
      <c r="C43" s="11">
        <f>IF(A43="","",SUMIFS(tbl_WIP[Amount],tbl_WIP[Job Number],A43,tbl_WIP[Month],"&lt;"&amp;$C$4))</f>
        <v/>
      </c>
      <c r="D43" s="11">
        <f>IF(A43="","",SUMIFS(tbl_WIP[Amount],tbl_WIP[Job Number],A43,tbl_WIP[Month],$C$4))</f>
        <v/>
      </c>
      <c r="E43" s="11">
        <f>IF(A43="","",C43+D43)</f>
        <v/>
      </c>
      <c r="F43" s="10">
        <f>IF(A43="","",IF(AND(ROUND(C43,2)=0,ROUND(D43,2)=0),"","yes"))</f>
        <v/>
      </c>
      <c r="G43" s="39" t="n"/>
      <c r="H43" s="11">
        <f>IF(OR(A43="",G43=""),"",E43-G43)</f>
        <v/>
      </c>
    </row>
    <row r="44">
      <c r="A44" s="10">
        <f>IF(INDEX(lst_Jobs,31)="","",INDEX(lst_Jobs,31)&amp;"")</f>
        <v/>
      </c>
      <c r="B44" s="10">
        <f>IF(A44="","",INDEX(lst_JobName,31)&amp;"")</f>
        <v/>
      </c>
      <c r="C44" s="11">
        <f>IF(A44="","",SUMIFS(tbl_WIP[Amount],tbl_WIP[Job Number],A44,tbl_WIP[Month],"&lt;"&amp;$C$4))</f>
        <v/>
      </c>
      <c r="D44" s="11">
        <f>IF(A44="","",SUMIFS(tbl_WIP[Amount],tbl_WIP[Job Number],A44,tbl_WIP[Month],$C$4))</f>
        <v/>
      </c>
      <c r="E44" s="11">
        <f>IF(A44="","",C44+D44)</f>
        <v/>
      </c>
      <c r="F44" s="10">
        <f>IF(A44="","",IF(AND(ROUND(C44,2)=0,ROUND(D44,2)=0),"","yes"))</f>
        <v/>
      </c>
      <c r="G44" s="39" t="n"/>
      <c r="H44" s="11">
        <f>IF(OR(A44="",G44=""),"",E44-G44)</f>
        <v/>
      </c>
    </row>
    <row r="45">
      <c r="A45" s="10">
        <f>IF(INDEX(lst_Jobs,32)="","",INDEX(lst_Jobs,32)&amp;"")</f>
        <v/>
      </c>
      <c r="B45" s="10">
        <f>IF(A45="","",INDEX(lst_JobName,32)&amp;"")</f>
        <v/>
      </c>
      <c r="C45" s="11">
        <f>IF(A45="","",SUMIFS(tbl_WIP[Amount],tbl_WIP[Job Number],A45,tbl_WIP[Month],"&lt;"&amp;$C$4))</f>
        <v/>
      </c>
      <c r="D45" s="11">
        <f>IF(A45="","",SUMIFS(tbl_WIP[Amount],tbl_WIP[Job Number],A45,tbl_WIP[Month],$C$4))</f>
        <v/>
      </c>
      <c r="E45" s="11">
        <f>IF(A45="","",C45+D45)</f>
        <v/>
      </c>
      <c r="F45" s="10">
        <f>IF(A45="","",IF(AND(ROUND(C45,2)=0,ROUND(D45,2)=0),"","yes"))</f>
        <v/>
      </c>
      <c r="G45" s="39" t="n"/>
      <c r="H45" s="11">
        <f>IF(OR(A45="",G45=""),"",E45-G45)</f>
        <v/>
      </c>
    </row>
    <row r="46">
      <c r="A46" s="10">
        <f>IF(INDEX(lst_Jobs,33)="","",INDEX(lst_Jobs,33)&amp;"")</f>
        <v/>
      </c>
      <c r="B46" s="10">
        <f>IF(A46="","",INDEX(lst_JobName,33)&amp;"")</f>
        <v/>
      </c>
      <c r="C46" s="11">
        <f>IF(A46="","",SUMIFS(tbl_WIP[Amount],tbl_WIP[Job Number],A46,tbl_WIP[Month],"&lt;"&amp;$C$4))</f>
        <v/>
      </c>
      <c r="D46" s="11">
        <f>IF(A46="","",SUMIFS(tbl_WIP[Amount],tbl_WIP[Job Number],A46,tbl_WIP[Month],$C$4))</f>
        <v/>
      </c>
      <c r="E46" s="11">
        <f>IF(A46="","",C46+D46)</f>
        <v/>
      </c>
      <c r="F46" s="10">
        <f>IF(A46="","",IF(AND(ROUND(C46,2)=0,ROUND(D46,2)=0),"","yes"))</f>
        <v/>
      </c>
      <c r="G46" s="39" t="n"/>
      <c r="H46" s="11">
        <f>IF(OR(A46="",G46=""),"",E46-G46)</f>
        <v/>
      </c>
    </row>
    <row r="47">
      <c r="A47" s="10">
        <f>IF(INDEX(lst_Jobs,34)="","",INDEX(lst_Jobs,34)&amp;"")</f>
        <v/>
      </c>
      <c r="B47" s="10">
        <f>IF(A47="","",INDEX(lst_JobName,34)&amp;"")</f>
        <v/>
      </c>
      <c r="C47" s="11">
        <f>IF(A47="","",SUMIFS(tbl_WIP[Amount],tbl_WIP[Job Number],A47,tbl_WIP[Month],"&lt;"&amp;$C$4))</f>
        <v/>
      </c>
      <c r="D47" s="11">
        <f>IF(A47="","",SUMIFS(tbl_WIP[Amount],tbl_WIP[Job Number],A47,tbl_WIP[Month],$C$4))</f>
        <v/>
      </c>
      <c r="E47" s="11">
        <f>IF(A47="","",C47+D47)</f>
        <v/>
      </c>
      <c r="F47" s="10">
        <f>IF(A47="","",IF(AND(ROUND(C47,2)=0,ROUND(D47,2)=0),"","yes"))</f>
        <v/>
      </c>
      <c r="G47" s="39" t="n"/>
      <c r="H47" s="11">
        <f>IF(OR(A47="",G47=""),"",E47-G47)</f>
        <v/>
      </c>
    </row>
    <row r="48">
      <c r="A48" s="10">
        <f>IF(INDEX(lst_Jobs,35)="","",INDEX(lst_Jobs,35)&amp;"")</f>
        <v/>
      </c>
      <c r="B48" s="10">
        <f>IF(A48="","",INDEX(lst_JobName,35)&amp;"")</f>
        <v/>
      </c>
      <c r="C48" s="11">
        <f>IF(A48="","",SUMIFS(tbl_WIP[Amount],tbl_WIP[Job Number],A48,tbl_WIP[Month],"&lt;"&amp;$C$4))</f>
        <v/>
      </c>
      <c r="D48" s="11">
        <f>IF(A48="","",SUMIFS(tbl_WIP[Amount],tbl_WIP[Job Number],A48,tbl_WIP[Month],$C$4))</f>
        <v/>
      </c>
      <c r="E48" s="11">
        <f>IF(A48="","",C48+D48)</f>
        <v/>
      </c>
      <c r="F48" s="10">
        <f>IF(A48="","",IF(AND(ROUND(C48,2)=0,ROUND(D48,2)=0),"","yes"))</f>
        <v/>
      </c>
      <c r="G48" s="39" t="n"/>
      <c r="H48" s="11">
        <f>IF(OR(A48="",G48=""),"",E48-G48)</f>
        <v/>
      </c>
    </row>
    <row r="49">
      <c r="A49" s="10">
        <f>IF(INDEX(lst_Jobs,36)="","",INDEX(lst_Jobs,36)&amp;"")</f>
        <v/>
      </c>
      <c r="B49" s="10">
        <f>IF(A49="","",INDEX(lst_JobName,36)&amp;"")</f>
        <v/>
      </c>
      <c r="C49" s="11">
        <f>IF(A49="","",SUMIFS(tbl_WIP[Amount],tbl_WIP[Job Number],A49,tbl_WIP[Month],"&lt;"&amp;$C$4))</f>
        <v/>
      </c>
      <c r="D49" s="11">
        <f>IF(A49="","",SUMIFS(tbl_WIP[Amount],tbl_WIP[Job Number],A49,tbl_WIP[Month],$C$4))</f>
        <v/>
      </c>
      <c r="E49" s="11">
        <f>IF(A49="","",C49+D49)</f>
        <v/>
      </c>
      <c r="F49" s="10">
        <f>IF(A49="","",IF(AND(ROUND(C49,2)=0,ROUND(D49,2)=0),"","yes"))</f>
        <v/>
      </c>
      <c r="G49" s="39" t="n"/>
      <c r="H49" s="11">
        <f>IF(OR(A49="",G49=""),"",E49-G49)</f>
        <v/>
      </c>
    </row>
    <row r="50">
      <c r="A50" s="10">
        <f>IF(INDEX(lst_Jobs,37)="","",INDEX(lst_Jobs,37)&amp;"")</f>
        <v/>
      </c>
      <c r="B50" s="10">
        <f>IF(A50="","",INDEX(lst_JobName,37)&amp;"")</f>
        <v/>
      </c>
      <c r="C50" s="11">
        <f>IF(A50="","",SUMIFS(tbl_WIP[Amount],tbl_WIP[Job Number],A50,tbl_WIP[Month],"&lt;"&amp;$C$4))</f>
        <v/>
      </c>
      <c r="D50" s="11">
        <f>IF(A50="","",SUMIFS(tbl_WIP[Amount],tbl_WIP[Job Number],A50,tbl_WIP[Month],$C$4))</f>
        <v/>
      </c>
      <c r="E50" s="11">
        <f>IF(A50="","",C50+D50)</f>
        <v/>
      </c>
      <c r="F50" s="10">
        <f>IF(A50="","",IF(AND(ROUND(C50,2)=0,ROUND(D50,2)=0),"","yes"))</f>
        <v/>
      </c>
      <c r="G50" s="39" t="n"/>
      <c r="H50" s="11">
        <f>IF(OR(A50="",G50=""),"",E50-G50)</f>
        <v/>
      </c>
    </row>
    <row r="51">
      <c r="A51" s="10">
        <f>IF(INDEX(lst_Jobs,38)="","",INDEX(lst_Jobs,38)&amp;"")</f>
        <v/>
      </c>
      <c r="B51" s="10">
        <f>IF(A51="","",INDEX(lst_JobName,38)&amp;"")</f>
        <v/>
      </c>
      <c r="C51" s="11">
        <f>IF(A51="","",SUMIFS(tbl_WIP[Amount],tbl_WIP[Job Number],A51,tbl_WIP[Month],"&lt;"&amp;$C$4))</f>
        <v/>
      </c>
      <c r="D51" s="11">
        <f>IF(A51="","",SUMIFS(tbl_WIP[Amount],tbl_WIP[Job Number],A51,tbl_WIP[Month],$C$4))</f>
        <v/>
      </c>
      <c r="E51" s="11">
        <f>IF(A51="","",C51+D51)</f>
        <v/>
      </c>
      <c r="F51" s="10">
        <f>IF(A51="","",IF(AND(ROUND(C51,2)=0,ROUND(D51,2)=0),"","yes"))</f>
        <v/>
      </c>
      <c r="G51" s="39" t="n"/>
      <c r="H51" s="11">
        <f>IF(OR(A51="",G51=""),"",E51-G51)</f>
        <v/>
      </c>
    </row>
    <row r="52">
      <c r="A52" s="10">
        <f>IF(INDEX(lst_Jobs,39)="","",INDEX(lst_Jobs,39)&amp;"")</f>
        <v/>
      </c>
      <c r="B52" s="10">
        <f>IF(A52="","",INDEX(lst_JobName,39)&amp;"")</f>
        <v/>
      </c>
      <c r="C52" s="11">
        <f>IF(A52="","",SUMIFS(tbl_WIP[Amount],tbl_WIP[Job Number],A52,tbl_WIP[Month],"&lt;"&amp;$C$4))</f>
        <v/>
      </c>
      <c r="D52" s="11">
        <f>IF(A52="","",SUMIFS(tbl_WIP[Amount],tbl_WIP[Job Number],A52,tbl_WIP[Month],$C$4))</f>
        <v/>
      </c>
      <c r="E52" s="11">
        <f>IF(A52="","",C52+D52)</f>
        <v/>
      </c>
      <c r="F52" s="10">
        <f>IF(A52="","",IF(AND(ROUND(C52,2)=0,ROUND(D52,2)=0),"","yes"))</f>
        <v/>
      </c>
      <c r="G52" s="39" t="n"/>
      <c r="H52" s="11">
        <f>IF(OR(A52="",G52=""),"",E52-G52)</f>
        <v/>
      </c>
    </row>
    <row r="53">
      <c r="A53" s="10">
        <f>IF(INDEX(lst_Jobs,40)="","",INDEX(lst_Jobs,40)&amp;"")</f>
        <v/>
      </c>
      <c r="B53" s="10">
        <f>IF(A53="","",INDEX(lst_JobName,40)&amp;"")</f>
        <v/>
      </c>
      <c r="C53" s="11">
        <f>IF(A53="","",SUMIFS(tbl_WIP[Amount],tbl_WIP[Job Number],A53,tbl_WIP[Month],"&lt;"&amp;$C$4))</f>
        <v/>
      </c>
      <c r="D53" s="11">
        <f>IF(A53="","",SUMIFS(tbl_WIP[Amount],tbl_WIP[Job Number],A53,tbl_WIP[Month],$C$4))</f>
        <v/>
      </c>
      <c r="E53" s="11">
        <f>IF(A53="","",C53+D53)</f>
        <v/>
      </c>
      <c r="F53" s="10">
        <f>IF(A53="","",IF(AND(ROUND(C53,2)=0,ROUND(D53,2)=0),"","yes"))</f>
        <v/>
      </c>
      <c r="G53" s="39" t="n"/>
      <c r="H53" s="11">
        <f>IF(OR(A53="",G53=""),"",E53-G53)</f>
        <v/>
      </c>
    </row>
    <row r="54">
      <c r="A54" s="10">
        <f>IF(INDEX(lst_Jobs,41)="","",INDEX(lst_Jobs,41)&amp;"")</f>
        <v/>
      </c>
      <c r="B54" s="10">
        <f>IF(A54="","",INDEX(lst_JobName,41)&amp;"")</f>
        <v/>
      </c>
      <c r="C54" s="11">
        <f>IF(A54="","",SUMIFS(tbl_WIP[Amount],tbl_WIP[Job Number],A54,tbl_WIP[Month],"&lt;"&amp;$C$4))</f>
        <v/>
      </c>
      <c r="D54" s="11">
        <f>IF(A54="","",SUMIFS(tbl_WIP[Amount],tbl_WIP[Job Number],A54,tbl_WIP[Month],$C$4))</f>
        <v/>
      </c>
      <c r="E54" s="11">
        <f>IF(A54="","",C54+D54)</f>
        <v/>
      </c>
      <c r="F54" s="10">
        <f>IF(A54="","",IF(AND(ROUND(C54,2)=0,ROUND(D54,2)=0),"","yes"))</f>
        <v/>
      </c>
      <c r="G54" s="39" t="n"/>
      <c r="H54" s="11">
        <f>IF(OR(A54="",G54=""),"",E54-G54)</f>
        <v/>
      </c>
    </row>
    <row r="55">
      <c r="A55" s="10">
        <f>IF(INDEX(lst_Jobs,42)="","",INDEX(lst_Jobs,42)&amp;"")</f>
        <v/>
      </c>
      <c r="B55" s="10">
        <f>IF(A55="","",INDEX(lst_JobName,42)&amp;"")</f>
        <v/>
      </c>
      <c r="C55" s="11">
        <f>IF(A55="","",SUMIFS(tbl_WIP[Amount],tbl_WIP[Job Number],A55,tbl_WIP[Month],"&lt;"&amp;$C$4))</f>
        <v/>
      </c>
      <c r="D55" s="11">
        <f>IF(A55="","",SUMIFS(tbl_WIP[Amount],tbl_WIP[Job Number],A55,tbl_WIP[Month],$C$4))</f>
        <v/>
      </c>
      <c r="E55" s="11">
        <f>IF(A55="","",C55+D55)</f>
        <v/>
      </c>
      <c r="F55" s="10">
        <f>IF(A55="","",IF(AND(ROUND(C55,2)=0,ROUND(D55,2)=0),"","yes"))</f>
        <v/>
      </c>
      <c r="G55" s="39" t="n"/>
      <c r="H55" s="11">
        <f>IF(OR(A55="",G55=""),"",E55-G55)</f>
        <v/>
      </c>
    </row>
    <row r="56">
      <c r="A56" s="10">
        <f>IF(INDEX(lst_Jobs,43)="","",INDEX(lst_Jobs,43)&amp;"")</f>
        <v/>
      </c>
      <c r="B56" s="10">
        <f>IF(A56="","",INDEX(lst_JobName,43)&amp;"")</f>
        <v/>
      </c>
      <c r="C56" s="11">
        <f>IF(A56="","",SUMIFS(tbl_WIP[Amount],tbl_WIP[Job Number],A56,tbl_WIP[Month],"&lt;"&amp;$C$4))</f>
        <v/>
      </c>
      <c r="D56" s="11">
        <f>IF(A56="","",SUMIFS(tbl_WIP[Amount],tbl_WIP[Job Number],A56,tbl_WIP[Month],$C$4))</f>
        <v/>
      </c>
      <c r="E56" s="11">
        <f>IF(A56="","",C56+D56)</f>
        <v/>
      </c>
      <c r="F56" s="10">
        <f>IF(A56="","",IF(AND(ROUND(C56,2)=0,ROUND(D56,2)=0),"","yes"))</f>
        <v/>
      </c>
      <c r="G56" s="39" t="n"/>
      <c r="H56" s="11">
        <f>IF(OR(A56="",G56=""),"",E56-G56)</f>
        <v/>
      </c>
    </row>
    <row r="57">
      <c r="A57" s="10">
        <f>IF(INDEX(lst_Jobs,44)="","",INDEX(lst_Jobs,44)&amp;"")</f>
        <v/>
      </c>
      <c r="B57" s="10">
        <f>IF(A57="","",INDEX(lst_JobName,44)&amp;"")</f>
        <v/>
      </c>
      <c r="C57" s="11">
        <f>IF(A57="","",SUMIFS(tbl_WIP[Amount],tbl_WIP[Job Number],A57,tbl_WIP[Month],"&lt;"&amp;$C$4))</f>
        <v/>
      </c>
      <c r="D57" s="11">
        <f>IF(A57="","",SUMIFS(tbl_WIP[Amount],tbl_WIP[Job Number],A57,tbl_WIP[Month],$C$4))</f>
        <v/>
      </c>
      <c r="E57" s="11">
        <f>IF(A57="","",C57+D57)</f>
        <v/>
      </c>
      <c r="F57" s="10">
        <f>IF(A57="","",IF(AND(ROUND(C57,2)=0,ROUND(D57,2)=0),"","yes"))</f>
        <v/>
      </c>
      <c r="G57" s="39" t="n"/>
      <c r="H57" s="11">
        <f>IF(OR(A57="",G57=""),"",E57-G57)</f>
        <v/>
      </c>
    </row>
    <row r="58">
      <c r="A58" s="10">
        <f>IF(INDEX(lst_Jobs,45)="","",INDEX(lst_Jobs,45)&amp;"")</f>
        <v/>
      </c>
      <c r="B58" s="10">
        <f>IF(A58="","",INDEX(lst_JobName,45)&amp;"")</f>
        <v/>
      </c>
      <c r="C58" s="11">
        <f>IF(A58="","",SUMIFS(tbl_WIP[Amount],tbl_WIP[Job Number],A58,tbl_WIP[Month],"&lt;"&amp;$C$4))</f>
        <v/>
      </c>
      <c r="D58" s="11">
        <f>IF(A58="","",SUMIFS(tbl_WIP[Amount],tbl_WIP[Job Number],A58,tbl_WIP[Month],$C$4))</f>
        <v/>
      </c>
      <c r="E58" s="11">
        <f>IF(A58="","",C58+D58)</f>
        <v/>
      </c>
      <c r="F58" s="10">
        <f>IF(A58="","",IF(AND(ROUND(C58,2)=0,ROUND(D58,2)=0),"","yes"))</f>
        <v/>
      </c>
      <c r="G58" s="39" t="n"/>
      <c r="H58" s="11">
        <f>IF(OR(A58="",G58=""),"",E58-G58)</f>
        <v/>
      </c>
    </row>
    <row r="59">
      <c r="A59" s="10">
        <f>IF(INDEX(lst_Jobs,46)="","",INDEX(lst_Jobs,46)&amp;"")</f>
        <v/>
      </c>
      <c r="B59" s="10">
        <f>IF(A59="","",INDEX(lst_JobName,46)&amp;"")</f>
        <v/>
      </c>
      <c r="C59" s="11">
        <f>IF(A59="","",SUMIFS(tbl_WIP[Amount],tbl_WIP[Job Number],A59,tbl_WIP[Month],"&lt;"&amp;$C$4))</f>
        <v/>
      </c>
      <c r="D59" s="11">
        <f>IF(A59="","",SUMIFS(tbl_WIP[Amount],tbl_WIP[Job Number],A59,tbl_WIP[Month],$C$4))</f>
        <v/>
      </c>
      <c r="E59" s="11">
        <f>IF(A59="","",C59+D59)</f>
        <v/>
      </c>
      <c r="F59" s="10">
        <f>IF(A59="","",IF(AND(ROUND(C59,2)=0,ROUND(D59,2)=0),"","yes"))</f>
        <v/>
      </c>
      <c r="G59" s="39" t="n"/>
      <c r="H59" s="11">
        <f>IF(OR(A59="",G59=""),"",E59-G59)</f>
        <v/>
      </c>
    </row>
    <row r="60">
      <c r="A60" s="10">
        <f>IF(INDEX(lst_Jobs,47)="","",INDEX(lst_Jobs,47)&amp;"")</f>
        <v/>
      </c>
      <c r="B60" s="10">
        <f>IF(A60="","",INDEX(lst_JobName,47)&amp;"")</f>
        <v/>
      </c>
      <c r="C60" s="11">
        <f>IF(A60="","",SUMIFS(tbl_WIP[Amount],tbl_WIP[Job Number],A60,tbl_WIP[Month],"&lt;"&amp;$C$4))</f>
        <v/>
      </c>
      <c r="D60" s="11">
        <f>IF(A60="","",SUMIFS(tbl_WIP[Amount],tbl_WIP[Job Number],A60,tbl_WIP[Month],$C$4))</f>
        <v/>
      </c>
      <c r="E60" s="11">
        <f>IF(A60="","",C60+D60)</f>
        <v/>
      </c>
      <c r="F60" s="10">
        <f>IF(A60="","",IF(AND(ROUND(C60,2)=0,ROUND(D60,2)=0),"","yes"))</f>
        <v/>
      </c>
      <c r="G60" s="39" t="n"/>
      <c r="H60" s="11">
        <f>IF(OR(A60="",G60=""),"",E60-G60)</f>
        <v/>
      </c>
    </row>
    <row r="61">
      <c r="A61" s="10">
        <f>IF(INDEX(lst_Jobs,48)="","",INDEX(lst_Jobs,48)&amp;"")</f>
        <v/>
      </c>
      <c r="B61" s="10">
        <f>IF(A61="","",INDEX(lst_JobName,48)&amp;"")</f>
        <v/>
      </c>
      <c r="C61" s="11">
        <f>IF(A61="","",SUMIFS(tbl_WIP[Amount],tbl_WIP[Job Number],A61,tbl_WIP[Month],"&lt;"&amp;$C$4))</f>
        <v/>
      </c>
      <c r="D61" s="11">
        <f>IF(A61="","",SUMIFS(tbl_WIP[Amount],tbl_WIP[Job Number],A61,tbl_WIP[Month],$C$4))</f>
        <v/>
      </c>
      <c r="E61" s="11">
        <f>IF(A61="","",C61+D61)</f>
        <v/>
      </c>
      <c r="F61" s="10">
        <f>IF(A61="","",IF(AND(ROUND(C61,2)=0,ROUND(D61,2)=0),"","yes"))</f>
        <v/>
      </c>
      <c r="G61" s="39" t="n"/>
      <c r="H61" s="11">
        <f>IF(OR(A61="",G61=""),"",E61-G61)</f>
        <v/>
      </c>
    </row>
    <row r="62">
      <c r="A62" s="10">
        <f>IF(INDEX(lst_Jobs,49)="","",INDEX(lst_Jobs,49)&amp;"")</f>
        <v/>
      </c>
      <c r="B62" s="10">
        <f>IF(A62="","",INDEX(lst_JobName,49)&amp;"")</f>
        <v/>
      </c>
      <c r="C62" s="11">
        <f>IF(A62="","",SUMIFS(tbl_WIP[Amount],tbl_WIP[Job Number],A62,tbl_WIP[Month],"&lt;"&amp;$C$4))</f>
        <v/>
      </c>
      <c r="D62" s="11">
        <f>IF(A62="","",SUMIFS(tbl_WIP[Amount],tbl_WIP[Job Number],A62,tbl_WIP[Month],$C$4))</f>
        <v/>
      </c>
      <c r="E62" s="11">
        <f>IF(A62="","",C62+D62)</f>
        <v/>
      </c>
      <c r="F62" s="10">
        <f>IF(A62="","",IF(AND(ROUND(C62,2)=0,ROUND(D62,2)=0),"","yes"))</f>
        <v/>
      </c>
      <c r="G62" s="39" t="n"/>
      <c r="H62" s="11">
        <f>IF(OR(A62="",G62=""),"",E62-G62)</f>
        <v/>
      </c>
    </row>
    <row r="63">
      <c r="A63" s="10">
        <f>IF(INDEX(lst_Jobs,50)="","",INDEX(lst_Jobs,50)&amp;"")</f>
        <v/>
      </c>
      <c r="B63" s="10">
        <f>IF(A63="","",INDEX(lst_JobName,50)&amp;"")</f>
        <v/>
      </c>
      <c r="C63" s="11">
        <f>IF(A63="","",SUMIFS(tbl_WIP[Amount],tbl_WIP[Job Number],A63,tbl_WIP[Month],"&lt;"&amp;$C$4))</f>
        <v/>
      </c>
      <c r="D63" s="11">
        <f>IF(A63="","",SUMIFS(tbl_WIP[Amount],tbl_WIP[Job Number],A63,tbl_WIP[Month],$C$4))</f>
        <v/>
      </c>
      <c r="E63" s="11">
        <f>IF(A63="","",C63+D63)</f>
        <v/>
      </c>
      <c r="F63" s="10">
        <f>IF(A63="","",IF(AND(ROUND(C63,2)=0,ROUND(D63,2)=0),"","yes"))</f>
        <v/>
      </c>
      <c r="G63" s="39" t="n"/>
      <c r="H63" s="11">
        <f>IF(OR(A63="",G63=""),"",E63-G63)</f>
        <v/>
      </c>
    </row>
    <row r="64">
      <c r="A64" s="10">
        <f>IF(INDEX(lst_Jobs,51)="","",INDEX(lst_Jobs,51)&amp;"")</f>
        <v/>
      </c>
      <c r="B64" s="10">
        <f>IF(A64="","",INDEX(lst_JobName,51)&amp;"")</f>
        <v/>
      </c>
      <c r="C64" s="11">
        <f>IF(A64="","",SUMIFS(tbl_WIP[Amount],tbl_WIP[Job Number],A64,tbl_WIP[Month],"&lt;"&amp;$C$4))</f>
        <v/>
      </c>
      <c r="D64" s="11">
        <f>IF(A64="","",SUMIFS(tbl_WIP[Amount],tbl_WIP[Job Number],A64,tbl_WIP[Month],$C$4))</f>
        <v/>
      </c>
      <c r="E64" s="11">
        <f>IF(A64="","",C64+D64)</f>
        <v/>
      </c>
      <c r="F64" s="10">
        <f>IF(A64="","",IF(AND(ROUND(C64,2)=0,ROUND(D64,2)=0),"","yes"))</f>
        <v/>
      </c>
      <c r="G64" s="39" t="n"/>
      <c r="H64" s="11">
        <f>IF(OR(A64="",G64=""),"",E64-G64)</f>
        <v/>
      </c>
    </row>
    <row r="65">
      <c r="A65" s="10">
        <f>IF(INDEX(lst_Jobs,52)="","",INDEX(lst_Jobs,52)&amp;"")</f>
        <v/>
      </c>
      <c r="B65" s="10">
        <f>IF(A65="","",INDEX(lst_JobName,52)&amp;"")</f>
        <v/>
      </c>
      <c r="C65" s="11">
        <f>IF(A65="","",SUMIFS(tbl_WIP[Amount],tbl_WIP[Job Number],A65,tbl_WIP[Month],"&lt;"&amp;$C$4))</f>
        <v/>
      </c>
      <c r="D65" s="11">
        <f>IF(A65="","",SUMIFS(tbl_WIP[Amount],tbl_WIP[Job Number],A65,tbl_WIP[Month],$C$4))</f>
        <v/>
      </c>
      <c r="E65" s="11">
        <f>IF(A65="","",C65+D65)</f>
        <v/>
      </c>
      <c r="F65" s="10">
        <f>IF(A65="","",IF(AND(ROUND(C65,2)=0,ROUND(D65,2)=0),"","yes"))</f>
        <v/>
      </c>
      <c r="G65" s="39" t="n"/>
      <c r="H65" s="11">
        <f>IF(OR(A65="",G65=""),"",E65-G65)</f>
        <v/>
      </c>
    </row>
    <row r="66">
      <c r="A66" s="10">
        <f>IF(INDEX(lst_Jobs,53)="","",INDEX(lst_Jobs,53)&amp;"")</f>
        <v/>
      </c>
      <c r="B66" s="10">
        <f>IF(A66="","",INDEX(lst_JobName,53)&amp;"")</f>
        <v/>
      </c>
      <c r="C66" s="11">
        <f>IF(A66="","",SUMIFS(tbl_WIP[Amount],tbl_WIP[Job Number],A66,tbl_WIP[Month],"&lt;"&amp;$C$4))</f>
        <v/>
      </c>
      <c r="D66" s="11">
        <f>IF(A66="","",SUMIFS(tbl_WIP[Amount],tbl_WIP[Job Number],A66,tbl_WIP[Month],$C$4))</f>
        <v/>
      </c>
      <c r="E66" s="11">
        <f>IF(A66="","",C66+D66)</f>
        <v/>
      </c>
      <c r="F66" s="10">
        <f>IF(A66="","",IF(AND(ROUND(C66,2)=0,ROUND(D66,2)=0),"","yes"))</f>
        <v/>
      </c>
      <c r="G66" s="39" t="n"/>
      <c r="H66" s="11">
        <f>IF(OR(A66="",G66=""),"",E66-G66)</f>
        <v/>
      </c>
    </row>
    <row r="67">
      <c r="A67" s="10">
        <f>IF(INDEX(lst_Jobs,54)="","",INDEX(lst_Jobs,54)&amp;"")</f>
        <v/>
      </c>
      <c r="B67" s="10">
        <f>IF(A67="","",INDEX(lst_JobName,54)&amp;"")</f>
        <v/>
      </c>
      <c r="C67" s="11">
        <f>IF(A67="","",SUMIFS(tbl_WIP[Amount],tbl_WIP[Job Number],A67,tbl_WIP[Month],"&lt;"&amp;$C$4))</f>
        <v/>
      </c>
      <c r="D67" s="11">
        <f>IF(A67="","",SUMIFS(tbl_WIP[Amount],tbl_WIP[Job Number],A67,tbl_WIP[Month],$C$4))</f>
        <v/>
      </c>
      <c r="E67" s="11">
        <f>IF(A67="","",C67+D67)</f>
        <v/>
      </c>
      <c r="F67" s="10">
        <f>IF(A67="","",IF(AND(ROUND(C67,2)=0,ROUND(D67,2)=0),"","yes"))</f>
        <v/>
      </c>
      <c r="G67" s="39" t="n"/>
      <c r="H67" s="11">
        <f>IF(OR(A67="",G67=""),"",E67-G67)</f>
        <v/>
      </c>
    </row>
    <row r="68">
      <c r="A68" s="10">
        <f>IF(INDEX(lst_Jobs,55)="","",INDEX(lst_Jobs,55)&amp;"")</f>
        <v/>
      </c>
      <c r="B68" s="10">
        <f>IF(A68="","",INDEX(lst_JobName,55)&amp;"")</f>
        <v/>
      </c>
      <c r="C68" s="11">
        <f>IF(A68="","",SUMIFS(tbl_WIP[Amount],tbl_WIP[Job Number],A68,tbl_WIP[Month],"&lt;"&amp;$C$4))</f>
        <v/>
      </c>
      <c r="D68" s="11">
        <f>IF(A68="","",SUMIFS(tbl_WIP[Amount],tbl_WIP[Job Number],A68,tbl_WIP[Month],$C$4))</f>
        <v/>
      </c>
      <c r="E68" s="11">
        <f>IF(A68="","",C68+D68)</f>
        <v/>
      </c>
      <c r="F68" s="10">
        <f>IF(A68="","",IF(AND(ROUND(C68,2)=0,ROUND(D68,2)=0),"","yes"))</f>
        <v/>
      </c>
      <c r="G68" s="39" t="n"/>
      <c r="H68" s="11">
        <f>IF(OR(A68="",G68=""),"",E68-G68)</f>
        <v/>
      </c>
    </row>
    <row r="69">
      <c r="A69" s="10">
        <f>IF(INDEX(lst_Jobs,56)="","",INDEX(lst_Jobs,56)&amp;"")</f>
        <v/>
      </c>
      <c r="B69" s="10">
        <f>IF(A69="","",INDEX(lst_JobName,56)&amp;"")</f>
        <v/>
      </c>
      <c r="C69" s="11">
        <f>IF(A69="","",SUMIFS(tbl_WIP[Amount],tbl_WIP[Job Number],A69,tbl_WIP[Month],"&lt;"&amp;$C$4))</f>
        <v/>
      </c>
      <c r="D69" s="11">
        <f>IF(A69="","",SUMIFS(tbl_WIP[Amount],tbl_WIP[Job Number],A69,tbl_WIP[Month],$C$4))</f>
        <v/>
      </c>
      <c r="E69" s="11">
        <f>IF(A69="","",C69+D69)</f>
        <v/>
      </c>
      <c r="F69" s="10">
        <f>IF(A69="","",IF(AND(ROUND(C69,2)=0,ROUND(D69,2)=0),"","yes"))</f>
        <v/>
      </c>
      <c r="G69" s="39" t="n"/>
      <c r="H69" s="11">
        <f>IF(OR(A69="",G69=""),"",E69-G69)</f>
        <v/>
      </c>
    </row>
    <row r="70">
      <c r="A70" s="10">
        <f>IF(INDEX(lst_Jobs,57)="","",INDEX(lst_Jobs,57)&amp;"")</f>
        <v/>
      </c>
      <c r="B70" s="10">
        <f>IF(A70="","",INDEX(lst_JobName,57)&amp;"")</f>
        <v/>
      </c>
      <c r="C70" s="11">
        <f>IF(A70="","",SUMIFS(tbl_WIP[Amount],tbl_WIP[Job Number],A70,tbl_WIP[Month],"&lt;"&amp;$C$4))</f>
        <v/>
      </c>
      <c r="D70" s="11">
        <f>IF(A70="","",SUMIFS(tbl_WIP[Amount],tbl_WIP[Job Number],A70,tbl_WIP[Month],$C$4))</f>
        <v/>
      </c>
      <c r="E70" s="11">
        <f>IF(A70="","",C70+D70)</f>
        <v/>
      </c>
      <c r="F70" s="10">
        <f>IF(A70="","",IF(AND(ROUND(C70,2)=0,ROUND(D70,2)=0),"","yes"))</f>
        <v/>
      </c>
      <c r="G70" s="39" t="n"/>
      <c r="H70" s="11">
        <f>IF(OR(A70="",G70=""),"",E70-G70)</f>
        <v/>
      </c>
    </row>
    <row r="71">
      <c r="A71" s="10">
        <f>IF(INDEX(lst_Jobs,58)="","",INDEX(lst_Jobs,58)&amp;"")</f>
        <v/>
      </c>
      <c r="B71" s="10">
        <f>IF(A71="","",INDEX(lst_JobName,58)&amp;"")</f>
        <v/>
      </c>
      <c r="C71" s="11">
        <f>IF(A71="","",SUMIFS(tbl_WIP[Amount],tbl_WIP[Job Number],A71,tbl_WIP[Month],"&lt;"&amp;$C$4))</f>
        <v/>
      </c>
      <c r="D71" s="11">
        <f>IF(A71="","",SUMIFS(tbl_WIP[Amount],tbl_WIP[Job Number],A71,tbl_WIP[Month],$C$4))</f>
        <v/>
      </c>
      <c r="E71" s="11">
        <f>IF(A71="","",C71+D71)</f>
        <v/>
      </c>
      <c r="F71" s="10">
        <f>IF(A71="","",IF(AND(ROUND(C71,2)=0,ROUND(D71,2)=0),"","yes"))</f>
        <v/>
      </c>
      <c r="G71" s="39" t="n"/>
      <c r="H71" s="11">
        <f>IF(OR(A71="",G71=""),"",E71-G71)</f>
        <v/>
      </c>
    </row>
    <row r="72">
      <c r="A72" s="10">
        <f>IF(INDEX(lst_Jobs,59)="","",INDEX(lst_Jobs,59)&amp;"")</f>
        <v/>
      </c>
      <c r="B72" s="10">
        <f>IF(A72="","",INDEX(lst_JobName,59)&amp;"")</f>
        <v/>
      </c>
      <c r="C72" s="11">
        <f>IF(A72="","",SUMIFS(tbl_WIP[Amount],tbl_WIP[Job Number],A72,tbl_WIP[Month],"&lt;"&amp;$C$4))</f>
        <v/>
      </c>
      <c r="D72" s="11">
        <f>IF(A72="","",SUMIFS(tbl_WIP[Amount],tbl_WIP[Job Number],A72,tbl_WIP[Month],$C$4))</f>
        <v/>
      </c>
      <c r="E72" s="11">
        <f>IF(A72="","",C72+D72)</f>
        <v/>
      </c>
      <c r="F72" s="10">
        <f>IF(A72="","",IF(AND(ROUND(C72,2)=0,ROUND(D72,2)=0),"","yes"))</f>
        <v/>
      </c>
      <c r="G72" s="39" t="n"/>
      <c r="H72" s="11">
        <f>IF(OR(A72="",G72=""),"",E72-G72)</f>
        <v/>
      </c>
    </row>
    <row r="73">
      <c r="A73" s="10">
        <f>IF(INDEX(lst_Jobs,60)="","",INDEX(lst_Jobs,60)&amp;"")</f>
        <v/>
      </c>
      <c r="B73" s="10">
        <f>IF(A73="","",INDEX(lst_JobName,60)&amp;"")</f>
        <v/>
      </c>
      <c r="C73" s="11">
        <f>IF(A73="","",SUMIFS(tbl_WIP[Amount],tbl_WIP[Job Number],A73,tbl_WIP[Month],"&lt;"&amp;$C$4))</f>
        <v/>
      </c>
      <c r="D73" s="11">
        <f>IF(A73="","",SUMIFS(tbl_WIP[Amount],tbl_WIP[Job Number],A73,tbl_WIP[Month],$C$4))</f>
        <v/>
      </c>
      <c r="E73" s="11">
        <f>IF(A73="","",C73+D73)</f>
        <v/>
      </c>
      <c r="F73" s="10">
        <f>IF(A73="","",IF(AND(ROUND(C73,2)=0,ROUND(D73,2)=0),"","yes"))</f>
        <v/>
      </c>
      <c r="G73" s="39" t="n"/>
      <c r="H73" s="11">
        <f>IF(OR(A73="",G73=""),"",E73-G73)</f>
        <v/>
      </c>
    </row>
    <row r="74">
      <c r="A74" s="10">
        <f>IF(INDEX(lst_Jobs,61)="","",INDEX(lst_Jobs,61)&amp;"")</f>
        <v/>
      </c>
      <c r="B74" s="10">
        <f>IF(A74="","",INDEX(lst_JobName,61)&amp;"")</f>
        <v/>
      </c>
      <c r="C74" s="11">
        <f>IF(A74="","",SUMIFS(tbl_WIP[Amount],tbl_WIP[Job Number],A74,tbl_WIP[Month],"&lt;"&amp;$C$4))</f>
        <v/>
      </c>
      <c r="D74" s="11">
        <f>IF(A74="","",SUMIFS(tbl_WIP[Amount],tbl_WIP[Job Number],A74,tbl_WIP[Month],$C$4))</f>
        <v/>
      </c>
      <c r="E74" s="11">
        <f>IF(A74="","",C74+D74)</f>
        <v/>
      </c>
      <c r="F74" s="10">
        <f>IF(A74="","",IF(AND(ROUND(C74,2)=0,ROUND(D74,2)=0),"","yes"))</f>
        <v/>
      </c>
      <c r="G74" s="39" t="n"/>
      <c r="H74" s="11">
        <f>IF(OR(A74="",G74=""),"",E74-G74)</f>
        <v/>
      </c>
    </row>
    <row r="75">
      <c r="A75" s="10">
        <f>IF(INDEX(lst_Jobs,62)="","",INDEX(lst_Jobs,62)&amp;"")</f>
        <v/>
      </c>
      <c r="B75" s="10">
        <f>IF(A75="","",INDEX(lst_JobName,62)&amp;"")</f>
        <v/>
      </c>
      <c r="C75" s="11">
        <f>IF(A75="","",SUMIFS(tbl_WIP[Amount],tbl_WIP[Job Number],A75,tbl_WIP[Month],"&lt;"&amp;$C$4))</f>
        <v/>
      </c>
      <c r="D75" s="11">
        <f>IF(A75="","",SUMIFS(tbl_WIP[Amount],tbl_WIP[Job Number],A75,tbl_WIP[Month],$C$4))</f>
        <v/>
      </c>
      <c r="E75" s="11">
        <f>IF(A75="","",C75+D75)</f>
        <v/>
      </c>
      <c r="F75" s="10">
        <f>IF(A75="","",IF(AND(ROUND(C75,2)=0,ROUND(D75,2)=0),"","yes"))</f>
        <v/>
      </c>
      <c r="G75" s="39" t="n"/>
      <c r="H75" s="11">
        <f>IF(OR(A75="",G75=""),"",E75-G75)</f>
        <v/>
      </c>
    </row>
    <row r="76">
      <c r="A76" s="10">
        <f>IF(INDEX(lst_Jobs,63)="","",INDEX(lst_Jobs,63)&amp;"")</f>
        <v/>
      </c>
      <c r="B76" s="10">
        <f>IF(A76="","",INDEX(lst_JobName,63)&amp;"")</f>
        <v/>
      </c>
      <c r="C76" s="11">
        <f>IF(A76="","",SUMIFS(tbl_WIP[Amount],tbl_WIP[Job Number],A76,tbl_WIP[Month],"&lt;"&amp;$C$4))</f>
        <v/>
      </c>
      <c r="D76" s="11">
        <f>IF(A76="","",SUMIFS(tbl_WIP[Amount],tbl_WIP[Job Number],A76,tbl_WIP[Month],$C$4))</f>
        <v/>
      </c>
      <c r="E76" s="11">
        <f>IF(A76="","",C76+D76)</f>
        <v/>
      </c>
      <c r="F76" s="10">
        <f>IF(A76="","",IF(AND(ROUND(C76,2)=0,ROUND(D76,2)=0),"","yes"))</f>
        <v/>
      </c>
      <c r="G76" s="39" t="n"/>
      <c r="H76" s="11">
        <f>IF(OR(A76="",G76=""),"",E76-G76)</f>
        <v/>
      </c>
    </row>
    <row r="77">
      <c r="A77" s="10">
        <f>IF(INDEX(lst_Jobs,64)="","",INDEX(lst_Jobs,64)&amp;"")</f>
        <v/>
      </c>
      <c r="B77" s="10">
        <f>IF(A77="","",INDEX(lst_JobName,64)&amp;"")</f>
        <v/>
      </c>
      <c r="C77" s="11">
        <f>IF(A77="","",SUMIFS(tbl_WIP[Amount],tbl_WIP[Job Number],A77,tbl_WIP[Month],"&lt;"&amp;$C$4))</f>
        <v/>
      </c>
      <c r="D77" s="11">
        <f>IF(A77="","",SUMIFS(tbl_WIP[Amount],tbl_WIP[Job Number],A77,tbl_WIP[Month],$C$4))</f>
        <v/>
      </c>
      <c r="E77" s="11">
        <f>IF(A77="","",C77+D77)</f>
        <v/>
      </c>
      <c r="F77" s="10">
        <f>IF(A77="","",IF(AND(ROUND(C77,2)=0,ROUND(D77,2)=0),"","yes"))</f>
        <v/>
      </c>
      <c r="G77" s="39" t="n"/>
      <c r="H77" s="11">
        <f>IF(OR(A77="",G77=""),"",E77-G77)</f>
        <v/>
      </c>
    </row>
    <row r="78">
      <c r="A78" s="10">
        <f>IF(INDEX(lst_Jobs,65)="","",INDEX(lst_Jobs,65)&amp;"")</f>
        <v/>
      </c>
      <c r="B78" s="10">
        <f>IF(A78="","",INDEX(lst_JobName,65)&amp;"")</f>
        <v/>
      </c>
      <c r="C78" s="11">
        <f>IF(A78="","",SUMIFS(tbl_WIP[Amount],tbl_WIP[Job Number],A78,tbl_WIP[Month],"&lt;"&amp;$C$4))</f>
        <v/>
      </c>
      <c r="D78" s="11">
        <f>IF(A78="","",SUMIFS(tbl_WIP[Amount],tbl_WIP[Job Number],A78,tbl_WIP[Month],$C$4))</f>
        <v/>
      </c>
      <c r="E78" s="11">
        <f>IF(A78="","",C78+D78)</f>
        <v/>
      </c>
      <c r="F78" s="10">
        <f>IF(A78="","",IF(AND(ROUND(C78,2)=0,ROUND(D78,2)=0),"","yes"))</f>
        <v/>
      </c>
      <c r="G78" s="39" t="n"/>
      <c r="H78" s="11">
        <f>IF(OR(A78="",G78=""),"",E78-G78)</f>
        <v/>
      </c>
    </row>
    <row r="79">
      <c r="A79" s="10">
        <f>IF(INDEX(lst_Jobs,66)="","",INDEX(lst_Jobs,66)&amp;"")</f>
        <v/>
      </c>
      <c r="B79" s="10">
        <f>IF(A79="","",INDEX(lst_JobName,66)&amp;"")</f>
        <v/>
      </c>
      <c r="C79" s="11">
        <f>IF(A79="","",SUMIFS(tbl_WIP[Amount],tbl_WIP[Job Number],A79,tbl_WIP[Month],"&lt;"&amp;$C$4))</f>
        <v/>
      </c>
      <c r="D79" s="11">
        <f>IF(A79="","",SUMIFS(tbl_WIP[Amount],tbl_WIP[Job Number],A79,tbl_WIP[Month],$C$4))</f>
        <v/>
      </c>
      <c r="E79" s="11">
        <f>IF(A79="","",C79+D79)</f>
        <v/>
      </c>
      <c r="F79" s="10">
        <f>IF(A79="","",IF(AND(ROUND(C79,2)=0,ROUND(D79,2)=0),"","yes"))</f>
        <v/>
      </c>
      <c r="G79" s="39" t="n"/>
      <c r="H79" s="11">
        <f>IF(OR(A79="",G79=""),"",E79-G79)</f>
        <v/>
      </c>
    </row>
    <row r="80">
      <c r="A80" s="10">
        <f>IF(INDEX(lst_Jobs,67)="","",INDEX(lst_Jobs,67)&amp;"")</f>
        <v/>
      </c>
      <c r="B80" s="10">
        <f>IF(A80="","",INDEX(lst_JobName,67)&amp;"")</f>
        <v/>
      </c>
      <c r="C80" s="11">
        <f>IF(A80="","",SUMIFS(tbl_WIP[Amount],tbl_WIP[Job Number],A80,tbl_WIP[Month],"&lt;"&amp;$C$4))</f>
        <v/>
      </c>
      <c r="D80" s="11">
        <f>IF(A80="","",SUMIFS(tbl_WIP[Amount],tbl_WIP[Job Number],A80,tbl_WIP[Month],$C$4))</f>
        <v/>
      </c>
      <c r="E80" s="11">
        <f>IF(A80="","",C80+D80)</f>
        <v/>
      </c>
      <c r="F80" s="10">
        <f>IF(A80="","",IF(AND(ROUND(C80,2)=0,ROUND(D80,2)=0),"","yes"))</f>
        <v/>
      </c>
      <c r="G80" s="39" t="n"/>
      <c r="H80" s="11">
        <f>IF(OR(A80="",G80=""),"",E80-G80)</f>
        <v/>
      </c>
    </row>
    <row r="81">
      <c r="A81" s="10">
        <f>IF(INDEX(lst_Jobs,68)="","",INDEX(lst_Jobs,68)&amp;"")</f>
        <v/>
      </c>
      <c r="B81" s="10">
        <f>IF(A81="","",INDEX(lst_JobName,68)&amp;"")</f>
        <v/>
      </c>
      <c r="C81" s="11">
        <f>IF(A81="","",SUMIFS(tbl_WIP[Amount],tbl_WIP[Job Number],A81,tbl_WIP[Month],"&lt;"&amp;$C$4))</f>
        <v/>
      </c>
      <c r="D81" s="11">
        <f>IF(A81="","",SUMIFS(tbl_WIP[Amount],tbl_WIP[Job Number],A81,tbl_WIP[Month],$C$4))</f>
        <v/>
      </c>
      <c r="E81" s="11">
        <f>IF(A81="","",C81+D81)</f>
        <v/>
      </c>
      <c r="F81" s="10">
        <f>IF(A81="","",IF(AND(ROUND(C81,2)=0,ROUND(D81,2)=0),"","yes"))</f>
        <v/>
      </c>
      <c r="G81" s="39" t="n"/>
      <c r="H81" s="11">
        <f>IF(OR(A81="",G81=""),"",E81-G81)</f>
        <v/>
      </c>
    </row>
    <row r="82">
      <c r="A82" s="10">
        <f>IF(INDEX(lst_Jobs,69)="","",INDEX(lst_Jobs,69)&amp;"")</f>
        <v/>
      </c>
      <c r="B82" s="10">
        <f>IF(A82="","",INDEX(lst_JobName,69)&amp;"")</f>
        <v/>
      </c>
      <c r="C82" s="11">
        <f>IF(A82="","",SUMIFS(tbl_WIP[Amount],tbl_WIP[Job Number],A82,tbl_WIP[Month],"&lt;"&amp;$C$4))</f>
        <v/>
      </c>
      <c r="D82" s="11">
        <f>IF(A82="","",SUMIFS(tbl_WIP[Amount],tbl_WIP[Job Number],A82,tbl_WIP[Month],$C$4))</f>
        <v/>
      </c>
      <c r="E82" s="11">
        <f>IF(A82="","",C82+D82)</f>
        <v/>
      </c>
      <c r="F82" s="10">
        <f>IF(A82="","",IF(AND(ROUND(C82,2)=0,ROUND(D82,2)=0),"","yes"))</f>
        <v/>
      </c>
      <c r="G82" s="39" t="n"/>
      <c r="H82" s="11">
        <f>IF(OR(A82="",G82=""),"",E82-G82)</f>
        <v/>
      </c>
    </row>
    <row r="83">
      <c r="A83" s="10">
        <f>IF(INDEX(lst_Jobs,70)="","",INDEX(lst_Jobs,70)&amp;"")</f>
        <v/>
      </c>
      <c r="B83" s="10">
        <f>IF(A83="","",INDEX(lst_JobName,70)&amp;"")</f>
        <v/>
      </c>
      <c r="C83" s="11">
        <f>IF(A83="","",SUMIFS(tbl_WIP[Amount],tbl_WIP[Job Number],A83,tbl_WIP[Month],"&lt;"&amp;$C$4))</f>
        <v/>
      </c>
      <c r="D83" s="11">
        <f>IF(A83="","",SUMIFS(tbl_WIP[Amount],tbl_WIP[Job Number],A83,tbl_WIP[Month],$C$4))</f>
        <v/>
      </c>
      <c r="E83" s="11">
        <f>IF(A83="","",C83+D83)</f>
        <v/>
      </c>
      <c r="F83" s="10">
        <f>IF(A83="","",IF(AND(ROUND(C83,2)=0,ROUND(D83,2)=0),"","yes"))</f>
        <v/>
      </c>
      <c r="G83" s="39" t="n"/>
      <c r="H83" s="11">
        <f>IF(OR(A83="",G83=""),"",E83-G83)</f>
        <v/>
      </c>
    </row>
    <row r="84">
      <c r="A84" s="10">
        <f>IF(INDEX(lst_Jobs,71)="","",INDEX(lst_Jobs,71)&amp;"")</f>
        <v/>
      </c>
      <c r="B84" s="10">
        <f>IF(A84="","",INDEX(lst_JobName,71)&amp;"")</f>
        <v/>
      </c>
      <c r="C84" s="11">
        <f>IF(A84="","",SUMIFS(tbl_WIP[Amount],tbl_WIP[Job Number],A84,tbl_WIP[Month],"&lt;"&amp;$C$4))</f>
        <v/>
      </c>
      <c r="D84" s="11">
        <f>IF(A84="","",SUMIFS(tbl_WIP[Amount],tbl_WIP[Job Number],A84,tbl_WIP[Month],$C$4))</f>
        <v/>
      </c>
      <c r="E84" s="11">
        <f>IF(A84="","",C84+D84)</f>
        <v/>
      </c>
      <c r="F84" s="10">
        <f>IF(A84="","",IF(AND(ROUND(C84,2)=0,ROUND(D84,2)=0),"","yes"))</f>
        <v/>
      </c>
      <c r="G84" s="39" t="n"/>
      <c r="H84" s="11">
        <f>IF(OR(A84="",G84=""),"",E84-G84)</f>
        <v/>
      </c>
    </row>
    <row r="85">
      <c r="A85" s="10">
        <f>IF(INDEX(lst_Jobs,72)="","",INDEX(lst_Jobs,72)&amp;"")</f>
        <v/>
      </c>
      <c r="B85" s="10">
        <f>IF(A85="","",INDEX(lst_JobName,72)&amp;"")</f>
        <v/>
      </c>
      <c r="C85" s="11">
        <f>IF(A85="","",SUMIFS(tbl_WIP[Amount],tbl_WIP[Job Number],A85,tbl_WIP[Month],"&lt;"&amp;$C$4))</f>
        <v/>
      </c>
      <c r="D85" s="11">
        <f>IF(A85="","",SUMIFS(tbl_WIP[Amount],tbl_WIP[Job Number],A85,tbl_WIP[Month],$C$4))</f>
        <v/>
      </c>
      <c r="E85" s="11">
        <f>IF(A85="","",C85+D85)</f>
        <v/>
      </c>
      <c r="F85" s="10">
        <f>IF(A85="","",IF(AND(ROUND(C85,2)=0,ROUND(D85,2)=0),"","yes"))</f>
        <v/>
      </c>
      <c r="G85" s="39" t="n"/>
      <c r="H85" s="11">
        <f>IF(OR(A85="",G85=""),"",E85-G85)</f>
        <v/>
      </c>
    </row>
    <row r="86">
      <c r="A86" s="10">
        <f>IF(INDEX(lst_Jobs,73)="","",INDEX(lst_Jobs,73)&amp;"")</f>
        <v/>
      </c>
      <c r="B86" s="10">
        <f>IF(A86="","",INDEX(lst_JobName,73)&amp;"")</f>
        <v/>
      </c>
      <c r="C86" s="11">
        <f>IF(A86="","",SUMIFS(tbl_WIP[Amount],tbl_WIP[Job Number],A86,tbl_WIP[Month],"&lt;"&amp;$C$4))</f>
        <v/>
      </c>
      <c r="D86" s="11">
        <f>IF(A86="","",SUMIFS(tbl_WIP[Amount],tbl_WIP[Job Number],A86,tbl_WIP[Month],$C$4))</f>
        <v/>
      </c>
      <c r="E86" s="11">
        <f>IF(A86="","",C86+D86)</f>
        <v/>
      </c>
      <c r="F86" s="10">
        <f>IF(A86="","",IF(AND(ROUND(C86,2)=0,ROUND(D86,2)=0),"","yes"))</f>
        <v/>
      </c>
      <c r="G86" s="39" t="n"/>
      <c r="H86" s="11">
        <f>IF(OR(A86="",G86=""),"",E86-G86)</f>
        <v/>
      </c>
    </row>
    <row r="87">
      <c r="A87" s="10">
        <f>IF(INDEX(lst_Jobs,74)="","",INDEX(lst_Jobs,74)&amp;"")</f>
        <v/>
      </c>
      <c r="B87" s="10">
        <f>IF(A87="","",INDEX(lst_JobName,74)&amp;"")</f>
        <v/>
      </c>
      <c r="C87" s="11">
        <f>IF(A87="","",SUMIFS(tbl_WIP[Amount],tbl_WIP[Job Number],A87,tbl_WIP[Month],"&lt;"&amp;$C$4))</f>
        <v/>
      </c>
      <c r="D87" s="11">
        <f>IF(A87="","",SUMIFS(tbl_WIP[Amount],tbl_WIP[Job Number],A87,tbl_WIP[Month],$C$4))</f>
        <v/>
      </c>
      <c r="E87" s="11">
        <f>IF(A87="","",C87+D87)</f>
        <v/>
      </c>
      <c r="F87" s="10">
        <f>IF(A87="","",IF(AND(ROUND(C87,2)=0,ROUND(D87,2)=0),"","yes"))</f>
        <v/>
      </c>
      <c r="G87" s="39" t="n"/>
      <c r="H87" s="11">
        <f>IF(OR(A87="",G87=""),"",E87-G87)</f>
        <v/>
      </c>
    </row>
    <row r="88">
      <c r="A88" s="10">
        <f>IF(INDEX(lst_Jobs,75)="","",INDEX(lst_Jobs,75)&amp;"")</f>
        <v/>
      </c>
      <c r="B88" s="10">
        <f>IF(A88="","",INDEX(lst_JobName,75)&amp;"")</f>
        <v/>
      </c>
      <c r="C88" s="11">
        <f>IF(A88="","",SUMIFS(tbl_WIP[Amount],tbl_WIP[Job Number],A88,tbl_WIP[Month],"&lt;"&amp;$C$4))</f>
        <v/>
      </c>
      <c r="D88" s="11">
        <f>IF(A88="","",SUMIFS(tbl_WIP[Amount],tbl_WIP[Job Number],A88,tbl_WIP[Month],$C$4))</f>
        <v/>
      </c>
      <c r="E88" s="11">
        <f>IF(A88="","",C88+D88)</f>
        <v/>
      </c>
      <c r="F88" s="10">
        <f>IF(A88="","",IF(AND(ROUND(C88,2)=0,ROUND(D88,2)=0),"","yes"))</f>
        <v/>
      </c>
      <c r="G88" s="39" t="n"/>
      <c r="H88" s="11">
        <f>IF(OR(A88="",G88=""),"",E88-G88)</f>
        <v/>
      </c>
    </row>
    <row r="89">
      <c r="A89" s="10">
        <f>IF(INDEX(lst_Jobs,76)="","",INDEX(lst_Jobs,76)&amp;"")</f>
        <v/>
      </c>
      <c r="B89" s="10">
        <f>IF(A89="","",INDEX(lst_JobName,76)&amp;"")</f>
        <v/>
      </c>
      <c r="C89" s="11">
        <f>IF(A89="","",SUMIFS(tbl_WIP[Amount],tbl_WIP[Job Number],A89,tbl_WIP[Month],"&lt;"&amp;$C$4))</f>
        <v/>
      </c>
      <c r="D89" s="11">
        <f>IF(A89="","",SUMIFS(tbl_WIP[Amount],tbl_WIP[Job Number],A89,tbl_WIP[Month],$C$4))</f>
        <v/>
      </c>
      <c r="E89" s="11">
        <f>IF(A89="","",C89+D89)</f>
        <v/>
      </c>
      <c r="F89" s="10">
        <f>IF(A89="","",IF(AND(ROUND(C89,2)=0,ROUND(D89,2)=0),"","yes"))</f>
        <v/>
      </c>
      <c r="G89" s="39" t="n"/>
      <c r="H89" s="11">
        <f>IF(OR(A89="",G89=""),"",E89-G89)</f>
        <v/>
      </c>
    </row>
    <row r="90">
      <c r="A90" s="10">
        <f>IF(INDEX(lst_Jobs,77)="","",INDEX(lst_Jobs,77)&amp;"")</f>
        <v/>
      </c>
      <c r="B90" s="10">
        <f>IF(A90="","",INDEX(lst_JobName,77)&amp;"")</f>
        <v/>
      </c>
      <c r="C90" s="11">
        <f>IF(A90="","",SUMIFS(tbl_WIP[Amount],tbl_WIP[Job Number],A90,tbl_WIP[Month],"&lt;"&amp;$C$4))</f>
        <v/>
      </c>
      <c r="D90" s="11">
        <f>IF(A90="","",SUMIFS(tbl_WIP[Amount],tbl_WIP[Job Number],A90,tbl_WIP[Month],$C$4))</f>
        <v/>
      </c>
      <c r="E90" s="11">
        <f>IF(A90="","",C90+D90)</f>
        <v/>
      </c>
      <c r="F90" s="10">
        <f>IF(A90="","",IF(AND(ROUND(C90,2)=0,ROUND(D90,2)=0),"","yes"))</f>
        <v/>
      </c>
      <c r="G90" s="39" t="n"/>
      <c r="H90" s="11">
        <f>IF(OR(A90="",G90=""),"",E90-G90)</f>
        <v/>
      </c>
    </row>
    <row r="91">
      <c r="A91" s="10">
        <f>IF(INDEX(lst_Jobs,78)="","",INDEX(lst_Jobs,78)&amp;"")</f>
        <v/>
      </c>
      <c r="B91" s="10">
        <f>IF(A91="","",INDEX(lst_JobName,78)&amp;"")</f>
        <v/>
      </c>
      <c r="C91" s="11">
        <f>IF(A91="","",SUMIFS(tbl_WIP[Amount],tbl_WIP[Job Number],A91,tbl_WIP[Month],"&lt;"&amp;$C$4))</f>
        <v/>
      </c>
      <c r="D91" s="11">
        <f>IF(A91="","",SUMIFS(tbl_WIP[Amount],tbl_WIP[Job Number],A91,tbl_WIP[Month],$C$4))</f>
        <v/>
      </c>
      <c r="E91" s="11">
        <f>IF(A91="","",C91+D91)</f>
        <v/>
      </c>
      <c r="F91" s="10">
        <f>IF(A91="","",IF(AND(ROUND(C91,2)=0,ROUND(D91,2)=0),"","yes"))</f>
        <v/>
      </c>
      <c r="G91" s="39" t="n"/>
      <c r="H91" s="11">
        <f>IF(OR(A91="",G91=""),"",E91-G91)</f>
        <v/>
      </c>
    </row>
    <row r="92">
      <c r="A92" s="10">
        <f>IF(INDEX(lst_Jobs,79)="","",INDEX(lst_Jobs,79)&amp;"")</f>
        <v/>
      </c>
      <c r="B92" s="10">
        <f>IF(A92="","",INDEX(lst_JobName,79)&amp;"")</f>
        <v/>
      </c>
      <c r="C92" s="11">
        <f>IF(A92="","",SUMIFS(tbl_WIP[Amount],tbl_WIP[Job Number],A92,tbl_WIP[Month],"&lt;"&amp;$C$4))</f>
        <v/>
      </c>
      <c r="D92" s="11">
        <f>IF(A92="","",SUMIFS(tbl_WIP[Amount],tbl_WIP[Job Number],A92,tbl_WIP[Month],$C$4))</f>
        <v/>
      </c>
      <c r="E92" s="11">
        <f>IF(A92="","",C92+D92)</f>
        <v/>
      </c>
      <c r="F92" s="10">
        <f>IF(A92="","",IF(AND(ROUND(C92,2)=0,ROUND(D92,2)=0),"","yes"))</f>
        <v/>
      </c>
      <c r="G92" s="39" t="n"/>
      <c r="H92" s="11">
        <f>IF(OR(A92="",G92=""),"",E92-G92)</f>
        <v/>
      </c>
    </row>
    <row r="93">
      <c r="A93" s="10">
        <f>IF(INDEX(lst_Jobs,80)="","",INDEX(lst_Jobs,80)&amp;"")</f>
        <v/>
      </c>
      <c r="B93" s="10">
        <f>IF(A93="","",INDEX(lst_JobName,80)&amp;"")</f>
        <v/>
      </c>
      <c r="C93" s="11">
        <f>IF(A93="","",SUMIFS(tbl_WIP[Amount],tbl_WIP[Job Number],A93,tbl_WIP[Month],"&lt;"&amp;$C$4))</f>
        <v/>
      </c>
      <c r="D93" s="11">
        <f>IF(A93="","",SUMIFS(tbl_WIP[Amount],tbl_WIP[Job Number],A93,tbl_WIP[Month],$C$4))</f>
        <v/>
      </c>
      <c r="E93" s="11">
        <f>IF(A93="","",C93+D93)</f>
        <v/>
      </c>
      <c r="F93" s="10">
        <f>IF(A93="","",IF(AND(ROUND(C93,2)=0,ROUND(D93,2)=0),"","yes"))</f>
        <v/>
      </c>
      <c r="G93" s="39" t="n"/>
      <c r="H93" s="11">
        <f>IF(OR(A93="",G93=""),"",E93-G93)</f>
        <v/>
      </c>
    </row>
    <row r="94">
      <c r="A94" s="10">
        <f>IF(INDEX(lst_Jobs,81)="","",INDEX(lst_Jobs,81)&amp;"")</f>
        <v/>
      </c>
      <c r="B94" s="10">
        <f>IF(A94="","",INDEX(lst_JobName,81)&amp;"")</f>
        <v/>
      </c>
      <c r="C94" s="11">
        <f>IF(A94="","",SUMIFS(tbl_WIP[Amount],tbl_WIP[Job Number],A94,tbl_WIP[Month],"&lt;"&amp;$C$4))</f>
        <v/>
      </c>
      <c r="D94" s="11">
        <f>IF(A94="","",SUMIFS(tbl_WIP[Amount],tbl_WIP[Job Number],A94,tbl_WIP[Month],$C$4))</f>
        <v/>
      </c>
      <c r="E94" s="11">
        <f>IF(A94="","",C94+D94)</f>
        <v/>
      </c>
      <c r="F94" s="10">
        <f>IF(A94="","",IF(AND(ROUND(C94,2)=0,ROUND(D94,2)=0),"","yes"))</f>
        <v/>
      </c>
      <c r="G94" s="39" t="n"/>
      <c r="H94" s="11">
        <f>IF(OR(A94="",G94=""),"",E94-G94)</f>
        <v/>
      </c>
    </row>
    <row r="95">
      <c r="A95" s="10">
        <f>IF(INDEX(lst_Jobs,82)="","",INDEX(lst_Jobs,82)&amp;"")</f>
        <v/>
      </c>
      <c r="B95" s="10">
        <f>IF(A95="","",INDEX(lst_JobName,82)&amp;"")</f>
        <v/>
      </c>
      <c r="C95" s="11">
        <f>IF(A95="","",SUMIFS(tbl_WIP[Amount],tbl_WIP[Job Number],A95,tbl_WIP[Month],"&lt;"&amp;$C$4))</f>
        <v/>
      </c>
      <c r="D95" s="11">
        <f>IF(A95="","",SUMIFS(tbl_WIP[Amount],tbl_WIP[Job Number],A95,tbl_WIP[Month],$C$4))</f>
        <v/>
      </c>
      <c r="E95" s="11">
        <f>IF(A95="","",C95+D95)</f>
        <v/>
      </c>
      <c r="F95" s="10">
        <f>IF(A95="","",IF(AND(ROUND(C95,2)=0,ROUND(D95,2)=0),"","yes"))</f>
        <v/>
      </c>
      <c r="G95" s="39" t="n"/>
      <c r="H95" s="11">
        <f>IF(OR(A95="",G95=""),"",E95-G95)</f>
        <v/>
      </c>
    </row>
    <row r="96">
      <c r="A96" s="10">
        <f>IF(INDEX(lst_Jobs,83)="","",INDEX(lst_Jobs,83)&amp;"")</f>
        <v/>
      </c>
      <c r="B96" s="10">
        <f>IF(A96="","",INDEX(lst_JobName,83)&amp;"")</f>
        <v/>
      </c>
      <c r="C96" s="11">
        <f>IF(A96="","",SUMIFS(tbl_WIP[Amount],tbl_WIP[Job Number],A96,tbl_WIP[Month],"&lt;"&amp;$C$4))</f>
        <v/>
      </c>
      <c r="D96" s="11">
        <f>IF(A96="","",SUMIFS(tbl_WIP[Amount],tbl_WIP[Job Number],A96,tbl_WIP[Month],$C$4))</f>
        <v/>
      </c>
      <c r="E96" s="11">
        <f>IF(A96="","",C96+D96)</f>
        <v/>
      </c>
      <c r="F96" s="10">
        <f>IF(A96="","",IF(AND(ROUND(C96,2)=0,ROUND(D96,2)=0),"","yes"))</f>
        <v/>
      </c>
      <c r="G96" s="39" t="n"/>
      <c r="H96" s="11">
        <f>IF(OR(A96="",G96=""),"",E96-G96)</f>
        <v/>
      </c>
    </row>
    <row r="97">
      <c r="A97" s="10">
        <f>IF(INDEX(lst_Jobs,84)="","",INDEX(lst_Jobs,84)&amp;"")</f>
        <v/>
      </c>
      <c r="B97" s="10">
        <f>IF(A97="","",INDEX(lst_JobName,84)&amp;"")</f>
        <v/>
      </c>
      <c r="C97" s="11">
        <f>IF(A97="","",SUMIFS(tbl_WIP[Amount],tbl_WIP[Job Number],A97,tbl_WIP[Month],"&lt;"&amp;$C$4))</f>
        <v/>
      </c>
      <c r="D97" s="11">
        <f>IF(A97="","",SUMIFS(tbl_WIP[Amount],tbl_WIP[Job Number],A97,tbl_WIP[Month],$C$4))</f>
        <v/>
      </c>
      <c r="E97" s="11">
        <f>IF(A97="","",C97+D97)</f>
        <v/>
      </c>
      <c r="F97" s="10">
        <f>IF(A97="","",IF(AND(ROUND(C97,2)=0,ROUND(D97,2)=0),"","yes"))</f>
        <v/>
      </c>
      <c r="G97" s="39" t="n"/>
      <c r="H97" s="11">
        <f>IF(OR(A97="",G97=""),"",E97-G97)</f>
        <v/>
      </c>
    </row>
    <row r="98">
      <c r="A98" s="10">
        <f>IF(INDEX(lst_Jobs,85)="","",INDEX(lst_Jobs,85)&amp;"")</f>
        <v/>
      </c>
      <c r="B98" s="10">
        <f>IF(A98="","",INDEX(lst_JobName,85)&amp;"")</f>
        <v/>
      </c>
      <c r="C98" s="11">
        <f>IF(A98="","",SUMIFS(tbl_WIP[Amount],tbl_WIP[Job Number],A98,tbl_WIP[Month],"&lt;"&amp;$C$4))</f>
        <v/>
      </c>
      <c r="D98" s="11">
        <f>IF(A98="","",SUMIFS(tbl_WIP[Amount],tbl_WIP[Job Number],A98,tbl_WIP[Month],$C$4))</f>
        <v/>
      </c>
      <c r="E98" s="11">
        <f>IF(A98="","",C98+D98)</f>
        <v/>
      </c>
      <c r="F98" s="10">
        <f>IF(A98="","",IF(AND(ROUND(C98,2)=0,ROUND(D98,2)=0),"","yes"))</f>
        <v/>
      </c>
      <c r="G98" s="39" t="n"/>
      <c r="H98" s="11">
        <f>IF(OR(A98="",G98=""),"",E98-G98)</f>
        <v/>
      </c>
    </row>
    <row r="99">
      <c r="A99" s="10">
        <f>IF(INDEX(lst_Jobs,86)="","",INDEX(lst_Jobs,86)&amp;"")</f>
        <v/>
      </c>
      <c r="B99" s="10">
        <f>IF(A99="","",INDEX(lst_JobName,86)&amp;"")</f>
        <v/>
      </c>
      <c r="C99" s="11">
        <f>IF(A99="","",SUMIFS(tbl_WIP[Amount],tbl_WIP[Job Number],A99,tbl_WIP[Month],"&lt;"&amp;$C$4))</f>
        <v/>
      </c>
      <c r="D99" s="11">
        <f>IF(A99="","",SUMIFS(tbl_WIP[Amount],tbl_WIP[Job Number],A99,tbl_WIP[Month],$C$4))</f>
        <v/>
      </c>
      <c r="E99" s="11">
        <f>IF(A99="","",C99+D99)</f>
        <v/>
      </c>
      <c r="F99" s="10">
        <f>IF(A99="","",IF(AND(ROUND(C99,2)=0,ROUND(D99,2)=0),"","yes"))</f>
        <v/>
      </c>
      <c r="G99" s="39" t="n"/>
      <c r="H99" s="11">
        <f>IF(OR(A99="",G99=""),"",E99-G99)</f>
        <v/>
      </c>
    </row>
    <row r="100">
      <c r="A100" s="10">
        <f>IF(INDEX(lst_Jobs,87)="","",INDEX(lst_Jobs,87)&amp;"")</f>
        <v/>
      </c>
      <c r="B100" s="10">
        <f>IF(A100="","",INDEX(lst_JobName,87)&amp;"")</f>
        <v/>
      </c>
      <c r="C100" s="11">
        <f>IF(A100="","",SUMIFS(tbl_WIP[Amount],tbl_WIP[Job Number],A100,tbl_WIP[Month],"&lt;"&amp;$C$4))</f>
        <v/>
      </c>
      <c r="D100" s="11">
        <f>IF(A100="","",SUMIFS(tbl_WIP[Amount],tbl_WIP[Job Number],A100,tbl_WIP[Month],$C$4))</f>
        <v/>
      </c>
      <c r="E100" s="11">
        <f>IF(A100="","",C100+D100)</f>
        <v/>
      </c>
      <c r="F100" s="10">
        <f>IF(A100="","",IF(AND(ROUND(C100,2)=0,ROUND(D100,2)=0),"","yes"))</f>
        <v/>
      </c>
      <c r="G100" s="39" t="n"/>
      <c r="H100" s="11">
        <f>IF(OR(A100="",G100=""),"",E100-G100)</f>
        <v/>
      </c>
    </row>
    <row r="101">
      <c r="A101" s="10">
        <f>IF(INDEX(lst_Jobs,88)="","",INDEX(lst_Jobs,88)&amp;"")</f>
        <v/>
      </c>
      <c r="B101" s="10">
        <f>IF(A101="","",INDEX(lst_JobName,88)&amp;"")</f>
        <v/>
      </c>
      <c r="C101" s="11">
        <f>IF(A101="","",SUMIFS(tbl_WIP[Amount],tbl_WIP[Job Number],A101,tbl_WIP[Month],"&lt;"&amp;$C$4))</f>
        <v/>
      </c>
      <c r="D101" s="11">
        <f>IF(A101="","",SUMIFS(tbl_WIP[Amount],tbl_WIP[Job Number],A101,tbl_WIP[Month],$C$4))</f>
        <v/>
      </c>
      <c r="E101" s="11">
        <f>IF(A101="","",C101+D101)</f>
        <v/>
      </c>
      <c r="F101" s="10">
        <f>IF(A101="","",IF(AND(ROUND(C101,2)=0,ROUND(D101,2)=0),"","yes"))</f>
        <v/>
      </c>
      <c r="G101" s="39" t="n"/>
      <c r="H101" s="11">
        <f>IF(OR(A101="",G101=""),"",E101-G101)</f>
        <v/>
      </c>
    </row>
    <row r="102">
      <c r="A102" s="10">
        <f>IF(INDEX(lst_Jobs,89)="","",INDEX(lst_Jobs,89)&amp;"")</f>
        <v/>
      </c>
      <c r="B102" s="10">
        <f>IF(A102="","",INDEX(lst_JobName,89)&amp;"")</f>
        <v/>
      </c>
      <c r="C102" s="11">
        <f>IF(A102="","",SUMIFS(tbl_WIP[Amount],tbl_WIP[Job Number],A102,tbl_WIP[Month],"&lt;"&amp;$C$4))</f>
        <v/>
      </c>
      <c r="D102" s="11">
        <f>IF(A102="","",SUMIFS(tbl_WIP[Amount],tbl_WIP[Job Number],A102,tbl_WIP[Month],$C$4))</f>
        <v/>
      </c>
      <c r="E102" s="11">
        <f>IF(A102="","",C102+D102)</f>
        <v/>
      </c>
      <c r="F102" s="10">
        <f>IF(A102="","",IF(AND(ROUND(C102,2)=0,ROUND(D102,2)=0),"","yes"))</f>
        <v/>
      </c>
      <c r="G102" s="39" t="n"/>
      <c r="H102" s="11">
        <f>IF(OR(A102="",G102=""),"",E102-G102)</f>
        <v/>
      </c>
    </row>
    <row r="103">
      <c r="A103" s="10">
        <f>IF(INDEX(lst_Jobs,90)="","",INDEX(lst_Jobs,90)&amp;"")</f>
        <v/>
      </c>
      <c r="B103" s="10">
        <f>IF(A103="","",INDEX(lst_JobName,90)&amp;"")</f>
        <v/>
      </c>
      <c r="C103" s="11">
        <f>IF(A103="","",SUMIFS(tbl_WIP[Amount],tbl_WIP[Job Number],A103,tbl_WIP[Month],"&lt;"&amp;$C$4))</f>
        <v/>
      </c>
      <c r="D103" s="11">
        <f>IF(A103="","",SUMIFS(tbl_WIP[Amount],tbl_WIP[Job Number],A103,tbl_WIP[Month],$C$4))</f>
        <v/>
      </c>
      <c r="E103" s="11">
        <f>IF(A103="","",C103+D103)</f>
        <v/>
      </c>
      <c r="F103" s="10">
        <f>IF(A103="","",IF(AND(ROUND(C103,2)=0,ROUND(D103,2)=0),"","yes"))</f>
        <v/>
      </c>
      <c r="G103" s="39" t="n"/>
      <c r="H103" s="11">
        <f>IF(OR(A103="",G103=""),"",E103-G103)</f>
        <v/>
      </c>
    </row>
    <row r="104">
      <c r="A104" s="10">
        <f>IF(INDEX(lst_Jobs,91)="","",INDEX(lst_Jobs,91)&amp;"")</f>
        <v/>
      </c>
      <c r="B104" s="10">
        <f>IF(A104="","",INDEX(lst_JobName,91)&amp;"")</f>
        <v/>
      </c>
      <c r="C104" s="11">
        <f>IF(A104="","",SUMIFS(tbl_WIP[Amount],tbl_WIP[Job Number],A104,tbl_WIP[Month],"&lt;"&amp;$C$4))</f>
        <v/>
      </c>
      <c r="D104" s="11">
        <f>IF(A104="","",SUMIFS(tbl_WIP[Amount],tbl_WIP[Job Number],A104,tbl_WIP[Month],$C$4))</f>
        <v/>
      </c>
      <c r="E104" s="11">
        <f>IF(A104="","",C104+D104)</f>
        <v/>
      </c>
      <c r="F104" s="10">
        <f>IF(A104="","",IF(AND(ROUND(C104,2)=0,ROUND(D104,2)=0),"","yes"))</f>
        <v/>
      </c>
      <c r="G104" s="39" t="n"/>
      <c r="H104" s="11">
        <f>IF(OR(A104="",G104=""),"",E104-G104)</f>
        <v/>
      </c>
    </row>
    <row r="105">
      <c r="A105" s="10">
        <f>IF(INDEX(lst_Jobs,92)="","",INDEX(lst_Jobs,92)&amp;"")</f>
        <v/>
      </c>
      <c r="B105" s="10">
        <f>IF(A105="","",INDEX(lst_JobName,92)&amp;"")</f>
        <v/>
      </c>
      <c r="C105" s="11">
        <f>IF(A105="","",SUMIFS(tbl_WIP[Amount],tbl_WIP[Job Number],A105,tbl_WIP[Month],"&lt;"&amp;$C$4))</f>
        <v/>
      </c>
      <c r="D105" s="11">
        <f>IF(A105="","",SUMIFS(tbl_WIP[Amount],tbl_WIP[Job Number],A105,tbl_WIP[Month],$C$4))</f>
        <v/>
      </c>
      <c r="E105" s="11">
        <f>IF(A105="","",C105+D105)</f>
        <v/>
      </c>
      <c r="F105" s="10">
        <f>IF(A105="","",IF(AND(ROUND(C105,2)=0,ROUND(D105,2)=0),"","yes"))</f>
        <v/>
      </c>
      <c r="G105" s="39" t="n"/>
      <c r="H105" s="11">
        <f>IF(OR(A105="",G105=""),"",E105-G105)</f>
        <v/>
      </c>
    </row>
    <row r="106">
      <c r="A106" s="10">
        <f>IF(INDEX(lst_Jobs,93)="","",INDEX(lst_Jobs,93)&amp;"")</f>
        <v/>
      </c>
      <c r="B106" s="10">
        <f>IF(A106="","",INDEX(lst_JobName,93)&amp;"")</f>
        <v/>
      </c>
      <c r="C106" s="11">
        <f>IF(A106="","",SUMIFS(tbl_WIP[Amount],tbl_WIP[Job Number],A106,tbl_WIP[Month],"&lt;"&amp;$C$4))</f>
        <v/>
      </c>
      <c r="D106" s="11">
        <f>IF(A106="","",SUMIFS(tbl_WIP[Amount],tbl_WIP[Job Number],A106,tbl_WIP[Month],$C$4))</f>
        <v/>
      </c>
      <c r="E106" s="11">
        <f>IF(A106="","",C106+D106)</f>
        <v/>
      </c>
      <c r="F106" s="10">
        <f>IF(A106="","",IF(AND(ROUND(C106,2)=0,ROUND(D106,2)=0),"","yes"))</f>
        <v/>
      </c>
      <c r="G106" s="39" t="n"/>
      <c r="H106" s="11">
        <f>IF(OR(A106="",G106=""),"",E106-G106)</f>
        <v/>
      </c>
    </row>
    <row r="107">
      <c r="A107" s="10">
        <f>IF(INDEX(lst_Jobs,94)="","",INDEX(lst_Jobs,94)&amp;"")</f>
        <v/>
      </c>
      <c r="B107" s="10">
        <f>IF(A107="","",INDEX(lst_JobName,94)&amp;"")</f>
        <v/>
      </c>
      <c r="C107" s="11">
        <f>IF(A107="","",SUMIFS(tbl_WIP[Amount],tbl_WIP[Job Number],A107,tbl_WIP[Month],"&lt;"&amp;$C$4))</f>
        <v/>
      </c>
      <c r="D107" s="11">
        <f>IF(A107="","",SUMIFS(tbl_WIP[Amount],tbl_WIP[Job Number],A107,tbl_WIP[Month],$C$4))</f>
        <v/>
      </c>
      <c r="E107" s="11">
        <f>IF(A107="","",C107+D107)</f>
        <v/>
      </c>
      <c r="F107" s="10">
        <f>IF(A107="","",IF(AND(ROUND(C107,2)=0,ROUND(D107,2)=0),"","yes"))</f>
        <v/>
      </c>
      <c r="G107" s="39" t="n"/>
      <c r="H107" s="11">
        <f>IF(OR(A107="",G107=""),"",E107-G107)</f>
        <v/>
      </c>
    </row>
    <row r="108">
      <c r="A108" s="10">
        <f>IF(INDEX(lst_Jobs,95)="","",INDEX(lst_Jobs,95)&amp;"")</f>
        <v/>
      </c>
      <c r="B108" s="10">
        <f>IF(A108="","",INDEX(lst_JobName,95)&amp;"")</f>
        <v/>
      </c>
      <c r="C108" s="11">
        <f>IF(A108="","",SUMIFS(tbl_WIP[Amount],tbl_WIP[Job Number],A108,tbl_WIP[Month],"&lt;"&amp;$C$4))</f>
        <v/>
      </c>
      <c r="D108" s="11">
        <f>IF(A108="","",SUMIFS(tbl_WIP[Amount],tbl_WIP[Job Number],A108,tbl_WIP[Month],$C$4))</f>
        <v/>
      </c>
      <c r="E108" s="11">
        <f>IF(A108="","",C108+D108)</f>
        <v/>
      </c>
      <c r="F108" s="10">
        <f>IF(A108="","",IF(AND(ROUND(C108,2)=0,ROUND(D108,2)=0),"","yes"))</f>
        <v/>
      </c>
      <c r="G108" s="39" t="n"/>
      <c r="H108" s="11">
        <f>IF(OR(A108="",G108=""),"",E108-G108)</f>
        <v/>
      </c>
    </row>
    <row r="109">
      <c r="A109" s="10">
        <f>IF(INDEX(lst_Jobs,96)="","",INDEX(lst_Jobs,96)&amp;"")</f>
        <v/>
      </c>
      <c r="B109" s="10">
        <f>IF(A109="","",INDEX(lst_JobName,96)&amp;"")</f>
        <v/>
      </c>
      <c r="C109" s="11">
        <f>IF(A109="","",SUMIFS(tbl_WIP[Amount],tbl_WIP[Job Number],A109,tbl_WIP[Month],"&lt;"&amp;$C$4))</f>
        <v/>
      </c>
      <c r="D109" s="11">
        <f>IF(A109="","",SUMIFS(tbl_WIP[Amount],tbl_WIP[Job Number],A109,tbl_WIP[Month],$C$4))</f>
        <v/>
      </c>
      <c r="E109" s="11">
        <f>IF(A109="","",C109+D109)</f>
        <v/>
      </c>
      <c r="F109" s="10">
        <f>IF(A109="","",IF(AND(ROUND(C109,2)=0,ROUND(D109,2)=0),"","yes"))</f>
        <v/>
      </c>
      <c r="G109" s="39" t="n"/>
      <c r="H109" s="11">
        <f>IF(OR(A109="",G109=""),"",E109-G109)</f>
        <v/>
      </c>
    </row>
    <row r="110">
      <c r="A110" s="10">
        <f>IF(INDEX(lst_Jobs,97)="","",INDEX(lst_Jobs,97)&amp;"")</f>
        <v/>
      </c>
      <c r="B110" s="10">
        <f>IF(A110="","",INDEX(lst_JobName,97)&amp;"")</f>
        <v/>
      </c>
      <c r="C110" s="11">
        <f>IF(A110="","",SUMIFS(tbl_WIP[Amount],tbl_WIP[Job Number],A110,tbl_WIP[Month],"&lt;"&amp;$C$4))</f>
        <v/>
      </c>
      <c r="D110" s="11">
        <f>IF(A110="","",SUMIFS(tbl_WIP[Amount],tbl_WIP[Job Number],A110,tbl_WIP[Month],$C$4))</f>
        <v/>
      </c>
      <c r="E110" s="11">
        <f>IF(A110="","",C110+D110)</f>
        <v/>
      </c>
      <c r="F110" s="10">
        <f>IF(A110="","",IF(AND(ROUND(C110,2)=0,ROUND(D110,2)=0),"","yes"))</f>
        <v/>
      </c>
      <c r="G110" s="39" t="n"/>
      <c r="H110" s="11">
        <f>IF(OR(A110="",G110=""),"",E110-G110)</f>
        <v/>
      </c>
    </row>
    <row r="111">
      <c r="A111" s="10">
        <f>IF(INDEX(lst_Jobs,98)="","",INDEX(lst_Jobs,98)&amp;"")</f>
        <v/>
      </c>
      <c r="B111" s="10">
        <f>IF(A111="","",INDEX(lst_JobName,98)&amp;"")</f>
        <v/>
      </c>
      <c r="C111" s="11">
        <f>IF(A111="","",SUMIFS(tbl_WIP[Amount],tbl_WIP[Job Number],A111,tbl_WIP[Month],"&lt;"&amp;$C$4))</f>
        <v/>
      </c>
      <c r="D111" s="11">
        <f>IF(A111="","",SUMIFS(tbl_WIP[Amount],tbl_WIP[Job Number],A111,tbl_WIP[Month],$C$4))</f>
        <v/>
      </c>
      <c r="E111" s="11">
        <f>IF(A111="","",C111+D111)</f>
        <v/>
      </c>
      <c r="F111" s="10">
        <f>IF(A111="","",IF(AND(ROUND(C111,2)=0,ROUND(D111,2)=0),"","yes"))</f>
        <v/>
      </c>
      <c r="G111" s="39" t="n"/>
      <c r="H111" s="11">
        <f>IF(OR(A111="",G111=""),"",E111-G111)</f>
        <v/>
      </c>
    </row>
    <row r="112">
      <c r="A112" s="10">
        <f>IF(INDEX(lst_Jobs,99)="","",INDEX(lst_Jobs,99)&amp;"")</f>
        <v/>
      </c>
      <c r="B112" s="10">
        <f>IF(A112="","",INDEX(lst_JobName,99)&amp;"")</f>
        <v/>
      </c>
      <c r="C112" s="11">
        <f>IF(A112="","",SUMIFS(tbl_WIP[Amount],tbl_WIP[Job Number],A112,tbl_WIP[Month],"&lt;"&amp;$C$4))</f>
        <v/>
      </c>
      <c r="D112" s="11">
        <f>IF(A112="","",SUMIFS(tbl_WIP[Amount],tbl_WIP[Job Number],A112,tbl_WIP[Month],$C$4))</f>
        <v/>
      </c>
      <c r="E112" s="11">
        <f>IF(A112="","",C112+D112)</f>
        <v/>
      </c>
      <c r="F112" s="10">
        <f>IF(A112="","",IF(AND(ROUND(C112,2)=0,ROUND(D112,2)=0),"","yes"))</f>
        <v/>
      </c>
      <c r="G112" s="39" t="n"/>
      <c r="H112" s="11">
        <f>IF(OR(A112="",G112=""),"",E112-G112)</f>
        <v/>
      </c>
    </row>
    <row r="113">
      <c r="A113" s="10">
        <f>IF(INDEX(lst_Jobs,100)="","",INDEX(lst_Jobs,100)&amp;"")</f>
        <v/>
      </c>
      <c r="B113" s="10">
        <f>IF(A113="","",INDEX(lst_JobName,100)&amp;"")</f>
        <v/>
      </c>
      <c r="C113" s="11">
        <f>IF(A113="","",SUMIFS(tbl_WIP[Amount],tbl_WIP[Job Number],A113,tbl_WIP[Month],"&lt;"&amp;$C$4))</f>
        <v/>
      </c>
      <c r="D113" s="11">
        <f>IF(A113="","",SUMIFS(tbl_WIP[Amount],tbl_WIP[Job Number],A113,tbl_WIP[Month],$C$4))</f>
        <v/>
      </c>
      <c r="E113" s="11">
        <f>IF(A113="","",C113+D113)</f>
        <v/>
      </c>
      <c r="F113" s="10">
        <f>IF(A113="","",IF(AND(ROUND(C113,2)=0,ROUND(D113,2)=0),"","yes"))</f>
        <v/>
      </c>
      <c r="G113" s="39" t="n"/>
      <c r="H113" s="11">
        <f>IF(OR(A113="",G113=""),"",E113-G113)</f>
        <v/>
      </c>
    </row>
    <row r="114">
      <c r="A114" s="10">
        <f>IF(INDEX(lst_Jobs,101)="","",INDEX(lst_Jobs,101)&amp;"")</f>
        <v/>
      </c>
      <c r="B114" s="10">
        <f>IF(A114="","",INDEX(lst_JobName,101)&amp;"")</f>
        <v/>
      </c>
      <c r="C114" s="11">
        <f>IF(A114="","",SUMIFS(tbl_WIP[Amount],tbl_WIP[Job Number],A114,tbl_WIP[Month],"&lt;"&amp;$C$4))</f>
        <v/>
      </c>
      <c r="D114" s="11">
        <f>IF(A114="","",SUMIFS(tbl_WIP[Amount],tbl_WIP[Job Number],A114,tbl_WIP[Month],$C$4))</f>
        <v/>
      </c>
      <c r="E114" s="11">
        <f>IF(A114="","",C114+D114)</f>
        <v/>
      </c>
      <c r="F114" s="10">
        <f>IF(A114="","",IF(AND(ROUND(C114,2)=0,ROUND(D114,2)=0),"","yes"))</f>
        <v/>
      </c>
      <c r="G114" s="39" t="n"/>
      <c r="H114" s="11">
        <f>IF(OR(A114="",G114=""),"",E114-G114)</f>
        <v/>
      </c>
    </row>
    <row r="115">
      <c r="A115" s="10">
        <f>IF(INDEX(lst_Jobs,102)="","",INDEX(lst_Jobs,102)&amp;"")</f>
        <v/>
      </c>
      <c r="B115" s="10">
        <f>IF(A115="","",INDEX(lst_JobName,102)&amp;"")</f>
        <v/>
      </c>
      <c r="C115" s="11">
        <f>IF(A115="","",SUMIFS(tbl_WIP[Amount],tbl_WIP[Job Number],A115,tbl_WIP[Month],"&lt;"&amp;$C$4))</f>
        <v/>
      </c>
      <c r="D115" s="11">
        <f>IF(A115="","",SUMIFS(tbl_WIP[Amount],tbl_WIP[Job Number],A115,tbl_WIP[Month],$C$4))</f>
        <v/>
      </c>
      <c r="E115" s="11">
        <f>IF(A115="","",C115+D115)</f>
        <v/>
      </c>
      <c r="F115" s="10">
        <f>IF(A115="","",IF(AND(ROUND(C115,2)=0,ROUND(D115,2)=0),"","yes"))</f>
        <v/>
      </c>
      <c r="G115" s="39" t="n"/>
      <c r="H115" s="11">
        <f>IF(OR(A115="",G115=""),"",E115-G115)</f>
        <v/>
      </c>
    </row>
    <row r="116">
      <c r="A116" s="10">
        <f>IF(INDEX(lst_Jobs,103)="","",INDEX(lst_Jobs,103)&amp;"")</f>
        <v/>
      </c>
      <c r="B116" s="10">
        <f>IF(A116="","",INDEX(lst_JobName,103)&amp;"")</f>
        <v/>
      </c>
      <c r="C116" s="11">
        <f>IF(A116="","",SUMIFS(tbl_WIP[Amount],tbl_WIP[Job Number],A116,tbl_WIP[Month],"&lt;"&amp;$C$4))</f>
        <v/>
      </c>
      <c r="D116" s="11">
        <f>IF(A116="","",SUMIFS(tbl_WIP[Amount],tbl_WIP[Job Number],A116,tbl_WIP[Month],$C$4))</f>
        <v/>
      </c>
      <c r="E116" s="11">
        <f>IF(A116="","",C116+D116)</f>
        <v/>
      </c>
      <c r="F116" s="10">
        <f>IF(A116="","",IF(AND(ROUND(C116,2)=0,ROUND(D116,2)=0),"","yes"))</f>
        <v/>
      </c>
      <c r="G116" s="39" t="n"/>
      <c r="H116" s="11">
        <f>IF(OR(A116="",G116=""),"",E116-G116)</f>
        <v/>
      </c>
    </row>
    <row r="117">
      <c r="A117" s="10">
        <f>IF(INDEX(lst_Jobs,104)="","",INDEX(lst_Jobs,104)&amp;"")</f>
        <v/>
      </c>
      <c r="B117" s="10">
        <f>IF(A117="","",INDEX(lst_JobName,104)&amp;"")</f>
        <v/>
      </c>
      <c r="C117" s="11">
        <f>IF(A117="","",SUMIFS(tbl_WIP[Amount],tbl_WIP[Job Number],A117,tbl_WIP[Month],"&lt;"&amp;$C$4))</f>
        <v/>
      </c>
      <c r="D117" s="11">
        <f>IF(A117="","",SUMIFS(tbl_WIP[Amount],tbl_WIP[Job Number],A117,tbl_WIP[Month],$C$4))</f>
        <v/>
      </c>
      <c r="E117" s="11">
        <f>IF(A117="","",C117+D117)</f>
        <v/>
      </c>
      <c r="F117" s="10">
        <f>IF(A117="","",IF(AND(ROUND(C117,2)=0,ROUND(D117,2)=0),"","yes"))</f>
        <v/>
      </c>
      <c r="G117" s="39" t="n"/>
      <c r="H117" s="11">
        <f>IF(OR(A117="",G117=""),"",E117-G117)</f>
        <v/>
      </c>
    </row>
    <row r="118">
      <c r="A118" s="10">
        <f>IF(INDEX(lst_Jobs,105)="","",INDEX(lst_Jobs,105)&amp;"")</f>
        <v/>
      </c>
      <c r="B118" s="10">
        <f>IF(A118="","",INDEX(lst_JobName,105)&amp;"")</f>
        <v/>
      </c>
      <c r="C118" s="11">
        <f>IF(A118="","",SUMIFS(tbl_WIP[Amount],tbl_WIP[Job Number],A118,tbl_WIP[Month],"&lt;"&amp;$C$4))</f>
        <v/>
      </c>
      <c r="D118" s="11">
        <f>IF(A118="","",SUMIFS(tbl_WIP[Amount],tbl_WIP[Job Number],A118,tbl_WIP[Month],$C$4))</f>
        <v/>
      </c>
      <c r="E118" s="11">
        <f>IF(A118="","",C118+D118)</f>
        <v/>
      </c>
      <c r="F118" s="10">
        <f>IF(A118="","",IF(AND(ROUND(C118,2)=0,ROUND(D118,2)=0),"","yes"))</f>
        <v/>
      </c>
      <c r="G118" s="39" t="n"/>
      <c r="H118" s="11">
        <f>IF(OR(A118="",G118=""),"",E118-G118)</f>
        <v/>
      </c>
    </row>
    <row r="119">
      <c r="A119" s="10">
        <f>IF(INDEX(lst_Jobs,106)="","",INDEX(lst_Jobs,106)&amp;"")</f>
        <v/>
      </c>
      <c r="B119" s="10">
        <f>IF(A119="","",INDEX(lst_JobName,106)&amp;"")</f>
        <v/>
      </c>
      <c r="C119" s="11">
        <f>IF(A119="","",SUMIFS(tbl_WIP[Amount],tbl_WIP[Job Number],A119,tbl_WIP[Month],"&lt;"&amp;$C$4))</f>
        <v/>
      </c>
      <c r="D119" s="11">
        <f>IF(A119="","",SUMIFS(tbl_WIP[Amount],tbl_WIP[Job Number],A119,tbl_WIP[Month],$C$4))</f>
        <v/>
      </c>
      <c r="E119" s="11">
        <f>IF(A119="","",C119+D119)</f>
        <v/>
      </c>
      <c r="F119" s="10">
        <f>IF(A119="","",IF(AND(ROUND(C119,2)=0,ROUND(D119,2)=0),"","yes"))</f>
        <v/>
      </c>
      <c r="G119" s="39" t="n"/>
      <c r="H119" s="11">
        <f>IF(OR(A119="",G119=""),"",E119-G119)</f>
        <v/>
      </c>
    </row>
    <row r="120">
      <c r="A120" s="10">
        <f>IF(INDEX(lst_Jobs,107)="","",INDEX(lst_Jobs,107)&amp;"")</f>
        <v/>
      </c>
      <c r="B120" s="10">
        <f>IF(A120="","",INDEX(lst_JobName,107)&amp;"")</f>
        <v/>
      </c>
      <c r="C120" s="11">
        <f>IF(A120="","",SUMIFS(tbl_WIP[Amount],tbl_WIP[Job Number],A120,tbl_WIP[Month],"&lt;"&amp;$C$4))</f>
        <v/>
      </c>
      <c r="D120" s="11">
        <f>IF(A120="","",SUMIFS(tbl_WIP[Amount],tbl_WIP[Job Number],A120,tbl_WIP[Month],$C$4))</f>
        <v/>
      </c>
      <c r="E120" s="11">
        <f>IF(A120="","",C120+D120)</f>
        <v/>
      </c>
      <c r="F120" s="10">
        <f>IF(A120="","",IF(AND(ROUND(C120,2)=0,ROUND(D120,2)=0),"","yes"))</f>
        <v/>
      </c>
      <c r="G120" s="39" t="n"/>
      <c r="H120" s="11">
        <f>IF(OR(A120="",G120=""),"",E120-G120)</f>
        <v/>
      </c>
    </row>
    <row r="121">
      <c r="A121" s="10">
        <f>IF(INDEX(lst_Jobs,108)="","",INDEX(lst_Jobs,108)&amp;"")</f>
        <v/>
      </c>
      <c r="B121" s="10">
        <f>IF(A121="","",INDEX(lst_JobName,108)&amp;"")</f>
        <v/>
      </c>
      <c r="C121" s="11">
        <f>IF(A121="","",SUMIFS(tbl_WIP[Amount],tbl_WIP[Job Number],A121,tbl_WIP[Month],"&lt;"&amp;$C$4))</f>
        <v/>
      </c>
      <c r="D121" s="11">
        <f>IF(A121="","",SUMIFS(tbl_WIP[Amount],tbl_WIP[Job Number],A121,tbl_WIP[Month],$C$4))</f>
        <v/>
      </c>
      <c r="E121" s="11">
        <f>IF(A121="","",C121+D121)</f>
        <v/>
      </c>
      <c r="F121" s="10">
        <f>IF(A121="","",IF(AND(ROUND(C121,2)=0,ROUND(D121,2)=0),"","yes"))</f>
        <v/>
      </c>
      <c r="G121" s="39" t="n"/>
      <c r="H121" s="11">
        <f>IF(OR(A121="",G121=""),"",E121-G121)</f>
        <v/>
      </c>
    </row>
    <row r="122">
      <c r="A122" s="10">
        <f>IF(INDEX(lst_Jobs,109)="","",INDEX(lst_Jobs,109)&amp;"")</f>
        <v/>
      </c>
      <c r="B122" s="10">
        <f>IF(A122="","",INDEX(lst_JobName,109)&amp;"")</f>
        <v/>
      </c>
      <c r="C122" s="11">
        <f>IF(A122="","",SUMIFS(tbl_WIP[Amount],tbl_WIP[Job Number],A122,tbl_WIP[Month],"&lt;"&amp;$C$4))</f>
        <v/>
      </c>
      <c r="D122" s="11">
        <f>IF(A122="","",SUMIFS(tbl_WIP[Amount],tbl_WIP[Job Number],A122,tbl_WIP[Month],$C$4))</f>
        <v/>
      </c>
      <c r="E122" s="11">
        <f>IF(A122="","",C122+D122)</f>
        <v/>
      </c>
      <c r="F122" s="10">
        <f>IF(A122="","",IF(AND(ROUND(C122,2)=0,ROUND(D122,2)=0),"","yes"))</f>
        <v/>
      </c>
      <c r="G122" s="39" t="n"/>
      <c r="H122" s="11">
        <f>IF(OR(A122="",G122=""),"",E122-G122)</f>
        <v/>
      </c>
    </row>
    <row r="123">
      <c r="A123" s="10">
        <f>IF(INDEX(lst_Jobs,110)="","",INDEX(lst_Jobs,110)&amp;"")</f>
        <v/>
      </c>
      <c r="B123" s="10">
        <f>IF(A123="","",INDEX(lst_JobName,110)&amp;"")</f>
        <v/>
      </c>
      <c r="C123" s="11">
        <f>IF(A123="","",SUMIFS(tbl_WIP[Amount],tbl_WIP[Job Number],A123,tbl_WIP[Month],"&lt;"&amp;$C$4))</f>
        <v/>
      </c>
      <c r="D123" s="11">
        <f>IF(A123="","",SUMIFS(tbl_WIP[Amount],tbl_WIP[Job Number],A123,tbl_WIP[Month],$C$4))</f>
        <v/>
      </c>
      <c r="E123" s="11">
        <f>IF(A123="","",C123+D123)</f>
        <v/>
      </c>
      <c r="F123" s="10">
        <f>IF(A123="","",IF(AND(ROUND(C123,2)=0,ROUND(D123,2)=0),"","yes"))</f>
        <v/>
      </c>
      <c r="G123" s="39" t="n"/>
      <c r="H123" s="11">
        <f>IF(OR(A123="",G123=""),"",E123-G123)</f>
        <v/>
      </c>
    </row>
    <row r="124">
      <c r="A124" s="10">
        <f>IF(INDEX(lst_Jobs,111)="","",INDEX(lst_Jobs,111)&amp;"")</f>
        <v/>
      </c>
      <c r="B124" s="10">
        <f>IF(A124="","",INDEX(lst_JobName,111)&amp;"")</f>
        <v/>
      </c>
      <c r="C124" s="11">
        <f>IF(A124="","",SUMIFS(tbl_WIP[Amount],tbl_WIP[Job Number],A124,tbl_WIP[Month],"&lt;"&amp;$C$4))</f>
        <v/>
      </c>
      <c r="D124" s="11">
        <f>IF(A124="","",SUMIFS(tbl_WIP[Amount],tbl_WIP[Job Number],A124,tbl_WIP[Month],$C$4))</f>
        <v/>
      </c>
      <c r="E124" s="11">
        <f>IF(A124="","",C124+D124)</f>
        <v/>
      </c>
      <c r="F124" s="10">
        <f>IF(A124="","",IF(AND(ROUND(C124,2)=0,ROUND(D124,2)=0),"","yes"))</f>
        <v/>
      </c>
      <c r="G124" s="39" t="n"/>
      <c r="H124" s="11">
        <f>IF(OR(A124="",G124=""),"",E124-G124)</f>
        <v/>
      </c>
    </row>
    <row r="125">
      <c r="A125" s="10">
        <f>IF(INDEX(lst_Jobs,112)="","",INDEX(lst_Jobs,112)&amp;"")</f>
        <v/>
      </c>
      <c r="B125" s="10">
        <f>IF(A125="","",INDEX(lst_JobName,112)&amp;"")</f>
        <v/>
      </c>
      <c r="C125" s="11">
        <f>IF(A125="","",SUMIFS(tbl_WIP[Amount],tbl_WIP[Job Number],A125,tbl_WIP[Month],"&lt;"&amp;$C$4))</f>
        <v/>
      </c>
      <c r="D125" s="11">
        <f>IF(A125="","",SUMIFS(tbl_WIP[Amount],tbl_WIP[Job Number],A125,tbl_WIP[Month],$C$4))</f>
        <v/>
      </c>
      <c r="E125" s="11">
        <f>IF(A125="","",C125+D125)</f>
        <v/>
      </c>
      <c r="F125" s="10">
        <f>IF(A125="","",IF(AND(ROUND(C125,2)=0,ROUND(D125,2)=0),"","yes"))</f>
        <v/>
      </c>
      <c r="G125" s="39" t="n"/>
      <c r="H125" s="11">
        <f>IF(OR(A125="",G125=""),"",E125-G125)</f>
        <v/>
      </c>
    </row>
    <row r="126">
      <c r="A126" s="10">
        <f>IF(INDEX(lst_Jobs,113)="","",INDEX(lst_Jobs,113)&amp;"")</f>
        <v/>
      </c>
      <c r="B126" s="10">
        <f>IF(A126="","",INDEX(lst_JobName,113)&amp;"")</f>
        <v/>
      </c>
      <c r="C126" s="11">
        <f>IF(A126="","",SUMIFS(tbl_WIP[Amount],tbl_WIP[Job Number],A126,tbl_WIP[Month],"&lt;"&amp;$C$4))</f>
        <v/>
      </c>
      <c r="D126" s="11">
        <f>IF(A126="","",SUMIFS(tbl_WIP[Amount],tbl_WIP[Job Number],A126,tbl_WIP[Month],$C$4))</f>
        <v/>
      </c>
      <c r="E126" s="11">
        <f>IF(A126="","",C126+D126)</f>
        <v/>
      </c>
      <c r="F126" s="10">
        <f>IF(A126="","",IF(AND(ROUND(C126,2)=0,ROUND(D126,2)=0),"","yes"))</f>
        <v/>
      </c>
      <c r="G126" s="39" t="n"/>
      <c r="H126" s="11">
        <f>IF(OR(A126="",G126=""),"",E126-G126)</f>
        <v/>
      </c>
    </row>
    <row r="127">
      <c r="A127" s="10">
        <f>IF(INDEX(lst_Jobs,114)="","",INDEX(lst_Jobs,114)&amp;"")</f>
        <v/>
      </c>
      <c r="B127" s="10">
        <f>IF(A127="","",INDEX(lst_JobName,114)&amp;"")</f>
        <v/>
      </c>
      <c r="C127" s="11">
        <f>IF(A127="","",SUMIFS(tbl_WIP[Amount],tbl_WIP[Job Number],A127,tbl_WIP[Month],"&lt;"&amp;$C$4))</f>
        <v/>
      </c>
      <c r="D127" s="11">
        <f>IF(A127="","",SUMIFS(tbl_WIP[Amount],tbl_WIP[Job Number],A127,tbl_WIP[Month],$C$4))</f>
        <v/>
      </c>
      <c r="E127" s="11">
        <f>IF(A127="","",C127+D127)</f>
        <v/>
      </c>
      <c r="F127" s="10">
        <f>IF(A127="","",IF(AND(ROUND(C127,2)=0,ROUND(D127,2)=0),"","yes"))</f>
        <v/>
      </c>
      <c r="G127" s="39" t="n"/>
      <c r="H127" s="11">
        <f>IF(OR(A127="",G127=""),"",E127-G127)</f>
        <v/>
      </c>
    </row>
    <row r="128">
      <c r="A128" s="10">
        <f>IF(INDEX(lst_Jobs,115)="","",INDEX(lst_Jobs,115)&amp;"")</f>
        <v/>
      </c>
      <c r="B128" s="10">
        <f>IF(A128="","",INDEX(lst_JobName,115)&amp;"")</f>
        <v/>
      </c>
      <c r="C128" s="11">
        <f>IF(A128="","",SUMIFS(tbl_WIP[Amount],tbl_WIP[Job Number],A128,tbl_WIP[Month],"&lt;"&amp;$C$4))</f>
        <v/>
      </c>
      <c r="D128" s="11">
        <f>IF(A128="","",SUMIFS(tbl_WIP[Amount],tbl_WIP[Job Number],A128,tbl_WIP[Month],$C$4))</f>
        <v/>
      </c>
      <c r="E128" s="11">
        <f>IF(A128="","",C128+D128)</f>
        <v/>
      </c>
      <c r="F128" s="10">
        <f>IF(A128="","",IF(AND(ROUND(C128,2)=0,ROUND(D128,2)=0),"","yes"))</f>
        <v/>
      </c>
      <c r="G128" s="39" t="n"/>
      <c r="H128" s="11">
        <f>IF(OR(A128="",G128=""),"",E128-G128)</f>
        <v/>
      </c>
    </row>
    <row r="129">
      <c r="A129" s="10">
        <f>IF(INDEX(lst_Jobs,116)="","",INDEX(lst_Jobs,116)&amp;"")</f>
        <v/>
      </c>
      <c r="B129" s="10">
        <f>IF(A129="","",INDEX(lst_JobName,116)&amp;"")</f>
        <v/>
      </c>
      <c r="C129" s="11">
        <f>IF(A129="","",SUMIFS(tbl_WIP[Amount],tbl_WIP[Job Number],A129,tbl_WIP[Month],"&lt;"&amp;$C$4))</f>
        <v/>
      </c>
      <c r="D129" s="11">
        <f>IF(A129="","",SUMIFS(tbl_WIP[Amount],tbl_WIP[Job Number],A129,tbl_WIP[Month],$C$4))</f>
        <v/>
      </c>
      <c r="E129" s="11">
        <f>IF(A129="","",C129+D129)</f>
        <v/>
      </c>
      <c r="F129" s="10">
        <f>IF(A129="","",IF(AND(ROUND(C129,2)=0,ROUND(D129,2)=0),"","yes"))</f>
        <v/>
      </c>
      <c r="G129" s="39" t="n"/>
      <c r="H129" s="11">
        <f>IF(OR(A129="",G129=""),"",E129-G129)</f>
        <v/>
      </c>
    </row>
    <row r="130">
      <c r="A130" s="10">
        <f>IF(INDEX(lst_Jobs,117)="","",INDEX(lst_Jobs,117)&amp;"")</f>
        <v/>
      </c>
      <c r="B130" s="10">
        <f>IF(A130="","",INDEX(lst_JobName,117)&amp;"")</f>
        <v/>
      </c>
      <c r="C130" s="11">
        <f>IF(A130="","",SUMIFS(tbl_WIP[Amount],tbl_WIP[Job Number],A130,tbl_WIP[Month],"&lt;"&amp;$C$4))</f>
        <v/>
      </c>
      <c r="D130" s="11">
        <f>IF(A130="","",SUMIFS(tbl_WIP[Amount],tbl_WIP[Job Number],A130,tbl_WIP[Month],$C$4))</f>
        <v/>
      </c>
      <c r="E130" s="11">
        <f>IF(A130="","",C130+D130)</f>
        <v/>
      </c>
      <c r="F130" s="10">
        <f>IF(A130="","",IF(AND(ROUND(C130,2)=0,ROUND(D130,2)=0),"","yes"))</f>
        <v/>
      </c>
      <c r="G130" s="39" t="n"/>
      <c r="H130" s="11">
        <f>IF(OR(A130="",G130=""),"",E130-G130)</f>
        <v/>
      </c>
    </row>
    <row r="131">
      <c r="A131" s="10">
        <f>IF(INDEX(lst_Jobs,118)="","",INDEX(lst_Jobs,118)&amp;"")</f>
        <v/>
      </c>
      <c r="B131" s="10">
        <f>IF(A131="","",INDEX(lst_JobName,118)&amp;"")</f>
        <v/>
      </c>
      <c r="C131" s="11">
        <f>IF(A131="","",SUMIFS(tbl_WIP[Amount],tbl_WIP[Job Number],A131,tbl_WIP[Month],"&lt;"&amp;$C$4))</f>
        <v/>
      </c>
      <c r="D131" s="11">
        <f>IF(A131="","",SUMIFS(tbl_WIP[Amount],tbl_WIP[Job Number],A131,tbl_WIP[Month],$C$4))</f>
        <v/>
      </c>
      <c r="E131" s="11">
        <f>IF(A131="","",C131+D131)</f>
        <v/>
      </c>
      <c r="F131" s="10">
        <f>IF(A131="","",IF(AND(ROUND(C131,2)=0,ROUND(D131,2)=0),"","yes"))</f>
        <v/>
      </c>
      <c r="G131" s="39" t="n"/>
      <c r="H131" s="11">
        <f>IF(OR(A131="",G131=""),"",E131-G131)</f>
        <v/>
      </c>
    </row>
    <row r="132">
      <c r="A132" s="10">
        <f>IF(INDEX(lst_Jobs,119)="","",INDEX(lst_Jobs,119)&amp;"")</f>
        <v/>
      </c>
      <c r="B132" s="10">
        <f>IF(A132="","",INDEX(lst_JobName,119)&amp;"")</f>
        <v/>
      </c>
      <c r="C132" s="11">
        <f>IF(A132="","",SUMIFS(tbl_WIP[Amount],tbl_WIP[Job Number],A132,tbl_WIP[Month],"&lt;"&amp;$C$4))</f>
        <v/>
      </c>
      <c r="D132" s="11">
        <f>IF(A132="","",SUMIFS(tbl_WIP[Amount],tbl_WIP[Job Number],A132,tbl_WIP[Month],$C$4))</f>
        <v/>
      </c>
      <c r="E132" s="11">
        <f>IF(A132="","",C132+D132)</f>
        <v/>
      </c>
      <c r="F132" s="10">
        <f>IF(A132="","",IF(AND(ROUND(C132,2)=0,ROUND(D132,2)=0),"","yes"))</f>
        <v/>
      </c>
      <c r="G132" s="39" t="n"/>
      <c r="H132" s="11">
        <f>IF(OR(A132="",G132=""),"",E132-G132)</f>
        <v/>
      </c>
    </row>
    <row r="133">
      <c r="A133" s="10">
        <f>IF(INDEX(lst_Jobs,120)="","",INDEX(lst_Jobs,120)&amp;"")</f>
        <v/>
      </c>
      <c r="B133" s="10">
        <f>IF(A133="","",INDEX(lst_JobName,120)&amp;"")</f>
        <v/>
      </c>
      <c r="C133" s="11">
        <f>IF(A133="","",SUMIFS(tbl_WIP[Amount],tbl_WIP[Job Number],A133,tbl_WIP[Month],"&lt;"&amp;$C$4))</f>
        <v/>
      </c>
      <c r="D133" s="11">
        <f>IF(A133="","",SUMIFS(tbl_WIP[Amount],tbl_WIP[Job Number],A133,tbl_WIP[Month],$C$4))</f>
        <v/>
      </c>
      <c r="E133" s="11">
        <f>IF(A133="","",C133+D133)</f>
        <v/>
      </c>
      <c r="F133" s="10">
        <f>IF(A133="","",IF(AND(ROUND(C133,2)=0,ROUND(D133,2)=0),"","yes"))</f>
        <v/>
      </c>
      <c r="G133" s="39" t="n"/>
      <c r="H133" s="11">
        <f>IF(OR(A133="",G133=""),"",E133-G133)</f>
        <v/>
      </c>
    </row>
    <row r="134">
      <c r="A134" s="10">
        <f>IF(INDEX(lst_Jobs,121)="","",INDEX(lst_Jobs,121)&amp;"")</f>
        <v/>
      </c>
      <c r="B134" s="10">
        <f>IF(A134="","",INDEX(lst_JobName,121)&amp;"")</f>
        <v/>
      </c>
      <c r="C134" s="11">
        <f>IF(A134="","",SUMIFS(tbl_WIP[Amount],tbl_WIP[Job Number],A134,tbl_WIP[Month],"&lt;"&amp;$C$4))</f>
        <v/>
      </c>
      <c r="D134" s="11">
        <f>IF(A134="","",SUMIFS(tbl_WIP[Amount],tbl_WIP[Job Number],A134,tbl_WIP[Month],$C$4))</f>
        <v/>
      </c>
      <c r="E134" s="11">
        <f>IF(A134="","",C134+D134)</f>
        <v/>
      </c>
      <c r="F134" s="10">
        <f>IF(A134="","",IF(AND(ROUND(C134,2)=0,ROUND(D134,2)=0),"","yes"))</f>
        <v/>
      </c>
      <c r="G134" s="39" t="n"/>
      <c r="H134" s="11">
        <f>IF(OR(A134="",G134=""),"",E134-G134)</f>
        <v/>
      </c>
    </row>
    <row r="135">
      <c r="A135" s="10">
        <f>IF(INDEX(lst_Jobs,122)="","",INDEX(lst_Jobs,122)&amp;"")</f>
        <v/>
      </c>
      <c r="B135" s="10">
        <f>IF(A135="","",INDEX(lst_JobName,122)&amp;"")</f>
        <v/>
      </c>
      <c r="C135" s="11">
        <f>IF(A135="","",SUMIFS(tbl_WIP[Amount],tbl_WIP[Job Number],A135,tbl_WIP[Month],"&lt;"&amp;$C$4))</f>
        <v/>
      </c>
      <c r="D135" s="11">
        <f>IF(A135="","",SUMIFS(tbl_WIP[Amount],tbl_WIP[Job Number],A135,tbl_WIP[Month],$C$4))</f>
        <v/>
      </c>
      <c r="E135" s="11">
        <f>IF(A135="","",C135+D135)</f>
        <v/>
      </c>
      <c r="F135" s="10">
        <f>IF(A135="","",IF(AND(ROUND(C135,2)=0,ROUND(D135,2)=0),"","yes"))</f>
        <v/>
      </c>
      <c r="G135" s="39" t="n"/>
      <c r="H135" s="11">
        <f>IF(OR(A135="",G135=""),"",E135-G135)</f>
        <v/>
      </c>
    </row>
    <row r="136">
      <c r="A136" s="10">
        <f>IF(INDEX(lst_Jobs,123)="","",INDEX(lst_Jobs,123)&amp;"")</f>
        <v/>
      </c>
      <c r="B136" s="10">
        <f>IF(A136="","",INDEX(lst_JobName,123)&amp;"")</f>
        <v/>
      </c>
      <c r="C136" s="11">
        <f>IF(A136="","",SUMIFS(tbl_WIP[Amount],tbl_WIP[Job Number],A136,tbl_WIP[Month],"&lt;"&amp;$C$4))</f>
        <v/>
      </c>
      <c r="D136" s="11">
        <f>IF(A136="","",SUMIFS(tbl_WIP[Amount],tbl_WIP[Job Number],A136,tbl_WIP[Month],$C$4))</f>
        <v/>
      </c>
      <c r="E136" s="11">
        <f>IF(A136="","",C136+D136)</f>
        <v/>
      </c>
      <c r="F136" s="10">
        <f>IF(A136="","",IF(AND(ROUND(C136,2)=0,ROUND(D136,2)=0),"","yes"))</f>
        <v/>
      </c>
      <c r="G136" s="39" t="n"/>
      <c r="H136" s="11">
        <f>IF(OR(A136="",G136=""),"",E136-G136)</f>
        <v/>
      </c>
    </row>
    <row r="137">
      <c r="A137" s="10">
        <f>IF(INDEX(lst_Jobs,124)="","",INDEX(lst_Jobs,124)&amp;"")</f>
        <v/>
      </c>
      <c r="B137" s="10">
        <f>IF(A137="","",INDEX(lst_JobName,124)&amp;"")</f>
        <v/>
      </c>
      <c r="C137" s="11">
        <f>IF(A137="","",SUMIFS(tbl_WIP[Amount],tbl_WIP[Job Number],A137,tbl_WIP[Month],"&lt;"&amp;$C$4))</f>
        <v/>
      </c>
      <c r="D137" s="11">
        <f>IF(A137="","",SUMIFS(tbl_WIP[Amount],tbl_WIP[Job Number],A137,tbl_WIP[Month],$C$4))</f>
        <v/>
      </c>
      <c r="E137" s="11">
        <f>IF(A137="","",C137+D137)</f>
        <v/>
      </c>
      <c r="F137" s="10">
        <f>IF(A137="","",IF(AND(ROUND(C137,2)=0,ROUND(D137,2)=0),"","yes"))</f>
        <v/>
      </c>
      <c r="G137" s="39" t="n"/>
      <c r="H137" s="11">
        <f>IF(OR(A137="",G137=""),"",E137-G137)</f>
        <v/>
      </c>
    </row>
    <row r="138">
      <c r="A138" s="10">
        <f>IF(INDEX(lst_Jobs,125)="","",INDEX(lst_Jobs,125)&amp;"")</f>
        <v/>
      </c>
      <c r="B138" s="10">
        <f>IF(A138="","",INDEX(lst_JobName,125)&amp;"")</f>
        <v/>
      </c>
      <c r="C138" s="11">
        <f>IF(A138="","",SUMIFS(tbl_WIP[Amount],tbl_WIP[Job Number],A138,tbl_WIP[Month],"&lt;"&amp;$C$4))</f>
        <v/>
      </c>
      <c r="D138" s="11">
        <f>IF(A138="","",SUMIFS(tbl_WIP[Amount],tbl_WIP[Job Number],A138,tbl_WIP[Month],$C$4))</f>
        <v/>
      </c>
      <c r="E138" s="11">
        <f>IF(A138="","",C138+D138)</f>
        <v/>
      </c>
      <c r="F138" s="10">
        <f>IF(A138="","",IF(AND(ROUND(C138,2)=0,ROUND(D138,2)=0),"","yes"))</f>
        <v/>
      </c>
      <c r="G138" s="39" t="n"/>
      <c r="H138" s="11">
        <f>IF(OR(A138="",G138=""),"",E138-G138)</f>
        <v/>
      </c>
    </row>
    <row r="139">
      <c r="A139" s="10">
        <f>IF(INDEX(lst_Jobs,126)="","",INDEX(lst_Jobs,126)&amp;"")</f>
        <v/>
      </c>
      <c r="B139" s="10">
        <f>IF(A139="","",INDEX(lst_JobName,126)&amp;"")</f>
        <v/>
      </c>
      <c r="C139" s="11">
        <f>IF(A139="","",SUMIFS(tbl_WIP[Amount],tbl_WIP[Job Number],A139,tbl_WIP[Month],"&lt;"&amp;$C$4))</f>
        <v/>
      </c>
      <c r="D139" s="11">
        <f>IF(A139="","",SUMIFS(tbl_WIP[Amount],tbl_WIP[Job Number],A139,tbl_WIP[Month],$C$4))</f>
        <v/>
      </c>
      <c r="E139" s="11">
        <f>IF(A139="","",C139+D139)</f>
        <v/>
      </c>
      <c r="F139" s="10">
        <f>IF(A139="","",IF(AND(ROUND(C139,2)=0,ROUND(D139,2)=0),"","yes"))</f>
        <v/>
      </c>
      <c r="G139" s="39" t="n"/>
      <c r="H139" s="11">
        <f>IF(OR(A139="",G139=""),"",E139-G139)</f>
        <v/>
      </c>
    </row>
    <row r="140">
      <c r="A140" s="10">
        <f>IF(INDEX(lst_Jobs,127)="","",INDEX(lst_Jobs,127)&amp;"")</f>
        <v/>
      </c>
      <c r="B140" s="10">
        <f>IF(A140="","",INDEX(lst_JobName,127)&amp;"")</f>
        <v/>
      </c>
      <c r="C140" s="11">
        <f>IF(A140="","",SUMIFS(tbl_WIP[Amount],tbl_WIP[Job Number],A140,tbl_WIP[Month],"&lt;"&amp;$C$4))</f>
        <v/>
      </c>
      <c r="D140" s="11">
        <f>IF(A140="","",SUMIFS(tbl_WIP[Amount],tbl_WIP[Job Number],A140,tbl_WIP[Month],$C$4))</f>
        <v/>
      </c>
      <c r="E140" s="11">
        <f>IF(A140="","",C140+D140)</f>
        <v/>
      </c>
      <c r="F140" s="10">
        <f>IF(A140="","",IF(AND(ROUND(C140,2)=0,ROUND(D140,2)=0),"","yes"))</f>
        <v/>
      </c>
      <c r="G140" s="39" t="n"/>
      <c r="H140" s="11">
        <f>IF(OR(A140="",G140=""),"",E140-G140)</f>
        <v/>
      </c>
    </row>
    <row r="141">
      <c r="A141" s="10">
        <f>IF(INDEX(lst_Jobs,128)="","",INDEX(lst_Jobs,128)&amp;"")</f>
        <v/>
      </c>
      <c r="B141" s="10">
        <f>IF(A141="","",INDEX(lst_JobName,128)&amp;"")</f>
        <v/>
      </c>
      <c r="C141" s="11">
        <f>IF(A141="","",SUMIFS(tbl_WIP[Amount],tbl_WIP[Job Number],A141,tbl_WIP[Month],"&lt;"&amp;$C$4))</f>
        <v/>
      </c>
      <c r="D141" s="11">
        <f>IF(A141="","",SUMIFS(tbl_WIP[Amount],tbl_WIP[Job Number],A141,tbl_WIP[Month],$C$4))</f>
        <v/>
      </c>
      <c r="E141" s="11">
        <f>IF(A141="","",C141+D141)</f>
        <v/>
      </c>
      <c r="F141" s="10">
        <f>IF(A141="","",IF(AND(ROUND(C141,2)=0,ROUND(D141,2)=0),"","yes"))</f>
        <v/>
      </c>
      <c r="G141" s="39" t="n"/>
      <c r="H141" s="11">
        <f>IF(OR(A141="",G141=""),"",E141-G141)</f>
        <v/>
      </c>
    </row>
    <row r="142">
      <c r="A142" s="10">
        <f>IF(INDEX(lst_Jobs,129)="","",INDEX(lst_Jobs,129)&amp;"")</f>
        <v/>
      </c>
      <c r="B142" s="10">
        <f>IF(A142="","",INDEX(lst_JobName,129)&amp;"")</f>
        <v/>
      </c>
      <c r="C142" s="11">
        <f>IF(A142="","",SUMIFS(tbl_WIP[Amount],tbl_WIP[Job Number],A142,tbl_WIP[Month],"&lt;"&amp;$C$4))</f>
        <v/>
      </c>
      <c r="D142" s="11">
        <f>IF(A142="","",SUMIFS(tbl_WIP[Amount],tbl_WIP[Job Number],A142,tbl_WIP[Month],$C$4))</f>
        <v/>
      </c>
      <c r="E142" s="11">
        <f>IF(A142="","",C142+D142)</f>
        <v/>
      </c>
      <c r="F142" s="10">
        <f>IF(A142="","",IF(AND(ROUND(C142,2)=0,ROUND(D142,2)=0),"","yes"))</f>
        <v/>
      </c>
      <c r="G142" s="39" t="n"/>
      <c r="H142" s="11">
        <f>IF(OR(A142="",G142=""),"",E142-G142)</f>
        <v/>
      </c>
    </row>
    <row r="143">
      <c r="A143" s="10">
        <f>IF(INDEX(lst_Jobs,130)="","",INDEX(lst_Jobs,130)&amp;"")</f>
        <v/>
      </c>
      <c r="B143" s="10">
        <f>IF(A143="","",INDEX(lst_JobName,130)&amp;"")</f>
        <v/>
      </c>
      <c r="C143" s="11">
        <f>IF(A143="","",SUMIFS(tbl_WIP[Amount],tbl_WIP[Job Number],A143,tbl_WIP[Month],"&lt;"&amp;$C$4))</f>
        <v/>
      </c>
      <c r="D143" s="11">
        <f>IF(A143="","",SUMIFS(tbl_WIP[Amount],tbl_WIP[Job Number],A143,tbl_WIP[Month],$C$4))</f>
        <v/>
      </c>
      <c r="E143" s="11">
        <f>IF(A143="","",C143+D143)</f>
        <v/>
      </c>
      <c r="F143" s="10">
        <f>IF(A143="","",IF(AND(ROUND(C143,2)=0,ROUND(D143,2)=0),"","yes"))</f>
        <v/>
      </c>
      <c r="G143" s="39" t="n"/>
      <c r="H143" s="11">
        <f>IF(OR(A143="",G143=""),"",E143-G143)</f>
        <v/>
      </c>
    </row>
    <row r="144">
      <c r="A144" s="10">
        <f>IF(INDEX(lst_Jobs,131)="","",INDEX(lst_Jobs,131)&amp;"")</f>
        <v/>
      </c>
      <c r="B144" s="10">
        <f>IF(A144="","",INDEX(lst_JobName,131)&amp;"")</f>
        <v/>
      </c>
      <c r="C144" s="11">
        <f>IF(A144="","",SUMIFS(tbl_WIP[Amount],tbl_WIP[Job Number],A144,tbl_WIP[Month],"&lt;"&amp;$C$4))</f>
        <v/>
      </c>
      <c r="D144" s="11">
        <f>IF(A144="","",SUMIFS(tbl_WIP[Amount],tbl_WIP[Job Number],A144,tbl_WIP[Month],$C$4))</f>
        <v/>
      </c>
      <c r="E144" s="11">
        <f>IF(A144="","",C144+D144)</f>
        <v/>
      </c>
      <c r="F144" s="10">
        <f>IF(A144="","",IF(AND(ROUND(C144,2)=0,ROUND(D144,2)=0),"","yes"))</f>
        <v/>
      </c>
      <c r="G144" s="39" t="n"/>
      <c r="H144" s="11">
        <f>IF(OR(A144="",G144=""),"",E144-G144)</f>
        <v/>
      </c>
    </row>
    <row r="145">
      <c r="A145" s="10">
        <f>IF(INDEX(lst_Jobs,132)="","",INDEX(lst_Jobs,132)&amp;"")</f>
        <v/>
      </c>
      <c r="B145" s="10">
        <f>IF(A145="","",INDEX(lst_JobName,132)&amp;"")</f>
        <v/>
      </c>
      <c r="C145" s="11">
        <f>IF(A145="","",SUMIFS(tbl_WIP[Amount],tbl_WIP[Job Number],A145,tbl_WIP[Month],"&lt;"&amp;$C$4))</f>
        <v/>
      </c>
      <c r="D145" s="11">
        <f>IF(A145="","",SUMIFS(tbl_WIP[Amount],tbl_WIP[Job Number],A145,tbl_WIP[Month],$C$4))</f>
        <v/>
      </c>
      <c r="E145" s="11">
        <f>IF(A145="","",C145+D145)</f>
        <v/>
      </c>
      <c r="F145" s="10">
        <f>IF(A145="","",IF(AND(ROUND(C145,2)=0,ROUND(D145,2)=0),"","yes"))</f>
        <v/>
      </c>
      <c r="G145" s="39" t="n"/>
      <c r="H145" s="11">
        <f>IF(OR(A145="",G145=""),"",E145-G145)</f>
        <v/>
      </c>
    </row>
    <row r="146">
      <c r="A146" s="10">
        <f>IF(INDEX(lst_Jobs,133)="","",INDEX(lst_Jobs,133)&amp;"")</f>
        <v/>
      </c>
      <c r="B146" s="10">
        <f>IF(A146="","",INDEX(lst_JobName,133)&amp;"")</f>
        <v/>
      </c>
      <c r="C146" s="11">
        <f>IF(A146="","",SUMIFS(tbl_WIP[Amount],tbl_WIP[Job Number],A146,tbl_WIP[Month],"&lt;"&amp;$C$4))</f>
        <v/>
      </c>
      <c r="D146" s="11">
        <f>IF(A146="","",SUMIFS(tbl_WIP[Amount],tbl_WIP[Job Number],A146,tbl_WIP[Month],$C$4))</f>
        <v/>
      </c>
      <c r="E146" s="11">
        <f>IF(A146="","",C146+D146)</f>
        <v/>
      </c>
      <c r="F146" s="10">
        <f>IF(A146="","",IF(AND(ROUND(C146,2)=0,ROUND(D146,2)=0),"","yes"))</f>
        <v/>
      </c>
      <c r="G146" s="39" t="n"/>
      <c r="H146" s="11">
        <f>IF(OR(A146="",G146=""),"",E146-G146)</f>
        <v/>
      </c>
    </row>
    <row r="147">
      <c r="A147" s="10">
        <f>IF(INDEX(lst_Jobs,134)="","",INDEX(lst_Jobs,134)&amp;"")</f>
        <v/>
      </c>
      <c r="B147" s="10">
        <f>IF(A147="","",INDEX(lst_JobName,134)&amp;"")</f>
        <v/>
      </c>
      <c r="C147" s="11">
        <f>IF(A147="","",SUMIFS(tbl_WIP[Amount],tbl_WIP[Job Number],A147,tbl_WIP[Month],"&lt;"&amp;$C$4))</f>
        <v/>
      </c>
      <c r="D147" s="11">
        <f>IF(A147="","",SUMIFS(tbl_WIP[Amount],tbl_WIP[Job Number],A147,tbl_WIP[Month],$C$4))</f>
        <v/>
      </c>
      <c r="E147" s="11">
        <f>IF(A147="","",C147+D147)</f>
        <v/>
      </c>
      <c r="F147" s="10">
        <f>IF(A147="","",IF(AND(ROUND(C147,2)=0,ROUND(D147,2)=0),"","yes"))</f>
        <v/>
      </c>
      <c r="G147" s="39" t="n"/>
      <c r="H147" s="11">
        <f>IF(OR(A147="",G147=""),"",E147-G147)</f>
        <v/>
      </c>
    </row>
    <row r="148">
      <c r="A148" s="10">
        <f>IF(INDEX(lst_Jobs,135)="","",INDEX(lst_Jobs,135)&amp;"")</f>
        <v/>
      </c>
      <c r="B148" s="10">
        <f>IF(A148="","",INDEX(lst_JobName,135)&amp;"")</f>
        <v/>
      </c>
      <c r="C148" s="11">
        <f>IF(A148="","",SUMIFS(tbl_WIP[Amount],tbl_WIP[Job Number],A148,tbl_WIP[Month],"&lt;"&amp;$C$4))</f>
        <v/>
      </c>
      <c r="D148" s="11">
        <f>IF(A148="","",SUMIFS(tbl_WIP[Amount],tbl_WIP[Job Number],A148,tbl_WIP[Month],$C$4))</f>
        <v/>
      </c>
      <c r="E148" s="11">
        <f>IF(A148="","",C148+D148)</f>
        <v/>
      </c>
      <c r="F148" s="10">
        <f>IF(A148="","",IF(AND(ROUND(C148,2)=0,ROUND(D148,2)=0),"","yes"))</f>
        <v/>
      </c>
      <c r="G148" s="39" t="n"/>
      <c r="H148" s="11">
        <f>IF(OR(A148="",G148=""),"",E148-G148)</f>
        <v/>
      </c>
    </row>
    <row r="149">
      <c r="A149" s="10">
        <f>IF(INDEX(lst_Jobs,136)="","",INDEX(lst_Jobs,136)&amp;"")</f>
        <v/>
      </c>
      <c r="B149" s="10">
        <f>IF(A149="","",INDEX(lst_JobName,136)&amp;"")</f>
        <v/>
      </c>
      <c r="C149" s="11">
        <f>IF(A149="","",SUMIFS(tbl_WIP[Amount],tbl_WIP[Job Number],A149,tbl_WIP[Month],"&lt;"&amp;$C$4))</f>
        <v/>
      </c>
      <c r="D149" s="11">
        <f>IF(A149="","",SUMIFS(tbl_WIP[Amount],tbl_WIP[Job Number],A149,tbl_WIP[Month],$C$4))</f>
        <v/>
      </c>
      <c r="E149" s="11">
        <f>IF(A149="","",C149+D149)</f>
        <v/>
      </c>
      <c r="F149" s="10">
        <f>IF(A149="","",IF(AND(ROUND(C149,2)=0,ROUND(D149,2)=0),"","yes"))</f>
        <v/>
      </c>
      <c r="G149" s="39" t="n"/>
      <c r="H149" s="11">
        <f>IF(OR(A149="",G149=""),"",E149-G149)</f>
        <v/>
      </c>
    </row>
    <row r="150">
      <c r="A150" s="10">
        <f>IF(INDEX(lst_Jobs,137)="","",INDEX(lst_Jobs,137)&amp;"")</f>
        <v/>
      </c>
      <c r="B150" s="10">
        <f>IF(A150="","",INDEX(lst_JobName,137)&amp;"")</f>
        <v/>
      </c>
      <c r="C150" s="11">
        <f>IF(A150="","",SUMIFS(tbl_WIP[Amount],tbl_WIP[Job Number],A150,tbl_WIP[Month],"&lt;"&amp;$C$4))</f>
        <v/>
      </c>
      <c r="D150" s="11">
        <f>IF(A150="","",SUMIFS(tbl_WIP[Amount],tbl_WIP[Job Number],A150,tbl_WIP[Month],$C$4))</f>
        <v/>
      </c>
      <c r="E150" s="11">
        <f>IF(A150="","",C150+D150)</f>
        <v/>
      </c>
      <c r="F150" s="10">
        <f>IF(A150="","",IF(AND(ROUND(C150,2)=0,ROUND(D150,2)=0),"","yes"))</f>
        <v/>
      </c>
      <c r="G150" s="39" t="n"/>
      <c r="H150" s="11">
        <f>IF(OR(A150="",G150=""),"",E150-G150)</f>
        <v/>
      </c>
    </row>
    <row r="151">
      <c r="A151" s="10">
        <f>IF(INDEX(lst_Jobs,138)="","",INDEX(lst_Jobs,138)&amp;"")</f>
        <v/>
      </c>
      <c r="B151" s="10">
        <f>IF(A151="","",INDEX(lst_JobName,138)&amp;"")</f>
        <v/>
      </c>
      <c r="C151" s="11">
        <f>IF(A151="","",SUMIFS(tbl_WIP[Amount],tbl_WIP[Job Number],A151,tbl_WIP[Month],"&lt;"&amp;$C$4))</f>
        <v/>
      </c>
      <c r="D151" s="11">
        <f>IF(A151="","",SUMIFS(tbl_WIP[Amount],tbl_WIP[Job Number],A151,tbl_WIP[Month],$C$4))</f>
        <v/>
      </c>
      <c r="E151" s="11">
        <f>IF(A151="","",C151+D151)</f>
        <v/>
      </c>
      <c r="F151" s="10">
        <f>IF(A151="","",IF(AND(ROUND(C151,2)=0,ROUND(D151,2)=0),"","yes"))</f>
        <v/>
      </c>
      <c r="G151" s="39" t="n"/>
      <c r="H151" s="11">
        <f>IF(OR(A151="",G151=""),"",E151-G151)</f>
        <v/>
      </c>
    </row>
    <row r="152">
      <c r="A152" s="10">
        <f>IF(INDEX(lst_Jobs,139)="","",INDEX(lst_Jobs,139)&amp;"")</f>
        <v/>
      </c>
      <c r="B152" s="10">
        <f>IF(A152="","",INDEX(lst_JobName,139)&amp;"")</f>
        <v/>
      </c>
      <c r="C152" s="11">
        <f>IF(A152="","",SUMIFS(tbl_WIP[Amount],tbl_WIP[Job Number],A152,tbl_WIP[Month],"&lt;"&amp;$C$4))</f>
        <v/>
      </c>
      <c r="D152" s="11">
        <f>IF(A152="","",SUMIFS(tbl_WIP[Amount],tbl_WIP[Job Number],A152,tbl_WIP[Month],$C$4))</f>
        <v/>
      </c>
      <c r="E152" s="11">
        <f>IF(A152="","",C152+D152)</f>
        <v/>
      </c>
      <c r="F152" s="10">
        <f>IF(A152="","",IF(AND(ROUND(C152,2)=0,ROUND(D152,2)=0),"","yes"))</f>
        <v/>
      </c>
      <c r="G152" s="39" t="n"/>
      <c r="H152" s="11">
        <f>IF(OR(A152="",G152=""),"",E152-G152)</f>
        <v/>
      </c>
    </row>
    <row r="153">
      <c r="A153" s="10">
        <f>IF(INDEX(lst_Jobs,140)="","",INDEX(lst_Jobs,140)&amp;"")</f>
        <v/>
      </c>
      <c r="B153" s="10">
        <f>IF(A153="","",INDEX(lst_JobName,140)&amp;"")</f>
        <v/>
      </c>
      <c r="C153" s="11">
        <f>IF(A153="","",SUMIFS(tbl_WIP[Amount],tbl_WIP[Job Number],A153,tbl_WIP[Month],"&lt;"&amp;$C$4))</f>
        <v/>
      </c>
      <c r="D153" s="11">
        <f>IF(A153="","",SUMIFS(tbl_WIP[Amount],tbl_WIP[Job Number],A153,tbl_WIP[Month],$C$4))</f>
        <v/>
      </c>
      <c r="E153" s="11">
        <f>IF(A153="","",C153+D153)</f>
        <v/>
      </c>
      <c r="F153" s="10">
        <f>IF(A153="","",IF(AND(ROUND(C153,2)=0,ROUND(D153,2)=0),"","yes"))</f>
        <v/>
      </c>
      <c r="G153" s="39" t="n"/>
      <c r="H153" s="11">
        <f>IF(OR(A153="",G153=""),"",E153-G153)</f>
        <v/>
      </c>
    </row>
    <row r="154">
      <c r="A154" s="10">
        <f>IF(INDEX(lst_Jobs,141)="","",INDEX(lst_Jobs,141)&amp;"")</f>
        <v/>
      </c>
      <c r="B154" s="10">
        <f>IF(A154="","",INDEX(lst_JobName,141)&amp;"")</f>
        <v/>
      </c>
      <c r="C154" s="11">
        <f>IF(A154="","",SUMIFS(tbl_WIP[Amount],tbl_WIP[Job Number],A154,tbl_WIP[Month],"&lt;"&amp;$C$4))</f>
        <v/>
      </c>
      <c r="D154" s="11">
        <f>IF(A154="","",SUMIFS(tbl_WIP[Amount],tbl_WIP[Job Number],A154,tbl_WIP[Month],$C$4))</f>
        <v/>
      </c>
      <c r="E154" s="11">
        <f>IF(A154="","",C154+D154)</f>
        <v/>
      </c>
      <c r="F154" s="10">
        <f>IF(A154="","",IF(AND(ROUND(C154,2)=0,ROUND(D154,2)=0),"","yes"))</f>
        <v/>
      </c>
      <c r="G154" s="39" t="n"/>
      <c r="H154" s="11">
        <f>IF(OR(A154="",G154=""),"",E154-G154)</f>
        <v/>
      </c>
    </row>
    <row r="155">
      <c r="A155" s="10">
        <f>IF(INDEX(lst_Jobs,142)="","",INDEX(lst_Jobs,142)&amp;"")</f>
        <v/>
      </c>
      <c r="B155" s="10">
        <f>IF(A155="","",INDEX(lst_JobName,142)&amp;"")</f>
        <v/>
      </c>
      <c r="C155" s="11">
        <f>IF(A155="","",SUMIFS(tbl_WIP[Amount],tbl_WIP[Job Number],A155,tbl_WIP[Month],"&lt;"&amp;$C$4))</f>
        <v/>
      </c>
      <c r="D155" s="11">
        <f>IF(A155="","",SUMIFS(tbl_WIP[Amount],tbl_WIP[Job Number],A155,tbl_WIP[Month],$C$4))</f>
        <v/>
      </c>
      <c r="E155" s="11">
        <f>IF(A155="","",C155+D155)</f>
        <v/>
      </c>
      <c r="F155" s="10">
        <f>IF(A155="","",IF(AND(ROUND(C155,2)=0,ROUND(D155,2)=0),"","yes"))</f>
        <v/>
      </c>
      <c r="G155" s="39" t="n"/>
      <c r="H155" s="11">
        <f>IF(OR(A155="",G155=""),"",E155-G155)</f>
        <v/>
      </c>
    </row>
    <row r="156">
      <c r="A156" s="10">
        <f>IF(INDEX(lst_Jobs,143)="","",INDEX(lst_Jobs,143)&amp;"")</f>
        <v/>
      </c>
      <c r="B156" s="10">
        <f>IF(A156="","",INDEX(lst_JobName,143)&amp;"")</f>
        <v/>
      </c>
      <c r="C156" s="11">
        <f>IF(A156="","",SUMIFS(tbl_WIP[Amount],tbl_WIP[Job Number],A156,tbl_WIP[Month],"&lt;"&amp;$C$4))</f>
        <v/>
      </c>
      <c r="D156" s="11">
        <f>IF(A156="","",SUMIFS(tbl_WIP[Amount],tbl_WIP[Job Number],A156,tbl_WIP[Month],$C$4))</f>
        <v/>
      </c>
      <c r="E156" s="11">
        <f>IF(A156="","",C156+D156)</f>
        <v/>
      </c>
      <c r="F156" s="10">
        <f>IF(A156="","",IF(AND(ROUND(C156,2)=0,ROUND(D156,2)=0),"","yes"))</f>
        <v/>
      </c>
      <c r="G156" s="39" t="n"/>
      <c r="H156" s="11">
        <f>IF(OR(A156="",G156=""),"",E156-G156)</f>
        <v/>
      </c>
    </row>
    <row r="157">
      <c r="A157" s="10">
        <f>IF(INDEX(lst_Jobs,144)="","",INDEX(lst_Jobs,144)&amp;"")</f>
        <v/>
      </c>
      <c r="B157" s="10">
        <f>IF(A157="","",INDEX(lst_JobName,144)&amp;"")</f>
        <v/>
      </c>
      <c r="C157" s="11">
        <f>IF(A157="","",SUMIFS(tbl_WIP[Amount],tbl_WIP[Job Number],A157,tbl_WIP[Month],"&lt;"&amp;$C$4))</f>
        <v/>
      </c>
      <c r="D157" s="11">
        <f>IF(A157="","",SUMIFS(tbl_WIP[Amount],tbl_WIP[Job Number],A157,tbl_WIP[Month],$C$4))</f>
        <v/>
      </c>
      <c r="E157" s="11">
        <f>IF(A157="","",C157+D157)</f>
        <v/>
      </c>
      <c r="F157" s="10">
        <f>IF(A157="","",IF(AND(ROUND(C157,2)=0,ROUND(D157,2)=0),"","yes"))</f>
        <v/>
      </c>
      <c r="G157" s="39" t="n"/>
      <c r="H157" s="11">
        <f>IF(OR(A157="",G157=""),"",E157-G157)</f>
        <v/>
      </c>
    </row>
    <row r="158">
      <c r="A158" s="10">
        <f>IF(INDEX(lst_Jobs,145)="","",INDEX(lst_Jobs,145)&amp;"")</f>
        <v/>
      </c>
      <c r="B158" s="10">
        <f>IF(A158="","",INDEX(lst_JobName,145)&amp;"")</f>
        <v/>
      </c>
      <c r="C158" s="11">
        <f>IF(A158="","",SUMIFS(tbl_WIP[Amount],tbl_WIP[Job Number],A158,tbl_WIP[Month],"&lt;"&amp;$C$4))</f>
        <v/>
      </c>
      <c r="D158" s="11">
        <f>IF(A158="","",SUMIFS(tbl_WIP[Amount],tbl_WIP[Job Number],A158,tbl_WIP[Month],$C$4))</f>
        <v/>
      </c>
      <c r="E158" s="11">
        <f>IF(A158="","",C158+D158)</f>
        <v/>
      </c>
      <c r="F158" s="10">
        <f>IF(A158="","",IF(AND(ROUND(C158,2)=0,ROUND(D158,2)=0),"","yes"))</f>
        <v/>
      </c>
      <c r="G158" s="39" t="n"/>
      <c r="H158" s="11">
        <f>IF(OR(A158="",G158=""),"",E158-G158)</f>
        <v/>
      </c>
    </row>
    <row r="159">
      <c r="A159" s="10">
        <f>IF(INDEX(lst_Jobs,146)="","",INDEX(lst_Jobs,146)&amp;"")</f>
        <v/>
      </c>
      <c r="B159" s="10">
        <f>IF(A159="","",INDEX(lst_JobName,146)&amp;"")</f>
        <v/>
      </c>
      <c r="C159" s="11">
        <f>IF(A159="","",SUMIFS(tbl_WIP[Amount],tbl_WIP[Job Number],A159,tbl_WIP[Month],"&lt;"&amp;$C$4))</f>
        <v/>
      </c>
      <c r="D159" s="11">
        <f>IF(A159="","",SUMIFS(tbl_WIP[Amount],tbl_WIP[Job Number],A159,tbl_WIP[Month],$C$4))</f>
        <v/>
      </c>
      <c r="E159" s="11">
        <f>IF(A159="","",C159+D159)</f>
        <v/>
      </c>
      <c r="F159" s="10">
        <f>IF(A159="","",IF(AND(ROUND(C159,2)=0,ROUND(D159,2)=0),"","yes"))</f>
        <v/>
      </c>
      <c r="G159" s="39" t="n"/>
      <c r="H159" s="11">
        <f>IF(OR(A159="",G159=""),"",E159-G159)</f>
        <v/>
      </c>
    </row>
    <row r="160">
      <c r="A160" s="10">
        <f>IF(INDEX(lst_Jobs,147)="","",INDEX(lst_Jobs,147)&amp;"")</f>
        <v/>
      </c>
      <c r="B160" s="10">
        <f>IF(A160="","",INDEX(lst_JobName,147)&amp;"")</f>
        <v/>
      </c>
      <c r="C160" s="11">
        <f>IF(A160="","",SUMIFS(tbl_WIP[Amount],tbl_WIP[Job Number],A160,tbl_WIP[Month],"&lt;"&amp;$C$4))</f>
        <v/>
      </c>
      <c r="D160" s="11">
        <f>IF(A160="","",SUMIFS(tbl_WIP[Amount],tbl_WIP[Job Number],A160,tbl_WIP[Month],$C$4))</f>
        <v/>
      </c>
      <c r="E160" s="11">
        <f>IF(A160="","",C160+D160)</f>
        <v/>
      </c>
      <c r="F160" s="10">
        <f>IF(A160="","",IF(AND(ROUND(C160,2)=0,ROUND(D160,2)=0),"","yes"))</f>
        <v/>
      </c>
      <c r="G160" s="39" t="n"/>
      <c r="H160" s="11">
        <f>IF(OR(A160="",G160=""),"",E160-G160)</f>
        <v/>
      </c>
    </row>
    <row r="161">
      <c r="A161" s="10">
        <f>IF(INDEX(lst_Jobs,148)="","",INDEX(lst_Jobs,148)&amp;"")</f>
        <v/>
      </c>
      <c r="B161" s="10">
        <f>IF(A161="","",INDEX(lst_JobName,148)&amp;"")</f>
        <v/>
      </c>
      <c r="C161" s="11">
        <f>IF(A161="","",SUMIFS(tbl_WIP[Amount],tbl_WIP[Job Number],A161,tbl_WIP[Month],"&lt;"&amp;$C$4))</f>
        <v/>
      </c>
      <c r="D161" s="11">
        <f>IF(A161="","",SUMIFS(tbl_WIP[Amount],tbl_WIP[Job Number],A161,tbl_WIP[Month],$C$4))</f>
        <v/>
      </c>
      <c r="E161" s="11">
        <f>IF(A161="","",C161+D161)</f>
        <v/>
      </c>
      <c r="F161" s="10">
        <f>IF(A161="","",IF(AND(ROUND(C161,2)=0,ROUND(D161,2)=0),"","yes"))</f>
        <v/>
      </c>
      <c r="G161" s="39" t="n"/>
      <c r="H161" s="11">
        <f>IF(OR(A161="",G161=""),"",E161-G161)</f>
        <v/>
      </c>
    </row>
    <row r="162">
      <c r="A162" s="10">
        <f>IF(INDEX(lst_Jobs,149)="","",INDEX(lst_Jobs,149)&amp;"")</f>
        <v/>
      </c>
      <c r="B162" s="10">
        <f>IF(A162="","",INDEX(lst_JobName,149)&amp;"")</f>
        <v/>
      </c>
      <c r="C162" s="11">
        <f>IF(A162="","",SUMIFS(tbl_WIP[Amount],tbl_WIP[Job Number],A162,tbl_WIP[Month],"&lt;"&amp;$C$4))</f>
        <v/>
      </c>
      <c r="D162" s="11">
        <f>IF(A162="","",SUMIFS(tbl_WIP[Amount],tbl_WIP[Job Number],A162,tbl_WIP[Month],$C$4))</f>
        <v/>
      </c>
      <c r="E162" s="11">
        <f>IF(A162="","",C162+D162)</f>
        <v/>
      </c>
      <c r="F162" s="10">
        <f>IF(A162="","",IF(AND(ROUND(C162,2)=0,ROUND(D162,2)=0),"","yes"))</f>
        <v/>
      </c>
      <c r="G162" s="39" t="n"/>
      <c r="H162" s="11">
        <f>IF(OR(A162="",G162=""),"",E162-G162)</f>
        <v/>
      </c>
    </row>
    <row r="163">
      <c r="A163" s="10">
        <f>IF(INDEX(lst_Jobs,150)="","",INDEX(lst_Jobs,150)&amp;"")</f>
        <v/>
      </c>
      <c r="B163" s="10">
        <f>IF(A163="","",INDEX(lst_JobName,150)&amp;"")</f>
        <v/>
      </c>
      <c r="C163" s="11">
        <f>IF(A163="","",SUMIFS(tbl_WIP[Amount],tbl_WIP[Job Number],A163,tbl_WIP[Month],"&lt;"&amp;$C$4))</f>
        <v/>
      </c>
      <c r="D163" s="11">
        <f>IF(A163="","",SUMIFS(tbl_WIP[Amount],tbl_WIP[Job Number],A163,tbl_WIP[Month],$C$4))</f>
        <v/>
      </c>
      <c r="E163" s="11">
        <f>IF(A163="","",C163+D163)</f>
        <v/>
      </c>
      <c r="F163" s="10">
        <f>IF(A163="","",IF(AND(ROUND(C163,2)=0,ROUND(D163,2)=0),"","yes"))</f>
        <v/>
      </c>
      <c r="G163" s="39" t="n"/>
      <c r="H163" s="11">
        <f>IF(OR(A163="",G163=""),"",E163-G163)</f>
        <v/>
      </c>
    </row>
    <row r="164">
      <c r="A164" s="10">
        <f>IF(INDEX(lst_Jobs,151)="","",INDEX(lst_Jobs,151)&amp;"")</f>
        <v/>
      </c>
      <c r="B164" s="10">
        <f>IF(A164="","",INDEX(lst_JobName,151)&amp;"")</f>
        <v/>
      </c>
      <c r="C164" s="11">
        <f>IF(A164="","",SUMIFS(tbl_WIP[Amount],tbl_WIP[Job Number],A164,tbl_WIP[Month],"&lt;"&amp;$C$4))</f>
        <v/>
      </c>
      <c r="D164" s="11">
        <f>IF(A164="","",SUMIFS(tbl_WIP[Amount],tbl_WIP[Job Number],A164,tbl_WIP[Month],$C$4))</f>
        <v/>
      </c>
      <c r="E164" s="11">
        <f>IF(A164="","",C164+D164)</f>
        <v/>
      </c>
      <c r="F164" s="10">
        <f>IF(A164="","",IF(AND(ROUND(C164,2)=0,ROUND(D164,2)=0),"","yes"))</f>
        <v/>
      </c>
      <c r="G164" s="39" t="n"/>
      <c r="H164" s="11">
        <f>IF(OR(A164="",G164=""),"",E164-G164)</f>
        <v/>
      </c>
    </row>
    <row r="165">
      <c r="A165" s="10">
        <f>IF(INDEX(lst_Jobs,152)="","",INDEX(lst_Jobs,152)&amp;"")</f>
        <v/>
      </c>
      <c r="B165" s="10">
        <f>IF(A165="","",INDEX(lst_JobName,152)&amp;"")</f>
        <v/>
      </c>
      <c r="C165" s="11">
        <f>IF(A165="","",SUMIFS(tbl_WIP[Amount],tbl_WIP[Job Number],A165,tbl_WIP[Month],"&lt;"&amp;$C$4))</f>
        <v/>
      </c>
      <c r="D165" s="11">
        <f>IF(A165="","",SUMIFS(tbl_WIP[Amount],tbl_WIP[Job Number],A165,tbl_WIP[Month],$C$4))</f>
        <v/>
      </c>
      <c r="E165" s="11">
        <f>IF(A165="","",C165+D165)</f>
        <v/>
      </c>
      <c r="F165" s="10">
        <f>IF(A165="","",IF(AND(ROUND(C165,2)=0,ROUND(D165,2)=0),"","yes"))</f>
        <v/>
      </c>
      <c r="G165" s="39" t="n"/>
      <c r="H165" s="11">
        <f>IF(OR(A165="",G165=""),"",E165-G165)</f>
        <v/>
      </c>
    </row>
    <row r="166">
      <c r="A166" s="10">
        <f>IF(INDEX(lst_Jobs,153)="","",INDEX(lst_Jobs,153)&amp;"")</f>
        <v/>
      </c>
      <c r="B166" s="10">
        <f>IF(A166="","",INDEX(lst_JobName,153)&amp;"")</f>
        <v/>
      </c>
      <c r="C166" s="11">
        <f>IF(A166="","",SUMIFS(tbl_WIP[Amount],tbl_WIP[Job Number],A166,tbl_WIP[Month],"&lt;"&amp;$C$4))</f>
        <v/>
      </c>
      <c r="D166" s="11">
        <f>IF(A166="","",SUMIFS(tbl_WIP[Amount],tbl_WIP[Job Number],A166,tbl_WIP[Month],$C$4))</f>
        <v/>
      </c>
      <c r="E166" s="11">
        <f>IF(A166="","",C166+D166)</f>
        <v/>
      </c>
      <c r="F166" s="10">
        <f>IF(A166="","",IF(AND(ROUND(C166,2)=0,ROUND(D166,2)=0),"","yes"))</f>
        <v/>
      </c>
      <c r="G166" s="39" t="n"/>
      <c r="H166" s="11">
        <f>IF(OR(A166="",G166=""),"",E166-G166)</f>
        <v/>
      </c>
    </row>
    <row r="167">
      <c r="A167" s="10">
        <f>IF(INDEX(lst_Jobs,154)="","",INDEX(lst_Jobs,154)&amp;"")</f>
        <v/>
      </c>
      <c r="B167" s="10">
        <f>IF(A167="","",INDEX(lst_JobName,154)&amp;"")</f>
        <v/>
      </c>
      <c r="C167" s="11">
        <f>IF(A167="","",SUMIFS(tbl_WIP[Amount],tbl_WIP[Job Number],A167,tbl_WIP[Month],"&lt;"&amp;$C$4))</f>
        <v/>
      </c>
      <c r="D167" s="11">
        <f>IF(A167="","",SUMIFS(tbl_WIP[Amount],tbl_WIP[Job Number],A167,tbl_WIP[Month],$C$4))</f>
        <v/>
      </c>
      <c r="E167" s="11">
        <f>IF(A167="","",C167+D167)</f>
        <v/>
      </c>
      <c r="F167" s="10">
        <f>IF(A167="","",IF(AND(ROUND(C167,2)=0,ROUND(D167,2)=0),"","yes"))</f>
        <v/>
      </c>
      <c r="G167" s="39" t="n"/>
      <c r="H167" s="11">
        <f>IF(OR(A167="",G167=""),"",E167-G167)</f>
        <v/>
      </c>
    </row>
    <row r="168">
      <c r="A168" s="10">
        <f>IF(INDEX(lst_Jobs,155)="","",INDEX(lst_Jobs,155)&amp;"")</f>
        <v/>
      </c>
      <c r="B168" s="10">
        <f>IF(A168="","",INDEX(lst_JobName,155)&amp;"")</f>
        <v/>
      </c>
      <c r="C168" s="11">
        <f>IF(A168="","",SUMIFS(tbl_WIP[Amount],tbl_WIP[Job Number],A168,tbl_WIP[Month],"&lt;"&amp;$C$4))</f>
        <v/>
      </c>
      <c r="D168" s="11">
        <f>IF(A168="","",SUMIFS(tbl_WIP[Amount],tbl_WIP[Job Number],A168,tbl_WIP[Month],$C$4))</f>
        <v/>
      </c>
      <c r="E168" s="11">
        <f>IF(A168="","",C168+D168)</f>
        <v/>
      </c>
      <c r="F168" s="10">
        <f>IF(A168="","",IF(AND(ROUND(C168,2)=0,ROUND(D168,2)=0),"","yes"))</f>
        <v/>
      </c>
      <c r="G168" s="39" t="n"/>
      <c r="H168" s="11">
        <f>IF(OR(A168="",G168=""),"",E168-G168)</f>
        <v/>
      </c>
    </row>
    <row r="169">
      <c r="A169" s="10">
        <f>IF(INDEX(lst_Jobs,156)="","",INDEX(lst_Jobs,156)&amp;"")</f>
        <v/>
      </c>
      <c r="B169" s="10">
        <f>IF(A169="","",INDEX(lst_JobName,156)&amp;"")</f>
        <v/>
      </c>
      <c r="C169" s="11">
        <f>IF(A169="","",SUMIFS(tbl_WIP[Amount],tbl_WIP[Job Number],A169,tbl_WIP[Month],"&lt;"&amp;$C$4))</f>
        <v/>
      </c>
      <c r="D169" s="11">
        <f>IF(A169="","",SUMIFS(tbl_WIP[Amount],tbl_WIP[Job Number],A169,tbl_WIP[Month],$C$4))</f>
        <v/>
      </c>
      <c r="E169" s="11">
        <f>IF(A169="","",C169+D169)</f>
        <v/>
      </c>
      <c r="F169" s="10">
        <f>IF(A169="","",IF(AND(ROUND(C169,2)=0,ROUND(D169,2)=0),"","yes"))</f>
        <v/>
      </c>
      <c r="G169" s="39" t="n"/>
      <c r="H169" s="11">
        <f>IF(OR(A169="",G169=""),"",E169-G169)</f>
        <v/>
      </c>
    </row>
    <row r="170">
      <c r="A170" s="10">
        <f>IF(INDEX(lst_Jobs,157)="","",INDEX(lst_Jobs,157)&amp;"")</f>
        <v/>
      </c>
      <c r="B170" s="10">
        <f>IF(A170="","",INDEX(lst_JobName,157)&amp;"")</f>
        <v/>
      </c>
      <c r="C170" s="11">
        <f>IF(A170="","",SUMIFS(tbl_WIP[Amount],tbl_WIP[Job Number],A170,tbl_WIP[Month],"&lt;"&amp;$C$4))</f>
        <v/>
      </c>
      <c r="D170" s="11">
        <f>IF(A170="","",SUMIFS(tbl_WIP[Amount],tbl_WIP[Job Number],A170,tbl_WIP[Month],$C$4))</f>
        <v/>
      </c>
      <c r="E170" s="11">
        <f>IF(A170="","",C170+D170)</f>
        <v/>
      </c>
      <c r="F170" s="10">
        <f>IF(A170="","",IF(AND(ROUND(C170,2)=0,ROUND(D170,2)=0),"","yes"))</f>
        <v/>
      </c>
      <c r="G170" s="39" t="n"/>
      <c r="H170" s="11">
        <f>IF(OR(A170="",G170=""),"",E170-G170)</f>
        <v/>
      </c>
    </row>
    <row r="171">
      <c r="A171" s="10">
        <f>IF(INDEX(lst_Jobs,158)="","",INDEX(lst_Jobs,158)&amp;"")</f>
        <v/>
      </c>
      <c r="B171" s="10">
        <f>IF(A171="","",INDEX(lst_JobName,158)&amp;"")</f>
        <v/>
      </c>
      <c r="C171" s="11">
        <f>IF(A171="","",SUMIFS(tbl_WIP[Amount],tbl_WIP[Job Number],A171,tbl_WIP[Month],"&lt;"&amp;$C$4))</f>
        <v/>
      </c>
      <c r="D171" s="11">
        <f>IF(A171="","",SUMIFS(tbl_WIP[Amount],tbl_WIP[Job Number],A171,tbl_WIP[Month],$C$4))</f>
        <v/>
      </c>
      <c r="E171" s="11">
        <f>IF(A171="","",C171+D171)</f>
        <v/>
      </c>
      <c r="F171" s="10">
        <f>IF(A171="","",IF(AND(ROUND(C171,2)=0,ROUND(D171,2)=0),"","yes"))</f>
        <v/>
      </c>
      <c r="G171" s="39" t="n"/>
      <c r="H171" s="11">
        <f>IF(OR(A171="",G171=""),"",E171-G171)</f>
        <v/>
      </c>
    </row>
    <row r="172">
      <c r="A172" s="10">
        <f>IF(INDEX(lst_Jobs,159)="","",INDEX(lst_Jobs,159)&amp;"")</f>
        <v/>
      </c>
      <c r="B172" s="10">
        <f>IF(A172="","",INDEX(lst_JobName,159)&amp;"")</f>
        <v/>
      </c>
      <c r="C172" s="11">
        <f>IF(A172="","",SUMIFS(tbl_WIP[Amount],tbl_WIP[Job Number],A172,tbl_WIP[Month],"&lt;"&amp;$C$4))</f>
        <v/>
      </c>
      <c r="D172" s="11">
        <f>IF(A172="","",SUMIFS(tbl_WIP[Amount],tbl_WIP[Job Number],A172,tbl_WIP[Month],$C$4))</f>
        <v/>
      </c>
      <c r="E172" s="11">
        <f>IF(A172="","",C172+D172)</f>
        <v/>
      </c>
      <c r="F172" s="10">
        <f>IF(A172="","",IF(AND(ROUND(C172,2)=0,ROUND(D172,2)=0),"","yes"))</f>
        <v/>
      </c>
      <c r="G172" s="39" t="n"/>
      <c r="H172" s="11">
        <f>IF(OR(A172="",G172=""),"",E172-G172)</f>
        <v/>
      </c>
    </row>
    <row r="173">
      <c r="A173" s="10">
        <f>IF(INDEX(lst_Jobs,160)="","",INDEX(lst_Jobs,160)&amp;"")</f>
        <v/>
      </c>
      <c r="B173" s="10">
        <f>IF(A173="","",INDEX(lst_JobName,160)&amp;"")</f>
        <v/>
      </c>
      <c r="C173" s="11">
        <f>IF(A173="","",SUMIFS(tbl_WIP[Amount],tbl_WIP[Job Number],A173,tbl_WIP[Month],"&lt;"&amp;$C$4))</f>
        <v/>
      </c>
      <c r="D173" s="11">
        <f>IF(A173="","",SUMIFS(tbl_WIP[Amount],tbl_WIP[Job Number],A173,tbl_WIP[Month],$C$4))</f>
        <v/>
      </c>
      <c r="E173" s="11">
        <f>IF(A173="","",C173+D173)</f>
        <v/>
      </c>
      <c r="F173" s="10">
        <f>IF(A173="","",IF(AND(ROUND(C173,2)=0,ROUND(D173,2)=0),"","yes"))</f>
        <v/>
      </c>
      <c r="G173" s="39" t="n"/>
      <c r="H173" s="11">
        <f>IF(OR(A173="",G173=""),"",E173-G173)</f>
        <v/>
      </c>
    </row>
    <row r="174">
      <c r="A174" s="10">
        <f>IF(INDEX(lst_Jobs,161)="","",INDEX(lst_Jobs,161)&amp;"")</f>
        <v/>
      </c>
      <c r="B174" s="10">
        <f>IF(A174="","",INDEX(lst_JobName,161)&amp;"")</f>
        <v/>
      </c>
      <c r="C174" s="11">
        <f>IF(A174="","",SUMIFS(tbl_WIP[Amount],tbl_WIP[Job Number],A174,tbl_WIP[Month],"&lt;"&amp;$C$4))</f>
        <v/>
      </c>
      <c r="D174" s="11">
        <f>IF(A174="","",SUMIFS(tbl_WIP[Amount],tbl_WIP[Job Number],A174,tbl_WIP[Month],$C$4))</f>
        <v/>
      </c>
      <c r="E174" s="11">
        <f>IF(A174="","",C174+D174)</f>
        <v/>
      </c>
      <c r="F174" s="10">
        <f>IF(A174="","",IF(AND(ROUND(C174,2)=0,ROUND(D174,2)=0),"","yes"))</f>
        <v/>
      </c>
      <c r="G174" s="39" t="n"/>
      <c r="H174" s="11">
        <f>IF(OR(A174="",G174=""),"",E174-G174)</f>
        <v/>
      </c>
    </row>
    <row r="175">
      <c r="A175" s="10">
        <f>IF(INDEX(lst_Jobs,162)="","",INDEX(lst_Jobs,162)&amp;"")</f>
        <v/>
      </c>
      <c r="B175" s="10">
        <f>IF(A175="","",INDEX(lst_JobName,162)&amp;"")</f>
        <v/>
      </c>
      <c r="C175" s="11">
        <f>IF(A175="","",SUMIFS(tbl_WIP[Amount],tbl_WIP[Job Number],A175,tbl_WIP[Month],"&lt;"&amp;$C$4))</f>
        <v/>
      </c>
      <c r="D175" s="11">
        <f>IF(A175="","",SUMIFS(tbl_WIP[Amount],tbl_WIP[Job Number],A175,tbl_WIP[Month],$C$4))</f>
        <v/>
      </c>
      <c r="E175" s="11">
        <f>IF(A175="","",C175+D175)</f>
        <v/>
      </c>
      <c r="F175" s="10">
        <f>IF(A175="","",IF(AND(ROUND(C175,2)=0,ROUND(D175,2)=0),"","yes"))</f>
        <v/>
      </c>
      <c r="G175" s="39" t="n"/>
      <c r="H175" s="11">
        <f>IF(OR(A175="",G175=""),"",E175-G175)</f>
        <v/>
      </c>
    </row>
    <row r="176">
      <c r="A176" s="10">
        <f>IF(INDEX(lst_Jobs,163)="","",INDEX(lst_Jobs,163)&amp;"")</f>
        <v/>
      </c>
      <c r="B176" s="10">
        <f>IF(A176="","",INDEX(lst_JobName,163)&amp;"")</f>
        <v/>
      </c>
      <c r="C176" s="11">
        <f>IF(A176="","",SUMIFS(tbl_WIP[Amount],tbl_WIP[Job Number],A176,tbl_WIP[Month],"&lt;"&amp;$C$4))</f>
        <v/>
      </c>
      <c r="D176" s="11">
        <f>IF(A176="","",SUMIFS(tbl_WIP[Amount],tbl_WIP[Job Number],A176,tbl_WIP[Month],$C$4))</f>
        <v/>
      </c>
      <c r="E176" s="11">
        <f>IF(A176="","",C176+D176)</f>
        <v/>
      </c>
      <c r="F176" s="10">
        <f>IF(A176="","",IF(AND(ROUND(C176,2)=0,ROUND(D176,2)=0),"","yes"))</f>
        <v/>
      </c>
      <c r="G176" s="39" t="n"/>
      <c r="H176" s="11">
        <f>IF(OR(A176="",G176=""),"",E176-G176)</f>
        <v/>
      </c>
    </row>
    <row r="177">
      <c r="A177" s="10">
        <f>IF(INDEX(lst_Jobs,164)="","",INDEX(lst_Jobs,164)&amp;"")</f>
        <v/>
      </c>
      <c r="B177" s="10">
        <f>IF(A177="","",INDEX(lst_JobName,164)&amp;"")</f>
        <v/>
      </c>
      <c r="C177" s="11">
        <f>IF(A177="","",SUMIFS(tbl_WIP[Amount],tbl_WIP[Job Number],A177,tbl_WIP[Month],"&lt;"&amp;$C$4))</f>
        <v/>
      </c>
      <c r="D177" s="11">
        <f>IF(A177="","",SUMIFS(tbl_WIP[Amount],tbl_WIP[Job Number],A177,tbl_WIP[Month],$C$4))</f>
        <v/>
      </c>
      <c r="E177" s="11">
        <f>IF(A177="","",C177+D177)</f>
        <v/>
      </c>
      <c r="F177" s="10">
        <f>IF(A177="","",IF(AND(ROUND(C177,2)=0,ROUND(D177,2)=0),"","yes"))</f>
        <v/>
      </c>
      <c r="G177" s="39" t="n"/>
      <c r="H177" s="11">
        <f>IF(OR(A177="",G177=""),"",E177-G177)</f>
        <v/>
      </c>
    </row>
    <row r="178">
      <c r="A178" s="10">
        <f>IF(INDEX(lst_Jobs,165)="","",INDEX(lst_Jobs,165)&amp;"")</f>
        <v/>
      </c>
      <c r="B178" s="10">
        <f>IF(A178="","",INDEX(lst_JobName,165)&amp;"")</f>
        <v/>
      </c>
      <c r="C178" s="11">
        <f>IF(A178="","",SUMIFS(tbl_WIP[Amount],tbl_WIP[Job Number],A178,tbl_WIP[Month],"&lt;"&amp;$C$4))</f>
        <v/>
      </c>
      <c r="D178" s="11">
        <f>IF(A178="","",SUMIFS(tbl_WIP[Amount],tbl_WIP[Job Number],A178,tbl_WIP[Month],$C$4))</f>
        <v/>
      </c>
      <c r="E178" s="11">
        <f>IF(A178="","",C178+D178)</f>
        <v/>
      </c>
      <c r="F178" s="10">
        <f>IF(A178="","",IF(AND(ROUND(C178,2)=0,ROUND(D178,2)=0),"","yes"))</f>
        <v/>
      </c>
      <c r="G178" s="39" t="n"/>
      <c r="H178" s="11">
        <f>IF(OR(A178="",G178=""),"",E178-G178)</f>
        <v/>
      </c>
    </row>
    <row r="179">
      <c r="A179" s="10">
        <f>IF(INDEX(lst_Jobs,166)="","",INDEX(lst_Jobs,166)&amp;"")</f>
        <v/>
      </c>
      <c r="B179" s="10">
        <f>IF(A179="","",INDEX(lst_JobName,166)&amp;"")</f>
        <v/>
      </c>
      <c r="C179" s="11">
        <f>IF(A179="","",SUMIFS(tbl_WIP[Amount],tbl_WIP[Job Number],A179,tbl_WIP[Month],"&lt;"&amp;$C$4))</f>
        <v/>
      </c>
      <c r="D179" s="11">
        <f>IF(A179="","",SUMIFS(tbl_WIP[Amount],tbl_WIP[Job Number],A179,tbl_WIP[Month],$C$4))</f>
        <v/>
      </c>
      <c r="E179" s="11">
        <f>IF(A179="","",C179+D179)</f>
        <v/>
      </c>
      <c r="F179" s="10">
        <f>IF(A179="","",IF(AND(ROUND(C179,2)=0,ROUND(D179,2)=0),"","yes"))</f>
        <v/>
      </c>
      <c r="G179" s="39" t="n"/>
      <c r="H179" s="11">
        <f>IF(OR(A179="",G179=""),"",E179-G179)</f>
        <v/>
      </c>
    </row>
    <row r="180">
      <c r="A180" s="10">
        <f>IF(INDEX(lst_Jobs,167)="","",INDEX(lst_Jobs,167)&amp;"")</f>
        <v/>
      </c>
      <c r="B180" s="10">
        <f>IF(A180="","",INDEX(lst_JobName,167)&amp;"")</f>
        <v/>
      </c>
      <c r="C180" s="11">
        <f>IF(A180="","",SUMIFS(tbl_WIP[Amount],tbl_WIP[Job Number],A180,tbl_WIP[Month],"&lt;"&amp;$C$4))</f>
        <v/>
      </c>
      <c r="D180" s="11">
        <f>IF(A180="","",SUMIFS(tbl_WIP[Amount],tbl_WIP[Job Number],A180,tbl_WIP[Month],$C$4))</f>
        <v/>
      </c>
      <c r="E180" s="11">
        <f>IF(A180="","",C180+D180)</f>
        <v/>
      </c>
      <c r="F180" s="10">
        <f>IF(A180="","",IF(AND(ROUND(C180,2)=0,ROUND(D180,2)=0),"","yes"))</f>
        <v/>
      </c>
      <c r="G180" s="39" t="n"/>
      <c r="H180" s="11">
        <f>IF(OR(A180="",G180=""),"",E180-G180)</f>
        <v/>
      </c>
    </row>
    <row r="181">
      <c r="A181" s="10">
        <f>IF(INDEX(lst_Jobs,168)="","",INDEX(lst_Jobs,168)&amp;"")</f>
        <v/>
      </c>
      <c r="B181" s="10">
        <f>IF(A181="","",INDEX(lst_JobName,168)&amp;"")</f>
        <v/>
      </c>
      <c r="C181" s="11">
        <f>IF(A181="","",SUMIFS(tbl_WIP[Amount],tbl_WIP[Job Number],A181,tbl_WIP[Month],"&lt;"&amp;$C$4))</f>
        <v/>
      </c>
      <c r="D181" s="11">
        <f>IF(A181="","",SUMIFS(tbl_WIP[Amount],tbl_WIP[Job Number],A181,tbl_WIP[Month],$C$4))</f>
        <v/>
      </c>
      <c r="E181" s="11">
        <f>IF(A181="","",C181+D181)</f>
        <v/>
      </c>
      <c r="F181" s="10">
        <f>IF(A181="","",IF(AND(ROUND(C181,2)=0,ROUND(D181,2)=0),"","yes"))</f>
        <v/>
      </c>
      <c r="G181" s="39" t="n"/>
      <c r="H181" s="11">
        <f>IF(OR(A181="",G181=""),"",E181-G181)</f>
        <v/>
      </c>
    </row>
    <row r="182">
      <c r="A182" s="10">
        <f>IF(INDEX(lst_Jobs,169)="","",INDEX(lst_Jobs,169)&amp;"")</f>
        <v/>
      </c>
      <c r="B182" s="10">
        <f>IF(A182="","",INDEX(lst_JobName,169)&amp;"")</f>
        <v/>
      </c>
      <c r="C182" s="11">
        <f>IF(A182="","",SUMIFS(tbl_WIP[Amount],tbl_WIP[Job Number],A182,tbl_WIP[Month],"&lt;"&amp;$C$4))</f>
        <v/>
      </c>
      <c r="D182" s="11">
        <f>IF(A182="","",SUMIFS(tbl_WIP[Amount],tbl_WIP[Job Number],A182,tbl_WIP[Month],$C$4))</f>
        <v/>
      </c>
      <c r="E182" s="11">
        <f>IF(A182="","",C182+D182)</f>
        <v/>
      </c>
      <c r="F182" s="10">
        <f>IF(A182="","",IF(AND(ROUND(C182,2)=0,ROUND(D182,2)=0),"","yes"))</f>
        <v/>
      </c>
      <c r="G182" s="39" t="n"/>
      <c r="H182" s="11">
        <f>IF(OR(A182="",G182=""),"",E182-G182)</f>
        <v/>
      </c>
    </row>
    <row r="183">
      <c r="A183" s="10">
        <f>IF(INDEX(lst_Jobs,170)="","",INDEX(lst_Jobs,170)&amp;"")</f>
        <v/>
      </c>
      <c r="B183" s="10">
        <f>IF(A183="","",INDEX(lst_JobName,170)&amp;"")</f>
        <v/>
      </c>
      <c r="C183" s="11">
        <f>IF(A183="","",SUMIFS(tbl_WIP[Amount],tbl_WIP[Job Number],A183,tbl_WIP[Month],"&lt;"&amp;$C$4))</f>
        <v/>
      </c>
      <c r="D183" s="11">
        <f>IF(A183="","",SUMIFS(tbl_WIP[Amount],tbl_WIP[Job Number],A183,tbl_WIP[Month],$C$4))</f>
        <v/>
      </c>
      <c r="E183" s="11">
        <f>IF(A183="","",C183+D183)</f>
        <v/>
      </c>
      <c r="F183" s="10">
        <f>IF(A183="","",IF(AND(ROUND(C183,2)=0,ROUND(D183,2)=0),"","yes"))</f>
        <v/>
      </c>
      <c r="G183" s="39" t="n"/>
      <c r="H183" s="11">
        <f>IF(OR(A183="",G183=""),"",E183-G183)</f>
        <v/>
      </c>
    </row>
    <row r="184">
      <c r="A184" s="10">
        <f>IF(INDEX(lst_Jobs,171)="","",INDEX(lst_Jobs,171)&amp;"")</f>
        <v/>
      </c>
      <c r="B184" s="10">
        <f>IF(A184="","",INDEX(lst_JobName,171)&amp;"")</f>
        <v/>
      </c>
      <c r="C184" s="11">
        <f>IF(A184="","",SUMIFS(tbl_WIP[Amount],tbl_WIP[Job Number],A184,tbl_WIP[Month],"&lt;"&amp;$C$4))</f>
        <v/>
      </c>
      <c r="D184" s="11">
        <f>IF(A184="","",SUMIFS(tbl_WIP[Amount],tbl_WIP[Job Number],A184,tbl_WIP[Month],$C$4))</f>
        <v/>
      </c>
      <c r="E184" s="11">
        <f>IF(A184="","",C184+D184)</f>
        <v/>
      </c>
      <c r="F184" s="10">
        <f>IF(A184="","",IF(AND(ROUND(C184,2)=0,ROUND(D184,2)=0),"","yes"))</f>
        <v/>
      </c>
      <c r="G184" s="39" t="n"/>
      <c r="H184" s="11">
        <f>IF(OR(A184="",G184=""),"",E184-G184)</f>
        <v/>
      </c>
    </row>
    <row r="185">
      <c r="A185" s="10">
        <f>IF(INDEX(lst_Jobs,172)="","",INDEX(lst_Jobs,172)&amp;"")</f>
        <v/>
      </c>
      <c r="B185" s="10">
        <f>IF(A185="","",INDEX(lst_JobName,172)&amp;"")</f>
        <v/>
      </c>
      <c r="C185" s="11">
        <f>IF(A185="","",SUMIFS(tbl_WIP[Amount],tbl_WIP[Job Number],A185,tbl_WIP[Month],"&lt;"&amp;$C$4))</f>
        <v/>
      </c>
      <c r="D185" s="11">
        <f>IF(A185="","",SUMIFS(tbl_WIP[Amount],tbl_WIP[Job Number],A185,tbl_WIP[Month],$C$4))</f>
        <v/>
      </c>
      <c r="E185" s="11">
        <f>IF(A185="","",C185+D185)</f>
        <v/>
      </c>
      <c r="F185" s="10">
        <f>IF(A185="","",IF(AND(ROUND(C185,2)=0,ROUND(D185,2)=0),"","yes"))</f>
        <v/>
      </c>
      <c r="G185" s="39" t="n"/>
      <c r="H185" s="11">
        <f>IF(OR(A185="",G185=""),"",E185-G185)</f>
        <v/>
      </c>
    </row>
    <row r="186">
      <c r="A186" s="10">
        <f>IF(INDEX(lst_Jobs,173)="","",INDEX(lst_Jobs,173)&amp;"")</f>
        <v/>
      </c>
      <c r="B186" s="10">
        <f>IF(A186="","",INDEX(lst_JobName,173)&amp;"")</f>
        <v/>
      </c>
      <c r="C186" s="11">
        <f>IF(A186="","",SUMIFS(tbl_WIP[Amount],tbl_WIP[Job Number],A186,tbl_WIP[Month],"&lt;"&amp;$C$4))</f>
        <v/>
      </c>
      <c r="D186" s="11">
        <f>IF(A186="","",SUMIFS(tbl_WIP[Amount],tbl_WIP[Job Number],A186,tbl_WIP[Month],$C$4))</f>
        <v/>
      </c>
      <c r="E186" s="11">
        <f>IF(A186="","",C186+D186)</f>
        <v/>
      </c>
      <c r="F186" s="10">
        <f>IF(A186="","",IF(AND(ROUND(C186,2)=0,ROUND(D186,2)=0),"","yes"))</f>
        <v/>
      </c>
      <c r="G186" s="39" t="n"/>
      <c r="H186" s="11">
        <f>IF(OR(A186="",G186=""),"",E186-G186)</f>
        <v/>
      </c>
    </row>
    <row r="187">
      <c r="A187" s="10">
        <f>IF(INDEX(lst_Jobs,174)="","",INDEX(lst_Jobs,174)&amp;"")</f>
        <v/>
      </c>
      <c r="B187" s="10">
        <f>IF(A187="","",INDEX(lst_JobName,174)&amp;"")</f>
        <v/>
      </c>
      <c r="C187" s="11">
        <f>IF(A187="","",SUMIFS(tbl_WIP[Amount],tbl_WIP[Job Number],A187,tbl_WIP[Month],"&lt;"&amp;$C$4))</f>
        <v/>
      </c>
      <c r="D187" s="11">
        <f>IF(A187="","",SUMIFS(tbl_WIP[Amount],tbl_WIP[Job Number],A187,tbl_WIP[Month],$C$4))</f>
        <v/>
      </c>
      <c r="E187" s="11">
        <f>IF(A187="","",C187+D187)</f>
        <v/>
      </c>
      <c r="F187" s="10">
        <f>IF(A187="","",IF(AND(ROUND(C187,2)=0,ROUND(D187,2)=0),"","yes"))</f>
        <v/>
      </c>
      <c r="G187" s="39" t="n"/>
      <c r="H187" s="11">
        <f>IF(OR(A187="",G187=""),"",E187-G187)</f>
        <v/>
      </c>
    </row>
    <row r="188">
      <c r="A188" s="10">
        <f>IF(INDEX(lst_Jobs,175)="","",INDEX(lst_Jobs,175)&amp;"")</f>
        <v/>
      </c>
      <c r="B188" s="10">
        <f>IF(A188="","",INDEX(lst_JobName,175)&amp;"")</f>
        <v/>
      </c>
      <c r="C188" s="11">
        <f>IF(A188="","",SUMIFS(tbl_WIP[Amount],tbl_WIP[Job Number],A188,tbl_WIP[Month],"&lt;"&amp;$C$4))</f>
        <v/>
      </c>
      <c r="D188" s="11">
        <f>IF(A188="","",SUMIFS(tbl_WIP[Amount],tbl_WIP[Job Number],A188,tbl_WIP[Month],$C$4))</f>
        <v/>
      </c>
      <c r="E188" s="11">
        <f>IF(A188="","",C188+D188)</f>
        <v/>
      </c>
      <c r="F188" s="10">
        <f>IF(A188="","",IF(AND(ROUND(C188,2)=0,ROUND(D188,2)=0),"","yes"))</f>
        <v/>
      </c>
      <c r="G188" s="39" t="n"/>
      <c r="H188" s="11">
        <f>IF(OR(A188="",G188=""),"",E188-G188)</f>
        <v/>
      </c>
    </row>
    <row r="189">
      <c r="A189" s="10">
        <f>IF(INDEX(lst_Jobs,176)="","",INDEX(lst_Jobs,176)&amp;"")</f>
        <v/>
      </c>
      <c r="B189" s="10">
        <f>IF(A189="","",INDEX(lst_JobName,176)&amp;"")</f>
        <v/>
      </c>
      <c r="C189" s="11">
        <f>IF(A189="","",SUMIFS(tbl_WIP[Amount],tbl_WIP[Job Number],A189,tbl_WIP[Month],"&lt;"&amp;$C$4))</f>
        <v/>
      </c>
      <c r="D189" s="11">
        <f>IF(A189="","",SUMIFS(tbl_WIP[Amount],tbl_WIP[Job Number],A189,tbl_WIP[Month],$C$4))</f>
        <v/>
      </c>
      <c r="E189" s="11">
        <f>IF(A189="","",C189+D189)</f>
        <v/>
      </c>
      <c r="F189" s="10">
        <f>IF(A189="","",IF(AND(ROUND(C189,2)=0,ROUND(D189,2)=0),"","yes"))</f>
        <v/>
      </c>
      <c r="G189" s="39" t="n"/>
      <c r="H189" s="11">
        <f>IF(OR(A189="",G189=""),"",E189-G189)</f>
        <v/>
      </c>
    </row>
    <row r="190">
      <c r="A190" s="10">
        <f>IF(INDEX(lst_Jobs,177)="","",INDEX(lst_Jobs,177)&amp;"")</f>
        <v/>
      </c>
      <c r="B190" s="10">
        <f>IF(A190="","",INDEX(lst_JobName,177)&amp;"")</f>
        <v/>
      </c>
      <c r="C190" s="11">
        <f>IF(A190="","",SUMIFS(tbl_WIP[Amount],tbl_WIP[Job Number],A190,tbl_WIP[Month],"&lt;"&amp;$C$4))</f>
        <v/>
      </c>
      <c r="D190" s="11">
        <f>IF(A190="","",SUMIFS(tbl_WIP[Amount],tbl_WIP[Job Number],A190,tbl_WIP[Month],$C$4))</f>
        <v/>
      </c>
      <c r="E190" s="11">
        <f>IF(A190="","",C190+D190)</f>
        <v/>
      </c>
      <c r="F190" s="10">
        <f>IF(A190="","",IF(AND(ROUND(C190,2)=0,ROUND(D190,2)=0),"","yes"))</f>
        <v/>
      </c>
      <c r="G190" s="39" t="n"/>
      <c r="H190" s="11">
        <f>IF(OR(A190="",G190=""),"",E190-G190)</f>
        <v/>
      </c>
    </row>
    <row r="191">
      <c r="A191" s="10">
        <f>IF(INDEX(lst_Jobs,178)="","",INDEX(lst_Jobs,178)&amp;"")</f>
        <v/>
      </c>
      <c r="B191" s="10">
        <f>IF(A191="","",INDEX(lst_JobName,178)&amp;"")</f>
        <v/>
      </c>
      <c r="C191" s="11">
        <f>IF(A191="","",SUMIFS(tbl_WIP[Amount],tbl_WIP[Job Number],A191,tbl_WIP[Month],"&lt;"&amp;$C$4))</f>
        <v/>
      </c>
      <c r="D191" s="11">
        <f>IF(A191="","",SUMIFS(tbl_WIP[Amount],tbl_WIP[Job Number],A191,tbl_WIP[Month],$C$4))</f>
        <v/>
      </c>
      <c r="E191" s="11">
        <f>IF(A191="","",C191+D191)</f>
        <v/>
      </c>
      <c r="F191" s="10">
        <f>IF(A191="","",IF(AND(ROUND(C191,2)=0,ROUND(D191,2)=0),"","yes"))</f>
        <v/>
      </c>
      <c r="G191" s="39" t="n"/>
      <c r="H191" s="11">
        <f>IF(OR(A191="",G191=""),"",E191-G191)</f>
        <v/>
      </c>
    </row>
    <row r="192">
      <c r="A192" s="10">
        <f>IF(INDEX(lst_Jobs,179)="","",INDEX(lst_Jobs,179)&amp;"")</f>
        <v/>
      </c>
      <c r="B192" s="10">
        <f>IF(A192="","",INDEX(lst_JobName,179)&amp;"")</f>
        <v/>
      </c>
      <c r="C192" s="11">
        <f>IF(A192="","",SUMIFS(tbl_WIP[Amount],tbl_WIP[Job Number],A192,tbl_WIP[Month],"&lt;"&amp;$C$4))</f>
        <v/>
      </c>
      <c r="D192" s="11">
        <f>IF(A192="","",SUMIFS(tbl_WIP[Amount],tbl_WIP[Job Number],A192,tbl_WIP[Month],$C$4))</f>
        <v/>
      </c>
      <c r="E192" s="11">
        <f>IF(A192="","",C192+D192)</f>
        <v/>
      </c>
      <c r="F192" s="10">
        <f>IF(A192="","",IF(AND(ROUND(C192,2)=0,ROUND(D192,2)=0),"","yes"))</f>
        <v/>
      </c>
      <c r="G192" s="39" t="n"/>
      <c r="H192" s="11">
        <f>IF(OR(A192="",G192=""),"",E192-G192)</f>
        <v/>
      </c>
    </row>
    <row r="193">
      <c r="A193" s="10">
        <f>IF(INDEX(lst_Jobs,180)="","",INDEX(lst_Jobs,180)&amp;"")</f>
        <v/>
      </c>
      <c r="B193" s="10">
        <f>IF(A193="","",INDEX(lst_JobName,180)&amp;"")</f>
        <v/>
      </c>
      <c r="C193" s="11">
        <f>IF(A193="","",SUMIFS(tbl_WIP[Amount],tbl_WIP[Job Number],A193,tbl_WIP[Month],"&lt;"&amp;$C$4))</f>
        <v/>
      </c>
      <c r="D193" s="11">
        <f>IF(A193="","",SUMIFS(tbl_WIP[Amount],tbl_WIP[Job Number],A193,tbl_WIP[Month],$C$4))</f>
        <v/>
      </c>
      <c r="E193" s="11">
        <f>IF(A193="","",C193+D193)</f>
        <v/>
      </c>
      <c r="F193" s="10">
        <f>IF(A193="","",IF(AND(ROUND(C193,2)=0,ROUND(D193,2)=0),"","yes"))</f>
        <v/>
      </c>
      <c r="G193" s="39" t="n"/>
      <c r="H193" s="11">
        <f>IF(OR(A193="",G193=""),"",E193-G193)</f>
        <v/>
      </c>
    </row>
    <row r="194">
      <c r="A194" s="10">
        <f>IF(INDEX(lst_Jobs,181)="","",INDEX(lst_Jobs,181)&amp;"")</f>
        <v/>
      </c>
      <c r="B194" s="10">
        <f>IF(A194="","",INDEX(lst_JobName,181)&amp;"")</f>
        <v/>
      </c>
      <c r="C194" s="11">
        <f>IF(A194="","",SUMIFS(tbl_WIP[Amount],tbl_WIP[Job Number],A194,tbl_WIP[Month],"&lt;"&amp;$C$4))</f>
        <v/>
      </c>
      <c r="D194" s="11">
        <f>IF(A194="","",SUMIFS(tbl_WIP[Amount],tbl_WIP[Job Number],A194,tbl_WIP[Month],$C$4))</f>
        <v/>
      </c>
      <c r="E194" s="11">
        <f>IF(A194="","",C194+D194)</f>
        <v/>
      </c>
      <c r="F194" s="10">
        <f>IF(A194="","",IF(AND(ROUND(C194,2)=0,ROUND(D194,2)=0),"","yes"))</f>
        <v/>
      </c>
      <c r="G194" s="39" t="n"/>
      <c r="H194" s="11">
        <f>IF(OR(A194="",G194=""),"",E194-G194)</f>
        <v/>
      </c>
    </row>
    <row r="195">
      <c r="A195" s="10">
        <f>IF(INDEX(lst_Jobs,182)="","",INDEX(lst_Jobs,182)&amp;"")</f>
        <v/>
      </c>
      <c r="B195" s="10">
        <f>IF(A195="","",INDEX(lst_JobName,182)&amp;"")</f>
        <v/>
      </c>
      <c r="C195" s="11">
        <f>IF(A195="","",SUMIFS(tbl_WIP[Amount],tbl_WIP[Job Number],A195,tbl_WIP[Month],"&lt;"&amp;$C$4))</f>
        <v/>
      </c>
      <c r="D195" s="11">
        <f>IF(A195="","",SUMIFS(tbl_WIP[Amount],tbl_WIP[Job Number],A195,tbl_WIP[Month],$C$4))</f>
        <v/>
      </c>
      <c r="E195" s="11">
        <f>IF(A195="","",C195+D195)</f>
        <v/>
      </c>
      <c r="F195" s="10">
        <f>IF(A195="","",IF(AND(ROUND(C195,2)=0,ROUND(D195,2)=0),"","yes"))</f>
        <v/>
      </c>
      <c r="G195" s="39" t="n"/>
      <c r="H195" s="11">
        <f>IF(OR(A195="",G195=""),"",E195-G195)</f>
        <v/>
      </c>
    </row>
    <row r="196">
      <c r="A196" s="10">
        <f>IF(INDEX(lst_Jobs,183)="","",INDEX(lst_Jobs,183)&amp;"")</f>
        <v/>
      </c>
      <c r="B196" s="10">
        <f>IF(A196="","",INDEX(lst_JobName,183)&amp;"")</f>
        <v/>
      </c>
      <c r="C196" s="11">
        <f>IF(A196="","",SUMIFS(tbl_WIP[Amount],tbl_WIP[Job Number],A196,tbl_WIP[Month],"&lt;"&amp;$C$4))</f>
        <v/>
      </c>
      <c r="D196" s="11">
        <f>IF(A196="","",SUMIFS(tbl_WIP[Amount],tbl_WIP[Job Number],A196,tbl_WIP[Month],$C$4))</f>
        <v/>
      </c>
      <c r="E196" s="11">
        <f>IF(A196="","",C196+D196)</f>
        <v/>
      </c>
      <c r="F196" s="10">
        <f>IF(A196="","",IF(AND(ROUND(C196,2)=0,ROUND(D196,2)=0),"","yes"))</f>
        <v/>
      </c>
      <c r="G196" s="39" t="n"/>
      <c r="H196" s="11">
        <f>IF(OR(A196="",G196=""),"",E196-G196)</f>
        <v/>
      </c>
    </row>
    <row r="197">
      <c r="A197" s="10">
        <f>IF(INDEX(lst_Jobs,184)="","",INDEX(lst_Jobs,184)&amp;"")</f>
        <v/>
      </c>
      <c r="B197" s="10">
        <f>IF(A197="","",INDEX(lst_JobName,184)&amp;"")</f>
        <v/>
      </c>
      <c r="C197" s="11">
        <f>IF(A197="","",SUMIFS(tbl_WIP[Amount],tbl_WIP[Job Number],A197,tbl_WIP[Month],"&lt;"&amp;$C$4))</f>
        <v/>
      </c>
      <c r="D197" s="11">
        <f>IF(A197="","",SUMIFS(tbl_WIP[Amount],tbl_WIP[Job Number],A197,tbl_WIP[Month],$C$4))</f>
        <v/>
      </c>
      <c r="E197" s="11">
        <f>IF(A197="","",C197+D197)</f>
        <v/>
      </c>
      <c r="F197" s="10">
        <f>IF(A197="","",IF(AND(ROUND(C197,2)=0,ROUND(D197,2)=0),"","yes"))</f>
        <v/>
      </c>
      <c r="G197" s="39" t="n"/>
      <c r="H197" s="11">
        <f>IF(OR(A197="",G197=""),"",E197-G197)</f>
        <v/>
      </c>
    </row>
    <row r="198">
      <c r="A198" s="10">
        <f>IF(INDEX(lst_Jobs,185)="","",INDEX(lst_Jobs,185)&amp;"")</f>
        <v/>
      </c>
      <c r="B198" s="10">
        <f>IF(A198="","",INDEX(lst_JobName,185)&amp;"")</f>
        <v/>
      </c>
      <c r="C198" s="11">
        <f>IF(A198="","",SUMIFS(tbl_WIP[Amount],tbl_WIP[Job Number],A198,tbl_WIP[Month],"&lt;"&amp;$C$4))</f>
        <v/>
      </c>
      <c r="D198" s="11">
        <f>IF(A198="","",SUMIFS(tbl_WIP[Amount],tbl_WIP[Job Number],A198,tbl_WIP[Month],$C$4))</f>
        <v/>
      </c>
      <c r="E198" s="11">
        <f>IF(A198="","",C198+D198)</f>
        <v/>
      </c>
      <c r="F198" s="10">
        <f>IF(A198="","",IF(AND(ROUND(C198,2)=0,ROUND(D198,2)=0),"","yes"))</f>
        <v/>
      </c>
      <c r="G198" s="39" t="n"/>
      <c r="H198" s="11">
        <f>IF(OR(A198="",G198=""),"",E198-G198)</f>
        <v/>
      </c>
    </row>
    <row r="199">
      <c r="A199" s="10">
        <f>IF(INDEX(lst_Jobs,186)="","",INDEX(lst_Jobs,186)&amp;"")</f>
        <v/>
      </c>
      <c r="B199" s="10">
        <f>IF(A199="","",INDEX(lst_JobName,186)&amp;"")</f>
        <v/>
      </c>
      <c r="C199" s="11">
        <f>IF(A199="","",SUMIFS(tbl_WIP[Amount],tbl_WIP[Job Number],A199,tbl_WIP[Month],"&lt;"&amp;$C$4))</f>
        <v/>
      </c>
      <c r="D199" s="11">
        <f>IF(A199="","",SUMIFS(tbl_WIP[Amount],tbl_WIP[Job Number],A199,tbl_WIP[Month],$C$4))</f>
        <v/>
      </c>
      <c r="E199" s="11">
        <f>IF(A199="","",C199+D199)</f>
        <v/>
      </c>
      <c r="F199" s="10">
        <f>IF(A199="","",IF(AND(ROUND(C199,2)=0,ROUND(D199,2)=0),"","yes"))</f>
        <v/>
      </c>
      <c r="G199" s="39" t="n"/>
      <c r="H199" s="11">
        <f>IF(OR(A199="",G199=""),"",E199-G199)</f>
        <v/>
      </c>
    </row>
    <row r="200">
      <c r="A200" s="10">
        <f>IF(INDEX(lst_Jobs,187)="","",INDEX(lst_Jobs,187)&amp;"")</f>
        <v/>
      </c>
      <c r="B200" s="10">
        <f>IF(A200="","",INDEX(lst_JobName,187)&amp;"")</f>
        <v/>
      </c>
      <c r="C200" s="11">
        <f>IF(A200="","",SUMIFS(tbl_WIP[Amount],tbl_WIP[Job Number],A200,tbl_WIP[Month],"&lt;"&amp;$C$4))</f>
        <v/>
      </c>
      <c r="D200" s="11">
        <f>IF(A200="","",SUMIFS(tbl_WIP[Amount],tbl_WIP[Job Number],A200,tbl_WIP[Month],$C$4))</f>
        <v/>
      </c>
      <c r="E200" s="11">
        <f>IF(A200="","",C200+D200)</f>
        <v/>
      </c>
      <c r="F200" s="10">
        <f>IF(A200="","",IF(AND(ROUND(C200,2)=0,ROUND(D200,2)=0),"","yes"))</f>
        <v/>
      </c>
      <c r="G200" s="39" t="n"/>
      <c r="H200" s="11">
        <f>IF(OR(A200="",G200=""),"",E200-G200)</f>
        <v/>
      </c>
    </row>
    <row r="201">
      <c r="A201" s="10">
        <f>IF(INDEX(lst_Jobs,188)="","",INDEX(lst_Jobs,188)&amp;"")</f>
        <v/>
      </c>
      <c r="B201" s="10">
        <f>IF(A201="","",INDEX(lst_JobName,188)&amp;"")</f>
        <v/>
      </c>
      <c r="C201" s="11">
        <f>IF(A201="","",SUMIFS(tbl_WIP[Amount],tbl_WIP[Job Number],A201,tbl_WIP[Month],"&lt;"&amp;$C$4))</f>
        <v/>
      </c>
      <c r="D201" s="11">
        <f>IF(A201="","",SUMIFS(tbl_WIP[Amount],tbl_WIP[Job Number],A201,tbl_WIP[Month],$C$4))</f>
        <v/>
      </c>
      <c r="E201" s="11">
        <f>IF(A201="","",C201+D201)</f>
        <v/>
      </c>
      <c r="F201" s="10">
        <f>IF(A201="","",IF(AND(ROUND(C201,2)=0,ROUND(D201,2)=0),"","yes"))</f>
        <v/>
      </c>
      <c r="G201" s="39" t="n"/>
      <c r="H201" s="11">
        <f>IF(OR(A201="",G201=""),"",E201-G201)</f>
        <v/>
      </c>
    </row>
    <row r="202">
      <c r="A202" s="10">
        <f>IF(INDEX(lst_Jobs,189)="","",INDEX(lst_Jobs,189)&amp;"")</f>
        <v/>
      </c>
      <c r="B202" s="10">
        <f>IF(A202="","",INDEX(lst_JobName,189)&amp;"")</f>
        <v/>
      </c>
      <c r="C202" s="11">
        <f>IF(A202="","",SUMIFS(tbl_WIP[Amount],tbl_WIP[Job Number],A202,tbl_WIP[Month],"&lt;"&amp;$C$4))</f>
        <v/>
      </c>
      <c r="D202" s="11">
        <f>IF(A202="","",SUMIFS(tbl_WIP[Amount],tbl_WIP[Job Number],A202,tbl_WIP[Month],$C$4))</f>
        <v/>
      </c>
      <c r="E202" s="11">
        <f>IF(A202="","",C202+D202)</f>
        <v/>
      </c>
      <c r="F202" s="10">
        <f>IF(A202="","",IF(AND(ROUND(C202,2)=0,ROUND(D202,2)=0),"","yes"))</f>
        <v/>
      </c>
      <c r="G202" s="39" t="n"/>
      <c r="H202" s="11">
        <f>IF(OR(A202="",G202=""),"",E202-G202)</f>
        <v/>
      </c>
    </row>
    <row r="203">
      <c r="A203" s="10">
        <f>IF(INDEX(lst_Jobs,190)="","",INDEX(lst_Jobs,190)&amp;"")</f>
        <v/>
      </c>
      <c r="B203" s="10">
        <f>IF(A203="","",INDEX(lst_JobName,190)&amp;"")</f>
        <v/>
      </c>
      <c r="C203" s="11">
        <f>IF(A203="","",SUMIFS(tbl_WIP[Amount],tbl_WIP[Job Number],A203,tbl_WIP[Month],"&lt;"&amp;$C$4))</f>
        <v/>
      </c>
      <c r="D203" s="11">
        <f>IF(A203="","",SUMIFS(tbl_WIP[Amount],tbl_WIP[Job Number],A203,tbl_WIP[Month],$C$4))</f>
        <v/>
      </c>
      <c r="E203" s="11">
        <f>IF(A203="","",C203+D203)</f>
        <v/>
      </c>
      <c r="F203" s="10">
        <f>IF(A203="","",IF(AND(ROUND(C203,2)=0,ROUND(D203,2)=0),"","yes"))</f>
        <v/>
      </c>
      <c r="G203" s="39" t="n"/>
      <c r="H203" s="11">
        <f>IF(OR(A203="",G203=""),"",E203-G203)</f>
        <v/>
      </c>
    </row>
    <row r="204">
      <c r="A204" s="10">
        <f>IF(INDEX(lst_Jobs,191)="","",INDEX(lst_Jobs,191)&amp;"")</f>
        <v/>
      </c>
      <c r="B204" s="10">
        <f>IF(A204="","",INDEX(lst_JobName,191)&amp;"")</f>
        <v/>
      </c>
      <c r="C204" s="11">
        <f>IF(A204="","",SUMIFS(tbl_WIP[Amount],tbl_WIP[Job Number],A204,tbl_WIP[Month],"&lt;"&amp;$C$4))</f>
        <v/>
      </c>
      <c r="D204" s="11">
        <f>IF(A204="","",SUMIFS(tbl_WIP[Amount],tbl_WIP[Job Number],A204,tbl_WIP[Month],$C$4))</f>
        <v/>
      </c>
      <c r="E204" s="11">
        <f>IF(A204="","",C204+D204)</f>
        <v/>
      </c>
      <c r="F204" s="10">
        <f>IF(A204="","",IF(AND(ROUND(C204,2)=0,ROUND(D204,2)=0),"","yes"))</f>
        <v/>
      </c>
      <c r="G204" s="39" t="n"/>
      <c r="H204" s="11">
        <f>IF(OR(A204="",G204=""),"",E204-G204)</f>
        <v/>
      </c>
    </row>
    <row r="205">
      <c r="A205" s="10">
        <f>IF(INDEX(lst_Jobs,192)="","",INDEX(lst_Jobs,192)&amp;"")</f>
        <v/>
      </c>
      <c r="B205" s="10">
        <f>IF(A205="","",INDEX(lst_JobName,192)&amp;"")</f>
        <v/>
      </c>
      <c r="C205" s="11">
        <f>IF(A205="","",SUMIFS(tbl_WIP[Amount],tbl_WIP[Job Number],A205,tbl_WIP[Month],"&lt;"&amp;$C$4))</f>
        <v/>
      </c>
      <c r="D205" s="11">
        <f>IF(A205="","",SUMIFS(tbl_WIP[Amount],tbl_WIP[Job Number],A205,tbl_WIP[Month],$C$4))</f>
        <v/>
      </c>
      <c r="E205" s="11">
        <f>IF(A205="","",C205+D205)</f>
        <v/>
      </c>
      <c r="F205" s="10">
        <f>IF(A205="","",IF(AND(ROUND(C205,2)=0,ROUND(D205,2)=0),"","yes"))</f>
        <v/>
      </c>
      <c r="G205" s="39" t="n"/>
      <c r="H205" s="11">
        <f>IF(OR(A205="",G205=""),"",E205-G205)</f>
        <v/>
      </c>
    </row>
    <row r="206">
      <c r="A206" s="10">
        <f>IF(INDEX(lst_Jobs,193)="","",INDEX(lst_Jobs,193)&amp;"")</f>
        <v/>
      </c>
      <c r="B206" s="10">
        <f>IF(A206="","",INDEX(lst_JobName,193)&amp;"")</f>
        <v/>
      </c>
      <c r="C206" s="11">
        <f>IF(A206="","",SUMIFS(tbl_WIP[Amount],tbl_WIP[Job Number],A206,tbl_WIP[Month],"&lt;"&amp;$C$4))</f>
        <v/>
      </c>
      <c r="D206" s="11">
        <f>IF(A206="","",SUMIFS(tbl_WIP[Amount],tbl_WIP[Job Number],A206,tbl_WIP[Month],$C$4))</f>
        <v/>
      </c>
      <c r="E206" s="11">
        <f>IF(A206="","",C206+D206)</f>
        <v/>
      </c>
      <c r="F206" s="10">
        <f>IF(A206="","",IF(AND(ROUND(C206,2)=0,ROUND(D206,2)=0),"","yes"))</f>
        <v/>
      </c>
      <c r="G206" s="39" t="n"/>
      <c r="H206" s="11">
        <f>IF(OR(A206="",G206=""),"",E206-G206)</f>
        <v/>
      </c>
    </row>
    <row r="207">
      <c r="A207" s="10">
        <f>IF(INDEX(lst_Jobs,194)="","",INDEX(lst_Jobs,194)&amp;"")</f>
        <v/>
      </c>
      <c r="B207" s="10">
        <f>IF(A207="","",INDEX(lst_JobName,194)&amp;"")</f>
        <v/>
      </c>
      <c r="C207" s="11">
        <f>IF(A207="","",SUMIFS(tbl_WIP[Amount],tbl_WIP[Job Number],A207,tbl_WIP[Month],"&lt;"&amp;$C$4))</f>
        <v/>
      </c>
      <c r="D207" s="11">
        <f>IF(A207="","",SUMIFS(tbl_WIP[Amount],tbl_WIP[Job Number],A207,tbl_WIP[Month],$C$4))</f>
        <v/>
      </c>
      <c r="E207" s="11">
        <f>IF(A207="","",C207+D207)</f>
        <v/>
      </c>
      <c r="F207" s="10">
        <f>IF(A207="","",IF(AND(ROUND(C207,2)=0,ROUND(D207,2)=0),"","yes"))</f>
        <v/>
      </c>
      <c r="G207" s="39" t="n"/>
      <c r="H207" s="11">
        <f>IF(OR(A207="",G207=""),"",E207-G207)</f>
        <v/>
      </c>
    </row>
    <row r="208">
      <c r="A208" s="10">
        <f>IF(INDEX(lst_Jobs,195)="","",INDEX(lst_Jobs,195)&amp;"")</f>
        <v/>
      </c>
      <c r="B208" s="10">
        <f>IF(A208="","",INDEX(lst_JobName,195)&amp;"")</f>
        <v/>
      </c>
      <c r="C208" s="11">
        <f>IF(A208="","",SUMIFS(tbl_WIP[Amount],tbl_WIP[Job Number],A208,tbl_WIP[Month],"&lt;"&amp;$C$4))</f>
        <v/>
      </c>
      <c r="D208" s="11">
        <f>IF(A208="","",SUMIFS(tbl_WIP[Amount],tbl_WIP[Job Number],A208,tbl_WIP[Month],$C$4))</f>
        <v/>
      </c>
      <c r="E208" s="11">
        <f>IF(A208="","",C208+D208)</f>
        <v/>
      </c>
      <c r="F208" s="10">
        <f>IF(A208="","",IF(AND(ROUND(C208,2)=0,ROUND(D208,2)=0),"","yes"))</f>
        <v/>
      </c>
      <c r="G208" s="39" t="n"/>
      <c r="H208" s="11">
        <f>IF(OR(A208="",G208=""),"",E208-G208)</f>
        <v/>
      </c>
    </row>
    <row r="209">
      <c r="A209" s="10">
        <f>IF(INDEX(lst_Jobs,196)="","",INDEX(lst_Jobs,196)&amp;"")</f>
        <v/>
      </c>
      <c r="B209" s="10">
        <f>IF(A209="","",INDEX(lst_JobName,196)&amp;"")</f>
        <v/>
      </c>
      <c r="C209" s="11">
        <f>IF(A209="","",SUMIFS(tbl_WIP[Amount],tbl_WIP[Job Number],A209,tbl_WIP[Month],"&lt;"&amp;$C$4))</f>
        <v/>
      </c>
      <c r="D209" s="11">
        <f>IF(A209="","",SUMIFS(tbl_WIP[Amount],tbl_WIP[Job Number],A209,tbl_WIP[Month],$C$4))</f>
        <v/>
      </c>
      <c r="E209" s="11">
        <f>IF(A209="","",C209+D209)</f>
        <v/>
      </c>
      <c r="F209" s="10">
        <f>IF(A209="","",IF(AND(ROUND(C209,2)=0,ROUND(D209,2)=0),"","yes"))</f>
        <v/>
      </c>
      <c r="G209" s="39" t="n"/>
      <c r="H209" s="11">
        <f>IF(OR(A209="",G209=""),"",E209-G209)</f>
        <v/>
      </c>
    </row>
    <row r="210">
      <c r="A210" s="10">
        <f>IF(INDEX(lst_Jobs,197)="","",INDEX(lst_Jobs,197)&amp;"")</f>
        <v/>
      </c>
      <c r="B210" s="10">
        <f>IF(A210="","",INDEX(lst_JobName,197)&amp;"")</f>
        <v/>
      </c>
      <c r="C210" s="11">
        <f>IF(A210="","",SUMIFS(tbl_WIP[Amount],tbl_WIP[Job Number],A210,tbl_WIP[Month],"&lt;"&amp;$C$4))</f>
        <v/>
      </c>
      <c r="D210" s="11">
        <f>IF(A210="","",SUMIFS(tbl_WIP[Amount],tbl_WIP[Job Number],A210,tbl_WIP[Month],$C$4))</f>
        <v/>
      </c>
      <c r="E210" s="11">
        <f>IF(A210="","",C210+D210)</f>
        <v/>
      </c>
      <c r="F210" s="10">
        <f>IF(A210="","",IF(AND(ROUND(C210,2)=0,ROUND(D210,2)=0),"","yes"))</f>
        <v/>
      </c>
      <c r="G210" s="39" t="n"/>
      <c r="H210" s="11">
        <f>IF(OR(A210="",G210=""),"",E210-G210)</f>
        <v/>
      </c>
    </row>
    <row r="211">
      <c r="A211" s="10">
        <f>IF(INDEX(lst_Jobs,198)="","",INDEX(lst_Jobs,198)&amp;"")</f>
        <v/>
      </c>
      <c r="B211" s="10">
        <f>IF(A211="","",INDEX(lst_JobName,198)&amp;"")</f>
        <v/>
      </c>
      <c r="C211" s="11">
        <f>IF(A211="","",SUMIFS(tbl_WIP[Amount],tbl_WIP[Job Number],A211,tbl_WIP[Month],"&lt;"&amp;$C$4))</f>
        <v/>
      </c>
      <c r="D211" s="11">
        <f>IF(A211="","",SUMIFS(tbl_WIP[Amount],tbl_WIP[Job Number],A211,tbl_WIP[Month],$C$4))</f>
        <v/>
      </c>
      <c r="E211" s="11">
        <f>IF(A211="","",C211+D211)</f>
        <v/>
      </c>
      <c r="F211" s="10">
        <f>IF(A211="","",IF(AND(ROUND(C211,2)=0,ROUND(D211,2)=0),"","yes"))</f>
        <v/>
      </c>
      <c r="G211" s="39" t="n"/>
      <c r="H211" s="11">
        <f>IF(OR(A211="",G211=""),"",E211-G211)</f>
        <v/>
      </c>
    </row>
    <row r="212">
      <c r="A212" s="10">
        <f>IF(INDEX(lst_Jobs,199)="","",INDEX(lst_Jobs,199)&amp;"")</f>
        <v/>
      </c>
      <c r="B212" s="10">
        <f>IF(A212="","",INDEX(lst_JobName,199)&amp;"")</f>
        <v/>
      </c>
      <c r="C212" s="11">
        <f>IF(A212="","",SUMIFS(tbl_WIP[Amount],tbl_WIP[Job Number],A212,tbl_WIP[Month],"&lt;"&amp;$C$4))</f>
        <v/>
      </c>
      <c r="D212" s="11">
        <f>IF(A212="","",SUMIFS(tbl_WIP[Amount],tbl_WIP[Job Number],A212,tbl_WIP[Month],$C$4))</f>
        <v/>
      </c>
      <c r="E212" s="11">
        <f>IF(A212="","",C212+D212)</f>
        <v/>
      </c>
      <c r="F212" s="10">
        <f>IF(A212="","",IF(AND(ROUND(C212,2)=0,ROUND(D212,2)=0),"","yes"))</f>
        <v/>
      </c>
      <c r="G212" s="39" t="n"/>
      <c r="H212" s="11">
        <f>IF(OR(A212="",G212=""),"",E212-G212)</f>
        <v/>
      </c>
    </row>
    <row r="213">
      <c r="A213" s="10">
        <f>IF(INDEX(lst_Jobs,200)="","",INDEX(lst_Jobs,200)&amp;"")</f>
        <v/>
      </c>
      <c r="B213" s="10">
        <f>IF(A213="","",INDEX(lst_JobName,200)&amp;"")</f>
        <v/>
      </c>
      <c r="C213" s="11">
        <f>IF(A213="","",SUMIFS(tbl_WIP[Amount],tbl_WIP[Job Number],A213,tbl_WIP[Month],"&lt;"&amp;$C$4))</f>
        <v/>
      </c>
      <c r="D213" s="11">
        <f>IF(A213="","",SUMIFS(tbl_WIP[Amount],tbl_WIP[Job Number],A213,tbl_WIP[Month],$C$4))</f>
        <v/>
      </c>
      <c r="E213" s="11">
        <f>IF(A213="","",C213+D213)</f>
        <v/>
      </c>
      <c r="F213" s="10">
        <f>IF(A213="","",IF(AND(ROUND(C213,2)=0,ROUND(D213,2)=0),"","yes"))</f>
        <v/>
      </c>
      <c r="G213" s="39" t="n"/>
      <c r="H213" s="11">
        <f>IF(OR(A213="",G213=""),"",E213-G213)</f>
        <v/>
      </c>
    </row>
    <row r="214">
      <c r="A214" s="10">
        <f>IF(INDEX(lst_Jobs,201)="","",INDEX(lst_Jobs,201)&amp;"")</f>
        <v/>
      </c>
      <c r="B214" s="10">
        <f>IF(A214="","",INDEX(lst_JobName,201)&amp;"")</f>
        <v/>
      </c>
      <c r="C214" s="11">
        <f>IF(A214="","",SUMIFS(tbl_WIP[Amount],tbl_WIP[Job Number],A214,tbl_WIP[Month],"&lt;"&amp;$C$4))</f>
        <v/>
      </c>
      <c r="D214" s="11">
        <f>IF(A214="","",SUMIFS(tbl_WIP[Amount],tbl_WIP[Job Number],A214,tbl_WIP[Month],$C$4))</f>
        <v/>
      </c>
      <c r="E214" s="11">
        <f>IF(A214="","",C214+D214)</f>
        <v/>
      </c>
      <c r="F214" s="10">
        <f>IF(A214="","",IF(AND(ROUND(C214,2)=0,ROUND(D214,2)=0),"","yes"))</f>
        <v/>
      </c>
      <c r="G214" s="39" t="n"/>
      <c r="H214" s="11">
        <f>IF(OR(A214="",G214=""),"",E214-G214)</f>
        <v/>
      </c>
    </row>
    <row r="215">
      <c r="A215" s="10">
        <f>IF(INDEX(lst_Jobs,202)="","",INDEX(lst_Jobs,202)&amp;"")</f>
        <v/>
      </c>
      <c r="B215" s="10">
        <f>IF(A215="","",INDEX(lst_JobName,202)&amp;"")</f>
        <v/>
      </c>
      <c r="C215" s="11">
        <f>IF(A215="","",SUMIFS(tbl_WIP[Amount],tbl_WIP[Job Number],A215,tbl_WIP[Month],"&lt;"&amp;$C$4))</f>
        <v/>
      </c>
      <c r="D215" s="11">
        <f>IF(A215="","",SUMIFS(tbl_WIP[Amount],tbl_WIP[Job Number],A215,tbl_WIP[Month],$C$4))</f>
        <v/>
      </c>
      <c r="E215" s="11">
        <f>IF(A215="","",C215+D215)</f>
        <v/>
      </c>
      <c r="F215" s="10">
        <f>IF(A215="","",IF(AND(ROUND(C215,2)=0,ROUND(D215,2)=0),"","yes"))</f>
        <v/>
      </c>
      <c r="G215" s="39" t="n"/>
      <c r="H215" s="11">
        <f>IF(OR(A215="",G215=""),"",E215-G215)</f>
        <v/>
      </c>
    </row>
    <row r="216">
      <c r="A216" s="10">
        <f>IF(INDEX(lst_Jobs,203)="","",INDEX(lst_Jobs,203)&amp;"")</f>
        <v/>
      </c>
      <c r="B216" s="10">
        <f>IF(A216="","",INDEX(lst_JobName,203)&amp;"")</f>
        <v/>
      </c>
      <c r="C216" s="11">
        <f>IF(A216="","",SUMIFS(tbl_WIP[Amount],tbl_WIP[Job Number],A216,tbl_WIP[Month],"&lt;"&amp;$C$4))</f>
        <v/>
      </c>
      <c r="D216" s="11">
        <f>IF(A216="","",SUMIFS(tbl_WIP[Amount],tbl_WIP[Job Number],A216,tbl_WIP[Month],$C$4))</f>
        <v/>
      </c>
      <c r="E216" s="11">
        <f>IF(A216="","",C216+D216)</f>
        <v/>
      </c>
      <c r="F216" s="10">
        <f>IF(A216="","",IF(AND(ROUND(C216,2)=0,ROUND(D216,2)=0),"","yes"))</f>
        <v/>
      </c>
      <c r="G216" s="39" t="n"/>
      <c r="H216" s="11">
        <f>IF(OR(A216="",G216=""),"",E216-G216)</f>
        <v/>
      </c>
    </row>
    <row r="217">
      <c r="A217" s="10">
        <f>IF(INDEX(lst_Jobs,204)="","",INDEX(lst_Jobs,204)&amp;"")</f>
        <v/>
      </c>
      <c r="B217" s="10">
        <f>IF(A217="","",INDEX(lst_JobName,204)&amp;"")</f>
        <v/>
      </c>
      <c r="C217" s="11">
        <f>IF(A217="","",SUMIFS(tbl_WIP[Amount],tbl_WIP[Job Number],A217,tbl_WIP[Month],"&lt;"&amp;$C$4))</f>
        <v/>
      </c>
      <c r="D217" s="11">
        <f>IF(A217="","",SUMIFS(tbl_WIP[Amount],tbl_WIP[Job Number],A217,tbl_WIP[Month],$C$4))</f>
        <v/>
      </c>
      <c r="E217" s="11">
        <f>IF(A217="","",C217+D217)</f>
        <v/>
      </c>
      <c r="F217" s="10">
        <f>IF(A217="","",IF(AND(ROUND(C217,2)=0,ROUND(D217,2)=0),"","yes"))</f>
        <v/>
      </c>
      <c r="G217" s="39" t="n"/>
      <c r="H217" s="11">
        <f>IF(OR(A217="",G217=""),"",E217-G217)</f>
        <v/>
      </c>
    </row>
    <row r="218">
      <c r="A218" s="10">
        <f>IF(INDEX(lst_Jobs,205)="","",INDEX(lst_Jobs,205)&amp;"")</f>
        <v/>
      </c>
      <c r="B218" s="10">
        <f>IF(A218="","",INDEX(lst_JobName,205)&amp;"")</f>
        <v/>
      </c>
      <c r="C218" s="11">
        <f>IF(A218="","",SUMIFS(tbl_WIP[Amount],tbl_WIP[Job Number],A218,tbl_WIP[Month],"&lt;"&amp;$C$4))</f>
        <v/>
      </c>
      <c r="D218" s="11">
        <f>IF(A218="","",SUMIFS(tbl_WIP[Amount],tbl_WIP[Job Number],A218,tbl_WIP[Month],$C$4))</f>
        <v/>
      </c>
      <c r="E218" s="11">
        <f>IF(A218="","",C218+D218)</f>
        <v/>
      </c>
      <c r="F218" s="10">
        <f>IF(A218="","",IF(AND(ROUND(C218,2)=0,ROUND(D218,2)=0),"","yes"))</f>
        <v/>
      </c>
      <c r="G218" s="39" t="n"/>
      <c r="H218" s="11">
        <f>IF(OR(A218="",G218=""),"",E218-G218)</f>
        <v/>
      </c>
    </row>
    <row r="219">
      <c r="A219" s="10">
        <f>IF(INDEX(lst_Jobs,206)="","",INDEX(lst_Jobs,206)&amp;"")</f>
        <v/>
      </c>
      <c r="B219" s="10">
        <f>IF(A219="","",INDEX(lst_JobName,206)&amp;"")</f>
        <v/>
      </c>
      <c r="C219" s="11">
        <f>IF(A219="","",SUMIFS(tbl_WIP[Amount],tbl_WIP[Job Number],A219,tbl_WIP[Month],"&lt;"&amp;$C$4))</f>
        <v/>
      </c>
      <c r="D219" s="11">
        <f>IF(A219="","",SUMIFS(tbl_WIP[Amount],tbl_WIP[Job Number],A219,tbl_WIP[Month],$C$4))</f>
        <v/>
      </c>
      <c r="E219" s="11">
        <f>IF(A219="","",C219+D219)</f>
        <v/>
      </c>
      <c r="F219" s="10">
        <f>IF(A219="","",IF(AND(ROUND(C219,2)=0,ROUND(D219,2)=0),"","yes"))</f>
        <v/>
      </c>
      <c r="G219" s="39" t="n"/>
      <c r="H219" s="11">
        <f>IF(OR(A219="",G219=""),"",E219-G219)</f>
        <v/>
      </c>
    </row>
    <row r="220">
      <c r="A220" s="10">
        <f>IF(INDEX(lst_Jobs,207)="","",INDEX(lst_Jobs,207)&amp;"")</f>
        <v/>
      </c>
      <c r="B220" s="10">
        <f>IF(A220="","",INDEX(lst_JobName,207)&amp;"")</f>
        <v/>
      </c>
      <c r="C220" s="11">
        <f>IF(A220="","",SUMIFS(tbl_WIP[Amount],tbl_WIP[Job Number],A220,tbl_WIP[Month],"&lt;"&amp;$C$4))</f>
        <v/>
      </c>
      <c r="D220" s="11">
        <f>IF(A220="","",SUMIFS(tbl_WIP[Amount],tbl_WIP[Job Number],A220,tbl_WIP[Month],$C$4))</f>
        <v/>
      </c>
      <c r="E220" s="11">
        <f>IF(A220="","",C220+D220)</f>
        <v/>
      </c>
      <c r="F220" s="10">
        <f>IF(A220="","",IF(AND(ROUND(C220,2)=0,ROUND(D220,2)=0),"","yes"))</f>
        <v/>
      </c>
      <c r="G220" s="39" t="n"/>
      <c r="H220" s="11">
        <f>IF(OR(A220="",G220=""),"",E220-G220)</f>
        <v/>
      </c>
    </row>
    <row r="221">
      <c r="A221" s="10">
        <f>IF(INDEX(lst_Jobs,208)="","",INDEX(lst_Jobs,208)&amp;"")</f>
        <v/>
      </c>
      <c r="B221" s="10">
        <f>IF(A221="","",INDEX(lst_JobName,208)&amp;"")</f>
        <v/>
      </c>
      <c r="C221" s="11">
        <f>IF(A221="","",SUMIFS(tbl_WIP[Amount],tbl_WIP[Job Number],A221,tbl_WIP[Month],"&lt;"&amp;$C$4))</f>
        <v/>
      </c>
      <c r="D221" s="11">
        <f>IF(A221="","",SUMIFS(tbl_WIP[Amount],tbl_WIP[Job Number],A221,tbl_WIP[Month],$C$4))</f>
        <v/>
      </c>
      <c r="E221" s="11">
        <f>IF(A221="","",C221+D221)</f>
        <v/>
      </c>
      <c r="F221" s="10">
        <f>IF(A221="","",IF(AND(ROUND(C221,2)=0,ROUND(D221,2)=0),"","yes"))</f>
        <v/>
      </c>
      <c r="G221" s="39" t="n"/>
      <c r="H221" s="11">
        <f>IF(OR(A221="",G221=""),"",E221-G221)</f>
        <v/>
      </c>
    </row>
    <row r="222">
      <c r="A222" s="10">
        <f>IF(INDEX(lst_Jobs,209)="","",INDEX(lst_Jobs,209)&amp;"")</f>
        <v/>
      </c>
      <c r="B222" s="10">
        <f>IF(A222="","",INDEX(lst_JobName,209)&amp;"")</f>
        <v/>
      </c>
      <c r="C222" s="11">
        <f>IF(A222="","",SUMIFS(tbl_WIP[Amount],tbl_WIP[Job Number],A222,tbl_WIP[Month],"&lt;"&amp;$C$4))</f>
        <v/>
      </c>
      <c r="D222" s="11">
        <f>IF(A222="","",SUMIFS(tbl_WIP[Amount],tbl_WIP[Job Number],A222,tbl_WIP[Month],$C$4))</f>
        <v/>
      </c>
      <c r="E222" s="11">
        <f>IF(A222="","",C222+D222)</f>
        <v/>
      </c>
      <c r="F222" s="10">
        <f>IF(A222="","",IF(AND(ROUND(C222,2)=0,ROUND(D222,2)=0),"","yes"))</f>
        <v/>
      </c>
      <c r="G222" s="39" t="n"/>
      <c r="H222" s="11">
        <f>IF(OR(A222="",G222=""),"",E222-G222)</f>
        <v/>
      </c>
    </row>
    <row r="223">
      <c r="A223" s="10">
        <f>IF(INDEX(lst_Jobs,210)="","",INDEX(lst_Jobs,210)&amp;"")</f>
        <v/>
      </c>
      <c r="B223" s="10">
        <f>IF(A223="","",INDEX(lst_JobName,210)&amp;"")</f>
        <v/>
      </c>
      <c r="C223" s="11">
        <f>IF(A223="","",SUMIFS(tbl_WIP[Amount],tbl_WIP[Job Number],A223,tbl_WIP[Month],"&lt;"&amp;$C$4))</f>
        <v/>
      </c>
      <c r="D223" s="11">
        <f>IF(A223="","",SUMIFS(tbl_WIP[Amount],tbl_WIP[Job Number],A223,tbl_WIP[Month],$C$4))</f>
        <v/>
      </c>
      <c r="E223" s="11">
        <f>IF(A223="","",C223+D223)</f>
        <v/>
      </c>
      <c r="F223" s="10">
        <f>IF(A223="","",IF(AND(ROUND(C223,2)=0,ROUND(D223,2)=0),"","yes"))</f>
        <v/>
      </c>
      <c r="G223" s="39" t="n"/>
      <c r="H223" s="11">
        <f>IF(OR(A223="",G223=""),"",E223-G223)</f>
        <v/>
      </c>
    </row>
    <row r="224">
      <c r="A224" s="10">
        <f>IF(INDEX(lst_Jobs,211)="","",INDEX(lst_Jobs,211)&amp;"")</f>
        <v/>
      </c>
      <c r="B224" s="10">
        <f>IF(A224="","",INDEX(lst_JobName,211)&amp;"")</f>
        <v/>
      </c>
      <c r="C224" s="11">
        <f>IF(A224="","",SUMIFS(tbl_WIP[Amount],tbl_WIP[Job Number],A224,tbl_WIP[Month],"&lt;"&amp;$C$4))</f>
        <v/>
      </c>
      <c r="D224" s="11">
        <f>IF(A224="","",SUMIFS(tbl_WIP[Amount],tbl_WIP[Job Number],A224,tbl_WIP[Month],$C$4))</f>
        <v/>
      </c>
      <c r="E224" s="11">
        <f>IF(A224="","",C224+D224)</f>
        <v/>
      </c>
      <c r="F224" s="10">
        <f>IF(A224="","",IF(AND(ROUND(C224,2)=0,ROUND(D224,2)=0),"","yes"))</f>
        <v/>
      </c>
      <c r="G224" s="39" t="n"/>
      <c r="H224" s="11">
        <f>IF(OR(A224="",G224=""),"",E224-G224)</f>
        <v/>
      </c>
    </row>
    <row r="225">
      <c r="A225" s="10">
        <f>IF(INDEX(lst_Jobs,212)="","",INDEX(lst_Jobs,212)&amp;"")</f>
        <v/>
      </c>
      <c r="B225" s="10">
        <f>IF(A225="","",INDEX(lst_JobName,212)&amp;"")</f>
        <v/>
      </c>
      <c r="C225" s="11">
        <f>IF(A225="","",SUMIFS(tbl_WIP[Amount],tbl_WIP[Job Number],A225,tbl_WIP[Month],"&lt;"&amp;$C$4))</f>
        <v/>
      </c>
      <c r="D225" s="11">
        <f>IF(A225="","",SUMIFS(tbl_WIP[Amount],tbl_WIP[Job Number],A225,tbl_WIP[Month],$C$4))</f>
        <v/>
      </c>
      <c r="E225" s="11">
        <f>IF(A225="","",C225+D225)</f>
        <v/>
      </c>
      <c r="F225" s="10">
        <f>IF(A225="","",IF(AND(ROUND(C225,2)=0,ROUND(D225,2)=0),"","yes"))</f>
        <v/>
      </c>
      <c r="G225" s="39" t="n"/>
      <c r="H225" s="11">
        <f>IF(OR(A225="",G225=""),"",E225-G225)</f>
        <v/>
      </c>
    </row>
    <row r="226">
      <c r="A226" s="10">
        <f>IF(INDEX(lst_Jobs,213)="","",INDEX(lst_Jobs,213)&amp;"")</f>
        <v/>
      </c>
      <c r="B226" s="10">
        <f>IF(A226="","",INDEX(lst_JobName,213)&amp;"")</f>
        <v/>
      </c>
      <c r="C226" s="11">
        <f>IF(A226="","",SUMIFS(tbl_WIP[Amount],tbl_WIP[Job Number],A226,tbl_WIP[Month],"&lt;"&amp;$C$4))</f>
        <v/>
      </c>
      <c r="D226" s="11">
        <f>IF(A226="","",SUMIFS(tbl_WIP[Amount],tbl_WIP[Job Number],A226,tbl_WIP[Month],$C$4))</f>
        <v/>
      </c>
      <c r="E226" s="11">
        <f>IF(A226="","",C226+D226)</f>
        <v/>
      </c>
      <c r="F226" s="10">
        <f>IF(A226="","",IF(AND(ROUND(C226,2)=0,ROUND(D226,2)=0),"","yes"))</f>
        <v/>
      </c>
      <c r="G226" s="39" t="n"/>
      <c r="H226" s="11">
        <f>IF(OR(A226="",G226=""),"",E226-G226)</f>
        <v/>
      </c>
    </row>
    <row r="227">
      <c r="A227" s="10">
        <f>IF(INDEX(lst_Jobs,214)="","",INDEX(lst_Jobs,214)&amp;"")</f>
        <v/>
      </c>
      <c r="B227" s="10">
        <f>IF(A227="","",INDEX(lst_JobName,214)&amp;"")</f>
        <v/>
      </c>
      <c r="C227" s="11">
        <f>IF(A227="","",SUMIFS(tbl_WIP[Amount],tbl_WIP[Job Number],A227,tbl_WIP[Month],"&lt;"&amp;$C$4))</f>
        <v/>
      </c>
      <c r="D227" s="11">
        <f>IF(A227="","",SUMIFS(tbl_WIP[Amount],tbl_WIP[Job Number],A227,tbl_WIP[Month],$C$4))</f>
        <v/>
      </c>
      <c r="E227" s="11">
        <f>IF(A227="","",C227+D227)</f>
        <v/>
      </c>
      <c r="F227" s="10">
        <f>IF(A227="","",IF(AND(ROUND(C227,2)=0,ROUND(D227,2)=0),"","yes"))</f>
        <v/>
      </c>
      <c r="G227" s="39" t="n"/>
      <c r="H227" s="11">
        <f>IF(OR(A227="",G227=""),"",E227-G227)</f>
        <v/>
      </c>
    </row>
    <row r="228">
      <c r="A228" s="10">
        <f>IF(INDEX(lst_Jobs,215)="","",INDEX(lst_Jobs,215)&amp;"")</f>
        <v/>
      </c>
      <c r="B228" s="10">
        <f>IF(A228="","",INDEX(lst_JobName,215)&amp;"")</f>
        <v/>
      </c>
      <c r="C228" s="11">
        <f>IF(A228="","",SUMIFS(tbl_WIP[Amount],tbl_WIP[Job Number],A228,tbl_WIP[Month],"&lt;"&amp;$C$4))</f>
        <v/>
      </c>
      <c r="D228" s="11">
        <f>IF(A228="","",SUMIFS(tbl_WIP[Amount],tbl_WIP[Job Number],A228,tbl_WIP[Month],$C$4))</f>
        <v/>
      </c>
      <c r="E228" s="11">
        <f>IF(A228="","",C228+D228)</f>
        <v/>
      </c>
      <c r="F228" s="10">
        <f>IF(A228="","",IF(AND(ROUND(C228,2)=0,ROUND(D228,2)=0),"","yes"))</f>
        <v/>
      </c>
      <c r="G228" s="39" t="n"/>
      <c r="H228" s="11">
        <f>IF(OR(A228="",G228=""),"",E228-G228)</f>
        <v/>
      </c>
    </row>
    <row r="229">
      <c r="A229" s="10">
        <f>IF(INDEX(lst_Jobs,216)="","",INDEX(lst_Jobs,216)&amp;"")</f>
        <v/>
      </c>
      <c r="B229" s="10">
        <f>IF(A229="","",INDEX(lst_JobName,216)&amp;"")</f>
        <v/>
      </c>
      <c r="C229" s="11">
        <f>IF(A229="","",SUMIFS(tbl_WIP[Amount],tbl_WIP[Job Number],A229,tbl_WIP[Month],"&lt;"&amp;$C$4))</f>
        <v/>
      </c>
      <c r="D229" s="11">
        <f>IF(A229="","",SUMIFS(tbl_WIP[Amount],tbl_WIP[Job Number],A229,tbl_WIP[Month],$C$4))</f>
        <v/>
      </c>
      <c r="E229" s="11">
        <f>IF(A229="","",C229+D229)</f>
        <v/>
      </c>
      <c r="F229" s="10">
        <f>IF(A229="","",IF(AND(ROUND(C229,2)=0,ROUND(D229,2)=0),"","yes"))</f>
        <v/>
      </c>
      <c r="G229" s="39" t="n"/>
      <c r="H229" s="11">
        <f>IF(OR(A229="",G229=""),"",E229-G229)</f>
        <v/>
      </c>
    </row>
    <row r="230">
      <c r="A230" s="10">
        <f>IF(INDEX(lst_Jobs,217)="","",INDEX(lst_Jobs,217)&amp;"")</f>
        <v/>
      </c>
      <c r="B230" s="10">
        <f>IF(A230="","",INDEX(lst_JobName,217)&amp;"")</f>
        <v/>
      </c>
      <c r="C230" s="11">
        <f>IF(A230="","",SUMIFS(tbl_WIP[Amount],tbl_WIP[Job Number],A230,tbl_WIP[Month],"&lt;"&amp;$C$4))</f>
        <v/>
      </c>
      <c r="D230" s="11">
        <f>IF(A230="","",SUMIFS(tbl_WIP[Amount],tbl_WIP[Job Number],A230,tbl_WIP[Month],$C$4))</f>
        <v/>
      </c>
      <c r="E230" s="11">
        <f>IF(A230="","",C230+D230)</f>
        <v/>
      </c>
      <c r="F230" s="10">
        <f>IF(A230="","",IF(AND(ROUND(C230,2)=0,ROUND(D230,2)=0),"","yes"))</f>
        <v/>
      </c>
      <c r="G230" s="39" t="n"/>
      <c r="H230" s="11">
        <f>IF(OR(A230="",G230=""),"",E230-G230)</f>
        <v/>
      </c>
    </row>
    <row r="231">
      <c r="A231" s="10">
        <f>IF(INDEX(lst_Jobs,218)="","",INDEX(lst_Jobs,218)&amp;"")</f>
        <v/>
      </c>
      <c r="B231" s="10">
        <f>IF(A231="","",INDEX(lst_JobName,218)&amp;"")</f>
        <v/>
      </c>
      <c r="C231" s="11">
        <f>IF(A231="","",SUMIFS(tbl_WIP[Amount],tbl_WIP[Job Number],A231,tbl_WIP[Month],"&lt;"&amp;$C$4))</f>
        <v/>
      </c>
      <c r="D231" s="11">
        <f>IF(A231="","",SUMIFS(tbl_WIP[Amount],tbl_WIP[Job Number],A231,tbl_WIP[Month],$C$4))</f>
        <v/>
      </c>
      <c r="E231" s="11">
        <f>IF(A231="","",C231+D231)</f>
        <v/>
      </c>
      <c r="F231" s="10">
        <f>IF(A231="","",IF(AND(ROUND(C231,2)=0,ROUND(D231,2)=0),"","yes"))</f>
        <v/>
      </c>
      <c r="G231" s="39" t="n"/>
      <c r="H231" s="11">
        <f>IF(OR(A231="",G231=""),"",E231-G231)</f>
        <v/>
      </c>
    </row>
    <row r="232">
      <c r="A232" s="10">
        <f>IF(INDEX(lst_Jobs,219)="","",INDEX(lst_Jobs,219)&amp;"")</f>
        <v/>
      </c>
      <c r="B232" s="10">
        <f>IF(A232="","",INDEX(lst_JobName,219)&amp;"")</f>
        <v/>
      </c>
      <c r="C232" s="11">
        <f>IF(A232="","",SUMIFS(tbl_WIP[Amount],tbl_WIP[Job Number],A232,tbl_WIP[Month],"&lt;"&amp;$C$4))</f>
        <v/>
      </c>
      <c r="D232" s="11">
        <f>IF(A232="","",SUMIFS(tbl_WIP[Amount],tbl_WIP[Job Number],A232,tbl_WIP[Month],$C$4))</f>
        <v/>
      </c>
      <c r="E232" s="11">
        <f>IF(A232="","",C232+D232)</f>
        <v/>
      </c>
      <c r="F232" s="10">
        <f>IF(A232="","",IF(AND(ROUND(C232,2)=0,ROUND(D232,2)=0),"","yes"))</f>
        <v/>
      </c>
      <c r="G232" s="39" t="n"/>
      <c r="H232" s="11">
        <f>IF(OR(A232="",G232=""),"",E232-G232)</f>
        <v/>
      </c>
    </row>
    <row r="233">
      <c r="A233" s="10">
        <f>IF(INDEX(lst_Jobs,220)="","",INDEX(lst_Jobs,220)&amp;"")</f>
        <v/>
      </c>
      <c r="B233" s="10">
        <f>IF(A233="","",INDEX(lst_JobName,220)&amp;"")</f>
        <v/>
      </c>
      <c r="C233" s="11">
        <f>IF(A233="","",SUMIFS(tbl_WIP[Amount],tbl_WIP[Job Number],A233,tbl_WIP[Month],"&lt;"&amp;$C$4))</f>
        <v/>
      </c>
      <c r="D233" s="11">
        <f>IF(A233="","",SUMIFS(tbl_WIP[Amount],tbl_WIP[Job Number],A233,tbl_WIP[Month],$C$4))</f>
        <v/>
      </c>
      <c r="E233" s="11">
        <f>IF(A233="","",C233+D233)</f>
        <v/>
      </c>
      <c r="F233" s="10">
        <f>IF(A233="","",IF(AND(ROUND(C233,2)=0,ROUND(D233,2)=0),"","yes"))</f>
        <v/>
      </c>
      <c r="G233" s="39" t="n"/>
      <c r="H233" s="11">
        <f>IF(OR(A233="",G233=""),"",E233-G233)</f>
        <v/>
      </c>
    </row>
    <row r="234">
      <c r="A234" s="10">
        <f>IF(INDEX(lst_Jobs,221)="","",INDEX(lst_Jobs,221)&amp;"")</f>
        <v/>
      </c>
      <c r="B234" s="10">
        <f>IF(A234="","",INDEX(lst_JobName,221)&amp;"")</f>
        <v/>
      </c>
      <c r="C234" s="11">
        <f>IF(A234="","",SUMIFS(tbl_WIP[Amount],tbl_WIP[Job Number],A234,tbl_WIP[Month],"&lt;"&amp;$C$4))</f>
        <v/>
      </c>
      <c r="D234" s="11">
        <f>IF(A234="","",SUMIFS(tbl_WIP[Amount],tbl_WIP[Job Number],A234,tbl_WIP[Month],$C$4))</f>
        <v/>
      </c>
      <c r="E234" s="11">
        <f>IF(A234="","",C234+D234)</f>
        <v/>
      </c>
      <c r="F234" s="10">
        <f>IF(A234="","",IF(AND(ROUND(C234,2)=0,ROUND(D234,2)=0),"","yes"))</f>
        <v/>
      </c>
      <c r="G234" s="39" t="n"/>
      <c r="H234" s="11">
        <f>IF(OR(A234="",G234=""),"",E234-G234)</f>
        <v/>
      </c>
    </row>
    <row r="235">
      <c r="A235" s="10">
        <f>IF(INDEX(lst_Jobs,222)="","",INDEX(lst_Jobs,222)&amp;"")</f>
        <v/>
      </c>
      <c r="B235" s="10">
        <f>IF(A235="","",INDEX(lst_JobName,222)&amp;"")</f>
        <v/>
      </c>
      <c r="C235" s="11">
        <f>IF(A235="","",SUMIFS(tbl_WIP[Amount],tbl_WIP[Job Number],A235,tbl_WIP[Month],"&lt;"&amp;$C$4))</f>
        <v/>
      </c>
      <c r="D235" s="11">
        <f>IF(A235="","",SUMIFS(tbl_WIP[Amount],tbl_WIP[Job Number],A235,tbl_WIP[Month],$C$4))</f>
        <v/>
      </c>
      <c r="E235" s="11">
        <f>IF(A235="","",C235+D235)</f>
        <v/>
      </c>
      <c r="F235" s="10">
        <f>IF(A235="","",IF(AND(ROUND(C235,2)=0,ROUND(D235,2)=0),"","yes"))</f>
        <v/>
      </c>
      <c r="G235" s="39" t="n"/>
      <c r="H235" s="11">
        <f>IF(OR(A235="",G235=""),"",E235-G235)</f>
        <v/>
      </c>
    </row>
    <row r="236">
      <c r="A236" s="10">
        <f>IF(INDEX(lst_Jobs,223)="","",INDEX(lst_Jobs,223)&amp;"")</f>
        <v/>
      </c>
      <c r="B236" s="10">
        <f>IF(A236="","",INDEX(lst_JobName,223)&amp;"")</f>
        <v/>
      </c>
      <c r="C236" s="11">
        <f>IF(A236="","",SUMIFS(tbl_WIP[Amount],tbl_WIP[Job Number],A236,tbl_WIP[Month],"&lt;"&amp;$C$4))</f>
        <v/>
      </c>
      <c r="D236" s="11">
        <f>IF(A236="","",SUMIFS(tbl_WIP[Amount],tbl_WIP[Job Number],A236,tbl_WIP[Month],$C$4))</f>
        <v/>
      </c>
      <c r="E236" s="11">
        <f>IF(A236="","",C236+D236)</f>
        <v/>
      </c>
      <c r="F236" s="10">
        <f>IF(A236="","",IF(AND(ROUND(C236,2)=0,ROUND(D236,2)=0),"","yes"))</f>
        <v/>
      </c>
      <c r="G236" s="39" t="n"/>
      <c r="H236" s="11">
        <f>IF(OR(A236="",G236=""),"",E236-G236)</f>
        <v/>
      </c>
    </row>
    <row r="237">
      <c r="A237" s="10">
        <f>IF(INDEX(lst_Jobs,224)="","",INDEX(lst_Jobs,224)&amp;"")</f>
        <v/>
      </c>
      <c r="B237" s="10">
        <f>IF(A237="","",INDEX(lst_JobName,224)&amp;"")</f>
        <v/>
      </c>
      <c r="C237" s="11">
        <f>IF(A237="","",SUMIFS(tbl_WIP[Amount],tbl_WIP[Job Number],A237,tbl_WIP[Month],"&lt;"&amp;$C$4))</f>
        <v/>
      </c>
      <c r="D237" s="11">
        <f>IF(A237="","",SUMIFS(tbl_WIP[Amount],tbl_WIP[Job Number],A237,tbl_WIP[Month],$C$4))</f>
        <v/>
      </c>
      <c r="E237" s="11">
        <f>IF(A237="","",C237+D237)</f>
        <v/>
      </c>
      <c r="F237" s="10">
        <f>IF(A237="","",IF(AND(ROUND(C237,2)=0,ROUND(D237,2)=0),"","yes"))</f>
        <v/>
      </c>
      <c r="G237" s="39" t="n"/>
      <c r="H237" s="11">
        <f>IF(OR(A237="",G237=""),"",E237-G237)</f>
        <v/>
      </c>
    </row>
    <row r="238">
      <c r="A238" s="10">
        <f>IF(INDEX(lst_Jobs,225)="","",INDEX(lst_Jobs,225)&amp;"")</f>
        <v/>
      </c>
      <c r="B238" s="10">
        <f>IF(A238="","",INDEX(lst_JobName,225)&amp;"")</f>
        <v/>
      </c>
      <c r="C238" s="11">
        <f>IF(A238="","",SUMIFS(tbl_WIP[Amount],tbl_WIP[Job Number],A238,tbl_WIP[Month],"&lt;"&amp;$C$4))</f>
        <v/>
      </c>
      <c r="D238" s="11">
        <f>IF(A238="","",SUMIFS(tbl_WIP[Amount],tbl_WIP[Job Number],A238,tbl_WIP[Month],$C$4))</f>
        <v/>
      </c>
      <c r="E238" s="11">
        <f>IF(A238="","",C238+D238)</f>
        <v/>
      </c>
      <c r="F238" s="10">
        <f>IF(A238="","",IF(AND(ROUND(C238,2)=0,ROUND(D238,2)=0),"","yes"))</f>
        <v/>
      </c>
      <c r="G238" s="39" t="n"/>
      <c r="H238" s="11">
        <f>IF(OR(A238="",G238=""),"",E238-G238)</f>
        <v/>
      </c>
    </row>
    <row r="239">
      <c r="A239" s="10">
        <f>IF(INDEX(lst_Jobs,226)="","",INDEX(lst_Jobs,226)&amp;"")</f>
        <v/>
      </c>
      <c r="B239" s="10">
        <f>IF(A239="","",INDEX(lst_JobName,226)&amp;"")</f>
        <v/>
      </c>
      <c r="C239" s="11">
        <f>IF(A239="","",SUMIFS(tbl_WIP[Amount],tbl_WIP[Job Number],A239,tbl_WIP[Month],"&lt;"&amp;$C$4))</f>
        <v/>
      </c>
      <c r="D239" s="11">
        <f>IF(A239="","",SUMIFS(tbl_WIP[Amount],tbl_WIP[Job Number],A239,tbl_WIP[Month],$C$4))</f>
        <v/>
      </c>
      <c r="E239" s="11">
        <f>IF(A239="","",C239+D239)</f>
        <v/>
      </c>
      <c r="F239" s="10">
        <f>IF(A239="","",IF(AND(ROUND(C239,2)=0,ROUND(D239,2)=0),"","yes"))</f>
        <v/>
      </c>
      <c r="G239" s="39" t="n"/>
      <c r="H239" s="11">
        <f>IF(OR(A239="",G239=""),"",E239-G239)</f>
        <v/>
      </c>
    </row>
    <row r="240">
      <c r="A240" s="10">
        <f>IF(INDEX(lst_Jobs,227)="","",INDEX(lst_Jobs,227)&amp;"")</f>
        <v/>
      </c>
      <c r="B240" s="10">
        <f>IF(A240="","",INDEX(lst_JobName,227)&amp;"")</f>
        <v/>
      </c>
      <c r="C240" s="11">
        <f>IF(A240="","",SUMIFS(tbl_WIP[Amount],tbl_WIP[Job Number],A240,tbl_WIP[Month],"&lt;"&amp;$C$4))</f>
        <v/>
      </c>
      <c r="D240" s="11">
        <f>IF(A240="","",SUMIFS(tbl_WIP[Amount],tbl_WIP[Job Number],A240,tbl_WIP[Month],$C$4))</f>
        <v/>
      </c>
      <c r="E240" s="11">
        <f>IF(A240="","",C240+D240)</f>
        <v/>
      </c>
      <c r="F240" s="10">
        <f>IF(A240="","",IF(AND(ROUND(C240,2)=0,ROUND(D240,2)=0),"","yes"))</f>
        <v/>
      </c>
      <c r="G240" s="39" t="n"/>
      <c r="H240" s="11">
        <f>IF(OR(A240="",G240=""),"",E240-G240)</f>
        <v/>
      </c>
    </row>
    <row r="241">
      <c r="A241" s="10">
        <f>IF(INDEX(lst_Jobs,228)="","",INDEX(lst_Jobs,228)&amp;"")</f>
        <v/>
      </c>
      <c r="B241" s="10">
        <f>IF(A241="","",INDEX(lst_JobName,228)&amp;"")</f>
        <v/>
      </c>
      <c r="C241" s="11">
        <f>IF(A241="","",SUMIFS(tbl_WIP[Amount],tbl_WIP[Job Number],A241,tbl_WIP[Month],"&lt;"&amp;$C$4))</f>
        <v/>
      </c>
      <c r="D241" s="11">
        <f>IF(A241="","",SUMIFS(tbl_WIP[Amount],tbl_WIP[Job Number],A241,tbl_WIP[Month],$C$4))</f>
        <v/>
      </c>
      <c r="E241" s="11">
        <f>IF(A241="","",C241+D241)</f>
        <v/>
      </c>
      <c r="F241" s="10">
        <f>IF(A241="","",IF(AND(ROUND(C241,2)=0,ROUND(D241,2)=0),"","yes"))</f>
        <v/>
      </c>
      <c r="G241" s="39" t="n"/>
      <c r="H241" s="11">
        <f>IF(OR(A241="",G241=""),"",E241-G241)</f>
        <v/>
      </c>
    </row>
    <row r="242">
      <c r="A242" s="10">
        <f>IF(INDEX(lst_Jobs,229)="","",INDEX(lst_Jobs,229)&amp;"")</f>
        <v/>
      </c>
      <c r="B242" s="10">
        <f>IF(A242="","",INDEX(lst_JobName,229)&amp;"")</f>
        <v/>
      </c>
      <c r="C242" s="11">
        <f>IF(A242="","",SUMIFS(tbl_WIP[Amount],tbl_WIP[Job Number],A242,tbl_WIP[Month],"&lt;"&amp;$C$4))</f>
        <v/>
      </c>
      <c r="D242" s="11">
        <f>IF(A242="","",SUMIFS(tbl_WIP[Amount],tbl_WIP[Job Number],A242,tbl_WIP[Month],$C$4))</f>
        <v/>
      </c>
      <c r="E242" s="11">
        <f>IF(A242="","",C242+D242)</f>
        <v/>
      </c>
      <c r="F242" s="10">
        <f>IF(A242="","",IF(AND(ROUND(C242,2)=0,ROUND(D242,2)=0),"","yes"))</f>
        <v/>
      </c>
      <c r="G242" s="39" t="n"/>
      <c r="H242" s="11">
        <f>IF(OR(A242="",G242=""),"",E242-G242)</f>
        <v/>
      </c>
    </row>
    <row r="243">
      <c r="A243" s="10">
        <f>IF(INDEX(lst_Jobs,230)="","",INDEX(lst_Jobs,230)&amp;"")</f>
        <v/>
      </c>
      <c r="B243" s="10">
        <f>IF(A243="","",INDEX(lst_JobName,230)&amp;"")</f>
        <v/>
      </c>
      <c r="C243" s="11">
        <f>IF(A243="","",SUMIFS(tbl_WIP[Amount],tbl_WIP[Job Number],A243,tbl_WIP[Month],"&lt;"&amp;$C$4))</f>
        <v/>
      </c>
      <c r="D243" s="11">
        <f>IF(A243="","",SUMIFS(tbl_WIP[Amount],tbl_WIP[Job Number],A243,tbl_WIP[Month],$C$4))</f>
        <v/>
      </c>
      <c r="E243" s="11">
        <f>IF(A243="","",C243+D243)</f>
        <v/>
      </c>
      <c r="F243" s="10">
        <f>IF(A243="","",IF(AND(ROUND(C243,2)=0,ROUND(D243,2)=0),"","yes"))</f>
        <v/>
      </c>
      <c r="G243" s="39" t="n"/>
      <c r="H243" s="11">
        <f>IF(OR(A243="",G243=""),"",E243-G243)</f>
        <v/>
      </c>
    </row>
    <row r="244">
      <c r="A244" s="10">
        <f>IF(INDEX(lst_Jobs,231)="","",INDEX(lst_Jobs,231)&amp;"")</f>
        <v/>
      </c>
      <c r="B244" s="10">
        <f>IF(A244="","",INDEX(lst_JobName,231)&amp;"")</f>
        <v/>
      </c>
      <c r="C244" s="11">
        <f>IF(A244="","",SUMIFS(tbl_WIP[Amount],tbl_WIP[Job Number],A244,tbl_WIP[Month],"&lt;"&amp;$C$4))</f>
        <v/>
      </c>
      <c r="D244" s="11">
        <f>IF(A244="","",SUMIFS(tbl_WIP[Amount],tbl_WIP[Job Number],A244,tbl_WIP[Month],$C$4))</f>
        <v/>
      </c>
      <c r="E244" s="11">
        <f>IF(A244="","",C244+D244)</f>
        <v/>
      </c>
      <c r="F244" s="10">
        <f>IF(A244="","",IF(AND(ROUND(C244,2)=0,ROUND(D244,2)=0),"","yes"))</f>
        <v/>
      </c>
      <c r="G244" s="39" t="n"/>
      <c r="H244" s="11">
        <f>IF(OR(A244="",G244=""),"",E244-G244)</f>
        <v/>
      </c>
    </row>
    <row r="245">
      <c r="A245" s="10">
        <f>IF(INDEX(lst_Jobs,232)="","",INDEX(lst_Jobs,232)&amp;"")</f>
        <v/>
      </c>
      <c r="B245" s="10">
        <f>IF(A245="","",INDEX(lst_JobName,232)&amp;"")</f>
        <v/>
      </c>
      <c r="C245" s="11">
        <f>IF(A245="","",SUMIFS(tbl_WIP[Amount],tbl_WIP[Job Number],A245,tbl_WIP[Month],"&lt;"&amp;$C$4))</f>
        <v/>
      </c>
      <c r="D245" s="11">
        <f>IF(A245="","",SUMIFS(tbl_WIP[Amount],tbl_WIP[Job Number],A245,tbl_WIP[Month],$C$4))</f>
        <v/>
      </c>
      <c r="E245" s="11">
        <f>IF(A245="","",C245+D245)</f>
        <v/>
      </c>
      <c r="F245" s="10">
        <f>IF(A245="","",IF(AND(ROUND(C245,2)=0,ROUND(D245,2)=0),"","yes"))</f>
        <v/>
      </c>
      <c r="G245" s="39" t="n"/>
      <c r="H245" s="11">
        <f>IF(OR(A245="",G245=""),"",E245-G245)</f>
        <v/>
      </c>
    </row>
    <row r="246">
      <c r="A246" s="10">
        <f>IF(INDEX(lst_Jobs,233)="","",INDEX(lst_Jobs,233)&amp;"")</f>
        <v/>
      </c>
      <c r="B246" s="10">
        <f>IF(A246="","",INDEX(lst_JobName,233)&amp;"")</f>
        <v/>
      </c>
      <c r="C246" s="11">
        <f>IF(A246="","",SUMIFS(tbl_WIP[Amount],tbl_WIP[Job Number],A246,tbl_WIP[Month],"&lt;"&amp;$C$4))</f>
        <v/>
      </c>
      <c r="D246" s="11">
        <f>IF(A246="","",SUMIFS(tbl_WIP[Amount],tbl_WIP[Job Number],A246,tbl_WIP[Month],$C$4))</f>
        <v/>
      </c>
      <c r="E246" s="11">
        <f>IF(A246="","",C246+D246)</f>
        <v/>
      </c>
      <c r="F246" s="10">
        <f>IF(A246="","",IF(AND(ROUND(C246,2)=0,ROUND(D246,2)=0),"","yes"))</f>
        <v/>
      </c>
      <c r="G246" s="39" t="n"/>
      <c r="H246" s="11">
        <f>IF(OR(A246="",G246=""),"",E246-G246)</f>
        <v/>
      </c>
    </row>
    <row r="247">
      <c r="A247" s="10">
        <f>IF(INDEX(lst_Jobs,234)="","",INDEX(lst_Jobs,234)&amp;"")</f>
        <v/>
      </c>
      <c r="B247" s="10">
        <f>IF(A247="","",INDEX(lst_JobName,234)&amp;"")</f>
        <v/>
      </c>
      <c r="C247" s="11">
        <f>IF(A247="","",SUMIFS(tbl_WIP[Amount],tbl_WIP[Job Number],A247,tbl_WIP[Month],"&lt;"&amp;$C$4))</f>
        <v/>
      </c>
      <c r="D247" s="11">
        <f>IF(A247="","",SUMIFS(tbl_WIP[Amount],tbl_WIP[Job Number],A247,tbl_WIP[Month],$C$4))</f>
        <v/>
      </c>
      <c r="E247" s="11">
        <f>IF(A247="","",C247+D247)</f>
        <v/>
      </c>
      <c r="F247" s="10">
        <f>IF(A247="","",IF(AND(ROUND(C247,2)=0,ROUND(D247,2)=0),"","yes"))</f>
        <v/>
      </c>
      <c r="G247" s="39" t="n"/>
      <c r="H247" s="11">
        <f>IF(OR(A247="",G247=""),"",E247-G247)</f>
        <v/>
      </c>
    </row>
    <row r="248">
      <c r="A248" s="10">
        <f>IF(INDEX(lst_Jobs,235)="","",INDEX(lst_Jobs,235)&amp;"")</f>
        <v/>
      </c>
      <c r="B248" s="10">
        <f>IF(A248="","",INDEX(lst_JobName,235)&amp;"")</f>
        <v/>
      </c>
      <c r="C248" s="11">
        <f>IF(A248="","",SUMIFS(tbl_WIP[Amount],tbl_WIP[Job Number],A248,tbl_WIP[Month],"&lt;"&amp;$C$4))</f>
        <v/>
      </c>
      <c r="D248" s="11">
        <f>IF(A248="","",SUMIFS(tbl_WIP[Amount],tbl_WIP[Job Number],A248,tbl_WIP[Month],$C$4))</f>
        <v/>
      </c>
      <c r="E248" s="11">
        <f>IF(A248="","",C248+D248)</f>
        <v/>
      </c>
      <c r="F248" s="10">
        <f>IF(A248="","",IF(AND(ROUND(C248,2)=0,ROUND(D248,2)=0),"","yes"))</f>
        <v/>
      </c>
      <c r="G248" s="39" t="n"/>
      <c r="H248" s="11">
        <f>IF(OR(A248="",G248=""),"",E248-G248)</f>
        <v/>
      </c>
    </row>
    <row r="249">
      <c r="A249" s="10">
        <f>IF(INDEX(lst_Jobs,236)="","",INDEX(lst_Jobs,236)&amp;"")</f>
        <v/>
      </c>
      <c r="B249" s="10">
        <f>IF(A249="","",INDEX(lst_JobName,236)&amp;"")</f>
        <v/>
      </c>
      <c r="C249" s="11">
        <f>IF(A249="","",SUMIFS(tbl_WIP[Amount],tbl_WIP[Job Number],A249,tbl_WIP[Month],"&lt;"&amp;$C$4))</f>
        <v/>
      </c>
      <c r="D249" s="11">
        <f>IF(A249="","",SUMIFS(tbl_WIP[Amount],tbl_WIP[Job Number],A249,tbl_WIP[Month],$C$4))</f>
        <v/>
      </c>
      <c r="E249" s="11">
        <f>IF(A249="","",C249+D249)</f>
        <v/>
      </c>
      <c r="F249" s="10">
        <f>IF(A249="","",IF(AND(ROUND(C249,2)=0,ROUND(D249,2)=0),"","yes"))</f>
        <v/>
      </c>
      <c r="G249" s="39" t="n"/>
      <c r="H249" s="11">
        <f>IF(OR(A249="",G249=""),"",E249-G249)</f>
        <v/>
      </c>
    </row>
    <row r="250">
      <c r="A250" s="10">
        <f>IF(INDEX(lst_Jobs,237)="","",INDEX(lst_Jobs,237)&amp;"")</f>
        <v/>
      </c>
      <c r="B250" s="10">
        <f>IF(A250="","",INDEX(lst_JobName,237)&amp;"")</f>
        <v/>
      </c>
      <c r="C250" s="11">
        <f>IF(A250="","",SUMIFS(tbl_WIP[Amount],tbl_WIP[Job Number],A250,tbl_WIP[Month],"&lt;"&amp;$C$4))</f>
        <v/>
      </c>
      <c r="D250" s="11">
        <f>IF(A250="","",SUMIFS(tbl_WIP[Amount],tbl_WIP[Job Number],A250,tbl_WIP[Month],$C$4))</f>
        <v/>
      </c>
      <c r="E250" s="11">
        <f>IF(A250="","",C250+D250)</f>
        <v/>
      </c>
      <c r="F250" s="10">
        <f>IF(A250="","",IF(AND(ROUND(C250,2)=0,ROUND(D250,2)=0),"","yes"))</f>
        <v/>
      </c>
      <c r="G250" s="39" t="n"/>
      <c r="H250" s="11">
        <f>IF(OR(A250="",G250=""),"",E250-G250)</f>
        <v/>
      </c>
    </row>
    <row r="251">
      <c r="A251" s="10">
        <f>IF(INDEX(lst_Jobs,238)="","",INDEX(lst_Jobs,238)&amp;"")</f>
        <v/>
      </c>
      <c r="B251" s="10">
        <f>IF(A251="","",INDEX(lst_JobName,238)&amp;"")</f>
        <v/>
      </c>
      <c r="C251" s="11">
        <f>IF(A251="","",SUMIFS(tbl_WIP[Amount],tbl_WIP[Job Number],A251,tbl_WIP[Month],"&lt;"&amp;$C$4))</f>
        <v/>
      </c>
      <c r="D251" s="11">
        <f>IF(A251="","",SUMIFS(tbl_WIP[Amount],tbl_WIP[Job Number],A251,tbl_WIP[Month],$C$4))</f>
        <v/>
      </c>
      <c r="E251" s="11">
        <f>IF(A251="","",C251+D251)</f>
        <v/>
      </c>
      <c r="F251" s="10">
        <f>IF(A251="","",IF(AND(ROUND(C251,2)=0,ROUND(D251,2)=0),"","yes"))</f>
        <v/>
      </c>
      <c r="G251" s="39" t="n"/>
      <c r="H251" s="11">
        <f>IF(OR(A251="",G251=""),"",E251-G251)</f>
        <v/>
      </c>
    </row>
    <row r="252">
      <c r="A252" s="10">
        <f>IF(INDEX(lst_Jobs,239)="","",INDEX(lst_Jobs,239)&amp;"")</f>
        <v/>
      </c>
      <c r="B252" s="10">
        <f>IF(A252="","",INDEX(lst_JobName,239)&amp;"")</f>
        <v/>
      </c>
      <c r="C252" s="11">
        <f>IF(A252="","",SUMIFS(tbl_WIP[Amount],tbl_WIP[Job Number],A252,tbl_WIP[Month],"&lt;"&amp;$C$4))</f>
        <v/>
      </c>
      <c r="D252" s="11">
        <f>IF(A252="","",SUMIFS(tbl_WIP[Amount],tbl_WIP[Job Number],A252,tbl_WIP[Month],$C$4))</f>
        <v/>
      </c>
      <c r="E252" s="11">
        <f>IF(A252="","",C252+D252)</f>
        <v/>
      </c>
      <c r="F252" s="10">
        <f>IF(A252="","",IF(AND(ROUND(C252,2)=0,ROUND(D252,2)=0),"","yes"))</f>
        <v/>
      </c>
      <c r="G252" s="39" t="n"/>
      <c r="H252" s="11">
        <f>IF(OR(A252="",G252=""),"",E252-G252)</f>
        <v/>
      </c>
    </row>
    <row r="253">
      <c r="A253" s="10">
        <f>IF(INDEX(lst_Jobs,240)="","",INDEX(lst_Jobs,240)&amp;"")</f>
        <v/>
      </c>
      <c r="B253" s="10">
        <f>IF(A253="","",INDEX(lst_JobName,240)&amp;"")</f>
        <v/>
      </c>
      <c r="C253" s="11">
        <f>IF(A253="","",SUMIFS(tbl_WIP[Amount],tbl_WIP[Job Number],A253,tbl_WIP[Month],"&lt;"&amp;$C$4))</f>
        <v/>
      </c>
      <c r="D253" s="11">
        <f>IF(A253="","",SUMIFS(tbl_WIP[Amount],tbl_WIP[Job Number],A253,tbl_WIP[Month],$C$4))</f>
        <v/>
      </c>
      <c r="E253" s="11">
        <f>IF(A253="","",C253+D253)</f>
        <v/>
      </c>
      <c r="F253" s="10">
        <f>IF(A253="","",IF(AND(ROUND(C253,2)=0,ROUND(D253,2)=0),"","yes"))</f>
        <v/>
      </c>
      <c r="G253" s="39" t="n"/>
      <c r="H253" s="11">
        <f>IF(OR(A253="",G253=""),"",E253-G253)</f>
        <v/>
      </c>
    </row>
    <row r="254">
      <c r="A254" s="10">
        <f>IF(INDEX(lst_Jobs,241)="","",INDEX(lst_Jobs,241)&amp;"")</f>
        <v/>
      </c>
      <c r="B254" s="10">
        <f>IF(A254="","",INDEX(lst_JobName,241)&amp;"")</f>
        <v/>
      </c>
      <c r="C254" s="11">
        <f>IF(A254="","",SUMIFS(tbl_WIP[Amount],tbl_WIP[Job Number],A254,tbl_WIP[Month],"&lt;"&amp;$C$4))</f>
        <v/>
      </c>
      <c r="D254" s="11">
        <f>IF(A254="","",SUMIFS(tbl_WIP[Amount],tbl_WIP[Job Number],A254,tbl_WIP[Month],$C$4))</f>
        <v/>
      </c>
      <c r="E254" s="11">
        <f>IF(A254="","",C254+D254)</f>
        <v/>
      </c>
      <c r="F254" s="10">
        <f>IF(A254="","",IF(AND(ROUND(C254,2)=0,ROUND(D254,2)=0),"","yes"))</f>
        <v/>
      </c>
      <c r="G254" s="39" t="n"/>
      <c r="H254" s="11">
        <f>IF(OR(A254="",G254=""),"",E254-G254)</f>
        <v/>
      </c>
    </row>
    <row r="255">
      <c r="A255" s="10">
        <f>IF(INDEX(lst_Jobs,242)="","",INDEX(lst_Jobs,242)&amp;"")</f>
        <v/>
      </c>
      <c r="B255" s="10">
        <f>IF(A255="","",INDEX(lst_JobName,242)&amp;"")</f>
        <v/>
      </c>
      <c r="C255" s="11">
        <f>IF(A255="","",SUMIFS(tbl_WIP[Amount],tbl_WIP[Job Number],A255,tbl_WIP[Month],"&lt;"&amp;$C$4))</f>
        <v/>
      </c>
      <c r="D255" s="11">
        <f>IF(A255="","",SUMIFS(tbl_WIP[Amount],tbl_WIP[Job Number],A255,tbl_WIP[Month],$C$4))</f>
        <v/>
      </c>
      <c r="E255" s="11">
        <f>IF(A255="","",C255+D255)</f>
        <v/>
      </c>
      <c r="F255" s="10">
        <f>IF(A255="","",IF(AND(ROUND(C255,2)=0,ROUND(D255,2)=0),"","yes"))</f>
        <v/>
      </c>
      <c r="G255" s="39" t="n"/>
      <c r="H255" s="11">
        <f>IF(OR(A255="",G255=""),"",E255-G255)</f>
        <v/>
      </c>
    </row>
    <row r="256">
      <c r="A256" s="10">
        <f>IF(INDEX(lst_Jobs,243)="","",INDEX(lst_Jobs,243)&amp;"")</f>
        <v/>
      </c>
      <c r="B256" s="10">
        <f>IF(A256="","",INDEX(lst_JobName,243)&amp;"")</f>
        <v/>
      </c>
      <c r="C256" s="11">
        <f>IF(A256="","",SUMIFS(tbl_WIP[Amount],tbl_WIP[Job Number],A256,tbl_WIP[Month],"&lt;"&amp;$C$4))</f>
        <v/>
      </c>
      <c r="D256" s="11">
        <f>IF(A256="","",SUMIFS(tbl_WIP[Amount],tbl_WIP[Job Number],A256,tbl_WIP[Month],$C$4))</f>
        <v/>
      </c>
      <c r="E256" s="11">
        <f>IF(A256="","",C256+D256)</f>
        <v/>
      </c>
      <c r="F256" s="10">
        <f>IF(A256="","",IF(AND(ROUND(C256,2)=0,ROUND(D256,2)=0),"","yes"))</f>
        <v/>
      </c>
      <c r="G256" s="39" t="n"/>
      <c r="H256" s="11">
        <f>IF(OR(A256="",G256=""),"",E256-G256)</f>
        <v/>
      </c>
    </row>
    <row r="257">
      <c r="A257" s="10">
        <f>IF(INDEX(lst_Jobs,244)="","",INDEX(lst_Jobs,244)&amp;"")</f>
        <v/>
      </c>
      <c r="B257" s="10">
        <f>IF(A257="","",INDEX(lst_JobName,244)&amp;"")</f>
        <v/>
      </c>
      <c r="C257" s="11">
        <f>IF(A257="","",SUMIFS(tbl_WIP[Amount],tbl_WIP[Job Number],A257,tbl_WIP[Month],"&lt;"&amp;$C$4))</f>
        <v/>
      </c>
      <c r="D257" s="11">
        <f>IF(A257="","",SUMIFS(tbl_WIP[Amount],tbl_WIP[Job Number],A257,tbl_WIP[Month],$C$4))</f>
        <v/>
      </c>
      <c r="E257" s="11">
        <f>IF(A257="","",C257+D257)</f>
        <v/>
      </c>
      <c r="F257" s="10">
        <f>IF(A257="","",IF(AND(ROUND(C257,2)=0,ROUND(D257,2)=0),"","yes"))</f>
        <v/>
      </c>
      <c r="G257" s="39" t="n"/>
      <c r="H257" s="11">
        <f>IF(OR(A257="",G257=""),"",E257-G257)</f>
        <v/>
      </c>
    </row>
    <row r="258">
      <c r="A258" s="10">
        <f>IF(INDEX(lst_Jobs,245)="","",INDEX(lst_Jobs,245)&amp;"")</f>
        <v/>
      </c>
      <c r="B258" s="10">
        <f>IF(A258="","",INDEX(lst_JobName,245)&amp;"")</f>
        <v/>
      </c>
      <c r="C258" s="11">
        <f>IF(A258="","",SUMIFS(tbl_WIP[Amount],tbl_WIP[Job Number],A258,tbl_WIP[Month],"&lt;"&amp;$C$4))</f>
        <v/>
      </c>
      <c r="D258" s="11">
        <f>IF(A258="","",SUMIFS(tbl_WIP[Amount],tbl_WIP[Job Number],A258,tbl_WIP[Month],$C$4))</f>
        <v/>
      </c>
      <c r="E258" s="11">
        <f>IF(A258="","",C258+D258)</f>
        <v/>
      </c>
      <c r="F258" s="10">
        <f>IF(A258="","",IF(AND(ROUND(C258,2)=0,ROUND(D258,2)=0),"","yes"))</f>
        <v/>
      </c>
      <c r="G258" s="39" t="n"/>
      <c r="H258" s="11">
        <f>IF(OR(A258="",G258=""),"",E258-G258)</f>
        <v/>
      </c>
    </row>
    <row r="259">
      <c r="A259" s="10">
        <f>IF(INDEX(lst_Jobs,246)="","",INDEX(lst_Jobs,246)&amp;"")</f>
        <v/>
      </c>
      <c r="B259" s="10">
        <f>IF(A259="","",INDEX(lst_JobName,246)&amp;"")</f>
        <v/>
      </c>
      <c r="C259" s="11">
        <f>IF(A259="","",SUMIFS(tbl_WIP[Amount],tbl_WIP[Job Number],A259,tbl_WIP[Month],"&lt;"&amp;$C$4))</f>
        <v/>
      </c>
      <c r="D259" s="11">
        <f>IF(A259="","",SUMIFS(tbl_WIP[Amount],tbl_WIP[Job Number],A259,tbl_WIP[Month],$C$4))</f>
        <v/>
      </c>
      <c r="E259" s="11">
        <f>IF(A259="","",C259+D259)</f>
        <v/>
      </c>
      <c r="F259" s="10">
        <f>IF(A259="","",IF(AND(ROUND(C259,2)=0,ROUND(D259,2)=0),"","yes"))</f>
        <v/>
      </c>
      <c r="G259" s="39" t="n"/>
      <c r="H259" s="11">
        <f>IF(OR(A259="",G259=""),"",E259-G259)</f>
        <v/>
      </c>
    </row>
    <row r="260">
      <c r="A260" s="10">
        <f>IF(INDEX(lst_Jobs,247)="","",INDEX(lst_Jobs,247)&amp;"")</f>
        <v/>
      </c>
      <c r="B260" s="10">
        <f>IF(A260="","",INDEX(lst_JobName,247)&amp;"")</f>
        <v/>
      </c>
      <c r="C260" s="11">
        <f>IF(A260="","",SUMIFS(tbl_WIP[Amount],tbl_WIP[Job Number],A260,tbl_WIP[Month],"&lt;"&amp;$C$4))</f>
        <v/>
      </c>
      <c r="D260" s="11">
        <f>IF(A260="","",SUMIFS(tbl_WIP[Amount],tbl_WIP[Job Number],A260,tbl_WIP[Month],$C$4))</f>
        <v/>
      </c>
      <c r="E260" s="11">
        <f>IF(A260="","",C260+D260)</f>
        <v/>
      </c>
      <c r="F260" s="10">
        <f>IF(A260="","",IF(AND(ROUND(C260,2)=0,ROUND(D260,2)=0),"","yes"))</f>
        <v/>
      </c>
      <c r="G260" s="39" t="n"/>
      <c r="H260" s="11">
        <f>IF(OR(A260="",G260=""),"",E260-G260)</f>
        <v/>
      </c>
    </row>
    <row r="261">
      <c r="A261" s="10">
        <f>IF(INDEX(lst_Jobs,248)="","",INDEX(lst_Jobs,248)&amp;"")</f>
        <v/>
      </c>
      <c r="B261" s="10">
        <f>IF(A261="","",INDEX(lst_JobName,248)&amp;"")</f>
        <v/>
      </c>
      <c r="C261" s="11">
        <f>IF(A261="","",SUMIFS(tbl_WIP[Amount],tbl_WIP[Job Number],A261,tbl_WIP[Month],"&lt;"&amp;$C$4))</f>
        <v/>
      </c>
      <c r="D261" s="11">
        <f>IF(A261="","",SUMIFS(tbl_WIP[Amount],tbl_WIP[Job Number],A261,tbl_WIP[Month],$C$4))</f>
        <v/>
      </c>
      <c r="E261" s="11">
        <f>IF(A261="","",C261+D261)</f>
        <v/>
      </c>
      <c r="F261" s="10">
        <f>IF(A261="","",IF(AND(ROUND(C261,2)=0,ROUND(D261,2)=0),"","yes"))</f>
        <v/>
      </c>
      <c r="G261" s="39" t="n"/>
      <c r="H261" s="11">
        <f>IF(OR(A261="",G261=""),"",E261-G261)</f>
        <v/>
      </c>
    </row>
    <row r="262">
      <c r="A262" s="10">
        <f>IF(INDEX(lst_Jobs,249)="","",INDEX(lst_Jobs,249)&amp;"")</f>
        <v/>
      </c>
      <c r="B262" s="10">
        <f>IF(A262="","",INDEX(lst_JobName,249)&amp;"")</f>
        <v/>
      </c>
      <c r="C262" s="11">
        <f>IF(A262="","",SUMIFS(tbl_WIP[Amount],tbl_WIP[Job Number],A262,tbl_WIP[Month],"&lt;"&amp;$C$4))</f>
        <v/>
      </c>
      <c r="D262" s="11">
        <f>IF(A262="","",SUMIFS(tbl_WIP[Amount],tbl_WIP[Job Number],A262,tbl_WIP[Month],$C$4))</f>
        <v/>
      </c>
      <c r="E262" s="11">
        <f>IF(A262="","",C262+D262)</f>
        <v/>
      </c>
      <c r="F262" s="10">
        <f>IF(A262="","",IF(AND(ROUND(C262,2)=0,ROUND(D262,2)=0),"","yes"))</f>
        <v/>
      </c>
      <c r="G262" s="39" t="n"/>
      <c r="H262" s="11">
        <f>IF(OR(A262="",G262=""),"",E262-G262)</f>
        <v/>
      </c>
    </row>
    <row r="263">
      <c r="A263" s="10">
        <f>IF(INDEX(lst_Jobs,250)="","",INDEX(lst_Jobs,250)&amp;"")</f>
        <v/>
      </c>
      <c r="B263" s="10">
        <f>IF(A263="","",INDEX(lst_JobName,250)&amp;"")</f>
        <v/>
      </c>
      <c r="C263" s="11">
        <f>IF(A263="","",SUMIFS(tbl_WIP[Amount],tbl_WIP[Job Number],A263,tbl_WIP[Month],"&lt;"&amp;$C$4))</f>
        <v/>
      </c>
      <c r="D263" s="11">
        <f>IF(A263="","",SUMIFS(tbl_WIP[Amount],tbl_WIP[Job Number],A263,tbl_WIP[Month],$C$4))</f>
        <v/>
      </c>
      <c r="E263" s="11">
        <f>IF(A263="","",C263+D263)</f>
        <v/>
      </c>
      <c r="F263" s="10">
        <f>IF(A263="","",IF(AND(ROUND(C263,2)=0,ROUND(D263,2)=0),"","yes"))</f>
        <v/>
      </c>
      <c r="G263" s="39" t="n"/>
      <c r="H263" s="11">
        <f>IF(OR(A263="",G263=""),"",E263-G263)</f>
        <v/>
      </c>
    </row>
    <row r="264">
      <c r="A264" s="10">
        <f>IF(INDEX(lst_Jobs,251)="","",INDEX(lst_Jobs,251)&amp;"")</f>
        <v/>
      </c>
      <c r="B264" s="10">
        <f>IF(A264="","",INDEX(lst_JobName,251)&amp;"")</f>
        <v/>
      </c>
      <c r="C264" s="11">
        <f>IF(A264="","",SUMIFS(tbl_WIP[Amount],tbl_WIP[Job Number],A264,tbl_WIP[Month],"&lt;"&amp;$C$4))</f>
        <v/>
      </c>
      <c r="D264" s="11">
        <f>IF(A264="","",SUMIFS(tbl_WIP[Amount],tbl_WIP[Job Number],A264,tbl_WIP[Month],$C$4))</f>
        <v/>
      </c>
      <c r="E264" s="11">
        <f>IF(A264="","",C264+D264)</f>
        <v/>
      </c>
      <c r="F264" s="10">
        <f>IF(A264="","",IF(AND(ROUND(C264,2)=0,ROUND(D264,2)=0),"","yes"))</f>
        <v/>
      </c>
      <c r="G264" s="39" t="n"/>
      <c r="H264" s="11">
        <f>IF(OR(A264="",G264=""),"",E264-G264)</f>
        <v/>
      </c>
    </row>
    <row r="265">
      <c r="A265" s="10">
        <f>IF(INDEX(lst_Jobs,252)="","",INDEX(lst_Jobs,252)&amp;"")</f>
        <v/>
      </c>
      <c r="B265" s="10">
        <f>IF(A265="","",INDEX(lst_JobName,252)&amp;"")</f>
        <v/>
      </c>
      <c r="C265" s="11">
        <f>IF(A265="","",SUMIFS(tbl_WIP[Amount],tbl_WIP[Job Number],A265,tbl_WIP[Month],"&lt;"&amp;$C$4))</f>
        <v/>
      </c>
      <c r="D265" s="11">
        <f>IF(A265="","",SUMIFS(tbl_WIP[Amount],tbl_WIP[Job Number],A265,tbl_WIP[Month],$C$4))</f>
        <v/>
      </c>
      <c r="E265" s="11">
        <f>IF(A265="","",C265+D265)</f>
        <v/>
      </c>
      <c r="F265" s="10">
        <f>IF(A265="","",IF(AND(ROUND(C265,2)=0,ROUND(D265,2)=0),"","yes"))</f>
        <v/>
      </c>
      <c r="G265" s="39" t="n"/>
      <c r="H265" s="11">
        <f>IF(OR(A265="",G265=""),"",E265-G265)</f>
        <v/>
      </c>
    </row>
    <row r="266">
      <c r="A266" s="10">
        <f>IF(INDEX(lst_Jobs,253)="","",INDEX(lst_Jobs,253)&amp;"")</f>
        <v/>
      </c>
      <c r="B266" s="10">
        <f>IF(A266="","",INDEX(lst_JobName,253)&amp;"")</f>
        <v/>
      </c>
      <c r="C266" s="11">
        <f>IF(A266="","",SUMIFS(tbl_WIP[Amount],tbl_WIP[Job Number],A266,tbl_WIP[Month],"&lt;"&amp;$C$4))</f>
        <v/>
      </c>
      <c r="D266" s="11">
        <f>IF(A266="","",SUMIFS(tbl_WIP[Amount],tbl_WIP[Job Number],A266,tbl_WIP[Month],$C$4))</f>
        <v/>
      </c>
      <c r="E266" s="11">
        <f>IF(A266="","",C266+D266)</f>
        <v/>
      </c>
      <c r="F266" s="10">
        <f>IF(A266="","",IF(AND(ROUND(C266,2)=0,ROUND(D266,2)=0),"","yes"))</f>
        <v/>
      </c>
      <c r="G266" s="39" t="n"/>
      <c r="H266" s="11">
        <f>IF(OR(A266="",G266=""),"",E266-G266)</f>
        <v/>
      </c>
    </row>
    <row r="267">
      <c r="A267" s="10">
        <f>IF(INDEX(lst_Jobs,254)="","",INDEX(lst_Jobs,254)&amp;"")</f>
        <v/>
      </c>
      <c r="B267" s="10">
        <f>IF(A267="","",INDEX(lst_JobName,254)&amp;"")</f>
        <v/>
      </c>
      <c r="C267" s="11">
        <f>IF(A267="","",SUMIFS(tbl_WIP[Amount],tbl_WIP[Job Number],A267,tbl_WIP[Month],"&lt;"&amp;$C$4))</f>
        <v/>
      </c>
      <c r="D267" s="11">
        <f>IF(A267="","",SUMIFS(tbl_WIP[Amount],tbl_WIP[Job Number],A267,tbl_WIP[Month],$C$4))</f>
        <v/>
      </c>
      <c r="E267" s="11">
        <f>IF(A267="","",C267+D267)</f>
        <v/>
      </c>
      <c r="F267" s="10">
        <f>IF(A267="","",IF(AND(ROUND(C267,2)=0,ROUND(D267,2)=0),"","yes"))</f>
        <v/>
      </c>
      <c r="G267" s="39" t="n"/>
      <c r="H267" s="11">
        <f>IF(OR(A267="",G267=""),"",E267-G267)</f>
        <v/>
      </c>
    </row>
    <row r="268">
      <c r="A268" s="10">
        <f>IF(INDEX(lst_Jobs,255)="","",INDEX(lst_Jobs,255)&amp;"")</f>
        <v/>
      </c>
      <c r="B268" s="10">
        <f>IF(A268="","",INDEX(lst_JobName,255)&amp;"")</f>
        <v/>
      </c>
      <c r="C268" s="11">
        <f>IF(A268="","",SUMIFS(tbl_WIP[Amount],tbl_WIP[Job Number],A268,tbl_WIP[Month],"&lt;"&amp;$C$4))</f>
        <v/>
      </c>
      <c r="D268" s="11">
        <f>IF(A268="","",SUMIFS(tbl_WIP[Amount],tbl_WIP[Job Number],A268,tbl_WIP[Month],$C$4))</f>
        <v/>
      </c>
      <c r="E268" s="11">
        <f>IF(A268="","",C268+D268)</f>
        <v/>
      </c>
      <c r="F268" s="10">
        <f>IF(A268="","",IF(AND(ROUND(C268,2)=0,ROUND(D268,2)=0),"","yes"))</f>
        <v/>
      </c>
      <c r="G268" s="39" t="n"/>
      <c r="H268" s="11">
        <f>IF(OR(A268="",G268=""),"",E268-G268)</f>
        <v/>
      </c>
    </row>
    <row r="269">
      <c r="A269" s="10">
        <f>IF(INDEX(lst_Jobs,256)="","",INDEX(lst_Jobs,256)&amp;"")</f>
        <v/>
      </c>
      <c r="B269" s="10">
        <f>IF(A269="","",INDEX(lst_JobName,256)&amp;"")</f>
        <v/>
      </c>
      <c r="C269" s="11">
        <f>IF(A269="","",SUMIFS(tbl_WIP[Amount],tbl_WIP[Job Number],A269,tbl_WIP[Month],"&lt;"&amp;$C$4))</f>
        <v/>
      </c>
      <c r="D269" s="11">
        <f>IF(A269="","",SUMIFS(tbl_WIP[Amount],tbl_WIP[Job Number],A269,tbl_WIP[Month],$C$4))</f>
        <v/>
      </c>
      <c r="E269" s="11">
        <f>IF(A269="","",C269+D269)</f>
        <v/>
      </c>
      <c r="F269" s="10">
        <f>IF(A269="","",IF(AND(ROUND(C269,2)=0,ROUND(D269,2)=0),"","yes"))</f>
        <v/>
      </c>
      <c r="G269" s="39" t="n"/>
      <c r="H269" s="11">
        <f>IF(OR(A269="",G269=""),"",E269-G269)</f>
        <v/>
      </c>
    </row>
    <row r="270">
      <c r="A270" s="10">
        <f>IF(INDEX(lst_Jobs,257)="","",INDEX(lst_Jobs,257)&amp;"")</f>
        <v/>
      </c>
      <c r="B270" s="10">
        <f>IF(A270="","",INDEX(lst_JobName,257)&amp;"")</f>
        <v/>
      </c>
      <c r="C270" s="11">
        <f>IF(A270="","",SUMIFS(tbl_WIP[Amount],tbl_WIP[Job Number],A270,tbl_WIP[Month],"&lt;"&amp;$C$4))</f>
        <v/>
      </c>
      <c r="D270" s="11">
        <f>IF(A270="","",SUMIFS(tbl_WIP[Amount],tbl_WIP[Job Number],A270,tbl_WIP[Month],$C$4))</f>
        <v/>
      </c>
      <c r="E270" s="11">
        <f>IF(A270="","",C270+D270)</f>
        <v/>
      </c>
      <c r="F270" s="10">
        <f>IF(A270="","",IF(AND(ROUND(C270,2)=0,ROUND(D270,2)=0),"","yes"))</f>
        <v/>
      </c>
      <c r="G270" s="39" t="n"/>
      <c r="H270" s="11">
        <f>IF(OR(A270="",G270=""),"",E270-G270)</f>
        <v/>
      </c>
    </row>
    <row r="271">
      <c r="A271" s="10">
        <f>IF(INDEX(lst_Jobs,258)="","",INDEX(lst_Jobs,258)&amp;"")</f>
        <v/>
      </c>
      <c r="B271" s="10">
        <f>IF(A271="","",INDEX(lst_JobName,258)&amp;"")</f>
        <v/>
      </c>
      <c r="C271" s="11">
        <f>IF(A271="","",SUMIFS(tbl_WIP[Amount],tbl_WIP[Job Number],A271,tbl_WIP[Month],"&lt;"&amp;$C$4))</f>
        <v/>
      </c>
      <c r="D271" s="11">
        <f>IF(A271="","",SUMIFS(tbl_WIP[Amount],tbl_WIP[Job Number],A271,tbl_WIP[Month],$C$4))</f>
        <v/>
      </c>
      <c r="E271" s="11">
        <f>IF(A271="","",C271+D271)</f>
        <v/>
      </c>
      <c r="F271" s="10">
        <f>IF(A271="","",IF(AND(ROUND(C271,2)=0,ROUND(D271,2)=0),"","yes"))</f>
        <v/>
      </c>
      <c r="G271" s="39" t="n"/>
      <c r="H271" s="11">
        <f>IF(OR(A271="",G271=""),"",E271-G271)</f>
        <v/>
      </c>
    </row>
    <row r="272">
      <c r="A272" s="10">
        <f>IF(INDEX(lst_Jobs,259)="","",INDEX(lst_Jobs,259)&amp;"")</f>
        <v/>
      </c>
      <c r="B272" s="10">
        <f>IF(A272="","",INDEX(lst_JobName,259)&amp;"")</f>
        <v/>
      </c>
      <c r="C272" s="11">
        <f>IF(A272="","",SUMIFS(tbl_WIP[Amount],tbl_WIP[Job Number],A272,tbl_WIP[Month],"&lt;"&amp;$C$4))</f>
        <v/>
      </c>
      <c r="D272" s="11">
        <f>IF(A272="","",SUMIFS(tbl_WIP[Amount],tbl_WIP[Job Number],A272,tbl_WIP[Month],$C$4))</f>
        <v/>
      </c>
      <c r="E272" s="11">
        <f>IF(A272="","",C272+D272)</f>
        <v/>
      </c>
      <c r="F272" s="10">
        <f>IF(A272="","",IF(AND(ROUND(C272,2)=0,ROUND(D272,2)=0),"","yes"))</f>
        <v/>
      </c>
      <c r="G272" s="39" t="n"/>
      <c r="H272" s="11">
        <f>IF(OR(A272="",G272=""),"",E272-G272)</f>
        <v/>
      </c>
    </row>
    <row r="273">
      <c r="A273" s="10">
        <f>IF(INDEX(lst_Jobs,260)="","",INDEX(lst_Jobs,260)&amp;"")</f>
        <v/>
      </c>
      <c r="B273" s="10">
        <f>IF(A273="","",INDEX(lst_JobName,260)&amp;"")</f>
        <v/>
      </c>
      <c r="C273" s="11">
        <f>IF(A273="","",SUMIFS(tbl_WIP[Amount],tbl_WIP[Job Number],A273,tbl_WIP[Month],"&lt;"&amp;$C$4))</f>
        <v/>
      </c>
      <c r="D273" s="11">
        <f>IF(A273="","",SUMIFS(tbl_WIP[Amount],tbl_WIP[Job Number],A273,tbl_WIP[Month],$C$4))</f>
        <v/>
      </c>
      <c r="E273" s="11">
        <f>IF(A273="","",C273+D273)</f>
        <v/>
      </c>
      <c r="F273" s="10">
        <f>IF(A273="","",IF(AND(ROUND(C273,2)=0,ROUND(D273,2)=0),"","yes"))</f>
        <v/>
      </c>
      <c r="G273" s="39" t="n"/>
      <c r="H273" s="11">
        <f>IF(OR(A273="",G273=""),"",E273-G273)</f>
        <v/>
      </c>
    </row>
    <row r="274">
      <c r="A274" s="10">
        <f>IF(INDEX(lst_Jobs,261)="","",INDEX(lst_Jobs,261)&amp;"")</f>
        <v/>
      </c>
      <c r="B274" s="10">
        <f>IF(A274="","",INDEX(lst_JobName,261)&amp;"")</f>
        <v/>
      </c>
      <c r="C274" s="11">
        <f>IF(A274="","",SUMIFS(tbl_WIP[Amount],tbl_WIP[Job Number],A274,tbl_WIP[Month],"&lt;"&amp;$C$4))</f>
        <v/>
      </c>
      <c r="D274" s="11">
        <f>IF(A274="","",SUMIFS(tbl_WIP[Amount],tbl_WIP[Job Number],A274,tbl_WIP[Month],$C$4))</f>
        <v/>
      </c>
      <c r="E274" s="11">
        <f>IF(A274="","",C274+D274)</f>
        <v/>
      </c>
      <c r="F274" s="10">
        <f>IF(A274="","",IF(AND(ROUND(C274,2)=0,ROUND(D274,2)=0),"","yes"))</f>
        <v/>
      </c>
      <c r="G274" s="39" t="n"/>
      <c r="H274" s="11">
        <f>IF(OR(A274="",G274=""),"",E274-G274)</f>
        <v/>
      </c>
    </row>
    <row r="275">
      <c r="A275" s="10">
        <f>IF(INDEX(lst_Jobs,262)="","",INDEX(lst_Jobs,262)&amp;"")</f>
        <v/>
      </c>
      <c r="B275" s="10">
        <f>IF(A275="","",INDEX(lst_JobName,262)&amp;"")</f>
        <v/>
      </c>
      <c r="C275" s="11">
        <f>IF(A275="","",SUMIFS(tbl_WIP[Amount],tbl_WIP[Job Number],A275,tbl_WIP[Month],"&lt;"&amp;$C$4))</f>
        <v/>
      </c>
      <c r="D275" s="11">
        <f>IF(A275="","",SUMIFS(tbl_WIP[Amount],tbl_WIP[Job Number],A275,tbl_WIP[Month],$C$4))</f>
        <v/>
      </c>
      <c r="E275" s="11">
        <f>IF(A275="","",C275+D275)</f>
        <v/>
      </c>
      <c r="F275" s="10">
        <f>IF(A275="","",IF(AND(ROUND(C275,2)=0,ROUND(D275,2)=0),"","yes"))</f>
        <v/>
      </c>
      <c r="G275" s="39" t="n"/>
      <c r="H275" s="11">
        <f>IF(OR(A275="",G275=""),"",E275-G275)</f>
        <v/>
      </c>
    </row>
    <row r="276">
      <c r="A276" s="10">
        <f>IF(INDEX(lst_Jobs,263)="","",INDEX(lst_Jobs,263)&amp;"")</f>
        <v/>
      </c>
      <c r="B276" s="10">
        <f>IF(A276="","",INDEX(lst_JobName,263)&amp;"")</f>
        <v/>
      </c>
      <c r="C276" s="11">
        <f>IF(A276="","",SUMIFS(tbl_WIP[Amount],tbl_WIP[Job Number],A276,tbl_WIP[Month],"&lt;"&amp;$C$4))</f>
        <v/>
      </c>
      <c r="D276" s="11">
        <f>IF(A276="","",SUMIFS(tbl_WIP[Amount],tbl_WIP[Job Number],A276,tbl_WIP[Month],$C$4))</f>
        <v/>
      </c>
      <c r="E276" s="11">
        <f>IF(A276="","",C276+D276)</f>
        <v/>
      </c>
      <c r="F276" s="10">
        <f>IF(A276="","",IF(AND(ROUND(C276,2)=0,ROUND(D276,2)=0),"","yes"))</f>
        <v/>
      </c>
      <c r="G276" s="39" t="n"/>
      <c r="H276" s="11">
        <f>IF(OR(A276="",G276=""),"",E276-G276)</f>
        <v/>
      </c>
    </row>
    <row r="277">
      <c r="A277" s="10">
        <f>IF(INDEX(lst_Jobs,264)="","",INDEX(lst_Jobs,264)&amp;"")</f>
        <v/>
      </c>
      <c r="B277" s="10">
        <f>IF(A277="","",INDEX(lst_JobName,264)&amp;"")</f>
        <v/>
      </c>
      <c r="C277" s="11">
        <f>IF(A277="","",SUMIFS(tbl_WIP[Amount],tbl_WIP[Job Number],A277,tbl_WIP[Month],"&lt;"&amp;$C$4))</f>
        <v/>
      </c>
      <c r="D277" s="11">
        <f>IF(A277="","",SUMIFS(tbl_WIP[Amount],tbl_WIP[Job Number],A277,tbl_WIP[Month],$C$4))</f>
        <v/>
      </c>
      <c r="E277" s="11">
        <f>IF(A277="","",C277+D277)</f>
        <v/>
      </c>
      <c r="F277" s="10">
        <f>IF(A277="","",IF(AND(ROUND(C277,2)=0,ROUND(D277,2)=0),"","yes"))</f>
        <v/>
      </c>
      <c r="G277" s="39" t="n"/>
      <c r="H277" s="11">
        <f>IF(OR(A277="",G277=""),"",E277-G277)</f>
        <v/>
      </c>
    </row>
    <row r="278">
      <c r="A278" s="10">
        <f>IF(INDEX(lst_Jobs,265)="","",INDEX(lst_Jobs,265)&amp;"")</f>
        <v/>
      </c>
      <c r="B278" s="10">
        <f>IF(A278="","",INDEX(lst_JobName,265)&amp;"")</f>
        <v/>
      </c>
      <c r="C278" s="11">
        <f>IF(A278="","",SUMIFS(tbl_WIP[Amount],tbl_WIP[Job Number],A278,tbl_WIP[Month],"&lt;"&amp;$C$4))</f>
        <v/>
      </c>
      <c r="D278" s="11">
        <f>IF(A278="","",SUMIFS(tbl_WIP[Amount],tbl_WIP[Job Number],A278,tbl_WIP[Month],$C$4))</f>
        <v/>
      </c>
      <c r="E278" s="11">
        <f>IF(A278="","",C278+D278)</f>
        <v/>
      </c>
      <c r="F278" s="10">
        <f>IF(A278="","",IF(AND(ROUND(C278,2)=0,ROUND(D278,2)=0),"","yes"))</f>
        <v/>
      </c>
      <c r="G278" s="39" t="n"/>
      <c r="H278" s="11">
        <f>IF(OR(A278="",G278=""),"",E278-G278)</f>
        <v/>
      </c>
    </row>
    <row r="279">
      <c r="A279" s="10">
        <f>IF(INDEX(lst_Jobs,266)="","",INDEX(lst_Jobs,266)&amp;"")</f>
        <v/>
      </c>
      <c r="B279" s="10">
        <f>IF(A279="","",INDEX(lst_JobName,266)&amp;"")</f>
        <v/>
      </c>
      <c r="C279" s="11">
        <f>IF(A279="","",SUMIFS(tbl_WIP[Amount],tbl_WIP[Job Number],A279,tbl_WIP[Month],"&lt;"&amp;$C$4))</f>
        <v/>
      </c>
      <c r="D279" s="11">
        <f>IF(A279="","",SUMIFS(tbl_WIP[Amount],tbl_WIP[Job Number],A279,tbl_WIP[Month],$C$4))</f>
        <v/>
      </c>
      <c r="E279" s="11">
        <f>IF(A279="","",C279+D279)</f>
        <v/>
      </c>
      <c r="F279" s="10">
        <f>IF(A279="","",IF(AND(ROUND(C279,2)=0,ROUND(D279,2)=0),"","yes"))</f>
        <v/>
      </c>
      <c r="G279" s="39" t="n"/>
      <c r="H279" s="11">
        <f>IF(OR(A279="",G279=""),"",E279-G279)</f>
        <v/>
      </c>
    </row>
    <row r="280">
      <c r="A280" s="10">
        <f>IF(INDEX(lst_Jobs,267)="","",INDEX(lst_Jobs,267)&amp;"")</f>
        <v/>
      </c>
      <c r="B280" s="10">
        <f>IF(A280="","",INDEX(lst_JobName,267)&amp;"")</f>
        <v/>
      </c>
      <c r="C280" s="11">
        <f>IF(A280="","",SUMIFS(tbl_WIP[Amount],tbl_WIP[Job Number],A280,tbl_WIP[Month],"&lt;"&amp;$C$4))</f>
        <v/>
      </c>
      <c r="D280" s="11">
        <f>IF(A280="","",SUMIFS(tbl_WIP[Amount],tbl_WIP[Job Number],A280,tbl_WIP[Month],$C$4))</f>
        <v/>
      </c>
      <c r="E280" s="11">
        <f>IF(A280="","",C280+D280)</f>
        <v/>
      </c>
      <c r="F280" s="10">
        <f>IF(A280="","",IF(AND(ROUND(C280,2)=0,ROUND(D280,2)=0),"","yes"))</f>
        <v/>
      </c>
      <c r="G280" s="39" t="n"/>
      <c r="H280" s="11">
        <f>IF(OR(A280="",G280=""),"",E280-G280)</f>
        <v/>
      </c>
    </row>
    <row r="281">
      <c r="A281" s="10">
        <f>IF(INDEX(lst_Jobs,268)="","",INDEX(lst_Jobs,268)&amp;"")</f>
        <v/>
      </c>
      <c r="B281" s="10">
        <f>IF(A281="","",INDEX(lst_JobName,268)&amp;"")</f>
        <v/>
      </c>
      <c r="C281" s="11">
        <f>IF(A281="","",SUMIFS(tbl_WIP[Amount],tbl_WIP[Job Number],A281,tbl_WIP[Month],"&lt;"&amp;$C$4))</f>
        <v/>
      </c>
      <c r="D281" s="11">
        <f>IF(A281="","",SUMIFS(tbl_WIP[Amount],tbl_WIP[Job Number],A281,tbl_WIP[Month],$C$4))</f>
        <v/>
      </c>
      <c r="E281" s="11">
        <f>IF(A281="","",C281+D281)</f>
        <v/>
      </c>
      <c r="F281" s="10">
        <f>IF(A281="","",IF(AND(ROUND(C281,2)=0,ROUND(D281,2)=0),"","yes"))</f>
        <v/>
      </c>
      <c r="G281" s="39" t="n"/>
      <c r="H281" s="11">
        <f>IF(OR(A281="",G281=""),"",E281-G281)</f>
        <v/>
      </c>
    </row>
    <row r="282">
      <c r="A282" s="10">
        <f>IF(INDEX(lst_Jobs,269)="","",INDEX(lst_Jobs,269)&amp;"")</f>
        <v/>
      </c>
      <c r="B282" s="10">
        <f>IF(A282="","",INDEX(lst_JobName,269)&amp;"")</f>
        <v/>
      </c>
      <c r="C282" s="11">
        <f>IF(A282="","",SUMIFS(tbl_WIP[Amount],tbl_WIP[Job Number],A282,tbl_WIP[Month],"&lt;"&amp;$C$4))</f>
        <v/>
      </c>
      <c r="D282" s="11">
        <f>IF(A282="","",SUMIFS(tbl_WIP[Amount],tbl_WIP[Job Number],A282,tbl_WIP[Month],$C$4))</f>
        <v/>
      </c>
      <c r="E282" s="11">
        <f>IF(A282="","",C282+D282)</f>
        <v/>
      </c>
      <c r="F282" s="10">
        <f>IF(A282="","",IF(AND(ROUND(C282,2)=0,ROUND(D282,2)=0),"","yes"))</f>
        <v/>
      </c>
      <c r="G282" s="39" t="n"/>
      <c r="H282" s="11">
        <f>IF(OR(A282="",G282=""),"",E282-G282)</f>
        <v/>
      </c>
    </row>
    <row r="283">
      <c r="A283" s="10">
        <f>IF(INDEX(lst_Jobs,270)="","",INDEX(lst_Jobs,270)&amp;"")</f>
        <v/>
      </c>
      <c r="B283" s="10">
        <f>IF(A283="","",INDEX(lst_JobName,270)&amp;"")</f>
        <v/>
      </c>
      <c r="C283" s="11">
        <f>IF(A283="","",SUMIFS(tbl_WIP[Amount],tbl_WIP[Job Number],A283,tbl_WIP[Month],"&lt;"&amp;$C$4))</f>
        <v/>
      </c>
      <c r="D283" s="11">
        <f>IF(A283="","",SUMIFS(tbl_WIP[Amount],tbl_WIP[Job Number],A283,tbl_WIP[Month],$C$4))</f>
        <v/>
      </c>
      <c r="E283" s="11">
        <f>IF(A283="","",C283+D283)</f>
        <v/>
      </c>
      <c r="F283" s="10">
        <f>IF(A283="","",IF(AND(ROUND(C283,2)=0,ROUND(D283,2)=0),"","yes"))</f>
        <v/>
      </c>
      <c r="G283" s="39" t="n"/>
      <c r="H283" s="11">
        <f>IF(OR(A283="",G283=""),"",E283-G283)</f>
        <v/>
      </c>
    </row>
    <row r="284">
      <c r="A284" s="10">
        <f>IF(INDEX(lst_Jobs,271)="","",INDEX(lst_Jobs,271)&amp;"")</f>
        <v/>
      </c>
      <c r="B284" s="10">
        <f>IF(A284="","",INDEX(lst_JobName,271)&amp;"")</f>
        <v/>
      </c>
      <c r="C284" s="11">
        <f>IF(A284="","",SUMIFS(tbl_WIP[Amount],tbl_WIP[Job Number],A284,tbl_WIP[Month],"&lt;"&amp;$C$4))</f>
        <v/>
      </c>
      <c r="D284" s="11">
        <f>IF(A284="","",SUMIFS(tbl_WIP[Amount],tbl_WIP[Job Number],A284,tbl_WIP[Month],$C$4))</f>
        <v/>
      </c>
      <c r="E284" s="11">
        <f>IF(A284="","",C284+D284)</f>
        <v/>
      </c>
      <c r="F284" s="10">
        <f>IF(A284="","",IF(AND(ROUND(C284,2)=0,ROUND(D284,2)=0),"","yes"))</f>
        <v/>
      </c>
      <c r="G284" s="39" t="n"/>
      <c r="H284" s="11">
        <f>IF(OR(A284="",G284=""),"",E284-G284)</f>
        <v/>
      </c>
    </row>
    <row r="285">
      <c r="A285" s="10">
        <f>IF(INDEX(lst_Jobs,272)="","",INDEX(lst_Jobs,272)&amp;"")</f>
        <v/>
      </c>
      <c r="B285" s="10">
        <f>IF(A285="","",INDEX(lst_JobName,272)&amp;"")</f>
        <v/>
      </c>
      <c r="C285" s="11">
        <f>IF(A285="","",SUMIFS(tbl_WIP[Amount],tbl_WIP[Job Number],A285,tbl_WIP[Month],"&lt;"&amp;$C$4))</f>
        <v/>
      </c>
      <c r="D285" s="11">
        <f>IF(A285="","",SUMIFS(tbl_WIP[Amount],tbl_WIP[Job Number],A285,tbl_WIP[Month],$C$4))</f>
        <v/>
      </c>
      <c r="E285" s="11">
        <f>IF(A285="","",C285+D285)</f>
        <v/>
      </c>
      <c r="F285" s="10">
        <f>IF(A285="","",IF(AND(ROUND(C285,2)=0,ROUND(D285,2)=0),"","yes"))</f>
        <v/>
      </c>
      <c r="G285" s="39" t="n"/>
      <c r="H285" s="11">
        <f>IF(OR(A285="",G285=""),"",E285-G285)</f>
        <v/>
      </c>
    </row>
    <row r="286">
      <c r="A286" s="10">
        <f>IF(INDEX(lst_Jobs,273)="","",INDEX(lst_Jobs,273)&amp;"")</f>
        <v/>
      </c>
      <c r="B286" s="10">
        <f>IF(A286="","",INDEX(lst_JobName,273)&amp;"")</f>
        <v/>
      </c>
      <c r="C286" s="11">
        <f>IF(A286="","",SUMIFS(tbl_WIP[Amount],tbl_WIP[Job Number],A286,tbl_WIP[Month],"&lt;"&amp;$C$4))</f>
        <v/>
      </c>
      <c r="D286" s="11">
        <f>IF(A286="","",SUMIFS(tbl_WIP[Amount],tbl_WIP[Job Number],A286,tbl_WIP[Month],$C$4))</f>
        <v/>
      </c>
      <c r="E286" s="11">
        <f>IF(A286="","",C286+D286)</f>
        <v/>
      </c>
      <c r="F286" s="10">
        <f>IF(A286="","",IF(AND(ROUND(C286,2)=0,ROUND(D286,2)=0),"","yes"))</f>
        <v/>
      </c>
      <c r="G286" s="39" t="n"/>
      <c r="H286" s="11">
        <f>IF(OR(A286="",G286=""),"",E286-G286)</f>
        <v/>
      </c>
    </row>
    <row r="287">
      <c r="A287" s="10">
        <f>IF(INDEX(lst_Jobs,274)="","",INDEX(lst_Jobs,274)&amp;"")</f>
        <v/>
      </c>
      <c r="B287" s="10">
        <f>IF(A287="","",INDEX(lst_JobName,274)&amp;"")</f>
        <v/>
      </c>
      <c r="C287" s="11">
        <f>IF(A287="","",SUMIFS(tbl_WIP[Amount],tbl_WIP[Job Number],A287,tbl_WIP[Month],"&lt;"&amp;$C$4))</f>
        <v/>
      </c>
      <c r="D287" s="11">
        <f>IF(A287="","",SUMIFS(tbl_WIP[Amount],tbl_WIP[Job Number],A287,tbl_WIP[Month],$C$4))</f>
        <v/>
      </c>
      <c r="E287" s="11">
        <f>IF(A287="","",C287+D287)</f>
        <v/>
      </c>
      <c r="F287" s="10">
        <f>IF(A287="","",IF(AND(ROUND(C287,2)=0,ROUND(D287,2)=0),"","yes"))</f>
        <v/>
      </c>
      <c r="G287" s="39" t="n"/>
      <c r="H287" s="11">
        <f>IF(OR(A287="",G287=""),"",E287-G287)</f>
        <v/>
      </c>
    </row>
    <row r="288">
      <c r="A288" s="10">
        <f>IF(INDEX(lst_Jobs,275)="","",INDEX(lst_Jobs,275)&amp;"")</f>
        <v/>
      </c>
      <c r="B288" s="10">
        <f>IF(A288="","",INDEX(lst_JobName,275)&amp;"")</f>
        <v/>
      </c>
      <c r="C288" s="11">
        <f>IF(A288="","",SUMIFS(tbl_WIP[Amount],tbl_WIP[Job Number],A288,tbl_WIP[Month],"&lt;"&amp;$C$4))</f>
        <v/>
      </c>
      <c r="D288" s="11">
        <f>IF(A288="","",SUMIFS(tbl_WIP[Amount],tbl_WIP[Job Number],A288,tbl_WIP[Month],$C$4))</f>
        <v/>
      </c>
      <c r="E288" s="11">
        <f>IF(A288="","",C288+D288)</f>
        <v/>
      </c>
      <c r="F288" s="10">
        <f>IF(A288="","",IF(AND(ROUND(C288,2)=0,ROUND(D288,2)=0),"","yes"))</f>
        <v/>
      </c>
      <c r="G288" s="39" t="n"/>
      <c r="H288" s="11">
        <f>IF(OR(A288="",G288=""),"",E288-G288)</f>
        <v/>
      </c>
    </row>
    <row r="289">
      <c r="A289" s="10">
        <f>IF(INDEX(lst_Jobs,276)="","",INDEX(lst_Jobs,276)&amp;"")</f>
        <v/>
      </c>
      <c r="B289" s="10">
        <f>IF(A289="","",INDEX(lst_JobName,276)&amp;"")</f>
        <v/>
      </c>
      <c r="C289" s="11">
        <f>IF(A289="","",SUMIFS(tbl_WIP[Amount],tbl_WIP[Job Number],A289,tbl_WIP[Month],"&lt;"&amp;$C$4))</f>
        <v/>
      </c>
      <c r="D289" s="11">
        <f>IF(A289="","",SUMIFS(tbl_WIP[Amount],tbl_WIP[Job Number],A289,tbl_WIP[Month],$C$4))</f>
        <v/>
      </c>
      <c r="E289" s="11">
        <f>IF(A289="","",C289+D289)</f>
        <v/>
      </c>
      <c r="F289" s="10">
        <f>IF(A289="","",IF(AND(ROUND(C289,2)=0,ROUND(D289,2)=0),"","yes"))</f>
        <v/>
      </c>
      <c r="G289" s="39" t="n"/>
      <c r="H289" s="11">
        <f>IF(OR(A289="",G289=""),"",E289-G289)</f>
        <v/>
      </c>
    </row>
    <row r="290">
      <c r="A290" s="10">
        <f>IF(INDEX(lst_Jobs,277)="","",INDEX(lst_Jobs,277)&amp;"")</f>
        <v/>
      </c>
      <c r="B290" s="10">
        <f>IF(A290="","",INDEX(lst_JobName,277)&amp;"")</f>
        <v/>
      </c>
      <c r="C290" s="11">
        <f>IF(A290="","",SUMIFS(tbl_WIP[Amount],tbl_WIP[Job Number],A290,tbl_WIP[Month],"&lt;"&amp;$C$4))</f>
        <v/>
      </c>
      <c r="D290" s="11">
        <f>IF(A290="","",SUMIFS(tbl_WIP[Amount],tbl_WIP[Job Number],A290,tbl_WIP[Month],$C$4))</f>
        <v/>
      </c>
      <c r="E290" s="11">
        <f>IF(A290="","",C290+D290)</f>
        <v/>
      </c>
      <c r="F290" s="10">
        <f>IF(A290="","",IF(AND(ROUND(C290,2)=0,ROUND(D290,2)=0),"","yes"))</f>
        <v/>
      </c>
      <c r="G290" s="39" t="n"/>
      <c r="H290" s="11">
        <f>IF(OR(A290="",G290=""),"",E290-G290)</f>
        <v/>
      </c>
    </row>
    <row r="291">
      <c r="A291" s="10">
        <f>IF(INDEX(lst_Jobs,278)="","",INDEX(lst_Jobs,278)&amp;"")</f>
        <v/>
      </c>
      <c r="B291" s="10">
        <f>IF(A291="","",INDEX(lst_JobName,278)&amp;"")</f>
        <v/>
      </c>
      <c r="C291" s="11">
        <f>IF(A291="","",SUMIFS(tbl_WIP[Amount],tbl_WIP[Job Number],A291,tbl_WIP[Month],"&lt;"&amp;$C$4))</f>
        <v/>
      </c>
      <c r="D291" s="11">
        <f>IF(A291="","",SUMIFS(tbl_WIP[Amount],tbl_WIP[Job Number],A291,tbl_WIP[Month],$C$4))</f>
        <v/>
      </c>
      <c r="E291" s="11">
        <f>IF(A291="","",C291+D291)</f>
        <v/>
      </c>
      <c r="F291" s="10">
        <f>IF(A291="","",IF(AND(ROUND(C291,2)=0,ROUND(D291,2)=0),"","yes"))</f>
        <v/>
      </c>
      <c r="G291" s="39" t="n"/>
      <c r="H291" s="11">
        <f>IF(OR(A291="",G291=""),"",E291-G291)</f>
        <v/>
      </c>
    </row>
    <row r="292">
      <c r="A292" s="10">
        <f>IF(INDEX(lst_Jobs,279)="","",INDEX(lst_Jobs,279)&amp;"")</f>
        <v/>
      </c>
      <c r="B292" s="10">
        <f>IF(A292="","",INDEX(lst_JobName,279)&amp;"")</f>
        <v/>
      </c>
      <c r="C292" s="11">
        <f>IF(A292="","",SUMIFS(tbl_WIP[Amount],tbl_WIP[Job Number],A292,tbl_WIP[Month],"&lt;"&amp;$C$4))</f>
        <v/>
      </c>
      <c r="D292" s="11">
        <f>IF(A292="","",SUMIFS(tbl_WIP[Amount],tbl_WIP[Job Number],A292,tbl_WIP[Month],$C$4))</f>
        <v/>
      </c>
      <c r="E292" s="11">
        <f>IF(A292="","",C292+D292)</f>
        <v/>
      </c>
      <c r="F292" s="10">
        <f>IF(A292="","",IF(AND(ROUND(C292,2)=0,ROUND(D292,2)=0),"","yes"))</f>
        <v/>
      </c>
      <c r="G292" s="39" t="n"/>
      <c r="H292" s="11">
        <f>IF(OR(A292="",G292=""),"",E292-G292)</f>
        <v/>
      </c>
    </row>
    <row r="293">
      <c r="A293" s="10">
        <f>IF(INDEX(lst_Jobs,280)="","",INDEX(lst_Jobs,280)&amp;"")</f>
        <v/>
      </c>
      <c r="B293" s="10">
        <f>IF(A293="","",INDEX(lst_JobName,280)&amp;"")</f>
        <v/>
      </c>
      <c r="C293" s="11">
        <f>IF(A293="","",SUMIFS(tbl_WIP[Amount],tbl_WIP[Job Number],A293,tbl_WIP[Month],"&lt;"&amp;$C$4))</f>
        <v/>
      </c>
      <c r="D293" s="11">
        <f>IF(A293="","",SUMIFS(tbl_WIP[Amount],tbl_WIP[Job Number],A293,tbl_WIP[Month],$C$4))</f>
        <v/>
      </c>
      <c r="E293" s="11">
        <f>IF(A293="","",C293+D293)</f>
        <v/>
      </c>
      <c r="F293" s="10">
        <f>IF(A293="","",IF(AND(ROUND(C293,2)=0,ROUND(D293,2)=0),"","yes"))</f>
        <v/>
      </c>
      <c r="G293" s="39" t="n"/>
      <c r="H293" s="11">
        <f>IF(OR(A293="",G293=""),"",E293-G293)</f>
        <v/>
      </c>
    </row>
    <row r="294">
      <c r="A294" s="10">
        <f>IF(INDEX(lst_Jobs,281)="","",INDEX(lst_Jobs,281)&amp;"")</f>
        <v/>
      </c>
      <c r="B294" s="10">
        <f>IF(A294="","",INDEX(lst_JobName,281)&amp;"")</f>
        <v/>
      </c>
      <c r="C294" s="11">
        <f>IF(A294="","",SUMIFS(tbl_WIP[Amount],tbl_WIP[Job Number],A294,tbl_WIP[Month],"&lt;"&amp;$C$4))</f>
        <v/>
      </c>
      <c r="D294" s="11">
        <f>IF(A294="","",SUMIFS(tbl_WIP[Amount],tbl_WIP[Job Number],A294,tbl_WIP[Month],$C$4))</f>
        <v/>
      </c>
      <c r="E294" s="11">
        <f>IF(A294="","",C294+D294)</f>
        <v/>
      </c>
      <c r="F294" s="10">
        <f>IF(A294="","",IF(AND(ROUND(C294,2)=0,ROUND(D294,2)=0),"","yes"))</f>
        <v/>
      </c>
      <c r="G294" s="39" t="n"/>
      <c r="H294" s="11">
        <f>IF(OR(A294="",G294=""),"",E294-G294)</f>
        <v/>
      </c>
    </row>
    <row r="295">
      <c r="A295" s="10">
        <f>IF(INDEX(lst_Jobs,282)="","",INDEX(lst_Jobs,282)&amp;"")</f>
        <v/>
      </c>
      <c r="B295" s="10">
        <f>IF(A295="","",INDEX(lst_JobName,282)&amp;"")</f>
        <v/>
      </c>
      <c r="C295" s="11">
        <f>IF(A295="","",SUMIFS(tbl_WIP[Amount],tbl_WIP[Job Number],A295,tbl_WIP[Month],"&lt;"&amp;$C$4))</f>
        <v/>
      </c>
      <c r="D295" s="11">
        <f>IF(A295="","",SUMIFS(tbl_WIP[Amount],tbl_WIP[Job Number],A295,tbl_WIP[Month],$C$4))</f>
        <v/>
      </c>
      <c r="E295" s="11">
        <f>IF(A295="","",C295+D295)</f>
        <v/>
      </c>
      <c r="F295" s="10">
        <f>IF(A295="","",IF(AND(ROUND(C295,2)=0,ROUND(D295,2)=0),"","yes"))</f>
        <v/>
      </c>
      <c r="G295" s="39" t="n"/>
      <c r="H295" s="11">
        <f>IF(OR(A295="",G295=""),"",E295-G295)</f>
        <v/>
      </c>
    </row>
    <row r="296">
      <c r="A296" s="10">
        <f>IF(INDEX(lst_Jobs,283)="","",INDEX(lst_Jobs,283)&amp;"")</f>
        <v/>
      </c>
      <c r="B296" s="10">
        <f>IF(A296="","",INDEX(lst_JobName,283)&amp;"")</f>
        <v/>
      </c>
      <c r="C296" s="11">
        <f>IF(A296="","",SUMIFS(tbl_WIP[Amount],tbl_WIP[Job Number],A296,tbl_WIP[Month],"&lt;"&amp;$C$4))</f>
        <v/>
      </c>
      <c r="D296" s="11">
        <f>IF(A296="","",SUMIFS(tbl_WIP[Amount],tbl_WIP[Job Number],A296,tbl_WIP[Month],$C$4))</f>
        <v/>
      </c>
      <c r="E296" s="11">
        <f>IF(A296="","",C296+D296)</f>
        <v/>
      </c>
      <c r="F296" s="10">
        <f>IF(A296="","",IF(AND(ROUND(C296,2)=0,ROUND(D296,2)=0),"","yes"))</f>
        <v/>
      </c>
      <c r="G296" s="39" t="n"/>
      <c r="H296" s="11">
        <f>IF(OR(A296="",G296=""),"",E296-G296)</f>
        <v/>
      </c>
    </row>
    <row r="297">
      <c r="A297" s="10">
        <f>IF(INDEX(lst_Jobs,284)="","",INDEX(lst_Jobs,284)&amp;"")</f>
        <v/>
      </c>
      <c r="B297" s="10">
        <f>IF(A297="","",INDEX(lst_JobName,284)&amp;"")</f>
        <v/>
      </c>
      <c r="C297" s="11">
        <f>IF(A297="","",SUMIFS(tbl_WIP[Amount],tbl_WIP[Job Number],A297,tbl_WIP[Month],"&lt;"&amp;$C$4))</f>
        <v/>
      </c>
      <c r="D297" s="11">
        <f>IF(A297="","",SUMIFS(tbl_WIP[Amount],tbl_WIP[Job Number],A297,tbl_WIP[Month],$C$4))</f>
        <v/>
      </c>
      <c r="E297" s="11">
        <f>IF(A297="","",C297+D297)</f>
        <v/>
      </c>
      <c r="F297" s="10">
        <f>IF(A297="","",IF(AND(ROUND(C297,2)=0,ROUND(D297,2)=0),"","yes"))</f>
        <v/>
      </c>
      <c r="G297" s="39" t="n"/>
      <c r="H297" s="11">
        <f>IF(OR(A297="",G297=""),"",E297-G297)</f>
        <v/>
      </c>
    </row>
    <row r="298">
      <c r="A298" s="10">
        <f>IF(INDEX(lst_Jobs,285)="","",INDEX(lst_Jobs,285)&amp;"")</f>
        <v/>
      </c>
      <c r="B298" s="10">
        <f>IF(A298="","",INDEX(lst_JobName,285)&amp;"")</f>
        <v/>
      </c>
      <c r="C298" s="11">
        <f>IF(A298="","",SUMIFS(tbl_WIP[Amount],tbl_WIP[Job Number],A298,tbl_WIP[Month],"&lt;"&amp;$C$4))</f>
        <v/>
      </c>
      <c r="D298" s="11">
        <f>IF(A298="","",SUMIFS(tbl_WIP[Amount],tbl_WIP[Job Number],A298,tbl_WIP[Month],$C$4))</f>
        <v/>
      </c>
      <c r="E298" s="11">
        <f>IF(A298="","",C298+D298)</f>
        <v/>
      </c>
      <c r="F298" s="10">
        <f>IF(A298="","",IF(AND(ROUND(C298,2)=0,ROUND(D298,2)=0),"","yes"))</f>
        <v/>
      </c>
      <c r="G298" s="39" t="n"/>
      <c r="H298" s="11">
        <f>IF(OR(A298="",G298=""),"",E298-G298)</f>
        <v/>
      </c>
    </row>
    <row r="299">
      <c r="A299" s="10">
        <f>IF(INDEX(lst_Jobs,286)="","",INDEX(lst_Jobs,286)&amp;"")</f>
        <v/>
      </c>
      <c r="B299" s="10">
        <f>IF(A299="","",INDEX(lst_JobName,286)&amp;"")</f>
        <v/>
      </c>
      <c r="C299" s="11">
        <f>IF(A299="","",SUMIFS(tbl_WIP[Amount],tbl_WIP[Job Number],A299,tbl_WIP[Month],"&lt;"&amp;$C$4))</f>
        <v/>
      </c>
      <c r="D299" s="11">
        <f>IF(A299="","",SUMIFS(tbl_WIP[Amount],tbl_WIP[Job Number],A299,tbl_WIP[Month],$C$4))</f>
        <v/>
      </c>
      <c r="E299" s="11">
        <f>IF(A299="","",C299+D299)</f>
        <v/>
      </c>
      <c r="F299" s="10">
        <f>IF(A299="","",IF(AND(ROUND(C299,2)=0,ROUND(D299,2)=0),"","yes"))</f>
        <v/>
      </c>
      <c r="G299" s="39" t="n"/>
      <c r="H299" s="11">
        <f>IF(OR(A299="",G299=""),"",E299-G299)</f>
        <v/>
      </c>
    </row>
    <row r="300">
      <c r="A300" s="10">
        <f>IF(INDEX(lst_Jobs,287)="","",INDEX(lst_Jobs,287)&amp;"")</f>
        <v/>
      </c>
      <c r="B300" s="10">
        <f>IF(A300="","",INDEX(lst_JobName,287)&amp;"")</f>
        <v/>
      </c>
      <c r="C300" s="11">
        <f>IF(A300="","",SUMIFS(tbl_WIP[Amount],tbl_WIP[Job Number],A300,tbl_WIP[Month],"&lt;"&amp;$C$4))</f>
        <v/>
      </c>
      <c r="D300" s="11">
        <f>IF(A300="","",SUMIFS(tbl_WIP[Amount],tbl_WIP[Job Number],A300,tbl_WIP[Month],$C$4))</f>
        <v/>
      </c>
      <c r="E300" s="11">
        <f>IF(A300="","",C300+D300)</f>
        <v/>
      </c>
      <c r="F300" s="10">
        <f>IF(A300="","",IF(AND(ROUND(C300,2)=0,ROUND(D300,2)=0),"","yes"))</f>
        <v/>
      </c>
      <c r="G300" s="39" t="n"/>
      <c r="H300" s="11">
        <f>IF(OR(A300="",G300=""),"",E300-G300)</f>
        <v/>
      </c>
    </row>
    <row r="301">
      <c r="A301" s="10">
        <f>IF(INDEX(lst_Jobs,288)="","",INDEX(lst_Jobs,288)&amp;"")</f>
        <v/>
      </c>
      <c r="B301" s="10">
        <f>IF(A301="","",INDEX(lst_JobName,288)&amp;"")</f>
        <v/>
      </c>
      <c r="C301" s="11">
        <f>IF(A301="","",SUMIFS(tbl_WIP[Amount],tbl_WIP[Job Number],A301,tbl_WIP[Month],"&lt;"&amp;$C$4))</f>
        <v/>
      </c>
      <c r="D301" s="11">
        <f>IF(A301="","",SUMIFS(tbl_WIP[Amount],tbl_WIP[Job Number],A301,tbl_WIP[Month],$C$4))</f>
        <v/>
      </c>
      <c r="E301" s="11">
        <f>IF(A301="","",C301+D301)</f>
        <v/>
      </c>
      <c r="F301" s="10">
        <f>IF(A301="","",IF(AND(ROUND(C301,2)=0,ROUND(D301,2)=0),"","yes"))</f>
        <v/>
      </c>
      <c r="G301" s="39" t="n"/>
      <c r="H301" s="11">
        <f>IF(OR(A301="",G301=""),"",E301-G301)</f>
        <v/>
      </c>
    </row>
    <row r="302">
      <c r="A302" s="10">
        <f>IF(INDEX(lst_Jobs,289)="","",INDEX(lst_Jobs,289)&amp;"")</f>
        <v/>
      </c>
      <c r="B302" s="10">
        <f>IF(A302="","",INDEX(lst_JobName,289)&amp;"")</f>
        <v/>
      </c>
      <c r="C302" s="11">
        <f>IF(A302="","",SUMIFS(tbl_WIP[Amount],tbl_WIP[Job Number],A302,tbl_WIP[Month],"&lt;"&amp;$C$4))</f>
        <v/>
      </c>
      <c r="D302" s="11">
        <f>IF(A302="","",SUMIFS(tbl_WIP[Amount],tbl_WIP[Job Number],A302,tbl_WIP[Month],$C$4))</f>
        <v/>
      </c>
      <c r="E302" s="11">
        <f>IF(A302="","",C302+D302)</f>
        <v/>
      </c>
      <c r="F302" s="10">
        <f>IF(A302="","",IF(AND(ROUND(C302,2)=0,ROUND(D302,2)=0),"","yes"))</f>
        <v/>
      </c>
      <c r="G302" s="39" t="n"/>
      <c r="H302" s="11">
        <f>IF(OR(A302="",G302=""),"",E302-G302)</f>
        <v/>
      </c>
    </row>
    <row r="303">
      <c r="A303" s="10">
        <f>IF(INDEX(lst_Jobs,290)="","",INDEX(lst_Jobs,290)&amp;"")</f>
        <v/>
      </c>
      <c r="B303" s="10">
        <f>IF(A303="","",INDEX(lst_JobName,290)&amp;"")</f>
        <v/>
      </c>
      <c r="C303" s="11">
        <f>IF(A303="","",SUMIFS(tbl_WIP[Amount],tbl_WIP[Job Number],A303,tbl_WIP[Month],"&lt;"&amp;$C$4))</f>
        <v/>
      </c>
      <c r="D303" s="11">
        <f>IF(A303="","",SUMIFS(tbl_WIP[Amount],tbl_WIP[Job Number],A303,tbl_WIP[Month],$C$4))</f>
        <v/>
      </c>
      <c r="E303" s="11">
        <f>IF(A303="","",C303+D303)</f>
        <v/>
      </c>
      <c r="F303" s="10">
        <f>IF(A303="","",IF(AND(ROUND(C303,2)=0,ROUND(D303,2)=0),"","yes"))</f>
        <v/>
      </c>
      <c r="G303" s="39" t="n"/>
      <c r="H303" s="11">
        <f>IF(OR(A303="",G303=""),"",E303-G303)</f>
        <v/>
      </c>
    </row>
    <row r="304">
      <c r="A304" s="10">
        <f>IF(INDEX(lst_Jobs,291)="","",INDEX(lst_Jobs,291)&amp;"")</f>
        <v/>
      </c>
      <c r="B304" s="10">
        <f>IF(A304="","",INDEX(lst_JobName,291)&amp;"")</f>
        <v/>
      </c>
      <c r="C304" s="11">
        <f>IF(A304="","",SUMIFS(tbl_WIP[Amount],tbl_WIP[Job Number],A304,tbl_WIP[Month],"&lt;"&amp;$C$4))</f>
        <v/>
      </c>
      <c r="D304" s="11">
        <f>IF(A304="","",SUMIFS(tbl_WIP[Amount],tbl_WIP[Job Number],A304,tbl_WIP[Month],$C$4))</f>
        <v/>
      </c>
      <c r="E304" s="11">
        <f>IF(A304="","",C304+D304)</f>
        <v/>
      </c>
      <c r="F304" s="10">
        <f>IF(A304="","",IF(AND(ROUND(C304,2)=0,ROUND(D304,2)=0),"","yes"))</f>
        <v/>
      </c>
      <c r="G304" s="39" t="n"/>
      <c r="H304" s="11">
        <f>IF(OR(A304="",G304=""),"",E304-G304)</f>
        <v/>
      </c>
    </row>
    <row r="305">
      <c r="A305" s="10">
        <f>IF(INDEX(lst_Jobs,292)="","",INDEX(lst_Jobs,292)&amp;"")</f>
        <v/>
      </c>
      <c r="B305" s="10">
        <f>IF(A305="","",INDEX(lst_JobName,292)&amp;"")</f>
        <v/>
      </c>
      <c r="C305" s="11">
        <f>IF(A305="","",SUMIFS(tbl_WIP[Amount],tbl_WIP[Job Number],A305,tbl_WIP[Month],"&lt;"&amp;$C$4))</f>
        <v/>
      </c>
      <c r="D305" s="11">
        <f>IF(A305="","",SUMIFS(tbl_WIP[Amount],tbl_WIP[Job Number],A305,tbl_WIP[Month],$C$4))</f>
        <v/>
      </c>
      <c r="E305" s="11">
        <f>IF(A305="","",C305+D305)</f>
        <v/>
      </c>
      <c r="F305" s="10">
        <f>IF(A305="","",IF(AND(ROUND(C305,2)=0,ROUND(D305,2)=0),"","yes"))</f>
        <v/>
      </c>
      <c r="G305" s="39" t="n"/>
      <c r="H305" s="11">
        <f>IF(OR(A305="",G305=""),"",E305-G305)</f>
        <v/>
      </c>
    </row>
    <row r="306">
      <c r="A306" s="10">
        <f>IF(INDEX(lst_Jobs,293)="","",INDEX(lst_Jobs,293)&amp;"")</f>
        <v/>
      </c>
      <c r="B306" s="10">
        <f>IF(A306="","",INDEX(lst_JobName,293)&amp;"")</f>
        <v/>
      </c>
      <c r="C306" s="11">
        <f>IF(A306="","",SUMIFS(tbl_WIP[Amount],tbl_WIP[Job Number],A306,tbl_WIP[Month],"&lt;"&amp;$C$4))</f>
        <v/>
      </c>
      <c r="D306" s="11">
        <f>IF(A306="","",SUMIFS(tbl_WIP[Amount],tbl_WIP[Job Number],A306,tbl_WIP[Month],$C$4))</f>
        <v/>
      </c>
      <c r="E306" s="11">
        <f>IF(A306="","",C306+D306)</f>
        <v/>
      </c>
      <c r="F306" s="10">
        <f>IF(A306="","",IF(AND(ROUND(C306,2)=0,ROUND(D306,2)=0),"","yes"))</f>
        <v/>
      </c>
      <c r="G306" s="39" t="n"/>
      <c r="H306" s="11">
        <f>IF(OR(A306="",G306=""),"",E306-G306)</f>
        <v/>
      </c>
    </row>
    <row r="307">
      <c r="A307" s="10">
        <f>IF(INDEX(lst_Jobs,294)="","",INDEX(lst_Jobs,294)&amp;"")</f>
        <v/>
      </c>
      <c r="B307" s="10">
        <f>IF(A307="","",INDEX(lst_JobName,294)&amp;"")</f>
        <v/>
      </c>
      <c r="C307" s="11">
        <f>IF(A307="","",SUMIFS(tbl_WIP[Amount],tbl_WIP[Job Number],A307,tbl_WIP[Month],"&lt;"&amp;$C$4))</f>
        <v/>
      </c>
      <c r="D307" s="11">
        <f>IF(A307="","",SUMIFS(tbl_WIP[Amount],tbl_WIP[Job Number],A307,tbl_WIP[Month],$C$4))</f>
        <v/>
      </c>
      <c r="E307" s="11">
        <f>IF(A307="","",C307+D307)</f>
        <v/>
      </c>
      <c r="F307" s="10">
        <f>IF(A307="","",IF(AND(ROUND(C307,2)=0,ROUND(D307,2)=0),"","yes"))</f>
        <v/>
      </c>
      <c r="G307" s="39" t="n"/>
      <c r="H307" s="11">
        <f>IF(OR(A307="",G307=""),"",E307-G307)</f>
        <v/>
      </c>
    </row>
    <row r="308">
      <c r="A308" s="10">
        <f>IF(INDEX(lst_Jobs,295)="","",INDEX(lst_Jobs,295)&amp;"")</f>
        <v/>
      </c>
      <c r="B308" s="10">
        <f>IF(A308="","",INDEX(lst_JobName,295)&amp;"")</f>
        <v/>
      </c>
      <c r="C308" s="11">
        <f>IF(A308="","",SUMIFS(tbl_WIP[Amount],tbl_WIP[Job Number],A308,tbl_WIP[Month],"&lt;"&amp;$C$4))</f>
        <v/>
      </c>
      <c r="D308" s="11">
        <f>IF(A308="","",SUMIFS(tbl_WIP[Amount],tbl_WIP[Job Number],A308,tbl_WIP[Month],$C$4))</f>
        <v/>
      </c>
      <c r="E308" s="11">
        <f>IF(A308="","",C308+D308)</f>
        <v/>
      </c>
      <c r="F308" s="10">
        <f>IF(A308="","",IF(AND(ROUND(C308,2)=0,ROUND(D308,2)=0),"","yes"))</f>
        <v/>
      </c>
      <c r="G308" s="39" t="n"/>
      <c r="H308" s="11">
        <f>IF(OR(A308="",G308=""),"",E308-G308)</f>
        <v/>
      </c>
    </row>
    <row r="309">
      <c r="A309" s="10">
        <f>IF(INDEX(lst_Jobs,296)="","",INDEX(lst_Jobs,296)&amp;"")</f>
        <v/>
      </c>
      <c r="B309" s="10">
        <f>IF(A309="","",INDEX(lst_JobName,296)&amp;"")</f>
        <v/>
      </c>
      <c r="C309" s="11">
        <f>IF(A309="","",SUMIFS(tbl_WIP[Amount],tbl_WIP[Job Number],A309,tbl_WIP[Month],"&lt;"&amp;$C$4))</f>
        <v/>
      </c>
      <c r="D309" s="11">
        <f>IF(A309="","",SUMIFS(tbl_WIP[Amount],tbl_WIP[Job Number],A309,tbl_WIP[Month],$C$4))</f>
        <v/>
      </c>
      <c r="E309" s="11">
        <f>IF(A309="","",C309+D309)</f>
        <v/>
      </c>
      <c r="F309" s="10">
        <f>IF(A309="","",IF(AND(ROUND(C309,2)=0,ROUND(D309,2)=0),"","yes"))</f>
        <v/>
      </c>
      <c r="G309" s="39" t="n"/>
      <c r="H309" s="11">
        <f>IF(OR(A309="",G309=""),"",E309-G309)</f>
        <v/>
      </c>
    </row>
    <row r="310">
      <c r="A310" s="10">
        <f>IF(INDEX(lst_Jobs,297)="","",INDEX(lst_Jobs,297)&amp;"")</f>
        <v/>
      </c>
      <c r="B310" s="10">
        <f>IF(A310="","",INDEX(lst_JobName,297)&amp;"")</f>
        <v/>
      </c>
      <c r="C310" s="11">
        <f>IF(A310="","",SUMIFS(tbl_WIP[Amount],tbl_WIP[Job Number],A310,tbl_WIP[Month],"&lt;"&amp;$C$4))</f>
        <v/>
      </c>
      <c r="D310" s="11">
        <f>IF(A310="","",SUMIFS(tbl_WIP[Amount],tbl_WIP[Job Number],A310,tbl_WIP[Month],$C$4))</f>
        <v/>
      </c>
      <c r="E310" s="11">
        <f>IF(A310="","",C310+D310)</f>
        <v/>
      </c>
      <c r="F310" s="10">
        <f>IF(A310="","",IF(AND(ROUND(C310,2)=0,ROUND(D310,2)=0),"","yes"))</f>
        <v/>
      </c>
      <c r="G310" s="39" t="n"/>
      <c r="H310" s="11">
        <f>IF(OR(A310="",G310=""),"",E310-G310)</f>
        <v/>
      </c>
    </row>
    <row r="311">
      <c r="A311" s="10">
        <f>IF(INDEX(lst_Jobs,298)="","",INDEX(lst_Jobs,298)&amp;"")</f>
        <v/>
      </c>
      <c r="B311" s="10">
        <f>IF(A311="","",INDEX(lst_JobName,298)&amp;"")</f>
        <v/>
      </c>
      <c r="C311" s="11">
        <f>IF(A311="","",SUMIFS(tbl_WIP[Amount],tbl_WIP[Job Number],A311,tbl_WIP[Month],"&lt;"&amp;$C$4))</f>
        <v/>
      </c>
      <c r="D311" s="11">
        <f>IF(A311="","",SUMIFS(tbl_WIP[Amount],tbl_WIP[Job Number],A311,tbl_WIP[Month],$C$4))</f>
        <v/>
      </c>
      <c r="E311" s="11">
        <f>IF(A311="","",C311+D311)</f>
        <v/>
      </c>
      <c r="F311" s="10">
        <f>IF(A311="","",IF(AND(ROUND(C311,2)=0,ROUND(D311,2)=0),"","yes"))</f>
        <v/>
      </c>
      <c r="G311" s="39" t="n"/>
      <c r="H311" s="11">
        <f>IF(OR(A311="",G311=""),"",E311-G311)</f>
        <v/>
      </c>
    </row>
    <row r="312">
      <c r="A312" s="10">
        <f>IF(INDEX(lst_Jobs,299)="","",INDEX(lst_Jobs,299)&amp;"")</f>
        <v/>
      </c>
      <c r="B312" s="10">
        <f>IF(A312="","",INDEX(lst_JobName,299)&amp;"")</f>
        <v/>
      </c>
      <c r="C312" s="11">
        <f>IF(A312="","",SUMIFS(tbl_WIP[Amount],tbl_WIP[Job Number],A312,tbl_WIP[Month],"&lt;"&amp;$C$4))</f>
        <v/>
      </c>
      <c r="D312" s="11">
        <f>IF(A312="","",SUMIFS(tbl_WIP[Amount],tbl_WIP[Job Number],A312,tbl_WIP[Month],$C$4))</f>
        <v/>
      </c>
      <c r="E312" s="11">
        <f>IF(A312="","",C312+D312)</f>
        <v/>
      </c>
      <c r="F312" s="10">
        <f>IF(A312="","",IF(AND(ROUND(C312,2)=0,ROUND(D312,2)=0),"","yes"))</f>
        <v/>
      </c>
      <c r="G312" s="39" t="n"/>
      <c r="H312" s="11">
        <f>IF(OR(A312="",G312=""),"",E312-G312)</f>
        <v/>
      </c>
    </row>
    <row r="313">
      <c r="A313" s="10">
        <f>IF(INDEX(lst_Jobs,300)="","",INDEX(lst_Jobs,300)&amp;"")</f>
        <v/>
      </c>
      <c r="B313" s="10">
        <f>IF(A313="","",INDEX(lst_JobName,300)&amp;"")</f>
        <v/>
      </c>
      <c r="C313" s="11">
        <f>IF(A313="","",SUMIFS(tbl_WIP[Amount],tbl_WIP[Job Number],A313,tbl_WIP[Month],"&lt;"&amp;$C$4))</f>
        <v/>
      </c>
      <c r="D313" s="11">
        <f>IF(A313="","",SUMIFS(tbl_WIP[Amount],tbl_WIP[Job Number],A313,tbl_WIP[Month],$C$4))</f>
        <v/>
      </c>
      <c r="E313" s="11">
        <f>IF(A313="","",C313+D313)</f>
        <v/>
      </c>
      <c r="F313" s="10">
        <f>IF(A313="","",IF(AND(ROUND(C313,2)=0,ROUND(D313,2)=0),"","yes"))</f>
        <v/>
      </c>
      <c r="G313" s="39" t="n"/>
      <c r="H313" s="11">
        <f>IF(OR(A313="",G313=""),"",E313-G313)</f>
        <v/>
      </c>
    </row>
    <row r="314">
      <c r="A314" s="10">
        <f>IF(INDEX(lst_Jobs,301)="","",INDEX(lst_Jobs,301)&amp;"")</f>
        <v/>
      </c>
      <c r="B314" s="10">
        <f>IF(A314="","",INDEX(lst_JobName,301)&amp;"")</f>
        <v/>
      </c>
      <c r="C314" s="11">
        <f>IF(A314="","",SUMIFS(tbl_WIP[Amount],tbl_WIP[Job Number],A314,tbl_WIP[Month],"&lt;"&amp;$C$4))</f>
        <v/>
      </c>
      <c r="D314" s="11">
        <f>IF(A314="","",SUMIFS(tbl_WIP[Amount],tbl_WIP[Job Number],A314,tbl_WIP[Month],$C$4))</f>
        <v/>
      </c>
      <c r="E314" s="11">
        <f>IF(A314="","",C314+D314)</f>
        <v/>
      </c>
      <c r="F314" s="10">
        <f>IF(A314="","",IF(AND(ROUND(C314,2)=0,ROUND(D314,2)=0),"","yes"))</f>
        <v/>
      </c>
      <c r="G314" s="39" t="n"/>
      <c r="H314" s="11">
        <f>IF(OR(A314="",G314=""),"",E314-G314)</f>
        <v/>
      </c>
    </row>
    <row r="315">
      <c r="A315" s="10">
        <f>IF(INDEX(lst_Jobs,302)="","",INDEX(lst_Jobs,302)&amp;"")</f>
        <v/>
      </c>
      <c r="B315" s="10">
        <f>IF(A315="","",INDEX(lst_JobName,302)&amp;"")</f>
        <v/>
      </c>
      <c r="C315" s="11">
        <f>IF(A315="","",SUMIFS(tbl_WIP[Amount],tbl_WIP[Job Number],A315,tbl_WIP[Month],"&lt;"&amp;$C$4))</f>
        <v/>
      </c>
      <c r="D315" s="11">
        <f>IF(A315="","",SUMIFS(tbl_WIP[Amount],tbl_WIP[Job Number],A315,tbl_WIP[Month],$C$4))</f>
        <v/>
      </c>
      <c r="E315" s="11">
        <f>IF(A315="","",C315+D315)</f>
        <v/>
      </c>
      <c r="F315" s="10">
        <f>IF(A315="","",IF(AND(ROUND(C315,2)=0,ROUND(D315,2)=0),"","yes"))</f>
        <v/>
      </c>
      <c r="G315" s="39" t="n"/>
      <c r="H315" s="11">
        <f>IF(OR(A315="",G315=""),"",E315-G315)</f>
        <v/>
      </c>
    </row>
    <row r="316">
      <c r="A316" s="10">
        <f>IF(INDEX(lst_Jobs,303)="","",INDEX(lst_Jobs,303)&amp;"")</f>
        <v/>
      </c>
      <c r="B316" s="10">
        <f>IF(A316="","",INDEX(lst_JobName,303)&amp;"")</f>
        <v/>
      </c>
      <c r="C316" s="11">
        <f>IF(A316="","",SUMIFS(tbl_WIP[Amount],tbl_WIP[Job Number],A316,tbl_WIP[Month],"&lt;"&amp;$C$4))</f>
        <v/>
      </c>
      <c r="D316" s="11">
        <f>IF(A316="","",SUMIFS(tbl_WIP[Amount],tbl_WIP[Job Number],A316,tbl_WIP[Month],$C$4))</f>
        <v/>
      </c>
      <c r="E316" s="11">
        <f>IF(A316="","",C316+D316)</f>
        <v/>
      </c>
      <c r="F316" s="10">
        <f>IF(A316="","",IF(AND(ROUND(C316,2)=0,ROUND(D316,2)=0),"","yes"))</f>
        <v/>
      </c>
      <c r="G316" s="39" t="n"/>
      <c r="H316" s="11">
        <f>IF(OR(A316="",G316=""),"",E316-G316)</f>
        <v/>
      </c>
    </row>
    <row r="317">
      <c r="A317" s="10">
        <f>IF(INDEX(lst_Jobs,304)="","",INDEX(lst_Jobs,304)&amp;"")</f>
        <v/>
      </c>
      <c r="B317" s="10">
        <f>IF(A317="","",INDEX(lst_JobName,304)&amp;"")</f>
        <v/>
      </c>
      <c r="C317" s="11">
        <f>IF(A317="","",SUMIFS(tbl_WIP[Amount],tbl_WIP[Job Number],A317,tbl_WIP[Month],"&lt;"&amp;$C$4))</f>
        <v/>
      </c>
      <c r="D317" s="11">
        <f>IF(A317="","",SUMIFS(tbl_WIP[Amount],tbl_WIP[Job Number],A317,tbl_WIP[Month],$C$4))</f>
        <v/>
      </c>
      <c r="E317" s="11">
        <f>IF(A317="","",C317+D317)</f>
        <v/>
      </c>
      <c r="F317" s="10">
        <f>IF(A317="","",IF(AND(ROUND(C317,2)=0,ROUND(D317,2)=0),"","yes"))</f>
        <v/>
      </c>
      <c r="G317" s="39" t="n"/>
      <c r="H317" s="11">
        <f>IF(OR(A317="",G317=""),"",E317-G317)</f>
        <v/>
      </c>
    </row>
    <row r="318">
      <c r="A318" s="10">
        <f>IF(INDEX(lst_Jobs,305)="","",INDEX(lst_Jobs,305)&amp;"")</f>
        <v/>
      </c>
      <c r="B318" s="10">
        <f>IF(A318="","",INDEX(lst_JobName,305)&amp;"")</f>
        <v/>
      </c>
      <c r="C318" s="11">
        <f>IF(A318="","",SUMIFS(tbl_WIP[Amount],tbl_WIP[Job Number],A318,tbl_WIP[Month],"&lt;"&amp;$C$4))</f>
        <v/>
      </c>
      <c r="D318" s="11">
        <f>IF(A318="","",SUMIFS(tbl_WIP[Amount],tbl_WIP[Job Number],A318,tbl_WIP[Month],$C$4))</f>
        <v/>
      </c>
      <c r="E318" s="11">
        <f>IF(A318="","",C318+D318)</f>
        <v/>
      </c>
      <c r="F318" s="10">
        <f>IF(A318="","",IF(AND(ROUND(C318,2)=0,ROUND(D318,2)=0),"","yes"))</f>
        <v/>
      </c>
      <c r="G318" s="39" t="n"/>
      <c r="H318" s="11">
        <f>IF(OR(A318="",G318=""),"",E318-G318)</f>
        <v/>
      </c>
    </row>
    <row r="319">
      <c r="A319" s="10">
        <f>IF(INDEX(lst_Jobs,306)="","",INDEX(lst_Jobs,306)&amp;"")</f>
        <v/>
      </c>
      <c r="B319" s="10">
        <f>IF(A319="","",INDEX(lst_JobName,306)&amp;"")</f>
        <v/>
      </c>
      <c r="C319" s="11">
        <f>IF(A319="","",SUMIFS(tbl_WIP[Amount],tbl_WIP[Job Number],A319,tbl_WIP[Month],"&lt;"&amp;$C$4))</f>
        <v/>
      </c>
      <c r="D319" s="11">
        <f>IF(A319="","",SUMIFS(tbl_WIP[Amount],tbl_WIP[Job Number],A319,tbl_WIP[Month],$C$4))</f>
        <v/>
      </c>
      <c r="E319" s="11">
        <f>IF(A319="","",C319+D319)</f>
        <v/>
      </c>
      <c r="F319" s="10">
        <f>IF(A319="","",IF(AND(ROUND(C319,2)=0,ROUND(D319,2)=0),"","yes"))</f>
        <v/>
      </c>
      <c r="G319" s="39" t="n"/>
      <c r="H319" s="11">
        <f>IF(OR(A319="",G319=""),"",E319-G319)</f>
        <v/>
      </c>
    </row>
    <row r="320">
      <c r="A320" s="10">
        <f>IF(INDEX(lst_Jobs,307)="","",INDEX(lst_Jobs,307)&amp;"")</f>
        <v/>
      </c>
      <c r="B320" s="10">
        <f>IF(A320="","",INDEX(lst_JobName,307)&amp;"")</f>
        <v/>
      </c>
      <c r="C320" s="11">
        <f>IF(A320="","",SUMIFS(tbl_WIP[Amount],tbl_WIP[Job Number],A320,tbl_WIP[Month],"&lt;"&amp;$C$4))</f>
        <v/>
      </c>
      <c r="D320" s="11">
        <f>IF(A320="","",SUMIFS(tbl_WIP[Amount],tbl_WIP[Job Number],A320,tbl_WIP[Month],$C$4))</f>
        <v/>
      </c>
      <c r="E320" s="11">
        <f>IF(A320="","",C320+D320)</f>
        <v/>
      </c>
      <c r="F320" s="10">
        <f>IF(A320="","",IF(AND(ROUND(C320,2)=0,ROUND(D320,2)=0),"","yes"))</f>
        <v/>
      </c>
      <c r="G320" s="39" t="n"/>
      <c r="H320" s="11">
        <f>IF(OR(A320="",G320=""),"",E320-G320)</f>
        <v/>
      </c>
    </row>
    <row r="321">
      <c r="A321" s="10">
        <f>IF(INDEX(lst_Jobs,308)="","",INDEX(lst_Jobs,308)&amp;"")</f>
        <v/>
      </c>
      <c r="B321" s="10">
        <f>IF(A321="","",INDEX(lst_JobName,308)&amp;"")</f>
        <v/>
      </c>
      <c r="C321" s="11">
        <f>IF(A321="","",SUMIFS(tbl_WIP[Amount],tbl_WIP[Job Number],A321,tbl_WIP[Month],"&lt;"&amp;$C$4))</f>
        <v/>
      </c>
      <c r="D321" s="11">
        <f>IF(A321="","",SUMIFS(tbl_WIP[Amount],tbl_WIP[Job Number],A321,tbl_WIP[Month],$C$4))</f>
        <v/>
      </c>
      <c r="E321" s="11">
        <f>IF(A321="","",C321+D321)</f>
        <v/>
      </c>
      <c r="F321" s="10">
        <f>IF(A321="","",IF(AND(ROUND(C321,2)=0,ROUND(D321,2)=0),"","yes"))</f>
        <v/>
      </c>
      <c r="G321" s="39" t="n"/>
      <c r="H321" s="11">
        <f>IF(OR(A321="",G321=""),"",E321-G321)</f>
        <v/>
      </c>
    </row>
    <row r="322">
      <c r="A322" s="10">
        <f>IF(INDEX(lst_Jobs,309)="","",INDEX(lst_Jobs,309)&amp;"")</f>
        <v/>
      </c>
      <c r="B322" s="10">
        <f>IF(A322="","",INDEX(lst_JobName,309)&amp;"")</f>
        <v/>
      </c>
      <c r="C322" s="11">
        <f>IF(A322="","",SUMIFS(tbl_WIP[Amount],tbl_WIP[Job Number],A322,tbl_WIP[Month],"&lt;"&amp;$C$4))</f>
        <v/>
      </c>
      <c r="D322" s="11">
        <f>IF(A322="","",SUMIFS(tbl_WIP[Amount],tbl_WIP[Job Number],A322,tbl_WIP[Month],$C$4))</f>
        <v/>
      </c>
      <c r="E322" s="11">
        <f>IF(A322="","",C322+D322)</f>
        <v/>
      </c>
      <c r="F322" s="10">
        <f>IF(A322="","",IF(AND(ROUND(C322,2)=0,ROUND(D322,2)=0),"","yes"))</f>
        <v/>
      </c>
      <c r="G322" s="39" t="n"/>
      <c r="H322" s="11">
        <f>IF(OR(A322="",G322=""),"",E322-G322)</f>
        <v/>
      </c>
    </row>
    <row r="323">
      <c r="A323" s="10">
        <f>IF(INDEX(lst_Jobs,310)="","",INDEX(lst_Jobs,310)&amp;"")</f>
        <v/>
      </c>
      <c r="B323" s="10">
        <f>IF(A323="","",INDEX(lst_JobName,310)&amp;"")</f>
        <v/>
      </c>
      <c r="C323" s="11">
        <f>IF(A323="","",SUMIFS(tbl_WIP[Amount],tbl_WIP[Job Number],A323,tbl_WIP[Month],"&lt;"&amp;$C$4))</f>
        <v/>
      </c>
      <c r="D323" s="11">
        <f>IF(A323="","",SUMIFS(tbl_WIP[Amount],tbl_WIP[Job Number],A323,tbl_WIP[Month],$C$4))</f>
        <v/>
      </c>
      <c r="E323" s="11">
        <f>IF(A323="","",C323+D323)</f>
        <v/>
      </c>
      <c r="F323" s="10">
        <f>IF(A323="","",IF(AND(ROUND(C323,2)=0,ROUND(D323,2)=0),"","yes"))</f>
        <v/>
      </c>
      <c r="G323" s="39" t="n"/>
      <c r="H323" s="11">
        <f>IF(OR(A323="",G323=""),"",E323-G323)</f>
        <v/>
      </c>
    </row>
    <row r="324">
      <c r="A324" s="10">
        <f>IF(INDEX(lst_Jobs,311)="","",INDEX(lst_Jobs,311)&amp;"")</f>
        <v/>
      </c>
      <c r="B324" s="10">
        <f>IF(A324="","",INDEX(lst_JobName,311)&amp;"")</f>
        <v/>
      </c>
      <c r="C324" s="11">
        <f>IF(A324="","",SUMIFS(tbl_WIP[Amount],tbl_WIP[Job Number],A324,tbl_WIP[Month],"&lt;"&amp;$C$4))</f>
        <v/>
      </c>
      <c r="D324" s="11">
        <f>IF(A324="","",SUMIFS(tbl_WIP[Amount],tbl_WIP[Job Number],A324,tbl_WIP[Month],$C$4))</f>
        <v/>
      </c>
      <c r="E324" s="11">
        <f>IF(A324="","",C324+D324)</f>
        <v/>
      </c>
      <c r="F324" s="10">
        <f>IF(A324="","",IF(AND(ROUND(C324,2)=0,ROUND(D324,2)=0),"","yes"))</f>
        <v/>
      </c>
      <c r="G324" s="39" t="n"/>
      <c r="H324" s="11">
        <f>IF(OR(A324="",G324=""),"",E324-G324)</f>
        <v/>
      </c>
    </row>
    <row r="325">
      <c r="A325" s="10">
        <f>IF(INDEX(lst_Jobs,312)="","",INDEX(lst_Jobs,312)&amp;"")</f>
        <v/>
      </c>
      <c r="B325" s="10">
        <f>IF(A325="","",INDEX(lst_JobName,312)&amp;"")</f>
        <v/>
      </c>
      <c r="C325" s="11">
        <f>IF(A325="","",SUMIFS(tbl_WIP[Amount],tbl_WIP[Job Number],A325,tbl_WIP[Month],"&lt;"&amp;$C$4))</f>
        <v/>
      </c>
      <c r="D325" s="11">
        <f>IF(A325="","",SUMIFS(tbl_WIP[Amount],tbl_WIP[Job Number],A325,tbl_WIP[Month],$C$4))</f>
        <v/>
      </c>
      <c r="E325" s="11">
        <f>IF(A325="","",C325+D325)</f>
        <v/>
      </c>
      <c r="F325" s="10">
        <f>IF(A325="","",IF(AND(ROUND(C325,2)=0,ROUND(D325,2)=0),"","yes"))</f>
        <v/>
      </c>
      <c r="G325" s="39" t="n"/>
      <c r="H325" s="11">
        <f>IF(OR(A325="",G325=""),"",E325-G325)</f>
        <v/>
      </c>
    </row>
    <row r="326">
      <c r="A326" s="10">
        <f>IF(INDEX(lst_Jobs,313)="","",INDEX(lst_Jobs,313)&amp;"")</f>
        <v/>
      </c>
      <c r="B326" s="10">
        <f>IF(A326="","",INDEX(lst_JobName,313)&amp;"")</f>
        <v/>
      </c>
      <c r="C326" s="11">
        <f>IF(A326="","",SUMIFS(tbl_WIP[Amount],tbl_WIP[Job Number],A326,tbl_WIP[Month],"&lt;"&amp;$C$4))</f>
        <v/>
      </c>
      <c r="D326" s="11">
        <f>IF(A326="","",SUMIFS(tbl_WIP[Amount],tbl_WIP[Job Number],A326,tbl_WIP[Month],$C$4))</f>
        <v/>
      </c>
      <c r="E326" s="11">
        <f>IF(A326="","",C326+D326)</f>
        <v/>
      </c>
      <c r="F326" s="10">
        <f>IF(A326="","",IF(AND(ROUND(C326,2)=0,ROUND(D326,2)=0),"","yes"))</f>
        <v/>
      </c>
      <c r="G326" s="39" t="n"/>
      <c r="H326" s="11">
        <f>IF(OR(A326="",G326=""),"",E326-G326)</f>
        <v/>
      </c>
    </row>
    <row r="327">
      <c r="A327" s="10">
        <f>IF(INDEX(lst_Jobs,314)="","",INDEX(lst_Jobs,314)&amp;"")</f>
        <v/>
      </c>
      <c r="B327" s="10">
        <f>IF(A327="","",INDEX(lst_JobName,314)&amp;"")</f>
        <v/>
      </c>
      <c r="C327" s="11">
        <f>IF(A327="","",SUMIFS(tbl_WIP[Amount],tbl_WIP[Job Number],A327,tbl_WIP[Month],"&lt;"&amp;$C$4))</f>
        <v/>
      </c>
      <c r="D327" s="11">
        <f>IF(A327="","",SUMIFS(tbl_WIP[Amount],tbl_WIP[Job Number],A327,tbl_WIP[Month],$C$4))</f>
        <v/>
      </c>
      <c r="E327" s="11">
        <f>IF(A327="","",C327+D327)</f>
        <v/>
      </c>
      <c r="F327" s="10">
        <f>IF(A327="","",IF(AND(ROUND(C327,2)=0,ROUND(D327,2)=0),"","yes"))</f>
        <v/>
      </c>
      <c r="G327" s="39" t="n"/>
      <c r="H327" s="11">
        <f>IF(OR(A327="",G327=""),"",E327-G327)</f>
        <v/>
      </c>
    </row>
    <row r="328">
      <c r="A328" s="10">
        <f>IF(INDEX(lst_Jobs,315)="","",INDEX(lst_Jobs,315)&amp;"")</f>
        <v/>
      </c>
      <c r="B328" s="10">
        <f>IF(A328="","",INDEX(lst_JobName,315)&amp;"")</f>
        <v/>
      </c>
      <c r="C328" s="11">
        <f>IF(A328="","",SUMIFS(tbl_WIP[Amount],tbl_WIP[Job Number],A328,tbl_WIP[Month],"&lt;"&amp;$C$4))</f>
        <v/>
      </c>
      <c r="D328" s="11">
        <f>IF(A328="","",SUMIFS(tbl_WIP[Amount],tbl_WIP[Job Number],A328,tbl_WIP[Month],$C$4))</f>
        <v/>
      </c>
      <c r="E328" s="11">
        <f>IF(A328="","",C328+D328)</f>
        <v/>
      </c>
      <c r="F328" s="10">
        <f>IF(A328="","",IF(AND(ROUND(C328,2)=0,ROUND(D328,2)=0),"","yes"))</f>
        <v/>
      </c>
      <c r="G328" s="39" t="n"/>
      <c r="H328" s="11">
        <f>IF(OR(A328="",G328=""),"",E328-G328)</f>
        <v/>
      </c>
    </row>
    <row r="329">
      <c r="A329" s="10">
        <f>IF(INDEX(lst_Jobs,316)="","",INDEX(lst_Jobs,316)&amp;"")</f>
        <v/>
      </c>
      <c r="B329" s="10">
        <f>IF(A329="","",INDEX(lst_JobName,316)&amp;"")</f>
        <v/>
      </c>
      <c r="C329" s="11">
        <f>IF(A329="","",SUMIFS(tbl_WIP[Amount],tbl_WIP[Job Number],A329,tbl_WIP[Month],"&lt;"&amp;$C$4))</f>
        <v/>
      </c>
      <c r="D329" s="11">
        <f>IF(A329="","",SUMIFS(tbl_WIP[Amount],tbl_WIP[Job Number],A329,tbl_WIP[Month],$C$4))</f>
        <v/>
      </c>
      <c r="E329" s="11">
        <f>IF(A329="","",C329+D329)</f>
        <v/>
      </c>
      <c r="F329" s="10">
        <f>IF(A329="","",IF(AND(ROUND(C329,2)=0,ROUND(D329,2)=0),"","yes"))</f>
        <v/>
      </c>
      <c r="G329" s="39" t="n"/>
      <c r="H329" s="11">
        <f>IF(OR(A329="",G329=""),"",E329-G329)</f>
        <v/>
      </c>
    </row>
    <row r="330">
      <c r="A330" s="10">
        <f>IF(INDEX(lst_Jobs,317)="","",INDEX(lst_Jobs,317)&amp;"")</f>
        <v/>
      </c>
      <c r="B330" s="10">
        <f>IF(A330="","",INDEX(lst_JobName,317)&amp;"")</f>
        <v/>
      </c>
      <c r="C330" s="11">
        <f>IF(A330="","",SUMIFS(tbl_WIP[Amount],tbl_WIP[Job Number],A330,tbl_WIP[Month],"&lt;"&amp;$C$4))</f>
        <v/>
      </c>
      <c r="D330" s="11">
        <f>IF(A330="","",SUMIFS(tbl_WIP[Amount],tbl_WIP[Job Number],A330,tbl_WIP[Month],$C$4))</f>
        <v/>
      </c>
      <c r="E330" s="11">
        <f>IF(A330="","",C330+D330)</f>
        <v/>
      </c>
      <c r="F330" s="10">
        <f>IF(A330="","",IF(AND(ROUND(C330,2)=0,ROUND(D330,2)=0),"","yes"))</f>
        <v/>
      </c>
      <c r="G330" s="39" t="n"/>
      <c r="H330" s="11">
        <f>IF(OR(A330="",G330=""),"",E330-G330)</f>
        <v/>
      </c>
    </row>
    <row r="331">
      <c r="A331" s="10">
        <f>IF(INDEX(lst_Jobs,318)="","",INDEX(lst_Jobs,318)&amp;"")</f>
        <v/>
      </c>
      <c r="B331" s="10">
        <f>IF(A331="","",INDEX(lst_JobName,318)&amp;"")</f>
        <v/>
      </c>
      <c r="C331" s="11">
        <f>IF(A331="","",SUMIFS(tbl_WIP[Amount],tbl_WIP[Job Number],A331,tbl_WIP[Month],"&lt;"&amp;$C$4))</f>
        <v/>
      </c>
      <c r="D331" s="11">
        <f>IF(A331="","",SUMIFS(tbl_WIP[Amount],tbl_WIP[Job Number],A331,tbl_WIP[Month],$C$4))</f>
        <v/>
      </c>
      <c r="E331" s="11">
        <f>IF(A331="","",C331+D331)</f>
        <v/>
      </c>
      <c r="F331" s="10">
        <f>IF(A331="","",IF(AND(ROUND(C331,2)=0,ROUND(D331,2)=0),"","yes"))</f>
        <v/>
      </c>
      <c r="G331" s="39" t="n"/>
      <c r="H331" s="11">
        <f>IF(OR(A331="",G331=""),"",E331-G331)</f>
        <v/>
      </c>
    </row>
    <row r="332">
      <c r="A332" s="10">
        <f>IF(INDEX(lst_Jobs,319)="","",INDEX(lst_Jobs,319)&amp;"")</f>
        <v/>
      </c>
      <c r="B332" s="10">
        <f>IF(A332="","",INDEX(lst_JobName,319)&amp;"")</f>
        <v/>
      </c>
      <c r="C332" s="11">
        <f>IF(A332="","",SUMIFS(tbl_WIP[Amount],tbl_WIP[Job Number],A332,tbl_WIP[Month],"&lt;"&amp;$C$4))</f>
        <v/>
      </c>
      <c r="D332" s="11">
        <f>IF(A332="","",SUMIFS(tbl_WIP[Amount],tbl_WIP[Job Number],A332,tbl_WIP[Month],$C$4))</f>
        <v/>
      </c>
      <c r="E332" s="11">
        <f>IF(A332="","",C332+D332)</f>
        <v/>
      </c>
      <c r="F332" s="10">
        <f>IF(A332="","",IF(AND(ROUND(C332,2)=0,ROUND(D332,2)=0),"","yes"))</f>
        <v/>
      </c>
      <c r="G332" s="39" t="n"/>
      <c r="H332" s="11">
        <f>IF(OR(A332="",G332=""),"",E332-G332)</f>
        <v/>
      </c>
    </row>
    <row r="333">
      <c r="A333" s="10">
        <f>IF(INDEX(lst_Jobs,320)="","",INDEX(lst_Jobs,320)&amp;"")</f>
        <v/>
      </c>
      <c r="B333" s="10">
        <f>IF(A333="","",INDEX(lst_JobName,320)&amp;"")</f>
        <v/>
      </c>
      <c r="C333" s="11">
        <f>IF(A333="","",SUMIFS(tbl_WIP[Amount],tbl_WIP[Job Number],A333,tbl_WIP[Month],"&lt;"&amp;$C$4))</f>
        <v/>
      </c>
      <c r="D333" s="11">
        <f>IF(A333="","",SUMIFS(tbl_WIP[Amount],tbl_WIP[Job Number],A333,tbl_WIP[Month],$C$4))</f>
        <v/>
      </c>
      <c r="E333" s="11">
        <f>IF(A333="","",C333+D333)</f>
        <v/>
      </c>
      <c r="F333" s="10">
        <f>IF(A333="","",IF(AND(ROUND(C333,2)=0,ROUND(D333,2)=0),"","yes"))</f>
        <v/>
      </c>
      <c r="G333" s="39" t="n"/>
      <c r="H333" s="11">
        <f>IF(OR(A333="",G333=""),"",E333-G333)</f>
        <v/>
      </c>
    </row>
    <row r="334">
      <c r="A334" s="10">
        <f>IF(INDEX(lst_Jobs,321)="","",INDEX(lst_Jobs,321)&amp;"")</f>
        <v/>
      </c>
      <c r="B334" s="10">
        <f>IF(A334="","",INDEX(lst_JobName,321)&amp;"")</f>
        <v/>
      </c>
      <c r="C334" s="11">
        <f>IF(A334="","",SUMIFS(tbl_WIP[Amount],tbl_WIP[Job Number],A334,tbl_WIP[Month],"&lt;"&amp;$C$4))</f>
        <v/>
      </c>
      <c r="D334" s="11">
        <f>IF(A334="","",SUMIFS(tbl_WIP[Amount],tbl_WIP[Job Number],A334,tbl_WIP[Month],$C$4))</f>
        <v/>
      </c>
      <c r="E334" s="11">
        <f>IF(A334="","",C334+D334)</f>
        <v/>
      </c>
      <c r="F334" s="10">
        <f>IF(A334="","",IF(AND(ROUND(C334,2)=0,ROUND(D334,2)=0),"","yes"))</f>
        <v/>
      </c>
      <c r="G334" s="39" t="n"/>
      <c r="H334" s="11">
        <f>IF(OR(A334="",G334=""),"",E334-G334)</f>
        <v/>
      </c>
    </row>
    <row r="335">
      <c r="A335" s="10">
        <f>IF(INDEX(lst_Jobs,322)="","",INDEX(lst_Jobs,322)&amp;"")</f>
        <v/>
      </c>
      <c r="B335" s="10">
        <f>IF(A335="","",INDEX(lst_JobName,322)&amp;"")</f>
        <v/>
      </c>
      <c r="C335" s="11">
        <f>IF(A335="","",SUMIFS(tbl_WIP[Amount],tbl_WIP[Job Number],A335,tbl_WIP[Month],"&lt;"&amp;$C$4))</f>
        <v/>
      </c>
      <c r="D335" s="11">
        <f>IF(A335="","",SUMIFS(tbl_WIP[Amount],tbl_WIP[Job Number],A335,tbl_WIP[Month],$C$4))</f>
        <v/>
      </c>
      <c r="E335" s="11">
        <f>IF(A335="","",C335+D335)</f>
        <v/>
      </c>
      <c r="F335" s="10">
        <f>IF(A335="","",IF(AND(ROUND(C335,2)=0,ROUND(D335,2)=0),"","yes"))</f>
        <v/>
      </c>
      <c r="G335" s="39" t="n"/>
      <c r="H335" s="11">
        <f>IF(OR(A335="",G335=""),"",E335-G335)</f>
        <v/>
      </c>
    </row>
    <row r="336">
      <c r="A336" s="10">
        <f>IF(INDEX(lst_Jobs,323)="","",INDEX(lst_Jobs,323)&amp;"")</f>
        <v/>
      </c>
      <c r="B336" s="10">
        <f>IF(A336="","",INDEX(lst_JobName,323)&amp;"")</f>
        <v/>
      </c>
      <c r="C336" s="11">
        <f>IF(A336="","",SUMIFS(tbl_WIP[Amount],tbl_WIP[Job Number],A336,tbl_WIP[Month],"&lt;"&amp;$C$4))</f>
        <v/>
      </c>
      <c r="D336" s="11">
        <f>IF(A336="","",SUMIFS(tbl_WIP[Amount],tbl_WIP[Job Number],A336,tbl_WIP[Month],$C$4))</f>
        <v/>
      </c>
      <c r="E336" s="11">
        <f>IF(A336="","",C336+D336)</f>
        <v/>
      </c>
      <c r="F336" s="10">
        <f>IF(A336="","",IF(AND(ROUND(C336,2)=0,ROUND(D336,2)=0),"","yes"))</f>
        <v/>
      </c>
      <c r="G336" s="39" t="n"/>
      <c r="H336" s="11">
        <f>IF(OR(A336="",G336=""),"",E336-G336)</f>
        <v/>
      </c>
    </row>
    <row r="337">
      <c r="A337" s="10">
        <f>IF(INDEX(lst_Jobs,324)="","",INDEX(lst_Jobs,324)&amp;"")</f>
        <v/>
      </c>
      <c r="B337" s="10">
        <f>IF(A337="","",INDEX(lst_JobName,324)&amp;"")</f>
        <v/>
      </c>
      <c r="C337" s="11">
        <f>IF(A337="","",SUMIFS(tbl_WIP[Amount],tbl_WIP[Job Number],A337,tbl_WIP[Month],"&lt;"&amp;$C$4))</f>
        <v/>
      </c>
      <c r="D337" s="11">
        <f>IF(A337="","",SUMIFS(tbl_WIP[Amount],tbl_WIP[Job Number],A337,tbl_WIP[Month],$C$4))</f>
        <v/>
      </c>
      <c r="E337" s="11">
        <f>IF(A337="","",C337+D337)</f>
        <v/>
      </c>
      <c r="F337" s="10">
        <f>IF(A337="","",IF(AND(ROUND(C337,2)=0,ROUND(D337,2)=0),"","yes"))</f>
        <v/>
      </c>
      <c r="G337" s="39" t="n"/>
      <c r="H337" s="11">
        <f>IF(OR(A337="",G337=""),"",E337-G337)</f>
        <v/>
      </c>
    </row>
    <row r="338">
      <c r="A338" s="10">
        <f>IF(INDEX(lst_Jobs,325)="","",INDEX(lst_Jobs,325)&amp;"")</f>
        <v/>
      </c>
      <c r="B338" s="10">
        <f>IF(A338="","",INDEX(lst_JobName,325)&amp;"")</f>
        <v/>
      </c>
      <c r="C338" s="11">
        <f>IF(A338="","",SUMIFS(tbl_WIP[Amount],tbl_WIP[Job Number],A338,tbl_WIP[Month],"&lt;"&amp;$C$4))</f>
        <v/>
      </c>
      <c r="D338" s="11">
        <f>IF(A338="","",SUMIFS(tbl_WIP[Amount],tbl_WIP[Job Number],A338,tbl_WIP[Month],$C$4))</f>
        <v/>
      </c>
      <c r="E338" s="11">
        <f>IF(A338="","",C338+D338)</f>
        <v/>
      </c>
      <c r="F338" s="10">
        <f>IF(A338="","",IF(AND(ROUND(C338,2)=0,ROUND(D338,2)=0),"","yes"))</f>
        <v/>
      </c>
      <c r="G338" s="39" t="n"/>
      <c r="H338" s="11">
        <f>IF(OR(A338="",G338=""),"",E338-G338)</f>
        <v/>
      </c>
    </row>
    <row r="339">
      <c r="A339" s="10">
        <f>IF(INDEX(lst_Jobs,326)="","",INDEX(lst_Jobs,326)&amp;"")</f>
        <v/>
      </c>
      <c r="B339" s="10">
        <f>IF(A339="","",INDEX(lst_JobName,326)&amp;"")</f>
        <v/>
      </c>
      <c r="C339" s="11">
        <f>IF(A339="","",SUMIFS(tbl_WIP[Amount],tbl_WIP[Job Number],A339,tbl_WIP[Month],"&lt;"&amp;$C$4))</f>
        <v/>
      </c>
      <c r="D339" s="11">
        <f>IF(A339="","",SUMIFS(tbl_WIP[Amount],tbl_WIP[Job Number],A339,tbl_WIP[Month],$C$4))</f>
        <v/>
      </c>
      <c r="E339" s="11">
        <f>IF(A339="","",C339+D339)</f>
        <v/>
      </c>
      <c r="F339" s="10">
        <f>IF(A339="","",IF(AND(ROUND(C339,2)=0,ROUND(D339,2)=0),"","yes"))</f>
        <v/>
      </c>
      <c r="G339" s="39" t="n"/>
      <c r="H339" s="11">
        <f>IF(OR(A339="",G339=""),"",E339-G339)</f>
        <v/>
      </c>
    </row>
    <row r="340">
      <c r="A340" s="10">
        <f>IF(INDEX(lst_Jobs,327)="","",INDEX(lst_Jobs,327)&amp;"")</f>
        <v/>
      </c>
      <c r="B340" s="10">
        <f>IF(A340="","",INDEX(lst_JobName,327)&amp;"")</f>
        <v/>
      </c>
      <c r="C340" s="11">
        <f>IF(A340="","",SUMIFS(tbl_WIP[Amount],tbl_WIP[Job Number],A340,tbl_WIP[Month],"&lt;"&amp;$C$4))</f>
        <v/>
      </c>
      <c r="D340" s="11">
        <f>IF(A340="","",SUMIFS(tbl_WIP[Amount],tbl_WIP[Job Number],A340,tbl_WIP[Month],$C$4))</f>
        <v/>
      </c>
      <c r="E340" s="11">
        <f>IF(A340="","",C340+D340)</f>
        <v/>
      </c>
      <c r="F340" s="10">
        <f>IF(A340="","",IF(AND(ROUND(C340,2)=0,ROUND(D340,2)=0),"","yes"))</f>
        <v/>
      </c>
      <c r="G340" s="39" t="n"/>
      <c r="H340" s="11">
        <f>IF(OR(A340="",G340=""),"",E340-G340)</f>
        <v/>
      </c>
    </row>
    <row r="341">
      <c r="A341" s="10">
        <f>IF(INDEX(lst_Jobs,328)="","",INDEX(lst_Jobs,328)&amp;"")</f>
        <v/>
      </c>
      <c r="B341" s="10">
        <f>IF(A341="","",INDEX(lst_JobName,328)&amp;"")</f>
        <v/>
      </c>
      <c r="C341" s="11">
        <f>IF(A341="","",SUMIFS(tbl_WIP[Amount],tbl_WIP[Job Number],A341,tbl_WIP[Month],"&lt;"&amp;$C$4))</f>
        <v/>
      </c>
      <c r="D341" s="11">
        <f>IF(A341="","",SUMIFS(tbl_WIP[Amount],tbl_WIP[Job Number],A341,tbl_WIP[Month],$C$4))</f>
        <v/>
      </c>
      <c r="E341" s="11">
        <f>IF(A341="","",C341+D341)</f>
        <v/>
      </c>
      <c r="F341" s="10">
        <f>IF(A341="","",IF(AND(ROUND(C341,2)=0,ROUND(D341,2)=0),"","yes"))</f>
        <v/>
      </c>
      <c r="G341" s="39" t="n"/>
      <c r="H341" s="11">
        <f>IF(OR(A341="",G341=""),"",E341-G341)</f>
        <v/>
      </c>
    </row>
    <row r="342">
      <c r="A342" s="10">
        <f>IF(INDEX(lst_Jobs,329)="","",INDEX(lst_Jobs,329)&amp;"")</f>
        <v/>
      </c>
      <c r="B342" s="10">
        <f>IF(A342="","",INDEX(lst_JobName,329)&amp;"")</f>
        <v/>
      </c>
      <c r="C342" s="11">
        <f>IF(A342="","",SUMIFS(tbl_WIP[Amount],tbl_WIP[Job Number],A342,tbl_WIP[Month],"&lt;"&amp;$C$4))</f>
        <v/>
      </c>
      <c r="D342" s="11">
        <f>IF(A342="","",SUMIFS(tbl_WIP[Amount],tbl_WIP[Job Number],A342,tbl_WIP[Month],$C$4))</f>
        <v/>
      </c>
      <c r="E342" s="11">
        <f>IF(A342="","",C342+D342)</f>
        <v/>
      </c>
      <c r="F342" s="10">
        <f>IF(A342="","",IF(AND(ROUND(C342,2)=0,ROUND(D342,2)=0),"","yes"))</f>
        <v/>
      </c>
      <c r="G342" s="39" t="n"/>
      <c r="H342" s="11">
        <f>IF(OR(A342="",G342=""),"",E342-G342)</f>
        <v/>
      </c>
    </row>
    <row r="343">
      <c r="A343" s="10">
        <f>IF(INDEX(lst_Jobs,330)="","",INDEX(lst_Jobs,330)&amp;"")</f>
        <v/>
      </c>
      <c r="B343" s="10">
        <f>IF(A343="","",INDEX(lst_JobName,330)&amp;"")</f>
        <v/>
      </c>
      <c r="C343" s="11">
        <f>IF(A343="","",SUMIFS(tbl_WIP[Amount],tbl_WIP[Job Number],A343,tbl_WIP[Month],"&lt;"&amp;$C$4))</f>
        <v/>
      </c>
      <c r="D343" s="11">
        <f>IF(A343="","",SUMIFS(tbl_WIP[Amount],tbl_WIP[Job Number],A343,tbl_WIP[Month],$C$4))</f>
        <v/>
      </c>
      <c r="E343" s="11">
        <f>IF(A343="","",C343+D343)</f>
        <v/>
      </c>
      <c r="F343" s="10">
        <f>IF(A343="","",IF(AND(ROUND(C343,2)=0,ROUND(D343,2)=0),"","yes"))</f>
        <v/>
      </c>
      <c r="G343" s="39" t="n"/>
      <c r="H343" s="11">
        <f>IF(OR(A343="",G343=""),"",E343-G343)</f>
        <v/>
      </c>
    </row>
    <row r="344">
      <c r="A344" s="10">
        <f>IF(INDEX(lst_Jobs,331)="","",INDEX(lst_Jobs,331)&amp;"")</f>
        <v/>
      </c>
      <c r="B344" s="10">
        <f>IF(A344="","",INDEX(lst_JobName,331)&amp;"")</f>
        <v/>
      </c>
      <c r="C344" s="11">
        <f>IF(A344="","",SUMIFS(tbl_WIP[Amount],tbl_WIP[Job Number],A344,tbl_WIP[Month],"&lt;"&amp;$C$4))</f>
        <v/>
      </c>
      <c r="D344" s="11">
        <f>IF(A344="","",SUMIFS(tbl_WIP[Amount],tbl_WIP[Job Number],A344,tbl_WIP[Month],$C$4))</f>
        <v/>
      </c>
      <c r="E344" s="11">
        <f>IF(A344="","",C344+D344)</f>
        <v/>
      </c>
      <c r="F344" s="10">
        <f>IF(A344="","",IF(AND(ROUND(C344,2)=0,ROUND(D344,2)=0),"","yes"))</f>
        <v/>
      </c>
      <c r="G344" s="39" t="n"/>
      <c r="H344" s="11">
        <f>IF(OR(A344="",G344=""),"",E344-G344)</f>
        <v/>
      </c>
    </row>
    <row r="345">
      <c r="A345" s="10">
        <f>IF(INDEX(lst_Jobs,332)="","",INDEX(lst_Jobs,332)&amp;"")</f>
        <v/>
      </c>
      <c r="B345" s="10">
        <f>IF(A345="","",INDEX(lst_JobName,332)&amp;"")</f>
        <v/>
      </c>
      <c r="C345" s="11">
        <f>IF(A345="","",SUMIFS(tbl_WIP[Amount],tbl_WIP[Job Number],A345,tbl_WIP[Month],"&lt;"&amp;$C$4))</f>
        <v/>
      </c>
      <c r="D345" s="11">
        <f>IF(A345="","",SUMIFS(tbl_WIP[Amount],tbl_WIP[Job Number],A345,tbl_WIP[Month],$C$4))</f>
        <v/>
      </c>
      <c r="E345" s="11">
        <f>IF(A345="","",C345+D345)</f>
        <v/>
      </c>
      <c r="F345" s="10">
        <f>IF(A345="","",IF(AND(ROUND(C345,2)=0,ROUND(D345,2)=0),"","yes"))</f>
        <v/>
      </c>
      <c r="G345" s="39" t="n"/>
      <c r="H345" s="11">
        <f>IF(OR(A345="",G345=""),"",E345-G345)</f>
        <v/>
      </c>
    </row>
    <row r="346">
      <c r="A346" s="10">
        <f>IF(INDEX(lst_Jobs,333)="","",INDEX(lst_Jobs,333)&amp;"")</f>
        <v/>
      </c>
      <c r="B346" s="10">
        <f>IF(A346="","",INDEX(lst_JobName,333)&amp;"")</f>
        <v/>
      </c>
      <c r="C346" s="11">
        <f>IF(A346="","",SUMIFS(tbl_WIP[Amount],tbl_WIP[Job Number],A346,tbl_WIP[Month],"&lt;"&amp;$C$4))</f>
        <v/>
      </c>
      <c r="D346" s="11">
        <f>IF(A346="","",SUMIFS(tbl_WIP[Amount],tbl_WIP[Job Number],A346,tbl_WIP[Month],$C$4))</f>
        <v/>
      </c>
      <c r="E346" s="11">
        <f>IF(A346="","",C346+D346)</f>
        <v/>
      </c>
      <c r="F346" s="10">
        <f>IF(A346="","",IF(AND(ROUND(C346,2)=0,ROUND(D346,2)=0),"","yes"))</f>
        <v/>
      </c>
      <c r="G346" s="39" t="n"/>
      <c r="H346" s="11">
        <f>IF(OR(A346="",G346=""),"",E346-G346)</f>
        <v/>
      </c>
    </row>
    <row r="347">
      <c r="A347" s="10">
        <f>IF(INDEX(lst_Jobs,334)="","",INDEX(lst_Jobs,334)&amp;"")</f>
        <v/>
      </c>
      <c r="B347" s="10">
        <f>IF(A347="","",INDEX(lst_JobName,334)&amp;"")</f>
        <v/>
      </c>
      <c r="C347" s="11">
        <f>IF(A347="","",SUMIFS(tbl_WIP[Amount],tbl_WIP[Job Number],A347,tbl_WIP[Month],"&lt;"&amp;$C$4))</f>
        <v/>
      </c>
      <c r="D347" s="11">
        <f>IF(A347="","",SUMIFS(tbl_WIP[Amount],tbl_WIP[Job Number],A347,tbl_WIP[Month],$C$4))</f>
        <v/>
      </c>
      <c r="E347" s="11">
        <f>IF(A347="","",C347+D347)</f>
        <v/>
      </c>
      <c r="F347" s="10">
        <f>IF(A347="","",IF(AND(ROUND(C347,2)=0,ROUND(D347,2)=0),"","yes"))</f>
        <v/>
      </c>
      <c r="G347" s="39" t="n"/>
      <c r="H347" s="11">
        <f>IF(OR(A347="",G347=""),"",E347-G347)</f>
        <v/>
      </c>
    </row>
    <row r="348">
      <c r="A348" s="10">
        <f>IF(INDEX(lst_Jobs,335)="","",INDEX(lst_Jobs,335)&amp;"")</f>
        <v/>
      </c>
      <c r="B348" s="10">
        <f>IF(A348="","",INDEX(lst_JobName,335)&amp;"")</f>
        <v/>
      </c>
      <c r="C348" s="11">
        <f>IF(A348="","",SUMIFS(tbl_WIP[Amount],tbl_WIP[Job Number],A348,tbl_WIP[Month],"&lt;"&amp;$C$4))</f>
        <v/>
      </c>
      <c r="D348" s="11">
        <f>IF(A348="","",SUMIFS(tbl_WIP[Amount],tbl_WIP[Job Number],A348,tbl_WIP[Month],$C$4))</f>
        <v/>
      </c>
      <c r="E348" s="11">
        <f>IF(A348="","",C348+D348)</f>
        <v/>
      </c>
      <c r="F348" s="10">
        <f>IF(A348="","",IF(AND(ROUND(C348,2)=0,ROUND(D348,2)=0),"","yes"))</f>
        <v/>
      </c>
      <c r="G348" s="39" t="n"/>
      <c r="H348" s="11">
        <f>IF(OR(A348="",G348=""),"",E348-G348)</f>
        <v/>
      </c>
    </row>
    <row r="349">
      <c r="A349" s="10">
        <f>IF(INDEX(lst_Jobs,336)="","",INDEX(lst_Jobs,336)&amp;"")</f>
        <v/>
      </c>
      <c r="B349" s="10">
        <f>IF(A349="","",INDEX(lst_JobName,336)&amp;"")</f>
        <v/>
      </c>
      <c r="C349" s="11">
        <f>IF(A349="","",SUMIFS(tbl_WIP[Amount],tbl_WIP[Job Number],A349,tbl_WIP[Month],"&lt;"&amp;$C$4))</f>
        <v/>
      </c>
      <c r="D349" s="11">
        <f>IF(A349="","",SUMIFS(tbl_WIP[Amount],tbl_WIP[Job Number],A349,tbl_WIP[Month],$C$4))</f>
        <v/>
      </c>
      <c r="E349" s="11">
        <f>IF(A349="","",C349+D349)</f>
        <v/>
      </c>
      <c r="F349" s="10">
        <f>IF(A349="","",IF(AND(ROUND(C349,2)=0,ROUND(D349,2)=0),"","yes"))</f>
        <v/>
      </c>
      <c r="G349" s="39" t="n"/>
      <c r="H349" s="11">
        <f>IF(OR(A349="",G349=""),"",E349-G349)</f>
        <v/>
      </c>
    </row>
    <row r="350">
      <c r="A350" s="10">
        <f>IF(INDEX(lst_Jobs,337)="","",INDEX(lst_Jobs,337)&amp;"")</f>
        <v/>
      </c>
      <c r="B350" s="10">
        <f>IF(A350="","",INDEX(lst_JobName,337)&amp;"")</f>
        <v/>
      </c>
      <c r="C350" s="11">
        <f>IF(A350="","",SUMIFS(tbl_WIP[Amount],tbl_WIP[Job Number],A350,tbl_WIP[Month],"&lt;"&amp;$C$4))</f>
        <v/>
      </c>
      <c r="D350" s="11">
        <f>IF(A350="","",SUMIFS(tbl_WIP[Amount],tbl_WIP[Job Number],A350,tbl_WIP[Month],$C$4))</f>
        <v/>
      </c>
      <c r="E350" s="11">
        <f>IF(A350="","",C350+D350)</f>
        <v/>
      </c>
      <c r="F350" s="10">
        <f>IF(A350="","",IF(AND(ROUND(C350,2)=0,ROUND(D350,2)=0),"","yes"))</f>
        <v/>
      </c>
      <c r="G350" s="39" t="n"/>
      <c r="H350" s="11">
        <f>IF(OR(A350="",G350=""),"",E350-G350)</f>
        <v/>
      </c>
    </row>
    <row r="351">
      <c r="A351" s="10">
        <f>IF(INDEX(lst_Jobs,338)="","",INDEX(lst_Jobs,338)&amp;"")</f>
        <v/>
      </c>
      <c r="B351" s="10">
        <f>IF(A351="","",INDEX(lst_JobName,338)&amp;"")</f>
        <v/>
      </c>
      <c r="C351" s="11">
        <f>IF(A351="","",SUMIFS(tbl_WIP[Amount],tbl_WIP[Job Number],A351,tbl_WIP[Month],"&lt;"&amp;$C$4))</f>
        <v/>
      </c>
      <c r="D351" s="11">
        <f>IF(A351="","",SUMIFS(tbl_WIP[Amount],tbl_WIP[Job Number],A351,tbl_WIP[Month],$C$4))</f>
        <v/>
      </c>
      <c r="E351" s="11">
        <f>IF(A351="","",C351+D351)</f>
        <v/>
      </c>
      <c r="F351" s="10">
        <f>IF(A351="","",IF(AND(ROUND(C351,2)=0,ROUND(D351,2)=0),"","yes"))</f>
        <v/>
      </c>
      <c r="G351" s="39" t="n"/>
      <c r="H351" s="11">
        <f>IF(OR(A351="",G351=""),"",E351-G351)</f>
        <v/>
      </c>
    </row>
    <row r="352">
      <c r="A352" s="10">
        <f>IF(INDEX(lst_Jobs,339)="","",INDEX(lst_Jobs,339)&amp;"")</f>
        <v/>
      </c>
      <c r="B352" s="10">
        <f>IF(A352="","",INDEX(lst_JobName,339)&amp;"")</f>
        <v/>
      </c>
      <c r="C352" s="11">
        <f>IF(A352="","",SUMIFS(tbl_WIP[Amount],tbl_WIP[Job Number],A352,tbl_WIP[Month],"&lt;"&amp;$C$4))</f>
        <v/>
      </c>
      <c r="D352" s="11">
        <f>IF(A352="","",SUMIFS(tbl_WIP[Amount],tbl_WIP[Job Number],A352,tbl_WIP[Month],$C$4))</f>
        <v/>
      </c>
      <c r="E352" s="11">
        <f>IF(A352="","",C352+D352)</f>
        <v/>
      </c>
      <c r="F352" s="10">
        <f>IF(A352="","",IF(AND(ROUND(C352,2)=0,ROUND(D352,2)=0),"","yes"))</f>
        <v/>
      </c>
      <c r="G352" s="39" t="n"/>
      <c r="H352" s="11">
        <f>IF(OR(A352="",G352=""),"",E352-G352)</f>
        <v/>
      </c>
    </row>
    <row r="353">
      <c r="A353" s="10">
        <f>IF(INDEX(lst_Jobs,340)="","",INDEX(lst_Jobs,340)&amp;"")</f>
        <v/>
      </c>
      <c r="B353" s="10">
        <f>IF(A353="","",INDEX(lst_JobName,340)&amp;"")</f>
        <v/>
      </c>
      <c r="C353" s="11">
        <f>IF(A353="","",SUMIFS(tbl_WIP[Amount],tbl_WIP[Job Number],A353,tbl_WIP[Month],"&lt;"&amp;$C$4))</f>
        <v/>
      </c>
      <c r="D353" s="11">
        <f>IF(A353="","",SUMIFS(tbl_WIP[Amount],tbl_WIP[Job Number],A353,tbl_WIP[Month],$C$4))</f>
        <v/>
      </c>
      <c r="E353" s="11">
        <f>IF(A353="","",C353+D353)</f>
        <v/>
      </c>
      <c r="F353" s="10">
        <f>IF(A353="","",IF(AND(ROUND(C353,2)=0,ROUND(D353,2)=0),"","yes"))</f>
        <v/>
      </c>
      <c r="G353" s="39" t="n"/>
      <c r="H353" s="11">
        <f>IF(OR(A353="",G353=""),"",E353-G353)</f>
        <v/>
      </c>
    </row>
    <row r="354">
      <c r="A354" s="10">
        <f>IF(INDEX(lst_Jobs,341)="","",INDEX(lst_Jobs,341)&amp;"")</f>
        <v/>
      </c>
      <c r="B354" s="10">
        <f>IF(A354="","",INDEX(lst_JobName,341)&amp;"")</f>
        <v/>
      </c>
      <c r="C354" s="11">
        <f>IF(A354="","",SUMIFS(tbl_WIP[Amount],tbl_WIP[Job Number],A354,tbl_WIP[Month],"&lt;"&amp;$C$4))</f>
        <v/>
      </c>
      <c r="D354" s="11">
        <f>IF(A354="","",SUMIFS(tbl_WIP[Amount],tbl_WIP[Job Number],A354,tbl_WIP[Month],$C$4))</f>
        <v/>
      </c>
      <c r="E354" s="11">
        <f>IF(A354="","",C354+D354)</f>
        <v/>
      </c>
      <c r="F354" s="10">
        <f>IF(A354="","",IF(AND(ROUND(C354,2)=0,ROUND(D354,2)=0),"","yes"))</f>
        <v/>
      </c>
      <c r="G354" s="39" t="n"/>
      <c r="H354" s="11">
        <f>IF(OR(A354="",G354=""),"",E354-G354)</f>
        <v/>
      </c>
    </row>
    <row r="355">
      <c r="A355" s="10">
        <f>IF(INDEX(lst_Jobs,342)="","",INDEX(lst_Jobs,342)&amp;"")</f>
        <v/>
      </c>
      <c r="B355" s="10">
        <f>IF(A355="","",INDEX(lst_JobName,342)&amp;"")</f>
        <v/>
      </c>
      <c r="C355" s="11">
        <f>IF(A355="","",SUMIFS(tbl_WIP[Amount],tbl_WIP[Job Number],A355,tbl_WIP[Month],"&lt;"&amp;$C$4))</f>
        <v/>
      </c>
      <c r="D355" s="11">
        <f>IF(A355="","",SUMIFS(tbl_WIP[Amount],tbl_WIP[Job Number],A355,tbl_WIP[Month],$C$4))</f>
        <v/>
      </c>
      <c r="E355" s="11">
        <f>IF(A355="","",C355+D355)</f>
        <v/>
      </c>
      <c r="F355" s="10">
        <f>IF(A355="","",IF(AND(ROUND(C355,2)=0,ROUND(D355,2)=0),"","yes"))</f>
        <v/>
      </c>
      <c r="G355" s="39" t="n"/>
      <c r="H355" s="11">
        <f>IF(OR(A355="",G355=""),"",E355-G355)</f>
        <v/>
      </c>
    </row>
    <row r="356">
      <c r="A356" s="10">
        <f>IF(INDEX(lst_Jobs,343)="","",INDEX(lst_Jobs,343)&amp;"")</f>
        <v/>
      </c>
      <c r="B356" s="10">
        <f>IF(A356="","",INDEX(lst_JobName,343)&amp;"")</f>
        <v/>
      </c>
      <c r="C356" s="11">
        <f>IF(A356="","",SUMIFS(tbl_WIP[Amount],tbl_WIP[Job Number],A356,tbl_WIP[Month],"&lt;"&amp;$C$4))</f>
        <v/>
      </c>
      <c r="D356" s="11">
        <f>IF(A356="","",SUMIFS(tbl_WIP[Amount],tbl_WIP[Job Number],A356,tbl_WIP[Month],$C$4))</f>
        <v/>
      </c>
      <c r="E356" s="11">
        <f>IF(A356="","",C356+D356)</f>
        <v/>
      </c>
      <c r="F356" s="10">
        <f>IF(A356="","",IF(AND(ROUND(C356,2)=0,ROUND(D356,2)=0),"","yes"))</f>
        <v/>
      </c>
      <c r="G356" s="39" t="n"/>
      <c r="H356" s="11">
        <f>IF(OR(A356="",G356=""),"",E356-G356)</f>
        <v/>
      </c>
    </row>
    <row r="357">
      <c r="A357" s="10">
        <f>IF(INDEX(lst_Jobs,344)="","",INDEX(lst_Jobs,344)&amp;"")</f>
        <v/>
      </c>
      <c r="B357" s="10">
        <f>IF(A357="","",INDEX(lst_JobName,344)&amp;"")</f>
        <v/>
      </c>
      <c r="C357" s="11">
        <f>IF(A357="","",SUMIFS(tbl_WIP[Amount],tbl_WIP[Job Number],A357,tbl_WIP[Month],"&lt;"&amp;$C$4))</f>
        <v/>
      </c>
      <c r="D357" s="11">
        <f>IF(A357="","",SUMIFS(tbl_WIP[Amount],tbl_WIP[Job Number],A357,tbl_WIP[Month],$C$4))</f>
        <v/>
      </c>
      <c r="E357" s="11">
        <f>IF(A357="","",C357+D357)</f>
        <v/>
      </c>
      <c r="F357" s="10">
        <f>IF(A357="","",IF(AND(ROUND(C357,2)=0,ROUND(D357,2)=0),"","yes"))</f>
        <v/>
      </c>
      <c r="G357" s="39" t="n"/>
      <c r="H357" s="11">
        <f>IF(OR(A357="",G357=""),"",E357-G357)</f>
        <v/>
      </c>
    </row>
    <row r="358">
      <c r="A358" s="10">
        <f>IF(INDEX(lst_Jobs,345)="","",INDEX(lst_Jobs,345)&amp;"")</f>
        <v/>
      </c>
      <c r="B358" s="10">
        <f>IF(A358="","",INDEX(lst_JobName,345)&amp;"")</f>
        <v/>
      </c>
      <c r="C358" s="11">
        <f>IF(A358="","",SUMIFS(tbl_WIP[Amount],tbl_WIP[Job Number],A358,tbl_WIP[Month],"&lt;"&amp;$C$4))</f>
        <v/>
      </c>
      <c r="D358" s="11">
        <f>IF(A358="","",SUMIFS(tbl_WIP[Amount],tbl_WIP[Job Number],A358,tbl_WIP[Month],$C$4))</f>
        <v/>
      </c>
      <c r="E358" s="11">
        <f>IF(A358="","",C358+D358)</f>
        <v/>
      </c>
      <c r="F358" s="10">
        <f>IF(A358="","",IF(AND(ROUND(C358,2)=0,ROUND(D358,2)=0),"","yes"))</f>
        <v/>
      </c>
      <c r="G358" s="39" t="n"/>
      <c r="H358" s="11">
        <f>IF(OR(A358="",G358=""),"",E358-G358)</f>
        <v/>
      </c>
    </row>
    <row r="359">
      <c r="A359" s="10">
        <f>IF(INDEX(lst_Jobs,346)="","",INDEX(lst_Jobs,346)&amp;"")</f>
        <v/>
      </c>
      <c r="B359" s="10">
        <f>IF(A359="","",INDEX(lst_JobName,346)&amp;"")</f>
        <v/>
      </c>
      <c r="C359" s="11">
        <f>IF(A359="","",SUMIFS(tbl_WIP[Amount],tbl_WIP[Job Number],A359,tbl_WIP[Month],"&lt;"&amp;$C$4))</f>
        <v/>
      </c>
      <c r="D359" s="11">
        <f>IF(A359="","",SUMIFS(tbl_WIP[Amount],tbl_WIP[Job Number],A359,tbl_WIP[Month],$C$4))</f>
        <v/>
      </c>
      <c r="E359" s="11">
        <f>IF(A359="","",C359+D359)</f>
        <v/>
      </c>
      <c r="F359" s="10">
        <f>IF(A359="","",IF(AND(ROUND(C359,2)=0,ROUND(D359,2)=0),"","yes"))</f>
        <v/>
      </c>
      <c r="G359" s="39" t="n"/>
      <c r="H359" s="11">
        <f>IF(OR(A359="",G359=""),"",E359-G359)</f>
        <v/>
      </c>
    </row>
    <row r="360">
      <c r="A360" s="10">
        <f>IF(INDEX(lst_Jobs,347)="","",INDEX(lst_Jobs,347)&amp;"")</f>
        <v/>
      </c>
      <c r="B360" s="10">
        <f>IF(A360="","",INDEX(lst_JobName,347)&amp;"")</f>
        <v/>
      </c>
      <c r="C360" s="11">
        <f>IF(A360="","",SUMIFS(tbl_WIP[Amount],tbl_WIP[Job Number],A360,tbl_WIP[Month],"&lt;"&amp;$C$4))</f>
        <v/>
      </c>
      <c r="D360" s="11">
        <f>IF(A360="","",SUMIFS(tbl_WIP[Amount],tbl_WIP[Job Number],A360,tbl_WIP[Month],$C$4))</f>
        <v/>
      </c>
      <c r="E360" s="11">
        <f>IF(A360="","",C360+D360)</f>
        <v/>
      </c>
      <c r="F360" s="10">
        <f>IF(A360="","",IF(AND(ROUND(C360,2)=0,ROUND(D360,2)=0),"","yes"))</f>
        <v/>
      </c>
      <c r="G360" s="39" t="n"/>
      <c r="H360" s="11">
        <f>IF(OR(A360="",G360=""),"",E360-G360)</f>
        <v/>
      </c>
    </row>
    <row r="361">
      <c r="A361" s="10">
        <f>IF(INDEX(lst_Jobs,348)="","",INDEX(lst_Jobs,348)&amp;"")</f>
        <v/>
      </c>
      <c r="B361" s="10">
        <f>IF(A361="","",INDEX(lst_JobName,348)&amp;"")</f>
        <v/>
      </c>
      <c r="C361" s="11">
        <f>IF(A361="","",SUMIFS(tbl_WIP[Amount],tbl_WIP[Job Number],A361,tbl_WIP[Month],"&lt;"&amp;$C$4))</f>
        <v/>
      </c>
      <c r="D361" s="11">
        <f>IF(A361="","",SUMIFS(tbl_WIP[Amount],tbl_WIP[Job Number],A361,tbl_WIP[Month],$C$4))</f>
        <v/>
      </c>
      <c r="E361" s="11">
        <f>IF(A361="","",C361+D361)</f>
        <v/>
      </c>
      <c r="F361" s="10">
        <f>IF(A361="","",IF(AND(ROUND(C361,2)=0,ROUND(D361,2)=0),"","yes"))</f>
        <v/>
      </c>
      <c r="G361" s="39" t="n"/>
      <c r="H361" s="11">
        <f>IF(OR(A361="",G361=""),"",E361-G361)</f>
        <v/>
      </c>
    </row>
    <row r="362">
      <c r="A362" s="10">
        <f>IF(INDEX(lst_Jobs,349)="","",INDEX(lst_Jobs,349)&amp;"")</f>
        <v/>
      </c>
      <c r="B362" s="10">
        <f>IF(A362="","",INDEX(lst_JobName,349)&amp;"")</f>
        <v/>
      </c>
      <c r="C362" s="11">
        <f>IF(A362="","",SUMIFS(tbl_WIP[Amount],tbl_WIP[Job Number],A362,tbl_WIP[Month],"&lt;"&amp;$C$4))</f>
        <v/>
      </c>
      <c r="D362" s="11">
        <f>IF(A362="","",SUMIFS(tbl_WIP[Amount],tbl_WIP[Job Number],A362,tbl_WIP[Month],$C$4))</f>
        <v/>
      </c>
      <c r="E362" s="11">
        <f>IF(A362="","",C362+D362)</f>
        <v/>
      </c>
      <c r="F362" s="10">
        <f>IF(A362="","",IF(AND(ROUND(C362,2)=0,ROUND(D362,2)=0),"","yes"))</f>
        <v/>
      </c>
      <c r="G362" s="39" t="n"/>
      <c r="H362" s="11">
        <f>IF(OR(A362="",G362=""),"",E362-G362)</f>
        <v/>
      </c>
    </row>
    <row r="363">
      <c r="A363" s="10">
        <f>IF(INDEX(lst_Jobs,350)="","",INDEX(lst_Jobs,350)&amp;"")</f>
        <v/>
      </c>
      <c r="B363" s="10">
        <f>IF(A363="","",INDEX(lst_JobName,350)&amp;"")</f>
        <v/>
      </c>
      <c r="C363" s="11">
        <f>IF(A363="","",SUMIFS(tbl_WIP[Amount],tbl_WIP[Job Number],A363,tbl_WIP[Month],"&lt;"&amp;$C$4))</f>
        <v/>
      </c>
      <c r="D363" s="11">
        <f>IF(A363="","",SUMIFS(tbl_WIP[Amount],tbl_WIP[Job Number],A363,tbl_WIP[Month],$C$4))</f>
        <v/>
      </c>
      <c r="E363" s="11">
        <f>IF(A363="","",C363+D363)</f>
        <v/>
      </c>
      <c r="F363" s="10">
        <f>IF(A363="","",IF(AND(ROUND(C363,2)=0,ROUND(D363,2)=0),"","yes"))</f>
        <v/>
      </c>
      <c r="G363" s="39" t="n"/>
      <c r="H363" s="11">
        <f>IF(OR(A363="",G363=""),"",E363-G363)</f>
        <v/>
      </c>
    </row>
    <row r="364">
      <c r="A364" s="10">
        <f>IF(INDEX(lst_Jobs,351)="","",INDEX(lst_Jobs,351)&amp;"")</f>
        <v/>
      </c>
      <c r="B364" s="10">
        <f>IF(A364="","",INDEX(lst_JobName,351)&amp;"")</f>
        <v/>
      </c>
      <c r="C364" s="11">
        <f>IF(A364="","",SUMIFS(tbl_WIP[Amount],tbl_WIP[Job Number],A364,tbl_WIP[Month],"&lt;"&amp;$C$4))</f>
        <v/>
      </c>
      <c r="D364" s="11">
        <f>IF(A364="","",SUMIFS(tbl_WIP[Amount],tbl_WIP[Job Number],A364,tbl_WIP[Month],$C$4))</f>
        <v/>
      </c>
      <c r="E364" s="11">
        <f>IF(A364="","",C364+D364)</f>
        <v/>
      </c>
      <c r="F364" s="10">
        <f>IF(A364="","",IF(AND(ROUND(C364,2)=0,ROUND(D364,2)=0),"","yes"))</f>
        <v/>
      </c>
      <c r="G364" s="39" t="n"/>
      <c r="H364" s="11">
        <f>IF(OR(A364="",G364=""),"",E364-G364)</f>
        <v/>
      </c>
    </row>
    <row r="365">
      <c r="A365" s="10">
        <f>IF(INDEX(lst_Jobs,352)="","",INDEX(lst_Jobs,352)&amp;"")</f>
        <v/>
      </c>
      <c r="B365" s="10">
        <f>IF(A365="","",INDEX(lst_JobName,352)&amp;"")</f>
        <v/>
      </c>
      <c r="C365" s="11">
        <f>IF(A365="","",SUMIFS(tbl_WIP[Amount],tbl_WIP[Job Number],A365,tbl_WIP[Month],"&lt;"&amp;$C$4))</f>
        <v/>
      </c>
      <c r="D365" s="11">
        <f>IF(A365="","",SUMIFS(tbl_WIP[Amount],tbl_WIP[Job Number],A365,tbl_WIP[Month],$C$4))</f>
        <v/>
      </c>
      <c r="E365" s="11">
        <f>IF(A365="","",C365+D365)</f>
        <v/>
      </c>
      <c r="F365" s="10">
        <f>IF(A365="","",IF(AND(ROUND(C365,2)=0,ROUND(D365,2)=0),"","yes"))</f>
        <v/>
      </c>
      <c r="G365" s="39" t="n"/>
      <c r="H365" s="11">
        <f>IF(OR(A365="",G365=""),"",E365-G365)</f>
        <v/>
      </c>
    </row>
    <row r="366">
      <c r="A366" s="10">
        <f>IF(INDEX(lst_Jobs,353)="","",INDEX(lst_Jobs,353)&amp;"")</f>
        <v/>
      </c>
      <c r="B366" s="10">
        <f>IF(A366="","",INDEX(lst_JobName,353)&amp;"")</f>
        <v/>
      </c>
      <c r="C366" s="11">
        <f>IF(A366="","",SUMIFS(tbl_WIP[Amount],tbl_WIP[Job Number],A366,tbl_WIP[Month],"&lt;"&amp;$C$4))</f>
        <v/>
      </c>
      <c r="D366" s="11">
        <f>IF(A366="","",SUMIFS(tbl_WIP[Amount],tbl_WIP[Job Number],A366,tbl_WIP[Month],$C$4))</f>
        <v/>
      </c>
      <c r="E366" s="11">
        <f>IF(A366="","",C366+D366)</f>
        <v/>
      </c>
      <c r="F366" s="10">
        <f>IF(A366="","",IF(AND(ROUND(C366,2)=0,ROUND(D366,2)=0),"","yes"))</f>
        <v/>
      </c>
      <c r="G366" s="39" t="n"/>
      <c r="H366" s="11">
        <f>IF(OR(A366="",G366=""),"",E366-G366)</f>
        <v/>
      </c>
    </row>
    <row r="367">
      <c r="A367" s="10">
        <f>IF(INDEX(lst_Jobs,354)="","",INDEX(lst_Jobs,354)&amp;"")</f>
        <v/>
      </c>
      <c r="B367" s="10">
        <f>IF(A367="","",INDEX(lst_JobName,354)&amp;"")</f>
        <v/>
      </c>
      <c r="C367" s="11">
        <f>IF(A367="","",SUMIFS(tbl_WIP[Amount],tbl_WIP[Job Number],A367,tbl_WIP[Month],"&lt;"&amp;$C$4))</f>
        <v/>
      </c>
      <c r="D367" s="11">
        <f>IF(A367="","",SUMIFS(tbl_WIP[Amount],tbl_WIP[Job Number],A367,tbl_WIP[Month],$C$4))</f>
        <v/>
      </c>
      <c r="E367" s="11">
        <f>IF(A367="","",C367+D367)</f>
        <v/>
      </c>
      <c r="F367" s="10">
        <f>IF(A367="","",IF(AND(ROUND(C367,2)=0,ROUND(D367,2)=0),"","yes"))</f>
        <v/>
      </c>
      <c r="G367" s="39" t="n"/>
      <c r="H367" s="11">
        <f>IF(OR(A367="",G367=""),"",E367-G367)</f>
        <v/>
      </c>
    </row>
    <row r="368">
      <c r="A368" s="10">
        <f>IF(INDEX(lst_Jobs,355)="","",INDEX(lst_Jobs,355)&amp;"")</f>
        <v/>
      </c>
      <c r="B368" s="10">
        <f>IF(A368="","",INDEX(lst_JobName,355)&amp;"")</f>
        <v/>
      </c>
      <c r="C368" s="11">
        <f>IF(A368="","",SUMIFS(tbl_WIP[Amount],tbl_WIP[Job Number],A368,tbl_WIP[Month],"&lt;"&amp;$C$4))</f>
        <v/>
      </c>
      <c r="D368" s="11">
        <f>IF(A368="","",SUMIFS(tbl_WIP[Amount],tbl_WIP[Job Number],A368,tbl_WIP[Month],$C$4))</f>
        <v/>
      </c>
      <c r="E368" s="11">
        <f>IF(A368="","",C368+D368)</f>
        <v/>
      </c>
      <c r="F368" s="10">
        <f>IF(A368="","",IF(AND(ROUND(C368,2)=0,ROUND(D368,2)=0),"","yes"))</f>
        <v/>
      </c>
      <c r="G368" s="39" t="n"/>
      <c r="H368" s="11">
        <f>IF(OR(A368="",G368=""),"",E368-G368)</f>
        <v/>
      </c>
    </row>
    <row r="369">
      <c r="A369" s="10">
        <f>IF(INDEX(lst_Jobs,356)="","",INDEX(lst_Jobs,356)&amp;"")</f>
        <v/>
      </c>
      <c r="B369" s="10">
        <f>IF(A369="","",INDEX(lst_JobName,356)&amp;"")</f>
        <v/>
      </c>
      <c r="C369" s="11">
        <f>IF(A369="","",SUMIFS(tbl_WIP[Amount],tbl_WIP[Job Number],A369,tbl_WIP[Month],"&lt;"&amp;$C$4))</f>
        <v/>
      </c>
      <c r="D369" s="11">
        <f>IF(A369="","",SUMIFS(tbl_WIP[Amount],tbl_WIP[Job Number],A369,tbl_WIP[Month],$C$4))</f>
        <v/>
      </c>
      <c r="E369" s="11">
        <f>IF(A369="","",C369+D369)</f>
        <v/>
      </c>
      <c r="F369" s="10">
        <f>IF(A369="","",IF(AND(ROUND(C369,2)=0,ROUND(D369,2)=0),"","yes"))</f>
        <v/>
      </c>
      <c r="G369" s="39" t="n"/>
      <c r="H369" s="11">
        <f>IF(OR(A369="",G369=""),"",E369-G369)</f>
        <v/>
      </c>
    </row>
    <row r="370">
      <c r="A370" s="10">
        <f>IF(INDEX(lst_Jobs,357)="","",INDEX(lst_Jobs,357)&amp;"")</f>
        <v/>
      </c>
      <c r="B370" s="10">
        <f>IF(A370="","",INDEX(lst_JobName,357)&amp;"")</f>
        <v/>
      </c>
      <c r="C370" s="11">
        <f>IF(A370="","",SUMIFS(tbl_WIP[Amount],tbl_WIP[Job Number],A370,tbl_WIP[Month],"&lt;"&amp;$C$4))</f>
        <v/>
      </c>
      <c r="D370" s="11">
        <f>IF(A370="","",SUMIFS(tbl_WIP[Amount],tbl_WIP[Job Number],A370,tbl_WIP[Month],$C$4))</f>
        <v/>
      </c>
      <c r="E370" s="11">
        <f>IF(A370="","",C370+D370)</f>
        <v/>
      </c>
      <c r="F370" s="10">
        <f>IF(A370="","",IF(AND(ROUND(C370,2)=0,ROUND(D370,2)=0),"","yes"))</f>
        <v/>
      </c>
      <c r="G370" s="39" t="n"/>
      <c r="H370" s="11">
        <f>IF(OR(A370="",G370=""),"",E370-G370)</f>
        <v/>
      </c>
    </row>
    <row r="371">
      <c r="A371" s="10">
        <f>IF(INDEX(lst_Jobs,358)="","",INDEX(lst_Jobs,358)&amp;"")</f>
        <v/>
      </c>
      <c r="B371" s="10">
        <f>IF(A371="","",INDEX(lst_JobName,358)&amp;"")</f>
        <v/>
      </c>
      <c r="C371" s="11">
        <f>IF(A371="","",SUMIFS(tbl_WIP[Amount],tbl_WIP[Job Number],A371,tbl_WIP[Month],"&lt;"&amp;$C$4))</f>
        <v/>
      </c>
      <c r="D371" s="11">
        <f>IF(A371="","",SUMIFS(tbl_WIP[Amount],tbl_WIP[Job Number],A371,tbl_WIP[Month],$C$4))</f>
        <v/>
      </c>
      <c r="E371" s="11">
        <f>IF(A371="","",C371+D371)</f>
        <v/>
      </c>
      <c r="F371" s="10">
        <f>IF(A371="","",IF(AND(ROUND(C371,2)=0,ROUND(D371,2)=0),"","yes"))</f>
        <v/>
      </c>
      <c r="G371" s="39" t="n"/>
      <c r="H371" s="11">
        <f>IF(OR(A371="",G371=""),"",E371-G371)</f>
        <v/>
      </c>
    </row>
    <row r="372">
      <c r="A372" s="10">
        <f>IF(INDEX(lst_Jobs,359)="","",INDEX(lst_Jobs,359)&amp;"")</f>
        <v/>
      </c>
      <c r="B372" s="10">
        <f>IF(A372="","",INDEX(lst_JobName,359)&amp;"")</f>
        <v/>
      </c>
      <c r="C372" s="11">
        <f>IF(A372="","",SUMIFS(tbl_WIP[Amount],tbl_WIP[Job Number],A372,tbl_WIP[Month],"&lt;"&amp;$C$4))</f>
        <v/>
      </c>
      <c r="D372" s="11">
        <f>IF(A372="","",SUMIFS(tbl_WIP[Amount],tbl_WIP[Job Number],A372,tbl_WIP[Month],$C$4))</f>
        <v/>
      </c>
      <c r="E372" s="11">
        <f>IF(A372="","",C372+D372)</f>
        <v/>
      </c>
      <c r="F372" s="10">
        <f>IF(A372="","",IF(AND(ROUND(C372,2)=0,ROUND(D372,2)=0),"","yes"))</f>
        <v/>
      </c>
      <c r="G372" s="39" t="n"/>
      <c r="H372" s="11">
        <f>IF(OR(A372="",G372=""),"",E372-G372)</f>
        <v/>
      </c>
    </row>
    <row r="373">
      <c r="A373" s="10">
        <f>IF(INDEX(lst_Jobs,360)="","",INDEX(lst_Jobs,360)&amp;"")</f>
        <v/>
      </c>
      <c r="B373" s="10">
        <f>IF(A373="","",INDEX(lst_JobName,360)&amp;"")</f>
        <v/>
      </c>
      <c r="C373" s="11">
        <f>IF(A373="","",SUMIFS(tbl_WIP[Amount],tbl_WIP[Job Number],A373,tbl_WIP[Month],"&lt;"&amp;$C$4))</f>
        <v/>
      </c>
      <c r="D373" s="11">
        <f>IF(A373="","",SUMIFS(tbl_WIP[Amount],tbl_WIP[Job Number],A373,tbl_WIP[Month],$C$4))</f>
        <v/>
      </c>
      <c r="E373" s="11">
        <f>IF(A373="","",C373+D373)</f>
        <v/>
      </c>
      <c r="F373" s="10">
        <f>IF(A373="","",IF(AND(ROUND(C373,2)=0,ROUND(D373,2)=0),"","yes"))</f>
        <v/>
      </c>
      <c r="G373" s="39" t="n"/>
      <c r="H373" s="11">
        <f>IF(OR(A373="",G373=""),"",E373-G373)</f>
        <v/>
      </c>
    </row>
    <row r="374">
      <c r="A374" s="10">
        <f>IF(INDEX(lst_Jobs,361)="","",INDEX(lst_Jobs,361)&amp;"")</f>
        <v/>
      </c>
      <c r="B374" s="10">
        <f>IF(A374="","",INDEX(lst_JobName,361)&amp;"")</f>
        <v/>
      </c>
      <c r="C374" s="11">
        <f>IF(A374="","",SUMIFS(tbl_WIP[Amount],tbl_WIP[Job Number],A374,tbl_WIP[Month],"&lt;"&amp;$C$4))</f>
        <v/>
      </c>
      <c r="D374" s="11">
        <f>IF(A374="","",SUMIFS(tbl_WIP[Amount],tbl_WIP[Job Number],A374,tbl_WIP[Month],$C$4))</f>
        <v/>
      </c>
      <c r="E374" s="11">
        <f>IF(A374="","",C374+D374)</f>
        <v/>
      </c>
      <c r="F374" s="10">
        <f>IF(A374="","",IF(AND(ROUND(C374,2)=0,ROUND(D374,2)=0),"","yes"))</f>
        <v/>
      </c>
      <c r="G374" s="39" t="n"/>
      <c r="H374" s="11">
        <f>IF(OR(A374="",G374=""),"",E374-G374)</f>
        <v/>
      </c>
    </row>
    <row r="375">
      <c r="A375" s="10">
        <f>IF(INDEX(lst_Jobs,362)="","",INDEX(lst_Jobs,362)&amp;"")</f>
        <v/>
      </c>
      <c r="B375" s="10">
        <f>IF(A375="","",INDEX(lst_JobName,362)&amp;"")</f>
        <v/>
      </c>
      <c r="C375" s="11">
        <f>IF(A375="","",SUMIFS(tbl_WIP[Amount],tbl_WIP[Job Number],A375,tbl_WIP[Month],"&lt;"&amp;$C$4))</f>
        <v/>
      </c>
      <c r="D375" s="11">
        <f>IF(A375="","",SUMIFS(tbl_WIP[Amount],tbl_WIP[Job Number],A375,tbl_WIP[Month],$C$4))</f>
        <v/>
      </c>
      <c r="E375" s="11">
        <f>IF(A375="","",C375+D375)</f>
        <v/>
      </c>
      <c r="F375" s="10">
        <f>IF(A375="","",IF(AND(ROUND(C375,2)=0,ROUND(D375,2)=0),"","yes"))</f>
        <v/>
      </c>
      <c r="G375" s="39" t="n"/>
      <c r="H375" s="11">
        <f>IF(OR(A375="",G375=""),"",E375-G375)</f>
        <v/>
      </c>
    </row>
    <row r="376">
      <c r="A376" s="10">
        <f>IF(INDEX(lst_Jobs,363)="","",INDEX(lst_Jobs,363)&amp;"")</f>
        <v/>
      </c>
      <c r="B376" s="10">
        <f>IF(A376="","",INDEX(lst_JobName,363)&amp;"")</f>
        <v/>
      </c>
      <c r="C376" s="11">
        <f>IF(A376="","",SUMIFS(tbl_WIP[Amount],tbl_WIP[Job Number],A376,tbl_WIP[Month],"&lt;"&amp;$C$4))</f>
        <v/>
      </c>
      <c r="D376" s="11">
        <f>IF(A376="","",SUMIFS(tbl_WIP[Amount],tbl_WIP[Job Number],A376,tbl_WIP[Month],$C$4))</f>
        <v/>
      </c>
      <c r="E376" s="11">
        <f>IF(A376="","",C376+D376)</f>
        <v/>
      </c>
      <c r="F376" s="10">
        <f>IF(A376="","",IF(AND(ROUND(C376,2)=0,ROUND(D376,2)=0),"","yes"))</f>
        <v/>
      </c>
      <c r="G376" s="39" t="n"/>
      <c r="H376" s="11">
        <f>IF(OR(A376="",G376=""),"",E376-G376)</f>
        <v/>
      </c>
    </row>
    <row r="377">
      <c r="A377" s="10">
        <f>IF(INDEX(lst_Jobs,364)="","",INDEX(lst_Jobs,364)&amp;"")</f>
        <v/>
      </c>
      <c r="B377" s="10">
        <f>IF(A377="","",INDEX(lst_JobName,364)&amp;"")</f>
        <v/>
      </c>
      <c r="C377" s="11">
        <f>IF(A377="","",SUMIFS(tbl_WIP[Amount],tbl_WIP[Job Number],A377,tbl_WIP[Month],"&lt;"&amp;$C$4))</f>
        <v/>
      </c>
      <c r="D377" s="11">
        <f>IF(A377="","",SUMIFS(tbl_WIP[Amount],tbl_WIP[Job Number],A377,tbl_WIP[Month],$C$4))</f>
        <v/>
      </c>
      <c r="E377" s="11">
        <f>IF(A377="","",C377+D377)</f>
        <v/>
      </c>
      <c r="F377" s="10">
        <f>IF(A377="","",IF(AND(ROUND(C377,2)=0,ROUND(D377,2)=0),"","yes"))</f>
        <v/>
      </c>
      <c r="G377" s="39" t="n"/>
      <c r="H377" s="11">
        <f>IF(OR(A377="",G377=""),"",E377-G377)</f>
        <v/>
      </c>
    </row>
    <row r="378">
      <c r="A378" s="10">
        <f>IF(INDEX(lst_Jobs,365)="","",INDEX(lst_Jobs,365)&amp;"")</f>
        <v/>
      </c>
      <c r="B378" s="10">
        <f>IF(A378="","",INDEX(lst_JobName,365)&amp;"")</f>
        <v/>
      </c>
      <c r="C378" s="11">
        <f>IF(A378="","",SUMIFS(tbl_WIP[Amount],tbl_WIP[Job Number],A378,tbl_WIP[Month],"&lt;"&amp;$C$4))</f>
        <v/>
      </c>
      <c r="D378" s="11">
        <f>IF(A378="","",SUMIFS(tbl_WIP[Amount],tbl_WIP[Job Number],A378,tbl_WIP[Month],$C$4))</f>
        <v/>
      </c>
      <c r="E378" s="11">
        <f>IF(A378="","",C378+D378)</f>
        <v/>
      </c>
      <c r="F378" s="10">
        <f>IF(A378="","",IF(AND(ROUND(C378,2)=0,ROUND(D378,2)=0),"","yes"))</f>
        <v/>
      </c>
      <c r="G378" s="39" t="n"/>
      <c r="H378" s="11">
        <f>IF(OR(A378="",G378=""),"",E378-G378)</f>
        <v/>
      </c>
    </row>
    <row r="379">
      <c r="A379" s="10">
        <f>IF(INDEX(lst_Jobs,366)="","",INDEX(lst_Jobs,366)&amp;"")</f>
        <v/>
      </c>
      <c r="B379" s="10">
        <f>IF(A379="","",INDEX(lst_JobName,366)&amp;"")</f>
        <v/>
      </c>
      <c r="C379" s="11">
        <f>IF(A379="","",SUMIFS(tbl_WIP[Amount],tbl_WIP[Job Number],A379,tbl_WIP[Month],"&lt;"&amp;$C$4))</f>
        <v/>
      </c>
      <c r="D379" s="11">
        <f>IF(A379="","",SUMIFS(tbl_WIP[Amount],tbl_WIP[Job Number],A379,tbl_WIP[Month],$C$4))</f>
        <v/>
      </c>
      <c r="E379" s="11">
        <f>IF(A379="","",C379+D379)</f>
        <v/>
      </c>
      <c r="F379" s="10">
        <f>IF(A379="","",IF(AND(ROUND(C379,2)=0,ROUND(D379,2)=0),"","yes"))</f>
        <v/>
      </c>
      <c r="G379" s="39" t="n"/>
      <c r="H379" s="11">
        <f>IF(OR(A379="",G379=""),"",E379-G379)</f>
        <v/>
      </c>
    </row>
    <row r="380">
      <c r="A380" s="10">
        <f>IF(INDEX(lst_Jobs,367)="","",INDEX(lst_Jobs,367)&amp;"")</f>
        <v/>
      </c>
      <c r="B380" s="10">
        <f>IF(A380="","",INDEX(lst_JobName,367)&amp;"")</f>
        <v/>
      </c>
      <c r="C380" s="11">
        <f>IF(A380="","",SUMIFS(tbl_WIP[Amount],tbl_WIP[Job Number],A380,tbl_WIP[Month],"&lt;"&amp;$C$4))</f>
        <v/>
      </c>
      <c r="D380" s="11">
        <f>IF(A380="","",SUMIFS(tbl_WIP[Amount],tbl_WIP[Job Number],A380,tbl_WIP[Month],$C$4))</f>
        <v/>
      </c>
      <c r="E380" s="11">
        <f>IF(A380="","",C380+D380)</f>
        <v/>
      </c>
      <c r="F380" s="10">
        <f>IF(A380="","",IF(AND(ROUND(C380,2)=0,ROUND(D380,2)=0),"","yes"))</f>
        <v/>
      </c>
      <c r="G380" s="39" t="n"/>
      <c r="H380" s="11">
        <f>IF(OR(A380="",G380=""),"",E380-G380)</f>
        <v/>
      </c>
    </row>
    <row r="381">
      <c r="A381" s="10">
        <f>IF(INDEX(lst_Jobs,368)="","",INDEX(lst_Jobs,368)&amp;"")</f>
        <v/>
      </c>
      <c r="B381" s="10">
        <f>IF(A381="","",INDEX(lst_JobName,368)&amp;"")</f>
        <v/>
      </c>
      <c r="C381" s="11">
        <f>IF(A381="","",SUMIFS(tbl_WIP[Amount],tbl_WIP[Job Number],A381,tbl_WIP[Month],"&lt;"&amp;$C$4))</f>
        <v/>
      </c>
      <c r="D381" s="11">
        <f>IF(A381="","",SUMIFS(tbl_WIP[Amount],tbl_WIP[Job Number],A381,tbl_WIP[Month],$C$4))</f>
        <v/>
      </c>
      <c r="E381" s="11">
        <f>IF(A381="","",C381+D381)</f>
        <v/>
      </c>
      <c r="F381" s="10">
        <f>IF(A381="","",IF(AND(ROUND(C381,2)=0,ROUND(D381,2)=0),"","yes"))</f>
        <v/>
      </c>
      <c r="G381" s="39" t="n"/>
      <c r="H381" s="11">
        <f>IF(OR(A381="",G381=""),"",E381-G381)</f>
        <v/>
      </c>
    </row>
    <row r="382">
      <c r="A382" s="10">
        <f>IF(INDEX(lst_Jobs,369)="","",INDEX(lst_Jobs,369)&amp;"")</f>
        <v/>
      </c>
      <c r="B382" s="10">
        <f>IF(A382="","",INDEX(lst_JobName,369)&amp;"")</f>
        <v/>
      </c>
      <c r="C382" s="11">
        <f>IF(A382="","",SUMIFS(tbl_WIP[Amount],tbl_WIP[Job Number],A382,tbl_WIP[Month],"&lt;"&amp;$C$4))</f>
        <v/>
      </c>
      <c r="D382" s="11">
        <f>IF(A382="","",SUMIFS(tbl_WIP[Amount],tbl_WIP[Job Number],A382,tbl_WIP[Month],$C$4))</f>
        <v/>
      </c>
      <c r="E382" s="11">
        <f>IF(A382="","",C382+D382)</f>
        <v/>
      </c>
      <c r="F382" s="10">
        <f>IF(A382="","",IF(AND(ROUND(C382,2)=0,ROUND(D382,2)=0),"","yes"))</f>
        <v/>
      </c>
      <c r="G382" s="39" t="n"/>
      <c r="H382" s="11">
        <f>IF(OR(A382="",G382=""),"",E382-G382)</f>
        <v/>
      </c>
    </row>
    <row r="383">
      <c r="A383" s="10">
        <f>IF(INDEX(lst_Jobs,370)="","",INDEX(lst_Jobs,370)&amp;"")</f>
        <v/>
      </c>
      <c r="B383" s="10">
        <f>IF(A383="","",INDEX(lst_JobName,370)&amp;"")</f>
        <v/>
      </c>
      <c r="C383" s="11">
        <f>IF(A383="","",SUMIFS(tbl_WIP[Amount],tbl_WIP[Job Number],A383,tbl_WIP[Month],"&lt;"&amp;$C$4))</f>
        <v/>
      </c>
      <c r="D383" s="11">
        <f>IF(A383="","",SUMIFS(tbl_WIP[Amount],tbl_WIP[Job Number],A383,tbl_WIP[Month],$C$4))</f>
        <v/>
      </c>
      <c r="E383" s="11">
        <f>IF(A383="","",C383+D383)</f>
        <v/>
      </c>
      <c r="F383" s="10">
        <f>IF(A383="","",IF(AND(ROUND(C383,2)=0,ROUND(D383,2)=0),"","yes"))</f>
        <v/>
      </c>
      <c r="G383" s="39" t="n"/>
      <c r="H383" s="11">
        <f>IF(OR(A383="",G383=""),"",E383-G383)</f>
        <v/>
      </c>
    </row>
    <row r="384">
      <c r="A384" s="10">
        <f>IF(INDEX(lst_Jobs,371)="","",INDEX(lst_Jobs,371)&amp;"")</f>
        <v/>
      </c>
      <c r="B384" s="10">
        <f>IF(A384="","",INDEX(lst_JobName,371)&amp;"")</f>
        <v/>
      </c>
      <c r="C384" s="11">
        <f>IF(A384="","",SUMIFS(tbl_WIP[Amount],tbl_WIP[Job Number],A384,tbl_WIP[Month],"&lt;"&amp;$C$4))</f>
        <v/>
      </c>
      <c r="D384" s="11">
        <f>IF(A384="","",SUMIFS(tbl_WIP[Amount],tbl_WIP[Job Number],A384,tbl_WIP[Month],$C$4))</f>
        <v/>
      </c>
      <c r="E384" s="11">
        <f>IF(A384="","",C384+D384)</f>
        <v/>
      </c>
      <c r="F384" s="10">
        <f>IF(A384="","",IF(AND(ROUND(C384,2)=0,ROUND(D384,2)=0),"","yes"))</f>
        <v/>
      </c>
      <c r="G384" s="39" t="n"/>
      <c r="H384" s="11">
        <f>IF(OR(A384="",G384=""),"",E384-G384)</f>
        <v/>
      </c>
    </row>
    <row r="385">
      <c r="A385" s="10">
        <f>IF(INDEX(lst_Jobs,372)="","",INDEX(lst_Jobs,372)&amp;"")</f>
        <v/>
      </c>
      <c r="B385" s="10">
        <f>IF(A385="","",INDEX(lst_JobName,372)&amp;"")</f>
        <v/>
      </c>
      <c r="C385" s="11">
        <f>IF(A385="","",SUMIFS(tbl_WIP[Amount],tbl_WIP[Job Number],A385,tbl_WIP[Month],"&lt;"&amp;$C$4))</f>
        <v/>
      </c>
      <c r="D385" s="11">
        <f>IF(A385="","",SUMIFS(tbl_WIP[Amount],tbl_WIP[Job Number],A385,tbl_WIP[Month],$C$4))</f>
        <v/>
      </c>
      <c r="E385" s="11">
        <f>IF(A385="","",C385+D385)</f>
        <v/>
      </c>
      <c r="F385" s="10">
        <f>IF(A385="","",IF(AND(ROUND(C385,2)=0,ROUND(D385,2)=0),"","yes"))</f>
        <v/>
      </c>
      <c r="G385" s="39" t="n"/>
      <c r="H385" s="11">
        <f>IF(OR(A385="",G385=""),"",E385-G385)</f>
        <v/>
      </c>
    </row>
    <row r="386">
      <c r="A386" s="10">
        <f>IF(INDEX(lst_Jobs,373)="","",INDEX(lst_Jobs,373)&amp;"")</f>
        <v/>
      </c>
      <c r="B386" s="10">
        <f>IF(A386="","",INDEX(lst_JobName,373)&amp;"")</f>
        <v/>
      </c>
      <c r="C386" s="11">
        <f>IF(A386="","",SUMIFS(tbl_WIP[Amount],tbl_WIP[Job Number],A386,tbl_WIP[Month],"&lt;"&amp;$C$4))</f>
        <v/>
      </c>
      <c r="D386" s="11">
        <f>IF(A386="","",SUMIFS(tbl_WIP[Amount],tbl_WIP[Job Number],A386,tbl_WIP[Month],$C$4))</f>
        <v/>
      </c>
      <c r="E386" s="11">
        <f>IF(A386="","",C386+D386)</f>
        <v/>
      </c>
      <c r="F386" s="10">
        <f>IF(A386="","",IF(AND(ROUND(C386,2)=0,ROUND(D386,2)=0),"","yes"))</f>
        <v/>
      </c>
      <c r="G386" s="39" t="n"/>
      <c r="H386" s="11">
        <f>IF(OR(A386="",G386=""),"",E386-G386)</f>
        <v/>
      </c>
    </row>
    <row r="387">
      <c r="A387" s="10">
        <f>IF(INDEX(lst_Jobs,374)="","",INDEX(lst_Jobs,374)&amp;"")</f>
        <v/>
      </c>
      <c r="B387" s="10">
        <f>IF(A387="","",INDEX(lst_JobName,374)&amp;"")</f>
        <v/>
      </c>
      <c r="C387" s="11">
        <f>IF(A387="","",SUMIFS(tbl_WIP[Amount],tbl_WIP[Job Number],A387,tbl_WIP[Month],"&lt;"&amp;$C$4))</f>
        <v/>
      </c>
      <c r="D387" s="11">
        <f>IF(A387="","",SUMIFS(tbl_WIP[Amount],tbl_WIP[Job Number],A387,tbl_WIP[Month],$C$4))</f>
        <v/>
      </c>
      <c r="E387" s="11">
        <f>IF(A387="","",C387+D387)</f>
        <v/>
      </c>
      <c r="F387" s="10">
        <f>IF(A387="","",IF(AND(ROUND(C387,2)=0,ROUND(D387,2)=0),"","yes"))</f>
        <v/>
      </c>
      <c r="G387" s="39" t="n"/>
      <c r="H387" s="11">
        <f>IF(OR(A387="",G387=""),"",E387-G387)</f>
        <v/>
      </c>
    </row>
    <row r="388">
      <c r="A388" s="10">
        <f>IF(INDEX(lst_Jobs,375)="","",INDEX(lst_Jobs,375)&amp;"")</f>
        <v/>
      </c>
      <c r="B388" s="10">
        <f>IF(A388="","",INDEX(lst_JobName,375)&amp;"")</f>
        <v/>
      </c>
      <c r="C388" s="11">
        <f>IF(A388="","",SUMIFS(tbl_WIP[Amount],tbl_WIP[Job Number],A388,tbl_WIP[Month],"&lt;"&amp;$C$4))</f>
        <v/>
      </c>
      <c r="D388" s="11">
        <f>IF(A388="","",SUMIFS(tbl_WIP[Amount],tbl_WIP[Job Number],A388,tbl_WIP[Month],$C$4))</f>
        <v/>
      </c>
      <c r="E388" s="11">
        <f>IF(A388="","",C388+D388)</f>
        <v/>
      </c>
      <c r="F388" s="10">
        <f>IF(A388="","",IF(AND(ROUND(C388,2)=0,ROUND(D388,2)=0),"","yes"))</f>
        <v/>
      </c>
      <c r="G388" s="39" t="n"/>
      <c r="H388" s="11">
        <f>IF(OR(A388="",G388=""),"",E388-G388)</f>
        <v/>
      </c>
    </row>
    <row r="389">
      <c r="A389" s="10">
        <f>IF(INDEX(lst_Jobs,376)="","",INDEX(lst_Jobs,376)&amp;"")</f>
        <v/>
      </c>
      <c r="B389" s="10">
        <f>IF(A389="","",INDEX(lst_JobName,376)&amp;"")</f>
        <v/>
      </c>
      <c r="C389" s="11">
        <f>IF(A389="","",SUMIFS(tbl_WIP[Amount],tbl_WIP[Job Number],A389,tbl_WIP[Month],"&lt;"&amp;$C$4))</f>
        <v/>
      </c>
      <c r="D389" s="11">
        <f>IF(A389="","",SUMIFS(tbl_WIP[Amount],tbl_WIP[Job Number],A389,tbl_WIP[Month],$C$4))</f>
        <v/>
      </c>
      <c r="E389" s="11">
        <f>IF(A389="","",C389+D389)</f>
        <v/>
      </c>
      <c r="F389" s="10">
        <f>IF(A389="","",IF(AND(ROUND(C389,2)=0,ROUND(D389,2)=0),"","yes"))</f>
        <v/>
      </c>
      <c r="G389" s="39" t="n"/>
      <c r="H389" s="11">
        <f>IF(OR(A389="",G389=""),"",E389-G389)</f>
        <v/>
      </c>
    </row>
    <row r="390">
      <c r="A390" s="10">
        <f>IF(INDEX(lst_Jobs,377)="","",INDEX(lst_Jobs,377)&amp;"")</f>
        <v/>
      </c>
      <c r="B390" s="10">
        <f>IF(A390="","",INDEX(lst_JobName,377)&amp;"")</f>
        <v/>
      </c>
      <c r="C390" s="11">
        <f>IF(A390="","",SUMIFS(tbl_WIP[Amount],tbl_WIP[Job Number],A390,tbl_WIP[Month],"&lt;"&amp;$C$4))</f>
        <v/>
      </c>
      <c r="D390" s="11">
        <f>IF(A390="","",SUMIFS(tbl_WIP[Amount],tbl_WIP[Job Number],A390,tbl_WIP[Month],$C$4))</f>
        <v/>
      </c>
      <c r="E390" s="11">
        <f>IF(A390="","",C390+D390)</f>
        <v/>
      </c>
      <c r="F390" s="10">
        <f>IF(A390="","",IF(AND(ROUND(C390,2)=0,ROUND(D390,2)=0),"","yes"))</f>
        <v/>
      </c>
      <c r="G390" s="39" t="n"/>
      <c r="H390" s="11">
        <f>IF(OR(A390="",G390=""),"",E390-G390)</f>
        <v/>
      </c>
    </row>
    <row r="391">
      <c r="A391" s="10">
        <f>IF(INDEX(lst_Jobs,378)="","",INDEX(lst_Jobs,378)&amp;"")</f>
        <v/>
      </c>
      <c r="B391" s="10">
        <f>IF(A391="","",INDEX(lst_JobName,378)&amp;"")</f>
        <v/>
      </c>
      <c r="C391" s="11">
        <f>IF(A391="","",SUMIFS(tbl_WIP[Amount],tbl_WIP[Job Number],A391,tbl_WIP[Month],"&lt;"&amp;$C$4))</f>
        <v/>
      </c>
      <c r="D391" s="11">
        <f>IF(A391="","",SUMIFS(tbl_WIP[Amount],tbl_WIP[Job Number],A391,tbl_WIP[Month],$C$4))</f>
        <v/>
      </c>
      <c r="E391" s="11">
        <f>IF(A391="","",C391+D391)</f>
        <v/>
      </c>
      <c r="F391" s="10">
        <f>IF(A391="","",IF(AND(ROUND(C391,2)=0,ROUND(D391,2)=0),"","yes"))</f>
        <v/>
      </c>
      <c r="G391" s="39" t="n"/>
      <c r="H391" s="11">
        <f>IF(OR(A391="",G391=""),"",E391-G391)</f>
        <v/>
      </c>
    </row>
    <row r="392">
      <c r="A392" s="10">
        <f>IF(INDEX(lst_Jobs,379)="","",INDEX(lst_Jobs,379)&amp;"")</f>
        <v/>
      </c>
      <c r="B392" s="10">
        <f>IF(A392="","",INDEX(lst_JobName,379)&amp;"")</f>
        <v/>
      </c>
      <c r="C392" s="11">
        <f>IF(A392="","",SUMIFS(tbl_WIP[Amount],tbl_WIP[Job Number],A392,tbl_WIP[Month],"&lt;"&amp;$C$4))</f>
        <v/>
      </c>
      <c r="D392" s="11">
        <f>IF(A392="","",SUMIFS(tbl_WIP[Amount],tbl_WIP[Job Number],A392,tbl_WIP[Month],$C$4))</f>
        <v/>
      </c>
      <c r="E392" s="11">
        <f>IF(A392="","",C392+D392)</f>
        <v/>
      </c>
      <c r="F392" s="10">
        <f>IF(A392="","",IF(AND(ROUND(C392,2)=0,ROUND(D392,2)=0),"","yes"))</f>
        <v/>
      </c>
      <c r="G392" s="39" t="n"/>
      <c r="H392" s="11">
        <f>IF(OR(A392="",G392=""),"",E392-G392)</f>
        <v/>
      </c>
    </row>
    <row r="393">
      <c r="A393" s="10">
        <f>IF(INDEX(lst_Jobs,380)="","",INDEX(lst_Jobs,380)&amp;"")</f>
        <v/>
      </c>
      <c r="B393" s="10">
        <f>IF(A393="","",INDEX(lst_JobName,380)&amp;"")</f>
        <v/>
      </c>
      <c r="C393" s="11">
        <f>IF(A393="","",SUMIFS(tbl_WIP[Amount],tbl_WIP[Job Number],A393,tbl_WIP[Month],"&lt;"&amp;$C$4))</f>
        <v/>
      </c>
      <c r="D393" s="11">
        <f>IF(A393="","",SUMIFS(tbl_WIP[Amount],tbl_WIP[Job Number],A393,tbl_WIP[Month],$C$4))</f>
        <v/>
      </c>
      <c r="E393" s="11">
        <f>IF(A393="","",C393+D393)</f>
        <v/>
      </c>
      <c r="F393" s="10">
        <f>IF(A393="","",IF(AND(ROUND(C393,2)=0,ROUND(D393,2)=0),"","yes"))</f>
        <v/>
      </c>
      <c r="G393" s="39" t="n"/>
      <c r="H393" s="11">
        <f>IF(OR(A393="",G393=""),"",E393-G393)</f>
        <v/>
      </c>
    </row>
    <row r="394">
      <c r="A394" s="10">
        <f>IF(INDEX(lst_Jobs,381)="","",INDEX(lst_Jobs,381)&amp;"")</f>
        <v/>
      </c>
      <c r="B394" s="10">
        <f>IF(A394="","",INDEX(lst_JobName,381)&amp;"")</f>
        <v/>
      </c>
      <c r="C394" s="11">
        <f>IF(A394="","",SUMIFS(tbl_WIP[Amount],tbl_WIP[Job Number],A394,tbl_WIP[Month],"&lt;"&amp;$C$4))</f>
        <v/>
      </c>
      <c r="D394" s="11">
        <f>IF(A394="","",SUMIFS(tbl_WIP[Amount],tbl_WIP[Job Number],A394,tbl_WIP[Month],$C$4))</f>
        <v/>
      </c>
      <c r="E394" s="11">
        <f>IF(A394="","",C394+D394)</f>
        <v/>
      </c>
      <c r="F394" s="10">
        <f>IF(A394="","",IF(AND(ROUND(C394,2)=0,ROUND(D394,2)=0),"","yes"))</f>
        <v/>
      </c>
      <c r="G394" s="39" t="n"/>
      <c r="H394" s="11">
        <f>IF(OR(A394="",G394=""),"",E394-G394)</f>
        <v/>
      </c>
    </row>
    <row r="395">
      <c r="A395" s="10">
        <f>IF(INDEX(lst_Jobs,382)="","",INDEX(lst_Jobs,382)&amp;"")</f>
        <v/>
      </c>
      <c r="B395" s="10">
        <f>IF(A395="","",INDEX(lst_JobName,382)&amp;"")</f>
        <v/>
      </c>
      <c r="C395" s="11">
        <f>IF(A395="","",SUMIFS(tbl_WIP[Amount],tbl_WIP[Job Number],A395,tbl_WIP[Month],"&lt;"&amp;$C$4))</f>
        <v/>
      </c>
      <c r="D395" s="11">
        <f>IF(A395="","",SUMIFS(tbl_WIP[Amount],tbl_WIP[Job Number],A395,tbl_WIP[Month],$C$4))</f>
        <v/>
      </c>
      <c r="E395" s="11">
        <f>IF(A395="","",C395+D395)</f>
        <v/>
      </c>
      <c r="F395" s="10">
        <f>IF(A395="","",IF(AND(ROUND(C395,2)=0,ROUND(D395,2)=0),"","yes"))</f>
        <v/>
      </c>
      <c r="G395" s="39" t="n"/>
      <c r="H395" s="11">
        <f>IF(OR(A395="",G395=""),"",E395-G395)</f>
        <v/>
      </c>
    </row>
    <row r="396">
      <c r="A396" s="10">
        <f>IF(INDEX(lst_Jobs,383)="","",INDEX(lst_Jobs,383)&amp;"")</f>
        <v/>
      </c>
      <c r="B396" s="10">
        <f>IF(A396="","",INDEX(lst_JobName,383)&amp;"")</f>
        <v/>
      </c>
      <c r="C396" s="11">
        <f>IF(A396="","",SUMIFS(tbl_WIP[Amount],tbl_WIP[Job Number],A396,tbl_WIP[Month],"&lt;"&amp;$C$4))</f>
        <v/>
      </c>
      <c r="D396" s="11">
        <f>IF(A396="","",SUMIFS(tbl_WIP[Amount],tbl_WIP[Job Number],A396,tbl_WIP[Month],$C$4))</f>
        <v/>
      </c>
      <c r="E396" s="11">
        <f>IF(A396="","",C396+D396)</f>
        <v/>
      </c>
      <c r="F396" s="10">
        <f>IF(A396="","",IF(AND(ROUND(C396,2)=0,ROUND(D396,2)=0),"","yes"))</f>
        <v/>
      </c>
      <c r="G396" s="39" t="n"/>
      <c r="H396" s="11">
        <f>IF(OR(A396="",G396=""),"",E396-G396)</f>
        <v/>
      </c>
    </row>
    <row r="397">
      <c r="A397" s="10">
        <f>IF(INDEX(lst_Jobs,384)="","",INDEX(lst_Jobs,384)&amp;"")</f>
        <v/>
      </c>
      <c r="B397" s="10">
        <f>IF(A397="","",INDEX(lst_JobName,384)&amp;"")</f>
        <v/>
      </c>
      <c r="C397" s="11">
        <f>IF(A397="","",SUMIFS(tbl_WIP[Amount],tbl_WIP[Job Number],A397,tbl_WIP[Month],"&lt;"&amp;$C$4))</f>
        <v/>
      </c>
      <c r="D397" s="11">
        <f>IF(A397="","",SUMIFS(tbl_WIP[Amount],tbl_WIP[Job Number],A397,tbl_WIP[Month],$C$4))</f>
        <v/>
      </c>
      <c r="E397" s="11">
        <f>IF(A397="","",C397+D397)</f>
        <v/>
      </c>
      <c r="F397" s="10">
        <f>IF(A397="","",IF(AND(ROUND(C397,2)=0,ROUND(D397,2)=0),"","yes"))</f>
        <v/>
      </c>
      <c r="G397" s="39" t="n"/>
      <c r="H397" s="11">
        <f>IF(OR(A397="",G397=""),"",E397-G397)</f>
        <v/>
      </c>
    </row>
    <row r="398">
      <c r="A398" s="10">
        <f>IF(INDEX(lst_Jobs,385)="","",INDEX(lst_Jobs,385)&amp;"")</f>
        <v/>
      </c>
      <c r="B398" s="10">
        <f>IF(A398="","",INDEX(lst_JobName,385)&amp;"")</f>
        <v/>
      </c>
      <c r="C398" s="11">
        <f>IF(A398="","",SUMIFS(tbl_WIP[Amount],tbl_WIP[Job Number],A398,tbl_WIP[Month],"&lt;"&amp;$C$4))</f>
        <v/>
      </c>
      <c r="D398" s="11">
        <f>IF(A398="","",SUMIFS(tbl_WIP[Amount],tbl_WIP[Job Number],A398,tbl_WIP[Month],$C$4))</f>
        <v/>
      </c>
      <c r="E398" s="11">
        <f>IF(A398="","",C398+D398)</f>
        <v/>
      </c>
      <c r="F398" s="10">
        <f>IF(A398="","",IF(AND(ROUND(C398,2)=0,ROUND(D398,2)=0),"","yes"))</f>
        <v/>
      </c>
      <c r="G398" s="39" t="n"/>
      <c r="H398" s="11">
        <f>IF(OR(A398="",G398=""),"",E398-G398)</f>
        <v/>
      </c>
    </row>
    <row r="399">
      <c r="A399" s="10">
        <f>IF(INDEX(lst_Jobs,386)="","",INDEX(lst_Jobs,386)&amp;"")</f>
        <v/>
      </c>
      <c r="B399" s="10">
        <f>IF(A399="","",INDEX(lst_JobName,386)&amp;"")</f>
        <v/>
      </c>
      <c r="C399" s="11">
        <f>IF(A399="","",SUMIFS(tbl_WIP[Amount],tbl_WIP[Job Number],A399,tbl_WIP[Month],"&lt;"&amp;$C$4))</f>
        <v/>
      </c>
      <c r="D399" s="11">
        <f>IF(A399="","",SUMIFS(tbl_WIP[Amount],tbl_WIP[Job Number],A399,tbl_WIP[Month],$C$4))</f>
        <v/>
      </c>
      <c r="E399" s="11">
        <f>IF(A399="","",C399+D399)</f>
        <v/>
      </c>
      <c r="F399" s="10">
        <f>IF(A399="","",IF(AND(ROUND(C399,2)=0,ROUND(D399,2)=0),"","yes"))</f>
        <v/>
      </c>
      <c r="G399" s="39" t="n"/>
      <c r="H399" s="11">
        <f>IF(OR(A399="",G399=""),"",E399-G399)</f>
        <v/>
      </c>
    </row>
    <row r="400">
      <c r="A400" s="10">
        <f>IF(INDEX(lst_Jobs,387)="","",INDEX(lst_Jobs,387)&amp;"")</f>
        <v/>
      </c>
      <c r="B400" s="10">
        <f>IF(A400="","",INDEX(lst_JobName,387)&amp;"")</f>
        <v/>
      </c>
      <c r="C400" s="11">
        <f>IF(A400="","",SUMIFS(tbl_WIP[Amount],tbl_WIP[Job Number],A400,tbl_WIP[Month],"&lt;"&amp;$C$4))</f>
        <v/>
      </c>
      <c r="D400" s="11">
        <f>IF(A400="","",SUMIFS(tbl_WIP[Amount],tbl_WIP[Job Number],A400,tbl_WIP[Month],$C$4))</f>
        <v/>
      </c>
      <c r="E400" s="11">
        <f>IF(A400="","",C400+D400)</f>
        <v/>
      </c>
      <c r="F400" s="10">
        <f>IF(A400="","",IF(AND(ROUND(C400,2)=0,ROUND(D400,2)=0),"","yes"))</f>
        <v/>
      </c>
      <c r="G400" s="39" t="n"/>
      <c r="H400" s="11">
        <f>IF(OR(A400="",G400=""),"",E400-G400)</f>
        <v/>
      </c>
    </row>
    <row r="401">
      <c r="A401" s="10">
        <f>IF(INDEX(lst_Jobs,388)="","",INDEX(lst_Jobs,388)&amp;"")</f>
        <v/>
      </c>
      <c r="B401" s="10">
        <f>IF(A401="","",INDEX(lst_JobName,388)&amp;"")</f>
        <v/>
      </c>
      <c r="C401" s="11">
        <f>IF(A401="","",SUMIFS(tbl_WIP[Amount],tbl_WIP[Job Number],A401,tbl_WIP[Month],"&lt;"&amp;$C$4))</f>
        <v/>
      </c>
      <c r="D401" s="11">
        <f>IF(A401="","",SUMIFS(tbl_WIP[Amount],tbl_WIP[Job Number],A401,tbl_WIP[Month],$C$4))</f>
        <v/>
      </c>
      <c r="E401" s="11">
        <f>IF(A401="","",C401+D401)</f>
        <v/>
      </c>
      <c r="F401" s="10">
        <f>IF(A401="","",IF(AND(ROUND(C401,2)=0,ROUND(D401,2)=0),"","yes"))</f>
        <v/>
      </c>
      <c r="G401" s="39" t="n"/>
      <c r="H401" s="11">
        <f>IF(OR(A401="",G401=""),"",E401-G401)</f>
        <v/>
      </c>
    </row>
    <row r="402">
      <c r="A402" s="10">
        <f>IF(INDEX(lst_Jobs,389)="","",INDEX(lst_Jobs,389)&amp;"")</f>
        <v/>
      </c>
      <c r="B402" s="10">
        <f>IF(A402="","",INDEX(lst_JobName,389)&amp;"")</f>
        <v/>
      </c>
      <c r="C402" s="11">
        <f>IF(A402="","",SUMIFS(tbl_WIP[Amount],tbl_WIP[Job Number],A402,tbl_WIP[Month],"&lt;"&amp;$C$4))</f>
        <v/>
      </c>
      <c r="D402" s="11">
        <f>IF(A402="","",SUMIFS(tbl_WIP[Amount],tbl_WIP[Job Number],A402,tbl_WIP[Month],$C$4))</f>
        <v/>
      </c>
      <c r="E402" s="11">
        <f>IF(A402="","",C402+D402)</f>
        <v/>
      </c>
      <c r="F402" s="10">
        <f>IF(A402="","",IF(AND(ROUND(C402,2)=0,ROUND(D402,2)=0),"","yes"))</f>
        <v/>
      </c>
      <c r="G402" s="39" t="n"/>
      <c r="H402" s="11">
        <f>IF(OR(A402="",G402=""),"",E402-G402)</f>
        <v/>
      </c>
    </row>
    <row r="403">
      <c r="A403" s="10">
        <f>IF(INDEX(lst_Jobs,390)="","",INDEX(lst_Jobs,390)&amp;"")</f>
        <v/>
      </c>
      <c r="B403" s="10">
        <f>IF(A403="","",INDEX(lst_JobName,390)&amp;"")</f>
        <v/>
      </c>
      <c r="C403" s="11">
        <f>IF(A403="","",SUMIFS(tbl_WIP[Amount],tbl_WIP[Job Number],A403,tbl_WIP[Month],"&lt;"&amp;$C$4))</f>
        <v/>
      </c>
      <c r="D403" s="11">
        <f>IF(A403="","",SUMIFS(tbl_WIP[Amount],tbl_WIP[Job Number],A403,tbl_WIP[Month],$C$4))</f>
        <v/>
      </c>
      <c r="E403" s="11">
        <f>IF(A403="","",C403+D403)</f>
        <v/>
      </c>
      <c r="F403" s="10">
        <f>IF(A403="","",IF(AND(ROUND(C403,2)=0,ROUND(D403,2)=0),"","yes"))</f>
        <v/>
      </c>
      <c r="G403" s="39" t="n"/>
      <c r="H403" s="11">
        <f>IF(OR(A403="",G403=""),"",E403-G403)</f>
        <v/>
      </c>
    </row>
    <row r="404">
      <c r="A404" s="10">
        <f>IF(INDEX(lst_Jobs,391)="","",INDEX(lst_Jobs,391)&amp;"")</f>
        <v/>
      </c>
      <c r="B404" s="10">
        <f>IF(A404="","",INDEX(lst_JobName,391)&amp;"")</f>
        <v/>
      </c>
      <c r="C404" s="11">
        <f>IF(A404="","",SUMIFS(tbl_WIP[Amount],tbl_WIP[Job Number],A404,tbl_WIP[Month],"&lt;"&amp;$C$4))</f>
        <v/>
      </c>
      <c r="D404" s="11">
        <f>IF(A404="","",SUMIFS(tbl_WIP[Amount],tbl_WIP[Job Number],A404,tbl_WIP[Month],$C$4))</f>
        <v/>
      </c>
      <c r="E404" s="11">
        <f>IF(A404="","",C404+D404)</f>
        <v/>
      </c>
      <c r="F404" s="10">
        <f>IF(A404="","",IF(AND(ROUND(C404,2)=0,ROUND(D404,2)=0),"","yes"))</f>
        <v/>
      </c>
      <c r="G404" s="39" t="n"/>
      <c r="H404" s="11">
        <f>IF(OR(A404="",G404=""),"",E404-G404)</f>
        <v/>
      </c>
    </row>
    <row r="405">
      <c r="A405" s="10">
        <f>IF(INDEX(lst_Jobs,392)="","",INDEX(lst_Jobs,392)&amp;"")</f>
        <v/>
      </c>
      <c r="B405" s="10">
        <f>IF(A405="","",INDEX(lst_JobName,392)&amp;"")</f>
        <v/>
      </c>
      <c r="C405" s="11">
        <f>IF(A405="","",SUMIFS(tbl_WIP[Amount],tbl_WIP[Job Number],A405,tbl_WIP[Month],"&lt;"&amp;$C$4))</f>
        <v/>
      </c>
      <c r="D405" s="11">
        <f>IF(A405="","",SUMIFS(tbl_WIP[Amount],tbl_WIP[Job Number],A405,tbl_WIP[Month],$C$4))</f>
        <v/>
      </c>
      <c r="E405" s="11">
        <f>IF(A405="","",C405+D405)</f>
        <v/>
      </c>
      <c r="F405" s="10">
        <f>IF(A405="","",IF(AND(ROUND(C405,2)=0,ROUND(D405,2)=0),"","yes"))</f>
        <v/>
      </c>
      <c r="G405" s="39" t="n"/>
      <c r="H405" s="11">
        <f>IF(OR(A405="",G405=""),"",E405-G405)</f>
        <v/>
      </c>
    </row>
    <row r="406">
      <c r="A406" s="10">
        <f>IF(INDEX(lst_Jobs,393)="","",INDEX(lst_Jobs,393)&amp;"")</f>
        <v/>
      </c>
      <c r="B406" s="10">
        <f>IF(A406="","",INDEX(lst_JobName,393)&amp;"")</f>
        <v/>
      </c>
      <c r="C406" s="11">
        <f>IF(A406="","",SUMIFS(tbl_WIP[Amount],tbl_WIP[Job Number],A406,tbl_WIP[Month],"&lt;"&amp;$C$4))</f>
        <v/>
      </c>
      <c r="D406" s="11">
        <f>IF(A406="","",SUMIFS(tbl_WIP[Amount],tbl_WIP[Job Number],A406,tbl_WIP[Month],$C$4))</f>
        <v/>
      </c>
      <c r="E406" s="11">
        <f>IF(A406="","",C406+D406)</f>
        <v/>
      </c>
      <c r="F406" s="10">
        <f>IF(A406="","",IF(AND(ROUND(C406,2)=0,ROUND(D406,2)=0),"","yes"))</f>
        <v/>
      </c>
      <c r="G406" s="39" t="n"/>
      <c r="H406" s="11">
        <f>IF(OR(A406="",G406=""),"",E406-G406)</f>
        <v/>
      </c>
    </row>
    <row r="407">
      <c r="A407" s="10">
        <f>IF(INDEX(lst_Jobs,394)="","",INDEX(lst_Jobs,394)&amp;"")</f>
        <v/>
      </c>
      <c r="B407" s="10">
        <f>IF(A407="","",INDEX(lst_JobName,394)&amp;"")</f>
        <v/>
      </c>
      <c r="C407" s="11">
        <f>IF(A407="","",SUMIFS(tbl_WIP[Amount],tbl_WIP[Job Number],A407,tbl_WIP[Month],"&lt;"&amp;$C$4))</f>
        <v/>
      </c>
      <c r="D407" s="11">
        <f>IF(A407="","",SUMIFS(tbl_WIP[Amount],tbl_WIP[Job Number],A407,tbl_WIP[Month],$C$4))</f>
        <v/>
      </c>
      <c r="E407" s="11">
        <f>IF(A407="","",C407+D407)</f>
        <v/>
      </c>
      <c r="F407" s="10">
        <f>IF(A407="","",IF(AND(ROUND(C407,2)=0,ROUND(D407,2)=0),"","yes"))</f>
        <v/>
      </c>
      <c r="G407" s="39" t="n"/>
      <c r="H407" s="11">
        <f>IF(OR(A407="",G407=""),"",E407-G407)</f>
        <v/>
      </c>
    </row>
    <row r="408">
      <c r="A408" s="10">
        <f>IF(INDEX(lst_Jobs,395)="","",INDEX(lst_Jobs,395)&amp;"")</f>
        <v/>
      </c>
      <c r="B408" s="10">
        <f>IF(A408="","",INDEX(lst_JobName,395)&amp;"")</f>
        <v/>
      </c>
      <c r="C408" s="11">
        <f>IF(A408="","",SUMIFS(tbl_WIP[Amount],tbl_WIP[Job Number],A408,tbl_WIP[Month],"&lt;"&amp;$C$4))</f>
        <v/>
      </c>
      <c r="D408" s="11">
        <f>IF(A408="","",SUMIFS(tbl_WIP[Amount],tbl_WIP[Job Number],A408,tbl_WIP[Month],$C$4))</f>
        <v/>
      </c>
      <c r="E408" s="11">
        <f>IF(A408="","",C408+D408)</f>
        <v/>
      </c>
      <c r="F408" s="10">
        <f>IF(A408="","",IF(AND(ROUND(C408,2)=0,ROUND(D408,2)=0),"","yes"))</f>
        <v/>
      </c>
      <c r="G408" s="39" t="n"/>
      <c r="H408" s="11">
        <f>IF(OR(A408="",G408=""),"",E408-G408)</f>
        <v/>
      </c>
    </row>
    <row r="409">
      <c r="A409" s="10">
        <f>IF(INDEX(lst_Jobs,396)="","",INDEX(lst_Jobs,396)&amp;"")</f>
        <v/>
      </c>
      <c r="B409" s="10">
        <f>IF(A409="","",INDEX(lst_JobName,396)&amp;"")</f>
        <v/>
      </c>
      <c r="C409" s="11">
        <f>IF(A409="","",SUMIFS(tbl_WIP[Amount],tbl_WIP[Job Number],A409,tbl_WIP[Month],"&lt;"&amp;$C$4))</f>
        <v/>
      </c>
      <c r="D409" s="11">
        <f>IF(A409="","",SUMIFS(tbl_WIP[Amount],tbl_WIP[Job Number],A409,tbl_WIP[Month],$C$4))</f>
        <v/>
      </c>
      <c r="E409" s="11">
        <f>IF(A409="","",C409+D409)</f>
        <v/>
      </c>
      <c r="F409" s="10">
        <f>IF(A409="","",IF(AND(ROUND(C409,2)=0,ROUND(D409,2)=0),"","yes"))</f>
        <v/>
      </c>
      <c r="G409" s="39" t="n"/>
      <c r="H409" s="11">
        <f>IF(OR(A409="",G409=""),"",E409-G409)</f>
        <v/>
      </c>
    </row>
    <row r="410">
      <c r="A410" s="10">
        <f>IF(INDEX(lst_Jobs,397)="","",INDEX(lst_Jobs,397)&amp;"")</f>
        <v/>
      </c>
      <c r="B410" s="10">
        <f>IF(A410="","",INDEX(lst_JobName,397)&amp;"")</f>
        <v/>
      </c>
      <c r="C410" s="11">
        <f>IF(A410="","",SUMIFS(tbl_WIP[Amount],tbl_WIP[Job Number],A410,tbl_WIP[Month],"&lt;"&amp;$C$4))</f>
        <v/>
      </c>
      <c r="D410" s="11">
        <f>IF(A410="","",SUMIFS(tbl_WIP[Amount],tbl_WIP[Job Number],A410,tbl_WIP[Month],$C$4))</f>
        <v/>
      </c>
      <c r="E410" s="11">
        <f>IF(A410="","",C410+D410)</f>
        <v/>
      </c>
      <c r="F410" s="10">
        <f>IF(A410="","",IF(AND(ROUND(C410,2)=0,ROUND(D410,2)=0),"","yes"))</f>
        <v/>
      </c>
      <c r="G410" s="39" t="n"/>
      <c r="H410" s="11">
        <f>IF(OR(A410="",G410=""),"",E410-G410)</f>
        <v/>
      </c>
    </row>
    <row r="411">
      <c r="A411" s="10">
        <f>IF(INDEX(lst_Jobs,398)="","",INDEX(lst_Jobs,398)&amp;"")</f>
        <v/>
      </c>
      <c r="B411" s="10">
        <f>IF(A411="","",INDEX(lst_JobName,398)&amp;"")</f>
        <v/>
      </c>
      <c r="C411" s="11">
        <f>IF(A411="","",SUMIFS(tbl_WIP[Amount],tbl_WIP[Job Number],A411,tbl_WIP[Month],"&lt;"&amp;$C$4))</f>
        <v/>
      </c>
      <c r="D411" s="11">
        <f>IF(A411="","",SUMIFS(tbl_WIP[Amount],tbl_WIP[Job Number],A411,tbl_WIP[Month],$C$4))</f>
        <v/>
      </c>
      <c r="E411" s="11">
        <f>IF(A411="","",C411+D411)</f>
        <v/>
      </c>
      <c r="F411" s="10">
        <f>IF(A411="","",IF(AND(ROUND(C411,2)=0,ROUND(D411,2)=0),"","yes"))</f>
        <v/>
      </c>
      <c r="G411" s="39" t="n"/>
      <c r="H411" s="11">
        <f>IF(OR(A411="",G411=""),"",E411-G411)</f>
        <v/>
      </c>
    </row>
    <row r="412">
      <c r="A412" s="10">
        <f>IF(INDEX(lst_Jobs,399)="","",INDEX(lst_Jobs,399)&amp;"")</f>
        <v/>
      </c>
      <c r="B412" s="10">
        <f>IF(A412="","",INDEX(lst_JobName,399)&amp;"")</f>
        <v/>
      </c>
      <c r="C412" s="11">
        <f>IF(A412="","",SUMIFS(tbl_WIP[Amount],tbl_WIP[Job Number],A412,tbl_WIP[Month],"&lt;"&amp;$C$4))</f>
        <v/>
      </c>
      <c r="D412" s="11">
        <f>IF(A412="","",SUMIFS(tbl_WIP[Amount],tbl_WIP[Job Number],A412,tbl_WIP[Month],$C$4))</f>
        <v/>
      </c>
      <c r="E412" s="11">
        <f>IF(A412="","",C412+D412)</f>
        <v/>
      </c>
      <c r="F412" s="10">
        <f>IF(A412="","",IF(AND(ROUND(C412,2)=0,ROUND(D412,2)=0),"","yes"))</f>
        <v/>
      </c>
      <c r="G412" s="39" t="n"/>
      <c r="H412" s="11">
        <f>IF(OR(A412="",G412=""),"",E412-G412)</f>
        <v/>
      </c>
    </row>
    <row r="413">
      <c r="A413" s="10">
        <f>IF(INDEX(lst_Jobs,400)="","",INDEX(lst_Jobs,400)&amp;"")</f>
        <v/>
      </c>
      <c r="B413" s="10">
        <f>IF(A413="","",INDEX(lst_JobName,400)&amp;"")</f>
        <v/>
      </c>
      <c r="C413" s="11">
        <f>IF(A413="","",SUMIFS(tbl_WIP[Amount],tbl_WIP[Job Number],A413,tbl_WIP[Month],"&lt;"&amp;$C$4))</f>
        <v/>
      </c>
      <c r="D413" s="11">
        <f>IF(A413="","",SUMIFS(tbl_WIP[Amount],tbl_WIP[Job Number],A413,tbl_WIP[Month],$C$4))</f>
        <v/>
      </c>
      <c r="E413" s="11">
        <f>IF(A413="","",C413+D413)</f>
        <v/>
      </c>
      <c r="F413" s="10">
        <f>IF(A413="","",IF(AND(ROUND(C413,2)=0,ROUND(D413,2)=0),"","yes"))</f>
        <v/>
      </c>
      <c r="G413" s="39" t="n"/>
      <c r="H413" s="11">
        <f>IF(OR(A413="",G413=""),"",E413-G413)</f>
        <v/>
      </c>
    </row>
    <row r="414">
      <c r="A414" s="10">
        <f>IF(INDEX(lst_Jobs,401)="","",INDEX(lst_Jobs,401)&amp;"")</f>
        <v/>
      </c>
      <c r="B414" s="10">
        <f>IF(A414="","",INDEX(lst_JobName,401)&amp;"")</f>
        <v/>
      </c>
      <c r="C414" s="11">
        <f>IF(A414="","",SUMIFS(tbl_WIP[Amount],tbl_WIP[Job Number],A414,tbl_WIP[Month],"&lt;"&amp;$C$4))</f>
        <v/>
      </c>
      <c r="D414" s="11">
        <f>IF(A414="","",SUMIFS(tbl_WIP[Amount],tbl_WIP[Job Number],A414,tbl_WIP[Month],$C$4))</f>
        <v/>
      </c>
      <c r="E414" s="11">
        <f>IF(A414="","",C414+D414)</f>
        <v/>
      </c>
      <c r="F414" s="10">
        <f>IF(A414="","",IF(AND(ROUND(C414,2)=0,ROUND(D414,2)=0),"","yes"))</f>
        <v/>
      </c>
      <c r="G414" s="39" t="n"/>
      <c r="H414" s="11">
        <f>IF(OR(A414="",G414=""),"",E414-G414)</f>
        <v/>
      </c>
    </row>
    <row r="415">
      <c r="A415" s="10">
        <f>IF(INDEX(lst_Jobs,402)="","",INDEX(lst_Jobs,402)&amp;"")</f>
        <v/>
      </c>
      <c r="B415" s="10">
        <f>IF(A415="","",INDEX(lst_JobName,402)&amp;"")</f>
        <v/>
      </c>
      <c r="C415" s="11">
        <f>IF(A415="","",SUMIFS(tbl_WIP[Amount],tbl_WIP[Job Number],A415,tbl_WIP[Month],"&lt;"&amp;$C$4))</f>
        <v/>
      </c>
      <c r="D415" s="11">
        <f>IF(A415="","",SUMIFS(tbl_WIP[Amount],tbl_WIP[Job Number],A415,tbl_WIP[Month],$C$4))</f>
        <v/>
      </c>
      <c r="E415" s="11">
        <f>IF(A415="","",C415+D415)</f>
        <v/>
      </c>
      <c r="F415" s="10">
        <f>IF(A415="","",IF(AND(ROUND(C415,2)=0,ROUND(D415,2)=0),"","yes"))</f>
        <v/>
      </c>
      <c r="G415" s="39" t="n"/>
      <c r="H415" s="11">
        <f>IF(OR(A415="",G415=""),"",E415-G415)</f>
        <v/>
      </c>
    </row>
    <row r="416">
      <c r="A416" s="10">
        <f>IF(INDEX(lst_Jobs,403)="","",INDEX(lst_Jobs,403)&amp;"")</f>
        <v/>
      </c>
      <c r="B416" s="10">
        <f>IF(A416="","",INDEX(lst_JobName,403)&amp;"")</f>
        <v/>
      </c>
      <c r="C416" s="11">
        <f>IF(A416="","",SUMIFS(tbl_WIP[Amount],tbl_WIP[Job Number],A416,tbl_WIP[Month],"&lt;"&amp;$C$4))</f>
        <v/>
      </c>
      <c r="D416" s="11">
        <f>IF(A416="","",SUMIFS(tbl_WIP[Amount],tbl_WIP[Job Number],A416,tbl_WIP[Month],$C$4))</f>
        <v/>
      </c>
      <c r="E416" s="11">
        <f>IF(A416="","",C416+D416)</f>
        <v/>
      </c>
      <c r="F416" s="10">
        <f>IF(A416="","",IF(AND(ROUND(C416,2)=0,ROUND(D416,2)=0),"","yes"))</f>
        <v/>
      </c>
      <c r="G416" s="39" t="n"/>
      <c r="H416" s="11">
        <f>IF(OR(A416="",G416=""),"",E416-G416)</f>
        <v/>
      </c>
    </row>
    <row r="417">
      <c r="A417" s="10">
        <f>IF(INDEX(lst_Jobs,404)="","",INDEX(lst_Jobs,404)&amp;"")</f>
        <v/>
      </c>
      <c r="B417" s="10">
        <f>IF(A417="","",INDEX(lst_JobName,404)&amp;"")</f>
        <v/>
      </c>
      <c r="C417" s="11">
        <f>IF(A417="","",SUMIFS(tbl_WIP[Amount],tbl_WIP[Job Number],A417,tbl_WIP[Month],"&lt;"&amp;$C$4))</f>
        <v/>
      </c>
      <c r="D417" s="11">
        <f>IF(A417="","",SUMIFS(tbl_WIP[Amount],tbl_WIP[Job Number],A417,tbl_WIP[Month],$C$4))</f>
        <v/>
      </c>
      <c r="E417" s="11">
        <f>IF(A417="","",C417+D417)</f>
        <v/>
      </c>
      <c r="F417" s="10">
        <f>IF(A417="","",IF(AND(ROUND(C417,2)=0,ROUND(D417,2)=0),"","yes"))</f>
        <v/>
      </c>
      <c r="G417" s="39" t="n"/>
      <c r="H417" s="11">
        <f>IF(OR(A417="",G417=""),"",E417-G417)</f>
        <v/>
      </c>
    </row>
    <row r="418">
      <c r="A418" s="10">
        <f>IF(INDEX(lst_Jobs,405)="","",INDEX(lst_Jobs,405)&amp;"")</f>
        <v/>
      </c>
      <c r="B418" s="10">
        <f>IF(A418="","",INDEX(lst_JobName,405)&amp;"")</f>
        <v/>
      </c>
      <c r="C418" s="11">
        <f>IF(A418="","",SUMIFS(tbl_WIP[Amount],tbl_WIP[Job Number],A418,tbl_WIP[Month],"&lt;"&amp;$C$4))</f>
        <v/>
      </c>
      <c r="D418" s="11">
        <f>IF(A418="","",SUMIFS(tbl_WIP[Amount],tbl_WIP[Job Number],A418,tbl_WIP[Month],$C$4))</f>
        <v/>
      </c>
      <c r="E418" s="11">
        <f>IF(A418="","",C418+D418)</f>
        <v/>
      </c>
      <c r="F418" s="10">
        <f>IF(A418="","",IF(AND(ROUND(C418,2)=0,ROUND(D418,2)=0),"","yes"))</f>
        <v/>
      </c>
      <c r="G418" s="39" t="n"/>
      <c r="H418" s="11">
        <f>IF(OR(A418="",G418=""),"",E418-G418)</f>
        <v/>
      </c>
    </row>
    <row r="419">
      <c r="A419" s="10">
        <f>IF(INDEX(lst_Jobs,406)="","",INDEX(lst_Jobs,406)&amp;"")</f>
        <v/>
      </c>
      <c r="B419" s="10">
        <f>IF(A419="","",INDEX(lst_JobName,406)&amp;"")</f>
        <v/>
      </c>
      <c r="C419" s="11">
        <f>IF(A419="","",SUMIFS(tbl_WIP[Amount],tbl_WIP[Job Number],A419,tbl_WIP[Month],"&lt;"&amp;$C$4))</f>
        <v/>
      </c>
      <c r="D419" s="11">
        <f>IF(A419="","",SUMIFS(tbl_WIP[Amount],tbl_WIP[Job Number],A419,tbl_WIP[Month],$C$4))</f>
        <v/>
      </c>
      <c r="E419" s="11">
        <f>IF(A419="","",C419+D419)</f>
        <v/>
      </c>
      <c r="F419" s="10">
        <f>IF(A419="","",IF(AND(ROUND(C419,2)=0,ROUND(D419,2)=0),"","yes"))</f>
        <v/>
      </c>
      <c r="G419" s="39" t="n"/>
      <c r="H419" s="11">
        <f>IF(OR(A419="",G419=""),"",E419-G419)</f>
        <v/>
      </c>
    </row>
    <row r="420">
      <c r="A420" s="10">
        <f>IF(INDEX(lst_Jobs,407)="","",INDEX(lst_Jobs,407)&amp;"")</f>
        <v/>
      </c>
      <c r="B420" s="10">
        <f>IF(A420="","",INDEX(lst_JobName,407)&amp;"")</f>
        <v/>
      </c>
      <c r="C420" s="11">
        <f>IF(A420="","",SUMIFS(tbl_WIP[Amount],tbl_WIP[Job Number],A420,tbl_WIP[Month],"&lt;"&amp;$C$4))</f>
        <v/>
      </c>
      <c r="D420" s="11">
        <f>IF(A420="","",SUMIFS(tbl_WIP[Amount],tbl_WIP[Job Number],A420,tbl_WIP[Month],$C$4))</f>
        <v/>
      </c>
      <c r="E420" s="11">
        <f>IF(A420="","",C420+D420)</f>
        <v/>
      </c>
      <c r="F420" s="10">
        <f>IF(A420="","",IF(AND(ROUND(C420,2)=0,ROUND(D420,2)=0),"","yes"))</f>
        <v/>
      </c>
      <c r="G420" s="39" t="n"/>
      <c r="H420" s="11">
        <f>IF(OR(A420="",G420=""),"",E420-G420)</f>
        <v/>
      </c>
    </row>
    <row r="421">
      <c r="A421" s="10">
        <f>IF(INDEX(lst_Jobs,408)="","",INDEX(lst_Jobs,408)&amp;"")</f>
        <v/>
      </c>
      <c r="B421" s="10">
        <f>IF(A421="","",INDEX(lst_JobName,408)&amp;"")</f>
        <v/>
      </c>
      <c r="C421" s="11">
        <f>IF(A421="","",SUMIFS(tbl_WIP[Amount],tbl_WIP[Job Number],A421,tbl_WIP[Month],"&lt;"&amp;$C$4))</f>
        <v/>
      </c>
      <c r="D421" s="11">
        <f>IF(A421="","",SUMIFS(tbl_WIP[Amount],tbl_WIP[Job Number],A421,tbl_WIP[Month],$C$4))</f>
        <v/>
      </c>
      <c r="E421" s="11">
        <f>IF(A421="","",C421+D421)</f>
        <v/>
      </c>
      <c r="F421" s="10">
        <f>IF(A421="","",IF(AND(ROUND(C421,2)=0,ROUND(D421,2)=0),"","yes"))</f>
        <v/>
      </c>
      <c r="G421" s="39" t="n"/>
      <c r="H421" s="11">
        <f>IF(OR(A421="",G421=""),"",E421-G421)</f>
        <v/>
      </c>
    </row>
    <row r="422">
      <c r="A422" s="10">
        <f>IF(INDEX(lst_Jobs,409)="","",INDEX(lst_Jobs,409)&amp;"")</f>
        <v/>
      </c>
      <c r="B422" s="10">
        <f>IF(A422="","",INDEX(lst_JobName,409)&amp;"")</f>
        <v/>
      </c>
      <c r="C422" s="11">
        <f>IF(A422="","",SUMIFS(tbl_WIP[Amount],tbl_WIP[Job Number],A422,tbl_WIP[Month],"&lt;"&amp;$C$4))</f>
        <v/>
      </c>
      <c r="D422" s="11">
        <f>IF(A422="","",SUMIFS(tbl_WIP[Amount],tbl_WIP[Job Number],A422,tbl_WIP[Month],$C$4))</f>
        <v/>
      </c>
      <c r="E422" s="11">
        <f>IF(A422="","",C422+D422)</f>
        <v/>
      </c>
      <c r="F422" s="10">
        <f>IF(A422="","",IF(AND(ROUND(C422,2)=0,ROUND(D422,2)=0),"","yes"))</f>
        <v/>
      </c>
      <c r="G422" s="39" t="n"/>
      <c r="H422" s="11">
        <f>IF(OR(A422="",G422=""),"",E422-G422)</f>
        <v/>
      </c>
    </row>
    <row r="423">
      <c r="A423" s="10">
        <f>IF(INDEX(lst_Jobs,410)="","",INDEX(lst_Jobs,410)&amp;"")</f>
        <v/>
      </c>
      <c r="B423" s="10">
        <f>IF(A423="","",INDEX(lst_JobName,410)&amp;"")</f>
        <v/>
      </c>
      <c r="C423" s="11">
        <f>IF(A423="","",SUMIFS(tbl_WIP[Amount],tbl_WIP[Job Number],A423,tbl_WIP[Month],"&lt;"&amp;$C$4))</f>
        <v/>
      </c>
      <c r="D423" s="11">
        <f>IF(A423="","",SUMIFS(tbl_WIP[Amount],tbl_WIP[Job Number],A423,tbl_WIP[Month],$C$4))</f>
        <v/>
      </c>
      <c r="E423" s="11">
        <f>IF(A423="","",C423+D423)</f>
        <v/>
      </c>
      <c r="F423" s="10">
        <f>IF(A423="","",IF(AND(ROUND(C423,2)=0,ROUND(D423,2)=0),"","yes"))</f>
        <v/>
      </c>
      <c r="G423" s="39" t="n"/>
      <c r="H423" s="11">
        <f>IF(OR(A423="",G423=""),"",E423-G423)</f>
        <v/>
      </c>
    </row>
    <row r="424">
      <c r="A424" s="10">
        <f>IF(INDEX(lst_Jobs,411)="","",INDEX(lst_Jobs,411)&amp;"")</f>
        <v/>
      </c>
      <c r="B424" s="10">
        <f>IF(A424="","",INDEX(lst_JobName,411)&amp;"")</f>
        <v/>
      </c>
      <c r="C424" s="11">
        <f>IF(A424="","",SUMIFS(tbl_WIP[Amount],tbl_WIP[Job Number],A424,tbl_WIP[Month],"&lt;"&amp;$C$4))</f>
        <v/>
      </c>
      <c r="D424" s="11">
        <f>IF(A424="","",SUMIFS(tbl_WIP[Amount],tbl_WIP[Job Number],A424,tbl_WIP[Month],$C$4))</f>
        <v/>
      </c>
      <c r="E424" s="11">
        <f>IF(A424="","",C424+D424)</f>
        <v/>
      </c>
      <c r="F424" s="10">
        <f>IF(A424="","",IF(AND(ROUND(C424,2)=0,ROUND(D424,2)=0),"","yes"))</f>
        <v/>
      </c>
      <c r="G424" s="39" t="n"/>
      <c r="H424" s="11">
        <f>IF(OR(A424="",G424=""),"",E424-G424)</f>
        <v/>
      </c>
    </row>
    <row r="425">
      <c r="A425" s="10">
        <f>IF(INDEX(lst_Jobs,412)="","",INDEX(lst_Jobs,412)&amp;"")</f>
        <v/>
      </c>
      <c r="B425" s="10">
        <f>IF(A425="","",INDEX(lst_JobName,412)&amp;"")</f>
        <v/>
      </c>
      <c r="C425" s="11">
        <f>IF(A425="","",SUMIFS(tbl_WIP[Amount],tbl_WIP[Job Number],A425,tbl_WIP[Month],"&lt;"&amp;$C$4))</f>
        <v/>
      </c>
      <c r="D425" s="11">
        <f>IF(A425="","",SUMIFS(tbl_WIP[Amount],tbl_WIP[Job Number],A425,tbl_WIP[Month],$C$4))</f>
        <v/>
      </c>
      <c r="E425" s="11">
        <f>IF(A425="","",C425+D425)</f>
        <v/>
      </c>
      <c r="F425" s="10">
        <f>IF(A425="","",IF(AND(ROUND(C425,2)=0,ROUND(D425,2)=0),"","yes"))</f>
        <v/>
      </c>
      <c r="G425" s="39" t="n"/>
      <c r="H425" s="11">
        <f>IF(OR(A425="",G425=""),"",E425-G425)</f>
        <v/>
      </c>
    </row>
    <row r="426">
      <c r="A426" s="10">
        <f>IF(INDEX(lst_Jobs,413)="","",INDEX(lst_Jobs,413)&amp;"")</f>
        <v/>
      </c>
      <c r="B426" s="10">
        <f>IF(A426="","",INDEX(lst_JobName,413)&amp;"")</f>
        <v/>
      </c>
      <c r="C426" s="11">
        <f>IF(A426="","",SUMIFS(tbl_WIP[Amount],tbl_WIP[Job Number],A426,tbl_WIP[Month],"&lt;"&amp;$C$4))</f>
        <v/>
      </c>
      <c r="D426" s="11">
        <f>IF(A426="","",SUMIFS(tbl_WIP[Amount],tbl_WIP[Job Number],A426,tbl_WIP[Month],$C$4))</f>
        <v/>
      </c>
      <c r="E426" s="11">
        <f>IF(A426="","",C426+D426)</f>
        <v/>
      </c>
      <c r="F426" s="10">
        <f>IF(A426="","",IF(AND(ROUND(C426,2)=0,ROUND(D426,2)=0),"","yes"))</f>
        <v/>
      </c>
      <c r="G426" s="39" t="n"/>
      <c r="H426" s="11">
        <f>IF(OR(A426="",G426=""),"",E426-G426)</f>
        <v/>
      </c>
    </row>
    <row r="427">
      <c r="A427" s="10">
        <f>IF(INDEX(lst_Jobs,414)="","",INDEX(lst_Jobs,414)&amp;"")</f>
        <v/>
      </c>
      <c r="B427" s="10">
        <f>IF(A427="","",INDEX(lst_JobName,414)&amp;"")</f>
        <v/>
      </c>
      <c r="C427" s="11">
        <f>IF(A427="","",SUMIFS(tbl_WIP[Amount],tbl_WIP[Job Number],A427,tbl_WIP[Month],"&lt;"&amp;$C$4))</f>
        <v/>
      </c>
      <c r="D427" s="11">
        <f>IF(A427="","",SUMIFS(tbl_WIP[Amount],tbl_WIP[Job Number],A427,tbl_WIP[Month],$C$4))</f>
        <v/>
      </c>
      <c r="E427" s="11">
        <f>IF(A427="","",C427+D427)</f>
        <v/>
      </c>
      <c r="F427" s="10">
        <f>IF(A427="","",IF(AND(ROUND(C427,2)=0,ROUND(D427,2)=0),"","yes"))</f>
        <v/>
      </c>
      <c r="G427" s="39" t="n"/>
      <c r="H427" s="11">
        <f>IF(OR(A427="",G427=""),"",E427-G427)</f>
        <v/>
      </c>
    </row>
    <row r="428">
      <c r="A428" s="10">
        <f>IF(INDEX(lst_Jobs,415)="","",INDEX(lst_Jobs,415)&amp;"")</f>
        <v/>
      </c>
      <c r="B428" s="10">
        <f>IF(A428="","",INDEX(lst_JobName,415)&amp;"")</f>
        <v/>
      </c>
      <c r="C428" s="11">
        <f>IF(A428="","",SUMIFS(tbl_WIP[Amount],tbl_WIP[Job Number],A428,tbl_WIP[Month],"&lt;"&amp;$C$4))</f>
        <v/>
      </c>
      <c r="D428" s="11">
        <f>IF(A428="","",SUMIFS(tbl_WIP[Amount],tbl_WIP[Job Number],A428,tbl_WIP[Month],$C$4))</f>
        <v/>
      </c>
      <c r="E428" s="11">
        <f>IF(A428="","",C428+D428)</f>
        <v/>
      </c>
      <c r="F428" s="10">
        <f>IF(A428="","",IF(AND(ROUND(C428,2)=0,ROUND(D428,2)=0),"","yes"))</f>
        <v/>
      </c>
      <c r="G428" s="39" t="n"/>
      <c r="H428" s="11">
        <f>IF(OR(A428="",G428=""),"",E428-G428)</f>
        <v/>
      </c>
    </row>
    <row r="429">
      <c r="A429" s="10">
        <f>IF(INDEX(lst_Jobs,416)="","",INDEX(lst_Jobs,416)&amp;"")</f>
        <v/>
      </c>
      <c r="B429" s="10">
        <f>IF(A429="","",INDEX(lst_JobName,416)&amp;"")</f>
        <v/>
      </c>
      <c r="C429" s="11">
        <f>IF(A429="","",SUMIFS(tbl_WIP[Amount],tbl_WIP[Job Number],A429,tbl_WIP[Month],"&lt;"&amp;$C$4))</f>
        <v/>
      </c>
      <c r="D429" s="11">
        <f>IF(A429="","",SUMIFS(tbl_WIP[Amount],tbl_WIP[Job Number],A429,tbl_WIP[Month],$C$4))</f>
        <v/>
      </c>
      <c r="E429" s="11">
        <f>IF(A429="","",C429+D429)</f>
        <v/>
      </c>
      <c r="F429" s="10">
        <f>IF(A429="","",IF(AND(ROUND(C429,2)=0,ROUND(D429,2)=0),"","yes"))</f>
        <v/>
      </c>
      <c r="G429" s="39" t="n"/>
      <c r="H429" s="11">
        <f>IF(OR(A429="",G429=""),"",E429-G429)</f>
        <v/>
      </c>
    </row>
    <row r="430">
      <c r="A430" s="10">
        <f>IF(INDEX(lst_Jobs,417)="","",INDEX(lst_Jobs,417)&amp;"")</f>
        <v/>
      </c>
      <c r="B430" s="10">
        <f>IF(A430="","",INDEX(lst_JobName,417)&amp;"")</f>
        <v/>
      </c>
      <c r="C430" s="11">
        <f>IF(A430="","",SUMIFS(tbl_WIP[Amount],tbl_WIP[Job Number],A430,tbl_WIP[Month],"&lt;"&amp;$C$4))</f>
        <v/>
      </c>
      <c r="D430" s="11">
        <f>IF(A430="","",SUMIFS(tbl_WIP[Amount],tbl_WIP[Job Number],A430,tbl_WIP[Month],$C$4))</f>
        <v/>
      </c>
      <c r="E430" s="11">
        <f>IF(A430="","",C430+D430)</f>
        <v/>
      </c>
      <c r="F430" s="10">
        <f>IF(A430="","",IF(AND(ROUND(C430,2)=0,ROUND(D430,2)=0),"","yes"))</f>
        <v/>
      </c>
      <c r="G430" s="39" t="n"/>
      <c r="H430" s="11">
        <f>IF(OR(A430="",G430=""),"",E430-G430)</f>
        <v/>
      </c>
    </row>
    <row r="431">
      <c r="A431" s="10">
        <f>IF(INDEX(lst_Jobs,418)="","",INDEX(lst_Jobs,418)&amp;"")</f>
        <v/>
      </c>
      <c r="B431" s="10">
        <f>IF(A431="","",INDEX(lst_JobName,418)&amp;"")</f>
        <v/>
      </c>
      <c r="C431" s="11">
        <f>IF(A431="","",SUMIFS(tbl_WIP[Amount],tbl_WIP[Job Number],A431,tbl_WIP[Month],"&lt;"&amp;$C$4))</f>
        <v/>
      </c>
      <c r="D431" s="11">
        <f>IF(A431="","",SUMIFS(tbl_WIP[Amount],tbl_WIP[Job Number],A431,tbl_WIP[Month],$C$4))</f>
        <v/>
      </c>
      <c r="E431" s="11">
        <f>IF(A431="","",C431+D431)</f>
        <v/>
      </c>
      <c r="F431" s="10">
        <f>IF(A431="","",IF(AND(ROUND(C431,2)=0,ROUND(D431,2)=0),"","yes"))</f>
        <v/>
      </c>
      <c r="G431" s="39" t="n"/>
      <c r="H431" s="11">
        <f>IF(OR(A431="",G431=""),"",E431-G431)</f>
        <v/>
      </c>
    </row>
    <row r="432">
      <c r="A432" s="10">
        <f>IF(INDEX(lst_Jobs,419)="","",INDEX(lst_Jobs,419)&amp;"")</f>
        <v/>
      </c>
      <c r="B432" s="10">
        <f>IF(A432="","",INDEX(lst_JobName,419)&amp;"")</f>
        <v/>
      </c>
      <c r="C432" s="11">
        <f>IF(A432="","",SUMIFS(tbl_WIP[Amount],tbl_WIP[Job Number],A432,tbl_WIP[Month],"&lt;"&amp;$C$4))</f>
        <v/>
      </c>
      <c r="D432" s="11">
        <f>IF(A432="","",SUMIFS(tbl_WIP[Amount],tbl_WIP[Job Number],A432,tbl_WIP[Month],$C$4))</f>
        <v/>
      </c>
      <c r="E432" s="11">
        <f>IF(A432="","",C432+D432)</f>
        <v/>
      </c>
      <c r="F432" s="10">
        <f>IF(A432="","",IF(AND(ROUND(C432,2)=0,ROUND(D432,2)=0),"","yes"))</f>
        <v/>
      </c>
      <c r="G432" s="39" t="n"/>
      <c r="H432" s="11">
        <f>IF(OR(A432="",G432=""),"",E432-G432)</f>
        <v/>
      </c>
    </row>
    <row r="433">
      <c r="A433" s="10">
        <f>IF(INDEX(lst_Jobs,420)="","",INDEX(lst_Jobs,420)&amp;"")</f>
        <v/>
      </c>
      <c r="B433" s="10">
        <f>IF(A433="","",INDEX(lst_JobName,420)&amp;"")</f>
        <v/>
      </c>
      <c r="C433" s="11">
        <f>IF(A433="","",SUMIFS(tbl_WIP[Amount],tbl_WIP[Job Number],A433,tbl_WIP[Month],"&lt;"&amp;$C$4))</f>
        <v/>
      </c>
      <c r="D433" s="11">
        <f>IF(A433="","",SUMIFS(tbl_WIP[Amount],tbl_WIP[Job Number],A433,tbl_WIP[Month],$C$4))</f>
        <v/>
      </c>
      <c r="E433" s="11">
        <f>IF(A433="","",C433+D433)</f>
        <v/>
      </c>
      <c r="F433" s="10">
        <f>IF(A433="","",IF(AND(ROUND(C433,2)=0,ROUND(D433,2)=0),"","yes"))</f>
        <v/>
      </c>
      <c r="G433" s="39" t="n"/>
      <c r="H433" s="11">
        <f>IF(OR(A433="",G433=""),"",E433-G433)</f>
        <v/>
      </c>
    </row>
    <row r="434">
      <c r="A434" s="10">
        <f>IF(INDEX(lst_Jobs,421)="","",INDEX(lst_Jobs,421)&amp;"")</f>
        <v/>
      </c>
      <c r="B434" s="10">
        <f>IF(A434="","",INDEX(lst_JobName,421)&amp;"")</f>
        <v/>
      </c>
      <c r="C434" s="11">
        <f>IF(A434="","",SUMIFS(tbl_WIP[Amount],tbl_WIP[Job Number],A434,tbl_WIP[Month],"&lt;"&amp;$C$4))</f>
        <v/>
      </c>
      <c r="D434" s="11">
        <f>IF(A434="","",SUMIFS(tbl_WIP[Amount],tbl_WIP[Job Number],A434,tbl_WIP[Month],$C$4))</f>
        <v/>
      </c>
      <c r="E434" s="11">
        <f>IF(A434="","",C434+D434)</f>
        <v/>
      </c>
      <c r="F434" s="10">
        <f>IF(A434="","",IF(AND(ROUND(C434,2)=0,ROUND(D434,2)=0),"","yes"))</f>
        <v/>
      </c>
      <c r="G434" s="39" t="n"/>
      <c r="H434" s="11">
        <f>IF(OR(A434="",G434=""),"",E434-G434)</f>
        <v/>
      </c>
    </row>
    <row r="435">
      <c r="A435" s="10">
        <f>IF(INDEX(lst_Jobs,422)="","",INDEX(lst_Jobs,422)&amp;"")</f>
        <v/>
      </c>
      <c r="B435" s="10">
        <f>IF(A435="","",INDEX(lst_JobName,422)&amp;"")</f>
        <v/>
      </c>
      <c r="C435" s="11">
        <f>IF(A435="","",SUMIFS(tbl_WIP[Amount],tbl_WIP[Job Number],A435,tbl_WIP[Month],"&lt;"&amp;$C$4))</f>
        <v/>
      </c>
      <c r="D435" s="11">
        <f>IF(A435="","",SUMIFS(tbl_WIP[Amount],tbl_WIP[Job Number],A435,tbl_WIP[Month],$C$4))</f>
        <v/>
      </c>
      <c r="E435" s="11">
        <f>IF(A435="","",C435+D435)</f>
        <v/>
      </c>
      <c r="F435" s="10">
        <f>IF(A435="","",IF(AND(ROUND(C435,2)=0,ROUND(D435,2)=0),"","yes"))</f>
        <v/>
      </c>
      <c r="G435" s="39" t="n"/>
      <c r="H435" s="11">
        <f>IF(OR(A435="",G435=""),"",E435-G435)</f>
        <v/>
      </c>
    </row>
    <row r="436">
      <c r="A436" s="10">
        <f>IF(INDEX(lst_Jobs,423)="","",INDEX(lst_Jobs,423)&amp;"")</f>
        <v/>
      </c>
      <c r="B436" s="10">
        <f>IF(A436="","",INDEX(lst_JobName,423)&amp;"")</f>
        <v/>
      </c>
      <c r="C436" s="11">
        <f>IF(A436="","",SUMIFS(tbl_WIP[Amount],tbl_WIP[Job Number],A436,tbl_WIP[Month],"&lt;"&amp;$C$4))</f>
        <v/>
      </c>
      <c r="D436" s="11">
        <f>IF(A436="","",SUMIFS(tbl_WIP[Amount],tbl_WIP[Job Number],A436,tbl_WIP[Month],$C$4))</f>
        <v/>
      </c>
      <c r="E436" s="11">
        <f>IF(A436="","",C436+D436)</f>
        <v/>
      </c>
      <c r="F436" s="10">
        <f>IF(A436="","",IF(AND(ROUND(C436,2)=0,ROUND(D436,2)=0),"","yes"))</f>
        <v/>
      </c>
      <c r="G436" s="39" t="n"/>
      <c r="H436" s="11">
        <f>IF(OR(A436="",G436=""),"",E436-G436)</f>
        <v/>
      </c>
    </row>
    <row r="437">
      <c r="A437" s="10">
        <f>IF(INDEX(lst_Jobs,424)="","",INDEX(lst_Jobs,424)&amp;"")</f>
        <v/>
      </c>
      <c r="B437" s="10">
        <f>IF(A437="","",INDEX(lst_JobName,424)&amp;"")</f>
        <v/>
      </c>
      <c r="C437" s="11">
        <f>IF(A437="","",SUMIFS(tbl_WIP[Amount],tbl_WIP[Job Number],A437,tbl_WIP[Month],"&lt;"&amp;$C$4))</f>
        <v/>
      </c>
      <c r="D437" s="11">
        <f>IF(A437="","",SUMIFS(tbl_WIP[Amount],tbl_WIP[Job Number],A437,tbl_WIP[Month],$C$4))</f>
        <v/>
      </c>
      <c r="E437" s="11">
        <f>IF(A437="","",C437+D437)</f>
        <v/>
      </c>
      <c r="F437" s="10">
        <f>IF(A437="","",IF(AND(ROUND(C437,2)=0,ROUND(D437,2)=0),"","yes"))</f>
        <v/>
      </c>
      <c r="G437" s="39" t="n"/>
      <c r="H437" s="11">
        <f>IF(OR(A437="",G437=""),"",E437-G437)</f>
        <v/>
      </c>
    </row>
    <row r="438">
      <c r="A438" s="10">
        <f>IF(INDEX(lst_Jobs,425)="","",INDEX(lst_Jobs,425)&amp;"")</f>
        <v/>
      </c>
      <c r="B438" s="10">
        <f>IF(A438="","",INDEX(lst_JobName,425)&amp;"")</f>
        <v/>
      </c>
      <c r="C438" s="11">
        <f>IF(A438="","",SUMIFS(tbl_WIP[Amount],tbl_WIP[Job Number],A438,tbl_WIP[Month],"&lt;"&amp;$C$4))</f>
        <v/>
      </c>
      <c r="D438" s="11">
        <f>IF(A438="","",SUMIFS(tbl_WIP[Amount],tbl_WIP[Job Number],A438,tbl_WIP[Month],$C$4))</f>
        <v/>
      </c>
      <c r="E438" s="11">
        <f>IF(A438="","",C438+D438)</f>
        <v/>
      </c>
      <c r="F438" s="10">
        <f>IF(A438="","",IF(AND(ROUND(C438,2)=0,ROUND(D438,2)=0),"","yes"))</f>
        <v/>
      </c>
      <c r="G438" s="39" t="n"/>
      <c r="H438" s="11">
        <f>IF(OR(A438="",G438=""),"",E438-G438)</f>
        <v/>
      </c>
    </row>
    <row r="439">
      <c r="A439" s="10">
        <f>IF(INDEX(lst_Jobs,426)="","",INDEX(lst_Jobs,426)&amp;"")</f>
        <v/>
      </c>
      <c r="B439" s="10">
        <f>IF(A439="","",INDEX(lst_JobName,426)&amp;"")</f>
        <v/>
      </c>
      <c r="C439" s="11">
        <f>IF(A439="","",SUMIFS(tbl_WIP[Amount],tbl_WIP[Job Number],A439,tbl_WIP[Month],"&lt;"&amp;$C$4))</f>
        <v/>
      </c>
      <c r="D439" s="11">
        <f>IF(A439="","",SUMIFS(tbl_WIP[Amount],tbl_WIP[Job Number],A439,tbl_WIP[Month],$C$4))</f>
        <v/>
      </c>
      <c r="E439" s="11">
        <f>IF(A439="","",C439+D439)</f>
        <v/>
      </c>
      <c r="F439" s="10">
        <f>IF(A439="","",IF(AND(ROUND(C439,2)=0,ROUND(D439,2)=0),"","yes"))</f>
        <v/>
      </c>
      <c r="G439" s="39" t="n"/>
      <c r="H439" s="11">
        <f>IF(OR(A439="",G439=""),"",E439-G439)</f>
        <v/>
      </c>
    </row>
    <row r="440">
      <c r="A440" s="10">
        <f>IF(INDEX(lst_Jobs,427)="","",INDEX(lst_Jobs,427)&amp;"")</f>
        <v/>
      </c>
      <c r="B440" s="10">
        <f>IF(A440="","",INDEX(lst_JobName,427)&amp;"")</f>
        <v/>
      </c>
      <c r="C440" s="11">
        <f>IF(A440="","",SUMIFS(tbl_WIP[Amount],tbl_WIP[Job Number],A440,tbl_WIP[Month],"&lt;"&amp;$C$4))</f>
        <v/>
      </c>
      <c r="D440" s="11">
        <f>IF(A440="","",SUMIFS(tbl_WIP[Amount],tbl_WIP[Job Number],A440,tbl_WIP[Month],$C$4))</f>
        <v/>
      </c>
      <c r="E440" s="11">
        <f>IF(A440="","",C440+D440)</f>
        <v/>
      </c>
      <c r="F440" s="10">
        <f>IF(A440="","",IF(AND(ROUND(C440,2)=0,ROUND(D440,2)=0),"","yes"))</f>
        <v/>
      </c>
      <c r="G440" s="39" t="n"/>
      <c r="H440" s="11">
        <f>IF(OR(A440="",G440=""),"",E440-G440)</f>
        <v/>
      </c>
    </row>
    <row r="441">
      <c r="A441" s="10">
        <f>IF(INDEX(lst_Jobs,428)="","",INDEX(lst_Jobs,428)&amp;"")</f>
        <v/>
      </c>
      <c r="B441" s="10">
        <f>IF(A441="","",INDEX(lst_JobName,428)&amp;"")</f>
        <v/>
      </c>
      <c r="C441" s="11">
        <f>IF(A441="","",SUMIFS(tbl_WIP[Amount],tbl_WIP[Job Number],A441,tbl_WIP[Month],"&lt;"&amp;$C$4))</f>
        <v/>
      </c>
      <c r="D441" s="11">
        <f>IF(A441="","",SUMIFS(tbl_WIP[Amount],tbl_WIP[Job Number],A441,tbl_WIP[Month],$C$4))</f>
        <v/>
      </c>
      <c r="E441" s="11">
        <f>IF(A441="","",C441+D441)</f>
        <v/>
      </c>
      <c r="F441" s="10">
        <f>IF(A441="","",IF(AND(ROUND(C441,2)=0,ROUND(D441,2)=0),"","yes"))</f>
        <v/>
      </c>
      <c r="G441" s="39" t="n"/>
      <c r="H441" s="11">
        <f>IF(OR(A441="",G441=""),"",E441-G441)</f>
        <v/>
      </c>
    </row>
    <row r="442">
      <c r="A442" s="10">
        <f>IF(INDEX(lst_Jobs,429)="","",INDEX(lst_Jobs,429)&amp;"")</f>
        <v/>
      </c>
      <c r="B442" s="10">
        <f>IF(A442="","",INDEX(lst_JobName,429)&amp;"")</f>
        <v/>
      </c>
      <c r="C442" s="11">
        <f>IF(A442="","",SUMIFS(tbl_WIP[Amount],tbl_WIP[Job Number],A442,tbl_WIP[Month],"&lt;"&amp;$C$4))</f>
        <v/>
      </c>
      <c r="D442" s="11">
        <f>IF(A442="","",SUMIFS(tbl_WIP[Amount],tbl_WIP[Job Number],A442,tbl_WIP[Month],$C$4))</f>
        <v/>
      </c>
      <c r="E442" s="11">
        <f>IF(A442="","",C442+D442)</f>
        <v/>
      </c>
      <c r="F442" s="10">
        <f>IF(A442="","",IF(AND(ROUND(C442,2)=0,ROUND(D442,2)=0),"","yes"))</f>
        <v/>
      </c>
      <c r="G442" s="39" t="n"/>
      <c r="H442" s="11">
        <f>IF(OR(A442="",G442=""),"",E442-G442)</f>
        <v/>
      </c>
    </row>
    <row r="443">
      <c r="A443" s="10">
        <f>IF(INDEX(lst_Jobs,430)="","",INDEX(lst_Jobs,430)&amp;"")</f>
        <v/>
      </c>
      <c r="B443" s="10">
        <f>IF(A443="","",INDEX(lst_JobName,430)&amp;"")</f>
        <v/>
      </c>
      <c r="C443" s="11">
        <f>IF(A443="","",SUMIFS(tbl_WIP[Amount],tbl_WIP[Job Number],A443,tbl_WIP[Month],"&lt;"&amp;$C$4))</f>
        <v/>
      </c>
      <c r="D443" s="11">
        <f>IF(A443="","",SUMIFS(tbl_WIP[Amount],tbl_WIP[Job Number],A443,tbl_WIP[Month],$C$4))</f>
        <v/>
      </c>
      <c r="E443" s="11">
        <f>IF(A443="","",C443+D443)</f>
        <v/>
      </c>
      <c r="F443" s="10">
        <f>IF(A443="","",IF(AND(ROUND(C443,2)=0,ROUND(D443,2)=0),"","yes"))</f>
        <v/>
      </c>
      <c r="G443" s="39" t="n"/>
      <c r="H443" s="11">
        <f>IF(OR(A443="",G443=""),"",E443-G443)</f>
        <v/>
      </c>
    </row>
    <row r="444">
      <c r="A444" s="10">
        <f>IF(INDEX(lst_Jobs,431)="","",INDEX(lst_Jobs,431)&amp;"")</f>
        <v/>
      </c>
      <c r="B444" s="10">
        <f>IF(A444="","",INDEX(lst_JobName,431)&amp;"")</f>
        <v/>
      </c>
      <c r="C444" s="11">
        <f>IF(A444="","",SUMIFS(tbl_WIP[Amount],tbl_WIP[Job Number],A444,tbl_WIP[Month],"&lt;"&amp;$C$4))</f>
        <v/>
      </c>
      <c r="D444" s="11">
        <f>IF(A444="","",SUMIFS(tbl_WIP[Amount],tbl_WIP[Job Number],A444,tbl_WIP[Month],$C$4))</f>
        <v/>
      </c>
      <c r="E444" s="11">
        <f>IF(A444="","",C444+D444)</f>
        <v/>
      </c>
      <c r="F444" s="10">
        <f>IF(A444="","",IF(AND(ROUND(C444,2)=0,ROUND(D444,2)=0),"","yes"))</f>
        <v/>
      </c>
      <c r="G444" s="39" t="n"/>
      <c r="H444" s="11">
        <f>IF(OR(A444="",G444=""),"",E444-G444)</f>
        <v/>
      </c>
    </row>
    <row r="445">
      <c r="A445" s="10">
        <f>IF(INDEX(lst_Jobs,432)="","",INDEX(lst_Jobs,432)&amp;"")</f>
        <v/>
      </c>
      <c r="B445" s="10">
        <f>IF(A445="","",INDEX(lst_JobName,432)&amp;"")</f>
        <v/>
      </c>
      <c r="C445" s="11">
        <f>IF(A445="","",SUMIFS(tbl_WIP[Amount],tbl_WIP[Job Number],A445,tbl_WIP[Month],"&lt;"&amp;$C$4))</f>
        <v/>
      </c>
      <c r="D445" s="11">
        <f>IF(A445="","",SUMIFS(tbl_WIP[Amount],tbl_WIP[Job Number],A445,tbl_WIP[Month],$C$4))</f>
        <v/>
      </c>
      <c r="E445" s="11">
        <f>IF(A445="","",C445+D445)</f>
        <v/>
      </c>
      <c r="F445" s="10">
        <f>IF(A445="","",IF(AND(ROUND(C445,2)=0,ROUND(D445,2)=0),"","yes"))</f>
        <v/>
      </c>
      <c r="G445" s="39" t="n"/>
      <c r="H445" s="11">
        <f>IF(OR(A445="",G445=""),"",E445-G445)</f>
        <v/>
      </c>
    </row>
    <row r="446">
      <c r="A446" s="10">
        <f>IF(INDEX(lst_Jobs,433)="","",INDEX(lst_Jobs,433)&amp;"")</f>
        <v/>
      </c>
      <c r="B446" s="10">
        <f>IF(A446="","",INDEX(lst_JobName,433)&amp;"")</f>
        <v/>
      </c>
      <c r="C446" s="11">
        <f>IF(A446="","",SUMIFS(tbl_WIP[Amount],tbl_WIP[Job Number],A446,tbl_WIP[Month],"&lt;"&amp;$C$4))</f>
        <v/>
      </c>
      <c r="D446" s="11">
        <f>IF(A446="","",SUMIFS(tbl_WIP[Amount],tbl_WIP[Job Number],A446,tbl_WIP[Month],$C$4))</f>
        <v/>
      </c>
      <c r="E446" s="11">
        <f>IF(A446="","",C446+D446)</f>
        <v/>
      </c>
      <c r="F446" s="10">
        <f>IF(A446="","",IF(AND(ROUND(C446,2)=0,ROUND(D446,2)=0),"","yes"))</f>
        <v/>
      </c>
      <c r="G446" s="39" t="n"/>
      <c r="H446" s="11">
        <f>IF(OR(A446="",G446=""),"",E446-G446)</f>
        <v/>
      </c>
    </row>
    <row r="447">
      <c r="A447" s="10">
        <f>IF(INDEX(lst_Jobs,434)="","",INDEX(lst_Jobs,434)&amp;"")</f>
        <v/>
      </c>
      <c r="B447" s="10">
        <f>IF(A447="","",INDEX(lst_JobName,434)&amp;"")</f>
        <v/>
      </c>
      <c r="C447" s="11">
        <f>IF(A447="","",SUMIFS(tbl_WIP[Amount],tbl_WIP[Job Number],A447,tbl_WIP[Month],"&lt;"&amp;$C$4))</f>
        <v/>
      </c>
      <c r="D447" s="11">
        <f>IF(A447="","",SUMIFS(tbl_WIP[Amount],tbl_WIP[Job Number],A447,tbl_WIP[Month],$C$4))</f>
        <v/>
      </c>
      <c r="E447" s="11">
        <f>IF(A447="","",C447+D447)</f>
        <v/>
      </c>
      <c r="F447" s="10">
        <f>IF(A447="","",IF(AND(ROUND(C447,2)=0,ROUND(D447,2)=0),"","yes"))</f>
        <v/>
      </c>
      <c r="G447" s="39" t="n"/>
      <c r="H447" s="11">
        <f>IF(OR(A447="",G447=""),"",E447-G447)</f>
        <v/>
      </c>
    </row>
    <row r="448">
      <c r="A448" s="10">
        <f>IF(INDEX(lst_Jobs,435)="","",INDEX(lst_Jobs,435)&amp;"")</f>
        <v/>
      </c>
      <c r="B448" s="10">
        <f>IF(A448="","",INDEX(lst_JobName,435)&amp;"")</f>
        <v/>
      </c>
      <c r="C448" s="11">
        <f>IF(A448="","",SUMIFS(tbl_WIP[Amount],tbl_WIP[Job Number],A448,tbl_WIP[Month],"&lt;"&amp;$C$4))</f>
        <v/>
      </c>
      <c r="D448" s="11">
        <f>IF(A448="","",SUMIFS(tbl_WIP[Amount],tbl_WIP[Job Number],A448,tbl_WIP[Month],$C$4))</f>
        <v/>
      </c>
      <c r="E448" s="11">
        <f>IF(A448="","",C448+D448)</f>
        <v/>
      </c>
      <c r="F448" s="10">
        <f>IF(A448="","",IF(AND(ROUND(C448,2)=0,ROUND(D448,2)=0),"","yes"))</f>
        <v/>
      </c>
      <c r="G448" s="39" t="n"/>
      <c r="H448" s="11">
        <f>IF(OR(A448="",G448=""),"",E448-G448)</f>
        <v/>
      </c>
    </row>
    <row r="449">
      <c r="A449" s="10">
        <f>IF(INDEX(lst_Jobs,436)="","",INDEX(lst_Jobs,436)&amp;"")</f>
        <v/>
      </c>
      <c r="B449" s="10">
        <f>IF(A449="","",INDEX(lst_JobName,436)&amp;"")</f>
        <v/>
      </c>
      <c r="C449" s="11">
        <f>IF(A449="","",SUMIFS(tbl_WIP[Amount],tbl_WIP[Job Number],A449,tbl_WIP[Month],"&lt;"&amp;$C$4))</f>
        <v/>
      </c>
      <c r="D449" s="11">
        <f>IF(A449="","",SUMIFS(tbl_WIP[Amount],tbl_WIP[Job Number],A449,tbl_WIP[Month],$C$4))</f>
        <v/>
      </c>
      <c r="E449" s="11">
        <f>IF(A449="","",C449+D449)</f>
        <v/>
      </c>
      <c r="F449" s="10">
        <f>IF(A449="","",IF(AND(ROUND(C449,2)=0,ROUND(D449,2)=0),"","yes"))</f>
        <v/>
      </c>
      <c r="G449" s="39" t="n"/>
      <c r="H449" s="11">
        <f>IF(OR(A449="",G449=""),"",E449-G449)</f>
        <v/>
      </c>
    </row>
    <row r="450">
      <c r="A450" s="10">
        <f>IF(INDEX(lst_Jobs,437)="","",INDEX(lst_Jobs,437)&amp;"")</f>
        <v/>
      </c>
      <c r="B450" s="10">
        <f>IF(A450="","",INDEX(lst_JobName,437)&amp;"")</f>
        <v/>
      </c>
      <c r="C450" s="11">
        <f>IF(A450="","",SUMIFS(tbl_WIP[Amount],tbl_WIP[Job Number],A450,tbl_WIP[Month],"&lt;"&amp;$C$4))</f>
        <v/>
      </c>
      <c r="D450" s="11">
        <f>IF(A450="","",SUMIFS(tbl_WIP[Amount],tbl_WIP[Job Number],A450,tbl_WIP[Month],$C$4))</f>
        <v/>
      </c>
      <c r="E450" s="11">
        <f>IF(A450="","",C450+D450)</f>
        <v/>
      </c>
      <c r="F450" s="10">
        <f>IF(A450="","",IF(AND(ROUND(C450,2)=0,ROUND(D450,2)=0),"","yes"))</f>
        <v/>
      </c>
      <c r="G450" s="39" t="n"/>
      <c r="H450" s="11">
        <f>IF(OR(A450="",G450=""),"",E450-G450)</f>
        <v/>
      </c>
    </row>
    <row r="451">
      <c r="A451" s="10">
        <f>IF(INDEX(lst_Jobs,438)="","",INDEX(lst_Jobs,438)&amp;"")</f>
        <v/>
      </c>
      <c r="B451" s="10">
        <f>IF(A451="","",INDEX(lst_JobName,438)&amp;"")</f>
        <v/>
      </c>
      <c r="C451" s="11">
        <f>IF(A451="","",SUMIFS(tbl_WIP[Amount],tbl_WIP[Job Number],A451,tbl_WIP[Month],"&lt;"&amp;$C$4))</f>
        <v/>
      </c>
      <c r="D451" s="11">
        <f>IF(A451="","",SUMIFS(tbl_WIP[Amount],tbl_WIP[Job Number],A451,tbl_WIP[Month],$C$4))</f>
        <v/>
      </c>
      <c r="E451" s="11">
        <f>IF(A451="","",C451+D451)</f>
        <v/>
      </c>
      <c r="F451" s="10">
        <f>IF(A451="","",IF(AND(ROUND(C451,2)=0,ROUND(D451,2)=0),"","yes"))</f>
        <v/>
      </c>
      <c r="G451" s="39" t="n"/>
      <c r="H451" s="11">
        <f>IF(OR(A451="",G451=""),"",E451-G451)</f>
        <v/>
      </c>
    </row>
    <row r="452">
      <c r="A452" s="10">
        <f>IF(INDEX(lst_Jobs,439)="","",INDEX(lst_Jobs,439)&amp;"")</f>
        <v/>
      </c>
      <c r="B452" s="10">
        <f>IF(A452="","",INDEX(lst_JobName,439)&amp;"")</f>
        <v/>
      </c>
      <c r="C452" s="11">
        <f>IF(A452="","",SUMIFS(tbl_WIP[Amount],tbl_WIP[Job Number],A452,tbl_WIP[Month],"&lt;"&amp;$C$4))</f>
        <v/>
      </c>
      <c r="D452" s="11">
        <f>IF(A452="","",SUMIFS(tbl_WIP[Amount],tbl_WIP[Job Number],A452,tbl_WIP[Month],$C$4))</f>
        <v/>
      </c>
      <c r="E452" s="11">
        <f>IF(A452="","",C452+D452)</f>
        <v/>
      </c>
      <c r="F452" s="10">
        <f>IF(A452="","",IF(AND(ROUND(C452,2)=0,ROUND(D452,2)=0),"","yes"))</f>
        <v/>
      </c>
      <c r="G452" s="39" t="n"/>
      <c r="H452" s="11">
        <f>IF(OR(A452="",G452=""),"",E452-G452)</f>
        <v/>
      </c>
    </row>
    <row r="453">
      <c r="A453" s="10">
        <f>IF(INDEX(lst_Jobs,440)="","",INDEX(lst_Jobs,440)&amp;"")</f>
        <v/>
      </c>
      <c r="B453" s="10">
        <f>IF(A453="","",INDEX(lst_JobName,440)&amp;"")</f>
        <v/>
      </c>
      <c r="C453" s="11">
        <f>IF(A453="","",SUMIFS(tbl_WIP[Amount],tbl_WIP[Job Number],A453,tbl_WIP[Month],"&lt;"&amp;$C$4))</f>
        <v/>
      </c>
      <c r="D453" s="11">
        <f>IF(A453="","",SUMIFS(tbl_WIP[Amount],tbl_WIP[Job Number],A453,tbl_WIP[Month],$C$4))</f>
        <v/>
      </c>
      <c r="E453" s="11">
        <f>IF(A453="","",C453+D453)</f>
        <v/>
      </c>
      <c r="F453" s="10">
        <f>IF(A453="","",IF(AND(ROUND(C453,2)=0,ROUND(D453,2)=0),"","yes"))</f>
        <v/>
      </c>
      <c r="G453" s="39" t="n"/>
      <c r="H453" s="11">
        <f>IF(OR(A453="",G453=""),"",E453-G453)</f>
        <v/>
      </c>
    </row>
    <row r="454">
      <c r="A454" s="10">
        <f>IF(INDEX(lst_Jobs,441)="","",INDEX(lst_Jobs,441)&amp;"")</f>
        <v/>
      </c>
      <c r="B454" s="10">
        <f>IF(A454="","",INDEX(lst_JobName,441)&amp;"")</f>
        <v/>
      </c>
      <c r="C454" s="11">
        <f>IF(A454="","",SUMIFS(tbl_WIP[Amount],tbl_WIP[Job Number],A454,tbl_WIP[Month],"&lt;"&amp;$C$4))</f>
        <v/>
      </c>
      <c r="D454" s="11">
        <f>IF(A454="","",SUMIFS(tbl_WIP[Amount],tbl_WIP[Job Number],A454,tbl_WIP[Month],$C$4))</f>
        <v/>
      </c>
      <c r="E454" s="11">
        <f>IF(A454="","",C454+D454)</f>
        <v/>
      </c>
      <c r="F454" s="10">
        <f>IF(A454="","",IF(AND(ROUND(C454,2)=0,ROUND(D454,2)=0),"","yes"))</f>
        <v/>
      </c>
      <c r="G454" s="39" t="n"/>
      <c r="H454" s="11">
        <f>IF(OR(A454="",G454=""),"",E454-G454)</f>
        <v/>
      </c>
    </row>
    <row r="455">
      <c r="A455" s="10">
        <f>IF(INDEX(lst_Jobs,442)="","",INDEX(lst_Jobs,442)&amp;"")</f>
        <v/>
      </c>
      <c r="B455" s="10">
        <f>IF(A455="","",INDEX(lst_JobName,442)&amp;"")</f>
        <v/>
      </c>
      <c r="C455" s="11">
        <f>IF(A455="","",SUMIFS(tbl_WIP[Amount],tbl_WIP[Job Number],A455,tbl_WIP[Month],"&lt;"&amp;$C$4))</f>
        <v/>
      </c>
      <c r="D455" s="11">
        <f>IF(A455="","",SUMIFS(tbl_WIP[Amount],tbl_WIP[Job Number],A455,tbl_WIP[Month],$C$4))</f>
        <v/>
      </c>
      <c r="E455" s="11">
        <f>IF(A455="","",C455+D455)</f>
        <v/>
      </c>
      <c r="F455" s="10">
        <f>IF(A455="","",IF(AND(ROUND(C455,2)=0,ROUND(D455,2)=0),"","yes"))</f>
        <v/>
      </c>
      <c r="G455" s="39" t="n"/>
      <c r="H455" s="11">
        <f>IF(OR(A455="",G455=""),"",E455-G455)</f>
        <v/>
      </c>
    </row>
    <row r="456">
      <c r="A456" s="10">
        <f>IF(INDEX(lst_Jobs,443)="","",INDEX(lst_Jobs,443)&amp;"")</f>
        <v/>
      </c>
      <c r="B456" s="10">
        <f>IF(A456="","",INDEX(lst_JobName,443)&amp;"")</f>
        <v/>
      </c>
      <c r="C456" s="11">
        <f>IF(A456="","",SUMIFS(tbl_WIP[Amount],tbl_WIP[Job Number],A456,tbl_WIP[Month],"&lt;"&amp;$C$4))</f>
        <v/>
      </c>
      <c r="D456" s="11">
        <f>IF(A456="","",SUMIFS(tbl_WIP[Amount],tbl_WIP[Job Number],A456,tbl_WIP[Month],$C$4))</f>
        <v/>
      </c>
      <c r="E456" s="11">
        <f>IF(A456="","",C456+D456)</f>
        <v/>
      </c>
      <c r="F456" s="10">
        <f>IF(A456="","",IF(AND(ROUND(C456,2)=0,ROUND(D456,2)=0),"","yes"))</f>
        <v/>
      </c>
      <c r="G456" s="39" t="n"/>
      <c r="H456" s="11">
        <f>IF(OR(A456="",G456=""),"",E456-G456)</f>
        <v/>
      </c>
    </row>
    <row r="457">
      <c r="A457" s="10">
        <f>IF(INDEX(lst_Jobs,444)="","",INDEX(lst_Jobs,444)&amp;"")</f>
        <v/>
      </c>
      <c r="B457" s="10">
        <f>IF(A457="","",INDEX(lst_JobName,444)&amp;"")</f>
        <v/>
      </c>
      <c r="C457" s="11">
        <f>IF(A457="","",SUMIFS(tbl_WIP[Amount],tbl_WIP[Job Number],A457,tbl_WIP[Month],"&lt;"&amp;$C$4))</f>
        <v/>
      </c>
      <c r="D457" s="11">
        <f>IF(A457="","",SUMIFS(tbl_WIP[Amount],tbl_WIP[Job Number],A457,tbl_WIP[Month],$C$4))</f>
        <v/>
      </c>
      <c r="E457" s="11">
        <f>IF(A457="","",C457+D457)</f>
        <v/>
      </c>
      <c r="F457" s="10">
        <f>IF(A457="","",IF(AND(ROUND(C457,2)=0,ROUND(D457,2)=0),"","yes"))</f>
        <v/>
      </c>
      <c r="G457" s="39" t="n"/>
      <c r="H457" s="11">
        <f>IF(OR(A457="",G457=""),"",E457-G457)</f>
        <v/>
      </c>
    </row>
    <row r="458">
      <c r="A458" s="10">
        <f>IF(INDEX(lst_Jobs,445)="","",INDEX(lst_Jobs,445)&amp;"")</f>
        <v/>
      </c>
      <c r="B458" s="10">
        <f>IF(A458="","",INDEX(lst_JobName,445)&amp;"")</f>
        <v/>
      </c>
      <c r="C458" s="11">
        <f>IF(A458="","",SUMIFS(tbl_WIP[Amount],tbl_WIP[Job Number],A458,tbl_WIP[Month],"&lt;"&amp;$C$4))</f>
        <v/>
      </c>
      <c r="D458" s="11">
        <f>IF(A458="","",SUMIFS(tbl_WIP[Amount],tbl_WIP[Job Number],A458,tbl_WIP[Month],$C$4))</f>
        <v/>
      </c>
      <c r="E458" s="11">
        <f>IF(A458="","",C458+D458)</f>
        <v/>
      </c>
      <c r="F458" s="10">
        <f>IF(A458="","",IF(AND(ROUND(C458,2)=0,ROUND(D458,2)=0),"","yes"))</f>
        <v/>
      </c>
      <c r="G458" s="39" t="n"/>
      <c r="H458" s="11">
        <f>IF(OR(A458="",G458=""),"",E458-G458)</f>
        <v/>
      </c>
    </row>
    <row r="459">
      <c r="A459" s="10">
        <f>IF(INDEX(lst_Jobs,446)="","",INDEX(lst_Jobs,446)&amp;"")</f>
        <v/>
      </c>
      <c r="B459" s="10">
        <f>IF(A459="","",INDEX(lst_JobName,446)&amp;"")</f>
        <v/>
      </c>
      <c r="C459" s="11">
        <f>IF(A459="","",SUMIFS(tbl_WIP[Amount],tbl_WIP[Job Number],A459,tbl_WIP[Month],"&lt;"&amp;$C$4))</f>
        <v/>
      </c>
      <c r="D459" s="11">
        <f>IF(A459="","",SUMIFS(tbl_WIP[Amount],tbl_WIP[Job Number],A459,tbl_WIP[Month],$C$4))</f>
        <v/>
      </c>
      <c r="E459" s="11">
        <f>IF(A459="","",C459+D459)</f>
        <v/>
      </c>
      <c r="F459" s="10">
        <f>IF(A459="","",IF(AND(ROUND(C459,2)=0,ROUND(D459,2)=0),"","yes"))</f>
        <v/>
      </c>
      <c r="G459" s="39" t="n"/>
      <c r="H459" s="11">
        <f>IF(OR(A459="",G459=""),"",E459-G459)</f>
        <v/>
      </c>
    </row>
    <row r="460">
      <c r="A460" s="10">
        <f>IF(INDEX(lst_Jobs,447)="","",INDEX(lst_Jobs,447)&amp;"")</f>
        <v/>
      </c>
      <c r="B460" s="10">
        <f>IF(A460="","",INDEX(lst_JobName,447)&amp;"")</f>
        <v/>
      </c>
      <c r="C460" s="11">
        <f>IF(A460="","",SUMIFS(tbl_WIP[Amount],tbl_WIP[Job Number],A460,tbl_WIP[Month],"&lt;"&amp;$C$4))</f>
        <v/>
      </c>
      <c r="D460" s="11">
        <f>IF(A460="","",SUMIFS(tbl_WIP[Amount],tbl_WIP[Job Number],A460,tbl_WIP[Month],$C$4))</f>
        <v/>
      </c>
      <c r="E460" s="11">
        <f>IF(A460="","",C460+D460)</f>
        <v/>
      </c>
      <c r="F460" s="10">
        <f>IF(A460="","",IF(AND(ROUND(C460,2)=0,ROUND(D460,2)=0),"","yes"))</f>
        <v/>
      </c>
      <c r="G460" s="39" t="n"/>
      <c r="H460" s="11">
        <f>IF(OR(A460="",G460=""),"",E460-G460)</f>
        <v/>
      </c>
    </row>
    <row r="461">
      <c r="A461" s="10">
        <f>IF(INDEX(lst_Jobs,448)="","",INDEX(lst_Jobs,448)&amp;"")</f>
        <v/>
      </c>
      <c r="B461" s="10">
        <f>IF(A461="","",INDEX(lst_JobName,448)&amp;"")</f>
        <v/>
      </c>
      <c r="C461" s="11">
        <f>IF(A461="","",SUMIFS(tbl_WIP[Amount],tbl_WIP[Job Number],A461,tbl_WIP[Month],"&lt;"&amp;$C$4))</f>
        <v/>
      </c>
      <c r="D461" s="11">
        <f>IF(A461="","",SUMIFS(tbl_WIP[Amount],tbl_WIP[Job Number],A461,tbl_WIP[Month],$C$4))</f>
        <v/>
      </c>
      <c r="E461" s="11">
        <f>IF(A461="","",C461+D461)</f>
        <v/>
      </c>
      <c r="F461" s="10">
        <f>IF(A461="","",IF(AND(ROUND(C461,2)=0,ROUND(D461,2)=0),"","yes"))</f>
        <v/>
      </c>
      <c r="G461" s="39" t="n"/>
      <c r="H461" s="11">
        <f>IF(OR(A461="",G461=""),"",E461-G461)</f>
        <v/>
      </c>
    </row>
    <row r="462">
      <c r="A462" s="10">
        <f>IF(INDEX(lst_Jobs,449)="","",INDEX(lst_Jobs,449)&amp;"")</f>
        <v/>
      </c>
      <c r="B462" s="10">
        <f>IF(A462="","",INDEX(lst_JobName,449)&amp;"")</f>
        <v/>
      </c>
      <c r="C462" s="11">
        <f>IF(A462="","",SUMIFS(tbl_WIP[Amount],tbl_WIP[Job Number],A462,tbl_WIP[Month],"&lt;"&amp;$C$4))</f>
        <v/>
      </c>
      <c r="D462" s="11">
        <f>IF(A462="","",SUMIFS(tbl_WIP[Amount],tbl_WIP[Job Number],A462,tbl_WIP[Month],$C$4))</f>
        <v/>
      </c>
      <c r="E462" s="11">
        <f>IF(A462="","",C462+D462)</f>
        <v/>
      </c>
      <c r="F462" s="10">
        <f>IF(A462="","",IF(AND(ROUND(C462,2)=0,ROUND(D462,2)=0),"","yes"))</f>
        <v/>
      </c>
      <c r="G462" s="39" t="n"/>
      <c r="H462" s="11">
        <f>IF(OR(A462="",G462=""),"",E462-G462)</f>
        <v/>
      </c>
    </row>
    <row r="463">
      <c r="A463" s="10">
        <f>IF(INDEX(lst_Jobs,450)="","",INDEX(lst_Jobs,450)&amp;"")</f>
        <v/>
      </c>
      <c r="B463" s="10">
        <f>IF(A463="","",INDEX(lst_JobName,450)&amp;"")</f>
        <v/>
      </c>
      <c r="C463" s="11">
        <f>IF(A463="","",SUMIFS(tbl_WIP[Amount],tbl_WIP[Job Number],A463,tbl_WIP[Month],"&lt;"&amp;$C$4))</f>
        <v/>
      </c>
      <c r="D463" s="11">
        <f>IF(A463="","",SUMIFS(tbl_WIP[Amount],tbl_WIP[Job Number],A463,tbl_WIP[Month],$C$4))</f>
        <v/>
      </c>
      <c r="E463" s="11">
        <f>IF(A463="","",C463+D463)</f>
        <v/>
      </c>
      <c r="F463" s="10">
        <f>IF(A463="","",IF(AND(ROUND(C463,2)=0,ROUND(D463,2)=0),"","yes"))</f>
        <v/>
      </c>
      <c r="G463" s="39" t="n"/>
      <c r="H463" s="11">
        <f>IF(OR(A463="",G463=""),"",E463-G463)</f>
        <v/>
      </c>
    </row>
    <row r="464">
      <c r="A464" s="10">
        <f>IF(INDEX(lst_Jobs,451)="","",INDEX(lst_Jobs,451)&amp;"")</f>
        <v/>
      </c>
      <c r="B464" s="10">
        <f>IF(A464="","",INDEX(lst_JobName,451)&amp;"")</f>
        <v/>
      </c>
      <c r="C464" s="11">
        <f>IF(A464="","",SUMIFS(tbl_WIP[Amount],tbl_WIP[Job Number],A464,tbl_WIP[Month],"&lt;"&amp;$C$4))</f>
        <v/>
      </c>
      <c r="D464" s="11">
        <f>IF(A464="","",SUMIFS(tbl_WIP[Amount],tbl_WIP[Job Number],A464,tbl_WIP[Month],$C$4))</f>
        <v/>
      </c>
      <c r="E464" s="11">
        <f>IF(A464="","",C464+D464)</f>
        <v/>
      </c>
      <c r="F464" s="10">
        <f>IF(A464="","",IF(AND(ROUND(C464,2)=0,ROUND(D464,2)=0),"","yes"))</f>
        <v/>
      </c>
      <c r="G464" s="39" t="n"/>
      <c r="H464" s="11">
        <f>IF(OR(A464="",G464=""),"",E464-G464)</f>
        <v/>
      </c>
    </row>
    <row r="465">
      <c r="A465" s="10">
        <f>IF(INDEX(lst_Jobs,452)="","",INDEX(lst_Jobs,452)&amp;"")</f>
        <v/>
      </c>
      <c r="B465" s="10">
        <f>IF(A465="","",INDEX(lst_JobName,452)&amp;"")</f>
        <v/>
      </c>
      <c r="C465" s="11">
        <f>IF(A465="","",SUMIFS(tbl_WIP[Amount],tbl_WIP[Job Number],A465,tbl_WIP[Month],"&lt;"&amp;$C$4))</f>
        <v/>
      </c>
      <c r="D465" s="11">
        <f>IF(A465="","",SUMIFS(tbl_WIP[Amount],tbl_WIP[Job Number],A465,tbl_WIP[Month],$C$4))</f>
        <v/>
      </c>
      <c r="E465" s="11">
        <f>IF(A465="","",C465+D465)</f>
        <v/>
      </c>
      <c r="F465" s="10">
        <f>IF(A465="","",IF(AND(ROUND(C465,2)=0,ROUND(D465,2)=0),"","yes"))</f>
        <v/>
      </c>
      <c r="G465" s="39" t="n"/>
      <c r="H465" s="11">
        <f>IF(OR(A465="",G465=""),"",E465-G465)</f>
        <v/>
      </c>
    </row>
    <row r="466">
      <c r="A466" s="10">
        <f>IF(INDEX(lst_Jobs,453)="","",INDEX(lst_Jobs,453)&amp;"")</f>
        <v/>
      </c>
      <c r="B466" s="10">
        <f>IF(A466="","",INDEX(lst_JobName,453)&amp;"")</f>
        <v/>
      </c>
      <c r="C466" s="11">
        <f>IF(A466="","",SUMIFS(tbl_WIP[Amount],tbl_WIP[Job Number],A466,tbl_WIP[Month],"&lt;"&amp;$C$4))</f>
        <v/>
      </c>
      <c r="D466" s="11">
        <f>IF(A466="","",SUMIFS(tbl_WIP[Amount],tbl_WIP[Job Number],A466,tbl_WIP[Month],$C$4))</f>
        <v/>
      </c>
      <c r="E466" s="11">
        <f>IF(A466="","",C466+D466)</f>
        <v/>
      </c>
      <c r="F466" s="10">
        <f>IF(A466="","",IF(AND(ROUND(C466,2)=0,ROUND(D466,2)=0),"","yes"))</f>
        <v/>
      </c>
      <c r="G466" s="39" t="n"/>
      <c r="H466" s="11">
        <f>IF(OR(A466="",G466=""),"",E466-G466)</f>
        <v/>
      </c>
    </row>
    <row r="467">
      <c r="A467" s="10">
        <f>IF(INDEX(lst_Jobs,454)="","",INDEX(lst_Jobs,454)&amp;"")</f>
        <v/>
      </c>
      <c r="B467" s="10">
        <f>IF(A467="","",INDEX(lst_JobName,454)&amp;"")</f>
        <v/>
      </c>
      <c r="C467" s="11">
        <f>IF(A467="","",SUMIFS(tbl_WIP[Amount],tbl_WIP[Job Number],A467,tbl_WIP[Month],"&lt;"&amp;$C$4))</f>
        <v/>
      </c>
      <c r="D467" s="11">
        <f>IF(A467="","",SUMIFS(tbl_WIP[Amount],tbl_WIP[Job Number],A467,tbl_WIP[Month],$C$4))</f>
        <v/>
      </c>
      <c r="E467" s="11">
        <f>IF(A467="","",C467+D467)</f>
        <v/>
      </c>
      <c r="F467" s="10">
        <f>IF(A467="","",IF(AND(ROUND(C467,2)=0,ROUND(D467,2)=0),"","yes"))</f>
        <v/>
      </c>
      <c r="G467" s="39" t="n"/>
      <c r="H467" s="11">
        <f>IF(OR(A467="",G467=""),"",E467-G467)</f>
        <v/>
      </c>
    </row>
    <row r="468">
      <c r="A468" s="10">
        <f>IF(INDEX(lst_Jobs,455)="","",INDEX(lst_Jobs,455)&amp;"")</f>
        <v/>
      </c>
      <c r="B468" s="10">
        <f>IF(A468="","",INDEX(lst_JobName,455)&amp;"")</f>
        <v/>
      </c>
      <c r="C468" s="11">
        <f>IF(A468="","",SUMIFS(tbl_WIP[Amount],tbl_WIP[Job Number],A468,tbl_WIP[Month],"&lt;"&amp;$C$4))</f>
        <v/>
      </c>
      <c r="D468" s="11">
        <f>IF(A468="","",SUMIFS(tbl_WIP[Amount],tbl_WIP[Job Number],A468,tbl_WIP[Month],$C$4))</f>
        <v/>
      </c>
      <c r="E468" s="11">
        <f>IF(A468="","",C468+D468)</f>
        <v/>
      </c>
      <c r="F468" s="10">
        <f>IF(A468="","",IF(AND(ROUND(C468,2)=0,ROUND(D468,2)=0),"","yes"))</f>
        <v/>
      </c>
      <c r="G468" s="39" t="n"/>
      <c r="H468" s="11">
        <f>IF(OR(A468="",G468=""),"",E468-G468)</f>
        <v/>
      </c>
    </row>
    <row r="469">
      <c r="A469" s="10">
        <f>IF(INDEX(lst_Jobs,456)="","",INDEX(lst_Jobs,456)&amp;"")</f>
        <v/>
      </c>
      <c r="B469" s="10">
        <f>IF(A469="","",INDEX(lst_JobName,456)&amp;"")</f>
        <v/>
      </c>
      <c r="C469" s="11">
        <f>IF(A469="","",SUMIFS(tbl_WIP[Amount],tbl_WIP[Job Number],A469,tbl_WIP[Month],"&lt;"&amp;$C$4))</f>
        <v/>
      </c>
      <c r="D469" s="11">
        <f>IF(A469="","",SUMIFS(tbl_WIP[Amount],tbl_WIP[Job Number],A469,tbl_WIP[Month],$C$4))</f>
        <v/>
      </c>
      <c r="E469" s="11">
        <f>IF(A469="","",C469+D469)</f>
        <v/>
      </c>
      <c r="F469" s="10">
        <f>IF(A469="","",IF(AND(ROUND(C469,2)=0,ROUND(D469,2)=0),"","yes"))</f>
        <v/>
      </c>
      <c r="G469" s="39" t="n"/>
      <c r="H469" s="11">
        <f>IF(OR(A469="",G469=""),"",E469-G469)</f>
        <v/>
      </c>
    </row>
    <row r="470">
      <c r="A470" s="10">
        <f>IF(INDEX(lst_Jobs,457)="","",INDEX(lst_Jobs,457)&amp;"")</f>
        <v/>
      </c>
      <c r="B470" s="10">
        <f>IF(A470="","",INDEX(lst_JobName,457)&amp;"")</f>
        <v/>
      </c>
      <c r="C470" s="11">
        <f>IF(A470="","",SUMIFS(tbl_WIP[Amount],tbl_WIP[Job Number],A470,tbl_WIP[Month],"&lt;"&amp;$C$4))</f>
        <v/>
      </c>
      <c r="D470" s="11">
        <f>IF(A470="","",SUMIFS(tbl_WIP[Amount],tbl_WIP[Job Number],A470,tbl_WIP[Month],$C$4))</f>
        <v/>
      </c>
      <c r="E470" s="11">
        <f>IF(A470="","",C470+D470)</f>
        <v/>
      </c>
      <c r="F470" s="10">
        <f>IF(A470="","",IF(AND(ROUND(C470,2)=0,ROUND(D470,2)=0),"","yes"))</f>
        <v/>
      </c>
      <c r="G470" s="39" t="n"/>
      <c r="H470" s="11">
        <f>IF(OR(A470="",G470=""),"",E470-G470)</f>
        <v/>
      </c>
    </row>
    <row r="471">
      <c r="A471" s="10">
        <f>IF(INDEX(lst_Jobs,458)="","",INDEX(lst_Jobs,458)&amp;"")</f>
        <v/>
      </c>
      <c r="B471" s="10">
        <f>IF(A471="","",INDEX(lst_JobName,458)&amp;"")</f>
        <v/>
      </c>
      <c r="C471" s="11">
        <f>IF(A471="","",SUMIFS(tbl_WIP[Amount],tbl_WIP[Job Number],A471,tbl_WIP[Month],"&lt;"&amp;$C$4))</f>
        <v/>
      </c>
      <c r="D471" s="11">
        <f>IF(A471="","",SUMIFS(tbl_WIP[Amount],tbl_WIP[Job Number],A471,tbl_WIP[Month],$C$4))</f>
        <v/>
      </c>
      <c r="E471" s="11">
        <f>IF(A471="","",C471+D471)</f>
        <v/>
      </c>
      <c r="F471" s="10">
        <f>IF(A471="","",IF(AND(ROUND(C471,2)=0,ROUND(D471,2)=0),"","yes"))</f>
        <v/>
      </c>
      <c r="G471" s="39" t="n"/>
      <c r="H471" s="11">
        <f>IF(OR(A471="",G471=""),"",E471-G471)</f>
        <v/>
      </c>
    </row>
    <row r="472">
      <c r="A472" s="10">
        <f>IF(INDEX(lst_Jobs,459)="","",INDEX(lst_Jobs,459)&amp;"")</f>
        <v/>
      </c>
      <c r="B472" s="10">
        <f>IF(A472="","",INDEX(lst_JobName,459)&amp;"")</f>
        <v/>
      </c>
      <c r="C472" s="11">
        <f>IF(A472="","",SUMIFS(tbl_WIP[Amount],tbl_WIP[Job Number],A472,tbl_WIP[Month],"&lt;"&amp;$C$4))</f>
        <v/>
      </c>
      <c r="D472" s="11">
        <f>IF(A472="","",SUMIFS(tbl_WIP[Amount],tbl_WIP[Job Number],A472,tbl_WIP[Month],$C$4))</f>
        <v/>
      </c>
      <c r="E472" s="11">
        <f>IF(A472="","",C472+D472)</f>
        <v/>
      </c>
      <c r="F472" s="10">
        <f>IF(A472="","",IF(AND(ROUND(C472,2)=0,ROUND(D472,2)=0),"","yes"))</f>
        <v/>
      </c>
      <c r="G472" s="39" t="n"/>
      <c r="H472" s="11">
        <f>IF(OR(A472="",G472=""),"",E472-G472)</f>
        <v/>
      </c>
    </row>
    <row r="473">
      <c r="A473" s="10">
        <f>IF(INDEX(lst_Jobs,460)="","",INDEX(lst_Jobs,460)&amp;"")</f>
        <v/>
      </c>
      <c r="B473" s="10">
        <f>IF(A473="","",INDEX(lst_JobName,460)&amp;"")</f>
        <v/>
      </c>
      <c r="C473" s="11">
        <f>IF(A473="","",SUMIFS(tbl_WIP[Amount],tbl_WIP[Job Number],A473,tbl_WIP[Month],"&lt;"&amp;$C$4))</f>
        <v/>
      </c>
      <c r="D473" s="11">
        <f>IF(A473="","",SUMIFS(tbl_WIP[Amount],tbl_WIP[Job Number],A473,tbl_WIP[Month],$C$4))</f>
        <v/>
      </c>
      <c r="E473" s="11">
        <f>IF(A473="","",C473+D473)</f>
        <v/>
      </c>
      <c r="F473" s="10">
        <f>IF(A473="","",IF(AND(ROUND(C473,2)=0,ROUND(D473,2)=0),"","yes"))</f>
        <v/>
      </c>
      <c r="G473" s="39" t="n"/>
      <c r="H473" s="11">
        <f>IF(OR(A473="",G473=""),"",E473-G473)</f>
        <v/>
      </c>
    </row>
    <row r="474">
      <c r="A474" s="10">
        <f>IF(INDEX(lst_Jobs,461)="","",INDEX(lst_Jobs,461)&amp;"")</f>
        <v/>
      </c>
      <c r="B474" s="10">
        <f>IF(A474="","",INDEX(lst_JobName,461)&amp;"")</f>
        <v/>
      </c>
      <c r="C474" s="11">
        <f>IF(A474="","",SUMIFS(tbl_WIP[Amount],tbl_WIP[Job Number],A474,tbl_WIP[Month],"&lt;"&amp;$C$4))</f>
        <v/>
      </c>
      <c r="D474" s="11">
        <f>IF(A474="","",SUMIFS(tbl_WIP[Amount],tbl_WIP[Job Number],A474,tbl_WIP[Month],$C$4))</f>
        <v/>
      </c>
      <c r="E474" s="11">
        <f>IF(A474="","",C474+D474)</f>
        <v/>
      </c>
      <c r="F474" s="10">
        <f>IF(A474="","",IF(AND(ROUND(C474,2)=0,ROUND(D474,2)=0),"","yes"))</f>
        <v/>
      </c>
      <c r="G474" s="39" t="n"/>
      <c r="H474" s="11">
        <f>IF(OR(A474="",G474=""),"",E474-G474)</f>
        <v/>
      </c>
    </row>
    <row r="475">
      <c r="A475" s="10">
        <f>IF(INDEX(lst_Jobs,462)="","",INDEX(lst_Jobs,462)&amp;"")</f>
        <v/>
      </c>
      <c r="B475" s="10">
        <f>IF(A475="","",INDEX(lst_JobName,462)&amp;"")</f>
        <v/>
      </c>
      <c r="C475" s="11">
        <f>IF(A475="","",SUMIFS(tbl_WIP[Amount],tbl_WIP[Job Number],A475,tbl_WIP[Month],"&lt;"&amp;$C$4))</f>
        <v/>
      </c>
      <c r="D475" s="11">
        <f>IF(A475="","",SUMIFS(tbl_WIP[Amount],tbl_WIP[Job Number],A475,tbl_WIP[Month],$C$4))</f>
        <v/>
      </c>
      <c r="E475" s="11">
        <f>IF(A475="","",C475+D475)</f>
        <v/>
      </c>
      <c r="F475" s="10">
        <f>IF(A475="","",IF(AND(ROUND(C475,2)=0,ROUND(D475,2)=0),"","yes"))</f>
        <v/>
      </c>
      <c r="G475" s="39" t="n"/>
      <c r="H475" s="11">
        <f>IF(OR(A475="",G475=""),"",E475-G475)</f>
        <v/>
      </c>
    </row>
    <row r="476">
      <c r="A476" s="10">
        <f>IF(INDEX(lst_Jobs,463)="","",INDEX(lst_Jobs,463)&amp;"")</f>
        <v/>
      </c>
      <c r="B476" s="10">
        <f>IF(A476="","",INDEX(lst_JobName,463)&amp;"")</f>
        <v/>
      </c>
      <c r="C476" s="11">
        <f>IF(A476="","",SUMIFS(tbl_WIP[Amount],tbl_WIP[Job Number],A476,tbl_WIP[Month],"&lt;"&amp;$C$4))</f>
        <v/>
      </c>
      <c r="D476" s="11">
        <f>IF(A476="","",SUMIFS(tbl_WIP[Amount],tbl_WIP[Job Number],A476,tbl_WIP[Month],$C$4))</f>
        <v/>
      </c>
      <c r="E476" s="11">
        <f>IF(A476="","",C476+D476)</f>
        <v/>
      </c>
      <c r="F476" s="10">
        <f>IF(A476="","",IF(AND(ROUND(C476,2)=0,ROUND(D476,2)=0),"","yes"))</f>
        <v/>
      </c>
      <c r="G476" s="39" t="n"/>
      <c r="H476" s="11">
        <f>IF(OR(A476="",G476=""),"",E476-G476)</f>
        <v/>
      </c>
    </row>
    <row r="477">
      <c r="A477" s="10">
        <f>IF(INDEX(lst_Jobs,464)="","",INDEX(lst_Jobs,464)&amp;"")</f>
        <v/>
      </c>
      <c r="B477" s="10">
        <f>IF(A477="","",INDEX(lst_JobName,464)&amp;"")</f>
        <v/>
      </c>
      <c r="C477" s="11">
        <f>IF(A477="","",SUMIFS(tbl_WIP[Amount],tbl_WIP[Job Number],A477,tbl_WIP[Month],"&lt;"&amp;$C$4))</f>
        <v/>
      </c>
      <c r="D477" s="11">
        <f>IF(A477="","",SUMIFS(tbl_WIP[Amount],tbl_WIP[Job Number],A477,tbl_WIP[Month],$C$4))</f>
        <v/>
      </c>
      <c r="E477" s="11">
        <f>IF(A477="","",C477+D477)</f>
        <v/>
      </c>
      <c r="F477" s="10">
        <f>IF(A477="","",IF(AND(ROUND(C477,2)=0,ROUND(D477,2)=0),"","yes"))</f>
        <v/>
      </c>
      <c r="G477" s="39" t="n"/>
      <c r="H477" s="11">
        <f>IF(OR(A477="",G477=""),"",E477-G477)</f>
        <v/>
      </c>
    </row>
    <row r="478">
      <c r="A478" s="10">
        <f>IF(INDEX(lst_Jobs,465)="","",INDEX(lst_Jobs,465)&amp;"")</f>
        <v/>
      </c>
      <c r="B478" s="10">
        <f>IF(A478="","",INDEX(lst_JobName,465)&amp;"")</f>
        <v/>
      </c>
      <c r="C478" s="11">
        <f>IF(A478="","",SUMIFS(tbl_WIP[Amount],tbl_WIP[Job Number],A478,tbl_WIP[Month],"&lt;"&amp;$C$4))</f>
        <v/>
      </c>
      <c r="D478" s="11">
        <f>IF(A478="","",SUMIFS(tbl_WIP[Amount],tbl_WIP[Job Number],A478,tbl_WIP[Month],$C$4))</f>
        <v/>
      </c>
      <c r="E478" s="11">
        <f>IF(A478="","",C478+D478)</f>
        <v/>
      </c>
      <c r="F478" s="10">
        <f>IF(A478="","",IF(AND(ROUND(C478,2)=0,ROUND(D478,2)=0),"","yes"))</f>
        <v/>
      </c>
      <c r="G478" s="39" t="n"/>
      <c r="H478" s="11">
        <f>IF(OR(A478="",G478=""),"",E478-G478)</f>
        <v/>
      </c>
    </row>
    <row r="479">
      <c r="A479" s="10">
        <f>IF(INDEX(lst_Jobs,466)="","",INDEX(lst_Jobs,466)&amp;"")</f>
        <v/>
      </c>
      <c r="B479" s="10">
        <f>IF(A479="","",INDEX(lst_JobName,466)&amp;"")</f>
        <v/>
      </c>
      <c r="C479" s="11">
        <f>IF(A479="","",SUMIFS(tbl_WIP[Amount],tbl_WIP[Job Number],A479,tbl_WIP[Month],"&lt;"&amp;$C$4))</f>
        <v/>
      </c>
      <c r="D479" s="11">
        <f>IF(A479="","",SUMIFS(tbl_WIP[Amount],tbl_WIP[Job Number],A479,tbl_WIP[Month],$C$4))</f>
        <v/>
      </c>
      <c r="E479" s="11">
        <f>IF(A479="","",C479+D479)</f>
        <v/>
      </c>
      <c r="F479" s="10">
        <f>IF(A479="","",IF(AND(ROUND(C479,2)=0,ROUND(D479,2)=0),"","yes"))</f>
        <v/>
      </c>
      <c r="G479" s="39" t="n"/>
      <c r="H479" s="11">
        <f>IF(OR(A479="",G479=""),"",E479-G479)</f>
        <v/>
      </c>
    </row>
    <row r="480">
      <c r="A480" s="10">
        <f>IF(INDEX(lst_Jobs,467)="","",INDEX(lst_Jobs,467)&amp;"")</f>
        <v/>
      </c>
      <c r="B480" s="10">
        <f>IF(A480="","",INDEX(lst_JobName,467)&amp;"")</f>
        <v/>
      </c>
      <c r="C480" s="11">
        <f>IF(A480="","",SUMIFS(tbl_WIP[Amount],tbl_WIP[Job Number],A480,tbl_WIP[Month],"&lt;"&amp;$C$4))</f>
        <v/>
      </c>
      <c r="D480" s="11">
        <f>IF(A480="","",SUMIFS(tbl_WIP[Amount],tbl_WIP[Job Number],A480,tbl_WIP[Month],$C$4))</f>
        <v/>
      </c>
      <c r="E480" s="11">
        <f>IF(A480="","",C480+D480)</f>
        <v/>
      </c>
      <c r="F480" s="10">
        <f>IF(A480="","",IF(AND(ROUND(C480,2)=0,ROUND(D480,2)=0),"","yes"))</f>
        <v/>
      </c>
      <c r="G480" s="39" t="n"/>
      <c r="H480" s="11">
        <f>IF(OR(A480="",G480=""),"",E480-G480)</f>
        <v/>
      </c>
    </row>
    <row r="481">
      <c r="A481" s="10">
        <f>IF(INDEX(lst_Jobs,468)="","",INDEX(lst_Jobs,468)&amp;"")</f>
        <v/>
      </c>
      <c r="B481" s="10">
        <f>IF(A481="","",INDEX(lst_JobName,468)&amp;"")</f>
        <v/>
      </c>
      <c r="C481" s="11">
        <f>IF(A481="","",SUMIFS(tbl_WIP[Amount],tbl_WIP[Job Number],A481,tbl_WIP[Month],"&lt;"&amp;$C$4))</f>
        <v/>
      </c>
      <c r="D481" s="11">
        <f>IF(A481="","",SUMIFS(tbl_WIP[Amount],tbl_WIP[Job Number],A481,tbl_WIP[Month],$C$4))</f>
        <v/>
      </c>
      <c r="E481" s="11">
        <f>IF(A481="","",C481+D481)</f>
        <v/>
      </c>
      <c r="F481" s="10">
        <f>IF(A481="","",IF(AND(ROUND(C481,2)=0,ROUND(D481,2)=0),"","yes"))</f>
        <v/>
      </c>
      <c r="G481" s="39" t="n"/>
      <c r="H481" s="11">
        <f>IF(OR(A481="",G481=""),"",E481-G481)</f>
        <v/>
      </c>
    </row>
    <row r="482">
      <c r="A482" s="10">
        <f>IF(INDEX(lst_Jobs,469)="","",INDEX(lst_Jobs,469)&amp;"")</f>
        <v/>
      </c>
      <c r="B482" s="10">
        <f>IF(A482="","",INDEX(lst_JobName,469)&amp;"")</f>
        <v/>
      </c>
      <c r="C482" s="11">
        <f>IF(A482="","",SUMIFS(tbl_WIP[Amount],tbl_WIP[Job Number],A482,tbl_WIP[Month],"&lt;"&amp;$C$4))</f>
        <v/>
      </c>
      <c r="D482" s="11">
        <f>IF(A482="","",SUMIFS(tbl_WIP[Amount],tbl_WIP[Job Number],A482,tbl_WIP[Month],$C$4))</f>
        <v/>
      </c>
      <c r="E482" s="11">
        <f>IF(A482="","",C482+D482)</f>
        <v/>
      </c>
      <c r="F482" s="10">
        <f>IF(A482="","",IF(AND(ROUND(C482,2)=0,ROUND(D482,2)=0),"","yes"))</f>
        <v/>
      </c>
      <c r="G482" s="39" t="n"/>
      <c r="H482" s="11">
        <f>IF(OR(A482="",G482=""),"",E482-G482)</f>
        <v/>
      </c>
    </row>
    <row r="483">
      <c r="A483" s="10">
        <f>IF(INDEX(lst_Jobs,470)="","",INDEX(lst_Jobs,470)&amp;"")</f>
        <v/>
      </c>
      <c r="B483" s="10">
        <f>IF(A483="","",INDEX(lst_JobName,470)&amp;"")</f>
        <v/>
      </c>
      <c r="C483" s="11">
        <f>IF(A483="","",SUMIFS(tbl_WIP[Amount],tbl_WIP[Job Number],A483,tbl_WIP[Month],"&lt;"&amp;$C$4))</f>
        <v/>
      </c>
      <c r="D483" s="11">
        <f>IF(A483="","",SUMIFS(tbl_WIP[Amount],tbl_WIP[Job Number],A483,tbl_WIP[Month],$C$4))</f>
        <v/>
      </c>
      <c r="E483" s="11">
        <f>IF(A483="","",C483+D483)</f>
        <v/>
      </c>
      <c r="F483" s="10">
        <f>IF(A483="","",IF(AND(ROUND(C483,2)=0,ROUND(D483,2)=0),"","yes"))</f>
        <v/>
      </c>
      <c r="G483" s="39" t="n"/>
      <c r="H483" s="11">
        <f>IF(OR(A483="",G483=""),"",E483-G483)</f>
        <v/>
      </c>
    </row>
    <row r="484">
      <c r="A484" s="10">
        <f>IF(INDEX(lst_Jobs,471)="","",INDEX(lst_Jobs,471)&amp;"")</f>
        <v/>
      </c>
      <c r="B484" s="10">
        <f>IF(A484="","",INDEX(lst_JobName,471)&amp;"")</f>
        <v/>
      </c>
      <c r="C484" s="11">
        <f>IF(A484="","",SUMIFS(tbl_WIP[Amount],tbl_WIP[Job Number],A484,tbl_WIP[Month],"&lt;"&amp;$C$4))</f>
        <v/>
      </c>
      <c r="D484" s="11">
        <f>IF(A484="","",SUMIFS(tbl_WIP[Amount],tbl_WIP[Job Number],A484,tbl_WIP[Month],$C$4))</f>
        <v/>
      </c>
      <c r="E484" s="11">
        <f>IF(A484="","",C484+D484)</f>
        <v/>
      </c>
      <c r="F484" s="10">
        <f>IF(A484="","",IF(AND(ROUND(C484,2)=0,ROUND(D484,2)=0),"","yes"))</f>
        <v/>
      </c>
      <c r="G484" s="39" t="n"/>
      <c r="H484" s="11">
        <f>IF(OR(A484="",G484=""),"",E484-G484)</f>
        <v/>
      </c>
    </row>
    <row r="485">
      <c r="A485" s="10">
        <f>IF(INDEX(lst_Jobs,472)="","",INDEX(lst_Jobs,472)&amp;"")</f>
        <v/>
      </c>
      <c r="B485" s="10">
        <f>IF(A485="","",INDEX(lst_JobName,472)&amp;"")</f>
        <v/>
      </c>
      <c r="C485" s="11">
        <f>IF(A485="","",SUMIFS(tbl_WIP[Amount],tbl_WIP[Job Number],A485,tbl_WIP[Month],"&lt;"&amp;$C$4))</f>
        <v/>
      </c>
      <c r="D485" s="11">
        <f>IF(A485="","",SUMIFS(tbl_WIP[Amount],tbl_WIP[Job Number],A485,tbl_WIP[Month],$C$4))</f>
        <v/>
      </c>
      <c r="E485" s="11">
        <f>IF(A485="","",C485+D485)</f>
        <v/>
      </c>
      <c r="F485" s="10">
        <f>IF(A485="","",IF(AND(ROUND(C485,2)=0,ROUND(D485,2)=0),"","yes"))</f>
        <v/>
      </c>
      <c r="G485" s="39" t="n"/>
      <c r="H485" s="11">
        <f>IF(OR(A485="",G485=""),"",E485-G485)</f>
        <v/>
      </c>
    </row>
    <row r="486">
      <c r="A486" s="10">
        <f>IF(INDEX(lst_Jobs,473)="","",INDEX(lst_Jobs,473)&amp;"")</f>
        <v/>
      </c>
      <c r="B486" s="10">
        <f>IF(A486="","",INDEX(lst_JobName,473)&amp;"")</f>
        <v/>
      </c>
      <c r="C486" s="11">
        <f>IF(A486="","",SUMIFS(tbl_WIP[Amount],tbl_WIP[Job Number],A486,tbl_WIP[Month],"&lt;"&amp;$C$4))</f>
        <v/>
      </c>
      <c r="D486" s="11">
        <f>IF(A486="","",SUMIFS(tbl_WIP[Amount],tbl_WIP[Job Number],A486,tbl_WIP[Month],$C$4))</f>
        <v/>
      </c>
      <c r="E486" s="11">
        <f>IF(A486="","",C486+D486)</f>
        <v/>
      </c>
      <c r="F486" s="10">
        <f>IF(A486="","",IF(AND(ROUND(C486,2)=0,ROUND(D486,2)=0),"","yes"))</f>
        <v/>
      </c>
      <c r="G486" s="39" t="n"/>
      <c r="H486" s="11">
        <f>IF(OR(A486="",G486=""),"",E486-G486)</f>
        <v/>
      </c>
    </row>
    <row r="487">
      <c r="A487" s="10">
        <f>IF(INDEX(lst_Jobs,474)="","",INDEX(lst_Jobs,474)&amp;"")</f>
        <v/>
      </c>
      <c r="B487" s="10">
        <f>IF(A487="","",INDEX(lst_JobName,474)&amp;"")</f>
        <v/>
      </c>
      <c r="C487" s="11">
        <f>IF(A487="","",SUMIFS(tbl_WIP[Amount],tbl_WIP[Job Number],A487,tbl_WIP[Month],"&lt;"&amp;$C$4))</f>
        <v/>
      </c>
      <c r="D487" s="11">
        <f>IF(A487="","",SUMIFS(tbl_WIP[Amount],tbl_WIP[Job Number],A487,tbl_WIP[Month],$C$4))</f>
        <v/>
      </c>
      <c r="E487" s="11">
        <f>IF(A487="","",C487+D487)</f>
        <v/>
      </c>
      <c r="F487" s="10">
        <f>IF(A487="","",IF(AND(ROUND(C487,2)=0,ROUND(D487,2)=0),"","yes"))</f>
        <v/>
      </c>
      <c r="G487" s="39" t="n"/>
      <c r="H487" s="11">
        <f>IF(OR(A487="",G487=""),"",E487-G487)</f>
        <v/>
      </c>
    </row>
    <row r="488">
      <c r="A488" s="10">
        <f>IF(INDEX(lst_Jobs,475)="","",INDEX(lst_Jobs,475)&amp;"")</f>
        <v/>
      </c>
      <c r="B488" s="10">
        <f>IF(A488="","",INDEX(lst_JobName,475)&amp;"")</f>
        <v/>
      </c>
      <c r="C488" s="11">
        <f>IF(A488="","",SUMIFS(tbl_WIP[Amount],tbl_WIP[Job Number],A488,tbl_WIP[Month],"&lt;"&amp;$C$4))</f>
        <v/>
      </c>
      <c r="D488" s="11">
        <f>IF(A488="","",SUMIFS(tbl_WIP[Amount],tbl_WIP[Job Number],A488,tbl_WIP[Month],$C$4))</f>
        <v/>
      </c>
      <c r="E488" s="11">
        <f>IF(A488="","",C488+D488)</f>
        <v/>
      </c>
      <c r="F488" s="10">
        <f>IF(A488="","",IF(AND(ROUND(C488,2)=0,ROUND(D488,2)=0),"","yes"))</f>
        <v/>
      </c>
      <c r="G488" s="39" t="n"/>
      <c r="H488" s="11">
        <f>IF(OR(A488="",G488=""),"",E488-G488)</f>
        <v/>
      </c>
    </row>
    <row r="489">
      <c r="A489" s="10">
        <f>IF(INDEX(lst_Jobs,476)="","",INDEX(lst_Jobs,476)&amp;"")</f>
        <v/>
      </c>
      <c r="B489" s="10">
        <f>IF(A489="","",INDEX(lst_JobName,476)&amp;"")</f>
        <v/>
      </c>
      <c r="C489" s="11">
        <f>IF(A489="","",SUMIFS(tbl_WIP[Amount],tbl_WIP[Job Number],A489,tbl_WIP[Month],"&lt;"&amp;$C$4))</f>
        <v/>
      </c>
      <c r="D489" s="11">
        <f>IF(A489="","",SUMIFS(tbl_WIP[Amount],tbl_WIP[Job Number],A489,tbl_WIP[Month],$C$4))</f>
        <v/>
      </c>
      <c r="E489" s="11">
        <f>IF(A489="","",C489+D489)</f>
        <v/>
      </c>
      <c r="F489" s="10">
        <f>IF(A489="","",IF(AND(ROUND(C489,2)=0,ROUND(D489,2)=0),"","yes"))</f>
        <v/>
      </c>
      <c r="G489" s="39" t="n"/>
      <c r="H489" s="11">
        <f>IF(OR(A489="",G489=""),"",E489-G489)</f>
        <v/>
      </c>
    </row>
    <row r="490">
      <c r="A490" s="10">
        <f>IF(INDEX(lst_Jobs,477)="","",INDEX(lst_Jobs,477)&amp;"")</f>
        <v/>
      </c>
      <c r="B490" s="10">
        <f>IF(A490="","",INDEX(lst_JobName,477)&amp;"")</f>
        <v/>
      </c>
      <c r="C490" s="11">
        <f>IF(A490="","",SUMIFS(tbl_WIP[Amount],tbl_WIP[Job Number],A490,tbl_WIP[Month],"&lt;"&amp;$C$4))</f>
        <v/>
      </c>
      <c r="D490" s="11">
        <f>IF(A490="","",SUMIFS(tbl_WIP[Amount],tbl_WIP[Job Number],A490,tbl_WIP[Month],$C$4))</f>
        <v/>
      </c>
      <c r="E490" s="11">
        <f>IF(A490="","",C490+D490)</f>
        <v/>
      </c>
      <c r="F490" s="10">
        <f>IF(A490="","",IF(AND(ROUND(C490,2)=0,ROUND(D490,2)=0),"","yes"))</f>
        <v/>
      </c>
      <c r="G490" s="39" t="n"/>
      <c r="H490" s="11">
        <f>IF(OR(A490="",G490=""),"",E490-G490)</f>
        <v/>
      </c>
    </row>
    <row r="491">
      <c r="A491" s="10">
        <f>IF(INDEX(lst_Jobs,478)="","",INDEX(lst_Jobs,478)&amp;"")</f>
        <v/>
      </c>
      <c r="B491" s="10">
        <f>IF(A491="","",INDEX(lst_JobName,478)&amp;"")</f>
        <v/>
      </c>
      <c r="C491" s="11">
        <f>IF(A491="","",SUMIFS(tbl_WIP[Amount],tbl_WIP[Job Number],A491,tbl_WIP[Month],"&lt;"&amp;$C$4))</f>
        <v/>
      </c>
      <c r="D491" s="11">
        <f>IF(A491="","",SUMIFS(tbl_WIP[Amount],tbl_WIP[Job Number],A491,tbl_WIP[Month],$C$4))</f>
        <v/>
      </c>
      <c r="E491" s="11">
        <f>IF(A491="","",C491+D491)</f>
        <v/>
      </c>
      <c r="F491" s="10">
        <f>IF(A491="","",IF(AND(ROUND(C491,2)=0,ROUND(D491,2)=0),"","yes"))</f>
        <v/>
      </c>
      <c r="G491" s="39" t="n"/>
      <c r="H491" s="11">
        <f>IF(OR(A491="",G491=""),"",E491-G491)</f>
        <v/>
      </c>
    </row>
    <row r="492">
      <c r="A492" s="10">
        <f>IF(INDEX(lst_Jobs,479)="","",INDEX(lst_Jobs,479)&amp;"")</f>
        <v/>
      </c>
      <c r="B492" s="10">
        <f>IF(A492="","",INDEX(lst_JobName,479)&amp;"")</f>
        <v/>
      </c>
      <c r="C492" s="11">
        <f>IF(A492="","",SUMIFS(tbl_WIP[Amount],tbl_WIP[Job Number],A492,tbl_WIP[Month],"&lt;"&amp;$C$4))</f>
        <v/>
      </c>
      <c r="D492" s="11">
        <f>IF(A492="","",SUMIFS(tbl_WIP[Amount],tbl_WIP[Job Number],A492,tbl_WIP[Month],$C$4))</f>
        <v/>
      </c>
      <c r="E492" s="11">
        <f>IF(A492="","",C492+D492)</f>
        <v/>
      </c>
      <c r="F492" s="10">
        <f>IF(A492="","",IF(AND(ROUND(C492,2)=0,ROUND(D492,2)=0),"","yes"))</f>
        <v/>
      </c>
      <c r="G492" s="39" t="n"/>
      <c r="H492" s="11">
        <f>IF(OR(A492="",G492=""),"",E492-G492)</f>
        <v/>
      </c>
    </row>
    <row r="493">
      <c r="A493" s="10">
        <f>IF(INDEX(lst_Jobs,480)="","",INDEX(lst_Jobs,480)&amp;"")</f>
        <v/>
      </c>
      <c r="B493" s="10">
        <f>IF(A493="","",INDEX(lst_JobName,480)&amp;"")</f>
        <v/>
      </c>
      <c r="C493" s="11">
        <f>IF(A493="","",SUMIFS(tbl_WIP[Amount],tbl_WIP[Job Number],A493,tbl_WIP[Month],"&lt;"&amp;$C$4))</f>
        <v/>
      </c>
      <c r="D493" s="11">
        <f>IF(A493="","",SUMIFS(tbl_WIP[Amount],tbl_WIP[Job Number],A493,tbl_WIP[Month],$C$4))</f>
        <v/>
      </c>
      <c r="E493" s="11">
        <f>IF(A493="","",C493+D493)</f>
        <v/>
      </c>
      <c r="F493" s="10">
        <f>IF(A493="","",IF(AND(ROUND(C493,2)=0,ROUND(D493,2)=0),"","yes"))</f>
        <v/>
      </c>
      <c r="G493" s="39" t="n"/>
      <c r="H493" s="11">
        <f>IF(OR(A493="",G493=""),"",E493-G493)</f>
        <v/>
      </c>
    </row>
    <row r="494">
      <c r="A494" s="10">
        <f>IF(INDEX(lst_Jobs,481)="","",INDEX(lst_Jobs,481)&amp;"")</f>
        <v/>
      </c>
      <c r="B494" s="10">
        <f>IF(A494="","",INDEX(lst_JobName,481)&amp;"")</f>
        <v/>
      </c>
      <c r="C494" s="11">
        <f>IF(A494="","",SUMIFS(tbl_WIP[Amount],tbl_WIP[Job Number],A494,tbl_WIP[Month],"&lt;"&amp;$C$4))</f>
        <v/>
      </c>
      <c r="D494" s="11">
        <f>IF(A494="","",SUMIFS(tbl_WIP[Amount],tbl_WIP[Job Number],A494,tbl_WIP[Month],$C$4))</f>
        <v/>
      </c>
      <c r="E494" s="11">
        <f>IF(A494="","",C494+D494)</f>
        <v/>
      </c>
      <c r="F494" s="10">
        <f>IF(A494="","",IF(AND(ROUND(C494,2)=0,ROUND(D494,2)=0),"","yes"))</f>
        <v/>
      </c>
      <c r="G494" s="39" t="n"/>
      <c r="H494" s="11">
        <f>IF(OR(A494="",G494=""),"",E494-G494)</f>
        <v/>
      </c>
    </row>
    <row r="495">
      <c r="A495" s="10">
        <f>IF(INDEX(lst_Jobs,482)="","",INDEX(lst_Jobs,482)&amp;"")</f>
        <v/>
      </c>
      <c r="B495" s="10">
        <f>IF(A495="","",INDEX(lst_JobName,482)&amp;"")</f>
        <v/>
      </c>
      <c r="C495" s="11">
        <f>IF(A495="","",SUMIFS(tbl_WIP[Amount],tbl_WIP[Job Number],A495,tbl_WIP[Month],"&lt;"&amp;$C$4))</f>
        <v/>
      </c>
      <c r="D495" s="11">
        <f>IF(A495="","",SUMIFS(tbl_WIP[Amount],tbl_WIP[Job Number],A495,tbl_WIP[Month],$C$4))</f>
        <v/>
      </c>
      <c r="E495" s="11">
        <f>IF(A495="","",C495+D495)</f>
        <v/>
      </c>
      <c r="F495" s="10">
        <f>IF(A495="","",IF(AND(ROUND(C495,2)=0,ROUND(D495,2)=0),"","yes"))</f>
        <v/>
      </c>
      <c r="G495" s="39" t="n"/>
      <c r="H495" s="11">
        <f>IF(OR(A495="",G495=""),"",E495-G495)</f>
        <v/>
      </c>
    </row>
    <row r="496">
      <c r="A496" s="10">
        <f>IF(INDEX(lst_Jobs,483)="","",INDEX(lst_Jobs,483)&amp;"")</f>
        <v/>
      </c>
      <c r="B496" s="10">
        <f>IF(A496="","",INDEX(lst_JobName,483)&amp;"")</f>
        <v/>
      </c>
      <c r="C496" s="11">
        <f>IF(A496="","",SUMIFS(tbl_WIP[Amount],tbl_WIP[Job Number],A496,tbl_WIP[Month],"&lt;"&amp;$C$4))</f>
        <v/>
      </c>
      <c r="D496" s="11">
        <f>IF(A496="","",SUMIFS(tbl_WIP[Amount],tbl_WIP[Job Number],A496,tbl_WIP[Month],$C$4))</f>
        <v/>
      </c>
      <c r="E496" s="11">
        <f>IF(A496="","",C496+D496)</f>
        <v/>
      </c>
      <c r="F496" s="10">
        <f>IF(A496="","",IF(AND(ROUND(C496,2)=0,ROUND(D496,2)=0),"","yes"))</f>
        <v/>
      </c>
      <c r="G496" s="39" t="n"/>
      <c r="H496" s="11">
        <f>IF(OR(A496="",G496=""),"",E496-G496)</f>
        <v/>
      </c>
    </row>
    <row r="497">
      <c r="A497" s="10">
        <f>IF(INDEX(lst_Jobs,484)="","",INDEX(lst_Jobs,484)&amp;"")</f>
        <v/>
      </c>
      <c r="B497" s="10">
        <f>IF(A497="","",INDEX(lst_JobName,484)&amp;"")</f>
        <v/>
      </c>
      <c r="C497" s="11">
        <f>IF(A497="","",SUMIFS(tbl_WIP[Amount],tbl_WIP[Job Number],A497,tbl_WIP[Month],"&lt;"&amp;$C$4))</f>
        <v/>
      </c>
      <c r="D497" s="11">
        <f>IF(A497="","",SUMIFS(tbl_WIP[Amount],tbl_WIP[Job Number],A497,tbl_WIP[Month],$C$4))</f>
        <v/>
      </c>
      <c r="E497" s="11">
        <f>IF(A497="","",C497+D497)</f>
        <v/>
      </c>
      <c r="F497" s="10">
        <f>IF(A497="","",IF(AND(ROUND(C497,2)=0,ROUND(D497,2)=0),"","yes"))</f>
        <v/>
      </c>
      <c r="G497" s="39" t="n"/>
      <c r="H497" s="11">
        <f>IF(OR(A497="",G497=""),"",E497-G497)</f>
        <v/>
      </c>
    </row>
    <row r="498">
      <c r="A498" s="10">
        <f>IF(INDEX(lst_Jobs,485)="","",INDEX(lst_Jobs,485)&amp;"")</f>
        <v/>
      </c>
      <c r="B498" s="10">
        <f>IF(A498="","",INDEX(lst_JobName,485)&amp;"")</f>
        <v/>
      </c>
      <c r="C498" s="11">
        <f>IF(A498="","",SUMIFS(tbl_WIP[Amount],tbl_WIP[Job Number],A498,tbl_WIP[Month],"&lt;"&amp;$C$4))</f>
        <v/>
      </c>
      <c r="D498" s="11">
        <f>IF(A498="","",SUMIFS(tbl_WIP[Amount],tbl_WIP[Job Number],A498,tbl_WIP[Month],$C$4))</f>
        <v/>
      </c>
      <c r="E498" s="11">
        <f>IF(A498="","",C498+D498)</f>
        <v/>
      </c>
      <c r="F498" s="10">
        <f>IF(A498="","",IF(AND(ROUND(C498,2)=0,ROUND(D498,2)=0),"","yes"))</f>
        <v/>
      </c>
      <c r="G498" s="39" t="n"/>
      <c r="H498" s="11">
        <f>IF(OR(A498="",G498=""),"",E498-G498)</f>
        <v/>
      </c>
    </row>
    <row r="499">
      <c r="A499" s="10">
        <f>IF(INDEX(lst_Jobs,486)="","",INDEX(lst_Jobs,486)&amp;"")</f>
        <v/>
      </c>
      <c r="B499" s="10">
        <f>IF(A499="","",INDEX(lst_JobName,486)&amp;"")</f>
        <v/>
      </c>
      <c r="C499" s="11">
        <f>IF(A499="","",SUMIFS(tbl_WIP[Amount],tbl_WIP[Job Number],A499,tbl_WIP[Month],"&lt;"&amp;$C$4))</f>
        <v/>
      </c>
      <c r="D499" s="11">
        <f>IF(A499="","",SUMIFS(tbl_WIP[Amount],tbl_WIP[Job Number],A499,tbl_WIP[Month],$C$4))</f>
        <v/>
      </c>
      <c r="E499" s="11">
        <f>IF(A499="","",C499+D499)</f>
        <v/>
      </c>
      <c r="F499" s="10">
        <f>IF(A499="","",IF(AND(ROUND(C499,2)=0,ROUND(D499,2)=0),"","yes"))</f>
        <v/>
      </c>
      <c r="G499" s="39" t="n"/>
      <c r="H499" s="11">
        <f>IF(OR(A499="",G499=""),"",E499-G499)</f>
        <v/>
      </c>
    </row>
    <row r="500">
      <c r="A500" s="10">
        <f>IF(INDEX(lst_Jobs,487)="","",INDEX(lst_Jobs,487)&amp;"")</f>
        <v/>
      </c>
      <c r="B500" s="10">
        <f>IF(A500="","",INDEX(lst_JobName,487)&amp;"")</f>
        <v/>
      </c>
      <c r="C500" s="11">
        <f>IF(A500="","",SUMIFS(tbl_WIP[Amount],tbl_WIP[Job Number],A500,tbl_WIP[Month],"&lt;"&amp;$C$4))</f>
        <v/>
      </c>
      <c r="D500" s="11">
        <f>IF(A500="","",SUMIFS(tbl_WIP[Amount],tbl_WIP[Job Number],A500,tbl_WIP[Month],$C$4))</f>
        <v/>
      </c>
      <c r="E500" s="11">
        <f>IF(A500="","",C500+D500)</f>
        <v/>
      </c>
      <c r="F500" s="10">
        <f>IF(A500="","",IF(AND(ROUND(C500,2)=0,ROUND(D500,2)=0),"","yes"))</f>
        <v/>
      </c>
      <c r="G500" s="39" t="n"/>
      <c r="H500" s="11">
        <f>IF(OR(A500="",G500=""),"",E500-G500)</f>
        <v/>
      </c>
    </row>
    <row r="501">
      <c r="A501" s="10">
        <f>IF(INDEX(lst_Jobs,488)="","",INDEX(lst_Jobs,488)&amp;"")</f>
        <v/>
      </c>
      <c r="B501" s="10">
        <f>IF(A501="","",INDEX(lst_JobName,488)&amp;"")</f>
        <v/>
      </c>
      <c r="C501" s="11">
        <f>IF(A501="","",SUMIFS(tbl_WIP[Amount],tbl_WIP[Job Number],A501,tbl_WIP[Month],"&lt;"&amp;$C$4))</f>
        <v/>
      </c>
      <c r="D501" s="11">
        <f>IF(A501="","",SUMIFS(tbl_WIP[Amount],tbl_WIP[Job Number],A501,tbl_WIP[Month],$C$4))</f>
        <v/>
      </c>
      <c r="E501" s="11">
        <f>IF(A501="","",C501+D501)</f>
        <v/>
      </c>
      <c r="F501" s="10">
        <f>IF(A501="","",IF(AND(ROUND(C501,2)=0,ROUND(D501,2)=0),"","yes"))</f>
        <v/>
      </c>
      <c r="G501" s="39" t="n"/>
      <c r="H501" s="11">
        <f>IF(OR(A501="",G501=""),"",E501-G501)</f>
        <v/>
      </c>
    </row>
    <row r="502">
      <c r="A502" s="10">
        <f>IF(INDEX(lst_Jobs,489)="","",INDEX(lst_Jobs,489)&amp;"")</f>
        <v/>
      </c>
      <c r="B502" s="10">
        <f>IF(A502="","",INDEX(lst_JobName,489)&amp;"")</f>
        <v/>
      </c>
      <c r="C502" s="11">
        <f>IF(A502="","",SUMIFS(tbl_WIP[Amount],tbl_WIP[Job Number],A502,tbl_WIP[Month],"&lt;"&amp;$C$4))</f>
        <v/>
      </c>
      <c r="D502" s="11">
        <f>IF(A502="","",SUMIFS(tbl_WIP[Amount],tbl_WIP[Job Number],A502,tbl_WIP[Month],$C$4))</f>
        <v/>
      </c>
      <c r="E502" s="11">
        <f>IF(A502="","",C502+D502)</f>
        <v/>
      </c>
      <c r="F502" s="10">
        <f>IF(A502="","",IF(AND(ROUND(C502,2)=0,ROUND(D502,2)=0),"","yes"))</f>
        <v/>
      </c>
      <c r="G502" s="39" t="n"/>
      <c r="H502" s="11">
        <f>IF(OR(A502="",G502=""),"",E502-G502)</f>
        <v/>
      </c>
    </row>
    <row r="503">
      <c r="A503" s="10">
        <f>IF(INDEX(lst_Jobs,490)="","",INDEX(lst_Jobs,490)&amp;"")</f>
        <v/>
      </c>
      <c r="B503" s="10">
        <f>IF(A503="","",INDEX(lst_JobName,490)&amp;"")</f>
        <v/>
      </c>
      <c r="C503" s="11">
        <f>IF(A503="","",SUMIFS(tbl_WIP[Amount],tbl_WIP[Job Number],A503,tbl_WIP[Month],"&lt;"&amp;$C$4))</f>
        <v/>
      </c>
      <c r="D503" s="11">
        <f>IF(A503="","",SUMIFS(tbl_WIP[Amount],tbl_WIP[Job Number],A503,tbl_WIP[Month],$C$4))</f>
        <v/>
      </c>
      <c r="E503" s="11">
        <f>IF(A503="","",C503+D503)</f>
        <v/>
      </c>
      <c r="F503" s="10">
        <f>IF(A503="","",IF(AND(ROUND(C503,2)=0,ROUND(D503,2)=0),"","yes"))</f>
        <v/>
      </c>
      <c r="G503" s="39" t="n"/>
      <c r="H503" s="11">
        <f>IF(OR(A503="",G503=""),"",E503-G503)</f>
        <v/>
      </c>
    </row>
    <row r="504">
      <c r="A504" s="10">
        <f>IF(INDEX(lst_Jobs,491)="","",INDEX(lst_Jobs,491)&amp;"")</f>
        <v/>
      </c>
      <c r="B504" s="10">
        <f>IF(A504="","",INDEX(lst_JobName,491)&amp;"")</f>
        <v/>
      </c>
      <c r="C504" s="11">
        <f>IF(A504="","",SUMIFS(tbl_WIP[Amount],tbl_WIP[Job Number],A504,tbl_WIP[Month],"&lt;"&amp;$C$4))</f>
        <v/>
      </c>
      <c r="D504" s="11">
        <f>IF(A504="","",SUMIFS(tbl_WIP[Amount],tbl_WIP[Job Number],A504,tbl_WIP[Month],$C$4))</f>
        <v/>
      </c>
      <c r="E504" s="11">
        <f>IF(A504="","",C504+D504)</f>
        <v/>
      </c>
      <c r="F504" s="10">
        <f>IF(A504="","",IF(AND(ROUND(C504,2)=0,ROUND(D504,2)=0),"","yes"))</f>
        <v/>
      </c>
      <c r="G504" s="39" t="n"/>
      <c r="H504" s="11">
        <f>IF(OR(A504="",G504=""),"",E504-G504)</f>
        <v/>
      </c>
    </row>
    <row r="505">
      <c r="A505" s="10">
        <f>IF(INDEX(lst_Jobs,492)="","",INDEX(lst_Jobs,492)&amp;"")</f>
        <v/>
      </c>
      <c r="B505" s="10">
        <f>IF(A505="","",INDEX(lst_JobName,492)&amp;"")</f>
        <v/>
      </c>
      <c r="C505" s="11">
        <f>IF(A505="","",SUMIFS(tbl_WIP[Amount],tbl_WIP[Job Number],A505,tbl_WIP[Month],"&lt;"&amp;$C$4))</f>
        <v/>
      </c>
      <c r="D505" s="11">
        <f>IF(A505="","",SUMIFS(tbl_WIP[Amount],tbl_WIP[Job Number],A505,tbl_WIP[Month],$C$4))</f>
        <v/>
      </c>
      <c r="E505" s="11">
        <f>IF(A505="","",C505+D505)</f>
        <v/>
      </c>
      <c r="F505" s="10">
        <f>IF(A505="","",IF(AND(ROUND(C505,2)=0,ROUND(D505,2)=0),"","yes"))</f>
        <v/>
      </c>
      <c r="G505" s="39" t="n"/>
      <c r="H505" s="11">
        <f>IF(OR(A505="",G505=""),"",E505-G505)</f>
        <v/>
      </c>
    </row>
    <row r="506">
      <c r="A506" s="10">
        <f>IF(INDEX(lst_Jobs,493)="","",INDEX(lst_Jobs,493)&amp;"")</f>
        <v/>
      </c>
      <c r="B506" s="10">
        <f>IF(A506="","",INDEX(lst_JobName,493)&amp;"")</f>
        <v/>
      </c>
      <c r="C506" s="11">
        <f>IF(A506="","",SUMIFS(tbl_WIP[Amount],tbl_WIP[Job Number],A506,tbl_WIP[Month],"&lt;"&amp;$C$4))</f>
        <v/>
      </c>
      <c r="D506" s="11">
        <f>IF(A506="","",SUMIFS(tbl_WIP[Amount],tbl_WIP[Job Number],A506,tbl_WIP[Month],$C$4))</f>
        <v/>
      </c>
      <c r="E506" s="11">
        <f>IF(A506="","",C506+D506)</f>
        <v/>
      </c>
      <c r="F506" s="10">
        <f>IF(A506="","",IF(AND(ROUND(C506,2)=0,ROUND(D506,2)=0),"","yes"))</f>
        <v/>
      </c>
      <c r="G506" s="39" t="n"/>
      <c r="H506" s="11">
        <f>IF(OR(A506="",G506=""),"",E506-G506)</f>
        <v/>
      </c>
    </row>
    <row r="507">
      <c r="A507" s="10">
        <f>IF(INDEX(lst_Jobs,494)="","",INDEX(lst_Jobs,494)&amp;"")</f>
        <v/>
      </c>
      <c r="B507" s="10">
        <f>IF(A507="","",INDEX(lst_JobName,494)&amp;"")</f>
        <v/>
      </c>
      <c r="C507" s="11">
        <f>IF(A507="","",SUMIFS(tbl_WIP[Amount],tbl_WIP[Job Number],A507,tbl_WIP[Month],"&lt;"&amp;$C$4))</f>
        <v/>
      </c>
      <c r="D507" s="11">
        <f>IF(A507="","",SUMIFS(tbl_WIP[Amount],tbl_WIP[Job Number],A507,tbl_WIP[Month],$C$4))</f>
        <v/>
      </c>
      <c r="E507" s="11">
        <f>IF(A507="","",C507+D507)</f>
        <v/>
      </c>
      <c r="F507" s="10">
        <f>IF(A507="","",IF(AND(ROUND(C507,2)=0,ROUND(D507,2)=0),"","yes"))</f>
        <v/>
      </c>
      <c r="G507" s="39" t="n"/>
      <c r="H507" s="11">
        <f>IF(OR(A507="",G507=""),"",E507-G507)</f>
        <v/>
      </c>
    </row>
    <row r="508">
      <c r="A508" s="10">
        <f>IF(INDEX(lst_Jobs,495)="","",INDEX(lst_Jobs,495)&amp;"")</f>
        <v/>
      </c>
      <c r="B508" s="10">
        <f>IF(A508="","",INDEX(lst_JobName,495)&amp;"")</f>
        <v/>
      </c>
      <c r="C508" s="11">
        <f>IF(A508="","",SUMIFS(tbl_WIP[Amount],tbl_WIP[Job Number],A508,tbl_WIP[Month],"&lt;"&amp;$C$4))</f>
        <v/>
      </c>
      <c r="D508" s="11">
        <f>IF(A508="","",SUMIFS(tbl_WIP[Amount],tbl_WIP[Job Number],A508,tbl_WIP[Month],$C$4))</f>
        <v/>
      </c>
      <c r="E508" s="11">
        <f>IF(A508="","",C508+D508)</f>
        <v/>
      </c>
      <c r="F508" s="10">
        <f>IF(A508="","",IF(AND(ROUND(C508,2)=0,ROUND(D508,2)=0),"","yes"))</f>
        <v/>
      </c>
      <c r="G508" s="39" t="n"/>
      <c r="H508" s="11">
        <f>IF(OR(A508="",G508=""),"",E508-G508)</f>
        <v/>
      </c>
    </row>
    <row r="509">
      <c r="A509" s="10">
        <f>IF(INDEX(lst_Jobs,496)="","",INDEX(lst_Jobs,496)&amp;"")</f>
        <v/>
      </c>
      <c r="B509" s="10">
        <f>IF(A509="","",INDEX(lst_JobName,496)&amp;"")</f>
        <v/>
      </c>
      <c r="C509" s="11">
        <f>IF(A509="","",SUMIFS(tbl_WIP[Amount],tbl_WIP[Job Number],A509,tbl_WIP[Month],"&lt;"&amp;$C$4))</f>
        <v/>
      </c>
      <c r="D509" s="11">
        <f>IF(A509="","",SUMIFS(tbl_WIP[Amount],tbl_WIP[Job Number],A509,tbl_WIP[Month],$C$4))</f>
        <v/>
      </c>
      <c r="E509" s="11">
        <f>IF(A509="","",C509+D509)</f>
        <v/>
      </c>
      <c r="F509" s="10">
        <f>IF(A509="","",IF(AND(ROUND(C509,2)=0,ROUND(D509,2)=0),"","yes"))</f>
        <v/>
      </c>
      <c r="G509" s="39" t="n"/>
      <c r="H509" s="11">
        <f>IF(OR(A509="",G509=""),"",E509-G509)</f>
        <v/>
      </c>
    </row>
    <row r="510">
      <c r="A510" s="10">
        <f>IF(INDEX(lst_Jobs,497)="","",INDEX(lst_Jobs,497)&amp;"")</f>
        <v/>
      </c>
      <c r="B510" s="10">
        <f>IF(A510="","",INDEX(lst_JobName,497)&amp;"")</f>
        <v/>
      </c>
      <c r="C510" s="11">
        <f>IF(A510="","",SUMIFS(tbl_WIP[Amount],tbl_WIP[Job Number],A510,tbl_WIP[Month],"&lt;"&amp;$C$4))</f>
        <v/>
      </c>
      <c r="D510" s="11">
        <f>IF(A510="","",SUMIFS(tbl_WIP[Amount],tbl_WIP[Job Number],A510,tbl_WIP[Month],$C$4))</f>
        <v/>
      </c>
      <c r="E510" s="11">
        <f>IF(A510="","",C510+D510)</f>
        <v/>
      </c>
      <c r="F510" s="10">
        <f>IF(A510="","",IF(AND(ROUND(C510,2)=0,ROUND(D510,2)=0),"","yes"))</f>
        <v/>
      </c>
      <c r="G510" s="39" t="n"/>
      <c r="H510" s="11">
        <f>IF(OR(A510="",G510=""),"",E510-G510)</f>
        <v/>
      </c>
    </row>
    <row r="511">
      <c r="A511" s="10">
        <f>IF(INDEX(lst_Jobs,498)="","",INDEX(lst_Jobs,498)&amp;"")</f>
        <v/>
      </c>
      <c r="B511" s="10">
        <f>IF(A511="","",INDEX(lst_JobName,498)&amp;"")</f>
        <v/>
      </c>
      <c r="C511" s="11">
        <f>IF(A511="","",SUMIFS(tbl_WIP[Amount],tbl_WIP[Job Number],A511,tbl_WIP[Month],"&lt;"&amp;$C$4))</f>
        <v/>
      </c>
      <c r="D511" s="11">
        <f>IF(A511="","",SUMIFS(tbl_WIP[Amount],tbl_WIP[Job Number],A511,tbl_WIP[Month],$C$4))</f>
        <v/>
      </c>
      <c r="E511" s="11">
        <f>IF(A511="","",C511+D511)</f>
        <v/>
      </c>
      <c r="F511" s="10">
        <f>IF(A511="","",IF(AND(ROUND(C511,2)=0,ROUND(D511,2)=0),"","yes"))</f>
        <v/>
      </c>
      <c r="G511" s="39" t="n"/>
      <c r="H511" s="11">
        <f>IF(OR(A511="",G511=""),"",E511-G511)</f>
        <v/>
      </c>
    </row>
    <row r="512">
      <c r="A512" s="10">
        <f>IF(INDEX(lst_Jobs,499)="","",INDEX(lst_Jobs,499)&amp;"")</f>
        <v/>
      </c>
      <c r="B512" s="10">
        <f>IF(A512="","",INDEX(lst_JobName,499)&amp;"")</f>
        <v/>
      </c>
      <c r="C512" s="11">
        <f>IF(A512="","",SUMIFS(tbl_WIP[Amount],tbl_WIP[Job Number],A512,tbl_WIP[Month],"&lt;"&amp;$C$4))</f>
        <v/>
      </c>
      <c r="D512" s="11">
        <f>IF(A512="","",SUMIFS(tbl_WIP[Amount],tbl_WIP[Job Number],A512,tbl_WIP[Month],$C$4))</f>
        <v/>
      </c>
      <c r="E512" s="11">
        <f>IF(A512="","",C512+D512)</f>
        <v/>
      </c>
      <c r="F512" s="10">
        <f>IF(A512="","",IF(AND(ROUND(C512,2)=0,ROUND(D512,2)=0),"","yes"))</f>
        <v/>
      </c>
      <c r="G512" s="39" t="n"/>
      <c r="H512" s="11">
        <f>IF(OR(A512="",G512=""),"",E512-G512)</f>
        <v/>
      </c>
    </row>
    <row r="513">
      <c r="A513" s="10">
        <f>IF(INDEX(lst_Jobs,500)="","",INDEX(lst_Jobs,500)&amp;"")</f>
        <v/>
      </c>
      <c r="B513" s="10">
        <f>IF(A513="","",INDEX(lst_JobName,500)&amp;"")</f>
        <v/>
      </c>
      <c r="C513" s="11">
        <f>IF(A513="","",SUMIFS(tbl_WIP[Amount],tbl_WIP[Job Number],A513,tbl_WIP[Month],"&lt;"&amp;$C$4))</f>
        <v/>
      </c>
      <c r="D513" s="11">
        <f>IF(A513="","",SUMIFS(tbl_WIP[Amount],tbl_WIP[Job Number],A513,tbl_WIP[Month],$C$4))</f>
        <v/>
      </c>
      <c r="E513" s="11">
        <f>IF(A513="","",C513+D513)</f>
        <v/>
      </c>
      <c r="F513" s="10">
        <f>IF(A513="","",IF(AND(ROUND(C513,2)=0,ROUND(D513,2)=0),"","yes"))</f>
        <v/>
      </c>
      <c r="G513" s="39" t="n"/>
      <c r="H513" s="11">
        <f>IF(OR(A513="",G513=""),"",E513-G513)</f>
        <v/>
      </c>
    </row>
    <row r="514">
      <c r="A514" s="10">
        <f>IF(INDEX(lst_Jobs,501)="","",INDEX(lst_Jobs,501)&amp;"")</f>
        <v/>
      </c>
      <c r="B514" s="10">
        <f>IF(A514="","",INDEX(lst_JobName,501)&amp;"")</f>
        <v/>
      </c>
      <c r="C514" s="11">
        <f>IF(A514="","",SUMIFS(tbl_WIP[Amount],tbl_WIP[Job Number],A514,tbl_WIP[Month],"&lt;"&amp;$C$4))</f>
        <v/>
      </c>
      <c r="D514" s="11">
        <f>IF(A514="","",SUMIFS(tbl_WIP[Amount],tbl_WIP[Job Number],A514,tbl_WIP[Month],$C$4))</f>
        <v/>
      </c>
      <c r="E514" s="11">
        <f>IF(A514="","",C514+D514)</f>
        <v/>
      </c>
      <c r="F514" s="10">
        <f>IF(A514="","",IF(AND(ROUND(C514,2)=0,ROUND(D514,2)=0),"","yes"))</f>
        <v/>
      </c>
      <c r="G514" s="39" t="n"/>
      <c r="H514" s="11">
        <f>IF(OR(A514="",G514=""),"",E514-G514)</f>
        <v/>
      </c>
    </row>
    <row r="515">
      <c r="A515" s="10">
        <f>IF(INDEX(lst_Jobs,502)="","",INDEX(lst_Jobs,502)&amp;"")</f>
        <v/>
      </c>
      <c r="B515" s="10">
        <f>IF(A515="","",INDEX(lst_JobName,502)&amp;"")</f>
        <v/>
      </c>
      <c r="C515" s="11">
        <f>IF(A515="","",SUMIFS(tbl_WIP[Amount],tbl_WIP[Job Number],A515,tbl_WIP[Month],"&lt;"&amp;$C$4))</f>
        <v/>
      </c>
      <c r="D515" s="11">
        <f>IF(A515="","",SUMIFS(tbl_WIP[Amount],tbl_WIP[Job Number],A515,tbl_WIP[Month],$C$4))</f>
        <v/>
      </c>
      <c r="E515" s="11">
        <f>IF(A515="","",C515+D515)</f>
        <v/>
      </c>
      <c r="F515" s="10">
        <f>IF(A515="","",IF(AND(ROUND(C515,2)=0,ROUND(D515,2)=0),"","yes"))</f>
        <v/>
      </c>
      <c r="G515" s="39" t="n"/>
      <c r="H515" s="11">
        <f>IF(OR(A515="",G515=""),"",E515-G515)</f>
        <v/>
      </c>
    </row>
    <row r="516">
      <c r="A516" s="10">
        <f>IF(INDEX(lst_Jobs,503)="","",INDEX(lst_Jobs,503)&amp;"")</f>
        <v/>
      </c>
      <c r="B516" s="10">
        <f>IF(A516="","",INDEX(lst_JobName,503)&amp;"")</f>
        <v/>
      </c>
      <c r="C516" s="11">
        <f>IF(A516="","",SUMIFS(tbl_WIP[Amount],tbl_WIP[Job Number],A516,tbl_WIP[Month],"&lt;"&amp;$C$4))</f>
        <v/>
      </c>
      <c r="D516" s="11">
        <f>IF(A516="","",SUMIFS(tbl_WIP[Amount],tbl_WIP[Job Number],A516,tbl_WIP[Month],$C$4))</f>
        <v/>
      </c>
      <c r="E516" s="11">
        <f>IF(A516="","",C516+D516)</f>
        <v/>
      </c>
      <c r="F516" s="10">
        <f>IF(A516="","",IF(AND(ROUND(C516,2)=0,ROUND(D516,2)=0),"","yes"))</f>
        <v/>
      </c>
      <c r="G516" s="39" t="n"/>
      <c r="H516" s="11">
        <f>IF(OR(A516="",G516=""),"",E516-G516)</f>
        <v/>
      </c>
    </row>
    <row r="517">
      <c r="A517" s="10">
        <f>IF(INDEX(lst_Jobs,504)="","",INDEX(lst_Jobs,504)&amp;"")</f>
        <v/>
      </c>
      <c r="B517" s="10">
        <f>IF(A517="","",INDEX(lst_JobName,504)&amp;"")</f>
        <v/>
      </c>
      <c r="C517" s="11">
        <f>IF(A517="","",SUMIFS(tbl_WIP[Amount],tbl_WIP[Job Number],A517,tbl_WIP[Month],"&lt;"&amp;$C$4))</f>
        <v/>
      </c>
      <c r="D517" s="11">
        <f>IF(A517="","",SUMIFS(tbl_WIP[Amount],tbl_WIP[Job Number],A517,tbl_WIP[Month],$C$4))</f>
        <v/>
      </c>
      <c r="E517" s="11">
        <f>IF(A517="","",C517+D517)</f>
        <v/>
      </c>
      <c r="F517" s="10">
        <f>IF(A517="","",IF(AND(ROUND(C517,2)=0,ROUND(D517,2)=0),"","yes"))</f>
        <v/>
      </c>
      <c r="G517" s="39" t="n"/>
      <c r="H517" s="11">
        <f>IF(OR(A517="",G517=""),"",E517-G517)</f>
        <v/>
      </c>
    </row>
    <row r="518">
      <c r="A518" s="10">
        <f>IF(INDEX(lst_Jobs,505)="","",INDEX(lst_Jobs,505)&amp;"")</f>
        <v/>
      </c>
      <c r="B518" s="10">
        <f>IF(A518="","",INDEX(lst_JobName,505)&amp;"")</f>
        <v/>
      </c>
      <c r="C518" s="11">
        <f>IF(A518="","",SUMIFS(tbl_WIP[Amount],tbl_WIP[Job Number],A518,tbl_WIP[Month],"&lt;"&amp;$C$4))</f>
        <v/>
      </c>
      <c r="D518" s="11">
        <f>IF(A518="","",SUMIFS(tbl_WIP[Amount],tbl_WIP[Job Number],A518,tbl_WIP[Month],$C$4))</f>
        <v/>
      </c>
      <c r="E518" s="11">
        <f>IF(A518="","",C518+D518)</f>
        <v/>
      </c>
      <c r="F518" s="10">
        <f>IF(A518="","",IF(AND(ROUND(C518,2)=0,ROUND(D518,2)=0),"","yes"))</f>
        <v/>
      </c>
      <c r="G518" s="39" t="n"/>
      <c r="H518" s="11">
        <f>IF(OR(A518="",G518=""),"",E518-G518)</f>
        <v/>
      </c>
    </row>
    <row r="519">
      <c r="A519" s="10">
        <f>IF(INDEX(lst_Jobs,506)="","",INDEX(lst_Jobs,506)&amp;"")</f>
        <v/>
      </c>
      <c r="B519" s="10">
        <f>IF(A519="","",INDEX(lst_JobName,506)&amp;"")</f>
        <v/>
      </c>
      <c r="C519" s="11">
        <f>IF(A519="","",SUMIFS(tbl_WIP[Amount],tbl_WIP[Job Number],A519,tbl_WIP[Month],"&lt;"&amp;$C$4))</f>
        <v/>
      </c>
      <c r="D519" s="11">
        <f>IF(A519="","",SUMIFS(tbl_WIP[Amount],tbl_WIP[Job Number],A519,tbl_WIP[Month],$C$4))</f>
        <v/>
      </c>
      <c r="E519" s="11">
        <f>IF(A519="","",C519+D519)</f>
        <v/>
      </c>
      <c r="F519" s="10">
        <f>IF(A519="","",IF(AND(ROUND(C519,2)=0,ROUND(D519,2)=0),"","yes"))</f>
        <v/>
      </c>
      <c r="G519" s="39" t="n"/>
      <c r="H519" s="11">
        <f>IF(OR(A519="",G519=""),"",E519-G519)</f>
        <v/>
      </c>
    </row>
    <row r="520">
      <c r="A520" s="10">
        <f>IF(INDEX(lst_Jobs,507)="","",INDEX(lst_Jobs,507)&amp;"")</f>
        <v/>
      </c>
      <c r="B520" s="10">
        <f>IF(A520="","",INDEX(lst_JobName,507)&amp;"")</f>
        <v/>
      </c>
      <c r="C520" s="11">
        <f>IF(A520="","",SUMIFS(tbl_WIP[Amount],tbl_WIP[Job Number],A520,tbl_WIP[Month],"&lt;"&amp;$C$4))</f>
        <v/>
      </c>
      <c r="D520" s="11">
        <f>IF(A520="","",SUMIFS(tbl_WIP[Amount],tbl_WIP[Job Number],A520,tbl_WIP[Month],$C$4))</f>
        <v/>
      </c>
      <c r="E520" s="11">
        <f>IF(A520="","",C520+D520)</f>
        <v/>
      </c>
      <c r="F520" s="10">
        <f>IF(A520="","",IF(AND(ROUND(C520,2)=0,ROUND(D520,2)=0),"","yes"))</f>
        <v/>
      </c>
      <c r="G520" s="39" t="n"/>
      <c r="H520" s="11">
        <f>IF(OR(A520="",G520=""),"",E520-G520)</f>
        <v/>
      </c>
    </row>
    <row r="521">
      <c r="A521" s="10">
        <f>IF(INDEX(lst_Jobs,508)="","",INDEX(lst_Jobs,508)&amp;"")</f>
        <v/>
      </c>
      <c r="B521" s="10">
        <f>IF(A521="","",INDEX(lst_JobName,508)&amp;"")</f>
        <v/>
      </c>
      <c r="C521" s="11">
        <f>IF(A521="","",SUMIFS(tbl_WIP[Amount],tbl_WIP[Job Number],A521,tbl_WIP[Month],"&lt;"&amp;$C$4))</f>
        <v/>
      </c>
      <c r="D521" s="11">
        <f>IF(A521="","",SUMIFS(tbl_WIP[Amount],tbl_WIP[Job Number],A521,tbl_WIP[Month],$C$4))</f>
        <v/>
      </c>
      <c r="E521" s="11">
        <f>IF(A521="","",C521+D521)</f>
        <v/>
      </c>
      <c r="F521" s="10">
        <f>IF(A521="","",IF(AND(ROUND(C521,2)=0,ROUND(D521,2)=0),"","yes"))</f>
        <v/>
      </c>
      <c r="G521" s="39" t="n"/>
      <c r="H521" s="11">
        <f>IF(OR(A521="",G521=""),"",E521-G521)</f>
        <v/>
      </c>
    </row>
    <row r="522">
      <c r="A522" s="10">
        <f>IF(INDEX(lst_Jobs,509)="","",INDEX(lst_Jobs,509)&amp;"")</f>
        <v/>
      </c>
      <c r="B522" s="10">
        <f>IF(A522="","",INDEX(lst_JobName,509)&amp;"")</f>
        <v/>
      </c>
      <c r="C522" s="11">
        <f>IF(A522="","",SUMIFS(tbl_WIP[Amount],tbl_WIP[Job Number],A522,tbl_WIP[Month],"&lt;"&amp;$C$4))</f>
        <v/>
      </c>
      <c r="D522" s="11">
        <f>IF(A522="","",SUMIFS(tbl_WIP[Amount],tbl_WIP[Job Number],A522,tbl_WIP[Month],$C$4))</f>
        <v/>
      </c>
      <c r="E522" s="11">
        <f>IF(A522="","",C522+D522)</f>
        <v/>
      </c>
      <c r="F522" s="10">
        <f>IF(A522="","",IF(AND(ROUND(C522,2)=0,ROUND(D522,2)=0),"","yes"))</f>
        <v/>
      </c>
      <c r="G522" s="39" t="n"/>
      <c r="H522" s="11">
        <f>IF(OR(A522="",G522=""),"",E522-G522)</f>
        <v/>
      </c>
    </row>
    <row r="523">
      <c r="A523" s="10">
        <f>IF(INDEX(lst_Jobs,510)="","",INDEX(lst_Jobs,510)&amp;"")</f>
        <v/>
      </c>
      <c r="B523" s="10">
        <f>IF(A523="","",INDEX(lst_JobName,510)&amp;"")</f>
        <v/>
      </c>
      <c r="C523" s="11">
        <f>IF(A523="","",SUMIFS(tbl_WIP[Amount],tbl_WIP[Job Number],A523,tbl_WIP[Month],"&lt;"&amp;$C$4))</f>
        <v/>
      </c>
      <c r="D523" s="11">
        <f>IF(A523="","",SUMIFS(tbl_WIP[Amount],tbl_WIP[Job Number],A523,tbl_WIP[Month],$C$4))</f>
        <v/>
      </c>
      <c r="E523" s="11">
        <f>IF(A523="","",C523+D523)</f>
        <v/>
      </c>
      <c r="F523" s="10">
        <f>IF(A523="","",IF(AND(ROUND(C523,2)=0,ROUND(D523,2)=0),"","yes"))</f>
        <v/>
      </c>
      <c r="G523" s="39" t="n"/>
      <c r="H523" s="11">
        <f>IF(OR(A523="",G523=""),"",E523-G523)</f>
        <v/>
      </c>
    </row>
    <row r="524">
      <c r="A524" s="10">
        <f>IF(INDEX(lst_Jobs,511)="","",INDEX(lst_Jobs,511)&amp;"")</f>
        <v/>
      </c>
      <c r="B524" s="10">
        <f>IF(A524="","",INDEX(lst_JobName,511)&amp;"")</f>
        <v/>
      </c>
      <c r="C524" s="11">
        <f>IF(A524="","",SUMIFS(tbl_WIP[Amount],tbl_WIP[Job Number],A524,tbl_WIP[Month],"&lt;"&amp;$C$4))</f>
        <v/>
      </c>
      <c r="D524" s="11">
        <f>IF(A524="","",SUMIFS(tbl_WIP[Amount],tbl_WIP[Job Number],A524,tbl_WIP[Month],$C$4))</f>
        <v/>
      </c>
      <c r="E524" s="11">
        <f>IF(A524="","",C524+D524)</f>
        <v/>
      </c>
      <c r="F524" s="10">
        <f>IF(A524="","",IF(AND(ROUND(C524,2)=0,ROUND(D524,2)=0),"","yes"))</f>
        <v/>
      </c>
      <c r="G524" s="39" t="n"/>
      <c r="H524" s="11">
        <f>IF(OR(A524="",G524=""),"",E524-G524)</f>
        <v/>
      </c>
    </row>
    <row r="525">
      <c r="A525" s="10">
        <f>IF(INDEX(lst_Jobs,512)="","",INDEX(lst_Jobs,512)&amp;"")</f>
        <v/>
      </c>
      <c r="B525" s="10">
        <f>IF(A525="","",INDEX(lst_JobName,512)&amp;"")</f>
        <v/>
      </c>
      <c r="C525" s="11">
        <f>IF(A525="","",SUMIFS(tbl_WIP[Amount],tbl_WIP[Job Number],A525,tbl_WIP[Month],"&lt;"&amp;$C$4))</f>
        <v/>
      </c>
      <c r="D525" s="11">
        <f>IF(A525="","",SUMIFS(tbl_WIP[Amount],tbl_WIP[Job Number],A525,tbl_WIP[Month],$C$4))</f>
        <v/>
      </c>
      <c r="E525" s="11">
        <f>IF(A525="","",C525+D525)</f>
        <v/>
      </c>
      <c r="F525" s="10">
        <f>IF(A525="","",IF(AND(ROUND(C525,2)=0,ROUND(D525,2)=0),"","yes"))</f>
        <v/>
      </c>
      <c r="G525" s="39" t="n"/>
      <c r="H525" s="11">
        <f>IF(OR(A525="",G525=""),"",E525-G525)</f>
        <v/>
      </c>
    </row>
    <row r="526">
      <c r="A526" s="10">
        <f>IF(INDEX(lst_Jobs,513)="","",INDEX(lst_Jobs,513)&amp;"")</f>
        <v/>
      </c>
      <c r="B526" s="10">
        <f>IF(A526="","",INDEX(lst_JobName,513)&amp;"")</f>
        <v/>
      </c>
      <c r="C526" s="11">
        <f>IF(A526="","",SUMIFS(tbl_WIP[Amount],tbl_WIP[Job Number],A526,tbl_WIP[Month],"&lt;"&amp;$C$4))</f>
        <v/>
      </c>
      <c r="D526" s="11">
        <f>IF(A526="","",SUMIFS(tbl_WIP[Amount],tbl_WIP[Job Number],A526,tbl_WIP[Month],$C$4))</f>
        <v/>
      </c>
      <c r="E526" s="11">
        <f>IF(A526="","",C526+D526)</f>
        <v/>
      </c>
      <c r="F526" s="10">
        <f>IF(A526="","",IF(AND(ROUND(C526,2)=0,ROUND(D526,2)=0),"","yes"))</f>
        <v/>
      </c>
      <c r="G526" s="39" t="n"/>
      <c r="H526" s="11">
        <f>IF(OR(A526="",G526=""),"",E526-G526)</f>
        <v/>
      </c>
    </row>
    <row r="527">
      <c r="A527" s="10">
        <f>IF(INDEX(lst_Jobs,514)="","",INDEX(lst_Jobs,514)&amp;"")</f>
        <v/>
      </c>
      <c r="B527" s="10">
        <f>IF(A527="","",INDEX(lst_JobName,514)&amp;"")</f>
        <v/>
      </c>
      <c r="C527" s="11">
        <f>IF(A527="","",SUMIFS(tbl_WIP[Amount],tbl_WIP[Job Number],A527,tbl_WIP[Month],"&lt;"&amp;$C$4))</f>
        <v/>
      </c>
      <c r="D527" s="11">
        <f>IF(A527="","",SUMIFS(tbl_WIP[Amount],tbl_WIP[Job Number],A527,tbl_WIP[Month],$C$4))</f>
        <v/>
      </c>
      <c r="E527" s="11">
        <f>IF(A527="","",C527+D527)</f>
        <v/>
      </c>
      <c r="F527" s="10">
        <f>IF(A527="","",IF(AND(ROUND(C527,2)=0,ROUND(D527,2)=0),"","yes"))</f>
        <v/>
      </c>
      <c r="G527" s="39" t="n"/>
      <c r="H527" s="11">
        <f>IF(OR(A527="",G527=""),"",E527-G527)</f>
        <v/>
      </c>
    </row>
    <row r="528">
      <c r="A528" s="10">
        <f>IF(INDEX(lst_Jobs,515)="","",INDEX(lst_Jobs,515)&amp;"")</f>
        <v/>
      </c>
      <c r="B528" s="10">
        <f>IF(A528="","",INDEX(lst_JobName,515)&amp;"")</f>
        <v/>
      </c>
      <c r="C528" s="11">
        <f>IF(A528="","",SUMIFS(tbl_WIP[Amount],tbl_WIP[Job Number],A528,tbl_WIP[Month],"&lt;"&amp;$C$4))</f>
        <v/>
      </c>
      <c r="D528" s="11">
        <f>IF(A528="","",SUMIFS(tbl_WIP[Amount],tbl_WIP[Job Number],A528,tbl_WIP[Month],$C$4))</f>
        <v/>
      </c>
      <c r="E528" s="11">
        <f>IF(A528="","",C528+D528)</f>
        <v/>
      </c>
      <c r="F528" s="10">
        <f>IF(A528="","",IF(AND(ROUND(C528,2)=0,ROUND(D528,2)=0),"","yes"))</f>
        <v/>
      </c>
      <c r="G528" s="39" t="n"/>
      <c r="H528" s="11">
        <f>IF(OR(A528="",G528=""),"",E528-G528)</f>
        <v/>
      </c>
    </row>
    <row r="529">
      <c r="A529" s="10">
        <f>IF(INDEX(lst_Jobs,516)="","",INDEX(lst_Jobs,516)&amp;"")</f>
        <v/>
      </c>
      <c r="B529" s="10">
        <f>IF(A529="","",INDEX(lst_JobName,516)&amp;"")</f>
        <v/>
      </c>
      <c r="C529" s="11">
        <f>IF(A529="","",SUMIFS(tbl_WIP[Amount],tbl_WIP[Job Number],A529,tbl_WIP[Month],"&lt;"&amp;$C$4))</f>
        <v/>
      </c>
      <c r="D529" s="11">
        <f>IF(A529="","",SUMIFS(tbl_WIP[Amount],tbl_WIP[Job Number],A529,tbl_WIP[Month],$C$4))</f>
        <v/>
      </c>
      <c r="E529" s="11">
        <f>IF(A529="","",C529+D529)</f>
        <v/>
      </c>
      <c r="F529" s="10">
        <f>IF(A529="","",IF(AND(ROUND(C529,2)=0,ROUND(D529,2)=0),"","yes"))</f>
        <v/>
      </c>
      <c r="G529" s="39" t="n"/>
      <c r="H529" s="11">
        <f>IF(OR(A529="",G529=""),"",E529-G529)</f>
        <v/>
      </c>
    </row>
    <row r="530">
      <c r="A530" s="10">
        <f>IF(INDEX(lst_Jobs,517)="","",INDEX(lst_Jobs,517)&amp;"")</f>
        <v/>
      </c>
      <c r="B530" s="10">
        <f>IF(A530="","",INDEX(lst_JobName,517)&amp;"")</f>
        <v/>
      </c>
      <c r="C530" s="11">
        <f>IF(A530="","",SUMIFS(tbl_WIP[Amount],tbl_WIP[Job Number],A530,tbl_WIP[Month],"&lt;"&amp;$C$4))</f>
        <v/>
      </c>
      <c r="D530" s="11">
        <f>IF(A530="","",SUMIFS(tbl_WIP[Amount],tbl_WIP[Job Number],A530,tbl_WIP[Month],$C$4))</f>
        <v/>
      </c>
      <c r="E530" s="11">
        <f>IF(A530="","",C530+D530)</f>
        <v/>
      </c>
      <c r="F530" s="10">
        <f>IF(A530="","",IF(AND(ROUND(C530,2)=0,ROUND(D530,2)=0),"","yes"))</f>
        <v/>
      </c>
      <c r="G530" s="39" t="n"/>
      <c r="H530" s="11">
        <f>IF(OR(A530="",G530=""),"",E530-G530)</f>
        <v/>
      </c>
    </row>
    <row r="531">
      <c r="A531" s="10">
        <f>IF(INDEX(lst_Jobs,518)="","",INDEX(lst_Jobs,518)&amp;"")</f>
        <v/>
      </c>
      <c r="B531" s="10">
        <f>IF(A531="","",INDEX(lst_JobName,518)&amp;"")</f>
        <v/>
      </c>
      <c r="C531" s="11">
        <f>IF(A531="","",SUMIFS(tbl_WIP[Amount],tbl_WIP[Job Number],A531,tbl_WIP[Month],"&lt;"&amp;$C$4))</f>
        <v/>
      </c>
      <c r="D531" s="11">
        <f>IF(A531="","",SUMIFS(tbl_WIP[Amount],tbl_WIP[Job Number],A531,tbl_WIP[Month],$C$4))</f>
        <v/>
      </c>
      <c r="E531" s="11">
        <f>IF(A531="","",C531+D531)</f>
        <v/>
      </c>
      <c r="F531" s="10">
        <f>IF(A531="","",IF(AND(ROUND(C531,2)=0,ROUND(D531,2)=0),"","yes"))</f>
        <v/>
      </c>
      <c r="G531" s="39" t="n"/>
      <c r="H531" s="11">
        <f>IF(OR(A531="",G531=""),"",E531-G531)</f>
        <v/>
      </c>
    </row>
    <row r="532">
      <c r="A532" s="10">
        <f>IF(INDEX(lst_Jobs,519)="","",INDEX(lst_Jobs,519)&amp;"")</f>
        <v/>
      </c>
      <c r="B532" s="10">
        <f>IF(A532="","",INDEX(lst_JobName,519)&amp;"")</f>
        <v/>
      </c>
      <c r="C532" s="11">
        <f>IF(A532="","",SUMIFS(tbl_WIP[Amount],tbl_WIP[Job Number],A532,tbl_WIP[Month],"&lt;"&amp;$C$4))</f>
        <v/>
      </c>
      <c r="D532" s="11">
        <f>IF(A532="","",SUMIFS(tbl_WIP[Amount],tbl_WIP[Job Number],A532,tbl_WIP[Month],$C$4))</f>
        <v/>
      </c>
      <c r="E532" s="11">
        <f>IF(A532="","",C532+D532)</f>
        <v/>
      </c>
      <c r="F532" s="10">
        <f>IF(A532="","",IF(AND(ROUND(C532,2)=0,ROUND(D532,2)=0),"","yes"))</f>
        <v/>
      </c>
      <c r="G532" s="39" t="n"/>
      <c r="H532" s="11">
        <f>IF(OR(A532="",G532=""),"",E532-G532)</f>
        <v/>
      </c>
    </row>
    <row r="533">
      <c r="A533" s="10">
        <f>IF(INDEX(lst_Jobs,520)="","",INDEX(lst_Jobs,520)&amp;"")</f>
        <v/>
      </c>
      <c r="B533" s="10">
        <f>IF(A533="","",INDEX(lst_JobName,520)&amp;"")</f>
        <v/>
      </c>
      <c r="C533" s="11">
        <f>IF(A533="","",SUMIFS(tbl_WIP[Amount],tbl_WIP[Job Number],A533,tbl_WIP[Month],"&lt;"&amp;$C$4))</f>
        <v/>
      </c>
      <c r="D533" s="11">
        <f>IF(A533="","",SUMIFS(tbl_WIP[Amount],tbl_WIP[Job Number],A533,tbl_WIP[Month],$C$4))</f>
        <v/>
      </c>
      <c r="E533" s="11">
        <f>IF(A533="","",C533+D533)</f>
        <v/>
      </c>
      <c r="F533" s="10">
        <f>IF(A533="","",IF(AND(ROUND(C533,2)=0,ROUND(D533,2)=0),"","yes"))</f>
        <v/>
      </c>
      <c r="G533" s="39" t="n"/>
      <c r="H533" s="11">
        <f>IF(OR(A533="",G533=""),"",E533-G533)</f>
        <v/>
      </c>
    </row>
    <row r="534">
      <c r="A534" s="10">
        <f>IF(INDEX(lst_Jobs,521)="","",INDEX(lst_Jobs,521)&amp;"")</f>
        <v/>
      </c>
      <c r="B534" s="10">
        <f>IF(A534="","",INDEX(lst_JobName,521)&amp;"")</f>
        <v/>
      </c>
      <c r="C534" s="11">
        <f>IF(A534="","",SUMIFS(tbl_WIP[Amount],tbl_WIP[Job Number],A534,tbl_WIP[Month],"&lt;"&amp;$C$4))</f>
        <v/>
      </c>
      <c r="D534" s="11">
        <f>IF(A534="","",SUMIFS(tbl_WIP[Amount],tbl_WIP[Job Number],A534,tbl_WIP[Month],$C$4))</f>
        <v/>
      </c>
      <c r="E534" s="11">
        <f>IF(A534="","",C534+D534)</f>
        <v/>
      </c>
      <c r="F534" s="10">
        <f>IF(A534="","",IF(AND(ROUND(C534,2)=0,ROUND(D534,2)=0),"","yes"))</f>
        <v/>
      </c>
      <c r="G534" s="39" t="n"/>
      <c r="H534" s="11">
        <f>IF(OR(A534="",G534=""),"",E534-G534)</f>
        <v/>
      </c>
    </row>
    <row r="535">
      <c r="A535" s="10">
        <f>IF(INDEX(lst_Jobs,522)="","",INDEX(lst_Jobs,522)&amp;"")</f>
        <v/>
      </c>
      <c r="B535" s="10">
        <f>IF(A535="","",INDEX(lst_JobName,522)&amp;"")</f>
        <v/>
      </c>
      <c r="C535" s="11">
        <f>IF(A535="","",SUMIFS(tbl_WIP[Amount],tbl_WIP[Job Number],A535,tbl_WIP[Month],"&lt;"&amp;$C$4))</f>
        <v/>
      </c>
      <c r="D535" s="11">
        <f>IF(A535="","",SUMIFS(tbl_WIP[Amount],tbl_WIP[Job Number],A535,tbl_WIP[Month],$C$4))</f>
        <v/>
      </c>
      <c r="E535" s="11">
        <f>IF(A535="","",C535+D535)</f>
        <v/>
      </c>
      <c r="F535" s="10">
        <f>IF(A535="","",IF(AND(ROUND(C535,2)=0,ROUND(D535,2)=0),"","yes"))</f>
        <v/>
      </c>
      <c r="G535" s="39" t="n"/>
      <c r="H535" s="11">
        <f>IF(OR(A535="",G535=""),"",E535-G535)</f>
        <v/>
      </c>
    </row>
    <row r="536">
      <c r="A536" s="10">
        <f>IF(INDEX(lst_Jobs,523)="","",INDEX(lst_Jobs,523)&amp;"")</f>
        <v/>
      </c>
      <c r="B536" s="10">
        <f>IF(A536="","",INDEX(lst_JobName,523)&amp;"")</f>
        <v/>
      </c>
      <c r="C536" s="11">
        <f>IF(A536="","",SUMIFS(tbl_WIP[Amount],tbl_WIP[Job Number],A536,tbl_WIP[Month],"&lt;"&amp;$C$4))</f>
        <v/>
      </c>
      <c r="D536" s="11">
        <f>IF(A536="","",SUMIFS(tbl_WIP[Amount],tbl_WIP[Job Number],A536,tbl_WIP[Month],$C$4))</f>
        <v/>
      </c>
      <c r="E536" s="11">
        <f>IF(A536="","",C536+D536)</f>
        <v/>
      </c>
      <c r="F536" s="10">
        <f>IF(A536="","",IF(AND(ROUND(C536,2)=0,ROUND(D536,2)=0),"","yes"))</f>
        <v/>
      </c>
      <c r="G536" s="39" t="n"/>
      <c r="H536" s="11">
        <f>IF(OR(A536="",G536=""),"",E536-G536)</f>
        <v/>
      </c>
    </row>
    <row r="537">
      <c r="A537" s="10">
        <f>IF(INDEX(lst_Jobs,524)="","",INDEX(lst_Jobs,524)&amp;"")</f>
        <v/>
      </c>
      <c r="B537" s="10">
        <f>IF(A537="","",INDEX(lst_JobName,524)&amp;"")</f>
        <v/>
      </c>
      <c r="C537" s="11">
        <f>IF(A537="","",SUMIFS(tbl_WIP[Amount],tbl_WIP[Job Number],A537,tbl_WIP[Month],"&lt;"&amp;$C$4))</f>
        <v/>
      </c>
      <c r="D537" s="11">
        <f>IF(A537="","",SUMIFS(tbl_WIP[Amount],tbl_WIP[Job Number],A537,tbl_WIP[Month],$C$4))</f>
        <v/>
      </c>
      <c r="E537" s="11">
        <f>IF(A537="","",C537+D537)</f>
        <v/>
      </c>
      <c r="F537" s="10">
        <f>IF(A537="","",IF(AND(ROUND(C537,2)=0,ROUND(D537,2)=0),"","yes"))</f>
        <v/>
      </c>
      <c r="G537" s="39" t="n"/>
      <c r="H537" s="11">
        <f>IF(OR(A537="",G537=""),"",E537-G537)</f>
        <v/>
      </c>
    </row>
    <row r="538">
      <c r="A538" s="10">
        <f>IF(INDEX(lst_Jobs,525)="","",INDEX(lst_Jobs,525)&amp;"")</f>
        <v/>
      </c>
      <c r="B538" s="10">
        <f>IF(A538="","",INDEX(lst_JobName,525)&amp;"")</f>
        <v/>
      </c>
      <c r="C538" s="11">
        <f>IF(A538="","",SUMIFS(tbl_WIP[Amount],tbl_WIP[Job Number],A538,tbl_WIP[Month],"&lt;"&amp;$C$4))</f>
        <v/>
      </c>
      <c r="D538" s="11">
        <f>IF(A538="","",SUMIFS(tbl_WIP[Amount],tbl_WIP[Job Number],A538,tbl_WIP[Month],$C$4))</f>
        <v/>
      </c>
      <c r="E538" s="11">
        <f>IF(A538="","",C538+D538)</f>
        <v/>
      </c>
      <c r="F538" s="10">
        <f>IF(A538="","",IF(AND(ROUND(C538,2)=0,ROUND(D538,2)=0),"","yes"))</f>
        <v/>
      </c>
      <c r="G538" s="39" t="n"/>
      <c r="H538" s="11">
        <f>IF(OR(A538="",G538=""),"",E538-G538)</f>
        <v/>
      </c>
    </row>
    <row r="539">
      <c r="A539" s="10">
        <f>IF(INDEX(lst_Jobs,526)="","",INDEX(lst_Jobs,526)&amp;"")</f>
        <v/>
      </c>
      <c r="B539" s="10">
        <f>IF(A539="","",INDEX(lst_JobName,526)&amp;"")</f>
        <v/>
      </c>
      <c r="C539" s="11">
        <f>IF(A539="","",SUMIFS(tbl_WIP[Amount],tbl_WIP[Job Number],A539,tbl_WIP[Month],"&lt;"&amp;$C$4))</f>
        <v/>
      </c>
      <c r="D539" s="11">
        <f>IF(A539="","",SUMIFS(tbl_WIP[Amount],tbl_WIP[Job Number],A539,tbl_WIP[Month],$C$4))</f>
        <v/>
      </c>
      <c r="E539" s="11">
        <f>IF(A539="","",C539+D539)</f>
        <v/>
      </c>
      <c r="F539" s="10">
        <f>IF(A539="","",IF(AND(ROUND(C539,2)=0,ROUND(D539,2)=0),"","yes"))</f>
        <v/>
      </c>
      <c r="G539" s="39" t="n"/>
      <c r="H539" s="11">
        <f>IF(OR(A539="",G539=""),"",E539-G539)</f>
        <v/>
      </c>
    </row>
    <row r="540">
      <c r="A540" s="10">
        <f>IF(INDEX(lst_Jobs,527)="","",INDEX(lst_Jobs,527)&amp;"")</f>
        <v/>
      </c>
      <c r="B540" s="10">
        <f>IF(A540="","",INDEX(lst_JobName,527)&amp;"")</f>
        <v/>
      </c>
      <c r="C540" s="11">
        <f>IF(A540="","",SUMIFS(tbl_WIP[Amount],tbl_WIP[Job Number],A540,tbl_WIP[Month],"&lt;"&amp;$C$4))</f>
        <v/>
      </c>
      <c r="D540" s="11">
        <f>IF(A540="","",SUMIFS(tbl_WIP[Amount],tbl_WIP[Job Number],A540,tbl_WIP[Month],$C$4))</f>
        <v/>
      </c>
      <c r="E540" s="11">
        <f>IF(A540="","",C540+D540)</f>
        <v/>
      </c>
      <c r="F540" s="10">
        <f>IF(A540="","",IF(AND(ROUND(C540,2)=0,ROUND(D540,2)=0),"","yes"))</f>
        <v/>
      </c>
      <c r="G540" s="39" t="n"/>
      <c r="H540" s="11">
        <f>IF(OR(A540="",G540=""),"",E540-G540)</f>
        <v/>
      </c>
    </row>
    <row r="541">
      <c r="A541" s="10">
        <f>IF(INDEX(lst_Jobs,528)="","",INDEX(lst_Jobs,528)&amp;"")</f>
        <v/>
      </c>
      <c r="B541" s="10">
        <f>IF(A541="","",INDEX(lst_JobName,528)&amp;"")</f>
        <v/>
      </c>
      <c r="C541" s="11">
        <f>IF(A541="","",SUMIFS(tbl_WIP[Amount],tbl_WIP[Job Number],A541,tbl_WIP[Month],"&lt;"&amp;$C$4))</f>
        <v/>
      </c>
      <c r="D541" s="11">
        <f>IF(A541="","",SUMIFS(tbl_WIP[Amount],tbl_WIP[Job Number],A541,tbl_WIP[Month],$C$4))</f>
        <v/>
      </c>
      <c r="E541" s="11">
        <f>IF(A541="","",C541+D541)</f>
        <v/>
      </c>
      <c r="F541" s="10">
        <f>IF(A541="","",IF(AND(ROUND(C541,2)=0,ROUND(D541,2)=0),"","yes"))</f>
        <v/>
      </c>
      <c r="G541" s="39" t="n"/>
      <c r="H541" s="11">
        <f>IF(OR(A541="",G541=""),"",E541-G541)</f>
        <v/>
      </c>
    </row>
    <row r="542">
      <c r="A542" s="10">
        <f>IF(INDEX(lst_Jobs,529)="","",INDEX(lst_Jobs,529)&amp;"")</f>
        <v/>
      </c>
      <c r="B542" s="10">
        <f>IF(A542="","",INDEX(lst_JobName,529)&amp;"")</f>
        <v/>
      </c>
      <c r="C542" s="11">
        <f>IF(A542="","",SUMIFS(tbl_WIP[Amount],tbl_WIP[Job Number],A542,tbl_WIP[Month],"&lt;"&amp;$C$4))</f>
        <v/>
      </c>
      <c r="D542" s="11">
        <f>IF(A542="","",SUMIFS(tbl_WIP[Amount],tbl_WIP[Job Number],A542,tbl_WIP[Month],$C$4))</f>
        <v/>
      </c>
      <c r="E542" s="11">
        <f>IF(A542="","",C542+D542)</f>
        <v/>
      </c>
      <c r="F542" s="10">
        <f>IF(A542="","",IF(AND(ROUND(C542,2)=0,ROUND(D542,2)=0),"","yes"))</f>
        <v/>
      </c>
      <c r="G542" s="39" t="n"/>
      <c r="H542" s="11">
        <f>IF(OR(A542="",G542=""),"",E542-G542)</f>
        <v/>
      </c>
    </row>
    <row r="543">
      <c r="A543" s="10">
        <f>IF(INDEX(lst_Jobs,530)="","",INDEX(lst_Jobs,530)&amp;"")</f>
        <v/>
      </c>
      <c r="B543" s="10">
        <f>IF(A543="","",INDEX(lst_JobName,530)&amp;"")</f>
        <v/>
      </c>
      <c r="C543" s="11">
        <f>IF(A543="","",SUMIFS(tbl_WIP[Amount],tbl_WIP[Job Number],A543,tbl_WIP[Month],"&lt;"&amp;$C$4))</f>
        <v/>
      </c>
      <c r="D543" s="11">
        <f>IF(A543="","",SUMIFS(tbl_WIP[Amount],tbl_WIP[Job Number],A543,tbl_WIP[Month],$C$4))</f>
        <v/>
      </c>
      <c r="E543" s="11">
        <f>IF(A543="","",C543+D543)</f>
        <v/>
      </c>
      <c r="F543" s="10">
        <f>IF(A543="","",IF(AND(ROUND(C543,2)=0,ROUND(D543,2)=0),"","yes"))</f>
        <v/>
      </c>
      <c r="G543" s="39" t="n"/>
      <c r="H543" s="11">
        <f>IF(OR(A543="",G543=""),"",E543-G543)</f>
        <v/>
      </c>
    </row>
    <row r="544">
      <c r="A544" s="10">
        <f>IF(INDEX(lst_Jobs,531)="","",INDEX(lst_Jobs,531)&amp;"")</f>
        <v/>
      </c>
      <c r="B544" s="10">
        <f>IF(A544="","",INDEX(lst_JobName,531)&amp;"")</f>
        <v/>
      </c>
      <c r="C544" s="11">
        <f>IF(A544="","",SUMIFS(tbl_WIP[Amount],tbl_WIP[Job Number],A544,tbl_WIP[Month],"&lt;"&amp;$C$4))</f>
        <v/>
      </c>
      <c r="D544" s="11">
        <f>IF(A544="","",SUMIFS(tbl_WIP[Amount],tbl_WIP[Job Number],A544,tbl_WIP[Month],$C$4))</f>
        <v/>
      </c>
      <c r="E544" s="11">
        <f>IF(A544="","",C544+D544)</f>
        <v/>
      </c>
      <c r="F544" s="10">
        <f>IF(A544="","",IF(AND(ROUND(C544,2)=0,ROUND(D544,2)=0),"","yes"))</f>
        <v/>
      </c>
      <c r="G544" s="39" t="n"/>
      <c r="H544" s="11">
        <f>IF(OR(A544="",G544=""),"",E544-G544)</f>
        <v/>
      </c>
    </row>
    <row r="545">
      <c r="A545" s="10">
        <f>IF(INDEX(lst_Jobs,532)="","",INDEX(lst_Jobs,532)&amp;"")</f>
        <v/>
      </c>
      <c r="B545" s="10">
        <f>IF(A545="","",INDEX(lst_JobName,532)&amp;"")</f>
        <v/>
      </c>
      <c r="C545" s="11">
        <f>IF(A545="","",SUMIFS(tbl_WIP[Amount],tbl_WIP[Job Number],A545,tbl_WIP[Month],"&lt;"&amp;$C$4))</f>
        <v/>
      </c>
      <c r="D545" s="11">
        <f>IF(A545="","",SUMIFS(tbl_WIP[Amount],tbl_WIP[Job Number],A545,tbl_WIP[Month],$C$4))</f>
        <v/>
      </c>
      <c r="E545" s="11">
        <f>IF(A545="","",C545+D545)</f>
        <v/>
      </c>
      <c r="F545" s="10">
        <f>IF(A545="","",IF(AND(ROUND(C545,2)=0,ROUND(D545,2)=0),"","yes"))</f>
        <v/>
      </c>
      <c r="G545" s="39" t="n"/>
      <c r="H545" s="11">
        <f>IF(OR(A545="",G545=""),"",E545-G545)</f>
        <v/>
      </c>
    </row>
    <row r="546">
      <c r="A546" s="10">
        <f>IF(INDEX(lst_Jobs,533)="","",INDEX(lst_Jobs,533)&amp;"")</f>
        <v/>
      </c>
      <c r="B546" s="10">
        <f>IF(A546="","",INDEX(lst_JobName,533)&amp;"")</f>
        <v/>
      </c>
      <c r="C546" s="11">
        <f>IF(A546="","",SUMIFS(tbl_WIP[Amount],tbl_WIP[Job Number],A546,tbl_WIP[Month],"&lt;"&amp;$C$4))</f>
        <v/>
      </c>
      <c r="D546" s="11">
        <f>IF(A546="","",SUMIFS(tbl_WIP[Amount],tbl_WIP[Job Number],A546,tbl_WIP[Month],$C$4))</f>
        <v/>
      </c>
      <c r="E546" s="11">
        <f>IF(A546="","",C546+D546)</f>
        <v/>
      </c>
      <c r="F546" s="10">
        <f>IF(A546="","",IF(AND(ROUND(C546,2)=0,ROUND(D546,2)=0),"","yes"))</f>
        <v/>
      </c>
      <c r="G546" s="39" t="n"/>
      <c r="H546" s="11">
        <f>IF(OR(A546="",G546=""),"",E546-G546)</f>
        <v/>
      </c>
    </row>
    <row r="547">
      <c r="A547" s="10">
        <f>IF(INDEX(lst_Jobs,534)="","",INDEX(lst_Jobs,534)&amp;"")</f>
        <v/>
      </c>
      <c r="B547" s="10">
        <f>IF(A547="","",INDEX(lst_JobName,534)&amp;"")</f>
        <v/>
      </c>
      <c r="C547" s="11">
        <f>IF(A547="","",SUMIFS(tbl_WIP[Amount],tbl_WIP[Job Number],A547,tbl_WIP[Month],"&lt;"&amp;$C$4))</f>
        <v/>
      </c>
      <c r="D547" s="11">
        <f>IF(A547="","",SUMIFS(tbl_WIP[Amount],tbl_WIP[Job Number],A547,tbl_WIP[Month],$C$4))</f>
        <v/>
      </c>
      <c r="E547" s="11">
        <f>IF(A547="","",C547+D547)</f>
        <v/>
      </c>
      <c r="F547" s="10">
        <f>IF(A547="","",IF(AND(ROUND(C547,2)=0,ROUND(D547,2)=0),"","yes"))</f>
        <v/>
      </c>
      <c r="G547" s="39" t="n"/>
      <c r="H547" s="11">
        <f>IF(OR(A547="",G547=""),"",E547-G547)</f>
        <v/>
      </c>
    </row>
    <row r="548">
      <c r="A548" s="10">
        <f>IF(INDEX(lst_Jobs,535)="","",INDEX(lst_Jobs,535)&amp;"")</f>
        <v/>
      </c>
      <c r="B548" s="10">
        <f>IF(A548="","",INDEX(lst_JobName,535)&amp;"")</f>
        <v/>
      </c>
      <c r="C548" s="11">
        <f>IF(A548="","",SUMIFS(tbl_WIP[Amount],tbl_WIP[Job Number],A548,tbl_WIP[Month],"&lt;"&amp;$C$4))</f>
        <v/>
      </c>
      <c r="D548" s="11">
        <f>IF(A548="","",SUMIFS(tbl_WIP[Amount],tbl_WIP[Job Number],A548,tbl_WIP[Month],$C$4))</f>
        <v/>
      </c>
      <c r="E548" s="11">
        <f>IF(A548="","",C548+D548)</f>
        <v/>
      </c>
      <c r="F548" s="10">
        <f>IF(A548="","",IF(AND(ROUND(C548,2)=0,ROUND(D548,2)=0),"","yes"))</f>
        <v/>
      </c>
      <c r="G548" s="39" t="n"/>
      <c r="H548" s="11">
        <f>IF(OR(A548="",G548=""),"",E548-G548)</f>
        <v/>
      </c>
    </row>
    <row r="549">
      <c r="A549" s="10">
        <f>IF(INDEX(lst_Jobs,536)="","",INDEX(lst_Jobs,536)&amp;"")</f>
        <v/>
      </c>
      <c r="B549" s="10">
        <f>IF(A549="","",INDEX(lst_JobName,536)&amp;"")</f>
        <v/>
      </c>
      <c r="C549" s="11">
        <f>IF(A549="","",SUMIFS(tbl_WIP[Amount],tbl_WIP[Job Number],A549,tbl_WIP[Month],"&lt;"&amp;$C$4))</f>
        <v/>
      </c>
      <c r="D549" s="11">
        <f>IF(A549="","",SUMIFS(tbl_WIP[Amount],tbl_WIP[Job Number],A549,tbl_WIP[Month],$C$4))</f>
        <v/>
      </c>
      <c r="E549" s="11">
        <f>IF(A549="","",C549+D549)</f>
        <v/>
      </c>
      <c r="F549" s="10">
        <f>IF(A549="","",IF(AND(ROUND(C549,2)=0,ROUND(D549,2)=0),"","yes"))</f>
        <v/>
      </c>
      <c r="G549" s="39" t="n"/>
      <c r="H549" s="11">
        <f>IF(OR(A549="",G549=""),"",E549-G549)</f>
        <v/>
      </c>
    </row>
    <row r="550">
      <c r="A550" s="10">
        <f>IF(INDEX(lst_Jobs,537)="","",INDEX(lst_Jobs,537)&amp;"")</f>
        <v/>
      </c>
      <c r="B550" s="10">
        <f>IF(A550="","",INDEX(lst_JobName,537)&amp;"")</f>
        <v/>
      </c>
      <c r="C550" s="11">
        <f>IF(A550="","",SUMIFS(tbl_WIP[Amount],tbl_WIP[Job Number],A550,tbl_WIP[Month],"&lt;"&amp;$C$4))</f>
        <v/>
      </c>
      <c r="D550" s="11">
        <f>IF(A550="","",SUMIFS(tbl_WIP[Amount],tbl_WIP[Job Number],A550,tbl_WIP[Month],$C$4))</f>
        <v/>
      </c>
      <c r="E550" s="11">
        <f>IF(A550="","",C550+D550)</f>
        <v/>
      </c>
      <c r="F550" s="10">
        <f>IF(A550="","",IF(AND(ROUND(C550,2)=0,ROUND(D550,2)=0),"","yes"))</f>
        <v/>
      </c>
      <c r="G550" s="39" t="n"/>
      <c r="H550" s="11">
        <f>IF(OR(A550="",G550=""),"",E550-G550)</f>
        <v/>
      </c>
    </row>
    <row r="551">
      <c r="A551" s="10">
        <f>IF(INDEX(lst_Jobs,538)="","",INDEX(lst_Jobs,538)&amp;"")</f>
        <v/>
      </c>
      <c r="B551" s="10">
        <f>IF(A551="","",INDEX(lst_JobName,538)&amp;"")</f>
        <v/>
      </c>
      <c r="C551" s="11">
        <f>IF(A551="","",SUMIFS(tbl_WIP[Amount],tbl_WIP[Job Number],A551,tbl_WIP[Month],"&lt;"&amp;$C$4))</f>
        <v/>
      </c>
      <c r="D551" s="11">
        <f>IF(A551="","",SUMIFS(tbl_WIP[Amount],tbl_WIP[Job Number],A551,tbl_WIP[Month],$C$4))</f>
        <v/>
      </c>
      <c r="E551" s="11">
        <f>IF(A551="","",C551+D551)</f>
        <v/>
      </c>
      <c r="F551" s="10">
        <f>IF(A551="","",IF(AND(ROUND(C551,2)=0,ROUND(D551,2)=0),"","yes"))</f>
        <v/>
      </c>
      <c r="G551" s="39" t="n"/>
      <c r="H551" s="11">
        <f>IF(OR(A551="",G551=""),"",E551-G551)</f>
        <v/>
      </c>
    </row>
    <row r="552">
      <c r="A552" s="10">
        <f>IF(INDEX(lst_Jobs,539)="","",INDEX(lst_Jobs,539)&amp;"")</f>
        <v/>
      </c>
      <c r="B552" s="10">
        <f>IF(A552="","",INDEX(lst_JobName,539)&amp;"")</f>
        <v/>
      </c>
      <c r="C552" s="11">
        <f>IF(A552="","",SUMIFS(tbl_WIP[Amount],tbl_WIP[Job Number],A552,tbl_WIP[Month],"&lt;"&amp;$C$4))</f>
        <v/>
      </c>
      <c r="D552" s="11">
        <f>IF(A552="","",SUMIFS(tbl_WIP[Amount],tbl_WIP[Job Number],A552,tbl_WIP[Month],$C$4))</f>
        <v/>
      </c>
      <c r="E552" s="11">
        <f>IF(A552="","",C552+D552)</f>
        <v/>
      </c>
      <c r="F552" s="10">
        <f>IF(A552="","",IF(AND(ROUND(C552,2)=0,ROUND(D552,2)=0),"","yes"))</f>
        <v/>
      </c>
      <c r="G552" s="39" t="n"/>
      <c r="H552" s="11">
        <f>IF(OR(A552="",G552=""),"",E552-G552)</f>
        <v/>
      </c>
    </row>
    <row r="553">
      <c r="A553" s="10">
        <f>IF(INDEX(lst_Jobs,540)="","",INDEX(lst_Jobs,540)&amp;"")</f>
        <v/>
      </c>
      <c r="B553" s="10">
        <f>IF(A553="","",INDEX(lst_JobName,540)&amp;"")</f>
        <v/>
      </c>
      <c r="C553" s="11">
        <f>IF(A553="","",SUMIFS(tbl_WIP[Amount],tbl_WIP[Job Number],A553,tbl_WIP[Month],"&lt;"&amp;$C$4))</f>
        <v/>
      </c>
      <c r="D553" s="11">
        <f>IF(A553="","",SUMIFS(tbl_WIP[Amount],tbl_WIP[Job Number],A553,tbl_WIP[Month],$C$4))</f>
        <v/>
      </c>
      <c r="E553" s="11">
        <f>IF(A553="","",C553+D553)</f>
        <v/>
      </c>
      <c r="F553" s="10">
        <f>IF(A553="","",IF(AND(ROUND(C553,2)=0,ROUND(D553,2)=0),"","yes"))</f>
        <v/>
      </c>
      <c r="G553" s="39" t="n"/>
      <c r="H553" s="11">
        <f>IF(OR(A553="",G553=""),"",E553-G553)</f>
        <v/>
      </c>
    </row>
    <row r="554">
      <c r="A554" s="10">
        <f>IF(INDEX(lst_Jobs,541)="","",INDEX(lst_Jobs,541)&amp;"")</f>
        <v/>
      </c>
      <c r="B554" s="10">
        <f>IF(A554="","",INDEX(lst_JobName,541)&amp;"")</f>
        <v/>
      </c>
      <c r="C554" s="11">
        <f>IF(A554="","",SUMIFS(tbl_WIP[Amount],tbl_WIP[Job Number],A554,tbl_WIP[Month],"&lt;"&amp;$C$4))</f>
        <v/>
      </c>
      <c r="D554" s="11">
        <f>IF(A554="","",SUMIFS(tbl_WIP[Amount],tbl_WIP[Job Number],A554,tbl_WIP[Month],$C$4))</f>
        <v/>
      </c>
      <c r="E554" s="11">
        <f>IF(A554="","",C554+D554)</f>
        <v/>
      </c>
      <c r="F554" s="10">
        <f>IF(A554="","",IF(AND(ROUND(C554,2)=0,ROUND(D554,2)=0),"","yes"))</f>
        <v/>
      </c>
      <c r="G554" s="39" t="n"/>
      <c r="H554" s="11">
        <f>IF(OR(A554="",G554=""),"",E554-G554)</f>
        <v/>
      </c>
    </row>
    <row r="555">
      <c r="A555" s="10">
        <f>IF(INDEX(lst_Jobs,542)="","",INDEX(lst_Jobs,542)&amp;"")</f>
        <v/>
      </c>
      <c r="B555" s="10">
        <f>IF(A555="","",INDEX(lst_JobName,542)&amp;"")</f>
        <v/>
      </c>
      <c r="C555" s="11">
        <f>IF(A555="","",SUMIFS(tbl_WIP[Amount],tbl_WIP[Job Number],A555,tbl_WIP[Month],"&lt;"&amp;$C$4))</f>
        <v/>
      </c>
      <c r="D555" s="11">
        <f>IF(A555="","",SUMIFS(tbl_WIP[Amount],tbl_WIP[Job Number],A555,tbl_WIP[Month],$C$4))</f>
        <v/>
      </c>
      <c r="E555" s="11">
        <f>IF(A555="","",C555+D555)</f>
        <v/>
      </c>
      <c r="F555" s="10">
        <f>IF(A555="","",IF(AND(ROUND(C555,2)=0,ROUND(D555,2)=0),"","yes"))</f>
        <v/>
      </c>
      <c r="G555" s="39" t="n"/>
      <c r="H555" s="11">
        <f>IF(OR(A555="",G555=""),"",E555-G555)</f>
        <v/>
      </c>
    </row>
    <row r="556">
      <c r="A556" s="10">
        <f>IF(INDEX(lst_Jobs,543)="","",INDEX(lst_Jobs,543)&amp;"")</f>
        <v/>
      </c>
      <c r="B556" s="10">
        <f>IF(A556="","",INDEX(lst_JobName,543)&amp;"")</f>
        <v/>
      </c>
      <c r="C556" s="11">
        <f>IF(A556="","",SUMIFS(tbl_WIP[Amount],tbl_WIP[Job Number],A556,tbl_WIP[Month],"&lt;"&amp;$C$4))</f>
        <v/>
      </c>
      <c r="D556" s="11">
        <f>IF(A556="","",SUMIFS(tbl_WIP[Amount],tbl_WIP[Job Number],A556,tbl_WIP[Month],$C$4))</f>
        <v/>
      </c>
      <c r="E556" s="11">
        <f>IF(A556="","",C556+D556)</f>
        <v/>
      </c>
      <c r="F556" s="10">
        <f>IF(A556="","",IF(AND(ROUND(C556,2)=0,ROUND(D556,2)=0),"","yes"))</f>
        <v/>
      </c>
      <c r="G556" s="39" t="n"/>
      <c r="H556" s="11">
        <f>IF(OR(A556="",G556=""),"",E556-G556)</f>
        <v/>
      </c>
    </row>
    <row r="557">
      <c r="A557" s="10">
        <f>IF(INDEX(lst_Jobs,544)="","",INDEX(lst_Jobs,544)&amp;"")</f>
        <v/>
      </c>
      <c r="B557" s="10">
        <f>IF(A557="","",INDEX(lst_JobName,544)&amp;"")</f>
        <v/>
      </c>
      <c r="C557" s="11">
        <f>IF(A557="","",SUMIFS(tbl_WIP[Amount],tbl_WIP[Job Number],A557,tbl_WIP[Month],"&lt;"&amp;$C$4))</f>
        <v/>
      </c>
      <c r="D557" s="11">
        <f>IF(A557="","",SUMIFS(tbl_WIP[Amount],tbl_WIP[Job Number],A557,tbl_WIP[Month],$C$4))</f>
        <v/>
      </c>
      <c r="E557" s="11">
        <f>IF(A557="","",C557+D557)</f>
        <v/>
      </c>
      <c r="F557" s="10">
        <f>IF(A557="","",IF(AND(ROUND(C557,2)=0,ROUND(D557,2)=0),"","yes"))</f>
        <v/>
      </c>
      <c r="G557" s="39" t="n"/>
      <c r="H557" s="11">
        <f>IF(OR(A557="",G557=""),"",E557-G557)</f>
        <v/>
      </c>
    </row>
    <row r="558">
      <c r="A558" s="10">
        <f>IF(INDEX(lst_Jobs,545)="","",INDEX(lst_Jobs,545)&amp;"")</f>
        <v/>
      </c>
      <c r="B558" s="10">
        <f>IF(A558="","",INDEX(lst_JobName,545)&amp;"")</f>
        <v/>
      </c>
      <c r="C558" s="11">
        <f>IF(A558="","",SUMIFS(tbl_WIP[Amount],tbl_WIP[Job Number],A558,tbl_WIP[Month],"&lt;"&amp;$C$4))</f>
        <v/>
      </c>
      <c r="D558" s="11">
        <f>IF(A558="","",SUMIFS(tbl_WIP[Amount],tbl_WIP[Job Number],A558,tbl_WIP[Month],$C$4))</f>
        <v/>
      </c>
      <c r="E558" s="11">
        <f>IF(A558="","",C558+D558)</f>
        <v/>
      </c>
      <c r="F558" s="10">
        <f>IF(A558="","",IF(AND(ROUND(C558,2)=0,ROUND(D558,2)=0),"","yes"))</f>
        <v/>
      </c>
      <c r="G558" s="39" t="n"/>
      <c r="H558" s="11">
        <f>IF(OR(A558="",G558=""),"",E558-G558)</f>
        <v/>
      </c>
    </row>
    <row r="559">
      <c r="A559" s="10">
        <f>IF(INDEX(lst_Jobs,546)="","",INDEX(lst_Jobs,546)&amp;"")</f>
        <v/>
      </c>
      <c r="B559" s="10">
        <f>IF(A559="","",INDEX(lst_JobName,546)&amp;"")</f>
        <v/>
      </c>
      <c r="C559" s="11">
        <f>IF(A559="","",SUMIFS(tbl_WIP[Amount],tbl_WIP[Job Number],A559,tbl_WIP[Month],"&lt;"&amp;$C$4))</f>
        <v/>
      </c>
      <c r="D559" s="11">
        <f>IF(A559="","",SUMIFS(tbl_WIP[Amount],tbl_WIP[Job Number],A559,tbl_WIP[Month],$C$4))</f>
        <v/>
      </c>
      <c r="E559" s="11">
        <f>IF(A559="","",C559+D559)</f>
        <v/>
      </c>
      <c r="F559" s="10">
        <f>IF(A559="","",IF(AND(ROUND(C559,2)=0,ROUND(D559,2)=0),"","yes"))</f>
        <v/>
      </c>
      <c r="G559" s="39" t="n"/>
      <c r="H559" s="11">
        <f>IF(OR(A559="",G559=""),"",E559-G559)</f>
        <v/>
      </c>
    </row>
    <row r="560">
      <c r="A560" s="10">
        <f>IF(INDEX(lst_Jobs,547)="","",INDEX(lst_Jobs,547)&amp;"")</f>
        <v/>
      </c>
      <c r="B560" s="10">
        <f>IF(A560="","",INDEX(lst_JobName,547)&amp;"")</f>
        <v/>
      </c>
      <c r="C560" s="11">
        <f>IF(A560="","",SUMIFS(tbl_WIP[Amount],tbl_WIP[Job Number],A560,tbl_WIP[Month],"&lt;"&amp;$C$4))</f>
        <v/>
      </c>
      <c r="D560" s="11">
        <f>IF(A560="","",SUMIFS(tbl_WIP[Amount],tbl_WIP[Job Number],A560,tbl_WIP[Month],$C$4))</f>
        <v/>
      </c>
      <c r="E560" s="11">
        <f>IF(A560="","",C560+D560)</f>
        <v/>
      </c>
      <c r="F560" s="10">
        <f>IF(A560="","",IF(AND(ROUND(C560,2)=0,ROUND(D560,2)=0),"","yes"))</f>
        <v/>
      </c>
      <c r="G560" s="39" t="n"/>
      <c r="H560" s="11">
        <f>IF(OR(A560="",G560=""),"",E560-G560)</f>
        <v/>
      </c>
    </row>
    <row r="561">
      <c r="A561" s="10">
        <f>IF(INDEX(lst_Jobs,548)="","",INDEX(lst_Jobs,548)&amp;"")</f>
        <v/>
      </c>
      <c r="B561" s="10">
        <f>IF(A561="","",INDEX(lst_JobName,548)&amp;"")</f>
        <v/>
      </c>
      <c r="C561" s="11">
        <f>IF(A561="","",SUMIFS(tbl_WIP[Amount],tbl_WIP[Job Number],A561,tbl_WIP[Month],"&lt;"&amp;$C$4))</f>
        <v/>
      </c>
      <c r="D561" s="11">
        <f>IF(A561="","",SUMIFS(tbl_WIP[Amount],tbl_WIP[Job Number],A561,tbl_WIP[Month],$C$4))</f>
        <v/>
      </c>
      <c r="E561" s="11">
        <f>IF(A561="","",C561+D561)</f>
        <v/>
      </c>
      <c r="F561" s="10">
        <f>IF(A561="","",IF(AND(ROUND(C561,2)=0,ROUND(D561,2)=0),"","yes"))</f>
        <v/>
      </c>
      <c r="G561" s="39" t="n"/>
      <c r="H561" s="11">
        <f>IF(OR(A561="",G561=""),"",E561-G561)</f>
        <v/>
      </c>
    </row>
    <row r="562">
      <c r="A562" s="10">
        <f>IF(INDEX(lst_Jobs,549)="","",INDEX(lst_Jobs,549)&amp;"")</f>
        <v/>
      </c>
      <c r="B562" s="10">
        <f>IF(A562="","",INDEX(lst_JobName,549)&amp;"")</f>
        <v/>
      </c>
      <c r="C562" s="11">
        <f>IF(A562="","",SUMIFS(tbl_WIP[Amount],tbl_WIP[Job Number],A562,tbl_WIP[Month],"&lt;"&amp;$C$4))</f>
        <v/>
      </c>
      <c r="D562" s="11">
        <f>IF(A562="","",SUMIFS(tbl_WIP[Amount],tbl_WIP[Job Number],A562,tbl_WIP[Month],$C$4))</f>
        <v/>
      </c>
      <c r="E562" s="11">
        <f>IF(A562="","",C562+D562)</f>
        <v/>
      </c>
      <c r="F562" s="10">
        <f>IF(A562="","",IF(AND(ROUND(C562,2)=0,ROUND(D562,2)=0),"","yes"))</f>
        <v/>
      </c>
      <c r="G562" s="39" t="n"/>
      <c r="H562" s="11">
        <f>IF(OR(A562="",G562=""),"",E562-G562)</f>
        <v/>
      </c>
    </row>
    <row r="563">
      <c r="A563" s="10">
        <f>IF(INDEX(lst_Jobs,550)="","",INDEX(lst_Jobs,550)&amp;"")</f>
        <v/>
      </c>
      <c r="B563" s="10">
        <f>IF(A563="","",INDEX(lst_JobName,550)&amp;"")</f>
        <v/>
      </c>
      <c r="C563" s="11">
        <f>IF(A563="","",SUMIFS(tbl_WIP[Amount],tbl_WIP[Job Number],A563,tbl_WIP[Month],"&lt;"&amp;$C$4))</f>
        <v/>
      </c>
      <c r="D563" s="11">
        <f>IF(A563="","",SUMIFS(tbl_WIP[Amount],tbl_WIP[Job Number],A563,tbl_WIP[Month],$C$4))</f>
        <v/>
      </c>
      <c r="E563" s="11">
        <f>IF(A563="","",C563+D563)</f>
        <v/>
      </c>
      <c r="F563" s="10">
        <f>IF(A563="","",IF(AND(ROUND(C563,2)=0,ROUND(D563,2)=0),"","yes"))</f>
        <v/>
      </c>
      <c r="G563" s="39" t="n"/>
      <c r="H563" s="11">
        <f>IF(OR(A563="",G563=""),"",E563-G563)</f>
        <v/>
      </c>
    </row>
    <row r="564">
      <c r="A564" s="10">
        <f>IF(INDEX(lst_Jobs,551)="","",INDEX(lst_Jobs,551)&amp;"")</f>
        <v/>
      </c>
      <c r="B564" s="10">
        <f>IF(A564="","",INDEX(lst_JobName,551)&amp;"")</f>
        <v/>
      </c>
      <c r="C564" s="11">
        <f>IF(A564="","",SUMIFS(tbl_WIP[Amount],tbl_WIP[Job Number],A564,tbl_WIP[Month],"&lt;"&amp;$C$4))</f>
        <v/>
      </c>
      <c r="D564" s="11">
        <f>IF(A564="","",SUMIFS(tbl_WIP[Amount],tbl_WIP[Job Number],A564,tbl_WIP[Month],$C$4))</f>
        <v/>
      </c>
      <c r="E564" s="11">
        <f>IF(A564="","",C564+D564)</f>
        <v/>
      </c>
      <c r="F564" s="10">
        <f>IF(A564="","",IF(AND(ROUND(C564,2)=0,ROUND(D564,2)=0),"","yes"))</f>
        <v/>
      </c>
      <c r="G564" s="39" t="n"/>
      <c r="H564" s="11">
        <f>IF(OR(A564="",G564=""),"",E564-G564)</f>
        <v/>
      </c>
    </row>
    <row r="565">
      <c r="A565" s="10">
        <f>IF(INDEX(lst_Jobs,552)="","",INDEX(lst_Jobs,552)&amp;"")</f>
        <v/>
      </c>
      <c r="B565" s="10">
        <f>IF(A565="","",INDEX(lst_JobName,552)&amp;"")</f>
        <v/>
      </c>
      <c r="C565" s="11">
        <f>IF(A565="","",SUMIFS(tbl_WIP[Amount],tbl_WIP[Job Number],A565,tbl_WIP[Month],"&lt;"&amp;$C$4))</f>
        <v/>
      </c>
      <c r="D565" s="11">
        <f>IF(A565="","",SUMIFS(tbl_WIP[Amount],tbl_WIP[Job Number],A565,tbl_WIP[Month],$C$4))</f>
        <v/>
      </c>
      <c r="E565" s="11">
        <f>IF(A565="","",C565+D565)</f>
        <v/>
      </c>
      <c r="F565" s="10">
        <f>IF(A565="","",IF(AND(ROUND(C565,2)=0,ROUND(D565,2)=0),"","yes"))</f>
        <v/>
      </c>
      <c r="G565" s="39" t="n"/>
      <c r="H565" s="11">
        <f>IF(OR(A565="",G565=""),"",E565-G565)</f>
        <v/>
      </c>
    </row>
    <row r="566">
      <c r="A566" s="10">
        <f>IF(INDEX(lst_Jobs,553)="","",INDEX(lst_Jobs,553)&amp;"")</f>
        <v/>
      </c>
      <c r="B566" s="10">
        <f>IF(A566="","",INDEX(lst_JobName,553)&amp;"")</f>
        <v/>
      </c>
      <c r="C566" s="11">
        <f>IF(A566="","",SUMIFS(tbl_WIP[Amount],tbl_WIP[Job Number],A566,tbl_WIP[Month],"&lt;"&amp;$C$4))</f>
        <v/>
      </c>
      <c r="D566" s="11">
        <f>IF(A566="","",SUMIFS(tbl_WIP[Amount],tbl_WIP[Job Number],A566,tbl_WIP[Month],$C$4))</f>
        <v/>
      </c>
      <c r="E566" s="11">
        <f>IF(A566="","",C566+D566)</f>
        <v/>
      </c>
      <c r="F566" s="10">
        <f>IF(A566="","",IF(AND(ROUND(C566,2)=0,ROUND(D566,2)=0),"","yes"))</f>
        <v/>
      </c>
      <c r="G566" s="39" t="n"/>
      <c r="H566" s="11">
        <f>IF(OR(A566="",G566=""),"",E566-G566)</f>
        <v/>
      </c>
    </row>
    <row r="567">
      <c r="A567" s="10">
        <f>IF(INDEX(lst_Jobs,554)="","",INDEX(lst_Jobs,554)&amp;"")</f>
        <v/>
      </c>
      <c r="B567" s="10">
        <f>IF(A567="","",INDEX(lst_JobName,554)&amp;"")</f>
        <v/>
      </c>
      <c r="C567" s="11">
        <f>IF(A567="","",SUMIFS(tbl_WIP[Amount],tbl_WIP[Job Number],A567,tbl_WIP[Month],"&lt;"&amp;$C$4))</f>
        <v/>
      </c>
      <c r="D567" s="11">
        <f>IF(A567="","",SUMIFS(tbl_WIP[Amount],tbl_WIP[Job Number],A567,tbl_WIP[Month],$C$4))</f>
        <v/>
      </c>
      <c r="E567" s="11">
        <f>IF(A567="","",C567+D567)</f>
        <v/>
      </c>
      <c r="F567" s="10">
        <f>IF(A567="","",IF(AND(ROUND(C567,2)=0,ROUND(D567,2)=0),"","yes"))</f>
        <v/>
      </c>
      <c r="G567" s="39" t="n"/>
      <c r="H567" s="11">
        <f>IF(OR(A567="",G567=""),"",E567-G567)</f>
        <v/>
      </c>
    </row>
    <row r="568">
      <c r="A568" s="10">
        <f>IF(INDEX(lst_Jobs,555)="","",INDEX(lst_Jobs,555)&amp;"")</f>
        <v/>
      </c>
      <c r="B568" s="10">
        <f>IF(A568="","",INDEX(lst_JobName,555)&amp;"")</f>
        <v/>
      </c>
      <c r="C568" s="11">
        <f>IF(A568="","",SUMIFS(tbl_WIP[Amount],tbl_WIP[Job Number],A568,tbl_WIP[Month],"&lt;"&amp;$C$4))</f>
        <v/>
      </c>
      <c r="D568" s="11">
        <f>IF(A568="","",SUMIFS(tbl_WIP[Amount],tbl_WIP[Job Number],A568,tbl_WIP[Month],$C$4))</f>
        <v/>
      </c>
      <c r="E568" s="11">
        <f>IF(A568="","",C568+D568)</f>
        <v/>
      </c>
      <c r="F568" s="10">
        <f>IF(A568="","",IF(AND(ROUND(C568,2)=0,ROUND(D568,2)=0),"","yes"))</f>
        <v/>
      </c>
      <c r="G568" s="39" t="n"/>
      <c r="H568" s="11">
        <f>IF(OR(A568="",G568=""),"",E568-G568)</f>
        <v/>
      </c>
    </row>
    <row r="569">
      <c r="A569" s="10">
        <f>IF(INDEX(lst_Jobs,556)="","",INDEX(lst_Jobs,556)&amp;"")</f>
        <v/>
      </c>
      <c r="B569" s="10">
        <f>IF(A569="","",INDEX(lst_JobName,556)&amp;"")</f>
        <v/>
      </c>
      <c r="C569" s="11">
        <f>IF(A569="","",SUMIFS(tbl_WIP[Amount],tbl_WIP[Job Number],A569,tbl_WIP[Month],"&lt;"&amp;$C$4))</f>
        <v/>
      </c>
      <c r="D569" s="11">
        <f>IF(A569="","",SUMIFS(tbl_WIP[Amount],tbl_WIP[Job Number],A569,tbl_WIP[Month],$C$4))</f>
        <v/>
      </c>
      <c r="E569" s="11">
        <f>IF(A569="","",C569+D569)</f>
        <v/>
      </c>
      <c r="F569" s="10">
        <f>IF(A569="","",IF(AND(ROUND(C569,2)=0,ROUND(D569,2)=0),"","yes"))</f>
        <v/>
      </c>
      <c r="G569" s="39" t="n"/>
      <c r="H569" s="11">
        <f>IF(OR(A569="",G569=""),"",E569-G569)</f>
        <v/>
      </c>
    </row>
    <row r="570">
      <c r="A570" s="10">
        <f>IF(INDEX(lst_Jobs,557)="","",INDEX(lst_Jobs,557)&amp;"")</f>
        <v/>
      </c>
      <c r="B570" s="10">
        <f>IF(A570="","",INDEX(lst_JobName,557)&amp;"")</f>
        <v/>
      </c>
      <c r="C570" s="11">
        <f>IF(A570="","",SUMIFS(tbl_WIP[Amount],tbl_WIP[Job Number],A570,tbl_WIP[Month],"&lt;"&amp;$C$4))</f>
        <v/>
      </c>
      <c r="D570" s="11">
        <f>IF(A570="","",SUMIFS(tbl_WIP[Amount],tbl_WIP[Job Number],A570,tbl_WIP[Month],$C$4))</f>
        <v/>
      </c>
      <c r="E570" s="11">
        <f>IF(A570="","",C570+D570)</f>
        <v/>
      </c>
      <c r="F570" s="10">
        <f>IF(A570="","",IF(AND(ROUND(C570,2)=0,ROUND(D570,2)=0),"","yes"))</f>
        <v/>
      </c>
      <c r="G570" s="39" t="n"/>
      <c r="H570" s="11">
        <f>IF(OR(A570="",G570=""),"",E570-G570)</f>
        <v/>
      </c>
    </row>
    <row r="571">
      <c r="A571" s="10">
        <f>IF(INDEX(lst_Jobs,558)="","",INDEX(lst_Jobs,558)&amp;"")</f>
        <v/>
      </c>
      <c r="B571" s="10">
        <f>IF(A571="","",INDEX(lst_JobName,558)&amp;"")</f>
        <v/>
      </c>
      <c r="C571" s="11">
        <f>IF(A571="","",SUMIFS(tbl_WIP[Amount],tbl_WIP[Job Number],A571,tbl_WIP[Month],"&lt;"&amp;$C$4))</f>
        <v/>
      </c>
      <c r="D571" s="11">
        <f>IF(A571="","",SUMIFS(tbl_WIP[Amount],tbl_WIP[Job Number],A571,tbl_WIP[Month],$C$4))</f>
        <v/>
      </c>
      <c r="E571" s="11">
        <f>IF(A571="","",C571+D571)</f>
        <v/>
      </c>
      <c r="F571" s="10">
        <f>IF(A571="","",IF(AND(ROUND(C571,2)=0,ROUND(D571,2)=0),"","yes"))</f>
        <v/>
      </c>
      <c r="G571" s="39" t="n"/>
      <c r="H571" s="11">
        <f>IF(OR(A571="",G571=""),"",E571-G571)</f>
        <v/>
      </c>
    </row>
    <row r="572">
      <c r="A572" s="10">
        <f>IF(INDEX(lst_Jobs,559)="","",INDEX(lst_Jobs,559)&amp;"")</f>
        <v/>
      </c>
      <c r="B572" s="10">
        <f>IF(A572="","",INDEX(lst_JobName,559)&amp;"")</f>
        <v/>
      </c>
      <c r="C572" s="11">
        <f>IF(A572="","",SUMIFS(tbl_WIP[Amount],tbl_WIP[Job Number],A572,tbl_WIP[Month],"&lt;"&amp;$C$4))</f>
        <v/>
      </c>
      <c r="D572" s="11">
        <f>IF(A572="","",SUMIFS(tbl_WIP[Amount],tbl_WIP[Job Number],A572,tbl_WIP[Month],$C$4))</f>
        <v/>
      </c>
      <c r="E572" s="11">
        <f>IF(A572="","",C572+D572)</f>
        <v/>
      </c>
      <c r="F572" s="10">
        <f>IF(A572="","",IF(AND(ROUND(C572,2)=0,ROUND(D572,2)=0),"","yes"))</f>
        <v/>
      </c>
      <c r="G572" s="39" t="n"/>
      <c r="H572" s="11">
        <f>IF(OR(A572="",G572=""),"",E572-G572)</f>
        <v/>
      </c>
    </row>
    <row r="573">
      <c r="A573" s="10">
        <f>IF(INDEX(lst_Jobs,560)="","",INDEX(lst_Jobs,560)&amp;"")</f>
        <v/>
      </c>
      <c r="B573" s="10">
        <f>IF(A573="","",INDEX(lst_JobName,560)&amp;"")</f>
        <v/>
      </c>
      <c r="C573" s="11">
        <f>IF(A573="","",SUMIFS(tbl_WIP[Amount],tbl_WIP[Job Number],A573,tbl_WIP[Month],"&lt;"&amp;$C$4))</f>
        <v/>
      </c>
      <c r="D573" s="11">
        <f>IF(A573="","",SUMIFS(tbl_WIP[Amount],tbl_WIP[Job Number],A573,tbl_WIP[Month],$C$4))</f>
        <v/>
      </c>
      <c r="E573" s="11">
        <f>IF(A573="","",C573+D573)</f>
        <v/>
      </c>
      <c r="F573" s="10">
        <f>IF(A573="","",IF(AND(ROUND(C573,2)=0,ROUND(D573,2)=0),"","yes"))</f>
        <v/>
      </c>
      <c r="G573" s="39" t="n"/>
      <c r="H573" s="11">
        <f>IF(OR(A573="",G573=""),"",E573-G573)</f>
        <v/>
      </c>
    </row>
    <row r="574">
      <c r="A574" s="10">
        <f>IF(INDEX(lst_Jobs,561)="","",INDEX(lst_Jobs,561)&amp;"")</f>
        <v/>
      </c>
      <c r="B574" s="10">
        <f>IF(A574="","",INDEX(lst_JobName,561)&amp;"")</f>
        <v/>
      </c>
      <c r="C574" s="11">
        <f>IF(A574="","",SUMIFS(tbl_WIP[Amount],tbl_WIP[Job Number],A574,tbl_WIP[Month],"&lt;"&amp;$C$4))</f>
        <v/>
      </c>
      <c r="D574" s="11">
        <f>IF(A574="","",SUMIFS(tbl_WIP[Amount],tbl_WIP[Job Number],A574,tbl_WIP[Month],$C$4))</f>
        <v/>
      </c>
      <c r="E574" s="11">
        <f>IF(A574="","",C574+D574)</f>
        <v/>
      </c>
      <c r="F574" s="10">
        <f>IF(A574="","",IF(AND(ROUND(C574,2)=0,ROUND(D574,2)=0),"","yes"))</f>
        <v/>
      </c>
      <c r="G574" s="39" t="n"/>
      <c r="H574" s="11">
        <f>IF(OR(A574="",G574=""),"",E574-G574)</f>
        <v/>
      </c>
    </row>
    <row r="575">
      <c r="A575" s="10">
        <f>IF(INDEX(lst_Jobs,562)="","",INDEX(lst_Jobs,562)&amp;"")</f>
        <v/>
      </c>
      <c r="B575" s="10">
        <f>IF(A575="","",INDEX(lst_JobName,562)&amp;"")</f>
        <v/>
      </c>
      <c r="C575" s="11">
        <f>IF(A575="","",SUMIFS(tbl_WIP[Amount],tbl_WIP[Job Number],A575,tbl_WIP[Month],"&lt;"&amp;$C$4))</f>
        <v/>
      </c>
      <c r="D575" s="11">
        <f>IF(A575="","",SUMIFS(tbl_WIP[Amount],tbl_WIP[Job Number],A575,tbl_WIP[Month],$C$4))</f>
        <v/>
      </c>
      <c r="E575" s="11">
        <f>IF(A575="","",C575+D575)</f>
        <v/>
      </c>
      <c r="F575" s="10">
        <f>IF(A575="","",IF(AND(ROUND(C575,2)=0,ROUND(D575,2)=0),"","yes"))</f>
        <v/>
      </c>
      <c r="G575" s="39" t="n"/>
      <c r="H575" s="11">
        <f>IF(OR(A575="",G575=""),"",E575-G575)</f>
        <v/>
      </c>
    </row>
    <row r="576">
      <c r="A576" s="10">
        <f>IF(INDEX(lst_Jobs,563)="","",INDEX(lst_Jobs,563)&amp;"")</f>
        <v/>
      </c>
      <c r="B576" s="10">
        <f>IF(A576="","",INDEX(lst_JobName,563)&amp;"")</f>
        <v/>
      </c>
      <c r="C576" s="11">
        <f>IF(A576="","",SUMIFS(tbl_WIP[Amount],tbl_WIP[Job Number],A576,tbl_WIP[Month],"&lt;"&amp;$C$4))</f>
        <v/>
      </c>
      <c r="D576" s="11">
        <f>IF(A576="","",SUMIFS(tbl_WIP[Amount],tbl_WIP[Job Number],A576,tbl_WIP[Month],$C$4))</f>
        <v/>
      </c>
      <c r="E576" s="11">
        <f>IF(A576="","",C576+D576)</f>
        <v/>
      </c>
      <c r="F576" s="10">
        <f>IF(A576="","",IF(AND(ROUND(C576,2)=0,ROUND(D576,2)=0),"","yes"))</f>
        <v/>
      </c>
      <c r="G576" s="39" t="n"/>
      <c r="H576" s="11">
        <f>IF(OR(A576="",G576=""),"",E576-G576)</f>
        <v/>
      </c>
    </row>
    <row r="577">
      <c r="A577" s="10">
        <f>IF(INDEX(lst_Jobs,564)="","",INDEX(lst_Jobs,564)&amp;"")</f>
        <v/>
      </c>
      <c r="B577" s="10">
        <f>IF(A577="","",INDEX(lst_JobName,564)&amp;"")</f>
        <v/>
      </c>
      <c r="C577" s="11">
        <f>IF(A577="","",SUMIFS(tbl_WIP[Amount],tbl_WIP[Job Number],A577,tbl_WIP[Month],"&lt;"&amp;$C$4))</f>
        <v/>
      </c>
      <c r="D577" s="11">
        <f>IF(A577="","",SUMIFS(tbl_WIP[Amount],tbl_WIP[Job Number],A577,tbl_WIP[Month],$C$4))</f>
        <v/>
      </c>
      <c r="E577" s="11">
        <f>IF(A577="","",C577+D577)</f>
        <v/>
      </c>
      <c r="F577" s="10">
        <f>IF(A577="","",IF(AND(ROUND(C577,2)=0,ROUND(D577,2)=0),"","yes"))</f>
        <v/>
      </c>
      <c r="G577" s="39" t="n"/>
      <c r="H577" s="11">
        <f>IF(OR(A577="",G577=""),"",E577-G577)</f>
        <v/>
      </c>
    </row>
    <row r="578">
      <c r="A578" s="10">
        <f>IF(INDEX(lst_Jobs,565)="","",INDEX(lst_Jobs,565)&amp;"")</f>
        <v/>
      </c>
      <c r="B578" s="10">
        <f>IF(A578="","",INDEX(lst_JobName,565)&amp;"")</f>
        <v/>
      </c>
      <c r="C578" s="11">
        <f>IF(A578="","",SUMIFS(tbl_WIP[Amount],tbl_WIP[Job Number],A578,tbl_WIP[Month],"&lt;"&amp;$C$4))</f>
        <v/>
      </c>
      <c r="D578" s="11">
        <f>IF(A578="","",SUMIFS(tbl_WIP[Amount],tbl_WIP[Job Number],A578,tbl_WIP[Month],$C$4))</f>
        <v/>
      </c>
      <c r="E578" s="11">
        <f>IF(A578="","",C578+D578)</f>
        <v/>
      </c>
      <c r="F578" s="10">
        <f>IF(A578="","",IF(AND(ROUND(C578,2)=0,ROUND(D578,2)=0),"","yes"))</f>
        <v/>
      </c>
      <c r="G578" s="39" t="n"/>
      <c r="H578" s="11">
        <f>IF(OR(A578="",G578=""),"",E578-G578)</f>
        <v/>
      </c>
    </row>
    <row r="579">
      <c r="A579" s="10">
        <f>IF(INDEX(lst_Jobs,566)="","",INDEX(lst_Jobs,566)&amp;"")</f>
        <v/>
      </c>
      <c r="B579" s="10">
        <f>IF(A579="","",INDEX(lst_JobName,566)&amp;"")</f>
        <v/>
      </c>
      <c r="C579" s="11">
        <f>IF(A579="","",SUMIFS(tbl_WIP[Amount],tbl_WIP[Job Number],A579,tbl_WIP[Month],"&lt;"&amp;$C$4))</f>
        <v/>
      </c>
      <c r="D579" s="11">
        <f>IF(A579="","",SUMIFS(tbl_WIP[Amount],tbl_WIP[Job Number],A579,tbl_WIP[Month],$C$4))</f>
        <v/>
      </c>
      <c r="E579" s="11">
        <f>IF(A579="","",C579+D579)</f>
        <v/>
      </c>
      <c r="F579" s="10">
        <f>IF(A579="","",IF(AND(ROUND(C579,2)=0,ROUND(D579,2)=0),"","yes"))</f>
        <v/>
      </c>
      <c r="G579" s="39" t="n"/>
      <c r="H579" s="11">
        <f>IF(OR(A579="",G579=""),"",E579-G579)</f>
        <v/>
      </c>
    </row>
    <row r="580">
      <c r="A580" s="10">
        <f>IF(INDEX(lst_Jobs,567)="","",INDEX(lst_Jobs,567)&amp;"")</f>
        <v/>
      </c>
      <c r="B580" s="10">
        <f>IF(A580="","",INDEX(lst_JobName,567)&amp;"")</f>
        <v/>
      </c>
      <c r="C580" s="11">
        <f>IF(A580="","",SUMIFS(tbl_WIP[Amount],tbl_WIP[Job Number],A580,tbl_WIP[Month],"&lt;"&amp;$C$4))</f>
        <v/>
      </c>
      <c r="D580" s="11">
        <f>IF(A580="","",SUMIFS(tbl_WIP[Amount],tbl_WIP[Job Number],A580,tbl_WIP[Month],$C$4))</f>
        <v/>
      </c>
      <c r="E580" s="11">
        <f>IF(A580="","",C580+D580)</f>
        <v/>
      </c>
      <c r="F580" s="10">
        <f>IF(A580="","",IF(AND(ROUND(C580,2)=0,ROUND(D580,2)=0),"","yes"))</f>
        <v/>
      </c>
      <c r="G580" s="39" t="n"/>
      <c r="H580" s="11">
        <f>IF(OR(A580="",G580=""),"",E580-G580)</f>
        <v/>
      </c>
    </row>
    <row r="581">
      <c r="A581" s="10">
        <f>IF(INDEX(lst_Jobs,568)="","",INDEX(lst_Jobs,568)&amp;"")</f>
        <v/>
      </c>
      <c r="B581" s="10">
        <f>IF(A581="","",INDEX(lst_JobName,568)&amp;"")</f>
        <v/>
      </c>
      <c r="C581" s="11">
        <f>IF(A581="","",SUMIFS(tbl_WIP[Amount],tbl_WIP[Job Number],A581,tbl_WIP[Month],"&lt;"&amp;$C$4))</f>
        <v/>
      </c>
      <c r="D581" s="11">
        <f>IF(A581="","",SUMIFS(tbl_WIP[Amount],tbl_WIP[Job Number],A581,tbl_WIP[Month],$C$4))</f>
        <v/>
      </c>
      <c r="E581" s="11">
        <f>IF(A581="","",C581+D581)</f>
        <v/>
      </c>
      <c r="F581" s="10">
        <f>IF(A581="","",IF(AND(ROUND(C581,2)=0,ROUND(D581,2)=0),"","yes"))</f>
        <v/>
      </c>
      <c r="G581" s="39" t="n"/>
      <c r="H581" s="11">
        <f>IF(OR(A581="",G581=""),"",E581-G581)</f>
        <v/>
      </c>
    </row>
    <row r="582">
      <c r="A582" s="10">
        <f>IF(INDEX(lst_Jobs,569)="","",INDEX(lst_Jobs,569)&amp;"")</f>
        <v/>
      </c>
      <c r="B582" s="10">
        <f>IF(A582="","",INDEX(lst_JobName,569)&amp;"")</f>
        <v/>
      </c>
      <c r="C582" s="11">
        <f>IF(A582="","",SUMIFS(tbl_WIP[Amount],tbl_WIP[Job Number],A582,tbl_WIP[Month],"&lt;"&amp;$C$4))</f>
        <v/>
      </c>
      <c r="D582" s="11">
        <f>IF(A582="","",SUMIFS(tbl_WIP[Amount],tbl_WIP[Job Number],A582,tbl_WIP[Month],$C$4))</f>
        <v/>
      </c>
      <c r="E582" s="11">
        <f>IF(A582="","",C582+D582)</f>
        <v/>
      </c>
      <c r="F582" s="10">
        <f>IF(A582="","",IF(AND(ROUND(C582,2)=0,ROUND(D582,2)=0),"","yes"))</f>
        <v/>
      </c>
      <c r="G582" s="39" t="n"/>
      <c r="H582" s="11">
        <f>IF(OR(A582="",G582=""),"",E582-G582)</f>
        <v/>
      </c>
    </row>
    <row r="583">
      <c r="A583" s="10">
        <f>IF(INDEX(lst_Jobs,570)="","",INDEX(lst_Jobs,570)&amp;"")</f>
        <v/>
      </c>
      <c r="B583" s="10">
        <f>IF(A583="","",INDEX(lst_JobName,570)&amp;"")</f>
        <v/>
      </c>
      <c r="C583" s="11">
        <f>IF(A583="","",SUMIFS(tbl_WIP[Amount],tbl_WIP[Job Number],A583,tbl_WIP[Month],"&lt;"&amp;$C$4))</f>
        <v/>
      </c>
      <c r="D583" s="11">
        <f>IF(A583="","",SUMIFS(tbl_WIP[Amount],tbl_WIP[Job Number],A583,tbl_WIP[Month],$C$4))</f>
        <v/>
      </c>
      <c r="E583" s="11">
        <f>IF(A583="","",C583+D583)</f>
        <v/>
      </c>
      <c r="F583" s="10">
        <f>IF(A583="","",IF(AND(ROUND(C583,2)=0,ROUND(D583,2)=0),"","yes"))</f>
        <v/>
      </c>
      <c r="G583" s="39" t="n"/>
      <c r="H583" s="11">
        <f>IF(OR(A583="",G583=""),"",E583-G583)</f>
        <v/>
      </c>
    </row>
    <row r="584">
      <c r="A584" s="10">
        <f>IF(INDEX(lst_Jobs,571)="","",INDEX(lst_Jobs,571)&amp;"")</f>
        <v/>
      </c>
      <c r="B584" s="10">
        <f>IF(A584="","",INDEX(lst_JobName,571)&amp;"")</f>
        <v/>
      </c>
      <c r="C584" s="11">
        <f>IF(A584="","",SUMIFS(tbl_WIP[Amount],tbl_WIP[Job Number],A584,tbl_WIP[Month],"&lt;"&amp;$C$4))</f>
        <v/>
      </c>
      <c r="D584" s="11">
        <f>IF(A584="","",SUMIFS(tbl_WIP[Amount],tbl_WIP[Job Number],A584,tbl_WIP[Month],$C$4))</f>
        <v/>
      </c>
      <c r="E584" s="11">
        <f>IF(A584="","",C584+D584)</f>
        <v/>
      </c>
      <c r="F584" s="10">
        <f>IF(A584="","",IF(AND(ROUND(C584,2)=0,ROUND(D584,2)=0),"","yes"))</f>
        <v/>
      </c>
      <c r="G584" s="39" t="n"/>
      <c r="H584" s="11">
        <f>IF(OR(A584="",G584=""),"",E584-G584)</f>
        <v/>
      </c>
    </row>
    <row r="585">
      <c r="A585" s="10">
        <f>IF(INDEX(lst_Jobs,572)="","",INDEX(lst_Jobs,572)&amp;"")</f>
        <v/>
      </c>
      <c r="B585" s="10">
        <f>IF(A585="","",INDEX(lst_JobName,572)&amp;"")</f>
        <v/>
      </c>
      <c r="C585" s="11">
        <f>IF(A585="","",SUMIFS(tbl_WIP[Amount],tbl_WIP[Job Number],A585,tbl_WIP[Month],"&lt;"&amp;$C$4))</f>
        <v/>
      </c>
      <c r="D585" s="11">
        <f>IF(A585="","",SUMIFS(tbl_WIP[Amount],tbl_WIP[Job Number],A585,tbl_WIP[Month],$C$4))</f>
        <v/>
      </c>
      <c r="E585" s="11">
        <f>IF(A585="","",C585+D585)</f>
        <v/>
      </c>
      <c r="F585" s="10">
        <f>IF(A585="","",IF(AND(ROUND(C585,2)=0,ROUND(D585,2)=0),"","yes"))</f>
        <v/>
      </c>
      <c r="G585" s="39" t="n"/>
      <c r="H585" s="11">
        <f>IF(OR(A585="",G585=""),"",E585-G585)</f>
        <v/>
      </c>
    </row>
    <row r="586">
      <c r="A586" s="10">
        <f>IF(INDEX(lst_Jobs,573)="","",INDEX(lst_Jobs,573)&amp;"")</f>
        <v/>
      </c>
      <c r="B586" s="10">
        <f>IF(A586="","",INDEX(lst_JobName,573)&amp;"")</f>
        <v/>
      </c>
      <c r="C586" s="11">
        <f>IF(A586="","",SUMIFS(tbl_WIP[Amount],tbl_WIP[Job Number],A586,tbl_WIP[Month],"&lt;"&amp;$C$4))</f>
        <v/>
      </c>
      <c r="D586" s="11">
        <f>IF(A586="","",SUMIFS(tbl_WIP[Amount],tbl_WIP[Job Number],A586,tbl_WIP[Month],$C$4))</f>
        <v/>
      </c>
      <c r="E586" s="11">
        <f>IF(A586="","",C586+D586)</f>
        <v/>
      </c>
      <c r="F586" s="10">
        <f>IF(A586="","",IF(AND(ROUND(C586,2)=0,ROUND(D586,2)=0),"","yes"))</f>
        <v/>
      </c>
      <c r="G586" s="39" t="n"/>
      <c r="H586" s="11">
        <f>IF(OR(A586="",G586=""),"",E586-G586)</f>
        <v/>
      </c>
    </row>
    <row r="587">
      <c r="A587" s="10">
        <f>IF(INDEX(lst_Jobs,574)="","",INDEX(lst_Jobs,574)&amp;"")</f>
        <v/>
      </c>
      <c r="B587" s="10">
        <f>IF(A587="","",INDEX(lst_JobName,574)&amp;"")</f>
        <v/>
      </c>
      <c r="C587" s="11">
        <f>IF(A587="","",SUMIFS(tbl_WIP[Amount],tbl_WIP[Job Number],A587,tbl_WIP[Month],"&lt;"&amp;$C$4))</f>
        <v/>
      </c>
      <c r="D587" s="11">
        <f>IF(A587="","",SUMIFS(tbl_WIP[Amount],tbl_WIP[Job Number],A587,tbl_WIP[Month],$C$4))</f>
        <v/>
      </c>
      <c r="E587" s="11">
        <f>IF(A587="","",C587+D587)</f>
        <v/>
      </c>
      <c r="F587" s="10">
        <f>IF(A587="","",IF(AND(ROUND(C587,2)=0,ROUND(D587,2)=0),"","yes"))</f>
        <v/>
      </c>
      <c r="G587" s="39" t="n"/>
      <c r="H587" s="11">
        <f>IF(OR(A587="",G587=""),"",E587-G587)</f>
        <v/>
      </c>
    </row>
    <row r="588">
      <c r="A588" s="10">
        <f>IF(INDEX(lst_Jobs,575)="","",INDEX(lst_Jobs,575)&amp;"")</f>
        <v/>
      </c>
      <c r="B588" s="10">
        <f>IF(A588="","",INDEX(lst_JobName,575)&amp;"")</f>
        <v/>
      </c>
      <c r="C588" s="11">
        <f>IF(A588="","",SUMIFS(tbl_WIP[Amount],tbl_WIP[Job Number],A588,tbl_WIP[Month],"&lt;"&amp;$C$4))</f>
        <v/>
      </c>
      <c r="D588" s="11">
        <f>IF(A588="","",SUMIFS(tbl_WIP[Amount],tbl_WIP[Job Number],A588,tbl_WIP[Month],$C$4))</f>
        <v/>
      </c>
      <c r="E588" s="11">
        <f>IF(A588="","",C588+D588)</f>
        <v/>
      </c>
      <c r="F588" s="10">
        <f>IF(A588="","",IF(AND(ROUND(C588,2)=0,ROUND(D588,2)=0),"","yes"))</f>
        <v/>
      </c>
      <c r="G588" s="39" t="n"/>
      <c r="H588" s="11">
        <f>IF(OR(A588="",G588=""),"",E588-G588)</f>
        <v/>
      </c>
    </row>
    <row r="589">
      <c r="A589" s="10">
        <f>IF(INDEX(lst_Jobs,576)="","",INDEX(lst_Jobs,576)&amp;"")</f>
        <v/>
      </c>
      <c r="B589" s="10">
        <f>IF(A589="","",INDEX(lst_JobName,576)&amp;"")</f>
        <v/>
      </c>
      <c r="C589" s="11">
        <f>IF(A589="","",SUMIFS(tbl_WIP[Amount],tbl_WIP[Job Number],A589,tbl_WIP[Month],"&lt;"&amp;$C$4))</f>
        <v/>
      </c>
      <c r="D589" s="11">
        <f>IF(A589="","",SUMIFS(tbl_WIP[Amount],tbl_WIP[Job Number],A589,tbl_WIP[Month],$C$4))</f>
        <v/>
      </c>
      <c r="E589" s="11">
        <f>IF(A589="","",C589+D589)</f>
        <v/>
      </c>
      <c r="F589" s="10">
        <f>IF(A589="","",IF(AND(ROUND(C589,2)=0,ROUND(D589,2)=0),"","yes"))</f>
        <v/>
      </c>
      <c r="G589" s="39" t="n"/>
      <c r="H589" s="11">
        <f>IF(OR(A589="",G589=""),"",E589-G589)</f>
        <v/>
      </c>
    </row>
    <row r="590">
      <c r="A590" s="10">
        <f>IF(INDEX(lst_Jobs,577)="","",INDEX(lst_Jobs,577)&amp;"")</f>
        <v/>
      </c>
      <c r="B590" s="10">
        <f>IF(A590="","",INDEX(lst_JobName,577)&amp;"")</f>
        <v/>
      </c>
      <c r="C590" s="11">
        <f>IF(A590="","",SUMIFS(tbl_WIP[Amount],tbl_WIP[Job Number],A590,tbl_WIP[Month],"&lt;"&amp;$C$4))</f>
        <v/>
      </c>
      <c r="D590" s="11">
        <f>IF(A590="","",SUMIFS(tbl_WIP[Amount],tbl_WIP[Job Number],A590,tbl_WIP[Month],$C$4))</f>
        <v/>
      </c>
      <c r="E590" s="11">
        <f>IF(A590="","",C590+D590)</f>
        <v/>
      </c>
      <c r="F590" s="10">
        <f>IF(A590="","",IF(AND(ROUND(C590,2)=0,ROUND(D590,2)=0),"","yes"))</f>
        <v/>
      </c>
      <c r="G590" s="39" t="n"/>
      <c r="H590" s="11">
        <f>IF(OR(A590="",G590=""),"",E590-G590)</f>
        <v/>
      </c>
    </row>
    <row r="591">
      <c r="A591" s="10">
        <f>IF(INDEX(lst_Jobs,578)="","",INDEX(lst_Jobs,578)&amp;"")</f>
        <v/>
      </c>
      <c r="B591" s="10">
        <f>IF(A591="","",INDEX(lst_JobName,578)&amp;"")</f>
        <v/>
      </c>
      <c r="C591" s="11">
        <f>IF(A591="","",SUMIFS(tbl_WIP[Amount],tbl_WIP[Job Number],A591,tbl_WIP[Month],"&lt;"&amp;$C$4))</f>
        <v/>
      </c>
      <c r="D591" s="11">
        <f>IF(A591="","",SUMIFS(tbl_WIP[Amount],tbl_WIP[Job Number],A591,tbl_WIP[Month],$C$4))</f>
        <v/>
      </c>
      <c r="E591" s="11">
        <f>IF(A591="","",C591+D591)</f>
        <v/>
      </c>
      <c r="F591" s="10">
        <f>IF(A591="","",IF(AND(ROUND(C591,2)=0,ROUND(D591,2)=0),"","yes"))</f>
        <v/>
      </c>
      <c r="G591" s="39" t="n"/>
      <c r="H591" s="11">
        <f>IF(OR(A591="",G591=""),"",E591-G591)</f>
        <v/>
      </c>
    </row>
    <row r="592">
      <c r="A592" s="10">
        <f>IF(INDEX(lst_Jobs,579)="","",INDEX(lst_Jobs,579)&amp;"")</f>
        <v/>
      </c>
      <c r="B592" s="10">
        <f>IF(A592="","",INDEX(lst_JobName,579)&amp;"")</f>
        <v/>
      </c>
      <c r="C592" s="11">
        <f>IF(A592="","",SUMIFS(tbl_WIP[Amount],tbl_WIP[Job Number],A592,tbl_WIP[Month],"&lt;"&amp;$C$4))</f>
        <v/>
      </c>
      <c r="D592" s="11">
        <f>IF(A592="","",SUMIFS(tbl_WIP[Amount],tbl_WIP[Job Number],A592,tbl_WIP[Month],$C$4))</f>
        <v/>
      </c>
      <c r="E592" s="11">
        <f>IF(A592="","",C592+D592)</f>
        <v/>
      </c>
      <c r="F592" s="10">
        <f>IF(A592="","",IF(AND(ROUND(C592,2)=0,ROUND(D592,2)=0),"","yes"))</f>
        <v/>
      </c>
      <c r="G592" s="39" t="n"/>
      <c r="H592" s="11">
        <f>IF(OR(A592="",G592=""),"",E592-G592)</f>
        <v/>
      </c>
    </row>
    <row r="593">
      <c r="A593" s="10">
        <f>IF(INDEX(lst_Jobs,580)="","",INDEX(lst_Jobs,580)&amp;"")</f>
        <v/>
      </c>
      <c r="B593" s="10">
        <f>IF(A593="","",INDEX(lst_JobName,580)&amp;"")</f>
        <v/>
      </c>
      <c r="C593" s="11">
        <f>IF(A593="","",SUMIFS(tbl_WIP[Amount],tbl_WIP[Job Number],A593,tbl_WIP[Month],"&lt;"&amp;$C$4))</f>
        <v/>
      </c>
      <c r="D593" s="11">
        <f>IF(A593="","",SUMIFS(tbl_WIP[Amount],tbl_WIP[Job Number],A593,tbl_WIP[Month],$C$4))</f>
        <v/>
      </c>
      <c r="E593" s="11">
        <f>IF(A593="","",C593+D593)</f>
        <v/>
      </c>
      <c r="F593" s="10">
        <f>IF(A593="","",IF(AND(ROUND(C593,2)=0,ROUND(D593,2)=0),"","yes"))</f>
        <v/>
      </c>
      <c r="G593" s="39" t="n"/>
      <c r="H593" s="11">
        <f>IF(OR(A593="",G593=""),"",E593-G593)</f>
        <v/>
      </c>
    </row>
    <row r="594">
      <c r="A594" s="10">
        <f>IF(INDEX(lst_Jobs,581)="","",INDEX(lst_Jobs,581)&amp;"")</f>
        <v/>
      </c>
      <c r="B594" s="10">
        <f>IF(A594="","",INDEX(lst_JobName,581)&amp;"")</f>
        <v/>
      </c>
      <c r="C594" s="11">
        <f>IF(A594="","",SUMIFS(tbl_WIP[Amount],tbl_WIP[Job Number],A594,tbl_WIP[Month],"&lt;"&amp;$C$4))</f>
        <v/>
      </c>
      <c r="D594" s="11">
        <f>IF(A594="","",SUMIFS(tbl_WIP[Amount],tbl_WIP[Job Number],A594,tbl_WIP[Month],$C$4))</f>
        <v/>
      </c>
      <c r="E594" s="11">
        <f>IF(A594="","",C594+D594)</f>
        <v/>
      </c>
      <c r="F594" s="10">
        <f>IF(A594="","",IF(AND(ROUND(C594,2)=0,ROUND(D594,2)=0),"","yes"))</f>
        <v/>
      </c>
      <c r="G594" s="39" t="n"/>
      <c r="H594" s="11">
        <f>IF(OR(A594="",G594=""),"",E594-G594)</f>
        <v/>
      </c>
    </row>
    <row r="595">
      <c r="A595" s="10">
        <f>IF(INDEX(lst_Jobs,582)="","",INDEX(lst_Jobs,582)&amp;"")</f>
        <v/>
      </c>
      <c r="B595" s="10">
        <f>IF(A595="","",INDEX(lst_JobName,582)&amp;"")</f>
        <v/>
      </c>
      <c r="C595" s="11">
        <f>IF(A595="","",SUMIFS(tbl_WIP[Amount],tbl_WIP[Job Number],A595,tbl_WIP[Month],"&lt;"&amp;$C$4))</f>
        <v/>
      </c>
      <c r="D595" s="11">
        <f>IF(A595="","",SUMIFS(tbl_WIP[Amount],tbl_WIP[Job Number],A595,tbl_WIP[Month],$C$4))</f>
        <v/>
      </c>
      <c r="E595" s="11">
        <f>IF(A595="","",C595+D595)</f>
        <v/>
      </c>
      <c r="F595" s="10">
        <f>IF(A595="","",IF(AND(ROUND(C595,2)=0,ROUND(D595,2)=0),"","yes"))</f>
        <v/>
      </c>
      <c r="G595" s="39" t="n"/>
      <c r="H595" s="11">
        <f>IF(OR(A595="",G595=""),"",E595-G595)</f>
        <v/>
      </c>
    </row>
    <row r="596">
      <c r="A596" s="10">
        <f>IF(INDEX(lst_Jobs,583)="","",INDEX(lst_Jobs,583)&amp;"")</f>
        <v/>
      </c>
      <c r="B596" s="10">
        <f>IF(A596="","",INDEX(lst_JobName,583)&amp;"")</f>
        <v/>
      </c>
      <c r="C596" s="11">
        <f>IF(A596="","",SUMIFS(tbl_WIP[Amount],tbl_WIP[Job Number],A596,tbl_WIP[Month],"&lt;"&amp;$C$4))</f>
        <v/>
      </c>
      <c r="D596" s="11">
        <f>IF(A596="","",SUMIFS(tbl_WIP[Amount],tbl_WIP[Job Number],A596,tbl_WIP[Month],$C$4))</f>
        <v/>
      </c>
      <c r="E596" s="11">
        <f>IF(A596="","",C596+D596)</f>
        <v/>
      </c>
      <c r="F596" s="10">
        <f>IF(A596="","",IF(AND(ROUND(C596,2)=0,ROUND(D596,2)=0),"","yes"))</f>
        <v/>
      </c>
      <c r="G596" s="39" t="n"/>
      <c r="H596" s="11">
        <f>IF(OR(A596="",G596=""),"",E596-G596)</f>
        <v/>
      </c>
    </row>
    <row r="597">
      <c r="A597" s="10">
        <f>IF(INDEX(lst_Jobs,584)="","",INDEX(lst_Jobs,584)&amp;"")</f>
        <v/>
      </c>
      <c r="B597" s="10">
        <f>IF(A597="","",INDEX(lst_JobName,584)&amp;"")</f>
        <v/>
      </c>
      <c r="C597" s="11">
        <f>IF(A597="","",SUMIFS(tbl_WIP[Amount],tbl_WIP[Job Number],A597,tbl_WIP[Month],"&lt;"&amp;$C$4))</f>
        <v/>
      </c>
      <c r="D597" s="11">
        <f>IF(A597="","",SUMIFS(tbl_WIP[Amount],tbl_WIP[Job Number],A597,tbl_WIP[Month],$C$4))</f>
        <v/>
      </c>
      <c r="E597" s="11">
        <f>IF(A597="","",C597+D597)</f>
        <v/>
      </c>
      <c r="F597" s="10">
        <f>IF(A597="","",IF(AND(ROUND(C597,2)=0,ROUND(D597,2)=0),"","yes"))</f>
        <v/>
      </c>
      <c r="G597" s="39" t="n"/>
      <c r="H597" s="11">
        <f>IF(OR(A597="",G597=""),"",E597-G597)</f>
        <v/>
      </c>
    </row>
    <row r="598">
      <c r="A598" s="10">
        <f>IF(INDEX(lst_Jobs,585)="","",INDEX(lst_Jobs,585)&amp;"")</f>
        <v/>
      </c>
      <c r="B598" s="10">
        <f>IF(A598="","",INDEX(lst_JobName,585)&amp;"")</f>
        <v/>
      </c>
      <c r="C598" s="11">
        <f>IF(A598="","",SUMIFS(tbl_WIP[Amount],tbl_WIP[Job Number],A598,tbl_WIP[Month],"&lt;"&amp;$C$4))</f>
        <v/>
      </c>
      <c r="D598" s="11">
        <f>IF(A598="","",SUMIFS(tbl_WIP[Amount],tbl_WIP[Job Number],A598,tbl_WIP[Month],$C$4))</f>
        <v/>
      </c>
      <c r="E598" s="11">
        <f>IF(A598="","",C598+D598)</f>
        <v/>
      </c>
      <c r="F598" s="10">
        <f>IF(A598="","",IF(AND(ROUND(C598,2)=0,ROUND(D598,2)=0),"","yes"))</f>
        <v/>
      </c>
      <c r="G598" s="39" t="n"/>
      <c r="H598" s="11">
        <f>IF(OR(A598="",G598=""),"",E598-G598)</f>
        <v/>
      </c>
    </row>
    <row r="599">
      <c r="A599" s="10">
        <f>IF(INDEX(lst_Jobs,586)="","",INDEX(lst_Jobs,586)&amp;"")</f>
        <v/>
      </c>
      <c r="B599" s="10">
        <f>IF(A599="","",INDEX(lst_JobName,586)&amp;"")</f>
        <v/>
      </c>
      <c r="C599" s="11">
        <f>IF(A599="","",SUMIFS(tbl_WIP[Amount],tbl_WIP[Job Number],A599,tbl_WIP[Month],"&lt;"&amp;$C$4))</f>
        <v/>
      </c>
      <c r="D599" s="11">
        <f>IF(A599="","",SUMIFS(tbl_WIP[Amount],tbl_WIP[Job Number],A599,tbl_WIP[Month],$C$4))</f>
        <v/>
      </c>
      <c r="E599" s="11">
        <f>IF(A599="","",C599+D599)</f>
        <v/>
      </c>
      <c r="F599" s="10">
        <f>IF(A599="","",IF(AND(ROUND(C599,2)=0,ROUND(D599,2)=0),"","yes"))</f>
        <v/>
      </c>
      <c r="G599" s="39" t="n"/>
      <c r="H599" s="11">
        <f>IF(OR(A599="",G599=""),"",E599-G599)</f>
        <v/>
      </c>
    </row>
    <row r="600">
      <c r="A600" s="10">
        <f>IF(INDEX(lst_Jobs,587)="","",INDEX(lst_Jobs,587)&amp;"")</f>
        <v/>
      </c>
      <c r="B600" s="10">
        <f>IF(A600="","",INDEX(lst_JobName,587)&amp;"")</f>
        <v/>
      </c>
      <c r="C600" s="11">
        <f>IF(A600="","",SUMIFS(tbl_WIP[Amount],tbl_WIP[Job Number],A600,tbl_WIP[Month],"&lt;"&amp;$C$4))</f>
        <v/>
      </c>
      <c r="D600" s="11">
        <f>IF(A600="","",SUMIFS(tbl_WIP[Amount],tbl_WIP[Job Number],A600,tbl_WIP[Month],$C$4))</f>
        <v/>
      </c>
      <c r="E600" s="11">
        <f>IF(A600="","",C600+D600)</f>
        <v/>
      </c>
      <c r="F600" s="10">
        <f>IF(A600="","",IF(AND(ROUND(C600,2)=0,ROUND(D600,2)=0),"","yes"))</f>
        <v/>
      </c>
      <c r="G600" s="39" t="n"/>
      <c r="H600" s="11">
        <f>IF(OR(A600="",G600=""),"",E600-G600)</f>
        <v/>
      </c>
    </row>
    <row r="601">
      <c r="A601" s="10">
        <f>IF(INDEX(lst_Jobs,588)="","",INDEX(lst_Jobs,588)&amp;"")</f>
        <v/>
      </c>
      <c r="B601" s="10">
        <f>IF(A601="","",INDEX(lst_JobName,588)&amp;"")</f>
        <v/>
      </c>
      <c r="C601" s="11">
        <f>IF(A601="","",SUMIFS(tbl_WIP[Amount],tbl_WIP[Job Number],A601,tbl_WIP[Month],"&lt;"&amp;$C$4))</f>
        <v/>
      </c>
      <c r="D601" s="11">
        <f>IF(A601="","",SUMIFS(tbl_WIP[Amount],tbl_WIP[Job Number],A601,tbl_WIP[Month],$C$4))</f>
        <v/>
      </c>
      <c r="E601" s="11">
        <f>IF(A601="","",C601+D601)</f>
        <v/>
      </c>
      <c r="F601" s="10">
        <f>IF(A601="","",IF(AND(ROUND(C601,2)=0,ROUND(D601,2)=0),"","yes"))</f>
        <v/>
      </c>
      <c r="G601" s="39" t="n"/>
      <c r="H601" s="11">
        <f>IF(OR(A601="",G601=""),"",E601-G601)</f>
        <v/>
      </c>
    </row>
    <row r="602">
      <c r="A602" s="10">
        <f>IF(INDEX(lst_Jobs,589)="","",INDEX(lst_Jobs,589)&amp;"")</f>
        <v/>
      </c>
      <c r="B602" s="10">
        <f>IF(A602="","",INDEX(lst_JobName,589)&amp;"")</f>
        <v/>
      </c>
      <c r="C602" s="11">
        <f>IF(A602="","",SUMIFS(tbl_WIP[Amount],tbl_WIP[Job Number],A602,tbl_WIP[Month],"&lt;"&amp;$C$4))</f>
        <v/>
      </c>
      <c r="D602" s="11">
        <f>IF(A602="","",SUMIFS(tbl_WIP[Amount],tbl_WIP[Job Number],A602,tbl_WIP[Month],$C$4))</f>
        <v/>
      </c>
      <c r="E602" s="11">
        <f>IF(A602="","",C602+D602)</f>
        <v/>
      </c>
      <c r="F602" s="10">
        <f>IF(A602="","",IF(AND(ROUND(C602,2)=0,ROUND(D602,2)=0),"","yes"))</f>
        <v/>
      </c>
      <c r="G602" s="39" t="n"/>
      <c r="H602" s="11">
        <f>IF(OR(A602="",G602=""),"",E602-G602)</f>
        <v/>
      </c>
    </row>
    <row r="603">
      <c r="A603" s="10">
        <f>IF(INDEX(lst_Jobs,590)="","",INDEX(lst_Jobs,590)&amp;"")</f>
        <v/>
      </c>
      <c r="B603" s="10">
        <f>IF(A603="","",INDEX(lst_JobName,590)&amp;"")</f>
        <v/>
      </c>
      <c r="C603" s="11">
        <f>IF(A603="","",SUMIFS(tbl_WIP[Amount],tbl_WIP[Job Number],A603,tbl_WIP[Month],"&lt;"&amp;$C$4))</f>
        <v/>
      </c>
      <c r="D603" s="11">
        <f>IF(A603="","",SUMIFS(tbl_WIP[Amount],tbl_WIP[Job Number],A603,tbl_WIP[Month],$C$4))</f>
        <v/>
      </c>
      <c r="E603" s="11">
        <f>IF(A603="","",C603+D603)</f>
        <v/>
      </c>
      <c r="F603" s="10">
        <f>IF(A603="","",IF(AND(ROUND(C603,2)=0,ROUND(D603,2)=0),"","yes"))</f>
        <v/>
      </c>
      <c r="G603" s="39" t="n"/>
      <c r="H603" s="11">
        <f>IF(OR(A603="",G603=""),"",E603-G603)</f>
        <v/>
      </c>
    </row>
    <row r="604">
      <c r="A604" s="10">
        <f>IF(INDEX(lst_Jobs,591)="","",INDEX(lst_Jobs,591)&amp;"")</f>
        <v/>
      </c>
      <c r="B604" s="10">
        <f>IF(A604="","",INDEX(lst_JobName,591)&amp;"")</f>
        <v/>
      </c>
      <c r="C604" s="11">
        <f>IF(A604="","",SUMIFS(tbl_WIP[Amount],tbl_WIP[Job Number],A604,tbl_WIP[Month],"&lt;"&amp;$C$4))</f>
        <v/>
      </c>
      <c r="D604" s="11">
        <f>IF(A604="","",SUMIFS(tbl_WIP[Amount],tbl_WIP[Job Number],A604,tbl_WIP[Month],$C$4))</f>
        <v/>
      </c>
      <c r="E604" s="11">
        <f>IF(A604="","",C604+D604)</f>
        <v/>
      </c>
      <c r="F604" s="10">
        <f>IF(A604="","",IF(AND(ROUND(C604,2)=0,ROUND(D604,2)=0),"","yes"))</f>
        <v/>
      </c>
      <c r="G604" s="39" t="n"/>
      <c r="H604" s="11">
        <f>IF(OR(A604="",G604=""),"",E604-G604)</f>
        <v/>
      </c>
    </row>
    <row r="605">
      <c r="A605" s="10">
        <f>IF(INDEX(lst_Jobs,592)="","",INDEX(lst_Jobs,592)&amp;"")</f>
        <v/>
      </c>
      <c r="B605" s="10">
        <f>IF(A605="","",INDEX(lst_JobName,592)&amp;"")</f>
        <v/>
      </c>
      <c r="C605" s="11">
        <f>IF(A605="","",SUMIFS(tbl_WIP[Amount],tbl_WIP[Job Number],A605,tbl_WIP[Month],"&lt;"&amp;$C$4))</f>
        <v/>
      </c>
      <c r="D605" s="11">
        <f>IF(A605="","",SUMIFS(tbl_WIP[Amount],tbl_WIP[Job Number],A605,tbl_WIP[Month],$C$4))</f>
        <v/>
      </c>
      <c r="E605" s="11">
        <f>IF(A605="","",C605+D605)</f>
        <v/>
      </c>
      <c r="F605" s="10">
        <f>IF(A605="","",IF(AND(ROUND(C605,2)=0,ROUND(D605,2)=0),"","yes"))</f>
        <v/>
      </c>
      <c r="G605" s="39" t="n"/>
      <c r="H605" s="11">
        <f>IF(OR(A605="",G605=""),"",E605-G605)</f>
        <v/>
      </c>
    </row>
    <row r="606">
      <c r="A606" s="10">
        <f>IF(INDEX(lst_Jobs,593)="","",INDEX(lst_Jobs,593)&amp;"")</f>
        <v/>
      </c>
      <c r="B606" s="10">
        <f>IF(A606="","",INDEX(lst_JobName,593)&amp;"")</f>
        <v/>
      </c>
      <c r="C606" s="11">
        <f>IF(A606="","",SUMIFS(tbl_WIP[Amount],tbl_WIP[Job Number],A606,tbl_WIP[Month],"&lt;"&amp;$C$4))</f>
        <v/>
      </c>
      <c r="D606" s="11">
        <f>IF(A606="","",SUMIFS(tbl_WIP[Amount],tbl_WIP[Job Number],A606,tbl_WIP[Month],$C$4))</f>
        <v/>
      </c>
      <c r="E606" s="11">
        <f>IF(A606="","",C606+D606)</f>
        <v/>
      </c>
      <c r="F606" s="10">
        <f>IF(A606="","",IF(AND(ROUND(C606,2)=0,ROUND(D606,2)=0),"","yes"))</f>
        <v/>
      </c>
      <c r="G606" s="39" t="n"/>
      <c r="H606" s="11">
        <f>IF(OR(A606="",G606=""),"",E606-G606)</f>
        <v/>
      </c>
    </row>
    <row r="607">
      <c r="A607" s="10">
        <f>IF(INDEX(lst_Jobs,594)="","",INDEX(lst_Jobs,594)&amp;"")</f>
        <v/>
      </c>
      <c r="B607" s="10">
        <f>IF(A607="","",INDEX(lst_JobName,594)&amp;"")</f>
        <v/>
      </c>
      <c r="C607" s="11">
        <f>IF(A607="","",SUMIFS(tbl_WIP[Amount],tbl_WIP[Job Number],A607,tbl_WIP[Month],"&lt;"&amp;$C$4))</f>
        <v/>
      </c>
      <c r="D607" s="11">
        <f>IF(A607="","",SUMIFS(tbl_WIP[Amount],tbl_WIP[Job Number],A607,tbl_WIP[Month],$C$4))</f>
        <v/>
      </c>
      <c r="E607" s="11">
        <f>IF(A607="","",C607+D607)</f>
        <v/>
      </c>
      <c r="F607" s="10">
        <f>IF(A607="","",IF(AND(ROUND(C607,2)=0,ROUND(D607,2)=0),"","yes"))</f>
        <v/>
      </c>
      <c r="G607" s="39" t="n"/>
      <c r="H607" s="11">
        <f>IF(OR(A607="",G607=""),"",E607-G607)</f>
        <v/>
      </c>
    </row>
    <row r="608">
      <c r="A608" s="10">
        <f>IF(INDEX(lst_Jobs,595)="","",INDEX(lst_Jobs,595)&amp;"")</f>
        <v/>
      </c>
      <c r="B608" s="10">
        <f>IF(A608="","",INDEX(lst_JobName,595)&amp;"")</f>
        <v/>
      </c>
      <c r="C608" s="11">
        <f>IF(A608="","",SUMIFS(tbl_WIP[Amount],tbl_WIP[Job Number],A608,tbl_WIP[Month],"&lt;"&amp;$C$4))</f>
        <v/>
      </c>
      <c r="D608" s="11">
        <f>IF(A608="","",SUMIFS(tbl_WIP[Amount],tbl_WIP[Job Number],A608,tbl_WIP[Month],$C$4))</f>
        <v/>
      </c>
      <c r="E608" s="11">
        <f>IF(A608="","",C608+D608)</f>
        <v/>
      </c>
      <c r="F608" s="10">
        <f>IF(A608="","",IF(AND(ROUND(C608,2)=0,ROUND(D608,2)=0),"","yes"))</f>
        <v/>
      </c>
      <c r="G608" s="39" t="n"/>
      <c r="H608" s="11">
        <f>IF(OR(A608="",G608=""),"",E608-G608)</f>
        <v/>
      </c>
    </row>
    <row r="609">
      <c r="A609" s="10">
        <f>IF(INDEX(lst_Jobs,596)="","",INDEX(lst_Jobs,596)&amp;"")</f>
        <v/>
      </c>
      <c r="B609" s="10">
        <f>IF(A609="","",INDEX(lst_JobName,596)&amp;"")</f>
        <v/>
      </c>
      <c r="C609" s="11">
        <f>IF(A609="","",SUMIFS(tbl_WIP[Amount],tbl_WIP[Job Number],A609,tbl_WIP[Month],"&lt;"&amp;$C$4))</f>
        <v/>
      </c>
      <c r="D609" s="11">
        <f>IF(A609="","",SUMIFS(tbl_WIP[Amount],tbl_WIP[Job Number],A609,tbl_WIP[Month],$C$4))</f>
        <v/>
      </c>
      <c r="E609" s="11">
        <f>IF(A609="","",C609+D609)</f>
        <v/>
      </c>
      <c r="F609" s="10">
        <f>IF(A609="","",IF(AND(ROUND(C609,2)=0,ROUND(D609,2)=0),"","yes"))</f>
        <v/>
      </c>
      <c r="G609" s="39" t="n"/>
      <c r="H609" s="11">
        <f>IF(OR(A609="",G609=""),"",E609-G609)</f>
        <v/>
      </c>
    </row>
    <row r="610">
      <c r="A610" s="10">
        <f>IF(INDEX(lst_Jobs,597)="","",INDEX(lst_Jobs,597)&amp;"")</f>
        <v/>
      </c>
      <c r="B610" s="10">
        <f>IF(A610="","",INDEX(lst_JobName,597)&amp;"")</f>
        <v/>
      </c>
      <c r="C610" s="11">
        <f>IF(A610="","",SUMIFS(tbl_WIP[Amount],tbl_WIP[Job Number],A610,tbl_WIP[Month],"&lt;"&amp;$C$4))</f>
        <v/>
      </c>
      <c r="D610" s="11">
        <f>IF(A610="","",SUMIFS(tbl_WIP[Amount],tbl_WIP[Job Number],A610,tbl_WIP[Month],$C$4))</f>
        <v/>
      </c>
      <c r="E610" s="11">
        <f>IF(A610="","",C610+D610)</f>
        <v/>
      </c>
      <c r="F610" s="10">
        <f>IF(A610="","",IF(AND(ROUND(C610,2)=0,ROUND(D610,2)=0),"","yes"))</f>
        <v/>
      </c>
      <c r="G610" s="39" t="n"/>
      <c r="H610" s="11">
        <f>IF(OR(A610="",G610=""),"",E610-G610)</f>
        <v/>
      </c>
    </row>
    <row r="611">
      <c r="A611" s="10">
        <f>IF(INDEX(lst_Jobs,598)="","",INDEX(lst_Jobs,598)&amp;"")</f>
        <v/>
      </c>
      <c r="B611" s="10">
        <f>IF(A611="","",INDEX(lst_JobName,598)&amp;"")</f>
        <v/>
      </c>
      <c r="C611" s="11">
        <f>IF(A611="","",SUMIFS(tbl_WIP[Amount],tbl_WIP[Job Number],A611,tbl_WIP[Month],"&lt;"&amp;$C$4))</f>
        <v/>
      </c>
      <c r="D611" s="11">
        <f>IF(A611="","",SUMIFS(tbl_WIP[Amount],tbl_WIP[Job Number],A611,tbl_WIP[Month],$C$4))</f>
        <v/>
      </c>
      <c r="E611" s="11">
        <f>IF(A611="","",C611+D611)</f>
        <v/>
      </c>
      <c r="F611" s="10">
        <f>IF(A611="","",IF(AND(ROUND(C611,2)=0,ROUND(D611,2)=0),"","yes"))</f>
        <v/>
      </c>
      <c r="G611" s="39" t="n"/>
      <c r="H611" s="11">
        <f>IF(OR(A611="",G611=""),"",E611-G611)</f>
        <v/>
      </c>
    </row>
    <row r="612">
      <c r="A612" s="10">
        <f>IF(INDEX(lst_Jobs,599)="","",INDEX(lst_Jobs,599)&amp;"")</f>
        <v/>
      </c>
      <c r="B612" s="10">
        <f>IF(A612="","",INDEX(lst_JobName,599)&amp;"")</f>
        <v/>
      </c>
      <c r="C612" s="11">
        <f>IF(A612="","",SUMIFS(tbl_WIP[Amount],tbl_WIP[Job Number],A612,tbl_WIP[Month],"&lt;"&amp;$C$4))</f>
        <v/>
      </c>
      <c r="D612" s="11">
        <f>IF(A612="","",SUMIFS(tbl_WIP[Amount],tbl_WIP[Job Number],A612,tbl_WIP[Month],$C$4))</f>
        <v/>
      </c>
      <c r="E612" s="11">
        <f>IF(A612="","",C612+D612)</f>
        <v/>
      </c>
      <c r="F612" s="10">
        <f>IF(A612="","",IF(AND(ROUND(C612,2)=0,ROUND(D612,2)=0),"","yes"))</f>
        <v/>
      </c>
      <c r="G612" s="39" t="n"/>
      <c r="H612" s="11">
        <f>IF(OR(A612="",G612=""),"",E612-G612)</f>
        <v/>
      </c>
    </row>
    <row r="613">
      <c r="A613" s="10">
        <f>IF(INDEX(lst_Jobs,600)="","",INDEX(lst_Jobs,600)&amp;"")</f>
        <v/>
      </c>
      <c r="B613" s="10">
        <f>IF(A613="","",INDEX(lst_JobName,600)&amp;"")</f>
        <v/>
      </c>
      <c r="C613" s="11">
        <f>IF(A613="","",SUMIFS(tbl_WIP[Amount],tbl_WIP[Job Number],A613,tbl_WIP[Month],"&lt;"&amp;$C$4))</f>
        <v/>
      </c>
      <c r="D613" s="11">
        <f>IF(A613="","",SUMIFS(tbl_WIP[Amount],tbl_WIP[Job Number],A613,tbl_WIP[Month],$C$4))</f>
        <v/>
      </c>
      <c r="E613" s="11">
        <f>IF(A613="","",C613+D613)</f>
        <v/>
      </c>
      <c r="F613" s="10">
        <f>IF(A613="","",IF(AND(ROUND(C613,2)=0,ROUND(D613,2)=0),"","yes"))</f>
        <v/>
      </c>
      <c r="G613" s="39" t="n"/>
      <c r="H613" s="11">
        <f>IF(OR(A613="",G613=""),"",E613-G613)</f>
        <v/>
      </c>
    </row>
    <row r="614">
      <c r="A614" s="10">
        <f>IF(INDEX(lst_Jobs,601)="","",INDEX(lst_Jobs,601)&amp;"")</f>
        <v/>
      </c>
      <c r="B614" s="10">
        <f>IF(A614="","",INDEX(lst_JobName,601)&amp;"")</f>
        <v/>
      </c>
      <c r="C614" s="11">
        <f>IF(A614="","",SUMIFS(tbl_WIP[Amount],tbl_WIP[Job Number],A614,tbl_WIP[Month],"&lt;"&amp;$C$4))</f>
        <v/>
      </c>
      <c r="D614" s="11">
        <f>IF(A614="","",SUMIFS(tbl_WIP[Amount],tbl_WIP[Job Number],A614,tbl_WIP[Month],$C$4))</f>
        <v/>
      </c>
      <c r="E614" s="11">
        <f>IF(A614="","",C614+D614)</f>
        <v/>
      </c>
      <c r="F614" s="10">
        <f>IF(A614="","",IF(AND(ROUND(C614,2)=0,ROUND(D614,2)=0),"","yes"))</f>
        <v/>
      </c>
      <c r="G614" s="39" t="n"/>
      <c r="H614" s="11">
        <f>IF(OR(A614="",G614=""),"",E614-G614)</f>
        <v/>
      </c>
    </row>
    <row r="615">
      <c r="A615" s="10">
        <f>IF(INDEX(lst_Jobs,602)="","",INDEX(lst_Jobs,602)&amp;"")</f>
        <v/>
      </c>
      <c r="B615" s="10">
        <f>IF(A615="","",INDEX(lst_JobName,602)&amp;"")</f>
        <v/>
      </c>
      <c r="C615" s="11">
        <f>IF(A615="","",SUMIFS(tbl_WIP[Amount],tbl_WIP[Job Number],A615,tbl_WIP[Month],"&lt;"&amp;$C$4))</f>
        <v/>
      </c>
      <c r="D615" s="11">
        <f>IF(A615="","",SUMIFS(tbl_WIP[Amount],tbl_WIP[Job Number],A615,tbl_WIP[Month],$C$4))</f>
        <v/>
      </c>
      <c r="E615" s="11">
        <f>IF(A615="","",C615+D615)</f>
        <v/>
      </c>
      <c r="F615" s="10">
        <f>IF(A615="","",IF(AND(ROUND(C615,2)=0,ROUND(D615,2)=0),"","yes"))</f>
        <v/>
      </c>
      <c r="G615" s="39" t="n"/>
      <c r="H615" s="11">
        <f>IF(OR(A615="",G615=""),"",E615-G615)</f>
        <v/>
      </c>
    </row>
    <row r="616">
      <c r="A616" s="10">
        <f>IF(INDEX(lst_Jobs,603)="","",INDEX(lst_Jobs,603)&amp;"")</f>
        <v/>
      </c>
      <c r="B616" s="10">
        <f>IF(A616="","",INDEX(lst_JobName,603)&amp;"")</f>
        <v/>
      </c>
      <c r="C616" s="11">
        <f>IF(A616="","",SUMIFS(tbl_WIP[Amount],tbl_WIP[Job Number],A616,tbl_WIP[Month],"&lt;"&amp;$C$4))</f>
        <v/>
      </c>
      <c r="D616" s="11">
        <f>IF(A616="","",SUMIFS(tbl_WIP[Amount],tbl_WIP[Job Number],A616,tbl_WIP[Month],$C$4))</f>
        <v/>
      </c>
      <c r="E616" s="11">
        <f>IF(A616="","",C616+D616)</f>
        <v/>
      </c>
      <c r="F616" s="10">
        <f>IF(A616="","",IF(AND(ROUND(C616,2)=0,ROUND(D616,2)=0),"","yes"))</f>
        <v/>
      </c>
      <c r="G616" s="39" t="n"/>
      <c r="H616" s="11">
        <f>IF(OR(A616="",G616=""),"",E616-G616)</f>
        <v/>
      </c>
    </row>
    <row r="617">
      <c r="A617" s="10">
        <f>IF(INDEX(lst_Jobs,604)="","",INDEX(lst_Jobs,604)&amp;"")</f>
        <v/>
      </c>
      <c r="B617" s="10">
        <f>IF(A617="","",INDEX(lst_JobName,604)&amp;"")</f>
        <v/>
      </c>
      <c r="C617" s="11">
        <f>IF(A617="","",SUMIFS(tbl_WIP[Amount],tbl_WIP[Job Number],A617,tbl_WIP[Month],"&lt;"&amp;$C$4))</f>
        <v/>
      </c>
      <c r="D617" s="11">
        <f>IF(A617="","",SUMIFS(tbl_WIP[Amount],tbl_WIP[Job Number],A617,tbl_WIP[Month],$C$4))</f>
        <v/>
      </c>
      <c r="E617" s="11">
        <f>IF(A617="","",C617+D617)</f>
        <v/>
      </c>
      <c r="F617" s="10">
        <f>IF(A617="","",IF(AND(ROUND(C617,2)=0,ROUND(D617,2)=0),"","yes"))</f>
        <v/>
      </c>
      <c r="G617" s="39" t="n"/>
      <c r="H617" s="11">
        <f>IF(OR(A617="",G617=""),"",E617-G617)</f>
        <v/>
      </c>
    </row>
    <row r="618">
      <c r="A618" s="10">
        <f>IF(INDEX(lst_Jobs,605)="","",INDEX(lst_Jobs,605)&amp;"")</f>
        <v/>
      </c>
      <c r="B618" s="10">
        <f>IF(A618="","",INDEX(lst_JobName,605)&amp;"")</f>
        <v/>
      </c>
      <c r="C618" s="11">
        <f>IF(A618="","",SUMIFS(tbl_WIP[Amount],tbl_WIP[Job Number],A618,tbl_WIP[Month],"&lt;"&amp;$C$4))</f>
        <v/>
      </c>
      <c r="D618" s="11">
        <f>IF(A618="","",SUMIFS(tbl_WIP[Amount],tbl_WIP[Job Number],A618,tbl_WIP[Month],$C$4))</f>
        <v/>
      </c>
      <c r="E618" s="11">
        <f>IF(A618="","",C618+D618)</f>
        <v/>
      </c>
      <c r="F618" s="10">
        <f>IF(A618="","",IF(AND(ROUND(C618,2)=0,ROUND(D618,2)=0),"","yes"))</f>
        <v/>
      </c>
      <c r="G618" s="39" t="n"/>
      <c r="H618" s="11">
        <f>IF(OR(A618="",G618=""),"",E618-G618)</f>
        <v/>
      </c>
    </row>
    <row r="619">
      <c r="A619" s="10">
        <f>IF(INDEX(lst_Jobs,606)="","",INDEX(lst_Jobs,606)&amp;"")</f>
        <v/>
      </c>
      <c r="B619" s="10">
        <f>IF(A619="","",INDEX(lst_JobName,606)&amp;"")</f>
        <v/>
      </c>
      <c r="C619" s="11">
        <f>IF(A619="","",SUMIFS(tbl_WIP[Amount],tbl_WIP[Job Number],A619,tbl_WIP[Month],"&lt;"&amp;$C$4))</f>
        <v/>
      </c>
      <c r="D619" s="11">
        <f>IF(A619="","",SUMIFS(tbl_WIP[Amount],tbl_WIP[Job Number],A619,tbl_WIP[Month],$C$4))</f>
        <v/>
      </c>
      <c r="E619" s="11">
        <f>IF(A619="","",C619+D619)</f>
        <v/>
      </c>
      <c r="F619" s="10">
        <f>IF(A619="","",IF(AND(ROUND(C619,2)=0,ROUND(D619,2)=0),"","yes"))</f>
        <v/>
      </c>
      <c r="G619" s="39" t="n"/>
      <c r="H619" s="11">
        <f>IF(OR(A619="",G619=""),"",E619-G619)</f>
        <v/>
      </c>
    </row>
    <row r="620">
      <c r="A620" s="10">
        <f>IF(INDEX(lst_Jobs,607)="","",INDEX(lst_Jobs,607)&amp;"")</f>
        <v/>
      </c>
      <c r="B620" s="10">
        <f>IF(A620="","",INDEX(lst_JobName,607)&amp;"")</f>
        <v/>
      </c>
      <c r="C620" s="11">
        <f>IF(A620="","",SUMIFS(tbl_WIP[Amount],tbl_WIP[Job Number],A620,tbl_WIP[Month],"&lt;"&amp;$C$4))</f>
        <v/>
      </c>
      <c r="D620" s="11">
        <f>IF(A620="","",SUMIFS(tbl_WIP[Amount],tbl_WIP[Job Number],A620,tbl_WIP[Month],$C$4))</f>
        <v/>
      </c>
      <c r="E620" s="11">
        <f>IF(A620="","",C620+D620)</f>
        <v/>
      </c>
      <c r="F620" s="10">
        <f>IF(A620="","",IF(AND(ROUND(C620,2)=0,ROUND(D620,2)=0),"","yes"))</f>
        <v/>
      </c>
      <c r="G620" s="39" t="n"/>
      <c r="H620" s="11">
        <f>IF(OR(A620="",G620=""),"",E620-G620)</f>
        <v/>
      </c>
    </row>
    <row r="621">
      <c r="A621" s="10">
        <f>IF(INDEX(lst_Jobs,608)="","",INDEX(lst_Jobs,608)&amp;"")</f>
        <v/>
      </c>
      <c r="B621" s="10">
        <f>IF(A621="","",INDEX(lst_JobName,608)&amp;"")</f>
        <v/>
      </c>
      <c r="C621" s="11">
        <f>IF(A621="","",SUMIFS(tbl_WIP[Amount],tbl_WIP[Job Number],A621,tbl_WIP[Month],"&lt;"&amp;$C$4))</f>
        <v/>
      </c>
      <c r="D621" s="11">
        <f>IF(A621="","",SUMIFS(tbl_WIP[Amount],tbl_WIP[Job Number],A621,tbl_WIP[Month],$C$4))</f>
        <v/>
      </c>
      <c r="E621" s="11">
        <f>IF(A621="","",C621+D621)</f>
        <v/>
      </c>
      <c r="F621" s="10">
        <f>IF(A621="","",IF(AND(ROUND(C621,2)=0,ROUND(D621,2)=0),"","yes"))</f>
        <v/>
      </c>
      <c r="G621" s="39" t="n"/>
      <c r="H621" s="11">
        <f>IF(OR(A621="",G621=""),"",E621-G621)</f>
        <v/>
      </c>
    </row>
    <row r="622">
      <c r="A622" s="10">
        <f>IF(INDEX(lst_Jobs,609)="","",INDEX(lst_Jobs,609)&amp;"")</f>
        <v/>
      </c>
      <c r="B622" s="10">
        <f>IF(A622="","",INDEX(lst_JobName,609)&amp;"")</f>
        <v/>
      </c>
      <c r="C622" s="11">
        <f>IF(A622="","",SUMIFS(tbl_WIP[Amount],tbl_WIP[Job Number],A622,tbl_WIP[Month],"&lt;"&amp;$C$4))</f>
        <v/>
      </c>
      <c r="D622" s="11">
        <f>IF(A622="","",SUMIFS(tbl_WIP[Amount],tbl_WIP[Job Number],A622,tbl_WIP[Month],$C$4))</f>
        <v/>
      </c>
      <c r="E622" s="11">
        <f>IF(A622="","",C622+D622)</f>
        <v/>
      </c>
      <c r="F622" s="10">
        <f>IF(A622="","",IF(AND(ROUND(C622,2)=0,ROUND(D622,2)=0),"","yes"))</f>
        <v/>
      </c>
      <c r="G622" s="39" t="n"/>
      <c r="H622" s="11">
        <f>IF(OR(A622="",G622=""),"",E622-G622)</f>
        <v/>
      </c>
    </row>
    <row r="623">
      <c r="A623" s="10">
        <f>IF(INDEX(lst_Jobs,610)="","",INDEX(lst_Jobs,610)&amp;"")</f>
        <v/>
      </c>
      <c r="B623" s="10">
        <f>IF(A623="","",INDEX(lst_JobName,610)&amp;"")</f>
        <v/>
      </c>
      <c r="C623" s="11">
        <f>IF(A623="","",SUMIFS(tbl_WIP[Amount],tbl_WIP[Job Number],A623,tbl_WIP[Month],"&lt;"&amp;$C$4))</f>
        <v/>
      </c>
      <c r="D623" s="11">
        <f>IF(A623="","",SUMIFS(tbl_WIP[Amount],tbl_WIP[Job Number],A623,tbl_WIP[Month],$C$4))</f>
        <v/>
      </c>
      <c r="E623" s="11">
        <f>IF(A623="","",C623+D623)</f>
        <v/>
      </c>
      <c r="F623" s="10">
        <f>IF(A623="","",IF(AND(ROUND(C623,2)=0,ROUND(D623,2)=0),"","yes"))</f>
        <v/>
      </c>
      <c r="G623" s="39" t="n"/>
      <c r="H623" s="11">
        <f>IF(OR(A623="",G623=""),"",E623-G623)</f>
        <v/>
      </c>
    </row>
    <row r="624">
      <c r="A624" s="10">
        <f>IF(INDEX(lst_Jobs,611)="","",INDEX(lst_Jobs,611)&amp;"")</f>
        <v/>
      </c>
      <c r="B624" s="10">
        <f>IF(A624="","",INDEX(lst_JobName,611)&amp;"")</f>
        <v/>
      </c>
      <c r="C624" s="11">
        <f>IF(A624="","",SUMIFS(tbl_WIP[Amount],tbl_WIP[Job Number],A624,tbl_WIP[Month],"&lt;"&amp;$C$4))</f>
        <v/>
      </c>
      <c r="D624" s="11">
        <f>IF(A624="","",SUMIFS(tbl_WIP[Amount],tbl_WIP[Job Number],A624,tbl_WIP[Month],$C$4))</f>
        <v/>
      </c>
      <c r="E624" s="11">
        <f>IF(A624="","",C624+D624)</f>
        <v/>
      </c>
      <c r="F624" s="10">
        <f>IF(A624="","",IF(AND(ROUND(C624,2)=0,ROUND(D624,2)=0),"","yes"))</f>
        <v/>
      </c>
      <c r="G624" s="39" t="n"/>
      <c r="H624" s="11">
        <f>IF(OR(A624="",G624=""),"",E624-G624)</f>
        <v/>
      </c>
    </row>
    <row r="625">
      <c r="A625" s="10">
        <f>IF(INDEX(lst_Jobs,612)="","",INDEX(lst_Jobs,612)&amp;"")</f>
        <v/>
      </c>
      <c r="B625" s="10">
        <f>IF(A625="","",INDEX(lst_JobName,612)&amp;"")</f>
        <v/>
      </c>
      <c r="C625" s="11">
        <f>IF(A625="","",SUMIFS(tbl_WIP[Amount],tbl_WIP[Job Number],A625,tbl_WIP[Month],"&lt;"&amp;$C$4))</f>
        <v/>
      </c>
      <c r="D625" s="11">
        <f>IF(A625="","",SUMIFS(tbl_WIP[Amount],tbl_WIP[Job Number],A625,tbl_WIP[Month],$C$4))</f>
        <v/>
      </c>
      <c r="E625" s="11">
        <f>IF(A625="","",C625+D625)</f>
        <v/>
      </c>
      <c r="F625" s="10">
        <f>IF(A625="","",IF(AND(ROUND(C625,2)=0,ROUND(D625,2)=0),"","yes"))</f>
        <v/>
      </c>
      <c r="G625" s="39" t="n"/>
      <c r="H625" s="11">
        <f>IF(OR(A625="",G625=""),"",E625-G625)</f>
        <v/>
      </c>
    </row>
    <row r="626">
      <c r="A626" s="10">
        <f>IF(INDEX(lst_Jobs,613)="","",INDEX(lst_Jobs,613)&amp;"")</f>
        <v/>
      </c>
      <c r="B626" s="10">
        <f>IF(A626="","",INDEX(lst_JobName,613)&amp;"")</f>
        <v/>
      </c>
      <c r="C626" s="11">
        <f>IF(A626="","",SUMIFS(tbl_WIP[Amount],tbl_WIP[Job Number],A626,tbl_WIP[Month],"&lt;"&amp;$C$4))</f>
        <v/>
      </c>
      <c r="D626" s="11">
        <f>IF(A626="","",SUMIFS(tbl_WIP[Amount],tbl_WIP[Job Number],A626,tbl_WIP[Month],$C$4))</f>
        <v/>
      </c>
      <c r="E626" s="11">
        <f>IF(A626="","",C626+D626)</f>
        <v/>
      </c>
      <c r="F626" s="10">
        <f>IF(A626="","",IF(AND(ROUND(C626,2)=0,ROUND(D626,2)=0),"","yes"))</f>
        <v/>
      </c>
      <c r="G626" s="39" t="n"/>
      <c r="H626" s="11">
        <f>IF(OR(A626="",G626=""),"",E626-G626)</f>
        <v/>
      </c>
    </row>
    <row r="627">
      <c r="A627" s="10">
        <f>IF(INDEX(lst_Jobs,614)="","",INDEX(lst_Jobs,614)&amp;"")</f>
        <v/>
      </c>
      <c r="B627" s="10">
        <f>IF(A627="","",INDEX(lst_JobName,614)&amp;"")</f>
        <v/>
      </c>
      <c r="C627" s="11">
        <f>IF(A627="","",SUMIFS(tbl_WIP[Amount],tbl_WIP[Job Number],A627,tbl_WIP[Month],"&lt;"&amp;$C$4))</f>
        <v/>
      </c>
      <c r="D627" s="11">
        <f>IF(A627="","",SUMIFS(tbl_WIP[Amount],tbl_WIP[Job Number],A627,tbl_WIP[Month],$C$4))</f>
        <v/>
      </c>
      <c r="E627" s="11">
        <f>IF(A627="","",C627+D627)</f>
        <v/>
      </c>
      <c r="F627" s="10">
        <f>IF(A627="","",IF(AND(ROUND(C627,2)=0,ROUND(D627,2)=0),"","yes"))</f>
        <v/>
      </c>
      <c r="G627" s="39" t="n"/>
      <c r="H627" s="11">
        <f>IF(OR(A627="",G627=""),"",E627-G627)</f>
        <v/>
      </c>
    </row>
    <row r="628">
      <c r="A628" s="10">
        <f>IF(INDEX(lst_Jobs,615)="","",INDEX(lst_Jobs,615)&amp;"")</f>
        <v/>
      </c>
      <c r="B628" s="10">
        <f>IF(A628="","",INDEX(lst_JobName,615)&amp;"")</f>
        <v/>
      </c>
      <c r="C628" s="11">
        <f>IF(A628="","",SUMIFS(tbl_WIP[Amount],tbl_WIP[Job Number],A628,tbl_WIP[Month],"&lt;"&amp;$C$4))</f>
        <v/>
      </c>
      <c r="D628" s="11">
        <f>IF(A628="","",SUMIFS(tbl_WIP[Amount],tbl_WIP[Job Number],A628,tbl_WIP[Month],$C$4))</f>
        <v/>
      </c>
      <c r="E628" s="11">
        <f>IF(A628="","",C628+D628)</f>
        <v/>
      </c>
      <c r="F628" s="10">
        <f>IF(A628="","",IF(AND(ROUND(C628,2)=0,ROUND(D628,2)=0),"","yes"))</f>
        <v/>
      </c>
      <c r="G628" s="39" t="n"/>
      <c r="H628" s="11">
        <f>IF(OR(A628="",G628=""),"",E628-G628)</f>
        <v/>
      </c>
    </row>
    <row r="629">
      <c r="A629" s="10">
        <f>IF(INDEX(lst_Jobs,616)="","",INDEX(lst_Jobs,616)&amp;"")</f>
        <v/>
      </c>
      <c r="B629" s="10">
        <f>IF(A629="","",INDEX(lst_JobName,616)&amp;"")</f>
        <v/>
      </c>
      <c r="C629" s="11">
        <f>IF(A629="","",SUMIFS(tbl_WIP[Amount],tbl_WIP[Job Number],A629,tbl_WIP[Month],"&lt;"&amp;$C$4))</f>
        <v/>
      </c>
      <c r="D629" s="11">
        <f>IF(A629="","",SUMIFS(tbl_WIP[Amount],tbl_WIP[Job Number],A629,tbl_WIP[Month],$C$4))</f>
        <v/>
      </c>
      <c r="E629" s="11">
        <f>IF(A629="","",C629+D629)</f>
        <v/>
      </c>
      <c r="F629" s="10">
        <f>IF(A629="","",IF(AND(ROUND(C629,2)=0,ROUND(D629,2)=0),"","yes"))</f>
        <v/>
      </c>
      <c r="G629" s="39" t="n"/>
      <c r="H629" s="11">
        <f>IF(OR(A629="",G629=""),"",E629-G629)</f>
        <v/>
      </c>
    </row>
    <row r="630">
      <c r="A630" s="10">
        <f>IF(INDEX(lst_Jobs,617)="","",INDEX(lst_Jobs,617)&amp;"")</f>
        <v/>
      </c>
      <c r="B630" s="10">
        <f>IF(A630="","",INDEX(lst_JobName,617)&amp;"")</f>
        <v/>
      </c>
      <c r="C630" s="11">
        <f>IF(A630="","",SUMIFS(tbl_WIP[Amount],tbl_WIP[Job Number],A630,tbl_WIP[Month],"&lt;"&amp;$C$4))</f>
        <v/>
      </c>
      <c r="D630" s="11">
        <f>IF(A630="","",SUMIFS(tbl_WIP[Amount],tbl_WIP[Job Number],A630,tbl_WIP[Month],$C$4))</f>
        <v/>
      </c>
      <c r="E630" s="11">
        <f>IF(A630="","",C630+D630)</f>
        <v/>
      </c>
      <c r="F630" s="10">
        <f>IF(A630="","",IF(AND(ROUND(C630,2)=0,ROUND(D630,2)=0),"","yes"))</f>
        <v/>
      </c>
      <c r="G630" s="39" t="n"/>
      <c r="H630" s="11">
        <f>IF(OR(A630="",G630=""),"",E630-G630)</f>
        <v/>
      </c>
    </row>
    <row r="631">
      <c r="A631" s="10">
        <f>IF(INDEX(lst_Jobs,618)="","",INDEX(lst_Jobs,618)&amp;"")</f>
        <v/>
      </c>
      <c r="B631" s="10">
        <f>IF(A631="","",INDEX(lst_JobName,618)&amp;"")</f>
        <v/>
      </c>
      <c r="C631" s="11">
        <f>IF(A631="","",SUMIFS(tbl_WIP[Amount],tbl_WIP[Job Number],A631,tbl_WIP[Month],"&lt;"&amp;$C$4))</f>
        <v/>
      </c>
      <c r="D631" s="11">
        <f>IF(A631="","",SUMIFS(tbl_WIP[Amount],tbl_WIP[Job Number],A631,tbl_WIP[Month],$C$4))</f>
        <v/>
      </c>
      <c r="E631" s="11">
        <f>IF(A631="","",C631+D631)</f>
        <v/>
      </c>
      <c r="F631" s="10">
        <f>IF(A631="","",IF(AND(ROUND(C631,2)=0,ROUND(D631,2)=0),"","yes"))</f>
        <v/>
      </c>
      <c r="G631" s="39" t="n"/>
      <c r="H631" s="11">
        <f>IF(OR(A631="",G631=""),"",E631-G631)</f>
        <v/>
      </c>
    </row>
    <row r="632">
      <c r="A632" s="10">
        <f>IF(INDEX(lst_Jobs,619)="","",INDEX(lst_Jobs,619)&amp;"")</f>
        <v/>
      </c>
      <c r="B632" s="10">
        <f>IF(A632="","",INDEX(lst_JobName,619)&amp;"")</f>
        <v/>
      </c>
      <c r="C632" s="11">
        <f>IF(A632="","",SUMIFS(tbl_WIP[Amount],tbl_WIP[Job Number],A632,tbl_WIP[Month],"&lt;"&amp;$C$4))</f>
        <v/>
      </c>
      <c r="D632" s="11">
        <f>IF(A632="","",SUMIFS(tbl_WIP[Amount],tbl_WIP[Job Number],A632,tbl_WIP[Month],$C$4))</f>
        <v/>
      </c>
      <c r="E632" s="11">
        <f>IF(A632="","",C632+D632)</f>
        <v/>
      </c>
      <c r="F632" s="10">
        <f>IF(A632="","",IF(AND(ROUND(C632,2)=0,ROUND(D632,2)=0),"","yes"))</f>
        <v/>
      </c>
      <c r="G632" s="39" t="n"/>
      <c r="H632" s="11">
        <f>IF(OR(A632="",G632=""),"",E632-G632)</f>
        <v/>
      </c>
    </row>
    <row r="633">
      <c r="A633" s="10">
        <f>IF(INDEX(lst_Jobs,620)="","",INDEX(lst_Jobs,620)&amp;"")</f>
        <v/>
      </c>
      <c r="B633" s="10">
        <f>IF(A633="","",INDEX(lst_JobName,620)&amp;"")</f>
        <v/>
      </c>
      <c r="C633" s="11">
        <f>IF(A633="","",SUMIFS(tbl_WIP[Amount],tbl_WIP[Job Number],A633,tbl_WIP[Month],"&lt;"&amp;$C$4))</f>
        <v/>
      </c>
      <c r="D633" s="11">
        <f>IF(A633="","",SUMIFS(tbl_WIP[Amount],tbl_WIP[Job Number],A633,tbl_WIP[Month],$C$4))</f>
        <v/>
      </c>
      <c r="E633" s="11">
        <f>IF(A633="","",C633+D633)</f>
        <v/>
      </c>
      <c r="F633" s="10">
        <f>IF(A633="","",IF(AND(ROUND(C633,2)=0,ROUND(D633,2)=0),"","yes"))</f>
        <v/>
      </c>
      <c r="G633" s="39" t="n"/>
      <c r="H633" s="11">
        <f>IF(OR(A633="",G633=""),"",E633-G633)</f>
        <v/>
      </c>
    </row>
    <row r="634">
      <c r="A634" s="10">
        <f>IF(INDEX(lst_Jobs,621)="","",INDEX(lst_Jobs,621)&amp;"")</f>
        <v/>
      </c>
      <c r="B634" s="10">
        <f>IF(A634="","",INDEX(lst_JobName,621)&amp;"")</f>
        <v/>
      </c>
      <c r="C634" s="11">
        <f>IF(A634="","",SUMIFS(tbl_WIP[Amount],tbl_WIP[Job Number],A634,tbl_WIP[Month],"&lt;"&amp;$C$4))</f>
        <v/>
      </c>
      <c r="D634" s="11">
        <f>IF(A634="","",SUMIFS(tbl_WIP[Amount],tbl_WIP[Job Number],A634,tbl_WIP[Month],$C$4))</f>
        <v/>
      </c>
      <c r="E634" s="11">
        <f>IF(A634="","",C634+D634)</f>
        <v/>
      </c>
      <c r="F634" s="10">
        <f>IF(A634="","",IF(AND(ROUND(C634,2)=0,ROUND(D634,2)=0),"","yes"))</f>
        <v/>
      </c>
      <c r="G634" s="39" t="n"/>
      <c r="H634" s="11">
        <f>IF(OR(A634="",G634=""),"",E634-G634)</f>
        <v/>
      </c>
    </row>
    <row r="635">
      <c r="A635" s="10">
        <f>IF(INDEX(lst_Jobs,622)="","",INDEX(lst_Jobs,622)&amp;"")</f>
        <v/>
      </c>
      <c r="B635" s="10">
        <f>IF(A635="","",INDEX(lst_JobName,622)&amp;"")</f>
        <v/>
      </c>
      <c r="C635" s="11">
        <f>IF(A635="","",SUMIFS(tbl_WIP[Amount],tbl_WIP[Job Number],A635,tbl_WIP[Month],"&lt;"&amp;$C$4))</f>
        <v/>
      </c>
      <c r="D635" s="11">
        <f>IF(A635="","",SUMIFS(tbl_WIP[Amount],tbl_WIP[Job Number],A635,tbl_WIP[Month],$C$4))</f>
        <v/>
      </c>
      <c r="E635" s="11">
        <f>IF(A635="","",C635+D635)</f>
        <v/>
      </c>
      <c r="F635" s="10">
        <f>IF(A635="","",IF(AND(ROUND(C635,2)=0,ROUND(D635,2)=0),"","yes"))</f>
        <v/>
      </c>
      <c r="G635" s="39" t="n"/>
      <c r="H635" s="11">
        <f>IF(OR(A635="",G635=""),"",E635-G635)</f>
        <v/>
      </c>
    </row>
    <row r="636">
      <c r="A636" s="10">
        <f>IF(INDEX(lst_Jobs,623)="","",INDEX(lst_Jobs,623)&amp;"")</f>
        <v/>
      </c>
      <c r="B636" s="10">
        <f>IF(A636="","",INDEX(lst_JobName,623)&amp;"")</f>
        <v/>
      </c>
      <c r="C636" s="11">
        <f>IF(A636="","",SUMIFS(tbl_WIP[Amount],tbl_WIP[Job Number],A636,tbl_WIP[Month],"&lt;"&amp;$C$4))</f>
        <v/>
      </c>
      <c r="D636" s="11">
        <f>IF(A636="","",SUMIFS(tbl_WIP[Amount],tbl_WIP[Job Number],A636,tbl_WIP[Month],$C$4))</f>
        <v/>
      </c>
      <c r="E636" s="11">
        <f>IF(A636="","",C636+D636)</f>
        <v/>
      </c>
      <c r="F636" s="10">
        <f>IF(A636="","",IF(AND(ROUND(C636,2)=0,ROUND(D636,2)=0),"","yes"))</f>
        <v/>
      </c>
      <c r="G636" s="39" t="n"/>
      <c r="H636" s="11">
        <f>IF(OR(A636="",G636=""),"",E636-G636)</f>
        <v/>
      </c>
    </row>
    <row r="637">
      <c r="A637" s="10">
        <f>IF(INDEX(lst_Jobs,624)="","",INDEX(lst_Jobs,624)&amp;"")</f>
        <v/>
      </c>
      <c r="B637" s="10">
        <f>IF(A637="","",INDEX(lst_JobName,624)&amp;"")</f>
        <v/>
      </c>
      <c r="C637" s="11">
        <f>IF(A637="","",SUMIFS(tbl_WIP[Amount],tbl_WIP[Job Number],A637,tbl_WIP[Month],"&lt;"&amp;$C$4))</f>
        <v/>
      </c>
      <c r="D637" s="11">
        <f>IF(A637="","",SUMIFS(tbl_WIP[Amount],tbl_WIP[Job Number],A637,tbl_WIP[Month],$C$4))</f>
        <v/>
      </c>
      <c r="E637" s="11">
        <f>IF(A637="","",C637+D637)</f>
        <v/>
      </c>
      <c r="F637" s="10">
        <f>IF(A637="","",IF(AND(ROUND(C637,2)=0,ROUND(D637,2)=0),"","yes"))</f>
        <v/>
      </c>
      <c r="G637" s="39" t="n"/>
      <c r="H637" s="11">
        <f>IF(OR(A637="",G637=""),"",E637-G637)</f>
        <v/>
      </c>
    </row>
    <row r="638">
      <c r="A638" s="10">
        <f>IF(INDEX(lst_Jobs,625)="","",INDEX(lst_Jobs,625)&amp;"")</f>
        <v/>
      </c>
      <c r="B638" s="10">
        <f>IF(A638="","",INDEX(lst_JobName,625)&amp;"")</f>
        <v/>
      </c>
      <c r="C638" s="11">
        <f>IF(A638="","",SUMIFS(tbl_WIP[Amount],tbl_WIP[Job Number],A638,tbl_WIP[Month],"&lt;"&amp;$C$4))</f>
        <v/>
      </c>
      <c r="D638" s="11">
        <f>IF(A638="","",SUMIFS(tbl_WIP[Amount],tbl_WIP[Job Number],A638,tbl_WIP[Month],$C$4))</f>
        <v/>
      </c>
      <c r="E638" s="11">
        <f>IF(A638="","",C638+D638)</f>
        <v/>
      </c>
      <c r="F638" s="10">
        <f>IF(A638="","",IF(AND(ROUND(C638,2)=0,ROUND(D638,2)=0),"","yes"))</f>
        <v/>
      </c>
      <c r="G638" s="39" t="n"/>
      <c r="H638" s="11">
        <f>IF(OR(A638="",G638=""),"",E638-G638)</f>
        <v/>
      </c>
    </row>
    <row r="639">
      <c r="A639" s="10">
        <f>IF(INDEX(lst_Jobs,626)="","",INDEX(lst_Jobs,626)&amp;"")</f>
        <v/>
      </c>
      <c r="B639" s="10">
        <f>IF(A639="","",INDEX(lst_JobName,626)&amp;"")</f>
        <v/>
      </c>
      <c r="C639" s="11">
        <f>IF(A639="","",SUMIFS(tbl_WIP[Amount],tbl_WIP[Job Number],A639,tbl_WIP[Month],"&lt;"&amp;$C$4))</f>
        <v/>
      </c>
      <c r="D639" s="11">
        <f>IF(A639="","",SUMIFS(tbl_WIP[Amount],tbl_WIP[Job Number],A639,tbl_WIP[Month],$C$4))</f>
        <v/>
      </c>
      <c r="E639" s="11">
        <f>IF(A639="","",C639+D639)</f>
        <v/>
      </c>
      <c r="F639" s="10">
        <f>IF(A639="","",IF(AND(ROUND(C639,2)=0,ROUND(D639,2)=0),"","yes"))</f>
        <v/>
      </c>
      <c r="G639" s="39" t="n"/>
      <c r="H639" s="11">
        <f>IF(OR(A639="",G639=""),"",E639-G639)</f>
        <v/>
      </c>
    </row>
    <row r="640">
      <c r="A640" s="10">
        <f>IF(INDEX(lst_Jobs,627)="","",INDEX(lst_Jobs,627)&amp;"")</f>
        <v/>
      </c>
      <c r="B640" s="10">
        <f>IF(A640="","",INDEX(lst_JobName,627)&amp;"")</f>
        <v/>
      </c>
      <c r="C640" s="11">
        <f>IF(A640="","",SUMIFS(tbl_WIP[Amount],tbl_WIP[Job Number],A640,tbl_WIP[Month],"&lt;"&amp;$C$4))</f>
        <v/>
      </c>
      <c r="D640" s="11">
        <f>IF(A640="","",SUMIFS(tbl_WIP[Amount],tbl_WIP[Job Number],A640,tbl_WIP[Month],$C$4))</f>
        <v/>
      </c>
      <c r="E640" s="11">
        <f>IF(A640="","",C640+D640)</f>
        <v/>
      </c>
      <c r="F640" s="10">
        <f>IF(A640="","",IF(AND(ROUND(C640,2)=0,ROUND(D640,2)=0),"","yes"))</f>
        <v/>
      </c>
      <c r="G640" s="39" t="n"/>
      <c r="H640" s="11">
        <f>IF(OR(A640="",G640=""),"",E640-G640)</f>
        <v/>
      </c>
    </row>
    <row r="641">
      <c r="A641" s="10">
        <f>IF(INDEX(lst_Jobs,628)="","",INDEX(lst_Jobs,628)&amp;"")</f>
        <v/>
      </c>
      <c r="B641" s="10">
        <f>IF(A641="","",INDEX(lst_JobName,628)&amp;"")</f>
        <v/>
      </c>
      <c r="C641" s="11">
        <f>IF(A641="","",SUMIFS(tbl_WIP[Amount],tbl_WIP[Job Number],A641,tbl_WIP[Month],"&lt;"&amp;$C$4))</f>
        <v/>
      </c>
      <c r="D641" s="11">
        <f>IF(A641="","",SUMIFS(tbl_WIP[Amount],tbl_WIP[Job Number],A641,tbl_WIP[Month],$C$4))</f>
        <v/>
      </c>
      <c r="E641" s="11">
        <f>IF(A641="","",C641+D641)</f>
        <v/>
      </c>
      <c r="F641" s="10">
        <f>IF(A641="","",IF(AND(ROUND(C641,2)=0,ROUND(D641,2)=0),"","yes"))</f>
        <v/>
      </c>
      <c r="G641" s="39" t="n"/>
      <c r="H641" s="11">
        <f>IF(OR(A641="",G641=""),"",E641-G641)</f>
        <v/>
      </c>
    </row>
    <row r="642">
      <c r="A642" s="10">
        <f>IF(INDEX(lst_Jobs,629)="","",INDEX(lst_Jobs,629)&amp;"")</f>
        <v/>
      </c>
      <c r="B642" s="10">
        <f>IF(A642="","",INDEX(lst_JobName,629)&amp;"")</f>
        <v/>
      </c>
      <c r="C642" s="11">
        <f>IF(A642="","",SUMIFS(tbl_WIP[Amount],tbl_WIP[Job Number],A642,tbl_WIP[Month],"&lt;"&amp;$C$4))</f>
        <v/>
      </c>
      <c r="D642" s="11">
        <f>IF(A642="","",SUMIFS(tbl_WIP[Amount],tbl_WIP[Job Number],A642,tbl_WIP[Month],$C$4))</f>
        <v/>
      </c>
      <c r="E642" s="11">
        <f>IF(A642="","",C642+D642)</f>
        <v/>
      </c>
      <c r="F642" s="10">
        <f>IF(A642="","",IF(AND(ROUND(C642,2)=0,ROUND(D642,2)=0),"","yes"))</f>
        <v/>
      </c>
      <c r="G642" s="39" t="n"/>
      <c r="H642" s="11">
        <f>IF(OR(A642="",G642=""),"",E642-G642)</f>
        <v/>
      </c>
    </row>
    <row r="643">
      <c r="A643" s="10">
        <f>IF(INDEX(lst_Jobs,630)="","",INDEX(lst_Jobs,630)&amp;"")</f>
        <v/>
      </c>
      <c r="B643" s="10">
        <f>IF(A643="","",INDEX(lst_JobName,630)&amp;"")</f>
        <v/>
      </c>
      <c r="C643" s="11">
        <f>IF(A643="","",SUMIFS(tbl_WIP[Amount],tbl_WIP[Job Number],A643,tbl_WIP[Month],"&lt;"&amp;$C$4))</f>
        <v/>
      </c>
      <c r="D643" s="11">
        <f>IF(A643="","",SUMIFS(tbl_WIP[Amount],tbl_WIP[Job Number],A643,tbl_WIP[Month],$C$4))</f>
        <v/>
      </c>
      <c r="E643" s="11">
        <f>IF(A643="","",C643+D643)</f>
        <v/>
      </c>
      <c r="F643" s="10">
        <f>IF(A643="","",IF(AND(ROUND(C643,2)=0,ROUND(D643,2)=0),"","yes"))</f>
        <v/>
      </c>
      <c r="G643" s="39" t="n"/>
      <c r="H643" s="11">
        <f>IF(OR(A643="",G643=""),"",E643-G643)</f>
        <v/>
      </c>
    </row>
    <row r="644">
      <c r="A644" s="10">
        <f>IF(INDEX(lst_Jobs,631)="","",INDEX(lst_Jobs,631)&amp;"")</f>
        <v/>
      </c>
      <c r="B644" s="10">
        <f>IF(A644="","",INDEX(lst_JobName,631)&amp;"")</f>
        <v/>
      </c>
      <c r="C644" s="11">
        <f>IF(A644="","",SUMIFS(tbl_WIP[Amount],tbl_WIP[Job Number],A644,tbl_WIP[Month],"&lt;"&amp;$C$4))</f>
        <v/>
      </c>
      <c r="D644" s="11">
        <f>IF(A644="","",SUMIFS(tbl_WIP[Amount],tbl_WIP[Job Number],A644,tbl_WIP[Month],$C$4))</f>
        <v/>
      </c>
      <c r="E644" s="11">
        <f>IF(A644="","",C644+D644)</f>
        <v/>
      </c>
      <c r="F644" s="10">
        <f>IF(A644="","",IF(AND(ROUND(C644,2)=0,ROUND(D644,2)=0),"","yes"))</f>
        <v/>
      </c>
      <c r="G644" s="39" t="n"/>
      <c r="H644" s="11">
        <f>IF(OR(A644="",G644=""),"",E644-G644)</f>
        <v/>
      </c>
    </row>
    <row r="645">
      <c r="A645" s="10">
        <f>IF(INDEX(lst_Jobs,632)="","",INDEX(lst_Jobs,632)&amp;"")</f>
        <v/>
      </c>
      <c r="B645" s="10">
        <f>IF(A645="","",INDEX(lst_JobName,632)&amp;"")</f>
        <v/>
      </c>
      <c r="C645" s="11">
        <f>IF(A645="","",SUMIFS(tbl_WIP[Amount],tbl_WIP[Job Number],A645,tbl_WIP[Month],"&lt;"&amp;$C$4))</f>
        <v/>
      </c>
      <c r="D645" s="11">
        <f>IF(A645="","",SUMIFS(tbl_WIP[Amount],tbl_WIP[Job Number],A645,tbl_WIP[Month],$C$4))</f>
        <v/>
      </c>
      <c r="E645" s="11">
        <f>IF(A645="","",C645+D645)</f>
        <v/>
      </c>
      <c r="F645" s="10">
        <f>IF(A645="","",IF(AND(ROUND(C645,2)=0,ROUND(D645,2)=0),"","yes"))</f>
        <v/>
      </c>
      <c r="G645" s="39" t="n"/>
      <c r="H645" s="11">
        <f>IF(OR(A645="",G645=""),"",E645-G645)</f>
        <v/>
      </c>
    </row>
    <row r="646">
      <c r="A646" s="10">
        <f>IF(INDEX(lst_Jobs,633)="","",INDEX(lst_Jobs,633)&amp;"")</f>
        <v/>
      </c>
      <c r="B646" s="10">
        <f>IF(A646="","",INDEX(lst_JobName,633)&amp;"")</f>
        <v/>
      </c>
      <c r="C646" s="11">
        <f>IF(A646="","",SUMIFS(tbl_WIP[Amount],tbl_WIP[Job Number],A646,tbl_WIP[Month],"&lt;"&amp;$C$4))</f>
        <v/>
      </c>
      <c r="D646" s="11">
        <f>IF(A646="","",SUMIFS(tbl_WIP[Amount],tbl_WIP[Job Number],A646,tbl_WIP[Month],$C$4))</f>
        <v/>
      </c>
      <c r="E646" s="11">
        <f>IF(A646="","",C646+D646)</f>
        <v/>
      </c>
      <c r="F646" s="10">
        <f>IF(A646="","",IF(AND(ROUND(C646,2)=0,ROUND(D646,2)=0),"","yes"))</f>
        <v/>
      </c>
      <c r="G646" s="39" t="n"/>
      <c r="H646" s="11">
        <f>IF(OR(A646="",G646=""),"",E646-G646)</f>
        <v/>
      </c>
    </row>
    <row r="647">
      <c r="A647" s="10">
        <f>IF(INDEX(lst_Jobs,634)="","",INDEX(lst_Jobs,634)&amp;"")</f>
        <v/>
      </c>
      <c r="B647" s="10">
        <f>IF(A647="","",INDEX(lst_JobName,634)&amp;"")</f>
        <v/>
      </c>
      <c r="C647" s="11">
        <f>IF(A647="","",SUMIFS(tbl_WIP[Amount],tbl_WIP[Job Number],A647,tbl_WIP[Month],"&lt;"&amp;$C$4))</f>
        <v/>
      </c>
      <c r="D647" s="11">
        <f>IF(A647="","",SUMIFS(tbl_WIP[Amount],tbl_WIP[Job Number],A647,tbl_WIP[Month],$C$4))</f>
        <v/>
      </c>
      <c r="E647" s="11">
        <f>IF(A647="","",C647+D647)</f>
        <v/>
      </c>
      <c r="F647" s="10">
        <f>IF(A647="","",IF(AND(ROUND(C647,2)=0,ROUND(D647,2)=0),"","yes"))</f>
        <v/>
      </c>
      <c r="G647" s="39" t="n"/>
      <c r="H647" s="11">
        <f>IF(OR(A647="",G647=""),"",E647-G647)</f>
        <v/>
      </c>
    </row>
    <row r="648">
      <c r="A648" s="10">
        <f>IF(INDEX(lst_Jobs,635)="","",INDEX(lst_Jobs,635)&amp;"")</f>
        <v/>
      </c>
      <c r="B648" s="10">
        <f>IF(A648="","",INDEX(lst_JobName,635)&amp;"")</f>
        <v/>
      </c>
      <c r="C648" s="11">
        <f>IF(A648="","",SUMIFS(tbl_WIP[Amount],tbl_WIP[Job Number],A648,tbl_WIP[Month],"&lt;"&amp;$C$4))</f>
        <v/>
      </c>
      <c r="D648" s="11">
        <f>IF(A648="","",SUMIFS(tbl_WIP[Amount],tbl_WIP[Job Number],A648,tbl_WIP[Month],$C$4))</f>
        <v/>
      </c>
      <c r="E648" s="11">
        <f>IF(A648="","",C648+D648)</f>
        <v/>
      </c>
      <c r="F648" s="10">
        <f>IF(A648="","",IF(AND(ROUND(C648,2)=0,ROUND(D648,2)=0),"","yes"))</f>
        <v/>
      </c>
      <c r="G648" s="39" t="n"/>
      <c r="H648" s="11">
        <f>IF(OR(A648="",G648=""),"",E648-G648)</f>
        <v/>
      </c>
    </row>
    <row r="649">
      <c r="A649" s="10">
        <f>IF(INDEX(lst_Jobs,636)="","",INDEX(lst_Jobs,636)&amp;"")</f>
        <v/>
      </c>
      <c r="B649" s="10">
        <f>IF(A649="","",INDEX(lst_JobName,636)&amp;"")</f>
        <v/>
      </c>
      <c r="C649" s="11">
        <f>IF(A649="","",SUMIFS(tbl_WIP[Amount],tbl_WIP[Job Number],A649,tbl_WIP[Month],"&lt;"&amp;$C$4))</f>
        <v/>
      </c>
      <c r="D649" s="11">
        <f>IF(A649="","",SUMIFS(tbl_WIP[Amount],tbl_WIP[Job Number],A649,tbl_WIP[Month],$C$4))</f>
        <v/>
      </c>
      <c r="E649" s="11">
        <f>IF(A649="","",C649+D649)</f>
        <v/>
      </c>
      <c r="F649" s="10">
        <f>IF(A649="","",IF(AND(ROUND(C649,2)=0,ROUND(D649,2)=0),"","yes"))</f>
        <v/>
      </c>
      <c r="G649" s="39" t="n"/>
      <c r="H649" s="11">
        <f>IF(OR(A649="",G649=""),"",E649-G649)</f>
        <v/>
      </c>
    </row>
    <row r="650">
      <c r="A650" s="10">
        <f>IF(INDEX(lst_Jobs,637)="","",INDEX(lst_Jobs,637)&amp;"")</f>
        <v/>
      </c>
      <c r="B650" s="10">
        <f>IF(A650="","",INDEX(lst_JobName,637)&amp;"")</f>
        <v/>
      </c>
      <c r="C650" s="11">
        <f>IF(A650="","",SUMIFS(tbl_WIP[Amount],tbl_WIP[Job Number],A650,tbl_WIP[Month],"&lt;"&amp;$C$4))</f>
        <v/>
      </c>
      <c r="D650" s="11">
        <f>IF(A650="","",SUMIFS(tbl_WIP[Amount],tbl_WIP[Job Number],A650,tbl_WIP[Month],$C$4))</f>
        <v/>
      </c>
      <c r="E650" s="11">
        <f>IF(A650="","",C650+D650)</f>
        <v/>
      </c>
      <c r="F650" s="10">
        <f>IF(A650="","",IF(AND(ROUND(C650,2)=0,ROUND(D650,2)=0),"","yes"))</f>
        <v/>
      </c>
      <c r="G650" s="39" t="n"/>
      <c r="H650" s="11">
        <f>IF(OR(A650="",G650=""),"",E650-G650)</f>
        <v/>
      </c>
    </row>
    <row r="651">
      <c r="A651" s="10">
        <f>IF(INDEX(lst_Jobs,638)="","",INDEX(lst_Jobs,638)&amp;"")</f>
        <v/>
      </c>
      <c r="B651" s="10">
        <f>IF(A651="","",INDEX(lst_JobName,638)&amp;"")</f>
        <v/>
      </c>
      <c r="C651" s="11">
        <f>IF(A651="","",SUMIFS(tbl_WIP[Amount],tbl_WIP[Job Number],A651,tbl_WIP[Month],"&lt;"&amp;$C$4))</f>
        <v/>
      </c>
      <c r="D651" s="11">
        <f>IF(A651="","",SUMIFS(tbl_WIP[Amount],tbl_WIP[Job Number],A651,tbl_WIP[Month],$C$4))</f>
        <v/>
      </c>
      <c r="E651" s="11">
        <f>IF(A651="","",C651+D651)</f>
        <v/>
      </c>
      <c r="F651" s="10">
        <f>IF(A651="","",IF(AND(ROUND(C651,2)=0,ROUND(D651,2)=0),"","yes"))</f>
        <v/>
      </c>
      <c r="G651" s="39" t="n"/>
      <c r="H651" s="11">
        <f>IF(OR(A651="",G651=""),"",E651-G651)</f>
        <v/>
      </c>
    </row>
    <row r="652">
      <c r="A652" s="10">
        <f>IF(INDEX(lst_Jobs,639)="","",INDEX(lst_Jobs,639)&amp;"")</f>
        <v/>
      </c>
      <c r="B652" s="10">
        <f>IF(A652="","",INDEX(lst_JobName,639)&amp;"")</f>
        <v/>
      </c>
      <c r="C652" s="11">
        <f>IF(A652="","",SUMIFS(tbl_WIP[Amount],tbl_WIP[Job Number],A652,tbl_WIP[Month],"&lt;"&amp;$C$4))</f>
        <v/>
      </c>
      <c r="D652" s="11">
        <f>IF(A652="","",SUMIFS(tbl_WIP[Amount],tbl_WIP[Job Number],A652,tbl_WIP[Month],$C$4))</f>
        <v/>
      </c>
      <c r="E652" s="11">
        <f>IF(A652="","",C652+D652)</f>
        <v/>
      </c>
      <c r="F652" s="10">
        <f>IF(A652="","",IF(AND(ROUND(C652,2)=0,ROUND(D652,2)=0),"","yes"))</f>
        <v/>
      </c>
      <c r="G652" s="39" t="n"/>
      <c r="H652" s="11">
        <f>IF(OR(A652="",G652=""),"",E652-G652)</f>
        <v/>
      </c>
    </row>
    <row r="653">
      <c r="A653" s="10">
        <f>IF(INDEX(lst_Jobs,640)="","",INDEX(lst_Jobs,640)&amp;"")</f>
        <v/>
      </c>
      <c r="B653" s="10">
        <f>IF(A653="","",INDEX(lst_JobName,640)&amp;"")</f>
        <v/>
      </c>
      <c r="C653" s="11">
        <f>IF(A653="","",SUMIFS(tbl_WIP[Amount],tbl_WIP[Job Number],A653,tbl_WIP[Month],"&lt;"&amp;$C$4))</f>
        <v/>
      </c>
      <c r="D653" s="11">
        <f>IF(A653="","",SUMIFS(tbl_WIP[Amount],tbl_WIP[Job Number],A653,tbl_WIP[Month],$C$4))</f>
        <v/>
      </c>
      <c r="E653" s="11">
        <f>IF(A653="","",C653+D653)</f>
        <v/>
      </c>
      <c r="F653" s="10">
        <f>IF(A653="","",IF(AND(ROUND(C653,2)=0,ROUND(D653,2)=0),"","yes"))</f>
        <v/>
      </c>
      <c r="G653" s="39" t="n"/>
      <c r="H653" s="11">
        <f>IF(OR(A653="",G653=""),"",E653-G653)</f>
        <v/>
      </c>
    </row>
    <row r="654">
      <c r="A654" s="10">
        <f>IF(INDEX(lst_Jobs,641)="","",INDEX(lst_Jobs,641)&amp;"")</f>
        <v/>
      </c>
      <c r="B654" s="10">
        <f>IF(A654="","",INDEX(lst_JobName,641)&amp;"")</f>
        <v/>
      </c>
      <c r="C654" s="11">
        <f>IF(A654="","",SUMIFS(tbl_WIP[Amount],tbl_WIP[Job Number],A654,tbl_WIP[Month],"&lt;"&amp;$C$4))</f>
        <v/>
      </c>
      <c r="D654" s="11">
        <f>IF(A654="","",SUMIFS(tbl_WIP[Amount],tbl_WIP[Job Number],A654,tbl_WIP[Month],$C$4))</f>
        <v/>
      </c>
      <c r="E654" s="11">
        <f>IF(A654="","",C654+D654)</f>
        <v/>
      </c>
      <c r="F654" s="10">
        <f>IF(A654="","",IF(AND(ROUND(C654,2)=0,ROUND(D654,2)=0),"","yes"))</f>
        <v/>
      </c>
      <c r="G654" s="39" t="n"/>
      <c r="H654" s="11">
        <f>IF(OR(A654="",G654=""),"",E654-G654)</f>
        <v/>
      </c>
    </row>
    <row r="655">
      <c r="A655" s="10">
        <f>IF(INDEX(lst_Jobs,642)="","",INDEX(lst_Jobs,642)&amp;"")</f>
        <v/>
      </c>
      <c r="B655" s="10">
        <f>IF(A655="","",INDEX(lst_JobName,642)&amp;"")</f>
        <v/>
      </c>
      <c r="C655" s="11">
        <f>IF(A655="","",SUMIFS(tbl_WIP[Amount],tbl_WIP[Job Number],A655,tbl_WIP[Month],"&lt;"&amp;$C$4))</f>
        <v/>
      </c>
      <c r="D655" s="11">
        <f>IF(A655="","",SUMIFS(tbl_WIP[Amount],tbl_WIP[Job Number],A655,tbl_WIP[Month],$C$4))</f>
        <v/>
      </c>
      <c r="E655" s="11">
        <f>IF(A655="","",C655+D655)</f>
        <v/>
      </c>
      <c r="F655" s="10">
        <f>IF(A655="","",IF(AND(ROUND(C655,2)=0,ROUND(D655,2)=0),"","yes"))</f>
        <v/>
      </c>
      <c r="G655" s="39" t="n"/>
      <c r="H655" s="11">
        <f>IF(OR(A655="",G655=""),"",E655-G655)</f>
        <v/>
      </c>
    </row>
    <row r="656">
      <c r="A656" s="10">
        <f>IF(INDEX(lst_Jobs,643)="","",INDEX(lst_Jobs,643)&amp;"")</f>
        <v/>
      </c>
      <c r="B656" s="10">
        <f>IF(A656="","",INDEX(lst_JobName,643)&amp;"")</f>
        <v/>
      </c>
      <c r="C656" s="11">
        <f>IF(A656="","",SUMIFS(tbl_WIP[Amount],tbl_WIP[Job Number],A656,tbl_WIP[Month],"&lt;"&amp;$C$4))</f>
        <v/>
      </c>
      <c r="D656" s="11">
        <f>IF(A656="","",SUMIFS(tbl_WIP[Amount],tbl_WIP[Job Number],A656,tbl_WIP[Month],$C$4))</f>
        <v/>
      </c>
      <c r="E656" s="11">
        <f>IF(A656="","",C656+D656)</f>
        <v/>
      </c>
      <c r="F656" s="10">
        <f>IF(A656="","",IF(AND(ROUND(C656,2)=0,ROUND(D656,2)=0),"","yes"))</f>
        <v/>
      </c>
      <c r="G656" s="39" t="n"/>
      <c r="H656" s="11">
        <f>IF(OR(A656="",G656=""),"",E656-G656)</f>
        <v/>
      </c>
    </row>
    <row r="657">
      <c r="A657" s="10">
        <f>IF(INDEX(lst_Jobs,644)="","",INDEX(lst_Jobs,644)&amp;"")</f>
        <v/>
      </c>
      <c r="B657" s="10">
        <f>IF(A657="","",INDEX(lst_JobName,644)&amp;"")</f>
        <v/>
      </c>
      <c r="C657" s="11">
        <f>IF(A657="","",SUMIFS(tbl_WIP[Amount],tbl_WIP[Job Number],A657,tbl_WIP[Month],"&lt;"&amp;$C$4))</f>
        <v/>
      </c>
      <c r="D657" s="11">
        <f>IF(A657="","",SUMIFS(tbl_WIP[Amount],tbl_WIP[Job Number],A657,tbl_WIP[Month],$C$4))</f>
        <v/>
      </c>
      <c r="E657" s="11">
        <f>IF(A657="","",C657+D657)</f>
        <v/>
      </c>
      <c r="F657" s="10">
        <f>IF(A657="","",IF(AND(ROUND(C657,2)=0,ROUND(D657,2)=0),"","yes"))</f>
        <v/>
      </c>
      <c r="G657" s="39" t="n"/>
      <c r="H657" s="11">
        <f>IF(OR(A657="",G657=""),"",E657-G657)</f>
        <v/>
      </c>
    </row>
    <row r="658">
      <c r="A658" s="10">
        <f>IF(INDEX(lst_Jobs,645)="","",INDEX(lst_Jobs,645)&amp;"")</f>
        <v/>
      </c>
      <c r="B658" s="10">
        <f>IF(A658="","",INDEX(lst_JobName,645)&amp;"")</f>
        <v/>
      </c>
      <c r="C658" s="11">
        <f>IF(A658="","",SUMIFS(tbl_WIP[Amount],tbl_WIP[Job Number],A658,tbl_WIP[Month],"&lt;"&amp;$C$4))</f>
        <v/>
      </c>
      <c r="D658" s="11">
        <f>IF(A658="","",SUMIFS(tbl_WIP[Amount],tbl_WIP[Job Number],A658,tbl_WIP[Month],$C$4))</f>
        <v/>
      </c>
      <c r="E658" s="11">
        <f>IF(A658="","",C658+D658)</f>
        <v/>
      </c>
      <c r="F658" s="10">
        <f>IF(A658="","",IF(AND(ROUND(C658,2)=0,ROUND(D658,2)=0),"","yes"))</f>
        <v/>
      </c>
      <c r="G658" s="39" t="n"/>
      <c r="H658" s="11">
        <f>IF(OR(A658="",G658=""),"",E658-G658)</f>
        <v/>
      </c>
    </row>
    <row r="659">
      <c r="A659" s="10">
        <f>IF(INDEX(lst_Jobs,646)="","",INDEX(lst_Jobs,646)&amp;"")</f>
        <v/>
      </c>
      <c r="B659" s="10">
        <f>IF(A659="","",INDEX(lst_JobName,646)&amp;"")</f>
        <v/>
      </c>
      <c r="C659" s="11">
        <f>IF(A659="","",SUMIFS(tbl_WIP[Amount],tbl_WIP[Job Number],A659,tbl_WIP[Month],"&lt;"&amp;$C$4))</f>
        <v/>
      </c>
      <c r="D659" s="11">
        <f>IF(A659="","",SUMIFS(tbl_WIP[Amount],tbl_WIP[Job Number],A659,tbl_WIP[Month],$C$4))</f>
        <v/>
      </c>
      <c r="E659" s="11">
        <f>IF(A659="","",C659+D659)</f>
        <v/>
      </c>
      <c r="F659" s="10">
        <f>IF(A659="","",IF(AND(ROUND(C659,2)=0,ROUND(D659,2)=0),"","yes"))</f>
        <v/>
      </c>
      <c r="G659" s="39" t="n"/>
      <c r="H659" s="11">
        <f>IF(OR(A659="",G659=""),"",E659-G659)</f>
        <v/>
      </c>
    </row>
    <row r="660">
      <c r="A660" s="10">
        <f>IF(INDEX(lst_Jobs,647)="","",INDEX(lst_Jobs,647)&amp;"")</f>
        <v/>
      </c>
      <c r="B660" s="10">
        <f>IF(A660="","",INDEX(lst_JobName,647)&amp;"")</f>
        <v/>
      </c>
      <c r="C660" s="11">
        <f>IF(A660="","",SUMIFS(tbl_WIP[Amount],tbl_WIP[Job Number],A660,tbl_WIP[Month],"&lt;"&amp;$C$4))</f>
        <v/>
      </c>
      <c r="D660" s="11">
        <f>IF(A660="","",SUMIFS(tbl_WIP[Amount],tbl_WIP[Job Number],A660,tbl_WIP[Month],$C$4))</f>
        <v/>
      </c>
      <c r="E660" s="11">
        <f>IF(A660="","",C660+D660)</f>
        <v/>
      </c>
      <c r="F660" s="10">
        <f>IF(A660="","",IF(AND(ROUND(C660,2)=0,ROUND(D660,2)=0),"","yes"))</f>
        <v/>
      </c>
      <c r="G660" s="39" t="n"/>
      <c r="H660" s="11">
        <f>IF(OR(A660="",G660=""),"",E660-G660)</f>
        <v/>
      </c>
    </row>
    <row r="661">
      <c r="A661" s="10">
        <f>IF(INDEX(lst_Jobs,648)="","",INDEX(lst_Jobs,648)&amp;"")</f>
        <v/>
      </c>
      <c r="B661" s="10">
        <f>IF(A661="","",INDEX(lst_JobName,648)&amp;"")</f>
        <v/>
      </c>
      <c r="C661" s="11">
        <f>IF(A661="","",SUMIFS(tbl_WIP[Amount],tbl_WIP[Job Number],A661,tbl_WIP[Month],"&lt;"&amp;$C$4))</f>
        <v/>
      </c>
      <c r="D661" s="11">
        <f>IF(A661="","",SUMIFS(tbl_WIP[Amount],tbl_WIP[Job Number],A661,tbl_WIP[Month],$C$4))</f>
        <v/>
      </c>
      <c r="E661" s="11">
        <f>IF(A661="","",C661+D661)</f>
        <v/>
      </c>
      <c r="F661" s="10">
        <f>IF(A661="","",IF(AND(ROUND(C661,2)=0,ROUND(D661,2)=0),"","yes"))</f>
        <v/>
      </c>
      <c r="G661" s="39" t="n"/>
      <c r="H661" s="11">
        <f>IF(OR(A661="",G661=""),"",E661-G661)</f>
        <v/>
      </c>
    </row>
    <row r="662">
      <c r="A662" s="10">
        <f>IF(INDEX(lst_Jobs,649)="","",INDEX(lst_Jobs,649)&amp;"")</f>
        <v/>
      </c>
      <c r="B662" s="10">
        <f>IF(A662="","",INDEX(lst_JobName,649)&amp;"")</f>
        <v/>
      </c>
      <c r="C662" s="11">
        <f>IF(A662="","",SUMIFS(tbl_WIP[Amount],tbl_WIP[Job Number],A662,tbl_WIP[Month],"&lt;"&amp;$C$4))</f>
        <v/>
      </c>
      <c r="D662" s="11">
        <f>IF(A662="","",SUMIFS(tbl_WIP[Amount],tbl_WIP[Job Number],A662,tbl_WIP[Month],$C$4))</f>
        <v/>
      </c>
      <c r="E662" s="11">
        <f>IF(A662="","",C662+D662)</f>
        <v/>
      </c>
      <c r="F662" s="10">
        <f>IF(A662="","",IF(AND(ROUND(C662,2)=0,ROUND(D662,2)=0),"","yes"))</f>
        <v/>
      </c>
      <c r="G662" s="39" t="n"/>
      <c r="H662" s="11">
        <f>IF(OR(A662="",G662=""),"",E662-G662)</f>
        <v/>
      </c>
    </row>
    <row r="663">
      <c r="A663" s="10">
        <f>IF(INDEX(lst_Jobs,650)="","",INDEX(lst_Jobs,650)&amp;"")</f>
        <v/>
      </c>
      <c r="B663" s="10">
        <f>IF(A663="","",INDEX(lst_JobName,650)&amp;"")</f>
        <v/>
      </c>
      <c r="C663" s="11">
        <f>IF(A663="","",SUMIFS(tbl_WIP[Amount],tbl_WIP[Job Number],A663,tbl_WIP[Month],"&lt;"&amp;$C$4))</f>
        <v/>
      </c>
      <c r="D663" s="11">
        <f>IF(A663="","",SUMIFS(tbl_WIP[Amount],tbl_WIP[Job Number],A663,tbl_WIP[Month],$C$4))</f>
        <v/>
      </c>
      <c r="E663" s="11">
        <f>IF(A663="","",C663+D663)</f>
        <v/>
      </c>
      <c r="F663" s="10">
        <f>IF(A663="","",IF(AND(ROUND(C663,2)=0,ROUND(D663,2)=0),"","yes"))</f>
        <v/>
      </c>
      <c r="G663" s="39" t="n"/>
      <c r="H663" s="11">
        <f>IF(OR(A663="",G663=""),"",E663-G663)</f>
        <v/>
      </c>
    </row>
    <row r="664">
      <c r="A664" s="10">
        <f>IF(INDEX(lst_Jobs,651)="","",INDEX(lst_Jobs,651)&amp;"")</f>
        <v/>
      </c>
      <c r="B664" s="10">
        <f>IF(A664="","",INDEX(lst_JobName,651)&amp;"")</f>
        <v/>
      </c>
      <c r="C664" s="11">
        <f>IF(A664="","",SUMIFS(tbl_WIP[Amount],tbl_WIP[Job Number],A664,tbl_WIP[Month],"&lt;"&amp;$C$4))</f>
        <v/>
      </c>
      <c r="D664" s="11">
        <f>IF(A664="","",SUMIFS(tbl_WIP[Amount],tbl_WIP[Job Number],A664,tbl_WIP[Month],$C$4))</f>
        <v/>
      </c>
      <c r="E664" s="11">
        <f>IF(A664="","",C664+D664)</f>
        <v/>
      </c>
      <c r="F664" s="10">
        <f>IF(A664="","",IF(AND(ROUND(C664,2)=0,ROUND(D664,2)=0),"","yes"))</f>
        <v/>
      </c>
      <c r="G664" s="39" t="n"/>
      <c r="H664" s="11">
        <f>IF(OR(A664="",G664=""),"",E664-G664)</f>
        <v/>
      </c>
    </row>
    <row r="665">
      <c r="A665" s="10">
        <f>IF(INDEX(lst_Jobs,652)="","",INDEX(lst_Jobs,652)&amp;"")</f>
        <v/>
      </c>
      <c r="B665" s="10">
        <f>IF(A665="","",INDEX(lst_JobName,652)&amp;"")</f>
        <v/>
      </c>
      <c r="C665" s="11">
        <f>IF(A665="","",SUMIFS(tbl_WIP[Amount],tbl_WIP[Job Number],A665,tbl_WIP[Month],"&lt;"&amp;$C$4))</f>
        <v/>
      </c>
      <c r="D665" s="11">
        <f>IF(A665="","",SUMIFS(tbl_WIP[Amount],tbl_WIP[Job Number],A665,tbl_WIP[Month],$C$4))</f>
        <v/>
      </c>
      <c r="E665" s="11">
        <f>IF(A665="","",C665+D665)</f>
        <v/>
      </c>
      <c r="F665" s="10">
        <f>IF(A665="","",IF(AND(ROUND(C665,2)=0,ROUND(D665,2)=0),"","yes"))</f>
        <v/>
      </c>
      <c r="G665" s="39" t="n"/>
      <c r="H665" s="11">
        <f>IF(OR(A665="",G665=""),"",E665-G665)</f>
        <v/>
      </c>
    </row>
    <row r="666">
      <c r="A666" s="10">
        <f>IF(INDEX(lst_Jobs,653)="","",INDEX(lst_Jobs,653)&amp;"")</f>
        <v/>
      </c>
      <c r="B666" s="10">
        <f>IF(A666="","",INDEX(lst_JobName,653)&amp;"")</f>
        <v/>
      </c>
      <c r="C666" s="11">
        <f>IF(A666="","",SUMIFS(tbl_WIP[Amount],tbl_WIP[Job Number],A666,tbl_WIP[Month],"&lt;"&amp;$C$4))</f>
        <v/>
      </c>
      <c r="D666" s="11">
        <f>IF(A666="","",SUMIFS(tbl_WIP[Amount],tbl_WIP[Job Number],A666,tbl_WIP[Month],$C$4))</f>
        <v/>
      </c>
      <c r="E666" s="11">
        <f>IF(A666="","",C666+D666)</f>
        <v/>
      </c>
      <c r="F666" s="10">
        <f>IF(A666="","",IF(AND(ROUND(C666,2)=0,ROUND(D666,2)=0),"","yes"))</f>
        <v/>
      </c>
      <c r="G666" s="39" t="n"/>
      <c r="H666" s="11">
        <f>IF(OR(A666="",G666=""),"",E666-G666)</f>
        <v/>
      </c>
    </row>
    <row r="667">
      <c r="A667" s="10">
        <f>IF(INDEX(lst_Jobs,654)="","",INDEX(lst_Jobs,654)&amp;"")</f>
        <v/>
      </c>
      <c r="B667" s="10">
        <f>IF(A667="","",INDEX(lst_JobName,654)&amp;"")</f>
        <v/>
      </c>
      <c r="C667" s="11">
        <f>IF(A667="","",SUMIFS(tbl_WIP[Amount],tbl_WIP[Job Number],A667,tbl_WIP[Month],"&lt;"&amp;$C$4))</f>
        <v/>
      </c>
      <c r="D667" s="11">
        <f>IF(A667="","",SUMIFS(tbl_WIP[Amount],tbl_WIP[Job Number],A667,tbl_WIP[Month],$C$4))</f>
        <v/>
      </c>
      <c r="E667" s="11">
        <f>IF(A667="","",C667+D667)</f>
        <v/>
      </c>
      <c r="F667" s="10">
        <f>IF(A667="","",IF(AND(ROUND(C667,2)=0,ROUND(D667,2)=0),"","yes"))</f>
        <v/>
      </c>
      <c r="G667" s="39" t="n"/>
      <c r="H667" s="11">
        <f>IF(OR(A667="",G667=""),"",E667-G667)</f>
        <v/>
      </c>
    </row>
    <row r="668">
      <c r="A668" s="10">
        <f>IF(INDEX(lst_Jobs,655)="","",INDEX(lst_Jobs,655)&amp;"")</f>
        <v/>
      </c>
      <c r="B668" s="10">
        <f>IF(A668="","",INDEX(lst_JobName,655)&amp;"")</f>
        <v/>
      </c>
      <c r="C668" s="11">
        <f>IF(A668="","",SUMIFS(tbl_WIP[Amount],tbl_WIP[Job Number],A668,tbl_WIP[Month],"&lt;"&amp;$C$4))</f>
        <v/>
      </c>
      <c r="D668" s="11">
        <f>IF(A668="","",SUMIFS(tbl_WIP[Amount],tbl_WIP[Job Number],A668,tbl_WIP[Month],$C$4))</f>
        <v/>
      </c>
      <c r="E668" s="11">
        <f>IF(A668="","",C668+D668)</f>
        <v/>
      </c>
      <c r="F668" s="10">
        <f>IF(A668="","",IF(AND(ROUND(C668,2)=0,ROUND(D668,2)=0),"","yes"))</f>
        <v/>
      </c>
      <c r="G668" s="39" t="n"/>
      <c r="H668" s="11">
        <f>IF(OR(A668="",G668=""),"",E668-G668)</f>
        <v/>
      </c>
    </row>
    <row r="669">
      <c r="A669" s="10">
        <f>IF(INDEX(lst_Jobs,656)="","",INDEX(lst_Jobs,656)&amp;"")</f>
        <v/>
      </c>
      <c r="B669" s="10">
        <f>IF(A669="","",INDEX(lst_JobName,656)&amp;"")</f>
        <v/>
      </c>
      <c r="C669" s="11">
        <f>IF(A669="","",SUMIFS(tbl_WIP[Amount],tbl_WIP[Job Number],A669,tbl_WIP[Month],"&lt;"&amp;$C$4))</f>
        <v/>
      </c>
      <c r="D669" s="11">
        <f>IF(A669="","",SUMIFS(tbl_WIP[Amount],tbl_WIP[Job Number],A669,tbl_WIP[Month],$C$4))</f>
        <v/>
      </c>
      <c r="E669" s="11">
        <f>IF(A669="","",C669+D669)</f>
        <v/>
      </c>
      <c r="F669" s="10">
        <f>IF(A669="","",IF(AND(ROUND(C669,2)=0,ROUND(D669,2)=0),"","yes"))</f>
        <v/>
      </c>
      <c r="G669" s="39" t="n"/>
      <c r="H669" s="11">
        <f>IF(OR(A669="",G669=""),"",E669-G669)</f>
        <v/>
      </c>
    </row>
    <row r="670">
      <c r="A670" s="10">
        <f>IF(INDEX(lst_Jobs,657)="","",INDEX(lst_Jobs,657)&amp;"")</f>
        <v/>
      </c>
      <c r="B670" s="10">
        <f>IF(A670="","",INDEX(lst_JobName,657)&amp;"")</f>
        <v/>
      </c>
      <c r="C670" s="11">
        <f>IF(A670="","",SUMIFS(tbl_WIP[Amount],tbl_WIP[Job Number],A670,tbl_WIP[Month],"&lt;"&amp;$C$4))</f>
        <v/>
      </c>
      <c r="D670" s="11">
        <f>IF(A670="","",SUMIFS(tbl_WIP[Amount],tbl_WIP[Job Number],A670,tbl_WIP[Month],$C$4))</f>
        <v/>
      </c>
      <c r="E670" s="11">
        <f>IF(A670="","",C670+D670)</f>
        <v/>
      </c>
      <c r="F670" s="10">
        <f>IF(A670="","",IF(AND(ROUND(C670,2)=0,ROUND(D670,2)=0),"","yes"))</f>
        <v/>
      </c>
      <c r="G670" s="39" t="n"/>
      <c r="H670" s="11">
        <f>IF(OR(A670="",G670=""),"",E670-G670)</f>
        <v/>
      </c>
    </row>
    <row r="671">
      <c r="A671" s="10">
        <f>IF(INDEX(lst_Jobs,658)="","",INDEX(lst_Jobs,658)&amp;"")</f>
        <v/>
      </c>
      <c r="B671" s="10">
        <f>IF(A671="","",INDEX(lst_JobName,658)&amp;"")</f>
        <v/>
      </c>
      <c r="C671" s="11">
        <f>IF(A671="","",SUMIFS(tbl_WIP[Amount],tbl_WIP[Job Number],A671,tbl_WIP[Month],"&lt;"&amp;$C$4))</f>
        <v/>
      </c>
      <c r="D671" s="11">
        <f>IF(A671="","",SUMIFS(tbl_WIP[Amount],tbl_WIP[Job Number],A671,tbl_WIP[Month],$C$4))</f>
        <v/>
      </c>
      <c r="E671" s="11">
        <f>IF(A671="","",C671+D671)</f>
        <v/>
      </c>
      <c r="F671" s="10">
        <f>IF(A671="","",IF(AND(ROUND(C671,2)=0,ROUND(D671,2)=0),"","yes"))</f>
        <v/>
      </c>
      <c r="G671" s="39" t="n"/>
      <c r="H671" s="11">
        <f>IF(OR(A671="",G671=""),"",E671-G671)</f>
        <v/>
      </c>
    </row>
    <row r="672">
      <c r="A672" s="10">
        <f>IF(INDEX(lst_Jobs,659)="","",INDEX(lst_Jobs,659)&amp;"")</f>
        <v/>
      </c>
      <c r="B672" s="10">
        <f>IF(A672="","",INDEX(lst_JobName,659)&amp;"")</f>
        <v/>
      </c>
      <c r="C672" s="11">
        <f>IF(A672="","",SUMIFS(tbl_WIP[Amount],tbl_WIP[Job Number],A672,tbl_WIP[Month],"&lt;"&amp;$C$4))</f>
        <v/>
      </c>
      <c r="D672" s="11">
        <f>IF(A672="","",SUMIFS(tbl_WIP[Amount],tbl_WIP[Job Number],A672,tbl_WIP[Month],$C$4))</f>
        <v/>
      </c>
      <c r="E672" s="11">
        <f>IF(A672="","",C672+D672)</f>
        <v/>
      </c>
      <c r="F672" s="10">
        <f>IF(A672="","",IF(AND(ROUND(C672,2)=0,ROUND(D672,2)=0),"","yes"))</f>
        <v/>
      </c>
      <c r="G672" s="39" t="n"/>
      <c r="H672" s="11">
        <f>IF(OR(A672="",G672=""),"",E672-G672)</f>
        <v/>
      </c>
    </row>
    <row r="673">
      <c r="A673" s="10">
        <f>IF(INDEX(lst_Jobs,660)="","",INDEX(lst_Jobs,660)&amp;"")</f>
        <v/>
      </c>
      <c r="B673" s="10">
        <f>IF(A673="","",INDEX(lst_JobName,660)&amp;"")</f>
        <v/>
      </c>
      <c r="C673" s="11">
        <f>IF(A673="","",SUMIFS(tbl_WIP[Amount],tbl_WIP[Job Number],A673,tbl_WIP[Month],"&lt;"&amp;$C$4))</f>
        <v/>
      </c>
      <c r="D673" s="11">
        <f>IF(A673="","",SUMIFS(tbl_WIP[Amount],tbl_WIP[Job Number],A673,tbl_WIP[Month],$C$4))</f>
        <v/>
      </c>
      <c r="E673" s="11">
        <f>IF(A673="","",C673+D673)</f>
        <v/>
      </c>
      <c r="F673" s="10">
        <f>IF(A673="","",IF(AND(ROUND(C673,2)=0,ROUND(D673,2)=0),"","yes"))</f>
        <v/>
      </c>
      <c r="G673" s="39" t="n"/>
      <c r="H673" s="11">
        <f>IF(OR(A673="",G673=""),"",E673-G673)</f>
        <v/>
      </c>
    </row>
    <row r="674">
      <c r="A674" s="10">
        <f>IF(INDEX(lst_Jobs,661)="","",INDEX(lst_Jobs,661)&amp;"")</f>
        <v/>
      </c>
      <c r="B674" s="10">
        <f>IF(A674="","",INDEX(lst_JobName,661)&amp;"")</f>
        <v/>
      </c>
      <c r="C674" s="11">
        <f>IF(A674="","",SUMIFS(tbl_WIP[Amount],tbl_WIP[Job Number],A674,tbl_WIP[Month],"&lt;"&amp;$C$4))</f>
        <v/>
      </c>
      <c r="D674" s="11">
        <f>IF(A674="","",SUMIFS(tbl_WIP[Amount],tbl_WIP[Job Number],A674,tbl_WIP[Month],$C$4))</f>
        <v/>
      </c>
      <c r="E674" s="11">
        <f>IF(A674="","",C674+D674)</f>
        <v/>
      </c>
      <c r="F674" s="10">
        <f>IF(A674="","",IF(AND(ROUND(C674,2)=0,ROUND(D674,2)=0),"","yes"))</f>
        <v/>
      </c>
      <c r="G674" s="39" t="n"/>
      <c r="H674" s="11">
        <f>IF(OR(A674="",G674=""),"",E674-G674)</f>
        <v/>
      </c>
    </row>
    <row r="675">
      <c r="A675" s="10">
        <f>IF(INDEX(lst_Jobs,662)="","",INDEX(lst_Jobs,662)&amp;"")</f>
        <v/>
      </c>
      <c r="B675" s="10">
        <f>IF(A675="","",INDEX(lst_JobName,662)&amp;"")</f>
        <v/>
      </c>
      <c r="C675" s="11">
        <f>IF(A675="","",SUMIFS(tbl_WIP[Amount],tbl_WIP[Job Number],A675,tbl_WIP[Month],"&lt;"&amp;$C$4))</f>
        <v/>
      </c>
      <c r="D675" s="11">
        <f>IF(A675="","",SUMIFS(tbl_WIP[Amount],tbl_WIP[Job Number],A675,tbl_WIP[Month],$C$4))</f>
        <v/>
      </c>
      <c r="E675" s="11">
        <f>IF(A675="","",C675+D675)</f>
        <v/>
      </c>
      <c r="F675" s="10">
        <f>IF(A675="","",IF(AND(ROUND(C675,2)=0,ROUND(D675,2)=0),"","yes"))</f>
        <v/>
      </c>
      <c r="G675" s="39" t="n"/>
      <c r="H675" s="11">
        <f>IF(OR(A675="",G675=""),"",E675-G675)</f>
        <v/>
      </c>
    </row>
    <row r="676">
      <c r="A676" s="10">
        <f>IF(INDEX(lst_Jobs,663)="","",INDEX(lst_Jobs,663)&amp;"")</f>
        <v/>
      </c>
      <c r="B676" s="10">
        <f>IF(A676="","",INDEX(lst_JobName,663)&amp;"")</f>
        <v/>
      </c>
      <c r="C676" s="11">
        <f>IF(A676="","",SUMIFS(tbl_WIP[Amount],tbl_WIP[Job Number],A676,tbl_WIP[Month],"&lt;"&amp;$C$4))</f>
        <v/>
      </c>
      <c r="D676" s="11">
        <f>IF(A676="","",SUMIFS(tbl_WIP[Amount],tbl_WIP[Job Number],A676,tbl_WIP[Month],$C$4))</f>
        <v/>
      </c>
      <c r="E676" s="11">
        <f>IF(A676="","",C676+D676)</f>
        <v/>
      </c>
      <c r="F676" s="10">
        <f>IF(A676="","",IF(AND(ROUND(C676,2)=0,ROUND(D676,2)=0),"","yes"))</f>
        <v/>
      </c>
      <c r="G676" s="39" t="n"/>
      <c r="H676" s="11">
        <f>IF(OR(A676="",G676=""),"",E676-G676)</f>
        <v/>
      </c>
    </row>
    <row r="677">
      <c r="A677" s="10">
        <f>IF(INDEX(lst_Jobs,664)="","",INDEX(lst_Jobs,664)&amp;"")</f>
        <v/>
      </c>
      <c r="B677" s="10">
        <f>IF(A677="","",INDEX(lst_JobName,664)&amp;"")</f>
        <v/>
      </c>
      <c r="C677" s="11">
        <f>IF(A677="","",SUMIFS(tbl_WIP[Amount],tbl_WIP[Job Number],A677,tbl_WIP[Month],"&lt;"&amp;$C$4))</f>
        <v/>
      </c>
      <c r="D677" s="11">
        <f>IF(A677="","",SUMIFS(tbl_WIP[Amount],tbl_WIP[Job Number],A677,tbl_WIP[Month],$C$4))</f>
        <v/>
      </c>
      <c r="E677" s="11">
        <f>IF(A677="","",C677+D677)</f>
        <v/>
      </c>
      <c r="F677" s="10">
        <f>IF(A677="","",IF(AND(ROUND(C677,2)=0,ROUND(D677,2)=0),"","yes"))</f>
        <v/>
      </c>
      <c r="G677" s="39" t="n"/>
      <c r="H677" s="11">
        <f>IF(OR(A677="",G677=""),"",E677-G677)</f>
        <v/>
      </c>
    </row>
    <row r="678">
      <c r="A678" s="10">
        <f>IF(INDEX(lst_Jobs,665)="","",INDEX(lst_Jobs,665)&amp;"")</f>
        <v/>
      </c>
      <c r="B678" s="10">
        <f>IF(A678="","",INDEX(lst_JobName,665)&amp;"")</f>
        <v/>
      </c>
      <c r="C678" s="11">
        <f>IF(A678="","",SUMIFS(tbl_WIP[Amount],tbl_WIP[Job Number],A678,tbl_WIP[Month],"&lt;"&amp;$C$4))</f>
        <v/>
      </c>
      <c r="D678" s="11">
        <f>IF(A678="","",SUMIFS(tbl_WIP[Amount],tbl_WIP[Job Number],A678,tbl_WIP[Month],$C$4))</f>
        <v/>
      </c>
      <c r="E678" s="11">
        <f>IF(A678="","",C678+D678)</f>
        <v/>
      </c>
      <c r="F678" s="10">
        <f>IF(A678="","",IF(AND(ROUND(C678,2)=0,ROUND(D678,2)=0),"","yes"))</f>
        <v/>
      </c>
      <c r="G678" s="39" t="n"/>
      <c r="H678" s="11">
        <f>IF(OR(A678="",G678=""),"",E678-G678)</f>
        <v/>
      </c>
    </row>
    <row r="679">
      <c r="A679" s="10">
        <f>IF(INDEX(lst_Jobs,666)="","",INDEX(lst_Jobs,666)&amp;"")</f>
        <v/>
      </c>
      <c r="B679" s="10">
        <f>IF(A679="","",INDEX(lst_JobName,666)&amp;"")</f>
        <v/>
      </c>
      <c r="C679" s="11">
        <f>IF(A679="","",SUMIFS(tbl_WIP[Amount],tbl_WIP[Job Number],A679,tbl_WIP[Month],"&lt;"&amp;$C$4))</f>
        <v/>
      </c>
      <c r="D679" s="11">
        <f>IF(A679="","",SUMIFS(tbl_WIP[Amount],tbl_WIP[Job Number],A679,tbl_WIP[Month],$C$4))</f>
        <v/>
      </c>
      <c r="E679" s="11">
        <f>IF(A679="","",C679+D679)</f>
        <v/>
      </c>
      <c r="F679" s="10">
        <f>IF(A679="","",IF(AND(ROUND(C679,2)=0,ROUND(D679,2)=0),"","yes"))</f>
        <v/>
      </c>
      <c r="G679" s="39" t="n"/>
      <c r="H679" s="11">
        <f>IF(OR(A679="",G679=""),"",E679-G679)</f>
        <v/>
      </c>
    </row>
    <row r="680">
      <c r="A680" s="10">
        <f>IF(INDEX(lst_Jobs,667)="","",INDEX(lst_Jobs,667)&amp;"")</f>
        <v/>
      </c>
      <c r="B680" s="10">
        <f>IF(A680="","",INDEX(lst_JobName,667)&amp;"")</f>
        <v/>
      </c>
      <c r="C680" s="11">
        <f>IF(A680="","",SUMIFS(tbl_WIP[Amount],tbl_WIP[Job Number],A680,tbl_WIP[Month],"&lt;"&amp;$C$4))</f>
        <v/>
      </c>
      <c r="D680" s="11">
        <f>IF(A680="","",SUMIFS(tbl_WIP[Amount],tbl_WIP[Job Number],A680,tbl_WIP[Month],$C$4))</f>
        <v/>
      </c>
      <c r="E680" s="11">
        <f>IF(A680="","",C680+D680)</f>
        <v/>
      </c>
      <c r="F680" s="10">
        <f>IF(A680="","",IF(AND(ROUND(C680,2)=0,ROUND(D680,2)=0),"","yes"))</f>
        <v/>
      </c>
      <c r="G680" s="39" t="n"/>
      <c r="H680" s="11">
        <f>IF(OR(A680="",G680=""),"",E680-G680)</f>
        <v/>
      </c>
    </row>
    <row r="681">
      <c r="A681" s="10">
        <f>IF(INDEX(lst_Jobs,668)="","",INDEX(lst_Jobs,668)&amp;"")</f>
        <v/>
      </c>
      <c r="B681" s="10">
        <f>IF(A681="","",INDEX(lst_JobName,668)&amp;"")</f>
        <v/>
      </c>
      <c r="C681" s="11">
        <f>IF(A681="","",SUMIFS(tbl_WIP[Amount],tbl_WIP[Job Number],A681,tbl_WIP[Month],"&lt;"&amp;$C$4))</f>
        <v/>
      </c>
      <c r="D681" s="11">
        <f>IF(A681="","",SUMIFS(tbl_WIP[Amount],tbl_WIP[Job Number],A681,tbl_WIP[Month],$C$4))</f>
        <v/>
      </c>
      <c r="E681" s="11">
        <f>IF(A681="","",C681+D681)</f>
        <v/>
      </c>
      <c r="F681" s="10">
        <f>IF(A681="","",IF(AND(ROUND(C681,2)=0,ROUND(D681,2)=0),"","yes"))</f>
        <v/>
      </c>
      <c r="G681" s="39" t="n"/>
      <c r="H681" s="11">
        <f>IF(OR(A681="",G681=""),"",E681-G681)</f>
        <v/>
      </c>
    </row>
    <row r="682">
      <c r="A682" s="10">
        <f>IF(INDEX(lst_Jobs,669)="","",INDEX(lst_Jobs,669)&amp;"")</f>
        <v/>
      </c>
      <c r="B682" s="10">
        <f>IF(A682="","",INDEX(lst_JobName,669)&amp;"")</f>
        <v/>
      </c>
      <c r="C682" s="11">
        <f>IF(A682="","",SUMIFS(tbl_WIP[Amount],tbl_WIP[Job Number],A682,tbl_WIP[Month],"&lt;"&amp;$C$4))</f>
        <v/>
      </c>
      <c r="D682" s="11">
        <f>IF(A682="","",SUMIFS(tbl_WIP[Amount],tbl_WIP[Job Number],A682,tbl_WIP[Month],$C$4))</f>
        <v/>
      </c>
      <c r="E682" s="11">
        <f>IF(A682="","",C682+D682)</f>
        <v/>
      </c>
      <c r="F682" s="10">
        <f>IF(A682="","",IF(AND(ROUND(C682,2)=0,ROUND(D682,2)=0),"","yes"))</f>
        <v/>
      </c>
      <c r="G682" s="39" t="n"/>
      <c r="H682" s="11">
        <f>IF(OR(A682="",G682=""),"",E682-G682)</f>
        <v/>
      </c>
    </row>
    <row r="683">
      <c r="A683" s="10">
        <f>IF(INDEX(lst_Jobs,670)="","",INDEX(lst_Jobs,670)&amp;"")</f>
        <v/>
      </c>
      <c r="B683" s="10">
        <f>IF(A683="","",INDEX(lst_JobName,670)&amp;"")</f>
        <v/>
      </c>
      <c r="C683" s="11">
        <f>IF(A683="","",SUMIFS(tbl_WIP[Amount],tbl_WIP[Job Number],A683,tbl_WIP[Month],"&lt;"&amp;$C$4))</f>
        <v/>
      </c>
      <c r="D683" s="11">
        <f>IF(A683="","",SUMIFS(tbl_WIP[Amount],tbl_WIP[Job Number],A683,tbl_WIP[Month],$C$4))</f>
        <v/>
      </c>
      <c r="E683" s="11">
        <f>IF(A683="","",C683+D683)</f>
        <v/>
      </c>
      <c r="F683" s="10">
        <f>IF(A683="","",IF(AND(ROUND(C683,2)=0,ROUND(D683,2)=0),"","yes"))</f>
        <v/>
      </c>
      <c r="G683" s="39" t="n"/>
      <c r="H683" s="11">
        <f>IF(OR(A683="",G683=""),"",E683-G683)</f>
        <v/>
      </c>
    </row>
    <row r="684">
      <c r="A684" s="10">
        <f>IF(INDEX(lst_Jobs,671)="","",INDEX(lst_Jobs,671)&amp;"")</f>
        <v/>
      </c>
      <c r="B684" s="10">
        <f>IF(A684="","",INDEX(lst_JobName,671)&amp;"")</f>
        <v/>
      </c>
      <c r="C684" s="11">
        <f>IF(A684="","",SUMIFS(tbl_WIP[Amount],tbl_WIP[Job Number],A684,tbl_WIP[Month],"&lt;"&amp;$C$4))</f>
        <v/>
      </c>
      <c r="D684" s="11">
        <f>IF(A684="","",SUMIFS(tbl_WIP[Amount],tbl_WIP[Job Number],A684,tbl_WIP[Month],$C$4))</f>
        <v/>
      </c>
      <c r="E684" s="11">
        <f>IF(A684="","",C684+D684)</f>
        <v/>
      </c>
      <c r="F684" s="10">
        <f>IF(A684="","",IF(AND(ROUND(C684,2)=0,ROUND(D684,2)=0),"","yes"))</f>
        <v/>
      </c>
      <c r="G684" s="39" t="n"/>
      <c r="H684" s="11">
        <f>IF(OR(A684="",G684=""),"",E684-G684)</f>
        <v/>
      </c>
    </row>
    <row r="685">
      <c r="A685" s="10">
        <f>IF(INDEX(lst_Jobs,672)="","",INDEX(lst_Jobs,672)&amp;"")</f>
        <v/>
      </c>
      <c r="B685" s="10">
        <f>IF(A685="","",INDEX(lst_JobName,672)&amp;"")</f>
        <v/>
      </c>
      <c r="C685" s="11">
        <f>IF(A685="","",SUMIFS(tbl_WIP[Amount],tbl_WIP[Job Number],A685,tbl_WIP[Month],"&lt;"&amp;$C$4))</f>
        <v/>
      </c>
      <c r="D685" s="11">
        <f>IF(A685="","",SUMIFS(tbl_WIP[Amount],tbl_WIP[Job Number],A685,tbl_WIP[Month],$C$4))</f>
        <v/>
      </c>
      <c r="E685" s="11">
        <f>IF(A685="","",C685+D685)</f>
        <v/>
      </c>
      <c r="F685" s="10">
        <f>IF(A685="","",IF(AND(ROUND(C685,2)=0,ROUND(D685,2)=0),"","yes"))</f>
        <v/>
      </c>
      <c r="G685" s="39" t="n"/>
      <c r="H685" s="11">
        <f>IF(OR(A685="",G685=""),"",E685-G685)</f>
        <v/>
      </c>
    </row>
    <row r="686">
      <c r="A686" s="10">
        <f>IF(INDEX(lst_Jobs,673)="","",INDEX(lst_Jobs,673)&amp;"")</f>
        <v/>
      </c>
      <c r="B686" s="10">
        <f>IF(A686="","",INDEX(lst_JobName,673)&amp;"")</f>
        <v/>
      </c>
      <c r="C686" s="11">
        <f>IF(A686="","",SUMIFS(tbl_WIP[Amount],tbl_WIP[Job Number],A686,tbl_WIP[Month],"&lt;"&amp;$C$4))</f>
        <v/>
      </c>
      <c r="D686" s="11">
        <f>IF(A686="","",SUMIFS(tbl_WIP[Amount],tbl_WIP[Job Number],A686,tbl_WIP[Month],$C$4))</f>
        <v/>
      </c>
      <c r="E686" s="11">
        <f>IF(A686="","",C686+D686)</f>
        <v/>
      </c>
      <c r="F686" s="10">
        <f>IF(A686="","",IF(AND(ROUND(C686,2)=0,ROUND(D686,2)=0),"","yes"))</f>
        <v/>
      </c>
      <c r="G686" s="39" t="n"/>
      <c r="H686" s="11">
        <f>IF(OR(A686="",G686=""),"",E686-G686)</f>
        <v/>
      </c>
    </row>
    <row r="687">
      <c r="A687" s="10">
        <f>IF(INDEX(lst_Jobs,674)="","",INDEX(lst_Jobs,674)&amp;"")</f>
        <v/>
      </c>
      <c r="B687" s="10">
        <f>IF(A687="","",INDEX(lst_JobName,674)&amp;"")</f>
        <v/>
      </c>
      <c r="C687" s="11">
        <f>IF(A687="","",SUMIFS(tbl_WIP[Amount],tbl_WIP[Job Number],A687,tbl_WIP[Month],"&lt;"&amp;$C$4))</f>
        <v/>
      </c>
      <c r="D687" s="11">
        <f>IF(A687="","",SUMIFS(tbl_WIP[Amount],tbl_WIP[Job Number],A687,tbl_WIP[Month],$C$4))</f>
        <v/>
      </c>
      <c r="E687" s="11">
        <f>IF(A687="","",C687+D687)</f>
        <v/>
      </c>
      <c r="F687" s="10">
        <f>IF(A687="","",IF(AND(ROUND(C687,2)=0,ROUND(D687,2)=0),"","yes"))</f>
        <v/>
      </c>
      <c r="G687" s="39" t="n"/>
      <c r="H687" s="11">
        <f>IF(OR(A687="",G687=""),"",E687-G687)</f>
        <v/>
      </c>
    </row>
    <row r="688">
      <c r="A688" s="10">
        <f>IF(INDEX(lst_Jobs,675)="","",INDEX(lst_Jobs,675)&amp;"")</f>
        <v/>
      </c>
      <c r="B688" s="10">
        <f>IF(A688="","",INDEX(lst_JobName,675)&amp;"")</f>
        <v/>
      </c>
      <c r="C688" s="11">
        <f>IF(A688="","",SUMIFS(tbl_WIP[Amount],tbl_WIP[Job Number],A688,tbl_WIP[Month],"&lt;"&amp;$C$4))</f>
        <v/>
      </c>
      <c r="D688" s="11">
        <f>IF(A688="","",SUMIFS(tbl_WIP[Amount],tbl_WIP[Job Number],A688,tbl_WIP[Month],$C$4))</f>
        <v/>
      </c>
      <c r="E688" s="11">
        <f>IF(A688="","",C688+D688)</f>
        <v/>
      </c>
      <c r="F688" s="10">
        <f>IF(A688="","",IF(AND(ROUND(C688,2)=0,ROUND(D688,2)=0),"","yes"))</f>
        <v/>
      </c>
      <c r="G688" s="39" t="n"/>
      <c r="H688" s="11">
        <f>IF(OR(A688="",G688=""),"",E688-G688)</f>
        <v/>
      </c>
    </row>
    <row r="689">
      <c r="A689" s="10">
        <f>IF(INDEX(lst_Jobs,676)="","",INDEX(lst_Jobs,676)&amp;"")</f>
        <v/>
      </c>
      <c r="B689" s="10">
        <f>IF(A689="","",INDEX(lst_JobName,676)&amp;"")</f>
        <v/>
      </c>
      <c r="C689" s="11">
        <f>IF(A689="","",SUMIFS(tbl_WIP[Amount],tbl_WIP[Job Number],A689,tbl_WIP[Month],"&lt;"&amp;$C$4))</f>
        <v/>
      </c>
      <c r="D689" s="11">
        <f>IF(A689="","",SUMIFS(tbl_WIP[Amount],tbl_WIP[Job Number],A689,tbl_WIP[Month],$C$4))</f>
        <v/>
      </c>
      <c r="E689" s="11">
        <f>IF(A689="","",C689+D689)</f>
        <v/>
      </c>
      <c r="F689" s="10">
        <f>IF(A689="","",IF(AND(ROUND(C689,2)=0,ROUND(D689,2)=0),"","yes"))</f>
        <v/>
      </c>
      <c r="G689" s="39" t="n"/>
      <c r="H689" s="11">
        <f>IF(OR(A689="",G689=""),"",E689-G689)</f>
        <v/>
      </c>
    </row>
    <row r="690">
      <c r="A690" s="10">
        <f>IF(INDEX(lst_Jobs,677)="","",INDEX(lst_Jobs,677)&amp;"")</f>
        <v/>
      </c>
      <c r="B690" s="10">
        <f>IF(A690="","",INDEX(lst_JobName,677)&amp;"")</f>
        <v/>
      </c>
      <c r="C690" s="11">
        <f>IF(A690="","",SUMIFS(tbl_WIP[Amount],tbl_WIP[Job Number],A690,tbl_WIP[Month],"&lt;"&amp;$C$4))</f>
        <v/>
      </c>
      <c r="D690" s="11">
        <f>IF(A690="","",SUMIFS(tbl_WIP[Amount],tbl_WIP[Job Number],A690,tbl_WIP[Month],$C$4))</f>
        <v/>
      </c>
      <c r="E690" s="11">
        <f>IF(A690="","",C690+D690)</f>
        <v/>
      </c>
      <c r="F690" s="10">
        <f>IF(A690="","",IF(AND(ROUND(C690,2)=0,ROUND(D690,2)=0),"","yes"))</f>
        <v/>
      </c>
      <c r="G690" s="39" t="n"/>
      <c r="H690" s="11">
        <f>IF(OR(A690="",G690=""),"",E690-G690)</f>
        <v/>
      </c>
    </row>
    <row r="691">
      <c r="A691" s="10">
        <f>IF(INDEX(lst_Jobs,678)="","",INDEX(lst_Jobs,678)&amp;"")</f>
        <v/>
      </c>
      <c r="B691" s="10">
        <f>IF(A691="","",INDEX(lst_JobName,678)&amp;"")</f>
        <v/>
      </c>
      <c r="C691" s="11">
        <f>IF(A691="","",SUMIFS(tbl_WIP[Amount],tbl_WIP[Job Number],A691,tbl_WIP[Month],"&lt;"&amp;$C$4))</f>
        <v/>
      </c>
      <c r="D691" s="11">
        <f>IF(A691="","",SUMIFS(tbl_WIP[Amount],tbl_WIP[Job Number],A691,tbl_WIP[Month],$C$4))</f>
        <v/>
      </c>
      <c r="E691" s="11">
        <f>IF(A691="","",C691+D691)</f>
        <v/>
      </c>
      <c r="F691" s="10">
        <f>IF(A691="","",IF(AND(ROUND(C691,2)=0,ROUND(D691,2)=0),"","yes"))</f>
        <v/>
      </c>
      <c r="G691" s="39" t="n"/>
      <c r="H691" s="11">
        <f>IF(OR(A691="",G691=""),"",E691-G691)</f>
        <v/>
      </c>
    </row>
    <row r="692">
      <c r="A692" s="10">
        <f>IF(INDEX(lst_Jobs,679)="","",INDEX(lst_Jobs,679)&amp;"")</f>
        <v/>
      </c>
      <c r="B692" s="10">
        <f>IF(A692="","",INDEX(lst_JobName,679)&amp;"")</f>
        <v/>
      </c>
      <c r="C692" s="11">
        <f>IF(A692="","",SUMIFS(tbl_WIP[Amount],tbl_WIP[Job Number],A692,tbl_WIP[Month],"&lt;"&amp;$C$4))</f>
        <v/>
      </c>
      <c r="D692" s="11">
        <f>IF(A692="","",SUMIFS(tbl_WIP[Amount],tbl_WIP[Job Number],A692,tbl_WIP[Month],$C$4))</f>
        <v/>
      </c>
      <c r="E692" s="11">
        <f>IF(A692="","",C692+D692)</f>
        <v/>
      </c>
      <c r="F692" s="10">
        <f>IF(A692="","",IF(AND(ROUND(C692,2)=0,ROUND(D692,2)=0),"","yes"))</f>
        <v/>
      </c>
      <c r="G692" s="39" t="n"/>
      <c r="H692" s="11">
        <f>IF(OR(A692="",G692=""),"",E692-G692)</f>
        <v/>
      </c>
    </row>
    <row r="693">
      <c r="A693" s="10">
        <f>IF(INDEX(lst_Jobs,680)="","",INDEX(lst_Jobs,680)&amp;"")</f>
        <v/>
      </c>
      <c r="B693" s="10">
        <f>IF(A693="","",INDEX(lst_JobName,680)&amp;"")</f>
        <v/>
      </c>
      <c r="C693" s="11">
        <f>IF(A693="","",SUMIFS(tbl_WIP[Amount],tbl_WIP[Job Number],A693,tbl_WIP[Month],"&lt;"&amp;$C$4))</f>
        <v/>
      </c>
      <c r="D693" s="11">
        <f>IF(A693="","",SUMIFS(tbl_WIP[Amount],tbl_WIP[Job Number],A693,tbl_WIP[Month],$C$4))</f>
        <v/>
      </c>
      <c r="E693" s="11">
        <f>IF(A693="","",C693+D693)</f>
        <v/>
      </c>
      <c r="F693" s="10">
        <f>IF(A693="","",IF(AND(ROUND(C693,2)=0,ROUND(D693,2)=0),"","yes"))</f>
        <v/>
      </c>
      <c r="G693" s="39" t="n"/>
      <c r="H693" s="11">
        <f>IF(OR(A693="",G693=""),"",E693-G693)</f>
        <v/>
      </c>
    </row>
    <row r="694">
      <c r="A694" s="10">
        <f>IF(INDEX(lst_Jobs,681)="","",INDEX(lst_Jobs,681)&amp;"")</f>
        <v/>
      </c>
      <c r="B694" s="10">
        <f>IF(A694="","",INDEX(lst_JobName,681)&amp;"")</f>
        <v/>
      </c>
      <c r="C694" s="11">
        <f>IF(A694="","",SUMIFS(tbl_WIP[Amount],tbl_WIP[Job Number],A694,tbl_WIP[Month],"&lt;"&amp;$C$4))</f>
        <v/>
      </c>
      <c r="D694" s="11">
        <f>IF(A694="","",SUMIFS(tbl_WIP[Amount],tbl_WIP[Job Number],A694,tbl_WIP[Month],$C$4))</f>
        <v/>
      </c>
      <c r="E694" s="11">
        <f>IF(A694="","",C694+D694)</f>
        <v/>
      </c>
      <c r="F694" s="10">
        <f>IF(A694="","",IF(AND(ROUND(C694,2)=0,ROUND(D694,2)=0),"","yes"))</f>
        <v/>
      </c>
      <c r="G694" s="39" t="n"/>
      <c r="H694" s="11">
        <f>IF(OR(A694="",G694=""),"",E694-G694)</f>
        <v/>
      </c>
    </row>
    <row r="695">
      <c r="A695" s="10">
        <f>IF(INDEX(lst_Jobs,682)="","",INDEX(lst_Jobs,682)&amp;"")</f>
        <v/>
      </c>
      <c r="B695" s="10">
        <f>IF(A695="","",INDEX(lst_JobName,682)&amp;"")</f>
        <v/>
      </c>
      <c r="C695" s="11">
        <f>IF(A695="","",SUMIFS(tbl_WIP[Amount],tbl_WIP[Job Number],A695,tbl_WIP[Month],"&lt;"&amp;$C$4))</f>
        <v/>
      </c>
      <c r="D695" s="11">
        <f>IF(A695="","",SUMIFS(tbl_WIP[Amount],tbl_WIP[Job Number],A695,tbl_WIP[Month],$C$4))</f>
        <v/>
      </c>
      <c r="E695" s="11">
        <f>IF(A695="","",C695+D695)</f>
        <v/>
      </c>
      <c r="F695" s="10">
        <f>IF(A695="","",IF(AND(ROUND(C695,2)=0,ROUND(D695,2)=0),"","yes"))</f>
        <v/>
      </c>
      <c r="G695" s="39" t="n"/>
      <c r="H695" s="11">
        <f>IF(OR(A695="",G695=""),"",E695-G695)</f>
        <v/>
      </c>
    </row>
    <row r="696">
      <c r="A696" s="10">
        <f>IF(INDEX(lst_Jobs,683)="","",INDEX(lst_Jobs,683)&amp;"")</f>
        <v/>
      </c>
      <c r="B696" s="10">
        <f>IF(A696="","",INDEX(lst_JobName,683)&amp;"")</f>
        <v/>
      </c>
      <c r="C696" s="11">
        <f>IF(A696="","",SUMIFS(tbl_WIP[Amount],tbl_WIP[Job Number],A696,tbl_WIP[Month],"&lt;"&amp;$C$4))</f>
        <v/>
      </c>
      <c r="D696" s="11">
        <f>IF(A696="","",SUMIFS(tbl_WIP[Amount],tbl_WIP[Job Number],A696,tbl_WIP[Month],$C$4))</f>
        <v/>
      </c>
      <c r="E696" s="11">
        <f>IF(A696="","",C696+D696)</f>
        <v/>
      </c>
      <c r="F696" s="10">
        <f>IF(A696="","",IF(AND(ROUND(C696,2)=0,ROUND(D696,2)=0),"","yes"))</f>
        <v/>
      </c>
      <c r="G696" s="39" t="n"/>
      <c r="H696" s="11">
        <f>IF(OR(A696="",G696=""),"",E696-G696)</f>
        <v/>
      </c>
    </row>
    <row r="697">
      <c r="A697" s="10">
        <f>IF(INDEX(lst_Jobs,684)="","",INDEX(lst_Jobs,684)&amp;"")</f>
        <v/>
      </c>
      <c r="B697" s="10">
        <f>IF(A697="","",INDEX(lst_JobName,684)&amp;"")</f>
        <v/>
      </c>
      <c r="C697" s="11">
        <f>IF(A697="","",SUMIFS(tbl_WIP[Amount],tbl_WIP[Job Number],A697,tbl_WIP[Month],"&lt;"&amp;$C$4))</f>
        <v/>
      </c>
      <c r="D697" s="11">
        <f>IF(A697="","",SUMIFS(tbl_WIP[Amount],tbl_WIP[Job Number],A697,tbl_WIP[Month],$C$4))</f>
        <v/>
      </c>
      <c r="E697" s="11">
        <f>IF(A697="","",C697+D697)</f>
        <v/>
      </c>
      <c r="F697" s="10">
        <f>IF(A697="","",IF(AND(ROUND(C697,2)=0,ROUND(D697,2)=0),"","yes"))</f>
        <v/>
      </c>
      <c r="G697" s="39" t="n"/>
      <c r="H697" s="11">
        <f>IF(OR(A697="",G697=""),"",E697-G697)</f>
        <v/>
      </c>
    </row>
    <row r="698">
      <c r="A698" s="10">
        <f>IF(INDEX(lst_Jobs,685)="","",INDEX(lst_Jobs,685)&amp;"")</f>
        <v/>
      </c>
      <c r="B698" s="10">
        <f>IF(A698="","",INDEX(lst_JobName,685)&amp;"")</f>
        <v/>
      </c>
      <c r="C698" s="11">
        <f>IF(A698="","",SUMIFS(tbl_WIP[Amount],tbl_WIP[Job Number],A698,tbl_WIP[Month],"&lt;"&amp;$C$4))</f>
        <v/>
      </c>
      <c r="D698" s="11">
        <f>IF(A698="","",SUMIFS(tbl_WIP[Amount],tbl_WIP[Job Number],A698,tbl_WIP[Month],$C$4))</f>
        <v/>
      </c>
      <c r="E698" s="11">
        <f>IF(A698="","",C698+D698)</f>
        <v/>
      </c>
      <c r="F698" s="10">
        <f>IF(A698="","",IF(AND(ROUND(C698,2)=0,ROUND(D698,2)=0),"","yes"))</f>
        <v/>
      </c>
      <c r="G698" s="39" t="n"/>
      <c r="H698" s="11">
        <f>IF(OR(A698="",G698=""),"",E698-G698)</f>
        <v/>
      </c>
    </row>
    <row r="699">
      <c r="A699" s="10">
        <f>IF(INDEX(lst_Jobs,686)="","",INDEX(lst_Jobs,686)&amp;"")</f>
        <v/>
      </c>
      <c r="B699" s="10">
        <f>IF(A699="","",INDEX(lst_JobName,686)&amp;"")</f>
        <v/>
      </c>
      <c r="C699" s="11">
        <f>IF(A699="","",SUMIFS(tbl_WIP[Amount],tbl_WIP[Job Number],A699,tbl_WIP[Month],"&lt;"&amp;$C$4))</f>
        <v/>
      </c>
      <c r="D699" s="11">
        <f>IF(A699="","",SUMIFS(tbl_WIP[Amount],tbl_WIP[Job Number],A699,tbl_WIP[Month],$C$4))</f>
        <v/>
      </c>
      <c r="E699" s="11">
        <f>IF(A699="","",C699+D699)</f>
        <v/>
      </c>
      <c r="F699" s="10">
        <f>IF(A699="","",IF(AND(ROUND(C699,2)=0,ROUND(D699,2)=0),"","yes"))</f>
        <v/>
      </c>
      <c r="G699" s="39" t="n"/>
      <c r="H699" s="11">
        <f>IF(OR(A699="",G699=""),"",E699-G699)</f>
        <v/>
      </c>
    </row>
    <row r="700">
      <c r="A700" s="10">
        <f>IF(INDEX(lst_Jobs,687)="","",INDEX(lst_Jobs,687)&amp;"")</f>
        <v/>
      </c>
      <c r="B700" s="10">
        <f>IF(A700="","",INDEX(lst_JobName,687)&amp;"")</f>
        <v/>
      </c>
      <c r="C700" s="11">
        <f>IF(A700="","",SUMIFS(tbl_WIP[Amount],tbl_WIP[Job Number],A700,tbl_WIP[Month],"&lt;"&amp;$C$4))</f>
        <v/>
      </c>
      <c r="D700" s="11">
        <f>IF(A700="","",SUMIFS(tbl_WIP[Amount],tbl_WIP[Job Number],A700,tbl_WIP[Month],$C$4))</f>
        <v/>
      </c>
      <c r="E700" s="11">
        <f>IF(A700="","",C700+D700)</f>
        <v/>
      </c>
      <c r="F700" s="10">
        <f>IF(A700="","",IF(AND(ROUND(C700,2)=0,ROUND(D700,2)=0),"","yes"))</f>
        <v/>
      </c>
      <c r="G700" s="39" t="n"/>
      <c r="H700" s="11">
        <f>IF(OR(A700="",G700=""),"",E700-G700)</f>
        <v/>
      </c>
    </row>
    <row r="701">
      <c r="A701" s="10">
        <f>IF(INDEX(lst_Jobs,688)="","",INDEX(lst_Jobs,688)&amp;"")</f>
        <v/>
      </c>
      <c r="B701" s="10">
        <f>IF(A701="","",INDEX(lst_JobName,688)&amp;"")</f>
        <v/>
      </c>
      <c r="C701" s="11">
        <f>IF(A701="","",SUMIFS(tbl_WIP[Amount],tbl_WIP[Job Number],A701,tbl_WIP[Month],"&lt;"&amp;$C$4))</f>
        <v/>
      </c>
      <c r="D701" s="11">
        <f>IF(A701="","",SUMIFS(tbl_WIP[Amount],tbl_WIP[Job Number],A701,tbl_WIP[Month],$C$4))</f>
        <v/>
      </c>
      <c r="E701" s="11">
        <f>IF(A701="","",C701+D701)</f>
        <v/>
      </c>
      <c r="F701" s="10">
        <f>IF(A701="","",IF(AND(ROUND(C701,2)=0,ROUND(D701,2)=0),"","yes"))</f>
        <v/>
      </c>
      <c r="G701" s="39" t="n"/>
      <c r="H701" s="11">
        <f>IF(OR(A701="",G701=""),"",E701-G701)</f>
        <v/>
      </c>
    </row>
    <row r="702">
      <c r="A702" s="10">
        <f>IF(INDEX(lst_Jobs,689)="","",INDEX(lst_Jobs,689)&amp;"")</f>
        <v/>
      </c>
      <c r="B702" s="10">
        <f>IF(A702="","",INDEX(lst_JobName,689)&amp;"")</f>
        <v/>
      </c>
      <c r="C702" s="11">
        <f>IF(A702="","",SUMIFS(tbl_WIP[Amount],tbl_WIP[Job Number],A702,tbl_WIP[Month],"&lt;"&amp;$C$4))</f>
        <v/>
      </c>
      <c r="D702" s="11">
        <f>IF(A702="","",SUMIFS(tbl_WIP[Amount],tbl_WIP[Job Number],A702,tbl_WIP[Month],$C$4))</f>
        <v/>
      </c>
      <c r="E702" s="11">
        <f>IF(A702="","",C702+D702)</f>
        <v/>
      </c>
      <c r="F702" s="10">
        <f>IF(A702="","",IF(AND(ROUND(C702,2)=0,ROUND(D702,2)=0),"","yes"))</f>
        <v/>
      </c>
      <c r="G702" s="39" t="n"/>
      <c r="H702" s="11">
        <f>IF(OR(A702="",G702=""),"",E702-G702)</f>
        <v/>
      </c>
    </row>
    <row r="703">
      <c r="A703" s="10">
        <f>IF(INDEX(lst_Jobs,690)="","",INDEX(lst_Jobs,690)&amp;"")</f>
        <v/>
      </c>
      <c r="B703" s="10">
        <f>IF(A703="","",INDEX(lst_JobName,690)&amp;"")</f>
        <v/>
      </c>
      <c r="C703" s="11">
        <f>IF(A703="","",SUMIFS(tbl_WIP[Amount],tbl_WIP[Job Number],A703,tbl_WIP[Month],"&lt;"&amp;$C$4))</f>
        <v/>
      </c>
      <c r="D703" s="11">
        <f>IF(A703="","",SUMIFS(tbl_WIP[Amount],tbl_WIP[Job Number],A703,tbl_WIP[Month],$C$4))</f>
        <v/>
      </c>
      <c r="E703" s="11">
        <f>IF(A703="","",C703+D703)</f>
        <v/>
      </c>
      <c r="F703" s="10">
        <f>IF(A703="","",IF(AND(ROUND(C703,2)=0,ROUND(D703,2)=0),"","yes"))</f>
        <v/>
      </c>
      <c r="G703" s="39" t="n"/>
      <c r="H703" s="11">
        <f>IF(OR(A703="",G703=""),"",E703-G703)</f>
        <v/>
      </c>
    </row>
    <row r="704">
      <c r="A704" s="10">
        <f>IF(INDEX(lst_Jobs,691)="","",INDEX(lst_Jobs,691)&amp;"")</f>
        <v/>
      </c>
      <c r="B704" s="10">
        <f>IF(A704="","",INDEX(lst_JobName,691)&amp;"")</f>
        <v/>
      </c>
      <c r="C704" s="11">
        <f>IF(A704="","",SUMIFS(tbl_WIP[Amount],tbl_WIP[Job Number],A704,tbl_WIP[Month],"&lt;"&amp;$C$4))</f>
        <v/>
      </c>
      <c r="D704" s="11">
        <f>IF(A704="","",SUMIFS(tbl_WIP[Amount],tbl_WIP[Job Number],A704,tbl_WIP[Month],$C$4))</f>
        <v/>
      </c>
      <c r="E704" s="11">
        <f>IF(A704="","",C704+D704)</f>
        <v/>
      </c>
      <c r="F704" s="10">
        <f>IF(A704="","",IF(AND(ROUND(C704,2)=0,ROUND(D704,2)=0),"","yes"))</f>
        <v/>
      </c>
      <c r="G704" s="39" t="n"/>
      <c r="H704" s="11">
        <f>IF(OR(A704="",G704=""),"",E704-G704)</f>
        <v/>
      </c>
    </row>
    <row r="705">
      <c r="A705" s="10">
        <f>IF(INDEX(lst_Jobs,692)="","",INDEX(lst_Jobs,692)&amp;"")</f>
        <v/>
      </c>
      <c r="B705" s="10">
        <f>IF(A705="","",INDEX(lst_JobName,692)&amp;"")</f>
        <v/>
      </c>
      <c r="C705" s="11">
        <f>IF(A705="","",SUMIFS(tbl_WIP[Amount],tbl_WIP[Job Number],A705,tbl_WIP[Month],"&lt;"&amp;$C$4))</f>
        <v/>
      </c>
      <c r="D705" s="11">
        <f>IF(A705="","",SUMIFS(tbl_WIP[Amount],tbl_WIP[Job Number],A705,tbl_WIP[Month],$C$4))</f>
        <v/>
      </c>
      <c r="E705" s="11">
        <f>IF(A705="","",C705+D705)</f>
        <v/>
      </c>
      <c r="F705" s="10">
        <f>IF(A705="","",IF(AND(ROUND(C705,2)=0,ROUND(D705,2)=0),"","yes"))</f>
        <v/>
      </c>
      <c r="G705" s="39" t="n"/>
      <c r="H705" s="11">
        <f>IF(OR(A705="",G705=""),"",E705-G705)</f>
        <v/>
      </c>
    </row>
    <row r="706">
      <c r="A706" s="10">
        <f>IF(INDEX(lst_Jobs,693)="","",INDEX(lst_Jobs,693)&amp;"")</f>
        <v/>
      </c>
      <c r="B706" s="10">
        <f>IF(A706="","",INDEX(lst_JobName,693)&amp;"")</f>
        <v/>
      </c>
      <c r="C706" s="11">
        <f>IF(A706="","",SUMIFS(tbl_WIP[Amount],tbl_WIP[Job Number],A706,tbl_WIP[Month],"&lt;"&amp;$C$4))</f>
        <v/>
      </c>
      <c r="D706" s="11">
        <f>IF(A706="","",SUMIFS(tbl_WIP[Amount],tbl_WIP[Job Number],A706,tbl_WIP[Month],$C$4))</f>
        <v/>
      </c>
      <c r="E706" s="11">
        <f>IF(A706="","",C706+D706)</f>
        <v/>
      </c>
      <c r="F706" s="10">
        <f>IF(A706="","",IF(AND(ROUND(C706,2)=0,ROUND(D706,2)=0),"","yes"))</f>
        <v/>
      </c>
      <c r="G706" s="39" t="n"/>
      <c r="H706" s="11">
        <f>IF(OR(A706="",G706=""),"",E706-G706)</f>
        <v/>
      </c>
    </row>
    <row r="707">
      <c r="A707" s="10">
        <f>IF(INDEX(lst_Jobs,694)="","",INDEX(lst_Jobs,694)&amp;"")</f>
        <v/>
      </c>
      <c r="B707" s="10">
        <f>IF(A707="","",INDEX(lst_JobName,694)&amp;"")</f>
        <v/>
      </c>
      <c r="C707" s="11">
        <f>IF(A707="","",SUMIFS(tbl_WIP[Amount],tbl_WIP[Job Number],A707,tbl_WIP[Month],"&lt;"&amp;$C$4))</f>
        <v/>
      </c>
      <c r="D707" s="11">
        <f>IF(A707="","",SUMIFS(tbl_WIP[Amount],tbl_WIP[Job Number],A707,tbl_WIP[Month],$C$4))</f>
        <v/>
      </c>
      <c r="E707" s="11">
        <f>IF(A707="","",C707+D707)</f>
        <v/>
      </c>
      <c r="F707" s="10">
        <f>IF(A707="","",IF(AND(ROUND(C707,2)=0,ROUND(D707,2)=0),"","yes"))</f>
        <v/>
      </c>
      <c r="G707" s="39" t="n"/>
      <c r="H707" s="11">
        <f>IF(OR(A707="",G707=""),"",E707-G707)</f>
        <v/>
      </c>
    </row>
    <row r="708">
      <c r="A708" s="10">
        <f>IF(INDEX(lst_Jobs,695)="","",INDEX(lst_Jobs,695)&amp;"")</f>
        <v/>
      </c>
      <c r="B708" s="10">
        <f>IF(A708="","",INDEX(lst_JobName,695)&amp;"")</f>
        <v/>
      </c>
      <c r="C708" s="11">
        <f>IF(A708="","",SUMIFS(tbl_WIP[Amount],tbl_WIP[Job Number],A708,tbl_WIP[Month],"&lt;"&amp;$C$4))</f>
        <v/>
      </c>
      <c r="D708" s="11">
        <f>IF(A708="","",SUMIFS(tbl_WIP[Amount],tbl_WIP[Job Number],A708,tbl_WIP[Month],$C$4))</f>
        <v/>
      </c>
      <c r="E708" s="11">
        <f>IF(A708="","",C708+D708)</f>
        <v/>
      </c>
      <c r="F708" s="10">
        <f>IF(A708="","",IF(AND(ROUND(C708,2)=0,ROUND(D708,2)=0),"","yes"))</f>
        <v/>
      </c>
      <c r="G708" s="39" t="n"/>
      <c r="H708" s="11">
        <f>IF(OR(A708="",G708=""),"",E708-G708)</f>
        <v/>
      </c>
    </row>
    <row r="709">
      <c r="A709" s="10">
        <f>IF(INDEX(lst_Jobs,696)="","",INDEX(lst_Jobs,696)&amp;"")</f>
        <v/>
      </c>
      <c r="B709" s="10">
        <f>IF(A709="","",INDEX(lst_JobName,696)&amp;"")</f>
        <v/>
      </c>
      <c r="C709" s="11">
        <f>IF(A709="","",SUMIFS(tbl_WIP[Amount],tbl_WIP[Job Number],A709,tbl_WIP[Month],"&lt;"&amp;$C$4))</f>
        <v/>
      </c>
      <c r="D709" s="11">
        <f>IF(A709="","",SUMIFS(tbl_WIP[Amount],tbl_WIP[Job Number],A709,tbl_WIP[Month],$C$4))</f>
        <v/>
      </c>
      <c r="E709" s="11">
        <f>IF(A709="","",C709+D709)</f>
        <v/>
      </c>
      <c r="F709" s="10">
        <f>IF(A709="","",IF(AND(ROUND(C709,2)=0,ROUND(D709,2)=0),"","yes"))</f>
        <v/>
      </c>
      <c r="G709" s="39" t="n"/>
      <c r="H709" s="11">
        <f>IF(OR(A709="",G709=""),"",E709-G709)</f>
        <v/>
      </c>
    </row>
    <row r="710">
      <c r="A710" s="10">
        <f>IF(INDEX(lst_Jobs,697)="","",INDEX(lst_Jobs,697)&amp;"")</f>
        <v/>
      </c>
      <c r="B710" s="10">
        <f>IF(A710="","",INDEX(lst_JobName,697)&amp;"")</f>
        <v/>
      </c>
      <c r="C710" s="11">
        <f>IF(A710="","",SUMIFS(tbl_WIP[Amount],tbl_WIP[Job Number],A710,tbl_WIP[Month],"&lt;"&amp;$C$4))</f>
        <v/>
      </c>
      <c r="D710" s="11">
        <f>IF(A710="","",SUMIFS(tbl_WIP[Amount],tbl_WIP[Job Number],A710,tbl_WIP[Month],$C$4))</f>
        <v/>
      </c>
      <c r="E710" s="11">
        <f>IF(A710="","",C710+D710)</f>
        <v/>
      </c>
      <c r="F710" s="10">
        <f>IF(A710="","",IF(AND(ROUND(C710,2)=0,ROUND(D710,2)=0),"","yes"))</f>
        <v/>
      </c>
      <c r="G710" s="39" t="n"/>
      <c r="H710" s="11">
        <f>IF(OR(A710="",G710=""),"",E710-G710)</f>
        <v/>
      </c>
    </row>
    <row r="711">
      <c r="A711" s="10">
        <f>IF(INDEX(lst_Jobs,698)="","",INDEX(lst_Jobs,698)&amp;"")</f>
        <v/>
      </c>
      <c r="B711" s="10">
        <f>IF(A711="","",INDEX(lst_JobName,698)&amp;"")</f>
        <v/>
      </c>
      <c r="C711" s="11">
        <f>IF(A711="","",SUMIFS(tbl_WIP[Amount],tbl_WIP[Job Number],A711,tbl_WIP[Month],"&lt;"&amp;$C$4))</f>
        <v/>
      </c>
      <c r="D711" s="11">
        <f>IF(A711="","",SUMIFS(tbl_WIP[Amount],tbl_WIP[Job Number],A711,tbl_WIP[Month],$C$4))</f>
        <v/>
      </c>
      <c r="E711" s="11">
        <f>IF(A711="","",C711+D711)</f>
        <v/>
      </c>
      <c r="F711" s="10">
        <f>IF(A711="","",IF(AND(ROUND(C711,2)=0,ROUND(D711,2)=0),"","yes"))</f>
        <v/>
      </c>
      <c r="G711" s="39" t="n"/>
      <c r="H711" s="11">
        <f>IF(OR(A711="",G711=""),"",E711-G711)</f>
        <v/>
      </c>
    </row>
    <row r="712">
      <c r="A712" s="10">
        <f>IF(INDEX(lst_Jobs,699)="","",INDEX(lst_Jobs,699)&amp;"")</f>
        <v/>
      </c>
      <c r="B712" s="10">
        <f>IF(A712="","",INDEX(lst_JobName,699)&amp;"")</f>
        <v/>
      </c>
      <c r="C712" s="11">
        <f>IF(A712="","",SUMIFS(tbl_WIP[Amount],tbl_WIP[Job Number],A712,tbl_WIP[Month],"&lt;"&amp;$C$4))</f>
        <v/>
      </c>
      <c r="D712" s="11">
        <f>IF(A712="","",SUMIFS(tbl_WIP[Amount],tbl_WIP[Job Number],A712,tbl_WIP[Month],$C$4))</f>
        <v/>
      </c>
      <c r="E712" s="11">
        <f>IF(A712="","",C712+D712)</f>
        <v/>
      </c>
      <c r="F712" s="10">
        <f>IF(A712="","",IF(AND(ROUND(C712,2)=0,ROUND(D712,2)=0),"","yes"))</f>
        <v/>
      </c>
      <c r="G712" s="39" t="n"/>
      <c r="H712" s="11">
        <f>IF(OR(A712="",G712=""),"",E712-G712)</f>
        <v/>
      </c>
    </row>
    <row r="713">
      <c r="A713" s="10">
        <f>IF(INDEX(lst_Jobs,700)="","",INDEX(lst_Jobs,700)&amp;"")</f>
        <v/>
      </c>
      <c r="B713" s="10">
        <f>IF(A713="","",INDEX(lst_JobName,700)&amp;"")</f>
        <v/>
      </c>
      <c r="C713" s="11">
        <f>IF(A713="","",SUMIFS(tbl_WIP[Amount],tbl_WIP[Job Number],A713,tbl_WIP[Month],"&lt;"&amp;$C$4))</f>
        <v/>
      </c>
      <c r="D713" s="11">
        <f>IF(A713="","",SUMIFS(tbl_WIP[Amount],tbl_WIP[Job Number],A713,tbl_WIP[Month],$C$4))</f>
        <v/>
      </c>
      <c r="E713" s="11">
        <f>IF(A713="","",C713+D713)</f>
        <v/>
      </c>
      <c r="F713" s="10">
        <f>IF(A713="","",IF(AND(ROUND(C713,2)=0,ROUND(D713,2)=0),"","yes"))</f>
        <v/>
      </c>
      <c r="G713" s="39" t="n"/>
      <c r="H713" s="11">
        <f>IF(OR(A713="",G713=""),"",E713-G713)</f>
        <v/>
      </c>
    </row>
    <row r="714">
      <c r="A714" s="10">
        <f>IF(INDEX(lst_Jobs,701)="","",INDEX(lst_Jobs,701)&amp;"")</f>
        <v/>
      </c>
      <c r="B714" s="10">
        <f>IF(A714="","",INDEX(lst_JobName,701)&amp;"")</f>
        <v/>
      </c>
      <c r="C714" s="11">
        <f>IF(A714="","",SUMIFS(tbl_WIP[Amount],tbl_WIP[Job Number],A714,tbl_WIP[Month],"&lt;"&amp;$C$4))</f>
        <v/>
      </c>
      <c r="D714" s="11">
        <f>IF(A714="","",SUMIFS(tbl_WIP[Amount],tbl_WIP[Job Number],A714,tbl_WIP[Month],$C$4))</f>
        <v/>
      </c>
      <c r="E714" s="11">
        <f>IF(A714="","",C714+D714)</f>
        <v/>
      </c>
      <c r="F714" s="10">
        <f>IF(A714="","",IF(AND(ROUND(C714,2)=0,ROUND(D714,2)=0),"","yes"))</f>
        <v/>
      </c>
      <c r="G714" s="39" t="n"/>
      <c r="H714" s="11">
        <f>IF(OR(A714="",G714=""),"",E714-G714)</f>
        <v/>
      </c>
    </row>
    <row r="715">
      <c r="A715" s="10">
        <f>IF(INDEX(lst_Jobs,702)="","",INDEX(lst_Jobs,702)&amp;"")</f>
        <v/>
      </c>
      <c r="B715" s="10">
        <f>IF(A715="","",INDEX(lst_JobName,702)&amp;"")</f>
        <v/>
      </c>
      <c r="C715" s="11">
        <f>IF(A715="","",SUMIFS(tbl_WIP[Amount],tbl_WIP[Job Number],A715,tbl_WIP[Month],"&lt;"&amp;$C$4))</f>
        <v/>
      </c>
      <c r="D715" s="11">
        <f>IF(A715="","",SUMIFS(tbl_WIP[Amount],tbl_WIP[Job Number],A715,tbl_WIP[Month],$C$4))</f>
        <v/>
      </c>
      <c r="E715" s="11">
        <f>IF(A715="","",C715+D715)</f>
        <v/>
      </c>
      <c r="F715" s="10">
        <f>IF(A715="","",IF(AND(ROUND(C715,2)=0,ROUND(D715,2)=0),"","yes"))</f>
        <v/>
      </c>
      <c r="G715" s="39" t="n"/>
      <c r="H715" s="11">
        <f>IF(OR(A715="",G715=""),"",E715-G715)</f>
        <v/>
      </c>
    </row>
    <row r="716">
      <c r="A716" s="10">
        <f>IF(INDEX(lst_Jobs,703)="","",INDEX(lst_Jobs,703)&amp;"")</f>
        <v/>
      </c>
      <c r="B716" s="10">
        <f>IF(A716="","",INDEX(lst_JobName,703)&amp;"")</f>
        <v/>
      </c>
      <c r="C716" s="11">
        <f>IF(A716="","",SUMIFS(tbl_WIP[Amount],tbl_WIP[Job Number],A716,tbl_WIP[Month],"&lt;"&amp;$C$4))</f>
        <v/>
      </c>
      <c r="D716" s="11">
        <f>IF(A716="","",SUMIFS(tbl_WIP[Amount],tbl_WIP[Job Number],A716,tbl_WIP[Month],$C$4))</f>
        <v/>
      </c>
      <c r="E716" s="11">
        <f>IF(A716="","",C716+D716)</f>
        <v/>
      </c>
      <c r="F716" s="10">
        <f>IF(A716="","",IF(AND(ROUND(C716,2)=0,ROUND(D716,2)=0),"","yes"))</f>
        <v/>
      </c>
      <c r="G716" s="39" t="n"/>
      <c r="H716" s="11">
        <f>IF(OR(A716="",G716=""),"",E716-G716)</f>
        <v/>
      </c>
    </row>
    <row r="717">
      <c r="A717" s="10">
        <f>IF(INDEX(lst_Jobs,704)="","",INDEX(lst_Jobs,704)&amp;"")</f>
        <v/>
      </c>
      <c r="B717" s="10">
        <f>IF(A717="","",INDEX(lst_JobName,704)&amp;"")</f>
        <v/>
      </c>
      <c r="C717" s="11">
        <f>IF(A717="","",SUMIFS(tbl_WIP[Amount],tbl_WIP[Job Number],A717,tbl_WIP[Month],"&lt;"&amp;$C$4))</f>
        <v/>
      </c>
      <c r="D717" s="11">
        <f>IF(A717="","",SUMIFS(tbl_WIP[Amount],tbl_WIP[Job Number],A717,tbl_WIP[Month],$C$4))</f>
        <v/>
      </c>
      <c r="E717" s="11">
        <f>IF(A717="","",C717+D717)</f>
        <v/>
      </c>
      <c r="F717" s="10">
        <f>IF(A717="","",IF(AND(ROUND(C717,2)=0,ROUND(D717,2)=0),"","yes"))</f>
        <v/>
      </c>
      <c r="G717" s="39" t="n"/>
      <c r="H717" s="11">
        <f>IF(OR(A717="",G717=""),"",E717-G717)</f>
        <v/>
      </c>
    </row>
    <row r="718">
      <c r="A718" s="10">
        <f>IF(INDEX(lst_Jobs,705)="","",INDEX(lst_Jobs,705)&amp;"")</f>
        <v/>
      </c>
      <c r="B718" s="10">
        <f>IF(A718="","",INDEX(lst_JobName,705)&amp;"")</f>
        <v/>
      </c>
      <c r="C718" s="11">
        <f>IF(A718="","",SUMIFS(tbl_WIP[Amount],tbl_WIP[Job Number],A718,tbl_WIP[Month],"&lt;"&amp;$C$4))</f>
        <v/>
      </c>
      <c r="D718" s="11">
        <f>IF(A718="","",SUMIFS(tbl_WIP[Amount],tbl_WIP[Job Number],A718,tbl_WIP[Month],$C$4))</f>
        <v/>
      </c>
      <c r="E718" s="11">
        <f>IF(A718="","",C718+D718)</f>
        <v/>
      </c>
      <c r="F718" s="10">
        <f>IF(A718="","",IF(AND(ROUND(C718,2)=0,ROUND(D718,2)=0),"","yes"))</f>
        <v/>
      </c>
      <c r="G718" s="39" t="n"/>
      <c r="H718" s="11">
        <f>IF(OR(A718="",G718=""),"",E718-G718)</f>
        <v/>
      </c>
    </row>
    <row r="719">
      <c r="A719" s="10">
        <f>IF(INDEX(lst_Jobs,706)="","",INDEX(lst_Jobs,706)&amp;"")</f>
        <v/>
      </c>
      <c r="B719" s="10">
        <f>IF(A719="","",INDEX(lst_JobName,706)&amp;"")</f>
        <v/>
      </c>
      <c r="C719" s="11">
        <f>IF(A719="","",SUMIFS(tbl_WIP[Amount],tbl_WIP[Job Number],A719,tbl_WIP[Month],"&lt;"&amp;$C$4))</f>
        <v/>
      </c>
      <c r="D719" s="11">
        <f>IF(A719="","",SUMIFS(tbl_WIP[Amount],tbl_WIP[Job Number],A719,tbl_WIP[Month],$C$4))</f>
        <v/>
      </c>
      <c r="E719" s="11">
        <f>IF(A719="","",C719+D719)</f>
        <v/>
      </c>
      <c r="F719" s="10">
        <f>IF(A719="","",IF(AND(ROUND(C719,2)=0,ROUND(D719,2)=0),"","yes"))</f>
        <v/>
      </c>
      <c r="G719" s="39" t="n"/>
      <c r="H719" s="11">
        <f>IF(OR(A719="",G719=""),"",E719-G719)</f>
        <v/>
      </c>
    </row>
    <row r="720">
      <c r="A720" s="10">
        <f>IF(INDEX(lst_Jobs,707)="","",INDEX(lst_Jobs,707)&amp;"")</f>
        <v/>
      </c>
      <c r="B720" s="10">
        <f>IF(A720="","",INDEX(lst_JobName,707)&amp;"")</f>
        <v/>
      </c>
      <c r="C720" s="11">
        <f>IF(A720="","",SUMIFS(tbl_WIP[Amount],tbl_WIP[Job Number],A720,tbl_WIP[Month],"&lt;"&amp;$C$4))</f>
        <v/>
      </c>
      <c r="D720" s="11">
        <f>IF(A720="","",SUMIFS(tbl_WIP[Amount],tbl_WIP[Job Number],A720,tbl_WIP[Month],$C$4))</f>
        <v/>
      </c>
      <c r="E720" s="11">
        <f>IF(A720="","",C720+D720)</f>
        <v/>
      </c>
      <c r="F720" s="10">
        <f>IF(A720="","",IF(AND(ROUND(C720,2)=0,ROUND(D720,2)=0),"","yes"))</f>
        <v/>
      </c>
      <c r="G720" s="39" t="n"/>
      <c r="H720" s="11">
        <f>IF(OR(A720="",G720=""),"",E720-G720)</f>
        <v/>
      </c>
    </row>
    <row r="721">
      <c r="A721" s="10">
        <f>IF(INDEX(lst_Jobs,708)="","",INDEX(lst_Jobs,708)&amp;"")</f>
        <v/>
      </c>
      <c r="B721" s="10">
        <f>IF(A721="","",INDEX(lst_JobName,708)&amp;"")</f>
        <v/>
      </c>
      <c r="C721" s="11">
        <f>IF(A721="","",SUMIFS(tbl_WIP[Amount],tbl_WIP[Job Number],A721,tbl_WIP[Month],"&lt;"&amp;$C$4))</f>
        <v/>
      </c>
      <c r="D721" s="11">
        <f>IF(A721="","",SUMIFS(tbl_WIP[Amount],tbl_WIP[Job Number],A721,tbl_WIP[Month],$C$4))</f>
        <v/>
      </c>
      <c r="E721" s="11">
        <f>IF(A721="","",C721+D721)</f>
        <v/>
      </c>
      <c r="F721" s="10">
        <f>IF(A721="","",IF(AND(ROUND(C721,2)=0,ROUND(D721,2)=0),"","yes"))</f>
        <v/>
      </c>
      <c r="G721" s="39" t="n"/>
      <c r="H721" s="11">
        <f>IF(OR(A721="",G721=""),"",E721-G721)</f>
        <v/>
      </c>
    </row>
    <row r="722">
      <c r="A722" s="10">
        <f>IF(INDEX(lst_Jobs,709)="","",INDEX(lst_Jobs,709)&amp;"")</f>
        <v/>
      </c>
      <c r="B722" s="10">
        <f>IF(A722="","",INDEX(lst_JobName,709)&amp;"")</f>
        <v/>
      </c>
      <c r="C722" s="11">
        <f>IF(A722="","",SUMIFS(tbl_WIP[Amount],tbl_WIP[Job Number],A722,tbl_WIP[Month],"&lt;"&amp;$C$4))</f>
        <v/>
      </c>
      <c r="D722" s="11">
        <f>IF(A722="","",SUMIFS(tbl_WIP[Amount],tbl_WIP[Job Number],A722,tbl_WIP[Month],$C$4))</f>
        <v/>
      </c>
      <c r="E722" s="11">
        <f>IF(A722="","",C722+D722)</f>
        <v/>
      </c>
      <c r="F722" s="10">
        <f>IF(A722="","",IF(AND(ROUND(C722,2)=0,ROUND(D722,2)=0),"","yes"))</f>
        <v/>
      </c>
      <c r="G722" s="39" t="n"/>
      <c r="H722" s="11">
        <f>IF(OR(A722="",G722=""),"",E722-G722)</f>
        <v/>
      </c>
    </row>
    <row r="723">
      <c r="A723" s="10">
        <f>IF(INDEX(lst_Jobs,710)="","",INDEX(lst_Jobs,710)&amp;"")</f>
        <v/>
      </c>
      <c r="B723" s="10">
        <f>IF(A723="","",INDEX(lst_JobName,710)&amp;"")</f>
        <v/>
      </c>
      <c r="C723" s="11">
        <f>IF(A723="","",SUMIFS(tbl_WIP[Amount],tbl_WIP[Job Number],A723,tbl_WIP[Month],"&lt;"&amp;$C$4))</f>
        <v/>
      </c>
      <c r="D723" s="11">
        <f>IF(A723="","",SUMIFS(tbl_WIP[Amount],tbl_WIP[Job Number],A723,tbl_WIP[Month],$C$4))</f>
        <v/>
      </c>
      <c r="E723" s="11">
        <f>IF(A723="","",C723+D723)</f>
        <v/>
      </c>
      <c r="F723" s="10">
        <f>IF(A723="","",IF(AND(ROUND(C723,2)=0,ROUND(D723,2)=0),"","yes"))</f>
        <v/>
      </c>
      <c r="G723" s="39" t="n"/>
      <c r="H723" s="11">
        <f>IF(OR(A723="",G723=""),"",E723-G723)</f>
        <v/>
      </c>
    </row>
    <row r="724">
      <c r="A724" s="10">
        <f>IF(INDEX(lst_Jobs,711)="","",INDEX(lst_Jobs,711)&amp;"")</f>
        <v/>
      </c>
      <c r="B724" s="10">
        <f>IF(A724="","",INDEX(lst_JobName,711)&amp;"")</f>
        <v/>
      </c>
      <c r="C724" s="11">
        <f>IF(A724="","",SUMIFS(tbl_WIP[Amount],tbl_WIP[Job Number],A724,tbl_WIP[Month],"&lt;"&amp;$C$4))</f>
        <v/>
      </c>
      <c r="D724" s="11">
        <f>IF(A724="","",SUMIFS(tbl_WIP[Amount],tbl_WIP[Job Number],A724,tbl_WIP[Month],$C$4))</f>
        <v/>
      </c>
      <c r="E724" s="11">
        <f>IF(A724="","",C724+D724)</f>
        <v/>
      </c>
      <c r="F724" s="10">
        <f>IF(A724="","",IF(AND(ROUND(C724,2)=0,ROUND(D724,2)=0),"","yes"))</f>
        <v/>
      </c>
      <c r="G724" s="39" t="n"/>
      <c r="H724" s="11">
        <f>IF(OR(A724="",G724=""),"",E724-G724)</f>
        <v/>
      </c>
    </row>
    <row r="725">
      <c r="A725" s="10">
        <f>IF(INDEX(lst_Jobs,712)="","",INDEX(lst_Jobs,712)&amp;"")</f>
        <v/>
      </c>
      <c r="B725" s="10">
        <f>IF(A725="","",INDEX(lst_JobName,712)&amp;"")</f>
        <v/>
      </c>
      <c r="C725" s="11">
        <f>IF(A725="","",SUMIFS(tbl_WIP[Amount],tbl_WIP[Job Number],A725,tbl_WIP[Month],"&lt;"&amp;$C$4))</f>
        <v/>
      </c>
      <c r="D725" s="11">
        <f>IF(A725="","",SUMIFS(tbl_WIP[Amount],tbl_WIP[Job Number],A725,tbl_WIP[Month],$C$4))</f>
        <v/>
      </c>
      <c r="E725" s="11">
        <f>IF(A725="","",C725+D725)</f>
        <v/>
      </c>
      <c r="F725" s="10">
        <f>IF(A725="","",IF(AND(ROUND(C725,2)=0,ROUND(D725,2)=0),"","yes"))</f>
        <v/>
      </c>
      <c r="G725" s="39" t="n"/>
      <c r="H725" s="11">
        <f>IF(OR(A725="",G725=""),"",E725-G725)</f>
        <v/>
      </c>
    </row>
    <row r="726">
      <c r="A726" s="10">
        <f>IF(INDEX(lst_Jobs,713)="","",INDEX(lst_Jobs,713)&amp;"")</f>
        <v/>
      </c>
      <c r="B726" s="10">
        <f>IF(A726="","",INDEX(lst_JobName,713)&amp;"")</f>
        <v/>
      </c>
      <c r="C726" s="11">
        <f>IF(A726="","",SUMIFS(tbl_WIP[Amount],tbl_WIP[Job Number],A726,tbl_WIP[Month],"&lt;"&amp;$C$4))</f>
        <v/>
      </c>
      <c r="D726" s="11">
        <f>IF(A726="","",SUMIFS(tbl_WIP[Amount],tbl_WIP[Job Number],A726,tbl_WIP[Month],$C$4))</f>
        <v/>
      </c>
      <c r="E726" s="11">
        <f>IF(A726="","",C726+D726)</f>
        <v/>
      </c>
      <c r="F726" s="10">
        <f>IF(A726="","",IF(AND(ROUND(C726,2)=0,ROUND(D726,2)=0),"","yes"))</f>
        <v/>
      </c>
      <c r="G726" s="39" t="n"/>
      <c r="H726" s="11">
        <f>IF(OR(A726="",G726=""),"",E726-G726)</f>
        <v/>
      </c>
    </row>
    <row r="727">
      <c r="A727" s="10">
        <f>IF(INDEX(lst_Jobs,714)="","",INDEX(lst_Jobs,714)&amp;"")</f>
        <v/>
      </c>
      <c r="B727" s="10">
        <f>IF(A727="","",INDEX(lst_JobName,714)&amp;"")</f>
        <v/>
      </c>
      <c r="C727" s="11">
        <f>IF(A727="","",SUMIFS(tbl_WIP[Amount],tbl_WIP[Job Number],A727,tbl_WIP[Month],"&lt;"&amp;$C$4))</f>
        <v/>
      </c>
      <c r="D727" s="11">
        <f>IF(A727="","",SUMIFS(tbl_WIP[Amount],tbl_WIP[Job Number],A727,tbl_WIP[Month],$C$4))</f>
        <v/>
      </c>
      <c r="E727" s="11">
        <f>IF(A727="","",C727+D727)</f>
        <v/>
      </c>
      <c r="F727" s="10">
        <f>IF(A727="","",IF(AND(ROUND(C727,2)=0,ROUND(D727,2)=0),"","yes"))</f>
        <v/>
      </c>
      <c r="G727" s="39" t="n"/>
      <c r="H727" s="11">
        <f>IF(OR(A727="",G727=""),"",E727-G727)</f>
        <v/>
      </c>
    </row>
    <row r="728">
      <c r="A728" s="10">
        <f>IF(INDEX(lst_Jobs,715)="","",INDEX(lst_Jobs,715)&amp;"")</f>
        <v/>
      </c>
      <c r="B728" s="10">
        <f>IF(A728="","",INDEX(lst_JobName,715)&amp;"")</f>
        <v/>
      </c>
      <c r="C728" s="11">
        <f>IF(A728="","",SUMIFS(tbl_WIP[Amount],tbl_WIP[Job Number],A728,tbl_WIP[Month],"&lt;"&amp;$C$4))</f>
        <v/>
      </c>
      <c r="D728" s="11">
        <f>IF(A728="","",SUMIFS(tbl_WIP[Amount],tbl_WIP[Job Number],A728,tbl_WIP[Month],$C$4))</f>
        <v/>
      </c>
      <c r="E728" s="11">
        <f>IF(A728="","",C728+D728)</f>
        <v/>
      </c>
      <c r="F728" s="10">
        <f>IF(A728="","",IF(AND(ROUND(C728,2)=0,ROUND(D728,2)=0),"","yes"))</f>
        <v/>
      </c>
      <c r="G728" s="39" t="n"/>
      <c r="H728" s="11">
        <f>IF(OR(A728="",G728=""),"",E728-G728)</f>
        <v/>
      </c>
    </row>
    <row r="729">
      <c r="A729" s="10">
        <f>IF(INDEX(lst_Jobs,716)="","",INDEX(lst_Jobs,716)&amp;"")</f>
        <v/>
      </c>
      <c r="B729" s="10">
        <f>IF(A729="","",INDEX(lst_JobName,716)&amp;"")</f>
        <v/>
      </c>
      <c r="C729" s="11">
        <f>IF(A729="","",SUMIFS(tbl_WIP[Amount],tbl_WIP[Job Number],A729,tbl_WIP[Month],"&lt;"&amp;$C$4))</f>
        <v/>
      </c>
      <c r="D729" s="11">
        <f>IF(A729="","",SUMIFS(tbl_WIP[Amount],tbl_WIP[Job Number],A729,tbl_WIP[Month],$C$4))</f>
        <v/>
      </c>
      <c r="E729" s="11">
        <f>IF(A729="","",C729+D729)</f>
        <v/>
      </c>
      <c r="F729" s="10">
        <f>IF(A729="","",IF(AND(ROUND(C729,2)=0,ROUND(D729,2)=0),"","yes"))</f>
        <v/>
      </c>
      <c r="G729" s="39" t="n"/>
      <c r="H729" s="11">
        <f>IF(OR(A729="",G729=""),"",E729-G729)</f>
        <v/>
      </c>
    </row>
    <row r="730">
      <c r="A730" s="10">
        <f>IF(INDEX(lst_Jobs,717)="","",INDEX(lst_Jobs,717)&amp;"")</f>
        <v/>
      </c>
      <c r="B730" s="10">
        <f>IF(A730="","",INDEX(lst_JobName,717)&amp;"")</f>
        <v/>
      </c>
      <c r="C730" s="11">
        <f>IF(A730="","",SUMIFS(tbl_WIP[Amount],tbl_WIP[Job Number],A730,tbl_WIP[Month],"&lt;"&amp;$C$4))</f>
        <v/>
      </c>
      <c r="D730" s="11">
        <f>IF(A730="","",SUMIFS(tbl_WIP[Amount],tbl_WIP[Job Number],A730,tbl_WIP[Month],$C$4))</f>
        <v/>
      </c>
      <c r="E730" s="11">
        <f>IF(A730="","",C730+D730)</f>
        <v/>
      </c>
      <c r="F730" s="10">
        <f>IF(A730="","",IF(AND(ROUND(C730,2)=0,ROUND(D730,2)=0),"","yes"))</f>
        <v/>
      </c>
      <c r="G730" s="39" t="n"/>
      <c r="H730" s="11">
        <f>IF(OR(A730="",G730=""),"",E730-G730)</f>
        <v/>
      </c>
    </row>
    <row r="731">
      <c r="A731" s="10">
        <f>IF(INDEX(lst_Jobs,718)="","",INDEX(lst_Jobs,718)&amp;"")</f>
        <v/>
      </c>
      <c r="B731" s="10">
        <f>IF(A731="","",INDEX(lst_JobName,718)&amp;"")</f>
        <v/>
      </c>
      <c r="C731" s="11">
        <f>IF(A731="","",SUMIFS(tbl_WIP[Amount],tbl_WIP[Job Number],A731,tbl_WIP[Month],"&lt;"&amp;$C$4))</f>
        <v/>
      </c>
      <c r="D731" s="11">
        <f>IF(A731="","",SUMIFS(tbl_WIP[Amount],tbl_WIP[Job Number],A731,tbl_WIP[Month],$C$4))</f>
        <v/>
      </c>
      <c r="E731" s="11">
        <f>IF(A731="","",C731+D731)</f>
        <v/>
      </c>
      <c r="F731" s="10">
        <f>IF(A731="","",IF(AND(ROUND(C731,2)=0,ROUND(D731,2)=0),"","yes"))</f>
        <v/>
      </c>
      <c r="G731" s="39" t="n"/>
      <c r="H731" s="11">
        <f>IF(OR(A731="",G731=""),"",E731-G731)</f>
        <v/>
      </c>
    </row>
    <row r="732">
      <c r="A732" s="10">
        <f>IF(INDEX(lst_Jobs,719)="","",INDEX(lst_Jobs,719)&amp;"")</f>
        <v/>
      </c>
      <c r="B732" s="10">
        <f>IF(A732="","",INDEX(lst_JobName,719)&amp;"")</f>
        <v/>
      </c>
      <c r="C732" s="11">
        <f>IF(A732="","",SUMIFS(tbl_WIP[Amount],tbl_WIP[Job Number],A732,tbl_WIP[Month],"&lt;"&amp;$C$4))</f>
        <v/>
      </c>
      <c r="D732" s="11">
        <f>IF(A732="","",SUMIFS(tbl_WIP[Amount],tbl_WIP[Job Number],A732,tbl_WIP[Month],$C$4))</f>
        <v/>
      </c>
      <c r="E732" s="11">
        <f>IF(A732="","",C732+D732)</f>
        <v/>
      </c>
      <c r="F732" s="10">
        <f>IF(A732="","",IF(AND(ROUND(C732,2)=0,ROUND(D732,2)=0),"","yes"))</f>
        <v/>
      </c>
      <c r="G732" s="39" t="n"/>
      <c r="H732" s="11">
        <f>IF(OR(A732="",G732=""),"",E732-G732)</f>
        <v/>
      </c>
    </row>
    <row r="733">
      <c r="A733" s="10">
        <f>IF(INDEX(lst_Jobs,720)="","",INDEX(lst_Jobs,720)&amp;"")</f>
        <v/>
      </c>
      <c r="B733" s="10">
        <f>IF(A733="","",INDEX(lst_JobName,720)&amp;"")</f>
        <v/>
      </c>
      <c r="C733" s="11">
        <f>IF(A733="","",SUMIFS(tbl_WIP[Amount],tbl_WIP[Job Number],A733,tbl_WIP[Month],"&lt;"&amp;$C$4))</f>
        <v/>
      </c>
      <c r="D733" s="11">
        <f>IF(A733="","",SUMIFS(tbl_WIP[Amount],tbl_WIP[Job Number],A733,tbl_WIP[Month],$C$4))</f>
        <v/>
      </c>
      <c r="E733" s="11">
        <f>IF(A733="","",C733+D733)</f>
        <v/>
      </c>
      <c r="F733" s="10">
        <f>IF(A733="","",IF(AND(ROUND(C733,2)=0,ROUND(D733,2)=0),"","yes"))</f>
        <v/>
      </c>
      <c r="G733" s="39" t="n"/>
      <c r="H733" s="11">
        <f>IF(OR(A733="",G733=""),"",E733-G733)</f>
        <v/>
      </c>
    </row>
    <row r="734">
      <c r="A734" s="10">
        <f>IF(INDEX(lst_Jobs,721)="","",INDEX(lst_Jobs,721)&amp;"")</f>
        <v/>
      </c>
      <c r="B734" s="10">
        <f>IF(A734="","",INDEX(lst_JobName,721)&amp;"")</f>
        <v/>
      </c>
      <c r="C734" s="11">
        <f>IF(A734="","",SUMIFS(tbl_WIP[Amount],tbl_WIP[Job Number],A734,tbl_WIP[Month],"&lt;"&amp;$C$4))</f>
        <v/>
      </c>
      <c r="D734" s="11">
        <f>IF(A734="","",SUMIFS(tbl_WIP[Amount],tbl_WIP[Job Number],A734,tbl_WIP[Month],$C$4))</f>
        <v/>
      </c>
      <c r="E734" s="11">
        <f>IF(A734="","",C734+D734)</f>
        <v/>
      </c>
      <c r="F734" s="10">
        <f>IF(A734="","",IF(AND(ROUND(C734,2)=0,ROUND(D734,2)=0),"","yes"))</f>
        <v/>
      </c>
      <c r="G734" s="39" t="n"/>
      <c r="H734" s="11">
        <f>IF(OR(A734="",G734=""),"",E734-G734)</f>
        <v/>
      </c>
    </row>
    <row r="735">
      <c r="A735" s="10">
        <f>IF(INDEX(lst_Jobs,722)="","",INDEX(lst_Jobs,722)&amp;"")</f>
        <v/>
      </c>
      <c r="B735" s="10">
        <f>IF(A735="","",INDEX(lst_JobName,722)&amp;"")</f>
        <v/>
      </c>
      <c r="C735" s="11">
        <f>IF(A735="","",SUMIFS(tbl_WIP[Amount],tbl_WIP[Job Number],A735,tbl_WIP[Month],"&lt;"&amp;$C$4))</f>
        <v/>
      </c>
      <c r="D735" s="11">
        <f>IF(A735="","",SUMIFS(tbl_WIP[Amount],tbl_WIP[Job Number],A735,tbl_WIP[Month],$C$4))</f>
        <v/>
      </c>
      <c r="E735" s="11">
        <f>IF(A735="","",C735+D735)</f>
        <v/>
      </c>
      <c r="F735" s="10">
        <f>IF(A735="","",IF(AND(ROUND(C735,2)=0,ROUND(D735,2)=0),"","yes"))</f>
        <v/>
      </c>
      <c r="G735" s="39" t="n"/>
      <c r="H735" s="11">
        <f>IF(OR(A735="",G735=""),"",E735-G735)</f>
        <v/>
      </c>
    </row>
    <row r="736">
      <c r="A736" s="10">
        <f>IF(INDEX(lst_Jobs,723)="","",INDEX(lst_Jobs,723)&amp;"")</f>
        <v/>
      </c>
      <c r="B736" s="10">
        <f>IF(A736="","",INDEX(lst_JobName,723)&amp;"")</f>
        <v/>
      </c>
      <c r="C736" s="11">
        <f>IF(A736="","",SUMIFS(tbl_WIP[Amount],tbl_WIP[Job Number],A736,tbl_WIP[Month],"&lt;"&amp;$C$4))</f>
        <v/>
      </c>
      <c r="D736" s="11">
        <f>IF(A736="","",SUMIFS(tbl_WIP[Amount],tbl_WIP[Job Number],A736,tbl_WIP[Month],$C$4))</f>
        <v/>
      </c>
      <c r="E736" s="11">
        <f>IF(A736="","",C736+D736)</f>
        <v/>
      </c>
      <c r="F736" s="10">
        <f>IF(A736="","",IF(AND(ROUND(C736,2)=0,ROUND(D736,2)=0),"","yes"))</f>
        <v/>
      </c>
      <c r="G736" s="39" t="n"/>
      <c r="H736" s="11">
        <f>IF(OR(A736="",G736=""),"",E736-G736)</f>
        <v/>
      </c>
    </row>
    <row r="737">
      <c r="A737" s="10">
        <f>IF(INDEX(lst_Jobs,724)="","",INDEX(lst_Jobs,724)&amp;"")</f>
        <v/>
      </c>
      <c r="B737" s="10">
        <f>IF(A737="","",INDEX(lst_JobName,724)&amp;"")</f>
        <v/>
      </c>
      <c r="C737" s="11">
        <f>IF(A737="","",SUMIFS(tbl_WIP[Amount],tbl_WIP[Job Number],A737,tbl_WIP[Month],"&lt;"&amp;$C$4))</f>
        <v/>
      </c>
      <c r="D737" s="11">
        <f>IF(A737="","",SUMIFS(tbl_WIP[Amount],tbl_WIP[Job Number],A737,tbl_WIP[Month],$C$4))</f>
        <v/>
      </c>
      <c r="E737" s="11">
        <f>IF(A737="","",C737+D737)</f>
        <v/>
      </c>
      <c r="F737" s="10">
        <f>IF(A737="","",IF(AND(ROUND(C737,2)=0,ROUND(D737,2)=0),"","yes"))</f>
        <v/>
      </c>
      <c r="G737" s="39" t="n"/>
      <c r="H737" s="11">
        <f>IF(OR(A737="",G737=""),"",E737-G737)</f>
        <v/>
      </c>
    </row>
    <row r="738">
      <c r="A738" s="10">
        <f>IF(INDEX(lst_Jobs,725)="","",INDEX(lst_Jobs,725)&amp;"")</f>
        <v/>
      </c>
      <c r="B738" s="10">
        <f>IF(A738="","",INDEX(lst_JobName,725)&amp;"")</f>
        <v/>
      </c>
      <c r="C738" s="11">
        <f>IF(A738="","",SUMIFS(tbl_WIP[Amount],tbl_WIP[Job Number],A738,tbl_WIP[Month],"&lt;"&amp;$C$4))</f>
        <v/>
      </c>
      <c r="D738" s="11">
        <f>IF(A738="","",SUMIFS(tbl_WIP[Amount],tbl_WIP[Job Number],A738,tbl_WIP[Month],$C$4))</f>
        <v/>
      </c>
      <c r="E738" s="11">
        <f>IF(A738="","",C738+D738)</f>
        <v/>
      </c>
      <c r="F738" s="10">
        <f>IF(A738="","",IF(AND(ROUND(C738,2)=0,ROUND(D738,2)=0),"","yes"))</f>
        <v/>
      </c>
      <c r="G738" s="39" t="n"/>
      <c r="H738" s="11">
        <f>IF(OR(A738="",G738=""),"",E738-G738)</f>
        <v/>
      </c>
    </row>
    <row r="739">
      <c r="A739" s="10">
        <f>IF(INDEX(lst_Jobs,726)="","",INDEX(lst_Jobs,726)&amp;"")</f>
        <v/>
      </c>
      <c r="B739" s="10">
        <f>IF(A739="","",INDEX(lst_JobName,726)&amp;"")</f>
        <v/>
      </c>
      <c r="C739" s="11">
        <f>IF(A739="","",SUMIFS(tbl_WIP[Amount],tbl_WIP[Job Number],A739,tbl_WIP[Month],"&lt;"&amp;$C$4))</f>
        <v/>
      </c>
      <c r="D739" s="11">
        <f>IF(A739="","",SUMIFS(tbl_WIP[Amount],tbl_WIP[Job Number],A739,tbl_WIP[Month],$C$4))</f>
        <v/>
      </c>
      <c r="E739" s="11">
        <f>IF(A739="","",C739+D739)</f>
        <v/>
      </c>
      <c r="F739" s="10">
        <f>IF(A739="","",IF(AND(ROUND(C739,2)=0,ROUND(D739,2)=0),"","yes"))</f>
        <v/>
      </c>
      <c r="G739" s="39" t="n"/>
      <c r="H739" s="11">
        <f>IF(OR(A739="",G739=""),"",E739-G739)</f>
        <v/>
      </c>
    </row>
    <row r="740">
      <c r="A740" s="10">
        <f>IF(INDEX(lst_Jobs,727)="","",INDEX(lst_Jobs,727)&amp;"")</f>
        <v/>
      </c>
      <c r="B740" s="10">
        <f>IF(A740="","",INDEX(lst_JobName,727)&amp;"")</f>
        <v/>
      </c>
      <c r="C740" s="11">
        <f>IF(A740="","",SUMIFS(tbl_WIP[Amount],tbl_WIP[Job Number],A740,tbl_WIP[Month],"&lt;"&amp;$C$4))</f>
        <v/>
      </c>
      <c r="D740" s="11">
        <f>IF(A740="","",SUMIFS(tbl_WIP[Amount],tbl_WIP[Job Number],A740,tbl_WIP[Month],$C$4))</f>
        <v/>
      </c>
      <c r="E740" s="11">
        <f>IF(A740="","",C740+D740)</f>
        <v/>
      </c>
      <c r="F740" s="10">
        <f>IF(A740="","",IF(AND(ROUND(C740,2)=0,ROUND(D740,2)=0),"","yes"))</f>
        <v/>
      </c>
      <c r="G740" s="39" t="n"/>
      <c r="H740" s="11">
        <f>IF(OR(A740="",G740=""),"",E740-G740)</f>
        <v/>
      </c>
    </row>
    <row r="741">
      <c r="A741" s="10">
        <f>IF(INDEX(lst_Jobs,728)="","",INDEX(lst_Jobs,728)&amp;"")</f>
        <v/>
      </c>
      <c r="B741" s="10">
        <f>IF(A741="","",INDEX(lst_JobName,728)&amp;"")</f>
        <v/>
      </c>
      <c r="C741" s="11">
        <f>IF(A741="","",SUMIFS(tbl_WIP[Amount],tbl_WIP[Job Number],A741,tbl_WIP[Month],"&lt;"&amp;$C$4))</f>
        <v/>
      </c>
      <c r="D741" s="11">
        <f>IF(A741="","",SUMIFS(tbl_WIP[Amount],tbl_WIP[Job Number],A741,tbl_WIP[Month],$C$4))</f>
        <v/>
      </c>
      <c r="E741" s="11">
        <f>IF(A741="","",C741+D741)</f>
        <v/>
      </c>
      <c r="F741" s="10">
        <f>IF(A741="","",IF(AND(ROUND(C741,2)=0,ROUND(D741,2)=0),"","yes"))</f>
        <v/>
      </c>
      <c r="G741" s="39" t="n"/>
      <c r="H741" s="11">
        <f>IF(OR(A741="",G741=""),"",E741-G741)</f>
        <v/>
      </c>
    </row>
    <row r="742">
      <c r="A742" s="10">
        <f>IF(INDEX(lst_Jobs,729)="","",INDEX(lst_Jobs,729)&amp;"")</f>
        <v/>
      </c>
      <c r="B742" s="10">
        <f>IF(A742="","",INDEX(lst_JobName,729)&amp;"")</f>
        <v/>
      </c>
      <c r="C742" s="11">
        <f>IF(A742="","",SUMIFS(tbl_WIP[Amount],tbl_WIP[Job Number],A742,tbl_WIP[Month],"&lt;"&amp;$C$4))</f>
        <v/>
      </c>
      <c r="D742" s="11">
        <f>IF(A742="","",SUMIFS(tbl_WIP[Amount],tbl_WIP[Job Number],A742,tbl_WIP[Month],$C$4))</f>
        <v/>
      </c>
      <c r="E742" s="11">
        <f>IF(A742="","",C742+D742)</f>
        <v/>
      </c>
      <c r="F742" s="10">
        <f>IF(A742="","",IF(AND(ROUND(C742,2)=0,ROUND(D742,2)=0),"","yes"))</f>
        <v/>
      </c>
      <c r="G742" s="39" t="n"/>
      <c r="H742" s="11">
        <f>IF(OR(A742="",G742=""),"",E742-G742)</f>
        <v/>
      </c>
    </row>
    <row r="743">
      <c r="A743" s="10">
        <f>IF(INDEX(lst_Jobs,730)="","",INDEX(lst_Jobs,730)&amp;"")</f>
        <v/>
      </c>
      <c r="B743" s="10">
        <f>IF(A743="","",INDEX(lst_JobName,730)&amp;"")</f>
        <v/>
      </c>
      <c r="C743" s="11">
        <f>IF(A743="","",SUMIFS(tbl_WIP[Amount],tbl_WIP[Job Number],A743,tbl_WIP[Month],"&lt;"&amp;$C$4))</f>
        <v/>
      </c>
      <c r="D743" s="11">
        <f>IF(A743="","",SUMIFS(tbl_WIP[Amount],tbl_WIP[Job Number],A743,tbl_WIP[Month],$C$4))</f>
        <v/>
      </c>
      <c r="E743" s="11">
        <f>IF(A743="","",C743+D743)</f>
        <v/>
      </c>
      <c r="F743" s="10">
        <f>IF(A743="","",IF(AND(ROUND(C743,2)=0,ROUND(D743,2)=0),"","yes"))</f>
        <v/>
      </c>
      <c r="G743" s="39" t="n"/>
      <c r="H743" s="11">
        <f>IF(OR(A743="",G743=""),"",E743-G743)</f>
        <v/>
      </c>
    </row>
    <row r="744">
      <c r="A744" s="10">
        <f>IF(INDEX(lst_Jobs,731)="","",INDEX(lst_Jobs,731)&amp;"")</f>
        <v/>
      </c>
      <c r="B744" s="10">
        <f>IF(A744="","",INDEX(lst_JobName,731)&amp;"")</f>
        <v/>
      </c>
      <c r="C744" s="11">
        <f>IF(A744="","",SUMIFS(tbl_WIP[Amount],tbl_WIP[Job Number],A744,tbl_WIP[Month],"&lt;"&amp;$C$4))</f>
        <v/>
      </c>
      <c r="D744" s="11">
        <f>IF(A744="","",SUMIFS(tbl_WIP[Amount],tbl_WIP[Job Number],A744,tbl_WIP[Month],$C$4))</f>
        <v/>
      </c>
      <c r="E744" s="11">
        <f>IF(A744="","",C744+D744)</f>
        <v/>
      </c>
      <c r="F744" s="10">
        <f>IF(A744="","",IF(AND(ROUND(C744,2)=0,ROUND(D744,2)=0),"","yes"))</f>
        <v/>
      </c>
      <c r="G744" s="39" t="n"/>
      <c r="H744" s="11">
        <f>IF(OR(A744="",G744=""),"",E744-G744)</f>
        <v/>
      </c>
    </row>
    <row r="745">
      <c r="A745" s="10">
        <f>IF(INDEX(lst_Jobs,732)="","",INDEX(lst_Jobs,732)&amp;"")</f>
        <v/>
      </c>
      <c r="B745" s="10">
        <f>IF(A745="","",INDEX(lst_JobName,732)&amp;"")</f>
        <v/>
      </c>
      <c r="C745" s="11">
        <f>IF(A745="","",SUMIFS(tbl_WIP[Amount],tbl_WIP[Job Number],A745,tbl_WIP[Month],"&lt;"&amp;$C$4))</f>
        <v/>
      </c>
      <c r="D745" s="11">
        <f>IF(A745="","",SUMIFS(tbl_WIP[Amount],tbl_WIP[Job Number],A745,tbl_WIP[Month],$C$4))</f>
        <v/>
      </c>
      <c r="E745" s="11">
        <f>IF(A745="","",C745+D745)</f>
        <v/>
      </c>
      <c r="F745" s="10">
        <f>IF(A745="","",IF(AND(ROUND(C745,2)=0,ROUND(D745,2)=0),"","yes"))</f>
        <v/>
      </c>
      <c r="G745" s="39" t="n"/>
      <c r="H745" s="11">
        <f>IF(OR(A745="",G745=""),"",E745-G745)</f>
        <v/>
      </c>
    </row>
    <row r="746">
      <c r="A746" s="10">
        <f>IF(INDEX(lst_Jobs,733)="","",INDEX(lst_Jobs,733)&amp;"")</f>
        <v/>
      </c>
      <c r="B746" s="10">
        <f>IF(A746="","",INDEX(lst_JobName,733)&amp;"")</f>
        <v/>
      </c>
      <c r="C746" s="11">
        <f>IF(A746="","",SUMIFS(tbl_WIP[Amount],tbl_WIP[Job Number],A746,tbl_WIP[Month],"&lt;"&amp;$C$4))</f>
        <v/>
      </c>
      <c r="D746" s="11">
        <f>IF(A746="","",SUMIFS(tbl_WIP[Amount],tbl_WIP[Job Number],A746,tbl_WIP[Month],$C$4))</f>
        <v/>
      </c>
      <c r="E746" s="11">
        <f>IF(A746="","",C746+D746)</f>
        <v/>
      </c>
      <c r="F746" s="10">
        <f>IF(A746="","",IF(AND(ROUND(C746,2)=0,ROUND(D746,2)=0),"","yes"))</f>
        <v/>
      </c>
      <c r="G746" s="39" t="n"/>
      <c r="H746" s="11">
        <f>IF(OR(A746="",G746=""),"",E746-G746)</f>
        <v/>
      </c>
    </row>
    <row r="747">
      <c r="A747" s="10">
        <f>IF(INDEX(lst_Jobs,734)="","",INDEX(lst_Jobs,734)&amp;"")</f>
        <v/>
      </c>
      <c r="B747" s="10">
        <f>IF(A747="","",INDEX(lst_JobName,734)&amp;"")</f>
        <v/>
      </c>
      <c r="C747" s="11">
        <f>IF(A747="","",SUMIFS(tbl_WIP[Amount],tbl_WIP[Job Number],A747,tbl_WIP[Month],"&lt;"&amp;$C$4))</f>
        <v/>
      </c>
      <c r="D747" s="11">
        <f>IF(A747="","",SUMIFS(tbl_WIP[Amount],tbl_WIP[Job Number],A747,tbl_WIP[Month],$C$4))</f>
        <v/>
      </c>
      <c r="E747" s="11">
        <f>IF(A747="","",C747+D747)</f>
        <v/>
      </c>
      <c r="F747" s="10">
        <f>IF(A747="","",IF(AND(ROUND(C747,2)=0,ROUND(D747,2)=0),"","yes"))</f>
        <v/>
      </c>
      <c r="G747" s="39" t="n"/>
      <c r="H747" s="11">
        <f>IF(OR(A747="",G747=""),"",E747-G747)</f>
        <v/>
      </c>
    </row>
    <row r="748">
      <c r="A748" s="10">
        <f>IF(INDEX(lst_Jobs,735)="","",INDEX(lst_Jobs,735)&amp;"")</f>
        <v/>
      </c>
      <c r="B748" s="10">
        <f>IF(A748="","",INDEX(lst_JobName,735)&amp;"")</f>
        <v/>
      </c>
      <c r="C748" s="11">
        <f>IF(A748="","",SUMIFS(tbl_WIP[Amount],tbl_WIP[Job Number],A748,tbl_WIP[Month],"&lt;"&amp;$C$4))</f>
        <v/>
      </c>
      <c r="D748" s="11">
        <f>IF(A748="","",SUMIFS(tbl_WIP[Amount],tbl_WIP[Job Number],A748,tbl_WIP[Month],$C$4))</f>
        <v/>
      </c>
      <c r="E748" s="11">
        <f>IF(A748="","",C748+D748)</f>
        <v/>
      </c>
      <c r="F748" s="10">
        <f>IF(A748="","",IF(AND(ROUND(C748,2)=0,ROUND(D748,2)=0),"","yes"))</f>
        <v/>
      </c>
      <c r="G748" s="39" t="n"/>
      <c r="H748" s="11">
        <f>IF(OR(A748="",G748=""),"",E748-G748)</f>
        <v/>
      </c>
    </row>
    <row r="749">
      <c r="A749" s="10">
        <f>IF(INDEX(lst_Jobs,736)="","",INDEX(lst_Jobs,736)&amp;"")</f>
        <v/>
      </c>
      <c r="B749" s="10">
        <f>IF(A749="","",INDEX(lst_JobName,736)&amp;"")</f>
        <v/>
      </c>
      <c r="C749" s="11">
        <f>IF(A749="","",SUMIFS(tbl_WIP[Amount],tbl_WIP[Job Number],A749,tbl_WIP[Month],"&lt;"&amp;$C$4))</f>
        <v/>
      </c>
      <c r="D749" s="11">
        <f>IF(A749="","",SUMIFS(tbl_WIP[Amount],tbl_WIP[Job Number],A749,tbl_WIP[Month],$C$4))</f>
        <v/>
      </c>
      <c r="E749" s="11">
        <f>IF(A749="","",C749+D749)</f>
        <v/>
      </c>
      <c r="F749" s="10">
        <f>IF(A749="","",IF(AND(ROUND(C749,2)=0,ROUND(D749,2)=0),"","yes"))</f>
        <v/>
      </c>
      <c r="G749" s="39" t="n"/>
      <c r="H749" s="11">
        <f>IF(OR(A749="",G749=""),"",E749-G749)</f>
        <v/>
      </c>
    </row>
    <row r="750">
      <c r="A750" s="10">
        <f>IF(INDEX(lst_Jobs,737)="","",INDEX(lst_Jobs,737)&amp;"")</f>
        <v/>
      </c>
      <c r="B750" s="10">
        <f>IF(A750="","",INDEX(lst_JobName,737)&amp;"")</f>
        <v/>
      </c>
      <c r="C750" s="11">
        <f>IF(A750="","",SUMIFS(tbl_WIP[Amount],tbl_WIP[Job Number],A750,tbl_WIP[Month],"&lt;"&amp;$C$4))</f>
        <v/>
      </c>
      <c r="D750" s="11">
        <f>IF(A750="","",SUMIFS(tbl_WIP[Amount],tbl_WIP[Job Number],A750,tbl_WIP[Month],$C$4))</f>
        <v/>
      </c>
      <c r="E750" s="11">
        <f>IF(A750="","",C750+D750)</f>
        <v/>
      </c>
      <c r="F750" s="10">
        <f>IF(A750="","",IF(AND(ROUND(C750,2)=0,ROUND(D750,2)=0),"","yes"))</f>
        <v/>
      </c>
      <c r="G750" s="39" t="n"/>
      <c r="H750" s="11">
        <f>IF(OR(A750="",G750=""),"",E750-G750)</f>
        <v/>
      </c>
    </row>
    <row r="751">
      <c r="A751" s="10">
        <f>IF(INDEX(lst_Jobs,738)="","",INDEX(lst_Jobs,738)&amp;"")</f>
        <v/>
      </c>
      <c r="B751" s="10">
        <f>IF(A751="","",INDEX(lst_JobName,738)&amp;"")</f>
        <v/>
      </c>
      <c r="C751" s="11">
        <f>IF(A751="","",SUMIFS(tbl_WIP[Amount],tbl_WIP[Job Number],A751,tbl_WIP[Month],"&lt;"&amp;$C$4))</f>
        <v/>
      </c>
      <c r="D751" s="11">
        <f>IF(A751="","",SUMIFS(tbl_WIP[Amount],tbl_WIP[Job Number],A751,tbl_WIP[Month],$C$4))</f>
        <v/>
      </c>
      <c r="E751" s="11">
        <f>IF(A751="","",C751+D751)</f>
        <v/>
      </c>
      <c r="F751" s="10">
        <f>IF(A751="","",IF(AND(ROUND(C751,2)=0,ROUND(D751,2)=0),"","yes"))</f>
        <v/>
      </c>
      <c r="G751" s="39" t="n"/>
      <c r="H751" s="11">
        <f>IF(OR(A751="",G751=""),"",E751-G751)</f>
        <v/>
      </c>
    </row>
    <row r="752">
      <c r="A752" s="10">
        <f>IF(INDEX(lst_Jobs,739)="","",INDEX(lst_Jobs,739)&amp;"")</f>
        <v/>
      </c>
      <c r="B752" s="10">
        <f>IF(A752="","",INDEX(lst_JobName,739)&amp;"")</f>
        <v/>
      </c>
      <c r="C752" s="11">
        <f>IF(A752="","",SUMIFS(tbl_WIP[Amount],tbl_WIP[Job Number],A752,tbl_WIP[Month],"&lt;"&amp;$C$4))</f>
        <v/>
      </c>
      <c r="D752" s="11">
        <f>IF(A752="","",SUMIFS(tbl_WIP[Amount],tbl_WIP[Job Number],A752,tbl_WIP[Month],$C$4))</f>
        <v/>
      </c>
      <c r="E752" s="11">
        <f>IF(A752="","",C752+D752)</f>
        <v/>
      </c>
      <c r="F752" s="10">
        <f>IF(A752="","",IF(AND(ROUND(C752,2)=0,ROUND(D752,2)=0),"","yes"))</f>
        <v/>
      </c>
      <c r="G752" s="39" t="n"/>
      <c r="H752" s="11">
        <f>IF(OR(A752="",G752=""),"",E752-G752)</f>
        <v/>
      </c>
    </row>
    <row r="753">
      <c r="A753" s="10">
        <f>IF(INDEX(lst_Jobs,740)="","",INDEX(lst_Jobs,740)&amp;"")</f>
        <v/>
      </c>
      <c r="B753" s="10">
        <f>IF(A753="","",INDEX(lst_JobName,740)&amp;"")</f>
        <v/>
      </c>
      <c r="C753" s="11">
        <f>IF(A753="","",SUMIFS(tbl_WIP[Amount],tbl_WIP[Job Number],A753,tbl_WIP[Month],"&lt;"&amp;$C$4))</f>
        <v/>
      </c>
      <c r="D753" s="11">
        <f>IF(A753="","",SUMIFS(tbl_WIP[Amount],tbl_WIP[Job Number],A753,tbl_WIP[Month],$C$4))</f>
        <v/>
      </c>
      <c r="E753" s="11">
        <f>IF(A753="","",C753+D753)</f>
        <v/>
      </c>
      <c r="F753" s="10">
        <f>IF(A753="","",IF(AND(ROUND(C753,2)=0,ROUND(D753,2)=0),"","yes"))</f>
        <v/>
      </c>
      <c r="G753" s="39" t="n"/>
      <c r="H753" s="11">
        <f>IF(OR(A753="",G753=""),"",E753-G753)</f>
        <v/>
      </c>
    </row>
    <row r="754">
      <c r="A754" s="10">
        <f>IF(INDEX(lst_Jobs,741)="","",INDEX(lst_Jobs,741)&amp;"")</f>
        <v/>
      </c>
      <c r="B754" s="10">
        <f>IF(A754="","",INDEX(lst_JobName,741)&amp;"")</f>
        <v/>
      </c>
      <c r="C754" s="11">
        <f>IF(A754="","",SUMIFS(tbl_WIP[Amount],tbl_WIP[Job Number],A754,tbl_WIP[Month],"&lt;"&amp;$C$4))</f>
        <v/>
      </c>
      <c r="D754" s="11">
        <f>IF(A754="","",SUMIFS(tbl_WIP[Amount],tbl_WIP[Job Number],A754,tbl_WIP[Month],$C$4))</f>
        <v/>
      </c>
      <c r="E754" s="11">
        <f>IF(A754="","",C754+D754)</f>
        <v/>
      </c>
      <c r="F754" s="10">
        <f>IF(A754="","",IF(AND(ROUND(C754,2)=0,ROUND(D754,2)=0),"","yes"))</f>
        <v/>
      </c>
      <c r="G754" s="39" t="n"/>
      <c r="H754" s="11">
        <f>IF(OR(A754="",G754=""),"",E754-G754)</f>
        <v/>
      </c>
    </row>
    <row r="755">
      <c r="A755" s="10">
        <f>IF(INDEX(lst_Jobs,742)="","",INDEX(lst_Jobs,742)&amp;"")</f>
        <v/>
      </c>
      <c r="B755" s="10">
        <f>IF(A755="","",INDEX(lst_JobName,742)&amp;"")</f>
        <v/>
      </c>
      <c r="C755" s="11">
        <f>IF(A755="","",SUMIFS(tbl_WIP[Amount],tbl_WIP[Job Number],A755,tbl_WIP[Month],"&lt;"&amp;$C$4))</f>
        <v/>
      </c>
      <c r="D755" s="11">
        <f>IF(A755="","",SUMIFS(tbl_WIP[Amount],tbl_WIP[Job Number],A755,tbl_WIP[Month],$C$4))</f>
        <v/>
      </c>
      <c r="E755" s="11">
        <f>IF(A755="","",C755+D755)</f>
        <v/>
      </c>
      <c r="F755" s="10">
        <f>IF(A755="","",IF(AND(ROUND(C755,2)=0,ROUND(D755,2)=0),"","yes"))</f>
        <v/>
      </c>
      <c r="G755" s="39" t="n"/>
      <c r="H755" s="11">
        <f>IF(OR(A755="",G755=""),"",E755-G755)</f>
        <v/>
      </c>
    </row>
    <row r="756">
      <c r="A756" s="10">
        <f>IF(INDEX(lst_Jobs,743)="","",INDEX(lst_Jobs,743)&amp;"")</f>
        <v/>
      </c>
      <c r="B756" s="10">
        <f>IF(A756="","",INDEX(lst_JobName,743)&amp;"")</f>
        <v/>
      </c>
      <c r="C756" s="11">
        <f>IF(A756="","",SUMIFS(tbl_WIP[Amount],tbl_WIP[Job Number],A756,tbl_WIP[Month],"&lt;"&amp;$C$4))</f>
        <v/>
      </c>
      <c r="D756" s="11">
        <f>IF(A756="","",SUMIFS(tbl_WIP[Amount],tbl_WIP[Job Number],A756,tbl_WIP[Month],$C$4))</f>
        <v/>
      </c>
      <c r="E756" s="11">
        <f>IF(A756="","",C756+D756)</f>
        <v/>
      </c>
      <c r="F756" s="10">
        <f>IF(A756="","",IF(AND(ROUND(C756,2)=0,ROUND(D756,2)=0),"","yes"))</f>
        <v/>
      </c>
      <c r="G756" s="39" t="n"/>
      <c r="H756" s="11">
        <f>IF(OR(A756="",G756=""),"",E756-G756)</f>
        <v/>
      </c>
    </row>
    <row r="757">
      <c r="A757" s="10">
        <f>IF(INDEX(lst_Jobs,744)="","",INDEX(lst_Jobs,744)&amp;"")</f>
        <v/>
      </c>
      <c r="B757" s="10">
        <f>IF(A757="","",INDEX(lst_JobName,744)&amp;"")</f>
        <v/>
      </c>
      <c r="C757" s="11">
        <f>IF(A757="","",SUMIFS(tbl_WIP[Amount],tbl_WIP[Job Number],A757,tbl_WIP[Month],"&lt;"&amp;$C$4))</f>
        <v/>
      </c>
      <c r="D757" s="11">
        <f>IF(A757="","",SUMIFS(tbl_WIP[Amount],tbl_WIP[Job Number],A757,tbl_WIP[Month],$C$4))</f>
        <v/>
      </c>
      <c r="E757" s="11">
        <f>IF(A757="","",C757+D757)</f>
        <v/>
      </c>
      <c r="F757" s="10">
        <f>IF(A757="","",IF(AND(ROUND(C757,2)=0,ROUND(D757,2)=0),"","yes"))</f>
        <v/>
      </c>
      <c r="G757" s="39" t="n"/>
      <c r="H757" s="11">
        <f>IF(OR(A757="",G757=""),"",E757-G757)</f>
        <v/>
      </c>
    </row>
    <row r="758">
      <c r="A758" s="10">
        <f>IF(INDEX(lst_Jobs,745)="","",INDEX(lst_Jobs,745)&amp;"")</f>
        <v/>
      </c>
      <c r="B758" s="10">
        <f>IF(A758="","",INDEX(lst_JobName,745)&amp;"")</f>
        <v/>
      </c>
      <c r="C758" s="11">
        <f>IF(A758="","",SUMIFS(tbl_WIP[Amount],tbl_WIP[Job Number],A758,tbl_WIP[Month],"&lt;"&amp;$C$4))</f>
        <v/>
      </c>
      <c r="D758" s="11">
        <f>IF(A758="","",SUMIFS(tbl_WIP[Amount],tbl_WIP[Job Number],A758,tbl_WIP[Month],$C$4))</f>
        <v/>
      </c>
      <c r="E758" s="11">
        <f>IF(A758="","",C758+D758)</f>
        <v/>
      </c>
      <c r="F758" s="10">
        <f>IF(A758="","",IF(AND(ROUND(C758,2)=0,ROUND(D758,2)=0),"","yes"))</f>
        <v/>
      </c>
      <c r="G758" s="39" t="n"/>
      <c r="H758" s="11">
        <f>IF(OR(A758="",G758=""),"",E758-G758)</f>
        <v/>
      </c>
    </row>
    <row r="759">
      <c r="A759" s="10">
        <f>IF(INDEX(lst_Jobs,746)="","",INDEX(lst_Jobs,746)&amp;"")</f>
        <v/>
      </c>
      <c r="B759" s="10">
        <f>IF(A759="","",INDEX(lst_JobName,746)&amp;"")</f>
        <v/>
      </c>
      <c r="C759" s="11">
        <f>IF(A759="","",SUMIFS(tbl_WIP[Amount],tbl_WIP[Job Number],A759,tbl_WIP[Month],"&lt;"&amp;$C$4))</f>
        <v/>
      </c>
      <c r="D759" s="11">
        <f>IF(A759="","",SUMIFS(tbl_WIP[Amount],tbl_WIP[Job Number],A759,tbl_WIP[Month],$C$4))</f>
        <v/>
      </c>
      <c r="E759" s="11">
        <f>IF(A759="","",C759+D759)</f>
        <v/>
      </c>
      <c r="F759" s="10">
        <f>IF(A759="","",IF(AND(ROUND(C759,2)=0,ROUND(D759,2)=0),"","yes"))</f>
        <v/>
      </c>
      <c r="G759" s="39" t="n"/>
      <c r="H759" s="11">
        <f>IF(OR(A759="",G759=""),"",E759-G759)</f>
        <v/>
      </c>
    </row>
    <row r="760">
      <c r="A760" s="10">
        <f>IF(INDEX(lst_Jobs,747)="","",INDEX(lst_Jobs,747)&amp;"")</f>
        <v/>
      </c>
      <c r="B760" s="10">
        <f>IF(A760="","",INDEX(lst_JobName,747)&amp;"")</f>
        <v/>
      </c>
      <c r="C760" s="11">
        <f>IF(A760="","",SUMIFS(tbl_WIP[Amount],tbl_WIP[Job Number],A760,tbl_WIP[Month],"&lt;"&amp;$C$4))</f>
        <v/>
      </c>
      <c r="D760" s="11">
        <f>IF(A760="","",SUMIFS(tbl_WIP[Amount],tbl_WIP[Job Number],A760,tbl_WIP[Month],$C$4))</f>
        <v/>
      </c>
      <c r="E760" s="11">
        <f>IF(A760="","",C760+D760)</f>
        <v/>
      </c>
      <c r="F760" s="10">
        <f>IF(A760="","",IF(AND(ROUND(C760,2)=0,ROUND(D760,2)=0),"","yes"))</f>
        <v/>
      </c>
      <c r="G760" s="39" t="n"/>
      <c r="H760" s="11">
        <f>IF(OR(A760="",G760=""),"",E760-G760)</f>
        <v/>
      </c>
    </row>
    <row r="761">
      <c r="A761" s="10">
        <f>IF(INDEX(lst_Jobs,748)="","",INDEX(lst_Jobs,748)&amp;"")</f>
        <v/>
      </c>
      <c r="B761" s="10">
        <f>IF(A761="","",INDEX(lst_JobName,748)&amp;"")</f>
        <v/>
      </c>
      <c r="C761" s="11">
        <f>IF(A761="","",SUMIFS(tbl_WIP[Amount],tbl_WIP[Job Number],A761,tbl_WIP[Month],"&lt;"&amp;$C$4))</f>
        <v/>
      </c>
      <c r="D761" s="11">
        <f>IF(A761="","",SUMIFS(tbl_WIP[Amount],tbl_WIP[Job Number],A761,tbl_WIP[Month],$C$4))</f>
        <v/>
      </c>
      <c r="E761" s="11">
        <f>IF(A761="","",C761+D761)</f>
        <v/>
      </c>
      <c r="F761" s="10">
        <f>IF(A761="","",IF(AND(ROUND(C761,2)=0,ROUND(D761,2)=0),"","yes"))</f>
        <v/>
      </c>
      <c r="G761" s="39" t="n"/>
      <c r="H761" s="11">
        <f>IF(OR(A761="",G761=""),"",E761-G761)</f>
        <v/>
      </c>
    </row>
    <row r="762">
      <c r="A762" s="10">
        <f>IF(INDEX(lst_Jobs,749)="","",INDEX(lst_Jobs,749)&amp;"")</f>
        <v/>
      </c>
      <c r="B762" s="10">
        <f>IF(A762="","",INDEX(lst_JobName,749)&amp;"")</f>
        <v/>
      </c>
      <c r="C762" s="11">
        <f>IF(A762="","",SUMIFS(tbl_WIP[Amount],tbl_WIP[Job Number],A762,tbl_WIP[Month],"&lt;"&amp;$C$4))</f>
        <v/>
      </c>
      <c r="D762" s="11">
        <f>IF(A762="","",SUMIFS(tbl_WIP[Amount],tbl_WIP[Job Number],A762,tbl_WIP[Month],$C$4))</f>
        <v/>
      </c>
      <c r="E762" s="11">
        <f>IF(A762="","",C762+D762)</f>
        <v/>
      </c>
      <c r="F762" s="10">
        <f>IF(A762="","",IF(AND(ROUND(C762,2)=0,ROUND(D762,2)=0),"","yes"))</f>
        <v/>
      </c>
      <c r="G762" s="39" t="n"/>
      <c r="H762" s="11">
        <f>IF(OR(A762="",G762=""),"",E762-G762)</f>
        <v/>
      </c>
    </row>
    <row r="763">
      <c r="A763" s="10">
        <f>IF(INDEX(lst_Jobs,750)="","",INDEX(lst_Jobs,750)&amp;"")</f>
        <v/>
      </c>
      <c r="B763" s="10">
        <f>IF(A763="","",INDEX(lst_JobName,750)&amp;"")</f>
        <v/>
      </c>
      <c r="C763" s="11">
        <f>IF(A763="","",SUMIFS(tbl_WIP[Amount],tbl_WIP[Job Number],A763,tbl_WIP[Month],"&lt;"&amp;$C$4))</f>
        <v/>
      </c>
      <c r="D763" s="11">
        <f>IF(A763="","",SUMIFS(tbl_WIP[Amount],tbl_WIP[Job Number],A763,tbl_WIP[Month],$C$4))</f>
        <v/>
      </c>
      <c r="E763" s="11">
        <f>IF(A763="","",C763+D763)</f>
        <v/>
      </c>
      <c r="F763" s="10">
        <f>IF(A763="","",IF(AND(ROUND(C763,2)=0,ROUND(D763,2)=0),"","yes"))</f>
        <v/>
      </c>
      <c r="G763" s="39" t="n"/>
      <c r="H763" s="11">
        <f>IF(OR(A763="",G763=""),"",E763-G763)</f>
        <v/>
      </c>
    </row>
    <row r="764">
      <c r="A764" s="10">
        <f>IF(INDEX(lst_Jobs,751)="","",INDEX(lst_Jobs,751)&amp;"")</f>
        <v/>
      </c>
      <c r="B764" s="10">
        <f>IF(A764="","",INDEX(lst_JobName,751)&amp;"")</f>
        <v/>
      </c>
      <c r="C764" s="11">
        <f>IF(A764="","",SUMIFS(tbl_WIP[Amount],tbl_WIP[Job Number],A764,tbl_WIP[Month],"&lt;"&amp;$C$4))</f>
        <v/>
      </c>
      <c r="D764" s="11">
        <f>IF(A764="","",SUMIFS(tbl_WIP[Amount],tbl_WIP[Job Number],A764,tbl_WIP[Month],$C$4))</f>
        <v/>
      </c>
      <c r="E764" s="11">
        <f>IF(A764="","",C764+D764)</f>
        <v/>
      </c>
      <c r="F764" s="10">
        <f>IF(A764="","",IF(AND(ROUND(C764,2)=0,ROUND(D764,2)=0),"","yes"))</f>
        <v/>
      </c>
      <c r="G764" s="39" t="n"/>
      <c r="H764" s="11">
        <f>IF(OR(A764="",G764=""),"",E764-G764)</f>
        <v/>
      </c>
    </row>
    <row r="765">
      <c r="A765" s="10">
        <f>IF(INDEX(lst_Jobs,752)="","",INDEX(lst_Jobs,752)&amp;"")</f>
        <v/>
      </c>
      <c r="B765" s="10">
        <f>IF(A765="","",INDEX(lst_JobName,752)&amp;"")</f>
        <v/>
      </c>
      <c r="C765" s="11">
        <f>IF(A765="","",SUMIFS(tbl_WIP[Amount],tbl_WIP[Job Number],A765,tbl_WIP[Month],"&lt;"&amp;$C$4))</f>
        <v/>
      </c>
      <c r="D765" s="11">
        <f>IF(A765="","",SUMIFS(tbl_WIP[Amount],tbl_WIP[Job Number],A765,tbl_WIP[Month],$C$4))</f>
        <v/>
      </c>
      <c r="E765" s="11">
        <f>IF(A765="","",C765+D765)</f>
        <v/>
      </c>
      <c r="F765" s="10">
        <f>IF(A765="","",IF(AND(ROUND(C765,2)=0,ROUND(D765,2)=0),"","yes"))</f>
        <v/>
      </c>
      <c r="G765" s="39" t="n"/>
      <c r="H765" s="11">
        <f>IF(OR(A765="",G765=""),"",E765-G765)</f>
        <v/>
      </c>
    </row>
    <row r="766">
      <c r="A766" s="10">
        <f>IF(INDEX(lst_Jobs,753)="","",INDEX(lst_Jobs,753)&amp;"")</f>
        <v/>
      </c>
      <c r="B766" s="10">
        <f>IF(A766="","",INDEX(lst_JobName,753)&amp;"")</f>
        <v/>
      </c>
      <c r="C766" s="11">
        <f>IF(A766="","",SUMIFS(tbl_WIP[Amount],tbl_WIP[Job Number],A766,tbl_WIP[Month],"&lt;"&amp;$C$4))</f>
        <v/>
      </c>
      <c r="D766" s="11">
        <f>IF(A766="","",SUMIFS(tbl_WIP[Amount],tbl_WIP[Job Number],A766,tbl_WIP[Month],$C$4))</f>
        <v/>
      </c>
      <c r="E766" s="11">
        <f>IF(A766="","",C766+D766)</f>
        <v/>
      </c>
      <c r="F766" s="10">
        <f>IF(A766="","",IF(AND(ROUND(C766,2)=0,ROUND(D766,2)=0),"","yes"))</f>
        <v/>
      </c>
      <c r="G766" s="39" t="n"/>
      <c r="H766" s="11">
        <f>IF(OR(A766="",G766=""),"",E766-G766)</f>
        <v/>
      </c>
    </row>
    <row r="767">
      <c r="A767" s="10">
        <f>IF(INDEX(lst_Jobs,754)="","",INDEX(lst_Jobs,754)&amp;"")</f>
        <v/>
      </c>
      <c r="B767" s="10">
        <f>IF(A767="","",INDEX(lst_JobName,754)&amp;"")</f>
        <v/>
      </c>
      <c r="C767" s="11">
        <f>IF(A767="","",SUMIFS(tbl_WIP[Amount],tbl_WIP[Job Number],A767,tbl_WIP[Month],"&lt;"&amp;$C$4))</f>
        <v/>
      </c>
      <c r="D767" s="11">
        <f>IF(A767="","",SUMIFS(tbl_WIP[Amount],tbl_WIP[Job Number],A767,tbl_WIP[Month],$C$4))</f>
        <v/>
      </c>
      <c r="E767" s="11">
        <f>IF(A767="","",C767+D767)</f>
        <v/>
      </c>
      <c r="F767" s="10">
        <f>IF(A767="","",IF(AND(ROUND(C767,2)=0,ROUND(D767,2)=0),"","yes"))</f>
        <v/>
      </c>
      <c r="G767" s="39" t="n"/>
      <c r="H767" s="11">
        <f>IF(OR(A767="",G767=""),"",E767-G767)</f>
        <v/>
      </c>
    </row>
    <row r="768">
      <c r="A768" s="10">
        <f>IF(INDEX(lst_Jobs,755)="","",INDEX(lst_Jobs,755)&amp;"")</f>
        <v/>
      </c>
      <c r="B768" s="10">
        <f>IF(A768="","",INDEX(lst_JobName,755)&amp;"")</f>
        <v/>
      </c>
      <c r="C768" s="11">
        <f>IF(A768="","",SUMIFS(tbl_WIP[Amount],tbl_WIP[Job Number],A768,tbl_WIP[Month],"&lt;"&amp;$C$4))</f>
        <v/>
      </c>
      <c r="D768" s="11">
        <f>IF(A768="","",SUMIFS(tbl_WIP[Amount],tbl_WIP[Job Number],A768,tbl_WIP[Month],$C$4))</f>
        <v/>
      </c>
      <c r="E768" s="11">
        <f>IF(A768="","",C768+D768)</f>
        <v/>
      </c>
      <c r="F768" s="10">
        <f>IF(A768="","",IF(AND(ROUND(C768,2)=0,ROUND(D768,2)=0),"","yes"))</f>
        <v/>
      </c>
      <c r="G768" s="39" t="n"/>
      <c r="H768" s="11">
        <f>IF(OR(A768="",G768=""),"",E768-G768)</f>
        <v/>
      </c>
    </row>
    <row r="769">
      <c r="A769" s="10">
        <f>IF(INDEX(lst_Jobs,756)="","",INDEX(lst_Jobs,756)&amp;"")</f>
        <v/>
      </c>
      <c r="B769" s="10">
        <f>IF(A769="","",INDEX(lst_JobName,756)&amp;"")</f>
        <v/>
      </c>
      <c r="C769" s="11">
        <f>IF(A769="","",SUMIFS(tbl_WIP[Amount],tbl_WIP[Job Number],A769,tbl_WIP[Month],"&lt;"&amp;$C$4))</f>
        <v/>
      </c>
      <c r="D769" s="11">
        <f>IF(A769="","",SUMIFS(tbl_WIP[Amount],tbl_WIP[Job Number],A769,tbl_WIP[Month],$C$4))</f>
        <v/>
      </c>
      <c r="E769" s="11">
        <f>IF(A769="","",C769+D769)</f>
        <v/>
      </c>
      <c r="F769" s="10">
        <f>IF(A769="","",IF(AND(ROUND(C769,2)=0,ROUND(D769,2)=0),"","yes"))</f>
        <v/>
      </c>
      <c r="G769" s="39" t="n"/>
      <c r="H769" s="11">
        <f>IF(OR(A769="",G769=""),"",E769-G769)</f>
        <v/>
      </c>
    </row>
    <row r="770">
      <c r="A770" s="10">
        <f>IF(INDEX(lst_Jobs,757)="","",INDEX(lst_Jobs,757)&amp;"")</f>
        <v/>
      </c>
      <c r="B770" s="10">
        <f>IF(A770="","",INDEX(lst_JobName,757)&amp;"")</f>
        <v/>
      </c>
      <c r="C770" s="11">
        <f>IF(A770="","",SUMIFS(tbl_WIP[Amount],tbl_WIP[Job Number],A770,tbl_WIP[Month],"&lt;"&amp;$C$4))</f>
        <v/>
      </c>
      <c r="D770" s="11">
        <f>IF(A770="","",SUMIFS(tbl_WIP[Amount],tbl_WIP[Job Number],A770,tbl_WIP[Month],$C$4))</f>
        <v/>
      </c>
      <c r="E770" s="11">
        <f>IF(A770="","",C770+D770)</f>
        <v/>
      </c>
      <c r="F770" s="10">
        <f>IF(A770="","",IF(AND(ROUND(C770,2)=0,ROUND(D770,2)=0),"","yes"))</f>
        <v/>
      </c>
      <c r="G770" s="39" t="n"/>
      <c r="H770" s="11">
        <f>IF(OR(A770="",G770=""),"",E770-G770)</f>
        <v/>
      </c>
    </row>
    <row r="771">
      <c r="A771" s="10">
        <f>IF(INDEX(lst_Jobs,758)="","",INDEX(lst_Jobs,758)&amp;"")</f>
        <v/>
      </c>
      <c r="B771" s="10">
        <f>IF(A771="","",INDEX(lst_JobName,758)&amp;"")</f>
        <v/>
      </c>
      <c r="C771" s="11">
        <f>IF(A771="","",SUMIFS(tbl_WIP[Amount],tbl_WIP[Job Number],A771,tbl_WIP[Month],"&lt;"&amp;$C$4))</f>
        <v/>
      </c>
      <c r="D771" s="11">
        <f>IF(A771="","",SUMIFS(tbl_WIP[Amount],tbl_WIP[Job Number],A771,tbl_WIP[Month],$C$4))</f>
        <v/>
      </c>
      <c r="E771" s="11">
        <f>IF(A771="","",C771+D771)</f>
        <v/>
      </c>
      <c r="F771" s="10">
        <f>IF(A771="","",IF(AND(ROUND(C771,2)=0,ROUND(D771,2)=0),"","yes"))</f>
        <v/>
      </c>
      <c r="G771" s="39" t="n"/>
      <c r="H771" s="11">
        <f>IF(OR(A771="",G771=""),"",E771-G771)</f>
        <v/>
      </c>
    </row>
    <row r="772">
      <c r="A772" s="10">
        <f>IF(INDEX(lst_Jobs,759)="","",INDEX(lst_Jobs,759)&amp;"")</f>
        <v/>
      </c>
      <c r="B772" s="10">
        <f>IF(A772="","",INDEX(lst_JobName,759)&amp;"")</f>
        <v/>
      </c>
      <c r="C772" s="11">
        <f>IF(A772="","",SUMIFS(tbl_WIP[Amount],tbl_WIP[Job Number],A772,tbl_WIP[Month],"&lt;"&amp;$C$4))</f>
        <v/>
      </c>
      <c r="D772" s="11">
        <f>IF(A772="","",SUMIFS(tbl_WIP[Amount],tbl_WIP[Job Number],A772,tbl_WIP[Month],$C$4))</f>
        <v/>
      </c>
      <c r="E772" s="11">
        <f>IF(A772="","",C772+D772)</f>
        <v/>
      </c>
      <c r="F772" s="10">
        <f>IF(A772="","",IF(AND(ROUND(C772,2)=0,ROUND(D772,2)=0),"","yes"))</f>
        <v/>
      </c>
      <c r="G772" s="39" t="n"/>
      <c r="H772" s="11">
        <f>IF(OR(A772="",G772=""),"",E772-G772)</f>
        <v/>
      </c>
    </row>
    <row r="773">
      <c r="A773" s="10">
        <f>IF(INDEX(lst_Jobs,760)="","",INDEX(lst_Jobs,760)&amp;"")</f>
        <v/>
      </c>
      <c r="B773" s="10">
        <f>IF(A773="","",INDEX(lst_JobName,760)&amp;"")</f>
        <v/>
      </c>
      <c r="C773" s="11">
        <f>IF(A773="","",SUMIFS(tbl_WIP[Amount],tbl_WIP[Job Number],A773,tbl_WIP[Month],"&lt;"&amp;$C$4))</f>
        <v/>
      </c>
      <c r="D773" s="11">
        <f>IF(A773="","",SUMIFS(tbl_WIP[Amount],tbl_WIP[Job Number],A773,tbl_WIP[Month],$C$4))</f>
        <v/>
      </c>
      <c r="E773" s="11">
        <f>IF(A773="","",C773+D773)</f>
        <v/>
      </c>
      <c r="F773" s="10">
        <f>IF(A773="","",IF(AND(ROUND(C773,2)=0,ROUND(D773,2)=0),"","yes"))</f>
        <v/>
      </c>
      <c r="G773" s="39" t="n"/>
      <c r="H773" s="11">
        <f>IF(OR(A773="",G773=""),"",E773-G773)</f>
        <v/>
      </c>
    </row>
    <row r="774">
      <c r="A774" s="10">
        <f>IF(INDEX(lst_Jobs,761)="","",INDEX(lst_Jobs,761)&amp;"")</f>
        <v/>
      </c>
      <c r="B774" s="10">
        <f>IF(A774="","",INDEX(lst_JobName,761)&amp;"")</f>
        <v/>
      </c>
      <c r="C774" s="11">
        <f>IF(A774="","",SUMIFS(tbl_WIP[Amount],tbl_WIP[Job Number],A774,tbl_WIP[Month],"&lt;"&amp;$C$4))</f>
        <v/>
      </c>
      <c r="D774" s="11">
        <f>IF(A774="","",SUMIFS(tbl_WIP[Amount],tbl_WIP[Job Number],A774,tbl_WIP[Month],$C$4))</f>
        <v/>
      </c>
      <c r="E774" s="11">
        <f>IF(A774="","",C774+D774)</f>
        <v/>
      </c>
      <c r="F774" s="10">
        <f>IF(A774="","",IF(AND(ROUND(C774,2)=0,ROUND(D774,2)=0),"","yes"))</f>
        <v/>
      </c>
      <c r="G774" s="39" t="n"/>
      <c r="H774" s="11">
        <f>IF(OR(A774="",G774=""),"",E774-G774)</f>
        <v/>
      </c>
    </row>
    <row r="775">
      <c r="A775" s="10">
        <f>IF(INDEX(lst_Jobs,762)="","",INDEX(lst_Jobs,762)&amp;"")</f>
        <v/>
      </c>
      <c r="B775" s="10">
        <f>IF(A775="","",INDEX(lst_JobName,762)&amp;"")</f>
        <v/>
      </c>
      <c r="C775" s="11">
        <f>IF(A775="","",SUMIFS(tbl_WIP[Amount],tbl_WIP[Job Number],A775,tbl_WIP[Month],"&lt;"&amp;$C$4))</f>
        <v/>
      </c>
      <c r="D775" s="11">
        <f>IF(A775="","",SUMIFS(tbl_WIP[Amount],tbl_WIP[Job Number],A775,tbl_WIP[Month],$C$4))</f>
        <v/>
      </c>
      <c r="E775" s="11">
        <f>IF(A775="","",C775+D775)</f>
        <v/>
      </c>
      <c r="F775" s="10">
        <f>IF(A775="","",IF(AND(ROUND(C775,2)=0,ROUND(D775,2)=0),"","yes"))</f>
        <v/>
      </c>
      <c r="G775" s="39" t="n"/>
      <c r="H775" s="11">
        <f>IF(OR(A775="",G775=""),"",E775-G775)</f>
        <v/>
      </c>
    </row>
    <row r="776">
      <c r="A776" s="10">
        <f>IF(INDEX(lst_Jobs,763)="","",INDEX(lst_Jobs,763)&amp;"")</f>
        <v/>
      </c>
      <c r="B776" s="10">
        <f>IF(A776="","",INDEX(lst_JobName,763)&amp;"")</f>
        <v/>
      </c>
      <c r="C776" s="11">
        <f>IF(A776="","",SUMIFS(tbl_WIP[Amount],tbl_WIP[Job Number],A776,tbl_WIP[Month],"&lt;"&amp;$C$4))</f>
        <v/>
      </c>
      <c r="D776" s="11">
        <f>IF(A776="","",SUMIFS(tbl_WIP[Amount],tbl_WIP[Job Number],A776,tbl_WIP[Month],$C$4))</f>
        <v/>
      </c>
      <c r="E776" s="11">
        <f>IF(A776="","",C776+D776)</f>
        <v/>
      </c>
      <c r="F776" s="10">
        <f>IF(A776="","",IF(AND(ROUND(C776,2)=0,ROUND(D776,2)=0),"","yes"))</f>
        <v/>
      </c>
      <c r="G776" s="39" t="n"/>
      <c r="H776" s="11">
        <f>IF(OR(A776="",G776=""),"",E776-G776)</f>
        <v/>
      </c>
    </row>
    <row r="777">
      <c r="A777" s="10">
        <f>IF(INDEX(lst_Jobs,764)="","",INDEX(lst_Jobs,764)&amp;"")</f>
        <v/>
      </c>
      <c r="B777" s="10">
        <f>IF(A777="","",INDEX(lst_JobName,764)&amp;"")</f>
        <v/>
      </c>
      <c r="C777" s="11">
        <f>IF(A777="","",SUMIFS(tbl_WIP[Amount],tbl_WIP[Job Number],A777,tbl_WIP[Month],"&lt;"&amp;$C$4))</f>
        <v/>
      </c>
      <c r="D777" s="11">
        <f>IF(A777="","",SUMIFS(tbl_WIP[Amount],tbl_WIP[Job Number],A777,tbl_WIP[Month],$C$4))</f>
        <v/>
      </c>
      <c r="E777" s="11">
        <f>IF(A777="","",C777+D777)</f>
        <v/>
      </c>
      <c r="F777" s="10">
        <f>IF(A777="","",IF(AND(ROUND(C777,2)=0,ROUND(D777,2)=0),"","yes"))</f>
        <v/>
      </c>
      <c r="G777" s="39" t="n"/>
      <c r="H777" s="11">
        <f>IF(OR(A777="",G777=""),"",E777-G777)</f>
        <v/>
      </c>
    </row>
    <row r="778">
      <c r="A778" s="10">
        <f>IF(INDEX(lst_Jobs,765)="","",INDEX(lst_Jobs,765)&amp;"")</f>
        <v/>
      </c>
      <c r="B778" s="10">
        <f>IF(A778="","",INDEX(lst_JobName,765)&amp;"")</f>
        <v/>
      </c>
      <c r="C778" s="11">
        <f>IF(A778="","",SUMIFS(tbl_WIP[Amount],tbl_WIP[Job Number],A778,tbl_WIP[Month],"&lt;"&amp;$C$4))</f>
        <v/>
      </c>
      <c r="D778" s="11">
        <f>IF(A778="","",SUMIFS(tbl_WIP[Amount],tbl_WIP[Job Number],A778,tbl_WIP[Month],$C$4))</f>
        <v/>
      </c>
      <c r="E778" s="11">
        <f>IF(A778="","",C778+D778)</f>
        <v/>
      </c>
      <c r="F778" s="10">
        <f>IF(A778="","",IF(AND(ROUND(C778,2)=0,ROUND(D778,2)=0),"","yes"))</f>
        <v/>
      </c>
      <c r="G778" s="39" t="n"/>
      <c r="H778" s="11">
        <f>IF(OR(A778="",G778=""),"",E778-G778)</f>
        <v/>
      </c>
    </row>
    <row r="779">
      <c r="A779" s="10">
        <f>IF(INDEX(lst_Jobs,766)="","",INDEX(lst_Jobs,766)&amp;"")</f>
        <v/>
      </c>
      <c r="B779" s="10">
        <f>IF(A779="","",INDEX(lst_JobName,766)&amp;"")</f>
        <v/>
      </c>
      <c r="C779" s="11">
        <f>IF(A779="","",SUMIFS(tbl_WIP[Amount],tbl_WIP[Job Number],A779,tbl_WIP[Month],"&lt;"&amp;$C$4))</f>
        <v/>
      </c>
      <c r="D779" s="11">
        <f>IF(A779="","",SUMIFS(tbl_WIP[Amount],tbl_WIP[Job Number],A779,tbl_WIP[Month],$C$4))</f>
        <v/>
      </c>
      <c r="E779" s="11">
        <f>IF(A779="","",C779+D779)</f>
        <v/>
      </c>
      <c r="F779" s="10">
        <f>IF(A779="","",IF(AND(ROUND(C779,2)=0,ROUND(D779,2)=0),"","yes"))</f>
        <v/>
      </c>
      <c r="G779" s="39" t="n"/>
      <c r="H779" s="11">
        <f>IF(OR(A779="",G779=""),"",E779-G779)</f>
        <v/>
      </c>
    </row>
    <row r="780">
      <c r="A780" s="10">
        <f>IF(INDEX(lst_Jobs,767)="","",INDEX(lst_Jobs,767)&amp;"")</f>
        <v/>
      </c>
      <c r="B780" s="10">
        <f>IF(A780="","",INDEX(lst_JobName,767)&amp;"")</f>
        <v/>
      </c>
      <c r="C780" s="11">
        <f>IF(A780="","",SUMIFS(tbl_WIP[Amount],tbl_WIP[Job Number],A780,tbl_WIP[Month],"&lt;"&amp;$C$4))</f>
        <v/>
      </c>
      <c r="D780" s="11">
        <f>IF(A780="","",SUMIFS(tbl_WIP[Amount],tbl_WIP[Job Number],A780,tbl_WIP[Month],$C$4))</f>
        <v/>
      </c>
      <c r="E780" s="11">
        <f>IF(A780="","",C780+D780)</f>
        <v/>
      </c>
      <c r="F780" s="10">
        <f>IF(A780="","",IF(AND(ROUND(C780,2)=0,ROUND(D780,2)=0),"","yes"))</f>
        <v/>
      </c>
      <c r="G780" s="39" t="n"/>
      <c r="H780" s="11">
        <f>IF(OR(A780="",G780=""),"",E780-G780)</f>
        <v/>
      </c>
    </row>
    <row r="781">
      <c r="A781" s="10">
        <f>IF(INDEX(lst_Jobs,768)="","",INDEX(lst_Jobs,768)&amp;"")</f>
        <v/>
      </c>
      <c r="B781" s="10">
        <f>IF(A781="","",INDEX(lst_JobName,768)&amp;"")</f>
        <v/>
      </c>
      <c r="C781" s="11">
        <f>IF(A781="","",SUMIFS(tbl_WIP[Amount],tbl_WIP[Job Number],A781,tbl_WIP[Month],"&lt;"&amp;$C$4))</f>
        <v/>
      </c>
      <c r="D781" s="11">
        <f>IF(A781="","",SUMIFS(tbl_WIP[Amount],tbl_WIP[Job Number],A781,tbl_WIP[Month],$C$4))</f>
        <v/>
      </c>
      <c r="E781" s="11">
        <f>IF(A781="","",C781+D781)</f>
        <v/>
      </c>
      <c r="F781" s="10">
        <f>IF(A781="","",IF(AND(ROUND(C781,2)=0,ROUND(D781,2)=0),"","yes"))</f>
        <v/>
      </c>
      <c r="G781" s="39" t="n"/>
      <c r="H781" s="11">
        <f>IF(OR(A781="",G781=""),"",E781-G781)</f>
        <v/>
      </c>
    </row>
    <row r="782">
      <c r="A782" s="10">
        <f>IF(INDEX(lst_Jobs,769)="","",INDEX(lst_Jobs,769)&amp;"")</f>
        <v/>
      </c>
      <c r="B782" s="10">
        <f>IF(A782="","",INDEX(lst_JobName,769)&amp;"")</f>
        <v/>
      </c>
      <c r="C782" s="11">
        <f>IF(A782="","",SUMIFS(tbl_WIP[Amount],tbl_WIP[Job Number],A782,tbl_WIP[Month],"&lt;"&amp;$C$4))</f>
        <v/>
      </c>
      <c r="D782" s="11">
        <f>IF(A782="","",SUMIFS(tbl_WIP[Amount],tbl_WIP[Job Number],A782,tbl_WIP[Month],$C$4))</f>
        <v/>
      </c>
      <c r="E782" s="11">
        <f>IF(A782="","",C782+D782)</f>
        <v/>
      </c>
      <c r="F782" s="10">
        <f>IF(A782="","",IF(AND(ROUND(C782,2)=0,ROUND(D782,2)=0),"","yes"))</f>
        <v/>
      </c>
      <c r="G782" s="39" t="n"/>
      <c r="H782" s="11">
        <f>IF(OR(A782="",G782=""),"",E782-G782)</f>
        <v/>
      </c>
    </row>
    <row r="783">
      <c r="A783" s="10">
        <f>IF(INDEX(lst_Jobs,770)="","",INDEX(lst_Jobs,770)&amp;"")</f>
        <v/>
      </c>
      <c r="B783" s="10">
        <f>IF(A783="","",INDEX(lst_JobName,770)&amp;"")</f>
        <v/>
      </c>
      <c r="C783" s="11">
        <f>IF(A783="","",SUMIFS(tbl_WIP[Amount],tbl_WIP[Job Number],A783,tbl_WIP[Month],"&lt;"&amp;$C$4))</f>
        <v/>
      </c>
      <c r="D783" s="11">
        <f>IF(A783="","",SUMIFS(tbl_WIP[Amount],tbl_WIP[Job Number],A783,tbl_WIP[Month],$C$4))</f>
        <v/>
      </c>
      <c r="E783" s="11">
        <f>IF(A783="","",C783+D783)</f>
        <v/>
      </c>
      <c r="F783" s="10">
        <f>IF(A783="","",IF(AND(ROUND(C783,2)=0,ROUND(D783,2)=0),"","yes"))</f>
        <v/>
      </c>
      <c r="G783" s="39" t="n"/>
      <c r="H783" s="11">
        <f>IF(OR(A783="",G783=""),"",E783-G783)</f>
        <v/>
      </c>
    </row>
    <row r="784">
      <c r="A784" s="10">
        <f>IF(INDEX(lst_Jobs,771)="","",INDEX(lst_Jobs,771)&amp;"")</f>
        <v/>
      </c>
      <c r="B784" s="10">
        <f>IF(A784="","",INDEX(lst_JobName,771)&amp;"")</f>
        <v/>
      </c>
      <c r="C784" s="11">
        <f>IF(A784="","",SUMIFS(tbl_WIP[Amount],tbl_WIP[Job Number],A784,tbl_WIP[Month],"&lt;"&amp;$C$4))</f>
        <v/>
      </c>
      <c r="D784" s="11">
        <f>IF(A784="","",SUMIFS(tbl_WIP[Amount],tbl_WIP[Job Number],A784,tbl_WIP[Month],$C$4))</f>
        <v/>
      </c>
      <c r="E784" s="11">
        <f>IF(A784="","",C784+D784)</f>
        <v/>
      </c>
      <c r="F784" s="10">
        <f>IF(A784="","",IF(AND(ROUND(C784,2)=0,ROUND(D784,2)=0),"","yes"))</f>
        <v/>
      </c>
      <c r="G784" s="39" t="n"/>
      <c r="H784" s="11">
        <f>IF(OR(A784="",G784=""),"",E784-G784)</f>
        <v/>
      </c>
    </row>
    <row r="785">
      <c r="A785" s="10">
        <f>IF(INDEX(lst_Jobs,772)="","",INDEX(lst_Jobs,772)&amp;"")</f>
        <v/>
      </c>
      <c r="B785" s="10">
        <f>IF(A785="","",INDEX(lst_JobName,772)&amp;"")</f>
        <v/>
      </c>
      <c r="C785" s="11">
        <f>IF(A785="","",SUMIFS(tbl_WIP[Amount],tbl_WIP[Job Number],A785,tbl_WIP[Month],"&lt;"&amp;$C$4))</f>
        <v/>
      </c>
      <c r="D785" s="11">
        <f>IF(A785="","",SUMIFS(tbl_WIP[Amount],tbl_WIP[Job Number],A785,tbl_WIP[Month],$C$4))</f>
        <v/>
      </c>
      <c r="E785" s="11">
        <f>IF(A785="","",C785+D785)</f>
        <v/>
      </c>
      <c r="F785" s="10">
        <f>IF(A785="","",IF(AND(ROUND(C785,2)=0,ROUND(D785,2)=0),"","yes"))</f>
        <v/>
      </c>
      <c r="G785" s="39" t="n"/>
      <c r="H785" s="11">
        <f>IF(OR(A785="",G785=""),"",E785-G785)</f>
        <v/>
      </c>
    </row>
    <row r="786">
      <c r="A786" s="10">
        <f>IF(INDEX(lst_Jobs,773)="","",INDEX(lst_Jobs,773)&amp;"")</f>
        <v/>
      </c>
      <c r="B786" s="10">
        <f>IF(A786="","",INDEX(lst_JobName,773)&amp;"")</f>
        <v/>
      </c>
      <c r="C786" s="11">
        <f>IF(A786="","",SUMIFS(tbl_WIP[Amount],tbl_WIP[Job Number],A786,tbl_WIP[Month],"&lt;"&amp;$C$4))</f>
        <v/>
      </c>
      <c r="D786" s="11">
        <f>IF(A786="","",SUMIFS(tbl_WIP[Amount],tbl_WIP[Job Number],A786,tbl_WIP[Month],$C$4))</f>
        <v/>
      </c>
      <c r="E786" s="11">
        <f>IF(A786="","",C786+D786)</f>
        <v/>
      </c>
      <c r="F786" s="10">
        <f>IF(A786="","",IF(AND(ROUND(C786,2)=0,ROUND(D786,2)=0),"","yes"))</f>
        <v/>
      </c>
      <c r="G786" s="39" t="n"/>
      <c r="H786" s="11">
        <f>IF(OR(A786="",G786=""),"",E786-G786)</f>
        <v/>
      </c>
    </row>
    <row r="787">
      <c r="A787" s="10">
        <f>IF(INDEX(lst_Jobs,774)="","",INDEX(lst_Jobs,774)&amp;"")</f>
        <v/>
      </c>
      <c r="B787" s="10">
        <f>IF(A787="","",INDEX(lst_JobName,774)&amp;"")</f>
        <v/>
      </c>
      <c r="C787" s="11">
        <f>IF(A787="","",SUMIFS(tbl_WIP[Amount],tbl_WIP[Job Number],A787,tbl_WIP[Month],"&lt;"&amp;$C$4))</f>
        <v/>
      </c>
      <c r="D787" s="11">
        <f>IF(A787="","",SUMIFS(tbl_WIP[Amount],tbl_WIP[Job Number],A787,tbl_WIP[Month],$C$4))</f>
        <v/>
      </c>
      <c r="E787" s="11">
        <f>IF(A787="","",C787+D787)</f>
        <v/>
      </c>
      <c r="F787" s="10">
        <f>IF(A787="","",IF(AND(ROUND(C787,2)=0,ROUND(D787,2)=0),"","yes"))</f>
        <v/>
      </c>
      <c r="G787" s="39" t="n"/>
      <c r="H787" s="11">
        <f>IF(OR(A787="",G787=""),"",E787-G787)</f>
        <v/>
      </c>
    </row>
    <row r="788">
      <c r="A788" s="10">
        <f>IF(INDEX(lst_Jobs,775)="","",INDEX(lst_Jobs,775)&amp;"")</f>
        <v/>
      </c>
      <c r="B788" s="10">
        <f>IF(A788="","",INDEX(lst_JobName,775)&amp;"")</f>
        <v/>
      </c>
      <c r="C788" s="11">
        <f>IF(A788="","",SUMIFS(tbl_WIP[Amount],tbl_WIP[Job Number],A788,tbl_WIP[Month],"&lt;"&amp;$C$4))</f>
        <v/>
      </c>
      <c r="D788" s="11">
        <f>IF(A788="","",SUMIFS(tbl_WIP[Amount],tbl_WIP[Job Number],A788,tbl_WIP[Month],$C$4))</f>
        <v/>
      </c>
      <c r="E788" s="11">
        <f>IF(A788="","",C788+D788)</f>
        <v/>
      </c>
      <c r="F788" s="10">
        <f>IF(A788="","",IF(AND(ROUND(C788,2)=0,ROUND(D788,2)=0),"","yes"))</f>
        <v/>
      </c>
      <c r="G788" s="39" t="n"/>
      <c r="H788" s="11">
        <f>IF(OR(A788="",G788=""),"",E788-G788)</f>
        <v/>
      </c>
    </row>
    <row r="789">
      <c r="A789" s="10">
        <f>IF(INDEX(lst_Jobs,776)="","",INDEX(lst_Jobs,776)&amp;"")</f>
        <v/>
      </c>
      <c r="B789" s="10">
        <f>IF(A789="","",INDEX(lst_JobName,776)&amp;"")</f>
        <v/>
      </c>
      <c r="C789" s="11">
        <f>IF(A789="","",SUMIFS(tbl_WIP[Amount],tbl_WIP[Job Number],A789,tbl_WIP[Month],"&lt;"&amp;$C$4))</f>
        <v/>
      </c>
      <c r="D789" s="11">
        <f>IF(A789="","",SUMIFS(tbl_WIP[Amount],tbl_WIP[Job Number],A789,tbl_WIP[Month],$C$4))</f>
        <v/>
      </c>
      <c r="E789" s="11">
        <f>IF(A789="","",C789+D789)</f>
        <v/>
      </c>
      <c r="F789" s="10">
        <f>IF(A789="","",IF(AND(ROUND(C789,2)=0,ROUND(D789,2)=0),"","yes"))</f>
        <v/>
      </c>
      <c r="G789" s="39" t="n"/>
      <c r="H789" s="11">
        <f>IF(OR(A789="",G789=""),"",E789-G789)</f>
        <v/>
      </c>
    </row>
    <row r="790">
      <c r="A790" s="10">
        <f>IF(INDEX(lst_Jobs,777)="","",INDEX(lst_Jobs,777)&amp;"")</f>
        <v/>
      </c>
      <c r="B790" s="10">
        <f>IF(A790="","",INDEX(lst_JobName,777)&amp;"")</f>
        <v/>
      </c>
      <c r="C790" s="11">
        <f>IF(A790="","",SUMIFS(tbl_WIP[Amount],tbl_WIP[Job Number],A790,tbl_WIP[Month],"&lt;"&amp;$C$4))</f>
        <v/>
      </c>
      <c r="D790" s="11">
        <f>IF(A790="","",SUMIFS(tbl_WIP[Amount],tbl_WIP[Job Number],A790,tbl_WIP[Month],$C$4))</f>
        <v/>
      </c>
      <c r="E790" s="11">
        <f>IF(A790="","",C790+D790)</f>
        <v/>
      </c>
      <c r="F790" s="10">
        <f>IF(A790="","",IF(AND(ROUND(C790,2)=0,ROUND(D790,2)=0),"","yes"))</f>
        <v/>
      </c>
      <c r="G790" s="39" t="n"/>
      <c r="H790" s="11">
        <f>IF(OR(A790="",G790=""),"",E790-G790)</f>
        <v/>
      </c>
    </row>
    <row r="791">
      <c r="A791" s="10">
        <f>IF(INDEX(lst_Jobs,778)="","",INDEX(lst_Jobs,778)&amp;"")</f>
        <v/>
      </c>
      <c r="B791" s="10">
        <f>IF(A791="","",INDEX(lst_JobName,778)&amp;"")</f>
        <v/>
      </c>
      <c r="C791" s="11">
        <f>IF(A791="","",SUMIFS(tbl_WIP[Amount],tbl_WIP[Job Number],A791,tbl_WIP[Month],"&lt;"&amp;$C$4))</f>
        <v/>
      </c>
      <c r="D791" s="11">
        <f>IF(A791="","",SUMIFS(tbl_WIP[Amount],tbl_WIP[Job Number],A791,tbl_WIP[Month],$C$4))</f>
        <v/>
      </c>
      <c r="E791" s="11">
        <f>IF(A791="","",C791+D791)</f>
        <v/>
      </c>
      <c r="F791" s="10">
        <f>IF(A791="","",IF(AND(ROUND(C791,2)=0,ROUND(D791,2)=0),"","yes"))</f>
        <v/>
      </c>
      <c r="G791" s="39" t="n"/>
      <c r="H791" s="11">
        <f>IF(OR(A791="",G791=""),"",E791-G791)</f>
        <v/>
      </c>
    </row>
    <row r="792">
      <c r="A792" s="10">
        <f>IF(INDEX(lst_Jobs,779)="","",INDEX(lst_Jobs,779)&amp;"")</f>
        <v/>
      </c>
      <c r="B792" s="10">
        <f>IF(A792="","",INDEX(lst_JobName,779)&amp;"")</f>
        <v/>
      </c>
      <c r="C792" s="11">
        <f>IF(A792="","",SUMIFS(tbl_WIP[Amount],tbl_WIP[Job Number],A792,tbl_WIP[Month],"&lt;"&amp;$C$4))</f>
        <v/>
      </c>
      <c r="D792" s="11">
        <f>IF(A792="","",SUMIFS(tbl_WIP[Amount],tbl_WIP[Job Number],A792,tbl_WIP[Month],$C$4))</f>
        <v/>
      </c>
      <c r="E792" s="11">
        <f>IF(A792="","",C792+D792)</f>
        <v/>
      </c>
      <c r="F792" s="10">
        <f>IF(A792="","",IF(AND(ROUND(C792,2)=0,ROUND(D792,2)=0),"","yes"))</f>
        <v/>
      </c>
      <c r="G792" s="39" t="n"/>
      <c r="H792" s="11">
        <f>IF(OR(A792="",G792=""),"",E792-G792)</f>
        <v/>
      </c>
    </row>
    <row r="793">
      <c r="A793" s="10">
        <f>IF(INDEX(lst_Jobs,780)="","",INDEX(lst_Jobs,780)&amp;"")</f>
        <v/>
      </c>
      <c r="B793" s="10">
        <f>IF(A793="","",INDEX(lst_JobName,780)&amp;"")</f>
        <v/>
      </c>
      <c r="C793" s="11">
        <f>IF(A793="","",SUMIFS(tbl_WIP[Amount],tbl_WIP[Job Number],A793,tbl_WIP[Month],"&lt;"&amp;$C$4))</f>
        <v/>
      </c>
      <c r="D793" s="11">
        <f>IF(A793="","",SUMIFS(tbl_WIP[Amount],tbl_WIP[Job Number],A793,tbl_WIP[Month],$C$4))</f>
        <v/>
      </c>
      <c r="E793" s="11">
        <f>IF(A793="","",C793+D793)</f>
        <v/>
      </c>
      <c r="F793" s="10">
        <f>IF(A793="","",IF(AND(ROUND(C793,2)=0,ROUND(D793,2)=0),"","yes"))</f>
        <v/>
      </c>
      <c r="G793" s="39" t="n"/>
      <c r="H793" s="11">
        <f>IF(OR(A793="",G793=""),"",E793-G793)</f>
        <v/>
      </c>
    </row>
    <row r="794">
      <c r="A794" s="10">
        <f>IF(INDEX(lst_Jobs,781)="","",INDEX(lst_Jobs,781)&amp;"")</f>
        <v/>
      </c>
      <c r="B794" s="10">
        <f>IF(A794="","",INDEX(lst_JobName,781)&amp;"")</f>
        <v/>
      </c>
      <c r="C794" s="11">
        <f>IF(A794="","",SUMIFS(tbl_WIP[Amount],tbl_WIP[Job Number],A794,tbl_WIP[Month],"&lt;"&amp;$C$4))</f>
        <v/>
      </c>
      <c r="D794" s="11">
        <f>IF(A794="","",SUMIFS(tbl_WIP[Amount],tbl_WIP[Job Number],A794,tbl_WIP[Month],$C$4))</f>
        <v/>
      </c>
      <c r="E794" s="11">
        <f>IF(A794="","",C794+D794)</f>
        <v/>
      </c>
      <c r="F794" s="10">
        <f>IF(A794="","",IF(AND(ROUND(C794,2)=0,ROUND(D794,2)=0),"","yes"))</f>
        <v/>
      </c>
      <c r="G794" s="39" t="n"/>
      <c r="H794" s="11">
        <f>IF(OR(A794="",G794=""),"",E794-G794)</f>
        <v/>
      </c>
    </row>
    <row r="795">
      <c r="A795" s="10">
        <f>IF(INDEX(lst_Jobs,782)="","",INDEX(lst_Jobs,782)&amp;"")</f>
        <v/>
      </c>
      <c r="B795" s="10">
        <f>IF(A795="","",INDEX(lst_JobName,782)&amp;"")</f>
        <v/>
      </c>
      <c r="C795" s="11">
        <f>IF(A795="","",SUMIFS(tbl_WIP[Amount],tbl_WIP[Job Number],A795,tbl_WIP[Month],"&lt;"&amp;$C$4))</f>
        <v/>
      </c>
      <c r="D795" s="11">
        <f>IF(A795="","",SUMIFS(tbl_WIP[Amount],tbl_WIP[Job Number],A795,tbl_WIP[Month],$C$4))</f>
        <v/>
      </c>
      <c r="E795" s="11">
        <f>IF(A795="","",C795+D795)</f>
        <v/>
      </c>
      <c r="F795" s="10">
        <f>IF(A795="","",IF(AND(ROUND(C795,2)=0,ROUND(D795,2)=0),"","yes"))</f>
        <v/>
      </c>
      <c r="G795" s="39" t="n"/>
      <c r="H795" s="11">
        <f>IF(OR(A795="",G795=""),"",E795-G795)</f>
        <v/>
      </c>
    </row>
    <row r="796">
      <c r="A796" s="10">
        <f>IF(INDEX(lst_Jobs,783)="","",INDEX(lst_Jobs,783)&amp;"")</f>
        <v/>
      </c>
      <c r="B796" s="10">
        <f>IF(A796="","",INDEX(lst_JobName,783)&amp;"")</f>
        <v/>
      </c>
      <c r="C796" s="11">
        <f>IF(A796="","",SUMIFS(tbl_WIP[Amount],tbl_WIP[Job Number],A796,tbl_WIP[Month],"&lt;"&amp;$C$4))</f>
        <v/>
      </c>
      <c r="D796" s="11">
        <f>IF(A796="","",SUMIFS(tbl_WIP[Amount],tbl_WIP[Job Number],A796,tbl_WIP[Month],$C$4))</f>
        <v/>
      </c>
      <c r="E796" s="11">
        <f>IF(A796="","",C796+D796)</f>
        <v/>
      </c>
      <c r="F796" s="10">
        <f>IF(A796="","",IF(AND(ROUND(C796,2)=0,ROUND(D796,2)=0),"","yes"))</f>
        <v/>
      </c>
      <c r="G796" s="39" t="n"/>
      <c r="H796" s="11">
        <f>IF(OR(A796="",G796=""),"",E796-G796)</f>
        <v/>
      </c>
    </row>
    <row r="797">
      <c r="A797" s="10">
        <f>IF(INDEX(lst_Jobs,784)="","",INDEX(lst_Jobs,784)&amp;"")</f>
        <v/>
      </c>
      <c r="B797" s="10">
        <f>IF(A797="","",INDEX(lst_JobName,784)&amp;"")</f>
        <v/>
      </c>
      <c r="C797" s="11">
        <f>IF(A797="","",SUMIFS(tbl_WIP[Amount],tbl_WIP[Job Number],A797,tbl_WIP[Month],"&lt;"&amp;$C$4))</f>
        <v/>
      </c>
      <c r="D797" s="11">
        <f>IF(A797="","",SUMIFS(tbl_WIP[Amount],tbl_WIP[Job Number],A797,tbl_WIP[Month],$C$4))</f>
        <v/>
      </c>
      <c r="E797" s="11">
        <f>IF(A797="","",C797+D797)</f>
        <v/>
      </c>
      <c r="F797" s="10">
        <f>IF(A797="","",IF(AND(ROUND(C797,2)=0,ROUND(D797,2)=0),"","yes"))</f>
        <v/>
      </c>
      <c r="G797" s="39" t="n"/>
      <c r="H797" s="11">
        <f>IF(OR(A797="",G797=""),"",E797-G797)</f>
        <v/>
      </c>
    </row>
    <row r="798">
      <c r="A798" s="10">
        <f>IF(INDEX(lst_Jobs,785)="","",INDEX(lst_Jobs,785)&amp;"")</f>
        <v/>
      </c>
      <c r="B798" s="10">
        <f>IF(A798="","",INDEX(lst_JobName,785)&amp;"")</f>
        <v/>
      </c>
      <c r="C798" s="11">
        <f>IF(A798="","",SUMIFS(tbl_WIP[Amount],tbl_WIP[Job Number],A798,tbl_WIP[Month],"&lt;"&amp;$C$4))</f>
        <v/>
      </c>
      <c r="D798" s="11">
        <f>IF(A798="","",SUMIFS(tbl_WIP[Amount],tbl_WIP[Job Number],A798,tbl_WIP[Month],$C$4))</f>
        <v/>
      </c>
      <c r="E798" s="11">
        <f>IF(A798="","",C798+D798)</f>
        <v/>
      </c>
      <c r="F798" s="10">
        <f>IF(A798="","",IF(AND(ROUND(C798,2)=0,ROUND(D798,2)=0),"","yes"))</f>
        <v/>
      </c>
      <c r="G798" s="39" t="n"/>
      <c r="H798" s="11">
        <f>IF(OR(A798="",G798=""),"",E798-G798)</f>
        <v/>
      </c>
    </row>
    <row r="799">
      <c r="A799" s="10">
        <f>IF(INDEX(lst_Jobs,786)="","",INDEX(lst_Jobs,786)&amp;"")</f>
        <v/>
      </c>
      <c r="B799" s="10">
        <f>IF(A799="","",INDEX(lst_JobName,786)&amp;"")</f>
        <v/>
      </c>
      <c r="C799" s="11">
        <f>IF(A799="","",SUMIFS(tbl_WIP[Amount],tbl_WIP[Job Number],A799,tbl_WIP[Month],"&lt;"&amp;$C$4))</f>
        <v/>
      </c>
      <c r="D799" s="11">
        <f>IF(A799="","",SUMIFS(tbl_WIP[Amount],tbl_WIP[Job Number],A799,tbl_WIP[Month],$C$4))</f>
        <v/>
      </c>
      <c r="E799" s="11">
        <f>IF(A799="","",C799+D799)</f>
        <v/>
      </c>
      <c r="F799" s="10">
        <f>IF(A799="","",IF(AND(ROUND(C799,2)=0,ROUND(D799,2)=0),"","yes"))</f>
        <v/>
      </c>
      <c r="G799" s="39" t="n"/>
      <c r="H799" s="11">
        <f>IF(OR(A799="",G799=""),"",E799-G799)</f>
        <v/>
      </c>
    </row>
    <row r="800">
      <c r="A800" s="10">
        <f>IF(INDEX(lst_Jobs,787)="","",INDEX(lst_Jobs,787)&amp;"")</f>
        <v/>
      </c>
      <c r="B800" s="10">
        <f>IF(A800="","",INDEX(lst_JobName,787)&amp;"")</f>
        <v/>
      </c>
      <c r="C800" s="11">
        <f>IF(A800="","",SUMIFS(tbl_WIP[Amount],tbl_WIP[Job Number],A800,tbl_WIP[Month],"&lt;"&amp;$C$4))</f>
        <v/>
      </c>
      <c r="D800" s="11">
        <f>IF(A800="","",SUMIFS(tbl_WIP[Amount],tbl_WIP[Job Number],A800,tbl_WIP[Month],$C$4))</f>
        <v/>
      </c>
      <c r="E800" s="11">
        <f>IF(A800="","",C800+D800)</f>
        <v/>
      </c>
      <c r="F800" s="10">
        <f>IF(A800="","",IF(AND(ROUND(C800,2)=0,ROUND(D800,2)=0),"","yes"))</f>
        <v/>
      </c>
      <c r="G800" s="39" t="n"/>
      <c r="H800" s="11">
        <f>IF(OR(A800="",G800=""),"",E800-G800)</f>
        <v/>
      </c>
    </row>
    <row r="801">
      <c r="A801" s="10">
        <f>IF(INDEX(lst_Jobs,788)="","",INDEX(lst_Jobs,788)&amp;"")</f>
        <v/>
      </c>
      <c r="B801" s="10">
        <f>IF(A801="","",INDEX(lst_JobName,788)&amp;"")</f>
        <v/>
      </c>
      <c r="C801" s="11">
        <f>IF(A801="","",SUMIFS(tbl_WIP[Amount],tbl_WIP[Job Number],A801,tbl_WIP[Month],"&lt;"&amp;$C$4))</f>
        <v/>
      </c>
      <c r="D801" s="11">
        <f>IF(A801="","",SUMIFS(tbl_WIP[Amount],tbl_WIP[Job Number],A801,tbl_WIP[Month],$C$4))</f>
        <v/>
      </c>
      <c r="E801" s="11">
        <f>IF(A801="","",C801+D801)</f>
        <v/>
      </c>
      <c r="F801" s="10">
        <f>IF(A801="","",IF(AND(ROUND(C801,2)=0,ROUND(D801,2)=0),"","yes"))</f>
        <v/>
      </c>
      <c r="G801" s="39" t="n"/>
      <c r="H801" s="11">
        <f>IF(OR(A801="",G801=""),"",E801-G801)</f>
        <v/>
      </c>
    </row>
    <row r="802">
      <c r="A802" s="10">
        <f>IF(INDEX(lst_Jobs,789)="","",INDEX(lst_Jobs,789)&amp;"")</f>
        <v/>
      </c>
      <c r="B802" s="10">
        <f>IF(A802="","",INDEX(lst_JobName,789)&amp;"")</f>
        <v/>
      </c>
      <c r="C802" s="11">
        <f>IF(A802="","",SUMIFS(tbl_WIP[Amount],tbl_WIP[Job Number],A802,tbl_WIP[Month],"&lt;"&amp;$C$4))</f>
        <v/>
      </c>
      <c r="D802" s="11">
        <f>IF(A802="","",SUMIFS(tbl_WIP[Amount],tbl_WIP[Job Number],A802,tbl_WIP[Month],$C$4))</f>
        <v/>
      </c>
      <c r="E802" s="11">
        <f>IF(A802="","",C802+D802)</f>
        <v/>
      </c>
      <c r="F802" s="10">
        <f>IF(A802="","",IF(AND(ROUND(C802,2)=0,ROUND(D802,2)=0),"","yes"))</f>
        <v/>
      </c>
      <c r="G802" s="39" t="n"/>
      <c r="H802" s="11">
        <f>IF(OR(A802="",G802=""),"",E802-G802)</f>
        <v/>
      </c>
    </row>
    <row r="803">
      <c r="A803" s="10">
        <f>IF(INDEX(lst_Jobs,790)="","",INDEX(lst_Jobs,790)&amp;"")</f>
        <v/>
      </c>
      <c r="B803" s="10">
        <f>IF(A803="","",INDEX(lst_JobName,790)&amp;"")</f>
        <v/>
      </c>
      <c r="C803" s="11">
        <f>IF(A803="","",SUMIFS(tbl_WIP[Amount],tbl_WIP[Job Number],A803,tbl_WIP[Month],"&lt;"&amp;$C$4))</f>
        <v/>
      </c>
      <c r="D803" s="11">
        <f>IF(A803="","",SUMIFS(tbl_WIP[Amount],tbl_WIP[Job Number],A803,tbl_WIP[Month],$C$4))</f>
        <v/>
      </c>
      <c r="E803" s="11">
        <f>IF(A803="","",C803+D803)</f>
        <v/>
      </c>
      <c r="F803" s="10">
        <f>IF(A803="","",IF(AND(ROUND(C803,2)=0,ROUND(D803,2)=0),"","yes"))</f>
        <v/>
      </c>
      <c r="G803" s="39" t="n"/>
      <c r="H803" s="11">
        <f>IF(OR(A803="",G803=""),"",E803-G803)</f>
        <v/>
      </c>
    </row>
    <row r="804">
      <c r="A804" s="10">
        <f>IF(INDEX(lst_Jobs,791)="","",INDEX(lst_Jobs,791)&amp;"")</f>
        <v/>
      </c>
      <c r="B804" s="10">
        <f>IF(A804="","",INDEX(lst_JobName,791)&amp;"")</f>
        <v/>
      </c>
      <c r="C804" s="11">
        <f>IF(A804="","",SUMIFS(tbl_WIP[Amount],tbl_WIP[Job Number],A804,tbl_WIP[Month],"&lt;"&amp;$C$4))</f>
        <v/>
      </c>
      <c r="D804" s="11">
        <f>IF(A804="","",SUMIFS(tbl_WIP[Amount],tbl_WIP[Job Number],A804,tbl_WIP[Month],$C$4))</f>
        <v/>
      </c>
      <c r="E804" s="11">
        <f>IF(A804="","",C804+D804)</f>
        <v/>
      </c>
      <c r="F804" s="10">
        <f>IF(A804="","",IF(AND(ROUND(C804,2)=0,ROUND(D804,2)=0),"","yes"))</f>
        <v/>
      </c>
      <c r="G804" s="39" t="n"/>
      <c r="H804" s="11">
        <f>IF(OR(A804="",G804=""),"",E804-G804)</f>
        <v/>
      </c>
    </row>
    <row r="805">
      <c r="A805" s="10">
        <f>IF(INDEX(lst_Jobs,792)="","",INDEX(lst_Jobs,792)&amp;"")</f>
        <v/>
      </c>
      <c r="B805" s="10">
        <f>IF(A805="","",INDEX(lst_JobName,792)&amp;"")</f>
        <v/>
      </c>
      <c r="C805" s="11">
        <f>IF(A805="","",SUMIFS(tbl_WIP[Amount],tbl_WIP[Job Number],A805,tbl_WIP[Month],"&lt;"&amp;$C$4))</f>
        <v/>
      </c>
      <c r="D805" s="11">
        <f>IF(A805="","",SUMIFS(tbl_WIP[Amount],tbl_WIP[Job Number],A805,tbl_WIP[Month],$C$4))</f>
        <v/>
      </c>
      <c r="E805" s="11">
        <f>IF(A805="","",C805+D805)</f>
        <v/>
      </c>
      <c r="F805" s="10">
        <f>IF(A805="","",IF(AND(ROUND(C805,2)=0,ROUND(D805,2)=0),"","yes"))</f>
        <v/>
      </c>
      <c r="G805" s="39" t="n"/>
      <c r="H805" s="11">
        <f>IF(OR(A805="",G805=""),"",E805-G805)</f>
        <v/>
      </c>
    </row>
    <row r="806">
      <c r="A806" s="10">
        <f>IF(INDEX(lst_Jobs,793)="","",INDEX(lst_Jobs,793)&amp;"")</f>
        <v/>
      </c>
      <c r="B806" s="10">
        <f>IF(A806="","",INDEX(lst_JobName,793)&amp;"")</f>
        <v/>
      </c>
      <c r="C806" s="11">
        <f>IF(A806="","",SUMIFS(tbl_WIP[Amount],tbl_WIP[Job Number],A806,tbl_WIP[Month],"&lt;"&amp;$C$4))</f>
        <v/>
      </c>
      <c r="D806" s="11">
        <f>IF(A806="","",SUMIFS(tbl_WIP[Amount],tbl_WIP[Job Number],A806,tbl_WIP[Month],$C$4))</f>
        <v/>
      </c>
      <c r="E806" s="11">
        <f>IF(A806="","",C806+D806)</f>
        <v/>
      </c>
      <c r="F806" s="10">
        <f>IF(A806="","",IF(AND(ROUND(C806,2)=0,ROUND(D806,2)=0),"","yes"))</f>
        <v/>
      </c>
      <c r="G806" s="39" t="n"/>
      <c r="H806" s="11">
        <f>IF(OR(A806="",G806=""),"",E806-G806)</f>
        <v/>
      </c>
    </row>
    <row r="807">
      <c r="A807" s="10">
        <f>IF(INDEX(lst_Jobs,794)="","",INDEX(lst_Jobs,794)&amp;"")</f>
        <v/>
      </c>
      <c r="B807" s="10">
        <f>IF(A807="","",INDEX(lst_JobName,794)&amp;"")</f>
        <v/>
      </c>
      <c r="C807" s="11">
        <f>IF(A807="","",SUMIFS(tbl_WIP[Amount],tbl_WIP[Job Number],A807,tbl_WIP[Month],"&lt;"&amp;$C$4))</f>
        <v/>
      </c>
      <c r="D807" s="11">
        <f>IF(A807="","",SUMIFS(tbl_WIP[Amount],tbl_WIP[Job Number],A807,tbl_WIP[Month],$C$4))</f>
        <v/>
      </c>
      <c r="E807" s="11">
        <f>IF(A807="","",C807+D807)</f>
        <v/>
      </c>
      <c r="F807" s="10">
        <f>IF(A807="","",IF(AND(ROUND(C807,2)=0,ROUND(D807,2)=0),"","yes"))</f>
        <v/>
      </c>
      <c r="G807" s="39" t="n"/>
      <c r="H807" s="11">
        <f>IF(OR(A807="",G807=""),"",E807-G807)</f>
        <v/>
      </c>
    </row>
    <row r="808">
      <c r="A808" s="10">
        <f>IF(INDEX(lst_Jobs,795)="","",INDEX(lst_Jobs,795)&amp;"")</f>
        <v/>
      </c>
      <c r="B808" s="10">
        <f>IF(A808="","",INDEX(lst_JobName,795)&amp;"")</f>
        <v/>
      </c>
      <c r="C808" s="11">
        <f>IF(A808="","",SUMIFS(tbl_WIP[Amount],tbl_WIP[Job Number],A808,tbl_WIP[Month],"&lt;"&amp;$C$4))</f>
        <v/>
      </c>
      <c r="D808" s="11">
        <f>IF(A808="","",SUMIFS(tbl_WIP[Amount],tbl_WIP[Job Number],A808,tbl_WIP[Month],$C$4))</f>
        <v/>
      </c>
      <c r="E808" s="11">
        <f>IF(A808="","",C808+D808)</f>
        <v/>
      </c>
      <c r="F808" s="10">
        <f>IF(A808="","",IF(AND(ROUND(C808,2)=0,ROUND(D808,2)=0),"","yes"))</f>
        <v/>
      </c>
      <c r="G808" s="39" t="n"/>
      <c r="H808" s="11">
        <f>IF(OR(A808="",G808=""),"",E808-G808)</f>
        <v/>
      </c>
    </row>
    <row r="809">
      <c r="A809" s="10">
        <f>IF(INDEX(lst_Jobs,796)="","",INDEX(lst_Jobs,796)&amp;"")</f>
        <v/>
      </c>
      <c r="B809" s="10">
        <f>IF(A809="","",INDEX(lst_JobName,796)&amp;"")</f>
        <v/>
      </c>
      <c r="C809" s="11">
        <f>IF(A809="","",SUMIFS(tbl_WIP[Amount],tbl_WIP[Job Number],A809,tbl_WIP[Month],"&lt;"&amp;$C$4))</f>
        <v/>
      </c>
      <c r="D809" s="11">
        <f>IF(A809="","",SUMIFS(tbl_WIP[Amount],tbl_WIP[Job Number],A809,tbl_WIP[Month],$C$4))</f>
        <v/>
      </c>
      <c r="E809" s="11">
        <f>IF(A809="","",C809+D809)</f>
        <v/>
      </c>
      <c r="F809" s="10">
        <f>IF(A809="","",IF(AND(ROUND(C809,2)=0,ROUND(D809,2)=0),"","yes"))</f>
        <v/>
      </c>
      <c r="G809" s="39" t="n"/>
      <c r="H809" s="11">
        <f>IF(OR(A809="",G809=""),"",E809-G809)</f>
        <v/>
      </c>
    </row>
    <row r="810">
      <c r="A810" s="10">
        <f>IF(INDEX(lst_Jobs,797)="","",INDEX(lst_Jobs,797)&amp;"")</f>
        <v/>
      </c>
      <c r="B810" s="10">
        <f>IF(A810="","",INDEX(lst_JobName,797)&amp;"")</f>
        <v/>
      </c>
      <c r="C810" s="11">
        <f>IF(A810="","",SUMIFS(tbl_WIP[Amount],tbl_WIP[Job Number],A810,tbl_WIP[Month],"&lt;"&amp;$C$4))</f>
        <v/>
      </c>
      <c r="D810" s="11">
        <f>IF(A810="","",SUMIFS(tbl_WIP[Amount],tbl_WIP[Job Number],A810,tbl_WIP[Month],$C$4))</f>
        <v/>
      </c>
      <c r="E810" s="11">
        <f>IF(A810="","",C810+D810)</f>
        <v/>
      </c>
      <c r="F810" s="10">
        <f>IF(A810="","",IF(AND(ROUND(C810,2)=0,ROUND(D810,2)=0),"","yes"))</f>
        <v/>
      </c>
      <c r="G810" s="39" t="n"/>
      <c r="H810" s="11">
        <f>IF(OR(A810="",G810=""),"",E810-G810)</f>
        <v/>
      </c>
    </row>
    <row r="811">
      <c r="A811" s="10">
        <f>IF(INDEX(lst_Jobs,798)="","",INDEX(lst_Jobs,798)&amp;"")</f>
        <v/>
      </c>
      <c r="B811" s="10">
        <f>IF(A811="","",INDEX(lst_JobName,798)&amp;"")</f>
        <v/>
      </c>
      <c r="C811" s="11">
        <f>IF(A811="","",SUMIFS(tbl_WIP[Amount],tbl_WIP[Job Number],A811,tbl_WIP[Month],"&lt;"&amp;$C$4))</f>
        <v/>
      </c>
      <c r="D811" s="11">
        <f>IF(A811="","",SUMIFS(tbl_WIP[Amount],tbl_WIP[Job Number],A811,tbl_WIP[Month],$C$4))</f>
        <v/>
      </c>
      <c r="E811" s="11">
        <f>IF(A811="","",C811+D811)</f>
        <v/>
      </c>
      <c r="F811" s="10">
        <f>IF(A811="","",IF(AND(ROUND(C811,2)=0,ROUND(D811,2)=0),"","yes"))</f>
        <v/>
      </c>
      <c r="G811" s="39" t="n"/>
      <c r="H811" s="11">
        <f>IF(OR(A811="",G811=""),"",E811-G811)</f>
        <v/>
      </c>
    </row>
    <row r="812">
      <c r="A812" s="10">
        <f>IF(INDEX(lst_Jobs,799)="","",INDEX(lst_Jobs,799)&amp;"")</f>
        <v/>
      </c>
      <c r="B812" s="10">
        <f>IF(A812="","",INDEX(lst_JobName,799)&amp;"")</f>
        <v/>
      </c>
      <c r="C812" s="11">
        <f>IF(A812="","",SUMIFS(tbl_WIP[Amount],tbl_WIP[Job Number],A812,tbl_WIP[Month],"&lt;"&amp;$C$4))</f>
        <v/>
      </c>
      <c r="D812" s="11">
        <f>IF(A812="","",SUMIFS(tbl_WIP[Amount],tbl_WIP[Job Number],A812,tbl_WIP[Month],$C$4))</f>
        <v/>
      </c>
      <c r="E812" s="11">
        <f>IF(A812="","",C812+D812)</f>
        <v/>
      </c>
      <c r="F812" s="10">
        <f>IF(A812="","",IF(AND(ROUND(C812,2)=0,ROUND(D812,2)=0),"","yes"))</f>
        <v/>
      </c>
      <c r="G812" s="39" t="n"/>
      <c r="H812" s="11">
        <f>IF(OR(A812="",G812=""),"",E812-G812)</f>
        <v/>
      </c>
    </row>
    <row r="813">
      <c r="A813" s="10">
        <f>IF(INDEX(lst_Jobs,800)="","",INDEX(lst_Jobs,800)&amp;"")</f>
        <v/>
      </c>
      <c r="B813" s="10">
        <f>IF(A813="","",INDEX(lst_JobName,800)&amp;"")</f>
        <v/>
      </c>
      <c r="C813" s="11">
        <f>IF(A813="","",SUMIFS(tbl_WIP[Amount],tbl_WIP[Job Number],A813,tbl_WIP[Month],"&lt;"&amp;$C$4))</f>
        <v/>
      </c>
      <c r="D813" s="11">
        <f>IF(A813="","",SUMIFS(tbl_WIP[Amount],tbl_WIP[Job Number],A813,tbl_WIP[Month],$C$4))</f>
        <v/>
      </c>
      <c r="E813" s="11">
        <f>IF(A813="","",C813+D813)</f>
        <v/>
      </c>
      <c r="F813" s="10">
        <f>IF(A813="","",IF(AND(ROUND(C813,2)=0,ROUND(D813,2)=0),"","yes"))</f>
        <v/>
      </c>
      <c r="G813" s="39" t="n"/>
      <c r="H813" s="11">
        <f>IF(OR(A813="",G813=""),"",E813-G813)</f>
        <v/>
      </c>
    </row>
    <row r="814">
      <c r="A814" s="10">
        <f>IF(INDEX(lst_Jobs,801)="","",INDEX(lst_Jobs,801)&amp;"")</f>
        <v/>
      </c>
      <c r="B814" s="10">
        <f>IF(A814="","",INDEX(lst_JobName,801)&amp;"")</f>
        <v/>
      </c>
      <c r="C814" s="11">
        <f>IF(A814="","",SUMIFS(tbl_WIP[Amount],tbl_WIP[Job Number],A814,tbl_WIP[Month],"&lt;"&amp;$C$4))</f>
        <v/>
      </c>
      <c r="D814" s="11">
        <f>IF(A814="","",SUMIFS(tbl_WIP[Amount],tbl_WIP[Job Number],A814,tbl_WIP[Month],$C$4))</f>
        <v/>
      </c>
      <c r="E814" s="11">
        <f>IF(A814="","",C814+D814)</f>
        <v/>
      </c>
      <c r="F814" s="10">
        <f>IF(A814="","",IF(AND(ROUND(C814,2)=0,ROUND(D814,2)=0),"","yes"))</f>
        <v/>
      </c>
      <c r="G814" s="39" t="n"/>
      <c r="H814" s="11">
        <f>IF(OR(A814="",G814=""),"",E814-G814)</f>
        <v/>
      </c>
    </row>
    <row r="815">
      <c r="A815" s="10">
        <f>IF(INDEX(lst_Jobs,802)="","",INDEX(lst_Jobs,802)&amp;"")</f>
        <v/>
      </c>
      <c r="B815" s="10">
        <f>IF(A815="","",INDEX(lst_JobName,802)&amp;"")</f>
        <v/>
      </c>
      <c r="C815" s="11">
        <f>IF(A815="","",SUMIFS(tbl_WIP[Amount],tbl_WIP[Job Number],A815,tbl_WIP[Month],"&lt;"&amp;$C$4))</f>
        <v/>
      </c>
      <c r="D815" s="11">
        <f>IF(A815="","",SUMIFS(tbl_WIP[Amount],tbl_WIP[Job Number],A815,tbl_WIP[Month],$C$4))</f>
        <v/>
      </c>
      <c r="E815" s="11">
        <f>IF(A815="","",C815+D815)</f>
        <v/>
      </c>
      <c r="F815" s="10">
        <f>IF(A815="","",IF(AND(ROUND(C815,2)=0,ROUND(D815,2)=0),"","yes"))</f>
        <v/>
      </c>
      <c r="G815" s="39" t="n"/>
      <c r="H815" s="11">
        <f>IF(OR(A815="",G815=""),"",E815-G815)</f>
        <v/>
      </c>
    </row>
    <row r="816">
      <c r="A816" s="10">
        <f>IF(INDEX(lst_Jobs,803)="","",INDEX(lst_Jobs,803)&amp;"")</f>
        <v/>
      </c>
      <c r="B816" s="10">
        <f>IF(A816="","",INDEX(lst_JobName,803)&amp;"")</f>
        <v/>
      </c>
      <c r="C816" s="11">
        <f>IF(A816="","",SUMIFS(tbl_WIP[Amount],tbl_WIP[Job Number],A816,tbl_WIP[Month],"&lt;"&amp;$C$4))</f>
        <v/>
      </c>
      <c r="D816" s="11">
        <f>IF(A816="","",SUMIFS(tbl_WIP[Amount],tbl_WIP[Job Number],A816,tbl_WIP[Month],$C$4))</f>
        <v/>
      </c>
      <c r="E816" s="11">
        <f>IF(A816="","",C816+D816)</f>
        <v/>
      </c>
      <c r="F816" s="10">
        <f>IF(A816="","",IF(AND(ROUND(C816,2)=0,ROUND(D816,2)=0),"","yes"))</f>
        <v/>
      </c>
      <c r="G816" s="39" t="n"/>
      <c r="H816" s="11">
        <f>IF(OR(A816="",G816=""),"",E816-G816)</f>
        <v/>
      </c>
    </row>
    <row r="817">
      <c r="A817" s="10">
        <f>IF(INDEX(lst_Jobs,804)="","",INDEX(lst_Jobs,804)&amp;"")</f>
        <v/>
      </c>
      <c r="B817" s="10">
        <f>IF(A817="","",INDEX(lst_JobName,804)&amp;"")</f>
        <v/>
      </c>
      <c r="C817" s="11">
        <f>IF(A817="","",SUMIFS(tbl_WIP[Amount],tbl_WIP[Job Number],A817,tbl_WIP[Month],"&lt;"&amp;$C$4))</f>
        <v/>
      </c>
      <c r="D817" s="11">
        <f>IF(A817="","",SUMIFS(tbl_WIP[Amount],tbl_WIP[Job Number],A817,tbl_WIP[Month],$C$4))</f>
        <v/>
      </c>
      <c r="E817" s="11">
        <f>IF(A817="","",C817+D817)</f>
        <v/>
      </c>
      <c r="F817" s="10">
        <f>IF(A817="","",IF(AND(ROUND(C817,2)=0,ROUND(D817,2)=0),"","yes"))</f>
        <v/>
      </c>
      <c r="G817" s="39" t="n"/>
      <c r="H817" s="11">
        <f>IF(OR(A817="",G817=""),"",E817-G817)</f>
        <v/>
      </c>
    </row>
    <row r="818">
      <c r="A818" s="10">
        <f>IF(INDEX(lst_Jobs,805)="","",INDEX(lst_Jobs,805)&amp;"")</f>
        <v/>
      </c>
      <c r="B818" s="10">
        <f>IF(A818="","",INDEX(lst_JobName,805)&amp;"")</f>
        <v/>
      </c>
      <c r="C818" s="11">
        <f>IF(A818="","",SUMIFS(tbl_WIP[Amount],tbl_WIP[Job Number],A818,tbl_WIP[Month],"&lt;"&amp;$C$4))</f>
        <v/>
      </c>
      <c r="D818" s="11">
        <f>IF(A818="","",SUMIFS(tbl_WIP[Amount],tbl_WIP[Job Number],A818,tbl_WIP[Month],$C$4))</f>
        <v/>
      </c>
      <c r="E818" s="11">
        <f>IF(A818="","",C818+D818)</f>
        <v/>
      </c>
      <c r="F818" s="10">
        <f>IF(A818="","",IF(AND(ROUND(C818,2)=0,ROUND(D818,2)=0),"","yes"))</f>
        <v/>
      </c>
      <c r="G818" s="39" t="n"/>
      <c r="H818" s="11">
        <f>IF(OR(A818="",G818=""),"",E818-G818)</f>
        <v/>
      </c>
    </row>
    <row r="819">
      <c r="A819" s="10">
        <f>IF(INDEX(lst_Jobs,806)="","",INDEX(lst_Jobs,806)&amp;"")</f>
        <v/>
      </c>
      <c r="B819" s="10">
        <f>IF(A819="","",INDEX(lst_JobName,806)&amp;"")</f>
        <v/>
      </c>
      <c r="C819" s="11">
        <f>IF(A819="","",SUMIFS(tbl_WIP[Amount],tbl_WIP[Job Number],A819,tbl_WIP[Month],"&lt;"&amp;$C$4))</f>
        <v/>
      </c>
      <c r="D819" s="11">
        <f>IF(A819="","",SUMIFS(tbl_WIP[Amount],tbl_WIP[Job Number],A819,tbl_WIP[Month],$C$4))</f>
        <v/>
      </c>
      <c r="E819" s="11">
        <f>IF(A819="","",C819+D819)</f>
        <v/>
      </c>
      <c r="F819" s="10">
        <f>IF(A819="","",IF(AND(ROUND(C819,2)=0,ROUND(D819,2)=0),"","yes"))</f>
        <v/>
      </c>
      <c r="G819" s="39" t="n"/>
      <c r="H819" s="11">
        <f>IF(OR(A819="",G819=""),"",E819-G819)</f>
        <v/>
      </c>
    </row>
    <row r="820">
      <c r="A820" s="10">
        <f>IF(INDEX(lst_Jobs,807)="","",INDEX(lst_Jobs,807)&amp;"")</f>
        <v/>
      </c>
      <c r="B820" s="10">
        <f>IF(A820="","",INDEX(lst_JobName,807)&amp;"")</f>
        <v/>
      </c>
      <c r="C820" s="11">
        <f>IF(A820="","",SUMIFS(tbl_WIP[Amount],tbl_WIP[Job Number],A820,tbl_WIP[Month],"&lt;"&amp;$C$4))</f>
        <v/>
      </c>
      <c r="D820" s="11">
        <f>IF(A820="","",SUMIFS(tbl_WIP[Amount],tbl_WIP[Job Number],A820,tbl_WIP[Month],$C$4))</f>
        <v/>
      </c>
      <c r="E820" s="11">
        <f>IF(A820="","",C820+D820)</f>
        <v/>
      </c>
      <c r="F820" s="10">
        <f>IF(A820="","",IF(AND(ROUND(C820,2)=0,ROUND(D820,2)=0),"","yes"))</f>
        <v/>
      </c>
      <c r="G820" s="39" t="n"/>
      <c r="H820" s="11">
        <f>IF(OR(A820="",G820=""),"",E820-G820)</f>
        <v/>
      </c>
    </row>
    <row r="821">
      <c r="A821" s="10">
        <f>IF(INDEX(lst_Jobs,808)="","",INDEX(lst_Jobs,808)&amp;"")</f>
        <v/>
      </c>
      <c r="B821" s="10">
        <f>IF(A821="","",INDEX(lst_JobName,808)&amp;"")</f>
        <v/>
      </c>
      <c r="C821" s="11">
        <f>IF(A821="","",SUMIFS(tbl_WIP[Amount],tbl_WIP[Job Number],A821,tbl_WIP[Month],"&lt;"&amp;$C$4))</f>
        <v/>
      </c>
      <c r="D821" s="11">
        <f>IF(A821="","",SUMIFS(tbl_WIP[Amount],tbl_WIP[Job Number],A821,tbl_WIP[Month],$C$4))</f>
        <v/>
      </c>
      <c r="E821" s="11">
        <f>IF(A821="","",C821+D821)</f>
        <v/>
      </c>
      <c r="F821" s="10">
        <f>IF(A821="","",IF(AND(ROUND(C821,2)=0,ROUND(D821,2)=0),"","yes"))</f>
        <v/>
      </c>
      <c r="G821" s="39" t="n"/>
      <c r="H821" s="11">
        <f>IF(OR(A821="",G821=""),"",E821-G821)</f>
        <v/>
      </c>
    </row>
    <row r="822">
      <c r="A822" s="10">
        <f>IF(INDEX(lst_Jobs,809)="","",INDEX(lst_Jobs,809)&amp;"")</f>
        <v/>
      </c>
      <c r="B822" s="10">
        <f>IF(A822="","",INDEX(lst_JobName,809)&amp;"")</f>
        <v/>
      </c>
      <c r="C822" s="11">
        <f>IF(A822="","",SUMIFS(tbl_WIP[Amount],tbl_WIP[Job Number],A822,tbl_WIP[Month],"&lt;"&amp;$C$4))</f>
        <v/>
      </c>
      <c r="D822" s="11">
        <f>IF(A822="","",SUMIFS(tbl_WIP[Amount],tbl_WIP[Job Number],A822,tbl_WIP[Month],$C$4))</f>
        <v/>
      </c>
      <c r="E822" s="11">
        <f>IF(A822="","",C822+D822)</f>
        <v/>
      </c>
      <c r="F822" s="10">
        <f>IF(A822="","",IF(AND(ROUND(C822,2)=0,ROUND(D822,2)=0),"","yes"))</f>
        <v/>
      </c>
      <c r="G822" s="39" t="n"/>
      <c r="H822" s="11">
        <f>IF(OR(A822="",G822=""),"",E822-G822)</f>
        <v/>
      </c>
    </row>
    <row r="823">
      <c r="A823" s="10">
        <f>IF(INDEX(lst_Jobs,810)="","",INDEX(lst_Jobs,810)&amp;"")</f>
        <v/>
      </c>
      <c r="B823" s="10">
        <f>IF(A823="","",INDEX(lst_JobName,810)&amp;"")</f>
        <v/>
      </c>
      <c r="C823" s="11">
        <f>IF(A823="","",SUMIFS(tbl_WIP[Amount],tbl_WIP[Job Number],A823,tbl_WIP[Month],"&lt;"&amp;$C$4))</f>
        <v/>
      </c>
      <c r="D823" s="11">
        <f>IF(A823="","",SUMIFS(tbl_WIP[Amount],tbl_WIP[Job Number],A823,tbl_WIP[Month],$C$4))</f>
        <v/>
      </c>
      <c r="E823" s="11">
        <f>IF(A823="","",C823+D823)</f>
        <v/>
      </c>
      <c r="F823" s="10">
        <f>IF(A823="","",IF(AND(ROUND(C823,2)=0,ROUND(D823,2)=0),"","yes"))</f>
        <v/>
      </c>
      <c r="G823" s="39" t="n"/>
      <c r="H823" s="11">
        <f>IF(OR(A823="",G823=""),"",E823-G823)</f>
        <v/>
      </c>
    </row>
    <row r="824">
      <c r="A824" s="10">
        <f>IF(INDEX(lst_Jobs,811)="","",INDEX(lst_Jobs,811)&amp;"")</f>
        <v/>
      </c>
      <c r="B824" s="10">
        <f>IF(A824="","",INDEX(lst_JobName,811)&amp;"")</f>
        <v/>
      </c>
      <c r="C824" s="11">
        <f>IF(A824="","",SUMIFS(tbl_WIP[Amount],tbl_WIP[Job Number],A824,tbl_WIP[Month],"&lt;"&amp;$C$4))</f>
        <v/>
      </c>
      <c r="D824" s="11">
        <f>IF(A824="","",SUMIFS(tbl_WIP[Amount],tbl_WIP[Job Number],A824,tbl_WIP[Month],$C$4))</f>
        <v/>
      </c>
      <c r="E824" s="11">
        <f>IF(A824="","",C824+D824)</f>
        <v/>
      </c>
      <c r="F824" s="10">
        <f>IF(A824="","",IF(AND(ROUND(C824,2)=0,ROUND(D824,2)=0),"","yes"))</f>
        <v/>
      </c>
      <c r="G824" s="39" t="n"/>
      <c r="H824" s="11">
        <f>IF(OR(A824="",G824=""),"",E824-G824)</f>
        <v/>
      </c>
    </row>
    <row r="825">
      <c r="A825" s="10">
        <f>IF(INDEX(lst_Jobs,812)="","",INDEX(lst_Jobs,812)&amp;"")</f>
        <v/>
      </c>
      <c r="B825" s="10">
        <f>IF(A825="","",INDEX(lst_JobName,812)&amp;"")</f>
        <v/>
      </c>
      <c r="C825" s="11">
        <f>IF(A825="","",SUMIFS(tbl_WIP[Amount],tbl_WIP[Job Number],A825,tbl_WIP[Month],"&lt;"&amp;$C$4))</f>
        <v/>
      </c>
      <c r="D825" s="11">
        <f>IF(A825="","",SUMIFS(tbl_WIP[Amount],tbl_WIP[Job Number],A825,tbl_WIP[Month],$C$4))</f>
        <v/>
      </c>
      <c r="E825" s="11">
        <f>IF(A825="","",C825+D825)</f>
        <v/>
      </c>
      <c r="F825" s="10">
        <f>IF(A825="","",IF(AND(ROUND(C825,2)=0,ROUND(D825,2)=0),"","yes"))</f>
        <v/>
      </c>
      <c r="G825" s="39" t="n"/>
      <c r="H825" s="11">
        <f>IF(OR(A825="",G825=""),"",E825-G825)</f>
        <v/>
      </c>
    </row>
    <row r="826">
      <c r="A826" s="10">
        <f>IF(INDEX(lst_Jobs,813)="","",INDEX(lst_Jobs,813)&amp;"")</f>
        <v/>
      </c>
      <c r="B826" s="10">
        <f>IF(A826="","",INDEX(lst_JobName,813)&amp;"")</f>
        <v/>
      </c>
      <c r="C826" s="11">
        <f>IF(A826="","",SUMIFS(tbl_WIP[Amount],tbl_WIP[Job Number],A826,tbl_WIP[Month],"&lt;"&amp;$C$4))</f>
        <v/>
      </c>
      <c r="D826" s="11">
        <f>IF(A826="","",SUMIFS(tbl_WIP[Amount],tbl_WIP[Job Number],A826,tbl_WIP[Month],$C$4))</f>
        <v/>
      </c>
      <c r="E826" s="11">
        <f>IF(A826="","",C826+D826)</f>
        <v/>
      </c>
      <c r="F826" s="10">
        <f>IF(A826="","",IF(AND(ROUND(C826,2)=0,ROUND(D826,2)=0),"","yes"))</f>
        <v/>
      </c>
      <c r="G826" s="39" t="n"/>
      <c r="H826" s="11">
        <f>IF(OR(A826="",G826=""),"",E826-G826)</f>
        <v/>
      </c>
    </row>
    <row r="827">
      <c r="A827" s="10">
        <f>IF(INDEX(lst_Jobs,814)="","",INDEX(lst_Jobs,814)&amp;"")</f>
        <v/>
      </c>
      <c r="B827" s="10">
        <f>IF(A827="","",INDEX(lst_JobName,814)&amp;"")</f>
        <v/>
      </c>
      <c r="C827" s="11">
        <f>IF(A827="","",SUMIFS(tbl_WIP[Amount],tbl_WIP[Job Number],A827,tbl_WIP[Month],"&lt;"&amp;$C$4))</f>
        <v/>
      </c>
      <c r="D827" s="11">
        <f>IF(A827="","",SUMIFS(tbl_WIP[Amount],tbl_WIP[Job Number],A827,tbl_WIP[Month],$C$4))</f>
        <v/>
      </c>
      <c r="E827" s="11">
        <f>IF(A827="","",C827+D827)</f>
        <v/>
      </c>
      <c r="F827" s="10">
        <f>IF(A827="","",IF(AND(ROUND(C827,2)=0,ROUND(D827,2)=0),"","yes"))</f>
        <v/>
      </c>
      <c r="G827" s="39" t="n"/>
      <c r="H827" s="11">
        <f>IF(OR(A827="",G827=""),"",E827-G827)</f>
        <v/>
      </c>
    </row>
    <row r="828">
      <c r="A828" s="10">
        <f>IF(INDEX(lst_Jobs,815)="","",INDEX(lst_Jobs,815)&amp;"")</f>
        <v/>
      </c>
      <c r="B828" s="10">
        <f>IF(A828="","",INDEX(lst_JobName,815)&amp;"")</f>
        <v/>
      </c>
      <c r="C828" s="11">
        <f>IF(A828="","",SUMIFS(tbl_WIP[Amount],tbl_WIP[Job Number],A828,tbl_WIP[Month],"&lt;"&amp;$C$4))</f>
        <v/>
      </c>
      <c r="D828" s="11">
        <f>IF(A828="","",SUMIFS(tbl_WIP[Amount],tbl_WIP[Job Number],A828,tbl_WIP[Month],$C$4))</f>
        <v/>
      </c>
      <c r="E828" s="11">
        <f>IF(A828="","",C828+D828)</f>
        <v/>
      </c>
      <c r="F828" s="10">
        <f>IF(A828="","",IF(AND(ROUND(C828,2)=0,ROUND(D828,2)=0),"","yes"))</f>
        <v/>
      </c>
      <c r="G828" s="39" t="n"/>
      <c r="H828" s="11">
        <f>IF(OR(A828="",G828=""),"",E828-G828)</f>
        <v/>
      </c>
    </row>
    <row r="829">
      <c r="A829" s="10">
        <f>IF(INDEX(lst_Jobs,816)="","",INDEX(lst_Jobs,816)&amp;"")</f>
        <v/>
      </c>
      <c r="B829" s="10">
        <f>IF(A829="","",INDEX(lst_JobName,816)&amp;"")</f>
        <v/>
      </c>
      <c r="C829" s="11">
        <f>IF(A829="","",SUMIFS(tbl_WIP[Amount],tbl_WIP[Job Number],A829,tbl_WIP[Month],"&lt;"&amp;$C$4))</f>
        <v/>
      </c>
      <c r="D829" s="11">
        <f>IF(A829="","",SUMIFS(tbl_WIP[Amount],tbl_WIP[Job Number],A829,tbl_WIP[Month],$C$4))</f>
        <v/>
      </c>
      <c r="E829" s="11">
        <f>IF(A829="","",C829+D829)</f>
        <v/>
      </c>
      <c r="F829" s="10">
        <f>IF(A829="","",IF(AND(ROUND(C829,2)=0,ROUND(D829,2)=0),"","yes"))</f>
        <v/>
      </c>
      <c r="G829" s="39" t="n"/>
      <c r="H829" s="11">
        <f>IF(OR(A829="",G829=""),"",E829-G829)</f>
        <v/>
      </c>
    </row>
    <row r="830">
      <c r="A830" s="10">
        <f>IF(INDEX(lst_Jobs,817)="","",INDEX(lst_Jobs,817)&amp;"")</f>
        <v/>
      </c>
      <c r="B830" s="10">
        <f>IF(A830="","",INDEX(lst_JobName,817)&amp;"")</f>
        <v/>
      </c>
      <c r="C830" s="11">
        <f>IF(A830="","",SUMIFS(tbl_WIP[Amount],tbl_WIP[Job Number],A830,tbl_WIP[Month],"&lt;"&amp;$C$4))</f>
        <v/>
      </c>
      <c r="D830" s="11">
        <f>IF(A830="","",SUMIFS(tbl_WIP[Amount],tbl_WIP[Job Number],A830,tbl_WIP[Month],$C$4))</f>
        <v/>
      </c>
      <c r="E830" s="11">
        <f>IF(A830="","",C830+D830)</f>
        <v/>
      </c>
      <c r="F830" s="10">
        <f>IF(A830="","",IF(AND(ROUND(C830,2)=0,ROUND(D830,2)=0),"","yes"))</f>
        <v/>
      </c>
      <c r="G830" s="39" t="n"/>
      <c r="H830" s="11">
        <f>IF(OR(A830="",G830=""),"",E830-G830)</f>
        <v/>
      </c>
    </row>
    <row r="831">
      <c r="A831" s="10">
        <f>IF(INDEX(lst_Jobs,818)="","",INDEX(lst_Jobs,818)&amp;"")</f>
        <v/>
      </c>
      <c r="B831" s="10">
        <f>IF(A831="","",INDEX(lst_JobName,818)&amp;"")</f>
        <v/>
      </c>
      <c r="C831" s="11">
        <f>IF(A831="","",SUMIFS(tbl_WIP[Amount],tbl_WIP[Job Number],A831,tbl_WIP[Month],"&lt;"&amp;$C$4))</f>
        <v/>
      </c>
      <c r="D831" s="11">
        <f>IF(A831="","",SUMIFS(tbl_WIP[Amount],tbl_WIP[Job Number],A831,tbl_WIP[Month],$C$4))</f>
        <v/>
      </c>
      <c r="E831" s="11">
        <f>IF(A831="","",C831+D831)</f>
        <v/>
      </c>
      <c r="F831" s="10">
        <f>IF(A831="","",IF(AND(ROUND(C831,2)=0,ROUND(D831,2)=0),"","yes"))</f>
        <v/>
      </c>
      <c r="G831" s="39" t="n"/>
      <c r="H831" s="11">
        <f>IF(OR(A831="",G831=""),"",E831-G831)</f>
        <v/>
      </c>
    </row>
    <row r="832">
      <c r="A832" s="10">
        <f>IF(INDEX(lst_Jobs,819)="","",INDEX(lst_Jobs,819)&amp;"")</f>
        <v/>
      </c>
      <c r="B832" s="10">
        <f>IF(A832="","",INDEX(lst_JobName,819)&amp;"")</f>
        <v/>
      </c>
      <c r="C832" s="11">
        <f>IF(A832="","",SUMIFS(tbl_WIP[Amount],tbl_WIP[Job Number],A832,tbl_WIP[Month],"&lt;"&amp;$C$4))</f>
        <v/>
      </c>
      <c r="D832" s="11">
        <f>IF(A832="","",SUMIFS(tbl_WIP[Amount],tbl_WIP[Job Number],A832,tbl_WIP[Month],$C$4))</f>
        <v/>
      </c>
      <c r="E832" s="11">
        <f>IF(A832="","",C832+D832)</f>
        <v/>
      </c>
      <c r="F832" s="10">
        <f>IF(A832="","",IF(AND(ROUND(C832,2)=0,ROUND(D832,2)=0),"","yes"))</f>
        <v/>
      </c>
      <c r="G832" s="39" t="n"/>
      <c r="H832" s="11">
        <f>IF(OR(A832="",G832=""),"",E832-G832)</f>
        <v/>
      </c>
    </row>
    <row r="833">
      <c r="A833" s="10">
        <f>IF(INDEX(lst_Jobs,820)="","",INDEX(lst_Jobs,820)&amp;"")</f>
        <v/>
      </c>
      <c r="B833" s="10">
        <f>IF(A833="","",INDEX(lst_JobName,820)&amp;"")</f>
        <v/>
      </c>
      <c r="C833" s="11">
        <f>IF(A833="","",SUMIFS(tbl_WIP[Amount],tbl_WIP[Job Number],A833,tbl_WIP[Month],"&lt;"&amp;$C$4))</f>
        <v/>
      </c>
      <c r="D833" s="11">
        <f>IF(A833="","",SUMIFS(tbl_WIP[Amount],tbl_WIP[Job Number],A833,tbl_WIP[Month],$C$4))</f>
        <v/>
      </c>
      <c r="E833" s="11">
        <f>IF(A833="","",C833+D833)</f>
        <v/>
      </c>
      <c r="F833" s="10">
        <f>IF(A833="","",IF(AND(ROUND(C833,2)=0,ROUND(D833,2)=0),"","yes"))</f>
        <v/>
      </c>
      <c r="G833" s="39" t="n"/>
      <c r="H833" s="11">
        <f>IF(OR(A833="",G833=""),"",E833-G833)</f>
        <v/>
      </c>
    </row>
    <row r="834">
      <c r="A834" s="10">
        <f>IF(INDEX(lst_Jobs,821)="","",INDEX(lst_Jobs,821)&amp;"")</f>
        <v/>
      </c>
      <c r="B834" s="10">
        <f>IF(A834="","",INDEX(lst_JobName,821)&amp;"")</f>
        <v/>
      </c>
      <c r="C834" s="11">
        <f>IF(A834="","",SUMIFS(tbl_WIP[Amount],tbl_WIP[Job Number],A834,tbl_WIP[Month],"&lt;"&amp;$C$4))</f>
        <v/>
      </c>
      <c r="D834" s="11">
        <f>IF(A834="","",SUMIFS(tbl_WIP[Amount],tbl_WIP[Job Number],A834,tbl_WIP[Month],$C$4))</f>
        <v/>
      </c>
      <c r="E834" s="11">
        <f>IF(A834="","",C834+D834)</f>
        <v/>
      </c>
      <c r="F834" s="10">
        <f>IF(A834="","",IF(AND(ROUND(C834,2)=0,ROUND(D834,2)=0),"","yes"))</f>
        <v/>
      </c>
      <c r="G834" s="39" t="n"/>
      <c r="H834" s="11">
        <f>IF(OR(A834="",G834=""),"",E834-G834)</f>
        <v/>
      </c>
    </row>
    <row r="835">
      <c r="A835" s="10">
        <f>IF(INDEX(lst_Jobs,822)="","",INDEX(lst_Jobs,822)&amp;"")</f>
        <v/>
      </c>
      <c r="B835" s="10">
        <f>IF(A835="","",INDEX(lst_JobName,822)&amp;"")</f>
        <v/>
      </c>
      <c r="C835" s="11">
        <f>IF(A835="","",SUMIFS(tbl_WIP[Amount],tbl_WIP[Job Number],A835,tbl_WIP[Month],"&lt;"&amp;$C$4))</f>
        <v/>
      </c>
      <c r="D835" s="11">
        <f>IF(A835="","",SUMIFS(tbl_WIP[Amount],tbl_WIP[Job Number],A835,tbl_WIP[Month],$C$4))</f>
        <v/>
      </c>
      <c r="E835" s="11">
        <f>IF(A835="","",C835+D835)</f>
        <v/>
      </c>
      <c r="F835" s="10">
        <f>IF(A835="","",IF(AND(ROUND(C835,2)=0,ROUND(D835,2)=0),"","yes"))</f>
        <v/>
      </c>
      <c r="G835" s="39" t="n"/>
      <c r="H835" s="11">
        <f>IF(OR(A835="",G835=""),"",E835-G835)</f>
        <v/>
      </c>
    </row>
    <row r="836">
      <c r="A836" s="10">
        <f>IF(INDEX(lst_Jobs,823)="","",INDEX(lst_Jobs,823)&amp;"")</f>
        <v/>
      </c>
      <c r="B836" s="10">
        <f>IF(A836="","",INDEX(lst_JobName,823)&amp;"")</f>
        <v/>
      </c>
      <c r="C836" s="11">
        <f>IF(A836="","",SUMIFS(tbl_WIP[Amount],tbl_WIP[Job Number],A836,tbl_WIP[Month],"&lt;"&amp;$C$4))</f>
        <v/>
      </c>
      <c r="D836" s="11">
        <f>IF(A836="","",SUMIFS(tbl_WIP[Amount],tbl_WIP[Job Number],A836,tbl_WIP[Month],$C$4))</f>
        <v/>
      </c>
      <c r="E836" s="11">
        <f>IF(A836="","",C836+D836)</f>
        <v/>
      </c>
      <c r="F836" s="10">
        <f>IF(A836="","",IF(AND(ROUND(C836,2)=0,ROUND(D836,2)=0),"","yes"))</f>
        <v/>
      </c>
      <c r="G836" s="39" t="n"/>
      <c r="H836" s="11">
        <f>IF(OR(A836="",G836=""),"",E836-G836)</f>
        <v/>
      </c>
    </row>
    <row r="837">
      <c r="A837" s="10">
        <f>IF(INDEX(lst_Jobs,824)="","",INDEX(lst_Jobs,824)&amp;"")</f>
        <v/>
      </c>
      <c r="B837" s="10">
        <f>IF(A837="","",INDEX(lst_JobName,824)&amp;"")</f>
        <v/>
      </c>
      <c r="C837" s="11">
        <f>IF(A837="","",SUMIFS(tbl_WIP[Amount],tbl_WIP[Job Number],A837,tbl_WIP[Month],"&lt;"&amp;$C$4))</f>
        <v/>
      </c>
      <c r="D837" s="11">
        <f>IF(A837="","",SUMIFS(tbl_WIP[Amount],tbl_WIP[Job Number],A837,tbl_WIP[Month],$C$4))</f>
        <v/>
      </c>
      <c r="E837" s="11">
        <f>IF(A837="","",C837+D837)</f>
        <v/>
      </c>
      <c r="F837" s="10">
        <f>IF(A837="","",IF(AND(ROUND(C837,2)=0,ROUND(D837,2)=0),"","yes"))</f>
        <v/>
      </c>
      <c r="G837" s="39" t="n"/>
      <c r="H837" s="11">
        <f>IF(OR(A837="",G837=""),"",E837-G837)</f>
        <v/>
      </c>
    </row>
    <row r="838">
      <c r="A838" s="10">
        <f>IF(INDEX(lst_Jobs,825)="","",INDEX(lst_Jobs,825)&amp;"")</f>
        <v/>
      </c>
      <c r="B838" s="10">
        <f>IF(A838="","",INDEX(lst_JobName,825)&amp;"")</f>
        <v/>
      </c>
      <c r="C838" s="11">
        <f>IF(A838="","",SUMIFS(tbl_WIP[Amount],tbl_WIP[Job Number],A838,tbl_WIP[Month],"&lt;"&amp;$C$4))</f>
        <v/>
      </c>
      <c r="D838" s="11">
        <f>IF(A838="","",SUMIFS(tbl_WIP[Amount],tbl_WIP[Job Number],A838,tbl_WIP[Month],$C$4))</f>
        <v/>
      </c>
      <c r="E838" s="11">
        <f>IF(A838="","",C838+D838)</f>
        <v/>
      </c>
      <c r="F838" s="10">
        <f>IF(A838="","",IF(AND(ROUND(C838,2)=0,ROUND(D838,2)=0),"","yes"))</f>
        <v/>
      </c>
      <c r="G838" s="39" t="n"/>
      <c r="H838" s="11">
        <f>IF(OR(A838="",G838=""),"",E838-G838)</f>
        <v/>
      </c>
    </row>
    <row r="839">
      <c r="A839" s="10">
        <f>IF(INDEX(lst_Jobs,826)="","",INDEX(lst_Jobs,826)&amp;"")</f>
        <v/>
      </c>
      <c r="B839" s="10">
        <f>IF(A839="","",INDEX(lst_JobName,826)&amp;"")</f>
        <v/>
      </c>
      <c r="C839" s="11">
        <f>IF(A839="","",SUMIFS(tbl_WIP[Amount],tbl_WIP[Job Number],A839,tbl_WIP[Month],"&lt;"&amp;$C$4))</f>
        <v/>
      </c>
      <c r="D839" s="11">
        <f>IF(A839="","",SUMIFS(tbl_WIP[Amount],tbl_WIP[Job Number],A839,tbl_WIP[Month],$C$4))</f>
        <v/>
      </c>
      <c r="E839" s="11">
        <f>IF(A839="","",C839+D839)</f>
        <v/>
      </c>
      <c r="F839" s="10">
        <f>IF(A839="","",IF(AND(ROUND(C839,2)=0,ROUND(D839,2)=0),"","yes"))</f>
        <v/>
      </c>
      <c r="G839" s="39" t="n"/>
      <c r="H839" s="11">
        <f>IF(OR(A839="",G839=""),"",E839-G839)</f>
        <v/>
      </c>
    </row>
    <row r="840">
      <c r="A840" s="10">
        <f>IF(INDEX(lst_Jobs,827)="","",INDEX(lst_Jobs,827)&amp;"")</f>
        <v/>
      </c>
      <c r="B840" s="10">
        <f>IF(A840="","",INDEX(lst_JobName,827)&amp;"")</f>
        <v/>
      </c>
      <c r="C840" s="11">
        <f>IF(A840="","",SUMIFS(tbl_WIP[Amount],tbl_WIP[Job Number],A840,tbl_WIP[Month],"&lt;"&amp;$C$4))</f>
        <v/>
      </c>
      <c r="D840" s="11">
        <f>IF(A840="","",SUMIFS(tbl_WIP[Amount],tbl_WIP[Job Number],A840,tbl_WIP[Month],$C$4))</f>
        <v/>
      </c>
      <c r="E840" s="11">
        <f>IF(A840="","",C840+D840)</f>
        <v/>
      </c>
      <c r="F840" s="10">
        <f>IF(A840="","",IF(AND(ROUND(C840,2)=0,ROUND(D840,2)=0),"","yes"))</f>
        <v/>
      </c>
      <c r="G840" s="39" t="n"/>
      <c r="H840" s="11">
        <f>IF(OR(A840="",G840=""),"",E840-G840)</f>
        <v/>
      </c>
    </row>
    <row r="841">
      <c r="A841" s="10">
        <f>IF(INDEX(lst_Jobs,828)="","",INDEX(lst_Jobs,828)&amp;"")</f>
        <v/>
      </c>
      <c r="B841" s="10">
        <f>IF(A841="","",INDEX(lst_JobName,828)&amp;"")</f>
        <v/>
      </c>
      <c r="C841" s="11">
        <f>IF(A841="","",SUMIFS(tbl_WIP[Amount],tbl_WIP[Job Number],A841,tbl_WIP[Month],"&lt;"&amp;$C$4))</f>
        <v/>
      </c>
      <c r="D841" s="11">
        <f>IF(A841="","",SUMIFS(tbl_WIP[Amount],tbl_WIP[Job Number],A841,tbl_WIP[Month],$C$4))</f>
        <v/>
      </c>
      <c r="E841" s="11">
        <f>IF(A841="","",C841+D841)</f>
        <v/>
      </c>
      <c r="F841" s="10">
        <f>IF(A841="","",IF(AND(ROUND(C841,2)=0,ROUND(D841,2)=0),"","yes"))</f>
        <v/>
      </c>
      <c r="G841" s="39" t="n"/>
      <c r="H841" s="11">
        <f>IF(OR(A841="",G841=""),"",E841-G841)</f>
        <v/>
      </c>
    </row>
    <row r="842">
      <c r="A842" s="10">
        <f>IF(INDEX(lst_Jobs,829)="","",INDEX(lst_Jobs,829)&amp;"")</f>
        <v/>
      </c>
      <c r="B842" s="10">
        <f>IF(A842="","",INDEX(lst_JobName,829)&amp;"")</f>
        <v/>
      </c>
      <c r="C842" s="11">
        <f>IF(A842="","",SUMIFS(tbl_WIP[Amount],tbl_WIP[Job Number],A842,tbl_WIP[Month],"&lt;"&amp;$C$4))</f>
        <v/>
      </c>
      <c r="D842" s="11">
        <f>IF(A842="","",SUMIFS(tbl_WIP[Amount],tbl_WIP[Job Number],A842,tbl_WIP[Month],$C$4))</f>
        <v/>
      </c>
      <c r="E842" s="11">
        <f>IF(A842="","",C842+D842)</f>
        <v/>
      </c>
      <c r="F842" s="10">
        <f>IF(A842="","",IF(AND(ROUND(C842,2)=0,ROUND(D842,2)=0),"","yes"))</f>
        <v/>
      </c>
      <c r="G842" s="39" t="n"/>
      <c r="H842" s="11">
        <f>IF(OR(A842="",G842=""),"",E842-G842)</f>
        <v/>
      </c>
    </row>
    <row r="843">
      <c r="A843" s="10">
        <f>IF(INDEX(lst_Jobs,830)="","",INDEX(lst_Jobs,830)&amp;"")</f>
        <v/>
      </c>
      <c r="B843" s="10">
        <f>IF(A843="","",INDEX(lst_JobName,830)&amp;"")</f>
        <v/>
      </c>
      <c r="C843" s="11">
        <f>IF(A843="","",SUMIFS(tbl_WIP[Amount],tbl_WIP[Job Number],A843,tbl_WIP[Month],"&lt;"&amp;$C$4))</f>
        <v/>
      </c>
      <c r="D843" s="11">
        <f>IF(A843="","",SUMIFS(tbl_WIP[Amount],tbl_WIP[Job Number],A843,tbl_WIP[Month],$C$4))</f>
        <v/>
      </c>
      <c r="E843" s="11">
        <f>IF(A843="","",C843+D843)</f>
        <v/>
      </c>
      <c r="F843" s="10">
        <f>IF(A843="","",IF(AND(ROUND(C843,2)=0,ROUND(D843,2)=0),"","yes"))</f>
        <v/>
      </c>
      <c r="G843" s="39" t="n"/>
      <c r="H843" s="11">
        <f>IF(OR(A843="",G843=""),"",E843-G843)</f>
        <v/>
      </c>
    </row>
    <row r="844">
      <c r="A844" s="10">
        <f>IF(INDEX(lst_Jobs,831)="","",INDEX(lst_Jobs,831)&amp;"")</f>
        <v/>
      </c>
      <c r="B844" s="10">
        <f>IF(A844="","",INDEX(lst_JobName,831)&amp;"")</f>
        <v/>
      </c>
      <c r="C844" s="11">
        <f>IF(A844="","",SUMIFS(tbl_WIP[Amount],tbl_WIP[Job Number],A844,tbl_WIP[Month],"&lt;"&amp;$C$4))</f>
        <v/>
      </c>
      <c r="D844" s="11">
        <f>IF(A844="","",SUMIFS(tbl_WIP[Amount],tbl_WIP[Job Number],A844,tbl_WIP[Month],$C$4))</f>
        <v/>
      </c>
      <c r="E844" s="11">
        <f>IF(A844="","",C844+D844)</f>
        <v/>
      </c>
      <c r="F844" s="10">
        <f>IF(A844="","",IF(AND(ROUND(C844,2)=0,ROUND(D844,2)=0),"","yes"))</f>
        <v/>
      </c>
      <c r="G844" s="39" t="n"/>
      <c r="H844" s="11">
        <f>IF(OR(A844="",G844=""),"",E844-G844)</f>
        <v/>
      </c>
    </row>
    <row r="845">
      <c r="A845" s="10">
        <f>IF(INDEX(lst_Jobs,832)="","",INDEX(lst_Jobs,832)&amp;"")</f>
        <v/>
      </c>
      <c r="B845" s="10">
        <f>IF(A845="","",INDEX(lst_JobName,832)&amp;"")</f>
        <v/>
      </c>
      <c r="C845" s="11">
        <f>IF(A845="","",SUMIFS(tbl_WIP[Amount],tbl_WIP[Job Number],A845,tbl_WIP[Month],"&lt;"&amp;$C$4))</f>
        <v/>
      </c>
      <c r="D845" s="11">
        <f>IF(A845="","",SUMIFS(tbl_WIP[Amount],tbl_WIP[Job Number],A845,tbl_WIP[Month],$C$4))</f>
        <v/>
      </c>
      <c r="E845" s="11">
        <f>IF(A845="","",C845+D845)</f>
        <v/>
      </c>
      <c r="F845" s="10">
        <f>IF(A845="","",IF(AND(ROUND(C845,2)=0,ROUND(D845,2)=0),"","yes"))</f>
        <v/>
      </c>
      <c r="G845" s="39" t="n"/>
      <c r="H845" s="11">
        <f>IF(OR(A845="",G845=""),"",E845-G845)</f>
        <v/>
      </c>
    </row>
    <row r="846">
      <c r="A846" s="10">
        <f>IF(INDEX(lst_Jobs,833)="","",INDEX(lst_Jobs,833)&amp;"")</f>
        <v/>
      </c>
      <c r="B846" s="10">
        <f>IF(A846="","",INDEX(lst_JobName,833)&amp;"")</f>
        <v/>
      </c>
      <c r="C846" s="11">
        <f>IF(A846="","",SUMIFS(tbl_WIP[Amount],tbl_WIP[Job Number],A846,tbl_WIP[Month],"&lt;"&amp;$C$4))</f>
        <v/>
      </c>
      <c r="D846" s="11">
        <f>IF(A846="","",SUMIFS(tbl_WIP[Amount],tbl_WIP[Job Number],A846,tbl_WIP[Month],$C$4))</f>
        <v/>
      </c>
      <c r="E846" s="11">
        <f>IF(A846="","",C846+D846)</f>
        <v/>
      </c>
      <c r="F846" s="10">
        <f>IF(A846="","",IF(AND(ROUND(C846,2)=0,ROUND(D846,2)=0),"","yes"))</f>
        <v/>
      </c>
      <c r="G846" s="39" t="n"/>
      <c r="H846" s="11">
        <f>IF(OR(A846="",G846=""),"",E846-G846)</f>
        <v/>
      </c>
    </row>
    <row r="847">
      <c r="A847" s="10">
        <f>IF(INDEX(lst_Jobs,834)="","",INDEX(lst_Jobs,834)&amp;"")</f>
        <v/>
      </c>
      <c r="B847" s="10">
        <f>IF(A847="","",INDEX(lst_JobName,834)&amp;"")</f>
        <v/>
      </c>
      <c r="C847" s="11">
        <f>IF(A847="","",SUMIFS(tbl_WIP[Amount],tbl_WIP[Job Number],A847,tbl_WIP[Month],"&lt;"&amp;$C$4))</f>
        <v/>
      </c>
      <c r="D847" s="11">
        <f>IF(A847="","",SUMIFS(tbl_WIP[Amount],tbl_WIP[Job Number],A847,tbl_WIP[Month],$C$4))</f>
        <v/>
      </c>
      <c r="E847" s="11">
        <f>IF(A847="","",C847+D847)</f>
        <v/>
      </c>
      <c r="F847" s="10">
        <f>IF(A847="","",IF(AND(ROUND(C847,2)=0,ROUND(D847,2)=0),"","yes"))</f>
        <v/>
      </c>
      <c r="G847" s="39" t="n"/>
      <c r="H847" s="11">
        <f>IF(OR(A847="",G847=""),"",E847-G847)</f>
        <v/>
      </c>
    </row>
    <row r="848">
      <c r="A848" s="10">
        <f>IF(INDEX(lst_Jobs,835)="","",INDEX(lst_Jobs,835)&amp;"")</f>
        <v/>
      </c>
      <c r="B848" s="10">
        <f>IF(A848="","",INDEX(lst_JobName,835)&amp;"")</f>
        <v/>
      </c>
      <c r="C848" s="11">
        <f>IF(A848="","",SUMIFS(tbl_WIP[Amount],tbl_WIP[Job Number],A848,tbl_WIP[Month],"&lt;"&amp;$C$4))</f>
        <v/>
      </c>
      <c r="D848" s="11">
        <f>IF(A848="","",SUMIFS(tbl_WIP[Amount],tbl_WIP[Job Number],A848,tbl_WIP[Month],$C$4))</f>
        <v/>
      </c>
      <c r="E848" s="11">
        <f>IF(A848="","",C848+D848)</f>
        <v/>
      </c>
      <c r="F848" s="10">
        <f>IF(A848="","",IF(AND(ROUND(C848,2)=0,ROUND(D848,2)=0),"","yes"))</f>
        <v/>
      </c>
      <c r="G848" s="39" t="n"/>
      <c r="H848" s="11">
        <f>IF(OR(A848="",G848=""),"",E848-G848)</f>
        <v/>
      </c>
    </row>
    <row r="849">
      <c r="A849" s="10">
        <f>IF(INDEX(lst_Jobs,836)="","",INDEX(lst_Jobs,836)&amp;"")</f>
        <v/>
      </c>
      <c r="B849" s="10">
        <f>IF(A849="","",INDEX(lst_JobName,836)&amp;"")</f>
        <v/>
      </c>
      <c r="C849" s="11">
        <f>IF(A849="","",SUMIFS(tbl_WIP[Amount],tbl_WIP[Job Number],A849,tbl_WIP[Month],"&lt;"&amp;$C$4))</f>
        <v/>
      </c>
      <c r="D849" s="11">
        <f>IF(A849="","",SUMIFS(tbl_WIP[Amount],tbl_WIP[Job Number],A849,tbl_WIP[Month],$C$4))</f>
        <v/>
      </c>
      <c r="E849" s="11">
        <f>IF(A849="","",C849+D849)</f>
        <v/>
      </c>
      <c r="F849" s="10">
        <f>IF(A849="","",IF(AND(ROUND(C849,2)=0,ROUND(D849,2)=0),"","yes"))</f>
        <v/>
      </c>
      <c r="G849" s="39" t="n"/>
      <c r="H849" s="11">
        <f>IF(OR(A849="",G849=""),"",E849-G849)</f>
        <v/>
      </c>
    </row>
    <row r="850">
      <c r="A850" s="10">
        <f>IF(INDEX(lst_Jobs,837)="","",INDEX(lst_Jobs,837)&amp;"")</f>
        <v/>
      </c>
      <c r="B850" s="10">
        <f>IF(A850="","",INDEX(lst_JobName,837)&amp;"")</f>
        <v/>
      </c>
      <c r="C850" s="11">
        <f>IF(A850="","",SUMIFS(tbl_WIP[Amount],tbl_WIP[Job Number],A850,tbl_WIP[Month],"&lt;"&amp;$C$4))</f>
        <v/>
      </c>
      <c r="D850" s="11">
        <f>IF(A850="","",SUMIFS(tbl_WIP[Amount],tbl_WIP[Job Number],A850,tbl_WIP[Month],$C$4))</f>
        <v/>
      </c>
      <c r="E850" s="11">
        <f>IF(A850="","",C850+D850)</f>
        <v/>
      </c>
      <c r="F850" s="10">
        <f>IF(A850="","",IF(AND(ROUND(C850,2)=0,ROUND(D850,2)=0),"","yes"))</f>
        <v/>
      </c>
      <c r="G850" s="39" t="n"/>
      <c r="H850" s="11">
        <f>IF(OR(A850="",G850=""),"",E850-G850)</f>
        <v/>
      </c>
    </row>
    <row r="851">
      <c r="A851" s="10">
        <f>IF(INDEX(lst_Jobs,838)="","",INDEX(lst_Jobs,838)&amp;"")</f>
        <v/>
      </c>
      <c r="B851" s="10">
        <f>IF(A851="","",INDEX(lst_JobName,838)&amp;"")</f>
        <v/>
      </c>
      <c r="C851" s="11">
        <f>IF(A851="","",SUMIFS(tbl_WIP[Amount],tbl_WIP[Job Number],A851,tbl_WIP[Month],"&lt;"&amp;$C$4))</f>
        <v/>
      </c>
      <c r="D851" s="11">
        <f>IF(A851="","",SUMIFS(tbl_WIP[Amount],tbl_WIP[Job Number],A851,tbl_WIP[Month],$C$4))</f>
        <v/>
      </c>
      <c r="E851" s="11">
        <f>IF(A851="","",C851+D851)</f>
        <v/>
      </c>
      <c r="F851" s="10">
        <f>IF(A851="","",IF(AND(ROUND(C851,2)=0,ROUND(D851,2)=0),"","yes"))</f>
        <v/>
      </c>
      <c r="G851" s="39" t="n"/>
      <c r="H851" s="11">
        <f>IF(OR(A851="",G851=""),"",E851-G851)</f>
        <v/>
      </c>
    </row>
    <row r="852">
      <c r="A852" s="10">
        <f>IF(INDEX(lst_Jobs,839)="","",INDEX(lst_Jobs,839)&amp;"")</f>
        <v/>
      </c>
      <c r="B852" s="10">
        <f>IF(A852="","",INDEX(lst_JobName,839)&amp;"")</f>
        <v/>
      </c>
      <c r="C852" s="11">
        <f>IF(A852="","",SUMIFS(tbl_WIP[Amount],tbl_WIP[Job Number],A852,tbl_WIP[Month],"&lt;"&amp;$C$4))</f>
        <v/>
      </c>
      <c r="D852" s="11">
        <f>IF(A852="","",SUMIFS(tbl_WIP[Amount],tbl_WIP[Job Number],A852,tbl_WIP[Month],$C$4))</f>
        <v/>
      </c>
      <c r="E852" s="11">
        <f>IF(A852="","",C852+D852)</f>
        <v/>
      </c>
      <c r="F852" s="10">
        <f>IF(A852="","",IF(AND(ROUND(C852,2)=0,ROUND(D852,2)=0),"","yes"))</f>
        <v/>
      </c>
      <c r="G852" s="39" t="n"/>
      <c r="H852" s="11">
        <f>IF(OR(A852="",G852=""),"",E852-G852)</f>
        <v/>
      </c>
    </row>
    <row r="853">
      <c r="A853" s="10">
        <f>IF(INDEX(lst_Jobs,840)="","",INDEX(lst_Jobs,840)&amp;"")</f>
        <v/>
      </c>
      <c r="B853" s="10">
        <f>IF(A853="","",INDEX(lst_JobName,840)&amp;"")</f>
        <v/>
      </c>
      <c r="C853" s="11">
        <f>IF(A853="","",SUMIFS(tbl_WIP[Amount],tbl_WIP[Job Number],A853,tbl_WIP[Month],"&lt;"&amp;$C$4))</f>
        <v/>
      </c>
      <c r="D853" s="11">
        <f>IF(A853="","",SUMIFS(tbl_WIP[Amount],tbl_WIP[Job Number],A853,tbl_WIP[Month],$C$4))</f>
        <v/>
      </c>
      <c r="E853" s="11">
        <f>IF(A853="","",C853+D853)</f>
        <v/>
      </c>
      <c r="F853" s="10">
        <f>IF(A853="","",IF(AND(ROUND(C853,2)=0,ROUND(D853,2)=0),"","yes"))</f>
        <v/>
      </c>
      <c r="G853" s="39" t="n"/>
      <c r="H853" s="11">
        <f>IF(OR(A853="",G853=""),"",E853-G853)</f>
        <v/>
      </c>
    </row>
    <row r="854">
      <c r="A854" s="10">
        <f>IF(INDEX(lst_Jobs,841)="","",INDEX(lst_Jobs,841)&amp;"")</f>
        <v/>
      </c>
      <c r="B854" s="10">
        <f>IF(A854="","",INDEX(lst_JobName,841)&amp;"")</f>
        <v/>
      </c>
      <c r="C854" s="11">
        <f>IF(A854="","",SUMIFS(tbl_WIP[Amount],tbl_WIP[Job Number],A854,tbl_WIP[Month],"&lt;"&amp;$C$4))</f>
        <v/>
      </c>
      <c r="D854" s="11">
        <f>IF(A854="","",SUMIFS(tbl_WIP[Amount],tbl_WIP[Job Number],A854,tbl_WIP[Month],$C$4))</f>
        <v/>
      </c>
      <c r="E854" s="11">
        <f>IF(A854="","",C854+D854)</f>
        <v/>
      </c>
      <c r="F854" s="10">
        <f>IF(A854="","",IF(AND(ROUND(C854,2)=0,ROUND(D854,2)=0),"","yes"))</f>
        <v/>
      </c>
      <c r="G854" s="39" t="n"/>
      <c r="H854" s="11">
        <f>IF(OR(A854="",G854=""),"",E854-G854)</f>
        <v/>
      </c>
    </row>
    <row r="855">
      <c r="A855" s="10">
        <f>IF(INDEX(lst_Jobs,842)="","",INDEX(lst_Jobs,842)&amp;"")</f>
        <v/>
      </c>
      <c r="B855" s="10">
        <f>IF(A855="","",INDEX(lst_JobName,842)&amp;"")</f>
        <v/>
      </c>
      <c r="C855" s="11">
        <f>IF(A855="","",SUMIFS(tbl_WIP[Amount],tbl_WIP[Job Number],A855,tbl_WIP[Month],"&lt;"&amp;$C$4))</f>
        <v/>
      </c>
      <c r="D855" s="11">
        <f>IF(A855="","",SUMIFS(tbl_WIP[Amount],tbl_WIP[Job Number],A855,tbl_WIP[Month],$C$4))</f>
        <v/>
      </c>
      <c r="E855" s="11">
        <f>IF(A855="","",C855+D855)</f>
        <v/>
      </c>
      <c r="F855" s="10">
        <f>IF(A855="","",IF(AND(ROUND(C855,2)=0,ROUND(D855,2)=0),"","yes"))</f>
        <v/>
      </c>
      <c r="G855" s="39" t="n"/>
      <c r="H855" s="11">
        <f>IF(OR(A855="",G855=""),"",E855-G855)</f>
        <v/>
      </c>
    </row>
    <row r="856">
      <c r="A856" s="10">
        <f>IF(INDEX(lst_Jobs,843)="","",INDEX(lst_Jobs,843)&amp;"")</f>
        <v/>
      </c>
      <c r="B856" s="10">
        <f>IF(A856="","",INDEX(lst_JobName,843)&amp;"")</f>
        <v/>
      </c>
      <c r="C856" s="11">
        <f>IF(A856="","",SUMIFS(tbl_WIP[Amount],tbl_WIP[Job Number],A856,tbl_WIP[Month],"&lt;"&amp;$C$4))</f>
        <v/>
      </c>
      <c r="D856" s="11">
        <f>IF(A856="","",SUMIFS(tbl_WIP[Amount],tbl_WIP[Job Number],A856,tbl_WIP[Month],$C$4))</f>
        <v/>
      </c>
      <c r="E856" s="11">
        <f>IF(A856="","",C856+D856)</f>
        <v/>
      </c>
      <c r="F856" s="10">
        <f>IF(A856="","",IF(AND(ROUND(C856,2)=0,ROUND(D856,2)=0),"","yes"))</f>
        <v/>
      </c>
      <c r="G856" s="39" t="n"/>
      <c r="H856" s="11">
        <f>IF(OR(A856="",G856=""),"",E856-G856)</f>
        <v/>
      </c>
    </row>
    <row r="857">
      <c r="A857" s="10">
        <f>IF(INDEX(lst_Jobs,844)="","",INDEX(lst_Jobs,844)&amp;"")</f>
        <v/>
      </c>
      <c r="B857" s="10">
        <f>IF(A857="","",INDEX(lst_JobName,844)&amp;"")</f>
        <v/>
      </c>
      <c r="C857" s="11">
        <f>IF(A857="","",SUMIFS(tbl_WIP[Amount],tbl_WIP[Job Number],A857,tbl_WIP[Month],"&lt;"&amp;$C$4))</f>
        <v/>
      </c>
      <c r="D857" s="11">
        <f>IF(A857="","",SUMIFS(tbl_WIP[Amount],tbl_WIP[Job Number],A857,tbl_WIP[Month],$C$4))</f>
        <v/>
      </c>
      <c r="E857" s="11">
        <f>IF(A857="","",C857+D857)</f>
        <v/>
      </c>
      <c r="F857" s="10">
        <f>IF(A857="","",IF(AND(ROUND(C857,2)=0,ROUND(D857,2)=0),"","yes"))</f>
        <v/>
      </c>
      <c r="G857" s="39" t="n"/>
      <c r="H857" s="11">
        <f>IF(OR(A857="",G857=""),"",E857-G857)</f>
        <v/>
      </c>
    </row>
    <row r="858">
      <c r="A858" s="10">
        <f>IF(INDEX(lst_Jobs,845)="","",INDEX(lst_Jobs,845)&amp;"")</f>
        <v/>
      </c>
      <c r="B858" s="10">
        <f>IF(A858="","",INDEX(lst_JobName,845)&amp;"")</f>
        <v/>
      </c>
      <c r="C858" s="11">
        <f>IF(A858="","",SUMIFS(tbl_WIP[Amount],tbl_WIP[Job Number],A858,tbl_WIP[Month],"&lt;"&amp;$C$4))</f>
        <v/>
      </c>
      <c r="D858" s="11">
        <f>IF(A858="","",SUMIFS(tbl_WIP[Amount],tbl_WIP[Job Number],A858,tbl_WIP[Month],$C$4))</f>
        <v/>
      </c>
      <c r="E858" s="11">
        <f>IF(A858="","",C858+D858)</f>
        <v/>
      </c>
      <c r="F858" s="10">
        <f>IF(A858="","",IF(AND(ROUND(C858,2)=0,ROUND(D858,2)=0),"","yes"))</f>
        <v/>
      </c>
      <c r="G858" s="39" t="n"/>
      <c r="H858" s="11">
        <f>IF(OR(A858="",G858=""),"",E858-G858)</f>
        <v/>
      </c>
    </row>
    <row r="859">
      <c r="A859" s="10">
        <f>IF(INDEX(lst_Jobs,846)="","",INDEX(lst_Jobs,846)&amp;"")</f>
        <v/>
      </c>
      <c r="B859" s="10">
        <f>IF(A859="","",INDEX(lst_JobName,846)&amp;"")</f>
        <v/>
      </c>
      <c r="C859" s="11">
        <f>IF(A859="","",SUMIFS(tbl_WIP[Amount],tbl_WIP[Job Number],A859,tbl_WIP[Month],"&lt;"&amp;$C$4))</f>
        <v/>
      </c>
      <c r="D859" s="11">
        <f>IF(A859="","",SUMIFS(tbl_WIP[Amount],tbl_WIP[Job Number],A859,tbl_WIP[Month],$C$4))</f>
        <v/>
      </c>
      <c r="E859" s="11">
        <f>IF(A859="","",C859+D859)</f>
        <v/>
      </c>
      <c r="F859" s="10">
        <f>IF(A859="","",IF(AND(ROUND(C859,2)=0,ROUND(D859,2)=0),"","yes"))</f>
        <v/>
      </c>
      <c r="G859" s="39" t="n"/>
      <c r="H859" s="11">
        <f>IF(OR(A859="",G859=""),"",E859-G859)</f>
        <v/>
      </c>
    </row>
    <row r="860">
      <c r="A860" s="10">
        <f>IF(INDEX(lst_Jobs,847)="","",INDEX(lst_Jobs,847)&amp;"")</f>
        <v/>
      </c>
      <c r="B860" s="10">
        <f>IF(A860="","",INDEX(lst_JobName,847)&amp;"")</f>
        <v/>
      </c>
      <c r="C860" s="11">
        <f>IF(A860="","",SUMIFS(tbl_WIP[Amount],tbl_WIP[Job Number],A860,tbl_WIP[Month],"&lt;"&amp;$C$4))</f>
        <v/>
      </c>
      <c r="D860" s="11">
        <f>IF(A860="","",SUMIFS(tbl_WIP[Amount],tbl_WIP[Job Number],A860,tbl_WIP[Month],$C$4))</f>
        <v/>
      </c>
      <c r="E860" s="11">
        <f>IF(A860="","",C860+D860)</f>
        <v/>
      </c>
      <c r="F860" s="10">
        <f>IF(A860="","",IF(AND(ROUND(C860,2)=0,ROUND(D860,2)=0),"","yes"))</f>
        <v/>
      </c>
      <c r="G860" s="39" t="n"/>
      <c r="H860" s="11">
        <f>IF(OR(A860="",G860=""),"",E860-G860)</f>
        <v/>
      </c>
    </row>
    <row r="861">
      <c r="A861" s="10">
        <f>IF(INDEX(lst_Jobs,848)="","",INDEX(lst_Jobs,848)&amp;"")</f>
        <v/>
      </c>
      <c r="B861" s="10">
        <f>IF(A861="","",INDEX(lst_JobName,848)&amp;"")</f>
        <v/>
      </c>
      <c r="C861" s="11">
        <f>IF(A861="","",SUMIFS(tbl_WIP[Amount],tbl_WIP[Job Number],A861,tbl_WIP[Month],"&lt;"&amp;$C$4))</f>
        <v/>
      </c>
      <c r="D861" s="11">
        <f>IF(A861="","",SUMIFS(tbl_WIP[Amount],tbl_WIP[Job Number],A861,tbl_WIP[Month],$C$4))</f>
        <v/>
      </c>
      <c r="E861" s="11">
        <f>IF(A861="","",C861+D861)</f>
        <v/>
      </c>
      <c r="F861" s="10">
        <f>IF(A861="","",IF(AND(ROUND(C861,2)=0,ROUND(D861,2)=0),"","yes"))</f>
        <v/>
      </c>
      <c r="G861" s="39" t="n"/>
      <c r="H861" s="11">
        <f>IF(OR(A861="",G861=""),"",E861-G861)</f>
        <v/>
      </c>
    </row>
    <row r="862">
      <c r="A862" s="10">
        <f>IF(INDEX(lst_Jobs,849)="","",INDEX(lst_Jobs,849)&amp;"")</f>
        <v/>
      </c>
      <c r="B862" s="10">
        <f>IF(A862="","",INDEX(lst_JobName,849)&amp;"")</f>
        <v/>
      </c>
      <c r="C862" s="11">
        <f>IF(A862="","",SUMIFS(tbl_WIP[Amount],tbl_WIP[Job Number],A862,tbl_WIP[Month],"&lt;"&amp;$C$4))</f>
        <v/>
      </c>
      <c r="D862" s="11">
        <f>IF(A862="","",SUMIFS(tbl_WIP[Amount],tbl_WIP[Job Number],A862,tbl_WIP[Month],$C$4))</f>
        <v/>
      </c>
      <c r="E862" s="11">
        <f>IF(A862="","",C862+D862)</f>
        <v/>
      </c>
      <c r="F862" s="10">
        <f>IF(A862="","",IF(AND(ROUND(C862,2)=0,ROUND(D862,2)=0),"","yes"))</f>
        <v/>
      </c>
      <c r="G862" s="39" t="n"/>
      <c r="H862" s="11">
        <f>IF(OR(A862="",G862=""),"",E862-G862)</f>
        <v/>
      </c>
    </row>
    <row r="863">
      <c r="A863" s="10">
        <f>IF(INDEX(lst_Jobs,850)="","",INDEX(lst_Jobs,850)&amp;"")</f>
        <v/>
      </c>
      <c r="B863" s="10">
        <f>IF(A863="","",INDEX(lst_JobName,850)&amp;"")</f>
        <v/>
      </c>
      <c r="C863" s="11">
        <f>IF(A863="","",SUMIFS(tbl_WIP[Amount],tbl_WIP[Job Number],A863,tbl_WIP[Month],"&lt;"&amp;$C$4))</f>
        <v/>
      </c>
      <c r="D863" s="11">
        <f>IF(A863="","",SUMIFS(tbl_WIP[Amount],tbl_WIP[Job Number],A863,tbl_WIP[Month],$C$4))</f>
        <v/>
      </c>
      <c r="E863" s="11">
        <f>IF(A863="","",C863+D863)</f>
        <v/>
      </c>
      <c r="F863" s="10">
        <f>IF(A863="","",IF(AND(ROUND(C863,2)=0,ROUND(D863,2)=0),"","yes"))</f>
        <v/>
      </c>
      <c r="G863" s="39" t="n"/>
      <c r="H863" s="11">
        <f>IF(OR(A863="",G863=""),"",E863-G863)</f>
        <v/>
      </c>
    </row>
    <row r="864">
      <c r="A864" s="10">
        <f>IF(INDEX(lst_Jobs,851)="","",INDEX(lst_Jobs,851)&amp;"")</f>
        <v/>
      </c>
      <c r="B864" s="10">
        <f>IF(A864="","",INDEX(lst_JobName,851)&amp;"")</f>
        <v/>
      </c>
      <c r="C864" s="11">
        <f>IF(A864="","",SUMIFS(tbl_WIP[Amount],tbl_WIP[Job Number],A864,tbl_WIP[Month],"&lt;"&amp;$C$4))</f>
        <v/>
      </c>
      <c r="D864" s="11">
        <f>IF(A864="","",SUMIFS(tbl_WIP[Amount],tbl_WIP[Job Number],A864,tbl_WIP[Month],$C$4))</f>
        <v/>
      </c>
      <c r="E864" s="11">
        <f>IF(A864="","",C864+D864)</f>
        <v/>
      </c>
      <c r="F864" s="10">
        <f>IF(A864="","",IF(AND(ROUND(C864,2)=0,ROUND(D864,2)=0),"","yes"))</f>
        <v/>
      </c>
      <c r="G864" s="39" t="n"/>
      <c r="H864" s="11">
        <f>IF(OR(A864="",G864=""),"",E864-G864)</f>
        <v/>
      </c>
    </row>
    <row r="865">
      <c r="A865" s="10">
        <f>IF(INDEX(lst_Jobs,852)="","",INDEX(lst_Jobs,852)&amp;"")</f>
        <v/>
      </c>
      <c r="B865" s="10">
        <f>IF(A865="","",INDEX(lst_JobName,852)&amp;"")</f>
        <v/>
      </c>
      <c r="C865" s="11">
        <f>IF(A865="","",SUMIFS(tbl_WIP[Amount],tbl_WIP[Job Number],A865,tbl_WIP[Month],"&lt;"&amp;$C$4))</f>
        <v/>
      </c>
      <c r="D865" s="11">
        <f>IF(A865="","",SUMIFS(tbl_WIP[Amount],tbl_WIP[Job Number],A865,tbl_WIP[Month],$C$4))</f>
        <v/>
      </c>
      <c r="E865" s="11">
        <f>IF(A865="","",C865+D865)</f>
        <v/>
      </c>
      <c r="F865" s="10">
        <f>IF(A865="","",IF(AND(ROUND(C865,2)=0,ROUND(D865,2)=0),"","yes"))</f>
        <v/>
      </c>
      <c r="G865" s="39" t="n"/>
      <c r="H865" s="11">
        <f>IF(OR(A865="",G865=""),"",E865-G865)</f>
        <v/>
      </c>
    </row>
    <row r="866">
      <c r="A866" s="10">
        <f>IF(INDEX(lst_Jobs,853)="","",INDEX(lst_Jobs,853)&amp;"")</f>
        <v/>
      </c>
      <c r="B866" s="10">
        <f>IF(A866="","",INDEX(lst_JobName,853)&amp;"")</f>
        <v/>
      </c>
      <c r="C866" s="11">
        <f>IF(A866="","",SUMIFS(tbl_WIP[Amount],tbl_WIP[Job Number],A866,tbl_WIP[Month],"&lt;"&amp;$C$4))</f>
        <v/>
      </c>
      <c r="D866" s="11">
        <f>IF(A866="","",SUMIFS(tbl_WIP[Amount],tbl_WIP[Job Number],A866,tbl_WIP[Month],$C$4))</f>
        <v/>
      </c>
      <c r="E866" s="11">
        <f>IF(A866="","",C866+D866)</f>
        <v/>
      </c>
      <c r="F866" s="10">
        <f>IF(A866="","",IF(AND(ROUND(C866,2)=0,ROUND(D866,2)=0),"","yes"))</f>
        <v/>
      </c>
      <c r="G866" s="39" t="n"/>
      <c r="H866" s="11">
        <f>IF(OR(A866="",G866=""),"",E866-G866)</f>
        <v/>
      </c>
    </row>
    <row r="867">
      <c r="A867" s="10">
        <f>IF(INDEX(lst_Jobs,854)="","",INDEX(lst_Jobs,854)&amp;"")</f>
        <v/>
      </c>
      <c r="B867" s="10">
        <f>IF(A867="","",INDEX(lst_JobName,854)&amp;"")</f>
        <v/>
      </c>
      <c r="C867" s="11">
        <f>IF(A867="","",SUMIFS(tbl_WIP[Amount],tbl_WIP[Job Number],A867,tbl_WIP[Month],"&lt;"&amp;$C$4))</f>
        <v/>
      </c>
      <c r="D867" s="11">
        <f>IF(A867="","",SUMIFS(tbl_WIP[Amount],tbl_WIP[Job Number],A867,tbl_WIP[Month],$C$4))</f>
        <v/>
      </c>
      <c r="E867" s="11">
        <f>IF(A867="","",C867+D867)</f>
        <v/>
      </c>
      <c r="F867" s="10">
        <f>IF(A867="","",IF(AND(ROUND(C867,2)=0,ROUND(D867,2)=0),"","yes"))</f>
        <v/>
      </c>
      <c r="G867" s="39" t="n"/>
      <c r="H867" s="11">
        <f>IF(OR(A867="",G867=""),"",E867-G867)</f>
        <v/>
      </c>
    </row>
    <row r="868">
      <c r="A868" s="10">
        <f>IF(INDEX(lst_Jobs,855)="","",INDEX(lst_Jobs,855)&amp;"")</f>
        <v/>
      </c>
      <c r="B868" s="10">
        <f>IF(A868="","",INDEX(lst_JobName,855)&amp;"")</f>
        <v/>
      </c>
      <c r="C868" s="11">
        <f>IF(A868="","",SUMIFS(tbl_WIP[Amount],tbl_WIP[Job Number],A868,tbl_WIP[Month],"&lt;"&amp;$C$4))</f>
        <v/>
      </c>
      <c r="D868" s="11">
        <f>IF(A868="","",SUMIFS(tbl_WIP[Amount],tbl_WIP[Job Number],A868,tbl_WIP[Month],$C$4))</f>
        <v/>
      </c>
      <c r="E868" s="11">
        <f>IF(A868="","",C868+D868)</f>
        <v/>
      </c>
      <c r="F868" s="10">
        <f>IF(A868="","",IF(AND(ROUND(C868,2)=0,ROUND(D868,2)=0),"","yes"))</f>
        <v/>
      </c>
      <c r="G868" s="39" t="n"/>
      <c r="H868" s="11">
        <f>IF(OR(A868="",G868=""),"",E868-G868)</f>
        <v/>
      </c>
    </row>
    <row r="869">
      <c r="A869" s="10">
        <f>IF(INDEX(lst_Jobs,856)="","",INDEX(lst_Jobs,856)&amp;"")</f>
        <v/>
      </c>
      <c r="B869" s="10">
        <f>IF(A869="","",INDEX(lst_JobName,856)&amp;"")</f>
        <v/>
      </c>
      <c r="C869" s="11">
        <f>IF(A869="","",SUMIFS(tbl_WIP[Amount],tbl_WIP[Job Number],A869,tbl_WIP[Month],"&lt;"&amp;$C$4))</f>
        <v/>
      </c>
      <c r="D869" s="11">
        <f>IF(A869="","",SUMIFS(tbl_WIP[Amount],tbl_WIP[Job Number],A869,tbl_WIP[Month],$C$4))</f>
        <v/>
      </c>
      <c r="E869" s="11">
        <f>IF(A869="","",C869+D869)</f>
        <v/>
      </c>
      <c r="F869" s="10">
        <f>IF(A869="","",IF(AND(ROUND(C869,2)=0,ROUND(D869,2)=0),"","yes"))</f>
        <v/>
      </c>
      <c r="G869" s="39" t="n"/>
      <c r="H869" s="11">
        <f>IF(OR(A869="",G869=""),"",E869-G869)</f>
        <v/>
      </c>
    </row>
    <row r="870">
      <c r="A870" s="10">
        <f>IF(INDEX(lst_Jobs,857)="","",INDEX(lst_Jobs,857)&amp;"")</f>
        <v/>
      </c>
      <c r="B870" s="10">
        <f>IF(A870="","",INDEX(lst_JobName,857)&amp;"")</f>
        <v/>
      </c>
      <c r="C870" s="11">
        <f>IF(A870="","",SUMIFS(tbl_WIP[Amount],tbl_WIP[Job Number],A870,tbl_WIP[Month],"&lt;"&amp;$C$4))</f>
        <v/>
      </c>
      <c r="D870" s="11">
        <f>IF(A870="","",SUMIFS(tbl_WIP[Amount],tbl_WIP[Job Number],A870,tbl_WIP[Month],$C$4))</f>
        <v/>
      </c>
      <c r="E870" s="11">
        <f>IF(A870="","",C870+D870)</f>
        <v/>
      </c>
      <c r="F870" s="10">
        <f>IF(A870="","",IF(AND(ROUND(C870,2)=0,ROUND(D870,2)=0),"","yes"))</f>
        <v/>
      </c>
      <c r="G870" s="39" t="n"/>
      <c r="H870" s="11">
        <f>IF(OR(A870="",G870=""),"",E870-G870)</f>
        <v/>
      </c>
    </row>
    <row r="871">
      <c r="A871" s="10">
        <f>IF(INDEX(lst_Jobs,858)="","",INDEX(lst_Jobs,858)&amp;"")</f>
        <v/>
      </c>
      <c r="B871" s="10">
        <f>IF(A871="","",INDEX(lst_JobName,858)&amp;"")</f>
        <v/>
      </c>
      <c r="C871" s="11">
        <f>IF(A871="","",SUMIFS(tbl_WIP[Amount],tbl_WIP[Job Number],A871,tbl_WIP[Month],"&lt;"&amp;$C$4))</f>
        <v/>
      </c>
      <c r="D871" s="11">
        <f>IF(A871="","",SUMIFS(tbl_WIP[Amount],tbl_WIP[Job Number],A871,tbl_WIP[Month],$C$4))</f>
        <v/>
      </c>
      <c r="E871" s="11">
        <f>IF(A871="","",C871+D871)</f>
        <v/>
      </c>
      <c r="F871" s="10">
        <f>IF(A871="","",IF(AND(ROUND(C871,2)=0,ROUND(D871,2)=0),"","yes"))</f>
        <v/>
      </c>
      <c r="G871" s="39" t="n"/>
      <c r="H871" s="11">
        <f>IF(OR(A871="",G871=""),"",E871-G871)</f>
        <v/>
      </c>
    </row>
    <row r="872">
      <c r="A872" s="10">
        <f>IF(INDEX(lst_Jobs,859)="","",INDEX(lst_Jobs,859)&amp;"")</f>
        <v/>
      </c>
      <c r="B872" s="10">
        <f>IF(A872="","",INDEX(lst_JobName,859)&amp;"")</f>
        <v/>
      </c>
      <c r="C872" s="11">
        <f>IF(A872="","",SUMIFS(tbl_WIP[Amount],tbl_WIP[Job Number],A872,tbl_WIP[Month],"&lt;"&amp;$C$4))</f>
        <v/>
      </c>
      <c r="D872" s="11">
        <f>IF(A872="","",SUMIFS(tbl_WIP[Amount],tbl_WIP[Job Number],A872,tbl_WIP[Month],$C$4))</f>
        <v/>
      </c>
      <c r="E872" s="11">
        <f>IF(A872="","",C872+D872)</f>
        <v/>
      </c>
      <c r="F872" s="10">
        <f>IF(A872="","",IF(AND(ROUND(C872,2)=0,ROUND(D872,2)=0),"","yes"))</f>
        <v/>
      </c>
      <c r="G872" s="39" t="n"/>
      <c r="H872" s="11">
        <f>IF(OR(A872="",G872=""),"",E872-G872)</f>
        <v/>
      </c>
    </row>
    <row r="873">
      <c r="A873" s="10">
        <f>IF(INDEX(lst_Jobs,860)="","",INDEX(lst_Jobs,860)&amp;"")</f>
        <v/>
      </c>
      <c r="B873" s="10">
        <f>IF(A873="","",INDEX(lst_JobName,860)&amp;"")</f>
        <v/>
      </c>
      <c r="C873" s="11">
        <f>IF(A873="","",SUMIFS(tbl_WIP[Amount],tbl_WIP[Job Number],A873,tbl_WIP[Month],"&lt;"&amp;$C$4))</f>
        <v/>
      </c>
      <c r="D873" s="11">
        <f>IF(A873="","",SUMIFS(tbl_WIP[Amount],tbl_WIP[Job Number],A873,tbl_WIP[Month],$C$4))</f>
        <v/>
      </c>
      <c r="E873" s="11">
        <f>IF(A873="","",C873+D873)</f>
        <v/>
      </c>
      <c r="F873" s="10">
        <f>IF(A873="","",IF(AND(ROUND(C873,2)=0,ROUND(D873,2)=0),"","yes"))</f>
        <v/>
      </c>
      <c r="G873" s="39" t="n"/>
      <c r="H873" s="11">
        <f>IF(OR(A873="",G873=""),"",E873-G873)</f>
        <v/>
      </c>
    </row>
    <row r="874">
      <c r="A874" s="10">
        <f>IF(INDEX(lst_Jobs,861)="","",INDEX(lst_Jobs,861)&amp;"")</f>
        <v/>
      </c>
      <c r="B874" s="10">
        <f>IF(A874="","",INDEX(lst_JobName,861)&amp;"")</f>
        <v/>
      </c>
      <c r="C874" s="11">
        <f>IF(A874="","",SUMIFS(tbl_WIP[Amount],tbl_WIP[Job Number],A874,tbl_WIP[Month],"&lt;"&amp;$C$4))</f>
        <v/>
      </c>
      <c r="D874" s="11">
        <f>IF(A874="","",SUMIFS(tbl_WIP[Amount],tbl_WIP[Job Number],A874,tbl_WIP[Month],$C$4))</f>
        <v/>
      </c>
      <c r="E874" s="11">
        <f>IF(A874="","",C874+D874)</f>
        <v/>
      </c>
      <c r="F874" s="10">
        <f>IF(A874="","",IF(AND(ROUND(C874,2)=0,ROUND(D874,2)=0),"","yes"))</f>
        <v/>
      </c>
      <c r="G874" s="39" t="n"/>
      <c r="H874" s="11">
        <f>IF(OR(A874="",G874=""),"",E874-G874)</f>
        <v/>
      </c>
    </row>
    <row r="875">
      <c r="A875" s="10">
        <f>IF(INDEX(lst_Jobs,862)="","",INDEX(lst_Jobs,862)&amp;"")</f>
        <v/>
      </c>
      <c r="B875" s="10">
        <f>IF(A875="","",INDEX(lst_JobName,862)&amp;"")</f>
        <v/>
      </c>
      <c r="C875" s="11">
        <f>IF(A875="","",SUMIFS(tbl_WIP[Amount],tbl_WIP[Job Number],A875,tbl_WIP[Month],"&lt;"&amp;$C$4))</f>
        <v/>
      </c>
      <c r="D875" s="11">
        <f>IF(A875="","",SUMIFS(tbl_WIP[Amount],tbl_WIP[Job Number],A875,tbl_WIP[Month],$C$4))</f>
        <v/>
      </c>
      <c r="E875" s="11">
        <f>IF(A875="","",C875+D875)</f>
        <v/>
      </c>
      <c r="F875" s="10">
        <f>IF(A875="","",IF(AND(ROUND(C875,2)=0,ROUND(D875,2)=0),"","yes"))</f>
        <v/>
      </c>
      <c r="G875" s="39" t="n"/>
      <c r="H875" s="11">
        <f>IF(OR(A875="",G875=""),"",E875-G875)</f>
        <v/>
      </c>
    </row>
    <row r="876">
      <c r="A876" s="10">
        <f>IF(INDEX(lst_Jobs,863)="","",INDEX(lst_Jobs,863)&amp;"")</f>
        <v/>
      </c>
      <c r="B876" s="10">
        <f>IF(A876="","",INDEX(lst_JobName,863)&amp;"")</f>
        <v/>
      </c>
      <c r="C876" s="11">
        <f>IF(A876="","",SUMIFS(tbl_WIP[Amount],tbl_WIP[Job Number],A876,tbl_WIP[Month],"&lt;"&amp;$C$4))</f>
        <v/>
      </c>
      <c r="D876" s="11">
        <f>IF(A876="","",SUMIFS(tbl_WIP[Amount],tbl_WIP[Job Number],A876,tbl_WIP[Month],$C$4))</f>
        <v/>
      </c>
      <c r="E876" s="11">
        <f>IF(A876="","",C876+D876)</f>
        <v/>
      </c>
      <c r="F876" s="10">
        <f>IF(A876="","",IF(AND(ROUND(C876,2)=0,ROUND(D876,2)=0),"","yes"))</f>
        <v/>
      </c>
      <c r="G876" s="39" t="n"/>
      <c r="H876" s="11">
        <f>IF(OR(A876="",G876=""),"",E876-G876)</f>
        <v/>
      </c>
    </row>
    <row r="877">
      <c r="A877" s="10">
        <f>IF(INDEX(lst_Jobs,864)="","",INDEX(lst_Jobs,864)&amp;"")</f>
        <v/>
      </c>
      <c r="B877" s="10">
        <f>IF(A877="","",INDEX(lst_JobName,864)&amp;"")</f>
        <v/>
      </c>
      <c r="C877" s="11">
        <f>IF(A877="","",SUMIFS(tbl_WIP[Amount],tbl_WIP[Job Number],A877,tbl_WIP[Month],"&lt;"&amp;$C$4))</f>
        <v/>
      </c>
      <c r="D877" s="11">
        <f>IF(A877="","",SUMIFS(tbl_WIP[Amount],tbl_WIP[Job Number],A877,tbl_WIP[Month],$C$4))</f>
        <v/>
      </c>
      <c r="E877" s="11">
        <f>IF(A877="","",C877+D877)</f>
        <v/>
      </c>
      <c r="F877" s="10">
        <f>IF(A877="","",IF(AND(ROUND(C877,2)=0,ROUND(D877,2)=0),"","yes"))</f>
        <v/>
      </c>
      <c r="G877" s="39" t="n"/>
      <c r="H877" s="11">
        <f>IF(OR(A877="",G877=""),"",E877-G877)</f>
        <v/>
      </c>
    </row>
    <row r="878">
      <c r="A878" s="10">
        <f>IF(INDEX(lst_Jobs,865)="","",INDEX(lst_Jobs,865)&amp;"")</f>
        <v/>
      </c>
      <c r="B878" s="10">
        <f>IF(A878="","",INDEX(lst_JobName,865)&amp;"")</f>
        <v/>
      </c>
      <c r="C878" s="11">
        <f>IF(A878="","",SUMIFS(tbl_WIP[Amount],tbl_WIP[Job Number],A878,tbl_WIP[Month],"&lt;"&amp;$C$4))</f>
        <v/>
      </c>
      <c r="D878" s="11">
        <f>IF(A878="","",SUMIFS(tbl_WIP[Amount],tbl_WIP[Job Number],A878,tbl_WIP[Month],$C$4))</f>
        <v/>
      </c>
      <c r="E878" s="11">
        <f>IF(A878="","",C878+D878)</f>
        <v/>
      </c>
      <c r="F878" s="10">
        <f>IF(A878="","",IF(AND(ROUND(C878,2)=0,ROUND(D878,2)=0),"","yes"))</f>
        <v/>
      </c>
      <c r="G878" s="39" t="n"/>
      <c r="H878" s="11">
        <f>IF(OR(A878="",G878=""),"",E878-G878)</f>
        <v/>
      </c>
    </row>
    <row r="879">
      <c r="A879" s="10">
        <f>IF(INDEX(lst_Jobs,866)="","",INDEX(lst_Jobs,866)&amp;"")</f>
        <v/>
      </c>
      <c r="B879" s="10">
        <f>IF(A879="","",INDEX(lst_JobName,866)&amp;"")</f>
        <v/>
      </c>
      <c r="C879" s="11">
        <f>IF(A879="","",SUMIFS(tbl_WIP[Amount],tbl_WIP[Job Number],A879,tbl_WIP[Month],"&lt;"&amp;$C$4))</f>
        <v/>
      </c>
      <c r="D879" s="11">
        <f>IF(A879="","",SUMIFS(tbl_WIP[Amount],tbl_WIP[Job Number],A879,tbl_WIP[Month],$C$4))</f>
        <v/>
      </c>
      <c r="E879" s="11">
        <f>IF(A879="","",C879+D879)</f>
        <v/>
      </c>
      <c r="F879" s="10">
        <f>IF(A879="","",IF(AND(ROUND(C879,2)=0,ROUND(D879,2)=0),"","yes"))</f>
        <v/>
      </c>
      <c r="G879" s="39" t="n"/>
      <c r="H879" s="11">
        <f>IF(OR(A879="",G879=""),"",E879-G879)</f>
        <v/>
      </c>
    </row>
    <row r="880">
      <c r="A880" s="10">
        <f>IF(INDEX(lst_Jobs,867)="","",INDEX(lst_Jobs,867)&amp;"")</f>
        <v/>
      </c>
      <c r="B880" s="10">
        <f>IF(A880="","",INDEX(lst_JobName,867)&amp;"")</f>
        <v/>
      </c>
      <c r="C880" s="11">
        <f>IF(A880="","",SUMIFS(tbl_WIP[Amount],tbl_WIP[Job Number],A880,tbl_WIP[Month],"&lt;"&amp;$C$4))</f>
        <v/>
      </c>
      <c r="D880" s="11">
        <f>IF(A880="","",SUMIFS(tbl_WIP[Amount],tbl_WIP[Job Number],A880,tbl_WIP[Month],$C$4))</f>
        <v/>
      </c>
      <c r="E880" s="11">
        <f>IF(A880="","",C880+D880)</f>
        <v/>
      </c>
      <c r="F880" s="10">
        <f>IF(A880="","",IF(AND(ROUND(C880,2)=0,ROUND(D880,2)=0),"","yes"))</f>
        <v/>
      </c>
      <c r="G880" s="39" t="n"/>
      <c r="H880" s="11">
        <f>IF(OR(A880="",G880=""),"",E880-G880)</f>
        <v/>
      </c>
    </row>
    <row r="881">
      <c r="A881" s="10">
        <f>IF(INDEX(lst_Jobs,868)="","",INDEX(lst_Jobs,868)&amp;"")</f>
        <v/>
      </c>
      <c r="B881" s="10">
        <f>IF(A881="","",INDEX(lst_JobName,868)&amp;"")</f>
        <v/>
      </c>
      <c r="C881" s="11">
        <f>IF(A881="","",SUMIFS(tbl_WIP[Amount],tbl_WIP[Job Number],A881,tbl_WIP[Month],"&lt;"&amp;$C$4))</f>
        <v/>
      </c>
      <c r="D881" s="11">
        <f>IF(A881="","",SUMIFS(tbl_WIP[Amount],tbl_WIP[Job Number],A881,tbl_WIP[Month],$C$4))</f>
        <v/>
      </c>
      <c r="E881" s="11">
        <f>IF(A881="","",C881+D881)</f>
        <v/>
      </c>
      <c r="F881" s="10">
        <f>IF(A881="","",IF(AND(ROUND(C881,2)=0,ROUND(D881,2)=0),"","yes"))</f>
        <v/>
      </c>
      <c r="G881" s="39" t="n"/>
      <c r="H881" s="11">
        <f>IF(OR(A881="",G881=""),"",E881-G881)</f>
        <v/>
      </c>
    </row>
    <row r="882">
      <c r="A882" s="10">
        <f>IF(INDEX(lst_Jobs,869)="","",INDEX(lst_Jobs,869)&amp;"")</f>
        <v/>
      </c>
      <c r="B882" s="10">
        <f>IF(A882="","",INDEX(lst_JobName,869)&amp;"")</f>
        <v/>
      </c>
      <c r="C882" s="11">
        <f>IF(A882="","",SUMIFS(tbl_WIP[Amount],tbl_WIP[Job Number],A882,tbl_WIP[Month],"&lt;"&amp;$C$4))</f>
        <v/>
      </c>
      <c r="D882" s="11">
        <f>IF(A882="","",SUMIFS(tbl_WIP[Amount],tbl_WIP[Job Number],A882,tbl_WIP[Month],$C$4))</f>
        <v/>
      </c>
      <c r="E882" s="11">
        <f>IF(A882="","",C882+D882)</f>
        <v/>
      </c>
      <c r="F882" s="10">
        <f>IF(A882="","",IF(AND(ROUND(C882,2)=0,ROUND(D882,2)=0),"","yes"))</f>
        <v/>
      </c>
      <c r="G882" s="39" t="n"/>
      <c r="H882" s="11">
        <f>IF(OR(A882="",G882=""),"",E882-G882)</f>
        <v/>
      </c>
    </row>
    <row r="883">
      <c r="A883" s="10">
        <f>IF(INDEX(lst_Jobs,870)="","",INDEX(lst_Jobs,870)&amp;"")</f>
        <v/>
      </c>
      <c r="B883" s="10">
        <f>IF(A883="","",INDEX(lst_JobName,870)&amp;"")</f>
        <v/>
      </c>
      <c r="C883" s="11">
        <f>IF(A883="","",SUMIFS(tbl_WIP[Amount],tbl_WIP[Job Number],A883,tbl_WIP[Month],"&lt;"&amp;$C$4))</f>
        <v/>
      </c>
      <c r="D883" s="11">
        <f>IF(A883="","",SUMIFS(tbl_WIP[Amount],tbl_WIP[Job Number],A883,tbl_WIP[Month],$C$4))</f>
        <v/>
      </c>
      <c r="E883" s="11">
        <f>IF(A883="","",C883+D883)</f>
        <v/>
      </c>
      <c r="F883" s="10">
        <f>IF(A883="","",IF(AND(ROUND(C883,2)=0,ROUND(D883,2)=0),"","yes"))</f>
        <v/>
      </c>
      <c r="G883" s="39" t="n"/>
      <c r="H883" s="11">
        <f>IF(OR(A883="",G883=""),"",E883-G883)</f>
        <v/>
      </c>
    </row>
    <row r="884">
      <c r="A884" s="10">
        <f>IF(INDEX(lst_Jobs,871)="","",INDEX(lst_Jobs,871)&amp;"")</f>
        <v/>
      </c>
      <c r="B884" s="10">
        <f>IF(A884="","",INDEX(lst_JobName,871)&amp;"")</f>
        <v/>
      </c>
      <c r="C884" s="11">
        <f>IF(A884="","",SUMIFS(tbl_WIP[Amount],tbl_WIP[Job Number],A884,tbl_WIP[Month],"&lt;"&amp;$C$4))</f>
        <v/>
      </c>
      <c r="D884" s="11">
        <f>IF(A884="","",SUMIFS(tbl_WIP[Amount],tbl_WIP[Job Number],A884,tbl_WIP[Month],$C$4))</f>
        <v/>
      </c>
      <c r="E884" s="11">
        <f>IF(A884="","",C884+D884)</f>
        <v/>
      </c>
      <c r="F884" s="10">
        <f>IF(A884="","",IF(AND(ROUND(C884,2)=0,ROUND(D884,2)=0),"","yes"))</f>
        <v/>
      </c>
      <c r="G884" s="39" t="n"/>
      <c r="H884" s="11">
        <f>IF(OR(A884="",G884=""),"",E884-G884)</f>
        <v/>
      </c>
    </row>
    <row r="885">
      <c r="A885" s="10">
        <f>IF(INDEX(lst_Jobs,872)="","",INDEX(lst_Jobs,872)&amp;"")</f>
        <v/>
      </c>
      <c r="B885" s="10">
        <f>IF(A885="","",INDEX(lst_JobName,872)&amp;"")</f>
        <v/>
      </c>
      <c r="C885" s="11">
        <f>IF(A885="","",SUMIFS(tbl_WIP[Amount],tbl_WIP[Job Number],A885,tbl_WIP[Month],"&lt;"&amp;$C$4))</f>
        <v/>
      </c>
      <c r="D885" s="11">
        <f>IF(A885="","",SUMIFS(tbl_WIP[Amount],tbl_WIP[Job Number],A885,tbl_WIP[Month],$C$4))</f>
        <v/>
      </c>
      <c r="E885" s="11">
        <f>IF(A885="","",C885+D885)</f>
        <v/>
      </c>
      <c r="F885" s="10">
        <f>IF(A885="","",IF(AND(ROUND(C885,2)=0,ROUND(D885,2)=0),"","yes"))</f>
        <v/>
      </c>
      <c r="G885" s="39" t="n"/>
      <c r="H885" s="11">
        <f>IF(OR(A885="",G885=""),"",E885-G885)</f>
        <v/>
      </c>
    </row>
    <row r="886">
      <c r="A886" s="10">
        <f>IF(INDEX(lst_Jobs,873)="","",INDEX(lst_Jobs,873)&amp;"")</f>
        <v/>
      </c>
      <c r="B886" s="10">
        <f>IF(A886="","",INDEX(lst_JobName,873)&amp;"")</f>
        <v/>
      </c>
      <c r="C886" s="11">
        <f>IF(A886="","",SUMIFS(tbl_WIP[Amount],tbl_WIP[Job Number],A886,tbl_WIP[Month],"&lt;"&amp;$C$4))</f>
        <v/>
      </c>
      <c r="D886" s="11">
        <f>IF(A886="","",SUMIFS(tbl_WIP[Amount],tbl_WIP[Job Number],A886,tbl_WIP[Month],$C$4))</f>
        <v/>
      </c>
      <c r="E886" s="11">
        <f>IF(A886="","",C886+D886)</f>
        <v/>
      </c>
      <c r="F886" s="10">
        <f>IF(A886="","",IF(AND(ROUND(C886,2)=0,ROUND(D886,2)=0),"","yes"))</f>
        <v/>
      </c>
      <c r="G886" s="39" t="n"/>
      <c r="H886" s="11">
        <f>IF(OR(A886="",G886=""),"",E886-G886)</f>
        <v/>
      </c>
    </row>
    <row r="887">
      <c r="A887" s="10">
        <f>IF(INDEX(lst_Jobs,874)="","",INDEX(lst_Jobs,874)&amp;"")</f>
        <v/>
      </c>
      <c r="B887" s="10">
        <f>IF(A887="","",INDEX(lst_JobName,874)&amp;"")</f>
        <v/>
      </c>
      <c r="C887" s="11">
        <f>IF(A887="","",SUMIFS(tbl_WIP[Amount],tbl_WIP[Job Number],A887,tbl_WIP[Month],"&lt;"&amp;$C$4))</f>
        <v/>
      </c>
      <c r="D887" s="11">
        <f>IF(A887="","",SUMIFS(tbl_WIP[Amount],tbl_WIP[Job Number],A887,tbl_WIP[Month],$C$4))</f>
        <v/>
      </c>
      <c r="E887" s="11">
        <f>IF(A887="","",C887+D887)</f>
        <v/>
      </c>
      <c r="F887" s="10">
        <f>IF(A887="","",IF(AND(ROUND(C887,2)=0,ROUND(D887,2)=0),"","yes"))</f>
        <v/>
      </c>
      <c r="G887" s="39" t="n"/>
      <c r="H887" s="11">
        <f>IF(OR(A887="",G887=""),"",E887-G887)</f>
        <v/>
      </c>
    </row>
    <row r="888">
      <c r="A888" s="10">
        <f>IF(INDEX(lst_Jobs,875)="","",INDEX(lst_Jobs,875)&amp;"")</f>
        <v/>
      </c>
      <c r="B888" s="10">
        <f>IF(A888="","",INDEX(lst_JobName,875)&amp;"")</f>
        <v/>
      </c>
      <c r="C888" s="11">
        <f>IF(A888="","",SUMIFS(tbl_WIP[Amount],tbl_WIP[Job Number],A888,tbl_WIP[Month],"&lt;"&amp;$C$4))</f>
        <v/>
      </c>
      <c r="D888" s="11">
        <f>IF(A888="","",SUMIFS(tbl_WIP[Amount],tbl_WIP[Job Number],A888,tbl_WIP[Month],$C$4))</f>
        <v/>
      </c>
      <c r="E888" s="11">
        <f>IF(A888="","",C888+D888)</f>
        <v/>
      </c>
      <c r="F888" s="10">
        <f>IF(A888="","",IF(AND(ROUND(C888,2)=0,ROUND(D888,2)=0),"","yes"))</f>
        <v/>
      </c>
      <c r="G888" s="39" t="n"/>
      <c r="H888" s="11">
        <f>IF(OR(A888="",G888=""),"",E888-G888)</f>
        <v/>
      </c>
    </row>
    <row r="889">
      <c r="A889" s="10">
        <f>IF(INDEX(lst_Jobs,876)="","",INDEX(lst_Jobs,876)&amp;"")</f>
        <v/>
      </c>
      <c r="B889" s="10">
        <f>IF(A889="","",INDEX(lst_JobName,876)&amp;"")</f>
        <v/>
      </c>
      <c r="C889" s="11">
        <f>IF(A889="","",SUMIFS(tbl_WIP[Amount],tbl_WIP[Job Number],A889,tbl_WIP[Month],"&lt;"&amp;$C$4))</f>
        <v/>
      </c>
      <c r="D889" s="11">
        <f>IF(A889="","",SUMIFS(tbl_WIP[Amount],tbl_WIP[Job Number],A889,tbl_WIP[Month],$C$4))</f>
        <v/>
      </c>
      <c r="E889" s="11">
        <f>IF(A889="","",C889+D889)</f>
        <v/>
      </c>
      <c r="F889" s="10">
        <f>IF(A889="","",IF(AND(ROUND(C889,2)=0,ROUND(D889,2)=0),"","yes"))</f>
        <v/>
      </c>
      <c r="G889" s="39" t="n"/>
      <c r="H889" s="11">
        <f>IF(OR(A889="",G889=""),"",E889-G889)</f>
        <v/>
      </c>
    </row>
    <row r="890">
      <c r="A890" s="10">
        <f>IF(INDEX(lst_Jobs,877)="","",INDEX(lst_Jobs,877)&amp;"")</f>
        <v/>
      </c>
      <c r="B890" s="10">
        <f>IF(A890="","",INDEX(lst_JobName,877)&amp;"")</f>
        <v/>
      </c>
      <c r="C890" s="11">
        <f>IF(A890="","",SUMIFS(tbl_WIP[Amount],tbl_WIP[Job Number],A890,tbl_WIP[Month],"&lt;"&amp;$C$4))</f>
        <v/>
      </c>
      <c r="D890" s="11">
        <f>IF(A890="","",SUMIFS(tbl_WIP[Amount],tbl_WIP[Job Number],A890,tbl_WIP[Month],$C$4))</f>
        <v/>
      </c>
      <c r="E890" s="11">
        <f>IF(A890="","",C890+D890)</f>
        <v/>
      </c>
      <c r="F890" s="10">
        <f>IF(A890="","",IF(AND(ROUND(C890,2)=0,ROUND(D890,2)=0),"","yes"))</f>
        <v/>
      </c>
      <c r="G890" s="39" t="n"/>
      <c r="H890" s="11">
        <f>IF(OR(A890="",G890=""),"",E890-G890)</f>
        <v/>
      </c>
    </row>
    <row r="891">
      <c r="A891" s="10">
        <f>IF(INDEX(lst_Jobs,878)="","",INDEX(lst_Jobs,878)&amp;"")</f>
        <v/>
      </c>
      <c r="B891" s="10">
        <f>IF(A891="","",INDEX(lst_JobName,878)&amp;"")</f>
        <v/>
      </c>
      <c r="C891" s="11">
        <f>IF(A891="","",SUMIFS(tbl_WIP[Amount],tbl_WIP[Job Number],A891,tbl_WIP[Month],"&lt;"&amp;$C$4))</f>
        <v/>
      </c>
      <c r="D891" s="11">
        <f>IF(A891="","",SUMIFS(tbl_WIP[Amount],tbl_WIP[Job Number],A891,tbl_WIP[Month],$C$4))</f>
        <v/>
      </c>
      <c r="E891" s="11">
        <f>IF(A891="","",C891+D891)</f>
        <v/>
      </c>
      <c r="F891" s="10">
        <f>IF(A891="","",IF(AND(ROUND(C891,2)=0,ROUND(D891,2)=0),"","yes"))</f>
        <v/>
      </c>
      <c r="G891" s="39" t="n"/>
      <c r="H891" s="11">
        <f>IF(OR(A891="",G891=""),"",E891-G891)</f>
        <v/>
      </c>
    </row>
    <row r="892">
      <c r="A892" s="10">
        <f>IF(INDEX(lst_Jobs,879)="","",INDEX(lst_Jobs,879)&amp;"")</f>
        <v/>
      </c>
      <c r="B892" s="10">
        <f>IF(A892="","",INDEX(lst_JobName,879)&amp;"")</f>
        <v/>
      </c>
      <c r="C892" s="11">
        <f>IF(A892="","",SUMIFS(tbl_WIP[Amount],tbl_WIP[Job Number],A892,tbl_WIP[Month],"&lt;"&amp;$C$4))</f>
        <v/>
      </c>
      <c r="D892" s="11">
        <f>IF(A892="","",SUMIFS(tbl_WIP[Amount],tbl_WIP[Job Number],A892,tbl_WIP[Month],$C$4))</f>
        <v/>
      </c>
      <c r="E892" s="11">
        <f>IF(A892="","",C892+D892)</f>
        <v/>
      </c>
      <c r="F892" s="10">
        <f>IF(A892="","",IF(AND(ROUND(C892,2)=0,ROUND(D892,2)=0),"","yes"))</f>
        <v/>
      </c>
      <c r="G892" s="39" t="n"/>
      <c r="H892" s="11">
        <f>IF(OR(A892="",G892=""),"",E892-G892)</f>
        <v/>
      </c>
    </row>
    <row r="893">
      <c r="A893" s="10">
        <f>IF(INDEX(lst_Jobs,880)="","",INDEX(lst_Jobs,880)&amp;"")</f>
        <v/>
      </c>
      <c r="B893" s="10">
        <f>IF(A893="","",INDEX(lst_JobName,880)&amp;"")</f>
        <v/>
      </c>
      <c r="C893" s="11">
        <f>IF(A893="","",SUMIFS(tbl_WIP[Amount],tbl_WIP[Job Number],A893,tbl_WIP[Month],"&lt;"&amp;$C$4))</f>
        <v/>
      </c>
      <c r="D893" s="11">
        <f>IF(A893="","",SUMIFS(tbl_WIP[Amount],tbl_WIP[Job Number],A893,tbl_WIP[Month],$C$4))</f>
        <v/>
      </c>
      <c r="E893" s="11">
        <f>IF(A893="","",C893+D893)</f>
        <v/>
      </c>
      <c r="F893" s="10">
        <f>IF(A893="","",IF(AND(ROUND(C893,2)=0,ROUND(D893,2)=0),"","yes"))</f>
        <v/>
      </c>
      <c r="G893" s="39" t="n"/>
      <c r="H893" s="11">
        <f>IF(OR(A893="",G893=""),"",E893-G893)</f>
        <v/>
      </c>
    </row>
    <row r="894">
      <c r="A894" s="10">
        <f>IF(INDEX(lst_Jobs,881)="","",INDEX(lst_Jobs,881)&amp;"")</f>
        <v/>
      </c>
      <c r="B894" s="10">
        <f>IF(A894="","",INDEX(lst_JobName,881)&amp;"")</f>
        <v/>
      </c>
      <c r="C894" s="11">
        <f>IF(A894="","",SUMIFS(tbl_WIP[Amount],tbl_WIP[Job Number],A894,tbl_WIP[Month],"&lt;"&amp;$C$4))</f>
        <v/>
      </c>
      <c r="D894" s="11">
        <f>IF(A894="","",SUMIFS(tbl_WIP[Amount],tbl_WIP[Job Number],A894,tbl_WIP[Month],$C$4))</f>
        <v/>
      </c>
      <c r="E894" s="11">
        <f>IF(A894="","",C894+D894)</f>
        <v/>
      </c>
      <c r="F894" s="10">
        <f>IF(A894="","",IF(AND(ROUND(C894,2)=0,ROUND(D894,2)=0),"","yes"))</f>
        <v/>
      </c>
      <c r="G894" s="39" t="n"/>
      <c r="H894" s="11">
        <f>IF(OR(A894="",G894=""),"",E894-G894)</f>
        <v/>
      </c>
    </row>
    <row r="895">
      <c r="A895" s="10">
        <f>IF(INDEX(lst_Jobs,882)="","",INDEX(lst_Jobs,882)&amp;"")</f>
        <v/>
      </c>
      <c r="B895" s="10">
        <f>IF(A895="","",INDEX(lst_JobName,882)&amp;"")</f>
        <v/>
      </c>
      <c r="C895" s="11">
        <f>IF(A895="","",SUMIFS(tbl_WIP[Amount],tbl_WIP[Job Number],A895,tbl_WIP[Month],"&lt;"&amp;$C$4))</f>
        <v/>
      </c>
      <c r="D895" s="11">
        <f>IF(A895="","",SUMIFS(tbl_WIP[Amount],tbl_WIP[Job Number],A895,tbl_WIP[Month],$C$4))</f>
        <v/>
      </c>
      <c r="E895" s="11">
        <f>IF(A895="","",C895+D895)</f>
        <v/>
      </c>
      <c r="F895" s="10">
        <f>IF(A895="","",IF(AND(ROUND(C895,2)=0,ROUND(D895,2)=0),"","yes"))</f>
        <v/>
      </c>
      <c r="G895" s="39" t="n"/>
      <c r="H895" s="11">
        <f>IF(OR(A895="",G895=""),"",E895-G895)</f>
        <v/>
      </c>
    </row>
    <row r="896">
      <c r="A896" s="10">
        <f>IF(INDEX(lst_Jobs,883)="","",INDEX(lst_Jobs,883)&amp;"")</f>
        <v/>
      </c>
      <c r="B896" s="10">
        <f>IF(A896="","",INDEX(lst_JobName,883)&amp;"")</f>
        <v/>
      </c>
      <c r="C896" s="11">
        <f>IF(A896="","",SUMIFS(tbl_WIP[Amount],tbl_WIP[Job Number],A896,tbl_WIP[Month],"&lt;"&amp;$C$4))</f>
        <v/>
      </c>
      <c r="D896" s="11">
        <f>IF(A896="","",SUMIFS(tbl_WIP[Amount],tbl_WIP[Job Number],A896,tbl_WIP[Month],$C$4))</f>
        <v/>
      </c>
      <c r="E896" s="11">
        <f>IF(A896="","",C896+D896)</f>
        <v/>
      </c>
      <c r="F896" s="10">
        <f>IF(A896="","",IF(AND(ROUND(C896,2)=0,ROUND(D896,2)=0),"","yes"))</f>
        <v/>
      </c>
      <c r="G896" s="39" t="n"/>
      <c r="H896" s="11">
        <f>IF(OR(A896="",G896=""),"",E896-G896)</f>
        <v/>
      </c>
    </row>
    <row r="897">
      <c r="A897" s="10">
        <f>IF(INDEX(lst_Jobs,884)="","",INDEX(lst_Jobs,884)&amp;"")</f>
        <v/>
      </c>
      <c r="B897" s="10">
        <f>IF(A897="","",INDEX(lst_JobName,884)&amp;"")</f>
        <v/>
      </c>
      <c r="C897" s="11">
        <f>IF(A897="","",SUMIFS(tbl_WIP[Amount],tbl_WIP[Job Number],A897,tbl_WIP[Month],"&lt;"&amp;$C$4))</f>
        <v/>
      </c>
      <c r="D897" s="11">
        <f>IF(A897="","",SUMIFS(tbl_WIP[Amount],tbl_WIP[Job Number],A897,tbl_WIP[Month],$C$4))</f>
        <v/>
      </c>
      <c r="E897" s="11">
        <f>IF(A897="","",C897+D897)</f>
        <v/>
      </c>
      <c r="F897" s="10">
        <f>IF(A897="","",IF(AND(ROUND(C897,2)=0,ROUND(D897,2)=0),"","yes"))</f>
        <v/>
      </c>
      <c r="G897" s="39" t="n"/>
      <c r="H897" s="11">
        <f>IF(OR(A897="",G897=""),"",E897-G897)</f>
        <v/>
      </c>
    </row>
    <row r="898">
      <c r="A898" s="10">
        <f>IF(INDEX(lst_Jobs,885)="","",INDEX(lst_Jobs,885)&amp;"")</f>
        <v/>
      </c>
      <c r="B898" s="10">
        <f>IF(A898="","",INDEX(lst_JobName,885)&amp;"")</f>
        <v/>
      </c>
      <c r="C898" s="11">
        <f>IF(A898="","",SUMIFS(tbl_WIP[Amount],tbl_WIP[Job Number],A898,tbl_WIP[Month],"&lt;"&amp;$C$4))</f>
        <v/>
      </c>
      <c r="D898" s="11">
        <f>IF(A898="","",SUMIFS(tbl_WIP[Amount],tbl_WIP[Job Number],A898,tbl_WIP[Month],$C$4))</f>
        <v/>
      </c>
      <c r="E898" s="11">
        <f>IF(A898="","",C898+D898)</f>
        <v/>
      </c>
      <c r="F898" s="10">
        <f>IF(A898="","",IF(AND(ROUND(C898,2)=0,ROUND(D898,2)=0),"","yes"))</f>
        <v/>
      </c>
      <c r="G898" s="39" t="n"/>
      <c r="H898" s="11">
        <f>IF(OR(A898="",G898=""),"",E898-G898)</f>
        <v/>
      </c>
    </row>
    <row r="899">
      <c r="A899" s="10">
        <f>IF(INDEX(lst_Jobs,886)="","",INDEX(lst_Jobs,886)&amp;"")</f>
        <v/>
      </c>
      <c r="B899" s="10">
        <f>IF(A899="","",INDEX(lst_JobName,886)&amp;"")</f>
        <v/>
      </c>
      <c r="C899" s="11">
        <f>IF(A899="","",SUMIFS(tbl_WIP[Amount],tbl_WIP[Job Number],A899,tbl_WIP[Month],"&lt;"&amp;$C$4))</f>
        <v/>
      </c>
      <c r="D899" s="11">
        <f>IF(A899="","",SUMIFS(tbl_WIP[Amount],tbl_WIP[Job Number],A899,tbl_WIP[Month],$C$4))</f>
        <v/>
      </c>
      <c r="E899" s="11">
        <f>IF(A899="","",C899+D899)</f>
        <v/>
      </c>
      <c r="F899" s="10">
        <f>IF(A899="","",IF(AND(ROUND(C899,2)=0,ROUND(D899,2)=0),"","yes"))</f>
        <v/>
      </c>
      <c r="G899" s="39" t="n"/>
      <c r="H899" s="11">
        <f>IF(OR(A899="",G899=""),"",E899-G899)</f>
        <v/>
      </c>
    </row>
    <row r="900">
      <c r="A900" s="10">
        <f>IF(INDEX(lst_Jobs,887)="","",INDEX(lst_Jobs,887)&amp;"")</f>
        <v/>
      </c>
      <c r="B900" s="10">
        <f>IF(A900="","",INDEX(lst_JobName,887)&amp;"")</f>
        <v/>
      </c>
      <c r="C900" s="11">
        <f>IF(A900="","",SUMIFS(tbl_WIP[Amount],tbl_WIP[Job Number],A900,tbl_WIP[Month],"&lt;"&amp;$C$4))</f>
        <v/>
      </c>
      <c r="D900" s="11">
        <f>IF(A900="","",SUMIFS(tbl_WIP[Amount],tbl_WIP[Job Number],A900,tbl_WIP[Month],$C$4))</f>
        <v/>
      </c>
      <c r="E900" s="11">
        <f>IF(A900="","",C900+D900)</f>
        <v/>
      </c>
      <c r="F900" s="10">
        <f>IF(A900="","",IF(AND(ROUND(C900,2)=0,ROUND(D900,2)=0),"","yes"))</f>
        <v/>
      </c>
      <c r="G900" s="39" t="n"/>
      <c r="H900" s="11">
        <f>IF(OR(A900="",G900=""),"",E900-G900)</f>
        <v/>
      </c>
    </row>
    <row r="901">
      <c r="A901" s="10">
        <f>IF(INDEX(lst_Jobs,888)="","",INDEX(lst_Jobs,888)&amp;"")</f>
        <v/>
      </c>
      <c r="B901" s="10">
        <f>IF(A901="","",INDEX(lst_JobName,888)&amp;"")</f>
        <v/>
      </c>
      <c r="C901" s="11">
        <f>IF(A901="","",SUMIFS(tbl_WIP[Amount],tbl_WIP[Job Number],A901,tbl_WIP[Month],"&lt;"&amp;$C$4))</f>
        <v/>
      </c>
      <c r="D901" s="11">
        <f>IF(A901="","",SUMIFS(tbl_WIP[Amount],tbl_WIP[Job Number],A901,tbl_WIP[Month],$C$4))</f>
        <v/>
      </c>
      <c r="E901" s="11">
        <f>IF(A901="","",C901+D901)</f>
        <v/>
      </c>
      <c r="F901" s="10">
        <f>IF(A901="","",IF(AND(ROUND(C901,2)=0,ROUND(D901,2)=0),"","yes"))</f>
        <v/>
      </c>
      <c r="G901" s="39" t="n"/>
      <c r="H901" s="11">
        <f>IF(OR(A901="",G901=""),"",E901-G901)</f>
        <v/>
      </c>
    </row>
    <row r="902">
      <c r="A902" s="10">
        <f>IF(INDEX(lst_Jobs,889)="","",INDEX(lst_Jobs,889)&amp;"")</f>
        <v/>
      </c>
      <c r="B902" s="10">
        <f>IF(A902="","",INDEX(lst_JobName,889)&amp;"")</f>
        <v/>
      </c>
      <c r="C902" s="11">
        <f>IF(A902="","",SUMIFS(tbl_WIP[Amount],tbl_WIP[Job Number],A902,tbl_WIP[Month],"&lt;"&amp;$C$4))</f>
        <v/>
      </c>
      <c r="D902" s="11">
        <f>IF(A902="","",SUMIFS(tbl_WIP[Amount],tbl_WIP[Job Number],A902,tbl_WIP[Month],$C$4))</f>
        <v/>
      </c>
      <c r="E902" s="11">
        <f>IF(A902="","",C902+D902)</f>
        <v/>
      </c>
      <c r="F902" s="10">
        <f>IF(A902="","",IF(AND(ROUND(C902,2)=0,ROUND(D902,2)=0),"","yes"))</f>
        <v/>
      </c>
      <c r="G902" s="39" t="n"/>
      <c r="H902" s="11">
        <f>IF(OR(A902="",G902=""),"",E902-G902)</f>
        <v/>
      </c>
    </row>
    <row r="903">
      <c r="A903" s="10">
        <f>IF(INDEX(lst_Jobs,890)="","",INDEX(lst_Jobs,890)&amp;"")</f>
        <v/>
      </c>
      <c r="B903" s="10">
        <f>IF(A903="","",INDEX(lst_JobName,890)&amp;"")</f>
        <v/>
      </c>
      <c r="C903" s="11">
        <f>IF(A903="","",SUMIFS(tbl_WIP[Amount],tbl_WIP[Job Number],A903,tbl_WIP[Month],"&lt;"&amp;$C$4))</f>
        <v/>
      </c>
      <c r="D903" s="11">
        <f>IF(A903="","",SUMIFS(tbl_WIP[Amount],tbl_WIP[Job Number],A903,tbl_WIP[Month],$C$4))</f>
        <v/>
      </c>
      <c r="E903" s="11">
        <f>IF(A903="","",C903+D903)</f>
        <v/>
      </c>
      <c r="F903" s="10">
        <f>IF(A903="","",IF(AND(ROUND(C903,2)=0,ROUND(D903,2)=0),"","yes"))</f>
        <v/>
      </c>
      <c r="G903" s="39" t="n"/>
      <c r="H903" s="11">
        <f>IF(OR(A903="",G903=""),"",E903-G903)</f>
        <v/>
      </c>
    </row>
    <row r="904">
      <c r="A904" s="10">
        <f>IF(INDEX(lst_Jobs,891)="","",INDEX(lst_Jobs,891)&amp;"")</f>
        <v/>
      </c>
      <c r="B904" s="10">
        <f>IF(A904="","",INDEX(lst_JobName,891)&amp;"")</f>
        <v/>
      </c>
      <c r="C904" s="11">
        <f>IF(A904="","",SUMIFS(tbl_WIP[Amount],tbl_WIP[Job Number],A904,tbl_WIP[Month],"&lt;"&amp;$C$4))</f>
        <v/>
      </c>
      <c r="D904" s="11">
        <f>IF(A904="","",SUMIFS(tbl_WIP[Amount],tbl_WIP[Job Number],A904,tbl_WIP[Month],$C$4))</f>
        <v/>
      </c>
      <c r="E904" s="11">
        <f>IF(A904="","",C904+D904)</f>
        <v/>
      </c>
      <c r="F904" s="10">
        <f>IF(A904="","",IF(AND(ROUND(C904,2)=0,ROUND(D904,2)=0),"","yes"))</f>
        <v/>
      </c>
      <c r="G904" s="39" t="n"/>
      <c r="H904" s="11">
        <f>IF(OR(A904="",G904=""),"",E904-G904)</f>
        <v/>
      </c>
    </row>
    <row r="905">
      <c r="A905" s="10">
        <f>IF(INDEX(lst_Jobs,892)="","",INDEX(lst_Jobs,892)&amp;"")</f>
        <v/>
      </c>
      <c r="B905" s="10">
        <f>IF(A905="","",INDEX(lst_JobName,892)&amp;"")</f>
        <v/>
      </c>
      <c r="C905" s="11">
        <f>IF(A905="","",SUMIFS(tbl_WIP[Amount],tbl_WIP[Job Number],A905,tbl_WIP[Month],"&lt;"&amp;$C$4))</f>
        <v/>
      </c>
      <c r="D905" s="11">
        <f>IF(A905="","",SUMIFS(tbl_WIP[Amount],tbl_WIP[Job Number],A905,tbl_WIP[Month],$C$4))</f>
        <v/>
      </c>
      <c r="E905" s="11">
        <f>IF(A905="","",C905+D905)</f>
        <v/>
      </c>
      <c r="F905" s="10">
        <f>IF(A905="","",IF(AND(ROUND(C905,2)=0,ROUND(D905,2)=0),"","yes"))</f>
        <v/>
      </c>
      <c r="G905" s="39" t="n"/>
      <c r="H905" s="11">
        <f>IF(OR(A905="",G905=""),"",E905-G905)</f>
        <v/>
      </c>
    </row>
    <row r="906">
      <c r="A906" s="10">
        <f>IF(INDEX(lst_Jobs,893)="","",INDEX(lst_Jobs,893)&amp;"")</f>
        <v/>
      </c>
      <c r="B906" s="10">
        <f>IF(A906="","",INDEX(lst_JobName,893)&amp;"")</f>
        <v/>
      </c>
      <c r="C906" s="11">
        <f>IF(A906="","",SUMIFS(tbl_WIP[Amount],tbl_WIP[Job Number],A906,tbl_WIP[Month],"&lt;"&amp;$C$4))</f>
        <v/>
      </c>
      <c r="D906" s="11">
        <f>IF(A906="","",SUMIFS(tbl_WIP[Amount],tbl_WIP[Job Number],A906,tbl_WIP[Month],$C$4))</f>
        <v/>
      </c>
      <c r="E906" s="11">
        <f>IF(A906="","",C906+D906)</f>
        <v/>
      </c>
      <c r="F906" s="10">
        <f>IF(A906="","",IF(AND(ROUND(C906,2)=0,ROUND(D906,2)=0),"","yes"))</f>
        <v/>
      </c>
      <c r="G906" s="39" t="n"/>
      <c r="H906" s="11">
        <f>IF(OR(A906="",G906=""),"",E906-G906)</f>
        <v/>
      </c>
    </row>
    <row r="907">
      <c r="A907" s="10">
        <f>IF(INDEX(lst_Jobs,894)="","",INDEX(lst_Jobs,894)&amp;"")</f>
        <v/>
      </c>
      <c r="B907" s="10">
        <f>IF(A907="","",INDEX(lst_JobName,894)&amp;"")</f>
        <v/>
      </c>
      <c r="C907" s="11">
        <f>IF(A907="","",SUMIFS(tbl_WIP[Amount],tbl_WIP[Job Number],A907,tbl_WIP[Month],"&lt;"&amp;$C$4))</f>
        <v/>
      </c>
      <c r="D907" s="11">
        <f>IF(A907="","",SUMIFS(tbl_WIP[Amount],tbl_WIP[Job Number],A907,tbl_WIP[Month],$C$4))</f>
        <v/>
      </c>
      <c r="E907" s="11">
        <f>IF(A907="","",C907+D907)</f>
        <v/>
      </c>
      <c r="F907" s="10">
        <f>IF(A907="","",IF(AND(ROUND(C907,2)=0,ROUND(D907,2)=0),"","yes"))</f>
        <v/>
      </c>
      <c r="G907" s="39" t="n"/>
      <c r="H907" s="11">
        <f>IF(OR(A907="",G907=""),"",E907-G907)</f>
        <v/>
      </c>
    </row>
    <row r="908">
      <c r="A908" s="10">
        <f>IF(INDEX(lst_Jobs,895)="","",INDEX(lst_Jobs,895)&amp;"")</f>
        <v/>
      </c>
      <c r="B908" s="10">
        <f>IF(A908="","",INDEX(lst_JobName,895)&amp;"")</f>
        <v/>
      </c>
      <c r="C908" s="11">
        <f>IF(A908="","",SUMIFS(tbl_WIP[Amount],tbl_WIP[Job Number],A908,tbl_WIP[Month],"&lt;"&amp;$C$4))</f>
        <v/>
      </c>
      <c r="D908" s="11">
        <f>IF(A908="","",SUMIFS(tbl_WIP[Amount],tbl_WIP[Job Number],A908,tbl_WIP[Month],$C$4))</f>
        <v/>
      </c>
      <c r="E908" s="11">
        <f>IF(A908="","",C908+D908)</f>
        <v/>
      </c>
      <c r="F908" s="10">
        <f>IF(A908="","",IF(AND(ROUND(C908,2)=0,ROUND(D908,2)=0),"","yes"))</f>
        <v/>
      </c>
      <c r="G908" s="39" t="n"/>
      <c r="H908" s="11">
        <f>IF(OR(A908="",G908=""),"",E908-G908)</f>
        <v/>
      </c>
    </row>
    <row r="909">
      <c r="A909" s="10">
        <f>IF(INDEX(lst_Jobs,896)="","",INDEX(lst_Jobs,896)&amp;"")</f>
        <v/>
      </c>
      <c r="B909" s="10">
        <f>IF(A909="","",INDEX(lst_JobName,896)&amp;"")</f>
        <v/>
      </c>
      <c r="C909" s="11">
        <f>IF(A909="","",SUMIFS(tbl_WIP[Amount],tbl_WIP[Job Number],A909,tbl_WIP[Month],"&lt;"&amp;$C$4))</f>
        <v/>
      </c>
      <c r="D909" s="11">
        <f>IF(A909="","",SUMIFS(tbl_WIP[Amount],tbl_WIP[Job Number],A909,tbl_WIP[Month],$C$4))</f>
        <v/>
      </c>
      <c r="E909" s="11">
        <f>IF(A909="","",C909+D909)</f>
        <v/>
      </c>
      <c r="F909" s="10">
        <f>IF(A909="","",IF(AND(ROUND(C909,2)=0,ROUND(D909,2)=0),"","yes"))</f>
        <v/>
      </c>
      <c r="G909" s="39" t="n"/>
      <c r="H909" s="11">
        <f>IF(OR(A909="",G909=""),"",E909-G909)</f>
        <v/>
      </c>
    </row>
    <row r="910">
      <c r="A910" s="10">
        <f>IF(INDEX(lst_Jobs,897)="","",INDEX(lst_Jobs,897)&amp;"")</f>
        <v/>
      </c>
      <c r="B910" s="10">
        <f>IF(A910="","",INDEX(lst_JobName,897)&amp;"")</f>
        <v/>
      </c>
      <c r="C910" s="11">
        <f>IF(A910="","",SUMIFS(tbl_WIP[Amount],tbl_WIP[Job Number],A910,tbl_WIP[Month],"&lt;"&amp;$C$4))</f>
        <v/>
      </c>
      <c r="D910" s="11">
        <f>IF(A910="","",SUMIFS(tbl_WIP[Amount],tbl_WIP[Job Number],A910,tbl_WIP[Month],$C$4))</f>
        <v/>
      </c>
      <c r="E910" s="11">
        <f>IF(A910="","",C910+D910)</f>
        <v/>
      </c>
      <c r="F910" s="10">
        <f>IF(A910="","",IF(AND(ROUND(C910,2)=0,ROUND(D910,2)=0),"","yes"))</f>
        <v/>
      </c>
      <c r="G910" s="39" t="n"/>
      <c r="H910" s="11">
        <f>IF(OR(A910="",G910=""),"",E910-G910)</f>
        <v/>
      </c>
    </row>
    <row r="911">
      <c r="A911" s="10">
        <f>IF(INDEX(lst_Jobs,898)="","",INDEX(lst_Jobs,898)&amp;"")</f>
        <v/>
      </c>
      <c r="B911" s="10">
        <f>IF(A911="","",INDEX(lst_JobName,898)&amp;"")</f>
        <v/>
      </c>
      <c r="C911" s="11">
        <f>IF(A911="","",SUMIFS(tbl_WIP[Amount],tbl_WIP[Job Number],A911,tbl_WIP[Month],"&lt;"&amp;$C$4))</f>
        <v/>
      </c>
      <c r="D911" s="11">
        <f>IF(A911="","",SUMIFS(tbl_WIP[Amount],tbl_WIP[Job Number],A911,tbl_WIP[Month],$C$4))</f>
        <v/>
      </c>
      <c r="E911" s="11">
        <f>IF(A911="","",C911+D911)</f>
        <v/>
      </c>
      <c r="F911" s="10">
        <f>IF(A911="","",IF(AND(ROUND(C911,2)=0,ROUND(D911,2)=0),"","yes"))</f>
        <v/>
      </c>
      <c r="G911" s="39" t="n"/>
      <c r="H911" s="11">
        <f>IF(OR(A911="",G911=""),"",E911-G911)</f>
        <v/>
      </c>
    </row>
    <row r="912">
      <c r="A912" s="10">
        <f>IF(INDEX(lst_Jobs,899)="","",INDEX(lst_Jobs,899)&amp;"")</f>
        <v/>
      </c>
      <c r="B912" s="10">
        <f>IF(A912="","",INDEX(lst_JobName,899)&amp;"")</f>
        <v/>
      </c>
      <c r="C912" s="11">
        <f>IF(A912="","",SUMIFS(tbl_WIP[Amount],tbl_WIP[Job Number],A912,tbl_WIP[Month],"&lt;"&amp;$C$4))</f>
        <v/>
      </c>
      <c r="D912" s="11">
        <f>IF(A912="","",SUMIFS(tbl_WIP[Amount],tbl_WIP[Job Number],A912,tbl_WIP[Month],$C$4))</f>
        <v/>
      </c>
      <c r="E912" s="11">
        <f>IF(A912="","",C912+D912)</f>
        <v/>
      </c>
      <c r="F912" s="10">
        <f>IF(A912="","",IF(AND(ROUND(C912,2)=0,ROUND(D912,2)=0),"","yes"))</f>
        <v/>
      </c>
      <c r="G912" s="39" t="n"/>
      <c r="H912" s="11">
        <f>IF(OR(A912="",G912=""),"",E912-G912)</f>
        <v/>
      </c>
    </row>
    <row r="913">
      <c r="A913" s="10">
        <f>IF(INDEX(lst_Jobs,900)="","",INDEX(lst_Jobs,900)&amp;"")</f>
        <v/>
      </c>
      <c r="B913" s="10">
        <f>IF(A913="","",INDEX(lst_JobName,900)&amp;"")</f>
        <v/>
      </c>
      <c r="C913" s="11">
        <f>IF(A913="","",SUMIFS(tbl_WIP[Amount],tbl_WIP[Job Number],A913,tbl_WIP[Month],"&lt;"&amp;$C$4))</f>
        <v/>
      </c>
      <c r="D913" s="11">
        <f>IF(A913="","",SUMIFS(tbl_WIP[Amount],tbl_WIP[Job Number],A913,tbl_WIP[Month],$C$4))</f>
        <v/>
      </c>
      <c r="E913" s="11">
        <f>IF(A913="","",C913+D913)</f>
        <v/>
      </c>
      <c r="F913" s="10">
        <f>IF(A913="","",IF(AND(ROUND(C913,2)=0,ROUND(D913,2)=0),"","yes"))</f>
        <v/>
      </c>
      <c r="G913" s="39" t="n"/>
      <c r="H913" s="11">
        <f>IF(OR(A913="",G913=""),"",E913-G913)</f>
        <v/>
      </c>
    </row>
    <row r="914">
      <c r="A914" s="10">
        <f>IF(INDEX(lst_Jobs,901)="","",INDEX(lst_Jobs,901)&amp;"")</f>
        <v/>
      </c>
      <c r="B914" s="10">
        <f>IF(A914="","",INDEX(lst_JobName,901)&amp;"")</f>
        <v/>
      </c>
      <c r="C914" s="11">
        <f>IF(A914="","",SUMIFS(tbl_WIP[Amount],tbl_WIP[Job Number],A914,tbl_WIP[Month],"&lt;"&amp;$C$4))</f>
        <v/>
      </c>
      <c r="D914" s="11">
        <f>IF(A914="","",SUMIFS(tbl_WIP[Amount],tbl_WIP[Job Number],A914,tbl_WIP[Month],$C$4))</f>
        <v/>
      </c>
      <c r="E914" s="11">
        <f>IF(A914="","",C914+D914)</f>
        <v/>
      </c>
      <c r="F914" s="10">
        <f>IF(A914="","",IF(AND(ROUND(C914,2)=0,ROUND(D914,2)=0),"","yes"))</f>
        <v/>
      </c>
      <c r="G914" s="39" t="n"/>
      <c r="H914" s="11">
        <f>IF(OR(A914="",G914=""),"",E914-G914)</f>
        <v/>
      </c>
    </row>
    <row r="915">
      <c r="A915" s="10">
        <f>IF(INDEX(lst_Jobs,902)="","",INDEX(lst_Jobs,902)&amp;"")</f>
        <v/>
      </c>
      <c r="B915" s="10">
        <f>IF(A915="","",INDEX(lst_JobName,902)&amp;"")</f>
        <v/>
      </c>
      <c r="C915" s="11">
        <f>IF(A915="","",SUMIFS(tbl_WIP[Amount],tbl_WIP[Job Number],A915,tbl_WIP[Month],"&lt;"&amp;$C$4))</f>
        <v/>
      </c>
      <c r="D915" s="11">
        <f>IF(A915="","",SUMIFS(tbl_WIP[Amount],tbl_WIP[Job Number],A915,tbl_WIP[Month],$C$4))</f>
        <v/>
      </c>
      <c r="E915" s="11">
        <f>IF(A915="","",C915+D915)</f>
        <v/>
      </c>
      <c r="F915" s="10">
        <f>IF(A915="","",IF(AND(ROUND(C915,2)=0,ROUND(D915,2)=0),"","yes"))</f>
        <v/>
      </c>
      <c r="G915" s="39" t="n"/>
      <c r="H915" s="11">
        <f>IF(OR(A915="",G915=""),"",E915-G915)</f>
        <v/>
      </c>
    </row>
    <row r="916">
      <c r="A916" s="10">
        <f>IF(INDEX(lst_Jobs,903)="","",INDEX(lst_Jobs,903)&amp;"")</f>
        <v/>
      </c>
      <c r="B916" s="10">
        <f>IF(A916="","",INDEX(lst_JobName,903)&amp;"")</f>
        <v/>
      </c>
      <c r="C916" s="11">
        <f>IF(A916="","",SUMIFS(tbl_WIP[Amount],tbl_WIP[Job Number],A916,tbl_WIP[Month],"&lt;"&amp;$C$4))</f>
        <v/>
      </c>
      <c r="D916" s="11">
        <f>IF(A916="","",SUMIFS(tbl_WIP[Amount],tbl_WIP[Job Number],A916,tbl_WIP[Month],$C$4))</f>
        <v/>
      </c>
      <c r="E916" s="11">
        <f>IF(A916="","",C916+D916)</f>
        <v/>
      </c>
      <c r="F916" s="10">
        <f>IF(A916="","",IF(AND(ROUND(C916,2)=0,ROUND(D916,2)=0),"","yes"))</f>
        <v/>
      </c>
      <c r="G916" s="39" t="n"/>
      <c r="H916" s="11">
        <f>IF(OR(A916="",G916=""),"",E916-G916)</f>
        <v/>
      </c>
    </row>
    <row r="917">
      <c r="A917" s="10">
        <f>IF(INDEX(lst_Jobs,904)="","",INDEX(lst_Jobs,904)&amp;"")</f>
        <v/>
      </c>
      <c r="B917" s="10">
        <f>IF(A917="","",INDEX(lst_JobName,904)&amp;"")</f>
        <v/>
      </c>
      <c r="C917" s="11">
        <f>IF(A917="","",SUMIFS(tbl_WIP[Amount],tbl_WIP[Job Number],A917,tbl_WIP[Month],"&lt;"&amp;$C$4))</f>
        <v/>
      </c>
      <c r="D917" s="11">
        <f>IF(A917="","",SUMIFS(tbl_WIP[Amount],tbl_WIP[Job Number],A917,tbl_WIP[Month],$C$4))</f>
        <v/>
      </c>
      <c r="E917" s="11">
        <f>IF(A917="","",C917+D917)</f>
        <v/>
      </c>
      <c r="F917" s="10">
        <f>IF(A917="","",IF(AND(ROUND(C917,2)=0,ROUND(D917,2)=0),"","yes"))</f>
        <v/>
      </c>
      <c r="G917" s="39" t="n"/>
      <c r="H917" s="11">
        <f>IF(OR(A917="",G917=""),"",E917-G917)</f>
        <v/>
      </c>
    </row>
    <row r="918">
      <c r="A918" s="10">
        <f>IF(INDEX(lst_Jobs,905)="","",INDEX(lst_Jobs,905)&amp;"")</f>
        <v/>
      </c>
      <c r="B918" s="10">
        <f>IF(A918="","",INDEX(lst_JobName,905)&amp;"")</f>
        <v/>
      </c>
      <c r="C918" s="11">
        <f>IF(A918="","",SUMIFS(tbl_WIP[Amount],tbl_WIP[Job Number],A918,tbl_WIP[Month],"&lt;"&amp;$C$4))</f>
        <v/>
      </c>
      <c r="D918" s="11">
        <f>IF(A918="","",SUMIFS(tbl_WIP[Amount],tbl_WIP[Job Number],A918,tbl_WIP[Month],$C$4))</f>
        <v/>
      </c>
      <c r="E918" s="11">
        <f>IF(A918="","",C918+D918)</f>
        <v/>
      </c>
      <c r="F918" s="10">
        <f>IF(A918="","",IF(AND(ROUND(C918,2)=0,ROUND(D918,2)=0),"","yes"))</f>
        <v/>
      </c>
      <c r="G918" s="39" t="n"/>
      <c r="H918" s="11">
        <f>IF(OR(A918="",G918=""),"",E918-G918)</f>
        <v/>
      </c>
    </row>
    <row r="919">
      <c r="A919" s="10">
        <f>IF(INDEX(lst_Jobs,906)="","",INDEX(lst_Jobs,906)&amp;"")</f>
        <v/>
      </c>
      <c r="B919" s="10">
        <f>IF(A919="","",INDEX(lst_JobName,906)&amp;"")</f>
        <v/>
      </c>
      <c r="C919" s="11">
        <f>IF(A919="","",SUMIFS(tbl_WIP[Amount],tbl_WIP[Job Number],A919,tbl_WIP[Month],"&lt;"&amp;$C$4))</f>
        <v/>
      </c>
      <c r="D919" s="11">
        <f>IF(A919="","",SUMIFS(tbl_WIP[Amount],tbl_WIP[Job Number],A919,tbl_WIP[Month],$C$4))</f>
        <v/>
      </c>
      <c r="E919" s="11">
        <f>IF(A919="","",C919+D919)</f>
        <v/>
      </c>
      <c r="F919" s="10">
        <f>IF(A919="","",IF(AND(ROUND(C919,2)=0,ROUND(D919,2)=0),"","yes"))</f>
        <v/>
      </c>
      <c r="G919" s="39" t="n"/>
      <c r="H919" s="11">
        <f>IF(OR(A919="",G919=""),"",E919-G919)</f>
        <v/>
      </c>
    </row>
    <row r="920">
      <c r="A920" s="10">
        <f>IF(INDEX(lst_Jobs,907)="","",INDEX(lst_Jobs,907)&amp;"")</f>
        <v/>
      </c>
      <c r="B920" s="10">
        <f>IF(A920="","",INDEX(lst_JobName,907)&amp;"")</f>
        <v/>
      </c>
      <c r="C920" s="11">
        <f>IF(A920="","",SUMIFS(tbl_WIP[Amount],tbl_WIP[Job Number],A920,tbl_WIP[Month],"&lt;"&amp;$C$4))</f>
        <v/>
      </c>
      <c r="D920" s="11">
        <f>IF(A920="","",SUMIFS(tbl_WIP[Amount],tbl_WIP[Job Number],A920,tbl_WIP[Month],$C$4))</f>
        <v/>
      </c>
      <c r="E920" s="11">
        <f>IF(A920="","",C920+D920)</f>
        <v/>
      </c>
      <c r="F920" s="10">
        <f>IF(A920="","",IF(AND(ROUND(C920,2)=0,ROUND(D920,2)=0),"","yes"))</f>
        <v/>
      </c>
      <c r="G920" s="39" t="n"/>
      <c r="H920" s="11">
        <f>IF(OR(A920="",G920=""),"",E920-G920)</f>
        <v/>
      </c>
    </row>
    <row r="921">
      <c r="A921" s="10">
        <f>IF(INDEX(lst_Jobs,908)="","",INDEX(lst_Jobs,908)&amp;"")</f>
        <v/>
      </c>
      <c r="B921" s="10">
        <f>IF(A921="","",INDEX(lst_JobName,908)&amp;"")</f>
        <v/>
      </c>
      <c r="C921" s="11">
        <f>IF(A921="","",SUMIFS(tbl_WIP[Amount],tbl_WIP[Job Number],A921,tbl_WIP[Month],"&lt;"&amp;$C$4))</f>
        <v/>
      </c>
      <c r="D921" s="11">
        <f>IF(A921="","",SUMIFS(tbl_WIP[Amount],tbl_WIP[Job Number],A921,tbl_WIP[Month],$C$4))</f>
        <v/>
      </c>
      <c r="E921" s="11">
        <f>IF(A921="","",C921+D921)</f>
        <v/>
      </c>
      <c r="F921" s="10">
        <f>IF(A921="","",IF(AND(ROUND(C921,2)=0,ROUND(D921,2)=0),"","yes"))</f>
        <v/>
      </c>
      <c r="G921" s="39" t="n"/>
      <c r="H921" s="11">
        <f>IF(OR(A921="",G921=""),"",E921-G921)</f>
        <v/>
      </c>
    </row>
    <row r="922">
      <c r="A922" s="10">
        <f>IF(INDEX(lst_Jobs,909)="","",INDEX(lst_Jobs,909)&amp;"")</f>
        <v/>
      </c>
      <c r="B922" s="10">
        <f>IF(A922="","",INDEX(lst_JobName,909)&amp;"")</f>
        <v/>
      </c>
      <c r="C922" s="11">
        <f>IF(A922="","",SUMIFS(tbl_WIP[Amount],tbl_WIP[Job Number],A922,tbl_WIP[Month],"&lt;"&amp;$C$4))</f>
        <v/>
      </c>
      <c r="D922" s="11">
        <f>IF(A922="","",SUMIFS(tbl_WIP[Amount],tbl_WIP[Job Number],A922,tbl_WIP[Month],$C$4))</f>
        <v/>
      </c>
      <c r="E922" s="11">
        <f>IF(A922="","",C922+D922)</f>
        <v/>
      </c>
      <c r="F922" s="10">
        <f>IF(A922="","",IF(AND(ROUND(C922,2)=0,ROUND(D922,2)=0),"","yes"))</f>
        <v/>
      </c>
      <c r="G922" s="39" t="n"/>
      <c r="H922" s="11">
        <f>IF(OR(A922="",G922=""),"",E922-G922)</f>
        <v/>
      </c>
    </row>
    <row r="923">
      <c r="A923" s="10">
        <f>IF(INDEX(lst_Jobs,910)="","",INDEX(lst_Jobs,910)&amp;"")</f>
        <v/>
      </c>
      <c r="B923" s="10">
        <f>IF(A923="","",INDEX(lst_JobName,910)&amp;"")</f>
        <v/>
      </c>
      <c r="C923" s="11">
        <f>IF(A923="","",SUMIFS(tbl_WIP[Amount],tbl_WIP[Job Number],A923,tbl_WIP[Month],"&lt;"&amp;$C$4))</f>
        <v/>
      </c>
      <c r="D923" s="11">
        <f>IF(A923="","",SUMIFS(tbl_WIP[Amount],tbl_WIP[Job Number],A923,tbl_WIP[Month],$C$4))</f>
        <v/>
      </c>
      <c r="E923" s="11">
        <f>IF(A923="","",C923+D923)</f>
        <v/>
      </c>
      <c r="F923" s="10">
        <f>IF(A923="","",IF(AND(ROUND(C923,2)=0,ROUND(D923,2)=0),"","yes"))</f>
        <v/>
      </c>
      <c r="G923" s="39" t="n"/>
      <c r="H923" s="11">
        <f>IF(OR(A923="",G923=""),"",E923-G923)</f>
        <v/>
      </c>
    </row>
    <row r="924">
      <c r="A924" s="10">
        <f>IF(INDEX(lst_Jobs,911)="","",INDEX(lst_Jobs,911)&amp;"")</f>
        <v/>
      </c>
      <c r="B924" s="10">
        <f>IF(A924="","",INDEX(lst_JobName,911)&amp;"")</f>
        <v/>
      </c>
      <c r="C924" s="11">
        <f>IF(A924="","",SUMIFS(tbl_WIP[Amount],tbl_WIP[Job Number],A924,tbl_WIP[Month],"&lt;"&amp;$C$4))</f>
        <v/>
      </c>
      <c r="D924" s="11">
        <f>IF(A924="","",SUMIFS(tbl_WIP[Amount],tbl_WIP[Job Number],A924,tbl_WIP[Month],$C$4))</f>
        <v/>
      </c>
      <c r="E924" s="11">
        <f>IF(A924="","",C924+D924)</f>
        <v/>
      </c>
      <c r="F924" s="10">
        <f>IF(A924="","",IF(AND(ROUND(C924,2)=0,ROUND(D924,2)=0),"","yes"))</f>
        <v/>
      </c>
      <c r="G924" s="39" t="n"/>
      <c r="H924" s="11">
        <f>IF(OR(A924="",G924=""),"",E924-G924)</f>
        <v/>
      </c>
    </row>
    <row r="925">
      <c r="A925" s="10">
        <f>IF(INDEX(lst_Jobs,912)="","",INDEX(lst_Jobs,912)&amp;"")</f>
        <v/>
      </c>
      <c r="B925" s="10">
        <f>IF(A925="","",INDEX(lst_JobName,912)&amp;"")</f>
        <v/>
      </c>
      <c r="C925" s="11">
        <f>IF(A925="","",SUMIFS(tbl_WIP[Amount],tbl_WIP[Job Number],A925,tbl_WIP[Month],"&lt;"&amp;$C$4))</f>
        <v/>
      </c>
      <c r="D925" s="11">
        <f>IF(A925="","",SUMIFS(tbl_WIP[Amount],tbl_WIP[Job Number],A925,tbl_WIP[Month],$C$4))</f>
        <v/>
      </c>
      <c r="E925" s="11">
        <f>IF(A925="","",C925+D925)</f>
        <v/>
      </c>
      <c r="F925" s="10">
        <f>IF(A925="","",IF(AND(ROUND(C925,2)=0,ROUND(D925,2)=0),"","yes"))</f>
        <v/>
      </c>
      <c r="G925" s="39" t="n"/>
      <c r="H925" s="11">
        <f>IF(OR(A925="",G925=""),"",E925-G925)</f>
        <v/>
      </c>
    </row>
    <row r="926">
      <c r="A926" s="10">
        <f>IF(INDEX(lst_Jobs,913)="","",INDEX(lst_Jobs,913)&amp;"")</f>
        <v/>
      </c>
      <c r="B926" s="10">
        <f>IF(A926="","",INDEX(lst_JobName,913)&amp;"")</f>
        <v/>
      </c>
      <c r="C926" s="11">
        <f>IF(A926="","",SUMIFS(tbl_WIP[Amount],tbl_WIP[Job Number],A926,tbl_WIP[Month],"&lt;"&amp;$C$4))</f>
        <v/>
      </c>
      <c r="D926" s="11">
        <f>IF(A926="","",SUMIFS(tbl_WIP[Amount],tbl_WIP[Job Number],A926,tbl_WIP[Month],$C$4))</f>
        <v/>
      </c>
      <c r="E926" s="11">
        <f>IF(A926="","",C926+D926)</f>
        <v/>
      </c>
      <c r="F926" s="10">
        <f>IF(A926="","",IF(AND(ROUND(C926,2)=0,ROUND(D926,2)=0),"","yes"))</f>
        <v/>
      </c>
      <c r="G926" s="39" t="n"/>
      <c r="H926" s="11">
        <f>IF(OR(A926="",G926=""),"",E926-G926)</f>
        <v/>
      </c>
    </row>
    <row r="927">
      <c r="A927" s="10">
        <f>IF(INDEX(lst_Jobs,914)="","",INDEX(lst_Jobs,914)&amp;"")</f>
        <v/>
      </c>
      <c r="B927" s="10">
        <f>IF(A927="","",INDEX(lst_JobName,914)&amp;"")</f>
        <v/>
      </c>
      <c r="C927" s="11">
        <f>IF(A927="","",SUMIFS(tbl_WIP[Amount],tbl_WIP[Job Number],A927,tbl_WIP[Month],"&lt;"&amp;$C$4))</f>
        <v/>
      </c>
      <c r="D927" s="11">
        <f>IF(A927="","",SUMIFS(tbl_WIP[Amount],tbl_WIP[Job Number],A927,tbl_WIP[Month],$C$4))</f>
        <v/>
      </c>
      <c r="E927" s="11">
        <f>IF(A927="","",C927+D927)</f>
        <v/>
      </c>
      <c r="F927" s="10">
        <f>IF(A927="","",IF(AND(ROUND(C927,2)=0,ROUND(D927,2)=0),"","yes"))</f>
        <v/>
      </c>
      <c r="G927" s="39" t="n"/>
      <c r="H927" s="11">
        <f>IF(OR(A927="",G927=""),"",E927-G927)</f>
        <v/>
      </c>
    </row>
    <row r="928">
      <c r="A928" s="10">
        <f>IF(INDEX(lst_Jobs,915)="","",INDEX(lst_Jobs,915)&amp;"")</f>
        <v/>
      </c>
      <c r="B928" s="10">
        <f>IF(A928="","",INDEX(lst_JobName,915)&amp;"")</f>
        <v/>
      </c>
      <c r="C928" s="11">
        <f>IF(A928="","",SUMIFS(tbl_WIP[Amount],tbl_WIP[Job Number],A928,tbl_WIP[Month],"&lt;"&amp;$C$4))</f>
        <v/>
      </c>
      <c r="D928" s="11">
        <f>IF(A928="","",SUMIFS(tbl_WIP[Amount],tbl_WIP[Job Number],A928,tbl_WIP[Month],$C$4))</f>
        <v/>
      </c>
      <c r="E928" s="11">
        <f>IF(A928="","",C928+D928)</f>
        <v/>
      </c>
      <c r="F928" s="10">
        <f>IF(A928="","",IF(AND(ROUND(C928,2)=0,ROUND(D928,2)=0),"","yes"))</f>
        <v/>
      </c>
      <c r="G928" s="39" t="n"/>
      <c r="H928" s="11">
        <f>IF(OR(A928="",G928=""),"",E928-G928)</f>
        <v/>
      </c>
    </row>
    <row r="929">
      <c r="A929" s="10">
        <f>IF(INDEX(lst_Jobs,916)="","",INDEX(lst_Jobs,916)&amp;"")</f>
        <v/>
      </c>
      <c r="B929" s="10">
        <f>IF(A929="","",INDEX(lst_JobName,916)&amp;"")</f>
        <v/>
      </c>
      <c r="C929" s="11">
        <f>IF(A929="","",SUMIFS(tbl_WIP[Amount],tbl_WIP[Job Number],A929,tbl_WIP[Month],"&lt;"&amp;$C$4))</f>
        <v/>
      </c>
      <c r="D929" s="11">
        <f>IF(A929="","",SUMIFS(tbl_WIP[Amount],tbl_WIP[Job Number],A929,tbl_WIP[Month],$C$4))</f>
        <v/>
      </c>
      <c r="E929" s="11">
        <f>IF(A929="","",C929+D929)</f>
        <v/>
      </c>
      <c r="F929" s="10">
        <f>IF(A929="","",IF(AND(ROUND(C929,2)=0,ROUND(D929,2)=0),"","yes"))</f>
        <v/>
      </c>
      <c r="G929" s="39" t="n"/>
      <c r="H929" s="11">
        <f>IF(OR(A929="",G929=""),"",E929-G929)</f>
        <v/>
      </c>
    </row>
    <row r="930">
      <c r="A930" s="10">
        <f>IF(INDEX(lst_Jobs,917)="","",INDEX(lst_Jobs,917)&amp;"")</f>
        <v/>
      </c>
      <c r="B930" s="10">
        <f>IF(A930="","",INDEX(lst_JobName,917)&amp;"")</f>
        <v/>
      </c>
      <c r="C930" s="11">
        <f>IF(A930="","",SUMIFS(tbl_WIP[Amount],tbl_WIP[Job Number],A930,tbl_WIP[Month],"&lt;"&amp;$C$4))</f>
        <v/>
      </c>
      <c r="D930" s="11">
        <f>IF(A930="","",SUMIFS(tbl_WIP[Amount],tbl_WIP[Job Number],A930,tbl_WIP[Month],$C$4))</f>
        <v/>
      </c>
      <c r="E930" s="11">
        <f>IF(A930="","",C930+D930)</f>
        <v/>
      </c>
      <c r="F930" s="10">
        <f>IF(A930="","",IF(AND(ROUND(C930,2)=0,ROUND(D930,2)=0),"","yes"))</f>
        <v/>
      </c>
      <c r="G930" s="39" t="n"/>
      <c r="H930" s="11">
        <f>IF(OR(A930="",G930=""),"",E930-G930)</f>
        <v/>
      </c>
    </row>
    <row r="931">
      <c r="A931" s="10">
        <f>IF(INDEX(lst_Jobs,918)="","",INDEX(lst_Jobs,918)&amp;"")</f>
        <v/>
      </c>
      <c r="B931" s="10">
        <f>IF(A931="","",INDEX(lst_JobName,918)&amp;"")</f>
        <v/>
      </c>
      <c r="C931" s="11">
        <f>IF(A931="","",SUMIFS(tbl_WIP[Amount],tbl_WIP[Job Number],A931,tbl_WIP[Month],"&lt;"&amp;$C$4))</f>
        <v/>
      </c>
      <c r="D931" s="11">
        <f>IF(A931="","",SUMIFS(tbl_WIP[Amount],tbl_WIP[Job Number],A931,tbl_WIP[Month],$C$4))</f>
        <v/>
      </c>
      <c r="E931" s="11">
        <f>IF(A931="","",C931+D931)</f>
        <v/>
      </c>
      <c r="F931" s="10">
        <f>IF(A931="","",IF(AND(ROUND(C931,2)=0,ROUND(D931,2)=0),"","yes"))</f>
        <v/>
      </c>
      <c r="G931" s="39" t="n"/>
      <c r="H931" s="11">
        <f>IF(OR(A931="",G931=""),"",E931-G931)</f>
        <v/>
      </c>
    </row>
    <row r="932">
      <c r="A932" s="10">
        <f>IF(INDEX(lst_Jobs,919)="","",INDEX(lst_Jobs,919)&amp;"")</f>
        <v/>
      </c>
      <c r="B932" s="10">
        <f>IF(A932="","",INDEX(lst_JobName,919)&amp;"")</f>
        <v/>
      </c>
      <c r="C932" s="11">
        <f>IF(A932="","",SUMIFS(tbl_WIP[Amount],tbl_WIP[Job Number],A932,tbl_WIP[Month],"&lt;"&amp;$C$4))</f>
        <v/>
      </c>
      <c r="D932" s="11">
        <f>IF(A932="","",SUMIFS(tbl_WIP[Amount],tbl_WIP[Job Number],A932,tbl_WIP[Month],$C$4))</f>
        <v/>
      </c>
      <c r="E932" s="11">
        <f>IF(A932="","",C932+D932)</f>
        <v/>
      </c>
      <c r="F932" s="10">
        <f>IF(A932="","",IF(AND(ROUND(C932,2)=0,ROUND(D932,2)=0),"","yes"))</f>
        <v/>
      </c>
      <c r="G932" s="39" t="n"/>
      <c r="H932" s="11">
        <f>IF(OR(A932="",G932=""),"",E932-G932)</f>
        <v/>
      </c>
    </row>
    <row r="933">
      <c r="A933" s="10">
        <f>IF(INDEX(lst_Jobs,920)="","",INDEX(lst_Jobs,920)&amp;"")</f>
        <v/>
      </c>
      <c r="B933" s="10">
        <f>IF(A933="","",INDEX(lst_JobName,920)&amp;"")</f>
        <v/>
      </c>
      <c r="C933" s="11">
        <f>IF(A933="","",SUMIFS(tbl_WIP[Amount],tbl_WIP[Job Number],A933,tbl_WIP[Month],"&lt;"&amp;$C$4))</f>
        <v/>
      </c>
      <c r="D933" s="11">
        <f>IF(A933="","",SUMIFS(tbl_WIP[Amount],tbl_WIP[Job Number],A933,tbl_WIP[Month],$C$4))</f>
        <v/>
      </c>
      <c r="E933" s="11">
        <f>IF(A933="","",C933+D933)</f>
        <v/>
      </c>
      <c r="F933" s="10">
        <f>IF(A933="","",IF(AND(ROUND(C933,2)=0,ROUND(D933,2)=0),"","yes"))</f>
        <v/>
      </c>
      <c r="G933" s="39" t="n"/>
      <c r="H933" s="11">
        <f>IF(OR(A933="",G933=""),"",E933-G933)</f>
        <v/>
      </c>
    </row>
    <row r="934">
      <c r="A934" s="10">
        <f>IF(INDEX(lst_Jobs,921)="","",INDEX(lst_Jobs,921)&amp;"")</f>
        <v/>
      </c>
      <c r="B934" s="10">
        <f>IF(A934="","",INDEX(lst_JobName,921)&amp;"")</f>
        <v/>
      </c>
      <c r="C934" s="11">
        <f>IF(A934="","",SUMIFS(tbl_WIP[Amount],tbl_WIP[Job Number],A934,tbl_WIP[Month],"&lt;"&amp;$C$4))</f>
        <v/>
      </c>
      <c r="D934" s="11">
        <f>IF(A934="","",SUMIFS(tbl_WIP[Amount],tbl_WIP[Job Number],A934,tbl_WIP[Month],$C$4))</f>
        <v/>
      </c>
      <c r="E934" s="11">
        <f>IF(A934="","",C934+D934)</f>
        <v/>
      </c>
      <c r="F934" s="10">
        <f>IF(A934="","",IF(AND(ROUND(C934,2)=0,ROUND(D934,2)=0),"","yes"))</f>
        <v/>
      </c>
      <c r="G934" s="39" t="n"/>
      <c r="H934" s="11">
        <f>IF(OR(A934="",G934=""),"",E934-G934)</f>
        <v/>
      </c>
    </row>
    <row r="935">
      <c r="A935" s="10">
        <f>IF(INDEX(lst_Jobs,922)="","",INDEX(lst_Jobs,922)&amp;"")</f>
        <v/>
      </c>
      <c r="B935" s="10">
        <f>IF(A935="","",INDEX(lst_JobName,922)&amp;"")</f>
        <v/>
      </c>
      <c r="C935" s="11">
        <f>IF(A935="","",SUMIFS(tbl_WIP[Amount],tbl_WIP[Job Number],A935,tbl_WIP[Month],"&lt;"&amp;$C$4))</f>
        <v/>
      </c>
      <c r="D935" s="11">
        <f>IF(A935="","",SUMIFS(tbl_WIP[Amount],tbl_WIP[Job Number],A935,tbl_WIP[Month],$C$4))</f>
        <v/>
      </c>
      <c r="E935" s="11">
        <f>IF(A935="","",C935+D935)</f>
        <v/>
      </c>
      <c r="F935" s="10">
        <f>IF(A935="","",IF(AND(ROUND(C935,2)=0,ROUND(D935,2)=0),"","yes"))</f>
        <v/>
      </c>
      <c r="G935" s="39" t="n"/>
      <c r="H935" s="11">
        <f>IF(OR(A935="",G935=""),"",E935-G935)</f>
        <v/>
      </c>
    </row>
    <row r="936">
      <c r="A936" s="10">
        <f>IF(INDEX(lst_Jobs,923)="","",INDEX(lst_Jobs,923)&amp;"")</f>
        <v/>
      </c>
      <c r="B936" s="10">
        <f>IF(A936="","",INDEX(lst_JobName,923)&amp;"")</f>
        <v/>
      </c>
      <c r="C936" s="11">
        <f>IF(A936="","",SUMIFS(tbl_WIP[Amount],tbl_WIP[Job Number],A936,tbl_WIP[Month],"&lt;"&amp;$C$4))</f>
        <v/>
      </c>
      <c r="D936" s="11">
        <f>IF(A936="","",SUMIFS(tbl_WIP[Amount],tbl_WIP[Job Number],A936,tbl_WIP[Month],$C$4))</f>
        <v/>
      </c>
      <c r="E936" s="11">
        <f>IF(A936="","",C936+D936)</f>
        <v/>
      </c>
      <c r="F936" s="10">
        <f>IF(A936="","",IF(AND(ROUND(C936,2)=0,ROUND(D936,2)=0),"","yes"))</f>
        <v/>
      </c>
      <c r="G936" s="39" t="n"/>
      <c r="H936" s="11">
        <f>IF(OR(A936="",G936=""),"",E936-G936)</f>
        <v/>
      </c>
    </row>
    <row r="937">
      <c r="A937" s="10">
        <f>IF(INDEX(lst_Jobs,924)="","",INDEX(lst_Jobs,924)&amp;"")</f>
        <v/>
      </c>
      <c r="B937" s="10">
        <f>IF(A937="","",INDEX(lst_JobName,924)&amp;"")</f>
        <v/>
      </c>
      <c r="C937" s="11">
        <f>IF(A937="","",SUMIFS(tbl_WIP[Amount],tbl_WIP[Job Number],A937,tbl_WIP[Month],"&lt;"&amp;$C$4))</f>
        <v/>
      </c>
      <c r="D937" s="11">
        <f>IF(A937="","",SUMIFS(tbl_WIP[Amount],tbl_WIP[Job Number],A937,tbl_WIP[Month],$C$4))</f>
        <v/>
      </c>
      <c r="E937" s="11">
        <f>IF(A937="","",C937+D937)</f>
        <v/>
      </c>
      <c r="F937" s="10">
        <f>IF(A937="","",IF(AND(ROUND(C937,2)=0,ROUND(D937,2)=0),"","yes"))</f>
        <v/>
      </c>
      <c r="G937" s="39" t="n"/>
      <c r="H937" s="11">
        <f>IF(OR(A937="",G937=""),"",E937-G937)</f>
        <v/>
      </c>
    </row>
    <row r="938">
      <c r="A938" s="10">
        <f>IF(INDEX(lst_Jobs,925)="","",INDEX(lst_Jobs,925)&amp;"")</f>
        <v/>
      </c>
      <c r="B938" s="10">
        <f>IF(A938="","",INDEX(lst_JobName,925)&amp;"")</f>
        <v/>
      </c>
      <c r="C938" s="11">
        <f>IF(A938="","",SUMIFS(tbl_WIP[Amount],tbl_WIP[Job Number],A938,tbl_WIP[Month],"&lt;"&amp;$C$4))</f>
        <v/>
      </c>
      <c r="D938" s="11">
        <f>IF(A938="","",SUMIFS(tbl_WIP[Amount],tbl_WIP[Job Number],A938,tbl_WIP[Month],$C$4))</f>
        <v/>
      </c>
      <c r="E938" s="11">
        <f>IF(A938="","",C938+D938)</f>
        <v/>
      </c>
      <c r="F938" s="10">
        <f>IF(A938="","",IF(AND(ROUND(C938,2)=0,ROUND(D938,2)=0),"","yes"))</f>
        <v/>
      </c>
      <c r="G938" s="39" t="n"/>
      <c r="H938" s="11">
        <f>IF(OR(A938="",G938=""),"",E938-G938)</f>
        <v/>
      </c>
    </row>
    <row r="939">
      <c r="A939" s="10">
        <f>IF(INDEX(lst_Jobs,926)="","",INDEX(lst_Jobs,926)&amp;"")</f>
        <v/>
      </c>
      <c r="B939" s="10">
        <f>IF(A939="","",INDEX(lst_JobName,926)&amp;"")</f>
        <v/>
      </c>
      <c r="C939" s="11">
        <f>IF(A939="","",SUMIFS(tbl_WIP[Amount],tbl_WIP[Job Number],A939,tbl_WIP[Month],"&lt;"&amp;$C$4))</f>
        <v/>
      </c>
      <c r="D939" s="11">
        <f>IF(A939="","",SUMIFS(tbl_WIP[Amount],tbl_WIP[Job Number],A939,tbl_WIP[Month],$C$4))</f>
        <v/>
      </c>
      <c r="E939" s="11">
        <f>IF(A939="","",C939+D939)</f>
        <v/>
      </c>
      <c r="F939" s="10">
        <f>IF(A939="","",IF(AND(ROUND(C939,2)=0,ROUND(D939,2)=0),"","yes"))</f>
        <v/>
      </c>
      <c r="G939" s="39" t="n"/>
      <c r="H939" s="11">
        <f>IF(OR(A939="",G939=""),"",E939-G939)</f>
        <v/>
      </c>
    </row>
    <row r="940">
      <c r="A940" s="10">
        <f>IF(INDEX(lst_Jobs,927)="","",INDEX(lst_Jobs,927)&amp;"")</f>
        <v/>
      </c>
      <c r="B940" s="10">
        <f>IF(A940="","",INDEX(lst_JobName,927)&amp;"")</f>
        <v/>
      </c>
      <c r="C940" s="11">
        <f>IF(A940="","",SUMIFS(tbl_WIP[Amount],tbl_WIP[Job Number],A940,tbl_WIP[Month],"&lt;"&amp;$C$4))</f>
        <v/>
      </c>
      <c r="D940" s="11">
        <f>IF(A940="","",SUMIFS(tbl_WIP[Amount],tbl_WIP[Job Number],A940,tbl_WIP[Month],$C$4))</f>
        <v/>
      </c>
      <c r="E940" s="11">
        <f>IF(A940="","",C940+D940)</f>
        <v/>
      </c>
      <c r="F940" s="10">
        <f>IF(A940="","",IF(AND(ROUND(C940,2)=0,ROUND(D940,2)=0),"","yes"))</f>
        <v/>
      </c>
      <c r="G940" s="39" t="n"/>
      <c r="H940" s="11">
        <f>IF(OR(A940="",G940=""),"",E940-G940)</f>
        <v/>
      </c>
    </row>
    <row r="941">
      <c r="A941" s="10">
        <f>IF(INDEX(lst_Jobs,928)="","",INDEX(lst_Jobs,928)&amp;"")</f>
        <v/>
      </c>
      <c r="B941" s="10">
        <f>IF(A941="","",INDEX(lst_JobName,928)&amp;"")</f>
        <v/>
      </c>
      <c r="C941" s="11">
        <f>IF(A941="","",SUMIFS(tbl_WIP[Amount],tbl_WIP[Job Number],A941,tbl_WIP[Month],"&lt;"&amp;$C$4))</f>
        <v/>
      </c>
      <c r="D941" s="11">
        <f>IF(A941="","",SUMIFS(tbl_WIP[Amount],tbl_WIP[Job Number],A941,tbl_WIP[Month],$C$4))</f>
        <v/>
      </c>
      <c r="E941" s="11">
        <f>IF(A941="","",C941+D941)</f>
        <v/>
      </c>
      <c r="F941" s="10">
        <f>IF(A941="","",IF(AND(ROUND(C941,2)=0,ROUND(D941,2)=0),"","yes"))</f>
        <v/>
      </c>
      <c r="G941" s="39" t="n"/>
      <c r="H941" s="11">
        <f>IF(OR(A941="",G941=""),"",E941-G941)</f>
        <v/>
      </c>
    </row>
    <row r="942">
      <c r="A942" s="10">
        <f>IF(INDEX(lst_Jobs,929)="","",INDEX(lst_Jobs,929)&amp;"")</f>
        <v/>
      </c>
      <c r="B942" s="10">
        <f>IF(A942="","",INDEX(lst_JobName,929)&amp;"")</f>
        <v/>
      </c>
      <c r="C942" s="11">
        <f>IF(A942="","",SUMIFS(tbl_WIP[Amount],tbl_WIP[Job Number],A942,tbl_WIP[Month],"&lt;"&amp;$C$4))</f>
        <v/>
      </c>
      <c r="D942" s="11">
        <f>IF(A942="","",SUMIFS(tbl_WIP[Amount],tbl_WIP[Job Number],A942,tbl_WIP[Month],$C$4))</f>
        <v/>
      </c>
      <c r="E942" s="11">
        <f>IF(A942="","",C942+D942)</f>
        <v/>
      </c>
      <c r="F942" s="10">
        <f>IF(A942="","",IF(AND(ROUND(C942,2)=0,ROUND(D942,2)=0),"","yes"))</f>
        <v/>
      </c>
      <c r="G942" s="39" t="n"/>
      <c r="H942" s="11">
        <f>IF(OR(A942="",G942=""),"",E942-G942)</f>
        <v/>
      </c>
    </row>
    <row r="943">
      <c r="A943" s="10">
        <f>IF(INDEX(lst_Jobs,930)="","",INDEX(lst_Jobs,930)&amp;"")</f>
        <v/>
      </c>
      <c r="B943" s="10">
        <f>IF(A943="","",INDEX(lst_JobName,930)&amp;"")</f>
        <v/>
      </c>
      <c r="C943" s="11">
        <f>IF(A943="","",SUMIFS(tbl_WIP[Amount],tbl_WIP[Job Number],A943,tbl_WIP[Month],"&lt;"&amp;$C$4))</f>
        <v/>
      </c>
      <c r="D943" s="11">
        <f>IF(A943="","",SUMIFS(tbl_WIP[Amount],tbl_WIP[Job Number],A943,tbl_WIP[Month],$C$4))</f>
        <v/>
      </c>
      <c r="E943" s="11">
        <f>IF(A943="","",C943+D943)</f>
        <v/>
      </c>
      <c r="F943" s="10">
        <f>IF(A943="","",IF(AND(ROUND(C943,2)=0,ROUND(D943,2)=0),"","yes"))</f>
        <v/>
      </c>
      <c r="G943" s="39" t="n"/>
      <c r="H943" s="11">
        <f>IF(OR(A943="",G943=""),"",E943-G943)</f>
        <v/>
      </c>
    </row>
    <row r="944">
      <c r="A944" s="10">
        <f>IF(INDEX(lst_Jobs,931)="","",INDEX(lst_Jobs,931)&amp;"")</f>
        <v/>
      </c>
      <c r="B944" s="10">
        <f>IF(A944="","",INDEX(lst_JobName,931)&amp;"")</f>
        <v/>
      </c>
      <c r="C944" s="11">
        <f>IF(A944="","",SUMIFS(tbl_WIP[Amount],tbl_WIP[Job Number],A944,tbl_WIP[Month],"&lt;"&amp;$C$4))</f>
        <v/>
      </c>
      <c r="D944" s="11">
        <f>IF(A944="","",SUMIFS(tbl_WIP[Amount],tbl_WIP[Job Number],A944,tbl_WIP[Month],$C$4))</f>
        <v/>
      </c>
      <c r="E944" s="11">
        <f>IF(A944="","",C944+D944)</f>
        <v/>
      </c>
      <c r="F944" s="10">
        <f>IF(A944="","",IF(AND(ROUND(C944,2)=0,ROUND(D944,2)=0),"","yes"))</f>
        <v/>
      </c>
      <c r="G944" s="39" t="n"/>
      <c r="H944" s="11">
        <f>IF(OR(A944="",G944=""),"",E944-G944)</f>
        <v/>
      </c>
    </row>
    <row r="945">
      <c r="A945" s="10">
        <f>IF(INDEX(lst_Jobs,932)="","",INDEX(lst_Jobs,932)&amp;"")</f>
        <v/>
      </c>
      <c r="B945" s="10">
        <f>IF(A945="","",INDEX(lst_JobName,932)&amp;"")</f>
        <v/>
      </c>
      <c r="C945" s="11">
        <f>IF(A945="","",SUMIFS(tbl_WIP[Amount],tbl_WIP[Job Number],A945,tbl_WIP[Month],"&lt;"&amp;$C$4))</f>
        <v/>
      </c>
      <c r="D945" s="11">
        <f>IF(A945="","",SUMIFS(tbl_WIP[Amount],tbl_WIP[Job Number],A945,tbl_WIP[Month],$C$4))</f>
        <v/>
      </c>
      <c r="E945" s="11">
        <f>IF(A945="","",C945+D945)</f>
        <v/>
      </c>
      <c r="F945" s="10">
        <f>IF(A945="","",IF(AND(ROUND(C945,2)=0,ROUND(D945,2)=0),"","yes"))</f>
        <v/>
      </c>
      <c r="G945" s="39" t="n"/>
      <c r="H945" s="11">
        <f>IF(OR(A945="",G945=""),"",E945-G945)</f>
        <v/>
      </c>
    </row>
    <row r="946">
      <c r="A946" s="10">
        <f>IF(INDEX(lst_Jobs,933)="","",INDEX(lst_Jobs,933)&amp;"")</f>
        <v/>
      </c>
      <c r="B946" s="10">
        <f>IF(A946="","",INDEX(lst_JobName,933)&amp;"")</f>
        <v/>
      </c>
      <c r="C946" s="11">
        <f>IF(A946="","",SUMIFS(tbl_WIP[Amount],tbl_WIP[Job Number],A946,tbl_WIP[Month],"&lt;"&amp;$C$4))</f>
        <v/>
      </c>
      <c r="D946" s="11">
        <f>IF(A946="","",SUMIFS(tbl_WIP[Amount],tbl_WIP[Job Number],A946,tbl_WIP[Month],$C$4))</f>
        <v/>
      </c>
      <c r="E946" s="11">
        <f>IF(A946="","",C946+D946)</f>
        <v/>
      </c>
      <c r="F946" s="10">
        <f>IF(A946="","",IF(AND(ROUND(C946,2)=0,ROUND(D946,2)=0),"","yes"))</f>
        <v/>
      </c>
      <c r="G946" s="39" t="n"/>
      <c r="H946" s="11">
        <f>IF(OR(A946="",G946=""),"",E946-G946)</f>
        <v/>
      </c>
    </row>
    <row r="947">
      <c r="A947" s="10">
        <f>IF(INDEX(lst_Jobs,934)="","",INDEX(lst_Jobs,934)&amp;"")</f>
        <v/>
      </c>
      <c r="B947" s="10">
        <f>IF(A947="","",INDEX(lst_JobName,934)&amp;"")</f>
        <v/>
      </c>
      <c r="C947" s="11">
        <f>IF(A947="","",SUMIFS(tbl_WIP[Amount],tbl_WIP[Job Number],A947,tbl_WIP[Month],"&lt;"&amp;$C$4))</f>
        <v/>
      </c>
      <c r="D947" s="11">
        <f>IF(A947="","",SUMIFS(tbl_WIP[Amount],tbl_WIP[Job Number],A947,tbl_WIP[Month],$C$4))</f>
        <v/>
      </c>
      <c r="E947" s="11">
        <f>IF(A947="","",C947+D947)</f>
        <v/>
      </c>
      <c r="F947" s="10">
        <f>IF(A947="","",IF(AND(ROUND(C947,2)=0,ROUND(D947,2)=0),"","yes"))</f>
        <v/>
      </c>
      <c r="G947" s="39" t="n"/>
      <c r="H947" s="11">
        <f>IF(OR(A947="",G947=""),"",E947-G947)</f>
        <v/>
      </c>
    </row>
    <row r="948">
      <c r="A948" s="10">
        <f>IF(INDEX(lst_Jobs,935)="","",INDEX(lst_Jobs,935)&amp;"")</f>
        <v/>
      </c>
      <c r="B948" s="10">
        <f>IF(A948="","",INDEX(lst_JobName,935)&amp;"")</f>
        <v/>
      </c>
      <c r="C948" s="11">
        <f>IF(A948="","",SUMIFS(tbl_WIP[Amount],tbl_WIP[Job Number],A948,tbl_WIP[Month],"&lt;"&amp;$C$4))</f>
        <v/>
      </c>
      <c r="D948" s="11">
        <f>IF(A948="","",SUMIFS(tbl_WIP[Amount],tbl_WIP[Job Number],A948,tbl_WIP[Month],$C$4))</f>
        <v/>
      </c>
      <c r="E948" s="11">
        <f>IF(A948="","",C948+D948)</f>
        <v/>
      </c>
      <c r="F948" s="10">
        <f>IF(A948="","",IF(AND(ROUND(C948,2)=0,ROUND(D948,2)=0),"","yes"))</f>
        <v/>
      </c>
      <c r="G948" s="39" t="n"/>
      <c r="H948" s="11">
        <f>IF(OR(A948="",G948=""),"",E948-G948)</f>
        <v/>
      </c>
    </row>
    <row r="949">
      <c r="A949" s="10">
        <f>IF(INDEX(lst_Jobs,936)="","",INDEX(lst_Jobs,936)&amp;"")</f>
        <v/>
      </c>
      <c r="B949" s="10">
        <f>IF(A949="","",INDEX(lst_JobName,936)&amp;"")</f>
        <v/>
      </c>
      <c r="C949" s="11">
        <f>IF(A949="","",SUMIFS(tbl_WIP[Amount],tbl_WIP[Job Number],A949,tbl_WIP[Month],"&lt;"&amp;$C$4))</f>
        <v/>
      </c>
      <c r="D949" s="11">
        <f>IF(A949="","",SUMIFS(tbl_WIP[Amount],tbl_WIP[Job Number],A949,tbl_WIP[Month],$C$4))</f>
        <v/>
      </c>
      <c r="E949" s="11">
        <f>IF(A949="","",C949+D949)</f>
        <v/>
      </c>
      <c r="F949" s="10">
        <f>IF(A949="","",IF(AND(ROUND(C949,2)=0,ROUND(D949,2)=0),"","yes"))</f>
        <v/>
      </c>
      <c r="G949" s="39" t="n"/>
      <c r="H949" s="11">
        <f>IF(OR(A949="",G949=""),"",E949-G949)</f>
        <v/>
      </c>
    </row>
    <row r="950">
      <c r="A950" s="10">
        <f>IF(INDEX(lst_Jobs,937)="","",INDEX(lst_Jobs,937)&amp;"")</f>
        <v/>
      </c>
      <c r="B950" s="10">
        <f>IF(A950="","",INDEX(lst_JobName,937)&amp;"")</f>
        <v/>
      </c>
      <c r="C950" s="11">
        <f>IF(A950="","",SUMIFS(tbl_WIP[Amount],tbl_WIP[Job Number],A950,tbl_WIP[Month],"&lt;"&amp;$C$4))</f>
        <v/>
      </c>
      <c r="D950" s="11">
        <f>IF(A950="","",SUMIFS(tbl_WIP[Amount],tbl_WIP[Job Number],A950,tbl_WIP[Month],$C$4))</f>
        <v/>
      </c>
      <c r="E950" s="11">
        <f>IF(A950="","",C950+D950)</f>
        <v/>
      </c>
      <c r="F950" s="10">
        <f>IF(A950="","",IF(AND(ROUND(C950,2)=0,ROUND(D950,2)=0),"","yes"))</f>
        <v/>
      </c>
      <c r="G950" s="39" t="n"/>
      <c r="H950" s="11">
        <f>IF(OR(A950="",G950=""),"",E950-G950)</f>
        <v/>
      </c>
    </row>
    <row r="951">
      <c r="A951" s="10">
        <f>IF(INDEX(lst_Jobs,938)="","",INDEX(lst_Jobs,938)&amp;"")</f>
        <v/>
      </c>
      <c r="B951" s="10">
        <f>IF(A951="","",INDEX(lst_JobName,938)&amp;"")</f>
        <v/>
      </c>
      <c r="C951" s="11">
        <f>IF(A951="","",SUMIFS(tbl_WIP[Amount],tbl_WIP[Job Number],A951,tbl_WIP[Month],"&lt;"&amp;$C$4))</f>
        <v/>
      </c>
      <c r="D951" s="11">
        <f>IF(A951="","",SUMIFS(tbl_WIP[Amount],tbl_WIP[Job Number],A951,tbl_WIP[Month],$C$4))</f>
        <v/>
      </c>
      <c r="E951" s="11">
        <f>IF(A951="","",C951+D951)</f>
        <v/>
      </c>
      <c r="F951" s="10">
        <f>IF(A951="","",IF(AND(ROUND(C951,2)=0,ROUND(D951,2)=0),"","yes"))</f>
        <v/>
      </c>
      <c r="G951" s="39" t="n"/>
      <c r="H951" s="11">
        <f>IF(OR(A951="",G951=""),"",E951-G951)</f>
        <v/>
      </c>
    </row>
    <row r="952">
      <c r="A952" s="10">
        <f>IF(INDEX(lst_Jobs,939)="","",INDEX(lst_Jobs,939)&amp;"")</f>
        <v/>
      </c>
      <c r="B952" s="10">
        <f>IF(A952="","",INDEX(lst_JobName,939)&amp;"")</f>
        <v/>
      </c>
      <c r="C952" s="11">
        <f>IF(A952="","",SUMIFS(tbl_WIP[Amount],tbl_WIP[Job Number],A952,tbl_WIP[Month],"&lt;"&amp;$C$4))</f>
        <v/>
      </c>
      <c r="D952" s="11">
        <f>IF(A952="","",SUMIFS(tbl_WIP[Amount],tbl_WIP[Job Number],A952,tbl_WIP[Month],$C$4))</f>
        <v/>
      </c>
      <c r="E952" s="11">
        <f>IF(A952="","",C952+D952)</f>
        <v/>
      </c>
      <c r="F952" s="10">
        <f>IF(A952="","",IF(AND(ROUND(C952,2)=0,ROUND(D952,2)=0),"","yes"))</f>
        <v/>
      </c>
      <c r="G952" s="39" t="n"/>
      <c r="H952" s="11">
        <f>IF(OR(A952="",G952=""),"",E952-G952)</f>
        <v/>
      </c>
    </row>
    <row r="953">
      <c r="A953" s="10">
        <f>IF(INDEX(lst_Jobs,940)="","",INDEX(lst_Jobs,940)&amp;"")</f>
        <v/>
      </c>
      <c r="B953" s="10">
        <f>IF(A953="","",INDEX(lst_JobName,940)&amp;"")</f>
        <v/>
      </c>
      <c r="C953" s="11">
        <f>IF(A953="","",SUMIFS(tbl_WIP[Amount],tbl_WIP[Job Number],A953,tbl_WIP[Month],"&lt;"&amp;$C$4))</f>
        <v/>
      </c>
      <c r="D953" s="11">
        <f>IF(A953="","",SUMIFS(tbl_WIP[Amount],tbl_WIP[Job Number],A953,tbl_WIP[Month],$C$4))</f>
        <v/>
      </c>
      <c r="E953" s="11">
        <f>IF(A953="","",C953+D953)</f>
        <v/>
      </c>
      <c r="F953" s="10">
        <f>IF(A953="","",IF(AND(ROUND(C953,2)=0,ROUND(D953,2)=0),"","yes"))</f>
        <v/>
      </c>
      <c r="G953" s="39" t="n"/>
      <c r="H953" s="11">
        <f>IF(OR(A953="",G953=""),"",E953-G953)</f>
        <v/>
      </c>
    </row>
    <row r="954">
      <c r="A954" s="10">
        <f>IF(INDEX(lst_Jobs,941)="","",INDEX(lst_Jobs,941)&amp;"")</f>
        <v/>
      </c>
      <c r="B954" s="10">
        <f>IF(A954="","",INDEX(lst_JobName,941)&amp;"")</f>
        <v/>
      </c>
      <c r="C954" s="11">
        <f>IF(A954="","",SUMIFS(tbl_WIP[Amount],tbl_WIP[Job Number],A954,tbl_WIP[Month],"&lt;"&amp;$C$4))</f>
        <v/>
      </c>
      <c r="D954" s="11">
        <f>IF(A954="","",SUMIFS(tbl_WIP[Amount],tbl_WIP[Job Number],A954,tbl_WIP[Month],$C$4))</f>
        <v/>
      </c>
      <c r="E954" s="11">
        <f>IF(A954="","",C954+D954)</f>
        <v/>
      </c>
      <c r="F954" s="10">
        <f>IF(A954="","",IF(AND(ROUND(C954,2)=0,ROUND(D954,2)=0),"","yes"))</f>
        <v/>
      </c>
      <c r="G954" s="39" t="n"/>
      <c r="H954" s="11">
        <f>IF(OR(A954="",G954=""),"",E954-G954)</f>
        <v/>
      </c>
    </row>
    <row r="955">
      <c r="A955" s="10">
        <f>IF(INDEX(lst_Jobs,942)="","",INDEX(lst_Jobs,942)&amp;"")</f>
        <v/>
      </c>
      <c r="B955" s="10">
        <f>IF(A955="","",INDEX(lst_JobName,942)&amp;"")</f>
        <v/>
      </c>
      <c r="C955" s="11">
        <f>IF(A955="","",SUMIFS(tbl_WIP[Amount],tbl_WIP[Job Number],A955,tbl_WIP[Month],"&lt;"&amp;$C$4))</f>
        <v/>
      </c>
      <c r="D955" s="11">
        <f>IF(A955="","",SUMIFS(tbl_WIP[Amount],tbl_WIP[Job Number],A955,tbl_WIP[Month],$C$4))</f>
        <v/>
      </c>
      <c r="E955" s="11">
        <f>IF(A955="","",C955+D955)</f>
        <v/>
      </c>
      <c r="F955" s="10">
        <f>IF(A955="","",IF(AND(ROUND(C955,2)=0,ROUND(D955,2)=0),"","yes"))</f>
        <v/>
      </c>
      <c r="G955" s="39" t="n"/>
      <c r="H955" s="11">
        <f>IF(OR(A955="",G955=""),"",E955-G955)</f>
        <v/>
      </c>
    </row>
    <row r="956">
      <c r="A956" s="10">
        <f>IF(INDEX(lst_Jobs,943)="","",INDEX(lst_Jobs,943)&amp;"")</f>
        <v/>
      </c>
      <c r="B956" s="10">
        <f>IF(A956="","",INDEX(lst_JobName,943)&amp;"")</f>
        <v/>
      </c>
      <c r="C956" s="11">
        <f>IF(A956="","",SUMIFS(tbl_WIP[Amount],tbl_WIP[Job Number],A956,tbl_WIP[Month],"&lt;"&amp;$C$4))</f>
        <v/>
      </c>
      <c r="D956" s="11">
        <f>IF(A956="","",SUMIFS(tbl_WIP[Amount],tbl_WIP[Job Number],A956,tbl_WIP[Month],$C$4))</f>
        <v/>
      </c>
      <c r="E956" s="11">
        <f>IF(A956="","",C956+D956)</f>
        <v/>
      </c>
      <c r="F956" s="10">
        <f>IF(A956="","",IF(AND(ROUND(C956,2)=0,ROUND(D956,2)=0),"","yes"))</f>
        <v/>
      </c>
      <c r="G956" s="39" t="n"/>
      <c r="H956" s="11">
        <f>IF(OR(A956="",G956=""),"",E956-G956)</f>
        <v/>
      </c>
    </row>
    <row r="957">
      <c r="A957" s="10">
        <f>IF(INDEX(lst_Jobs,944)="","",INDEX(lst_Jobs,944)&amp;"")</f>
        <v/>
      </c>
      <c r="B957" s="10">
        <f>IF(A957="","",INDEX(lst_JobName,944)&amp;"")</f>
        <v/>
      </c>
      <c r="C957" s="11">
        <f>IF(A957="","",SUMIFS(tbl_WIP[Amount],tbl_WIP[Job Number],A957,tbl_WIP[Month],"&lt;"&amp;$C$4))</f>
        <v/>
      </c>
      <c r="D957" s="11">
        <f>IF(A957="","",SUMIFS(tbl_WIP[Amount],tbl_WIP[Job Number],A957,tbl_WIP[Month],$C$4))</f>
        <v/>
      </c>
      <c r="E957" s="11">
        <f>IF(A957="","",C957+D957)</f>
        <v/>
      </c>
      <c r="F957" s="10">
        <f>IF(A957="","",IF(AND(ROUND(C957,2)=0,ROUND(D957,2)=0),"","yes"))</f>
        <v/>
      </c>
      <c r="G957" s="39" t="n"/>
      <c r="H957" s="11">
        <f>IF(OR(A957="",G957=""),"",E957-G957)</f>
        <v/>
      </c>
    </row>
    <row r="958">
      <c r="A958" s="10">
        <f>IF(INDEX(lst_Jobs,945)="","",INDEX(lst_Jobs,945)&amp;"")</f>
        <v/>
      </c>
      <c r="B958" s="10">
        <f>IF(A958="","",INDEX(lst_JobName,945)&amp;"")</f>
        <v/>
      </c>
      <c r="C958" s="11">
        <f>IF(A958="","",SUMIFS(tbl_WIP[Amount],tbl_WIP[Job Number],A958,tbl_WIP[Month],"&lt;"&amp;$C$4))</f>
        <v/>
      </c>
      <c r="D958" s="11">
        <f>IF(A958="","",SUMIFS(tbl_WIP[Amount],tbl_WIP[Job Number],A958,tbl_WIP[Month],$C$4))</f>
        <v/>
      </c>
      <c r="E958" s="11">
        <f>IF(A958="","",C958+D958)</f>
        <v/>
      </c>
      <c r="F958" s="10">
        <f>IF(A958="","",IF(AND(ROUND(C958,2)=0,ROUND(D958,2)=0),"","yes"))</f>
        <v/>
      </c>
      <c r="G958" s="39" t="n"/>
      <c r="H958" s="11">
        <f>IF(OR(A958="",G958=""),"",E958-G958)</f>
        <v/>
      </c>
    </row>
    <row r="959">
      <c r="A959" s="10">
        <f>IF(INDEX(lst_Jobs,946)="","",INDEX(lst_Jobs,946)&amp;"")</f>
        <v/>
      </c>
      <c r="B959" s="10">
        <f>IF(A959="","",INDEX(lst_JobName,946)&amp;"")</f>
        <v/>
      </c>
      <c r="C959" s="11">
        <f>IF(A959="","",SUMIFS(tbl_WIP[Amount],tbl_WIP[Job Number],A959,tbl_WIP[Month],"&lt;"&amp;$C$4))</f>
        <v/>
      </c>
      <c r="D959" s="11">
        <f>IF(A959="","",SUMIFS(tbl_WIP[Amount],tbl_WIP[Job Number],A959,tbl_WIP[Month],$C$4))</f>
        <v/>
      </c>
      <c r="E959" s="11">
        <f>IF(A959="","",C959+D959)</f>
        <v/>
      </c>
      <c r="F959" s="10">
        <f>IF(A959="","",IF(AND(ROUND(C959,2)=0,ROUND(D959,2)=0),"","yes"))</f>
        <v/>
      </c>
      <c r="G959" s="39" t="n"/>
      <c r="H959" s="11">
        <f>IF(OR(A959="",G959=""),"",E959-G959)</f>
        <v/>
      </c>
    </row>
    <row r="960">
      <c r="A960" s="10">
        <f>IF(INDEX(lst_Jobs,947)="","",INDEX(lst_Jobs,947)&amp;"")</f>
        <v/>
      </c>
      <c r="B960" s="10">
        <f>IF(A960="","",INDEX(lst_JobName,947)&amp;"")</f>
        <v/>
      </c>
      <c r="C960" s="11">
        <f>IF(A960="","",SUMIFS(tbl_WIP[Amount],tbl_WIP[Job Number],A960,tbl_WIP[Month],"&lt;"&amp;$C$4))</f>
        <v/>
      </c>
      <c r="D960" s="11">
        <f>IF(A960="","",SUMIFS(tbl_WIP[Amount],tbl_WIP[Job Number],A960,tbl_WIP[Month],$C$4))</f>
        <v/>
      </c>
      <c r="E960" s="11">
        <f>IF(A960="","",C960+D960)</f>
        <v/>
      </c>
      <c r="F960" s="10">
        <f>IF(A960="","",IF(AND(ROUND(C960,2)=0,ROUND(D960,2)=0),"","yes"))</f>
        <v/>
      </c>
      <c r="G960" s="39" t="n"/>
      <c r="H960" s="11">
        <f>IF(OR(A960="",G960=""),"",E960-G960)</f>
        <v/>
      </c>
    </row>
    <row r="961">
      <c r="A961" s="10">
        <f>IF(INDEX(lst_Jobs,948)="","",INDEX(lst_Jobs,948)&amp;"")</f>
        <v/>
      </c>
      <c r="B961" s="10">
        <f>IF(A961="","",INDEX(lst_JobName,948)&amp;"")</f>
        <v/>
      </c>
      <c r="C961" s="11">
        <f>IF(A961="","",SUMIFS(tbl_WIP[Amount],tbl_WIP[Job Number],A961,tbl_WIP[Month],"&lt;"&amp;$C$4))</f>
        <v/>
      </c>
      <c r="D961" s="11">
        <f>IF(A961="","",SUMIFS(tbl_WIP[Amount],tbl_WIP[Job Number],A961,tbl_WIP[Month],$C$4))</f>
        <v/>
      </c>
      <c r="E961" s="11">
        <f>IF(A961="","",C961+D961)</f>
        <v/>
      </c>
      <c r="F961" s="10">
        <f>IF(A961="","",IF(AND(ROUND(C961,2)=0,ROUND(D961,2)=0),"","yes"))</f>
        <v/>
      </c>
      <c r="G961" s="39" t="n"/>
      <c r="H961" s="11">
        <f>IF(OR(A961="",G961=""),"",E961-G961)</f>
        <v/>
      </c>
    </row>
    <row r="962">
      <c r="A962" s="10">
        <f>IF(INDEX(lst_Jobs,949)="","",INDEX(lst_Jobs,949)&amp;"")</f>
        <v/>
      </c>
      <c r="B962" s="10">
        <f>IF(A962="","",INDEX(lst_JobName,949)&amp;"")</f>
        <v/>
      </c>
      <c r="C962" s="11">
        <f>IF(A962="","",SUMIFS(tbl_WIP[Amount],tbl_WIP[Job Number],A962,tbl_WIP[Month],"&lt;"&amp;$C$4))</f>
        <v/>
      </c>
      <c r="D962" s="11">
        <f>IF(A962="","",SUMIFS(tbl_WIP[Amount],tbl_WIP[Job Number],A962,tbl_WIP[Month],$C$4))</f>
        <v/>
      </c>
      <c r="E962" s="11">
        <f>IF(A962="","",C962+D962)</f>
        <v/>
      </c>
      <c r="F962" s="10">
        <f>IF(A962="","",IF(AND(ROUND(C962,2)=0,ROUND(D962,2)=0),"","yes"))</f>
        <v/>
      </c>
      <c r="G962" s="39" t="n"/>
      <c r="H962" s="11">
        <f>IF(OR(A962="",G962=""),"",E962-G962)</f>
        <v/>
      </c>
    </row>
    <row r="963">
      <c r="A963" s="10">
        <f>IF(INDEX(lst_Jobs,950)="","",INDEX(lst_Jobs,950)&amp;"")</f>
        <v/>
      </c>
      <c r="B963" s="10">
        <f>IF(A963="","",INDEX(lst_JobName,950)&amp;"")</f>
        <v/>
      </c>
      <c r="C963" s="11">
        <f>IF(A963="","",SUMIFS(tbl_WIP[Amount],tbl_WIP[Job Number],A963,tbl_WIP[Month],"&lt;"&amp;$C$4))</f>
        <v/>
      </c>
      <c r="D963" s="11">
        <f>IF(A963="","",SUMIFS(tbl_WIP[Amount],tbl_WIP[Job Number],A963,tbl_WIP[Month],$C$4))</f>
        <v/>
      </c>
      <c r="E963" s="11">
        <f>IF(A963="","",C963+D963)</f>
        <v/>
      </c>
      <c r="F963" s="10">
        <f>IF(A963="","",IF(AND(ROUND(C963,2)=0,ROUND(D963,2)=0),"","yes"))</f>
        <v/>
      </c>
      <c r="G963" s="39" t="n"/>
      <c r="H963" s="11">
        <f>IF(OR(A963="",G963=""),"",E963-G963)</f>
        <v/>
      </c>
    </row>
    <row r="964">
      <c r="A964" s="10">
        <f>IF(INDEX(lst_Jobs,951)="","",INDEX(lst_Jobs,951)&amp;"")</f>
        <v/>
      </c>
      <c r="B964" s="10">
        <f>IF(A964="","",INDEX(lst_JobName,951)&amp;"")</f>
        <v/>
      </c>
      <c r="C964" s="11">
        <f>IF(A964="","",SUMIFS(tbl_WIP[Amount],tbl_WIP[Job Number],A964,tbl_WIP[Month],"&lt;"&amp;$C$4))</f>
        <v/>
      </c>
      <c r="D964" s="11">
        <f>IF(A964="","",SUMIFS(tbl_WIP[Amount],tbl_WIP[Job Number],A964,tbl_WIP[Month],$C$4))</f>
        <v/>
      </c>
      <c r="E964" s="11">
        <f>IF(A964="","",C964+D964)</f>
        <v/>
      </c>
      <c r="F964" s="10">
        <f>IF(A964="","",IF(AND(ROUND(C964,2)=0,ROUND(D964,2)=0),"","yes"))</f>
        <v/>
      </c>
      <c r="G964" s="39" t="n"/>
      <c r="H964" s="11">
        <f>IF(OR(A964="",G964=""),"",E964-G964)</f>
        <v/>
      </c>
    </row>
    <row r="965">
      <c r="A965" s="10">
        <f>IF(INDEX(lst_Jobs,952)="","",INDEX(lst_Jobs,952)&amp;"")</f>
        <v/>
      </c>
      <c r="B965" s="10">
        <f>IF(A965="","",INDEX(lst_JobName,952)&amp;"")</f>
        <v/>
      </c>
      <c r="C965" s="11">
        <f>IF(A965="","",SUMIFS(tbl_WIP[Amount],tbl_WIP[Job Number],A965,tbl_WIP[Month],"&lt;"&amp;$C$4))</f>
        <v/>
      </c>
      <c r="D965" s="11">
        <f>IF(A965="","",SUMIFS(tbl_WIP[Amount],tbl_WIP[Job Number],A965,tbl_WIP[Month],$C$4))</f>
        <v/>
      </c>
      <c r="E965" s="11">
        <f>IF(A965="","",C965+D965)</f>
        <v/>
      </c>
      <c r="F965" s="10">
        <f>IF(A965="","",IF(AND(ROUND(C965,2)=0,ROUND(D965,2)=0),"","yes"))</f>
        <v/>
      </c>
      <c r="G965" s="39" t="n"/>
      <c r="H965" s="11">
        <f>IF(OR(A965="",G965=""),"",E965-G965)</f>
        <v/>
      </c>
    </row>
    <row r="966">
      <c r="A966" s="10">
        <f>IF(INDEX(lst_Jobs,953)="","",INDEX(lst_Jobs,953)&amp;"")</f>
        <v/>
      </c>
      <c r="B966" s="10">
        <f>IF(A966="","",INDEX(lst_JobName,953)&amp;"")</f>
        <v/>
      </c>
      <c r="C966" s="11">
        <f>IF(A966="","",SUMIFS(tbl_WIP[Amount],tbl_WIP[Job Number],A966,tbl_WIP[Month],"&lt;"&amp;$C$4))</f>
        <v/>
      </c>
      <c r="D966" s="11">
        <f>IF(A966="","",SUMIFS(tbl_WIP[Amount],tbl_WIP[Job Number],A966,tbl_WIP[Month],$C$4))</f>
        <v/>
      </c>
      <c r="E966" s="11">
        <f>IF(A966="","",C966+D966)</f>
        <v/>
      </c>
      <c r="F966" s="10">
        <f>IF(A966="","",IF(AND(ROUND(C966,2)=0,ROUND(D966,2)=0),"","yes"))</f>
        <v/>
      </c>
      <c r="G966" s="39" t="n"/>
      <c r="H966" s="11">
        <f>IF(OR(A966="",G966=""),"",E966-G966)</f>
        <v/>
      </c>
    </row>
    <row r="967">
      <c r="A967" s="10">
        <f>IF(INDEX(lst_Jobs,954)="","",INDEX(lst_Jobs,954)&amp;"")</f>
        <v/>
      </c>
      <c r="B967" s="10">
        <f>IF(A967="","",INDEX(lst_JobName,954)&amp;"")</f>
        <v/>
      </c>
      <c r="C967" s="11">
        <f>IF(A967="","",SUMIFS(tbl_WIP[Amount],tbl_WIP[Job Number],A967,tbl_WIP[Month],"&lt;"&amp;$C$4))</f>
        <v/>
      </c>
      <c r="D967" s="11">
        <f>IF(A967="","",SUMIFS(tbl_WIP[Amount],tbl_WIP[Job Number],A967,tbl_WIP[Month],$C$4))</f>
        <v/>
      </c>
      <c r="E967" s="11">
        <f>IF(A967="","",C967+D967)</f>
        <v/>
      </c>
      <c r="F967" s="10">
        <f>IF(A967="","",IF(AND(ROUND(C967,2)=0,ROUND(D967,2)=0),"","yes"))</f>
        <v/>
      </c>
      <c r="G967" s="39" t="n"/>
      <c r="H967" s="11">
        <f>IF(OR(A967="",G967=""),"",E967-G967)</f>
        <v/>
      </c>
    </row>
    <row r="968">
      <c r="A968" s="10">
        <f>IF(INDEX(lst_Jobs,955)="","",INDEX(lst_Jobs,955)&amp;"")</f>
        <v/>
      </c>
      <c r="B968" s="10">
        <f>IF(A968="","",INDEX(lst_JobName,955)&amp;"")</f>
        <v/>
      </c>
      <c r="C968" s="11">
        <f>IF(A968="","",SUMIFS(tbl_WIP[Amount],tbl_WIP[Job Number],A968,tbl_WIP[Month],"&lt;"&amp;$C$4))</f>
        <v/>
      </c>
      <c r="D968" s="11">
        <f>IF(A968="","",SUMIFS(tbl_WIP[Amount],tbl_WIP[Job Number],A968,tbl_WIP[Month],$C$4))</f>
        <v/>
      </c>
      <c r="E968" s="11">
        <f>IF(A968="","",C968+D968)</f>
        <v/>
      </c>
      <c r="F968" s="10">
        <f>IF(A968="","",IF(AND(ROUND(C968,2)=0,ROUND(D968,2)=0),"","yes"))</f>
        <v/>
      </c>
      <c r="G968" s="39" t="n"/>
      <c r="H968" s="11">
        <f>IF(OR(A968="",G968=""),"",E968-G968)</f>
        <v/>
      </c>
    </row>
    <row r="969">
      <c r="A969" s="10">
        <f>IF(INDEX(lst_Jobs,956)="","",INDEX(lst_Jobs,956)&amp;"")</f>
        <v/>
      </c>
      <c r="B969" s="10">
        <f>IF(A969="","",INDEX(lst_JobName,956)&amp;"")</f>
        <v/>
      </c>
      <c r="C969" s="11">
        <f>IF(A969="","",SUMIFS(tbl_WIP[Amount],tbl_WIP[Job Number],A969,tbl_WIP[Month],"&lt;"&amp;$C$4))</f>
        <v/>
      </c>
      <c r="D969" s="11">
        <f>IF(A969="","",SUMIFS(tbl_WIP[Amount],tbl_WIP[Job Number],A969,tbl_WIP[Month],$C$4))</f>
        <v/>
      </c>
      <c r="E969" s="11">
        <f>IF(A969="","",C969+D969)</f>
        <v/>
      </c>
      <c r="F969" s="10">
        <f>IF(A969="","",IF(AND(ROUND(C969,2)=0,ROUND(D969,2)=0),"","yes"))</f>
        <v/>
      </c>
      <c r="G969" s="39" t="n"/>
      <c r="H969" s="11">
        <f>IF(OR(A969="",G969=""),"",E969-G969)</f>
        <v/>
      </c>
    </row>
    <row r="970">
      <c r="A970" s="10">
        <f>IF(INDEX(lst_Jobs,957)="","",INDEX(lst_Jobs,957)&amp;"")</f>
        <v/>
      </c>
      <c r="B970" s="10">
        <f>IF(A970="","",INDEX(lst_JobName,957)&amp;"")</f>
        <v/>
      </c>
      <c r="C970" s="11">
        <f>IF(A970="","",SUMIFS(tbl_WIP[Amount],tbl_WIP[Job Number],A970,tbl_WIP[Month],"&lt;"&amp;$C$4))</f>
        <v/>
      </c>
      <c r="D970" s="11">
        <f>IF(A970="","",SUMIFS(tbl_WIP[Amount],tbl_WIP[Job Number],A970,tbl_WIP[Month],$C$4))</f>
        <v/>
      </c>
      <c r="E970" s="11">
        <f>IF(A970="","",C970+D970)</f>
        <v/>
      </c>
      <c r="F970" s="10">
        <f>IF(A970="","",IF(AND(ROUND(C970,2)=0,ROUND(D970,2)=0),"","yes"))</f>
        <v/>
      </c>
      <c r="G970" s="39" t="n"/>
      <c r="H970" s="11">
        <f>IF(OR(A970="",G970=""),"",E970-G970)</f>
        <v/>
      </c>
    </row>
    <row r="971">
      <c r="A971" s="10">
        <f>IF(INDEX(lst_Jobs,958)="","",INDEX(lst_Jobs,958)&amp;"")</f>
        <v/>
      </c>
      <c r="B971" s="10">
        <f>IF(A971="","",INDEX(lst_JobName,958)&amp;"")</f>
        <v/>
      </c>
      <c r="C971" s="11">
        <f>IF(A971="","",SUMIFS(tbl_WIP[Amount],tbl_WIP[Job Number],A971,tbl_WIP[Month],"&lt;"&amp;$C$4))</f>
        <v/>
      </c>
      <c r="D971" s="11">
        <f>IF(A971="","",SUMIFS(tbl_WIP[Amount],tbl_WIP[Job Number],A971,tbl_WIP[Month],$C$4))</f>
        <v/>
      </c>
      <c r="E971" s="11">
        <f>IF(A971="","",C971+D971)</f>
        <v/>
      </c>
      <c r="F971" s="10">
        <f>IF(A971="","",IF(AND(ROUND(C971,2)=0,ROUND(D971,2)=0),"","yes"))</f>
        <v/>
      </c>
      <c r="G971" s="39" t="n"/>
      <c r="H971" s="11">
        <f>IF(OR(A971="",G971=""),"",E971-G971)</f>
        <v/>
      </c>
    </row>
    <row r="972">
      <c r="A972" s="10">
        <f>IF(INDEX(lst_Jobs,959)="","",INDEX(lst_Jobs,959)&amp;"")</f>
        <v/>
      </c>
      <c r="B972" s="10">
        <f>IF(A972="","",INDEX(lst_JobName,959)&amp;"")</f>
        <v/>
      </c>
      <c r="C972" s="11">
        <f>IF(A972="","",SUMIFS(tbl_WIP[Amount],tbl_WIP[Job Number],A972,tbl_WIP[Month],"&lt;"&amp;$C$4))</f>
        <v/>
      </c>
      <c r="D972" s="11">
        <f>IF(A972="","",SUMIFS(tbl_WIP[Amount],tbl_WIP[Job Number],A972,tbl_WIP[Month],$C$4))</f>
        <v/>
      </c>
      <c r="E972" s="11">
        <f>IF(A972="","",C972+D972)</f>
        <v/>
      </c>
      <c r="F972" s="10">
        <f>IF(A972="","",IF(AND(ROUND(C972,2)=0,ROUND(D972,2)=0),"","yes"))</f>
        <v/>
      </c>
      <c r="G972" s="39" t="n"/>
      <c r="H972" s="11">
        <f>IF(OR(A972="",G972=""),"",E972-G972)</f>
        <v/>
      </c>
    </row>
    <row r="973">
      <c r="A973" s="10">
        <f>IF(INDEX(lst_Jobs,960)="","",INDEX(lst_Jobs,960)&amp;"")</f>
        <v/>
      </c>
      <c r="B973" s="10">
        <f>IF(A973="","",INDEX(lst_JobName,960)&amp;"")</f>
        <v/>
      </c>
      <c r="C973" s="11">
        <f>IF(A973="","",SUMIFS(tbl_WIP[Amount],tbl_WIP[Job Number],A973,tbl_WIP[Month],"&lt;"&amp;$C$4))</f>
        <v/>
      </c>
      <c r="D973" s="11">
        <f>IF(A973="","",SUMIFS(tbl_WIP[Amount],tbl_WIP[Job Number],A973,tbl_WIP[Month],$C$4))</f>
        <v/>
      </c>
      <c r="E973" s="11">
        <f>IF(A973="","",C973+D973)</f>
        <v/>
      </c>
      <c r="F973" s="10">
        <f>IF(A973="","",IF(AND(ROUND(C973,2)=0,ROUND(D973,2)=0),"","yes"))</f>
        <v/>
      </c>
      <c r="G973" s="39" t="n"/>
      <c r="H973" s="11">
        <f>IF(OR(A973="",G973=""),"",E973-G973)</f>
        <v/>
      </c>
    </row>
    <row r="974">
      <c r="A974" s="10">
        <f>IF(INDEX(lst_Jobs,961)="","",INDEX(lst_Jobs,961)&amp;"")</f>
        <v/>
      </c>
      <c r="B974" s="10">
        <f>IF(A974="","",INDEX(lst_JobName,961)&amp;"")</f>
        <v/>
      </c>
      <c r="C974" s="11">
        <f>IF(A974="","",SUMIFS(tbl_WIP[Amount],tbl_WIP[Job Number],A974,tbl_WIP[Month],"&lt;"&amp;$C$4))</f>
        <v/>
      </c>
      <c r="D974" s="11">
        <f>IF(A974="","",SUMIFS(tbl_WIP[Amount],tbl_WIP[Job Number],A974,tbl_WIP[Month],$C$4))</f>
        <v/>
      </c>
      <c r="E974" s="11">
        <f>IF(A974="","",C974+D974)</f>
        <v/>
      </c>
      <c r="F974" s="10">
        <f>IF(A974="","",IF(AND(ROUND(C974,2)=0,ROUND(D974,2)=0),"","yes"))</f>
        <v/>
      </c>
      <c r="G974" s="39" t="n"/>
      <c r="H974" s="11">
        <f>IF(OR(A974="",G974=""),"",E974-G974)</f>
        <v/>
      </c>
    </row>
    <row r="975">
      <c r="A975" s="10">
        <f>IF(INDEX(lst_Jobs,962)="","",INDEX(lst_Jobs,962)&amp;"")</f>
        <v/>
      </c>
      <c r="B975" s="10">
        <f>IF(A975="","",INDEX(lst_JobName,962)&amp;"")</f>
        <v/>
      </c>
      <c r="C975" s="11">
        <f>IF(A975="","",SUMIFS(tbl_WIP[Amount],tbl_WIP[Job Number],A975,tbl_WIP[Month],"&lt;"&amp;$C$4))</f>
        <v/>
      </c>
      <c r="D975" s="11">
        <f>IF(A975="","",SUMIFS(tbl_WIP[Amount],tbl_WIP[Job Number],A975,tbl_WIP[Month],$C$4))</f>
        <v/>
      </c>
      <c r="E975" s="11">
        <f>IF(A975="","",C975+D975)</f>
        <v/>
      </c>
      <c r="F975" s="10">
        <f>IF(A975="","",IF(AND(ROUND(C975,2)=0,ROUND(D975,2)=0),"","yes"))</f>
        <v/>
      </c>
      <c r="G975" s="39" t="n"/>
      <c r="H975" s="11">
        <f>IF(OR(A975="",G975=""),"",E975-G975)</f>
        <v/>
      </c>
    </row>
    <row r="976">
      <c r="A976" s="10">
        <f>IF(INDEX(lst_Jobs,963)="","",INDEX(lst_Jobs,963)&amp;"")</f>
        <v/>
      </c>
      <c r="B976" s="10">
        <f>IF(A976="","",INDEX(lst_JobName,963)&amp;"")</f>
        <v/>
      </c>
      <c r="C976" s="11">
        <f>IF(A976="","",SUMIFS(tbl_WIP[Amount],tbl_WIP[Job Number],A976,tbl_WIP[Month],"&lt;"&amp;$C$4))</f>
        <v/>
      </c>
      <c r="D976" s="11">
        <f>IF(A976="","",SUMIFS(tbl_WIP[Amount],tbl_WIP[Job Number],A976,tbl_WIP[Month],$C$4))</f>
        <v/>
      </c>
      <c r="E976" s="11">
        <f>IF(A976="","",C976+D976)</f>
        <v/>
      </c>
      <c r="F976" s="10">
        <f>IF(A976="","",IF(AND(ROUND(C976,2)=0,ROUND(D976,2)=0),"","yes"))</f>
        <v/>
      </c>
      <c r="G976" s="39" t="n"/>
      <c r="H976" s="11">
        <f>IF(OR(A976="",G976=""),"",E976-G976)</f>
        <v/>
      </c>
    </row>
    <row r="977">
      <c r="A977" s="10">
        <f>IF(INDEX(lst_Jobs,964)="","",INDEX(lst_Jobs,964)&amp;"")</f>
        <v/>
      </c>
      <c r="B977" s="10">
        <f>IF(A977="","",INDEX(lst_JobName,964)&amp;"")</f>
        <v/>
      </c>
      <c r="C977" s="11">
        <f>IF(A977="","",SUMIFS(tbl_WIP[Amount],tbl_WIP[Job Number],A977,tbl_WIP[Month],"&lt;"&amp;$C$4))</f>
        <v/>
      </c>
      <c r="D977" s="11">
        <f>IF(A977="","",SUMIFS(tbl_WIP[Amount],tbl_WIP[Job Number],A977,tbl_WIP[Month],$C$4))</f>
        <v/>
      </c>
      <c r="E977" s="11">
        <f>IF(A977="","",C977+D977)</f>
        <v/>
      </c>
      <c r="F977" s="10">
        <f>IF(A977="","",IF(AND(ROUND(C977,2)=0,ROUND(D977,2)=0),"","yes"))</f>
        <v/>
      </c>
      <c r="G977" s="39" t="n"/>
      <c r="H977" s="11">
        <f>IF(OR(A977="",G977=""),"",E977-G977)</f>
        <v/>
      </c>
    </row>
    <row r="978">
      <c r="A978" s="10">
        <f>IF(INDEX(lst_Jobs,965)="","",INDEX(lst_Jobs,965)&amp;"")</f>
        <v/>
      </c>
      <c r="B978" s="10">
        <f>IF(A978="","",INDEX(lst_JobName,965)&amp;"")</f>
        <v/>
      </c>
      <c r="C978" s="11">
        <f>IF(A978="","",SUMIFS(tbl_WIP[Amount],tbl_WIP[Job Number],A978,tbl_WIP[Month],"&lt;"&amp;$C$4))</f>
        <v/>
      </c>
      <c r="D978" s="11">
        <f>IF(A978="","",SUMIFS(tbl_WIP[Amount],tbl_WIP[Job Number],A978,tbl_WIP[Month],$C$4))</f>
        <v/>
      </c>
      <c r="E978" s="11">
        <f>IF(A978="","",C978+D978)</f>
        <v/>
      </c>
      <c r="F978" s="10">
        <f>IF(A978="","",IF(AND(ROUND(C978,2)=0,ROUND(D978,2)=0),"","yes"))</f>
        <v/>
      </c>
      <c r="G978" s="39" t="n"/>
      <c r="H978" s="11">
        <f>IF(OR(A978="",G978=""),"",E978-G978)</f>
        <v/>
      </c>
    </row>
    <row r="979">
      <c r="A979" s="10">
        <f>IF(INDEX(lst_Jobs,966)="","",INDEX(lst_Jobs,966)&amp;"")</f>
        <v/>
      </c>
      <c r="B979" s="10">
        <f>IF(A979="","",INDEX(lst_JobName,966)&amp;"")</f>
        <v/>
      </c>
      <c r="C979" s="11">
        <f>IF(A979="","",SUMIFS(tbl_WIP[Amount],tbl_WIP[Job Number],A979,tbl_WIP[Month],"&lt;"&amp;$C$4))</f>
        <v/>
      </c>
      <c r="D979" s="11">
        <f>IF(A979="","",SUMIFS(tbl_WIP[Amount],tbl_WIP[Job Number],A979,tbl_WIP[Month],$C$4))</f>
        <v/>
      </c>
      <c r="E979" s="11">
        <f>IF(A979="","",C979+D979)</f>
        <v/>
      </c>
      <c r="F979" s="10">
        <f>IF(A979="","",IF(AND(ROUND(C979,2)=0,ROUND(D979,2)=0),"","yes"))</f>
        <v/>
      </c>
      <c r="G979" s="39" t="n"/>
      <c r="H979" s="11">
        <f>IF(OR(A979="",G979=""),"",E979-G979)</f>
        <v/>
      </c>
    </row>
    <row r="980">
      <c r="A980" s="10">
        <f>IF(INDEX(lst_Jobs,967)="","",INDEX(lst_Jobs,967)&amp;"")</f>
        <v/>
      </c>
      <c r="B980" s="10">
        <f>IF(A980="","",INDEX(lst_JobName,967)&amp;"")</f>
        <v/>
      </c>
      <c r="C980" s="11">
        <f>IF(A980="","",SUMIFS(tbl_WIP[Amount],tbl_WIP[Job Number],A980,tbl_WIP[Month],"&lt;"&amp;$C$4))</f>
        <v/>
      </c>
      <c r="D980" s="11">
        <f>IF(A980="","",SUMIFS(tbl_WIP[Amount],tbl_WIP[Job Number],A980,tbl_WIP[Month],$C$4))</f>
        <v/>
      </c>
      <c r="E980" s="11">
        <f>IF(A980="","",C980+D980)</f>
        <v/>
      </c>
      <c r="F980" s="10">
        <f>IF(A980="","",IF(AND(ROUND(C980,2)=0,ROUND(D980,2)=0),"","yes"))</f>
        <v/>
      </c>
      <c r="G980" s="39" t="n"/>
      <c r="H980" s="11">
        <f>IF(OR(A980="",G980=""),"",E980-G980)</f>
        <v/>
      </c>
    </row>
    <row r="981">
      <c r="A981" s="10">
        <f>IF(INDEX(lst_Jobs,968)="","",INDEX(lst_Jobs,968)&amp;"")</f>
        <v/>
      </c>
      <c r="B981" s="10">
        <f>IF(A981="","",INDEX(lst_JobName,968)&amp;"")</f>
        <v/>
      </c>
      <c r="C981" s="11">
        <f>IF(A981="","",SUMIFS(tbl_WIP[Amount],tbl_WIP[Job Number],A981,tbl_WIP[Month],"&lt;"&amp;$C$4))</f>
        <v/>
      </c>
      <c r="D981" s="11">
        <f>IF(A981="","",SUMIFS(tbl_WIP[Amount],tbl_WIP[Job Number],A981,tbl_WIP[Month],$C$4))</f>
        <v/>
      </c>
      <c r="E981" s="11">
        <f>IF(A981="","",C981+D981)</f>
        <v/>
      </c>
      <c r="F981" s="10">
        <f>IF(A981="","",IF(AND(ROUND(C981,2)=0,ROUND(D981,2)=0),"","yes"))</f>
        <v/>
      </c>
      <c r="G981" s="39" t="n"/>
      <c r="H981" s="11">
        <f>IF(OR(A981="",G981=""),"",E981-G981)</f>
        <v/>
      </c>
    </row>
    <row r="982">
      <c r="A982" s="10">
        <f>IF(INDEX(lst_Jobs,969)="","",INDEX(lst_Jobs,969)&amp;"")</f>
        <v/>
      </c>
      <c r="B982" s="10">
        <f>IF(A982="","",INDEX(lst_JobName,969)&amp;"")</f>
        <v/>
      </c>
      <c r="C982" s="11">
        <f>IF(A982="","",SUMIFS(tbl_WIP[Amount],tbl_WIP[Job Number],A982,tbl_WIP[Month],"&lt;"&amp;$C$4))</f>
        <v/>
      </c>
      <c r="D982" s="11">
        <f>IF(A982="","",SUMIFS(tbl_WIP[Amount],tbl_WIP[Job Number],A982,tbl_WIP[Month],$C$4))</f>
        <v/>
      </c>
      <c r="E982" s="11">
        <f>IF(A982="","",C982+D982)</f>
        <v/>
      </c>
      <c r="F982" s="10">
        <f>IF(A982="","",IF(AND(ROUND(C982,2)=0,ROUND(D982,2)=0),"","yes"))</f>
        <v/>
      </c>
      <c r="G982" s="39" t="n"/>
      <c r="H982" s="11">
        <f>IF(OR(A982="",G982=""),"",E982-G982)</f>
        <v/>
      </c>
    </row>
    <row r="983">
      <c r="A983" s="10">
        <f>IF(INDEX(lst_Jobs,970)="","",INDEX(lst_Jobs,970)&amp;"")</f>
        <v/>
      </c>
      <c r="B983" s="10">
        <f>IF(A983="","",INDEX(lst_JobName,970)&amp;"")</f>
        <v/>
      </c>
      <c r="C983" s="11">
        <f>IF(A983="","",SUMIFS(tbl_WIP[Amount],tbl_WIP[Job Number],A983,tbl_WIP[Month],"&lt;"&amp;$C$4))</f>
        <v/>
      </c>
      <c r="D983" s="11">
        <f>IF(A983="","",SUMIFS(tbl_WIP[Amount],tbl_WIP[Job Number],A983,tbl_WIP[Month],$C$4))</f>
        <v/>
      </c>
      <c r="E983" s="11">
        <f>IF(A983="","",C983+D983)</f>
        <v/>
      </c>
      <c r="F983" s="10">
        <f>IF(A983="","",IF(AND(ROUND(C983,2)=0,ROUND(D983,2)=0),"","yes"))</f>
        <v/>
      </c>
      <c r="G983" s="39" t="n"/>
      <c r="H983" s="11">
        <f>IF(OR(A983="",G983=""),"",E983-G983)</f>
        <v/>
      </c>
    </row>
    <row r="984">
      <c r="A984" s="10">
        <f>IF(INDEX(lst_Jobs,971)="","",INDEX(lst_Jobs,971)&amp;"")</f>
        <v/>
      </c>
      <c r="B984" s="10">
        <f>IF(A984="","",INDEX(lst_JobName,971)&amp;"")</f>
        <v/>
      </c>
      <c r="C984" s="11">
        <f>IF(A984="","",SUMIFS(tbl_WIP[Amount],tbl_WIP[Job Number],A984,tbl_WIP[Month],"&lt;"&amp;$C$4))</f>
        <v/>
      </c>
      <c r="D984" s="11">
        <f>IF(A984="","",SUMIFS(tbl_WIP[Amount],tbl_WIP[Job Number],A984,tbl_WIP[Month],$C$4))</f>
        <v/>
      </c>
      <c r="E984" s="11">
        <f>IF(A984="","",C984+D984)</f>
        <v/>
      </c>
      <c r="F984" s="10">
        <f>IF(A984="","",IF(AND(ROUND(C984,2)=0,ROUND(D984,2)=0),"","yes"))</f>
        <v/>
      </c>
      <c r="G984" s="39" t="n"/>
      <c r="H984" s="11">
        <f>IF(OR(A984="",G984=""),"",E984-G984)</f>
        <v/>
      </c>
    </row>
    <row r="985">
      <c r="A985" s="10">
        <f>IF(INDEX(lst_Jobs,972)="","",INDEX(lst_Jobs,972)&amp;"")</f>
        <v/>
      </c>
      <c r="B985" s="10">
        <f>IF(A985="","",INDEX(lst_JobName,972)&amp;"")</f>
        <v/>
      </c>
      <c r="C985" s="11">
        <f>IF(A985="","",SUMIFS(tbl_WIP[Amount],tbl_WIP[Job Number],A985,tbl_WIP[Month],"&lt;"&amp;$C$4))</f>
        <v/>
      </c>
      <c r="D985" s="11">
        <f>IF(A985="","",SUMIFS(tbl_WIP[Amount],tbl_WIP[Job Number],A985,tbl_WIP[Month],$C$4))</f>
        <v/>
      </c>
      <c r="E985" s="11">
        <f>IF(A985="","",C985+D985)</f>
        <v/>
      </c>
      <c r="F985" s="10">
        <f>IF(A985="","",IF(AND(ROUND(C985,2)=0,ROUND(D985,2)=0),"","yes"))</f>
        <v/>
      </c>
      <c r="G985" s="39" t="n"/>
      <c r="H985" s="11">
        <f>IF(OR(A985="",G985=""),"",E985-G985)</f>
        <v/>
      </c>
    </row>
    <row r="986">
      <c r="A986" s="10">
        <f>IF(INDEX(lst_Jobs,973)="","",INDEX(lst_Jobs,973)&amp;"")</f>
        <v/>
      </c>
      <c r="B986" s="10">
        <f>IF(A986="","",INDEX(lst_JobName,973)&amp;"")</f>
        <v/>
      </c>
      <c r="C986" s="11">
        <f>IF(A986="","",SUMIFS(tbl_WIP[Amount],tbl_WIP[Job Number],A986,tbl_WIP[Month],"&lt;"&amp;$C$4))</f>
        <v/>
      </c>
      <c r="D986" s="11">
        <f>IF(A986="","",SUMIFS(tbl_WIP[Amount],tbl_WIP[Job Number],A986,tbl_WIP[Month],$C$4))</f>
        <v/>
      </c>
      <c r="E986" s="11">
        <f>IF(A986="","",C986+D986)</f>
        <v/>
      </c>
      <c r="F986" s="10">
        <f>IF(A986="","",IF(AND(ROUND(C986,2)=0,ROUND(D986,2)=0),"","yes"))</f>
        <v/>
      </c>
      <c r="G986" s="39" t="n"/>
      <c r="H986" s="11">
        <f>IF(OR(A986="",G986=""),"",E986-G986)</f>
        <v/>
      </c>
    </row>
    <row r="987">
      <c r="A987" s="10">
        <f>IF(INDEX(lst_Jobs,974)="","",INDEX(lst_Jobs,974)&amp;"")</f>
        <v/>
      </c>
      <c r="B987" s="10">
        <f>IF(A987="","",INDEX(lst_JobName,974)&amp;"")</f>
        <v/>
      </c>
      <c r="C987" s="11">
        <f>IF(A987="","",SUMIFS(tbl_WIP[Amount],tbl_WIP[Job Number],A987,tbl_WIP[Month],"&lt;"&amp;$C$4))</f>
        <v/>
      </c>
      <c r="D987" s="11">
        <f>IF(A987="","",SUMIFS(tbl_WIP[Amount],tbl_WIP[Job Number],A987,tbl_WIP[Month],$C$4))</f>
        <v/>
      </c>
      <c r="E987" s="11">
        <f>IF(A987="","",C987+D987)</f>
        <v/>
      </c>
      <c r="F987" s="10">
        <f>IF(A987="","",IF(AND(ROUND(C987,2)=0,ROUND(D987,2)=0),"","yes"))</f>
        <v/>
      </c>
      <c r="G987" s="39" t="n"/>
      <c r="H987" s="11">
        <f>IF(OR(A987="",G987=""),"",E987-G987)</f>
        <v/>
      </c>
    </row>
    <row r="988">
      <c r="A988" s="10">
        <f>IF(INDEX(lst_Jobs,975)="","",INDEX(lst_Jobs,975)&amp;"")</f>
        <v/>
      </c>
      <c r="B988" s="10">
        <f>IF(A988="","",INDEX(lst_JobName,975)&amp;"")</f>
        <v/>
      </c>
      <c r="C988" s="11">
        <f>IF(A988="","",SUMIFS(tbl_WIP[Amount],tbl_WIP[Job Number],A988,tbl_WIP[Month],"&lt;"&amp;$C$4))</f>
        <v/>
      </c>
      <c r="D988" s="11">
        <f>IF(A988="","",SUMIFS(tbl_WIP[Amount],tbl_WIP[Job Number],A988,tbl_WIP[Month],$C$4))</f>
        <v/>
      </c>
      <c r="E988" s="11">
        <f>IF(A988="","",C988+D988)</f>
        <v/>
      </c>
      <c r="F988" s="10">
        <f>IF(A988="","",IF(AND(ROUND(C988,2)=0,ROUND(D988,2)=0),"","yes"))</f>
        <v/>
      </c>
      <c r="G988" s="39" t="n"/>
      <c r="H988" s="11">
        <f>IF(OR(A988="",G988=""),"",E988-G988)</f>
        <v/>
      </c>
    </row>
    <row r="989">
      <c r="A989" s="10">
        <f>IF(INDEX(lst_Jobs,976)="","",INDEX(lst_Jobs,976)&amp;"")</f>
        <v/>
      </c>
      <c r="B989" s="10">
        <f>IF(A989="","",INDEX(lst_JobName,976)&amp;"")</f>
        <v/>
      </c>
      <c r="C989" s="11">
        <f>IF(A989="","",SUMIFS(tbl_WIP[Amount],tbl_WIP[Job Number],A989,tbl_WIP[Month],"&lt;"&amp;$C$4))</f>
        <v/>
      </c>
      <c r="D989" s="11">
        <f>IF(A989="","",SUMIFS(tbl_WIP[Amount],tbl_WIP[Job Number],A989,tbl_WIP[Month],$C$4))</f>
        <v/>
      </c>
      <c r="E989" s="11">
        <f>IF(A989="","",C989+D989)</f>
        <v/>
      </c>
      <c r="F989" s="10">
        <f>IF(A989="","",IF(AND(ROUND(C989,2)=0,ROUND(D989,2)=0),"","yes"))</f>
        <v/>
      </c>
      <c r="G989" s="39" t="n"/>
      <c r="H989" s="11">
        <f>IF(OR(A989="",G989=""),"",E989-G989)</f>
        <v/>
      </c>
    </row>
    <row r="990">
      <c r="A990" s="10">
        <f>IF(INDEX(lst_Jobs,977)="","",INDEX(lst_Jobs,977)&amp;"")</f>
        <v/>
      </c>
      <c r="B990" s="10">
        <f>IF(A990="","",INDEX(lst_JobName,977)&amp;"")</f>
        <v/>
      </c>
      <c r="C990" s="11">
        <f>IF(A990="","",SUMIFS(tbl_WIP[Amount],tbl_WIP[Job Number],A990,tbl_WIP[Month],"&lt;"&amp;$C$4))</f>
        <v/>
      </c>
      <c r="D990" s="11">
        <f>IF(A990="","",SUMIFS(tbl_WIP[Amount],tbl_WIP[Job Number],A990,tbl_WIP[Month],$C$4))</f>
        <v/>
      </c>
      <c r="E990" s="11">
        <f>IF(A990="","",C990+D990)</f>
        <v/>
      </c>
      <c r="F990" s="10">
        <f>IF(A990="","",IF(AND(ROUND(C990,2)=0,ROUND(D990,2)=0),"","yes"))</f>
        <v/>
      </c>
      <c r="G990" s="39" t="n"/>
      <c r="H990" s="11">
        <f>IF(OR(A990="",G990=""),"",E990-G990)</f>
        <v/>
      </c>
    </row>
    <row r="991">
      <c r="A991" s="10">
        <f>IF(INDEX(lst_Jobs,978)="","",INDEX(lst_Jobs,978)&amp;"")</f>
        <v/>
      </c>
      <c r="B991" s="10">
        <f>IF(A991="","",INDEX(lst_JobName,978)&amp;"")</f>
        <v/>
      </c>
      <c r="C991" s="11">
        <f>IF(A991="","",SUMIFS(tbl_WIP[Amount],tbl_WIP[Job Number],A991,tbl_WIP[Month],"&lt;"&amp;$C$4))</f>
        <v/>
      </c>
      <c r="D991" s="11">
        <f>IF(A991="","",SUMIFS(tbl_WIP[Amount],tbl_WIP[Job Number],A991,tbl_WIP[Month],$C$4))</f>
        <v/>
      </c>
      <c r="E991" s="11">
        <f>IF(A991="","",C991+D991)</f>
        <v/>
      </c>
      <c r="F991" s="10">
        <f>IF(A991="","",IF(AND(ROUND(C991,2)=0,ROUND(D991,2)=0),"","yes"))</f>
        <v/>
      </c>
      <c r="G991" s="39" t="n"/>
      <c r="H991" s="11">
        <f>IF(OR(A991="",G991=""),"",E991-G991)</f>
        <v/>
      </c>
    </row>
    <row r="992">
      <c r="A992" s="10">
        <f>IF(INDEX(lst_Jobs,979)="","",INDEX(lst_Jobs,979)&amp;"")</f>
        <v/>
      </c>
      <c r="B992" s="10">
        <f>IF(A992="","",INDEX(lst_JobName,979)&amp;"")</f>
        <v/>
      </c>
      <c r="C992" s="11">
        <f>IF(A992="","",SUMIFS(tbl_WIP[Amount],tbl_WIP[Job Number],A992,tbl_WIP[Month],"&lt;"&amp;$C$4))</f>
        <v/>
      </c>
      <c r="D992" s="11">
        <f>IF(A992="","",SUMIFS(tbl_WIP[Amount],tbl_WIP[Job Number],A992,tbl_WIP[Month],$C$4))</f>
        <v/>
      </c>
      <c r="E992" s="11">
        <f>IF(A992="","",C992+D992)</f>
        <v/>
      </c>
      <c r="F992" s="10">
        <f>IF(A992="","",IF(AND(ROUND(C992,2)=0,ROUND(D992,2)=0),"","yes"))</f>
        <v/>
      </c>
      <c r="G992" s="39" t="n"/>
      <c r="H992" s="11">
        <f>IF(OR(A992="",G992=""),"",E992-G992)</f>
        <v/>
      </c>
    </row>
    <row r="993">
      <c r="A993" s="10">
        <f>IF(INDEX(lst_Jobs,980)="","",INDEX(lst_Jobs,980)&amp;"")</f>
        <v/>
      </c>
      <c r="B993" s="10">
        <f>IF(A993="","",INDEX(lst_JobName,980)&amp;"")</f>
        <v/>
      </c>
      <c r="C993" s="11">
        <f>IF(A993="","",SUMIFS(tbl_WIP[Amount],tbl_WIP[Job Number],A993,tbl_WIP[Month],"&lt;"&amp;$C$4))</f>
        <v/>
      </c>
      <c r="D993" s="11">
        <f>IF(A993="","",SUMIFS(tbl_WIP[Amount],tbl_WIP[Job Number],A993,tbl_WIP[Month],$C$4))</f>
        <v/>
      </c>
      <c r="E993" s="11">
        <f>IF(A993="","",C993+D993)</f>
        <v/>
      </c>
      <c r="F993" s="10">
        <f>IF(A993="","",IF(AND(ROUND(C993,2)=0,ROUND(D993,2)=0),"","yes"))</f>
        <v/>
      </c>
      <c r="G993" s="39" t="n"/>
      <c r="H993" s="11">
        <f>IF(OR(A993="",G993=""),"",E993-G993)</f>
        <v/>
      </c>
    </row>
    <row r="994">
      <c r="A994" s="10">
        <f>IF(INDEX(lst_Jobs,981)="","",INDEX(lst_Jobs,981)&amp;"")</f>
        <v/>
      </c>
      <c r="B994" s="10">
        <f>IF(A994="","",INDEX(lst_JobName,981)&amp;"")</f>
        <v/>
      </c>
      <c r="C994" s="11">
        <f>IF(A994="","",SUMIFS(tbl_WIP[Amount],tbl_WIP[Job Number],A994,tbl_WIP[Month],"&lt;"&amp;$C$4))</f>
        <v/>
      </c>
      <c r="D994" s="11">
        <f>IF(A994="","",SUMIFS(tbl_WIP[Amount],tbl_WIP[Job Number],A994,tbl_WIP[Month],$C$4))</f>
        <v/>
      </c>
      <c r="E994" s="11">
        <f>IF(A994="","",C994+D994)</f>
        <v/>
      </c>
      <c r="F994" s="10">
        <f>IF(A994="","",IF(AND(ROUND(C994,2)=0,ROUND(D994,2)=0),"","yes"))</f>
        <v/>
      </c>
      <c r="G994" s="39" t="n"/>
      <c r="H994" s="11">
        <f>IF(OR(A994="",G994=""),"",E994-G994)</f>
        <v/>
      </c>
    </row>
    <row r="995">
      <c r="A995" s="10">
        <f>IF(INDEX(lst_Jobs,982)="","",INDEX(lst_Jobs,982)&amp;"")</f>
        <v/>
      </c>
      <c r="B995" s="10">
        <f>IF(A995="","",INDEX(lst_JobName,982)&amp;"")</f>
        <v/>
      </c>
      <c r="C995" s="11">
        <f>IF(A995="","",SUMIFS(tbl_WIP[Amount],tbl_WIP[Job Number],A995,tbl_WIP[Month],"&lt;"&amp;$C$4))</f>
        <v/>
      </c>
      <c r="D995" s="11">
        <f>IF(A995="","",SUMIFS(tbl_WIP[Amount],tbl_WIP[Job Number],A995,tbl_WIP[Month],$C$4))</f>
        <v/>
      </c>
      <c r="E995" s="11">
        <f>IF(A995="","",C995+D995)</f>
        <v/>
      </c>
      <c r="F995" s="10">
        <f>IF(A995="","",IF(AND(ROUND(C995,2)=0,ROUND(D995,2)=0),"","yes"))</f>
        <v/>
      </c>
      <c r="G995" s="39" t="n"/>
      <c r="H995" s="11">
        <f>IF(OR(A995="",G995=""),"",E995-G995)</f>
        <v/>
      </c>
    </row>
    <row r="996">
      <c r="A996" s="10">
        <f>IF(INDEX(lst_Jobs,983)="","",INDEX(lst_Jobs,983)&amp;"")</f>
        <v/>
      </c>
      <c r="B996" s="10">
        <f>IF(A996="","",INDEX(lst_JobName,983)&amp;"")</f>
        <v/>
      </c>
      <c r="C996" s="11">
        <f>IF(A996="","",SUMIFS(tbl_WIP[Amount],tbl_WIP[Job Number],A996,tbl_WIP[Month],"&lt;"&amp;$C$4))</f>
        <v/>
      </c>
      <c r="D996" s="11">
        <f>IF(A996="","",SUMIFS(tbl_WIP[Amount],tbl_WIP[Job Number],A996,tbl_WIP[Month],$C$4))</f>
        <v/>
      </c>
      <c r="E996" s="11">
        <f>IF(A996="","",C996+D996)</f>
        <v/>
      </c>
      <c r="F996" s="10">
        <f>IF(A996="","",IF(AND(ROUND(C996,2)=0,ROUND(D996,2)=0),"","yes"))</f>
        <v/>
      </c>
      <c r="G996" s="39" t="n"/>
      <c r="H996" s="11">
        <f>IF(OR(A996="",G996=""),"",E996-G996)</f>
        <v/>
      </c>
    </row>
    <row r="997">
      <c r="A997" s="10">
        <f>IF(INDEX(lst_Jobs,984)="","",INDEX(lst_Jobs,984)&amp;"")</f>
        <v/>
      </c>
      <c r="B997" s="10">
        <f>IF(A997="","",INDEX(lst_JobName,984)&amp;"")</f>
        <v/>
      </c>
      <c r="C997" s="11">
        <f>IF(A997="","",SUMIFS(tbl_WIP[Amount],tbl_WIP[Job Number],A997,tbl_WIP[Month],"&lt;"&amp;$C$4))</f>
        <v/>
      </c>
      <c r="D997" s="11">
        <f>IF(A997="","",SUMIFS(tbl_WIP[Amount],tbl_WIP[Job Number],A997,tbl_WIP[Month],$C$4))</f>
        <v/>
      </c>
      <c r="E997" s="11">
        <f>IF(A997="","",C997+D997)</f>
        <v/>
      </c>
      <c r="F997" s="10">
        <f>IF(A997="","",IF(AND(ROUND(C997,2)=0,ROUND(D997,2)=0),"","yes"))</f>
        <v/>
      </c>
      <c r="G997" s="39" t="n"/>
      <c r="H997" s="11">
        <f>IF(OR(A997="",G997=""),"",E997-G997)</f>
        <v/>
      </c>
    </row>
    <row r="998">
      <c r="A998" s="10">
        <f>IF(INDEX(lst_Jobs,985)="","",INDEX(lst_Jobs,985)&amp;"")</f>
        <v/>
      </c>
      <c r="B998" s="10">
        <f>IF(A998="","",INDEX(lst_JobName,985)&amp;"")</f>
        <v/>
      </c>
      <c r="C998" s="11">
        <f>IF(A998="","",SUMIFS(tbl_WIP[Amount],tbl_WIP[Job Number],A998,tbl_WIP[Month],"&lt;"&amp;$C$4))</f>
        <v/>
      </c>
      <c r="D998" s="11">
        <f>IF(A998="","",SUMIFS(tbl_WIP[Amount],tbl_WIP[Job Number],A998,tbl_WIP[Month],$C$4))</f>
        <v/>
      </c>
      <c r="E998" s="11">
        <f>IF(A998="","",C998+D998)</f>
        <v/>
      </c>
      <c r="F998" s="10">
        <f>IF(A998="","",IF(AND(ROUND(C998,2)=0,ROUND(D998,2)=0),"","yes"))</f>
        <v/>
      </c>
      <c r="G998" s="39" t="n"/>
      <c r="H998" s="11">
        <f>IF(OR(A998="",G998=""),"",E998-G998)</f>
        <v/>
      </c>
    </row>
    <row r="999">
      <c r="A999" s="10">
        <f>IF(INDEX(lst_Jobs,986)="","",INDEX(lst_Jobs,986)&amp;"")</f>
        <v/>
      </c>
      <c r="B999" s="10">
        <f>IF(A999="","",INDEX(lst_JobName,986)&amp;"")</f>
        <v/>
      </c>
      <c r="C999" s="11">
        <f>IF(A999="","",SUMIFS(tbl_WIP[Amount],tbl_WIP[Job Number],A999,tbl_WIP[Month],"&lt;"&amp;$C$4))</f>
        <v/>
      </c>
      <c r="D999" s="11">
        <f>IF(A999="","",SUMIFS(tbl_WIP[Amount],tbl_WIP[Job Number],A999,tbl_WIP[Month],$C$4))</f>
        <v/>
      </c>
      <c r="E999" s="11">
        <f>IF(A999="","",C999+D999)</f>
        <v/>
      </c>
      <c r="F999" s="10">
        <f>IF(A999="","",IF(AND(ROUND(C999,2)=0,ROUND(D999,2)=0),"","yes"))</f>
        <v/>
      </c>
      <c r="G999" s="39" t="n"/>
      <c r="H999" s="11">
        <f>IF(OR(A999="",G999=""),"",E999-G999)</f>
        <v/>
      </c>
    </row>
    <row r="1000">
      <c r="A1000" s="10">
        <f>IF(INDEX(lst_Jobs,987)="","",INDEX(lst_Jobs,987)&amp;"")</f>
        <v/>
      </c>
      <c r="B1000" s="10">
        <f>IF(A1000="","",INDEX(lst_JobName,987)&amp;"")</f>
        <v/>
      </c>
      <c r="C1000" s="11">
        <f>IF(A1000="","",SUMIFS(tbl_WIP[Amount],tbl_WIP[Job Number],A1000,tbl_WIP[Month],"&lt;"&amp;$C$4))</f>
        <v/>
      </c>
      <c r="D1000" s="11">
        <f>IF(A1000="","",SUMIFS(tbl_WIP[Amount],tbl_WIP[Job Number],A1000,tbl_WIP[Month],$C$4))</f>
        <v/>
      </c>
      <c r="E1000" s="11">
        <f>IF(A1000="","",C1000+D1000)</f>
        <v/>
      </c>
      <c r="F1000" s="10">
        <f>IF(A1000="","",IF(AND(ROUND(C1000,2)=0,ROUND(D1000,2)=0),"","yes"))</f>
        <v/>
      </c>
      <c r="G1000" s="39" t="n"/>
      <c r="H1000" s="11">
        <f>IF(OR(A1000="",G1000=""),"",E1000-G1000)</f>
        <v/>
      </c>
    </row>
    <row r="1001">
      <c r="A1001" s="10">
        <f>IF(INDEX(lst_Jobs,988)="","",INDEX(lst_Jobs,988)&amp;"")</f>
        <v/>
      </c>
      <c r="B1001" s="10">
        <f>IF(A1001="","",INDEX(lst_JobName,988)&amp;"")</f>
        <v/>
      </c>
      <c r="C1001" s="11">
        <f>IF(A1001="","",SUMIFS(tbl_WIP[Amount],tbl_WIP[Job Number],A1001,tbl_WIP[Month],"&lt;"&amp;$C$4))</f>
        <v/>
      </c>
      <c r="D1001" s="11">
        <f>IF(A1001="","",SUMIFS(tbl_WIP[Amount],tbl_WIP[Job Number],A1001,tbl_WIP[Month],$C$4))</f>
        <v/>
      </c>
      <c r="E1001" s="11">
        <f>IF(A1001="","",C1001+D1001)</f>
        <v/>
      </c>
      <c r="F1001" s="10">
        <f>IF(A1001="","",IF(AND(ROUND(C1001,2)=0,ROUND(D1001,2)=0),"","yes"))</f>
        <v/>
      </c>
      <c r="G1001" s="39" t="n"/>
      <c r="H1001" s="11">
        <f>IF(OR(A1001="",G1001=""),"",E1001-G1001)</f>
        <v/>
      </c>
    </row>
    <row r="1002">
      <c r="A1002" s="10">
        <f>IF(INDEX(lst_Jobs,989)="","",INDEX(lst_Jobs,989)&amp;"")</f>
        <v/>
      </c>
      <c r="B1002" s="10">
        <f>IF(A1002="","",INDEX(lst_JobName,989)&amp;"")</f>
        <v/>
      </c>
      <c r="C1002" s="11">
        <f>IF(A1002="","",SUMIFS(tbl_WIP[Amount],tbl_WIP[Job Number],A1002,tbl_WIP[Month],"&lt;"&amp;$C$4))</f>
        <v/>
      </c>
      <c r="D1002" s="11">
        <f>IF(A1002="","",SUMIFS(tbl_WIP[Amount],tbl_WIP[Job Number],A1002,tbl_WIP[Month],$C$4))</f>
        <v/>
      </c>
      <c r="E1002" s="11">
        <f>IF(A1002="","",C1002+D1002)</f>
        <v/>
      </c>
      <c r="F1002" s="10">
        <f>IF(A1002="","",IF(AND(ROUND(C1002,2)=0,ROUND(D1002,2)=0),"","yes"))</f>
        <v/>
      </c>
      <c r="G1002" s="39" t="n"/>
      <c r="H1002" s="11">
        <f>IF(OR(A1002="",G1002=""),"",E1002-G1002)</f>
        <v/>
      </c>
    </row>
    <row r="1003">
      <c r="A1003" s="10">
        <f>IF(INDEX(lst_Jobs,990)="","",INDEX(lst_Jobs,990)&amp;"")</f>
        <v/>
      </c>
      <c r="B1003" s="10">
        <f>IF(A1003="","",INDEX(lst_JobName,990)&amp;"")</f>
        <v/>
      </c>
      <c r="C1003" s="11">
        <f>IF(A1003="","",SUMIFS(tbl_WIP[Amount],tbl_WIP[Job Number],A1003,tbl_WIP[Month],"&lt;"&amp;$C$4))</f>
        <v/>
      </c>
      <c r="D1003" s="11">
        <f>IF(A1003="","",SUMIFS(tbl_WIP[Amount],tbl_WIP[Job Number],A1003,tbl_WIP[Month],$C$4))</f>
        <v/>
      </c>
      <c r="E1003" s="11">
        <f>IF(A1003="","",C1003+D1003)</f>
        <v/>
      </c>
      <c r="F1003" s="10">
        <f>IF(A1003="","",IF(AND(ROUND(C1003,2)=0,ROUND(D1003,2)=0),"","yes"))</f>
        <v/>
      </c>
      <c r="G1003" s="39" t="n"/>
      <c r="H1003" s="11">
        <f>IF(OR(A1003="",G1003=""),"",E1003-G1003)</f>
        <v/>
      </c>
    </row>
    <row r="1004">
      <c r="A1004" s="10">
        <f>IF(INDEX(lst_Jobs,991)="","",INDEX(lst_Jobs,991)&amp;"")</f>
        <v/>
      </c>
      <c r="B1004" s="10">
        <f>IF(A1004="","",INDEX(lst_JobName,991)&amp;"")</f>
        <v/>
      </c>
      <c r="C1004" s="11">
        <f>IF(A1004="","",SUMIFS(tbl_WIP[Amount],tbl_WIP[Job Number],A1004,tbl_WIP[Month],"&lt;"&amp;$C$4))</f>
        <v/>
      </c>
      <c r="D1004" s="11">
        <f>IF(A1004="","",SUMIFS(tbl_WIP[Amount],tbl_WIP[Job Number],A1004,tbl_WIP[Month],$C$4))</f>
        <v/>
      </c>
      <c r="E1004" s="11">
        <f>IF(A1004="","",C1004+D1004)</f>
        <v/>
      </c>
      <c r="F1004" s="10">
        <f>IF(A1004="","",IF(AND(ROUND(C1004,2)=0,ROUND(D1004,2)=0),"","yes"))</f>
        <v/>
      </c>
      <c r="G1004" s="39" t="n"/>
      <c r="H1004" s="11">
        <f>IF(OR(A1004="",G1004=""),"",E1004-G1004)</f>
        <v/>
      </c>
    </row>
    <row r="1005">
      <c r="A1005" s="10">
        <f>IF(INDEX(lst_Jobs,992)="","",INDEX(lst_Jobs,992)&amp;"")</f>
        <v/>
      </c>
      <c r="B1005" s="10">
        <f>IF(A1005="","",INDEX(lst_JobName,992)&amp;"")</f>
        <v/>
      </c>
      <c r="C1005" s="11">
        <f>IF(A1005="","",SUMIFS(tbl_WIP[Amount],tbl_WIP[Job Number],A1005,tbl_WIP[Month],"&lt;"&amp;$C$4))</f>
        <v/>
      </c>
      <c r="D1005" s="11">
        <f>IF(A1005="","",SUMIFS(tbl_WIP[Amount],tbl_WIP[Job Number],A1005,tbl_WIP[Month],$C$4))</f>
        <v/>
      </c>
      <c r="E1005" s="11">
        <f>IF(A1005="","",C1005+D1005)</f>
        <v/>
      </c>
      <c r="F1005" s="10">
        <f>IF(A1005="","",IF(AND(ROUND(C1005,2)=0,ROUND(D1005,2)=0),"","yes"))</f>
        <v/>
      </c>
      <c r="G1005" s="39" t="n"/>
      <c r="H1005" s="11">
        <f>IF(OR(A1005="",G1005=""),"",E1005-G1005)</f>
        <v/>
      </c>
    </row>
    <row r="1006">
      <c r="A1006" s="10">
        <f>IF(INDEX(lst_Jobs,993)="","",INDEX(lst_Jobs,993)&amp;"")</f>
        <v/>
      </c>
      <c r="B1006" s="10">
        <f>IF(A1006="","",INDEX(lst_JobName,993)&amp;"")</f>
        <v/>
      </c>
      <c r="C1006" s="11">
        <f>IF(A1006="","",SUMIFS(tbl_WIP[Amount],tbl_WIP[Job Number],A1006,tbl_WIP[Month],"&lt;"&amp;$C$4))</f>
        <v/>
      </c>
      <c r="D1006" s="11">
        <f>IF(A1006="","",SUMIFS(tbl_WIP[Amount],tbl_WIP[Job Number],A1006,tbl_WIP[Month],$C$4))</f>
        <v/>
      </c>
      <c r="E1006" s="11">
        <f>IF(A1006="","",C1006+D1006)</f>
        <v/>
      </c>
      <c r="F1006" s="10">
        <f>IF(A1006="","",IF(AND(ROUND(C1006,2)=0,ROUND(D1006,2)=0),"","yes"))</f>
        <v/>
      </c>
      <c r="G1006" s="39" t="n"/>
      <c r="H1006" s="11">
        <f>IF(OR(A1006="",G1006=""),"",E1006-G1006)</f>
        <v/>
      </c>
    </row>
    <row r="1007">
      <c r="A1007" s="10">
        <f>IF(INDEX(lst_Jobs,994)="","",INDEX(lst_Jobs,994)&amp;"")</f>
        <v/>
      </c>
      <c r="B1007" s="10">
        <f>IF(A1007="","",INDEX(lst_JobName,994)&amp;"")</f>
        <v/>
      </c>
      <c r="C1007" s="11">
        <f>IF(A1007="","",SUMIFS(tbl_WIP[Amount],tbl_WIP[Job Number],A1007,tbl_WIP[Month],"&lt;"&amp;$C$4))</f>
        <v/>
      </c>
      <c r="D1007" s="11">
        <f>IF(A1007="","",SUMIFS(tbl_WIP[Amount],tbl_WIP[Job Number],A1007,tbl_WIP[Month],$C$4))</f>
        <v/>
      </c>
      <c r="E1007" s="11">
        <f>IF(A1007="","",C1007+D1007)</f>
        <v/>
      </c>
      <c r="F1007" s="10">
        <f>IF(A1007="","",IF(AND(ROUND(C1007,2)=0,ROUND(D1007,2)=0),"","yes"))</f>
        <v/>
      </c>
      <c r="G1007" s="39" t="n"/>
      <c r="H1007" s="11">
        <f>IF(OR(A1007="",G1007=""),"",E1007-G1007)</f>
        <v/>
      </c>
    </row>
    <row r="1008">
      <c r="A1008" s="10">
        <f>IF(INDEX(lst_Jobs,995)="","",INDEX(lst_Jobs,995)&amp;"")</f>
        <v/>
      </c>
      <c r="B1008" s="10">
        <f>IF(A1008="","",INDEX(lst_JobName,995)&amp;"")</f>
        <v/>
      </c>
      <c r="C1008" s="11">
        <f>IF(A1008="","",SUMIFS(tbl_WIP[Amount],tbl_WIP[Job Number],A1008,tbl_WIP[Month],"&lt;"&amp;$C$4))</f>
        <v/>
      </c>
      <c r="D1008" s="11">
        <f>IF(A1008="","",SUMIFS(tbl_WIP[Amount],tbl_WIP[Job Number],A1008,tbl_WIP[Month],$C$4))</f>
        <v/>
      </c>
      <c r="E1008" s="11">
        <f>IF(A1008="","",C1008+D1008)</f>
        <v/>
      </c>
      <c r="F1008" s="10">
        <f>IF(A1008="","",IF(AND(ROUND(C1008,2)=0,ROUND(D1008,2)=0),"","yes"))</f>
        <v/>
      </c>
      <c r="G1008" s="39" t="n"/>
      <c r="H1008" s="11">
        <f>IF(OR(A1008="",G1008=""),"",E1008-G1008)</f>
        <v/>
      </c>
    </row>
    <row r="1009">
      <c r="A1009" s="10">
        <f>IF(INDEX(lst_Jobs,996)="","",INDEX(lst_Jobs,996)&amp;"")</f>
        <v/>
      </c>
      <c r="B1009" s="10">
        <f>IF(A1009="","",INDEX(lst_JobName,996)&amp;"")</f>
        <v/>
      </c>
      <c r="C1009" s="11">
        <f>IF(A1009="","",SUMIFS(tbl_WIP[Amount],tbl_WIP[Job Number],A1009,tbl_WIP[Month],"&lt;"&amp;$C$4))</f>
        <v/>
      </c>
      <c r="D1009" s="11">
        <f>IF(A1009="","",SUMIFS(tbl_WIP[Amount],tbl_WIP[Job Number],A1009,tbl_WIP[Month],$C$4))</f>
        <v/>
      </c>
      <c r="E1009" s="11">
        <f>IF(A1009="","",C1009+D1009)</f>
        <v/>
      </c>
      <c r="F1009" s="10">
        <f>IF(A1009="","",IF(AND(ROUND(C1009,2)=0,ROUND(D1009,2)=0),"","yes"))</f>
        <v/>
      </c>
      <c r="G1009" s="39" t="n"/>
      <c r="H1009" s="11">
        <f>IF(OR(A1009="",G1009=""),"",E1009-G1009)</f>
        <v/>
      </c>
    </row>
    <row r="1010">
      <c r="A1010" s="10">
        <f>IF(INDEX(lst_Jobs,997)="","",INDEX(lst_Jobs,997)&amp;"")</f>
        <v/>
      </c>
      <c r="B1010" s="10">
        <f>IF(A1010="","",INDEX(lst_JobName,997)&amp;"")</f>
        <v/>
      </c>
      <c r="C1010" s="11">
        <f>IF(A1010="","",SUMIFS(tbl_WIP[Amount],tbl_WIP[Job Number],A1010,tbl_WIP[Month],"&lt;"&amp;$C$4))</f>
        <v/>
      </c>
      <c r="D1010" s="11">
        <f>IF(A1010="","",SUMIFS(tbl_WIP[Amount],tbl_WIP[Job Number],A1010,tbl_WIP[Month],$C$4))</f>
        <v/>
      </c>
      <c r="E1010" s="11">
        <f>IF(A1010="","",C1010+D1010)</f>
        <v/>
      </c>
      <c r="F1010" s="10">
        <f>IF(A1010="","",IF(AND(ROUND(C1010,2)=0,ROUND(D1010,2)=0),"","yes"))</f>
        <v/>
      </c>
      <c r="G1010" s="39" t="n"/>
      <c r="H1010" s="11">
        <f>IF(OR(A1010="",G1010=""),"",E1010-G1010)</f>
        <v/>
      </c>
    </row>
    <row r="1011">
      <c r="A1011" s="10">
        <f>IF(INDEX(lst_Jobs,998)="","",INDEX(lst_Jobs,998)&amp;"")</f>
        <v/>
      </c>
      <c r="B1011" s="10">
        <f>IF(A1011="","",INDEX(lst_JobName,998)&amp;"")</f>
        <v/>
      </c>
      <c r="C1011" s="11">
        <f>IF(A1011="","",SUMIFS(tbl_WIP[Amount],tbl_WIP[Job Number],A1011,tbl_WIP[Month],"&lt;"&amp;$C$4))</f>
        <v/>
      </c>
      <c r="D1011" s="11">
        <f>IF(A1011="","",SUMIFS(tbl_WIP[Amount],tbl_WIP[Job Number],A1011,tbl_WIP[Month],$C$4))</f>
        <v/>
      </c>
      <c r="E1011" s="11">
        <f>IF(A1011="","",C1011+D1011)</f>
        <v/>
      </c>
      <c r="F1011" s="10">
        <f>IF(A1011="","",IF(AND(ROUND(C1011,2)=0,ROUND(D1011,2)=0),"","yes"))</f>
        <v/>
      </c>
      <c r="G1011" s="39" t="n"/>
      <c r="H1011" s="11">
        <f>IF(OR(A1011="",G1011=""),"",E1011-G1011)</f>
        <v/>
      </c>
    </row>
    <row r="1012">
      <c r="A1012" s="10">
        <f>IF(INDEX(lst_Jobs,999)="","",INDEX(lst_Jobs,999)&amp;"")</f>
        <v/>
      </c>
      <c r="B1012" s="10">
        <f>IF(A1012="","",INDEX(lst_JobName,999)&amp;"")</f>
        <v/>
      </c>
      <c r="C1012" s="11">
        <f>IF(A1012="","",SUMIFS(tbl_WIP[Amount],tbl_WIP[Job Number],A1012,tbl_WIP[Month],"&lt;"&amp;$C$4))</f>
        <v/>
      </c>
      <c r="D1012" s="11">
        <f>IF(A1012="","",SUMIFS(tbl_WIP[Amount],tbl_WIP[Job Number],A1012,tbl_WIP[Month],$C$4))</f>
        <v/>
      </c>
      <c r="E1012" s="11">
        <f>IF(A1012="","",C1012+D1012)</f>
        <v/>
      </c>
      <c r="F1012" s="10">
        <f>IF(A1012="","",IF(AND(ROUND(C1012,2)=0,ROUND(D1012,2)=0),"","yes"))</f>
        <v/>
      </c>
      <c r="G1012" s="39" t="n"/>
      <c r="H1012" s="11">
        <f>IF(OR(A1012="",G1012=""),"",E1012-G1012)</f>
        <v/>
      </c>
    </row>
    <row r="1013">
      <c r="A1013" s="10">
        <f>IF(INDEX(lst_Jobs,1000)="","",INDEX(lst_Jobs,1000)&amp;"")</f>
        <v/>
      </c>
      <c r="B1013" s="10">
        <f>IF(A1013="","",INDEX(lst_JobName,1000)&amp;"")</f>
        <v/>
      </c>
      <c r="C1013" s="11">
        <f>IF(A1013="","",SUMIFS(tbl_WIP[Amount],tbl_WIP[Job Number],A1013,tbl_WIP[Month],"&lt;"&amp;$C$4))</f>
        <v/>
      </c>
      <c r="D1013" s="11">
        <f>IF(A1013="","",SUMIFS(tbl_WIP[Amount],tbl_WIP[Job Number],A1013,tbl_WIP[Month],$C$4))</f>
        <v/>
      </c>
      <c r="E1013" s="11">
        <f>IF(A1013="","",C1013+D1013)</f>
        <v/>
      </c>
      <c r="F1013" s="10">
        <f>IF(A1013="","",IF(AND(ROUND(C1013,2)=0,ROUND(D1013,2)=0),"","yes"))</f>
        <v/>
      </c>
      <c r="G1013" s="39" t="n"/>
      <c r="H1013" s="11">
        <f>IF(OR(A1013="",G1013=""),"",E1013-G1013)</f>
        <v/>
      </c>
    </row>
    <row r="1014">
      <c r="A1014" s="10">
        <f>IF(INDEX(lst_Jobs,1001)="","",INDEX(lst_Jobs,1001)&amp;"")</f>
        <v/>
      </c>
      <c r="B1014" s="10">
        <f>IF(A1014="","",INDEX(lst_JobName,1001)&amp;"")</f>
        <v/>
      </c>
      <c r="C1014" s="11">
        <f>IF(A1014="","",SUMIFS(tbl_WIP[Amount],tbl_WIP[Job Number],A1014,tbl_WIP[Month],"&lt;"&amp;$C$4))</f>
        <v/>
      </c>
      <c r="D1014" s="11">
        <f>IF(A1014="","",SUMIFS(tbl_WIP[Amount],tbl_WIP[Job Number],A1014,tbl_WIP[Month],$C$4))</f>
        <v/>
      </c>
      <c r="E1014" s="11">
        <f>IF(A1014="","",C1014+D1014)</f>
        <v/>
      </c>
      <c r="F1014" s="10">
        <f>IF(A1014="","",IF(AND(ROUND(C1014,2)=0,ROUND(D1014,2)=0),"","yes"))</f>
        <v/>
      </c>
      <c r="G1014" s="39" t="n"/>
      <c r="H1014" s="11">
        <f>IF(OR(A1014="",G1014=""),"",E1014-G1014)</f>
        <v/>
      </c>
    </row>
    <row r="1015">
      <c r="A1015" s="10">
        <f>IF(INDEX(lst_Jobs,1002)="","",INDEX(lst_Jobs,1002)&amp;"")</f>
        <v/>
      </c>
      <c r="B1015" s="10">
        <f>IF(A1015="","",INDEX(lst_JobName,1002)&amp;"")</f>
        <v/>
      </c>
      <c r="C1015" s="11">
        <f>IF(A1015="","",SUMIFS(tbl_WIP[Amount],tbl_WIP[Job Number],A1015,tbl_WIP[Month],"&lt;"&amp;$C$4))</f>
        <v/>
      </c>
      <c r="D1015" s="11">
        <f>IF(A1015="","",SUMIFS(tbl_WIP[Amount],tbl_WIP[Job Number],A1015,tbl_WIP[Month],$C$4))</f>
        <v/>
      </c>
      <c r="E1015" s="11">
        <f>IF(A1015="","",C1015+D1015)</f>
        <v/>
      </c>
      <c r="F1015" s="10">
        <f>IF(A1015="","",IF(AND(ROUND(C1015,2)=0,ROUND(D1015,2)=0),"","yes"))</f>
        <v/>
      </c>
      <c r="G1015" s="39" t="n"/>
      <c r="H1015" s="11">
        <f>IF(OR(A1015="",G1015=""),"",E1015-G1015)</f>
        <v/>
      </c>
    </row>
    <row r="1016">
      <c r="A1016" s="10">
        <f>IF(INDEX(lst_Jobs,1003)="","",INDEX(lst_Jobs,1003)&amp;"")</f>
        <v/>
      </c>
      <c r="B1016" s="10">
        <f>IF(A1016="","",INDEX(lst_JobName,1003)&amp;"")</f>
        <v/>
      </c>
      <c r="C1016" s="11">
        <f>IF(A1016="","",SUMIFS(tbl_WIP[Amount],tbl_WIP[Job Number],A1016,tbl_WIP[Month],"&lt;"&amp;$C$4))</f>
        <v/>
      </c>
      <c r="D1016" s="11">
        <f>IF(A1016="","",SUMIFS(tbl_WIP[Amount],tbl_WIP[Job Number],A1016,tbl_WIP[Month],$C$4))</f>
        <v/>
      </c>
      <c r="E1016" s="11">
        <f>IF(A1016="","",C1016+D1016)</f>
        <v/>
      </c>
      <c r="F1016" s="10">
        <f>IF(A1016="","",IF(AND(ROUND(C1016,2)=0,ROUND(D1016,2)=0),"","yes"))</f>
        <v/>
      </c>
      <c r="G1016" s="39" t="n"/>
      <c r="H1016" s="11">
        <f>IF(OR(A1016="",G1016=""),"",E1016-G1016)</f>
        <v/>
      </c>
    </row>
    <row r="1017">
      <c r="A1017" s="10">
        <f>IF(INDEX(lst_Jobs,1004)="","",INDEX(lst_Jobs,1004)&amp;"")</f>
        <v/>
      </c>
      <c r="B1017" s="10">
        <f>IF(A1017="","",INDEX(lst_JobName,1004)&amp;"")</f>
        <v/>
      </c>
      <c r="C1017" s="11">
        <f>IF(A1017="","",SUMIFS(tbl_WIP[Amount],tbl_WIP[Job Number],A1017,tbl_WIP[Month],"&lt;"&amp;$C$4))</f>
        <v/>
      </c>
      <c r="D1017" s="11">
        <f>IF(A1017="","",SUMIFS(tbl_WIP[Amount],tbl_WIP[Job Number],A1017,tbl_WIP[Month],$C$4))</f>
        <v/>
      </c>
      <c r="E1017" s="11">
        <f>IF(A1017="","",C1017+D1017)</f>
        <v/>
      </c>
      <c r="F1017" s="10">
        <f>IF(A1017="","",IF(AND(ROUND(C1017,2)=0,ROUND(D1017,2)=0),"","yes"))</f>
        <v/>
      </c>
      <c r="G1017" s="39" t="n"/>
      <c r="H1017" s="11">
        <f>IF(OR(A1017="",G1017=""),"",E1017-G1017)</f>
        <v/>
      </c>
    </row>
    <row r="1018">
      <c r="A1018" s="10">
        <f>IF(INDEX(lst_Jobs,1005)="","",INDEX(lst_Jobs,1005)&amp;"")</f>
        <v/>
      </c>
      <c r="B1018" s="10">
        <f>IF(A1018="","",INDEX(lst_JobName,1005)&amp;"")</f>
        <v/>
      </c>
      <c r="C1018" s="11">
        <f>IF(A1018="","",SUMIFS(tbl_WIP[Amount],tbl_WIP[Job Number],A1018,tbl_WIP[Month],"&lt;"&amp;$C$4))</f>
        <v/>
      </c>
      <c r="D1018" s="11">
        <f>IF(A1018="","",SUMIFS(tbl_WIP[Amount],tbl_WIP[Job Number],A1018,tbl_WIP[Month],$C$4))</f>
        <v/>
      </c>
      <c r="E1018" s="11">
        <f>IF(A1018="","",C1018+D1018)</f>
        <v/>
      </c>
      <c r="F1018" s="10">
        <f>IF(A1018="","",IF(AND(ROUND(C1018,2)=0,ROUND(D1018,2)=0),"","yes"))</f>
        <v/>
      </c>
      <c r="G1018" s="39" t="n"/>
      <c r="H1018" s="11">
        <f>IF(OR(A1018="",G1018=""),"",E1018-G1018)</f>
        <v/>
      </c>
    </row>
    <row r="1019">
      <c r="A1019" s="10">
        <f>IF(INDEX(lst_Jobs,1006)="","",INDEX(lst_Jobs,1006)&amp;"")</f>
        <v/>
      </c>
      <c r="B1019" s="10">
        <f>IF(A1019="","",INDEX(lst_JobName,1006)&amp;"")</f>
        <v/>
      </c>
      <c r="C1019" s="11">
        <f>IF(A1019="","",SUMIFS(tbl_WIP[Amount],tbl_WIP[Job Number],A1019,tbl_WIP[Month],"&lt;"&amp;$C$4))</f>
        <v/>
      </c>
      <c r="D1019" s="11">
        <f>IF(A1019="","",SUMIFS(tbl_WIP[Amount],tbl_WIP[Job Number],A1019,tbl_WIP[Month],$C$4))</f>
        <v/>
      </c>
      <c r="E1019" s="11">
        <f>IF(A1019="","",C1019+D1019)</f>
        <v/>
      </c>
      <c r="F1019" s="10">
        <f>IF(A1019="","",IF(AND(ROUND(C1019,2)=0,ROUND(D1019,2)=0),"","yes"))</f>
        <v/>
      </c>
      <c r="G1019" s="39" t="n"/>
      <c r="H1019" s="11">
        <f>IF(OR(A1019="",G1019=""),"",E1019-G1019)</f>
        <v/>
      </c>
    </row>
    <row r="1020">
      <c r="A1020" s="10">
        <f>IF(INDEX(lst_Jobs,1007)="","",INDEX(lst_Jobs,1007)&amp;"")</f>
        <v/>
      </c>
      <c r="B1020" s="10">
        <f>IF(A1020="","",INDEX(lst_JobName,1007)&amp;"")</f>
        <v/>
      </c>
      <c r="C1020" s="11">
        <f>IF(A1020="","",SUMIFS(tbl_WIP[Amount],tbl_WIP[Job Number],A1020,tbl_WIP[Month],"&lt;"&amp;$C$4))</f>
        <v/>
      </c>
      <c r="D1020" s="11">
        <f>IF(A1020="","",SUMIFS(tbl_WIP[Amount],tbl_WIP[Job Number],A1020,tbl_WIP[Month],$C$4))</f>
        <v/>
      </c>
      <c r="E1020" s="11">
        <f>IF(A1020="","",C1020+D1020)</f>
        <v/>
      </c>
      <c r="F1020" s="10">
        <f>IF(A1020="","",IF(AND(ROUND(C1020,2)=0,ROUND(D1020,2)=0),"","yes"))</f>
        <v/>
      </c>
      <c r="G1020" s="39" t="n"/>
      <c r="H1020" s="11">
        <f>IF(OR(A1020="",G1020=""),"",E1020-G1020)</f>
        <v/>
      </c>
    </row>
    <row r="1021">
      <c r="A1021" s="10">
        <f>IF(INDEX(lst_Jobs,1008)="","",INDEX(lst_Jobs,1008)&amp;"")</f>
        <v/>
      </c>
      <c r="B1021" s="10">
        <f>IF(A1021="","",INDEX(lst_JobName,1008)&amp;"")</f>
        <v/>
      </c>
      <c r="C1021" s="11">
        <f>IF(A1021="","",SUMIFS(tbl_WIP[Amount],tbl_WIP[Job Number],A1021,tbl_WIP[Month],"&lt;"&amp;$C$4))</f>
        <v/>
      </c>
      <c r="D1021" s="11">
        <f>IF(A1021="","",SUMIFS(tbl_WIP[Amount],tbl_WIP[Job Number],A1021,tbl_WIP[Month],$C$4))</f>
        <v/>
      </c>
      <c r="E1021" s="11">
        <f>IF(A1021="","",C1021+D1021)</f>
        <v/>
      </c>
      <c r="F1021" s="10">
        <f>IF(A1021="","",IF(AND(ROUND(C1021,2)=0,ROUND(D1021,2)=0),"","yes"))</f>
        <v/>
      </c>
      <c r="G1021" s="39" t="n"/>
      <c r="H1021" s="11">
        <f>IF(OR(A1021="",G1021=""),"",E1021-G1021)</f>
        <v/>
      </c>
    </row>
    <row r="1022">
      <c r="A1022" s="10">
        <f>IF(INDEX(lst_Jobs,1009)="","",INDEX(lst_Jobs,1009)&amp;"")</f>
        <v/>
      </c>
      <c r="B1022" s="10">
        <f>IF(A1022="","",INDEX(lst_JobName,1009)&amp;"")</f>
        <v/>
      </c>
      <c r="C1022" s="11">
        <f>IF(A1022="","",SUMIFS(tbl_WIP[Amount],tbl_WIP[Job Number],A1022,tbl_WIP[Month],"&lt;"&amp;$C$4))</f>
        <v/>
      </c>
      <c r="D1022" s="11">
        <f>IF(A1022="","",SUMIFS(tbl_WIP[Amount],tbl_WIP[Job Number],A1022,tbl_WIP[Month],$C$4))</f>
        <v/>
      </c>
      <c r="E1022" s="11">
        <f>IF(A1022="","",C1022+D1022)</f>
        <v/>
      </c>
      <c r="F1022" s="10">
        <f>IF(A1022="","",IF(AND(ROUND(C1022,2)=0,ROUND(D1022,2)=0),"","yes"))</f>
        <v/>
      </c>
      <c r="G1022" s="39" t="n"/>
      <c r="H1022" s="11">
        <f>IF(OR(A1022="",G1022=""),"",E1022-G1022)</f>
        <v/>
      </c>
    </row>
    <row r="1023">
      <c r="A1023" s="10">
        <f>IF(INDEX(lst_Jobs,1010)="","",INDEX(lst_Jobs,1010)&amp;"")</f>
        <v/>
      </c>
      <c r="B1023" s="10">
        <f>IF(A1023="","",INDEX(lst_JobName,1010)&amp;"")</f>
        <v/>
      </c>
      <c r="C1023" s="11">
        <f>IF(A1023="","",SUMIFS(tbl_WIP[Amount],tbl_WIP[Job Number],A1023,tbl_WIP[Month],"&lt;"&amp;$C$4))</f>
        <v/>
      </c>
      <c r="D1023" s="11">
        <f>IF(A1023="","",SUMIFS(tbl_WIP[Amount],tbl_WIP[Job Number],A1023,tbl_WIP[Month],$C$4))</f>
        <v/>
      </c>
      <c r="E1023" s="11">
        <f>IF(A1023="","",C1023+D1023)</f>
        <v/>
      </c>
      <c r="F1023" s="10">
        <f>IF(A1023="","",IF(AND(ROUND(C1023,2)=0,ROUND(D1023,2)=0),"","yes"))</f>
        <v/>
      </c>
      <c r="G1023" s="39" t="n"/>
      <c r="H1023" s="11">
        <f>IF(OR(A1023="",G1023=""),"",E1023-G1023)</f>
        <v/>
      </c>
    </row>
    <row r="1024">
      <c r="A1024" s="10">
        <f>IF(INDEX(lst_Jobs,1011)="","",INDEX(lst_Jobs,1011)&amp;"")</f>
        <v/>
      </c>
      <c r="B1024" s="10">
        <f>IF(A1024="","",INDEX(lst_JobName,1011)&amp;"")</f>
        <v/>
      </c>
      <c r="C1024" s="11">
        <f>IF(A1024="","",SUMIFS(tbl_WIP[Amount],tbl_WIP[Job Number],A1024,tbl_WIP[Month],"&lt;"&amp;$C$4))</f>
        <v/>
      </c>
      <c r="D1024" s="11">
        <f>IF(A1024="","",SUMIFS(tbl_WIP[Amount],tbl_WIP[Job Number],A1024,tbl_WIP[Month],$C$4))</f>
        <v/>
      </c>
      <c r="E1024" s="11">
        <f>IF(A1024="","",C1024+D1024)</f>
        <v/>
      </c>
      <c r="F1024" s="10">
        <f>IF(A1024="","",IF(AND(ROUND(C1024,2)=0,ROUND(D1024,2)=0),"","yes"))</f>
        <v/>
      </c>
      <c r="G1024" s="39" t="n"/>
      <c r="H1024" s="11">
        <f>IF(OR(A1024="",G1024=""),"",E1024-G1024)</f>
        <v/>
      </c>
    </row>
    <row r="1025">
      <c r="A1025" s="10">
        <f>IF(INDEX(lst_Jobs,1012)="","",INDEX(lst_Jobs,1012)&amp;"")</f>
        <v/>
      </c>
      <c r="B1025" s="10">
        <f>IF(A1025="","",INDEX(lst_JobName,1012)&amp;"")</f>
        <v/>
      </c>
      <c r="C1025" s="11">
        <f>IF(A1025="","",SUMIFS(tbl_WIP[Amount],tbl_WIP[Job Number],A1025,tbl_WIP[Month],"&lt;"&amp;$C$4))</f>
        <v/>
      </c>
      <c r="D1025" s="11">
        <f>IF(A1025="","",SUMIFS(tbl_WIP[Amount],tbl_WIP[Job Number],A1025,tbl_WIP[Month],$C$4))</f>
        <v/>
      </c>
      <c r="E1025" s="11">
        <f>IF(A1025="","",C1025+D1025)</f>
        <v/>
      </c>
      <c r="F1025" s="10">
        <f>IF(A1025="","",IF(AND(ROUND(C1025,2)=0,ROUND(D1025,2)=0),"","yes"))</f>
        <v/>
      </c>
      <c r="G1025" s="39" t="n"/>
      <c r="H1025" s="11">
        <f>IF(OR(A1025="",G1025=""),"",E1025-G1025)</f>
        <v/>
      </c>
    </row>
    <row r="1026">
      <c r="A1026" s="10">
        <f>IF(INDEX(lst_Jobs,1013)="","",INDEX(lst_Jobs,1013)&amp;"")</f>
        <v/>
      </c>
      <c r="B1026" s="10">
        <f>IF(A1026="","",INDEX(lst_JobName,1013)&amp;"")</f>
        <v/>
      </c>
      <c r="C1026" s="11">
        <f>IF(A1026="","",SUMIFS(tbl_WIP[Amount],tbl_WIP[Job Number],A1026,tbl_WIP[Month],"&lt;"&amp;$C$4))</f>
        <v/>
      </c>
      <c r="D1026" s="11">
        <f>IF(A1026="","",SUMIFS(tbl_WIP[Amount],tbl_WIP[Job Number],A1026,tbl_WIP[Month],$C$4))</f>
        <v/>
      </c>
      <c r="E1026" s="11">
        <f>IF(A1026="","",C1026+D1026)</f>
        <v/>
      </c>
      <c r="F1026" s="10">
        <f>IF(A1026="","",IF(AND(ROUND(C1026,2)=0,ROUND(D1026,2)=0),"","yes"))</f>
        <v/>
      </c>
      <c r="G1026" s="39" t="n"/>
      <c r="H1026" s="11">
        <f>IF(OR(A1026="",G1026=""),"",E1026-G1026)</f>
        <v/>
      </c>
    </row>
    <row r="1027">
      <c r="A1027" s="10">
        <f>IF(INDEX(lst_Jobs,1014)="","",INDEX(lst_Jobs,1014)&amp;"")</f>
        <v/>
      </c>
      <c r="B1027" s="10">
        <f>IF(A1027="","",INDEX(lst_JobName,1014)&amp;"")</f>
        <v/>
      </c>
      <c r="C1027" s="11">
        <f>IF(A1027="","",SUMIFS(tbl_WIP[Amount],tbl_WIP[Job Number],A1027,tbl_WIP[Month],"&lt;"&amp;$C$4))</f>
        <v/>
      </c>
      <c r="D1027" s="11">
        <f>IF(A1027="","",SUMIFS(tbl_WIP[Amount],tbl_WIP[Job Number],A1027,tbl_WIP[Month],$C$4))</f>
        <v/>
      </c>
      <c r="E1027" s="11">
        <f>IF(A1027="","",C1027+D1027)</f>
        <v/>
      </c>
      <c r="F1027" s="10">
        <f>IF(A1027="","",IF(AND(ROUND(C1027,2)=0,ROUND(D1027,2)=0),"","yes"))</f>
        <v/>
      </c>
      <c r="G1027" s="39" t="n"/>
      <c r="H1027" s="11">
        <f>IF(OR(A1027="",G1027=""),"",E1027-G1027)</f>
        <v/>
      </c>
    </row>
    <row r="1028">
      <c r="A1028" s="10">
        <f>IF(INDEX(lst_Jobs,1015)="","",INDEX(lst_Jobs,1015)&amp;"")</f>
        <v/>
      </c>
      <c r="B1028" s="10">
        <f>IF(A1028="","",INDEX(lst_JobName,1015)&amp;"")</f>
        <v/>
      </c>
      <c r="C1028" s="11">
        <f>IF(A1028="","",SUMIFS(tbl_WIP[Amount],tbl_WIP[Job Number],A1028,tbl_WIP[Month],"&lt;"&amp;$C$4))</f>
        <v/>
      </c>
      <c r="D1028" s="11">
        <f>IF(A1028="","",SUMIFS(tbl_WIP[Amount],tbl_WIP[Job Number],A1028,tbl_WIP[Month],$C$4))</f>
        <v/>
      </c>
      <c r="E1028" s="11">
        <f>IF(A1028="","",C1028+D1028)</f>
        <v/>
      </c>
      <c r="F1028" s="10">
        <f>IF(A1028="","",IF(AND(ROUND(C1028,2)=0,ROUND(D1028,2)=0),"","yes"))</f>
        <v/>
      </c>
      <c r="G1028" s="39" t="n"/>
      <c r="H1028" s="11">
        <f>IF(OR(A1028="",G1028=""),"",E1028-G1028)</f>
        <v/>
      </c>
    </row>
    <row r="1029">
      <c r="A1029" s="10">
        <f>IF(INDEX(lst_Jobs,1016)="","",INDEX(lst_Jobs,1016)&amp;"")</f>
        <v/>
      </c>
      <c r="B1029" s="10">
        <f>IF(A1029="","",INDEX(lst_JobName,1016)&amp;"")</f>
        <v/>
      </c>
      <c r="C1029" s="11">
        <f>IF(A1029="","",SUMIFS(tbl_WIP[Amount],tbl_WIP[Job Number],A1029,tbl_WIP[Month],"&lt;"&amp;$C$4))</f>
        <v/>
      </c>
      <c r="D1029" s="11">
        <f>IF(A1029="","",SUMIFS(tbl_WIP[Amount],tbl_WIP[Job Number],A1029,tbl_WIP[Month],$C$4))</f>
        <v/>
      </c>
      <c r="E1029" s="11">
        <f>IF(A1029="","",C1029+D1029)</f>
        <v/>
      </c>
      <c r="F1029" s="10">
        <f>IF(A1029="","",IF(AND(ROUND(C1029,2)=0,ROUND(D1029,2)=0),"","yes"))</f>
        <v/>
      </c>
      <c r="G1029" s="39" t="n"/>
      <c r="H1029" s="11">
        <f>IF(OR(A1029="",G1029=""),"",E1029-G1029)</f>
        <v/>
      </c>
    </row>
    <row r="1030">
      <c r="A1030" s="10">
        <f>IF(INDEX(lst_Jobs,1017)="","",INDEX(lst_Jobs,1017)&amp;"")</f>
        <v/>
      </c>
      <c r="B1030" s="10">
        <f>IF(A1030="","",INDEX(lst_JobName,1017)&amp;"")</f>
        <v/>
      </c>
      <c r="C1030" s="11">
        <f>IF(A1030="","",SUMIFS(tbl_WIP[Amount],tbl_WIP[Job Number],A1030,tbl_WIP[Month],"&lt;"&amp;$C$4))</f>
        <v/>
      </c>
      <c r="D1030" s="11">
        <f>IF(A1030="","",SUMIFS(tbl_WIP[Amount],tbl_WIP[Job Number],A1030,tbl_WIP[Month],$C$4))</f>
        <v/>
      </c>
      <c r="E1030" s="11">
        <f>IF(A1030="","",C1030+D1030)</f>
        <v/>
      </c>
      <c r="F1030" s="10">
        <f>IF(A1030="","",IF(AND(ROUND(C1030,2)=0,ROUND(D1030,2)=0),"","yes"))</f>
        <v/>
      </c>
      <c r="G1030" s="39" t="n"/>
      <c r="H1030" s="11">
        <f>IF(OR(A1030="",G1030=""),"",E1030-G1030)</f>
        <v/>
      </c>
    </row>
    <row r="1031">
      <c r="A1031" s="10">
        <f>IF(INDEX(lst_Jobs,1018)="","",INDEX(lst_Jobs,1018)&amp;"")</f>
        <v/>
      </c>
      <c r="B1031" s="10">
        <f>IF(A1031="","",INDEX(lst_JobName,1018)&amp;"")</f>
        <v/>
      </c>
      <c r="C1031" s="11">
        <f>IF(A1031="","",SUMIFS(tbl_WIP[Amount],tbl_WIP[Job Number],A1031,tbl_WIP[Month],"&lt;"&amp;$C$4))</f>
        <v/>
      </c>
      <c r="D1031" s="11">
        <f>IF(A1031="","",SUMIFS(tbl_WIP[Amount],tbl_WIP[Job Number],A1031,tbl_WIP[Month],$C$4))</f>
        <v/>
      </c>
      <c r="E1031" s="11">
        <f>IF(A1031="","",C1031+D1031)</f>
        <v/>
      </c>
      <c r="F1031" s="10">
        <f>IF(A1031="","",IF(AND(ROUND(C1031,2)=0,ROUND(D1031,2)=0),"","yes"))</f>
        <v/>
      </c>
      <c r="G1031" s="39" t="n"/>
      <c r="H1031" s="11">
        <f>IF(OR(A1031="",G1031=""),"",E1031-G1031)</f>
        <v/>
      </c>
    </row>
    <row r="1032">
      <c r="A1032" s="10">
        <f>IF(INDEX(lst_Jobs,1019)="","",INDEX(lst_Jobs,1019)&amp;"")</f>
        <v/>
      </c>
      <c r="B1032" s="10">
        <f>IF(A1032="","",INDEX(lst_JobName,1019)&amp;"")</f>
        <v/>
      </c>
      <c r="C1032" s="11">
        <f>IF(A1032="","",SUMIFS(tbl_WIP[Amount],tbl_WIP[Job Number],A1032,tbl_WIP[Month],"&lt;"&amp;$C$4))</f>
        <v/>
      </c>
      <c r="D1032" s="11">
        <f>IF(A1032="","",SUMIFS(tbl_WIP[Amount],tbl_WIP[Job Number],A1032,tbl_WIP[Month],$C$4))</f>
        <v/>
      </c>
      <c r="E1032" s="11">
        <f>IF(A1032="","",C1032+D1032)</f>
        <v/>
      </c>
      <c r="F1032" s="10">
        <f>IF(A1032="","",IF(AND(ROUND(C1032,2)=0,ROUND(D1032,2)=0),"","yes"))</f>
        <v/>
      </c>
      <c r="G1032" s="39" t="n"/>
      <c r="H1032" s="11">
        <f>IF(OR(A1032="",G1032=""),"",E1032-G1032)</f>
        <v/>
      </c>
    </row>
    <row r="1033">
      <c r="A1033" s="10">
        <f>IF(INDEX(lst_Jobs,1020)="","",INDEX(lst_Jobs,1020)&amp;"")</f>
        <v/>
      </c>
      <c r="B1033" s="10">
        <f>IF(A1033="","",INDEX(lst_JobName,1020)&amp;"")</f>
        <v/>
      </c>
      <c r="C1033" s="11">
        <f>IF(A1033="","",SUMIFS(tbl_WIP[Amount],tbl_WIP[Job Number],A1033,tbl_WIP[Month],"&lt;"&amp;$C$4))</f>
        <v/>
      </c>
      <c r="D1033" s="11">
        <f>IF(A1033="","",SUMIFS(tbl_WIP[Amount],tbl_WIP[Job Number],A1033,tbl_WIP[Month],$C$4))</f>
        <v/>
      </c>
      <c r="E1033" s="11">
        <f>IF(A1033="","",C1033+D1033)</f>
        <v/>
      </c>
      <c r="F1033" s="10">
        <f>IF(A1033="","",IF(AND(ROUND(C1033,2)=0,ROUND(D1033,2)=0),"","yes"))</f>
        <v/>
      </c>
      <c r="G1033" s="39" t="n"/>
      <c r="H1033" s="11">
        <f>IF(OR(A1033="",G1033=""),"",E1033-G1033)</f>
        <v/>
      </c>
    </row>
    <row r="1034">
      <c r="A1034" s="10">
        <f>IF(INDEX(lst_Jobs,1021)="","",INDEX(lst_Jobs,1021)&amp;"")</f>
        <v/>
      </c>
      <c r="B1034" s="10">
        <f>IF(A1034="","",INDEX(lst_JobName,1021)&amp;"")</f>
        <v/>
      </c>
      <c r="C1034" s="11">
        <f>IF(A1034="","",SUMIFS(tbl_WIP[Amount],tbl_WIP[Job Number],A1034,tbl_WIP[Month],"&lt;"&amp;$C$4))</f>
        <v/>
      </c>
      <c r="D1034" s="11">
        <f>IF(A1034="","",SUMIFS(tbl_WIP[Amount],tbl_WIP[Job Number],A1034,tbl_WIP[Month],$C$4))</f>
        <v/>
      </c>
      <c r="E1034" s="11">
        <f>IF(A1034="","",C1034+D1034)</f>
        <v/>
      </c>
      <c r="F1034" s="10">
        <f>IF(A1034="","",IF(AND(ROUND(C1034,2)=0,ROUND(D1034,2)=0),"","yes"))</f>
        <v/>
      </c>
      <c r="G1034" s="39" t="n"/>
      <c r="H1034" s="11">
        <f>IF(OR(A1034="",G1034=""),"",E1034-G1034)</f>
        <v/>
      </c>
    </row>
    <row r="1035">
      <c r="A1035" s="10">
        <f>IF(INDEX(lst_Jobs,1022)="","",INDEX(lst_Jobs,1022)&amp;"")</f>
        <v/>
      </c>
      <c r="B1035" s="10">
        <f>IF(A1035="","",INDEX(lst_JobName,1022)&amp;"")</f>
        <v/>
      </c>
      <c r="C1035" s="11">
        <f>IF(A1035="","",SUMIFS(tbl_WIP[Amount],tbl_WIP[Job Number],A1035,tbl_WIP[Month],"&lt;"&amp;$C$4))</f>
        <v/>
      </c>
      <c r="D1035" s="11">
        <f>IF(A1035="","",SUMIFS(tbl_WIP[Amount],tbl_WIP[Job Number],A1035,tbl_WIP[Month],$C$4))</f>
        <v/>
      </c>
      <c r="E1035" s="11">
        <f>IF(A1035="","",C1035+D1035)</f>
        <v/>
      </c>
      <c r="F1035" s="10">
        <f>IF(A1035="","",IF(AND(ROUND(C1035,2)=0,ROUND(D1035,2)=0),"","yes"))</f>
        <v/>
      </c>
      <c r="G1035" s="39" t="n"/>
      <c r="H1035" s="11">
        <f>IF(OR(A1035="",G1035=""),"",E1035-G1035)</f>
        <v/>
      </c>
    </row>
    <row r="1036">
      <c r="A1036" s="10">
        <f>IF(INDEX(lst_Jobs,1023)="","",INDEX(lst_Jobs,1023)&amp;"")</f>
        <v/>
      </c>
      <c r="B1036" s="10">
        <f>IF(A1036="","",INDEX(lst_JobName,1023)&amp;"")</f>
        <v/>
      </c>
      <c r="C1036" s="11">
        <f>IF(A1036="","",SUMIFS(tbl_WIP[Amount],tbl_WIP[Job Number],A1036,tbl_WIP[Month],"&lt;"&amp;$C$4))</f>
        <v/>
      </c>
      <c r="D1036" s="11">
        <f>IF(A1036="","",SUMIFS(tbl_WIP[Amount],tbl_WIP[Job Number],A1036,tbl_WIP[Month],$C$4))</f>
        <v/>
      </c>
      <c r="E1036" s="11">
        <f>IF(A1036="","",C1036+D1036)</f>
        <v/>
      </c>
      <c r="F1036" s="10">
        <f>IF(A1036="","",IF(AND(ROUND(C1036,2)=0,ROUND(D1036,2)=0),"","yes"))</f>
        <v/>
      </c>
      <c r="G1036" s="39" t="n"/>
      <c r="H1036" s="11">
        <f>IF(OR(A1036="",G1036=""),"",E1036-G1036)</f>
        <v/>
      </c>
    </row>
    <row r="1037">
      <c r="A1037" s="10">
        <f>IF(INDEX(lst_Jobs,1024)="","",INDEX(lst_Jobs,1024)&amp;"")</f>
        <v/>
      </c>
      <c r="B1037" s="10">
        <f>IF(A1037="","",INDEX(lst_JobName,1024)&amp;"")</f>
        <v/>
      </c>
      <c r="C1037" s="11">
        <f>IF(A1037="","",SUMIFS(tbl_WIP[Amount],tbl_WIP[Job Number],A1037,tbl_WIP[Month],"&lt;"&amp;$C$4))</f>
        <v/>
      </c>
      <c r="D1037" s="11">
        <f>IF(A1037="","",SUMIFS(tbl_WIP[Amount],tbl_WIP[Job Number],A1037,tbl_WIP[Month],$C$4))</f>
        <v/>
      </c>
      <c r="E1037" s="11">
        <f>IF(A1037="","",C1037+D1037)</f>
        <v/>
      </c>
      <c r="F1037" s="10">
        <f>IF(A1037="","",IF(AND(ROUND(C1037,2)=0,ROUND(D1037,2)=0),"","yes"))</f>
        <v/>
      </c>
      <c r="G1037" s="39" t="n"/>
      <c r="H1037" s="11">
        <f>IF(OR(A1037="",G1037=""),"",E1037-G1037)</f>
        <v/>
      </c>
    </row>
    <row r="1038">
      <c r="A1038" s="10">
        <f>IF(INDEX(lst_Jobs,1025)="","",INDEX(lst_Jobs,1025)&amp;"")</f>
        <v/>
      </c>
      <c r="B1038" s="10">
        <f>IF(A1038="","",INDEX(lst_JobName,1025)&amp;"")</f>
        <v/>
      </c>
      <c r="C1038" s="11">
        <f>IF(A1038="","",SUMIFS(tbl_WIP[Amount],tbl_WIP[Job Number],A1038,tbl_WIP[Month],"&lt;"&amp;$C$4))</f>
        <v/>
      </c>
      <c r="D1038" s="11">
        <f>IF(A1038="","",SUMIFS(tbl_WIP[Amount],tbl_WIP[Job Number],A1038,tbl_WIP[Month],$C$4))</f>
        <v/>
      </c>
      <c r="E1038" s="11">
        <f>IF(A1038="","",C1038+D1038)</f>
        <v/>
      </c>
      <c r="F1038" s="10">
        <f>IF(A1038="","",IF(AND(ROUND(C1038,2)=0,ROUND(D1038,2)=0),"","yes"))</f>
        <v/>
      </c>
      <c r="G1038" s="39" t="n"/>
      <c r="H1038" s="11">
        <f>IF(OR(A1038="",G1038=""),"",E1038-G1038)</f>
        <v/>
      </c>
    </row>
    <row r="1039">
      <c r="A1039" s="10">
        <f>IF(INDEX(lst_Jobs,1026)="","",INDEX(lst_Jobs,1026)&amp;"")</f>
        <v/>
      </c>
      <c r="B1039" s="10">
        <f>IF(A1039="","",INDEX(lst_JobName,1026)&amp;"")</f>
        <v/>
      </c>
      <c r="C1039" s="11">
        <f>IF(A1039="","",SUMIFS(tbl_WIP[Amount],tbl_WIP[Job Number],A1039,tbl_WIP[Month],"&lt;"&amp;$C$4))</f>
        <v/>
      </c>
      <c r="D1039" s="11">
        <f>IF(A1039="","",SUMIFS(tbl_WIP[Amount],tbl_WIP[Job Number],A1039,tbl_WIP[Month],$C$4))</f>
        <v/>
      </c>
      <c r="E1039" s="11">
        <f>IF(A1039="","",C1039+D1039)</f>
        <v/>
      </c>
      <c r="F1039" s="10">
        <f>IF(A1039="","",IF(AND(ROUND(C1039,2)=0,ROUND(D1039,2)=0),"","yes"))</f>
        <v/>
      </c>
      <c r="G1039" s="39" t="n"/>
      <c r="H1039" s="11">
        <f>IF(OR(A1039="",G1039=""),"",E1039-G1039)</f>
        <v/>
      </c>
    </row>
    <row r="1040">
      <c r="A1040" s="10">
        <f>IF(INDEX(lst_Jobs,1027)="","",INDEX(lst_Jobs,1027)&amp;"")</f>
        <v/>
      </c>
      <c r="B1040" s="10">
        <f>IF(A1040="","",INDEX(lst_JobName,1027)&amp;"")</f>
        <v/>
      </c>
      <c r="C1040" s="11">
        <f>IF(A1040="","",SUMIFS(tbl_WIP[Amount],tbl_WIP[Job Number],A1040,tbl_WIP[Month],"&lt;"&amp;$C$4))</f>
        <v/>
      </c>
      <c r="D1040" s="11">
        <f>IF(A1040="","",SUMIFS(tbl_WIP[Amount],tbl_WIP[Job Number],A1040,tbl_WIP[Month],$C$4))</f>
        <v/>
      </c>
      <c r="E1040" s="11">
        <f>IF(A1040="","",C1040+D1040)</f>
        <v/>
      </c>
      <c r="F1040" s="10">
        <f>IF(A1040="","",IF(AND(ROUND(C1040,2)=0,ROUND(D1040,2)=0),"","yes"))</f>
        <v/>
      </c>
      <c r="G1040" s="39" t="n"/>
      <c r="H1040" s="11">
        <f>IF(OR(A1040="",G1040=""),"",E1040-G1040)</f>
        <v/>
      </c>
    </row>
    <row r="1041">
      <c r="A1041" s="10">
        <f>IF(INDEX(lst_Jobs,1028)="","",INDEX(lst_Jobs,1028)&amp;"")</f>
        <v/>
      </c>
      <c r="B1041" s="10">
        <f>IF(A1041="","",INDEX(lst_JobName,1028)&amp;"")</f>
        <v/>
      </c>
      <c r="C1041" s="11">
        <f>IF(A1041="","",SUMIFS(tbl_WIP[Amount],tbl_WIP[Job Number],A1041,tbl_WIP[Month],"&lt;"&amp;$C$4))</f>
        <v/>
      </c>
      <c r="D1041" s="11">
        <f>IF(A1041="","",SUMIFS(tbl_WIP[Amount],tbl_WIP[Job Number],A1041,tbl_WIP[Month],$C$4))</f>
        <v/>
      </c>
      <c r="E1041" s="11">
        <f>IF(A1041="","",C1041+D1041)</f>
        <v/>
      </c>
      <c r="F1041" s="10">
        <f>IF(A1041="","",IF(AND(ROUND(C1041,2)=0,ROUND(D1041,2)=0),"","yes"))</f>
        <v/>
      </c>
      <c r="G1041" s="39" t="n"/>
      <c r="H1041" s="11">
        <f>IF(OR(A1041="",G1041=""),"",E1041-G1041)</f>
        <v/>
      </c>
    </row>
    <row r="1042">
      <c r="A1042" s="10">
        <f>IF(INDEX(lst_Jobs,1029)="","",INDEX(lst_Jobs,1029)&amp;"")</f>
        <v/>
      </c>
      <c r="B1042" s="10">
        <f>IF(A1042="","",INDEX(lst_JobName,1029)&amp;"")</f>
        <v/>
      </c>
      <c r="C1042" s="11">
        <f>IF(A1042="","",SUMIFS(tbl_WIP[Amount],tbl_WIP[Job Number],A1042,tbl_WIP[Month],"&lt;"&amp;$C$4))</f>
        <v/>
      </c>
      <c r="D1042" s="11">
        <f>IF(A1042="","",SUMIFS(tbl_WIP[Amount],tbl_WIP[Job Number],A1042,tbl_WIP[Month],$C$4))</f>
        <v/>
      </c>
      <c r="E1042" s="11">
        <f>IF(A1042="","",C1042+D1042)</f>
        <v/>
      </c>
      <c r="F1042" s="10">
        <f>IF(A1042="","",IF(AND(ROUND(C1042,2)=0,ROUND(D1042,2)=0),"","yes"))</f>
        <v/>
      </c>
      <c r="G1042" s="39" t="n"/>
      <c r="H1042" s="11">
        <f>IF(OR(A1042="",G1042=""),"",E1042-G1042)</f>
        <v/>
      </c>
    </row>
    <row r="1043">
      <c r="A1043" s="10">
        <f>IF(INDEX(lst_Jobs,1030)="","",INDEX(lst_Jobs,1030)&amp;"")</f>
        <v/>
      </c>
      <c r="B1043" s="10">
        <f>IF(A1043="","",INDEX(lst_JobName,1030)&amp;"")</f>
        <v/>
      </c>
      <c r="C1043" s="11">
        <f>IF(A1043="","",SUMIFS(tbl_WIP[Amount],tbl_WIP[Job Number],A1043,tbl_WIP[Month],"&lt;"&amp;$C$4))</f>
        <v/>
      </c>
      <c r="D1043" s="11">
        <f>IF(A1043="","",SUMIFS(tbl_WIP[Amount],tbl_WIP[Job Number],A1043,tbl_WIP[Month],$C$4))</f>
        <v/>
      </c>
      <c r="E1043" s="11">
        <f>IF(A1043="","",C1043+D1043)</f>
        <v/>
      </c>
      <c r="F1043" s="10">
        <f>IF(A1043="","",IF(AND(ROUND(C1043,2)=0,ROUND(D1043,2)=0),"","yes"))</f>
        <v/>
      </c>
      <c r="G1043" s="39" t="n"/>
      <c r="H1043" s="11">
        <f>IF(OR(A1043="",G1043=""),"",E1043-G1043)</f>
        <v/>
      </c>
    </row>
    <row r="1044">
      <c r="A1044" s="10">
        <f>IF(INDEX(lst_Jobs,1031)="","",INDEX(lst_Jobs,1031)&amp;"")</f>
        <v/>
      </c>
      <c r="B1044" s="10">
        <f>IF(A1044="","",INDEX(lst_JobName,1031)&amp;"")</f>
        <v/>
      </c>
      <c r="C1044" s="11">
        <f>IF(A1044="","",SUMIFS(tbl_WIP[Amount],tbl_WIP[Job Number],A1044,tbl_WIP[Month],"&lt;"&amp;$C$4))</f>
        <v/>
      </c>
      <c r="D1044" s="11">
        <f>IF(A1044="","",SUMIFS(tbl_WIP[Amount],tbl_WIP[Job Number],A1044,tbl_WIP[Month],$C$4))</f>
        <v/>
      </c>
      <c r="E1044" s="11">
        <f>IF(A1044="","",C1044+D1044)</f>
        <v/>
      </c>
      <c r="F1044" s="10">
        <f>IF(A1044="","",IF(AND(ROUND(C1044,2)=0,ROUND(D1044,2)=0),"","yes"))</f>
        <v/>
      </c>
      <c r="G1044" s="39" t="n"/>
      <c r="H1044" s="11">
        <f>IF(OR(A1044="",G1044=""),"",E1044-G1044)</f>
        <v/>
      </c>
    </row>
    <row r="1045">
      <c r="A1045" s="10">
        <f>IF(INDEX(lst_Jobs,1032)="","",INDEX(lst_Jobs,1032)&amp;"")</f>
        <v/>
      </c>
      <c r="B1045" s="10">
        <f>IF(A1045="","",INDEX(lst_JobName,1032)&amp;"")</f>
        <v/>
      </c>
      <c r="C1045" s="11">
        <f>IF(A1045="","",SUMIFS(tbl_WIP[Amount],tbl_WIP[Job Number],A1045,tbl_WIP[Month],"&lt;"&amp;$C$4))</f>
        <v/>
      </c>
      <c r="D1045" s="11">
        <f>IF(A1045="","",SUMIFS(tbl_WIP[Amount],tbl_WIP[Job Number],A1045,tbl_WIP[Month],$C$4))</f>
        <v/>
      </c>
      <c r="E1045" s="11">
        <f>IF(A1045="","",C1045+D1045)</f>
        <v/>
      </c>
      <c r="F1045" s="10">
        <f>IF(A1045="","",IF(AND(ROUND(C1045,2)=0,ROUND(D1045,2)=0),"","yes"))</f>
        <v/>
      </c>
      <c r="G1045" s="39" t="n"/>
      <c r="H1045" s="11">
        <f>IF(OR(A1045="",G1045=""),"",E1045-G1045)</f>
        <v/>
      </c>
    </row>
    <row r="1046">
      <c r="A1046" s="10">
        <f>IF(INDEX(lst_Jobs,1033)="","",INDEX(lst_Jobs,1033)&amp;"")</f>
        <v/>
      </c>
      <c r="B1046" s="10">
        <f>IF(A1046="","",INDEX(lst_JobName,1033)&amp;"")</f>
        <v/>
      </c>
      <c r="C1046" s="11">
        <f>IF(A1046="","",SUMIFS(tbl_WIP[Amount],tbl_WIP[Job Number],A1046,tbl_WIP[Month],"&lt;"&amp;$C$4))</f>
        <v/>
      </c>
      <c r="D1046" s="11">
        <f>IF(A1046="","",SUMIFS(tbl_WIP[Amount],tbl_WIP[Job Number],A1046,tbl_WIP[Month],$C$4))</f>
        <v/>
      </c>
      <c r="E1046" s="11">
        <f>IF(A1046="","",C1046+D1046)</f>
        <v/>
      </c>
      <c r="F1046" s="10">
        <f>IF(A1046="","",IF(AND(ROUND(C1046,2)=0,ROUND(D1046,2)=0),"","yes"))</f>
        <v/>
      </c>
      <c r="G1046" s="39" t="n"/>
      <c r="H1046" s="11">
        <f>IF(OR(A1046="",G1046=""),"",E1046-G1046)</f>
        <v/>
      </c>
    </row>
    <row r="1047">
      <c r="A1047" s="10">
        <f>IF(INDEX(lst_Jobs,1034)="","",INDEX(lst_Jobs,1034)&amp;"")</f>
        <v/>
      </c>
      <c r="B1047" s="10">
        <f>IF(A1047="","",INDEX(lst_JobName,1034)&amp;"")</f>
        <v/>
      </c>
      <c r="C1047" s="11">
        <f>IF(A1047="","",SUMIFS(tbl_WIP[Amount],tbl_WIP[Job Number],A1047,tbl_WIP[Month],"&lt;"&amp;$C$4))</f>
        <v/>
      </c>
      <c r="D1047" s="11">
        <f>IF(A1047="","",SUMIFS(tbl_WIP[Amount],tbl_WIP[Job Number],A1047,tbl_WIP[Month],$C$4))</f>
        <v/>
      </c>
      <c r="E1047" s="11">
        <f>IF(A1047="","",C1047+D1047)</f>
        <v/>
      </c>
      <c r="F1047" s="10">
        <f>IF(A1047="","",IF(AND(ROUND(C1047,2)=0,ROUND(D1047,2)=0),"","yes"))</f>
        <v/>
      </c>
      <c r="G1047" s="39" t="n"/>
      <c r="H1047" s="11">
        <f>IF(OR(A1047="",G1047=""),"",E1047-G1047)</f>
        <v/>
      </c>
    </row>
    <row r="1048">
      <c r="A1048" s="10">
        <f>IF(INDEX(lst_Jobs,1035)="","",INDEX(lst_Jobs,1035)&amp;"")</f>
        <v/>
      </c>
      <c r="B1048" s="10">
        <f>IF(A1048="","",INDEX(lst_JobName,1035)&amp;"")</f>
        <v/>
      </c>
      <c r="C1048" s="11">
        <f>IF(A1048="","",SUMIFS(tbl_WIP[Amount],tbl_WIP[Job Number],A1048,tbl_WIP[Month],"&lt;"&amp;$C$4))</f>
        <v/>
      </c>
      <c r="D1048" s="11">
        <f>IF(A1048="","",SUMIFS(tbl_WIP[Amount],tbl_WIP[Job Number],A1048,tbl_WIP[Month],$C$4))</f>
        <v/>
      </c>
      <c r="E1048" s="11">
        <f>IF(A1048="","",C1048+D1048)</f>
        <v/>
      </c>
      <c r="F1048" s="10">
        <f>IF(A1048="","",IF(AND(ROUND(C1048,2)=0,ROUND(D1048,2)=0),"","yes"))</f>
        <v/>
      </c>
      <c r="G1048" s="39" t="n"/>
      <c r="H1048" s="11">
        <f>IF(OR(A1048="",G1048=""),"",E1048-G1048)</f>
        <v/>
      </c>
    </row>
    <row r="1049">
      <c r="A1049" s="10">
        <f>IF(INDEX(lst_Jobs,1036)="","",INDEX(lst_Jobs,1036)&amp;"")</f>
        <v/>
      </c>
      <c r="B1049" s="10">
        <f>IF(A1049="","",INDEX(lst_JobName,1036)&amp;"")</f>
        <v/>
      </c>
      <c r="C1049" s="11">
        <f>IF(A1049="","",SUMIFS(tbl_WIP[Amount],tbl_WIP[Job Number],A1049,tbl_WIP[Month],"&lt;"&amp;$C$4))</f>
        <v/>
      </c>
      <c r="D1049" s="11">
        <f>IF(A1049="","",SUMIFS(tbl_WIP[Amount],tbl_WIP[Job Number],A1049,tbl_WIP[Month],$C$4))</f>
        <v/>
      </c>
      <c r="E1049" s="11">
        <f>IF(A1049="","",C1049+D1049)</f>
        <v/>
      </c>
      <c r="F1049" s="10">
        <f>IF(A1049="","",IF(AND(ROUND(C1049,2)=0,ROUND(D1049,2)=0),"","yes"))</f>
        <v/>
      </c>
      <c r="G1049" s="39" t="n"/>
      <c r="H1049" s="11">
        <f>IF(OR(A1049="",G1049=""),"",E1049-G1049)</f>
        <v/>
      </c>
    </row>
    <row r="1050">
      <c r="A1050" s="10">
        <f>IF(INDEX(lst_Jobs,1037)="","",INDEX(lst_Jobs,1037)&amp;"")</f>
        <v/>
      </c>
      <c r="B1050" s="10">
        <f>IF(A1050="","",INDEX(lst_JobName,1037)&amp;"")</f>
        <v/>
      </c>
      <c r="C1050" s="11">
        <f>IF(A1050="","",SUMIFS(tbl_WIP[Amount],tbl_WIP[Job Number],A1050,tbl_WIP[Month],"&lt;"&amp;$C$4))</f>
        <v/>
      </c>
      <c r="D1050" s="11">
        <f>IF(A1050="","",SUMIFS(tbl_WIP[Amount],tbl_WIP[Job Number],A1050,tbl_WIP[Month],$C$4))</f>
        <v/>
      </c>
      <c r="E1050" s="11">
        <f>IF(A1050="","",C1050+D1050)</f>
        <v/>
      </c>
      <c r="F1050" s="10">
        <f>IF(A1050="","",IF(AND(ROUND(C1050,2)=0,ROUND(D1050,2)=0),"","yes"))</f>
        <v/>
      </c>
      <c r="G1050" s="39" t="n"/>
      <c r="H1050" s="11">
        <f>IF(OR(A1050="",G1050=""),"",E1050-G1050)</f>
        <v/>
      </c>
    </row>
    <row r="1051">
      <c r="A1051" s="10">
        <f>IF(INDEX(lst_Jobs,1038)="","",INDEX(lst_Jobs,1038)&amp;"")</f>
        <v/>
      </c>
      <c r="B1051" s="10">
        <f>IF(A1051="","",INDEX(lst_JobName,1038)&amp;"")</f>
        <v/>
      </c>
      <c r="C1051" s="11">
        <f>IF(A1051="","",SUMIFS(tbl_WIP[Amount],tbl_WIP[Job Number],A1051,tbl_WIP[Month],"&lt;"&amp;$C$4))</f>
        <v/>
      </c>
      <c r="D1051" s="11">
        <f>IF(A1051="","",SUMIFS(tbl_WIP[Amount],tbl_WIP[Job Number],A1051,tbl_WIP[Month],$C$4))</f>
        <v/>
      </c>
      <c r="E1051" s="11">
        <f>IF(A1051="","",C1051+D1051)</f>
        <v/>
      </c>
      <c r="F1051" s="10">
        <f>IF(A1051="","",IF(AND(ROUND(C1051,2)=0,ROUND(D1051,2)=0),"","yes"))</f>
        <v/>
      </c>
      <c r="G1051" s="39" t="n"/>
      <c r="H1051" s="11">
        <f>IF(OR(A1051="",G1051=""),"",E1051-G1051)</f>
        <v/>
      </c>
    </row>
    <row r="1052">
      <c r="A1052" s="10">
        <f>IF(INDEX(lst_Jobs,1039)="","",INDEX(lst_Jobs,1039)&amp;"")</f>
        <v/>
      </c>
      <c r="B1052" s="10">
        <f>IF(A1052="","",INDEX(lst_JobName,1039)&amp;"")</f>
        <v/>
      </c>
      <c r="C1052" s="11">
        <f>IF(A1052="","",SUMIFS(tbl_WIP[Amount],tbl_WIP[Job Number],A1052,tbl_WIP[Month],"&lt;"&amp;$C$4))</f>
        <v/>
      </c>
      <c r="D1052" s="11">
        <f>IF(A1052="","",SUMIFS(tbl_WIP[Amount],tbl_WIP[Job Number],A1052,tbl_WIP[Month],$C$4))</f>
        <v/>
      </c>
      <c r="E1052" s="11">
        <f>IF(A1052="","",C1052+D1052)</f>
        <v/>
      </c>
      <c r="F1052" s="10">
        <f>IF(A1052="","",IF(AND(ROUND(C1052,2)=0,ROUND(D1052,2)=0),"","yes"))</f>
        <v/>
      </c>
      <c r="G1052" s="39" t="n"/>
      <c r="H1052" s="11">
        <f>IF(OR(A1052="",G1052=""),"",E1052-G1052)</f>
        <v/>
      </c>
    </row>
    <row r="1053">
      <c r="A1053" s="10">
        <f>IF(INDEX(lst_Jobs,1040)="","",INDEX(lst_Jobs,1040)&amp;"")</f>
        <v/>
      </c>
      <c r="B1053" s="10">
        <f>IF(A1053="","",INDEX(lst_JobName,1040)&amp;"")</f>
        <v/>
      </c>
      <c r="C1053" s="11">
        <f>IF(A1053="","",SUMIFS(tbl_WIP[Amount],tbl_WIP[Job Number],A1053,tbl_WIP[Month],"&lt;"&amp;$C$4))</f>
        <v/>
      </c>
      <c r="D1053" s="11">
        <f>IF(A1053="","",SUMIFS(tbl_WIP[Amount],tbl_WIP[Job Number],A1053,tbl_WIP[Month],$C$4))</f>
        <v/>
      </c>
      <c r="E1053" s="11">
        <f>IF(A1053="","",C1053+D1053)</f>
        <v/>
      </c>
      <c r="F1053" s="10">
        <f>IF(A1053="","",IF(AND(ROUND(C1053,2)=0,ROUND(D1053,2)=0),"","yes"))</f>
        <v/>
      </c>
      <c r="G1053" s="39" t="n"/>
      <c r="H1053" s="11">
        <f>IF(OR(A1053="",G1053=""),"",E1053-G1053)</f>
        <v/>
      </c>
    </row>
    <row r="1054">
      <c r="A1054" s="10">
        <f>IF(INDEX(lst_Jobs,1041)="","",INDEX(lst_Jobs,1041)&amp;"")</f>
        <v/>
      </c>
      <c r="B1054" s="10">
        <f>IF(A1054="","",INDEX(lst_JobName,1041)&amp;"")</f>
        <v/>
      </c>
      <c r="C1054" s="11">
        <f>IF(A1054="","",SUMIFS(tbl_WIP[Amount],tbl_WIP[Job Number],A1054,tbl_WIP[Month],"&lt;"&amp;$C$4))</f>
        <v/>
      </c>
      <c r="D1054" s="11">
        <f>IF(A1054="","",SUMIFS(tbl_WIP[Amount],tbl_WIP[Job Number],A1054,tbl_WIP[Month],$C$4))</f>
        <v/>
      </c>
      <c r="E1054" s="11">
        <f>IF(A1054="","",C1054+D1054)</f>
        <v/>
      </c>
      <c r="F1054" s="10">
        <f>IF(A1054="","",IF(AND(ROUND(C1054,2)=0,ROUND(D1054,2)=0),"","yes"))</f>
        <v/>
      </c>
      <c r="G1054" s="39" t="n"/>
      <c r="H1054" s="11">
        <f>IF(OR(A1054="",G1054=""),"",E1054-G1054)</f>
        <v/>
      </c>
    </row>
    <row r="1055">
      <c r="A1055" s="10">
        <f>IF(INDEX(lst_Jobs,1042)="","",INDEX(lst_Jobs,1042)&amp;"")</f>
        <v/>
      </c>
      <c r="B1055" s="10">
        <f>IF(A1055="","",INDEX(lst_JobName,1042)&amp;"")</f>
        <v/>
      </c>
      <c r="C1055" s="11">
        <f>IF(A1055="","",SUMIFS(tbl_WIP[Amount],tbl_WIP[Job Number],A1055,tbl_WIP[Month],"&lt;"&amp;$C$4))</f>
        <v/>
      </c>
      <c r="D1055" s="11">
        <f>IF(A1055="","",SUMIFS(tbl_WIP[Amount],tbl_WIP[Job Number],A1055,tbl_WIP[Month],$C$4))</f>
        <v/>
      </c>
      <c r="E1055" s="11">
        <f>IF(A1055="","",C1055+D1055)</f>
        <v/>
      </c>
      <c r="F1055" s="10">
        <f>IF(A1055="","",IF(AND(ROUND(C1055,2)=0,ROUND(D1055,2)=0),"","yes"))</f>
        <v/>
      </c>
      <c r="G1055" s="39" t="n"/>
      <c r="H1055" s="11">
        <f>IF(OR(A1055="",G1055=""),"",E1055-G1055)</f>
        <v/>
      </c>
    </row>
    <row r="1056">
      <c r="A1056" s="10">
        <f>IF(INDEX(lst_Jobs,1043)="","",INDEX(lst_Jobs,1043)&amp;"")</f>
        <v/>
      </c>
      <c r="B1056" s="10">
        <f>IF(A1056="","",INDEX(lst_JobName,1043)&amp;"")</f>
        <v/>
      </c>
      <c r="C1056" s="11">
        <f>IF(A1056="","",SUMIFS(tbl_WIP[Amount],tbl_WIP[Job Number],A1056,tbl_WIP[Month],"&lt;"&amp;$C$4))</f>
        <v/>
      </c>
      <c r="D1056" s="11">
        <f>IF(A1056="","",SUMIFS(tbl_WIP[Amount],tbl_WIP[Job Number],A1056,tbl_WIP[Month],$C$4))</f>
        <v/>
      </c>
      <c r="E1056" s="11">
        <f>IF(A1056="","",C1056+D1056)</f>
        <v/>
      </c>
      <c r="F1056" s="10">
        <f>IF(A1056="","",IF(AND(ROUND(C1056,2)=0,ROUND(D1056,2)=0),"","yes"))</f>
        <v/>
      </c>
      <c r="G1056" s="39" t="n"/>
      <c r="H1056" s="11">
        <f>IF(OR(A1056="",G1056=""),"",E1056-G1056)</f>
        <v/>
      </c>
    </row>
    <row r="1057">
      <c r="A1057" s="10">
        <f>IF(INDEX(lst_Jobs,1044)="","",INDEX(lst_Jobs,1044)&amp;"")</f>
        <v/>
      </c>
      <c r="B1057" s="10">
        <f>IF(A1057="","",INDEX(lst_JobName,1044)&amp;"")</f>
        <v/>
      </c>
      <c r="C1057" s="11">
        <f>IF(A1057="","",SUMIFS(tbl_WIP[Amount],tbl_WIP[Job Number],A1057,tbl_WIP[Month],"&lt;"&amp;$C$4))</f>
        <v/>
      </c>
      <c r="D1057" s="11">
        <f>IF(A1057="","",SUMIFS(tbl_WIP[Amount],tbl_WIP[Job Number],A1057,tbl_WIP[Month],$C$4))</f>
        <v/>
      </c>
      <c r="E1057" s="11">
        <f>IF(A1057="","",C1057+D1057)</f>
        <v/>
      </c>
      <c r="F1057" s="10">
        <f>IF(A1057="","",IF(AND(ROUND(C1057,2)=0,ROUND(D1057,2)=0),"","yes"))</f>
        <v/>
      </c>
      <c r="G1057" s="39" t="n"/>
      <c r="H1057" s="11">
        <f>IF(OR(A1057="",G1057=""),"",E1057-G1057)</f>
        <v/>
      </c>
    </row>
    <row r="1058">
      <c r="A1058" s="10">
        <f>IF(INDEX(lst_Jobs,1045)="","",INDEX(lst_Jobs,1045)&amp;"")</f>
        <v/>
      </c>
      <c r="B1058" s="10">
        <f>IF(A1058="","",INDEX(lst_JobName,1045)&amp;"")</f>
        <v/>
      </c>
      <c r="C1058" s="11">
        <f>IF(A1058="","",SUMIFS(tbl_WIP[Amount],tbl_WIP[Job Number],A1058,tbl_WIP[Month],"&lt;"&amp;$C$4))</f>
        <v/>
      </c>
      <c r="D1058" s="11">
        <f>IF(A1058="","",SUMIFS(tbl_WIP[Amount],tbl_WIP[Job Number],A1058,tbl_WIP[Month],$C$4))</f>
        <v/>
      </c>
      <c r="E1058" s="11">
        <f>IF(A1058="","",C1058+D1058)</f>
        <v/>
      </c>
      <c r="F1058" s="10">
        <f>IF(A1058="","",IF(AND(ROUND(C1058,2)=0,ROUND(D1058,2)=0),"","yes"))</f>
        <v/>
      </c>
      <c r="G1058" s="39" t="n"/>
      <c r="H1058" s="11">
        <f>IF(OR(A1058="",G1058=""),"",E1058-G1058)</f>
        <v/>
      </c>
    </row>
    <row r="1059">
      <c r="A1059" s="10">
        <f>IF(INDEX(lst_Jobs,1046)="","",INDEX(lst_Jobs,1046)&amp;"")</f>
        <v/>
      </c>
      <c r="B1059" s="10">
        <f>IF(A1059="","",INDEX(lst_JobName,1046)&amp;"")</f>
        <v/>
      </c>
      <c r="C1059" s="11">
        <f>IF(A1059="","",SUMIFS(tbl_WIP[Amount],tbl_WIP[Job Number],A1059,tbl_WIP[Month],"&lt;"&amp;$C$4))</f>
        <v/>
      </c>
      <c r="D1059" s="11">
        <f>IF(A1059="","",SUMIFS(tbl_WIP[Amount],tbl_WIP[Job Number],A1059,tbl_WIP[Month],$C$4))</f>
        <v/>
      </c>
      <c r="E1059" s="11">
        <f>IF(A1059="","",C1059+D1059)</f>
        <v/>
      </c>
      <c r="F1059" s="10">
        <f>IF(A1059="","",IF(AND(ROUND(C1059,2)=0,ROUND(D1059,2)=0),"","yes"))</f>
        <v/>
      </c>
      <c r="G1059" s="39" t="n"/>
      <c r="H1059" s="11">
        <f>IF(OR(A1059="",G1059=""),"",E1059-G1059)</f>
        <v/>
      </c>
    </row>
    <row r="1060">
      <c r="A1060" s="10">
        <f>IF(INDEX(lst_Jobs,1047)="","",INDEX(lst_Jobs,1047)&amp;"")</f>
        <v/>
      </c>
      <c r="B1060" s="10">
        <f>IF(A1060="","",INDEX(lst_JobName,1047)&amp;"")</f>
        <v/>
      </c>
      <c r="C1060" s="11">
        <f>IF(A1060="","",SUMIFS(tbl_WIP[Amount],tbl_WIP[Job Number],A1060,tbl_WIP[Month],"&lt;"&amp;$C$4))</f>
        <v/>
      </c>
      <c r="D1060" s="11">
        <f>IF(A1060="","",SUMIFS(tbl_WIP[Amount],tbl_WIP[Job Number],A1060,tbl_WIP[Month],$C$4))</f>
        <v/>
      </c>
      <c r="E1060" s="11">
        <f>IF(A1060="","",C1060+D1060)</f>
        <v/>
      </c>
      <c r="F1060" s="10">
        <f>IF(A1060="","",IF(AND(ROUND(C1060,2)=0,ROUND(D1060,2)=0),"","yes"))</f>
        <v/>
      </c>
      <c r="G1060" s="39" t="n"/>
      <c r="H1060" s="11">
        <f>IF(OR(A1060="",G1060=""),"",E1060-G1060)</f>
        <v/>
      </c>
    </row>
    <row r="1061">
      <c r="A1061" s="10">
        <f>IF(INDEX(lst_Jobs,1048)="","",INDEX(lst_Jobs,1048)&amp;"")</f>
        <v/>
      </c>
      <c r="B1061" s="10">
        <f>IF(A1061="","",INDEX(lst_JobName,1048)&amp;"")</f>
        <v/>
      </c>
      <c r="C1061" s="11">
        <f>IF(A1061="","",SUMIFS(tbl_WIP[Amount],tbl_WIP[Job Number],A1061,tbl_WIP[Month],"&lt;"&amp;$C$4))</f>
        <v/>
      </c>
      <c r="D1061" s="11">
        <f>IF(A1061="","",SUMIFS(tbl_WIP[Amount],tbl_WIP[Job Number],A1061,tbl_WIP[Month],$C$4))</f>
        <v/>
      </c>
      <c r="E1061" s="11">
        <f>IF(A1061="","",C1061+D1061)</f>
        <v/>
      </c>
      <c r="F1061" s="10">
        <f>IF(A1061="","",IF(AND(ROUND(C1061,2)=0,ROUND(D1061,2)=0),"","yes"))</f>
        <v/>
      </c>
      <c r="G1061" s="39" t="n"/>
      <c r="H1061" s="11">
        <f>IF(OR(A1061="",G1061=""),"",E1061-G1061)</f>
        <v/>
      </c>
    </row>
    <row r="1062">
      <c r="A1062" s="10">
        <f>IF(INDEX(lst_Jobs,1049)="","",INDEX(lst_Jobs,1049)&amp;"")</f>
        <v/>
      </c>
      <c r="B1062" s="10">
        <f>IF(A1062="","",INDEX(lst_JobName,1049)&amp;"")</f>
        <v/>
      </c>
      <c r="C1062" s="11">
        <f>IF(A1062="","",SUMIFS(tbl_WIP[Amount],tbl_WIP[Job Number],A1062,tbl_WIP[Month],"&lt;"&amp;$C$4))</f>
        <v/>
      </c>
      <c r="D1062" s="11">
        <f>IF(A1062="","",SUMIFS(tbl_WIP[Amount],tbl_WIP[Job Number],A1062,tbl_WIP[Month],$C$4))</f>
        <v/>
      </c>
      <c r="E1062" s="11">
        <f>IF(A1062="","",C1062+D1062)</f>
        <v/>
      </c>
      <c r="F1062" s="10">
        <f>IF(A1062="","",IF(AND(ROUND(C1062,2)=0,ROUND(D1062,2)=0),"","yes"))</f>
        <v/>
      </c>
      <c r="G1062" s="39" t="n"/>
      <c r="H1062" s="11">
        <f>IF(OR(A1062="",G1062=""),"",E1062-G1062)</f>
        <v/>
      </c>
    </row>
    <row r="1063">
      <c r="A1063" s="10">
        <f>IF(INDEX(lst_Jobs,1050)="","",INDEX(lst_Jobs,1050)&amp;"")</f>
        <v/>
      </c>
      <c r="B1063" s="10">
        <f>IF(A1063="","",INDEX(lst_JobName,1050)&amp;"")</f>
        <v/>
      </c>
      <c r="C1063" s="11">
        <f>IF(A1063="","",SUMIFS(tbl_WIP[Amount],tbl_WIP[Job Number],A1063,tbl_WIP[Month],"&lt;"&amp;$C$4))</f>
        <v/>
      </c>
      <c r="D1063" s="11">
        <f>IF(A1063="","",SUMIFS(tbl_WIP[Amount],tbl_WIP[Job Number],A1063,tbl_WIP[Month],$C$4))</f>
        <v/>
      </c>
      <c r="E1063" s="11">
        <f>IF(A1063="","",C1063+D1063)</f>
        <v/>
      </c>
      <c r="F1063" s="10">
        <f>IF(A1063="","",IF(AND(ROUND(C1063,2)=0,ROUND(D1063,2)=0),"","yes"))</f>
        <v/>
      </c>
      <c r="G1063" s="39" t="n"/>
      <c r="H1063" s="11">
        <f>IF(OR(A1063="",G1063=""),"",E1063-G1063)</f>
        <v/>
      </c>
    </row>
    <row r="1064">
      <c r="A1064" s="10">
        <f>IF(INDEX(lst_Jobs,1051)="","",INDEX(lst_Jobs,1051)&amp;"")</f>
        <v/>
      </c>
      <c r="B1064" s="10">
        <f>IF(A1064="","",INDEX(lst_JobName,1051)&amp;"")</f>
        <v/>
      </c>
      <c r="C1064" s="11">
        <f>IF(A1064="","",SUMIFS(tbl_WIP[Amount],tbl_WIP[Job Number],A1064,tbl_WIP[Month],"&lt;"&amp;$C$4))</f>
        <v/>
      </c>
      <c r="D1064" s="11">
        <f>IF(A1064="","",SUMIFS(tbl_WIP[Amount],tbl_WIP[Job Number],A1064,tbl_WIP[Month],$C$4))</f>
        <v/>
      </c>
      <c r="E1064" s="11">
        <f>IF(A1064="","",C1064+D1064)</f>
        <v/>
      </c>
      <c r="F1064" s="10">
        <f>IF(A1064="","",IF(AND(ROUND(C1064,2)=0,ROUND(D1064,2)=0),"","yes"))</f>
        <v/>
      </c>
      <c r="G1064" s="39" t="n"/>
      <c r="H1064" s="11">
        <f>IF(OR(A1064="",G1064=""),"",E1064-G1064)</f>
        <v/>
      </c>
    </row>
    <row r="1065">
      <c r="A1065" s="10">
        <f>IF(INDEX(lst_Jobs,1052)="","",INDEX(lst_Jobs,1052)&amp;"")</f>
        <v/>
      </c>
      <c r="B1065" s="10">
        <f>IF(A1065="","",INDEX(lst_JobName,1052)&amp;"")</f>
        <v/>
      </c>
      <c r="C1065" s="11">
        <f>IF(A1065="","",SUMIFS(tbl_WIP[Amount],tbl_WIP[Job Number],A1065,tbl_WIP[Month],"&lt;"&amp;$C$4))</f>
        <v/>
      </c>
      <c r="D1065" s="11">
        <f>IF(A1065="","",SUMIFS(tbl_WIP[Amount],tbl_WIP[Job Number],A1065,tbl_WIP[Month],$C$4))</f>
        <v/>
      </c>
      <c r="E1065" s="11">
        <f>IF(A1065="","",C1065+D1065)</f>
        <v/>
      </c>
      <c r="F1065" s="10">
        <f>IF(A1065="","",IF(AND(ROUND(C1065,2)=0,ROUND(D1065,2)=0),"","yes"))</f>
        <v/>
      </c>
      <c r="G1065" s="39" t="n"/>
      <c r="H1065" s="11">
        <f>IF(OR(A1065="",G1065=""),"",E1065-G1065)</f>
        <v/>
      </c>
    </row>
    <row r="1066">
      <c r="A1066" s="10">
        <f>IF(INDEX(lst_Jobs,1053)="","",INDEX(lst_Jobs,1053)&amp;"")</f>
        <v/>
      </c>
      <c r="B1066" s="10">
        <f>IF(A1066="","",INDEX(lst_JobName,1053)&amp;"")</f>
        <v/>
      </c>
      <c r="C1066" s="11">
        <f>IF(A1066="","",SUMIFS(tbl_WIP[Amount],tbl_WIP[Job Number],A1066,tbl_WIP[Month],"&lt;"&amp;$C$4))</f>
        <v/>
      </c>
      <c r="D1066" s="11">
        <f>IF(A1066="","",SUMIFS(tbl_WIP[Amount],tbl_WIP[Job Number],A1066,tbl_WIP[Month],$C$4))</f>
        <v/>
      </c>
      <c r="E1066" s="11">
        <f>IF(A1066="","",C1066+D1066)</f>
        <v/>
      </c>
      <c r="F1066" s="10">
        <f>IF(A1066="","",IF(AND(ROUND(C1066,2)=0,ROUND(D1066,2)=0),"","yes"))</f>
        <v/>
      </c>
      <c r="G1066" s="39" t="n"/>
      <c r="H1066" s="11">
        <f>IF(OR(A1066="",G1066=""),"",E1066-G1066)</f>
        <v/>
      </c>
    </row>
    <row r="1067">
      <c r="A1067" s="10">
        <f>IF(INDEX(lst_Jobs,1054)="","",INDEX(lst_Jobs,1054)&amp;"")</f>
        <v/>
      </c>
      <c r="B1067" s="10">
        <f>IF(A1067="","",INDEX(lst_JobName,1054)&amp;"")</f>
        <v/>
      </c>
      <c r="C1067" s="11">
        <f>IF(A1067="","",SUMIFS(tbl_WIP[Amount],tbl_WIP[Job Number],A1067,tbl_WIP[Month],"&lt;"&amp;$C$4))</f>
        <v/>
      </c>
      <c r="D1067" s="11">
        <f>IF(A1067="","",SUMIFS(tbl_WIP[Amount],tbl_WIP[Job Number],A1067,tbl_WIP[Month],$C$4))</f>
        <v/>
      </c>
      <c r="E1067" s="11">
        <f>IF(A1067="","",C1067+D1067)</f>
        <v/>
      </c>
      <c r="F1067" s="10">
        <f>IF(A1067="","",IF(AND(ROUND(C1067,2)=0,ROUND(D1067,2)=0),"","yes"))</f>
        <v/>
      </c>
      <c r="G1067" s="39" t="n"/>
      <c r="H1067" s="11">
        <f>IF(OR(A1067="",G1067=""),"",E1067-G1067)</f>
        <v/>
      </c>
    </row>
    <row r="1068">
      <c r="A1068" s="10">
        <f>IF(INDEX(lst_Jobs,1055)="","",INDEX(lst_Jobs,1055)&amp;"")</f>
        <v/>
      </c>
      <c r="B1068" s="10">
        <f>IF(A1068="","",INDEX(lst_JobName,1055)&amp;"")</f>
        <v/>
      </c>
      <c r="C1068" s="11">
        <f>IF(A1068="","",SUMIFS(tbl_WIP[Amount],tbl_WIP[Job Number],A1068,tbl_WIP[Month],"&lt;"&amp;$C$4))</f>
        <v/>
      </c>
      <c r="D1068" s="11">
        <f>IF(A1068="","",SUMIFS(tbl_WIP[Amount],tbl_WIP[Job Number],A1068,tbl_WIP[Month],$C$4))</f>
        <v/>
      </c>
      <c r="E1068" s="11">
        <f>IF(A1068="","",C1068+D1068)</f>
        <v/>
      </c>
      <c r="F1068" s="10">
        <f>IF(A1068="","",IF(AND(ROUND(C1068,2)=0,ROUND(D1068,2)=0),"","yes"))</f>
        <v/>
      </c>
      <c r="G1068" s="39" t="n"/>
      <c r="H1068" s="11">
        <f>IF(OR(A1068="",G1068=""),"",E1068-G1068)</f>
        <v/>
      </c>
    </row>
    <row r="1069">
      <c r="A1069" s="10">
        <f>IF(INDEX(lst_Jobs,1056)="","",INDEX(lst_Jobs,1056)&amp;"")</f>
        <v/>
      </c>
      <c r="B1069" s="10">
        <f>IF(A1069="","",INDEX(lst_JobName,1056)&amp;"")</f>
        <v/>
      </c>
      <c r="C1069" s="11">
        <f>IF(A1069="","",SUMIFS(tbl_WIP[Amount],tbl_WIP[Job Number],A1069,tbl_WIP[Month],"&lt;"&amp;$C$4))</f>
        <v/>
      </c>
      <c r="D1069" s="11">
        <f>IF(A1069="","",SUMIFS(tbl_WIP[Amount],tbl_WIP[Job Number],A1069,tbl_WIP[Month],$C$4))</f>
        <v/>
      </c>
      <c r="E1069" s="11">
        <f>IF(A1069="","",C1069+D1069)</f>
        <v/>
      </c>
      <c r="F1069" s="10">
        <f>IF(A1069="","",IF(AND(ROUND(C1069,2)=0,ROUND(D1069,2)=0),"","yes"))</f>
        <v/>
      </c>
      <c r="G1069" s="39" t="n"/>
      <c r="H1069" s="11">
        <f>IF(OR(A1069="",G1069=""),"",E1069-G1069)</f>
        <v/>
      </c>
    </row>
    <row r="1070">
      <c r="A1070" s="10">
        <f>IF(INDEX(lst_Jobs,1057)="","",INDEX(lst_Jobs,1057)&amp;"")</f>
        <v/>
      </c>
      <c r="B1070" s="10">
        <f>IF(A1070="","",INDEX(lst_JobName,1057)&amp;"")</f>
        <v/>
      </c>
      <c r="C1070" s="11">
        <f>IF(A1070="","",SUMIFS(tbl_WIP[Amount],tbl_WIP[Job Number],A1070,tbl_WIP[Month],"&lt;"&amp;$C$4))</f>
        <v/>
      </c>
      <c r="D1070" s="11">
        <f>IF(A1070="","",SUMIFS(tbl_WIP[Amount],tbl_WIP[Job Number],A1070,tbl_WIP[Month],$C$4))</f>
        <v/>
      </c>
      <c r="E1070" s="11">
        <f>IF(A1070="","",C1070+D1070)</f>
        <v/>
      </c>
      <c r="F1070" s="10">
        <f>IF(A1070="","",IF(AND(ROUND(C1070,2)=0,ROUND(D1070,2)=0),"","yes"))</f>
        <v/>
      </c>
      <c r="G1070" s="39" t="n"/>
      <c r="H1070" s="11">
        <f>IF(OR(A1070="",G1070=""),"",E1070-G1070)</f>
        <v/>
      </c>
    </row>
    <row r="1071">
      <c r="A1071" s="10">
        <f>IF(INDEX(lst_Jobs,1058)="","",INDEX(lst_Jobs,1058)&amp;"")</f>
        <v/>
      </c>
      <c r="B1071" s="10">
        <f>IF(A1071="","",INDEX(lst_JobName,1058)&amp;"")</f>
        <v/>
      </c>
      <c r="C1071" s="11">
        <f>IF(A1071="","",SUMIFS(tbl_WIP[Amount],tbl_WIP[Job Number],A1071,tbl_WIP[Month],"&lt;"&amp;$C$4))</f>
        <v/>
      </c>
      <c r="D1071" s="11">
        <f>IF(A1071="","",SUMIFS(tbl_WIP[Amount],tbl_WIP[Job Number],A1071,tbl_WIP[Month],$C$4))</f>
        <v/>
      </c>
      <c r="E1071" s="11">
        <f>IF(A1071="","",C1071+D1071)</f>
        <v/>
      </c>
      <c r="F1071" s="10">
        <f>IF(A1071="","",IF(AND(ROUND(C1071,2)=0,ROUND(D1071,2)=0),"","yes"))</f>
        <v/>
      </c>
      <c r="G1071" s="39" t="n"/>
      <c r="H1071" s="11">
        <f>IF(OR(A1071="",G1071=""),"",E1071-G1071)</f>
        <v/>
      </c>
    </row>
    <row r="1072">
      <c r="A1072" s="10">
        <f>IF(INDEX(lst_Jobs,1059)="","",INDEX(lst_Jobs,1059)&amp;"")</f>
        <v/>
      </c>
      <c r="B1072" s="10">
        <f>IF(A1072="","",INDEX(lst_JobName,1059)&amp;"")</f>
        <v/>
      </c>
      <c r="C1072" s="11">
        <f>IF(A1072="","",SUMIFS(tbl_WIP[Amount],tbl_WIP[Job Number],A1072,tbl_WIP[Month],"&lt;"&amp;$C$4))</f>
        <v/>
      </c>
      <c r="D1072" s="11">
        <f>IF(A1072="","",SUMIFS(tbl_WIP[Amount],tbl_WIP[Job Number],A1072,tbl_WIP[Month],$C$4))</f>
        <v/>
      </c>
      <c r="E1072" s="11">
        <f>IF(A1072="","",C1072+D1072)</f>
        <v/>
      </c>
      <c r="F1072" s="10">
        <f>IF(A1072="","",IF(AND(ROUND(C1072,2)=0,ROUND(D1072,2)=0),"","yes"))</f>
        <v/>
      </c>
      <c r="G1072" s="39" t="n"/>
      <c r="H1072" s="11">
        <f>IF(OR(A1072="",G1072=""),"",E1072-G1072)</f>
        <v/>
      </c>
    </row>
    <row r="1073">
      <c r="A1073" s="10">
        <f>IF(INDEX(lst_Jobs,1060)="","",INDEX(lst_Jobs,1060)&amp;"")</f>
        <v/>
      </c>
      <c r="B1073" s="10">
        <f>IF(A1073="","",INDEX(lst_JobName,1060)&amp;"")</f>
        <v/>
      </c>
      <c r="C1073" s="11">
        <f>IF(A1073="","",SUMIFS(tbl_WIP[Amount],tbl_WIP[Job Number],A1073,tbl_WIP[Month],"&lt;"&amp;$C$4))</f>
        <v/>
      </c>
      <c r="D1073" s="11">
        <f>IF(A1073="","",SUMIFS(tbl_WIP[Amount],tbl_WIP[Job Number],A1073,tbl_WIP[Month],$C$4))</f>
        <v/>
      </c>
      <c r="E1073" s="11">
        <f>IF(A1073="","",C1073+D1073)</f>
        <v/>
      </c>
      <c r="F1073" s="10">
        <f>IF(A1073="","",IF(AND(ROUND(C1073,2)=0,ROUND(D1073,2)=0),"","yes"))</f>
        <v/>
      </c>
      <c r="G1073" s="39" t="n"/>
      <c r="H1073" s="11">
        <f>IF(OR(A1073="",G1073=""),"",E1073-G1073)</f>
        <v/>
      </c>
    </row>
    <row r="1074">
      <c r="A1074" s="10">
        <f>IF(INDEX(lst_Jobs,1061)="","",INDEX(lst_Jobs,1061)&amp;"")</f>
        <v/>
      </c>
      <c r="B1074" s="10">
        <f>IF(A1074="","",INDEX(lst_JobName,1061)&amp;"")</f>
        <v/>
      </c>
      <c r="C1074" s="11">
        <f>IF(A1074="","",SUMIFS(tbl_WIP[Amount],tbl_WIP[Job Number],A1074,tbl_WIP[Month],"&lt;"&amp;$C$4))</f>
        <v/>
      </c>
      <c r="D1074" s="11">
        <f>IF(A1074="","",SUMIFS(tbl_WIP[Amount],tbl_WIP[Job Number],A1074,tbl_WIP[Month],$C$4))</f>
        <v/>
      </c>
      <c r="E1074" s="11">
        <f>IF(A1074="","",C1074+D1074)</f>
        <v/>
      </c>
      <c r="F1074" s="10">
        <f>IF(A1074="","",IF(AND(ROUND(C1074,2)=0,ROUND(D1074,2)=0),"","yes"))</f>
        <v/>
      </c>
      <c r="G1074" s="39" t="n"/>
      <c r="H1074" s="11">
        <f>IF(OR(A1074="",G1074=""),"",E1074-G1074)</f>
        <v/>
      </c>
    </row>
    <row r="1075">
      <c r="A1075" s="10">
        <f>IF(INDEX(lst_Jobs,1062)="","",INDEX(lst_Jobs,1062)&amp;"")</f>
        <v/>
      </c>
      <c r="B1075" s="10">
        <f>IF(A1075="","",INDEX(lst_JobName,1062)&amp;"")</f>
        <v/>
      </c>
      <c r="C1075" s="11">
        <f>IF(A1075="","",SUMIFS(tbl_WIP[Amount],tbl_WIP[Job Number],A1075,tbl_WIP[Month],"&lt;"&amp;$C$4))</f>
        <v/>
      </c>
      <c r="D1075" s="11">
        <f>IF(A1075="","",SUMIFS(tbl_WIP[Amount],tbl_WIP[Job Number],A1075,tbl_WIP[Month],$C$4))</f>
        <v/>
      </c>
      <c r="E1075" s="11">
        <f>IF(A1075="","",C1075+D1075)</f>
        <v/>
      </c>
      <c r="F1075" s="10">
        <f>IF(A1075="","",IF(AND(ROUND(C1075,2)=0,ROUND(D1075,2)=0),"","yes"))</f>
        <v/>
      </c>
      <c r="G1075" s="39" t="n"/>
      <c r="H1075" s="11">
        <f>IF(OR(A1075="",G1075=""),"",E1075-G1075)</f>
        <v/>
      </c>
    </row>
    <row r="1076">
      <c r="A1076" s="10">
        <f>IF(INDEX(lst_Jobs,1063)="","",INDEX(lst_Jobs,1063)&amp;"")</f>
        <v/>
      </c>
      <c r="B1076" s="10">
        <f>IF(A1076="","",INDEX(lst_JobName,1063)&amp;"")</f>
        <v/>
      </c>
      <c r="C1076" s="11">
        <f>IF(A1076="","",SUMIFS(tbl_WIP[Amount],tbl_WIP[Job Number],A1076,tbl_WIP[Month],"&lt;"&amp;$C$4))</f>
        <v/>
      </c>
      <c r="D1076" s="11">
        <f>IF(A1076="","",SUMIFS(tbl_WIP[Amount],tbl_WIP[Job Number],A1076,tbl_WIP[Month],$C$4))</f>
        <v/>
      </c>
      <c r="E1076" s="11">
        <f>IF(A1076="","",C1076+D1076)</f>
        <v/>
      </c>
      <c r="F1076" s="10">
        <f>IF(A1076="","",IF(AND(ROUND(C1076,2)=0,ROUND(D1076,2)=0),"","yes"))</f>
        <v/>
      </c>
      <c r="G1076" s="39" t="n"/>
      <c r="H1076" s="11">
        <f>IF(OR(A1076="",G1076=""),"",E1076-G1076)</f>
        <v/>
      </c>
    </row>
    <row r="1077">
      <c r="A1077" s="10">
        <f>IF(INDEX(lst_Jobs,1064)="","",INDEX(lst_Jobs,1064)&amp;"")</f>
        <v/>
      </c>
      <c r="B1077" s="10">
        <f>IF(A1077="","",INDEX(lst_JobName,1064)&amp;"")</f>
        <v/>
      </c>
      <c r="C1077" s="11">
        <f>IF(A1077="","",SUMIFS(tbl_WIP[Amount],tbl_WIP[Job Number],A1077,tbl_WIP[Month],"&lt;"&amp;$C$4))</f>
        <v/>
      </c>
      <c r="D1077" s="11">
        <f>IF(A1077="","",SUMIFS(tbl_WIP[Amount],tbl_WIP[Job Number],A1077,tbl_WIP[Month],$C$4))</f>
        <v/>
      </c>
      <c r="E1077" s="11">
        <f>IF(A1077="","",C1077+D1077)</f>
        <v/>
      </c>
      <c r="F1077" s="10">
        <f>IF(A1077="","",IF(AND(ROUND(C1077,2)=0,ROUND(D1077,2)=0),"","yes"))</f>
        <v/>
      </c>
      <c r="G1077" s="39" t="n"/>
      <c r="H1077" s="11">
        <f>IF(OR(A1077="",G1077=""),"",E1077-G1077)</f>
        <v/>
      </c>
    </row>
    <row r="1078">
      <c r="A1078" s="10">
        <f>IF(INDEX(lst_Jobs,1065)="","",INDEX(lst_Jobs,1065)&amp;"")</f>
        <v/>
      </c>
      <c r="B1078" s="10">
        <f>IF(A1078="","",INDEX(lst_JobName,1065)&amp;"")</f>
        <v/>
      </c>
      <c r="C1078" s="11">
        <f>IF(A1078="","",SUMIFS(tbl_WIP[Amount],tbl_WIP[Job Number],A1078,tbl_WIP[Month],"&lt;"&amp;$C$4))</f>
        <v/>
      </c>
      <c r="D1078" s="11">
        <f>IF(A1078="","",SUMIFS(tbl_WIP[Amount],tbl_WIP[Job Number],A1078,tbl_WIP[Month],$C$4))</f>
        <v/>
      </c>
      <c r="E1078" s="11">
        <f>IF(A1078="","",C1078+D1078)</f>
        <v/>
      </c>
      <c r="F1078" s="10">
        <f>IF(A1078="","",IF(AND(ROUND(C1078,2)=0,ROUND(D1078,2)=0),"","yes"))</f>
        <v/>
      </c>
      <c r="G1078" s="39" t="n"/>
      <c r="H1078" s="11">
        <f>IF(OR(A1078="",G1078=""),"",E1078-G1078)</f>
        <v/>
      </c>
    </row>
    <row r="1079">
      <c r="A1079" s="10">
        <f>IF(INDEX(lst_Jobs,1066)="","",INDEX(lst_Jobs,1066)&amp;"")</f>
        <v/>
      </c>
      <c r="B1079" s="10">
        <f>IF(A1079="","",INDEX(lst_JobName,1066)&amp;"")</f>
        <v/>
      </c>
      <c r="C1079" s="11">
        <f>IF(A1079="","",SUMIFS(tbl_WIP[Amount],tbl_WIP[Job Number],A1079,tbl_WIP[Month],"&lt;"&amp;$C$4))</f>
        <v/>
      </c>
      <c r="D1079" s="11">
        <f>IF(A1079="","",SUMIFS(tbl_WIP[Amount],tbl_WIP[Job Number],A1079,tbl_WIP[Month],$C$4))</f>
        <v/>
      </c>
      <c r="E1079" s="11">
        <f>IF(A1079="","",C1079+D1079)</f>
        <v/>
      </c>
      <c r="F1079" s="10">
        <f>IF(A1079="","",IF(AND(ROUND(C1079,2)=0,ROUND(D1079,2)=0),"","yes"))</f>
        <v/>
      </c>
      <c r="G1079" s="39" t="n"/>
      <c r="H1079" s="11">
        <f>IF(OR(A1079="",G1079=""),"",E1079-G1079)</f>
        <v/>
      </c>
    </row>
    <row r="1080">
      <c r="A1080" s="10">
        <f>IF(INDEX(lst_Jobs,1067)="","",INDEX(lst_Jobs,1067)&amp;"")</f>
        <v/>
      </c>
      <c r="B1080" s="10">
        <f>IF(A1080="","",INDEX(lst_JobName,1067)&amp;"")</f>
        <v/>
      </c>
      <c r="C1080" s="11">
        <f>IF(A1080="","",SUMIFS(tbl_WIP[Amount],tbl_WIP[Job Number],A1080,tbl_WIP[Month],"&lt;"&amp;$C$4))</f>
        <v/>
      </c>
      <c r="D1080" s="11">
        <f>IF(A1080="","",SUMIFS(tbl_WIP[Amount],tbl_WIP[Job Number],A1080,tbl_WIP[Month],$C$4))</f>
        <v/>
      </c>
      <c r="E1080" s="11">
        <f>IF(A1080="","",C1080+D1080)</f>
        <v/>
      </c>
      <c r="F1080" s="10">
        <f>IF(A1080="","",IF(AND(ROUND(C1080,2)=0,ROUND(D1080,2)=0),"","yes"))</f>
        <v/>
      </c>
      <c r="G1080" s="39" t="n"/>
      <c r="H1080" s="11">
        <f>IF(OR(A1080="",G1080=""),"",E1080-G1080)</f>
        <v/>
      </c>
    </row>
    <row r="1081">
      <c r="A1081" s="10">
        <f>IF(INDEX(lst_Jobs,1068)="","",INDEX(lst_Jobs,1068)&amp;"")</f>
        <v/>
      </c>
      <c r="B1081" s="10">
        <f>IF(A1081="","",INDEX(lst_JobName,1068)&amp;"")</f>
        <v/>
      </c>
      <c r="C1081" s="11">
        <f>IF(A1081="","",SUMIFS(tbl_WIP[Amount],tbl_WIP[Job Number],A1081,tbl_WIP[Month],"&lt;"&amp;$C$4))</f>
        <v/>
      </c>
      <c r="D1081" s="11">
        <f>IF(A1081="","",SUMIFS(tbl_WIP[Amount],tbl_WIP[Job Number],A1081,tbl_WIP[Month],$C$4))</f>
        <v/>
      </c>
      <c r="E1081" s="11">
        <f>IF(A1081="","",C1081+D1081)</f>
        <v/>
      </c>
      <c r="F1081" s="10">
        <f>IF(A1081="","",IF(AND(ROUND(C1081,2)=0,ROUND(D1081,2)=0),"","yes"))</f>
        <v/>
      </c>
      <c r="G1081" s="39" t="n"/>
      <c r="H1081" s="11">
        <f>IF(OR(A1081="",G1081=""),"",E1081-G1081)</f>
        <v/>
      </c>
    </row>
    <row r="1082">
      <c r="A1082" s="10">
        <f>IF(INDEX(lst_Jobs,1069)="","",INDEX(lst_Jobs,1069)&amp;"")</f>
        <v/>
      </c>
      <c r="B1082" s="10">
        <f>IF(A1082="","",INDEX(lst_JobName,1069)&amp;"")</f>
        <v/>
      </c>
      <c r="C1082" s="11">
        <f>IF(A1082="","",SUMIFS(tbl_WIP[Amount],tbl_WIP[Job Number],A1082,tbl_WIP[Month],"&lt;"&amp;$C$4))</f>
        <v/>
      </c>
      <c r="D1082" s="11">
        <f>IF(A1082="","",SUMIFS(tbl_WIP[Amount],tbl_WIP[Job Number],A1082,tbl_WIP[Month],$C$4))</f>
        <v/>
      </c>
      <c r="E1082" s="11">
        <f>IF(A1082="","",C1082+D1082)</f>
        <v/>
      </c>
      <c r="F1082" s="10">
        <f>IF(A1082="","",IF(AND(ROUND(C1082,2)=0,ROUND(D1082,2)=0),"","yes"))</f>
        <v/>
      </c>
      <c r="G1082" s="39" t="n"/>
      <c r="H1082" s="11">
        <f>IF(OR(A1082="",G1082=""),"",E1082-G1082)</f>
        <v/>
      </c>
    </row>
    <row r="1083">
      <c r="A1083" s="10">
        <f>IF(INDEX(lst_Jobs,1070)="","",INDEX(lst_Jobs,1070)&amp;"")</f>
        <v/>
      </c>
      <c r="B1083" s="10">
        <f>IF(A1083="","",INDEX(lst_JobName,1070)&amp;"")</f>
        <v/>
      </c>
      <c r="C1083" s="11">
        <f>IF(A1083="","",SUMIFS(tbl_WIP[Amount],tbl_WIP[Job Number],A1083,tbl_WIP[Month],"&lt;"&amp;$C$4))</f>
        <v/>
      </c>
      <c r="D1083" s="11">
        <f>IF(A1083="","",SUMIFS(tbl_WIP[Amount],tbl_WIP[Job Number],A1083,tbl_WIP[Month],$C$4))</f>
        <v/>
      </c>
      <c r="E1083" s="11">
        <f>IF(A1083="","",C1083+D1083)</f>
        <v/>
      </c>
      <c r="F1083" s="10">
        <f>IF(A1083="","",IF(AND(ROUND(C1083,2)=0,ROUND(D1083,2)=0),"","yes"))</f>
        <v/>
      </c>
      <c r="G1083" s="39" t="n"/>
      <c r="H1083" s="11">
        <f>IF(OR(A1083="",G1083=""),"",E1083-G1083)</f>
        <v/>
      </c>
    </row>
    <row r="1084">
      <c r="A1084" s="10">
        <f>IF(INDEX(lst_Jobs,1071)="","",INDEX(lst_Jobs,1071)&amp;"")</f>
        <v/>
      </c>
      <c r="B1084" s="10">
        <f>IF(A1084="","",INDEX(lst_JobName,1071)&amp;"")</f>
        <v/>
      </c>
      <c r="C1084" s="11">
        <f>IF(A1084="","",SUMIFS(tbl_WIP[Amount],tbl_WIP[Job Number],A1084,tbl_WIP[Month],"&lt;"&amp;$C$4))</f>
        <v/>
      </c>
      <c r="D1084" s="11">
        <f>IF(A1084="","",SUMIFS(tbl_WIP[Amount],tbl_WIP[Job Number],A1084,tbl_WIP[Month],$C$4))</f>
        <v/>
      </c>
      <c r="E1084" s="11">
        <f>IF(A1084="","",C1084+D1084)</f>
        <v/>
      </c>
      <c r="F1084" s="10">
        <f>IF(A1084="","",IF(AND(ROUND(C1084,2)=0,ROUND(D1084,2)=0),"","yes"))</f>
        <v/>
      </c>
      <c r="G1084" s="39" t="n"/>
      <c r="H1084" s="11">
        <f>IF(OR(A1084="",G1084=""),"",E1084-G1084)</f>
        <v/>
      </c>
    </row>
    <row r="1085">
      <c r="A1085" s="10">
        <f>IF(INDEX(lst_Jobs,1072)="","",INDEX(lst_Jobs,1072)&amp;"")</f>
        <v/>
      </c>
      <c r="B1085" s="10">
        <f>IF(A1085="","",INDEX(lst_JobName,1072)&amp;"")</f>
        <v/>
      </c>
      <c r="C1085" s="11">
        <f>IF(A1085="","",SUMIFS(tbl_WIP[Amount],tbl_WIP[Job Number],A1085,tbl_WIP[Month],"&lt;"&amp;$C$4))</f>
        <v/>
      </c>
      <c r="D1085" s="11">
        <f>IF(A1085="","",SUMIFS(tbl_WIP[Amount],tbl_WIP[Job Number],A1085,tbl_WIP[Month],$C$4))</f>
        <v/>
      </c>
      <c r="E1085" s="11">
        <f>IF(A1085="","",C1085+D1085)</f>
        <v/>
      </c>
      <c r="F1085" s="10">
        <f>IF(A1085="","",IF(AND(ROUND(C1085,2)=0,ROUND(D1085,2)=0),"","yes"))</f>
        <v/>
      </c>
      <c r="G1085" s="39" t="n"/>
      <c r="H1085" s="11">
        <f>IF(OR(A1085="",G1085=""),"",E1085-G1085)</f>
        <v/>
      </c>
    </row>
    <row r="1086">
      <c r="A1086" s="10">
        <f>IF(INDEX(lst_Jobs,1073)="","",INDEX(lst_Jobs,1073)&amp;"")</f>
        <v/>
      </c>
      <c r="B1086" s="10">
        <f>IF(A1086="","",INDEX(lst_JobName,1073)&amp;"")</f>
        <v/>
      </c>
      <c r="C1086" s="11">
        <f>IF(A1086="","",SUMIFS(tbl_WIP[Amount],tbl_WIP[Job Number],A1086,tbl_WIP[Month],"&lt;"&amp;$C$4))</f>
        <v/>
      </c>
      <c r="D1086" s="11">
        <f>IF(A1086="","",SUMIFS(tbl_WIP[Amount],tbl_WIP[Job Number],A1086,tbl_WIP[Month],$C$4))</f>
        <v/>
      </c>
      <c r="E1086" s="11">
        <f>IF(A1086="","",C1086+D1086)</f>
        <v/>
      </c>
      <c r="F1086" s="10">
        <f>IF(A1086="","",IF(AND(ROUND(C1086,2)=0,ROUND(D1086,2)=0),"","yes"))</f>
        <v/>
      </c>
      <c r="G1086" s="39" t="n"/>
      <c r="H1086" s="11">
        <f>IF(OR(A1086="",G1086=""),"",E1086-G1086)</f>
        <v/>
      </c>
    </row>
    <row r="1087">
      <c r="A1087" s="10">
        <f>IF(INDEX(lst_Jobs,1074)="","",INDEX(lst_Jobs,1074)&amp;"")</f>
        <v/>
      </c>
      <c r="B1087" s="10">
        <f>IF(A1087="","",INDEX(lst_JobName,1074)&amp;"")</f>
        <v/>
      </c>
      <c r="C1087" s="11">
        <f>IF(A1087="","",SUMIFS(tbl_WIP[Amount],tbl_WIP[Job Number],A1087,tbl_WIP[Month],"&lt;"&amp;$C$4))</f>
        <v/>
      </c>
      <c r="D1087" s="11">
        <f>IF(A1087="","",SUMIFS(tbl_WIP[Amount],tbl_WIP[Job Number],A1087,tbl_WIP[Month],$C$4))</f>
        <v/>
      </c>
      <c r="E1087" s="11">
        <f>IF(A1087="","",C1087+D1087)</f>
        <v/>
      </c>
      <c r="F1087" s="10">
        <f>IF(A1087="","",IF(AND(ROUND(C1087,2)=0,ROUND(D1087,2)=0),"","yes"))</f>
        <v/>
      </c>
      <c r="G1087" s="39" t="n"/>
      <c r="H1087" s="11">
        <f>IF(OR(A1087="",G1087=""),"",E1087-G1087)</f>
        <v/>
      </c>
    </row>
    <row r="1088">
      <c r="A1088" s="10">
        <f>IF(INDEX(lst_Jobs,1075)="","",INDEX(lst_Jobs,1075)&amp;"")</f>
        <v/>
      </c>
      <c r="B1088" s="10">
        <f>IF(A1088="","",INDEX(lst_JobName,1075)&amp;"")</f>
        <v/>
      </c>
      <c r="C1088" s="11">
        <f>IF(A1088="","",SUMIFS(tbl_WIP[Amount],tbl_WIP[Job Number],A1088,tbl_WIP[Month],"&lt;"&amp;$C$4))</f>
        <v/>
      </c>
      <c r="D1088" s="11">
        <f>IF(A1088="","",SUMIFS(tbl_WIP[Amount],tbl_WIP[Job Number],A1088,tbl_WIP[Month],$C$4))</f>
        <v/>
      </c>
      <c r="E1088" s="11">
        <f>IF(A1088="","",C1088+D1088)</f>
        <v/>
      </c>
      <c r="F1088" s="10">
        <f>IF(A1088="","",IF(AND(ROUND(C1088,2)=0,ROUND(D1088,2)=0),"","yes"))</f>
        <v/>
      </c>
      <c r="G1088" s="39" t="n"/>
      <c r="H1088" s="11">
        <f>IF(OR(A1088="",G1088=""),"",E1088-G1088)</f>
        <v/>
      </c>
    </row>
    <row r="1089">
      <c r="A1089" s="10">
        <f>IF(INDEX(lst_Jobs,1076)="","",INDEX(lst_Jobs,1076)&amp;"")</f>
        <v/>
      </c>
      <c r="B1089" s="10">
        <f>IF(A1089="","",INDEX(lst_JobName,1076)&amp;"")</f>
        <v/>
      </c>
      <c r="C1089" s="11">
        <f>IF(A1089="","",SUMIFS(tbl_WIP[Amount],tbl_WIP[Job Number],A1089,tbl_WIP[Month],"&lt;"&amp;$C$4))</f>
        <v/>
      </c>
      <c r="D1089" s="11">
        <f>IF(A1089="","",SUMIFS(tbl_WIP[Amount],tbl_WIP[Job Number],A1089,tbl_WIP[Month],$C$4))</f>
        <v/>
      </c>
      <c r="E1089" s="11">
        <f>IF(A1089="","",C1089+D1089)</f>
        <v/>
      </c>
      <c r="F1089" s="10">
        <f>IF(A1089="","",IF(AND(ROUND(C1089,2)=0,ROUND(D1089,2)=0),"","yes"))</f>
        <v/>
      </c>
      <c r="G1089" s="39" t="n"/>
      <c r="H1089" s="11">
        <f>IF(OR(A1089="",G1089=""),"",E1089-G1089)</f>
        <v/>
      </c>
    </row>
    <row r="1090">
      <c r="A1090" s="10">
        <f>IF(INDEX(lst_Jobs,1077)="","",INDEX(lst_Jobs,1077)&amp;"")</f>
        <v/>
      </c>
      <c r="B1090" s="10">
        <f>IF(A1090="","",INDEX(lst_JobName,1077)&amp;"")</f>
        <v/>
      </c>
      <c r="C1090" s="11">
        <f>IF(A1090="","",SUMIFS(tbl_WIP[Amount],tbl_WIP[Job Number],A1090,tbl_WIP[Month],"&lt;"&amp;$C$4))</f>
        <v/>
      </c>
      <c r="D1090" s="11">
        <f>IF(A1090="","",SUMIFS(tbl_WIP[Amount],tbl_WIP[Job Number],A1090,tbl_WIP[Month],$C$4))</f>
        <v/>
      </c>
      <c r="E1090" s="11">
        <f>IF(A1090="","",C1090+D1090)</f>
        <v/>
      </c>
      <c r="F1090" s="10">
        <f>IF(A1090="","",IF(AND(ROUND(C1090,2)=0,ROUND(D1090,2)=0),"","yes"))</f>
        <v/>
      </c>
      <c r="G1090" s="39" t="n"/>
      <c r="H1090" s="11">
        <f>IF(OR(A1090="",G1090=""),"",E1090-G1090)</f>
        <v/>
      </c>
    </row>
    <row r="1091">
      <c r="A1091" s="10">
        <f>IF(INDEX(lst_Jobs,1078)="","",INDEX(lst_Jobs,1078)&amp;"")</f>
        <v/>
      </c>
      <c r="B1091" s="10">
        <f>IF(A1091="","",INDEX(lst_JobName,1078)&amp;"")</f>
        <v/>
      </c>
      <c r="C1091" s="11">
        <f>IF(A1091="","",SUMIFS(tbl_WIP[Amount],tbl_WIP[Job Number],A1091,tbl_WIP[Month],"&lt;"&amp;$C$4))</f>
        <v/>
      </c>
      <c r="D1091" s="11">
        <f>IF(A1091="","",SUMIFS(tbl_WIP[Amount],tbl_WIP[Job Number],A1091,tbl_WIP[Month],$C$4))</f>
        <v/>
      </c>
      <c r="E1091" s="11">
        <f>IF(A1091="","",C1091+D1091)</f>
        <v/>
      </c>
      <c r="F1091" s="10">
        <f>IF(A1091="","",IF(AND(ROUND(C1091,2)=0,ROUND(D1091,2)=0),"","yes"))</f>
        <v/>
      </c>
      <c r="G1091" s="39" t="n"/>
      <c r="H1091" s="11">
        <f>IF(OR(A1091="",G1091=""),"",E1091-G1091)</f>
        <v/>
      </c>
    </row>
    <row r="1092">
      <c r="A1092" s="10">
        <f>IF(INDEX(lst_Jobs,1079)="","",INDEX(lst_Jobs,1079)&amp;"")</f>
        <v/>
      </c>
      <c r="B1092" s="10">
        <f>IF(A1092="","",INDEX(lst_JobName,1079)&amp;"")</f>
        <v/>
      </c>
      <c r="C1092" s="11">
        <f>IF(A1092="","",SUMIFS(tbl_WIP[Amount],tbl_WIP[Job Number],A1092,tbl_WIP[Month],"&lt;"&amp;$C$4))</f>
        <v/>
      </c>
      <c r="D1092" s="11">
        <f>IF(A1092="","",SUMIFS(tbl_WIP[Amount],tbl_WIP[Job Number],A1092,tbl_WIP[Month],$C$4))</f>
        <v/>
      </c>
      <c r="E1092" s="11">
        <f>IF(A1092="","",C1092+D1092)</f>
        <v/>
      </c>
      <c r="F1092" s="10">
        <f>IF(A1092="","",IF(AND(ROUND(C1092,2)=0,ROUND(D1092,2)=0),"","yes"))</f>
        <v/>
      </c>
      <c r="G1092" s="39" t="n"/>
      <c r="H1092" s="11">
        <f>IF(OR(A1092="",G1092=""),"",E1092-G1092)</f>
        <v/>
      </c>
    </row>
    <row r="1093">
      <c r="A1093" s="10">
        <f>IF(INDEX(lst_Jobs,1080)="","",INDEX(lst_Jobs,1080)&amp;"")</f>
        <v/>
      </c>
      <c r="B1093" s="10">
        <f>IF(A1093="","",INDEX(lst_JobName,1080)&amp;"")</f>
        <v/>
      </c>
      <c r="C1093" s="11">
        <f>IF(A1093="","",SUMIFS(tbl_WIP[Amount],tbl_WIP[Job Number],A1093,tbl_WIP[Month],"&lt;"&amp;$C$4))</f>
        <v/>
      </c>
      <c r="D1093" s="11">
        <f>IF(A1093="","",SUMIFS(tbl_WIP[Amount],tbl_WIP[Job Number],A1093,tbl_WIP[Month],$C$4))</f>
        <v/>
      </c>
      <c r="E1093" s="11">
        <f>IF(A1093="","",C1093+D1093)</f>
        <v/>
      </c>
      <c r="F1093" s="10">
        <f>IF(A1093="","",IF(AND(ROUND(C1093,2)=0,ROUND(D1093,2)=0),"","yes"))</f>
        <v/>
      </c>
      <c r="G1093" s="39" t="n"/>
      <c r="H1093" s="11">
        <f>IF(OR(A1093="",G1093=""),"",E1093-G1093)</f>
        <v/>
      </c>
    </row>
    <row r="1094">
      <c r="A1094" s="10">
        <f>IF(INDEX(lst_Jobs,1081)="","",INDEX(lst_Jobs,1081)&amp;"")</f>
        <v/>
      </c>
      <c r="B1094" s="10">
        <f>IF(A1094="","",INDEX(lst_JobName,1081)&amp;"")</f>
        <v/>
      </c>
      <c r="C1094" s="11">
        <f>IF(A1094="","",SUMIFS(tbl_WIP[Amount],tbl_WIP[Job Number],A1094,tbl_WIP[Month],"&lt;"&amp;$C$4))</f>
        <v/>
      </c>
      <c r="D1094" s="11">
        <f>IF(A1094="","",SUMIFS(tbl_WIP[Amount],tbl_WIP[Job Number],A1094,tbl_WIP[Month],$C$4))</f>
        <v/>
      </c>
      <c r="E1094" s="11">
        <f>IF(A1094="","",C1094+D1094)</f>
        <v/>
      </c>
      <c r="F1094" s="10">
        <f>IF(A1094="","",IF(AND(ROUND(C1094,2)=0,ROUND(D1094,2)=0),"","yes"))</f>
        <v/>
      </c>
      <c r="G1094" s="39" t="n"/>
      <c r="H1094" s="11">
        <f>IF(OR(A1094="",G1094=""),"",E1094-G1094)</f>
        <v/>
      </c>
    </row>
    <row r="1095">
      <c r="A1095" s="10">
        <f>IF(INDEX(lst_Jobs,1082)="","",INDEX(lst_Jobs,1082)&amp;"")</f>
        <v/>
      </c>
      <c r="B1095" s="10">
        <f>IF(A1095="","",INDEX(lst_JobName,1082)&amp;"")</f>
        <v/>
      </c>
      <c r="C1095" s="11">
        <f>IF(A1095="","",SUMIFS(tbl_WIP[Amount],tbl_WIP[Job Number],A1095,tbl_WIP[Month],"&lt;"&amp;$C$4))</f>
        <v/>
      </c>
      <c r="D1095" s="11">
        <f>IF(A1095="","",SUMIFS(tbl_WIP[Amount],tbl_WIP[Job Number],A1095,tbl_WIP[Month],$C$4))</f>
        <v/>
      </c>
      <c r="E1095" s="11">
        <f>IF(A1095="","",C1095+D1095)</f>
        <v/>
      </c>
      <c r="F1095" s="10">
        <f>IF(A1095="","",IF(AND(ROUND(C1095,2)=0,ROUND(D1095,2)=0),"","yes"))</f>
        <v/>
      </c>
      <c r="G1095" s="39" t="n"/>
      <c r="H1095" s="11">
        <f>IF(OR(A1095="",G1095=""),"",E1095-G1095)</f>
        <v/>
      </c>
    </row>
    <row r="1096">
      <c r="A1096" s="10">
        <f>IF(INDEX(lst_Jobs,1083)="","",INDEX(lst_Jobs,1083)&amp;"")</f>
        <v/>
      </c>
      <c r="B1096" s="10">
        <f>IF(A1096="","",INDEX(lst_JobName,1083)&amp;"")</f>
        <v/>
      </c>
      <c r="C1096" s="11">
        <f>IF(A1096="","",SUMIFS(tbl_WIP[Amount],tbl_WIP[Job Number],A1096,tbl_WIP[Month],"&lt;"&amp;$C$4))</f>
        <v/>
      </c>
      <c r="D1096" s="11">
        <f>IF(A1096="","",SUMIFS(tbl_WIP[Amount],tbl_WIP[Job Number],A1096,tbl_WIP[Month],$C$4))</f>
        <v/>
      </c>
      <c r="E1096" s="11">
        <f>IF(A1096="","",C1096+D1096)</f>
        <v/>
      </c>
      <c r="F1096" s="10">
        <f>IF(A1096="","",IF(AND(ROUND(C1096,2)=0,ROUND(D1096,2)=0),"","yes"))</f>
        <v/>
      </c>
      <c r="G1096" s="39" t="n"/>
      <c r="H1096" s="11">
        <f>IF(OR(A1096="",G1096=""),"",E1096-G1096)</f>
        <v/>
      </c>
    </row>
    <row r="1097">
      <c r="A1097" s="10">
        <f>IF(INDEX(lst_Jobs,1084)="","",INDEX(lst_Jobs,1084)&amp;"")</f>
        <v/>
      </c>
      <c r="B1097" s="10">
        <f>IF(A1097="","",INDEX(lst_JobName,1084)&amp;"")</f>
        <v/>
      </c>
      <c r="C1097" s="11">
        <f>IF(A1097="","",SUMIFS(tbl_WIP[Amount],tbl_WIP[Job Number],A1097,tbl_WIP[Month],"&lt;"&amp;$C$4))</f>
        <v/>
      </c>
      <c r="D1097" s="11">
        <f>IF(A1097="","",SUMIFS(tbl_WIP[Amount],tbl_WIP[Job Number],A1097,tbl_WIP[Month],$C$4))</f>
        <v/>
      </c>
      <c r="E1097" s="11">
        <f>IF(A1097="","",C1097+D1097)</f>
        <v/>
      </c>
      <c r="F1097" s="10">
        <f>IF(A1097="","",IF(AND(ROUND(C1097,2)=0,ROUND(D1097,2)=0),"","yes"))</f>
        <v/>
      </c>
      <c r="G1097" s="39" t="n"/>
      <c r="H1097" s="11">
        <f>IF(OR(A1097="",G1097=""),"",E1097-G1097)</f>
        <v/>
      </c>
    </row>
    <row r="1098">
      <c r="A1098" s="10">
        <f>IF(INDEX(lst_Jobs,1085)="","",INDEX(lst_Jobs,1085)&amp;"")</f>
        <v/>
      </c>
      <c r="B1098" s="10">
        <f>IF(A1098="","",INDEX(lst_JobName,1085)&amp;"")</f>
        <v/>
      </c>
      <c r="C1098" s="11">
        <f>IF(A1098="","",SUMIFS(tbl_WIP[Amount],tbl_WIP[Job Number],A1098,tbl_WIP[Month],"&lt;"&amp;$C$4))</f>
        <v/>
      </c>
      <c r="D1098" s="11">
        <f>IF(A1098="","",SUMIFS(tbl_WIP[Amount],tbl_WIP[Job Number],A1098,tbl_WIP[Month],$C$4))</f>
        <v/>
      </c>
      <c r="E1098" s="11">
        <f>IF(A1098="","",C1098+D1098)</f>
        <v/>
      </c>
      <c r="F1098" s="10">
        <f>IF(A1098="","",IF(AND(ROUND(C1098,2)=0,ROUND(D1098,2)=0),"","yes"))</f>
        <v/>
      </c>
      <c r="G1098" s="39" t="n"/>
      <c r="H1098" s="11">
        <f>IF(OR(A1098="",G1098=""),"",E1098-G1098)</f>
        <v/>
      </c>
    </row>
    <row r="1099">
      <c r="A1099" s="10">
        <f>IF(INDEX(lst_Jobs,1086)="","",INDEX(lst_Jobs,1086)&amp;"")</f>
        <v/>
      </c>
      <c r="B1099" s="10">
        <f>IF(A1099="","",INDEX(lst_JobName,1086)&amp;"")</f>
        <v/>
      </c>
      <c r="C1099" s="11">
        <f>IF(A1099="","",SUMIFS(tbl_WIP[Amount],tbl_WIP[Job Number],A1099,tbl_WIP[Month],"&lt;"&amp;$C$4))</f>
        <v/>
      </c>
      <c r="D1099" s="11">
        <f>IF(A1099="","",SUMIFS(tbl_WIP[Amount],tbl_WIP[Job Number],A1099,tbl_WIP[Month],$C$4))</f>
        <v/>
      </c>
      <c r="E1099" s="11">
        <f>IF(A1099="","",C1099+D1099)</f>
        <v/>
      </c>
      <c r="F1099" s="10">
        <f>IF(A1099="","",IF(AND(ROUND(C1099,2)=0,ROUND(D1099,2)=0),"","yes"))</f>
        <v/>
      </c>
      <c r="G1099" s="39" t="n"/>
      <c r="H1099" s="11">
        <f>IF(OR(A1099="",G1099=""),"",E1099-G1099)</f>
        <v/>
      </c>
    </row>
    <row r="1100">
      <c r="A1100" s="10">
        <f>IF(INDEX(lst_Jobs,1087)="","",INDEX(lst_Jobs,1087)&amp;"")</f>
        <v/>
      </c>
      <c r="B1100" s="10">
        <f>IF(A1100="","",INDEX(lst_JobName,1087)&amp;"")</f>
        <v/>
      </c>
      <c r="C1100" s="11">
        <f>IF(A1100="","",SUMIFS(tbl_WIP[Amount],tbl_WIP[Job Number],A1100,tbl_WIP[Month],"&lt;"&amp;$C$4))</f>
        <v/>
      </c>
      <c r="D1100" s="11">
        <f>IF(A1100="","",SUMIFS(tbl_WIP[Amount],tbl_WIP[Job Number],A1100,tbl_WIP[Month],$C$4))</f>
        <v/>
      </c>
      <c r="E1100" s="11">
        <f>IF(A1100="","",C1100+D1100)</f>
        <v/>
      </c>
      <c r="F1100" s="10">
        <f>IF(A1100="","",IF(AND(ROUND(C1100,2)=0,ROUND(D1100,2)=0),"","yes"))</f>
        <v/>
      </c>
      <c r="G1100" s="39" t="n"/>
      <c r="H1100" s="11">
        <f>IF(OR(A1100="",G1100=""),"",E1100-G1100)</f>
        <v/>
      </c>
    </row>
    <row r="1101">
      <c r="A1101" s="10">
        <f>IF(INDEX(lst_Jobs,1088)="","",INDEX(lst_Jobs,1088)&amp;"")</f>
        <v/>
      </c>
      <c r="B1101" s="10">
        <f>IF(A1101="","",INDEX(lst_JobName,1088)&amp;"")</f>
        <v/>
      </c>
      <c r="C1101" s="11">
        <f>IF(A1101="","",SUMIFS(tbl_WIP[Amount],tbl_WIP[Job Number],A1101,tbl_WIP[Month],"&lt;"&amp;$C$4))</f>
        <v/>
      </c>
      <c r="D1101" s="11">
        <f>IF(A1101="","",SUMIFS(tbl_WIP[Amount],tbl_WIP[Job Number],A1101,tbl_WIP[Month],$C$4))</f>
        <v/>
      </c>
      <c r="E1101" s="11">
        <f>IF(A1101="","",C1101+D1101)</f>
        <v/>
      </c>
      <c r="F1101" s="10">
        <f>IF(A1101="","",IF(AND(ROUND(C1101,2)=0,ROUND(D1101,2)=0),"","yes"))</f>
        <v/>
      </c>
      <c r="G1101" s="39" t="n"/>
      <c r="H1101" s="11">
        <f>IF(OR(A1101="",G1101=""),"",E1101-G1101)</f>
        <v/>
      </c>
    </row>
    <row r="1102">
      <c r="A1102" s="10">
        <f>IF(INDEX(lst_Jobs,1089)="","",INDEX(lst_Jobs,1089)&amp;"")</f>
        <v/>
      </c>
      <c r="B1102" s="10">
        <f>IF(A1102="","",INDEX(lst_JobName,1089)&amp;"")</f>
        <v/>
      </c>
      <c r="C1102" s="11">
        <f>IF(A1102="","",SUMIFS(tbl_WIP[Amount],tbl_WIP[Job Number],A1102,tbl_WIP[Month],"&lt;"&amp;$C$4))</f>
        <v/>
      </c>
      <c r="D1102" s="11">
        <f>IF(A1102="","",SUMIFS(tbl_WIP[Amount],tbl_WIP[Job Number],A1102,tbl_WIP[Month],$C$4))</f>
        <v/>
      </c>
      <c r="E1102" s="11">
        <f>IF(A1102="","",C1102+D1102)</f>
        <v/>
      </c>
      <c r="F1102" s="10">
        <f>IF(A1102="","",IF(AND(ROUND(C1102,2)=0,ROUND(D1102,2)=0),"","yes"))</f>
        <v/>
      </c>
      <c r="G1102" s="39" t="n"/>
      <c r="H1102" s="11">
        <f>IF(OR(A1102="",G1102=""),"",E1102-G1102)</f>
        <v/>
      </c>
    </row>
    <row r="1103">
      <c r="A1103" s="10">
        <f>IF(INDEX(lst_Jobs,1090)="","",INDEX(lst_Jobs,1090)&amp;"")</f>
        <v/>
      </c>
      <c r="B1103" s="10">
        <f>IF(A1103="","",INDEX(lst_JobName,1090)&amp;"")</f>
        <v/>
      </c>
      <c r="C1103" s="11">
        <f>IF(A1103="","",SUMIFS(tbl_WIP[Amount],tbl_WIP[Job Number],A1103,tbl_WIP[Month],"&lt;"&amp;$C$4))</f>
        <v/>
      </c>
      <c r="D1103" s="11">
        <f>IF(A1103="","",SUMIFS(tbl_WIP[Amount],tbl_WIP[Job Number],A1103,tbl_WIP[Month],$C$4))</f>
        <v/>
      </c>
      <c r="E1103" s="11">
        <f>IF(A1103="","",C1103+D1103)</f>
        <v/>
      </c>
      <c r="F1103" s="10">
        <f>IF(A1103="","",IF(AND(ROUND(C1103,2)=0,ROUND(D1103,2)=0),"","yes"))</f>
        <v/>
      </c>
      <c r="G1103" s="39" t="n"/>
      <c r="H1103" s="11">
        <f>IF(OR(A1103="",G1103=""),"",E1103-G1103)</f>
        <v/>
      </c>
    </row>
    <row r="1104">
      <c r="A1104" s="10">
        <f>IF(INDEX(lst_Jobs,1091)="","",INDEX(lst_Jobs,1091)&amp;"")</f>
        <v/>
      </c>
      <c r="B1104" s="10">
        <f>IF(A1104="","",INDEX(lst_JobName,1091)&amp;"")</f>
        <v/>
      </c>
      <c r="C1104" s="11">
        <f>IF(A1104="","",SUMIFS(tbl_WIP[Amount],tbl_WIP[Job Number],A1104,tbl_WIP[Month],"&lt;"&amp;$C$4))</f>
        <v/>
      </c>
      <c r="D1104" s="11">
        <f>IF(A1104="","",SUMIFS(tbl_WIP[Amount],tbl_WIP[Job Number],A1104,tbl_WIP[Month],$C$4))</f>
        <v/>
      </c>
      <c r="E1104" s="11">
        <f>IF(A1104="","",C1104+D1104)</f>
        <v/>
      </c>
      <c r="F1104" s="10">
        <f>IF(A1104="","",IF(AND(ROUND(C1104,2)=0,ROUND(D1104,2)=0),"","yes"))</f>
        <v/>
      </c>
      <c r="G1104" s="39" t="n"/>
      <c r="H1104" s="11">
        <f>IF(OR(A1104="",G1104=""),"",E1104-G1104)</f>
        <v/>
      </c>
    </row>
    <row r="1105">
      <c r="A1105" s="10">
        <f>IF(INDEX(lst_Jobs,1092)="","",INDEX(lst_Jobs,1092)&amp;"")</f>
        <v/>
      </c>
      <c r="B1105" s="10">
        <f>IF(A1105="","",INDEX(lst_JobName,1092)&amp;"")</f>
        <v/>
      </c>
      <c r="C1105" s="11">
        <f>IF(A1105="","",SUMIFS(tbl_WIP[Amount],tbl_WIP[Job Number],A1105,tbl_WIP[Month],"&lt;"&amp;$C$4))</f>
        <v/>
      </c>
      <c r="D1105" s="11">
        <f>IF(A1105="","",SUMIFS(tbl_WIP[Amount],tbl_WIP[Job Number],A1105,tbl_WIP[Month],$C$4))</f>
        <v/>
      </c>
      <c r="E1105" s="11">
        <f>IF(A1105="","",C1105+D1105)</f>
        <v/>
      </c>
      <c r="F1105" s="10">
        <f>IF(A1105="","",IF(AND(ROUND(C1105,2)=0,ROUND(D1105,2)=0),"","yes"))</f>
        <v/>
      </c>
      <c r="G1105" s="39" t="n"/>
      <c r="H1105" s="11">
        <f>IF(OR(A1105="",G1105=""),"",E1105-G1105)</f>
        <v/>
      </c>
    </row>
    <row r="1106">
      <c r="A1106" s="10">
        <f>IF(INDEX(lst_Jobs,1093)="","",INDEX(lst_Jobs,1093)&amp;"")</f>
        <v/>
      </c>
      <c r="B1106" s="10">
        <f>IF(A1106="","",INDEX(lst_JobName,1093)&amp;"")</f>
        <v/>
      </c>
      <c r="C1106" s="11">
        <f>IF(A1106="","",SUMIFS(tbl_WIP[Amount],tbl_WIP[Job Number],A1106,tbl_WIP[Month],"&lt;"&amp;$C$4))</f>
        <v/>
      </c>
      <c r="D1106" s="11">
        <f>IF(A1106="","",SUMIFS(tbl_WIP[Amount],tbl_WIP[Job Number],A1106,tbl_WIP[Month],$C$4))</f>
        <v/>
      </c>
      <c r="E1106" s="11">
        <f>IF(A1106="","",C1106+D1106)</f>
        <v/>
      </c>
      <c r="F1106" s="10">
        <f>IF(A1106="","",IF(AND(ROUND(C1106,2)=0,ROUND(D1106,2)=0),"","yes"))</f>
        <v/>
      </c>
      <c r="G1106" s="39" t="n"/>
      <c r="H1106" s="11">
        <f>IF(OR(A1106="",G1106=""),"",E1106-G1106)</f>
        <v/>
      </c>
    </row>
    <row r="1107">
      <c r="A1107" s="10">
        <f>IF(INDEX(lst_Jobs,1094)="","",INDEX(lst_Jobs,1094)&amp;"")</f>
        <v/>
      </c>
      <c r="B1107" s="10">
        <f>IF(A1107="","",INDEX(lst_JobName,1094)&amp;"")</f>
        <v/>
      </c>
      <c r="C1107" s="11">
        <f>IF(A1107="","",SUMIFS(tbl_WIP[Amount],tbl_WIP[Job Number],A1107,tbl_WIP[Month],"&lt;"&amp;$C$4))</f>
        <v/>
      </c>
      <c r="D1107" s="11">
        <f>IF(A1107="","",SUMIFS(tbl_WIP[Amount],tbl_WIP[Job Number],A1107,tbl_WIP[Month],$C$4))</f>
        <v/>
      </c>
      <c r="E1107" s="11">
        <f>IF(A1107="","",C1107+D1107)</f>
        <v/>
      </c>
      <c r="F1107" s="10">
        <f>IF(A1107="","",IF(AND(ROUND(C1107,2)=0,ROUND(D1107,2)=0),"","yes"))</f>
        <v/>
      </c>
      <c r="G1107" s="39" t="n"/>
      <c r="H1107" s="11">
        <f>IF(OR(A1107="",G1107=""),"",E1107-G1107)</f>
        <v/>
      </c>
    </row>
    <row r="1108">
      <c r="A1108" s="10">
        <f>IF(INDEX(lst_Jobs,1095)="","",INDEX(lst_Jobs,1095)&amp;"")</f>
        <v/>
      </c>
      <c r="B1108" s="10">
        <f>IF(A1108="","",INDEX(lst_JobName,1095)&amp;"")</f>
        <v/>
      </c>
      <c r="C1108" s="11">
        <f>IF(A1108="","",SUMIFS(tbl_WIP[Amount],tbl_WIP[Job Number],A1108,tbl_WIP[Month],"&lt;"&amp;$C$4))</f>
        <v/>
      </c>
      <c r="D1108" s="11">
        <f>IF(A1108="","",SUMIFS(tbl_WIP[Amount],tbl_WIP[Job Number],A1108,tbl_WIP[Month],$C$4))</f>
        <v/>
      </c>
      <c r="E1108" s="11">
        <f>IF(A1108="","",C1108+D1108)</f>
        <v/>
      </c>
      <c r="F1108" s="10">
        <f>IF(A1108="","",IF(AND(ROUND(C1108,2)=0,ROUND(D1108,2)=0),"","yes"))</f>
        <v/>
      </c>
      <c r="G1108" s="39" t="n"/>
      <c r="H1108" s="11">
        <f>IF(OR(A1108="",G1108=""),"",E1108-G1108)</f>
        <v/>
      </c>
    </row>
    <row r="1109">
      <c r="A1109" s="10">
        <f>IF(INDEX(lst_Jobs,1096)="","",INDEX(lst_Jobs,1096)&amp;"")</f>
        <v/>
      </c>
      <c r="B1109" s="10">
        <f>IF(A1109="","",INDEX(lst_JobName,1096)&amp;"")</f>
        <v/>
      </c>
      <c r="C1109" s="11">
        <f>IF(A1109="","",SUMIFS(tbl_WIP[Amount],tbl_WIP[Job Number],A1109,tbl_WIP[Month],"&lt;"&amp;$C$4))</f>
        <v/>
      </c>
      <c r="D1109" s="11">
        <f>IF(A1109="","",SUMIFS(tbl_WIP[Amount],tbl_WIP[Job Number],A1109,tbl_WIP[Month],$C$4))</f>
        <v/>
      </c>
      <c r="E1109" s="11">
        <f>IF(A1109="","",C1109+D1109)</f>
        <v/>
      </c>
      <c r="F1109" s="10">
        <f>IF(A1109="","",IF(AND(ROUND(C1109,2)=0,ROUND(D1109,2)=0),"","yes"))</f>
        <v/>
      </c>
      <c r="G1109" s="39" t="n"/>
      <c r="H1109" s="11">
        <f>IF(OR(A1109="",G1109=""),"",E1109-G1109)</f>
        <v/>
      </c>
    </row>
    <row r="1110">
      <c r="A1110" s="10">
        <f>IF(INDEX(lst_Jobs,1097)="","",INDEX(lst_Jobs,1097)&amp;"")</f>
        <v/>
      </c>
      <c r="B1110" s="10">
        <f>IF(A1110="","",INDEX(lst_JobName,1097)&amp;"")</f>
        <v/>
      </c>
      <c r="C1110" s="11">
        <f>IF(A1110="","",SUMIFS(tbl_WIP[Amount],tbl_WIP[Job Number],A1110,tbl_WIP[Month],"&lt;"&amp;$C$4))</f>
        <v/>
      </c>
      <c r="D1110" s="11">
        <f>IF(A1110="","",SUMIFS(tbl_WIP[Amount],tbl_WIP[Job Number],A1110,tbl_WIP[Month],$C$4))</f>
        <v/>
      </c>
      <c r="E1110" s="11">
        <f>IF(A1110="","",C1110+D1110)</f>
        <v/>
      </c>
      <c r="F1110" s="10">
        <f>IF(A1110="","",IF(AND(ROUND(C1110,2)=0,ROUND(D1110,2)=0),"","yes"))</f>
        <v/>
      </c>
      <c r="G1110" s="39" t="n"/>
      <c r="H1110" s="11">
        <f>IF(OR(A1110="",G1110=""),"",E1110-G1110)</f>
        <v/>
      </c>
    </row>
    <row r="1111">
      <c r="A1111" s="10">
        <f>IF(INDEX(lst_Jobs,1098)="","",INDEX(lst_Jobs,1098)&amp;"")</f>
        <v/>
      </c>
      <c r="B1111" s="10">
        <f>IF(A1111="","",INDEX(lst_JobName,1098)&amp;"")</f>
        <v/>
      </c>
      <c r="C1111" s="11">
        <f>IF(A1111="","",SUMIFS(tbl_WIP[Amount],tbl_WIP[Job Number],A1111,tbl_WIP[Month],"&lt;"&amp;$C$4))</f>
        <v/>
      </c>
      <c r="D1111" s="11">
        <f>IF(A1111="","",SUMIFS(tbl_WIP[Amount],tbl_WIP[Job Number],A1111,tbl_WIP[Month],$C$4))</f>
        <v/>
      </c>
      <c r="E1111" s="11">
        <f>IF(A1111="","",C1111+D1111)</f>
        <v/>
      </c>
      <c r="F1111" s="10">
        <f>IF(A1111="","",IF(AND(ROUND(C1111,2)=0,ROUND(D1111,2)=0),"","yes"))</f>
        <v/>
      </c>
      <c r="G1111" s="39" t="n"/>
      <c r="H1111" s="11">
        <f>IF(OR(A1111="",G1111=""),"",E1111-G1111)</f>
        <v/>
      </c>
    </row>
    <row r="1112">
      <c r="A1112" s="10">
        <f>IF(INDEX(lst_Jobs,1099)="","",INDEX(lst_Jobs,1099)&amp;"")</f>
        <v/>
      </c>
      <c r="B1112" s="10">
        <f>IF(A1112="","",INDEX(lst_JobName,1099)&amp;"")</f>
        <v/>
      </c>
      <c r="C1112" s="11">
        <f>IF(A1112="","",SUMIFS(tbl_WIP[Amount],tbl_WIP[Job Number],A1112,tbl_WIP[Month],"&lt;"&amp;$C$4))</f>
        <v/>
      </c>
      <c r="D1112" s="11">
        <f>IF(A1112="","",SUMIFS(tbl_WIP[Amount],tbl_WIP[Job Number],A1112,tbl_WIP[Month],$C$4))</f>
        <v/>
      </c>
      <c r="E1112" s="11">
        <f>IF(A1112="","",C1112+D1112)</f>
        <v/>
      </c>
      <c r="F1112" s="10">
        <f>IF(A1112="","",IF(AND(ROUND(C1112,2)=0,ROUND(D1112,2)=0),"","yes"))</f>
        <v/>
      </c>
      <c r="G1112" s="39" t="n"/>
      <c r="H1112" s="11">
        <f>IF(OR(A1112="",G1112=""),"",E1112-G1112)</f>
        <v/>
      </c>
    </row>
    <row r="1113">
      <c r="A1113" s="10">
        <f>IF(INDEX(lst_Jobs,1100)="","",INDEX(lst_Jobs,1100)&amp;"")</f>
        <v/>
      </c>
      <c r="B1113" s="10">
        <f>IF(A1113="","",INDEX(lst_JobName,1100)&amp;"")</f>
        <v/>
      </c>
      <c r="C1113" s="11">
        <f>IF(A1113="","",SUMIFS(tbl_WIP[Amount],tbl_WIP[Job Number],A1113,tbl_WIP[Month],"&lt;"&amp;$C$4))</f>
        <v/>
      </c>
      <c r="D1113" s="11">
        <f>IF(A1113="","",SUMIFS(tbl_WIP[Amount],tbl_WIP[Job Number],A1113,tbl_WIP[Month],$C$4))</f>
        <v/>
      </c>
      <c r="E1113" s="11">
        <f>IF(A1113="","",C1113+D1113)</f>
        <v/>
      </c>
      <c r="F1113" s="10">
        <f>IF(A1113="","",IF(AND(ROUND(C1113,2)=0,ROUND(D1113,2)=0),"","yes"))</f>
        <v/>
      </c>
      <c r="G1113" s="39" t="n"/>
      <c r="H1113" s="11">
        <f>IF(OR(A1113="",G1113=""),"",E1113-G1113)</f>
        <v/>
      </c>
    </row>
    <row r="1114">
      <c r="A1114" s="10">
        <f>IF(INDEX(lst_Jobs,1101)="","",INDEX(lst_Jobs,1101)&amp;"")</f>
        <v/>
      </c>
      <c r="B1114" s="10">
        <f>IF(A1114="","",INDEX(lst_JobName,1101)&amp;"")</f>
        <v/>
      </c>
      <c r="C1114" s="11">
        <f>IF(A1114="","",SUMIFS(tbl_WIP[Amount],tbl_WIP[Job Number],A1114,tbl_WIP[Month],"&lt;"&amp;$C$4))</f>
        <v/>
      </c>
      <c r="D1114" s="11">
        <f>IF(A1114="","",SUMIFS(tbl_WIP[Amount],tbl_WIP[Job Number],A1114,tbl_WIP[Month],$C$4))</f>
        <v/>
      </c>
      <c r="E1114" s="11">
        <f>IF(A1114="","",C1114+D1114)</f>
        <v/>
      </c>
      <c r="F1114" s="10">
        <f>IF(A1114="","",IF(AND(ROUND(C1114,2)=0,ROUND(D1114,2)=0),"","yes"))</f>
        <v/>
      </c>
      <c r="G1114" s="39" t="n"/>
      <c r="H1114" s="11">
        <f>IF(OR(A1114="",G1114=""),"",E1114-G1114)</f>
        <v/>
      </c>
    </row>
    <row r="1115">
      <c r="A1115" s="10">
        <f>IF(INDEX(lst_Jobs,1102)="","",INDEX(lst_Jobs,1102)&amp;"")</f>
        <v/>
      </c>
      <c r="B1115" s="10">
        <f>IF(A1115="","",INDEX(lst_JobName,1102)&amp;"")</f>
        <v/>
      </c>
      <c r="C1115" s="11">
        <f>IF(A1115="","",SUMIFS(tbl_WIP[Amount],tbl_WIP[Job Number],A1115,tbl_WIP[Month],"&lt;"&amp;$C$4))</f>
        <v/>
      </c>
      <c r="D1115" s="11">
        <f>IF(A1115="","",SUMIFS(tbl_WIP[Amount],tbl_WIP[Job Number],A1115,tbl_WIP[Month],$C$4))</f>
        <v/>
      </c>
      <c r="E1115" s="11">
        <f>IF(A1115="","",C1115+D1115)</f>
        <v/>
      </c>
      <c r="F1115" s="10">
        <f>IF(A1115="","",IF(AND(ROUND(C1115,2)=0,ROUND(D1115,2)=0),"","yes"))</f>
        <v/>
      </c>
      <c r="G1115" s="39" t="n"/>
      <c r="H1115" s="11">
        <f>IF(OR(A1115="",G1115=""),"",E1115-G1115)</f>
        <v/>
      </c>
    </row>
    <row r="1116">
      <c r="A1116" s="10">
        <f>IF(INDEX(lst_Jobs,1103)="","",INDEX(lst_Jobs,1103)&amp;"")</f>
        <v/>
      </c>
      <c r="B1116" s="10">
        <f>IF(A1116="","",INDEX(lst_JobName,1103)&amp;"")</f>
        <v/>
      </c>
      <c r="C1116" s="11">
        <f>IF(A1116="","",SUMIFS(tbl_WIP[Amount],tbl_WIP[Job Number],A1116,tbl_WIP[Month],"&lt;"&amp;$C$4))</f>
        <v/>
      </c>
      <c r="D1116" s="11">
        <f>IF(A1116="","",SUMIFS(tbl_WIP[Amount],tbl_WIP[Job Number],A1116,tbl_WIP[Month],$C$4))</f>
        <v/>
      </c>
      <c r="E1116" s="11">
        <f>IF(A1116="","",C1116+D1116)</f>
        <v/>
      </c>
      <c r="F1116" s="10">
        <f>IF(A1116="","",IF(AND(ROUND(C1116,2)=0,ROUND(D1116,2)=0),"","yes"))</f>
        <v/>
      </c>
      <c r="G1116" s="39" t="n"/>
      <c r="H1116" s="11">
        <f>IF(OR(A1116="",G1116=""),"",E1116-G1116)</f>
        <v/>
      </c>
    </row>
    <row r="1117">
      <c r="A1117" s="10">
        <f>IF(INDEX(lst_Jobs,1104)="","",INDEX(lst_Jobs,1104)&amp;"")</f>
        <v/>
      </c>
      <c r="B1117" s="10">
        <f>IF(A1117="","",INDEX(lst_JobName,1104)&amp;"")</f>
        <v/>
      </c>
      <c r="C1117" s="11">
        <f>IF(A1117="","",SUMIFS(tbl_WIP[Amount],tbl_WIP[Job Number],A1117,tbl_WIP[Month],"&lt;"&amp;$C$4))</f>
        <v/>
      </c>
      <c r="D1117" s="11">
        <f>IF(A1117="","",SUMIFS(tbl_WIP[Amount],tbl_WIP[Job Number],A1117,tbl_WIP[Month],$C$4))</f>
        <v/>
      </c>
      <c r="E1117" s="11">
        <f>IF(A1117="","",C1117+D1117)</f>
        <v/>
      </c>
      <c r="F1117" s="10">
        <f>IF(A1117="","",IF(AND(ROUND(C1117,2)=0,ROUND(D1117,2)=0),"","yes"))</f>
        <v/>
      </c>
      <c r="G1117" s="39" t="n"/>
      <c r="H1117" s="11">
        <f>IF(OR(A1117="",G1117=""),"",E1117-G1117)</f>
        <v/>
      </c>
    </row>
    <row r="1118">
      <c r="A1118" s="10">
        <f>IF(INDEX(lst_Jobs,1105)="","",INDEX(lst_Jobs,1105)&amp;"")</f>
        <v/>
      </c>
      <c r="B1118" s="10">
        <f>IF(A1118="","",INDEX(lst_JobName,1105)&amp;"")</f>
        <v/>
      </c>
      <c r="C1118" s="11">
        <f>IF(A1118="","",SUMIFS(tbl_WIP[Amount],tbl_WIP[Job Number],A1118,tbl_WIP[Month],"&lt;"&amp;$C$4))</f>
        <v/>
      </c>
      <c r="D1118" s="11">
        <f>IF(A1118="","",SUMIFS(tbl_WIP[Amount],tbl_WIP[Job Number],A1118,tbl_WIP[Month],$C$4))</f>
        <v/>
      </c>
      <c r="E1118" s="11">
        <f>IF(A1118="","",C1118+D1118)</f>
        <v/>
      </c>
      <c r="F1118" s="10">
        <f>IF(A1118="","",IF(AND(ROUND(C1118,2)=0,ROUND(D1118,2)=0),"","yes"))</f>
        <v/>
      </c>
      <c r="G1118" s="39" t="n"/>
      <c r="H1118" s="11">
        <f>IF(OR(A1118="",G1118=""),"",E1118-G1118)</f>
        <v/>
      </c>
    </row>
    <row r="1119">
      <c r="A1119" s="10">
        <f>IF(INDEX(lst_Jobs,1106)="","",INDEX(lst_Jobs,1106)&amp;"")</f>
        <v/>
      </c>
      <c r="B1119" s="10">
        <f>IF(A1119="","",INDEX(lst_JobName,1106)&amp;"")</f>
        <v/>
      </c>
      <c r="C1119" s="11">
        <f>IF(A1119="","",SUMIFS(tbl_WIP[Amount],tbl_WIP[Job Number],A1119,tbl_WIP[Month],"&lt;"&amp;$C$4))</f>
        <v/>
      </c>
      <c r="D1119" s="11">
        <f>IF(A1119="","",SUMIFS(tbl_WIP[Amount],tbl_WIP[Job Number],A1119,tbl_WIP[Month],$C$4))</f>
        <v/>
      </c>
      <c r="E1119" s="11">
        <f>IF(A1119="","",C1119+D1119)</f>
        <v/>
      </c>
      <c r="F1119" s="10">
        <f>IF(A1119="","",IF(AND(ROUND(C1119,2)=0,ROUND(D1119,2)=0),"","yes"))</f>
        <v/>
      </c>
      <c r="G1119" s="39" t="n"/>
      <c r="H1119" s="11">
        <f>IF(OR(A1119="",G1119=""),"",E1119-G1119)</f>
        <v/>
      </c>
    </row>
    <row r="1120">
      <c r="A1120" s="10">
        <f>IF(INDEX(lst_Jobs,1107)="","",INDEX(lst_Jobs,1107)&amp;"")</f>
        <v/>
      </c>
      <c r="B1120" s="10">
        <f>IF(A1120="","",INDEX(lst_JobName,1107)&amp;"")</f>
        <v/>
      </c>
      <c r="C1120" s="11">
        <f>IF(A1120="","",SUMIFS(tbl_WIP[Amount],tbl_WIP[Job Number],A1120,tbl_WIP[Month],"&lt;"&amp;$C$4))</f>
        <v/>
      </c>
      <c r="D1120" s="11">
        <f>IF(A1120="","",SUMIFS(tbl_WIP[Amount],tbl_WIP[Job Number],A1120,tbl_WIP[Month],$C$4))</f>
        <v/>
      </c>
      <c r="E1120" s="11">
        <f>IF(A1120="","",C1120+D1120)</f>
        <v/>
      </c>
      <c r="F1120" s="10">
        <f>IF(A1120="","",IF(AND(ROUND(C1120,2)=0,ROUND(D1120,2)=0),"","yes"))</f>
        <v/>
      </c>
      <c r="G1120" s="39" t="n"/>
      <c r="H1120" s="11">
        <f>IF(OR(A1120="",G1120=""),"",E1120-G1120)</f>
        <v/>
      </c>
    </row>
    <row r="1121">
      <c r="A1121" s="10">
        <f>IF(INDEX(lst_Jobs,1108)="","",INDEX(lst_Jobs,1108)&amp;"")</f>
        <v/>
      </c>
      <c r="B1121" s="10">
        <f>IF(A1121="","",INDEX(lst_JobName,1108)&amp;"")</f>
        <v/>
      </c>
      <c r="C1121" s="11">
        <f>IF(A1121="","",SUMIFS(tbl_WIP[Amount],tbl_WIP[Job Number],A1121,tbl_WIP[Month],"&lt;"&amp;$C$4))</f>
        <v/>
      </c>
      <c r="D1121" s="11">
        <f>IF(A1121="","",SUMIFS(tbl_WIP[Amount],tbl_WIP[Job Number],A1121,tbl_WIP[Month],$C$4))</f>
        <v/>
      </c>
      <c r="E1121" s="11">
        <f>IF(A1121="","",C1121+D1121)</f>
        <v/>
      </c>
      <c r="F1121" s="10">
        <f>IF(A1121="","",IF(AND(ROUND(C1121,2)=0,ROUND(D1121,2)=0),"","yes"))</f>
        <v/>
      </c>
      <c r="G1121" s="39" t="n"/>
      <c r="H1121" s="11">
        <f>IF(OR(A1121="",G1121=""),"",E1121-G1121)</f>
        <v/>
      </c>
    </row>
    <row r="1122">
      <c r="A1122" s="10">
        <f>IF(INDEX(lst_Jobs,1109)="","",INDEX(lst_Jobs,1109)&amp;"")</f>
        <v/>
      </c>
      <c r="B1122" s="10">
        <f>IF(A1122="","",INDEX(lst_JobName,1109)&amp;"")</f>
        <v/>
      </c>
      <c r="C1122" s="11">
        <f>IF(A1122="","",SUMIFS(tbl_WIP[Amount],tbl_WIP[Job Number],A1122,tbl_WIP[Month],"&lt;"&amp;$C$4))</f>
        <v/>
      </c>
      <c r="D1122" s="11">
        <f>IF(A1122="","",SUMIFS(tbl_WIP[Amount],tbl_WIP[Job Number],A1122,tbl_WIP[Month],$C$4))</f>
        <v/>
      </c>
      <c r="E1122" s="11">
        <f>IF(A1122="","",C1122+D1122)</f>
        <v/>
      </c>
      <c r="F1122" s="10">
        <f>IF(A1122="","",IF(AND(ROUND(C1122,2)=0,ROUND(D1122,2)=0),"","yes"))</f>
        <v/>
      </c>
      <c r="G1122" s="39" t="n"/>
      <c r="H1122" s="11">
        <f>IF(OR(A1122="",G1122=""),"",E1122-G1122)</f>
        <v/>
      </c>
    </row>
    <row r="1123">
      <c r="A1123" s="10">
        <f>IF(INDEX(lst_Jobs,1110)="","",INDEX(lst_Jobs,1110)&amp;"")</f>
        <v/>
      </c>
      <c r="B1123" s="10">
        <f>IF(A1123="","",INDEX(lst_JobName,1110)&amp;"")</f>
        <v/>
      </c>
      <c r="C1123" s="11">
        <f>IF(A1123="","",SUMIFS(tbl_WIP[Amount],tbl_WIP[Job Number],A1123,tbl_WIP[Month],"&lt;"&amp;$C$4))</f>
        <v/>
      </c>
      <c r="D1123" s="11">
        <f>IF(A1123="","",SUMIFS(tbl_WIP[Amount],tbl_WIP[Job Number],A1123,tbl_WIP[Month],$C$4))</f>
        <v/>
      </c>
      <c r="E1123" s="11">
        <f>IF(A1123="","",C1123+D1123)</f>
        <v/>
      </c>
      <c r="F1123" s="10">
        <f>IF(A1123="","",IF(AND(ROUND(C1123,2)=0,ROUND(D1123,2)=0),"","yes"))</f>
        <v/>
      </c>
      <c r="G1123" s="39" t="n"/>
      <c r="H1123" s="11">
        <f>IF(OR(A1123="",G1123=""),"",E1123-G1123)</f>
        <v/>
      </c>
    </row>
    <row r="1124">
      <c r="A1124" s="10">
        <f>IF(INDEX(lst_Jobs,1111)="","",INDEX(lst_Jobs,1111)&amp;"")</f>
        <v/>
      </c>
      <c r="B1124" s="10">
        <f>IF(A1124="","",INDEX(lst_JobName,1111)&amp;"")</f>
        <v/>
      </c>
      <c r="C1124" s="11">
        <f>IF(A1124="","",SUMIFS(tbl_WIP[Amount],tbl_WIP[Job Number],A1124,tbl_WIP[Month],"&lt;"&amp;$C$4))</f>
        <v/>
      </c>
      <c r="D1124" s="11">
        <f>IF(A1124="","",SUMIFS(tbl_WIP[Amount],tbl_WIP[Job Number],A1124,tbl_WIP[Month],$C$4))</f>
        <v/>
      </c>
      <c r="E1124" s="11">
        <f>IF(A1124="","",C1124+D1124)</f>
        <v/>
      </c>
      <c r="F1124" s="10">
        <f>IF(A1124="","",IF(AND(ROUND(C1124,2)=0,ROUND(D1124,2)=0),"","yes"))</f>
        <v/>
      </c>
      <c r="G1124" s="39" t="n"/>
      <c r="H1124" s="11">
        <f>IF(OR(A1124="",G1124=""),"",E1124-G1124)</f>
        <v/>
      </c>
    </row>
    <row r="1125">
      <c r="A1125" s="10">
        <f>IF(INDEX(lst_Jobs,1112)="","",INDEX(lst_Jobs,1112)&amp;"")</f>
        <v/>
      </c>
      <c r="B1125" s="10">
        <f>IF(A1125="","",INDEX(lst_JobName,1112)&amp;"")</f>
        <v/>
      </c>
      <c r="C1125" s="11">
        <f>IF(A1125="","",SUMIFS(tbl_WIP[Amount],tbl_WIP[Job Number],A1125,tbl_WIP[Month],"&lt;"&amp;$C$4))</f>
        <v/>
      </c>
      <c r="D1125" s="11">
        <f>IF(A1125="","",SUMIFS(tbl_WIP[Amount],tbl_WIP[Job Number],A1125,tbl_WIP[Month],$C$4))</f>
        <v/>
      </c>
      <c r="E1125" s="11">
        <f>IF(A1125="","",C1125+D1125)</f>
        <v/>
      </c>
      <c r="F1125" s="10">
        <f>IF(A1125="","",IF(AND(ROUND(C1125,2)=0,ROUND(D1125,2)=0),"","yes"))</f>
        <v/>
      </c>
      <c r="G1125" s="39" t="n"/>
      <c r="H1125" s="11">
        <f>IF(OR(A1125="",G1125=""),"",E1125-G1125)</f>
        <v/>
      </c>
    </row>
    <row r="1126">
      <c r="A1126" s="10">
        <f>IF(INDEX(lst_Jobs,1113)="","",INDEX(lst_Jobs,1113)&amp;"")</f>
        <v/>
      </c>
      <c r="B1126" s="10">
        <f>IF(A1126="","",INDEX(lst_JobName,1113)&amp;"")</f>
        <v/>
      </c>
      <c r="C1126" s="11">
        <f>IF(A1126="","",SUMIFS(tbl_WIP[Amount],tbl_WIP[Job Number],A1126,tbl_WIP[Month],"&lt;"&amp;$C$4))</f>
        <v/>
      </c>
      <c r="D1126" s="11">
        <f>IF(A1126="","",SUMIFS(tbl_WIP[Amount],tbl_WIP[Job Number],A1126,tbl_WIP[Month],$C$4))</f>
        <v/>
      </c>
      <c r="E1126" s="11">
        <f>IF(A1126="","",C1126+D1126)</f>
        <v/>
      </c>
      <c r="F1126" s="10">
        <f>IF(A1126="","",IF(AND(ROUND(C1126,2)=0,ROUND(D1126,2)=0),"","yes"))</f>
        <v/>
      </c>
      <c r="G1126" s="39" t="n"/>
      <c r="H1126" s="11">
        <f>IF(OR(A1126="",G1126=""),"",E1126-G1126)</f>
        <v/>
      </c>
    </row>
    <row r="1127">
      <c r="A1127" s="10">
        <f>IF(INDEX(lst_Jobs,1114)="","",INDEX(lst_Jobs,1114)&amp;"")</f>
        <v/>
      </c>
      <c r="B1127" s="10">
        <f>IF(A1127="","",INDEX(lst_JobName,1114)&amp;"")</f>
        <v/>
      </c>
      <c r="C1127" s="11">
        <f>IF(A1127="","",SUMIFS(tbl_WIP[Amount],tbl_WIP[Job Number],A1127,tbl_WIP[Month],"&lt;"&amp;$C$4))</f>
        <v/>
      </c>
      <c r="D1127" s="11">
        <f>IF(A1127="","",SUMIFS(tbl_WIP[Amount],tbl_WIP[Job Number],A1127,tbl_WIP[Month],$C$4))</f>
        <v/>
      </c>
      <c r="E1127" s="11">
        <f>IF(A1127="","",C1127+D1127)</f>
        <v/>
      </c>
      <c r="F1127" s="10">
        <f>IF(A1127="","",IF(AND(ROUND(C1127,2)=0,ROUND(D1127,2)=0),"","yes"))</f>
        <v/>
      </c>
      <c r="G1127" s="39" t="n"/>
      <c r="H1127" s="11">
        <f>IF(OR(A1127="",G1127=""),"",E1127-G1127)</f>
        <v/>
      </c>
    </row>
    <row r="1128">
      <c r="A1128" s="10">
        <f>IF(INDEX(lst_Jobs,1115)="","",INDEX(lst_Jobs,1115)&amp;"")</f>
        <v/>
      </c>
      <c r="B1128" s="10">
        <f>IF(A1128="","",INDEX(lst_JobName,1115)&amp;"")</f>
        <v/>
      </c>
      <c r="C1128" s="11">
        <f>IF(A1128="","",SUMIFS(tbl_WIP[Amount],tbl_WIP[Job Number],A1128,tbl_WIP[Month],"&lt;"&amp;$C$4))</f>
        <v/>
      </c>
      <c r="D1128" s="11">
        <f>IF(A1128="","",SUMIFS(tbl_WIP[Amount],tbl_WIP[Job Number],A1128,tbl_WIP[Month],$C$4))</f>
        <v/>
      </c>
      <c r="E1128" s="11">
        <f>IF(A1128="","",C1128+D1128)</f>
        <v/>
      </c>
      <c r="F1128" s="10">
        <f>IF(A1128="","",IF(AND(ROUND(C1128,2)=0,ROUND(D1128,2)=0),"","yes"))</f>
        <v/>
      </c>
      <c r="G1128" s="39" t="n"/>
      <c r="H1128" s="11">
        <f>IF(OR(A1128="",G1128=""),"",E1128-G1128)</f>
        <v/>
      </c>
    </row>
    <row r="1129">
      <c r="A1129" s="10">
        <f>IF(INDEX(lst_Jobs,1116)="","",INDEX(lst_Jobs,1116)&amp;"")</f>
        <v/>
      </c>
      <c r="B1129" s="10">
        <f>IF(A1129="","",INDEX(lst_JobName,1116)&amp;"")</f>
        <v/>
      </c>
      <c r="C1129" s="11">
        <f>IF(A1129="","",SUMIFS(tbl_WIP[Amount],tbl_WIP[Job Number],A1129,tbl_WIP[Month],"&lt;"&amp;$C$4))</f>
        <v/>
      </c>
      <c r="D1129" s="11">
        <f>IF(A1129="","",SUMIFS(tbl_WIP[Amount],tbl_WIP[Job Number],A1129,tbl_WIP[Month],$C$4))</f>
        <v/>
      </c>
      <c r="E1129" s="11">
        <f>IF(A1129="","",C1129+D1129)</f>
        <v/>
      </c>
      <c r="F1129" s="10">
        <f>IF(A1129="","",IF(AND(ROUND(C1129,2)=0,ROUND(D1129,2)=0),"","yes"))</f>
        <v/>
      </c>
      <c r="G1129" s="39" t="n"/>
      <c r="H1129" s="11">
        <f>IF(OR(A1129="",G1129=""),"",E1129-G1129)</f>
        <v/>
      </c>
    </row>
    <row r="1130">
      <c r="A1130" s="10">
        <f>IF(INDEX(lst_Jobs,1117)="","",INDEX(lst_Jobs,1117)&amp;"")</f>
        <v/>
      </c>
      <c r="B1130" s="10">
        <f>IF(A1130="","",INDEX(lst_JobName,1117)&amp;"")</f>
        <v/>
      </c>
      <c r="C1130" s="11">
        <f>IF(A1130="","",SUMIFS(tbl_WIP[Amount],tbl_WIP[Job Number],A1130,tbl_WIP[Month],"&lt;"&amp;$C$4))</f>
        <v/>
      </c>
      <c r="D1130" s="11">
        <f>IF(A1130="","",SUMIFS(tbl_WIP[Amount],tbl_WIP[Job Number],A1130,tbl_WIP[Month],$C$4))</f>
        <v/>
      </c>
      <c r="E1130" s="11">
        <f>IF(A1130="","",C1130+D1130)</f>
        <v/>
      </c>
      <c r="F1130" s="10">
        <f>IF(A1130="","",IF(AND(ROUND(C1130,2)=0,ROUND(D1130,2)=0),"","yes"))</f>
        <v/>
      </c>
      <c r="G1130" s="39" t="n"/>
      <c r="H1130" s="11">
        <f>IF(OR(A1130="",G1130=""),"",E1130-G1130)</f>
        <v/>
      </c>
    </row>
    <row r="1131">
      <c r="A1131" s="10">
        <f>IF(INDEX(lst_Jobs,1118)="","",INDEX(lst_Jobs,1118)&amp;"")</f>
        <v/>
      </c>
      <c r="B1131" s="10">
        <f>IF(A1131="","",INDEX(lst_JobName,1118)&amp;"")</f>
        <v/>
      </c>
      <c r="C1131" s="11">
        <f>IF(A1131="","",SUMIFS(tbl_WIP[Amount],tbl_WIP[Job Number],A1131,tbl_WIP[Month],"&lt;"&amp;$C$4))</f>
        <v/>
      </c>
      <c r="D1131" s="11">
        <f>IF(A1131="","",SUMIFS(tbl_WIP[Amount],tbl_WIP[Job Number],A1131,tbl_WIP[Month],$C$4))</f>
        <v/>
      </c>
      <c r="E1131" s="11">
        <f>IF(A1131="","",C1131+D1131)</f>
        <v/>
      </c>
      <c r="F1131" s="10">
        <f>IF(A1131="","",IF(AND(ROUND(C1131,2)=0,ROUND(D1131,2)=0),"","yes"))</f>
        <v/>
      </c>
      <c r="G1131" s="39" t="n"/>
      <c r="H1131" s="11">
        <f>IF(OR(A1131="",G1131=""),"",E1131-G1131)</f>
        <v/>
      </c>
    </row>
    <row r="1132">
      <c r="A1132" s="10">
        <f>IF(INDEX(lst_Jobs,1119)="","",INDEX(lst_Jobs,1119)&amp;"")</f>
        <v/>
      </c>
      <c r="B1132" s="10">
        <f>IF(A1132="","",INDEX(lst_JobName,1119)&amp;"")</f>
        <v/>
      </c>
      <c r="C1132" s="11">
        <f>IF(A1132="","",SUMIFS(tbl_WIP[Amount],tbl_WIP[Job Number],A1132,tbl_WIP[Month],"&lt;"&amp;$C$4))</f>
        <v/>
      </c>
      <c r="D1132" s="11">
        <f>IF(A1132="","",SUMIFS(tbl_WIP[Amount],tbl_WIP[Job Number],A1132,tbl_WIP[Month],$C$4))</f>
        <v/>
      </c>
      <c r="E1132" s="11">
        <f>IF(A1132="","",C1132+D1132)</f>
        <v/>
      </c>
      <c r="F1132" s="10">
        <f>IF(A1132="","",IF(AND(ROUND(C1132,2)=0,ROUND(D1132,2)=0),"","yes"))</f>
        <v/>
      </c>
      <c r="G1132" s="39" t="n"/>
      <c r="H1132" s="11">
        <f>IF(OR(A1132="",G1132=""),"",E1132-G1132)</f>
        <v/>
      </c>
    </row>
    <row r="1133">
      <c r="A1133" s="10">
        <f>IF(INDEX(lst_Jobs,1120)="","",INDEX(lst_Jobs,1120)&amp;"")</f>
        <v/>
      </c>
      <c r="B1133" s="10">
        <f>IF(A1133="","",INDEX(lst_JobName,1120)&amp;"")</f>
        <v/>
      </c>
      <c r="C1133" s="11">
        <f>IF(A1133="","",SUMIFS(tbl_WIP[Amount],tbl_WIP[Job Number],A1133,tbl_WIP[Month],"&lt;"&amp;$C$4))</f>
        <v/>
      </c>
      <c r="D1133" s="11">
        <f>IF(A1133="","",SUMIFS(tbl_WIP[Amount],tbl_WIP[Job Number],A1133,tbl_WIP[Month],$C$4))</f>
        <v/>
      </c>
      <c r="E1133" s="11">
        <f>IF(A1133="","",C1133+D1133)</f>
        <v/>
      </c>
      <c r="F1133" s="10">
        <f>IF(A1133="","",IF(AND(ROUND(C1133,2)=0,ROUND(D1133,2)=0),"","yes"))</f>
        <v/>
      </c>
      <c r="G1133" s="39" t="n"/>
      <c r="H1133" s="11">
        <f>IF(OR(A1133="",G1133=""),"",E1133-G1133)</f>
        <v/>
      </c>
    </row>
    <row r="1134">
      <c r="A1134" s="10">
        <f>IF(INDEX(lst_Jobs,1121)="","",INDEX(lst_Jobs,1121)&amp;"")</f>
        <v/>
      </c>
      <c r="B1134" s="10">
        <f>IF(A1134="","",INDEX(lst_JobName,1121)&amp;"")</f>
        <v/>
      </c>
      <c r="C1134" s="11">
        <f>IF(A1134="","",SUMIFS(tbl_WIP[Amount],tbl_WIP[Job Number],A1134,tbl_WIP[Month],"&lt;"&amp;$C$4))</f>
        <v/>
      </c>
      <c r="D1134" s="11">
        <f>IF(A1134="","",SUMIFS(tbl_WIP[Amount],tbl_WIP[Job Number],A1134,tbl_WIP[Month],$C$4))</f>
        <v/>
      </c>
      <c r="E1134" s="11">
        <f>IF(A1134="","",C1134+D1134)</f>
        <v/>
      </c>
      <c r="F1134" s="10">
        <f>IF(A1134="","",IF(AND(ROUND(C1134,2)=0,ROUND(D1134,2)=0),"","yes"))</f>
        <v/>
      </c>
      <c r="G1134" s="39" t="n"/>
      <c r="H1134" s="11">
        <f>IF(OR(A1134="",G1134=""),"",E1134-G1134)</f>
        <v/>
      </c>
    </row>
    <row r="1135">
      <c r="A1135" s="10">
        <f>IF(INDEX(lst_Jobs,1122)="","",INDEX(lst_Jobs,1122)&amp;"")</f>
        <v/>
      </c>
      <c r="B1135" s="10">
        <f>IF(A1135="","",INDEX(lst_JobName,1122)&amp;"")</f>
        <v/>
      </c>
      <c r="C1135" s="11">
        <f>IF(A1135="","",SUMIFS(tbl_WIP[Amount],tbl_WIP[Job Number],A1135,tbl_WIP[Month],"&lt;"&amp;$C$4))</f>
        <v/>
      </c>
      <c r="D1135" s="11">
        <f>IF(A1135="","",SUMIFS(tbl_WIP[Amount],tbl_WIP[Job Number],A1135,tbl_WIP[Month],$C$4))</f>
        <v/>
      </c>
      <c r="E1135" s="11">
        <f>IF(A1135="","",C1135+D1135)</f>
        <v/>
      </c>
      <c r="F1135" s="10">
        <f>IF(A1135="","",IF(AND(ROUND(C1135,2)=0,ROUND(D1135,2)=0),"","yes"))</f>
        <v/>
      </c>
      <c r="G1135" s="39" t="n"/>
      <c r="H1135" s="11">
        <f>IF(OR(A1135="",G1135=""),"",E1135-G1135)</f>
        <v/>
      </c>
    </row>
    <row r="1136">
      <c r="A1136" s="10">
        <f>IF(INDEX(lst_Jobs,1123)="","",INDEX(lst_Jobs,1123)&amp;"")</f>
        <v/>
      </c>
      <c r="B1136" s="10">
        <f>IF(A1136="","",INDEX(lst_JobName,1123)&amp;"")</f>
        <v/>
      </c>
      <c r="C1136" s="11">
        <f>IF(A1136="","",SUMIFS(tbl_WIP[Amount],tbl_WIP[Job Number],A1136,tbl_WIP[Month],"&lt;"&amp;$C$4))</f>
        <v/>
      </c>
      <c r="D1136" s="11">
        <f>IF(A1136="","",SUMIFS(tbl_WIP[Amount],tbl_WIP[Job Number],A1136,tbl_WIP[Month],$C$4))</f>
        <v/>
      </c>
      <c r="E1136" s="11">
        <f>IF(A1136="","",C1136+D1136)</f>
        <v/>
      </c>
      <c r="F1136" s="10">
        <f>IF(A1136="","",IF(AND(ROUND(C1136,2)=0,ROUND(D1136,2)=0),"","yes"))</f>
        <v/>
      </c>
      <c r="G1136" s="39" t="n"/>
      <c r="H1136" s="11">
        <f>IF(OR(A1136="",G1136=""),"",E1136-G1136)</f>
        <v/>
      </c>
    </row>
    <row r="1137">
      <c r="A1137" s="10">
        <f>IF(INDEX(lst_Jobs,1124)="","",INDEX(lst_Jobs,1124)&amp;"")</f>
        <v/>
      </c>
      <c r="B1137" s="10">
        <f>IF(A1137="","",INDEX(lst_JobName,1124)&amp;"")</f>
        <v/>
      </c>
      <c r="C1137" s="11">
        <f>IF(A1137="","",SUMIFS(tbl_WIP[Amount],tbl_WIP[Job Number],A1137,tbl_WIP[Month],"&lt;"&amp;$C$4))</f>
        <v/>
      </c>
      <c r="D1137" s="11">
        <f>IF(A1137="","",SUMIFS(tbl_WIP[Amount],tbl_WIP[Job Number],A1137,tbl_WIP[Month],$C$4))</f>
        <v/>
      </c>
      <c r="E1137" s="11">
        <f>IF(A1137="","",C1137+D1137)</f>
        <v/>
      </c>
      <c r="F1137" s="10">
        <f>IF(A1137="","",IF(AND(ROUND(C1137,2)=0,ROUND(D1137,2)=0),"","yes"))</f>
        <v/>
      </c>
      <c r="G1137" s="39" t="n"/>
      <c r="H1137" s="11">
        <f>IF(OR(A1137="",G1137=""),"",E1137-G1137)</f>
        <v/>
      </c>
    </row>
    <row r="1138">
      <c r="A1138" s="10">
        <f>IF(INDEX(lst_Jobs,1125)="","",INDEX(lst_Jobs,1125)&amp;"")</f>
        <v/>
      </c>
      <c r="B1138" s="10">
        <f>IF(A1138="","",INDEX(lst_JobName,1125)&amp;"")</f>
        <v/>
      </c>
      <c r="C1138" s="11">
        <f>IF(A1138="","",SUMIFS(tbl_WIP[Amount],tbl_WIP[Job Number],A1138,tbl_WIP[Month],"&lt;"&amp;$C$4))</f>
        <v/>
      </c>
      <c r="D1138" s="11">
        <f>IF(A1138="","",SUMIFS(tbl_WIP[Amount],tbl_WIP[Job Number],A1138,tbl_WIP[Month],$C$4))</f>
        <v/>
      </c>
      <c r="E1138" s="11">
        <f>IF(A1138="","",C1138+D1138)</f>
        <v/>
      </c>
      <c r="F1138" s="10">
        <f>IF(A1138="","",IF(AND(ROUND(C1138,2)=0,ROUND(D1138,2)=0),"","yes"))</f>
        <v/>
      </c>
      <c r="G1138" s="39" t="n"/>
      <c r="H1138" s="11">
        <f>IF(OR(A1138="",G1138=""),"",E1138-G1138)</f>
        <v/>
      </c>
    </row>
    <row r="1139">
      <c r="A1139" s="10">
        <f>IF(INDEX(lst_Jobs,1126)="","",INDEX(lst_Jobs,1126)&amp;"")</f>
        <v/>
      </c>
      <c r="B1139" s="10">
        <f>IF(A1139="","",INDEX(lst_JobName,1126)&amp;"")</f>
        <v/>
      </c>
      <c r="C1139" s="11">
        <f>IF(A1139="","",SUMIFS(tbl_WIP[Amount],tbl_WIP[Job Number],A1139,tbl_WIP[Month],"&lt;"&amp;$C$4))</f>
        <v/>
      </c>
      <c r="D1139" s="11">
        <f>IF(A1139="","",SUMIFS(tbl_WIP[Amount],tbl_WIP[Job Number],A1139,tbl_WIP[Month],$C$4))</f>
        <v/>
      </c>
      <c r="E1139" s="11">
        <f>IF(A1139="","",C1139+D1139)</f>
        <v/>
      </c>
      <c r="F1139" s="10">
        <f>IF(A1139="","",IF(AND(ROUND(C1139,2)=0,ROUND(D1139,2)=0),"","yes"))</f>
        <v/>
      </c>
      <c r="G1139" s="39" t="n"/>
      <c r="H1139" s="11">
        <f>IF(OR(A1139="",G1139=""),"",E1139-G1139)</f>
        <v/>
      </c>
    </row>
    <row r="1140">
      <c r="A1140" s="10">
        <f>IF(INDEX(lst_Jobs,1127)="","",INDEX(lst_Jobs,1127)&amp;"")</f>
        <v/>
      </c>
      <c r="B1140" s="10">
        <f>IF(A1140="","",INDEX(lst_JobName,1127)&amp;"")</f>
        <v/>
      </c>
      <c r="C1140" s="11">
        <f>IF(A1140="","",SUMIFS(tbl_WIP[Amount],tbl_WIP[Job Number],A1140,tbl_WIP[Month],"&lt;"&amp;$C$4))</f>
        <v/>
      </c>
      <c r="D1140" s="11">
        <f>IF(A1140="","",SUMIFS(tbl_WIP[Amount],tbl_WIP[Job Number],A1140,tbl_WIP[Month],$C$4))</f>
        <v/>
      </c>
      <c r="E1140" s="11">
        <f>IF(A1140="","",C1140+D1140)</f>
        <v/>
      </c>
      <c r="F1140" s="10">
        <f>IF(A1140="","",IF(AND(ROUND(C1140,2)=0,ROUND(D1140,2)=0),"","yes"))</f>
        <v/>
      </c>
      <c r="G1140" s="39" t="n"/>
      <c r="H1140" s="11">
        <f>IF(OR(A1140="",G1140=""),"",E1140-G1140)</f>
        <v/>
      </c>
    </row>
    <row r="1141">
      <c r="A1141" s="10">
        <f>IF(INDEX(lst_Jobs,1128)="","",INDEX(lst_Jobs,1128)&amp;"")</f>
        <v/>
      </c>
      <c r="B1141" s="10">
        <f>IF(A1141="","",INDEX(lst_JobName,1128)&amp;"")</f>
        <v/>
      </c>
      <c r="C1141" s="11">
        <f>IF(A1141="","",SUMIFS(tbl_WIP[Amount],tbl_WIP[Job Number],A1141,tbl_WIP[Month],"&lt;"&amp;$C$4))</f>
        <v/>
      </c>
      <c r="D1141" s="11">
        <f>IF(A1141="","",SUMIFS(tbl_WIP[Amount],tbl_WIP[Job Number],A1141,tbl_WIP[Month],$C$4))</f>
        <v/>
      </c>
      <c r="E1141" s="11">
        <f>IF(A1141="","",C1141+D1141)</f>
        <v/>
      </c>
      <c r="F1141" s="10">
        <f>IF(A1141="","",IF(AND(ROUND(C1141,2)=0,ROUND(D1141,2)=0),"","yes"))</f>
        <v/>
      </c>
      <c r="G1141" s="39" t="n"/>
      <c r="H1141" s="11">
        <f>IF(OR(A1141="",G1141=""),"",E1141-G1141)</f>
        <v/>
      </c>
    </row>
    <row r="1142">
      <c r="A1142" s="10">
        <f>IF(INDEX(lst_Jobs,1129)="","",INDEX(lst_Jobs,1129)&amp;"")</f>
        <v/>
      </c>
      <c r="B1142" s="10">
        <f>IF(A1142="","",INDEX(lst_JobName,1129)&amp;"")</f>
        <v/>
      </c>
      <c r="C1142" s="11">
        <f>IF(A1142="","",SUMIFS(tbl_WIP[Amount],tbl_WIP[Job Number],A1142,tbl_WIP[Month],"&lt;"&amp;$C$4))</f>
        <v/>
      </c>
      <c r="D1142" s="11">
        <f>IF(A1142="","",SUMIFS(tbl_WIP[Amount],tbl_WIP[Job Number],A1142,tbl_WIP[Month],$C$4))</f>
        <v/>
      </c>
      <c r="E1142" s="11">
        <f>IF(A1142="","",C1142+D1142)</f>
        <v/>
      </c>
      <c r="F1142" s="10">
        <f>IF(A1142="","",IF(AND(ROUND(C1142,2)=0,ROUND(D1142,2)=0),"","yes"))</f>
        <v/>
      </c>
      <c r="G1142" s="39" t="n"/>
      <c r="H1142" s="11">
        <f>IF(OR(A1142="",G1142=""),"",E1142-G1142)</f>
        <v/>
      </c>
    </row>
    <row r="1143">
      <c r="A1143" s="10">
        <f>IF(INDEX(lst_Jobs,1130)="","",INDEX(lst_Jobs,1130)&amp;"")</f>
        <v/>
      </c>
      <c r="B1143" s="10">
        <f>IF(A1143="","",INDEX(lst_JobName,1130)&amp;"")</f>
        <v/>
      </c>
      <c r="C1143" s="11">
        <f>IF(A1143="","",SUMIFS(tbl_WIP[Amount],tbl_WIP[Job Number],A1143,tbl_WIP[Month],"&lt;"&amp;$C$4))</f>
        <v/>
      </c>
      <c r="D1143" s="11">
        <f>IF(A1143="","",SUMIFS(tbl_WIP[Amount],tbl_WIP[Job Number],A1143,tbl_WIP[Month],$C$4))</f>
        <v/>
      </c>
      <c r="E1143" s="11">
        <f>IF(A1143="","",C1143+D1143)</f>
        <v/>
      </c>
      <c r="F1143" s="10">
        <f>IF(A1143="","",IF(AND(ROUND(C1143,2)=0,ROUND(D1143,2)=0),"","yes"))</f>
        <v/>
      </c>
      <c r="G1143" s="39" t="n"/>
      <c r="H1143" s="11">
        <f>IF(OR(A1143="",G1143=""),"",E1143-G1143)</f>
        <v/>
      </c>
    </row>
    <row r="1144">
      <c r="A1144" s="10">
        <f>IF(INDEX(lst_Jobs,1131)="","",INDEX(lst_Jobs,1131)&amp;"")</f>
        <v/>
      </c>
      <c r="B1144" s="10">
        <f>IF(A1144="","",INDEX(lst_JobName,1131)&amp;"")</f>
        <v/>
      </c>
      <c r="C1144" s="11">
        <f>IF(A1144="","",SUMIFS(tbl_WIP[Amount],tbl_WIP[Job Number],A1144,tbl_WIP[Month],"&lt;"&amp;$C$4))</f>
        <v/>
      </c>
      <c r="D1144" s="11">
        <f>IF(A1144="","",SUMIFS(tbl_WIP[Amount],tbl_WIP[Job Number],A1144,tbl_WIP[Month],$C$4))</f>
        <v/>
      </c>
      <c r="E1144" s="11">
        <f>IF(A1144="","",C1144+D1144)</f>
        <v/>
      </c>
      <c r="F1144" s="10">
        <f>IF(A1144="","",IF(AND(ROUND(C1144,2)=0,ROUND(D1144,2)=0),"","yes"))</f>
        <v/>
      </c>
      <c r="G1144" s="39" t="n"/>
      <c r="H1144" s="11">
        <f>IF(OR(A1144="",G1144=""),"",E1144-G1144)</f>
        <v/>
      </c>
    </row>
    <row r="1145">
      <c r="A1145" s="10">
        <f>IF(INDEX(lst_Jobs,1132)="","",INDEX(lst_Jobs,1132)&amp;"")</f>
        <v/>
      </c>
      <c r="B1145" s="10">
        <f>IF(A1145="","",INDEX(lst_JobName,1132)&amp;"")</f>
        <v/>
      </c>
      <c r="C1145" s="11">
        <f>IF(A1145="","",SUMIFS(tbl_WIP[Amount],tbl_WIP[Job Number],A1145,tbl_WIP[Month],"&lt;"&amp;$C$4))</f>
        <v/>
      </c>
      <c r="D1145" s="11">
        <f>IF(A1145="","",SUMIFS(tbl_WIP[Amount],tbl_WIP[Job Number],A1145,tbl_WIP[Month],$C$4))</f>
        <v/>
      </c>
      <c r="E1145" s="11">
        <f>IF(A1145="","",C1145+D1145)</f>
        <v/>
      </c>
      <c r="F1145" s="10">
        <f>IF(A1145="","",IF(AND(ROUND(C1145,2)=0,ROUND(D1145,2)=0),"","yes"))</f>
        <v/>
      </c>
      <c r="G1145" s="39" t="n"/>
      <c r="H1145" s="11">
        <f>IF(OR(A1145="",G1145=""),"",E1145-G1145)</f>
        <v/>
      </c>
    </row>
    <row r="1146">
      <c r="A1146" s="10">
        <f>IF(INDEX(lst_Jobs,1133)="","",INDEX(lst_Jobs,1133)&amp;"")</f>
        <v/>
      </c>
      <c r="B1146" s="10">
        <f>IF(A1146="","",INDEX(lst_JobName,1133)&amp;"")</f>
        <v/>
      </c>
      <c r="C1146" s="11">
        <f>IF(A1146="","",SUMIFS(tbl_WIP[Amount],tbl_WIP[Job Number],A1146,tbl_WIP[Month],"&lt;"&amp;$C$4))</f>
        <v/>
      </c>
      <c r="D1146" s="11">
        <f>IF(A1146="","",SUMIFS(tbl_WIP[Amount],tbl_WIP[Job Number],A1146,tbl_WIP[Month],$C$4))</f>
        <v/>
      </c>
      <c r="E1146" s="11">
        <f>IF(A1146="","",C1146+D1146)</f>
        <v/>
      </c>
      <c r="F1146" s="10">
        <f>IF(A1146="","",IF(AND(ROUND(C1146,2)=0,ROUND(D1146,2)=0),"","yes"))</f>
        <v/>
      </c>
      <c r="G1146" s="39" t="n"/>
      <c r="H1146" s="11">
        <f>IF(OR(A1146="",G1146=""),"",E1146-G1146)</f>
        <v/>
      </c>
    </row>
    <row r="1147">
      <c r="A1147" s="10">
        <f>IF(INDEX(lst_Jobs,1134)="","",INDEX(lst_Jobs,1134)&amp;"")</f>
        <v/>
      </c>
      <c r="B1147" s="10">
        <f>IF(A1147="","",INDEX(lst_JobName,1134)&amp;"")</f>
        <v/>
      </c>
      <c r="C1147" s="11">
        <f>IF(A1147="","",SUMIFS(tbl_WIP[Amount],tbl_WIP[Job Number],A1147,tbl_WIP[Month],"&lt;"&amp;$C$4))</f>
        <v/>
      </c>
      <c r="D1147" s="11">
        <f>IF(A1147="","",SUMIFS(tbl_WIP[Amount],tbl_WIP[Job Number],A1147,tbl_WIP[Month],$C$4))</f>
        <v/>
      </c>
      <c r="E1147" s="11">
        <f>IF(A1147="","",C1147+D1147)</f>
        <v/>
      </c>
      <c r="F1147" s="10">
        <f>IF(A1147="","",IF(AND(ROUND(C1147,2)=0,ROUND(D1147,2)=0),"","yes"))</f>
        <v/>
      </c>
      <c r="G1147" s="39" t="n"/>
      <c r="H1147" s="11">
        <f>IF(OR(A1147="",G1147=""),"",E1147-G1147)</f>
        <v/>
      </c>
    </row>
    <row r="1148">
      <c r="A1148" s="10">
        <f>IF(INDEX(lst_Jobs,1135)="","",INDEX(lst_Jobs,1135)&amp;"")</f>
        <v/>
      </c>
      <c r="B1148" s="10">
        <f>IF(A1148="","",INDEX(lst_JobName,1135)&amp;"")</f>
        <v/>
      </c>
      <c r="C1148" s="11">
        <f>IF(A1148="","",SUMIFS(tbl_WIP[Amount],tbl_WIP[Job Number],A1148,tbl_WIP[Month],"&lt;"&amp;$C$4))</f>
        <v/>
      </c>
      <c r="D1148" s="11">
        <f>IF(A1148="","",SUMIFS(tbl_WIP[Amount],tbl_WIP[Job Number],A1148,tbl_WIP[Month],$C$4))</f>
        <v/>
      </c>
      <c r="E1148" s="11">
        <f>IF(A1148="","",C1148+D1148)</f>
        <v/>
      </c>
      <c r="F1148" s="10">
        <f>IF(A1148="","",IF(AND(ROUND(C1148,2)=0,ROUND(D1148,2)=0),"","yes"))</f>
        <v/>
      </c>
      <c r="G1148" s="39" t="n"/>
      <c r="H1148" s="11">
        <f>IF(OR(A1148="",G1148=""),"",E1148-G1148)</f>
        <v/>
      </c>
    </row>
    <row r="1149">
      <c r="A1149" s="10">
        <f>IF(INDEX(lst_Jobs,1136)="","",INDEX(lst_Jobs,1136)&amp;"")</f>
        <v/>
      </c>
      <c r="B1149" s="10">
        <f>IF(A1149="","",INDEX(lst_JobName,1136)&amp;"")</f>
        <v/>
      </c>
      <c r="C1149" s="11">
        <f>IF(A1149="","",SUMIFS(tbl_WIP[Amount],tbl_WIP[Job Number],A1149,tbl_WIP[Month],"&lt;"&amp;$C$4))</f>
        <v/>
      </c>
      <c r="D1149" s="11">
        <f>IF(A1149="","",SUMIFS(tbl_WIP[Amount],tbl_WIP[Job Number],A1149,tbl_WIP[Month],$C$4))</f>
        <v/>
      </c>
      <c r="E1149" s="11">
        <f>IF(A1149="","",C1149+D1149)</f>
        <v/>
      </c>
      <c r="F1149" s="10">
        <f>IF(A1149="","",IF(AND(ROUND(C1149,2)=0,ROUND(D1149,2)=0),"","yes"))</f>
        <v/>
      </c>
      <c r="G1149" s="39" t="n"/>
      <c r="H1149" s="11">
        <f>IF(OR(A1149="",G1149=""),"",E1149-G1149)</f>
        <v/>
      </c>
    </row>
    <row r="1150">
      <c r="A1150" s="10">
        <f>IF(INDEX(lst_Jobs,1137)="","",INDEX(lst_Jobs,1137)&amp;"")</f>
        <v/>
      </c>
      <c r="B1150" s="10">
        <f>IF(A1150="","",INDEX(lst_JobName,1137)&amp;"")</f>
        <v/>
      </c>
      <c r="C1150" s="11">
        <f>IF(A1150="","",SUMIFS(tbl_WIP[Amount],tbl_WIP[Job Number],A1150,tbl_WIP[Month],"&lt;"&amp;$C$4))</f>
        <v/>
      </c>
      <c r="D1150" s="11">
        <f>IF(A1150="","",SUMIFS(tbl_WIP[Amount],tbl_WIP[Job Number],A1150,tbl_WIP[Month],$C$4))</f>
        <v/>
      </c>
      <c r="E1150" s="11">
        <f>IF(A1150="","",C1150+D1150)</f>
        <v/>
      </c>
      <c r="F1150" s="10">
        <f>IF(A1150="","",IF(AND(ROUND(C1150,2)=0,ROUND(D1150,2)=0),"","yes"))</f>
        <v/>
      </c>
      <c r="G1150" s="39" t="n"/>
      <c r="H1150" s="11">
        <f>IF(OR(A1150="",G1150=""),"",E1150-G1150)</f>
        <v/>
      </c>
    </row>
    <row r="1151">
      <c r="A1151" s="10">
        <f>IF(INDEX(lst_Jobs,1138)="","",INDEX(lst_Jobs,1138)&amp;"")</f>
        <v/>
      </c>
      <c r="B1151" s="10">
        <f>IF(A1151="","",INDEX(lst_JobName,1138)&amp;"")</f>
        <v/>
      </c>
      <c r="C1151" s="11">
        <f>IF(A1151="","",SUMIFS(tbl_WIP[Amount],tbl_WIP[Job Number],A1151,tbl_WIP[Month],"&lt;"&amp;$C$4))</f>
        <v/>
      </c>
      <c r="D1151" s="11">
        <f>IF(A1151="","",SUMIFS(tbl_WIP[Amount],tbl_WIP[Job Number],A1151,tbl_WIP[Month],$C$4))</f>
        <v/>
      </c>
      <c r="E1151" s="11">
        <f>IF(A1151="","",C1151+D1151)</f>
        <v/>
      </c>
      <c r="F1151" s="10">
        <f>IF(A1151="","",IF(AND(ROUND(C1151,2)=0,ROUND(D1151,2)=0),"","yes"))</f>
        <v/>
      </c>
      <c r="G1151" s="39" t="n"/>
      <c r="H1151" s="11">
        <f>IF(OR(A1151="",G1151=""),"",E1151-G1151)</f>
        <v/>
      </c>
    </row>
    <row r="1152">
      <c r="A1152" s="10">
        <f>IF(INDEX(lst_Jobs,1139)="","",INDEX(lst_Jobs,1139)&amp;"")</f>
        <v/>
      </c>
      <c r="B1152" s="10">
        <f>IF(A1152="","",INDEX(lst_JobName,1139)&amp;"")</f>
        <v/>
      </c>
      <c r="C1152" s="11">
        <f>IF(A1152="","",SUMIFS(tbl_WIP[Amount],tbl_WIP[Job Number],A1152,tbl_WIP[Month],"&lt;"&amp;$C$4))</f>
        <v/>
      </c>
      <c r="D1152" s="11">
        <f>IF(A1152="","",SUMIFS(tbl_WIP[Amount],tbl_WIP[Job Number],A1152,tbl_WIP[Month],$C$4))</f>
        <v/>
      </c>
      <c r="E1152" s="11">
        <f>IF(A1152="","",C1152+D1152)</f>
        <v/>
      </c>
      <c r="F1152" s="10">
        <f>IF(A1152="","",IF(AND(ROUND(C1152,2)=0,ROUND(D1152,2)=0),"","yes"))</f>
        <v/>
      </c>
      <c r="G1152" s="39" t="n"/>
      <c r="H1152" s="11">
        <f>IF(OR(A1152="",G1152=""),"",E1152-G1152)</f>
        <v/>
      </c>
    </row>
    <row r="1153">
      <c r="A1153" s="10">
        <f>IF(INDEX(lst_Jobs,1140)="","",INDEX(lst_Jobs,1140)&amp;"")</f>
        <v/>
      </c>
      <c r="B1153" s="10">
        <f>IF(A1153="","",INDEX(lst_JobName,1140)&amp;"")</f>
        <v/>
      </c>
      <c r="C1153" s="11">
        <f>IF(A1153="","",SUMIFS(tbl_WIP[Amount],tbl_WIP[Job Number],A1153,tbl_WIP[Month],"&lt;"&amp;$C$4))</f>
        <v/>
      </c>
      <c r="D1153" s="11">
        <f>IF(A1153="","",SUMIFS(tbl_WIP[Amount],tbl_WIP[Job Number],A1153,tbl_WIP[Month],$C$4))</f>
        <v/>
      </c>
      <c r="E1153" s="11">
        <f>IF(A1153="","",C1153+D1153)</f>
        <v/>
      </c>
      <c r="F1153" s="10">
        <f>IF(A1153="","",IF(AND(ROUND(C1153,2)=0,ROUND(D1153,2)=0),"","yes"))</f>
        <v/>
      </c>
      <c r="G1153" s="39" t="n"/>
      <c r="H1153" s="11">
        <f>IF(OR(A1153="",G1153=""),"",E1153-G1153)</f>
        <v/>
      </c>
    </row>
    <row r="1154">
      <c r="A1154" s="10">
        <f>IF(INDEX(lst_Jobs,1141)="","",INDEX(lst_Jobs,1141)&amp;"")</f>
        <v/>
      </c>
      <c r="B1154" s="10">
        <f>IF(A1154="","",INDEX(lst_JobName,1141)&amp;"")</f>
        <v/>
      </c>
      <c r="C1154" s="11">
        <f>IF(A1154="","",SUMIFS(tbl_WIP[Amount],tbl_WIP[Job Number],A1154,tbl_WIP[Month],"&lt;"&amp;$C$4))</f>
        <v/>
      </c>
      <c r="D1154" s="11">
        <f>IF(A1154="","",SUMIFS(tbl_WIP[Amount],tbl_WIP[Job Number],A1154,tbl_WIP[Month],$C$4))</f>
        <v/>
      </c>
      <c r="E1154" s="11">
        <f>IF(A1154="","",C1154+D1154)</f>
        <v/>
      </c>
      <c r="F1154" s="10">
        <f>IF(A1154="","",IF(AND(ROUND(C1154,2)=0,ROUND(D1154,2)=0),"","yes"))</f>
        <v/>
      </c>
      <c r="G1154" s="39" t="n"/>
      <c r="H1154" s="11">
        <f>IF(OR(A1154="",G1154=""),"",E1154-G1154)</f>
        <v/>
      </c>
    </row>
    <row r="1155">
      <c r="A1155" s="10">
        <f>IF(INDEX(lst_Jobs,1142)="","",INDEX(lst_Jobs,1142)&amp;"")</f>
        <v/>
      </c>
      <c r="B1155" s="10">
        <f>IF(A1155="","",INDEX(lst_JobName,1142)&amp;"")</f>
        <v/>
      </c>
      <c r="C1155" s="11">
        <f>IF(A1155="","",SUMIFS(tbl_WIP[Amount],tbl_WIP[Job Number],A1155,tbl_WIP[Month],"&lt;"&amp;$C$4))</f>
        <v/>
      </c>
      <c r="D1155" s="11">
        <f>IF(A1155="","",SUMIFS(tbl_WIP[Amount],tbl_WIP[Job Number],A1155,tbl_WIP[Month],$C$4))</f>
        <v/>
      </c>
      <c r="E1155" s="11">
        <f>IF(A1155="","",C1155+D1155)</f>
        <v/>
      </c>
      <c r="F1155" s="10">
        <f>IF(A1155="","",IF(AND(ROUND(C1155,2)=0,ROUND(D1155,2)=0),"","yes"))</f>
        <v/>
      </c>
      <c r="G1155" s="39" t="n"/>
      <c r="H1155" s="11">
        <f>IF(OR(A1155="",G1155=""),"",E1155-G1155)</f>
        <v/>
      </c>
    </row>
    <row r="1156">
      <c r="A1156" s="10">
        <f>IF(INDEX(lst_Jobs,1143)="","",INDEX(lst_Jobs,1143)&amp;"")</f>
        <v/>
      </c>
      <c r="B1156" s="10">
        <f>IF(A1156="","",INDEX(lst_JobName,1143)&amp;"")</f>
        <v/>
      </c>
      <c r="C1156" s="11">
        <f>IF(A1156="","",SUMIFS(tbl_WIP[Amount],tbl_WIP[Job Number],A1156,tbl_WIP[Month],"&lt;"&amp;$C$4))</f>
        <v/>
      </c>
      <c r="D1156" s="11">
        <f>IF(A1156="","",SUMIFS(tbl_WIP[Amount],tbl_WIP[Job Number],A1156,tbl_WIP[Month],$C$4))</f>
        <v/>
      </c>
      <c r="E1156" s="11">
        <f>IF(A1156="","",C1156+D1156)</f>
        <v/>
      </c>
      <c r="F1156" s="10">
        <f>IF(A1156="","",IF(AND(ROUND(C1156,2)=0,ROUND(D1156,2)=0),"","yes"))</f>
        <v/>
      </c>
      <c r="G1156" s="39" t="n"/>
      <c r="H1156" s="11">
        <f>IF(OR(A1156="",G1156=""),"",E1156-G1156)</f>
        <v/>
      </c>
    </row>
    <row r="1157">
      <c r="A1157" s="10">
        <f>IF(INDEX(lst_Jobs,1144)="","",INDEX(lst_Jobs,1144)&amp;"")</f>
        <v/>
      </c>
      <c r="B1157" s="10">
        <f>IF(A1157="","",INDEX(lst_JobName,1144)&amp;"")</f>
        <v/>
      </c>
      <c r="C1157" s="11">
        <f>IF(A1157="","",SUMIFS(tbl_WIP[Amount],tbl_WIP[Job Number],A1157,tbl_WIP[Month],"&lt;"&amp;$C$4))</f>
        <v/>
      </c>
      <c r="D1157" s="11">
        <f>IF(A1157="","",SUMIFS(tbl_WIP[Amount],tbl_WIP[Job Number],A1157,tbl_WIP[Month],$C$4))</f>
        <v/>
      </c>
      <c r="E1157" s="11">
        <f>IF(A1157="","",C1157+D1157)</f>
        <v/>
      </c>
      <c r="F1157" s="10">
        <f>IF(A1157="","",IF(AND(ROUND(C1157,2)=0,ROUND(D1157,2)=0),"","yes"))</f>
        <v/>
      </c>
      <c r="G1157" s="39" t="n"/>
      <c r="H1157" s="11">
        <f>IF(OR(A1157="",G1157=""),"",E1157-G1157)</f>
        <v/>
      </c>
    </row>
    <row r="1158">
      <c r="A1158" s="10">
        <f>IF(INDEX(lst_Jobs,1145)="","",INDEX(lst_Jobs,1145)&amp;"")</f>
        <v/>
      </c>
      <c r="B1158" s="10">
        <f>IF(A1158="","",INDEX(lst_JobName,1145)&amp;"")</f>
        <v/>
      </c>
      <c r="C1158" s="11">
        <f>IF(A1158="","",SUMIFS(tbl_WIP[Amount],tbl_WIP[Job Number],A1158,tbl_WIP[Month],"&lt;"&amp;$C$4))</f>
        <v/>
      </c>
      <c r="D1158" s="11">
        <f>IF(A1158="","",SUMIFS(tbl_WIP[Amount],tbl_WIP[Job Number],A1158,tbl_WIP[Month],$C$4))</f>
        <v/>
      </c>
      <c r="E1158" s="11">
        <f>IF(A1158="","",C1158+D1158)</f>
        <v/>
      </c>
      <c r="F1158" s="10">
        <f>IF(A1158="","",IF(AND(ROUND(C1158,2)=0,ROUND(D1158,2)=0),"","yes"))</f>
        <v/>
      </c>
      <c r="G1158" s="39" t="n"/>
      <c r="H1158" s="11">
        <f>IF(OR(A1158="",G1158=""),"",E1158-G1158)</f>
        <v/>
      </c>
    </row>
    <row r="1159">
      <c r="A1159" s="10">
        <f>IF(INDEX(lst_Jobs,1146)="","",INDEX(lst_Jobs,1146)&amp;"")</f>
        <v/>
      </c>
      <c r="B1159" s="10">
        <f>IF(A1159="","",INDEX(lst_JobName,1146)&amp;"")</f>
        <v/>
      </c>
      <c r="C1159" s="11">
        <f>IF(A1159="","",SUMIFS(tbl_WIP[Amount],tbl_WIP[Job Number],A1159,tbl_WIP[Month],"&lt;"&amp;$C$4))</f>
        <v/>
      </c>
      <c r="D1159" s="11">
        <f>IF(A1159="","",SUMIFS(tbl_WIP[Amount],tbl_WIP[Job Number],A1159,tbl_WIP[Month],$C$4))</f>
        <v/>
      </c>
      <c r="E1159" s="11">
        <f>IF(A1159="","",C1159+D1159)</f>
        <v/>
      </c>
      <c r="F1159" s="10">
        <f>IF(A1159="","",IF(AND(ROUND(C1159,2)=0,ROUND(D1159,2)=0),"","yes"))</f>
        <v/>
      </c>
      <c r="G1159" s="39" t="n"/>
      <c r="H1159" s="11">
        <f>IF(OR(A1159="",G1159=""),"",E1159-G1159)</f>
        <v/>
      </c>
    </row>
    <row r="1160">
      <c r="A1160" s="10">
        <f>IF(INDEX(lst_Jobs,1147)="","",INDEX(lst_Jobs,1147)&amp;"")</f>
        <v/>
      </c>
      <c r="B1160" s="10">
        <f>IF(A1160="","",INDEX(lst_JobName,1147)&amp;"")</f>
        <v/>
      </c>
      <c r="C1160" s="11">
        <f>IF(A1160="","",SUMIFS(tbl_WIP[Amount],tbl_WIP[Job Number],A1160,tbl_WIP[Month],"&lt;"&amp;$C$4))</f>
        <v/>
      </c>
      <c r="D1160" s="11">
        <f>IF(A1160="","",SUMIFS(tbl_WIP[Amount],tbl_WIP[Job Number],A1160,tbl_WIP[Month],$C$4))</f>
        <v/>
      </c>
      <c r="E1160" s="11">
        <f>IF(A1160="","",C1160+D1160)</f>
        <v/>
      </c>
      <c r="F1160" s="10">
        <f>IF(A1160="","",IF(AND(ROUND(C1160,2)=0,ROUND(D1160,2)=0),"","yes"))</f>
        <v/>
      </c>
      <c r="G1160" s="39" t="n"/>
      <c r="H1160" s="11">
        <f>IF(OR(A1160="",G1160=""),"",E1160-G1160)</f>
        <v/>
      </c>
    </row>
    <row r="1161">
      <c r="A1161" s="10">
        <f>IF(INDEX(lst_Jobs,1148)="","",INDEX(lst_Jobs,1148)&amp;"")</f>
        <v/>
      </c>
      <c r="B1161" s="10">
        <f>IF(A1161="","",INDEX(lst_JobName,1148)&amp;"")</f>
        <v/>
      </c>
      <c r="C1161" s="11">
        <f>IF(A1161="","",SUMIFS(tbl_WIP[Amount],tbl_WIP[Job Number],A1161,tbl_WIP[Month],"&lt;"&amp;$C$4))</f>
        <v/>
      </c>
      <c r="D1161" s="11">
        <f>IF(A1161="","",SUMIFS(tbl_WIP[Amount],tbl_WIP[Job Number],A1161,tbl_WIP[Month],$C$4))</f>
        <v/>
      </c>
      <c r="E1161" s="11">
        <f>IF(A1161="","",C1161+D1161)</f>
        <v/>
      </c>
      <c r="F1161" s="10">
        <f>IF(A1161="","",IF(AND(ROUND(C1161,2)=0,ROUND(D1161,2)=0),"","yes"))</f>
        <v/>
      </c>
      <c r="G1161" s="39" t="n"/>
      <c r="H1161" s="11">
        <f>IF(OR(A1161="",G1161=""),"",E1161-G1161)</f>
        <v/>
      </c>
    </row>
    <row r="1162">
      <c r="A1162" s="10">
        <f>IF(INDEX(lst_Jobs,1149)="","",INDEX(lst_Jobs,1149)&amp;"")</f>
        <v/>
      </c>
      <c r="B1162" s="10">
        <f>IF(A1162="","",INDEX(lst_JobName,1149)&amp;"")</f>
        <v/>
      </c>
      <c r="C1162" s="11">
        <f>IF(A1162="","",SUMIFS(tbl_WIP[Amount],tbl_WIP[Job Number],A1162,tbl_WIP[Month],"&lt;"&amp;$C$4))</f>
        <v/>
      </c>
      <c r="D1162" s="11">
        <f>IF(A1162="","",SUMIFS(tbl_WIP[Amount],tbl_WIP[Job Number],A1162,tbl_WIP[Month],$C$4))</f>
        <v/>
      </c>
      <c r="E1162" s="11">
        <f>IF(A1162="","",C1162+D1162)</f>
        <v/>
      </c>
      <c r="F1162" s="10">
        <f>IF(A1162="","",IF(AND(ROUND(C1162,2)=0,ROUND(D1162,2)=0),"","yes"))</f>
        <v/>
      </c>
      <c r="G1162" s="39" t="n"/>
      <c r="H1162" s="11">
        <f>IF(OR(A1162="",G1162=""),"",E1162-G1162)</f>
        <v/>
      </c>
    </row>
    <row r="1163">
      <c r="A1163" s="10">
        <f>IF(INDEX(lst_Jobs,1150)="","",INDEX(lst_Jobs,1150)&amp;"")</f>
        <v/>
      </c>
      <c r="B1163" s="10">
        <f>IF(A1163="","",INDEX(lst_JobName,1150)&amp;"")</f>
        <v/>
      </c>
      <c r="C1163" s="11">
        <f>IF(A1163="","",SUMIFS(tbl_WIP[Amount],tbl_WIP[Job Number],A1163,tbl_WIP[Month],"&lt;"&amp;$C$4))</f>
        <v/>
      </c>
      <c r="D1163" s="11">
        <f>IF(A1163="","",SUMIFS(tbl_WIP[Amount],tbl_WIP[Job Number],A1163,tbl_WIP[Month],$C$4))</f>
        <v/>
      </c>
      <c r="E1163" s="11">
        <f>IF(A1163="","",C1163+D1163)</f>
        <v/>
      </c>
      <c r="F1163" s="10">
        <f>IF(A1163="","",IF(AND(ROUND(C1163,2)=0,ROUND(D1163,2)=0),"","yes"))</f>
        <v/>
      </c>
      <c r="G1163" s="39" t="n"/>
      <c r="H1163" s="11">
        <f>IF(OR(A1163="",G1163=""),"",E1163-G1163)</f>
        <v/>
      </c>
    </row>
    <row r="1164">
      <c r="A1164" s="10">
        <f>IF(INDEX(lst_Jobs,1151)="","",INDEX(lst_Jobs,1151)&amp;"")</f>
        <v/>
      </c>
      <c r="B1164" s="10">
        <f>IF(A1164="","",INDEX(lst_JobName,1151)&amp;"")</f>
        <v/>
      </c>
      <c r="C1164" s="11">
        <f>IF(A1164="","",SUMIFS(tbl_WIP[Amount],tbl_WIP[Job Number],A1164,tbl_WIP[Month],"&lt;"&amp;$C$4))</f>
        <v/>
      </c>
      <c r="D1164" s="11">
        <f>IF(A1164="","",SUMIFS(tbl_WIP[Amount],tbl_WIP[Job Number],A1164,tbl_WIP[Month],$C$4))</f>
        <v/>
      </c>
      <c r="E1164" s="11">
        <f>IF(A1164="","",C1164+D1164)</f>
        <v/>
      </c>
      <c r="F1164" s="10">
        <f>IF(A1164="","",IF(AND(ROUND(C1164,2)=0,ROUND(D1164,2)=0),"","yes"))</f>
        <v/>
      </c>
      <c r="G1164" s="39" t="n"/>
      <c r="H1164" s="11">
        <f>IF(OR(A1164="",G1164=""),"",E1164-G1164)</f>
        <v/>
      </c>
    </row>
    <row r="1165">
      <c r="A1165" s="10">
        <f>IF(INDEX(lst_Jobs,1152)="","",INDEX(lst_Jobs,1152)&amp;"")</f>
        <v/>
      </c>
      <c r="B1165" s="10">
        <f>IF(A1165="","",INDEX(lst_JobName,1152)&amp;"")</f>
        <v/>
      </c>
      <c r="C1165" s="11">
        <f>IF(A1165="","",SUMIFS(tbl_WIP[Amount],tbl_WIP[Job Number],A1165,tbl_WIP[Month],"&lt;"&amp;$C$4))</f>
        <v/>
      </c>
      <c r="D1165" s="11">
        <f>IF(A1165="","",SUMIFS(tbl_WIP[Amount],tbl_WIP[Job Number],A1165,tbl_WIP[Month],$C$4))</f>
        <v/>
      </c>
      <c r="E1165" s="11">
        <f>IF(A1165="","",C1165+D1165)</f>
        <v/>
      </c>
      <c r="F1165" s="10">
        <f>IF(A1165="","",IF(AND(ROUND(C1165,2)=0,ROUND(D1165,2)=0),"","yes"))</f>
        <v/>
      </c>
      <c r="G1165" s="39" t="n"/>
      <c r="H1165" s="11">
        <f>IF(OR(A1165="",G1165=""),"",E1165-G1165)</f>
        <v/>
      </c>
    </row>
    <row r="1166">
      <c r="A1166" s="10">
        <f>IF(INDEX(lst_Jobs,1153)="","",INDEX(lst_Jobs,1153)&amp;"")</f>
        <v/>
      </c>
      <c r="B1166" s="10">
        <f>IF(A1166="","",INDEX(lst_JobName,1153)&amp;"")</f>
        <v/>
      </c>
      <c r="C1166" s="11">
        <f>IF(A1166="","",SUMIFS(tbl_WIP[Amount],tbl_WIP[Job Number],A1166,tbl_WIP[Month],"&lt;"&amp;$C$4))</f>
        <v/>
      </c>
      <c r="D1166" s="11">
        <f>IF(A1166="","",SUMIFS(tbl_WIP[Amount],tbl_WIP[Job Number],A1166,tbl_WIP[Month],$C$4))</f>
        <v/>
      </c>
      <c r="E1166" s="11">
        <f>IF(A1166="","",C1166+D1166)</f>
        <v/>
      </c>
      <c r="F1166" s="10">
        <f>IF(A1166="","",IF(AND(ROUND(C1166,2)=0,ROUND(D1166,2)=0),"","yes"))</f>
        <v/>
      </c>
      <c r="G1166" s="39" t="n"/>
      <c r="H1166" s="11">
        <f>IF(OR(A1166="",G1166=""),"",E1166-G1166)</f>
        <v/>
      </c>
    </row>
    <row r="1167">
      <c r="A1167" s="10">
        <f>IF(INDEX(lst_Jobs,1154)="","",INDEX(lst_Jobs,1154)&amp;"")</f>
        <v/>
      </c>
      <c r="B1167" s="10">
        <f>IF(A1167="","",INDEX(lst_JobName,1154)&amp;"")</f>
        <v/>
      </c>
      <c r="C1167" s="11">
        <f>IF(A1167="","",SUMIFS(tbl_WIP[Amount],tbl_WIP[Job Number],A1167,tbl_WIP[Month],"&lt;"&amp;$C$4))</f>
        <v/>
      </c>
      <c r="D1167" s="11">
        <f>IF(A1167="","",SUMIFS(tbl_WIP[Amount],tbl_WIP[Job Number],A1167,tbl_WIP[Month],$C$4))</f>
        <v/>
      </c>
      <c r="E1167" s="11">
        <f>IF(A1167="","",C1167+D1167)</f>
        <v/>
      </c>
      <c r="F1167" s="10">
        <f>IF(A1167="","",IF(AND(ROUND(C1167,2)=0,ROUND(D1167,2)=0),"","yes"))</f>
        <v/>
      </c>
      <c r="G1167" s="39" t="n"/>
      <c r="H1167" s="11">
        <f>IF(OR(A1167="",G1167=""),"",E1167-G1167)</f>
        <v/>
      </c>
    </row>
    <row r="1168">
      <c r="A1168" s="10">
        <f>IF(INDEX(lst_Jobs,1155)="","",INDEX(lst_Jobs,1155)&amp;"")</f>
        <v/>
      </c>
      <c r="B1168" s="10">
        <f>IF(A1168="","",INDEX(lst_JobName,1155)&amp;"")</f>
        <v/>
      </c>
      <c r="C1168" s="11">
        <f>IF(A1168="","",SUMIFS(tbl_WIP[Amount],tbl_WIP[Job Number],A1168,tbl_WIP[Month],"&lt;"&amp;$C$4))</f>
        <v/>
      </c>
      <c r="D1168" s="11">
        <f>IF(A1168="","",SUMIFS(tbl_WIP[Amount],tbl_WIP[Job Number],A1168,tbl_WIP[Month],$C$4))</f>
        <v/>
      </c>
      <c r="E1168" s="11">
        <f>IF(A1168="","",C1168+D1168)</f>
        <v/>
      </c>
      <c r="F1168" s="10">
        <f>IF(A1168="","",IF(AND(ROUND(C1168,2)=0,ROUND(D1168,2)=0),"","yes"))</f>
        <v/>
      </c>
      <c r="G1168" s="39" t="n"/>
      <c r="H1168" s="11">
        <f>IF(OR(A1168="",G1168=""),"",E1168-G1168)</f>
        <v/>
      </c>
    </row>
    <row r="1169">
      <c r="A1169" s="10">
        <f>IF(INDEX(lst_Jobs,1156)="","",INDEX(lst_Jobs,1156)&amp;"")</f>
        <v/>
      </c>
      <c r="B1169" s="10">
        <f>IF(A1169="","",INDEX(lst_JobName,1156)&amp;"")</f>
        <v/>
      </c>
      <c r="C1169" s="11">
        <f>IF(A1169="","",SUMIFS(tbl_WIP[Amount],tbl_WIP[Job Number],A1169,tbl_WIP[Month],"&lt;"&amp;$C$4))</f>
        <v/>
      </c>
      <c r="D1169" s="11">
        <f>IF(A1169="","",SUMIFS(tbl_WIP[Amount],tbl_WIP[Job Number],A1169,tbl_WIP[Month],$C$4))</f>
        <v/>
      </c>
      <c r="E1169" s="11">
        <f>IF(A1169="","",C1169+D1169)</f>
        <v/>
      </c>
      <c r="F1169" s="10">
        <f>IF(A1169="","",IF(AND(ROUND(C1169,2)=0,ROUND(D1169,2)=0),"","yes"))</f>
        <v/>
      </c>
      <c r="G1169" s="39" t="n"/>
      <c r="H1169" s="11">
        <f>IF(OR(A1169="",G1169=""),"",E1169-G1169)</f>
        <v/>
      </c>
    </row>
    <row r="1170">
      <c r="A1170" s="10">
        <f>IF(INDEX(lst_Jobs,1157)="","",INDEX(lst_Jobs,1157)&amp;"")</f>
        <v/>
      </c>
      <c r="B1170" s="10">
        <f>IF(A1170="","",INDEX(lst_JobName,1157)&amp;"")</f>
        <v/>
      </c>
      <c r="C1170" s="11">
        <f>IF(A1170="","",SUMIFS(tbl_WIP[Amount],tbl_WIP[Job Number],A1170,tbl_WIP[Month],"&lt;"&amp;$C$4))</f>
        <v/>
      </c>
      <c r="D1170" s="11">
        <f>IF(A1170="","",SUMIFS(tbl_WIP[Amount],tbl_WIP[Job Number],A1170,tbl_WIP[Month],$C$4))</f>
        <v/>
      </c>
      <c r="E1170" s="11">
        <f>IF(A1170="","",C1170+D1170)</f>
        <v/>
      </c>
      <c r="F1170" s="10">
        <f>IF(A1170="","",IF(AND(ROUND(C1170,2)=0,ROUND(D1170,2)=0),"","yes"))</f>
        <v/>
      </c>
      <c r="G1170" s="39" t="n"/>
      <c r="H1170" s="11">
        <f>IF(OR(A1170="",G1170=""),"",E1170-G1170)</f>
        <v/>
      </c>
    </row>
    <row r="1171">
      <c r="A1171" s="10">
        <f>IF(INDEX(lst_Jobs,1158)="","",INDEX(lst_Jobs,1158)&amp;"")</f>
        <v/>
      </c>
      <c r="B1171" s="10">
        <f>IF(A1171="","",INDEX(lst_JobName,1158)&amp;"")</f>
        <v/>
      </c>
      <c r="C1171" s="11">
        <f>IF(A1171="","",SUMIFS(tbl_WIP[Amount],tbl_WIP[Job Number],A1171,tbl_WIP[Month],"&lt;"&amp;$C$4))</f>
        <v/>
      </c>
      <c r="D1171" s="11">
        <f>IF(A1171="","",SUMIFS(tbl_WIP[Amount],tbl_WIP[Job Number],A1171,tbl_WIP[Month],$C$4))</f>
        <v/>
      </c>
      <c r="E1171" s="11">
        <f>IF(A1171="","",C1171+D1171)</f>
        <v/>
      </c>
      <c r="F1171" s="10">
        <f>IF(A1171="","",IF(AND(ROUND(C1171,2)=0,ROUND(D1171,2)=0),"","yes"))</f>
        <v/>
      </c>
      <c r="G1171" s="39" t="n"/>
      <c r="H1171" s="11">
        <f>IF(OR(A1171="",G1171=""),"",E1171-G1171)</f>
        <v/>
      </c>
    </row>
    <row r="1172">
      <c r="A1172" s="10">
        <f>IF(INDEX(lst_Jobs,1159)="","",INDEX(lst_Jobs,1159)&amp;"")</f>
        <v/>
      </c>
      <c r="B1172" s="10">
        <f>IF(A1172="","",INDEX(lst_JobName,1159)&amp;"")</f>
        <v/>
      </c>
      <c r="C1172" s="11">
        <f>IF(A1172="","",SUMIFS(tbl_WIP[Amount],tbl_WIP[Job Number],A1172,tbl_WIP[Month],"&lt;"&amp;$C$4))</f>
        <v/>
      </c>
      <c r="D1172" s="11">
        <f>IF(A1172="","",SUMIFS(tbl_WIP[Amount],tbl_WIP[Job Number],A1172,tbl_WIP[Month],$C$4))</f>
        <v/>
      </c>
      <c r="E1172" s="11">
        <f>IF(A1172="","",C1172+D1172)</f>
        <v/>
      </c>
      <c r="F1172" s="10">
        <f>IF(A1172="","",IF(AND(ROUND(C1172,2)=0,ROUND(D1172,2)=0),"","yes"))</f>
        <v/>
      </c>
      <c r="G1172" s="39" t="n"/>
      <c r="H1172" s="11">
        <f>IF(OR(A1172="",G1172=""),"",E1172-G1172)</f>
        <v/>
      </c>
    </row>
    <row r="1173">
      <c r="A1173" s="10">
        <f>IF(INDEX(lst_Jobs,1160)="","",INDEX(lst_Jobs,1160)&amp;"")</f>
        <v/>
      </c>
      <c r="B1173" s="10">
        <f>IF(A1173="","",INDEX(lst_JobName,1160)&amp;"")</f>
        <v/>
      </c>
      <c r="C1173" s="11">
        <f>IF(A1173="","",SUMIFS(tbl_WIP[Amount],tbl_WIP[Job Number],A1173,tbl_WIP[Month],"&lt;"&amp;$C$4))</f>
        <v/>
      </c>
      <c r="D1173" s="11">
        <f>IF(A1173="","",SUMIFS(tbl_WIP[Amount],tbl_WIP[Job Number],A1173,tbl_WIP[Month],$C$4))</f>
        <v/>
      </c>
      <c r="E1173" s="11">
        <f>IF(A1173="","",C1173+D1173)</f>
        <v/>
      </c>
      <c r="F1173" s="10">
        <f>IF(A1173="","",IF(AND(ROUND(C1173,2)=0,ROUND(D1173,2)=0),"","yes"))</f>
        <v/>
      </c>
      <c r="G1173" s="39" t="n"/>
      <c r="H1173" s="11">
        <f>IF(OR(A1173="",G1173=""),"",E1173-G1173)</f>
        <v/>
      </c>
    </row>
    <row r="1174">
      <c r="A1174" s="10">
        <f>IF(INDEX(lst_Jobs,1161)="","",INDEX(lst_Jobs,1161)&amp;"")</f>
        <v/>
      </c>
      <c r="B1174" s="10">
        <f>IF(A1174="","",INDEX(lst_JobName,1161)&amp;"")</f>
        <v/>
      </c>
      <c r="C1174" s="11">
        <f>IF(A1174="","",SUMIFS(tbl_WIP[Amount],tbl_WIP[Job Number],A1174,tbl_WIP[Month],"&lt;"&amp;$C$4))</f>
        <v/>
      </c>
      <c r="D1174" s="11">
        <f>IF(A1174="","",SUMIFS(tbl_WIP[Amount],tbl_WIP[Job Number],A1174,tbl_WIP[Month],$C$4))</f>
        <v/>
      </c>
      <c r="E1174" s="11">
        <f>IF(A1174="","",C1174+D1174)</f>
        <v/>
      </c>
      <c r="F1174" s="10">
        <f>IF(A1174="","",IF(AND(ROUND(C1174,2)=0,ROUND(D1174,2)=0),"","yes"))</f>
        <v/>
      </c>
      <c r="G1174" s="39" t="n"/>
      <c r="H1174" s="11">
        <f>IF(OR(A1174="",G1174=""),"",E1174-G1174)</f>
        <v/>
      </c>
    </row>
    <row r="1175">
      <c r="A1175" s="10">
        <f>IF(INDEX(lst_Jobs,1162)="","",INDEX(lst_Jobs,1162)&amp;"")</f>
        <v/>
      </c>
      <c r="B1175" s="10">
        <f>IF(A1175="","",INDEX(lst_JobName,1162)&amp;"")</f>
        <v/>
      </c>
      <c r="C1175" s="11">
        <f>IF(A1175="","",SUMIFS(tbl_WIP[Amount],tbl_WIP[Job Number],A1175,tbl_WIP[Month],"&lt;"&amp;$C$4))</f>
        <v/>
      </c>
      <c r="D1175" s="11">
        <f>IF(A1175="","",SUMIFS(tbl_WIP[Amount],tbl_WIP[Job Number],A1175,tbl_WIP[Month],$C$4))</f>
        <v/>
      </c>
      <c r="E1175" s="11">
        <f>IF(A1175="","",C1175+D1175)</f>
        <v/>
      </c>
      <c r="F1175" s="10">
        <f>IF(A1175="","",IF(AND(ROUND(C1175,2)=0,ROUND(D1175,2)=0),"","yes"))</f>
        <v/>
      </c>
      <c r="G1175" s="39" t="n"/>
      <c r="H1175" s="11">
        <f>IF(OR(A1175="",G1175=""),"",E1175-G1175)</f>
        <v/>
      </c>
    </row>
    <row r="1176">
      <c r="A1176" s="10">
        <f>IF(INDEX(lst_Jobs,1163)="","",INDEX(lst_Jobs,1163)&amp;"")</f>
        <v/>
      </c>
      <c r="B1176" s="10">
        <f>IF(A1176="","",INDEX(lst_JobName,1163)&amp;"")</f>
        <v/>
      </c>
      <c r="C1176" s="11">
        <f>IF(A1176="","",SUMIFS(tbl_WIP[Amount],tbl_WIP[Job Number],A1176,tbl_WIP[Month],"&lt;"&amp;$C$4))</f>
        <v/>
      </c>
      <c r="D1176" s="11">
        <f>IF(A1176="","",SUMIFS(tbl_WIP[Amount],tbl_WIP[Job Number],A1176,tbl_WIP[Month],$C$4))</f>
        <v/>
      </c>
      <c r="E1176" s="11">
        <f>IF(A1176="","",C1176+D1176)</f>
        <v/>
      </c>
      <c r="F1176" s="10">
        <f>IF(A1176="","",IF(AND(ROUND(C1176,2)=0,ROUND(D1176,2)=0),"","yes"))</f>
        <v/>
      </c>
      <c r="G1176" s="39" t="n"/>
      <c r="H1176" s="11">
        <f>IF(OR(A1176="",G1176=""),"",E1176-G1176)</f>
        <v/>
      </c>
    </row>
    <row r="1177">
      <c r="A1177" s="10">
        <f>IF(INDEX(lst_Jobs,1164)="","",INDEX(lst_Jobs,1164)&amp;"")</f>
        <v/>
      </c>
      <c r="B1177" s="10">
        <f>IF(A1177="","",INDEX(lst_JobName,1164)&amp;"")</f>
        <v/>
      </c>
      <c r="C1177" s="11">
        <f>IF(A1177="","",SUMIFS(tbl_WIP[Amount],tbl_WIP[Job Number],A1177,tbl_WIP[Month],"&lt;"&amp;$C$4))</f>
        <v/>
      </c>
      <c r="D1177" s="11">
        <f>IF(A1177="","",SUMIFS(tbl_WIP[Amount],tbl_WIP[Job Number],A1177,tbl_WIP[Month],$C$4))</f>
        <v/>
      </c>
      <c r="E1177" s="11">
        <f>IF(A1177="","",C1177+D1177)</f>
        <v/>
      </c>
      <c r="F1177" s="10">
        <f>IF(A1177="","",IF(AND(ROUND(C1177,2)=0,ROUND(D1177,2)=0),"","yes"))</f>
        <v/>
      </c>
      <c r="G1177" s="39" t="n"/>
      <c r="H1177" s="11">
        <f>IF(OR(A1177="",G1177=""),"",E1177-G1177)</f>
        <v/>
      </c>
    </row>
    <row r="1178">
      <c r="A1178" s="10">
        <f>IF(INDEX(lst_Jobs,1165)="","",INDEX(lst_Jobs,1165)&amp;"")</f>
        <v/>
      </c>
      <c r="B1178" s="10">
        <f>IF(A1178="","",INDEX(lst_JobName,1165)&amp;"")</f>
        <v/>
      </c>
      <c r="C1178" s="11">
        <f>IF(A1178="","",SUMIFS(tbl_WIP[Amount],tbl_WIP[Job Number],A1178,tbl_WIP[Month],"&lt;"&amp;$C$4))</f>
        <v/>
      </c>
      <c r="D1178" s="11">
        <f>IF(A1178="","",SUMIFS(tbl_WIP[Amount],tbl_WIP[Job Number],A1178,tbl_WIP[Month],$C$4))</f>
        <v/>
      </c>
      <c r="E1178" s="11">
        <f>IF(A1178="","",C1178+D1178)</f>
        <v/>
      </c>
      <c r="F1178" s="10">
        <f>IF(A1178="","",IF(AND(ROUND(C1178,2)=0,ROUND(D1178,2)=0),"","yes"))</f>
        <v/>
      </c>
      <c r="G1178" s="39" t="n"/>
      <c r="H1178" s="11">
        <f>IF(OR(A1178="",G1178=""),"",E1178-G1178)</f>
        <v/>
      </c>
    </row>
    <row r="1179">
      <c r="A1179" s="10">
        <f>IF(INDEX(lst_Jobs,1166)="","",INDEX(lst_Jobs,1166)&amp;"")</f>
        <v/>
      </c>
      <c r="B1179" s="10">
        <f>IF(A1179="","",INDEX(lst_JobName,1166)&amp;"")</f>
        <v/>
      </c>
      <c r="C1179" s="11">
        <f>IF(A1179="","",SUMIFS(tbl_WIP[Amount],tbl_WIP[Job Number],A1179,tbl_WIP[Month],"&lt;"&amp;$C$4))</f>
        <v/>
      </c>
      <c r="D1179" s="11">
        <f>IF(A1179="","",SUMIFS(tbl_WIP[Amount],tbl_WIP[Job Number],A1179,tbl_WIP[Month],$C$4))</f>
        <v/>
      </c>
      <c r="E1179" s="11">
        <f>IF(A1179="","",C1179+D1179)</f>
        <v/>
      </c>
      <c r="F1179" s="10">
        <f>IF(A1179="","",IF(AND(ROUND(C1179,2)=0,ROUND(D1179,2)=0),"","yes"))</f>
        <v/>
      </c>
      <c r="G1179" s="39" t="n"/>
      <c r="H1179" s="11">
        <f>IF(OR(A1179="",G1179=""),"",E1179-G1179)</f>
        <v/>
      </c>
    </row>
    <row r="1180">
      <c r="A1180" s="10">
        <f>IF(INDEX(lst_Jobs,1167)="","",INDEX(lst_Jobs,1167)&amp;"")</f>
        <v/>
      </c>
      <c r="B1180" s="10">
        <f>IF(A1180="","",INDEX(lst_JobName,1167)&amp;"")</f>
        <v/>
      </c>
      <c r="C1180" s="11">
        <f>IF(A1180="","",SUMIFS(tbl_WIP[Amount],tbl_WIP[Job Number],A1180,tbl_WIP[Month],"&lt;"&amp;$C$4))</f>
        <v/>
      </c>
      <c r="D1180" s="11">
        <f>IF(A1180="","",SUMIFS(tbl_WIP[Amount],tbl_WIP[Job Number],A1180,tbl_WIP[Month],$C$4))</f>
        <v/>
      </c>
      <c r="E1180" s="11">
        <f>IF(A1180="","",C1180+D1180)</f>
        <v/>
      </c>
      <c r="F1180" s="10">
        <f>IF(A1180="","",IF(AND(ROUND(C1180,2)=0,ROUND(D1180,2)=0),"","yes"))</f>
        <v/>
      </c>
      <c r="G1180" s="39" t="n"/>
      <c r="H1180" s="11">
        <f>IF(OR(A1180="",G1180=""),"",E1180-G1180)</f>
        <v/>
      </c>
    </row>
    <row r="1181">
      <c r="A1181" s="10">
        <f>IF(INDEX(lst_Jobs,1168)="","",INDEX(lst_Jobs,1168)&amp;"")</f>
        <v/>
      </c>
      <c r="B1181" s="10">
        <f>IF(A1181="","",INDEX(lst_JobName,1168)&amp;"")</f>
        <v/>
      </c>
      <c r="C1181" s="11">
        <f>IF(A1181="","",SUMIFS(tbl_WIP[Amount],tbl_WIP[Job Number],A1181,tbl_WIP[Month],"&lt;"&amp;$C$4))</f>
        <v/>
      </c>
      <c r="D1181" s="11">
        <f>IF(A1181="","",SUMIFS(tbl_WIP[Amount],tbl_WIP[Job Number],A1181,tbl_WIP[Month],$C$4))</f>
        <v/>
      </c>
      <c r="E1181" s="11">
        <f>IF(A1181="","",C1181+D1181)</f>
        <v/>
      </c>
      <c r="F1181" s="10">
        <f>IF(A1181="","",IF(AND(ROUND(C1181,2)=0,ROUND(D1181,2)=0),"","yes"))</f>
        <v/>
      </c>
      <c r="G1181" s="39" t="n"/>
      <c r="H1181" s="11">
        <f>IF(OR(A1181="",G1181=""),"",E1181-G1181)</f>
        <v/>
      </c>
    </row>
    <row r="1182">
      <c r="A1182" s="10">
        <f>IF(INDEX(lst_Jobs,1169)="","",INDEX(lst_Jobs,1169)&amp;"")</f>
        <v/>
      </c>
      <c r="B1182" s="10">
        <f>IF(A1182="","",INDEX(lst_JobName,1169)&amp;"")</f>
        <v/>
      </c>
      <c r="C1182" s="11">
        <f>IF(A1182="","",SUMIFS(tbl_WIP[Amount],tbl_WIP[Job Number],A1182,tbl_WIP[Month],"&lt;"&amp;$C$4))</f>
        <v/>
      </c>
      <c r="D1182" s="11">
        <f>IF(A1182="","",SUMIFS(tbl_WIP[Amount],tbl_WIP[Job Number],A1182,tbl_WIP[Month],$C$4))</f>
        <v/>
      </c>
      <c r="E1182" s="11">
        <f>IF(A1182="","",C1182+D1182)</f>
        <v/>
      </c>
      <c r="F1182" s="10">
        <f>IF(A1182="","",IF(AND(ROUND(C1182,2)=0,ROUND(D1182,2)=0),"","yes"))</f>
        <v/>
      </c>
      <c r="G1182" s="39" t="n"/>
      <c r="H1182" s="11">
        <f>IF(OR(A1182="",G1182=""),"",E1182-G1182)</f>
        <v/>
      </c>
    </row>
    <row r="1183">
      <c r="A1183" s="10">
        <f>IF(INDEX(lst_Jobs,1170)="","",INDEX(lst_Jobs,1170)&amp;"")</f>
        <v/>
      </c>
      <c r="B1183" s="10">
        <f>IF(A1183="","",INDEX(lst_JobName,1170)&amp;"")</f>
        <v/>
      </c>
      <c r="C1183" s="11">
        <f>IF(A1183="","",SUMIFS(tbl_WIP[Amount],tbl_WIP[Job Number],A1183,tbl_WIP[Month],"&lt;"&amp;$C$4))</f>
        <v/>
      </c>
      <c r="D1183" s="11">
        <f>IF(A1183="","",SUMIFS(tbl_WIP[Amount],tbl_WIP[Job Number],A1183,tbl_WIP[Month],$C$4))</f>
        <v/>
      </c>
      <c r="E1183" s="11">
        <f>IF(A1183="","",C1183+D1183)</f>
        <v/>
      </c>
      <c r="F1183" s="10">
        <f>IF(A1183="","",IF(AND(ROUND(C1183,2)=0,ROUND(D1183,2)=0),"","yes"))</f>
        <v/>
      </c>
      <c r="G1183" s="39" t="n"/>
      <c r="H1183" s="11">
        <f>IF(OR(A1183="",G1183=""),"",E1183-G1183)</f>
        <v/>
      </c>
    </row>
    <row r="1184">
      <c r="A1184" s="10">
        <f>IF(INDEX(lst_Jobs,1171)="","",INDEX(lst_Jobs,1171)&amp;"")</f>
        <v/>
      </c>
      <c r="B1184" s="10">
        <f>IF(A1184="","",INDEX(lst_JobName,1171)&amp;"")</f>
        <v/>
      </c>
      <c r="C1184" s="11">
        <f>IF(A1184="","",SUMIFS(tbl_WIP[Amount],tbl_WIP[Job Number],A1184,tbl_WIP[Month],"&lt;"&amp;$C$4))</f>
        <v/>
      </c>
      <c r="D1184" s="11">
        <f>IF(A1184="","",SUMIFS(tbl_WIP[Amount],tbl_WIP[Job Number],A1184,tbl_WIP[Month],$C$4))</f>
        <v/>
      </c>
      <c r="E1184" s="11">
        <f>IF(A1184="","",C1184+D1184)</f>
        <v/>
      </c>
      <c r="F1184" s="10">
        <f>IF(A1184="","",IF(AND(ROUND(C1184,2)=0,ROUND(D1184,2)=0),"","yes"))</f>
        <v/>
      </c>
      <c r="G1184" s="39" t="n"/>
      <c r="H1184" s="11">
        <f>IF(OR(A1184="",G1184=""),"",E1184-G1184)</f>
        <v/>
      </c>
    </row>
    <row r="1185">
      <c r="A1185" s="10">
        <f>IF(INDEX(lst_Jobs,1172)="","",INDEX(lst_Jobs,1172)&amp;"")</f>
        <v/>
      </c>
      <c r="B1185" s="10">
        <f>IF(A1185="","",INDEX(lst_JobName,1172)&amp;"")</f>
        <v/>
      </c>
      <c r="C1185" s="11">
        <f>IF(A1185="","",SUMIFS(tbl_WIP[Amount],tbl_WIP[Job Number],A1185,tbl_WIP[Month],"&lt;"&amp;$C$4))</f>
        <v/>
      </c>
      <c r="D1185" s="11">
        <f>IF(A1185="","",SUMIFS(tbl_WIP[Amount],tbl_WIP[Job Number],A1185,tbl_WIP[Month],$C$4))</f>
        <v/>
      </c>
      <c r="E1185" s="11">
        <f>IF(A1185="","",C1185+D1185)</f>
        <v/>
      </c>
      <c r="F1185" s="10">
        <f>IF(A1185="","",IF(AND(ROUND(C1185,2)=0,ROUND(D1185,2)=0),"","yes"))</f>
        <v/>
      </c>
      <c r="G1185" s="39" t="n"/>
      <c r="H1185" s="11">
        <f>IF(OR(A1185="",G1185=""),"",E1185-G1185)</f>
        <v/>
      </c>
    </row>
    <row r="1186">
      <c r="A1186" s="10">
        <f>IF(INDEX(lst_Jobs,1173)="","",INDEX(lst_Jobs,1173)&amp;"")</f>
        <v/>
      </c>
      <c r="B1186" s="10">
        <f>IF(A1186="","",INDEX(lst_JobName,1173)&amp;"")</f>
        <v/>
      </c>
      <c r="C1186" s="11">
        <f>IF(A1186="","",SUMIFS(tbl_WIP[Amount],tbl_WIP[Job Number],A1186,tbl_WIP[Month],"&lt;"&amp;$C$4))</f>
        <v/>
      </c>
      <c r="D1186" s="11">
        <f>IF(A1186="","",SUMIFS(tbl_WIP[Amount],tbl_WIP[Job Number],A1186,tbl_WIP[Month],$C$4))</f>
        <v/>
      </c>
      <c r="E1186" s="11">
        <f>IF(A1186="","",C1186+D1186)</f>
        <v/>
      </c>
      <c r="F1186" s="10">
        <f>IF(A1186="","",IF(AND(ROUND(C1186,2)=0,ROUND(D1186,2)=0),"","yes"))</f>
        <v/>
      </c>
      <c r="G1186" s="39" t="n"/>
      <c r="H1186" s="11">
        <f>IF(OR(A1186="",G1186=""),"",E1186-G1186)</f>
        <v/>
      </c>
    </row>
    <row r="1187">
      <c r="A1187" s="10">
        <f>IF(INDEX(lst_Jobs,1174)="","",INDEX(lst_Jobs,1174)&amp;"")</f>
        <v/>
      </c>
      <c r="B1187" s="10">
        <f>IF(A1187="","",INDEX(lst_JobName,1174)&amp;"")</f>
        <v/>
      </c>
      <c r="C1187" s="11">
        <f>IF(A1187="","",SUMIFS(tbl_WIP[Amount],tbl_WIP[Job Number],A1187,tbl_WIP[Month],"&lt;"&amp;$C$4))</f>
        <v/>
      </c>
      <c r="D1187" s="11">
        <f>IF(A1187="","",SUMIFS(tbl_WIP[Amount],tbl_WIP[Job Number],A1187,tbl_WIP[Month],$C$4))</f>
        <v/>
      </c>
      <c r="E1187" s="11">
        <f>IF(A1187="","",C1187+D1187)</f>
        <v/>
      </c>
      <c r="F1187" s="10">
        <f>IF(A1187="","",IF(AND(ROUND(C1187,2)=0,ROUND(D1187,2)=0),"","yes"))</f>
        <v/>
      </c>
      <c r="G1187" s="39" t="n"/>
      <c r="H1187" s="11">
        <f>IF(OR(A1187="",G1187=""),"",E1187-G1187)</f>
        <v/>
      </c>
    </row>
    <row r="1188">
      <c r="A1188" s="10">
        <f>IF(INDEX(lst_Jobs,1175)="","",INDEX(lst_Jobs,1175)&amp;"")</f>
        <v/>
      </c>
      <c r="B1188" s="10">
        <f>IF(A1188="","",INDEX(lst_JobName,1175)&amp;"")</f>
        <v/>
      </c>
      <c r="C1188" s="11">
        <f>IF(A1188="","",SUMIFS(tbl_WIP[Amount],tbl_WIP[Job Number],A1188,tbl_WIP[Month],"&lt;"&amp;$C$4))</f>
        <v/>
      </c>
      <c r="D1188" s="11">
        <f>IF(A1188="","",SUMIFS(tbl_WIP[Amount],tbl_WIP[Job Number],A1188,tbl_WIP[Month],$C$4))</f>
        <v/>
      </c>
      <c r="E1188" s="11">
        <f>IF(A1188="","",C1188+D1188)</f>
        <v/>
      </c>
      <c r="F1188" s="10">
        <f>IF(A1188="","",IF(AND(ROUND(C1188,2)=0,ROUND(D1188,2)=0),"","yes"))</f>
        <v/>
      </c>
      <c r="G1188" s="39" t="n"/>
      <c r="H1188" s="11">
        <f>IF(OR(A1188="",G1188=""),"",E1188-G1188)</f>
        <v/>
      </c>
    </row>
    <row r="1189">
      <c r="A1189" s="10">
        <f>IF(INDEX(lst_Jobs,1176)="","",INDEX(lst_Jobs,1176)&amp;"")</f>
        <v/>
      </c>
      <c r="B1189" s="10">
        <f>IF(A1189="","",INDEX(lst_JobName,1176)&amp;"")</f>
        <v/>
      </c>
      <c r="C1189" s="11">
        <f>IF(A1189="","",SUMIFS(tbl_WIP[Amount],tbl_WIP[Job Number],A1189,tbl_WIP[Month],"&lt;"&amp;$C$4))</f>
        <v/>
      </c>
      <c r="D1189" s="11">
        <f>IF(A1189="","",SUMIFS(tbl_WIP[Amount],tbl_WIP[Job Number],A1189,tbl_WIP[Month],$C$4))</f>
        <v/>
      </c>
      <c r="E1189" s="11">
        <f>IF(A1189="","",C1189+D1189)</f>
        <v/>
      </c>
      <c r="F1189" s="10">
        <f>IF(A1189="","",IF(AND(ROUND(C1189,2)=0,ROUND(D1189,2)=0),"","yes"))</f>
        <v/>
      </c>
      <c r="G1189" s="39" t="n"/>
      <c r="H1189" s="11">
        <f>IF(OR(A1189="",G1189=""),"",E1189-G1189)</f>
        <v/>
      </c>
    </row>
    <row r="1190">
      <c r="A1190" s="10">
        <f>IF(INDEX(lst_Jobs,1177)="","",INDEX(lst_Jobs,1177)&amp;"")</f>
        <v/>
      </c>
      <c r="B1190" s="10">
        <f>IF(A1190="","",INDEX(lst_JobName,1177)&amp;"")</f>
        <v/>
      </c>
      <c r="C1190" s="11">
        <f>IF(A1190="","",SUMIFS(tbl_WIP[Amount],tbl_WIP[Job Number],A1190,tbl_WIP[Month],"&lt;"&amp;$C$4))</f>
        <v/>
      </c>
      <c r="D1190" s="11">
        <f>IF(A1190="","",SUMIFS(tbl_WIP[Amount],tbl_WIP[Job Number],A1190,tbl_WIP[Month],$C$4))</f>
        <v/>
      </c>
      <c r="E1190" s="11">
        <f>IF(A1190="","",C1190+D1190)</f>
        <v/>
      </c>
      <c r="F1190" s="10">
        <f>IF(A1190="","",IF(AND(ROUND(C1190,2)=0,ROUND(D1190,2)=0),"","yes"))</f>
        <v/>
      </c>
      <c r="G1190" s="39" t="n"/>
      <c r="H1190" s="11">
        <f>IF(OR(A1190="",G1190=""),"",E1190-G1190)</f>
        <v/>
      </c>
    </row>
    <row r="1191">
      <c r="A1191" s="10">
        <f>IF(INDEX(lst_Jobs,1178)="","",INDEX(lst_Jobs,1178)&amp;"")</f>
        <v/>
      </c>
      <c r="B1191" s="10">
        <f>IF(A1191="","",INDEX(lst_JobName,1178)&amp;"")</f>
        <v/>
      </c>
      <c r="C1191" s="11">
        <f>IF(A1191="","",SUMIFS(tbl_WIP[Amount],tbl_WIP[Job Number],A1191,tbl_WIP[Month],"&lt;"&amp;$C$4))</f>
        <v/>
      </c>
      <c r="D1191" s="11">
        <f>IF(A1191="","",SUMIFS(tbl_WIP[Amount],tbl_WIP[Job Number],A1191,tbl_WIP[Month],$C$4))</f>
        <v/>
      </c>
      <c r="E1191" s="11">
        <f>IF(A1191="","",C1191+D1191)</f>
        <v/>
      </c>
      <c r="F1191" s="10">
        <f>IF(A1191="","",IF(AND(ROUND(C1191,2)=0,ROUND(D1191,2)=0),"","yes"))</f>
        <v/>
      </c>
      <c r="G1191" s="39" t="n"/>
      <c r="H1191" s="11">
        <f>IF(OR(A1191="",G1191=""),"",E1191-G1191)</f>
        <v/>
      </c>
    </row>
    <row r="1192">
      <c r="A1192" s="10">
        <f>IF(INDEX(lst_Jobs,1179)="","",INDEX(lst_Jobs,1179)&amp;"")</f>
        <v/>
      </c>
      <c r="B1192" s="10">
        <f>IF(A1192="","",INDEX(lst_JobName,1179)&amp;"")</f>
        <v/>
      </c>
      <c r="C1192" s="11">
        <f>IF(A1192="","",SUMIFS(tbl_WIP[Amount],tbl_WIP[Job Number],A1192,tbl_WIP[Month],"&lt;"&amp;$C$4))</f>
        <v/>
      </c>
      <c r="D1192" s="11">
        <f>IF(A1192="","",SUMIFS(tbl_WIP[Amount],tbl_WIP[Job Number],A1192,tbl_WIP[Month],$C$4))</f>
        <v/>
      </c>
      <c r="E1192" s="11">
        <f>IF(A1192="","",C1192+D1192)</f>
        <v/>
      </c>
      <c r="F1192" s="10">
        <f>IF(A1192="","",IF(AND(ROUND(C1192,2)=0,ROUND(D1192,2)=0),"","yes"))</f>
        <v/>
      </c>
      <c r="G1192" s="39" t="n"/>
      <c r="H1192" s="11">
        <f>IF(OR(A1192="",G1192=""),"",E1192-G1192)</f>
        <v/>
      </c>
    </row>
    <row r="1193">
      <c r="A1193" s="10">
        <f>IF(INDEX(lst_Jobs,1180)="","",INDEX(lst_Jobs,1180)&amp;"")</f>
        <v/>
      </c>
      <c r="B1193" s="10">
        <f>IF(A1193="","",INDEX(lst_JobName,1180)&amp;"")</f>
        <v/>
      </c>
      <c r="C1193" s="11">
        <f>IF(A1193="","",SUMIFS(tbl_WIP[Amount],tbl_WIP[Job Number],A1193,tbl_WIP[Month],"&lt;"&amp;$C$4))</f>
        <v/>
      </c>
      <c r="D1193" s="11">
        <f>IF(A1193="","",SUMIFS(tbl_WIP[Amount],tbl_WIP[Job Number],A1193,tbl_WIP[Month],$C$4))</f>
        <v/>
      </c>
      <c r="E1193" s="11">
        <f>IF(A1193="","",C1193+D1193)</f>
        <v/>
      </c>
      <c r="F1193" s="10">
        <f>IF(A1193="","",IF(AND(ROUND(C1193,2)=0,ROUND(D1193,2)=0),"","yes"))</f>
        <v/>
      </c>
      <c r="G1193" s="39" t="n"/>
      <c r="H1193" s="11">
        <f>IF(OR(A1193="",G1193=""),"",E1193-G1193)</f>
        <v/>
      </c>
    </row>
    <row r="1194">
      <c r="A1194" s="10">
        <f>IF(INDEX(lst_Jobs,1181)="","",INDEX(lst_Jobs,1181)&amp;"")</f>
        <v/>
      </c>
      <c r="B1194" s="10">
        <f>IF(A1194="","",INDEX(lst_JobName,1181)&amp;"")</f>
        <v/>
      </c>
      <c r="C1194" s="11">
        <f>IF(A1194="","",SUMIFS(tbl_WIP[Amount],tbl_WIP[Job Number],A1194,tbl_WIP[Month],"&lt;"&amp;$C$4))</f>
        <v/>
      </c>
      <c r="D1194" s="11">
        <f>IF(A1194="","",SUMIFS(tbl_WIP[Amount],tbl_WIP[Job Number],A1194,tbl_WIP[Month],$C$4))</f>
        <v/>
      </c>
      <c r="E1194" s="11">
        <f>IF(A1194="","",C1194+D1194)</f>
        <v/>
      </c>
      <c r="F1194" s="10">
        <f>IF(A1194="","",IF(AND(ROUND(C1194,2)=0,ROUND(D1194,2)=0),"","yes"))</f>
        <v/>
      </c>
      <c r="G1194" s="39" t="n"/>
      <c r="H1194" s="11">
        <f>IF(OR(A1194="",G1194=""),"",E1194-G1194)</f>
        <v/>
      </c>
    </row>
    <row r="1195">
      <c r="A1195" s="10">
        <f>IF(INDEX(lst_Jobs,1182)="","",INDEX(lst_Jobs,1182)&amp;"")</f>
        <v/>
      </c>
      <c r="B1195" s="10">
        <f>IF(A1195="","",INDEX(lst_JobName,1182)&amp;"")</f>
        <v/>
      </c>
      <c r="C1195" s="11">
        <f>IF(A1195="","",SUMIFS(tbl_WIP[Amount],tbl_WIP[Job Number],A1195,tbl_WIP[Month],"&lt;"&amp;$C$4))</f>
        <v/>
      </c>
      <c r="D1195" s="11">
        <f>IF(A1195="","",SUMIFS(tbl_WIP[Amount],tbl_WIP[Job Number],A1195,tbl_WIP[Month],$C$4))</f>
        <v/>
      </c>
      <c r="E1195" s="11">
        <f>IF(A1195="","",C1195+D1195)</f>
        <v/>
      </c>
      <c r="F1195" s="10">
        <f>IF(A1195="","",IF(AND(ROUND(C1195,2)=0,ROUND(D1195,2)=0),"","yes"))</f>
        <v/>
      </c>
      <c r="G1195" s="39" t="n"/>
      <c r="H1195" s="11">
        <f>IF(OR(A1195="",G1195=""),"",E1195-G1195)</f>
        <v/>
      </c>
    </row>
    <row r="1196">
      <c r="A1196" s="10">
        <f>IF(INDEX(lst_Jobs,1183)="","",INDEX(lst_Jobs,1183)&amp;"")</f>
        <v/>
      </c>
      <c r="B1196" s="10">
        <f>IF(A1196="","",INDEX(lst_JobName,1183)&amp;"")</f>
        <v/>
      </c>
      <c r="C1196" s="11">
        <f>IF(A1196="","",SUMIFS(tbl_WIP[Amount],tbl_WIP[Job Number],A1196,tbl_WIP[Month],"&lt;"&amp;$C$4))</f>
        <v/>
      </c>
      <c r="D1196" s="11">
        <f>IF(A1196="","",SUMIFS(tbl_WIP[Amount],tbl_WIP[Job Number],A1196,tbl_WIP[Month],$C$4))</f>
        <v/>
      </c>
      <c r="E1196" s="11">
        <f>IF(A1196="","",C1196+D1196)</f>
        <v/>
      </c>
      <c r="F1196" s="10">
        <f>IF(A1196="","",IF(AND(ROUND(C1196,2)=0,ROUND(D1196,2)=0),"","yes"))</f>
        <v/>
      </c>
      <c r="G1196" s="39" t="n"/>
      <c r="H1196" s="11">
        <f>IF(OR(A1196="",G1196=""),"",E1196-G1196)</f>
        <v/>
      </c>
    </row>
    <row r="1197">
      <c r="A1197" s="10">
        <f>IF(INDEX(lst_Jobs,1184)="","",INDEX(lst_Jobs,1184)&amp;"")</f>
        <v/>
      </c>
      <c r="B1197" s="10">
        <f>IF(A1197="","",INDEX(lst_JobName,1184)&amp;"")</f>
        <v/>
      </c>
      <c r="C1197" s="11">
        <f>IF(A1197="","",SUMIFS(tbl_WIP[Amount],tbl_WIP[Job Number],A1197,tbl_WIP[Month],"&lt;"&amp;$C$4))</f>
        <v/>
      </c>
      <c r="D1197" s="11">
        <f>IF(A1197="","",SUMIFS(tbl_WIP[Amount],tbl_WIP[Job Number],A1197,tbl_WIP[Month],$C$4))</f>
        <v/>
      </c>
      <c r="E1197" s="11">
        <f>IF(A1197="","",C1197+D1197)</f>
        <v/>
      </c>
      <c r="F1197" s="10">
        <f>IF(A1197="","",IF(AND(ROUND(C1197,2)=0,ROUND(D1197,2)=0),"","yes"))</f>
        <v/>
      </c>
      <c r="G1197" s="39" t="n"/>
      <c r="H1197" s="11">
        <f>IF(OR(A1197="",G1197=""),"",E1197-G1197)</f>
        <v/>
      </c>
    </row>
    <row r="1198">
      <c r="A1198" s="10">
        <f>IF(INDEX(lst_Jobs,1185)="","",INDEX(lst_Jobs,1185)&amp;"")</f>
        <v/>
      </c>
      <c r="B1198" s="10">
        <f>IF(A1198="","",INDEX(lst_JobName,1185)&amp;"")</f>
        <v/>
      </c>
      <c r="C1198" s="11">
        <f>IF(A1198="","",SUMIFS(tbl_WIP[Amount],tbl_WIP[Job Number],A1198,tbl_WIP[Month],"&lt;"&amp;$C$4))</f>
        <v/>
      </c>
      <c r="D1198" s="11">
        <f>IF(A1198="","",SUMIFS(tbl_WIP[Amount],tbl_WIP[Job Number],A1198,tbl_WIP[Month],$C$4))</f>
        <v/>
      </c>
      <c r="E1198" s="11">
        <f>IF(A1198="","",C1198+D1198)</f>
        <v/>
      </c>
      <c r="F1198" s="10">
        <f>IF(A1198="","",IF(AND(ROUND(C1198,2)=0,ROUND(D1198,2)=0),"","yes"))</f>
        <v/>
      </c>
      <c r="G1198" s="39" t="n"/>
      <c r="H1198" s="11">
        <f>IF(OR(A1198="",G1198=""),"",E1198-G1198)</f>
        <v/>
      </c>
    </row>
    <row r="1199">
      <c r="A1199" s="10">
        <f>IF(INDEX(lst_Jobs,1186)="","",INDEX(lst_Jobs,1186)&amp;"")</f>
        <v/>
      </c>
      <c r="B1199" s="10">
        <f>IF(A1199="","",INDEX(lst_JobName,1186)&amp;"")</f>
        <v/>
      </c>
      <c r="C1199" s="11">
        <f>IF(A1199="","",SUMIFS(tbl_WIP[Amount],tbl_WIP[Job Number],A1199,tbl_WIP[Month],"&lt;"&amp;$C$4))</f>
        <v/>
      </c>
      <c r="D1199" s="11">
        <f>IF(A1199="","",SUMIFS(tbl_WIP[Amount],tbl_WIP[Job Number],A1199,tbl_WIP[Month],$C$4))</f>
        <v/>
      </c>
      <c r="E1199" s="11">
        <f>IF(A1199="","",C1199+D1199)</f>
        <v/>
      </c>
      <c r="F1199" s="10">
        <f>IF(A1199="","",IF(AND(ROUND(C1199,2)=0,ROUND(D1199,2)=0),"","yes"))</f>
        <v/>
      </c>
      <c r="G1199" s="39" t="n"/>
      <c r="H1199" s="11">
        <f>IF(OR(A1199="",G1199=""),"",E1199-G1199)</f>
        <v/>
      </c>
    </row>
    <row r="1200">
      <c r="A1200" s="10">
        <f>IF(INDEX(lst_Jobs,1187)="","",INDEX(lst_Jobs,1187)&amp;"")</f>
        <v/>
      </c>
      <c r="B1200" s="10">
        <f>IF(A1200="","",INDEX(lst_JobName,1187)&amp;"")</f>
        <v/>
      </c>
      <c r="C1200" s="11">
        <f>IF(A1200="","",SUMIFS(tbl_WIP[Amount],tbl_WIP[Job Number],A1200,tbl_WIP[Month],"&lt;"&amp;$C$4))</f>
        <v/>
      </c>
      <c r="D1200" s="11">
        <f>IF(A1200="","",SUMIFS(tbl_WIP[Amount],tbl_WIP[Job Number],A1200,tbl_WIP[Month],$C$4))</f>
        <v/>
      </c>
      <c r="E1200" s="11">
        <f>IF(A1200="","",C1200+D1200)</f>
        <v/>
      </c>
      <c r="F1200" s="10">
        <f>IF(A1200="","",IF(AND(ROUND(C1200,2)=0,ROUND(D1200,2)=0),"","yes"))</f>
        <v/>
      </c>
      <c r="G1200" s="39" t="n"/>
      <c r="H1200" s="11">
        <f>IF(OR(A1200="",G1200=""),"",E1200-G1200)</f>
        <v/>
      </c>
    </row>
    <row r="1201">
      <c r="A1201" s="10">
        <f>IF(INDEX(lst_Jobs,1188)="","",INDEX(lst_Jobs,1188)&amp;"")</f>
        <v/>
      </c>
      <c r="B1201" s="10">
        <f>IF(A1201="","",INDEX(lst_JobName,1188)&amp;"")</f>
        <v/>
      </c>
      <c r="C1201" s="11">
        <f>IF(A1201="","",SUMIFS(tbl_WIP[Amount],tbl_WIP[Job Number],A1201,tbl_WIP[Month],"&lt;"&amp;$C$4))</f>
        <v/>
      </c>
      <c r="D1201" s="11">
        <f>IF(A1201="","",SUMIFS(tbl_WIP[Amount],tbl_WIP[Job Number],A1201,tbl_WIP[Month],$C$4))</f>
        <v/>
      </c>
      <c r="E1201" s="11">
        <f>IF(A1201="","",C1201+D1201)</f>
        <v/>
      </c>
      <c r="F1201" s="10">
        <f>IF(A1201="","",IF(AND(ROUND(C1201,2)=0,ROUND(D1201,2)=0),"","yes"))</f>
        <v/>
      </c>
      <c r="G1201" s="39" t="n"/>
      <c r="H1201" s="11">
        <f>IF(OR(A1201="",G1201=""),"",E1201-G1201)</f>
        <v/>
      </c>
    </row>
    <row r="1202">
      <c r="A1202" s="10">
        <f>IF(INDEX(lst_Jobs,1189)="","",INDEX(lst_Jobs,1189)&amp;"")</f>
        <v/>
      </c>
      <c r="B1202" s="10">
        <f>IF(A1202="","",INDEX(lst_JobName,1189)&amp;"")</f>
        <v/>
      </c>
      <c r="C1202" s="11">
        <f>IF(A1202="","",SUMIFS(tbl_WIP[Amount],tbl_WIP[Job Number],A1202,tbl_WIP[Month],"&lt;"&amp;$C$4))</f>
        <v/>
      </c>
      <c r="D1202" s="11">
        <f>IF(A1202="","",SUMIFS(tbl_WIP[Amount],tbl_WIP[Job Number],A1202,tbl_WIP[Month],$C$4))</f>
        <v/>
      </c>
      <c r="E1202" s="11">
        <f>IF(A1202="","",C1202+D1202)</f>
        <v/>
      </c>
      <c r="F1202" s="10">
        <f>IF(A1202="","",IF(AND(ROUND(C1202,2)=0,ROUND(D1202,2)=0),"","yes"))</f>
        <v/>
      </c>
      <c r="G1202" s="39" t="n"/>
      <c r="H1202" s="11">
        <f>IF(OR(A1202="",G1202=""),"",E1202-G1202)</f>
        <v/>
      </c>
    </row>
    <row r="1203">
      <c r="A1203" s="10">
        <f>IF(INDEX(lst_Jobs,1190)="","",INDEX(lst_Jobs,1190)&amp;"")</f>
        <v/>
      </c>
      <c r="B1203" s="10">
        <f>IF(A1203="","",INDEX(lst_JobName,1190)&amp;"")</f>
        <v/>
      </c>
      <c r="C1203" s="11">
        <f>IF(A1203="","",SUMIFS(tbl_WIP[Amount],tbl_WIP[Job Number],A1203,tbl_WIP[Month],"&lt;"&amp;$C$4))</f>
        <v/>
      </c>
      <c r="D1203" s="11">
        <f>IF(A1203="","",SUMIFS(tbl_WIP[Amount],tbl_WIP[Job Number],A1203,tbl_WIP[Month],$C$4))</f>
        <v/>
      </c>
      <c r="E1203" s="11">
        <f>IF(A1203="","",C1203+D1203)</f>
        <v/>
      </c>
      <c r="F1203" s="10">
        <f>IF(A1203="","",IF(AND(ROUND(C1203,2)=0,ROUND(D1203,2)=0),"","yes"))</f>
        <v/>
      </c>
      <c r="G1203" s="39" t="n"/>
      <c r="H1203" s="11">
        <f>IF(OR(A1203="",G1203=""),"",E1203-G1203)</f>
        <v/>
      </c>
    </row>
    <row r="1204">
      <c r="A1204" s="10">
        <f>IF(INDEX(lst_Jobs,1191)="","",INDEX(lst_Jobs,1191)&amp;"")</f>
        <v/>
      </c>
      <c r="B1204" s="10">
        <f>IF(A1204="","",INDEX(lst_JobName,1191)&amp;"")</f>
        <v/>
      </c>
      <c r="C1204" s="11">
        <f>IF(A1204="","",SUMIFS(tbl_WIP[Amount],tbl_WIP[Job Number],A1204,tbl_WIP[Month],"&lt;"&amp;$C$4))</f>
        <v/>
      </c>
      <c r="D1204" s="11">
        <f>IF(A1204="","",SUMIFS(tbl_WIP[Amount],tbl_WIP[Job Number],A1204,tbl_WIP[Month],$C$4))</f>
        <v/>
      </c>
      <c r="E1204" s="11">
        <f>IF(A1204="","",C1204+D1204)</f>
        <v/>
      </c>
      <c r="F1204" s="10">
        <f>IF(A1204="","",IF(AND(ROUND(C1204,2)=0,ROUND(D1204,2)=0),"","yes"))</f>
        <v/>
      </c>
      <c r="G1204" s="39" t="n"/>
      <c r="H1204" s="11">
        <f>IF(OR(A1204="",G1204=""),"",E1204-G1204)</f>
        <v/>
      </c>
    </row>
    <row r="1205">
      <c r="A1205" s="10">
        <f>IF(INDEX(lst_Jobs,1192)="","",INDEX(lst_Jobs,1192)&amp;"")</f>
        <v/>
      </c>
      <c r="B1205" s="10">
        <f>IF(A1205="","",INDEX(lst_JobName,1192)&amp;"")</f>
        <v/>
      </c>
      <c r="C1205" s="11">
        <f>IF(A1205="","",SUMIFS(tbl_WIP[Amount],tbl_WIP[Job Number],A1205,tbl_WIP[Month],"&lt;"&amp;$C$4))</f>
        <v/>
      </c>
      <c r="D1205" s="11">
        <f>IF(A1205="","",SUMIFS(tbl_WIP[Amount],tbl_WIP[Job Number],A1205,tbl_WIP[Month],$C$4))</f>
        <v/>
      </c>
      <c r="E1205" s="11">
        <f>IF(A1205="","",C1205+D1205)</f>
        <v/>
      </c>
      <c r="F1205" s="10">
        <f>IF(A1205="","",IF(AND(ROUND(C1205,2)=0,ROUND(D1205,2)=0),"","yes"))</f>
        <v/>
      </c>
      <c r="G1205" s="39" t="n"/>
      <c r="H1205" s="11">
        <f>IF(OR(A1205="",G1205=""),"",E1205-G1205)</f>
        <v/>
      </c>
    </row>
    <row r="1206">
      <c r="A1206" s="10">
        <f>IF(INDEX(lst_Jobs,1193)="","",INDEX(lst_Jobs,1193)&amp;"")</f>
        <v/>
      </c>
      <c r="B1206" s="10">
        <f>IF(A1206="","",INDEX(lst_JobName,1193)&amp;"")</f>
        <v/>
      </c>
      <c r="C1206" s="11">
        <f>IF(A1206="","",SUMIFS(tbl_WIP[Amount],tbl_WIP[Job Number],A1206,tbl_WIP[Month],"&lt;"&amp;$C$4))</f>
        <v/>
      </c>
      <c r="D1206" s="11">
        <f>IF(A1206="","",SUMIFS(tbl_WIP[Amount],tbl_WIP[Job Number],A1206,tbl_WIP[Month],$C$4))</f>
        <v/>
      </c>
      <c r="E1206" s="11">
        <f>IF(A1206="","",C1206+D1206)</f>
        <v/>
      </c>
      <c r="F1206" s="10">
        <f>IF(A1206="","",IF(AND(ROUND(C1206,2)=0,ROUND(D1206,2)=0),"","yes"))</f>
        <v/>
      </c>
      <c r="G1206" s="39" t="n"/>
      <c r="H1206" s="11">
        <f>IF(OR(A1206="",G1206=""),"",E1206-G1206)</f>
        <v/>
      </c>
    </row>
    <row r="1207">
      <c r="A1207" s="10">
        <f>IF(INDEX(lst_Jobs,1194)="","",INDEX(lst_Jobs,1194)&amp;"")</f>
        <v/>
      </c>
      <c r="B1207" s="10">
        <f>IF(A1207="","",INDEX(lst_JobName,1194)&amp;"")</f>
        <v/>
      </c>
      <c r="C1207" s="11">
        <f>IF(A1207="","",SUMIFS(tbl_WIP[Amount],tbl_WIP[Job Number],A1207,tbl_WIP[Month],"&lt;"&amp;$C$4))</f>
        <v/>
      </c>
      <c r="D1207" s="11">
        <f>IF(A1207="","",SUMIFS(tbl_WIP[Amount],tbl_WIP[Job Number],A1207,tbl_WIP[Month],$C$4))</f>
        <v/>
      </c>
      <c r="E1207" s="11">
        <f>IF(A1207="","",C1207+D1207)</f>
        <v/>
      </c>
      <c r="F1207" s="10">
        <f>IF(A1207="","",IF(AND(ROUND(C1207,2)=0,ROUND(D1207,2)=0),"","yes"))</f>
        <v/>
      </c>
      <c r="G1207" s="39" t="n"/>
      <c r="H1207" s="11">
        <f>IF(OR(A1207="",G1207=""),"",E1207-G1207)</f>
        <v/>
      </c>
    </row>
    <row r="1208">
      <c r="A1208" s="10">
        <f>IF(INDEX(lst_Jobs,1195)="","",INDEX(lst_Jobs,1195)&amp;"")</f>
        <v/>
      </c>
      <c r="B1208" s="10">
        <f>IF(A1208="","",INDEX(lst_JobName,1195)&amp;"")</f>
        <v/>
      </c>
      <c r="C1208" s="11">
        <f>IF(A1208="","",SUMIFS(tbl_WIP[Amount],tbl_WIP[Job Number],A1208,tbl_WIP[Month],"&lt;"&amp;$C$4))</f>
        <v/>
      </c>
      <c r="D1208" s="11">
        <f>IF(A1208="","",SUMIFS(tbl_WIP[Amount],tbl_WIP[Job Number],A1208,tbl_WIP[Month],$C$4))</f>
        <v/>
      </c>
      <c r="E1208" s="11">
        <f>IF(A1208="","",C1208+D1208)</f>
        <v/>
      </c>
      <c r="F1208" s="10">
        <f>IF(A1208="","",IF(AND(ROUND(C1208,2)=0,ROUND(D1208,2)=0),"","yes"))</f>
        <v/>
      </c>
      <c r="G1208" s="39" t="n"/>
      <c r="H1208" s="11">
        <f>IF(OR(A1208="",G1208=""),"",E1208-G1208)</f>
        <v/>
      </c>
    </row>
    <row r="1209">
      <c r="A1209" s="10">
        <f>IF(INDEX(lst_Jobs,1196)="","",INDEX(lst_Jobs,1196)&amp;"")</f>
        <v/>
      </c>
      <c r="B1209" s="10">
        <f>IF(A1209="","",INDEX(lst_JobName,1196)&amp;"")</f>
        <v/>
      </c>
      <c r="C1209" s="11">
        <f>IF(A1209="","",SUMIFS(tbl_WIP[Amount],tbl_WIP[Job Number],A1209,tbl_WIP[Month],"&lt;"&amp;$C$4))</f>
        <v/>
      </c>
      <c r="D1209" s="11">
        <f>IF(A1209="","",SUMIFS(tbl_WIP[Amount],tbl_WIP[Job Number],A1209,tbl_WIP[Month],$C$4))</f>
        <v/>
      </c>
      <c r="E1209" s="11">
        <f>IF(A1209="","",C1209+D1209)</f>
        <v/>
      </c>
      <c r="F1209" s="10">
        <f>IF(A1209="","",IF(AND(ROUND(C1209,2)=0,ROUND(D1209,2)=0),"","yes"))</f>
        <v/>
      </c>
      <c r="G1209" s="39" t="n"/>
      <c r="H1209" s="11">
        <f>IF(OR(A1209="",G1209=""),"",E1209-G1209)</f>
        <v/>
      </c>
    </row>
    <row r="1210">
      <c r="A1210" s="10">
        <f>IF(INDEX(lst_Jobs,1197)="","",INDEX(lst_Jobs,1197)&amp;"")</f>
        <v/>
      </c>
      <c r="B1210" s="10">
        <f>IF(A1210="","",INDEX(lst_JobName,1197)&amp;"")</f>
        <v/>
      </c>
      <c r="C1210" s="11">
        <f>IF(A1210="","",SUMIFS(tbl_WIP[Amount],tbl_WIP[Job Number],A1210,tbl_WIP[Month],"&lt;"&amp;$C$4))</f>
        <v/>
      </c>
      <c r="D1210" s="11">
        <f>IF(A1210="","",SUMIFS(tbl_WIP[Amount],tbl_WIP[Job Number],A1210,tbl_WIP[Month],$C$4))</f>
        <v/>
      </c>
      <c r="E1210" s="11">
        <f>IF(A1210="","",C1210+D1210)</f>
        <v/>
      </c>
      <c r="F1210" s="10">
        <f>IF(A1210="","",IF(AND(ROUND(C1210,2)=0,ROUND(D1210,2)=0),"","yes"))</f>
        <v/>
      </c>
      <c r="G1210" s="39" t="n"/>
      <c r="H1210" s="11">
        <f>IF(OR(A1210="",G1210=""),"",E1210-G1210)</f>
        <v/>
      </c>
    </row>
    <row r="1211">
      <c r="A1211" s="10">
        <f>IF(INDEX(lst_Jobs,1198)="","",INDEX(lst_Jobs,1198)&amp;"")</f>
        <v/>
      </c>
      <c r="B1211" s="10">
        <f>IF(A1211="","",INDEX(lst_JobName,1198)&amp;"")</f>
        <v/>
      </c>
      <c r="C1211" s="11">
        <f>IF(A1211="","",SUMIFS(tbl_WIP[Amount],tbl_WIP[Job Number],A1211,tbl_WIP[Month],"&lt;"&amp;$C$4))</f>
        <v/>
      </c>
      <c r="D1211" s="11">
        <f>IF(A1211="","",SUMIFS(tbl_WIP[Amount],tbl_WIP[Job Number],A1211,tbl_WIP[Month],$C$4))</f>
        <v/>
      </c>
      <c r="E1211" s="11">
        <f>IF(A1211="","",C1211+D1211)</f>
        <v/>
      </c>
      <c r="F1211" s="10">
        <f>IF(A1211="","",IF(AND(ROUND(C1211,2)=0,ROUND(D1211,2)=0),"","yes"))</f>
        <v/>
      </c>
      <c r="G1211" s="39" t="n"/>
      <c r="H1211" s="11">
        <f>IF(OR(A1211="",G1211=""),"",E1211-G1211)</f>
        <v/>
      </c>
    </row>
    <row r="1212">
      <c r="A1212" s="10">
        <f>IF(INDEX(lst_Jobs,1199)="","",INDEX(lst_Jobs,1199)&amp;"")</f>
        <v/>
      </c>
      <c r="B1212" s="10">
        <f>IF(A1212="","",INDEX(lst_JobName,1199)&amp;"")</f>
        <v/>
      </c>
      <c r="C1212" s="11">
        <f>IF(A1212="","",SUMIFS(tbl_WIP[Amount],tbl_WIP[Job Number],A1212,tbl_WIP[Month],"&lt;"&amp;$C$4))</f>
        <v/>
      </c>
      <c r="D1212" s="11">
        <f>IF(A1212="","",SUMIFS(tbl_WIP[Amount],tbl_WIP[Job Number],A1212,tbl_WIP[Month],$C$4))</f>
        <v/>
      </c>
      <c r="E1212" s="11">
        <f>IF(A1212="","",C1212+D1212)</f>
        <v/>
      </c>
      <c r="F1212" s="10">
        <f>IF(A1212="","",IF(AND(ROUND(C1212,2)=0,ROUND(D1212,2)=0),"","yes"))</f>
        <v/>
      </c>
      <c r="G1212" s="39" t="n"/>
      <c r="H1212" s="11">
        <f>IF(OR(A1212="",G1212=""),"",E1212-G1212)</f>
        <v/>
      </c>
    </row>
    <row r="1213">
      <c r="A1213" s="10">
        <f>IF(INDEX(lst_Jobs,1200)="","",INDEX(lst_Jobs,1200)&amp;"")</f>
        <v/>
      </c>
      <c r="B1213" s="10">
        <f>IF(A1213="","",INDEX(lst_JobName,1200)&amp;"")</f>
        <v/>
      </c>
      <c r="C1213" s="11">
        <f>IF(A1213="","",SUMIFS(tbl_WIP[Amount],tbl_WIP[Job Number],A1213,tbl_WIP[Month],"&lt;"&amp;$C$4))</f>
        <v/>
      </c>
      <c r="D1213" s="11">
        <f>IF(A1213="","",SUMIFS(tbl_WIP[Amount],tbl_WIP[Job Number],A1213,tbl_WIP[Month],$C$4))</f>
        <v/>
      </c>
      <c r="E1213" s="11">
        <f>IF(A1213="","",C1213+D1213)</f>
        <v/>
      </c>
      <c r="F1213" s="10">
        <f>IF(A1213="","",IF(AND(ROUND(C1213,2)=0,ROUND(D1213,2)=0),"","yes"))</f>
        <v/>
      </c>
      <c r="G1213" s="39" t="n"/>
      <c r="H1213" s="11">
        <f>IF(OR(A1213="",G1213=""),"",E1213-G1213)</f>
        <v/>
      </c>
    </row>
    <row r="1214">
      <c r="A1214" s="10">
        <f>IF(INDEX(lst_Jobs,1201)="","",INDEX(lst_Jobs,1201)&amp;"")</f>
        <v/>
      </c>
      <c r="B1214" s="10">
        <f>IF(A1214="","",INDEX(lst_JobName,1201)&amp;"")</f>
        <v/>
      </c>
      <c r="C1214" s="11">
        <f>IF(A1214="","",SUMIFS(tbl_WIP[Amount],tbl_WIP[Job Number],A1214,tbl_WIP[Month],"&lt;"&amp;$C$4))</f>
        <v/>
      </c>
      <c r="D1214" s="11">
        <f>IF(A1214="","",SUMIFS(tbl_WIP[Amount],tbl_WIP[Job Number],A1214,tbl_WIP[Month],$C$4))</f>
        <v/>
      </c>
      <c r="E1214" s="11">
        <f>IF(A1214="","",C1214+D1214)</f>
        <v/>
      </c>
      <c r="F1214" s="10">
        <f>IF(A1214="","",IF(AND(ROUND(C1214,2)=0,ROUND(D1214,2)=0),"","yes"))</f>
        <v/>
      </c>
      <c r="G1214" s="39" t="n"/>
      <c r="H1214" s="11">
        <f>IF(OR(A1214="",G1214=""),"",E1214-G1214)</f>
        <v/>
      </c>
    </row>
    <row r="1215">
      <c r="A1215" s="10">
        <f>IF(INDEX(lst_Jobs,1202)="","",INDEX(lst_Jobs,1202)&amp;"")</f>
        <v/>
      </c>
      <c r="B1215" s="10">
        <f>IF(A1215="","",INDEX(lst_JobName,1202)&amp;"")</f>
        <v/>
      </c>
      <c r="C1215" s="11">
        <f>IF(A1215="","",SUMIFS(tbl_WIP[Amount],tbl_WIP[Job Number],A1215,tbl_WIP[Month],"&lt;"&amp;$C$4))</f>
        <v/>
      </c>
      <c r="D1215" s="11">
        <f>IF(A1215="","",SUMIFS(tbl_WIP[Amount],tbl_WIP[Job Number],A1215,tbl_WIP[Month],$C$4))</f>
        <v/>
      </c>
      <c r="E1215" s="11">
        <f>IF(A1215="","",C1215+D1215)</f>
        <v/>
      </c>
      <c r="F1215" s="10">
        <f>IF(A1215="","",IF(AND(ROUND(C1215,2)=0,ROUND(D1215,2)=0),"","yes"))</f>
        <v/>
      </c>
      <c r="G1215" s="39" t="n"/>
      <c r="H1215" s="11">
        <f>IF(OR(A1215="",G1215=""),"",E1215-G1215)</f>
        <v/>
      </c>
    </row>
    <row r="1216">
      <c r="A1216" s="10">
        <f>IF(INDEX(lst_Jobs,1203)="","",INDEX(lst_Jobs,1203)&amp;"")</f>
        <v/>
      </c>
      <c r="B1216" s="10">
        <f>IF(A1216="","",INDEX(lst_JobName,1203)&amp;"")</f>
        <v/>
      </c>
      <c r="C1216" s="11">
        <f>IF(A1216="","",SUMIFS(tbl_WIP[Amount],tbl_WIP[Job Number],A1216,tbl_WIP[Month],"&lt;"&amp;$C$4))</f>
        <v/>
      </c>
      <c r="D1216" s="11">
        <f>IF(A1216="","",SUMIFS(tbl_WIP[Amount],tbl_WIP[Job Number],A1216,tbl_WIP[Month],$C$4))</f>
        <v/>
      </c>
      <c r="E1216" s="11">
        <f>IF(A1216="","",C1216+D1216)</f>
        <v/>
      </c>
      <c r="F1216" s="10">
        <f>IF(A1216="","",IF(AND(ROUND(C1216,2)=0,ROUND(D1216,2)=0),"","yes"))</f>
        <v/>
      </c>
      <c r="G1216" s="39" t="n"/>
      <c r="H1216" s="11">
        <f>IF(OR(A1216="",G1216=""),"",E1216-G1216)</f>
        <v/>
      </c>
    </row>
    <row r="1217">
      <c r="A1217" s="10">
        <f>IF(INDEX(lst_Jobs,1204)="","",INDEX(lst_Jobs,1204)&amp;"")</f>
        <v/>
      </c>
      <c r="B1217" s="10">
        <f>IF(A1217="","",INDEX(lst_JobName,1204)&amp;"")</f>
        <v/>
      </c>
      <c r="C1217" s="11">
        <f>IF(A1217="","",SUMIFS(tbl_WIP[Amount],tbl_WIP[Job Number],A1217,tbl_WIP[Month],"&lt;"&amp;$C$4))</f>
        <v/>
      </c>
      <c r="D1217" s="11">
        <f>IF(A1217="","",SUMIFS(tbl_WIP[Amount],tbl_WIP[Job Number],A1217,tbl_WIP[Month],$C$4))</f>
        <v/>
      </c>
      <c r="E1217" s="11">
        <f>IF(A1217="","",C1217+D1217)</f>
        <v/>
      </c>
      <c r="F1217" s="10">
        <f>IF(A1217="","",IF(AND(ROUND(C1217,2)=0,ROUND(D1217,2)=0),"","yes"))</f>
        <v/>
      </c>
      <c r="G1217" s="39" t="n"/>
      <c r="H1217" s="11">
        <f>IF(OR(A1217="",G1217=""),"",E1217-G1217)</f>
        <v/>
      </c>
    </row>
    <row r="1218">
      <c r="A1218" s="10">
        <f>IF(INDEX(lst_Jobs,1205)="","",INDEX(lst_Jobs,1205)&amp;"")</f>
        <v/>
      </c>
      <c r="B1218" s="10">
        <f>IF(A1218="","",INDEX(lst_JobName,1205)&amp;"")</f>
        <v/>
      </c>
      <c r="C1218" s="11">
        <f>IF(A1218="","",SUMIFS(tbl_WIP[Amount],tbl_WIP[Job Number],A1218,tbl_WIP[Month],"&lt;"&amp;$C$4))</f>
        <v/>
      </c>
      <c r="D1218" s="11">
        <f>IF(A1218="","",SUMIFS(tbl_WIP[Amount],tbl_WIP[Job Number],A1218,tbl_WIP[Month],$C$4))</f>
        <v/>
      </c>
      <c r="E1218" s="11">
        <f>IF(A1218="","",C1218+D1218)</f>
        <v/>
      </c>
      <c r="F1218" s="10">
        <f>IF(A1218="","",IF(AND(ROUND(C1218,2)=0,ROUND(D1218,2)=0),"","yes"))</f>
        <v/>
      </c>
      <c r="G1218" s="39" t="n"/>
      <c r="H1218" s="11">
        <f>IF(OR(A1218="",G1218=""),"",E1218-G1218)</f>
        <v/>
      </c>
    </row>
    <row r="1219">
      <c r="A1219" s="10">
        <f>IF(INDEX(lst_Jobs,1206)="","",INDEX(lst_Jobs,1206)&amp;"")</f>
        <v/>
      </c>
      <c r="B1219" s="10">
        <f>IF(A1219="","",INDEX(lst_JobName,1206)&amp;"")</f>
        <v/>
      </c>
      <c r="C1219" s="11">
        <f>IF(A1219="","",SUMIFS(tbl_WIP[Amount],tbl_WIP[Job Number],A1219,tbl_WIP[Month],"&lt;"&amp;$C$4))</f>
        <v/>
      </c>
      <c r="D1219" s="11">
        <f>IF(A1219="","",SUMIFS(tbl_WIP[Amount],tbl_WIP[Job Number],A1219,tbl_WIP[Month],$C$4))</f>
        <v/>
      </c>
      <c r="E1219" s="11">
        <f>IF(A1219="","",C1219+D1219)</f>
        <v/>
      </c>
      <c r="F1219" s="10">
        <f>IF(A1219="","",IF(AND(ROUND(C1219,2)=0,ROUND(D1219,2)=0),"","yes"))</f>
        <v/>
      </c>
      <c r="G1219" s="39" t="n"/>
      <c r="H1219" s="11">
        <f>IF(OR(A1219="",G1219=""),"",E1219-G1219)</f>
        <v/>
      </c>
    </row>
    <row r="1220">
      <c r="A1220" s="10">
        <f>IF(INDEX(lst_Jobs,1207)="","",INDEX(lst_Jobs,1207)&amp;"")</f>
        <v/>
      </c>
      <c r="B1220" s="10">
        <f>IF(A1220="","",INDEX(lst_JobName,1207)&amp;"")</f>
        <v/>
      </c>
      <c r="C1220" s="11">
        <f>IF(A1220="","",SUMIFS(tbl_WIP[Amount],tbl_WIP[Job Number],A1220,tbl_WIP[Month],"&lt;"&amp;$C$4))</f>
        <v/>
      </c>
      <c r="D1220" s="11">
        <f>IF(A1220="","",SUMIFS(tbl_WIP[Amount],tbl_WIP[Job Number],A1220,tbl_WIP[Month],$C$4))</f>
        <v/>
      </c>
      <c r="E1220" s="11">
        <f>IF(A1220="","",C1220+D1220)</f>
        <v/>
      </c>
      <c r="F1220" s="10">
        <f>IF(A1220="","",IF(AND(ROUND(C1220,2)=0,ROUND(D1220,2)=0),"","yes"))</f>
        <v/>
      </c>
      <c r="G1220" s="39" t="n"/>
      <c r="H1220" s="11">
        <f>IF(OR(A1220="",G1220=""),"",E1220-G1220)</f>
        <v/>
      </c>
    </row>
    <row r="1221">
      <c r="A1221" s="10">
        <f>IF(INDEX(lst_Jobs,1208)="","",INDEX(lst_Jobs,1208)&amp;"")</f>
        <v/>
      </c>
      <c r="B1221" s="10">
        <f>IF(A1221="","",INDEX(lst_JobName,1208)&amp;"")</f>
        <v/>
      </c>
      <c r="C1221" s="11">
        <f>IF(A1221="","",SUMIFS(tbl_WIP[Amount],tbl_WIP[Job Number],A1221,tbl_WIP[Month],"&lt;"&amp;$C$4))</f>
        <v/>
      </c>
      <c r="D1221" s="11">
        <f>IF(A1221="","",SUMIFS(tbl_WIP[Amount],tbl_WIP[Job Number],A1221,tbl_WIP[Month],$C$4))</f>
        <v/>
      </c>
      <c r="E1221" s="11">
        <f>IF(A1221="","",C1221+D1221)</f>
        <v/>
      </c>
      <c r="F1221" s="10">
        <f>IF(A1221="","",IF(AND(ROUND(C1221,2)=0,ROUND(D1221,2)=0),"","yes"))</f>
        <v/>
      </c>
      <c r="G1221" s="39" t="n"/>
      <c r="H1221" s="11">
        <f>IF(OR(A1221="",G1221=""),"",E1221-G1221)</f>
        <v/>
      </c>
    </row>
    <row r="1222">
      <c r="A1222" s="10">
        <f>IF(INDEX(lst_Jobs,1209)="","",INDEX(lst_Jobs,1209)&amp;"")</f>
        <v/>
      </c>
      <c r="B1222" s="10">
        <f>IF(A1222="","",INDEX(lst_JobName,1209)&amp;"")</f>
        <v/>
      </c>
      <c r="C1222" s="11">
        <f>IF(A1222="","",SUMIFS(tbl_WIP[Amount],tbl_WIP[Job Number],A1222,tbl_WIP[Month],"&lt;"&amp;$C$4))</f>
        <v/>
      </c>
      <c r="D1222" s="11">
        <f>IF(A1222="","",SUMIFS(tbl_WIP[Amount],tbl_WIP[Job Number],A1222,tbl_WIP[Month],$C$4))</f>
        <v/>
      </c>
      <c r="E1222" s="11">
        <f>IF(A1222="","",C1222+D1222)</f>
        <v/>
      </c>
      <c r="F1222" s="10">
        <f>IF(A1222="","",IF(AND(ROUND(C1222,2)=0,ROUND(D1222,2)=0),"","yes"))</f>
        <v/>
      </c>
      <c r="G1222" s="39" t="n"/>
      <c r="H1222" s="11">
        <f>IF(OR(A1222="",G1222=""),"",E1222-G1222)</f>
        <v/>
      </c>
    </row>
    <row r="1223">
      <c r="A1223" s="10">
        <f>IF(INDEX(lst_Jobs,1210)="","",INDEX(lst_Jobs,1210)&amp;"")</f>
        <v/>
      </c>
      <c r="B1223" s="10">
        <f>IF(A1223="","",INDEX(lst_JobName,1210)&amp;"")</f>
        <v/>
      </c>
      <c r="C1223" s="11">
        <f>IF(A1223="","",SUMIFS(tbl_WIP[Amount],tbl_WIP[Job Number],A1223,tbl_WIP[Month],"&lt;"&amp;$C$4))</f>
        <v/>
      </c>
      <c r="D1223" s="11">
        <f>IF(A1223="","",SUMIFS(tbl_WIP[Amount],tbl_WIP[Job Number],A1223,tbl_WIP[Month],$C$4))</f>
        <v/>
      </c>
      <c r="E1223" s="11">
        <f>IF(A1223="","",C1223+D1223)</f>
        <v/>
      </c>
      <c r="F1223" s="10">
        <f>IF(A1223="","",IF(AND(ROUND(C1223,2)=0,ROUND(D1223,2)=0),"","yes"))</f>
        <v/>
      </c>
      <c r="G1223" s="39" t="n"/>
      <c r="H1223" s="11">
        <f>IF(OR(A1223="",G1223=""),"",E1223-G1223)</f>
        <v/>
      </c>
    </row>
    <row r="1224">
      <c r="A1224" s="10">
        <f>IF(INDEX(lst_Jobs,1211)="","",INDEX(lst_Jobs,1211)&amp;"")</f>
        <v/>
      </c>
      <c r="B1224" s="10">
        <f>IF(A1224="","",INDEX(lst_JobName,1211)&amp;"")</f>
        <v/>
      </c>
      <c r="C1224" s="11">
        <f>IF(A1224="","",SUMIFS(tbl_WIP[Amount],tbl_WIP[Job Number],A1224,tbl_WIP[Month],"&lt;"&amp;$C$4))</f>
        <v/>
      </c>
      <c r="D1224" s="11">
        <f>IF(A1224="","",SUMIFS(tbl_WIP[Amount],tbl_WIP[Job Number],A1224,tbl_WIP[Month],$C$4))</f>
        <v/>
      </c>
      <c r="E1224" s="11">
        <f>IF(A1224="","",C1224+D1224)</f>
        <v/>
      </c>
      <c r="F1224" s="10">
        <f>IF(A1224="","",IF(AND(ROUND(C1224,2)=0,ROUND(D1224,2)=0),"","yes"))</f>
        <v/>
      </c>
      <c r="G1224" s="39" t="n"/>
      <c r="H1224" s="11">
        <f>IF(OR(A1224="",G1224=""),"",E1224-G1224)</f>
        <v/>
      </c>
    </row>
    <row r="1225">
      <c r="A1225" s="10">
        <f>IF(INDEX(lst_Jobs,1212)="","",INDEX(lst_Jobs,1212)&amp;"")</f>
        <v/>
      </c>
      <c r="B1225" s="10">
        <f>IF(A1225="","",INDEX(lst_JobName,1212)&amp;"")</f>
        <v/>
      </c>
      <c r="C1225" s="11">
        <f>IF(A1225="","",SUMIFS(tbl_WIP[Amount],tbl_WIP[Job Number],A1225,tbl_WIP[Month],"&lt;"&amp;$C$4))</f>
        <v/>
      </c>
      <c r="D1225" s="11">
        <f>IF(A1225="","",SUMIFS(tbl_WIP[Amount],tbl_WIP[Job Number],A1225,tbl_WIP[Month],$C$4))</f>
        <v/>
      </c>
      <c r="E1225" s="11">
        <f>IF(A1225="","",C1225+D1225)</f>
        <v/>
      </c>
      <c r="F1225" s="10">
        <f>IF(A1225="","",IF(AND(ROUND(C1225,2)=0,ROUND(D1225,2)=0),"","yes"))</f>
        <v/>
      </c>
      <c r="G1225" s="39" t="n"/>
      <c r="H1225" s="11">
        <f>IF(OR(A1225="",G1225=""),"",E1225-G1225)</f>
        <v/>
      </c>
    </row>
    <row r="1226">
      <c r="A1226" s="10">
        <f>IF(INDEX(lst_Jobs,1213)="","",INDEX(lst_Jobs,1213)&amp;"")</f>
        <v/>
      </c>
      <c r="B1226" s="10">
        <f>IF(A1226="","",INDEX(lst_JobName,1213)&amp;"")</f>
        <v/>
      </c>
      <c r="C1226" s="11">
        <f>IF(A1226="","",SUMIFS(tbl_WIP[Amount],tbl_WIP[Job Number],A1226,tbl_WIP[Month],"&lt;"&amp;$C$4))</f>
        <v/>
      </c>
      <c r="D1226" s="11">
        <f>IF(A1226="","",SUMIFS(tbl_WIP[Amount],tbl_WIP[Job Number],A1226,tbl_WIP[Month],$C$4))</f>
        <v/>
      </c>
      <c r="E1226" s="11">
        <f>IF(A1226="","",C1226+D1226)</f>
        <v/>
      </c>
      <c r="F1226" s="10">
        <f>IF(A1226="","",IF(AND(ROUND(C1226,2)=0,ROUND(D1226,2)=0),"","yes"))</f>
        <v/>
      </c>
      <c r="G1226" s="39" t="n"/>
      <c r="H1226" s="11">
        <f>IF(OR(A1226="",G1226=""),"",E1226-G1226)</f>
        <v/>
      </c>
    </row>
    <row r="1227">
      <c r="A1227" s="10">
        <f>IF(INDEX(lst_Jobs,1214)="","",INDEX(lst_Jobs,1214)&amp;"")</f>
        <v/>
      </c>
      <c r="B1227" s="10">
        <f>IF(A1227="","",INDEX(lst_JobName,1214)&amp;"")</f>
        <v/>
      </c>
      <c r="C1227" s="11">
        <f>IF(A1227="","",SUMIFS(tbl_WIP[Amount],tbl_WIP[Job Number],A1227,tbl_WIP[Month],"&lt;"&amp;$C$4))</f>
        <v/>
      </c>
      <c r="D1227" s="11">
        <f>IF(A1227="","",SUMIFS(tbl_WIP[Amount],tbl_WIP[Job Number],A1227,tbl_WIP[Month],$C$4))</f>
        <v/>
      </c>
      <c r="E1227" s="11">
        <f>IF(A1227="","",C1227+D1227)</f>
        <v/>
      </c>
      <c r="F1227" s="10">
        <f>IF(A1227="","",IF(AND(ROUND(C1227,2)=0,ROUND(D1227,2)=0),"","yes"))</f>
        <v/>
      </c>
      <c r="G1227" s="39" t="n"/>
      <c r="H1227" s="11">
        <f>IF(OR(A1227="",G1227=""),"",E1227-G1227)</f>
        <v/>
      </c>
    </row>
    <row r="1228">
      <c r="A1228" s="10">
        <f>IF(INDEX(lst_Jobs,1215)="","",INDEX(lst_Jobs,1215)&amp;"")</f>
        <v/>
      </c>
      <c r="B1228" s="10">
        <f>IF(A1228="","",INDEX(lst_JobName,1215)&amp;"")</f>
        <v/>
      </c>
      <c r="C1228" s="11">
        <f>IF(A1228="","",SUMIFS(tbl_WIP[Amount],tbl_WIP[Job Number],A1228,tbl_WIP[Month],"&lt;"&amp;$C$4))</f>
        <v/>
      </c>
      <c r="D1228" s="11">
        <f>IF(A1228="","",SUMIFS(tbl_WIP[Amount],tbl_WIP[Job Number],A1228,tbl_WIP[Month],$C$4))</f>
        <v/>
      </c>
      <c r="E1228" s="11">
        <f>IF(A1228="","",C1228+D1228)</f>
        <v/>
      </c>
      <c r="F1228" s="10">
        <f>IF(A1228="","",IF(AND(ROUND(C1228,2)=0,ROUND(D1228,2)=0),"","yes"))</f>
        <v/>
      </c>
      <c r="G1228" s="39" t="n"/>
      <c r="H1228" s="11">
        <f>IF(OR(A1228="",G1228=""),"",E1228-G1228)</f>
        <v/>
      </c>
    </row>
    <row r="1229">
      <c r="A1229" s="10">
        <f>IF(INDEX(lst_Jobs,1216)="","",INDEX(lst_Jobs,1216)&amp;"")</f>
        <v/>
      </c>
      <c r="B1229" s="10">
        <f>IF(A1229="","",INDEX(lst_JobName,1216)&amp;"")</f>
        <v/>
      </c>
      <c r="C1229" s="11">
        <f>IF(A1229="","",SUMIFS(tbl_WIP[Amount],tbl_WIP[Job Number],A1229,tbl_WIP[Month],"&lt;"&amp;$C$4))</f>
        <v/>
      </c>
      <c r="D1229" s="11">
        <f>IF(A1229="","",SUMIFS(tbl_WIP[Amount],tbl_WIP[Job Number],A1229,tbl_WIP[Month],$C$4))</f>
        <v/>
      </c>
      <c r="E1229" s="11">
        <f>IF(A1229="","",C1229+D1229)</f>
        <v/>
      </c>
      <c r="F1229" s="10">
        <f>IF(A1229="","",IF(AND(ROUND(C1229,2)=0,ROUND(D1229,2)=0),"","yes"))</f>
        <v/>
      </c>
      <c r="G1229" s="39" t="n"/>
      <c r="H1229" s="11">
        <f>IF(OR(A1229="",G1229=""),"",E1229-G1229)</f>
        <v/>
      </c>
    </row>
    <row r="1230">
      <c r="A1230" s="10">
        <f>IF(INDEX(lst_Jobs,1217)="","",INDEX(lst_Jobs,1217)&amp;"")</f>
        <v/>
      </c>
      <c r="B1230" s="10">
        <f>IF(A1230="","",INDEX(lst_JobName,1217)&amp;"")</f>
        <v/>
      </c>
      <c r="C1230" s="11">
        <f>IF(A1230="","",SUMIFS(tbl_WIP[Amount],tbl_WIP[Job Number],A1230,tbl_WIP[Month],"&lt;"&amp;$C$4))</f>
        <v/>
      </c>
      <c r="D1230" s="11">
        <f>IF(A1230="","",SUMIFS(tbl_WIP[Amount],tbl_WIP[Job Number],A1230,tbl_WIP[Month],$C$4))</f>
        <v/>
      </c>
      <c r="E1230" s="11">
        <f>IF(A1230="","",C1230+D1230)</f>
        <v/>
      </c>
      <c r="F1230" s="10">
        <f>IF(A1230="","",IF(AND(ROUND(C1230,2)=0,ROUND(D1230,2)=0),"","yes"))</f>
        <v/>
      </c>
      <c r="G1230" s="39" t="n"/>
      <c r="H1230" s="11">
        <f>IF(OR(A1230="",G1230=""),"",E1230-G1230)</f>
        <v/>
      </c>
    </row>
    <row r="1231">
      <c r="A1231" s="10">
        <f>IF(INDEX(lst_Jobs,1218)="","",INDEX(lst_Jobs,1218)&amp;"")</f>
        <v/>
      </c>
      <c r="B1231" s="10">
        <f>IF(A1231="","",INDEX(lst_JobName,1218)&amp;"")</f>
        <v/>
      </c>
      <c r="C1231" s="11">
        <f>IF(A1231="","",SUMIFS(tbl_WIP[Amount],tbl_WIP[Job Number],A1231,tbl_WIP[Month],"&lt;"&amp;$C$4))</f>
        <v/>
      </c>
      <c r="D1231" s="11">
        <f>IF(A1231="","",SUMIFS(tbl_WIP[Amount],tbl_WIP[Job Number],A1231,tbl_WIP[Month],$C$4))</f>
        <v/>
      </c>
      <c r="E1231" s="11">
        <f>IF(A1231="","",C1231+D1231)</f>
        <v/>
      </c>
      <c r="F1231" s="10">
        <f>IF(A1231="","",IF(AND(ROUND(C1231,2)=0,ROUND(D1231,2)=0),"","yes"))</f>
        <v/>
      </c>
      <c r="G1231" s="39" t="n"/>
      <c r="H1231" s="11">
        <f>IF(OR(A1231="",G1231=""),"",E1231-G1231)</f>
        <v/>
      </c>
    </row>
    <row r="1232">
      <c r="A1232" s="10">
        <f>IF(INDEX(lst_Jobs,1219)="","",INDEX(lst_Jobs,1219)&amp;"")</f>
        <v/>
      </c>
      <c r="B1232" s="10">
        <f>IF(A1232="","",INDEX(lst_JobName,1219)&amp;"")</f>
        <v/>
      </c>
      <c r="C1232" s="11">
        <f>IF(A1232="","",SUMIFS(tbl_WIP[Amount],tbl_WIP[Job Number],A1232,tbl_WIP[Month],"&lt;"&amp;$C$4))</f>
        <v/>
      </c>
      <c r="D1232" s="11">
        <f>IF(A1232="","",SUMIFS(tbl_WIP[Amount],tbl_WIP[Job Number],A1232,tbl_WIP[Month],$C$4))</f>
        <v/>
      </c>
      <c r="E1232" s="11">
        <f>IF(A1232="","",C1232+D1232)</f>
        <v/>
      </c>
      <c r="F1232" s="10">
        <f>IF(A1232="","",IF(AND(ROUND(C1232,2)=0,ROUND(D1232,2)=0),"","yes"))</f>
        <v/>
      </c>
      <c r="G1232" s="39" t="n"/>
      <c r="H1232" s="11">
        <f>IF(OR(A1232="",G1232=""),"",E1232-G1232)</f>
        <v/>
      </c>
    </row>
    <row r="1233">
      <c r="A1233" s="10">
        <f>IF(INDEX(lst_Jobs,1220)="","",INDEX(lst_Jobs,1220)&amp;"")</f>
        <v/>
      </c>
      <c r="B1233" s="10">
        <f>IF(A1233="","",INDEX(lst_JobName,1220)&amp;"")</f>
        <v/>
      </c>
      <c r="C1233" s="11">
        <f>IF(A1233="","",SUMIFS(tbl_WIP[Amount],tbl_WIP[Job Number],A1233,tbl_WIP[Month],"&lt;"&amp;$C$4))</f>
        <v/>
      </c>
      <c r="D1233" s="11">
        <f>IF(A1233="","",SUMIFS(tbl_WIP[Amount],tbl_WIP[Job Number],A1233,tbl_WIP[Month],$C$4))</f>
        <v/>
      </c>
      <c r="E1233" s="11">
        <f>IF(A1233="","",C1233+D1233)</f>
        <v/>
      </c>
      <c r="F1233" s="10">
        <f>IF(A1233="","",IF(AND(ROUND(C1233,2)=0,ROUND(D1233,2)=0),"","yes"))</f>
        <v/>
      </c>
      <c r="G1233" s="39" t="n"/>
      <c r="H1233" s="11">
        <f>IF(OR(A1233="",G1233=""),"",E1233-G1233)</f>
        <v/>
      </c>
    </row>
    <row r="1234">
      <c r="A1234" s="10">
        <f>IF(INDEX(lst_Jobs,1221)="","",INDEX(lst_Jobs,1221)&amp;"")</f>
        <v/>
      </c>
      <c r="B1234" s="10">
        <f>IF(A1234="","",INDEX(lst_JobName,1221)&amp;"")</f>
        <v/>
      </c>
      <c r="C1234" s="11">
        <f>IF(A1234="","",SUMIFS(tbl_WIP[Amount],tbl_WIP[Job Number],A1234,tbl_WIP[Month],"&lt;"&amp;$C$4))</f>
        <v/>
      </c>
      <c r="D1234" s="11">
        <f>IF(A1234="","",SUMIFS(tbl_WIP[Amount],tbl_WIP[Job Number],A1234,tbl_WIP[Month],$C$4))</f>
        <v/>
      </c>
      <c r="E1234" s="11">
        <f>IF(A1234="","",C1234+D1234)</f>
        <v/>
      </c>
      <c r="F1234" s="10">
        <f>IF(A1234="","",IF(AND(ROUND(C1234,2)=0,ROUND(D1234,2)=0),"","yes"))</f>
        <v/>
      </c>
      <c r="G1234" s="39" t="n"/>
      <c r="H1234" s="11">
        <f>IF(OR(A1234="",G1234=""),"",E1234-G1234)</f>
        <v/>
      </c>
    </row>
    <row r="1235">
      <c r="A1235" s="10">
        <f>IF(INDEX(lst_Jobs,1222)="","",INDEX(lst_Jobs,1222)&amp;"")</f>
        <v/>
      </c>
      <c r="B1235" s="10">
        <f>IF(A1235="","",INDEX(lst_JobName,1222)&amp;"")</f>
        <v/>
      </c>
      <c r="C1235" s="11">
        <f>IF(A1235="","",SUMIFS(tbl_WIP[Amount],tbl_WIP[Job Number],A1235,tbl_WIP[Month],"&lt;"&amp;$C$4))</f>
        <v/>
      </c>
      <c r="D1235" s="11">
        <f>IF(A1235="","",SUMIFS(tbl_WIP[Amount],tbl_WIP[Job Number],A1235,tbl_WIP[Month],$C$4))</f>
        <v/>
      </c>
      <c r="E1235" s="11">
        <f>IF(A1235="","",C1235+D1235)</f>
        <v/>
      </c>
      <c r="F1235" s="10">
        <f>IF(A1235="","",IF(AND(ROUND(C1235,2)=0,ROUND(D1235,2)=0),"","yes"))</f>
        <v/>
      </c>
      <c r="G1235" s="39" t="n"/>
      <c r="H1235" s="11">
        <f>IF(OR(A1235="",G1235=""),"",E1235-G1235)</f>
        <v/>
      </c>
    </row>
    <row r="1236">
      <c r="A1236" s="10">
        <f>IF(INDEX(lst_Jobs,1223)="","",INDEX(lst_Jobs,1223)&amp;"")</f>
        <v/>
      </c>
      <c r="B1236" s="10">
        <f>IF(A1236="","",INDEX(lst_JobName,1223)&amp;"")</f>
        <v/>
      </c>
      <c r="C1236" s="11">
        <f>IF(A1236="","",SUMIFS(tbl_WIP[Amount],tbl_WIP[Job Number],A1236,tbl_WIP[Month],"&lt;"&amp;$C$4))</f>
        <v/>
      </c>
      <c r="D1236" s="11">
        <f>IF(A1236="","",SUMIFS(tbl_WIP[Amount],tbl_WIP[Job Number],A1236,tbl_WIP[Month],$C$4))</f>
        <v/>
      </c>
      <c r="E1236" s="11">
        <f>IF(A1236="","",C1236+D1236)</f>
        <v/>
      </c>
      <c r="F1236" s="10">
        <f>IF(A1236="","",IF(AND(ROUND(C1236,2)=0,ROUND(D1236,2)=0),"","yes"))</f>
        <v/>
      </c>
      <c r="G1236" s="39" t="n"/>
      <c r="H1236" s="11">
        <f>IF(OR(A1236="",G1236=""),"",E1236-G1236)</f>
        <v/>
      </c>
    </row>
    <row r="1237">
      <c r="A1237" s="10">
        <f>IF(INDEX(lst_Jobs,1224)="","",INDEX(lst_Jobs,1224)&amp;"")</f>
        <v/>
      </c>
      <c r="B1237" s="10">
        <f>IF(A1237="","",INDEX(lst_JobName,1224)&amp;"")</f>
        <v/>
      </c>
      <c r="C1237" s="11">
        <f>IF(A1237="","",SUMIFS(tbl_WIP[Amount],tbl_WIP[Job Number],A1237,tbl_WIP[Month],"&lt;"&amp;$C$4))</f>
        <v/>
      </c>
      <c r="D1237" s="11">
        <f>IF(A1237="","",SUMIFS(tbl_WIP[Amount],tbl_WIP[Job Number],A1237,tbl_WIP[Month],$C$4))</f>
        <v/>
      </c>
      <c r="E1237" s="11">
        <f>IF(A1237="","",C1237+D1237)</f>
        <v/>
      </c>
      <c r="F1237" s="10">
        <f>IF(A1237="","",IF(AND(ROUND(C1237,2)=0,ROUND(D1237,2)=0),"","yes"))</f>
        <v/>
      </c>
      <c r="G1237" s="39" t="n"/>
      <c r="H1237" s="11">
        <f>IF(OR(A1237="",G1237=""),"",E1237-G1237)</f>
        <v/>
      </c>
    </row>
    <row r="1238">
      <c r="A1238" s="10">
        <f>IF(INDEX(lst_Jobs,1225)="","",INDEX(lst_Jobs,1225)&amp;"")</f>
        <v/>
      </c>
      <c r="B1238" s="10">
        <f>IF(A1238="","",INDEX(lst_JobName,1225)&amp;"")</f>
        <v/>
      </c>
      <c r="C1238" s="11">
        <f>IF(A1238="","",SUMIFS(tbl_WIP[Amount],tbl_WIP[Job Number],A1238,tbl_WIP[Month],"&lt;"&amp;$C$4))</f>
        <v/>
      </c>
      <c r="D1238" s="11">
        <f>IF(A1238="","",SUMIFS(tbl_WIP[Amount],tbl_WIP[Job Number],A1238,tbl_WIP[Month],$C$4))</f>
        <v/>
      </c>
      <c r="E1238" s="11">
        <f>IF(A1238="","",C1238+D1238)</f>
        <v/>
      </c>
      <c r="F1238" s="10">
        <f>IF(A1238="","",IF(AND(ROUND(C1238,2)=0,ROUND(D1238,2)=0),"","yes"))</f>
        <v/>
      </c>
      <c r="G1238" s="39" t="n"/>
      <c r="H1238" s="11">
        <f>IF(OR(A1238="",G1238=""),"",E1238-G1238)</f>
        <v/>
      </c>
    </row>
    <row r="1239">
      <c r="A1239" s="10">
        <f>IF(INDEX(lst_Jobs,1226)="","",INDEX(lst_Jobs,1226)&amp;"")</f>
        <v/>
      </c>
      <c r="B1239" s="10">
        <f>IF(A1239="","",INDEX(lst_JobName,1226)&amp;"")</f>
        <v/>
      </c>
      <c r="C1239" s="11">
        <f>IF(A1239="","",SUMIFS(tbl_WIP[Amount],tbl_WIP[Job Number],A1239,tbl_WIP[Month],"&lt;"&amp;$C$4))</f>
        <v/>
      </c>
      <c r="D1239" s="11">
        <f>IF(A1239="","",SUMIFS(tbl_WIP[Amount],tbl_WIP[Job Number],A1239,tbl_WIP[Month],$C$4))</f>
        <v/>
      </c>
      <c r="E1239" s="11">
        <f>IF(A1239="","",C1239+D1239)</f>
        <v/>
      </c>
      <c r="F1239" s="10">
        <f>IF(A1239="","",IF(AND(ROUND(C1239,2)=0,ROUND(D1239,2)=0),"","yes"))</f>
        <v/>
      </c>
      <c r="G1239" s="39" t="n"/>
      <c r="H1239" s="11">
        <f>IF(OR(A1239="",G1239=""),"",E1239-G1239)</f>
        <v/>
      </c>
    </row>
    <row r="1240">
      <c r="A1240" s="10">
        <f>IF(INDEX(lst_Jobs,1227)="","",INDEX(lst_Jobs,1227)&amp;"")</f>
        <v/>
      </c>
      <c r="B1240" s="10">
        <f>IF(A1240="","",INDEX(lst_JobName,1227)&amp;"")</f>
        <v/>
      </c>
      <c r="C1240" s="11">
        <f>IF(A1240="","",SUMIFS(tbl_WIP[Amount],tbl_WIP[Job Number],A1240,tbl_WIP[Month],"&lt;"&amp;$C$4))</f>
        <v/>
      </c>
      <c r="D1240" s="11">
        <f>IF(A1240="","",SUMIFS(tbl_WIP[Amount],tbl_WIP[Job Number],A1240,tbl_WIP[Month],$C$4))</f>
        <v/>
      </c>
      <c r="E1240" s="11">
        <f>IF(A1240="","",C1240+D1240)</f>
        <v/>
      </c>
      <c r="F1240" s="10">
        <f>IF(A1240="","",IF(AND(ROUND(C1240,2)=0,ROUND(D1240,2)=0),"","yes"))</f>
        <v/>
      </c>
      <c r="G1240" s="39" t="n"/>
      <c r="H1240" s="11">
        <f>IF(OR(A1240="",G1240=""),"",E1240-G1240)</f>
        <v/>
      </c>
    </row>
    <row r="1241">
      <c r="A1241" s="10">
        <f>IF(INDEX(lst_Jobs,1228)="","",INDEX(lst_Jobs,1228)&amp;"")</f>
        <v/>
      </c>
      <c r="B1241" s="10">
        <f>IF(A1241="","",INDEX(lst_JobName,1228)&amp;"")</f>
        <v/>
      </c>
      <c r="C1241" s="11">
        <f>IF(A1241="","",SUMIFS(tbl_WIP[Amount],tbl_WIP[Job Number],A1241,tbl_WIP[Month],"&lt;"&amp;$C$4))</f>
        <v/>
      </c>
      <c r="D1241" s="11">
        <f>IF(A1241="","",SUMIFS(tbl_WIP[Amount],tbl_WIP[Job Number],A1241,tbl_WIP[Month],$C$4))</f>
        <v/>
      </c>
      <c r="E1241" s="11">
        <f>IF(A1241="","",C1241+D1241)</f>
        <v/>
      </c>
      <c r="F1241" s="10">
        <f>IF(A1241="","",IF(AND(ROUND(C1241,2)=0,ROUND(D1241,2)=0),"","yes"))</f>
        <v/>
      </c>
      <c r="G1241" s="39" t="n"/>
      <c r="H1241" s="11">
        <f>IF(OR(A1241="",G1241=""),"",E1241-G1241)</f>
        <v/>
      </c>
    </row>
    <row r="1242">
      <c r="A1242" s="10">
        <f>IF(INDEX(lst_Jobs,1229)="","",INDEX(lst_Jobs,1229)&amp;"")</f>
        <v/>
      </c>
      <c r="B1242" s="10">
        <f>IF(A1242="","",INDEX(lst_JobName,1229)&amp;"")</f>
        <v/>
      </c>
      <c r="C1242" s="11">
        <f>IF(A1242="","",SUMIFS(tbl_WIP[Amount],tbl_WIP[Job Number],A1242,tbl_WIP[Month],"&lt;"&amp;$C$4))</f>
        <v/>
      </c>
      <c r="D1242" s="11">
        <f>IF(A1242="","",SUMIFS(tbl_WIP[Amount],tbl_WIP[Job Number],A1242,tbl_WIP[Month],$C$4))</f>
        <v/>
      </c>
      <c r="E1242" s="11">
        <f>IF(A1242="","",C1242+D1242)</f>
        <v/>
      </c>
      <c r="F1242" s="10">
        <f>IF(A1242="","",IF(AND(ROUND(C1242,2)=0,ROUND(D1242,2)=0),"","yes"))</f>
        <v/>
      </c>
      <c r="G1242" s="39" t="n"/>
      <c r="H1242" s="11">
        <f>IF(OR(A1242="",G1242=""),"",E1242-G1242)</f>
        <v/>
      </c>
    </row>
    <row r="1243">
      <c r="A1243" s="10">
        <f>IF(INDEX(lst_Jobs,1230)="","",INDEX(lst_Jobs,1230)&amp;"")</f>
        <v/>
      </c>
      <c r="B1243" s="10">
        <f>IF(A1243="","",INDEX(lst_JobName,1230)&amp;"")</f>
        <v/>
      </c>
      <c r="C1243" s="11">
        <f>IF(A1243="","",SUMIFS(tbl_WIP[Amount],tbl_WIP[Job Number],A1243,tbl_WIP[Month],"&lt;"&amp;$C$4))</f>
        <v/>
      </c>
      <c r="D1243" s="11">
        <f>IF(A1243="","",SUMIFS(tbl_WIP[Amount],tbl_WIP[Job Number],A1243,tbl_WIP[Month],$C$4))</f>
        <v/>
      </c>
      <c r="E1243" s="11">
        <f>IF(A1243="","",C1243+D1243)</f>
        <v/>
      </c>
      <c r="F1243" s="10">
        <f>IF(A1243="","",IF(AND(ROUND(C1243,2)=0,ROUND(D1243,2)=0),"","yes"))</f>
        <v/>
      </c>
      <c r="G1243" s="39" t="n"/>
      <c r="H1243" s="11">
        <f>IF(OR(A1243="",G1243=""),"",E1243-G1243)</f>
        <v/>
      </c>
    </row>
    <row r="1244">
      <c r="A1244" s="10">
        <f>IF(INDEX(lst_Jobs,1231)="","",INDEX(lst_Jobs,1231)&amp;"")</f>
        <v/>
      </c>
      <c r="B1244" s="10">
        <f>IF(A1244="","",INDEX(lst_JobName,1231)&amp;"")</f>
        <v/>
      </c>
      <c r="C1244" s="11">
        <f>IF(A1244="","",SUMIFS(tbl_WIP[Amount],tbl_WIP[Job Number],A1244,tbl_WIP[Month],"&lt;"&amp;$C$4))</f>
        <v/>
      </c>
      <c r="D1244" s="11">
        <f>IF(A1244="","",SUMIFS(tbl_WIP[Amount],tbl_WIP[Job Number],A1244,tbl_WIP[Month],$C$4))</f>
        <v/>
      </c>
      <c r="E1244" s="11">
        <f>IF(A1244="","",C1244+D1244)</f>
        <v/>
      </c>
      <c r="F1244" s="10">
        <f>IF(A1244="","",IF(AND(ROUND(C1244,2)=0,ROUND(D1244,2)=0),"","yes"))</f>
        <v/>
      </c>
      <c r="G1244" s="39" t="n"/>
      <c r="H1244" s="11">
        <f>IF(OR(A1244="",G1244=""),"",E1244-G1244)</f>
        <v/>
      </c>
    </row>
    <row r="1245">
      <c r="A1245" s="10">
        <f>IF(INDEX(lst_Jobs,1232)="","",INDEX(lst_Jobs,1232)&amp;"")</f>
        <v/>
      </c>
      <c r="B1245" s="10">
        <f>IF(A1245="","",INDEX(lst_JobName,1232)&amp;"")</f>
        <v/>
      </c>
      <c r="C1245" s="11">
        <f>IF(A1245="","",SUMIFS(tbl_WIP[Amount],tbl_WIP[Job Number],A1245,tbl_WIP[Month],"&lt;"&amp;$C$4))</f>
        <v/>
      </c>
      <c r="D1245" s="11">
        <f>IF(A1245="","",SUMIFS(tbl_WIP[Amount],tbl_WIP[Job Number],A1245,tbl_WIP[Month],$C$4))</f>
        <v/>
      </c>
      <c r="E1245" s="11">
        <f>IF(A1245="","",C1245+D1245)</f>
        <v/>
      </c>
      <c r="F1245" s="10">
        <f>IF(A1245="","",IF(AND(ROUND(C1245,2)=0,ROUND(D1245,2)=0),"","yes"))</f>
        <v/>
      </c>
      <c r="G1245" s="39" t="n"/>
      <c r="H1245" s="11">
        <f>IF(OR(A1245="",G1245=""),"",E1245-G1245)</f>
        <v/>
      </c>
    </row>
    <row r="1246">
      <c r="A1246" s="10">
        <f>IF(INDEX(lst_Jobs,1233)="","",INDEX(lst_Jobs,1233)&amp;"")</f>
        <v/>
      </c>
      <c r="B1246" s="10">
        <f>IF(A1246="","",INDEX(lst_JobName,1233)&amp;"")</f>
        <v/>
      </c>
      <c r="C1246" s="11">
        <f>IF(A1246="","",SUMIFS(tbl_WIP[Amount],tbl_WIP[Job Number],A1246,tbl_WIP[Month],"&lt;"&amp;$C$4))</f>
        <v/>
      </c>
      <c r="D1246" s="11">
        <f>IF(A1246="","",SUMIFS(tbl_WIP[Amount],tbl_WIP[Job Number],A1246,tbl_WIP[Month],$C$4))</f>
        <v/>
      </c>
      <c r="E1246" s="11">
        <f>IF(A1246="","",C1246+D1246)</f>
        <v/>
      </c>
      <c r="F1246" s="10">
        <f>IF(A1246="","",IF(AND(ROUND(C1246,2)=0,ROUND(D1246,2)=0),"","yes"))</f>
        <v/>
      </c>
      <c r="G1246" s="39" t="n"/>
      <c r="H1246" s="11">
        <f>IF(OR(A1246="",G1246=""),"",E1246-G1246)</f>
        <v/>
      </c>
    </row>
    <row r="1247">
      <c r="A1247" s="10">
        <f>IF(INDEX(lst_Jobs,1234)="","",INDEX(lst_Jobs,1234)&amp;"")</f>
        <v/>
      </c>
      <c r="B1247" s="10">
        <f>IF(A1247="","",INDEX(lst_JobName,1234)&amp;"")</f>
        <v/>
      </c>
      <c r="C1247" s="11">
        <f>IF(A1247="","",SUMIFS(tbl_WIP[Amount],tbl_WIP[Job Number],A1247,tbl_WIP[Month],"&lt;"&amp;$C$4))</f>
        <v/>
      </c>
      <c r="D1247" s="11">
        <f>IF(A1247="","",SUMIFS(tbl_WIP[Amount],tbl_WIP[Job Number],A1247,tbl_WIP[Month],$C$4))</f>
        <v/>
      </c>
      <c r="E1247" s="11">
        <f>IF(A1247="","",C1247+D1247)</f>
        <v/>
      </c>
      <c r="F1247" s="10">
        <f>IF(A1247="","",IF(AND(ROUND(C1247,2)=0,ROUND(D1247,2)=0),"","yes"))</f>
        <v/>
      </c>
      <c r="G1247" s="39" t="n"/>
      <c r="H1247" s="11">
        <f>IF(OR(A1247="",G1247=""),"",E1247-G1247)</f>
        <v/>
      </c>
    </row>
    <row r="1248">
      <c r="A1248" s="10">
        <f>IF(INDEX(lst_Jobs,1235)="","",INDEX(lst_Jobs,1235)&amp;"")</f>
        <v/>
      </c>
      <c r="B1248" s="10">
        <f>IF(A1248="","",INDEX(lst_JobName,1235)&amp;"")</f>
        <v/>
      </c>
      <c r="C1248" s="11">
        <f>IF(A1248="","",SUMIFS(tbl_WIP[Amount],tbl_WIP[Job Number],A1248,tbl_WIP[Month],"&lt;"&amp;$C$4))</f>
        <v/>
      </c>
      <c r="D1248" s="11">
        <f>IF(A1248="","",SUMIFS(tbl_WIP[Amount],tbl_WIP[Job Number],A1248,tbl_WIP[Month],$C$4))</f>
        <v/>
      </c>
      <c r="E1248" s="11">
        <f>IF(A1248="","",C1248+D1248)</f>
        <v/>
      </c>
      <c r="F1248" s="10">
        <f>IF(A1248="","",IF(AND(ROUND(C1248,2)=0,ROUND(D1248,2)=0),"","yes"))</f>
        <v/>
      </c>
      <c r="G1248" s="39" t="n"/>
      <c r="H1248" s="11">
        <f>IF(OR(A1248="",G1248=""),"",E1248-G1248)</f>
        <v/>
      </c>
    </row>
    <row r="1249">
      <c r="A1249" s="10">
        <f>IF(INDEX(lst_Jobs,1236)="","",INDEX(lst_Jobs,1236)&amp;"")</f>
        <v/>
      </c>
      <c r="B1249" s="10">
        <f>IF(A1249="","",INDEX(lst_JobName,1236)&amp;"")</f>
        <v/>
      </c>
      <c r="C1249" s="11">
        <f>IF(A1249="","",SUMIFS(tbl_WIP[Amount],tbl_WIP[Job Number],A1249,tbl_WIP[Month],"&lt;"&amp;$C$4))</f>
        <v/>
      </c>
      <c r="D1249" s="11">
        <f>IF(A1249="","",SUMIFS(tbl_WIP[Amount],tbl_WIP[Job Number],A1249,tbl_WIP[Month],$C$4))</f>
        <v/>
      </c>
      <c r="E1249" s="11">
        <f>IF(A1249="","",C1249+D1249)</f>
        <v/>
      </c>
      <c r="F1249" s="10">
        <f>IF(A1249="","",IF(AND(ROUND(C1249,2)=0,ROUND(D1249,2)=0),"","yes"))</f>
        <v/>
      </c>
      <c r="G1249" s="39" t="n"/>
      <c r="H1249" s="11">
        <f>IF(OR(A1249="",G1249=""),"",E1249-G1249)</f>
        <v/>
      </c>
    </row>
    <row r="1250">
      <c r="A1250" s="10">
        <f>IF(INDEX(lst_Jobs,1237)="","",INDEX(lst_Jobs,1237)&amp;"")</f>
        <v/>
      </c>
      <c r="B1250" s="10">
        <f>IF(A1250="","",INDEX(lst_JobName,1237)&amp;"")</f>
        <v/>
      </c>
      <c r="C1250" s="11">
        <f>IF(A1250="","",SUMIFS(tbl_WIP[Amount],tbl_WIP[Job Number],A1250,tbl_WIP[Month],"&lt;"&amp;$C$4))</f>
        <v/>
      </c>
      <c r="D1250" s="11">
        <f>IF(A1250="","",SUMIFS(tbl_WIP[Amount],tbl_WIP[Job Number],A1250,tbl_WIP[Month],$C$4))</f>
        <v/>
      </c>
      <c r="E1250" s="11">
        <f>IF(A1250="","",C1250+D1250)</f>
        <v/>
      </c>
      <c r="F1250" s="10">
        <f>IF(A1250="","",IF(AND(ROUND(C1250,2)=0,ROUND(D1250,2)=0),"","yes"))</f>
        <v/>
      </c>
      <c r="G1250" s="39" t="n"/>
      <c r="H1250" s="11">
        <f>IF(OR(A1250="",G1250=""),"",E1250-G1250)</f>
        <v/>
      </c>
    </row>
    <row r="1251">
      <c r="A1251" s="10">
        <f>IF(INDEX(lst_Jobs,1238)="","",INDEX(lst_Jobs,1238)&amp;"")</f>
        <v/>
      </c>
      <c r="B1251" s="10">
        <f>IF(A1251="","",INDEX(lst_JobName,1238)&amp;"")</f>
        <v/>
      </c>
      <c r="C1251" s="11">
        <f>IF(A1251="","",SUMIFS(tbl_WIP[Amount],tbl_WIP[Job Number],A1251,tbl_WIP[Month],"&lt;"&amp;$C$4))</f>
        <v/>
      </c>
      <c r="D1251" s="11">
        <f>IF(A1251="","",SUMIFS(tbl_WIP[Amount],tbl_WIP[Job Number],A1251,tbl_WIP[Month],$C$4))</f>
        <v/>
      </c>
      <c r="E1251" s="11">
        <f>IF(A1251="","",C1251+D1251)</f>
        <v/>
      </c>
      <c r="F1251" s="10">
        <f>IF(A1251="","",IF(AND(ROUND(C1251,2)=0,ROUND(D1251,2)=0),"","yes"))</f>
        <v/>
      </c>
      <c r="G1251" s="39" t="n"/>
      <c r="H1251" s="11">
        <f>IF(OR(A1251="",G1251=""),"",E1251-G1251)</f>
        <v/>
      </c>
    </row>
    <row r="1252">
      <c r="A1252" s="10">
        <f>IF(INDEX(lst_Jobs,1239)="","",INDEX(lst_Jobs,1239)&amp;"")</f>
        <v/>
      </c>
      <c r="B1252" s="10">
        <f>IF(A1252="","",INDEX(lst_JobName,1239)&amp;"")</f>
        <v/>
      </c>
      <c r="C1252" s="11">
        <f>IF(A1252="","",SUMIFS(tbl_WIP[Amount],tbl_WIP[Job Number],A1252,tbl_WIP[Month],"&lt;"&amp;$C$4))</f>
        <v/>
      </c>
      <c r="D1252" s="11">
        <f>IF(A1252="","",SUMIFS(tbl_WIP[Amount],tbl_WIP[Job Number],A1252,tbl_WIP[Month],$C$4))</f>
        <v/>
      </c>
      <c r="E1252" s="11">
        <f>IF(A1252="","",C1252+D1252)</f>
        <v/>
      </c>
      <c r="F1252" s="10">
        <f>IF(A1252="","",IF(AND(ROUND(C1252,2)=0,ROUND(D1252,2)=0),"","yes"))</f>
        <v/>
      </c>
      <c r="G1252" s="39" t="n"/>
      <c r="H1252" s="11">
        <f>IF(OR(A1252="",G1252=""),"",E1252-G1252)</f>
        <v/>
      </c>
    </row>
    <row r="1253">
      <c r="A1253" s="10">
        <f>IF(INDEX(lst_Jobs,1240)="","",INDEX(lst_Jobs,1240)&amp;"")</f>
        <v/>
      </c>
      <c r="B1253" s="10">
        <f>IF(A1253="","",INDEX(lst_JobName,1240)&amp;"")</f>
        <v/>
      </c>
      <c r="C1253" s="11">
        <f>IF(A1253="","",SUMIFS(tbl_WIP[Amount],tbl_WIP[Job Number],A1253,tbl_WIP[Month],"&lt;"&amp;$C$4))</f>
        <v/>
      </c>
      <c r="D1253" s="11">
        <f>IF(A1253="","",SUMIFS(tbl_WIP[Amount],tbl_WIP[Job Number],A1253,tbl_WIP[Month],$C$4))</f>
        <v/>
      </c>
      <c r="E1253" s="11">
        <f>IF(A1253="","",C1253+D1253)</f>
        <v/>
      </c>
      <c r="F1253" s="10">
        <f>IF(A1253="","",IF(AND(ROUND(C1253,2)=0,ROUND(D1253,2)=0),"","yes"))</f>
        <v/>
      </c>
      <c r="G1253" s="39" t="n"/>
      <c r="H1253" s="11">
        <f>IF(OR(A1253="",G1253=""),"",E1253-G1253)</f>
        <v/>
      </c>
    </row>
    <row r="1254">
      <c r="A1254" s="10">
        <f>IF(INDEX(lst_Jobs,1241)="","",INDEX(lst_Jobs,1241)&amp;"")</f>
        <v/>
      </c>
      <c r="B1254" s="10">
        <f>IF(A1254="","",INDEX(lst_JobName,1241)&amp;"")</f>
        <v/>
      </c>
      <c r="C1254" s="11">
        <f>IF(A1254="","",SUMIFS(tbl_WIP[Amount],tbl_WIP[Job Number],A1254,tbl_WIP[Month],"&lt;"&amp;$C$4))</f>
        <v/>
      </c>
      <c r="D1254" s="11">
        <f>IF(A1254="","",SUMIFS(tbl_WIP[Amount],tbl_WIP[Job Number],A1254,tbl_WIP[Month],$C$4))</f>
        <v/>
      </c>
      <c r="E1254" s="11">
        <f>IF(A1254="","",C1254+D1254)</f>
        <v/>
      </c>
      <c r="F1254" s="10">
        <f>IF(A1254="","",IF(AND(ROUND(C1254,2)=0,ROUND(D1254,2)=0),"","yes"))</f>
        <v/>
      </c>
      <c r="G1254" s="39" t="n"/>
      <c r="H1254" s="11">
        <f>IF(OR(A1254="",G1254=""),"",E1254-G1254)</f>
        <v/>
      </c>
    </row>
    <row r="1255">
      <c r="A1255" s="10">
        <f>IF(INDEX(lst_Jobs,1242)="","",INDEX(lst_Jobs,1242)&amp;"")</f>
        <v/>
      </c>
      <c r="B1255" s="10">
        <f>IF(A1255="","",INDEX(lst_JobName,1242)&amp;"")</f>
        <v/>
      </c>
      <c r="C1255" s="11">
        <f>IF(A1255="","",SUMIFS(tbl_WIP[Amount],tbl_WIP[Job Number],A1255,tbl_WIP[Month],"&lt;"&amp;$C$4))</f>
        <v/>
      </c>
      <c r="D1255" s="11">
        <f>IF(A1255="","",SUMIFS(tbl_WIP[Amount],tbl_WIP[Job Number],A1255,tbl_WIP[Month],$C$4))</f>
        <v/>
      </c>
      <c r="E1255" s="11">
        <f>IF(A1255="","",C1255+D1255)</f>
        <v/>
      </c>
      <c r="F1255" s="10">
        <f>IF(A1255="","",IF(AND(ROUND(C1255,2)=0,ROUND(D1255,2)=0),"","yes"))</f>
        <v/>
      </c>
      <c r="G1255" s="39" t="n"/>
      <c r="H1255" s="11">
        <f>IF(OR(A1255="",G1255=""),"",E1255-G1255)</f>
        <v/>
      </c>
    </row>
    <row r="1256">
      <c r="A1256" s="10">
        <f>IF(INDEX(lst_Jobs,1243)="","",INDEX(lst_Jobs,1243)&amp;"")</f>
        <v/>
      </c>
      <c r="B1256" s="10">
        <f>IF(A1256="","",INDEX(lst_JobName,1243)&amp;"")</f>
        <v/>
      </c>
      <c r="C1256" s="11">
        <f>IF(A1256="","",SUMIFS(tbl_WIP[Amount],tbl_WIP[Job Number],A1256,tbl_WIP[Month],"&lt;"&amp;$C$4))</f>
        <v/>
      </c>
      <c r="D1256" s="11">
        <f>IF(A1256="","",SUMIFS(tbl_WIP[Amount],tbl_WIP[Job Number],A1256,tbl_WIP[Month],$C$4))</f>
        <v/>
      </c>
      <c r="E1256" s="11">
        <f>IF(A1256="","",C1256+D1256)</f>
        <v/>
      </c>
      <c r="F1256" s="10">
        <f>IF(A1256="","",IF(AND(ROUND(C1256,2)=0,ROUND(D1256,2)=0),"","yes"))</f>
        <v/>
      </c>
      <c r="G1256" s="39" t="n"/>
      <c r="H1256" s="11">
        <f>IF(OR(A1256="",G1256=""),"",E1256-G1256)</f>
        <v/>
      </c>
    </row>
    <row r="1257">
      <c r="A1257" s="10">
        <f>IF(INDEX(lst_Jobs,1244)="","",INDEX(lst_Jobs,1244)&amp;"")</f>
        <v/>
      </c>
      <c r="B1257" s="10">
        <f>IF(A1257="","",INDEX(lst_JobName,1244)&amp;"")</f>
        <v/>
      </c>
      <c r="C1257" s="11">
        <f>IF(A1257="","",SUMIFS(tbl_WIP[Amount],tbl_WIP[Job Number],A1257,tbl_WIP[Month],"&lt;"&amp;$C$4))</f>
        <v/>
      </c>
      <c r="D1257" s="11">
        <f>IF(A1257="","",SUMIFS(tbl_WIP[Amount],tbl_WIP[Job Number],A1257,tbl_WIP[Month],$C$4))</f>
        <v/>
      </c>
      <c r="E1257" s="11">
        <f>IF(A1257="","",C1257+D1257)</f>
        <v/>
      </c>
      <c r="F1257" s="10">
        <f>IF(A1257="","",IF(AND(ROUND(C1257,2)=0,ROUND(D1257,2)=0),"","yes"))</f>
        <v/>
      </c>
      <c r="G1257" s="39" t="n"/>
      <c r="H1257" s="11">
        <f>IF(OR(A1257="",G1257=""),"",E1257-G1257)</f>
        <v/>
      </c>
    </row>
    <row r="1258">
      <c r="A1258" s="10">
        <f>IF(INDEX(lst_Jobs,1245)="","",INDEX(lst_Jobs,1245)&amp;"")</f>
        <v/>
      </c>
      <c r="B1258" s="10">
        <f>IF(A1258="","",INDEX(lst_JobName,1245)&amp;"")</f>
        <v/>
      </c>
      <c r="C1258" s="11">
        <f>IF(A1258="","",SUMIFS(tbl_WIP[Amount],tbl_WIP[Job Number],A1258,tbl_WIP[Month],"&lt;"&amp;$C$4))</f>
        <v/>
      </c>
      <c r="D1258" s="11">
        <f>IF(A1258="","",SUMIFS(tbl_WIP[Amount],tbl_WIP[Job Number],A1258,tbl_WIP[Month],$C$4))</f>
        <v/>
      </c>
      <c r="E1258" s="11">
        <f>IF(A1258="","",C1258+D1258)</f>
        <v/>
      </c>
      <c r="F1258" s="10">
        <f>IF(A1258="","",IF(AND(ROUND(C1258,2)=0,ROUND(D1258,2)=0),"","yes"))</f>
        <v/>
      </c>
      <c r="G1258" s="39" t="n"/>
      <c r="H1258" s="11">
        <f>IF(OR(A1258="",G1258=""),"",E1258-G1258)</f>
        <v/>
      </c>
    </row>
    <row r="1259">
      <c r="A1259" s="10">
        <f>IF(INDEX(lst_Jobs,1246)="","",INDEX(lst_Jobs,1246)&amp;"")</f>
        <v/>
      </c>
      <c r="B1259" s="10">
        <f>IF(A1259="","",INDEX(lst_JobName,1246)&amp;"")</f>
        <v/>
      </c>
      <c r="C1259" s="11">
        <f>IF(A1259="","",SUMIFS(tbl_WIP[Amount],tbl_WIP[Job Number],A1259,tbl_WIP[Month],"&lt;"&amp;$C$4))</f>
        <v/>
      </c>
      <c r="D1259" s="11">
        <f>IF(A1259="","",SUMIFS(tbl_WIP[Amount],tbl_WIP[Job Number],A1259,tbl_WIP[Month],$C$4))</f>
        <v/>
      </c>
      <c r="E1259" s="11">
        <f>IF(A1259="","",C1259+D1259)</f>
        <v/>
      </c>
      <c r="F1259" s="10">
        <f>IF(A1259="","",IF(AND(ROUND(C1259,2)=0,ROUND(D1259,2)=0),"","yes"))</f>
        <v/>
      </c>
      <c r="G1259" s="39" t="n"/>
      <c r="H1259" s="11">
        <f>IF(OR(A1259="",G1259=""),"",E1259-G1259)</f>
        <v/>
      </c>
    </row>
    <row r="1260">
      <c r="A1260" s="10">
        <f>IF(INDEX(lst_Jobs,1247)="","",INDEX(lst_Jobs,1247)&amp;"")</f>
        <v/>
      </c>
      <c r="B1260" s="10">
        <f>IF(A1260="","",INDEX(lst_JobName,1247)&amp;"")</f>
        <v/>
      </c>
      <c r="C1260" s="11">
        <f>IF(A1260="","",SUMIFS(tbl_WIP[Amount],tbl_WIP[Job Number],A1260,tbl_WIP[Month],"&lt;"&amp;$C$4))</f>
        <v/>
      </c>
      <c r="D1260" s="11">
        <f>IF(A1260="","",SUMIFS(tbl_WIP[Amount],tbl_WIP[Job Number],A1260,tbl_WIP[Month],$C$4))</f>
        <v/>
      </c>
      <c r="E1260" s="11">
        <f>IF(A1260="","",C1260+D1260)</f>
        <v/>
      </c>
      <c r="F1260" s="10">
        <f>IF(A1260="","",IF(AND(ROUND(C1260,2)=0,ROUND(D1260,2)=0),"","yes"))</f>
        <v/>
      </c>
      <c r="G1260" s="39" t="n"/>
      <c r="H1260" s="11">
        <f>IF(OR(A1260="",G1260=""),"",E1260-G1260)</f>
        <v/>
      </c>
    </row>
    <row r="1261">
      <c r="A1261" s="10">
        <f>IF(INDEX(lst_Jobs,1248)="","",INDEX(lst_Jobs,1248)&amp;"")</f>
        <v/>
      </c>
      <c r="B1261" s="10">
        <f>IF(A1261="","",INDEX(lst_JobName,1248)&amp;"")</f>
        <v/>
      </c>
      <c r="C1261" s="11">
        <f>IF(A1261="","",SUMIFS(tbl_WIP[Amount],tbl_WIP[Job Number],A1261,tbl_WIP[Month],"&lt;"&amp;$C$4))</f>
        <v/>
      </c>
      <c r="D1261" s="11">
        <f>IF(A1261="","",SUMIFS(tbl_WIP[Amount],tbl_WIP[Job Number],A1261,tbl_WIP[Month],$C$4))</f>
        <v/>
      </c>
      <c r="E1261" s="11">
        <f>IF(A1261="","",C1261+D1261)</f>
        <v/>
      </c>
      <c r="F1261" s="10">
        <f>IF(A1261="","",IF(AND(ROUND(C1261,2)=0,ROUND(D1261,2)=0),"","yes"))</f>
        <v/>
      </c>
      <c r="G1261" s="39" t="n"/>
      <c r="H1261" s="11">
        <f>IF(OR(A1261="",G1261=""),"",E1261-G1261)</f>
        <v/>
      </c>
    </row>
    <row r="1262">
      <c r="A1262" s="10">
        <f>IF(INDEX(lst_Jobs,1249)="","",INDEX(lst_Jobs,1249)&amp;"")</f>
        <v/>
      </c>
      <c r="B1262" s="10">
        <f>IF(A1262="","",INDEX(lst_JobName,1249)&amp;"")</f>
        <v/>
      </c>
      <c r="C1262" s="11">
        <f>IF(A1262="","",SUMIFS(tbl_WIP[Amount],tbl_WIP[Job Number],A1262,tbl_WIP[Month],"&lt;"&amp;$C$4))</f>
        <v/>
      </c>
      <c r="D1262" s="11">
        <f>IF(A1262="","",SUMIFS(tbl_WIP[Amount],tbl_WIP[Job Number],A1262,tbl_WIP[Month],$C$4))</f>
        <v/>
      </c>
      <c r="E1262" s="11">
        <f>IF(A1262="","",C1262+D1262)</f>
        <v/>
      </c>
      <c r="F1262" s="10">
        <f>IF(A1262="","",IF(AND(ROUND(C1262,2)=0,ROUND(D1262,2)=0),"","yes"))</f>
        <v/>
      </c>
      <c r="G1262" s="39" t="n"/>
      <c r="H1262" s="11">
        <f>IF(OR(A1262="",G1262=""),"",E1262-G1262)</f>
        <v/>
      </c>
    </row>
    <row r="1263">
      <c r="A1263" s="10">
        <f>IF(INDEX(lst_Jobs,1250)="","",INDEX(lst_Jobs,1250)&amp;"")</f>
        <v/>
      </c>
      <c r="B1263" s="10">
        <f>IF(A1263="","",INDEX(lst_JobName,1250)&amp;"")</f>
        <v/>
      </c>
      <c r="C1263" s="11">
        <f>IF(A1263="","",SUMIFS(tbl_WIP[Amount],tbl_WIP[Job Number],A1263,tbl_WIP[Month],"&lt;"&amp;$C$4))</f>
        <v/>
      </c>
      <c r="D1263" s="11">
        <f>IF(A1263="","",SUMIFS(tbl_WIP[Amount],tbl_WIP[Job Number],A1263,tbl_WIP[Month],$C$4))</f>
        <v/>
      </c>
      <c r="E1263" s="11">
        <f>IF(A1263="","",C1263+D1263)</f>
        <v/>
      </c>
      <c r="F1263" s="10">
        <f>IF(A1263="","",IF(AND(ROUND(C1263,2)=0,ROUND(D1263,2)=0),"","yes"))</f>
        <v/>
      </c>
      <c r="G1263" s="39" t="n"/>
      <c r="H1263" s="11">
        <f>IF(OR(A1263="",G1263=""),"",E1263-G1263)</f>
        <v/>
      </c>
    </row>
    <row r="1264">
      <c r="A1264" s="10">
        <f>IF(INDEX(lst_Jobs,1251)="","",INDEX(lst_Jobs,1251)&amp;"")</f>
        <v/>
      </c>
      <c r="B1264" s="10">
        <f>IF(A1264="","",INDEX(lst_JobName,1251)&amp;"")</f>
        <v/>
      </c>
      <c r="C1264" s="11">
        <f>IF(A1264="","",SUMIFS(tbl_WIP[Amount],tbl_WIP[Job Number],A1264,tbl_WIP[Month],"&lt;"&amp;$C$4))</f>
        <v/>
      </c>
      <c r="D1264" s="11">
        <f>IF(A1264="","",SUMIFS(tbl_WIP[Amount],tbl_WIP[Job Number],A1264,tbl_WIP[Month],$C$4))</f>
        <v/>
      </c>
      <c r="E1264" s="11">
        <f>IF(A1264="","",C1264+D1264)</f>
        <v/>
      </c>
      <c r="F1264" s="10">
        <f>IF(A1264="","",IF(AND(ROUND(C1264,2)=0,ROUND(D1264,2)=0),"","yes"))</f>
        <v/>
      </c>
      <c r="G1264" s="39" t="n"/>
      <c r="H1264" s="11">
        <f>IF(OR(A1264="",G1264=""),"",E1264-G1264)</f>
        <v/>
      </c>
    </row>
    <row r="1265">
      <c r="A1265" s="10">
        <f>IF(INDEX(lst_Jobs,1252)="","",INDEX(lst_Jobs,1252)&amp;"")</f>
        <v/>
      </c>
      <c r="B1265" s="10">
        <f>IF(A1265="","",INDEX(lst_JobName,1252)&amp;"")</f>
        <v/>
      </c>
      <c r="C1265" s="11">
        <f>IF(A1265="","",SUMIFS(tbl_WIP[Amount],tbl_WIP[Job Number],A1265,tbl_WIP[Month],"&lt;"&amp;$C$4))</f>
        <v/>
      </c>
      <c r="D1265" s="11">
        <f>IF(A1265="","",SUMIFS(tbl_WIP[Amount],tbl_WIP[Job Number],A1265,tbl_WIP[Month],$C$4))</f>
        <v/>
      </c>
      <c r="E1265" s="11">
        <f>IF(A1265="","",C1265+D1265)</f>
        <v/>
      </c>
      <c r="F1265" s="10">
        <f>IF(A1265="","",IF(AND(ROUND(C1265,2)=0,ROUND(D1265,2)=0),"","yes"))</f>
        <v/>
      </c>
      <c r="G1265" s="39" t="n"/>
      <c r="H1265" s="11">
        <f>IF(OR(A1265="",G1265=""),"",E1265-G1265)</f>
        <v/>
      </c>
    </row>
    <row r="1266">
      <c r="A1266" s="10">
        <f>IF(INDEX(lst_Jobs,1253)="","",INDEX(lst_Jobs,1253)&amp;"")</f>
        <v/>
      </c>
      <c r="B1266" s="10">
        <f>IF(A1266="","",INDEX(lst_JobName,1253)&amp;"")</f>
        <v/>
      </c>
      <c r="C1266" s="11">
        <f>IF(A1266="","",SUMIFS(tbl_WIP[Amount],tbl_WIP[Job Number],A1266,tbl_WIP[Month],"&lt;"&amp;$C$4))</f>
        <v/>
      </c>
      <c r="D1266" s="11">
        <f>IF(A1266="","",SUMIFS(tbl_WIP[Amount],tbl_WIP[Job Number],A1266,tbl_WIP[Month],$C$4))</f>
        <v/>
      </c>
      <c r="E1266" s="11">
        <f>IF(A1266="","",C1266+D1266)</f>
        <v/>
      </c>
      <c r="F1266" s="10">
        <f>IF(A1266="","",IF(AND(ROUND(C1266,2)=0,ROUND(D1266,2)=0),"","yes"))</f>
        <v/>
      </c>
      <c r="G1266" s="39" t="n"/>
      <c r="H1266" s="11">
        <f>IF(OR(A1266="",G1266=""),"",E1266-G1266)</f>
        <v/>
      </c>
    </row>
    <row r="1267">
      <c r="A1267" s="10">
        <f>IF(INDEX(lst_Jobs,1254)="","",INDEX(lst_Jobs,1254)&amp;"")</f>
        <v/>
      </c>
      <c r="B1267" s="10">
        <f>IF(A1267="","",INDEX(lst_JobName,1254)&amp;"")</f>
        <v/>
      </c>
      <c r="C1267" s="11">
        <f>IF(A1267="","",SUMIFS(tbl_WIP[Amount],tbl_WIP[Job Number],A1267,tbl_WIP[Month],"&lt;"&amp;$C$4))</f>
        <v/>
      </c>
      <c r="D1267" s="11">
        <f>IF(A1267="","",SUMIFS(tbl_WIP[Amount],tbl_WIP[Job Number],A1267,tbl_WIP[Month],$C$4))</f>
        <v/>
      </c>
      <c r="E1267" s="11">
        <f>IF(A1267="","",C1267+D1267)</f>
        <v/>
      </c>
      <c r="F1267" s="10">
        <f>IF(A1267="","",IF(AND(ROUND(C1267,2)=0,ROUND(D1267,2)=0),"","yes"))</f>
        <v/>
      </c>
      <c r="G1267" s="39" t="n"/>
      <c r="H1267" s="11">
        <f>IF(OR(A1267="",G1267=""),"",E1267-G1267)</f>
        <v/>
      </c>
    </row>
    <row r="1268">
      <c r="A1268" s="10">
        <f>IF(INDEX(lst_Jobs,1255)="","",INDEX(lst_Jobs,1255)&amp;"")</f>
        <v/>
      </c>
      <c r="B1268" s="10">
        <f>IF(A1268="","",INDEX(lst_JobName,1255)&amp;"")</f>
        <v/>
      </c>
      <c r="C1268" s="11">
        <f>IF(A1268="","",SUMIFS(tbl_WIP[Amount],tbl_WIP[Job Number],A1268,tbl_WIP[Month],"&lt;"&amp;$C$4))</f>
        <v/>
      </c>
      <c r="D1268" s="11">
        <f>IF(A1268="","",SUMIFS(tbl_WIP[Amount],tbl_WIP[Job Number],A1268,tbl_WIP[Month],$C$4))</f>
        <v/>
      </c>
      <c r="E1268" s="11">
        <f>IF(A1268="","",C1268+D1268)</f>
        <v/>
      </c>
      <c r="F1268" s="10">
        <f>IF(A1268="","",IF(AND(ROUND(C1268,2)=0,ROUND(D1268,2)=0),"","yes"))</f>
        <v/>
      </c>
      <c r="G1268" s="39" t="n"/>
      <c r="H1268" s="11">
        <f>IF(OR(A1268="",G1268=""),"",E1268-G1268)</f>
        <v/>
      </c>
    </row>
    <row r="1269">
      <c r="A1269" s="10">
        <f>IF(INDEX(lst_Jobs,1256)="","",INDEX(lst_Jobs,1256)&amp;"")</f>
        <v/>
      </c>
      <c r="B1269" s="10">
        <f>IF(A1269="","",INDEX(lst_JobName,1256)&amp;"")</f>
        <v/>
      </c>
      <c r="C1269" s="11">
        <f>IF(A1269="","",SUMIFS(tbl_WIP[Amount],tbl_WIP[Job Number],A1269,tbl_WIP[Month],"&lt;"&amp;$C$4))</f>
        <v/>
      </c>
      <c r="D1269" s="11">
        <f>IF(A1269="","",SUMIFS(tbl_WIP[Amount],tbl_WIP[Job Number],A1269,tbl_WIP[Month],$C$4))</f>
        <v/>
      </c>
      <c r="E1269" s="11">
        <f>IF(A1269="","",C1269+D1269)</f>
        <v/>
      </c>
      <c r="F1269" s="10">
        <f>IF(A1269="","",IF(AND(ROUND(C1269,2)=0,ROUND(D1269,2)=0),"","yes"))</f>
        <v/>
      </c>
      <c r="G1269" s="39" t="n"/>
      <c r="H1269" s="11">
        <f>IF(OR(A1269="",G1269=""),"",E1269-G1269)</f>
        <v/>
      </c>
    </row>
    <row r="1270">
      <c r="A1270" s="10">
        <f>IF(INDEX(lst_Jobs,1257)="","",INDEX(lst_Jobs,1257)&amp;"")</f>
        <v/>
      </c>
      <c r="B1270" s="10">
        <f>IF(A1270="","",INDEX(lst_JobName,1257)&amp;"")</f>
        <v/>
      </c>
      <c r="C1270" s="11">
        <f>IF(A1270="","",SUMIFS(tbl_WIP[Amount],tbl_WIP[Job Number],A1270,tbl_WIP[Month],"&lt;"&amp;$C$4))</f>
        <v/>
      </c>
      <c r="D1270" s="11">
        <f>IF(A1270="","",SUMIFS(tbl_WIP[Amount],tbl_WIP[Job Number],A1270,tbl_WIP[Month],$C$4))</f>
        <v/>
      </c>
      <c r="E1270" s="11">
        <f>IF(A1270="","",C1270+D1270)</f>
        <v/>
      </c>
      <c r="F1270" s="10">
        <f>IF(A1270="","",IF(AND(ROUND(C1270,2)=0,ROUND(D1270,2)=0),"","yes"))</f>
        <v/>
      </c>
      <c r="G1270" s="39" t="n"/>
      <c r="H1270" s="11">
        <f>IF(OR(A1270="",G1270=""),"",E1270-G1270)</f>
        <v/>
      </c>
    </row>
    <row r="1271">
      <c r="A1271" s="10">
        <f>IF(INDEX(lst_Jobs,1258)="","",INDEX(lst_Jobs,1258)&amp;"")</f>
        <v/>
      </c>
      <c r="B1271" s="10">
        <f>IF(A1271="","",INDEX(lst_JobName,1258)&amp;"")</f>
        <v/>
      </c>
      <c r="C1271" s="11">
        <f>IF(A1271="","",SUMIFS(tbl_WIP[Amount],tbl_WIP[Job Number],A1271,tbl_WIP[Month],"&lt;"&amp;$C$4))</f>
        <v/>
      </c>
      <c r="D1271" s="11">
        <f>IF(A1271="","",SUMIFS(tbl_WIP[Amount],tbl_WIP[Job Number],A1271,tbl_WIP[Month],$C$4))</f>
        <v/>
      </c>
      <c r="E1271" s="11">
        <f>IF(A1271="","",C1271+D1271)</f>
        <v/>
      </c>
      <c r="F1271" s="10">
        <f>IF(A1271="","",IF(AND(ROUND(C1271,2)=0,ROUND(D1271,2)=0),"","yes"))</f>
        <v/>
      </c>
      <c r="G1271" s="39" t="n"/>
      <c r="H1271" s="11">
        <f>IF(OR(A1271="",G1271=""),"",E1271-G1271)</f>
        <v/>
      </c>
    </row>
    <row r="1272">
      <c r="A1272" s="10">
        <f>IF(INDEX(lst_Jobs,1259)="","",INDEX(lst_Jobs,1259)&amp;"")</f>
        <v/>
      </c>
      <c r="B1272" s="10">
        <f>IF(A1272="","",INDEX(lst_JobName,1259)&amp;"")</f>
        <v/>
      </c>
      <c r="C1272" s="11">
        <f>IF(A1272="","",SUMIFS(tbl_WIP[Amount],tbl_WIP[Job Number],A1272,tbl_WIP[Month],"&lt;"&amp;$C$4))</f>
        <v/>
      </c>
      <c r="D1272" s="11">
        <f>IF(A1272="","",SUMIFS(tbl_WIP[Amount],tbl_WIP[Job Number],A1272,tbl_WIP[Month],$C$4))</f>
        <v/>
      </c>
      <c r="E1272" s="11">
        <f>IF(A1272="","",C1272+D1272)</f>
        <v/>
      </c>
      <c r="F1272" s="10">
        <f>IF(A1272="","",IF(AND(ROUND(C1272,2)=0,ROUND(D1272,2)=0),"","yes"))</f>
        <v/>
      </c>
      <c r="G1272" s="39" t="n"/>
      <c r="H1272" s="11">
        <f>IF(OR(A1272="",G1272=""),"",E1272-G1272)</f>
        <v/>
      </c>
    </row>
    <row r="1273">
      <c r="A1273" s="10">
        <f>IF(INDEX(lst_Jobs,1260)="","",INDEX(lst_Jobs,1260)&amp;"")</f>
        <v/>
      </c>
      <c r="B1273" s="10">
        <f>IF(A1273="","",INDEX(lst_JobName,1260)&amp;"")</f>
        <v/>
      </c>
      <c r="C1273" s="11">
        <f>IF(A1273="","",SUMIFS(tbl_WIP[Amount],tbl_WIP[Job Number],A1273,tbl_WIP[Month],"&lt;"&amp;$C$4))</f>
        <v/>
      </c>
      <c r="D1273" s="11">
        <f>IF(A1273="","",SUMIFS(tbl_WIP[Amount],tbl_WIP[Job Number],A1273,tbl_WIP[Month],$C$4))</f>
        <v/>
      </c>
      <c r="E1273" s="11">
        <f>IF(A1273="","",C1273+D1273)</f>
        <v/>
      </c>
      <c r="F1273" s="10">
        <f>IF(A1273="","",IF(AND(ROUND(C1273,2)=0,ROUND(D1273,2)=0),"","yes"))</f>
        <v/>
      </c>
      <c r="G1273" s="39" t="n"/>
      <c r="H1273" s="11">
        <f>IF(OR(A1273="",G1273=""),"",E1273-G1273)</f>
        <v/>
      </c>
    </row>
    <row r="1274">
      <c r="A1274" s="10">
        <f>IF(INDEX(lst_Jobs,1261)="","",INDEX(lst_Jobs,1261)&amp;"")</f>
        <v/>
      </c>
      <c r="B1274" s="10">
        <f>IF(A1274="","",INDEX(lst_JobName,1261)&amp;"")</f>
        <v/>
      </c>
      <c r="C1274" s="11">
        <f>IF(A1274="","",SUMIFS(tbl_WIP[Amount],tbl_WIP[Job Number],A1274,tbl_WIP[Month],"&lt;"&amp;$C$4))</f>
        <v/>
      </c>
      <c r="D1274" s="11">
        <f>IF(A1274="","",SUMIFS(tbl_WIP[Amount],tbl_WIP[Job Number],A1274,tbl_WIP[Month],$C$4))</f>
        <v/>
      </c>
      <c r="E1274" s="11">
        <f>IF(A1274="","",C1274+D1274)</f>
        <v/>
      </c>
      <c r="F1274" s="10">
        <f>IF(A1274="","",IF(AND(ROUND(C1274,2)=0,ROUND(D1274,2)=0),"","yes"))</f>
        <v/>
      </c>
      <c r="G1274" s="39" t="n"/>
      <c r="H1274" s="11">
        <f>IF(OR(A1274="",G1274=""),"",E1274-G1274)</f>
        <v/>
      </c>
    </row>
    <row r="1275">
      <c r="A1275" s="10">
        <f>IF(INDEX(lst_Jobs,1262)="","",INDEX(lst_Jobs,1262)&amp;"")</f>
        <v/>
      </c>
      <c r="B1275" s="10">
        <f>IF(A1275="","",INDEX(lst_JobName,1262)&amp;"")</f>
        <v/>
      </c>
      <c r="C1275" s="11">
        <f>IF(A1275="","",SUMIFS(tbl_WIP[Amount],tbl_WIP[Job Number],A1275,tbl_WIP[Month],"&lt;"&amp;$C$4))</f>
        <v/>
      </c>
      <c r="D1275" s="11">
        <f>IF(A1275="","",SUMIFS(tbl_WIP[Amount],tbl_WIP[Job Number],A1275,tbl_WIP[Month],$C$4))</f>
        <v/>
      </c>
      <c r="E1275" s="11">
        <f>IF(A1275="","",C1275+D1275)</f>
        <v/>
      </c>
      <c r="F1275" s="10">
        <f>IF(A1275="","",IF(AND(ROUND(C1275,2)=0,ROUND(D1275,2)=0),"","yes"))</f>
        <v/>
      </c>
      <c r="G1275" s="39" t="n"/>
      <c r="H1275" s="11">
        <f>IF(OR(A1275="",G1275=""),"",E1275-G1275)</f>
        <v/>
      </c>
    </row>
    <row r="1276">
      <c r="A1276" s="10">
        <f>IF(INDEX(lst_Jobs,1263)="","",INDEX(lst_Jobs,1263)&amp;"")</f>
        <v/>
      </c>
      <c r="B1276" s="10">
        <f>IF(A1276="","",INDEX(lst_JobName,1263)&amp;"")</f>
        <v/>
      </c>
      <c r="C1276" s="11">
        <f>IF(A1276="","",SUMIFS(tbl_WIP[Amount],tbl_WIP[Job Number],A1276,tbl_WIP[Month],"&lt;"&amp;$C$4))</f>
        <v/>
      </c>
      <c r="D1276" s="11">
        <f>IF(A1276="","",SUMIFS(tbl_WIP[Amount],tbl_WIP[Job Number],A1276,tbl_WIP[Month],$C$4))</f>
        <v/>
      </c>
      <c r="E1276" s="11">
        <f>IF(A1276="","",C1276+D1276)</f>
        <v/>
      </c>
      <c r="F1276" s="10">
        <f>IF(A1276="","",IF(AND(ROUND(C1276,2)=0,ROUND(D1276,2)=0),"","yes"))</f>
        <v/>
      </c>
      <c r="G1276" s="39" t="n"/>
      <c r="H1276" s="11">
        <f>IF(OR(A1276="",G1276=""),"",E1276-G1276)</f>
        <v/>
      </c>
    </row>
    <row r="1277">
      <c r="A1277" s="10">
        <f>IF(INDEX(lst_Jobs,1264)="","",INDEX(lst_Jobs,1264)&amp;"")</f>
        <v/>
      </c>
      <c r="B1277" s="10">
        <f>IF(A1277="","",INDEX(lst_JobName,1264)&amp;"")</f>
        <v/>
      </c>
      <c r="C1277" s="11">
        <f>IF(A1277="","",SUMIFS(tbl_WIP[Amount],tbl_WIP[Job Number],A1277,tbl_WIP[Month],"&lt;"&amp;$C$4))</f>
        <v/>
      </c>
      <c r="D1277" s="11">
        <f>IF(A1277="","",SUMIFS(tbl_WIP[Amount],tbl_WIP[Job Number],A1277,tbl_WIP[Month],$C$4))</f>
        <v/>
      </c>
      <c r="E1277" s="11">
        <f>IF(A1277="","",C1277+D1277)</f>
        <v/>
      </c>
      <c r="F1277" s="10">
        <f>IF(A1277="","",IF(AND(ROUND(C1277,2)=0,ROUND(D1277,2)=0),"","yes"))</f>
        <v/>
      </c>
      <c r="G1277" s="39" t="n"/>
      <c r="H1277" s="11">
        <f>IF(OR(A1277="",G1277=""),"",E1277-G1277)</f>
        <v/>
      </c>
    </row>
    <row r="1278">
      <c r="A1278" s="10">
        <f>IF(INDEX(lst_Jobs,1265)="","",INDEX(lst_Jobs,1265)&amp;"")</f>
        <v/>
      </c>
      <c r="B1278" s="10">
        <f>IF(A1278="","",INDEX(lst_JobName,1265)&amp;"")</f>
        <v/>
      </c>
      <c r="C1278" s="11">
        <f>IF(A1278="","",SUMIFS(tbl_WIP[Amount],tbl_WIP[Job Number],A1278,tbl_WIP[Month],"&lt;"&amp;$C$4))</f>
        <v/>
      </c>
      <c r="D1278" s="11">
        <f>IF(A1278="","",SUMIFS(tbl_WIP[Amount],tbl_WIP[Job Number],A1278,tbl_WIP[Month],$C$4))</f>
        <v/>
      </c>
      <c r="E1278" s="11">
        <f>IF(A1278="","",C1278+D1278)</f>
        <v/>
      </c>
      <c r="F1278" s="10">
        <f>IF(A1278="","",IF(AND(ROUND(C1278,2)=0,ROUND(D1278,2)=0),"","yes"))</f>
        <v/>
      </c>
      <c r="G1278" s="39" t="n"/>
      <c r="H1278" s="11">
        <f>IF(OR(A1278="",G1278=""),"",E1278-G1278)</f>
        <v/>
      </c>
    </row>
    <row r="1279">
      <c r="A1279" s="10">
        <f>IF(INDEX(lst_Jobs,1266)="","",INDEX(lst_Jobs,1266)&amp;"")</f>
        <v/>
      </c>
      <c r="B1279" s="10">
        <f>IF(A1279="","",INDEX(lst_JobName,1266)&amp;"")</f>
        <v/>
      </c>
      <c r="C1279" s="11">
        <f>IF(A1279="","",SUMIFS(tbl_WIP[Amount],tbl_WIP[Job Number],A1279,tbl_WIP[Month],"&lt;"&amp;$C$4))</f>
        <v/>
      </c>
      <c r="D1279" s="11">
        <f>IF(A1279="","",SUMIFS(tbl_WIP[Amount],tbl_WIP[Job Number],A1279,tbl_WIP[Month],$C$4))</f>
        <v/>
      </c>
      <c r="E1279" s="11">
        <f>IF(A1279="","",C1279+D1279)</f>
        <v/>
      </c>
      <c r="F1279" s="10">
        <f>IF(A1279="","",IF(AND(ROUND(C1279,2)=0,ROUND(D1279,2)=0),"","yes"))</f>
        <v/>
      </c>
      <c r="G1279" s="39" t="n"/>
      <c r="H1279" s="11">
        <f>IF(OR(A1279="",G1279=""),"",E1279-G1279)</f>
        <v/>
      </c>
    </row>
    <row r="1280">
      <c r="A1280" s="10">
        <f>IF(INDEX(lst_Jobs,1267)="","",INDEX(lst_Jobs,1267)&amp;"")</f>
        <v/>
      </c>
      <c r="B1280" s="10">
        <f>IF(A1280="","",INDEX(lst_JobName,1267)&amp;"")</f>
        <v/>
      </c>
      <c r="C1280" s="11">
        <f>IF(A1280="","",SUMIFS(tbl_WIP[Amount],tbl_WIP[Job Number],A1280,tbl_WIP[Month],"&lt;"&amp;$C$4))</f>
        <v/>
      </c>
      <c r="D1280" s="11">
        <f>IF(A1280="","",SUMIFS(tbl_WIP[Amount],tbl_WIP[Job Number],A1280,tbl_WIP[Month],$C$4))</f>
        <v/>
      </c>
      <c r="E1280" s="11">
        <f>IF(A1280="","",C1280+D1280)</f>
        <v/>
      </c>
      <c r="F1280" s="10">
        <f>IF(A1280="","",IF(AND(ROUND(C1280,2)=0,ROUND(D1280,2)=0),"","yes"))</f>
        <v/>
      </c>
      <c r="G1280" s="39" t="n"/>
      <c r="H1280" s="11">
        <f>IF(OR(A1280="",G1280=""),"",E1280-G1280)</f>
        <v/>
      </c>
    </row>
    <row r="1281">
      <c r="A1281" s="10">
        <f>IF(INDEX(lst_Jobs,1268)="","",INDEX(lst_Jobs,1268)&amp;"")</f>
        <v/>
      </c>
      <c r="B1281" s="10">
        <f>IF(A1281="","",INDEX(lst_JobName,1268)&amp;"")</f>
        <v/>
      </c>
      <c r="C1281" s="11">
        <f>IF(A1281="","",SUMIFS(tbl_WIP[Amount],tbl_WIP[Job Number],A1281,tbl_WIP[Month],"&lt;"&amp;$C$4))</f>
        <v/>
      </c>
      <c r="D1281" s="11">
        <f>IF(A1281="","",SUMIFS(tbl_WIP[Amount],tbl_WIP[Job Number],A1281,tbl_WIP[Month],$C$4))</f>
        <v/>
      </c>
      <c r="E1281" s="11">
        <f>IF(A1281="","",C1281+D1281)</f>
        <v/>
      </c>
      <c r="F1281" s="10">
        <f>IF(A1281="","",IF(AND(ROUND(C1281,2)=0,ROUND(D1281,2)=0),"","yes"))</f>
        <v/>
      </c>
      <c r="G1281" s="39" t="n"/>
      <c r="H1281" s="11">
        <f>IF(OR(A1281="",G1281=""),"",E1281-G1281)</f>
        <v/>
      </c>
    </row>
    <row r="1282">
      <c r="A1282" s="10">
        <f>IF(INDEX(lst_Jobs,1269)="","",INDEX(lst_Jobs,1269)&amp;"")</f>
        <v/>
      </c>
      <c r="B1282" s="10">
        <f>IF(A1282="","",INDEX(lst_JobName,1269)&amp;"")</f>
        <v/>
      </c>
      <c r="C1282" s="11">
        <f>IF(A1282="","",SUMIFS(tbl_WIP[Amount],tbl_WIP[Job Number],A1282,tbl_WIP[Month],"&lt;"&amp;$C$4))</f>
        <v/>
      </c>
      <c r="D1282" s="11">
        <f>IF(A1282="","",SUMIFS(tbl_WIP[Amount],tbl_WIP[Job Number],A1282,tbl_WIP[Month],$C$4))</f>
        <v/>
      </c>
      <c r="E1282" s="11">
        <f>IF(A1282="","",C1282+D1282)</f>
        <v/>
      </c>
      <c r="F1282" s="10">
        <f>IF(A1282="","",IF(AND(ROUND(C1282,2)=0,ROUND(D1282,2)=0),"","yes"))</f>
        <v/>
      </c>
      <c r="G1282" s="39" t="n"/>
      <c r="H1282" s="11">
        <f>IF(OR(A1282="",G1282=""),"",E1282-G1282)</f>
        <v/>
      </c>
    </row>
    <row r="1283">
      <c r="A1283" s="10">
        <f>IF(INDEX(lst_Jobs,1270)="","",INDEX(lst_Jobs,1270)&amp;"")</f>
        <v/>
      </c>
      <c r="B1283" s="10">
        <f>IF(A1283="","",INDEX(lst_JobName,1270)&amp;"")</f>
        <v/>
      </c>
      <c r="C1283" s="11">
        <f>IF(A1283="","",SUMIFS(tbl_WIP[Amount],tbl_WIP[Job Number],A1283,tbl_WIP[Month],"&lt;"&amp;$C$4))</f>
        <v/>
      </c>
      <c r="D1283" s="11">
        <f>IF(A1283="","",SUMIFS(tbl_WIP[Amount],tbl_WIP[Job Number],A1283,tbl_WIP[Month],$C$4))</f>
        <v/>
      </c>
      <c r="E1283" s="11">
        <f>IF(A1283="","",C1283+D1283)</f>
        <v/>
      </c>
      <c r="F1283" s="10">
        <f>IF(A1283="","",IF(AND(ROUND(C1283,2)=0,ROUND(D1283,2)=0),"","yes"))</f>
        <v/>
      </c>
      <c r="G1283" s="39" t="n"/>
      <c r="H1283" s="11">
        <f>IF(OR(A1283="",G1283=""),"",E1283-G1283)</f>
        <v/>
      </c>
    </row>
    <row r="1284">
      <c r="A1284" s="10">
        <f>IF(INDEX(lst_Jobs,1271)="","",INDEX(lst_Jobs,1271)&amp;"")</f>
        <v/>
      </c>
      <c r="B1284" s="10">
        <f>IF(A1284="","",INDEX(lst_JobName,1271)&amp;"")</f>
        <v/>
      </c>
      <c r="C1284" s="11">
        <f>IF(A1284="","",SUMIFS(tbl_WIP[Amount],tbl_WIP[Job Number],A1284,tbl_WIP[Month],"&lt;"&amp;$C$4))</f>
        <v/>
      </c>
      <c r="D1284" s="11">
        <f>IF(A1284="","",SUMIFS(tbl_WIP[Amount],tbl_WIP[Job Number],A1284,tbl_WIP[Month],$C$4))</f>
        <v/>
      </c>
      <c r="E1284" s="11">
        <f>IF(A1284="","",C1284+D1284)</f>
        <v/>
      </c>
      <c r="F1284" s="10">
        <f>IF(A1284="","",IF(AND(ROUND(C1284,2)=0,ROUND(D1284,2)=0),"","yes"))</f>
        <v/>
      </c>
      <c r="G1284" s="39" t="n"/>
      <c r="H1284" s="11">
        <f>IF(OR(A1284="",G1284=""),"",E1284-G1284)</f>
        <v/>
      </c>
    </row>
    <row r="1285">
      <c r="A1285" s="10">
        <f>IF(INDEX(lst_Jobs,1272)="","",INDEX(lst_Jobs,1272)&amp;"")</f>
        <v/>
      </c>
      <c r="B1285" s="10">
        <f>IF(A1285="","",INDEX(lst_JobName,1272)&amp;"")</f>
        <v/>
      </c>
      <c r="C1285" s="11">
        <f>IF(A1285="","",SUMIFS(tbl_WIP[Amount],tbl_WIP[Job Number],A1285,tbl_WIP[Month],"&lt;"&amp;$C$4))</f>
        <v/>
      </c>
      <c r="D1285" s="11">
        <f>IF(A1285="","",SUMIFS(tbl_WIP[Amount],tbl_WIP[Job Number],A1285,tbl_WIP[Month],$C$4))</f>
        <v/>
      </c>
      <c r="E1285" s="11">
        <f>IF(A1285="","",C1285+D1285)</f>
        <v/>
      </c>
      <c r="F1285" s="10">
        <f>IF(A1285="","",IF(AND(ROUND(C1285,2)=0,ROUND(D1285,2)=0),"","yes"))</f>
        <v/>
      </c>
      <c r="G1285" s="39" t="n"/>
      <c r="H1285" s="11">
        <f>IF(OR(A1285="",G1285=""),"",E1285-G1285)</f>
        <v/>
      </c>
    </row>
    <row r="1286">
      <c r="A1286" s="10">
        <f>IF(INDEX(lst_Jobs,1273)="","",INDEX(lst_Jobs,1273)&amp;"")</f>
        <v/>
      </c>
      <c r="B1286" s="10">
        <f>IF(A1286="","",INDEX(lst_JobName,1273)&amp;"")</f>
        <v/>
      </c>
      <c r="C1286" s="11">
        <f>IF(A1286="","",SUMIFS(tbl_WIP[Amount],tbl_WIP[Job Number],A1286,tbl_WIP[Month],"&lt;"&amp;$C$4))</f>
        <v/>
      </c>
      <c r="D1286" s="11">
        <f>IF(A1286="","",SUMIFS(tbl_WIP[Amount],tbl_WIP[Job Number],A1286,tbl_WIP[Month],$C$4))</f>
        <v/>
      </c>
      <c r="E1286" s="11">
        <f>IF(A1286="","",C1286+D1286)</f>
        <v/>
      </c>
      <c r="F1286" s="10">
        <f>IF(A1286="","",IF(AND(ROUND(C1286,2)=0,ROUND(D1286,2)=0),"","yes"))</f>
        <v/>
      </c>
      <c r="G1286" s="39" t="n"/>
      <c r="H1286" s="11">
        <f>IF(OR(A1286="",G1286=""),"",E1286-G1286)</f>
        <v/>
      </c>
    </row>
    <row r="1287">
      <c r="A1287" s="10">
        <f>IF(INDEX(lst_Jobs,1274)="","",INDEX(lst_Jobs,1274)&amp;"")</f>
        <v/>
      </c>
      <c r="B1287" s="10">
        <f>IF(A1287="","",INDEX(lst_JobName,1274)&amp;"")</f>
        <v/>
      </c>
      <c r="C1287" s="11">
        <f>IF(A1287="","",SUMIFS(tbl_WIP[Amount],tbl_WIP[Job Number],A1287,tbl_WIP[Month],"&lt;"&amp;$C$4))</f>
        <v/>
      </c>
      <c r="D1287" s="11">
        <f>IF(A1287="","",SUMIFS(tbl_WIP[Amount],tbl_WIP[Job Number],A1287,tbl_WIP[Month],$C$4))</f>
        <v/>
      </c>
      <c r="E1287" s="11">
        <f>IF(A1287="","",C1287+D1287)</f>
        <v/>
      </c>
      <c r="F1287" s="10">
        <f>IF(A1287="","",IF(AND(ROUND(C1287,2)=0,ROUND(D1287,2)=0),"","yes"))</f>
        <v/>
      </c>
      <c r="G1287" s="39" t="n"/>
      <c r="H1287" s="11">
        <f>IF(OR(A1287="",G1287=""),"",E1287-G1287)</f>
        <v/>
      </c>
    </row>
    <row r="1288">
      <c r="A1288" s="10">
        <f>IF(INDEX(lst_Jobs,1275)="","",INDEX(lst_Jobs,1275)&amp;"")</f>
        <v/>
      </c>
      <c r="B1288" s="10">
        <f>IF(A1288="","",INDEX(lst_JobName,1275)&amp;"")</f>
        <v/>
      </c>
      <c r="C1288" s="11">
        <f>IF(A1288="","",SUMIFS(tbl_WIP[Amount],tbl_WIP[Job Number],A1288,tbl_WIP[Month],"&lt;"&amp;$C$4))</f>
        <v/>
      </c>
      <c r="D1288" s="11">
        <f>IF(A1288="","",SUMIFS(tbl_WIP[Amount],tbl_WIP[Job Number],A1288,tbl_WIP[Month],$C$4))</f>
        <v/>
      </c>
      <c r="E1288" s="11">
        <f>IF(A1288="","",C1288+D1288)</f>
        <v/>
      </c>
      <c r="F1288" s="10">
        <f>IF(A1288="","",IF(AND(ROUND(C1288,2)=0,ROUND(D1288,2)=0),"","yes"))</f>
        <v/>
      </c>
      <c r="G1288" s="39" t="n"/>
      <c r="H1288" s="11">
        <f>IF(OR(A1288="",G1288=""),"",E1288-G1288)</f>
        <v/>
      </c>
    </row>
    <row r="1289">
      <c r="A1289" s="10">
        <f>IF(INDEX(lst_Jobs,1276)="","",INDEX(lst_Jobs,1276)&amp;"")</f>
        <v/>
      </c>
      <c r="B1289" s="10">
        <f>IF(A1289="","",INDEX(lst_JobName,1276)&amp;"")</f>
        <v/>
      </c>
      <c r="C1289" s="11">
        <f>IF(A1289="","",SUMIFS(tbl_WIP[Amount],tbl_WIP[Job Number],A1289,tbl_WIP[Month],"&lt;"&amp;$C$4))</f>
        <v/>
      </c>
      <c r="D1289" s="11">
        <f>IF(A1289="","",SUMIFS(tbl_WIP[Amount],tbl_WIP[Job Number],A1289,tbl_WIP[Month],$C$4))</f>
        <v/>
      </c>
      <c r="E1289" s="11">
        <f>IF(A1289="","",C1289+D1289)</f>
        <v/>
      </c>
      <c r="F1289" s="10">
        <f>IF(A1289="","",IF(AND(ROUND(C1289,2)=0,ROUND(D1289,2)=0),"","yes"))</f>
        <v/>
      </c>
      <c r="G1289" s="39" t="n"/>
      <c r="H1289" s="11">
        <f>IF(OR(A1289="",G1289=""),"",E1289-G1289)</f>
        <v/>
      </c>
    </row>
    <row r="1290">
      <c r="A1290" s="10">
        <f>IF(INDEX(lst_Jobs,1277)="","",INDEX(lst_Jobs,1277)&amp;"")</f>
        <v/>
      </c>
      <c r="B1290" s="10">
        <f>IF(A1290="","",INDEX(lst_JobName,1277)&amp;"")</f>
        <v/>
      </c>
      <c r="C1290" s="11">
        <f>IF(A1290="","",SUMIFS(tbl_WIP[Amount],tbl_WIP[Job Number],A1290,tbl_WIP[Month],"&lt;"&amp;$C$4))</f>
        <v/>
      </c>
      <c r="D1290" s="11">
        <f>IF(A1290="","",SUMIFS(tbl_WIP[Amount],tbl_WIP[Job Number],A1290,tbl_WIP[Month],$C$4))</f>
        <v/>
      </c>
      <c r="E1290" s="11">
        <f>IF(A1290="","",C1290+D1290)</f>
        <v/>
      </c>
      <c r="F1290" s="10">
        <f>IF(A1290="","",IF(AND(ROUND(C1290,2)=0,ROUND(D1290,2)=0),"","yes"))</f>
        <v/>
      </c>
      <c r="G1290" s="39" t="n"/>
      <c r="H1290" s="11">
        <f>IF(OR(A1290="",G1290=""),"",E1290-G1290)</f>
        <v/>
      </c>
    </row>
    <row r="1291">
      <c r="A1291" s="10">
        <f>IF(INDEX(lst_Jobs,1278)="","",INDEX(lst_Jobs,1278)&amp;"")</f>
        <v/>
      </c>
      <c r="B1291" s="10">
        <f>IF(A1291="","",INDEX(lst_JobName,1278)&amp;"")</f>
        <v/>
      </c>
      <c r="C1291" s="11">
        <f>IF(A1291="","",SUMIFS(tbl_WIP[Amount],tbl_WIP[Job Number],A1291,tbl_WIP[Month],"&lt;"&amp;$C$4))</f>
        <v/>
      </c>
      <c r="D1291" s="11">
        <f>IF(A1291="","",SUMIFS(tbl_WIP[Amount],tbl_WIP[Job Number],A1291,tbl_WIP[Month],$C$4))</f>
        <v/>
      </c>
      <c r="E1291" s="11">
        <f>IF(A1291="","",C1291+D1291)</f>
        <v/>
      </c>
      <c r="F1291" s="10">
        <f>IF(A1291="","",IF(AND(ROUND(C1291,2)=0,ROUND(D1291,2)=0),"","yes"))</f>
        <v/>
      </c>
      <c r="G1291" s="39" t="n"/>
      <c r="H1291" s="11">
        <f>IF(OR(A1291="",G1291=""),"",E1291-G1291)</f>
        <v/>
      </c>
    </row>
    <row r="1292">
      <c r="A1292" s="10">
        <f>IF(INDEX(lst_Jobs,1279)="","",INDEX(lst_Jobs,1279)&amp;"")</f>
        <v/>
      </c>
      <c r="B1292" s="10">
        <f>IF(A1292="","",INDEX(lst_JobName,1279)&amp;"")</f>
        <v/>
      </c>
      <c r="C1292" s="11">
        <f>IF(A1292="","",SUMIFS(tbl_WIP[Amount],tbl_WIP[Job Number],A1292,tbl_WIP[Month],"&lt;"&amp;$C$4))</f>
        <v/>
      </c>
      <c r="D1292" s="11">
        <f>IF(A1292="","",SUMIFS(tbl_WIP[Amount],tbl_WIP[Job Number],A1292,tbl_WIP[Month],$C$4))</f>
        <v/>
      </c>
      <c r="E1292" s="11">
        <f>IF(A1292="","",C1292+D1292)</f>
        <v/>
      </c>
      <c r="F1292" s="10">
        <f>IF(A1292="","",IF(AND(ROUND(C1292,2)=0,ROUND(D1292,2)=0),"","yes"))</f>
        <v/>
      </c>
      <c r="G1292" s="39" t="n"/>
      <c r="H1292" s="11">
        <f>IF(OR(A1292="",G1292=""),"",E1292-G1292)</f>
        <v/>
      </c>
    </row>
    <row r="1293">
      <c r="A1293" s="10">
        <f>IF(INDEX(lst_Jobs,1280)="","",INDEX(lst_Jobs,1280)&amp;"")</f>
        <v/>
      </c>
      <c r="B1293" s="10">
        <f>IF(A1293="","",INDEX(lst_JobName,1280)&amp;"")</f>
        <v/>
      </c>
      <c r="C1293" s="11">
        <f>IF(A1293="","",SUMIFS(tbl_WIP[Amount],tbl_WIP[Job Number],A1293,tbl_WIP[Month],"&lt;"&amp;$C$4))</f>
        <v/>
      </c>
      <c r="D1293" s="11">
        <f>IF(A1293="","",SUMIFS(tbl_WIP[Amount],tbl_WIP[Job Number],A1293,tbl_WIP[Month],$C$4))</f>
        <v/>
      </c>
      <c r="E1293" s="11">
        <f>IF(A1293="","",C1293+D1293)</f>
        <v/>
      </c>
      <c r="F1293" s="10">
        <f>IF(A1293="","",IF(AND(ROUND(C1293,2)=0,ROUND(D1293,2)=0),"","yes"))</f>
        <v/>
      </c>
      <c r="G1293" s="39" t="n"/>
      <c r="H1293" s="11">
        <f>IF(OR(A1293="",G1293=""),"",E1293-G1293)</f>
        <v/>
      </c>
    </row>
    <row r="1294">
      <c r="A1294" s="10">
        <f>IF(INDEX(lst_Jobs,1281)="","",INDEX(lst_Jobs,1281)&amp;"")</f>
        <v/>
      </c>
      <c r="B1294" s="10">
        <f>IF(A1294="","",INDEX(lst_JobName,1281)&amp;"")</f>
        <v/>
      </c>
      <c r="C1294" s="11">
        <f>IF(A1294="","",SUMIFS(tbl_WIP[Amount],tbl_WIP[Job Number],A1294,tbl_WIP[Month],"&lt;"&amp;$C$4))</f>
        <v/>
      </c>
      <c r="D1294" s="11">
        <f>IF(A1294="","",SUMIFS(tbl_WIP[Amount],tbl_WIP[Job Number],A1294,tbl_WIP[Month],$C$4))</f>
        <v/>
      </c>
      <c r="E1294" s="11">
        <f>IF(A1294="","",C1294+D1294)</f>
        <v/>
      </c>
      <c r="F1294" s="10">
        <f>IF(A1294="","",IF(AND(ROUND(C1294,2)=0,ROUND(D1294,2)=0),"","yes"))</f>
        <v/>
      </c>
      <c r="G1294" s="39" t="n"/>
      <c r="H1294" s="11">
        <f>IF(OR(A1294="",G1294=""),"",E1294-G1294)</f>
        <v/>
      </c>
    </row>
    <row r="1295">
      <c r="A1295" s="10">
        <f>IF(INDEX(lst_Jobs,1282)="","",INDEX(lst_Jobs,1282)&amp;"")</f>
        <v/>
      </c>
      <c r="B1295" s="10">
        <f>IF(A1295="","",INDEX(lst_JobName,1282)&amp;"")</f>
        <v/>
      </c>
      <c r="C1295" s="11">
        <f>IF(A1295="","",SUMIFS(tbl_WIP[Amount],tbl_WIP[Job Number],A1295,tbl_WIP[Month],"&lt;"&amp;$C$4))</f>
        <v/>
      </c>
      <c r="D1295" s="11">
        <f>IF(A1295="","",SUMIFS(tbl_WIP[Amount],tbl_WIP[Job Number],A1295,tbl_WIP[Month],$C$4))</f>
        <v/>
      </c>
      <c r="E1295" s="11">
        <f>IF(A1295="","",C1295+D1295)</f>
        <v/>
      </c>
      <c r="F1295" s="10">
        <f>IF(A1295="","",IF(AND(ROUND(C1295,2)=0,ROUND(D1295,2)=0),"","yes"))</f>
        <v/>
      </c>
      <c r="G1295" s="39" t="n"/>
      <c r="H1295" s="11">
        <f>IF(OR(A1295="",G1295=""),"",E1295-G1295)</f>
        <v/>
      </c>
    </row>
    <row r="1296">
      <c r="A1296" s="10">
        <f>IF(INDEX(lst_Jobs,1283)="","",INDEX(lst_Jobs,1283)&amp;"")</f>
        <v/>
      </c>
      <c r="B1296" s="10">
        <f>IF(A1296="","",INDEX(lst_JobName,1283)&amp;"")</f>
        <v/>
      </c>
      <c r="C1296" s="11">
        <f>IF(A1296="","",SUMIFS(tbl_WIP[Amount],tbl_WIP[Job Number],A1296,tbl_WIP[Month],"&lt;"&amp;$C$4))</f>
        <v/>
      </c>
      <c r="D1296" s="11">
        <f>IF(A1296="","",SUMIFS(tbl_WIP[Amount],tbl_WIP[Job Number],A1296,tbl_WIP[Month],$C$4))</f>
        <v/>
      </c>
      <c r="E1296" s="11">
        <f>IF(A1296="","",C1296+D1296)</f>
        <v/>
      </c>
      <c r="F1296" s="10">
        <f>IF(A1296="","",IF(AND(ROUND(C1296,2)=0,ROUND(D1296,2)=0),"","yes"))</f>
        <v/>
      </c>
      <c r="G1296" s="39" t="n"/>
      <c r="H1296" s="11">
        <f>IF(OR(A1296="",G1296=""),"",E1296-G1296)</f>
        <v/>
      </c>
    </row>
    <row r="1297">
      <c r="A1297" s="10">
        <f>IF(INDEX(lst_Jobs,1284)="","",INDEX(lst_Jobs,1284)&amp;"")</f>
        <v/>
      </c>
      <c r="B1297" s="10">
        <f>IF(A1297="","",INDEX(lst_JobName,1284)&amp;"")</f>
        <v/>
      </c>
      <c r="C1297" s="11">
        <f>IF(A1297="","",SUMIFS(tbl_WIP[Amount],tbl_WIP[Job Number],A1297,tbl_WIP[Month],"&lt;"&amp;$C$4))</f>
        <v/>
      </c>
      <c r="D1297" s="11">
        <f>IF(A1297="","",SUMIFS(tbl_WIP[Amount],tbl_WIP[Job Number],A1297,tbl_WIP[Month],$C$4))</f>
        <v/>
      </c>
      <c r="E1297" s="11">
        <f>IF(A1297="","",C1297+D1297)</f>
        <v/>
      </c>
      <c r="F1297" s="10">
        <f>IF(A1297="","",IF(AND(ROUND(C1297,2)=0,ROUND(D1297,2)=0),"","yes"))</f>
        <v/>
      </c>
      <c r="G1297" s="39" t="n"/>
      <c r="H1297" s="11">
        <f>IF(OR(A1297="",G1297=""),"",E1297-G1297)</f>
        <v/>
      </c>
    </row>
    <row r="1298">
      <c r="A1298" s="10">
        <f>IF(INDEX(lst_Jobs,1285)="","",INDEX(lst_Jobs,1285)&amp;"")</f>
        <v/>
      </c>
      <c r="B1298" s="10">
        <f>IF(A1298="","",INDEX(lst_JobName,1285)&amp;"")</f>
        <v/>
      </c>
      <c r="C1298" s="11">
        <f>IF(A1298="","",SUMIFS(tbl_WIP[Amount],tbl_WIP[Job Number],A1298,tbl_WIP[Month],"&lt;"&amp;$C$4))</f>
        <v/>
      </c>
      <c r="D1298" s="11">
        <f>IF(A1298="","",SUMIFS(tbl_WIP[Amount],tbl_WIP[Job Number],A1298,tbl_WIP[Month],$C$4))</f>
        <v/>
      </c>
      <c r="E1298" s="11">
        <f>IF(A1298="","",C1298+D1298)</f>
        <v/>
      </c>
      <c r="F1298" s="10">
        <f>IF(A1298="","",IF(AND(ROUND(C1298,2)=0,ROUND(D1298,2)=0),"","yes"))</f>
        <v/>
      </c>
      <c r="G1298" s="39" t="n"/>
      <c r="H1298" s="11">
        <f>IF(OR(A1298="",G1298=""),"",E1298-G1298)</f>
        <v/>
      </c>
    </row>
    <row r="1299">
      <c r="A1299" s="10">
        <f>IF(INDEX(lst_Jobs,1286)="","",INDEX(lst_Jobs,1286)&amp;"")</f>
        <v/>
      </c>
      <c r="B1299" s="10">
        <f>IF(A1299="","",INDEX(lst_JobName,1286)&amp;"")</f>
        <v/>
      </c>
      <c r="C1299" s="11">
        <f>IF(A1299="","",SUMIFS(tbl_WIP[Amount],tbl_WIP[Job Number],A1299,tbl_WIP[Month],"&lt;"&amp;$C$4))</f>
        <v/>
      </c>
      <c r="D1299" s="11">
        <f>IF(A1299="","",SUMIFS(tbl_WIP[Amount],tbl_WIP[Job Number],A1299,tbl_WIP[Month],$C$4))</f>
        <v/>
      </c>
      <c r="E1299" s="11">
        <f>IF(A1299="","",C1299+D1299)</f>
        <v/>
      </c>
      <c r="F1299" s="10">
        <f>IF(A1299="","",IF(AND(ROUND(C1299,2)=0,ROUND(D1299,2)=0),"","yes"))</f>
        <v/>
      </c>
      <c r="G1299" s="39" t="n"/>
      <c r="H1299" s="11">
        <f>IF(OR(A1299="",G1299=""),"",E1299-G1299)</f>
        <v/>
      </c>
    </row>
    <row r="1300">
      <c r="A1300" s="10">
        <f>IF(INDEX(lst_Jobs,1287)="","",INDEX(lst_Jobs,1287)&amp;"")</f>
        <v/>
      </c>
      <c r="B1300" s="10">
        <f>IF(A1300="","",INDEX(lst_JobName,1287)&amp;"")</f>
        <v/>
      </c>
      <c r="C1300" s="11">
        <f>IF(A1300="","",SUMIFS(tbl_WIP[Amount],tbl_WIP[Job Number],A1300,tbl_WIP[Month],"&lt;"&amp;$C$4))</f>
        <v/>
      </c>
      <c r="D1300" s="11">
        <f>IF(A1300="","",SUMIFS(tbl_WIP[Amount],tbl_WIP[Job Number],A1300,tbl_WIP[Month],$C$4))</f>
        <v/>
      </c>
      <c r="E1300" s="11">
        <f>IF(A1300="","",C1300+D1300)</f>
        <v/>
      </c>
      <c r="F1300" s="10">
        <f>IF(A1300="","",IF(AND(ROUND(C1300,2)=0,ROUND(D1300,2)=0),"","yes"))</f>
        <v/>
      </c>
      <c r="G1300" s="39" t="n"/>
      <c r="H1300" s="11">
        <f>IF(OR(A1300="",G1300=""),"",E1300-G1300)</f>
        <v/>
      </c>
    </row>
    <row r="1301">
      <c r="A1301" s="10">
        <f>IF(INDEX(lst_Jobs,1288)="","",INDEX(lst_Jobs,1288)&amp;"")</f>
        <v/>
      </c>
      <c r="B1301" s="10">
        <f>IF(A1301="","",INDEX(lst_JobName,1288)&amp;"")</f>
        <v/>
      </c>
      <c r="C1301" s="11">
        <f>IF(A1301="","",SUMIFS(tbl_WIP[Amount],tbl_WIP[Job Number],A1301,tbl_WIP[Month],"&lt;"&amp;$C$4))</f>
        <v/>
      </c>
      <c r="D1301" s="11">
        <f>IF(A1301="","",SUMIFS(tbl_WIP[Amount],tbl_WIP[Job Number],A1301,tbl_WIP[Month],$C$4))</f>
        <v/>
      </c>
      <c r="E1301" s="11">
        <f>IF(A1301="","",C1301+D1301)</f>
        <v/>
      </c>
      <c r="F1301" s="10">
        <f>IF(A1301="","",IF(AND(ROUND(C1301,2)=0,ROUND(D1301,2)=0),"","yes"))</f>
        <v/>
      </c>
      <c r="G1301" s="39" t="n"/>
      <c r="H1301" s="11">
        <f>IF(OR(A1301="",G1301=""),"",E1301-G1301)</f>
        <v/>
      </c>
    </row>
    <row r="1302">
      <c r="A1302" s="10">
        <f>IF(INDEX(lst_Jobs,1289)="","",INDEX(lst_Jobs,1289)&amp;"")</f>
        <v/>
      </c>
      <c r="B1302" s="10">
        <f>IF(A1302="","",INDEX(lst_JobName,1289)&amp;"")</f>
        <v/>
      </c>
      <c r="C1302" s="11">
        <f>IF(A1302="","",SUMIFS(tbl_WIP[Amount],tbl_WIP[Job Number],A1302,tbl_WIP[Month],"&lt;"&amp;$C$4))</f>
        <v/>
      </c>
      <c r="D1302" s="11">
        <f>IF(A1302="","",SUMIFS(tbl_WIP[Amount],tbl_WIP[Job Number],A1302,tbl_WIP[Month],$C$4))</f>
        <v/>
      </c>
      <c r="E1302" s="11">
        <f>IF(A1302="","",C1302+D1302)</f>
        <v/>
      </c>
      <c r="F1302" s="10">
        <f>IF(A1302="","",IF(AND(ROUND(C1302,2)=0,ROUND(D1302,2)=0),"","yes"))</f>
        <v/>
      </c>
      <c r="G1302" s="39" t="n"/>
      <c r="H1302" s="11">
        <f>IF(OR(A1302="",G1302=""),"",E1302-G1302)</f>
        <v/>
      </c>
    </row>
    <row r="1303">
      <c r="A1303" s="10">
        <f>IF(INDEX(lst_Jobs,1290)="","",INDEX(lst_Jobs,1290)&amp;"")</f>
        <v/>
      </c>
      <c r="B1303" s="10">
        <f>IF(A1303="","",INDEX(lst_JobName,1290)&amp;"")</f>
        <v/>
      </c>
      <c r="C1303" s="11">
        <f>IF(A1303="","",SUMIFS(tbl_WIP[Amount],tbl_WIP[Job Number],A1303,tbl_WIP[Month],"&lt;"&amp;$C$4))</f>
        <v/>
      </c>
      <c r="D1303" s="11">
        <f>IF(A1303="","",SUMIFS(tbl_WIP[Amount],tbl_WIP[Job Number],A1303,tbl_WIP[Month],$C$4))</f>
        <v/>
      </c>
      <c r="E1303" s="11">
        <f>IF(A1303="","",C1303+D1303)</f>
        <v/>
      </c>
      <c r="F1303" s="10">
        <f>IF(A1303="","",IF(AND(ROUND(C1303,2)=0,ROUND(D1303,2)=0),"","yes"))</f>
        <v/>
      </c>
      <c r="G1303" s="39" t="n"/>
      <c r="H1303" s="11">
        <f>IF(OR(A1303="",G1303=""),"",E1303-G1303)</f>
        <v/>
      </c>
    </row>
    <row r="1304">
      <c r="A1304" s="10">
        <f>IF(INDEX(lst_Jobs,1291)="","",INDEX(lst_Jobs,1291)&amp;"")</f>
        <v/>
      </c>
      <c r="B1304" s="10">
        <f>IF(A1304="","",INDEX(lst_JobName,1291)&amp;"")</f>
        <v/>
      </c>
      <c r="C1304" s="11">
        <f>IF(A1304="","",SUMIFS(tbl_WIP[Amount],tbl_WIP[Job Number],A1304,tbl_WIP[Month],"&lt;"&amp;$C$4))</f>
        <v/>
      </c>
      <c r="D1304" s="11">
        <f>IF(A1304="","",SUMIFS(tbl_WIP[Amount],tbl_WIP[Job Number],A1304,tbl_WIP[Month],$C$4))</f>
        <v/>
      </c>
      <c r="E1304" s="11">
        <f>IF(A1304="","",C1304+D1304)</f>
        <v/>
      </c>
      <c r="F1304" s="10">
        <f>IF(A1304="","",IF(AND(ROUND(C1304,2)=0,ROUND(D1304,2)=0),"","yes"))</f>
        <v/>
      </c>
      <c r="G1304" s="39" t="n"/>
      <c r="H1304" s="11">
        <f>IF(OR(A1304="",G1304=""),"",E1304-G1304)</f>
        <v/>
      </c>
    </row>
    <row r="1305">
      <c r="A1305" s="10">
        <f>IF(INDEX(lst_Jobs,1292)="","",INDEX(lst_Jobs,1292)&amp;"")</f>
        <v/>
      </c>
      <c r="B1305" s="10">
        <f>IF(A1305="","",INDEX(lst_JobName,1292)&amp;"")</f>
        <v/>
      </c>
      <c r="C1305" s="11">
        <f>IF(A1305="","",SUMIFS(tbl_WIP[Amount],tbl_WIP[Job Number],A1305,tbl_WIP[Month],"&lt;"&amp;$C$4))</f>
        <v/>
      </c>
      <c r="D1305" s="11">
        <f>IF(A1305="","",SUMIFS(tbl_WIP[Amount],tbl_WIP[Job Number],A1305,tbl_WIP[Month],$C$4))</f>
        <v/>
      </c>
      <c r="E1305" s="11">
        <f>IF(A1305="","",C1305+D1305)</f>
        <v/>
      </c>
      <c r="F1305" s="10">
        <f>IF(A1305="","",IF(AND(ROUND(C1305,2)=0,ROUND(D1305,2)=0),"","yes"))</f>
        <v/>
      </c>
      <c r="G1305" s="39" t="n"/>
      <c r="H1305" s="11">
        <f>IF(OR(A1305="",G1305=""),"",E1305-G1305)</f>
        <v/>
      </c>
    </row>
    <row r="1306">
      <c r="A1306" s="10">
        <f>IF(INDEX(lst_Jobs,1293)="","",INDEX(lst_Jobs,1293)&amp;"")</f>
        <v/>
      </c>
      <c r="B1306" s="10">
        <f>IF(A1306="","",INDEX(lst_JobName,1293)&amp;"")</f>
        <v/>
      </c>
      <c r="C1306" s="11">
        <f>IF(A1306="","",SUMIFS(tbl_WIP[Amount],tbl_WIP[Job Number],A1306,tbl_WIP[Month],"&lt;"&amp;$C$4))</f>
        <v/>
      </c>
      <c r="D1306" s="11">
        <f>IF(A1306="","",SUMIFS(tbl_WIP[Amount],tbl_WIP[Job Number],A1306,tbl_WIP[Month],$C$4))</f>
        <v/>
      </c>
      <c r="E1306" s="11">
        <f>IF(A1306="","",C1306+D1306)</f>
        <v/>
      </c>
      <c r="F1306" s="10">
        <f>IF(A1306="","",IF(AND(ROUND(C1306,2)=0,ROUND(D1306,2)=0),"","yes"))</f>
        <v/>
      </c>
      <c r="G1306" s="39" t="n"/>
      <c r="H1306" s="11">
        <f>IF(OR(A1306="",G1306=""),"",E1306-G1306)</f>
        <v/>
      </c>
    </row>
    <row r="1307">
      <c r="A1307" s="10">
        <f>IF(INDEX(lst_Jobs,1294)="","",INDEX(lst_Jobs,1294)&amp;"")</f>
        <v/>
      </c>
      <c r="B1307" s="10">
        <f>IF(A1307="","",INDEX(lst_JobName,1294)&amp;"")</f>
        <v/>
      </c>
      <c r="C1307" s="11">
        <f>IF(A1307="","",SUMIFS(tbl_WIP[Amount],tbl_WIP[Job Number],A1307,tbl_WIP[Month],"&lt;"&amp;$C$4))</f>
        <v/>
      </c>
      <c r="D1307" s="11">
        <f>IF(A1307="","",SUMIFS(tbl_WIP[Amount],tbl_WIP[Job Number],A1307,tbl_WIP[Month],$C$4))</f>
        <v/>
      </c>
      <c r="E1307" s="11">
        <f>IF(A1307="","",C1307+D1307)</f>
        <v/>
      </c>
      <c r="F1307" s="10">
        <f>IF(A1307="","",IF(AND(ROUND(C1307,2)=0,ROUND(D1307,2)=0),"","yes"))</f>
        <v/>
      </c>
      <c r="G1307" s="39" t="n"/>
      <c r="H1307" s="11">
        <f>IF(OR(A1307="",G1307=""),"",E1307-G1307)</f>
        <v/>
      </c>
    </row>
    <row r="1308">
      <c r="A1308" s="10">
        <f>IF(INDEX(lst_Jobs,1295)="","",INDEX(lst_Jobs,1295)&amp;"")</f>
        <v/>
      </c>
      <c r="B1308" s="10">
        <f>IF(A1308="","",INDEX(lst_JobName,1295)&amp;"")</f>
        <v/>
      </c>
      <c r="C1308" s="11">
        <f>IF(A1308="","",SUMIFS(tbl_WIP[Amount],tbl_WIP[Job Number],A1308,tbl_WIP[Month],"&lt;"&amp;$C$4))</f>
        <v/>
      </c>
      <c r="D1308" s="11">
        <f>IF(A1308="","",SUMIFS(tbl_WIP[Amount],tbl_WIP[Job Number],A1308,tbl_WIP[Month],$C$4))</f>
        <v/>
      </c>
      <c r="E1308" s="11">
        <f>IF(A1308="","",C1308+D1308)</f>
        <v/>
      </c>
      <c r="F1308" s="10">
        <f>IF(A1308="","",IF(AND(ROUND(C1308,2)=0,ROUND(D1308,2)=0),"","yes"))</f>
        <v/>
      </c>
      <c r="G1308" s="39" t="n"/>
      <c r="H1308" s="11">
        <f>IF(OR(A1308="",G1308=""),"",E1308-G1308)</f>
        <v/>
      </c>
    </row>
    <row r="1309">
      <c r="A1309" s="10">
        <f>IF(INDEX(lst_Jobs,1296)="","",INDEX(lst_Jobs,1296)&amp;"")</f>
        <v/>
      </c>
      <c r="B1309" s="10">
        <f>IF(A1309="","",INDEX(lst_JobName,1296)&amp;"")</f>
        <v/>
      </c>
      <c r="C1309" s="11">
        <f>IF(A1309="","",SUMIFS(tbl_WIP[Amount],tbl_WIP[Job Number],A1309,tbl_WIP[Month],"&lt;"&amp;$C$4))</f>
        <v/>
      </c>
      <c r="D1309" s="11">
        <f>IF(A1309="","",SUMIFS(tbl_WIP[Amount],tbl_WIP[Job Number],A1309,tbl_WIP[Month],$C$4))</f>
        <v/>
      </c>
      <c r="E1309" s="11">
        <f>IF(A1309="","",C1309+D1309)</f>
        <v/>
      </c>
      <c r="F1309" s="10">
        <f>IF(A1309="","",IF(AND(ROUND(C1309,2)=0,ROUND(D1309,2)=0),"","yes"))</f>
        <v/>
      </c>
      <c r="G1309" s="39" t="n"/>
      <c r="H1309" s="11">
        <f>IF(OR(A1309="",G1309=""),"",E1309-G1309)</f>
        <v/>
      </c>
    </row>
    <row r="1310">
      <c r="A1310" s="10">
        <f>IF(INDEX(lst_Jobs,1297)="","",INDEX(lst_Jobs,1297)&amp;"")</f>
        <v/>
      </c>
      <c r="B1310" s="10">
        <f>IF(A1310="","",INDEX(lst_JobName,1297)&amp;"")</f>
        <v/>
      </c>
      <c r="C1310" s="11">
        <f>IF(A1310="","",SUMIFS(tbl_WIP[Amount],tbl_WIP[Job Number],A1310,tbl_WIP[Month],"&lt;"&amp;$C$4))</f>
        <v/>
      </c>
      <c r="D1310" s="11">
        <f>IF(A1310="","",SUMIFS(tbl_WIP[Amount],tbl_WIP[Job Number],A1310,tbl_WIP[Month],$C$4))</f>
        <v/>
      </c>
      <c r="E1310" s="11">
        <f>IF(A1310="","",C1310+D1310)</f>
        <v/>
      </c>
      <c r="F1310" s="10">
        <f>IF(A1310="","",IF(AND(ROUND(C1310,2)=0,ROUND(D1310,2)=0),"","yes"))</f>
        <v/>
      </c>
      <c r="G1310" s="39" t="n"/>
      <c r="H1310" s="11">
        <f>IF(OR(A1310="",G1310=""),"",E1310-G1310)</f>
        <v/>
      </c>
    </row>
    <row r="1311">
      <c r="A1311" s="10">
        <f>IF(INDEX(lst_Jobs,1298)="","",INDEX(lst_Jobs,1298)&amp;"")</f>
        <v/>
      </c>
      <c r="B1311" s="10">
        <f>IF(A1311="","",INDEX(lst_JobName,1298)&amp;"")</f>
        <v/>
      </c>
      <c r="C1311" s="11">
        <f>IF(A1311="","",SUMIFS(tbl_WIP[Amount],tbl_WIP[Job Number],A1311,tbl_WIP[Month],"&lt;"&amp;$C$4))</f>
        <v/>
      </c>
      <c r="D1311" s="11">
        <f>IF(A1311="","",SUMIFS(tbl_WIP[Amount],tbl_WIP[Job Number],A1311,tbl_WIP[Month],$C$4))</f>
        <v/>
      </c>
      <c r="E1311" s="11">
        <f>IF(A1311="","",C1311+D1311)</f>
        <v/>
      </c>
      <c r="F1311" s="10">
        <f>IF(A1311="","",IF(AND(ROUND(C1311,2)=0,ROUND(D1311,2)=0),"","yes"))</f>
        <v/>
      </c>
      <c r="G1311" s="39" t="n"/>
      <c r="H1311" s="11">
        <f>IF(OR(A1311="",G1311=""),"",E1311-G1311)</f>
        <v/>
      </c>
    </row>
    <row r="1312">
      <c r="A1312" s="10">
        <f>IF(INDEX(lst_Jobs,1299)="","",INDEX(lst_Jobs,1299)&amp;"")</f>
        <v/>
      </c>
      <c r="B1312" s="10">
        <f>IF(A1312="","",INDEX(lst_JobName,1299)&amp;"")</f>
        <v/>
      </c>
      <c r="C1312" s="11">
        <f>IF(A1312="","",SUMIFS(tbl_WIP[Amount],tbl_WIP[Job Number],A1312,tbl_WIP[Month],"&lt;"&amp;$C$4))</f>
        <v/>
      </c>
      <c r="D1312" s="11">
        <f>IF(A1312="","",SUMIFS(tbl_WIP[Amount],tbl_WIP[Job Number],A1312,tbl_WIP[Month],$C$4))</f>
        <v/>
      </c>
      <c r="E1312" s="11">
        <f>IF(A1312="","",C1312+D1312)</f>
        <v/>
      </c>
      <c r="F1312" s="10">
        <f>IF(A1312="","",IF(AND(ROUND(C1312,2)=0,ROUND(D1312,2)=0),"","yes"))</f>
        <v/>
      </c>
      <c r="G1312" s="39" t="n"/>
      <c r="H1312" s="11">
        <f>IF(OR(A1312="",G1312=""),"",E1312-G1312)</f>
        <v/>
      </c>
    </row>
    <row r="1313">
      <c r="A1313" s="10">
        <f>IF(INDEX(lst_Jobs,1300)="","",INDEX(lst_Jobs,1300)&amp;"")</f>
        <v/>
      </c>
      <c r="B1313" s="10">
        <f>IF(A1313="","",INDEX(lst_JobName,1300)&amp;"")</f>
        <v/>
      </c>
      <c r="C1313" s="11">
        <f>IF(A1313="","",SUMIFS(tbl_WIP[Amount],tbl_WIP[Job Number],A1313,tbl_WIP[Month],"&lt;"&amp;$C$4))</f>
        <v/>
      </c>
      <c r="D1313" s="11">
        <f>IF(A1313="","",SUMIFS(tbl_WIP[Amount],tbl_WIP[Job Number],A1313,tbl_WIP[Month],$C$4))</f>
        <v/>
      </c>
      <c r="E1313" s="11">
        <f>IF(A1313="","",C1313+D1313)</f>
        <v/>
      </c>
      <c r="F1313" s="10">
        <f>IF(A1313="","",IF(AND(ROUND(C1313,2)=0,ROUND(D1313,2)=0),"","yes"))</f>
        <v/>
      </c>
      <c r="G1313" s="39" t="n"/>
      <c r="H1313" s="11">
        <f>IF(OR(A1313="",G1313=""),"",E1313-G1313)</f>
        <v/>
      </c>
    </row>
    <row r="1314">
      <c r="A1314" s="10">
        <f>IF(INDEX(lst_Jobs,1301)="","",INDEX(lst_Jobs,1301)&amp;"")</f>
        <v/>
      </c>
      <c r="B1314" s="10">
        <f>IF(A1314="","",INDEX(lst_JobName,1301)&amp;"")</f>
        <v/>
      </c>
      <c r="C1314" s="11">
        <f>IF(A1314="","",SUMIFS(tbl_WIP[Amount],tbl_WIP[Job Number],A1314,tbl_WIP[Month],"&lt;"&amp;$C$4))</f>
        <v/>
      </c>
      <c r="D1314" s="11">
        <f>IF(A1314="","",SUMIFS(tbl_WIP[Amount],tbl_WIP[Job Number],A1314,tbl_WIP[Month],$C$4))</f>
        <v/>
      </c>
      <c r="E1314" s="11">
        <f>IF(A1314="","",C1314+D1314)</f>
        <v/>
      </c>
      <c r="F1314" s="10">
        <f>IF(A1314="","",IF(AND(ROUND(C1314,2)=0,ROUND(D1314,2)=0),"","yes"))</f>
        <v/>
      </c>
      <c r="G1314" s="39" t="n"/>
      <c r="H1314" s="11">
        <f>IF(OR(A1314="",G1314=""),"",E1314-G1314)</f>
        <v/>
      </c>
    </row>
    <row r="1315">
      <c r="A1315" s="10">
        <f>IF(INDEX(lst_Jobs,1302)="","",INDEX(lst_Jobs,1302)&amp;"")</f>
        <v/>
      </c>
      <c r="B1315" s="10">
        <f>IF(A1315="","",INDEX(lst_JobName,1302)&amp;"")</f>
        <v/>
      </c>
      <c r="C1315" s="11">
        <f>IF(A1315="","",SUMIFS(tbl_WIP[Amount],tbl_WIP[Job Number],A1315,tbl_WIP[Month],"&lt;"&amp;$C$4))</f>
        <v/>
      </c>
      <c r="D1315" s="11">
        <f>IF(A1315="","",SUMIFS(tbl_WIP[Amount],tbl_WIP[Job Number],A1315,tbl_WIP[Month],$C$4))</f>
        <v/>
      </c>
      <c r="E1315" s="11">
        <f>IF(A1315="","",C1315+D1315)</f>
        <v/>
      </c>
      <c r="F1315" s="10">
        <f>IF(A1315="","",IF(AND(ROUND(C1315,2)=0,ROUND(D1315,2)=0),"","yes"))</f>
        <v/>
      </c>
      <c r="G1315" s="39" t="n"/>
      <c r="H1315" s="11">
        <f>IF(OR(A1315="",G1315=""),"",E1315-G1315)</f>
        <v/>
      </c>
    </row>
    <row r="1316">
      <c r="A1316" s="10">
        <f>IF(INDEX(lst_Jobs,1303)="","",INDEX(lst_Jobs,1303)&amp;"")</f>
        <v/>
      </c>
      <c r="B1316" s="10">
        <f>IF(A1316="","",INDEX(lst_JobName,1303)&amp;"")</f>
        <v/>
      </c>
      <c r="C1316" s="11">
        <f>IF(A1316="","",SUMIFS(tbl_WIP[Amount],tbl_WIP[Job Number],A1316,tbl_WIP[Month],"&lt;"&amp;$C$4))</f>
        <v/>
      </c>
      <c r="D1316" s="11">
        <f>IF(A1316="","",SUMIFS(tbl_WIP[Amount],tbl_WIP[Job Number],A1316,tbl_WIP[Month],$C$4))</f>
        <v/>
      </c>
      <c r="E1316" s="11">
        <f>IF(A1316="","",C1316+D1316)</f>
        <v/>
      </c>
      <c r="F1316" s="10">
        <f>IF(A1316="","",IF(AND(ROUND(C1316,2)=0,ROUND(D1316,2)=0),"","yes"))</f>
        <v/>
      </c>
      <c r="G1316" s="39" t="n"/>
      <c r="H1316" s="11">
        <f>IF(OR(A1316="",G1316=""),"",E1316-G1316)</f>
        <v/>
      </c>
    </row>
    <row r="1317">
      <c r="A1317" s="10">
        <f>IF(INDEX(lst_Jobs,1304)="","",INDEX(lst_Jobs,1304)&amp;"")</f>
        <v/>
      </c>
      <c r="B1317" s="10">
        <f>IF(A1317="","",INDEX(lst_JobName,1304)&amp;"")</f>
        <v/>
      </c>
      <c r="C1317" s="11">
        <f>IF(A1317="","",SUMIFS(tbl_WIP[Amount],tbl_WIP[Job Number],A1317,tbl_WIP[Month],"&lt;"&amp;$C$4))</f>
        <v/>
      </c>
      <c r="D1317" s="11">
        <f>IF(A1317="","",SUMIFS(tbl_WIP[Amount],tbl_WIP[Job Number],A1317,tbl_WIP[Month],$C$4))</f>
        <v/>
      </c>
      <c r="E1317" s="11">
        <f>IF(A1317="","",C1317+D1317)</f>
        <v/>
      </c>
      <c r="F1317" s="10">
        <f>IF(A1317="","",IF(AND(ROUND(C1317,2)=0,ROUND(D1317,2)=0),"","yes"))</f>
        <v/>
      </c>
      <c r="G1317" s="39" t="n"/>
      <c r="H1317" s="11">
        <f>IF(OR(A1317="",G1317=""),"",E1317-G1317)</f>
        <v/>
      </c>
    </row>
    <row r="1318">
      <c r="A1318" s="10">
        <f>IF(INDEX(lst_Jobs,1305)="","",INDEX(lst_Jobs,1305)&amp;"")</f>
        <v/>
      </c>
      <c r="B1318" s="10">
        <f>IF(A1318="","",INDEX(lst_JobName,1305)&amp;"")</f>
        <v/>
      </c>
      <c r="C1318" s="11">
        <f>IF(A1318="","",SUMIFS(tbl_WIP[Amount],tbl_WIP[Job Number],A1318,tbl_WIP[Month],"&lt;"&amp;$C$4))</f>
        <v/>
      </c>
      <c r="D1318" s="11">
        <f>IF(A1318="","",SUMIFS(tbl_WIP[Amount],tbl_WIP[Job Number],A1318,tbl_WIP[Month],$C$4))</f>
        <v/>
      </c>
      <c r="E1318" s="11">
        <f>IF(A1318="","",C1318+D1318)</f>
        <v/>
      </c>
      <c r="F1318" s="10">
        <f>IF(A1318="","",IF(AND(ROUND(C1318,2)=0,ROUND(D1318,2)=0),"","yes"))</f>
        <v/>
      </c>
      <c r="G1318" s="39" t="n"/>
      <c r="H1318" s="11">
        <f>IF(OR(A1318="",G1318=""),"",E1318-G1318)</f>
        <v/>
      </c>
    </row>
    <row r="1319">
      <c r="A1319" s="10">
        <f>IF(INDEX(lst_Jobs,1306)="","",INDEX(lst_Jobs,1306)&amp;"")</f>
        <v/>
      </c>
      <c r="B1319" s="10">
        <f>IF(A1319="","",INDEX(lst_JobName,1306)&amp;"")</f>
        <v/>
      </c>
      <c r="C1319" s="11">
        <f>IF(A1319="","",SUMIFS(tbl_WIP[Amount],tbl_WIP[Job Number],A1319,tbl_WIP[Month],"&lt;"&amp;$C$4))</f>
        <v/>
      </c>
      <c r="D1319" s="11">
        <f>IF(A1319="","",SUMIFS(tbl_WIP[Amount],tbl_WIP[Job Number],A1319,tbl_WIP[Month],$C$4))</f>
        <v/>
      </c>
      <c r="E1319" s="11">
        <f>IF(A1319="","",C1319+D1319)</f>
        <v/>
      </c>
      <c r="F1319" s="10">
        <f>IF(A1319="","",IF(AND(ROUND(C1319,2)=0,ROUND(D1319,2)=0),"","yes"))</f>
        <v/>
      </c>
      <c r="G1319" s="39" t="n"/>
      <c r="H1319" s="11">
        <f>IF(OR(A1319="",G1319=""),"",E1319-G1319)</f>
        <v/>
      </c>
    </row>
    <row r="1320">
      <c r="A1320" s="10">
        <f>IF(INDEX(lst_Jobs,1307)="","",INDEX(lst_Jobs,1307)&amp;"")</f>
        <v/>
      </c>
      <c r="B1320" s="10">
        <f>IF(A1320="","",INDEX(lst_JobName,1307)&amp;"")</f>
        <v/>
      </c>
      <c r="C1320" s="11">
        <f>IF(A1320="","",SUMIFS(tbl_WIP[Amount],tbl_WIP[Job Number],A1320,tbl_WIP[Month],"&lt;"&amp;$C$4))</f>
        <v/>
      </c>
      <c r="D1320" s="11">
        <f>IF(A1320="","",SUMIFS(tbl_WIP[Amount],tbl_WIP[Job Number],A1320,tbl_WIP[Month],$C$4))</f>
        <v/>
      </c>
      <c r="E1320" s="11">
        <f>IF(A1320="","",C1320+D1320)</f>
        <v/>
      </c>
      <c r="F1320" s="10">
        <f>IF(A1320="","",IF(AND(ROUND(C1320,2)=0,ROUND(D1320,2)=0),"","yes"))</f>
        <v/>
      </c>
      <c r="G1320" s="39" t="n"/>
      <c r="H1320" s="11">
        <f>IF(OR(A1320="",G1320=""),"",E1320-G1320)</f>
        <v/>
      </c>
    </row>
    <row r="1321">
      <c r="A1321" s="10">
        <f>IF(INDEX(lst_Jobs,1308)="","",INDEX(lst_Jobs,1308)&amp;"")</f>
        <v/>
      </c>
      <c r="B1321" s="10">
        <f>IF(A1321="","",INDEX(lst_JobName,1308)&amp;"")</f>
        <v/>
      </c>
      <c r="C1321" s="11">
        <f>IF(A1321="","",SUMIFS(tbl_WIP[Amount],tbl_WIP[Job Number],A1321,tbl_WIP[Month],"&lt;"&amp;$C$4))</f>
        <v/>
      </c>
      <c r="D1321" s="11">
        <f>IF(A1321="","",SUMIFS(tbl_WIP[Amount],tbl_WIP[Job Number],A1321,tbl_WIP[Month],$C$4))</f>
        <v/>
      </c>
      <c r="E1321" s="11">
        <f>IF(A1321="","",C1321+D1321)</f>
        <v/>
      </c>
      <c r="F1321" s="10">
        <f>IF(A1321="","",IF(AND(ROUND(C1321,2)=0,ROUND(D1321,2)=0),"","yes"))</f>
        <v/>
      </c>
      <c r="G1321" s="39" t="n"/>
      <c r="H1321" s="11">
        <f>IF(OR(A1321="",G1321=""),"",E1321-G1321)</f>
        <v/>
      </c>
    </row>
    <row r="1322">
      <c r="A1322" s="10">
        <f>IF(INDEX(lst_Jobs,1309)="","",INDEX(lst_Jobs,1309)&amp;"")</f>
        <v/>
      </c>
      <c r="B1322" s="10">
        <f>IF(A1322="","",INDEX(lst_JobName,1309)&amp;"")</f>
        <v/>
      </c>
      <c r="C1322" s="11">
        <f>IF(A1322="","",SUMIFS(tbl_WIP[Amount],tbl_WIP[Job Number],A1322,tbl_WIP[Month],"&lt;"&amp;$C$4))</f>
        <v/>
      </c>
      <c r="D1322" s="11">
        <f>IF(A1322="","",SUMIFS(tbl_WIP[Amount],tbl_WIP[Job Number],A1322,tbl_WIP[Month],$C$4))</f>
        <v/>
      </c>
      <c r="E1322" s="11">
        <f>IF(A1322="","",C1322+D1322)</f>
        <v/>
      </c>
      <c r="F1322" s="10">
        <f>IF(A1322="","",IF(AND(ROUND(C1322,2)=0,ROUND(D1322,2)=0),"","yes"))</f>
        <v/>
      </c>
      <c r="G1322" s="39" t="n"/>
      <c r="H1322" s="11">
        <f>IF(OR(A1322="",G1322=""),"",E1322-G1322)</f>
        <v/>
      </c>
    </row>
    <row r="1323">
      <c r="A1323" s="10">
        <f>IF(INDEX(lst_Jobs,1310)="","",INDEX(lst_Jobs,1310)&amp;"")</f>
        <v/>
      </c>
      <c r="B1323" s="10">
        <f>IF(A1323="","",INDEX(lst_JobName,1310)&amp;"")</f>
        <v/>
      </c>
      <c r="C1323" s="11">
        <f>IF(A1323="","",SUMIFS(tbl_WIP[Amount],tbl_WIP[Job Number],A1323,tbl_WIP[Month],"&lt;"&amp;$C$4))</f>
        <v/>
      </c>
      <c r="D1323" s="11">
        <f>IF(A1323="","",SUMIFS(tbl_WIP[Amount],tbl_WIP[Job Number],A1323,tbl_WIP[Month],$C$4))</f>
        <v/>
      </c>
      <c r="E1323" s="11">
        <f>IF(A1323="","",C1323+D1323)</f>
        <v/>
      </c>
      <c r="F1323" s="10">
        <f>IF(A1323="","",IF(AND(ROUND(C1323,2)=0,ROUND(D1323,2)=0),"","yes"))</f>
        <v/>
      </c>
      <c r="G1323" s="39" t="n"/>
      <c r="H1323" s="11">
        <f>IF(OR(A1323="",G1323=""),"",E1323-G1323)</f>
        <v/>
      </c>
    </row>
    <row r="1324">
      <c r="A1324" s="10">
        <f>IF(INDEX(lst_Jobs,1311)="","",INDEX(lst_Jobs,1311)&amp;"")</f>
        <v/>
      </c>
      <c r="B1324" s="10">
        <f>IF(A1324="","",INDEX(lst_JobName,1311)&amp;"")</f>
        <v/>
      </c>
      <c r="C1324" s="11">
        <f>IF(A1324="","",SUMIFS(tbl_WIP[Amount],tbl_WIP[Job Number],A1324,tbl_WIP[Month],"&lt;"&amp;$C$4))</f>
        <v/>
      </c>
      <c r="D1324" s="11">
        <f>IF(A1324="","",SUMIFS(tbl_WIP[Amount],tbl_WIP[Job Number],A1324,tbl_WIP[Month],$C$4))</f>
        <v/>
      </c>
      <c r="E1324" s="11">
        <f>IF(A1324="","",C1324+D1324)</f>
        <v/>
      </c>
      <c r="F1324" s="10">
        <f>IF(A1324="","",IF(AND(ROUND(C1324,2)=0,ROUND(D1324,2)=0),"","yes"))</f>
        <v/>
      </c>
      <c r="G1324" s="39" t="n"/>
      <c r="H1324" s="11">
        <f>IF(OR(A1324="",G1324=""),"",E1324-G1324)</f>
        <v/>
      </c>
    </row>
    <row r="1325">
      <c r="A1325" s="10">
        <f>IF(INDEX(lst_Jobs,1312)="","",INDEX(lst_Jobs,1312)&amp;"")</f>
        <v/>
      </c>
      <c r="B1325" s="10">
        <f>IF(A1325="","",INDEX(lst_JobName,1312)&amp;"")</f>
        <v/>
      </c>
      <c r="C1325" s="11">
        <f>IF(A1325="","",SUMIFS(tbl_WIP[Amount],tbl_WIP[Job Number],A1325,tbl_WIP[Month],"&lt;"&amp;$C$4))</f>
        <v/>
      </c>
      <c r="D1325" s="11">
        <f>IF(A1325="","",SUMIFS(tbl_WIP[Amount],tbl_WIP[Job Number],A1325,tbl_WIP[Month],$C$4))</f>
        <v/>
      </c>
      <c r="E1325" s="11">
        <f>IF(A1325="","",C1325+D1325)</f>
        <v/>
      </c>
      <c r="F1325" s="10">
        <f>IF(A1325="","",IF(AND(ROUND(C1325,2)=0,ROUND(D1325,2)=0),"","yes"))</f>
        <v/>
      </c>
      <c r="G1325" s="39" t="n"/>
      <c r="H1325" s="11">
        <f>IF(OR(A1325="",G1325=""),"",E1325-G1325)</f>
        <v/>
      </c>
    </row>
    <row r="1326">
      <c r="A1326" s="10">
        <f>IF(INDEX(lst_Jobs,1313)="","",INDEX(lst_Jobs,1313)&amp;"")</f>
        <v/>
      </c>
      <c r="B1326" s="10">
        <f>IF(A1326="","",INDEX(lst_JobName,1313)&amp;"")</f>
        <v/>
      </c>
      <c r="C1326" s="11">
        <f>IF(A1326="","",SUMIFS(tbl_WIP[Amount],tbl_WIP[Job Number],A1326,tbl_WIP[Month],"&lt;"&amp;$C$4))</f>
        <v/>
      </c>
      <c r="D1326" s="11">
        <f>IF(A1326="","",SUMIFS(tbl_WIP[Amount],tbl_WIP[Job Number],A1326,tbl_WIP[Month],$C$4))</f>
        <v/>
      </c>
      <c r="E1326" s="11">
        <f>IF(A1326="","",C1326+D1326)</f>
        <v/>
      </c>
      <c r="F1326" s="10">
        <f>IF(A1326="","",IF(AND(ROUND(C1326,2)=0,ROUND(D1326,2)=0),"","yes"))</f>
        <v/>
      </c>
      <c r="G1326" s="39" t="n"/>
      <c r="H1326" s="11">
        <f>IF(OR(A1326="",G1326=""),"",E1326-G1326)</f>
        <v/>
      </c>
    </row>
    <row r="1327">
      <c r="A1327" s="10">
        <f>IF(INDEX(lst_Jobs,1314)="","",INDEX(lst_Jobs,1314)&amp;"")</f>
        <v/>
      </c>
      <c r="B1327" s="10">
        <f>IF(A1327="","",INDEX(lst_JobName,1314)&amp;"")</f>
        <v/>
      </c>
      <c r="C1327" s="11">
        <f>IF(A1327="","",SUMIFS(tbl_WIP[Amount],tbl_WIP[Job Number],A1327,tbl_WIP[Month],"&lt;"&amp;$C$4))</f>
        <v/>
      </c>
      <c r="D1327" s="11">
        <f>IF(A1327="","",SUMIFS(tbl_WIP[Amount],tbl_WIP[Job Number],A1327,tbl_WIP[Month],$C$4))</f>
        <v/>
      </c>
      <c r="E1327" s="11">
        <f>IF(A1327="","",C1327+D1327)</f>
        <v/>
      </c>
      <c r="F1327" s="10">
        <f>IF(A1327="","",IF(AND(ROUND(C1327,2)=0,ROUND(D1327,2)=0),"","yes"))</f>
        <v/>
      </c>
      <c r="G1327" s="39" t="n"/>
      <c r="H1327" s="11">
        <f>IF(OR(A1327="",G1327=""),"",E1327-G1327)</f>
        <v/>
      </c>
    </row>
    <row r="1328">
      <c r="A1328" s="10">
        <f>IF(INDEX(lst_Jobs,1315)="","",INDEX(lst_Jobs,1315)&amp;"")</f>
        <v/>
      </c>
      <c r="B1328" s="10">
        <f>IF(A1328="","",INDEX(lst_JobName,1315)&amp;"")</f>
        <v/>
      </c>
      <c r="C1328" s="11">
        <f>IF(A1328="","",SUMIFS(tbl_WIP[Amount],tbl_WIP[Job Number],A1328,tbl_WIP[Month],"&lt;"&amp;$C$4))</f>
        <v/>
      </c>
      <c r="D1328" s="11">
        <f>IF(A1328="","",SUMIFS(tbl_WIP[Amount],tbl_WIP[Job Number],A1328,tbl_WIP[Month],$C$4))</f>
        <v/>
      </c>
      <c r="E1328" s="11">
        <f>IF(A1328="","",C1328+D1328)</f>
        <v/>
      </c>
      <c r="F1328" s="10">
        <f>IF(A1328="","",IF(AND(ROUND(C1328,2)=0,ROUND(D1328,2)=0),"","yes"))</f>
        <v/>
      </c>
      <c r="G1328" s="39" t="n"/>
      <c r="H1328" s="11">
        <f>IF(OR(A1328="",G1328=""),"",E1328-G1328)</f>
        <v/>
      </c>
    </row>
    <row r="1329">
      <c r="A1329" s="10">
        <f>IF(INDEX(lst_Jobs,1316)="","",INDEX(lst_Jobs,1316)&amp;"")</f>
        <v/>
      </c>
      <c r="B1329" s="10">
        <f>IF(A1329="","",INDEX(lst_JobName,1316)&amp;"")</f>
        <v/>
      </c>
      <c r="C1329" s="11">
        <f>IF(A1329="","",SUMIFS(tbl_WIP[Amount],tbl_WIP[Job Number],A1329,tbl_WIP[Month],"&lt;"&amp;$C$4))</f>
        <v/>
      </c>
      <c r="D1329" s="11">
        <f>IF(A1329="","",SUMIFS(tbl_WIP[Amount],tbl_WIP[Job Number],A1329,tbl_WIP[Month],$C$4))</f>
        <v/>
      </c>
      <c r="E1329" s="11">
        <f>IF(A1329="","",C1329+D1329)</f>
        <v/>
      </c>
      <c r="F1329" s="10">
        <f>IF(A1329="","",IF(AND(ROUND(C1329,2)=0,ROUND(D1329,2)=0),"","yes"))</f>
        <v/>
      </c>
      <c r="G1329" s="39" t="n"/>
      <c r="H1329" s="11">
        <f>IF(OR(A1329="",G1329=""),"",E1329-G1329)</f>
        <v/>
      </c>
    </row>
    <row r="1330">
      <c r="A1330" s="10">
        <f>IF(INDEX(lst_Jobs,1317)="","",INDEX(lst_Jobs,1317)&amp;"")</f>
        <v/>
      </c>
      <c r="B1330" s="10">
        <f>IF(A1330="","",INDEX(lst_JobName,1317)&amp;"")</f>
        <v/>
      </c>
      <c r="C1330" s="11">
        <f>IF(A1330="","",SUMIFS(tbl_WIP[Amount],tbl_WIP[Job Number],A1330,tbl_WIP[Month],"&lt;"&amp;$C$4))</f>
        <v/>
      </c>
      <c r="D1330" s="11">
        <f>IF(A1330="","",SUMIFS(tbl_WIP[Amount],tbl_WIP[Job Number],A1330,tbl_WIP[Month],$C$4))</f>
        <v/>
      </c>
      <c r="E1330" s="11">
        <f>IF(A1330="","",C1330+D1330)</f>
        <v/>
      </c>
      <c r="F1330" s="10">
        <f>IF(A1330="","",IF(AND(ROUND(C1330,2)=0,ROUND(D1330,2)=0),"","yes"))</f>
        <v/>
      </c>
      <c r="G1330" s="39" t="n"/>
      <c r="H1330" s="11">
        <f>IF(OR(A1330="",G1330=""),"",E1330-G1330)</f>
        <v/>
      </c>
    </row>
    <row r="1331">
      <c r="A1331" s="10">
        <f>IF(INDEX(lst_Jobs,1318)="","",INDEX(lst_Jobs,1318)&amp;"")</f>
        <v/>
      </c>
      <c r="B1331" s="10">
        <f>IF(A1331="","",INDEX(lst_JobName,1318)&amp;"")</f>
        <v/>
      </c>
      <c r="C1331" s="11">
        <f>IF(A1331="","",SUMIFS(tbl_WIP[Amount],tbl_WIP[Job Number],A1331,tbl_WIP[Month],"&lt;"&amp;$C$4))</f>
        <v/>
      </c>
      <c r="D1331" s="11">
        <f>IF(A1331="","",SUMIFS(tbl_WIP[Amount],tbl_WIP[Job Number],A1331,tbl_WIP[Month],$C$4))</f>
        <v/>
      </c>
      <c r="E1331" s="11">
        <f>IF(A1331="","",C1331+D1331)</f>
        <v/>
      </c>
      <c r="F1331" s="10">
        <f>IF(A1331="","",IF(AND(ROUND(C1331,2)=0,ROUND(D1331,2)=0),"","yes"))</f>
        <v/>
      </c>
      <c r="G1331" s="39" t="n"/>
      <c r="H1331" s="11">
        <f>IF(OR(A1331="",G1331=""),"",E1331-G1331)</f>
        <v/>
      </c>
    </row>
    <row r="1332">
      <c r="A1332" s="10">
        <f>IF(INDEX(lst_Jobs,1319)="","",INDEX(lst_Jobs,1319)&amp;"")</f>
        <v/>
      </c>
      <c r="B1332" s="10">
        <f>IF(A1332="","",INDEX(lst_JobName,1319)&amp;"")</f>
        <v/>
      </c>
      <c r="C1332" s="11">
        <f>IF(A1332="","",SUMIFS(tbl_WIP[Amount],tbl_WIP[Job Number],A1332,tbl_WIP[Month],"&lt;"&amp;$C$4))</f>
        <v/>
      </c>
      <c r="D1332" s="11">
        <f>IF(A1332="","",SUMIFS(tbl_WIP[Amount],tbl_WIP[Job Number],A1332,tbl_WIP[Month],$C$4))</f>
        <v/>
      </c>
      <c r="E1332" s="11">
        <f>IF(A1332="","",C1332+D1332)</f>
        <v/>
      </c>
      <c r="F1332" s="10">
        <f>IF(A1332="","",IF(AND(ROUND(C1332,2)=0,ROUND(D1332,2)=0),"","yes"))</f>
        <v/>
      </c>
      <c r="G1332" s="39" t="n"/>
      <c r="H1332" s="11">
        <f>IF(OR(A1332="",G1332=""),"",E1332-G1332)</f>
        <v/>
      </c>
    </row>
    <row r="1333">
      <c r="A1333" s="10">
        <f>IF(INDEX(lst_Jobs,1320)="","",INDEX(lst_Jobs,1320)&amp;"")</f>
        <v/>
      </c>
      <c r="B1333" s="10">
        <f>IF(A1333="","",INDEX(lst_JobName,1320)&amp;"")</f>
        <v/>
      </c>
      <c r="C1333" s="11">
        <f>IF(A1333="","",SUMIFS(tbl_WIP[Amount],tbl_WIP[Job Number],A1333,tbl_WIP[Month],"&lt;"&amp;$C$4))</f>
        <v/>
      </c>
      <c r="D1333" s="11">
        <f>IF(A1333="","",SUMIFS(tbl_WIP[Amount],tbl_WIP[Job Number],A1333,tbl_WIP[Month],$C$4))</f>
        <v/>
      </c>
      <c r="E1333" s="11">
        <f>IF(A1333="","",C1333+D1333)</f>
        <v/>
      </c>
      <c r="F1333" s="10">
        <f>IF(A1333="","",IF(AND(ROUND(C1333,2)=0,ROUND(D1333,2)=0),"","yes"))</f>
        <v/>
      </c>
      <c r="G1333" s="39" t="n"/>
      <c r="H1333" s="11">
        <f>IF(OR(A1333="",G1333=""),"",E1333-G1333)</f>
        <v/>
      </c>
    </row>
    <row r="1334">
      <c r="A1334" s="10">
        <f>IF(INDEX(lst_Jobs,1321)="","",INDEX(lst_Jobs,1321)&amp;"")</f>
        <v/>
      </c>
      <c r="B1334" s="10">
        <f>IF(A1334="","",INDEX(lst_JobName,1321)&amp;"")</f>
        <v/>
      </c>
      <c r="C1334" s="11">
        <f>IF(A1334="","",SUMIFS(tbl_WIP[Amount],tbl_WIP[Job Number],A1334,tbl_WIP[Month],"&lt;"&amp;$C$4))</f>
        <v/>
      </c>
      <c r="D1334" s="11">
        <f>IF(A1334="","",SUMIFS(tbl_WIP[Amount],tbl_WIP[Job Number],A1334,tbl_WIP[Month],$C$4))</f>
        <v/>
      </c>
      <c r="E1334" s="11">
        <f>IF(A1334="","",C1334+D1334)</f>
        <v/>
      </c>
      <c r="F1334" s="10">
        <f>IF(A1334="","",IF(AND(ROUND(C1334,2)=0,ROUND(D1334,2)=0),"","yes"))</f>
        <v/>
      </c>
      <c r="G1334" s="39" t="n"/>
      <c r="H1334" s="11">
        <f>IF(OR(A1334="",G1334=""),"",E1334-G1334)</f>
        <v/>
      </c>
    </row>
    <row r="1335">
      <c r="A1335" s="10">
        <f>IF(INDEX(lst_Jobs,1322)="","",INDEX(lst_Jobs,1322)&amp;"")</f>
        <v/>
      </c>
      <c r="B1335" s="10">
        <f>IF(A1335="","",INDEX(lst_JobName,1322)&amp;"")</f>
        <v/>
      </c>
      <c r="C1335" s="11">
        <f>IF(A1335="","",SUMIFS(tbl_WIP[Amount],tbl_WIP[Job Number],A1335,tbl_WIP[Month],"&lt;"&amp;$C$4))</f>
        <v/>
      </c>
      <c r="D1335" s="11">
        <f>IF(A1335="","",SUMIFS(tbl_WIP[Amount],tbl_WIP[Job Number],A1335,tbl_WIP[Month],$C$4))</f>
        <v/>
      </c>
      <c r="E1335" s="11">
        <f>IF(A1335="","",C1335+D1335)</f>
        <v/>
      </c>
      <c r="F1335" s="10">
        <f>IF(A1335="","",IF(AND(ROUND(C1335,2)=0,ROUND(D1335,2)=0),"","yes"))</f>
        <v/>
      </c>
      <c r="G1335" s="39" t="n"/>
      <c r="H1335" s="11">
        <f>IF(OR(A1335="",G1335=""),"",E1335-G1335)</f>
        <v/>
      </c>
    </row>
    <row r="1336">
      <c r="A1336" s="10">
        <f>IF(INDEX(lst_Jobs,1323)="","",INDEX(lst_Jobs,1323)&amp;"")</f>
        <v/>
      </c>
      <c r="B1336" s="10">
        <f>IF(A1336="","",INDEX(lst_JobName,1323)&amp;"")</f>
        <v/>
      </c>
      <c r="C1336" s="11">
        <f>IF(A1336="","",SUMIFS(tbl_WIP[Amount],tbl_WIP[Job Number],A1336,tbl_WIP[Month],"&lt;"&amp;$C$4))</f>
        <v/>
      </c>
      <c r="D1336" s="11">
        <f>IF(A1336="","",SUMIFS(tbl_WIP[Amount],tbl_WIP[Job Number],A1336,tbl_WIP[Month],$C$4))</f>
        <v/>
      </c>
      <c r="E1336" s="11">
        <f>IF(A1336="","",C1336+D1336)</f>
        <v/>
      </c>
      <c r="F1336" s="10">
        <f>IF(A1336="","",IF(AND(ROUND(C1336,2)=0,ROUND(D1336,2)=0),"","yes"))</f>
        <v/>
      </c>
      <c r="G1336" s="39" t="n"/>
      <c r="H1336" s="11">
        <f>IF(OR(A1336="",G1336=""),"",E1336-G1336)</f>
        <v/>
      </c>
    </row>
    <row r="1337">
      <c r="A1337" s="10">
        <f>IF(INDEX(lst_Jobs,1324)="","",INDEX(lst_Jobs,1324)&amp;"")</f>
        <v/>
      </c>
      <c r="B1337" s="10">
        <f>IF(A1337="","",INDEX(lst_JobName,1324)&amp;"")</f>
        <v/>
      </c>
      <c r="C1337" s="11">
        <f>IF(A1337="","",SUMIFS(tbl_WIP[Amount],tbl_WIP[Job Number],A1337,tbl_WIP[Month],"&lt;"&amp;$C$4))</f>
        <v/>
      </c>
      <c r="D1337" s="11">
        <f>IF(A1337="","",SUMIFS(tbl_WIP[Amount],tbl_WIP[Job Number],A1337,tbl_WIP[Month],$C$4))</f>
        <v/>
      </c>
      <c r="E1337" s="11">
        <f>IF(A1337="","",C1337+D1337)</f>
        <v/>
      </c>
      <c r="F1337" s="10">
        <f>IF(A1337="","",IF(AND(ROUND(C1337,2)=0,ROUND(D1337,2)=0),"","yes"))</f>
        <v/>
      </c>
      <c r="G1337" s="39" t="n"/>
      <c r="H1337" s="11">
        <f>IF(OR(A1337="",G1337=""),"",E1337-G1337)</f>
        <v/>
      </c>
    </row>
    <row r="1338">
      <c r="A1338" s="10">
        <f>IF(INDEX(lst_Jobs,1325)="","",INDEX(lst_Jobs,1325)&amp;"")</f>
        <v/>
      </c>
      <c r="B1338" s="10">
        <f>IF(A1338="","",INDEX(lst_JobName,1325)&amp;"")</f>
        <v/>
      </c>
      <c r="C1338" s="11">
        <f>IF(A1338="","",SUMIFS(tbl_WIP[Amount],tbl_WIP[Job Number],A1338,tbl_WIP[Month],"&lt;"&amp;$C$4))</f>
        <v/>
      </c>
      <c r="D1338" s="11">
        <f>IF(A1338="","",SUMIFS(tbl_WIP[Amount],tbl_WIP[Job Number],A1338,tbl_WIP[Month],$C$4))</f>
        <v/>
      </c>
      <c r="E1338" s="11">
        <f>IF(A1338="","",C1338+D1338)</f>
        <v/>
      </c>
      <c r="F1338" s="10">
        <f>IF(A1338="","",IF(AND(ROUND(C1338,2)=0,ROUND(D1338,2)=0),"","yes"))</f>
        <v/>
      </c>
      <c r="G1338" s="39" t="n"/>
      <c r="H1338" s="11">
        <f>IF(OR(A1338="",G1338=""),"",E1338-G1338)</f>
        <v/>
      </c>
    </row>
    <row r="1339">
      <c r="A1339" s="10">
        <f>IF(INDEX(lst_Jobs,1326)="","",INDEX(lst_Jobs,1326)&amp;"")</f>
        <v/>
      </c>
      <c r="B1339" s="10">
        <f>IF(A1339="","",INDEX(lst_JobName,1326)&amp;"")</f>
        <v/>
      </c>
      <c r="C1339" s="11">
        <f>IF(A1339="","",SUMIFS(tbl_WIP[Amount],tbl_WIP[Job Number],A1339,tbl_WIP[Month],"&lt;"&amp;$C$4))</f>
        <v/>
      </c>
      <c r="D1339" s="11">
        <f>IF(A1339="","",SUMIFS(tbl_WIP[Amount],tbl_WIP[Job Number],A1339,tbl_WIP[Month],$C$4))</f>
        <v/>
      </c>
      <c r="E1339" s="11">
        <f>IF(A1339="","",C1339+D1339)</f>
        <v/>
      </c>
      <c r="F1339" s="10">
        <f>IF(A1339="","",IF(AND(ROUND(C1339,2)=0,ROUND(D1339,2)=0),"","yes"))</f>
        <v/>
      </c>
      <c r="G1339" s="39" t="n"/>
      <c r="H1339" s="11">
        <f>IF(OR(A1339="",G1339=""),"",E1339-G1339)</f>
        <v/>
      </c>
    </row>
    <row r="1340">
      <c r="A1340" s="10">
        <f>IF(INDEX(lst_Jobs,1327)="","",INDEX(lst_Jobs,1327)&amp;"")</f>
        <v/>
      </c>
      <c r="B1340" s="10">
        <f>IF(A1340="","",INDEX(lst_JobName,1327)&amp;"")</f>
        <v/>
      </c>
      <c r="C1340" s="11">
        <f>IF(A1340="","",SUMIFS(tbl_WIP[Amount],tbl_WIP[Job Number],A1340,tbl_WIP[Month],"&lt;"&amp;$C$4))</f>
        <v/>
      </c>
      <c r="D1340" s="11">
        <f>IF(A1340="","",SUMIFS(tbl_WIP[Amount],tbl_WIP[Job Number],A1340,tbl_WIP[Month],$C$4))</f>
        <v/>
      </c>
      <c r="E1340" s="11">
        <f>IF(A1340="","",C1340+D1340)</f>
        <v/>
      </c>
      <c r="F1340" s="10">
        <f>IF(A1340="","",IF(AND(ROUND(C1340,2)=0,ROUND(D1340,2)=0),"","yes"))</f>
        <v/>
      </c>
      <c r="G1340" s="39" t="n"/>
      <c r="H1340" s="11">
        <f>IF(OR(A1340="",G1340=""),"",E1340-G1340)</f>
        <v/>
      </c>
    </row>
    <row r="1341">
      <c r="A1341" s="10">
        <f>IF(INDEX(lst_Jobs,1328)="","",INDEX(lst_Jobs,1328)&amp;"")</f>
        <v/>
      </c>
      <c r="B1341" s="10">
        <f>IF(A1341="","",INDEX(lst_JobName,1328)&amp;"")</f>
        <v/>
      </c>
      <c r="C1341" s="11">
        <f>IF(A1341="","",SUMIFS(tbl_WIP[Amount],tbl_WIP[Job Number],A1341,tbl_WIP[Month],"&lt;"&amp;$C$4))</f>
        <v/>
      </c>
      <c r="D1341" s="11">
        <f>IF(A1341="","",SUMIFS(tbl_WIP[Amount],tbl_WIP[Job Number],A1341,tbl_WIP[Month],$C$4))</f>
        <v/>
      </c>
      <c r="E1341" s="11">
        <f>IF(A1341="","",C1341+D1341)</f>
        <v/>
      </c>
      <c r="F1341" s="10">
        <f>IF(A1341="","",IF(AND(ROUND(C1341,2)=0,ROUND(D1341,2)=0),"","yes"))</f>
        <v/>
      </c>
      <c r="G1341" s="39" t="n"/>
      <c r="H1341" s="11">
        <f>IF(OR(A1341="",G1341=""),"",E1341-G1341)</f>
        <v/>
      </c>
    </row>
    <row r="1342">
      <c r="A1342" s="10">
        <f>IF(INDEX(lst_Jobs,1329)="","",INDEX(lst_Jobs,1329)&amp;"")</f>
        <v/>
      </c>
      <c r="B1342" s="10">
        <f>IF(A1342="","",INDEX(lst_JobName,1329)&amp;"")</f>
        <v/>
      </c>
      <c r="C1342" s="11">
        <f>IF(A1342="","",SUMIFS(tbl_WIP[Amount],tbl_WIP[Job Number],A1342,tbl_WIP[Month],"&lt;"&amp;$C$4))</f>
        <v/>
      </c>
      <c r="D1342" s="11">
        <f>IF(A1342="","",SUMIFS(tbl_WIP[Amount],tbl_WIP[Job Number],A1342,tbl_WIP[Month],$C$4))</f>
        <v/>
      </c>
      <c r="E1342" s="11">
        <f>IF(A1342="","",C1342+D1342)</f>
        <v/>
      </c>
      <c r="F1342" s="10">
        <f>IF(A1342="","",IF(AND(ROUND(C1342,2)=0,ROUND(D1342,2)=0),"","yes"))</f>
        <v/>
      </c>
      <c r="G1342" s="39" t="n"/>
      <c r="H1342" s="11">
        <f>IF(OR(A1342="",G1342=""),"",E1342-G1342)</f>
        <v/>
      </c>
    </row>
    <row r="1343">
      <c r="A1343" s="10">
        <f>IF(INDEX(lst_Jobs,1330)="","",INDEX(lst_Jobs,1330)&amp;"")</f>
        <v/>
      </c>
      <c r="B1343" s="10">
        <f>IF(A1343="","",INDEX(lst_JobName,1330)&amp;"")</f>
        <v/>
      </c>
      <c r="C1343" s="11">
        <f>IF(A1343="","",SUMIFS(tbl_WIP[Amount],tbl_WIP[Job Number],A1343,tbl_WIP[Month],"&lt;"&amp;$C$4))</f>
        <v/>
      </c>
      <c r="D1343" s="11">
        <f>IF(A1343="","",SUMIFS(tbl_WIP[Amount],tbl_WIP[Job Number],A1343,tbl_WIP[Month],$C$4))</f>
        <v/>
      </c>
      <c r="E1343" s="11">
        <f>IF(A1343="","",C1343+D1343)</f>
        <v/>
      </c>
      <c r="F1343" s="10">
        <f>IF(A1343="","",IF(AND(ROUND(C1343,2)=0,ROUND(D1343,2)=0),"","yes"))</f>
        <v/>
      </c>
      <c r="G1343" s="39" t="n"/>
      <c r="H1343" s="11">
        <f>IF(OR(A1343="",G1343=""),"",E1343-G1343)</f>
        <v/>
      </c>
    </row>
    <row r="1344">
      <c r="A1344" s="10">
        <f>IF(INDEX(lst_Jobs,1331)="","",INDEX(lst_Jobs,1331)&amp;"")</f>
        <v/>
      </c>
      <c r="B1344" s="10">
        <f>IF(A1344="","",INDEX(lst_JobName,1331)&amp;"")</f>
        <v/>
      </c>
      <c r="C1344" s="11">
        <f>IF(A1344="","",SUMIFS(tbl_WIP[Amount],tbl_WIP[Job Number],A1344,tbl_WIP[Month],"&lt;"&amp;$C$4))</f>
        <v/>
      </c>
      <c r="D1344" s="11">
        <f>IF(A1344="","",SUMIFS(tbl_WIP[Amount],tbl_WIP[Job Number],A1344,tbl_WIP[Month],$C$4))</f>
        <v/>
      </c>
      <c r="E1344" s="11">
        <f>IF(A1344="","",C1344+D1344)</f>
        <v/>
      </c>
      <c r="F1344" s="10">
        <f>IF(A1344="","",IF(AND(ROUND(C1344,2)=0,ROUND(D1344,2)=0),"","yes"))</f>
        <v/>
      </c>
      <c r="G1344" s="39" t="n"/>
      <c r="H1344" s="11">
        <f>IF(OR(A1344="",G1344=""),"",E1344-G1344)</f>
        <v/>
      </c>
    </row>
    <row r="1345">
      <c r="A1345" s="10">
        <f>IF(INDEX(lst_Jobs,1332)="","",INDEX(lst_Jobs,1332)&amp;"")</f>
        <v/>
      </c>
      <c r="B1345" s="10">
        <f>IF(A1345="","",INDEX(lst_JobName,1332)&amp;"")</f>
        <v/>
      </c>
      <c r="C1345" s="11">
        <f>IF(A1345="","",SUMIFS(tbl_WIP[Amount],tbl_WIP[Job Number],A1345,tbl_WIP[Month],"&lt;"&amp;$C$4))</f>
        <v/>
      </c>
      <c r="D1345" s="11">
        <f>IF(A1345="","",SUMIFS(tbl_WIP[Amount],tbl_WIP[Job Number],A1345,tbl_WIP[Month],$C$4))</f>
        <v/>
      </c>
      <c r="E1345" s="11">
        <f>IF(A1345="","",C1345+D1345)</f>
        <v/>
      </c>
      <c r="F1345" s="10">
        <f>IF(A1345="","",IF(AND(ROUND(C1345,2)=0,ROUND(D1345,2)=0),"","yes"))</f>
        <v/>
      </c>
      <c r="G1345" s="39" t="n"/>
      <c r="H1345" s="11">
        <f>IF(OR(A1345="",G1345=""),"",E1345-G1345)</f>
        <v/>
      </c>
    </row>
    <row r="1346">
      <c r="A1346" s="10">
        <f>IF(INDEX(lst_Jobs,1333)="","",INDEX(lst_Jobs,1333)&amp;"")</f>
        <v/>
      </c>
      <c r="B1346" s="10">
        <f>IF(A1346="","",INDEX(lst_JobName,1333)&amp;"")</f>
        <v/>
      </c>
      <c r="C1346" s="11">
        <f>IF(A1346="","",SUMIFS(tbl_WIP[Amount],tbl_WIP[Job Number],A1346,tbl_WIP[Month],"&lt;"&amp;$C$4))</f>
        <v/>
      </c>
      <c r="D1346" s="11">
        <f>IF(A1346="","",SUMIFS(tbl_WIP[Amount],tbl_WIP[Job Number],A1346,tbl_WIP[Month],$C$4))</f>
        <v/>
      </c>
      <c r="E1346" s="11">
        <f>IF(A1346="","",C1346+D1346)</f>
        <v/>
      </c>
      <c r="F1346" s="10">
        <f>IF(A1346="","",IF(AND(ROUND(C1346,2)=0,ROUND(D1346,2)=0),"","yes"))</f>
        <v/>
      </c>
      <c r="G1346" s="39" t="n"/>
      <c r="H1346" s="11">
        <f>IF(OR(A1346="",G1346=""),"",E1346-G1346)</f>
        <v/>
      </c>
    </row>
    <row r="1347">
      <c r="A1347" s="10">
        <f>IF(INDEX(lst_Jobs,1334)="","",INDEX(lst_Jobs,1334)&amp;"")</f>
        <v/>
      </c>
      <c r="B1347" s="10">
        <f>IF(A1347="","",INDEX(lst_JobName,1334)&amp;"")</f>
        <v/>
      </c>
      <c r="C1347" s="11">
        <f>IF(A1347="","",SUMIFS(tbl_WIP[Amount],tbl_WIP[Job Number],A1347,tbl_WIP[Month],"&lt;"&amp;$C$4))</f>
        <v/>
      </c>
      <c r="D1347" s="11">
        <f>IF(A1347="","",SUMIFS(tbl_WIP[Amount],tbl_WIP[Job Number],A1347,tbl_WIP[Month],$C$4))</f>
        <v/>
      </c>
      <c r="E1347" s="11">
        <f>IF(A1347="","",C1347+D1347)</f>
        <v/>
      </c>
      <c r="F1347" s="10">
        <f>IF(A1347="","",IF(AND(ROUND(C1347,2)=0,ROUND(D1347,2)=0),"","yes"))</f>
        <v/>
      </c>
      <c r="G1347" s="39" t="n"/>
      <c r="H1347" s="11">
        <f>IF(OR(A1347="",G1347=""),"",E1347-G1347)</f>
        <v/>
      </c>
    </row>
    <row r="1348">
      <c r="A1348" s="10">
        <f>IF(INDEX(lst_Jobs,1335)="","",INDEX(lst_Jobs,1335)&amp;"")</f>
        <v/>
      </c>
      <c r="B1348" s="10">
        <f>IF(A1348="","",INDEX(lst_JobName,1335)&amp;"")</f>
        <v/>
      </c>
      <c r="C1348" s="11">
        <f>IF(A1348="","",SUMIFS(tbl_WIP[Amount],tbl_WIP[Job Number],A1348,tbl_WIP[Month],"&lt;"&amp;$C$4))</f>
        <v/>
      </c>
      <c r="D1348" s="11">
        <f>IF(A1348="","",SUMIFS(tbl_WIP[Amount],tbl_WIP[Job Number],A1348,tbl_WIP[Month],$C$4))</f>
        <v/>
      </c>
      <c r="E1348" s="11">
        <f>IF(A1348="","",C1348+D1348)</f>
        <v/>
      </c>
      <c r="F1348" s="10">
        <f>IF(A1348="","",IF(AND(ROUND(C1348,2)=0,ROUND(D1348,2)=0),"","yes"))</f>
        <v/>
      </c>
      <c r="G1348" s="39" t="n"/>
      <c r="H1348" s="11">
        <f>IF(OR(A1348="",G1348=""),"",E1348-G1348)</f>
        <v/>
      </c>
    </row>
    <row r="1349">
      <c r="A1349" s="10">
        <f>IF(INDEX(lst_Jobs,1336)="","",INDEX(lst_Jobs,1336)&amp;"")</f>
        <v/>
      </c>
      <c r="B1349" s="10">
        <f>IF(A1349="","",INDEX(lst_JobName,1336)&amp;"")</f>
        <v/>
      </c>
      <c r="C1349" s="11">
        <f>IF(A1349="","",SUMIFS(tbl_WIP[Amount],tbl_WIP[Job Number],A1349,tbl_WIP[Month],"&lt;"&amp;$C$4))</f>
        <v/>
      </c>
      <c r="D1349" s="11">
        <f>IF(A1349="","",SUMIFS(tbl_WIP[Amount],tbl_WIP[Job Number],A1349,tbl_WIP[Month],$C$4))</f>
        <v/>
      </c>
      <c r="E1349" s="11">
        <f>IF(A1349="","",C1349+D1349)</f>
        <v/>
      </c>
      <c r="F1349" s="10">
        <f>IF(A1349="","",IF(AND(ROUND(C1349,2)=0,ROUND(D1349,2)=0),"","yes"))</f>
        <v/>
      </c>
      <c r="G1349" s="39" t="n"/>
      <c r="H1349" s="11">
        <f>IF(OR(A1349="",G1349=""),"",E1349-G1349)</f>
        <v/>
      </c>
    </row>
    <row r="1350">
      <c r="A1350" s="10">
        <f>IF(INDEX(lst_Jobs,1337)="","",INDEX(lst_Jobs,1337)&amp;"")</f>
        <v/>
      </c>
      <c r="B1350" s="10">
        <f>IF(A1350="","",INDEX(lst_JobName,1337)&amp;"")</f>
        <v/>
      </c>
      <c r="C1350" s="11">
        <f>IF(A1350="","",SUMIFS(tbl_WIP[Amount],tbl_WIP[Job Number],A1350,tbl_WIP[Month],"&lt;"&amp;$C$4))</f>
        <v/>
      </c>
      <c r="D1350" s="11">
        <f>IF(A1350="","",SUMIFS(tbl_WIP[Amount],tbl_WIP[Job Number],A1350,tbl_WIP[Month],$C$4))</f>
        <v/>
      </c>
      <c r="E1350" s="11">
        <f>IF(A1350="","",C1350+D1350)</f>
        <v/>
      </c>
      <c r="F1350" s="10">
        <f>IF(A1350="","",IF(AND(ROUND(C1350,2)=0,ROUND(D1350,2)=0),"","yes"))</f>
        <v/>
      </c>
      <c r="G1350" s="39" t="n"/>
      <c r="H1350" s="11">
        <f>IF(OR(A1350="",G1350=""),"",E1350-G1350)</f>
        <v/>
      </c>
    </row>
    <row r="1351">
      <c r="A1351" s="10">
        <f>IF(INDEX(lst_Jobs,1338)="","",INDEX(lst_Jobs,1338)&amp;"")</f>
        <v/>
      </c>
      <c r="B1351" s="10">
        <f>IF(A1351="","",INDEX(lst_JobName,1338)&amp;"")</f>
        <v/>
      </c>
      <c r="C1351" s="11">
        <f>IF(A1351="","",SUMIFS(tbl_WIP[Amount],tbl_WIP[Job Number],A1351,tbl_WIP[Month],"&lt;"&amp;$C$4))</f>
        <v/>
      </c>
      <c r="D1351" s="11">
        <f>IF(A1351="","",SUMIFS(tbl_WIP[Amount],tbl_WIP[Job Number],A1351,tbl_WIP[Month],$C$4))</f>
        <v/>
      </c>
      <c r="E1351" s="11">
        <f>IF(A1351="","",C1351+D1351)</f>
        <v/>
      </c>
      <c r="F1351" s="10">
        <f>IF(A1351="","",IF(AND(ROUND(C1351,2)=0,ROUND(D1351,2)=0),"","yes"))</f>
        <v/>
      </c>
      <c r="G1351" s="39" t="n"/>
      <c r="H1351" s="11">
        <f>IF(OR(A1351="",G1351=""),"",E1351-G1351)</f>
        <v/>
      </c>
    </row>
    <row r="1352">
      <c r="A1352" s="10">
        <f>IF(INDEX(lst_Jobs,1339)="","",INDEX(lst_Jobs,1339)&amp;"")</f>
        <v/>
      </c>
      <c r="B1352" s="10">
        <f>IF(A1352="","",INDEX(lst_JobName,1339)&amp;"")</f>
        <v/>
      </c>
      <c r="C1352" s="11">
        <f>IF(A1352="","",SUMIFS(tbl_WIP[Amount],tbl_WIP[Job Number],A1352,tbl_WIP[Month],"&lt;"&amp;$C$4))</f>
        <v/>
      </c>
      <c r="D1352" s="11">
        <f>IF(A1352="","",SUMIFS(tbl_WIP[Amount],tbl_WIP[Job Number],A1352,tbl_WIP[Month],$C$4))</f>
        <v/>
      </c>
      <c r="E1352" s="11">
        <f>IF(A1352="","",C1352+D1352)</f>
        <v/>
      </c>
      <c r="F1352" s="10">
        <f>IF(A1352="","",IF(AND(ROUND(C1352,2)=0,ROUND(D1352,2)=0),"","yes"))</f>
        <v/>
      </c>
      <c r="G1352" s="39" t="n"/>
      <c r="H1352" s="11">
        <f>IF(OR(A1352="",G1352=""),"",E1352-G1352)</f>
        <v/>
      </c>
    </row>
    <row r="1353">
      <c r="A1353" s="10">
        <f>IF(INDEX(lst_Jobs,1340)="","",INDEX(lst_Jobs,1340)&amp;"")</f>
        <v/>
      </c>
      <c r="B1353" s="10">
        <f>IF(A1353="","",INDEX(lst_JobName,1340)&amp;"")</f>
        <v/>
      </c>
      <c r="C1353" s="11">
        <f>IF(A1353="","",SUMIFS(tbl_WIP[Amount],tbl_WIP[Job Number],A1353,tbl_WIP[Month],"&lt;"&amp;$C$4))</f>
        <v/>
      </c>
      <c r="D1353" s="11">
        <f>IF(A1353="","",SUMIFS(tbl_WIP[Amount],tbl_WIP[Job Number],A1353,tbl_WIP[Month],$C$4))</f>
        <v/>
      </c>
      <c r="E1353" s="11">
        <f>IF(A1353="","",C1353+D1353)</f>
        <v/>
      </c>
      <c r="F1353" s="10">
        <f>IF(A1353="","",IF(AND(ROUND(C1353,2)=0,ROUND(D1353,2)=0),"","yes"))</f>
        <v/>
      </c>
      <c r="G1353" s="39" t="n"/>
      <c r="H1353" s="11">
        <f>IF(OR(A1353="",G1353=""),"",E1353-G1353)</f>
        <v/>
      </c>
    </row>
    <row r="1354">
      <c r="A1354" s="10">
        <f>IF(INDEX(lst_Jobs,1341)="","",INDEX(lst_Jobs,1341)&amp;"")</f>
        <v/>
      </c>
      <c r="B1354" s="10">
        <f>IF(A1354="","",INDEX(lst_JobName,1341)&amp;"")</f>
        <v/>
      </c>
      <c r="C1354" s="11">
        <f>IF(A1354="","",SUMIFS(tbl_WIP[Amount],tbl_WIP[Job Number],A1354,tbl_WIP[Month],"&lt;"&amp;$C$4))</f>
        <v/>
      </c>
      <c r="D1354" s="11">
        <f>IF(A1354="","",SUMIFS(tbl_WIP[Amount],tbl_WIP[Job Number],A1354,tbl_WIP[Month],$C$4))</f>
        <v/>
      </c>
      <c r="E1354" s="11">
        <f>IF(A1354="","",C1354+D1354)</f>
        <v/>
      </c>
      <c r="F1354" s="10">
        <f>IF(A1354="","",IF(AND(ROUND(C1354,2)=0,ROUND(D1354,2)=0),"","yes"))</f>
        <v/>
      </c>
      <c r="G1354" s="39" t="n"/>
      <c r="H1354" s="11">
        <f>IF(OR(A1354="",G1354=""),"",E1354-G1354)</f>
        <v/>
      </c>
    </row>
    <row r="1355">
      <c r="A1355" s="10">
        <f>IF(INDEX(lst_Jobs,1342)="","",INDEX(lst_Jobs,1342)&amp;"")</f>
        <v/>
      </c>
      <c r="B1355" s="10">
        <f>IF(A1355="","",INDEX(lst_JobName,1342)&amp;"")</f>
        <v/>
      </c>
      <c r="C1355" s="11">
        <f>IF(A1355="","",SUMIFS(tbl_WIP[Amount],tbl_WIP[Job Number],A1355,tbl_WIP[Month],"&lt;"&amp;$C$4))</f>
        <v/>
      </c>
      <c r="D1355" s="11">
        <f>IF(A1355="","",SUMIFS(tbl_WIP[Amount],tbl_WIP[Job Number],A1355,tbl_WIP[Month],$C$4))</f>
        <v/>
      </c>
      <c r="E1355" s="11">
        <f>IF(A1355="","",C1355+D1355)</f>
        <v/>
      </c>
      <c r="F1355" s="10">
        <f>IF(A1355="","",IF(AND(ROUND(C1355,2)=0,ROUND(D1355,2)=0),"","yes"))</f>
        <v/>
      </c>
      <c r="G1355" s="39" t="n"/>
      <c r="H1355" s="11">
        <f>IF(OR(A1355="",G1355=""),"",E1355-G1355)</f>
        <v/>
      </c>
    </row>
    <row r="1356">
      <c r="A1356" s="10">
        <f>IF(INDEX(lst_Jobs,1343)="","",INDEX(lst_Jobs,1343)&amp;"")</f>
        <v/>
      </c>
      <c r="B1356" s="10">
        <f>IF(A1356="","",INDEX(lst_JobName,1343)&amp;"")</f>
        <v/>
      </c>
      <c r="C1356" s="11">
        <f>IF(A1356="","",SUMIFS(tbl_WIP[Amount],tbl_WIP[Job Number],A1356,tbl_WIP[Month],"&lt;"&amp;$C$4))</f>
        <v/>
      </c>
      <c r="D1356" s="11">
        <f>IF(A1356="","",SUMIFS(tbl_WIP[Amount],tbl_WIP[Job Number],A1356,tbl_WIP[Month],$C$4))</f>
        <v/>
      </c>
      <c r="E1356" s="11">
        <f>IF(A1356="","",C1356+D1356)</f>
        <v/>
      </c>
      <c r="F1356" s="10">
        <f>IF(A1356="","",IF(AND(ROUND(C1356,2)=0,ROUND(D1356,2)=0),"","yes"))</f>
        <v/>
      </c>
      <c r="G1356" s="39" t="n"/>
      <c r="H1356" s="11">
        <f>IF(OR(A1356="",G1356=""),"",E1356-G1356)</f>
        <v/>
      </c>
    </row>
    <row r="1357">
      <c r="A1357" s="10">
        <f>IF(INDEX(lst_Jobs,1344)="","",INDEX(lst_Jobs,1344)&amp;"")</f>
        <v/>
      </c>
      <c r="B1357" s="10">
        <f>IF(A1357="","",INDEX(lst_JobName,1344)&amp;"")</f>
        <v/>
      </c>
      <c r="C1357" s="11">
        <f>IF(A1357="","",SUMIFS(tbl_WIP[Amount],tbl_WIP[Job Number],A1357,tbl_WIP[Month],"&lt;"&amp;$C$4))</f>
        <v/>
      </c>
      <c r="D1357" s="11">
        <f>IF(A1357="","",SUMIFS(tbl_WIP[Amount],tbl_WIP[Job Number],A1357,tbl_WIP[Month],$C$4))</f>
        <v/>
      </c>
      <c r="E1357" s="11">
        <f>IF(A1357="","",C1357+D1357)</f>
        <v/>
      </c>
      <c r="F1357" s="10">
        <f>IF(A1357="","",IF(AND(ROUND(C1357,2)=0,ROUND(D1357,2)=0),"","yes"))</f>
        <v/>
      </c>
      <c r="G1357" s="39" t="n"/>
      <c r="H1357" s="11">
        <f>IF(OR(A1357="",G1357=""),"",E1357-G1357)</f>
        <v/>
      </c>
    </row>
    <row r="1358">
      <c r="A1358" s="10">
        <f>IF(INDEX(lst_Jobs,1345)="","",INDEX(lst_Jobs,1345)&amp;"")</f>
        <v/>
      </c>
      <c r="B1358" s="10">
        <f>IF(A1358="","",INDEX(lst_JobName,1345)&amp;"")</f>
        <v/>
      </c>
      <c r="C1358" s="11">
        <f>IF(A1358="","",SUMIFS(tbl_WIP[Amount],tbl_WIP[Job Number],A1358,tbl_WIP[Month],"&lt;"&amp;$C$4))</f>
        <v/>
      </c>
      <c r="D1358" s="11">
        <f>IF(A1358="","",SUMIFS(tbl_WIP[Amount],tbl_WIP[Job Number],A1358,tbl_WIP[Month],$C$4))</f>
        <v/>
      </c>
      <c r="E1358" s="11">
        <f>IF(A1358="","",C1358+D1358)</f>
        <v/>
      </c>
      <c r="F1358" s="10">
        <f>IF(A1358="","",IF(AND(ROUND(C1358,2)=0,ROUND(D1358,2)=0),"","yes"))</f>
        <v/>
      </c>
      <c r="G1358" s="39" t="n"/>
      <c r="H1358" s="11">
        <f>IF(OR(A1358="",G1358=""),"",E1358-G1358)</f>
        <v/>
      </c>
    </row>
    <row r="1359">
      <c r="A1359" s="10">
        <f>IF(INDEX(lst_Jobs,1346)="","",INDEX(lst_Jobs,1346)&amp;"")</f>
        <v/>
      </c>
      <c r="B1359" s="10">
        <f>IF(A1359="","",INDEX(lst_JobName,1346)&amp;"")</f>
        <v/>
      </c>
      <c r="C1359" s="11">
        <f>IF(A1359="","",SUMIFS(tbl_WIP[Amount],tbl_WIP[Job Number],A1359,tbl_WIP[Month],"&lt;"&amp;$C$4))</f>
        <v/>
      </c>
      <c r="D1359" s="11">
        <f>IF(A1359="","",SUMIFS(tbl_WIP[Amount],tbl_WIP[Job Number],A1359,tbl_WIP[Month],$C$4))</f>
        <v/>
      </c>
      <c r="E1359" s="11">
        <f>IF(A1359="","",C1359+D1359)</f>
        <v/>
      </c>
      <c r="F1359" s="10">
        <f>IF(A1359="","",IF(AND(ROUND(C1359,2)=0,ROUND(D1359,2)=0),"","yes"))</f>
        <v/>
      </c>
      <c r="G1359" s="39" t="n"/>
      <c r="H1359" s="11">
        <f>IF(OR(A1359="",G1359=""),"",E1359-G1359)</f>
        <v/>
      </c>
    </row>
    <row r="1360">
      <c r="A1360" s="10">
        <f>IF(INDEX(lst_Jobs,1347)="","",INDEX(lst_Jobs,1347)&amp;"")</f>
        <v/>
      </c>
      <c r="B1360" s="10">
        <f>IF(A1360="","",INDEX(lst_JobName,1347)&amp;"")</f>
        <v/>
      </c>
      <c r="C1360" s="11">
        <f>IF(A1360="","",SUMIFS(tbl_WIP[Amount],tbl_WIP[Job Number],A1360,tbl_WIP[Month],"&lt;"&amp;$C$4))</f>
        <v/>
      </c>
      <c r="D1360" s="11">
        <f>IF(A1360="","",SUMIFS(tbl_WIP[Amount],tbl_WIP[Job Number],A1360,tbl_WIP[Month],$C$4))</f>
        <v/>
      </c>
      <c r="E1360" s="11">
        <f>IF(A1360="","",C1360+D1360)</f>
        <v/>
      </c>
      <c r="F1360" s="10">
        <f>IF(A1360="","",IF(AND(ROUND(C1360,2)=0,ROUND(D1360,2)=0),"","yes"))</f>
        <v/>
      </c>
      <c r="G1360" s="39" t="n"/>
      <c r="H1360" s="11">
        <f>IF(OR(A1360="",G1360=""),"",E1360-G1360)</f>
        <v/>
      </c>
    </row>
    <row r="1361">
      <c r="A1361" s="10">
        <f>IF(INDEX(lst_Jobs,1348)="","",INDEX(lst_Jobs,1348)&amp;"")</f>
        <v/>
      </c>
      <c r="B1361" s="10">
        <f>IF(A1361="","",INDEX(lst_JobName,1348)&amp;"")</f>
        <v/>
      </c>
      <c r="C1361" s="11">
        <f>IF(A1361="","",SUMIFS(tbl_WIP[Amount],tbl_WIP[Job Number],A1361,tbl_WIP[Month],"&lt;"&amp;$C$4))</f>
        <v/>
      </c>
      <c r="D1361" s="11">
        <f>IF(A1361="","",SUMIFS(tbl_WIP[Amount],tbl_WIP[Job Number],A1361,tbl_WIP[Month],$C$4))</f>
        <v/>
      </c>
      <c r="E1361" s="11">
        <f>IF(A1361="","",C1361+D1361)</f>
        <v/>
      </c>
      <c r="F1361" s="10">
        <f>IF(A1361="","",IF(AND(ROUND(C1361,2)=0,ROUND(D1361,2)=0),"","yes"))</f>
        <v/>
      </c>
      <c r="G1361" s="39" t="n"/>
      <c r="H1361" s="11">
        <f>IF(OR(A1361="",G1361=""),"",E1361-G1361)</f>
        <v/>
      </c>
    </row>
    <row r="1362">
      <c r="A1362" s="10">
        <f>IF(INDEX(lst_Jobs,1349)="","",INDEX(lst_Jobs,1349)&amp;"")</f>
        <v/>
      </c>
      <c r="B1362" s="10">
        <f>IF(A1362="","",INDEX(lst_JobName,1349)&amp;"")</f>
        <v/>
      </c>
      <c r="C1362" s="11">
        <f>IF(A1362="","",SUMIFS(tbl_WIP[Amount],tbl_WIP[Job Number],A1362,tbl_WIP[Month],"&lt;"&amp;$C$4))</f>
        <v/>
      </c>
      <c r="D1362" s="11">
        <f>IF(A1362="","",SUMIFS(tbl_WIP[Amount],tbl_WIP[Job Number],A1362,tbl_WIP[Month],$C$4))</f>
        <v/>
      </c>
      <c r="E1362" s="11">
        <f>IF(A1362="","",C1362+D1362)</f>
        <v/>
      </c>
      <c r="F1362" s="10">
        <f>IF(A1362="","",IF(AND(ROUND(C1362,2)=0,ROUND(D1362,2)=0),"","yes"))</f>
        <v/>
      </c>
      <c r="G1362" s="39" t="n"/>
      <c r="H1362" s="11">
        <f>IF(OR(A1362="",G1362=""),"",E1362-G1362)</f>
        <v/>
      </c>
    </row>
    <row r="1363">
      <c r="A1363" s="10">
        <f>IF(INDEX(lst_Jobs,1350)="","",INDEX(lst_Jobs,1350)&amp;"")</f>
        <v/>
      </c>
      <c r="B1363" s="10">
        <f>IF(A1363="","",INDEX(lst_JobName,1350)&amp;"")</f>
        <v/>
      </c>
      <c r="C1363" s="11">
        <f>IF(A1363="","",SUMIFS(tbl_WIP[Amount],tbl_WIP[Job Number],A1363,tbl_WIP[Month],"&lt;"&amp;$C$4))</f>
        <v/>
      </c>
      <c r="D1363" s="11">
        <f>IF(A1363="","",SUMIFS(tbl_WIP[Amount],tbl_WIP[Job Number],A1363,tbl_WIP[Month],$C$4))</f>
        <v/>
      </c>
      <c r="E1363" s="11">
        <f>IF(A1363="","",C1363+D1363)</f>
        <v/>
      </c>
      <c r="F1363" s="10">
        <f>IF(A1363="","",IF(AND(ROUND(C1363,2)=0,ROUND(D1363,2)=0),"","yes"))</f>
        <v/>
      </c>
      <c r="G1363" s="39" t="n"/>
      <c r="H1363" s="11">
        <f>IF(OR(A1363="",G1363=""),"",E1363-G1363)</f>
        <v/>
      </c>
    </row>
    <row r="1364">
      <c r="A1364" s="10">
        <f>IF(INDEX(lst_Jobs,1351)="","",INDEX(lst_Jobs,1351)&amp;"")</f>
        <v/>
      </c>
      <c r="B1364" s="10">
        <f>IF(A1364="","",INDEX(lst_JobName,1351)&amp;"")</f>
        <v/>
      </c>
      <c r="C1364" s="11">
        <f>IF(A1364="","",SUMIFS(tbl_WIP[Amount],tbl_WIP[Job Number],A1364,tbl_WIP[Month],"&lt;"&amp;$C$4))</f>
        <v/>
      </c>
      <c r="D1364" s="11">
        <f>IF(A1364="","",SUMIFS(tbl_WIP[Amount],tbl_WIP[Job Number],A1364,tbl_WIP[Month],$C$4))</f>
        <v/>
      </c>
      <c r="E1364" s="11">
        <f>IF(A1364="","",C1364+D1364)</f>
        <v/>
      </c>
      <c r="F1364" s="10">
        <f>IF(A1364="","",IF(AND(ROUND(C1364,2)=0,ROUND(D1364,2)=0),"","yes"))</f>
        <v/>
      </c>
      <c r="G1364" s="39" t="n"/>
      <c r="H1364" s="11">
        <f>IF(OR(A1364="",G1364=""),"",E1364-G1364)</f>
        <v/>
      </c>
    </row>
    <row r="1365">
      <c r="A1365" s="10">
        <f>IF(INDEX(lst_Jobs,1352)="","",INDEX(lst_Jobs,1352)&amp;"")</f>
        <v/>
      </c>
      <c r="B1365" s="10">
        <f>IF(A1365="","",INDEX(lst_JobName,1352)&amp;"")</f>
        <v/>
      </c>
      <c r="C1365" s="11">
        <f>IF(A1365="","",SUMIFS(tbl_WIP[Amount],tbl_WIP[Job Number],A1365,tbl_WIP[Month],"&lt;"&amp;$C$4))</f>
        <v/>
      </c>
      <c r="D1365" s="11">
        <f>IF(A1365="","",SUMIFS(tbl_WIP[Amount],tbl_WIP[Job Number],A1365,tbl_WIP[Month],$C$4))</f>
        <v/>
      </c>
      <c r="E1365" s="11">
        <f>IF(A1365="","",C1365+D1365)</f>
        <v/>
      </c>
      <c r="F1365" s="10">
        <f>IF(A1365="","",IF(AND(ROUND(C1365,2)=0,ROUND(D1365,2)=0),"","yes"))</f>
        <v/>
      </c>
      <c r="G1365" s="39" t="n"/>
      <c r="H1365" s="11">
        <f>IF(OR(A1365="",G1365=""),"",E1365-G1365)</f>
        <v/>
      </c>
    </row>
    <row r="1366">
      <c r="A1366" s="10">
        <f>IF(INDEX(lst_Jobs,1353)="","",INDEX(lst_Jobs,1353)&amp;"")</f>
        <v/>
      </c>
      <c r="B1366" s="10">
        <f>IF(A1366="","",INDEX(lst_JobName,1353)&amp;"")</f>
        <v/>
      </c>
      <c r="C1366" s="11">
        <f>IF(A1366="","",SUMIFS(tbl_WIP[Amount],tbl_WIP[Job Number],A1366,tbl_WIP[Month],"&lt;"&amp;$C$4))</f>
        <v/>
      </c>
      <c r="D1366" s="11">
        <f>IF(A1366="","",SUMIFS(tbl_WIP[Amount],tbl_WIP[Job Number],A1366,tbl_WIP[Month],$C$4))</f>
        <v/>
      </c>
      <c r="E1366" s="11">
        <f>IF(A1366="","",C1366+D1366)</f>
        <v/>
      </c>
      <c r="F1366" s="10">
        <f>IF(A1366="","",IF(AND(ROUND(C1366,2)=0,ROUND(D1366,2)=0),"","yes"))</f>
        <v/>
      </c>
      <c r="G1366" s="39" t="n"/>
      <c r="H1366" s="11">
        <f>IF(OR(A1366="",G1366=""),"",E1366-G1366)</f>
        <v/>
      </c>
    </row>
    <row r="1367">
      <c r="A1367" s="10">
        <f>IF(INDEX(lst_Jobs,1354)="","",INDEX(lst_Jobs,1354)&amp;"")</f>
        <v/>
      </c>
      <c r="B1367" s="10">
        <f>IF(A1367="","",INDEX(lst_JobName,1354)&amp;"")</f>
        <v/>
      </c>
      <c r="C1367" s="11">
        <f>IF(A1367="","",SUMIFS(tbl_WIP[Amount],tbl_WIP[Job Number],A1367,tbl_WIP[Month],"&lt;"&amp;$C$4))</f>
        <v/>
      </c>
      <c r="D1367" s="11">
        <f>IF(A1367="","",SUMIFS(tbl_WIP[Amount],tbl_WIP[Job Number],A1367,tbl_WIP[Month],$C$4))</f>
        <v/>
      </c>
      <c r="E1367" s="11">
        <f>IF(A1367="","",C1367+D1367)</f>
        <v/>
      </c>
      <c r="F1367" s="10">
        <f>IF(A1367="","",IF(AND(ROUND(C1367,2)=0,ROUND(D1367,2)=0),"","yes"))</f>
        <v/>
      </c>
      <c r="G1367" s="39" t="n"/>
      <c r="H1367" s="11">
        <f>IF(OR(A1367="",G1367=""),"",E1367-G1367)</f>
        <v/>
      </c>
    </row>
    <row r="1368">
      <c r="A1368" s="10">
        <f>IF(INDEX(lst_Jobs,1355)="","",INDEX(lst_Jobs,1355)&amp;"")</f>
        <v/>
      </c>
      <c r="B1368" s="10">
        <f>IF(A1368="","",INDEX(lst_JobName,1355)&amp;"")</f>
        <v/>
      </c>
      <c r="C1368" s="11">
        <f>IF(A1368="","",SUMIFS(tbl_WIP[Amount],tbl_WIP[Job Number],A1368,tbl_WIP[Month],"&lt;"&amp;$C$4))</f>
        <v/>
      </c>
      <c r="D1368" s="11">
        <f>IF(A1368="","",SUMIFS(tbl_WIP[Amount],tbl_WIP[Job Number],A1368,tbl_WIP[Month],$C$4))</f>
        <v/>
      </c>
      <c r="E1368" s="11">
        <f>IF(A1368="","",C1368+D1368)</f>
        <v/>
      </c>
      <c r="F1368" s="10">
        <f>IF(A1368="","",IF(AND(ROUND(C1368,2)=0,ROUND(D1368,2)=0),"","yes"))</f>
        <v/>
      </c>
      <c r="G1368" s="39" t="n"/>
      <c r="H1368" s="11">
        <f>IF(OR(A1368="",G1368=""),"",E1368-G1368)</f>
        <v/>
      </c>
    </row>
    <row r="1369">
      <c r="A1369" s="10">
        <f>IF(INDEX(lst_Jobs,1356)="","",INDEX(lst_Jobs,1356)&amp;"")</f>
        <v/>
      </c>
      <c r="B1369" s="10">
        <f>IF(A1369="","",INDEX(lst_JobName,1356)&amp;"")</f>
        <v/>
      </c>
      <c r="C1369" s="11">
        <f>IF(A1369="","",SUMIFS(tbl_WIP[Amount],tbl_WIP[Job Number],A1369,tbl_WIP[Month],"&lt;"&amp;$C$4))</f>
        <v/>
      </c>
      <c r="D1369" s="11">
        <f>IF(A1369="","",SUMIFS(tbl_WIP[Amount],tbl_WIP[Job Number],A1369,tbl_WIP[Month],$C$4))</f>
        <v/>
      </c>
      <c r="E1369" s="11">
        <f>IF(A1369="","",C1369+D1369)</f>
        <v/>
      </c>
      <c r="F1369" s="10">
        <f>IF(A1369="","",IF(AND(ROUND(C1369,2)=0,ROUND(D1369,2)=0),"","yes"))</f>
        <v/>
      </c>
      <c r="G1369" s="39" t="n"/>
      <c r="H1369" s="11">
        <f>IF(OR(A1369="",G1369=""),"",E1369-G1369)</f>
        <v/>
      </c>
    </row>
    <row r="1370">
      <c r="A1370" s="10">
        <f>IF(INDEX(lst_Jobs,1357)="","",INDEX(lst_Jobs,1357)&amp;"")</f>
        <v/>
      </c>
      <c r="B1370" s="10">
        <f>IF(A1370="","",INDEX(lst_JobName,1357)&amp;"")</f>
        <v/>
      </c>
      <c r="C1370" s="11">
        <f>IF(A1370="","",SUMIFS(tbl_WIP[Amount],tbl_WIP[Job Number],A1370,tbl_WIP[Month],"&lt;"&amp;$C$4))</f>
        <v/>
      </c>
      <c r="D1370" s="11">
        <f>IF(A1370="","",SUMIFS(tbl_WIP[Amount],tbl_WIP[Job Number],A1370,tbl_WIP[Month],$C$4))</f>
        <v/>
      </c>
      <c r="E1370" s="11">
        <f>IF(A1370="","",C1370+D1370)</f>
        <v/>
      </c>
      <c r="F1370" s="10">
        <f>IF(A1370="","",IF(AND(ROUND(C1370,2)=0,ROUND(D1370,2)=0),"","yes"))</f>
        <v/>
      </c>
      <c r="G1370" s="39" t="n"/>
      <c r="H1370" s="11">
        <f>IF(OR(A1370="",G1370=""),"",E1370-G1370)</f>
        <v/>
      </c>
    </row>
    <row r="1371">
      <c r="A1371" s="10">
        <f>IF(INDEX(lst_Jobs,1358)="","",INDEX(lst_Jobs,1358)&amp;"")</f>
        <v/>
      </c>
      <c r="B1371" s="10">
        <f>IF(A1371="","",INDEX(lst_JobName,1358)&amp;"")</f>
        <v/>
      </c>
      <c r="C1371" s="11">
        <f>IF(A1371="","",SUMIFS(tbl_WIP[Amount],tbl_WIP[Job Number],A1371,tbl_WIP[Month],"&lt;"&amp;$C$4))</f>
        <v/>
      </c>
      <c r="D1371" s="11">
        <f>IF(A1371="","",SUMIFS(tbl_WIP[Amount],tbl_WIP[Job Number],A1371,tbl_WIP[Month],$C$4))</f>
        <v/>
      </c>
      <c r="E1371" s="11">
        <f>IF(A1371="","",C1371+D1371)</f>
        <v/>
      </c>
      <c r="F1371" s="10">
        <f>IF(A1371="","",IF(AND(ROUND(C1371,2)=0,ROUND(D1371,2)=0),"","yes"))</f>
        <v/>
      </c>
      <c r="G1371" s="39" t="n"/>
      <c r="H1371" s="11">
        <f>IF(OR(A1371="",G1371=""),"",E1371-G1371)</f>
        <v/>
      </c>
    </row>
    <row r="1372">
      <c r="A1372" s="10">
        <f>IF(INDEX(lst_Jobs,1359)="","",INDEX(lst_Jobs,1359)&amp;"")</f>
        <v/>
      </c>
      <c r="B1372" s="10">
        <f>IF(A1372="","",INDEX(lst_JobName,1359)&amp;"")</f>
        <v/>
      </c>
      <c r="C1372" s="11">
        <f>IF(A1372="","",SUMIFS(tbl_WIP[Amount],tbl_WIP[Job Number],A1372,tbl_WIP[Month],"&lt;"&amp;$C$4))</f>
        <v/>
      </c>
      <c r="D1372" s="11">
        <f>IF(A1372="","",SUMIFS(tbl_WIP[Amount],tbl_WIP[Job Number],A1372,tbl_WIP[Month],$C$4))</f>
        <v/>
      </c>
      <c r="E1372" s="11">
        <f>IF(A1372="","",C1372+D1372)</f>
        <v/>
      </c>
      <c r="F1372" s="10">
        <f>IF(A1372="","",IF(AND(ROUND(C1372,2)=0,ROUND(D1372,2)=0),"","yes"))</f>
        <v/>
      </c>
      <c r="G1372" s="39" t="n"/>
      <c r="H1372" s="11">
        <f>IF(OR(A1372="",G1372=""),"",E1372-G1372)</f>
        <v/>
      </c>
    </row>
    <row r="1373">
      <c r="A1373" s="10">
        <f>IF(INDEX(lst_Jobs,1360)="","",INDEX(lst_Jobs,1360)&amp;"")</f>
        <v/>
      </c>
      <c r="B1373" s="10">
        <f>IF(A1373="","",INDEX(lst_JobName,1360)&amp;"")</f>
        <v/>
      </c>
      <c r="C1373" s="11">
        <f>IF(A1373="","",SUMIFS(tbl_WIP[Amount],tbl_WIP[Job Number],A1373,tbl_WIP[Month],"&lt;"&amp;$C$4))</f>
        <v/>
      </c>
      <c r="D1373" s="11">
        <f>IF(A1373="","",SUMIFS(tbl_WIP[Amount],tbl_WIP[Job Number],A1373,tbl_WIP[Month],$C$4))</f>
        <v/>
      </c>
      <c r="E1373" s="11">
        <f>IF(A1373="","",C1373+D1373)</f>
        <v/>
      </c>
      <c r="F1373" s="10">
        <f>IF(A1373="","",IF(AND(ROUND(C1373,2)=0,ROUND(D1373,2)=0),"","yes"))</f>
        <v/>
      </c>
      <c r="G1373" s="39" t="n"/>
      <c r="H1373" s="11">
        <f>IF(OR(A1373="",G1373=""),"",E1373-G1373)</f>
        <v/>
      </c>
    </row>
    <row r="1374">
      <c r="A1374" s="10">
        <f>IF(INDEX(lst_Jobs,1361)="","",INDEX(lst_Jobs,1361)&amp;"")</f>
        <v/>
      </c>
      <c r="B1374" s="10">
        <f>IF(A1374="","",INDEX(lst_JobName,1361)&amp;"")</f>
        <v/>
      </c>
      <c r="C1374" s="11">
        <f>IF(A1374="","",SUMIFS(tbl_WIP[Amount],tbl_WIP[Job Number],A1374,tbl_WIP[Month],"&lt;"&amp;$C$4))</f>
        <v/>
      </c>
      <c r="D1374" s="11">
        <f>IF(A1374="","",SUMIFS(tbl_WIP[Amount],tbl_WIP[Job Number],A1374,tbl_WIP[Month],$C$4))</f>
        <v/>
      </c>
      <c r="E1374" s="11">
        <f>IF(A1374="","",C1374+D1374)</f>
        <v/>
      </c>
      <c r="F1374" s="10">
        <f>IF(A1374="","",IF(AND(ROUND(C1374,2)=0,ROUND(D1374,2)=0),"","yes"))</f>
        <v/>
      </c>
      <c r="G1374" s="39" t="n"/>
      <c r="H1374" s="11">
        <f>IF(OR(A1374="",G1374=""),"",E1374-G1374)</f>
        <v/>
      </c>
    </row>
    <row r="1375">
      <c r="A1375" s="10">
        <f>IF(INDEX(lst_Jobs,1362)="","",INDEX(lst_Jobs,1362)&amp;"")</f>
        <v/>
      </c>
      <c r="B1375" s="10">
        <f>IF(A1375="","",INDEX(lst_JobName,1362)&amp;"")</f>
        <v/>
      </c>
      <c r="C1375" s="11">
        <f>IF(A1375="","",SUMIFS(tbl_WIP[Amount],tbl_WIP[Job Number],A1375,tbl_WIP[Month],"&lt;"&amp;$C$4))</f>
        <v/>
      </c>
      <c r="D1375" s="11">
        <f>IF(A1375="","",SUMIFS(tbl_WIP[Amount],tbl_WIP[Job Number],A1375,tbl_WIP[Month],$C$4))</f>
        <v/>
      </c>
      <c r="E1375" s="11">
        <f>IF(A1375="","",C1375+D1375)</f>
        <v/>
      </c>
      <c r="F1375" s="10">
        <f>IF(A1375="","",IF(AND(ROUND(C1375,2)=0,ROUND(D1375,2)=0),"","yes"))</f>
        <v/>
      </c>
      <c r="G1375" s="39" t="n"/>
      <c r="H1375" s="11">
        <f>IF(OR(A1375="",G1375=""),"",E1375-G1375)</f>
        <v/>
      </c>
    </row>
    <row r="1376">
      <c r="A1376" s="10">
        <f>IF(INDEX(lst_Jobs,1363)="","",INDEX(lst_Jobs,1363)&amp;"")</f>
        <v/>
      </c>
      <c r="B1376" s="10">
        <f>IF(A1376="","",INDEX(lst_JobName,1363)&amp;"")</f>
        <v/>
      </c>
      <c r="C1376" s="11">
        <f>IF(A1376="","",SUMIFS(tbl_WIP[Amount],tbl_WIP[Job Number],A1376,tbl_WIP[Month],"&lt;"&amp;$C$4))</f>
        <v/>
      </c>
      <c r="D1376" s="11">
        <f>IF(A1376="","",SUMIFS(tbl_WIP[Amount],tbl_WIP[Job Number],A1376,tbl_WIP[Month],$C$4))</f>
        <v/>
      </c>
      <c r="E1376" s="11">
        <f>IF(A1376="","",C1376+D1376)</f>
        <v/>
      </c>
      <c r="F1376" s="10">
        <f>IF(A1376="","",IF(AND(ROUND(C1376,2)=0,ROUND(D1376,2)=0),"","yes"))</f>
        <v/>
      </c>
      <c r="G1376" s="39" t="n"/>
      <c r="H1376" s="11">
        <f>IF(OR(A1376="",G1376=""),"",E1376-G1376)</f>
        <v/>
      </c>
    </row>
    <row r="1377">
      <c r="A1377" s="10">
        <f>IF(INDEX(lst_Jobs,1364)="","",INDEX(lst_Jobs,1364)&amp;"")</f>
        <v/>
      </c>
      <c r="B1377" s="10">
        <f>IF(A1377="","",INDEX(lst_JobName,1364)&amp;"")</f>
        <v/>
      </c>
      <c r="C1377" s="11">
        <f>IF(A1377="","",SUMIFS(tbl_WIP[Amount],tbl_WIP[Job Number],A1377,tbl_WIP[Month],"&lt;"&amp;$C$4))</f>
        <v/>
      </c>
      <c r="D1377" s="11">
        <f>IF(A1377="","",SUMIFS(tbl_WIP[Amount],tbl_WIP[Job Number],A1377,tbl_WIP[Month],$C$4))</f>
        <v/>
      </c>
      <c r="E1377" s="11">
        <f>IF(A1377="","",C1377+D1377)</f>
        <v/>
      </c>
      <c r="F1377" s="10">
        <f>IF(A1377="","",IF(AND(ROUND(C1377,2)=0,ROUND(D1377,2)=0),"","yes"))</f>
        <v/>
      </c>
      <c r="G1377" s="39" t="n"/>
      <c r="H1377" s="11">
        <f>IF(OR(A1377="",G1377=""),"",E1377-G1377)</f>
        <v/>
      </c>
    </row>
    <row r="1378">
      <c r="A1378" s="10">
        <f>IF(INDEX(lst_Jobs,1365)="","",INDEX(lst_Jobs,1365)&amp;"")</f>
        <v/>
      </c>
      <c r="B1378" s="10">
        <f>IF(A1378="","",INDEX(lst_JobName,1365)&amp;"")</f>
        <v/>
      </c>
      <c r="C1378" s="11">
        <f>IF(A1378="","",SUMIFS(tbl_WIP[Amount],tbl_WIP[Job Number],A1378,tbl_WIP[Month],"&lt;"&amp;$C$4))</f>
        <v/>
      </c>
      <c r="D1378" s="11">
        <f>IF(A1378="","",SUMIFS(tbl_WIP[Amount],tbl_WIP[Job Number],A1378,tbl_WIP[Month],$C$4))</f>
        <v/>
      </c>
      <c r="E1378" s="11">
        <f>IF(A1378="","",C1378+D1378)</f>
        <v/>
      </c>
      <c r="F1378" s="10">
        <f>IF(A1378="","",IF(AND(ROUND(C1378,2)=0,ROUND(D1378,2)=0),"","yes"))</f>
        <v/>
      </c>
      <c r="G1378" s="39" t="n"/>
      <c r="H1378" s="11">
        <f>IF(OR(A1378="",G1378=""),"",E1378-G1378)</f>
        <v/>
      </c>
    </row>
    <row r="1379">
      <c r="A1379" s="10">
        <f>IF(INDEX(lst_Jobs,1366)="","",INDEX(lst_Jobs,1366)&amp;"")</f>
        <v/>
      </c>
      <c r="B1379" s="10">
        <f>IF(A1379="","",INDEX(lst_JobName,1366)&amp;"")</f>
        <v/>
      </c>
      <c r="C1379" s="11">
        <f>IF(A1379="","",SUMIFS(tbl_WIP[Amount],tbl_WIP[Job Number],A1379,tbl_WIP[Month],"&lt;"&amp;$C$4))</f>
        <v/>
      </c>
      <c r="D1379" s="11">
        <f>IF(A1379="","",SUMIFS(tbl_WIP[Amount],tbl_WIP[Job Number],A1379,tbl_WIP[Month],$C$4))</f>
        <v/>
      </c>
      <c r="E1379" s="11">
        <f>IF(A1379="","",C1379+D1379)</f>
        <v/>
      </c>
      <c r="F1379" s="10">
        <f>IF(A1379="","",IF(AND(ROUND(C1379,2)=0,ROUND(D1379,2)=0),"","yes"))</f>
        <v/>
      </c>
      <c r="G1379" s="39" t="n"/>
      <c r="H1379" s="11">
        <f>IF(OR(A1379="",G1379=""),"",E1379-G1379)</f>
        <v/>
      </c>
    </row>
    <row r="1380">
      <c r="A1380" s="10">
        <f>IF(INDEX(lst_Jobs,1367)="","",INDEX(lst_Jobs,1367)&amp;"")</f>
        <v/>
      </c>
      <c r="B1380" s="10">
        <f>IF(A1380="","",INDEX(lst_JobName,1367)&amp;"")</f>
        <v/>
      </c>
      <c r="C1380" s="11">
        <f>IF(A1380="","",SUMIFS(tbl_WIP[Amount],tbl_WIP[Job Number],A1380,tbl_WIP[Month],"&lt;"&amp;$C$4))</f>
        <v/>
      </c>
      <c r="D1380" s="11">
        <f>IF(A1380="","",SUMIFS(tbl_WIP[Amount],tbl_WIP[Job Number],A1380,tbl_WIP[Month],$C$4))</f>
        <v/>
      </c>
      <c r="E1380" s="11">
        <f>IF(A1380="","",C1380+D1380)</f>
        <v/>
      </c>
      <c r="F1380" s="10">
        <f>IF(A1380="","",IF(AND(ROUND(C1380,2)=0,ROUND(D1380,2)=0),"","yes"))</f>
        <v/>
      </c>
      <c r="G1380" s="39" t="n"/>
      <c r="H1380" s="11">
        <f>IF(OR(A1380="",G1380=""),"",E1380-G1380)</f>
        <v/>
      </c>
    </row>
    <row r="1381">
      <c r="A1381" s="10">
        <f>IF(INDEX(lst_Jobs,1368)="","",INDEX(lst_Jobs,1368)&amp;"")</f>
        <v/>
      </c>
      <c r="B1381" s="10">
        <f>IF(A1381="","",INDEX(lst_JobName,1368)&amp;"")</f>
        <v/>
      </c>
      <c r="C1381" s="11">
        <f>IF(A1381="","",SUMIFS(tbl_WIP[Amount],tbl_WIP[Job Number],A1381,tbl_WIP[Month],"&lt;"&amp;$C$4))</f>
        <v/>
      </c>
      <c r="D1381" s="11">
        <f>IF(A1381="","",SUMIFS(tbl_WIP[Amount],tbl_WIP[Job Number],A1381,tbl_WIP[Month],$C$4))</f>
        <v/>
      </c>
      <c r="E1381" s="11">
        <f>IF(A1381="","",C1381+D1381)</f>
        <v/>
      </c>
      <c r="F1381" s="10">
        <f>IF(A1381="","",IF(AND(ROUND(C1381,2)=0,ROUND(D1381,2)=0),"","yes"))</f>
        <v/>
      </c>
      <c r="G1381" s="39" t="n"/>
      <c r="H1381" s="11">
        <f>IF(OR(A1381="",G1381=""),"",E1381-G1381)</f>
        <v/>
      </c>
    </row>
    <row r="1382">
      <c r="A1382" s="10">
        <f>IF(INDEX(lst_Jobs,1369)="","",INDEX(lst_Jobs,1369)&amp;"")</f>
        <v/>
      </c>
      <c r="B1382" s="10">
        <f>IF(A1382="","",INDEX(lst_JobName,1369)&amp;"")</f>
        <v/>
      </c>
      <c r="C1382" s="11">
        <f>IF(A1382="","",SUMIFS(tbl_WIP[Amount],tbl_WIP[Job Number],A1382,tbl_WIP[Month],"&lt;"&amp;$C$4))</f>
        <v/>
      </c>
      <c r="D1382" s="11">
        <f>IF(A1382="","",SUMIFS(tbl_WIP[Amount],tbl_WIP[Job Number],A1382,tbl_WIP[Month],$C$4))</f>
        <v/>
      </c>
      <c r="E1382" s="11">
        <f>IF(A1382="","",C1382+D1382)</f>
        <v/>
      </c>
      <c r="F1382" s="10">
        <f>IF(A1382="","",IF(AND(ROUND(C1382,2)=0,ROUND(D1382,2)=0),"","yes"))</f>
        <v/>
      </c>
      <c r="G1382" s="39" t="n"/>
      <c r="H1382" s="11">
        <f>IF(OR(A1382="",G1382=""),"",E1382-G1382)</f>
        <v/>
      </c>
    </row>
    <row r="1383">
      <c r="A1383" s="10">
        <f>IF(INDEX(lst_Jobs,1370)="","",INDEX(lst_Jobs,1370)&amp;"")</f>
        <v/>
      </c>
      <c r="B1383" s="10">
        <f>IF(A1383="","",INDEX(lst_JobName,1370)&amp;"")</f>
        <v/>
      </c>
      <c r="C1383" s="11">
        <f>IF(A1383="","",SUMIFS(tbl_WIP[Amount],tbl_WIP[Job Number],A1383,tbl_WIP[Month],"&lt;"&amp;$C$4))</f>
        <v/>
      </c>
      <c r="D1383" s="11">
        <f>IF(A1383="","",SUMIFS(tbl_WIP[Amount],tbl_WIP[Job Number],A1383,tbl_WIP[Month],$C$4))</f>
        <v/>
      </c>
      <c r="E1383" s="11">
        <f>IF(A1383="","",C1383+D1383)</f>
        <v/>
      </c>
      <c r="F1383" s="10">
        <f>IF(A1383="","",IF(AND(ROUND(C1383,2)=0,ROUND(D1383,2)=0),"","yes"))</f>
        <v/>
      </c>
      <c r="G1383" s="39" t="n"/>
      <c r="H1383" s="11">
        <f>IF(OR(A1383="",G1383=""),"",E1383-G1383)</f>
        <v/>
      </c>
    </row>
    <row r="1384">
      <c r="A1384" s="10">
        <f>IF(INDEX(lst_Jobs,1371)="","",INDEX(lst_Jobs,1371)&amp;"")</f>
        <v/>
      </c>
      <c r="B1384" s="10">
        <f>IF(A1384="","",INDEX(lst_JobName,1371)&amp;"")</f>
        <v/>
      </c>
      <c r="C1384" s="11">
        <f>IF(A1384="","",SUMIFS(tbl_WIP[Amount],tbl_WIP[Job Number],A1384,tbl_WIP[Month],"&lt;"&amp;$C$4))</f>
        <v/>
      </c>
      <c r="D1384" s="11">
        <f>IF(A1384="","",SUMIFS(tbl_WIP[Amount],tbl_WIP[Job Number],A1384,tbl_WIP[Month],$C$4))</f>
        <v/>
      </c>
      <c r="E1384" s="11">
        <f>IF(A1384="","",C1384+D1384)</f>
        <v/>
      </c>
      <c r="F1384" s="10">
        <f>IF(A1384="","",IF(AND(ROUND(C1384,2)=0,ROUND(D1384,2)=0),"","yes"))</f>
        <v/>
      </c>
      <c r="G1384" s="39" t="n"/>
      <c r="H1384" s="11">
        <f>IF(OR(A1384="",G1384=""),"",E1384-G1384)</f>
        <v/>
      </c>
    </row>
    <row r="1385">
      <c r="A1385" s="10">
        <f>IF(INDEX(lst_Jobs,1372)="","",INDEX(lst_Jobs,1372)&amp;"")</f>
        <v/>
      </c>
      <c r="B1385" s="10">
        <f>IF(A1385="","",INDEX(lst_JobName,1372)&amp;"")</f>
        <v/>
      </c>
      <c r="C1385" s="11">
        <f>IF(A1385="","",SUMIFS(tbl_WIP[Amount],tbl_WIP[Job Number],A1385,tbl_WIP[Month],"&lt;"&amp;$C$4))</f>
        <v/>
      </c>
      <c r="D1385" s="11">
        <f>IF(A1385="","",SUMIFS(tbl_WIP[Amount],tbl_WIP[Job Number],A1385,tbl_WIP[Month],$C$4))</f>
        <v/>
      </c>
      <c r="E1385" s="11">
        <f>IF(A1385="","",C1385+D1385)</f>
        <v/>
      </c>
      <c r="F1385" s="10">
        <f>IF(A1385="","",IF(AND(ROUND(C1385,2)=0,ROUND(D1385,2)=0),"","yes"))</f>
        <v/>
      </c>
      <c r="G1385" s="39" t="n"/>
      <c r="H1385" s="11">
        <f>IF(OR(A1385="",G1385=""),"",E1385-G1385)</f>
        <v/>
      </c>
    </row>
    <row r="1386">
      <c r="A1386" s="10">
        <f>IF(INDEX(lst_Jobs,1373)="","",INDEX(lst_Jobs,1373)&amp;"")</f>
        <v/>
      </c>
      <c r="B1386" s="10">
        <f>IF(A1386="","",INDEX(lst_JobName,1373)&amp;"")</f>
        <v/>
      </c>
      <c r="C1386" s="11">
        <f>IF(A1386="","",SUMIFS(tbl_WIP[Amount],tbl_WIP[Job Number],A1386,tbl_WIP[Month],"&lt;"&amp;$C$4))</f>
        <v/>
      </c>
      <c r="D1386" s="11">
        <f>IF(A1386="","",SUMIFS(tbl_WIP[Amount],tbl_WIP[Job Number],A1386,tbl_WIP[Month],$C$4))</f>
        <v/>
      </c>
      <c r="E1386" s="11">
        <f>IF(A1386="","",C1386+D1386)</f>
        <v/>
      </c>
      <c r="F1386" s="10">
        <f>IF(A1386="","",IF(AND(ROUND(C1386,2)=0,ROUND(D1386,2)=0),"","yes"))</f>
        <v/>
      </c>
      <c r="G1386" s="39" t="n"/>
      <c r="H1386" s="11">
        <f>IF(OR(A1386="",G1386=""),"",E1386-G1386)</f>
        <v/>
      </c>
    </row>
    <row r="1387">
      <c r="A1387" s="10">
        <f>IF(INDEX(lst_Jobs,1374)="","",INDEX(lst_Jobs,1374)&amp;"")</f>
        <v/>
      </c>
      <c r="B1387" s="10">
        <f>IF(A1387="","",INDEX(lst_JobName,1374)&amp;"")</f>
        <v/>
      </c>
      <c r="C1387" s="11">
        <f>IF(A1387="","",SUMIFS(tbl_WIP[Amount],tbl_WIP[Job Number],A1387,tbl_WIP[Month],"&lt;"&amp;$C$4))</f>
        <v/>
      </c>
      <c r="D1387" s="11">
        <f>IF(A1387="","",SUMIFS(tbl_WIP[Amount],tbl_WIP[Job Number],A1387,tbl_WIP[Month],$C$4))</f>
        <v/>
      </c>
      <c r="E1387" s="11">
        <f>IF(A1387="","",C1387+D1387)</f>
        <v/>
      </c>
      <c r="F1387" s="10">
        <f>IF(A1387="","",IF(AND(ROUND(C1387,2)=0,ROUND(D1387,2)=0),"","yes"))</f>
        <v/>
      </c>
      <c r="G1387" s="39" t="n"/>
      <c r="H1387" s="11">
        <f>IF(OR(A1387="",G1387=""),"",E1387-G1387)</f>
        <v/>
      </c>
    </row>
    <row r="1388">
      <c r="A1388" s="10">
        <f>IF(INDEX(lst_Jobs,1375)="","",INDEX(lst_Jobs,1375)&amp;"")</f>
        <v/>
      </c>
      <c r="B1388" s="10">
        <f>IF(A1388="","",INDEX(lst_JobName,1375)&amp;"")</f>
        <v/>
      </c>
      <c r="C1388" s="11">
        <f>IF(A1388="","",SUMIFS(tbl_WIP[Amount],tbl_WIP[Job Number],A1388,tbl_WIP[Month],"&lt;"&amp;$C$4))</f>
        <v/>
      </c>
      <c r="D1388" s="11">
        <f>IF(A1388="","",SUMIFS(tbl_WIP[Amount],tbl_WIP[Job Number],A1388,tbl_WIP[Month],$C$4))</f>
        <v/>
      </c>
      <c r="E1388" s="11">
        <f>IF(A1388="","",C1388+D1388)</f>
        <v/>
      </c>
      <c r="F1388" s="10">
        <f>IF(A1388="","",IF(AND(ROUND(C1388,2)=0,ROUND(D1388,2)=0),"","yes"))</f>
        <v/>
      </c>
      <c r="G1388" s="39" t="n"/>
      <c r="H1388" s="11">
        <f>IF(OR(A1388="",G1388=""),"",E1388-G1388)</f>
        <v/>
      </c>
    </row>
    <row r="1389">
      <c r="A1389" s="10">
        <f>IF(INDEX(lst_Jobs,1376)="","",INDEX(lst_Jobs,1376)&amp;"")</f>
        <v/>
      </c>
      <c r="B1389" s="10">
        <f>IF(A1389="","",INDEX(lst_JobName,1376)&amp;"")</f>
        <v/>
      </c>
      <c r="C1389" s="11">
        <f>IF(A1389="","",SUMIFS(tbl_WIP[Amount],tbl_WIP[Job Number],A1389,tbl_WIP[Month],"&lt;"&amp;$C$4))</f>
        <v/>
      </c>
      <c r="D1389" s="11">
        <f>IF(A1389="","",SUMIFS(tbl_WIP[Amount],tbl_WIP[Job Number],A1389,tbl_WIP[Month],$C$4))</f>
        <v/>
      </c>
      <c r="E1389" s="11">
        <f>IF(A1389="","",C1389+D1389)</f>
        <v/>
      </c>
      <c r="F1389" s="10">
        <f>IF(A1389="","",IF(AND(ROUND(C1389,2)=0,ROUND(D1389,2)=0),"","yes"))</f>
        <v/>
      </c>
      <c r="G1389" s="39" t="n"/>
      <c r="H1389" s="11">
        <f>IF(OR(A1389="",G1389=""),"",E1389-G1389)</f>
        <v/>
      </c>
    </row>
    <row r="1390">
      <c r="A1390" s="10">
        <f>IF(INDEX(lst_Jobs,1377)="","",INDEX(lst_Jobs,1377)&amp;"")</f>
        <v/>
      </c>
      <c r="B1390" s="10">
        <f>IF(A1390="","",INDEX(lst_JobName,1377)&amp;"")</f>
        <v/>
      </c>
      <c r="C1390" s="11">
        <f>IF(A1390="","",SUMIFS(tbl_WIP[Amount],tbl_WIP[Job Number],A1390,tbl_WIP[Month],"&lt;"&amp;$C$4))</f>
        <v/>
      </c>
      <c r="D1390" s="11">
        <f>IF(A1390="","",SUMIFS(tbl_WIP[Amount],tbl_WIP[Job Number],A1390,tbl_WIP[Month],$C$4))</f>
        <v/>
      </c>
      <c r="E1390" s="11">
        <f>IF(A1390="","",C1390+D1390)</f>
        <v/>
      </c>
      <c r="F1390" s="10">
        <f>IF(A1390="","",IF(AND(ROUND(C1390,2)=0,ROUND(D1390,2)=0),"","yes"))</f>
        <v/>
      </c>
      <c r="G1390" s="39" t="n"/>
      <c r="H1390" s="11">
        <f>IF(OR(A1390="",G1390=""),"",E1390-G1390)</f>
        <v/>
      </c>
    </row>
    <row r="1391">
      <c r="A1391" s="10">
        <f>IF(INDEX(lst_Jobs,1378)="","",INDEX(lst_Jobs,1378)&amp;"")</f>
        <v/>
      </c>
      <c r="B1391" s="10">
        <f>IF(A1391="","",INDEX(lst_JobName,1378)&amp;"")</f>
        <v/>
      </c>
      <c r="C1391" s="11">
        <f>IF(A1391="","",SUMIFS(tbl_WIP[Amount],tbl_WIP[Job Number],A1391,tbl_WIP[Month],"&lt;"&amp;$C$4))</f>
        <v/>
      </c>
      <c r="D1391" s="11">
        <f>IF(A1391="","",SUMIFS(tbl_WIP[Amount],tbl_WIP[Job Number],A1391,tbl_WIP[Month],$C$4))</f>
        <v/>
      </c>
      <c r="E1391" s="11">
        <f>IF(A1391="","",C1391+D1391)</f>
        <v/>
      </c>
      <c r="F1391" s="10">
        <f>IF(A1391="","",IF(AND(ROUND(C1391,2)=0,ROUND(D1391,2)=0),"","yes"))</f>
        <v/>
      </c>
      <c r="G1391" s="39" t="n"/>
      <c r="H1391" s="11">
        <f>IF(OR(A1391="",G1391=""),"",E1391-G1391)</f>
        <v/>
      </c>
    </row>
    <row r="1392">
      <c r="A1392" s="10">
        <f>IF(INDEX(lst_Jobs,1379)="","",INDEX(lst_Jobs,1379)&amp;"")</f>
        <v/>
      </c>
      <c r="B1392" s="10">
        <f>IF(A1392="","",INDEX(lst_JobName,1379)&amp;"")</f>
        <v/>
      </c>
      <c r="C1392" s="11">
        <f>IF(A1392="","",SUMIFS(tbl_WIP[Amount],tbl_WIP[Job Number],A1392,tbl_WIP[Month],"&lt;"&amp;$C$4))</f>
        <v/>
      </c>
      <c r="D1392" s="11">
        <f>IF(A1392="","",SUMIFS(tbl_WIP[Amount],tbl_WIP[Job Number],A1392,tbl_WIP[Month],$C$4))</f>
        <v/>
      </c>
      <c r="E1392" s="11">
        <f>IF(A1392="","",C1392+D1392)</f>
        <v/>
      </c>
      <c r="F1392" s="10">
        <f>IF(A1392="","",IF(AND(ROUND(C1392,2)=0,ROUND(D1392,2)=0),"","yes"))</f>
        <v/>
      </c>
      <c r="G1392" s="39" t="n"/>
      <c r="H1392" s="11">
        <f>IF(OR(A1392="",G1392=""),"",E1392-G1392)</f>
        <v/>
      </c>
    </row>
    <row r="1393">
      <c r="A1393" s="10">
        <f>IF(INDEX(lst_Jobs,1380)="","",INDEX(lst_Jobs,1380)&amp;"")</f>
        <v/>
      </c>
      <c r="B1393" s="10">
        <f>IF(A1393="","",INDEX(lst_JobName,1380)&amp;"")</f>
        <v/>
      </c>
      <c r="C1393" s="11">
        <f>IF(A1393="","",SUMIFS(tbl_WIP[Amount],tbl_WIP[Job Number],A1393,tbl_WIP[Month],"&lt;"&amp;$C$4))</f>
        <v/>
      </c>
      <c r="D1393" s="11">
        <f>IF(A1393="","",SUMIFS(tbl_WIP[Amount],tbl_WIP[Job Number],A1393,tbl_WIP[Month],$C$4))</f>
        <v/>
      </c>
      <c r="E1393" s="11">
        <f>IF(A1393="","",C1393+D1393)</f>
        <v/>
      </c>
      <c r="F1393" s="10">
        <f>IF(A1393="","",IF(AND(ROUND(C1393,2)=0,ROUND(D1393,2)=0),"","yes"))</f>
        <v/>
      </c>
      <c r="G1393" s="39" t="n"/>
      <c r="H1393" s="11">
        <f>IF(OR(A1393="",G1393=""),"",E1393-G1393)</f>
        <v/>
      </c>
    </row>
    <row r="1394">
      <c r="A1394" s="10">
        <f>IF(INDEX(lst_Jobs,1381)="","",INDEX(lst_Jobs,1381)&amp;"")</f>
        <v/>
      </c>
      <c r="B1394" s="10">
        <f>IF(A1394="","",INDEX(lst_JobName,1381)&amp;"")</f>
        <v/>
      </c>
      <c r="C1394" s="11">
        <f>IF(A1394="","",SUMIFS(tbl_WIP[Amount],tbl_WIP[Job Number],A1394,tbl_WIP[Month],"&lt;"&amp;$C$4))</f>
        <v/>
      </c>
      <c r="D1394" s="11">
        <f>IF(A1394="","",SUMIFS(tbl_WIP[Amount],tbl_WIP[Job Number],A1394,tbl_WIP[Month],$C$4))</f>
        <v/>
      </c>
      <c r="E1394" s="11">
        <f>IF(A1394="","",C1394+D1394)</f>
        <v/>
      </c>
      <c r="F1394" s="10">
        <f>IF(A1394="","",IF(AND(ROUND(C1394,2)=0,ROUND(D1394,2)=0),"","yes"))</f>
        <v/>
      </c>
      <c r="G1394" s="39" t="n"/>
      <c r="H1394" s="11">
        <f>IF(OR(A1394="",G1394=""),"",E1394-G1394)</f>
        <v/>
      </c>
    </row>
    <row r="1395">
      <c r="A1395" s="10">
        <f>IF(INDEX(lst_Jobs,1382)="","",INDEX(lst_Jobs,1382)&amp;"")</f>
        <v/>
      </c>
      <c r="B1395" s="10">
        <f>IF(A1395="","",INDEX(lst_JobName,1382)&amp;"")</f>
        <v/>
      </c>
      <c r="C1395" s="11">
        <f>IF(A1395="","",SUMIFS(tbl_WIP[Amount],tbl_WIP[Job Number],A1395,tbl_WIP[Month],"&lt;"&amp;$C$4))</f>
        <v/>
      </c>
      <c r="D1395" s="11">
        <f>IF(A1395="","",SUMIFS(tbl_WIP[Amount],tbl_WIP[Job Number],A1395,tbl_WIP[Month],$C$4))</f>
        <v/>
      </c>
      <c r="E1395" s="11">
        <f>IF(A1395="","",C1395+D1395)</f>
        <v/>
      </c>
      <c r="F1395" s="10">
        <f>IF(A1395="","",IF(AND(ROUND(C1395,2)=0,ROUND(D1395,2)=0),"","yes"))</f>
        <v/>
      </c>
      <c r="G1395" s="39" t="n"/>
      <c r="H1395" s="11">
        <f>IF(OR(A1395="",G1395=""),"",E1395-G1395)</f>
        <v/>
      </c>
    </row>
    <row r="1396">
      <c r="A1396" s="10">
        <f>IF(INDEX(lst_Jobs,1383)="","",INDEX(lst_Jobs,1383)&amp;"")</f>
        <v/>
      </c>
      <c r="B1396" s="10">
        <f>IF(A1396="","",INDEX(lst_JobName,1383)&amp;"")</f>
        <v/>
      </c>
      <c r="C1396" s="11">
        <f>IF(A1396="","",SUMIFS(tbl_WIP[Amount],tbl_WIP[Job Number],A1396,tbl_WIP[Month],"&lt;"&amp;$C$4))</f>
        <v/>
      </c>
      <c r="D1396" s="11">
        <f>IF(A1396="","",SUMIFS(tbl_WIP[Amount],tbl_WIP[Job Number],A1396,tbl_WIP[Month],$C$4))</f>
        <v/>
      </c>
      <c r="E1396" s="11">
        <f>IF(A1396="","",C1396+D1396)</f>
        <v/>
      </c>
      <c r="F1396" s="10">
        <f>IF(A1396="","",IF(AND(ROUND(C1396,2)=0,ROUND(D1396,2)=0),"","yes"))</f>
        <v/>
      </c>
      <c r="G1396" s="39" t="n"/>
      <c r="H1396" s="11">
        <f>IF(OR(A1396="",G1396=""),"",E1396-G1396)</f>
        <v/>
      </c>
    </row>
    <row r="1397">
      <c r="A1397" s="10">
        <f>IF(INDEX(lst_Jobs,1384)="","",INDEX(lst_Jobs,1384)&amp;"")</f>
        <v/>
      </c>
      <c r="B1397" s="10">
        <f>IF(A1397="","",INDEX(lst_JobName,1384)&amp;"")</f>
        <v/>
      </c>
      <c r="C1397" s="11">
        <f>IF(A1397="","",SUMIFS(tbl_WIP[Amount],tbl_WIP[Job Number],A1397,tbl_WIP[Month],"&lt;"&amp;$C$4))</f>
        <v/>
      </c>
      <c r="D1397" s="11">
        <f>IF(A1397="","",SUMIFS(tbl_WIP[Amount],tbl_WIP[Job Number],A1397,tbl_WIP[Month],$C$4))</f>
        <v/>
      </c>
      <c r="E1397" s="11">
        <f>IF(A1397="","",C1397+D1397)</f>
        <v/>
      </c>
      <c r="F1397" s="10">
        <f>IF(A1397="","",IF(AND(ROUND(C1397,2)=0,ROUND(D1397,2)=0),"","yes"))</f>
        <v/>
      </c>
      <c r="G1397" s="39" t="n"/>
      <c r="H1397" s="11">
        <f>IF(OR(A1397="",G1397=""),"",E1397-G1397)</f>
        <v/>
      </c>
    </row>
    <row r="1398">
      <c r="A1398" s="10">
        <f>IF(INDEX(lst_Jobs,1385)="","",INDEX(lst_Jobs,1385)&amp;"")</f>
        <v/>
      </c>
      <c r="B1398" s="10">
        <f>IF(A1398="","",INDEX(lst_JobName,1385)&amp;"")</f>
        <v/>
      </c>
      <c r="C1398" s="11">
        <f>IF(A1398="","",SUMIFS(tbl_WIP[Amount],tbl_WIP[Job Number],A1398,tbl_WIP[Month],"&lt;"&amp;$C$4))</f>
        <v/>
      </c>
      <c r="D1398" s="11">
        <f>IF(A1398="","",SUMIFS(tbl_WIP[Amount],tbl_WIP[Job Number],A1398,tbl_WIP[Month],$C$4))</f>
        <v/>
      </c>
      <c r="E1398" s="11">
        <f>IF(A1398="","",C1398+D1398)</f>
        <v/>
      </c>
      <c r="F1398" s="10">
        <f>IF(A1398="","",IF(AND(ROUND(C1398,2)=0,ROUND(D1398,2)=0),"","yes"))</f>
        <v/>
      </c>
      <c r="G1398" s="39" t="n"/>
      <c r="H1398" s="11">
        <f>IF(OR(A1398="",G1398=""),"",E1398-G1398)</f>
        <v/>
      </c>
    </row>
    <row r="1399">
      <c r="A1399" s="10">
        <f>IF(INDEX(lst_Jobs,1386)="","",INDEX(lst_Jobs,1386)&amp;"")</f>
        <v/>
      </c>
      <c r="B1399" s="10">
        <f>IF(A1399="","",INDEX(lst_JobName,1386)&amp;"")</f>
        <v/>
      </c>
      <c r="C1399" s="11">
        <f>IF(A1399="","",SUMIFS(tbl_WIP[Amount],tbl_WIP[Job Number],A1399,tbl_WIP[Month],"&lt;"&amp;$C$4))</f>
        <v/>
      </c>
      <c r="D1399" s="11">
        <f>IF(A1399="","",SUMIFS(tbl_WIP[Amount],tbl_WIP[Job Number],A1399,tbl_WIP[Month],$C$4))</f>
        <v/>
      </c>
      <c r="E1399" s="11">
        <f>IF(A1399="","",C1399+D1399)</f>
        <v/>
      </c>
      <c r="F1399" s="10">
        <f>IF(A1399="","",IF(AND(ROUND(C1399,2)=0,ROUND(D1399,2)=0),"","yes"))</f>
        <v/>
      </c>
      <c r="G1399" s="39" t="n"/>
      <c r="H1399" s="11">
        <f>IF(OR(A1399="",G1399=""),"",E1399-G1399)</f>
        <v/>
      </c>
    </row>
    <row r="1400">
      <c r="A1400" s="10">
        <f>IF(INDEX(lst_Jobs,1387)="","",INDEX(lst_Jobs,1387)&amp;"")</f>
        <v/>
      </c>
      <c r="B1400" s="10">
        <f>IF(A1400="","",INDEX(lst_JobName,1387)&amp;"")</f>
        <v/>
      </c>
      <c r="C1400" s="11">
        <f>IF(A1400="","",SUMIFS(tbl_WIP[Amount],tbl_WIP[Job Number],A1400,tbl_WIP[Month],"&lt;"&amp;$C$4))</f>
        <v/>
      </c>
      <c r="D1400" s="11">
        <f>IF(A1400="","",SUMIFS(tbl_WIP[Amount],tbl_WIP[Job Number],A1400,tbl_WIP[Month],$C$4))</f>
        <v/>
      </c>
      <c r="E1400" s="11">
        <f>IF(A1400="","",C1400+D1400)</f>
        <v/>
      </c>
      <c r="F1400" s="10">
        <f>IF(A1400="","",IF(AND(ROUND(C1400,2)=0,ROUND(D1400,2)=0),"","yes"))</f>
        <v/>
      </c>
      <c r="G1400" s="39" t="n"/>
      <c r="H1400" s="11">
        <f>IF(OR(A1400="",G1400=""),"",E1400-G1400)</f>
        <v/>
      </c>
    </row>
    <row r="1401">
      <c r="A1401" s="10">
        <f>IF(INDEX(lst_Jobs,1388)="","",INDEX(lst_Jobs,1388)&amp;"")</f>
        <v/>
      </c>
      <c r="B1401" s="10">
        <f>IF(A1401="","",INDEX(lst_JobName,1388)&amp;"")</f>
        <v/>
      </c>
      <c r="C1401" s="11">
        <f>IF(A1401="","",SUMIFS(tbl_WIP[Amount],tbl_WIP[Job Number],A1401,tbl_WIP[Month],"&lt;"&amp;$C$4))</f>
        <v/>
      </c>
      <c r="D1401" s="11">
        <f>IF(A1401="","",SUMIFS(tbl_WIP[Amount],tbl_WIP[Job Number],A1401,tbl_WIP[Month],$C$4))</f>
        <v/>
      </c>
      <c r="E1401" s="11">
        <f>IF(A1401="","",C1401+D1401)</f>
        <v/>
      </c>
      <c r="F1401" s="10">
        <f>IF(A1401="","",IF(AND(ROUND(C1401,2)=0,ROUND(D1401,2)=0),"","yes"))</f>
        <v/>
      </c>
      <c r="G1401" s="39" t="n"/>
      <c r="H1401" s="11">
        <f>IF(OR(A1401="",G1401=""),"",E1401-G1401)</f>
        <v/>
      </c>
    </row>
    <row r="1402">
      <c r="A1402" s="10">
        <f>IF(INDEX(lst_Jobs,1389)="","",INDEX(lst_Jobs,1389)&amp;"")</f>
        <v/>
      </c>
      <c r="B1402" s="10">
        <f>IF(A1402="","",INDEX(lst_JobName,1389)&amp;"")</f>
        <v/>
      </c>
      <c r="C1402" s="11">
        <f>IF(A1402="","",SUMIFS(tbl_WIP[Amount],tbl_WIP[Job Number],A1402,tbl_WIP[Month],"&lt;"&amp;$C$4))</f>
        <v/>
      </c>
      <c r="D1402" s="11">
        <f>IF(A1402="","",SUMIFS(tbl_WIP[Amount],tbl_WIP[Job Number],A1402,tbl_WIP[Month],$C$4))</f>
        <v/>
      </c>
      <c r="E1402" s="11">
        <f>IF(A1402="","",C1402+D1402)</f>
        <v/>
      </c>
      <c r="F1402" s="10">
        <f>IF(A1402="","",IF(AND(ROUND(C1402,2)=0,ROUND(D1402,2)=0),"","yes"))</f>
        <v/>
      </c>
      <c r="G1402" s="39" t="n"/>
      <c r="H1402" s="11">
        <f>IF(OR(A1402="",G1402=""),"",E1402-G1402)</f>
        <v/>
      </c>
    </row>
    <row r="1403">
      <c r="A1403" s="10">
        <f>IF(INDEX(lst_Jobs,1390)="","",INDEX(lst_Jobs,1390)&amp;"")</f>
        <v/>
      </c>
      <c r="B1403" s="10">
        <f>IF(A1403="","",INDEX(lst_JobName,1390)&amp;"")</f>
        <v/>
      </c>
      <c r="C1403" s="11">
        <f>IF(A1403="","",SUMIFS(tbl_WIP[Amount],tbl_WIP[Job Number],A1403,tbl_WIP[Month],"&lt;"&amp;$C$4))</f>
        <v/>
      </c>
      <c r="D1403" s="11">
        <f>IF(A1403="","",SUMIFS(tbl_WIP[Amount],tbl_WIP[Job Number],A1403,tbl_WIP[Month],$C$4))</f>
        <v/>
      </c>
      <c r="E1403" s="11">
        <f>IF(A1403="","",C1403+D1403)</f>
        <v/>
      </c>
      <c r="F1403" s="10">
        <f>IF(A1403="","",IF(AND(ROUND(C1403,2)=0,ROUND(D1403,2)=0),"","yes"))</f>
        <v/>
      </c>
      <c r="G1403" s="39" t="n"/>
      <c r="H1403" s="11">
        <f>IF(OR(A1403="",G1403=""),"",E1403-G1403)</f>
        <v/>
      </c>
    </row>
    <row r="1404">
      <c r="A1404" s="10">
        <f>IF(INDEX(lst_Jobs,1391)="","",INDEX(lst_Jobs,1391)&amp;"")</f>
        <v/>
      </c>
      <c r="B1404" s="10">
        <f>IF(A1404="","",INDEX(lst_JobName,1391)&amp;"")</f>
        <v/>
      </c>
      <c r="C1404" s="11">
        <f>IF(A1404="","",SUMIFS(tbl_WIP[Amount],tbl_WIP[Job Number],A1404,tbl_WIP[Month],"&lt;"&amp;$C$4))</f>
        <v/>
      </c>
      <c r="D1404" s="11">
        <f>IF(A1404="","",SUMIFS(tbl_WIP[Amount],tbl_WIP[Job Number],A1404,tbl_WIP[Month],$C$4))</f>
        <v/>
      </c>
      <c r="E1404" s="11">
        <f>IF(A1404="","",C1404+D1404)</f>
        <v/>
      </c>
      <c r="F1404" s="10">
        <f>IF(A1404="","",IF(AND(ROUND(C1404,2)=0,ROUND(D1404,2)=0),"","yes"))</f>
        <v/>
      </c>
      <c r="G1404" s="39" t="n"/>
      <c r="H1404" s="11">
        <f>IF(OR(A1404="",G1404=""),"",E1404-G1404)</f>
        <v/>
      </c>
    </row>
    <row r="1405">
      <c r="A1405" s="10">
        <f>IF(INDEX(lst_Jobs,1392)="","",INDEX(lst_Jobs,1392)&amp;"")</f>
        <v/>
      </c>
      <c r="B1405" s="10">
        <f>IF(A1405="","",INDEX(lst_JobName,1392)&amp;"")</f>
        <v/>
      </c>
      <c r="C1405" s="11">
        <f>IF(A1405="","",SUMIFS(tbl_WIP[Amount],tbl_WIP[Job Number],A1405,tbl_WIP[Month],"&lt;"&amp;$C$4))</f>
        <v/>
      </c>
      <c r="D1405" s="11">
        <f>IF(A1405="","",SUMIFS(tbl_WIP[Amount],tbl_WIP[Job Number],A1405,tbl_WIP[Month],$C$4))</f>
        <v/>
      </c>
      <c r="E1405" s="11">
        <f>IF(A1405="","",C1405+D1405)</f>
        <v/>
      </c>
      <c r="F1405" s="10">
        <f>IF(A1405="","",IF(AND(ROUND(C1405,2)=0,ROUND(D1405,2)=0),"","yes"))</f>
        <v/>
      </c>
      <c r="G1405" s="39" t="n"/>
      <c r="H1405" s="11">
        <f>IF(OR(A1405="",G1405=""),"",E1405-G1405)</f>
        <v/>
      </c>
    </row>
    <row r="1406">
      <c r="A1406" s="10">
        <f>IF(INDEX(lst_Jobs,1393)="","",INDEX(lst_Jobs,1393)&amp;"")</f>
        <v/>
      </c>
      <c r="B1406" s="10">
        <f>IF(A1406="","",INDEX(lst_JobName,1393)&amp;"")</f>
        <v/>
      </c>
      <c r="C1406" s="11">
        <f>IF(A1406="","",SUMIFS(tbl_WIP[Amount],tbl_WIP[Job Number],A1406,tbl_WIP[Month],"&lt;"&amp;$C$4))</f>
        <v/>
      </c>
      <c r="D1406" s="11">
        <f>IF(A1406="","",SUMIFS(tbl_WIP[Amount],tbl_WIP[Job Number],A1406,tbl_WIP[Month],$C$4))</f>
        <v/>
      </c>
      <c r="E1406" s="11">
        <f>IF(A1406="","",C1406+D1406)</f>
        <v/>
      </c>
      <c r="F1406" s="10">
        <f>IF(A1406="","",IF(AND(ROUND(C1406,2)=0,ROUND(D1406,2)=0),"","yes"))</f>
        <v/>
      </c>
      <c r="G1406" s="39" t="n"/>
      <c r="H1406" s="11">
        <f>IF(OR(A1406="",G1406=""),"",E1406-G1406)</f>
        <v/>
      </c>
    </row>
    <row r="1407">
      <c r="A1407" s="10">
        <f>IF(INDEX(lst_Jobs,1394)="","",INDEX(lst_Jobs,1394)&amp;"")</f>
        <v/>
      </c>
      <c r="B1407" s="10">
        <f>IF(A1407="","",INDEX(lst_JobName,1394)&amp;"")</f>
        <v/>
      </c>
      <c r="C1407" s="11">
        <f>IF(A1407="","",SUMIFS(tbl_WIP[Amount],tbl_WIP[Job Number],A1407,tbl_WIP[Month],"&lt;"&amp;$C$4))</f>
        <v/>
      </c>
      <c r="D1407" s="11">
        <f>IF(A1407="","",SUMIFS(tbl_WIP[Amount],tbl_WIP[Job Number],A1407,tbl_WIP[Month],$C$4))</f>
        <v/>
      </c>
      <c r="E1407" s="11">
        <f>IF(A1407="","",C1407+D1407)</f>
        <v/>
      </c>
      <c r="F1407" s="10">
        <f>IF(A1407="","",IF(AND(ROUND(C1407,2)=0,ROUND(D1407,2)=0),"","yes"))</f>
        <v/>
      </c>
      <c r="G1407" s="39" t="n"/>
      <c r="H1407" s="11">
        <f>IF(OR(A1407="",G1407=""),"",E1407-G1407)</f>
        <v/>
      </c>
    </row>
    <row r="1408">
      <c r="A1408" s="10">
        <f>IF(INDEX(lst_Jobs,1395)="","",INDEX(lst_Jobs,1395)&amp;"")</f>
        <v/>
      </c>
      <c r="B1408" s="10">
        <f>IF(A1408="","",INDEX(lst_JobName,1395)&amp;"")</f>
        <v/>
      </c>
      <c r="C1408" s="11">
        <f>IF(A1408="","",SUMIFS(tbl_WIP[Amount],tbl_WIP[Job Number],A1408,tbl_WIP[Month],"&lt;"&amp;$C$4))</f>
        <v/>
      </c>
      <c r="D1408" s="11">
        <f>IF(A1408="","",SUMIFS(tbl_WIP[Amount],tbl_WIP[Job Number],A1408,tbl_WIP[Month],$C$4))</f>
        <v/>
      </c>
      <c r="E1408" s="11">
        <f>IF(A1408="","",C1408+D1408)</f>
        <v/>
      </c>
      <c r="F1408" s="10">
        <f>IF(A1408="","",IF(AND(ROUND(C1408,2)=0,ROUND(D1408,2)=0),"","yes"))</f>
        <v/>
      </c>
      <c r="G1408" s="39" t="n"/>
      <c r="H1408" s="11">
        <f>IF(OR(A1408="",G1408=""),"",E1408-G1408)</f>
        <v/>
      </c>
    </row>
    <row r="1409">
      <c r="A1409" s="10">
        <f>IF(INDEX(lst_Jobs,1396)="","",INDEX(lst_Jobs,1396)&amp;"")</f>
        <v/>
      </c>
      <c r="B1409" s="10">
        <f>IF(A1409="","",INDEX(lst_JobName,1396)&amp;"")</f>
        <v/>
      </c>
      <c r="C1409" s="11">
        <f>IF(A1409="","",SUMIFS(tbl_WIP[Amount],tbl_WIP[Job Number],A1409,tbl_WIP[Month],"&lt;"&amp;$C$4))</f>
        <v/>
      </c>
      <c r="D1409" s="11">
        <f>IF(A1409="","",SUMIFS(tbl_WIP[Amount],tbl_WIP[Job Number],A1409,tbl_WIP[Month],$C$4))</f>
        <v/>
      </c>
      <c r="E1409" s="11">
        <f>IF(A1409="","",C1409+D1409)</f>
        <v/>
      </c>
      <c r="F1409" s="10">
        <f>IF(A1409="","",IF(AND(ROUND(C1409,2)=0,ROUND(D1409,2)=0),"","yes"))</f>
        <v/>
      </c>
      <c r="G1409" s="39" t="n"/>
      <c r="H1409" s="11">
        <f>IF(OR(A1409="",G1409=""),"",E1409-G1409)</f>
        <v/>
      </c>
    </row>
    <row r="1410">
      <c r="A1410" s="10">
        <f>IF(INDEX(lst_Jobs,1397)="","",INDEX(lst_Jobs,1397)&amp;"")</f>
        <v/>
      </c>
      <c r="B1410" s="10">
        <f>IF(A1410="","",INDEX(lst_JobName,1397)&amp;"")</f>
        <v/>
      </c>
      <c r="C1410" s="11">
        <f>IF(A1410="","",SUMIFS(tbl_WIP[Amount],tbl_WIP[Job Number],A1410,tbl_WIP[Month],"&lt;"&amp;$C$4))</f>
        <v/>
      </c>
      <c r="D1410" s="11">
        <f>IF(A1410="","",SUMIFS(tbl_WIP[Amount],tbl_WIP[Job Number],A1410,tbl_WIP[Month],$C$4))</f>
        <v/>
      </c>
      <c r="E1410" s="11">
        <f>IF(A1410="","",C1410+D1410)</f>
        <v/>
      </c>
      <c r="F1410" s="10">
        <f>IF(A1410="","",IF(AND(ROUND(C1410,2)=0,ROUND(D1410,2)=0),"","yes"))</f>
        <v/>
      </c>
      <c r="G1410" s="39" t="n"/>
      <c r="H1410" s="11">
        <f>IF(OR(A1410="",G1410=""),"",E1410-G1410)</f>
        <v/>
      </c>
    </row>
    <row r="1411">
      <c r="A1411" s="10">
        <f>IF(INDEX(lst_Jobs,1398)="","",INDEX(lst_Jobs,1398)&amp;"")</f>
        <v/>
      </c>
      <c r="B1411" s="10">
        <f>IF(A1411="","",INDEX(lst_JobName,1398)&amp;"")</f>
        <v/>
      </c>
      <c r="C1411" s="11">
        <f>IF(A1411="","",SUMIFS(tbl_WIP[Amount],tbl_WIP[Job Number],A1411,tbl_WIP[Month],"&lt;"&amp;$C$4))</f>
        <v/>
      </c>
      <c r="D1411" s="11">
        <f>IF(A1411="","",SUMIFS(tbl_WIP[Amount],tbl_WIP[Job Number],A1411,tbl_WIP[Month],$C$4))</f>
        <v/>
      </c>
      <c r="E1411" s="11">
        <f>IF(A1411="","",C1411+D1411)</f>
        <v/>
      </c>
      <c r="F1411" s="10">
        <f>IF(A1411="","",IF(AND(ROUND(C1411,2)=0,ROUND(D1411,2)=0),"","yes"))</f>
        <v/>
      </c>
      <c r="G1411" s="39" t="n"/>
      <c r="H1411" s="11">
        <f>IF(OR(A1411="",G1411=""),"",E1411-G1411)</f>
        <v/>
      </c>
    </row>
    <row r="1412">
      <c r="A1412" s="10">
        <f>IF(INDEX(lst_Jobs,1399)="","",INDEX(lst_Jobs,1399)&amp;"")</f>
        <v/>
      </c>
      <c r="B1412" s="10">
        <f>IF(A1412="","",INDEX(lst_JobName,1399)&amp;"")</f>
        <v/>
      </c>
      <c r="C1412" s="11">
        <f>IF(A1412="","",SUMIFS(tbl_WIP[Amount],tbl_WIP[Job Number],A1412,tbl_WIP[Month],"&lt;"&amp;$C$4))</f>
        <v/>
      </c>
      <c r="D1412" s="11">
        <f>IF(A1412="","",SUMIFS(tbl_WIP[Amount],tbl_WIP[Job Number],A1412,tbl_WIP[Month],$C$4))</f>
        <v/>
      </c>
      <c r="E1412" s="11">
        <f>IF(A1412="","",C1412+D1412)</f>
        <v/>
      </c>
      <c r="F1412" s="10">
        <f>IF(A1412="","",IF(AND(ROUND(C1412,2)=0,ROUND(D1412,2)=0),"","yes"))</f>
        <v/>
      </c>
      <c r="G1412" s="39" t="n"/>
      <c r="H1412" s="11">
        <f>IF(OR(A1412="",G1412=""),"",E1412-G1412)</f>
        <v/>
      </c>
    </row>
    <row r="1413">
      <c r="A1413" s="10">
        <f>IF(INDEX(lst_Jobs,1400)="","",INDEX(lst_Jobs,1400)&amp;"")</f>
        <v/>
      </c>
      <c r="B1413" s="10">
        <f>IF(A1413="","",INDEX(lst_JobName,1400)&amp;"")</f>
        <v/>
      </c>
      <c r="C1413" s="11">
        <f>IF(A1413="","",SUMIFS(tbl_WIP[Amount],tbl_WIP[Job Number],A1413,tbl_WIP[Month],"&lt;"&amp;$C$4))</f>
        <v/>
      </c>
      <c r="D1413" s="11">
        <f>IF(A1413="","",SUMIFS(tbl_WIP[Amount],tbl_WIP[Job Number],A1413,tbl_WIP[Month],$C$4))</f>
        <v/>
      </c>
      <c r="E1413" s="11">
        <f>IF(A1413="","",C1413+D1413)</f>
        <v/>
      </c>
      <c r="F1413" s="10">
        <f>IF(A1413="","",IF(AND(ROUND(C1413,2)=0,ROUND(D1413,2)=0),"","yes"))</f>
        <v/>
      </c>
      <c r="G1413" s="39" t="n"/>
      <c r="H1413" s="11">
        <f>IF(OR(A1413="",G1413=""),"",E1413-G1413)</f>
        <v/>
      </c>
    </row>
    <row r="1414">
      <c r="A1414" s="10">
        <f>IF(INDEX(lst_Jobs,1401)="","",INDEX(lst_Jobs,1401)&amp;"")</f>
        <v/>
      </c>
      <c r="B1414" s="10">
        <f>IF(A1414="","",INDEX(lst_JobName,1401)&amp;"")</f>
        <v/>
      </c>
      <c r="C1414" s="11">
        <f>IF(A1414="","",SUMIFS(tbl_WIP[Amount],tbl_WIP[Job Number],A1414,tbl_WIP[Month],"&lt;"&amp;$C$4))</f>
        <v/>
      </c>
      <c r="D1414" s="11">
        <f>IF(A1414="","",SUMIFS(tbl_WIP[Amount],tbl_WIP[Job Number],A1414,tbl_WIP[Month],$C$4))</f>
        <v/>
      </c>
      <c r="E1414" s="11">
        <f>IF(A1414="","",C1414+D1414)</f>
        <v/>
      </c>
      <c r="F1414" s="10">
        <f>IF(A1414="","",IF(AND(ROUND(C1414,2)=0,ROUND(D1414,2)=0),"","yes"))</f>
        <v/>
      </c>
      <c r="G1414" s="39" t="n"/>
      <c r="H1414" s="11">
        <f>IF(OR(A1414="",G1414=""),"",E1414-G1414)</f>
        <v/>
      </c>
    </row>
    <row r="1415">
      <c r="A1415" s="10">
        <f>IF(INDEX(lst_Jobs,1402)="","",INDEX(lst_Jobs,1402)&amp;"")</f>
        <v/>
      </c>
      <c r="B1415" s="10">
        <f>IF(A1415="","",INDEX(lst_JobName,1402)&amp;"")</f>
        <v/>
      </c>
      <c r="C1415" s="11">
        <f>IF(A1415="","",SUMIFS(tbl_WIP[Amount],tbl_WIP[Job Number],A1415,tbl_WIP[Month],"&lt;"&amp;$C$4))</f>
        <v/>
      </c>
      <c r="D1415" s="11">
        <f>IF(A1415="","",SUMIFS(tbl_WIP[Amount],tbl_WIP[Job Number],A1415,tbl_WIP[Month],$C$4))</f>
        <v/>
      </c>
      <c r="E1415" s="11">
        <f>IF(A1415="","",C1415+D1415)</f>
        <v/>
      </c>
      <c r="F1415" s="10">
        <f>IF(A1415="","",IF(AND(ROUND(C1415,2)=0,ROUND(D1415,2)=0),"","yes"))</f>
        <v/>
      </c>
      <c r="G1415" s="39" t="n"/>
      <c r="H1415" s="11">
        <f>IF(OR(A1415="",G1415=""),"",E1415-G1415)</f>
        <v/>
      </c>
    </row>
    <row r="1416">
      <c r="A1416" s="10">
        <f>IF(INDEX(lst_Jobs,1403)="","",INDEX(lst_Jobs,1403)&amp;"")</f>
        <v/>
      </c>
      <c r="B1416" s="10">
        <f>IF(A1416="","",INDEX(lst_JobName,1403)&amp;"")</f>
        <v/>
      </c>
      <c r="C1416" s="11">
        <f>IF(A1416="","",SUMIFS(tbl_WIP[Amount],tbl_WIP[Job Number],A1416,tbl_WIP[Month],"&lt;"&amp;$C$4))</f>
        <v/>
      </c>
      <c r="D1416" s="11">
        <f>IF(A1416="","",SUMIFS(tbl_WIP[Amount],tbl_WIP[Job Number],A1416,tbl_WIP[Month],$C$4))</f>
        <v/>
      </c>
      <c r="E1416" s="11">
        <f>IF(A1416="","",C1416+D1416)</f>
        <v/>
      </c>
      <c r="F1416" s="10">
        <f>IF(A1416="","",IF(AND(ROUND(C1416,2)=0,ROUND(D1416,2)=0),"","yes"))</f>
        <v/>
      </c>
      <c r="G1416" s="39" t="n"/>
      <c r="H1416" s="11">
        <f>IF(OR(A1416="",G1416=""),"",E1416-G1416)</f>
        <v/>
      </c>
    </row>
    <row r="1417">
      <c r="A1417" s="10">
        <f>IF(INDEX(lst_Jobs,1404)="","",INDEX(lst_Jobs,1404)&amp;"")</f>
        <v/>
      </c>
      <c r="B1417" s="10">
        <f>IF(A1417="","",INDEX(lst_JobName,1404)&amp;"")</f>
        <v/>
      </c>
      <c r="C1417" s="11">
        <f>IF(A1417="","",SUMIFS(tbl_WIP[Amount],tbl_WIP[Job Number],A1417,tbl_WIP[Month],"&lt;"&amp;$C$4))</f>
        <v/>
      </c>
      <c r="D1417" s="11">
        <f>IF(A1417="","",SUMIFS(tbl_WIP[Amount],tbl_WIP[Job Number],A1417,tbl_WIP[Month],$C$4))</f>
        <v/>
      </c>
      <c r="E1417" s="11">
        <f>IF(A1417="","",C1417+D1417)</f>
        <v/>
      </c>
      <c r="F1417" s="10">
        <f>IF(A1417="","",IF(AND(ROUND(C1417,2)=0,ROUND(D1417,2)=0),"","yes"))</f>
        <v/>
      </c>
      <c r="G1417" s="39" t="n"/>
      <c r="H1417" s="11">
        <f>IF(OR(A1417="",G1417=""),"",E1417-G1417)</f>
        <v/>
      </c>
    </row>
    <row r="1418">
      <c r="A1418" s="10">
        <f>IF(INDEX(lst_Jobs,1405)="","",INDEX(lst_Jobs,1405)&amp;"")</f>
        <v/>
      </c>
      <c r="B1418" s="10">
        <f>IF(A1418="","",INDEX(lst_JobName,1405)&amp;"")</f>
        <v/>
      </c>
      <c r="C1418" s="11">
        <f>IF(A1418="","",SUMIFS(tbl_WIP[Amount],tbl_WIP[Job Number],A1418,tbl_WIP[Month],"&lt;"&amp;$C$4))</f>
        <v/>
      </c>
      <c r="D1418" s="11">
        <f>IF(A1418="","",SUMIFS(tbl_WIP[Amount],tbl_WIP[Job Number],A1418,tbl_WIP[Month],$C$4))</f>
        <v/>
      </c>
      <c r="E1418" s="11">
        <f>IF(A1418="","",C1418+D1418)</f>
        <v/>
      </c>
      <c r="F1418" s="10">
        <f>IF(A1418="","",IF(AND(ROUND(C1418,2)=0,ROUND(D1418,2)=0),"","yes"))</f>
        <v/>
      </c>
      <c r="G1418" s="39" t="n"/>
      <c r="H1418" s="11">
        <f>IF(OR(A1418="",G1418=""),"",E1418-G1418)</f>
        <v/>
      </c>
    </row>
    <row r="1419">
      <c r="A1419" s="10">
        <f>IF(INDEX(lst_Jobs,1406)="","",INDEX(lst_Jobs,1406)&amp;"")</f>
        <v/>
      </c>
      <c r="B1419" s="10">
        <f>IF(A1419="","",INDEX(lst_JobName,1406)&amp;"")</f>
        <v/>
      </c>
      <c r="C1419" s="11">
        <f>IF(A1419="","",SUMIFS(tbl_WIP[Amount],tbl_WIP[Job Number],A1419,tbl_WIP[Month],"&lt;"&amp;$C$4))</f>
        <v/>
      </c>
      <c r="D1419" s="11">
        <f>IF(A1419="","",SUMIFS(tbl_WIP[Amount],tbl_WIP[Job Number],A1419,tbl_WIP[Month],$C$4))</f>
        <v/>
      </c>
      <c r="E1419" s="11">
        <f>IF(A1419="","",C1419+D1419)</f>
        <v/>
      </c>
      <c r="F1419" s="10">
        <f>IF(A1419="","",IF(AND(ROUND(C1419,2)=0,ROUND(D1419,2)=0),"","yes"))</f>
        <v/>
      </c>
      <c r="G1419" s="39" t="n"/>
      <c r="H1419" s="11">
        <f>IF(OR(A1419="",G1419=""),"",E1419-G1419)</f>
        <v/>
      </c>
    </row>
    <row r="1420">
      <c r="A1420" s="10">
        <f>IF(INDEX(lst_Jobs,1407)="","",INDEX(lst_Jobs,1407)&amp;"")</f>
        <v/>
      </c>
      <c r="B1420" s="10">
        <f>IF(A1420="","",INDEX(lst_JobName,1407)&amp;"")</f>
        <v/>
      </c>
      <c r="C1420" s="11">
        <f>IF(A1420="","",SUMIFS(tbl_WIP[Amount],tbl_WIP[Job Number],A1420,tbl_WIP[Month],"&lt;"&amp;$C$4))</f>
        <v/>
      </c>
      <c r="D1420" s="11">
        <f>IF(A1420="","",SUMIFS(tbl_WIP[Amount],tbl_WIP[Job Number],A1420,tbl_WIP[Month],$C$4))</f>
        <v/>
      </c>
      <c r="E1420" s="11">
        <f>IF(A1420="","",C1420+D1420)</f>
        <v/>
      </c>
      <c r="F1420" s="10">
        <f>IF(A1420="","",IF(AND(ROUND(C1420,2)=0,ROUND(D1420,2)=0),"","yes"))</f>
        <v/>
      </c>
      <c r="G1420" s="39" t="n"/>
      <c r="H1420" s="11">
        <f>IF(OR(A1420="",G1420=""),"",E1420-G1420)</f>
        <v/>
      </c>
    </row>
    <row r="1421">
      <c r="A1421" s="10">
        <f>IF(INDEX(lst_Jobs,1408)="","",INDEX(lst_Jobs,1408)&amp;"")</f>
        <v/>
      </c>
      <c r="B1421" s="10">
        <f>IF(A1421="","",INDEX(lst_JobName,1408)&amp;"")</f>
        <v/>
      </c>
      <c r="C1421" s="11">
        <f>IF(A1421="","",SUMIFS(tbl_WIP[Amount],tbl_WIP[Job Number],A1421,tbl_WIP[Month],"&lt;"&amp;$C$4))</f>
        <v/>
      </c>
      <c r="D1421" s="11">
        <f>IF(A1421="","",SUMIFS(tbl_WIP[Amount],tbl_WIP[Job Number],A1421,tbl_WIP[Month],$C$4))</f>
        <v/>
      </c>
      <c r="E1421" s="11">
        <f>IF(A1421="","",C1421+D1421)</f>
        <v/>
      </c>
      <c r="F1421" s="10">
        <f>IF(A1421="","",IF(AND(ROUND(C1421,2)=0,ROUND(D1421,2)=0),"","yes"))</f>
        <v/>
      </c>
      <c r="G1421" s="39" t="n"/>
      <c r="H1421" s="11">
        <f>IF(OR(A1421="",G1421=""),"",E1421-G1421)</f>
        <v/>
      </c>
    </row>
    <row r="1422">
      <c r="A1422" s="10">
        <f>IF(INDEX(lst_Jobs,1409)="","",INDEX(lst_Jobs,1409)&amp;"")</f>
        <v/>
      </c>
      <c r="B1422" s="10">
        <f>IF(A1422="","",INDEX(lst_JobName,1409)&amp;"")</f>
        <v/>
      </c>
      <c r="C1422" s="11">
        <f>IF(A1422="","",SUMIFS(tbl_WIP[Amount],tbl_WIP[Job Number],A1422,tbl_WIP[Month],"&lt;"&amp;$C$4))</f>
        <v/>
      </c>
      <c r="D1422" s="11">
        <f>IF(A1422="","",SUMIFS(tbl_WIP[Amount],tbl_WIP[Job Number],A1422,tbl_WIP[Month],$C$4))</f>
        <v/>
      </c>
      <c r="E1422" s="11">
        <f>IF(A1422="","",C1422+D1422)</f>
        <v/>
      </c>
      <c r="F1422" s="10">
        <f>IF(A1422="","",IF(AND(ROUND(C1422,2)=0,ROUND(D1422,2)=0),"","yes"))</f>
        <v/>
      </c>
      <c r="G1422" s="39" t="n"/>
      <c r="H1422" s="11">
        <f>IF(OR(A1422="",G1422=""),"",E1422-G1422)</f>
        <v/>
      </c>
    </row>
    <row r="1423">
      <c r="A1423" s="10">
        <f>IF(INDEX(lst_Jobs,1410)="","",INDEX(lst_Jobs,1410)&amp;"")</f>
        <v/>
      </c>
      <c r="B1423" s="10">
        <f>IF(A1423="","",INDEX(lst_JobName,1410)&amp;"")</f>
        <v/>
      </c>
      <c r="C1423" s="11">
        <f>IF(A1423="","",SUMIFS(tbl_WIP[Amount],tbl_WIP[Job Number],A1423,tbl_WIP[Month],"&lt;"&amp;$C$4))</f>
        <v/>
      </c>
      <c r="D1423" s="11">
        <f>IF(A1423="","",SUMIFS(tbl_WIP[Amount],tbl_WIP[Job Number],A1423,tbl_WIP[Month],$C$4))</f>
        <v/>
      </c>
      <c r="E1423" s="11">
        <f>IF(A1423="","",C1423+D1423)</f>
        <v/>
      </c>
      <c r="F1423" s="10">
        <f>IF(A1423="","",IF(AND(ROUND(C1423,2)=0,ROUND(D1423,2)=0),"","yes"))</f>
        <v/>
      </c>
      <c r="G1423" s="39" t="n"/>
      <c r="H1423" s="11">
        <f>IF(OR(A1423="",G1423=""),"",E1423-G1423)</f>
        <v/>
      </c>
    </row>
    <row r="1424">
      <c r="A1424" s="10">
        <f>IF(INDEX(lst_Jobs,1411)="","",INDEX(lst_Jobs,1411)&amp;"")</f>
        <v/>
      </c>
      <c r="B1424" s="10">
        <f>IF(A1424="","",INDEX(lst_JobName,1411)&amp;"")</f>
        <v/>
      </c>
      <c r="C1424" s="11">
        <f>IF(A1424="","",SUMIFS(tbl_WIP[Amount],tbl_WIP[Job Number],A1424,tbl_WIP[Month],"&lt;"&amp;$C$4))</f>
        <v/>
      </c>
      <c r="D1424" s="11">
        <f>IF(A1424="","",SUMIFS(tbl_WIP[Amount],tbl_WIP[Job Number],A1424,tbl_WIP[Month],$C$4))</f>
        <v/>
      </c>
      <c r="E1424" s="11">
        <f>IF(A1424="","",C1424+D1424)</f>
        <v/>
      </c>
      <c r="F1424" s="10">
        <f>IF(A1424="","",IF(AND(ROUND(C1424,2)=0,ROUND(D1424,2)=0),"","yes"))</f>
        <v/>
      </c>
      <c r="G1424" s="39" t="n"/>
      <c r="H1424" s="11">
        <f>IF(OR(A1424="",G1424=""),"",E1424-G1424)</f>
        <v/>
      </c>
    </row>
    <row r="1425">
      <c r="A1425" s="10">
        <f>IF(INDEX(lst_Jobs,1412)="","",INDEX(lst_Jobs,1412)&amp;"")</f>
        <v/>
      </c>
      <c r="B1425" s="10">
        <f>IF(A1425="","",INDEX(lst_JobName,1412)&amp;"")</f>
        <v/>
      </c>
      <c r="C1425" s="11">
        <f>IF(A1425="","",SUMIFS(tbl_WIP[Amount],tbl_WIP[Job Number],A1425,tbl_WIP[Month],"&lt;"&amp;$C$4))</f>
        <v/>
      </c>
      <c r="D1425" s="11">
        <f>IF(A1425="","",SUMIFS(tbl_WIP[Amount],tbl_WIP[Job Number],A1425,tbl_WIP[Month],$C$4))</f>
        <v/>
      </c>
      <c r="E1425" s="11">
        <f>IF(A1425="","",C1425+D1425)</f>
        <v/>
      </c>
      <c r="F1425" s="10">
        <f>IF(A1425="","",IF(AND(ROUND(C1425,2)=0,ROUND(D1425,2)=0),"","yes"))</f>
        <v/>
      </c>
      <c r="G1425" s="39" t="n"/>
      <c r="H1425" s="11">
        <f>IF(OR(A1425="",G1425=""),"",E1425-G1425)</f>
        <v/>
      </c>
    </row>
    <row r="1426">
      <c r="A1426" s="10">
        <f>IF(INDEX(lst_Jobs,1413)="","",INDEX(lst_Jobs,1413)&amp;"")</f>
        <v/>
      </c>
      <c r="B1426" s="10">
        <f>IF(A1426="","",INDEX(lst_JobName,1413)&amp;"")</f>
        <v/>
      </c>
      <c r="C1426" s="11">
        <f>IF(A1426="","",SUMIFS(tbl_WIP[Amount],tbl_WIP[Job Number],A1426,tbl_WIP[Month],"&lt;"&amp;$C$4))</f>
        <v/>
      </c>
      <c r="D1426" s="11">
        <f>IF(A1426="","",SUMIFS(tbl_WIP[Amount],tbl_WIP[Job Number],A1426,tbl_WIP[Month],$C$4))</f>
        <v/>
      </c>
      <c r="E1426" s="11">
        <f>IF(A1426="","",C1426+D1426)</f>
        <v/>
      </c>
      <c r="F1426" s="10">
        <f>IF(A1426="","",IF(AND(ROUND(C1426,2)=0,ROUND(D1426,2)=0),"","yes"))</f>
        <v/>
      </c>
      <c r="G1426" s="39" t="n"/>
      <c r="H1426" s="11">
        <f>IF(OR(A1426="",G1426=""),"",E1426-G1426)</f>
        <v/>
      </c>
    </row>
    <row r="1427">
      <c r="A1427" s="10">
        <f>IF(INDEX(lst_Jobs,1414)="","",INDEX(lst_Jobs,1414)&amp;"")</f>
        <v/>
      </c>
      <c r="B1427" s="10">
        <f>IF(A1427="","",INDEX(lst_JobName,1414)&amp;"")</f>
        <v/>
      </c>
      <c r="C1427" s="11">
        <f>IF(A1427="","",SUMIFS(tbl_WIP[Amount],tbl_WIP[Job Number],A1427,tbl_WIP[Month],"&lt;"&amp;$C$4))</f>
        <v/>
      </c>
      <c r="D1427" s="11">
        <f>IF(A1427="","",SUMIFS(tbl_WIP[Amount],tbl_WIP[Job Number],A1427,tbl_WIP[Month],$C$4))</f>
        <v/>
      </c>
      <c r="E1427" s="11">
        <f>IF(A1427="","",C1427+D1427)</f>
        <v/>
      </c>
      <c r="F1427" s="10">
        <f>IF(A1427="","",IF(AND(ROUND(C1427,2)=0,ROUND(D1427,2)=0),"","yes"))</f>
        <v/>
      </c>
      <c r="G1427" s="39" t="n"/>
      <c r="H1427" s="11">
        <f>IF(OR(A1427="",G1427=""),"",E1427-G1427)</f>
        <v/>
      </c>
    </row>
    <row r="1428">
      <c r="A1428" s="10">
        <f>IF(INDEX(lst_Jobs,1415)="","",INDEX(lst_Jobs,1415)&amp;"")</f>
        <v/>
      </c>
      <c r="B1428" s="10">
        <f>IF(A1428="","",INDEX(lst_JobName,1415)&amp;"")</f>
        <v/>
      </c>
      <c r="C1428" s="11">
        <f>IF(A1428="","",SUMIFS(tbl_WIP[Amount],tbl_WIP[Job Number],A1428,tbl_WIP[Month],"&lt;"&amp;$C$4))</f>
        <v/>
      </c>
      <c r="D1428" s="11">
        <f>IF(A1428="","",SUMIFS(tbl_WIP[Amount],tbl_WIP[Job Number],A1428,tbl_WIP[Month],$C$4))</f>
        <v/>
      </c>
      <c r="E1428" s="11">
        <f>IF(A1428="","",C1428+D1428)</f>
        <v/>
      </c>
      <c r="F1428" s="10">
        <f>IF(A1428="","",IF(AND(ROUND(C1428,2)=0,ROUND(D1428,2)=0),"","yes"))</f>
        <v/>
      </c>
      <c r="G1428" s="39" t="n"/>
      <c r="H1428" s="11">
        <f>IF(OR(A1428="",G1428=""),"",E1428-G1428)</f>
        <v/>
      </c>
    </row>
    <row r="1429">
      <c r="A1429" s="10">
        <f>IF(INDEX(lst_Jobs,1416)="","",INDEX(lst_Jobs,1416)&amp;"")</f>
        <v/>
      </c>
      <c r="B1429" s="10">
        <f>IF(A1429="","",INDEX(lst_JobName,1416)&amp;"")</f>
        <v/>
      </c>
      <c r="C1429" s="11">
        <f>IF(A1429="","",SUMIFS(tbl_WIP[Amount],tbl_WIP[Job Number],A1429,tbl_WIP[Month],"&lt;"&amp;$C$4))</f>
        <v/>
      </c>
      <c r="D1429" s="11">
        <f>IF(A1429="","",SUMIFS(tbl_WIP[Amount],tbl_WIP[Job Number],A1429,tbl_WIP[Month],$C$4))</f>
        <v/>
      </c>
      <c r="E1429" s="11">
        <f>IF(A1429="","",C1429+D1429)</f>
        <v/>
      </c>
      <c r="F1429" s="10">
        <f>IF(A1429="","",IF(AND(ROUND(C1429,2)=0,ROUND(D1429,2)=0),"","yes"))</f>
        <v/>
      </c>
      <c r="G1429" s="39" t="n"/>
      <c r="H1429" s="11">
        <f>IF(OR(A1429="",G1429=""),"",E1429-G1429)</f>
        <v/>
      </c>
    </row>
    <row r="1430">
      <c r="A1430" s="10">
        <f>IF(INDEX(lst_Jobs,1417)="","",INDEX(lst_Jobs,1417)&amp;"")</f>
        <v/>
      </c>
      <c r="B1430" s="10">
        <f>IF(A1430="","",INDEX(lst_JobName,1417)&amp;"")</f>
        <v/>
      </c>
      <c r="C1430" s="11">
        <f>IF(A1430="","",SUMIFS(tbl_WIP[Amount],tbl_WIP[Job Number],A1430,tbl_WIP[Month],"&lt;"&amp;$C$4))</f>
        <v/>
      </c>
      <c r="D1430" s="11">
        <f>IF(A1430="","",SUMIFS(tbl_WIP[Amount],tbl_WIP[Job Number],A1430,tbl_WIP[Month],$C$4))</f>
        <v/>
      </c>
      <c r="E1430" s="11">
        <f>IF(A1430="","",C1430+D1430)</f>
        <v/>
      </c>
      <c r="F1430" s="10">
        <f>IF(A1430="","",IF(AND(ROUND(C1430,2)=0,ROUND(D1430,2)=0),"","yes"))</f>
        <v/>
      </c>
      <c r="G1430" s="39" t="n"/>
      <c r="H1430" s="11">
        <f>IF(OR(A1430="",G1430=""),"",E1430-G1430)</f>
        <v/>
      </c>
    </row>
    <row r="1431">
      <c r="A1431" s="10">
        <f>IF(INDEX(lst_Jobs,1418)="","",INDEX(lst_Jobs,1418)&amp;"")</f>
        <v/>
      </c>
      <c r="B1431" s="10">
        <f>IF(A1431="","",INDEX(lst_JobName,1418)&amp;"")</f>
        <v/>
      </c>
      <c r="C1431" s="11">
        <f>IF(A1431="","",SUMIFS(tbl_WIP[Amount],tbl_WIP[Job Number],A1431,tbl_WIP[Month],"&lt;"&amp;$C$4))</f>
        <v/>
      </c>
      <c r="D1431" s="11">
        <f>IF(A1431="","",SUMIFS(tbl_WIP[Amount],tbl_WIP[Job Number],A1431,tbl_WIP[Month],$C$4))</f>
        <v/>
      </c>
      <c r="E1431" s="11">
        <f>IF(A1431="","",C1431+D1431)</f>
        <v/>
      </c>
      <c r="F1431" s="10">
        <f>IF(A1431="","",IF(AND(ROUND(C1431,2)=0,ROUND(D1431,2)=0),"","yes"))</f>
        <v/>
      </c>
      <c r="G1431" s="39" t="n"/>
      <c r="H1431" s="11">
        <f>IF(OR(A1431="",G1431=""),"",E1431-G1431)</f>
        <v/>
      </c>
    </row>
    <row r="1432">
      <c r="A1432" s="10">
        <f>IF(INDEX(lst_Jobs,1419)="","",INDEX(lst_Jobs,1419)&amp;"")</f>
        <v/>
      </c>
      <c r="B1432" s="10">
        <f>IF(A1432="","",INDEX(lst_JobName,1419)&amp;"")</f>
        <v/>
      </c>
      <c r="C1432" s="11">
        <f>IF(A1432="","",SUMIFS(tbl_WIP[Amount],tbl_WIP[Job Number],A1432,tbl_WIP[Month],"&lt;"&amp;$C$4))</f>
        <v/>
      </c>
      <c r="D1432" s="11">
        <f>IF(A1432="","",SUMIFS(tbl_WIP[Amount],tbl_WIP[Job Number],A1432,tbl_WIP[Month],$C$4))</f>
        <v/>
      </c>
      <c r="E1432" s="11">
        <f>IF(A1432="","",C1432+D1432)</f>
        <v/>
      </c>
      <c r="F1432" s="10">
        <f>IF(A1432="","",IF(AND(ROUND(C1432,2)=0,ROUND(D1432,2)=0),"","yes"))</f>
        <v/>
      </c>
      <c r="G1432" s="39" t="n"/>
      <c r="H1432" s="11">
        <f>IF(OR(A1432="",G1432=""),"",E1432-G1432)</f>
        <v/>
      </c>
    </row>
    <row r="1433">
      <c r="A1433" s="10">
        <f>IF(INDEX(lst_Jobs,1420)="","",INDEX(lst_Jobs,1420)&amp;"")</f>
        <v/>
      </c>
      <c r="B1433" s="10">
        <f>IF(A1433="","",INDEX(lst_JobName,1420)&amp;"")</f>
        <v/>
      </c>
      <c r="C1433" s="11">
        <f>IF(A1433="","",SUMIFS(tbl_WIP[Amount],tbl_WIP[Job Number],A1433,tbl_WIP[Month],"&lt;"&amp;$C$4))</f>
        <v/>
      </c>
      <c r="D1433" s="11">
        <f>IF(A1433="","",SUMIFS(tbl_WIP[Amount],tbl_WIP[Job Number],A1433,tbl_WIP[Month],$C$4))</f>
        <v/>
      </c>
      <c r="E1433" s="11">
        <f>IF(A1433="","",C1433+D1433)</f>
        <v/>
      </c>
      <c r="F1433" s="10">
        <f>IF(A1433="","",IF(AND(ROUND(C1433,2)=0,ROUND(D1433,2)=0),"","yes"))</f>
        <v/>
      </c>
      <c r="G1433" s="39" t="n"/>
      <c r="H1433" s="11">
        <f>IF(OR(A1433="",G1433=""),"",E1433-G1433)</f>
        <v/>
      </c>
    </row>
    <row r="1434">
      <c r="A1434" s="10">
        <f>IF(INDEX(lst_Jobs,1421)="","",INDEX(lst_Jobs,1421)&amp;"")</f>
        <v/>
      </c>
      <c r="B1434" s="10">
        <f>IF(A1434="","",INDEX(lst_JobName,1421)&amp;"")</f>
        <v/>
      </c>
      <c r="C1434" s="11">
        <f>IF(A1434="","",SUMIFS(tbl_WIP[Amount],tbl_WIP[Job Number],A1434,tbl_WIP[Month],"&lt;"&amp;$C$4))</f>
        <v/>
      </c>
      <c r="D1434" s="11">
        <f>IF(A1434="","",SUMIFS(tbl_WIP[Amount],tbl_WIP[Job Number],A1434,tbl_WIP[Month],$C$4))</f>
        <v/>
      </c>
      <c r="E1434" s="11">
        <f>IF(A1434="","",C1434+D1434)</f>
        <v/>
      </c>
      <c r="F1434" s="10">
        <f>IF(A1434="","",IF(AND(ROUND(C1434,2)=0,ROUND(D1434,2)=0),"","yes"))</f>
        <v/>
      </c>
      <c r="G1434" s="39" t="n"/>
      <c r="H1434" s="11">
        <f>IF(OR(A1434="",G1434=""),"",E1434-G1434)</f>
        <v/>
      </c>
    </row>
    <row r="1435">
      <c r="A1435" s="10">
        <f>IF(INDEX(lst_Jobs,1422)="","",INDEX(lst_Jobs,1422)&amp;"")</f>
        <v/>
      </c>
      <c r="B1435" s="10">
        <f>IF(A1435="","",INDEX(lst_JobName,1422)&amp;"")</f>
        <v/>
      </c>
      <c r="C1435" s="11">
        <f>IF(A1435="","",SUMIFS(tbl_WIP[Amount],tbl_WIP[Job Number],A1435,tbl_WIP[Month],"&lt;"&amp;$C$4))</f>
        <v/>
      </c>
      <c r="D1435" s="11">
        <f>IF(A1435="","",SUMIFS(tbl_WIP[Amount],tbl_WIP[Job Number],A1435,tbl_WIP[Month],$C$4))</f>
        <v/>
      </c>
      <c r="E1435" s="11">
        <f>IF(A1435="","",C1435+D1435)</f>
        <v/>
      </c>
      <c r="F1435" s="10">
        <f>IF(A1435="","",IF(AND(ROUND(C1435,2)=0,ROUND(D1435,2)=0),"","yes"))</f>
        <v/>
      </c>
      <c r="G1435" s="39" t="n"/>
      <c r="H1435" s="11">
        <f>IF(OR(A1435="",G1435=""),"",E1435-G1435)</f>
        <v/>
      </c>
    </row>
    <row r="1436">
      <c r="A1436" s="10">
        <f>IF(INDEX(lst_Jobs,1423)="","",INDEX(lst_Jobs,1423)&amp;"")</f>
        <v/>
      </c>
      <c r="B1436" s="10">
        <f>IF(A1436="","",INDEX(lst_JobName,1423)&amp;"")</f>
        <v/>
      </c>
      <c r="C1436" s="11">
        <f>IF(A1436="","",SUMIFS(tbl_WIP[Amount],tbl_WIP[Job Number],A1436,tbl_WIP[Month],"&lt;"&amp;$C$4))</f>
        <v/>
      </c>
      <c r="D1436" s="11">
        <f>IF(A1436="","",SUMIFS(tbl_WIP[Amount],tbl_WIP[Job Number],A1436,tbl_WIP[Month],$C$4))</f>
        <v/>
      </c>
      <c r="E1436" s="11">
        <f>IF(A1436="","",C1436+D1436)</f>
        <v/>
      </c>
      <c r="F1436" s="10">
        <f>IF(A1436="","",IF(AND(ROUND(C1436,2)=0,ROUND(D1436,2)=0),"","yes"))</f>
        <v/>
      </c>
      <c r="G1436" s="39" t="n"/>
      <c r="H1436" s="11">
        <f>IF(OR(A1436="",G1436=""),"",E1436-G1436)</f>
        <v/>
      </c>
    </row>
    <row r="1437">
      <c r="A1437" s="10">
        <f>IF(INDEX(lst_Jobs,1424)="","",INDEX(lst_Jobs,1424)&amp;"")</f>
        <v/>
      </c>
      <c r="B1437" s="10">
        <f>IF(A1437="","",INDEX(lst_JobName,1424)&amp;"")</f>
        <v/>
      </c>
      <c r="C1437" s="11">
        <f>IF(A1437="","",SUMIFS(tbl_WIP[Amount],tbl_WIP[Job Number],A1437,tbl_WIP[Month],"&lt;"&amp;$C$4))</f>
        <v/>
      </c>
      <c r="D1437" s="11">
        <f>IF(A1437="","",SUMIFS(tbl_WIP[Amount],tbl_WIP[Job Number],A1437,tbl_WIP[Month],$C$4))</f>
        <v/>
      </c>
      <c r="E1437" s="11">
        <f>IF(A1437="","",C1437+D1437)</f>
        <v/>
      </c>
      <c r="F1437" s="10">
        <f>IF(A1437="","",IF(AND(ROUND(C1437,2)=0,ROUND(D1437,2)=0),"","yes"))</f>
        <v/>
      </c>
      <c r="G1437" s="39" t="n"/>
      <c r="H1437" s="11">
        <f>IF(OR(A1437="",G1437=""),"",E1437-G1437)</f>
        <v/>
      </c>
    </row>
    <row r="1438">
      <c r="A1438" s="10">
        <f>IF(INDEX(lst_Jobs,1425)="","",INDEX(lst_Jobs,1425)&amp;"")</f>
        <v/>
      </c>
      <c r="B1438" s="10">
        <f>IF(A1438="","",INDEX(lst_JobName,1425)&amp;"")</f>
        <v/>
      </c>
      <c r="C1438" s="11">
        <f>IF(A1438="","",SUMIFS(tbl_WIP[Amount],tbl_WIP[Job Number],A1438,tbl_WIP[Month],"&lt;"&amp;$C$4))</f>
        <v/>
      </c>
      <c r="D1438" s="11">
        <f>IF(A1438="","",SUMIFS(tbl_WIP[Amount],tbl_WIP[Job Number],A1438,tbl_WIP[Month],$C$4))</f>
        <v/>
      </c>
      <c r="E1438" s="11">
        <f>IF(A1438="","",C1438+D1438)</f>
        <v/>
      </c>
      <c r="F1438" s="10">
        <f>IF(A1438="","",IF(AND(ROUND(C1438,2)=0,ROUND(D1438,2)=0),"","yes"))</f>
        <v/>
      </c>
      <c r="G1438" s="39" t="n"/>
      <c r="H1438" s="11">
        <f>IF(OR(A1438="",G1438=""),"",E1438-G1438)</f>
        <v/>
      </c>
    </row>
    <row r="1439">
      <c r="A1439" s="10">
        <f>IF(INDEX(lst_Jobs,1426)="","",INDEX(lst_Jobs,1426)&amp;"")</f>
        <v/>
      </c>
      <c r="B1439" s="10">
        <f>IF(A1439="","",INDEX(lst_JobName,1426)&amp;"")</f>
        <v/>
      </c>
      <c r="C1439" s="11">
        <f>IF(A1439="","",SUMIFS(tbl_WIP[Amount],tbl_WIP[Job Number],A1439,tbl_WIP[Month],"&lt;"&amp;$C$4))</f>
        <v/>
      </c>
      <c r="D1439" s="11">
        <f>IF(A1439="","",SUMIFS(tbl_WIP[Amount],tbl_WIP[Job Number],A1439,tbl_WIP[Month],$C$4))</f>
        <v/>
      </c>
      <c r="E1439" s="11">
        <f>IF(A1439="","",C1439+D1439)</f>
        <v/>
      </c>
      <c r="F1439" s="10">
        <f>IF(A1439="","",IF(AND(ROUND(C1439,2)=0,ROUND(D1439,2)=0),"","yes"))</f>
        <v/>
      </c>
      <c r="G1439" s="39" t="n"/>
      <c r="H1439" s="11">
        <f>IF(OR(A1439="",G1439=""),"",E1439-G1439)</f>
        <v/>
      </c>
    </row>
    <row r="1440">
      <c r="A1440" s="10">
        <f>IF(INDEX(lst_Jobs,1427)="","",INDEX(lst_Jobs,1427)&amp;"")</f>
        <v/>
      </c>
      <c r="B1440" s="10">
        <f>IF(A1440="","",INDEX(lst_JobName,1427)&amp;"")</f>
        <v/>
      </c>
      <c r="C1440" s="11">
        <f>IF(A1440="","",SUMIFS(tbl_WIP[Amount],tbl_WIP[Job Number],A1440,tbl_WIP[Month],"&lt;"&amp;$C$4))</f>
        <v/>
      </c>
      <c r="D1440" s="11">
        <f>IF(A1440="","",SUMIFS(tbl_WIP[Amount],tbl_WIP[Job Number],A1440,tbl_WIP[Month],$C$4))</f>
        <v/>
      </c>
      <c r="E1440" s="11">
        <f>IF(A1440="","",C1440+D1440)</f>
        <v/>
      </c>
      <c r="F1440" s="10">
        <f>IF(A1440="","",IF(AND(ROUND(C1440,2)=0,ROUND(D1440,2)=0),"","yes"))</f>
        <v/>
      </c>
      <c r="G1440" s="39" t="n"/>
      <c r="H1440" s="11">
        <f>IF(OR(A1440="",G1440=""),"",E1440-G1440)</f>
        <v/>
      </c>
    </row>
    <row r="1441">
      <c r="A1441" s="10">
        <f>IF(INDEX(lst_Jobs,1428)="","",INDEX(lst_Jobs,1428)&amp;"")</f>
        <v/>
      </c>
      <c r="B1441" s="10">
        <f>IF(A1441="","",INDEX(lst_JobName,1428)&amp;"")</f>
        <v/>
      </c>
      <c r="C1441" s="11">
        <f>IF(A1441="","",SUMIFS(tbl_WIP[Amount],tbl_WIP[Job Number],A1441,tbl_WIP[Month],"&lt;"&amp;$C$4))</f>
        <v/>
      </c>
      <c r="D1441" s="11">
        <f>IF(A1441="","",SUMIFS(tbl_WIP[Amount],tbl_WIP[Job Number],A1441,tbl_WIP[Month],$C$4))</f>
        <v/>
      </c>
      <c r="E1441" s="11">
        <f>IF(A1441="","",C1441+D1441)</f>
        <v/>
      </c>
      <c r="F1441" s="10">
        <f>IF(A1441="","",IF(AND(ROUND(C1441,2)=0,ROUND(D1441,2)=0),"","yes"))</f>
        <v/>
      </c>
      <c r="G1441" s="39" t="n"/>
      <c r="H1441" s="11">
        <f>IF(OR(A1441="",G1441=""),"",E1441-G1441)</f>
        <v/>
      </c>
    </row>
    <row r="1442">
      <c r="A1442" s="10">
        <f>IF(INDEX(lst_Jobs,1429)="","",INDEX(lst_Jobs,1429)&amp;"")</f>
        <v/>
      </c>
      <c r="B1442" s="10">
        <f>IF(A1442="","",INDEX(lst_JobName,1429)&amp;"")</f>
        <v/>
      </c>
      <c r="C1442" s="11">
        <f>IF(A1442="","",SUMIFS(tbl_WIP[Amount],tbl_WIP[Job Number],A1442,tbl_WIP[Month],"&lt;"&amp;$C$4))</f>
        <v/>
      </c>
      <c r="D1442" s="11">
        <f>IF(A1442="","",SUMIFS(tbl_WIP[Amount],tbl_WIP[Job Number],A1442,tbl_WIP[Month],$C$4))</f>
        <v/>
      </c>
      <c r="E1442" s="11">
        <f>IF(A1442="","",C1442+D1442)</f>
        <v/>
      </c>
      <c r="F1442" s="10">
        <f>IF(A1442="","",IF(AND(ROUND(C1442,2)=0,ROUND(D1442,2)=0),"","yes"))</f>
        <v/>
      </c>
      <c r="G1442" s="39" t="n"/>
      <c r="H1442" s="11">
        <f>IF(OR(A1442="",G1442=""),"",E1442-G1442)</f>
        <v/>
      </c>
    </row>
    <row r="1443">
      <c r="A1443" s="10">
        <f>IF(INDEX(lst_Jobs,1430)="","",INDEX(lst_Jobs,1430)&amp;"")</f>
        <v/>
      </c>
      <c r="B1443" s="10">
        <f>IF(A1443="","",INDEX(lst_JobName,1430)&amp;"")</f>
        <v/>
      </c>
      <c r="C1443" s="11">
        <f>IF(A1443="","",SUMIFS(tbl_WIP[Amount],tbl_WIP[Job Number],A1443,tbl_WIP[Month],"&lt;"&amp;$C$4))</f>
        <v/>
      </c>
      <c r="D1443" s="11">
        <f>IF(A1443="","",SUMIFS(tbl_WIP[Amount],tbl_WIP[Job Number],A1443,tbl_WIP[Month],$C$4))</f>
        <v/>
      </c>
      <c r="E1443" s="11">
        <f>IF(A1443="","",C1443+D1443)</f>
        <v/>
      </c>
      <c r="F1443" s="10">
        <f>IF(A1443="","",IF(AND(ROUND(C1443,2)=0,ROUND(D1443,2)=0),"","yes"))</f>
        <v/>
      </c>
      <c r="G1443" s="39" t="n"/>
      <c r="H1443" s="11">
        <f>IF(OR(A1443="",G1443=""),"",E1443-G1443)</f>
        <v/>
      </c>
    </row>
    <row r="1444">
      <c r="A1444" s="10">
        <f>IF(INDEX(lst_Jobs,1431)="","",INDEX(lst_Jobs,1431)&amp;"")</f>
        <v/>
      </c>
      <c r="B1444" s="10">
        <f>IF(A1444="","",INDEX(lst_JobName,1431)&amp;"")</f>
        <v/>
      </c>
      <c r="C1444" s="11">
        <f>IF(A1444="","",SUMIFS(tbl_WIP[Amount],tbl_WIP[Job Number],A1444,tbl_WIP[Month],"&lt;"&amp;$C$4))</f>
        <v/>
      </c>
      <c r="D1444" s="11">
        <f>IF(A1444="","",SUMIFS(tbl_WIP[Amount],tbl_WIP[Job Number],A1444,tbl_WIP[Month],$C$4))</f>
        <v/>
      </c>
      <c r="E1444" s="11">
        <f>IF(A1444="","",C1444+D1444)</f>
        <v/>
      </c>
      <c r="F1444" s="10">
        <f>IF(A1444="","",IF(AND(ROUND(C1444,2)=0,ROUND(D1444,2)=0),"","yes"))</f>
        <v/>
      </c>
      <c r="G1444" s="39" t="n"/>
      <c r="H1444" s="11">
        <f>IF(OR(A1444="",G1444=""),"",E1444-G1444)</f>
        <v/>
      </c>
    </row>
    <row r="1445">
      <c r="A1445" s="10">
        <f>IF(INDEX(lst_Jobs,1432)="","",INDEX(lst_Jobs,1432)&amp;"")</f>
        <v/>
      </c>
      <c r="B1445" s="10">
        <f>IF(A1445="","",INDEX(lst_JobName,1432)&amp;"")</f>
        <v/>
      </c>
      <c r="C1445" s="11">
        <f>IF(A1445="","",SUMIFS(tbl_WIP[Amount],tbl_WIP[Job Number],A1445,tbl_WIP[Month],"&lt;"&amp;$C$4))</f>
        <v/>
      </c>
      <c r="D1445" s="11">
        <f>IF(A1445="","",SUMIFS(tbl_WIP[Amount],tbl_WIP[Job Number],A1445,tbl_WIP[Month],$C$4))</f>
        <v/>
      </c>
      <c r="E1445" s="11">
        <f>IF(A1445="","",C1445+D1445)</f>
        <v/>
      </c>
      <c r="F1445" s="10">
        <f>IF(A1445="","",IF(AND(ROUND(C1445,2)=0,ROUND(D1445,2)=0),"","yes"))</f>
        <v/>
      </c>
      <c r="G1445" s="39" t="n"/>
      <c r="H1445" s="11">
        <f>IF(OR(A1445="",G1445=""),"",E1445-G1445)</f>
        <v/>
      </c>
    </row>
    <row r="1446">
      <c r="A1446" s="10">
        <f>IF(INDEX(lst_Jobs,1433)="","",INDEX(lst_Jobs,1433)&amp;"")</f>
        <v/>
      </c>
      <c r="B1446" s="10">
        <f>IF(A1446="","",INDEX(lst_JobName,1433)&amp;"")</f>
        <v/>
      </c>
      <c r="C1446" s="11">
        <f>IF(A1446="","",SUMIFS(tbl_WIP[Amount],tbl_WIP[Job Number],A1446,tbl_WIP[Month],"&lt;"&amp;$C$4))</f>
        <v/>
      </c>
      <c r="D1446" s="11">
        <f>IF(A1446="","",SUMIFS(tbl_WIP[Amount],tbl_WIP[Job Number],A1446,tbl_WIP[Month],$C$4))</f>
        <v/>
      </c>
      <c r="E1446" s="11">
        <f>IF(A1446="","",C1446+D1446)</f>
        <v/>
      </c>
      <c r="F1446" s="10">
        <f>IF(A1446="","",IF(AND(ROUND(C1446,2)=0,ROUND(D1446,2)=0),"","yes"))</f>
        <v/>
      </c>
      <c r="G1446" s="39" t="n"/>
      <c r="H1446" s="11">
        <f>IF(OR(A1446="",G1446=""),"",E1446-G1446)</f>
        <v/>
      </c>
    </row>
    <row r="1447">
      <c r="A1447" s="10">
        <f>IF(INDEX(lst_Jobs,1434)="","",INDEX(lst_Jobs,1434)&amp;"")</f>
        <v/>
      </c>
      <c r="B1447" s="10">
        <f>IF(A1447="","",INDEX(lst_JobName,1434)&amp;"")</f>
        <v/>
      </c>
      <c r="C1447" s="11">
        <f>IF(A1447="","",SUMIFS(tbl_WIP[Amount],tbl_WIP[Job Number],A1447,tbl_WIP[Month],"&lt;"&amp;$C$4))</f>
        <v/>
      </c>
      <c r="D1447" s="11">
        <f>IF(A1447="","",SUMIFS(tbl_WIP[Amount],tbl_WIP[Job Number],A1447,tbl_WIP[Month],$C$4))</f>
        <v/>
      </c>
      <c r="E1447" s="11">
        <f>IF(A1447="","",C1447+D1447)</f>
        <v/>
      </c>
      <c r="F1447" s="10">
        <f>IF(A1447="","",IF(AND(ROUND(C1447,2)=0,ROUND(D1447,2)=0),"","yes"))</f>
        <v/>
      </c>
      <c r="G1447" s="39" t="n"/>
      <c r="H1447" s="11">
        <f>IF(OR(A1447="",G1447=""),"",E1447-G1447)</f>
        <v/>
      </c>
    </row>
    <row r="1448">
      <c r="A1448" s="10">
        <f>IF(INDEX(lst_Jobs,1435)="","",INDEX(lst_Jobs,1435)&amp;"")</f>
        <v/>
      </c>
      <c r="B1448" s="10">
        <f>IF(A1448="","",INDEX(lst_JobName,1435)&amp;"")</f>
        <v/>
      </c>
      <c r="C1448" s="11">
        <f>IF(A1448="","",SUMIFS(tbl_WIP[Amount],tbl_WIP[Job Number],A1448,tbl_WIP[Month],"&lt;"&amp;$C$4))</f>
        <v/>
      </c>
      <c r="D1448" s="11">
        <f>IF(A1448="","",SUMIFS(tbl_WIP[Amount],tbl_WIP[Job Number],A1448,tbl_WIP[Month],$C$4))</f>
        <v/>
      </c>
      <c r="E1448" s="11">
        <f>IF(A1448="","",C1448+D1448)</f>
        <v/>
      </c>
      <c r="F1448" s="10">
        <f>IF(A1448="","",IF(AND(ROUND(C1448,2)=0,ROUND(D1448,2)=0),"","yes"))</f>
        <v/>
      </c>
      <c r="G1448" s="39" t="n"/>
      <c r="H1448" s="11">
        <f>IF(OR(A1448="",G1448=""),"",E1448-G1448)</f>
        <v/>
      </c>
    </row>
    <row r="1449">
      <c r="A1449" s="10">
        <f>IF(INDEX(lst_Jobs,1436)="","",INDEX(lst_Jobs,1436)&amp;"")</f>
        <v/>
      </c>
      <c r="B1449" s="10">
        <f>IF(A1449="","",INDEX(lst_JobName,1436)&amp;"")</f>
        <v/>
      </c>
      <c r="C1449" s="11">
        <f>IF(A1449="","",SUMIFS(tbl_WIP[Amount],tbl_WIP[Job Number],A1449,tbl_WIP[Month],"&lt;"&amp;$C$4))</f>
        <v/>
      </c>
      <c r="D1449" s="11">
        <f>IF(A1449="","",SUMIFS(tbl_WIP[Amount],tbl_WIP[Job Number],A1449,tbl_WIP[Month],$C$4))</f>
        <v/>
      </c>
      <c r="E1449" s="11">
        <f>IF(A1449="","",C1449+D1449)</f>
        <v/>
      </c>
      <c r="F1449" s="10">
        <f>IF(A1449="","",IF(AND(ROUND(C1449,2)=0,ROUND(D1449,2)=0),"","yes"))</f>
        <v/>
      </c>
      <c r="G1449" s="39" t="n"/>
      <c r="H1449" s="11">
        <f>IF(OR(A1449="",G1449=""),"",E1449-G1449)</f>
        <v/>
      </c>
    </row>
    <row r="1450">
      <c r="A1450" s="10">
        <f>IF(INDEX(lst_Jobs,1437)="","",INDEX(lst_Jobs,1437)&amp;"")</f>
        <v/>
      </c>
      <c r="B1450" s="10">
        <f>IF(A1450="","",INDEX(lst_JobName,1437)&amp;"")</f>
        <v/>
      </c>
      <c r="C1450" s="11">
        <f>IF(A1450="","",SUMIFS(tbl_WIP[Amount],tbl_WIP[Job Number],A1450,tbl_WIP[Month],"&lt;"&amp;$C$4))</f>
        <v/>
      </c>
      <c r="D1450" s="11">
        <f>IF(A1450="","",SUMIFS(tbl_WIP[Amount],tbl_WIP[Job Number],A1450,tbl_WIP[Month],$C$4))</f>
        <v/>
      </c>
      <c r="E1450" s="11">
        <f>IF(A1450="","",C1450+D1450)</f>
        <v/>
      </c>
      <c r="F1450" s="10">
        <f>IF(A1450="","",IF(AND(ROUND(C1450,2)=0,ROUND(D1450,2)=0),"","yes"))</f>
        <v/>
      </c>
      <c r="G1450" s="39" t="n"/>
      <c r="H1450" s="11">
        <f>IF(OR(A1450="",G1450=""),"",E1450-G1450)</f>
        <v/>
      </c>
    </row>
    <row r="1451">
      <c r="A1451" s="10">
        <f>IF(INDEX(lst_Jobs,1438)="","",INDEX(lst_Jobs,1438)&amp;"")</f>
        <v/>
      </c>
      <c r="B1451" s="10">
        <f>IF(A1451="","",INDEX(lst_JobName,1438)&amp;"")</f>
        <v/>
      </c>
      <c r="C1451" s="11">
        <f>IF(A1451="","",SUMIFS(tbl_WIP[Amount],tbl_WIP[Job Number],A1451,tbl_WIP[Month],"&lt;"&amp;$C$4))</f>
        <v/>
      </c>
      <c r="D1451" s="11">
        <f>IF(A1451="","",SUMIFS(tbl_WIP[Amount],tbl_WIP[Job Number],A1451,tbl_WIP[Month],$C$4))</f>
        <v/>
      </c>
      <c r="E1451" s="11">
        <f>IF(A1451="","",C1451+D1451)</f>
        <v/>
      </c>
      <c r="F1451" s="10">
        <f>IF(A1451="","",IF(AND(ROUND(C1451,2)=0,ROUND(D1451,2)=0),"","yes"))</f>
        <v/>
      </c>
      <c r="G1451" s="39" t="n"/>
      <c r="H1451" s="11">
        <f>IF(OR(A1451="",G1451=""),"",E1451-G1451)</f>
        <v/>
      </c>
    </row>
    <row r="1452">
      <c r="A1452" s="10">
        <f>IF(INDEX(lst_Jobs,1439)="","",INDEX(lst_Jobs,1439)&amp;"")</f>
        <v/>
      </c>
      <c r="B1452" s="10">
        <f>IF(A1452="","",INDEX(lst_JobName,1439)&amp;"")</f>
        <v/>
      </c>
      <c r="C1452" s="11">
        <f>IF(A1452="","",SUMIFS(tbl_WIP[Amount],tbl_WIP[Job Number],A1452,tbl_WIP[Month],"&lt;"&amp;$C$4))</f>
        <v/>
      </c>
      <c r="D1452" s="11">
        <f>IF(A1452="","",SUMIFS(tbl_WIP[Amount],tbl_WIP[Job Number],A1452,tbl_WIP[Month],$C$4))</f>
        <v/>
      </c>
      <c r="E1452" s="11">
        <f>IF(A1452="","",C1452+D1452)</f>
        <v/>
      </c>
      <c r="F1452" s="10">
        <f>IF(A1452="","",IF(AND(ROUND(C1452,2)=0,ROUND(D1452,2)=0),"","yes"))</f>
        <v/>
      </c>
      <c r="G1452" s="39" t="n"/>
      <c r="H1452" s="11">
        <f>IF(OR(A1452="",G1452=""),"",E1452-G1452)</f>
        <v/>
      </c>
    </row>
    <row r="1453">
      <c r="A1453" s="10">
        <f>IF(INDEX(lst_Jobs,1440)="","",INDEX(lst_Jobs,1440)&amp;"")</f>
        <v/>
      </c>
      <c r="B1453" s="10">
        <f>IF(A1453="","",INDEX(lst_JobName,1440)&amp;"")</f>
        <v/>
      </c>
      <c r="C1453" s="11">
        <f>IF(A1453="","",SUMIFS(tbl_WIP[Amount],tbl_WIP[Job Number],A1453,tbl_WIP[Month],"&lt;"&amp;$C$4))</f>
        <v/>
      </c>
      <c r="D1453" s="11">
        <f>IF(A1453="","",SUMIFS(tbl_WIP[Amount],tbl_WIP[Job Number],A1453,tbl_WIP[Month],$C$4))</f>
        <v/>
      </c>
      <c r="E1453" s="11">
        <f>IF(A1453="","",C1453+D1453)</f>
        <v/>
      </c>
      <c r="F1453" s="10">
        <f>IF(A1453="","",IF(AND(ROUND(C1453,2)=0,ROUND(D1453,2)=0),"","yes"))</f>
        <v/>
      </c>
      <c r="G1453" s="39" t="n"/>
      <c r="H1453" s="11">
        <f>IF(OR(A1453="",G1453=""),"",E1453-G1453)</f>
        <v/>
      </c>
    </row>
    <row r="1454">
      <c r="A1454" s="10">
        <f>IF(INDEX(lst_Jobs,1441)="","",INDEX(lst_Jobs,1441)&amp;"")</f>
        <v/>
      </c>
      <c r="B1454" s="10">
        <f>IF(A1454="","",INDEX(lst_JobName,1441)&amp;"")</f>
        <v/>
      </c>
      <c r="C1454" s="11">
        <f>IF(A1454="","",SUMIFS(tbl_WIP[Amount],tbl_WIP[Job Number],A1454,tbl_WIP[Month],"&lt;"&amp;$C$4))</f>
        <v/>
      </c>
      <c r="D1454" s="11">
        <f>IF(A1454="","",SUMIFS(tbl_WIP[Amount],tbl_WIP[Job Number],A1454,tbl_WIP[Month],$C$4))</f>
        <v/>
      </c>
      <c r="E1454" s="11">
        <f>IF(A1454="","",C1454+D1454)</f>
        <v/>
      </c>
      <c r="F1454" s="10">
        <f>IF(A1454="","",IF(AND(ROUND(C1454,2)=0,ROUND(D1454,2)=0),"","yes"))</f>
        <v/>
      </c>
      <c r="G1454" s="39" t="n"/>
      <c r="H1454" s="11">
        <f>IF(OR(A1454="",G1454=""),"",E1454-G1454)</f>
        <v/>
      </c>
    </row>
    <row r="1455">
      <c r="A1455" s="10">
        <f>IF(INDEX(lst_Jobs,1442)="","",INDEX(lst_Jobs,1442)&amp;"")</f>
        <v/>
      </c>
      <c r="B1455" s="10">
        <f>IF(A1455="","",INDEX(lst_JobName,1442)&amp;"")</f>
        <v/>
      </c>
      <c r="C1455" s="11">
        <f>IF(A1455="","",SUMIFS(tbl_WIP[Amount],tbl_WIP[Job Number],A1455,tbl_WIP[Month],"&lt;"&amp;$C$4))</f>
        <v/>
      </c>
      <c r="D1455" s="11">
        <f>IF(A1455="","",SUMIFS(tbl_WIP[Amount],tbl_WIP[Job Number],A1455,tbl_WIP[Month],$C$4))</f>
        <v/>
      </c>
      <c r="E1455" s="11">
        <f>IF(A1455="","",C1455+D1455)</f>
        <v/>
      </c>
      <c r="F1455" s="10">
        <f>IF(A1455="","",IF(AND(ROUND(C1455,2)=0,ROUND(D1455,2)=0),"","yes"))</f>
        <v/>
      </c>
      <c r="G1455" s="39" t="n"/>
      <c r="H1455" s="11">
        <f>IF(OR(A1455="",G1455=""),"",E1455-G1455)</f>
        <v/>
      </c>
    </row>
    <row r="1456">
      <c r="A1456" s="10">
        <f>IF(INDEX(lst_Jobs,1443)="","",INDEX(lst_Jobs,1443)&amp;"")</f>
        <v/>
      </c>
      <c r="B1456" s="10">
        <f>IF(A1456="","",INDEX(lst_JobName,1443)&amp;"")</f>
        <v/>
      </c>
      <c r="C1456" s="11">
        <f>IF(A1456="","",SUMIFS(tbl_WIP[Amount],tbl_WIP[Job Number],A1456,tbl_WIP[Month],"&lt;"&amp;$C$4))</f>
        <v/>
      </c>
      <c r="D1456" s="11">
        <f>IF(A1456="","",SUMIFS(tbl_WIP[Amount],tbl_WIP[Job Number],A1456,tbl_WIP[Month],$C$4))</f>
        <v/>
      </c>
      <c r="E1456" s="11">
        <f>IF(A1456="","",C1456+D1456)</f>
        <v/>
      </c>
      <c r="F1456" s="10">
        <f>IF(A1456="","",IF(AND(ROUND(C1456,2)=0,ROUND(D1456,2)=0),"","yes"))</f>
        <v/>
      </c>
      <c r="G1456" s="39" t="n"/>
      <c r="H1456" s="11">
        <f>IF(OR(A1456="",G1456=""),"",E1456-G1456)</f>
        <v/>
      </c>
    </row>
    <row r="1457">
      <c r="A1457" s="10">
        <f>IF(INDEX(lst_Jobs,1444)="","",INDEX(lst_Jobs,1444)&amp;"")</f>
        <v/>
      </c>
      <c r="B1457" s="10">
        <f>IF(A1457="","",INDEX(lst_JobName,1444)&amp;"")</f>
        <v/>
      </c>
      <c r="C1457" s="11">
        <f>IF(A1457="","",SUMIFS(tbl_WIP[Amount],tbl_WIP[Job Number],A1457,tbl_WIP[Month],"&lt;"&amp;$C$4))</f>
        <v/>
      </c>
      <c r="D1457" s="11">
        <f>IF(A1457="","",SUMIFS(tbl_WIP[Amount],tbl_WIP[Job Number],A1457,tbl_WIP[Month],$C$4))</f>
        <v/>
      </c>
      <c r="E1457" s="11">
        <f>IF(A1457="","",C1457+D1457)</f>
        <v/>
      </c>
      <c r="F1457" s="10">
        <f>IF(A1457="","",IF(AND(ROUND(C1457,2)=0,ROUND(D1457,2)=0),"","yes"))</f>
        <v/>
      </c>
      <c r="G1457" s="39" t="n"/>
      <c r="H1457" s="11">
        <f>IF(OR(A1457="",G1457=""),"",E1457-G1457)</f>
        <v/>
      </c>
    </row>
    <row r="1458">
      <c r="A1458" s="10">
        <f>IF(INDEX(lst_Jobs,1445)="","",INDEX(lst_Jobs,1445)&amp;"")</f>
        <v/>
      </c>
      <c r="B1458" s="10">
        <f>IF(A1458="","",INDEX(lst_JobName,1445)&amp;"")</f>
        <v/>
      </c>
      <c r="C1458" s="11">
        <f>IF(A1458="","",SUMIFS(tbl_WIP[Amount],tbl_WIP[Job Number],A1458,tbl_WIP[Month],"&lt;"&amp;$C$4))</f>
        <v/>
      </c>
      <c r="D1458" s="11">
        <f>IF(A1458="","",SUMIFS(tbl_WIP[Amount],tbl_WIP[Job Number],A1458,tbl_WIP[Month],$C$4))</f>
        <v/>
      </c>
      <c r="E1458" s="11">
        <f>IF(A1458="","",C1458+D1458)</f>
        <v/>
      </c>
      <c r="F1458" s="10">
        <f>IF(A1458="","",IF(AND(ROUND(C1458,2)=0,ROUND(D1458,2)=0),"","yes"))</f>
        <v/>
      </c>
      <c r="G1458" s="39" t="n"/>
      <c r="H1458" s="11">
        <f>IF(OR(A1458="",G1458=""),"",E1458-G1458)</f>
        <v/>
      </c>
    </row>
    <row r="1459">
      <c r="A1459" s="10">
        <f>IF(INDEX(lst_Jobs,1446)="","",INDEX(lst_Jobs,1446)&amp;"")</f>
        <v/>
      </c>
      <c r="B1459" s="10">
        <f>IF(A1459="","",INDEX(lst_JobName,1446)&amp;"")</f>
        <v/>
      </c>
      <c r="C1459" s="11">
        <f>IF(A1459="","",SUMIFS(tbl_WIP[Amount],tbl_WIP[Job Number],A1459,tbl_WIP[Month],"&lt;"&amp;$C$4))</f>
        <v/>
      </c>
      <c r="D1459" s="11">
        <f>IF(A1459="","",SUMIFS(tbl_WIP[Amount],tbl_WIP[Job Number],A1459,tbl_WIP[Month],$C$4))</f>
        <v/>
      </c>
      <c r="E1459" s="11">
        <f>IF(A1459="","",C1459+D1459)</f>
        <v/>
      </c>
      <c r="F1459" s="10">
        <f>IF(A1459="","",IF(AND(ROUND(C1459,2)=0,ROUND(D1459,2)=0),"","yes"))</f>
        <v/>
      </c>
      <c r="G1459" s="39" t="n"/>
      <c r="H1459" s="11">
        <f>IF(OR(A1459="",G1459=""),"",E1459-G1459)</f>
        <v/>
      </c>
    </row>
    <row r="1460">
      <c r="A1460" s="10">
        <f>IF(INDEX(lst_Jobs,1447)="","",INDEX(lst_Jobs,1447)&amp;"")</f>
        <v/>
      </c>
      <c r="B1460" s="10">
        <f>IF(A1460="","",INDEX(lst_JobName,1447)&amp;"")</f>
        <v/>
      </c>
      <c r="C1460" s="11">
        <f>IF(A1460="","",SUMIFS(tbl_WIP[Amount],tbl_WIP[Job Number],A1460,tbl_WIP[Month],"&lt;"&amp;$C$4))</f>
        <v/>
      </c>
      <c r="D1460" s="11">
        <f>IF(A1460="","",SUMIFS(tbl_WIP[Amount],tbl_WIP[Job Number],A1460,tbl_WIP[Month],$C$4))</f>
        <v/>
      </c>
      <c r="E1460" s="11">
        <f>IF(A1460="","",C1460+D1460)</f>
        <v/>
      </c>
      <c r="F1460" s="10">
        <f>IF(A1460="","",IF(AND(ROUND(C1460,2)=0,ROUND(D1460,2)=0),"","yes"))</f>
        <v/>
      </c>
      <c r="G1460" s="39" t="n"/>
      <c r="H1460" s="11">
        <f>IF(OR(A1460="",G1460=""),"",E1460-G1460)</f>
        <v/>
      </c>
    </row>
    <row r="1461">
      <c r="A1461" s="10">
        <f>IF(INDEX(lst_Jobs,1448)="","",INDEX(lst_Jobs,1448)&amp;"")</f>
        <v/>
      </c>
      <c r="B1461" s="10">
        <f>IF(A1461="","",INDEX(lst_JobName,1448)&amp;"")</f>
        <v/>
      </c>
      <c r="C1461" s="11">
        <f>IF(A1461="","",SUMIFS(tbl_WIP[Amount],tbl_WIP[Job Number],A1461,tbl_WIP[Month],"&lt;"&amp;$C$4))</f>
        <v/>
      </c>
      <c r="D1461" s="11">
        <f>IF(A1461="","",SUMIFS(tbl_WIP[Amount],tbl_WIP[Job Number],A1461,tbl_WIP[Month],$C$4))</f>
        <v/>
      </c>
      <c r="E1461" s="11">
        <f>IF(A1461="","",C1461+D1461)</f>
        <v/>
      </c>
      <c r="F1461" s="10">
        <f>IF(A1461="","",IF(AND(ROUND(C1461,2)=0,ROUND(D1461,2)=0),"","yes"))</f>
        <v/>
      </c>
      <c r="G1461" s="39" t="n"/>
      <c r="H1461" s="11">
        <f>IF(OR(A1461="",G1461=""),"",E1461-G1461)</f>
        <v/>
      </c>
    </row>
    <row r="1462">
      <c r="A1462" s="10">
        <f>IF(INDEX(lst_Jobs,1449)="","",INDEX(lst_Jobs,1449)&amp;"")</f>
        <v/>
      </c>
      <c r="B1462" s="10">
        <f>IF(A1462="","",INDEX(lst_JobName,1449)&amp;"")</f>
        <v/>
      </c>
      <c r="C1462" s="11">
        <f>IF(A1462="","",SUMIFS(tbl_WIP[Amount],tbl_WIP[Job Number],A1462,tbl_WIP[Month],"&lt;"&amp;$C$4))</f>
        <v/>
      </c>
      <c r="D1462" s="11">
        <f>IF(A1462="","",SUMIFS(tbl_WIP[Amount],tbl_WIP[Job Number],A1462,tbl_WIP[Month],$C$4))</f>
        <v/>
      </c>
      <c r="E1462" s="11">
        <f>IF(A1462="","",C1462+D1462)</f>
        <v/>
      </c>
      <c r="F1462" s="10">
        <f>IF(A1462="","",IF(AND(ROUND(C1462,2)=0,ROUND(D1462,2)=0),"","yes"))</f>
        <v/>
      </c>
      <c r="G1462" s="39" t="n"/>
      <c r="H1462" s="11">
        <f>IF(OR(A1462="",G1462=""),"",E1462-G1462)</f>
        <v/>
      </c>
    </row>
    <row r="1463">
      <c r="A1463" s="10">
        <f>IF(INDEX(lst_Jobs,1450)="","",INDEX(lst_Jobs,1450)&amp;"")</f>
        <v/>
      </c>
      <c r="B1463" s="10">
        <f>IF(A1463="","",INDEX(lst_JobName,1450)&amp;"")</f>
        <v/>
      </c>
      <c r="C1463" s="11">
        <f>IF(A1463="","",SUMIFS(tbl_WIP[Amount],tbl_WIP[Job Number],A1463,tbl_WIP[Month],"&lt;"&amp;$C$4))</f>
        <v/>
      </c>
      <c r="D1463" s="11">
        <f>IF(A1463="","",SUMIFS(tbl_WIP[Amount],tbl_WIP[Job Number],A1463,tbl_WIP[Month],$C$4))</f>
        <v/>
      </c>
      <c r="E1463" s="11">
        <f>IF(A1463="","",C1463+D1463)</f>
        <v/>
      </c>
      <c r="F1463" s="10">
        <f>IF(A1463="","",IF(AND(ROUND(C1463,2)=0,ROUND(D1463,2)=0),"","yes"))</f>
        <v/>
      </c>
      <c r="G1463" s="39" t="n"/>
      <c r="H1463" s="11">
        <f>IF(OR(A1463="",G1463=""),"",E1463-G1463)</f>
        <v/>
      </c>
    </row>
    <row r="1464">
      <c r="A1464" s="10">
        <f>IF(INDEX(lst_Jobs,1451)="","",INDEX(lst_Jobs,1451)&amp;"")</f>
        <v/>
      </c>
      <c r="B1464" s="10">
        <f>IF(A1464="","",INDEX(lst_JobName,1451)&amp;"")</f>
        <v/>
      </c>
      <c r="C1464" s="11">
        <f>IF(A1464="","",SUMIFS(tbl_WIP[Amount],tbl_WIP[Job Number],A1464,tbl_WIP[Month],"&lt;"&amp;$C$4))</f>
        <v/>
      </c>
      <c r="D1464" s="11">
        <f>IF(A1464="","",SUMIFS(tbl_WIP[Amount],tbl_WIP[Job Number],A1464,tbl_WIP[Month],$C$4))</f>
        <v/>
      </c>
      <c r="E1464" s="11">
        <f>IF(A1464="","",C1464+D1464)</f>
        <v/>
      </c>
      <c r="F1464" s="10">
        <f>IF(A1464="","",IF(AND(ROUND(C1464,2)=0,ROUND(D1464,2)=0),"","yes"))</f>
        <v/>
      </c>
      <c r="G1464" s="39" t="n"/>
      <c r="H1464" s="11">
        <f>IF(OR(A1464="",G1464=""),"",E1464-G1464)</f>
        <v/>
      </c>
    </row>
    <row r="1465">
      <c r="A1465" s="10">
        <f>IF(INDEX(lst_Jobs,1452)="","",INDEX(lst_Jobs,1452)&amp;"")</f>
        <v/>
      </c>
      <c r="B1465" s="10">
        <f>IF(A1465="","",INDEX(lst_JobName,1452)&amp;"")</f>
        <v/>
      </c>
      <c r="C1465" s="11">
        <f>IF(A1465="","",SUMIFS(tbl_WIP[Amount],tbl_WIP[Job Number],A1465,tbl_WIP[Month],"&lt;"&amp;$C$4))</f>
        <v/>
      </c>
      <c r="D1465" s="11">
        <f>IF(A1465="","",SUMIFS(tbl_WIP[Amount],tbl_WIP[Job Number],A1465,tbl_WIP[Month],$C$4))</f>
        <v/>
      </c>
      <c r="E1465" s="11">
        <f>IF(A1465="","",C1465+D1465)</f>
        <v/>
      </c>
      <c r="F1465" s="10">
        <f>IF(A1465="","",IF(AND(ROUND(C1465,2)=0,ROUND(D1465,2)=0),"","yes"))</f>
        <v/>
      </c>
      <c r="G1465" s="39" t="n"/>
      <c r="H1465" s="11">
        <f>IF(OR(A1465="",G1465=""),"",E1465-G1465)</f>
        <v/>
      </c>
    </row>
    <row r="1466">
      <c r="A1466" s="10">
        <f>IF(INDEX(lst_Jobs,1453)="","",INDEX(lst_Jobs,1453)&amp;"")</f>
        <v/>
      </c>
      <c r="B1466" s="10">
        <f>IF(A1466="","",INDEX(lst_JobName,1453)&amp;"")</f>
        <v/>
      </c>
      <c r="C1466" s="11">
        <f>IF(A1466="","",SUMIFS(tbl_WIP[Amount],tbl_WIP[Job Number],A1466,tbl_WIP[Month],"&lt;"&amp;$C$4))</f>
        <v/>
      </c>
      <c r="D1466" s="11">
        <f>IF(A1466="","",SUMIFS(tbl_WIP[Amount],tbl_WIP[Job Number],A1466,tbl_WIP[Month],$C$4))</f>
        <v/>
      </c>
      <c r="E1466" s="11">
        <f>IF(A1466="","",C1466+D1466)</f>
        <v/>
      </c>
      <c r="F1466" s="10">
        <f>IF(A1466="","",IF(AND(ROUND(C1466,2)=0,ROUND(D1466,2)=0),"","yes"))</f>
        <v/>
      </c>
      <c r="G1466" s="39" t="n"/>
      <c r="H1466" s="11">
        <f>IF(OR(A1466="",G1466=""),"",E1466-G1466)</f>
        <v/>
      </c>
    </row>
    <row r="1467">
      <c r="A1467" s="10">
        <f>IF(INDEX(lst_Jobs,1454)="","",INDEX(lst_Jobs,1454)&amp;"")</f>
        <v/>
      </c>
      <c r="B1467" s="10">
        <f>IF(A1467="","",INDEX(lst_JobName,1454)&amp;"")</f>
        <v/>
      </c>
      <c r="C1467" s="11">
        <f>IF(A1467="","",SUMIFS(tbl_WIP[Amount],tbl_WIP[Job Number],A1467,tbl_WIP[Month],"&lt;"&amp;$C$4))</f>
        <v/>
      </c>
      <c r="D1467" s="11">
        <f>IF(A1467="","",SUMIFS(tbl_WIP[Amount],tbl_WIP[Job Number],A1467,tbl_WIP[Month],$C$4))</f>
        <v/>
      </c>
      <c r="E1467" s="11">
        <f>IF(A1467="","",C1467+D1467)</f>
        <v/>
      </c>
      <c r="F1467" s="10">
        <f>IF(A1467="","",IF(AND(ROUND(C1467,2)=0,ROUND(D1467,2)=0),"","yes"))</f>
        <v/>
      </c>
      <c r="G1467" s="39" t="n"/>
      <c r="H1467" s="11">
        <f>IF(OR(A1467="",G1467=""),"",E1467-G1467)</f>
        <v/>
      </c>
    </row>
    <row r="1468">
      <c r="A1468" s="10">
        <f>IF(INDEX(lst_Jobs,1455)="","",INDEX(lst_Jobs,1455)&amp;"")</f>
        <v/>
      </c>
      <c r="B1468" s="10">
        <f>IF(A1468="","",INDEX(lst_JobName,1455)&amp;"")</f>
        <v/>
      </c>
      <c r="C1468" s="11">
        <f>IF(A1468="","",SUMIFS(tbl_WIP[Amount],tbl_WIP[Job Number],A1468,tbl_WIP[Month],"&lt;"&amp;$C$4))</f>
        <v/>
      </c>
      <c r="D1468" s="11">
        <f>IF(A1468="","",SUMIFS(tbl_WIP[Amount],tbl_WIP[Job Number],A1468,tbl_WIP[Month],$C$4))</f>
        <v/>
      </c>
      <c r="E1468" s="11">
        <f>IF(A1468="","",C1468+D1468)</f>
        <v/>
      </c>
      <c r="F1468" s="10">
        <f>IF(A1468="","",IF(AND(ROUND(C1468,2)=0,ROUND(D1468,2)=0),"","yes"))</f>
        <v/>
      </c>
      <c r="G1468" s="39" t="n"/>
      <c r="H1468" s="11">
        <f>IF(OR(A1468="",G1468=""),"",E1468-G1468)</f>
        <v/>
      </c>
    </row>
    <row r="1469">
      <c r="A1469" s="10">
        <f>IF(INDEX(lst_Jobs,1456)="","",INDEX(lst_Jobs,1456)&amp;"")</f>
        <v/>
      </c>
      <c r="B1469" s="10">
        <f>IF(A1469="","",INDEX(lst_JobName,1456)&amp;"")</f>
        <v/>
      </c>
      <c r="C1469" s="11">
        <f>IF(A1469="","",SUMIFS(tbl_WIP[Amount],tbl_WIP[Job Number],A1469,tbl_WIP[Month],"&lt;"&amp;$C$4))</f>
        <v/>
      </c>
      <c r="D1469" s="11">
        <f>IF(A1469="","",SUMIFS(tbl_WIP[Amount],tbl_WIP[Job Number],A1469,tbl_WIP[Month],$C$4))</f>
        <v/>
      </c>
      <c r="E1469" s="11">
        <f>IF(A1469="","",C1469+D1469)</f>
        <v/>
      </c>
      <c r="F1469" s="10">
        <f>IF(A1469="","",IF(AND(ROUND(C1469,2)=0,ROUND(D1469,2)=0),"","yes"))</f>
        <v/>
      </c>
      <c r="G1469" s="39" t="n"/>
      <c r="H1469" s="11">
        <f>IF(OR(A1469="",G1469=""),"",E1469-G1469)</f>
        <v/>
      </c>
    </row>
    <row r="1470">
      <c r="A1470" s="10">
        <f>IF(INDEX(lst_Jobs,1457)="","",INDEX(lst_Jobs,1457)&amp;"")</f>
        <v/>
      </c>
      <c r="B1470" s="10">
        <f>IF(A1470="","",INDEX(lst_JobName,1457)&amp;"")</f>
        <v/>
      </c>
      <c r="C1470" s="11">
        <f>IF(A1470="","",SUMIFS(tbl_WIP[Amount],tbl_WIP[Job Number],A1470,tbl_WIP[Month],"&lt;"&amp;$C$4))</f>
        <v/>
      </c>
      <c r="D1470" s="11">
        <f>IF(A1470="","",SUMIFS(tbl_WIP[Amount],tbl_WIP[Job Number],A1470,tbl_WIP[Month],$C$4))</f>
        <v/>
      </c>
      <c r="E1470" s="11">
        <f>IF(A1470="","",C1470+D1470)</f>
        <v/>
      </c>
      <c r="F1470" s="10">
        <f>IF(A1470="","",IF(AND(ROUND(C1470,2)=0,ROUND(D1470,2)=0),"","yes"))</f>
        <v/>
      </c>
      <c r="G1470" s="39" t="n"/>
      <c r="H1470" s="11">
        <f>IF(OR(A1470="",G1470=""),"",E1470-G1470)</f>
        <v/>
      </c>
    </row>
    <row r="1471">
      <c r="A1471" s="10">
        <f>IF(INDEX(lst_Jobs,1458)="","",INDEX(lst_Jobs,1458)&amp;"")</f>
        <v/>
      </c>
      <c r="B1471" s="10">
        <f>IF(A1471="","",INDEX(lst_JobName,1458)&amp;"")</f>
        <v/>
      </c>
      <c r="C1471" s="11">
        <f>IF(A1471="","",SUMIFS(tbl_WIP[Amount],tbl_WIP[Job Number],A1471,tbl_WIP[Month],"&lt;"&amp;$C$4))</f>
        <v/>
      </c>
      <c r="D1471" s="11">
        <f>IF(A1471="","",SUMIFS(tbl_WIP[Amount],tbl_WIP[Job Number],A1471,tbl_WIP[Month],$C$4))</f>
        <v/>
      </c>
      <c r="E1471" s="11">
        <f>IF(A1471="","",C1471+D1471)</f>
        <v/>
      </c>
      <c r="F1471" s="10">
        <f>IF(A1471="","",IF(AND(ROUND(C1471,2)=0,ROUND(D1471,2)=0),"","yes"))</f>
        <v/>
      </c>
      <c r="G1471" s="39" t="n"/>
      <c r="H1471" s="11">
        <f>IF(OR(A1471="",G1471=""),"",E1471-G1471)</f>
        <v/>
      </c>
    </row>
    <row r="1472">
      <c r="A1472" s="10">
        <f>IF(INDEX(lst_Jobs,1459)="","",INDEX(lst_Jobs,1459)&amp;"")</f>
        <v/>
      </c>
      <c r="B1472" s="10">
        <f>IF(A1472="","",INDEX(lst_JobName,1459)&amp;"")</f>
        <v/>
      </c>
      <c r="C1472" s="11">
        <f>IF(A1472="","",SUMIFS(tbl_WIP[Amount],tbl_WIP[Job Number],A1472,tbl_WIP[Month],"&lt;"&amp;$C$4))</f>
        <v/>
      </c>
      <c r="D1472" s="11">
        <f>IF(A1472="","",SUMIFS(tbl_WIP[Amount],tbl_WIP[Job Number],A1472,tbl_WIP[Month],$C$4))</f>
        <v/>
      </c>
      <c r="E1472" s="11">
        <f>IF(A1472="","",C1472+D1472)</f>
        <v/>
      </c>
      <c r="F1472" s="10">
        <f>IF(A1472="","",IF(AND(ROUND(C1472,2)=0,ROUND(D1472,2)=0),"","yes"))</f>
        <v/>
      </c>
      <c r="G1472" s="39" t="n"/>
      <c r="H1472" s="11">
        <f>IF(OR(A1472="",G1472=""),"",E1472-G1472)</f>
        <v/>
      </c>
    </row>
    <row r="1473">
      <c r="A1473" s="10">
        <f>IF(INDEX(lst_Jobs,1460)="","",INDEX(lst_Jobs,1460)&amp;"")</f>
        <v/>
      </c>
      <c r="B1473" s="10">
        <f>IF(A1473="","",INDEX(lst_JobName,1460)&amp;"")</f>
        <v/>
      </c>
      <c r="C1473" s="11">
        <f>IF(A1473="","",SUMIFS(tbl_WIP[Amount],tbl_WIP[Job Number],A1473,tbl_WIP[Month],"&lt;"&amp;$C$4))</f>
        <v/>
      </c>
      <c r="D1473" s="11">
        <f>IF(A1473="","",SUMIFS(tbl_WIP[Amount],tbl_WIP[Job Number],A1473,tbl_WIP[Month],$C$4))</f>
        <v/>
      </c>
      <c r="E1473" s="11">
        <f>IF(A1473="","",C1473+D1473)</f>
        <v/>
      </c>
      <c r="F1473" s="10">
        <f>IF(A1473="","",IF(AND(ROUND(C1473,2)=0,ROUND(D1473,2)=0),"","yes"))</f>
        <v/>
      </c>
      <c r="G1473" s="39" t="n"/>
      <c r="H1473" s="11">
        <f>IF(OR(A1473="",G1473=""),"",E1473-G1473)</f>
        <v/>
      </c>
    </row>
    <row r="1474">
      <c r="A1474" s="10">
        <f>IF(INDEX(lst_Jobs,1461)="","",INDEX(lst_Jobs,1461)&amp;"")</f>
        <v/>
      </c>
      <c r="B1474" s="10">
        <f>IF(A1474="","",INDEX(lst_JobName,1461)&amp;"")</f>
        <v/>
      </c>
      <c r="C1474" s="11">
        <f>IF(A1474="","",SUMIFS(tbl_WIP[Amount],tbl_WIP[Job Number],A1474,tbl_WIP[Month],"&lt;"&amp;$C$4))</f>
        <v/>
      </c>
      <c r="D1474" s="11">
        <f>IF(A1474="","",SUMIFS(tbl_WIP[Amount],tbl_WIP[Job Number],A1474,tbl_WIP[Month],$C$4))</f>
        <v/>
      </c>
      <c r="E1474" s="11">
        <f>IF(A1474="","",C1474+D1474)</f>
        <v/>
      </c>
      <c r="F1474" s="10">
        <f>IF(A1474="","",IF(AND(ROUND(C1474,2)=0,ROUND(D1474,2)=0),"","yes"))</f>
        <v/>
      </c>
      <c r="G1474" s="39" t="n"/>
      <c r="H1474" s="11">
        <f>IF(OR(A1474="",G1474=""),"",E1474-G1474)</f>
        <v/>
      </c>
    </row>
    <row r="1475">
      <c r="A1475" s="10">
        <f>IF(INDEX(lst_Jobs,1462)="","",INDEX(lst_Jobs,1462)&amp;"")</f>
        <v/>
      </c>
      <c r="B1475" s="10">
        <f>IF(A1475="","",INDEX(lst_JobName,1462)&amp;"")</f>
        <v/>
      </c>
      <c r="C1475" s="11">
        <f>IF(A1475="","",SUMIFS(tbl_WIP[Amount],tbl_WIP[Job Number],A1475,tbl_WIP[Month],"&lt;"&amp;$C$4))</f>
        <v/>
      </c>
      <c r="D1475" s="11">
        <f>IF(A1475="","",SUMIFS(tbl_WIP[Amount],tbl_WIP[Job Number],A1475,tbl_WIP[Month],$C$4))</f>
        <v/>
      </c>
      <c r="E1475" s="11">
        <f>IF(A1475="","",C1475+D1475)</f>
        <v/>
      </c>
      <c r="F1475" s="10">
        <f>IF(A1475="","",IF(AND(ROUND(C1475,2)=0,ROUND(D1475,2)=0),"","yes"))</f>
        <v/>
      </c>
      <c r="G1475" s="39" t="n"/>
      <c r="H1475" s="11">
        <f>IF(OR(A1475="",G1475=""),"",E1475-G1475)</f>
        <v/>
      </c>
    </row>
    <row r="1476">
      <c r="A1476" s="10">
        <f>IF(INDEX(lst_Jobs,1463)="","",INDEX(lst_Jobs,1463)&amp;"")</f>
        <v/>
      </c>
      <c r="B1476" s="10">
        <f>IF(A1476="","",INDEX(lst_JobName,1463)&amp;"")</f>
        <v/>
      </c>
      <c r="C1476" s="11">
        <f>IF(A1476="","",SUMIFS(tbl_WIP[Amount],tbl_WIP[Job Number],A1476,tbl_WIP[Month],"&lt;"&amp;$C$4))</f>
        <v/>
      </c>
      <c r="D1476" s="11">
        <f>IF(A1476="","",SUMIFS(tbl_WIP[Amount],tbl_WIP[Job Number],A1476,tbl_WIP[Month],$C$4))</f>
        <v/>
      </c>
      <c r="E1476" s="11">
        <f>IF(A1476="","",C1476+D1476)</f>
        <v/>
      </c>
      <c r="F1476" s="10">
        <f>IF(A1476="","",IF(AND(ROUND(C1476,2)=0,ROUND(D1476,2)=0),"","yes"))</f>
        <v/>
      </c>
      <c r="G1476" s="39" t="n"/>
      <c r="H1476" s="11">
        <f>IF(OR(A1476="",G1476=""),"",E1476-G1476)</f>
        <v/>
      </c>
    </row>
    <row r="1477">
      <c r="A1477" s="10">
        <f>IF(INDEX(lst_Jobs,1464)="","",INDEX(lst_Jobs,1464)&amp;"")</f>
        <v/>
      </c>
      <c r="B1477" s="10">
        <f>IF(A1477="","",INDEX(lst_JobName,1464)&amp;"")</f>
        <v/>
      </c>
      <c r="C1477" s="11">
        <f>IF(A1477="","",SUMIFS(tbl_WIP[Amount],tbl_WIP[Job Number],A1477,tbl_WIP[Month],"&lt;"&amp;$C$4))</f>
        <v/>
      </c>
      <c r="D1477" s="11">
        <f>IF(A1477="","",SUMIFS(tbl_WIP[Amount],tbl_WIP[Job Number],A1477,tbl_WIP[Month],$C$4))</f>
        <v/>
      </c>
      <c r="E1477" s="11">
        <f>IF(A1477="","",C1477+D1477)</f>
        <v/>
      </c>
      <c r="F1477" s="10">
        <f>IF(A1477="","",IF(AND(ROUND(C1477,2)=0,ROUND(D1477,2)=0),"","yes"))</f>
        <v/>
      </c>
      <c r="G1477" s="39" t="n"/>
      <c r="H1477" s="11">
        <f>IF(OR(A1477="",G1477=""),"",E1477-G1477)</f>
        <v/>
      </c>
    </row>
    <row r="1478">
      <c r="A1478" s="10">
        <f>IF(INDEX(lst_Jobs,1465)="","",INDEX(lst_Jobs,1465)&amp;"")</f>
        <v/>
      </c>
      <c r="B1478" s="10">
        <f>IF(A1478="","",INDEX(lst_JobName,1465)&amp;"")</f>
        <v/>
      </c>
      <c r="C1478" s="11">
        <f>IF(A1478="","",SUMIFS(tbl_WIP[Amount],tbl_WIP[Job Number],A1478,tbl_WIP[Month],"&lt;"&amp;$C$4))</f>
        <v/>
      </c>
      <c r="D1478" s="11">
        <f>IF(A1478="","",SUMIFS(tbl_WIP[Amount],tbl_WIP[Job Number],A1478,tbl_WIP[Month],$C$4))</f>
        <v/>
      </c>
      <c r="E1478" s="11">
        <f>IF(A1478="","",C1478+D1478)</f>
        <v/>
      </c>
      <c r="F1478" s="10">
        <f>IF(A1478="","",IF(AND(ROUND(C1478,2)=0,ROUND(D1478,2)=0),"","yes"))</f>
        <v/>
      </c>
      <c r="G1478" s="39" t="n"/>
      <c r="H1478" s="11">
        <f>IF(OR(A1478="",G1478=""),"",E1478-G1478)</f>
        <v/>
      </c>
    </row>
    <row r="1479">
      <c r="A1479" s="10">
        <f>IF(INDEX(lst_Jobs,1466)="","",INDEX(lst_Jobs,1466)&amp;"")</f>
        <v/>
      </c>
      <c r="B1479" s="10">
        <f>IF(A1479="","",INDEX(lst_JobName,1466)&amp;"")</f>
        <v/>
      </c>
      <c r="C1479" s="11">
        <f>IF(A1479="","",SUMIFS(tbl_WIP[Amount],tbl_WIP[Job Number],A1479,tbl_WIP[Month],"&lt;"&amp;$C$4))</f>
        <v/>
      </c>
      <c r="D1479" s="11">
        <f>IF(A1479="","",SUMIFS(tbl_WIP[Amount],tbl_WIP[Job Number],A1479,tbl_WIP[Month],$C$4))</f>
        <v/>
      </c>
      <c r="E1479" s="11">
        <f>IF(A1479="","",C1479+D1479)</f>
        <v/>
      </c>
      <c r="F1479" s="10">
        <f>IF(A1479="","",IF(AND(ROUND(C1479,2)=0,ROUND(D1479,2)=0),"","yes"))</f>
        <v/>
      </c>
      <c r="G1479" s="39" t="n"/>
      <c r="H1479" s="11">
        <f>IF(OR(A1479="",G1479=""),"",E1479-G1479)</f>
        <v/>
      </c>
    </row>
    <row r="1480">
      <c r="A1480" s="10">
        <f>IF(INDEX(lst_Jobs,1467)="","",INDEX(lst_Jobs,1467)&amp;"")</f>
        <v/>
      </c>
      <c r="B1480" s="10">
        <f>IF(A1480="","",INDEX(lst_JobName,1467)&amp;"")</f>
        <v/>
      </c>
      <c r="C1480" s="11">
        <f>IF(A1480="","",SUMIFS(tbl_WIP[Amount],tbl_WIP[Job Number],A1480,tbl_WIP[Month],"&lt;"&amp;$C$4))</f>
        <v/>
      </c>
      <c r="D1480" s="11">
        <f>IF(A1480="","",SUMIFS(tbl_WIP[Amount],tbl_WIP[Job Number],A1480,tbl_WIP[Month],$C$4))</f>
        <v/>
      </c>
      <c r="E1480" s="11">
        <f>IF(A1480="","",C1480+D1480)</f>
        <v/>
      </c>
      <c r="F1480" s="10">
        <f>IF(A1480="","",IF(AND(ROUND(C1480,2)=0,ROUND(D1480,2)=0),"","yes"))</f>
        <v/>
      </c>
      <c r="G1480" s="39" t="n"/>
      <c r="H1480" s="11">
        <f>IF(OR(A1480="",G1480=""),"",E1480-G1480)</f>
        <v/>
      </c>
    </row>
    <row r="1481">
      <c r="A1481" s="10">
        <f>IF(INDEX(lst_Jobs,1468)="","",INDEX(lst_Jobs,1468)&amp;"")</f>
        <v/>
      </c>
      <c r="B1481" s="10">
        <f>IF(A1481="","",INDEX(lst_JobName,1468)&amp;"")</f>
        <v/>
      </c>
      <c r="C1481" s="11">
        <f>IF(A1481="","",SUMIFS(tbl_WIP[Amount],tbl_WIP[Job Number],A1481,tbl_WIP[Month],"&lt;"&amp;$C$4))</f>
        <v/>
      </c>
      <c r="D1481" s="11">
        <f>IF(A1481="","",SUMIFS(tbl_WIP[Amount],tbl_WIP[Job Number],A1481,tbl_WIP[Month],$C$4))</f>
        <v/>
      </c>
      <c r="E1481" s="11">
        <f>IF(A1481="","",C1481+D1481)</f>
        <v/>
      </c>
      <c r="F1481" s="10">
        <f>IF(A1481="","",IF(AND(ROUND(C1481,2)=0,ROUND(D1481,2)=0),"","yes"))</f>
        <v/>
      </c>
      <c r="G1481" s="39" t="n"/>
      <c r="H1481" s="11">
        <f>IF(OR(A1481="",G1481=""),"",E1481-G1481)</f>
        <v/>
      </c>
    </row>
    <row r="1482">
      <c r="A1482" s="10">
        <f>IF(INDEX(lst_Jobs,1469)="","",INDEX(lst_Jobs,1469)&amp;"")</f>
        <v/>
      </c>
      <c r="B1482" s="10">
        <f>IF(A1482="","",INDEX(lst_JobName,1469)&amp;"")</f>
        <v/>
      </c>
      <c r="C1482" s="11">
        <f>IF(A1482="","",SUMIFS(tbl_WIP[Amount],tbl_WIP[Job Number],A1482,tbl_WIP[Month],"&lt;"&amp;$C$4))</f>
        <v/>
      </c>
      <c r="D1482" s="11">
        <f>IF(A1482="","",SUMIFS(tbl_WIP[Amount],tbl_WIP[Job Number],A1482,tbl_WIP[Month],$C$4))</f>
        <v/>
      </c>
      <c r="E1482" s="11">
        <f>IF(A1482="","",C1482+D1482)</f>
        <v/>
      </c>
      <c r="F1482" s="10">
        <f>IF(A1482="","",IF(AND(ROUND(C1482,2)=0,ROUND(D1482,2)=0),"","yes"))</f>
        <v/>
      </c>
      <c r="G1482" s="39" t="n"/>
      <c r="H1482" s="11">
        <f>IF(OR(A1482="",G1482=""),"",E1482-G1482)</f>
        <v/>
      </c>
    </row>
    <row r="1483">
      <c r="A1483" s="10">
        <f>IF(INDEX(lst_Jobs,1470)="","",INDEX(lst_Jobs,1470)&amp;"")</f>
        <v/>
      </c>
      <c r="B1483" s="10">
        <f>IF(A1483="","",INDEX(lst_JobName,1470)&amp;"")</f>
        <v/>
      </c>
      <c r="C1483" s="11">
        <f>IF(A1483="","",SUMIFS(tbl_WIP[Amount],tbl_WIP[Job Number],A1483,tbl_WIP[Month],"&lt;"&amp;$C$4))</f>
        <v/>
      </c>
      <c r="D1483" s="11">
        <f>IF(A1483="","",SUMIFS(tbl_WIP[Amount],tbl_WIP[Job Number],A1483,tbl_WIP[Month],$C$4))</f>
        <v/>
      </c>
      <c r="E1483" s="11">
        <f>IF(A1483="","",C1483+D1483)</f>
        <v/>
      </c>
      <c r="F1483" s="10">
        <f>IF(A1483="","",IF(AND(ROUND(C1483,2)=0,ROUND(D1483,2)=0),"","yes"))</f>
        <v/>
      </c>
      <c r="G1483" s="39" t="n"/>
      <c r="H1483" s="11">
        <f>IF(OR(A1483="",G1483=""),"",E1483-G1483)</f>
        <v/>
      </c>
    </row>
    <row r="1484">
      <c r="A1484" s="10">
        <f>IF(INDEX(lst_Jobs,1471)="","",INDEX(lst_Jobs,1471)&amp;"")</f>
        <v/>
      </c>
      <c r="B1484" s="10">
        <f>IF(A1484="","",INDEX(lst_JobName,1471)&amp;"")</f>
        <v/>
      </c>
      <c r="C1484" s="11">
        <f>IF(A1484="","",SUMIFS(tbl_WIP[Amount],tbl_WIP[Job Number],A1484,tbl_WIP[Month],"&lt;"&amp;$C$4))</f>
        <v/>
      </c>
      <c r="D1484" s="11">
        <f>IF(A1484="","",SUMIFS(tbl_WIP[Amount],tbl_WIP[Job Number],A1484,tbl_WIP[Month],$C$4))</f>
        <v/>
      </c>
      <c r="E1484" s="11">
        <f>IF(A1484="","",C1484+D1484)</f>
        <v/>
      </c>
      <c r="F1484" s="10">
        <f>IF(A1484="","",IF(AND(ROUND(C1484,2)=0,ROUND(D1484,2)=0),"","yes"))</f>
        <v/>
      </c>
      <c r="G1484" s="39" t="n"/>
      <c r="H1484" s="11">
        <f>IF(OR(A1484="",G1484=""),"",E1484-G1484)</f>
        <v/>
      </c>
    </row>
    <row r="1485">
      <c r="A1485" s="10">
        <f>IF(INDEX(lst_Jobs,1472)="","",INDEX(lst_Jobs,1472)&amp;"")</f>
        <v/>
      </c>
      <c r="B1485" s="10">
        <f>IF(A1485="","",INDEX(lst_JobName,1472)&amp;"")</f>
        <v/>
      </c>
      <c r="C1485" s="11">
        <f>IF(A1485="","",SUMIFS(tbl_WIP[Amount],tbl_WIP[Job Number],A1485,tbl_WIP[Month],"&lt;"&amp;$C$4))</f>
        <v/>
      </c>
      <c r="D1485" s="11">
        <f>IF(A1485="","",SUMIFS(tbl_WIP[Amount],tbl_WIP[Job Number],A1485,tbl_WIP[Month],$C$4))</f>
        <v/>
      </c>
      <c r="E1485" s="11">
        <f>IF(A1485="","",C1485+D1485)</f>
        <v/>
      </c>
      <c r="F1485" s="10">
        <f>IF(A1485="","",IF(AND(ROUND(C1485,2)=0,ROUND(D1485,2)=0),"","yes"))</f>
        <v/>
      </c>
      <c r="G1485" s="39" t="n"/>
      <c r="H1485" s="11">
        <f>IF(OR(A1485="",G1485=""),"",E1485-G1485)</f>
        <v/>
      </c>
    </row>
    <row r="1486">
      <c r="A1486" s="10">
        <f>IF(INDEX(lst_Jobs,1473)="","",INDEX(lst_Jobs,1473)&amp;"")</f>
        <v/>
      </c>
      <c r="B1486" s="10">
        <f>IF(A1486="","",INDEX(lst_JobName,1473)&amp;"")</f>
        <v/>
      </c>
      <c r="C1486" s="11">
        <f>IF(A1486="","",SUMIFS(tbl_WIP[Amount],tbl_WIP[Job Number],A1486,tbl_WIP[Month],"&lt;"&amp;$C$4))</f>
        <v/>
      </c>
      <c r="D1486" s="11">
        <f>IF(A1486="","",SUMIFS(tbl_WIP[Amount],tbl_WIP[Job Number],A1486,tbl_WIP[Month],$C$4))</f>
        <v/>
      </c>
      <c r="E1486" s="11">
        <f>IF(A1486="","",C1486+D1486)</f>
        <v/>
      </c>
      <c r="F1486" s="10">
        <f>IF(A1486="","",IF(AND(ROUND(C1486,2)=0,ROUND(D1486,2)=0),"","yes"))</f>
        <v/>
      </c>
      <c r="G1486" s="39" t="n"/>
      <c r="H1486" s="11">
        <f>IF(OR(A1486="",G1486=""),"",E1486-G1486)</f>
        <v/>
      </c>
    </row>
    <row r="1487">
      <c r="A1487" s="10">
        <f>IF(INDEX(lst_Jobs,1474)="","",INDEX(lst_Jobs,1474)&amp;"")</f>
        <v/>
      </c>
      <c r="B1487" s="10">
        <f>IF(A1487="","",INDEX(lst_JobName,1474)&amp;"")</f>
        <v/>
      </c>
      <c r="C1487" s="11">
        <f>IF(A1487="","",SUMIFS(tbl_WIP[Amount],tbl_WIP[Job Number],A1487,tbl_WIP[Month],"&lt;"&amp;$C$4))</f>
        <v/>
      </c>
      <c r="D1487" s="11">
        <f>IF(A1487="","",SUMIFS(tbl_WIP[Amount],tbl_WIP[Job Number],A1487,tbl_WIP[Month],$C$4))</f>
        <v/>
      </c>
      <c r="E1487" s="11">
        <f>IF(A1487="","",C1487+D1487)</f>
        <v/>
      </c>
      <c r="F1487" s="10">
        <f>IF(A1487="","",IF(AND(ROUND(C1487,2)=0,ROUND(D1487,2)=0),"","yes"))</f>
        <v/>
      </c>
      <c r="G1487" s="39" t="n"/>
      <c r="H1487" s="11">
        <f>IF(OR(A1487="",G1487=""),"",E1487-G1487)</f>
        <v/>
      </c>
    </row>
    <row r="1488">
      <c r="A1488" s="10">
        <f>IF(INDEX(lst_Jobs,1475)="","",INDEX(lst_Jobs,1475)&amp;"")</f>
        <v/>
      </c>
      <c r="B1488" s="10">
        <f>IF(A1488="","",INDEX(lst_JobName,1475)&amp;"")</f>
        <v/>
      </c>
      <c r="C1488" s="11">
        <f>IF(A1488="","",SUMIFS(tbl_WIP[Amount],tbl_WIP[Job Number],A1488,tbl_WIP[Month],"&lt;"&amp;$C$4))</f>
        <v/>
      </c>
      <c r="D1488" s="11">
        <f>IF(A1488="","",SUMIFS(tbl_WIP[Amount],tbl_WIP[Job Number],A1488,tbl_WIP[Month],$C$4))</f>
        <v/>
      </c>
      <c r="E1488" s="11">
        <f>IF(A1488="","",C1488+D1488)</f>
        <v/>
      </c>
      <c r="F1488" s="10">
        <f>IF(A1488="","",IF(AND(ROUND(C1488,2)=0,ROUND(D1488,2)=0),"","yes"))</f>
        <v/>
      </c>
      <c r="G1488" s="39" t="n"/>
      <c r="H1488" s="11">
        <f>IF(OR(A1488="",G1488=""),"",E1488-G1488)</f>
        <v/>
      </c>
    </row>
    <row r="1489">
      <c r="A1489" s="10">
        <f>IF(INDEX(lst_Jobs,1476)="","",INDEX(lst_Jobs,1476)&amp;"")</f>
        <v/>
      </c>
      <c r="B1489" s="10">
        <f>IF(A1489="","",INDEX(lst_JobName,1476)&amp;"")</f>
        <v/>
      </c>
      <c r="C1489" s="11">
        <f>IF(A1489="","",SUMIFS(tbl_WIP[Amount],tbl_WIP[Job Number],A1489,tbl_WIP[Month],"&lt;"&amp;$C$4))</f>
        <v/>
      </c>
      <c r="D1489" s="11">
        <f>IF(A1489="","",SUMIFS(tbl_WIP[Amount],tbl_WIP[Job Number],A1489,tbl_WIP[Month],$C$4))</f>
        <v/>
      </c>
      <c r="E1489" s="11">
        <f>IF(A1489="","",C1489+D1489)</f>
        <v/>
      </c>
      <c r="F1489" s="10">
        <f>IF(A1489="","",IF(AND(ROUND(C1489,2)=0,ROUND(D1489,2)=0),"","yes"))</f>
        <v/>
      </c>
      <c r="G1489" s="39" t="n"/>
      <c r="H1489" s="11">
        <f>IF(OR(A1489="",G1489=""),"",E1489-G1489)</f>
        <v/>
      </c>
    </row>
    <row r="1490">
      <c r="A1490" s="10">
        <f>IF(INDEX(lst_Jobs,1477)="","",INDEX(lst_Jobs,1477)&amp;"")</f>
        <v/>
      </c>
      <c r="B1490" s="10">
        <f>IF(A1490="","",INDEX(lst_JobName,1477)&amp;"")</f>
        <v/>
      </c>
      <c r="C1490" s="11">
        <f>IF(A1490="","",SUMIFS(tbl_WIP[Amount],tbl_WIP[Job Number],A1490,tbl_WIP[Month],"&lt;"&amp;$C$4))</f>
        <v/>
      </c>
      <c r="D1490" s="11">
        <f>IF(A1490="","",SUMIFS(tbl_WIP[Amount],tbl_WIP[Job Number],A1490,tbl_WIP[Month],$C$4))</f>
        <v/>
      </c>
      <c r="E1490" s="11">
        <f>IF(A1490="","",C1490+D1490)</f>
        <v/>
      </c>
      <c r="F1490" s="10">
        <f>IF(A1490="","",IF(AND(ROUND(C1490,2)=0,ROUND(D1490,2)=0),"","yes"))</f>
        <v/>
      </c>
      <c r="G1490" s="39" t="n"/>
      <c r="H1490" s="11">
        <f>IF(OR(A1490="",G1490=""),"",E1490-G1490)</f>
        <v/>
      </c>
    </row>
    <row r="1491">
      <c r="A1491" s="10">
        <f>IF(INDEX(lst_Jobs,1478)="","",INDEX(lst_Jobs,1478)&amp;"")</f>
        <v/>
      </c>
      <c r="B1491" s="10">
        <f>IF(A1491="","",INDEX(lst_JobName,1478)&amp;"")</f>
        <v/>
      </c>
      <c r="C1491" s="11">
        <f>IF(A1491="","",SUMIFS(tbl_WIP[Amount],tbl_WIP[Job Number],A1491,tbl_WIP[Month],"&lt;"&amp;$C$4))</f>
        <v/>
      </c>
      <c r="D1491" s="11">
        <f>IF(A1491="","",SUMIFS(tbl_WIP[Amount],tbl_WIP[Job Number],A1491,tbl_WIP[Month],$C$4))</f>
        <v/>
      </c>
      <c r="E1491" s="11">
        <f>IF(A1491="","",C1491+D1491)</f>
        <v/>
      </c>
      <c r="F1491" s="10">
        <f>IF(A1491="","",IF(AND(ROUND(C1491,2)=0,ROUND(D1491,2)=0),"","yes"))</f>
        <v/>
      </c>
      <c r="G1491" s="39" t="n"/>
      <c r="H1491" s="11">
        <f>IF(OR(A1491="",G1491=""),"",E1491-G1491)</f>
        <v/>
      </c>
    </row>
    <row r="1492">
      <c r="A1492" s="10">
        <f>IF(INDEX(lst_Jobs,1479)="","",INDEX(lst_Jobs,1479)&amp;"")</f>
        <v/>
      </c>
      <c r="B1492" s="10">
        <f>IF(A1492="","",INDEX(lst_JobName,1479)&amp;"")</f>
        <v/>
      </c>
      <c r="C1492" s="11">
        <f>IF(A1492="","",SUMIFS(tbl_WIP[Amount],tbl_WIP[Job Number],A1492,tbl_WIP[Month],"&lt;"&amp;$C$4))</f>
        <v/>
      </c>
      <c r="D1492" s="11">
        <f>IF(A1492="","",SUMIFS(tbl_WIP[Amount],tbl_WIP[Job Number],A1492,tbl_WIP[Month],$C$4))</f>
        <v/>
      </c>
      <c r="E1492" s="11">
        <f>IF(A1492="","",C1492+D1492)</f>
        <v/>
      </c>
      <c r="F1492" s="10">
        <f>IF(A1492="","",IF(AND(ROUND(C1492,2)=0,ROUND(D1492,2)=0),"","yes"))</f>
        <v/>
      </c>
      <c r="G1492" s="39" t="n"/>
      <c r="H1492" s="11">
        <f>IF(OR(A1492="",G1492=""),"",E1492-G1492)</f>
        <v/>
      </c>
    </row>
    <row r="1493">
      <c r="A1493" s="10">
        <f>IF(INDEX(lst_Jobs,1480)="","",INDEX(lst_Jobs,1480)&amp;"")</f>
        <v/>
      </c>
      <c r="B1493" s="10">
        <f>IF(A1493="","",INDEX(lst_JobName,1480)&amp;"")</f>
        <v/>
      </c>
      <c r="C1493" s="11">
        <f>IF(A1493="","",SUMIFS(tbl_WIP[Amount],tbl_WIP[Job Number],A1493,tbl_WIP[Month],"&lt;"&amp;$C$4))</f>
        <v/>
      </c>
      <c r="D1493" s="11">
        <f>IF(A1493="","",SUMIFS(tbl_WIP[Amount],tbl_WIP[Job Number],A1493,tbl_WIP[Month],$C$4))</f>
        <v/>
      </c>
      <c r="E1493" s="11">
        <f>IF(A1493="","",C1493+D1493)</f>
        <v/>
      </c>
      <c r="F1493" s="10">
        <f>IF(A1493="","",IF(AND(ROUND(C1493,2)=0,ROUND(D1493,2)=0),"","yes"))</f>
        <v/>
      </c>
      <c r="G1493" s="39" t="n"/>
      <c r="H1493" s="11">
        <f>IF(OR(A1493="",G1493=""),"",E1493-G1493)</f>
        <v/>
      </c>
    </row>
    <row r="1494">
      <c r="A1494" s="10">
        <f>IF(INDEX(lst_Jobs,1481)="","",INDEX(lst_Jobs,1481)&amp;"")</f>
        <v/>
      </c>
      <c r="B1494" s="10">
        <f>IF(A1494="","",INDEX(lst_JobName,1481)&amp;"")</f>
        <v/>
      </c>
      <c r="C1494" s="11">
        <f>IF(A1494="","",SUMIFS(tbl_WIP[Amount],tbl_WIP[Job Number],A1494,tbl_WIP[Month],"&lt;"&amp;$C$4))</f>
        <v/>
      </c>
      <c r="D1494" s="11">
        <f>IF(A1494="","",SUMIFS(tbl_WIP[Amount],tbl_WIP[Job Number],A1494,tbl_WIP[Month],$C$4))</f>
        <v/>
      </c>
      <c r="E1494" s="11">
        <f>IF(A1494="","",C1494+D1494)</f>
        <v/>
      </c>
      <c r="F1494" s="10">
        <f>IF(A1494="","",IF(AND(ROUND(C1494,2)=0,ROUND(D1494,2)=0),"","yes"))</f>
        <v/>
      </c>
      <c r="G1494" s="39" t="n"/>
      <c r="H1494" s="11">
        <f>IF(OR(A1494="",G1494=""),"",E1494-G1494)</f>
        <v/>
      </c>
    </row>
    <row r="1495">
      <c r="A1495" s="10">
        <f>IF(INDEX(lst_Jobs,1482)="","",INDEX(lst_Jobs,1482)&amp;"")</f>
        <v/>
      </c>
      <c r="B1495" s="10">
        <f>IF(A1495="","",INDEX(lst_JobName,1482)&amp;"")</f>
        <v/>
      </c>
      <c r="C1495" s="11">
        <f>IF(A1495="","",SUMIFS(tbl_WIP[Amount],tbl_WIP[Job Number],A1495,tbl_WIP[Month],"&lt;"&amp;$C$4))</f>
        <v/>
      </c>
      <c r="D1495" s="11">
        <f>IF(A1495="","",SUMIFS(tbl_WIP[Amount],tbl_WIP[Job Number],A1495,tbl_WIP[Month],$C$4))</f>
        <v/>
      </c>
      <c r="E1495" s="11">
        <f>IF(A1495="","",C1495+D1495)</f>
        <v/>
      </c>
      <c r="F1495" s="10">
        <f>IF(A1495="","",IF(AND(ROUND(C1495,2)=0,ROUND(D1495,2)=0),"","yes"))</f>
        <v/>
      </c>
      <c r="G1495" s="39" t="n"/>
      <c r="H1495" s="11">
        <f>IF(OR(A1495="",G1495=""),"",E1495-G1495)</f>
        <v/>
      </c>
    </row>
    <row r="1496">
      <c r="A1496" s="10">
        <f>IF(INDEX(lst_Jobs,1483)="","",INDEX(lst_Jobs,1483)&amp;"")</f>
        <v/>
      </c>
      <c r="B1496" s="10">
        <f>IF(A1496="","",INDEX(lst_JobName,1483)&amp;"")</f>
        <v/>
      </c>
      <c r="C1496" s="11">
        <f>IF(A1496="","",SUMIFS(tbl_WIP[Amount],tbl_WIP[Job Number],A1496,tbl_WIP[Month],"&lt;"&amp;$C$4))</f>
        <v/>
      </c>
      <c r="D1496" s="11">
        <f>IF(A1496="","",SUMIFS(tbl_WIP[Amount],tbl_WIP[Job Number],A1496,tbl_WIP[Month],$C$4))</f>
        <v/>
      </c>
      <c r="E1496" s="11">
        <f>IF(A1496="","",C1496+D1496)</f>
        <v/>
      </c>
      <c r="F1496" s="10">
        <f>IF(A1496="","",IF(AND(ROUND(C1496,2)=0,ROUND(D1496,2)=0),"","yes"))</f>
        <v/>
      </c>
      <c r="G1496" s="39" t="n"/>
      <c r="H1496" s="11">
        <f>IF(OR(A1496="",G1496=""),"",E1496-G1496)</f>
        <v/>
      </c>
    </row>
    <row r="1497">
      <c r="A1497" s="10">
        <f>IF(INDEX(lst_Jobs,1484)="","",INDEX(lst_Jobs,1484)&amp;"")</f>
        <v/>
      </c>
      <c r="B1497" s="10">
        <f>IF(A1497="","",INDEX(lst_JobName,1484)&amp;"")</f>
        <v/>
      </c>
      <c r="C1497" s="11">
        <f>IF(A1497="","",SUMIFS(tbl_WIP[Amount],tbl_WIP[Job Number],A1497,tbl_WIP[Month],"&lt;"&amp;$C$4))</f>
        <v/>
      </c>
      <c r="D1497" s="11">
        <f>IF(A1497="","",SUMIFS(tbl_WIP[Amount],tbl_WIP[Job Number],A1497,tbl_WIP[Month],$C$4))</f>
        <v/>
      </c>
      <c r="E1497" s="11">
        <f>IF(A1497="","",C1497+D1497)</f>
        <v/>
      </c>
      <c r="F1497" s="10">
        <f>IF(A1497="","",IF(AND(ROUND(C1497,2)=0,ROUND(D1497,2)=0),"","yes"))</f>
        <v/>
      </c>
      <c r="G1497" s="39" t="n"/>
      <c r="H1497" s="11">
        <f>IF(OR(A1497="",G1497=""),"",E1497-G1497)</f>
        <v/>
      </c>
    </row>
    <row r="1498">
      <c r="A1498" s="10">
        <f>IF(INDEX(lst_Jobs,1485)="","",INDEX(lst_Jobs,1485)&amp;"")</f>
        <v/>
      </c>
      <c r="B1498" s="10">
        <f>IF(A1498="","",INDEX(lst_JobName,1485)&amp;"")</f>
        <v/>
      </c>
      <c r="C1498" s="11">
        <f>IF(A1498="","",SUMIFS(tbl_WIP[Amount],tbl_WIP[Job Number],A1498,tbl_WIP[Month],"&lt;"&amp;$C$4))</f>
        <v/>
      </c>
      <c r="D1498" s="11">
        <f>IF(A1498="","",SUMIFS(tbl_WIP[Amount],tbl_WIP[Job Number],A1498,tbl_WIP[Month],$C$4))</f>
        <v/>
      </c>
      <c r="E1498" s="11">
        <f>IF(A1498="","",C1498+D1498)</f>
        <v/>
      </c>
      <c r="F1498" s="10">
        <f>IF(A1498="","",IF(AND(ROUND(C1498,2)=0,ROUND(D1498,2)=0),"","yes"))</f>
        <v/>
      </c>
      <c r="G1498" s="39" t="n"/>
      <c r="H1498" s="11">
        <f>IF(OR(A1498="",G1498=""),"",E1498-G1498)</f>
        <v/>
      </c>
    </row>
    <row r="1499">
      <c r="A1499" s="10">
        <f>IF(INDEX(lst_Jobs,1486)="","",INDEX(lst_Jobs,1486)&amp;"")</f>
        <v/>
      </c>
      <c r="B1499" s="10">
        <f>IF(A1499="","",INDEX(lst_JobName,1486)&amp;"")</f>
        <v/>
      </c>
      <c r="C1499" s="11">
        <f>IF(A1499="","",SUMIFS(tbl_WIP[Amount],tbl_WIP[Job Number],A1499,tbl_WIP[Month],"&lt;"&amp;$C$4))</f>
        <v/>
      </c>
      <c r="D1499" s="11">
        <f>IF(A1499="","",SUMIFS(tbl_WIP[Amount],tbl_WIP[Job Number],A1499,tbl_WIP[Month],$C$4))</f>
        <v/>
      </c>
      <c r="E1499" s="11">
        <f>IF(A1499="","",C1499+D1499)</f>
        <v/>
      </c>
      <c r="F1499" s="10">
        <f>IF(A1499="","",IF(AND(ROUND(C1499,2)=0,ROUND(D1499,2)=0),"","yes"))</f>
        <v/>
      </c>
      <c r="G1499" s="39" t="n"/>
      <c r="H1499" s="11">
        <f>IF(OR(A1499="",G1499=""),"",E1499-G1499)</f>
        <v/>
      </c>
    </row>
    <row r="1500">
      <c r="A1500" s="10">
        <f>IF(INDEX(lst_Jobs,1487)="","",INDEX(lst_Jobs,1487)&amp;"")</f>
        <v/>
      </c>
      <c r="B1500" s="10">
        <f>IF(A1500="","",INDEX(lst_JobName,1487)&amp;"")</f>
        <v/>
      </c>
      <c r="C1500" s="11">
        <f>IF(A1500="","",SUMIFS(tbl_WIP[Amount],tbl_WIP[Job Number],A1500,tbl_WIP[Month],"&lt;"&amp;$C$4))</f>
        <v/>
      </c>
      <c r="D1500" s="11">
        <f>IF(A1500="","",SUMIFS(tbl_WIP[Amount],tbl_WIP[Job Number],A1500,tbl_WIP[Month],$C$4))</f>
        <v/>
      </c>
      <c r="E1500" s="11">
        <f>IF(A1500="","",C1500+D1500)</f>
        <v/>
      </c>
      <c r="F1500" s="10">
        <f>IF(A1500="","",IF(AND(ROUND(C1500,2)=0,ROUND(D1500,2)=0),"","yes"))</f>
        <v/>
      </c>
      <c r="G1500" s="39" t="n"/>
      <c r="H1500" s="11">
        <f>IF(OR(A1500="",G1500=""),"",E1500-G1500)</f>
        <v/>
      </c>
    </row>
    <row r="1501">
      <c r="A1501" s="10">
        <f>IF(INDEX(lst_Jobs,1488)="","",INDEX(lst_Jobs,1488)&amp;"")</f>
        <v/>
      </c>
      <c r="B1501" s="10">
        <f>IF(A1501="","",INDEX(lst_JobName,1488)&amp;"")</f>
        <v/>
      </c>
      <c r="C1501" s="11">
        <f>IF(A1501="","",SUMIFS(tbl_WIP[Amount],tbl_WIP[Job Number],A1501,tbl_WIP[Month],"&lt;"&amp;$C$4))</f>
        <v/>
      </c>
      <c r="D1501" s="11">
        <f>IF(A1501="","",SUMIFS(tbl_WIP[Amount],tbl_WIP[Job Number],A1501,tbl_WIP[Month],$C$4))</f>
        <v/>
      </c>
      <c r="E1501" s="11">
        <f>IF(A1501="","",C1501+D1501)</f>
        <v/>
      </c>
      <c r="F1501" s="10">
        <f>IF(A1501="","",IF(AND(ROUND(C1501,2)=0,ROUND(D1501,2)=0),"","yes"))</f>
        <v/>
      </c>
      <c r="G1501" s="39" t="n"/>
      <c r="H1501" s="11">
        <f>IF(OR(A1501="",G1501=""),"",E1501-G1501)</f>
        <v/>
      </c>
    </row>
    <row r="1502">
      <c r="A1502" s="10">
        <f>IF(INDEX(lst_Jobs,1489)="","",INDEX(lst_Jobs,1489)&amp;"")</f>
        <v/>
      </c>
      <c r="B1502" s="10">
        <f>IF(A1502="","",INDEX(lst_JobName,1489)&amp;"")</f>
        <v/>
      </c>
      <c r="C1502" s="11">
        <f>IF(A1502="","",SUMIFS(tbl_WIP[Amount],tbl_WIP[Job Number],A1502,tbl_WIP[Month],"&lt;"&amp;$C$4))</f>
        <v/>
      </c>
      <c r="D1502" s="11">
        <f>IF(A1502="","",SUMIFS(tbl_WIP[Amount],tbl_WIP[Job Number],A1502,tbl_WIP[Month],$C$4))</f>
        <v/>
      </c>
      <c r="E1502" s="11">
        <f>IF(A1502="","",C1502+D1502)</f>
        <v/>
      </c>
      <c r="F1502" s="10">
        <f>IF(A1502="","",IF(AND(ROUND(C1502,2)=0,ROUND(D1502,2)=0),"","yes"))</f>
        <v/>
      </c>
      <c r="G1502" s="39" t="n"/>
      <c r="H1502" s="11">
        <f>IF(OR(A1502="",G1502=""),"",E1502-G1502)</f>
        <v/>
      </c>
    </row>
    <row r="1503">
      <c r="A1503" s="10">
        <f>IF(INDEX(lst_Jobs,1490)="","",INDEX(lst_Jobs,1490)&amp;"")</f>
        <v/>
      </c>
      <c r="B1503" s="10">
        <f>IF(A1503="","",INDEX(lst_JobName,1490)&amp;"")</f>
        <v/>
      </c>
      <c r="C1503" s="11">
        <f>IF(A1503="","",SUMIFS(tbl_WIP[Amount],tbl_WIP[Job Number],A1503,tbl_WIP[Month],"&lt;"&amp;$C$4))</f>
        <v/>
      </c>
      <c r="D1503" s="11">
        <f>IF(A1503="","",SUMIFS(tbl_WIP[Amount],tbl_WIP[Job Number],A1503,tbl_WIP[Month],$C$4))</f>
        <v/>
      </c>
      <c r="E1503" s="11">
        <f>IF(A1503="","",C1503+D1503)</f>
        <v/>
      </c>
      <c r="F1503" s="10">
        <f>IF(A1503="","",IF(AND(ROUND(C1503,2)=0,ROUND(D1503,2)=0),"","yes"))</f>
        <v/>
      </c>
      <c r="G1503" s="39" t="n"/>
      <c r="H1503" s="11">
        <f>IF(OR(A1503="",G1503=""),"",E1503-G1503)</f>
        <v/>
      </c>
    </row>
    <row r="1504">
      <c r="A1504" s="10">
        <f>IF(INDEX(lst_Jobs,1491)="","",INDEX(lst_Jobs,1491)&amp;"")</f>
        <v/>
      </c>
      <c r="B1504" s="10">
        <f>IF(A1504="","",INDEX(lst_JobName,1491)&amp;"")</f>
        <v/>
      </c>
      <c r="C1504" s="11">
        <f>IF(A1504="","",SUMIFS(tbl_WIP[Amount],tbl_WIP[Job Number],A1504,tbl_WIP[Month],"&lt;"&amp;$C$4))</f>
        <v/>
      </c>
      <c r="D1504" s="11">
        <f>IF(A1504="","",SUMIFS(tbl_WIP[Amount],tbl_WIP[Job Number],A1504,tbl_WIP[Month],$C$4))</f>
        <v/>
      </c>
      <c r="E1504" s="11">
        <f>IF(A1504="","",C1504+D1504)</f>
        <v/>
      </c>
      <c r="F1504" s="10">
        <f>IF(A1504="","",IF(AND(ROUND(C1504,2)=0,ROUND(D1504,2)=0),"","yes"))</f>
        <v/>
      </c>
      <c r="G1504" s="39" t="n"/>
      <c r="H1504" s="11">
        <f>IF(OR(A1504="",G1504=""),"",E1504-G1504)</f>
        <v/>
      </c>
    </row>
    <row r="1505">
      <c r="A1505" s="10">
        <f>IF(INDEX(lst_Jobs,1492)="","",INDEX(lst_Jobs,1492)&amp;"")</f>
        <v/>
      </c>
      <c r="B1505" s="10">
        <f>IF(A1505="","",INDEX(lst_JobName,1492)&amp;"")</f>
        <v/>
      </c>
      <c r="C1505" s="11">
        <f>IF(A1505="","",SUMIFS(tbl_WIP[Amount],tbl_WIP[Job Number],A1505,tbl_WIP[Month],"&lt;"&amp;$C$4))</f>
        <v/>
      </c>
      <c r="D1505" s="11">
        <f>IF(A1505="","",SUMIFS(tbl_WIP[Amount],tbl_WIP[Job Number],A1505,tbl_WIP[Month],$C$4))</f>
        <v/>
      </c>
      <c r="E1505" s="11">
        <f>IF(A1505="","",C1505+D1505)</f>
        <v/>
      </c>
      <c r="F1505" s="10">
        <f>IF(A1505="","",IF(AND(ROUND(C1505,2)=0,ROUND(D1505,2)=0),"","yes"))</f>
        <v/>
      </c>
      <c r="G1505" s="39" t="n"/>
      <c r="H1505" s="11">
        <f>IF(OR(A1505="",G1505=""),"",E1505-G1505)</f>
        <v/>
      </c>
    </row>
    <row r="1506">
      <c r="A1506" s="10">
        <f>IF(INDEX(lst_Jobs,1493)="","",INDEX(lst_Jobs,1493)&amp;"")</f>
        <v/>
      </c>
      <c r="B1506" s="10">
        <f>IF(A1506="","",INDEX(lst_JobName,1493)&amp;"")</f>
        <v/>
      </c>
      <c r="C1506" s="11">
        <f>IF(A1506="","",SUMIFS(tbl_WIP[Amount],tbl_WIP[Job Number],A1506,tbl_WIP[Month],"&lt;"&amp;$C$4))</f>
        <v/>
      </c>
      <c r="D1506" s="11">
        <f>IF(A1506="","",SUMIFS(tbl_WIP[Amount],tbl_WIP[Job Number],A1506,tbl_WIP[Month],$C$4))</f>
        <v/>
      </c>
      <c r="E1506" s="11">
        <f>IF(A1506="","",C1506+D1506)</f>
        <v/>
      </c>
      <c r="F1506" s="10">
        <f>IF(A1506="","",IF(AND(ROUND(C1506,2)=0,ROUND(D1506,2)=0),"","yes"))</f>
        <v/>
      </c>
      <c r="G1506" s="39" t="n"/>
      <c r="H1506" s="11">
        <f>IF(OR(A1506="",G1506=""),"",E1506-G1506)</f>
        <v/>
      </c>
    </row>
    <row r="1507">
      <c r="A1507" s="10">
        <f>IF(INDEX(lst_Jobs,1494)="","",INDEX(lst_Jobs,1494)&amp;"")</f>
        <v/>
      </c>
      <c r="B1507" s="10">
        <f>IF(A1507="","",INDEX(lst_JobName,1494)&amp;"")</f>
        <v/>
      </c>
      <c r="C1507" s="11">
        <f>IF(A1507="","",SUMIFS(tbl_WIP[Amount],tbl_WIP[Job Number],A1507,tbl_WIP[Month],"&lt;"&amp;$C$4))</f>
        <v/>
      </c>
      <c r="D1507" s="11">
        <f>IF(A1507="","",SUMIFS(tbl_WIP[Amount],tbl_WIP[Job Number],A1507,tbl_WIP[Month],$C$4))</f>
        <v/>
      </c>
      <c r="E1507" s="11">
        <f>IF(A1507="","",C1507+D1507)</f>
        <v/>
      </c>
      <c r="F1507" s="10">
        <f>IF(A1507="","",IF(AND(ROUND(C1507,2)=0,ROUND(D1507,2)=0),"","yes"))</f>
        <v/>
      </c>
      <c r="G1507" s="39" t="n"/>
      <c r="H1507" s="11">
        <f>IF(OR(A1507="",G1507=""),"",E1507-G1507)</f>
        <v/>
      </c>
    </row>
    <row r="1508">
      <c r="A1508" s="10">
        <f>IF(INDEX(lst_Jobs,1495)="","",INDEX(lst_Jobs,1495)&amp;"")</f>
        <v/>
      </c>
      <c r="B1508" s="10">
        <f>IF(A1508="","",INDEX(lst_JobName,1495)&amp;"")</f>
        <v/>
      </c>
      <c r="C1508" s="11">
        <f>IF(A1508="","",SUMIFS(tbl_WIP[Amount],tbl_WIP[Job Number],A1508,tbl_WIP[Month],"&lt;"&amp;$C$4))</f>
        <v/>
      </c>
      <c r="D1508" s="11">
        <f>IF(A1508="","",SUMIFS(tbl_WIP[Amount],tbl_WIP[Job Number],A1508,tbl_WIP[Month],$C$4))</f>
        <v/>
      </c>
      <c r="E1508" s="11">
        <f>IF(A1508="","",C1508+D1508)</f>
        <v/>
      </c>
      <c r="F1508" s="10">
        <f>IF(A1508="","",IF(AND(ROUND(C1508,2)=0,ROUND(D1508,2)=0),"","yes"))</f>
        <v/>
      </c>
      <c r="G1508" s="39" t="n"/>
      <c r="H1508" s="11">
        <f>IF(OR(A1508="",G1508=""),"",E1508-G1508)</f>
        <v/>
      </c>
    </row>
    <row r="1509">
      <c r="A1509" s="10">
        <f>IF(INDEX(lst_Jobs,1496)="","",INDEX(lst_Jobs,1496)&amp;"")</f>
        <v/>
      </c>
      <c r="B1509" s="10">
        <f>IF(A1509="","",INDEX(lst_JobName,1496)&amp;"")</f>
        <v/>
      </c>
      <c r="C1509" s="11">
        <f>IF(A1509="","",SUMIFS(tbl_WIP[Amount],tbl_WIP[Job Number],A1509,tbl_WIP[Month],"&lt;"&amp;$C$4))</f>
        <v/>
      </c>
      <c r="D1509" s="11">
        <f>IF(A1509="","",SUMIFS(tbl_WIP[Amount],tbl_WIP[Job Number],A1509,tbl_WIP[Month],$C$4))</f>
        <v/>
      </c>
      <c r="E1509" s="11">
        <f>IF(A1509="","",C1509+D1509)</f>
        <v/>
      </c>
      <c r="F1509" s="10">
        <f>IF(A1509="","",IF(AND(ROUND(C1509,2)=0,ROUND(D1509,2)=0),"","yes"))</f>
        <v/>
      </c>
      <c r="G1509" s="39" t="n"/>
      <c r="H1509" s="11">
        <f>IF(OR(A1509="",G1509=""),"",E1509-G1509)</f>
        <v/>
      </c>
    </row>
  </sheetData>
  <sheetProtection selectLockedCells="0" selectUnlockedCells="0" sheet="1" objects="0" insertRows="1" insertHyperlinks="1" autoFilter="0" scenarios="0" formatColumns="0" deleteColumns="1" insertColumns="1" pivotTables="1" deleteRows="1" formatCells="1" formatRows="0" sort="1" password="DE92"/>
  <autoFilter ref="A13:H1509"/>
  <conditionalFormatting sqref="H14:H1509">
    <cfRule type="expression" priority="1" dxfId="1">
      <formula>AND(H14&lt;&gt;"",ROUND(H14,2)&lt;&gt;0)</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9" customWidth="1" min="13" max="13"/>
    <col width="15" customWidth="1" min="14" max="14"/>
    <col width="38" customWidth="1" min="15" max="15"/>
  </cols>
  <sheetData>
    <row r="1">
      <c r="A1" s="1" t="inlineStr">
        <is>
          <t>Work Won  -  ZOHO, Current RMS and Qwilr</t>
        </is>
      </c>
    </row>
    <row r="2" ht="30" customHeight="1">
      <c r="A2" s="4" t="inlineStr">
        <is>
          <t>Paste the month's won opportunities here, one row each. Month-End compares them against what was invoiced. Put the job number on the row and it shows what Xero has invoiced on that job so far.</t>
        </is>
      </c>
    </row>
    <row r="3">
      <c r="A3" s="5">
        <f>"Value Ex GST  "&amp;TEXT(SUBTOTAL(109,tbl_Won[Value Ex GST]),"$#,##0.00")&amp;"      On the Finance Sheet  "&amp;TEXT(SUBTOTAL(109,tbl_Won[On the Finance Sheet]),"$#,##0.00")</f>
        <v/>
      </c>
    </row>
    <row r="4" ht="34" customHeight="1">
      <c r="A4" s="36" t="inlineStr">
        <is>
          <t>Month</t>
        </is>
      </c>
      <c r="B4" s="36" t="inlineStr">
        <is>
          <t>Source</t>
        </is>
      </c>
      <c r="C4" s="36" t="inlineStr">
        <is>
          <t>Reference</t>
        </is>
      </c>
      <c r="D4" s="36" t="inlineStr">
        <is>
          <t>Client</t>
        </is>
      </c>
      <c r="E4" s="36" t="inlineStr">
        <is>
          <t>Job Number</t>
        </is>
      </c>
      <c r="F4" s="8" t="inlineStr">
        <is>
          <t>Job in Xero?</t>
        </is>
      </c>
      <c r="G4" s="36" t="inlineStr">
        <is>
          <t>Cost Centre</t>
        </is>
      </c>
      <c r="H4" s="36" t="inlineStr">
        <is>
          <t>Description</t>
        </is>
      </c>
      <c r="I4" s="36" t="inlineStr">
        <is>
          <t>Value Ex GST</t>
        </is>
      </c>
      <c r="J4" s="36" t="inlineStr">
        <is>
          <t>Status</t>
        </is>
      </c>
      <c r="K4" s="36" t="inlineStr">
        <is>
          <t>Date Won</t>
        </is>
      </c>
      <c r="L4" s="36" t="inlineStr">
        <is>
          <t>Expected Invoice Month</t>
        </is>
      </c>
      <c r="M4" s="8" t="inlineStr">
        <is>
          <t>On the Finance Sheet</t>
        </is>
      </c>
      <c r="N4" s="8" t="inlineStr">
        <is>
          <t>Still to Invoice</t>
        </is>
      </c>
      <c r="O4" s="36" t="inlineStr">
        <is>
          <t>Notes</t>
        </is>
      </c>
    </row>
    <row r="5">
      <c r="A5" s="44" t="n"/>
      <c r="B5" s="37" t="n"/>
      <c r="C5" s="37" t="n"/>
      <c r="D5" s="37" t="n"/>
      <c r="E5" s="37" t="n"/>
      <c r="F5" s="10">
        <f>IF(E5="","",IF(COUNTIF(lst_Jobs,E5&amp;"")&gt;0,"OK","CHECK"))</f>
        <v/>
      </c>
      <c r="G5" s="37" t="n"/>
      <c r="H5" s="37" t="n"/>
      <c r="I5" s="39" t="n"/>
      <c r="J5" s="37" t="n"/>
      <c r="K5" s="42" t="n"/>
      <c r="L5" s="44" t="n"/>
      <c r="M5" s="11">
        <f>IF(E5="","",SUMIFS(tbl_Finance[Xero Invoiced Ex GST],tbl_Finance[Job Number],E5&amp;""))</f>
        <v/>
      </c>
      <c r="N5" s="11">
        <f>IF(J5&lt;&gt;"Won","",IF(E5="",N(I5),N(I5)-N(M5)))</f>
        <v/>
      </c>
      <c r="O5" s="37" t="n"/>
    </row>
    <row r="6">
      <c r="A6" s="44" t="n"/>
      <c r="B6" s="37" t="n"/>
      <c r="C6" s="37" t="n"/>
      <c r="D6" s="37" t="n"/>
      <c r="E6" s="37" t="n"/>
      <c r="F6" s="10">
        <f>IF(E6="","",IF(COUNTIF(lst_Jobs,E6&amp;"")&gt;0,"OK","CHECK"))</f>
        <v/>
      </c>
      <c r="G6" s="37" t="n"/>
      <c r="H6" s="37" t="n"/>
      <c r="I6" s="39" t="n"/>
      <c r="J6" s="37" t="n"/>
      <c r="K6" s="42" t="n"/>
      <c r="L6" s="44" t="n"/>
      <c r="M6" s="11">
        <f>IF(E6="","",SUMIFS(tbl_Finance[Xero Invoiced Ex GST],tbl_Finance[Job Number],E6&amp;""))</f>
        <v/>
      </c>
      <c r="N6" s="11">
        <f>IF(J6&lt;&gt;"Won","",IF(E6="",N(I6),N(I6)-N(M6)))</f>
        <v/>
      </c>
      <c r="O6" s="37" t="n"/>
    </row>
    <row r="7">
      <c r="A7" s="44" t="n"/>
      <c r="B7" s="37" t="n"/>
      <c r="C7" s="37" t="n"/>
      <c r="D7" s="37" t="n"/>
      <c r="E7" s="37" t="n"/>
      <c r="F7" s="10">
        <f>IF(E7="","",IF(COUNTIF(lst_Jobs,E7&amp;"")&gt;0,"OK","CHECK"))</f>
        <v/>
      </c>
      <c r="G7" s="37" t="n"/>
      <c r="H7" s="37" t="n"/>
      <c r="I7" s="39" t="n"/>
      <c r="J7" s="37" t="n"/>
      <c r="K7" s="42" t="n"/>
      <c r="L7" s="44" t="n"/>
      <c r="M7" s="11">
        <f>IF(E7="","",SUMIFS(tbl_Finance[Xero Invoiced Ex GST],tbl_Finance[Job Number],E7&amp;""))</f>
        <v/>
      </c>
      <c r="N7" s="11">
        <f>IF(J7&lt;&gt;"Won","",IF(E7="",N(I7),N(I7)-N(M7)))</f>
        <v/>
      </c>
      <c r="O7" s="37" t="n"/>
    </row>
    <row r="8">
      <c r="A8" s="44" t="n"/>
      <c r="B8" s="37" t="n"/>
      <c r="C8" s="37" t="n"/>
      <c r="D8" s="37" t="n"/>
      <c r="E8" s="37" t="n"/>
      <c r="F8" s="10">
        <f>IF(E8="","",IF(COUNTIF(lst_Jobs,E8&amp;"")&gt;0,"OK","CHECK"))</f>
        <v/>
      </c>
      <c r="G8" s="37" t="n"/>
      <c r="H8" s="37" t="n"/>
      <c r="I8" s="39" t="n"/>
      <c r="J8" s="37" t="n"/>
      <c r="K8" s="42" t="n"/>
      <c r="L8" s="44" t="n"/>
      <c r="M8" s="11">
        <f>IF(E8="","",SUMIFS(tbl_Finance[Xero Invoiced Ex GST],tbl_Finance[Job Number],E8&amp;""))</f>
        <v/>
      </c>
      <c r="N8" s="11">
        <f>IF(J8&lt;&gt;"Won","",IF(E8="",N(I8),N(I8)-N(M8)))</f>
        <v/>
      </c>
      <c r="O8" s="37" t="n"/>
    </row>
    <row r="9">
      <c r="A9" s="44" t="n"/>
      <c r="B9" s="37" t="n"/>
      <c r="C9" s="37" t="n"/>
      <c r="D9" s="37" t="n"/>
      <c r="E9" s="37" t="n"/>
      <c r="F9" s="10">
        <f>IF(E9="","",IF(COUNTIF(lst_Jobs,E9&amp;"")&gt;0,"OK","CHECK"))</f>
        <v/>
      </c>
      <c r="G9" s="37" t="n"/>
      <c r="H9" s="37" t="n"/>
      <c r="I9" s="39" t="n"/>
      <c r="J9" s="37" t="n"/>
      <c r="K9" s="42" t="n"/>
      <c r="L9" s="44" t="n"/>
      <c r="M9" s="11">
        <f>IF(E9="","",SUMIFS(tbl_Finance[Xero Invoiced Ex GST],tbl_Finance[Job Number],E9&amp;""))</f>
        <v/>
      </c>
      <c r="N9" s="11">
        <f>IF(J9&lt;&gt;"Won","",IF(E9="",N(I9),N(I9)-N(M9)))</f>
        <v/>
      </c>
      <c r="O9" s="37" t="n"/>
    </row>
    <row r="10">
      <c r="A10" s="44" t="n"/>
      <c r="B10" s="37" t="n"/>
      <c r="C10" s="37" t="n"/>
      <c r="D10" s="37" t="n"/>
      <c r="E10" s="37" t="n"/>
      <c r="F10" s="10">
        <f>IF(E10="","",IF(COUNTIF(lst_Jobs,E10&amp;"")&gt;0,"OK","CHECK"))</f>
        <v/>
      </c>
      <c r="G10" s="37" t="n"/>
      <c r="H10" s="37" t="n"/>
      <c r="I10" s="39" t="n"/>
      <c r="J10" s="37" t="n"/>
      <c r="K10" s="42" t="n"/>
      <c r="L10" s="44" t="n"/>
      <c r="M10" s="11">
        <f>IF(E10="","",SUMIFS(tbl_Finance[Xero Invoiced Ex GST],tbl_Finance[Job Number],E10&amp;""))</f>
        <v/>
      </c>
      <c r="N10" s="11">
        <f>IF(J10&lt;&gt;"Won","",IF(E10="",N(I10),N(I10)-N(M10)))</f>
        <v/>
      </c>
      <c r="O10" s="37" t="n"/>
    </row>
    <row r="11">
      <c r="A11" s="44" t="n"/>
      <c r="B11" s="37" t="n"/>
      <c r="C11" s="37" t="n"/>
      <c r="D11" s="37" t="n"/>
      <c r="E11" s="37" t="n"/>
      <c r="F11" s="10">
        <f>IF(E11="","",IF(COUNTIF(lst_Jobs,E11&amp;"")&gt;0,"OK","CHECK"))</f>
        <v/>
      </c>
      <c r="G11" s="37" t="n"/>
      <c r="H11" s="37" t="n"/>
      <c r="I11" s="39" t="n"/>
      <c r="J11" s="37" t="n"/>
      <c r="K11" s="42" t="n"/>
      <c r="L11" s="44" t="n"/>
      <c r="M11" s="11">
        <f>IF(E11="","",SUMIFS(tbl_Finance[Xero Invoiced Ex GST],tbl_Finance[Job Number],E11&amp;""))</f>
        <v/>
      </c>
      <c r="N11" s="11">
        <f>IF(J11&lt;&gt;"Won","",IF(E11="",N(I11),N(I11)-N(M11)))</f>
        <v/>
      </c>
      <c r="O11" s="37" t="n"/>
    </row>
    <row r="12">
      <c r="A12" s="44" t="n"/>
      <c r="B12" s="37" t="n"/>
      <c r="C12" s="37" t="n"/>
      <c r="D12" s="37" t="n"/>
      <c r="E12" s="37" t="n"/>
      <c r="F12" s="10">
        <f>IF(E12="","",IF(COUNTIF(lst_Jobs,E12&amp;"")&gt;0,"OK","CHECK"))</f>
        <v/>
      </c>
      <c r="G12" s="37" t="n"/>
      <c r="H12" s="37" t="n"/>
      <c r="I12" s="39" t="n"/>
      <c r="J12" s="37" t="n"/>
      <c r="K12" s="42" t="n"/>
      <c r="L12" s="44" t="n"/>
      <c r="M12" s="11">
        <f>IF(E12="","",SUMIFS(tbl_Finance[Xero Invoiced Ex GST],tbl_Finance[Job Number],E12&amp;""))</f>
        <v/>
      </c>
      <c r="N12" s="11">
        <f>IF(J12&lt;&gt;"Won","",IF(E12="",N(I12),N(I12)-N(M12)))</f>
        <v/>
      </c>
      <c r="O12" s="37" t="n"/>
    </row>
    <row r="13">
      <c r="A13" s="44" t="n"/>
      <c r="B13" s="37" t="n"/>
      <c r="C13" s="37" t="n"/>
      <c r="D13" s="37" t="n"/>
      <c r="E13" s="37" t="n"/>
      <c r="F13" s="10">
        <f>IF(E13="","",IF(COUNTIF(lst_Jobs,E13&amp;"")&gt;0,"OK","CHECK"))</f>
        <v/>
      </c>
      <c r="G13" s="37" t="n"/>
      <c r="H13" s="37" t="n"/>
      <c r="I13" s="39" t="n"/>
      <c r="J13" s="37" t="n"/>
      <c r="K13" s="42" t="n"/>
      <c r="L13" s="44" t="n"/>
      <c r="M13" s="11">
        <f>IF(E13="","",SUMIFS(tbl_Finance[Xero Invoiced Ex GST],tbl_Finance[Job Number],E13&amp;""))</f>
        <v/>
      </c>
      <c r="N13" s="11">
        <f>IF(J13&lt;&gt;"Won","",IF(E13="",N(I13),N(I13)-N(M13)))</f>
        <v/>
      </c>
      <c r="O13" s="37" t="n"/>
    </row>
    <row r="14">
      <c r="A14" s="44" t="n"/>
      <c r="B14" s="37" t="n"/>
      <c r="C14" s="37" t="n"/>
      <c r="D14" s="37" t="n"/>
      <c r="E14" s="37" t="n"/>
      <c r="F14" s="10">
        <f>IF(E14="","",IF(COUNTIF(lst_Jobs,E14&amp;"")&gt;0,"OK","CHECK"))</f>
        <v/>
      </c>
      <c r="G14" s="37" t="n"/>
      <c r="H14" s="37" t="n"/>
      <c r="I14" s="39" t="n"/>
      <c r="J14" s="37" t="n"/>
      <c r="K14" s="42" t="n"/>
      <c r="L14" s="44" t="n"/>
      <c r="M14" s="11">
        <f>IF(E14="","",SUMIFS(tbl_Finance[Xero Invoiced Ex GST],tbl_Finance[Job Number],E14&amp;""))</f>
        <v/>
      </c>
      <c r="N14" s="11">
        <f>IF(J14&lt;&gt;"Won","",IF(E14="",N(I14),N(I14)-N(M14)))</f>
        <v/>
      </c>
      <c r="O14" s="37" t="n"/>
    </row>
    <row r="15">
      <c r="A15" s="44" t="n"/>
      <c r="B15" s="37" t="n"/>
      <c r="C15" s="37" t="n"/>
      <c r="D15" s="37" t="n"/>
      <c r="E15" s="37" t="n"/>
      <c r="F15" s="10">
        <f>IF(E15="","",IF(COUNTIF(lst_Jobs,E15&amp;"")&gt;0,"OK","CHECK"))</f>
        <v/>
      </c>
      <c r="G15" s="37" t="n"/>
      <c r="H15" s="37" t="n"/>
      <c r="I15" s="39" t="n"/>
      <c r="J15" s="37" t="n"/>
      <c r="K15" s="42" t="n"/>
      <c r="L15" s="44" t="n"/>
      <c r="M15" s="11">
        <f>IF(E15="","",SUMIFS(tbl_Finance[Xero Invoiced Ex GST],tbl_Finance[Job Number],E15&amp;""))</f>
        <v/>
      </c>
      <c r="N15" s="11">
        <f>IF(J15&lt;&gt;"Won","",IF(E15="",N(I15),N(I15)-N(M15)))</f>
        <v/>
      </c>
      <c r="O15" s="37" t="n"/>
    </row>
    <row r="16">
      <c r="A16" s="44" t="n"/>
      <c r="B16" s="37" t="n"/>
      <c r="C16" s="37" t="n"/>
      <c r="D16" s="37" t="n"/>
      <c r="E16" s="37" t="n"/>
      <c r="F16" s="10">
        <f>IF(E16="","",IF(COUNTIF(lst_Jobs,E16&amp;"")&gt;0,"OK","CHECK"))</f>
        <v/>
      </c>
      <c r="G16" s="37" t="n"/>
      <c r="H16" s="37" t="n"/>
      <c r="I16" s="39" t="n"/>
      <c r="J16" s="37" t="n"/>
      <c r="K16" s="42" t="n"/>
      <c r="L16" s="44" t="n"/>
      <c r="M16" s="11">
        <f>IF(E16="","",SUMIFS(tbl_Finance[Xero Invoiced Ex GST],tbl_Finance[Job Number],E16&amp;""))</f>
        <v/>
      </c>
      <c r="N16" s="11">
        <f>IF(J16&lt;&gt;"Won","",IF(E16="",N(I16),N(I16)-N(M16)))</f>
        <v/>
      </c>
      <c r="O16" s="37" t="n"/>
    </row>
    <row r="17">
      <c r="A17" s="44" t="n"/>
      <c r="B17" s="37" t="n"/>
      <c r="C17" s="37" t="n"/>
      <c r="D17" s="37" t="n"/>
      <c r="E17" s="37" t="n"/>
      <c r="F17" s="10">
        <f>IF(E17="","",IF(COUNTIF(lst_Jobs,E17&amp;"")&gt;0,"OK","CHECK"))</f>
        <v/>
      </c>
      <c r="G17" s="37" t="n"/>
      <c r="H17" s="37" t="n"/>
      <c r="I17" s="39" t="n"/>
      <c r="J17" s="37" t="n"/>
      <c r="K17" s="42" t="n"/>
      <c r="L17" s="44" t="n"/>
      <c r="M17" s="11">
        <f>IF(E17="","",SUMIFS(tbl_Finance[Xero Invoiced Ex GST],tbl_Finance[Job Number],E17&amp;""))</f>
        <v/>
      </c>
      <c r="N17" s="11">
        <f>IF(J17&lt;&gt;"Won","",IF(E17="",N(I17),N(I17)-N(M17)))</f>
        <v/>
      </c>
      <c r="O17" s="37" t="n"/>
    </row>
    <row r="18">
      <c r="A18" s="44" t="n"/>
      <c r="B18" s="37" t="n"/>
      <c r="C18" s="37" t="n"/>
      <c r="D18" s="37" t="n"/>
      <c r="E18" s="37" t="n"/>
      <c r="F18" s="10">
        <f>IF(E18="","",IF(COUNTIF(lst_Jobs,E18&amp;"")&gt;0,"OK","CHECK"))</f>
        <v/>
      </c>
      <c r="G18" s="37" t="n"/>
      <c r="H18" s="37" t="n"/>
      <c r="I18" s="39" t="n"/>
      <c r="J18" s="37" t="n"/>
      <c r="K18" s="42" t="n"/>
      <c r="L18" s="44" t="n"/>
      <c r="M18" s="11">
        <f>IF(E18="","",SUMIFS(tbl_Finance[Xero Invoiced Ex GST],tbl_Finance[Job Number],E18&amp;""))</f>
        <v/>
      </c>
      <c r="N18" s="11">
        <f>IF(J18&lt;&gt;"Won","",IF(E18="",N(I18),N(I18)-N(M18)))</f>
        <v/>
      </c>
      <c r="O18" s="37" t="n"/>
    </row>
    <row r="19">
      <c r="A19" s="44" t="n"/>
      <c r="B19" s="37" t="n"/>
      <c r="C19" s="37" t="n"/>
      <c r="D19" s="37" t="n"/>
      <c r="E19" s="37" t="n"/>
      <c r="F19" s="10">
        <f>IF(E19="","",IF(COUNTIF(lst_Jobs,E19&amp;"")&gt;0,"OK","CHECK"))</f>
        <v/>
      </c>
      <c r="G19" s="37" t="n"/>
      <c r="H19" s="37" t="n"/>
      <c r="I19" s="39" t="n"/>
      <c r="J19" s="37" t="n"/>
      <c r="K19" s="42" t="n"/>
      <c r="L19" s="44" t="n"/>
      <c r="M19" s="11">
        <f>IF(E19="","",SUMIFS(tbl_Finance[Xero Invoiced Ex GST],tbl_Finance[Job Number],E19&amp;""))</f>
        <v/>
      </c>
      <c r="N19" s="11">
        <f>IF(J19&lt;&gt;"Won","",IF(E19="",N(I19),N(I19)-N(M19)))</f>
        <v/>
      </c>
      <c r="O19" s="37" t="n"/>
    </row>
    <row r="20">
      <c r="A20" s="44" t="n"/>
      <c r="B20" s="37" t="n"/>
      <c r="C20" s="37" t="n"/>
      <c r="D20" s="37" t="n"/>
      <c r="E20" s="37" t="n"/>
      <c r="F20" s="10">
        <f>IF(E20="","",IF(COUNTIF(lst_Jobs,E20&amp;"")&gt;0,"OK","CHECK"))</f>
        <v/>
      </c>
      <c r="G20" s="37" t="n"/>
      <c r="H20" s="37" t="n"/>
      <c r="I20" s="39" t="n"/>
      <c r="J20" s="37" t="n"/>
      <c r="K20" s="42" t="n"/>
      <c r="L20" s="44" t="n"/>
      <c r="M20" s="11">
        <f>IF(E20="","",SUMIFS(tbl_Finance[Xero Invoiced Ex GST],tbl_Finance[Job Number],E20&amp;""))</f>
        <v/>
      </c>
      <c r="N20" s="11">
        <f>IF(J20&lt;&gt;"Won","",IF(E20="",N(I20),N(I20)-N(M20)))</f>
        <v/>
      </c>
      <c r="O20" s="37" t="n"/>
    </row>
    <row r="21">
      <c r="A21" s="44" t="n"/>
      <c r="B21" s="37" t="n"/>
      <c r="C21" s="37" t="n"/>
      <c r="D21" s="37" t="n"/>
      <c r="E21" s="37" t="n"/>
      <c r="F21" s="10">
        <f>IF(E21="","",IF(COUNTIF(lst_Jobs,E21&amp;"")&gt;0,"OK","CHECK"))</f>
        <v/>
      </c>
      <c r="G21" s="37" t="n"/>
      <c r="H21" s="37" t="n"/>
      <c r="I21" s="39" t="n"/>
      <c r="J21" s="37" t="n"/>
      <c r="K21" s="42" t="n"/>
      <c r="L21" s="44" t="n"/>
      <c r="M21" s="11">
        <f>IF(E21="","",SUMIFS(tbl_Finance[Xero Invoiced Ex GST],tbl_Finance[Job Number],E21&amp;""))</f>
        <v/>
      </c>
      <c r="N21" s="11">
        <f>IF(J21&lt;&gt;"Won","",IF(E21="",N(I21),N(I21)-N(M21)))</f>
        <v/>
      </c>
      <c r="O21" s="37" t="n"/>
    </row>
    <row r="22">
      <c r="A22" s="44" t="n"/>
      <c r="B22" s="37" t="n"/>
      <c r="C22" s="37" t="n"/>
      <c r="D22" s="37" t="n"/>
      <c r="E22" s="37" t="n"/>
      <c r="F22" s="10">
        <f>IF(E22="","",IF(COUNTIF(lst_Jobs,E22&amp;"")&gt;0,"OK","CHECK"))</f>
        <v/>
      </c>
      <c r="G22" s="37" t="n"/>
      <c r="H22" s="37" t="n"/>
      <c r="I22" s="39" t="n"/>
      <c r="J22" s="37" t="n"/>
      <c r="K22" s="42" t="n"/>
      <c r="L22" s="44" t="n"/>
      <c r="M22" s="11">
        <f>IF(E22="","",SUMIFS(tbl_Finance[Xero Invoiced Ex GST],tbl_Finance[Job Number],E22&amp;""))</f>
        <v/>
      </c>
      <c r="N22" s="11">
        <f>IF(J22&lt;&gt;"Won","",IF(E22="",N(I22),N(I22)-N(M22)))</f>
        <v/>
      </c>
      <c r="O22" s="37" t="n"/>
    </row>
    <row r="23">
      <c r="A23" s="44" t="n"/>
      <c r="B23" s="37" t="n"/>
      <c r="C23" s="37" t="n"/>
      <c r="D23" s="37" t="n"/>
      <c r="E23" s="37" t="n"/>
      <c r="F23" s="10">
        <f>IF(E23="","",IF(COUNTIF(lst_Jobs,E23&amp;"")&gt;0,"OK","CHECK"))</f>
        <v/>
      </c>
      <c r="G23" s="37" t="n"/>
      <c r="H23" s="37" t="n"/>
      <c r="I23" s="39" t="n"/>
      <c r="J23" s="37" t="n"/>
      <c r="K23" s="42" t="n"/>
      <c r="L23" s="44" t="n"/>
      <c r="M23" s="11">
        <f>IF(E23="","",SUMIFS(tbl_Finance[Xero Invoiced Ex GST],tbl_Finance[Job Number],E23&amp;""))</f>
        <v/>
      </c>
      <c r="N23" s="11">
        <f>IF(J23&lt;&gt;"Won","",IF(E23="",N(I23),N(I23)-N(M23)))</f>
        <v/>
      </c>
      <c r="O23" s="37" t="n"/>
    </row>
    <row r="24">
      <c r="A24" s="44" t="n"/>
      <c r="B24" s="37" t="n"/>
      <c r="C24" s="37" t="n"/>
      <c r="D24" s="37" t="n"/>
      <c r="E24" s="37" t="n"/>
      <c r="F24" s="10">
        <f>IF(E24="","",IF(COUNTIF(lst_Jobs,E24&amp;"")&gt;0,"OK","CHECK"))</f>
        <v/>
      </c>
      <c r="G24" s="37" t="n"/>
      <c r="H24" s="37" t="n"/>
      <c r="I24" s="39" t="n"/>
      <c r="J24" s="37" t="n"/>
      <c r="K24" s="42" t="n"/>
      <c r="L24" s="44" t="n"/>
      <c r="M24" s="11">
        <f>IF(E24="","",SUMIFS(tbl_Finance[Xero Invoiced Ex GST],tbl_Finance[Job Number],E24&amp;""))</f>
        <v/>
      </c>
      <c r="N24" s="11">
        <f>IF(J24&lt;&gt;"Won","",IF(E24="",N(I24),N(I24)-N(M24)))</f>
        <v/>
      </c>
      <c r="O24" s="37" t="n"/>
    </row>
    <row r="25">
      <c r="A25" s="44" t="n"/>
      <c r="B25" s="37" t="n"/>
      <c r="C25" s="37" t="n"/>
      <c r="D25" s="37" t="n"/>
      <c r="E25" s="37" t="n"/>
      <c r="F25" s="10">
        <f>IF(E25="","",IF(COUNTIF(lst_Jobs,E25&amp;"")&gt;0,"OK","CHECK"))</f>
        <v/>
      </c>
      <c r="G25" s="37" t="n"/>
      <c r="H25" s="37" t="n"/>
      <c r="I25" s="39" t="n"/>
      <c r="J25" s="37" t="n"/>
      <c r="K25" s="42" t="n"/>
      <c r="L25" s="44" t="n"/>
      <c r="M25" s="11">
        <f>IF(E25="","",SUMIFS(tbl_Finance[Xero Invoiced Ex GST],tbl_Finance[Job Number],E25&amp;""))</f>
        <v/>
      </c>
      <c r="N25" s="11">
        <f>IF(J25&lt;&gt;"Won","",IF(E25="",N(I25),N(I25)-N(M25)))</f>
        <v/>
      </c>
      <c r="O25" s="37" t="n"/>
    </row>
    <row r="26">
      <c r="A26" s="44" t="n"/>
      <c r="B26" s="37" t="n"/>
      <c r="C26" s="37" t="n"/>
      <c r="D26" s="37" t="n"/>
      <c r="E26" s="37" t="n"/>
      <c r="F26" s="10">
        <f>IF(E26="","",IF(COUNTIF(lst_Jobs,E26&amp;"")&gt;0,"OK","CHECK"))</f>
        <v/>
      </c>
      <c r="G26" s="37" t="n"/>
      <c r="H26" s="37" t="n"/>
      <c r="I26" s="39" t="n"/>
      <c r="J26" s="37" t="n"/>
      <c r="K26" s="42" t="n"/>
      <c r="L26" s="44" t="n"/>
      <c r="M26" s="11">
        <f>IF(E26="","",SUMIFS(tbl_Finance[Xero Invoiced Ex GST],tbl_Finance[Job Number],E26&amp;""))</f>
        <v/>
      </c>
      <c r="N26" s="11">
        <f>IF(J26&lt;&gt;"Won","",IF(E26="",N(I26),N(I26)-N(M26)))</f>
        <v/>
      </c>
      <c r="O26" s="37" t="n"/>
    </row>
    <row r="27">
      <c r="A27" s="44" t="n"/>
      <c r="B27" s="37" t="n"/>
      <c r="C27" s="37" t="n"/>
      <c r="D27" s="37" t="n"/>
      <c r="E27" s="37" t="n"/>
      <c r="F27" s="10">
        <f>IF(E27="","",IF(COUNTIF(lst_Jobs,E27&amp;"")&gt;0,"OK","CHECK"))</f>
        <v/>
      </c>
      <c r="G27" s="37" t="n"/>
      <c r="H27" s="37" t="n"/>
      <c r="I27" s="39" t="n"/>
      <c r="J27" s="37" t="n"/>
      <c r="K27" s="42" t="n"/>
      <c r="L27" s="44" t="n"/>
      <c r="M27" s="11">
        <f>IF(E27="","",SUMIFS(tbl_Finance[Xero Invoiced Ex GST],tbl_Finance[Job Number],E27&amp;""))</f>
        <v/>
      </c>
      <c r="N27" s="11">
        <f>IF(J27&lt;&gt;"Won","",IF(E27="",N(I27),N(I27)-N(M27)))</f>
        <v/>
      </c>
      <c r="O27" s="37" t="n"/>
    </row>
    <row r="28">
      <c r="A28" s="44" t="n"/>
      <c r="B28" s="37" t="n"/>
      <c r="C28" s="37" t="n"/>
      <c r="D28" s="37" t="n"/>
      <c r="E28" s="37" t="n"/>
      <c r="F28" s="10">
        <f>IF(E28="","",IF(COUNTIF(lst_Jobs,E28&amp;"")&gt;0,"OK","CHECK"))</f>
        <v/>
      </c>
      <c r="G28" s="37" t="n"/>
      <c r="H28" s="37" t="n"/>
      <c r="I28" s="39" t="n"/>
      <c r="J28" s="37" t="n"/>
      <c r="K28" s="42" t="n"/>
      <c r="L28" s="44" t="n"/>
      <c r="M28" s="11">
        <f>IF(E28="","",SUMIFS(tbl_Finance[Xero Invoiced Ex GST],tbl_Finance[Job Number],E28&amp;""))</f>
        <v/>
      </c>
      <c r="N28" s="11">
        <f>IF(J28&lt;&gt;"Won","",IF(E28="",N(I28),N(I28)-N(M28)))</f>
        <v/>
      </c>
      <c r="O28" s="37" t="n"/>
    </row>
    <row r="29">
      <c r="A29" s="44" t="n"/>
      <c r="B29" s="37" t="n"/>
      <c r="C29" s="37" t="n"/>
      <c r="D29" s="37" t="n"/>
      <c r="E29" s="37" t="n"/>
      <c r="F29" s="10">
        <f>IF(E29="","",IF(COUNTIF(lst_Jobs,E29&amp;"")&gt;0,"OK","CHECK"))</f>
        <v/>
      </c>
      <c r="G29" s="37" t="n"/>
      <c r="H29" s="37" t="n"/>
      <c r="I29" s="39" t="n"/>
      <c r="J29" s="37" t="n"/>
      <c r="K29" s="42" t="n"/>
      <c r="L29" s="44" t="n"/>
      <c r="M29" s="11">
        <f>IF(E29="","",SUMIFS(tbl_Finance[Xero Invoiced Ex GST],tbl_Finance[Job Number],E29&amp;""))</f>
        <v/>
      </c>
      <c r="N29" s="11">
        <f>IF(J29&lt;&gt;"Won","",IF(E29="",N(I29),N(I29)-N(M29)))</f>
        <v/>
      </c>
      <c r="O29" s="37" t="n"/>
    </row>
    <row r="30">
      <c r="A30" s="44" t="n"/>
      <c r="B30" s="37" t="n"/>
      <c r="C30" s="37" t="n"/>
      <c r="D30" s="37" t="n"/>
      <c r="E30" s="37" t="n"/>
      <c r="F30" s="10">
        <f>IF(E30="","",IF(COUNTIF(lst_Jobs,E30&amp;"")&gt;0,"OK","CHECK"))</f>
        <v/>
      </c>
      <c r="G30" s="37" t="n"/>
      <c r="H30" s="37" t="n"/>
      <c r="I30" s="39" t="n"/>
      <c r="J30" s="37" t="n"/>
      <c r="K30" s="42" t="n"/>
      <c r="L30" s="44" t="n"/>
      <c r="M30" s="11">
        <f>IF(E30="","",SUMIFS(tbl_Finance[Xero Invoiced Ex GST],tbl_Finance[Job Number],E30&amp;""))</f>
        <v/>
      </c>
      <c r="N30" s="11">
        <f>IF(J30&lt;&gt;"Won","",IF(E30="",N(I30),N(I30)-N(M30)))</f>
        <v/>
      </c>
      <c r="O30" s="37" t="n"/>
    </row>
    <row r="31">
      <c r="A31" s="44" t="n"/>
      <c r="B31" s="37" t="n"/>
      <c r="C31" s="37" t="n"/>
      <c r="D31" s="37" t="n"/>
      <c r="E31" s="37" t="n"/>
      <c r="F31" s="10">
        <f>IF(E31="","",IF(COUNTIF(lst_Jobs,E31&amp;"")&gt;0,"OK","CHECK"))</f>
        <v/>
      </c>
      <c r="G31" s="37" t="n"/>
      <c r="H31" s="37" t="n"/>
      <c r="I31" s="39" t="n"/>
      <c r="J31" s="37" t="n"/>
      <c r="K31" s="42" t="n"/>
      <c r="L31" s="44" t="n"/>
      <c r="M31" s="11">
        <f>IF(E31="","",SUMIFS(tbl_Finance[Xero Invoiced Ex GST],tbl_Finance[Job Number],E31&amp;""))</f>
        <v/>
      </c>
      <c r="N31" s="11">
        <f>IF(J31&lt;&gt;"Won","",IF(E31="",N(I31),N(I31)-N(M31)))</f>
        <v/>
      </c>
      <c r="O31" s="37" t="n"/>
    </row>
    <row r="32">
      <c r="A32" s="44" t="n"/>
      <c r="B32" s="37" t="n"/>
      <c r="C32" s="37" t="n"/>
      <c r="D32" s="37" t="n"/>
      <c r="E32" s="37" t="n"/>
      <c r="F32" s="10">
        <f>IF(E32="","",IF(COUNTIF(lst_Jobs,E32&amp;"")&gt;0,"OK","CHECK"))</f>
        <v/>
      </c>
      <c r="G32" s="37" t="n"/>
      <c r="H32" s="37" t="n"/>
      <c r="I32" s="39" t="n"/>
      <c r="J32" s="37" t="n"/>
      <c r="K32" s="42" t="n"/>
      <c r="L32" s="44" t="n"/>
      <c r="M32" s="11">
        <f>IF(E32="","",SUMIFS(tbl_Finance[Xero Invoiced Ex GST],tbl_Finance[Job Number],E32&amp;""))</f>
        <v/>
      </c>
      <c r="N32" s="11">
        <f>IF(J32&lt;&gt;"Won","",IF(E32="",N(I32),N(I32)-N(M32)))</f>
        <v/>
      </c>
      <c r="O32" s="37" t="n"/>
    </row>
    <row r="33">
      <c r="A33" s="44" t="n"/>
      <c r="B33" s="37" t="n"/>
      <c r="C33" s="37" t="n"/>
      <c r="D33" s="37" t="n"/>
      <c r="E33" s="37" t="n"/>
      <c r="F33" s="10">
        <f>IF(E33="","",IF(COUNTIF(lst_Jobs,E33&amp;"")&gt;0,"OK","CHECK"))</f>
        <v/>
      </c>
      <c r="G33" s="37" t="n"/>
      <c r="H33" s="37" t="n"/>
      <c r="I33" s="39" t="n"/>
      <c r="J33" s="37" t="n"/>
      <c r="K33" s="42" t="n"/>
      <c r="L33" s="44" t="n"/>
      <c r="M33" s="11">
        <f>IF(E33="","",SUMIFS(tbl_Finance[Xero Invoiced Ex GST],tbl_Finance[Job Number],E33&amp;""))</f>
        <v/>
      </c>
      <c r="N33" s="11">
        <f>IF(J33&lt;&gt;"Won","",IF(E33="",N(I33),N(I33)-N(M33)))</f>
        <v/>
      </c>
      <c r="O33" s="37" t="n"/>
    </row>
    <row r="34">
      <c r="A34" s="44" t="n"/>
      <c r="B34" s="37" t="n"/>
      <c r="C34" s="37" t="n"/>
      <c r="D34" s="37" t="n"/>
      <c r="E34" s="37" t="n"/>
      <c r="F34" s="10">
        <f>IF(E34="","",IF(COUNTIF(lst_Jobs,E34&amp;"")&gt;0,"OK","CHECK"))</f>
        <v/>
      </c>
      <c r="G34" s="37" t="n"/>
      <c r="H34" s="37" t="n"/>
      <c r="I34" s="39" t="n"/>
      <c r="J34" s="37" t="n"/>
      <c r="K34" s="42" t="n"/>
      <c r="L34" s="44" t="n"/>
      <c r="M34" s="11">
        <f>IF(E34="","",SUMIFS(tbl_Finance[Xero Invoiced Ex GST],tbl_Finance[Job Number],E34&amp;""))</f>
        <v/>
      </c>
      <c r="N34" s="11">
        <f>IF(J34&lt;&gt;"Won","",IF(E34="",N(I34),N(I34)-N(M34)))</f>
        <v/>
      </c>
      <c r="O34" s="37" t="n"/>
    </row>
    <row r="35">
      <c r="A35" s="44" t="n"/>
      <c r="B35" s="37" t="n"/>
      <c r="C35" s="37" t="n"/>
      <c r="D35" s="37" t="n"/>
      <c r="E35" s="37" t="n"/>
      <c r="F35" s="10">
        <f>IF(E35="","",IF(COUNTIF(lst_Jobs,E35&amp;"")&gt;0,"OK","CHECK"))</f>
        <v/>
      </c>
      <c r="G35" s="37" t="n"/>
      <c r="H35" s="37" t="n"/>
      <c r="I35" s="39" t="n"/>
      <c r="J35" s="37" t="n"/>
      <c r="K35" s="42" t="n"/>
      <c r="L35" s="44" t="n"/>
      <c r="M35" s="11">
        <f>IF(E35="","",SUMIFS(tbl_Finance[Xero Invoiced Ex GST],tbl_Finance[Job Number],E35&amp;""))</f>
        <v/>
      </c>
      <c r="N35" s="11">
        <f>IF(J35&lt;&gt;"Won","",IF(E35="",N(I35),N(I35)-N(M35)))</f>
        <v/>
      </c>
      <c r="O35" s="37" t="n"/>
    </row>
    <row r="36">
      <c r="A36" s="44" t="n"/>
      <c r="B36" s="37" t="n"/>
      <c r="C36" s="37" t="n"/>
      <c r="D36" s="37" t="n"/>
      <c r="E36" s="37" t="n"/>
      <c r="F36" s="10">
        <f>IF(E36="","",IF(COUNTIF(lst_Jobs,E36&amp;"")&gt;0,"OK","CHECK"))</f>
        <v/>
      </c>
      <c r="G36" s="37" t="n"/>
      <c r="H36" s="37" t="n"/>
      <c r="I36" s="39" t="n"/>
      <c r="J36" s="37" t="n"/>
      <c r="K36" s="42" t="n"/>
      <c r="L36" s="44" t="n"/>
      <c r="M36" s="11">
        <f>IF(E36="","",SUMIFS(tbl_Finance[Xero Invoiced Ex GST],tbl_Finance[Job Number],E36&amp;""))</f>
        <v/>
      </c>
      <c r="N36" s="11">
        <f>IF(J36&lt;&gt;"Won","",IF(E36="",N(I36),N(I36)-N(M36)))</f>
        <v/>
      </c>
      <c r="O36" s="37" t="n"/>
    </row>
    <row r="37">
      <c r="A37" s="44" t="n"/>
      <c r="B37" s="37" t="n"/>
      <c r="C37" s="37" t="n"/>
      <c r="D37" s="37" t="n"/>
      <c r="E37" s="37" t="n"/>
      <c r="F37" s="10">
        <f>IF(E37="","",IF(COUNTIF(lst_Jobs,E37&amp;"")&gt;0,"OK","CHECK"))</f>
        <v/>
      </c>
      <c r="G37" s="37" t="n"/>
      <c r="H37" s="37" t="n"/>
      <c r="I37" s="39" t="n"/>
      <c r="J37" s="37" t="n"/>
      <c r="K37" s="42" t="n"/>
      <c r="L37" s="44" t="n"/>
      <c r="M37" s="11">
        <f>IF(E37="","",SUMIFS(tbl_Finance[Xero Invoiced Ex GST],tbl_Finance[Job Number],E37&amp;""))</f>
        <v/>
      </c>
      <c r="N37" s="11">
        <f>IF(J37&lt;&gt;"Won","",IF(E37="",N(I37),N(I37)-N(M37)))</f>
        <v/>
      </c>
      <c r="O37" s="37" t="n"/>
    </row>
    <row r="38">
      <c r="A38" s="44" t="n"/>
      <c r="B38" s="37" t="n"/>
      <c r="C38" s="37" t="n"/>
      <c r="D38" s="37" t="n"/>
      <c r="E38" s="37" t="n"/>
      <c r="F38" s="10">
        <f>IF(E38="","",IF(COUNTIF(lst_Jobs,E38&amp;"")&gt;0,"OK","CHECK"))</f>
        <v/>
      </c>
      <c r="G38" s="37" t="n"/>
      <c r="H38" s="37" t="n"/>
      <c r="I38" s="39" t="n"/>
      <c r="J38" s="37" t="n"/>
      <c r="K38" s="42" t="n"/>
      <c r="L38" s="44" t="n"/>
      <c r="M38" s="11">
        <f>IF(E38="","",SUMIFS(tbl_Finance[Xero Invoiced Ex GST],tbl_Finance[Job Number],E38&amp;""))</f>
        <v/>
      </c>
      <c r="N38" s="11">
        <f>IF(J38&lt;&gt;"Won","",IF(E38="",N(I38),N(I38)-N(M38)))</f>
        <v/>
      </c>
      <c r="O38" s="37" t="n"/>
    </row>
    <row r="39">
      <c r="A39" s="44" t="n"/>
      <c r="B39" s="37" t="n"/>
      <c r="C39" s="37" t="n"/>
      <c r="D39" s="37" t="n"/>
      <c r="E39" s="37" t="n"/>
      <c r="F39" s="10">
        <f>IF(E39="","",IF(COUNTIF(lst_Jobs,E39&amp;"")&gt;0,"OK","CHECK"))</f>
        <v/>
      </c>
      <c r="G39" s="37" t="n"/>
      <c r="H39" s="37" t="n"/>
      <c r="I39" s="39" t="n"/>
      <c r="J39" s="37" t="n"/>
      <c r="K39" s="42" t="n"/>
      <c r="L39" s="44" t="n"/>
      <c r="M39" s="11">
        <f>IF(E39="","",SUMIFS(tbl_Finance[Xero Invoiced Ex GST],tbl_Finance[Job Number],E39&amp;""))</f>
        <v/>
      </c>
      <c r="N39" s="11">
        <f>IF(J39&lt;&gt;"Won","",IF(E39="",N(I39),N(I39)-N(M39)))</f>
        <v/>
      </c>
      <c r="O39" s="37" t="n"/>
    </row>
    <row r="40">
      <c r="A40" s="44" t="n"/>
      <c r="B40" s="37" t="n"/>
      <c r="C40" s="37" t="n"/>
      <c r="D40" s="37" t="n"/>
      <c r="E40" s="37" t="n"/>
      <c r="F40" s="10">
        <f>IF(E40="","",IF(COUNTIF(lst_Jobs,E40&amp;"")&gt;0,"OK","CHECK"))</f>
        <v/>
      </c>
      <c r="G40" s="37" t="n"/>
      <c r="H40" s="37" t="n"/>
      <c r="I40" s="39" t="n"/>
      <c r="J40" s="37" t="n"/>
      <c r="K40" s="42" t="n"/>
      <c r="L40" s="44" t="n"/>
      <c r="M40" s="11">
        <f>IF(E40="","",SUMIFS(tbl_Finance[Xero Invoiced Ex GST],tbl_Finance[Job Number],E40&amp;""))</f>
        <v/>
      </c>
      <c r="N40" s="11">
        <f>IF(J40&lt;&gt;"Won","",IF(E40="",N(I40),N(I40)-N(M40)))</f>
        <v/>
      </c>
      <c r="O40" s="37" t="n"/>
    </row>
    <row r="41">
      <c r="A41" s="44" t="n"/>
      <c r="B41" s="37" t="n"/>
      <c r="C41" s="37" t="n"/>
      <c r="D41" s="37" t="n"/>
      <c r="E41" s="37" t="n"/>
      <c r="F41" s="10">
        <f>IF(E41="","",IF(COUNTIF(lst_Jobs,E41&amp;"")&gt;0,"OK","CHECK"))</f>
        <v/>
      </c>
      <c r="G41" s="37" t="n"/>
      <c r="H41" s="37" t="n"/>
      <c r="I41" s="39" t="n"/>
      <c r="J41" s="37" t="n"/>
      <c r="K41" s="42" t="n"/>
      <c r="L41" s="44" t="n"/>
      <c r="M41" s="11">
        <f>IF(E41="","",SUMIFS(tbl_Finance[Xero Invoiced Ex GST],tbl_Finance[Job Number],E41&amp;""))</f>
        <v/>
      </c>
      <c r="N41" s="11">
        <f>IF(J41&lt;&gt;"Won","",IF(E41="",N(I41),N(I41)-N(M41)))</f>
        <v/>
      </c>
      <c r="O41" s="37" t="n"/>
    </row>
    <row r="42">
      <c r="A42" s="44" t="n"/>
      <c r="B42" s="37" t="n"/>
      <c r="C42" s="37" t="n"/>
      <c r="D42" s="37" t="n"/>
      <c r="E42" s="37" t="n"/>
      <c r="F42" s="10">
        <f>IF(E42="","",IF(COUNTIF(lst_Jobs,E42&amp;"")&gt;0,"OK","CHECK"))</f>
        <v/>
      </c>
      <c r="G42" s="37" t="n"/>
      <c r="H42" s="37" t="n"/>
      <c r="I42" s="39" t="n"/>
      <c r="J42" s="37" t="n"/>
      <c r="K42" s="42" t="n"/>
      <c r="L42" s="44" t="n"/>
      <c r="M42" s="11">
        <f>IF(E42="","",SUMIFS(tbl_Finance[Xero Invoiced Ex GST],tbl_Finance[Job Number],E42&amp;""))</f>
        <v/>
      </c>
      <c r="N42" s="11">
        <f>IF(J42&lt;&gt;"Won","",IF(E42="",N(I42),N(I42)-N(M42)))</f>
        <v/>
      </c>
      <c r="O42" s="37" t="n"/>
    </row>
    <row r="43">
      <c r="A43" s="44" t="n"/>
      <c r="B43" s="37" t="n"/>
      <c r="C43" s="37" t="n"/>
      <c r="D43" s="37" t="n"/>
      <c r="E43" s="37" t="n"/>
      <c r="F43" s="10">
        <f>IF(E43="","",IF(COUNTIF(lst_Jobs,E43&amp;"")&gt;0,"OK","CHECK"))</f>
        <v/>
      </c>
      <c r="G43" s="37" t="n"/>
      <c r="H43" s="37" t="n"/>
      <c r="I43" s="39" t="n"/>
      <c r="J43" s="37" t="n"/>
      <c r="K43" s="42" t="n"/>
      <c r="L43" s="44" t="n"/>
      <c r="M43" s="11">
        <f>IF(E43="","",SUMIFS(tbl_Finance[Xero Invoiced Ex GST],tbl_Finance[Job Number],E43&amp;""))</f>
        <v/>
      </c>
      <c r="N43" s="11">
        <f>IF(J43&lt;&gt;"Won","",IF(E43="",N(I43),N(I43)-N(M43)))</f>
        <v/>
      </c>
      <c r="O43" s="37" t="n"/>
    </row>
    <row r="44">
      <c r="A44" s="44" t="n"/>
      <c r="B44" s="37" t="n"/>
      <c r="C44" s="37" t="n"/>
      <c r="D44" s="37" t="n"/>
      <c r="E44" s="37" t="n"/>
      <c r="F44" s="10">
        <f>IF(E44="","",IF(COUNTIF(lst_Jobs,E44&amp;"")&gt;0,"OK","CHECK"))</f>
        <v/>
      </c>
      <c r="G44" s="37" t="n"/>
      <c r="H44" s="37" t="n"/>
      <c r="I44" s="39" t="n"/>
      <c r="J44" s="37" t="n"/>
      <c r="K44" s="42" t="n"/>
      <c r="L44" s="44" t="n"/>
      <c r="M44" s="11">
        <f>IF(E44="","",SUMIFS(tbl_Finance[Xero Invoiced Ex GST],tbl_Finance[Job Number],E44&amp;""))</f>
        <v/>
      </c>
      <c r="N44" s="11">
        <f>IF(J44&lt;&gt;"Won","",IF(E44="",N(I44),N(I44)-N(M44)))</f>
        <v/>
      </c>
      <c r="O44" s="37" t="n"/>
    </row>
    <row r="45">
      <c r="A45" s="44" t="n"/>
      <c r="B45" s="37" t="n"/>
      <c r="C45" s="37" t="n"/>
      <c r="D45" s="37" t="n"/>
      <c r="E45" s="37" t="n"/>
      <c r="F45" s="10">
        <f>IF(E45="","",IF(COUNTIF(lst_Jobs,E45&amp;"")&gt;0,"OK","CHECK"))</f>
        <v/>
      </c>
      <c r="G45" s="37" t="n"/>
      <c r="H45" s="37" t="n"/>
      <c r="I45" s="39" t="n"/>
      <c r="J45" s="37" t="n"/>
      <c r="K45" s="42" t="n"/>
      <c r="L45" s="44" t="n"/>
      <c r="M45" s="11">
        <f>IF(E45="","",SUMIFS(tbl_Finance[Xero Invoiced Ex GST],tbl_Finance[Job Number],E45&amp;""))</f>
        <v/>
      </c>
      <c r="N45" s="11">
        <f>IF(J45&lt;&gt;"Won","",IF(E45="",N(I45),N(I45)-N(M45)))</f>
        <v/>
      </c>
      <c r="O45" s="37" t="n"/>
    </row>
    <row r="46">
      <c r="A46" s="44" t="n"/>
      <c r="B46" s="37" t="n"/>
      <c r="C46" s="37" t="n"/>
      <c r="D46" s="37" t="n"/>
      <c r="E46" s="37" t="n"/>
      <c r="F46" s="10">
        <f>IF(E46="","",IF(COUNTIF(lst_Jobs,E46&amp;"")&gt;0,"OK","CHECK"))</f>
        <v/>
      </c>
      <c r="G46" s="37" t="n"/>
      <c r="H46" s="37" t="n"/>
      <c r="I46" s="39" t="n"/>
      <c r="J46" s="37" t="n"/>
      <c r="K46" s="42" t="n"/>
      <c r="L46" s="44" t="n"/>
      <c r="M46" s="11">
        <f>IF(E46="","",SUMIFS(tbl_Finance[Xero Invoiced Ex GST],tbl_Finance[Job Number],E46&amp;""))</f>
        <v/>
      </c>
      <c r="N46" s="11">
        <f>IF(J46&lt;&gt;"Won","",IF(E46="",N(I46),N(I46)-N(M46)))</f>
        <v/>
      </c>
      <c r="O46" s="37" t="n"/>
    </row>
    <row r="47">
      <c r="A47" s="44" t="n"/>
      <c r="B47" s="37" t="n"/>
      <c r="C47" s="37" t="n"/>
      <c r="D47" s="37" t="n"/>
      <c r="E47" s="37" t="n"/>
      <c r="F47" s="10">
        <f>IF(E47="","",IF(COUNTIF(lst_Jobs,E47&amp;"")&gt;0,"OK","CHECK"))</f>
        <v/>
      </c>
      <c r="G47" s="37" t="n"/>
      <c r="H47" s="37" t="n"/>
      <c r="I47" s="39" t="n"/>
      <c r="J47" s="37" t="n"/>
      <c r="K47" s="42" t="n"/>
      <c r="L47" s="44" t="n"/>
      <c r="M47" s="11">
        <f>IF(E47="","",SUMIFS(tbl_Finance[Xero Invoiced Ex GST],tbl_Finance[Job Number],E47&amp;""))</f>
        <v/>
      </c>
      <c r="N47" s="11">
        <f>IF(J47&lt;&gt;"Won","",IF(E47="",N(I47),N(I47)-N(M47)))</f>
        <v/>
      </c>
      <c r="O47" s="37" t="n"/>
    </row>
    <row r="48">
      <c r="A48" s="44" t="n"/>
      <c r="B48" s="37" t="n"/>
      <c r="C48" s="37" t="n"/>
      <c r="D48" s="37" t="n"/>
      <c r="E48" s="37" t="n"/>
      <c r="F48" s="10">
        <f>IF(E48="","",IF(COUNTIF(lst_Jobs,E48&amp;"")&gt;0,"OK","CHECK"))</f>
        <v/>
      </c>
      <c r="G48" s="37" t="n"/>
      <c r="H48" s="37" t="n"/>
      <c r="I48" s="39" t="n"/>
      <c r="J48" s="37" t="n"/>
      <c r="K48" s="42" t="n"/>
      <c r="L48" s="44" t="n"/>
      <c r="M48" s="11">
        <f>IF(E48="","",SUMIFS(tbl_Finance[Xero Invoiced Ex GST],tbl_Finance[Job Number],E48&amp;""))</f>
        <v/>
      </c>
      <c r="N48" s="11">
        <f>IF(J48&lt;&gt;"Won","",IF(E48="",N(I48),N(I48)-N(M48)))</f>
        <v/>
      </c>
      <c r="O48" s="37" t="n"/>
    </row>
    <row r="49">
      <c r="A49" s="44" t="n"/>
      <c r="B49" s="37" t="n"/>
      <c r="C49" s="37" t="n"/>
      <c r="D49" s="37" t="n"/>
      <c r="E49" s="37" t="n"/>
      <c r="F49" s="10">
        <f>IF(E49="","",IF(COUNTIF(lst_Jobs,E49&amp;"")&gt;0,"OK","CHECK"))</f>
        <v/>
      </c>
      <c r="G49" s="37" t="n"/>
      <c r="H49" s="37" t="n"/>
      <c r="I49" s="39" t="n"/>
      <c r="J49" s="37" t="n"/>
      <c r="K49" s="42" t="n"/>
      <c r="L49" s="44" t="n"/>
      <c r="M49" s="11">
        <f>IF(E49="","",SUMIFS(tbl_Finance[Xero Invoiced Ex GST],tbl_Finance[Job Number],E49&amp;""))</f>
        <v/>
      </c>
      <c r="N49" s="11">
        <f>IF(J49&lt;&gt;"Won","",IF(E49="",N(I49),N(I49)-N(M49)))</f>
        <v/>
      </c>
      <c r="O49" s="37" t="n"/>
    </row>
    <row r="50">
      <c r="A50" s="44" t="n"/>
      <c r="B50" s="37" t="n"/>
      <c r="C50" s="37" t="n"/>
      <c r="D50" s="37" t="n"/>
      <c r="E50" s="37" t="n"/>
      <c r="F50" s="10">
        <f>IF(E50="","",IF(COUNTIF(lst_Jobs,E50&amp;"")&gt;0,"OK","CHECK"))</f>
        <v/>
      </c>
      <c r="G50" s="37" t="n"/>
      <c r="H50" s="37" t="n"/>
      <c r="I50" s="39" t="n"/>
      <c r="J50" s="37" t="n"/>
      <c r="K50" s="42" t="n"/>
      <c r="L50" s="44" t="n"/>
      <c r="M50" s="11">
        <f>IF(E50="","",SUMIFS(tbl_Finance[Xero Invoiced Ex GST],tbl_Finance[Job Number],E50&amp;""))</f>
        <v/>
      </c>
      <c r="N50" s="11">
        <f>IF(J50&lt;&gt;"Won","",IF(E50="",N(I50),N(I50)-N(M50)))</f>
        <v/>
      </c>
      <c r="O50" s="37" t="n"/>
    </row>
    <row r="51">
      <c r="A51" s="44" t="n"/>
      <c r="B51" s="37" t="n"/>
      <c r="C51" s="37" t="n"/>
      <c r="D51" s="37" t="n"/>
      <c r="E51" s="37" t="n"/>
      <c r="F51" s="10">
        <f>IF(E51="","",IF(COUNTIF(lst_Jobs,E51&amp;"")&gt;0,"OK","CHECK"))</f>
        <v/>
      </c>
      <c r="G51" s="37" t="n"/>
      <c r="H51" s="37" t="n"/>
      <c r="I51" s="39" t="n"/>
      <c r="J51" s="37" t="n"/>
      <c r="K51" s="42" t="n"/>
      <c r="L51" s="44" t="n"/>
      <c r="M51" s="11">
        <f>IF(E51="","",SUMIFS(tbl_Finance[Xero Invoiced Ex GST],tbl_Finance[Job Number],E51&amp;""))</f>
        <v/>
      </c>
      <c r="N51" s="11">
        <f>IF(J51&lt;&gt;"Won","",IF(E51="",N(I51),N(I51)-N(M51)))</f>
        <v/>
      </c>
      <c r="O51" s="37" t="n"/>
    </row>
    <row r="52">
      <c r="A52" s="44" t="n"/>
      <c r="B52" s="37" t="n"/>
      <c r="C52" s="37" t="n"/>
      <c r="D52" s="37" t="n"/>
      <c r="E52" s="37" t="n"/>
      <c r="F52" s="10">
        <f>IF(E52="","",IF(COUNTIF(lst_Jobs,E52&amp;"")&gt;0,"OK","CHECK"))</f>
        <v/>
      </c>
      <c r="G52" s="37" t="n"/>
      <c r="H52" s="37" t="n"/>
      <c r="I52" s="39" t="n"/>
      <c r="J52" s="37" t="n"/>
      <c r="K52" s="42" t="n"/>
      <c r="L52" s="44" t="n"/>
      <c r="M52" s="11">
        <f>IF(E52="","",SUMIFS(tbl_Finance[Xero Invoiced Ex GST],tbl_Finance[Job Number],E52&amp;""))</f>
        <v/>
      </c>
      <c r="N52" s="11">
        <f>IF(J52&lt;&gt;"Won","",IF(E52="",N(I52),N(I52)-N(M52)))</f>
        <v/>
      </c>
      <c r="O52" s="37" t="n"/>
    </row>
    <row r="53">
      <c r="A53" s="44" t="n"/>
      <c r="B53" s="37" t="n"/>
      <c r="C53" s="37" t="n"/>
      <c r="D53" s="37" t="n"/>
      <c r="E53" s="37" t="n"/>
      <c r="F53" s="10">
        <f>IF(E53="","",IF(COUNTIF(lst_Jobs,E53&amp;"")&gt;0,"OK","CHECK"))</f>
        <v/>
      </c>
      <c r="G53" s="37" t="n"/>
      <c r="H53" s="37" t="n"/>
      <c r="I53" s="39" t="n"/>
      <c r="J53" s="37" t="n"/>
      <c r="K53" s="42" t="n"/>
      <c r="L53" s="44" t="n"/>
      <c r="M53" s="11">
        <f>IF(E53="","",SUMIFS(tbl_Finance[Xero Invoiced Ex GST],tbl_Finance[Job Number],E53&amp;""))</f>
        <v/>
      </c>
      <c r="N53" s="11">
        <f>IF(J53&lt;&gt;"Won","",IF(E53="",N(I53),N(I53)-N(M53)))</f>
        <v/>
      </c>
      <c r="O53" s="37" t="n"/>
    </row>
    <row r="54">
      <c r="A54" s="44" t="n"/>
      <c r="B54" s="37" t="n"/>
      <c r="C54" s="37" t="n"/>
      <c r="D54" s="37" t="n"/>
      <c r="E54" s="37" t="n"/>
      <c r="F54" s="10">
        <f>IF(E54="","",IF(COUNTIF(lst_Jobs,E54&amp;"")&gt;0,"OK","CHECK"))</f>
        <v/>
      </c>
      <c r="G54" s="37" t="n"/>
      <c r="H54" s="37" t="n"/>
      <c r="I54" s="39" t="n"/>
      <c r="J54" s="37" t="n"/>
      <c r="K54" s="42" t="n"/>
      <c r="L54" s="44" t="n"/>
      <c r="M54" s="11">
        <f>IF(E54="","",SUMIFS(tbl_Finance[Xero Invoiced Ex GST],tbl_Finance[Job Number],E54&amp;""))</f>
        <v/>
      </c>
      <c r="N54" s="11">
        <f>IF(J54&lt;&gt;"Won","",IF(E54="",N(I54),N(I54)-N(M54)))</f>
        <v/>
      </c>
      <c r="O54" s="37" t="n"/>
    </row>
    <row r="55">
      <c r="A55" s="44" t="n"/>
      <c r="B55" s="37" t="n"/>
      <c r="C55" s="37" t="n"/>
      <c r="D55" s="37" t="n"/>
      <c r="E55" s="37" t="n"/>
      <c r="F55" s="10">
        <f>IF(E55="","",IF(COUNTIF(lst_Jobs,E55&amp;"")&gt;0,"OK","CHECK"))</f>
        <v/>
      </c>
      <c r="G55" s="37" t="n"/>
      <c r="H55" s="37" t="n"/>
      <c r="I55" s="39" t="n"/>
      <c r="J55" s="37" t="n"/>
      <c r="K55" s="42" t="n"/>
      <c r="L55" s="44" t="n"/>
      <c r="M55" s="11">
        <f>IF(E55="","",SUMIFS(tbl_Finance[Xero Invoiced Ex GST],tbl_Finance[Job Number],E55&amp;""))</f>
        <v/>
      </c>
      <c r="N55" s="11">
        <f>IF(J55&lt;&gt;"Won","",IF(E55="",N(I55),N(I55)-N(M55)))</f>
        <v/>
      </c>
      <c r="O55" s="37" t="n"/>
    </row>
    <row r="56">
      <c r="A56" s="44" t="n"/>
      <c r="B56" s="37" t="n"/>
      <c r="C56" s="37" t="n"/>
      <c r="D56" s="37" t="n"/>
      <c r="E56" s="37" t="n"/>
      <c r="F56" s="10">
        <f>IF(E56="","",IF(COUNTIF(lst_Jobs,E56&amp;"")&gt;0,"OK","CHECK"))</f>
        <v/>
      </c>
      <c r="G56" s="37" t="n"/>
      <c r="H56" s="37" t="n"/>
      <c r="I56" s="39" t="n"/>
      <c r="J56" s="37" t="n"/>
      <c r="K56" s="42" t="n"/>
      <c r="L56" s="44" t="n"/>
      <c r="M56" s="11">
        <f>IF(E56="","",SUMIFS(tbl_Finance[Xero Invoiced Ex GST],tbl_Finance[Job Number],E56&amp;""))</f>
        <v/>
      </c>
      <c r="N56" s="11">
        <f>IF(J56&lt;&gt;"Won","",IF(E56="",N(I56),N(I56)-N(M56)))</f>
        <v/>
      </c>
      <c r="O56" s="37" t="n"/>
    </row>
    <row r="57">
      <c r="A57" s="44" t="n"/>
      <c r="B57" s="37" t="n"/>
      <c r="C57" s="37" t="n"/>
      <c r="D57" s="37" t="n"/>
      <c r="E57" s="37" t="n"/>
      <c r="F57" s="10">
        <f>IF(E57="","",IF(COUNTIF(lst_Jobs,E57&amp;"")&gt;0,"OK","CHECK"))</f>
        <v/>
      </c>
      <c r="G57" s="37" t="n"/>
      <c r="H57" s="37" t="n"/>
      <c r="I57" s="39" t="n"/>
      <c r="J57" s="37" t="n"/>
      <c r="K57" s="42" t="n"/>
      <c r="L57" s="44" t="n"/>
      <c r="M57" s="11">
        <f>IF(E57="","",SUMIFS(tbl_Finance[Xero Invoiced Ex GST],tbl_Finance[Job Number],E57&amp;""))</f>
        <v/>
      </c>
      <c r="N57" s="11">
        <f>IF(J57&lt;&gt;"Won","",IF(E57="",N(I57),N(I57)-N(M57)))</f>
        <v/>
      </c>
      <c r="O57" s="37" t="n"/>
    </row>
    <row r="58">
      <c r="A58" s="44" t="n"/>
      <c r="B58" s="37" t="n"/>
      <c r="C58" s="37" t="n"/>
      <c r="D58" s="37" t="n"/>
      <c r="E58" s="37" t="n"/>
      <c r="F58" s="10">
        <f>IF(E58="","",IF(COUNTIF(lst_Jobs,E58&amp;"")&gt;0,"OK","CHECK"))</f>
        <v/>
      </c>
      <c r="G58" s="37" t="n"/>
      <c r="H58" s="37" t="n"/>
      <c r="I58" s="39" t="n"/>
      <c r="J58" s="37" t="n"/>
      <c r="K58" s="42" t="n"/>
      <c r="L58" s="44" t="n"/>
      <c r="M58" s="11">
        <f>IF(E58="","",SUMIFS(tbl_Finance[Xero Invoiced Ex GST],tbl_Finance[Job Number],E58&amp;""))</f>
        <v/>
      </c>
      <c r="N58" s="11">
        <f>IF(J58&lt;&gt;"Won","",IF(E58="",N(I58),N(I58)-N(M58)))</f>
        <v/>
      </c>
      <c r="O58" s="37" t="n"/>
    </row>
    <row r="59">
      <c r="A59" s="44" t="n"/>
      <c r="B59" s="37" t="n"/>
      <c r="C59" s="37" t="n"/>
      <c r="D59" s="37" t="n"/>
      <c r="E59" s="37" t="n"/>
      <c r="F59" s="10">
        <f>IF(E59="","",IF(COUNTIF(lst_Jobs,E59&amp;"")&gt;0,"OK","CHECK"))</f>
        <v/>
      </c>
      <c r="G59" s="37" t="n"/>
      <c r="H59" s="37" t="n"/>
      <c r="I59" s="39" t="n"/>
      <c r="J59" s="37" t="n"/>
      <c r="K59" s="42" t="n"/>
      <c r="L59" s="44" t="n"/>
      <c r="M59" s="11">
        <f>IF(E59="","",SUMIFS(tbl_Finance[Xero Invoiced Ex GST],tbl_Finance[Job Number],E59&amp;""))</f>
        <v/>
      </c>
      <c r="N59" s="11">
        <f>IF(J59&lt;&gt;"Won","",IF(E59="",N(I59),N(I59)-N(M59)))</f>
        <v/>
      </c>
      <c r="O59" s="37" t="n"/>
    </row>
    <row r="60">
      <c r="A60" s="44" t="n"/>
      <c r="B60" s="37" t="n"/>
      <c r="C60" s="37" t="n"/>
      <c r="D60" s="37" t="n"/>
      <c r="E60" s="37" t="n"/>
      <c r="F60" s="10">
        <f>IF(E60="","",IF(COUNTIF(lst_Jobs,E60&amp;"")&gt;0,"OK","CHECK"))</f>
        <v/>
      </c>
      <c r="G60" s="37" t="n"/>
      <c r="H60" s="37" t="n"/>
      <c r="I60" s="39" t="n"/>
      <c r="J60" s="37" t="n"/>
      <c r="K60" s="42" t="n"/>
      <c r="L60" s="44" t="n"/>
      <c r="M60" s="11">
        <f>IF(E60="","",SUMIFS(tbl_Finance[Xero Invoiced Ex GST],tbl_Finance[Job Number],E60&amp;""))</f>
        <v/>
      </c>
      <c r="N60" s="11">
        <f>IF(J60&lt;&gt;"Won","",IF(E60="",N(I60),N(I60)-N(M60)))</f>
        <v/>
      </c>
      <c r="O60" s="37" t="n"/>
    </row>
    <row r="61">
      <c r="A61" s="44" t="n"/>
      <c r="B61" s="37" t="n"/>
      <c r="C61" s="37" t="n"/>
      <c r="D61" s="37" t="n"/>
      <c r="E61" s="37" t="n"/>
      <c r="F61" s="10">
        <f>IF(E61="","",IF(COUNTIF(lst_Jobs,E61&amp;"")&gt;0,"OK","CHECK"))</f>
        <v/>
      </c>
      <c r="G61" s="37" t="n"/>
      <c r="H61" s="37" t="n"/>
      <c r="I61" s="39" t="n"/>
      <c r="J61" s="37" t="n"/>
      <c r="K61" s="42" t="n"/>
      <c r="L61" s="44" t="n"/>
      <c r="M61" s="11">
        <f>IF(E61="","",SUMIFS(tbl_Finance[Xero Invoiced Ex GST],tbl_Finance[Job Number],E61&amp;""))</f>
        <v/>
      </c>
      <c r="N61" s="11">
        <f>IF(J61&lt;&gt;"Won","",IF(E61="",N(I61),N(I61)-N(M61)))</f>
        <v/>
      </c>
      <c r="O61" s="37" t="n"/>
    </row>
    <row r="62">
      <c r="A62" s="44" t="n"/>
      <c r="B62" s="37" t="n"/>
      <c r="C62" s="37" t="n"/>
      <c r="D62" s="37" t="n"/>
      <c r="E62" s="37" t="n"/>
      <c r="F62" s="10">
        <f>IF(E62="","",IF(COUNTIF(lst_Jobs,E62&amp;"")&gt;0,"OK","CHECK"))</f>
        <v/>
      </c>
      <c r="G62" s="37" t="n"/>
      <c r="H62" s="37" t="n"/>
      <c r="I62" s="39" t="n"/>
      <c r="J62" s="37" t="n"/>
      <c r="K62" s="42" t="n"/>
      <c r="L62" s="44" t="n"/>
      <c r="M62" s="11">
        <f>IF(E62="","",SUMIFS(tbl_Finance[Xero Invoiced Ex GST],tbl_Finance[Job Number],E62&amp;""))</f>
        <v/>
      </c>
      <c r="N62" s="11">
        <f>IF(J62&lt;&gt;"Won","",IF(E62="",N(I62),N(I62)-N(M62)))</f>
        <v/>
      </c>
      <c r="O62" s="37" t="n"/>
    </row>
    <row r="63">
      <c r="A63" s="44" t="n"/>
      <c r="B63" s="37" t="n"/>
      <c r="C63" s="37" t="n"/>
      <c r="D63" s="37" t="n"/>
      <c r="E63" s="37" t="n"/>
      <c r="F63" s="10">
        <f>IF(E63="","",IF(COUNTIF(lst_Jobs,E63&amp;"")&gt;0,"OK","CHECK"))</f>
        <v/>
      </c>
      <c r="G63" s="37" t="n"/>
      <c r="H63" s="37" t="n"/>
      <c r="I63" s="39" t="n"/>
      <c r="J63" s="37" t="n"/>
      <c r="K63" s="42" t="n"/>
      <c r="L63" s="44" t="n"/>
      <c r="M63" s="11">
        <f>IF(E63="","",SUMIFS(tbl_Finance[Xero Invoiced Ex GST],tbl_Finance[Job Number],E63&amp;""))</f>
        <v/>
      </c>
      <c r="N63" s="11">
        <f>IF(J63&lt;&gt;"Won","",IF(E63="",N(I63),N(I63)-N(M63)))</f>
        <v/>
      </c>
      <c r="O63" s="37" t="n"/>
    </row>
    <row r="64">
      <c r="A64" s="44" t="n"/>
      <c r="B64" s="37" t="n"/>
      <c r="C64" s="37" t="n"/>
      <c r="D64" s="37" t="n"/>
      <c r="E64" s="37" t="n"/>
      <c r="F64" s="10">
        <f>IF(E64="","",IF(COUNTIF(lst_Jobs,E64&amp;"")&gt;0,"OK","CHECK"))</f>
        <v/>
      </c>
      <c r="G64" s="37" t="n"/>
      <c r="H64" s="37" t="n"/>
      <c r="I64" s="39" t="n"/>
      <c r="J64" s="37" t="n"/>
      <c r="K64" s="42" t="n"/>
      <c r="L64" s="44" t="n"/>
      <c r="M64" s="11">
        <f>IF(E64="","",SUMIFS(tbl_Finance[Xero Invoiced Ex GST],tbl_Finance[Job Number],E64&amp;""))</f>
        <v/>
      </c>
      <c r="N64" s="11">
        <f>IF(J64&lt;&gt;"Won","",IF(E64="",N(I64),N(I64)-N(M64)))</f>
        <v/>
      </c>
      <c r="O64" s="37" t="n"/>
    </row>
    <row r="65">
      <c r="A65" s="44" t="n"/>
      <c r="B65" s="37" t="n"/>
      <c r="C65" s="37" t="n"/>
      <c r="D65" s="37" t="n"/>
      <c r="E65" s="37" t="n"/>
      <c r="F65" s="10">
        <f>IF(E65="","",IF(COUNTIF(lst_Jobs,E65&amp;"")&gt;0,"OK","CHECK"))</f>
        <v/>
      </c>
      <c r="G65" s="37" t="n"/>
      <c r="H65" s="37" t="n"/>
      <c r="I65" s="39" t="n"/>
      <c r="J65" s="37" t="n"/>
      <c r="K65" s="42" t="n"/>
      <c r="L65" s="44" t="n"/>
      <c r="M65" s="11">
        <f>IF(E65="","",SUMIFS(tbl_Finance[Xero Invoiced Ex GST],tbl_Finance[Job Number],E65&amp;""))</f>
        <v/>
      </c>
      <c r="N65" s="11">
        <f>IF(J65&lt;&gt;"Won","",IF(E65="",N(I65),N(I65)-N(M65)))</f>
        <v/>
      </c>
      <c r="O65" s="37" t="n"/>
    </row>
    <row r="66">
      <c r="A66" s="44" t="n"/>
      <c r="B66" s="37" t="n"/>
      <c r="C66" s="37" t="n"/>
      <c r="D66" s="37" t="n"/>
      <c r="E66" s="37" t="n"/>
      <c r="F66" s="10">
        <f>IF(E66="","",IF(COUNTIF(lst_Jobs,E66&amp;"")&gt;0,"OK","CHECK"))</f>
        <v/>
      </c>
      <c r="G66" s="37" t="n"/>
      <c r="H66" s="37" t="n"/>
      <c r="I66" s="39" t="n"/>
      <c r="J66" s="37" t="n"/>
      <c r="K66" s="42" t="n"/>
      <c r="L66" s="44" t="n"/>
      <c r="M66" s="11">
        <f>IF(E66="","",SUMIFS(tbl_Finance[Xero Invoiced Ex GST],tbl_Finance[Job Number],E66&amp;""))</f>
        <v/>
      </c>
      <c r="N66" s="11">
        <f>IF(J66&lt;&gt;"Won","",IF(E66="",N(I66),N(I66)-N(M66)))</f>
        <v/>
      </c>
      <c r="O66" s="37" t="n"/>
    </row>
    <row r="67">
      <c r="A67" s="44" t="n"/>
      <c r="B67" s="37" t="n"/>
      <c r="C67" s="37" t="n"/>
      <c r="D67" s="37" t="n"/>
      <c r="E67" s="37" t="n"/>
      <c r="F67" s="10">
        <f>IF(E67="","",IF(COUNTIF(lst_Jobs,E67&amp;"")&gt;0,"OK","CHECK"))</f>
        <v/>
      </c>
      <c r="G67" s="37" t="n"/>
      <c r="H67" s="37" t="n"/>
      <c r="I67" s="39" t="n"/>
      <c r="J67" s="37" t="n"/>
      <c r="K67" s="42" t="n"/>
      <c r="L67" s="44" t="n"/>
      <c r="M67" s="11">
        <f>IF(E67="","",SUMIFS(tbl_Finance[Xero Invoiced Ex GST],tbl_Finance[Job Number],E67&amp;""))</f>
        <v/>
      </c>
      <c r="N67" s="11">
        <f>IF(J67&lt;&gt;"Won","",IF(E67="",N(I67),N(I67)-N(M67)))</f>
        <v/>
      </c>
      <c r="O67" s="37" t="n"/>
    </row>
    <row r="68">
      <c r="A68" s="44" t="n"/>
      <c r="B68" s="37" t="n"/>
      <c r="C68" s="37" t="n"/>
      <c r="D68" s="37" t="n"/>
      <c r="E68" s="37" t="n"/>
      <c r="F68" s="10">
        <f>IF(E68="","",IF(COUNTIF(lst_Jobs,E68&amp;"")&gt;0,"OK","CHECK"))</f>
        <v/>
      </c>
      <c r="G68" s="37" t="n"/>
      <c r="H68" s="37" t="n"/>
      <c r="I68" s="39" t="n"/>
      <c r="J68" s="37" t="n"/>
      <c r="K68" s="42" t="n"/>
      <c r="L68" s="44" t="n"/>
      <c r="M68" s="11">
        <f>IF(E68="","",SUMIFS(tbl_Finance[Xero Invoiced Ex GST],tbl_Finance[Job Number],E68&amp;""))</f>
        <v/>
      </c>
      <c r="N68" s="11">
        <f>IF(J68&lt;&gt;"Won","",IF(E68="",N(I68),N(I68)-N(M68)))</f>
        <v/>
      </c>
      <c r="O68" s="37" t="n"/>
    </row>
    <row r="69">
      <c r="A69" s="44" t="n"/>
      <c r="B69" s="37" t="n"/>
      <c r="C69" s="37" t="n"/>
      <c r="D69" s="37" t="n"/>
      <c r="E69" s="37" t="n"/>
      <c r="F69" s="10">
        <f>IF(E69="","",IF(COUNTIF(lst_Jobs,E69&amp;"")&gt;0,"OK","CHECK"))</f>
        <v/>
      </c>
      <c r="G69" s="37" t="n"/>
      <c r="H69" s="37" t="n"/>
      <c r="I69" s="39" t="n"/>
      <c r="J69" s="37" t="n"/>
      <c r="K69" s="42" t="n"/>
      <c r="L69" s="44" t="n"/>
      <c r="M69" s="11">
        <f>IF(E69="","",SUMIFS(tbl_Finance[Xero Invoiced Ex GST],tbl_Finance[Job Number],E69&amp;""))</f>
        <v/>
      </c>
      <c r="N69" s="11">
        <f>IF(J69&lt;&gt;"Won","",IF(E69="",N(I69),N(I69)-N(M69)))</f>
        <v/>
      </c>
      <c r="O69" s="37" t="n"/>
    </row>
    <row r="70">
      <c r="A70" s="44" t="n"/>
      <c r="B70" s="37" t="n"/>
      <c r="C70" s="37" t="n"/>
      <c r="D70" s="37" t="n"/>
      <c r="E70" s="37" t="n"/>
      <c r="F70" s="10">
        <f>IF(E70="","",IF(COUNTIF(lst_Jobs,E70&amp;"")&gt;0,"OK","CHECK"))</f>
        <v/>
      </c>
      <c r="G70" s="37" t="n"/>
      <c r="H70" s="37" t="n"/>
      <c r="I70" s="39" t="n"/>
      <c r="J70" s="37" t="n"/>
      <c r="K70" s="42" t="n"/>
      <c r="L70" s="44" t="n"/>
      <c r="M70" s="11">
        <f>IF(E70="","",SUMIFS(tbl_Finance[Xero Invoiced Ex GST],tbl_Finance[Job Number],E70&amp;""))</f>
        <v/>
      </c>
      <c r="N70" s="11">
        <f>IF(J70&lt;&gt;"Won","",IF(E70="",N(I70),N(I70)-N(M70)))</f>
        <v/>
      </c>
      <c r="O70" s="37" t="n"/>
    </row>
    <row r="71">
      <c r="A71" s="44" t="n"/>
      <c r="B71" s="37" t="n"/>
      <c r="C71" s="37" t="n"/>
      <c r="D71" s="37" t="n"/>
      <c r="E71" s="37" t="n"/>
      <c r="F71" s="10">
        <f>IF(E71="","",IF(COUNTIF(lst_Jobs,E71&amp;"")&gt;0,"OK","CHECK"))</f>
        <v/>
      </c>
      <c r="G71" s="37" t="n"/>
      <c r="H71" s="37" t="n"/>
      <c r="I71" s="39" t="n"/>
      <c r="J71" s="37" t="n"/>
      <c r="K71" s="42" t="n"/>
      <c r="L71" s="44" t="n"/>
      <c r="M71" s="11">
        <f>IF(E71="","",SUMIFS(tbl_Finance[Xero Invoiced Ex GST],tbl_Finance[Job Number],E71&amp;""))</f>
        <v/>
      </c>
      <c r="N71" s="11">
        <f>IF(J71&lt;&gt;"Won","",IF(E71="",N(I71),N(I71)-N(M71)))</f>
        <v/>
      </c>
      <c r="O71" s="37" t="n"/>
    </row>
    <row r="72">
      <c r="A72" s="44" t="n"/>
      <c r="B72" s="37" t="n"/>
      <c r="C72" s="37" t="n"/>
      <c r="D72" s="37" t="n"/>
      <c r="E72" s="37" t="n"/>
      <c r="F72" s="10">
        <f>IF(E72="","",IF(COUNTIF(lst_Jobs,E72&amp;"")&gt;0,"OK","CHECK"))</f>
        <v/>
      </c>
      <c r="G72" s="37" t="n"/>
      <c r="H72" s="37" t="n"/>
      <c r="I72" s="39" t="n"/>
      <c r="J72" s="37" t="n"/>
      <c r="K72" s="42" t="n"/>
      <c r="L72" s="44" t="n"/>
      <c r="M72" s="11">
        <f>IF(E72="","",SUMIFS(tbl_Finance[Xero Invoiced Ex GST],tbl_Finance[Job Number],E72&amp;""))</f>
        <v/>
      </c>
      <c r="N72" s="11">
        <f>IF(J72&lt;&gt;"Won","",IF(E72="",N(I72),N(I72)-N(M72)))</f>
        <v/>
      </c>
      <c r="O72" s="37" t="n"/>
    </row>
    <row r="73">
      <c r="A73" s="44" t="n"/>
      <c r="B73" s="37" t="n"/>
      <c r="C73" s="37" t="n"/>
      <c r="D73" s="37" t="n"/>
      <c r="E73" s="37" t="n"/>
      <c r="F73" s="10">
        <f>IF(E73="","",IF(COUNTIF(lst_Jobs,E73&amp;"")&gt;0,"OK","CHECK"))</f>
        <v/>
      </c>
      <c r="G73" s="37" t="n"/>
      <c r="H73" s="37" t="n"/>
      <c r="I73" s="39" t="n"/>
      <c r="J73" s="37" t="n"/>
      <c r="K73" s="42" t="n"/>
      <c r="L73" s="44" t="n"/>
      <c r="M73" s="11">
        <f>IF(E73="","",SUMIFS(tbl_Finance[Xero Invoiced Ex GST],tbl_Finance[Job Number],E73&amp;""))</f>
        <v/>
      </c>
      <c r="N73" s="11">
        <f>IF(J73&lt;&gt;"Won","",IF(E73="",N(I73),N(I73)-N(M73)))</f>
        <v/>
      </c>
      <c r="O73" s="37" t="n"/>
    </row>
    <row r="74">
      <c r="A74" s="44" t="n"/>
      <c r="B74" s="37" t="n"/>
      <c r="C74" s="37" t="n"/>
      <c r="D74" s="37" t="n"/>
      <c r="E74" s="37" t="n"/>
      <c r="F74" s="10">
        <f>IF(E74="","",IF(COUNTIF(lst_Jobs,E74&amp;"")&gt;0,"OK","CHECK"))</f>
        <v/>
      </c>
      <c r="G74" s="37" t="n"/>
      <c r="H74" s="37" t="n"/>
      <c r="I74" s="39" t="n"/>
      <c r="J74" s="37" t="n"/>
      <c r="K74" s="42" t="n"/>
      <c r="L74" s="44" t="n"/>
      <c r="M74" s="11">
        <f>IF(E74="","",SUMIFS(tbl_Finance[Xero Invoiced Ex GST],tbl_Finance[Job Number],E74&amp;""))</f>
        <v/>
      </c>
      <c r="N74" s="11">
        <f>IF(J74&lt;&gt;"Won","",IF(E74="",N(I74),N(I74)-N(M74)))</f>
        <v/>
      </c>
      <c r="O74" s="37" t="n"/>
    </row>
    <row r="75">
      <c r="A75" s="44" t="n"/>
      <c r="B75" s="37" t="n"/>
      <c r="C75" s="37" t="n"/>
      <c r="D75" s="37" t="n"/>
      <c r="E75" s="37" t="n"/>
      <c r="F75" s="10">
        <f>IF(E75="","",IF(COUNTIF(lst_Jobs,E75&amp;"")&gt;0,"OK","CHECK"))</f>
        <v/>
      </c>
      <c r="G75" s="37" t="n"/>
      <c r="H75" s="37" t="n"/>
      <c r="I75" s="39" t="n"/>
      <c r="J75" s="37" t="n"/>
      <c r="K75" s="42" t="n"/>
      <c r="L75" s="44" t="n"/>
      <c r="M75" s="11">
        <f>IF(E75="","",SUMIFS(tbl_Finance[Xero Invoiced Ex GST],tbl_Finance[Job Number],E75&amp;""))</f>
        <v/>
      </c>
      <c r="N75" s="11">
        <f>IF(J75&lt;&gt;"Won","",IF(E75="",N(I75),N(I75)-N(M75)))</f>
        <v/>
      </c>
      <c r="O75" s="37" t="n"/>
    </row>
    <row r="76">
      <c r="A76" s="44" t="n"/>
      <c r="B76" s="37" t="n"/>
      <c r="C76" s="37" t="n"/>
      <c r="D76" s="37" t="n"/>
      <c r="E76" s="37" t="n"/>
      <c r="F76" s="10">
        <f>IF(E76="","",IF(COUNTIF(lst_Jobs,E76&amp;"")&gt;0,"OK","CHECK"))</f>
        <v/>
      </c>
      <c r="G76" s="37" t="n"/>
      <c r="H76" s="37" t="n"/>
      <c r="I76" s="39" t="n"/>
      <c r="J76" s="37" t="n"/>
      <c r="K76" s="42" t="n"/>
      <c r="L76" s="44" t="n"/>
      <c r="M76" s="11">
        <f>IF(E76="","",SUMIFS(tbl_Finance[Xero Invoiced Ex GST],tbl_Finance[Job Number],E76&amp;""))</f>
        <v/>
      </c>
      <c r="N76" s="11">
        <f>IF(J76&lt;&gt;"Won","",IF(E76="",N(I76),N(I76)-N(M76)))</f>
        <v/>
      </c>
      <c r="O76" s="37" t="n"/>
    </row>
    <row r="77">
      <c r="A77" s="44" t="n"/>
      <c r="B77" s="37" t="n"/>
      <c r="C77" s="37" t="n"/>
      <c r="D77" s="37" t="n"/>
      <c r="E77" s="37" t="n"/>
      <c r="F77" s="10">
        <f>IF(E77="","",IF(COUNTIF(lst_Jobs,E77&amp;"")&gt;0,"OK","CHECK"))</f>
        <v/>
      </c>
      <c r="G77" s="37" t="n"/>
      <c r="H77" s="37" t="n"/>
      <c r="I77" s="39" t="n"/>
      <c r="J77" s="37" t="n"/>
      <c r="K77" s="42" t="n"/>
      <c r="L77" s="44" t="n"/>
      <c r="M77" s="11">
        <f>IF(E77="","",SUMIFS(tbl_Finance[Xero Invoiced Ex GST],tbl_Finance[Job Number],E77&amp;""))</f>
        <v/>
      </c>
      <c r="N77" s="11">
        <f>IF(J77&lt;&gt;"Won","",IF(E77="",N(I77),N(I77)-N(M77)))</f>
        <v/>
      </c>
      <c r="O77" s="37" t="n"/>
    </row>
    <row r="78">
      <c r="A78" s="44" t="n"/>
      <c r="B78" s="37" t="n"/>
      <c r="C78" s="37" t="n"/>
      <c r="D78" s="37" t="n"/>
      <c r="E78" s="37" t="n"/>
      <c r="F78" s="10">
        <f>IF(E78="","",IF(COUNTIF(lst_Jobs,E78&amp;"")&gt;0,"OK","CHECK"))</f>
        <v/>
      </c>
      <c r="G78" s="37" t="n"/>
      <c r="H78" s="37" t="n"/>
      <c r="I78" s="39" t="n"/>
      <c r="J78" s="37" t="n"/>
      <c r="K78" s="42" t="n"/>
      <c r="L78" s="44" t="n"/>
      <c r="M78" s="11">
        <f>IF(E78="","",SUMIFS(tbl_Finance[Xero Invoiced Ex GST],tbl_Finance[Job Number],E78&amp;""))</f>
        <v/>
      </c>
      <c r="N78" s="11">
        <f>IF(J78&lt;&gt;"Won","",IF(E78="",N(I78),N(I78)-N(M78)))</f>
        <v/>
      </c>
      <c r="O78" s="37" t="n"/>
    </row>
    <row r="79">
      <c r="A79" s="44" t="n"/>
      <c r="B79" s="37" t="n"/>
      <c r="C79" s="37" t="n"/>
      <c r="D79" s="37" t="n"/>
      <c r="E79" s="37" t="n"/>
      <c r="F79" s="10">
        <f>IF(E79="","",IF(COUNTIF(lst_Jobs,E79&amp;"")&gt;0,"OK","CHECK"))</f>
        <v/>
      </c>
      <c r="G79" s="37" t="n"/>
      <c r="H79" s="37" t="n"/>
      <c r="I79" s="39" t="n"/>
      <c r="J79" s="37" t="n"/>
      <c r="K79" s="42" t="n"/>
      <c r="L79" s="44" t="n"/>
      <c r="M79" s="11">
        <f>IF(E79="","",SUMIFS(tbl_Finance[Xero Invoiced Ex GST],tbl_Finance[Job Number],E79&amp;""))</f>
        <v/>
      </c>
      <c r="N79" s="11">
        <f>IF(J79&lt;&gt;"Won","",IF(E79="",N(I79),N(I79)-N(M79)))</f>
        <v/>
      </c>
      <c r="O79" s="37" t="n"/>
    </row>
    <row r="80">
      <c r="A80" s="44" t="n"/>
      <c r="B80" s="37" t="n"/>
      <c r="C80" s="37" t="n"/>
      <c r="D80" s="37" t="n"/>
      <c r="E80" s="37" t="n"/>
      <c r="F80" s="10">
        <f>IF(E80="","",IF(COUNTIF(lst_Jobs,E80&amp;"")&gt;0,"OK","CHECK"))</f>
        <v/>
      </c>
      <c r="G80" s="37" t="n"/>
      <c r="H80" s="37" t="n"/>
      <c r="I80" s="39" t="n"/>
      <c r="J80" s="37" t="n"/>
      <c r="K80" s="42" t="n"/>
      <c r="L80" s="44" t="n"/>
      <c r="M80" s="11">
        <f>IF(E80="","",SUMIFS(tbl_Finance[Xero Invoiced Ex GST],tbl_Finance[Job Number],E80&amp;""))</f>
        <v/>
      </c>
      <c r="N80" s="11">
        <f>IF(J80&lt;&gt;"Won","",IF(E80="",N(I80),N(I80)-N(M80)))</f>
        <v/>
      </c>
      <c r="O80" s="37" t="n"/>
    </row>
    <row r="81">
      <c r="A81" s="44" t="n"/>
      <c r="B81" s="37" t="n"/>
      <c r="C81" s="37" t="n"/>
      <c r="D81" s="37" t="n"/>
      <c r="E81" s="37" t="n"/>
      <c r="F81" s="10">
        <f>IF(E81="","",IF(COUNTIF(lst_Jobs,E81&amp;"")&gt;0,"OK","CHECK"))</f>
        <v/>
      </c>
      <c r="G81" s="37" t="n"/>
      <c r="H81" s="37" t="n"/>
      <c r="I81" s="39" t="n"/>
      <c r="J81" s="37" t="n"/>
      <c r="K81" s="42" t="n"/>
      <c r="L81" s="44" t="n"/>
      <c r="M81" s="11">
        <f>IF(E81="","",SUMIFS(tbl_Finance[Xero Invoiced Ex GST],tbl_Finance[Job Number],E81&amp;""))</f>
        <v/>
      </c>
      <c r="N81" s="11">
        <f>IF(J81&lt;&gt;"Won","",IF(E81="",N(I81),N(I81)-N(M81)))</f>
        <v/>
      </c>
      <c r="O81" s="37" t="n"/>
    </row>
    <row r="82">
      <c r="A82" s="44" t="n"/>
      <c r="B82" s="37" t="n"/>
      <c r="C82" s="37" t="n"/>
      <c r="D82" s="37" t="n"/>
      <c r="E82" s="37" t="n"/>
      <c r="F82" s="10">
        <f>IF(E82="","",IF(COUNTIF(lst_Jobs,E82&amp;"")&gt;0,"OK","CHECK"))</f>
        <v/>
      </c>
      <c r="G82" s="37" t="n"/>
      <c r="H82" s="37" t="n"/>
      <c r="I82" s="39" t="n"/>
      <c r="J82" s="37" t="n"/>
      <c r="K82" s="42" t="n"/>
      <c r="L82" s="44" t="n"/>
      <c r="M82" s="11">
        <f>IF(E82="","",SUMIFS(tbl_Finance[Xero Invoiced Ex GST],tbl_Finance[Job Number],E82&amp;""))</f>
        <v/>
      </c>
      <c r="N82" s="11">
        <f>IF(J82&lt;&gt;"Won","",IF(E82="",N(I82),N(I82)-N(M82)))</f>
        <v/>
      </c>
      <c r="O82" s="37" t="n"/>
    </row>
    <row r="83">
      <c r="A83" s="44" t="n"/>
      <c r="B83" s="37" t="n"/>
      <c r="C83" s="37" t="n"/>
      <c r="D83" s="37" t="n"/>
      <c r="E83" s="37" t="n"/>
      <c r="F83" s="10">
        <f>IF(E83="","",IF(COUNTIF(lst_Jobs,E83&amp;"")&gt;0,"OK","CHECK"))</f>
        <v/>
      </c>
      <c r="G83" s="37" t="n"/>
      <c r="H83" s="37" t="n"/>
      <c r="I83" s="39" t="n"/>
      <c r="J83" s="37" t="n"/>
      <c r="K83" s="42" t="n"/>
      <c r="L83" s="44" t="n"/>
      <c r="M83" s="11">
        <f>IF(E83="","",SUMIFS(tbl_Finance[Xero Invoiced Ex GST],tbl_Finance[Job Number],E83&amp;""))</f>
        <v/>
      </c>
      <c r="N83" s="11">
        <f>IF(J83&lt;&gt;"Won","",IF(E83="",N(I83),N(I83)-N(M83)))</f>
        <v/>
      </c>
      <c r="O83" s="37" t="n"/>
    </row>
    <row r="84">
      <c r="A84" s="44" t="n"/>
      <c r="B84" s="37" t="n"/>
      <c r="C84" s="37" t="n"/>
      <c r="D84" s="37" t="n"/>
      <c r="E84" s="37" t="n"/>
      <c r="F84" s="10">
        <f>IF(E84="","",IF(COUNTIF(lst_Jobs,E84&amp;"")&gt;0,"OK","CHECK"))</f>
        <v/>
      </c>
      <c r="G84" s="37" t="n"/>
      <c r="H84" s="37" t="n"/>
      <c r="I84" s="39" t="n"/>
      <c r="J84" s="37" t="n"/>
      <c r="K84" s="42" t="n"/>
      <c r="L84" s="44" t="n"/>
      <c r="M84" s="11">
        <f>IF(E84="","",SUMIFS(tbl_Finance[Xero Invoiced Ex GST],tbl_Finance[Job Number],E84&amp;""))</f>
        <v/>
      </c>
      <c r="N84" s="11">
        <f>IF(J84&lt;&gt;"Won","",IF(E84="",N(I84),N(I84)-N(M84)))</f>
        <v/>
      </c>
      <c r="O84" s="37" t="n"/>
    </row>
    <row r="85">
      <c r="A85" s="44" t="n"/>
      <c r="B85" s="37" t="n"/>
      <c r="C85" s="37" t="n"/>
      <c r="D85" s="37" t="n"/>
      <c r="E85" s="37" t="n"/>
      <c r="F85" s="10">
        <f>IF(E85="","",IF(COUNTIF(lst_Jobs,E85&amp;"")&gt;0,"OK","CHECK"))</f>
        <v/>
      </c>
      <c r="G85" s="37" t="n"/>
      <c r="H85" s="37" t="n"/>
      <c r="I85" s="39" t="n"/>
      <c r="J85" s="37" t="n"/>
      <c r="K85" s="42" t="n"/>
      <c r="L85" s="44" t="n"/>
      <c r="M85" s="11">
        <f>IF(E85="","",SUMIFS(tbl_Finance[Xero Invoiced Ex GST],tbl_Finance[Job Number],E85&amp;""))</f>
        <v/>
      </c>
      <c r="N85" s="11">
        <f>IF(J85&lt;&gt;"Won","",IF(E85="",N(I85),N(I85)-N(M85)))</f>
        <v/>
      </c>
      <c r="O85" s="37" t="n"/>
    </row>
    <row r="86">
      <c r="A86" s="44" t="n"/>
      <c r="B86" s="37" t="n"/>
      <c r="C86" s="37" t="n"/>
      <c r="D86" s="37" t="n"/>
      <c r="E86" s="37" t="n"/>
      <c r="F86" s="10">
        <f>IF(E86="","",IF(COUNTIF(lst_Jobs,E86&amp;"")&gt;0,"OK","CHECK"))</f>
        <v/>
      </c>
      <c r="G86" s="37" t="n"/>
      <c r="H86" s="37" t="n"/>
      <c r="I86" s="39" t="n"/>
      <c r="J86" s="37" t="n"/>
      <c r="K86" s="42" t="n"/>
      <c r="L86" s="44" t="n"/>
      <c r="M86" s="11">
        <f>IF(E86="","",SUMIFS(tbl_Finance[Xero Invoiced Ex GST],tbl_Finance[Job Number],E86&amp;""))</f>
        <v/>
      </c>
      <c r="N86" s="11">
        <f>IF(J86&lt;&gt;"Won","",IF(E86="",N(I86),N(I86)-N(M86)))</f>
        <v/>
      </c>
      <c r="O86" s="37" t="n"/>
    </row>
    <row r="87">
      <c r="A87" s="44" t="n"/>
      <c r="B87" s="37" t="n"/>
      <c r="C87" s="37" t="n"/>
      <c r="D87" s="37" t="n"/>
      <c r="E87" s="37" t="n"/>
      <c r="F87" s="10">
        <f>IF(E87="","",IF(COUNTIF(lst_Jobs,E87&amp;"")&gt;0,"OK","CHECK"))</f>
        <v/>
      </c>
      <c r="G87" s="37" t="n"/>
      <c r="H87" s="37" t="n"/>
      <c r="I87" s="39" t="n"/>
      <c r="J87" s="37" t="n"/>
      <c r="K87" s="42" t="n"/>
      <c r="L87" s="44" t="n"/>
      <c r="M87" s="11">
        <f>IF(E87="","",SUMIFS(tbl_Finance[Xero Invoiced Ex GST],tbl_Finance[Job Number],E87&amp;""))</f>
        <v/>
      </c>
      <c r="N87" s="11">
        <f>IF(J87&lt;&gt;"Won","",IF(E87="",N(I87),N(I87)-N(M87)))</f>
        <v/>
      </c>
      <c r="O87" s="37" t="n"/>
    </row>
    <row r="88">
      <c r="A88" s="44" t="n"/>
      <c r="B88" s="37" t="n"/>
      <c r="C88" s="37" t="n"/>
      <c r="D88" s="37" t="n"/>
      <c r="E88" s="37" t="n"/>
      <c r="F88" s="10">
        <f>IF(E88="","",IF(COUNTIF(lst_Jobs,E88&amp;"")&gt;0,"OK","CHECK"))</f>
        <v/>
      </c>
      <c r="G88" s="37" t="n"/>
      <c r="H88" s="37" t="n"/>
      <c r="I88" s="39" t="n"/>
      <c r="J88" s="37" t="n"/>
      <c r="K88" s="42" t="n"/>
      <c r="L88" s="44" t="n"/>
      <c r="M88" s="11">
        <f>IF(E88="","",SUMIFS(tbl_Finance[Xero Invoiced Ex GST],tbl_Finance[Job Number],E88&amp;""))</f>
        <v/>
      </c>
      <c r="N88" s="11">
        <f>IF(J88&lt;&gt;"Won","",IF(E88="",N(I88),N(I88)-N(M88)))</f>
        <v/>
      </c>
      <c r="O88" s="37" t="n"/>
    </row>
    <row r="89">
      <c r="A89" s="44" t="n"/>
      <c r="B89" s="37" t="n"/>
      <c r="C89" s="37" t="n"/>
      <c r="D89" s="37" t="n"/>
      <c r="E89" s="37" t="n"/>
      <c r="F89" s="10">
        <f>IF(E89="","",IF(COUNTIF(lst_Jobs,E89&amp;"")&gt;0,"OK","CHECK"))</f>
        <v/>
      </c>
      <c r="G89" s="37" t="n"/>
      <c r="H89" s="37" t="n"/>
      <c r="I89" s="39" t="n"/>
      <c r="J89" s="37" t="n"/>
      <c r="K89" s="42" t="n"/>
      <c r="L89" s="44" t="n"/>
      <c r="M89" s="11">
        <f>IF(E89="","",SUMIFS(tbl_Finance[Xero Invoiced Ex GST],tbl_Finance[Job Number],E89&amp;""))</f>
        <v/>
      </c>
      <c r="N89" s="11">
        <f>IF(J89&lt;&gt;"Won","",IF(E89="",N(I89),N(I89)-N(M89)))</f>
        <v/>
      </c>
      <c r="O89" s="37" t="n"/>
    </row>
    <row r="90">
      <c r="A90" s="44" t="n"/>
      <c r="B90" s="37" t="n"/>
      <c r="C90" s="37" t="n"/>
      <c r="D90" s="37" t="n"/>
      <c r="E90" s="37" t="n"/>
      <c r="F90" s="10">
        <f>IF(E90="","",IF(COUNTIF(lst_Jobs,E90&amp;"")&gt;0,"OK","CHECK"))</f>
        <v/>
      </c>
      <c r="G90" s="37" t="n"/>
      <c r="H90" s="37" t="n"/>
      <c r="I90" s="39" t="n"/>
      <c r="J90" s="37" t="n"/>
      <c r="K90" s="42" t="n"/>
      <c r="L90" s="44" t="n"/>
      <c r="M90" s="11">
        <f>IF(E90="","",SUMIFS(tbl_Finance[Xero Invoiced Ex GST],tbl_Finance[Job Number],E90&amp;""))</f>
        <v/>
      </c>
      <c r="N90" s="11">
        <f>IF(J90&lt;&gt;"Won","",IF(E90="",N(I90),N(I90)-N(M90)))</f>
        <v/>
      </c>
      <c r="O90" s="37" t="n"/>
    </row>
    <row r="91">
      <c r="A91" s="44" t="n"/>
      <c r="B91" s="37" t="n"/>
      <c r="C91" s="37" t="n"/>
      <c r="D91" s="37" t="n"/>
      <c r="E91" s="37" t="n"/>
      <c r="F91" s="10">
        <f>IF(E91="","",IF(COUNTIF(lst_Jobs,E91&amp;"")&gt;0,"OK","CHECK"))</f>
        <v/>
      </c>
      <c r="G91" s="37" t="n"/>
      <c r="H91" s="37" t="n"/>
      <c r="I91" s="39" t="n"/>
      <c r="J91" s="37" t="n"/>
      <c r="K91" s="42" t="n"/>
      <c r="L91" s="44" t="n"/>
      <c r="M91" s="11">
        <f>IF(E91="","",SUMIFS(tbl_Finance[Xero Invoiced Ex GST],tbl_Finance[Job Number],E91&amp;""))</f>
        <v/>
      </c>
      <c r="N91" s="11">
        <f>IF(J91&lt;&gt;"Won","",IF(E91="",N(I91),N(I91)-N(M91)))</f>
        <v/>
      </c>
      <c r="O91" s="37" t="n"/>
    </row>
    <row r="92">
      <c r="A92" s="44" t="n"/>
      <c r="B92" s="37" t="n"/>
      <c r="C92" s="37" t="n"/>
      <c r="D92" s="37" t="n"/>
      <c r="E92" s="37" t="n"/>
      <c r="F92" s="10">
        <f>IF(E92="","",IF(COUNTIF(lst_Jobs,E92&amp;"")&gt;0,"OK","CHECK"))</f>
        <v/>
      </c>
      <c r="G92" s="37" t="n"/>
      <c r="H92" s="37" t="n"/>
      <c r="I92" s="39" t="n"/>
      <c r="J92" s="37" t="n"/>
      <c r="K92" s="42" t="n"/>
      <c r="L92" s="44" t="n"/>
      <c r="M92" s="11">
        <f>IF(E92="","",SUMIFS(tbl_Finance[Xero Invoiced Ex GST],tbl_Finance[Job Number],E92&amp;""))</f>
        <v/>
      </c>
      <c r="N92" s="11">
        <f>IF(J92&lt;&gt;"Won","",IF(E92="",N(I92),N(I92)-N(M92)))</f>
        <v/>
      </c>
      <c r="O92" s="37" t="n"/>
    </row>
    <row r="93">
      <c r="A93" s="44" t="n"/>
      <c r="B93" s="37" t="n"/>
      <c r="C93" s="37" t="n"/>
      <c r="D93" s="37" t="n"/>
      <c r="E93" s="37" t="n"/>
      <c r="F93" s="10">
        <f>IF(E93="","",IF(COUNTIF(lst_Jobs,E93&amp;"")&gt;0,"OK","CHECK"))</f>
        <v/>
      </c>
      <c r="G93" s="37" t="n"/>
      <c r="H93" s="37" t="n"/>
      <c r="I93" s="39" t="n"/>
      <c r="J93" s="37" t="n"/>
      <c r="K93" s="42" t="n"/>
      <c r="L93" s="44" t="n"/>
      <c r="M93" s="11">
        <f>IF(E93="","",SUMIFS(tbl_Finance[Xero Invoiced Ex GST],tbl_Finance[Job Number],E93&amp;""))</f>
        <v/>
      </c>
      <c r="N93" s="11">
        <f>IF(J93&lt;&gt;"Won","",IF(E93="",N(I93),N(I93)-N(M93)))</f>
        <v/>
      </c>
      <c r="O93" s="37" t="n"/>
    </row>
    <row r="94">
      <c r="A94" s="44" t="n"/>
      <c r="B94" s="37" t="n"/>
      <c r="C94" s="37" t="n"/>
      <c r="D94" s="37" t="n"/>
      <c r="E94" s="37" t="n"/>
      <c r="F94" s="10">
        <f>IF(E94="","",IF(COUNTIF(lst_Jobs,E94&amp;"")&gt;0,"OK","CHECK"))</f>
        <v/>
      </c>
      <c r="G94" s="37" t="n"/>
      <c r="H94" s="37" t="n"/>
      <c r="I94" s="39" t="n"/>
      <c r="J94" s="37" t="n"/>
      <c r="K94" s="42" t="n"/>
      <c r="L94" s="44" t="n"/>
      <c r="M94" s="11">
        <f>IF(E94="","",SUMIFS(tbl_Finance[Xero Invoiced Ex GST],tbl_Finance[Job Number],E94&amp;""))</f>
        <v/>
      </c>
      <c r="N94" s="11">
        <f>IF(J94&lt;&gt;"Won","",IF(E94="",N(I94),N(I94)-N(M94)))</f>
        <v/>
      </c>
      <c r="O94" s="37" t="n"/>
    </row>
    <row r="95">
      <c r="A95" s="44" t="n"/>
      <c r="B95" s="37" t="n"/>
      <c r="C95" s="37" t="n"/>
      <c r="D95" s="37" t="n"/>
      <c r="E95" s="37" t="n"/>
      <c r="F95" s="10">
        <f>IF(E95="","",IF(COUNTIF(lst_Jobs,E95&amp;"")&gt;0,"OK","CHECK"))</f>
        <v/>
      </c>
      <c r="G95" s="37" t="n"/>
      <c r="H95" s="37" t="n"/>
      <c r="I95" s="39" t="n"/>
      <c r="J95" s="37" t="n"/>
      <c r="K95" s="42" t="n"/>
      <c r="L95" s="44" t="n"/>
      <c r="M95" s="11">
        <f>IF(E95="","",SUMIFS(tbl_Finance[Xero Invoiced Ex GST],tbl_Finance[Job Number],E95&amp;""))</f>
        <v/>
      </c>
      <c r="N95" s="11">
        <f>IF(J95&lt;&gt;"Won","",IF(E95="",N(I95),N(I95)-N(M95)))</f>
        <v/>
      </c>
      <c r="O95" s="37" t="n"/>
    </row>
    <row r="96">
      <c r="A96" s="44" t="n"/>
      <c r="B96" s="37" t="n"/>
      <c r="C96" s="37" t="n"/>
      <c r="D96" s="37" t="n"/>
      <c r="E96" s="37" t="n"/>
      <c r="F96" s="10">
        <f>IF(E96="","",IF(COUNTIF(lst_Jobs,E96&amp;"")&gt;0,"OK","CHECK"))</f>
        <v/>
      </c>
      <c r="G96" s="37" t="n"/>
      <c r="H96" s="37" t="n"/>
      <c r="I96" s="39" t="n"/>
      <c r="J96" s="37" t="n"/>
      <c r="K96" s="42" t="n"/>
      <c r="L96" s="44" t="n"/>
      <c r="M96" s="11">
        <f>IF(E96="","",SUMIFS(tbl_Finance[Xero Invoiced Ex GST],tbl_Finance[Job Number],E96&amp;""))</f>
        <v/>
      </c>
      <c r="N96" s="11">
        <f>IF(J96&lt;&gt;"Won","",IF(E96="",N(I96),N(I96)-N(M96)))</f>
        <v/>
      </c>
      <c r="O96" s="37" t="n"/>
    </row>
    <row r="97">
      <c r="A97" s="44" t="n"/>
      <c r="B97" s="37" t="n"/>
      <c r="C97" s="37" t="n"/>
      <c r="D97" s="37" t="n"/>
      <c r="E97" s="37" t="n"/>
      <c r="F97" s="10">
        <f>IF(E97="","",IF(COUNTIF(lst_Jobs,E97&amp;"")&gt;0,"OK","CHECK"))</f>
        <v/>
      </c>
      <c r="G97" s="37" t="n"/>
      <c r="H97" s="37" t="n"/>
      <c r="I97" s="39" t="n"/>
      <c r="J97" s="37" t="n"/>
      <c r="K97" s="42" t="n"/>
      <c r="L97" s="44" t="n"/>
      <c r="M97" s="11">
        <f>IF(E97="","",SUMIFS(tbl_Finance[Xero Invoiced Ex GST],tbl_Finance[Job Number],E97&amp;""))</f>
        <v/>
      </c>
      <c r="N97" s="11">
        <f>IF(J97&lt;&gt;"Won","",IF(E97="",N(I97),N(I97)-N(M97)))</f>
        <v/>
      </c>
      <c r="O97" s="37" t="n"/>
    </row>
    <row r="98">
      <c r="A98" s="44" t="n"/>
      <c r="B98" s="37" t="n"/>
      <c r="C98" s="37" t="n"/>
      <c r="D98" s="37" t="n"/>
      <c r="E98" s="37" t="n"/>
      <c r="F98" s="10">
        <f>IF(E98="","",IF(COUNTIF(lst_Jobs,E98&amp;"")&gt;0,"OK","CHECK"))</f>
        <v/>
      </c>
      <c r="G98" s="37" t="n"/>
      <c r="H98" s="37" t="n"/>
      <c r="I98" s="39" t="n"/>
      <c r="J98" s="37" t="n"/>
      <c r="K98" s="42" t="n"/>
      <c r="L98" s="44" t="n"/>
      <c r="M98" s="11">
        <f>IF(E98="","",SUMIFS(tbl_Finance[Xero Invoiced Ex GST],tbl_Finance[Job Number],E98&amp;""))</f>
        <v/>
      </c>
      <c r="N98" s="11">
        <f>IF(J98&lt;&gt;"Won","",IF(E98="",N(I98),N(I98)-N(M98)))</f>
        <v/>
      </c>
      <c r="O98" s="37" t="n"/>
    </row>
    <row r="99">
      <c r="A99" s="44" t="n"/>
      <c r="B99" s="37" t="n"/>
      <c r="C99" s="37" t="n"/>
      <c r="D99" s="37" t="n"/>
      <c r="E99" s="37" t="n"/>
      <c r="F99" s="10">
        <f>IF(E99="","",IF(COUNTIF(lst_Jobs,E99&amp;"")&gt;0,"OK","CHECK"))</f>
        <v/>
      </c>
      <c r="G99" s="37" t="n"/>
      <c r="H99" s="37" t="n"/>
      <c r="I99" s="39" t="n"/>
      <c r="J99" s="37" t="n"/>
      <c r="K99" s="42" t="n"/>
      <c r="L99" s="44" t="n"/>
      <c r="M99" s="11">
        <f>IF(E99="","",SUMIFS(tbl_Finance[Xero Invoiced Ex GST],tbl_Finance[Job Number],E99&amp;""))</f>
        <v/>
      </c>
      <c r="N99" s="11">
        <f>IF(J99&lt;&gt;"Won","",IF(E99="",N(I99),N(I99)-N(M99)))</f>
        <v/>
      </c>
      <c r="O99" s="37" t="n"/>
    </row>
    <row r="100">
      <c r="A100" s="44" t="n"/>
      <c r="B100" s="37" t="n"/>
      <c r="C100" s="37" t="n"/>
      <c r="D100" s="37" t="n"/>
      <c r="E100" s="37" t="n"/>
      <c r="F100" s="10">
        <f>IF(E100="","",IF(COUNTIF(lst_Jobs,E100&amp;"")&gt;0,"OK","CHECK"))</f>
        <v/>
      </c>
      <c r="G100" s="37" t="n"/>
      <c r="H100" s="37" t="n"/>
      <c r="I100" s="39" t="n"/>
      <c r="J100" s="37" t="n"/>
      <c r="K100" s="42" t="n"/>
      <c r="L100" s="44" t="n"/>
      <c r="M100" s="11">
        <f>IF(E100="","",SUMIFS(tbl_Finance[Xero Invoiced Ex GST],tbl_Finance[Job Number],E100&amp;""))</f>
        <v/>
      </c>
      <c r="N100" s="11">
        <f>IF(J100&lt;&gt;"Won","",IF(E100="",N(I100),N(I100)-N(M100)))</f>
        <v/>
      </c>
      <c r="O100" s="37" t="n"/>
    </row>
    <row r="101">
      <c r="A101" s="44" t="n"/>
      <c r="B101" s="37" t="n"/>
      <c r="C101" s="37" t="n"/>
      <c r="D101" s="37" t="n"/>
      <c r="E101" s="37" t="n"/>
      <c r="F101" s="10">
        <f>IF(E101="","",IF(COUNTIF(lst_Jobs,E101&amp;"")&gt;0,"OK","CHECK"))</f>
        <v/>
      </c>
      <c r="G101" s="37" t="n"/>
      <c r="H101" s="37" t="n"/>
      <c r="I101" s="39" t="n"/>
      <c r="J101" s="37" t="n"/>
      <c r="K101" s="42" t="n"/>
      <c r="L101" s="44" t="n"/>
      <c r="M101" s="11">
        <f>IF(E101="","",SUMIFS(tbl_Finance[Xero Invoiced Ex GST],tbl_Finance[Job Number],E101&amp;""))</f>
        <v/>
      </c>
      <c r="N101" s="11">
        <f>IF(J101&lt;&gt;"Won","",IF(E101="",N(I101),N(I101)-N(M101)))</f>
        <v/>
      </c>
      <c r="O101" s="37" t="n"/>
    </row>
    <row r="102">
      <c r="A102" s="44" t="n"/>
      <c r="B102" s="37" t="n"/>
      <c r="C102" s="37" t="n"/>
      <c r="D102" s="37" t="n"/>
      <c r="E102" s="37" t="n"/>
      <c r="F102" s="10">
        <f>IF(E102="","",IF(COUNTIF(lst_Jobs,E102&amp;"")&gt;0,"OK","CHECK"))</f>
        <v/>
      </c>
      <c r="G102" s="37" t="n"/>
      <c r="H102" s="37" t="n"/>
      <c r="I102" s="39" t="n"/>
      <c r="J102" s="37" t="n"/>
      <c r="K102" s="42" t="n"/>
      <c r="L102" s="44" t="n"/>
      <c r="M102" s="11">
        <f>IF(E102="","",SUMIFS(tbl_Finance[Xero Invoiced Ex GST],tbl_Finance[Job Number],E102&amp;""))</f>
        <v/>
      </c>
      <c r="N102" s="11">
        <f>IF(J102&lt;&gt;"Won","",IF(E102="",N(I102),N(I102)-N(M102)))</f>
        <v/>
      </c>
      <c r="O102" s="37" t="n"/>
    </row>
    <row r="103">
      <c r="A103" s="44" t="n"/>
      <c r="B103" s="37" t="n"/>
      <c r="C103" s="37" t="n"/>
      <c r="D103" s="37" t="n"/>
      <c r="E103" s="37" t="n"/>
      <c r="F103" s="10">
        <f>IF(E103="","",IF(COUNTIF(lst_Jobs,E103&amp;"")&gt;0,"OK","CHECK"))</f>
        <v/>
      </c>
      <c r="G103" s="37" t="n"/>
      <c r="H103" s="37" t="n"/>
      <c r="I103" s="39" t="n"/>
      <c r="J103" s="37" t="n"/>
      <c r="K103" s="42" t="n"/>
      <c r="L103" s="44" t="n"/>
      <c r="M103" s="11">
        <f>IF(E103="","",SUMIFS(tbl_Finance[Xero Invoiced Ex GST],tbl_Finance[Job Number],E103&amp;""))</f>
        <v/>
      </c>
      <c r="N103" s="11">
        <f>IF(J103&lt;&gt;"Won","",IF(E103="",N(I103),N(I103)-N(M103)))</f>
        <v/>
      </c>
      <c r="O103" s="37" t="n"/>
    </row>
    <row r="104">
      <c r="A104" s="44" t="n"/>
      <c r="B104" s="37" t="n"/>
      <c r="C104" s="37" t="n"/>
      <c r="D104" s="37" t="n"/>
      <c r="E104" s="37" t="n"/>
      <c r="F104" s="10">
        <f>IF(E104="","",IF(COUNTIF(lst_Jobs,E104&amp;"")&gt;0,"OK","CHECK"))</f>
        <v/>
      </c>
      <c r="G104" s="37" t="n"/>
      <c r="H104" s="37" t="n"/>
      <c r="I104" s="39" t="n"/>
      <c r="J104" s="37" t="n"/>
      <c r="K104" s="42" t="n"/>
      <c r="L104" s="44" t="n"/>
      <c r="M104" s="11">
        <f>IF(E104="","",SUMIFS(tbl_Finance[Xero Invoiced Ex GST],tbl_Finance[Job Number],E104&amp;""))</f>
        <v/>
      </c>
      <c r="N104" s="11">
        <f>IF(J104&lt;&gt;"Won","",IF(E104="",N(I104),N(I104)-N(M104)))</f>
        <v/>
      </c>
      <c r="O104" s="37" t="n"/>
    </row>
    <row r="105">
      <c r="A105" s="44" t="n"/>
      <c r="B105" s="37" t="n"/>
      <c r="C105" s="37" t="n"/>
      <c r="D105" s="37" t="n"/>
      <c r="E105" s="37" t="n"/>
      <c r="F105" s="10">
        <f>IF(E105="","",IF(COUNTIF(lst_Jobs,E105&amp;"")&gt;0,"OK","CHECK"))</f>
        <v/>
      </c>
      <c r="G105" s="37" t="n"/>
      <c r="H105" s="37" t="n"/>
      <c r="I105" s="39" t="n"/>
      <c r="J105" s="37" t="n"/>
      <c r="K105" s="42" t="n"/>
      <c r="L105" s="44" t="n"/>
      <c r="M105" s="11">
        <f>IF(E105="","",SUMIFS(tbl_Finance[Xero Invoiced Ex GST],tbl_Finance[Job Number],E105&amp;""))</f>
        <v/>
      </c>
      <c r="N105" s="11">
        <f>IF(J105&lt;&gt;"Won","",IF(E105="",N(I105),N(I105)-N(M105)))</f>
        <v/>
      </c>
      <c r="O105" s="37" t="n"/>
    </row>
    <row r="106">
      <c r="A106" s="44" t="n"/>
      <c r="B106" s="37" t="n"/>
      <c r="C106" s="37" t="n"/>
      <c r="D106" s="37" t="n"/>
      <c r="E106" s="37" t="n"/>
      <c r="F106" s="10">
        <f>IF(E106="","",IF(COUNTIF(lst_Jobs,E106&amp;"")&gt;0,"OK","CHECK"))</f>
        <v/>
      </c>
      <c r="G106" s="37" t="n"/>
      <c r="H106" s="37" t="n"/>
      <c r="I106" s="39" t="n"/>
      <c r="J106" s="37" t="n"/>
      <c r="K106" s="42" t="n"/>
      <c r="L106" s="44" t="n"/>
      <c r="M106" s="11">
        <f>IF(E106="","",SUMIFS(tbl_Finance[Xero Invoiced Ex GST],tbl_Finance[Job Number],E106&amp;""))</f>
        <v/>
      </c>
      <c r="N106" s="11">
        <f>IF(J106&lt;&gt;"Won","",IF(E106="",N(I106),N(I106)-N(M106)))</f>
        <v/>
      </c>
      <c r="O106" s="37" t="n"/>
    </row>
    <row r="107">
      <c r="A107" s="44" t="n"/>
      <c r="B107" s="37" t="n"/>
      <c r="C107" s="37" t="n"/>
      <c r="D107" s="37" t="n"/>
      <c r="E107" s="37" t="n"/>
      <c r="F107" s="10">
        <f>IF(E107="","",IF(COUNTIF(lst_Jobs,E107&amp;"")&gt;0,"OK","CHECK"))</f>
        <v/>
      </c>
      <c r="G107" s="37" t="n"/>
      <c r="H107" s="37" t="n"/>
      <c r="I107" s="39" t="n"/>
      <c r="J107" s="37" t="n"/>
      <c r="K107" s="42" t="n"/>
      <c r="L107" s="44" t="n"/>
      <c r="M107" s="11">
        <f>IF(E107="","",SUMIFS(tbl_Finance[Xero Invoiced Ex GST],tbl_Finance[Job Number],E107&amp;""))</f>
        <v/>
      </c>
      <c r="N107" s="11">
        <f>IF(J107&lt;&gt;"Won","",IF(E107="",N(I107),N(I107)-N(M107)))</f>
        <v/>
      </c>
      <c r="O107" s="37" t="n"/>
    </row>
    <row r="108">
      <c r="A108" s="44" t="n"/>
      <c r="B108" s="37" t="n"/>
      <c r="C108" s="37" t="n"/>
      <c r="D108" s="37" t="n"/>
      <c r="E108" s="37" t="n"/>
      <c r="F108" s="10">
        <f>IF(E108="","",IF(COUNTIF(lst_Jobs,E108&amp;"")&gt;0,"OK","CHECK"))</f>
        <v/>
      </c>
      <c r="G108" s="37" t="n"/>
      <c r="H108" s="37" t="n"/>
      <c r="I108" s="39" t="n"/>
      <c r="J108" s="37" t="n"/>
      <c r="K108" s="42" t="n"/>
      <c r="L108" s="44" t="n"/>
      <c r="M108" s="11">
        <f>IF(E108="","",SUMIFS(tbl_Finance[Xero Invoiced Ex GST],tbl_Finance[Job Number],E108&amp;""))</f>
        <v/>
      </c>
      <c r="N108" s="11">
        <f>IF(J108&lt;&gt;"Won","",IF(E108="",N(I108),N(I108)-N(M108)))</f>
        <v/>
      </c>
      <c r="O108" s="37" t="n"/>
    </row>
    <row r="109">
      <c r="A109" s="44" t="n"/>
      <c r="B109" s="37" t="n"/>
      <c r="C109" s="37" t="n"/>
      <c r="D109" s="37" t="n"/>
      <c r="E109" s="37" t="n"/>
      <c r="F109" s="10">
        <f>IF(E109="","",IF(COUNTIF(lst_Jobs,E109&amp;"")&gt;0,"OK","CHECK"))</f>
        <v/>
      </c>
      <c r="G109" s="37" t="n"/>
      <c r="H109" s="37" t="n"/>
      <c r="I109" s="39" t="n"/>
      <c r="J109" s="37" t="n"/>
      <c r="K109" s="42" t="n"/>
      <c r="L109" s="44" t="n"/>
      <c r="M109" s="11">
        <f>IF(E109="","",SUMIFS(tbl_Finance[Xero Invoiced Ex GST],tbl_Finance[Job Number],E109&amp;""))</f>
        <v/>
      </c>
      <c r="N109" s="11">
        <f>IF(J109&lt;&gt;"Won","",IF(E109="",N(I109),N(I109)-N(M109)))</f>
        <v/>
      </c>
      <c r="O109" s="37" t="n"/>
    </row>
    <row r="110">
      <c r="A110" s="44" t="n"/>
      <c r="B110" s="37" t="n"/>
      <c r="C110" s="37" t="n"/>
      <c r="D110" s="37" t="n"/>
      <c r="E110" s="37" t="n"/>
      <c r="F110" s="10">
        <f>IF(E110="","",IF(COUNTIF(lst_Jobs,E110&amp;"")&gt;0,"OK","CHECK"))</f>
        <v/>
      </c>
      <c r="G110" s="37" t="n"/>
      <c r="H110" s="37" t="n"/>
      <c r="I110" s="39" t="n"/>
      <c r="J110" s="37" t="n"/>
      <c r="K110" s="42" t="n"/>
      <c r="L110" s="44" t="n"/>
      <c r="M110" s="11">
        <f>IF(E110="","",SUMIFS(tbl_Finance[Xero Invoiced Ex GST],tbl_Finance[Job Number],E110&amp;""))</f>
        <v/>
      </c>
      <c r="N110" s="11">
        <f>IF(J110&lt;&gt;"Won","",IF(E110="",N(I110),N(I110)-N(M110)))</f>
        <v/>
      </c>
      <c r="O110" s="37" t="n"/>
    </row>
    <row r="111">
      <c r="A111" s="44" t="n"/>
      <c r="B111" s="37" t="n"/>
      <c r="C111" s="37" t="n"/>
      <c r="D111" s="37" t="n"/>
      <c r="E111" s="37" t="n"/>
      <c r="F111" s="10">
        <f>IF(E111="","",IF(COUNTIF(lst_Jobs,E111&amp;"")&gt;0,"OK","CHECK"))</f>
        <v/>
      </c>
      <c r="G111" s="37" t="n"/>
      <c r="H111" s="37" t="n"/>
      <c r="I111" s="39" t="n"/>
      <c r="J111" s="37" t="n"/>
      <c r="K111" s="42" t="n"/>
      <c r="L111" s="44" t="n"/>
      <c r="M111" s="11">
        <f>IF(E111="","",SUMIFS(tbl_Finance[Xero Invoiced Ex GST],tbl_Finance[Job Number],E111&amp;""))</f>
        <v/>
      </c>
      <c r="N111" s="11">
        <f>IF(J111&lt;&gt;"Won","",IF(E111="",N(I111),N(I111)-N(M111)))</f>
        <v/>
      </c>
      <c r="O111" s="37" t="n"/>
    </row>
    <row r="112">
      <c r="A112" s="44" t="n"/>
      <c r="B112" s="37" t="n"/>
      <c r="C112" s="37" t="n"/>
      <c r="D112" s="37" t="n"/>
      <c r="E112" s="37" t="n"/>
      <c r="F112" s="10">
        <f>IF(E112="","",IF(COUNTIF(lst_Jobs,E112&amp;"")&gt;0,"OK","CHECK"))</f>
        <v/>
      </c>
      <c r="G112" s="37" t="n"/>
      <c r="H112" s="37" t="n"/>
      <c r="I112" s="39" t="n"/>
      <c r="J112" s="37" t="n"/>
      <c r="K112" s="42" t="n"/>
      <c r="L112" s="44" t="n"/>
      <c r="M112" s="11">
        <f>IF(E112="","",SUMIFS(tbl_Finance[Xero Invoiced Ex GST],tbl_Finance[Job Number],E112&amp;""))</f>
        <v/>
      </c>
      <c r="N112" s="11">
        <f>IF(J112&lt;&gt;"Won","",IF(E112="",N(I112),N(I112)-N(M112)))</f>
        <v/>
      </c>
      <c r="O112" s="37" t="n"/>
    </row>
    <row r="113">
      <c r="A113" s="44" t="n"/>
      <c r="B113" s="37" t="n"/>
      <c r="C113" s="37" t="n"/>
      <c r="D113" s="37" t="n"/>
      <c r="E113" s="37" t="n"/>
      <c r="F113" s="10">
        <f>IF(E113="","",IF(COUNTIF(lst_Jobs,E113&amp;"")&gt;0,"OK","CHECK"))</f>
        <v/>
      </c>
      <c r="G113" s="37" t="n"/>
      <c r="H113" s="37" t="n"/>
      <c r="I113" s="39" t="n"/>
      <c r="J113" s="37" t="n"/>
      <c r="K113" s="42" t="n"/>
      <c r="L113" s="44" t="n"/>
      <c r="M113" s="11">
        <f>IF(E113="","",SUMIFS(tbl_Finance[Xero Invoiced Ex GST],tbl_Finance[Job Number],E113&amp;""))</f>
        <v/>
      </c>
      <c r="N113" s="11">
        <f>IF(J113&lt;&gt;"Won","",IF(E113="",N(I113),N(I113)-N(M113)))</f>
        <v/>
      </c>
      <c r="O113" s="37" t="n"/>
    </row>
    <row r="114">
      <c r="A114" s="44" t="n"/>
      <c r="B114" s="37" t="n"/>
      <c r="C114" s="37" t="n"/>
      <c r="D114" s="37" t="n"/>
      <c r="E114" s="37" t="n"/>
      <c r="F114" s="10">
        <f>IF(E114="","",IF(COUNTIF(lst_Jobs,E114&amp;"")&gt;0,"OK","CHECK"))</f>
        <v/>
      </c>
      <c r="G114" s="37" t="n"/>
      <c r="H114" s="37" t="n"/>
      <c r="I114" s="39" t="n"/>
      <c r="J114" s="37" t="n"/>
      <c r="K114" s="42" t="n"/>
      <c r="L114" s="44" t="n"/>
      <c r="M114" s="11">
        <f>IF(E114="","",SUMIFS(tbl_Finance[Xero Invoiced Ex GST],tbl_Finance[Job Number],E114&amp;""))</f>
        <v/>
      </c>
      <c r="N114" s="11">
        <f>IF(J114&lt;&gt;"Won","",IF(E114="",N(I114),N(I114)-N(M114)))</f>
        <v/>
      </c>
      <c r="O114" s="37" t="n"/>
    </row>
    <row r="115">
      <c r="A115" s="44" t="n"/>
      <c r="B115" s="37" t="n"/>
      <c r="C115" s="37" t="n"/>
      <c r="D115" s="37" t="n"/>
      <c r="E115" s="37" t="n"/>
      <c r="F115" s="10">
        <f>IF(E115="","",IF(COUNTIF(lst_Jobs,E115&amp;"")&gt;0,"OK","CHECK"))</f>
        <v/>
      </c>
      <c r="G115" s="37" t="n"/>
      <c r="H115" s="37" t="n"/>
      <c r="I115" s="39" t="n"/>
      <c r="J115" s="37" t="n"/>
      <c r="K115" s="42" t="n"/>
      <c r="L115" s="44" t="n"/>
      <c r="M115" s="11">
        <f>IF(E115="","",SUMIFS(tbl_Finance[Xero Invoiced Ex GST],tbl_Finance[Job Number],E115&amp;""))</f>
        <v/>
      </c>
      <c r="N115" s="11">
        <f>IF(J115&lt;&gt;"Won","",IF(E115="",N(I115),N(I115)-N(M115)))</f>
        <v/>
      </c>
      <c r="O115" s="37" t="n"/>
    </row>
    <row r="116">
      <c r="A116" s="44" t="n"/>
      <c r="B116" s="37" t="n"/>
      <c r="C116" s="37" t="n"/>
      <c r="D116" s="37" t="n"/>
      <c r="E116" s="37" t="n"/>
      <c r="F116" s="10">
        <f>IF(E116="","",IF(COUNTIF(lst_Jobs,E116&amp;"")&gt;0,"OK","CHECK"))</f>
        <v/>
      </c>
      <c r="G116" s="37" t="n"/>
      <c r="H116" s="37" t="n"/>
      <c r="I116" s="39" t="n"/>
      <c r="J116" s="37" t="n"/>
      <c r="K116" s="42" t="n"/>
      <c r="L116" s="44" t="n"/>
      <c r="M116" s="11">
        <f>IF(E116="","",SUMIFS(tbl_Finance[Xero Invoiced Ex GST],tbl_Finance[Job Number],E116&amp;""))</f>
        <v/>
      </c>
      <c r="N116" s="11">
        <f>IF(J116&lt;&gt;"Won","",IF(E116="",N(I116),N(I116)-N(M116)))</f>
        <v/>
      </c>
      <c r="O116" s="37" t="n"/>
    </row>
    <row r="117">
      <c r="A117" s="44" t="n"/>
      <c r="B117" s="37" t="n"/>
      <c r="C117" s="37" t="n"/>
      <c r="D117" s="37" t="n"/>
      <c r="E117" s="37" t="n"/>
      <c r="F117" s="10">
        <f>IF(E117="","",IF(COUNTIF(lst_Jobs,E117&amp;"")&gt;0,"OK","CHECK"))</f>
        <v/>
      </c>
      <c r="G117" s="37" t="n"/>
      <c r="H117" s="37" t="n"/>
      <c r="I117" s="39" t="n"/>
      <c r="J117" s="37" t="n"/>
      <c r="K117" s="42" t="n"/>
      <c r="L117" s="44" t="n"/>
      <c r="M117" s="11">
        <f>IF(E117="","",SUMIFS(tbl_Finance[Xero Invoiced Ex GST],tbl_Finance[Job Number],E117&amp;""))</f>
        <v/>
      </c>
      <c r="N117" s="11">
        <f>IF(J117&lt;&gt;"Won","",IF(E117="",N(I117),N(I117)-N(M117)))</f>
        <v/>
      </c>
      <c r="O117" s="37" t="n"/>
    </row>
    <row r="118">
      <c r="A118" s="44" t="n"/>
      <c r="B118" s="37" t="n"/>
      <c r="C118" s="37" t="n"/>
      <c r="D118" s="37" t="n"/>
      <c r="E118" s="37" t="n"/>
      <c r="F118" s="10">
        <f>IF(E118="","",IF(COUNTIF(lst_Jobs,E118&amp;"")&gt;0,"OK","CHECK"))</f>
        <v/>
      </c>
      <c r="G118" s="37" t="n"/>
      <c r="H118" s="37" t="n"/>
      <c r="I118" s="39" t="n"/>
      <c r="J118" s="37" t="n"/>
      <c r="K118" s="42" t="n"/>
      <c r="L118" s="44" t="n"/>
      <c r="M118" s="11">
        <f>IF(E118="","",SUMIFS(tbl_Finance[Xero Invoiced Ex GST],tbl_Finance[Job Number],E118&amp;""))</f>
        <v/>
      </c>
      <c r="N118" s="11">
        <f>IF(J118&lt;&gt;"Won","",IF(E118="",N(I118),N(I118)-N(M118)))</f>
        <v/>
      </c>
      <c r="O118" s="37" t="n"/>
    </row>
    <row r="119">
      <c r="A119" s="44" t="n"/>
      <c r="B119" s="37" t="n"/>
      <c r="C119" s="37" t="n"/>
      <c r="D119" s="37" t="n"/>
      <c r="E119" s="37" t="n"/>
      <c r="F119" s="10">
        <f>IF(E119="","",IF(COUNTIF(lst_Jobs,E119&amp;"")&gt;0,"OK","CHECK"))</f>
        <v/>
      </c>
      <c r="G119" s="37" t="n"/>
      <c r="H119" s="37" t="n"/>
      <c r="I119" s="39" t="n"/>
      <c r="J119" s="37" t="n"/>
      <c r="K119" s="42" t="n"/>
      <c r="L119" s="44" t="n"/>
      <c r="M119" s="11">
        <f>IF(E119="","",SUMIFS(tbl_Finance[Xero Invoiced Ex GST],tbl_Finance[Job Number],E119&amp;""))</f>
        <v/>
      </c>
      <c r="N119" s="11">
        <f>IF(J119&lt;&gt;"Won","",IF(E119="",N(I119),N(I119)-N(M119)))</f>
        <v/>
      </c>
      <c r="O119" s="37" t="n"/>
    </row>
    <row r="120">
      <c r="A120" s="44" t="n"/>
      <c r="B120" s="37" t="n"/>
      <c r="C120" s="37" t="n"/>
      <c r="D120" s="37" t="n"/>
      <c r="E120" s="37" t="n"/>
      <c r="F120" s="10">
        <f>IF(E120="","",IF(COUNTIF(lst_Jobs,E120&amp;"")&gt;0,"OK","CHECK"))</f>
        <v/>
      </c>
      <c r="G120" s="37" t="n"/>
      <c r="H120" s="37" t="n"/>
      <c r="I120" s="39" t="n"/>
      <c r="J120" s="37" t="n"/>
      <c r="K120" s="42" t="n"/>
      <c r="L120" s="44" t="n"/>
      <c r="M120" s="11">
        <f>IF(E120="","",SUMIFS(tbl_Finance[Xero Invoiced Ex GST],tbl_Finance[Job Number],E120&amp;""))</f>
        <v/>
      </c>
      <c r="N120" s="11">
        <f>IF(J120&lt;&gt;"Won","",IF(E120="",N(I120),N(I120)-N(M120)))</f>
        <v/>
      </c>
      <c r="O120" s="37" t="n"/>
    </row>
    <row r="121">
      <c r="A121" s="44" t="n"/>
      <c r="B121" s="37" t="n"/>
      <c r="C121" s="37" t="n"/>
      <c r="D121" s="37" t="n"/>
      <c r="E121" s="37" t="n"/>
      <c r="F121" s="10">
        <f>IF(E121="","",IF(COUNTIF(lst_Jobs,E121&amp;"")&gt;0,"OK","CHECK"))</f>
        <v/>
      </c>
      <c r="G121" s="37" t="n"/>
      <c r="H121" s="37" t="n"/>
      <c r="I121" s="39" t="n"/>
      <c r="J121" s="37" t="n"/>
      <c r="K121" s="42" t="n"/>
      <c r="L121" s="44" t="n"/>
      <c r="M121" s="11">
        <f>IF(E121="","",SUMIFS(tbl_Finance[Xero Invoiced Ex GST],tbl_Finance[Job Number],E121&amp;""))</f>
        <v/>
      </c>
      <c r="N121" s="11">
        <f>IF(J121&lt;&gt;"Won","",IF(E121="",N(I121),N(I121)-N(M121)))</f>
        <v/>
      </c>
      <c r="O121" s="37" t="n"/>
    </row>
    <row r="122">
      <c r="A122" s="44" t="n"/>
      <c r="B122" s="37" t="n"/>
      <c r="C122" s="37" t="n"/>
      <c r="D122" s="37" t="n"/>
      <c r="E122" s="37" t="n"/>
      <c r="F122" s="10">
        <f>IF(E122="","",IF(COUNTIF(lst_Jobs,E122&amp;"")&gt;0,"OK","CHECK"))</f>
        <v/>
      </c>
      <c r="G122" s="37" t="n"/>
      <c r="H122" s="37" t="n"/>
      <c r="I122" s="39" t="n"/>
      <c r="J122" s="37" t="n"/>
      <c r="K122" s="42" t="n"/>
      <c r="L122" s="44" t="n"/>
      <c r="M122" s="11">
        <f>IF(E122="","",SUMIFS(tbl_Finance[Xero Invoiced Ex GST],tbl_Finance[Job Number],E122&amp;""))</f>
        <v/>
      </c>
      <c r="N122" s="11">
        <f>IF(J122&lt;&gt;"Won","",IF(E122="",N(I122),N(I122)-N(M122)))</f>
        <v/>
      </c>
      <c r="O122" s="37" t="n"/>
    </row>
    <row r="123">
      <c r="A123" s="44" t="n"/>
      <c r="B123" s="37" t="n"/>
      <c r="C123" s="37" t="n"/>
      <c r="D123" s="37" t="n"/>
      <c r="E123" s="37" t="n"/>
      <c r="F123" s="10">
        <f>IF(E123="","",IF(COUNTIF(lst_Jobs,E123&amp;"")&gt;0,"OK","CHECK"))</f>
        <v/>
      </c>
      <c r="G123" s="37" t="n"/>
      <c r="H123" s="37" t="n"/>
      <c r="I123" s="39" t="n"/>
      <c r="J123" s="37" t="n"/>
      <c r="K123" s="42" t="n"/>
      <c r="L123" s="44" t="n"/>
      <c r="M123" s="11">
        <f>IF(E123="","",SUMIFS(tbl_Finance[Xero Invoiced Ex GST],tbl_Finance[Job Number],E123&amp;""))</f>
        <v/>
      </c>
      <c r="N123" s="11">
        <f>IF(J123&lt;&gt;"Won","",IF(E123="",N(I123),N(I123)-N(M123)))</f>
        <v/>
      </c>
      <c r="O123" s="37" t="n"/>
    </row>
    <row r="124">
      <c r="A124" s="44" t="n"/>
      <c r="B124" s="37" t="n"/>
      <c r="C124" s="37" t="n"/>
      <c r="D124" s="37" t="n"/>
      <c r="E124" s="37" t="n"/>
      <c r="F124" s="10">
        <f>IF(E124="","",IF(COUNTIF(lst_Jobs,E124&amp;"")&gt;0,"OK","CHECK"))</f>
        <v/>
      </c>
      <c r="G124" s="37" t="n"/>
      <c r="H124" s="37" t="n"/>
      <c r="I124" s="39" t="n"/>
      <c r="J124" s="37" t="n"/>
      <c r="K124" s="42" t="n"/>
      <c r="L124" s="44" t="n"/>
      <c r="M124" s="11">
        <f>IF(E124="","",SUMIFS(tbl_Finance[Xero Invoiced Ex GST],tbl_Finance[Job Number],E124&amp;""))</f>
        <v/>
      </c>
      <c r="N124" s="11">
        <f>IF(J124&lt;&gt;"Won","",IF(E124="",N(I124),N(I124)-N(M124)))</f>
        <v/>
      </c>
      <c r="O124" s="37" t="n"/>
    </row>
    <row r="125">
      <c r="A125" s="44" t="n"/>
      <c r="B125" s="37" t="n"/>
      <c r="C125" s="37" t="n"/>
      <c r="D125" s="37" t="n"/>
      <c r="E125" s="37" t="n"/>
      <c r="F125" s="10">
        <f>IF(E125="","",IF(COUNTIF(lst_Jobs,E125&amp;"")&gt;0,"OK","CHECK"))</f>
        <v/>
      </c>
      <c r="G125" s="37" t="n"/>
      <c r="H125" s="37" t="n"/>
      <c r="I125" s="39" t="n"/>
      <c r="J125" s="37" t="n"/>
      <c r="K125" s="42" t="n"/>
      <c r="L125" s="44" t="n"/>
      <c r="M125" s="11">
        <f>IF(E125="","",SUMIFS(tbl_Finance[Xero Invoiced Ex GST],tbl_Finance[Job Number],E125&amp;""))</f>
        <v/>
      </c>
      <c r="N125" s="11">
        <f>IF(J125&lt;&gt;"Won","",IF(E125="",N(I125),N(I125)-N(M125)))</f>
        <v/>
      </c>
      <c r="O125" s="37" t="n"/>
    </row>
    <row r="126">
      <c r="A126" s="44" t="n"/>
      <c r="B126" s="37" t="n"/>
      <c r="C126" s="37" t="n"/>
      <c r="D126" s="37" t="n"/>
      <c r="E126" s="37" t="n"/>
      <c r="F126" s="10">
        <f>IF(E126="","",IF(COUNTIF(lst_Jobs,E126&amp;"")&gt;0,"OK","CHECK"))</f>
        <v/>
      </c>
      <c r="G126" s="37" t="n"/>
      <c r="H126" s="37" t="n"/>
      <c r="I126" s="39" t="n"/>
      <c r="J126" s="37" t="n"/>
      <c r="K126" s="42" t="n"/>
      <c r="L126" s="44" t="n"/>
      <c r="M126" s="11">
        <f>IF(E126="","",SUMIFS(tbl_Finance[Xero Invoiced Ex GST],tbl_Finance[Job Number],E126&amp;""))</f>
        <v/>
      </c>
      <c r="N126" s="11">
        <f>IF(J126&lt;&gt;"Won","",IF(E126="",N(I126),N(I126)-N(M126)))</f>
        <v/>
      </c>
      <c r="O126" s="37" t="n"/>
    </row>
    <row r="127">
      <c r="A127" s="44" t="n"/>
      <c r="B127" s="37" t="n"/>
      <c r="C127" s="37" t="n"/>
      <c r="D127" s="37" t="n"/>
      <c r="E127" s="37" t="n"/>
      <c r="F127" s="10">
        <f>IF(E127="","",IF(COUNTIF(lst_Jobs,E127&amp;"")&gt;0,"OK","CHECK"))</f>
        <v/>
      </c>
      <c r="G127" s="37" t="n"/>
      <c r="H127" s="37" t="n"/>
      <c r="I127" s="39" t="n"/>
      <c r="J127" s="37" t="n"/>
      <c r="K127" s="42" t="n"/>
      <c r="L127" s="44" t="n"/>
      <c r="M127" s="11">
        <f>IF(E127="","",SUMIFS(tbl_Finance[Xero Invoiced Ex GST],tbl_Finance[Job Number],E127&amp;""))</f>
        <v/>
      </c>
      <c r="N127" s="11">
        <f>IF(J127&lt;&gt;"Won","",IF(E127="",N(I127),N(I127)-N(M127)))</f>
        <v/>
      </c>
      <c r="O127" s="37" t="n"/>
    </row>
    <row r="128">
      <c r="A128" s="44" t="n"/>
      <c r="B128" s="37" t="n"/>
      <c r="C128" s="37" t="n"/>
      <c r="D128" s="37" t="n"/>
      <c r="E128" s="37" t="n"/>
      <c r="F128" s="10">
        <f>IF(E128="","",IF(COUNTIF(lst_Jobs,E128&amp;"")&gt;0,"OK","CHECK"))</f>
        <v/>
      </c>
      <c r="G128" s="37" t="n"/>
      <c r="H128" s="37" t="n"/>
      <c r="I128" s="39" t="n"/>
      <c r="J128" s="37" t="n"/>
      <c r="K128" s="42" t="n"/>
      <c r="L128" s="44" t="n"/>
      <c r="M128" s="11">
        <f>IF(E128="","",SUMIFS(tbl_Finance[Xero Invoiced Ex GST],tbl_Finance[Job Number],E128&amp;""))</f>
        <v/>
      </c>
      <c r="N128" s="11">
        <f>IF(J128&lt;&gt;"Won","",IF(E128="",N(I128),N(I128)-N(M128)))</f>
        <v/>
      </c>
      <c r="O128" s="37" t="n"/>
    </row>
    <row r="129">
      <c r="A129" s="44" t="n"/>
      <c r="B129" s="37" t="n"/>
      <c r="C129" s="37" t="n"/>
      <c r="D129" s="37" t="n"/>
      <c r="E129" s="37" t="n"/>
      <c r="F129" s="10">
        <f>IF(E129="","",IF(COUNTIF(lst_Jobs,E129&amp;"")&gt;0,"OK","CHECK"))</f>
        <v/>
      </c>
      <c r="G129" s="37" t="n"/>
      <c r="H129" s="37" t="n"/>
      <c r="I129" s="39" t="n"/>
      <c r="J129" s="37" t="n"/>
      <c r="K129" s="42" t="n"/>
      <c r="L129" s="44" t="n"/>
      <c r="M129" s="11">
        <f>IF(E129="","",SUMIFS(tbl_Finance[Xero Invoiced Ex GST],tbl_Finance[Job Number],E129&amp;""))</f>
        <v/>
      </c>
      <c r="N129" s="11">
        <f>IF(J129&lt;&gt;"Won","",IF(E129="",N(I129),N(I129)-N(M129)))</f>
        <v/>
      </c>
      <c r="O129" s="37" t="n"/>
    </row>
    <row r="130">
      <c r="A130" s="44" t="n"/>
      <c r="B130" s="37" t="n"/>
      <c r="C130" s="37" t="n"/>
      <c r="D130" s="37" t="n"/>
      <c r="E130" s="37" t="n"/>
      <c r="F130" s="10">
        <f>IF(E130="","",IF(COUNTIF(lst_Jobs,E130&amp;"")&gt;0,"OK","CHECK"))</f>
        <v/>
      </c>
      <c r="G130" s="37" t="n"/>
      <c r="H130" s="37" t="n"/>
      <c r="I130" s="39" t="n"/>
      <c r="J130" s="37" t="n"/>
      <c r="K130" s="42" t="n"/>
      <c r="L130" s="44" t="n"/>
      <c r="M130" s="11">
        <f>IF(E130="","",SUMIFS(tbl_Finance[Xero Invoiced Ex GST],tbl_Finance[Job Number],E130&amp;""))</f>
        <v/>
      </c>
      <c r="N130" s="11">
        <f>IF(J130&lt;&gt;"Won","",IF(E130="",N(I130),N(I130)-N(M130)))</f>
        <v/>
      </c>
      <c r="O130" s="37" t="n"/>
    </row>
    <row r="131">
      <c r="A131" s="44" t="n"/>
      <c r="B131" s="37" t="n"/>
      <c r="C131" s="37" t="n"/>
      <c r="D131" s="37" t="n"/>
      <c r="E131" s="37" t="n"/>
      <c r="F131" s="10">
        <f>IF(E131="","",IF(COUNTIF(lst_Jobs,E131&amp;"")&gt;0,"OK","CHECK"))</f>
        <v/>
      </c>
      <c r="G131" s="37" t="n"/>
      <c r="H131" s="37" t="n"/>
      <c r="I131" s="39" t="n"/>
      <c r="J131" s="37" t="n"/>
      <c r="K131" s="42" t="n"/>
      <c r="L131" s="44" t="n"/>
      <c r="M131" s="11">
        <f>IF(E131="","",SUMIFS(tbl_Finance[Xero Invoiced Ex GST],tbl_Finance[Job Number],E131&amp;""))</f>
        <v/>
      </c>
      <c r="N131" s="11">
        <f>IF(J131&lt;&gt;"Won","",IF(E131="",N(I131),N(I131)-N(M131)))</f>
        <v/>
      </c>
      <c r="O131" s="37" t="n"/>
    </row>
    <row r="132">
      <c r="A132" s="44" t="n"/>
      <c r="B132" s="37" t="n"/>
      <c r="C132" s="37" t="n"/>
      <c r="D132" s="37" t="n"/>
      <c r="E132" s="37" t="n"/>
      <c r="F132" s="10">
        <f>IF(E132="","",IF(COUNTIF(lst_Jobs,E132&amp;"")&gt;0,"OK","CHECK"))</f>
        <v/>
      </c>
      <c r="G132" s="37" t="n"/>
      <c r="H132" s="37" t="n"/>
      <c r="I132" s="39" t="n"/>
      <c r="J132" s="37" t="n"/>
      <c r="K132" s="42" t="n"/>
      <c r="L132" s="44" t="n"/>
      <c r="M132" s="11">
        <f>IF(E132="","",SUMIFS(tbl_Finance[Xero Invoiced Ex GST],tbl_Finance[Job Number],E132&amp;""))</f>
        <v/>
      </c>
      <c r="N132" s="11">
        <f>IF(J132&lt;&gt;"Won","",IF(E132="",N(I132),N(I132)-N(M132)))</f>
        <v/>
      </c>
      <c r="O132" s="37" t="n"/>
    </row>
    <row r="133">
      <c r="A133" s="44" t="n"/>
      <c r="B133" s="37" t="n"/>
      <c r="C133" s="37" t="n"/>
      <c r="D133" s="37" t="n"/>
      <c r="E133" s="37" t="n"/>
      <c r="F133" s="10">
        <f>IF(E133="","",IF(COUNTIF(lst_Jobs,E133&amp;"")&gt;0,"OK","CHECK"))</f>
        <v/>
      </c>
      <c r="G133" s="37" t="n"/>
      <c r="H133" s="37" t="n"/>
      <c r="I133" s="39" t="n"/>
      <c r="J133" s="37" t="n"/>
      <c r="K133" s="42" t="n"/>
      <c r="L133" s="44" t="n"/>
      <c r="M133" s="11">
        <f>IF(E133="","",SUMIFS(tbl_Finance[Xero Invoiced Ex GST],tbl_Finance[Job Number],E133&amp;""))</f>
        <v/>
      </c>
      <c r="N133" s="11">
        <f>IF(J133&lt;&gt;"Won","",IF(E133="",N(I133),N(I133)-N(M133)))</f>
        <v/>
      </c>
      <c r="O133" s="37" t="n"/>
    </row>
    <row r="134">
      <c r="A134" s="44" t="n"/>
      <c r="B134" s="37" t="n"/>
      <c r="C134" s="37" t="n"/>
      <c r="D134" s="37" t="n"/>
      <c r="E134" s="37" t="n"/>
      <c r="F134" s="10">
        <f>IF(E134="","",IF(COUNTIF(lst_Jobs,E134&amp;"")&gt;0,"OK","CHECK"))</f>
        <v/>
      </c>
      <c r="G134" s="37" t="n"/>
      <c r="H134" s="37" t="n"/>
      <c r="I134" s="39" t="n"/>
      <c r="J134" s="37" t="n"/>
      <c r="K134" s="42" t="n"/>
      <c r="L134" s="44" t="n"/>
      <c r="M134" s="11">
        <f>IF(E134="","",SUMIFS(tbl_Finance[Xero Invoiced Ex GST],tbl_Finance[Job Number],E134&amp;""))</f>
        <v/>
      </c>
      <c r="N134" s="11">
        <f>IF(J134&lt;&gt;"Won","",IF(E134="",N(I134),N(I134)-N(M134)))</f>
        <v/>
      </c>
      <c r="O134" s="37" t="n"/>
    </row>
    <row r="135">
      <c r="A135" s="44" t="n"/>
      <c r="B135" s="37" t="n"/>
      <c r="C135" s="37" t="n"/>
      <c r="D135" s="37" t="n"/>
      <c r="E135" s="37" t="n"/>
      <c r="F135" s="10">
        <f>IF(E135="","",IF(COUNTIF(lst_Jobs,E135&amp;"")&gt;0,"OK","CHECK"))</f>
        <v/>
      </c>
      <c r="G135" s="37" t="n"/>
      <c r="H135" s="37" t="n"/>
      <c r="I135" s="39" t="n"/>
      <c r="J135" s="37" t="n"/>
      <c r="K135" s="42" t="n"/>
      <c r="L135" s="44" t="n"/>
      <c r="M135" s="11">
        <f>IF(E135="","",SUMIFS(tbl_Finance[Xero Invoiced Ex GST],tbl_Finance[Job Number],E135&amp;""))</f>
        <v/>
      </c>
      <c r="N135" s="11">
        <f>IF(J135&lt;&gt;"Won","",IF(E135="",N(I135),N(I135)-N(M135)))</f>
        <v/>
      </c>
      <c r="O135" s="37" t="n"/>
    </row>
    <row r="136">
      <c r="A136" s="44" t="n"/>
      <c r="B136" s="37" t="n"/>
      <c r="C136" s="37" t="n"/>
      <c r="D136" s="37" t="n"/>
      <c r="E136" s="37" t="n"/>
      <c r="F136" s="10">
        <f>IF(E136="","",IF(COUNTIF(lst_Jobs,E136&amp;"")&gt;0,"OK","CHECK"))</f>
        <v/>
      </c>
      <c r="G136" s="37" t="n"/>
      <c r="H136" s="37" t="n"/>
      <c r="I136" s="39" t="n"/>
      <c r="J136" s="37" t="n"/>
      <c r="K136" s="42" t="n"/>
      <c r="L136" s="44" t="n"/>
      <c r="M136" s="11">
        <f>IF(E136="","",SUMIFS(tbl_Finance[Xero Invoiced Ex GST],tbl_Finance[Job Number],E136&amp;""))</f>
        <v/>
      </c>
      <c r="N136" s="11">
        <f>IF(J136&lt;&gt;"Won","",IF(E136="",N(I136),N(I136)-N(M136)))</f>
        <v/>
      </c>
      <c r="O136" s="37" t="n"/>
    </row>
    <row r="137">
      <c r="A137" s="44" t="n"/>
      <c r="B137" s="37" t="n"/>
      <c r="C137" s="37" t="n"/>
      <c r="D137" s="37" t="n"/>
      <c r="E137" s="37" t="n"/>
      <c r="F137" s="10">
        <f>IF(E137="","",IF(COUNTIF(lst_Jobs,E137&amp;"")&gt;0,"OK","CHECK"))</f>
        <v/>
      </c>
      <c r="G137" s="37" t="n"/>
      <c r="H137" s="37" t="n"/>
      <c r="I137" s="39" t="n"/>
      <c r="J137" s="37" t="n"/>
      <c r="K137" s="42" t="n"/>
      <c r="L137" s="44" t="n"/>
      <c r="M137" s="11">
        <f>IF(E137="","",SUMIFS(tbl_Finance[Xero Invoiced Ex GST],tbl_Finance[Job Number],E137&amp;""))</f>
        <v/>
      </c>
      <c r="N137" s="11">
        <f>IF(J137&lt;&gt;"Won","",IF(E137="",N(I137),N(I137)-N(M137)))</f>
        <v/>
      </c>
      <c r="O137" s="37" t="n"/>
    </row>
    <row r="138">
      <c r="A138" s="44" t="n"/>
      <c r="B138" s="37" t="n"/>
      <c r="C138" s="37" t="n"/>
      <c r="D138" s="37" t="n"/>
      <c r="E138" s="37" t="n"/>
      <c r="F138" s="10">
        <f>IF(E138="","",IF(COUNTIF(lst_Jobs,E138&amp;"")&gt;0,"OK","CHECK"))</f>
        <v/>
      </c>
      <c r="G138" s="37" t="n"/>
      <c r="H138" s="37" t="n"/>
      <c r="I138" s="39" t="n"/>
      <c r="J138" s="37" t="n"/>
      <c r="K138" s="42" t="n"/>
      <c r="L138" s="44" t="n"/>
      <c r="M138" s="11">
        <f>IF(E138="","",SUMIFS(tbl_Finance[Xero Invoiced Ex GST],tbl_Finance[Job Number],E138&amp;""))</f>
        <v/>
      </c>
      <c r="N138" s="11">
        <f>IF(J138&lt;&gt;"Won","",IF(E138="",N(I138),N(I138)-N(M138)))</f>
        <v/>
      </c>
      <c r="O138" s="37" t="n"/>
    </row>
    <row r="139">
      <c r="A139" s="44" t="n"/>
      <c r="B139" s="37" t="n"/>
      <c r="C139" s="37" t="n"/>
      <c r="D139" s="37" t="n"/>
      <c r="E139" s="37" t="n"/>
      <c r="F139" s="10">
        <f>IF(E139="","",IF(COUNTIF(lst_Jobs,E139&amp;"")&gt;0,"OK","CHECK"))</f>
        <v/>
      </c>
      <c r="G139" s="37" t="n"/>
      <c r="H139" s="37" t="n"/>
      <c r="I139" s="39" t="n"/>
      <c r="J139" s="37" t="n"/>
      <c r="K139" s="42" t="n"/>
      <c r="L139" s="44" t="n"/>
      <c r="M139" s="11">
        <f>IF(E139="","",SUMIFS(tbl_Finance[Xero Invoiced Ex GST],tbl_Finance[Job Number],E139&amp;""))</f>
        <v/>
      </c>
      <c r="N139" s="11">
        <f>IF(J139&lt;&gt;"Won","",IF(E139="",N(I139),N(I139)-N(M139)))</f>
        <v/>
      </c>
      <c r="O139" s="37" t="n"/>
    </row>
    <row r="140">
      <c r="A140" s="44" t="n"/>
      <c r="B140" s="37" t="n"/>
      <c r="C140" s="37" t="n"/>
      <c r="D140" s="37" t="n"/>
      <c r="E140" s="37" t="n"/>
      <c r="F140" s="10">
        <f>IF(E140="","",IF(COUNTIF(lst_Jobs,E140&amp;"")&gt;0,"OK","CHECK"))</f>
        <v/>
      </c>
      <c r="G140" s="37" t="n"/>
      <c r="H140" s="37" t="n"/>
      <c r="I140" s="39" t="n"/>
      <c r="J140" s="37" t="n"/>
      <c r="K140" s="42" t="n"/>
      <c r="L140" s="44" t="n"/>
      <c r="M140" s="11">
        <f>IF(E140="","",SUMIFS(tbl_Finance[Xero Invoiced Ex GST],tbl_Finance[Job Number],E140&amp;""))</f>
        <v/>
      </c>
      <c r="N140" s="11">
        <f>IF(J140&lt;&gt;"Won","",IF(E140="",N(I140),N(I140)-N(M140)))</f>
        <v/>
      </c>
      <c r="O140" s="37" t="n"/>
    </row>
    <row r="141">
      <c r="A141" s="44" t="n"/>
      <c r="B141" s="37" t="n"/>
      <c r="C141" s="37" t="n"/>
      <c r="D141" s="37" t="n"/>
      <c r="E141" s="37" t="n"/>
      <c r="F141" s="10">
        <f>IF(E141="","",IF(COUNTIF(lst_Jobs,E141&amp;"")&gt;0,"OK","CHECK"))</f>
        <v/>
      </c>
      <c r="G141" s="37" t="n"/>
      <c r="H141" s="37" t="n"/>
      <c r="I141" s="39" t="n"/>
      <c r="J141" s="37" t="n"/>
      <c r="K141" s="42" t="n"/>
      <c r="L141" s="44" t="n"/>
      <c r="M141" s="11">
        <f>IF(E141="","",SUMIFS(tbl_Finance[Xero Invoiced Ex GST],tbl_Finance[Job Number],E141&amp;""))</f>
        <v/>
      </c>
      <c r="N141" s="11">
        <f>IF(J141&lt;&gt;"Won","",IF(E141="",N(I141),N(I141)-N(M141)))</f>
        <v/>
      </c>
      <c r="O141" s="37" t="n"/>
    </row>
    <row r="142">
      <c r="A142" s="44" t="n"/>
      <c r="B142" s="37" t="n"/>
      <c r="C142" s="37" t="n"/>
      <c r="D142" s="37" t="n"/>
      <c r="E142" s="37" t="n"/>
      <c r="F142" s="10">
        <f>IF(E142="","",IF(COUNTIF(lst_Jobs,E142&amp;"")&gt;0,"OK","CHECK"))</f>
        <v/>
      </c>
      <c r="G142" s="37" t="n"/>
      <c r="H142" s="37" t="n"/>
      <c r="I142" s="39" t="n"/>
      <c r="J142" s="37" t="n"/>
      <c r="K142" s="42" t="n"/>
      <c r="L142" s="44" t="n"/>
      <c r="M142" s="11">
        <f>IF(E142="","",SUMIFS(tbl_Finance[Xero Invoiced Ex GST],tbl_Finance[Job Number],E142&amp;""))</f>
        <v/>
      </c>
      <c r="N142" s="11">
        <f>IF(J142&lt;&gt;"Won","",IF(E142="",N(I142),N(I142)-N(M142)))</f>
        <v/>
      </c>
      <c r="O142" s="37" t="n"/>
    </row>
    <row r="143">
      <c r="A143" s="44" t="n"/>
      <c r="B143" s="37" t="n"/>
      <c r="C143" s="37" t="n"/>
      <c r="D143" s="37" t="n"/>
      <c r="E143" s="37" t="n"/>
      <c r="F143" s="10">
        <f>IF(E143="","",IF(COUNTIF(lst_Jobs,E143&amp;"")&gt;0,"OK","CHECK"))</f>
        <v/>
      </c>
      <c r="G143" s="37" t="n"/>
      <c r="H143" s="37" t="n"/>
      <c r="I143" s="39" t="n"/>
      <c r="J143" s="37" t="n"/>
      <c r="K143" s="42" t="n"/>
      <c r="L143" s="44" t="n"/>
      <c r="M143" s="11">
        <f>IF(E143="","",SUMIFS(tbl_Finance[Xero Invoiced Ex GST],tbl_Finance[Job Number],E143&amp;""))</f>
        <v/>
      </c>
      <c r="N143" s="11">
        <f>IF(J143&lt;&gt;"Won","",IF(E143="",N(I143),N(I143)-N(M143)))</f>
        <v/>
      </c>
      <c r="O143" s="37" t="n"/>
    </row>
    <row r="144">
      <c r="A144" s="44" t="n"/>
      <c r="B144" s="37" t="n"/>
      <c r="C144" s="37" t="n"/>
      <c r="D144" s="37" t="n"/>
      <c r="E144" s="37" t="n"/>
      <c r="F144" s="10">
        <f>IF(E144="","",IF(COUNTIF(lst_Jobs,E144&amp;"")&gt;0,"OK","CHECK"))</f>
        <v/>
      </c>
      <c r="G144" s="37" t="n"/>
      <c r="H144" s="37" t="n"/>
      <c r="I144" s="39" t="n"/>
      <c r="J144" s="37" t="n"/>
      <c r="K144" s="42" t="n"/>
      <c r="L144" s="44" t="n"/>
      <c r="M144" s="11">
        <f>IF(E144="","",SUMIFS(tbl_Finance[Xero Invoiced Ex GST],tbl_Finance[Job Number],E144&amp;""))</f>
        <v/>
      </c>
      <c r="N144" s="11">
        <f>IF(J144&lt;&gt;"Won","",IF(E144="",N(I144),N(I144)-N(M144)))</f>
        <v/>
      </c>
      <c r="O144" s="37" t="n"/>
    </row>
    <row r="145">
      <c r="A145" s="44" t="n"/>
      <c r="B145" s="37" t="n"/>
      <c r="C145" s="37" t="n"/>
      <c r="D145" s="37" t="n"/>
      <c r="E145" s="37" t="n"/>
      <c r="F145" s="10">
        <f>IF(E145="","",IF(COUNTIF(lst_Jobs,E145&amp;"")&gt;0,"OK","CHECK"))</f>
        <v/>
      </c>
      <c r="G145" s="37" t="n"/>
      <c r="H145" s="37" t="n"/>
      <c r="I145" s="39" t="n"/>
      <c r="J145" s="37" t="n"/>
      <c r="K145" s="42" t="n"/>
      <c r="L145" s="44" t="n"/>
      <c r="M145" s="11">
        <f>IF(E145="","",SUMIFS(tbl_Finance[Xero Invoiced Ex GST],tbl_Finance[Job Number],E145&amp;""))</f>
        <v/>
      </c>
      <c r="N145" s="11">
        <f>IF(J145&lt;&gt;"Won","",IF(E145="",N(I145),N(I145)-N(M145)))</f>
        <v/>
      </c>
      <c r="O145" s="37" t="n"/>
    </row>
    <row r="146">
      <c r="A146" s="44" t="n"/>
      <c r="B146" s="37" t="n"/>
      <c r="C146" s="37" t="n"/>
      <c r="D146" s="37" t="n"/>
      <c r="E146" s="37" t="n"/>
      <c r="F146" s="10">
        <f>IF(E146="","",IF(COUNTIF(lst_Jobs,E146&amp;"")&gt;0,"OK","CHECK"))</f>
        <v/>
      </c>
      <c r="G146" s="37" t="n"/>
      <c r="H146" s="37" t="n"/>
      <c r="I146" s="39" t="n"/>
      <c r="J146" s="37" t="n"/>
      <c r="K146" s="42" t="n"/>
      <c r="L146" s="44" t="n"/>
      <c r="M146" s="11">
        <f>IF(E146="","",SUMIFS(tbl_Finance[Xero Invoiced Ex GST],tbl_Finance[Job Number],E146&amp;""))</f>
        <v/>
      </c>
      <c r="N146" s="11">
        <f>IF(J146&lt;&gt;"Won","",IF(E146="",N(I146),N(I146)-N(M146)))</f>
        <v/>
      </c>
      <c r="O146" s="37" t="n"/>
    </row>
    <row r="147">
      <c r="A147" s="44" t="n"/>
      <c r="B147" s="37" t="n"/>
      <c r="C147" s="37" t="n"/>
      <c r="D147" s="37" t="n"/>
      <c r="E147" s="37" t="n"/>
      <c r="F147" s="10">
        <f>IF(E147="","",IF(COUNTIF(lst_Jobs,E147&amp;"")&gt;0,"OK","CHECK"))</f>
        <v/>
      </c>
      <c r="G147" s="37" t="n"/>
      <c r="H147" s="37" t="n"/>
      <c r="I147" s="39" t="n"/>
      <c r="J147" s="37" t="n"/>
      <c r="K147" s="42" t="n"/>
      <c r="L147" s="44" t="n"/>
      <c r="M147" s="11">
        <f>IF(E147="","",SUMIFS(tbl_Finance[Xero Invoiced Ex GST],tbl_Finance[Job Number],E147&amp;""))</f>
        <v/>
      </c>
      <c r="N147" s="11">
        <f>IF(J147&lt;&gt;"Won","",IF(E147="",N(I147),N(I147)-N(M147)))</f>
        <v/>
      </c>
      <c r="O147" s="37" t="n"/>
    </row>
    <row r="148">
      <c r="A148" s="44" t="n"/>
      <c r="B148" s="37" t="n"/>
      <c r="C148" s="37" t="n"/>
      <c r="D148" s="37" t="n"/>
      <c r="E148" s="37" t="n"/>
      <c r="F148" s="10">
        <f>IF(E148="","",IF(COUNTIF(lst_Jobs,E148&amp;"")&gt;0,"OK","CHECK"))</f>
        <v/>
      </c>
      <c r="G148" s="37" t="n"/>
      <c r="H148" s="37" t="n"/>
      <c r="I148" s="39" t="n"/>
      <c r="J148" s="37" t="n"/>
      <c r="K148" s="42" t="n"/>
      <c r="L148" s="44" t="n"/>
      <c r="M148" s="11">
        <f>IF(E148="","",SUMIFS(tbl_Finance[Xero Invoiced Ex GST],tbl_Finance[Job Number],E148&amp;""))</f>
        <v/>
      </c>
      <c r="N148" s="11">
        <f>IF(J148&lt;&gt;"Won","",IF(E148="",N(I148),N(I148)-N(M148)))</f>
        <v/>
      </c>
      <c r="O148" s="37" t="n"/>
    </row>
    <row r="149">
      <c r="A149" s="44" t="n"/>
      <c r="B149" s="37" t="n"/>
      <c r="C149" s="37" t="n"/>
      <c r="D149" s="37" t="n"/>
      <c r="E149" s="37" t="n"/>
      <c r="F149" s="10">
        <f>IF(E149="","",IF(COUNTIF(lst_Jobs,E149&amp;"")&gt;0,"OK","CHECK"))</f>
        <v/>
      </c>
      <c r="G149" s="37" t="n"/>
      <c r="H149" s="37" t="n"/>
      <c r="I149" s="39" t="n"/>
      <c r="J149" s="37" t="n"/>
      <c r="K149" s="42" t="n"/>
      <c r="L149" s="44" t="n"/>
      <c r="M149" s="11">
        <f>IF(E149="","",SUMIFS(tbl_Finance[Xero Invoiced Ex GST],tbl_Finance[Job Number],E149&amp;""))</f>
        <v/>
      </c>
      <c r="N149" s="11">
        <f>IF(J149&lt;&gt;"Won","",IF(E149="",N(I149),N(I149)-N(M149)))</f>
        <v/>
      </c>
      <c r="O149" s="37" t="n"/>
    </row>
    <row r="150">
      <c r="A150" s="44" t="n"/>
      <c r="B150" s="37" t="n"/>
      <c r="C150" s="37" t="n"/>
      <c r="D150" s="37" t="n"/>
      <c r="E150" s="37" t="n"/>
      <c r="F150" s="10">
        <f>IF(E150="","",IF(COUNTIF(lst_Jobs,E150&amp;"")&gt;0,"OK","CHECK"))</f>
        <v/>
      </c>
      <c r="G150" s="37" t="n"/>
      <c r="H150" s="37" t="n"/>
      <c r="I150" s="39" t="n"/>
      <c r="J150" s="37" t="n"/>
      <c r="K150" s="42" t="n"/>
      <c r="L150" s="44" t="n"/>
      <c r="M150" s="11">
        <f>IF(E150="","",SUMIFS(tbl_Finance[Xero Invoiced Ex GST],tbl_Finance[Job Number],E150&amp;""))</f>
        <v/>
      </c>
      <c r="N150" s="11">
        <f>IF(J150&lt;&gt;"Won","",IF(E150="",N(I150),N(I150)-N(M150)))</f>
        <v/>
      </c>
      <c r="O150" s="37" t="n"/>
    </row>
    <row r="151">
      <c r="A151" s="44" t="n"/>
      <c r="B151" s="37" t="n"/>
      <c r="C151" s="37" t="n"/>
      <c r="D151" s="37" t="n"/>
      <c r="E151" s="37" t="n"/>
      <c r="F151" s="10">
        <f>IF(E151="","",IF(COUNTIF(lst_Jobs,E151&amp;"")&gt;0,"OK","CHECK"))</f>
        <v/>
      </c>
      <c r="G151" s="37" t="n"/>
      <c r="H151" s="37" t="n"/>
      <c r="I151" s="39" t="n"/>
      <c r="J151" s="37" t="n"/>
      <c r="K151" s="42" t="n"/>
      <c r="L151" s="44" t="n"/>
      <c r="M151" s="11">
        <f>IF(E151="","",SUMIFS(tbl_Finance[Xero Invoiced Ex GST],tbl_Finance[Job Number],E151&amp;""))</f>
        <v/>
      </c>
      <c r="N151" s="11">
        <f>IF(J151&lt;&gt;"Won","",IF(E151="",N(I151),N(I151)-N(M151)))</f>
        <v/>
      </c>
      <c r="O151" s="37" t="n"/>
    </row>
    <row r="152">
      <c r="A152" s="44" t="n"/>
      <c r="B152" s="37" t="n"/>
      <c r="C152" s="37" t="n"/>
      <c r="D152" s="37" t="n"/>
      <c r="E152" s="37" t="n"/>
      <c r="F152" s="10">
        <f>IF(E152="","",IF(COUNTIF(lst_Jobs,E152&amp;"")&gt;0,"OK","CHECK"))</f>
        <v/>
      </c>
      <c r="G152" s="37" t="n"/>
      <c r="H152" s="37" t="n"/>
      <c r="I152" s="39" t="n"/>
      <c r="J152" s="37" t="n"/>
      <c r="K152" s="42" t="n"/>
      <c r="L152" s="44" t="n"/>
      <c r="M152" s="11">
        <f>IF(E152="","",SUMIFS(tbl_Finance[Xero Invoiced Ex GST],tbl_Finance[Job Number],E152&amp;""))</f>
        <v/>
      </c>
      <c r="N152" s="11">
        <f>IF(J152&lt;&gt;"Won","",IF(E152="",N(I152),N(I152)-N(M152)))</f>
        <v/>
      </c>
      <c r="O152" s="37" t="n"/>
    </row>
    <row r="153">
      <c r="A153" s="44" t="n"/>
      <c r="B153" s="37" t="n"/>
      <c r="C153" s="37" t="n"/>
      <c r="D153" s="37" t="n"/>
      <c r="E153" s="37" t="n"/>
      <c r="F153" s="10">
        <f>IF(E153="","",IF(COUNTIF(lst_Jobs,E153&amp;"")&gt;0,"OK","CHECK"))</f>
        <v/>
      </c>
      <c r="G153" s="37" t="n"/>
      <c r="H153" s="37" t="n"/>
      <c r="I153" s="39" t="n"/>
      <c r="J153" s="37" t="n"/>
      <c r="K153" s="42" t="n"/>
      <c r="L153" s="44" t="n"/>
      <c r="M153" s="11">
        <f>IF(E153="","",SUMIFS(tbl_Finance[Xero Invoiced Ex GST],tbl_Finance[Job Number],E153&amp;""))</f>
        <v/>
      </c>
      <c r="N153" s="11">
        <f>IF(J153&lt;&gt;"Won","",IF(E153="",N(I153),N(I153)-N(M153)))</f>
        <v/>
      </c>
      <c r="O153" s="37" t="n"/>
    </row>
    <row r="154">
      <c r="A154" s="44" t="n"/>
      <c r="B154" s="37" t="n"/>
      <c r="C154" s="37" t="n"/>
      <c r="D154" s="37" t="n"/>
      <c r="E154" s="37" t="n"/>
      <c r="F154" s="10">
        <f>IF(E154="","",IF(COUNTIF(lst_Jobs,E154&amp;"")&gt;0,"OK","CHECK"))</f>
        <v/>
      </c>
      <c r="G154" s="37" t="n"/>
      <c r="H154" s="37" t="n"/>
      <c r="I154" s="39" t="n"/>
      <c r="J154" s="37" t="n"/>
      <c r="K154" s="42" t="n"/>
      <c r="L154" s="44" t="n"/>
      <c r="M154" s="11">
        <f>IF(E154="","",SUMIFS(tbl_Finance[Xero Invoiced Ex GST],tbl_Finance[Job Number],E154&amp;""))</f>
        <v/>
      </c>
      <c r="N154" s="11">
        <f>IF(J154&lt;&gt;"Won","",IF(E154="",N(I154),N(I154)-N(M154)))</f>
        <v/>
      </c>
      <c r="O154" s="37" t="n"/>
    </row>
    <row r="155">
      <c r="A155" s="44" t="n"/>
      <c r="B155" s="37" t="n"/>
      <c r="C155" s="37" t="n"/>
      <c r="D155" s="37" t="n"/>
      <c r="E155" s="37" t="n"/>
      <c r="F155" s="10">
        <f>IF(E155="","",IF(COUNTIF(lst_Jobs,E155&amp;"")&gt;0,"OK","CHECK"))</f>
        <v/>
      </c>
      <c r="G155" s="37" t="n"/>
      <c r="H155" s="37" t="n"/>
      <c r="I155" s="39" t="n"/>
      <c r="J155" s="37" t="n"/>
      <c r="K155" s="42" t="n"/>
      <c r="L155" s="44" t="n"/>
      <c r="M155" s="11">
        <f>IF(E155="","",SUMIFS(tbl_Finance[Xero Invoiced Ex GST],tbl_Finance[Job Number],E155&amp;""))</f>
        <v/>
      </c>
      <c r="N155" s="11">
        <f>IF(J155&lt;&gt;"Won","",IF(E155="",N(I155),N(I155)-N(M155)))</f>
        <v/>
      </c>
      <c r="O155" s="37" t="n"/>
    </row>
    <row r="156">
      <c r="A156" s="44" t="n"/>
      <c r="B156" s="37" t="n"/>
      <c r="C156" s="37" t="n"/>
      <c r="D156" s="37" t="n"/>
      <c r="E156" s="37" t="n"/>
      <c r="F156" s="10">
        <f>IF(E156="","",IF(COUNTIF(lst_Jobs,E156&amp;"")&gt;0,"OK","CHECK"))</f>
        <v/>
      </c>
      <c r="G156" s="37" t="n"/>
      <c r="H156" s="37" t="n"/>
      <c r="I156" s="39" t="n"/>
      <c r="J156" s="37" t="n"/>
      <c r="K156" s="42" t="n"/>
      <c r="L156" s="44" t="n"/>
      <c r="M156" s="11">
        <f>IF(E156="","",SUMIFS(tbl_Finance[Xero Invoiced Ex GST],tbl_Finance[Job Number],E156&amp;""))</f>
        <v/>
      </c>
      <c r="N156" s="11">
        <f>IF(J156&lt;&gt;"Won","",IF(E156="",N(I156),N(I156)-N(M156)))</f>
        <v/>
      </c>
      <c r="O156" s="37" t="n"/>
    </row>
    <row r="157">
      <c r="A157" s="44" t="n"/>
      <c r="B157" s="37" t="n"/>
      <c r="C157" s="37" t="n"/>
      <c r="D157" s="37" t="n"/>
      <c r="E157" s="37" t="n"/>
      <c r="F157" s="10">
        <f>IF(E157="","",IF(COUNTIF(lst_Jobs,E157&amp;"")&gt;0,"OK","CHECK"))</f>
        <v/>
      </c>
      <c r="G157" s="37" t="n"/>
      <c r="H157" s="37" t="n"/>
      <c r="I157" s="39" t="n"/>
      <c r="J157" s="37" t="n"/>
      <c r="K157" s="42" t="n"/>
      <c r="L157" s="44" t="n"/>
      <c r="M157" s="11">
        <f>IF(E157="","",SUMIFS(tbl_Finance[Xero Invoiced Ex GST],tbl_Finance[Job Number],E157&amp;""))</f>
        <v/>
      </c>
      <c r="N157" s="11">
        <f>IF(J157&lt;&gt;"Won","",IF(E157="",N(I157),N(I157)-N(M157)))</f>
        <v/>
      </c>
      <c r="O157" s="37" t="n"/>
    </row>
    <row r="158">
      <c r="A158" s="44" t="n"/>
      <c r="B158" s="37" t="n"/>
      <c r="C158" s="37" t="n"/>
      <c r="D158" s="37" t="n"/>
      <c r="E158" s="37" t="n"/>
      <c r="F158" s="10">
        <f>IF(E158="","",IF(COUNTIF(lst_Jobs,E158&amp;"")&gt;0,"OK","CHECK"))</f>
        <v/>
      </c>
      <c r="G158" s="37" t="n"/>
      <c r="H158" s="37" t="n"/>
      <c r="I158" s="39" t="n"/>
      <c r="J158" s="37" t="n"/>
      <c r="K158" s="42" t="n"/>
      <c r="L158" s="44" t="n"/>
      <c r="M158" s="11">
        <f>IF(E158="","",SUMIFS(tbl_Finance[Xero Invoiced Ex GST],tbl_Finance[Job Number],E158&amp;""))</f>
        <v/>
      </c>
      <c r="N158" s="11">
        <f>IF(J158&lt;&gt;"Won","",IF(E158="",N(I158),N(I158)-N(M158)))</f>
        <v/>
      </c>
      <c r="O158" s="37" t="n"/>
    </row>
    <row r="159">
      <c r="A159" s="44" t="n"/>
      <c r="B159" s="37" t="n"/>
      <c r="C159" s="37" t="n"/>
      <c r="D159" s="37" t="n"/>
      <c r="E159" s="37" t="n"/>
      <c r="F159" s="10">
        <f>IF(E159="","",IF(COUNTIF(lst_Jobs,E159&amp;"")&gt;0,"OK","CHECK"))</f>
        <v/>
      </c>
      <c r="G159" s="37" t="n"/>
      <c r="H159" s="37" t="n"/>
      <c r="I159" s="39" t="n"/>
      <c r="J159" s="37" t="n"/>
      <c r="K159" s="42" t="n"/>
      <c r="L159" s="44" t="n"/>
      <c r="M159" s="11">
        <f>IF(E159="","",SUMIFS(tbl_Finance[Xero Invoiced Ex GST],tbl_Finance[Job Number],E159&amp;""))</f>
        <v/>
      </c>
      <c r="N159" s="11">
        <f>IF(J159&lt;&gt;"Won","",IF(E159="",N(I159),N(I159)-N(M159)))</f>
        <v/>
      </c>
      <c r="O159" s="37" t="n"/>
    </row>
    <row r="160">
      <c r="A160" s="44" t="n"/>
      <c r="B160" s="37" t="n"/>
      <c r="C160" s="37" t="n"/>
      <c r="D160" s="37" t="n"/>
      <c r="E160" s="37" t="n"/>
      <c r="F160" s="10">
        <f>IF(E160="","",IF(COUNTIF(lst_Jobs,E160&amp;"")&gt;0,"OK","CHECK"))</f>
        <v/>
      </c>
      <c r="G160" s="37" t="n"/>
      <c r="H160" s="37" t="n"/>
      <c r="I160" s="39" t="n"/>
      <c r="J160" s="37" t="n"/>
      <c r="K160" s="42" t="n"/>
      <c r="L160" s="44" t="n"/>
      <c r="M160" s="11">
        <f>IF(E160="","",SUMIFS(tbl_Finance[Xero Invoiced Ex GST],tbl_Finance[Job Number],E160&amp;""))</f>
        <v/>
      </c>
      <c r="N160" s="11">
        <f>IF(J160&lt;&gt;"Won","",IF(E160="",N(I160),N(I160)-N(M160)))</f>
        <v/>
      </c>
      <c r="O160" s="37" t="n"/>
    </row>
    <row r="161">
      <c r="A161" s="44" t="n"/>
      <c r="B161" s="37" t="n"/>
      <c r="C161" s="37" t="n"/>
      <c r="D161" s="37" t="n"/>
      <c r="E161" s="37" t="n"/>
      <c r="F161" s="10">
        <f>IF(E161="","",IF(COUNTIF(lst_Jobs,E161&amp;"")&gt;0,"OK","CHECK"))</f>
        <v/>
      </c>
      <c r="G161" s="37" t="n"/>
      <c r="H161" s="37" t="n"/>
      <c r="I161" s="39" t="n"/>
      <c r="J161" s="37" t="n"/>
      <c r="K161" s="42" t="n"/>
      <c r="L161" s="44" t="n"/>
      <c r="M161" s="11">
        <f>IF(E161="","",SUMIFS(tbl_Finance[Xero Invoiced Ex GST],tbl_Finance[Job Number],E161&amp;""))</f>
        <v/>
      </c>
      <c r="N161" s="11">
        <f>IF(J161&lt;&gt;"Won","",IF(E161="",N(I161),N(I161)-N(M161)))</f>
        <v/>
      </c>
      <c r="O161" s="37" t="n"/>
    </row>
    <row r="162">
      <c r="A162" s="44" t="n"/>
      <c r="B162" s="37" t="n"/>
      <c r="C162" s="37" t="n"/>
      <c r="D162" s="37" t="n"/>
      <c r="E162" s="37" t="n"/>
      <c r="F162" s="10">
        <f>IF(E162="","",IF(COUNTIF(lst_Jobs,E162&amp;"")&gt;0,"OK","CHECK"))</f>
        <v/>
      </c>
      <c r="G162" s="37" t="n"/>
      <c r="H162" s="37" t="n"/>
      <c r="I162" s="39" t="n"/>
      <c r="J162" s="37" t="n"/>
      <c r="K162" s="42" t="n"/>
      <c r="L162" s="44" t="n"/>
      <c r="M162" s="11">
        <f>IF(E162="","",SUMIFS(tbl_Finance[Xero Invoiced Ex GST],tbl_Finance[Job Number],E162&amp;""))</f>
        <v/>
      </c>
      <c r="N162" s="11">
        <f>IF(J162&lt;&gt;"Won","",IF(E162="",N(I162),N(I162)-N(M162)))</f>
        <v/>
      </c>
      <c r="O162" s="37" t="n"/>
    </row>
    <row r="163">
      <c r="A163" s="44" t="n"/>
      <c r="B163" s="37" t="n"/>
      <c r="C163" s="37" t="n"/>
      <c r="D163" s="37" t="n"/>
      <c r="E163" s="37" t="n"/>
      <c r="F163" s="10">
        <f>IF(E163="","",IF(COUNTIF(lst_Jobs,E163&amp;"")&gt;0,"OK","CHECK"))</f>
        <v/>
      </c>
      <c r="G163" s="37" t="n"/>
      <c r="H163" s="37" t="n"/>
      <c r="I163" s="39" t="n"/>
      <c r="J163" s="37" t="n"/>
      <c r="K163" s="42" t="n"/>
      <c r="L163" s="44" t="n"/>
      <c r="M163" s="11">
        <f>IF(E163="","",SUMIFS(tbl_Finance[Xero Invoiced Ex GST],tbl_Finance[Job Number],E163&amp;""))</f>
        <v/>
      </c>
      <c r="N163" s="11">
        <f>IF(J163&lt;&gt;"Won","",IF(E163="",N(I163),N(I163)-N(M163)))</f>
        <v/>
      </c>
      <c r="O163" s="37" t="n"/>
    </row>
    <row r="164">
      <c r="A164" s="44" t="n"/>
      <c r="B164" s="37" t="n"/>
      <c r="C164" s="37" t="n"/>
      <c r="D164" s="37" t="n"/>
      <c r="E164" s="37" t="n"/>
      <c r="F164" s="10">
        <f>IF(E164="","",IF(COUNTIF(lst_Jobs,E164&amp;"")&gt;0,"OK","CHECK"))</f>
        <v/>
      </c>
      <c r="G164" s="37" t="n"/>
      <c r="H164" s="37" t="n"/>
      <c r="I164" s="39" t="n"/>
      <c r="J164" s="37" t="n"/>
      <c r="K164" s="42" t="n"/>
      <c r="L164" s="44" t="n"/>
      <c r="M164" s="11">
        <f>IF(E164="","",SUMIFS(tbl_Finance[Xero Invoiced Ex GST],tbl_Finance[Job Number],E164&amp;""))</f>
        <v/>
      </c>
      <c r="N164" s="11">
        <f>IF(J164&lt;&gt;"Won","",IF(E164="",N(I164),N(I164)-N(M164)))</f>
        <v/>
      </c>
      <c r="O164" s="37" t="n"/>
    </row>
    <row r="165">
      <c r="A165" s="44" t="n"/>
      <c r="B165" s="37" t="n"/>
      <c r="C165" s="37" t="n"/>
      <c r="D165" s="37" t="n"/>
      <c r="E165" s="37" t="n"/>
      <c r="F165" s="10">
        <f>IF(E165="","",IF(COUNTIF(lst_Jobs,E165&amp;"")&gt;0,"OK","CHECK"))</f>
        <v/>
      </c>
      <c r="G165" s="37" t="n"/>
      <c r="H165" s="37" t="n"/>
      <c r="I165" s="39" t="n"/>
      <c r="J165" s="37" t="n"/>
      <c r="K165" s="42" t="n"/>
      <c r="L165" s="44" t="n"/>
      <c r="M165" s="11">
        <f>IF(E165="","",SUMIFS(tbl_Finance[Xero Invoiced Ex GST],tbl_Finance[Job Number],E165&amp;""))</f>
        <v/>
      </c>
      <c r="N165" s="11">
        <f>IF(J165&lt;&gt;"Won","",IF(E165="",N(I165),N(I165)-N(M165)))</f>
        <v/>
      </c>
      <c r="O165" s="37" t="n"/>
    </row>
    <row r="166">
      <c r="A166" s="44" t="n"/>
      <c r="B166" s="37" t="n"/>
      <c r="C166" s="37" t="n"/>
      <c r="D166" s="37" t="n"/>
      <c r="E166" s="37" t="n"/>
      <c r="F166" s="10">
        <f>IF(E166="","",IF(COUNTIF(lst_Jobs,E166&amp;"")&gt;0,"OK","CHECK"))</f>
        <v/>
      </c>
      <c r="G166" s="37" t="n"/>
      <c r="H166" s="37" t="n"/>
      <c r="I166" s="39" t="n"/>
      <c r="J166" s="37" t="n"/>
      <c r="K166" s="42" t="n"/>
      <c r="L166" s="44" t="n"/>
      <c r="M166" s="11">
        <f>IF(E166="","",SUMIFS(tbl_Finance[Xero Invoiced Ex GST],tbl_Finance[Job Number],E166&amp;""))</f>
        <v/>
      </c>
      <c r="N166" s="11">
        <f>IF(J166&lt;&gt;"Won","",IF(E166="",N(I166),N(I166)-N(M166)))</f>
        <v/>
      </c>
      <c r="O166" s="37" t="n"/>
    </row>
    <row r="167">
      <c r="A167" s="44" t="n"/>
      <c r="B167" s="37" t="n"/>
      <c r="C167" s="37" t="n"/>
      <c r="D167" s="37" t="n"/>
      <c r="E167" s="37" t="n"/>
      <c r="F167" s="10">
        <f>IF(E167="","",IF(COUNTIF(lst_Jobs,E167&amp;"")&gt;0,"OK","CHECK"))</f>
        <v/>
      </c>
      <c r="G167" s="37" t="n"/>
      <c r="H167" s="37" t="n"/>
      <c r="I167" s="39" t="n"/>
      <c r="J167" s="37" t="n"/>
      <c r="K167" s="42" t="n"/>
      <c r="L167" s="44" t="n"/>
      <c r="M167" s="11">
        <f>IF(E167="","",SUMIFS(tbl_Finance[Xero Invoiced Ex GST],tbl_Finance[Job Number],E167&amp;""))</f>
        <v/>
      </c>
      <c r="N167" s="11">
        <f>IF(J167&lt;&gt;"Won","",IF(E167="",N(I167),N(I167)-N(M167)))</f>
        <v/>
      </c>
      <c r="O167" s="37" t="n"/>
    </row>
    <row r="168">
      <c r="A168" s="44" t="n"/>
      <c r="B168" s="37" t="n"/>
      <c r="C168" s="37" t="n"/>
      <c r="D168" s="37" t="n"/>
      <c r="E168" s="37" t="n"/>
      <c r="F168" s="10">
        <f>IF(E168="","",IF(COUNTIF(lst_Jobs,E168&amp;"")&gt;0,"OK","CHECK"))</f>
        <v/>
      </c>
      <c r="G168" s="37" t="n"/>
      <c r="H168" s="37" t="n"/>
      <c r="I168" s="39" t="n"/>
      <c r="J168" s="37" t="n"/>
      <c r="K168" s="42" t="n"/>
      <c r="L168" s="44" t="n"/>
      <c r="M168" s="11">
        <f>IF(E168="","",SUMIFS(tbl_Finance[Xero Invoiced Ex GST],tbl_Finance[Job Number],E168&amp;""))</f>
        <v/>
      </c>
      <c r="N168" s="11">
        <f>IF(J168&lt;&gt;"Won","",IF(E168="",N(I168),N(I168)-N(M168)))</f>
        <v/>
      </c>
      <c r="O168" s="37" t="n"/>
    </row>
    <row r="169">
      <c r="A169" s="44" t="n"/>
      <c r="B169" s="37" t="n"/>
      <c r="C169" s="37" t="n"/>
      <c r="D169" s="37" t="n"/>
      <c r="E169" s="37" t="n"/>
      <c r="F169" s="10">
        <f>IF(E169="","",IF(COUNTIF(lst_Jobs,E169&amp;"")&gt;0,"OK","CHECK"))</f>
        <v/>
      </c>
      <c r="G169" s="37" t="n"/>
      <c r="H169" s="37" t="n"/>
      <c r="I169" s="39" t="n"/>
      <c r="J169" s="37" t="n"/>
      <c r="K169" s="42" t="n"/>
      <c r="L169" s="44" t="n"/>
      <c r="M169" s="11">
        <f>IF(E169="","",SUMIFS(tbl_Finance[Xero Invoiced Ex GST],tbl_Finance[Job Number],E169&amp;""))</f>
        <v/>
      </c>
      <c r="N169" s="11">
        <f>IF(J169&lt;&gt;"Won","",IF(E169="",N(I169),N(I169)-N(M169)))</f>
        <v/>
      </c>
      <c r="O169" s="37" t="n"/>
    </row>
    <row r="170">
      <c r="A170" s="44" t="n"/>
      <c r="B170" s="37" t="n"/>
      <c r="C170" s="37" t="n"/>
      <c r="D170" s="37" t="n"/>
      <c r="E170" s="37" t="n"/>
      <c r="F170" s="10">
        <f>IF(E170="","",IF(COUNTIF(lst_Jobs,E170&amp;"")&gt;0,"OK","CHECK"))</f>
        <v/>
      </c>
      <c r="G170" s="37" t="n"/>
      <c r="H170" s="37" t="n"/>
      <c r="I170" s="39" t="n"/>
      <c r="J170" s="37" t="n"/>
      <c r="K170" s="42" t="n"/>
      <c r="L170" s="44" t="n"/>
      <c r="M170" s="11">
        <f>IF(E170="","",SUMIFS(tbl_Finance[Xero Invoiced Ex GST],tbl_Finance[Job Number],E170&amp;""))</f>
        <v/>
      </c>
      <c r="N170" s="11">
        <f>IF(J170&lt;&gt;"Won","",IF(E170="",N(I170),N(I170)-N(M170)))</f>
        <v/>
      </c>
      <c r="O170" s="37" t="n"/>
    </row>
    <row r="171">
      <c r="A171" s="44" t="n"/>
      <c r="B171" s="37" t="n"/>
      <c r="C171" s="37" t="n"/>
      <c r="D171" s="37" t="n"/>
      <c r="E171" s="37" t="n"/>
      <c r="F171" s="10">
        <f>IF(E171="","",IF(COUNTIF(lst_Jobs,E171&amp;"")&gt;0,"OK","CHECK"))</f>
        <v/>
      </c>
      <c r="G171" s="37" t="n"/>
      <c r="H171" s="37" t="n"/>
      <c r="I171" s="39" t="n"/>
      <c r="J171" s="37" t="n"/>
      <c r="K171" s="42" t="n"/>
      <c r="L171" s="44" t="n"/>
      <c r="M171" s="11">
        <f>IF(E171="","",SUMIFS(tbl_Finance[Xero Invoiced Ex GST],tbl_Finance[Job Number],E171&amp;""))</f>
        <v/>
      </c>
      <c r="N171" s="11">
        <f>IF(J171&lt;&gt;"Won","",IF(E171="",N(I171),N(I171)-N(M171)))</f>
        <v/>
      </c>
      <c r="O171" s="37" t="n"/>
    </row>
    <row r="172">
      <c r="A172" s="44" t="n"/>
      <c r="B172" s="37" t="n"/>
      <c r="C172" s="37" t="n"/>
      <c r="D172" s="37" t="n"/>
      <c r="E172" s="37" t="n"/>
      <c r="F172" s="10">
        <f>IF(E172="","",IF(COUNTIF(lst_Jobs,E172&amp;"")&gt;0,"OK","CHECK"))</f>
        <v/>
      </c>
      <c r="G172" s="37" t="n"/>
      <c r="H172" s="37" t="n"/>
      <c r="I172" s="39" t="n"/>
      <c r="J172" s="37" t="n"/>
      <c r="K172" s="42" t="n"/>
      <c r="L172" s="44" t="n"/>
      <c r="M172" s="11">
        <f>IF(E172="","",SUMIFS(tbl_Finance[Xero Invoiced Ex GST],tbl_Finance[Job Number],E172&amp;""))</f>
        <v/>
      </c>
      <c r="N172" s="11">
        <f>IF(J172&lt;&gt;"Won","",IF(E172="",N(I172),N(I172)-N(M172)))</f>
        <v/>
      </c>
      <c r="O172" s="37" t="n"/>
    </row>
    <row r="173">
      <c r="A173" s="44" t="n"/>
      <c r="B173" s="37" t="n"/>
      <c r="C173" s="37" t="n"/>
      <c r="D173" s="37" t="n"/>
      <c r="E173" s="37" t="n"/>
      <c r="F173" s="10">
        <f>IF(E173="","",IF(COUNTIF(lst_Jobs,E173&amp;"")&gt;0,"OK","CHECK"))</f>
        <v/>
      </c>
      <c r="G173" s="37" t="n"/>
      <c r="H173" s="37" t="n"/>
      <c r="I173" s="39" t="n"/>
      <c r="J173" s="37" t="n"/>
      <c r="K173" s="42" t="n"/>
      <c r="L173" s="44" t="n"/>
      <c r="M173" s="11">
        <f>IF(E173="","",SUMIFS(tbl_Finance[Xero Invoiced Ex GST],tbl_Finance[Job Number],E173&amp;""))</f>
        <v/>
      </c>
      <c r="N173" s="11">
        <f>IF(J173&lt;&gt;"Won","",IF(E173="",N(I173),N(I173)-N(M173)))</f>
        <v/>
      </c>
      <c r="O173" s="37" t="n"/>
    </row>
    <row r="174">
      <c r="A174" s="44" t="n"/>
      <c r="B174" s="37" t="n"/>
      <c r="C174" s="37" t="n"/>
      <c r="D174" s="37" t="n"/>
      <c r="E174" s="37" t="n"/>
      <c r="F174" s="10">
        <f>IF(E174="","",IF(COUNTIF(lst_Jobs,E174&amp;"")&gt;0,"OK","CHECK"))</f>
        <v/>
      </c>
      <c r="G174" s="37" t="n"/>
      <c r="H174" s="37" t="n"/>
      <c r="I174" s="39" t="n"/>
      <c r="J174" s="37" t="n"/>
      <c r="K174" s="42" t="n"/>
      <c r="L174" s="44" t="n"/>
      <c r="M174" s="11">
        <f>IF(E174="","",SUMIFS(tbl_Finance[Xero Invoiced Ex GST],tbl_Finance[Job Number],E174&amp;""))</f>
        <v/>
      </c>
      <c r="N174" s="11">
        <f>IF(J174&lt;&gt;"Won","",IF(E174="",N(I174),N(I174)-N(M174)))</f>
        <v/>
      </c>
      <c r="O174" s="37" t="n"/>
    </row>
    <row r="175">
      <c r="A175" s="44" t="n"/>
      <c r="B175" s="37" t="n"/>
      <c r="C175" s="37" t="n"/>
      <c r="D175" s="37" t="n"/>
      <c r="E175" s="37" t="n"/>
      <c r="F175" s="10">
        <f>IF(E175="","",IF(COUNTIF(lst_Jobs,E175&amp;"")&gt;0,"OK","CHECK"))</f>
        <v/>
      </c>
      <c r="G175" s="37" t="n"/>
      <c r="H175" s="37" t="n"/>
      <c r="I175" s="39" t="n"/>
      <c r="J175" s="37" t="n"/>
      <c r="K175" s="42" t="n"/>
      <c r="L175" s="44" t="n"/>
      <c r="M175" s="11">
        <f>IF(E175="","",SUMIFS(tbl_Finance[Xero Invoiced Ex GST],tbl_Finance[Job Number],E175&amp;""))</f>
        <v/>
      </c>
      <c r="N175" s="11">
        <f>IF(J175&lt;&gt;"Won","",IF(E175="",N(I175),N(I175)-N(M175)))</f>
        <v/>
      </c>
      <c r="O175" s="37" t="n"/>
    </row>
    <row r="176">
      <c r="A176" s="44" t="n"/>
      <c r="B176" s="37" t="n"/>
      <c r="C176" s="37" t="n"/>
      <c r="D176" s="37" t="n"/>
      <c r="E176" s="37" t="n"/>
      <c r="F176" s="10">
        <f>IF(E176="","",IF(COUNTIF(lst_Jobs,E176&amp;"")&gt;0,"OK","CHECK"))</f>
        <v/>
      </c>
      <c r="G176" s="37" t="n"/>
      <c r="H176" s="37" t="n"/>
      <c r="I176" s="39" t="n"/>
      <c r="J176" s="37" t="n"/>
      <c r="K176" s="42" t="n"/>
      <c r="L176" s="44" t="n"/>
      <c r="M176" s="11">
        <f>IF(E176="","",SUMIFS(tbl_Finance[Xero Invoiced Ex GST],tbl_Finance[Job Number],E176&amp;""))</f>
        <v/>
      </c>
      <c r="N176" s="11">
        <f>IF(J176&lt;&gt;"Won","",IF(E176="",N(I176),N(I176)-N(M176)))</f>
        <v/>
      </c>
      <c r="O176" s="37" t="n"/>
    </row>
    <row r="177">
      <c r="A177" s="44" t="n"/>
      <c r="B177" s="37" t="n"/>
      <c r="C177" s="37" t="n"/>
      <c r="D177" s="37" t="n"/>
      <c r="E177" s="37" t="n"/>
      <c r="F177" s="10">
        <f>IF(E177="","",IF(COUNTIF(lst_Jobs,E177&amp;"")&gt;0,"OK","CHECK"))</f>
        <v/>
      </c>
      <c r="G177" s="37" t="n"/>
      <c r="H177" s="37" t="n"/>
      <c r="I177" s="39" t="n"/>
      <c r="J177" s="37" t="n"/>
      <c r="K177" s="42" t="n"/>
      <c r="L177" s="44" t="n"/>
      <c r="M177" s="11">
        <f>IF(E177="","",SUMIFS(tbl_Finance[Xero Invoiced Ex GST],tbl_Finance[Job Number],E177&amp;""))</f>
        <v/>
      </c>
      <c r="N177" s="11">
        <f>IF(J177&lt;&gt;"Won","",IF(E177="",N(I177),N(I177)-N(M177)))</f>
        <v/>
      </c>
      <c r="O177" s="37" t="n"/>
    </row>
    <row r="178">
      <c r="A178" s="44" t="n"/>
      <c r="B178" s="37" t="n"/>
      <c r="C178" s="37" t="n"/>
      <c r="D178" s="37" t="n"/>
      <c r="E178" s="37" t="n"/>
      <c r="F178" s="10">
        <f>IF(E178="","",IF(COUNTIF(lst_Jobs,E178&amp;"")&gt;0,"OK","CHECK"))</f>
        <v/>
      </c>
      <c r="G178" s="37" t="n"/>
      <c r="H178" s="37" t="n"/>
      <c r="I178" s="39" t="n"/>
      <c r="J178" s="37" t="n"/>
      <c r="K178" s="42" t="n"/>
      <c r="L178" s="44" t="n"/>
      <c r="M178" s="11">
        <f>IF(E178="","",SUMIFS(tbl_Finance[Xero Invoiced Ex GST],tbl_Finance[Job Number],E178&amp;""))</f>
        <v/>
      </c>
      <c r="N178" s="11">
        <f>IF(J178&lt;&gt;"Won","",IF(E178="",N(I178),N(I178)-N(M178)))</f>
        <v/>
      </c>
      <c r="O178" s="37" t="n"/>
    </row>
    <row r="179">
      <c r="A179" s="44" t="n"/>
      <c r="B179" s="37" t="n"/>
      <c r="C179" s="37" t="n"/>
      <c r="D179" s="37" t="n"/>
      <c r="E179" s="37" t="n"/>
      <c r="F179" s="10">
        <f>IF(E179="","",IF(COUNTIF(lst_Jobs,E179&amp;"")&gt;0,"OK","CHECK"))</f>
        <v/>
      </c>
      <c r="G179" s="37" t="n"/>
      <c r="H179" s="37" t="n"/>
      <c r="I179" s="39" t="n"/>
      <c r="J179" s="37" t="n"/>
      <c r="K179" s="42" t="n"/>
      <c r="L179" s="44" t="n"/>
      <c r="M179" s="11">
        <f>IF(E179="","",SUMIFS(tbl_Finance[Xero Invoiced Ex GST],tbl_Finance[Job Number],E179&amp;""))</f>
        <v/>
      </c>
      <c r="N179" s="11">
        <f>IF(J179&lt;&gt;"Won","",IF(E179="",N(I179),N(I179)-N(M179)))</f>
        <v/>
      </c>
      <c r="O179" s="37" t="n"/>
    </row>
    <row r="180">
      <c r="A180" s="44" t="n"/>
      <c r="B180" s="37" t="n"/>
      <c r="C180" s="37" t="n"/>
      <c r="D180" s="37" t="n"/>
      <c r="E180" s="37" t="n"/>
      <c r="F180" s="10">
        <f>IF(E180="","",IF(COUNTIF(lst_Jobs,E180&amp;"")&gt;0,"OK","CHECK"))</f>
        <v/>
      </c>
      <c r="G180" s="37" t="n"/>
      <c r="H180" s="37" t="n"/>
      <c r="I180" s="39" t="n"/>
      <c r="J180" s="37" t="n"/>
      <c r="K180" s="42" t="n"/>
      <c r="L180" s="44" t="n"/>
      <c r="M180" s="11">
        <f>IF(E180="","",SUMIFS(tbl_Finance[Xero Invoiced Ex GST],tbl_Finance[Job Number],E180&amp;""))</f>
        <v/>
      </c>
      <c r="N180" s="11">
        <f>IF(J180&lt;&gt;"Won","",IF(E180="",N(I180),N(I180)-N(M180)))</f>
        <v/>
      </c>
      <c r="O180" s="37" t="n"/>
    </row>
    <row r="181">
      <c r="A181" s="44" t="n"/>
      <c r="B181" s="37" t="n"/>
      <c r="C181" s="37" t="n"/>
      <c r="D181" s="37" t="n"/>
      <c r="E181" s="37" t="n"/>
      <c r="F181" s="10">
        <f>IF(E181="","",IF(COUNTIF(lst_Jobs,E181&amp;"")&gt;0,"OK","CHECK"))</f>
        <v/>
      </c>
      <c r="G181" s="37" t="n"/>
      <c r="H181" s="37" t="n"/>
      <c r="I181" s="39" t="n"/>
      <c r="J181" s="37" t="n"/>
      <c r="K181" s="42" t="n"/>
      <c r="L181" s="44" t="n"/>
      <c r="M181" s="11">
        <f>IF(E181="","",SUMIFS(tbl_Finance[Xero Invoiced Ex GST],tbl_Finance[Job Number],E181&amp;""))</f>
        <v/>
      </c>
      <c r="N181" s="11">
        <f>IF(J181&lt;&gt;"Won","",IF(E181="",N(I181),N(I181)-N(M181)))</f>
        <v/>
      </c>
      <c r="O181" s="37" t="n"/>
    </row>
    <row r="182">
      <c r="A182" s="44" t="n"/>
      <c r="B182" s="37" t="n"/>
      <c r="C182" s="37" t="n"/>
      <c r="D182" s="37" t="n"/>
      <c r="E182" s="37" t="n"/>
      <c r="F182" s="10">
        <f>IF(E182="","",IF(COUNTIF(lst_Jobs,E182&amp;"")&gt;0,"OK","CHECK"))</f>
        <v/>
      </c>
      <c r="G182" s="37" t="n"/>
      <c r="H182" s="37" t="n"/>
      <c r="I182" s="39" t="n"/>
      <c r="J182" s="37" t="n"/>
      <c r="K182" s="42" t="n"/>
      <c r="L182" s="44" t="n"/>
      <c r="M182" s="11">
        <f>IF(E182="","",SUMIFS(tbl_Finance[Xero Invoiced Ex GST],tbl_Finance[Job Number],E182&amp;""))</f>
        <v/>
      </c>
      <c r="N182" s="11">
        <f>IF(J182&lt;&gt;"Won","",IF(E182="",N(I182),N(I182)-N(M182)))</f>
        <v/>
      </c>
      <c r="O182" s="37" t="n"/>
    </row>
    <row r="183">
      <c r="A183" s="44" t="n"/>
      <c r="B183" s="37" t="n"/>
      <c r="C183" s="37" t="n"/>
      <c r="D183" s="37" t="n"/>
      <c r="E183" s="37" t="n"/>
      <c r="F183" s="10">
        <f>IF(E183="","",IF(COUNTIF(lst_Jobs,E183&amp;"")&gt;0,"OK","CHECK"))</f>
        <v/>
      </c>
      <c r="G183" s="37" t="n"/>
      <c r="H183" s="37" t="n"/>
      <c r="I183" s="39" t="n"/>
      <c r="J183" s="37" t="n"/>
      <c r="K183" s="42" t="n"/>
      <c r="L183" s="44" t="n"/>
      <c r="M183" s="11">
        <f>IF(E183="","",SUMIFS(tbl_Finance[Xero Invoiced Ex GST],tbl_Finance[Job Number],E183&amp;""))</f>
        <v/>
      </c>
      <c r="N183" s="11">
        <f>IF(J183&lt;&gt;"Won","",IF(E183="",N(I183),N(I183)-N(M183)))</f>
        <v/>
      </c>
      <c r="O183" s="37" t="n"/>
    </row>
    <row r="184">
      <c r="A184" s="44" t="n"/>
      <c r="B184" s="37" t="n"/>
      <c r="C184" s="37" t="n"/>
      <c r="D184" s="37" t="n"/>
      <c r="E184" s="37" t="n"/>
      <c r="F184" s="10">
        <f>IF(E184="","",IF(COUNTIF(lst_Jobs,E184&amp;"")&gt;0,"OK","CHECK"))</f>
        <v/>
      </c>
      <c r="G184" s="37" t="n"/>
      <c r="H184" s="37" t="n"/>
      <c r="I184" s="39" t="n"/>
      <c r="J184" s="37" t="n"/>
      <c r="K184" s="42" t="n"/>
      <c r="L184" s="44" t="n"/>
      <c r="M184" s="11">
        <f>IF(E184="","",SUMIFS(tbl_Finance[Xero Invoiced Ex GST],tbl_Finance[Job Number],E184&amp;""))</f>
        <v/>
      </c>
      <c r="N184" s="11">
        <f>IF(J184&lt;&gt;"Won","",IF(E184="",N(I184),N(I184)-N(M184)))</f>
        <v/>
      </c>
      <c r="O184" s="37" t="n"/>
    </row>
    <row r="185">
      <c r="A185" s="44" t="n"/>
      <c r="B185" s="37" t="n"/>
      <c r="C185" s="37" t="n"/>
      <c r="D185" s="37" t="n"/>
      <c r="E185" s="37" t="n"/>
      <c r="F185" s="10">
        <f>IF(E185="","",IF(COUNTIF(lst_Jobs,E185&amp;"")&gt;0,"OK","CHECK"))</f>
        <v/>
      </c>
      <c r="G185" s="37" t="n"/>
      <c r="H185" s="37" t="n"/>
      <c r="I185" s="39" t="n"/>
      <c r="J185" s="37" t="n"/>
      <c r="K185" s="42" t="n"/>
      <c r="L185" s="44" t="n"/>
      <c r="M185" s="11">
        <f>IF(E185="","",SUMIFS(tbl_Finance[Xero Invoiced Ex GST],tbl_Finance[Job Number],E185&amp;""))</f>
        <v/>
      </c>
      <c r="N185" s="11">
        <f>IF(J185&lt;&gt;"Won","",IF(E185="",N(I185),N(I185)-N(M185)))</f>
        <v/>
      </c>
      <c r="O185" s="37" t="n"/>
    </row>
    <row r="186">
      <c r="A186" s="44" t="n"/>
      <c r="B186" s="37" t="n"/>
      <c r="C186" s="37" t="n"/>
      <c r="D186" s="37" t="n"/>
      <c r="E186" s="37" t="n"/>
      <c r="F186" s="10">
        <f>IF(E186="","",IF(COUNTIF(lst_Jobs,E186&amp;"")&gt;0,"OK","CHECK"))</f>
        <v/>
      </c>
      <c r="G186" s="37" t="n"/>
      <c r="H186" s="37" t="n"/>
      <c r="I186" s="39" t="n"/>
      <c r="J186" s="37" t="n"/>
      <c r="K186" s="42" t="n"/>
      <c r="L186" s="44" t="n"/>
      <c r="M186" s="11">
        <f>IF(E186="","",SUMIFS(tbl_Finance[Xero Invoiced Ex GST],tbl_Finance[Job Number],E186&amp;""))</f>
        <v/>
      </c>
      <c r="N186" s="11">
        <f>IF(J186&lt;&gt;"Won","",IF(E186="",N(I186),N(I186)-N(M186)))</f>
        <v/>
      </c>
      <c r="O186" s="37" t="n"/>
    </row>
    <row r="187">
      <c r="A187" s="44" t="n"/>
      <c r="B187" s="37" t="n"/>
      <c r="C187" s="37" t="n"/>
      <c r="D187" s="37" t="n"/>
      <c r="E187" s="37" t="n"/>
      <c r="F187" s="10">
        <f>IF(E187="","",IF(COUNTIF(lst_Jobs,E187&amp;"")&gt;0,"OK","CHECK"))</f>
        <v/>
      </c>
      <c r="G187" s="37" t="n"/>
      <c r="H187" s="37" t="n"/>
      <c r="I187" s="39" t="n"/>
      <c r="J187" s="37" t="n"/>
      <c r="K187" s="42" t="n"/>
      <c r="L187" s="44" t="n"/>
      <c r="M187" s="11">
        <f>IF(E187="","",SUMIFS(tbl_Finance[Xero Invoiced Ex GST],tbl_Finance[Job Number],E187&amp;""))</f>
        <v/>
      </c>
      <c r="N187" s="11">
        <f>IF(J187&lt;&gt;"Won","",IF(E187="",N(I187),N(I187)-N(M187)))</f>
        <v/>
      </c>
      <c r="O187" s="37" t="n"/>
    </row>
    <row r="188">
      <c r="A188" s="44" t="n"/>
      <c r="B188" s="37" t="n"/>
      <c r="C188" s="37" t="n"/>
      <c r="D188" s="37" t="n"/>
      <c r="E188" s="37" t="n"/>
      <c r="F188" s="10">
        <f>IF(E188="","",IF(COUNTIF(lst_Jobs,E188&amp;"")&gt;0,"OK","CHECK"))</f>
        <v/>
      </c>
      <c r="G188" s="37" t="n"/>
      <c r="H188" s="37" t="n"/>
      <c r="I188" s="39" t="n"/>
      <c r="J188" s="37" t="n"/>
      <c r="K188" s="42" t="n"/>
      <c r="L188" s="44" t="n"/>
      <c r="M188" s="11">
        <f>IF(E188="","",SUMIFS(tbl_Finance[Xero Invoiced Ex GST],tbl_Finance[Job Number],E188&amp;""))</f>
        <v/>
      </c>
      <c r="N188" s="11">
        <f>IF(J188&lt;&gt;"Won","",IF(E188="",N(I188),N(I188)-N(M188)))</f>
        <v/>
      </c>
      <c r="O188" s="37" t="n"/>
    </row>
    <row r="189">
      <c r="A189" s="44" t="n"/>
      <c r="B189" s="37" t="n"/>
      <c r="C189" s="37" t="n"/>
      <c r="D189" s="37" t="n"/>
      <c r="E189" s="37" t="n"/>
      <c r="F189" s="10">
        <f>IF(E189="","",IF(COUNTIF(lst_Jobs,E189&amp;"")&gt;0,"OK","CHECK"))</f>
        <v/>
      </c>
      <c r="G189" s="37" t="n"/>
      <c r="H189" s="37" t="n"/>
      <c r="I189" s="39" t="n"/>
      <c r="J189" s="37" t="n"/>
      <c r="K189" s="42" t="n"/>
      <c r="L189" s="44" t="n"/>
      <c r="M189" s="11">
        <f>IF(E189="","",SUMIFS(tbl_Finance[Xero Invoiced Ex GST],tbl_Finance[Job Number],E189&amp;""))</f>
        <v/>
      </c>
      <c r="N189" s="11">
        <f>IF(J189&lt;&gt;"Won","",IF(E189="",N(I189),N(I189)-N(M189)))</f>
        <v/>
      </c>
      <c r="O189" s="37" t="n"/>
    </row>
    <row r="190">
      <c r="A190" s="44" t="n"/>
      <c r="B190" s="37" t="n"/>
      <c r="C190" s="37" t="n"/>
      <c r="D190" s="37" t="n"/>
      <c r="E190" s="37" t="n"/>
      <c r="F190" s="10">
        <f>IF(E190="","",IF(COUNTIF(lst_Jobs,E190&amp;"")&gt;0,"OK","CHECK"))</f>
        <v/>
      </c>
      <c r="G190" s="37" t="n"/>
      <c r="H190" s="37" t="n"/>
      <c r="I190" s="39" t="n"/>
      <c r="J190" s="37" t="n"/>
      <c r="K190" s="42" t="n"/>
      <c r="L190" s="44" t="n"/>
      <c r="M190" s="11">
        <f>IF(E190="","",SUMIFS(tbl_Finance[Xero Invoiced Ex GST],tbl_Finance[Job Number],E190&amp;""))</f>
        <v/>
      </c>
      <c r="N190" s="11">
        <f>IF(J190&lt;&gt;"Won","",IF(E190="",N(I190),N(I190)-N(M190)))</f>
        <v/>
      </c>
      <c r="O190" s="37" t="n"/>
    </row>
    <row r="191">
      <c r="A191" s="44" t="n"/>
      <c r="B191" s="37" t="n"/>
      <c r="C191" s="37" t="n"/>
      <c r="D191" s="37" t="n"/>
      <c r="E191" s="37" t="n"/>
      <c r="F191" s="10">
        <f>IF(E191="","",IF(COUNTIF(lst_Jobs,E191&amp;"")&gt;0,"OK","CHECK"))</f>
        <v/>
      </c>
      <c r="G191" s="37" t="n"/>
      <c r="H191" s="37" t="n"/>
      <c r="I191" s="39" t="n"/>
      <c r="J191" s="37" t="n"/>
      <c r="K191" s="42" t="n"/>
      <c r="L191" s="44" t="n"/>
      <c r="M191" s="11">
        <f>IF(E191="","",SUMIFS(tbl_Finance[Xero Invoiced Ex GST],tbl_Finance[Job Number],E191&amp;""))</f>
        <v/>
      </c>
      <c r="N191" s="11">
        <f>IF(J191&lt;&gt;"Won","",IF(E191="",N(I191),N(I191)-N(M191)))</f>
        <v/>
      </c>
      <c r="O191" s="37" t="n"/>
    </row>
    <row r="192">
      <c r="A192" s="44" t="n"/>
      <c r="B192" s="37" t="n"/>
      <c r="C192" s="37" t="n"/>
      <c r="D192" s="37" t="n"/>
      <c r="E192" s="37" t="n"/>
      <c r="F192" s="10">
        <f>IF(E192="","",IF(COUNTIF(lst_Jobs,E192&amp;"")&gt;0,"OK","CHECK"))</f>
        <v/>
      </c>
      <c r="G192" s="37" t="n"/>
      <c r="H192" s="37" t="n"/>
      <c r="I192" s="39" t="n"/>
      <c r="J192" s="37" t="n"/>
      <c r="K192" s="42" t="n"/>
      <c r="L192" s="44" t="n"/>
      <c r="M192" s="11">
        <f>IF(E192="","",SUMIFS(tbl_Finance[Xero Invoiced Ex GST],tbl_Finance[Job Number],E192&amp;""))</f>
        <v/>
      </c>
      <c r="N192" s="11">
        <f>IF(J192&lt;&gt;"Won","",IF(E192="",N(I192),N(I192)-N(M192)))</f>
        <v/>
      </c>
      <c r="O192" s="37" t="n"/>
    </row>
    <row r="193">
      <c r="A193" s="44" t="n"/>
      <c r="B193" s="37" t="n"/>
      <c r="C193" s="37" t="n"/>
      <c r="D193" s="37" t="n"/>
      <c r="E193" s="37" t="n"/>
      <c r="F193" s="10">
        <f>IF(E193="","",IF(COUNTIF(lst_Jobs,E193&amp;"")&gt;0,"OK","CHECK"))</f>
        <v/>
      </c>
      <c r="G193" s="37" t="n"/>
      <c r="H193" s="37" t="n"/>
      <c r="I193" s="39" t="n"/>
      <c r="J193" s="37" t="n"/>
      <c r="K193" s="42" t="n"/>
      <c r="L193" s="44" t="n"/>
      <c r="M193" s="11">
        <f>IF(E193="","",SUMIFS(tbl_Finance[Xero Invoiced Ex GST],tbl_Finance[Job Number],E193&amp;""))</f>
        <v/>
      </c>
      <c r="N193" s="11">
        <f>IF(J193&lt;&gt;"Won","",IF(E193="",N(I193),N(I193)-N(M193)))</f>
        <v/>
      </c>
      <c r="O193" s="37" t="n"/>
    </row>
    <row r="194">
      <c r="A194" s="44" t="n"/>
      <c r="B194" s="37" t="n"/>
      <c r="C194" s="37" t="n"/>
      <c r="D194" s="37" t="n"/>
      <c r="E194" s="37" t="n"/>
      <c r="F194" s="10">
        <f>IF(E194="","",IF(COUNTIF(lst_Jobs,E194&amp;"")&gt;0,"OK","CHECK"))</f>
        <v/>
      </c>
      <c r="G194" s="37" t="n"/>
      <c r="H194" s="37" t="n"/>
      <c r="I194" s="39" t="n"/>
      <c r="J194" s="37" t="n"/>
      <c r="K194" s="42" t="n"/>
      <c r="L194" s="44" t="n"/>
      <c r="M194" s="11">
        <f>IF(E194="","",SUMIFS(tbl_Finance[Xero Invoiced Ex GST],tbl_Finance[Job Number],E194&amp;""))</f>
        <v/>
      </c>
      <c r="N194" s="11">
        <f>IF(J194&lt;&gt;"Won","",IF(E194="",N(I194),N(I194)-N(M194)))</f>
        <v/>
      </c>
      <c r="O194" s="37" t="n"/>
    </row>
    <row r="195">
      <c r="A195" s="44" t="n"/>
      <c r="B195" s="37" t="n"/>
      <c r="C195" s="37" t="n"/>
      <c r="D195" s="37" t="n"/>
      <c r="E195" s="37" t="n"/>
      <c r="F195" s="10">
        <f>IF(E195="","",IF(COUNTIF(lst_Jobs,E195&amp;"")&gt;0,"OK","CHECK"))</f>
        <v/>
      </c>
      <c r="G195" s="37" t="n"/>
      <c r="H195" s="37" t="n"/>
      <c r="I195" s="39" t="n"/>
      <c r="J195" s="37" t="n"/>
      <c r="K195" s="42" t="n"/>
      <c r="L195" s="44" t="n"/>
      <c r="M195" s="11">
        <f>IF(E195="","",SUMIFS(tbl_Finance[Xero Invoiced Ex GST],tbl_Finance[Job Number],E195&amp;""))</f>
        <v/>
      </c>
      <c r="N195" s="11">
        <f>IF(J195&lt;&gt;"Won","",IF(E195="",N(I195),N(I195)-N(M195)))</f>
        <v/>
      </c>
      <c r="O195" s="37" t="n"/>
    </row>
    <row r="196">
      <c r="A196" s="44" t="n"/>
      <c r="B196" s="37" t="n"/>
      <c r="C196" s="37" t="n"/>
      <c r="D196" s="37" t="n"/>
      <c r="E196" s="37" t="n"/>
      <c r="F196" s="10">
        <f>IF(E196="","",IF(COUNTIF(lst_Jobs,E196&amp;"")&gt;0,"OK","CHECK"))</f>
        <v/>
      </c>
      <c r="G196" s="37" t="n"/>
      <c r="H196" s="37" t="n"/>
      <c r="I196" s="39" t="n"/>
      <c r="J196" s="37" t="n"/>
      <c r="K196" s="42" t="n"/>
      <c r="L196" s="44" t="n"/>
      <c r="M196" s="11">
        <f>IF(E196="","",SUMIFS(tbl_Finance[Xero Invoiced Ex GST],tbl_Finance[Job Number],E196&amp;""))</f>
        <v/>
      </c>
      <c r="N196" s="11">
        <f>IF(J196&lt;&gt;"Won","",IF(E196="",N(I196),N(I196)-N(M196)))</f>
        <v/>
      </c>
      <c r="O196" s="37" t="n"/>
    </row>
    <row r="197">
      <c r="A197" s="44" t="n"/>
      <c r="B197" s="37" t="n"/>
      <c r="C197" s="37" t="n"/>
      <c r="D197" s="37" t="n"/>
      <c r="E197" s="37" t="n"/>
      <c r="F197" s="10">
        <f>IF(E197="","",IF(COUNTIF(lst_Jobs,E197&amp;"")&gt;0,"OK","CHECK"))</f>
        <v/>
      </c>
      <c r="G197" s="37" t="n"/>
      <c r="H197" s="37" t="n"/>
      <c r="I197" s="39" t="n"/>
      <c r="J197" s="37" t="n"/>
      <c r="K197" s="42" t="n"/>
      <c r="L197" s="44" t="n"/>
      <c r="M197" s="11">
        <f>IF(E197="","",SUMIFS(tbl_Finance[Xero Invoiced Ex GST],tbl_Finance[Job Number],E197&amp;""))</f>
        <v/>
      </c>
      <c r="N197" s="11">
        <f>IF(J197&lt;&gt;"Won","",IF(E197="",N(I197),N(I197)-N(M197)))</f>
        <v/>
      </c>
      <c r="O197" s="37" t="n"/>
    </row>
    <row r="198">
      <c r="A198" s="44" t="n"/>
      <c r="B198" s="37" t="n"/>
      <c r="C198" s="37" t="n"/>
      <c r="D198" s="37" t="n"/>
      <c r="E198" s="37" t="n"/>
      <c r="F198" s="10">
        <f>IF(E198="","",IF(COUNTIF(lst_Jobs,E198&amp;"")&gt;0,"OK","CHECK"))</f>
        <v/>
      </c>
      <c r="G198" s="37" t="n"/>
      <c r="H198" s="37" t="n"/>
      <c r="I198" s="39" t="n"/>
      <c r="J198" s="37" t="n"/>
      <c r="K198" s="42" t="n"/>
      <c r="L198" s="44" t="n"/>
      <c r="M198" s="11">
        <f>IF(E198="","",SUMIFS(tbl_Finance[Xero Invoiced Ex GST],tbl_Finance[Job Number],E198&amp;""))</f>
        <v/>
      </c>
      <c r="N198" s="11">
        <f>IF(J198&lt;&gt;"Won","",IF(E198="",N(I198),N(I198)-N(M198)))</f>
        <v/>
      </c>
      <c r="O198" s="37" t="n"/>
    </row>
    <row r="199">
      <c r="A199" s="44" t="n"/>
      <c r="B199" s="37" t="n"/>
      <c r="C199" s="37" t="n"/>
      <c r="D199" s="37" t="n"/>
      <c r="E199" s="37" t="n"/>
      <c r="F199" s="10">
        <f>IF(E199="","",IF(COUNTIF(lst_Jobs,E199&amp;"")&gt;0,"OK","CHECK"))</f>
        <v/>
      </c>
      <c r="G199" s="37" t="n"/>
      <c r="H199" s="37" t="n"/>
      <c r="I199" s="39" t="n"/>
      <c r="J199" s="37" t="n"/>
      <c r="K199" s="42" t="n"/>
      <c r="L199" s="44" t="n"/>
      <c r="M199" s="11">
        <f>IF(E199="","",SUMIFS(tbl_Finance[Xero Invoiced Ex GST],tbl_Finance[Job Number],E199&amp;""))</f>
        <v/>
      </c>
      <c r="N199" s="11">
        <f>IF(J199&lt;&gt;"Won","",IF(E199="",N(I199),N(I199)-N(M199)))</f>
        <v/>
      </c>
      <c r="O199" s="37" t="n"/>
    </row>
    <row r="200">
      <c r="A200" s="44" t="n"/>
      <c r="B200" s="37" t="n"/>
      <c r="C200" s="37" t="n"/>
      <c r="D200" s="37" t="n"/>
      <c r="E200" s="37" t="n"/>
      <c r="F200" s="10">
        <f>IF(E200="","",IF(COUNTIF(lst_Jobs,E200&amp;"")&gt;0,"OK","CHECK"))</f>
        <v/>
      </c>
      <c r="G200" s="37" t="n"/>
      <c r="H200" s="37" t="n"/>
      <c r="I200" s="39" t="n"/>
      <c r="J200" s="37" t="n"/>
      <c r="K200" s="42" t="n"/>
      <c r="L200" s="44" t="n"/>
      <c r="M200" s="11">
        <f>IF(E200="","",SUMIFS(tbl_Finance[Xero Invoiced Ex GST],tbl_Finance[Job Number],E200&amp;""))</f>
        <v/>
      </c>
      <c r="N200" s="11">
        <f>IF(J200&lt;&gt;"Won","",IF(E200="",N(I200),N(I200)-N(M200)))</f>
        <v/>
      </c>
      <c r="O200" s="37" t="n"/>
    </row>
    <row r="201">
      <c r="A201" s="44" t="n"/>
      <c r="B201" s="37" t="n"/>
      <c r="C201" s="37" t="n"/>
      <c r="D201" s="37" t="n"/>
      <c r="E201" s="37" t="n"/>
      <c r="F201" s="10">
        <f>IF(E201="","",IF(COUNTIF(lst_Jobs,E201&amp;"")&gt;0,"OK","CHECK"))</f>
        <v/>
      </c>
      <c r="G201" s="37" t="n"/>
      <c r="H201" s="37" t="n"/>
      <c r="I201" s="39" t="n"/>
      <c r="J201" s="37" t="n"/>
      <c r="K201" s="42" t="n"/>
      <c r="L201" s="44" t="n"/>
      <c r="M201" s="11">
        <f>IF(E201="","",SUMIFS(tbl_Finance[Xero Invoiced Ex GST],tbl_Finance[Job Number],E201&amp;""))</f>
        <v/>
      </c>
      <c r="N201" s="11">
        <f>IF(J201&lt;&gt;"Won","",IF(E201="",N(I201),N(I201)-N(M201)))</f>
        <v/>
      </c>
      <c r="O201" s="37" t="n"/>
    </row>
    <row r="202">
      <c r="A202" s="44" t="n"/>
      <c r="B202" s="37" t="n"/>
      <c r="C202" s="37" t="n"/>
      <c r="D202" s="37" t="n"/>
      <c r="E202" s="37" t="n"/>
      <c r="F202" s="10">
        <f>IF(E202="","",IF(COUNTIF(lst_Jobs,E202&amp;"")&gt;0,"OK","CHECK"))</f>
        <v/>
      </c>
      <c r="G202" s="37" t="n"/>
      <c r="H202" s="37" t="n"/>
      <c r="I202" s="39" t="n"/>
      <c r="J202" s="37" t="n"/>
      <c r="K202" s="42" t="n"/>
      <c r="L202" s="44" t="n"/>
      <c r="M202" s="11">
        <f>IF(E202="","",SUMIFS(tbl_Finance[Xero Invoiced Ex GST],tbl_Finance[Job Number],E202&amp;""))</f>
        <v/>
      </c>
      <c r="N202" s="11">
        <f>IF(J202&lt;&gt;"Won","",IF(E202="",N(I202),N(I202)-N(M202)))</f>
        <v/>
      </c>
      <c r="O202" s="37" t="n"/>
    </row>
    <row r="203">
      <c r="A203" s="44" t="n"/>
      <c r="B203" s="37" t="n"/>
      <c r="C203" s="37" t="n"/>
      <c r="D203" s="37" t="n"/>
      <c r="E203" s="37" t="n"/>
      <c r="F203" s="10">
        <f>IF(E203="","",IF(COUNTIF(lst_Jobs,E203&amp;"")&gt;0,"OK","CHECK"))</f>
        <v/>
      </c>
      <c r="G203" s="37" t="n"/>
      <c r="H203" s="37" t="n"/>
      <c r="I203" s="39" t="n"/>
      <c r="J203" s="37" t="n"/>
      <c r="K203" s="42" t="n"/>
      <c r="L203" s="44" t="n"/>
      <c r="M203" s="11">
        <f>IF(E203="","",SUMIFS(tbl_Finance[Xero Invoiced Ex GST],tbl_Finance[Job Number],E203&amp;""))</f>
        <v/>
      </c>
      <c r="N203" s="11">
        <f>IF(J203&lt;&gt;"Won","",IF(E203="",N(I203),N(I203)-N(M203)))</f>
        <v/>
      </c>
      <c r="O203" s="37" t="n"/>
    </row>
    <row r="204">
      <c r="A204" s="44" t="n"/>
      <c r="B204" s="37" t="n"/>
      <c r="C204" s="37" t="n"/>
      <c r="D204" s="37" t="n"/>
      <c r="E204" s="37" t="n"/>
      <c r="F204" s="10">
        <f>IF(E204="","",IF(COUNTIF(lst_Jobs,E204&amp;"")&gt;0,"OK","CHECK"))</f>
        <v/>
      </c>
      <c r="G204" s="37" t="n"/>
      <c r="H204" s="37" t="n"/>
      <c r="I204" s="39" t="n"/>
      <c r="J204" s="37" t="n"/>
      <c r="K204" s="42" t="n"/>
      <c r="L204" s="44" t="n"/>
      <c r="M204" s="11">
        <f>IF(E204="","",SUMIFS(tbl_Finance[Xero Invoiced Ex GST],tbl_Finance[Job Number],E204&amp;""))</f>
        <v/>
      </c>
      <c r="N204" s="11">
        <f>IF(J204&lt;&gt;"Won","",IF(E204="",N(I204),N(I204)-N(M204)))</f>
        <v/>
      </c>
      <c r="O204" s="37" t="n"/>
    </row>
    <row r="205">
      <c r="A205" s="44" t="n"/>
      <c r="B205" s="37" t="n"/>
      <c r="C205" s="37" t="n"/>
      <c r="D205" s="37" t="n"/>
      <c r="E205" s="37" t="n"/>
      <c r="F205" s="10">
        <f>IF(E205="","",IF(COUNTIF(lst_Jobs,E205&amp;"")&gt;0,"OK","CHECK"))</f>
        <v/>
      </c>
      <c r="G205" s="37" t="n"/>
      <c r="H205" s="37" t="n"/>
      <c r="I205" s="39" t="n"/>
      <c r="J205" s="37" t="n"/>
      <c r="K205" s="42" t="n"/>
      <c r="L205" s="44" t="n"/>
      <c r="M205" s="11">
        <f>IF(E205="","",SUMIFS(tbl_Finance[Xero Invoiced Ex GST],tbl_Finance[Job Number],E205&amp;""))</f>
        <v/>
      </c>
      <c r="N205" s="11">
        <f>IF(J205&lt;&gt;"Won","",IF(E205="",N(I205),N(I205)-N(M205)))</f>
        <v/>
      </c>
      <c r="O205" s="37" t="n"/>
    </row>
    <row r="206">
      <c r="A206" s="44" t="n"/>
      <c r="B206" s="37" t="n"/>
      <c r="C206" s="37" t="n"/>
      <c r="D206" s="37" t="n"/>
      <c r="E206" s="37" t="n"/>
      <c r="F206" s="10">
        <f>IF(E206="","",IF(COUNTIF(lst_Jobs,E206&amp;"")&gt;0,"OK","CHECK"))</f>
        <v/>
      </c>
      <c r="G206" s="37" t="n"/>
      <c r="H206" s="37" t="n"/>
      <c r="I206" s="39" t="n"/>
      <c r="J206" s="37" t="n"/>
      <c r="K206" s="42" t="n"/>
      <c r="L206" s="44" t="n"/>
      <c r="M206" s="11">
        <f>IF(E206="","",SUMIFS(tbl_Finance[Xero Invoiced Ex GST],tbl_Finance[Job Number],E206&amp;""))</f>
        <v/>
      </c>
      <c r="N206" s="11">
        <f>IF(J206&lt;&gt;"Won","",IF(E206="",N(I206),N(I206)-N(M206)))</f>
        <v/>
      </c>
      <c r="O206" s="37" t="n"/>
    </row>
    <row r="207">
      <c r="A207" s="44" t="n"/>
      <c r="B207" s="37" t="n"/>
      <c r="C207" s="37" t="n"/>
      <c r="D207" s="37" t="n"/>
      <c r="E207" s="37" t="n"/>
      <c r="F207" s="10">
        <f>IF(E207="","",IF(COUNTIF(lst_Jobs,E207&amp;"")&gt;0,"OK","CHECK"))</f>
        <v/>
      </c>
      <c r="G207" s="37" t="n"/>
      <c r="H207" s="37" t="n"/>
      <c r="I207" s="39" t="n"/>
      <c r="J207" s="37" t="n"/>
      <c r="K207" s="42" t="n"/>
      <c r="L207" s="44" t="n"/>
      <c r="M207" s="11">
        <f>IF(E207="","",SUMIFS(tbl_Finance[Xero Invoiced Ex GST],tbl_Finance[Job Number],E207&amp;""))</f>
        <v/>
      </c>
      <c r="N207" s="11">
        <f>IF(J207&lt;&gt;"Won","",IF(E207="",N(I207),N(I207)-N(M207)))</f>
        <v/>
      </c>
      <c r="O207" s="37" t="n"/>
    </row>
    <row r="208">
      <c r="A208" s="44" t="n"/>
      <c r="B208" s="37" t="n"/>
      <c r="C208" s="37" t="n"/>
      <c r="D208" s="37" t="n"/>
      <c r="E208" s="37" t="n"/>
      <c r="F208" s="10">
        <f>IF(E208="","",IF(COUNTIF(lst_Jobs,E208&amp;"")&gt;0,"OK","CHECK"))</f>
        <v/>
      </c>
      <c r="G208" s="37" t="n"/>
      <c r="H208" s="37" t="n"/>
      <c r="I208" s="39" t="n"/>
      <c r="J208" s="37" t="n"/>
      <c r="K208" s="42" t="n"/>
      <c r="L208" s="44" t="n"/>
      <c r="M208" s="11">
        <f>IF(E208="","",SUMIFS(tbl_Finance[Xero Invoiced Ex GST],tbl_Finance[Job Number],E208&amp;""))</f>
        <v/>
      </c>
      <c r="N208" s="11">
        <f>IF(J208&lt;&gt;"Won","",IF(E208="",N(I208),N(I208)-N(M208)))</f>
        <v/>
      </c>
      <c r="O208" s="37" t="n"/>
    </row>
    <row r="209">
      <c r="A209" s="44" t="n"/>
      <c r="B209" s="37" t="n"/>
      <c r="C209" s="37" t="n"/>
      <c r="D209" s="37" t="n"/>
      <c r="E209" s="37" t="n"/>
      <c r="F209" s="10">
        <f>IF(E209="","",IF(COUNTIF(lst_Jobs,E209&amp;"")&gt;0,"OK","CHECK"))</f>
        <v/>
      </c>
      <c r="G209" s="37" t="n"/>
      <c r="H209" s="37" t="n"/>
      <c r="I209" s="39" t="n"/>
      <c r="J209" s="37" t="n"/>
      <c r="K209" s="42" t="n"/>
      <c r="L209" s="44" t="n"/>
      <c r="M209" s="11">
        <f>IF(E209="","",SUMIFS(tbl_Finance[Xero Invoiced Ex GST],tbl_Finance[Job Number],E209&amp;""))</f>
        <v/>
      </c>
      <c r="N209" s="11">
        <f>IF(J209&lt;&gt;"Won","",IF(E209="",N(I209),N(I209)-N(M209)))</f>
        <v/>
      </c>
      <c r="O209" s="37" t="n"/>
    </row>
    <row r="210">
      <c r="A210" s="44" t="n"/>
      <c r="B210" s="37" t="n"/>
      <c r="C210" s="37" t="n"/>
      <c r="D210" s="37" t="n"/>
      <c r="E210" s="37" t="n"/>
      <c r="F210" s="10">
        <f>IF(E210="","",IF(COUNTIF(lst_Jobs,E210&amp;"")&gt;0,"OK","CHECK"))</f>
        <v/>
      </c>
      <c r="G210" s="37" t="n"/>
      <c r="H210" s="37" t="n"/>
      <c r="I210" s="39" t="n"/>
      <c r="J210" s="37" t="n"/>
      <c r="K210" s="42" t="n"/>
      <c r="L210" s="44" t="n"/>
      <c r="M210" s="11">
        <f>IF(E210="","",SUMIFS(tbl_Finance[Xero Invoiced Ex GST],tbl_Finance[Job Number],E210&amp;""))</f>
        <v/>
      </c>
      <c r="N210" s="11">
        <f>IF(J210&lt;&gt;"Won","",IF(E210="",N(I210),N(I210)-N(M210)))</f>
        <v/>
      </c>
      <c r="O210" s="37" t="n"/>
    </row>
    <row r="211">
      <c r="A211" s="44" t="n"/>
      <c r="B211" s="37" t="n"/>
      <c r="C211" s="37" t="n"/>
      <c r="D211" s="37" t="n"/>
      <c r="E211" s="37" t="n"/>
      <c r="F211" s="10">
        <f>IF(E211="","",IF(COUNTIF(lst_Jobs,E211&amp;"")&gt;0,"OK","CHECK"))</f>
        <v/>
      </c>
      <c r="G211" s="37" t="n"/>
      <c r="H211" s="37" t="n"/>
      <c r="I211" s="39" t="n"/>
      <c r="J211" s="37" t="n"/>
      <c r="K211" s="42" t="n"/>
      <c r="L211" s="44" t="n"/>
      <c r="M211" s="11">
        <f>IF(E211="","",SUMIFS(tbl_Finance[Xero Invoiced Ex GST],tbl_Finance[Job Number],E211&amp;""))</f>
        <v/>
      </c>
      <c r="N211" s="11">
        <f>IF(J211&lt;&gt;"Won","",IF(E211="",N(I211),N(I211)-N(M211)))</f>
        <v/>
      </c>
      <c r="O211" s="37" t="n"/>
    </row>
    <row r="212">
      <c r="A212" s="44" t="n"/>
      <c r="B212" s="37" t="n"/>
      <c r="C212" s="37" t="n"/>
      <c r="D212" s="37" t="n"/>
      <c r="E212" s="37" t="n"/>
      <c r="F212" s="10">
        <f>IF(E212="","",IF(COUNTIF(lst_Jobs,E212&amp;"")&gt;0,"OK","CHECK"))</f>
        <v/>
      </c>
      <c r="G212" s="37" t="n"/>
      <c r="H212" s="37" t="n"/>
      <c r="I212" s="39" t="n"/>
      <c r="J212" s="37" t="n"/>
      <c r="K212" s="42" t="n"/>
      <c r="L212" s="44" t="n"/>
      <c r="M212" s="11">
        <f>IF(E212="","",SUMIFS(tbl_Finance[Xero Invoiced Ex GST],tbl_Finance[Job Number],E212&amp;""))</f>
        <v/>
      </c>
      <c r="N212" s="11">
        <f>IF(J212&lt;&gt;"Won","",IF(E212="",N(I212),N(I212)-N(M212)))</f>
        <v/>
      </c>
      <c r="O212" s="37" t="n"/>
    </row>
    <row r="213">
      <c r="A213" s="44" t="n"/>
      <c r="B213" s="37" t="n"/>
      <c r="C213" s="37" t="n"/>
      <c r="D213" s="37" t="n"/>
      <c r="E213" s="37" t="n"/>
      <c r="F213" s="10">
        <f>IF(E213="","",IF(COUNTIF(lst_Jobs,E213&amp;"")&gt;0,"OK","CHECK"))</f>
        <v/>
      </c>
      <c r="G213" s="37" t="n"/>
      <c r="H213" s="37" t="n"/>
      <c r="I213" s="39" t="n"/>
      <c r="J213" s="37" t="n"/>
      <c r="K213" s="42" t="n"/>
      <c r="L213" s="44" t="n"/>
      <c r="M213" s="11">
        <f>IF(E213="","",SUMIFS(tbl_Finance[Xero Invoiced Ex GST],tbl_Finance[Job Number],E213&amp;""))</f>
        <v/>
      </c>
      <c r="N213" s="11">
        <f>IF(J213&lt;&gt;"Won","",IF(E213="",N(I213),N(I213)-N(M213)))</f>
        <v/>
      </c>
      <c r="O213" s="37" t="n"/>
    </row>
    <row r="214">
      <c r="A214" s="44" t="n"/>
      <c r="B214" s="37" t="n"/>
      <c r="C214" s="37" t="n"/>
      <c r="D214" s="37" t="n"/>
      <c r="E214" s="37" t="n"/>
      <c r="F214" s="10">
        <f>IF(E214="","",IF(COUNTIF(lst_Jobs,E214&amp;"")&gt;0,"OK","CHECK"))</f>
        <v/>
      </c>
      <c r="G214" s="37" t="n"/>
      <c r="H214" s="37" t="n"/>
      <c r="I214" s="39" t="n"/>
      <c r="J214" s="37" t="n"/>
      <c r="K214" s="42" t="n"/>
      <c r="L214" s="44" t="n"/>
      <c r="M214" s="11">
        <f>IF(E214="","",SUMIFS(tbl_Finance[Xero Invoiced Ex GST],tbl_Finance[Job Number],E214&amp;""))</f>
        <v/>
      </c>
      <c r="N214" s="11">
        <f>IF(J214&lt;&gt;"Won","",IF(E214="",N(I214),N(I214)-N(M214)))</f>
        <v/>
      </c>
      <c r="O214" s="37" t="n"/>
    </row>
    <row r="215">
      <c r="A215" s="44" t="n"/>
      <c r="B215" s="37" t="n"/>
      <c r="C215" s="37" t="n"/>
      <c r="D215" s="37" t="n"/>
      <c r="E215" s="37" t="n"/>
      <c r="F215" s="10">
        <f>IF(E215="","",IF(COUNTIF(lst_Jobs,E215&amp;"")&gt;0,"OK","CHECK"))</f>
        <v/>
      </c>
      <c r="G215" s="37" t="n"/>
      <c r="H215" s="37" t="n"/>
      <c r="I215" s="39" t="n"/>
      <c r="J215" s="37" t="n"/>
      <c r="K215" s="42" t="n"/>
      <c r="L215" s="44" t="n"/>
      <c r="M215" s="11">
        <f>IF(E215="","",SUMIFS(tbl_Finance[Xero Invoiced Ex GST],tbl_Finance[Job Number],E215&amp;""))</f>
        <v/>
      </c>
      <c r="N215" s="11">
        <f>IF(J215&lt;&gt;"Won","",IF(E215="",N(I215),N(I215)-N(M215)))</f>
        <v/>
      </c>
      <c r="O215" s="37" t="n"/>
    </row>
    <row r="216">
      <c r="A216" s="44" t="n"/>
      <c r="B216" s="37" t="n"/>
      <c r="C216" s="37" t="n"/>
      <c r="D216" s="37" t="n"/>
      <c r="E216" s="37" t="n"/>
      <c r="F216" s="10">
        <f>IF(E216="","",IF(COUNTIF(lst_Jobs,E216&amp;"")&gt;0,"OK","CHECK"))</f>
        <v/>
      </c>
      <c r="G216" s="37" t="n"/>
      <c r="H216" s="37" t="n"/>
      <c r="I216" s="39" t="n"/>
      <c r="J216" s="37" t="n"/>
      <c r="K216" s="42" t="n"/>
      <c r="L216" s="44" t="n"/>
      <c r="M216" s="11">
        <f>IF(E216="","",SUMIFS(tbl_Finance[Xero Invoiced Ex GST],tbl_Finance[Job Number],E216&amp;""))</f>
        <v/>
      </c>
      <c r="N216" s="11">
        <f>IF(J216&lt;&gt;"Won","",IF(E216="",N(I216),N(I216)-N(M216)))</f>
        <v/>
      </c>
      <c r="O216" s="37" t="n"/>
    </row>
    <row r="217">
      <c r="A217" s="44" t="n"/>
      <c r="B217" s="37" t="n"/>
      <c r="C217" s="37" t="n"/>
      <c r="D217" s="37" t="n"/>
      <c r="E217" s="37" t="n"/>
      <c r="F217" s="10">
        <f>IF(E217="","",IF(COUNTIF(lst_Jobs,E217&amp;"")&gt;0,"OK","CHECK"))</f>
        <v/>
      </c>
      <c r="G217" s="37" t="n"/>
      <c r="H217" s="37" t="n"/>
      <c r="I217" s="39" t="n"/>
      <c r="J217" s="37" t="n"/>
      <c r="K217" s="42" t="n"/>
      <c r="L217" s="44" t="n"/>
      <c r="M217" s="11">
        <f>IF(E217="","",SUMIFS(tbl_Finance[Xero Invoiced Ex GST],tbl_Finance[Job Number],E217&amp;""))</f>
        <v/>
      </c>
      <c r="N217" s="11">
        <f>IF(J217&lt;&gt;"Won","",IF(E217="",N(I217),N(I217)-N(M217)))</f>
        <v/>
      </c>
      <c r="O217" s="37" t="n"/>
    </row>
    <row r="218">
      <c r="A218" s="44" t="n"/>
      <c r="B218" s="37" t="n"/>
      <c r="C218" s="37" t="n"/>
      <c r="D218" s="37" t="n"/>
      <c r="E218" s="37" t="n"/>
      <c r="F218" s="10">
        <f>IF(E218="","",IF(COUNTIF(lst_Jobs,E218&amp;"")&gt;0,"OK","CHECK"))</f>
        <v/>
      </c>
      <c r="G218" s="37" t="n"/>
      <c r="H218" s="37" t="n"/>
      <c r="I218" s="39" t="n"/>
      <c r="J218" s="37" t="n"/>
      <c r="K218" s="42" t="n"/>
      <c r="L218" s="44" t="n"/>
      <c r="M218" s="11">
        <f>IF(E218="","",SUMIFS(tbl_Finance[Xero Invoiced Ex GST],tbl_Finance[Job Number],E218&amp;""))</f>
        <v/>
      </c>
      <c r="N218" s="11">
        <f>IF(J218&lt;&gt;"Won","",IF(E218="",N(I218),N(I218)-N(M218)))</f>
        <v/>
      </c>
      <c r="O218" s="37" t="n"/>
    </row>
    <row r="219">
      <c r="A219" s="44" t="n"/>
      <c r="B219" s="37" t="n"/>
      <c r="C219" s="37" t="n"/>
      <c r="D219" s="37" t="n"/>
      <c r="E219" s="37" t="n"/>
      <c r="F219" s="10">
        <f>IF(E219="","",IF(COUNTIF(lst_Jobs,E219&amp;"")&gt;0,"OK","CHECK"))</f>
        <v/>
      </c>
      <c r="G219" s="37" t="n"/>
      <c r="H219" s="37" t="n"/>
      <c r="I219" s="39" t="n"/>
      <c r="J219" s="37" t="n"/>
      <c r="K219" s="42" t="n"/>
      <c r="L219" s="44" t="n"/>
      <c r="M219" s="11">
        <f>IF(E219="","",SUMIFS(tbl_Finance[Xero Invoiced Ex GST],tbl_Finance[Job Number],E219&amp;""))</f>
        <v/>
      </c>
      <c r="N219" s="11">
        <f>IF(J219&lt;&gt;"Won","",IF(E219="",N(I219),N(I219)-N(M219)))</f>
        <v/>
      </c>
      <c r="O219" s="37" t="n"/>
    </row>
    <row r="220">
      <c r="A220" s="44" t="n"/>
      <c r="B220" s="37" t="n"/>
      <c r="C220" s="37" t="n"/>
      <c r="D220" s="37" t="n"/>
      <c r="E220" s="37" t="n"/>
      <c r="F220" s="10">
        <f>IF(E220="","",IF(COUNTIF(lst_Jobs,E220&amp;"")&gt;0,"OK","CHECK"))</f>
        <v/>
      </c>
      <c r="G220" s="37" t="n"/>
      <c r="H220" s="37" t="n"/>
      <c r="I220" s="39" t="n"/>
      <c r="J220" s="37" t="n"/>
      <c r="K220" s="42" t="n"/>
      <c r="L220" s="44" t="n"/>
      <c r="M220" s="11">
        <f>IF(E220="","",SUMIFS(tbl_Finance[Xero Invoiced Ex GST],tbl_Finance[Job Number],E220&amp;""))</f>
        <v/>
      </c>
      <c r="N220" s="11">
        <f>IF(J220&lt;&gt;"Won","",IF(E220="",N(I220),N(I220)-N(M220)))</f>
        <v/>
      </c>
      <c r="O220" s="37" t="n"/>
    </row>
    <row r="221">
      <c r="A221" s="44" t="n"/>
      <c r="B221" s="37" t="n"/>
      <c r="C221" s="37" t="n"/>
      <c r="D221" s="37" t="n"/>
      <c r="E221" s="37" t="n"/>
      <c r="F221" s="10">
        <f>IF(E221="","",IF(COUNTIF(lst_Jobs,E221&amp;"")&gt;0,"OK","CHECK"))</f>
        <v/>
      </c>
      <c r="G221" s="37" t="n"/>
      <c r="H221" s="37" t="n"/>
      <c r="I221" s="39" t="n"/>
      <c r="J221" s="37" t="n"/>
      <c r="K221" s="42" t="n"/>
      <c r="L221" s="44" t="n"/>
      <c r="M221" s="11">
        <f>IF(E221="","",SUMIFS(tbl_Finance[Xero Invoiced Ex GST],tbl_Finance[Job Number],E221&amp;""))</f>
        <v/>
      </c>
      <c r="N221" s="11">
        <f>IF(J221&lt;&gt;"Won","",IF(E221="",N(I221),N(I221)-N(M221)))</f>
        <v/>
      </c>
      <c r="O221" s="37" t="n"/>
    </row>
    <row r="222">
      <c r="A222" s="44" t="n"/>
      <c r="B222" s="37" t="n"/>
      <c r="C222" s="37" t="n"/>
      <c r="D222" s="37" t="n"/>
      <c r="E222" s="37" t="n"/>
      <c r="F222" s="10">
        <f>IF(E222="","",IF(COUNTIF(lst_Jobs,E222&amp;"")&gt;0,"OK","CHECK"))</f>
        <v/>
      </c>
      <c r="G222" s="37" t="n"/>
      <c r="H222" s="37" t="n"/>
      <c r="I222" s="39" t="n"/>
      <c r="J222" s="37" t="n"/>
      <c r="K222" s="42" t="n"/>
      <c r="L222" s="44" t="n"/>
      <c r="M222" s="11">
        <f>IF(E222="","",SUMIFS(tbl_Finance[Xero Invoiced Ex GST],tbl_Finance[Job Number],E222&amp;""))</f>
        <v/>
      </c>
      <c r="N222" s="11">
        <f>IF(J222&lt;&gt;"Won","",IF(E222="",N(I222),N(I222)-N(M222)))</f>
        <v/>
      </c>
      <c r="O222" s="37" t="n"/>
    </row>
    <row r="223">
      <c r="A223" s="44" t="n"/>
      <c r="B223" s="37" t="n"/>
      <c r="C223" s="37" t="n"/>
      <c r="D223" s="37" t="n"/>
      <c r="E223" s="37" t="n"/>
      <c r="F223" s="10">
        <f>IF(E223="","",IF(COUNTIF(lst_Jobs,E223&amp;"")&gt;0,"OK","CHECK"))</f>
        <v/>
      </c>
      <c r="G223" s="37" t="n"/>
      <c r="H223" s="37" t="n"/>
      <c r="I223" s="39" t="n"/>
      <c r="J223" s="37" t="n"/>
      <c r="K223" s="42" t="n"/>
      <c r="L223" s="44" t="n"/>
      <c r="M223" s="11">
        <f>IF(E223="","",SUMIFS(tbl_Finance[Xero Invoiced Ex GST],tbl_Finance[Job Number],E223&amp;""))</f>
        <v/>
      </c>
      <c r="N223" s="11">
        <f>IF(J223&lt;&gt;"Won","",IF(E223="",N(I223),N(I223)-N(M223)))</f>
        <v/>
      </c>
      <c r="O223" s="37" t="n"/>
    </row>
    <row r="224">
      <c r="A224" s="44" t="n"/>
      <c r="B224" s="37" t="n"/>
      <c r="C224" s="37" t="n"/>
      <c r="D224" s="37" t="n"/>
      <c r="E224" s="37" t="n"/>
      <c r="F224" s="10">
        <f>IF(E224="","",IF(COUNTIF(lst_Jobs,E224&amp;"")&gt;0,"OK","CHECK"))</f>
        <v/>
      </c>
      <c r="G224" s="37" t="n"/>
      <c r="H224" s="37" t="n"/>
      <c r="I224" s="39" t="n"/>
      <c r="J224" s="37" t="n"/>
      <c r="K224" s="42" t="n"/>
      <c r="L224" s="44" t="n"/>
      <c r="M224" s="11">
        <f>IF(E224="","",SUMIFS(tbl_Finance[Xero Invoiced Ex GST],tbl_Finance[Job Number],E224&amp;""))</f>
        <v/>
      </c>
      <c r="N224" s="11">
        <f>IF(J224&lt;&gt;"Won","",IF(E224="",N(I224),N(I224)-N(M224)))</f>
        <v/>
      </c>
      <c r="O224" s="37" t="n"/>
    </row>
    <row r="225">
      <c r="A225" s="44" t="n"/>
      <c r="B225" s="37" t="n"/>
      <c r="C225" s="37" t="n"/>
      <c r="D225" s="37" t="n"/>
      <c r="E225" s="37" t="n"/>
      <c r="F225" s="10">
        <f>IF(E225="","",IF(COUNTIF(lst_Jobs,E225&amp;"")&gt;0,"OK","CHECK"))</f>
        <v/>
      </c>
      <c r="G225" s="37" t="n"/>
      <c r="H225" s="37" t="n"/>
      <c r="I225" s="39" t="n"/>
      <c r="J225" s="37" t="n"/>
      <c r="K225" s="42" t="n"/>
      <c r="L225" s="44" t="n"/>
      <c r="M225" s="11">
        <f>IF(E225="","",SUMIFS(tbl_Finance[Xero Invoiced Ex GST],tbl_Finance[Job Number],E225&amp;""))</f>
        <v/>
      </c>
      <c r="N225" s="11">
        <f>IF(J225&lt;&gt;"Won","",IF(E225="",N(I225),N(I225)-N(M225)))</f>
        <v/>
      </c>
      <c r="O225" s="37" t="n"/>
    </row>
    <row r="226">
      <c r="A226" s="44" t="n"/>
      <c r="B226" s="37" t="n"/>
      <c r="C226" s="37" t="n"/>
      <c r="D226" s="37" t="n"/>
      <c r="E226" s="37" t="n"/>
      <c r="F226" s="10">
        <f>IF(E226="","",IF(COUNTIF(lst_Jobs,E226&amp;"")&gt;0,"OK","CHECK"))</f>
        <v/>
      </c>
      <c r="G226" s="37" t="n"/>
      <c r="H226" s="37" t="n"/>
      <c r="I226" s="39" t="n"/>
      <c r="J226" s="37" t="n"/>
      <c r="K226" s="42" t="n"/>
      <c r="L226" s="44" t="n"/>
      <c r="M226" s="11">
        <f>IF(E226="","",SUMIFS(tbl_Finance[Xero Invoiced Ex GST],tbl_Finance[Job Number],E226&amp;""))</f>
        <v/>
      </c>
      <c r="N226" s="11">
        <f>IF(J226&lt;&gt;"Won","",IF(E226="",N(I226),N(I226)-N(M226)))</f>
        <v/>
      </c>
      <c r="O226" s="37" t="n"/>
    </row>
    <row r="227">
      <c r="A227" s="44" t="n"/>
      <c r="B227" s="37" t="n"/>
      <c r="C227" s="37" t="n"/>
      <c r="D227" s="37" t="n"/>
      <c r="E227" s="37" t="n"/>
      <c r="F227" s="10">
        <f>IF(E227="","",IF(COUNTIF(lst_Jobs,E227&amp;"")&gt;0,"OK","CHECK"))</f>
        <v/>
      </c>
      <c r="G227" s="37" t="n"/>
      <c r="H227" s="37" t="n"/>
      <c r="I227" s="39" t="n"/>
      <c r="J227" s="37" t="n"/>
      <c r="K227" s="42" t="n"/>
      <c r="L227" s="44" t="n"/>
      <c r="M227" s="11">
        <f>IF(E227="","",SUMIFS(tbl_Finance[Xero Invoiced Ex GST],tbl_Finance[Job Number],E227&amp;""))</f>
        <v/>
      </c>
      <c r="N227" s="11">
        <f>IF(J227&lt;&gt;"Won","",IF(E227="",N(I227),N(I227)-N(M227)))</f>
        <v/>
      </c>
      <c r="O227" s="37" t="n"/>
    </row>
    <row r="228">
      <c r="A228" s="44" t="n"/>
      <c r="B228" s="37" t="n"/>
      <c r="C228" s="37" t="n"/>
      <c r="D228" s="37" t="n"/>
      <c r="E228" s="37" t="n"/>
      <c r="F228" s="10">
        <f>IF(E228="","",IF(COUNTIF(lst_Jobs,E228&amp;"")&gt;0,"OK","CHECK"))</f>
        <v/>
      </c>
      <c r="G228" s="37" t="n"/>
      <c r="H228" s="37" t="n"/>
      <c r="I228" s="39" t="n"/>
      <c r="J228" s="37" t="n"/>
      <c r="K228" s="42" t="n"/>
      <c r="L228" s="44" t="n"/>
      <c r="M228" s="11">
        <f>IF(E228="","",SUMIFS(tbl_Finance[Xero Invoiced Ex GST],tbl_Finance[Job Number],E228&amp;""))</f>
        <v/>
      </c>
      <c r="N228" s="11">
        <f>IF(J228&lt;&gt;"Won","",IF(E228="",N(I228),N(I228)-N(M228)))</f>
        <v/>
      </c>
      <c r="O228" s="37" t="n"/>
    </row>
    <row r="229">
      <c r="A229" s="44" t="n"/>
      <c r="B229" s="37" t="n"/>
      <c r="C229" s="37" t="n"/>
      <c r="D229" s="37" t="n"/>
      <c r="E229" s="37" t="n"/>
      <c r="F229" s="10">
        <f>IF(E229="","",IF(COUNTIF(lst_Jobs,E229&amp;"")&gt;0,"OK","CHECK"))</f>
        <v/>
      </c>
      <c r="G229" s="37" t="n"/>
      <c r="H229" s="37" t="n"/>
      <c r="I229" s="39" t="n"/>
      <c r="J229" s="37" t="n"/>
      <c r="K229" s="42" t="n"/>
      <c r="L229" s="44" t="n"/>
      <c r="M229" s="11">
        <f>IF(E229="","",SUMIFS(tbl_Finance[Xero Invoiced Ex GST],tbl_Finance[Job Number],E229&amp;""))</f>
        <v/>
      </c>
      <c r="N229" s="11">
        <f>IF(J229&lt;&gt;"Won","",IF(E229="",N(I229),N(I229)-N(M229)))</f>
        <v/>
      </c>
      <c r="O229" s="37" t="n"/>
    </row>
    <row r="230">
      <c r="A230" s="44" t="n"/>
      <c r="B230" s="37" t="n"/>
      <c r="C230" s="37" t="n"/>
      <c r="D230" s="37" t="n"/>
      <c r="E230" s="37" t="n"/>
      <c r="F230" s="10">
        <f>IF(E230="","",IF(COUNTIF(lst_Jobs,E230&amp;"")&gt;0,"OK","CHECK"))</f>
        <v/>
      </c>
      <c r="G230" s="37" t="n"/>
      <c r="H230" s="37" t="n"/>
      <c r="I230" s="39" t="n"/>
      <c r="J230" s="37" t="n"/>
      <c r="K230" s="42" t="n"/>
      <c r="L230" s="44" t="n"/>
      <c r="M230" s="11">
        <f>IF(E230="","",SUMIFS(tbl_Finance[Xero Invoiced Ex GST],tbl_Finance[Job Number],E230&amp;""))</f>
        <v/>
      </c>
      <c r="N230" s="11">
        <f>IF(J230&lt;&gt;"Won","",IF(E230="",N(I230),N(I230)-N(M230)))</f>
        <v/>
      </c>
      <c r="O230" s="37" t="n"/>
    </row>
    <row r="231">
      <c r="A231" s="44" t="n"/>
      <c r="B231" s="37" t="n"/>
      <c r="C231" s="37" t="n"/>
      <c r="D231" s="37" t="n"/>
      <c r="E231" s="37" t="n"/>
      <c r="F231" s="10">
        <f>IF(E231="","",IF(COUNTIF(lst_Jobs,E231&amp;"")&gt;0,"OK","CHECK"))</f>
        <v/>
      </c>
      <c r="G231" s="37" t="n"/>
      <c r="H231" s="37" t="n"/>
      <c r="I231" s="39" t="n"/>
      <c r="J231" s="37" t="n"/>
      <c r="K231" s="42" t="n"/>
      <c r="L231" s="44" t="n"/>
      <c r="M231" s="11">
        <f>IF(E231="","",SUMIFS(tbl_Finance[Xero Invoiced Ex GST],tbl_Finance[Job Number],E231&amp;""))</f>
        <v/>
      </c>
      <c r="N231" s="11">
        <f>IF(J231&lt;&gt;"Won","",IF(E231="",N(I231),N(I231)-N(M231)))</f>
        <v/>
      </c>
      <c r="O231" s="37" t="n"/>
    </row>
    <row r="232">
      <c r="A232" s="44" t="n"/>
      <c r="B232" s="37" t="n"/>
      <c r="C232" s="37" t="n"/>
      <c r="D232" s="37" t="n"/>
      <c r="E232" s="37" t="n"/>
      <c r="F232" s="10">
        <f>IF(E232="","",IF(COUNTIF(lst_Jobs,E232&amp;"")&gt;0,"OK","CHECK"))</f>
        <v/>
      </c>
      <c r="G232" s="37" t="n"/>
      <c r="H232" s="37" t="n"/>
      <c r="I232" s="39" t="n"/>
      <c r="J232" s="37" t="n"/>
      <c r="K232" s="42" t="n"/>
      <c r="L232" s="44" t="n"/>
      <c r="M232" s="11">
        <f>IF(E232="","",SUMIFS(tbl_Finance[Xero Invoiced Ex GST],tbl_Finance[Job Number],E232&amp;""))</f>
        <v/>
      </c>
      <c r="N232" s="11">
        <f>IF(J232&lt;&gt;"Won","",IF(E232="",N(I232),N(I232)-N(M232)))</f>
        <v/>
      </c>
      <c r="O232" s="37" t="n"/>
    </row>
    <row r="233">
      <c r="A233" s="44" t="n"/>
      <c r="B233" s="37" t="n"/>
      <c r="C233" s="37" t="n"/>
      <c r="D233" s="37" t="n"/>
      <c r="E233" s="37" t="n"/>
      <c r="F233" s="10">
        <f>IF(E233="","",IF(COUNTIF(lst_Jobs,E233&amp;"")&gt;0,"OK","CHECK"))</f>
        <v/>
      </c>
      <c r="G233" s="37" t="n"/>
      <c r="H233" s="37" t="n"/>
      <c r="I233" s="39" t="n"/>
      <c r="J233" s="37" t="n"/>
      <c r="K233" s="42" t="n"/>
      <c r="L233" s="44" t="n"/>
      <c r="M233" s="11">
        <f>IF(E233="","",SUMIFS(tbl_Finance[Xero Invoiced Ex GST],tbl_Finance[Job Number],E233&amp;""))</f>
        <v/>
      </c>
      <c r="N233" s="11">
        <f>IF(J233&lt;&gt;"Won","",IF(E233="",N(I233),N(I233)-N(M233)))</f>
        <v/>
      </c>
      <c r="O233" s="37" t="n"/>
    </row>
    <row r="234">
      <c r="A234" s="44" t="n"/>
      <c r="B234" s="37" t="n"/>
      <c r="C234" s="37" t="n"/>
      <c r="D234" s="37" t="n"/>
      <c r="E234" s="37" t="n"/>
      <c r="F234" s="10">
        <f>IF(E234="","",IF(COUNTIF(lst_Jobs,E234&amp;"")&gt;0,"OK","CHECK"))</f>
        <v/>
      </c>
      <c r="G234" s="37" t="n"/>
      <c r="H234" s="37" t="n"/>
      <c r="I234" s="39" t="n"/>
      <c r="J234" s="37" t="n"/>
      <c r="K234" s="42" t="n"/>
      <c r="L234" s="44" t="n"/>
      <c r="M234" s="11">
        <f>IF(E234="","",SUMIFS(tbl_Finance[Xero Invoiced Ex GST],tbl_Finance[Job Number],E234&amp;""))</f>
        <v/>
      </c>
      <c r="N234" s="11">
        <f>IF(J234&lt;&gt;"Won","",IF(E234="",N(I234),N(I234)-N(M234)))</f>
        <v/>
      </c>
      <c r="O234" s="37" t="n"/>
    </row>
    <row r="235">
      <c r="A235" s="44" t="n"/>
      <c r="B235" s="37" t="n"/>
      <c r="C235" s="37" t="n"/>
      <c r="D235" s="37" t="n"/>
      <c r="E235" s="37" t="n"/>
      <c r="F235" s="10">
        <f>IF(E235="","",IF(COUNTIF(lst_Jobs,E235&amp;"")&gt;0,"OK","CHECK"))</f>
        <v/>
      </c>
      <c r="G235" s="37" t="n"/>
      <c r="H235" s="37" t="n"/>
      <c r="I235" s="39" t="n"/>
      <c r="J235" s="37" t="n"/>
      <c r="K235" s="42" t="n"/>
      <c r="L235" s="44" t="n"/>
      <c r="M235" s="11">
        <f>IF(E235="","",SUMIFS(tbl_Finance[Xero Invoiced Ex GST],tbl_Finance[Job Number],E235&amp;""))</f>
        <v/>
      </c>
      <c r="N235" s="11">
        <f>IF(J235&lt;&gt;"Won","",IF(E235="",N(I235),N(I235)-N(M235)))</f>
        <v/>
      </c>
      <c r="O235" s="37" t="n"/>
    </row>
    <row r="236">
      <c r="A236" s="44" t="n"/>
      <c r="B236" s="37" t="n"/>
      <c r="C236" s="37" t="n"/>
      <c r="D236" s="37" t="n"/>
      <c r="E236" s="37" t="n"/>
      <c r="F236" s="10">
        <f>IF(E236="","",IF(COUNTIF(lst_Jobs,E236&amp;"")&gt;0,"OK","CHECK"))</f>
        <v/>
      </c>
      <c r="G236" s="37" t="n"/>
      <c r="H236" s="37" t="n"/>
      <c r="I236" s="39" t="n"/>
      <c r="J236" s="37" t="n"/>
      <c r="K236" s="42" t="n"/>
      <c r="L236" s="44" t="n"/>
      <c r="M236" s="11">
        <f>IF(E236="","",SUMIFS(tbl_Finance[Xero Invoiced Ex GST],tbl_Finance[Job Number],E236&amp;""))</f>
        <v/>
      </c>
      <c r="N236" s="11">
        <f>IF(J236&lt;&gt;"Won","",IF(E236="",N(I236),N(I236)-N(M236)))</f>
        <v/>
      </c>
      <c r="O236" s="37" t="n"/>
    </row>
    <row r="237">
      <c r="A237" s="44" t="n"/>
      <c r="B237" s="37" t="n"/>
      <c r="C237" s="37" t="n"/>
      <c r="D237" s="37" t="n"/>
      <c r="E237" s="37" t="n"/>
      <c r="F237" s="10">
        <f>IF(E237="","",IF(COUNTIF(lst_Jobs,E237&amp;"")&gt;0,"OK","CHECK"))</f>
        <v/>
      </c>
      <c r="G237" s="37" t="n"/>
      <c r="H237" s="37" t="n"/>
      <c r="I237" s="39" t="n"/>
      <c r="J237" s="37" t="n"/>
      <c r="K237" s="42" t="n"/>
      <c r="L237" s="44" t="n"/>
      <c r="M237" s="11">
        <f>IF(E237="","",SUMIFS(tbl_Finance[Xero Invoiced Ex GST],tbl_Finance[Job Number],E237&amp;""))</f>
        <v/>
      </c>
      <c r="N237" s="11">
        <f>IF(J237&lt;&gt;"Won","",IF(E237="",N(I237),N(I237)-N(M237)))</f>
        <v/>
      </c>
      <c r="O237" s="37" t="n"/>
    </row>
    <row r="238">
      <c r="A238" s="44" t="n"/>
      <c r="B238" s="37" t="n"/>
      <c r="C238" s="37" t="n"/>
      <c r="D238" s="37" t="n"/>
      <c r="E238" s="37" t="n"/>
      <c r="F238" s="10">
        <f>IF(E238="","",IF(COUNTIF(lst_Jobs,E238&amp;"")&gt;0,"OK","CHECK"))</f>
        <v/>
      </c>
      <c r="G238" s="37" t="n"/>
      <c r="H238" s="37" t="n"/>
      <c r="I238" s="39" t="n"/>
      <c r="J238" s="37" t="n"/>
      <c r="K238" s="42" t="n"/>
      <c r="L238" s="44" t="n"/>
      <c r="M238" s="11">
        <f>IF(E238="","",SUMIFS(tbl_Finance[Xero Invoiced Ex GST],tbl_Finance[Job Number],E238&amp;""))</f>
        <v/>
      </c>
      <c r="N238" s="11">
        <f>IF(J238&lt;&gt;"Won","",IF(E238="",N(I238),N(I238)-N(M238)))</f>
        <v/>
      </c>
      <c r="O238" s="37" t="n"/>
    </row>
    <row r="239">
      <c r="A239" s="44" t="n"/>
      <c r="B239" s="37" t="n"/>
      <c r="C239" s="37" t="n"/>
      <c r="D239" s="37" t="n"/>
      <c r="E239" s="37" t="n"/>
      <c r="F239" s="10">
        <f>IF(E239="","",IF(COUNTIF(lst_Jobs,E239&amp;"")&gt;0,"OK","CHECK"))</f>
        <v/>
      </c>
      <c r="G239" s="37" t="n"/>
      <c r="H239" s="37" t="n"/>
      <c r="I239" s="39" t="n"/>
      <c r="J239" s="37" t="n"/>
      <c r="K239" s="42" t="n"/>
      <c r="L239" s="44" t="n"/>
      <c r="M239" s="11">
        <f>IF(E239="","",SUMIFS(tbl_Finance[Xero Invoiced Ex GST],tbl_Finance[Job Number],E239&amp;""))</f>
        <v/>
      </c>
      <c r="N239" s="11">
        <f>IF(J239&lt;&gt;"Won","",IF(E239="",N(I239),N(I239)-N(M239)))</f>
        <v/>
      </c>
      <c r="O239" s="37" t="n"/>
    </row>
    <row r="240">
      <c r="A240" s="44" t="n"/>
      <c r="B240" s="37" t="n"/>
      <c r="C240" s="37" t="n"/>
      <c r="D240" s="37" t="n"/>
      <c r="E240" s="37" t="n"/>
      <c r="F240" s="10">
        <f>IF(E240="","",IF(COUNTIF(lst_Jobs,E240&amp;"")&gt;0,"OK","CHECK"))</f>
        <v/>
      </c>
      <c r="G240" s="37" t="n"/>
      <c r="H240" s="37" t="n"/>
      <c r="I240" s="39" t="n"/>
      <c r="J240" s="37" t="n"/>
      <c r="K240" s="42" t="n"/>
      <c r="L240" s="44" t="n"/>
      <c r="M240" s="11">
        <f>IF(E240="","",SUMIFS(tbl_Finance[Xero Invoiced Ex GST],tbl_Finance[Job Number],E240&amp;""))</f>
        <v/>
      </c>
      <c r="N240" s="11">
        <f>IF(J240&lt;&gt;"Won","",IF(E240="",N(I240),N(I240)-N(M240)))</f>
        <v/>
      </c>
      <c r="O240" s="37" t="n"/>
    </row>
    <row r="241">
      <c r="A241" s="44" t="n"/>
      <c r="B241" s="37" t="n"/>
      <c r="C241" s="37" t="n"/>
      <c r="D241" s="37" t="n"/>
      <c r="E241" s="37" t="n"/>
      <c r="F241" s="10">
        <f>IF(E241="","",IF(COUNTIF(lst_Jobs,E241&amp;"")&gt;0,"OK","CHECK"))</f>
        <v/>
      </c>
      <c r="G241" s="37" t="n"/>
      <c r="H241" s="37" t="n"/>
      <c r="I241" s="39" t="n"/>
      <c r="J241" s="37" t="n"/>
      <c r="K241" s="42" t="n"/>
      <c r="L241" s="44" t="n"/>
      <c r="M241" s="11">
        <f>IF(E241="","",SUMIFS(tbl_Finance[Xero Invoiced Ex GST],tbl_Finance[Job Number],E241&amp;""))</f>
        <v/>
      </c>
      <c r="N241" s="11">
        <f>IF(J241&lt;&gt;"Won","",IF(E241="",N(I241),N(I241)-N(M241)))</f>
        <v/>
      </c>
      <c r="O241" s="37" t="n"/>
    </row>
    <row r="242">
      <c r="A242" s="44" t="n"/>
      <c r="B242" s="37" t="n"/>
      <c r="C242" s="37" t="n"/>
      <c r="D242" s="37" t="n"/>
      <c r="E242" s="37" t="n"/>
      <c r="F242" s="10">
        <f>IF(E242="","",IF(COUNTIF(lst_Jobs,E242&amp;"")&gt;0,"OK","CHECK"))</f>
        <v/>
      </c>
      <c r="G242" s="37" t="n"/>
      <c r="H242" s="37" t="n"/>
      <c r="I242" s="39" t="n"/>
      <c r="J242" s="37" t="n"/>
      <c r="K242" s="42" t="n"/>
      <c r="L242" s="44" t="n"/>
      <c r="M242" s="11">
        <f>IF(E242="","",SUMIFS(tbl_Finance[Xero Invoiced Ex GST],tbl_Finance[Job Number],E242&amp;""))</f>
        <v/>
      </c>
      <c r="N242" s="11">
        <f>IF(J242&lt;&gt;"Won","",IF(E242="",N(I242),N(I242)-N(M242)))</f>
        <v/>
      </c>
      <c r="O242" s="37" t="n"/>
    </row>
    <row r="243">
      <c r="A243" s="44" t="n"/>
      <c r="B243" s="37" t="n"/>
      <c r="C243" s="37" t="n"/>
      <c r="D243" s="37" t="n"/>
      <c r="E243" s="37" t="n"/>
      <c r="F243" s="10">
        <f>IF(E243="","",IF(COUNTIF(lst_Jobs,E243&amp;"")&gt;0,"OK","CHECK"))</f>
        <v/>
      </c>
      <c r="G243" s="37" t="n"/>
      <c r="H243" s="37" t="n"/>
      <c r="I243" s="39" t="n"/>
      <c r="J243" s="37" t="n"/>
      <c r="K243" s="42" t="n"/>
      <c r="L243" s="44" t="n"/>
      <c r="M243" s="11">
        <f>IF(E243="","",SUMIFS(tbl_Finance[Xero Invoiced Ex GST],tbl_Finance[Job Number],E243&amp;""))</f>
        <v/>
      </c>
      <c r="N243" s="11">
        <f>IF(J243&lt;&gt;"Won","",IF(E243="",N(I243),N(I243)-N(M243)))</f>
        <v/>
      </c>
      <c r="O243" s="37" t="n"/>
    </row>
    <row r="244">
      <c r="A244" s="44" t="n"/>
      <c r="B244" s="37" t="n"/>
      <c r="C244" s="37" t="n"/>
      <c r="D244" s="37" t="n"/>
      <c r="E244" s="37" t="n"/>
      <c r="F244" s="10">
        <f>IF(E244="","",IF(COUNTIF(lst_Jobs,E244&amp;"")&gt;0,"OK","CHECK"))</f>
        <v/>
      </c>
      <c r="G244" s="37" t="n"/>
      <c r="H244" s="37" t="n"/>
      <c r="I244" s="39" t="n"/>
      <c r="J244" s="37" t="n"/>
      <c r="K244" s="42" t="n"/>
      <c r="L244" s="44" t="n"/>
      <c r="M244" s="11">
        <f>IF(E244="","",SUMIFS(tbl_Finance[Xero Invoiced Ex GST],tbl_Finance[Job Number],E244&amp;""))</f>
        <v/>
      </c>
      <c r="N244" s="11">
        <f>IF(J244&lt;&gt;"Won","",IF(E244="",N(I244),N(I244)-N(M244)))</f>
        <v/>
      </c>
      <c r="O244" s="37" t="n"/>
    </row>
    <row r="245">
      <c r="A245" s="44" t="n"/>
      <c r="B245" s="37" t="n"/>
      <c r="C245" s="37" t="n"/>
      <c r="D245" s="37" t="n"/>
      <c r="E245" s="37" t="n"/>
      <c r="F245" s="10">
        <f>IF(E245="","",IF(COUNTIF(lst_Jobs,E245&amp;"")&gt;0,"OK","CHECK"))</f>
        <v/>
      </c>
      <c r="G245" s="37" t="n"/>
      <c r="H245" s="37" t="n"/>
      <c r="I245" s="39" t="n"/>
      <c r="J245" s="37" t="n"/>
      <c r="K245" s="42" t="n"/>
      <c r="L245" s="44" t="n"/>
      <c r="M245" s="11">
        <f>IF(E245="","",SUMIFS(tbl_Finance[Xero Invoiced Ex GST],tbl_Finance[Job Number],E245&amp;""))</f>
        <v/>
      </c>
      <c r="N245" s="11">
        <f>IF(J245&lt;&gt;"Won","",IF(E245="",N(I245),N(I245)-N(M245)))</f>
        <v/>
      </c>
      <c r="O245" s="37" t="n"/>
    </row>
    <row r="246">
      <c r="A246" s="44" t="n"/>
      <c r="B246" s="37" t="n"/>
      <c r="C246" s="37" t="n"/>
      <c r="D246" s="37" t="n"/>
      <c r="E246" s="37" t="n"/>
      <c r="F246" s="10">
        <f>IF(E246="","",IF(COUNTIF(lst_Jobs,E246&amp;"")&gt;0,"OK","CHECK"))</f>
        <v/>
      </c>
      <c r="G246" s="37" t="n"/>
      <c r="H246" s="37" t="n"/>
      <c r="I246" s="39" t="n"/>
      <c r="J246" s="37" t="n"/>
      <c r="K246" s="42" t="n"/>
      <c r="L246" s="44" t="n"/>
      <c r="M246" s="11">
        <f>IF(E246="","",SUMIFS(tbl_Finance[Xero Invoiced Ex GST],tbl_Finance[Job Number],E246&amp;""))</f>
        <v/>
      </c>
      <c r="N246" s="11">
        <f>IF(J246&lt;&gt;"Won","",IF(E246="",N(I246),N(I246)-N(M246)))</f>
        <v/>
      </c>
      <c r="O246" s="37" t="n"/>
    </row>
    <row r="247">
      <c r="A247" s="44" t="n"/>
      <c r="B247" s="37" t="n"/>
      <c r="C247" s="37" t="n"/>
      <c r="D247" s="37" t="n"/>
      <c r="E247" s="37" t="n"/>
      <c r="F247" s="10">
        <f>IF(E247="","",IF(COUNTIF(lst_Jobs,E247&amp;"")&gt;0,"OK","CHECK"))</f>
        <v/>
      </c>
      <c r="G247" s="37" t="n"/>
      <c r="H247" s="37" t="n"/>
      <c r="I247" s="39" t="n"/>
      <c r="J247" s="37" t="n"/>
      <c r="K247" s="42" t="n"/>
      <c r="L247" s="44" t="n"/>
      <c r="M247" s="11">
        <f>IF(E247="","",SUMIFS(tbl_Finance[Xero Invoiced Ex GST],tbl_Finance[Job Number],E247&amp;""))</f>
        <v/>
      </c>
      <c r="N247" s="11">
        <f>IF(J247&lt;&gt;"Won","",IF(E247="",N(I247),N(I247)-N(M247)))</f>
        <v/>
      </c>
      <c r="O247" s="37" t="n"/>
    </row>
    <row r="248">
      <c r="A248" s="44" t="n"/>
      <c r="B248" s="37" t="n"/>
      <c r="C248" s="37" t="n"/>
      <c r="D248" s="37" t="n"/>
      <c r="E248" s="37" t="n"/>
      <c r="F248" s="10">
        <f>IF(E248="","",IF(COUNTIF(lst_Jobs,E248&amp;"")&gt;0,"OK","CHECK"))</f>
        <v/>
      </c>
      <c r="G248" s="37" t="n"/>
      <c r="H248" s="37" t="n"/>
      <c r="I248" s="39" t="n"/>
      <c r="J248" s="37" t="n"/>
      <c r="K248" s="42" t="n"/>
      <c r="L248" s="44" t="n"/>
      <c r="M248" s="11">
        <f>IF(E248="","",SUMIFS(tbl_Finance[Xero Invoiced Ex GST],tbl_Finance[Job Number],E248&amp;""))</f>
        <v/>
      </c>
      <c r="N248" s="11">
        <f>IF(J248&lt;&gt;"Won","",IF(E248="",N(I248),N(I248)-N(M248)))</f>
        <v/>
      </c>
      <c r="O248" s="37" t="n"/>
    </row>
    <row r="249">
      <c r="A249" s="44" t="n"/>
      <c r="B249" s="37" t="n"/>
      <c r="C249" s="37" t="n"/>
      <c r="D249" s="37" t="n"/>
      <c r="E249" s="37" t="n"/>
      <c r="F249" s="10">
        <f>IF(E249="","",IF(COUNTIF(lst_Jobs,E249&amp;"")&gt;0,"OK","CHECK"))</f>
        <v/>
      </c>
      <c r="G249" s="37" t="n"/>
      <c r="H249" s="37" t="n"/>
      <c r="I249" s="39" t="n"/>
      <c r="J249" s="37" t="n"/>
      <c r="K249" s="42" t="n"/>
      <c r="L249" s="44" t="n"/>
      <c r="M249" s="11">
        <f>IF(E249="","",SUMIFS(tbl_Finance[Xero Invoiced Ex GST],tbl_Finance[Job Number],E249&amp;""))</f>
        <v/>
      </c>
      <c r="N249" s="11">
        <f>IF(J249&lt;&gt;"Won","",IF(E249="",N(I249),N(I249)-N(M249)))</f>
        <v/>
      </c>
      <c r="O249" s="37" t="n"/>
    </row>
    <row r="250">
      <c r="A250" s="44" t="n"/>
      <c r="B250" s="37" t="n"/>
      <c r="C250" s="37" t="n"/>
      <c r="D250" s="37" t="n"/>
      <c r="E250" s="37" t="n"/>
      <c r="F250" s="10">
        <f>IF(E250="","",IF(COUNTIF(lst_Jobs,E250&amp;"")&gt;0,"OK","CHECK"))</f>
        <v/>
      </c>
      <c r="G250" s="37" t="n"/>
      <c r="H250" s="37" t="n"/>
      <c r="I250" s="39" t="n"/>
      <c r="J250" s="37" t="n"/>
      <c r="K250" s="42" t="n"/>
      <c r="L250" s="44" t="n"/>
      <c r="M250" s="11">
        <f>IF(E250="","",SUMIFS(tbl_Finance[Xero Invoiced Ex GST],tbl_Finance[Job Number],E250&amp;""))</f>
        <v/>
      </c>
      <c r="N250" s="11">
        <f>IF(J250&lt;&gt;"Won","",IF(E250="",N(I250),N(I250)-N(M250)))</f>
        <v/>
      </c>
      <c r="O250" s="37" t="n"/>
    </row>
    <row r="251">
      <c r="A251" s="44" t="n"/>
      <c r="B251" s="37" t="n"/>
      <c r="C251" s="37" t="n"/>
      <c r="D251" s="37" t="n"/>
      <c r="E251" s="37" t="n"/>
      <c r="F251" s="10">
        <f>IF(E251="","",IF(COUNTIF(lst_Jobs,E251&amp;"")&gt;0,"OK","CHECK"))</f>
        <v/>
      </c>
      <c r="G251" s="37" t="n"/>
      <c r="H251" s="37" t="n"/>
      <c r="I251" s="39" t="n"/>
      <c r="J251" s="37" t="n"/>
      <c r="K251" s="42" t="n"/>
      <c r="L251" s="44" t="n"/>
      <c r="M251" s="11">
        <f>IF(E251="","",SUMIFS(tbl_Finance[Xero Invoiced Ex GST],tbl_Finance[Job Number],E251&amp;""))</f>
        <v/>
      </c>
      <c r="N251" s="11">
        <f>IF(J251&lt;&gt;"Won","",IF(E251="",N(I251),N(I251)-N(M251)))</f>
        <v/>
      </c>
      <c r="O251" s="37" t="n"/>
    </row>
    <row r="252">
      <c r="A252" s="44" t="n"/>
      <c r="B252" s="37" t="n"/>
      <c r="C252" s="37" t="n"/>
      <c r="D252" s="37" t="n"/>
      <c r="E252" s="37" t="n"/>
      <c r="F252" s="10">
        <f>IF(E252="","",IF(COUNTIF(lst_Jobs,E252&amp;"")&gt;0,"OK","CHECK"))</f>
        <v/>
      </c>
      <c r="G252" s="37" t="n"/>
      <c r="H252" s="37" t="n"/>
      <c r="I252" s="39" t="n"/>
      <c r="J252" s="37" t="n"/>
      <c r="K252" s="42" t="n"/>
      <c r="L252" s="44" t="n"/>
      <c r="M252" s="11">
        <f>IF(E252="","",SUMIFS(tbl_Finance[Xero Invoiced Ex GST],tbl_Finance[Job Number],E252&amp;""))</f>
        <v/>
      </c>
      <c r="N252" s="11">
        <f>IF(J252&lt;&gt;"Won","",IF(E252="",N(I252),N(I252)-N(M252)))</f>
        <v/>
      </c>
      <c r="O252" s="37" t="n"/>
    </row>
    <row r="253">
      <c r="A253" s="44" t="n"/>
      <c r="B253" s="37" t="n"/>
      <c r="C253" s="37" t="n"/>
      <c r="D253" s="37" t="n"/>
      <c r="E253" s="37" t="n"/>
      <c r="F253" s="10">
        <f>IF(E253="","",IF(COUNTIF(lst_Jobs,E253&amp;"")&gt;0,"OK","CHECK"))</f>
        <v/>
      </c>
      <c r="G253" s="37" t="n"/>
      <c r="H253" s="37" t="n"/>
      <c r="I253" s="39" t="n"/>
      <c r="J253" s="37" t="n"/>
      <c r="K253" s="42" t="n"/>
      <c r="L253" s="44" t="n"/>
      <c r="M253" s="11">
        <f>IF(E253="","",SUMIFS(tbl_Finance[Xero Invoiced Ex GST],tbl_Finance[Job Number],E253&amp;""))</f>
        <v/>
      </c>
      <c r="N253" s="11">
        <f>IF(J253&lt;&gt;"Won","",IF(E253="",N(I253),N(I253)-N(M253)))</f>
        <v/>
      </c>
      <c r="O253" s="37" t="n"/>
    </row>
    <row r="254">
      <c r="A254" s="44" t="n"/>
      <c r="B254" s="37" t="n"/>
      <c r="C254" s="37" t="n"/>
      <c r="D254" s="37" t="n"/>
      <c r="E254" s="37" t="n"/>
      <c r="F254" s="10">
        <f>IF(E254="","",IF(COUNTIF(lst_Jobs,E254&amp;"")&gt;0,"OK","CHECK"))</f>
        <v/>
      </c>
      <c r="G254" s="37" t="n"/>
      <c r="H254" s="37" t="n"/>
      <c r="I254" s="39" t="n"/>
      <c r="J254" s="37" t="n"/>
      <c r="K254" s="42" t="n"/>
      <c r="L254" s="44" t="n"/>
      <c r="M254" s="11">
        <f>IF(E254="","",SUMIFS(tbl_Finance[Xero Invoiced Ex GST],tbl_Finance[Job Number],E254&amp;""))</f>
        <v/>
      </c>
      <c r="N254" s="11">
        <f>IF(J254&lt;&gt;"Won","",IF(E254="",N(I254),N(I254)-N(M254)))</f>
        <v/>
      </c>
      <c r="O254" s="37" t="n"/>
    </row>
    <row r="255">
      <c r="A255" s="44" t="n"/>
      <c r="B255" s="37" t="n"/>
      <c r="C255" s="37" t="n"/>
      <c r="D255" s="37" t="n"/>
      <c r="E255" s="37" t="n"/>
      <c r="F255" s="10">
        <f>IF(E255="","",IF(COUNTIF(lst_Jobs,E255&amp;"")&gt;0,"OK","CHECK"))</f>
        <v/>
      </c>
      <c r="G255" s="37" t="n"/>
      <c r="H255" s="37" t="n"/>
      <c r="I255" s="39" t="n"/>
      <c r="J255" s="37" t="n"/>
      <c r="K255" s="42" t="n"/>
      <c r="L255" s="44" t="n"/>
      <c r="M255" s="11">
        <f>IF(E255="","",SUMIFS(tbl_Finance[Xero Invoiced Ex GST],tbl_Finance[Job Number],E255&amp;""))</f>
        <v/>
      </c>
      <c r="N255" s="11">
        <f>IF(J255&lt;&gt;"Won","",IF(E255="",N(I255),N(I255)-N(M255)))</f>
        <v/>
      </c>
      <c r="O255" s="37" t="n"/>
    </row>
    <row r="256">
      <c r="A256" s="44" t="n"/>
      <c r="B256" s="37" t="n"/>
      <c r="C256" s="37" t="n"/>
      <c r="D256" s="37" t="n"/>
      <c r="E256" s="37" t="n"/>
      <c r="F256" s="10">
        <f>IF(E256="","",IF(COUNTIF(lst_Jobs,E256&amp;"")&gt;0,"OK","CHECK"))</f>
        <v/>
      </c>
      <c r="G256" s="37" t="n"/>
      <c r="H256" s="37" t="n"/>
      <c r="I256" s="39" t="n"/>
      <c r="J256" s="37" t="n"/>
      <c r="K256" s="42" t="n"/>
      <c r="L256" s="44" t="n"/>
      <c r="M256" s="11">
        <f>IF(E256="","",SUMIFS(tbl_Finance[Xero Invoiced Ex GST],tbl_Finance[Job Number],E256&amp;""))</f>
        <v/>
      </c>
      <c r="N256" s="11">
        <f>IF(J256&lt;&gt;"Won","",IF(E256="",N(I256),N(I256)-N(M256)))</f>
        <v/>
      </c>
      <c r="O256" s="37" t="n"/>
    </row>
    <row r="257">
      <c r="A257" s="44" t="n"/>
      <c r="B257" s="37" t="n"/>
      <c r="C257" s="37" t="n"/>
      <c r="D257" s="37" t="n"/>
      <c r="E257" s="37" t="n"/>
      <c r="F257" s="10">
        <f>IF(E257="","",IF(COUNTIF(lst_Jobs,E257&amp;"")&gt;0,"OK","CHECK"))</f>
        <v/>
      </c>
      <c r="G257" s="37" t="n"/>
      <c r="H257" s="37" t="n"/>
      <c r="I257" s="39" t="n"/>
      <c r="J257" s="37" t="n"/>
      <c r="K257" s="42" t="n"/>
      <c r="L257" s="44" t="n"/>
      <c r="M257" s="11">
        <f>IF(E257="","",SUMIFS(tbl_Finance[Xero Invoiced Ex GST],tbl_Finance[Job Number],E257&amp;""))</f>
        <v/>
      </c>
      <c r="N257" s="11">
        <f>IF(J257&lt;&gt;"Won","",IF(E257="",N(I257),N(I257)-N(M257)))</f>
        <v/>
      </c>
      <c r="O257" s="37" t="n"/>
    </row>
    <row r="258">
      <c r="A258" s="44" t="n"/>
      <c r="B258" s="37" t="n"/>
      <c r="C258" s="37" t="n"/>
      <c r="D258" s="37" t="n"/>
      <c r="E258" s="37" t="n"/>
      <c r="F258" s="10">
        <f>IF(E258="","",IF(COUNTIF(lst_Jobs,E258&amp;"")&gt;0,"OK","CHECK"))</f>
        <v/>
      </c>
      <c r="G258" s="37" t="n"/>
      <c r="H258" s="37" t="n"/>
      <c r="I258" s="39" t="n"/>
      <c r="J258" s="37" t="n"/>
      <c r="K258" s="42" t="n"/>
      <c r="L258" s="44" t="n"/>
      <c r="M258" s="11">
        <f>IF(E258="","",SUMIFS(tbl_Finance[Xero Invoiced Ex GST],tbl_Finance[Job Number],E258&amp;""))</f>
        <v/>
      </c>
      <c r="N258" s="11">
        <f>IF(J258&lt;&gt;"Won","",IF(E258="",N(I258),N(I258)-N(M258)))</f>
        <v/>
      </c>
      <c r="O258" s="37" t="n"/>
    </row>
    <row r="259">
      <c r="A259" s="44" t="n"/>
      <c r="B259" s="37" t="n"/>
      <c r="C259" s="37" t="n"/>
      <c r="D259" s="37" t="n"/>
      <c r="E259" s="37" t="n"/>
      <c r="F259" s="10">
        <f>IF(E259="","",IF(COUNTIF(lst_Jobs,E259&amp;"")&gt;0,"OK","CHECK"))</f>
        <v/>
      </c>
      <c r="G259" s="37" t="n"/>
      <c r="H259" s="37" t="n"/>
      <c r="I259" s="39" t="n"/>
      <c r="J259" s="37" t="n"/>
      <c r="K259" s="42" t="n"/>
      <c r="L259" s="44" t="n"/>
      <c r="M259" s="11">
        <f>IF(E259="","",SUMIFS(tbl_Finance[Xero Invoiced Ex GST],tbl_Finance[Job Number],E259&amp;""))</f>
        <v/>
      </c>
      <c r="N259" s="11">
        <f>IF(J259&lt;&gt;"Won","",IF(E259="",N(I259),N(I259)-N(M259)))</f>
        <v/>
      </c>
      <c r="O259" s="37" t="n"/>
    </row>
    <row r="260">
      <c r="A260" s="44" t="n"/>
      <c r="B260" s="37" t="n"/>
      <c r="C260" s="37" t="n"/>
      <c r="D260" s="37" t="n"/>
      <c r="E260" s="37" t="n"/>
      <c r="F260" s="10">
        <f>IF(E260="","",IF(COUNTIF(lst_Jobs,E260&amp;"")&gt;0,"OK","CHECK"))</f>
        <v/>
      </c>
      <c r="G260" s="37" t="n"/>
      <c r="H260" s="37" t="n"/>
      <c r="I260" s="39" t="n"/>
      <c r="J260" s="37" t="n"/>
      <c r="K260" s="42" t="n"/>
      <c r="L260" s="44" t="n"/>
      <c r="M260" s="11">
        <f>IF(E260="","",SUMIFS(tbl_Finance[Xero Invoiced Ex GST],tbl_Finance[Job Number],E260&amp;""))</f>
        <v/>
      </c>
      <c r="N260" s="11">
        <f>IF(J260&lt;&gt;"Won","",IF(E260="",N(I260),N(I260)-N(M260)))</f>
        <v/>
      </c>
      <c r="O260" s="37" t="n"/>
    </row>
    <row r="261">
      <c r="A261" s="44" t="n"/>
      <c r="B261" s="37" t="n"/>
      <c r="C261" s="37" t="n"/>
      <c r="D261" s="37" t="n"/>
      <c r="E261" s="37" t="n"/>
      <c r="F261" s="10">
        <f>IF(E261="","",IF(COUNTIF(lst_Jobs,E261&amp;"")&gt;0,"OK","CHECK"))</f>
        <v/>
      </c>
      <c r="G261" s="37" t="n"/>
      <c r="H261" s="37" t="n"/>
      <c r="I261" s="39" t="n"/>
      <c r="J261" s="37" t="n"/>
      <c r="K261" s="42" t="n"/>
      <c r="L261" s="44" t="n"/>
      <c r="M261" s="11">
        <f>IF(E261="","",SUMIFS(tbl_Finance[Xero Invoiced Ex GST],tbl_Finance[Job Number],E261&amp;""))</f>
        <v/>
      </c>
      <c r="N261" s="11">
        <f>IF(J261&lt;&gt;"Won","",IF(E261="",N(I261),N(I261)-N(M261)))</f>
        <v/>
      </c>
      <c r="O261" s="37" t="n"/>
    </row>
    <row r="262">
      <c r="A262" s="44" t="n"/>
      <c r="B262" s="37" t="n"/>
      <c r="C262" s="37" t="n"/>
      <c r="D262" s="37" t="n"/>
      <c r="E262" s="37" t="n"/>
      <c r="F262" s="10">
        <f>IF(E262="","",IF(COUNTIF(lst_Jobs,E262&amp;"")&gt;0,"OK","CHECK"))</f>
        <v/>
      </c>
      <c r="G262" s="37" t="n"/>
      <c r="H262" s="37" t="n"/>
      <c r="I262" s="39" t="n"/>
      <c r="J262" s="37" t="n"/>
      <c r="K262" s="42" t="n"/>
      <c r="L262" s="44" t="n"/>
      <c r="M262" s="11">
        <f>IF(E262="","",SUMIFS(tbl_Finance[Xero Invoiced Ex GST],tbl_Finance[Job Number],E262&amp;""))</f>
        <v/>
      </c>
      <c r="N262" s="11">
        <f>IF(J262&lt;&gt;"Won","",IF(E262="",N(I262),N(I262)-N(M262)))</f>
        <v/>
      </c>
      <c r="O262" s="37" t="n"/>
    </row>
    <row r="263">
      <c r="A263" s="44" t="n"/>
      <c r="B263" s="37" t="n"/>
      <c r="C263" s="37" t="n"/>
      <c r="D263" s="37" t="n"/>
      <c r="E263" s="37" t="n"/>
      <c r="F263" s="10">
        <f>IF(E263="","",IF(COUNTIF(lst_Jobs,E263&amp;"")&gt;0,"OK","CHECK"))</f>
        <v/>
      </c>
      <c r="G263" s="37" t="n"/>
      <c r="H263" s="37" t="n"/>
      <c r="I263" s="39" t="n"/>
      <c r="J263" s="37" t="n"/>
      <c r="K263" s="42" t="n"/>
      <c r="L263" s="44" t="n"/>
      <c r="M263" s="11">
        <f>IF(E263="","",SUMIFS(tbl_Finance[Xero Invoiced Ex GST],tbl_Finance[Job Number],E263&amp;""))</f>
        <v/>
      </c>
      <c r="N263" s="11">
        <f>IF(J263&lt;&gt;"Won","",IF(E263="",N(I263),N(I263)-N(M263)))</f>
        <v/>
      </c>
      <c r="O263" s="37" t="n"/>
    </row>
    <row r="264">
      <c r="A264" s="44" t="n"/>
      <c r="B264" s="37" t="n"/>
      <c r="C264" s="37" t="n"/>
      <c r="D264" s="37" t="n"/>
      <c r="E264" s="37" t="n"/>
      <c r="F264" s="10">
        <f>IF(E264="","",IF(COUNTIF(lst_Jobs,E264&amp;"")&gt;0,"OK","CHECK"))</f>
        <v/>
      </c>
      <c r="G264" s="37" t="n"/>
      <c r="H264" s="37" t="n"/>
      <c r="I264" s="39" t="n"/>
      <c r="J264" s="37" t="n"/>
      <c r="K264" s="42" t="n"/>
      <c r="L264" s="44" t="n"/>
      <c r="M264" s="11">
        <f>IF(E264="","",SUMIFS(tbl_Finance[Xero Invoiced Ex GST],tbl_Finance[Job Number],E264&amp;""))</f>
        <v/>
      </c>
      <c r="N264" s="11">
        <f>IF(J264&lt;&gt;"Won","",IF(E264="",N(I264),N(I264)-N(M264)))</f>
        <v/>
      </c>
      <c r="O264" s="37" t="n"/>
    </row>
    <row r="265">
      <c r="A265" s="44" t="n"/>
      <c r="B265" s="37" t="n"/>
      <c r="C265" s="37" t="n"/>
      <c r="D265" s="37" t="n"/>
      <c r="E265" s="37" t="n"/>
      <c r="F265" s="10">
        <f>IF(E265="","",IF(COUNTIF(lst_Jobs,E265&amp;"")&gt;0,"OK","CHECK"))</f>
        <v/>
      </c>
      <c r="G265" s="37" t="n"/>
      <c r="H265" s="37" t="n"/>
      <c r="I265" s="39" t="n"/>
      <c r="J265" s="37" t="n"/>
      <c r="K265" s="42" t="n"/>
      <c r="L265" s="44" t="n"/>
      <c r="M265" s="11">
        <f>IF(E265="","",SUMIFS(tbl_Finance[Xero Invoiced Ex GST],tbl_Finance[Job Number],E265&amp;""))</f>
        <v/>
      </c>
      <c r="N265" s="11">
        <f>IF(J265&lt;&gt;"Won","",IF(E265="",N(I265),N(I265)-N(M265)))</f>
        <v/>
      </c>
      <c r="O265" s="37" t="n"/>
    </row>
    <row r="266">
      <c r="A266" s="44" t="n"/>
      <c r="B266" s="37" t="n"/>
      <c r="C266" s="37" t="n"/>
      <c r="D266" s="37" t="n"/>
      <c r="E266" s="37" t="n"/>
      <c r="F266" s="10">
        <f>IF(E266="","",IF(COUNTIF(lst_Jobs,E266&amp;"")&gt;0,"OK","CHECK"))</f>
        <v/>
      </c>
      <c r="G266" s="37" t="n"/>
      <c r="H266" s="37" t="n"/>
      <c r="I266" s="39" t="n"/>
      <c r="J266" s="37" t="n"/>
      <c r="K266" s="42" t="n"/>
      <c r="L266" s="44" t="n"/>
      <c r="M266" s="11">
        <f>IF(E266="","",SUMIFS(tbl_Finance[Xero Invoiced Ex GST],tbl_Finance[Job Number],E266&amp;""))</f>
        <v/>
      </c>
      <c r="N266" s="11">
        <f>IF(J266&lt;&gt;"Won","",IF(E266="",N(I266),N(I266)-N(M266)))</f>
        <v/>
      </c>
      <c r="O266" s="37" t="n"/>
    </row>
    <row r="267">
      <c r="A267" s="44" t="n"/>
      <c r="B267" s="37" t="n"/>
      <c r="C267" s="37" t="n"/>
      <c r="D267" s="37" t="n"/>
      <c r="E267" s="37" t="n"/>
      <c r="F267" s="10">
        <f>IF(E267="","",IF(COUNTIF(lst_Jobs,E267&amp;"")&gt;0,"OK","CHECK"))</f>
        <v/>
      </c>
      <c r="G267" s="37" t="n"/>
      <c r="H267" s="37" t="n"/>
      <c r="I267" s="39" t="n"/>
      <c r="J267" s="37" t="n"/>
      <c r="K267" s="42" t="n"/>
      <c r="L267" s="44" t="n"/>
      <c r="M267" s="11">
        <f>IF(E267="","",SUMIFS(tbl_Finance[Xero Invoiced Ex GST],tbl_Finance[Job Number],E267&amp;""))</f>
        <v/>
      </c>
      <c r="N267" s="11">
        <f>IF(J267&lt;&gt;"Won","",IF(E267="",N(I267),N(I267)-N(M267)))</f>
        <v/>
      </c>
      <c r="O267" s="37" t="n"/>
    </row>
    <row r="268">
      <c r="A268" s="44" t="n"/>
      <c r="B268" s="37" t="n"/>
      <c r="C268" s="37" t="n"/>
      <c r="D268" s="37" t="n"/>
      <c r="E268" s="37" t="n"/>
      <c r="F268" s="10">
        <f>IF(E268="","",IF(COUNTIF(lst_Jobs,E268&amp;"")&gt;0,"OK","CHECK"))</f>
        <v/>
      </c>
      <c r="G268" s="37" t="n"/>
      <c r="H268" s="37" t="n"/>
      <c r="I268" s="39" t="n"/>
      <c r="J268" s="37" t="n"/>
      <c r="K268" s="42" t="n"/>
      <c r="L268" s="44" t="n"/>
      <c r="M268" s="11">
        <f>IF(E268="","",SUMIFS(tbl_Finance[Xero Invoiced Ex GST],tbl_Finance[Job Number],E268&amp;""))</f>
        <v/>
      </c>
      <c r="N268" s="11">
        <f>IF(J268&lt;&gt;"Won","",IF(E268="",N(I268),N(I268)-N(M268)))</f>
        <v/>
      </c>
      <c r="O268" s="37" t="n"/>
    </row>
    <row r="269">
      <c r="A269" s="44" t="n"/>
      <c r="B269" s="37" t="n"/>
      <c r="C269" s="37" t="n"/>
      <c r="D269" s="37" t="n"/>
      <c r="E269" s="37" t="n"/>
      <c r="F269" s="10">
        <f>IF(E269="","",IF(COUNTIF(lst_Jobs,E269&amp;"")&gt;0,"OK","CHECK"))</f>
        <v/>
      </c>
      <c r="G269" s="37" t="n"/>
      <c r="H269" s="37" t="n"/>
      <c r="I269" s="39" t="n"/>
      <c r="J269" s="37" t="n"/>
      <c r="K269" s="42" t="n"/>
      <c r="L269" s="44" t="n"/>
      <c r="M269" s="11">
        <f>IF(E269="","",SUMIFS(tbl_Finance[Xero Invoiced Ex GST],tbl_Finance[Job Number],E269&amp;""))</f>
        <v/>
      </c>
      <c r="N269" s="11">
        <f>IF(J269&lt;&gt;"Won","",IF(E269="",N(I269),N(I269)-N(M269)))</f>
        <v/>
      </c>
      <c r="O269" s="37" t="n"/>
    </row>
    <row r="270">
      <c r="A270" s="44" t="n"/>
      <c r="B270" s="37" t="n"/>
      <c r="C270" s="37" t="n"/>
      <c r="D270" s="37" t="n"/>
      <c r="E270" s="37" t="n"/>
      <c r="F270" s="10">
        <f>IF(E270="","",IF(COUNTIF(lst_Jobs,E270&amp;"")&gt;0,"OK","CHECK"))</f>
        <v/>
      </c>
      <c r="G270" s="37" t="n"/>
      <c r="H270" s="37" t="n"/>
      <c r="I270" s="39" t="n"/>
      <c r="J270" s="37" t="n"/>
      <c r="K270" s="42" t="n"/>
      <c r="L270" s="44" t="n"/>
      <c r="M270" s="11">
        <f>IF(E270="","",SUMIFS(tbl_Finance[Xero Invoiced Ex GST],tbl_Finance[Job Number],E270&amp;""))</f>
        <v/>
      </c>
      <c r="N270" s="11">
        <f>IF(J270&lt;&gt;"Won","",IF(E270="",N(I270),N(I270)-N(M270)))</f>
        <v/>
      </c>
      <c r="O270" s="37" t="n"/>
    </row>
    <row r="271">
      <c r="A271" s="44" t="n"/>
      <c r="B271" s="37" t="n"/>
      <c r="C271" s="37" t="n"/>
      <c r="D271" s="37" t="n"/>
      <c r="E271" s="37" t="n"/>
      <c r="F271" s="10">
        <f>IF(E271="","",IF(COUNTIF(lst_Jobs,E271&amp;"")&gt;0,"OK","CHECK"))</f>
        <v/>
      </c>
      <c r="G271" s="37" t="n"/>
      <c r="H271" s="37" t="n"/>
      <c r="I271" s="39" t="n"/>
      <c r="J271" s="37" t="n"/>
      <c r="K271" s="42" t="n"/>
      <c r="L271" s="44" t="n"/>
      <c r="M271" s="11">
        <f>IF(E271="","",SUMIFS(tbl_Finance[Xero Invoiced Ex GST],tbl_Finance[Job Number],E271&amp;""))</f>
        <v/>
      </c>
      <c r="N271" s="11">
        <f>IF(J271&lt;&gt;"Won","",IF(E271="",N(I271),N(I271)-N(M271)))</f>
        <v/>
      </c>
      <c r="O271" s="37" t="n"/>
    </row>
    <row r="272">
      <c r="A272" s="44" t="n"/>
      <c r="B272" s="37" t="n"/>
      <c r="C272" s="37" t="n"/>
      <c r="D272" s="37" t="n"/>
      <c r="E272" s="37" t="n"/>
      <c r="F272" s="10">
        <f>IF(E272="","",IF(COUNTIF(lst_Jobs,E272&amp;"")&gt;0,"OK","CHECK"))</f>
        <v/>
      </c>
      <c r="G272" s="37" t="n"/>
      <c r="H272" s="37" t="n"/>
      <c r="I272" s="39" t="n"/>
      <c r="J272" s="37" t="n"/>
      <c r="K272" s="42" t="n"/>
      <c r="L272" s="44" t="n"/>
      <c r="M272" s="11">
        <f>IF(E272="","",SUMIFS(tbl_Finance[Xero Invoiced Ex GST],tbl_Finance[Job Number],E272&amp;""))</f>
        <v/>
      </c>
      <c r="N272" s="11">
        <f>IF(J272&lt;&gt;"Won","",IF(E272="",N(I272),N(I272)-N(M272)))</f>
        <v/>
      </c>
      <c r="O272" s="37" t="n"/>
    </row>
    <row r="273">
      <c r="A273" s="44" t="n"/>
      <c r="B273" s="37" t="n"/>
      <c r="C273" s="37" t="n"/>
      <c r="D273" s="37" t="n"/>
      <c r="E273" s="37" t="n"/>
      <c r="F273" s="10">
        <f>IF(E273="","",IF(COUNTIF(lst_Jobs,E273&amp;"")&gt;0,"OK","CHECK"))</f>
        <v/>
      </c>
      <c r="G273" s="37" t="n"/>
      <c r="H273" s="37" t="n"/>
      <c r="I273" s="39" t="n"/>
      <c r="J273" s="37" t="n"/>
      <c r="K273" s="42" t="n"/>
      <c r="L273" s="44" t="n"/>
      <c r="M273" s="11">
        <f>IF(E273="","",SUMIFS(tbl_Finance[Xero Invoiced Ex GST],tbl_Finance[Job Number],E273&amp;""))</f>
        <v/>
      </c>
      <c r="N273" s="11">
        <f>IF(J273&lt;&gt;"Won","",IF(E273="",N(I273),N(I273)-N(M273)))</f>
        <v/>
      </c>
      <c r="O273" s="37" t="n"/>
    </row>
    <row r="274">
      <c r="A274" s="44" t="n"/>
      <c r="B274" s="37" t="n"/>
      <c r="C274" s="37" t="n"/>
      <c r="D274" s="37" t="n"/>
      <c r="E274" s="37" t="n"/>
      <c r="F274" s="10">
        <f>IF(E274="","",IF(COUNTIF(lst_Jobs,E274&amp;"")&gt;0,"OK","CHECK"))</f>
        <v/>
      </c>
      <c r="G274" s="37" t="n"/>
      <c r="H274" s="37" t="n"/>
      <c r="I274" s="39" t="n"/>
      <c r="J274" s="37" t="n"/>
      <c r="K274" s="42" t="n"/>
      <c r="L274" s="44" t="n"/>
      <c r="M274" s="11">
        <f>IF(E274="","",SUMIFS(tbl_Finance[Xero Invoiced Ex GST],tbl_Finance[Job Number],E274&amp;""))</f>
        <v/>
      </c>
      <c r="N274" s="11">
        <f>IF(J274&lt;&gt;"Won","",IF(E274="",N(I274),N(I274)-N(M274)))</f>
        <v/>
      </c>
      <c r="O274" s="37" t="n"/>
    </row>
    <row r="275">
      <c r="A275" s="44" t="n"/>
      <c r="B275" s="37" t="n"/>
      <c r="C275" s="37" t="n"/>
      <c r="D275" s="37" t="n"/>
      <c r="E275" s="37" t="n"/>
      <c r="F275" s="10">
        <f>IF(E275="","",IF(COUNTIF(lst_Jobs,E275&amp;"")&gt;0,"OK","CHECK"))</f>
        <v/>
      </c>
      <c r="G275" s="37" t="n"/>
      <c r="H275" s="37" t="n"/>
      <c r="I275" s="39" t="n"/>
      <c r="J275" s="37" t="n"/>
      <c r="K275" s="42" t="n"/>
      <c r="L275" s="44" t="n"/>
      <c r="M275" s="11">
        <f>IF(E275="","",SUMIFS(tbl_Finance[Xero Invoiced Ex GST],tbl_Finance[Job Number],E275&amp;""))</f>
        <v/>
      </c>
      <c r="N275" s="11">
        <f>IF(J275&lt;&gt;"Won","",IF(E275="",N(I275),N(I275)-N(M275)))</f>
        <v/>
      </c>
      <c r="O275" s="37" t="n"/>
    </row>
    <row r="276">
      <c r="A276" s="44" t="n"/>
      <c r="B276" s="37" t="n"/>
      <c r="C276" s="37" t="n"/>
      <c r="D276" s="37" t="n"/>
      <c r="E276" s="37" t="n"/>
      <c r="F276" s="10">
        <f>IF(E276="","",IF(COUNTIF(lst_Jobs,E276&amp;"")&gt;0,"OK","CHECK"))</f>
        <v/>
      </c>
      <c r="G276" s="37" t="n"/>
      <c r="H276" s="37" t="n"/>
      <c r="I276" s="39" t="n"/>
      <c r="J276" s="37" t="n"/>
      <c r="K276" s="42" t="n"/>
      <c r="L276" s="44" t="n"/>
      <c r="M276" s="11">
        <f>IF(E276="","",SUMIFS(tbl_Finance[Xero Invoiced Ex GST],tbl_Finance[Job Number],E276&amp;""))</f>
        <v/>
      </c>
      <c r="N276" s="11">
        <f>IF(J276&lt;&gt;"Won","",IF(E276="",N(I276),N(I276)-N(M276)))</f>
        <v/>
      </c>
      <c r="O276" s="37" t="n"/>
    </row>
    <row r="277">
      <c r="A277" s="44" t="n"/>
      <c r="B277" s="37" t="n"/>
      <c r="C277" s="37" t="n"/>
      <c r="D277" s="37" t="n"/>
      <c r="E277" s="37" t="n"/>
      <c r="F277" s="10">
        <f>IF(E277="","",IF(COUNTIF(lst_Jobs,E277&amp;"")&gt;0,"OK","CHECK"))</f>
        <v/>
      </c>
      <c r="G277" s="37" t="n"/>
      <c r="H277" s="37" t="n"/>
      <c r="I277" s="39" t="n"/>
      <c r="J277" s="37" t="n"/>
      <c r="K277" s="42" t="n"/>
      <c r="L277" s="44" t="n"/>
      <c r="M277" s="11">
        <f>IF(E277="","",SUMIFS(tbl_Finance[Xero Invoiced Ex GST],tbl_Finance[Job Number],E277&amp;""))</f>
        <v/>
      </c>
      <c r="N277" s="11">
        <f>IF(J277&lt;&gt;"Won","",IF(E277="",N(I277),N(I277)-N(M277)))</f>
        <v/>
      </c>
      <c r="O277" s="37" t="n"/>
    </row>
    <row r="278">
      <c r="A278" s="44" t="n"/>
      <c r="B278" s="37" t="n"/>
      <c r="C278" s="37" t="n"/>
      <c r="D278" s="37" t="n"/>
      <c r="E278" s="37" t="n"/>
      <c r="F278" s="10">
        <f>IF(E278="","",IF(COUNTIF(lst_Jobs,E278&amp;"")&gt;0,"OK","CHECK"))</f>
        <v/>
      </c>
      <c r="G278" s="37" t="n"/>
      <c r="H278" s="37" t="n"/>
      <c r="I278" s="39" t="n"/>
      <c r="J278" s="37" t="n"/>
      <c r="K278" s="42" t="n"/>
      <c r="L278" s="44" t="n"/>
      <c r="M278" s="11">
        <f>IF(E278="","",SUMIFS(tbl_Finance[Xero Invoiced Ex GST],tbl_Finance[Job Number],E278&amp;""))</f>
        <v/>
      </c>
      <c r="N278" s="11">
        <f>IF(J278&lt;&gt;"Won","",IF(E278="",N(I278),N(I278)-N(M278)))</f>
        <v/>
      </c>
      <c r="O278" s="37" t="n"/>
    </row>
    <row r="279">
      <c r="A279" s="44" t="n"/>
      <c r="B279" s="37" t="n"/>
      <c r="C279" s="37" t="n"/>
      <c r="D279" s="37" t="n"/>
      <c r="E279" s="37" t="n"/>
      <c r="F279" s="10">
        <f>IF(E279="","",IF(COUNTIF(lst_Jobs,E279&amp;"")&gt;0,"OK","CHECK"))</f>
        <v/>
      </c>
      <c r="G279" s="37" t="n"/>
      <c r="H279" s="37" t="n"/>
      <c r="I279" s="39" t="n"/>
      <c r="J279" s="37" t="n"/>
      <c r="K279" s="42" t="n"/>
      <c r="L279" s="44" t="n"/>
      <c r="M279" s="11">
        <f>IF(E279="","",SUMIFS(tbl_Finance[Xero Invoiced Ex GST],tbl_Finance[Job Number],E279&amp;""))</f>
        <v/>
      </c>
      <c r="N279" s="11">
        <f>IF(J279&lt;&gt;"Won","",IF(E279="",N(I279),N(I279)-N(M279)))</f>
        <v/>
      </c>
      <c r="O279" s="37" t="n"/>
    </row>
    <row r="280">
      <c r="A280" s="44" t="n"/>
      <c r="B280" s="37" t="n"/>
      <c r="C280" s="37" t="n"/>
      <c r="D280" s="37" t="n"/>
      <c r="E280" s="37" t="n"/>
      <c r="F280" s="10">
        <f>IF(E280="","",IF(COUNTIF(lst_Jobs,E280&amp;"")&gt;0,"OK","CHECK"))</f>
        <v/>
      </c>
      <c r="G280" s="37" t="n"/>
      <c r="H280" s="37" t="n"/>
      <c r="I280" s="39" t="n"/>
      <c r="J280" s="37" t="n"/>
      <c r="K280" s="42" t="n"/>
      <c r="L280" s="44" t="n"/>
      <c r="M280" s="11">
        <f>IF(E280="","",SUMIFS(tbl_Finance[Xero Invoiced Ex GST],tbl_Finance[Job Number],E280&amp;""))</f>
        <v/>
      </c>
      <c r="N280" s="11">
        <f>IF(J280&lt;&gt;"Won","",IF(E280="",N(I280),N(I280)-N(M280)))</f>
        <v/>
      </c>
      <c r="O280" s="37" t="n"/>
    </row>
    <row r="281">
      <c r="A281" s="44" t="n"/>
      <c r="B281" s="37" t="n"/>
      <c r="C281" s="37" t="n"/>
      <c r="D281" s="37" t="n"/>
      <c r="E281" s="37" t="n"/>
      <c r="F281" s="10">
        <f>IF(E281="","",IF(COUNTIF(lst_Jobs,E281&amp;"")&gt;0,"OK","CHECK"))</f>
        <v/>
      </c>
      <c r="G281" s="37" t="n"/>
      <c r="H281" s="37" t="n"/>
      <c r="I281" s="39" t="n"/>
      <c r="J281" s="37" t="n"/>
      <c r="K281" s="42" t="n"/>
      <c r="L281" s="44" t="n"/>
      <c r="M281" s="11">
        <f>IF(E281="","",SUMIFS(tbl_Finance[Xero Invoiced Ex GST],tbl_Finance[Job Number],E281&amp;""))</f>
        <v/>
      </c>
      <c r="N281" s="11">
        <f>IF(J281&lt;&gt;"Won","",IF(E281="",N(I281),N(I281)-N(M281)))</f>
        <v/>
      </c>
      <c r="O281" s="37" t="n"/>
    </row>
    <row r="282">
      <c r="A282" s="44" t="n"/>
      <c r="B282" s="37" t="n"/>
      <c r="C282" s="37" t="n"/>
      <c r="D282" s="37" t="n"/>
      <c r="E282" s="37" t="n"/>
      <c r="F282" s="10">
        <f>IF(E282="","",IF(COUNTIF(lst_Jobs,E282&amp;"")&gt;0,"OK","CHECK"))</f>
        <v/>
      </c>
      <c r="G282" s="37" t="n"/>
      <c r="H282" s="37" t="n"/>
      <c r="I282" s="39" t="n"/>
      <c r="J282" s="37" t="n"/>
      <c r="K282" s="42" t="n"/>
      <c r="L282" s="44" t="n"/>
      <c r="M282" s="11">
        <f>IF(E282="","",SUMIFS(tbl_Finance[Xero Invoiced Ex GST],tbl_Finance[Job Number],E282&amp;""))</f>
        <v/>
      </c>
      <c r="N282" s="11">
        <f>IF(J282&lt;&gt;"Won","",IF(E282="",N(I282),N(I282)-N(M282)))</f>
        <v/>
      </c>
      <c r="O282" s="37" t="n"/>
    </row>
    <row r="283">
      <c r="A283" s="44" t="n"/>
      <c r="B283" s="37" t="n"/>
      <c r="C283" s="37" t="n"/>
      <c r="D283" s="37" t="n"/>
      <c r="E283" s="37" t="n"/>
      <c r="F283" s="10">
        <f>IF(E283="","",IF(COUNTIF(lst_Jobs,E283&amp;"")&gt;0,"OK","CHECK"))</f>
        <v/>
      </c>
      <c r="G283" s="37" t="n"/>
      <c r="H283" s="37" t="n"/>
      <c r="I283" s="39" t="n"/>
      <c r="J283" s="37" t="n"/>
      <c r="K283" s="42" t="n"/>
      <c r="L283" s="44" t="n"/>
      <c r="M283" s="11">
        <f>IF(E283="","",SUMIFS(tbl_Finance[Xero Invoiced Ex GST],tbl_Finance[Job Number],E283&amp;""))</f>
        <v/>
      </c>
      <c r="N283" s="11">
        <f>IF(J283&lt;&gt;"Won","",IF(E283="",N(I283),N(I283)-N(M283)))</f>
        <v/>
      </c>
      <c r="O283" s="37" t="n"/>
    </row>
    <row r="284">
      <c r="A284" s="44" t="n"/>
      <c r="B284" s="37" t="n"/>
      <c r="C284" s="37" t="n"/>
      <c r="D284" s="37" t="n"/>
      <c r="E284" s="37" t="n"/>
      <c r="F284" s="10">
        <f>IF(E284="","",IF(COUNTIF(lst_Jobs,E284&amp;"")&gt;0,"OK","CHECK"))</f>
        <v/>
      </c>
      <c r="G284" s="37" t="n"/>
      <c r="H284" s="37" t="n"/>
      <c r="I284" s="39" t="n"/>
      <c r="J284" s="37" t="n"/>
      <c r="K284" s="42" t="n"/>
      <c r="L284" s="44" t="n"/>
      <c r="M284" s="11">
        <f>IF(E284="","",SUMIFS(tbl_Finance[Xero Invoiced Ex GST],tbl_Finance[Job Number],E284&amp;""))</f>
        <v/>
      </c>
      <c r="N284" s="11">
        <f>IF(J284&lt;&gt;"Won","",IF(E284="",N(I284),N(I284)-N(M284)))</f>
        <v/>
      </c>
      <c r="O284" s="37" t="n"/>
    </row>
    <row r="285">
      <c r="A285" s="44" t="n"/>
      <c r="B285" s="37" t="n"/>
      <c r="C285" s="37" t="n"/>
      <c r="D285" s="37" t="n"/>
      <c r="E285" s="37" t="n"/>
      <c r="F285" s="10">
        <f>IF(E285="","",IF(COUNTIF(lst_Jobs,E285&amp;"")&gt;0,"OK","CHECK"))</f>
        <v/>
      </c>
      <c r="G285" s="37" t="n"/>
      <c r="H285" s="37" t="n"/>
      <c r="I285" s="39" t="n"/>
      <c r="J285" s="37" t="n"/>
      <c r="K285" s="42" t="n"/>
      <c r="L285" s="44" t="n"/>
      <c r="M285" s="11">
        <f>IF(E285="","",SUMIFS(tbl_Finance[Xero Invoiced Ex GST],tbl_Finance[Job Number],E285&amp;""))</f>
        <v/>
      </c>
      <c r="N285" s="11">
        <f>IF(J285&lt;&gt;"Won","",IF(E285="",N(I285),N(I285)-N(M285)))</f>
        <v/>
      </c>
      <c r="O285" s="37" t="n"/>
    </row>
    <row r="286">
      <c r="A286" s="44" t="n"/>
      <c r="B286" s="37" t="n"/>
      <c r="C286" s="37" t="n"/>
      <c r="D286" s="37" t="n"/>
      <c r="E286" s="37" t="n"/>
      <c r="F286" s="10">
        <f>IF(E286="","",IF(COUNTIF(lst_Jobs,E286&amp;"")&gt;0,"OK","CHECK"))</f>
        <v/>
      </c>
      <c r="G286" s="37" t="n"/>
      <c r="H286" s="37" t="n"/>
      <c r="I286" s="39" t="n"/>
      <c r="J286" s="37" t="n"/>
      <c r="K286" s="42" t="n"/>
      <c r="L286" s="44" t="n"/>
      <c r="M286" s="11">
        <f>IF(E286="","",SUMIFS(tbl_Finance[Xero Invoiced Ex GST],tbl_Finance[Job Number],E286&amp;""))</f>
        <v/>
      </c>
      <c r="N286" s="11">
        <f>IF(J286&lt;&gt;"Won","",IF(E286="",N(I286),N(I286)-N(M286)))</f>
        <v/>
      </c>
      <c r="O286" s="37" t="n"/>
    </row>
    <row r="287">
      <c r="A287" s="44" t="n"/>
      <c r="B287" s="37" t="n"/>
      <c r="C287" s="37" t="n"/>
      <c r="D287" s="37" t="n"/>
      <c r="E287" s="37" t="n"/>
      <c r="F287" s="10">
        <f>IF(E287="","",IF(COUNTIF(lst_Jobs,E287&amp;"")&gt;0,"OK","CHECK"))</f>
        <v/>
      </c>
      <c r="G287" s="37" t="n"/>
      <c r="H287" s="37" t="n"/>
      <c r="I287" s="39" t="n"/>
      <c r="J287" s="37" t="n"/>
      <c r="K287" s="42" t="n"/>
      <c r="L287" s="44" t="n"/>
      <c r="M287" s="11">
        <f>IF(E287="","",SUMIFS(tbl_Finance[Xero Invoiced Ex GST],tbl_Finance[Job Number],E287&amp;""))</f>
        <v/>
      </c>
      <c r="N287" s="11">
        <f>IF(J287&lt;&gt;"Won","",IF(E287="",N(I287),N(I287)-N(M287)))</f>
        <v/>
      </c>
      <c r="O287" s="37" t="n"/>
    </row>
    <row r="288">
      <c r="A288" s="44" t="n"/>
      <c r="B288" s="37" t="n"/>
      <c r="C288" s="37" t="n"/>
      <c r="D288" s="37" t="n"/>
      <c r="E288" s="37" t="n"/>
      <c r="F288" s="10">
        <f>IF(E288="","",IF(COUNTIF(lst_Jobs,E288&amp;"")&gt;0,"OK","CHECK"))</f>
        <v/>
      </c>
      <c r="G288" s="37" t="n"/>
      <c r="H288" s="37" t="n"/>
      <c r="I288" s="39" t="n"/>
      <c r="J288" s="37" t="n"/>
      <c r="K288" s="42" t="n"/>
      <c r="L288" s="44" t="n"/>
      <c r="M288" s="11">
        <f>IF(E288="","",SUMIFS(tbl_Finance[Xero Invoiced Ex GST],tbl_Finance[Job Number],E288&amp;""))</f>
        <v/>
      </c>
      <c r="N288" s="11">
        <f>IF(J288&lt;&gt;"Won","",IF(E288="",N(I288),N(I288)-N(M288)))</f>
        <v/>
      </c>
      <c r="O288" s="37" t="n"/>
    </row>
    <row r="289">
      <c r="A289" s="44" t="n"/>
      <c r="B289" s="37" t="n"/>
      <c r="C289" s="37" t="n"/>
      <c r="D289" s="37" t="n"/>
      <c r="E289" s="37" t="n"/>
      <c r="F289" s="10">
        <f>IF(E289="","",IF(COUNTIF(lst_Jobs,E289&amp;"")&gt;0,"OK","CHECK"))</f>
        <v/>
      </c>
      <c r="G289" s="37" t="n"/>
      <c r="H289" s="37" t="n"/>
      <c r="I289" s="39" t="n"/>
      <c r="J289" s="37" t="n"/>
      <c r="K289" s="42" t="n"/>
      <c r="L289" s="44" t="n"/>
      <c r="M289" s="11">
        <f>IF(E289="","",SUMIFS(tbl_Finance[Xero Invoiced Ex GST],tbl_Finance[Job Number],E289&amp;""))</f>
        <v/>
      </c>
      <c r="N289" s="11">
        <f>IF(J289&lt;&gt;"Won","",IF(E289="",N(I289),N(I289)-N(M289)))</f>
        <v/>
      </c>
      <c r="O289" s="37" t="n"/>
    </row>
    <row r="290">
      <c r="A290" s="44" t="n"/>
      <c r="B290" s="37" t="n"/>
      <c r="C290" s="37" t="n"/>
      <c r="D290" s="37" t="n"/>
      <c r="E290" s="37" t="n"/>
      <c r="F290" s="10">
        <f>IF(E290="","",IF(COUNTIF(lst_Jobs,E290&amp;"")&gt;0,"OK","CHECK"))</f>
        <v/>
      </c>
      <c r="G290" s="37" t="n"/>
      <c r="H290" s="37" t="n"/>
      <c r="I290" s="39" t="n"/>
      <c r="J290" s="37" t="n"/>
      <c r="K290" s="42" t="n"/>
      <c r="L290" s="44" t="n"/>
      <c r="M290" s="11">
        <f>IF(E290="","",SUMIFS(tbl_Finance[Xero Invoiced Ex GST],tbl_Finance[Job Number],E290&amp;""))</f>
        <v/>
      </c>
      <c r="N290" s="11">
        <f>IF(J290&lt;&gt;"Won","",IF(E290="",N(I290),N(I290)-N(M290)))</f>
        <v/>
      </c>
      <c r="O290" s="37" t="n"/>
    </row>
    <row r="291">
      <c r="A291" s="44" t="n"/>
      <c r="B291" s="37" t="n"/>
      <c r="C291" s="37" t="n"/>
      <c r="D291" s="37" t="n"/>
      <c r="E291" s="37" t="n"/>
      <c r="F291" s="10">
        <f>IF(E291="","",IF(COUNTIF(lst_Jobs,E291&amp;"")&gt;0,"OK","CHECK"))</f>
        <v/>
      </c>
      <c r="G291" s="37" t="n"/>
      <c r="H291" s="37" t="n"/>
      <c r="I291" s="39" t="n"/>
      <c r="J291" s="37" t="n"/>
      <c r="K291" s="42" t="n"/>
      <c r="L291" s="44" t="n"/>
      <c r="M291" s="11">
        <f>IF(E291="","",SUMIFS(tbl_Finance[Xero Invoiced Ex GST],tbl_Finance[Job Number],E291&amp;""))</f>
        <v/>
      </c>
      <c r="N291" s="11">
        <f>IF(J291&lt;&gt;"Won","",IF(E291="",N(I291),N(I291)-N(M291)))</f>
        <v/>
      </c>
      <c r="O291" s="37" t="n"/>
    </row>
    <row r="292">
      <c r="A292" s="44" t="n"/>
      <c r="B292" s="37" t="n"/>
      <c r="C292" s="37" t="n"/>
      <c r="D292" s="37" t="n"/>
      <c r="E292" s="37" t="n"/>
      <c r="F292" s="10">
        <f>IF(E292="","",IF(COUNTIF(lst_Jobs,E292&amp;"")&gt;0,"OK","CHECK"))</f>
        <v/>
      </c>
      <c r="G292" s="37" t="n"/>
      <c r="H292" s="37" t="n"/>
      <c r="I292" s="39" t="n"/>
      <c r="J292" s="37" t="n"/>
      <c r="K292" s="42" t="n"/>
      <c r="L292" s="44" t="n"/>
      <c r="M292" s="11">
        <f>IF(E292="","",SUMIFS(tbl_Finance[Xero Invoiced Ex GST],tbl_Finance[Job Number],E292&amp;""))</f>
        <v/>
      </c>
      <c r="N292" s="11">
        <f>IF(J292&lt;&gt;"Won","",IF(E292="",N(I292),N(I292)-N(M292)))</f>
        <v/>
      </c>
      <c r="O292" s="37" t="n"/>
    </row>
    <row r="293">
      <c r="A293" s="44" t="n"/>
      <c r="B293" s="37" t="n"/>
      <c r="C293" s="37" t="n"/>
      <c r="D293" s="37" t="n"/>
      <c r="E293" s="37" t="n"/>
      <c r="F293" s="10">
        <f>IF(E293="","",IF(COUNTIF(lst_Jobs,E293&amp;"")&gt;0,"OK","CHECK"))</f>
        <v/>
      </c>
      <c r="G293" s="37" t="n"/>
      <c r="H293" s="37" t="n"/>
      <c r="I293" s="39" t="n"/>
      <c r="J293" s="37" t="n"/>
      <c r="K293" s="42" t="n"/>
      <c r="L293" s="44" t="n"/>
      <c r="M293" s="11">
        <f>IF(E293="","",SUMIFS(tbl_Finance[Xero Invoiced Ex GST],tbl_Finance[Job Number],E293&amp;""))</f>
        <v/>
      </c>
      <c r="N293" s="11">
        <f>IF(J293&lt;&gt;"Won","",IF(E293="",N(I293),N(I293)-N(M293)))</f>
        <v/>
      </c>
      <c r="O293" s="37" t="n"/>
    </row>
    <row r="294">
      <c r="A294" s="44" t="n"/>
      <c r="B294" s="37" t="n"/>
      <c r="C294" s="37" t="n"/>
      <c r="D294" s="37" t="n"/>
      <c r="E294" s="37" t="n"/>
      <c r="F294" s="10">
        <f>IF(E294="","",IF(COUNTIF(lst_Jobs,E294&amp;"")&gt;0,"OK","CHECK"))</f>
        <v/>
      </c>
      <c r="G294" s="37" t="n"/>
      <c r="H294" s="37" t="n"/>
      <c r="I294" s="39" t="n"/>
      <c r="J294" s="37" t="n"/>
      <c r="K294" s="42" t="n"/>
      <c r="L294" s="44" t="n"/>
      <c r="M294" s="11">
        <f>IF(E294="","",SUMIFS(tbl_Finance[Xero Invoiced Ex GST],tbl_Finance[Job Number],E294&amp;""))</f>
        <v/>
      </c>
      <c r="N294" s="11">
        <f>IF(J294&lt;&gt;"Won","",IF(E294="",N(I294),N(I294)-N(M294)))</f>
        <v/>
      </c>
      <c r="O294" s="37" t="n"/>
    </row>
    <row r="295">
      <c r="A295" s="44" t="n"/>
      <c r="B295" s="37" t="n"/>
      <c r="C295" s="37" t="n"/>
      <c r="D295" s="37" t="n"/>
      <c r="E295" s="37" t="n"/>
      <c r="F295" s="10">
        <f>IF(E295="","",IF(COUNTIF(lst_Jobs,E295&amp;"")&gt;0,"OK","CHECK"))</f>
        <v/>
      </c>
      <c r="G295" s="37" t="n"/>
      <c r="H295" s="37" t="n"/>
      <c r="I295" s="39" t="n"/>
      <c r="J295" s="37" t="n"/>
      <c r="K295" s="42" t="n"/>
      <c r="L295" s="44" t="n"/>
      <c r="M295" s="11">
        <f>IF(E295="","",SUMIFS(tbl_Finance[Xero Invoiced Ex GST],tbl_Finance[Job Number],E295&amp;""))</f>
        <v/>
      </c>
      <c r="N295" s="11">
        <f>IF(J295&lt;&gt;"Won","",IF(E295="",N(I295),N(I295)-N(M295)))</f>
        <v/>
      </c>
      <c r="O295" s="37" t="n"/>
    </row>
    <row r="296">
      <c r="A296" s="44" t="n"/>
      <c r="B296" s="37" t="n"/>
      <c r="C296" s="37" t="n"/>
      <c r="D296" s="37" t="n"/>
      <c r="E296" s="37" t="n"/>
      <c r="F296" s="10">
        <f>IF(E296="","",IF(COUNTIF(lst_Jobs,E296&amp;"")&gt;0,"OK","CHECK"))</f>
        <v/>
      </c>
      <c r="G296" s="37" t="n"/>
      <c r="H296" s="37" t="n"/>
      <c r="I296" s="39" t="n"/>
      <c r="J296" s="37" t="n"/>
      <c r="K296" s="42" t="n"/>
      <c r="L296" s="44" t="n"/>
      <c r="M296" s="11">
        <f>IF(E296="","",SUMIFS(tbl_Finance[Xero Invoiced Ex GST],tbl_Finance[Job Number],E296&amp;""))</f>
        <v/>
      </c>
      <c r="N296" s="11">
        <f>IF(J296&lt;&gt;"Won","",IF(E296="",N(I296),N(I296)-N(M296)))</f>
        <v/>
      </c>
      <c r="O296" s="37" t="n"/>
    </row>
    <row r="297">
      <c r="A297" s="44" t="n"/>
      <c r="B297" s="37" t="n"/>
      <c r="C297" s="37" t="n"/>
      <c r="D297" s="37" t="n"/>
      <c r="E297" s="37" t="n"/>
      <c r="F297" s="10">
        <f>IF(E297="","",IF(COUNTIF(lst_Jobs,E297&amp;"")&gt;0,"OK","CHECK"))</f>
        <v/>
      </c>
      <c r="G297" s="37" t="n"/>
      <c r="H297" s="37" t="n"/>
      <c r="I297" s="39" t="n"/>
      <c r="J297" s="37" t="n"/>
      <c r="K297" s="42" t="n"/>
      <c r="L297" s="44" t="n"/>
      <c r="M297" s="11">
        <f>IF(E297="","",SUMIFS(tbl_Finance[Xero Invoiced Ex GST],tbl_Finance[Job Number],E297&amp;""))</f>
        <v/>
      </c>
      <c r="N297" s="11">
        <f>IF(J297&lt;&gt;"Won","",IF(E297="",N(I297),N(I297)-N(M297)))</f>
        <v/>
      </c>
      <c r="O297" s="37" t="n"/>
    </row>
    <row r="298">
      <c r="A298" s="44" t="n"/>
      <c r="B298" s="37" t="n"/>
      <c r="C298" s="37" t="n"/>
      <c r="D298" s="37" t="n"/>
      <c r="E298" s="37" t="n"/>
      <c r="F298" s="10">
        <f>IF(E298="","",IF(COUNTIF(lst_Jobs,E298&amp;"")&gt;0,"OK","CHECK"))</f>
        <v/>
      </c>
      <c r="G298" s="37" t="n"/>
      <c r="H298" s="37" t="n"/>
      <c r="I298" s="39" t="n"/>
      <c r="J298" s="37" t="n"/>
      <c r="K298" s="42" t="n"/>
      <c r="L298" s="44" t="n"/>
      <c r="M298" s="11">
        <f>IF(E298="","",SUMIFS(tbl_Finance[Xero Invoiced Ex GST],tbl_Finance[Job Number],E298&amp;""))</f>
        <v/>
      </c>
      <c r="N298" s="11">
        <f>IF(J298&lt;&gt;"Won","",IF(E298="",N(I298),N(I298)-N(M298)))</f>
        <v/>
      </c>
      <c r="O298" s="37" t="n"/>
    </row>
    <row r="299">
      <c r="A299" s="44" t="n"/>
      <c r="B299" s="37" t="n"/>
      <c r="C299" s="37" t="n"/>
      <c r="D299" s="37" t="n"/>
      <c r="E299" s="37" t="n"/>
      <c r="F299" s="10">
        <f>IF(E299="","",IF(COUNTIF(lst_Jobs,E299&amp;"")&gt;0,"OK","CHECK"))</f>
        <v/>
      </c>
      <c r="G299" s="37" t="n"/>
      <c r="H299" s="37" t="n"/>
      <c r="I299" s="39" t="n"/>
      <c r="J299" s="37" t="n"/>
      <c r="K299" s="42" t="n"/>
      <c r="L299" s="44" t="n"/>
      <c r="M299" s="11">
        <f>IF(E299="","",SUMIFS(tbl_Finance[Xero Invoiced Ex GST],tbl_Finance[Job Number],E299&amp;""))</f>
        <v/>
      </c>
      <c r="N299" s="11">
        <f>IF(J299&lt;&gt;"Won","",IF(E299="",N(I299),N(I299)-N(M299)))</f>
        <v/>
      </c>
      <c r="O299" s="37" t="n"/>
    </row>
    <row r="300">
      <c r="A300" s="44" t="n"/>
      <c r="B300" s="37" t="n"/>
      <c r="C300" s="37" t="n"/>
      <c r="D300" s="37" t="n"/>
      <c r="E300" s="37" t="n"/>
      <c r="F300" s="10">
        <f>IF(E300="","",IF(COUNTIF(lst_Jobs,E300&amp;"")&gt;0,"OK","CHECK"))</f>
        <v/>
      </c>
      <c r="G300" s="37" t="n"/>
      <c r="H300" s="37" t="n"/>
      <c r="I300" s="39" t="n"/>
      <c r="J300" s="37" t="n"/>
      <c r="K300" s="42" t="n"/>
      <c r="L300" s="44" t="n"/>
      <c r="M300" s="11">
        <f>IF(E300="","",SUMIFS(tbl_Finance[Xero Invoiced Ex GST],tbl_Finance[Job Number],E300&amp;""))</f>
        <v/>
      </c>
      <c r="N300" s="11">
        <f>IF(J300&lt;&gt;"Won","",IF(E300="",N(I300),N(I300)-N(M300)))</f>
        <v/>
      </c>
      <c r="O300" s="37" t="n"/>
    </row>
    <row r="301">
      <c r="A301" s="44" t="n"/>
      <c r="B301" s="37" t="n"/>
      <c r="C301" s="37" t="n"/>
      <c r="D301" s="37" t="n"/>
      <c r="E301" s="37" t="n"/>
      <c r="F301" s="10">
        <f>IF(E301="","",IF(COUNTIF(lst_Jobs,E301&amp;"")&gt;0,"OK","CHECK"))</f>
        <v/>
      </c>
      <c r="G301" s="37" t="n"/>
      <c r="H301" s="37" t="n"/>
      <c r="I301" s="39" t="n"/>
      <c r="J301" s="37" t="n"/>
      <c r="K301" s="42" t="n"/>
      <c r="L301" s="44" t="n"/>
      <c r="M301" s="11">
        <f>IF(E301="","",SUMIFS(tbl_Finance[Xero Invoiced Ex GST],tbl_Finance[Job Number],E301&amp;""))</f>
        <v/>
      </c>
      <c r="N301" s="11">
        <f>IF(J301&lt;&gt;"Won","",IF(E301="",N(I301),N(I301)-N(M301)))</f>
        <v/>
      </c>
      <c r="O301" s="37" t="n"/>
    </row>
    <row r="302">
      <c r="A302" s="44" t="n"/>
      <c r="B302" s="37" t="n"/>
      <c r="C302" s="37" t="n"/>
      <c r="D302" s="37" t="n"/>
      <c r="E302" s="37" t="n"/>
      <c r="F302" s="10">
        <f>IF(E302="","",IF(COUNTIF(lst_Jobs,E302&amp;"")&gt;0,"OK","CHECK"))</f>
        <v/>
      </c>
      <c r="G302" s="37" t="n"/>
      <c r="H302" s="37" t="n"/>
      <c r="I302" s="39" t="n"/>
      <c r="J302" s="37" t="n"/>
      <c r="K302" s="42" t="n"/>
      <c r="L302" s="44" t="n"/>
      <c r="M302" s="11">
        <f>IF(E302="","",SUMIFS(tbl_Finance[Xero Invoiced Ex GST],tbl_Finance[Job Number],E302&amp;""))</f>
        <v/>
      </c>
      <c r="N302" s="11">
        <f>IF(J302&lt;&gt;"Won","",IF(E302="",N(I302),N(I302)-N(M302)))</f>
        <v/>
      </c>
      <c r="O302" s="37" t="n"/>
    </row>
    <row r="303">
      <c r="A303" s="44" t="n"/>
      <c r="B303" s="37" t="n"/>
      <c r="C303" s="37" t="n"/>
      <c r="D303" s="37" t="n"/>
      <c r="E303" s="37" t="n"/>
      <c r="F303" s="10">
        <f>IF(E303="","",IF(COUNTIF(lst_Jobs,E303&amp;"")&gt;0,"OK","CHECK"))</f>
        <v/>
      </c>
      <c r="G303" s="37" t="n"/>
      <c r="H303" s="37" t="n"/>
      <c r="I303" s="39" t="n"/>
      <c r="J303" s="37" t="n"/>
      <c r="K303" s="42" t="n"/>
      <c r="L303" s="44" t="n"/>
      <c r="M303" s="11">
        <f>IF(E303="","",SUMIFS(tbl_Finance[Xero Invoiced Ex GST],tbl_Finance[Job Number],E303&amp;""))</f>
        <v/>
      </c>
      <c r="N303" s="11">
        <f>IF(J303&lt;&gt;"Won","",IF(E303="",N(I303),N(I303)-N(M303)))</f>
        <v/>
      </c>
      <c r="O303" s="37" t="n"/>
    </row>
    <row r="304">
      <c r="A304" s="44" t="n"/>
      <c r="B304" s="37" t="n"/>
      <c r="C304" s="37" t="n"/>
      <c r="D304" s="37" t="n"/>
      <c r="E304" s="37" t="n"/>
      <c r="F304" s="10">
        <f>IF(E304="","",IF(COUNTIF(lst_Jobs,E304&amp;"")&gt;0,"OK","CHECK"))</f>
        <v/>
      </c>
      <c r="G304" s="37" t="n"/>
      <c r="H304" s="37" t="n"/>
      <c r="I304" s="39" t="n"/>
      <c r="J304" s="37" t="n"/>
      <c r="K304" s="42" t="n"/>
      <c r="L304" s="44" t="n"/>
      <c r="M304" s="11">
        <f>IF(E304="","",SUMIFS(tbl_Finance[Xero Invoiced Ex GST],tbl_Finance[Job Number],E304&amp;""))</f>
        <v/>
      </c>
      <c r="N304" s="11">
        <f>IF(J304&lt;&gt;"Won","",IF(E304="",N(I304),N(I304)-N(M304)))</f>
        <v/>
      </c>
      <c r="O304" s="37" t="n"/>
    </row>
    <row r="305">
      <c r="A305" s="44" t="n"/>
      <c r="B305" s="37" t="n"/>
      <c r="C305" s="37" t="n"/>
      <c r="D305" s="37" t="n"/>
      <c r="E305" s="37" t="n"/>
      <c r="F305" s="10">
        <f>IF(E305="","",IF(COUNTIF(lst_Jobs,E305&amp;"")&gt;0,"OK","CHECK"))</f>
        <v/>
      </c>
      <c r="G305" s="37" t="n"/>
      <c r="H305" s="37" t="n"/>
      <c r="I305" s="39" t="n"/>
      <c r="J305" s="37" t="n"/>
      <c r="K305" s="42" t="n"/>
      <c r="L305" s="44" t="n"/>
      <c r="M305" s="11">
        <f>IF(E305="","",SUMIFS(tbl_Finance[Xero Invoiced Ex GST],tbl_Finance[Job Number],E305&amp;""))</f>
        <v/>
      </c>
      <c r="N305" s="11">
        <f>IF(J305&lt;&gt;"Won","",IF(E305="",N(I305),N(I305)-N(M305)))</f>
        <v/>
      </c>
      <c r="O305" s="37" t="n"/>
    </row>
    <row r="306">
      <c r="A306" s="44" t="n"/>
      <c r="B306" s="37" t="n"/>
      <c r="C306" s="37" t="n"/>
      <c r="D306" s="37" t="n"/>
      <c r="E306" s="37" t="n"/>
      <c r="F306" s="10">
        <f>IF(E306="","",IF(COUNTIF(lst_Jobs,E306&amp;"")&gt;0,"OK","CHECK"))</f>
        <v/>
      </c>
      <c r="G306" s="37" t="n"/>
      <c r="H306" s="37" t="n"/>
      <c r="I306" s="39" t="n"/>
      <c r="J306" s="37" t="n"/>
      <c r="K306" s="42" t="n"/>
      <c r="L306" s="44" t="n"/>
      <c r="M306" s="11">
        <f>IF(E306="","",SUMIFS(tbl_Finance[Xero Invoiced Ex GST],tbl_Finance[Job Number],E306&amp;""))</f>
        <v/>
      </c>
      <c r="N306" s="11">
        <f>IF(J306&lt;&gt;"Won","",IF(E306="",N(I306),N(I306)-N(M306)))</f>
        <v/>
      </c>
      <c r="O306" s="37" t="n"/>
    </row>
    <row r="307">
      <c r="A307" s="44" t="n"/>
      <c r="B307" s="37" t="n"/>
      <c r="C307" s="37" t="n"/>
      <c r="D307" s="37" t="n"/>
      <c r="E307" s="37" t="n"/>
      <c r="F307" s="10">
        <f>IF(E307="","",IF(COUNTIF(lst_Jobs,E307&amp;"")&gt;0,"OK","CHECK"))</f>
        <v/>
      </c>
      <c r="G307" s="37" t="n"/>
      <c r="H307" s="37" t="n"/>
      <c r="I307" s="39" t="n"/>
      <c r="J307" s="37" t="n"/>
      <c r="K307" s="42" t="n"/>
      <c r="L307" s="44" t="n"/>
      <c r="M307" s="11">
        <f>IF(E307="","",SUMIFS(tbl_Finance[Xero Invoiced Ex GST],tbl_Finance[Job Number],E307&amp;""))</f>
        <v/>
      </c>
      <c r="N307" s="11">
        <f>IF(J307&lt;&gt;"Won","",IF(E307="",N(I307),N(I307)-N(M307)))</f>
        <v/>
      </c>
      <c r="O307" s="37" t="n"/>
    </row>
    <row r="308">
      <c r="A308" s="44" t="n"/>
      <c r="B308" s="37" t="n"/>
      <c r="C308" s="37" t="n"/>
      <c r="D308" s="37" t="n"/>
      <c r="E308" s="37" t="n"/>
      <c r="F308" s="10">
        <f>IF(E308="","",IF(COUNTIF(lst_Jobs,E308&amp;"")&gt;0,"OK","CHECK"))</f>
        <v/>
      </c>
      <c r="G308" s="37" t="n"/>
      <c r="H308" s="37" t="n"/>
      <c r="I308" s="39" t="n"/>
      <c r="J308" s="37" t="n"/>
      <c r="K308" s="42" t="n"/>
      <c r="L308" s="44" t="n"/>
      <c r="M308" s="11">
        <f>IF(E308="","",SUMIFS(tbl_Finance[Xero Invoiced Ex GST],tbl_Finance[Job Number],E308&amp;""))</f>
        <v/>
      </c>
      <c r="N308" s="11">
        <f>IF(J308&lt;&gt;"Won","",IF(E308="",N(I308),N(I308)-N(M308)))</f>
        <v/>
      </c>
      <c r="O308" s="37" t="n"/>
    </row>
    <row r="309">
      <c r="A309" s="44" t="n"/>
      <c r="B309" s="37" t="n"/>
      <c r="C309" s="37" t="n"/>
      <c r="D309" s="37" t="n"/>
      <c r="E309" s="37" t="n"/>
      <c r="F309" s="10">
        <f>IF(E309="","",IF(COUNTIF(lst_Jobs,E309&amp;"")&gt;0,"OK","CHECK"))</f>
        <v/>
      </c>
      <c r="G309" s="37" t="n"/>
      <c r="H309" s="37" t="n"/>
      <c r="I309" s="39" t="n"/>
      <c r="J309" s="37" t="n"/>
      <c r="K309" s="42" t="n"/>
      <c r="L309" s="44" t="n"/>
      <c r="M309" s="11">
        <f>IF(E309="","",SUMIFS(tbl_Finance[Xero Invoiced Ex GST],tbl_Finance[Job Number],E309&amp;""))</f>
        <v/>
      </c>
      <c r="N309" s="11">
        <f>IF(J309&lt;&gt;"Won","",IF(E309="",N(I309),N(I309)-N(M309)))</f>
        <v/>
      </c>
      <c r="O309" s="37" t="n"/>
    </row>
    <row r="310">
      <c r="A310" s="44" t="n"/>
      <c r="B310" s="37" t="n"/>
      <c r="C310" s="37" t="n"/>
      <c r="D310" s="37" t="n"/>
      <c r="E310" s="37" t="n"/>
      <c r="F310" s="10">
        <f>IF(E310="","",IF(COUNTIF(lst_Jobs,E310&amp;"")&gt;0,"OK","CHECK"))</f>
        <v/>
      </c>
      <c r="G310" s="37" t="n"/>
      <c r="H310" s="37" t="n"/>
      <c r="I310" s="39" t="n"/>
      <c r="J310" s="37" t="n"/>
      <c r="K310" s="42" t="n"/>
      <c r="L310" s="44" t="n"/>
      <c r="M310" s="11">
        <f>IF(E310="","",SUMIFS(tbl_Finance[Xero Invoiced Ex GST],tbl_Finance[Job Number],E310&amp;""))</f>
        <v/>
      </c>
      <c r="N310" s="11">
        <f>IF(J310&lt;&gt;"Won","",IF(E310="",N(I310),N(I310)-N(M310)))</f>
        <v/>
      </c>
      <c r="O310" s="37" t="n"/>
    </row>
    <row r="311">
      <c r="A311" s="44" t="n"/>
      <c r="B311" s="37" t="n"/>
      <c r="C311" s="37" t="n"/>
      <c r="D311" s="37" t="n"/>
      <c r="E311" s="37" t="n"/>
      <c r="F311" s="10">
        <f>IF(E311="","",IF(COUNTIF(lst_Jobs,E311&amp;"")&gt;0,"OK","CHECK"))</f>
        <v/>
      </c>
      <c r="G311" s="37" t="n"/>
      <c r="H311" s="37" t="n"/>
      <c r="I311" s="39" t="n"/>
      <c r="J311" s="37" t="n"/>
      <c r="K311" s="42" t="n"/>
      <c r="L311" s="44" t="n"/>
      <c r="M311" s="11">
        <f>IF(E311="","",SUMIFS(tbl_Finance[Xero Invoiced Ex GST],tbl_Finance[Job Number],E311&amp;""))</f>
        <v/>
      </c>
      <c r="N311" s="11">
        <f>IF(J311&lt;&gt;"Won","",IF(E311="",N(I311),N(I311)-N(M311)))</f>
        <v/>
      </c>
      <c r="O311" s="37" t="n"/>
    </row>
    <row r="312">
      <c r="A312" s="44" t="n"/>
      <c r="B312" s="37" t="n"/>
      <c r="C312" s="37" t="n"/>
      <c r="D312" s="37" t="n"/>
      <c r="E312" s="37" t="n"/>
      <c r="F312" s="10">
        <f>IF(E312="","",IF(COUNTIF(lst_Jobs,E312&amp;"")&gt;0,"OK","CHECK"))</f>
        <v/>
      </c>
      <c r="G312" s="37" t="n"/>
      <c r="H312" s="37" t="n"/>
      <c r="I312" s="39" t="n"/>
      <c r="J312" s="37" t="n"/>
      <c r="K312" s="42" t="n"/>
      <c r="L312" s="44" t="n"/>
      <c r="M312" s="11">
        <f>IF(E312="","",SUMIFS(tbl_Finance[Xero Invoiced Ex GST],tbl_Finance[Job Number],E312&amp;""))</f>
        <v/>
      </c>
      <c r="N312" s="11">
        <f>IF(J312&lt;&gt;"Won","",IF(E312="",N(I312),N(I312)-N(M312)))</f>
        <v/>
      </c>
      <c r="O312" s="37" t="n"/>
    </row>
    <row r="313">
      <c r="A313" s="44" t="n"/>
      <c r="B313" s="37" t="n"/>
      <c r="C313" s="37" t="n"/>
      <c r="D313" s="37" t="n"/>
      <c r="E313" s="37" t="n"/>
      <c r="F313" s="10">
        <f>IF(E313="","",IF(COUNTIF(lst_Jobs,E313&amp;"")&gt;0,"OK","CHECK"))</f>
        <v/>
      </c>
      <c r="G313" s="37" t="n"/>
      <c r="H313" s="37" t="n"/>
      <c r="I313" s="39" t="n"/>
      <c r="J313" s="37" t="n"/>
      <c r="K313" s="42" t="n"/>
      <c r="L313" s="44" t="n"/>
      <c r="M313" s="11">
        <f>IF(E313="","",SUMIFS(tbl_Finance[Xero Invoiced Ex GST],tbl_Finance[Job Number],E313&amp;""))</f>
        <v/>
      </c>
      <c r="N313" s="11">
        <f>IF(J313&lt;&gt;"Won","",IF(E313="",N(I313),N(I313)-N(M313)))</f>
        <v/>
      </c>
      <c r="O313" s="37" t="n"/>
    </row>
    <row r="314">
      <c r="A314" s="44" t="n"/>
      <c r="B314" s="37" t="n"/>
      <c r="C314" s="37" t="n"/>
      <c r="D314" s="37" t="n"/>
      <c r="E314" s="37" t="n"/>
      <c r="F314" s="10">
        <f>IF(E314="","",IF(COUNTIF(lst_Jobs,E314&amp;"")&gt;0,"OK","CHECK"))</f>
        <v/>
      </c>
      <c r="G314" s="37" t="n"/>
      <c r="H314" s="37" t="n"/>
      <c r="I314" s="39" t="n"/>
      <c r="J314" s="37" t="n"/>
      <c r="K314" s="42" t="n"/>
      <c r="L314" s="44" t="n"/>
      <c r="M314" s="11">
        <f>IF(E314="","",SUMIFS(tbl_Finance[Xero Invoiced Ex GST],tbl_Finance[Job Number],E314&amp;""))</f>
        <v/>
      </c>
      <c r="N314" s="11">
        <f>IF(J314&lt;&gt;"Won","",IF(E314="",N(I314),N(I314)-N(M314)))</f>
        <v/>
      </c>
      <c r="O314" s="37" t="n"/>
    </row>
    <row r="315">
      <c r="A315" s="44" t="n"/>
      <c r="B315" s="37" t="n"/>
      <c r="C315" s="37" t="n"/>
      <c r="D315" s="37" t="n"/>
      <c r="E315" s="37" t="n"/>
      <c r="F315" s="10">
        <f>IF(E315="","",IF(COUNTIF(lst_Jobs,E315&amp;"")&gt;0,"OK","CHECK"))</f>
        <v/>
      </c>
      <c r="G315" s="37" t="n"/>
      <c r="H315" s="37" t="n"/>
      <c r="I315" s="39" t="n"/>
      <c r="J315" s="37" t="n"/>
      <c r="K315" s="42" t="n"/>
      <c r="L315" s="44" t="n"/>
      <c r="M315" s="11">
        <f>IF(E315="","",SUMIFS(tbl_Finance[Xero Invoiced Ex GST],tbl_Finance[Job Number],E315&amp;""))</f>
        <v/>
      </c>
      <c r="N315" s="11">
        <f>IF(J315&lt;&gt;"Won","",IF(E315="",N(I315),N(I315)-N(M315)))</f>
        <v/>
      </c>
      <c r="O315" s="37" t="n"/>
    </row>
    <row r="316">
      <c r="A316" s="44" t="n"/>
      <c r="B316" s="37" t="n"/>
      <c r="C316" s="37" t="n"/>
      <c r="D316" s="37" t="n"/>
      <c r="E316" s="37" t="n"/>
      <c r="F316" s="10">
        <f>IF(E316="","",IF(COUNTIF(lst_Jobs,E316&amp;"")&gt;0,"OK","CHECK"))</f>
        <v/>
      </c>
      <c r="G316" s="37" t="n"/>
      <c r="H316" s="37" t="n"/>
      <c r="I316" s="39" t="n"/>
      <c r="J316" s="37" t="n"/>
      <c r="K316" s="42" t="n"/>
      <c r="L316" s="44" t="n"/>
      <c r="M316" s="11">
        <f>IF(E316="","",SUMIFS(tbl_Finance[Xero Invoiced Ex GST],tbl_Finance[Job Number],E316&amp;""))</f>
        <v/>
      </c>
      <c r="N316" s="11">
        <f>IF(J316&lt;&gt;"Won","",IF(E316="",N(I316),N(I316)-N(M316)))</f>
        <v/>
      </c>
      <c r="O316" s="37" t="n"/>
    </row>
    <row r="317">
      <c r="A317" s="44" t="n"/>
      <c r="B317" s="37" t="n"/>
      <c r="C317" s="37" t="n"/>
      <c r="D317" s="37" t="n"/>
      <c r="E317" s="37" t="n"/>
      <c r="F317" s="10">
        <f>IF(E317="","",IF(COUNTIF(lst_Jobs,E317&amp;"")&gt;0,"OK","CHECK"))</f>
        <v/>
      </c>
      <c r="G317" s="37" t="n"/>
      <c r="H317" s="37" t="n"/>
      <c r="I317" s="39" t="n"/>
      <c r="J317" s="37" t="n"/>
      <c r="K317" s="42" t="n"/>
      <c r="L317" s="44" t="n"/>
      <c r="M317" s="11">
        <f>IF(E317="","",SUMIFS(tbl_Finance[Xero Invoiced Ex GST],tbl_Finance[Job Number],E317&amp;""))</f>
        <v/>
      </c>
      <c r="N317" s="11">
        <f>IF(J317&lt;&gt;"Won","",IF(E317="",N(I317),N(I317)-N(M317)))</f>
        <v/>
      </c>
      <c r="O317" s="37" t="n"/>
    </row>
    <row r="318">
      <c r="A318" s="44" t="n"/>
      <c r="B318" s="37" t="n"/>
      <c r="C318" s="37" t="n"/>
      <c r="D318" s="37" t="n"/>
      <c r="E318" s="37" t="n"/>
      <c r="F318" s="10">
        <f>IF(E318="","",IF(COUNTIF(lst_Jobs,E318&amp;"")&gt;0,"OK","CHECK"))</f>
        <v/>
      </c>
      <c r="G318" s="37" t="n"/>
      <c r="H318" s="37" t="n"/>
      <c r="I318" s="39" t="n"/>
      <c r="J318" s="37" t="n"/>
      <c r="K318" s="42" t="n"/>
      <c r="L318" s="44" t="n"/>
      <c r="M318" s="11">
        <f>IF(E318="","",SUMIFS(tbl_Finance[Xero Invoiced Ex GST],tbl_Finance[Job Number],E318&amp;""))</f>
        <v/>
      </c>
      <c r="N318" s="11">
        <f>IF(J318&lt;&gt;"Won","",IF(E318="",N(I318),N(I318)-N(M318)))</f>
        <v/>
      </c>
      <c r="O318" s="37" t="n"/>
    </row>
    <row r="319">
      <c r="A319" s="44" t="n"/>
      <c r="B319" s="37" t="n"/>
      <c r="C319" s="37" t="n"/>
      <c r="D319" s="37" t="n"/>
      <c r="E319" s="37" t="n"/>
      <c r="F319" s="10">
        <f>IF(E319="","",IF(COUNTIF(lst_Jobs,E319&amp;"")&gt;0,"OK","CHECK"))</f>
        <v/>
      </c>
      <c r="G319" s="37" t="n"/>
      <c r="H319" s="37" t="n"/>
      <c r="I319" s="39" t="n"/>
      <c r="J319" s="37" t="n"/>
      <c r="K319" s="42" t="n"/>
      <c r="L319" s="44" t="n"/>
      <c r="M319" s="11">
        <f>IF(E319="","",SUMIFS(tbl_Finance[Xero Invoiced Ex GST],tbl_Finance[Job Number],E319&amp;""))</f>
        <v/>
      </c>
      <c r="N319" s="11">
        <f>IF(J319&lt;&gt;"Won","",IF(E319="",N(I319),N(I319)-N(M319)))</f>
        <v/>
      </c>
      <c r="O319" s="37" t="n"/>
    </row>
    <row r="320">
      <c r="A320" s="44" t="n"/>
      <c r="B320" s="37" t="n"/>
      <c r="C320" s="37" t="n"/>
      <c r="D320" s="37" t="n"/>
      <c r="E320" s="37" t="n"/>
      <c r="F320" s="10">
        <f>IF(E320="","",IF(COUNTIF(lst_Jobs,E320&amp;"")&gt;0,"OK","CHECK"))</f>
        <v/>
      </c>
      <c r="G320" s="37" t="n"/>
      <c r="H320" s="37" t="n"/>
      <c r="I320" s="39" t="n"/>
      <c r="J320" s="37" t="n"/>
      <c r="K320" s="42" t="n"/>
      <c r="L320" s="44" t="n"/>
      <c r="M320" s="11">
        <f>IF(E320="","",SUMIFS(tbl_Finance[Xero Invoiced Ex GST],tbl_Finance[Job Number],E320&amp;""))</f>
        <v/>
      </c>
      <c r="N320" s="11">
        <f>IF(J320&lt;&gt;"Won","",IF(E320="",N(I320),N(I320)-N(M320)))</f>
        <v/>
      </c>
      <c r="O320" s="37" t="n"/>
    </row>
    <row r="321">
      <c r="A321" s="44" t="n"/>
      <c r="B321" s="37" t="n"/>
      <c r="C321" s="37" t="n"/>
      <c r="D321" s="37" t="n"/>
      <c r="E321" s="37" t="n"/>
      <c r="F321" s="10">
        <f>IF(E321="","",IF(COUNTIF(lst_Jobs,E321&amp;"")&gt;0,"OK","CHECK"))</f>
        <v/>
      </c>
      <c r="G321" s="37" t="n"/>
      <c r="H321" s="37" t="n"/>
      <c r="I321" s="39" t="n"/>
      <c r="J321" s="37" t="n"/>
      <c r="K321" s="42" t="n"/>
      <c r="L321" s="44" t="n"/>
      <c r="M321" s="11">
        <f>IF(E321="","",SUMIFS(tbl_Finance[Xero Invoiced Ex GST],tbl_Finance[Job Number],E321&amp;""))</f>
        <v/>
      </c>
      <c r="N321" s="11">
        <f>IF(J321&lt;&gt;"Won","",IF(E321="",N(I321),N(I321)-N(M321)))</f>
        <v/>
      </c>
      <c r="O321" s="37" t="n"/>
    </row>
    <row r="322">
      <c r="A322" s="44" t="n"/>
      <c r="B322" s="37" t="n"/>
      <c r="C322" s="37" t="n"/>
      <c r="D322" s="37" t="n"/>
      <c r="E322" s="37" t="n"/>
      <c r="F322" s="10">
        <f>IF(E322="","",IF(COUNTIF(lst_Jobs,E322&amp;"")&gt;0,"OK","CHECK"))</f>
        <v/>
      </c>
      <c r="G322" s="37" t="n"/>
      <c r="H322" s="37" t="n"/>
      <c r="I322" s="39" t="n"/>
      <c r="J322" s="37" t="n"/>
      <c r="K322" s="42" t="n"/>
      <c r="L322" s="44" t="n"/>
      <c r="M322" s="11">
        <f>IF(E322="","",SUMIFS(tbl_Finance[Xero Invoiced Ex GST],tbl_Finance[Job Number],E322&amp;""))</f>
        <v/>
      </c>
      <c r="N322" s="11">
        <f>IF(J322&lt;&gt;"Won","",IF(E322="",N(I322),N(I322)-N(M322)))</f>
        <v/>
      </c>
      <c r="O322" s="37" t="n"/>
    </row>
    <row r="323">
      <c r="A323" s="44" t="n"/>
      <c r="B323" s="37" t="n"/>
      <c r="C323" s="37" t="n"/>
      <c r="D323" s="37" t="n"/>
      <c r="E323" s="37" t="n"/>
      <c r="F323" s="10">
        <f>IF(E323="","",IF(COUNTIF(lst_Jobs,E323&amp;"")&gt;0,"OK","CHECK"))</f>
        <v/>
      </c>
      <c r="G323" s="37" t="n"/>
      <c r="H323" s="37" t="n"/>
      <c r="I323" s="39" t="n"/>
      <c r="J323" s="37" t="n"/>
      <c r="K323" s="42" t="n"/>
      <c r="L323" s="44" t="n"/>
      <c r="M323" s="11">
        <f>IF(E323="","",SUMIFS(tbl_Finance[Xero Invoiced Ex GST],tbl_Finance[Job Number],E323&amp;""))</f>
        <v/>
      </c>
      <c r="N323" s="11">
        <f>IF(J323&lt;&gt;"Won","",IF(E323="",N(I323),N(I323)-N(M323)))</f>
        <v/>
      </c>
      <c r="O323" s="37" t="n"/>
    </row>
    <row r="324">
      <c r="A324" s="44" t="n"/>
      <c r="B324" s="37" t="n"/>
      <c r="C324" s="37" t="n"/>
      <c r="D324" s="37" t="n"/>
      <c r="E324" s="37" t="n"/>
      <c r="F324" s="10">
        <f>IF(E324="","",IF(COUNTIF(lst_Jobs,E324&amp;"")&gt;0,"OK","CHECK"))</f>
        <v/>
      </c>
      <c r="G324" s="37" t="n"/>
      <c r="H324" s="37" t="n"/>
      <c r="I324" s="39" t="n"/>
      <c r="J324" s="37" t="n"/>
      <c r="K324" s="42" t="n"/>
      <c r="L324" s="44" t="n"/>
      <c r="M324" s="11">
        <f>IF(E324="","",SUMIFS(tbl_Finance[Xero Invoiced Ex GST],tbl_Finance[Job Number],E324&amp;""))</f>
        <v/>
      </c>
      <c r="N324" s="11">
        <f>IF(J324&lt;&gt;"Won","",IF(E324="",N(I324),N(I324)-N(M324)))</f>
        <v/>
      </c>
      <c r="O324" s="37" t="n"/>
    </row>
    <row r="325">
      <c r="A325" s="44" t="n"/>
      <c r="B325" s="37" t="n"/>
      <c r="C325" s="37" t="n"/>
      <c r="D325" s="37" t="n"/>
      <c r="E325" s="37" t="n"/>
      <c r="F325" s="10">
        <f>IF(E325="","",IF(COUNTIF(lst_Jobs,E325&amp;"")&gt;0,"OK","CHECK"))</f>
        <v/>
      </c>
      <c r="G325" s="37" t="n"/>
      <c r="H325" s="37" t="n"/>
      <c r="I325" s="39" t="n"/>
      <c r="J325" s="37" t="n"/>
      <c r="K325" s="42" t="n"/>
      <c r="L325" s="44" t="n"/>
      <c r="M325" s="11">
        <f>IF(E325="","",SUMIFS(tbl_Finance[Xero Invoiced Ex GST],tbl_Finance[Job Number],E325&amp;""))</f>
        <v/>
      </c>
      <c r="N325" s="11">
        <f>IF(J325&lt;&gt;"Won","",IF(E325="",N(I325),N(I325)-N(M325)))</f>
        <v/>
      </c>
      <c r="O325" s="37" t="n"/>
    </row>
    <row r="326">
      <c r="A326" s="44" t="n"/>
      <c r="B326" s="37" t="n"/>
      <c r="C326" s="37" t="n"/>
      <c r="D326" s="37" t="n"/>
      <c r="E326" s="37" t="n"/>
      <c r="F326" s="10">
        <f>IF(E326="","",IF(COUNTIF(lst_Jobs,E326&amp;"")&gt;0,"OK","CHECK"))</f>
        <v/>
      </c>
      <c r="G326" s="37" t="n"/>
      <c r="H326" s="37" t="n"/>
      <c r="I326" s="39" t="n"/>
      <c r="J326" s="37" t="n"/>
      <c r="K326" s="42" t="n"/>
      <c r="L326" s="44" t="n"/>
      <c r="M326" s="11">
        <f>IF(E326="","",SUMIFS(tbl_Finance[Xero Invoiced Ex GST],tbl_Finance[Job Number],E326&amp;""))</f>
        <v/>
      </c>
      <c r="N326" s="11">
        <f>IF(J326&lt;&gt;"Won","",IF(E326="",N(I326),N(I326)-N(M326)))</f>
        <v/>
      </c>
      <c r="O326" s="37" t="n"/>
    </row>
    <row r="327">
      <c r="A327" s="44" t="n"/>
      <c r="B327" s="37" t="n"/>
      <c r="C327" s="37" t="n"/>
      <c r="D327" s="37" t="n"/>
      <c r="E327" s="37" t="n"/>
      <c r="F327" s="10">
        <f>IF(E327="","",IF(COUNTIF(lst_Jobs,E327&amp;"")&gt;0,"OK","CHECK"))</f>
        <v/>
      </c>
      <c r="G327" s="37" t="n"/>
      <c r="H327" s="37" t="n"/>
      <c r="I327" s="39" t="n"/>
      <c r="J327" s="37" t="n"/>
      <c r="K327" s="42" t="n"/>
      <c r="L327" s="44" t="n"/>
      <c r="M327" s="11">
        <f>IF(E327="","",SUMIFS(tbl_Finance[Xero Invoiced Ex GST],tbl_Finance[Job Number],E327&amp;""))</f>
        <v/>
      </c>
      <c r="N327" s="11">
        <f>IF(J327&lt;&gt;"Won","",IF(E327="",N(I327),N(I327)-N(M327)))</f>
        <v/>
      </c>
      <c r="O327" s="37" t="n"/>
    </row>
    <row r="328">
      <c r="A328" s="44" t="n"/>
      <c r="B328" s="37" t="n"/>
      <c r="C328" s="37" t="n"/>
      <c r="D328" s="37" t="n"/>
      <c r="E328" s="37" t="n"/>
      <c r="F328" s="10">
        <f>IF(E328="","",IF(COUNTIF(lst_Jobs,E328&amp;"")&gt;0,"OK","CHECK"))</f>
        <v/>
      </c>
      <c r="G328" s="37" t="n"/>
      <c r="H328" s="37" t="n"/>
      <c r="I328" s="39" t="n"/>
      <c r="J328" s="37" t="n"/>
      <c r="K328" s="42" t="n"/>
      <c r="L328" s="44" t="n"/>
      <c r="M328" s="11">
        <f>IF(E328="","",SUMIFS(tbl_Finance[Xero Invoiced Ex GST],tbl_Finance[Job Number],E328&amp;""))</f>
        <v/>
      </c>
      <c r="N328" s="11">
        <f>IF(J328&lt;&gt;"Won","",IF(E328="",N(I328),N(I328)-N(M328)))</f>
        <v/>
      </c>
      <c r="O328" s="37" t="n"/>
    </row>
    <row r="329">
      <c r="A329" s="44" t="n"/>
      <c r="B329" s="37" t="n"/>
      <c r="C329" s="37" t="n"/>
      <c r="D329" s="37" t="n"/>
      <c r="E329" s="37" t="n"/>
      <c r="F329" s="10">
        <f>IF(E329="","",IF(COUNTIF(lst_Jobs,E329&amp;"")&gt;0,"OK","CHECK"))</f>
        <v/>
      </c>
      <c r="G329" s="37" t="n"/>
      <c r="H329" s="37" t="n"/>
      <c r="I329" s="39" t="n"/>
      <c r="J329" s="37" t="n"/>
      <c r="K329" s="42" t="n"/>
      <c r="L329" s="44" t="n"/>
      <c r="M329" s="11">
        <f>IF(E329="","",SUMIFS(tbl_Finance[Xero Invoiced Ex GST],tbl_Finance[Job Number],E329&amp;""))</f>
        <v/>
      </c>
      <c r="N329" s="11">
        <f>IF(J329&lt;&gt;"Won","",IF(E329="",N(I329),N(I329)-N(M329)))</f>
        <v/>
      </c>
      <c r="O329" s="37" t="n"/>
    </row>
    <row r="330">
      <c r="A330" s="44" t="n"/>
      <c r="B330" s="37" t="n"/>
      <c r="C330" s="37" t="n"/>
      <c r="D330" s="37" t="n"/>
      <c r="E330" s="37" t="n"/>
      <c r="F330" s="10">
        <f>IF(E330="","",IF(COUNTIF(lst_Jobs,E330&amp;"")&gt;0,"OK","CHECK"))</f>
        <v/>
      </c>
      <c r="G330" s="37" t="n"/>
      <c r="H330" s="37" t="n"/>
      <c r="I330" s="39" t="n"/>
      <c r="J330" s="37" t="n"/>
      <c r="K330" s="42" t="n"/>
      <c r="L330" s="44" t="n"/>
      <c r="M330" s="11">
        <f>IF(E330="","",SUMIFS(tbl_Finance[Xero Invoiced Ex GST],tbl_Finance[Job Number],E330&amp;""))</f>
        <v/>
      </c>
      <c r="N330" s="11">
        <f>IF(J330&lt;&gt;"Won","",IF(E330="",N(I330),N(I330)-N(M330)))</f>
        <v/>
      </c>
      <c r="O330" s="37" t="n"/>
    </row>
    <row r="331">
      <c r="A331" s="44" t="n"/>
      <c r="B331" s="37" t="n"/>
      <c r="C331" s="37" t="n"/>
      <c r="D331" s="37" t="n"/>
      <c r="E331" s="37" t="n"/>
      <c r="F331" s="10">
        <f>IF(E331="","",IF(COUNTIF(lst_Jobs,E331&amp;"")&gt;0,"OK","CHECK"))</f>
        <v/>
      </c>
      <c r="G331" s="37" t="n"/>
      <c r="H331" s="37" t="n"/>
      <c r="I331" s="39" t="n"/>
      <c r="J331" s="37" t="n"/>
      <c r="K331" s="42" t="n"/>
      <c r="L331" s="44" t="n"/>
      <c r="M331" s="11">
        <f>IF(E331="","",SUMIFS(tbl_Finance[Xero Invoiced Ex GST],tbl_Finance[Job Number],E331&amp;""))</f>
        <v/>
      </c>
      <c r="N331" s="11">
        <f>IF(J331&lt;&gt;"Won","",IF(E331="",N(I331),N(I331)-N(M331)))</f>
        <v/>
      </c>
      <c r="O331" s="37" t="n"/>
    </row>
    <row r="332">
      <c r="A332" s="44" t="n"/>
      <c r="B332" s="37" t="n"/>
      <c r="C332" s="37" t="n"/>
      <c r="D332" s="37" t="n"/>
      <c r="E332" s="37" t="n"/>
      <c r="F332" s="10">
        <f>IF(E332="","",IF(COUNTIF(lst_Jobs,E332&amp;"")&gt;0,"OK","CHECK"))</f>
        <v/>
      </c>
      <c r="G332" s="37" t="n"/>
      <c r="H332" s="37" t="n"/>
      <c r="I332" s="39" t="n"/>
      <c r="J332" s="37" t="n"/>
      <c r="K332" s="42" t="n"/>
      <c r="L332" s="44" t="n"/>
      <c r="M332" s="11">
        <f>IF(E332="","",SUMIFS(tbl_Finance[Xero Invoiced Ex GST],tbl_Finance[Job Number],E332&amp;""))</f>
        <v/>
      </c>
      <c r="N332" s="11">
        <f>IF(J332&lt;&gt;"Won","",IF(E332="",N(I332),N(I332)-N(M332)))</f>
        <v/>
      </c>
      <c r="O332" s="37" t="n"/>
    </row>
    <row r="333">
      <c r="A333" s="44" t="n"/>
      <c r="B333" s="37" t="n"/>
      <c r="C333" s="37" t="n"/>
      <c r="D333" s="37" t="n"/>
      <c r="E333" s="37" t="n"/>
      <c r="F333" s="10">
        <f>IF(E333="","",IF(COUNTIF(lst_Jobs,E333&amp;"")&gt;0,"OK","CHECK"))</f>
        <v/>
      </c>
      <c r="G333" s="37" t="n"/>
      <c r="H333" s="37" t="n"/>
      <c r="I333" s="39" t="n"/>
      <c r="J333" s="37" t="n"/>
      <c r="K333" s="42" t="n"/>
      <c r="L333" s="44" t="n"/>
      <c r="M333" s="11">
        <f>IF(E333="","",SUMIFS(tbl_Finance[Xero Invoiced Ex GST],tbl_Finance[Job Number],E333&amp;""))</f>
        <v/>
      </c>
      <c r="N333" s="11">
        <f>IF(J333&lt;&gt;"Won","",IF(E333="",N(I333),N(I333)-N(M333)))</f>
        <v/>
      </c>
      <c r="O333" s="37" t="n"/>
    </row>
    <row r="334">
      <c r="A334" s="44" t="n"/>
      <c r="B334" s="37" t="n"/>
      <c r="C334" s="37" t="n"/>
      <c r="D334" s="37" t="n"/>
      <c r="E334" s="37" t="n"/>
      <c r="F334" s="10">
        <f>IF(E334="","",IF(COUNTIF(lst_Jobs,E334&amp;"")&gt;0,"OK","CHECK"))</f>
        <v/>
      </c>
      <c r="G334" s="37" t="n"/>
      <c r="H334" s="37" t="n"/>
      <c r="I334" s="39" t="n"/>
      <c r="J334" s="37" t="n"/>
      <c r="K334" s="42" t="n"/>
      <c r="L334" s="44" t="n"/>
      <c r="M334" s="11">
        <f>IF(E334="","",SUMIFS(tbl_Finance[Xero Invoiced Ex GST],tbl_Finance[Job Number],E334&amp;""))</f>
        <v/>
      </c>
      <c r="N334" s="11">
        <f>IF(J334&lt;&gt;"Won","",IF(E334="",N(I334),N(I334)-N(M334)))</f>
        <v/>
      </c>
      <c r="O334" s="37" t="n"/>
    </row>
    <row r="335">
      <c r="A335" s="44" t="n"/>
      <c r="B335" s="37" t="n"/>
      <c r="C335" s="37" t="n"/>
      <c r="D335" s="37" t="n"/>
      <c r="E335" s="37" t="n"/>
      <c r="F335" s="10">
        <f>IF(E335="","",IF(COUNTIF(lst_Jobs,E335&amp;"")&gt;0,"OK","CHECK"))</f>
        <v/>
      </c>
      <c r="G335" s="37" t="n"/>
      <c r="H335" s="37" t="n"/>
      <c r="I335" s="39" t="n"/>
      <c r="J335" s="37" t="n"/>
      <c r="K335" s="42" t="n"/>
      <c r="L335" s="44" t="n"/>
      <c r="M335" s="11">
        <f>IF(E335="","",SUMIFS(tbl_Finance[Xero Invoiced Ex GST],tbl_Finance[Job Number],E335&amp;""))</f>
        <v/>
      </c>
      <c r="N335" s="11">
        <f>IF(J335&lt;&gt;"Won","",IF(E335="",N(I335),N(I335)-N(M335)))</f>
        <v/>
      </c>
      <c r="O335" s="37" t="n"/>
    </row>
    <row r="336">
      <c r="A336" s="44" t="n"/>
      <c r="B336" s="37" t="n"/>
      <c r="C336" s="37" t="n"/>
      <c r="D336" s="37" t="n"/>
      <c r="E336" s="37" t="n"/>
      <c r="F336" s="10">
        <f>IF(E336="","",IF(COUNTIF(lst_Jobs,E336&amp;"")&gt;0,"OK","CHECK"))</f>
        <v/>
      </c>
      <c r="G336" s="37" t="n"/>
      <c r="H336" s="37" t="n"/>
      <c r="I336" s="39" t="n"/>
      <c r="J336" s="37" t="n"/>
      <c r="K336" s="42" t="n"/>
      <c r="L336" s="44" t="n"/>
      <c r="M336" s="11">
        <f>IF(E336="","",SUMIFS(tbl_Finance[Xero Invoiced Ex GST],tbl_Finance[Job Number],E336&amp;""))</f>
        <v/>
      </c>
      <c r="N336" s="11">
        <f>IF(J336&lt;&gt;"Won","",IF(E336="",N(I336),N(I336)-N(M336)))</f>
        <v/>
      </c>
      <c r="O336" s="37" t="n"/>
    </row>
    <row r="337">
      <c r="A337" s="44" t="n"/>
      <c r="B337" s="37" t="n"/>
      <c r="C337" s="37" t="n"/>
      <c r="D337" s="37" t="n"/>
      <c r="E337" s="37" t="n"/>
      <c r="F337" s="10">
        <f>IF(E337="","",IF(COUNTIF(lst_Jobs,E337&amp;"")&gt;0,"OK","CHECK"))</f>
        <v/>
      </c>
      <c r="G337" s="37" t="n"/>
      <c r="H337" s="37" t="n"/>
      <c r="I337" s="39" t="n"/>
      <c r="J337" s="37" t="n"/>
      <c r="K337" s="42" t="n"/>
      <c r="L337" s="44" t="n"/>
      <c r="M337" s="11">
        <f>IF(E337="","",SUMIFS(tbl_Finance[Xero Invoiced Ex GST],tbl_Finance[Job Number],E337&amp;""))</f>
        <v/>
      </c>
      <c r="N337" s="11">
        <f>IF(J337&lt;&gt;"Won","",IF(E337="",N(I337),N(I337)-N(M337)))</f>
        <v/>
      </c>
      <c r="O337" s="37" t="n"/>
    </row>
    <row r="338">
      <c r="A338" s="44" t="n"/>
      <c r="B338" s="37" t="n"/>
      <c r="C338" s="37" t="n"/>
      <c r="D338" s="37" t="n"/>
      <c r="E338" s="37" t="n"/>
      <c r="F338" s="10">
        <f>IF(E338="","",IF(COUNTIF(lst_Jobs,E338&amp;"")&gt;0,"OK","CHECK"))</f>
        <v/>
      </c>
      <c r="G338" s="37" t="n"/>
      <c r="H338" s="37" t="n"/>
      <c r="I338" s="39" t="n"/>
      <c r="J338" s="37" t="n"/>
      <c r="K338" s="42" t="n"/>
      <c r="L338" s="44" t="n"/>
      <c r="M338" s="11">
        <f>IF(E338="","",SUMIFS(tbl_Finance[Xero Invoiced Ex GST],tbl_Finance[Job Number],E338&amp;""))</f>
        <v/>
      </c>
      <c r="N338" s="11">
        <f>IF(J338&lt;&gt;"Won","",IF(E338="",N(I338),N(I338)-N(M338)))</f>
        <v/>
      </c>
      <c r="O338" s="37" t="n"/>
    </row>
    <row r="339">
      <c r="A339" s="44" t="n"/>
      <c r="B339" s="37" t="n"/>
      <c r="C339" s="37" t="n"/>
      <c r="D339" s="37" t="n"/>
      <c r="E339" s="37" t="n"/>
      <c r="F339" s="10">
        <f>IF(E339="","",IF(COUNTIF(lst_Jobs,E339&amp;"")&gt;0,"OK","CHECK"))</f>
        <v/>
      </c>
      <c r="G339" s="37" t="n"/>
      <c r="H339" s="37" t="n"/>
      <c r="I339" s="39" t="n"/>
      <c r="J339" s="37" t="n"/>
      <c r="K339" s="42" t="n"/>
      <c r="L339" s="44" t="n"/>
      <c r="M339" s="11">
        <f>IF(E339="","",SUMIFS(tbl_Finance[Xero Invoiced Ex GST],tbl_Finance[Job Number],E339&amp;""))</f>
        <v/>
      </c>
      <c r="N339" s="11">
        <f>IF(J339&lt;&gt;"Won","",IF(E339="",N(I339),N(I339)-N(M339)))</f>
        <v/>
      </c>
      <c r="O339" s="37" t="n"/>
    </row>
    <row r="340">
      <c r="A340" s="44" t="n"/>
      <c r="B340" s="37" t="n"/>
      <c r="C340" s="37" t="n"/>
      <c r="D340" s="37" t="n"/>
      <c r="E340" s="37" t="n"/>
      <c r="F340" s="10">
        <f>IF(E340="","",IF(COUNTIF(lst_Jobs,E340&amp;"")&gt;0,"OK","CHECK"))</f>
        <v/>
      </c>
      <c r="G340" s="37" t="n"/>
      <c r="H340" s="37" t="n"/>
      <c r="I340" s="39" t="n"/>
      <c r="J340" s="37" t="n"/>
      <c r="K340" s="42" t="n"/>
      <c r="L340" s="44" t="n"/>
      <c r="M340" s="11">
        <f>IF(E340="","",SUMIFS(tbl_Finance[Xero Invoiced Ex GST],tbl_Finance[Job Number],E340&amp;""))</f>
        <v/>
      </c>
      <c r="N340" s="11">
        <f>IF(J340&lt;&gt;"Won","",IF(E340="",N(I340),N(I340)-N(M340)))</f>
        <v/>
      </c>
      <c r="O340" s="37" t="n"/>
    </row>
    <row r="341">
      <c r="A341" s="44" t="n"/>
      <c r="B341" s="37" t="n"/>
      <c r="C341" s="37" t="n"/>
      <c r="D341" s="37" t="n"/>
      <c r="E341" s="37" t="n"/>
      <c r="F341" s="10">
        <f>IF(E341="","",IF(COUNTIF(lst_Jobs,E341&amp;"")&gt;0,"OK","CHECK"))</f>
        <v/>
      </c>
      <c r="G341" s="37" t="n"/>
      <c r="H341" s="37" t="n"/>
      <c r="I341" s="39" t="n"/>
      <c r="J341" s="37" t="n"/>
      <c r="K341" s="42" t="n"/>
      <c r="L341" s="44" t="n"/>
      <c r="M341" s="11">
        <f>IF(E341="","",SUMIFS(tbl_Finance[Xero Invoiced Ex GST],tbl_Finance[Job Number],E341&amp;""))</f>
        <v/>
      </c>
      <c r="N341" s="11">
        <f>IF(J341&lt;&gt;"Won","",IF(E341="",N(I341),N(I341)-N(M341)))</f>
        <v/>
      </c>
      <c r="O341" s="37" t="n"/>
    </row>
    <row r="342">
      <c r="A342" s="44" t="n"/>
      <c r="B342" s="37" t="n"/>
      <c r="C342" s="37" t="n"/>
      <c r="D342" s="37" t="n"/>
      <c r="E342" s="37" t="n"/>
      <c r="F342" s="10">
        <f>IF(E342="","",IF(COUNTIF(lst_Jobs,E342&amp;"")&gt;0,"OK","CHECK"))</f>
        <v/>
      </c>
      <c r="G342" s="37" t="n"/>
      <c r="H342" s="37" t="n"/>
      <c r="I342" s="39" t="n"/>
      <c r="J342" s="37" t="n"/>
      <c r="K342" s="42" t="n"/>
      <c r="L342" s="44" t="n"/>
      <c r="M342" s="11">
        <f>IF(E342="","",SUMIFS(tbl_Finance[Xero Invoiced Ex GST],tbl_Finance[Job Number],E342&amp;""))</f>
        <v/>
      </c>
      <c r="N342" s="11">
        <f>IF(J342&lt;&gt;"Won","",IF(E342="",N(I342),N(I342)-N(M342)))</f>
        <v/>
      </c>
      <c r="O342" s="37" t="n"/>
    </row>
    <row r="343">
      <c r="A343" s="44" t="n"/>
      <c r="B343" s="37" t="n"/>
      <c r="C343" s="37" t="n"/>
      <c r="D343" s="37" t="n"/>
      <c r="E343" s="37" t="n"/>
      <c r="F343" s="10">
        <f>IF(E343="","",IF(COUNTIF(lst_Jobs,E343&amp;"")&gt;0,"OK","CHECK"))</f>
        <v/>
      </c>
      <c r="G343" s="37" t="n"/>
      <c r="H343" s="37" t="n"/>
      <c r="I343" s="39" t="n"/>
      <c r="J343" s="37" t="n"/>
      <c r="K343" s="42" t="n"/>
      <c r="L343" s="44" t="n"/>
      <c r="M343" s="11">
        <f>IF(E343="","",SUMIFS(tbl_Finance[Xero Invoiced Ex GST],tbl_Finance[Job Number],E343&amp;""))</f>
        <v/>
      </c>
      <c r="N343" s="11">
        <f>IF(J343&lt;&gt;"Won","",IF(E343="",N(I343),N(I343)-N(M343)))</f>
        <v/>
      </c>
      <c r="O343" s="37" t="n"/>
    </row>
    <row r="344">
      <c r="A344" s="44" t="n"/>
      <c r="B344" s="37" t="n"/>
      <c r="C344" s="37" t="n"/>
      <c r="D344" s="37" t="n"/>
      <c r="E344" s="37" t="n"/>
      <c r="F344" s="10">
        <f>IF(E344="","",IF(COUNTIF(lst_Jobs,E344&amp;"")&gt;0,"OK","CHECK"))</f>
        <v/>
      </c>
      <c r="G344" s="37" t="n"/>
      <c r="H344" s="37" t="n"/>
      <c r="I344" s="39" t="n"/>
      <c r="J344" s="37" t="n"/>
      <c r="K344" s="42" t="n"/>
      <c r="L344" s="44" t="n"/>
      <c r="M344" s="11">
        <f>IF(E344="","",SUMIFS(tbl_Finance[Xero Invoiced Ex GST],tbl_Finance[Job Number],E344&amp;""))</f>
        <v/>
      </c>
      <c r="N344" s="11">
        <f>IF(J344&lt;&gt;"Won","",IF(E344="",N(I344),N(I344)-N(M344)))</f>
        <v/>
      </c>
      <c r="O344" s="37" t="n"/>
    </row>
    <row r="345">
      <c r="A345" s="44" t="n"/>
      <c r="B345" s="37" t="n"/>
      <c r="C345" s="37" t="n"/>
      <c r="D345" s="37" t="n"/>
      <c r="E345" s="37" t="n"/>
      <c r="F345" s="10">
        <f>IF(E345="","",IF(COUNTIF(lst_Jobs,E345&amp;"")&gt;0,"OK","CHECK"))</f>
        <v/>
      </c>
      <c r="G345" s="37" t="n"/>
      <c r="H345" s="37" t="n"/>
      <c r="I345" s="39" t="n"/>
      <c r="J345" s="37" t="n"/>
      <c r="K345" s="42" t="n"/>
      <c r="L345" s="44" t="n"/>
      <c r="M345" s="11">
        <f>IF(E345="","",SUMIFS(tbl_Finance[Xero Invoiced Ex GST],tbl_Finance[Job Number],E345&amp;""))</f>
        <v/>
      </c>
      <c r="N345" s="11">
        <f>IF(J345&lt;&gt;"Won","",IF(E345="",N(I345),N(I345)-N(M345)))</f>
        <v/>
      </c>
      <c r="O345" s="37" t="n"/>
    </row>
    <row r="346">
      <c r="A346" s="44" t="n"/>
      <c r="B346" s="37" t="n"/>
      <c r="C346" s="37" t="n"/>
      <c r="D346" s="37" t="n"/>
      <c r="E346" s="37" t="n"/>
      <c r="F346" s="10">
        <f>IF(E346="","",IF(COUNTIF(lst_Jobs,E346&amp;"")&gt;0,"OK","CHECK"))</f>
        <v/>
      </c>
      <c r="G346" s="37" t="n"/>
      <c r="H346" s="37" t="n"/>
      <c r="I346" s="39" t="n"/>
      <c r="J346" s="37" t="n"/>
      <c r="K346" s="42" t="n"/>
      <c r="L346" s="44" t="n"/>
      <c r="M346" s="11">
        <f>IF(E346="","",SUMIFS(tbl_Finance[Xero Invoiced Ex GST],tbl_Finance[Job Number],E346&amp;""))</f>
        <v/>
      </c>
      <c r="N346" s="11">
        <f>IF(J346&lt;&gt;"Won","",IF(E346="",N(I346),N(I346)-N(M346)))</f>
        <v/>
      </c>
      <c r="O346" s="37" t="n"/>
    </row>
    <row r="347">
      <c r="A347" s="44" t="n"/>
      <c r="B347" s="37" t="n"/>
      <c r="C347" s="37" t="n"/>
      <c r="D347" s="37" t="n"/>
      <c r="E347" s="37" t="n"/>
      <c r="F347" s="10">
        <f>IF(E347="","",IF(COUNTIF(lst_Jobs,E347&amp;"")&gt;0,"OK","CHECK"))</f>
        <v/>
      </c>
      <c r="G347" s="37" t="n"/>
      <c r="H347" s="37" t="n"/>
      <c r="I347" s="39" t="n"/>
      <c r="J347" s="37" t="n"/>
      <c r="K347" s="42" t="n"/>
      <c r="L347" s="44" t="n"/>
      <c r="M347" s="11">
        <f>IF(E347="","",SUMIFS(tbl_Finance[Xero Invoiced Ex GST],tbl_Finance[Job Number],E347&amp;""))</f>
        <v/>
      </c>
      <c r="N347" s="11">
        <f>IF(J347&lt;&gt;"Won","",IF(E347="",N(I347),N(I347)-N(M347)))</f>
        <v/>
      </c>
      <c r="O347" s="37" t="n"/>
    </row>
    <row r="348">
      <c r="A348" s="44" t="n"/>
      <c r="B348" s="37" t="n"/>
      <c r="C348" s="37" t="n"/>
      <c r="D348" s="37" t="n"/>
      <c r="E348" s="37" t="n"/>
      <c r="F348" s="10">
        <f>IF(E348="","",IF(COUNTIF(lst_Jobs,E348&amp;"")&gt;0,"OK","CHECK"))</f>
        <v/>
      </c>
      <c r="G348" s="37" t="n"/>
      <c r="H348" s="37" t="n"/>
      <c r="I348" s="39" t="n"/>
      <c r="J348" s="37" t="n"/>
      <c r="K348" s="42" t="n"/>
      <c r="L348" s="44" t="n"/>
      <c r="M348" s="11">
        <f>IF(E348="","",SUMIFS(tbl_Finance[Xero Invoiced Ex GST],tbl_Finance[Job Number],E348&amp;""))</f>
        <v/>
      </c>
      <c r="N348" s="11">
        <f>IF(J348&lt;&gt;"Won","",IF(E348="",N(I348),N(I348)-N(M348)))</f>
        <v/>
      </c>
      <c r="O348" s="37" t="n"/>
    </row>
    <row r="349">
      <c r="A349" s="44" t="n"/>
      <c r="B349" s="37" t="n"/>
      <c r="C349" s="37" t="n"/>
      <c r="D349" s="37" t="n"/>
      <c r="E349" s="37" t="n"/>
      <c r="F349" s="10">
        <f>IF(E349="","",IF(COUNTIF(lst_Jobs,E349&amp;"")&gt;0,"OK","CHECK"))</f>
        <v/>
      </c>
      <c r="G349" s="37" t="n"/>
      <c r="H349" s="37" t="n"/>
      <c r="I349" s="39" t="n"/>
      <c r="J349" s="37" t="n"/>
      <c r="K349" s="42" t="n"/>
      <c r="L349" s="44" t="n"/>
      <c r="M349" s="11">
        <f>IF(E349="","",SUMIFS(tbl_Finance[Xero Invoiced Ex GST],tbl_Finance[Job Number],E349&amp;""))</f>
        <v/>
      </c>
      <c r="N349" s="11">
        <f>IF(J349&lt;&gt;"Won","",IF(E349="",N(I349),N(I349)-N(M349)))</f>
        <v/>
      </c>
      <c r="O349" s="37" t="n"/>
    </row>
    <row r="350">
      <c r="A350" s="44" t="n"/>
      <c r="B350" s="37" t="n"/>
      <c r="C350" s="37" t="n"/>
      <c r="D350" s="37" t="n"/>
      <c r="E350" s="37" t="n"/>
      <c r="F350" s="10">
        <f>IF(E350="","",IF(COUNTIF(lst_Jobs,E350&amp;"")&gt;0,"OK","CHECK"))</f>
        <v/>
      </c>
      <c r="G350" s="37" t="n"/>
      <c r="H350" s="37" t="n"/>
      <c r="I350" s="39" t="n"/>
      <c r="J350" s="37" t="n"/>
      <c r="K350" s="42" t="n"/>
      <c r="L350" s="44" t="n"/>
      <c r="M350" s="11">
        <f>IF(E350="","",SUMIFS(tbl_Finance[Xero Invoiced Ex GST],tbl_Finance[Job Number],E350&amp;""))</f>
        <v/>
      </c>
      <c r="N350" s="11">
        <f>IF(J350&lt;&gt;"Won","",IF(E350="",N(I350),N(I350)-N(M350)))</f>
        <v/>
      </c>
      <c r="O350" s="37" t="n"/>
    </row>
    <row r="351">
      <c r="A351" s="44" t="n"/>
      <c r="B351" s="37" t="n"/>
      <c r="C351" s="37" t="n"/>
      <c r="D351" s="37" t="n"/>
      <c r="E351" s="37" t="n"/>
      <c r="F351" s="10">
        <f>IF(E351="","",IF(COUNTIF(lst_Jobs,E351&amp;"")&gt;0,"OK","CHECK"))</f>
        <v/>
      </c>
      <c r="G351" s="37" t="n"/>
      <c r="H351" s="37" t="n"/>
      <c r="I351" s="39" t="n"/>
      <c r="J351" s="37" t="n"/>
      <c r="K351" s="42" t="n"/>
      <c r="L351" s="44" t="n"/>
      <c r="M351" s="11">
        <f>IF(E351="","",SUMIFS(tbl_Finance[Xero Invoiced Ex GST],tbl_Finance[Job Number],E351&amp;""))</f>
        <v/>
      </c>
      <c r="N351" s="11">
        <f>IF(J351&lt;&gt;"Won","",IF(E351="",N(I351),N(I351)-N(M351)))</f>
        <v/>
      </c>
      <c r="O351" s="37" t="n"/>
    </row>
    <row r="352">
      <c r="A352" s="44" t="n"/>
      <c r="B352" s="37" t="n"/>
      <c r="C352" s="37" t="n"/>
      <c r="D352" s="37" t="n"/>
      <c r="E352" s="37" t="n"/>
      <c r="F352" s="10">
        <f>IF(E352="","",IF(COUNTIF(lst_Jobs,E352&amp;"")&gt;0,"OK","CHECK"))</f>
        <v/>
      </c>
      <c r="G352" s="37" t="n"/>
      <c r="H352" s="37" t="n"/>
      <c r="I352" s="39" t="n"/>
      <c r="J352" s="37" t="n"/>
      <c r="K352" s="42" t="n"/>
      <c r="L352" s="44" t="n"/>
      <c r="M352" s="11">
        <f>IF(E352="","",SUMIFS(tbl_Finance[Xero Invoiced Ex GST],tbl_Finance[Job Number],E352&amp;""))</f>
        <v/>
      </c>
      <c r="N352" s="11">
        <f>IF(J352&lt;&gt;"Won","",IF(E352="",N(I352),N(I352)-N(M352)))</f>
        <v/>
      </c>
      <c r="O352" s="37" t="n"/>
    </row>
    <row r="353">
      <c r="A353" s="44" t="n"/>
      <c r="B353" s="37" t="n"/>
      <c r="C353" s="37" t="n"/>
      <c r="D353" s="37" t="n"/>
      <c r="E353" s="37" t="n"/>
      <c r="F353" s="10">
        <f>IF(E353="","",IF(COUNTIF(lst_Jobs,E353&amp;"")&gt;0,"OK","CHECK"))</f>
        <v/>
      </c>
      <c r="G353" s="37" t="n"/>
      <c r="H353" s="37" t="n"/>
      <c r="I353" s="39" t="n"/>
      <c r="J353" s="37" t="n"/>
      <c r="K353" s="42" t="n"/>
      <c r="L353" s="44" t="n"/>
      <c r="M353" s="11">
        <f>IF(E353="","",SUMIFS(tbl_Finance[Xero Invoiced Ex GST],tbl_Finance[Job Number],E353&amp;""))</f>
        <v/>
      </c>
      <c r="N353" s="11">
        <f>IF(J353&lt;&gt;"Won","",IF(E353="",N(I353),N(I353)-N(M353)))</f>
        <v/>
      </c>
      <c r="O353" s="37" t="n"/>
    </row>
    <row r="354">
      <c r="A354" s="44" t="n"/>
      <c r="B354" s="37" t="n"/>
      <c r="C354" s="37" t="n"/>
      <c r="D354" s="37" t="n"/>
      <c r="E354" s="37" t="n"/>
      <c r="F354" s="10">
        <f>IF(E354="","",IF(COUNTIF(lst_Jobs,E354&amp;"")&gt;0,"OK","CHECK"))</f>
        <v/>
      </c>
      <c r="G354" s="37" t="n"/>
      <c r="H354" s="37" t="n"/>
      <c r="I354" s="39" t="n"/>
      <c r="J354" s="37" t="n"/>
      <c r="K354" s="42" t="n"/>
      <c r="L354" s="44" t="n"/>
      <c r="M354" s="11">
        <f>IF(E354="","",SUMIFS(tbl_Finance[Xero Invoiced Ex GST],tbl_Finance[Job Number],E354&amp;""))</f>
        <v/>
      </c>
      <c r="N354" s="11">
        <f>IF(J354&lt;&gt;"Won","",IF(E354="",N(I354),N(I354)-N(M354)))</f>
        <v/>
      </c>
      <c r="O354" s="37" t="n"/>
    </row>
    <row r="355">
      <c r="A355" s="44" t="n"/>
      <c r="B355" s="37" t="n"/>
      <c r="C355" s="37" t="n"/>
      <c r="D355" s="37" t="n"/>
      <c r="E355" s="37" t="n"/>
      <c r="F355" s="10">
        <f>IF(E355="","",IF(COUNTIF(lst_Jobs,E355&amp;"")&gt;0,"OK","CHECK"))</f>
        <v/>
      </c>
      <c r="G355" s="37" t="n"/>
      <c r="H355" s="37" t="n"/>
      <c r="I355" s="39" t="n"/>
      <c r="J355" s="37" t="n"/>
      <c r="K355" s="42" t="n"/>
      <c r="L355" s="44" t="n"/>
      <c r="M355" s="11">
        <f>IF(E355="","",SUMIFS(tbl_Finance[Xero Invoiced Ex GST],tbl_Finance[Job Number],E355&amp;""))</f>
        <v/>
      </c>
      <c r="N355" s="11">
        <f>IF(J355&lt;&gt;"Won","",IF(E355="",N(I355),N(I355)-N(M355)))</f>
        <v/>
      </c>
      <c r="O355" s="37" t="n"/>
    </row>
    <row r="356">
      <c r="A356" s="44" t="n"/>
      <c r="B356" s="37" t="n"/>
      <c r="C356" s="37" t="n"/>
      <c r="D356" s="37" t="n"/>
      <c r="E356" s="37" t="n"/>
      <c r="F356" s="10">
        <f>IF(E356="","",IF(COUNTIF(lst_Jobs,E356&amp;"")&gt;0,"OK","CHECK"))</f>
        <v/>
      </c>
      <c r="G356" s="37" t="n"/>
      <c r="H356" s="37" t="n"/>
      <c r="I356" s="39" t="n"/>
      <c r="J356" s="37" t="n"/>
      <c r="K356" s="42" t="n"/>
      <c r="L356" s="44" t="n"/>
      <c r="M356" s="11">
        <f>IF(E356="","",SUMIFS(tbl_Finance[Xero Invoiced Ex GST],tbl_Finance[Job Number],E356&amp;""))</f>
        <v/>
      </c>
      <c r="N356" s="11">
        <f>IF(J356&lt;&gt;"Won","",IF(E356="",N(I356),N(I356)-N(M356)))</f>
        <v/>
      </c>
      <c r="O356" s="37" t="n"/>
    </row>
    <row r="357">
      <c r="A357" s="44" t="n"/>
      <c r="B357" s="37" t="n"/>
      <c r="C357" s="37" t="n"/>
      <c r="D357" s="37" t="n"/>
      <c r="E357" s="37" t="n"/>
      <c r="F357" s="10">
        <f>IF(E357="","",IF(COUNTIF(lst_Jobs,E357&amp;"")&gt;0,"OK","CHECK"))</f>
        <v/>
      </c>
      <c r="G357" s="37" t="n"/>
      <c r="H357" s="37" t="n"/>
      <c r="I357" s="39" t="n"/>
      <c r="J357" s="37" t="n"/>
      <c r="K357" s="42" t="n"/>
      <c r="L357" s="44" t="n"/>
      <c r="M357" s="11">
        <f>IF(E357="","",SUMIFS(tbl_Finance[Xero Invoiced Ex GST],tbl_Finance[Job Number],E357&amp;""))</f>
        <v/>
      </c>
      <c r="N357" s="11">
        <f>IF(J357&lt;&gt;"Won","",IF(E357="",N(I357),N(I357)-N(M357)))</f>
        <v/>
      </c>
      <c r="O357" s="37" t="n"/>
    </row>
    <row r="358">
      <c r="A358" s="44" t="n"/>
      <c r="B358" s="37" t="n"/>
      <c r="C358" s="37" t="n"/>
      <c r="D358" s="37" t="n"/>
      <c r="E358" s="37" t="n"/>
      <c r="F358" s="10">
        <f>IF(E358="","",IF(COUNTIF(lst_Jobs,E358&amp;"")&gt;0,"OK","CHECK"))</f>
        <v/>
      </c>
      <c r="G358" s="37" t="n"/>
      <c r="H358" s="37" t="n"/>
      <c r="I358" s="39" t="n"/>
      <c r="J358" s="37" t="n"/>
      <c r="K358" s="42" t="n"/>
      <c r="L358" s="44" t="n"/>
      <c r="M358" s="11">
        <f>IF(E358="","",SUMIFS(tbl_Finance[Xero Invoiced Ex GST],tbl_Finance[Job Number],E358&amp;""))</f>
        <v/>
      </c>
      <c r="N358" s="11">
        <f>IF(J358&lt;&gt;"Won","",IF(E358="",N(I358),N(I358)-N(M358)))</f>
        <v/>
      </c>
      <c r="O358" s="37" t="n"/>
    </row>
    <row r="359">
      <c r="A359" s="44" t="n"/>
      <c r="B359" s="37" t="n"/>
      <c r="C359" s="37" t="n"/>
      <c r="D359" s="37" t="n"/>
      <c r="E359" s="37" t="n"/>
      <c r="F359" s="10">
        <f>IF(E359="","",IF(COUNTIF(lst_Jobs,E359&amp;"")&gt;0,"OK","CHECK"))</f>
        <v/>
      </c>
      <c r="G359" s="37" t="n"/>
      <c r="H359" s="37" t="n"/>
      <c r="I359" s="39" t="n"/>
      <c r="J359" s="37" t="n"/>
      <c r="K359" s="42" t="n"/>
      <c r="L359" s="44" t="n"/>
      <c r="M359" s="11">
        <f>IF(E359="","",SUMIFS(tbl_Finance[Xero Invoiced Ex GST],tbl_Finance[Job Number],E359&amp;""))</f>
        <v/>
      </c>
      <c r="N359" s="11">
        <f>IF(J359&lt;&gt;"Won","",IF(E359="",N(I359),N(I359)-N(M359)))</f>
        <v/>
      </c>
      <c r="O359" s="37" t="n"/>
    </row>
    <row r="360">
      <c r="A360" s="44" t="n"/>
      <c r="B360" s="37" t="n"/>
      <c r="C360" s="37" t="n"/>
      <c r="D360" s="37" t="n"/>
      <c r="E360" s="37" t="n"/>
      <c r="F360" s="10">
        <f>IF(E360="","",IF(COUNTIF(lst_Jobs,E360&amp;"")&gt;0,"OK","CHECK"))</f>
        <v/>
      </c>
      <c r="G360" s="37" t="n"/>
      <c r="H360" s="37" t="n"/>
      <c r="I360" s="39" t="n"/>
      <c r="J360" s="37" t="n"/>
      <c r="K360" s="42" t="n"/>
      <c r="L360" s="44" t="n"/>
      <c r="M360" s="11">
        <f>IF(E360="","",SUMIFS(tbl_Finance[Xero Invoiced Ex GST],tbl_Finance[Job Number],E360&amp;""))</f>
        <v/>
      </c>
      <c r="N360" s="11">
        <f>IF(J360&lt;&gt;"Won","",IF(E360="",N(I360),N(I360)-N(M360)))</f>
        <v/>
      </c>
      <c r="O360" s="37" t="n"/>
    </row>
    <row r="361">
      <c r="A361" s="44" t="n"/>
      <c r="B361" s="37" t="n"/>
      <c r="C361" s="37" t="n"/>
      <c r="D361" s="37" t="n"/>
      <c r="E361" s="37" t="n"/>
      <c r="F361" s="10">
        <f>IF(E361="","",IF(COUNTIF(lst_Jobs,E361&amp;"")&gt;0,"OK","CHECK"))</f>
        <v/>
      </c>
      <c r="G361" s="37" t="n"/>
      <c r="H361" s="37" t="n"/>
      <c r="I361" s="39" t="n"/>
      <c r="J361" s="37" t="n"/>
      <c r="K361" s="42" t="n"/>
      <c r="L361" s="44" t="n"/>
      <c r="M361" s="11">
        <f>IF(E361="","",SUMIFS(tbl_Finance[Xero Invoiced Ex GST],tbl_Finance[Job Number],E361&amp;""))</f>
        <v/>
      </c>
      <c r="N361" s="11">
        <f>IF(J361&lt;&gt;"Won","",IF(E361="",N(I361),N(I361)-N(M361)))</f>
        <v/>
      </c>
      <c r="O361" s="37" t="n"/>
    </row>
    <row r="362">
      <c r="A362" s="44" t="n"/>
      <c r="B362" s="37" t="n"/>
      <c r="C362" s="37" t="n"/>
      <c r="D362" s="37" t="n"/>
      <c r="E362" s="37" t="n"/>
      <c r="F362" s="10">
        <f>IF(E362="","",IF(COUNTIF(lst_Jobs,E362&amp;"")&gt;0,"OK","CHECK"))</f>
        <v/>
      </c>
      <c r="G362" s="37" t="n"/>
      <c r="H362" s="37" t="n"/>
      <c r="I362" s="39" t="n"/>
      <c r="J362" s="37" t="n"/>
      <c r="K362" s="42" t="n"/>
      <c r="L362" s="44" t="n"/>
      <c r="M362" s="11">
        <f>IF(E362="","",SUMIFS(tbl_Finance[Xero Invoiced Ex GST],tbl_Finance[Job Number],E362&amp;""))</f>
        <v/>
      </c>
      <c r="N362" s="11">
        <f>IF(J362&lt;&gt;"Won","",IF(E362="",N(I362),N(I362)-N(M362)))</f>
        <v/>
      </c>
      <c r="O362" s="37" t="n"/>
    </row>
    <row r="363">
      <c r="A363" s="44" t="n"/>
      <c r="B363" s="37" t="n"/>
      <c r="C363" s="37" t="n"/>
      <c r="D363" s="37" t="n"/>
      <c r="E363" s="37" t="n"/>
      <c r="F363" s="10">
        <f>IF(E363="","",IF(COUNTIF(lst_Jobs,E363&amp;"")&gt;0,"OK","CHECK"))</f>
        <v/>
      </c>
      <c r="G363" s="37" t="n"/>
      <c r="H363" s="37" t="n"/>
      <c r="I363" s="39" t="n"/>
      <c r="J363" s="37" t="n"/>
      <c r="K363" s="42" t="n"/>
      <c r="L363" s="44" t="n"/>
      <c r="M363" s="11">
        <f>IF(E363="","",SUMIFS(tbl_Finance[Xero Invoiced Ex GST],tbl_Finance[Job Number],E363&amp;""))</f>
        <v/>
      </c>
      <c r="N363" s="11">
        <f>IF(J363&lt;&gt;"Won","",IF(E363="",N(I363),N(I363)-N(M363)))</f>
        <v/>
      </c>
      <c r="O363" s="37" t="n"/>
    </row>
    <row r="364">
      <c r="A364" s="44" t="n"/>
      <c r="B364" s="37" t="n"/>
      <c r="C364" s="37" t="n"/>
      <c r="D364" s="37" t="n"/>
      <c r="E364" s="37" t="n"/>
      <c r="F364" s="10">
        <f>IF(E364="","",IF(COUNTIF(lst_Jobs,E364&amp;"")&gt;0,"OK","CHECK"))</f>
        <v/>
      </c>
      <c r="G364" s="37" t="n"/>
      <c r="H364" s="37" t="n"/>
      <c r="I364" s="39" t="n"/>
      <c r="J364" s="37" t="n"/>
      <c r="K364" s="42" t="n"/>
      <c r="L364" s="44" t="n"/>
      <c r="M364" s="11">
        <f>IF(E364="","",SUMIFS(tbl_Finance[Xero Invoiced Ex GST],tbl_Finance[Job Number],E364&amp;""))</f>
        <v/>
      </c>
      <c r="N364" s="11">
        <f>IF(J364&lt;&gt;"Won","",IF(E364="",N(I364),N(I364)-N(M364)))</f>
        <v/>
      </c>
      <c r="O364" s="37" t="n"/>
    </row>
    <row r="365">
      <c r="A365" s="44" t="n"/>
      <c r="B365" s="37" t="n"/>
      <c r="C365" s="37" t="n"/>
      <c r="D365" s="37" t="n"/>
      <c r="E365" s="37" t="n"/>
      <c r="F365" s="10">
        <f>IF(E365="","",IF(COUNTIF(lst_Jobs,E365&amp;"")&gt;0,"OK","CHECK"))</f>
        <v/>
      </c>
      <c r="G365" s="37" t="n"/>
      <c r="H365" s="37" t="n"/>
      <c r="I365" s="39" t="n"/>
      <c r="J365" s="37" t="n"/>
      <c r="K365" s="42" t="n"/>
      <c r="L365" s="44" t="n"/>
      <c r="M365" s="11">
        <f>IF(E365="","",SUMIFS(tbl_Finance[Xero Invoiced Ex GST],tbl_Finance[Job Number],E365&amp;""))</f>
        <v/>
      </c>
      <c r="N365" s="11">
        <f>IF(J365&lt;&gt;"Won","",IF(E365="",N(I365),N(I365)-N(M365)))</f>
        <v/>
      </c>
      <c r="O365" s="37" t="n"/>
    </row>
    <row r="366">
      <c r="A366" s="44" t="n"/>
      <c r="B366" s="37" t="n"/>
      <c r="C366" s="37" t="n"/>
      <c r="D366" s="37" t="n"/>
      <c r="E366" s="37" t="n"/>
      <c r="F366" s="10">
        <f>IF(E366="","",IF(COUNTIF(lst_Jobs,E366&amp;"")&gt;0,"OK","CHECK"))</f>
        <v/>
      </c>
      <c r="G366" s="37" t="n"/>
      <c r="H366" s="37" t="n"/>
      <c r="I366" s="39" t="n"/>
      <c r="J366" s="37" t="n"/>
      <c r="K366" s="42" t="n"/>
      <c r="L366" s="44" t="n"/>
      <c r="M366" s="11">
        <f>IF(E366="","",SUMIFS(tbl_Finance[Xero Invoiced Ex GST],tbl_Finance[Job Number],E366&amp;""))</f>
        <v/>
      </c>
      <c r="N366" s="11">
        <f>IF(J366&lt;&gt;"Won","",IF(E366="",N(I366),N(I366)-N(M366)))</f>
        <v/>
      </c>
      <c r="O366" s="37" t="n"/>
    </row>
    <row r="367">
      <c r="A367" s="44" t="n"/>
      <c r="B367" s="37" t="n"/>
      <c r="C367" s="37" t="n"/>
      <c r="D367" s="37" t="n"/>
      <c r="E367" s="37" t="n"/>
      <c r="F367" s="10">
        <f>IF(E367="","",IF(COUNTIF(lst_Jobs,E367&amp;"")&gt;0,"OK","CHECK"))</f>
        <v/>
      </c>
      <c r="G367" s="37" t="n"/>
      <c r="H367" s="37" t="n"/>
      <c r="I367" s="39" t="n"/>
      <c r="J367" s="37" t="n"/>
      <c r="K367" s="42" t="n"/>
      <c r="L367" s="44" t="n"/>
      <c r="M367" s="11">
        <f>IF(E367="","",SUMIFS(tbl_Finance[Xero Invoiced Ex GST],tbl_Finance[Job Number],E367&amp;""))</f>
        <v/>
      </c>
      <c r="N367" s="11">
        <f>IF(J367&lt;&gt;"Won","",IF(E367="",N(I367),N(I367)-N(M367)))</f>
        <v/>
      </c>
      <c r="O367" s="37" t="n"/>
    </row>
    <row r="368">
      <c r="A368" s="44" t="n"/>
      <c r="B368" s="37" t="n"/>
      <c r="C368" s="37" t="n"/>
      <c r="D368" s="37" t="n"/>
      <c r="E368" s="37" t="n"/>
      <c r="F368" s="10">
        <f>IF(E368="","",IF(COUNTIF(lst_Jobs,E368&amp;"")&gt;0,"OK","CHECK"))</f>
        <v/>
      </c>
      <c r="G368" s="37" t="n"/>
      <c r="H368" s="37" t="n"/>
      <c r="I368" s="39" t="n"/>
      <c r="J368" s="37" t="n"/>
      <c r="K368" s="42" t="n"/>
      <c r="L368" s="44" t="n"/>
      <c r="M368" s="11">
        <f>IF(E368="","",SUMIFS(tbl_Finance[Xero Invoiced Ex GST],tbl_Finance[Job Number],E368&amp;""))</f>
        <v/>
      </c>
      <c r="N368" s="11">
        <f>IF(J368&lt;&gt;"Won","",IF(E368="",N(I368),N(I368)-N(M368)))</f>
        <v/>
      </c>
      <c r="O368" s="37" t="n"/>
    </row>
    <row r="369">
      <c r="A369" s="44" t="n"/>
      <c r="B369" s="37" t="n"/>
      <c r="C369" s="37" t="n"/>
      <c r="D369" s="37" t="n"/>
      <c r="E369" s="37" t="n"/>
      <c r="F369" s="10">
        <f>IF(E369="","",IF(COUNTIF(lst_Jobs,E369&amp;"")&gt;0,"OK","CHECK"))</f>
        <v/>
      </c>
      <c r="G369" s="37" t="n"/>
      <c r="H369" s="37" t="n"/>
      <c r="I369" s="39" t="n"/>
      <c r="J369" s="37" t="n"/>
      <c r="K369" s="42" t="n"/>
      <c r="L369" s="44" t="n"/>
      <c r="M369" s="11">
        <f>IF(E369="","",SUMIFS(tbl_Finance[Xero Invoiced Ex GST],tbl_Finance[Job Number],E369&amp;""))</f>
        <v/>
      </c>
      <c r="N369" s="11">
        <f>IF(J369&lt;&gt;"Won","",IF(E369="",N(I369),N(I369)-N(M369)))</f>
        <v/>
      </c>
      <c r="O369" s="37" t="n"/>
    </row>
    <row r="370">
      <c r="A370" s="44" t="n"/>
      <c r="B370" s="37" t="n"/>
      <c r="C370" s="37" t="n"/>
      <c r="D370" s="37" t="n"/>
      <c r="E370" s="37" t="n"/>
      <c r="F370" s="10">
        <f>IF(E370="","",IF(COUNTIF(lst_Jobs,E370&amp;"")&gt;0,"OK","CHECK"))</f>
        <v/>
      </c>
      <c r="G370" s="37" t="n"/>
      <c r="H370" s="37" t="n"/>
      <c r="I370" s="39" t="n"/>
      <c r="J370" s="37" t="n"/>
      <c r="K370" s="42" t="n"/>
      <c r="L370" s="44" t="n"/>
      <c r="M370" s="11">
        <f>IF(E370="","",SUMIFS(tbl_Finance[Xero Invoiced Ex GST],tbl_Finance[Job Number],E370&amp;""))</f>
        <v/>
      </c>
      <c r="N370" s="11">
        <f>IF(J370&lt;&gt;"Won","",IF(E370="",N(I370),N(I370)-N(M370)))</f>
        <v/>
      </c>
      <c r="O370" s="37" t="n"/>
    </row>
    <row r="371">
      <c r="A371" s="44" t="n"/>
      <c r="B371" s="37" t="n"/>
      <c r="C371" s="37" t="n"/>
      <c r="D371" s="37" t="n"/>
      <c r="E371" s="37" t="n"/>
      <c r="F371" s="10">
        <f>IF(E371="","",IF(COUNTIF(lst_Jobs,E371&amp;"")&gt;0,"OK","CHECK"))</f>
        <v/>
      </c>
      <c r="G371" s="37" t="n"/>
      <c r="H371" s="37" t="n"/>
      <c r="I371" s="39" t="n"/>
      <c r="J371" s="37" t="n"/>
      <c r="K371" s="42" t="n"/>
      <c r="L371" s="44" t="n"/>
      <c r="M371" s="11">
        <f>IF(E371="","",SUMIFS(tbl_Finance[Xero Invoiced Ex GST],tbl_Finance[Job Number],E371&amp;""))</f>
        <v/>
      </c>
      <c r="N371" s="11">
        <f>IF(J371&lt;&gt;"Won","",IF(E371="",N(I371),N(I371)-N(M371)))</f>
        <v/>
      </c>
      <c r="O371" s="37" t="n"/>
    </row>
    <row r="372">
      <c r="A372" s="44" t="n"/>
      <c r="B372" s="37" t="n"/>
      <c r="C372" s="37" t="n"/>
      <c r="D372" s="37" t="n"/>
      <c r="E372" s="37" t="n"/>
      <c r="F372" s="10">
        <f>IF(E372="","",IF(COUNTIF(lst_Jobs,E372&amp;"")&gt;0,"OK","CHECK"))</f>
        <v/>
      </c>
      <c r="G372" s="37" t="n"/>
      <c r="H372" s="37" t="n"/>
      <c r="I372" s="39" t="n"/>
      <c r="J372" s="37" t="n"/>
      <c r="K372" s="42" t="n"/>
      <c r="L372" s="44" t="n"/>
      <c r="M372" s="11">
        <f>IF(E372="","",SUMIFS(tbl_Finance[Xero Invoiced Ex GST],tbl_Finance[Job Number],E372&amp;""))</f>
        <v/>
      </c>
      <c r="N372" s="11">
        <f>IF(J372&lt;&gt;"Won","",IF(E372="",N(I372),N(I372)-N(M372)))</f>
        <v/>
      </c>
      <c r="O372" s="37" t="n"/>
    </row>
    <row r="373">
      <c r="A373" s="44" t="n"/>
      <c r="B373" s="37" t="n"/>
      <c r="C373" s="37" t="n"/>
      <c r="D373" s="37" t="n"/>
      <c r="E373" s="37" t="n"/>
      <c r="F373" s="10">
        <f>IF(E373="","",IF(COUNTIF(lst_Jobs,E373&amp;"")&gt;0,"OK","CHECK"))</f>
        <v/>
      </c>
      <c r="G373" s="37" t="n"/>
      <c r="H373" s="37" t="n"/>
      <c r="I373" s="39" t="n"/>
      <c r="J373" s="37" t="n"/>
      <c r="K373" s="42" t="n"/>
      <c r="L373" s="44" t="n"/>
      <c r="M373" s="11">
        <f>IF(E373="","",SUMIFS(tbl_Finance[Xero Invoiced Ex GST],tbl_Finance[Job Number],E373&amp;""))</f>
        <v/>
      </c>
      <c r="N373" s="11">
        <f>IF(J373&lt;&gt;"Won","",IF(E373="",N(I373),N(I373)-N(M373)))</f>
        <v/>
      </c>
      <c r="O373" s="37" t="n"/>
    </row>
    <row r="374">
      <c r="A374" s="44" t="n"/>
      <c r="B374" s="37" t="n"/>
      <c r="C374" s="37" t="n"/>
      <c r="D374" s="37" t="n"/>
      <c r="E374" s="37" t="n"/>
      <c r="F374" s="10">
        <f>IF(E374="","",IF(COUNTIF(lst_Jobs,E374&amp;"")&gt;0,"OK","CHECK"))</f>
        <v/>
      </c>
      <c r="G374" s="37" t="n"/>
      <c r="H374" s="37" t="n"/>
      <c r="I374" s="39" t="n"/>
      <c r="J374" s="37" t="n"/>
      <c r="K374" s="42" t="n"/>
      <c r="L374" s="44" t="n"/>
      <c r="M374" s="11">
        <f>IF(E374="","",SUMIFS(tbl_Finance[Xero Invoiced Ex GST],tbl_Finance[Job Number],E374&amp;""))</f>
        <v/>
      </c>
      <c r="N374" s="11">
        <f>IF(J374&lt;&gt;"Won","",IF(E374="",N(I374),N(I374)-N(M374)))</f>
        <v/>
      </c>
      <c r="O374" s="37" t="n"/>
    </row>
    <row r="375">
      <c r="A375" s="44" t="n"/>
      <c r="B375" s="37" t="n"/>
      <c r="C375" s="37" t="n"/>
      <c r="D375" s="37" t="n"/>
      <c r="E375" s="37" t="n"/>
      <c r="F375" s="10">
        <f>IF(E375="","",IF(COUNTIF(lst_Jobs,E375&amp;"")&gt;0,"OK","CHECK"))</f>
        <v/>
      </c>
      <c r="G375" s="37" t="n"/>
      <c r="H375" s="37" t="n"/>
      <c r="I375" s="39" t="n"/>
      <c r="J375" s="37" t="n"/>
      <c r="K375" s="42" t="n"/>
      <c r="L375" s="44" t="n"/>
      <c r="M375" s="11">
        <f>IF(E375="","",SUMIFS(tbl_Finance[Xero Invoiced Ex GST],tbl_Finance[Job Number],E375&amp;""))</f>
        <v/>
      </c>
      <c r="N375" s="11">
        <f>IF(J375&lt;&gt;"Won","",IF(E375="",N(I375),N(I375)-N(M375)))</f>
        <v/>
      </c>
      <c r="O375" s="37" t="n"/>
    </row>
    <row r="376">
      <c r="A376" s="44" t="n"/>
      <c r="B376" s="37" t="n"/>
      <c r="C376" s="37" t="n"/>
      <c r="D376" s="37" t="n"/>
      <c r="E376" s="37" t="n"/>
      <c r="F376" s="10">
        <f>IF(E376="","",IF(COUNTIF(lst_Jobs,E376&amp;"")&gt;0,"OK","CHECK"))</f>
        <v/>
      </c>
      <c r="G376" s="37" t="n"/>
      <c r="H376" s="37" t="n"/>
      <c r="I376" s="39" t="n"/>
      <c r="J376" s="37" t="n"/>
      <c r="K376" s="42" t="n"/>
      <c r="L376" s="44" t="n"/>
      <c r="M376" s="11">
        <f>IF(E376="","",SUMIFS(tbl_Finance[Xero Invoiced Ex GST],tbl_Finance[Job Number],E376&amp;""))</f>
        <v/>
      </c>
      <c r="N376" s="11">
        <f>IF(J376&lt;&gt;"Won","",IF(E376="",N(I376),N(I376)-N(M376)))</f>
        <v/>
      </c>
      <c r="O376" s="37" t="n"/>
    </row>
    <row r="377">
      <c r="A377" s="44" t="n"/>
      <c r="B377" s="37" t="n"/>
      <c r="C377" s="37" t="n"/>
      <c r="D377" s="37" t="n"/>
      <c r="E377" s="37" t="n"/>
      <c r="F377" s="10">
        <f>IF(E377="","",IF(COUNTIF(lst_Jobs,E377&amp;"")&gt;0,"OK","CHECK"))</f>
        <v/>
      </c>
      <c r="G377" s="37" t="n"/>
      <c r="H377" s="37" t="n"/>
      <c r="I377" s="39" t="n"/>
      <c r="J377" s="37" t="n"/>
      <c r="K377" s="42" t="n"/>
      <c r="L377" s="44" t="n"/>
      <c r="M377" s="11">
        <f>IF(E377="","",SUMIFS(tbl_Finance[Xero Invoiced Ex GST],tbl_Finance[Job Number],E377&amp;""))</f>
        <v/>
      </c>
      <c r="N377" s="11">
        <f>IF(J377&lt;&gt;"Won","",IF(E377="",N(I377),N(I377)-N(M377)))</f>
        <v/>
      </c>
      <c r="O377" s="37" t="n"/>
    </row>
    <row r="378">
      <c r="A378" s="44" t="n"/>
      <c r="B378" s="37" t="n"/>
      <c r="C378" s="37" t="n"/>
      <c r="D378" s="37" t="n"/>
      <c r="E378" s="37" t="n"/>
      <c r="F378" s="10">
        <f>IF(E378="","",IF(COUNTIF(lst_Jobs,E378&amp;"")&gt;0,"OK","CHECK"))</f>
        <v/>
      </c>
      <c r="G378" s="37" t="n"/>
      <c r="H378" s="37" t="n"/>
      <c r="I378" s="39" t="n"/>
      <c r="J378" s="37" t="n"/>
      <c r="K378" s="42" t="n"/>
      <c r="L378" s="44" t="n"/>
      <c r="M378" s="11">
        <f>IF(E378="","",SUMIFS(tbl_Finance[Xero Invoiced Ex GST],tbl_Finance[Job Number],E378&amp;""))</f>
        <v/>
      </c>
      <c r="N378" s="11">
        <f>IF(J378&lt;&gt;"Won","",IF(E378="",N(I378),N(I378)-N(M378)))</f>
        <v/>
      </c>
      <c r="O378" s="37" t="n"/>
    </row>
    <row r="379">
      <c r="A379" s="44" t="n"/>
      <c r="B379" s="37" t="n"/>
      <c r="C379" s="37" t="n"/>
      <c r="D379" s="37" t="n"/>
      <c r="E379" s="37" t="n"/>
      <c r="F379" s="10">
        <f>IF(E379="","",IF(COUNTIF(lst_Jobs,E379&amp;"")&gt;0,"OK","CHECK"))</f>
        <v/>
      </c>
      <c r="G379" s="37" t="n"/>
      <c r="H379" s="37" t="n"/>
      <c r="I379" s="39" t="n"/>
      <c r="J379" s="37" t="n"/>
      <c r="K379" s="42" t="n"/>
      <c r="L379" s="44" t="n"/>
      <c r="M379" s="11">
        <f>IF(E379="","",SUMIFS(tbl_Finance[Xero Invoiced Ex GST],tbl_Finance[Job Number],E379&amp;""))</f>
        <v/>
      </c>
      <c r="N379" s="11">
        <f>IF(J379&lt;&gt;"Won","",IF(E379="",N(I379),N(I379)-N(M379)))</f>
        <v/>
      </c>
      <c r="O379" s="37" t="n"/>
    </row>
    <row r="380">
      <c r="A380" s="44" t="n"/>
      <c r="B380" s="37" t="n"/>
      <c r="C380" s="37" t="n"/>
      <c r="D380" s="37" t="n"/>
      <c r="E380" s="37" t="n"/>
      <c r="F380" s="10">
        <f>IF(E380="","",IF(COUNTIF(lst_Jobs,E380&amp;"")&gt;0,"OK","CHECK"))</f>
        <v/>
      </c>
      <c r="G380" s="37" t="n"/>
      <c r="H380" s="37" t="n"/>
      <c r="I380" s="39" t="n"/>
      <c r="J380" s="37" t="n"/>
      <c r="K380" s="42" t="n"/>
      <c r="L380" s="44" t="n"/>
      <c r="M380" s="11">
        <f>IF(E380="","",SUMIFS(tbl_Finance[Xero Invoiced Ex GST],tbl_Finance[Job Number],E380&amp;""))</f>
        <v/>
      </c>
      <c r="N380" s="11">
        <f>IF(J380&lt;&gt;"Won","",IF(E380="",N(I380),N(I380)-N(M380)))</f>
        <v/>
      </c>
      <c r="O380" s="37" t="n"/>
    </row>
    <row r="381">
      <c r="A381" s="44" t="n"/>
      <c r="B381" s="37" t="n"/>
      <c r="C381" s="37" t="n"/>
      <c r="D381" s="37" t="n"/>
      <c r="E381" s="37" t="n"/>
      <c r="F381" s="10">
        <f>IF(E381="","",IF(COUNTIF(lst_Jobs,E381&amp;"")&gt;0,"OK","CHECK"))</f>
        <v/>
      </c>
      <c r="G381" s="37" t="n"/>
      <c r="H381" s="37" t="n"/>
      <c r="I381" s="39" t="n"/>
      <c r="J381" s="37" t="n"/>
      <c r="K381" s="42" t="n"/>
      <c r="L381" s="44" t="n"/>
      <c r="M381" s="11">
        <f>IF(E381="","",SUMIFS(tbl_Finance[Xero Invoiced Ex GST],tbl_Finance[Job Number],E381&amp;""))</f>
        <v/>
      </c>
      <c r="N381" s="11">
        <f>IF(J381&lt;&gt;"Won","",IF(E381="",N(I381),N(I381)-N(M381)))</f>
        <v/>
      </c>
      <c r="O381" s="37" t="n"/>
    </row>
    <row r="382">
      <c r="A382" s="44" t="n"/>
      <c r="B382" s="37" t="n"/>
      <c r="C382" s="37" t="n"/>
      <c r="D382" s="37" t="n"/>
      <c r="E382" s="37" t="n"/>
      <c r="F382" s="10">
        <f>IF(E382="","",IF(COUNTIF(lst_Jobs,E382&amp;"")&gt;0,"OK","CHECK"))</f>
        <v/>
      </c>
      <c r="G382" s="37" t="n"/>
      <c r="H382" s="37" t="n"/>
      <c r="I382" s="39" t="n"/>
      <c r="J382" s="37" t="n"/>
      <c r="K382" s="42" t="n"/>
      <c r="L382" s="44" t="n"/>
      <c r="M382" s="11">
        <f>IF(E382="","",SUMIFS(tbl_Finance[Xero Invoiced Ex GST],tbl_Finance[Job Number],E382&amp;""))</f>
        <v/>
      </c>
      <c r="N382" s="11">
        <f>IF(J382&lt;&gt;"Won","",IF(E382="",N(I382),N(I382)-N(M382)))</f>
        <v/>
      </c>
      <c r="O382" s="37" t="n"/>
    </row>
    <row r="383">
      <c r="A383" s="44" t="n"/>
      <c r="B383" s="37" t="n"/>
      <c r="C383" s="37" t="n"/>
      <c r="D383" s="37" t="n"/>
      <c r="E383" s="37" t="n"/>
      <c r="F383" s="10">
        <f>IF(E383="","",IF(COUNTIF(lst_Jobs,E383&amp;"")&gt;0,"OK","CHECK"))</f>
        <v/>
      </c>
      <c r="G383" s="37" t="n"/>
      <c r="H383" s="37" t="n"/>
      <c r="I383" s="39" t="n"/>
      <c r="J383" s="37" t="n"/>
      <c r="K383" s="42" t="n"/>
      <c r="L383" s="44" t="n"/>
      <c r="M383" s="11">
        <f>IF(E383="","",SUMIFS(tbl_Finance[Xero Invoiced Ex GST],tbl_Finance[Job Number],E383&amp;""))</f>
        <v/>
      </c>
      <c r="N383" s="11">
        <f>IF(J383&lt;&gt;"Won","",IF(E383="",N(I383),N(I383)-N(M383)))</f>
        <v/>
      </c>
      <c r="O383" s="37" t="n"/>
    </row>
    <row r="384">
      <c r="A384" s="44" t="n"/>
      <c r="B384" s="37" t="n"/>
      <c r="C384" s="37" t="n"/>
      <c r="D384" s="37" t="n"/>
      <c r="E384" s="37" t="n"/>
      <c r="F384" s="10">
        <f>IF(E384="","",IF(COUNTIF(lst_Jobs,E384&amp;"")&gt;0,"OK","CHECK"))</f>
        <v/>
      </c>
      <c r="G384" s="37" t="n"/>
      <c r="H384" s="37" t="n"/>
      <c r="I384" s="39" t="n"/>
      <c r="J384" s="37" t="n"/>
      <c r="K384" s="42" t="n"/>
      <c r="L384" s="44" t="n"/>
      <c r="M384" s="11">
        <f>IF(E384="","",SUMIFS(tbl_Finance[Xero Invoiced Ex GST],tbl_Finance[Job Number],E384&amp;""))</f>
        <v/>
      </c>
      <c r="N384" s="11">
        <f>IF(J384&lt;&gt;"Won","",IF(E384="",N(I384),N(I384)-N(M384)))</f>
        <v/>
      </c>
      <c r="O384" s="37" t="n"/>
    </row>
    <row r="385">
      <c r="A385" s="44" t="n"/>
      <c r="B385" s="37" t="n"/>
      <c r="C385" s="37" t="n"/>
      <c r="D385" s="37" t="n"/>
      <c r="E385" s="37" t="n"/>
      <c r="F385" s="10">
        <f>IF(E385="","",IF(COUNTIF(lst_Jobs,E385&amp;"")&gt;0,"OK","CHECK"))</f>
        <v/>
      </c>
      <c r="G385" s="37" t="n"/>
      <c r="H385" s="37" t="n"/>
      <c r="I385" s="39" t="n"/>
      <c r="J385" s="37" t="n"/>
      <c r="K385" s="42" t="n"/>
      <c r="L385" s="44" t="n"/>
      <c r="M385" s="11">
        <f>IF(E385="","",SUMIFS(tbl_Finance[Xero Invoiced Ex GST],tbl_Finance[Job Number],E385&amp;""))</f>
        <v/>
      </c>
      <c r="N385" s="11">
        <f>IF(J385&lt;&gt;"Won","",IF(E385="",N(I385),N(I385)-N(M385)))</f>
        <v/>
      </c>
      <c r="O385" s="37" t="n"/>
    </row>
    <row r="386">
      <c r="A386" s="44" t="n"/>
      <c r="B386" s="37" t="n"/>
      <c r="C386" s="37" t="n"/>
      <c r="D386" s="37" t="n"/>
      <c r="E386" s="37" t="n"/>
      <c r="F386" s="10">
        <f>IF(E386="","",IF(COUNTIF(lst_Jobs,E386&amp;"")&gt;0,"OK","CHECK"))</f>
        <v/>
      </c>
      <c r="G386" s="37" t="n"/>
      <c r="H386" s="37" t="n"/>
      <c r="I386" s="39" t="n"/>
      <c r="J386" s="37" t="n"/>
      <c r="K386" s="42" t="n"/>
      <c r="L386" s="44" t="n"/>
      <c r="M386" s="11">
        <f>IF(E386="","",SUMIFS(tbl_Finance[Xero Invoiced Ex GST],tbl_Finance[Job Number],E386&amp;""))</f>
        <v/>
      </c>
      <c r="N386" s="11">
        <f>IF(J386&lt;&gt;"Won","",IF(E386="",N(I386),N(I386)-N(M386)))</f>
        <v/>
      </c>
      <c r="O386" s="37" t="n"/>
    </row>
    <row r="387">
      <c r="A387" s="44" t="n"/>
      <c r="B387" s="37" t="n"/>
      <c r="C387" s="37" t="n"/>
      <c r="D387" s="37" t="n"/>
      <c r="E387" s="37" t="n"/>
      <c r="F387" s="10">
        <f>IF(E387="","",IF(COUNTIF(lst_Jobs,E387&amp;"")&gt;0,"OK","CHECK"))</f>
        <v/>
      </c>
      <c r="G387" s="37" t="n"/>
      <c r="H387" s="37" t="n"/>
      <c r="I387" s="39" t="n"/>
      <c r="J387" s="37" t="n"/>
      <c r="K387" s="42" t="n"/>
      <c r="L387" s="44" t="n"/>
      <c r="M387" s="11">
        <f>IF(E387="","",SUMIFS(tbl_Finance[Xero Invoiced Ex GST],tbl_Finance[Job Number],E387&amp;""))</f>
        <v/>
      </c>
      <c r="N387" s="11">
        <f>IF(J387&lt;&gt;"Won","",IF(E387="",N(I387),N(I387)-N(M387)))</f>
        <v/>
      </c>
      <c r="O387" s="37" t="n"/>
    </row>
    <row r="388">
      <c r="A388" s="44" t="n"/>
      <c r="B388" s="37" t="n"/>
      <c r="C388" s="37" t="n"/>
      <c r="D388" s="37" t="n"/>
      <c r="E388" s="37" t="n"/>
      <c r="F388" s="10">
        <f>IF(E388="","",IF(COUNTIF(lst_Jobs,E388&amp;"")&gt;0,"OK","CHECK"))</f>
        <v/>
      </c>
      <c r="G388" s="37" t="n"/>
      <c r="H388" s="37" t="n"/>
      <c r="I388" s="39" t="n"/>
      <c r="J388" s="37" t="n"/>
      <c r="K388" s="42" t="n"/>
      <c r="L388" s="44" t="n"/>
      <c r="M388" s="11">
        <f>IF(E388="","",SUMIFS(tbl_Finance[Xero Invoiced Ex GST],tbl_Finance[Job Number],E388&amp;""))</f>
        <v/>
      </c>
      <c r="N388" s="11">
        <f>IF(J388&lt;&gt;"Won","",IF(E388="",N(I388),N(I388)-N(M388)))</f>
        <v/>
      </c>
      <c r="O388" s="37" t="n"/>
    </row>
    <row r="389">
      <c r="A389" s="44" t="n"/>
      <c r="B389" s="37" t="n"/>
      <c r="C389" s="37" t="n"/>
      <c r="D389" s="37" t="n"/>
      <c r="E389" s="37" t="n"/>
      <c r="F389" s="10">
        <f>IF(E389="","",IF(COUNTIF(lst_Jobs,E389&amp;"")&gt;0,"OK","CHECK"))</f>
        <v/>
      </c>
      <c r="G389" s="37" t="n"/>
      <c r="H389" s="37" t="n"/>
      <c r="I389" s="39" t="n"/>
      <c r="J389" s="37" t="n"/>
      <c r="K389" s="42" t="n"/>
      <c r="L389" s="44" t="n"/>
      <c r="M389" s="11">
        <f>IF(E389="","",SUMIFS(tbl_Finance[Xero Invoiced Ex GST],tbl_Finance[Job Number],E389&amp;""))</f>
        <v/>
      </c>
      <c r="N389" s="11">
        <f>IF(J389&lt;&gt;"Won","",IF(E389="",N(I389),N(I389)-N(M389)))</f>
        <v/>
      </c>
      <c r="O389" s="37" t="n"/>
    </row>
    <row r="390">
      <c r="A390" s="44" t="n"/>
      <c r="B390" s="37" t="n"/>
      <c r="C390" s="37" t="n"/>
      <c r="D390" s="37" t="n"/>
      <c r="E390" s="37" t="n"/>
      <c r="F390" s="10">
        <f>IF(E390="","",IF(COUNTIF(lst_Jobs,E390&amp;"")&gt;0,"OK","CHECK"))</f>
        <v/>
      </c>
      <c r="G390" s="37" t="n"/>
      <c r="H390" s="37" t="n"/>
      <c r="I390" s="39" t="n"/>
      <c r="J390" s="37" t="n"/>
      <c r="K390" s="42" t="n"/>
      <c r="L390" s="44" t="n"/>
      <c r="M390" s="11">
        <f>IF(E390="","",SUMIFS(tbl_Finance[Xero Invoiced Ex GST],tbl_Finance[Job Number],E390&amp;""))</f>
        <v/>
      </c>
      <c r="N390" s="11">
        <f>IF(J390&lt;&gt;"Won","",IF(E390="",N(I390),N(I390)-N(M390)))</f>
        <v/>
      </c>
      <c r="O390" s="37" t="n"/>
    </row>
    <row r="391">
      <c r="A391" s="44" t="n"/>
      <c r="B391" s="37" t="n"/>
      <c r="C391" s="37" t="n"/>
      <c r="D391" s="37" t="n"/>
      <c r="E391" s="37" t="n"/>
      <c r="F391" s="10">
        <f>IF(E391="","",IF(COUNTIF(lst_Jobs,E391&amp;"")&gt;0,"OK","CHECK"))</f>
        <v/>
      </c>
      <c r="G391" s="37" t="n"/>
      <c r="H391" s="37" t="n"/>
      <c r="I391" s="39" t="n"/>
      <c r="J391" s="37" t="n"/>
      <c r="K391" s="42" t="n"/>
      <c r="L391" s="44" t="n"/>
      <c r="M391" s="11">
        <f>IF(E391="","",SUMIFS(tbl_Finance[Xero Invoiced Ex GST],tbl_Finance[Job Number],E391&amp;""))</f>
        <v/>
      </c>
      <c r="N391" s="11">
        <f>IF(J391&lt;&gt;"Won","",IF(E391="",N(I391),N(I391)-N(M391)))</f>
        <v/>
      </c>
      <c r="O391" s="37" t="n"/>
    </row>
    <row r="392">
      <c r="A392" s="44" t="n"/>
      <c r="B392" s="37" t="n"/>
      <c r="C392" s="37" t="n"/>
      <c r="D392" s="37" t="n"/>
      <c r="E392" s="37" t="n"/>
      <c r="F392" s="10">
        <f>IF(E392="","",IF(COUNTIF(lst_Jobs,E392&amp;"")&gt;0,"OK","CHECK"))</f>
        <v/>
      </c>
      <c r="G392" s="37" t="n"/>
      <c r="H392" s="37" t="n"/>
      <c r="I392" s="39" t="n"/>
      <c r="J392" s="37" t="n"/>
      <c r="K392" s="42" t="n"/>
      <c r="L392" s="44" t="n"/>
      <c r="M392" s="11">
        <f>IF(E392="","",SUMIFS(tbl_Finance[Xero Invoiced Ex GST],tbl_Finance[Job Number],E392&amp;""))</f>
        <v/>
      </c>
      <c r="N392" s="11">
        <f>IF(J392&lt;&gt;"Won","",IF(E392="",N(I392),N(I392)-N(M392)))</f>
        <v/>
      </c>
      <c r="O392" s="37" t="n"/>
    </row>
    <row r="393">
      <c r="A393" s="44" t="n"/>
      <c r="B393" s="37" t="n"/>
      <c r="C393" s="37" t="n"/>
      <c r="D393" s="37" t="n"/>
      <c r="E393" s="37" t="n"/>
      <c r="F393" s="10">
        <f>IF(E393="","",IF(COUNTIF(lst_Jobs,E393&amp;"")&gt;0,"OK","CHECK"))</f>
        <v/>
      </c>
      <c r="G393" s="37" t="n"/>
      <c r="H393" s="37" t="n"/>
      <c r="I393" s="39" t="n"/>
      <c r="J393" s="37" t="n"/>
      <c r="K393" s="42" t="n"/>
      <c r="L393" s="44" t="n"/>
      <c r="M393" s="11">
        <f>IF(E393="","",SUMIFS(tbl_Finance[Xero Invoiced Ex GST],tbl_Finance[Job Number],E393&amp;""))</f>
        <v/>
      </c>
      <c r="N393" s="11">
        <f>IF(J393&lt;&gt;"Won","",IF(E393="",N(I393),N(I393)-N(M393)))</f>
        <v/>
      </c>
      <c r="O393" s="37" t="n"/>
    </row>
    <row r="394">
      <c r="A394" s="44" t="n"/>
      <c r="B394" s="37" t="n"/>
      <c r="C394" s="37" t="n"/>
      <c r="D394" s="37" t="n"/>
      <c r="E394" s="37" t="n"/>
      <c r="F394" s="10">
        <f>IF(E394="","",IF(COUNTIF(lst_Jobs,E394&amp;"")&gt;0,"OK","CHECK"))</f>
        <v/>
      </c>
      <c r="G394" s="37" t="n"/>
      <c r="H394" s="37" t="n"/>
      <c r="I394" s="39" t="n"/>
      <c r="J394" s="37" t="n"/>
      <c r="K394" s="42" t="n"/>
      <c r="L394" s="44" t="n"/>
      <c r="M394" s="11">
        <f>IF(E394="","",SUMIFS(tbl_Finance[Xero Invoiced Ex GST],tbl_Finance[Job Number],E394&amp;""))</f>
        <v/>
      </c>
      <c r="N394" s="11">
        <f>IF(J394&lt;&gt;"Won","",IF(E394="",N(I394),N(I394)-N(M394)))</f>
        <v/>
      </c>
      <c r="O394" s="37" t="n"/>
    </row>
    <row r="395">
      <c r="A395" s="44" t="n"/>
      <c r="B395" s="37" t="n"/>
      <c r="C395" s="37" t="n"/>
      <c r="D395" s="37" t="n"/>
      <c r="E395" s="37" t="n"/>
      <c r="F395" s="10">
        <f>IF(E395="","",IF(COUNTIF(lst_Jobs,E395&amp;"")&gt;0,"OK","CHECK"))</f>
        <v/>
      </c>
      <c r="G395" s="37" t="n"/>
      <c r="H395" s="37" t="n"/>
      <c r="I395" s="39" t="n"/>
      <c r="J395" s="37" t="n"/>
      <c r="K395" s="42" t="n"/>
      <c r="L395" s="44" t="n"/>
      <c r="M395" s="11">
        <f>IF(E395="","",SUMIFS(tbl_Finance[Xero Invoiced Ex GST],tbl_Finance[Job Number],E395&amp;""))</f>
        <v/>
      </c>
      <c r="N395" s="11">
        <f>IF(J395&lt;&gt;"Won","",IF(E395="",N(I395),N(I395)-N(M395)))</f>
        <v/>
      </c>
      <c r="O395" s="37" t="n"/>
    </row>
    <row r="396">
      <c r="A396" s="44" t="n"/>
      <c r="B396" s="37" t="n"/>
      <c r="C396" s="37" t="n"/>
      <c r="D396" s="37" t="n"/>
      <c r="E396" s="37" t="n"/>
      <c r="F396" s="10">
        <f>IF(E396="","",IF(COUNTIF(lst_Jobs,E396&amp;"")&gt;0,"OK","CHECK"))</f>
        <v/>
      </c>
      <c r="G396" s="37" t="n"/>
      <c r="H396" s="37" t="n"/>
      <c r="I396" s="39" t="n"/>
      <c r="J396" s="37" t="n"/>
      <c r="K396" s="42" t="n"/>
      <c r="L396" s="44" t="n"/>
      <c r="M396" s="11">
        <f>IF(E396="","",SUMIFS(tbl_Finance[Xero Invoiced Ex GST],tbl_Finance[Job Number],E396&amp;""))</f>
        <v/>
      </c>
      <c r="N396" s="11">
        <f>IF(J396&lt;&gt;"Won","",IF(E396="",N(I396),N(I396)-N(M396)))</f>
        <v/>
      </c>
      <c r="O396" s="37" t="n"/>
    </row>
    <row r="397">
      <c r="A397" s="44" t="n"/>
      <c r="B397" s="37" t="n"/>
      <c r="C397" s="37" t="n"/>
      <c r="D397" s="37" t="n"/>
      <c r="E397" s="37" t="n"/>
      <c r="F397" s="10">
        <f>IF(E397="","",IF(COUNTIF(lst_Jobs,E397&amp;"")&gt;0,"OK","CHECK"))</f>
        <v/>
      </c>
      <c r="G397" s="37" t="n"/>
      <c r="H397" s="37" t="n"/>
      <c r="I397" s="39" t="n"/>
      <c r="J397" s="37" t="n"/>
      <c r="K397" s="42" t="n"/>
      <c r="L397" s="44" t="n"/>
      <c r="M397" s="11">
        <f>IF(E397="","",SUMIFS(tbl_Finance[Xero Invoiced Ex GST],tbl_Finance[Job Number],E397&amp;""))</f>
        <v/>
      </c>
      <c r="N397" s="11">
        <f>IF(J397&lt;&gt;"Won","",IF(E397="",N(I397),N(I397)-N(M397)))</f>
        <v/>
      </c>
      <c r="O397" s="37" t="n"/>
    </row>
    <row r="398">
      <c r="A398" s="44" t="n"/>
      <c r="B398" s="37" t="n"/>
      <c r="C398" s="37" t="n"/>
      <c r="D398" s="37" t="n"/>
      <c r="E398" s="37" t="n"/>
      <c r="F398" s="10">
        <f>IF(E398="","",IF(COUNTIF(lst_Jobs,E398&amp;"")&gt;0,"OK","CHECK"))</f>
        <v/>
      </c>
      <c r="G398" s="37" t="n"/>
      <c r="H398" s="37" t="n"/>
      <c r="I398" s="39" t="n"/>
      <c r="J398" s="37" t="n"/>
      <c r="K398" s="42" t="n"/>
      <c r="L398" s="44" t="n"/>
      <c r="M398" s="11">
        <f>IF(E398="","",SUMIFS(tbl_Finance[Xero Invoiced Ex GST],tbl_Finance[Job Number],E398&amp;""))</f>
        <v/>
      </c>
      <c r="N398" s="11">
        <f>IF(J398&lt;&gt;"Won","",IF(E398="",N(I398),N(I398)-N(M398)))</f>
        <v/>
      </c>
      <c r="O398" s="37" t="n"/>
    </row>
    <row r="399">
      <c r="A399" s="44" t="n"/>
      <c r="B399" s="37" t="n"/>
      <c r="C399" s="37" t="n"/>
      <c r="D399" s="37" t="n"/>
      <c r="E399" s="37" t="n"/>
      <c r="F399" s="10">
        <f>IF(E399="","",IF(COUNTIF(lst_Jobs,E399&amp;"")&gt;0,"OK","CHECK"))</f>
        <v/>
      </c>
      <c r="G399" s="37" t="n"/>
      <c r="H399" s="37" t="n"/>
      <c r="I399" s="39" t="n"/>
      <c r="J399" s="37" t="n"/>
      <c r="K399" s="42" t="n"/>
      <c r="L399" s="44" t="n"/>
      <c r="M399" s="11">
        <f>IF(E399="","",SUMIFS(tbl_Finance[Xero Invoiced Ex GST],tbl_Finance[Job Number],E399&amp;""))</f>
        <v/>
      </c>
      <c r="N399" s="11">
        <f>IF(J399&lt;&gt;"Won","",IF(E399="",N(I399),N(I399)-N(M399)))</f>
        <v/>
      </c>
      <c r="O399" s="37" t="n"/>
    </row>
    <row r="400">
      <c r="A400" s="44" t="n"/>
      <c r="B400" s="37" t="n"/>
      <c r="C400" s="37" t="n"/>
      <c r="D400" s="37" t="n"/>
      <c r="E400" s="37" t="n"/>
      <c r="F400" s="10">
        <f>IF(E400="","",IF(COUNTIF(lst_Jobs,E400&amp;"")&gt;0,"OK","CHECK"))</f>
        <v/>
      </c>
      <c r="G400" s="37" t="n"/>
      <c r="H400" s="37" t="n"/>
      <c r="I400" s="39" t="n"/>
      <c r="J400" s="37" t="n"/>
      <c r="K400" s="42" t="n"/>
      <c r="L400" s="44" t="n"/>
      <c r="M400" s="11">
        <f>IF(E400="","",SUMIFS(tbl_Finance[Xero Invoiced Ex GST],tbl_Finance[Job Number],E400&amp;""))</f>
        <v/>
      </c>
      <c r="N400" s="11">
        <f>IF(J400&lt;&gt;"Won","",IF(E400="",N(I400),N(I400)-N(M400)))</f>
        <v/>
      </c>
      <c r="O400" s="37" t="n"/>
    </row>
    <row r="401">
      <c r="A401" s="44" t="n"/>
      <c r="B401" s="37" t="n"/>
      <c r="C401" s="37" t="n"/>
      <c r="D401" s="37" t="n"/>
      <c r="E401" s="37" t="n"/>
      <c r="F401" s="10">
        <f>IF(E401="","",IF(COUNTIF(lst_Jobs,E401&amp;"")&gt;0,"OK","CHECK"))</f>
        <v/>
      </c>
      <c r="G401" s="37" t="n"/>
      <c r="H401" s="37" t="n"/>
      <c r="I401" s="39" t="n"/>
      <c r="J401" s="37" t="n"/>
      <c r="K401" s="42" t="n"/>
      <c r="L401" s="44" t="n"/>
      <c r="M401" s="11">
        <f>IF(E401="","",SUMIFS(tbl_Finance[Xero Invoiced Ex GST],tbl_Finance[Job Number],E401&amp;""))</f>
        <v/>
      </c>
      <c r="N401" s="11">
        <f>IF(J401&lt;&gt;"Won","",IF(E401="",N(I401),N(I401)-N(M401)))</f>
        <v/>
      </c>
      <c r="O401" s="37" t="n"/>
    </row>
    <row r="402">
      <c r="A402" s="44" t="n"/>
      <c r="B402" s="37" t="n"/>
      <c r="C402" s="37" t="n"/>
      <c r="D402" s="37" t="n"/>
      <c r="E402" s="37" t="n"/>
      <c r="F402" s="10">
        <f>IF(E402="","",IF(COUNTIF(lst_Jobs,E402&amp;"")&gt;0,"OK","CHECK"))</f>
        <v/>
      </c>
      <c r="G402" s="37" t="n"/>
      <c r="H402" s="37" t="n"/>
      <c r="I402" s="39" t="n"/>
      <c r="J402" s="37" t="n"/>
      <c r="K402" s="42" t="n"/>
      <c r="L402" s="44" t="n"/>
      <c r="M402" s="11">
        <f>IF(E402="","",SUMIFS(tbl_Finance[Xero Invoiced Ex GST],tbl_Finance[Job Number],E402&amp;""))</f>
        <v/>
      </c>
      <c r="N402" s="11">
        <f>IF(J402&lt;&gt;"Won","",IF(E402="",N(I402),N(I402)-N(M402)))</f>
        <v/>
      </c>
      <c r="O402" s="37" t="n"/>
    </row>
    <row r="403">
      <c r="A403" s="44" t="n"/>
      <c r="B403" s="37" t="n"/>
      <c r="C403" s="37" t="n"/>
      <c r="D403" s="37" t="n"/>
      <c r="E403" s="37" t="n"/>
      <c r="F403" s="10">
        <f>IF(E403="","",IF(COUNTIF(lst_Jobs,E403&amp;"")&gt;0,"OK","CHECK"))</f>
        <v/>
      </c>
      <c r="G403" s="37" t="n"/>
      <c r="H403" s="37" t="n"/>
      <c r="I403" s="39" t="n"/>
      <c r="J403" s="37" t="n"/>
      <c r="K403" s="42" t="n"/>
      <c r="L403" s="44" t="n"/>
      <c r="M403" s="11">
        <f>IF(E403="","",SUMIFS(tbl_Finance[Xero Invoiced Ex GST],tbl_Finance[Job Number],E403&amp;""))</f>
        <v/>
      </c>
      <c r="N403" s="11">
        <f>IF(J403&lt;&gt;"Won","",IF(E403="",N(I403),N(I403)-N(M403)))</f>
        <v/>
      </c>
      <c r="O403" s="37" t="n"/>
    </row>
    <row r="404">
      <c r="A404" s="44" t="n"/>
      <c r="B404" s="37" t="n"/>
      <c r="C404" s="37" t="n"/>
      <c r="D404" s="37" t="n"/>
      <c r="E404" s="37" t="n"/>
      <c r="F404" s="10">
        <f>IF(E404="","",IF(COUNTIF(lst_Jobs,E404&amp;"")&gt;0,"OK","CHECK"))</f>
        <v/>
      </c>
      <c r="G404" s="37" t="n"/>
      <c r="H404" s="37" t="n"/>
      <c r="I404" s="39" t="n"/>
      <c r="J404" s="37" t="n"/>
      <c r="K404" s="42" t="n"/>
      <c r="L404" s="44" t="n"/>
      <c r="M404" s="11">
        <f>IF(E404="","",SUMIFS(tbl_Finance[Xero Invoiced Ex GST],tbl_Finance[Job Number],E404&amp;""))</f>
        <v/>
      </c>
      <c r="N404" s="11">
        <f>IF(J404&lt;&gt;"Won","",IF(E404="",N(I404),N(I404)-N(M404)))</f>
        <v/>
      </c>
      <c r="O404" s="37" t="n"/>
    </row>
    <row r="405">
      <c r="A405" s="44" t="n"/>
      <c r="B405" s="37" t="n"/>
      <c r="C405" s="37" t="n"/>
      <c r="D405" s="37" t="n"/>
      <c r="E405" s="37" t="n"/>
      <c r="F405" s="10">
        <f>IF(E405="","",IF(COUNTIF(lst_Jobs,E405&amp;"")&gt;0,"OK","CHECK"))</f>
        <v/>
      </c>
      <c r="G405" s="37" t="n"/>
      <c r="H405" s="37" t="n"/>
      <c r="I405" s="39" t="n"/>
      <c r="J405" s="37" t="n"/>
      <c r="K405" s="42" t="n"/>
      <c r="L405" s="44" t="n"/>
      <c r="M405" s="11">
        <f>IF(E405="","",SUMIFS(tbl_Finance[Xero Invoiced Ex GST],tbl_Finance[Job Number],E405&amp;""))</f>
        <v/>
      </c>
      <c r="N405" s="11">
        <f>IF(J405&lt;&gt;"Won","",IF(E405="",N(I405),N(I405)-N(M405)))</f>
        <v/>
      </c>
      <c r="O405" s="37" t="n"/>
    </row>
    <row r="406">
      <c r="A406" s="44" t="n"/>
      <c r="B406" s="37" t="n"/>
      <c r="C406" s="37" t="n"/>
      <c r="D406" s="37" t="n"/>
      <c r="E406" s="37" t="n"/>
      <c r="F406" s="10">
        <f>IF(E406="","",IF(COUNTIF(lst_Jobs,E406&amp;"")&gt;0,"OK","CHECK"))</f>
        <v/>
      </c>
      <c r="G406" s="37" t="n"/>
      <c r="H406" s="37" t="n"/>
      <c r="I406" s="39" t="n"/>
      <c r="J406" s="37" t="n"/>
      <c r="K406" s="42" t="n"/>
      <c r="L406" s="44" t="n"/>
      <c r="M406" s="11">
        <f>IF(E406="","",SUMIFS(tbl_Finance[Xero Invoiced Ex GST],tbl_Finance[Job Number],E406&amp;""))</f>
        <v/>
      </c>
      <c r="N406" s="11">
        <f>IF(J406&lt;&gt;"Won","",IF(E406="",N(I406),N(I406)-N(M406)))</f>
        <v/>
      </c>
      <c r="O406" s="37" t="n"/>
    </row>
    <row r="407">
      <c r="A407" s="44" t="n"/>
      <c r="B407" s="37" t="n"/>
      <c r="C407" s="37" t="n"/>
      <c r="D407" s="37" t="n"/>
      <c r="E407" s="37" t="n"/>
      <c r="F407" s="10">
        <f>IF(E407="","",IF(COUNTIF(lst_Jobs,E407&amp;"")&gt;0,"OK","CHECK"))</f>
        <v/>
      </c>
      <c r="G407" s="37" t="n"/>
      <c r="H407" s="37" t="n"/>
      <c r="I407" s="39" t="n"/>
      <c r="J407" s="37" t="n"/>
      <c r="K407" s="42" t="n"/>
      <c r="L407" s="44" t="n"/>
      <c r="M407" s="11">
        <f>IF(E407="","",SUMIFS(tbl_Finance[Xero Invoiced Ex GST],tbl_Finance[Job Number],E407&amp;""))</f>
        <v/>
      </c>
      <c r="N407" s="11">
        <f>IF(J407&lt;&gt;"Won","",IF(E407="",N(I407),N(I407)-N(M407)))</f>
        <v/>
      </c>
      <c r="O407" s="37" t="n"/>
    </row>
    <row r="408">
      <c r="A408" s="44" t="n"/>
      <c r="B408" s="37" t="n"/>
      <c r="C408" s="37" t="n"/>
      <c r="D408" s="37" t="n"/>
      <c r="E408" s="37" t="n"/>
      <c r="F408" s="10">
        <f>IF(E408="","",IF(COUNTIF(lst_Jobs,E408&amp;"")&gt;0,"OK","CHECK"))</f>
        <v/>
      </c>
      <c r="G408" s="37" t="n"/>
      <c r="H408" s="37" t="n"/>
      <c r="I408" s="39" t="n"/>
      <c r="J408" s="37" t="n"/>
      <c r="K408" s="42" t="n"/>
      <c r="L408" s="44" t="n"/>
      <c r="M408" s="11">
        <f>IF(E408="","",SUMIFS(tbl_Finance[Xero Invoiced Ex GST],tbl_Finance[Job Number],E408&amp;""))</f>
        <v/>
      </c>
      <c r="N408" s="11">
        <f>IF(J408&lt;&gt;"Won","",IF(E408="",N(I408),N(I408)-N(M408)))</f>
        <v/>
      </c>
      <c r="O408" s="37" t="n"/>
    </row>
    <row r="409">
      <c r="A409" s="44" t="n"/>
      <c r="B409" s="37" t="n"/>
      <c r="C409" s="37" t="n"/>
      <c r="D409" s="37" t="n"/>
      <c r="E409" s="37" t="n"/>
      <c r="F409" s="10">
        <f>IF(E409="","",IF(COUNTIF(lst_Jobs,E409&amp;"")&gt;0,"OK","CHECK"))</f>
        <v/>
      </c>
      <c r="G409" s="37" t="n"/>
      <c r="H409" s="37" t="n"/>
      <c r="I409" s="39" t="n"/>
      <c r="J409" s="37" t="n"/>
      <c r="K409" s="42" t="n"/>
      <c r="L409" s="44" t="n"/>
      <c r="M409" s="11">
        <f>IF(E409="","",SUMIFS(tbl_Finance[Xero Invoiced Ex GST],tbl_Finance[Job Number],E409&amp;""))</f>
        <v/>
      </c>
      <c r="N409" s="11">
        <f>IF(J409&lt;&gt;"Won","",IF(E409="",N(I409),N(I409)-N(M409)))</f>
        <v/>
      </c>
      <c r="O409" s="37" t="n"/>
    </row>
    <row r="410">
      <c r="A410" s="44" t="n"/>
      <c r="B410" s="37" t="n"/>
      <c r="C410" s="37" t="n"/>
      <c r="D410" s="37" t="n"/>
      <c r="E410" s="37" t="n"/>
      <c r="F410" s="10">
        <f>IF(E410="","",IF(COUNTIF(lst_Jobs,E410&amp;"")&gt;0,"OK","CHECK"))</f>
        <v/>
      </c>
      <c r="G410" s="37" t="n"/>
      <c r="H410" s="37" t="n"/>
      <c r="I410" s="39" t="n"/>
      <c r="J410" s="37" t="n"/>
      <c r="K410" s="42" t="n"/>
      <c r="L410" s="44" t="n"/>
      <c r="M410" s="11">
        <f>IF(E410="","",SUMIFS(tbl_Finance[Xero Invoiced Ex GST],tbl_Finance[Job Number],E410&amp;""))</f>
        <v/>
      </c>
      <c r="N410" s="11">
        <f>IF(J410&lt;&gt;"Won","",IF(E410="",N(I410),N(I410)-N(M410)))</f>
        <v/>
      </c>
      <c r="O410" s="37" t="n"/>
    </row>
    <row r="411">
      <c r="A411" s="44" t="n"/>
      <c r="B411" s="37" t="n"/>
      <c r="C411" s="37" t="n"/>
      <c r="D411" s="37" t="n"/>
      <c r="E411" s="37" t="n"/>
      <c r="F411" s="10">
        <f>IF(E411="","",IF(COUNTIF(lst_Jobs,E411&amp;"")&gt;0,"OK","CHECK"))</f>
        <v/>
      </c>
      <c r="G411" s="37" t="n"/>
      <c r="H411" s="37" t="n"/>
      <c r="I411" s="39" t="n"/>
      <c r="J411" s="37" t="n"/>
      <c r="K411" s="42" t="n"/>
      <c r="L411" s="44" t="n"/>
      <c r="M411" s="11">
        <f>IF(E411="","",SUMIFS(tbl_Finance[Xero Invoiced Ex GST],tbl_Finance[Job Number],E411&amp;""))</f>
        <v/>
      </c>
      <c r="N411" s="11">
        <f>IF(J411&lt;&gt;"Won","",IF(E411="",N(I411),N(I411)-N(M411)))</f>
        <v/>
      </c>
      <c r="O411" s="37" t="n"/>
    </row>
    <row r="412">
      <c r="A412" s="44" t="n"/>
      <c r="B412" s="37" t="n"/>
      <c r="C412" s="37" t="n"/>
      <c r="D412" s="37" t="n"/>
      <c r="E412" s="37" t="n"/>
      <c r="F412" s="10">
        <f>IF(E412="","",IF(COUNTIF(lst_Jobs,E412&amp;"")&gt;0,"OK","CHECK"))</f>
        <v/>
      </c>
      <c r="G412" s="37" t="n"/>
      <c r="H412" s="37" t="n"/>
      <c r="I412" s="39" t="n"/>
      <c r="J412" s="37" t="n"/>
      <c r="K412" s="42" t="n"/>
      <c r="L412" s="44" t="n"/>
      <c r="M412" s="11">
        <f>IF(E412="","",SUMIFS(tbl_Finance[Xero Invoiced Ex GST],tbl_Finance[Job Number],E412&amp;""))</f>
        <v/>
      </c>
      <c r="N412" s="11">
        <f>IF(J412&lt;&gt;"Won","",IF(E412="",N(I412),N(I412)-N(M412)))</f>
        <v/>
      </c>
      <c r="O412" s="37" t="n"/>
    </row>
    <row r="413">
      <c r="A413" s="44" t="n"/>
      <c r="B413" s="37" t="n"/>
      <c r="C413" s="37" t="n"/>
      <c r="D413" s="37" t="n"/>
      <c r="E413" s="37" t="n"/>
      <c r="F413" s="10">
        <f>IF(E413="","",IF(COUNTIF(lst_Jobs,E413&amp;"")&gt;0,"OK","CHECK"))</f>
        <v/>
      </c>
      <c r="G413" s="37" t="n"/>
      <c r="H413" s="37" t="n"/>
      <c r="I413" s="39" t="n"/>
      <c r="J413" s="37" t="n"/>
      <c r="K413" s="42" t="n"/>
      <c r="L413" s="44" t="n"/>
      <c r="M413" s="11">
        <f>IF(E413="","",SUMIFS(tbl_Finance[Xero Invoiced Ex GST],tbl_Finance[Job Number],E413&amp;""))</f>
        <v/>
      </c>
      <c r="N413" s="11">
        <f>IF(J413&lt;&gt;"Won","",IF(E413="",N(I413),N(I413)-N(M413)))</f>
        <v/>
      </c>
      <c r="O413" s="37" t="n"/>
    </row>
    <row r="414">
      <c r="A414" s="44" t="n"/>
      <c r="B414" s="37" t="n"/>
      <c r="C414" s="37" t="n"/>
      <c r="D414" s="37" t="n"/>
      <c r="E414" s="37" t="n"/>
      <c r="F414" s="10">
        <f>IF(E414="","",IF(COUNTIF(lst_Jobs,E414&amp;"")&gt;0,"OK","CHECK"))</f>
        <v/>
      </c>
      <c r="G414" s="37" t="n"/>
      <c r="H414" s="37" t="n"/>
      <c r="I414" s="39" t="n"/>
      <c r="J414" s="37" t="n"/>
      <c r="K414" s="42" t="n"/>
      <c r="L414" s="44" t="n"/>
      <c r="M414" s="11">
        <f>IF(E414="","",SUMIFS(tbl_Finance[Xero Invoiced Ex GST],tbl_Finance[Job Number],E414&amp;""))</f>
        <v/>
      </c>
      <c r="N414" s="11">
        <f>IF(J414&lt;&gt;"Won","",IF(E414="",N(I414),N(I414)-N(M414)))</f>
        <v/>
      </c>
      <c r="O414" s="37" t="n"/>
    </row>
    <row r="415">
      <c r="A415" s="44" t="n"/>
      <c r="B415" s="37" t="n"/>
      <c r="C415" s="37" t="n"/>
      <c r="D415" s="37" t="n"/>
      <c r="E415" s="37" t="n"/>
      <c r="F415" s="10">
        <f>IF(E415="","",IF(COUNTIF(lst_Jobs,E415&amp;"")&gt;0,"OK","CHECK"))</f>
        <v/>
      </c>
      <c r="G415" s="37" t="n"/>
      <c r="H415" s="37" t="n"/>
      <c r="I415" s="39" t="n"/>
      <c r="J415" s="37" t="n"/>
      <c r="K415" s="42" t="n"/>
      <c r="L415" s="44" t="n"/>
      <c r="M415" s="11">
        <f>IF(E415="","",SUMIFS(tbl_Finance[Xero Invoiced Ex GST],tbl_Finance[Job Number],E415&amp;""))</f>
        <v/>
      </c>
      <c r="N415" s="11">
        <f>IF(J415&lt;&gt;"Won","",IF(E415="",N(I415),N(I415)-N(M415)))</f>
        <v/>
      </c>
      <c r="O415" s="37" t="n"/>
    </row>
    <row r="416">
      <c r="A416" s="44" t="n"/>
      <c r="B416" s="37" t="n"/>
      <c r="C416" s="37" t="n"/>
      <c r="D416" s="37" t="n"/>
      <c r="E416" s="37" t="n"/>
      <c r="F416" s="10">
        <f>IF(E416="","",IF(COUNTIF(lst_Jobs,E416&amp;"")&gt;0,"OK","CHECK"))</f>
        <v/>
      </c>
      <c r="G416" s="37" t="n"/>
      <c r="H416" s="37" t="n"/>
      <c r="I416" s="39" t="n"/>
      <c r="J416" s="37" t="n"/>
      <c r="K416" s="42" t="n"/>
      <c r="L416" s="44" t="n"/>
      <c r="M416" s="11">
        <f>IF(E416="","",SUMIFS(tbl_Finance[Xero Invoiced Ex GST],tbl_Finance[Job Number],E416&amp;""))</f>
        <v/>
      </c>
      <c r="N416" s="11">
        <f>IF(J416&lt;&gt;"Won","",IF(E416="",N(I416),N(I416)-N(M416)))</f>
        <v/>
      </c>
      <c r="O416" s="37" t="n"/>
    </row>
    <row r="417">
      <c r="A417" s="44" t="n"/>
      <c r="B417" s="37" t="n"/>
      <c r="C417" s="37" t="n"/>
      <c r="D417" s="37" t="n"/>
      <c r="E417" s="37" t="n"/>
      <c r="F417" s="10">
        <f>IF(E417="","",IF(COUNTIF(lst_Jobs,E417&amp;"")&gt;0,"OK","CHECK"))</f>
        <v/>
      </c>
      <c r="G417" s="37" t="n"/>
      <c r="H417" s="37" t="n"/>
      <c r="I417" s="39" t="n"/>
      <c r="J417" s="37" t="n"/>
      <c r="K417" s="42" t="n"/>
      <c r="L417" s="44" t="n"/>
      <c r="M417" s="11">
        <f>IF(E417="","",SUMIFS(tbl_Finance[Xero Invoiced Ex GST],tbl_Finance[Job Number],E417&amp;""))</f>
        <v/>
      </c>
      <c r="N417" s="11">
        <f>IF(J417&lt;&gt;"Won","",IF(E417="",N(I417),N(I417)-N(M417)))</f>
        <v/>
      </c>
      <c r="O417" s="37" t="n"/>
    </row>
    <row r="418">
      <c r="A418" s="44" t="n"/>
      <c r="B418" s="37" t="n"/>
      <c r="C418" s="37" t="n"/>
      <c r="D418" s="37" t="n"/>
      <c r="E418" s="37" t="n"/>
      <c r="F418" s="10">
        <f>IF(E418="","",IF(COUNTIF(lst_Jobs,E418&amp;"")&gt;0,"OK","CHECK"))</f>
        <v/>
      </c>
      <c r="G418" s="37" t="n"/>
      <c r="H418" s="37" t="n"/>
      <c r="I418" s="39" t="n"/>
      <c r="J418" s="37" t="n"/>
      <c r="K418" s="42" t="n"/>
      <c r="L418" s="44" t="n"/>
      <c r="M418" s="11">
        <f>IF(E418="","",SUMIFS(tbl_Finance[Xero Invoiced Ex GST],tbl_Finance[Job Number],E418&amp;""))</f>
        <v/>
      </c>
      <c r="N418" s="11">
        <f>IF(J418&lt;&gt;"Won","",IF(E418="",N(I418),N(I418)-N(M418)))</f>
        <v/>
      </c>
      <c r="O418" s="37" t="n"/>
    </row>
    <row r="419">
      <c r="A419" s="44" t="n"/>
      <c r="B419" s="37" t="n"/>
      <c r="C419" s="37" t="n"/>
      <c r="D419" s="37" t="n"/>
      <c r="E419" s="37" t="n"/>
      <c r="F419" s="10">
        <f>IF(E419="","",IF(COUNTIF(lst_Jobs,E419&amp;"")&gt;0,"OK","CHECK"))</f>
        <v/>
      </c>
      <c r="G419" s="37" t="n"/>
      <c r="H419" s="37" t="n"/>
      <c r="I419" s="39" t="n"/>
      <c r="J419" s="37" t="n"/>
      <c r="K419" s="42" t="n"/>
      <c r="L419" s="44" t="n"/>
      <c r="M419" s="11">
        <f>IF(E419="","",SUMIFS(tbl_Finance[Xero Invoiced Ex GST],tbl_Finance[Job Number],E419&amp;""))</f>
        <v/>
      </c>
      <c r="N419" s="11">
        <f>IF(J419&lt;&gt;"Won","",IF(E419="",N(I419),N(I419)-N(M419)))</f>
        <v/>
      </c>
      <c r="O419" s="37" t="n"/>
    </row>
    <row r="420">
      <c r="A420" s="44" t="n"/>
      <c r="B420" s="37" t="n"/>
      <c r="C420" s="37" t="n"/>
      <c r="D420" s="37" t="n"/>
      <c r="E420" s="37" t="n"/>
      <c r="F420" s="10">
        <f>IF(E420="","",IF(COUNTIF(lst_Jobs,E420&amp;"")&gt;0,"OK","CHECK"))</f>
        <v/>
      </c>
      <c r="G420" s="37" t="n"/>
      <c r="H420" s="37" t="n"/>
      <c r="I420" s="39" t="n"/>
      <c r="J420" s="37" t="n"/>
      <c r="K420" s="42" t="n"/>
      <c r="L420" s="44" t="n"/>
      <c r="M420" s="11">
        <f>IF(E420="","",SUMIFS(tbl_Finance[Xero Invoiced Ex GST],tbl_Finance[Job Number],E420&amp;""))</f>
        <v/>
      </c>
      <c r="N420" s="11">
        <f>IF(J420&lt;&gt;"Won","",IF(E420="",N(I420),N(I420)-N(M420)))</f>
        <v/>
      </c>
      <c r="O420" s="37" t="n"/>
    </row>
    <row r="421">
      <c r="A421" s="44" t="n"/>
      <c r="B421" s="37" t="n"/>
      <c r="C421" s="37" t="n"/>
      <c r="D421" s="37" t="n"/>
      <c r="E421" s="37" t="n"/>
      <c r="F421" s="10">
        <f>IF(E421="","",IF(COUNTIF(lst_Jobs,E421&amp;"")&gt;0,"OK","CHECK"))</f>
        <v/>
      </c>
      <c r="G421" s="37" t="n"/>
      <c r="H421" s="37" t="n"/>
      <c r="I421" s="39" t="n"/>
      <c r="J421" s="37" t="n"/>
      <c r="K421" s="42" t="n"/>
      <c r="L421" s="44" t="n"/>
      <c r="M421" s="11">
        <f>IF(E421="","",SUMIFS(tbl_Finance[Xero Invoiced Ex GST],tbl_Finance[Job Number],E421&amp;""))</f>
        <v/>
      </c>
      <c r="N421" s="11">
        <f>IF(J421&lt;&gt;"Won","",IF(E421="",N(I421),N(I421)-N(M421)))</f>
        <v/>
      </c>
      <c r="O421" s="37" t="n"/>
    </row>
    <row r="422">
      <c r="A422" s="44" t="n"/>
      <c r="B422" s="37" t="n"/>
      <c r="C422" s="37" t="n"/>
      <c r="D422" s="37" t="n"/>
      <c r="E422" s="37" t="n"/>
      <c r="F422" s="10">
        <f>IF(E422="","",IF(COUNTIF(lst_Jobs,E422&amp;"")&gt;0,"OK","CHECK"))</f>
        <v/>
      </c>
      <c r="G422" s="37" t="n"/>
      <c r="H422" s="37" t="n"/>
      <c r="I422" s="39" t="n"/>
      <c r="J422" s="37" t="n"/>
      <c r="K422" s="42" t="n"/>
      <c r="L422" s="44" t="n"/>
      <c r="M422" s="11">
        <f>IF(E422="","",SUMIFS(tbl_Finance[Xero Invoiced Ex GST],tbl_Finance[Job Number],E422&amp;""))</f>
        <v/>
      </c>
      <c r="N422" s="11">
        <f>IF(J422&lt;&gt;"Won","",IF(E422="",N(I422),N(I422)-N(M422)))</f>
        <v/>
      </c>
      <c r="O422" s="37" t="n"/>
    </row>
    <row r="423">
      <c r="A423" s="44" t="n"/>
      <c r="B423" s="37" t="n"/>
      <c r="C423" s="37" t="n"/>
      <c r="D423" s="37" t="n"/>
      <c r="E423" s="37" t="n"/>
      <c r="F423" s="10">
        <f>IF(E423="","",IF(COUNTIF(lst_Jobs,E423&amp;"")&gt;0,"OK","CHECK"))</f>
        <v/>
      </c>
      <c r="G423" s="37" t="n"/>
      <c r="H423" s="37" t="n"/>
      <c r="I423" s="39" t="n"/>
      <c r="J423" s="37" t="n"/>
      <c r="K423" s="42" t="n"/>
      <c r="L423" s="44" t="n"/>
      <c r="M423" s="11">
        <f>IF(E423="","",SUMIFS(tbl_Finance[Xero Invoiced Ex GST],tbl_Finance[Job Number],E423&amp;""))</f>
        <v/>
      </c>
      <c r="N423" s="11">
        <f>IF(J423&lt;&gt;"Won","",IF(E423="",N(I423),N(I423)-N(M423)))</f>
        <v/>
      </c>
      <c r="O423" s="37" t="n"/>
    </row>
    <row r="424">
      <c r="A424" s="44" t="n"/>
      <c r="B424" s="37" t="n"/>
      <c r="C424" s="37" t="n"/>
      <c r="D424" s="37" t="n"/>
      <c r="E424" s="37" t="n"/>
      <c r="F424" s="10">
        <f>IF(E424="","",IF(COUNTIF(lst_Jobs,E424&amp;"")&gt;0,"OK","CHECK"))</f>
        <v/>
      </c>
      <c r="G424" s="37" t="n"/>
      <c r="H424" s="37" t="n"/>
      <c r="I424" s="39" t="n"/>
      <c r="J424" s="37" t="n"/>
      <c r="K424" s="42" t="n"/>
      <c r="L424" s="44" t="n"/>
      <c r="M424" s="11">
        <f>IF(E424="","",SUMIFS(tbl_Finance[Xero Invoiced Ex GST],tbl_Finance[Job Number],E424&amp;""))</f>
        <v/>
      </c>
      <c r="N424" s="11">
        <f>IF(J424&lt;&gt;"Won","",IF(E424="",N(I424),N(I424)-N(M424)))</f>
        <v/>
      </c>
      <c r="O424" s="37" t="n"/>
    </row>
    <row r="425">
      <c r="A425" s="44" t="n"/>
      <c r="B425" s="37" t="n"/>
      <c r="C425" s="37" t="n"/>
      <c r="D425" s="37" t="n"/>
      <c r="E425" s="37" t="n"/>
      <c r="F425" s="10">
        <f>IF(E425="","",IF(COUNTIF(lst_Jobs,E425&amp;"")&gt;0,"OK","CHECK"))</f>
        <v/>
      </c>
      <c r="G425" s="37" t="n"/>
      <c r="H425" s="37" t="n"/>
      <c r="I425" s="39" t="n"/>
      <c r="J425" s="37" t="n"/>
      <c r="K425" s="42" t="n"/>
      <c r="L425" s="44" t="n"/>
      <c r="M425" s="11">
        <f>IF(E425="","",SUMIFS(tbl_Finance[Xero Invoiced Ex GST],tbl_Finance[Job Number],E425&amp;""))</f>
        <v/>
      </c>
      <c r="N425" s="11">
        <f>IF(J425&lt;&gt;"Won","",IF(E425="",N(I425),N(I425)-N(M425)))</f>
        <v/>
      </c>
      <c r="O425" s="37" t="n"/>
    </row>
    <row r="426">
      <c r="A426" s="44" t="n"/>
      <c r="B426" s="37" t="n"/>
      <c r="C426" s="37" t="n"/>
      <c r="D426" s="37" t="n"/>
      <c r="E426" s="37" t="n"/>
      <c r="F426" s="10">
        <f>IF(E426="","",IF(COUNTIF(lst_Jobs,E426&amp;"")&gt;0,"OK","CHECK"))</f>
        <v/>
      </c>
      <c r="G426" s="37" t="n"/>
      <c r="H426" s="37" t="n"/>
      <c r="I426" s="39" t="n"/>
      <c r="J426" s="37" t="n"/>
      <c r="K426" s="42" t="n"/>
      <c r="L426" s="44" t="n"/>
      <c r="M426" s="11">
        <f>IF(E426="","",SUMIFS(tbl_Finance[Xero Invoiced Ex GST],tbl_Finance[Job Number],E426&amp;""))</f>
        <v/>
      </c>
      <c r="N426" s="11">
        <f>IF(J426&lt;&gt;"Won","",IF(E426="",N(I426),N(I426)-N(M426)))</f>
        <v/>
      </c>
      <c r="O426" s="37" t="n"/>
    </row>
    <row r="427">
      <c r="A427" s="44" t="n"/>
      <c r="B427" s="37" t="n"/>
      <c r="C427" s="37" t="n"/>
      <c r="D427" s="37" t="n"/>
      <c r="E427" s="37" t="n"/>
      <c r="F427" s="10">
        <f>IF(E427="","",IF(COUNTIF(lst_Jobs,E427&amp;"")&gt;0,"OK","CHECK"))</f>
        <v/>
      </c>
      <c r="G427" s="37" t="n"/>
      <c r="H427" s="37" t="n"/>
      <c r="I427" s="39" t="n"/>
      <c r="J427" s="37" t="n"/>
      <c r="K427" s="42" t="n"/>
      <c r="L427" s="44" t="n"/>
      <c r="M427" s="11">
        <f>IF(E427="","",SUMIFS(tbl_Finance[Xero Invoiced Ex GST],tbl_Finance[Job Number],E427&amp;""))</f>
        <v/>
      </c>
      <c r="N427" s="11">
        <f>IF(J427&lt;&gt;"Won","",IF(E427="",N(I427),N(I427)-N(M427)))</f>
        <v/>
      </c>
      <c r="O427" s="37" t="n"/>
    </row>
    <row r="428">
      <c r="A428" s="44" t="n"/>
      <c r="B428" s="37" t="n"/>
      <c r="C428" s="37" t="n"/>
      <c r="D428" s="37" t="n"/>
      <c r="E428" s="37" t="n"/>
      <c r="F428" s="10">
        <f>IF(E428="","",IF(COUNTIF(lst_Jobs,E428&amp;"")&gt;0,"OK","CHECK"))</f>
        <v/>
      </c>
      <c r="G428" s="37" t="n"/>
      <c r="H428" s="37" t="n"/>
      <c r="I428" s="39" t="n"/>
      <c r="J428" s="37" t="n"/>
      <c r="K428" s="42" t="n"/>
      <c r="L428" s="44" t="n"/>
      <c r="M428" s="11">
        <f>IF(E428="","",SUMIFS(tbl_Finance[Xero Invoiced Ex GST],tbl_Finance[Job Number],E428&amp;""))</f>
        <v/>
      </c>
      <c r="N428" s="11">
        <f>IF(J428&lt;&gt;"Won","",IF(E428="",N(I428),N(I428)-N(M428)))</f>
        <v/>
      </c>
      <c r="O428" s="37" t="n"/>
    </row>
    <row r="429">
      <c r="A429" s="44" t="n"/>
      <c r="B429" s="37" t="n"/>
      <c r="C429" s="37" t="n"/>
      <c r="D429" s="37" t="n"/>
      <c r="E429" s="37" t="n"/>
      <c r="F429" s="10">
        <f>IF(E429="","",IF(COUNTIF(lst_Jobs,E429&amp;"")&gt;0,"OK","CHECK"))</f>
        <v/>
      </c>
      <c r="G429" s="37" t="n"/>
      <c r="H429" s="37" t="n"/>
      <c r="I429" s="39" t="n"/>
      <c r="J429" s="37" t="n"/>
      <c r="K429" s="42" t="n"/>
      <c r="L429" s="44" t="n"/>
      <c r="M429" s="11">
        <f>IF(E429="","",SUMIFS(tbl_Finance[Xero Invoiced Ex GST],tbl_Finance[Job Number],E429&amp;""))</f>
        <v/>
      </c>
      <c r="N429" s="11">
        <f>IF(J429&lt;&gt;"Won","",IF(E429="",N(I429),N(I429)-N(M429)))</f>
        <v/>
      </c>
      <c r="O429" s="37" t="n"/>
    </row>
    <row r="430">
      <c r="A430" s="44" t="n"/>
      <c r="B430" s="37" t="n"/>
      <c r="C430" s="37" t="n"/>
      <c r="D430" s="37" t="n"/>
      <c r="E430" s="37" t="n"/>
      <c r="F430" s="10">
        <f>IF(E430="","",IF(COUNTIF(lst_Jobs,E430&amp;"")&gt;0,"OK","CHECK"))</f>
        <v/>
      </c>
      <c r="G430" s="37" t="n"/>
      <c r="H430" s="37" t="n"/>
      <c r="I430" s="39" t="n"/>
      <c r="J430" s="37" t="n"/>
      <c r="K430" s="42" t="n"/>
      <c r="L430" s="44" t="n"/>
      <c r="M430" s="11">
        <f>IF(E430="","",SUMIFS(tbl_Finance[Xero Invoiced Ex GST],tbl_Finance[Job Number],E430&amp;""))</f>
        <v/>
      </c>
      <c r="N430" s="11">
        <f>IF(J430&lt;&gt;"Won","",IF(E430="",N(I430),N(I430)-N(M430)))</f>
        <v/>
      </c>
      <c r="O430" s="37" t="n"/>
    </row>
    <row r="431">
      <c r="A431" s="44" t="n"/>
      <c r="B431" s="37" t="n"/>
      <c r="C431" s="37" t="n"/>
      <c r="D431" s="37" t="n"/>
      <c r="E431" s="37" t="n"/>
      <c r="F431" s="10">
        <f>IF(E431="","",IF(COUNTIF(lst_Jobs,E431&amp;"")&gt;0,"OK","CHECK"))</f>
        <v/>
      </c>
      <c r="G431" s="37" t="n"/>
      <c r="H431" s="37" t="n"/>
      <c r="I431" s="39" t="n"/>
      <c r="J431" s="37" t="n"/>
      <c r="K431" s="42" t="n"/>
      <c r="L431" s="44" t="n"/>
      <c r="M431" s="11">
        <f>IF(E431="","",SUMIFS(tbl_Finance[Xero Invoiced Ex GST],tbl_Finance[Job Number],E431&amp;""))</f>
        <v/>
      </c>
      <c r="N431" s="11">
        <f>IF(J431&lt;&gt;"Won","",IF(E431="",N(I431),N(I431)-N(M431)))</f>
        <v/>
      </c>
      <c r="O431" s="37" t="n"/>
    </row>
    <row r="432">
      <c r="A432" s="44" t="n"/>
      <c r="B432" s="37" t="n"/>
      <c r="C432" s="37" t="n"/>
      <c r="D432" s="37" t="n"/>
      <c r="E432" s="37" t="n"/>
      <c r="F432" s="10">
        <f>IF(E432="","",IF(COUNTIF(lst_Jobs,E432&amp;"")&gt;0,"OK","CHECK"))</f>
        <v/>
      </c>
      <c r="G432" s="37" t="n"/>
      <c r="H432" s="37" t="n"/>
      <c r="I432" s="39" t="n"/>
      <c r="J432" s="37" t="n"/>
      <c r="K432" s="42" t="n"/>
      <c r="L432" s="44" t="n"/>
      <c r="M432" s="11">
        <f>IF(E432="","",SUMIFS(tbl_Finance[Xero Invoiced Ex GST],tbl_Finance[Job Number],E432&amp;""))</f>
        <v/>
      </c>
      <c r="N432" s="11">
        <f>IF(J432&lt;&gt;"Won","",IF(E432="",N(I432),N(I432)-N(M432)))</f>
        <v/>
      </c>
      <c r="O432" s="37" t="n"/>
    </row>
    <row r="433">
      <c r="A433" s="44" t="n"/>
      <c r="B433" s="37" t="n"/>
      <c r="C433" s="37" t="n"/>
      <c r="D433" s="37" t="n"/>
      <c r="E433" s="37" t="n"/>
      <c r="F433" s="10">
        <f>IF(E433="","",IF(COUNTIF(lst_Jobs,E433&amp;"")&gt;0,"OK","CHECK"))</f>
        <v/>
      </c>
      <c r="G433" s="37" t="n"/>
      <c r="H433" s="37" t="n"/>
      <c r="I433" s="39" t="n"/>
      <c r="J433" s="37" t="n"/>
      <c r="K433" s="42" t="n"/>
      <c r="L433" s="44" t="n"/>
      <c r="M433" s="11">
        <f>IF(E433="","",SUMIFS(tbl_Finance[Xero Invoiced Ex GST],tbl_Finance[Job Number],E433&amp;""))</f>
        <v/>
      </c>
      <c r="N433" s="11">
        <f>IF(J433&lt;&gt;"Won","",IF(E433="",N(I433),N(I433)-N(M433)))</f>
        <v/>
      </c>
      <c r="O433" s="37" t="n"/>
    </row>
    <row r="434">
      <c r="A434" s="44" t="n"/>
      <c r="B434" s="37" t="n"/>
      <c r="C434" s="37" t="n"/>
      <c r="D434" s="37" t="n"/>
      <c r="E434" s="37" t="n"/>
      <c r="F434" s="10">
        <f>IF(E434="","",IF(COUNTIF(lst_Jobs,E434&amp;"")&gt;0,"OK","CHECK"))</f>
        <v/>
      </c>
      <c r="G434" s="37" t="n"/>
      <c r="H434" s="37" t="n"/>
      <c r="I434" s="39" t="n"/>
      <c r="J434" s="37" t="n"/>
      <c r="K434" s="42" t="n"/>
      <c r="L434" s="44" t="n"/>
      <c r="M434" s="11">
        <f>IF(E434="","",SUMIFS(tbl_Finance[Xero Invoiced Ex GST],tbl_Finance[Job Number],E434&amp;""))</f>
        <v/>
      </c>
      <c r="N434" s="11">
        <f>IF(J434&lt;&gt;"Won","",IF(E434="",N(I434),N(I434)-N(M434)))</f>
        <v/>
      </c>
      <c r="O434" s="37" t="n"/>
    </row>
    <row r="435">
      <c r="A435" s="44" t="n"/>
      <c r="B435" s="37" t="n"/>
      <c r="C435" s="37" t="n"/>
      <c r="D435" s="37" t="n"/>
      <c r="E435" s="37" t="n"/>
      <c r="F435" s="10">
        <f>IF(E435="","",IF(COUNTIF(lst_Jobs,E435&amp;"")&gt;0,"OK","CHECK"))</f>
        <v/>
      </c>
      <c r="G435" s="37" t="n"/>
      <c r="H435" s="37" t="n"/>
      <c r="I435" s="39" t="n"/>
      <c r="J435" s="37" t="n"/>
      <c r="K435" s="42" t="n"/>
      <c r="L435" s="44" t="n"/>
      <c r="M435" s="11">
        <f>IF(E435="","",SUMIFS(tbl_Finance[Xero Invoiced Ex GST],tbl_Finance[Job Number],E435&amp;""))</f>
        <v/>
      </c>
      <c r="N435" s="11">
        <f>IF(J435&lt;&gt;"Won","",IF(E435="",N(I435),N(I435)-N(M435)))</f>
        <v/>
      </c>
      <c r="O435" s="37" t="n"/>
    </row>
    <row r="436">
      <c r="A436" s="44" t="n"/>
      <c r="B436" s="37" t="n"/>
      <c r="C436" s="37" t="n"/>
      <c r="D436" s="37" t="n"/>
      <c r="E436" s="37" t="n"/>
      <c r="F436" s="10">
        <f>IF(E436="","",IF(COUNTIF(lst_Jobs,E436&amp;"")&gt;0,"OK","CHECK"))</f>
        <v/>
      </c>
      <c r="G436" s="37" t="n"/>
      <c r="H436" s="37" t="n"/>
      <c r="I436" s="39" t="n"/>
      <c r="J436" s="37" t="n"/>
      <c r="K436" s="42" t="n"/>
      <c r="L436" s="44" t="n"/>
      <c r="M436" s="11">
        <f>IF(E436="","",SUMIFS(tbl_Finance[Xero Invoiced Ex GST],tbl_Finance[Job Number],E436&amp;""))</f>
        <v/>
      </c>
      <c r="N436" s="11">
        <f>IF(J436&lt;&gt;"Won","",IF(E436="",N(I436),N(I436)-N(M436)))</f>
        <v/>
      </c>
      <c r="O436" s="37" t="n"/>
    </row>
    <row r="437">
      <c r="A437" s="44" t="n"/>
      <c r="B437" s="37" t="n"/>
      <c r="C437" s="37" t="n"/>
      <c r="D437" s="37" t="n"/>
      <c r="E437" s="37" t="n"/>
      <c r="F437" s="10">
        <f>IF(E437="","",IF(COUNTIF(lst_Jobs,E437&amp;"")&gt;0,"OK","CHECK"))</f>
        <v/>
      </c>
      <c r="G437" s="37" t="n"/>
      <c r="H437" s="37" t="n"/>
      <c r="I437" s="39" t="n"/>
      <c r="J437" s="37" t="n"/>
      <c r="K437" s="42" t="n"/>
      <c r="L437" s="44" t="n"/>
      <c r="M437" s="11">
        <f>IF(E437="","",SUMIFS(tbl_Finance[Xero Invoiced Ex GST],tbl_Finance[Job Number],E437&amp;""))</f>
        <v/>
      </c>
      <c r="N437" s="11">
        <f>IF(J437&lt;&gt;"Won","",IF(E437="",N(I437),N(I437)-N(M437)))</f>
        <v/>
      </c>
      <c r="O437" s="37" t="n"/>
    </row>
    <row r="438">
      <c r="A438" s="44" t="n"/>
      <c r="B438" s="37" t="n"/>
      <c r="C438" s="37" t="n"/>
      <c r="D438" s="37" t="n"/>
      <c r="E438" s="37" t="n"/>
      <c r="F438" s="10">
        <f>IF(E438="","",IF(COUNTIF(lst_Jobs,E438&amp;"")&gt;0,"OK","CHECK"))</f>
        <v/>
      </c>
      <c r="G438" s="37" t="n"/>
      <c r="H438" s="37" t="n"/>
      <c r="I438" s="39" t="n"/>
      <c r="J438" s="37" t="n"/>
      <c r="K438" s="42" t="n"/>
      <c r="L438" s="44" t="n"/>
      <c r="M438" s="11">
        <f>IF(E438="","",SUMIFS(tbl_Finance[Xero Invoiced Ex GST],tbl_Finance[Job Number],E438&amp;""))</f>
        <v/>
      </c>
      <c r="N438" s="11">
        <f>IF(J438&lt;&gt;"Won","",IF(E438="",N(I438),N(I438)-N(M438)))</f>
        <v/>
      </c>
      <c r="O438" s="37" t="n"/>
    </row>
    <row r="439">
      <c r="A439" s="44" t="n"/>
      <c r="B439" s="37" t="n"/>
      <c r="C439" s="37" t="n"/>
      <c r="D439" s="37" t="n"/>
      <c r="E439" s="37" t="n"/>
      <c r="F439" s="10">
        <f>IF(E439="","",IF(COUNTIF(lst_Jobs,E439&amp;"")&gt;0,"OK","CHECK"))</f>
        <v/>
      </c>
      <c r="G439" s="37" t="n"/>
      <c r="H439" s="37" t="n"/>
      <c r="I439" s="39" t="n"/>
      <c r="J439" s="37" t="n"/>
      <c r="K439" s="42" t="n"/>
      <c r="L439" s="44" t="n"/>
      <c r="M439" s="11">
        <f>IF(E439="","",SUMIFS(tbl_Finance[Xero Invoiced Ex GST],tbl_Finance[Job Number],E439&amp;""))</f>
        <v/>
      </c>
      <c r="N439" s="11">
        <f>IF(J439&lt;&gt;"Won","",IF(E439="",N(I439),N(I439)-N(M439)))</f>
        <v/>
      </c>
      <c r="O439" s="37" t="n"/>
    </row>
    <row r="440">
      <c r="A440" s="44" t="n"/>
      <c r="B440" s="37" t="n"/>
      <c r="C440" s="37" t="n"/>
      <c r="D440" s="37" t="n"/>
      <c r="E440" s="37" t="n"/>
      <c r="F440" s="10">
        <f>IF(E440="","",IF(COUNTIF(lst_Jobs,E440&amp;"")&gt;0,"OK","CHECK"))</f>
        <v/>
      </c>
      <c r="G440" s="37" t="n"/>
      <c r="H440" s="37" t="n"/>
      <c r="I440" s="39" t="n"/>
      <c r="J440" s="37" t="n"/>
      <c r="K440" s="42" t="n"/>
      <c r="L440" s="44" t="n"/>
      <c r="M440" s="11">
        <f>IF(E440="","",SUMIFS(tbl_Finance[Xero Invoiced Ex GST],tbl_Finance[Job Number],E440&amp;""))</f>
        <v/>
      </c>
      <c r="N440" s="11">
        <f>IF(J440&lt;&gt;"Won","",IF(E440="",N(I440),N(I440)-N(M440)))</f>
        <v/>
      </c>
      <c r="O440" s="37" t="n"/>
    </row>
    <row r="441">
      <c r="A441" s="44" t="n"/>
      <c r="B441" s="37" t="n"/>
      <c r="C441" s="37" t="n"/>
      <c r="D441" s="37" t="n"/>
      <c r="E441" s="37" t="n"/>
      <c r="F441" s="10">
        <f>IF(E441="","",IF(COUNTIF(lst_Jobs,E441&amp;"")&gt;0,"OK","CHECK"))</f>
        <v/>
      </c>
      <c r="G441" s="37" t="n"/>
      <c r="H441" s="37" t="n"/>
      <c r="I441" s="39" t="n"/>
      <c r="J441" s="37" t="n"/>
      <c r="K441" s="42" t="n"/>
      <c r="L441" s="44" t="n"/>
      <c r="M441" s="11">
        <f>IF(E441="","",SUMIFS(tbl_Finance[Xero Invoiced Ex GST],tbl_Finance[Job Number],E441&amp;""))</f>
        <v/>
      </c>
      <c r="N441" s="11">
        <f>IF(J441&lt;&gt;"Won","",IF(E441="",N(I441),N(I441)-N(M441)))</f>
        <v/>
      </c>
      <c r="O441" s="37" t="n"/>
    </row>
    <row r="442">
      <c r="A442" s="44" t="n"/>
      <c r="B442" s="37" t="n"/>
      <c r="C442" s="37" t="n"/>
      <c r="D442" s="37" t="n"/>
      <c r="E442" s="37" t="n"/>
      <c r="F442" s="10">
        <f>IF(E442="","",IF(COUNTIF(lst_Jobs,E442&amp;"")&gt;0,"OK","CHECK"))</f>
        <v/>
      </c>
      <c r="G442" s="37" t="n"/>
      <c r="H442" s="37" t="n"/>
      <c r="I442" s="39" t="n"/>
      <c r="J442" s="37" t="n"/>
      <c r="K442" s="42" t="n"/>
      <c r="L442" s="44" t="n"/>
      <c r="M442" s="11">
        <f>IF(E442="","",SUMIFS(tbl_Finance[Xero Invoiced Ex GST],tbl_Finance[Job Number],E442&amp;""))</f>
        <v/>
      </c>
      <c r="N442" s="11">
        <f>IF(J442&lt;&gt;"Won","",IF(E442="",N(I442),N(I442)-N(M442)))</f>
        <v/>
      </c>
      <c r="O442" s="37" t="n"/>
    </row>
    <row r="443">
      <c r="A443" s="44" t="n"/>
      <c r="B443" s="37" t="n"/>
      <c r="C443" s="37" t="n"/>
      <c r="D443" s="37" t="n"/>
      <c r="E443" s="37" t="n"/>
      <c r="F443" s="10">
        <f>IF(E443="","",IF(COUNTIF(lst_Jobs,E443&amp;"")&gt;0,"OK","CHECK"))</f>
        <v/>
      </c>
      <c r="G443" s="37" t="n"/>
      <c r="H443" s="37" t="n"/>
      <c r="I443" s="39" t="n"/>
      <c r="J443" s="37" t="n"/>
      <c r="K443" s="42" t="n"/>
      <c r="L443" s="44" t="n"/>
      <c r="M443" s="11">
        <f>IF(E443="","",SUMIFS(tbl_Finance[Xero Invoiced Ex GST],tbl_Finance[Job Number],E443&amp;""))</f>
        <v/>
      </c>
      <c r="N443" s="11">
        <f>IF(J443&lt;&gt;"Won","",IF(E443="",N(I443),N(I443)-N(M443)))</f>
        <v/>
      </c>
      <c r="O443" s="37" t="n"/>
    </row>
    <row r="444">
      <c r="A444" s="44" t="n"/>
      <c r="B444" s="37" t="n"/>
      <c r="C444" s="37" t="n"/>
      <c r="D444" s="37" t="n"/>
      <c r="E444" s="37" t="n"/>
      <c r="F444" s="10">
        <f>IF(E444="","",IF(COUNTIF(lst_Jobs,E444&amp;"")&gt;0,"OK","CHECK"))</f>
        <v/>
      </c>
      <c r="G444" s="37" t="n"/>
      <c r="H444" s="37" t="n"/>
      <c r="I444" s="39" t="n"/>
      <c r="J444" s="37" t="n"/>
      <c r="K444" s="42" t="n"/>
      <c r="L444" s="44" t="n"/>
      <c r="M444" s="11">
        <f>IF(E444="","",SUMIFS(tbl_Finance[Xero Invoiced Ex GST],tbl_Finance[Job Number],E444&amp;""))</f>
        <v/>
      </c>
      <c r="N444" s="11">
        <f>IF(J444&lt;&gt;"Won","",IF(E444="",N(I444),N(I444)-N(M444)))</f>
        <v/>
      </c>
      <c r="O444" s="37" t="n"/>
    </row>
    <row r="445">
      <c r="A445" s="44" t="n"/>
      <c r="B445" s="37" t="n"/>
      <c r="C445" s="37" t="n"/>
      <c r="D445" s="37" t="n"/>
      <c r="E445" s="37" t="n"/>
      <c r="F445" s="10">
        <f>IF(E445="","",IF(COUNTIF(lst_Jobs,E445&amp;"")&gt;0,"OK","CHECK"))</f>
        <v/>
      </c>
      <c r="G445" s="37" t="n"/>
      <c r="H445" s="37" t="n"/>
      <c r="I445" s="39" t="n"/>
      <c r="J445" s="37" t="n"/>
      <c r="K445" s="42" t="n"/>
      <c r="L445" s="44" t="n"/>
      <c r="M445" s="11">
        <f>IF(E445="","",SUMIFS(tbl_Finance[Xero Invoiced Ex GST],tbl_Finance[Job Number],E445&amp;""))</f>
        <v/>
      </c>
      <c r="N445" s="11">
        <f>IF(J445&lt;&gt;"Won","",IF(E445="",N(I445),N(I445)-N(M445)))</f>
        <v/>
      </c>
      <c r="O445" s="37" t="n"/>
    </row>
    <row r="446">
      <c r="A446" s="44" t="n"/>
      <c r="B446" s="37" t="n"/>
      <c r="C446" s="37" t="n"/>
      <c r="D446" s="37" t="n"/>
      <c r="E446" s="37" t="n"/>
      <c r="F446" s="10">
        <f>IF(E446="","",IF(COUNTIF(lst_Jobs,E446&amp;"")&gt;0,"OK","CHECK"))</f>
        <v/>
      </c>
      <c r="G446" s="37" t="n"/>
      <c r="H446" s="37" t="n"/>
      <c r="I446" s="39" t="n"/>
      <c r="J446" s="37" t="n"/>
      <c r="K446" s="42" t="n"/>
      <c r="L446" s="44" t="n"/>
      <c r="M446" s="11">
        <f>IF(E446="","",SUMIFS(tbl_Finance[Xero Invoiced Ex GST],tbl_Finance[Job Number],E446&amp;""))</f>
        <v/>
      </c>
      <c r="N446" s="11">
        <f>IF(J446&lt;&gt;"Won","",IF(E446="",N(I446),N(I446)-N(M446)))</f>
        <v/>
      </c>
      <c r="O446" s="37" t="n"/>
    </row>
    <row r="447">
      <c r="A447" s="44" t="n"/>
      <c r="B447" s="37" t="n"/>
      <c r="C447" s="37" t="n"/>
      <c r="D447" s="37" t="n"/>
      <c r="E447" s="37" t="n"/>
      <c r="F447" s="10">
        <f>IF(E447="","",IF(COUNTIF(lst_Jobs,E447&amp;"")&gt;0,"OK","CHECK"))</f>
        <v/>
      </c>
      <c r="G447" s="37" t="n"/>
      <c r="H447" s="37" t="n"/>
      <c r="I447" s="39" t="n"/>
      <c r="J447" s="37" t="n"/>
      <c r="K447" s="42" t="n"/>
      <c r="L447" s="44" t="n"/>
      <c r="M447" s="11">
        <f>IF(E447="","",SUMIFS(tbl_Finance[Xero Invoiced Ex GST],tbl_Finance[Job Number],E447&amp;""))</f>
        <v/>
      </c>
      <c r="N447" s="11">
        <f>IF(J447&lt;&gt;"Won","",IF(E447="",N(I447),N(I447)-N(M447)))</f>
        <v/>
      </c>
      <c r="O447" s="37" t="n"/>
    </row>
    <row r="448">
      <c r="A448" s="44" t="n"/>
      <c r="B448" s="37" t="n"/>
      <c r="C448" s="37" t="n"/>
      <c r="D448" s="37" t="n"/>
      <c r="E448" s="37" t="n"/>
      <c r="F448" s="10">
        <f>IF(E448="","",IF(COUNTIF(lst_Jobs,E448&amp;"")&gt;0,"OK","CHECK"))</f>
        <v/>
      </c>
      <c r="G448" s="37" t="n"/>
      <c r="H448" s="37" t="n"/>
      <c r="I448" s="39" t="n"/>
      <c r="J448" s="37" t="n"/>
      <c r="K448" s="42" t="n"/>
      <c r="L448" s="44" t="n"/>
      <c r="M448" s="11">
        <f>IF(E448="","",SUMIFS(tbl_Finance[Xero Invoiced Ex GST],tbl_Finance[Job Number],E448&amp;""))</f>
        <v/>
      </c>
      <c r="N448" s="11">
        <f>IF(J448&lt;&gt;"Won","",IF(E448="",N(I448),N(I448)-N(M448)))</f>
        <v/>
      </c>
      <c r="O448" s="37" t="n"/>
    </row>
    <row r="449">
      <c r="A449" s="44" t="n"/>
      <c r="B449" s="37" t="n"/>
      <c r="C449" s="37" t="n"/>
      <c r="D449" s="37" t="n"/>
      <c r="E449" s="37" t="n"/>
      <c r="F449" s="10">
        <f>IF(E449="","",IF(COUNTIF(lst_Jobs,E449&amp;"")&gt;0,"OK","CHECK"))</f>
        <v/>
      </c>
      <c r="G449" s="37" t="n"/>
      <c r="H449" s="37" t="n"/>
      <c r="I449" s="39" t="n"/>
      <c r="J449" s="37" t="n"/>
      <c r="K449" s="42" t="n"/>
      <c r="L449" s="44" t="n"/>
      <c r="M449" s="11">
        <f>IF(E449="","",SUMIFS(tbl_Finance[Xero Invoiced Ex GST],tbl_Finance[Job Number],E449&amp;""))</f>
        <v/>
      </c>
      <c r="N449" s="11">
        <f>IF(J449&lt;&gt;"Won","",IF(E449="",N(I449),N(I449)-N(M449)))</f>
        <v/>
      </c>
      <c r="O449" s="37" t="n"/>
    </row>
    <row r="450">
      <c r="A450" s="44" t="n"/>
      <c r="B450" s="37" t="n"/>
      <c r="C450" s="37" t="n"/>
      <c r="D450" s="37" t="n"/>
      <c r="E450" s="37" t="n"/>
      <c r="F450" s="10">
        <f>IF(E450="","",IF(COUNTIF(lst_Jobs,E450&amp;"")&gt;0,"OK","CHECK"))</f>
        <v/>
      </c>
      <c r="G450" s="37" t="n"/>
      <c r="H450" s="37" t="n"/>
      <c r="I450" s="39" t="n"/>
      <c r="J450" s="37" t="n"/>
      <c r="K450" s="42" t="n"/>
      <c r="L450" s="44" t="n"/>
      <c r="M450" s="11">
        <f>IF(E450="","",SUMIFS(tbl_Finance[Xero Invoiced Ex GST],tbl_Finance[Job Number],E450&amp;""))</f>
        <v/>
      </c>
      <c r="N450" s="11">
        <f>IF(J450&lt;&gt;"Won","",IF(E450="",N(I450),N(I450)-N(M450)))</f>
        <v/>
      </c>
      <c r="O450" s="37" t="n"/>
    </row>
    <row r="451">
      <c r="A451" s="44" t="n"/>
      <c r="B451" s="37" t="n"/>
      <c r="C451" s="37" t="n"/>
      <c r="D451" s="37" t="n"/>
      <c r="E451" s="37" t="n"/>
      <c r="F451" s="10">
        <f>IF(E451="","",IF(COUNTIF(lst_Jobs,E451&amp;"")&gt;0,"OK","CHECK"))</f>
        <v/>
      </c>
      <c r="G451" s="37" t="n"/>
      <c r="H451" s="37" t="n"/>
      <c r="I451" s="39" t="n"/>
      <c r="J451" s="37" t="n"/>
      <c r="K451" s="42" t="n"/>
      <c r="L451" s="44" t="n"/>
      <c r="M451" s="11">
        <f>IF(E451="","",SUMIFS(tbl_Finance[Xero Invoiced Ex GST],tbl_Finance[Job Number],E451&amp;""))</f>
        <v/>
      </c>
      <c r="N451" s="11">
        <f>IF(J451&lt;&gt;"Won","",IF(E451="",N(I451),N(I451)-N(M451)))</f>
        <v/>
      </c>
      <c r="O451" s="37" t="n"/>
    </row>
    <row r="452">
      <c r="A452" s="44" t="n"/>
      <c r="B452" s="37" t="n"/>
      <c r="C452" s="37" t="n"/>
      <c r="D452" s="37" t="n"/>
      <c r="E452" s="37" t="n"/>
      <c r="F452" s="10">
        <f>IF(E452="","",IF(COUNTIF(lst_Jobs,E452&amp;"")&gt;0,"OK","CHECK"))</f>
        <v/>
      </c>
      <c r="G452" s="37" t="n"/>
      <c r="H452" s="37" t="n"/>
      <c r="I452" s="39" t="n"/>
      <c r="J452" s="37" t="n"/>
      <c r="K452" s="42" t="n"/>
      <c r="L452" s="44" t="n"/>
      <c r="M452" s="11">
        <f>IF(E452="","",SUMIFS(tbl_Finance[Xero Invoiced Ex GST],tbl_Finance[Job Number],E452&amp;""))</f>
        <v/>
      </c>
      <c r="N452" s="11">
        <f>IF(J452&lt;&gt;"Won","",IF(E452="",N(I452),N(I452)-N(M452)))</f>
        <v/>
      </c>
      <c r="O452" s="37" t="n"/>
    </row>
    <row r="453">
      <c r="A453" s="44" t="n"/>
      <c r="B453" s="37" t="n"/>
      <c r="C453" s="37" t="n"/>
      <c r="D453" s="37" t="n"/>
      <c r="E453" s="37" t="n"/>
      <c r="F453" s="10">
        <f>IF(E453="","",IF(COUNTIF(lst_Jobs,E453&amp;"")&gt;0,"OK","CHECK"))</f>
        <v/>
      </c>
      <c r="G453" s="37" t="n"/>
      <c r="H453" s="37" t="n"/>
      <c r="I453" s="39" t="n"/>
      <c r="J453" s="37" t="n"/>
      <c r="K453" s="42" t="n"/>
      <c r="L453" s="44" t="n"/>
      <c r="M453" s="11">
        <f>IF(E453="","",SUMIFS(tbl_Finance[Xero Invoiced Ex GST],tbl_Finance[Job Number],E453&amp;""))</f>
        <v/>
      </c>
      <c r="N453" s="11">
        <f>IF(J453&lt;&gt;"Won","",IF(E453="",N(I453),N(I453)-N(M453)))</f>
        <v/>
      </c>
      <c r="O453" s="37" t="n"/>
    </row>
    <row r="454">
      <c r="A454" s="44" t="n"/>
      <c r="B454" s="37" t="n"/>
      <c r="C454" s="37" t="n"/>
      <c r="D454" s="37" t="n"/>
      <c r="E454" s="37" t="n"/>
      <c r="F454" s="10">
        <f>IF(E454="","",IF(COUNTIF(lst_Jobs,E454&amp;"")&gt;0,"OK","CHECK"))</f>
        <v/>
      </c>
      <c r="G454" s="37" t="n"/>
      <c r="H454" s="37" t="n"/>
      <c r="I454" s="39" t="n"/>
      <c r="J454" s="37" t="n"/>
      <c r="K454" s="42" t="n"/>
      <c r="L454" s="44" t="n"/>
      <c r="M454" s="11">
        <f>IF(E454="","",SUMIFS(tbl_Finance[Xero Invoiced Ex GST],tbl_Finance[Job Number],E454&amp;""))</f>
        <v/>
      </c>
      <c r="N454" s="11">
        <f>IF(J454&lt;&gt;"Won","",IF(E454="",N(I454),N(I454)-N(M454)))</f>
        <v/>
      </c>
      <c r="O454" s="37" t="n"/>
    </row>
    <row r="455">
      <c r="A455" s="44" t="n"/>
      <c r="B455" s="37" t="n"/>
      <c r="C455" s="37" t="n"/>
      <c r="D455" s="37" t="n"/>
      <c r="E455" s="37" t="n"/>
      <c r="F455" s="10">
        <f>IF(E455="","",IF(COUNTIF(lst_Jobs,E455&amp;"")&gt;0,"OK","CHECK"))</f>
        <v/>
      </c>
      <c r="G455" s="37" t="n"/>
      <c r="H455" s="37" t="n"/>
      <c r="I455" s="39" t="n"/>
      <c r="J455" s="37" t="n"/>
      <c r="K455" s="42" t="n"/>
      <c r="L455" s="44" t="n"/>
      <c r="M455" s="11">
        <f>IF(E455="","",SUMIFS(tbl_Finance[Xero Invoiced Ex GST],tbl_Finance[Job Number],E455&amp;""))</f>
        <v/>
      </c>
      <c r="N455" s="11">
        <f>IF(J455&lt;&gt;"Won","",IF(E455="",N(I455),N(I455)-N(M455)))</f>
        <v/>
      </c>
      <c r="O455" s="37" t="n"/>
    </row>
    <row r="456">
      <c r="A456" s="44" t="n"/>
      <c r="B456" s="37" t="n"/>
      <c r="C456" s="37" t="n"/>
      <c r="D456" s="37" t="n"/>
      <c r="E456" s="37" t="n"/>
      <c r="F456" s="10">
        <f>IF(E456="","",IF(COUNTIF(lst_Jobs,E456&amp;"")&gt;0,"OK","CHECK"))</f>
        <v/>
      </c>
      <c r="G456" s="37" t="n"/>
      <c r="H456" s="37" t="n"/>
      <c r="I456" s="39" t="n"/>
      <c r="J456" s="37" t="n"/>
      <c r="K456" s="42" t="n"/>
      <c r="L456" s="44" t="n"/>
      <c r="M456" s="11">
        <f>IF(E456="","",SUMIFS(tbl_Finance[Xero Invoiced Ex GST],tbl_Finance[Job Number],E456&amp;""))</f>
        <v/>
      </c>
      <c r="N456" s="11">
        <f>IF(J456&lt;&gt;"Won","",IF(E456="",N(I456),N(I456)-N(M456)))</f>
        <v/>
      </c>
      <c r="O456" s="37" t="n"/>
    </row>
    <row r="457">
      <c r="A457" s="44" t="n"/>
      <c r="B457" s="37" t="n"/>
      <c r="C457" s="37" t="n"/>
      <c r="D457" s="37" t="n"/>
      <c r="E457" s="37" t="n"/>
      <c r="F457" s="10">
        <f>IF(E457="","",IF(COUNTIF(lst_Jobs,E457&amp;"")&gt;0,"OK","CHECK"))</f>
        <v/>
      </c>
      <c r="G457" s="37" t="n"/>
      <c r="H457" s="37" t="n"/>
      <c r="I457" s="39" t="n"/>
      <c r="J457" s="37" t="n"/>
      <c r="K457" s="42" t="n"/>
      <c r="L457" s="44" t="n"/>
      <c r="M457" s="11">
        <f>IF(E457="","",SUMIFS(tbl_Finance[Xero Invoiced Ex GST],tbl_Finance[Job Number],E457&amp;""))</f>
        <v/>
      </c>
      <c r="N457" s="11">
        <f>IF(J457&lt;&gt;"Won","",IF(E457="",N(I457),N(I457)-N(M457)))</f>
        <v/>
      </c>
      <c r="O457" s="37" t="n"/>
    </row>
    <row r="458">
      <c r="A458" s="44" t="n"/>
      <c r="B458" s="37" t="n"/>
      <c r="C458" s="37" t="n"/>
      <c r="D458" s="37" t="n"/>
      <c r="E458" s="37" t="n"/>
      <c r="F458" s="10">
        <f>IF(E458="","",IF(COUNTIF(lst_Jobs,E458&amp;"")&gt;0,"OK","CHECK"))</f>
        <v/>
      </c>
      <c r="G458" s="37" t="n"/>
      <c r="H458" s="37" t="n"/>
      <c r="I458" s="39" t="n"/>
      <c r="J458" s="37" t="n"/>
      <c r="K458" s="42" t="n"/>
      <c r="L458" s="44" t="n"/>
      <c r="M458" s="11">
        <f>IF(E458="","",SUMIFS(tbl_Finance[Xero Invoiced Ex GST],tbl_Finance[Job Number],E458&amp;""))</f>
        <v/>
      </c>
      <c r="N458" s="11">
        <f>IF(J458&lt;&gt;"Won","",IF(E458="",N(I458),N(I458)-N(M458)))</f>
        <v/>
      </c>
      <c r="O458" s="37" t="n"/>
    </row>
    <row r="459">
      <c r="A459" s="44" t="n"/>
      <c r="B459" s="37" t="n"/>
      <c r="C459" s="37" t="n"/>
      <c r="D459" s="37" t="n"/>
      <c r="E459" s="37" t="n"/>
      <c r="F459" s="10">
        <f>IF(E459="","",IF(COUNTIF(lst_Jobs,E459&amp;"")&gt;0,"OK","CHECK"))</f>
        <v/>
      </c>
      <c r="G459" s="37" t="n"/>
      <c r="H459" s="37" t="n"/>
      <c r="I459" s="39" t="n"/>
      <c r="J459" s="37" t="n"/>
      <c r="K459" s="42" t="n"/>
      <c r="L459" s="44" t="n"/>
      <c r="M459" s="11">
        <f>IF(E459="","",SUMIFS(tbl_Finance[Xero Invoiced Ex GST],tbl_Finance[Job Number],E459&amp;""))</f>
        <v/>
      </c>
      <c r="N459" s="11">
        <f>IF(J459&lt;&gt;"Won","",IF(E459="",N(I459),N(I459)-N(M459)))</f>
        <v/>
      </c>
      <c r="O459" s="37" t="n"/>
    </row>
    <row r="460">
      <c r="A460" s="44" t="n"/>
      <c r="B460" s="37" t="n"/>
      <c r="C460" s="37" t="n"/>
      <c r="D460" s="37" t="n"/>
      <c r="E460" s="37" t="n"/>
      <c r="F460" s="10">
        <f>IF(E460="","",IF(COUNTIF(lst_Jobs,E460&amp;"")&gt;0,"OK","CHECK"))</f>
        <v/>
      </c>
      <c r="G460" s="37" t="n"/>
      <c r="H460" s="37" t="n"/>
      <c r="I460" s="39" t="n"/>
      <c r="J460" s="37" t="n"/>
      <c r="K460" s="42" t="n"/>
      <c r="L460" s="44" t="n"/>
      <c r="M460" s="11">
        <f>IF(E460="","",SUMIFS(tbl_Finance[Xero Invoiced Ex GST],tbl_Finance[Job Number],E460&amp;""))</f>
        <v/>
      </c>
      <c r="N460" s="11">
        <f>IF(J460&lt;&gt;"Won","",IF(E460="",N(I460),N(I460)-N(M460)))</f>
        <v/>
      </c>
      <c r="O460" s="37" t="n"/>
    </row>
    <row r="461">
      <c r="A461" s="44" t="n"/>
      <c r="B461" s="37" t="n"/>
      <c r="C461" s="37" t="n"/>
      <c r="D461" s="37" t="n"/>
      <c r="E461" s="37" t="n"/>
      <c r="F461" s="10">
        <f>IF(E461="","",IF(COUNTIF(lst_Jobs,E461&amp;"")&gt;0,"OK","CHECK"))</f>
        <v/>
      </c>
      <c r="G461" s="37" t="n"/>
      <c r="H461" s="37" t="n"/>
      <c r="I461" s="39" t="n"/>
      <c r="J461" s="37" t="n"/>
      <c r="K461" s="42" t="n"/>
      <c r="L461" s="44" t="n"/>
      <c r="M461" s="11">
        <f>IF(E461="","",SUMIFS(tbl_Finance[Xero Invoiced Ex GST],tbl_Finance[Job Number],E461&amp;""))</f>
        <v/>
      </c>
      <c r="N461" s="11">
        <f>IF(J461&lt;&gt;"Won","",IF(E461="",N(I461),N(I461)-N(M461)))</f>
        <v/>
      </c>
      <c r="O461" s="37" t="n"/>
    </row>
    <row r="462">
      <c r="A462" s="44" t="n"/>
      <c r="B462" s="37" t="n"/>
      <c r="C462" s="37" t="n"/>
      <c r="D462" s="37" t="n"/>
      <c r="E462" s="37" t="n"/>
      <c r="F462" s="10">
        <f>IF(E462="","",IF(COUNTIF(lst_Jobs,E462&amp;"")&gt;0,"OK","CHECK"))</f>
        <v/>
      </c>
      <c r="G462" s="37" t="n"/>
      <c r="H462" s="37" t="n"/>
      <c r="I462" s="39" t="n"/>
      <c r="J462" s="37" t="n"/>
      <c r="K462" s="42" t="n"/>
      <c r="L462" s="44" t="n"/>
      <c r="M462" s="11">
        <f>IF(E462="","",SUMIFS(tbl_Finance[Xero Invoiced Ex GST],tbl_Finance[Job Number],E462&amp;""))</f>
        <v/>
      </c>
      <c r="N462" s="11">
        <f>IF(J462&lt;&gt;"Won","",IF(E462="",N(I462),N(I462)-N(M462)))</f>
        <v/>
      </c>
      <c r="O462" s="37" t="n"/>
    </row>
    <row r="463">
      <c r="A463" s="44" t="n"/>
      <c r="B463" s="37" t="n"/>
      <c r="C463" s="37" t="n"/>
      <c r="D463" s="37" t="n"/>
      <c r="E463" s="37" t="n"/>
      <c r="F463" s="10">
        <f>IF(E463="","",IF(COUNTIF(lst_Jobs,E463&amp;"")&gt;0,"OK","CHECK"))</f>
        <v/>
      </c>
      <c r="G463" s="37" t="n"/>
      <c r="H463" s="37" t="n"/>
      <c r="I463" s="39" t="n"/>
      <c r="J463" s="37" t="n"/>
      <c r="K463" s="42" t="n"/>
      <c r="L463" s="44" t="n"/>
      <c r="M463" s="11">
        <f>IF(E463="","",SUMIFS(tbl_Finance[Xero Invoiced Ex GST],tbl_Finance[Job Number],E463&amp;""))</f>
        <v/>
      </c>
      <c r="N463" s="11">
        <f>IF(J463&lt;&gt;"Won","",IF(E463="",N(I463),N(I463)-N(M463)))</f>
        <v/>
      </c>
      <c r="O463" s="37" t="n"/>
    </row>
    <row r="464">
      <c r="A464" s="44" t="n"/>
      <c r="B464" s="37" t="n"/>
      <c r="C464" s="37" t="n"/>
      <c r="D464" s="37" t="n"/>
      <c r="E464" s="37" t="n"/>
      <c r="F464" s="10">
        <f>IF(E464="","",IF(COUNTIF(lst_Jobs,E464&amp;"")&gt;0,"OK","CHECK"))</f>
        <v/>
      </c>
      <c r="G464" s="37" t="n"/>
      <c r="H464" s="37" t="n"/>
      <c r="I464" s="39" t="n"/>
      <c r="J464" s="37" t="n"/>
      <c r="K464" s="42" t="n"/>
      <c r="L464" s="44" t="n"/>
      <c r="M464" s="11">
        <f>IF(E464="","",SUMIFS(tbl_Finance[Xero Invoiced Ex GST],tbl_Finance[Job Number],E464&amp;""))</f>
        <v/>
      </c>
      <c r="N464" s="11">
        <f>IF(J464&lt;&gt;"Won","",IF(E464="",N(I464),N(I464)-N(M464)))</f>
        <v/>
      </c>
      <c r="O464" s="37" t="n"/>
    </row>
    <row r="465">
      <c r="A465" s="44" t="n"/>
      <c r="B465" s="37" t="n"/>
      <c r="C465" s="37" t="n"/>
      <c r="D465" s="37" t="n"/>
      <c r="E465" s="37" t="n"/>
      <c r="F465" s="10">
        <f>IF(E465="","",IF(COUNTIF(lst_Jobs,E465&amp;"")&gt;0,"OK","CHECK"))</f>
        <v/>
      </c>
      <c r="G465" s="37" t="n"/>
      <c r="H465" s="37" t="n"/>
      <c r="I465" s="39" t="n"/>
      <c r="J465" s="37" t="n"/>
      <c r="K465" s="42" t="n"/>
      <c r="L465" s="44" t="n"/>
      <c r="M465" s="11">
        <f>IF(E465="","",SUMIFS(tbl_Finance[Xero Invoiced Ex GST],tbl_Finance[Job Number],E465&amp;""))</f>
        <v/>
      </c>
      <c r="N465" s="11">
        <f>IF(J465&lt;&gt;"Won","",IF(E465="",N(I465),N(I465)-N(M465)))</f>
        <v/>
      </c>
      <c r="O465" s="37" t="n"/>
    </row>
    <row r="466">
      <c r="A466" s="44" t="n"/>
      <c r="B466" s="37" t="n"/>
      <c r="C466" s="37" t="n"/>
      <c r="D466" s="37" t="n"/>
      <c r="E466" s="37" t="n"/>
      <c r="F466" s="10">
        <f>IF(E466="","",IF(COUNTIF(lst_Jobs,E466&amp;"")&gt;0,"OK","CHECK"))</f>
        <v/>
      </c>
      <c r="G466" s="37" t="n"/>
      <c r="H466" s="37" t="n"/>
      <c r="I466" s="39" t="n"/>
      <c r="J466" s="37" t="n"/>
      <c r="K466" s="42" t="n"/>
      <c r="L466" s="44" t="n"/>
      <c r="M466" s="11">
        <f>IF(E466="","",SUMIFS(tbl_Finance[Xero Invoiced Ex GST],tbl_Finance[Job Number],E466&amp;""))</f>
        <v/>
      </c>
      <c r="N466" s="11">
        <f>IF(J466&lt;&gt;"Won","",IF(E466="",N(I466),N(I466)-N(M466)))</f>
        <v/>
      </c>
      <c r="O466" s="37" t="n"/>
    </row>
    <row r="467">
      <c r="A467" s="44" t="n"/>
      <c r="B467" s="37" t="n"/>
      <c r="C467" s="37" t="n"/>
      <c r="D467" s="37" t="n"/>
      <c r="E467" s="37" t="n"/>
      <c r="F467" s="10">
        <f>IF(E467="","",IF(COUNTIF(lst_Jobs,E467&amp;"")&gt;0,"OK","CHECK"))</f>
        <v/>
      </c>
      <c r="G467" s="37" t="n"/>
      <c r="H467" s="37" t="n"/>
      <c r="I467" s="39" t="n"/>
      <c r="J467" s="37" t="n"/>
      <c r="K467" s="42" t="n"/>
      <c r="L467" s="44" t="n"/>
      <c r="M467" s="11">
        <f>IF(E467="","",SUMIFS(tbl_Finance[Xero Invoiced Ex GST],tbl_Finance[Job Number],E467&amp;""))</f>
        <v/>
      </c>
      <c r="N467" s="11">
        <f>IF(J467&lt;&gt;"Won","",IF(E467="",N(I467),N(I467)-N(M467)))</f>
        <v/>
      </c>
      <c r="O467" s="37" t="n"/>
    </row>
    <row r="468">
      <c r="A468" s="44" t="n"/>
      <c r="B468" s="37" t="n"/>
      <c r="C468" s="37" t="n"/>
      <c r="D468" s="37" t="n"/>
      <c r="E468" s="37" t="n"/>
      <c r="F468" s="10">
        <f>IF(E468="","",IF(COUNTIF(lst_Jobs,E468&amp;"")&gt;0,"OK","CHECK"))</f>
        <v/>
      </c>
      <c r="G468" s="37" t="n"/>
      <c r="H468" s="37" t="n"/>
      <c r="I468" s="39" t="n"/>
      <c r="J468" s="37" t="n"/>
      <c r="K468" s="42" t="n"/>
      <c r="L468" s="44" t="n"/>
      <c r="M468" s="11">
        <f>IF(E468="","",SUMIFS(tbl_Finance[Xero Invoiced Ex GST],tbl_Finance[Job Number],E468&amp;""))</f>
        <v/>
      </c>
      <c r="N468" s="11">
        <f>IF(J468&lt;&gt;"Won","",IF(E468="",N(I468),N(I468)-N(M468)))</f>
        <v/>
      </c>
      <c r="O468" s="37" t="n"/>
    </row>
    <row r="469">
      <c r="A469" s="44" t="n"/>
      <c r="B469" s="37" t="n"/>
      <c r="C469" s="37" t="n"/>
      <c r="D469" s="37" t="n"/>
      <c r="E469" s="37" t="n"/>
      <c r="F469" s="10">
        <f>IF(E469="","",IF(COUNTIF(lst_Jobs,E469&amp;"")&gt;0,"OK","CHECK"))</f>
        <v/>
      </c>
      <c r="G469" s="37" t="n"/>
      <c r="H469" s="37" t="n"/>
      <c r="I469" s="39" t="n"/>
      <c r="J469" s="37" t="n"/>
      <c r="K469" s="42" t="n"/>
      <c r="L469" s="44" t="n"/>
      <c r="M469" s="11">
        <f>IF(E469="","",SUMIFS(tbl_Finance[Xero Invoiced Ex GST],tbl_Finance[Job Number],E469&amp;""))</f>
        <v/>
      </c>
      <c r="N469" s="11">
        <f>IF(J469&lt;&gt;"Won","",IF(E469="",N(I469),N(I469)-N(M469)))</f>
        <v/>
      </c>
      <c r="O469" s="37" t="n"/>
    </row>
    <row r="470">
      <c r="A470" s="44" t="n"/>
      <c r="B470" s="37" t="n"/>
      <c r="C470" s="37" t="n"/>
      <c r="D470" s="37" t="n"/>
      <c r="E470" s="37" t="n"/>
      <c r="F470" s="10">
        <f>IF(E470="","",IF(COUNTIF(lst_Jobs,E470&amp;"")&gt;0,"OK","CHECK"))</f>
        <v/>
      </c>
      <c r="G470" s="37" t="n"/>
      <c r="H470" s="37" t="n"/>
      <c r="I470" s="39" t="n"/>
      <c r="J470" s="37" t="n"/>
      <c r="K470" s="42" t="n"/>
      <c r="L470" s="44" t="n"/>
      <c r="M470" s="11">
        <f>IF(E470="","",SUMIFS(tbl_Finance[Xero Invoiced Ex GST],tbl_Finance[Job Number],E470&amp;""))</f>
        <v/>
      </c>
      <c r="N470" s="11">
        <f>IF(J470&lt;&gt;"Won","",IF(E470="",N(I470),N(I470)-N(M470)))</f>
        <v/>
      </c>
      <c r="O470" s="37" t="n"/>
    </row>
    <row r="471">
      <c r="A471" s="44" t="n"/>
      <c r="B471" s="37" t="n"/>
      <c r="C471" s="37" t="n"/>
      <c r="D471" s="37" t="n"/>
      <c r="E471" s="37" t="n"/>
      <c r="F471" s="10">
        <f>IF(E471="","",IF(COUNTIF(lst_Jobs,E471&amp;"")&gt;0,"OK","CHECK"))</f>
        <v/>
      </c>
      <c r="G471" s="37" t="n"/>
      <c r="H471" s="37" t="n"/>
      <c r="I471" s="39" t="n"/>
      <c r="J471" s="37" t="n"/>
      <c r="K471" s="42" t="n"/>
      <c r="L471" s="44" t="n"/>
      <c r="M471" s="11">
        <f>IF(E471="","",SUMIFS(tbl_Finance[Xero Invoiced Ex GST],tbl_Finance[Job Number],E471&amp;""))</f>
        <v/>
      </c>
      <c r="N471" s="11">
        <f>IF(J471&lt;&gt;"Won","",IF(E471="",N(I471),N(I471)-N(M471)))</f>
        <v/>
      </c>
      <c r="O471" s="37" t="n"/>
    </row>
    <row r="472">
      <c r="A472" s="44" t="n"/>
      <c r="B472" s="37" t="n"/>
      <c r="C472" s="37" t="n"/>
      <c r="D472" s="37" t="n"/>
      <c r="E472" s="37" t="n"/>
      <c r="F472" s="10">
        <f>IF(E472="","",IF(COUNTIF(lst_Jobs,E472&amp;"")&gt;0,"OK","CHECK"))</f>
        <v/>
      </c>
      <c r="G472" s="37" t="n"/>
      <c r="H472" s="37" t="n"/>
      <c r="I472" s="39" t="n"/>
      <c r="J472" s="37" t="n"/>
      <c r="K472" s="42" t="n"/>
      <c r="L472" s="44" t="n"/>
      <c r="M472" s="11">
        <f>IF(E472="","",SUMIFS(tbl_Finance[Xero Invoiced Ex GST],tbl_Finance[Job Number],E472&amp;""))</f>
        <v/>
      </c>
      <c r="N472" s="11">
        <f>IF(J472&lt;&gt;"Won","",IF(E472="",N(I472),N(I472)-N(M472)))</f>
        <v/>
      </c>
      <c r="O472" s="37" t="n"/>
    </row>
    <row r="473">
      <c r="A473" s="44" t="n"/>
      <c r="B473" s="37" t="n"/>
      <c r="C473" s="37" t="n"/>
      <c r="D473" s="37" t="n"/>
      <c r="E473" s="37" t="n"/>
      <c r="F473" s="10">
        <f>IF(E473="","",IF(COUNTIF(lst_Jobs,E473&amp;"")&gt;0,"OK","CHECK"))</f>
        <v/>
      </c>
      <c r="G473" s="37" t="n"/>
      <c r="H473" s="37" t="n"/>
      <c r="I473" s="39" t="n"/>
      <c r="J473" s="37" t="n"/>
      <c r="K473" s="42" t="n"/>
      <c r="L473" s="44" t="n"/>
      <c r="M473" s="11">
        <f>IF(E473="","",SUMIFS(tbl_Finance[Xero Invoiced Ex GST],tbl_Finance[Job Number],E473&amp;""))</f>
        <v/>
      </c>
      <c r="N473" s="11">
        <f>IF(J473&lt;&gt;"Won","",IF(E473="",N(I473),N(I473)-N(M473)))</f>
        <v/>
      </c>
      <c r="O473" s="37" t="n"/>
    </row>
    <row r="474">
      <c r="A474" s="44" t="n"/>
      <c r="B474" s="37" t="n"/>
      <c r="C474" s="37" t="n"/>
      <c r="D474" s="37" t="n"/>
      <c r="E474" s="37" t="n"/>
      <c r="F474" s="10">
        <f>IF(E474="","",IF(COUNTIF(lst_Jobs,E474&amp;"")&gt;0,"OK","CHECK"))</f>
        <v/>
      </c>
      <c r="G474" s="37" t="n"/>
      <c r="H474" s="37" t="n"/>
      <c r="I474" s="39" t="n"/>
      <c r="J474" s="37" t="n"/>
      <c r="K474" s="42" t="n"/>
      <c r="L474" s="44" t="n"/>
      <c r="M474" s="11">
        <f>IF(E474="","",SUMIFS(tbl_Finance[Xero Invoiced Ex GST],tbl_Finance[Job Number],E474&amp;""))</f>
        <v/>
      </c>
      <c r="N474" s="11">
        <f>IF(J474&lt;&gt;"Won","",IF(E474="",N(I474),N(I474)-N(M474)))</f>
        <v/>
      </c>
      <c r="O474" s="37" t="n"/>
    </row>
    <row r="475">
      <c r="A475" s="44" t="n"/>
      <c r="B475" s="37" t="n"/>
      <c r="C475" s="37" t="n"/>
      <c r="D475" s="37" t="n"/>
      <c r="E475" s="37" t="n"/>
      <c r="F475" s="10">
        <f>IF(E475="","",IF(COUNTIF(lst_Jobs,E475&amp;"")&gt;0,"OK","CHECK"))</f>
        <v/>
      </c>
      <c r="G475" s="37" t="n"/>
      <c r="H475" s="37" t="n"/>
      <c r="I475" s="39" t="n"/>
      <c r="J475" s="37" t="n"/>
      <c r="K475" s="42" t="n"/>
      <c r="L475" s="44" t="n"/>
      <c r="M475" s="11">
        <f>IF(E475="","",SUMIFS(tbl_Finance[Xero Invoiced Ex GST],tbl_Finance[Job Number],E475&amp;""))</f>
        <v/>
      </c>
      <c r="N475" s="11">
        <f>IF(J475&lt;&gt;"Won","",IF(E475="",N(I475),N(I475)-N(M475)))</f>
        <v/>
      </c>
      <c r="O475" s="37" t="n"/>
    </row>
    <row r="476">
      <c r="A476" s="44" t="n"/>
      <c r="B476" s="37" t="n"/>
      <c r="C476" s="37" t="n"/>
      <c r="D476" s="37" t="n"/>
      <c r="E476" s="37" t="n"/>
      <c r="F476" s="10">
        <f>IF(E476="","",IF(COUNTIF(lst_Jobs,E476&amp;"")&gt;0,"OK","CHECK"))</f>
        <v/>
      </c>
      <c r="G476" s="37" t="n"/>
      <c r="H476" s="37" t="n"/>
      <c r="I476" s="39" t="n"/>
      <c r="J476" s="37" t="n"/>
      <c r="K476" s="42" t="n"/>
      <c r="L476" s="44" t="n"/>
      <c r="M476" s="11">
        <f>IF(E476="","",SUMIFS(tbl_Finance[Xero Invoiced Ex GST],tbl_Finance[Job Number],E476&amp;""))</f>
        <v/>
      </c>
      <c r="N476" s="11">
        <f>IF(J476&lt;&gt;"Won","",IF(E476="",N(I476),N(I476)-N(M476)))</f>
        <v/>
      </c>
      <c r="O476" s="37" t="n"/>
    </row>
    <row r="477">
      <c r="A477" s="44" t="n"/>
      <c r="B477" s="37" t="n"/>
      <c r="C477" s="37" t="n"/>
      <c r="D477" s="37" t="n"/>
      <c r="E477" s="37" t="n"/>
      <c r="F477" s="10">
        <f>IF(E477="","",IF(COUNTIF(lst_Jobs,E477&amp;"")&gt;0,"OK","CHECK"))</f>
        <v/>
      </c>
      <c r="G477" s="37" t="n"/>
      <c r="H477" s="37" t="n"/>
      <c r="I477" s="39" t="n"/>
      <c r="J477" s="37" t="n"/>
      <c r="K477" s="42" t="n"/>
      <c r="L477" s="44" t="n"/>
      <c r="M477" s="11">
        <f>IF(E477="","",SUMIFS(tbl_Finance[Xero Invoiced Ex GST],tbl_Finance[Job Number],E477&amp;""))</f>
        <v/>
      </c>
      <c r="N477" s="11">
        <f>IF(J477&lt;&gt;"Won","",IF(E477="",N(I477),N(I477)-N(M477)))</f>
        <v/>
      </c>
      <c r="O477" s="37" t="n"/>
    </row>
    <row r="478">
      <c r="A478" s="44" t="n"/>
      <c r="B478" s="37" t="n"/>
      <c r="C478" s="37" t="n"/>
      <c r="D478" s="37" t="n"/>
      <c r="E478" s="37" t="n"/>
      <c r="F478" s="10">
        <f>IF(E478="","",IF(COUNTIF(lst_Jobs,E478&amp;"")&gt;0,"OK","CHECK"))</f>
        <v/>
      </c>
      <c r="G478" s="37" t="n"/>
      <c r="H478" s="37" t="n"/>
      <c r="I478" s="39" t="n"/>
      <c r="J478" s="37" t="n"/>
      <c r="K478" s="42" t="n"/>
      <c r="L478" s="44" t="n"/>
      <c r="M478" s="11">
        <f>IF(E478="","",SUMIFS(tbl_Finance[Xero Invoiced Ex GST],tbl_Finance[Job Number],E478&amp;""))</f>
        <v/>
      </c>
      <c r="N478" s="11">
        <f>IF(J478&lt;&gt;"Won","",IF(E478="",N(I478),N(I478)-N(M478)))</f>
        <v/>
      </c>
      <c r="O478" s="37" t="n"/>
    </row>
    <row r="479">
      <c r="A479" s="44" t="n"/>
      <c r="B479" s="37" t="n"/>
      <c r="C479" s="37" t="n"/>
      <c r="D479" s="37" t="n"/>
      <c r="E479" s="37" t="n"/>
      <c r="F479" s="10">
        <f>IF(E479="","",IF(COUNTIF(lst_Jobs,E479&amp;"")&gt;0,"OK","CHECK"))</f>
        <v/>
      </c>
      <c r="G479" s="37" t="n"/>
      <c r="H479" s="37" t="n"/>
      <c r="I479" s="39" t="n"/>
      <c r="J479" s="37" t="n"/>
      <c r="K479" s="42" t="n"/>
      <c r="L479" s="44" t="n"/>
      <c r="M479" s="11">
        <f>IF(E479="","",SUMIFS(tbl_Finance[Xero Invoiced Ex GST],tbl_Finance[Job Number],E479&amp;""))</f>
        <v/>
      </c>
      <c r="N479" s="11">
        <f>IF(J479&lt;&gt;"Won","",IF(E479="",N(I479),N(I479)-N(M479)))</f>
        <v/>
      </c>
      <c r="O479" s="37" t="n"/>
    </row>
    <row r="480">
      <c r="A480" s="44" t="n"/>
      <c r="B480" s="37" t="n"/>
      <c r="C480" s="37" t="n"/>
      <c r="D480" s="37" t="n"/>
      <c r="E480" s="37" t="n"/>
      <c r="F480" s="10">
        <f>IF(E480="","",IF(COUNTIF(lst_Jobs,E480&amp;"")&gt;0,"OK","CHECK"))</f>
        <v/>
      </c>
      <c r="G480" s="37" t="n"/>
      <c r="H480" s="37" t="n"/>
      <c r="I480" s="39" t="n"/>
      <c r="J480" s="37" t="n"/>
      <c r="K480" s="42" t="n"/>
      <c r="L480" s="44" t="n"/>
      <c r="M480" s="11">
        <f>IF(E480="","",SUMIFS(tbl_Finance[Xero Invoiced Ex GST],tbl_Finance[Job Number],E480&amp;""))</f>
        <v/>
      </c>
      <c r="N480" s="11">
        <f>IF(J480&lt;&gt;"Won","",IF(E480="",N(I480),N(I480)-N(M480)))</f>
        <v/>
      </c>
      <c r="O480" s="37" t="n"/>
    </row>
    <row r="481">
      <c r="A481" s="44" t="n"/>
      <c r="B481" s="37" t="n"/>
      <c r="C481" s="37" t="n"/>
      <c r="D481" s="37" t="n"/>
      <c r="E481" s="37" t="n"/>
      <c r="F481" s="10">
        <f>IF(E481="","",IF(COUNTIF(lst_Jobs,E481&amp;"")&gt;0,"OK","CHECK"))</f>
        <v/>
      </c>
      <c r="G481" s="37" t="n"/>
      <c r="H481" s="37" t="n"/>
      <c r="I481" s="39" t="n"/>
      <c r="J481" s="37" t="n"/>
      <c r="K481" s="42" t="n"/>
      <c r="L481" s="44" t="n"/>
      <c r="M481" s="11">
        <f>IF(E481="","",SUMIFS(tbl_Finance[Xero Invoiced Ex GST],tbl_Finance[Job Number],E481&amp;""))</f>
        <v/>
      </c>
      <c r="N481" s="11">
        <f>IF(J481&lt;&gt;"Won","",IF(E481="",N(I481),N(I481)-N(M481)))</f>
        <v/>
      </c>
      <c r="O481" s="37" t="n"/>
    </row>
    <row r="482">
      <c r="A482" s="44" t="n"/>
      <c r="B482" s="37" t="n"/>
      <c r="C482" s="37" t="n"/>
      <c r="D482" s="37" t="n"/>
      <c r="E482" s="37" t="n"/>
      <c r="F482" s="10">
        <f>IF(E482="","",IF(COUNTIF(lst_Jobs,E482&amp;"")&gt;0,"OK","CHECK"))</f>
        <v/>
      </c>
      <c r="G482" s="37" t="n"/>
      <c r="H482" s="37" t="n"/>
      <c r="I482" s="39" t="n"/>
      <c r="J482" s="37" t="n"/>
      <c r="K482" s="42" t="n"/>
      <c r="L482" s="44" t="n"/>
      <c r="M482" s="11">
        <f>IF(E482="","",SUMIFS(tbl_Finance[Xero Invoiced Ex GST],tbl_Finance[Job Number],E482&amp;""))</f>
        <v/>
      </c>
      <c r="N482" s="11">
        <f>IF(J482&lt;&gt;"Won","",IF(E482="",N(I482),N(I482)-N(M482)))</f>
        <v/>
      </c>
      <c r="O482" s="37" t="n"/>
    </row>
    <row r="483">
      <c r="A483" s="44" t="n"/>
      <c r="B483" s="37" t="n"/>
      <c r="C483" s="37" t="n"/>
      <c r="D483" s="37" t="n"/>
      <c r="E483" s="37" t="n"/>
      <c r="F483" s="10">
        <f>IF(E483="","",IF(COUNTIF(lst_Jobs,E483&amp;"")&gt;0,"OK","CHECK"))</f>
        <v/>
      </c>
      <c r="G483" s="37" t="n"/>
      <c r="H483" s="37" t="n"/>
      <c r="I483" s="39" t="n"/>
      <c r="J483" s="37" t="n"/>
      <c r="K483" s="42" t="n"/>
      <c r="L483" s="44" t="n"/>
      <c r="M483" s="11">
        <f>IF(E483="","",SUMIFS(tbl_Finance[Xero Invoiced Ex GST],tbl_Finance[Job Number],E483&amp;""))</f>
        <v/>
      </c>
      <c r="N483" s="11">
        <f>IF(J483&lt;&gt;"Won","",IF(E483="",N(I483),N(I483)-N(M483)))</f>
        <v/>
      </c>
      <c r="O483" s="37" t="n"/>
    </row>
    <row r="484">
      <c r="A484" s="44" t="n"/>
      <c r="B484" s="37" t="n"/>
      <c r="C484" s="37" t="n"/>
      <c r="D484" s="37" t="n"/>
      <c r="E484" s="37" t="n"/>
      <c r="F484" s="10">
        <f>IF(E484="","",IF(COUNTIF(lst_Jobs,E484&amp;"")&gt;0,"OK","CHECK"))</f>
        <v/>
      </c>
      <c r="G484" s="37" t="n"/>
      <c r="H484" s="37" t="n"/>
      <c r="I484" s="39" t="n"/>
      <c r="J484" s="37" t="n"/>
      <c r="K484" s="42" t="n"/>
      <c r="L484" s="44" t="n"/>
      <c r="M484" s="11">
        <f>IF(E484="","",SUMIFS(tbl_Finance[Xero Invoiced Ex GST],tbl_Finance[Job Number],E484&amp;""))</f>
        <v/>
      </c>
      <c r="N484" s="11">
        <f>IF(J484&lt;&gt;"Won","",IF(E484="",N(I484),N(I484)-N(M484)))</f>
        <v/>
      </c>
      <c r="O484" s="37" t="n"/>
    </row>
    <row r="485">
      <c r="A485" s="44" t="n"/>
      <c r="B485" s="37" t="n"/>
      <c r="C485" s="37" t="n"/>
      <c r="D485" s="37" t="n"/>
      <c r="E485" s="37" t="n"/>
      <c r="F485" s="10">
        <f>IF(E485="","",IF(COUNTIF(lst_Jobs,E485&amp;"")&gt;0,"OK","CHECK"))</f>
        <v/>
      </c>
      <c r="G485" s="37" t="n"/>
      <c r="H485" s="37" t="n"/>
      <c r="I485" s="39" t="n"/>
      <c r="J485" s="37" t="n"/>
      <c r="K485" s="42" t="n"/>
      <c r="L485" s="44" t="n"/>
      <c r="M485" s="11">
        <f>IF(E485="","",SUMIFS(tbl_Finance[Xero Invoiced Ex GST],tbl_Finance[Job Number],E485&amp;""))</f>
        <v/>
      </c>
      <c r="N485" s="11">
        <f>IF(J485&lt;&gt;"Won","",IF(E485="",N(I485),N(I485)-N(M485)))</f>
        <v/>
      </c>
      <c r="O485" s="37" t="n"/>
    </row>
    <row r="486">
      <c r="A486" s="44" t="n"/>
      <c r="B486" s="37" t="n"/>
      <c r="C486" s="37" t="n"/>
      <c r="D486" s="37" t="n"/>
      <c r="E486" s="37" t="n"/>
      <c r="F486" s="10">
        <f>IF(E486="","",IF(COUNTIF(lst_Jobs,E486&amp;"")&gt;0,"OK","CHECK"))</f>
        <v/>
      </c>
      <c r="G486" s="37" t="n"/>
      <c r="H486" s="37" t="n"/>
      <c r="I486" s="39" t="n"/>
      <c r="J486" s="37" t="n"/>
      <c r="K486" s="42" t="n"/>
      <c r="L486" s="44" t="n"/>
      <c r="M486" s="11">
        <f>IF(E486="","",SUMIFS(tbl_Finance[Xero Invoiced Ex GST],tbl_Finance[Job Number],E486&amp;""))</f>
        <v/>
      </c>
      <c r="N486" s="11">
        <f>IF(J486&lt;&gt;"Won","",IF(E486="",N(I486),N(I486)-N(M486)))</f>
        <v/>
      </c>
      <c r="O486" s="37" t="n"/>
    </row>
    <row r="487">
      <c r="A487" s="44" t="n"/>
      <c r="B487" s="37" t="n"/>
      <c r="C487" s="37" t="n"/>
      <c r="D487" s="37" t="n"/>
      <c r="E487" s="37" t="n"/>
      <c r="F487" s="10">
        <f>IF(E487="","",IF(COUNTIF(lst_Jobs,E487&amp;"")&gt;0,"OK","CHECK"))</f>
        <v/>
      </c>
      <c r="G487" s="37" t="n"/>
      <c r="H487" s="37" t="n"/>
      <c r="I487" s="39" t="n"/>
      <c r="J487" s="37" t="n"/>
      <c r="K487" s="42" t="n"/>
      <c r="L487" s="44" t="n"/>
      <c r="M487" s="11">
        <f>IF(E487="","",SUMIFS(tbl_Finance[Xero Invoiced Ex GST],tbl_Finance[Job Number],E487&amp;""))</f>
        <v/>
      </c>
      <c r="N487" s="11">
        <f>IF(J487&lt;&gt;"Won","",IF(E487="",N(I487),N(I487)-N(M487)))</f>
        <v/>
      </c>
      <c r="O487" s="37" t="n"/>
    </row>
    <row r="488">
      <c r="A488" s="44" t="n"/>
      <c r="B488" s="37" t="n"/>
      <c r="C488" s="37" t="n"/>
      <c r="D488" s="37" t="n"/>
      <c r="E488" s="37" t="n"/>
      <c r="F488" s="10">
        <f>IF(E488="","",IF(COUNTIF(lst_Jobs,E488&amp;"")&gt;0,"OK","CHECK"))</f>
        <v/>
      </c>
      <c r="G488" s="37" t="n"/>
      <c r="H488" s="37" t="n"/>
      <c r="I488" s="39" t="n"/>
      <c r="J488" s="37" t="n"/>
      <c r="K488" s="42" t="n"/>
      <c r="L488" s="44" t="n"/>
      <c r="M488" s="11">
        <f>IF(E488="","",SUMIFS(tbl_Finance[Xero Invoiced Ex GST],tbl_Finance[Job Number],E488&amp;""))</f>
        <v/>
      </c>
      <c r="N488" s="11">
        <f>IF(J488&lt;&gt;"Won","",IF(E488="",N(I488),N(I488)-N(M488)))</f>
        <v/>
      </c>
      <c r="O488" s="37" t="n"/>
    </row>
    <row r="489">
      <c r="A489" s="44" t="n"/>
      <c r="B489" s="37" t="n"/>
      <c r="C489" s="37" t="n"/>
      <c r="D489" s="37" t="n"/>
      <c r="E489" s="37" t="n"/>
      <c r="F489" s="10">
        <f>IF(E489="","",IF(COUNTIF(lst_Jobs,E489&amp;"")&gt;0,"OK","CHECK"))</f>
        <v/>
      </c>
      <c r="G489" s="37" t="n"/>
      <c r="H489" s="37" t="n"/>
      <c r="I489" s="39" t="n"/>
      <c r="J489" s="37" t="n"/>
      <c r="K489" s="42" t="n"/>
      <c r="L489" s="44" t="n"/>
      <c r="M489" s="11">
        <f>IF(E489="","",SUMIFS(tbl_Finance[Xero Invoiced Ex GST],tbl_Finance[Job Number],E489&amp;""))</f>
        <v/>
      </c>
      <c r="N489" s="11">
        <f>IF(J489&lt;&gt;"Won","",IF(E489="",N(I489),N(I489)-N(M489)))</f>
        <v/>
      </c>
      <c r="O489" s="37" t="n"/>
    </row>
    <row r="490">
      <c r="A490" s="44" t="n"/>
      <c r="B490" s="37" t="n"/>
      <c r="C490" s="37" t="n"/>
      <c r="D490" s="37" t="n"/>
      <c r="E490" s="37" t="n"/>
      <c r="F490" s="10">
        <f>IF(E490="","",IF(COUNTIF(lst_Jobs,E490&amp;"")&gt;0,"OK","CHECK"))</f>
        <v/>
      </c>
      <c r="G490" s="37" t="n"/>
      <c r="H490" s="37" t="n"/>
      <c r="I490" s="39" t="n"/>
      <c r="J490" s="37" t="n"/>
      <c r="K490" s="42" t="n"/>
      <c r="L490" s="44" t="n"/>
      <c r="M490" s="11">
        <f>IF(E490="","",SUMIFS(tbl_Finance[Xero Invoiced Ex GST],tbl_Finance[Job Number],E490&amp;""))</f>
        <v/>
      </c>
      <c r="N490" s="11">
        <f>IF(J490&lt;&gt;"Won","",IF(E490="",N(I490),N(I490)-N(M490)))</f>
        <v/>
      </c>
      <c r="O490" s="37" t="n"/>
    </row>
    <row r="491">
      <c r="A491" s="44" t="n"/>
      <c r="B491" s="37" t="n"/>
      <c r="C491" s="37" t="n"/>
      <c r="D491" s="37" t="n"/>
      <c r="E491" s="37" t="n"/>
      <c r="F491" s="10">
        <f>IF(E491="","",IF(COUNTIF(lst_Jobs,E491&amp;"")&gt;0,"OK","CHECK"))</f>
        <v/>
      </c>
      <c r="G491" s="37" t="n"/>
      <c r="H491" s="37" t="n"/>
      <c r="I491" s="39" t="n"/>
      <c r="J491" s="37" t="n"/>
      <c r="K491" s="42" t="n"/>
      <c r="L491" s="44" t="n"/>
      <c r="M491" s="11">
        <f>IF(E491="","",SUMIFS(tbl_Finance[Xero Invoiced Ex GST],tbl_Finance[Job Number],E491&amp;""))</f>
        <v/>
      </c>
      <c r="N491" s="11">
        <f>IF(J491&lt;&gt;"Won","",IF(E491="",N(I491),N(I491)-N(M491)))</f>
        <v/>
      </c>
      <c r="O491" s="37" t="n"/>
    </row>
    <row r="492">
      <c r="A492" s="44" t="n"/>
      <c r="B492" s="37" t="n"/>
      <c r="C492" s="37" t="n"/>
      <c r="D492" s="37" t="n"/>
      <c r="E492" s="37" t="n"/>
      <c r="F492" s="10">
        <f>IF(E492="","",IF(COUNTIF(lst_Jobs,E492&amp;"")&gt;0,"OK","CHECK"))</f>
        <v/>
      </c>
      <c r="G492" s="37" t="n"/>
      <c r="H492" s="37" t="n"/>
      <c r="I492" s="39" t="n"/>
      <c r="J492" s="37" t="n"/>
      <c r="K492" s="42" t="n"/>
      <c r="L492" s="44" t="n"/>
      <c r="M492" s="11">
        <f>IF(E492="","",SUMIFS(tbl_Finance[Xero Invoiced Ex GST],tbl_Finance[Job Number],E492&amp;""))</f>
        <v/>
      </c>
      <c r="N492" s="11">
        <f>IF(J492&lt;&gt;"Won","",IF(E492="",N(I492),N(I492)-N(M492)))</f>
        <v/>
      </c>
      <c r="O492" s="37" t="n"/>
    </row>
    <row r="493">
      <c r="A493" s="44" t="n"/>
      <c r="B493" s="37" t="n"/>
      <c r="C493" s="37" t="n"/>
      <c r="D493" s="37" t="n"/>
      <c r="E493" s="37" t="n"/>
      <c r="F493" s="10">
        <f>IF(E493="","",IF(COUNTIF(lst_Jobs,E493&amp;"")&gt;0,"OK","CHECK"))</f>
        <v/>
      </c>
      <c r="G493" s="37" t="n"/>
      <c r="H493" s="37" t="n"/>
      <c r="I493" s="39" t="n"/>
      <c r="J493" s="37" t="n"/>
      <c r="K493" s="42" t="n"/>
      <c r="L493" s="44" t="n"/>
      <c r="M493" s="11">
        <f>IF(E493="","",SUMIFS(tbl_Finance[Xero Invoiced Ex GST],tbl_Finance[Job Number],E493&amp;""))</f>
        <v/>
      </c>
      <c r="N493" s="11">
        <f>IF(J493&lt;&gt;"Won","",IF(E493="",N(I493),N(I493)-N(M493)))</f>
        <v/>
      </c>
      <c r="O493" s="37" t="n"/>
    </row>
    <row r="494">
      <c r="A494" s="44" t="n"/>
      <c r="B494" s="37" t="n"/>
      <c r="C494" s="37" t="n"/>
      <c r="D494" s="37" t="n"/>
      <c r="E494" s="37" t="n"/>
      <c r="F494" s="10">
        <f>IF(E494="","",IF(COUNTIF(lst_Jobs,E494&amp;"")&gt;0,"OK","CHECK"))</f>
        <v/>
      </c>
      <c r="G494" s="37" t="n"/>
      <c r="H494" s="37" t="n"/>
      <c r="I494" s="39" t="n"/>
      <c r="J494" s="37" t="n"/>
      <c r="K494" s="42" t="n"/>
      <c r="L494" s="44" t="n"/>
      <c r="M494" s="11">
        <f>IF(E494="","",SUMIFS(tbl_Finance[Xero Invoiced Ex GST],tbl_Finance[Job Number],E494&amp;""))</f>
        <v/>
      </c>
      <c r="N494" s="11">
        <f>IF(J494&lt;&gt;"Won","",IF(E494="",N(I494),N(I494)-N(M494)))</f>
        <v/>
      </c>
      <c r="O494" s="37" t="n"/>
    </row>
    <row r="495">
      <c r="A495" s="44" t="n"/>
      <c r="B495" s="37" t="n"/>
      <c r="C495" s="37" t="n"/>
      <c r="D495" s="37" t="n"/>
      <c r="E495" s="37" t="n"/>
      <c r="F495" s="10">
        <f>IF(E495="","",IF(COUNTIF(lst_Jobs,E495&amp;"")&gt;0,"OK","CHECK"))</f>
        <v/>
      </c>
      <c r="G495" s="37" t="n"/>
      <c r="H495" s="37" t="n"/>
      <c r="I495" s="39" t="n"/>
      <c r="J495" s="37" t="n"/>
      <c r="K495" s="42" t="n"/>
      <c r="L495" s="44" t="n"/>
      <c r="M495" s="11">
        <f>IF(E495="","",SUMIFS(tbl_Finance[Xero Invoiced Ex GST],tbl_Finance[Job Number],E495&amp;""))</f>
        <v/>
      </c>
      <c r="N495" s="11">
        <f>IF(J495&lt;&gt;"Won","",IF(E495="",N(I495),N(I495)-N(M495)))</f>
        <v/>
      </c>
      <c r="O495" s="37" t="n"/>
    </row>
    <row r="496">
      <c r="A496" s="44" t="n"/>
      <c r="B496" s="37" t="n"/>
      <c r="C496" s="37" t="n"/>
      <c r="D496" s="37" t="n"/>
      <c r="E496" s="37" t="n"/>
      <c r="F496" s="10">
        <f>IF(E496="","",IF(COUNTIF(lst_Jobs,E496&amp;"")&gt;0,"OK","CHECK"))</f>
        <v/>
      </c>
      <c r="G496" s="37" t="n"/>
      <c r="H496" s="37" t="n"/>
      <c r="I496" s="39" t="n"/>
      <c r="J496" s="37" t="n"/>
      <c r="K496" s="42" t="n"/>
      <c r="L496" s="44" t="n"/>
      <c r="M496" s="11">
        <f>IF(E496="","",SUMIFS(tbl_Finance[Xero Invoiced Ex GST],tbl_Finance[Job Number],E496&amp;""))</f>
        <v/>
      </c>
      <c r="N496" s="11">
        <f>IF(J496&lt;&gt;"Won","",IF(E496="",N(I496),N(I496)-N(M496)))</f>
        <v/>
      </c>
      <c r="O496" s="37" t="n"/>
    </row>
    <row r="497">
      <c r="A497" s="44" t="n"/>
      <c r="B497" s="37" t="n"/>
      <c r="C497" s="37" t="n"/>
      <c r="D497" s="37" t="n"/>
      <c r="E497" s="37" t="n"/>
      <c r="F497" s="10">
        <f>IF(E497="","",IF(COUNTIF(lst_Jobs,E497&amp;"")&gt;0,"OK","CHECK"))</f>
        <v/>
      </c>
      <c r="G497" s="37" t="n"/>
      <c r="H497" s="37" t="n"/>
      <c r="I497" s="39" t="n"/>
      <c r="J497" s="37" t="n"/>
      <c r="K497" s="42" t="n"/>
      <c r="L497" s="44" t="n"/>
      <c r="M497" s="11">
        <f>IF(E497="","",SUMIFS(tbl_Finance[Xero Invoiced Ex GST],tbl_Finance[Job Number],E497&amp;""))</f>
        <v/>
      </c>
      <c r="N497" s="11">
        <f>IF(J497&lt;&gt;"Won","",IF(E497="",N(I497),N(I497)-N(M497)))</f>
        <v/>
      </c>
      <c r="O497" s="37" t="n"/>
    </row>
    <row r="498">
      <c r="A498" s="44" t="n"/>
      <c r="B498" s="37" t="n"/>
      <c r="C498" s="37" t="n"/>
      <c r="D498" s="37" t="n"/>
      <c r="E498" s="37" t="n"/>
      <c r="F498" s="10">
        <f>IF(E498="","",IF(COUNTIF(lst_Jobs,E498&amp;"")&gt;0,"OK","CHECK"))</f>
        <v/>
      </c>
      <c r="G498" s="37" t="n"/>
      <c r="H498" s="37" t="n"/>
      <c r="I498" s="39" t="n"/>
      <c r="J498" s="37" t="n"/>
      <c r="K498" s="42" t="n"/>
      <c r="L498" s="44" t="n"/>
      <c r="M498" s="11">
        <f>IF(E498="","",SUMIFS(tbl_Finance[Xero Invoiced Ex GST],tbl_Finance[Job Number],E498&amp;""))</f>
        <v/>
      </c>
      <c r="N498" s="11">
        <f>IF(J498&lt;&gt;"Won","",IF(E498="",N(I498),N(I498)-N(M498)))</f>
        <v/>
      </c>
      <c r="O498" s="37" t="n"/>
    </row>
    <row r="499">
      <c r="A499" s="44" t="n"/>
      <c r="B499" s="37" t="n"/>
      <c r="C499" s="37" t="n"/>
      <c r="D499" s="37" t="n"/>
      <c r="E499" s="37" t="n"/>
      <c r="F499" s="10">
        <f>IF(E499="","",IF(COUNTIF(lst_Jobs,E499&amp;"")&gt;0,"OK","CHECK"))</f>
        <v/>
      </c>
      <c r="G499" s="37" t="n"/>
      <c r="H499" s="37" t="n"/>
      <c r="I499" s="39" t="n"/>
      <c r="J499" s="37" t="n"/>
      <c r="K499" s="42" t="n"/>
      <c r="L499" s="44" t="n"/>
      <c r="M499" s="11">
        <f>IF(E499="","",SUMIFS(tbl_Finance[Xero Invoiced Ex GST],tbl_Finance[Job Number],E499&amp;""))</f>
        <v/>
      </c>
      <c r="N499" s="11">
        <f>IF(J499&lt;&gt;"Won","",IF(E499="",N(I499),N(I499)-N(M499)))</f>
        <v/>
      </c>
      <c r="O499" s="37" t="n"/>
    </row>
    <row r="500">
      <c r="A500" s="44" t="n"/>
      <c r="B500" s="37" t="n"/>
      <c r="C500" s="37" t="n"/>
      <c r="D500" s="37" t="n"/>
      <c r="E500" s="37" t="n"/>
      <c r="F500" s="10">
        <f>IF(E500="","",IF(COUNTIF(lst_Jobs,E500&amp;"")&gt;0,"OK","CHECK"))</f>
        <v/>
      </c>
      <c r="G500" s="37" t="n"/>
      <c r="H500" s="37" t="n"/>
      <c r="I500" s="39" t="n"/>
      <c r="J500" s="37" t="n"/>
      <c r="K500" s="42" t="n"/>
      <c r="L500" s="44" t="n"/>
      <c r="M500" s="11">
        <f>IF(E500="","",SUMIFS(tbl_Finance[Xero Invoiced Ex GST],tbl_Finance[Job Number],E500&amp;""))</f>
        <v/>
      </c>
      <c r="N500" s="11">
        <f>IF(J500&lt;&gt;"Won","",IF(E500="",N(I500),N(I500)-N(M500)))</f>
        <v/>
      </c>
      <c r="O500" s="37" t="n"/>
    </row>
    <row r="501">
      <c r="A501" s="44" t="n"/>
      <c r="B501" s="37" t="n"/>
      <c r="C501" s="37" t="n"/>
      <c r="D501" s="37" t="n"/>
      <c r="E501" s="37" t="n"/>
      <c r="F501" s="10">
        <f>IF(E501="","",IF(COUNTIF(lst_Jobs,E501&amp;"")&gt;0,"OK","CHECK"))</f>
        <v/>
      </c>
      <c r="G501" s="37" t="n"/>
      <c r="H501" s="37" t="n"/>
      <c r="I501" s="39" t="n"/>
      <c r="J501" s="37" t="n"/>
      <c r="K501" s="42" t="n"/>
      <c r="L501" s="44" t="n"/>
      <c r="M501" s="11">
        <f>IF(E501="","",SUMIFS(tbl_Finance[Xero Invoiced Ex GST],tbl_Finance[Job Number],E501&amp;""))</f>
        <v/>
      </c>
      <c r="N501" s="11">
        <f>IF(J501&lt;&gt;"Won","",IF(E501="",N(I501),N(I501)-N(M501)))</f>
        <v/>
      </c>
      <c r="O501" s="37" t="n"/>
    </row>
    <row r="502">
      <c r="A502" s="44" t="n"/>
      <c r="B502" s="37" t="n"/>
      <c r="C502" s="37" t="n"/>
      <c r="D502" s="37" t="n"/>
      <c r="E502" s="37" t="n"/>
      <c r="F502" s="10">
        <f>IF(E502="","",IF(COUNTIF(lst_Jobs,E502&amp;"")&gt;0,"OK","CHECK"))</f>
        <v/>
      </c>
      <c r="G502" s="37" t="n"/>
      <c r="H502" s="37" t="n"/>
      <c r="I502" s="39" t="n"/>
      <c r="J502" s="37" t="n"/>
      <c r="K502" s="42" t="n"/>
      <c r="L502" s="44" t="n"/>
      <c r="M502" s="11">
        <f>IF(E502="","",SUMIFS(tbl_Finance[Xero Invoiced Ex GST],tbl_Finance[Job Number],E502&amp;""))</f>
        <v/>
      </c>
      <c r="N502" s="11">
        <f>IF(J502&lt;&gt;"Won","",IF(E502="",N(I502),N(I502)-N(M502)))</f>
        <v/>
      </c>
      <c r="O502" s="37" t="n"/>
    </row>
    <row r="503">
      <c r="A503" s="44" t="n"/>
      <c r="B503" s="37" t="n"/>
      <c r="C503" s="37" t="n"/>
      <c r="D503" s="37" t="n"/>
      <c r="E503" s="37" t="n"/>
      <c r="F503" s="10">
        <f>IF(E503="","",IF(COUNTIF(lst_Jobs,E503&amp;"")&gt;0,"OK","CHECK"))</f>
        <v/>
      </c>
      <c r="G503" s="37" t="n"/>
      <c r="H503" s="37" t="n"/>
      <c r="I503" s="39" t="n"/>
      <c r="J503" s="37" t="n"/>
      <c r="K503" s="42" t="n"/>
      <c r="L503" s="44" t="n"/>
      <c r="M503" s="11">
        <f>IF(E503="","",SUMIFS(tbl_Finance[Xero Invoiced Ex GST],tbl_Finance[Job Number],E503&amp;""))</f>
        <v/>
      </c>
      <c r="N503" s="11">
        <f>IF(J503&lt;&gt;"Won","",IF(E503="",N(I503),N(I503)-N(M503)))</f>
        <v/>
      </c>
      <c r="O503" s="37" t="n"/>
    </row>
    <row r="504">
      <c r="A504" s="44" t="n"/>
      <c r="B504" s="37" t="n"/>
      <c r="C504" s="37" t="n"/>
      <c r="D504" s="37" t="n"/>
      <c r="E504" s="37" t="n"/>
      <c r="F504" s="10">
        <f>IF(E504="","",IF(COUNTIF(lst_Jobs,E504&amp;"")&gt;0,"OK","CHECK"))</f>
        <v/>
      </c>
      <c r="G504" s="37" t="n"/>
      <c r="H504" s="37" t="n"/>
      <c r="I504" s="39" t="n"/>
      <c r="J504" s="37" t="n"/>
      <c r="K504" s="42" t="n"/>
      <c r="L504" s="44" t="n"/>
      <c r="M504" s="11">
        <f>IF(E504="","",SUMIFS(tbl_Finance[Xero Invoiced Ex GST],tbl_Finance[Job Number],E504&amp;""))</f>
        <v/>
      </c>
      <c r="N504" s="11">
        <f>IF(J504&lt;&gt;"Won","",IF(E504="",N(I504),N(I504)-N(M504)))</f>
        <v/>
      </c>
      <c r="O504" s="37" t="n"/>
    </row>
    <row r="505">
      <c r="A505" s="44" t="n"/>
      <c r="B505" s="37" t="n"/>
      <c r="C505" s="37" t="n"/>
      <c r="D505" s="37" t="n"/>
      <c r="E505" s="37" t="n"/>
      <c r="F505" s="10">
        <f>IF(E505="","",IF(COUNTIF(lst_Jobs,E505&amp;"")&gt;0,"OK","CHECK"))</f>
        <v/>
      </c>
      <c r="G505" s="37" t="n"/>
      <c r="H505" s="37" t="n"/>
      <c r="I505" s="39" t="n"/>
      <c r="J505" s="37" t="n"/>
      <c r="K505" s="42" t="n"/>
      <c r="L505" s="44" t="n"/>
      <c r="M505" s="11">
        <f>IF(E505="","",SUMIFS(tbl_Finance[Xero Invoiced Ex GST],tbl_Finance[Job Number],E505&amp;""))</f>
        <v/>
      </c>
      <c r="N505" s="11">
        <f>IF(J505&lt;&gt;"Won","",IF(E505="",N(I505),N(I505)-N(M505)))</f>
        <v/>
      </c>
      <c r="O505" s="37" t="n"/>
    </row>
    <row r="506">
      <c r="A506" s="44" t="n"/>
      <c r="B506" s="37" t="n"/>
      <c r="C506" s="37" t="n"/>
      <c r="D506" s="37" t="n"/>
      <c r="E506" s="37" t="n"/>
      <c r="F506" s="10">
        <f>IF(E506="","",IF(COUNTIF(lst_Jobs,E506&amp;"")&gt;0,"OK","CHECK"))</f>
        <v/>
      </c>
      <c r="G506" s="37" t="n"/>
      <c r="H506" s="37" t="n"/>
      <c r="I506" s="39" t="n"/>
      <c r="J506" s="37" t="n"/>
      <c r="K506" s="42" t="n"/>
      <c r="L506" s="44" t="n"/>
      <c r="M506" s="11">
        <f>IF(E506="","",SUMIFS(tbl_Finance[Xero Invoiced Ex GST],tbl_Finance[Job Number],E506&amp;""))</f>
        <v/>
      </c>
      <c r="N506" s="11">
        <f>IF(J506&lt;&gt;"Won","",IF(E506="",N(I506),N(I506)-N(M506)))</f>
        <v/>
      </c>
      <c r="O506" s="37" t="n"/>
    </row>
    <row r="507">
      <c r="A507" s="44" t="n"/>
      <c r="B507" s="37" t="n"/>
      <c r="C507" s="37" t="n"/>
      <c r="D507" s="37" t="n"/>
      <c r="E507" s="37" t="n"/>
      <c r="F507" s="10">
        <f>IF(E507="","",IF(COUNTIF(lst_Jobs,E507&amp;"")&gt;0,"OK","CHECK"))</f>
        <v/>
      </c>
      <c r="G507" s="37" t="n"/>
      <c r="H507" s="37" t="n"/>
      <c r="I507" s="39" t="n"/>
      <c r="J507" s="37" t="n"/>
      <c r="K507" s="42" t="n"/>
      <c r="L507" s="44" t="n"/>
      <c r="M507" s="11">
        <f>IF(E507="","",SUMIFS(tbl_Finance[Xero Invoiced Ex GST],tbl_Finance[Job Number],E507&amp;""))</f>
        <v/>
      </c>
      <c r="N507" s="11">
        <f>IF(J507&lt;&gt;"Won","",IF(E507="",N(I507),N(I507)-N(M507)))</f>
        <v/>
      </c>
      <c r="O507" s="37" t="n"/>
    </row>
    <row r="508">
      <c r="A508" s="44" t="n"/>
      <c r="B508" s="37" t="n"/>
      <c r="C508" s="37" t="n"/>
      <c r="D508" s="37" t="n"/>
      <c r="E508" s="37" t="n"/>
      <c r="F508" s="10">
        <f>IF(E508="","",IF(COUNTIF(lst_Jobs,E508&amp;"")&gt;0,"OK","CHECK"))</f>
        <v/>
      </c>
      <c r="G508" s="37" t="n"/>
      <c r="H508" s="37" t="n"/>
      <c r="I508" s="39" t="n"/>
      <c r="J508" s="37" t="n"/>
      <c r="K508" s="42" t="n"/>
      <c r="L508" s="44" t="n"/>
      <c r="M508" s="11">
        <f>IF(E508="","",SUMIFS(tbl_Finance[Xero Invoiced Ex GST],tbl_Finance[Job Number],E508&amp;""))</f>
        <v/>
      </c>
      <c r="N508" s="11">
        <f>IF(J508&lt;&gt;"Won","",IF(E508="",N(I508),N(I508)-N(M508)))</f>
        <v/>
      </c>
      <c r="O508" s="37" t="n"/>
    </row>
    <row r="509">
      <c r="A509" s="44" t="n"/>
      <c r="B509" s="37" t="n"/>
      <c r="C509" s="37" t="n"/>
      <c r="D509" s="37" t="n"/>
      <c r="E509" s="37" t="n"/>
      <c r="F509" s="10">
        <f>IF(E509="","",IF(COUNTIF(lst_Jobs,E509&amp;"")&gt;0,"OK","CHECK"))</f>
        <v/>
      </c>
      <c r="G509" s="37" t="n"/>
      <c r="H509" s="37" t="n"/>
      <c r="I509" s="39" t="n"/>
      <c r="J509" s="37" t="n"/>
      <c r="K509" s="42" t="n"/>
      <c r="L509" s="44" t="n"/>
      <c r="M509" s="11">
        <f>IF(E509="","",SUMIFS(tbl_Finance[Xero Invoiced Ex GST],tbl_Finance[Job Number],E509&amp;""))</f>
        <v/>
      </c>
      <c r="N509" s="11">
        <f>IF(J509&lt;&gt;"Won","",IF(E509="",N(I509),N(I509)-N(M509)))</f>
        <v/>
      </c>
      <c r="O509" s="37" t="n"/>
    </row>
    <row r="510">
      <c r="A510" s="44" t="n"/>
      <c r="B510" s="37" t="n"/>
      <c r="C510" s="37" t="n"/>
      <c r="D510" s="37" t="n"/>
      <c r="E510" s="37" t="n"/>
      <c r="F510" s="10">
        <f>IF(E510="","",IF(COUNTIF(lst_Jobs,E510&amp;"")&gt;0,"OK","CHECK"))</f>
        <v/>
      </c>
      <c r="G510" s="37" t="n"/>
      <c r="H510" s="37" t="n"/>
      <c r="I510" s="39" t="n"/>
      <c r="J510" s="37" t="n"/>
      <c r="K510" s="42" t="n"/>
      <c r="L510" s="44" t="n"/>
      <c r="M510" s="11">
        <f>IF(E510="","",SUMIFS(tbl_Finance[Xero Invoiced Ex GST],tbl_Finance[Job Number],E510&amp;""))</f>
        <v/>
      </c>
      <c r="N510" s="11">
        <f>IF(J510&lt;&gt;"Won","",IF(E510="",N(I510),N(I510)-N(M510)))</f>
        <v/>
      </c>
      <c r="O510" s="37" t="n"/>
    </row>
    <row r="511">
      <c r="A511" s="44" t="n"/>
      <c r="B511" s="37" t="n"/>
      <c r="C511" s="37" t="n"/>
      <c r="D511" s="37" t="n"/>
      <c r="E511" s="37" t="n"/>
      <c r="F511" s="10">
        <f>IF(E511="","",IF(COUNTIF(lst_Jobs,E511&amp;"")&gt;0,"OK","CHECK"))</f>
        <v/>
      </c>
      <c r="G511" s="37" t="n"/>
      <c r="H511" s="37" t="n"/>
      <c r="I511" s="39" t="n"/>
      <c r="J511" s="37" t="n"/>
      <c r="K511" s="42" t="n"/>
      <c r="L511" s="44" t="n"/>
      <c r="M511" s="11">
        <f>IF(E511="","",SUMIFS(tbl_Finance[Xero Invoiced Ex GST],tbl_Finance[Job Number],E511&amp;""))</f>
        <v/>
      </c>
      <c r="N511" s="11">
        <f>IF(J511&lt;&gt;"Won","",IF(E511="",N(I511),N(I511)-N(M511)))</f>
        <v/>
      </c>
      <c r="O511" s="37" t="n"/>
    </row>
    <row r="512">
      <c r="A512" s="44" t="n"/>
      <c r="B512" s="37" t="n"/>
      <c r="C512" s="37" t="n"/>
      <c r="D512" s="37" t="n"/>
      <c r="E512" s="37" t="n"/>
      <c r="F512" s="10">
        <f>IF(E512="","",IF(COUNTIF(lst_Jobs,E512&amp;"")&gt;0,"OK","CHECK"))</f>
        <v/>
      </c>
      <c r="G512" s="37" t="n"/>
      <c r="H512" s="37" t="n"/>
      <c r="I512" s="39" t="n"/>
      <c r="J512" s="37" t="n"/>
      <c r="K512" s="42" t="n"/>
      <c r="L512" s="44" t="n"/>
      <c r="M512" s="11">
        <f>IF(E512="","",SUMIFS(tbl_Finance[Xero Invoiced Ex GST],tbl_Finance[Job Number],E512&amp;""))</f>
        <v/>
      </c>
      <c r="N512" s="11">
        <f>IF(J512&lt;&gt;"Won","",IF(E512="",N(I512),N(I512)-N(M512)))</f>
        <v/>
      </c>
      <c r="O512" s="37" t="n"/>
    </row>
    <row r="513">
      <c r="A513" s="44" t="n"/>
      <c r="B513" s="37" t="n"/>
      <c r="C513" s="37" t="n"/>
      <c r="D513" s="37" t="n"/>
      <c r="E513" s="37" t="n"/>
      <c r="F513" s="10">
        <f>IF(E513="","",IF(COUNTIF(lst_Jobs,E513&amp;"")&gt;0,"OK","CHECK"))</f>
        <v/>
      </c>
      <c r="G513" s="37" t="n"/>
      <c r="H513" s="37" t="n"/>
      <c r="I513" s="39" t="n"/>
      <c r="J513" s="37" t="n"/>
      <c r="K513" s="42" t="n"/>
      <c r="L513" s="44" t="n"/>
      <c r="M513" s="11">
        <f>IF(E513="","",SUMIFS(tbl_Finance[Xero Invoiced Ex GST],tbl_Finance[Job Number],E513&amp;""))</f>
        <v/>
      </c>
      <c r="N513" s="11">
        <f>IF(J513&lt;&gt;"Won","",IF(E513="",N(I513),N(I513)-N(M513)))</f>
        <v/>
      </c>
      <c r="O513" s="37" t="n"/>
    </row>
    <row r="514">
      <c r="A514" s="44" t="n"/>
      <c r="B514" s="37" t="n"/>
      <c r="C514" s="37" t="n"/>
      <c r="D514" s="37" t="n"/>
      <c r="E514" s="37" t="n"/>
      <c r="F514" s="10">
        <f>IF(E514="","",IF(COUNTIF(lst_Jobs,E514&amp;"")&gt;0,"OK","CHECK"))</f>
        <v/>
      </c>
      <c r="G514" s="37" t="n"/>
      <c r="H514" s="37" t="n"/>
      <c r="I514" s="39" t="n"/>
      <c r="J514" s="37" t="n"/>
      <c r="K514" s="42" t="n"/>
      <c r="L514" s="44" t="n"/>
      <c r="M514" s="11">
        <f>IF(E514="","",SUMIFS(tbl_Finance[Xero Invoiced Ex GST],tbl_Finance[Job Number],E514&amp;""))</f>
        <v/>
      </c>
      <c r="N514" s="11">
        <f>IF(J514&lt;&gt;"Won","",IF(E514="",N(I514),N(I514)-N(M514)))</f>
        <v/>
      </c>
      <c r="O514" s="37" t="n"/>
    </row>
    <row r="515">
      <c r="A515" s="44" t="n"/>
      <c r="B515" s="37" t="n"/>
      <c r="C515" s="37" t="n"/>
      <c r="D515" s="37" t="n"/>
      <c r="E515" s="37" t="n"/>
      <c r="F515" s="10">
        <f>IF(E515="","",IF(COUNTIF(lst_Jobs,E515&amp;"")&gt;0,"OK","CHECK"))</f>
        <v/>
      </c>
      <c r="G515" s="37" t="n"/>
      <c r="H515" s="37" t="n"/>
      <c r="I515" s="39" t="n"/>
      <c r="J515" s="37" t="n"/>
      <c r="K515" s="42" t="n"/>
      <c r="L515" s="44" t="n"/>
      <c r="M515" s="11">
        <f>IF(E515="","",SUMIFS(tbl_Finance[Xero Invoiced Ex GST],tbl_Finance[Job Number],E515&amp;""))</f>
        <v/>
      </c>
      <c r="N515" s="11">
        <f>IF(J515&lt;&gt;"Won","",IF(E515="",N(I515),N(I515)-N(M515)))</f>
        <v/>
      </c>
      <c r="O515" s="37" t="n"/>
    </row>
    <row r="516">
      <c r="A516" s="44" t="n"/>
      <c r="B516" s="37" t="n"/>
      <c r="C516" s="37" t="n"/>
      <c r="D516" s="37" t="n"/>
      <c r="E516" s="37" t="n"/>
      <c r="F516" s="10">
        <f>IF(E516="","",IF(COUNTIF(lst_Jobs,E516&amp;"")&gt;0,"OK","CHECK"))</f>
        <v/>
      </c>
      <c r="G516" s="37" t="n"/>
      <c r="H516" s="37" t="n"/>
      <c r="I516" s="39" t="n"/>
      <c r="J516" s="37" t="n"/>
      <c r="K516" s="42" t="n"/>
      <c r="L516" s="44" t="n"/>
      <c r="M516" s="11">
        <f>IF(E516="","",SUMIFS(tbl_Finance[Xero Invoiced Ex GST],tbl_Finance[Job Number],E516&amp;""))</f>
        <v/>
      </c>
      <c r="N516" s="11">
        <f>IF(J516&lt;&gt;"Won","",IF(E516="",N(I516),N(I516)-N(M516)))</f>
        <v/>
      </c>
      <c r="O516" s="37" t="n"/>
    </row>
    <row r="517">
      <c r="A517" s="44" t="n"/>
      <c r="B517" s="37" t="n"/>
      <c r="C517" s="37" t="n"/>
      <c r="D517" s="37" t="n"/>
      <c r="E517" s="37" t="n"/>
      <c r="F517" s="10">
        <f>IF(E517="","",IF(COUNTIF(lst_Jobs,E517&amp;"")&gt;0,"OK","CHECK"))</f>
        <v/>
      </c>
      <c r="G517" s="37" t="n"/>
      <c r="H517" s="37" t="n"/>
      <c r="I517" s="39" t="n"/>
      <c r="J517" s="37" t="n"/>
      <c r="K517" s="42" t="n"/>
      <c r="L517" s="44" t="n"/>
      <c r="M517" s="11">
        <f>IF(E517="","",SUMIFS(tbl_Finance[Xero Invoiced Ex GST],tbl_Finance[Job Number],E517&amp;""))</f>
        <v/>
      </c>
      <c r="N517" s="11">
        <f>IF(J517&lt;&gt;"Won","",IF(E517="",N(I517),N(I517)-N(M517)))</f>
        <v/>
      </c>
      <c r="O517" s="37" t="n"/>
    </row>
    <row r="518">
      <c r="A518" s="44" t="n"/>
      <c r="B518" s="37" t="n"/>
      <c r="C518" s="37" t="n"/>
      <c r="D518" s="37" t="n"/>
      <c r="E518" s="37" t="n"/>
      <c r="F518" s="10">
        <f>IF(E518="","",IF(COUNTIF(lst_Jobs,E518&amp;"")&gt;0,"OK","CHECK"))</f>
        <v/>
      </c>
      <c r="G518" s="37" t="n"/>
      <c r="H518" s="37" t="n"/>
      <c r="I518" s="39" t="n"/>
      <c r="J518" s="37" t="n"/>
      <c r="K518" s="42" t="n"/>
      <c r="L518" s="44" t="n"/>
      <c r="M518" s="11">
        <f>IF(E518="","",SUMIFS(tbl_Finance[Xero Invoiced Ex GST],tbl_Finance[Job Number],E518&amp;""))</f>
        <v/>
      </c>
      <c r="N518" s="11">
        <f>IF(J518&lt;&gt;"Won","",IF(E518="",N(I518),N(I518)-N(M518)))</f>
        <v/>
      </c>
      <c r="O518" s="37" t="n"/>
    </row>
    <row r="519">
      <c r="A519" s="44" t="n"/>
      <c r="B519" s="37" t="n"/>
      <c r="C519" s="37" t="n"/>
      <c r="D519" s="37" t="n"/>
      <c r="E519" s="37" t="n"/>
      <c r="F519" s="10">
        <f>IF(E519="","",IF(COUNTIF(lst_Jobs,E519&amp;"")&gt;0,"OK","CHECK"))</f>
        <v/>
      </c>
      <c r="G519" s="37" t="n"/>
      <c r="H519" s="37" t="n"/>
      <c r="I519" s="39" t="n"/>
      <c r="J519" s="37" t="n"/>
      <c r="K519" s="42" t="n"/>
      <c r="L519" s="44" t="n"/>
      <c r="M519" s="11">
        <f>IF(E519="","",SUMIFS(tbl_Finance[Xero Invoiced Ex GST],tbl_Finance[Job Number],E519&amp;""))</f>
        <v/>
      </c>
      <c r="N519" s="11">
        <f>IF(J519&lt;&gt;"Won","",IF(E519="",N(I519),N(I519)-N(M519)))</f>
        <v/>
      </c>
      <c r="O519" s="37" t="n"/>
    </row>
    <row r="520">
      <c r="A520" s="44" t="n"/>
      <c r="B520" s="37" t="n"/>
      <c r="C520" s="37" t="n"/>
      <c r="D520" s="37" t="n"/>
      <c r="E520" s="37" t="n"/>
      <c r="F520" s="10">
        <f>IF(E520="","",IF(COUNTIF(lst_Jobs,E520&amp;"")&gt;0,"OK","CHECK"))</f>
        <v/>
      </c>
      <c r="G520" s="37" t="n"/>
      <c r="H520" s="37" t="n"/>
      <c r="I520" s="39" t="n"/>
      <c r="J520" s="37" t="n"/>
      <c r="K520" s="42" t="n"/>
      <c r="L520" s="44" t="n"/>
      <c r="M520" s="11">
        <f>IF(E520="","",SUMIFS(tbl_Finance[Xero Invoiced Ex GST],tbl_Finance[Job Number],E520&amp;""))</f>
        <v/>
      </c>
      <c r="N520" s="11">
        <f>IF(J520&lt;&gt;"Won","",IF(E520="",N(I520),N(I520)-N(M520)))</f>
        <v/>
      </c>
      <c r="O520" s="37" t="n"/>
    </row>
    <row r="521">
      <c r="A521" s="44" t="n"/>
      <c r="B521" s="37" t="n"/>
      <c r="C521" s="37" t="n"/>
      <c r="D521" s="37" t="n"/>
      <c r="E521" s="37" t="n"/>
      <c r="F521" s="10">
        <f>IF(E521="","",IF(COUNTIF(lst_Jobs,E521&amp;"")&gt;0,"OK","CHECK"))</f>
        <v/>
      </c>
      <c r="G521" s="37" t="n"/>
      <c r="H521" s="37" t="n"/>
      <c r="I521" s="39" t="n"/>
      <c r="J521" s="37" t="n"/>
      <c r="K521" s="42" t="n"/>
      <c r="L521" s="44" t="n"/>
      <c r="M521" s="11">
        <f>IF(E521="","",SUMIFS(tbl_Finance[Xero Invoiced Ex GST],tbl_Finance[Job Number],E521&amp;""))</f>
        <v/>
      </c>
      <c r="N521" s="11">
        <f>IF(J521&lt;&gt;"Won","",IF(E521="",N(I521),N(I521)-N(M521)))</f>
        <v/>
      </c>
      <c r="O521" s="37" t="n"/>
    </row>
    <row r="522">
      <c r="A522" s="44" t="n"/>
      <c r="B522" s="37" t="n"/>
      <c r="C522" s="37" t="n"/>
      <c r="D522" s="37" t="n"/>
      <c r="E522" s="37" t="n"/>
      <c r="F522" s="10">
        <f>IF(E522="","",IF(COUNTIF(lst_Jobs,E522&amp;"")&gt;0,"OK","CHECK"))</f>
        <v/>
      </c>
      <c r="G522" s="37" t="n"/>
      <c r="H522" s="37" t="n"/>
      <c r="I522" s="39" t="n"/>
      <c r="J522" s="37" t="n"/>
      <c r="K522" s="42" t="n"/>
      <c r="L522" s="44" t="n"/>
      <c r="M522" s="11">
        <f>IF(E522="","",SUMIFS(tbl_Finance[Xero Invoiced Ex GST],tbl_Finance[Job Number],E522&amp;""))</f>
        <v/>
      </c>
      <c r="N522" s="11">
        <f>IF(J522&lt;&gt;"Won","",IF(E522="",N(I522),N(I522)-N(M522)))</f>
        <v/>
      </c>
      <c r="O522" s="37" t="n"/>
    </row>
    <row r="523">
      <c r="A523" s="44" t="n"/>
      <c r="B523" s="37" t="n"/>
      <c r="C523" s="37" t="n"/>
      <c r="D523" s="37" t="n"/>
      <c r="E523" s="37" t="n"/>
      <c r="F523" s="10">
        <f>IF(E523="","",IF(COUNTIF(lst_Jobs,E523&amp;"")&gt;0,"OK","CHECK"))</f>
        <v/>
      </c>
      <c r="G523" s="37" t="n"/>
      <c r="H523" s="37" t="n"/>
      <c r="I523" s="39" t="n"/>
      <c r="J523" s="37" t="n"/>
      <c r="K523" s="42" t="n"/>
      <c r="L523" s="44" t="n"/>
      <c r="M523" s="11">
        <f>IF(E523="","",SUMIFS(tbl_Finance[Xero Invoiced Ex GST],tbl_Finance[Job Number],E523&amp;""))</f>
        <v/>
      </c>
      <c r="N523" s="11">
        <f>IF(J523&lt;&gt;"Won","",IF(E523="",N(I523),N(I523)-N(M523)))</f>
        <v/>
      </c>
      <c r="O523" s="37" t="n"/>
    </row>
    <row r="524">
      <c r="A524" s="44" t="n"/>
      <c r="B524" s="37" t="n"/>
      <c r="C524" s="37" t="n"/>
      <c r="D524" s="37" t="n"/>
      <c r="E524" s="37" t="n"/>
      <c r="F524" s="10">
        <f>IF(E524="","",IF(COUNTIF(lst_Jobs,E524&amp;"")&gt;0,"OK","CHECK"))</f>
        <v/>
      </c>
      <c r="G524" s="37" t="n"/>
      <c r="H524" s="37" t="n"/>
      <c r="I524" s="39" t="n"/>
      <c r="J524" s="37" t="n"/>
      <c r="K524" s="42" t="n"/>
      <c r="L524" s="44" t="n"/>
      <c r="M524" s="11">
        <f>IF(E524="","",SUMIFS(tbl_Finance[Xero Invoiced Ex GST],tbl_Finance[Job Number],E524&amp;""))</f>
        <v/>
      </c>
      <c r="N524" s="11">
        <f>IF(J524&lt;&gt;"Won","",IF(E524="",N(I524),N(I524)-N(M524)))</f>
        <v/>
      </c>
      <c r="O524" s="37" t="n"/>
    </row>
    <row r="525">
      <c r="A525" s="44" t="n"/>
      <c r="B525" s="37" t="n"/>
      <c r="C525" s="37" t="n"/>
      <c r="D525" s="37" t="n"/>
      <c r="E525" s="37" t="n"/>
      <c r="F525" s="10">
        <f>IF(E525="","",IF(COUNTIF(lst_Jobs,E525&amp;"")&gt;0,"OK","CHECK"))</f>
        <v/>
      </c>
      <c r="G525" s="37" t="n"/>
      <c r="H525" s="37" t="n"/>
      <c r="I525" s="39" t="n"/>
      <c r="J525" s="37" t="n"/>
      <c r="K525" s="42" t="n"/>
      <c r="L525" s="44" t="n"/>
      <c r="M525" s="11">
        <f>IF(E525="","",SUMIFS(tbl_Finance[Xero Invoiced Ex GST],tbl_Finance[Job Number],E525&amp;""))</f>
        <v/>
      </c>
      <c r="N525" s="11">
        <f>IF(J525&lt;&gt;"Won","",IF(E525="",N(I525),N(I525)-N(M525)))</f>
        <v/>
      </c>
      <c r="O525" s="37" t="n"/>
    </row>
    <row r="526">
      <c r="A526" s="44" t="n"/>
      <c r="B526" s="37" t="n"/>
      <c r="C526" s="37" t="n"/>
      <c r="D526" s="37" t="n"/>
      <c r="E526" s="37" t="n"/>
      <c r="F526" s="10">
        <f>IF(E526="","",IF(COUNTIF(lst_Jobs,E526&amp;"")&gt;0,"OK","CHECK"))</f>
        <v/>
      </c>
      <c r="G526" s="37" t="n"/>
      <c r="H526" s="37" t="n"/>
      <c r="I526" s="39" t="n"/>
      <c r="J526" s="37" t="n"/>
      <c r="K526" s="42" t="n"/>
      <c r="L526" s="44" t="n"/>
      <c r="M526" s="11">
        <f>IF(E526="","",SUMIFS(tbl_Finance[Xero Invoiced Ex GST],tbl_Finance[Job Number],E526&amp;""))</f>
        <v/>
      </c>
      <c r="N526" s="11">
        <f>IF(J526&lt;&gt;"Won","",IF(E526="",N(I526),N(I526)-N(M526)))</f>
        <v/>
      </c>
      <c r="O526" s="37" t="n"/>
    </row>
    <row r="527">
      <c r="A527" s="44" t="n"/>
      <c r="B527" s="37" t="n"/>
      <c r="C527" s="37" t="n"/>
      <c r="D527" s="37" t="n"/>
      <c r="E527" s="37" t="n"/>
      <c r="F527" s="10">
        <f>IF(E527="","",IF(COUNTIF(lst_Jobs,E527&amp;"")&gt;0,"OK","CHECK"))</f>
        <v/>
      </c>
      <c r="G527" s="37" t="n"/>
      <c r="H527" s="37" t="n"/>
      <c r="I527" s="39" t="n"/>
      <c r="J527" s="37" t="n"/>
      <c r="K527" s="42" t="n"/>
      <c r="L527" s="44" t="n"/>
      <c r="M527" s="11">
        <f>IF(E527="","",SUMIFS(tbl_Finance[Xero Invoiced Ex GST],tbl_Finance[Job Number],E527&amp;""))</f>
        <v/>
      </c>
      <c r="N527" s="11">
        <f>IF(J527&lt;&gt;"Won","",IF(E527="",N(I527),N(I527)-N(M527)))</f>
        <v/>
      </c>
      <c r="O527" s="37" t="n"/>
    </row>
    <row r="528">
      <c r="A528" s="44" t="n"/>
      <c r="B528" s="37" t="n"/>
      <c r="C528" s="37" t="n"/>
      <c r="D528" s="37" t="n"/>
      <c r="E528" s="37" t="n"/>
      <c r="F528" s="10">
        <f>IF(E528="","",IF(COUNTIF(lst_Jobs,E528&amp;"")&gt;0,"OK","CHECK"))</f>
        <v/>
      </c>
      <c r="G528" s="37" t="n"/>
      <c r="H528" s="37" t="n"/>
      <c r="I528" s="39" t="n"/>
      <c r="J528" s="37" t="n"/>
      <c r="K528" s="42" t="n"/>
      <c r="L528" s="44" t="n"/>
      <c r="M528" s="11">
        <f>IF(E528="","",SUMIFS(tbl_Finance[Xero Invoiced Ex GST],tbl_Finance[Job Number],E528&amp;""))</f>
        <v/>
      </c>
      <c r="N528" s="11">
        <f>IF(J528&lt;&gt;"Won","",IF(E528="",N(I528),N(I528)-N(M528)))</f>
        <v/>
      </c>
      <c r="O528" s="37" t="n"/>
    </row>
    <row r="529">
      <c r="A529" s="44" t="n"/>
      <c r="B529" s="37" t="n"/>
      <c r="C529" s="37" t="n"/>
      <c r="D529" s="37" t="n"/>
      <c r="E529" s="37" t="n"/>
      <c r="F529" s="10">
        <f>IF(E529="","",IF(COUNTIF(lst_Jobs,E529&amp;"")&gt;0,"OK","CHECK"))</f>
        <v/>
      </c>
      <c r="G529" s="37" t="n"/>
      <c r="H529" s="37" t="n"/>
      <c r="I529" s="39" t="n"/>
      <c r="J529" s="37" t="n"/>
      <c r="K529" s="42" t="n"/>
      <c r="L529" s="44" t="n"/>
      <c r="M529" s="11">
        <f>IF(E529="","",SUMIFS(tbl_Finance[Xero Invoiced Ex GST],tbl_Finance[Job Number],E529&amp;""))</f>
        <v/>
      </c>
      <c r="N529" s="11">
        <f>IF(J529&lt;&gt;"Won","",IF(E529="",N(I529),N(I529)-N(M529)))</f>
        <v/>
      </c>
      <c r="O529" s="37" t="n"/>
    </row>
    <row r="530">
      <c r="A530" s="44" t="n"/>
      <c r="B530" s="37" t="n"/>
      <c r="C530" s="37" t="n"/>
      <c r="D530" s="37" t="n"/>
      <c r="E530" s="37" t="n"/>
      <c r="F530" s="10">
        <f>IF(E530="","",IF(COUNTIF(lst_Jobs,E530&amp;"")&gt;0,"OK","CHECK"))</f>
        <v/>
      </c>
      <c r="G530" s="37" t="n"/>
      <c r="H530" s="37" t="n"/>
      <c r="I530" s="39" t="n"/>
      <c r="J530" s="37" t="n"/>
      <c r="K530" s="42" t="n"/>
      <c r="L530" s="44" t="n"/>
      <c r="M530" s="11">
        <f>IF(E530="","",SUMIFS(tbl_Finance[Xero Invoiced Ex GST],tbl_Finance[Job Number],E530&amp;""))</f>
        <v/>
      </c>
      <c r="N530" s="11">
        <f>IF(J530&lt;&gt;"Won","",IF(E530="",N(I530),N(I530)-N(M530)))</f>
        <v/>
      </c>
      <c r="O530" s="37" t="n"/>
    </row>
    <row r="531">
      <c r="A531" s="44" t="n"/>
      <c r="B531" s="37" t="n"/>
      <c r="C531" s="37" t="n"/>
      <c r="D531" s="37" t="n"/>
      <c r="E531" s="37" t="n"/>
      <c r="F531" s="10">
        <f>IF(E531="","",IF(COUNTIF(lst_Jobs,E531&amp;"")&gt;0,"OK","CHECK"))</f>
        <v/>
      </c>
      <c r="G531" s="37" t="n"/>
      <c r="H531" s="37" t="n"/>
      <c r="I531" s="39" t="n"/>
      <c r="J531" s="37" t="n"/>
      <c r="K531" s="42" t="n"/>
      <c r="L531" s="44" t="n"/>
      <c r="M531" s="11">
        <f>IF(E531="","",SUMIFS(tbl_Finance[Xero Invoiced Ex GST],tbl_Finance[Job Number],E531&amp;""))</f>
        <v/>
      </c>
      <c r="N531" s="11">
        <f>IF(J531&lt;&gt;"Won","",IF(E531="",N(I531),N(I531)-N(M531)))</f>
        <v/>
      </c>
      <c r="O531" s="37" t="n"/>
    </row>
    <row r="532">
      <c r="A532" s="44" t="n"/>
      <c r="B532" s="37" t="n"/>
      <c r="C532" s="37" t="n"/>
      <c r="D532" s="37" t="n"/>
      <c r="E532" s="37" t="n"/>
      <c r="F532" s="10">
        <f>IF(E532="","",IF(COUNTIF(lst_Jobs,E532&amp;"")&gt;0,"OK","CHECK"))</f>
        <v/>
      </c>
      <c r="G532" s="37" t="n"/>
      <c r="H532" s="37" t="n"/>
      <c r="I532" s="39" t="n"/>
      <c r="J532" s="37" t="n"/>
      <c r="K532" s="42" t="n"/>
      <c r="L532" s="44" t="n"/>
      <c r="M532" s="11">
        <f>IF(E532="","",SUMIFS(tbl_Finance[Xero Invoiced Ex GST],tbl_Finance[Job Number],E532&amp;""))</f>
        <v/>
      </c>
      <c r="N532" s="11">
        <f>IF(J532&lt;&gt;"Won","",IF(E532="",N(I532),N(I532)-N(M532)))</f>
        <v/>
      </c>
      <c r="O532" s="37" t="n"/>
    </row>
    <row r="533">
      <c r="A533" s="44" t="n"/>
      <c r="B533" s="37" t="n"/>
      <c r="C533" s="37" t="n"/>
      <c r="D533" s="37" t="n"/>
      <c r="E533" s="37" t="n"/>
      <c r="F533" s="10">
        <f>IF(E533="","",IF(COUNTIF(lst_Jobs,E533&amp;"")&gt;0,"OK","CHECK"))</f>
        <v/>
      </c>
      <c r="G533" s="37" t="n"/>
      <c r="H533" s="37" t="n"/>
      <c r="I533" s="39" t="n"/>
      <c r="J533" s="37" t="n"/>
      <c r="K533" s="42" t="n"/>
      <c r="L533" s="44" t="n"/>
      <c r="M533" s="11">
        <f>IF(E533="","",SUMIFS(tbl_Finance[Xero Invoiced Ex GST],tbl_Finance[Job Number],E533&amp;""))</f>
        <v/>
      </c>
      <c r="N533" s="11">
        <f>IF(J533&lt;&gt;"Won","",IF(E533="",N(I533),N(I533)-N(M533)))</f>
        <v/>
      </c>
      <c r="O533" s="37" t="n"/>
    </row>
    <row r="534">
      <c r="A534" s="44" t="n"/>
      <c r="B534" s="37" t="n"/>
      <c r="C534" s="37" t="n"/>
      <c r="D534" s="37" t="n"/>
      <c r="E534" s="37" t="n"/>
      <c r="F534" s="10">
        <f>IF(E534="","",IF(COUNTIF(lst_Jobs,E534&amp;"")&gt;0,"OK","CHECK"))</f>
        <v/>
      </c>
      <c r="G534" s="37" t="n"/>
      <c r="H534" s="37" t="n"/>
      <c r="I534" s="39" t="n"/>
      <c r="J534" s="37" t="n"/>
      <c r="K534" s="42" t="n"/>
      <c r="L534" s="44" t="n"/>
      <c r="M534" s="11">
        <f>IF(E534="","",SUMIFS(tbl_Finance[Xero Invoiced Ex GST],tbl_Finance[Job Number],E534&amp;""))</f>
        <v/>
      </c>
      <c r="N534" s="11">
        <f>IF(J534&lt;&gt;"Won","",IF(E534="",N(I534),N(I534)-N(M534)))</f>
        <v/>
      </c>
      <c r="O534" s="37" t="n"/>
    </row>
    <row r="535">
      <c r="A535" s="44" t="n"/>
      <c r="B535" s="37" t="n"/>
      <c r="C535" s="37" t="n"/>
      <c r="D535" s="37" t="n"/>
      <c r="E535" s="37" t="n"/>
      <c r="F535" s="10">
        <f>IF(E535="","",IF(COUNTIF(lst_Jobs,E535&amp;"")&gt;0,"OK","CHECK"))</f>
        <v/>
      </c>
      <c r="G535" s="37" t="n"/>
      <c r="H535" s="37" t="n"/>
      <c r="I535" s="39" t="n"/>
      <c r="J535" s="37" t="n"/>
      <c r="K535" s="42" t="n"/>
      <c r="L535" s="44" t="n"/>
      <c r="M535" s="11">
        <f>IF(E535="","",SUMIFS(tbl_Finance[Xero Invoiced Ex GST],tbl_Finance[Job Number],E535&amp;""))</f>
        <v/>
      </c>
      <c r="N535" s="11">
        <f>IF(J535&lt;&gt;"Won","",IF(E535="",N(I535),N(I535)-N(M535)))</f>
        <v/>
      </c>
      <c r="O535" s="37" t="n"/>
    </row>
    <row r="536">
      <c r="A536" s="44" t="n"/>
      <c r="B536" s="37" t="n"/>
      <c r="C536" s="37" t="n"/>
      <c r="D536" s="37" t="n"/>
      <c r="E536" s="37" t="n"/>
      <c r="F536" s="10">
        <f>IF(E536="","",IF(COUNTIF(lst_Jobs,E536&amp;"")&gt;0,"OK","CHECK"))</f>
        <v/>
      </c>
      <c r="G536" s="37" t="n"/>
      <c r="H536" s="37" t="n"/>
      <c r="I536" s="39" t="n"/>
      <c r="J536" s="37" t="n"/>
      <c r="K536" s="42" t="n"/>
      <c r="L536" s="44" t="n"/>
      <c r="M536" s="11">
        <f>IF(E536="","",SUMIFS(tbl_Finance[Xero Invoiced Ex GST],tbl_Finance[Job Number],E536&amp;""))</f>
        <v/>
      </c>
      <c r="N536" s="11">
        <f>IF(J536&lt;&gt;"Won","",IF(E536="",N(I536),N(I536)-N(M536)))</f>
        <v/>
      </c>
      <c r="O536" s="37" t="n"/>
    </row>
    <row r="537">
      <c r="A537" s="44" t="n"/>
      <c r="B537" s="37" t="n"/>
      <c r="C537" s="37" t="n"/>
      <c r="D537" s="37" t="n"/>
      <c r="E537" s="37" t="n"/>
      <c r="F537" s="10">
        <f>IF(E537="","",IF(COUNTIF(lst_Jobs,E537&amp;"")&gt;0,"OK","CHECK"))</f>
        <v/>
      </c>
      <c r="G537" s="37" t="n"/>
      <c r="H537" s="37" t="n"/>
      <c r="I537" s="39" t="n"/>
      <c r="J537" s="37" t="n"/>
      <c r="K537" s="42" t="n"/>
      <c r="L537" s="44" t="n"/>
      <c r="M537" s="11">
        <f>IF(E537="","",SUMIFS(tbl_Finance[Xero Invoiced Ex GST],tbl_Finance[Job Number],E537&amp;""))</f>
        <v/>
      </c>
      <c r="N537" s="11">
        <f>IF(J537&lt;&gt;"Won","",IF(E537="",N(I537),N(I537)-N(M537)))</f>
        <v/>
      </c>
      <c r="O537" s="37" t="n"/>
    </row>
    <row r="538">
      <c r="A538" s="44" t="n"/>
      <c r="B538" s="37" t="n"/>
      <c r="C538" s="37" t="n"/>
      <c r="D538" s="37" t="n"/>
      <c r="E538" s="37" t="n"/>
      <c r="F538" s="10">
        <f>IF(E538="","",IF(COUNTIF(lst_Jobs,E538&amp;"")&gt;0,"OK","CHECK"))</f>
        <v/>
      </c>
      <c r="G538" s="37" t="n"/>
      <c r="H538" s="37" t="n"/>
      <c r="I538" s="39" t="n"/>
      <c r="J538" s="37" t="n"/>
      <c r="K538" s="42" t="n"/>
      <c r="L538" s="44" t="n"/>
      <c r="M538" s="11">
        <f>IF(E538="","",SUMIFS(tbl_Finance[Xero Invoiced Ex GST],tbl_Finance[Job Number],E538&amp;""))</f>
        <v/>
      </c>
      <c r="N538" s="11">
        <f>IF(J538&lt;&gt;"Won","",IF(E538="",N(I538),N(I538)-N(M538)))</f>
        <v/>
      </c>
      <c r="O538" s="37" t="n"/>
    </row>
    <row r="539">
      <c r="A539" s="44" t="n"/>
      <c r="B539" s="37" t="n"/>
      <c r="C539" s="37" t="n"/>
      <c r="D539" s="37" t="n"/>
      <c r="E539" s="37" t="n"/>
      <c r="F539" s="10">
        <f>IF(E539="","",IF(COUNTIF(lst_Jobs,E539&amp;"")&gt;0,"OK","CHECK"))</f>
        <v/>
      </c>
      <c r="G539" s="37" t="n"/>
      <c r="H539" s="37" t="n"/>
      <c r="I539" s="39" t="n"/>
      <c r="J539" s="37" t="n"/>
      <c r="K539" s="42" t="n"/>
      <c r="L539" s="44" t="n"/>
      <c r="M539" s="11">
        <f>IF(E539="","",SUMIFS(tbl_Finance[Xero Invoiced Ex GST],tbl_Finance[Job Number],E539&amp;""))</f>
        <v/>
      </c>
      <c r="N539" s="11">
        <f>IF(J539&lt;&gt;"Won","",IF(E539="",N(I539),N(I539)-N(M539)))</f>
        <v/>
      </c>
      <c r="O539" s="37" t="n"/>
    </row>
    <row r="540">
      <c r="A540" s="44" t="n"/>
      <c r="B540" s="37" t="n"/>
      <c r="C540" s="37" t="n"/>
      <c r="D540" s="37" t="n"/>
      <c r="E540" s="37" t="n"/>
      <c r="F540" s="10">
        <f>IF(E540="","",IF(COUNTIF(lst_Jobs,E540&amp;"")&gt;0,"OK","CHECK"))</f>
        <v/>
      </c>
      <c r="G540" s="37" t="n"/>
      <c r="H540" s="37" t="n"/>
      <c r="I540" s="39" t="n"/>
      <c r="J540" s="37" t="n"/>
      <c r="K540" s="42" t="n"/>
      <c r="L540" s="44" t="n"/>
      <c r="M540" s="11">
        <f>IF(E540="","",SUMIFS(tbl_Finance[Xero Invoiced Ex GST],tbl_Finance[Job Number],E540&amp;""))</f>
        <v/>
      </c>
      <c r="N540" s="11">
        <f>IF(J540&lt;&gt;"Won","",IF(E540="",N(I540),N(I540)-N(M540)))</f>
        <v/>
      </c>
      <c r="O540" s="37" t="n"/>
    </row>
    <row r="541">
      <c r="A541" s="44" t="n"/>
      <c r="B541" s="37" t="n"/>
      <c r="C541" s="37" t="n"/>
      <c r="D541" s="37" t="n"/>
      <c r="E541" s="37" t="n"/>
      <c r="F541" s="10">
        <f>IF(E541="","",IF(COUNTIF(lst_Jobs,E541&amp;"")&gt;0,"OK","CHECK"))</f>
        <v/>
      </c>
      <c r="G541" s="37" t="n"/>
      <c r="H541" s="37" t="n"/>
      <c r="I541" s="39" t="n"/>
      <c r="J541" s="37" t="n"/>
      <c r="K541" s="42" t="n"/>
      <c r="L541" s="44" t="n"/>
      <c r="M541" s="11">
        <f>IF(E541="","",SUMIFS(tbl_Finance[Xero Invoiced Ex GST],tbl_Finance[Job Number],E541&amp;""))</f>
        <v/>
      </c>
      <c r="N541" s="11">
        <f>IF(J541&lt;&gt;"Won","",IF(E541="",N(I541),N(I541)-N(M541)))</f>
        <v/>
      </c>
      <c r="O541" s="37" t="n"/>
    </row>
    <row r="542">
      <c r="A542" s="44" t="n"/>
      <c r="B542" s="37" t="n"/>
      <c r="C542" s="37" t="n"/>
      <c r="D542" s="37" t="n"/>
      <c r="E542" s="37" t="n"/>
      <c r="F542" s="10">
        <f>IF(E542="","",IF(COUNTIF(lst_Jobs,E542&amp;"")&gt;0,"OK","CHECK"))</f>
        <v/>
      </c>
      <c r="G542" s="37" t="n"/>
      <c r="H542" s="37" t="n"/>
      <c r="I542" s="39" t="n"/>
      <c r="J542" s="37" t="n"/>
      <c r="K542" s="42" t="n"/>
      <c r="L542" s="44" t="n"/>
      <c r="M542" s="11">
        <f>IF(E542="","",SUMIFS(tbl_Finance[Xero Invoiced Ex GST],tbl_Finance[Job Number],E542&amp;""))</f>
        <v/>
      </c>
      <c r="N542" s="11">
        <f>IF(J542&lt;&gt;"Won","",IF(E542="",N(I542),N(I542)-N(M542)))</f>
        <v/>
      </c>
      <c r="O542" s="37" t="n"/>
    </row>
    <row r="543">
      <c r="A543" s="44" t="n"/>
      <c r="B543" s="37" t="n"/>
      <c r="C543" s="37" t="n"/>
      <c r="D543" s="37" t="n"/>
      <c r="E543" s="37" t="n"/>
      <c r="F543" s="10">
        <f>IF(E543="","",IF(COUNTIF(lst_Jobs,E543&amp;"")&gt;0,"OK","CHECK"))</f>
        <v/>
      </c>
      <c r="G543" s="37" t="n"/>
      <c r="H543" s="37" t="n"/>
      <c r="I543" s="39" t="n"/>
      <c r="J543" s="37" t="n"/>
      <c r="K543" s="42" t="n"/>
      <c r="L543" s="44" t="n"/>
      <c r="M543" s="11">
        <f>IF(E543="","",SUMIFS(tbl_Finance[Xero Invoiced Ex GST],tbl_Finance[Job Number],E543&amp;""))</f>
        <v/>
      </c>
      <c r="N543" s="11">
        <f>IF(J543&lt;&gt;"Won","",IF(E543="",N(I543),N(I543)-N(M543)))</f>
        <v/>
      </c>
      <c r="O543" s="37" t="n"/>
    </row>
    <row r="544">
      <c r="A544" s="44" t="n"/>
      <c r="B544" s="37" t="n"/>
      <c r="C544" s="37" t="n"/>
      <c r="D544" s="37" t="n"/>
      <c r="E544" s="37" t="n"/>
      <c r="F544" s="10">
        <f>IF(E544="","",IF(COUNTIF(lst_Jobs,E544&amp;"")&gt;0,"OK","CHECK"))</f>
        <v/>
      </c>
      <c r="G544" s="37" t="n"/>
      <c r="H544" s="37" t="n"/>
      <c r="I544" s="39" t="n"/>
      <c r="J544" s="37" t="n"/>
      <c r="K544" s="42" t="n"/>
      <c r="L544" s="44" t="n"/>
      <c r="M544" s="11">
        <f>IF(E544="","",SUMIFS(tbl_Finance[Xero Invoiced Ex GST],tbl_Finance[Job Number],E544&amp;""))</f>
        <v/>
      </c>
      <c r="N544" s="11">
        <f>IF(J544&lt;&gt;"Won","",IF(E544="",N(I544),N(I544)-N(M544)))</f>
        <v/>
      </c>
      <c r="O544" s="37" t="n"/>
    </row>
    <row r="545">
      <c r="A545" s="44" t="n"/>
      <c r="B545" s="37" t="n"/>
      <c r="C545" s="37" t="n"/>
      <c r="D545" s="37" t="n"/>
      <c r="E545" s="37" t="n"/>
      <c r="F545" s="10">
        <f>IF(E545="","",IF(COUNTIF(lst_Jobs,E545&amp;"")&gt;0,"OK","CHECK"))</f>
        <v/>
      </c>
      <c r="G545" s="37" t="n"/>
      <c r="H545" s="37" t="n"/>
      <c r="I545" s="39" t="n"/>
      <c r="J545" s="37" t="n"/>
      <c r="K545" s="42" t="n"/>
      <c r="L545" s="44" t="n"/>
      <c r="M545" s="11">
        <f>IF(E545="","",SUMIFS(tbl_Finance[Xero Invoiced Ex GST],tbl_Finance[Job Number],E545&amp;""))</f>
        <v/>
      </c>
      <c r="N545" s="11">
        <f>IF(J545&lt;&gt;"Won","",IF(E545="",N(I545),N(I545)-N(M545)))</f>
        <v/>
      </c>
      <c r="O545" s="37" t="n"/>
    </row>
    <row r="546">
      <c r="A546" s="44" t="n"/>
      <c r="B546" s="37" t="n"/>
      <c r="C546" s="37" t="n"/>
      <c r="D546" s="37" t="n"/>
      <c r="E546" s="37" t="n"/>
      <c r="F546" s="10">
        <f>IF(E546="","",IF(COUNTIF(lst_Jobs,E546&amp;"")&gt;0,"OK","CHECK"))</f>
        <v/>
      </c>
      <c r="G546" s="37" t="n"/>
      <c r="H546" s="37" t="n"/>
      <c r="I546" s="39" t="n"/>
      <c r="J546" s="37" t="n"/>
      <c r="K546" s="42" t="n"/>
      <c r="L546" s="44" t="n"/>
      <c r="M546" s="11">
        <f>IF(E546="","",SUMIFS(tbl_Finance[Xero Invoiced Ex GST],tbl_Finance[Job Number],E546&amp;""))</f>
        <v/>
      </c>
      <c r="N546" s="11">
        <f>IF(J546&lt;&gt;"Won","",IF(E546="",N(I546),N(I546)-N(M546)))</f>
        <v/>
      </c>
      <c r="O546" s="37" t="n"/>
    </row>
    <row r="547">
      <c r="A547" s="44" t="n"/>
      <c r="B547" s="37" t="n"/>
      <c r="C547" s="37" t="n"/>
      <c r="D547" s="37" t="n"/>
      <c r="E547" s="37" t="n"/>
      <c r="F547" s="10">
        <f>IF(E547="","",IF(COUNTIF(lst_Jobs,E547&amp;"")&gt;0,"OK","CHECK"))</f>
        <v/>
      </c>
      <c r="G547" s="37" t="n"/>
      <c r="H547" s="37" t="n"/>
      <c r="I547" s="39" t="n"/>
      <c r="J547" s="37" t="n"/>
      <c r="K547" s="42" t="n"/>
      <c r="L547" s="44" t="n"/>
      <c r="M547" s="11">
        <f>IF(E547="","",SUMIFS(tbl_Finance[Xero Invoiced Ex GST],tbl_Finance[Job Number],E547&amp;""))</f>
        <v/>
      </c>
      <c r="N547" s="11">
        <f>IF(J547&lt;&gt;"Won","",IF(E547="",N(I547),N(I547)-N(M547)))</f>
        <v/>
      </c>
      <c r="O547" s="37" t="n"/>
    </row>
    <row r="548">
      <c r="A548" s="44" t="n"/>
      <c r="B548" s="37" t="n"/>
      <c r="C548" s="37" t="n"/>
      <c r="D548" s="37" t="n"/>
      <c r="E548" s="37" t="n"/>
      <c r="F548" s="10">
        <f>IF(E548="","",IF(COUNTIF(lst_Jobs,E548&amp;"")&gt;0,"OK","CHECK"))</f>
        <v/>
      </c>
      <c r="G548" s="37" t="n"/>
      <c r="H548" s="37" t="n"/>
      <c r="I548" s="39" t="n"/>
      <c r="J548" s="37" t="n"/>
      <c r="K548" s="42" t="n"/>
      <c r="L548" s="44" t="n"/>
      <c r="M548" s="11">
        <f>IF(E548="","",SUMIFS(tbl_Finance[Xero Invoiced Ex GST],tbl_Finance[Job Number],E548&amp;""))</f>
        <v/>
      </c>
      <c r="N548" s="11">
        <f>IF(J548&lt;&gt;"Won","",IF(E548="",N(I548),N(I548)-N(M548)))</f>
        <v/>
      </c>
      <c r="O548" s="37" t="n"/>
    </row>
    <row r="549">
      <c r="A549" s="44" t="n"/>
      <c r="B549" s="37" t="n"/>
      <c r="C549" s="37" t="n"/>
      <c r="D549" s="37" t="n"/>
      <c r="E549" s="37" t="n"/>
      <c r="F549" s="10">
        <f>IF(E549="","",IF(COUNTIF(lst_Jobs,E549&amp;"")&gt;0,"OK","CHECK"))</f>
        <v/>
      </c>
      <c r="G549" s="37" t="n"/>
      <c r="H549" s="37" t="n"/>
      <c r="I549" s="39" t="n"/>
      <c r="J549" s="37" t="n"/>
      <c r="K549" s="42" t="n"/>
      <c r="L549" s="44" t="n"/>
      <c r="M549" s="11">
        <f>IF(E549="","",SUMIFS(tbl_Finance[Xero Invoiced Ex GST],tbl_Finance[Job Number],E549&amp;""))</f>
        <v/>
      </c>
      <c r="N549" s="11">
        <f>IF(J549&lt;&gt;"Won","",IF(E549="",N(I549),N(I549)-N(M549)))</f>
        <v/>
      </c>
      <c r="O549" s="37" t="n"/>
    </row>
    <row r="550">
      <c r="A550" s="44" t="n"/>
      <c r="B550" s="37" t="n"/>
      <c r="C550" s="37" t="n"/>
      <c r="D550" s="37" t="n"/>
      <c r="E550" s="37" t="n"/>
      <c r="F550" s="10">
        <f>IF(E550="","",IF(COUNTIF(lst_Jobs,E550&amp;"")&gt;0,"OK","CHECK"))</f>
        <v/>
      </c>
      <c r="G550" s="37" t="n"/>
      <c r="H550" s="37" t="n"/>
      <c r="I550" s="39" t="n"/>
      <c r="J550" s="37" t="n"/>
      <c r="K550" s="42" t="n"/>
      <c r="L550" s="44" t="n"/>
      <c r="M550" s="11">
        <f>IF(E550="","",SUMIFS(tbl_Finance[Xero Invoiced Ex GST],tbl_Finance[Job Number],E550&amp;""))</f>
        <v/>
      </c>
      <c r="N550" s="11">
        <f>IF(J550&lt;&gt;"Won","",IF(E550="",N(I550),N(I550)-N(M550)))</f>
        <v/>
      </c>
      <c r="O550" s="37" t="n"/>
    </row>
    <row r="551">
      <c r="A551" s="44" t="n"/>
      <c r="B551" s="37" t="n"/>
      <c r="C551" s="37" t="n"/>
      <c r="D551" s="37" t="n"/>
      <c r="E551" s="37" t="n"/>
      <c r="F551" s="10">
        <f>IF(E551="","",IF(COUNTIF(lst_Jobs,E551&amp;"")&gt;0,"OK","CHECK"))</f>
        <v/>
      </c>
      <c r="G551" s="37" t="n"/>
      <c r="H551" s="37" t="n"/>
      <c r="I551" s="39" t="n"/>
      <c r="J551" s="37" t="n"/>
      <c r="K551" s="42" t="n"/>
      <c r="L551" s="44" t="n"/>
      <c r="M551" s="11">
        <f>IF(E551="","",SUMIFS(tbl_Finance[Xero Invoiced Ex GST],tbl_Finance[Job Number],E551&amp;""))</f>
        <v/>
      </c>
      <c r="N551" s="11">
        <f>IF(J551&lt;&gt;"Won","",IF(E551="",N(I551),N(I551)-N(M551)))</f>
        <v/>
      </c>
      <c r="O551" s="37" t="n"/>
    </row>
    <row r="552">
      <c r="A552" s="44" t="n"/>
      <c r="B552" s="37" t="n"/>
      <c r="C552" s="37" t="n"/>
      <c r="D552" s="37" t="n"/>
      <c r="E552" s="37" t="n"/>
      <c r="F552" s="10">
        <f>IF(E552="","",IF(COUNTIF(lst_Jobs,E552&amp;"")&gt;0,"OK","CHECK"))</f>
        <v/>
      </c>
      <c r="G552" s="37" t="n"/>
      <c r="H552" s="37" t="n"/>
      <c r="I552" s="39" t="n"/>
      <c r="J552" s="37" t="n"/>
      <c r="K552" s="42" t="n"/>
      <c r="L552" s="44" t="n"/>
      <c r="M552" s="11">
        <f>IF(E552="","",SUMIFS(tbl_Finance[Xero Invoiced Ex GST],tbl_Finance[Job Number],E552&amp;""))</f>
        <v/>
      </c>
      <c r="N552" s="11">
        <f>IF(J552&lt;&gt;"Won","",IF(E552="",N(I552),N(I552)-N(M552)))</f>
        <v/>
      </c>
      <c r="O552" s="37" t="n"/>
    </row>
    <row r="553">
      <c r="A553" s="44" t="n"/>
      <c r="B553" s="37" t="n"/>
      <c r="C553" s="37" t="n"/>
      <c r="D553" s="37" t="n"/>
      <c r="E553" s="37" t="n"/>
      <c r="F553" s="10">
        <f>IF(E553="","",IF(COUNTIF(lst_Jobs,E553&amp;"")&gt;0,"OK","CHECK"))</f>
        <v/>
      </c>
      <c r="G553" s="37" t="n"/>
      <c r="H553" s="37" t="n"/>
      <c r="I553" s="39" t="n"/>
      <c r="J553" s="37" t="n"/>
      <c r="K553" s="42" t="n"/>
      <c r="L553" s="44" t="n"/>
      <c r="M553" s="11">
        <f>IF(E553="","",SUMIFS(tbl_Finance[Xero Invoiced Ex GST],tbl_Finance[Job Number],E553&amp;""))</f>
        <v/>
      </c>
      <c r="N553" s="11">
        <f>IF(J553&lt;&gt;"Won","",IF(E553="",N(I553),N(I553)-N(M553)))</f>
        <v/>
      </c>
      <c r="O553" s="37" t="n"/>
    </row>
    <row r="554">
      <c r="A554" s="44" t="n"/>
      <c r="B554" s="37" t="n"/>
      <c r="C554" s="37" t="n"/>
      <c r="D554" s="37" t="n"/>
      <c r="E554" s="37" t="n"/>
      <c r="F554" s="10">
        <f>IF(E554="","",IF(COUNTIF(lst_Jobs,E554&amp;"")&gt;0,"OK","CHECK"))</f>
        <v/>
      </c>
      <c r="G554" s="37" t="n"/>
      <c r="H554" s="37" t="n"/>
      <c r="I554" s="39" t="n"/>
      <c r="J554" s="37" t="n"/>
      <c r="K554" s="42" t="n"/>
      <c r="L554" s="44" t="n"/>
      <c r="M554" s="11">
        <f>IF(E554="","",SUMIFS(tbl_Finance[Xero Invoiced Ex GST],tbl_Finance[Job Number],E554&amp;""))</f>
        <v/>
      </c>
      <c r="N554" s="11">
        <f>IF(J554&lt;&gt;"Won","",IF(E554="",N(I554),N(I554)-N(M554)))</f>
        <v/>
      </c>
      <c r="O554" s="37" t="n"/>
    </row>
    <row r="555">
      <c r="A555" s="44" t="n"/>
      <c r="B555" s="37" t="n"/>
      <c r="C555" s="37" t="n"/>
      <c r="D555" s="37" t="n"/>
      <c r="E555" s="37" t="n"/>
      <c r="F555" s="10">
        <f>IF(E555="","",IF(COUNTIF(lst_Jobs,E555&amp;"")&gt;0,"OK","CHECK"))</f>
        <v/>
      </c>
      <c r="G555" s="37" t="n"/>
      <c r="H555" s="37" t="n"/>
      <c r="I555" s="39" t="n"/>
      <c r="J555" s="37" t="n"/>
      <c r="K555" s="42" t="n"/>
      <c r="L555" s="44" t="n"/>
      <c r="M555" s="11">
        <f>IF(E555="","",SUMIFS(tbl_Finance[Xero Invoiced Ex GST],tbl_Finance[Job Number],E555&amp;""))</f>
        <v/>
      </c>
      <c r="N555" s="11">
        <f>IF(J555&lt;&gt;"Won","",IF(E555="",N(I555),N(I555)-N(M555)))</f>
        <v/>
      </c>
      <c r="O555" s="37" t="n"/>
    </row>
    <row r="556">
      <c r="A556" s="44" t="n"/>
      <c r="B556" s="37" t="n"/>
      <c r="C556" s="37" t="n"/>
      <c r="D556" s="37" t="n"/>
      <c r="E556" s="37" t="n"/>
      <c r="F556" s="10">
        <f>IF(E556="","",IF(COUNTIF(lst_Jobs,E556&amp;"")&gt;0,"OK","CHECK"))</f>
        <v/>
      </c>
      <c r="G556" s="37" t="n"/>
      <c r="H556" s="37" t="n"/>
      <c r="I556" s="39" t="n"/>
      <c r="J556" s="37" t="n"/>
      <c r="K556" s="42" t="n"/>
      <c r="L556" s="44" t="n"/>
      <c r="M556" s="11">
        <f>IF(E556="","",SUMIFS(tbl_Finance[Xero Invoiced Ex GST],tbl_Finance[Job Number],E556&amp;""))</f>
        <v/>
      </c>
      <c r="N556" s="11">
        <f>IF(J556&lt;&gt;"Won","",IF(E556="",N(I556),N(I556)-N(M556)))</f>
        <v/>
      </c>
      <c r="O556" s="37" t="n"/>
    </row>
    <row r="557">
      <c r="A557" s="44" t="n"/>
      <c r="B557" s="37" t="n"/>
      <c r="C557" s="37" t="n"/>
      <c r="D557" s="37" t="n"/>
      <c r="E557" s="37" t="n"/>
      <c r="F557" s="10">
        <f>IF(E557="","",IF(COUNTIF(lst_Jobs,E557&amp;"")&gt;0,"OK","CHECK"))</f>
        <v/>
      </c>
      <c r="G557" s="37" t="n"/>
      <c r="H557" s="37" t="n"/>
      <c r="I557" s="39" t="n"/>
      <c r="J557" s="37" t="n"/>
      <c r="K557" s="42" t="n"/>
      <c r="L557" s="44" t="n"/>
      <c r="M557" s="11">
        <f>IF(E557="","",SUMIFS(tbl_Finance[Xero Invoiced Ex GST],tbl_Finance[Job Number],E557&amp;""))</f>
        <v/>
      </c>
      <c r="N557" s="11">
        <f>IF(J557&lt;&gt;"Won","",IF(E557="",N(I557),N(I557)-N(M557)))</f>
        <v/>
      </c>
      <c r="O557" s="37" t="n"/>
    </row>
    <row r="558">
      <c r="A558" s="44" t="n"/>
      <c r="B558" s="37" t="n"/>
      <c r="C558" s="37" t="n"/>
      <c r="D558" s="37" t="n"/>
      <c r="E558" s="37" t="n"/>
      <c r="F558" s="10">
        <f>IF(E558="","",IF(COUNTIF(lst_Jobs,E558&amp;"")&gt;0,"OK","CHECK"))</f>
        <v/>
      </c>
      <c r="G558" s="37" t="n"/>
      <c r="H558" s="37" t="n"/>
      <c r="I558" s="39" t="n"/>
      <c r="J558" s="37" t="n"/>
      <c r="K558" s="42" t="n"/>
      <c r="L558" s="44" t="n"/>
      <c r="M558" s="11">
        <f>IF(E558="","",SUMIFS(tbl_Finance[Xero Invoiced Ex GST],tbl_Finance[Job Number],E558&amp;""))</f>
        <v/>
      </c>
      <c r="N558" s="11">
        <f>IF(J558&lt;&gt;"Won","",IF(E558="",N(I558),N(I558)-N(M558)))</f>
        <v/>
      </c>
      <c r="O558" s="37" t="n"/>
    </row>
    <row r="559">
      <c r="A559" s="44" t="n"/>
      <c r="B559" s="37" t="n"/>
      <c r="C559" s="37" t="n"/>
      <c r="D559" s="37" t="n"/>
      <c r="E559" s="37" t="n"/>
      <c r="F559" s="10">
        <f>IF(E559="","",IF(COUNTIF(lst_Jobs,E559&amp;"")&gt;0,"OK","CHECK"))</f>
        <v/>
      </c>
      <c r="G559" s="37" t="n"/>
      <c r="H559" s="37" t="n"/>
      <c r="I559" s="39" t="n"/>
      <c r="J559" s="37" t="n"/>
      <c r="K559" s="42" t="n"/>
      <c r="L559" s="44" t="n"/>
      <c r="M559" s="11">
        <f>IF(E559="","",SUMIFS(tbl_Finance[Xero Invoiced Ex GST],tbl_Finance[Job Number],E559&amp;""))</f>
        <v/>
      </c>
      <c r="N559" s="11">
        <f>IF(J559&lt;&gt;"Won","",IF(E559="",N(I559),N(I559)-N(M559)))</f>
        <v/>
      </c>
      <c r="O559" s="37" t="n"/>
    </row>
    <row r="560">
      <c r="A560" s="44" t="n"/>
      <c r="B560" s="37" t="n"/>
      <c r="C560" s="37" t="n"/>
      <c r="D560" s="37" t="n"/>
      <c r="E560" s="37" t="n"/>
      <c r="F560" s="10">
        <f>IF(E560="","",IF(COUNTIF(lst_Jobs,E560&amp;"")&gt;0,"OK","CHECK"))</f>
        <v/>
      </c>
      <c r="G560" s="37" t="n"/>
      <c r="H560" s="37" t="n"/>
      <c r="I560" s="39" t="n"/>
      <c r="J560" s="37" t="n"/>
      <c r="K560" s="42" t="n"/>
      <c r="L560" s="44" t="n"/>
      <c r="M560" s="11">
        <f>IF(E560="","",SUMIFS(tbl_Finance[Xero Invoiced Ex GST],tbl_Finance[Job Number],E560&amp;""))</f>
        <v/>
      </c>
      <c r="N560" s="11">
        <f>IF(J560&lt;&gt;"Won","",IF(E560="",N(I560),N(I560)-N(M560)))</f>
        <v/>
      </c>
      <c r="O560" s="37" t="n"/>
    </row>
    <row r="561">
      <c r="A561" s="44" t="n"/>
      <c r="B561" s="37" t="n"/>
      <c r="C561" s="37" t="n"/>
      <c r="D561" s="37" t="n"/>
      <c r="E561" s="37" t="n"/>
      <c r="F561" s="10">
        <f>IF(E561="","",IF(COUNTIF(lst_Jobs,E561&amp;"")&gt;0,"OK","CHECK"))</f>
        <v/>
      </c>
      <c r="G561" s="37" t="n"/>
      <c r="H561" s="37" t="n"/>
      <c r="I561" s="39" t="n"/>
      <c r="J561" s="37" t="n"/>
      <c r="K561" s="42" t="n"/>
      <c r="L561" s="44" t="n"/>
      <c r="M561" s="11">
        <f>IF(E561="","",SUMIFS(tbl_Finance[Xero Invoiced Ex GST],tbl_Finance[Job Number],E561&amp;""))</f>
        <v/>
      </c>
      <c r="N561" s="11">
        <f>IF(J561&lt;&gt;"Won","",IF(E561="",N(I561),N(I561)-N(M561)))</f>
        <v/>
      </c>
      <c r="O561" s="37" t="n"/>
    </row>
    <row r="562">
      <c r="A562" s="44" t="n"/>
      <c r="B562" s="37" t="n"/>
      <c r="C562" s="37" t="n"/>
      <c r="D562" s="37" t="n"/>
      <c r="E562" s="37" t="n"/>
      <c r="F562" s="10">
        <f>IF(E562="","",IF(COUNTIF(lst_Jobs,E562&amp;"")&gt;0,"OK","CHECK"))</f>
        <v/>
      </c>
      <c r="G562" s="37" t="n"/>
      <c r="H562" s="37" t="n"/>
      <c r="I562" s="39" t="n"/>
      <c r="J562" s="37" t="n"/>
      <c r="K562" s="42" t="n"/>
      <c r="L562" s="44" t="n"/>
      <c r="M562" s="11">
        <f>IF(E562="","",SUMIFS(tbl_Finance[Xero Invoiced Ex GST],tbl_Finance[Job Number],E562&amp;""))</f>
        <v/>
      </c>
      <c r="N562" s="11">
        <f>IF(J562&lt;&gt;"Won","",IF(E562="",N(I562),N(I562)-N(M562)))</f>
        <v/>
      </c>
      <c r="O562" s="37" t="n"/>
    </row>
    <row r="563">
      <c r="A563" s="44" t="n"/>
      <c r="B563" s="37" t="n"/>
      <c r="C563" s="37" t="n"/>
      <c r="D563" s="37" t="n"/>
      <c r="E563" s="37" t="n"/>
      <c r="F563" s="10">
        <f>IF(E563="","",IF(COUNTIF(lst_Jobs,E563&amp;"")&gt;0,"OK","CHECK"))</f>
        <v/>
      </c>
      <c r="G563" s="37" t="n"/>
      <c r="H563" s="37" t="n"/>
      <c r="I563" s="39" t="n"/>
      <c r="J563" s="37" t="n"/>
      <c r="K563" s="42" t="n"/>
      <c r="L563" s="44" t="n"/>
      <c r="M563" s="11">
        <f>IF(E563="","",SUMIFS(tbl_Finance[Xero Invoiced Ex GST],tbl_Finance[Job Number],E563&amp;""))</f>
        <v/>
      </c>
      <c r="N563" s="11">
        <f>IF(J563&lt;&gt;"Won","",IF(E563="",N(I563),N(I563)-N(M563)))</f>
        <v/>
      </c>
      <c r="O563" s="37" t="n"/>
    </row>
    <row r="564">
      <c r="A564" s="44" t="n"/>
      <c r="B564" s="37" t="n"/>
      <c r="C564" s="37" t="n"/>
      <c r="D564" s="37" t="n"/>
      <c r="E564" s="37" t="n"/>
      <c r="F564" s="10">
        <f>IF(E564="","",IF(COUNTIF(lst_Jobs,E564&amp;"")&gt;0,"OK","CHECK"))</f>
        <v/>
      </c>
      <c r="G564" s="37" t="n"/>
      <c r="H564" s="37" t="n"/>
      <c r="I564" s="39" t="n"/>
      <c r="J564" s="37" t="n"/>
      <c r="K564" s="42" t="n"/>
      <c r="L564" s="44" t="n"/>
      <c r="M564" s="11">
        <f>IF(E564="","",SUMIFS(tbl_Finance[Xero Invoiced Ex GST],tbl_Finance[Job Number],E564&amp;""))</f>
        <v/>
      </c>
      <c r="N564" s="11">
        <f>IF(J564&lt;&gt;"Won","",IF(E564="",N(I564),N(I564)-N(M564)))</f>
        <v/>
      </c>
      <c r="O564" s="37" t="n"/>
    </row>
    <row r="565">
      <c r="A565" s="44" t="n"/>
      <c r="B565" s="37" t="n"/>
      <c r="C565" s="37" t="n"/>
      <c r="D565" s="37" t="n"/>
      <c r="E565" s="37" t="n"/>
      <c r="F565" s="10">
        <f>IF(E565="","",IF(COUNTIF(lst_Jobs,E565&amp;"")&gt;0,"OK","CHECK"))</f>
        <v/>
      </c>
      <c r="G565" s="37" t="n"/>
      <c r="H565" s="37" t="n"/>
      <c r="I565" s="39" t="n"/>
      <c r="J565" s="37" t="n"/>
      <c r="K565" s="42" t="n"/>
      <c r="L565" s="44" t="n"/>
      <c r="M565" s="11">
        <f>IF(E565="","",SUMIFS(tbl_Finance[Xero Invoiced Ex GST],tbl_Finance[Job Number],E565&amp;""))</f>
        <v/>
      </c>
      <c r="N565" s="11">
        <f>IF(J565&lt;&gt;"Won","",IF(E565="",N(I565),N(I565)-N(M565)))</f>
        <v/>
      </c>
      <c r="O565" s="37" t="n"/>
    </row>
    <row r="566">
      <c r="A566" s="44" t="n"/>
      <c r="B566" s="37" t="n"/>
      <c r="C566" s="37" t="n"/>
      <c r="D566" s="37" t="n"/>
      <c r="E566" s="37" t="n"/>
      <c r="F566" s="10">
        <f>IF(E566="","",IF(COUNTIF(lst_Jobs,E566&amp;"")&gt;0,"OK","CHECK"))</f>
        <v/>
      </c>
      <c r="G566" s="37" t="n"/>
      <c r="H566" s="37" t="n"/>
      <c r="I566" s="39" t="n"/>
      <c r="J566" s="37" t="n"/>
      <c r="K566" s="42" t="n"/>
      <c r="L566" s="44" t="n"/>
      <c r="M566" s="11">
        <f>IF(E566="","",SUMIFS(tbl_Finance[Xero Invoiced Ex GST],tbl_Finance[Job Number],E566&amp;""))</f>
        <v/>
      </c>
      <c r="N566" s="11">
        <f>IF(J566&lt;&gt;"Won","",IF(E566="",N(I566),N(I566)-N(M566)))</f>
        <v/>
      </c>
      <c r="O566" s="37" t="n"/>
    </row>
    <row r="567">
      <c r="A567" s="44" t="n"/>
      <c r="B567" s="37" t="n"/>
      <c r="C567" s="37" t="n"/>
      <c r="D567" s="37" t="n"/>
      <c r="E567" s="37" t="n"/>
      <c r="F567" s="10">
        <f>IF(E567="","",IF(COUNTIF(lst_Jobs,E567&amp;"")&gt;0,"OK","CHECK"))</f>
        <v/>
      </c>
      <c r="G567" s="37" t="n"/>
      <c r="H567" s="37" t="n"/>
      <c r="I567" s="39" t="n"/>
      <c r="J567" s="37" t="n"/>
      <c r="K567" s="42" t="n"/>
      <c r="L567" s="44" t="n"/>
      <c r="M567" s="11">
        <f>IF(E567="","",SUMIFS(tbl_Finance[Xero Invoiced Ex GST],tbl_Finance[Job Number],E567&amp;""))</f>
        <v/>
      </c>
      <c r="N567" s="11">
        <f>IF(J567&lt;&gt;"Won","",IF(E567="",N(I567),N(I567)-N(M567)))</f>
        <v/>
      </c>
      <c r="O567" s="37" t="n"/>
    </row>
    <row r="568">
      <c r="A568" s="44" t="n"/>
      <c r="B568" s="37" t="n"/>
      <c r="C568" s="37" t="n"/>
      <c r="D568" s="37" t="n"/>
      <c r="E568" s="37" t="n"/>
      <c r="F568" s="10">
        <f>IF(E568="","",IF(COUNTIF(lst_Jobs,E568&amp;"")&gt;0,"OK","CHECK"))</f>
        <v/>
      </c>
      <c r="G568" s="37" t="n"/>
      <c r="H568" s="37" t="n"/>
      <c r="I568" s="39" t="n"/>
      <c r="J568" s="37" t="n"/>
      <c r="K568" s="42" t="n"/>
      <c r="L568" s="44" t="n"/>
      <c r="M568" s="11">
        <f>IF(E568="","",SUMIFS(tbl_Finance[Xero Invoiced Ex GST],tbl_Finance[Job Number],E568&amp;""))</f>
        <v/>
      </c>
      <c r="N568" s="11">
        <f>IF(J568&lt;&gt;"Won","",IF(E568="",N(I568),N(I568)-N(M568)))</f>
        <v/>
      </c>
      <c r="O568" s="37" t="n"/>
    </row>
    <row r="569">
      <c r="A569" s="44" t="n"/>
      <c r="B569" s="37" t="n"/>
      <c r="C569" s="37" t="n"/>
      <c r="D569" s="37" t="n"/>
      <c r="E569" s="37" t="n"/>
      <c r="F569" s="10">
        <f>IF(E569="","",IF(COUNTIF(lst_Jobs,E569&amp;"")&gt;0,"OK","CHECK"))</f>
        <v/>
      </c>
      <c r="G569" s="37" t="n"/>
      <c r="H569" s="37" t="n"/>
      <c r="I569" s="39" t="n"/>
      <c r="J569" s="37" t="n"/>
      <c r="K569" s="42" t="n"/>
      <c r="L569" s="44" t="n"/>
      <c r="M569" s="11">
        <f>IF(E569="","",SUMIFS(tbl_Finance[Xero Invoiced Ex GST],tbl_Finance[Job Number],E569&amp;""))</f>
        <v/>
      </c>
      <c r="N569" s="11">
        <f>IF(J569&lt;&gt;"Won","",IF(E569="",N(I569),N(I569)-N(M569)))</f>
        <v/>
      </c>
      <c r="O569" s="37" t="n"/>
    </row>
    <row r="570">
      <c r="A570" s="44" t="n"/>
      <c r="B570" s="37" t="n"/>
      <c r="C570" s="37" t="n"/>
      <c r="D570" s="37" t="n"/>
      <c r="E570" s="37" t="n"/>
      <c r="F570" s="10">
        <f>IF(E570="","",IF(COUNTIF(lst_Jobs,E570&amp;"")&gt;0,"OK","CHECK"))</f>
        <v/>
      </c>
      <c r="G570" s="37" t="n"/>
      <c r="H570" s="37" t="n"/>
      <c r="I570" s="39" t="n"/>
      <c r="J570" s="37" t="n"/>
      <c r="K570" s="42" t="n"/>
      <c r="L570" s="44" t="n"/>
      <c r="M570" s="11">
        <f>IF(E570="","",SUMIFS(tbl_Finance[Xero Invoiced Ex GST],tbl_Finance[Job Number],E570&amp;""))</f>
        <v/>
      </c>
      <c r="N570" s="11">
        <f>IF(J570&lt;&gt;"Won","",IF(E570="",N(I570),N(I570)-N(M570)))</f>
        <v/>
      </c>
      <c r="O570" s="37" t="n"/>
    </row>
    <row r="571">
      <c r="A571" s="44" t="n"/>
      <c r="B571" s="37" t="n"/>
      <c r="C571" s="37" t="n"/>
      <c r="D571" s="37" t="n"/>
      <c r="E571" s="37" t="n"/>
      <c r="F571" s="10">
        <f>IF(E571="","",IF(COUNTIF(lst_Jobs,E571&amp;"")&gt;0,"OK","CHECK"))</f>
        <v/>
      </c>
      <c r="G571" s="37" t="n"/>
      <c r="H571" s="37" t="n"/>
      <c r="I571" s="39" t="n"/>
      <c r="J571" s="37" t="n"/>
      <c r="K571" s="42" t="n"/>
      <c r="L571" s="44" t="n"/>
      <c r="M571" s="11">
        <f>IF(E571="","",SUMIFS(tbl_Finance[Xero Invoiced Ex GST],tbl_Finance[Job Number],E571&amp;""))</f>
        <v/>
      </c>
      <c r="N571" s="11">
        <f>IF(J571&lt;&gt;"Won","",IF(E571="",N(I571),N(I571)-N(M571)))</f>
        <v/>
      </c>
      <c r="O571" s="37" t="n"/>
    </row>
    <row r="572">
      <c r="A572" s="44" t="n"/>
      <c r="B572" s="37" t="n"/>
      <c r="C572" s="37" t="n"/>
      <c r="D572" s="37" t="n"/>
      <c r="E572" s="37" t="n"/>
      <c r="F572" s="10">
        <f>IF(E572="","",IF(COUNTIF(lst_Jobs,E572&amp;"")&gt;0,"OK","CHECK"))</f>
        <v/>
      </c>
      <c r="G572" s="37" t="n"/>
      <c r="H572" s="37" t="n"/>
      <c r="I572" s="39" t="n"/>
      <c r="J572" s="37" t="n"/>
      <c r="K572" s="42" t="n"/>
      <c r="L572" s="44" t="n"/>
      <c r="M572" s="11">
        <f>IF(E572="","",SUMIFS(tbl_Finance[Xero Invoiced Ex GST],tbl_Finance[Job Number],E572&amp;""))</f>
        <v/>
      </c>
      <c r="N572" s="11">
        <f>IF(J572&lt;&gt;"Won","",IF(E572="",N(I572),N(I572)-N(M572)))</f>
        <v/>
      </c>
      <c r="O572" s="37" t="n"/>
    </row>
    <row r="573">
      <c r="A573" s="44" t="n"/>
      <c r="B573" s="37" t="n"/>
      <c r="C573" s="37" t="n"/>
      <c r="D573" s="37" t="n"/>
      <c r="E573" s="37" t="n"/>
      <c r="F573" s="10">
        <f>IF(E573="","",IF(COUNTIF(lst_Jobs,E573&amp;"")&gt;0,"OK","CHECK"))</f>
        <v/>
      </c>
      <c r="G573" s="37" t="n"/>
      <c r="H573" s="37" t="n"/>
      <c r="I573" s="39" t="n"/>
      <c r="J573" s="37" t="n"/>
      <c r="K573" s="42" t="n"/>
      <c r="L573" s="44" t="n"/>
      <c r="M573" s="11">
        <f>IF(E573="","",SUMIFS(tbl_Finance[Xero Invoiced Ex GST],tbl_Finance[Job Number],E573&amp;""))</f>
        <v/>
      </c>
      <c r="N573" s="11">
        <f>IF(J573&lt;&gt;"Won","",IF(E573="",N(I573),N(I573)-N(M573)))</f>
        <v/>
      </c>
      <c r="O573" s="37" t="n"/>
    </row>
    <row r="574">
      <c r="A574" s="44" t="n"/>
      <c r="B574" s="37" t="n"/>
      <c r="C574" s="37" t="n"/>
      <c r="D574" s="37" t="n"/>
      <c r="E574" s="37" t="n"/>
      <c r="F574" s="10">
        <f>IF(E574="","",IF(COUNTIF(lst_Jobs,E574&amp;"")&gt;0,"OK","CHECK"))</f>
        <v/>
      </c>
      <c r="G574" s="37" t="n"/>
      <c r="H574" s="37" t="n"/>
      <c r="I574" s="39" t="n"/>
      <c r="J574" s="37" t="n"/>
      <c r="K574" s="42" t="n"/>
      <c r="L574" s="44" t="n"/>
      <c r="M574" s="11">
        <f>IF(E574="","",SUMIFS(tbl_Finance[Xero Invoiced Ex GST],tbl_Finance[Job Number],E574&amp;""))</f>
        <v/>
      </c>
      <c r="N574" s="11">
        <f>IF(J574&lt;&gt;"Won","",IF(E574="",N(I574),N(I574)-N(M574)))</f>
        <v/>
      </c>
      <c r="O574" s="37" t="n"/>
    </row>
    <row r="575">
      <c r="A575" s="44" t="n"/>
      <c r="B575" s="37" t="n"/>
      <c r="C575" s="37" t="n"/>
      <c r="D575" s="37" t="n"/>
      <c r="E575" s="37" t="n"/>
      <c r="F575" s="10">
        <f>IF(E575="","",IF(COUNTIF(lst_Jobs,E575&amp;"")&gt;0,"OK","CHECK"))</f>
        <v/>
      </c>
      <c r="G575" s="37" t="n"/>
      <c r="H575" s="37" t="n"/>
      <c r="I575" s="39" t="n"/>
      <c r="J575" s="37" t="n"/>
      <c r="K575" s="42" t="n"/>
      <c r="L575" s="44" t="n"/>
      <c r="M575" s="11">
        <f>IF(E575="","",SUMIFS(tbl_Finance[Xero Invoiced Ex GST],tbl_Finance[Job Number],E575&amp;""))</f>
        <v/>
      </c>
      <c r="N575" s="11">
        <f>IF(J575&lt;&gt;"Won","",IF(E575="",N(I575),N(I575)-N(M575)))</f>
        <v/>
      </c>
      <c r="O575" s="37" t="n"/>
    </row>
    <row r="576">
      <c r="A576" s="44" t="n"/>
      <c r="B576" s="37" t="n"/>
      <c r="C576" s="37" t="n"/>
      <c r="D576" s="37" t="n"/>
      <c r="E576" s="37" t="n"/>
      <c r="F576" s="10">
        <f>IF(E576="","",IF(COUNTIF(lst_Jobs,E576&amp;"")&gt;0,"OK","CHECK"))</f>
        <v/>
      </c>
      <c r="G576" s="37" t="n"/>
      <c r="H576" s="37" t="n"/>
      <c r="I576" s="39" t="n"/>
      <c r="J576" s="37" t="n"/>
      <c r="K576" s="42" t="n"/>
      <c r="L576" s="44" t="n"/>
      <c r="M576" s="11">
        <f>IF(E576="","",SUMIFS(tbl_Finance[Xero Invoiced Ex GST],tbl_Finance[Job Number],E576&amp;""))</f>
        <v/>
      </c>
      <c r="N576" s="11">
        <f>IF(J576&lt;&gt;"Won","",IF(E576="",N(I576),N(I576)-N(M576)))</f>
        <v/>
      </c>
      <c r="O576" s="37" t="n"/>
    </row>
    <row r="577">
      <c r="A577" s="44" t="n"/>
      <c r="B577" s="37" t="n"/>
      <c r="C577" s="37" t="n"/>
      <c r="D577" s="37" t="n"/>
      <c r="E577" s="37" t="n"/>
      <c r="F577" s="10">
        <f>IF(E577="","",IF(COUNTIF(lst_Jobs,E577&amp;"")&gt;0,"OK","CHECK"))</f>
        <v/>
      </c>
      <c r="G577" s="37" t="n"/>
      <c r="H577" s="37" t="n"/>
      <c r="I577" s="39" t="n"/>
      <c r="J577" s="37" t="n"/>
      <c r="K577" s="42" t="n"/>
      <c r="L577" s="44" t="n"/>
      <c r="M577" s="11">
        <f>IF(E577="","",SUMIFS(tbl_Finance[Xero Invoiced Ex GST],tbl_Finance[Job Number],E577&amp;""))</f>
        <v/>
      </c>
      <c r="N577" s="11">
        <f>IF(J577&lt;&gt;"Won","",IF(E577="",N(I577),N(I577)-N(M577)))</f>
        <v/>
      </c>
      <c r="O577" s="37" t="n"/>
    </row>
    <row r="578">
      <c r="A578" s="44" t="n"/>
      <c r="B578" s="37" t="n"/>
      <c r="C578" s="37" t="n"/>
      <c r="D578" s="37" t="n"/>
      <c r="E578" s="37" t="n"/>
      <c r="F578" s="10">
        <f>IF(E578="","",IF(COUNTIF(lst_Jobs,E578&amp;"")&gt;0,"OK","CHECK"))</f>
        <v/>
      </c>
      <c r="G578" s="37" t="n"/>
      <c r="H578" s="37" t="n"/>
      <c r="I578" s="39" t="n"/>
      <c r="J578" s="37" t="n"/>
      <c r="K578" s="42" t="n"/>
      <c r="L578" s="44" t="n"/>
      <c r="M578" s="11">
        <f>IF(E578="","",SUMIFS(tbl_Finance[Xero Invoiced Ex GST],tbl_Finance[Job Number],E578&amp;""))</f>
        <v/>
      </c>
      <c r="N578" s="11">
        <f>IF(J578&lt;&gt;"Won","",IF(E578="",N(I578),N(I578)-N(M578)))</f>
        <v/>
      </c>
      <c r="O578" s="37" t="n"/>
    </row>
    <row r="579">
      <c r="A579" s="44" t="n"/>
      <c r="B579" s="37" t="n"/>
      <c r="C579" s="37" t="n"/>
      <c r="D579" s="37" t="n"/>
      <c r="E579" s="37" t="n"/>
      <c r="F579" s="10">
        <f>IF(E579="","",IF(COUNTIF(lst_Jobs,E579&amp;"")&gt;0,"OK","CHECK"))</f>
        <v/>
      </c>
      <c r="G579" s="37" t="n"/>
      <c r="H579" s="37" t="n"/>
      <c r="I579" s="39" t="n"/>
      <c r="J579" s="37" t="n"/>
      <c r="K579" s="42" t="n"/>
      <c r="L579" s="44" t="n"/>
      <c r="M579" s="11">
        <f>IF(E579="","",SUMIFS(tbl_Finance[Xero Invoiced Ex GST],tbl_Finance[Job Number],E579&amp;""))</f>
        <v/>
      </c>
      <c r="N579" s="11">
        <f>IF(J579&lt;&gt;"Won","",IF(E579="",N(I579),N(I579)-N(M579)))</f>
        <v/>
      </c>
      <c r="O579" s="37" t="n"/>
    </row>
    <row r="580">
      <c r="A580" s="44" t="n"/>
      <c r="B580" s="37" t="n"/>
      <c r="C580" s="37" t="n"/>
      <c r="D580" s="37" t="n"/>
      <c r="E580" s="37" t="n"/>
      <c r="F580" s="10">
        <f>IF(E580="","",IF(COUNTIF(lst_Jobs,E580&amp;"")&gt;0,"OK","CHECK"))</f>
        <v/>
      </c>
      <c r="G580" s="37" t="n"/>
      <c r="H580" s="37" t="n"/>
      <c r="I580" s="39" t="n"/>
      <c r="J580" s="37" t="n"/>
      <c r="K580" s="42" t="n"/>
      <c r="L580" s="44" t="n"/>
      <c r="M580" s="11">
        <f>IF(E580="","",SUMIFS(tbl_Finance[Xero Invoiced Ex GST],tbl_Finance[Job Number],E580&amp;""))</f>
        <v/>
      </c>
      <c r="N580" s="11">
        <f>IF(J580&lt;&gt;"Won","",IF(E580="",N(I580),N(I580)-N(M580)))</f>
        <v/>
      </c>
      <c r="O580" s="37" t="n"/>
    </row>
    <row r="581">
      <c r="A581" s="44" t="n"/>
      <c r="B581" s="37" t="n"/>
      <c r="C581" s="37" t="n"/>
      <c r="D581" s="37" t="n"/>
      <c r="E581" s="37" t="n"/>
      <c r="F581" s="10">
        <f>IF(E581="","",IF(COUNTIF(lst_Jobs,E581&amp;"")&gt;0,"OK","CHECK"))</f>
        <v/>
      </c>
      <c r="G581" s="37" t="n"/>
      <c r="H581" s="37" t="n"/>
      <c r="I581" s="39" t="n"/>
      <c r="J581" s="37" t="n"/>
      <c r="K581" s="42" t="n"/>
      <c r="L581" s="44" t="n"/>
      <c r="M581" s="11">
        <f>IF(E581="","",SUMIFS(tbl_Finance[Xero Invoiced Ex GST],tbl_Finance[Job Number],E581&amp;""))</f>
        <v/>
      </c>
      <c r="N581" s="11">
        <f>IF(J581&lt;&gt;"Won","",IF(E581="",N(I581),N(I581)-N(M581)))</f>
        <v/>
      </c>
      <c r="O581" s="37" t="n"/>
    </row>
    <row r="582">
      <c r="A582" s="44" t="n"/>
      <c r="B582" s="37" t="n"/>
      <c r="C582" s="37" t="n"/>
      <c r="D582" s="37" t="n"/>
      <c r="E582" s="37" t="n"/>
      <c r="F582" s="10">
        <f>IF(E582="","",IF(COUNTIF(lst_Jobs,E582&amp;"")&gt;0,"OK","CHECK"))</f>
        <v/>
      </c>
      <c r="G582" s="37" t="n"/>
      <c r="H582" s="37" t="n"/>
      <c r="I582" s="39" t="n"/>
      <c r="J582" s="37" t="n"/>
      <c r="K582" s="42" t="n"/>
      <c r="L582" s="44" t="n"/>
      <c r="M582" s="11">
        <f>IF(E582="","",SUMIFS(tbl_Finance[Xero Invoiced Ex GST],tbl_Finance[Job Number],E582&amp;""))</f>
        <v/>
      </c>
      <c r="N582" s="11">
        <f>IF(J582&lt;&gt;"Won","",IF(E582="",N(I582),N(I582)-N(M582)))</f>
        <v/>
      </c>
      <c r="O582" s="37" t="n"/>
    </row>
    <row r="583">
      <c r="A583" s="44" t="n"/>
      <c r="B583" s="37" t="n"/>
      <c r="C583" s="37" t="n"/>
      <c r="D583" s="37" t="n"/>
      <c r="E583" s="37" t="n"/>
      <c r="F583" s="10">
        <f>IF(E583="","",IF(COUNTIF(lst_Jobs,E583&amp;"")&gt;0,"OK","CHECK"))</f>
        <v/>
      </c>
      <c r="G583" s="37" t="n"/>
      <c r="H583" s="37" t="n"/>
      <c r="I583" s="39" t="n"/>
      <c r="J583" s="37" t="n"/>
      <c r="K583" s="42" t="n"/>
      <c r="L583" s="44" t="n"/>
      <c r="M583" s="11">
        <f>IF(E583="","",SUMIFS(tbl_Finance[Xero Invoiced Ex GST],tbl_Finance[Job Number],E583&amp;""))</f>
        <v/>
      </c>
      <c r="N583" s="11">
        <f>IF(J583&lt;&gt;"Won","",IF(E583="",N(I583),N(I583)-N(M583)))</f>
        <v/>
      </c>
      <c r="O583" s="37" t="n"/>
    </row>
    <row r="584">
      <c r="A584" s="44" t="n"/>
      <c r="B584" s="37" t="n"/>
      <c r="C584" s="37" t="n"/>
      <c r="D584" s="37" t="n"/>
      <c r="E584" s="37" t="n"/>
      <c r="F584" s="10">
        <f>IF(E584="","",IF(COUNTIF(lst_Jobs,E584&amp;"")&gt;0,"OK","CHECK"))</f>
        <v/>
      </c>
      <c r="G584" s="37" t="n"/>
      <c r="H584" s="37" t="n"/>
      <c r="I584" s="39" t="n"/>
      <c r="J584" s="37" t="n"/>
      <c r="K584" s="42" t="n"/>
      <c r="L584" s="44" t="n"/>
      <c r="M584" s="11">
        <f>IF(E584="","",SUMIFS(tbl_Finance[Xero Invoiced Ex GST],tbl_Finance[Job Number],E584&amp;""))</f>
        <v/>
      </c>
      <c r="N584" s="11">
        <f>IF(J584&lt;&gt;"Won","",IF(E584="",N(I584),N(I584)-N(M584)))</f>
        <v/>
      </c>
      <c r="O584" s="37" t="n"/>
    </row>
    <row r="585">
      <c r="A585" s="44" t="n"/>
      <c r="B585" s="37" t="n"/>
      <c r="C585" s="37" t="n"/>
      <c r="D585" s="37" t="n"/>
      <c r="E585" s="37" t="n"/>
      <c r="F585" s="10">
        <f>IF(E585="","",IF(COUNTIF(lst_Jobs,E585&amp;"")&gt;0,"OK","CHECK"))</f>
        <v/>
      </c>
      <c r="G585" s="37" t="n"/>
      <c r="H585" s="37" t="n"/>
      <c r="I585" s="39" t="n"/>
      <c r="J585" s="37" t="n"/>
      <c r="K585" s="42" t="n"/>
      <c r="L585" s="44" t="n"/>
      <c r="M585" s="11">
        <f>IF(E585="","",SUMIFS(tbl_Finance[Xero Invoiced Ex GST],tbl_Finance[Job Number],E585&amp;""))</f>
        <v/>
      </c>
      <c r="N585" s="11">
        <f>IF(J585&lt;&gt;"Won","",IF(E585="",N(I585),N(I585)-N(M585)))</f>
        <v/>
      </c>
      <c r="O585" s="37" t="n"/>
    </row>
    <row r="586">
      <c r="A586" s="44" t="n"/>
      <c r="B586" s="37" t="n"/>
      <c r="C586" s="37" t="n"/>
      <c r="D586" s="37" t="n"/>
      <c r="E586" s="37" t="n"/>
      <c r="F586" s="10">
        <f>IF(E586="","",IF(COUNTIF(lst_Jobs,E586&amp;"")&gt;0,"OK","CHECK"))</f>
        <v/>
      </c>
      <c r="G586" s="37" t="n"/>
      <c r="H586" s="37" t="n"/>
      <c r="I586" s="39" t="n"/>
      <c r="J586" s="37" t="n"/>
      <c r="K586" s="42" t="n"/>
      <c r="L586" s="44" t="n"/>
      <c r="M586" s="11">
        <f>IF(E586="","",SUMIFS(tbl_Finance[Xero Invoiced Ex GST],tbl_Finance[Job Number],E586&amp;""))</f>
        <v/>
      </c>
      <c r="N586" s="11">
        <f>IF(J586&lt;&gt;"Won","",IF(E586="",N(I586),N(I586)-N(M586)))</f>
        <v/>
      </c>
      <c r="O586" s="37" t="n"/>
    </row>
    <row r="587">
      <c r="A587" s="44" t="n"/>
      <c r="B587" s="37" t="n"/>
      <c r="C587" s="37" t="n"/>
      <c r="D587" s="37" t="n"/>
      <c r="E587" s="37" t="n"/>
      <c r="F587" s="10">
        <f>IF(E587="","",IF(COUNTIF(lst_Jobs,E587&amp;"")&gt;0,"OK","CHECK"))</f>
        <v/>
      </c>
      <c r="G587" s="37" t="n"/>
      <c r="H587" s="37" t="n"/>
      <c r="I587" s="39" t="n"/>
      <c r="J587" s="37" t="n"/>
      <c r="K587" s="42" t="n"/>
      <c r="L587" s="44" t="n"/>
      <c r="M587" s="11">
        <f>IF(E587="","",SUMIFS(tbl_Finance[Xero Invoiced Ex GST],tbl_Finance[Job Number],E587&amp;""))</f>
        <v/>
      </c>
      <c r="N587" s="11">
        <f>IF(J587&lt;&gt;"Won","",IF(E587="",N(I587),N(I587)-N(M587)))</f>
        <v/>
      </c>
      <c r="O587" s="37" t="n"/>
    </row>
    <row r="588">
      <c r="A588" s="44" t="n"/>
      <c r="B588" s="37" t="n"/>
      <c r="C588" s="37" t="n"/>
      <c r="D588" s="37" t="n"/>
      <c r="E588" s="37" t="n"/>
      <c r="F588" s="10">
        <f>IF(E588="","",IF(COUNTIF(lst_Jobs,E588&amp;"")&gt;0,"OK","CHECK"))</f>
        <v/>
      </c>
      <c r="G588" s="37" t="n"/>
      <c r="H588" s="37" t="n"/>
      <c r="I588" s="39" t="n"/>
      <c r="J588" s="37" t="n"/>
      <c r="K588" s="42" t="n"/>
      <c r="L588" s="44" t="n"/>
      <c r="M588" s="11">
        <f>IF(E588="","",SUMIFS(tbl_Finance[Xero Invoiced Ex GST],tbl_Finance[Job Number],E588&amp;""))</f>
        <v/>
      </c>
      <c r="N588" s="11">
        <f>IF(J588&lt;&gt;"Won","",IF(E588="",N(I588),N(I588)-N(M588)))</f>
        <v/>
      </c>
      <c r="O588" s="37" t="n"/>
    </row>
    <row r="589">
      <c r="A589" s="44" t="n"/>
      <c r="B589" s="37" t="n"/>
      <c r="C589" s="37" t="n"/>
      <c r="D589" s="37" t="n"/>
      <c r="E589" s="37" t="n"/>
      <c r="F589" s="10">
        <f>IF(E589="","",IF(COUNTIF(lst_Jobs,E589&amp;"")&gt;0,"OK","CHECK"))</f>
        <v/>
      </c>
      <c r="G589" s="37" t="n"/>
      <c r="H589" s="37" t="n"/>
      <c r="I589" s="39" t="n"/>
      <c r="J589" s="37" t="n"/>
      <c r="K589" s="42" t="n"/>
      <c r="L589" s="44" t="n"/>
      <c r="M589" s="11">
        <f>IF(E589="","",SUMIFS(tbl_Finance[Xero Invoiced Ex GST],tbl_Finance[Job Number],E589&amp;""))</f>
        <v/>
      </c>
      <c r="N589" s="11">
        <f>IF(J589&lt;&gt;"Won","",IF(E589="",N(I589),N(I589)-N(M589)))</f>
        <v/>
      </c>
      <c r="O589" s="37" t="n"/>
    </row>
    <row r="590">
      <c r="A590" s="44" t="n"/>
      <c r="B590" s="37" t="n"/>
      <c r="C590" s="37" t="n"/>
      <c r="D590" s="37" t="n"/>
      <c r="E590" s="37" t="n"/>
      <c r="F590" s="10">
        <f>IF(E590="","",IF(COUNTIF(lst_Jobs,E590&amp;"")&gt;0,"OK","CHECK"))</f>
        <v/>
      </c>
      <c r="G590" s="37" t="n"/>
      <c r="H590" s="37" t="n"/>
      <c r="I590" s="39" t="n"/>
      <c r="J590" s="37" t="n"/>
      <c r="K590" s="42" t="n"/>
      <c r="L590" s="44" t="n"/>
      <c r="M590" s="11">
        <f>IF(E590="","",SUMIFS(tbl_Finance[Xero Invoiced Ex GST],tbl_Finance[Job Number],E590&amp;""))</f>
        <v/>
      </c>
      <c r="N590" s="11">
        <f>IF(J590&lt;&gt;"Won","",IF(E590="",N(I590),N(I590)-N(M590)))</f>
        <v/>
      </c>
      <c r="O590" s="37" t="n"/>
    </row>
    <row r="591">
      <c r="A591" s="44" t="n"/>
      <c r="B591" s="37" t="n"/>
      <c r="C591" s="37" t="n"/>
      <c r="D591" s="37" t="n"/>
      <c r="E591" s="37" t="n"/>
      <c r="F591" s="10">
        <f>IF(E591="","",IF(COUNTIF(lst_Jobs,E591&amp;"")&gt;0,"OK","CHECK"))</f>
        <v/>
      </c>
      <c r="G591" s="37" t="n"/>
      <c r="H591" s="37" t="n"/>
      <c r="I591" s="39" t="n"/>
      <c r="J591" s="37" t="n"/>
      <c r="K591" s="42" t="n"/>
      <c r="L591" s="44" t="n"/>
      <c r="M591" s="11">
        <f>IF(E591="","",SUMIFS(tbl_Finance[Xero Invoiced Ex GST],tbl_Finance[Job Number],E591&amp;""))</f>
        <v/>
      </c>
      <c r="N591" s="11">
        <f>IF(J591&lt;&gt;"Won","",IF(E591="",N(I591),N(I591)-N(M591)))</f>
        <v/>
      </c>
      <c r="O591" s="37" t="n"/>
    </row>
    <row r="592">
      <c r="A592" s="44" t="n"/>
      <c r="B592" s="37" t="n"/>
      <c r="C592" s="37" t="n"/>
      <c r="D592" s="37" t="n"/>
      <c r="E592" s="37" t="n"/>
      <c r="F592" s="10">
        <f>IF(E592="","",IF(COUNTIF(lst_Jobs,E592&amp;"")&gt;0,"OK","CHECK"))</f>
        <v/>
      </c>
      <c r="G592" s="37" t="n"/>
      <c r="H592" s="37" t="n"/>
      <c r="I592" s="39" t="n"/>
      <c r="J592" s="37" t="n"/>
      <c r="K592" s="42" t="n"/>
      <c r="L592" s="44" t="n"/>
      <c r="M592" s="11">
        <f>IF(E592="","",SUMIFS(tbl_Finance[Xero Invoiced Ex GST],tbl_Finance[Job Number],E592&amp;""))</f>
        <v/>
      </c>
      <c r="N592" s="11">
        <f>IF(J592&lt;&gt;"Won","",IF(E592="",N(I592),N(I592)-N(M592)))</f>
        <v/>
      </c>
      <c r="O592" s="37" t="n"/>
    </row>
    <row r="593">
      <c r="A593" s="44" t="n"/>
      <c r="B593" s="37" t="n"/>
      <c r="C593" s="37" t="n"/>
      <c r="D593" s="37" t="n"/>
      <c r="E593" s="37" t="n"/>
      <c r="F593" s="10">
        <f>IF(E593="","",IF(COUNTIF(lst_Jobs,E593&amp;"")&gt;0,"OK","CHECK"))</f>
        <v/>
      </c>
      <c r="G593" s="37" t="n"/>
      <c r="H593" s="37" t="n"/>
      <c r="I593" s="39" t="n"/>
      <c r="J593" s="37" t="n"/>
      <c r="K593" s="42" t="n"/>
      <c r="L593" s="44" t="n"/>
      <c r="M593" s="11">
        <f>IF(E593="","",SUMIFS(tbl_Finance[Xero Invoiced Ex GST],tbl_Finance[Job Number],E593&amp;""))</f>
        <v/>
      </c>
      <c r="N593" s="11">
        <f>IF(J593&lt;&gt;"Won","",IF(E593="",N(I593),N(I593)-N(M593)))</f>
        <v/>
      </c>
      <c r="O593" s="37" t="n"/>
    </row>
    <row r="594">
      <c r="A594" s="44" t="n"/>
      <c r="B594" s="37" t="n"/>
      <c r="C594" s="37" t="n"/>
      <c r="D594" s="37" t="n"/>
      <c r="E594" s="37" t="n"/>
      <c r="F594" s="10">
        <f>IF(E594="","",IF(COUNTIF(lst_Jobs,E594&amp;"")&gt;0,"OK","CHECK"))</f>
        <v/>
      </c>
      <c r="G594" s="37" t="n"/>
      <c r="H594" s="37" t="n"/>
      <c r="I594" s="39" t="n"/>
      <c r="J594" s="37" t="n"/>
      <c r="K594" s="42" t="n"/>
      <c r="L594" s="44" t="n"/>
      <c r="M594" s="11">
        <f>IF(E594="","",SUMIFS(tbl_Finance[Xero Invoiced Ex GST],tbl_Finance[Job Number],E594&amp;""))</f>
        <v/>
      </c>
      <c r="N594" s="11">
        <f>IF(J594&lt;&gt;"Won","",IF(E594="",N(I594),N(I594)-N(M594)))</f>
        <v/>
      </c>
      <c r="O594" s="37" t="n"/>
    </row>
    <row r="595">
      <c r="A595" s="44" t="n"/>
      <c r="B595" s="37" t="n"/>
      <c r="C595" s="37" t="n"/>
      <c r="D595" s="37" t="n"/>
      <c r="E595" s="37" t="n"/>
      <c r="F595" s="10">
        <f>IF(E595="","",IF(COUNTIF(lst_Jobs,E595&amp;"")&gt;0,"OK","CHECK"))</f>
        <v/>
      </c>
      <c r="G595" s="37" t="n"/>
      <c r="H595" s="37" t="n"/>
      <c r="I595" s="39" t="n"/>
      <c r="J595" s="37" t="n"/>
      <c r="K595" s="42" t="n"/>
      <c r="L595" s="44" t="n"/>
      <c r="M595" s="11">
        <f>IF(E595="","",SUMIFS(tbl_Finance[Xero Invoiced Ex GST],tbl_Finance[Job Number],E595&amp;""))</f>
        <v/>
      </c>
      <c r="N595" s="11">
        <f>IF(J595&lt;&gt;"Won","",IF(E595="",N(I595),N(I595)-N(M595)))</f>
        <v/>
      </c>
      <c r="O595" s="37" t="n"/>
    </row>
    <row r="596">
      <c r="A596" s="44" t="n"/>
      <c r="B596" s="37" t="n"/>
      <c r="C596" s="37" t="n"/>
      <c r="D596" s="37" t="n"/>
      <c r="E596" s="37" t="n"/>
      <c r="F596" s="10">
        <f>IF(E596="","",IF(COUNTIF(lst_Jobs,E596&amp;"")&gt;0,"OK","CHECK"))</f>
        <v/>
      </c>
      <c r="G596" s="37" t="n"/>
      <c r="H596" s="37" t="n"/>
      <c r="I596" s="39" t="n"/>
      <c r="J596" s="37" t="n"/>
      <c r="K596" s="42" t="n"/>
      <c r="L596" s="44" t="n"/>
      <c r="M596" s="11">
        <f>IF(E596="","",SUMIFS(tbl_Finance[Xero Invoiced Ex GST],tbl_Finance[Job Number],E596&amp;""))</f>
        <v/>
      </c>
      <c r="N596" s="11">
        <f>IF(J596&lt;&gt;"Won","",IF(E596="",N(I596),N(I596)-N(M596)))</f>
        <v/>
      </c>
      <c r="O596" s="37" t="n"/>
    </row>
    <row r="597">
      <c r="A597" s="44" t="n"/>
      <c r="B597" s="37" t="n"/>
      <c r="C597" s="37" t="n"/>
      <c r="D597" s="37" t="n"/>
      <c r="E597" s="37" t="n"/>
      <c r="F597" s="10">
        <f>IF(E597="","",IF(COUNTIF(lst_Jobs,E597&amp;"")&gt;0,"OK","CHECK"))</f>
        <v/>
      </c>
      <c r="G597" s="37" t="n"/>
      <c r="H597" s="37" t="n"/>
      <c r="I597" s="39" t="n"/>
      <c r="J597" s="37" t="n"/>
      <c r="K597" s="42" t="n"/>
      <c r="L597" s="44" t="n"/>
      <c r="M597" s="11">
        <f>IF(E597="","",SUMIFS(tbl_Finance[Xero Invoiced Ex GST],tbl_Finance[Job Number],E597&amp;""))</f>
        <v/>
      </c>
      <c r="N597" s="11">
        <f>IF(J597&lt;&gt;"Won","",IF(E597="",N(I597),N(I597)-N(M597)))</f>
        <v/>
      </c>
      <c r="O597" s="37" t="n"/>
    </row>
    <row r="598">
      <c r="A598" s="44" t="n"/>
      <c r="B598" s="37" t="n"/>
      <c r="C598" s="37" t="n"/>
      <c r="D598" s="37" t="n"/>
      <c r="E598" s="37" t="n"/>
      <c r="F598" s="10">
        <f>IF(E598="","",IF(COUNTIF(lst_Jobs,E598&amp;"")&gt;0,"OK","CHECK"))</f>
        <v/>
      </c>
      <c r="G598" s="37" t="n"/>
      <c r="H598" s="37" t="n"/>
      <c r="I598" s="39" t="n"/>
      <c r="J598" s="37" t="n"/>
      <c r="K598" s="42" t="n"/>
      <c r="L598" s="44" t="n"/>
      <c r="M598" s="11">
        <f>IF(E598="","",SUMIFS(tbl_Finance[Xero Invoiced Ex GST],tbl_Finance[Job Number],E598&amp;""))</f>
        <v/>
      </c>
      <c r="N598" s="11">
        <f>IF(J598&lt;&gt;"Won","",IF(E598="",N(I598),N(I598)-N(M598)))</f>
        <v/>
      </c>
      <c r="O598" s="37" t="n"/>
    </row>
    <row r="599">
      <c r="A599" s="44" t="n"/>
      <c r="B599" s="37" t="n"/>
      <c r="C599" s="37" t="n"/>
      <c r="D599" s="37" t="n"/>
      <c r="E599" s="37" t="n"/>
      <c r="F599" s="10">
        <f>IF(E599="","",IF(COUNTIF(lst_Jobs,E599&amp;"")&gt;0,"OK","CHECK"))</f>
        <v/>
      </c>
      <c r="G599" s="37" t="n"/>
      <c r="H599" s="37" t="n"/>
      <c r="I599" s="39" t="n"/>
      <c r="J599" s="37" t="n"/>
      <c r="K599" s="42" t="n"/>
      <c r="L599" s="44" t="n"/>
      <c r="M599" s="11">
        <f>IF(E599="","",SUMIFS(tbl_Finance[Xero Invoiced Ex GST],tbl_Finance[Job Number],E599&amp;""))</f>
        <v/>
      </c>
      <c r="N599" s="11">
        <f>IF(J599&lt;&gt;"Won","",IF(E599="",N(I599),N(I599)-N(M599)))</f>
        <v/>
      </c>
      <c r="O599" s="37" t="n"/>
    </row>
    <row r="600">
      <c r="A600" s="44" t="n"/>
      <c r="B600" s="37" t="n"/>
      <c r="C600" s="37" t="n"/>
      <c r="D600" s="37" t="n"/>
      <c r="E600" s="37" t="n"/>
      <c r="F600" s="10">
        <f>IF(E600="","",IF(COUNTIF(lst_Jobs,E600&amp;"")&gt;0,"OK","CHECK"))</f>
        <v/>
      </c>
      <c r="G600" s="37" t="n"/>
      <c r="H600" s="37" t="n"/>
      <c r="I600" s="39" t="n"/>
      <c r="J600" s="37" t="n"/>
      <c r="K600" s="42" t="n"/>
      <c r="L600" s="44" t="n"/>
      <c r="M600" s="11">
        <f>IF(E600="","",SUMIFS(tbl_Finance[Xero Invoiced Ex GST],tbl_Finance[Job Number],E600&amp;""))</f>
        <v/>
      </c>
      <c r="N600" s="11">
        <f>IF(J600&lt;&gt;"Won","",IF(E600="",N(I600),N(I600)-N(M600)))</f>
        <v/>
      </c>
      <c r="O600" s="37" t="n"/>
    </row>
    <row r="601">
      <c r="A601" s="44" t="n"/>
      <c r="B601" s="37" t="n"/>
      <c r="C601" s="37" t="n"/>
      <c r="D601" s="37" t="n"/>
      <c r="E601" s="37" t="n"/>
      <c r="F601" s="10">
        <f>IF(E601="","",IF(COUNTIF(lst_Jobs,E601&amp;"")&gt;0,"OK","CHECK"))</f>
        <v/>
      </c>
      <c r="G601" s="37" t="n"/>
      <c r="H601" s="37" t="n"/>
      <c r="I601" s="39" t="n"/>
      <c r="J601" s="37" t="n"/>
      <c r="K601" s="42" t="n"/>
      <c r="L601" s="44" t="n"/>
      <c r="M601" s="11">
        <f>IF(E601="","",SUMIFS(tbl_Finance[Xero Invoiced Ex GST],tbl_Finance[Job Number],E601&amp;""))</f>
        <v/>
      </c>
      <c r="N601" s="11">
        <f>IF(J601&lt;&gt;"Won","",IF(E601="",N(I601),N(I601)-N(M601)))</f>
        <v/>
      </c>
      <c r="O601" s="37" t="n"/>
    </row>
    <row r="602">
      <c r="A602" s="44" t="n"/>
      <c r="B602" s="37" t="n"/>
      <c r="C602" s="37" t="n"/>
      <c r="D602" s="37" t="n"/>
      <c r="E602" s="37" t="n"/>
      <c r="F602" s="10">
        <f>IF(E602="","",IF(COUNTIF(lst_Jobs,E602&amp;"")&gt;0,"OK","CHECK"))</f>
        <v/>
      </c>
      <c r="G602" s="37" t="n"/>
      <c r="H602" s="37" t="n"/>
      <c r="I602" s="39" t="n"/>
      <c r="J602" s="37" t="n"/>
      <c r="K602" s="42" t="n"/>
      <c r="L602" s="44" t="n"/>
      <c r="M602" s="11">
        <f>IF(E602="","",SUMIFS(tbl_Finance[Xero Invoiced Ex GST],tbl_Finance[Job Number],E602&amp;""))</f>
        <v/>
      </c>
      <c r="N602" s="11">
        <f>IF(J602&lt;&gt;"Won","",IF(E602="",N(I602),N(I602)-N(M602)))</f>
        <v/>
      </c>
      <c r="O602" s="37" t="n"/>
    </row>
    <row r="603">
      <c r="A603" s="44" t="n"/>
      <c r="B603" s="37" t="n"/>
      <c r="C603" s="37" t="n"/>
      <c r="D603" s="37" t="n"/>
      <c r="E603" s="37" t="n"/>
      <c r="F603" s="10">
        <f>IF(E603="","",IF(COUNTIF(lst_Jobs,E603&amp;"")&gt;0,"OK","CHECK"))</f>
        <v/>
      </c>
      <c r="G603" s="37" t="n"/>
      <c r="H603" s="37" t="n"/>
      <c r="I603" s="39" t="n"/>
      <c r="J603" s="37" t="n"/>
      <c r="K603" s="42" t="n"/>
      <c r="L603" s="44" t="n"/>
      <c r="M603" s="11">
        <f>IF(E603="","",SUMIFS(tbl_Finance[Xero Invoiced Ex GST],tbl_Finance[Job Number],E603&amp;""))</f>
        <v/>
      </c>
      <c r="N603" s="11">
        <f>IF(J603&lt;&gt;"Won","",IF(E603="",N(I603),N(I603)-N(M603)))</f>
        <v/>
      </c>
      <c r="O603" s="37" t="n"/>
    </row>
    <row r="604">
      <c r="A604" s="44" t="n"/>
      <c r="B604" s="37" t="n"/>
      <c r="C604" s="37" t="n"/>
      <c r="D604" s="37" t="n"/>
      <c r="E604" s="37" t="n"/>
      <c r="F604" s="10">
        <f>IF(E604="","",IF(COUNTIF(lst_Jobs,E604&amp;"")&gt;0,"OK","CHECK"))</f>
        <v/>
      </c>
      <c r="G604" s="37" t="n"/>
      <c r="H604" s="37" t="n"/>
      <c r="I604" s="39" t="n"/>
      <c r="J604" s="37" t="n"/>
      <c r="K604" s="42" t="n"/>
      <c r="L604" s="44" t="n"/>
      <c r="M604" s="11">
        <f>IF(E604="","",SUMIFS(tbl_Finance[Xero Invoiced Ex GST],tbl_Finance[Job Number],E604&amp;""))</f>
        <v/>
      </c>
      <c r="N604" s="11">
        <f>IF(J604&lt;&gt;"Won","",IF(E604="",N(I604),N(I604)-N(M604)))</f>
        <v/>
      </c>
      <c r="O604" s="37" t="n"/>
    </row>
  </sheetData>
  <sheetProtection selectLockedCells="0" selectUnlockedCells="0" sheet="1" objects="0" insertRows="1" insertHyperlinks="1" autoFilter="0" scenarios="0" formatColumns="0" deleteColumns="1" insertColumns="1" pivotTables="1" deleteRows="1" formatCells="1" formatRows="0" sort="1" password="DE92"/>
  <mergeCells count="1">
    <mergeCell ref="A3:L3"/>
  </mergeCells>
  <conditionalFormatting sqref="F5:F604">
    <cfRule type="expression" priority="1" dxfId="1">
      <formula>F5="CHECK"</formula>
    </cfRule>
  </conditionalFormatting>
  <dataValidations count="5">
    <dataValidation sqref="A5:A604" showDropDown="0" showInputMessage="0" showErrorMessage="0" allowBlank="1" type="list">
      <formula1>lst_Months</formula1>
    </dataValidation>
    <dataValidation sqref="B5:B604" showDropDown="0" showInputMessage="0" showErrorMessage="0" allowBlank="1" type="list">
      <formula1>lst_WonSource</formula1>
    </dataValidation>
    <dataValidation sqref="G5:G604" showDropDown="0" showInputMessage="0" showErrorMessage="0" allowBlank="1" type="list">
      <formula1>lst_CostCentre</formula1>
    </dataValidation>
    <dataValidation sqref="J5:J604" showDropDown="0" showInputMessage="0" showErrorMessage="0" allowBlank="1" type="list">
      <formula1>lst_WonStatus</formula1>
    </dataValidation>
    <dataValidation sqref="L5:L604" showDropDown="0" showInputMessage="0" showErrorMessage="0" allowBlank="1" type="list">
      <formula1>lst_Months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Y1500"/>
  <sheetViews>
    <sheetView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 width="24" customWidth="1" min="22" max="22"/>
    <col width="21" customWidth="1" min="23" max="23"/>
    <col width="12" customWidth="1" min="25" max="25"/>
  </cols>
  <sheetData>
    <row r="1">
      <c r="A1" s="47" t="inlineStr">
        <is>
          <t>Reference Lists</t>
        </is>
      </c>
    </row>
    <row r="2">
      <c r="A2" s="48" t="inlineStr">
        <is>
          <t>Every dropdown in this workbook reads from here. Add a value to the bottom of a list and it appears in the dropdowns - no macros, nothing to re-run.</t>
        </is>
      </c>
    </row>
    <row r="4">
      <c r="A4" s="49" t="inlineStr">
        <is>
          <t>Cost Centre</t>
        </is>
      </c>
      <c r="B4" s="49" t="inlineStr">
        <is>
          <t>Invoice Type</t>
        </is>
      </c>
      <c r="C4" s="49" t="inlineStr">
        <is>
          <t>Tax Code</t>
        </is>
      </c>
      <c r="D4" s="49" t="inlineStr">
        <is>
          <t>Status</t>
        </is>
      </c>
      <c r="E4" s="49" t="inlineStr">
        <is>
          <t>Yes / No</t>
        </is>
      </c>
      <c r="F4" s="49" t="inlineStr">
        <is>
          <t>Ariba Status</t>
        </is>
      </c>
      <c r="G4" s="49" t="inlineStr">
        <is>
          <t>WIP Movement Type</t>
        </is>
      </c>
      <c r="H4" s="49" t="inlineStr">
        <is>
          <t>WIP GL Code</t>
        </is>
      </c>
      <c r="I4" s="49" t="inlineStr">
        <is>
          <t>Team</t>
        </is>
      </c>
      <c r="J4" s="20" t="inlineStr">
        <is>
          <t>Revenue or Cost</t>
        </is>
      </c>
      <c r="K4" s="49" t="inlineStr">
        <is>
          <t>Revenue GL</t>
        </is>
      </c>
      <c r="L4" s="49" t="inlineStr">
        <is>
          <t>GL Account Name (from Xero)</t>
        </is>
      </c>
      <c r="M4" s="20" t="inlineStr">
        <is>
          <t>Work Won Source</t>
        </is>
      </c>
      <c r="N4" s="49" t="inlineStr">
        <is>
          <t>Month (period end)</t>
        </is>
      </c>
      <c r="O4" s="20" t="inlineStr">
        <is>
          <t>Work Won Status</t>
        </is>
      </c>
      <c r="P4" s="49" t="inlineStr">
        <is>
          <t>Job Number</t>
        </is>
      </c>
      <c r="Q4" s="49" t="inlineStr">
        <is>
          <t>Job Name (from Xero)</t>
        </is>
      </c>
      <c r="R4" s="49" t="inlineStr">
        <is>
          <t>CC</t>
        </is>
      </c>
      <c r="T4" s="49" t="inlineStr">
        <is>
          <t>Settings</t>
        </is>
      </c>
      <c r="V4" s="20" t="inlineStr">
        <is>
          <t>Cost Centre (GL map)</t>
        </is>
      </c>
      <c r="W4" s="20" t="inlineStr">
        <is>
          <t>Revenue GL for it</t>
        </is>
      </c>
      <c r="Y4" s="50" t="inlineStr">
        <is>
          <t>FY27 Months</t>
        </is>
      </c>
    </row>
    <row r="5">
      <c r="A5" s="51" t="inlineStr">
        <is>
          <t>ONSITE</t>
        </is>
      </c>
      <c r="B5" s="51" t="inlineStr">
        <is>
          <t>Contract</t>
        </is>
      </c>
      <c r="C5" s="51" t="inlineStr">
        <is>
          <t>GST 10%</t>
        </is>
      </c>
      <c r="D5" s="51" t="inlineStr">
        <is>
          <t>To Invoice</t>
        </is>
      </c>
      <c r="E5" s="51" t="inlineStr">
        <is>
          <t>Y</t>
        </is>
      </c>
      <c r="F5" s="51" t="inlineStr">
        <is>
          <t>N/A</t>
        </is>
      </c>
      <c r="G5" s="51" t="inlineStr">
        <is>
          <t>Accrual - unbilled work</t>
        </is>
      </c>
      <c r="H5" s="51" t="inlineStr">
        <is>
          <t>11300</t>
        </is>
      </c>
      <c r="I5" s="51" t="inlineStr">
        <is>
          <t>Onsite</t>
        </is>
      </c>
      <c r="J5" s="51" t="inlineStr">
        <is>
          <t>Revenue</t>
        </is>
      </c>
      <c r="K5" s="51" t="inlineStr">
        <is>
          <t>41100</t>
        </is>
      </c>
      <c r="L5" s="51" t="inlineStr">
        <is>
          <t>Contract Support Staff</t>
        </is>
      </c>
      <c r="M5" s="51" t="inlineStr">
        <is>
          <t>ZOHO</t>
        </is>
      </c>
      <c r="N5" s="52" t="n">
        <v>45138</v>
      </c>
      <c r="O5" s="51" t="inlineStr">
        <is>
          <t>Won</t>
        </is>
      </c>
      <c r="P5" s="51" t="inlineStr">
        <is>
          <t>1144</t>
        </is>
      </c>
      <c r="Q5" s="51" t="inlineStr">
        <is>
          <t>Bankwest PER Half Tech</t>
        </is>
      </c>
      <c r="R5" s="51" t="inlineStr">
        <is>
          <t>ONSITE</t>
        </is>
      </c>
      <c r="T5" s="17" t="inlineStr">
        <is>
          <t>Qwilr base address</t>
        </is>
      </c>
      <c r="U5" s="53" t="inlineStr">
        <is>
          <t>https://cts.qwilr.com/</t>
        </is>
      </c>
      <c r="V5" s="51" t="inlineStr">
        <is>
          <t>ONSITE</t>
        </is>
      </c>
      <c r="W5" s="51" t="inlineStr">
        <is>
          <t>41100</t>
        </is>
      </c>
      <c r="Y5" s="54">
        <f>EOMONTH($U$12,0)</f>
        <v/>
      </c>
    </row>
    <row r="6">
      <c r="A6" s="51" t="inlineStr">
        <is>
          <t>PRODUCTION</t>
        </is>
      </c>
      <c r="B6" s="51" t="inlineStr">
        <is>
          <t>Chargeback</t>
        </is>
      </c>
      <c r="C6" s="51" t="inlineStr">
        <is>
          <t>GST Free</t>
        </is>
      </c>
      <c r="D6" s="51" t="inlineStr">
        <is>
          <t>Draft</t>
        </is>
      </c>
      <c r="E6" s="51" t="inlineStr">
        <is>
          <t>N</t>
        </is>
      </c>
      <c r="F6" s="51" t="inlineStr">
        <is>
          <t>Awaiting PO</t>
        </is>
      </c>
      <c r="G6" s="51" t="inlineStr">
        <is>
          <t>Reversal of prior accrual</t>
        </is>
      </c>
      <c r="H6" s="51" t="inlineStr">
        <is>
          <t>44100</t>
        </is>
      </c>
      <c r="I6" s="51" t="inlineStr">
        <is>
          <t>Production</t>
        </is>
      </c>
      <c r="J6" s="51" t="inlineStr">
        <is>
          <t>Cost</t>
        </is>
      </c>
      <c r="K6" s="51" t="inlineStr">
        <is>
          <t>41150</t>
        </is>
      </c>
      <c r="L6" s="51" t="inlineStr">
        <is>
          <t>Mobile Phone Plans</t>
        </is>
      </c>
      <c r="M6" s="51" t="inlineStr">
        <is>
          <t>Current RMS</t>
        </is>
      </c>
      <c r="N6" s="52" t="n">
        <v>45169</v>
      </c>
      <c r="O6" s="51" t="inlineStr">
        <is>
          <t>Open</t>
        </is>
      </c>
      <c r="P6" s="51" t="inlineStr">
        <is>
          <t>1350</t>
        </is>
      </c>
      <c r="Q6" s="51" t="inlineStr">
        <is>
          <t>CBA Brisbane ONS</t>
        </is>
      </c>
      <c r="R6" s="51" t="inlineStr">
        <is>
          <t>ONSITE</t>
        </is>
      </c>
      <c r="T6" s="17" t="inlineStr">
        <is>
          <t>Current RMS base address</t>
        </is>
      </c>
      <c r="U6" s="55" t="n"/>
      <c r="V6" s="51" t="inlineStr">
        <is>
          <t>PRODUCTION</t>
        </is>
      </c>
      <c r="W6" s="51" t="inlineStr">
        <is>
          <t>42100</t>
        </is>
      </c>
      <c r="Y6" s="54">
        <f>EOMONTH($U$12,1)</f>
        <v/>
      </c>
    </row>
    <row r="7">
      <c r="A7" s="51" t="inlineStr">
        <is>
          <t>VIDEO</t>
        </is>
      </c>
      <c r="B7" s="51" t="inlineStr">
        <is>
          <t>Ad-hoc</t>
        </is>
      </c>
      <c r="C7" s="51" t="inlineStr">
        <is>
          <t>Export (0%)</t>
        </is>
      </c>
      <c r="D7" s="51" t="inlineStr">
        <is>
          <t>Awaiting Approval</t>
        </is>
      </c>
      <c r="E7" s="51" t="inlineStr">
        <is>
          <t>N/A</t>
        </is>
      </c>
      <c r="F7" s="51" t="inlineStr">
        <is>
          <t>To Upload</t>
        </is>
      </c>
      <c r="G7" s="51" t="inlineStr">
        <is>
          <t>Deferral - invoiced in advance</t>
        </is>
      </c>
      <c r="H7" s="51" t="inlineStr">
        <is>
          <t>44200</t>
        </is>
      </c>
      <c r="I7" s="51" t="inlineStr">
        <is>
          <t>Consulting</t>
        </is>
      </c>
      <c r="J7" s="55" t="n"/>
      <c r="K7" s="51" t="inlineStr">
        <is>
          <t>41175</t>
        </is>
      </c>
      <c r="L7" s="51" t="inlineStr">
        <is>
          <t>Subscriptions &amp; Licences - Income</t>
        </is>
      </c>
      <c r="M7" s="51" t="inlineStr">
        <is>
          <t>Qwilr</t>
        </is>
      </c>
      <c r="N7" s="52" t="n">
        <v>45199</v>
      </c>
      <c r="O7" s="51" t="inlineStr">
        <is>
          <t>Lost</t>
        </is>
      </c>
      <c r="P7" s="51" t="inlineStr">
        <is>
          <t>1400</t>
        </is>
      </c>
      <c r="Q7" s="51" t="inlineStr">
        <is>
          <t>DTTL Mel Tech FT 2</t>
        </is>
      </c>
      <c r="R7" s="51" t="inlineStr">
        <is>
          <t>ONSITE</t>
        </is>
      </c>
      <c r="T7" s="56" t="inlineStr">
        <is>
          <t>Optional. Paste the whole Current RMS address straight onto the Production sheet and it links without this. Fill this in only if you would rather type the bare opportunity number - end it with a slash.</t>
        </is>
      </c>
      <c r="U7" s="55" t="n"/>
      <c r="V7" s="51" t="inlineStr">
        <is>
          <t>VIDEO</t>
        </is>
      </c>
      <c r="W7" s="51" t="inlineStr">
        <is>
          <t>42150</t>
        </is>
      </c>
      <c r="Y7" s="54">
        <f>EOMONTH($U$12,2)</f>
        <v/>
      </c>
    </row>
    <row r="8">
      <c r="A8" s="51" t="inlineStr">
        <is>
          <t>INTEGRATION</t>
        </is>
      </c>
      <c r="B8" s="51" t="inlineStr">
        <is>
          <t>Project</t>
        </is>
      </c>
      <c r="C8" s="51" t="inlineStr">
        <is>
          <t>BAS Excluded</t>
        </is>
      </c>
      <c r="D8" s="51" t="inlineStr">
        <is>
          <t>Invoiced</t>
        </is>
      </c>
      <c r="E8" s="55" t="n"/>
      <c r="F8" s="51" t="inlineStr">
        <is>
          <t>Uploaded</t>
        </is>
      </c>
      <c r="G8" s="51" t="inlineStr">
        <is>
          <t>Release of deferral</t>
        </is>
      </c>
      <c r="H8" s="55" t="n"/>
      <c r="I8" s="51" t="inlineStr">
        <is>
          <t>Other</t>
        </is>
      </c>
      <c r="J8" s="55" t="n"/>
      <c r="K8" s="51" t="inlineStr">
        <is>
          <t>41200</t>
        </is>
      </c>
      <c r="L8" s="51" t="inlineStr">
        <is>
          <t>Contract Maintenance</t>
        </is>
      </c>
      <c r="M8" s="51" t="inlineStr">
        <is>
          <t>Other</t>
        </is>
      </c>
      <c r="N8" s="52" t="n">
        <v>45230</v>
      </c>
      <c r="O8" s="51" t="inlineStr">
        <is>
          <t>Cancelled</t>
        </is>
      </c>
      <c r="P8" s="51" t="inlineStr">
        <is>
          <t>1401</t>
        </is>
      </c>
      <c r="Q8" s="51" t="inlineStr">
        <is>
          <t>DTTL SYD FT Tech 2</t>
        </is>
      </c>
      <c r="R8" s="51" t="inlineStr">
        <is>
          <t>ONSITE</t>
        </is>
      </c>
      <c r="T8" s="17" t="inlineStr">
        <is>
          <t>GST rate</t>
        </is>
      </c>
      <c r="U8" s="57" t="n">
        <v>0.1</v>
      </c>
      <c r="V8" s="51" t="inlineStr">
        <is>
          <t>INTEGRATION</t>
        </is>
      </c>
      <c r="W8" s="51" t="inlineStr">
        <is>
          <t>42300</t>
        </is>
      </c>
      <c r="Y8" s="54">
        <f>EOMONTH($U$12,3)</f>
        <v/>
      </c>
    </row>
    <row r="9">
      <c r="A9" s="51" t="inlineStr">
        <is>
          <t>CONSULTING</t>
        </is>
      </c>
      <c r="B9" s="51" t="inlineStr">
        <is>
          <t>Progress Claim</t>
        </is>
      </c>
      <c r="C9" s="55" t="n"/>
      <c r="D9" s="51" t="inlineStr">
        <is>
          <t>Sent</t>
        </is>
      </c>
      <c r="E9" s="55" t="n"/>
      <c r="F9" s="51" t="inlineStr">
        <is>
          <t>Approved</t>
        </is>
      </c>
      <c r="G9" s="51" t="inlineStr">
        <is>
          <t>Deferred cost - paid in advance</t>
        </is>
      </c>
      <c r="H9" s="55" t="n"/>
      <c r="I9" s="55" t="n"/>
      <c r="J9" s="55" t="n"/>
      <c r="K9" s="51" t="inlineStr">
        <is>
          <t>41500</t>
        </is>
      </c>
      <c r="L9" s="51" t="inlineStr">
        <is>
          <t>Contract Help Desk</t>
        </is>
      </c>
      <c r="M9" s="55" t="n"/>
      <c r="N9" s="52" t="n">
        <v>45260</v>
      </c>
      <c r="O9" s="55" t="n"/>
      <c r="P9" s="51" t="inlineStr">
        <is>
          <t>1530</t>
        </is>
      </c>
      <c r="Q9" s="51" t="inlineStr">
        <is>
          <t>DTTL BNE Onsite</t>
        </is>
      </c>
      <c r="R9" s="51" t="inlineStr">
        <is>
          <t>ONSITE</t>
        </is>
      </c>
      <c r="T9" s="20" t="inlineStr">
        <is>
          <t>WIP balance sheet account</t>
        </is>
      </c>
      <c r="U9" s="58" t="inlineStr">
        <is>
          <t>11300 Work in Progress</t>
        </is>
      </c>
      <c r="V9" s="51" t="inlineStr">
        <is>
          <t>CONSULTING</t>
        </is>
      </c>
      <c r="W9" s="51" t="inlineStr">
        <is>
          <t>42800</t>
        </is>
      </c>
      <c r="Y9" s="54">
        <f>EOMONTH($U$12,4)</f>
        <v/>
      </c>
    </row>
    <row r="10">
      <c r="A10" s="51" t="inlineStr">
        <is>
          <t>CTS</t>
        </is>
      </c>
      <c r="B10" s="51" t="inlineStr">
        <is>
          <t>Milestone</t>
        </is>
      </c>
      <c r="C10" s="55" t="n"/>
      <c r="D10" s="51" t="inlineStr">
        <is>
          <t>Paid</t>
        </is>
      </c>
      <c r="E10" s="55" t="n"/>
      <c r="F10" s="51" t="inlineStr">
        <is>
          <t>Rejected</t>
        </is>
      </c>
      <c r="G10" s="51" t="inlineStr">
        <is>
          <t>Release of deferred cost</t>
        </is>
      </c>
      <c r="H10" s="55" t="n"/>
      <c r="I10" s="55" t="n"/>
      <c r="J10" s="55" t="n"/>
      <c r="K10" s="51" t="inlineStr">
        <is>
          <t>42100</t>
        </is>
      </c>
      <c r="L10" s="51" t="inlineStr">
        <is>
          <t>Production Labour</t>
        </is>
      </c>
      <c r="M10" s="55" t="n"/>
      <c r="N10" s="52" t="n">
        <v>45291</v>
      </c>
      <c r="O10" s="55" t="n"/>
      <c r="P10" s="51" t="inlineStr">
        <is>
          <t>1668</t>
        </is>
      </c>
      <c r="Q10" s="51" t="inlineStr">
        <is>
          <t>CBA Dedicated Tech</t>
        </is>
      </c>
      <c r="R10" s="51" t="inlineStr">
        <is>
          <t>ONSITE</t>
        </is>
      </c>
      <c r="T10" s="20" t="inlineStr">
        <is>
          <t>WIP P&amp;L account</t>
        </is>
      </c>
      <c r="U10" s="58" t="inlineStr">
        <is>
          <t>44200 Closing Work in Progress</t>
        </is>
      </c>
      <c r="V10" s="51" t="inlineStr">
        <is>
          <t>CTS</t>
        </is>
      </c>
      <c r="W10" s="51" t="inlineStr">
        <is>
          <t>42200</t>
        </is>
      </c>
      <c r="Y10" s="54">
        <f>EOMONTH($U$12,5)</f>
        <v/>
      </c>
    </row>
    <row r="11">
      <c r="A11" s="55" t="n"/>
      <c r="B11" s="51" t="inlineStr">
        <is>
          <t>Subscription</t>
        </is>
      </c>
      <c r="C11" s="55" t="n"/>
      <c r="D11" s="51" t="inlineStr">
        <is>
          <t>On Hold</t>
        </is>
      </c>
      <c r="E11" s="55" t="n"/>
      <c r="F11" s="55" t="n"/>
      <c r="G11" s="51" t="inlineStr">
        <is>
          <t>Accrued cost - incurred not billed</t>
        </is>
      </c>
      <c r="H11" s="55" t="n"/>
      <c r="I11" s="55" t="n"/>
      <c r="J11" s="55" t="n"/>
      <c r="K11" s="51" t="inlineStr">
        <is>
          <t>42150</t>
        </is>
      </c>
      <c r="L11" s="51" t="inlineStr">
        <is>
          <t>Video Labour</t>
        </is>
      </c>
      <c r="M11" s="55" t="n"/>
      <c r="N11" s="52" t="n">
        <v>45322</v>
      </c>
      <c r="O11" s="55" t="n"/>
      <c r="P11" s="51" t="inlineStr">
        <is>
          <t>1750</t>
        </is>
      </c>
      <c r="Q11" s="51" t="inlineStr">
        <is>
          <t>Bankwest Spotify</t>
        </is>
      </c>
      <c r="R11" s="59" t="n"/>
      <c r="T11" s="56" t="inlineStr">
        <is>
          <t>The two accounts the WIP journal uses. Change them here and every Debit / Credit on WIP Movements and Month-End follows.</t>
        </is>
      </c>
      <c r="U11" s="55" t="n"/>
      <c r="V11" s="55" t="n"/>
      <c r="W11" s="55" t="n"/>
      <c r="Y11" s="54">
        <f>EOMONTH($U$12,6)</f>
        <v/>
      </c>
    </row>
    <row r="12">
      <c r="A12" s="55" t="n"/>
      <c r="B12" s="51" t="inlineStr">
        <is>
          <t>Equipment Sale</t>
        </is>
      </c>
      <c r="C12" s="55" t="n"/>
      <c r="D12" s="51" t="inlineStr">
        <is>
          <t>Cancelled</t>
        </is>
      </c>
      <c r="E12" s="55" t="n"/>
      <c r="F12" s="55" t="n"/>
      <c r="G12" s="51" t="inlineStr">
        <is>
          <t>Adjustment / correction</t>
        </is>
      </c>
      <c r="H12" s="55" t="n"/>
      <c r="I12" s="55" t="n"/>
      <c r="J12" s="55" t="n"/>
      <c r="K12" s="51" t="inlineStr">
        <is>
          <t>42200</t>
        </is>
      </c>
      <c r="L12" s="51" t="inlineStr">
        <is>
          <t>Ad Hoc Service Labour</t>
        </is>
      </c>
      <c r="M12" s="55" t="n"/>
      <c r="N12" s="52" t="n">
        <v>45351</v>
      </c>
      <c r="O12" s="55" t="n"/>
      <c r="P12" s="51" t="inlineStr">
        <is>
          <t>1755</t>
        </is>
      </c>
      <c r="Q12" s="51" t="inlineStr">
        <is>
          <t>CBA Spotify</t>
        </is>
      </c>
      <c r="R12" s="51" t="inlineStr">
        <is>
          <t>ONSITE</t>
        </is>
      </c>
      <c r="T12" s="20" t="inlineStr">
        <is>
          <t>FY first month (month end)</t>
        </is>
      </c>
      <c r="U12" s="60" t="n">
        <v>46234</v>
      </c>
      <c r="V12" s="55" t="n"/>
      <c r="W12" s="55" t="n"/>
      <c r="Y12" s="54">
        <f>EOMONTH($U$12,7)</f>
        <v/>
      </c>
    </row>
    <row r="13">
      <c r="A13" s="55" t="n"/>
      <c r="B13" s="51" t="inlineStr">
        <is>
          <t>Recharge</t>
        </is>
      </c>
      <c r="C13" s="55" t="n"/>
      <c r="D13" s="51" t="inlineStr">
        <is>
          <t>Credited</t>
        </is>
      </c>
      <c r="E13" s="55" t="n"/>
      <c r="F13" s="55" t="n"/>
      <c r="G13" s="51" t="inlineStr">
        <is>
          <t>Migrated opening balance</t>
        </is>
      </c>
      <c r="H13" s="55" t="n"/>
      <c r="I13" s="55" t="n"/>
      <c r="J13" s="55" t="n"/>
      <c r="K13" s="51" t="inlineStr">
        <is>
          <t>42300</t>
        </is>
      </c>
      <c r="L13" s="51" t="inlineStr">
        <is>
          <t>Installation Labour</t>
        </is>
      </c>
      <c r="M13" s="55" t="n"/>
      <c r="N13" s="52" t="n">
        <v>45382</v>
      </c>
      <c r="O13" s="55" t="n"/>
      <c r="P13" s="51" t="inlineStr">
        <is>
          <t>1771</t>
        </is>
      </c>
      <c r="Q13" s="51" t="inlineStr">
        <is>
          <t>Integration - Training</t>
        </is>
      </c>
      <c r="R13" s="51" t="inlineStr">
        <is>
          <t>INTEGRATION</t>
        </is>
      </c>
      <c r="T13" s="20" t="inlineStr">
        <is>
          <t>Change U12 to 31-Jul of a new year to roll the whole tracker to the next financial year. Every month heading on Finance, FY Summary and Month-End follows.</t>
        </is>
      </c>
      <c r="V13" s="55" t="n"/>
      <c r="W13" s="55" t="n"/>
      <c r="Y13" s="54">
        <f>EOMONTH($U$12,8)</f>
        <v/>
      </c>
    </row>
    <row r="14">
      <c r="A14" s="55" t="n"/>
      <c r="B14" s="51" t="inlineStr">
        <is>
          <t>Credit Note</t>
        </is>
      </c>
      <c r="C14" s="55" t="n"/>
      <c r="D14" s="55" t="n"/>
      <c r="E14" s="55" t="n"/>
      <c r="F14" s="55" t="n"/>
      <c r="G14" s="55" t="n"/>
      <c r="H14" s="55" t="n"/>
      <c r="I14" s="55" t="n"/>
      <c r="J14" s="55" t="n"/>
      <c r="K14" s="51" t="inlineStr">
        <is>
          <t>42500</t>
        </is>
      </c>
      <c r="L14" s="51" t="inlineStr">
        <is>
          <t>Equipment Hires</t>
        </is>
      </c>
      <c r="M14" s="55" t="n"/>
      <c r="N14" s="52" t="n">
        <v>45412</v>
      </c>
      <c r="O14" s="55" t="n"/>
      <c r="P14" s="51" t="inlineStr">
        <is>
          <t>1862</t>
        </is>
      </c>
      <c r="Q14" s="51" t="inlineStr">
        <is>
          <t>DTTL ADL Onsite</t>
        </is>
      </c>
      <c r="R14" s="51" t="inlineStr">
        <is>
          <t>ONSITE</t>
        </is>
      </c>
      <c r="V14" s="55" t="n"/>
      <c r="W14" s="55" t="n"/>
      <c r="Y14" s="54">
        <f>EOMONTH($U$12,9)</f>
        <v/>
      </c>
    </row>
    <row r="15">
      <c r="A15" s="55" t="n"/>
      <c r="B15" s="55" t="n"/>
      <c r="C15" s="55" t="n"/>
      <c r="D15" s="55" t="n"/>
      <c r="E15" s="55" t="n"/>
      <c r="F15" s="55" t="n"/>
      <c r="G15" s="55" t="n"/>
      <c r="H15" s="55" t="n"/>
      <c r="I15" s="55" t="n"/>
      <c r="J15" s="55" t="n"/>
      <c r="K15" s="51" t="inlineStr">
        <is>
          <t>42600</t>
        </is>
      </c>
      <c r="L15" s="51" t="inlineStr">
        <is>
          <t>Equipment Sales</t>
        </is>
      </c>
      <c r="M15" s="55" t="n"/>
      <c r="N15" s="52" t="n">
        <v>45443</v>
      </c>
      <c r="O15" s="55" t="n"/>
      <c r="P15" s="51" t="inlineStr">
        <is>
          <t>20250731</t>
        </is>
      </c>
      <c r="Q15" s="51" t="inlineStr">
        <is>
          <t>PWC National Pool of Hours</t>
        </is>
      </c>
      <c r="R15" s="51" t="inlineStr">
        <is>
          <t>ONSITE</t>
        </is>
      </c>
      <c r="V15" s="55" t="n"/>
      <c r="W15" s="55" t="n"/>
      <c r="Y15" s="54">
        <f>EOMONTH($U$12,10)</f>
        <v/>
      </c>
    </row>
    <row r="16">
      <c r="A16" s="55" t="n"/>
      <c r="B16" s="55" t="n"/>
      <c r="C16" s="55" t="n"/>
      <c r="D16" s="55" t="n"/>
      <c r="E16" s="55" t="n"/>
      <c r="F16" s="55" t="n"/>
      <c r="G16" s="55" t="n"/>
      <c r="H16" s="55" t="n"/>
      <c r="I16" s="55" t="n"/>
      <c r="J16" s="55" t="n"/>
      <c r="K16" s="51" t="inlineStr">
        <is>
          <t>42700</t>
        </is>
      </c>
      <c r="L16" s="51" t="inlineStr">
        <is>
          <t>Conference Call Charge</t>
        </is>
      </c>
      <c r="M16" s="55" t="n"/>
      <c r="N16" s="52" t="n">
        <v>45473</v>
      </c>
      <c r="O16" s="55" t="n"/>
      <c r="P16" s="51" t="inlineStr">
        <is>
          <t>2026021101</t>
        </is>
      </c>
      <c r="Q16" s="51" t="inlineStr">
        <is>
          <t>AusPayNet Quarterly AV Support &amp; Maintenance 2026</t>
        </is>
      </c>
      <c r="R16" s="51" t="inlineStr">
        <is>
          <t>ONSITE</t>
        </is>
      </c>
      <c r="V16" s="55" t="n"/>
      <c r="W16" s="55" t="n"/>
      <c r="Y16" s="54">
        <f>EOMONTH($U$12,11)</f>
        <v/>
      </c>
    </row>
    <row r="17">
      <c r="A17" s="55" t="n"/>
      <c r="B17" s="55" t="n"/>
      <c r="C17" s="55" t="n"/>
      <c r="D17" s="55" t="n"/>
      <c r="E17" s="55" t="n"/>
      <c r="F17" s="55" t="n"/>
      <c r="G17" s="55" t="n"/>
      <c r="H17" s="55" t="n"/>
      <c r="I17" s="55" t="n"/>
      <c r="J17" s="55" t="n"/>
      <c r="K17" s="51" t="inlineStr">
        <is>
          <t>42800</t>
        </is>
      </c>
      <c r="L17" s="51" t="inlineStr">
        <is>
          <t>Tech Consulting/Project Manage</t>
        </is>
      </c>
      <c r="M17" s="55" t="n"/>
      <c r="N17" s="52" t="n">
        <v>45504</v>
      </c>
      <c r="O17" s="55" t="n"/>
      <c r="P17" s="51" t="inlineStr">
        <is>
          <t>20260801</t>
        </is>
      </c>
      <c r="Q17" s="51" t="inlineStr">
        <is>
          <t>CTS Day 2026</t>
        </is>
      </c>
      <c r="R17" s="51" t="inlineStr">
        <is>
          <t>CTS</t>
        </is>
      </c>
      <c r="V17" s="55" t="n"/>
      <c r="W17" s="55" t="n"/>
    </row>
    <row r="18">
      <c r="A18" s="55" t="n"/>
      <c r="B18" s="55" t="n"/>
      <c r="C18" s="55" t="n"/>
      <c r="D18" s="55" t="n"/>
      <c r="E18" s="55" t="n"/>
      <c r="F18" s="55" t="n"/>
      <c r="G18" s="55" t="n"/>
      <c r="H18" s="55" t="n"/>
      <c r="I18" s="55" t="n"/>
      <c r="J18" s="55" t="n"/>
      <c r="K18" s="51" t="inlineStr">
        <is>
          <t>42900</t>
        </is>
      </c>
      <c r="L18" s="51" t="inlineStr">
        <is>
          <t>Tech Event Management</t>
        </is>
      </c>
      <c r="M18" s="55" t="n"/>
      <c r="N18" s="52" t="n">
        <v>45535</v>
      </c>
      <c r="O18" s="55" t="n"/>
      <c r="P18" s="51" t="inlineStr">
        <is>
          <t>2192</t>
        </is>
      </c>
      <c r="Q18" s="51" t="inlineStr">
        <is>
          <t>Bankwest Additional Tech</t>
        </is>
      </c>
      <c r="R18" s="51" t="inlineStr">
        <is>
          <t>ONSITE</t>
        </is>
      </c>
      <c r="V18" s="55" t="n"/>
      <c r="W18" s="55" t="n"/>
    </row>
    <row r="19">
      <c r="A19" s="55" t="n"/>
      <c r="B19" s="55" t="n"/>
      <c r="C19" s="55" t="n"/>
      <c r="D19" s="55" t="n"/>
      <c r="E19" s="55" t="n"/>
      <c r="F19" s="55" t="n"/>
      <c r="G19" s="55" t="n"/>
      <c r="H19" s="55" t="n"/>
      <c r="I19" s="55" t="n"/>
      <c r="J19" s="55" t="n"/>
      <c r="K19" s="51" t="inlineStr">
        <is>
          <t>44100</t>
        </is>
      </c>
      <c r="L19" s="51" t="inlineStr">
        <is>
          <t>Opening Work in Progress</t>
        </is>
      </c>
      <c r="M19" s="55" t="n"/>
      <c r="N19" s="52" t="n">
        <v>45565</v>
      </c>
      <c r="O19" s="55" t="n"/>
      <c r="P19" s="51" t="inlineStr">
        <is>
          <t>2347</t>
        </is>
      </c>
      <c r="Q19" s="51" t="inlineStr">
        <is>
          <t>DTTL Dedicated Tech</t>
        </is>
      </c>
      <c r="R19" s="51" t="inlineStr">
        <is>
          <t>ONSITE</t>
        </is>
      </c>
      <c r="V19" s="55" t="n"/>
      <c r="W19" s="55" t="n"/>
    </row>
    <row r="20">
      <c r="A20" s="55" t="n"/>
      <c r="B20" s="55" t="n"/>
      <c r="C20" s="55" t="n"/>
      <c r="D20" s="55" t="n"/>
      <c r="E20" s="55" t="n"/>
      <c r="F20" s="55" t="n"/>
      <c r="G20" s="55" t="n"/>
      <c r="H20" s="55" t="n"/>
      <c r="I20" s="55" t="n"/>
      <c r="J20" s="55" t="n"/>
      <c r="K20" s="51" t="inlineStr">
        <is>
          <t>44200</t>
        </is>
      </c>
      <c r="L20" s="51" t="inlineStr">
        <is>
          <t>Closing Work in Progress</t>
        </is>
      </c>
      <c r="M20" s="55" t="n"/>
      <c r="N20" s="52" t="n">
        <v>45596</v>
      </c>
      <c r="O20" s="55" t="n"/>
      <c r="P20" s="51" t="inlineStr">
        <is>
          <t>2392</t>
        </is>
      </c>
      <c r="Q20" s="51" t="inlineStr">
        <is>
          <t>PWC – MEL Technician</t>
        </is>
      </c>
      <c r="R20" s="51" t="inlineStr">
        <is>
          <t>ONSITE</t>
        </is>
      </c>
      <c r="V20" s="55" t="n"/>
      <c r="W20" s="55" t="n"/>
    </row>
    <row r="21">
      <c r="A21" s="55" t="n"/>
      <c r="B21" s="55" t="n"/>
      <c r="C21" s="55" t="n"/>
      <c r="D21" s="55" t="n"/>
      <c r="E21" s="55" t="n"/>
      <c r="F21" s="55" t="n"/>
      <c r="G21" s="55" t="n"/>
      <c r="H21" s="55" t="n"/>
      <c r="I21" s="55" t="n"/>
      <c r="J21" s="55" t="n"/>
      <c r="K21" s="51" t="inlineStr">
        <is>
          <t>45005</t>
        </is>
      </c>
      <c r="L21" s="51" t="inlineStr">
        <is>
          <t>Freight &amp; Travel - ADMIN</t>
        </is>
      </c>
      <c r="M21" s="55" t="n"/>
      <c r="N21" s="52" t="n">
        <v>45626</v>
      </c>
      <c r="O21" s="55" t="n"/>
      <c r="P21" s="51" t="inlineStr">
        <is>
          <t>2402</t>
        </is>
      </c>
      <c r="Q21" s="51" t="inlineStr">
        <is>
          <t>DTTL SYD FT Tech 1</t>
        </is>
      </c>
      <c r="R21" s="51" t="inlineStr">
        <is>
          <t>ONSITE</t>
        </is>
      </c>
      <c r="V21" s="55" t="n"/>
      <c r="W21" s="55" t="n"/>
    </row>
    <row r="22">
      <c r="A22" s="55" t="n"/>
      <c r="B22" s="55" t="n"/>
      <c r="C22" s="55" t="n"/>
      <c r="D22" s="55" t="n"/>
      <c r="E22" s="55" t="n"/>
      <c r="F22" s="55" t="n"/>
      <c r="G22" s="55" t="n"/>
      <c r="H22" s="55" t="n"/>
      <c r="I22" s="55" t="n"/>
      <c r="J22" s="55" t="n"/>
      <c r="K22" s="51" t="inlineStr">
        <is>
          <t>45010</t>
        </is>
      </c>
      <c r="L22" s="51" t="inlineStr">
        <is>
          <t>Freight &amp; Travel - ONS</t>
        </is>
      </c>
      <c r="M22" s="55" t="n"/>
      <c r="N22" s="52" t="n">
        <v>45657</v>
      </c>
      <c r="O22" s="55" t="n"/>
      <c r="P22" s="51" t="inlineStr">
        <is>
          <t>2407312</t>
        </is>
      </c>
      <c r="Q22" s="51" t="inlineStr">
        <is>
          <t>Hills Performance Centre</t>
        </is>
      </c>
      <c r="R22" s="51" t="inlineStr">
        <is>
          <t>CONSULTING</t>
        </is>
      </c>
      <c r="V22" s="55" t="n"/>
      <c r="W22" s="55" t="n"/>
    </row>
    <row r="23">
      <c r="A23" s="55" t="n"/>
      <c r="B23" s="55" t="n"/>
      <c r="C23" s="55" t="n"/>
      <c r="D23" s="55" t="n"/>
      <c r="E23" s="55" t="n"/>
      <c r="F23" s="55" t="n"/>
      <c r="G23" s="55" t="n"/>
      <c r="H23" s="55" t="n"/>
      <c r="I23" s="55" t="n"/>
      <c r="J23" s="55" t="n"/>
      <c r="K23" s="51" t="inlineStr">
        <is>
          <t>45015</t>
        </is>
      </c>
      <c r="L23" s="51" t="inlineStr">
        <is>
          <t>Freight &amp; Travel - PRD</t>
        </is>
      </c>
      <c r="M23" s="55" t="n"/>
      <c r="N23" s="52" t="n">
        <v>45688</v>
      </c>
      <c r="O23" s="55" t="n"/>
      <c r="P23" s="51" t="inlineStr">
        <is>
          <t>24102501</t>
        </is>
      </c>
      <c r="Q23" s="51" t="inlineStr">
        <is>
          <t>PWC - MEL Tech 12Months</t>
        </is>
      </c>
      <c r="R23" s="51" t="inlineStr">
        <is>
          <t>ONSITE</t>
        </is>
      </c>
      <c r="V23" s="55" t="n"/>
      <c r="W23" s="55" t="n"/>
    </row>
    <row r="24">
      <c r="A24" s="55" t="n"/>
      <c r="B24" s="55" t="n"/>
      <c r="C24" s="55" t="n"/>
      <c r="D24" s="55" t="n"/>
      <c r="E24" s="55" t="n"/>
      <c r="F24" s="55" t="n"/>
      <c r="G24" s="55" t="n"/>
      <c r="H24" s="55" t="n"/>
      <c r="I24" s="55" t="n"/>
      <c r="J24" s="55" t="n"/>
      <c r="K24" s="51" t="inlineStr">
        <is>
          <t>45020</t>
        </is>
      </c>
      <c r="L24" s="51" t="inlineStr">
        <is>
          <t>Freight &amp; Travel - VID</t>
        </is>
      </c>
      <c r="M24" s="55" t="n"/>
      <c r="N24" s="52" t="n">
        <v>45716</v>
      </c>
      <c r="O24" s="55" t="n"/>
      <c r="P24" s="51" t="inlineStr">
        <is>
          <t>24121001</t>
        </is>
      </c>
      <c r="Q24" s="51" t="inlineStr">
        <is>
          <t>BW PER Studio Equipment Supply</t>
        </is>
      </c>
      <c r="R24" s="51" t="inlineStr">
        <is>
          <t>INTEGRATION</t>
        </is>
      </c>
      <c r="V24" s="55" t="n"/>
      <c r="W24" s="55" t="n"/>
    </row>
    <row r="25">
      <c r="A25" s="55" t="n"/>
      <c r="B25" s="55" t="n"/>
      <c r="C25" s="55" t="n"/>
      <c r="D25" s="55" t="n"/>
      <c r="E25" s="55" t="n"/>
      <c r="F25" s="55" t="n"/>
      <c r="G25" s="55" t="n"/>
      <c r="H25" s="55" t="n"/>
      <c r="I25" s="55" t="n"/>
      <c r="J25" s="55" t="n"/>
      <c r="K25" s="51" t="inlineStr">
        <is>
          <t>45025</t>
        </is>
      </c>
      <c r="L25" s="51" t="inlineStr">
        <is>
          <t>Freight &amp; Travel - INTEGRATION</t>
        </is>
      </c>
      <c r="M25" s="55" t="n"/>
      <c r="N25" s="52" t="n">
        <v>45747</v>
      </c>
      <c r="O25" s="55" t="n"/>
      <c r="P25" s="51" t="inlineStr">
        <is>
          <t>2479</t>
        </is>
      </c>
      <c r="Q25" s="51" t="inlineStr">
        <is>
          <t>CONSULTING - Quotes</t>
        </is>
      </c>
      <c r="R25" s="51" t="inlineStr">
        <is>
          <t>CONSULTING</t>
        </is>
      </c>
      <c r="V25" s="55" t="n"/>
      <c r="W25" s="55" t="n"/>
    </row>
    <row r="26">
      <c r="A26" s="55" t="n"/>
      <c r="B26" s="55" t="n"/>
      <c r="C26" s="55" t="n"/>
      <c r="D26" s="55" t="n"/>
      <c r="E26" s="55" t="n"/>
      <c r="F26" s="55" t="n"/>
      <c r="G26" s="55" t="n"/>
      <c r="H26" s="55" t="n"/>
      <c r="I26" s="55" t="n"/>
      <c r="J26" s="55" t="n"/>
      <c r="K26" s="51" t="inlineStr">
        <is>
          <t>45030</t>
        </is>
      </c>
      <c r="L26" s="51" t="inlineStr">
        <is>
          <t>Freight &amp; Travel - CONS</t>
        </is>
      </c>
      <c r="M26" s="55" t="n"/>
      <c r="N26" s="52" t="n">
        <v>45777</v>
      </c>
      <c r="O26" s="55" t="n"/>
      <c r="P26" s="51" t="inlineStr">
        <is>
          <t>2480</t>
        </is>
      </c>
      <c r="Q26" s="51" t="inlineStr">
        <is>
          <t>ONSITE - Quotes</t>
        </is>
      </c>
      <c r="R26" s="51" t="inlineStr">
        <is>
          <t>ONSITE</t>
        </is>
      </c>
      <c r="V26" s="55" t="n"/>
      <c r="W26" s="55" t="n"/>
    </row>
    <row r="27">
      <c r="A27" s="55" t="n"/>
      <c r="B27" s="55" t="n"/>
      <c r="C27" s="55" t="n"/>
      <c r="D27" s="55" t="n"/>
      <c r="E27" s="55" t="n"/>
      <c r="F27" s="55" t="n"/>
      <c r="G27" s="55" t="n"/>
      <c r="H27" s="55" t="n"/>
      <c r="I27" s="55" t="n"/>
      <c r="J27" s="55" t="n"/>
      <c r="K27" s="51" t="inlineStr">
        <is>
          <t>46005</t>
        </is>
      </c>
      <c r="L27" s="51" t="inlineStr">
        <is>
          <t>Credit Card Fees - ADMIN</t>
        </is>
      </c>
      <c r="M27" s="55" t="n"/>
      <c r="N27" s="52" t="n">
        <v>45808</v>
      </c>
      <c r="O27" s="55" t="n"/>
      <c r="P27" s="51" t="inlineStr">
        <is>
          <t>2481</t>
        </is>
      </c>
      <c r="Q27" s="51" t="inlineStr">
        <is>
          <t>Production - Quotes</t>
        </is>
      </c>
      <c r="R27" s="51" t="inlineStr">
        <is>
          <t>PRODUCTION</t>
        </is>
      </c>
      <c r="V27" s="55" t="n"/>
      <c r="W27" s="55" t="n"/>
    </row>
    <row r="28">
      <c r="A28" s="55" t="n"/>
      <c r="B28" s="55" t="n"/>
      <c r="C28" s="55" t="n"/>
      <c r="D28" s="55" t="n"/>
      <c r="E28" s="55" t="n"/>
      <c r="F28" s="55" t="n"/>
      <c r="G28" s="55" t="n"/>
      <c r="H28" s="55" t="n"/>
      <c r="I28" s="55" t="n"/>
      <c r="J28" s="55" t="n"/>
      <c r="K28" s="51" t="inlineStr">
        <is>
          <t>46010</t>
        </is>
      </c>
      <c r="L28" s="51" t="inlineStr">
        <is>
          <t>Credit Card Collected - ONS</t>
        </is>
      </c>
      <c r="M28" s="55" t="n"/>
      <c r="N28" s="52" t="n">
        <v>45838</v>
      </c>
      <c r="O28" s="55" t="n"/>
      <c r="P28" s="51" t="inlineStr">
        <is>
          <t>2482</t>
        </is>
      </c>
      <c r="Q28" s="51" t="inlineStr">
        <is>
          <t>VIDEO - Quotes</t>
        </is>
      </c>
      <c r="R28" s="51" t="inlineStr">
        <is>
          <t>VIDEO</t>
        </is>
      </c>
      <c r="V28" s="55" t="n"/>
      <c r="W28" s="55" t="n"/>
    </row>
    <row r="29">
      <c r="A29" s="55" t="n"/>
      <c r="B29" s="55" t="n"/>
      <c r="C29" s="55" t="n"/>
      <c r="D29" s="55" t="n"/>
      <c r="E29" s="55" t="n"/>
      <c r="F29" s="55" t="n"/>
      <c r="G29" s="55" t="n"/>
      <c r="H29" s="55" t="n"/>
      <c r="I29" s="55" t="n"/>
      <c r="J29" s="55" t="n"/>
      <c r="K29" s="51" t="inlineStr">
        <is>
          <t>46015</t>
        </is>
      </c>
      <c r="L29" s="51" t="inlineStr">
        <is>
          <t>Credit Card Collected - PRD</t>
        </is>
      </c>
      <c r="M29" s="55" t="n"/>
      <c r="N29" s="52" t="n">
        <v>45869</v>
      </c>
      <c r="O29" s="55" t="n"/>
      <c r="P29" s="51" t="inlineStr">
        <is>
          <t>2488</t>
        </is>
      </c>
      <c r="Q29" s="51" t="inlineStr">
        <is>
          <t>PWC IT P/T BNE</t>
        </is>
      </c>
      <c r="R29" s="51" t="inlineStr">
        <is>
          <t>ONSITE</t>
        </is>
      </c>
      <c r="V29" s="55" t="n"/>
      <c r="W29" s="55" t="n"/>
    </row>
    <row r="30">
      <c r="A30" s="55" t="n"/>
      <c r="B30" s="55" t="n"/>
      <c r="C30" s="55" t="n"/>
      <c r="D30" s="55" t="n"/>
      <c r="E30" s="55" t="n"/>
      <c r="F30" s="55" t="n"/>
      <c r="G30" s="55" t="n"/>
      <c r="H30" s="55" t="n"/>
      <c r="I30" s="55" t="n"/>
      <c r="J30" s="55" t="n"/>
      <c r="K30" s="51" t="inlineStr">
        <is>
          <t>46020</t>
        </is>
      </c>
      <c r="L30" s="51" t="inlineStr">
        <is>
          <t>Credit Card Collected - VID</t>
        </is>
      </c>
      <c r="M30" s="55" t="n"/>
      <c r="N30" s="52" t="n">
        <v>45900</v>
      </c>
      <c r="O30" s="55" t="n"/>
      <c r="P30" s="51" t="inlineStr">
        <is>
          <t>25011601</t>
        </is>
      </c>
      <c r="Q30" s="51" t="inlineStr">
        <is>
          <t>DTTL Hobart ITS AV Ref</t>
        </is>
      </c>
      <c r="R30" s="51" t="inlineStr">
        <is>
          <t>INTEGRATION</t>
        </is>
      </c>
      <c r="V30" s="55" t="n"/>
      <c r="W30" s="55" t="n"/>
    </row>
    <row r="31">
      <c r="A31" s="55" t="n"/>
      <c r="B31" s="55" t="n"/>
      <c r="C31" s="55" t="n"/>
      <c r="D31" s="55" t="n"/>
      <c r="E31" s="55" t="n"/>
      <c r="F31" s="55" t="n"/>
      <c r="G31" s="55" t="n"/>
      <c r="H31" s="55" t="n"/>
      <c r="I31" s="55" t="n"/>
      <c r="J31" s="55" t="n"/>
      <c r="K31" s="51" t="inlineStr">
        <is>
          <t>46025</t>
        </is>
      </c>
      <c r="L31" s="51" t="inlineStr">
        <is>
          <t>Credit Card Collected - INTEGRATION</t>
        </is>
      </c>
      <c r="M31" s="55" t="n"/>
      <c r="N31" s="52" t="n">
        <v>45930</v>
      </c>
      <c r="O31" s="55" t="n"/>
      <c r="P31" s="51" t="inlineStr">
        <is>
          <t>2501738</t>
        </is>
      </c>
      <c r="Q31" s="51" t="inlineStr">
        <is>
          <t>APA HYR25 &amp; FYR25</t>
        </is>
      </c>
      <c r="R31" s="51" t="inlineStr">
        <is>
          <t>PRODUCTION</t>
        </is>
      </c>
      <c r="V31" s="55" t="n"/>
      <c r="W31" s="55" t="n"/>
    </row>
    <row r="32">
      <c r="A32" s="55" t="n"/>
      <c r="B32" s="55" t="n"/>
      <c r="C32" s="55" t="n"/>
      <c r="D32" s="55" t="n"/>
      <c r="E32" s="55" t="n"/>
      <c r="F32" s="55" t="n"/>
      <c r="G32" s="55" t="n"/>
      <c r="H32" s="55" t="n"/>
      <c r="I32" s="55" t="n"/>
      <c r="J32" s="55" t="n"/>
      <c r="K32" s="51" t="inlineStr">
        <is>
          <t>46030</t>
        </is>
      </c>
      <c r="L32" s="51" t="inlineStr">
        <is>
          <t>Credit Card Collected - CONS</t>
        </is>
      </c>
      <c r="M32" s="55" t="n"/>
      <c r="N32" s="52" t="n">
        <v>45961</v>
      </c>
      <c r="O32" s="55" t="n"/>
      <c r="P32" s="51" t="inlineStr">
        <is>
          <t>2502</t>
        </is>
      </c>
      <c r="Q32" s="51" t="inlineStr">
        <is>
          <t>ONS CBA (non-chargeable)</t>
        </is>
      </c>
      <c r="R32" s="59" t="n"/>
      <c r="V32" s="55" t="n"/>
      <c r="W32" s="55" t="n"/>
    </row>
    <row r="33">
      <c r="A33" s="55" t="n"/>
      <c r="B33" s="55" t="n"/>
      <c r="C33" s="55" t="n"/>
      <c r="D33" s="55" t="n"/>
      <c r="E33" s="55" t="n"/>
      <c r="F33" s="55" t="n"/>
      <c r="G33" s="55" t="n"/>
      <c r="H33" s="55" t="n"/>
      <c r="I33" s="55" t="n"/>
      <c r="J33" s="55" t="n"/>
      <c r="K33" s="51" t="inlineStr">
        <is>
          <t>47005</t>
        </is>
      </c>
      <c r="L33" s="51" t="inlineStr">
        <is>
          <t>Meal &amp; Travel - ADMIN</t>
        </is>
      </c>
      <c r="M33" s="55" t="n"/>
      <c r="N33" s="52" t="n">
        <v>45991</v>
      </c>
      <c r="O33" s="55" t="n"/>
      <c r="P33" s="51" t="inlineStr">
        <is>
          <t>25021901</t>
        </is>
      </c>
      <c r="Q33" s="51" t="inlineStr">
        <is>
          <t>DAFF Technology Standard</t>
        </is>
      </c>
      <c r="R33" s="51" t="inlineStr">
        <is>
          <t>CONSULTING</t>
        </is>
      </c>
      <c r="V33" s="55" t="n"/>
      <c r="W33" s="55" t="n"/>
    </row>
    <row r="34">
      <c r="A34" s="55" t="n"/>
      <c r="B34" s="55" t="n"/>
      <c r="C34" s="55" t="n"/>
      <c r="D34" s="55" t="n"/>
      <c r="E34" s="55" t="n"/>
      <c r="F34" s="55" t="n"/>
      <c r="G34" s="55" t="n"/>
      <c r="H34" s="55" t="n"/>
      <c r="I34" s="55" t="n"/>
      <c r="J34" s="55" t="n"/>
      <c r="K34" s="51" t="inlineStr">
        <is>
          <t>47010</t>
        </is>
      </c>
      <c r="L34" s="51" t="inlineStr">
        <is>
          <t>Meal &amp; Travel - ONS</t>
        </is>
      </c>
      <c r="M34" s="55" t="n"/>
      <c r="N34" s="52" t="n">
        <v>46022</v>
      </c>
      <c r="O34" s="55" t="n"/>
      <c r="P34" s="51" t="inlineStr">
        <is>
          <t>2503</t>
        </is>
      </c>
      <c r="Q34" s="51" t="inlineStr">
        <is>
          <t>ONS DTTL (non-chargeable)</t>
        </is>
      </c>
      <c r="R34" s="59" t="n"/>
      <c r="V34" s="55" t="n"/>
      <c r="W34" s="55" t="n"/>
    </row>
    <row r="35">
      <c r="A35" s="55" t="n"/>
      <c r="B35" s="55" t="n"/>
      <c r="C35" s="55" t="n"/>
      <c r="D35" s="55" t="n"/>
      <c r="E35" s="55" t="n"/>
      <c r="F35" s="55" t="n"/>
      <c r="G35" s="55" t="n"/>
      <c r="H35" s="55" t="n"/>
      <c r="I35" s="55" t="n"/>
      <c r="J35" s="55" t="n"/>
      <c r="K35" s="51" t="inlineStr">
        <is>
          <t>47015</t>
        </is>
      </c>
      <c r="L35" s="51" t="inlineStr">
        <is>
          <t>Meal &amp; Travel - PRD</t>
        </is>
      </c>
      <c r="M35" s="55" t="n"/>
      <c r="N35" s="52" t="n">
        <v>46053</v>
      </c>
      <c r="O35" s="55" t="n"/>
      <c r="P35" s="51" t="inlineStr">
        <is>
          <t>25032701</t>
        </is>
      </c>
      <c r="Q35" s="51" t="inlineStr">
        <is>
          <t>St Catherines Chargeable</t>
        </is>
      </c>
      <c r="R35" s="51" t="inlineStr">
        <is>
          <t>ONSITE</t>
        </is>
      </c>
      <c r="V35" s="55" t="n"/>
      <c r="W35" s="55" t="n"/>
    </row>
    <row r="36">
      <c r="A36" s="55" t="n"/>
      <c r="B36" s="55" t="n"/>
      <c r="C36" s="55" t="n"/>
      <c r="D36" s="55" t="n"/>
      <c r="E36" s="55" t="n"/>
      <c r="F36" s="55" t="n"/>
      <c r="G36" s="55" t="n"/>
      <c r="H36" s="55" t="n"/>
      <c r="I36" s="55" t="n"/>
      <c r="J36" s="55" t="n"/>
      <c r="K36" s="51" t="inlineStr">
        <is>
          <t>47020</t>
        </is>
      </c>
      <c r="L36" s="51" t="inlineStr">
        <is>
          <t>Meal &amp; Travel - VID</t>
        </is>
      </c>
      <c r="M36" s="55" t="n"/>
      <c r="N36" s="52" t="n">
        <v>46081</v>
      </c>
      <c r="O36" s="55" t="n"/>
      <c r="P36" s="51" t="inlineStr">
        <is>
          <t>25032701NC</t>
        </is>
      </c>
      <c r="Q36" s="51" t="inlineStr">
        <is>
          <t>St Catherines Non-Chgble</t>
        </is>
      </c>
      <c r="R36" s="51" t="inlineStr">
        <is>
          <t>ONSITE</t>
        </is>
      </c>
      <c r="V36" s="55" t="n"/>
      <c r="W36" s="55" t="n"/>
    </row>
    <row r="37">
      <c r="A37" s="55" t="n"/>
      <c r="B37" s="55" t="n"/>
      <c r="C37" s="55" t="n"/>
      <c r="D37" s="55" t="n"/>
      <c r="E37" s="55" t="n"/>
      <c r="F37" s="55" t="n"/>
      <c r="G37" s="55" t="n"/>
      <c r="H37" s="55" t="n"/>
      <c r="I37" s="55" t="n"/>
      <c r="J37" s="55" t="n"/>
      <c r="K37" s="51" t="inlineStr">
        <is>
          <t>47025</t>
        </is>
      </c>
      <c r="L37" s="51" t="inlineStr">
        <is>
          <t>Meal &amp; Travel - INTEGRATION</t>
        </is>
      </c>
      <c r="M37" s="55" t="n"/>
      <c r="N37" s="52" t="n">
        <v>46112</v>
      </c>
      <c r="O37" s="55" t="n"/>
      <c r="P37" s="51" t="inlineStr">
        <is>
          <t>2504</t>
        </is>
      </c>
      <c r="Q37" s="51" t="inlineStr">
        <is>
          <t>ONS WBC (non-chargeable)</t>
        </is>
      </c>
      <c r="R37" s="59" t="n"/>
      <c r="V37" s="55" t="n"/>
      <c r="W37" s="55" t="n"/>
    </row>
    <row r="38">
      <c r="A38" s="55" t="n"/>
      <c r="B38" s="55" t="n"/>
      <c r="C38" s="55" t="n"/>
      <c r="D38" s="55" t="n"/>
      <c r="E38" s="55" t="n"/>
      <c r="F38" s="55" t="n"/>
      <c r="G38" s="55" t="n"/>
      <c r="H38" s="55" t="n"/>
      <c r="I38" s="55" t="n"/>
      <c r="J38" s="55" t="n"/>
      <c r="K38" s="51" t="inlineStr">
        <is>
          <t>47030</t>
        </is>
      </c>
      <c r="L38" s="51" t="inlineStr">
        <is>
          <t>Meal &amp; Travel - CONS</t>
        </is>
      </c>
      <c r="M38" s="55" t="n"/>
      <c r="N38" s="52" t="n">
        <v>46142</v>
      </c>
      <c r="O38" s="55" t="n"/>
      <c r="P38" s="51" t="inlineStr">
        <is>
          <t>25041502</t>
        </is>
      </c>
      <c r="Q38" s="51" t="inlineStr">
        <is>
          <t>PDNSW DB License Ext</t>
        </is>
      </c>
      <c r="R38" s="51" t="inlineStr">
        <is>
          <t>INTEGRATION</t>
        </is>
      </c>
      <c r="V38" s="55" t="n"/>
      <c r="W38" s="55" t="n"/>
    </row>
    <row r="39">
      <c r="A39" s="55" t="n"/>
      <c r="B39" s="55" t="n"/>
      <c r="C39" s="55" t="n"/>
      <c r="D39" s="55" t="n"/>
      <c r="E39" s="55" t="n"/>
      <c r="F39" s="55" t="n"/>
      <c r="G39" s="55" t="n"/>
      <c r="H39" s="55" t="n"/>
      <c r="I39" s="55" t="n"/>
      <c r="J39" s="55" t="n"/>
      <c r="K39" s="51" t="inlineStr">
        <is>
          <t>48000</t>
        </is>
      </c>
      <c r="L39" s="51" t="inlineStr">
        <is>
          <t>Miscellaneous Income</t>
        </is>
      </c>
      <c r="M39" s="55" t="n"/>
      <c r="N39" s="52" t="n">
        <v>46173</v>
      </c>
      <c r="O39" s="55" t="n"/>
      <c r="P39" s="51" t="inlineStr">
        <is>
          <t>2505</t>
        </is>
      </c>
      <c r="Q39" s="51" t="inlineStr">
        <is>
          <t>ONS PWC (non-chargeable)</t>
        </is>
      </c>
      <c r="R39" s="59" t="n"/>
      <c r="V39" s="55" t="n"/>
      <c r="W39" s="55" t="n"/>
    </row>
    <row r="40">
      <c r="A40" s="55" t="n"/>
      <c r="B40" s="55" t="n"/>
      <c r="C40" s="55" t="n"/>
      <c r="D40" s="55" t="n"/>
      <c r="E40" s="55" t="n"/>
      <c r="F40" s="55" t="n"/>
      <c r="G40" s="55" t="n"/>
      <c r="H40" s="55" t="n"/>
      <c r="I40" s="55" t="n"/>
      <c r="J40" s="55" t="n"/>
      <c r="K40" s="55" t="n"/>
      <c r="L40" s="55" t="n"/>
      <c r="M40" s="55" t="n"/>
      <c r="N40" s="52" t="n">
        <v>46203</v>
      </c>
      <c r="O40" s="55" t="n"/>
      <c r="P40" s="51" t="inlineStr">
        <is>
          <t>25051302</t>
        </is>
      </c>
      <c r="Q40" s="51" t="inlineStr">
        <is>
          <t>NSW Prop Bradfield Desk Booking + Penrith Additional</t>
        </is>
      </c>
      <c r="R40" s="51" t="inlineStr">
        <is>
          <t>INTEGRATION</t>
        </is>
      </c>
      <c r="V40" s="55" t="n"/>
      <c r="W40" s="55" t="n"/>
    </row>
    <row r="41">
      <c r="A41" s="55" t="n"/>
      <c r="B41" s="55" t="n"/>
      <c r="C41" s="55" t="n"/>
      <c r="D41" s="55" t="n"/>
      <c r="E41" s="55" t="n"/>
      <c r="F41" s="55" t="n"/>
      <c r="G41" s="55" t="n"/>
      <c r="H41" s="55" t="n"/>
      <c r="I41" s="55" t="n"/>
      <c r="J41" s="55" t="n"/>
      <c r="K41" s="55" t="n"/>
      <c r="L41" s="55" t="n"/>
      <c r="M41" s="55" t="n"/>
      <c r="N41" s="52" t="n">
        <v>46234</v>
      </c>
      <c r="O41" s="55" t="n"/>
      <c r="P41" s="51" t="inlineStr">
        <is>
          <t>25051403</t>
        </is>
      </c>
      <c r="Q41" s="51" t="inlineStr">
        <is>
          <t>DTTL SYD Tech Supp TMT AP</t>
        </is>
      </c>
      <c r="R41" s="51" t="inlineStr">
        <is>
          <t>ONSITE</t>
        </is>
      </c>
      <c r="V41" s="55" t="n"/>
      <c r="W41" s="55" t="n"/>
    </row>
    <row r="42">
      <c r="A42" s="55" t="n"/>
      <c r="B42" s="55" t="n"/>
      <c r="C42" s="55" t="n"/>
      <c r="D42" s="55" t="n"/>
      <c r="E42" s="55" t="n"/>
      <c r="F42" s="55" t="n"/>
      <c r="G42" s="55" t="n"/>
      <c r="H42" s="55" t="n"/>
      <c r="I42" s="55" t="n"/>
      <c r="J42" s="55" t="n"/>
      <c r="K42" s="55" t="n"/>
      <c r="L42" s="55" t="n"/>
      <c r="M42" s="55" t="n"/>
      <c r="N42" s="52" t="n">
        <v>46265</v>
      </c>
      <c r="O42" s="55" t="n"/>
      <c r="P42" s="51" t="inlineStr">
        <is>
          <t>25052802</t>
        </is>
      </c>
      <c r="Q42" s="51" t="inlineStr">
        <is>
          <t>Aus Retirement Trust Members Meeting 2025</t>
        </is>
      </c>
      <c r="R42" s="51" t="inlineStr">
        <is>
          <t>PRODUCTION</t>
        </is>
      </c>
      <c r="V42" s="55" t="n"/>
      <c r="W42" s="55" t="n"/>
    </row>
    <row r="43">
      <c r="A43" s="55" t="n"/>
      <c r="B43" s="55" t="n"/>
      <c r="C43" s="55" t="n"/>
      <c r="D43" s="55" t="n"/>
      <c r="E43" s="55" t="n"/>
      <c r="F43" s="55" t="n"/>
      <c r="G43" s="55" t="n"/>
      <c r="H43" s="55" t="n"/>
      <c r="I43" s="55" t="n"/>
      <c r="J43" s="55" t="n"/>
      <c r="K43" s="55" t="n"/>
      <c r="L43" s="55" t="n"/>
      <c r="M43" s="55" t="n"/>
      <c r="N43" s="52" t="n">
        <v>46295</v>
      </c>
      <c r="O43" s="55" t="n"/>
      <c r="P43" s="51" t="inlineStr">
        <is>
          <t>2505901</t>
        </is>
      </c>
      <c r="Q43" s="51" t="inlineStr">
        <is>
          <t>COS Projector Lens Supply</t>
        </is>
      </c>
      <c r="R43" s="51" t="inlineStr">
        <is>
          <t>INTEGRATION</t>
        </is>
      </c>
      <c r="V43" s="55" t="n"/>
      <c r="W43" s="55" t="n"/>
    </row>
    <row r="44">
      <c r="A44" s="55" t="n"/>
      <c r="B44" s="55" t="n"/>
      <c r="C44" s="55" t="n"/>
      <c r="D44" s="55" t="n"/>
      <c r="E44" s="55" t="n"/>
      <c r="F44" s="55" t="n"/>
      <c r="G44" s="55" t="n"/>
      <c r="H44" s="55" t="n"/>
      <c r="I44" s="55" t="n"/>
      <c r="J44" s="55" t="n"/>
      <c r="K44" s="55" t="n"/>
      <c r="L44" s="55" t="n"/>
      <c r="M44" s="55" t="n"/>
      <c r="N44" s="52" t="n">
        <v>46326</v>
      </c>
      <c r="O44" s="55" t="n"/>
      <c r="P44" s="51" t="inlineStr">
        <is>
          <t>2506</t>
        </is>
      </c>
      <c r="Q44" s="51" t="inlineStr">
        <is>
          <t>ONS BWEST (non-chargeable)</t>
        </is>
      </c>
      <c r="R44" s="59" t="n"/>
      <c r="V44" s="55" t="n"/>
      <c r="W44" s="55" t="n"/>
    </row>
    <row r="45">
      <c r="A45" s="55" t="n"/>
      <c r="B45" s="55" t="n"/>
      <c r="C45" s="55" t="n"/>
      <c r="D45" s="55" t="n"/>
      <c r="E45" s="55" t="n"/>
      <c r="F45" s="55" t="n"/>
      <c r="G45" s="55" t="n"/>
      <c r="H45" s="55" t="n"/>
      <c r="I45" s="55" t="n"/>
      <c r="J45" s="55" t="n"/>
      <c r="K45" s="55" t="n"/>
      <c r="L45" s="55" t="n"/>
      <c r="M45" s="55" t="n"/>
      <c r="N45" s="52" t="n">
        <v>46356</v>
      </c>
      <c r="O45" s="55" t="n"/>
      <c r="P45" s="51" t="inlineStr">
        <is>
          <t>25060301</t>
        </is>
      </c>
      <c r="Q45" s="51" t="inlineStr">
        <is>
          <t>6PSQ L12 Desk Booking</t>
        </is>
      </c>
      <c r="R45" s="51" t="inlineStr">
        <is>
          <t>INTEGRATION</t>
        </is>
      </c>
      <c r="V45" s="55" t="n"/>
      <c r="W45" s="55" t="n"/>
    </row>
    <row r="46">
      <c r="A46" s="55" t="n"/>
      <c r="B46" s="55" t="n"/>
      <c r="C46" s="55" t="n"/>
      <c r="D46" s="55" t="n"/>
      <c r="E46" s="55" t="n"/>
      <c r="F46" s="55" t="n"/>
      <c r="G46" s="55" t="n"/>
      <c r="H46" s="55" t="n"/>
      <c r="I46" s="55" t="n"/>
      <c r="J46" s="55" t="n"/>
      <c r="K46" s="55" t="n"/>
      <c r="L46" s="55" t="n"/>
      <c r="M46" s="55" t="n"/>
      <c r="N46" s="52" t="n">
        <v>46387</v>
      </c>
      <c r="O46" s="55" t="n"/>
      <c r="P46" s="51" t="inlineStr">
        <is>
          <t>25060307</t>
        </is>
      </c>
      <c r="Q46" s="51" t="inlineStr">
        <is>
          <t>DPIE Molesworth St D/B</t>
        </is>
      </c>
      <c r="R46" s="51" t="inlineStr">
        <is>
          <t>INTEGRATION</t>
        </is>
      </c>
      <c r="V46" s="55" t="n"/>
      <c r="W46" s="55" t="n"/>
    </row>
    <row r="47">
      <c r="A47" s="55" t="n"/>
      <c r="B47" s="55" t="n"/>
      <c r="C47" s="55" t="n"/>
      <c r="D47" s="55" t="n"/>
      <c r="E47" s="55" t="n"/>
      <c r="F47" s="55" t="n"/>
      <c r="G47" s="55" t="n"/>
      <c r="H47" s="55" t="n"/>
      <c r="I47" s="55" t="n"/>
      <c r="J47" s="55" t="n"/>
      <c r="K47" s="55" t="n"/>
      <c r="L47" s="55" t="n"/>
      <c r="M47" s="55" t="n"/>
      <c r="N47" s="52" t="n">
        <v>46418</v>
      </c>
      <c r="O47" s="55" t="n"/>
      <c r="P47" s="51" t="inlineStr">
        <is>
          <t>2506208</t>
        </is>
      </c>
      <c r="Q47" s="51" t="inlineStr">
        <is>
          <t>CBA AGM 2026</t>
        </is>
      </c>
      <c r="R47" s="51" t="inlineStr">
        <is>
          <t>PRODUCTION</t>
        </is>
      </c>
      <c r="V47" s="55" t="n"/>
      <c r="W47" s="55" t="n"/>
    </row>
    <row r="48">
      <c r="A48" s="55" t="n"/>
      <c r="B48" s="55" t="n"/>
      <c r="C48" s="55" t="n"/>
      <c r="D48" s="55" t="n"/>
      <c r="E48" s="55" t="n"/>
      <c r="F48" s="55" t="n"/>
      <c r="G48" s="55" t="n"/>
      <c r="H48" s="55" t="n"/>
      <c r="I48" s="55" t="n"/>
      <c r="J48" s="55" t="n"/>
      <c r="K48" s="55" t="n"/>
      <c r="L48" s="55" t="n"/>
      <c r="M48" s="55" t="n"/>
      <c r="N48" s="52" t="n">
        <v>46446</v>
      </c>
      <c r="O48" s="55" t="n"/>
      <c r="P48" s="51" t="inlineStr">
        <is>
          <t>2506208V</t>
        </is>
      </c>
      <c r="Q48" s="51" t="inlineStr">
        <is>
          <t>CBA AGM 2026</t>
        </is>
      </c>
      <c r="R48" s="51" t="inlineStr">
        <is>
          <t>VIDEO</t>
        </is>
      </c>
      <c r="V48" s="55" t="n"/>
      <c r="W48" s="55" t="n"/>
    </row>
    <row r="49">
      <c r="A49" s="55" t="n"/>
      <c r="B49" s="55" t="n"/>
      <c r="C49" s="55" t="n"/>
      <c r="D49" s="55" t="n"/>
      <c r="E49" s="55" t="n"/>
      <c r="F49" s="55" t="n"/>
      <c r="G49" s="55" t="n"/>
      <c r="H49" s="55" t="n"/>
      <c r="I49" s="55" t="n"/>
      <c r="J49" s="55" t="n"/>
      <c r="K49" s="55" t="n"/>
      <c r="L49" s="55" t="n"/>
      <c r="M49" s="55" t="n"/>
      <c r="N49" s="52" t="n">
        <v>46477</v>
      </c>
      <c r="O49" s="55" t="n"/>
      <c r="P49" s="51" t="inlineStr">
        <is>
          <t>25063001V</t>
        </is>
      </c>
      <c r="Q49" s="51" t="inlineStr">
        <is>
          <t>APA All Hands Staff</t>
        </is>
      </c>
      <c r="R49" s="51" t="inlineStr">
        <is>
          <t>VIDEO</t>
        </is>
      </c>
      <c r="V49" s="55" t="n"/>
      <c r="W49" s="55" t="n"/>
    </row>
    <row r="50">
      <c r="A50" s="55" t="n"/>
      <c r="B50" s="55" t="n"/>
      <c r="C50" s="55" t="n"/>
      <c r="D50" s="55" t="n"/>
      <c r="E50" s="55" t="n"/>
      <c r="F50" s="55" t="n"/>
      <c r="G50" s="55" t="n"/>
      <c r="H50" s="55" t="n"/>
      <c r="I50" s="55" t="n"/>
      <c r="J50" s="55" t="n"/>
      <c r="K50" s="55" t="n"/>
      <c r="L50" s="55" t="n"/>
      <c r="M50" s="55" t="n"/>
      <c r="N50" s="52" t="n">
        <v>46507</v>
      </c>
      <c r="O50" s="55" t="n"/>
      <c r="P50" s="51" t="inlineStr">
        <is>
          <t>25070702</t>
        </is>
      </c>
      <c r="Q50" s="51" t="inlineStr">
        <is>
          <t>APA VMS Brisbane &amp; Darwin</t>
        </is>
      </c>
      <c r="R50" s="51" t="inlineStr">
        <is>
          <t>INTEGRATION</t>
        </is>
      </c>
      <c r="V50" s="55" t="n"/>
      <c r="W50" s="55" t="n"/>
    </row>
    <row r="51">
      <c r="A51" s="55" t="n"/>
      <c r="B51" s="55" t="n"/>
      <c r="C51" s="55" t="n"/>
      <c r="D51" s="55" t="n"/>
      <c r="E51" s="55" t="n"/>
      <c r="F51" s="55" t="n"/>
      <c r="G51" s="55" t="n"/>
      <c r="H51" s="55" t="n"/>
      <c r="I51" s="55" t="n"/>
      <c r="J51" s="55" t="n"/>
      <c r="K51" s="55" t="n"/>
      <c r="L51" s="55" t="n"/>
      <c r="M51" s="55" t="n"/>
      <c r="N51" s="52" t="n">
        <v>46538</v>
      </c>
      <c r="O51" s="55" t="n"/>
      <c r="P51" s="51" t="inlineStr">
        <is>
          <t>2507203</t>
        </is>
      </c>
      <c r="Q51" s="51" t="inlineStr">
        <is>
          <t>Hills Grammar Airmedia Supply</t>
        </is>
      </c>
      <c r="R51" s="51" t="inlineStr">
        <is>
          <t>INTEGRATION</t>
        </is>
      </c>
      <c r="V51" s="55" t="n"/>
      <c r="W51" s="55" t="n"/>
    </row>
    <row r="52">
      <c r="A52" s="55" t="n"/>
      <c r="B52" s="55" t="n"/>
      <c r="C52" s="55" t="n"/>
      <c r="D52" s="55" t="n"/>
      <c r="E52" s="55" t="n"/>
      <c r="F52" s="55" t="n"/>
      <c r="G52" s="55" t="n"/>
      <c r="H52" s="55" t="n"/>
      <c r="I52" s="55" t="n"/>
      <c r="J52" s="55" t="n"/>
      <c r="K52" s="55" t="n"/>
      <c r="L52" s="55" t="n"/>
      <c r="M52" s="55" t="n"/>
      <c r="N52" s="52" t="n">
        <v>46568</v>
      </c>
      <c r="O52" s="55" t="n"/>
      <c r="P52" s="51" t="inlineStr">
        <is>
          <t>25081402</t>
        </is>
      </c>
      <c r="Q52" s="51" t="inlineStr">
        <is>
          <t>Hills Grammar Loan Airmedia Purchase</t>
        </is>
      </c>
      <c r="R52" s="51" t="inlineStr">
        <is>
          <t>INTEGRATION</t>
        </is>
      </c>
      <c r="V52" s="55" t="n"/>
      <c r="W52" s="55" t="n"/>
    </row>
    <row r="53">
      <c r="A53" s="55" t="n"/>
      <c r="B53" s="55" t="n"/>
      <c r="C53" s="55" t="n"/>
      <c r="D53" s="55" t="n"/>
      <c r="E53" s="55" t="n"/>
      <c r="F53" s="55" t="n"/>
      <c r="G53" s="55" t="n"/>
      <c r="H53" s="55" t="n"/>
      <c r="I53" s="55" t="n"/>
      <c r="J53" s="55" t="n"/>
      <c r="K53" s="55" t="n"/>
      <c r="L53" s="55" t="n"/>
      <c r="M53" s="55" t="n"/>
      <c r="N53" s="52" t="n">
        <v>46599</v>
      </c>
      <c r="O53" s="55" t="n"/>
      <c r="P53" s="51" t="inlineStr">
        <is>
          <t>25082501</t>
        </is>
      </c>
      <c r="Q53" s="51" t="inlineStr">
        <is>
          <t>APA Sydney Tablet Brackets</t>
        </is>
      </c>
      <c r="R53" s="51" t="inlineStr">
        <is>
          <t>INTEGRATION</t>
        </is>
      </c>
      <c r="V53" s="55" t="n"/>
      <c r="W53" s="55" t="n"/>
    </row>
    <row r="54">
      <c r="A54" s="55" t="n"/>
      <c r="B54" s="55" t="n"/>
      <c r="C54" s="55" t="n"/>
      <c r="D54" s="55" t="n"/>
      <c r="E54" s="55" t="n"/>
      <c r="F54" s="55" t="n"/>
      <c r="G54" s="55" t="n"/>
      <c r="H54" s="55" t="n"/>
      <c r="I54" s="55" t="n"/>
      <c r="J54" s="55" t="n"/>
      <c r="K54" s="55" t="n"/>
      <c r="L54" s="55" t="n"/>
      <c r="M54" s="55" t="n"/>
      <c r="N54" s="52" t="n">
        <v>46630</v>
      </c>
      <c r="O54" s="55" t="n"/>
      <c r="P54" s="51" t="inlineStr">
        <is>
          <t>25091703</t>
        </is>
      </c>
      <c r="Q54" s="51" t="inlineStr">
        <is>
          <t>Scentre Group Marion Superscreen (D10396) Test and Cert</t>
        </is>
      </c>
      <c r="R54" s="51" t="inlineStr">
        <is>
          <t>CONSULTING</t>
        </is>
      </c>
      <c r="V54" s="55" t="n"/>
      <c r="W54" s="55" t="n"/>
    </row>
    <row r="55">
      <c r="A55" s="55" t="n"/>
      <c r="B55" s="55" t="n"/>
      <c r="C55" s="55" t="n"/>
      <c r="D55" s="55" t="n"/>
      <c r="E55" s="55" t="n"/>
      <c r="F55" s="55" t="n"/>
      <c r="G55" s="55" t="n"/>
      <c r="H55" s="55" t="n"/>
      <c r="I55" s="55" t="n"/>
      <c r="J55" s="55" t="n"/>
      <c r="K55" s="55" t="n"/>
      <c r="L55" s="55" t="n"/>
      <c r="M55" s="55" t="n"/>
      <c r="N55" s="52" t="n">
        <v>46660</v>
      </c>
      <c r="O55" s="55" t="n"/>
      <c r="P55" s="51" t="inlineStr">
        <is>
          <t>25101301</t>
        </is>
      </c>
      <c r="Q55" s="51" t="inlineStr">
        <is>
          <t>PWC IT Support – Melbourne</t>
        </is>
      </c>
      <c r="R55" s="51" t="inlineStr">
        <is>
          <t>ONSITE</t>
        </is>
      </c>
      <c r="V55" s="55" t="n"/>
      <c r="W55" s="55" t="n"/>
    </row>
    <row r="56">
      <c r="A56" s="55" t="n"/>
      <c r="B56" s="55" t="n"/>
      <c r="C56" s="55" t="n"/>
      <c r="D56" s="55" t="n"/>
      <c r="E56" s="55" t="n"/>
      <c r="F56" s="55" t="n"/>
      <c r="G56" s="55" t="n"/>
      <c r="H56" s="55" t="n"/>
      <c r="I56" s="55" t="n"/>
      <c r="J56" s="55" t="n"/>
      <c r="K56" s="55" t="n"/>
      <c r="L56" s="55" t="n"/>
      <c r="M56" s="55" t="n"/>
      <c r="N56" s="52" t="n">
        <v>46691</v>
      </c>
      <c r="O56" s="55" t="n"/>
      <c r="P56" s="51" t="inlineStr">
        <is>
          <t>25101301B</t>
        </is>
      </c>
      <c r="Q56" s="51" t="inlineStr">
        <is>
          <t>PWC IT Support – Sydney</t>
        </is>
      </c>
      <c r="R56" s="51" t="inlineStr">
        <is>
          <t>ONSITE</t>
        </is>
      </c>
      <c r="V56" s="55" t="n"/>
      <c r="W56" s="55" t="n"/>
    </row>
    <row r="57">
      <c r="A57" s="55" t="n"/>
      <c r="B57" s="55" t="n"/>
      <c r="C57" s="55" t="n"/>
      <c r="D57" s="55" t="n"/>
      <c r="E57" s="55" t="n"/>
      <c r="F57" s="55" t="n"/>
      <c r="G57" s="55" t="n"/>
      <c r="H57" s="55" t="n"/>
      <c r="I57" s="55" t="n"/>
      <c r="J57" s="55" t="n"/>
      <c r="K57" s="55" t="n"/>
      <c r="L57" s="55" t="n"/>
      <c r="M57" s="55" t="n"/>
      <c r="N57" s="52" t="n">
        <v>46721</v>
      </c>
      <c r="O57" s="55" t="n"/>
      <c r="P57" s="51" t="inlineStr">
        <is>
          <t>2510202</t>
        </is>
      </c>
      <c r="Q57" s="51" t="inlineStr">
        <is>
          <t>HP Poly Room Assessment</t>
        </is>
      </c>
      <c r="R57" s="51" t="inlineStr">
        <is>
          <t>CONSULTING</t>
        </is>
      </c>
      <c r="V57" s="55" t="n"/>
      <c r="W57" s="55" t="n"/>
    </row>
    <row r="58">
      <c r="A58" s="55" t="n"/>
      <c r="B58" s="55" t="n"/>
      <c r="C58" s="55" t="n"/>
      <c r="D58" s="55" t="n"/>
      <c r="E58" s="55" t="n"/>
      <c r="F58" s="55" t="n"/>
      <c r="G58" s="55" t="n"/>
      <c r="H58" s="55" t="n"/>
      <c r="I58" s="55" t="n"/>
      <c r="J58" s="55" t="n"/>
      <c r="K58" s="55" t="n"/>
      <c r="L58" s="55" t="n"/>
      <c r="M58" s="55" t="n"/>
      <c r="N58" s="52" t="n">
        <v>46752</v>
      </c>
      <c r="O58" s="55" t="n"/>
      <c r="P58" s="51" t="inlineStr">
        <is>
          <t>2510205</t>
        </is>
      </c>
      <c r="Q58" s="51" t="inlineStr">
        <is>
          <t>NSW Property RGB Desk Booking</t>
        </is>
      </c>
      <c r="R58" s="51" t="inlineStr">
        <is>
          <t>INTEGRATION</t>
        </is>
      </c>
      <c r="V58" s="55" t="n"/>
      <c r="W58" s="55" t="n"/>
    </row>
    <row r="59">
      <c r="A59" s="55" t="n"/>
      <c r="B59" s="55" t="n"/>
      <c r="C59" s="55" t="n"/>
      <c r="D59" s="55" t="n"/>
      <c r="E59" s="55" t="n"/>
      <c r="F59" s="55" t="n"/>
      <c r="G59" s="55" t="n"/>
      <c r="H59" s="55" t="n"/>
      <c r="I59" s="55" t="n"/>
      <c r="J59" s="55" t="n"/>
      <c r="K59" s="55" t="n"/>
      <c r="L59" s="55" t="n"/>
      <c r="M59" s="55" t="n"/>
      <c r="N59" s="52" t="n">
        <v>46783</v>
      </c>
      <c r="O59" s="55" t="n"/>
      <c r="P59" s="51" t="inlineStr">
        <is>
          <t>2510210</t>
        </is>
      </c>
      <c r="Q59" s="51" t="inlineStr">
        <is>
          <t>Scentre Group Westfield Bondi Screen Tests</t>
        </is>
      </c>
      <c r="R59" s="51" t="inlineStr">
        <is>
          <t>CONSULTING</t>
        </is>
      </c>
      <c r="V59" s="55" t="n"/>
      <c r="W59" s="55" t="n"/>
    </row>
    <row r="60">
      <c r="A60" s="55" t="n"/>
      <c r="B60" s="55" t="n"/>
      <c r="C60" s="55" t="n"/>
      <c r="D60" s="55" t="n"/>
      <c r="E60" s="55" t="n"/>
      <c r="F60" s="55" t="n"/>
      <c r="G60" s="55" t="n"/>
      <c r="H60" s="55" t="n"/>
      <c r="I60" s="55" t="n"/>
      <c r="J60" s="55" t="n"/>
      <c r="K60" s="55" t="n"/>
      <c r="L60" s="55" t="n"/>
      <c r="M60" s="55" t="n"/>
      <c r="N60" s="52" t="n">
        <v>46812</v>
      </c>
      <c r="O60" s="55" t="n"/>
      <c r="P60" s="51" t="inlineStr">
        <is>
          <t>25102701</t>
        </is>
      </c>
      <c r="Q60" s="51" t="inlineStr">
        <is>
          <t>DEWR - Studio Upgrade - Consulting, Design</t>
        </is>
      </c>
      <c r="R60" s="51" t="inlineStr">
        <is>
          <t>CONSULTING</t>
        </is>
      </c>
      <c r="V60" s="55" t="n"/>
      <c r="W60" s="55" t="n"/>
    </row>
    <row r="61">
      <c r="A61" s="55" t="n"/>
      <c r="B61" s="55" t="n"/>
      <c r="C61" s="55" t="n"/>
      <c r="D61" s="55" t="n"/>
      <c r="E61" s="55" t="n"/>
      <c r="F61" s="55" t="n"/>
      <c r="G61" s="55" t="n"/>
      <c r="H61" s="55" t="n"/>
      <c r="I61" s="55" t="n"/>
      <c r="J61" s="55" t="n"/>
      <c r="K61" s="55" t="n"/>
      <c r="L61" s="55" t="n"/>
      <c r="M61" s="55" t="n"/>
      <c r="N61" s="52" t="n">
        <v>46843</v>
      </c>
      <c r="O61" s="55" t="n"/>
      <c r="P61" s="51" t="inlineStr">
        <is>
          <t>25102801</t>
        </is>
      </c>
      <c r="Q61" s="51" t="inlineStr">
        <is>
          <t>DTTL SYD QQT Additional Mics Install in L45 Seminar Space</t>
        </is>
      </c>
      <c r="R61" s="51" t="inlineStr">
        <is>
          <t>INTEGRATION</t>
        </is>
      </c>
      <c r="V61" s="55" t="n"/>
      <c r="W61" s="55" t="n"/>
    </row>
    <row r="62">
      <c r="A62" s="55" t="n"/>
      <c r="B62" s="55" t="n"/>
      <c r="C62" s="55" t="n"/>
      <c r="D62" s="55" t="n"/>
      <c r="E62" s="55" t="n"/>
      <c r="F62" s="55" t="n"/>
      <c r="G62" s="55" t="n"/>
      <c r="H62" s="55" t="n"/>
      <c r="I62" s="55" t="n"/>
      <c r="J62" s="55" t="n"/>
      <c r="K62" s="55" t="n"/>
      <c r="L62" s="55" t="n"/>
      <c r="M62" s="55" t="n"/>
      <c r="N62" s="52" t="n">
        <v>46873</v>
      </c>
      <c r="O62" s="55" t="n"/>
      <c r="P62" s="51" t="inlineStr">
        <is>
          <t>25102802</t>
        </is>
      </c>
      <c r="Q62" s="51" t="inlineStr">
        <is>
          <t>Novigi Meeting Space Inspection</t>
        </is>
      </c>
      <c r="R62" s="51" t="inlineStr">
        <is>
          <t>CONSULTING</t>
        </is>
      </c>
      <c r="V62" s="55" t="n"/>
      <c r="W62" s="55" t="n"/>
    </row>
    <row r="63">
      <c r="A63" s="55" t="n"/>
      <c r="B63" s="55" t="n"/>
      <c r="C63" s="55" t="n"/>
      <c r="D63" s="55" t="n"/>
      <c r="E63" s="55" t="n"/>
      <c r="F63" s="55" t="n"/>
      <c r="G63" s="55" t="n"/>
      <c r="H63" s="55" t="n"/>
      <c r="I63" s="55" t="n"/>
      <c r="J63" s="55" t="n"/>
      <c r="K63" s="55" t="n"/>
      <c r="L63" s="55" t="n"/>
      <c r="M63" s="55" t="n"/>
      <c r="N63" s="52" t="n">
        <v>46904</v>
      </c>
      <c r="O63" s="55" t="n"/>
      <c r="P63" s="51" t="inlineStr">
        <is>
          <t>2510804</t>
        </is>
      </c>
      <c r="Q63" s="51" t="inlineStr">
        <is>
          <t>CommSecurity Presynct QLD Desk Booking</t>
        </is>
      </c>
      <c r="R63" s="51" t="inlineStr">
        <is>
          <t>INTEGRATION</t>
        </is>
      </c>
      <c r="V63" s="55" t="n"/>
      <c r="W63" s="55" t="n"/>
    </row>
    <row r="64">
      <c r="A64" s="55" t="n"/>
      <c r="B64" s="55" t="n"/>
      <c r="C64" s="55" t="n"/>
      <c r="D64" s="55" t="n"/>
      <c r="E64" s="55" t="n"/>
      <c r="F64" s="55" t="n"/>
      <c r="G64" s="55" t="n"/>
      <c r="H64" s="55" t="n"/>
      <c r="I64" s="55" t="n"/>
      <c r="J64" s="55" t="n"/>
      <c r="K64" s="55" t="n"/>
      <c r="L64" s="55" t="n"/>
      <c r="M64" s="55" t="n"/>
      <c r="N64" s="52" t="n">
        <v>46934</v>
      </c>
      <c r="O64" s="55" t="n"/>
      <c r="P64" s="51" t="inlineStr">
        <is>
          <t>2510805</t>
        </is>
      </c>
      <c r="Q64" s="51" t="inlineStr">
        <is>
          <t>PNSW Reconstruction Authority Newcastle</t>
        </is>
      </c>
      <c r="R64" s="51" t="inlineStr">
        <is>
          <t>INTEGRATION</t>
        </is>
      </c>
      <c r="V64" s="55" t="n"/>
      <c r="W64" s="55" t="n"/>
    </row>
    <row r="65">
      <c r="A65" s="55" t="n"/>
      <c r="B65" s="55" t="n"/>
      <c r="C65" s="55" t="n"/>
      <c r="D65" s="55" t="n"/>
      <c r="E65" s="55" t="n"/>
      <c r="F65" s="55" t="n"/>
      <c r="G65" s="55" t="n"/>
      <c r="H65" s="55" t="n"/>
      <c r="I65" s="55" t="n"/>
      <c r="J65" s="55" t="n"/>
      <c r="K65" s="55" t="n"/>
      <c r="L65" s="55" t="n"/>
      <c r="M65" s="55" t="n"/>
      <c r="N65" s="52" t="n">
        <v>46965</v>
      </c>
      <c r="O65" s="55" t="n"/>
      <c r="P65" s="51" t="inlineStr">
        <is>
          <t>25111203</t>
        </is>
      </c>
      <c r="Q65" s="51" t="inlineStr">
        <is>
          <t>CoS | Barco E3 Sale</t>
        </is>
      </c>
      <c r="R65" s="51" t="inlineStr">
        <is>
          <t>INTEGRATION</t>
        </is>
      </c>
      <c r="V65" s="55" t="n"/>
      <c r="W65" s="55" t="n"/>
    </row>
    <row r="66">
      <c r="A66" s="55" t="n"/>
      <c r="B66" s="55" t="n"/>
      <c r="C66" s="55" t="n"/>
      <c r="D66" s="55" t="n"/>
      <c r="E66" s="55" t="n"/>
      <c r="F66" s="55" t="n"/>
      <c r="G66" s="55" t="n"/>
      <c r="H66" s="55" t="n"/>
      <c r="I66" s="55" t="n"/>
      <c r="J66" s="55" t="n"/>
      <c r="K66" s="55" t="n"/>
      <c r="L66" s="55" t="n"/>
      <c r="M66" s="55" t="n"/>
      <c r="N66" s="52" t="n">
        <v>46996</v>
      </c>
      <c r="O66" s="55" t="n"/>
      <c r="P66" s="51" t="inlineStr">
        <is>
          <t>25112801</t>
        </is>
      </c>
      <c r="Q66" s="51" t="inlineStr">
        <is>
          <t>APA MEL - iPad &amp; Bouncepad Sale</t>
        </is>
      </c>
      <c r="R66" s="51" t="inlineStr">
        <is>
          <t>INTEGRATION</t>
        </is>
      </c>
      <c r="V66" s="55" t="n"/>
      <c r="W66" s="55" t="n"/>
    </row>
    <row r="67">
      <c r="A67" s="55" t="n"/>
      <c r="B67" s="55" t="n"/>
      <c r="C67" s="55" t="n"/>
      <c r="D67" s="55" t="n"/>
      <c r="E67" s="55" t="n"/>
      <c r="F67" s="55" t="n"/>
      <c r="G67" s="55" t="n"/>
      <c r="H67" s="55" t="n"/>
      <c r="I67" s="55" t="n"/>
      <c r="J67" s="55" t="n"/>
      <c r="K67" s="55" t="n"/>
      <c r="L67" s="55" t="n"/>
      <c r="M67" s="55" t="n"/>
      <c r="N67" s="52" t="n">
        <v>47026</v>
      </c>
      <c r="O67" s="55" t="n"/>
      <c r="P67" s="51" t="inlineStr">
        <is>
          <t>25121001</t>
        </is>
      </c>
      <c r="Q67" s="51" t="inlineStr">
        <is>
          <t>HP Poly Mic System Sale and Install at Mission Australia</t>
        </is>
      </c>
      <c r="R67" s="51" t="inlineStr">
        <is>
          <t>INTEGRATION</t>
        </is>
      </c>
      <c r="V67" s="55" t="n"/>
      <c r="W67" s="55" t="n"/>
    </row>
    <row r="68">
      <c r="A68" s="55" t="n"/>
      <c r="B68" s="55" t="n"/>
      <c r="C68" s="55" t="n"/>
      <c r="D68" s="55" t="n"/>
      <c r="E68" s="55" t="n"/>
      <c r="F68" s="55" t="n"/>
      <c r="G68" s="55" t="n"/>
      <c r="H68" s="55" t="n"/>
      <c r="I68" s="55" t="n"/>
      <c r="J68" s="55" t="n"/>
      <c r="K68" s="55" t="n"/>
      <c r="L68" s="55" t="n"/>
      <c r="M68" s="55" t="n"/>
      <c r="N68" s="52" t="n">
        <v>47057</v>
      </c>
      <c r="O68" s="55" t="n"/>
      <c r="P68" s="51" t="inlineStr">
        <is>
          <t>25121007</t>
        </is>
      </c>
      <c r="Q68" s="51" t="inlineStr">
        <is>
          <t>Novigi SYD/MEL boardroom Mic upgrade + Cable Tidy</t>
        </is>
      </c>
      <c r="R68" s="51" t="inlineStr">
        <is>
          <t>INTEGRATION</t>
        </is>
      </c>
      <c r="V68" s="55" t="n"/>
      <c r="W68" s="55" t="n"/>
    </row>
    <row r="69">
      <c r="A69" s="55" t="n"/>
      <c r="B69" s="55" t="n"/>
      <c r="C69" s="55" t="n"/>
      <c r="D69" s="55" t="n"/>
      <c r="E69" s="55" t="n"/>
      <c r="F69" s="55" t="n"/>
      <c r="G69" s="55" t="n"/>
      <c r="H69" s="55" t="n"/>
      <c r="I69" s="55" t="n"/>
      <c r="J69" s="55" t="n"/>
      <c r="K69" s="55" t="n"/>
      <c r="L69" s="55" t="n"/>
      <c r="M69" s="55" t="n"/>
      <c r="N69" s="52" t="n">
        <v>47087</v>
      </c>
      <c r="O69" s="55" t="n"/>
      <c r="P69" s="51" t="inlineStr">
        <is>
          <t>25121208</t>
        </is>
      </c>
      <c r="Q69" s="51" t="inlineStr">
        <is>
          <t>APA HYR &amp; FYR Package 2026</t>
        </is>
      </c>
      <c r="R69" s="51" t="inlineStr">
        <is>
          <t>PRODUCTION</t>
        </is>
      </c>
      <c r="V69" s="55" t="n"/>
      <c r="W69" s="55" t="n"/>
    </row>
    <row r="70">
      <c r="A70" s="55" t="n"/>
      <c r="B70" s="55" t="n"/>
      <c r="C70" s="55" t="n"/>
      <c r="D70" s="55" t="n"/>
      <c r="E70" s="55" t="n"/>
      <c r="F70" s="55" t="n"/>
      <c r="G70" s="55" t="n"/>
      <c r="H70" s="55" t="n"/>
      <c r="I70" s="55" t="n"/>
      <c r="J70" s="55" t="n"/>
      <c r="K70" s="55" t="n"/>
      <c r="L70" s="55" t="n"/>
      <c r="M70" s="55" t="n"/>
      <c r="N70" s="52" t="n">
        <v>47118</v>
      </c>
      <c r="O70" s="55" t="n"/>
      <c r="P70" s="51" t="inlineStr">
        <is>
          <t>2512503</t>
        </is>
      </c>
      <c r="Q70" s="51" t="inlineStr">
        <is>
          <t>Ventia EOY Town Hall 10.12.2025</t>
        </is>
      </c>
      <c r="R70" s="51" t="inlineStr">
        <is>
          <t>PRODUCTION</t>
        </is>
      </c>
      <c r="V70" s="55" t="n"/>
      <c r="W70" s="55" t="n"/>
    </row>
    <row r="71">
      <c r="A71" s="55" t="n"/>
      <c r="B71" s="55" t="n"/>
      <c r="C71" s="55" t="n"/>
      <c r="D71" s="55" t="n"/>
      <c r="E71" s="55" t="n"/>
      <c r="F71" s="55" t="n"/>
      <c r="G71" s="55" t="n"/>
      <c r="H71" s="55" t="n"/>
      <c r="I71" s="55" t="n"/>
      <c r="J71" s="55" t="n"/>
      <c r="K71" s="55" t="n"/>
      <c r="L71" s="55" t="n"/>
      <c r="M71" s="55" t="n"/>
      <c r="N71" s="52" t="n">
        <v>47149</v>
      </c>
      <c r="O71" s="55" t="n"/>
      <c r="P71" s="51" t="inlineStr">
        <is>
          <t>2512503V</t>
        </is>
      </c>
      <c r="Q71" s="51" t="inlineStr">
        <is>
          <t>Ventia EOY Town Hall 10.12.2025</t>
        </is>
      </c>
      <c r="R71" s="51" t="inlineStr">
        <is>
          <t>VIDEO</t>
        </is>
      </c>
      <c r="V71" s="55" t="n"/>
      <c r="W71" s="55" t="n"/>
    </row>
    <row r="72">
      <c r="A72" s="55" t="n"/>
      <c r="B72" s="55" t="n"/>
      <c r="C72" s="55" t="n"/>
      <c r="D72" s="55" t="n"/>
      <c r="E72" s="55" t="n"/>
      <c r="F72" s="55" t="n"/>
      <c r="G72" s="55" t="n"/>
      <c r="H72" s="55" t="n"/>
      <c r="I72" s="55" t="n"/>
      <c r="J72" s="55" t="n"/>
      <c r="K72" s="55" t="n"/>
      <c r="L72" s="55" t="n"/>
      <c r="M72" s="55" t="n"/>
      <c r="N72" s="52" t="n">
        <v>47177</v>
      </c>
      <c r="O72" s="55" t="n"/>
      <c r="P72" s="51" t="inlineStr">
        <is>
          <t>2512804</t>
        </is>
      </c>
      <c r="Q72" s="51" t="inlineStr">
        <is>
          <t>RSNSW Ordinary General Meeting 5.8.26</t>
        </is>
      </c>
      <c r="R72" s="51" t="inlineStr">
        <is>
          <t>PRODUCTION</t>
        </is>
      </c>
      <c r="V72" s="55" t="n"/>
      <c r="W72" s="55" t="n"/>
    </row>
    <row r="73">
      <c r="A73" s="55" t="n"/>
      <c r="B73" s="55" t="n"/>
      <c r="C73" s="55" t="n"/>
      <c r="D73" s="55" t="n"/>
      <c r="E73" s="55" t="n"/>
      <c r="F73" s="55" t="n"/>
      <c r="G73" s="55" t="n"/>
      <c r="H73" s="55" t="n"/>
      <c r="I73" s="55" t="n"/>
      <c r="J73" s="55" t="n"/>
      <c r="K73" s="55" t="n"/>
      <c r="L73" s="55" t="n"/>
      <c r="M73" s="55" t="n"/>
      <c r="N73" s="52" t="n">
        <v>47208</v>
      </c>
      <c r="O73" s="55" t="n"/>
      <c r="P73" s="51" t="inlineStr">
        <is>
          <t>2512804V</t>
        </is>
      </c>
      <c r="Q73" s="51" t="inlineStr">
        <is>
          <t>RSNSW Ordinary General Meeting 5.8.26</t>
        </is>
      </c>
      <c r="R73" s="51" t="inlineStr">
        <is>
          <t>VIDEO</t>
        </is>
      </c>
      <c r="V73" s="55" t="n"/>
      <c r="W73" s="55" t="n"/>
    </row>
    <row r="74">
      <c r="A74" s="55" t="n"/>
      <c r="B74" s="55" t="n"/>
      <c r="C74" s="55" t="n"/>
      <c r="D74" s="55" t="n"/>
      <c r="E74" s="55" t="n"/>
      <c r="F74" s="55" t="n"/>
      <c r="G74" s="55" t="n"/>
      <c r="H74" s="55" t="n"/>
      <c r="I74" s="55" t="n"/>
      <c r="J74" s="55" t="n"/>
      <c r="K74" s="55" t="n"/>
      <c r="L74" s="55" t="n"/>
      <c r="M74" s="55" t="n"/>
      <c r="N74" s="52" t="n">
        <v>47238</v>
      </c>
      <c r="O74" s="55" t="n"/>
      <c r="P74" s="51" t="inlineStr">
        <is>
          <t>2512805</t>
        </is>
      </c>
      <c r="Q74" s="51" t="inlineStr">
        <is>
          <t>RSNSW Ordinary General Meeting 7.10.2026</t>
        </is>
      </c>
      <c r="R74" s="51" t="inlineStr">
        <is>
          <t>PRODUCTION</t>
        </is>
      </c>
      <c r="V74" s="55" t="n"/>
      <c r="W74" s="55" t="n"/>
    </row>
    <row r="75">
      <c r="A75" s="55" t="n"/>
      <c r="B75" s="55" t="n"/>
      <c r="C75" s="55" t="n"/>
      <c r="D75" s="55" t="n"/>
      <c r="E75" s="55" t="n"/>
      <c r="F75" s="55" t="n"/>
      <c r="G75" s="55" t="n"/>
      <c r="H75" s="55" t="n"/>
      <c r="I75" s="55" t="n"/>
      <c r="J75" s="55" t="n"/>
      <c r="K75" s="55" t="n"/>
      <c r="L75" s="55" t="n"/>
      <c r="M75" s="55" t="n"/>
      <c r="N75" s="52" t="n">
        <v>47269</v>
      </c>
      <c r="O75" s="55" t="n"/>
      <c r="P75" s="51" t="inlineStr">
        <is>
          <t>2512805V</t>
        </is>
      </c>
      <c r="Q75" s="51" t="inlineStr">
        <is>
          <t>RSNSW Ordinary General Meeting 7.10.2026</t>
        </is>
      </c>
      <c r="R75" s="51" t="inlineStr">
        <is>
          <t>VIDEO</t>
        </is>
      </c>
      <c r="V75" s="55" t="n"/>
      <c r="W75" s="55" t="n"/>
    </row>
    <row r="76">
      <c r="A76" s="55" t="n"/>
      <c r="B76" s="55" t="n"/>
      <c r="C76" s="55" t="n"/>
      <c r="D76" s="55" t="n"/>
      <c r="E76" s="55" t="n"/>
      <c r="F76" s="55" t="n"/>
      <c r="G76" s="55" t="n"/>
      <c r="H76" s="55" t="n"/>
      <c r="I76" s="55" t="n"/>
      <c r="J76" s="55" t="n"/>
      <c r="K76" s="55" t="n"/>
      <c r="L76" s="55" t="n"/>
      <c r="M76" s="55" t="n"/>
      <c r="N76" s="52" t="n">
        <v>47299</v>
      </c>
      <c r="O76" s="55" t="n"/>
      <c r="P76" s="51" t="inlineStr">
        <is>
          <t>2512806</t>
        </is>
      </c>
      <c r="Q76" s="51" t="inlineStr">
        <is>
          <t>RSNSW Ordinary General Meeting 2.12.26</t>
        </is>
      </c>
      <c r="R76" s="51" t="inlineStr">
        <is>
          <t>PRODUCTION</t>
        </is>
      </c>
      <c r="V76" s="55" t="n"/>
      <c r="W76" s="55" t="n"/>
    </row>
    <row r="77">
      <c r="A77" s="55" t="n"/>
      <c r="B77" s="55" t="n"/>
      <c r="C77" s="55" t="n"/>
      <c r="D77" s="55" t="n"/>
      <c r="E77" s="55" t="n"/>
      <c r="F77" s="55" t="n"/>
      <c r="G77" s="55" t="n"/>
      <c r="H77" s="55" t="n"/>
      <c r="I77" s="55" t="n"/>
      <c r="J77" s="55" t="n"/>
      <c r="K77" s="55" t="n"/>
      <c r="L77" s="55" t="n"/>
      <c r="M77" s="55" t="n"/>
      <c r="N77" s="52" t="n">
        <v>47330</v>
      </c>
      <c r="O77" s="55" t="n"/>
      <c r="P77" s="51" t="inlineStr">
        <is>
          <t>2512806V</t>
        </is>
      </c>
      <c r="Q77" s="51" t="inlineStr">
        <is>
          <t>RSNSW Ordinary General Meeting 2.12.26</t>
        </is>
      </c>
      <c r="R77" s="51" t="inlineStr">
        <is>
          <t>VIDEO</t>
        </is>
      </c>
      <c r="V77" s="55" t="n"/>
      <c r="W77" s="55" t="n"/>
    </row>
    <row r="78">
      <c r="A78" s="55" t="n"/>
      <c r="B78" s="55" t="n"/>
      <c r="C78" s="55" t="n"/>
      <c r="D78" s="55" t="n"/>
      <c r="E78" s="55" t="n"/>
      <c r="F78" s="55" t="n"/>
      <c r="G78" s="55" t="n"/>
      <c r="H78" s="55" t="n"/>
      <c r="I78" s="55" t="n"/>
      <c r="J78" s="55" t="n"/>
      <c r="K78" s="55" t="n"/>
      <c r="L78" s="55" t="n"/>
      <c r="M78" s="55" t="n"/>
      <c r="N78" s="52" t="n">
        <v>47361</v>
      </c>
      <c r="O78" s="55" t="n"/>
      <c r="P78" s="51" t="inlineStr">
        <is>
          <t>2519</t>
        </is>
      </c>
      <c r="Q78" s="51" t="inlineStr">
        <is>
          <t>NSW Prop-6PSQ Visitor MG</t>
        </is>
      </c>
      <c r="R78" s="51" t="inlineStr">
        <is>
          <t>INTEGRATION</t>
        </is>
      </c>
      <c r="V78" s="55" t="n"/>
      <c r="W78" s="55" t="n"/>
    </row>
    <row r="79">
      <c r="A79" s="55" t="n"/>
      <c r="B79" s="55" t="n"/>
      <c r="C79" s="55" t="n"/>
      <c r="D79" s="55" t="n"/>
      <c r="E79" s="55" t="n"/>
      <c r="F79" s="55" t="n"/>
      <c r="G79" s="55" t="n"/>
      <c r="H79" s="55" t="n"/>
      <c r="I79" s="55" t="n"/>
      <c r="J79" s="55" t="n"/>
      <c r="K79" s="55" t="n"/>
      <c r="L79" s="55" t="n"/>
      <c r="M79" s="55" t="n"/>
      <c r="N79" s="52" t="n">
        <v>47391</v>
      </c>
      <c r="O79" s="55" t="n"/>
      <c r="P79" s="51" t="inlineStr">
        <is>
          <t>2521</t>
        </is>
      </c>
      <c r="Q79" s="51" t="inlineStr">
        <is>
          <t>PWC - PER Tech</t>
        </is>
      </c>
      <c r="R79" s="51" t="inlineStr">
        <is>
          <t>ONSITE</t>
        </is>
      </c>
      <c r="V79" s="55" t="n"/>
      <c r="W79" s="55" t="n"/>
    </row>
    <row r="80">
      <c r="A80" s="55" t="n"/>
      <c r="B80" s="55" t="n"/>
      <c r="C80" s="55" t="n"/>
      <c r="D80" s="55" t="n"/>
      <c r="E80" s="55" t="n"/>
      <c r="F80" s="55" t="n"/>
      <c r="G80" s="55" t="n"/>
      <c r="H80" s="55" t="n"/>
      <c r="I80" s="55" t="n"/>
      <c r="J80" s="55" t="n"/>
      <c r="K80" s="55" t="n"/>
      <c r="L80" s="55" t="n"/>
      <c r="M80" s="55" t="n"/>
      <c r="N80" s="52" t="n">
        <v>47422</v>
      </c>
      <c r="O80" s="55" t="n"/>
      <c r="P80" s="51" t="inlineStr">
        <is>
          <t>2540</t>
        </is>
      </c>
      <c r="Q80" s="51" t="inlineStr">
        <is>
          <t>PWC - SYD Tech</t>
        </is>
      </c>
      <c r="R80" s="51" t="inlineStr">
        <is>
          <t>ONSITE</t>
        </is>
      </c>
      <c r="V80" s="55" t="n"/>
      <c r="W80" s="55" t="n"/>
    </row>
    <row r="81">
      <c r="A81" s="55" t="n"/>
      <c r="B81" s="55" t="n"/>
      <c r="C81" s="55" t="n"/>
      <c r="D81" s="55" t="n"/>
      <c r="E81" s="55" t="n"/>
      <c r="F81" s="55" t="n"/>
      <c r="G81" s="55" t="n"/>
      <c r="H81" s="55" t="n"/>
      <c r="I81" s="55" t="n"/>
      <c r="J81" s="55" t="n"/>
      <c r="K81" s="55" t="n"/>
      <c r="L81" s="55" t="n"/>
      <c r="M81" s="55" t="n"/>
      <c r="N81" s="52" t="n">
        <v>47452</v>
      </c>
      <c r="O81" s="55" t="n"/>
      <c r="P81" s="51" t="inlineStr">
        <is>
          <t>2543</t>
        </is>
      </c>
      <c r="Q81" s="51" t="inlineStr">
        <is>
          <t>DTTL MEL Tech (PT)</t>
        </is>
      </c>
      <c r="R81" s="51" t="inlineStr">
        <is>
          <t>ONSITE</t>
        </is>
      </c>
      <c r="V81" s="55" t="n"/>
      <c r="W81" s="55" t="n"/>
    </row>
    <row r="82">
      <c r="A82" s="55" t="n"/>
      <c r="B82" s="55" t="n"/>
      <c r="C82" s="55" t="n"/>
      <c r="D82" s="55" t="n"/>
      <c r="E82" s="55" t="n"/>
      <c r="F82" s="55" t="n"/>
      <c r="G82" s="55" t="n"/>
      <c r="H82" s="55" t="n"/>
      <c r="I82" s="55" t="n"/>
      <c r="J82" s="55" t="n"/>
      <c r="K82" s="55" t="n"/>
      <c r="L82" s="55" t="n"/>
      <c r="M82" s="55" t="n"/>
      <c r="N82" s="52" t="n">
        <v>47483</v>
      </c>
      <c r="O82" s="55" t="n"/>
      <c r="P82" s="51" t="inlineStr">
        <is>
          <t>2591012</t>
        </is>
      </c>
      <c r="Q82" s="51" t="inlineStr">
        <is>
          <t>St. Luke's Non-chargeable</t>
        </is>
      </c>
      <c r="R82" s="51" t="inlineStr">
        <is>
          <t>PRODUCTION</t>
        </is>
      </c>
      <c r="V82" s="55" t="n"/>
      <c r="W82" s="55" t="n"/>
    </row>
    <row r="83">
      <c r="A83" s="55" t="n"/>
      <c r="B83" s="55" t="n"/>
      <c r="C83" s="55" t="n"/>
      <c r="D83" s="55" t="n"/>
      <c r="E83" s="55" t="n"/>
      <c r="F83" s="55" t="n"/>
      <c r="G83" s="55" t="n"/>
      <c r="H83" s="55" t="n"/>
      <c r="I83" s="55" t="n"/>
      <c r="J83" s="55" t="n"/>
      <c r="K83" s="55" t="n"/>
      <c r="L83" s="55" t="n"/>
      <c r="M83" s="55" t="n"/>
      <c r="N83" s="52" t="n">
        <v>47514</v>
      </c>
      <c r="O83" s="55" t="n"/>
      <c r="P83" s="51" t="inlineStr">
        <is>
          <t>2591012C</t>
        </is>
      </c>
      <c r="Q83" s="51" t="inlineStr">
        <is>
          <t>St. Luke's Church</t>
        </is>
      </c>
      <c r="R83" s="51" t="inlineStr">
        <is>
          <t>PRODUCTION</t>
        </is>
      </c>
      <c r="V83" s="55" t="n"/>
      <c r="W83" s="55" t="n"/>
    </row>
    <row r="84">
      <c r="A84" s="55" t="n"/>
      <c r="B84" s="55" t="n"/>
      <c r="C84" s="55" t="n"/>
      <c r="D84" s="55" t="n"/>
      <c r="E84" s="55" t="n"/>
      <c r="F84" s="55" t="n"/>
      <c r="G84" s="55" t="n"/>
      <c r="H84" s="55" t="n"/>
      <c r="I84" s="55" t="n"/>
      <c r="J84" s="55" t="n"/>
      <c r="K84" s="55" t="n"/>
      <c r="L84" s="55" t="n"/>
      <c r="M84" s="55" t="n"/>
      <c r="N84" s="52" t="n">
        <v>47542</v>
      </c>
      <c r="O84" s="55" t="n"/>
      <c r="P84" s="51" t="inlineStr">
        <is>
          <t>2593</t>
        </is>
      </c>
      <c r="Q84" s="51" t="inlineStr">
        <is>
          <t>PWC CBR Technician</t>
        </is>
      </c>
      <c r="R84" s="51" t="inlineStr">
        <is>
          <t>ONSITE</t>
        </is>
      </c>
      <c r="V84" s="55" t="n"/>
      <c r="W84" s="55" t="n"/>
    </row>
    <row r="85">
      <c r="A85" s="55" t="n"/>
      <c r="B85" s="55" t="n"/>
      <c r="C85" s="55" t="n"/>
      <c r="D85" s="55" t="n"/>
      <c r="E85" s="55" t="n"/>
      <c r="F85" s="55" t="n"/>
      <c r="G85" s="55" t="n"/>
      <c r="H85" s="55" t="n"/>
      <c r="I85" s="55" t="n"/>
      <c r="J85" s="55" t="n"/>
      <c r="K85" s="55" t="n"/>
      <c r="L85" s="55" t="n"/>
      <c r="M85" s="55" t="n"/>
      <c r="N85" s="52" t="n">
        <v>47573</v>
      </c>
      <c r="O85" s="55" t="n"/>
      <c r="P85" s="51" t="inlineStr">
        <is>
          <t>2598</t>
        </is>
      </c>
      <c r="Q85" s="51" t="inlineStr">
        <is>
          <t>DTTL WA Tech</t>
        </is>
      </c>
      <c r="R85" s="51" t="inlineStr">
        <is>
          <t>ONSITE</t>
        </is>
      </c>
      <c r="V85" s="55" t="n"/>
      <c r="W85" s="55" t="n"/>
    </row>
    <row r="86">
      <c r="A86" s="55" t="n"/>
      <c r="B86" s="55" t="n"/>
      <c r="C86" s="55" t="n"/>
      <c r="D86" s="55" t="n"/>
      <c r="E86" s="55" t="n"/>
      <c r="F86" s="55" t="n"/>
      <c r="G86" s="55" t="n"/>
      <c r="H86" s="55" t="n"/>
      <c r="I86" s="55" t="n"/>
      <c r="J86" s="55" t="n"/>
      <c r="K86" s="55" t="n"/>
      <c r="L86" s="55" t="n"/>
      <c r="M86" s="55" t="n"/>
      <c r="N86" s="52" t="n">
        <v>47603</v>
      </c>
      <c r="O86" s="55" t="n"/>
      <c r="P86" s="51" t="inlineStr">
        <is>
          <t>26011404</t>
        </is>
      </c>
      <c r="Q86" s="51" t="inlineStr">
        <is>
          <t>ASX CEO Connect (Extended Results) 1.9.26</t>
        </is>
      </c>
      <c r="R86" s="51" t="inlineStr">
        <is>
          <t>PRODUCTION</t>
        </is>
      </c>
      <c r="V86" s="55" t="n"/>
      <c r="W86" s="55" t="n"/>
    </row>
    <row r="87">
      <c r="A87" s="55" t="n"/>
      <c r="B87" s="55" t="n"/>
      <c r="C87" s="55" t="n"/>
      <c r="D87" s="55" t="n"/>
      <c r="E87" s="55" t="n"/>
      <c r="F87" s="55" t="n"/>
      <c r="G87" s="55" t="n"/>
      <c r="H87" s="55" t="n"/>
      <c r="I87" s="55" t="n"/>
      <c r="J87" s="55" t="n"/>
      <c r="K87" s="55" t="n"/>
      <c r="L87" s="55" t="n"/>
      <c r="M87" s="55" t="n"/>
      <c r="N87" s="52" t="n">
        <v>47634</v>
      </c>
      <c r="O87" s="55" t="n"/>
      <c r="P87" s="51" t="inlineStr">
        <is>
          <t>26011404V</t>
        </is>
      </c>
      <c r="Q87" s="51" t="inlineStr">
        <is>
          <t>ASX CEO Connect (Extended Results) 1.9.26</t>
        </is>
      </c>
      <c r="R87" s="51" t="inlineStr">
        <is>
          <t>VIDEO</t>
        </is>
      </c>
      <c r="V87" s="55" t="n"/>
      <c r="W87" s="55" t="n"/>
    </row>
    <row r="88">
      <c r="A88" s="55" t="n"/>
      <c r="B88" s="55" t="n"/>
      <c r="C88" s="55" t="n"/>
      <c r="D88" s="55" t="n"/>
      <c r="E88" s="55" t="n"/>
      <c r="F88" s="55" t="n"/>
      <c r="G88" s="55" t="n"/>
      <c r="H88" s="55" t="n"/>
      <c r="I88" s="55" t="n"/>
      <c r="J88" s="55" t="n"/>
      <c r="K88" s="55" t="n"/>
      <c r="L88" s="55" t="n"/>
      <c r="M88" s="55" t="n"/>
      <c r="N88" s="52" t="n">
        <v>47664</v>
      </c>
      <c r="O88" s="55" t="n"/>
      <c r="P88" s="51" t="inlineStr">
        <is>
          <t>26011407</t>
        </is>
      </c>
      <c r="Q88" s="51" t="inlineStr">
        <is>
          <t>ASX CEO Connect 27.10.26</t>
        </is>
      </c>
      <c r="R88" s="51" t="inlineStr">
        <is>
          <t>PRODUCTION</t>
        </is>
      </c>
      <c r="V88" s="55" t="n"/>
      <c r="W88" s="55" t="n"/>
    </row>
    <row r="89">
      <c r="A89" s="55" t="n"/>
      <c r="B89" s="55" t="n"/>
      <c r="C89" s="55" t="n"/>
      <c r="D89" s="55" t="n"/>
      <c r="E89" s="55" t="n"/>
      <c r="F89" s="55" t="n"/>
      <c r="G89" s="55" t="n"/>
      <c r="H89" s="55" t="n"/>
      <c r="I89" s="55" t="n"/>
      <c r="J89" s="55" t="n"/>
      <c r="K89" s="55" t="n"/>
      <c r="L89" s="55" t="n"/>
      <c r="M89" s="55" t="n"/>
      <c r="N89" s="52" t="n">
        <v>47695</v>
      </c>
      <c r="O89" s="55" t="n"/>
      <c r="P89" s="51" t="inlineStr">
        <is>
          <t>26011407V</t>
        </is>
      </c>
      <c r="Q89" s="51" t="inlineStr">
        <is>
          <t>ASX CEO Connect 27.10.26</t>
        </is>
      </c>
      <c r="R89" s="51" t="inlineStr">
        <is>
          <t>VIDEO</t>
        </is>
      </c>
      <c r="V89" s="55" t="n"/>
      <c r="W89" s="55" t="n"/>
    </row>
    <row r="90">
      <c r="A90" s="55" t="n"/>
      <c r="B90" s="55" t="n"/>
      <c r="C90" s="55" t="n"/>
      <c r="D90" s="55" t="n"/>
      <c r="E90" s="55" t="n"/>
      <c r="F90" s="55" t="n"/>
      <c r="G90" s="55" t="n"/>
      <c r="H90" s="55" t="n"/>
      <c r="I90" s="55" t="n"/>
      <c r="J90" s="55" t="n"/>
      <c r="K90" s="55" t="n"/>
      <c r="L90" s="55" t="n"/>
      <c r="M90" s="55" t="n"/>
      <c r="N90" s="52" t="n">
        <v>47726</v>
      </c>
      <c r="O90" s="55" t="n"/>
      <c r="P90" s="51" t="inlineStr">
        <is>
          <t>26011408</t>
        </is>
      </c>
      <c r="Q90" s="51" t="inlineStr">
        <is>
          <t>ASX CEO Connect 1.12.26</t>
        </is>
      </c>
      <c r="R90" s="51" t="inlineStr">
        <is>
          <t>PRODUCTION</t>
        </is>
      </c>
      <c r="V90" s="55" t="n"/>
      <c r="W90" s="55" t="n"/>
    </row>
    <row r="91">
      <c r="A91" s="55" t="n"/>
      <c r="B91" s="55" t="n"/>
      <c r="C91" s="55" t="n"/>
      <c r="D91" s="55" t="n"/>
      <c r="E91" s="55" t="n"/>
      <c r="F91" s="55" t="n"/>
      <c r="G91" s="55" t="n"/>
      <c r="H91" s="55" t="n"/>
      <c r="I91" s="55" t="n"/>
      <c r="J91" s="55" t="n"/>
      <c r="K91" s="55" t="n"/>
      <c r="L91" s="55" t="n"/>
      <c r="M91" s="55" t="n"/>
      <c r="N91" s="52" t="n">
        <v>47756</v>
      </c>
      <c r="O91" s="55" t="n"/>
      <c r="P91" s="51" t="inlineStr">
        <is>
          <t>26011408V</t>
        </is>
      </c>
      <c r="Q91" s="51" t="inlineStr">
        <is>
          <t>ASX CEO Connect 1.12.26</t>
        </is>
      </c>
      <c r="R91" s="51" t="inlineStr">
        <is>
          <t>VIDEO</t>
        </is>
      </c>
      <c r="V91" s="55" t="n"/>
      <c r="W91" s="55" t="n"/>
    </row>
    <row r="92">
      <c r="A92" s="55" t="n"/>
      <c r="B92" s="55" t="n"/>
      <c r="C92" s="55" t="n"/>
      <c r="D92" s="55" t="n"/>
      <c r="E92" s="55" t="n"/>
      <c r="F92" s="55" t="n"/>
      <c r="G92" s="55" t="n"/>
      <c r="H92" s="55" t="n"/>
      <c r="I92" s="55" t="n"/>
      <c r="J92" s="55" t="n"/>
      <c r="K92" s="55" t="n"/>
      <c r="L92" s="55" t="n"/>
      <c r="M92" s="55" t="n"/>
      <c r="N92" s="52" t="n">
        <v>47787</v>
      </c>
      <c r="O92" s="55" t="n"/>
      <c r="P92" s="51" t="inlineStr">
        <is>
          <t>26011409</t>
        </is>
      </c>
      <c r="Q92" s="51" t="inlineStr">
        <is>
          <t>ASX Investor Days Sydney &amp; Melbourne 2026</t>
        </is>
      </c>
      <c r="R92" s="51" t="inlineStr">
        <is>
          <t>PRODUCTION</t>
        </is>
      </c>
      <c r="V92" s="55" t="n"/>
      <c r="W92" s="55" t="n"/>
    </row>
    <row r="93">
      <c r="A93" s="55" t="n"/>
      <c r="B93" s="55" t="n"/>
      <c r="C93" s="55" t="n"/>
      <c r="D93" s="55" t="n"/>
      <c r="E93" s="55" t="n"/>
      <c r="F93" s="55" t="n"/>
      <c r="G93" s="55" t="n"/>
      <c r="H93" s="55" t="n"/>
      <c r="I93" s="55" t="n"/>
      <c r="J93" s="55" t="n"/>
      <c r="K93" s="55" t="n"/>
      <c r="L93" s="55" t="n"/>
      <c r="M93" s="55" t="n"/>
      <c r="N93" s="52" t="n">
        <v>47817</v>
      </c>
      <c r="O93" s="55" t="n"/>
      <c r="P93" s="51" t="inlineStr">
        <is>
          <t>26011501</t>
        </is>
      </c>
      <c r="Q93" s="51" t="inlineStr">
        <is>
          <t>ASX Refinitiv Charity Golf Classic H/L Vid 2026</t>
        </is>
      </c>
      <c r="R93" s="51" t="inlineStr">
        <is>
          <t>VIDEO</t>
        </is>
      </c>
      <c r="V93" s="55" t="n"/>
      <c r="W93" s="55" t="n"/>
    </row>
    <row r="94">
      <c r="A94" s="55" t="n"/>
      <c r="B94" s="55" t="n"/>
      <c r="C94" s="55" t="n"/>
      <c r="D94" s="55" t="n"/>
      <c r="E94" s="55" t="n"/>
      <c r="F94" s="55" t="n"/>
      <c r="G94" s="55" t="n"/>
      <c r="H94" s="55" t="n"/>
      <c r="I94" s="55" t="n"/>
      <c r="J94" s="55" t="n"/>
      <c r="K94" s="55" t="n"/>
      <c r="L94" s="55" t="n"/>
      <c r="M94" s="55" t="n"/>
      <c r="N94" s="52" t="n">
        <v>47848</v>
      </c>
      <c r="O94" s="55" t="n"/>
      <c r="P94" s="51" t="inlineStr">
        <is>
          <t>26011502</t>
        </is>
      </c>
      <c r="Q94" s="51" t="inlineStr">
        <is>
          <t>ASX Charity Regatta Highlights Video 2026</t>
        </is>
      </c>
      <c r="R94" s="51" t="inlineStr">
        <is>
          <t>VIDEO</t>
        </is>
      </c>
      <c r="V94" s="55" t="n"/>
      <c r="W94" s="55" t="n"/>
    </row>
    <row r="95">
      <c r="A95" s="55" t="n"/>
      <c r="B95" s="55" t="n"/>
      <c r="C95" s="55" t="n"/>
      <c r="D95" s="55" t="n"/>
      <c r="E95" s="55" t="n"/>
      <c r="F95" s="55" t="n"/>
      <c r="G95" s="55" t="n"/>
      <c r="H95" s="55" t="n"/>
      <c r="I95" s="55" t="n"/>
      <c r="J95" s="55" t="n"/>
      <c r="K95" s="55" t="n"/>
      <c r="L95" s="55" t="n"/>
      <c r="M95" s="55" t="n"/>
      <c r="N95" s="52" t="n">
        <v>47879</v>
      </c>
      <c r="O95" s="55" t="n"/>
      <c r="P95" s="51" t="inlineStr">
        <is>
          <t>26012301</t>
        </is>
      </c>
      <c r="Q95" s="51" t="inlineStr">
        <is>
          <t>PWC IT Support - Brisbane</t>
        </is>
      </c>
      <c r="R95" s="51" t="inlineStr">
        <is>
          <t>ONSITE</t>
        </is>
      </c>
      <c r="V95" s="55" t="n"/>
      <c r="W95" s="55" t="n"/>
    </row>
    <row r="96">
      <c r="A96" s="55" t="n"/>
      <c r="B96" s="55" t="n"/>
      <c r="C96" s="55" t="n"/>
      <c r="D96" s="55" t="n"/>
      <c r="E96" s="55" t="n"/>
      <c r="F96" s="55" t="n"/>
      <c r="G96" s="55" t="n"/>
      <c r="H96" s="55" t="n"/>
      <c r="I96" s="55" t="n"/>
      <c r="J96" s="55" t="n"/>
      <c r="K96" s="55" t="n"/>
      <c r="L96" s="55" t="n"/>
      <c r="M96" s="55" t="n"/>
      <c r="N96" s="52" t="n">
        <v>47907</v>
      </c>
      <c r="O96" s="55" t="n"/>
      <c r="P96" s="51" t="inlineStr">
        <is>
          <t>2601701</t>
        </is>
      </c>
      <c r="Q96" s="51" t="inlineStr">
        <is>
          <t>CEOi - TLP Brand Video</t>
        </is>
      </c>
      <c r="R96" s="51" t="inlineStr">
        <is>
          <t>VIDEO</t>
        </is>
      </c>
      <c r="V96" s="55" t="n"/>
      <c r="W96" s="55" t="n"/>
    </row>
    <row r="97">
      <c r="A97" s="55" t="n"/>
      <c r="B97" s="55" t="n"/>
      <c r="C97" s="55" t="n"/>
      <c r="D97" s="55" t="n"/>
      <c r="E97" s="55" t="n"/>
      <c r="F97" s="55" t="n"/>
      <c r="G97" s="55" t="n"/>
      <c r="H97" s="55" t="n"/>
      <c r="I97" s="55" t="n"/>
      <c r="J97" s="55" t="n"/>
      <c r="K97" s="55" t="n"/>
      <c r="L97" s="55" t="n"/>
      <c r="M97" s="55" t="n"/>
      <c r="N97" s="52" t="n">
        <v>47938</v>
      </c>
      <c r="O97" s="55" t="n"/>
      <c r="P97" s="51" t="inlineStr">
        <is>
          <t>26021602</t>
        </is>
      </c>
      <c r="Q97" s="51" t="inlineStr">
        <is>
          <t>Gen E ABS AV Support (Canberra)</t>
        </is>
      </c>
      <c r="R97" s="51" t="inlineStr">
        <is>
          <t>ONSITE</t>
        </is>
      </c>
      <c r="V97" s="55" t="n"/>
      <c r="W97" s="55" t="n"/>
    </row>
    <row r="98">
      <c r="A98" s="55" t="n"/>
      <c r="B98" s="55" t="n"/>
      <c r="C98" s="55" t="n"/>
      <c r="D98" s="55" t="n"/>
      <c r="E98" s="55" t="n"/>
      <c r="F98" s="55" t="n"/>
      <c r="G98" s="55" t="n"/>
      <c r="H98" s="55" t="n"/>
      <c r="I98" s="55" t="n"/>
      <c r="J98" s="55" t="n"/>
      <c r="K98" s="55" t="n"/>
      <c r="L98" s="55" t="n"/>
      <c r="M98" s="55" t="n"/>
      <c r="N98" s="52" t="n">
        <v>47968</v>
      </c>
      <c r="O98" s="55" t="n"/>
      <c r="P98" s="51" t="inlineStr">
        <is>
          <t>26021602N</t>
        </is>
      </c>
      <c r="Q98" s="51" t="inlineStr">
        <is>
          <t>Gen E ABS AV Support (Canberra) [ONS non-chargeable]</t>
        </is>
      </c>
      <c r="R98" s="59" t="n"/>
      <c r="V98" s="55" t="n"/>
      <c r="W98" s="55" t="n"/>
    </row>
    <row r="99">
      <c r="A99" s="55" t="n"/>
      <c r="B99" s="55" t="n"/>
      <c r="C99" s="55" t="n"/>
      <c r="D99" s="55" t="n"/>
      <c r="E99" s="55" t="n"/>
      <c r="F99" s="55" t="n"/>
      <c r="G99" s="55" t="n"/>
      <c r="H99" s="55" t="n"/>
      <c r="I99" s="55" t="n"/>
      <c r="J99" s="55" t="n"/>
      <c r="K99" s="55" t="n"/>
      <c r="L99" s="55" t="n"/>
      <c r="M99" s="55" t="n"/>
      <c r="N99" s="52" t="n">
        <v>47999</v>
      </c>
      <c r="O99" s="55" t="n"/>
      <c r="P99" s="51" t="inlineStr">
        <is>
          <t>26021801</t>
        </is>
      </c>
      <c r="Q99" s="51" t="inlineStr">
        <is>
          <t>Aware Super Seminar Room AV Upgrade</t>
        </is>
      </c>
      <c r="R99" s="51" t="inlineStr">
        <is>
          <t>INTEGRATION</t>
        </is>
      </c>
      <c r="V99" s="55" t="n"/>
      <c r="W99" s="55" t="n"/>
    </row>
    <row r="100">
      <c r="A100" s="55" t="n"/>
      <c r="B100" s="55" t="n"/>
      <c r="C100" s="55" t="n"/>
      <c r="D100" s="55" t="n"/>
      <c r="E100" s="55" t="n"/>
      <c r="F100" s="55" t="n"/>
      <c r="G100" s="55" t="n"/>
      <c r="H100" s="55" t="n"/>
      <c r="I100" s="55" t="n"/>
      <c r="J100" s="55" t="n"/>
      <c r="K100" s="55" t="n"/>
      <c r="L100" s="55" t="n"/>
      <c r="M100" s="55" t="n"/>
      <c r="N100" s="52" t="n">
        <v>48029</v>
      </c>
      <c r="O100" s="55" t="n"/>
      <c r="P100" s="51" t="inlineStr">
        <is>
          <t>2602203</t>
        </is>
      </c>
      <c r="Q100" s="51" t="inlineStr">
        <is>
          <t>YSG Studio Orange Room Upgrade</t>
        </is>
      </c>
      <c r="R100" s="51" t="inlineStr">
        <is>
          <t>CONSULTING</t>
        </is>
      </c>
      <c r="V100" s="55" t="n"/>
      <c r="W100" s="55" t="n"/>
    </row>
    <row r="101">
      <c r="A101" s="55" t="n"/>
      <c r="B101" s="55" t="n"/>
      <c r="C101" s="55" t="n"/>
      <c r="D101" s="55" t="n"/>
      <c r="E101" s="55" t="n"/>
      <c r="F101" s="55" t="n"/>
      <c r="G101" s="55" t="n"/>
      <c r="H101" s="55" t="n"/>
      <c r="I101" s="55" t="n"/>
      <c r="J101" s="55" t="n"/>
      <c r="K101" s="55" t="n"/>
      <c r="L101" s="55" t="n"/>
      <c r="M101" s="55" t="n"/>
      <c r="N101" s="55" t="n"/>
      <c r="O101" s="55" t="n"/>
      <c r="P101" s="51" t="inlineStr">
        <is>
          <t>26022301</t>
        </is>
      </c>
      <c r="Q101" s="51" t="inlineStr">
        <is>
          <t>Aware Super AV Maintenance</t>
        </is>
      </c>
      <c r="R101" s="51" t="inlineStr">
        <is>
          <t>ONSITE</t>
        </is>
      </c>
      <c r="V101" s="55" t="n"/>
      <c r="W101" s="55" t="n"/>
    </row>
    <row r="102">
      <c r="A102" s="55" t="n"/>
      <c r="B102" s="55" t="n"/>
      <c r="C102" s="55" t="n"/>
      <c r="D102" s="55" t="n"/>
      <c r="E102" s="55" t="n"/>
      <c r="F102" s="55" t="n"/>
      <c r="G102" s="55" t="n"/>
      <c r="H102" s="55" t="n"/>
      <c r="I102" s="55" t="n"/>
      <c r="J102" s="55" t="n"/>
      <c r="K102" s="55" t="n"/>
      <c r="L102" s="55" t="n"/>
      <c r="M102" s="55" t="n"/>
      <c r="N102" s="55" t="n"/>
      <c r="O102" s="55" t="n"/>
      <c r="P102" s="51" t="inlineStr">
        <is>
          <t>26022301C</t>
        </is>
      </c>
      <c r="Q102" s="51" t="inlineStr">
        <is>
          <t>Aware Super AV Maintenance</t>
        </is>
      </c>
      <c r="R102" s="51" t="inlineStr">
        <is>
          <t>CONSULTING</t>
        </is>
      </c>
      <c r="V102" s="55" t="n"/>
      <c r="W102" s="55" t="n"/>
    </row>
    <row r="103">
      <c r="A103" s="55" t="n"/>
      <c r="B103" s="55" t="n"/>
      <c r="C103" s="55" t="n"/>
      <c r="D103" s="55" t="n"/>
      <c r="E103" s="55" t="n"/>
      <c r="F103" s="55" t="n"/>
      <c r="G103" s="55" t="n"/>
      <c r="H103" s="55" t="n"/>
      <c r="I103" s="55" t="n"/>
      <c r="J103" s="55" t="n"/>
      <c r="K103" s="55" t="n"/>
      <c r="L103" s="55" t="n"/>
      <c r="M103" s="55" t="n"/>
      <c r="N103" s="55" t="n"/>
      <c r="O103" s="55" t="n"/>
      <c r="P103" s="51" t="inlineStr">
        <is>
          <t>26022301NC</t>
        </is>
      </c>
      <c r="Q103" s="51" t="inlineStr">
        <is>
          <t>Aware Super AV Maintenance Non-chargeable</t>
        </is>
      </c>
      <c r="R103" s="51" t="inlineStr">
        <is>
          <t>ONSITE</t>
        </is>
      </c>
      <c r="V103" s="55" t="n"/>
      <c r="W103" s="55" t="n"/>
    </row>
    <row r="104">
      <c r="A104" s="55" t="n"/>
      <c r="B104" s="55" t="n"/>
      <c r="C104" s="55" t="n"/>
      <c r="D104" s="55" t="n"/>
      <c r="E104" s="55" t="n"/>
      <c r="F104" s="55" t="n"/>
      <c r="G104" s="55" t="n"/>
      <c r="H104" s="55" t="n"/>
      <c r="I104" s="55" t="n"/>
      <c r="J104" s="55" t="n"/>
      <c r="K104" s="55" t="n"/>
      <c r="L104" s="55" t="n"/>
      <c r="M104" s="55" t="n"/>
      <c r="N104" s="55" t="n"/>
      <c r="O104" s="55" t="n"/>
      <c r="P104" s="51" t="inlineStr">
        <is>
          <t>26022301P</t>
        </is>
      </c>
      <c r="Q104" s="51" t="inlineStr">
        <is>
          <t>Aware Super AV Maintenance</t>
        </is>
      </c>
      <c r="R104" s="51" t="inlineStr">
        <is>
          <t>PRODUCTION</t>
        </is>
      </c>
      <c r="V104" s="55" t="n"/>
      <c r="W104" s="55" t="n"/>
    </row>
    <row r="105">
      <c r="A105" s="55" t="n"/>
      <c r="B105" s="55" t="n"/>
      <c r="C105" s="55" t="n"/>
      <c r="D105" s="55" t="n"/>
      <c r="E105" s="55" t="n"/>
      <c r="F105" s="55" t="n"/>
      <c r="G105" s="55" t="n"/>
      <c r="H105" s="55" t="n"/>
      <c r="I105" s="55" t="n"/>
      <c r="J105" s="55" t="n"/>
      <c r="K105" s="55" t="n"/>
      <c r="L105" s="55" t="n"/>
      <c r="M105" s="55" t="n"/>
      <c r="N105" s="55" t="n"/>
      <c r="O105" s="55" t="n"/>
      <c r="P105" s="51" t="inlineStr">
        <is>
          <t>26022302</t>
        </is>
      </c>
      <c r="Q105" s="51" t="inlineStr">
        <is>
          <t>GP - Talking Philanthropy - 18.9.26</t>
        </is>
      </c>
      <c r="R105" s="51" t="inlineStr">
        <is>
          <t>PRODUCTION</t>
        </is>
      </c>
      <c r="V105" s="55" t="n"/>
      <c r="W105" s="55" t="n"/>
    </row>
    <row r="106">
      <c r="A106" s="55" t="n"/>
      <c r="B106" s="55" t="n"/>
      <c r="C106" s="55" t="n"/>
      <c r="D106" s="55" t="n"/>
      <c r="E106" s="55" t="n"/>
      <c r="F106" s="55" t="n"/>
      <c r="G106" s="55" t="n"/>
      <c r="H106" s="55" t="n"/>
      <c r="I106" s="55" t="n"/>
      <c r="J106" s="55" t="n"/>
      <c r="K106" s="55" t="n"/>
      <c r="L106" s="55" t="n"/>
      <c r="M106" s="55" t="n"/>
      <c r="N106" s="55" t="n"/>
      <c r="O106" s="55" t="n"/>
      <c r="P106" s="51" t="inlineStr">
        <is>
          <t>26022302V</t>
        </is>
      </c>
      <c r="Q106" s="51" t="inlineStr">
        <is>
          <t>GP - Talking Philanthropy - 18.9.26</t>
        </is>
      </c>
      <c r="R106" s="51" t="inlineStr">
        <is>
          <t>VIDEO</t>
        </is>
      </c>
      <c r="V106" s="55" t="n"/>
      <c r="W106" s="55" t="n"/>
    </row>
    <row r="107">
      <c r="A107" s="55" t="n"/>
      <c r="B107" s="55" t="n"/>
      <c r="C107" s="55" t="n"/>
      <c r="D107" s="55" t="n"/>
      <c r="E107" s="55" t="n"/>
      <c r="F107" s="55" t="n"/>
      <c r="G107" s="55" t="n"/>
      <c r="H107" s="55" t="n"/>
      <c r="I107" s="55" t="n"/>
      <c r="J107" s="55" t="n"/>
      <c r="K107" s="55" t="n"/>
      <c r="L107" s="55" t="n"/>
      <c r="M107" s="55" t="n"/>
      <c r="N107" s="55" t="n"/>
      <c r="O107" s="55" t="n"/>
      <c r="P107" s="51" t="inlineStr">
        <is>
          <t>26022601</t>
        </is>
      </c>
      <c r="Q107" s="51" t="inlineStr">
        <is>
          <t>ART - Annual Members Meeting - 25.11.26</t>
        </is>
      </c>
      <c r="R107" s="51" t="inlineStr">
        <is>
          <t>PRODUCTION</t>
        </is>
      </c>
      <c r="V107" s="55" t="n"/>
      <c r="W107" s="55" t="n"/>
    </row>
    <row r="108">
      <c r="A108" s="55" t="n"/>
      <c r="B108" s="55" t="n"/>
      <c r="C108" s="55" t="n"/>
      <c r="D108" s="55" t="n"/>
      <c r="E108" s="55" t="n"/>
      <c r="F108" s="55" t="n"/>
      <c r="G108" s="55" t="n"/>
      <c r="H108" s="55" t="n"/>
      <c r="I108" s="55" t="n"/>
      <c r="J108" s="55" t="n"/>
      <c r="K108" s="55" t="n"/>
      <c r="L108" s="55" t="n"/>
      <c r="M108" s="55" t="n"/>
      <c r="N108" s="55" t="n"/>
      <c r="O108" s="55" t="n"/>
      <c r="P108" s="51" t="inlineStr">
        <is>
          <t>26022601V</t>
        </is>
      </c>
      <c r="Q108" s="51" t="inlineStr">
        <is>
          <t>ART - Annual Members Meeting - 25.11.26</t>
        </is>
      </c>
      <c r="R108" s="51" t="inlineStr">
        <is>
          <t>VIDEO</t>
        </is>
      </c>
      <c r="V108" s="55" t="n"/>
      <c r="W108" s="55" t="n"/>
    </row>
    <row r="109">
      <c r="A109" s="55" t="n"/>
      <c r="B109" s="55" t="n"/>
      <c r="C109" s="55" t="n"/>
      <c r="D109" s="55" t="n"/>
      <c r="E109" s="55" t="n"/>
      <c r="F109" s="55" t="n"/>
      <c r="G109" s="55" t="n"/>
      <c r="H109" s="55" t="n"/>
      <c r="I109" s="55" t="n"/>
      <c r="J109" s="55" t="n"/>
      <c r="K109" s="55" t="n"/>
      <c r="L109" s="55" t="n"/>
      <c r="M109" s="55" t="n"/>
      <c r="N109" s="55" t="n"/>
      <c r="O109" s="55" t="n"/>
      <c r="P109" s="51" t="inlineStr">
        <is>
          <t>2602901</t>
        </is>
      </c>
      <c r="Q109" s="51" t="inlineStr">
        <is>
          <t>HP-Telstra: Phone Modification</t>
        </is>
      </c>
      <c r="R109" s="51" t="inlineStr">
        <is>
          <t>INTEGRATION</t>
        </is>
      </c>
      <c r="V109" s="55" t="n"/>
      <c r="W109" s="55" t="n"/>
    </row>
    <row r="110">
      <c r="A110" s="55" t="n"/>
      <c r="B110" s="55" t="n"/>
      <c r="C110" s="55" t="n"/>
      <c r="D110" s="55" t="n"/>
      <c r="E110" s="55" t="n"/>
      <c r="F110" s="55" t="n"/>
      <c r="G110" s="55" t="n"/>
      <c r="H110" s="55" t="n"/>
      <c r="I110" s="55" t="n"/>
      <c r="J110" s="55" t="n"/>
      <c r="K110" s="55" t="n"/>
      <c r="L110" s="55" t="n"/>
      <c r="M110" s="55" t="n"/>
      <c r="N110" s="55" t="n"/>
      <c r="O110" s="55" t="n"/>
      <c r="P110" s="51" t="inlineStr">
        <is>
          <t>2603104</t>
        </is>
      </c>
      <c r="Q110" s="51" t="inlineStr">
        <is>
          <t>Cochlear FY26 Results 18.8.26</t>
        </is>
      </c>
      <c r="R110" s="51" t="inlineStr">
        <is>
          <t>PRODUCTION</t>
        </is>
      </c>
      <c r="V110" s="55" t="n"/>
      <c r="W110" s="55" t="n"/>
    </row>
    <row r="111">
      <c r="A111" s="55" t="n"/>
      <c r="B111" s="55" t="n"/>
      <c r="C111" s="55" t="n"/>
      <c r="D111" s="55" t="n"/>
      <c r="E111" s="55" t="n"/>
      <c r="F111" s="55" t="n"/>
      <c r="G111" s="55" t="n"/>
      <c r="H111" s="55" t="n"/>
      <c r="I111" s="55" t="n"/>
      <c r="J111" s="55" t="n"/>
      <c r="K111" s="55" t="n"/>
      <c r="L111" s="55" t="n"/>
      <c r="M111" s="55" t="n"/>
      <c r="N111" s="55" t="n"/>
      <c r="O111" s="55" t="n"/>
      <c r="P111" s="51" t="inlineStr">
        <is>
          <t>2603104V</t>
        </is>
      </c>
      <c r="Q111" s="51" t="inlineStr">
        <is>
          <t>Cochlear FY26 Results 18.8.26</t>
        </is>
      </c>
      <c r="R111" s="51" t="inlineStr">
        <is>
          <t>VIDEO</t>
        </is>
      </c>
      <c r="V111" s="55" t="n"/>
      <c r="W111" s="55" t="n"/>
    </row>
    <row r="112">
      <c r="A112" s="55" t="n"/>
      <c r="B112" s="55" t="n"/>
      <c r="C112" s="55" t="n"/>
      <c r="D112" s="55" t="n"/>
      <c r="E112" s="55" t="n"/>
      <c r="F112" s="55" t="n"/>
      <c r="G112" s="55" t="n"/>
      <c r="H112" s="55" t="n"/>
      <c r="I112" s="55" t="n"/>
      <c r="J112" s="55" t="n"/>
      <c r="K112" s="55" t="n"/>
      <c r="L112" s="55" t="n"/>
      <c r="M112" s="55" t="n"/>
      <c r="N112" s="55" t="n"/>
      <c r="O112" s="55" t="n"/>
      <c r="P112" s="51" t="inlineStr">
        <is>
          <t>2603105</t>
        </is>
      </c>
      <c r="Q112" s="51" t="inlineStr">
        <is>
          <t>Cochlear - AGM - 26.10.26</t>
        </is>
      </c>
      <c r="R112" s="51" t="inlineStr">
        <is>
          <t>PRODUCTION</t>
        </is>
      </c>
      <c r="V112" s="55" t="n"/>
      <c r="W112" s="55" t="n"/>
    </row>
    <row r="113">
      <c r="A113" s="55" t="n"/>
      <c r="B113" s="55" t="n"/>
      <c r="C113" s="55" t="n"/>
      <c r="D113" s="55" t="n"/>
      <c r="E113" s="55" t="n"/>
      <c r="F113" s="55" t="n"/>
      <c r="G113" s="55" t="n"/>
      <c r="H113" s="55" t="n"/>
      <c r="I113" s="55" t="n"/>
      <c r="J113" s="55" t="n"/>
      <c r="K113" s="55" t="n"/>
      <c r="L113" s="55" t="n"/>
      <c r="M113" s="55" t="n"/>
      <c r="N113" s="55" t="n"/>
      <c r="O113" s="55" t="n"/>
      <c r="P113" s="51" t="inlineStr">
        <is>
          <t>2603105V</t>
        </is>
      </c>
      <c r="Q113" s="51" t="inlineStr">
        <is>
          <t>Cochlear - AGM - 26.10.26</t>
        </is>
      </c>
      <c r="R113" s="51" t="inlineStr">
        <is>
          <t>VIDEO</t>
        </is>
      </c>
      <c r="V113" s="55" t="n"/>
      <c r="W113" s="55" t="n"/>
    </row>
    <row r="114">
      <c r="A114" s="55" t="n"/>
      <c r="B114" s="55" t="n"/>
      <c r="C114" s="55" t="n"/>
      <c r="D114" s="55" t="n"/>
      <c r="E114" s="55" t="n"/>
      <c r="F114" s="55" t="n"/>
      <c r="G114" s="55" t="n"/>
      <c r="H114" s="55" t="n"/>
      <c r="I114" s="55" t="n"/>
      <c r="J114" s="55" t="n"/>
      <c r="K114" s="55" t="n"/>
      <c r="L114" s="55" t="n"/>
      <c r="M114" s="55" t="n"/>
      <c r="N114" s="55" t="n"/>
      <c r="O114" s="55" t="n"/>
      <c r="P114" s="51" t="inlineStr">
        <is>
          <t>2603202</t>
        </is>
      </c>
      <c r="Q114" s="51" t="inlineStr">
        <is>
          <t>Property NSW 5 O’Keefe Ave Nowra Workplace Hub</t>
        </is>
      </c>
      <c r="R114" s="51" t="inlineStr">
        <is>
          <t>INTEGRATION</t>
        </is>
      </c>
      <c r="V114" s="55" t="n"/>
      <c r="W114" s="55" t="n"/>
    </row>
    <row r="115">
      <c r="A115" s="55" t="n"/>
      <c r="B115" s="55" t="n"/>
      <c r="C115" s="55" t="n"/>
      <c r="D115" s="55" t="n"/>
      <c r="E115" s="55" t="n"/>
      <c r="F115" s="55" t="n"/>
      <c r="G115" s="55" t="n"/>
      <c r="H115" s="55" t="n"/>
      <c r="I115" s="55" t="n"/>
      <c r="J115" s="55" t="n"/>
      <c r="K115" s="55" t="n"/>
      <c r="L115" s="55" t="n"/>
      <c r="M115" s="55" t="n"/>
      <c r="N115" s="55" t="n"/>
      <c r="O115" s="55" t="n"/>
      <c r="P115" s="51" t="inlineStr">
        <is>
          <t>26032301</t>
        </is>
      </c>
      <c r="Q115" s="51" t="inlineStr">
        <is>
          <t>RSNSW - OGM - 1.7.2026</t>
        </is>
      </c>
      <c r="R115" s="51" t="inlineStr">
        <is>
          <t>PRODUCTION</t>
        </is>
      </c>
      <c r="V115" s="55" t="n"/>
      <c r="W115" s="55" t="n"/>
    </row>
    <row r="116">
      <c r="A116" s="55" t="n"/>
      <c r="B116" s="55" t="n"/>
      <c r="C116" s="55" t="n"/>
      <c r="D116" s="55" t="n"/>
      <c r="E116" s="55" t="n"/>
      <c r="F116" s="55" t="n"/>
      <c r="G116" s="55" t="n"/>
      <c r="H116" s="55" t="n"/>
      <c r="I116" s="55" t="n"/>
      <c r="J116" s="55" t="n"/>
      <c r="K116" s="55" t="n"/>
      <c r="L116" s="55" t="n"/>
      <c r="M116" s="55" t="n"/>
      <c r="N116" s="55" t="n"/>
      <c r="O116" s="55" t="n"/>
      <c r="P116" s="51" t="inlineStr">
        <is>
          <t>26032301V</t>
        </is>
      </c>
      <c r="Q116" s="51" t="inlineStr">
        <is>
          <t>RSNSW - OGM - 1.7.2026</t>
        </is>
      </c>
      <c r="R116" s="51" t="inlineStr">
        <is>
          <t>VIDEO</t>
        </is>
      </c>
      <c r="V116" s="55" t="n"/>
      <c r="W116" s="55" t="n"/>
    </row>
    <row r="117">
      <c r="A117" s="55" t="n"/>
      <c r="B117" s="55" t="n"/>
      <c r="C117" s="55" t="n"/>
      <c r="D117" s="55" t="n"/>
      <c r="E117" s="55" t="n"/>
      <c r="F117" s="55" t="n"/>
      <c r="G117" s="55" t="n"/>
      <c r="H117" s="55" t="n"/>
      <c r="I117" s="55" t="n"/>
      <c r="J117" s="55" t="n"/>
      <c r="K117" s="55" t="n"/>
      <c r="L117" s="55" t="n"/>
      <c r="M117" s="55" t="n"/>
      <c r="N117" s="55" t="n"/>
      <c r="O117" s="55" t="n"/>
      <c r="P117" s="51" t="inlineStr">
        <is>
          <t>26032302</t>
        </is>
      </c>
      <c r="Q117" s="51" t="inlineStr">
        <is>
          <t>RSNSW - OGM - 2.9.2026</t>
        </is>
      </c>
      <c r="R117" s="51" t="inlineStr">
        <is>
          <t>PRODUCTION</t>
        </is>
      </c>
      <c r="V117" s="55" t="n"/>
      <c r="W117" s="55" t="n"/>
    </row>
    <row r="118">
      <c r="A118" s="55" t="n"/>
      <c r="B118" s="55" t="n"/>
      <c r="C118" s="55" t="n"/>
      <c r="D118" s="55" t="n"/>
      <c r="E118" s="55" t="n"/>
      <c r="F118" s="55" t="n"/>
      <c r="G118" s="55" t="n"/>
      <c r="H118" s="55" t="n"/>
      <c r="I118" s="55" t="n"/>
      <c r="J118" s="55" t="n"/>
      <c r="K118" s="55" t="n"/>
      <c r="L118" s="55" t="n"/>
      <c r="M118" s="55" t="n"/>
      <c r="N118" s="55" t="n"/>
      <c r="O118" s="55" t="n"/>
      <c r="P118" s="51" t="inlineStr">
        <is>
          <t>26032302V</t>
        </is>
      </c>
      <c r="Q118" s="51" t="inlineStr">
        <is>
          <t>RSNSW - OGM - 2.9.2026</t>
        </is>
      </c>
      <c r="R118" s="51" t="inlineStr">
        <is>
          <t>VIDEO</t>
        </is>
      </c>
      <c r="V118" s="55" t="n"/>
      <c r="W118" s="55" t="n"/>
    </row>
    <row r="119">
      <c r="A119" s="55" t="n"/>
      <c r="B119" s="55" t="n"/>
      <c r="C119" s="55" t="n"/>
      <c r="D119" s="55" t="n"/>
      <c r="E119" s="55" t="n"/>
      <c r="F119" s="55" t="n"/>
      <c r="G119" s="55" t="n"/>
      <c r="H119" s="55" t="n"/>
      <c r="I119" s="55" t="n"/>
      <c r="J119" s="55" t="n"/>
      <c r="K119" s="55" t="n"/>
      <c r="L119" s="55" t="n"/>
      <c r="M119" s="55" t="n"/>
      <c r="N119" s="55" t="n"/>
      <c r="O119" s="55" t="n"/>
      <c r="P119" s="51" t="inlineStr">
        <is>
          <t>26032501</t>
        </is>
      </c>
      <c r="Q119" s="51" t="inlineStr">
        <is>
          <t>ChorusCall - Regal Partners AGM - 28.5.26</t>
        </is>
      </c>
      <c r="R119" s="51" t="inlineStr">
        <is>
          <t>PRODUCTION</t>
        </is>
      </c>
      <c r="V119" s="55" t="n"/>
      <c r="W119" s="55" t="n"/>
    </row>
    <row r="120">
      <c r="P120" s="51" t="inlineStr">
        <is>
          <t>26032502</t>
        </is>
      </c>
      <c r="Q120" s="51" t="inlineStr">
        <is>
          <t>3YS Owls - Governance Top 100 2026 - 30.10.26</t>
        </is>
      </c>
      <c r="R120" s="51" t="inlineStr">
        <is>
          <t>PRODUCTION</t>
        </is>
      </c>
    </row>
    <row r="121">
      <c r="P121" s="51" t="inlineStr">
        <is>
          <t>26032502V</t>
        </is>
      </c>
      <c r="Q121" s="51" t="inlineStr">
        <is>
          <t>3YS Owls - Governance Top 100 2026 - 30.10.26</t>
        </is>
      </c>
      <c r="R121" s="51" t="inlineStr">
        <is>
          <t>VIDEO</t>
        </is>
      </c>
    </row>
    <row r="122">
      <c r="P122" s="51" t="inlineStr">
        <is>
          <t>26032701</t>
        </is>
      </c>
      <c r="Q122" s="51" t="inlineStr">
        <is>
          <t>MUFG - A1N AGM - 7.5.26</t>
        </is>
      </c>
      <c r="R122" s="51" t="inlineStr">
        <is>
          <t>PRODUCTION</t>
        </is>
      </c>
    </row>
    <row r="123">
      <c r="P123" s="51" t="inlineStr">
        <is>
          <t>26032701V</t>
        </is>
      </c>
      <c r="Q123" s="51" t="inlineStr">
        <is>
          <t>MUFG - A1N AGM - 7.5.26</t>
        </is>
      </c>
      <c r="R123" s="51" t="inlineStr">
        <is>
          <t>VIDEO</t>
        </is>
      </c>
    </row>
    <row r="124">
      <c r="P124" s="51" t="inlineStr">
        <is>
          <t>26032702</t>
        </is>
      </c>
      <c r="Q124" s="51" t="inlineStr">
        <is>
          <t>Ventia Transport Australia and Ventia Networking 6.5.26</t>
        </is>
      </c>
      <c r="R124" s="51" t="inlineStr">
        <is>
          <t>PRODUCTION</t>
        </is>
      </c>
    </row>
    <row r="125">
      <c r="P125" s="51" t="inlineStr">
        <is>
          <t>26032704</t>
        </is>
      </c>
      <c r="Q125" s="51" t="inlineStr">
        <is>
          <t>CBA LES - April 2026</t>
        </is>
      </c>
      <c r="R125" s="51" t="inlineStr">
        <is>
          <t>PRODUCTION</t>
        </is>
      </c>
    </row>
    <row r="126">
      <c r="P126" s="51" t="inlineStr">
        <is>
          <t>26033003</t>
        </is>
      </c>
      <c r="Q126" s="51" t="inlineStr">
        <is>
          <t>DTTL 8PSQ Dream Big Microphones</t>
        </is>
      </c>
      <c r="R126" s="51" t="inlineStr">
        <is>
          <t>INTEGRATION</t>
        </is>
      </c>
    </row>
    <row r="127">
      <c r="P127" s="51" t="inlineStr">
        <is>
          <t>26033004</t>
        </is>
      </c>
      <c r="Q127" s="51" t="inlineStr">
        <is>
          <t>DTTL Melbourne Bluetooth Audio</t>
        </is>
      </c>
      <c r="R127" s="51" t="inlineStr">
        <is>
          <t>INTEGRATION</t>
        </is>
      </c>
    </row>
    <row r="128">
      <c r="P128" s="51" t="inlineStr">
        <is>
          <t>26033005</t>
        </is>
      </c>
      <c r="Q128" s="51" t="inlineStr">
        <is>
          <t>DTTL QQT &amp; 8PSQ Crestron Connect Adaptor</t>
        </is>
      </c>
      <c r="R128" s="51" t="inlineStr">
        <is>
          <t>INTEGRATION</t>
        </is>
      </c>
    </row>
    <row r="129">
      <c r="P129" s="51" t="inlineStr">
        <is>
          <t>26033006</t>
        </is>
      </c>
      <c r="Q129" s="51" t="inlineStr">
        <is>
          <t>DTTL 8PSQ Bluetooth Audio</t>
        </is>
      </c>
      <c r="R129" s="51" t="inlineStr">
        <is>
          <t>INTEGRATION</t>
        </is>
      </c>
    </row>
    <row r="130">
      <c r="P130" s="51" t="inlineStr">
        <is>
          <t>26033007</t>
        </is>
      </c>
      <c r="Q130" s="51" t="inlineStr">
        <is>
          <t>DTTL QQT Lv45 Seminar Wheels repair</t>
        </is>
      </c>
      <c r="R130" s="51" t="inlineStr">
        <is>
          <t>INTEGRATION</t>
        </is>
      </c>
    </row>
    <row r="131">
      <c r="P131" s="51" t="inlineStr">
        <is>
          <t>26033008</t>
        </is>
      </c>
      <c r="Q131" s="51" t="inlineStr">
        <is>
          <t>DTTL MEL Repair of Lv31 LED panels</t>
        </is>
      </c>
      <c r="R131" s="51" t="inlineStr">
        <is>
          <t>INTEGRATION</t>
        </is>
      </c>
    </row>
    <row r="132">
      <c r="P132" s="51" t="inlineStr">
        <is>
          <t>26041603</t>
        </is>
      </c>
      <c r="Q132" s="51" t="inlineStr">
        <is>
          <t>Optiver - Town Hall - 23.7.26</t>
        </is>
      </c>
      <c r="R132" s="51" t="inlineStr">
        <is>
          <t>PRODUCTION</t>
        </is>
      </c>
    </row>
    <row r="133">
      <c r="P133" s="51" t="inlineStr">
        <is>
          <t>26041603V</t>
        </is>
      </c>
      <c r="Q133" s="51" t="inlineStr">
        <is>
          <t>Optiver - Town Hall - 23.7.26</t>
        </is>
      </c>
      <c r="R133" s="51" t="inlineStr">
        <is>
          <t>VIDEO</t>
        </is>
      </c>
    </row>
    <row r="134">
      <c r="P134" s="51" t="inlineStr">
        <is>
          <t>26041701</t>
        </is>
      </c>
      <c r="Q134" s="51" t="inlineStr">
        <is>
          <t>N2 Dance End of Year Concert Videos 2026</t>
        </is>
      </c>
      <c r="R134" s="51" t="inlineStr">
        <is>
          <t>VIDEO</t>
        </is>
      </c>
    </row>
    <row r="135">
      <c r="P135" s="51" t="inlineStr">
        <is>
          <t>26042001</t>
        </is>
      </c>
      <c r="Q135" s="51" t="inlineStr">
        <is>
          <t>ASX - AGM - 22.10.26</t>
        </is>
      </c>
      <c r="R135" s="51" t="inlineStr">
        <is>
          <t>PRODUCTION</t>
        </is>
      </c>
    </row>
    <row r="136">
      <c r="P136" s="51" t="inlineStr">
        <is>
          <t>26042001V</t>
        </is>
      </c>
      <c r="Q136" s="51" t="inlineStr">
        <is>
          <t>ASX - AGM - 22.10.26</t>
        </is>
      </c>
      <c r="R136" s="51" t="inlineStr">
        <is>
          <t>VIDEO</t>
        </is>
      </c>
    </row>
    <row r="137">
      <c r="P137" s="51" t="inlineStr">
        <is>
          <t>2604201</t>
        </is>
      </c>
      <c r="Q137" s="51" t="inlineStr">
        <is>
          <t>Bankwest - Stage Hire - 27.5.2026</t>
        </is>
      </c>
      <c r="R137" s="51" t="inlineStr">
        <is>
          <t>PRODUCTION</t>
        </is>
      </c>
    </row>
    <row r="138">
      <c r="P138" s="51" t="inlineStr">
        <is>
          <t>2604202</t>
        </is>
      </c>
      <c r="Q138" s="51" t="inlineStr">
        <is>
          <t>Ventia - Ventia Awards - 30.7.26</t>
        </is>
      </c>
      <c r="R138" s="51" t="inlineStr">
        <is>
          <t>PRODUCTION</t>
        </is>
      </c>
    </row>
    <row r="139">
      <c r="P139" s="51" t="inlineStr">
        <is>
          <t>2604202V</t>
        </is>
      </c>
      <c r="Q139" s="51" t="inlineStr">
        <is>
          <t>Ventia - Ventia Awards - 30.7.26</t>
        </is>
      </c>
      <c r="R139" s="51" t="inlineStr">
        <is>
          <t>VIDEO</t>
        </is>
      </c>
    </row>
    <row r="140">
      <c r="P140" s="51" t="inlineStr">
        <is>
          <t>2604203V</t>
        </is>
      </c>
      <c r="Q140" s="51" t="inlineStr">
        <is>
          <t>Ventia - Investor Day - 4.5.2026</t>
        </is>
      </c>
      <c r="R140" s="51" t="inlineStr">
        <is>
          <t>VIDEO</t>
        </is>
      </c>
    </row>
    <row r="141">
      <c r="P141" s="51" t="inlineStr">
        <is>
          <t>2604204</t>
        </is>
      </c>
      <c r="Q141" s="51" t="inlineStr">
        <is>
          <t>Ventia - AGM - 21.5.26</t>
        </is>
      </c>
      <c r="R141" s="51" t="inlineStr">
        <is>
          <t>PRODUCTION</t>
        </is>
      </c>
    </row>
    <row r="142">
      <c r="P142" s="51" t="inlineStr">
        <is>
          <t>2604204V</t>
        </is>
      </c>
      <c r="Q142" s="51" t="inlineStr">
        <is>
          <t>Ventia - AGM - 21.5.26</t>
        </is>
      </c>
      <c r="R142" s="51" t="inlineStr">
        <is>
          <t>VIDEO</t>
        </is>
      </c>
    </row>
    <row r="143">
      <c r="P143" s="51" t="inlineStr">
        <is>
          <t>26042802</t>
        </is>
      </c>
      <c r="Q143" s="51" t="inlineStr">
        <is>
          <t>DTTL DAR Meeting Room Extension Cable Install</t>
        </is>
      </c>
      <c r="R143" s="51" t="inlineStr">
        <is>
          <t>INTEGRATION</t>
        </is>
      </c>
    </row>
    <row r="144">
      <c r="P144" s="51" t="inlineStr">
        <is>
          <t>26043001</t>
        </is>
      </c>
      <c r="Q144" s="51" t="inlineStr">
        <is>
          <t>CBA FT Tech MEL - 12 months</t>
        </is>
      </c>
      <c r="R144" s="51" t="inlineStr">
        <is>
          <t>ONSITE</t>
        </is>
      </c>
    </row>
    <row r="145">
      <c r="P145" s="51" t="inlineStr">
        <is>
          <t>26043002</t>
        </is>
      </c>
      <c r="Q145" s="51" t="inlineStr">
        <is>
          <t>CTS Town Hall</t>
        </is>
      </c>
      <c r="R145" s="51" t="inlineStr">
        <is>
          <t>CTS</t>
        </is>
      </c>
    </row>
    <row r="146">
      <c r="P146" s="51" t="inlineStr">
        <is>
          <t>26043003</t>
        </is>
      </c>
      <c r="Q146" s="51" t="inlineStr">
        <is>
          <t>PwC Screen Replacements SYD+MEL</t>
        </is>
      </c>
      <c r="R146" s="51" t="inlineStr">
        <is>
          <t>INTEGRATION</t>
        </is>
      </c>
    </row>
    <row r="147">
      <c r="P147" s="51" t="inlineStr">
        <is>
          <t>2604704</t>
        </is>
      </c>
      <c r="Q147" s="51" t="inlineStr">
        <is>
          <t>Aware Super Seminar Room Audio Upgrade</t>
        </is>
      </c>
      <c r="R147" s="51" t="inlineStr">
        <is>
          <t>INTEGRATION</t>
        </is>
      </c>
    </row>
    <row r="148">
      <c r="P148" s="51" t="inlineStr">
        <is>
          <t>2604802</t>
        </is>
      </c>
      <c r="Q148" s="51" t="inlineStr">
        <is>
          <t>PwC - Audio Support - 29.4.26</t>
        </is>
      </c>
      <c r="R148" s="51" t="inlineStr">
        <is>
          <t>PRODUCTION</t>
        </is>
      </c>
    </row>
    <row r="149">
      <c r="P149" s="51" t="inlineStr">
        <is>
          <t>26051101</t>
        </is>
      </c>
      <c r="Q149" s="51" t="inlineStr">
        <is>
          <t>DTTL Mardi Gras/Vivid Event 27/05/26</t>
        </is>
      </c>
      <c r="R149" s="51" t="inlineStr">
        <is>
          <t>PRODUCTION</t>
        </is>
      </c>
    </row>
    <row r="150">
      <c r="P150" s="51" t="inlineStr">
        <is>
          <t>26051101V</t>
        </is>
      </c>
      <c r="Q150" s="51" t="inlineStr">
        <is>
          <t>DTTL Mardi Gras/Vivid Event 27/05/26</t>
        </is>
      </c>
      <c r="R150" s="51" t="inlineStr">
        <is>
          <t>VIDEO</t>
        </is>
      </c>
    </row>
    <row r="151">
      <c r="P151" s="51" t="inlineStr">
        <is>
          <t>26051102</t>
        </is>
      </c>
      <c r="Q151" s="51" t="inlineStr">
        <is>
          <t>DTTL - CEO Roadshow - 1.6.26</t>
        </is>
      </c>
      <c r="R151" s="51" t="inlineStr">
        <is>
          <t>PRODUCTION</t>
        </is>
      </c>
    </row>
    <row r="152">
      <c r="P152" s="51" t="inlineStr">
        <is>
          <t>26051102V</t>
        </is>
      </c>
      <c r="Q152" s="51" t="inlineStr">
        <is>
          <t>DTTL - CEO Roadshow - 1.6.26</t>
        </is>
      </c>
      <c r="R152" s="51" t="inlineStr">
        <is>
          <t>VIDEO</t>
        </is>
      </c>
    </row>
    <row r="153">
      <c r="P153" s="51" t="inlineStr">
        <is>
          <t>26051103</t>
        </is>
      </c>
      <c r="Q153" s="51" t="inlineStr">
        <is>
          <t>PwC PER Studio Support 25.05.26</t>
        </is>
      </c>
      <c r="R153" s="51" t="inlineStr">
        <is>
          <t>PRODUCTION</t>
        </is>
      </c>
    </row>
    <row r="154">
      <c r="P154" s="51" t="inlineStr">
        <is>
          <t>26051103V</t>
        </is>
      </c>
      <c r="Q154" s="51" t="inlineStr">
        <is>
          <t>PwC PER Studio Support 25.05.26</t>
        </is>
      </c>
      <c r="R154" s="51" t="inlineStr">
        <is>
          <t>VIDEO</t>
        </is>
      </c>
    </row>
    <row r="155">
      <c r="P155" s="51" t="inlineStr">
        <is>
          <t>26051201</t>
        </is>
      </c>
      <c r="Q155" s="51" t="inlineStr">
        <is>
          <t>ASX CEO Farewell Highlights</t>
        </is>
      </c>
      <c r="R155" s="51" t="inlineStr">
        <is>
          <t>VIDEO</t>
        </is>
      </c>
    </row>
    <row r="156">
      <c r="P156" s="51" t="inlineStr">
        <is>
          <t>26051301</t>
        </is>
      </c>
      <c r="Q156" s="51" t="inlineStr">
        <is>
          <t>HP-BAE | Phone Mod</t>
        </is>
      </c>
      <c r="R156" s="51" t="inlineStr">
        <is>
          <t>INTEGRATION</t>
        </is>
      </c>
    </row>
    <row r="157">
      <c r="P157" s="51" t="inlineStr">
        <is>
          <t>26051401</t>
        </is>
      </c>
      <c r="Q157" s="51" t="inlineStr">
        <is>
          <t>ASX - Business Meeting - 27.5.26</t>
        </is>
      </c>
      <c r="R157" s="51" t="inlineStr">
        <is>
          <t>PRODUCTION</t>
        </is>
      </c>
    </row>
    <row r="158">
      <c r="P158" s="51" t="inlineStr">
        <is>
          <t>26051401V</t>
        </is>
      </c>
      <c r="Q158" s="51" t="inlineStr">
        <is>
          <t>ASX - Business Meeting - 27.5.26</t>
        </is>
      </c>
      <c r="R158" s="51" t="inlineStr">
        <is>
          <t>VIDEO</t>
        </is>
      </c>
    </row>
    <row r="159">
      <c r="P159" s="51" t="inlineStr">
        <is>
          <t>26051402</t>
        </is>
      </c>
      <c r="Q159" s="51" t="inlineStr">
        <is>
          <t>PwC Foldback Monitor Hire</t>
        </is>
      </c>
      <c r="R159" s="51" t="inlineStr">
        <is>
          <t>PRODUCTION</t>
        </is>
      </c>
    </row>
    <row r="160">
      <c r="P160" s="51" t="inlineStr">
        <is>
          <t>26051801</t>
        </is>
      </c>
      <c r="Q160" s="51" t="inlineStr">
        <is>
          <t>PwC | Mel Studio Equipment</t>
        </is>
      </c>
      <c r="R160" s="51" t="inlineStr">
        <is>
          <t>INTEGRATION</t>
        </is>
      </c>
    </row>
    <row r="161">
      <c r="P161" s="51" t="inlineStr">
        <is>
          <t>26051803</t>
        </is>
      </c>
      <c r="Q161" s="51" t="inlineStr">
        <is>
          <t>AVIT - Taronga ZOO AV Support - May 2026</t>
        </is>
      </c>
      <c r="R161" s="51" t="inlineStr">
        <is>
          <t>PRODUCTION</t>
        </is>
      </c>
    </row>
    <row r="162">
      <c r="P162" s="51" t="inlineStr">
        <is>
          <t>26052001</t>
        </is>
      </c>
      <c r="Q162" s="51" t="inlineStr">
        <is>
          <t>MeetMagic - AI Behaviour Event - 29.5.26</t>
        </is>
      </c>
      <c r="R162" s="51" t="inlineStr">
        <is>
          <t>PRODUCTION</t>
        </is>
      </c>
    </row>
    <row r="163">
      <c r="P163" s="51" t="inlineStr">
        <is>
          <t>26052001V</t>
        </is>
      </c>
      <c r="Q163" s="51" t="inlineStr">
        <is>
          <t>MeetMagic - AI Behaviour Event - 29.5.26</t>
        </is>
      </c>
      <c r="R163" s="51" t="inlineStr">
        <is>
          <t>VIDEO</t>
        </is>
      </c>
    </row>
    <row r="164">
      <c r="P164" s="51" t="inlineStr">
        <is>
          <t>26052002</t>
        </is>
      </c>
      <c r="Q164" s="51" t="inlineStr">
        <is>
          <t>DTTL BNE L23 Training Rooms Upgrade</t>
        </is>
      </c>
      <c r="R164" s="51" t="inlineStr">
        <is>
          <t>INTEGRATION</t>
        </is>
      </c>
    </row>
    <row r="165">
      <c r="P165" s="51" t="inlineStr">
        <is>
          <t>26052003</t>
        </is>
      </c>
      <c r="Q165" s="51" t="inlineStr">
        <is>
          <t>DTTL Mobile Commbox Displays</t>
        </is>
      </c>
      <c r="R165" s="51" t="inlineStr">
        <is>
          <t>INTEGRATION</t>
        </is>
      </c>
    </row>
    <row r="166">
      <c r="P166" s="51" t="inlineStr">
        <is>
          <t>26052004</t>
        </is>
      </c>
      <c r="Q166" s="51" t="inlineStr">
        <is>
          <t>CBA - Live Event Support - June 2026</t>
        </is>
      </c>
      <c r="R166" s="51" t="inlineStr">
        <is>
          <t>PRODUCTION</t>
        </is>
      </c>
    </row>
    <row r="167">
      <c r="P167" s="51" t="inlineStr">
        <is>
          <t>26052101</t>
        </is>
      </c>
      <c r="Q167" s="51" t="inlineStr">
        <is>
          <t>MeetMagic - Human AI Event Highlights</t>
        </is>
      </c>
      <c r="R167" s="51" t="inlineStr">
        <is>
          <t>VIDEO</t>
        </is>
      </c>
    </row>
    <row r="168">
      <c r="P168" s="51" t="inlineStr">
        <is>
          <t>26052102</t>
        </is>
      </c>
      <c r="Q168" s="51" t="inlineStr">
        <is>
          <t>HP-D3 | Austrac Phone Mods</t>
        </is>
      </c>
      <c r="R168" s="51" t="inlineStr">
        <is>
          <t>INTEGRATION</t>
        </is>
      </c>
    </row>
    <row r="169">
      <c r="P169" s="51" t="inlineStr">
        <is>
          <t>26052103</t>
        </is>
      </c>
      <c r="Q169" s="51" t="inlineStr">
        <is>
          <t>Ventia - LTI FY26 Video Record</t>
        </is>
      </c>
      <c r="R169" s="51" t="inlineStr">
        <is>
          <t>VIDEO</t>
        </is>
      </c>
    </row>
    <row r="170">
      <c r="P170" s="51" t="inlineStr">
        <is>
          <t>26052501V</t>
        </is>
      </c>
      <c r="Q170" s="51" t="inlineStr">
        <is>
          <t>AVIT - Taronga AV Event Support - 26-27.5.26</t>
        </is>
      </c>
      <c r="R170" s="51" t="inlineStr">
        <is>
          <t>VIDEO</t>
        </is>
      </c>
    </row>
    <row r="171">
      <c r="P171" s="51" t="inlineStr">
        <is>
          <t>26052502</t>
        </is>
      </c>
      <c r="Q171" s="51" t="inlineStr">
        <is>
          <t>AVIT - Taronga AV Event Support 4-5.06.26</t>
        </is>
      </c>
      <c r="R171" s="51" t="inlineStr">
        <is>
          <t>PRODUCTION</t>
        </is>
      </c>
    </row>
    <row r="172">
      <c r="P172" s="51" t="inlineStr">
        <is>
          <t>26052502V</t>
        </is>
      </c>
      <c r="Q172" s="51" t="inlineStr">
        <is>
          <t>AVIT - Taronga AV Event Support 4-5.06.26</t>
        </is>
      </c>
      <c r="R172" s="51" t="inlineStr">
        <is>
          <t>VIDEO</t>
        </is>
      </c>
    </row>
    <row r="173">
      <c r="P173" s="51" t="inlineStr">
        <is>
          <t>26052602</t>
        </is>
      </c>
      <c r="Q173" s="51" t="inlineStr">
        <is>
          <t>DTTL MEL Display Supply</t>
        </is>
      </c>
      <c r="R173" s="51" t="inlineStr">
        <is>
          <t>INTEGRATION</t>
        </is>
      </c>
    </row>
    <row r="174">
      <c r="P174" s="51" t="inlineStr">
        <is>
          <t>26052701</t>
        </is>
      </c>
      <c r="Q174" s="51" t="inlineStr">
        <is>
          <t>Aware | SYD 28.06 Equipment</t>
        </is>
      </c>
      <c r="R174" s="51" t="inlineStr">
        <is>
          <t>INTEGRATION</t>
        </is>
      </c>
    </row>
    <row r="175">
      <c r="P175" s="51" t="inlineStr">
        <is>
          <t>26052702</t>
        </is>
      </c>
      <c r="Q175" s="51" t="inlineStr">
        <is>
          <t>ASX - FYR - 13.8.26</t>
        </is>
      </c>
      <c r="R175" s="51" t="inlineStr">
        <is>
          <t>PRODUCTION</t>
        </is>
      </c>
    </row>
    <row r="176">
      <c r="P176" s="51" t="inlineStr">
        <is>
          <t>26052702V</t>
        </is>
      </c>
      <c r="Q176" s="51" t="inlineStr">
        <is>
          <t>ASX - FYR - 13.8.26</t>
        </is>
      </c>
      <c r="R176" s="51" t="inlineStr">
        <is>
          <t>VIDEO</t>
        </is>
      </c>
    </row>
    <row r="177">
      <c r="P177" s="51" t="inlineStr">
        <is>
          <t>26052703</t>
        </is>
      </c>
      <c r="Q177" s="51" t="inlineStr">
        <is>
          <t>Microsoft Town Hall - 21.7.26</t>
        </is>
      </c>
      <c r="R177" s="51" t="inlineStr">
        <is>
          <t>PRODUCTION</t>
        </is>
      </c>
    </row>
    <row r="178">
      <c r="P178" s="51" t="inlineStr">
        <is>
          <t>26052703V</t>
        </is>
      </c>
      <c r="Q178" s="51" t="inlineStr">
        <is>
          <t>Microsoft Town Hall - 21.7.26</t>
        </is>
      </c>
      <c r="R178" s="51" t="inlineStr">
        <is>
          <t>VIDEO</t>
        </is>
      </c>
    </row>
    <row r="179">
      <c r="P179" s="51" t="inlineStr">
        <is>
          <t>26052704</t>
        </is>
      </c>
      <c r="Q179" s="51" t="inlineStr">
        <is>
          <t>AVIT - Pinsent Masons Technician Callout</t>
        </is>
      </c>
      <c r="R179" s="51" t="inlineStr">
        <is>
          <t>ONSITE</t>
        </is>
      </c>
    </row>
    <row r="180">
      <c r="P180" s="51" t="inlineStr">
        <is>
          <t>26052901</t>
        </is>
      </c>
      <c r="Q180" s="51" t="inlineStr">
        <is>
          <t>Causeway Productions - Stool Hire - 1.6.27</t>
        </is>
      </c>
      <c r="R180" s="51" t="inlineStr">
        <is>
          <t>PRODUCTION</t>
        </is>
      </c>
    </row>
    <row r="181">
      <c r="P181" s="51" t="inlineStr">
        <is>
          <t>26052901V</t>
        </is>
      </c>
      <c r="Q181" s="51" t="inlineStr">
        <is>
          <t>Causeway Productions - Stool Hire - 1.6.27</t>
        </is>
      </c>
      <c r="R181" s="51" t="inlineStr">
        <is>
          <t>VIDEO</t>
        </is>
      </c>
    </row>
    <row r="182">
      <c r="P182" s="51" t="inlineStr">
        <is>
          <t>2605401</t>
        </is>
      </c>
      <c r="Q182" s="51" t="inlineStr">
        <is>
          <t>AGL FYR - Investor Briefing - 12.8.26</t>
        </is>
      </c>
      <c r="R182" s="51" t="inlineStr">
        <is>
          <t>PRODUCTION</t>
        </is>
      </c>
    </row>
    <row r="183">
      <c r="P183" s="51" t="inlineStr">
        <is>
          <t>2605401V</t>
        </is>
      </c>
      <c r="Q183" s="51" t="inlineStr">
        <is>
          <t>AGL FYR - Investor Briefing - 12.8.26</t>
        </is>
      </c>
      <c r="R183" s="51" t="inlineStr">
        <is>
          <t>VIDEO</t>
        </is>
      </c>
    </row>
    <row r="184">
      <c r="P184" s="51" t="inlineStr">
        <is>
          <t>2605402</t>
        </is>
      </c>
      <c r="Q184" s="51" t="inlineStr">
        <is>
          <t>AGL FYR - Employee Town Hall - 12.8.26</t>
        </is>
      </c>
      <c r="R184" s="51" t="inlineStr">
        <is>
          <t>PRODUCTION</t>
        </is>
      </c>
    </row>
    <row r="185">
      <c r="P185" s="51" t="inlineStr">
        <is>
          <t>2605402V</t>
        </is>
      </c>
      <c r="Q185" s="51" t="inlineStr">
        <is>
          <t>AGL FYR - Employee Town Hall - 12.8.26</t>
        </is>
      </c>
      <c r="R185" s="51" t="inlineStr">
        <is>
          <t>VIDEO</t>
        </is>
      </c>
    </row>
    <row r="186">
      <c r="P186" s="51" t="inlineStr">
        <is>
          <t>2605403</t>
        </is>
      </c>
      <c r="Q186" s="51" t="inlineStr">
        <is>
          <t>ARUP - Oves Awards - 23.7.26</t>
        </is>
      </c>
      <c r="R186" s="51" t="inlineStr">
        <is>
          <t>PRODUCTION</t>
        </is>
      </c>
    </row>
    <row r="187">
      <c r="P187" s="51" t="inlineStr">
        <is>
          <t>2605403V</t>
        </is>
      </c>
      <c r="Q187" s="51" t="inlineStr">
        <is>
          <t>ARUP - Oves Awards - 23.7.26</t>
        </is>
      </c>
      <c r="R187" s="51" t="inlineStr">
        <is>
          <t>VIDEO</t>
        </is>
      </c>
    </row>
    <row r="188">
      <c r="P188" s="51" t="inlineStr">
        <is>
          <t>2605501</t>
        </is>
      </c>
      <c r="Q188" s="51" t="inlineStr">
        <is>
          <t>DTTL Tech Support AWS AP AI Symposium</t>
        </is>
      </c>
      <c r="R188" s="51" t="inlineStr">
        <is>
          <t>ONSITE</t>
        </is>
      </c>
    </row>
    <row r="189">
      <c r="P189" s="51" t="inlineStr">
        <is>
          <t>2605502</t>
        </is>
      </c>
      <c r="Q189" s="51" t="inlineStr">
        <is>
          <t>CBA BNE - Event Support - 13.5.26</t>
        </is>
      </c>
      <c r="R189" s="51" t="inlineStr">
        <is>
          <t>PRODUCTION</t>
        </is>
      </c>
    </row>
    <row r="190">
      <c r="P190" s="51" t="inlineStr">
        <is>
          <t>2605502V</t>
        </is>
      </c>
      <c r="Q190" s="51" t="inlineStr">
        <is>
          <t>CBA BNE - Event Support - 13.5.26</t>
        </is>
      </c>
      <c r="R190" s="51" t="inlineStr">
        <is>
          <t>VIDEO</t>
        </is>
      </c>
    </row>
    <row r="191">
      <c r="P191" s="51" t="inlineStr">
        <is>
          <t>2605503</t>
        </is>
      </c>
      <c r="Q191" s="51" t="inlineStr">
        <is>
          <t>DTTL L31 reception Led Wall Audio DSP Repair</t>
        </is>
      </c>
      <c r="R191" s="51" t="inlineStr">
        <is>
          <t>INTEGRATION</t>
        </is>
      </c>
    </row>
    <row r="192">
      <c r="P192" s="51" t="inlineStr">
        <is>
          <t>2605605</t>
        </is>
      </c>
      <c r="Q192" s="51" t="inlineStr">
        <is>
          <t>DTTL Hobart AV Fitout</t>
        </is>
      </c>
      <c r="R192" s="51" t="inlineStr">
        <is>
          <t>INTEGRATION</t>
        </is>
      </c>
    </row>
    <row r="193">
      <c r="P193" s="51" t="inlineStr">
        <is>
          <t>2605606</t>
        </is>
      </c>
      <c r="Q193" s="51" t="inlineStr">
        <is>
          <t>Ventia Internal Townhall 8.05.26</t>
        </is>
      </c>
      <c r="R193" s="51" t="inlineStr">
        <is>
          <t>PRODUCTION</t>
        </is>
      </c>
    </row>
    <row r="194">
      <c r="P194" s="51" t="inlineStr">
        <is>
          <t>2605606V</t>
        </is>
      </c>
      <c r="Q194" s="51" t="inlineStr">
        <is>
          <t>Ventia Internal Townhall 8.05.26</t>
        </is>
      </c>
      <c r="R194" s="51" t="inlineStr">
        <is>
          <t>VIDEO</t>
        </is>
      </c>
    </row>
    <row r="195">
      <c r="P195" s="51" t="inlineStr">
        <is>
          <t>2605609</t>
        </is>
      </c>
      <c r="Q195" s="51" t="inlineStr">
        <is>
          <t>ASX - CEO Farewell - 27.5.26</t>
        </is>
      </c>
      <c r="R195" s="51" t="inlineStr">
        <is>
          <t>PRODUCTION</t>
        </is>
      </c>
    </row>
    <row r="196">
      <c r="P196" s="51" t="inlineStr">
        <is>
          <t>2605609V</t>
        </is>
      </c>
      <c r="Q196" s="51" t="inlineStr">
        <is>
          <t>ASX - CEO Farewell - 27.5.26</t>
        </is>
      </c>
      <c r="R196" s="51" t="inlineStr">
        <is>
          <t>VIDEO</t>
        </is>
      </c>
    </row>
    <row r="197">
      <c r="P197" s="51" t="inlineStr">
        <is>
          <t>2605610</t>
        </is>
      </c>
      <c r="Q197" s="51" t="inlineStr">
        <is>
          <t>ASX CEO Farewell Additional Costs</t>
        </is>
      </c>
      <c r="R197" s="51" t="inlineStr">
        <is>
          <t>PRODUCTION</t>
        </is>
      </c>
    </row>
    <row r="198">
      <c r="P198" s="51" t="inlineStr">
        <is>
          <t>2605704</t>
        </is>
      </c>
      <c r="Q198" s="51" t="inlineStr">
        <is>
          <t>CBA CBPS Auditorium Upgrade</t>
        </is>
      </c>
      <c r="R198" s="51" t="inlineStr">
        <is>
          <t>INTEGRATION</t>
        </is>
      </c>
    </row>
    <row r="199">
      <c r="P199" s="51" t="inlineStr">
        <is>
          <t>2605801</t>
        </is>
      </c>
      <c r="Q199" s="51" t="inlineStr">
        <is>
          <t>Dimensional - AV Support - 3-4.6.26</t>
        </is>
      </c>
      <c r="R199" s="51" t="inlineStr">
        <is>
          <t>PRODUCTION</t>
        </is>
      </c>
    </row>
    <row r="200">
      <c r="P200" s="51" t="inlineStr">
        <is>
          <t>2605803</t>
        </is>
      </c>
      <c r="Q200" s="51" t="inlineStr">
        <is>
          <t>St Catherine's - Dedicated Tech - 12.6.26</t>
        </is>
      </c>
      <c r="R200" s="51" t="inlineStr">
        <is>
          <t>PRODUCTION</t>
        </is>
      </c>
    </row>
    <row r="201">
      <c r="P201" s="51" t="inlineStr">
        <is>
          <t>2605804</t>
        </is>
      </c>
      <c r="Q201" s="51" t="inlineStr">
        <is>
          <t>City of Sydney Supply of Barco Projector Shutters</t>
        </is>
      </c>
      <c r="R201" s="51" t="inlineStr">
        <is>
          <t>INTEGRATION</t>
        </is>
      </c>
    </row>
    <row r="202">
      <c r="P202" s="51" t="inlineStr">
        <is>
          <t>2605806</t>
        </is>
      </c>
      <c r="Q202" s="51" t="inlineStr">
        <is>
          <t>Aware Super AV Fitout @ 555 Collins Street MEL</t>
        </is>
      </c>
      <c r="R202" s="51" t="inlineStr">
        <is>
          <t>INTEGRATION</t>
        </is>
      </c>
    </row>
    <row r="203">
      <c r="P203" s="51" t="inlineStr">
        <is>
          <t>26061001</t>
        </is>
      </c>
      <c r="Q203" s="51" t="inlineStr">
        <is>
          <t>Garvan August All Clear Event 25.8.26</t>
        </is>
      </c>
      <c r="R203" s="51" t="inlineStr">
        <is>
          <t>PRODUCTION</t>
        </is>
      </c>
    </row>
    <row r="204">
      <c r="P204" s="51" t="inlineStr">
        <is>
          <t>26061002</t>
        </is>
      </c>
      <c r="Q204" s="51" t="inlineStr">
        <is>
          <t>Optiver - Fireside Event Support - 18.6.26</t>
        </is>
      </c>
      <c r="R204" s="51" t="inlineStr">
        <is>
          <t>PRODUCTION</t>
        </is>
      </c>
    </row>
    <row r="205">
      <c r="P205" s="51" t="inlineStr">
        <is>
          <t>26061002V</t>
        </is>
      </c>
      <c r="Q205" s="51" t="inlineStr">
        <is>
          <t>Optiver - Fireside Event Support - 18.6.26</t>
        </is>
      </c>
      <c r="R205" s="51" t="inlineStr">
        <is>
          <t>VIDEO</t>
        </is>
      </c>
    </row>
    <row r="206">
      <c r="P206" s="51" t="inlineStr">
        <is>
          <t>26061102</t>
        </is>
      </c>
      <c r="Q206" s="51" t="inlineStr">
        <is>
          <t>CSE Invest Sri Lanka | 16.8.26</t>
        </is>
      </c>
      <c r="R206" s="51" t="inlineStr">
        <is>
          <t>PRODUCTION</t>
        </is>
      </c>
    </row>
    <row r="207">
      <c r="P207" s="51" t="inlineStr">
        <is>
          <t>26061102V</t>
        </is>
      </c>
      <c r="Q207" s="51" t="inlineStr">
        <is>
          <t>CSE Invest Sri Lanka | 16.8.26</t>
        </is>
      </c>
      <c r="R207" s="51" t="inlineStr">
        <is>
          <t>VIDEO</t>
        </is>
      </c>
    </row>
    <row r="208">
      <c r="P208" s="51" t="inlineStr">
        <is>
          <t>26061103</t>
        </is>
      </c>
      <c r="Q208" s="51" t="inlineStr">
        <is>
          <t>Circadia Australia Elevate | 14.8.26</t>
        </is>
      </c>
      <c r="R208" s="51" t="inlineStr">
        <is>
          <t>PRODUCTION</t>
        </is>
      </c>
    </row>
    <row r="209">
      <c r="P209" s="51" t="inlineStr">
        <is>
          <t>26061103V</t>
        </is>
      </c>
      <c r="Q209" s="51" t="inlineStr">
        <is>
          <t>Circadia Australia Elevate | 14.8.26</t>
        </is>
      </c>
      <c r="R209" s="51" t="inlineStr">
        <is>
          <t>VIDEO</t>
        </is>
      </c>
    </row>
    <row r="210">
      <c r="P210" s="51" t="inlineStr">
        <is>
          <t>26061104</t>
        </is>
      </c>
      <c r="Q210" s="51" t="inlineStr">
        <is>
          <t>MUFG - FYR26 - 12.8.26</t>
        </is>
      </c>
      <c r="R210" s="51" t="inlineStr">
        <is>
          <t>PRODUCTION</t>
        </is>
      </c>
    </row>
    <row r="211">
      <c r="P211" s="51" t="inlineStr">
        <is>
          <t>26061104V</t>
        </is>
      </c>
      <c r="Q211" s="51" t="inlineStr">
        <is>
          <t>MUFG - FYR26 - 12.8.26</t>
        </is>
      </c>
      <c r="R211" s="51" t="inlineStr">
        <is>
          <t>VIDEO</t>
        </is>
      </c>
    </row>
    <row r="212">
      <c r="P212" s="51" t="inlineStr">
        <is>
          <t>26061105</t>
        </is>
      </c>
      <c r="Q212" s="51" t="inlineStr">
        <is>
          <t>CBA - FYR 2026 - 12.8.26</t>
        </is>
      </c>
      <c r="R212" s="51" t="inlineStr">
        <is>
          <t>PRODUCTION</t>
        </is>
      </c>
    </row>
    <row r="213">
      <c r="P213" s="51" t="inlineStr">
        <is>
          <t>26061105V</t>
        </is>
      </c>
      <c r="Q213" s="51" t="inlineStr">
        <is>
          <t>CBA - FYR 2026 - 12.8.26</t>
        </is>
      </c>
      <c r="R213" s="51" t="inlineStr">
        <is>
          <t>VIDEO</t>
        </is>
      </c>
    </row>
    <row r="214">
      <c r="P214" s="51" t="inlineStr">
        <is>
          <t>26061106</t>
        </is>
      </c>
      <c r="Q214" s="51" t="inlineStr">
        <is>
          <t>TLC Full Year Results MEL</t>
        </is>
      </c>
      <c r="R214" s="51" t="inlineStr">
        <is>
          <t>PRODUCTION</t>
        </is>
      </c>
    </row>
    <row r="215">
      <c r="P215" s="51" t="inlineStr">
        <is>
          <t>26061106V</t>
        </is>
      </c>
      <c r="Q215" s="51" t="inlineStr">
        <is>
          <t>TLC Full Year Results MEL</t>
        </is>
      </c>
      <c r="R215" s="51" t="inlineStr">
        <is>
          <t>VIDEO</t>
        </is>
      </c>
    </row>
    <row r="216">
      <c r="P216" s="51" t="inlineStr">
        <is>
          <t>26061107</t>
        </is>
      </c>
      <c r="Q216" s="51" t="inlineStr">
        <is>
          <t>Downer - FYR 2026 - 20.8.26</t>
        </is>
      </c>
      <c r="R216" s="51" t="inlineStr">
        <is>
          <t>PRODUCTION</t>
        </is>
      </c>
    </row>
    <row r="217">
      <c r="P217" s="51" t="inlineStr">
        <is>
          <t>26061107V</t>
        </is>
      </c>
      <c r="Q217" s="51" t="inlineStr">
        <is>
          <t>Downer - FYR 2026 - 20.8.26</t>
        </is>
      </c>
      <c r="R217" s="51" t="inlineStr">
        <is>
          <t>VIDEO</t>
        </is>
      </c>
    </row>
    <row r="218">
      <c r="P218" s="51" t="inlineStr">
        <is>
          <t>26061108</t>
        </is>
      </c>
      <c r="Q218" s="51" t="inlineStr">
        <is>
          <t>APA - Qtly All Hands FYR26 - 20.8.26</t>
        </is>
      </c>
      <c r="R218" s="51" t="inlineStr">
        <is>
          <t>PRODUCTION</t>
        </is>
      </c>
    </row>
    <row r="219">
      <c r="P219" s="51" t="inlineStr">
        <is>
          <t>26061108V</t>
        </is>
      </c>
      <c r="Q219" s="51" t="inlineStr">
        <is>
          <t>APA - Qtly All Hands FYR26 - 20.8.26</t>
        </is>
      </c>
      <c r="R219" s="51" t="inlineStr">
        <is>
          <t>VIDEO</t>
        </is>
      </c>
    </row>
    <row r="220">
      <c r="P220" s="51" t="inlineStr">
        <is>
          <t>26061109</t>
        </is>
      </c>
      <c r="Q220" s="51" t="inlineStr">
        <is>
          <t>Ventia - FYR26 - 24.8.26</t>
        </is>
      </c>
      <c r="R220" s="51" t="inlineStr">
        <is>
          <t>PRODUCTION</t>
        </is>
      </c>
    </row>
    <row r="221">
      <c r="P221" s="51" t="inlineStr">
        <is>
          <t>26061109V</t>
        </is>
      </c>
      <c r="Q221" s="51" t="inlineStr">
        <is>
          <t>Ventia - FYR26 - 24.8.26</t>
        </is>
      </c>
      <c r="R221" s="51" t="inlineStr">
        <is>
          <t>VIDEO</t>
        </is>
      </c>
    </row>
    <row r="222">
      <c r="P222" s="51" t="inlineStr">
        <is>
          <t>26061201</t>
        </is>
      </c>
      <c r="Q222" s="51" t="inlineStr">
        <is>
          <t>PWC - Firmwide Webcast - 30.6.26</t>
        </is>
      </c>
      <c r="R222" s="51" t="inlineStr">
        <is>
          <t>PRODUCTION</t>
        </is>
      </c>
    </row>
    <row r="223">
      <c r="P223" s="51" t="inlineStr">
        <is>
          <t>26061201V</t>
        </is>
      </c>
      <c r="Q223" s="51" t="inlineStr">
        <is>
          <t>PWC - Firmwide Webcast - 30.6.26</t>
        </is>
      </c>
      <c r="R223" s="51" t="inlineStr">
        <is>
          <t>VIDEO</t>
        </is>
      </c>
    </row>
    <row r="224">
      <c r="P224" s="51" t="inlineStr">
        <is>
          <t>26061202</t>
        </is>
      </c>
      <c r="Q224" s="51" t="inlineStr">
        <is>
          <t>CBA AGM 2027</t>
        </is>
      </c>
      <c r="R224" s="51" t="inlineStr">
        <is>
          <t>PRODUCTION</t>
        </is>
      </c>
    </row>
    <row r="225">
      <c r="P225" s="51" t="inlineStr">
        <is>
          <t>26061202V</t>
        </is>
      </c>
      <c r="Q225" s="51" t="inlineStr">
        <is>
          <t>CBA AGM 2027</t>
        </is>
      </c>
      <c r="R225" s="51" t="inlineStr">
        <is>
          <t>VIDEO</t>
        </is>
      </c>
    </row>
    <row r="226">
      <c r="P226" s="51" t="inlineStr">
        <is>
          <t>26061501</t>
        </is>
      </c>
      <c r="Q226" s="51" t="inlineStr">
        <is>
          <t>DTTL MEL Lv29 Display Supply</t>
        </is>
      </c>
      <c r="R226" s="51" t="inlineStr">
        <is>
          <t>INTEGRATION</t>
        </is>
      </c>
    </row>
    <row r="227">
      <c r="P227" s="51" t="inlineStr">
        <is>
          <t>26061602</t>
        </is>
      </c>
      <c r="Q227" s="51" t="inlineStr">
        <is>
          <t>ASX - CEO Connect (Extended) - 1.9.26</t>
        </is>
      </c>
      <c r="R227" s="51" t="inlineStr">
        <is>
          <t>PRODUCTION</t>
        </is>
      </c>
    </row>
    <row r="228">
      <c r="P228" s="51" t="inlineStr">
        <is>
          <t>26061602V</t>
        </is>
      </c>
      <c r="Q228" s="51" t="inlineStr">
        <is>
          <t>ASX - CEO Connect (Extended) - 1.9.26</t>
        </is>
      </c>
      <c r="R228" s="51" t="inlineStr">
        <is>
          <t>VIDEO</t>
        </is>
      </c>
    </row>
    <row r="229">
      <c r="P229" s="51" t="inlineStr">
        <is>
          <t>26061605</t>
        </is>
      </c>
      <c r="Q229" s="51" t="inlineStr">
        <is>
          <t>MUFG - IBM Ltd AGM - 27.10.26</t>
        </is>
      </c>
      <c r="R229" s="51" t="inlineStr">
        <is>
          <t>PRODUCTION</t>
        </is>
      </c>
    </row>
    <row r="230">
      <c r="P230" s="51" t="inlineStr">
        <is>
          <t>26061605V</t>
        </is>
      </c>
      <c r="Q230" s="51" t="inlineStr">
        <is>
          <t>MUFG - IBM Ltd AGM - 27.10.26</t>
        </is>
      </c>
      <c r="R230" s="51" t="inlineStr">
        <is>
          <t>VIDEO</t>
        </is>
      </c>
    </row>
    <row r="231">
      <c r="P231" s="51" t="inlineStr">
        <is>
          <t>26061606</t>
        </is>
      </c>
      <c r="Q231" s="51" t="inlineStr">
        <is>
          <t>MUFG - Endeavour AGM - 30.10.26</t>
        </is>
      </c>
      <c r="R231" s="51" t="inlineStr">
        <is>
          <t>PRODUCTION</t>
        </is>
      </c>
    </row>
    <row r="232">
      <c r="P232" s="51" t="inlineStr">
        <is>
          <t>26061606V</t>
        </is>
      </c>
      <c r="Q232" s="51" t="inlineStr">
        <is>
          <t>MUFG - Endeavour AGM - 30.10.26</t>
        </is>
      </c>
      <c r="R232" s="51" t="inlineStr">
        <is>
          <t>VIDEO</t>
        </is>
      </c>
    </row>
    <row r="233">
      <c r="P233" s="51" t="inlineStr">
        <is>
          <t>26061607</t>
        </is>
      </c>
      <c r="Q233" s="51" t="inlineStr">
        <is>
          <t>APA - Qtly All Hands (BNE) - 4.11.26</t>
        </is>
      </c>
      <c r="R233" s="51" t="inlineStr">
        <is>
          <t>PRODUCTION</t>
        </is>
      </c>
    </row>
    <row r="234">
      <c r="P234" s="51" t="inlineStr">
        <is>
          <t>26061607V</t>
        </is>
      </c>
      <c r="Q234" s="51" t="inlineStr">
        <is>
          <t>APA - Qtly All Hands (BNE) - 4.11.26</t>
        </is>
      </c>
      <c r="R234" s="51" t="inlineStr">
        <is>
          <t>VIDEO</t>
        </is>
      </c>
    </row>
    <row r="235">
      <c r="P235" s="51" t="inlineStr">
        <is>
          <t>26061608</t>
        </is>
      </c>
      <c r="Q235" s="51" t="inlineStr">
        <is>
          <t>APA - Qtly All Hands Sydney - Feb 27</t>
        </is>
      </c>
      <c r="R235" s="51" t="inlineStr">
        <is>
          <t>PRODUCTION</t>
        </is>
      </c>
    </row>
    <row r="236">
      <c r="P236" s="51" t="inlineStr">
        <is>
          <t>26061608V</t>
        </is>
      </c>
      <c r="Q236" s="51" t="inlineStr">
        <is>
          <t>APA - Qtly All Hands Sydney - Feb 27</t>
        </is>
      </c>
      <c r="R236" s="51" t="inlineStr">
        <is>
          <t>VIDEO</t>
        </is>
      </c>
    </row>
    <row r="237">
      <c r="P237" s="51" t="inlineStr">
        <is>
          <t>26061609</t>
        </is>
      </c>
      <c r="Q237" s="51" t="inlineStr">
        <is>
          <t>APA Qtly All Hands Perth - May 2027</t>
        </is>
      </c>
      <c r="R237" s="51" t="inlineStr">
        <is>
          <t>PRODUCTION</t>
        </is>
      </c>
    </row>
    <row r="238">
      <c r="P238" s="51" t="inlineStr">
        <is>
          <t>26061609V</t>
        </is>
      </c>
      <c r="Q238" s="51" t="inlineStr">
        <is>
          <t>APA Qtly All Hands Perth - May 2027</t>
        </is>
      </c>
      <c r="R238" s="51" t="inlineStr">
        <is>
          <t>VIDEO</t>
        </is>
      </c>
    </row>
    <row r="239">
      <c r="P239" s="51" t="inlineStr">
        <is>
          <t>26061611</t>
        </is>
      </c>
      <c r="Q239" s="51" t="inlineStr">
        <is>
          <t>QBE - Keynote Event - 27.10.26</t>
        </is>
      </c>
      <c r="R239" s="51" t="inlineStr">
        <is>
          <t>PRODUCTION</t>
        </is>
      </c>
    </row>
    <row r="240">
      <c r="P240" s="51" t="inlineStr">
        <is>
          <t>26061611V</t>
        </is>
      </c>
      <c r="Q240" s="51" t="inlineStr">
        <is>
          <t>QBE - Keynote Event - 27.10.26</t>
        </is>
      </c>
      <c r="R240" s="51" t="inlineStr">
        <is>
          <t>VIDEO</t>
        </is>
      </c>
    </row>
    <row r="241">
      <c r="P241" s="51" t="inlineStr">
        <is>
          <t>26061612</t>
        </is>
      </c>
      <c r="Q241" s="51" t="inlineStr">
        <is>
          <t>Chorus Call - Redox AGM - 7.10.26</t>
        </is>
      </c>
      <c r="R241" s="51" t="inlineStr">
        <is>
          <t>PRODUCTION</t>
        </is>
      </c>
    </row>
    <row r="242">
      <c r="P242" s="51" t="inlineStr">
        <is>
          <t>26061612V</t>
        </is>
      </c>
      <c r="Q242" s="51" t="inlineStr">
        <is>
          <t>Chorus Call - Redox AGM - 7.10.26</t>
        </is>
      </c>
      <c r="R242" s="51" t="inlineStr">
        <is>
          <t>VIDEO</t>
        </is>
      </c>
    </row>
    <row r="243">
      <c r="P243" s="51" t="inlineStr">
        <is>
          <t>26061701</t>
        </is>
      </c>
      <c r="Q243" s="51" t="inlineStr">
        <is>
          <t>CBA - LES - July 2026</t>
        </is>
      </c>
      <c r="R243" s="51" t="inlineStr">
        <is>
          <t>PRODUCTION</t>
        </is>
      </c>
    </row>
    <row r="244">
      <c r="P244" s="51" t="inlineStr">
        <is>
          <t>26061702</t>
        </is>
      </c>
      <c r="Q244" s="51" t="inlineStr">
        <is>
          <t>Garvan - Morning Tea Event - 31.7.26</t>
        </is>
      </c>
      <c r="R244" s="51" t="inlineStr">
        <is>
          <t>PRODUCTION</t>
        </is>
      </c>
    </row>
    <row r="245">
      <c r="P245" s="51" t="inlineStr">
        <is>
          <t>26061801</t>
        </is>
      </c>
      <c r="Q245" s="51" t="inlineStr">
        <is>
          <t>APA - Investor Briefing FYR26 - 20.8.26</t>
        </is>
      </c>
      <c r="R245" s="51" t="inlineStr">
        <is>
          <t>PRODUCTION</t>
        </is>
      </c>
    </row>
    <row r="246">
      <c r="P246" s="51" t="inlineStr">
        <is>
          <t>26061801V</t>
        </is>
      </c>
      <c r="Q246" s="51" t="inlineStr">
        <is>
          <t>APA - Investor Briefing FYR26 - 20.8.26</t>
        </is>
      </c>
      <c r="R246" s="51" t="inlineStr">
        <is>
          <t>VIDEO</t>
        </is>
      </c>
    </row>
    <row r="247">
      <c r="P247" s="51" t="inlineStr">
        <is>
          <t>26062201</t>
        </is>
      </c>
      <c r="Q247" s="51" t="inlineStr">
        <is>
          <t>PWC - Tax &amp; Legal Webcast 02.07.26</t>
        </is>
      </c>
      <c r="R247" s="51" t="inlineStr">
        <is>
          <t>PRODUCTION</t>
        </is>
      </c>
    </row>
    <row r="248">
      <c r="P248" s="51" t="inlineStr">
        <is>
          <t>26062201V</t>
        </is>
      </c>
      <c r="Q248" s="51" t="inlineStr">
        <is>
          <t>PWC - Tax &amp; Legal Webcast 02.07.26</t>
        </is>
      </c>
      <c r="R248" s="51" t="inlineStr">
        <is>
          <t>VIDEO</t>
        </is>
      </c>
    </row>
    <row r="249">
      <c r="P249" s="51" t="inlineStr">
        <is>
          <t>26062202</t>
        </is>
      </c>
      <c r="Q249" s="51" t="inlineStr">
        <is>
          <t>PWC - Early Careers Webcast - 29.7.26</t>
        </is>
      </c>
      <c r="R249" s="51" t="inlineStr">
        <is>
          <t>PRODUCTION</t>
        </is>
      </c>
    </row>
    <row r="250">
      <c r="P250" s="51" t="inlineStr">
        <is>
          <t>26062202V</t>
        </is>
      </c>
      <c r="Q250" s="51" t="inlineStr">
        <is>
          <t>PWC - Early Careers Webcast - 29.7.26</t>
        </is>
      </c>
      <c r="R250" s="51" t="inlineStr">
        <is>
          <t>VIDEO</t>
        </is>
      </c>
    </row>
    <row r="251">
      <c r="P251" s="51" t="inlineStr">
        <is>
          <t>26062403</t>
        </is>
      </c>
      <c r="Q251" s="51" t="inlineStr">
        <is>
          <t>CBA - CommBank Private Hosting 25.6.26</t>
        </is>
      </c>
      <c r="R251" s="51" t="inlineStr">
        <is>
          <t>PRODUCTION</t>
        </is>
      </c>
    </row>
    <row r="252">
      <c r="P252" s="51" t="inlineStr">
        <is>
          <t>26062403V</t>
        </is>
      </c>
      <c r="Q252" s="51" t="inlineStr">
        <is>
          <t>CBA - CommBank Private Hosting 25.6.26</t>
        </is>
      </c>
      <c r="R252" s="51" t="inlineStr">
        <is>
          <t>VIDEO</t>
        </is>
      </c>
    </row>
    <row r="253">
      <c r="P253" s="51" t="inlineStr">
        <is>
          <t>26062501</t>
        </is>
      </c>
      <c r="Q253" s="51" t="inlineStr">
        <is>
          <t>DTTL STL Travel (SYD-MEL Return)</t>
        </is>
      </c>
      <c r="R253" s="51" t="inlineStr">
        <is>
          <t>ONSITE</t>
        </is>
      </c>
    </row>
    <row r="254">
      <c r="P254" s="51" t="inlineStr">
        <is>
          <t>26062503</t>
        </is>
      </c>
      <c r="Q254" s="51" t="inlineStr">
        <is>
          <t>Aware Super 24.16 UC Engine Replacement</t>
        </is>
      </c>
      <c r="R254" s="51" t="inlineStr">
        <is>
          <t>INTEGRATION</t>
        </is>
      </c>
    </row>
    <row r="255">
      <c r="P255" s="51" t="inlineStr">
        <is>
          <t>26062601</t>
        </is>
      </c>
      <c r="Q255" s="51" t="inlineStr">
        <is>
          <t>Ventia - XELT Event - 29.6.26</t>
        </is>
      </c>
      <c r="R255" s="51" t="inlineStr">
        <is>
          <t>PRODUCTION</t>
        </is>
      </c>
    </row>
    <row r="256">
      <c r="P256" s="51" t="inlineStr">
        <is>
          <t>26062601V</t>
        </is>
      </c>
      <c r="Q256" s="51" t="inlineStr">
        <is>
          <t>Ventia - XELT Event - 29.6.26</t>
        </is>
      </c>
      <c r="R256" s="51" t="inlineStr">
        <is>
          <t>VIDEO</t>
        </is>
      </c>
    </row>
    <row r="257">
      <c r="P257" s="51" t="inlineStr">
        <is>
          <t>26062901</t>
        </is>
      </c>
      <c r="Q257" s="51" t="inlineStr">
        <is>
          <t>Aware | SYD 28.06 Services</t>
        </is>
      </c>
      <c r="R257" s="51" t="inlineStr">
        <is>
          <t>INTEGRATION</t>
        </is>
      </c>
    </row>
    <row r="258">
      <c r="P258" s="51" t="inlineStr">
        <is>
          <t>26062902</t>
        </is>
      </c>
      <c r="Q258" s="51" t="inlineStr">
        <is>
          <t>Aware | SYD Occupancy Sensors</t>
        </is>
      </c>
      <c r="R258" s="51" t="inlineStr">
        <is>
          <t>INTEGRATION</t>
        </is>
      </c>
    </row>
    <row r="259">
      <c r="P259" s="51" t="inlineStr">
        <is>
          <t>26063002</t>
        </is>
      </c>
      <c r="Q259" s="51" t="inlineStr">
        <is>
          <t>CEOi - CEO Connect - 11.8.26</t>
        </is>
      </c>
      <c r="R259" s="51" t="inlineStr">
        <is>
          <t>PRODUCTION</t>
        </is>
      </c>
    </row>
    <row r="260">
      <c r="P260" s="51" t="inlineStr">
        <is>
          <t>26063002V</t>
        </is>
      </c>
      <c r="Q260" s="51" t="inlineStr">
        <is>
          <t>CEOi - CEO Connect - 11.8.26</t>
        </is>
      </c>
      <c r="R260" s="51" t="inlineStr">
        <is>
          <t>VIDEO</t>
        </is>
      </c>
    </row>
    <row r="261">
      <c r="P261" s="51" t="inlineStr">
        <is>
          <t>2606401V</t>
        </is>
      </c>
      <c r="Q261" s="51" t="inlineStr">
        <is>
          <t>PWC - NRW Webcast - 11.6.26</t>
        </is>
      </c>
      <c r="R261" s="51" t="inlineStr">
        <is>
          <t>VIDEO</t>
        </is>
      </c>
    </row>
    <row r="262">
      <c r="P262" s="51" t="inlineStr">
        <is>
          <t>2606901</t>
        </is>
      </c>
      <c r="Q262" s="51" t="inlineStr">
        <is>
          <t>PwC | Syd Studio Equipment</t>
        </is>
      </c>
      <c r="R262" s="51" t="inlineStr">
        <is>
          <t>INTEGRATION</t>
        </is>
      </c>
    </row>
    <row r="263">
      <c r="P263" s="51" t="inlineStr">
        <is>
          <t>2606902</t>
        </is>
      </c>
      <c r="Q263" s="51" t="inlineStr">
        <is>
          <t>AVIT - Taronga AV Support - 9-11.6.26</t>
        </is>
      </c>
      <c r="R263" s="51" t="inlineStr">
        <is>
          <t>PRODUCTION</t>
        </is>
      </c>
    </row>
    <row r="264">
      <c r="P264" s="51" t="inlineStr">
        <is>
          <t>2606903</t>
        </is>
      </c>
      <c r="Q264" s="51" t="inlineStr">
        <is>
          <t>Virgin FY26 Results</t>
        </is>
      </c>
      <c r="R264" s="51" t="inlineStr">
        <is>
          <t>PRODUCTION</t>
        </is>
      </c>
    </row>
    <row r="265">
      <c r="P265" s="51" t="inlineStr">
        <is>
          <t>2606903V</t>
        </is>
      </c>
      <c r="Q265" s="51" t="inlineStr">
        <is>
          <t>Virgin FY26 Results</t>
        </is>
      </c>
      <c r="R265" s="51" t="inlineStr">
        <is>
          <t>VIDEO</t>
        </is>
      </c>
    </row>
    <row r="266">
      <c r="P266" s="51" t="inlineStr">
        <is>
          <t>2606904</t>
        </is>
      </c>
      <c r="Q266" s="51" t="inlineStr">
        <is>
          <t>Symal - FYR26 (Melb) - 24.8.26</t>
        </is>
      </c>
      <c r="R266" s="51" t="inlineStr">
        <is>
          <t>PRODUCTION</t>
        </is>
      </c>
    </row>
    <row r="267">
      <c r="P267" s="51" t="inlineStr">
        <is>
          <t>2606904V</t>
        </is>
      </c>
      <c r="Q267" s="51" t="inlineStr">
        <is>
          <t>Symal - FYR26 (Melb) - 24.8.26</t>
        </is>
      </c>
      <c r="R267" s="51" t="inlineStr">
        <is>
          <t>VIDEO</t>
        </is>
      </c>
    </row>
    <row r="268">
      <c r="P268" s="51" t="inlineStr">
        <is>
          <t>2606905</t>
        </is>
      </c>
      <c r="Q268" s="51" t="inlineStr">
        <is>
          <t>Dimensional - Audio Tech Support - 22.6.26</t>
        </is>
      </c>
      <c r="R268" s="51" t="inlineStr">
        <is>
          <t>PRODUCTION</t>
        </is>
      </c>
    </row>
    <row r="269">
      <c r="P269" s="51" t="inlineStr">
        <is>
          <t>2606906</t>
        </is>
      </c>
      <c r="Q269" s="51" t="inlineStr">
        <is>
          <t>St Catherines Case Study Video Non-Chrgable</t>
        </is>
      </c>
      <c r="R269" s="51" t="inlineStr">
        <is>
          <t>VIDEO</t>
        </is>
      </c>
    </row>
    <row r="270">
      <c r="P270" s="51" t="inlineStr">
        <is>
          <t>26071303</t>
        </is>
      </c>
      <c r="Q270" s="51" t="inlineStr">
        <is>
          <t>Ventia - Melbourne Office Event - 30.7.26</t>
        </is>
      </c>
      <c r="R270" s="51" t="inlineStr">
        <is>
          <t>PRODUCTION</t>
        </is>
      </c>
    </row>
    <row r="271">
      <c r="P271" s="51" t="inlineStr">
        <is>
          <t>26071304</t>
        </is>
      </c>
      <c r="Q271" s="51" t="inlineStr">
        <is>
          <t>YSG | Orange Room Upgrade</t>
        </is>
      </c>
      <c r="R271" s="51" t="inlineStr">
        <is>
          <t>INTEGRATION</t>
        </is>
      </c>
    </row>
    <row r="272">
      <c r="P272" s="51" t="inlineStr">
        <is>
          <t>26071403</t>
        </is>
      </c>
      <c r="Q272" s="51" t="inlineStr">
        <is>
          <t>Elkiem - Studio Support - 4.11.26</t>
        </is>
      </c>
      <c r="R272" s="51" t="inlineStr">
        <is>
          <t>PRODUCTION</t>
        </is>
      </c>
    </row>
    <row r="273">
      <c r="P273" s="51" t="inlineStr">
        <is>
          <t>26071404</t>
        </is>
      </c>
      <c r="Q273" s="51" t="inlineStr">
        <is>
          <t>Elkiem - Studio Support - 9.12.26</t>
        </is>
      </c>
      <c r="R273" s="51" t="inlineStr">
        <is>
          <t>PRODUCTION</t>
        </is>
      </c>
    </row>
    <row r="274">
      <c r="P274" s="51" t="inlineStr">
        <is>
          <t>26071405</t>
        </is>
      </c>
      <c r="Q274" s="51" t="inlineStr">
        <is>
          <t>PWC - Event Technician - 29.7.26</t>
        </is>
      </c>
      <c r="R274" s="51" t="inlineStr">
        <is>
          <t>PRODUCTION</t>
        </is>
      </c>
    </row>
    <row r="275">
      <c r="P275" s="51" t="inlineStr">
        <is>
          <t>26071501</t>
        </is>
      </c>
      <c r="Q275" s="51" t="inlineStr">
        <is>
          <t>Ventia - Half Year Results Briefing - 24.8.26</t>
        </is>
      </c>
      <c r="R275" s="51" t="inlineStr">
        <is>
          <t>PRODUCTION</t>
        </is>
      </c>
    </row>
    <row r="276">
      <c r="P276" s="51" t="inlineStr">
        <is>
          <t>26071501V</t>
        </is>
      </c>
      <c r="Q276" s="51" t="inlineStr">
        <is>
          <t>Ventia - Half Year Results Briefing - 24.8.26</t>
        </is>
      </c>
      <c r="R276" s="51" t="inlineStr">
        <is>
          <t>VIDEO</t>
        </is>
      </c>
    </row>
    <row r="277">
      <c r="P277" s="51" t="inlineStr">
        <is>
          <t>26071601</t>
        </is>
      </c>
      <c r="Q277" s="51" t="inlineStr">
        <is>
          <t>Aware | PER | Barry Marshall and Albany Rooms BYOD USB-C Replcmnt</t>
        </is>
      </c>
      <c r="R277" s="51" t="inlineStr">
        <is>
          <t>INTEGRATION</t>
        </is>
      </c>
    </row>
    <row r="278">
      <c r="P278" s="51" t="inlineStr">
        <is>
          <t>26071701</t>
        </is>
      </c>
      <c r="Q278" s="51" t="inlineStr">
        <is>
          <t>ASX Live - 9.9.26</t>
        </is>
      </c>
      <c r="R278" s="51" t="inlineStr">
        <is>
          <t>PRODUCTION</t>
        </is>
      </c>
    </row>
    <row r="279">
      <c r="P279" s="51" t="inlineStr">
        <is>
          <t>26071701V</t>
        </is>
      </c>
      <c r="Q279" s="51" t="inlineStr">
        <is>
          <t>ASX Live - 9.9.26</t>
        </is>
      </c>
      <c r="R279" s="51" t="inlineStr">
        <is>
          <t>VIDEO</t>
        </is>
      </c>
    </row>
    <row r="280">
      <c r="P280" s="51" t="inlineStr">
        <is>
          <t>26071901</t>
        </is>
      </c>
      <c r="Q280" s="51" t="inlineStr">
        <is>
          <t>Elkiem - Studio Support - 11.8.26</t>
        </is>
      </c>
      <c r="R280" s="51" t="inlineStr">
        <is>
          <t>PRODUCTION</t>
        </is>
      </c>
    </row>
    <row r="281">
      <c r="P281" s="51" t="inlineStr">
        <is>
          <t>26072003</t>
        </is>
      </c>
      <c r="Q281" s="51" t="inlineStr">
        <is>
          <t>CBA Live Event Support August 2026</t>
        </is>
      </c>
      <c r="R281" s="51" t="inlineStr">
        <is>
          <t>PRODUCTION</t>
        </is>
      </c>
    </row>
    <row r="282">
      <c r="P282" s="51" t="inlineStr">
        <is>
          <t>26072101</t>
        </is>
      </c>
      <c r="Q282" s="51" t="inlineStr">
        <is>
          <t>Aware MEL 17.02 Amp Replacement</t>
        </is>
      </c>
      <c r="R282" s="51" t="inlineStr">
        <is>
          <t>INTEGRATION</t>
        </is>
      </c>
    </row>
    <row r="283">
      <c r="P283" s="51" t="inlineStr">
        <is>
          <t>26072101</t>
        </is>
      </c>
      <c r="Q283" s="51" t="inlineStr">
        <is>
          <t>Aware_Mel 17.02 Amp Replacement</t>
        </is>
      </c>
      <c r="R283" s="51" t="inlineStr">
        <is>
          <t>INTEGRATION</t>
        </is>
      </c>
    </row>
    <row r="284">
      <c r="P284" s="51" t="inlineStr">
        <is>
          <t>26072102</t>
        </is>
      </c>
      <c r="Q284" s="51" t="inlineStr">
        <is>
          <t>Ventia - RUOK? Day - 10.09.2026</t>
        </is>
      </c>
      <c r="R284" s="51" t="inlineStr">
        <is>
          <t>PRODUCTION</t>
        </is>
      </c>
    </row>
    <row r="285">
      <c r="P285" s="51" t="inlineStr">
        <is>
          <t>26072102V</t>
        </is>
      </c>
      <c r="Q285" s="51" t="inlineStr">
        <is>
          <t>Ventia - RUOK? Day - 10.09.2026</t>
        </is>
      </c>
      <c r="R285" s="51" t="inlineStr">
        <is>
          <t>VIDEO</t>
        </is>
      </c>
    </row>
    <row r="286">
      <c r="P286" s="51" t="inlineStr">
        <is>
          <t>26072802</t>
        </is>
      </c>
      <c r="Q286" s="51" t="inlineStr">
        <is>
          <t>ON24 KWM Sydney Event - 18.08.2026</t>
        </is>
      </c>
      <c r="R286" s="51" t="inlineStr">
        <is>
          <t>PRODUCTION</t>
        </is>
      </c>
    </row>
    <row r="287">
      <c r="P287" s="51" t="inlineStr">
        <is>
          <t>26072802V</t>
        </is>
      </c>
      <c r="Q287" s="51" t="inlineStr">
        <is>
          <t>ON24 KWM Sydney Event - 18.08.2026</t>
        </is>
      </c>
      <c r="R287" s="51" t="inlineStr">
        <is>
          <t>VIDEO</t>
        </is>
      </c>
    </row>
    <row r="288">
      <c r="P288" s="51" t="inlineStr">
        <is>
          <t>26072902</t>
        </is>
      </c>
      <c r="Q288" s="51" t="inlineStr">
        <is>
          <t>PWC AI Townhall 6.8.26</t>
        </is>
      </c>
      <c r="R288" s="51" t="inlineStr">
        <is>
          <t>PRODUCTION</t>
        </is>
      </c>
    </row>
    <row r="289">
      <c r="P289" s="51" t="inlineStr">
        <is>
          <t>26072902V</t>
        </is>
      </c>
      <c r="Q289" s="51" t="inlineStr">
        <is>
          <t>PWC AI Townhall 6.8.26</t>
        </is>
      </c>
      <c r="R289" s="51" t="inlineStr">
        <is>
          <t>VIDEO</t>
        </is>
      </c>
    </row>
    <row r="290">
      <c r="P290" s="51" t="inlineStr">
        <is>
          <t>26072903</t>
        </is>
      </c>
      <c r="Q290" s="51" t="inlineStr">
        <is>
          <t>PWC - GB Webcast - 11.8.26</t>
        </is>
      </c>
      <c r="R290" s="51" t="inlineStr">
        <is>
          <t>PRODUCTION</t>
        </is>
      </c>
    </row>
    <row r="291">
      <c r="P291" s="51" t="inlineStr">
        <is>
          <t>26072903V</t>
        </is>
      </c>
      <c r="Q291" s="51" t="inlineStr">
        <is>
          <t>PWC - GB Webcast - 11.8.26</t>
        </is>
      </c>
      <c r="R291" s="51" t="inlineStr">
        <is>
          <t>VIDEO</t>
        </is>
      </c>
    </row>
    <row r="292">
      <c r="P292" s="51" t="inlineStr">
        <is>
          <t>26072906</t>
        </is>
      </c>
      <c r="Q292" s="51" t="inlineStr">
        <is>
          <t>ASX Advisory Group on Corporate Governance</t>
        </is>
      </c>
      <c r="R292" s="51" t="inlineStr">
        <is>
          <t>PRODUCTION</t>
        </is>
      </c>
    </row>
    <row r="293">
      <c r="P293" s="51" t="inlineStr">
        <is>
          <t>26072906V</t>
        </is>
      </c>
      <c r="Q293" s="51" t="inlineStr">
        <is>
          <t>ASX Advisory Group on Corporate Governance</t>
        </is>
      </c>
      <c r="R293" s="51" t="inlineStr">
        <is>
          <t>VIDEO</t>
        </is>
      </c>
    </row>
    <row r="294">
      <c r="P294" s="51" t="inlineStr">
        <is>
          <t>26073103</t>
        </is>
      </c>
      <c r="Q294" s="51" t="inlineStr">
        <is>
          <t>DTTL PER AV &amp; Hospitality Tech (SEP26-FEB27)</t>
        </is>
      </c>
      <c r="R294" s="51" t="inlineStr">
        <is>
          <t>ONSITE</t>
        </is>
      </c>
    </row>
    <row r="295">
      <c r="P295" s="51" t="inlineStr">
        <is>
          <t>26073103N</t>
        </is>
      </c>
      <c r="Q295" s="51" t="inlineStr">
        <is>
          <t>DTTL PER AV &amp; Hospitality Tech (SEP26-FEB27) [ONS] non-chargeable</t>
        </is>
      </c>
      <c r="R295" s="59" t="n"/>
    </row>
    <row r="296">
      <c r="P296" s="51" t="inlineStr">
        <is>
          <t>26073105</t>
        </is>
      </c>
      <c r="Q296" s="51" t="inlineStr">
        <is>
          <t>Elkiem - Studio Support - 25.8.26</t>
        </is>
      </c>
      <c r="R296" s="51" t="inlineStr">
        <is>
          <t>PRODUCTION</t>
        </is>
      </c>
    </row>
    <row r="297">
      <c r="P297" s="51" t="inlineStr">
        <is>
          <t>26073106</t>
        </is>
      </c>
      <c r="Q297" s="51" t="inlineStr">
        <is>
          <t>Elkiem - Studio Support - 18.9.26</t>
        </is>
      </c>
      <c r="R297" s="51" t="inlineStr">
        <is>
          <t>PRODUCTION</t>
        </is>
      </c>
    </row>
    <row r="298">
      <c r="P298" s="51" t="inlineStr">
        <is>
          <t>26073107</t>
        </is>
      </c>
      <c r="Q298" s="51" t="inlineStr">
        <is>
          <t>DTTL Travel for Technician &amp; Coverage ADL-HOB</t>
        </is>
      </c>
      <c r="R298" s="51" t="inlineStr">
        <is>
          <t>ONSITE</t>
        </is>
      </c>
    </row>
    <row r="299">
      <c r="P299" s="51" t="inlineStr">
        <is>
          <t>26073110</t>
        </is>
      </c>
      <c r="Q299" s="51" t="inlineStr">
        <is>
          <t>Garvan - Weizmann Dinner Event - 20.8.26</t>
        </is>
      </c>
      <c r="R299" s="51" t="inlineStr">
        <is>
          <t>PRODUCTION</t>
        </is>
      </c>
    </row>
    <row r="300">
      <c r="P300" s="51" t="inlineStr">
        <is>
          <t>26073110V</t>
        </is>
      </c>
      <c r="Q300" s="51" t="inlineStr">
        <is>
          <t>Garvan - Weizmann Dinner Event - 20.8.26</t>
        </is>
      </c>
      <c r="R300" s="51" t="inlineStr">
        <is>
          <t>VIDEO</t>
        </is>
      </c>
    </row>
    <row r="301">
      <c r="P301" s="51" t="inlineStr">
        <is>
          <t>26073111</t>
        </is>
      </c>
      <c r="Q301" s="51" t="inlineStr">
        <is>
          <t>Downer - FYR &amp; Employee Webcast - 25.8.26</t>
        </is>
      </c>
      <c r="R301" s="51" t="inlineStr">
        <is>
          <t>PRODUCTION</t>
        </is>
      </c>
    </row>
    <row r="302">
      <c r="P302" s="51" t="inlineStr">
        <is>
          <t>26073111V</t>
        </is>
      </c>
      <c r="Q302" s="51" t="inlineStr">
        <is>
          <t>Downer - FYR &amp; Employee Webcast - 25.8.26</t>
        </is>
      </c>
      <c r="R302" s="51" t="inlineStr">
        <is>
          <t>VIDEO</t>
        </is>
      </c>
    </row>
    <row r="303">
      <c r="P303" s="51" t="inlineStr">
        <is>
          <t>2607703</t>
        </is>
      </c>
      <c r="Q303" s="51" t="inlineStr">
        <is>
          <t>Garvan - YPO Event - 6.8.2026</t>
        </is>
      </c>
      <c r="R303" s="51" t="inlineStr">
        <is>
          <t>PRODUCTION</t>
        </is>
      </c>
    </row>
    <row r="304">
      <c r="P304" s="51" t="inlineStr">
        <is>
          <t>2607703V</t>
        </is>
      </c>
      <c r="Q304" s="51" t="inlineStr">
        <is>
          <t>Garvan - YPO Event - 6.8.2026</t>
        </is>
      </c>
      <c r="R304" s="51" t="inlineStr">
        <is>
          <t>VIDEO</t>
        </is>
      </c>
    </row>
    <row r="305">
      <c r="P305" s="51" t="inlineStr">
        <is>
          <t>2608101</t>
        </is>
      </c>
      <c r="Q305" s="51" t="inlineStr">
        <is>
          <t>ART - AMM Captioning - 25.11.26</t>
        </is>
      </c>
      <c r="R305" s="51" t="inlineStr">
        <is>
          <t>PRODUCTION</t>
        </is>
      </c>
    </row>
    <row r="306">
      <c r="P306" s="51" t="inlineStr">
        <is>
          <t>2608101V</t>
        </is>
      </c>
      <c r="Q306" s="51" t="inlineStr">
        <is>
          <t>ART - AMM Captioning - 25.11.26</t>
        </is>
      </c>
      <c r="R306" s="51" t="inlineStr">
        <is>
          <t>VIDEO</t>
        </is>
      </c>
    </row>
    <row r="307">
      <c r="P307" s="51" t="inlineStr">
        <is>
          <t>2608102</t>
        </is>
      </c>
      <c r="Q307" s="51" t="inlineStr">
        <is>
          <t>ART - Education Session Captioning - 25.11.26</t>
        </is>
      </c>
      <c r="R307" s="51" t="inlineStr">
        <is>
          <t>PRODUCTION</t>
        </is>
      </c>
    </row>
    <row r="308">
      <c r="P308" s="51" t="inlineStr">
        <is>
          <t>26081101</t>
        </is>
      </c>
      <c r="Q308" s="51" t="inlineStr">
        <is>
          <t>Vega Global - Payments Forum - 17.9.26</t>
        </is>
      </c>
      <c r="R308" s="51" t="inlineStr">
        <is>
          <t>PRODUCTION</t>
        </is>
      </c>
    </row>
    <row r="309">
      <c r="P309" s="51" t="inlineStr">
        <is>
          <t>26081302</t>
        </is>
      </c>
      <c r="Q309" s="51" t="inlineStr">
        <is>
          <t>Ubank - Volunteer Day - 11.11.26</t>
        </is>
      </c>
      <c r="R309" s="51" t="inlineStr">
        <is>
          <t>PRODUCTION</t>
        </is>
      </c>
    </row>
    <row r="310">
      <c r="P310" s="51" t="inlineStr">
        <is>
          <t>26081302V</t>
        </is>
      </c>
      <c r="Q310" s="51" t="inlineStr">
        <is>
          <t>Ubank - Volunteer Day - 11.11.26</t>
        </is>
      </c>
      <c r="R310" s="51" t="inlineStr">
        <is>
          <t>VIDEO</t>
        </is>
      </c>
    </row>
    <row r="311">
      <c r="P311" s="51" t="inlineStr">
        <is>
          <t>26081402</t>
        </is>
      </c>
      <c r="Q311" s="51" t="inlineStr">
        <is>
          <t>Dimensional - AV Support - 19.8.26</t>
        </is>
      </c>
      <c r="R311" s="51" t="inlineStr">
        <is>
          <t>PRODUCTION</t>
        </is>
      </c>
    </row>
    <row r="312">
      <c r="P312" s="51" t="inlineStr">
        <is>
          <t>26081801</t>
        </is>
      </c>
      <c r="Q312" s="51" t="inlineStr">
        <is>
          <t>Microsoft - SME&amp;C Town Hall 14.10.2026</t>
        </is>
      </c>
      <c r="R312" s="51" t="inlineStr">
        <is>
          <t>PRODUCTION</t>
        </is>
      </c>
    </row>
    <row r="313">
      <c r="P313" s="51" t="inlineStr">
        <is>
          <t>26081801V</t>
        </is>
      </c>
      <c r="Q313" s="51" t="inlineStr">
        <is>
          <t>Microsoft - SME&amp;C Town Hall 14.10.2026</t>
        </is>
      </c>
      <c r="R313" s="51" t="inlineStr">
        <is>
          <t>VIDEO</t>
        </is>
      </c>
    </row>
    <row r="314">
      <c r="P314" s="51" t="inlineStr">
        <is>
          <t>26081901</t>
        </is>
      </c>
      <c r="Q314" s="51" t="inlineStr">
        <is>
          <t>AusPayNet Logitech Essentials for Room License Renewal</t>
        </is>
      </c>
      <c r="R314" s="51" t="inlineStr">
        <is>
          <t>INTEGRATION</t>
        </is>
      </c>
    </row>
    <row r="315">
      <c r="P315" s="51" t="inlineStr">
        <is>
          <t>26081904</t>
        </is>
      </c>
      <c r="Q315" s="51" t="inlineStr">
        <is>
          <t>Garvan - AllClear Program Meeting - 2.9.26</t>
        </is>
      </c>
      <c r="R315" s="51" t="inlineStr">
        <is>
          <t>PRODUCTION</t>
        </is>
      </c>
    </row>
    <row r="316">
      <c r="P316" s="51" t="inlineStr">
        <is>
          <t>26082402</t>
        </is>
      </c>
      <c r="Q316" s="51" t="inlineStr">
        <is>
          <t>TLC - 2026 AGM - 14.10.26</t>
        </is>
      </c>
      <c r="R316" s="51" t="inlineStr">
        <is>
          <t>PRODUCTION</t>
        </is>
      </c>
    </row>
    <row r="317">
      <c r="P317" s="51" t="inlineStr">
        <is>
          <t>26082402V</t>
        </is>
      </c>
      <c r="Q317" s="51" t="inlineStr">
        <is>
          <t>TLC - 2026 AGM - 14.10.26</t>
        </is>
      </c>
      <c r="R317" s="51" t="inlineStr">
        <is>
          <t>VIDEO</t>
        </is>
      </c>
    </row>
    <row r="318">
      <c r="P318" s="51" t="inlineStr">
        <is>
          <t>26082501</t>
        </is>
      </c>
      <c r="Q318" s="51" t="inlineStr">
        <is>
          <t>CBA - LES - September 2026</t>
        </is>
      </c>
      <c r="R318" s="51" t="inlineStr">
        <is>
          <t>PRODUCTION</t>
        </is>
      </c>
    </row>
    <row r="319">
      <c r="P319" s="51" t="inlineStr">
        <is>
          <t>26082502</t>
        </is>
      </c>
      <c r="Q319" s="51" t="inlineStr">
        <is>
          <t>ICC - Presenter &amp; Speaker Preparation - September 2026</t>
        </is>
      </c>
      <c r="R319" s="51" t="inlineStr">
        <is>
          <t>PRODUCTION</t>
        </is>
      </c>
    </row>
    <row r="320">
      <c r="P320" s="51" t="inlineStr">
        <is>
          <t>26082502V</t>
        </is>
      </c>
      <c r="Q320" s="51" t="inlineStr">
        <is>
          <t>ICC - Presenter &amp; Speaker Preparation - September 2026</t>
        </is>
      </c>
      <c r="R320" s="51" t="inlineStr">
        <is>
          <t>VIDEO</t>
        </is>
      </c>
    </row>
    <row r="321">
      <c r="P321" s="51" t="inlineStr">
        <is>
          <t>26082702</t>
        </is>
      </c>
      <c r="Q321" s="51" t="inlineStr">
        <is>
          <t>Garvan - Breast Cancer Public Lecture - 1.10.26</t>
        </is>
      </c>
      <c r="R321" s="51" t="inlineStr">
        <is>
          <t>PRODUCTION</t>
        </is>
      </c>
    </row>
    <row r="322">
      <c r="P322" s="51" t="inlineStr">
        <is>
          <t>26082703</t>
        </is>
      </c>
      <c r="Q322" s="51" t="inlineStr">
        <is>
          <t>APA - RUOK Day - 10.9.26</t>
        </is>
      </c>
      <c r="R322" s="51" t="inlineStr">
        <is>
          <t>PRODUCTION</t>
        </is>
      </c>
    </row>
    <row r="323">
      <c r="P323" s="51" t="inlineStr">
        <is>
          <t>26082703V</t>
        </is>
      </c>
      <c r="Q323" s="51" t="inlineStr">
        <is>
          <t>APA - RUOK Day - 10.9.26</t>
        </is>
      </c>
      <c r="R323" s="51" t="inlineStr">
        <is>
          <t>VIDEO</t>
        </is>
      </c>
    </row>
    <row r="324">
      <c r="P324" s="51" t="inlineStr">
        <is>
          <t>26082704</t>
        </is>
      </c>
      <c r="Q324" s="51" t="inlineStr">
        <is>
          <t>DTTL Travel for National STL &amp; Coverage SYD-PER</t>
        </is>
      </c>
      <c r="R324" s="51" t="inlineStr">
        <is>
          <t>ONSITE</t>
        </is>
      </c>
    </row>
    <row r="325">
      <c r="P325" s="51" t="inlineStr">
        <is>
          <t>26082801</t>
        </is>
      </c>
      <c r="Q325" s="51" t="inlineStr">
        <is>
          <t>Ricoh Australia - SHELL AV Support</t>
        </is>
      </c>
      <c r="R325" s="51" t="inlineStr">
        <is>
          <t>ONSITE</t>
        </is>
      </c>
    </row>
    <row r="326">
      <c r="P326" s="51" t="inlineStr">
        <is>
          <t>2608402</t>
        </is>
      </c>
      <c r="Q326" s="51" t="inlineStr">
        <is>
          <t>Garvan - Suttons Event - 15.10.26</t>
        </is>
      </c>
      <c r="R326" s="51" t="inlineStr">
        <is>
          <t>PRODUCTION</t>
        </is>
      </c>
    </row>
    <row r="327">
      <c r="P327" s="51" t="inlineStr">
        <is>
          <t>2608404</t>
        </is>
      </c>
      <c r="Q327" s="51" t="inlineStr">
        <is>
          <t>St Vincents Public Hospital - Awards Night - 26.8.25</t>
        </is>
      </c>
      <c r="R327" s="51" t="inlineStr">
        <is>
          <t>PRODUCTION</t>
        </is>
      </c>
    </row>
    <row r="328">
      <c r="P328" s="51" t="inlineStr">
        <is>
          <t>2608404V</t>
        </is>
      </c>
      <c r="Q328" s="51" t="inlineStr">
        <is>
          <t>St Vincents Public Hospital - Awards Night - 26.8.25</t>
        </is>
      </c>
      <c r="R328" s="51" t="inlineStr">
        <is>
          <t>VIDEO</t>
        </is>
      </c>
    </row>
    <row r="329">
      <c r="P329" s="51" t="inlineStr">
        <is>
          <t>2608604</t>
        </is>
      </c>
      <c r="Q329" s="51" t="inlineStr">
        <is>
          <t>ASX - FYR Employee Town Hall - 13.8.26</t>
        </is>
      </c>
      <c r="R329" s="51" t="inlineStr">
        <is>
          <t>PRODUCTION</t>
        </is>
      </c>
    </row>
    <row r="330">
      <c r="P330" s="51" t="inlineStr">
        <is>
          <t>2608604V</t>
        </is>
      </c>
      <c r="Q330" s="51" t="inlineStr">
        <is>
          <t>ASX - FYR Employee Town Hall - 13.8.26</t>
        </is>
      </c>
      <c r="R330" s="51" t="inlineStr">
        <is>
          <t>VIDEO</t>
        </is>
      </c>
    </row>
    <row r="331">
      <c r="P331" s="51" t="inlineStr">
        <is>
          <t>2608701</t>
        </is>
      </c>
      <c r="Q331" s="51" t="inlineStr">
        <is>
          <t>Elkeim - Studio Support - 10.9.26</t>
        </is>
      </c>
      <c r="R331" s="51" t="inlineStr">
        <is>
          <t>PRODUCTION</t>
        </is>
      </c>
    </row>
    <row r="332">
      <c r="P332" s="51" t="inlineStr">
        <is>
          <t>2608702</t>
        </is>
      </c>
      <c r="Q332" s="51" t="inlineStr">
        <is>
          <t>APA - Qtly All Hands SYD Screen Hire - 20.8.26</t>
        </is>
      </c>
      <c r="R332" s="51" t="inlineStr">
        <is>
          <t>PRODUCTION</t>
        </is>
      </c>
    </row>
    <row r="333">
      <c r="P333" s="51" t="inlineStr">
        <is>
          <t>26091002</t>
        </is>
      </c>
      <c r="Q333" s="51" t="inlineStr">
        <is>
          <t>GP - Talking Philanthropy - Event Videography 18.9.26</t>
        </is>
      </c>
      <c r="R333" s="51" t="inlineStr">
        <is>
          <t>PRODUCTION</t>
        </is>
      </c>
    </row>
    <row r="334">
      <c r="P334" s="51" t="inlineStr">
        <is>
          <t>26091002V</t>
        </is>
      </c>
      <c r="Q334" s="51" t="inlineStr">
        <is>
          <t>GP - Talking Philanthropy - Event Videography 18.9.26</t>
        </is>
      </c>
      <c r="R334" s="51" t="inlineStr">
        <is>
          <t>VIDEO</t>
        </is>
      </c>
    </row>
    <row r="335">
      <c r="P335" s="51" t="inlineStr">
        <is>
          <t>26091601</t>
        </is>
      </c>
      <c r="Q335" s="51" t="inlineStr">
        <is>
          <t>Automic - September All Hands - 25.9.26</t>
        </is>
      </c>
      <c r="R335" s="51" t="inlineStr">
        <is>
          <t>PRODUCTION</t>
        </is>
      </c>
    </row>
    <row r="336">
      <c r="P336" s="51" t="inlineStr">
        <is>
          <t>26091601V</t>
        </is>
      </c>
      <c r="Q336" s="51" t="inlineStr">
        <is>
          <t>Automic - September All Hands - 25.9.26</t>
        </is>
      </c>
      <c r="R336" s="51" t="inlineStr">
        <is>
          <t>VIDEO</t>
        </is>
      </c>
    </row>
    <row r="337">
      <c r="P337" s="51" t="inlineStr">
        <is>
          <t>26091604</t>
        </is>
      </c>
      <c r="Q337" s="51" t="inlineStr">
        <is>
          <t>The George Institute - SYD CV Symposium - 29-30.10.26</t>
        </is>
      </c>
      <c r="R337" s="51" t="inlineStr">
        <is>
          <t>PRODUCTION</t>
        </is>
      </c>
    </row>
    <row r="338">
      <c r="P338" s="51" t="inlineStr">
        <is>
          <t>26091604V</t>
        </is>
      </c>
      <c r="Q338" s="51" t="inlineStr">
        <is>
          <t>The George Institute - SYD CV Symposium - 29-30.10.26</t>
        </is>
      </c>
      <c r="R338" s="51" t="inlineStr">
        <is>
          <t>VIDEO</t>
        </is>
      </c>
    </row>
    <row r="339">
      <c r="P339" s="51" t="inlineStr">
        <is>
          <t>2609402</t>
        </is>
      </c>
      <c r="Q339" s="51" t="inlineStr">
        <is>
          <t>MUFG - SUN Investor Day - 29.10.26</t>
        </is>
      </c>
      <c r="R339" s="51" t="inlineStr">
        <is>
          <t>PRODUCTION</t>
        </is>
      </c>
    </row>
    <row r="340">
      <c r="P340" s="51" t="inlineStr">
        <is>
          <t>2609402V</t>
        </is>
      </c>
      <c r="Q340" s="51" t="inlineStr">
        <is>
          <t>MUFG - SUN Investor Day - 29.10.26</t>
        </is>
      </c>
      <c r="R340" s="51" t="inlineStr">
        <is>
          <t>VIDEO</t>
        </is>
      </c>
    </row>
    <row r="341">
      <c r="P341" s="51" t="inlineStr">
        <is>
          <t>2609801</t>
        </is>
      </c>
      <c r="Q341" s="51" t="inlineStr">
        <is>
          <t>Elkiem - Studio Support - 16.9.26</t>
        </is>
      </c>
      <c r="R341" s="51" t="inlineStr">
        <is>
          <t>PRODUCTION</t>
        </is>
      </c>
    </row>
    <row r="342">
      <c r="P342" s="51" t="inlineStr">
        <is>
          <t>2645</t>
        </is>
      </c>
      <c r="Q342" s="51" t="inlineStr">
        <is>
          <t>EY SYD Tech Support</t>
        </is>
      </c>
      <c r="R342" s="51" t="inlineStr">
        <is>
          <t>ONSITE</t>
        </is>
      </c>
    </row>
    <row r="343">
      <c r="P343" s="51" t="inlineStr">
        <is>
          <t>2648</t>
        </is>
      </c>
      <c r="Q343" s="51" t="inlineStr">
        <is>
          <t>DTTL MEL Additional Tech</t>
        </is>
      </c>
      <c r="R343" s="51" t="inlineStr">
        <is>
          <t>ONSITE</t>
        </is>
      </c>
    </row>
    <row r="344">
      <c r="P344" s="51" t="inlineStr">
        <is>
          <t>2658</t>
        </is>
      </c>
      <c r="Q344" s="51" t="inlineStr">
        <is>
          <t>EY MELB Tech</t>
        </is>
      </c>
      <c r="R344" s="51" t="inlineStr">
        <is>
          <t>ONSITE</t>
        </is>
      </c>
    </row>
    <row r="345">
      <c r="P345" s="51" t="inlineStr">
        <is>
          <t>2675</t>
        </is>
      </c>
      <c r="Q345" s="51" t="inlineStr">
        <is>
          <t>ONS EY (non-chargeable)</t>
        </is>
      </c>
      <c r="R345" s="59" t="n"/>
    </row>
    <row r="346">
      <c r="P346" s="51" t="inlineStr">
        <is>
          <t>2685</t>
        </is>
      </c>
      <c r="Q346" s="51" t="inlineStr">
        <is>
          <t>APA Proxyclick BNE &amp; DRW</t>
        </is>
      </c>
      <c r="R346" s="51" t="inlineStr">
        <is>
          <t>INTEGRATION</t>
        </is>
      </c>
    </row>
    <row r="347">
      <c r="P347" s="51" t="inlineStr">
        <is>
          <t>2706</t>
        </is>
      </c>
      <c r="Q347" s="51" t="inlineStr">
        <is>
          <t>EPA 6PSQ Proxyclick VMS</t>
        </is>
      </c>
      <c r="R347" s="51" t="inlineStr">
        <is>
          <t>INTEGRATION</t>
        </is>
      </c>
    </row>
    <row r="348">
      <c r="P348" s="51" t="inlineStr">
        <is>
          <t>2719</t>
        </is>
      </c>
      <c r="Q348" s="51" t="inlineStr">
        <is>
          <t>GSP - 6PSQProxyclickOnb</t>
        </is>
      </c>
      <c r="R348" s="51" t="inlineStr">
        <is>
          <t>INTEGRATION</t>
        </is>
      </c>
    </row>
    <row r="349">
      <c r="P349" s="51" t="inlineStr">
        <is>
          <t>2722</t>
        </is>
      </c>
      <c r="Q349" s="51" t="inlineStr">
        <is>
          <t>PWC Monthly Consulting</t>
        </is>
      </c>
      <c r="R349" s="51" t="inlineStr">
        <is>
          <t>CONSULTING</t>
        </is>
      </c>
    </row>
    <row r="350">
      <c r="P350" s="51" t="inlineStr">
        <is>
          <t>2726</t>
        </is>
      </c>
      <c r="Q350" s="51" t="inlineStr">
        <is>
          <t>KPMG MEL Tech</t>
        </is>
      </c>
      <c r="R350" s="51" t="inlineStr">
        <is>
          <t>ONSITE</t>
        </is>
      </c>
    </row>
    <row r="351">
      <c r="P351" s="51" t="inlineStr">
        <is>
          <t>2756</t>
        </is>
      </c>
      <c r="Q351" s="51" t="inlineStr">
        <is>
          <t>CTS Mgmt Meetings</t>
        </is>
      </c>
      <c r="R351" s="51" t="inlineStr">
        <is>
          <t>CTS</t>
        </is>
      </c>
    </row>
    <row r="352">
      <c r="P352" s="51" t="inlineStr">
        <is>
          <t>2834</t>
        </is>
      </c>
      <c r="Q352" s="51" t="inlineStr">
        <is>
          <t>APA Young - Visitor Mgmt</t>
        </is>
      </c>
      <c r="R352" s="51" t="inlineStr">
        <is>
          <t>INTEGRATION</t>
        </is>
      </c>
    </row>
    <row r="353">
      <c r="P353" s="51" t="inlineStr">
        <is>
          <t>2838</t>
        </is>
      </c>
      <c r="Q353" s="51" t="inlineStr">
        <is>
          <t>KPMG SYD Tech</t>
        </is>
      </c>
      <c r="R353" s="51" t="inlineStr">
        <is>
          <t>ONSITE</t>
        </is>
      </c>
    </row>
    <row r="354">
      <c r="P354" s="51" t="inlineStr">
        <is>
          <t>2846</t>
        </is>
      </c>
      <c r="Q354" s="51" t="inlineStr">
        <is>
          <t>DTTL National STL</t>
        </is>
      </c>
      <c r="R354" s="51" t="inlineStr">
        <is>
          <t>ONSITE</t>
        </is>
      </c>
    </row>
    <row r="355">
      <c r="P355" s="51" t="inlineStr">
        <is>
          <t>2848</t>
        </is>
      </c>
      <c r="Q355" s="51" t="inlineStr">
        <is>
          <t>APA ADL Visitor Mgmt</t>
        </is>
      </c>
      <c r="R355" s="51" t="inlineStr">
        <is>
          <t>INTEGRATION</t>
        </is>
      </c>
    </row>
    <row r="356">
      <c r="P356" s="51" t="inlineStr">
        <is>
          <t>2849</t>
        </is>
      </c>
      <c r="Q356" s="51" t="inlineStr">
        <is>
          <t>DTTL SYD Internal</t>
        </is>
      </c>
      <c r="R356" s="51" t="inlineStr">
        <is>
          <t>ONSITE</t>
        </is>
      </c>
    </row>
    <row r="357">
      <c r="P357" s="51" t="inlineStr">
        <is>
          <t>2855</t>
        </is>
      </c>
      <c r="Q357" s="51" t="inlineStr">
        <is>
          <t>APA Melbourne VMS</t>
        </is>
      </c>
      <c r="R357" s="51" t="inlineStr">
        <is>
          <t>INTEGRATION</t>
        </is>
      </c>
    </row>
    <row r="358">
      <c r="P358" s="51" t="inlineStr">
        <is>
          <t>2857</t>
        </is>
      </c>
      <c r="Q358" s="51" t="inlineStr">
        <is>
          <t>APA Sydney Visitor Mgmt</t>
        </is>
      </c>
      <c r="R358" s="51" t="inlineStr">
        <is>
          <t>INTEGRATION</t>
        </is>
      </c>
    </row>
    <row r="359">
      <c r="P359" s="51" t="inlineStr">
        <is>
          <t>2877</t>
        </is>
      </c>
      <c r="Q359" s="51" t="inlineStr">
        <is>
          <t>DEWR Maintenance Ext</t>
        </is>
      </c>
      <c r="R359" s="51" t="inlineStr">
        <is>
          <t>INTEGRATION</t>
        </is>
      </c>
    </row>
    <row r="360">
      <c r="P360" s="51" t="inlineStr">
        <is>
          <t>2879</t>
        </is>
      </c>
      <c r="Q360" s="51" t="inlineStr">
        <is>
          <t>ONS Ricoh-QANTAS (non-chgble)</t>
        </is>
      </c>
      <c r="R360" s="59" t="n"/>
    </row>
    <row r="361">
      <c r="P361" s="51" t="inlineStr">
        <is>
          <t>2880</t>
        </is>
      </c>
      <c r="Q361" s="51" t="inlineStr">
        <is>
          <t>Ricoh - QANTAS</t>
        </is>
      </c>
      <c r="R361" s="51" t="inlineStr">
        <is>
          <t>ONSITE</t>
        </is>
      </c>
    </row>
    <row r="362">
      <c r="P362" s="51" t="inlineStr">
        <is>
          <t>2892</t>
        </is>
      </c>
      <c r="Q362" s="51" t="inlineStr">
        <is>
          <t>JP Morgan Onsite Tech</t>
        </is>
      </c>
      <c r="R362" s="51" t="inlineStr">
        <is>
          <t>ONSITE</t>
        </is>
      </c>
    </row>
    <row r="363">
      <c r="P363" s="51" t="inlineStr">
        <is>
          <t>2896</t>
        </is>
      </c>
      <c r="Q363" s="51" t="inlineStr">
        <is>
          <t>ONS KPMG (non-chargeable)</t>
        </is>
      </c>
      <c r="R363" s="59" t="n"/>
    </row>
    <row r="364">
      <c r="P364" s="51" t="inlineStr">
        <is>
          <t>2897</t>
        </is>
      </c>
      <c r="Q364" s="51" t="inlineStr">
        <is>
          <t>ONS JPM (non-chargeable)</t>
        </is>
      </c>
      <c r="R364" s="59" t="n"/>
    </row>
    <row r="365">
      <c r="P365" s="51" t="inlineStr">
        <is>
          <t>2900</t>
        </is>
      </c>
      <c r="Q365" s="51" t="inlineStr">
        <is>
          <t>ONS Ammacus-Woolworths (non-chargeable)</t>
        </is>
      </c>
      <c r="R365" s="59" t="n"/>
    </row>
    <row r="366">
      <c r="P366" s="51" t="inlineStr">
        <is>
          <t>2906</t>
        </is>
      </c>
      <c r="Q366" s="51" t="inlineStr">
        <is>
          <t>KPMG BNE Tech</t>
        </is>
      </c>
      <c r="R366" s="51" t="inlineStr">
        <is>
          <t>ONSITE</t>
        </is>
      </c>
    </row>
    <row r="367">
      <c r="P367" s="51" t="inlineStr">
        <is>
          <t>2907</t>
        </is>
      </c>
      <c r="Q367" s="51" t="inlineStr">
        <is>
          <t>Ammacus-Woolworths Tech</t>
        </is>
      </c>
      <c r="R367" s="51" t="inlineStr">
        <is>
          <t>ONSITE</t>
        </is>
      </c>
    </row>
    <row r="368">
      <c r="P368" s="51" t="inlineStr">
        <is>
          <t>2910</t>
        </is>
      </c>
      <c r="Q368" s="51" t="inlineStr">
        <is>
          <t>Office Move 2024</t>
        </is>
      </c>
      <c r="R368" s="51" t="inlineStr">
        <is>
          <t>CTS</t>
        </is>
      </c>
    </row>
    <row r="369">
      <c r="P369" s="51" t="inlineStr">
        <is>
          <t>2977</t>
        </is>
      </c>
      <c r="Q369" s="51" t="inlineStr">
        <is>
          <t>St Catherine's School (CONS)</t>
        </is>
      </c>
      <c r="R369" s="59" t="n"/>
    </row>
    <row r="370">
      <c r="P370" s="51" t="inlineStr">
        <is>
          <t>3014</t>
        </is>
      </c>
      <c r="Q370" s="51" t="inlineStr">
        <is>
          <t>ONS Ricoh/Campari (Chargeable)</t>
        </is>
      </c>
      <c r="R370" s="59" t="n"/>
    </row>
    <row r="371">
      <c r="P371" s="51" t="inlineStr">
        <is>
          <t>3015</t>
        </is>
      </c>
      <c r="Q371" s="51" t="inlineStr">
        <is>
          <t>ONS Ricoh/Campari (Non Chgble)</t>
        </is>
      </c>
      <c r="R371" s="59" t="n"/>
    </row>
    <row r="372">
      <c r="P372" s="51" t="inlineStr">
        <is>
          <t>3027</t>
        </is>
      </c>
      <c r="Q372" s="51" t="inlineStr">
        <is>
          <t>DPIE Elizabeth St Booking</t>
        </is>
      </c>
      <c r="R372" s="51" t="inlineStr">
        <is>
          <t>INTEGRATION</t>
        </is>
      </c>
    </row>
    <row r="373">
      <c r="P373" s="51" t="inlineStr">
        <is>
          <t>3028</t>
        </is>
      </c>
      <c r="Q373" s="51" t="inlineStr">
        <is>
          <t>APA Kidman Park VMS</t>
        </is>
      </c>
      <c r="R373" s="51" t="inlineStr">
        <is>
          <t>INTEGRATION</t>
        </is>
      </c>
    </row>
    <row r="374">
      <c r="P374" s="51" t="inlineStr">
        <is>
          <t>3034</t>
        </is>
      </c>
      <c r="Q374" s="51" t="inlineStr">
        <is>
          <t>ARUP ONS (non-chargeable)</t>
        </is>
      </c>
      <c r="R374" s="59" t="n"/>
    </row>
    <row r="375">
      <c r="P375" s="51" t="inlineStr">
        <is>
          <t>3035</t>
        </is>
      </c>
      <c r="Q375" s="51" t="inlineStr">
        <is>
          <t>ARUP ONS National (Chargeable)</t>
        </is>
      </c>
      <c r="R375" s="59" t="n"/>
    </row>
    <row r="376">
      <c r="P376" s="51" t="inlineStr">
        <is>
          <t>3040</t>
        </is>
      </c>
      <c r="Q376" s="51" t="inlineStr">
        <is>
          <t>Corrs MELB Office Reloc</t>
        </is>
      </c>
      <c r="R376" s="51" t="inlineStr">
        <is>
          <t>CONSULTING</t>
        </is>
      </c>
    </row>
    <row r="377">
      <c r="P377" s="51" t="inlineStr">
        <is>
          <t>3042</t>
        </is>
      </c>
      <c r="Q377" s="51" t="inlineStr">
        <is>
          <t>Corrs-PER Office Reloc</t>
        </is>
      </c>
      <c r="R377" s="51" t="inlineStr">
        <is>
          <t>CONSULTING</t>
        </is>
      </c>
    </row>
    <row r="378">
      <c r="P378" s="51" t="inlineStr">
        <is>
          <t>3046</t>
        </is>
      </c>
      <c r="Q378" s="51" t="inlineStr">
        <is>
          <t>Stone&amp;Chalk ONS [chargeable]</t>
        </is>
      </c>
      <c r="R378" s="59" t="n"/>
    </row>
    <row r="379">
      <c r="P379" s="51" t="inlineStr">
        <is>
          <t>3047</t>
        </is>
      </c>
      <c r="Q379" s="51" t="inlineStr">
        <is>
          <t>Stone&amp;Chalk ONS [non-chargable]</t>
        </is>
      </c>
      <c r="R379" s="59" t="n"/>
    </row>
    <row r="380">
      <c r="P380" s="51" t="inlineStr">
        <is>
          <t>3048</t>
        </is>
      </c>
      <c r="Q380" s="51" t="inlineStr">
        <is>
          <t>Stone &amp; Chalk Audit 2</t>
        </is>
      </c>
      <c r="R380" s="51" t="inlineStr">
        <is>
          <t>CONSULTING</t>
        </is>
      </c>
    </row>
    <row r="381">
      <c r="P381" s="51" t="inlineStr">
        <is>
          <t>3056</t>
        </is>
      </c>
      <c r="Q381" s="51" t="inlineStr">
        <is>
          <t>AusPayNet Onsite [Chargeable]</t>
        </is>
      </c>
      <c r="R381" s="59" t="n"/>
    </row>
    <row r="382">
      <c r="P382" s="51" t="inlineStr">
        <is>
          <t>3057</t>
        </is>
      </c>
      <c r="Q382" s="51" t="inlineStr">
        <is>
          <t>AusPayNet ONS[Non-Chargeable]</t>
        </is>
      </c>
      <c r="R382" s="59" t="n"/>
    </row>
    <row r="383">
      <c r="P383" s="51" t="inlineStr">
        <is>
          <t>3059</t>
        </is>
      </c>
      <c r="Q383" s="51" t="inlineStr">
        <is>
          <t>CBA AGM 2025</t>
        </is>
      </c>
      <c r="R383" s="51" t="inlineStr">
        <is>
          <t>PRODUCTION</t>
        </is>
      </c>
    </row>
    <row r="384">
      <c r="P384" s="51" t="inlineStr">
        <is>
          <t>3068</t>
        </is>
      </c>
      <c r="Q384" s="51" t="inlineStr">
        <is>
          <t>DPIE Pitt and Penrith</t>
        </is>
      </c>
      <c r="R384" s="51" t="inlineStr">
        <is>
          <t>INTEGRATION</t>
        </is>
      </c>
    </row>
    <row r="385">
      <c r="P385" s="51" t="inlineStr">
        <is>
          <t>3072</t>
        </is>
      </c>
      <c r="Q385" s="51" t="inlineStr">
        <is>
          <t>APA Thomastown</t>
        </is>
      </c>
      <c r="R385" s="51" t="inlineStr">
        <is>
          <t>INTEGRATION</t>
        </is>
      </c>
    </row>
    <row r="386">
      <c r="P386" s="51" t="inlineStr">
        <is>
          <t>585</t>
        </is>
      </c>
      <c r="Q386" s="51" t="inlineStr">
        <is>
          <t>CBA Team Leader</t>
        </is>
      </c>
      <c r="R386" s="51" t="inlineStr">
        <is>
          <t>ONSITE</t>
        </is>
      </c>
    </row>
    <row r="387">
      <c r="P387" s="51" t="inlineStr">
        <is>
          <t>586</t>
        </is>
      </c>
      <c r="Q387" s="51" t="inlineStr">
        <is>
          <t>CBA Tech NP</t>
        </is>
      </c>
      <c r="R387" s="51" t="inlineStr">
        <is>
          <t>ONSITE</t>
        </is>
      </c>
    </row>
    <row r="388">
      <c r="P388" s="51" t="inlineStr">
        <is>
          <t>587</t>
        </is>
      </c>
      <c r="Q388" s="51" t="inlineStr">
        <is>
          <t>CBA Tech TN</t>
        </is>
      </c>
      <c r="R388" s="51" t="inlineStr">
        <is>
          <t>ONSITE</t>
        </is>
      </c>
    </row>
    <row r="389">
      <c r="P389" s="51" t="inlineStr">
        <is>
          <t>724</t>
        </is>
      </c>
      <c r="Q389" s="51" t="inlineStr">
        <is>
          <t>DTTL SYD NTSL</t>
        </is>
      </c>
      <c r="R389" s="51" t="inlineStr">
        <is>
          <t>ONSITE</t>
        </is>
      </c>
    </row>
    <row r="390">
      <c r="P390" s="51" t="inlineStr">
        <is>
          <t>725</t>
        </is>
      </c>
      <c r="Q390" s="51" t="inlineStr">
        <is>
          <t>DTTL Mel Tech FT 1</t>
        </is>
      </c>
      <c r="R390" s="51" t="inlineStr">
        <is>
          <t>ONSITE</t>
        </is>
      </c>
    </row>
    <row r="391">
      <c r="P391" s="51" t="inlineStr">
        <is>
          <t>729</t>
        </is>
      </c>
      <c r="Q391" s="51" t="inlineStr">
        <is>
          <t>DTTL Consulting</t>
        </is>
      </c>
      <c r="R391" s="51" t="inlineStr">
        <is>
          <t>CONSULTING</t>
        </is>
      </c>
    </row>
    <row r="392">
      <c r="P392" s="51" t="inlineStr">
        <is>
          <t>732</t>
        </is>
      </c>
      <c r="Q392" s="51" t="inlineStr">
        <is>
          <t>Bank West Contract</t>
        </is>
      </c>
      <c r="R392" s="51" t="inlineStr">
        <is>
          <t>ONSITE</t>
        </is>
      </c>
    </row>
    <row r="393">
      <c r="P393" s="51" t="inlineStr">
        <is>
          <t>9000</t>
        </is>
      </c>
      <c r="Q393" s="51" t="inlineStr">
        <is>
          <t>OFFICE / ADMIN</t>
        </is>
      </c>
      <c r="R393" s="51" t="inlineStr">
        <is>
          <t>CTS</t>
        </is>
      </c>
    </row>
    <row r="394">
      <c r="P394" s="51" t="inlineStr">
        <is>
          <t>9001</t>
        </is>
      </c>
      <c r="Q394" s="51" t="inlineStr">
        <is>
          <t>OFFICE/ADMIN Orientation</t>
        </is>
      </c>
      <c r="R394" s="51" t="inlineStr">
        <is>
          <t>CTS</t>
        </is>
      </c>
    </row>
    <row r="395">
      <c r="P395" s="51" t="inlineStr">
        <is>
          <t>9050</t>
        </is>
      </c>
      <c r="Q395" s="51" t="inlineStr">
        <is>
          <t>OFFICE ASSETS</t>
        </is>
      </c>
      <c r="R395" s="51" t="inlineStr">
        <is>
          <t>CTS</t>
        </is>
      </c>
    </row>
    <row r="396">
      <c r="P396" s="51" t="inlineStr">
        <is>
          <t>9100</t>
        </is>
      </c>
      <c r="Q396" s="51" t="inlineStr">
        <is>
          <t>PRODUCTION</t>
        </is>
      </c>
      <c r="R396" s="51" t="inlineStr">
        <is>
          <t>PRODUCTION</t>
        </is>
      </c>
    </row>
    <row r="397">
      <c r="P397" s="51" t="inlineStr">
        <is>
          <t>9101</t>
        </is>
      </c>
      <c r="Q397" s="51" t="inlineStr">
        <is>
          <t>PRODUCTION - Orientation</t>
        </is>
      </c>
      <c r="R397" s="51" t="inlineStr">
        <is>
          <t>PRODUCTION</t>
        </is>
      </c>
    </row>
    <row r="398">
      <c r="P398" s="51" t="inlineStr">
        <is>
          <t>9102</t>
        </is>
      </c>
      <c r="Q398" s="51" t="inlineStr">
        <is>
          <t>Production - Training</t>
        </is>
      </c>
      <c r="R398" s="51" t="inlineStr">
        <is>
          <t>PRODUCTION</t>
        </is>
      </c>
    </row>
    <row r="399">
      <c r="P399" s="51" t="inlineStr">
        <is>
          <t>9105</t>
        </is>
      </c>
      <c r="Q399" s="51" t="inlineStr">
        <is>
          <t>ONSITE (including PROD backup)</t>
        </is>
      </c>
      <c r="R399" s="59" t="n"/>
    </row>
    <row r="400">
      <c r="P400" s="51" t="inlineStr">
        <is>
          <t>9106</t>
        </is>
      </c>
      <c r="Q400" s="51" t="inlineStr">
        <is>
          <t>ONSITE - Orientation</t>
        </is>
      </c>
      <c r="R400" s="51" t="inlineStr">
        <is>
          <t>ONSITE</t>
        </is>
      </c>
    </row>
    <row r="401">
      <c r="P401" s="51" t="inlineStr">
        <is>
          <t>9107</t>
        </is>
      </c>
      <c r="Q401" s="51" t="inlineStr">
        <is>
          <t>ONSITE - Assets</t>
        </is>
      </c>
      <c r="R401" s="51" t="inlineStr">
        <is>
          <t>ONSITE</t>
        </is>
      </c>
    </row>
    <row r="402">
      <c r="P402" s="51" t="inlineStr">
        <is>
          <t>9108</t>
        </is>
      </c>
      <c r="Q402" s="51" t="inlineStr">
        <is>
          <t>ONSITE - Sales</t>
        </is>
      </c>
      <c r="R402" s="51" t="inlineStr">
        <is>
          <t>ONSITE</t>
        </is>
      </c>
    </row>
    <row r="403">
      <c r="P403" s="51" t="inlineStr">
        <is>
          <t>9109</t>
        </is>
      </c>
      <c r="Q403" s="51" t="inlineStr">
        <is>
          <t>ONSITE - Marketing</t>
        </is>
      </c>
      <c r="R403" s="51" t="inlineStr">
        <is>
          <t>ONSITE</t>
        </is>
      </c>
    </row>
    <row r="404">
      <c r="P404" s="51" t="inlineStr">
        <is>
          <t>9125</t>
        </is>
      </c>
      <c r="Q404" s="51" t="inlineStr">
        <is>
          <t>VIDEO DEPT</t>
        </is>
      </c>
      <c r="R404" s="51" t="inlineStr">
        <is>
          <t>VIDEO</t>
        </is>
      </c>
    </row>
    <row r="405">
      <c r="P405" s="51" t="inlineStr">
        <is>
          <t>9126</t>
        </is>
      </c>
      <c r="Q405" s="51" t="inlineStr">
        <is>
          <t>VIDEO - Orientation</t>
        </is>
      </c>
      <c r="R405" s="51" t="inlineStr">
        <is>
          <t>VIDEO</t>
        </is>
      </c>
    </row>
    <row r="406">
      <c r="P406" s="51" t="inlineStr">
        <is>
          <t>9127</t>
        </is>
      </c>
      <c r="Q406" s="51" t="inlineStr">
        <is>
          <t>VIDEO - Assets</t>
        </is>
      </c>
      <c r="R406" s="51" t="inlineStr">
        <is>
          <t>VIDEO</t>
        </is>
      </c>
    </row>
    <row r="407">
      <c r="P407" s="51" t="inlineStr">
        <is>
          <t>9128</t>
        </is>
      </c>
      <c r="Q407" s="51" t="inlineStr">
        <is>
          <t>VIDEO - Sales</t>
        </is>
      </c>
      <c r="R407" s="51" t="inlineStr">
        <is>
          <t>VIDEO</t>
        </is>
      </c>
    </row>
    <row r="408">
      <c r="P408" s="51" t="inlineStr">
        <is>
          <t>9129</t>
        </is>
      </c>
      <c r="Q408" s="51" t="inlineStr">
        <is>
          <t>VIDEO - Marketing</t>
        </is>
      </c>
      <c r="R408" s="51" t="inlineStr">
        <is>
          <t>VIDEO</t>
        </is>
      </c>
    </row>
    <row r="409">
      <c r="P409" s="51" t="inlineStr">
        <is>
          <t>9150</t>
        </is>
      </c>
      <c r="Q409" s="51" t="inlineStr">
        <is>
          <t>PRODUCTION - Assets</t>
        </is>
      </c>
      <c r="R409" s="51" t="inlineStr">
        <is>
          <t>PRODUCTION</t>
        </is>
      </c>
    </row>
    <row r="410">
      <c r="P410" s="51" t="inlineStr">
        <is>
          <t>9175</t>
        </is>
      </c>
      <c r="Q410" s="51" t="inlineStr">
        <is>
          <t>PRODUCTION - Sales</t>
        </is>
      </c>
      <c r="R410" s="51" t="inlineStr">
        <is>
          <t>PRODUCTION</t>
        </is>
      </c>
    </row>
    <row r="411">
      <c r="P411" s="51" t="inlineStr">
        <is>
          <t>9176</t>
        </is>
      </c>
      <c r="Q411" s="51" t="inlineStr">
        <is>
          <t>Production - Marketing</t>
        </is>
      </c>
      <c r="R411" s="51" t="inlineStr">
        <is>
          <t>PRODUCTION</t>
        </is>
      </c>
    </row>
    <row r="412">
      <c r="P412" s="51" t="inlineStr">
        <is>
          <t>9178</t>
        </is>
      </c>
      <c r="Q412" s="51" t="inlineStr">
        <is>
          <t>Production – Webcasts</t>
        </is>
      </c>
      <c r="R412" s="51" t="inlineStr">
        <is>
          <t>PRODUCTION</t>
        </is>
      </c>
    </row>
    <row r="413">
      <c r="P413" s="51" t="inlineStr">
        <is>
          <t>9200</t>
        </is>
      </c>
      <c r="Q413" s="51" t="inlineStr">
        <is>
          <t>INTEGRATION</t>
        </is>
      </c>
      <c r="R413" s="51" t="inlineStr">
        <is>
          <t>INTEGRATION</t>
        </is>
      </c>
    </row>
    <row r="414">
      <c r="P414" s="51" t="inlineStr">
        <is>
          <t>9201</t>
        </is>
      </c>
      <c r="Q414" s="51" t="inlineStr">
        <is>
          <t>INTEGRATION - Orientation [INT</t>
        </is>
      </c>
      <c r="R414" s="59" t="n"/>
    </row>
    <row r="415">
      <c r="P415" s="51" t="inlineStr">
        <is>
          <t>9202</t>
        </is>
      </c>
      <c r="Q415" s="51" t="inlineStr">
        <is>
          <t>INTEGRATION - Quotes</t>
        </is>
      </c>
      <c r="R415" s="51" t="inlineStr">
        <is>
          <t>INTEGRATION</t>
        </is>
      </c>
    </row>
    <row r="416">
      <c r="P416" s="51" t="inlineStr">
        <is>
          <t>9225</t>
        </is>
      </c>
      <c r="Q416" s="51" t="inlineStr">
        <is>
          <t>Integration - SALES</t>
        </is>
      </c>
      <c r="R416" s="51" t="inlineStr">
        <is>
          <t>INTEGRATION</t>
        </is>
      </c>
    </row>
    <row r="417">
      <c r="P417" s="51" t="inlineStr">
        <is>
          <t>9226</t>
        </is>
      </c>
      <c r="Q417" s="51" t="inlineStr">
        <is>
          <t>Integration - Marketing</t>
        </is>
      </c>
      <c r="R417" s="51" t="inlineStr">
        <is>
          <t>INTEGRATION</t>
        </is>
      </c>
    </row>
    <row r="418">
      <c r="P418" s="51" t="inlineStr">
        <is>
          <t>9300</t>
        </is>
      </c>
      <c r="Q418" s="51" t="inlineStr">
        <is>
          <t>HUMAN RESOURCES</t>
        </is>
      </c>
      <c r="R418" s="51" t="inlineStr">
        <is>
          <t>CTS</t>
        </is>
      </c>
    </row>
    <row r="419">
      <c r="P419" s="51" t="inlineStr">
        <is>
          <t>9301</t>
        </is>
      </c>
      <c r="Q419" s="51" t="inlineStr">
        <is>
          <t>Recruitment</t>
        </is>
      </c>
      <c r="R419" s="51" t="inlineStr">
        <is>
          <t>CTS</t>
        </is>
      </c>
    </row>
    <row r="420">
      <c r="P420" s="51" t="inlineStr">
        <is>
          <t>9350</t>
        </is>
      </c>
      <c r="Q420" s="51" t="inlineStr">
        <is>
          <t>MARKETING (external)</t>
        </is>
      </c>
      <c r="R420" s="51" t="inlineStr">
        <is>
          <t>CTS</t>
        </is>
      </c>
    </row>
    <row r="421">
      <c r="P421" s="51" t="inlineStr">
        <is>
          <t>9375</t>
        </is>
      </c>
      <c r="Q421" s="51" t="inlineStr">
        <is>
          <t>MARKETING / COMMS</t>
        </is>
      </c>
      <c r="R421" s="51" t="inlineStr">
        <is>
          <t>CTS</t>
        </is>
      </c>
    </row>
    <row r="422">
      <c r="P422" s="51" t="inlineStr">
        <is>
          <t>9400</t>
        </is>
      </c>
      <c r="Q422" s="51" t="inlineStr">
        <is>
          <t>CONSULTING</t>
        </is>
      </c>
      <c r="R422" s="51" t="inlineStr">
        <is>
          <t>CONSULTING</t>
        </is>
      </c>
    </row>
    <row r="423">
      <c r="P423" s="51" t="inlineStr">
        <is>
          <t>9402</t>
        </is>
      </c>
      <c r="Q423" s="51" t="inlineStr">
        <is>
          <t>CONSULTING - Assets</t>
        </is>
      </c>
      <c r="R423" s="51" t="inlineStr">
        <is>
          <t>CONSULTING</t>
        </is>
      </c>
    </row>
    <row r="424">
      <c r="P424" s="51" t="inlineStr">
        <is>
          <t>9403</t>
        </is>
      </c>
      <c r="Q424" s="51" t="inlineStr">
        <is>
          <t>CONSULTING - Sales</t>
        </is>
      </c>
      <c r="R424" s="51" t="inlineStr">
        <is>
          <t>CONSULTING</t>
        </is>
      </c>
    </row>
    <row r="425">
      <c r="P425" s="51" t="inlineStr">
        <is>
          <t>9405</t>
        </is>
      </c>
      <c r="Q425" s="51" t="inlineStr">
        <is>
          <t>CONSULTING - Marketing</t>
        </is>
      </c>
      <c r="R425" s="51" t="inlineStr">
        <is>
          <t>CONSULTING</t>
        </is>
      </c>
    </row>
    <row r="426">
      <c r="P426" s="51" t="inlineStr">
        <is>
          <t>9407</t>
        </is>
      </c>
      <c r="Q426" s="51" t="inlineStr">
        <is>
          <t>CONSULTING - Training</t>
        </is>
      </c>
      <c r="R426" s="51" t="inlineStr">
        <is>
          <t>CONSULTING</t>
        </is>
      </c>
    </row>
    <row r="427">
      <c r="P427" s="51" t="inlineStr">
        <is>
          <t>974</t>
        </is>
      </c>
      <c r="Q427" s="51" t="inlineStr">
        <is>
          <t>DTTL 1300 Number</t>
        </is>
      </c>
      <c r="R427" s="51" t="inlineStr">
        <is>
          <t>ONSITE</t>
        </is>
      </c>
    </row>
    <row r="428">
      <c r="P428" s="59" t="n"/>
      <c r="Q428" s="59" t="n"/>
      <c r="R428" s="59" t="n"/>
    </row>
    <row r="429">
      <c r="P429" s="59" t="n"/>
      <c r="Q429" s="59" t="n"/>
      <c r="R429" s="59" t="n"/>
    </row>
    <row r="430">
      <c r="P430" s="59" t="n"/>
      <c r="Q430" s="59" t="n"/>
      <c r="R430" s="59" t="n"/>
    </row>
    <row r="431">
      <c r="P431" s="59" t="n"/>
      <c r="Q431" s="59" t="n"/>
      <c r="R431" s="59" t="n"/>
    </row>
    <row r="432">
      <c r="P432" s="59" t="n"/>
      <c r="Q432" s="59" t="n"/>
      <c r="R432" s="59" t="n"/>
    </row>
    <row r="433">
      <c r="P433" s="59" t="n"/>
      <c r="Q433" s="59" t="n"/>
      <c r="R433" s="59" t="n"/>
    </row>
    <row r="434">
      <c r="P434" s="59" t="n"/>
      <c r="Q434" s="59" t="n"/>
      <c r="R434" s="59" t="n"/>
    </row>
    <row r="435">
      <c r="P435" s="59" t="n"/>
      <c r="Q435" s="59" t="n"/>
      <c r="R435" s="59" t="n"/>
    </row>
    <row r="436">
      <c r="P436" s="59" t="n"/>
      <c r="Q436" s="59" t="n"/>
      <c r="R436" s="59" t="n"/>
    </row>
    <row r="437">
      <c r="P437" s="59" t="n"/>
      <c r="Q437" s="59" t="n"/>
      <c r="R437" s="59" t="n"/>
    </row>
    <row r="438">
      <c r="P438" s="59" t="n"/>
      <c r="Q438" s="59" t="n"/>
      <c r="R438" s="59" t="n"/>
    </row>
    <row r="439">
      <c r="P439" s="59" t="n"/>
      <c r="Q439" s="59" t="n"/>
      <c r="R439" s="59" t="n"/>
    </row>
    <row r="440">
      <c r="P440" s="59" t="n"/>
      <c r="Q440" s="59" t="n"/>
      <c r="R440" s="59" t="n"/>
    </row>
    <row r="441">
      <c r="P441" s="59" t="n"/>
      <c r="Q441" s="59" t="n"/>
      <c r="R441" s="59" t="n"/>
    </row>
    <row r="442">
      <c r="P442" s="59" t="n"/>
      <c r="Q442" s="59" t="n"/>
      <c r="R442" s="59" t="n"/>
    </row>
    <row r="443">
      <c r="P443" s="59" t="n"/>
      <c r="Q443" s="59" t="n"/>
      <c r="R443" s="59" t="n"/>
    </row>
    <row r="444">
      <c r="P444" s="59" t="n"/>
      <c r="Q444" s="59" t="n"/>
      <c r="R444" s="59" t="n"/>
    </row>
    <row r="445">
      <c r="P445" s="59" t="n"/>
      <c r="Q445" s="59" t="n"/>
      <c r="R445" s="59" t="n"/>
    </row>
    <row r="446">
      <c r="P446" s="59" t="n"/>
      <c r="Q446" s="59" t="n"/>
      <c r="R446" s="59" t="n"/>
    </row>
    <row r="447">
      <c r="P447" s="59" t="n"/>
      <c r="Q447" s="59" t="n"/>
      <c r="R447" s="59" t="n"/>
    </row>
    <row r="448">
      <c r="P448" s="59" t="n"/>
      <c r="Q448" s="59" t="n"/>
      <c r="R448" s="59" t="n"/>
    </row>
    <row r="449">
      <c r="P449" s="59" t="n"/>
      <c r="Q449" s="59" t="n"/>
      <c r="R449" s="59" t="n"/>
    </row>
    <row r="450">
      <c r="P450" s="59" t="n"/>
      <c r="Q450" s="59" t="n"/>
      <c r="R450" s="59" t="n"/>
    </row>
    <row r="451">
      <c r="P451" s="59" t="n"/>
      <c r="Q451" s="59" t="n"/>
      <c r="R451" s="59" t="n"/>
    </row>
    <row r="452">
      <c r="P452" s="59" t="n"/>
      <c r="Q452" s="59" t="n"/>
      <c r="R452" s="59" t="n"/>
    </row>
    <row r="453">
      <c r="P453" s="59" t="n"/>
      <c r="Q453" s="59" t="n"/>
      <c r="R453" s="59" t="n"/>
    </row>
    <row r="454">
      <c r="P454" s="59" t="n"/>
      <c r="Q454" s="59" t="n"/>
      <c r="R454" s="59" t="n"/>
    </row>
    <row r="455">
      <c r="P455" s="59" t="n"/>
      <c r="Q455" s="59" t="n"/>
      <c r="R455" s="59" t="n"/>
    </row>
    <row r="456">
      <c r="P456" s="59" t="n"/>
      <c r="Q456" s="59" t="n"/>
      <c r="R456" s="59" t="n"/>
    </row>
    <row r="457">
      <c r="P457" s="59" t="n"/>
      <c r="Q457" s="59" t="n"/>
      <c r="R457" s="59" t="n"/>
    </row>
    <row r="458">
      <c r="P458" s="59" t="n"/>
      <c r="Q458" s="59" t="n"/>
      <c r="R458" s="59" t="n"/>
    </row>
    <row r="459">
      <c r="P459" s="59" t="n"/>
      <c r="Q459" s="59" t="n"/>
      <c r="R459" s="59" t="n"/>
    </row>
    <row r="460">
      <c r="P460" s="59" t="n"/>
      <c r="Q460" s="59" t="n"/>
      <c r="R460" s="59" t="n"/>
    </row>
    <row r="461">
      <c r="P461" s="59" t="n"/>
      <c r="Q461" s="59" t="n"/>
      <c r="R461" s="59" t="n"/>
    </row>
    <row r="462">
      <c r="P462" s="59" t="n"/>
      <c r="Q462" s="59" t="n"/>
      <c r="R462" s="59" t="n"/>
    </row>
    <row r="463">
      <c r="P463" s="59" t="n"/>
      <c r="Q463" s="59" t="n"/>
      <c r="R463" s="59" t="n"/>
    </row>
    <row r="464">
      <c r="P464" s="59" t="n"/>
      <c r="Q464" s="59" t="n"/>
      <c r="R464" s="59" t="n"/>
    </row>
    <row r="465">
      <c r="P465" s="59" t="n"/>
      <c r="Q465" s="59" t="n"/>
      <c r="R465" s="59" t="n"/>
    </row>
    <row r="466">
      <c r="P466" s="59" t="n"/>
      <c r="Q466" s="59" t="n"/>
      <c r="R466" s="59" t="n"/>
    </row>
    <row r="467">
      <c r="P467" s="59" t="n"/>
      <c r="Q467" s="59" t="n"/>
      <c r="R467" s="59" t="n"/>
    </row>
    <row r="468">
      <c r="P468" s="59" t="n"/>
      <c r="Q468" s="59" t="n"/>
      <c r="R468" s="59" t="n"/>
    </row>
    <row r="469">
      <c r="P469" s="59" t="n"/>
      <c r="Q469" s="59" t="n"/>
      <c r="R469" s="59" t="n"/>
    </row>
    <row r="470">
      <c r="P470" s="59" t="n"/>
      <c r="Q470" s="59" t="n"/>
      <c r="R470" s="59" t="n"/>
    </row>
    <row r="471">
      <c r="P471" s="59" t="n"/>
      <c r="Q471" s="59" t="n"/>
      <c r="R471" s="59" t="n"/>
    </row>
    <row r="472">
      <c r="P472" s="59" t="n"/>
      <c r="Q472" s="59" t="n"/>
      <c r="R472" s="59" t="n"/>
    </row>
    <row r="473">
      <c r="P473" s="59" t="n"/>
      <c r="Q473" s="59" t="n"/>
      <c r="R473" s="59" t="n"/>
    </row>
    <row r="474">
      <c r="P474" s="59" t="n"/>
      <c r="Q474" s="59" t="n"/>
      <c r="R474" s="59" t="n"/>
    </row>
    <row r="475">
      <c r="P475" s="59" t="n"/>
      <c r="Q475" s="59" t="n"/>
      <c r="R475" s="59" t="n"/>
    </row>
    <row r="476">
      <c r="P476" s="59" t="n"/>
      <c r="Q476" s="59" t="n"/>
      <c r="R476" s="59" t="n"/>
    </row>
    <row r="477">
      <c r="P477" s="59" t="n"/>
      <c r="Q477" s="59" t="n"/>
      <c r="R477" s="59" t="n"/>
    </row>
    <row r="478">
      <c r="P478" s="59" t="n"/>
      <c r="Q478" s="59" t="n"/>
      <c r="R478" s="59" t="n"/>
    </row>
    <row r="479">
      <c r="P479" s="59" t="n"/>
      <c r="Q479" s="59" t="n"/>
      <c r="R479" s="59" t="n"/>
    </row>
    <row r="480">
      <c r="P480" s="59" t="n"/>
      <c r="Q480" s="59" t="n"/>
      <c r="R480" s="59" t="n"/>
    </row>
    <row r="481">
      <c r="P481" s="59" t="n"/>
      <c r="Q481" s="59" t="n"/>
      <c r="R481" s="59" t="n"/>
    </row>
    <row r="482">
      <c r="P482" s="59" t="n"/>
      <c r="Q482" s="59" t="n"/>
      <c r="R482" s="59" t="n"/>
    </row>
    <row r="483">
      <c r="P483" s="59" t="n"/>
      <c r="Q483" s="59" t="n"/>
      <c r="R483" s="59" t="n"/>
    </row>
    <row r="484">
      <c r="P484" s="59" t="n"/>
      <c r="Q484" s="59" t="n"/>
      <c r="R484" s="59" t="n"/>
    </row>
    <row r="485">
      <c r="P485" s="59" t="n"/>
      <c r="Q485" s="59" t="n"/>
      <c r="R485" s="59" t="n"/>
    </row>
    <row r="486">
      <c r="P486" s="59" t="n"/>
      <c r="Q486" s="59" t="n"/>
      <c r="R486" s="59" t="n"/>
    </row>
    <row r="487">
      <c r="P487" s="59" t="n"/>
      <c r="Q487" s="59" t="n"/>
      <c r="R487" s="59" t="n"/>
    </row>
    <row r="488">
      <c r="P488" s="59" t="n"/>
      <c r="Q488" s="59" t="n"/>
      <c r="R488" s="59" t="n"/>
    </row>
    <row r="489">
      <c r="P489" s="59" t="n"/>
      <c r="Q489" s="59" t="n"/>
      <c r="R489" s="59" t="n"/>
    </row>
    <row r="490">
      <c r="P490" s="59" t="n"/>
      <c r="Q490" s="59" t="n"/>
      <c r="R490" s="59" t="n"/>
    </row>
    <row r="491">
      <c r="P491" s="59" t="n"/>
      <c r="Q491" s="59" t="n"/>
      <c r="R491" s="59" t="n"/>
    </row>
    <row r="492">
      <c r="P492" s="59" t="n"/>
      <c r="Q492" s="59" t="n"/>
      <c r="R492" s="59" t="n"/>
    </row>
    <row r="493">
      <c r="P493" s="59" t="n"/>
      <c r="Q493" s="59" t="n"/>
      <c r="R493" s="59" t="n"/>
    </row>
    <row r="494">
      <c r="P494" s="59" t="n"/>
      <c r="Q494" s="59" t="n"/>
      <c r="R494" s="59" t="n"/>
    </row>
    <row r="495">
      <c r="P495" s="59" t="n"/>
      <c r="Q495" s="59" t="n"/>
      <c r="R495" s="59" t="n"/>
    </row>
    <row r="496">
      <c r="P496" s="59" t="n"/>
      <c r="Q496" s="59" t="n"/>
      <c r="R496" s="59" t="n"/>
    </row>
    <row r="497">
      <c r="P497" s="59" t="n"/>
      <c r="Q497" s="59" t="n"/>
      <c r="R497" s="59" t="n"/>
    </row>
    <row r="498">
      <c r="P498" s="59" t="n"/>
      <c r="Q498" s="59" t="n"/>
      <c r="R498" s="59" t="n"/>
    </row>
    <row r="499">
      <c r="P499" s="59" t="n"/>
      <c r="Q499" s="59" t="n"/>
      <c r="R499" s="59" t="n"/>
    </row>
    <row r="500">
      <c r="P500" s="59" t="n"/>
      <c r="Q500" s="59" t="n"/>
      <c r="R500" s="59" t="n"/>
    </row>
    <row r="501">
      <c r="P501" s="59" t="n"/>
      <c r="Q501" s="59" t="n"/>
      <c r="R501" s="59" t="n"/>
    </row>
    <row r="502">
      <c r="P502" s="59" t="n"/>
      <c r="Q502" s="59" t="n"/>
      <c r="R502" s="59" t="n"/>
    </row>
    <row r="503">
      <c r="P503" s="59" t="n"/>
      <c r="Q503" s="59" t="n"/>
      <c r="R503" s="59" t="n"/>
    </row>
    <row r="504">
      <c r="P504" s="59" t="n"/>
      <c r="Q504" s="59" t="n"/>
      <c r="R504" s="59" t="n"/>
    </row>
    <row r="505">
      <c r="P505" s="59" t="n"/>
      <c r="Q505" s="59" t="n"/>
      <c r="R505" s="59" t="n"/>
    </row>
    <row r="506">
      <c r="P506" s="59" t="n"/>
      <c r="Q506" s="59" t="n"/>
      <c r="R506" s="59" t="n"/>
    </row>
    <row r="507">
      <c r="P507" s="59" t="n"/>
      <c r="Q507" s="59" t="n"/>
      <c r="R507" s="59" t="n"/>
    </row>
    <row r="508">
      <c r="P508" s="59" t="n"/>
      <c r="Q508" s="59" t="n"/>
      <c r="R508" s="59" t="n"/>
    </row>
    <row r="509">
      <c r="P509" s="59" t="n"/>
      <c r="Q509" s="59" t="n"/>
      <c r="R509" s="59" t="n"/>
    </row>
    <row r="510">
      <c r="P510" s="59" t="n"/>
      <c r="Q510" s="59" t="n"/>
      <c r="R510" s="59" t="n"/>
    </row>
    <row r="511">
      <c r="P511" s="59" t="n"/>
      <c r="Q511" s="59" t="n"/>
      <c r="R511" s="59" t="n"/>
    </row>
    <row r="512">
      <c r="P512" s="59" t="n"/>
      <c r="Q512" s="59" t="n"/>
      <c r="R512" s="59" t="n"/>
    </row>
    <row r="513">
      <c r="P513" s="59" t="n"/>
      <c r="Q513" s="59" t="n"/>
      <c r="R513" s="59" t="n"/>
    </row>
    <row r="514">
      <c r="P514" s="59" t="n"/>
      <c r="Q514" s="59" t="n"/>
      <c r="R514" s="59" t="n"/>
    </row>
    <row r="515">
      <c r="P515" s="59" t="n"/>
      <c r="Q515" s="59" t="n"/>
      <c r="R515" s="59" t="n"/>
    </row>
    <row r="516">
      <c r="P516" s="59" t="n"/>
      <c r="Q516" s="59" t="n"/>
      <c r="R516" s="59" t="n"/>
    </row>
    <row r="517">
      <c r="P517" s="59" t="n"/>
      <c r="Q517" s="59" t="n"/>
      <c r="R517" s="59" t="n"/>
    </row>
    <row r="518">
      <c r="P518" s="59" t="n"/>
      <c r="Q518" s="59" t="n"/>
      <c r="R518" s="59" t="n"/>
    </row>
    <row r="519">
      <c r="P519" s="59" t="n"/>
      <c r="Q519" s="59" t="n"/>
      <c r="R519" s="59" t="n"/>
    </row>
    <row r="520">
      <c r="P520" s="59" t="n"/>
      <c r="Q520" s="59" t="n"/>
      <c r="R520" s="59" t="n"/>
    </row>
    <row r="521">
      <c r="P521" s="59" t="n"/>
      <c r="Q521" s="59" t="n"/>
      <c r="R521" s="59" t="n"/>
    </row>
    <row r="522">
      <c r="P522" s="59" t="n"/>
      <c r="Q522" s="59" t="n"/>
      <c r="R522" s="59" t="n"/>
    </row>
    <row r="523">
      <c r="P523" s="59" t="n"/>
      <c r="Q523" s="59" t="n"/>
      <c r="R523" s="59" t="n"/>
    </row>
    <row r="524">
      <c r="P524" s="59" t="n"/>
      <c r="Q524" s="59" t="n"/>
      <c r="R524" s="59" t="n"/>
    </row>
    <row r="525">
      <c r="P525" s="59" t="n"/>
      <c r="Q525" s="59" t="n"/>
      <c r="R525" s="59" t="n"/>
    </row>
    <row r="526">
      <c r="P526" s="59" t="n"/>
      <c r="Q526" s="59" t="n"/>
      <c r="R526" s="59" t="n"/>
    </row>
    <row r="527">
      <c r="P527" s="59" t="n"/>
      <c r="Q527" s="59" t="n"/>
      <c r="R527" s="59" t="n"/>
    </row>
    <row r="528">
      <c r="P528" s="59" t="n"/>
      <c r="Q528" s="59" t="n"/>
      <c r="R528" s="59" t="n"/>
    </row>
    <row r="529">
      <c r="P529" s="59" t="n"/>
      <c r="Q529" s="59" t="n"/>
      <c r="R529" s="59" t="n"/>
    </row>
    <row r="530">
      <c r="P530" s="59" t="n"/>
      <c r="Q530" s="59" t="n"/>
      <c r="R530" s="59" t="n"/>
    </row>
    <row r="531">
      <c r="P531" s="59" t="n"/>
      <c r="Q531" s="59" t="n"/>
      <c r="R531" s="59" t="n"/>
    </row>
    <row r="532">
      <c r="P532" s="59" t="n"/>
      <c r="Q532" s="59" t="n"/>
      <c r="R532" s="59" t="n"/>
    </row>
    <row r="533">
      <c r="P533" s="59" t="n"/>
      <c r="Q533" s="59" t="n"/>
      <c r="R533" s="59" t="n"/>
    </row>
    <row r="534">
      <c r="P534" s="59" t="n"/>
      <c r="Q534" s="59" t="n"/>
      <c r="R534" s="59" t="n"/>
    </row>
    <row r="535">
      <c r="P535" s="59" t="n"/>
      <c r="Q535" s="59" t="n"/>
      <c r="R535" s="59" t="n"/>
    </row>
    <row r="536">
      <c r="P536" s="59" t="n"/>
      <c r="Q536" s="59" t="n"/>
      <c r="R536" s="59" t="n"/>
    </row>
    <row r="537">
      <c r="P537" s="59" t="n"/>
      <c r="Q537" s="59" t="n"/>
      <c r="R537" s="59" t="n"/>
    </row>
    <row r="538">
      <c r="P538" s="59" t="n"/>
      <c r="Q538" s="59" t="n"/>
      <c r="R538" s="59" t="n"/>
    </row>
    <row r="539">
      <c r="P539" s="59" t="n"/>
      <c r="Q539" s="59" t="n"/>
      <c r="R539" s="59" t="n"/>
    </row>
    <row r="540">
      <c r="P540" s="59" t="n"/>
      <c r="Q540" s="59" t="n"/>
      <c r="R540" s="59" t="n"/>
    </row>
    <row r="541">
      <c r="P541" s="59" t="n"/>
      <c r="Q541" s="59" t="n"/>
      <c r="R541" s="59" t="n"/>
    </row>
    <row r="542">
      <c r="P542" s="59" t="n"/>
      <c r="Q542" s="59" t="n"/>
      <c r="R542" s="59" t="n"/>
    </row>
    <row r="543">
      <c r="P543" s="59" t="n"/>
      <c r="Q543" s="59" t="n"/>
      <c r="R543" s="59" t="n"/>
    </row>
    <row r="544">
      <c r="P544" s="59" t="n"/>
      <c r="Q544" s="59" t="n"/>
      <c r="R544" s="59" t="n"/>
    </row>
    <row r="545">
      <c r="P545" s="59" t="n"/>
      <c r="Q545" s="59" t="n"/>
      <c r="R545" s="59" t="n"/>
    </row>
    <row r="546">
      <c r="P546" s="59" t="n"/>
      <c r="Q546" s="59" t="n"/>
      <c r="R546" s="59" t="n"/>
    </row>
    <row r="547">
      <c r="P547" s="59" t="n"/>
      <c r="Q547" s="59" t="n"/>
      <c r="R547" s="59" t="n"/>
    </row>
    <row r="548">
      <c r="P548" s="59" t="n"/>
      <c r="Q548" s="59" t="n"/>
      <c r="R548" s="59" t="n"/>
    </row>
    <row r="549">
      <c r="P549" s="59" t="n"/>
      <c r="Q549" s="59" t="n"/>
      <c r="R549" s="59" t="n"/>
    </row>
    <row r="550">
      <c r="P550" s="59" t="n"/>
      <c r="Q550" s="59" t="n"/>
      <c r="R550" s="59" t="n"/>
    </row>
    <row r="551">
      <c r="P551" s="59" t="n"/>
      <c r="Q551" s="59" t="n"/>
      <c r="R551" s="59" t="n"/>
    </row>
    <row r="552">
      <c r="P552" s="59" t="n"/>
      <c r="Q552" s="59" t="n"/>
      <c r="R552" s="59" t="n"/>
    </row>
    <row r="553">
      <c r="P553" s="59" t="n"/>
      <c r="Q553" s="59" t="n"/>
      <c r="R553" s="59" t="n"/>
    </row>
    <row r="554">
      <c r="P554" s="59" t="n"/>
      <c r="Q554" s="59" t="n"/>
      <c r="R554" s="59" t="n"/>
    </row>
    <row r="555">
      <c r="P555" s="59" t="n"/>
      <c r="Q555" s="59" t="n"/>
      <c r="R555" s="59" t="n"/>
    </row>
    <row r="556">
      <c r="P556" s="59" t="n"/>
      <c r="Q556" s="59" t="n"/>
      <c r="R556" s="59" t="n"/>
    </row>
    <row r="557">
      <c r="P557" s="59" t="n"/>
      <c r="Q557" s="59" t="n"/>
      <c r="R557" s="59" t="n"/>
    </row>
    <row r="558">
      <c r="P558" s="59" t="n"/>
      <c r="Q558" s="59" t="n"/>
      <c r="R558" s="59" t="n"/>
    </row>
    <row r="559">
      <c r="P559" s="59" t="n"/>
      <c r="Q559" s="59" t="n"/>
      <c r="R559" s="59" t="n"/>
    </row>
    <row r="560">
      <c r="P560" s="59" t="n"/>
      <c r="Q560" s="59" t="n"/>
      <c r="R560" s="59" t="n"/>
    </row>
    <row r="561">
      <c r="P561" s="59" t="n"/>
      <c r="Q561" s="59" t="n"/>
      <c r="R561" s="59" t="n"/>
    </row>
    <row r="562">
      <c r="P562" s="59" t="n"/>
      <c r="Q562" s="59" t="n"/>
      <c r="R562" s="59" t="n"/>
    </row>
    <row r="563">
      <c r="P563" s="59" t="n"/>
      <c r="Q563" s="59" t="n"/>
      <c r="R563" s="59" t="n"/>
    </row>
    <row r="564">
      <c r="P564" s="59" t="n"/>
      <c r="Q564" s="59" t="n"/>
      <c r="R564" s="59" t="n"/>
    </row>
    <row r="565">
      <c r="P565" s="59" t="n"/>
      <c r="Q565" s="59" t="n"/>
      <c r="R565" s="59" t="n"/>
    </row>
    <row r="566">
      <c r="P566" s="59" t="n"/>
      <c r="Q566" s="59" t="n"/>
      <c r="R566" s="59" t="n"/>
    </row>
    <row r="567">
      <c r="P567" s="59" t="n"/>
      <c r="Q567" s="59" t="n"/>
      <c r="R567" s="59" t="n"/>
    </row>
    <row r="568">
      <c r="P568" s="59" t="n"/>
      <c r="Q568" s="59" t="n"/>
      <c r="R568" s="59" t="n"/>
    </row>
    <row r="569">
      <c r="P569" s="59" t="n"/>
      <c r="Q569" s="59" t="n"/>
      <c r="R569" s="59" t="n"/>
    </row>
    <row r="570">
      <c r="P570" s="59" t="n"/>
      <c r="Q570" s="59" t="n"/>
      <c r="R570" s="59" t="n"/>
    </row>
    <row r="571">
      <c r="P571" s="59" t="n"/>
      <c r="Q571" s="59" t="n"/>
      <c r="R571" s="59" t="n"/>
    </row>
    <row r="572">
      <c r="P572" s="59" t="n"/>
      <c r="Q572" s="59" t="n"/>
      <c r="R572" s="59" t="n"/>
    </row>
    <row r="573">
      <c r="P573" s="59" t="n"/>
      <c r="Q573" s="59" t="n"/>
      <c r="R573" s="59" t="n"/>
    </row>
    <row r="574">
      <c r="P574" s="59" t="n"/>
      <c r="Q574" s="59" t="n"/>
      <c r="R574" s="59" t="n"/>
    </row>
    <row r="575">
      <c r="P575" s="59" t="n"/>
      <c r="Q575" s="59" t="n"/>
      <c r="R575" s="59" t="n"/>
    </row>
    <row r="576">
      <c r="P576" s="59" t="n"/>
      <c r="Q576" s="59" t="n"/>
      <c r="R576" s="59" t="n"/>
    </row>
    <row r="577">
      <c r="P577" s="59" t="n"/>
      <c r="Q577" s="59" t="n"/>
      <c r="R577" s="59" t="n"/>
    </row>
    <row r="578">
      <c r="P578" s="59" t="n"/>
      <c r="Q578" s="59" t="n"/>
      <c r="R578" s="59" t="n"/>
    </row>
    <row r="579">
      <c r="P579" s="59" t="n"/>
      <c r="Q579" s="59" t="n"/>
      <c r="R579" s="59" t="n"/>
    </row>
    <row r="580">
      <c r="P580" s="59" t="n"/>
      <c r="Q580" s="59" t="n"/>
      <c r="R580" s="59" t="n"/>
    </row>
    <row r="581">
      <c r="P581" s="59" t="n"/>
      <c r="Q581" s="59" t="n"/>
      <c r="R581" s="59" t="n"/>
    </row>
    <row r="582">
      <c r="P582" s="59" t="n"/>
      <c r="Q582" s="59" t="n"/>
      <c r="R582" s="59" t="n"/>
    </row>
    <row r="583">
      <c r="P583" s="59" t="n"/>
      <c r="Q583" s="59" t="n"/>
      <c r="R583" s="59" t="n"/>
    </row>
    <row r="584">
      <c r="P584" s="59" t="n"/>
      <c r="Q584" s="59" t="n"/>
      <c r="R584" s="59" t="n"/>
    </row>
    <row r="585">
      <c r="P585" s="59" t="n"/>
      <c r="Q585" s="59" t="n"/>
      <c r="R585" s="59" t="n"/>
    </row>
    <row r="586">
      <c r="P586" s="59" t="n"/>
      <c r="Q586" s="59" t="n"/>
      <c r="R586" s="59" t="n"/>
    </row>
    <row r="587">
      <c r="P587" s="59" t="n"/>
      <c r="Q587" s="59" t="n"/>
      <c r="R587" s="59" t="n"/>
    </row>
    <row r="588">
      <c r="P588" s="59" t="n"/>
      <c r="Q588" s="59" t="n"/>
      <c r="R588" s="59" t="n"/>
    </row>
    <row r="589">
      <c r="P589" s="59" t="n"/>
      <c r="Q589" s="59" t="n"/>
      <c r="R589" s="59" t="n"/>
    </row>
    <row r="590">
      <c r="P590" s="59" t="n"/>
      <c r="Q590" s="59" t="n"/>
      <c r="R590" s="59" t="n"/>
    </row>
    <row r="591">
      <c r="P591" s="59" t="n"/>
      <c r="Q591" s="59" t="n"/>
      <c r="R591" s="59" t="n"/>
    </row>
    <row r="592">
      <c r="P592" s="59" t="n"/>
      <c r="Q592" s="59" t="n"/>
      <c r="R592" s="59" t="n"/>
    </row>
    <row r="593">
      <c r="P593" s="59" t="n"/>
      <c r="Q593" s="59" t="n"/>
      <c r="R593" s="59" t="n"/>
    </row>
    <row r="594">
      <c r="P594" s="59" t="n"/>
      <c r="Q594" s="59" t="n"/>
      <c r="R594" s="59" t="n"/>
    </row>
    <row r="595">
      <c r="P595" s="59" t="n"/>
      <c r="Q595" s="59" t="n"/>
      <c r="R595" s="59" t="n"/>
    </row>
    <row r="596">
      <c r="P596" s="59" t="n"/>
      <c r="Q596" s="59" t="n"/>
      <c r="R596" s="59" t="n"/>
    </row>
    <row r="597">
      <c r="P597" s="59" t="n"/>
      <c r="Q597" s="59" t="n"/>
      <c r="R597" s="59" t="n"/>
    </row>
    <row r="598">
      <c r="P598" s="59" t="n"/>
      <c r="Q598" s="59" t="n"/>
      <c r="R598" s="59" t="n"/>
    </row>
    <row r="599">
      <c r="P599" s="59" t="n"/>
      <c r="Q599" s="59" t="n"/>
      <c r="R599" s="59" t="n"/>
    </row>
    <row r="600">
      <c r="P600" s="59" t="n"/>
      <c r="Q600" s="59" t="n"/>
      <c r="R600" s="59" t="n"/>
    </row>
    <row r="601">
      <c r="P601" s="59" t="n"/>
      <c r="Q601" s="59" t="n"/>
      <c r="R601" s="59" t="n"/>
    </row>
    <row r="602">
      <c r="P602" s="59" t="n"/>
      <c r="Q602" s="59" t="n"/>
      <c r="R602" s="59" t="n"/>
    </row>
    <row r="603">
      <c r="P603" s="59" t="n"/>
      <c r="Q603" s="59" t="n"/>
      <c r="R603" s="59" t="n"/>
    </row>
    <row r="604">
      <c r="P604" s="59" t="n"/>
      <c r="Q604" s="59" t="n"/>
      <c r="R604" s="59" t="n"/>
    </row>
    <row r="605">
      <c r="P605" s="59" t="n"/>
      <c r="Q605" s="59" t="n"/>
      <c r="R605" s="59" t="n"/>
    </row>
    <row r="606">
      <c r="P606" s="59" t="n"/>
      <c r="Q606" s="59" t="n"/>
      <c r="R606" s="59" t="n"/>
    </row>
    <row r="607">
      <c r="P607" s="59" t="n"/>
      <c r="Q607" s="59" t="n"/>
      <c r="R607" s="59" t="n"/>
    </row>
    <row r="608">
      <c r="P608" s="59" t="n"/>
      <c r="Q608" s="59" t="n"/>
      <c r="R608" s="59" t="n"/>
    </row>
    <row r="609">
      <c r="P609" s="59" t="n"/>
      <c r="Q609" s="59" t="n"/>
      <c r="R609" s="59" t="n"/>
    </row>
    <row r="610">
      <c r="P610" s="59" t="n"/>
      <c r="Q610" s="59" t="n"/>
      <c r="R610" s="59" t="n"/>
    </row>
    <row r="611">
      <c r="P611" s="59" t="n"/>
      <c r="Q611" s="59" t="n"/>
      <c r="R611" s="59" t="n"/>
    </row>
    <row r="612">
      <c r="P612" s="59" t="n"/>
      <c r="Q612" s="59" t="n"/>
      <c r="R612" s="59" t="n"/>
    </row>
    <row r="613">
      <c r="P613" s="59" t="n"/>
      <c r="Q613" s="59" t="n"/>
      <c r="R613" s="59" t="n"/>
    </row>
    <row r="614">
      <c r="P614" s="59" t="n"/>
      <c r="Q614" s="59" t="n"/>
      <c r="R614" s="59" t="n"/>
    </row>
    <row r="615">
      <c r="P615" s="59" t="n"/>
      <c r="Q615" s="59" t="n"/>
      <c r="R615" s="59" t="n"/>
    </row>
    <row r="616">
      <c r="P616" s="59" t="n"/>
      <c r="Q616" s="59" t="n"/>
      <c r="R616" s="59" t="n"/>
    </row>
    <row r="617">
      <c r="P617" s="59" t="n"/>
      <c r="Q617" s="59" t="n"/>
      <c r="R617" s="59" t="n"/>
    </row>
    <row r="618">
      <c r="P618" s="59" t="n"/>
      <c r="Q618" s="59" t="n"/>
      <c r="R618" s="59" t="n"/>
    </row>
    <row r="619">
      <c r="P619" s="59" t="n"/>
      <c r="Q619" s="59" t="n"/>
      <c r="R619" s="59" t="n"/>
    </row>
    <row r="620">
      <c r="P620" s="59" t="n"/>
      <c r="Q620" s="59" t="n"/>
      <c r="R620" s="59" t="n"/>
    </row>
    <row r="621">
      <c r="P621" s="59" t="n"/>
      <c r="Q621" s="59" t="n"/>
      <c r="R621" s="59" t="n"/>
    </row>
    <row r="622">
      <c r="P622" s="59" t="n"/>
      <c r="Q622" s="59" t="n"/>
      <c r="R622" s="59" t="n"/>
    </row>
    <row r="623">
      <c r="P623" s="59" t="n"/>
      <c r="Q623" s="59" t="n"/>
      <c r="R623" s="59" t="n"/>
    </row>
    <row r="624">
      <c r="P624" s="59" t="n"/>
      <c r="Q624" s="59" t="n"/>
      <c r="R624" s="59" t="n"/>
    </row>
    <row r="625">
      <c r="P625" s="59" t="n"/>
      <c r="Q625" s="59" t="n"/>
      <c r="R625" s="59" t="n"/>
    </row>
    <row r="626">
      <c r="P626" s="59" t="n"/>
      <c r="Q626" s="59" t="n"/>
      <c r="R626" s="59" t="n"/>
    </row>
    <row r="627">
      <c r="P627" s="59" t="n"/>
      <c r="Q627" s="59" t="n"/>
      <c r="R627" s="59" t="n"/>
    </row>
    <row r="628">
      <c r="P628" s="59" t="n"/>
      <c r="Q628" s="59" t="n"/>
      <c r="R628" s="59" t="n"/>
    </row>
    <row r="629">
      <c r="P629" s="59" t="n"/>
      <c r="Q629" s="59" t="n"/>
      <c r="R629" s="59" t="n"/>
    </row>
    <row r="630">
      <c r="P630" s="59" t="n"/>
      <c r="Q630" s="59" t="n"/>
      <c r="R630" s="59" t="n"/>
    </row>
    <row r="631">
      <c r="P631" s="59" t="n"/>
      <c r="Q631" s="59" t="n"/>
      <c r="R631" s="59" t="n"/>
    </row>
    <row r="632">
      <c r="P632" s="59" t="n"/>
      <c r="Q632" s="59" t="n"/>
      <c r="R632" s="59" t="n"/>
    </row>
    <row r="633">
      <c r="P633" s="59" t="n"/>
      <c r="Q633" s="59" t="n"/>
      <c r="R633" s="59" t="n"/>
    </row>
    <row r="634">
      <c r="P634" s="59" t="n"/>
      <c r="Q634" s="59" t="n"/>
      <c r="R634" s="59" t="n"/>
    </row>
    <row r="635">
      <c r="P635" s="59" t="n"/>
      <c r="Q635" s="59" t="n"/>
      <c r="R635" s="59" t="n"/>
    </row>
    <row r="636">
      <c r="P636" s="59" t="n"/>
      <c r="Q636" s="59" t="n"/>
      <c r="R636" s="59" t="n"/>
    </row>
    <row r="637">
      <c r="P637" s="59" t="n"/>
      <c r="Q637" s="59" t="n"/>
      <c r="R637" s="59" t="n"/>
    </row>
    <row r="638">
      <c r="P638" s="59" t="n"/>
      <c r="Q638" s="59" t="n"/>
      <c r="R638" s="59" t="n"/>
    </row>
    <row r="639">
      <c r="P639" s="59" t="n"/>
      <c r="Q639" s="59" t="n"/>
      <c r="R639" s="59" t="n"/>
    </row>
    <row r="640">
      <c r="P640" s="59" t="n"/>
      <c r="Q640" s="59" t="n"/>
      <c r="R640" s="59" t="n"/>
    </row>
    <row r="641">
      <c r="P641" s="59" t="n"/>
      <c r="Q641" s="59" t="n"/>
      <c r="R641" s="59" t="n"/>
    </row>
    <row r="642">
      <c r="P642" s="59" t="n"/>
      <c r="Q642" s="59" t="n"/>
      <c r="R642" s="59" t="n"/>
    </row>
    <row r="643">
      <c r="P643" s="59" t="n"/>
      <c r="Q643" s="59" t="n"/>
      <c r="R643" s="59" t="n"/>
    </row>
    <row r="644">
      <c r="P644" s="59" t="n"/>
      <c r="Q644" s="59" t="n"/>
      <c r="R644" s="59" t="n"/>
    </row>
    <row r="645">
      <c r="P645" s="59" t="n"/>
      <c r="Q645" s="59" t="n"/>
      <c r="R645" s="59" t="n"/>
    </row>
    <row r="646">
      <c r="P646" s="59" t="n"/>
      <c r="Q646" s="59" t="n"/>
      <c r="R646" s="59" t="n"/>
    </row>
    <row r="647">
      <c r="P647" s="59" t="n"/>
      <c r="Q647" s="59" t="n"/>
      <c r="R647" s="59" t="n"/>
    </row>
    <row r="648">
      <c r="P648" s="59" t="n"/>
      <c r="Q648" s="59" t="n"/>
      <c r="R648" s="59" t="n"/>
    </row>
    <row r="649">
      <c r="P649" s="59" t="n"/>
      <c r="Q649" s="59" t="n"/>
      <c r="R649" s="59" t="n"/>
    </row>
    <row r="650">
      <c r="P650" s="59" t="n"/>
      <c r="Q650" s="59" t="n"/>
      <c r="R650" s="59" t="n"/>
    </row>
    <row r="651">
      <c r="P651" s="59" t="n"/>
      <c r="Q651" s="59" t="n"/>
      <c r="R651" s="59" t="n"/>
    </row>
    <row r="652">
      <c r="P652" s="59" t="n"/>
      <c r="Q652" s="59" t="n"/>
      <c r="R652" s="59" t="n"/>
    </row>
    <row r="653">
      <c r="P653" s="59" t="n"/>
      <c r="Q653" s="59" t="n"/>
      <c r="R653" s="59" t="n"/>
    </row>
    <row r="654">
      <c r="P654" s="59" t="n"/>
      <c r="Q654" s="59" t="n"/>
      <c r="R654" s="59" t="n"/>
    </row>
    <row r="655">
      <c r="P655" s="59" t="n"/>
      <c r="Q655" s="59" t="n"/>
      <c r="R655" s="59" t="n"/>
    </row>
    <row r="656">
      <c r="P656" s="59" t="n"/>
      <c r="Q656" s="59" t="n"/>
      <c r="R656" s="59" t="n"/>
    </row>
    <row r="657">
      <c r="P657" s="59" t="n"/>
      <c r="Q657" s="59" t="n"/>
      <c r="R657" s="59" t="n"/>
    </row>
    <row r="658">
      <c r="P658" s="59" t="n"/>
      <c r="Q658" s="59" t="n"/>
      <c r="R658" s="59" t="n"/>
    </row>
    <row r="659">
      <c r="P659" s="59" t="n"/>
      <c r="Q659" s="59" t="n"/>
      <c r="R659" s="59" t="n"/>
    </row>
    <row r="660">
      <c r="P660" s="59" t="n"/>
      <c r="Q660" s="59" t="n"/>
      <c r="R660" s="59" t="n"/>
    </row>
    <row r="661">
      <c r="P661" s="59" t="n"/>
      <c r="Q661" s="59" t="n"/>
      <c r="R661" s="59" t="n"/>
    </row>
    <row r="662">
      <c r="P662" s="59" t="n"/>
      <c r="Q662" s="59" t="n"/>
      <c r="R662" s="59" t="n"/>
    </row>
    <row r="663">
      <c r="P663" s="59" t="n"/>
      <c r="Q663" s="59" t="n"/>
      <c r="R663" s="59" t="n"/>
    </row>
    <row r="664">
      <c r="P664" s="59" t="n"/>
      <c r="Q664" s="59" t="n"/>
      <c r="R664" s="59" t="n"/>
    </row>
    <row r="665">
      <c r="P665" s="59" t="n"/>
      <c r="Q665" s="59" t="n"/>
      <c r="R665" s="59" t="n"/>
    </row>
    <row r="666">
      <c r="P666" s="59" t="n"/>
      <c r="Q666" s="59" t="n"/>
      <c r="R666" s="59" t="n"/>
    </row>
    <row r="667">
      <c r="P667" s="59" t="n"/>
      <c r="Q667" s="59" t="n"/>
      <c r="R667" s="59" t="n"/>
    </row>
    <row r="668">
      <c r="P668" s="59" t="n"/>
      <c r="Q668" s="59" t="n"/>
      <c r="R668" s="59" t="n"/>
    </row>
    <row r="669">
      <c r="P669" s="59" t="n"/>
      <c r="Q669" s="59" t="n"/>
      <c r="R669" s="59" t="n"/>
    </row>
    <row r="670">
      <c r="P670" s="59" t="n"/>
      <c r="Q670" s="59" t="n"/>
      <c r="R670" s="59" t="n"/>
    </row>
    <row r="671">
      <c r="P671" s="59" t="n"/>
      <c r="Q671" s="59" t="n"/>
      <c r="R671" s="59" t="n"/>
    </row>
    <row r="672">
      <c r="P672" s="59" t="n"/>
      <c r="Q672" s="59" t="n"/>
      <c r="R672" s="59" t="n"/>
    </row>
    <row r="673">
      <c r="P673" s="59" t="n"/>
      <c r="Q673" s="59" t="n"/>
      <c r="R673" s="59" t="n"/>
    </row>
    <row r="674">
      <c r="P674" s="59" t="n"/>
      <c r="Q674" s="59" t="n"/>
      <c r="R674" s="59" t="n"/>
    </row>
    <row r="675">
      <c r="P675" s="59" t="n"/>
      <c r="Q675" s="59" t="n"/>
      <c r="R675" s="59" t="n"/>
    </row>
    <row r="676">
      <c r="P676" s="59" t="n"/>
      <c r="Q676" s="59" t="n"/>
      <c r="R676" s="59" t="n"/>
    </row>
    <row r="677">
      <c r="P677" s="59" t="n"/>
      <c r="Q677" s="59" t="n"/>
      <c r="R677" s="59" t="n"/>
    </row>
    <row r="678">
      <c r="P678" s="59" t="n"/>
      <c r="Q678" s="59" t="n"/>
      <c r="R678" s="59" t="n"/>
    </row>
    <row r="679">
      <c r="P679" s="59" t="n"/>
      <c r="Q679" s="59" t="n"/>
      <c r="R679" s="59" t="n"/>
    </row>
    <row r="680">
      <c r="P680" s="59" t="n"/>
      <c r="Q680" s="59" t="n"/>
      <c r="R680" s="59" t="n"/>
    </row>
    <row r="681">
      <c r="P681" s="59" t="n"/>
      <c r="Q681" s="59" t="n"/>
      <c r="R681" s="59" t="n"/>
    </row>
    <row r="682">
      <c r="P682" s="59" t="n"/>
      <c r="Q682" s="59" t="n"/>
      <c r="R682" s="59" t="n"/>
    </row>
    <row r="683">
      <c r="P683" s="59" t="n"/>
      <c r="Q683" s="59" t="n"/>
      <c r="R683" s="59" t="n"/>
    </row>
    <row r="684">
      <c r="P684" s="59" t="n"/>
      <c r="Q684" s="59" t="n"/>
      <c r="R684" s="59" t="n"/>
    </row>
    <row r="685">
      <c r="P685" s="59" t="n"/>
      <c r="Q685" s="59" t="n"/>
      <c r="R685" s="59" t="n"/>
    </row>
    <row r="686">
      <c r="P686" s="59" t="n"/>
      <c r="Q686" s="59" t="n"/>
      <c r="R686" s="59" t="n"/>
    </row>
    <row r="687">
      <c r="P687" s="59" t="n"/>
      <c r="Q687" s="59" t="n"/>
      <c r="R687" s="59" t="n"/>
    </row>
    <row r="688">
      <c r="P688" s="59" t="n"/>
      <c r="Q688" s="59" t="n"/>
      <c r="R688" s="59" t="n"/>
    </row>
    <row r="689">
      <c r="P689" s="59" t="n"/>
      <c r="Q689" s="59" t="n"/>
      <c r="R689" s="59" t="n"/>
    </row>
    <row r="690">
      <c r="P690" s="59" t="n"/>
      <c r="Q690" s="59" t="n"/>
      <c r="R690" s="59" t="n"/>
    </row>
    <row r="691">
      <c r="P691" s="59" t="n"/>
      <c r="Q691" s="59" t="n"/>
      <c r="R691" s="59" t="n"/>
    </row>
    <row r="692">
      <c r="P692" s="59" t="n"/>
      <c r="Q692" s="59" t="n"/>
      <c r="R692" s="59" t="n"/>
    </row>
    <row r="693">
      <c r="P693" s="59" t="n"/>
      <c r="Q693" s="59" t="n"/>
      <c r="R693" s="59" t="n"/>
    </row>
    <row r="694">
      <c r="P694" s="59" t="n"/>
      <c r="Q694" s="59" t="n"/>
      <c r="R694" s="59" t="n"/>
    </row>
    <row r="695">
      <c r="P695" s="59" t="n"/>
      <c r="Q695" s="59" t="n"/>
      <c r="R695" s="59" t="n"/>
    </row>
    <row r="696">
      <c r="P696" s="59" t="n"/>
      <c r="Q696" s="59" t="n"/>
      <c r="R696" s="59" t="n"/>
    </row>
    <row r="697">
      <c r="P697" s="59" t="n"/>
      <c r="Q697" s="59" t="n"/>
      <c r="R697" s="59" t="n"/>
    </row>
    <row r="698">
      <c r="P698" s="59" t="n"/>
      <c r="Q698" s="59" t="n"/>
      <c r="R698" s="59" t="n"/>
    </row>
    <row r="699">
      <c r="P699" s="59" t="n"/>
      <c r="Q699" s="59" t="n"/>
      <c r="R699" s="59" t="n"/>
    </row>
    <row r="700">
      <c r="P700" s="59" t="n"/>
      <c r="Q700" s="59" t="n"/>
      <c r="R700" s="59" t="n"/>
    </row>
    <row r="701">
      <c r="P701" s="59" t="n"/>
      <c r="Q701" s="59" t="n"/>
      <c r="R701" s="59" t="n"/>
    </row>
    <row r="702">
      <c r="P702" s="59" t="n"/>
      <c r="Q702" s="59" t="n"/>
      <c r="R702" s="59" t="n"/>
    </row>
    <row r="703">
      <c r="P703" s="59" t="n"/>
      <c r="Q703" s="59" t="n"/>
      <c r="R703" s="59" t="n"/>
    </row>
    <row r="704">
      <c r="P704" s="59" t="n"/>
      <c r="Q704" s="59" t="n"/>
      <c r="R704" s="59" t="n"/>
    </row>
    <row r="705">
      <c r="P705" s="59" t="n"/>
      <c r="Q705" s="59" t="n"/>
      <c r="R705" s="59" t="n"/>
    </row>
    <row r="706">
      <c r="P706" s="59" t="n"/>
      <c r="Q706" s="59" t="n"/>
      <c r="R706" s="59" t="n"/>
    </row>
    <row r="707">
      <c r="P707" s="59" t="n"/>
      <c r="Q707" s="59" t="n"/>
      <c r="R707" s="59" t="n"/>
    </row>
    <row r="708">
      <c r="P708" s="59" t="n"/>
      <c r="Q708" s="59" t="n"/>
      <c r="R708" s="59" t="n"/>
    </row>
    <row r="709">
      <c r="P709" s="59" t="n"/>
      <c r="Q709" s="59" t="n"/>
      <c r="R709" s="59" t="n"/>
    </row>
    <row r="710">
      <c r="P710" s="59" t="n"/>
      <c r="Q710" s="59" t="n"/>
      <c r="R710" s="59" t="n"/>
    </row>
    <row r="711">
      <c r="P711" s="59" t="n"/>
      <c r="Q711" s="59" t="n"/>
      <c r="R711" s="59" t="n"/>
    </row>
    <row r="712">
      <c r="P712" s="59" t="n"/>
      <c r="Q712" s="59" t="n"/>
      <c r="R712" s="59" t="n"/>
    </row>
    <row r="713">
      <c r="P713" s="59" t="n"/>
      <c r="Q713" s="59" t="n"/>
      <c r="R713" s="59" t="n"/>
    </row>
    <row r="714">
      <c r="P714" s="59" t="n"/>
      <c r="Q714" s="59" t="n"/>
      <c r="R714" s="59" t="n"/>
    </row>
    <row r="715">
      <c r="P715" s="59" t="n"/>
      <c r="Q715" s="59" t="n"/>
      <c r="R715" s="59" t="n"/>
    </row>
    <row r="716">
      <c r="P716" s="59" t="n"/>
      <c r="Q716" s="59" t="n"/>
      <c r="R716" s="59" t="n"/>
    </row>
    <row r="717">
      <c r="P717" s="59" t="n"/>
      <c r="Q717" s="59" t="n"/>
      <c r="R717" s="59" t="n"/>
    </row>
    <row r="718">
      <c r="P718" s="59" t="n"/>
      <c r="Q718" s="59" t="n"/>
      <c r="R718" s="59" t="n"/>
    </row>
    <row r="719">
      <c r="P719" s="59" t="n"/>
      <c r="Q719" s="59" t="n"/>
      <c r="R719" s="59" t="n"/>
    </row>
    <row r="720">
      <c r="P720" s="59" t="n"/>
      <c r="Q720" s="59" t="n"/>
      <c r="R720" s="59" t="n"/>
    </row>
    <row r="721">
      <c r="P721" s="59" t="n"/>
      <c r="Q721" s="59" t="n"/>
      <c r="R721" s="59" t="n"/>
    </row>
    <row r="722">
      <c r="P722" s="59" t="n"/>
      <c r="Q722" s="59" t="n"/>
      <c r="R722" s="59" t="n"/>
    </row>
    <row r="723">
      <c r="P723" s="59" t="n"/>
      <c r="Q723" s="59" t="n"/>
      <c r="R723" s="59" t="n"/>
    </row>
    <row r="724">
      <c r="P724" s="59" t="n"/>
      <c r="Q724" s="59" t="n"/>
      <c r="R724" s="59" t="n"/>
    </row>
    <row r="725">
      <c r="P725" s="59" t="n"/>
      <c r="Q725" s="59" t="n"/>
      <c r="R725" s="59" t="n"/>
    </row>
    <row r="726">
      <c r="P726" s="59" t="n"/>
      <c r="Q726" s="59" t="n"/>
      <c r="R726" s="59" t="n"/>
    </row>
    <row r="727">
      <c r="P727" s="59" t="n"/>
      <c r="Q727" s="59" t="n"/>
      <c r="R727" s="59" t="n"/>
    </row>
    <row r="728">
      <c r="P728" s="59" t="n"/>
      <c r="Q728" s="59" t="n"/>
      <c r="R728" s="59" t="n"/>
    </row>
    <row r="729">
      <c r="P729" s="59" t="n"/>
      <c r="Q729" s="59" t="n"/>
      <c r="R729" s="59" t="n"/>
    </row>
    <row r="730">
      <c r="P730" s="59" t="n"/>
      <c r="Q730" s="59" t="n"/>
      <c r="R730" s="59" t="n"/>
    </row>
    <row r="731">
      <c r="P731" s="59" t="n"/>
      <c r="Q731" s="59" t="n"/>
      <c r="R731" s="59" t="n"/>
    </row>
    <row r="732">
      <c r="P732" s="59" t="n"/>
      <c r="Q732" s="59" t="n"/>
      <c r="R732" s="59" t="n"/>
    </row>
    <row r="733">
      <c r="P733" s="59" t="n"/>
      <c r="Q733" s="59" t="n"/>
      <c r="R733" s="59" t="n"/>
    </row>
    <row r="734">
      <c r="P734" s="59" t="n"/>
      <c r="Q734" s="59" t="n"/>
      <c r="R734" s="59" t="n"/>
    </row>
    <row r="735">
      <c r="P735" s="59" t="n"/>
      <c r="Q735" s="59" t="n"/>
      <c r="R735" s="59" t="n"/>
    </row>
    <row r="736">
      <c r="P736" s="59" t="n"/>
      <c r="Q736" s="59" t="n"/>
      <c r="R736" s="59" t="n"/>
    </row>
    <row r="737">
      <c r="P737" s="59" t="n"/>
      <c r="Q737" s="59" t="n"/>
      <c r="R737" s="59" t="n"/>
    </row>
    <row r="738">
      <c r="P738" s="59" t="n"/>
      <c r="Q738" s="59" t="n"/>
      <c r="R738" s="59" t="n"/>
    </row>
    <row r="739">
      <c r="P739" s="59" t="n"/>
      <c r="Q739" s="59" t="n"/>
      <c r="R739" s="59" t="n"/>
    </row>
    <row r="740">
      <c r="P740" s="59" t="n"/>
      <c r="Q740" s="59" t="n"/>
      <c r="R740" s="59" t="n"/>
    </row>
    <row r="741">
      <c r="P741" s="59" t="n"/>
      <c r="Q741" s="59" t="n"/>
      <c r="R741" s="59" t="n"/>
    </row>
    <row r="742">
      <c r="P742" s="59" t="n"/>
      <c r="Q742" s="59" t="n"/>
      <c r="R742" s="59" t="n"/>
    </row>
    <row r="743">
      <c r="P743" s="59" t="n"/>
      <c r="Q743" s="59" t="n"/>
      <c r="R743" s="59" t="n"/>
    </row>
    <row r="744">
      <c r="P744" s="59" t="n"/>
      <c r="Q744" s="59" t="n"/>
      <c r="R744" s="59" t="n"/>
    </row>
    <row r="745">
      <c r="P745" s="59" t="n"/>
      <c r="Q745" s="59" t="n"/>
      <c r="R745" s="59" t="n"/>
    </row>
    <row r="746">
      <c r="P746" s="59" t="n"/>
      <c r="Q746" s="59" t="n"/>
      <c r="R746" s="59" t="n"/>
    </row>
    <row r="747">
      <c r="P747" s="59" t="n"/>
      <c r="Q747" s="59" t="n"/>
      <c r="R747" s="59" t="n"/>
    </row>
    <row r="748">
      <c r="P748" s="59" t="n"/>
      <c r="Q748" s="59" t="n"/>
      <c r="R748" s="59" t="n"/>
    </row>
    <row r="749">
      <c r="P749" s="59" t="n"/>
      <c r="Q749" s="59" t="n"/>
      <c r="R749" s="59" t="n"/>
    </row>
    <row r="750">
      <c r="P750" s="59" t="n"/>
      <c r="Q750" s="59" t="n"/>
      <c r="R750" s="59" t="n"/>
    </row>
    <row r="751">
      <c r="P751" s="59" t="n"/>
      <c r="Q751" s="59" t="n"/>
      <c r="R751" s="59" t="n"/>
    </row>
    <row r="752">
      <c r="P752" s="59" t="n"/>
      <c r="Q752" s="59" t="n"/>
      <c r="R752" s="59" t="n"/>
    </row>
    <row r="753">
      <c r="P753" s="59" t="n"/>
      <c r="Q753" s="59" t="n"/>
      <c r="R753" s="59" t="n"/>
    </row>
    <row r="754">
      <c r="P754" s="59" t="n"/>
      <c r="Q754" s="59" t="n"/>
      <c r="R754" s="59" t="n"/>
    </row>
    <row r="755">
      <c r="P755" s="59" t="n"/>
      <c r="Q755" s="59" t="n"/>
      <c r="R755" s="59" t="n"/>
    </row>
    <row r="756">
      <c r="P756" s="59" t="n"/>
      <c r="Q756" s="59" t="n"/>
      <c r="R756" s="59" t="n"/>
    </row>
    <row r="757">
      <c r="P757" s="59" t="n"/>
      <c r="Q757" s="59" t="n"/>
      <c r="R757" s="59" t="n"/>
    </row>
    <row r="758">
      <c r="P758" s="59" t="n"/>
      <c r="Q758" s="59" t="n"/>
      <c r="R758" s="59" t="n"/>
    </row>
    <row r="759">
      <c r="P759" s="59" t="n"/>
      <c r="Q759" s="59" t="n"/>
      <c r="R759" s="59" t="n"/>
    </row>
    <row r="760">
      <c r="P760" s="59" t="n"/>
      <c r="Q760" s="59" t="n"/>
      <c r="R760" s="59" t="n"/>
    </row>
    <row r="761">
      <c r="P761" s="59" t="n"/>
      <c r="Q761" s="59" t="n"/>
      <c r="R761" s="59" t="n"/>
    </row>
    <row r="762">
      <c r="P762" s="59" t="n"/>
      <c r="Q762" s="59" t="n"/>
      <c r="R762" s="59" t="n"/>
    </row>
    <row r="763">
      <c r="P763" s="59" t="n"/>
      <c r="Q763" s="59" t="n"/>
      <c r="R763" s="59" t="n"/>
    </row>
    <row r="764">
      <c r="P764" s="59" t="n"/>
      <c r="Q764" s="59" t="n"/>
      <c r="R764" s="59" t="n"/>
    </row>
    <row r="765">
      <c r="P765" s="59" t="n"/>
      <c r="Q765" s="59" t="n"/>
      <c r="R765" s="59" t="n"/>
    </row>
    <row r="766">
      <c r="P766" s="59" t="n"/>
      <c r="Q766" s="59" t="n"/>
      <c r="R766" s="59" t="n"/>
    </row>
    <row r="767">
      <c r="P767" s="59" t="n"/>
      <c r="Q767" s="59" t="n"/>
      <c r="R767" s="59" t="n"/>
    </row>
    <row r="768">
      <c r="P768" s="59" t="n"/>
      <c r="Q768" s="59" t="n"/>
      <c r="R768" s="59" t="n"/>
    </row>
    <row r="769">
      <c r="P769" s="59" t="n"/>
      <c r="Q769" s="59" t="n"/>
      <c r="R769" s="59" t="n"/>
    </row>
    <row r="770">
      <c r="P770" s="59" t="n"/>
      <c r="Q770" s="59" t="n"/>
      <c r="R770" s="59" t="n"/>
    </row>
    <row r="771">
      <c r="P771" s="59" t="n"/>
      <c r="Q771" s="59" t="n"/>
      <c r="R771" s="59" t="n"/>
    </row>
    <row r="772">
      <c r="P772" s="59" t="n"/>
      <c r="Q772" s="59" t="n"/>
      <c r="R772" s="59" t="n"/>
    </row>
    <row r="773">
      <c r="P773" s="59" t="n"/>
      <c r="Q773" s="59" t="n"/>
      <c r="R773" s="59" t="n"/>
    </row>
    <row r="774">
      <c r="P774" s="59" t="n"/>
      <c r="Q774" s="59" t="n"/>
      <c r="R774" s="59" t="n"/>
    </row>
    <row r="775">
      <c r="P775" s="59" t="n"/>
      <c r="Q775" s="59" t="n"/>
      <c r="R775" s="59" t="n"/>
    </row>
    <row r="776">
      <c r="P776" s="59" t="n"/>
      <c r="Q776" s="59" t="n"/>
      <c r="R776" s="59" t="n"/>
    </row>
    <row r="777">
      <c r="P777" s="59" t="n"/>
      <c r="Q777" s="59" t="n"/>
      <c r="R777" s="59" t="n"/>
    </row>
    <row r="778">
      <c r="P778" s="59" t="n"/>
      <c r="Q778" s="59" t="n"/>
      <c r="R778" s="59" t="n"/>
    </row>
    <row r="779">
      <c r="P779" s="59" t="n"/>
      <c r="Q779" s="59" t="n"/>
      <c r="R779" s="59" t="n"/>
    </row>
    <row r="780">
      <c r="P780" s="59" t="n"/>
      <c r="Q780" s="59" t="n"/>
      <c r="R780" s="59" t="n"/>
    </row>
    <row r="781">
      <c r="P781" s="59" t="n"/>
      <c r="Q781" s="59" t="n"/>
      <c r="R781" s="59" t="n"/>
    </row>
    <row r="782">
      <c r="P782" s="59" t="n"/>
      <c r="Q782" s="59" t="n"/>
      <c r="R782" s="59" t="n"/>
    </row>
    <row r="783">
      <c r="P783" s="59" t="n"/>
      <c r="Q783" s="59" t="n"/>
      <c r="R783" s="59" t="n"/>
    </row>
    <row r="784">
      <c r="P784" s="59" t="n"/>
      <c r="Q784" s="59" t="n"/>
      <c r="R784" s="59" t="n"/>
    </row>
    <row r="785">
      <c r="P785" s="59" t="n"/>
      <c r="Q785" s="59" t="n"/>
      <c r="R785" s="59" t="n"/>
    </row>
    <row r="786">
      <c r="P786" s="59" t="n"/>
      <c r="Q786" s="59" t="n"/>
      <c r="R786" s="59" t="n"/>
    </row>
    <row r="787">
      <c r="P787" s="59" t="n"/>
      <c r="Q787" s="59" t="n"/>
      <c r="R787" s="59" t="n"/>
    </row>
    <row r="788">
      <c r="P788" s="59" t="n"/>
      <c r="Q788" s="59" t="n"/>
      <c r="R788" s="59" t="n"/>
    </row>
    <row r="789">
      <c r="P789" s="59" t="n"/>
      <c r="Q789" s="59" t="n"/>
      <c r="R789" s="59" t="n"/>
    </row>
    <row r="790">
      <c r="P790" s="59" t="n"/>
      <c r="Q790" s="59" t="n"/>
      <c r="R790" s="59" t="n"/>
    </row>
    <row r="791">
      <c r="P791" s="59" t="n"/>
      <c r="Q791" s="59" t="n"/>
      <c r="R791" s="59" t="n"/>
    </row>
    <row r="792">
      <c r="P792" s="59" t="n"/>
      <c r="Q792" s="59" t="n"/>
      <c r="R792" s="59" t="n"/>
    </row>
    <row r="793">
      <c r="P793" s="59" t="n"/>
      <c r="Q793" s="59" t="n"/>
      <c r="R793" s="59" t="n"/>
    </row>
    <row r="794">
      <c r="P794" s="59" t="n"/>
      <c r="Q794" s="59" t="n"/>
      <c r="R794" s="59" t="n"/>
    </row>
    <row r="795">
      <c r="P795" s="59" t="n"/>
      <c r="Q795" s="59" t="n"/>
      <c r="R795" s="59" t="n"/>
    </row>
    <row r="796">
      <c r="P796" s="59" t="n"/>
      <c r="Q796" s="59" t="n"/>
      <c r="R796" s="59" t="n"/>
    </row>
    <row r="797">
      <c r="P797" s="59" t="n"/>
      <c r="Q797" s="59" t="n"/>
      <c r="R797" s="59" t="n"/>
    </row>
    <row r="798">
      <c r="P798" s="59" t="n"/>
      <c r="Q798" s="59" t="n"/>
      <c r="R798" s="59" t="n"/>
    </row>
    <row r="799">
      <c r="P799" s="59" t="n"/>
      <c r="Q799" s="59" t="n"/>
      <c r="R799" s="59" t="n"/>
    </row>
    <row r="800">
      <c r="P800" s="59" t="n"/>
      <c r="Q800" s="59" t="n"/>
      <c r="R800" s="59" t="n"/>
    </row>
    <row r="801">
      <c r="P801" s="59" t="n"/>
      <c r="Q801" s="59" t="n"/>
      <c r="R801" s="59" t="n"/>
    </row>
    <row r="802">
      <c r="P802" s="59" t="n"/>
      <c r="Q802" s="59" t="n"/>
      <c r="R802" s="59" t="n"/>
    </row>
    <row r="803">
      <c r="P803" s="59" t="n"/>
      <c r="Q803" s="59" t="n"/>
      <c r="R803" s="59" t="n"/>
    </row>
    <row r="804">
      <c r="P804" s="59" t="n"/>
      <c r="Q804" s="59" t="n"/>
      <c r="R804" s="59" t="n"/>
    </row>
    <row r="805">
      <c r="P805" s="59" t="n"/>
      <c r="Q805" s="59" t="n"/>
      <c r="R805" s="59" t="n"/>
    </row>
    <row r="806">
      <c r="P806" s="59" t="n"/>
      <c r="Q806" s="59" t="n"/>
      <c r="R806" s="59" t="n"/>
    </row>
    <row r="807">
      <c r="P807" s="59" t="n"/>
      <c r="Q807" s="59" t="n"/>
      <c r="R807" s="59" t="n"/>
    </row>
    <row r="808">
      <c r="P808" s="59" t="n"/>
      <c r="Q808" s="59" t="n"/>
      <c r="R808" s="59" t="n"/>
    </row>
    <row r="809">
      <c r="P809" s="59" t="n"/>
      <c r="Q809" s="59" t="n"/>
      <c r="R809" s="59" t="n"/>
    </row>
    <row r="810">
      <c r="P810" s="59" t="n"/>
      <c r="Q810" s="59" t="n"/>
      <c r="R810" s="59" t="n"/>
    </row>
    <row r="811">
      <c r="P811" s="59" t="n"/>
      <c r="Q811" s="59" t="n"/>
      <c r="R811" s="59" t="n"/>
    </row>
    <row r="812">
      <c r="P812" s="59" t="n"/>
      <c r="Q812" s="59" t="n"/>
      <c r="R812" s="59" t="n"/>
    </row>
    <row r="813">
      <c r="P813" s="59" t="n"/>
      <c r="Q813" s="59" t="n"/>
      <c r="R813" s="59" t="n"/>
    </row>
    <row r="814">
      <c r="P814" s="59" t="n"/>
      <c r="Q814" s="59" t="n"/>
      <c r="R814" s="59" t="n"/>
    </row>
    <row r="815">
      <c r="P815" s="59" t="n"/>
      <c r="Q815" s="59" t="n"/>
      <c r="R815" s="59" t="n"/>
    </row>
    <row r="816">
      <c r="P816" s="59" t="n"/>
      <c r="Q816" s="59" t="n"/>
      <c r="R816" s="59" t="n"/>
    </row>
    <row r="817">
      <c r="P817" s="59" t="n"/>
      <c r="Q817" s="59" t="n"/>
      <c r="R817" s="59" t="n"/>
    </row>
    <row r="818">
      <c r="P818" s="59" t="n"/>
      <c r="Q818" s="59" t="n"/>
      <c r="R818" s="59" t="n"/>
    </row>
    <row r="819">
      <c r="P819" s="59" t="n"/>
      <c r="Q819" s="59" t="n"/>
      <c r="R819" s="59" t="n"/>
    </row>
    <row r="820">
      <c r="P820" s="59" t="n"/>
      <c r="Q820" s="59" t="n"/>
      <c r="R820" s="59" t="n"/>
    </row>
    <row r="821">
      <c r="P821" s="59" t="n"/>
      <c r="Q821" s="59" t="n"/>
      <c r="R821" s="59" t="n"/>
    </row>
    <row r="822">
      <c r="P822" s="59" t="n"/>
      <c r="Q822" s="59" t="n"/>
      <c r="R822" s="59" t="n"/>
    </row>
    <row r="823">
      <c r="P823" s="59" t="n"/>
      <c r="Q823" s="59" t="n"/>
      <c r="R823" s="59" t="n"/>
    </row>
    <row r="824">
      <c r="P824" s="59" t="n"/>
      <c r="Q824" s="59" t="n"/>
      <c r="R824" s="59" t="n"/>
    </row>
    <row r="825">
      <c r="P825" s="59" t="n"/>
      <c r="Q825" s="59" t="n"/>
      <c r="R825" s="59" t="n"/>
    </row>
    <row r="826">
      <c r="P826" s="59" t="n"/>
      <c r="Q826" s="59" t="n"/>
      <c r="R826" s="59" t="n"/>
    </row>
    <row r="827">
      <c r="P827" s="59" t="n"/>
      <c r="Q827" s="59" t="n"/>
      <c r="R827" s="59" t="n"/>
    </row>
    <row r="828">
      <c r="P828" s="59" t="n"/>
      <c r="Q828" s="59" t="n"/>
      <c r="R828" s="59" t="n"/>
    </row>
    <row r="829">
      <c r="P829" s="59" t="n"/>
      <c r="Q829" s="59" t="n"/>
      <c r="R829" s="59" t="n"/>
    </row>
    <row r="830">
      <c r="P830" s="59" t="n"/>
      <c r="Q830" s="59" t="n"/>
      <c r="R830" s="59" t="n"/>
    </row>
    <row r="831">
      <c r="P831" s="59" t="n"/>
      <c r="Q831" s="59" t="n"/>
      <c r="R831" s="59" t="n"/>
    </row>
    <row r="832">
      <c r="P832" s="59" t="n"/>
      <c r="Q832" s="59" t="n"/>
      <c r="R832" s="59" t="n"/>
    </row>
    <row r="833">
      <c r="P833" s="59" t="n"/>
      <c r="Q833" s="59" t="n"/>
      <c r="R833" s="59" t="n"/>
    </row>
    <row r="834">
      <c r="P834" s="59" t="n"/>
      <c r="Q834" s="59" t="n"/>
      <c r="R834" s="59" t="n"/>
    </row>
    <row r="835">
      <c r="P835" s="59" t="n"/>
      <c r="Q835" s="59" t="n"/>
      <c r="R835" s="59" t="n"/>
    </row>
    <row r="836">
      <c r="P836" s="59" t="n"/>
      <c r="Q836" s="59" t="n"/>
      <c r="R836" s="59" t="n"/>
    </row>
    <row r="837">
      <c r="P837" s="59" t="n"/>
      <c r="Q837" s="59" t="n"/>
      <c r="R837" s="59" t="n"/>
    </row>
    <row r="838">
      <c r="P838" s="59" t="n"/>
      <c r="Q838" s="59" t="n"/>
      <c r="R838" s="59" t="n"/>
    </row>
    <row r="839">
      <c r="P839" s="59" t="n"/>
      <c r="Q839" s="59" t="n"/>
      <c r="R839" s="59" t="n"/>
    </row>
    <row r="840">
      <c r="P840" s="59" t="n"/>
      <c r="Q840" s="59" t="n"/>
      <c r="R840" s="59" t="n"/>
    </row>
    <row r="841">
      <c r="P841" s="59" t="n"/>
      <c r="Q841" s="59" t="n"/>
      <c r="R841" s="59" t="n"/>
    </row>
    <row r="842">
      <c r="P842" s="59" t="n"/>
      <c r="Q842" s="59" t="n"/>
      <c r="R842" s="59" t="n"/>
    </row>
    <row r="843">
      <c r="P843" s="59" t="n"/>
      <c r="Q843" s="59" t="n"/>
      <c r="R843" s="59" t="n"/>
    </row>
    <row r="844">
      <c r="P844" s="59" t="n"/>
      <c r="Q844" s="59" t="n"/>
      <c r="R844" s="59" t="n"/>
    </row>
    <row r="845">
      <c r="P845" s="59" t="n"/>
      <c r="Q845" s="59" t="n"/>
      <c r="R845" s="59" t="n"/>
    </row>
    <row r="846">
      <c r="P846" s="59" t="n"/>
      <c r="Q846" s="59" t="n"/>
      <c r="R846" s="59" t="n"/>
    </row>
    <row r="847">
      <c r="P847" s="59" t="n"/>
      <c r="Q847" s="59" t="n"/>
      <c r="R847" s="59" t="n"/>
    </row>
    <row r="848">
      <c r="P848" s="59" t="n"/>
      <c r="Q848" s="59" t="n"/>
      <c r="R848" s="59" t="n"/>
    </row>
    <row r="849">
      <c r="P849" s="59" t="n"/>
      <c r="Q849" s="59" t="n"/>
      <c r="R849" s="59" t="n"/>
    </row>
    <row r="850">
      <c r="P850" s="59" t="n"/>
      <c r="Q850" s="59" t="n"/>
      <c r="R850" s="59" t="n"/>
    </row>
    <row r="851">
      <c r="P851" s="59" t="n"/>
      <c r="Q851" s="59" t="n"/>
      <c r="R851" s="59" t="n"/>
    </row>
    <row r="852">
      <c r="P852" s="59" t="n"/>
      <c r="Q852" s="59" t="n"/>
      <c r="R852" s="59" t="n"/>
    </row>
    <row r="853">
      <c r="P853" s="59" t="n"/>
      <c r="Q853" s="59" t="n"/>
      <c r="R853" s="59" t="n"/>
    </row>
    <row r="854">
      <c r="P854" s="59" t="n"/>
      <c r="Q854" s="59" t="n"/>
      <c r="R854" s="59" t="n"/>
    </row>
    <row r="855">
      <c r="P855" s="59" t="n"/>
      <c r="Q855" s="59" t="n"/>
      <c r="R855" s="59" t="n"/>
    </row>
    <row r="856">
      <c r="P856" s="59" t="n"/>
      <c r="Q856" s="59" t="n"/>
      <c r="R856" s="59" t="n"/>
    </row>
    <row r="857">
      <c r="P857" s="59" t="n"/>
      <c r="Q857" s="59" t="n"/>
      <c r="R857" s="59" t="n"/>
    </row>
    <row r="858">
      <c r="P858" s="59" t="n"/>
      <c r="Q858" s="59" t="n"/>
      <c r="R858" s="59" t="n"/>
    </row>
    <row r="859">
      <c r="P859" s="59" t="n"/>
      <c r="Q859" s="59" t="n"/>
      <c r="R859" s="59" t="n"/>
    </row>
    <row r="860">
      <c r="P860" s="59" t="n"/>
      <c r="Q860" s="59" t="n"/>
      <c r="R860" s="59" t="n"/>
    </row>
    <row r="861">
      <c r="P861" s="59" t="n"/>
      <c r="Q861" s="59" t="n"/>
      <c r="R861" s="59" t="n"/>
    </row>
    <row r="862">
      <c r="P862" s="59" t="n"/>
      <c r="Q862" s="59" t="n"/>
      <c r="R862" s="59" t="n"/>
    </row>
    <row r="863">
      <c r="P863" s="59" t="n"/>
      <c r="Q863" s="59" t="n"/>
      <c r="R863" s="59" t="n"/>
    </row>
    <row r="864">
      <c r="P864" s="59" t="n"/>
      <c r="Q864" s="59" t="n"/>
      <c r="R864" s="59" t="n"/>
    </row>
    <row r="865">
      <c r="P865" s="59" t="n"/>
      <c r="Q865" s="59" t="n"/>
      <c r="R865" s="59" t="n"/>
    </row>
    <row r="866">
      <c r="P866" s="59" t="n"/>
      <c r="Q866" s="59" t="n"/>
      <c r="R866" s="59" t="n"/>
    </row>
    <row r="867">
      <c r="P867" s="59" t="n"/>
      <c r="Q867" s="59" t="n"/>
      <c r="R867" s="59" t="n"/>
    </row>
    <row r="868">
      <c r="P868" s="59" t="n"/>
      <c r="Q868" s="59" t="n"/>
      <c r="R868" s="59" t="n"/>
    </row>
    <row r="869">
      <c r="P869" s="59" t="n"/>
      <c r="Q869" s="59" t="n"/>
      <c r="R869" s="59" t="n"/>
    </row>
    <row r="870">
      <c r="P870" s="59" t="n"/>
      <c r="Q870" s="59" t="n"/>
      <c r="R870" s="59" t="n"/>
    </row>
    <row r="871">
      <c r="P871" s="59" t="n"/>
      <c r="Q871" s="59" t="n"/>
      <c r="R871" s="59" t="n"/>
    </row>
    <row r="872">
      <c r="P872" s="59" t="n"/>
      <c r="Q872" s="59" t="n"/>
      <c r="R872" s="59" t="n"/>
    </row>
    <row r="873">
      <c r="P873" s="59" t="n"/>
      <c r="Q873" s="59" t="n"/>
      <c r="R873" s="59" t="n"/>
    </row>
    <row r="874">
      <c r="P874" s="59" t="n"/>
      <c r="Q874" s="59" t="n"/>
      <c r="R874" s="59" t="n"/>
    </row>
    <row r="875">
      <c r="P875" s="59" t="n"/>
      <c r="Q875" s="59" t="n"/>
      <c r="R875" s="59" t="n"/>
    </row>
    <row r="876">
      <c r="P876" s="59" t="n"/>
      <c r="Q876" s="59" t="n"/>
      <c r="R876" s="59" t="n"/>
    </row>
    <row r="877">
      <c r="P877" s="59" t="n"/>
      <c r="Q877" s="59" t="n"/>
      <c r="R877" s="59" t="n"/>
    </row>
    <row r="878">
      <c r="P878" s="59" t="n"/>
      <c r="Q878" s="59" t="n"/>
      <c r="R878" s="59" t="n"/>
    </row>
    <row r="879">
      <c r="P879" s="59" t="n"/>
      <c r="Q879" s="59" t="n"/>
      <c r="R879" s="59" t="n"/>
    </row>
    <row r="880">
      <c r="P880" s="59" t="n"/>
      <c r="Q880" s="59" t="n"/>
      <c r="R880" s="59" t="n"/>
    </row>
    <row r="881">
      <c r="P881" s="59" t="n"/>
      <c r="Q881" s="59" t="n"/>
      <c r="R881" s="59" t="n"/>
    </row>
    <row r="882">
      <c r="P882" s="59" t="n"/>
      <c r="Q882" s="59" t="n"/>
      <c r="R882" s="59" t="n"/>
    </row>
    <row r="883">
      <c r="P883" s="59" t="n"/>
      <c r="Q883" s="59" t="n"/>
      <c r="R883" s="59" t="n"/>
    </row>
    <row r="884">
      <c r="P884" s="59" t="n"/>
      <c r="Q884" s="59" t="n"/>
      <c r="R884" s="59" t="n"/>
    </row>
    <row r="885">
      <c r="P885" s="59" t="n"/>
      <c r="Q885" s="59" t="n"/>
      <c r="R885" s="59" t="n"/>
    </row>
    <row r="886">
      <c r="P886" s="59" t="n"/>
      <c r="Q886" s="59" t="n"/>
      <c r="R886" s="59" t="n"/>
    </row>
    <row r="887">
      <c r="P887" s="59" t="n"/>
      <c r="Q887" s="59" t="n"/>
      <c r="R887" s="59" t="n"/>
    </row>
    <row r="888">
      <c r="P888" s="59" t="n"/>
      <c r="Q888" s="59" t="n"/>
      <c r="R888" s="59" t="n"/>
    </row>
    <row r="889">
      <c r="P889" s="59" t="n"/>
      <c r="Q889" s="59" t="n"/>
      <c r="R889" s="59" t="n"/>
    </row>
    <row r="890">
      <c r="P890" s="59" t="n"/>
      <c r="Q890" s="59" t="n"/>
      <c r="R890" s="59" t="n"/>
    </row>
    <row r="891">
      <c r="P891" s="59" t="n"/>
      <c r="Q891" s="59" t="n"/>
      <c r="R891" s="59" t="n"/>
    </row>
    <row r="892">
      <c r="P892" s="59" t="n"/>
      <c r="Q892" s="59" t="n"/>
      <c r="R892" s="59" t="n"/>
    </row>
    <row r="893">
      <c r="P893" s="59" t="n"/>
      <c r="Q893" s="59" t="n"/>
      <c r="R893" s="59" t="n"/>
    </row>
    <row r="894">
      <c r="P894" s="59" t="n"/>
      <c r="Q894" s="59" t="n"/>
      <c r="R894" s="59" t="n"/>
    </row>
    <row r="895">
      <c r="P895" s="59" t="n"/>
      <c r="Q895" s="59" t="n"/>
      <c r="R895" s="59" t="n"/>
    </row>
    <row r="896">
      <c r="P896" s="59" t="n"/>
      <c r="Q896" s="59" t="n"/>
      <c r="R896" s="59" t="n"/>
    </row>
    <row r="897">
      <c r="P897" s="59" t="n"/>
      <c r="Q897" s="59" t="n"/>
      <c r="R897" s="59" t="n"/>
    </row>
    <row r="898">
      <c r="P898" s="59" t="n"/>
      <c r="Q898" s="59" t="n"/>
      <c r="R898" s="59" t="n"/>
    </row>
    <row r="899">
      <c r="P899" s="59" t="n"/>
      <c r="Q899" s="59" t="n"/>
      <c r="R899" s="59" t="n"/>
    </row>
    <row r="900">
      <c r="P900" s="59" t="n"/>
      <c r="Q900" s="59" t="n"/>
      <c r="R900" s="59" t="n"/>
    </row>
    <row r="901">
      <c r="P901" s="59" t="n"/>
      <c r="Q901" s="59" t="n"/>
      <c r="R901" s="59" t="n"/>
    </row>
    <row r="902">
      <c r="P902" s="59" t="n"/>
      <c r="Q902" s="59" t="n"/>
      <c r="R902" s="59" t="n"/>
    </row>
    <row r="903">
      <c r="P903" s="59" t="n"/>
      <c r="Q903" s="59" t="n"/>
      <c r="R903" s="59" t="n"/>
    </row>
    <row r="904">
      <c r="P904" s="59" t="n"/>
      <c r="Q904" s="59" t="n"/>
      <c r="R904" s="59" t="n"/>
    </row>
    <row r="905">
      <c r="P905" s="59" t="n"/>
      <c r="Q905" s="59" t="n"/>
      <c r="R905" s="59" t="n"/>
    </row>
    <row r="906">
      <c r="P906" s="59" t="n"/>
      <c r="Q906" s="59" t="n"/>
      <c r="R906" s="59" t="n"/>
    </row>
    <row r="907">
      <c r="P907" s="59" t="n"/>
      <c r="Q907" s="59" t="n"/>
      <c r="R907" s="59" t="n"/>
    </row>
    <row r="908">
      <c r="P908" s="59" t="n"/>
      <c r="Q908" s="59" t="n"/>
      <c r="R908" s="59" t="n"/>
    </row>
    <row r="909">
      <c r="P909" s="59" t="n"/>
      <c r="Q909" s="59" t="n"/>
      <c r="R909" s="59" t="n"/>
    </row>
    <row r="910">
      <c r="P910" s="59" t="n"/>
      <c r="Q910" s="59" t="n"/>
      <c r="R910" s="59" t="n"/>
    </row>
    <row r="911">
      <c r="P911" s="59" t="n"/>
      <c r="Q911" s="59" t="n"/>
      <c r="R911" s="59" t="n"/>
    </row>
    <row r="912">
      <c r="P912" s="59" t="n"/>
      <c r="Q912" s="59" t="n"/>
      <c r="R912" s="59" t="n"/>
    </row>
    <row r="913">
      <c r="P913" s="59" t="n"/>
      <c r="Q913" s="59" t="n"/>
      <c r="R913" s="59" t="n"/>
    </row>
    <row r="914">
      <c r="P914" s="59" t="n"/>
      <c r="Q914" s="59" t="n"/>
      <c r="R914" s="59" t="n"/>
    </row>
    <row r="915">
      <c r="P915" s="59" t="n"/>
      <c r="Q915" s="59" t="n"/>
      <c r="R915" s="59" t="n"/>
    </row>
    <row r="916">
      <c r="P916" s="59" t="n"/>
      <c r="Q916" s="59" t="n"/>
      <c r="R916" s="59" t="n"/>
    </row>
    <row r="917">
      <c r="P917" s="59" t="n"/>
      <c r="Q917" s="59" t="n"/>
      <c r="R917" s="59" t="n"/>
    </row>
    <row r="918">
      <c r="P918" s="59" t="n"/>
      <c r="Q918" s="59" t="n"/>
      <c r="R918" s="59" t="n"/>
    </row>
    <row r="919">
      <c r="P919" s="59" t="n"/>
      <c r="Q919" s="59" t="n"/>
      <c r="R919" s="59" t="n"/>
    </row>
    <row r="920">
      <c r="P920" s="59" t="n"/>
      <c r="Q920" s="59" t="n"/>
      <c r="R920" s="59" t="n"/>
    </row>
    <row r="921">
      <c r="P921" s="59" t="n"/>
      <c r="Q921" s="59" t="n"/>
      <c r="R921" s="59" t="n"/>
    </row>
    <row r="922">
      <c r="P922" s="59" t="n"/>
      <c r="Q922" s="59" t="n"/>
      <c r="R922" s="59" t="n"/>
    </row>
    <row r="923">
      <c r="P923" s="59" t="n"/>
      <c r="Q923" s="59" t="n"/>
      <c r="R923" s="59" t="n"/>
    </row>
    <row r="924">
      <c r="P924" s="59" t="n"/>
      <c r="Q924" s="59" t="n"/>
      <c r="R924" s="59" t="n"/>
    </row>
    <row r="925">
      <c r="P925" s="59" t="n"/>
      <c r="Q925" s="59" t="n"/>
      <c r="R925" s="59" t="n"/>
    </row>
    <row r="926">
      <c r="P926" s="59" t="n"/>
      <c r="Q926" s="59" t="n"/>
      <c r="R926" s="59" t="n"/>
    </row>
    <row r="927">
      <c r="P927" s="59" t="n"/>
      <c r="Q927" s="59" t="n"/>
      <c r="R927" s="59" t="n"/>
    </row>
    <row r="928">
      <c r="P928" s="59" t="n"/>
      <c r="Q928" s="59" t="n"/>
      <c r="R928" s="59" t="n"/>
    </row>
    <row r="929">
      <c r="P929" s="59" t="n"/>
      <c r="Q929" s="59" t="n"/>
      <c r="R929" s="59" t="n"/>
    </row>
    <row r="930">
      <c r="P930" s="59" t="n"/>
      <c r="Q930" s="59" t="n"/>
      <c r="R930" s="59" t="n"/>
    </row>
    <row r="931">
      <c r="P931" s="59" t="n"/>
      <c r="Q931" s="59" t="n"/>
      <c r="R931" s="59" t="n"/>
    </row>
    <row r="932">
      <c r="P932" s="59" t="n"/>
      <c r="Q932" s="59" t="n"/>
      <c r="R932" s="59" t="n"/>
    </row>
    <row r="933">
      <c r="P933" s="59" t="n"/>
      <c r="Q933" s="59" t="n"/>
      <c r="R933" s="59" t="n"/>
    </row>
    <row r="934">
      <c r="P934" s="59" t="n"/>
      <c r="Q934" s="59" t="n"/>
      <c r="R934" s="59" t="n"/>
    </row>
    <row r="935">
      <c r="P935" s="59" t="n"/>
      <c r="Q935" s="59" t="n"/>
      <c r="R935" s="59" t="n"/>
    </row>
    <row r="936">
      <c r="P936" s="59" t="n"/>
      <c r="Q936" s="59" t="n"/>
      <c r="R936" s="59" t="n"/>
    </row>
    <row r="937">
      <c r="P937" s="59" t="n"/>
      <c r="Q937" s="59" t="n"/>
      <c r="R937" s="59" t="n"/>
    </row>
    <row r="938">
      <c r="P938" s="59" t="n"/>
      <c r="Q938" s="59" t="n"/>
      <c r="R938" s="59" t="n"/>
    </row>
    <row r="939">
      <c r="P939" s="59" t="n"/>
      <c r="Q939" s="59" t="n"/>
      <c r="R939" s="59" t="n"/>
    </row>
    <row r="940">
      <c r="P940" s="59" t="n"/>
      <c r="Q940" s="59" t="n"/>
      <c r="R940" s="59" t="n"/>
    </row>
    <row r="941">
      <c r="P941" s="59" t="n"/>
      <c r="Q941" s="59" t="n"/>
      <c r="R941" s="59" t="n"/>
    </row>
    <row r="942">
      <c r="P942" s="59" t="n"/>
      <c r="Q942" s="59" t="n"/>
      <c r="R942" s="59" t="n"/>
    </row>
    <row r="943">
      <c r="P943" s="59" t="n"/>
      <c r="Q943" s="59" t="n"/>
      <c r="R943" s="59" t="n"/>
    </row>
    <row r="944">
      <c r="P944" s="59" t="n"/>
      <c r="Q944" s="59" t="n"/>
      <c r="R944" s="59" t="n"/>
    </row>
    <row r="945">
      <c r="P945" s="59" t="n"/>
      <c r="Q945" s="59" t="n"/>
      <c r="R945" s="59" t="n"/>
    </row>
    <row r="946">
      <c r="P946" s="59" t="n"/>
      <c r="Q946" s="59" t="n"/>
      <c r="R946" s="59" t="n"/>
    </row>
    <row r="947">
      <c r="P947" s="59" t="n"/>
      <c r="Q947" s="59" t="n"/>
      <c r="R947" s="59" t="n"/>
    </row>
    <row r="948">
      <c r="P948" s="59" t="n"/>
      <c r="Q948" s="59" t="n"/>
      <c r="R948" s="59" t="n"/>
    </row>
    <row r="949">
      <c r="P949" s="59" t="n"/>
      <c r="Q949" s="59" t="n"/>
      <c r="R949" s="59" t="n"/>
    </row>
    <row r="950">
      <c r="P950" s="59" t="n"/>
      <c r="Q950" s="59" t="n"/>
      <c r="R950" s="59" t="n"/>
    </row>
    <row r="951">
      <c r="P951" s="59" t="n"/>
      <c r="Q951" s="59" t="n"/>
      <c r="R951" s="59" t="n"/>
    </row>
    <row r="952">
      <c r="P952" s="59" t="n"/>
      <c r="Q952" s="59" t="n"/>
      <c r="R952" s="59" t="n"/>
    </row>
    <row r="953">
      <c r="P953" s="59" t="n"/>
      <c r="Q953" s="59" t="n"/>
      <c r="R953" s="59" t="n"/>
    </row>
    <row r="954">
      <c r="P954" s="59" t="n"/>
      <c r="Q954" s="59" t="n"/>
      <c r="R954" s="59" t="n"/>
    </row>
    <row r="955">
      <c r="P955" s="59" t="n"/>
      <c r="Q955" s="59" t="n"/>
      <c r="R955" s="59" t="n"/>
    </row>
    <row r="956">
      <c r="P956" s="59" t="n"/>
      <c r="Q956" s="59" t="n"/>
      <c r="R956" s="59" t="n"/>
    </row>
    <row r="957">
      <c r="P957" s="59" t="n"/>
      <c r="Q957" s="59" t="n"/>
      <c r="R957" s="59" t="n"/>
    </row>
    <row r="958">
      <c r="P958" s="59" t="n"/>
      <c r="Q958" s="59" t="n"/>
      <c r="R958" s="59" t="n"/>
    </row>
    <row r="959">
      <c r="P959" s="59" t="n"/>
      <c r="Q959" s="59" t="n"/>
      <c r="R959" s="59" t="n"/>
    </row>
    <row r="960">
      <c r="P960" s="59" t="n"/>
      <c r="Q960" s="59" t="n"/>
      <c r="R960" s="59" t="n"/>
    </row>
    <row r="961">
      <c r="P961" s="59" t="n"/>
      <c r="Q961" s="59" t="n"/>
      <c r="R961" s="59" t="n"/>
    </row>
    <row r="962">
      <c r="P962" s="59" t="n"/>
      <c r="Q962" s="59" t="n"/>
      <c r="R962" s="59" t="n"/>
    </row>
    <row r="963">
      <c r="P963" s="59" t="n"/>
      <c r="Q963" s="59" t="n"/>
      <c r="R963" s="59" t="n"/>
    </row>
    <row r="964">
      <c r="P964" s="59" t="n"/>
      <c r="Q964" s="59" t="n"/>
      <c r="R964" s="59" t="n"/>
    </row>
    <row r="965">
      <c r="P965" s="59" t="n"/>
      <c r="Q965" s="59" t="n"/>
      <c r="R965" s="59" t="n"/>
    </row>
    <row r="966">
      <c r="P966" s="59" t="n"/>
      <c r="Q966" s="59" t="n"/>
      <c r="R966" s="59" t="n"/>
    </row>
    <row r="967">
      <c r="P967" s="59" t="n"/>
      <c r="Q967" s="59" t="n"/>
      <c r="R967" s="59" t="n"/>
    </row>
    <row r="968">
      <c r="P968" s="59" t="n"/>
      <c r="Q968" s="59" t="n"/>
      <c r="R968" s="59" t="n"/>
    </row>
    <row r="969">
      <c r="P969" s="59" t="n"/>
      <c r="Q969" s="59" t="n"/>
      <c r="R969" s="59" t="n"/>
    </row>
    <row r="970">
      <c r="P970" s="59" t="n"/>
      <c r="Q970" s="59" t="n"/>
      <c r="R970" s="59" t="n"/>
    </row>
    <row r="971">
      <c r="P971" s="59" t="n"/>
      <c r="Q971" s="59" t="n"/>
      <c r="R971" s="59" t="n"/>
    </row>
    <row r="972">
      <c r="P972" s="59" t="n"/>
      <c r="Q972" s="59" t="n"/>
      <c r="R972" s="59" t="n"/>
    </row>
    <row r="973">
      <c r="P973" s="59" t="n"/>
      <c r="Q973" s="59" t="n"/>
      <c r="R973" s="59" t="n"/>
    </row>
    <row r="974">
      <c r="P974" s="59" t="n"/>
      <c r="Q974" s="59" t="n"/>
      <c r="R974" s="59" t="n"/>
    </row>
    <row r="975">
      <c r="P975" s="59" t="n"/>
      <c r="Q975" s="59" t="n"/>
      <c r="R975" s="59" t="n"/>
    </row>
    <row r="976">
      <c r="P976" s="59" t="n"/>
      <c r="Q976" s="59" t="n"/>
      <c r="R976" s="59" t="n"/>
    </row>
    <row r="977">
      <c r="P977" s="59" t="n"/>
      <c r="Q977" s="59" t="n"/>
      <c r="R977" s="59" t="n"/>
    </row>
    <row r="978">
      <c r="P978" s="59" t="n"/>
      <c r="Q978" s="59" t="n"/>
      <c r="R978" s="59" t="n"/>
    </row>
    <row r="979">
      <c r="P979" s="59" t="n"/>
      <c r="Q979" s="59" t="n"/>
      <c r="R979" s="59" t="n"/>
    </row>
    <row r="980">
      <c r="P980" s="59" t="n"/>
      <c r="Q980" s="59" t="n"/>
      <c r="R980" s="59" t="n"/>
    </row>
    <row r="981">
      <c r="P981" s="59" t="n"/>
      <c r="Q981" s="59" t="n"/>
      <c r="R981" s="59" t="n"/>
    </row>
    <row r="982">
      <c r="P982" s="59" t="n"/>
      <c r="Q982" s="59" t="n"/>
      <c r="R982" s="59" t="n"/>
    </row>
    <row r="983">
      <c r="P983" s="59" t="n"/>
      <c r="Q983" s="59" t="n"/>
      <c r="R983" s="59" t="n"/>
    </row>
    <row r="984">
      <c r="P984" s="59" t="n"/>
      <c r="Q984" s="59" t="n"/>
      <c r="R984" s="59" t="n"/>
    </row>
    <row r="985">
      <c r="P985" s="59" t="n"/>
      <c r="Q985" s="59" t="n"/>
      <c r="R985" s="59" t="n"/>
    </row>
    <row r="986">
      <c r="P986" s="59" t="n"/>
      <c r="Q986" s="59" t="n"/>
      <c r="R986" s="59" t="n"/>
    </row>
    <row r="987">
      <c r="P987" s="59" t="n"/>
      <c r="Q987" s="59" t="n"/>
      <c r="R987" s="59" t="n"/>
    </row>
    <row r="988">
      <c r="P988" s="59" t="n"/>
      <c r="Q988" s="59" t="n"/>
      <c r="R988" s="59" t="n"/>
    </row>
    <row r="989">
      <c r="P989" s="59" t="n"/>
      <c r="Q989" s="59" t="n"/>
      <c r="R989" s="59" t="n"/>
    </row>
    <row r="990">
      <c r="P990" s="59" t="n"/>
      <c r="Q990" s="59" t="n"/>
      <c r="R990" s="59" t="n"/>
    </row>
    <row r="991">
      <c r="P991" s="59" t="n"/>
      <c r="Q991" s="59" t="n"/>
      <c r="R991" s="59" t="n"/>
    </row>
    <row r="992">
      <c r="P992" s="59" t="n"/>
      <c r="Q992" s="59" t="n"/>
      <c r="R992" s="59" t="n"/>
    </row>
    <row r="993">
      <c r="P993" s="59" t="n"/>
      <c r="Q993" s="59" t="n"/>
      <c r="R993" s="59" t="n"/>
    </row>
    <row r="994">
      <c r="P994" s="59" t="n"/>
      <c r="Q994" s="59" t="n"/>
      <c r="R994" s="59" t="n"/>
    </row>
    <row r="995">
      <c r="P995" s="59" t="n"/>
      <c r="Q995" s="59" t="n"/>
      <c r="R995" s="59" t="n"/>
    </row>
    <row r="996">
      <c r="P996" s="59" t="n"/>
      <c r="Q996" s="59" t="n"/>
      <c r="R996" s="59" t="n"/>
    </row>
    <row r="997">
      <c r="P997" s="59" t="n"/>
      <c r="Q997" s="59" t="n"/>
      <c r="R997" s="59" t="n"/>
    </row>
    <row r="998">
      <c r="P998" s="59" t="n"/>
      <c r="Q998" s="59" t="n"/>
      <c r="R998" s="59" t="n"/>
    </row>
    <row r="999">
      <c r="P999" s="59" t="n"/>
      <c r="Q999" s="59" t="n"/>
      <c r="R999" s="59" t="n"/>
    </row>
    <row r="1000">
      <c r="P1000" s="59" t="n"/>
      <c r="Q1000" s="59" t="n"/>
      <c r="R1000" s="59" t="n"/>
    </row>
    <row r="1001">
      <c r="P1001" s="59" t="n"/>
      <c r="Q1001" s="59" t="n"/>
      <c r="R1001" s="59" t="n"/>
    </row>
    <row r="1002">
      <c r="P1002" s="59" t="n"/>
      <c r="Q1002" s="59" t="n"/>
      <c r="R1002" s="59" t="n"/>
    </row>
    <row r="1003">
      <c r="P1003" s="59" t="n"/>
      <c r="Q1003" s="59" t="n"/>
      <c r="R1003" s="59" t="n"/>
    </row>
    <row r="1004">
      <c r="P1004" s="59" t="n"/>
      <c r="Q1004" s="59" t="n"/>
      <c r="R1004" s="59" t="n"/>
    </row>
    <row r="1005">
      <c r="P1005" s="59" t="n"/>
      <c r="Q1005" s="59" t="n"/>
      <c r="R1005" s="59" t="n"/>
    </row>
    <row r="1006">
      <c r="P1006" s="59" t="n"/>
      <c r="Q1006" s="59" t="n"/>
      <c r="R1006" s="59" t="n"/>
    </row>
    <row r="1007">
      <c r="P1007" s="59" t="n"/>
      <c r="Q1007" s="59" t="n"/>
      <c r="R1007" s="59" t="n"/>
    </row>
    <row r="1008">
      <c r="P1008" s="59" t="n"/>
      <c r="Q1008" s="59" t="n"/>
      <c r="R1008" s="59" t="n"/>
    </row>
    <row r="1009">
      <c r="P1009" s="59" t="n"/>
      <c r="Q1009" s="59" t="n"/>
      <c r="R1009" s="59" t="n"/>
    </row>
    <row r="1010">
      <c r="P1010" s="59" t="n"/>
      <c r="Q1010" s="59" t="n"/>
      <c r="R1010" s="59" t="n"/>
    </row>
    <row r="1011">
      <c r="P1011" s="59" t="n"/>
      <c r="Q1011" s="59" t="n"/>
      <c r="R1011" s="59" t="n"/>
    </row>
    <row r="1012">
      <c r="P1012" s="59" t="n"/>
      <c r="Q1012" s="59" t="n"/>
      <c r="R1012" s="59" t="n"/>
    </row>
    <row r="1013">
      <c r="P1013" s="59" t="n"/>
      <c r="Q1013" s="59" t="n"/>
      <c r="R1013" s="59" t="n"/>
    </row>
    <row r="1014">
      <c r="P1014" s="59" t="n"/>
      <c r="Q1014" s="59" t="n"/>
      <c r="R1014" s="59" t="n"/>
    </row>
    <row r="1015">
      <c r="P1015" s="59" t="n"/>
      <c r="Q1015" s="59" t="n"/>
      <c r="R1015" s="59" t="n"/>
    </row>
    <row r="1016">
      <c r="P1016" s="59" t="n"/>
      <c r="Q1016" s="59" t="n"/>
      <c r="R1016" s="59" t="n"/>
    </row>
    <row r="1017">
      <c r="P1017" s="59" t="n"/>
      <c r="Q1017" s="59" t="n"/>
      <c r="R1017" s="59" t="n"/>
    </row>
    <row r="1018">
      <c r="P1018" s="59" t="n"/>
      <c r="Q1018" s="59" t="n"/>
      <c r="R1018" s="59" t="n"/>
    </row>
    <row r="1019">
      <c r="P1019" s="59" t="n"/>
      <c r="Q1019" s="59" t="n"/>
      <c r="R1019" s="59" t="n"/>
    </row>
    <row r="1020">
      <c r="P1020" s="59" t="n"/>
      <c r="Q1020" s="59" t="n"/>
      <c r="R1020" s="59" t="n"/>
    </row>
    <row r="1021">
      <c r="P1021" s="59" t="n"/>
      <c r="Q1021" s="59" t="n"/>
      <c r="R1021" s="59" t="n"/>
    </row>
    <row r="1022">
      <c r="P1022" s="59" t="n"/>
      <c r="Q1022" s="59" t="n"/>
      <c r="R1022" s="59" t="n"/>
    </row>
    <row r="1023">
      <c r="P1023" s="59" t="n"/>
      <c r="Q1023" s="59" t="n"/>
      <c r="R1023" s="59" t="n"/>
    </row>
    <row r="1024">
      <c r="P1024" s="59" t="n"/>
      <c r="Q1024" s="59" t="n"/>
      <c r="R1024" s="59" t="n"/>
    </row>
    <row r="1025">
      <c r="P1025" s="59" t="n"/>
      <c r="Q1025" s="59" t="n"/>
      <c r="R1025" s="59" t="n"/>
    </row>
    <row r="1026">
      <c r="P1026" s="59" t="n"/>
      <c r="Q1026" s="59" t="n"/>
      <c r="R1026" s="59" t="n"/>
    </row>
    <row r="1027">
      <c r="P1027" s="59" t="n"/>
      <c r="Q1027" s="59" t="n"/>
      <c r="R1027" s="59" t="n"/>
    </row>
    <row r="1028">
      <c r="P1028" s="59" t="n"/>
      <c r="Q1028" s="59" t="n"/>
      <c r="R1028" s="59" t="n"/>
    </row>
    <row r="1029">
      <c r="P1029" s="59" t="n"/>
      <c r="Q1029" s="59" t="n"/>
      <c r="R1029" s="59" t="n"/>
    </row>
    <row r="1030">
      <c r="P1030" s="59" t="n"/>
      <c r="Q1030" s="59" t="n"/>
      <c r="R1030" s="59" t="n"/>
    </row>
    <row r="1031">
      <c r="P1031" s="59" t="n"/>
      <c r="Q1031" s="59" t="n"/>
      <c r="R1031" s="59" t="n"/>
    </row>
    <row r="1032">
      <c r="P1032" s="59" t="n"/>
      <c r="Q1032" s="59" t="n"/>
      <c r="R1032" s="59" t="n"/>
    </row>
    <row r="1033">
      <c r="P1033" s="59" t="n"/>
      <c r="Q1033" s="59" t="n"/>
      <c r="R1033" s="59" t="n"/>
    </row>
    <row r="1034">
      <c r="P1034" s="59" t="n"/>
      <c r="Q1034" s="59" t="n"/>
      <c r="R1034" s="59" t="n"/>
    </row>
    <row r="1035">
      <c r="P1035" s="59" t="n"/>
      <c r="Q1035" s="59" t="n"/>
      <c r="R1035" s="59" t="n"/>
    </row>
    <row r="1036">
      <c r="P1036" s="59" t="n"/>
      <c r="Q1036" s="59" t="n"/>
      <c r="R1036" s="59" t="n"/>
    </row>
    <row r="1037">
      <c r="P1037" s="59" t="n"/>
      <c r="Q1037" s="59" t="n"/>
      <c r="R1037" s="59" t="n"/>
    </row>
    <row r="1038">
      <c r="P1038" s="59" t="n"/>
      <c r="Q1038" s="59" t="n"/>
      <c r="R1038" s="59" t="n"/>
    </row>
    <row r="1039">
      <c r="P1039" s="59" t="n"/>
      <c r="Q1039" s="59" t="n"/>
      <c r="R1039" s="59" t="n"/>
    </row>
    <row r="1040">
      <c r="P1040" s="59" t="n"/>
      <c r="Q1040" s="59" t="n"/>
      <c r="R1040" s="59" t="n"/>
    </row>
    <row r="1041">
      <c r="P1041" s="59" t="n"/>
      <c r="Q1041" s="59" t="n"/>
      <c r="R1041" s="59" t="n"/>
    </row>
    <row r="1042">
      <c r="P1042" s="59" t="n"/>
      <c r="Q1042" s="59" t="n"/>
      <c r="R1042" s="59" t="n"/>
    </row>
    <row r="1043">
      <c r="P1043" s="59" t="n"/>
      <c r="Q1043" s="59" t="n"/>
      <c r="R1043" s="59" t="n"/>
    </row>
    <row r="1044">
      <c r="P1044" s="59" t="n"/>
      <c r="Q1044" s="59" t="n"/>
      <c r="R1044" s="59" t="n"/>
    </row>
    <row r="1045">
      <c r="P1045" s="59" t="n"/>
      <c r="Q1045" s="59" t="n"/>
      <c r="R1045" s="59" t="n"/>
    </row>
    <row r="1046">
      <c r="P1046" s="59" t="n"/>
      <c r="Q1046" s="59" t="n"/>
      <c r="R1046" s="59" t="n"/>
    </row>
    <row r="1047">
      <c r="P1047" s="59" t="n"/>
      <c r="Q1047" s="59" t="n"/>
      <c r="R1047" s="59" t="n"/>
    </row>
    <row r="1048">
      <c r="P1048" s="59" t="n"/>
      <c r="Q1048" s="59" t="n"/>
      <c r="R1048" s="59" t="n"/>
    </row>
    <row r="1049">
      <c r="P1049" s="59" t="n"/>
      <c r="Q1049" s="59" t="n"/>
      <c r="R1049" s="59" t="n"/>
    </row>
    <row r="1050">
      <c r="P1050" s="59" t="n"/>
      <c r="Q1050" s="59" t="n"/>
      <c r="R1050" s="59" t="n"/>
    </row>
    <row r="1051">
      <c r="P1051" s="59" t="n"/>
      <c r="Q1051" s="59" t="n"/>
      <c r="R1051" s="59" t="n"/>
    </row>
    <row r="1052">
      <c r="P1052" s="59" t="n"/>
      <c r="Q1052" s="59" t="n"/>
      <c r="R1052" s="59" t="n"/>
    </row>
    <row r="1053">
      <c r="P1053" s="59" t="n"/>
      <c r="Q1053" s="59" t="n"/>
      <c r="R1053" s="59" t="n"/>
    </row>
    <row r="1054">
      <c r="P1054" s="59" t="n"/>
      <c r="Q1054" s="59" t="n"/>
      <c r="R1054" s="59" t="n"/>
    </row>
    <row r="1055">
      <c r="P1055" s="59" t="n"/>
      <c r="Q1055" s="59" t="n"/>
      <c r="R1055" s="59" t="n"/>
    </row>
    <row r="1056">
      <c r="P1056" s="59" t="n"/>
      <c r="Q1056" s="59" t="n"/>
      <c r="R1056" s="59" t="n"/>
    </row>
    <row r="1057">
      <c r="P1057" s="59" t="n"/>
      <c r="Q1057" s="59" t="n"/>
      <c r="R1057" s="59" t="n"/>
    </row>
    <row r="1058">
      <c r="P1058" s="59" t="n"/>
      <c r="Q1058" s="59" t="n"/>
      <c r="R1058" s="59" t="n"/>
    </row>
    <row r="1059">
      <c r="P1059" s="59" t="n"/>
      <c r="Q1059" s="59" t="n"/>
      <c r="R1059" s="59" t="n"/>
    </row>
    <row r="1060">
      <c r="P1060" s="59" t="n"/>
      <c r="Q1060" s="59" t="n"/>
      <c r="R1060" s="59" t="n"/>
    </row>
    <row r="1061">
      <c r="P1061" s="59" t="n"/>
      <c r="Q1061" s="59" t="n"/>
      <c r="R1061" s="59" t="n"/>
    </row>
    <row r="1062">
      <c r="P1062" s="59" t="n"/>
      <c r="Q1062" s="59" t="n"/>
      <c r="R1062" s="59" t="n"/>
    </row>
    <row r="1063">
      <c r="P1063" s="59" t="n"/>
      <c r="Q1063" s="59" t="n"/>
      <c r="R1063" s="59" t="n"/>
    </row>
    <row r="1064">
      <c r="P1064" s="59" t="n"/>
      <c r="Q1064" s="59" t="n"/>
      <c r="R1064" s="59" t="n"/>
    </row>
    <row r="1065">
      <c r="P1065" s="59" t="n"/>
      <c r="Q1065" s="59" t="n"/>
      <c r="R1065" s="59" t="n"/>
    </row>
    <row r="1066">
      <c r="P1066" s="59" t="n"/>
      <c r="Q1066" s="59" t="n"/>
      <c r="R1066" s="59" t="n"/>
    </row>
    <row r="1067">
      <c r="P1067" s="59" t="n"/>
      <c r="Q1067" s="59" t="n"/>
      <c r="R1067" s="59" t="n"/>
    </row>
    <row r="1068">
      <c r="P1068" s="59" t="n"/>
      <c r="Q1068" s="59" t="n"/>
      <c r="R1068" s="59" t="n"/>
    </row>
    <row r="1069">
      <c r="P1069" s="59" t="n"/>
      <c r="Q1069" s="59" t="n"/>
      <c r="R1069" s="59" t="n"/>
    </row>
    <row r="1070">
      <c r="P1070" s="59" t="n"/>
      <c r="Q1070" s="59" t="n"/>
      <c r="R1070" s="59" t="n"/>
    </row>
    <row r="1071">
      <c r="P1071" s="59" t="n"/>
      <c r="Q1071" s="59" t="n"/>
      <c r="R1071" s="59" t="n"/>
    </row>
    <row r="1072">
      <c r="P1072" s="59" t="n"/>
      <c r="Q1072" s="59" t="n"/>
      <c r="R1072" s="59" t="n"/>
    </row>
    <row r="1073">
      <c r="P1073" s="59" t="n"/>
      <c r="Q1073" s="59" t="n"/>
      <c r="R1073" s="59" t="n"/>
    </row>
    <row r="1074">
      <c r="P1074" s="59" t="n"/>
      <c r="Q1074" s="59" t="n"/>
      <c r="R1074" s="59" t="n"/>
    </row>
    <row r="1075">
      <c r="P1075" s="59" t="n"/>
      <c r="Q1075" s="59" t="n"/>
      <c r="R1075" s="59" t="n"/>
    </row>
    <row r="1076">
      <c r="P1076" s="59" t="n"/>
      <c r="Q1076" s="59" t="n"/>
      <c r="R1076" s="59" t="n"/>
    </row>
    <row r="1077">
      <c r="P1077" s="59" t="n"/>
      <c r="Q1077" s="59" t="n"/>
      <c r="R1077" s="59" t="n"/>
    </row>
    <row r="1078">
      <c r="P1078" s="59" t="n"/>
      <c r="Q1078" s="59" t="n"/>
      <c r="R1078" s="59" t="n"/>
    </row>
    <row r="1079">
      <c r="P1079" s="59" t="n"/>
      <c r="Q1079" s="59" t="n"/>
      <c r="R1079" s="59" t="n"/>
    </row>
    <row r="1080">
      <c r="P1080" s="59" t="n"/>
      <c r="Q1080" s="59" t="n"/>
      <c r="R1080" s="59" t="n"/>
    </row>
    <row r="1081">
      <c r="P1081" s="59" t="n"/>
      <c r="Q1081" s="59" t="n"/>
      <c r="R1081" s="59" t="n"/>
    </row>
    <row r="1082">
      <c r="P1082" s="59" t="n"/>
      <c r="Q1082" s="59" t="n"/>
      <c r="R1082" s="59" t="n"/>
    </row>
    <row r="1083">
      <c r="P1083" s="59" t="n"/>
      <c r="Q1083" s="59" t="n"/>
      <c r="R1083" s="59" t="n"/>
    </row>
    <row r="1084">
      <c r="P1084" s="59" t="n"/>
      <c r="Q1084" s="59" t="n"/>
      <c r="R1084" s="59" t="n"/>
    </row>
    <row r="1085">
      <c r="P1085" s="59" t="n"/>
      <c r="Q1085" s="59" t="n"/>
      <c r="R1085" s="59" t="n"/>
    </row>
    <row r="1086">
      <c r="P1086" s="59" t="n"/>
      <c r="Q1086" s="59" t="n"/>
      <c r="R1086" s="59" t="n"/>
    </row>
    <row r="1087">
      <c r="P1087" s="59" t="n"/>
      <c r="Q1087" s="59" t="n"/>
      <c r="R1087" s="59" t="n"/>
    </row>
    <row r="1088">
      <c r="P1088" s="59" t="n"/>
      <c r="Q1088" s="59" t="n"/>
      <c r="R1088" s="59" t="n"/>
    </row>
    <row r="1089">
      <c r="P1089" s="59" t="n"/>
      <c r="Q1089" s="59" t="n"/>
      <c r="R1089" s="59" t="n"/>
    </row>
    <row r="1090">
      <c r="P1090" s="59" t="n"/>
      <c r="Q1090" s="59" t="n"/>
      <c r="R1090" s="59" t="n"/>
    </row>
    <row r="1091">
      <c r="P1091" s="59" t="n"/>
      <c r="Q1091" s="59" t="n"/>
      <c r="R1091" s="59" t="n"/>
    </row>
    <row r="1092">
      <c r="P1092" s="59" t="n"/>
      <c r="Q1092" s="59" t="n"/>
      <c r="R1092" s="59" t="n"/>
    </row>
    <row r="1093">
      <c r="P1093" s="59" t="n"/>
      <c r="Q1093" s="59" t="n"/>
      <c r="R1093" s="59" t="n"/>
    </row>
    <row r="1094">
      <c r="P1094" s="59" t="n"/>
      <c r="Q1094" s="59" t="n"/>
      <c r="R1094" s="59" t="n"/>
    </row>
    <row r="1095">
      <c r="P1095" s="59" t="n"/>
      <c r="Q1095" s="59" t="n"/>
      <c r="R1095" s="59" t="n"/>
    </row>
    <row r="1096">
      <c r="P1096" s="59" t="n"/>
      <c r="Q1096" s="59" t="n"/>
      <c r="R1096" s="59" t="n"/>
    </row>
    <row r="1097">
      <c r="P1097" s="59" t="n"/>
      <c r="Q1097" s="59" t="n"/>
      <c r="R1097" s="59" t="n"/>
    </row>
    <row r="1098">
      <c r="P1098" s="59" t="n"/>
      <c r="Q1098" s="59" t="n"/>
      <c r="R1098" s="59" t="n"/>
    </row>
    <row r="1099">
      <c r="P1099" s="59" t="n"/>
      <c r="Q1099" s="59" t="n"/>
      <c r="R1099" s="59" t="n"/>
    </row>
    <row r="1100">
      <c r="P1100" s="59" t="n"/>
      <c r="Q1100" s="59" t="n"/>
      <c r="R1100" s="59" t="n"/>
    </row>
    <row r="1101">
      <c r="P1101" s="59" t="n"/>
      <c r="Q1101" s="59" t="n"/>
      <c r="R1101" s="59" t="n"/>
    </row>
    <row r="1102">
      <c r="P1102" s="59" t="n"/>
      <c r="Q1102" s="59" t="n"/>
      <c r="R1102" s="59" t="n"/>
    </row>
    <row r="1103">
      <c r="P1103" s="59" t="n"/>
      <c r="Q1103" s="59" t="n"/>
      <c r="R1103" s="59" t="n"/>
    </row>
    <row r="1104">
      <c r="P1104" s="59" t="n"/>
      <c r="Q1104" s="59" t="n"/>
      <c r="R1104" s="59" t="n"/>
    </row>
    <row r="1105">
      <c r="P1105" s="59" t="n"/>
      <c r="Q1105" s="59" t="n"/>
      <c r="R1105" s="59" t="n"/>
    </row>
    <row r="1106">
      <c r="P1106" s="59" t="n"/>
      <c r="Q1106" s="59" t="n"/>
      <c r="R1106" s="59" t="n"/>
    </row>
    <row r="1107">
      <c r="P1107" s="59" t="n"/>
      <c r="Q1107" s="59" t="n"/>
      <c r="R1107" s="59" t="n"/>
    </row>
    <row r="1108">
      <c r="P1108" s="59" t="n"/>
      <c r="Q1108" s="59" t="n"/>
      <c r="R1108" s="59" t="n"/>
    </row>
    <row r="1109">
      <c r="P1109" s="59" t="n"/>
      <c r="Q1109" s="59" t="n"/>
      <c r="R1109" s="59" t="n"/>
    </row>
    <row r="1110">
      <c r="P1110" s="59" t="n"/>
      <c r="Q1110" s="59" t="n"/>
      <c r="R1110" s="59" t="n"/>
    </row>
    <row r="1111">
      <c r="P1111" s="59" t="n"/>
      <c r="Q1111" s="59" t="n"/>
      <c r="R1111" s="59" t="n"/>
    </row>
    <row r="1112">
      <c r="P1112" s="59" t="n"/>
      <c r="Q1112" s="59" t="n"/>
      <c r="R1112" s="59" t="n"/>
    </row>
    <row r="1113">
      <c r="P1113" s="59" t="n"/>
      <c r="Q1113" s="59" t="n"/>
      <c r="R1113" s="59" t="n"/>
    </row>
    <row r="1114">
      <c r="P1114" s="59" t="n"/>
      <c r="Q1114" s="59" t="n"/>
      <c r="R1114" s="59" t="n"/>
    </row>
    <row r="1115">
      <c r="P1115" s="59" t="n"/>
      <c r="Q1115" s="59" t="n"/>
      <c r="R1115" s="59" t="n"/>
    </row>
    <row r="1116">
      <c r="P1116" s="59" t="n"/>
      <c r="Q1116" s="59" t="n"/>
      <c r="R1116" s="59" t="n"/>
    </row>
    <row r="1117">
      <c r="P1117" s="59" t="n"/>
      <c r="Q1117" s="59" t="n"/>
      <c r="R1117" s="59" t="n"/>
    </row>
    <row r="1118">
      <c r="P1118" s="59" t="n"/>
      <c r="Q1118" s="59" t="n"/>
      <c r="R1118" s="59" t="n"/>
    </row>
    <row r="1119">
      <c r="P1119" s="59" t="n"/>
      <c r="Q1119" s="59" t="n"/>
      <c r="R1119" s="59" t="n"/>
    </row>
    <row r="1120">
      <c r="P1120" s="59" t="n"/>
      <c r="Q1120" s="59" t="n"/>
      <c r="R1120" s="59" t="n"/>
    </row>
    <row r="1121">
      <c r="P1121" s="59" t="n"/>
      <c r="Q1121" s="59" t="n"/>
      <c r="R1121" s="59" t="n"/>
    </row>
    <row r="1122">
      <c r="P1122" s="59" t="n"/>
      <c r="Q1122" s="59" t="n"/>
      <c r="R1122" s="59" t="n"/>
    </row>
    <row r="1123">
      <c r="P1123" s="59" t="n"/>
      <c r="Q1123" s="59" t="n"/>
      <c r="R1123" s="59" t="n"/>
    </row>
    <row r="1124">
      <c r="P1124" s="59" t="n"/>
      <c r="Q1124" s="59" t="n"/>
      <c r="R1124" s="59" t="n"/>
    </row>
    <row r="1125">
      <c r="P1125" s="59" t="n"/>
      <c r="Q1125" s="59" t="n"/>
      <c r="R1125" s="59" t="n"/>
    </row>
    <row r="1126">
      <c r="P1126" s="59" t="n"/>
      <c r="Q1126" s="59" t="n"/>
      <c r="R1126" s="59" t="n"/>
    </row>
    <row r="1127">
      <c r="P1127" s="59" t="n"/>
      <c r="Q1127" s="59" t="n"/>
      <c r="R1127" s="59" t="n"/>
    </row>
    <row r="1128">
      <c r="P1128" s="59" t="n"/>
      <c r="Q1128" s="59" t="n"/>
      <c r="R1128" s="59" t="n"/>
    </row>
    <row r="1129">
      <c r="P1129" s="59" t="n"/>
      <c r="Q1129" s="59" t="n"/>
      <c r="R1129" s="59" t="n"/>
    </row>
    <row r="1130">
      <c r="P1130" s="59" t="n"/>
      <c r="Q1130" s="59" t="n"/>
      <c r="R1130" s="59" t="n"/>
    </row>
    <row r="1131">
      <c r="P1131" s="59" t="n"/>
      <c r="Q1131" s="59" t="n"/>
      <c r="R1131" s="59" t="n"/>
    </row>
    <row r="1132">
      <c r="P1132" s="59" t="n"/>
      <c r="Q1132" s="59" t="n"/>
      <c r="R1132" s="59" t="n"/>
    </row>
    <row r="1133">
      <c r="P1133" s="59" t="n"/>
      <c r="Q1133" s="59" t="n"/>
      <c r="R1133" s="59" t="n"/>
    </row>
    <row r="1134">
      <c r="P1134" s="59" t="n"/>
      <c r="Q1134" s="59" t="n"/>
      <c r="R1134" s="59" t="n"/>
    </row>
    <row r="1135">
      <c r="P1135" s="59" t="n"/>
      <c r="Q1135" s="59" t="n"/>
      <c r="R1135" s="59" t="n"/>
    </row>
    <row r="1136">
      <c r="P1136" s="59" t="n"/>
      <c r="Q1136" s="59" t="n"/>
      <c r="R1136" s="59" t="n"/>
    </row>
    <row r="1137">
      <c r="P1137" s="59" t="n"/>
      <c r="Q1137" s="59" t="n"/>
      <c r="R1137" s="59" t="n"/>
    </row>
    <row r="1138">
      <c r="P1138" s="59" t="n"/>
      <c r="Q1138" s="59" t="n"/>
      <c r="R1138" s="59" t="n"/>
    </row>
    <row r="1139">
      <c r="P1139" s="59" t="n"/>
      <c r="Q1139" s="59" t="n"/>
      <c r="R1139" s="59" t="n"/>
    </row>
    <row r="1140">
      <c r="P1140" s="59" t="n"/>
      <c r="Q1140" s="59" t="n"/>
      <c r="R1140" s="59" t="n"/>
    </row>
    <row r="1141">
      <c r="P1141" s="59" t="n"/>
      <c r="Q1141" s="59" t="n"/>
      <c r="R1141" s="59" t="n"/>
    </row>
    <row r="1142">
      <c r="P1142" s="59" t="n"/>
      <c r="Q1142" s="59" t="n"/>
      <c r="R1142" s="59" t="n"/>
    </row>
    <row r="1143">
      <c r="P1143" s="59" t="n"/>
      <c r="Q1143" s="59" t="n"/>
      <c r="R1143" s="59" t="n"/>
    </row>
    <row r="1144">
      <c r="P1144" s="59" t="n"/>
      <c r="Q1144" s="59" t="n"/>
      <c r="R1144" s="59" t="n"/>
    </row>
    <row r="1145">
      <c r="P1145" s="59" t="n"/>
      <c r="Q1145" s="59" t="n"/>
      <c r="R1145" s="59" t="n"/>
    </row>
    <row r="1146">
      <c r="P1146" s="59" t="n"/>
      <c r="Q1146" s="59" t="n"/>
      <c r="R1146" s="59" t="n"/>
    </row>
    <row r="1147">
      <c r="P1147" s="59" t="n"/>
      <c r="Q1147" s="59" t="n"/>
      <c r="R1147" s="59" t="n"/>
    </row>
    <row r="1148">
      <c r="P1148" s="59" t="n"/>
      <c r="Q1148" s="59" t="n"/>
      <c r="R1148" s="59" t="n"/>
    </row>
    <row r="1149">
      <c r="P1149" s="59" t="n"/>
      <c r="Q1149" s="59" t="n"/>
      <c r="R1149" s="59" t="n"/>
    </row>
    <row r="1150">
      <c r="P1150" s="59" t="n"/>
      <c r="Q1150" s="59" t="n"/>
      <c r="R1150" s="59" t="n"/>
    </row>
    <row r="1151">
      <c r="P1151" s="59" t="n"/>
      <c r="Q1151" s="59" t="n"/>
      <c r="R1151" s="59" t="n"/>
    </row>
    <row r="1152">
      <c r="P1152" s="59" t="n"/>
      <c r="Q1152" s="59" t="n"/>
      <c r="R1152" s="59" t="n"/>
    </row>
    <row r="1153">
      <c r="P1153" s="59" t="n"/>
      <c r="Q1153" s="59" t="n"/>
      <c r="R1153" s="59" t="n"/>
    </row>
    <row r="1154">
      <c r="P1154" s="59" t="n"/>
      <c r="Q1154" s="59" t="n"/>
      <c r="R1154" s="59" t="n"/>
    </row>
    <row r="1155">
      <c r="P1155" s="59" t="n"/>
      <c r="Q1155" s="59" t="n"/>
      <c r="R1155" s="59" t="n"/>
    </row>
    <row r="1156">
      <c r="P1156" s="59" t="n"/>
      <c r="Q1156" s="59" t="n"/>
      <c r="R1156" s="59" t="n"/>
    </row>
    <row r="1157">
      <c r="P1157" s="59" t="n"/>
      <c r="Q1157" s="59" t="n"/>
      <c r="R1157" s="59" t="n"/>
    </row>
    <row r="1158">
      <c r="P1158" s="59" t="n"/>
      <c r="Q1158" s="59" t="n"/>
      <c r="R1158" s="59" t="n"/>
    </row>
    <row r="1159">
      <c r="P1159" s="59" t="n"/>
      <c r="Q1159" s="59" t="n"/>
      <c r="R1159" s="59" t="n"/>
    </row>
    <row r="1160">
      <c r="P1160" s="59" t="n"/>
      <c r="Q1160" s="59" t="n"/>
      <c r="R1160" s="59" t="n"/>
    </row>
    <row r="1161">
      <c r="P1161" s="59" t="n"/>
      <c r="Q1161" s="59" t="n"/>
      <c r="R1161" s="59" t="n"/>
    </row>
    <row r="1162">
      <c r="P1162" s="59" t="n"/>
      <c r="Q1162" s="59" t="n"/>
      <c r="R1162" s="59" t="n"/>
    </row>
    <row r="1163">
      <c r="P1163" s="59" t="n"/>
      <c r="Q1163" s="59" t="n"/>
      <c r="R1163" s="59" t="n"/>
    </row>
    <row r="1164">
      <c r="P1164" s="59" t="n"/>
      <c r="Q1164" s="59" t="n"/>
      <c r="R1164" s="59" t="n"/>
    </row>
    <row r="1165">
      <c r="P1165" s="59" t="n"/>
      <c r="Q1165" s="59" t="n"/>
      <c r="R1165" s="59" t="n"/>
    </row>
    <row r="1166">
      <c r="P1166" s="59" t="n"/>
      <c r="Q1166" s="59" t="n"/>
      <c r="R1166" s="59" t="n"/>
    </row>
    <row r="1167">
      <c r="P1167" s="59" t="n"/>
      <c r="Q1167" s="59" t="n"/>
      <c r="R1167" s="59" t="n"/>
    </row>
    <row r="1168">
      <c r="P1168" s="59" t="n"/>
      <c r="Q1168" s="59" t="n"/>
      <c r="R1168" s="59" t="n"/>
    </row>
    <row r="1169">
      <c r="P1169" s="59" t="n"/>
      <c r="Q1169" s="59" t="n"/>
      <c r="R1169" s="59" t="n"/>
    </row>
    <row r="1170">
      <c r="P1170" s="59" t="n"/>
      <c r="Q1170" s="59" t="n"/>
      <c r="R1170" s="59" t="n"/>
    </row>
    <row r="1171">
      <c r="P1171" s="59" t="n"/>
      <c r="Q1171" s="59" t="n"/>
      <c r="R1171" s="59" t="n"/>
    </row>
    <row r="1172">
      <c r="P1172" s="59" t="n"/>
      <c r="Q1172" s="59" t="n"/>
      <c r="R1172" s="59" t="n"/>
    </row>
    <row r="1173">
      <c r="P1173" s="59" t="n"/>
      <c r="Q1173" s="59" t="n"/>
      <c r="R1173" s="59" t="n"/>
    </row>
    <row r="1174">
      <c r="P1174" s="59" t="n"/>
      <c r="Q1174" s="59" t="n"/>
      <c r="R1174" s="59" t="n"/>
    </row>
    <row r="1175">
      <c r="P1175" s="59" t="n"/>
      <c r="Q1175" s="59" t="n"/>
      <c r="R1175" s="59" t="n"/>
    </row>
    <row r="1176">
      <c r="P1176" s="59" t="n"/>
      <c r="Q1176" s="59" t="n"/>
      <c r="R1176" s="59" t="n"/>
    </row>
    <row r="1177">
      <c r="P1177" s="59" t="n"/>
      <c r="Q1177" s="59" t="n"/>
      <c r="R1177" s="59" t="n"/>
    </row>
    <row r="1178">
      <c r="P1178" s="59" t="n"/>
      <c r="Q1178" s="59" t="n"/>
      <c r="R1178" s="59" t="n"/>
    </row>
    <row r="1179">
      <c r="P1179" s="59" t="n"/>
      <c r="Q1179" s="59" t="n"/>
      <c r="R1179" s="59" t="n"/>
    </row>
    <row r="1180">
      <c r="P1180" s="59" t="n"/>
      <c r="Q1180" s="59" t="n"/>
      <c r="R1180" s="59" t="n"/>
    </row>
    <row r="1181">
      <c r="P1181" s="59" t="n"/>
      <c r="Q1181" s="59" t="n"/>
      <c r="R1181" s="59" t="n"/>
    </row>
    <row r="1182">
      <c r="P1182" s="59" t="n"/>
      <c r="Q1182" s="59" t="n"/>
      <c r="R1182" s="59" t="n"/>
    </row>
    <row r="1183">
      <c r="P1183" s="59" t="n"/>
      <c r="Q1183" s="59" t="n"/>
      <c r="R1183" s="59" t="n"/>
    </row>
    <row r="1184">
      <c r="P1184" s="59" t="n"/>
      <c r="Q1184" s="59" t="n"/>
      <c r="R1184" s="59" t="n"/>
    </row>
    <row r="1185">
      <c r="P1185" s="59" t="n"/>
      <c r="Q1185" s="59" t="n"/>
      <c r="R1185" s="59" t="n"/>
    </row>
    <row r="1186">
      <c r="P1186" s="59" t="n"/>
      <c r="Q1186" s="59" t="n"/>
      <c r="R1186" s="59" t="n"/>
    </row>
    <row r="1187">
      <c r="P1187" s="59" t="n"/>
      <c r="Q1187" s="59" t="n"/>
      <c r="R1187" s="59" t="n"/>
    </row>
    <row r="1188">
      <c r="P1188" s="59" t="n"/>
      <c r="Q1188" s="59" t="n"/>
      <c r="R1188" s="59" t="n"/>
    </row>
    <row r="1189">
      <c r="P1189" s="59" t="n"/>
      <c r="Q1189" s="59" t="n"/>
      <c r="R1189" s="59" t="n"/>
    </row>
    <row r="1190">
      <c r="P1190" s="59" t="n"/>
      <c r="Q1190" s="59" t="n"/>
      <c r="R1190" s="59" t="n"/>
    </row>
    <row r="1191">
      <c r="P1191" s="59" t="n"/>
      <c r="Q1191" s="59" t="n"/>
      <c r="R1191" s="59" t="n"/>
    </row>
    <row r="1192">
      <c r="P1192" s="59" t="n"/>
      <c r="Q1192" s="59" t="n"/>
      <c r="R1192" s="59" t="n"/>
    </row>
    <row r="1193">
      <c r="P1193" s="59" t="n"/>
      <c r="Q1193" s="59" t="n"/>
      <c r="R1193" s="59" t="n"/>
    </row>
    <row r="1194">
      <c r="P1194" s="59" t="n"/>
      <c r="Q1194" s="59" t="n"/>
      <c r="R1194" s="59" t="n"/>
    </row>
    <row r="1195">
      <c r="P1195" s="59" t="n"/>
      <c r="Q1195" s="59" t="n"/>
      <c r="R1195" s="59" t="n"/>
    </row>
    <row r="1196">
      <c r="P1196" s="59" t="n"/>
      <c r="Q1196" s="59" t="n"/>
      <c r="R1196" s="59" t="n"/>
    </row>
    <row r="1197">
      <c r="P1197" s="59" t="n"/>
      <c r="Q1197" s="59" t="n"/>
      <c r="R1197" s="59" t="n"/>
    </row>
    <row r="1198">
      <c r="P1198" s="59" t="n"/>
      <c r="Q1198" s="59" t="n"/>
      <c r="R1198" s="59" t="n"/>
    </row>
    <row r="1199">
      <c r="P1199" s="59" t="n"/>
      <c r="Q1199" s="59" t="n"/>
      <c r="R1199" s="59" t="n"/>
    </row>
    <row r="1200">
      <c r="P1200" s="59" t="n"/>
      <c r="Q1200" s="59" t="n"/>
      <c r="R1200" s="59" t="n"/>
    </row>
    <row r="1201">
      <c r="P1201" s="59" t="n"/>
      <c r="Q1201" s="59" t="n"/>
      <c r="R1201" s="59" t="n"/>
    </row>
    <row r="1202">
      <c r="P1202" s="59" t="n"/>
      <c r="Q1202" s="59" t="n"/>
      <c r="R1202" s="59" t="n"/>
    </row>
    <row r="1203">
      <c r="P1203" s="59" t="n"/>
      <c r="Q1203" s="59" t="n"/>
      <c r="R1203" s="59" t="n"/>
    </row>
    <row r="1204">
      <c r="P1204" s="59" t="n"/>
      <c r="Q1204" s="59" t="n"/>
      <c r="R1204" s="59" t="n"/>
    </row>
    <row r="1205">
      <c r="P1205" s="59" t="n"/>
      <c r="Q1205" s="59" t="n"/>
      <c r="R1205" s="59" t="n"/>
    </row>
    <row r="1206">
      <c r="P1206" s="59" t="n"/>
      <c r="Q1206" s="59" t="n"/>
      <c r="R1206" s="59" t="n"/>
    </row>
    <row r="1207">
      <c r="P1207" s="59" t="n"/>
      <c r="Q1207" s="59" t="n"/>
      <c r="R1207" s="59" t="n"/>
    </row>
    <row r="1208">
      <c r="P1208" s="59" t="n"/>
      <c r="Q1208" s="59" t="n"/>
      <c r="R1208" s="59" t="n"/>
    </row>
    <row r="1209">
      <c r="P1209" s="59" t="n"/>
      <c r="Q1209" s="59" t="n"/>
      <c r="R1209" s="59" t="n"/>
    </row>
    <row r="1210">
      <c r="P1210" s="59" t="n"/>
      <c r="Q1210" s="59" t="n"/>
      <c r="R1210" s="59" t="n"/>
    </row>
    <row r="1211">
      <c r="P1211" s="59" t="n"/>
      <c r="Q1211" s="59" t="n"/>
      <c r="R1211" s="59" t="n"/>
    </row>
    <row r="1212">
      <c r="P1212" s="59" t="n"/>
      <c r="Q1212" s="59" t="n"/>
      <c r="R1212" s="59" t="n"/>
    </row>
    <row r="1213">
      <c r="P1213" s="59" t="n"/>
      <c r="Q1213" s="59" t="n"/>
      <c r="R1213" s="59" t="n"/>
    </row>
    <row r="1214">
      <c r="P1214" s="59" t="n"/>
      <c r="Q1214" s="59" t="n"/>
      <c r="R1214" s="59" t="n"/>
    </row>
    <row r="1215">
      <c r="P1215" s="59" t="n"/>
      <c r="Q1215" s="59" t="n"/>
      <c r="R1215" s="59" t="n"/>
    </row>
    <row r="1216">
      <c r="P1216" s="59" t="n"/>
      <c r="Q1216" s="59" t="n"/>
      <c r="R1216" s="59" t="n"/>
    </row>
    <row r="1217">
      <c r="P1217" s="59" t="n"/>
      <c r="Q1217" s="59" t="n"/>
      <c r="R1217" s="59" t="n"/>
    </row>
    <row r="1218">
      <c r="P1218" s="59" t="n"/>
      <c r="Q1218" s="59" t="n"/>
      <c r="R1218" s="59" t="n"/>
    </row>
    <row r="1219">
      <c r="P1219" s="59" t="n"/>
      <c r="Q1219" s="59" t="n"/>
      <c r="R1219" s="59" t="n"/>
    </row>
    <row r="1220">
      <c r="P1220" s="59" t="n"/>
      <c r="Q1220" s="59" t="n"/>
      <c r="R1220" s="59" t="n"/>
    </row>
    <row r="1221">
      <c r="P1221" s="59" t="n"/>
      <c r="Q1221" s="59" t="n"/>
      <c r="R1221" s="59" t="n"/>
    </row>
    <row r="1222">
      <c r="P1222" s="59" t="n"/>
      <c r="Q1222" s="59" t="n"/>
      <c r="R1222" s="59" t="n"/>
    </row>
    <row r="1223">
      <c r="P1223" s="59" t="n"/>
      <c r="Q1223" s="59" t="n"/>
      <c r="R1223" s="59" t="n"/>
    </row>
    <row r="1224">
      <c r="P1224" s="59" t="n"/>
      <c r="Q1224" s="59" t="n"/>
      <c r="R1224" s="59" t="n"/>
    </row>
    <row r="1225">
      <c r="P1225" s="59" t="n"/>
      <c r="Q1225" s="59" t="n"/>
      <c r="R1225" s="59" t="n"/>
    </row>
    <row r="1226">
      <c r="P1226" s="59" t="n"/>
      <c r="Q1226" s="59" t="n"/>
      <c r="R1226" s="59" t="n"/>
    </row>
    <row r="1227">
      <c r="P1227" s="59" t="n"/>
      <c r="Q1227" s="59" t="n"/>
      <c r="R1227" s="59" t="n"/>
    </row>
    <row r="1228">
      <c r="P1228" s="59" t="n"/>
      <c r="Q1228" s="59" t="n"/>
      <c r="R1228" s="59" t="n"/>
    </row>
    <row r="1229">
      <c r="P1229" s="59" t="n"/>
      <c r="Q1229" s="59" t="n"/>
      <c r="R1229" s="59" t="n"/>
    </row>
    <row r="1230">
      <c r="P1230" s="59" t="n"/>
      <c r="Q1230" s="59" t="n"/>
      <c r="R1230" s="59" t="n"/>
    </row>
    <row r="1231">
      <c r="P1231" s="59" t="n"/>
      <c r="Q1231" s="59" t="n"/>
      <c r="R1231" s="59" t="n"/>
    </row>
    <row r="1232">
      <c r="P1232" s="59" t="n"/>
      <c r="Q1232" s="59" t="n"/>
      <c r="R1232" s="59" t="n"/>
    </row>
    <row r="1233">
      <c r="P1233" s="59" t="n"/>
      <c r="Q1233" s="59" t="n"/>
      <c r="R1233" s="59" t="n"/>
    </row>
    <row r="1234">
      <c r="P1234" s="59" t="n"/>
      <c r="Q1234" s="59" t="n"/>
      <c r="R1234" s="59" t="n"/>
    </row>
    <row r="1235">
      <c r="P1235" s="59" t="n"/>
      <c r="Q1235" s="59" t="n"/>
      <c r="R1235" s="59" t="n"/>
    </row>
    <row r="1236">
      <c r="P1236" s="59" t="n"/>
      <c r="Q1236" s="59" t="n"/>
      <c r="R1236" s="59" t="n"/>
    </row>
    <row r="1237">
      <c r="P1237" s="59" t="n"/>
      <c r="Q1237" s="59" t="n"/>
      <c r="R1237" s="59" t="n"/>
    </row>
    <row r="1238">
      <c r="P1238" s="59" t="n"/>
      <c r="Q1238" s="59" t="n"/>
      <c r="R1238" s="59" t="n"/>
    </row>
    <row r="1239">
      <c r="P1239" s="59" t="n"/>
      <c r="Q1239" s="59" t="n"/>
      <c r="R1239" s="59" t="n"/>
    </row>
    <row r="1240">
      <c r="P1240" s="59" t="n"/>
      <c r="Q1240" s="59" t="n"/>
      <c r="R1240" s="59" t="n"/>
    </row>
    <row r="1241">
      <c r="P1241" s="59" t="n"/>
      <c r="Q1241" s="59" t="n"/>
      <c r="R1241" s="59" t="n"/>
    </row>
    <row r="1242">
      <c r="P1242" s="59" t="n"/>
      <c r="Q1242" s="59" t="n"/>
      <c r="R1242" s="59" t="n"/>
    </row>
    <row r="1243">
      <c r="P1243" s="59" t="n"/>
      <c r="Q1243" s="59" t="n"/>
      <c r="R1243" s="59" t="n"/>
    </row>
    <row r="1244">
      <c r="P1244" s="59" t="n"/>
      <c r="Q1244" s="59" t="n"/>
      <c r="R1244" s="59" t="n"/>
    </row>
    <row r="1245">
      <c r="P1245" s="59" t="n"/>
      <c r="Q1245" s="59" t="n"/>
      <c r="R1245" s="59" t="n"/>
    </row>
    <row r="1246">
      <c r="P1246" s="59" t="n"/>
      <c r="Q1246" s="59" t="n"/>
      <c r="R1246" s="59" t="n"/>
    </row>
    <row r="1247">
      <c r="P1247" s="59" t="n"/>
      <c r="Q1247" s="59" t="n"/>
      <c r="R1247" s="59" t="n"/>
    </row>
    <row r="1248">
      <c r="P1248" s="59" t="n"/>
      <c r="Q1248" s="59" t="n"/>
      <c r="R1248" s="59" t="n"/>
    </row>
    <row r="1249">
      <c r="P1249" s="59" t="n"/>
      <c r="Q1249" s="59" t="n"/>
      <c r="R1249" s="59" t="n"/>
    </row>
    <row r="1250">
      <c r="P1250" s="59" t="n"/>
      <c r="Q1250" s="59" t="n"/>
      <c r="R1250" s="59" t="n"/>
    </row>
    <row r="1251">
      <c r="P1251" s="59" t="n"/>
      <c r="Q1251" s="59" t="n"/>
      <c r="R1251" s="59" t="n"/>
    </row>
    <row r="1252">
      <c r="P1252" s="59" t="n"/>
      <c r="Q1252" s="59" t="n"/>
      <c r="R1252" s="59" t="n"/>
    </row>
    <row r="1253">
      <c r="P1253" s="59" t="n"/>
      <c r="Q1253" s="59" t="n"/>
      <c r="R1253" s="59" t="n"/>
    </row>
    <row r="1254">
      <c r="P1254" s="59" t="n"/>
      <c r="Q1254" s="59" t="n"/>
      <c r="R1254" s="59" t="n"/>
    </row>
    <row r="1255">
      <c r="P1255" s="59" t="n"/>
      <c r="Q1255" s="59" t="n"/>
      <c r="R1255" s="59" t="n"/>
    </row>
    <row r="1256">
      <c r="P1256" s="59" t="n"/>
      <c r="Q1256" s="59" t="n"/>
      <c r="R1256" s="59" t="n"/>
    </row>
    <row r="1257">
      <c r="P1257" s="59" t="n"/>
      <c r="Q1257" s="59" t="n"/>
      <c r="R1257" s="59" t="n"/>
    </row>
    <row r="1258">
      <c r="P1258" s="59" t="n"/>
      <c r="Q1258" s="59" t="n"/>
      <c r="R1258" s="59" t="n"/>
    </row>
    <row r="1259">
      <c r="P1259" s="59" t="n"/>
      <c r="Q1259" s="59" t="n"/>
      <c r="R1259" s="59" t="n"/>
    </row>
    <row r="1260">
      <c r="P1260" s="59" t="n"/>
      <c r="Q1260" s="59" t="n"/>
      <c r="R1260" s="59" t="n"/>
    </row>
    <row r="1261">
      <c r="P1261" s="59" t="n"/>
      <c r="Q1261" s="59" t="n"/>
      <c r="R1261" s="59" t="n"/>
    </row>
    <row r="1262">
      <c r="P1262" s="59" t="n"/>
      <c r="Q1262" s="59" t="n"/>
      <c r="R1262" s="59" t="n"/>
    </row>
    <row r="1263">
      <c r="P1263" s="59" t="n"/>
      <c r="Q1263" s="59" t="n"/>
      <c r="R1263" s="59" t="n"/>
    </row>
    <row r="1264">
      <c r="P1264" s="59" t="n"/>
      <c r="Q1264" s="59" t="n"/>
      <c r="R1264" s="59" t="n"/>
    </row>
    <row r="1265">
      <c r="P1265" s="59" t="n"/>
      <c r="Q1265" s="59" t="n"/>
      <c r="R1265" s="59" t="n"/>
    </row>
    <row r="1266">
      <c r="P1266" s="59" t="n"/>
      <c r="Q1266" s="59" t="n"/>
      <c r="R1266" s="59" t="n"/>
    </row>
    <row r="1267">
      <c r="P1267" s="59" t="n"/>
      <c r="Q1267" s="59" t="n"/>
      <c r="R1267" s="59" t="n"/>
    </row>
    <row r="1268">
      <c r="P1268" s="59" t="n"/>
      <c r="Q1268" s="59" t="n"/>
      <c r="R1268" s="59" t="n"/>
    </row>
    <row r="1269">
      <c r="P1269" s="59" t="n"/>
      <c r="Q1269" s="59" t="n"/>
      <c r="R1269" s="59" t="n"/>
    </row>
    <row r="1270">
      <c r="P1270" s="59" t="n"/>
      <c r="Q1270" s="59" t="n"/>
      <c r="R1270" s="59" t="n"/>
    </row>
    <row r="1271">
      <c r="P1271" s="59" t="n"/>
      <c r="Q1271" s="59" t="n"/>
      <c r="R1271" s="59" t="n"/>
    </row>
    <row r="1272">
      <c r="P1272" s="59" t="n"/>
      <c r="Q1272" s="59" t="n"/>
      <c r="R1272" s="59" t="n"/>
    </row>
    <row r="1273">
      <c r="P1273" s="59" t="n"/>
      <c r="Q1273" s="59" t="n"/>
      <c r="R1273" s="59" t="n"/>
    </row>
    <row r="1274">
      <c r="P1274" s="59" t="n"/>
      <c r="Q1274" s="59" t="n"/>
      <c r="R1274" s="59" t="n"/>
    </row>
    <row r="1275">
      <c r="P1275" s="59" t="n"/>
      <c r="Q1275" s="59" t="n"/>
      <c r="R1275" s="59" t="n"/>
    </row>
    <row r="1276">
      <c r="P1276" s="59" t="n"/>
      <c r="Q1276" s="59" t="n"/>
      <c r="R1276" s="59" t="n"/>
    </row>
    <row r="1277">
      <c r="P1277" s="59" t="n"/>
      <c r="Q1277" s="59" t="n"/>
      <c r="R1277" s="59" t="n"/>
    </row>
    <row r="1278">
      <c r="P1278" s="59" t="n"/>
      <c r="Q1278" s="59" t="n"/>
      <c r="R1278" s="59" t="n"/>
    </row>
    <row r="1279">
      <c r="P1279" s="59" t="n"/>
      <c r="Q1279" s="59" t="n"/>
      <c r="R1279" s="59" t="n"/>
    </row>
    <row r="1280">
      <c r="P1280" s="59" t="n"/>
      <c r="Q1280" s="59" t="n"/>
      <c r="R1280" s="59" t="n"/>
    </row>
    <row r="1281">
      <c r="P1281" s="59" t="n"/>
      <c r="Q1281" s="59" t="n"/>
      <c r="R1281" s="59" t="n"/>
    </row>
    <row r="1282">
      <c r="P1282" s="59" t="n"/>
      <c r="Q1282" s="59" t="n"/>
      <c r="R1282" s="59" t="n"/>
    </row>
    <row r="1283">
      <c r="P1283" s="59" t="n"/>
      <c r="Q1283" s="59" t="n"/>
      <c r="R1283" s="59" t="n"/>
    </row>
    <row r="1284">
      <c r="P1284" s="59" t="n"/>
      <c r="Q1284" s="59" t="n"/>
      <c r="R1284" s="59" t="n"/>
    </row>
    <row r="1285">
      <c r="P1285" s="59" t="n"/>
      <c r="Q1285" s="59" t="n"/>
      <c r="R1285" s="59" t="n"/>
    </row>
    <row r="1286">
      <c r="P1286" s="59" t="n"/>
      <c r="Q1286" s="59" t="n"/>
      <c r="R1286" s="59" t="n"/>
    </row>
    <row r="1287">
      <c r="P1287" s="59" t="n"/>
      <c r="Q1287" s="59" t="n"/>
      <c r="R1287" s="59" t="n"/>
    </row>
    <row r="1288">
      <c r="P1288" s="59" t="n"/>
      <c r="Q1288" s="59" t="n"/>
      <c r="R1288" s="59" t="n"/>
    </row>
    <row r="1289">
      <c r="P1289" s="59" t="n"/>
      <c r="Q1289" s="59" t="n"/>
      <c r="R1289" s="59" t="n"/>
    </row>
    <row r="1290">
      <c r="P1290" s="59" t="n"/>
      <c r="Q1290" s="59" t="n"/>
      <c r="R1290" s="59" t="n"/>
    </row>
    <row r="1291">
      <c r="P1291" s="59" t="n"/>
      <c r="Q1291" s="59" t="n"/>
      <c r="R1291" s="59" t="n"/>
    </row>
    <row r="1292">
      <c r="P1292" s="59" t="n"/>
      <c r="Q1292" s="59" t="n"/>
      <c r="R1292" s="59" t="n"/>
    </row>
    <row r="1293">
      <c r="P1293" s="59" t="n"/>
      <c r="Q1293" s="59" t="n"/>
      <c r="R1293" s="59" t="n"/>
    </row>
    <row r="1294">
      <c r="P1294" s="59" t="n"/>
      <c r="Q1294" s="59" t="n"/>
      <c r="R1294" s="59" t="n"/>
    </row>
    <row r="1295">
      <c r="P1295" s="59" t="n"/>
      <c r="Q1295" s="59" t="n"/>
      <c r="R1295" s="59" t="n"/>
    </row>
    <row r="1296">
      <c r="P1296" s="59" t="n"/>
      <c r="Q1296" s="59" t="n"/>
      <c r="R1296" s="59" t="n"/>
    </row>
    <row r="1297">
      <c r="P1297" s="59" t="n"/>
      <c r="Q1297" s="59" t="n"/>
      <c r="R1297" s="59" t="n"/>
    </row>
    <row r="1298">
      <c r="P1298" s="59" t="n"/>
      <c r="Q1298" s="59" t="n"/>
      <c r="R1298" s="59" t="n"/>
    </row>
    <row r="1299">
      <c r="P1299" s="59" t="n"/>
      <c r="Q1299" s="59" t="n"/>
      <c r="R1299" s="59" t="n"/>
    </row>
    <row r="1300">
      <c r="P1300" s="59" t="n"/>
      <c r="Q1300" s="59" t="n"/>
      <c r="R1300" s="59" t="n"/>
    </row>
    <row r="1301">
      <c r="P1301" s="59" t="n"/>
      <c r="Q1301" s="59" t="n"/>
      <c r="R1301" s="59" t="n"/>
    </row>
    <row r="1302">
      <c r="P1302" s="59" t="n"/>
      <c r="Q1302" s="59" t="n"/>
      <c r="R1302" s="59" t="n"/>
    </row>
    <row r="1303">
      <c r="P1303" s="59" t="n"/>
      <c r="Q1303" s="59" t="n"/>
      <c r="R1303" s="59" t="n"/>
    </row>
    <row r="1304">
      <c r="P1304" s="59" t="n"/>
      <c r="Q1304" s="59" t="n"/>
      <c r="R1304" s="59" t="n"/>
    </row>
    <row r="1305">
      <c r="P1305" s="59" t="n"/>
      <c r="Q1305" s="59" t="n"/>
      <c r="R1305" s="59" t="n"/>
    </row>
    <row r="1306">
      <c r="P1306" s="59" t="n"/>
      <c r="Q1306" s="59" t="n"/>
      <c r="R1306" s="59" t="n"/>
    </row>
    <row r="1307">
      <c r="P1307" s="59" t="n"/>
      <c r="Q1307" s="59" t="n"/>
      <c r="R1307" s="59" t="n"/>
    </row>
    <row r="1308">
      <c r="P1308" s="59" t="n"/>
      <c r="Q1308" s="59" t="n"/>
      <c r="R1308" s="59" t="n"/>
    </row>
    <row r="1309">
      <c r="P1309" s="59" t="n"/>
      <c r="Q1309" s="59" t="n"/>
      <c r="R1309" s="59" t="n"/>
    </row>
    <row r="1310">
      <c r="P1310" s="59" t="n"/>
      <c r="Q1310" s="59" t="n"/>
      <c r="R1310" s="59" t="n"/>
    </row>
    <row r="1311">
      <c r="P1311" s="59" t="n"/>
      <c r="Q1311" s="59" t="n"/>
      <c r="R1311" s="59" t="n"/>
    </row>
    <row r="1312">
      <c r="P1312" s="59" t="n"/>
      <c r="Q1312" s="59" t="n"/>
      <c r="R1312" s="59" t="n"/>
    </row>
    <row r="1313">
      <c r="P1313" s="59" t="n"/>
      <c r="Q1313" s="59" t="n"/>
      <c r="R1313" s="59" t="n"/>
    </row>
    <row r="1314">
      <c r="P1314" s="59" t="n"/>
      <c r="Q1314" s="59" t="n"/>
      <c r="R1314" s="59" t="n"/>
    </row>
    <row r="1315">
      <c r="P1315" s="59" t="n"/>
      <c r="Q1315" s="59" t="n"/>
      <c r="R1315" s="59" t="n"/>
    </row>
    <row r="1316">
      <c r="P1316" s="59" t="n"/>
      <c r="Q1316" s="59" t="n"/>
      <c r="R1316" s="59" t="n"/>
    </row>
    <row r="1317">
      <c r="P1317" s="59" t="n"/>
      <c r="Q1317" s="59" t="n"/>
      <c r="R1317" s="59" t="n"/>
    </row>
    <row r="1318">
      <c r="P1318" s="59" t="n"/>
      <c r="Q1318" s="59" t="n"/>
      <c r="R1318" s="59" t="n"/>
    </row>
    <row r="1319">
      <c r="P1319" s="59" t="n"/>
      <c r="Q1319" s="59" t="n"/>
      <c r="R1319" s="59" t="n"/>
    </row>
    <row r="1320">
      <c r="P1320" s="59" t="n"/>
      <c r="Q1320" s="59" t="n"/>
      <c r="R1320" s="59" t="n"/>
    </row>
    <row r="1321">
      <c r="P1321" s="59" t="n"/>
      <c r="Q1321" s="59" t="n"/>
      <c r="R1321" s="59" t="n"/>
    </row>
    <row r="1322">
      <c r="P1322" s="59" t="n"/>
      <c r="Q1322" s="59" t="n"/>
      <c r="R1322" s="59" t="n"/>
    </row>
    <row r="1323">
      <c r="P1323" s="59" t="n"/>
      <c r="Q1323" s="59" t="n"/>
      <c r="R1323" s="59" t="n"/>
    </row>
    <row r="1324">
      <c r="P1324" s="59" t="n"/>
      <c r="Q1324" s="59" t="n"/>
      <c r="R1324" s="59" t="n"/>
    </row>
    <row r="1325">
      <c r="P1325" s="59" t="n"/>
      <c r="Q1325" s="59" t="n"/>
      <c r="R1325" s="59" t="n"/>
    </row>
    <row r="1326">
      <c r="P1326" s="59" t="n"/>
      <c r="Q1326" s="59" t="n"/>
      <c r="R1326" s="59" t="n"/>
    </row>
    <row r="1327">
      <c r="P1327" s="59" t="n"/>
      <c r="Q1327" s="59" t="n"/>
      <c r="R1327" s="59" t="n"/>
    </row>
    <row r="1328">
      <c r="P1328" s="59" t="n"/>
      <c r="Q1328" s="59" t="n"/>
      <c r="R1328" s="59" t="n"/>
    </row>
    <row r="1329">
      <c r="P1329" s="59" t="n"/>
      <c r="Q1329" s="59" t="n"/>
      <c r="R1329" s="59" t="n"/>
    </row>
    <row r="1330">
      <c r="P1330" s="59" t="n"/>
      <c r="Q1330" s="59" t="n"/>
      <c r="R1330" s="59" t="n"/>
    </row>
    <row r="1331">
      <c r="P1331" s="59" t="n"/>
      <c r="Q1331" s="59" t="n"/>
      <c r="R1331" s="59" t="n"/>
    </row>
    <row r="1332">
      <c r="P1332" s="59" t="n"/>
      <c r="Q1332" s="59" t="n"/>
      <c r="R1332" s="59" t="n"/>
    </row>
    <row r="1333">
      <c r="P1333" s="59" t="n"/>
      <c r="Q1333" s="59" t="n"/>
      <c r="R1333" s="59" t="n"/>
    </row>
    <row r="1334">
      <c r="P1334" s="59" t="n"/>
      <c r="Q1334" s="59" t="n"/>
      <c r="R1334" s="59" t="n"/>
    </row>
    <row r="1335">
      <c r="P1335" s="59" t="n"/>
      <c r="Q1335" s="59" t="n"/>
      <c r="R1335" s="59" t="n"/>
    </row>
    <row r="1336">
      <c r="P1336" s="59" t="n"/>
      <c r="Q1336" s="59" t="n"/>
      <c r="R1336" s="59" t="n"/>
    </row>
    <row r="1337">
      <c r="P1337" s="59" t="n"/>
      <c r="Q1337" s="59" t="n"/>
      <c r="R1337" s="59" t="n"/>
    </row>
    <row r="1338">
      <c r="P1338" s="59" t="n"/>
      <c r="Q1338" s="59" t="n"/>
      <c r="R1338" s="59" t="n"/>
    </row>
    <row r="1339">
      <c r="P1339" s="59" t="n"/>
      <c r="Q1339" s="59" t="n"/>
      <c r="R1339" s="59" t="n"/>
    </row>
    <row r="1340">
      <c r="P1340" s="59" t="n"/>
      <c r="Q1340" s="59" t="n"/>
      <c r="R1340" s="59" t="n"/>
    </row>
    <row r="1341">
      <c r="P1341" s="59" t="n"/>
      <c r="Q1341" s="59" t="n"/>
      <c r="R1341" s="59" t="n"/>
    </row>
    <row r="1342">
      <c r="P1342" s="59" t="n"/>
      <c r="Q1342" s="59" t="n"/>
      <c r="R1342" s="59" t="n"/>
    </row>
    <row r="1343">
      <c r="P1343" s="59" t="n"/>
      <c r="Q1343" s="59" t="n"/>
      <c r="R1343" s="59" t="n"/>
    </row>
    <row r="1344">
      <c r="P1344" s="59" t="n"/>
      <c r="Q1344" s="59" t="n"/>
      <c r="R1344" s="59" t="n"/>
    </row>
    <row r="1345">
      <c r="P1345" s="59" t="n"/>
      <c r="Q1345" s="59" t="n"/>
      <c r="R1345" s="59" t="n"/>
    </row>
    <row r="1346">
      <c r="P1346" s="59" t="n"/>
      <c r="Q1346" s="59" t="n"/>
      <c r="R1346" s="59" t="n"/>
    </row>
    <row r="1347">
      <c r="P1347" s="59" t="n"/>
      <c r="Q1347" s="59" t="n"/>
      <c r="R1347" s="59" t="n"/>
    </row>
    <row r="1348">
      <c r="P1348" s="59" t="n"/>
      <c r="Q1348" s="59" t="n"/>
      <c r="R1348" s="59" t="n"/>
    </row>
    <row r="1349">
      <c r="P1349" s="59" t="n"/>
      <c r="Q1349" s="59" t="n"/>
      <c r="R1349" s="59" t="n"/>
    </row>
    <row r="1350">
      <c r="P1350" s="59" t="n"/>
      <c r="Q1350" s="59" t="n"/>
      <c r="R1350" s="59" t="n"/>
    </row>
    <row r="1351">
      <c r="P1351" s="59" t="n"/>
      <c r="Q1351" s="59" t="n"/>
      <c r="R1351" s="59" t="n"/>
    </row>
    <row r="1352">
      <c r="P1352" s="59" t="n"/>
      <c r="Q1352" s="59" t="n"/>
      <c r="R1352" s="59" t="n"/>
    </row>
    <row r="1353">
      <c r="P1353" s="59" t="n"/>
      <c r="Q1353" s="59" t="n"/>
      <c r="R1353" s="59" t="n"/>
    </row>
    <row r="1354">
      <c r="P1354" s="59" t="n"/>
      <c r="Q1354" s="59" t="n"/>
      <c r="R1354" s="59" t="n"/>
    </row>
    <row r="1355">
      <c r="P1355" s="59" t="n"/>
      <c r="Q1355" s="59" t="n"/>
      <c r="R1355" s="59" t="n"/>
    </row>
    <row r="1356">
      <c r="P1356" s="59" t="n"/>
      <c r="Q1356" s="59" t="n"/>
      <c r="R1356" s="59" t="n"/>
    </row>
    <row r="1357">
      <c r="P1357" s="59" t="n"/>
      <c r="Q1357" s="59" t="n"/>
      <c r="R1357" s="59" t="n"/>
    </row>
    <row r="1358">
      <c r="P1358" s="59" t="n"/>
      <c r="Q1358" s="59" t="n"/>
      <c r="R1358" s="59" t="n"/>
    </row>
    <row r="1359">
      <c r="P1359" s="59" t="n"/>
      <c r="Q1359" s="59" t="n"/>
      <c r="R1359" s="59" t="n"/>
    </row>
    <row r="1360">
      <c r="P1360" s="59" t="n"/>
      <c r="Q1360" s="59" t="n"/>
      <c r="R1360" s="59" t="n"/>
    </row>
    <row r="1361">
      <c r="P1361" s="59" t="n"/>
      <c r="Q1361" s="59" t="n"/>
      <c r="R1361" s="59" t="n"/>
    </row>
    <row r="1362">
      <c r="P1362" s="59" t="n"/>
      <c r="Q1362" s="59" t="n"/>
      <c r="R1362" s="59" t="n"/>
    </row>
    <row r="1363">
      <c r="P1363" s="59" t="n"/>
      <c r="Q1363" s="59" t="n"/>
      <c r="R1363" s="59" t="n"/>
    </row>
    <row r="1364">
      <c r="P1364" s="59" t="n"/>
      <c r="Q1364" s="59" t="n"/>
      <c r="R1364" s="59" t="n"/>
    </row>
    <row r="1365">
      <c r="P1365" s="59" t="n"/>
      <c r="Q1365" s="59" t="n"/>
      <c r="R1365" s="59" t="n"/>
    </row>
    <row r="1366">
      <c r="P1366" s="59" t="n"/>
      <c r="Q1366" s="59" t="n"/>
      <c r="R1366" s="59" t="n"/>
    </row>
    <row r="1367">
      <c r="P1367" s="59" t="n"/>
      <c r="Q1367" s="59" t="n"/>
      <c r="R1367" s="59" t="n"/>
    </row>
    <row r="1368">
      <c r="P1368" s="59" t="n"/>
      <c r="Q1368" s="59" t="n"/>
      <c r="R1368" s="59" t="n"/>
    </row>
    <row r="1369">
      <c r="P1369" s="59" t="n"/>
      <c r="Q1369" s="59" t="n"/>
      <c r="R1369" s="59" t="n"/>
    </row>
    <row r="1370">
      <c r="P1370" s="59" t="n"/>
      <c r="Q1370" s="59" t="n"/>
      <c r="R1370" s="59" t="n"/>
    </row>
    <row r="1371">
      <c r="P1371" s="59" t="n"/>
      <c r="Q1371" s="59" t="n"/>
      <c r="R1371" s="59" t="n"/>
    </row>
    <row r="1372">
      <c r="P1372" s="59" t="n"/>
      <c r="Q1372" s="59" t="n"/>
      <c r="R1372" s="59" t="n"/>
    </row>
    <row r="1373">
      <c r="P1373" s="59" t="n"/>
      <c r="Q1373" s="59" t="n"/>
      <c r="R1373" s="59" t="n"/>
    </row>
    <row r="1374">
      <c r="P1374" s="59" t="n"/>
      <c r="Q1374" s="59" t="n"/>
      <c r="R1374" s="59" t="n"/>
    </row>
    <row r="1375">
      <c r="P1375" s="59" t="n"/>
      <c r="Q1375" s="59" t="n"/>
      <c r="R1375" s="59" t="n"/>
    </row>
    <row r="1376">
      <c r="P1376" s="59" t="n"/>
      <c r="Q1376" s="59" t="n"/>
      <c r="R1376" s="59" t="n"/>
    </row>
    <row r="1377">
      <c r="P1377" s="59" t="n"/>
      <c r="Q1377" s="59" t="n"/>
      <c r="R1377" s="59" t="n"/>
    </row>
    <row r="1378">
      <c r="P1378" s="59" t="n"/>
      <c r="Q1378" s="59" t="n"/>
      <c r="R1378" s="59" t="n"/>
    </row>
    <row r="1379">
      <c r="P1379" s="59" t="n"/>
      <c r="Q1379" s="59" t="n"/>
      <c r="R1379" s="59" t="n"/>
    </row>
    <row r="1380">
      <c r="P1380" s="59" t="n"/>
      <c r="Q1380" s="59" t="n"/>
      <c r="R1380" s="59" t="n"/>
    </row>
    <row r="1381">
      <c r="P1381" s="59" t="n"/>
      <c r="Q1381" s="59" t="n"/>
      <c r="R1381" s="59" t="n"/>
    </row>
    <row r="1382">
      <c r="P1382" s="59" t="n"/>
      <c r="Q1382" s="59" t="n"/>
      <c r="R1382" s="59" t="n"/>
    </row>
    <row r="1383">
      <c r="P1383" s="59" t="n"/>
      <c r="Q1383" s="59" t="n"/>
      <c r="R1383" s="59" t="n"/>
    </row>
    <row r="1384">
      <c r="P1384" s="59" t="n"/>
      <c r="Q1384" s="59" t="n"/>
      <c r="R1384" s="59" t="n"/>
    </row>
    <row r="1385">
      <c r="P1385" s="59" t="n"/>
      <c r="Q1385" s="59" t="n"/>
      <c r="R1385" s="59" t="n"/>
    </row>
    <row r="1386">
      <c r="P1386" s="59" t="n"/>
      <c r="Q1386" s="59" t="n"/>
      <c r="R1386" s="59" t="n"/>
    </row>
    <row r="1387">
      <c r="P1387" s="59" t="n"/>
      <c r="Q1387" s="59" t="n"/>
      <c r="R1387" s="59" t="n"/>
    </row>
    <row r="1388">
      <c r="P1388" s="59" t="n"/>
      <c r="Q1388" s="59" t="n"/>
      <c r="R1388" s="59" t="n"/>
    </row>
    <row r="1389">
      <c r="P1389" s="59" t="n"/>
      <c r="Q1389" s="59" t="n"/>
      <c r="R1389" s="59" t="n"/>
    </row>
    <row r="1390">
      <c r="P1390" s="59" t="n"/>
      <c r="Q1390" s="59" t="n"/>
      <c r="R1390" s="59" t="n"/>
    </row>
    <row r="1391">
      <c r="P1391" s="59" t="n"/>
      <c r="Q1391" s="59" t="n"/>
      <c r="R1391" s="59" t="n"/>
    </row>
    <row r="1392">
      <c r="P1392" s="59" t="n"/>
      <c r="Q1392" s="59" t="n"/>
      <c r="R1392" s="59" t="n"/>
    </row>
    <row r="1393">
      <c r="P1393" s="59" t="n"/>
      <c r="Q1393" s="59" t="n"/>
      <c r="R1393" s="59" t="n"/>
    </row>
    <row r="1394">
      <c r="P1394" s="59" t="n"/>
      <c r="Q1394" s="59" t="n"/>
      <c r="R1394" s="59" t="n"/>
    </row>
    <row r="1395">
      <c r="P1395" s="59" t="n"/>
      <c r="Q1395" s="59" t="n"/>
      <c r="R1395" s="59" t="n"/>
    </row>
    <row r="1396">
      <c r="P1396" s="59" t="n"/>
      <c r="Q1396" s="59" t="n"/>
      <c r="R1396" s="59" t="n"/>
    </row>
    <row r="1397">
      <c r="P1397" s="59" t="n"/>
      <c r="Q1397" s="59" t="n"/>
      <c r="R1397" s="59" t="n"/>
    </row>
    <row r="1398">
      <c r="P1398" s="59" t="n"/>
      <c r="Q1398" s="59" t="n"/>
      <c r="R1398" s="59" t="n"/>
    </row>
    <row r="1399">
      <c r="P1399" s="59" t="n"/>
      <c r="Q1399" s="59" t="n"/>
      <c r="R1399" s="59" t="n"/>
    </row>
    <row r="1400">
      <c r="P1400" s="59" t="n"/>
      <c r="Q1400" s="59" t="n"/>
      <c r="R1400" s="59" t="n"/>
    </row>
    <row r="1401">
      <c r="P1401" s="59" t="n"/>
      <c r="Q1401" s="59" t="n"/>
      <c r="R1401" s="59" t="n"/>
    </row>
    <row r="1402">
      <c r="P1402" s="59" t="n"/>
      <c r="Q1402" s="59" t="n"/>
      <c r="R1402" s="59" t="n"/>
    </row>
    <row r="1403">
      <c r="P1403" s="59" t="n"/>
      <c r="Q1403" s="59" t="n"/>
      <c r="R1403" s="59" t="n"/>
    </row>
    <row r="1404">
      <c r="P1404" s="59" t="n"/>
      <c r="Q1404" s="59" t="n"/>
      <c r="R1404" s="59" t="n"/>
    </row>
    <row r="1405">
      <c r="P1405" s="59" t="n"/>
      <c r="Q1405" s="59" t="n"/>
      <c r="R1405" s="59" t="n"/>
    </row>
    <row r="1406">
      <c r="P1406" s="59" t="n"/>
      <c r="Q1406" s="59" t="n"/>
      <c r="R1406" s="59" t="n"/>
    </row>
    <row r="1407">
      <c r="P1407" s="59" t="n"/>
      <c r="Q1407" s="59" t="n"/>
      <c r="R1407" s="59" t="n"/>
    </row>
    <row r="1408">
      <c r="P1408" s="59" t="n"/>
      <c r="Q1408" s="59" t="n"/>
      <c r="R1408" s="59" t="n"/>
    </row>
    <row r="1409">
      <c r="P1409" s="59" t="n"/>
      <c r="Q1409" s="59" t="n"/>
      <c r="R1409" s="59" t="n"/>
    </row>
    <row r="1410">
      <c r="P1410" s="59" t="n"/>
      <c r="Q1410" s="59" t="n"/>
      <c r="R1410" s="59" t="n"/>
    </row>
    <row r="1411">
      <c r="P1411" s="59" t="n"/>
      <c r="Q1411" s="59" t="n"/>
      <c r="R1411" s="59" t="n"/>
    </row>
    <row r="1412">
      <c r="P1412" s="59" t="n"/>
      <c r="Q1412" s="59" t="n"/>
      <c r="R1412" s="59" t="n"/>
    </row>
    <row r="1413">
      <c r="P1413" s="59" t="n"/>
      <c r="Q1413" s="59" t="n"/>
      <c r="R1413" s="59" t="n"/>
    </row>
    <row r="1414">
      <c r="P1414" s="59" t="n"/>
      <c r="Q1414" s="59" t="n"/>
      <c r="R1414" s="59" t="n"/>
    </row>
    <row r="1415">
      <c r="P1415" s="59" t="n"/>
      <c r="Q1415" s="59" t="n"/>
      <c r="R1415" s="59" t="n"/>
    </row>
    <row r="1416">
      <c r="P1416" s="59" t="n"/>
      <c r="Q1416" s="59" t="n"/>
      <c r="R1416" s="59" t="n"/>
    </row>
    <row r="1417">
      <c r="P1417" s="59" t="n"/>
      <c r="Q1417" s="59" t="n"/>
      <c r="R1417" s="59" t="n"/>
    </row>
    <row r="1418">
      <c r="P1418" s="59" t="n"/>
      <c r="Q1418" s="59" t="n"/>
      <c r="R1418" s="59" t="n"/>
    </row>
    <row r="1419">
      <c r="P1419" s="59" t="n"/>
      <c r="Q1419" s="59" t="n"/>
      <c r="R1419" s="59" t="n"/>
    </row>
    <row r="1420">
      <c r="P1420" s="59" t="n"/>
      <c r="Q1420" s="59" t="n"/>
      <c r="R1420" s="59" t="n"/>
    </row>
    <row r="1421">
      <c r="P1421" s="59" t="n"/>
      <c r="Q1421" s="59" t="n"/>
      <c r="R1421" s="59" t="n"/>
    </row>
    <row r="1422">
      <c r="P1422" s="59" t="n"/>
      <c r="Q1422" s="59" t="n"/>
      <c r="R1422" s="59" t="n"/>
    </row>
    <row r="1423">
      <c r="P1423" s="59" t="n"/>
      <c r="Q1423" s="59" t="n"/>
      <c r="R1423" s="59" t="n"/>
    </row>
    <row r="1424">
      <c r="P1424" s="59" t="n"/>
      <c r="Q1424" s="59" t="n"/>
      <c r="R1424" s="59" t="n"/>
    </row>
    <row r="1425">
      <c r="P1425" s="59" t="n"/>
      <c r="Q1425" s="59" t="n"/>
      <c r="R1425" s="59" t="n"/>
    </row>
    <row r="1426">
      <c r="P1426" s="59" t="n"/>
      <c r="Q1426" s="59" t="n"/>
      <c r="R1426" s="59" t="n"/>
    </row>
    <row r="1427">
      <c r="P1427" s="59" t="n"/>
      <c r="Q1427" s="59" t="n"/>
      <c r="R1427" s="59" t="n"/>
    </row>
    <row r="1428">
      <c r="P1428" s="59" t="n"/>
      <c r="Q1428" s="59" t="n"/>
      <c r="R1428" s="59" t="n"/>
    </row>
    <row r="1429">
      <c r="P1429" s="59" t="n"/>
      <c r="Q1429" s="59" t="n"/>
      <c r="R1429" s="59" t="n"/>
    </row>
    <row r="1430">
      <c r="P1430" s="59" t="n"/>
      <c r="Q1430" s="59" t="n"/>
      <c r="R1430" s="59" t="n"/>
    </row>
    <row r="1431">
      <c r="P1431" s="59" t="n"/>
      <c r="Q1431" s="59" t="n"/>
      <c r="R1431" s="59" t="n"/>
    </row>
    <row r="1432">
      <c r="P1432" s="59" t="n"/>
      <c r="Q1432" s="59" t="n"/>
      <c r="R1432" s="59" t="n"/>
    </row>
    <row r="1433">
      <c r="P1433" s="59" t="n"/>
      <c r="Q1433" s="59" t="n"/>
      <c r="R1433" s="59" t="n"/>
    </row>
    <row r="1434">
      <c r="P1434" s="59" t="n"/>
      <c r="Q1434" s="59" t="n"/>
      <c r="R1434" s="59" t="n"/>
    </row>
    <row r="1435">
      <c r="P1435" s="59" t="n"/>
      <c r="Q1435" s="59" t="n"/>
      <c r="R1435" s="59" t="n"/>
    </row>
    <row r="1436">
      <c r="P1436" s="59" t="n"/>
      <c r="Q1436" s="59" t="n"/>
      <c r="R1436" s="59" t="n"/>
    </row>
    <row r="1437">
      <c r="P1437" s="59" t="n"/>
      <c r="Q1437" s="59" t="n"/>
      <c r="R1437" s="59" t="n"/>
    </row>
    <row r="1438">
      <c r="P1438" s="59" t="n"/>
      <c r="Q1438" s="59" t="n"/>
      <c r="R1438" s="59" t="n"/>
    </row>
    <row r="1439">
      <c r="P1439" s="59" t="n"/>
      <c r="Q1439" s="59" t="n"/>
      <c r="R1439" s="59" t="n"/>
    </row>
    <row r="1440">
      <c r="P1440" s="59" t="n"/>
      <c r="Q1440" s="59" t="n"/>
      <c r="R1440" s="59" t="n"/>
    </row>
    <row r="1441">
      <c r="P1441" s="59" t="n"/>
      <c r="Q1441" s="59" t="n"/>
      <c r="R1441" s="59" t="n"/>
    </row>
    <row r="1442">
      <c r="P1442" s="59" t="n"/>
      <c r="Q1442" s="59" t="n"/>
      <c r="R1442" s="59" t="n"/>
    </row>
    <row r="1443">
      <c r="P1443" s="59" t="n"/>
      <c r="Q1443" s="59" t="n"/>
      <c r="R1443" s="59" t="n"/>
    </row>
    <row r="1444">
      <c r="P1444" s="59" t="n"/>
      <c r="Q1444" s="59" t="n"/>
      <c r="R1444" s="59" t="n"/>
    </row>
    <row r="1445">
      <c r="P1445" s="59" t="n"/>
      <c r="Q1445" s="59" t="n"/>
      <c r="R1445" s="59" t="n"/>
    </row>
    <row r="1446">
      <c r="P1446" s="59" t="n"/>
      <c r="Q1446" s="59" t="n"/>
      <c r="R1446" s="59" t="n"/>
    </row>
    <row r="1447">
      <c r="P1447" s="59" t="n"/>
      <c r="Q1447" s="59" t="n"/>
      <c r="R1447" s="59" t="n"/>
    </row>
    <row r="1448">
      <c r="P1448" s="59" t="n"/>
      <c r="Q1448" s="59" t="n"/>
      <c r="R1448" s="59" t="n"/>
    </row>
    <row r="1449">
      <c r="P1449" s="59" t="n"/>
      <c r="Q1449" s="59" t="n"/>
      <c r="R1449" s="59" t="n"/>
    </row>
    <row r="1450">
      <c r="P1450" s="59" t="n"/>
      <c r="Q1450" s="59" t="n"/>
      <c r="R1450" s="59" t="n"/>
    </row>
    <row r="1451">
      <c r="P1451" s="59" t="n"/>
      <c r="Q1451" s="59" t="n"/>
      <c r="R1451" s="59" t="n"/>
    </row>
    <row r="1452">
      <c r="P1452" s="59" t="n"/>
      <c r="Q1452" s="59" t="n"/>
      <c r="R1452" s="59" t="n"/>
    </row>
    <row r="1453">
      <c r="P1453" s="59" t="n"/>
      <c r="Q1453" s="59" t="n"/>
      <c r="R1453" s="59" t="n"/>
    </row>
    <row r="1454">
      <c r="P1454" s="59" t="n"/>
      <c r="Q1454" s="59" t="n"/>
      <c r="R1454" s="59" t="n"/>
    </row>
    <row r="1455">
      <c r="P1455" s="59" t="n"/>
      <c r="Q1455" s="59" t="n"/>
      <c r="R1455" s="59" t="n"/>
    </row>
    <row r="1456">
      <c r="P1456" s="59" t="n"/>
      <c r="Q1456" s="59" t="n"/>
      <c r="R1456" s="59" t="n"/>
    </row>
    <row r="1457">
      <c r="P1457" s="59" t="n"/>
      <c r="Q1457" s="59" t="n"/>
      <c r="R1457" s="59" t="n"/>
    </row>
    <row r="1458">
      <c r="P1458" s="59" t="n"/>
      <c r="Q1458" s="59" t="n"/>
      <c r="R1458" s="59" t="n"/>
    </row>
    <row r="1459">
      <c r="P1459" s="59" t="n"/>
      <c r="Q1459" s="59" t="n"/>
      <c r="R1459" s="59" t="n"/>
    </row>
    <row r="1460">
      <c r="P1460" s="59" t="n"/>
      <c r="Q1460" s="59" t="n"/>
      <c r="R1460" s="59" t="n"/>
    </row>
    <row r="1461">
      <c r="P1461" s="59" t="n"/>
      <c r="Q1461" s="59" t="n"/>
      <c r="R1461" s="59" t="n"/>
    </row>
    <row r="1462">
      <c r="P1462" s="59" t="n"/>
      <c r="Q1462" s="59" t="n"/>
      <c r="R1462" s="59" t="n"/>
    </row>
    <row r="1463">
      <c r="P1463" s="59" t="n"/>
      <c r="Q1463" s="59" t="n"/>
      <c r="R1463" s="59" t="n"/>
    </row>
    <row r="1464">
      <c r="P1464" s="59" t="n"/>
      <c r="Q1464" s="59" t="n"/>
      <c r="R1464" s="59" t="n"/>
    </row>
    <row r="1465">
      <c r="P1465" s="59" t="n"/>
      <c r="Q1465" s="59" t="n"/>
      <c r="R1465" s="59" t="n"/>
    </row>
    <row r="1466">
      <c r="P1466" s="59" t="n"/>
      <c r="Q1466" s="59" t="n"/>
      <c r="R1466" s="59" t="n"/>
    </row>
    <row r="1467">
      <c r="P1467" s="59" t="n"/>
      <c r="Q1467" s="59" t="n"/>
      <c r="R1467" s="59" t="n"/>
    </row>
    <row r="1468">
      <c r="P1468" s="59" t="n"/>
      <c r="Q1468" s="59" t="n"/>
      <c r="R1468" s="59" t="n"/>
    </row>
    <row r="1469">
      <c r="P1469" s="59" t="n"/>
      <c r="Q1469" s="59" t="n"/>
      <c r="R1469" s="59" t="n"/>
    </row>
    <row r="1470">
      <c r="P1470" s="59" t="n"/>
      <c r="Q1470" s="59" t="n"/>
      <c r="R1470" s="59" t="n"/>
    </row>
    <row r="1471">
      <c r="P1471" s="59" t="n"/>
      <c r="Q1471" s="59" t="n"/>
      <c r="R1471" s="59" t="n"/>
    </row>
    <row r="1472">
      <c r="P1472" s="59" t="n"/>
      <c r="Q1472" s="59" t="n"/>
      <c r="R1472" s="59" t="n"/>
    </row>
    <row r="1473">
      <c r="P1473" s="59" t="n"/>
      <c r="Q1473" s="59" t="n"/>
      <c r="R1473" s="59" t="n"/>
    </row>
    <row r="1474">
      <c r="P1474" s="59" t="n"/>
      <c r="Q1474" s="59" t="n"/>
      <c r="R1474" s="59" t="n"/>
    </row>
    <row r="1475">
      <c r="P1475" s="59" t="n"/>
      <c r="Q1475" s="59" t="n"/>
      <c r="R1475" s="59" t="n"/>
    </row>
    <row r="1476">
      <c r="P1476" s="59" t="n"/>
      <c r="Q1476" s="59" t="n"/>
      <c r="R1476" s="59" t="n"/>
    </row>
    <row r="1477">
      <c r="P1477" s="59" t="n"/>
      <c r="Q1477" s="59" t="n"/>
      <c r="R1477" s="59" t="n"/>
    </row>
    <row r="1478">
      <c r="P1478" s="59" t="n"/>
      <c r="Q1478" s="59" t="n"/>
      <c r="R1478" s="59" t="n"/>
    </row>
    <row r="1479">
      <c r="P1479" s="59" t="n"/>
      <c r="Q1479" s="59" t="n"/>
      <c r="R1479" s="59" t="n"/>
    </row>
    <row r="1480">
      <c r="P1480" s="59" t="n"/>
      <c r="Q1480" s="59" t="n"/>
      <c r="R1480" s="59" t="n"/>
    </row>
    <row r="1481">
      <c r="P1481" s="59" t="n"/>
      <c r="Q1481" s="59" t="n"/>
      <c r="R1481" s="59" t="n"/>
    </row>
    <row r="1482">
      <c r="P1482" s="59" t="n"/>
      <c r="Q1482" s="59" t="n"/>
      <c r="R1482" s="59" t="n"/>
    </row>
    <row r="1483">
      <c r="P1483" s="59" t="n"/>
      <c r="Q1483" s="59" t="n"/>
      <c r="R1483" s="59" t="n"/>
    </row>
    <row r="1484">
      <c r="P1484" s="59" t="n"/>
      <c r="Q1484" s="59" t="n"/>
      <c r="R1484" s="59" t="n"/>
    </row>
    <row r="1485">
      <c r="P1485" s="59" t="n"/>
      <c r="Q1485" s="59" t="n"/>
      <c r="R1485" s="59" t="n"/>
    </row>
    <row r="1486">
      <c r="P1486" s="59" t="n"/>
      <c r="Q1486" s="59" t="n"/>
      <c r="R1486" s="59" t="n"/>
    </row>
    <row r="1487">
      <c r="P1487" s="59" t="n"/>
      <c r="Q1487" s="59" t="n"/>
      <c r="R1487" s="59" t="n"/>
    </row>
    <row r="1488">
      <c r="P1488" s="59" t="n"/>
      <c r="Q1488" s="59" t="n"/>
      <c r="R1488" s="59" t="n"/>
    </row>
    <row r="1489">
      <c r="P1489" s="59" t="n"/>
      <c r="Q1489" s="59" t="n"/>
      <c r="R1489" s="59" t="n"/>
    </row>
    <row r="1490">
      <c r="P1490" s="59" t="n"/>
      <c r="Q1490" s="59" t="n"/>
      <c r="R1490" s="59" t="n"/>
    </row>
    <row r="1491">
      <c r="P1491" s="59" t="n"/>
      <c r="Q1491" s="59" t="n"/>
      <c r="R1491" s="59" t="n"/>
    </row>
    <row r="1492">
      <c r="P1492" s="59" t="n"/>
      <c r="Q1492" s="59" t="n"/>
      <c r="R1492" s="59" t="n"/>
    </row>
    <row r="1493">
      <c r="P1493" s="59" t="n"/>
      <c r="Q1493" s="59" t="n"/>
      <c r="R1493" s="59" t="n"/>
    </row>
    <row r="1494">
      <c r="P1494" s="59" t="n"/>
      <c r="Q1494" s="59" t="n"/>
      <c r="R1494" s="59" t="n"/>
    </row>
    <row r="1495">
      <c r="P1495" s="59" t="n"/>
      <c r="Q1495" s="59" t="n"/>
      <c r="R1495" s="59" t="n"/>
    </row>
    <row r="1496">
      <c r="P1496" s="59" t="n"/>
      <c r="Q1496" s="59" t="n"/>
      <c r="R1496" s="59" t="n"/>
    </row>
    <row r="1497">
      <c r="P1497" s="59" t="n"/>
      <c r="Q1497" s="59" t="n"/>
      <c r="R1497" s="59" t="n"/>
    </row>
    <row r="1498">
      <c r="P1498" s="59" t="n"/>
      <c r="Q1498" s="59" t="n"/>
      <c r="R1498" s="59" t="n"/>
    </row>
    <row r="1499">
      <c r="P1499" s="59" t="n"/>
      <c r="Q1499" s="59" t="n"/>
      <c r="R1499" s="59" t="n"/>
    </row>
    <row r="1500">
      <c r="P1500" s="59" t="n"/>
      <c r="Q1500" s="59" t="n"/>
      <c r="R1500" s="59" t="n"/>
    </row>
  </sheetData>
  <sheetProtection selectLockedCells="0" selectUnlockedCells="0" sheet="1" objects="0" insertRows="1" insertHyperlinks="1" autoFilter="0" scenarios="0" formatColumns="0" deleteColumns="1" insertColumns="1" pivotTables="1" deleteRows="1" formatCells="1" formatRows="0" sort="1" password="DE9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2026-09-25T03:10:54Z</dcterms:created>
  <dcterms:modified xsi:type="dcterms:W3CDTF">2026-09-25T03:11:03Z</dcterms:modified>
</cp:coreProperties>
</file>